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Appointments" sheetId="3" r:id="rId3"/>
    <sheet name="Clients" sheetId="4" r:id="rId4"/>
    <sheet name="Services" sheetId="5" r:id="rId5"/>
    <sheet name="Sales" sheetId="6" r:id="rId6"/>
    <sheet name="Payments" sheetId="7" r:id="rId7"/>
    <sheet name="Staff" sheetId="8" r:id="rId8"/>
    <sheet name="Commissions" sheetId="9" r:id="rId9"/>
    <sheet name="Payroll" sheetId="10" r:id="rId10"/>
    <sheet name="Expenses" sheetId="11" r:id="rId11"/>
    <sheet name="Profit &amp; Loss" sheetId="12" r:id="rId12"/>
    <sheet name="Inventory" sheetId="13" r:id="rId13"/>
    <sheet name="Purchases" sheetId="14" r:id="rId14"/>
    <sheet name="Marketing" sheetId="15" r:id="rId15"/>
    <sheet name="Loyalty" sheetId="16" r:id="rId16"/>
    <sheet name="Goals &amp; Budget" sheetId="17" r:id="rId17"/>
    <sheet name="Analytics" sheetId="18" r:id="rId18"/>
    <sheet name="Reports" sheetId="19" r:id="rId19"/>
    <sheet name="Settings" sheetId="20" r:id="rId20"/>
  </sheets>
  <definedNames>
    <definedName name="_xlnm._FilterDatabase" localSheetId="2" hidden="1">'Appointments'!$A$4:$AH$1204</definedName>
    <definedName name="_xlnm._FilterDatabase" localSheetId="3" hidden="1">'Clients'!$A$4:$AQ$504</definedName>
    <definedName name="_xlnm._FilterDatabase" localSheetId="8" hidden="1">'Commissions'!$A$4:$AA$244</definedName>
    <definedName name="_xlnm._FilterDatabase" localSheetId="10" hidden="1">'Expenses'!$A$4:$Y$604</definedName>
    <definedName name="_xlnm._FilterDatabase" localSheetId="12" hidden="1">'Inventory'!$A$4:$AJ$304</definedName>
    <definedName name="_xlnm._FilterDatabase" localSheetId="15" hidden="1">'Loyalty'!$A$4:$X$504</definedName>
    <definedName name="_xlnm._FilterDatabase" localSheetId="14" hidden="1">'Marketing'!$A$4:$Y$104</definedName>
    <definedName name="_xlnm._FilterDatabase" localSheetId="6" hidden="1">'Payments'!$A$4:$W$1204</definedName>
    <definedName name="_xlnm._FilterDatabase" localSheetId="9" hidden="1">'Payroll'!$A$4:$AD$364</definedName>
    <definedName name="_xlnm._FilterDatabase" localSheetId="13" hidden="1">'Purchases'!$A$4:$Y$304</definedName>
    <definedName name="_xlnm._FilterDatabase" localSheetId="5" hidden="1">'Sales'!$A$4:$AL$1204</definedName>
    <definedName name="_xlnm._FilterDatabase" localSheetId="4" hidden="1">'Services'!$A$4:$AM$204</definedName>
    <definedName name="_xlnm._FilterDatabase" localSheetId="7" hidden="1">'Staff'!$A$4:$AO$44</definedName>
    <definedName name="AppointmentDates">OFFSET(Appointments!$B$5,0,0,MAX(1,COUNTIF(Appointments!$B$5:$B$1204,"?*")),1)</definedName>
    <definedName name="AppointmentIDs">OFFSET(Appointments!$A$5,0,0,MAX(1,COUNTIF(Appointments!$A$5:$A$1204,"?*")),1)</definedName>
    <definedName name="AppointmentPrefix">Settings!$C$106</definedName>
    <definedName name="AppointmentStatus">OFFSET(Appointments!$M$5,0,0,MAX(1,COUNTIF(Appointments!$M$5:$M$1204,"?*")),1)</definedName>
    <definedName name="AppointmentStatusList">Settings!$A$148:$A$161</definedName>
    <definedName name="ApprenticeCommission">Settings!$D$55</definedName>
    <definedName name="BudgetAmount">'Goals &amp; Budget'!$C$45:$C$64</definedName>
    <definedName name="BudgetCategory">'Goals &amp; Budget'!$B$45:$B$64</definedName>
    <definedName name="BudgetMonthlyTotal">'Goals &amp; Budget'!$C$65</definedName>
    <definedName name="CampaignPrefix">Settings!$G$107</definedName>
    <definedName name="CampaignStatusList">Settings!$D$232:$D$242</definedName>
    <definedName name="CancellationHours">Settings!$D$44</definedName>
    <definedName name="CancelReasonList">Settings!$G$148:$G$163</definedName>
    <definedName name="CardFeeFixed">Settings!$D$41</definedName>
    <definedName name="CardFeePercent">Settings!$D$40</definedName>
    <definedName name="ChairHoursWeek">Settings!$D$31</definedName>
    <definedName name="ChairRentWeek">Settings!$D$59</definedName>
    <definedName name="Chairs">Settings!$D$30</definedName>
    <definedName name="ClientCount">Settings!$D$117</definedName>
    <definedName name="ClientList">OFFSET(Clients!$A$5,0,0,MAX(1,COUNTIF(Clients!$A$5:$A$504,"?*")),1)</definedName>
    <definedName name="ClientNames">OFFSET(Clients!$B$5,0,0,MAX(1,COUNTIF(Clients!$B$5:$B$504,"?*")),1)</definedName>
    <definedName name="ClientPrefix">Settings!$C$103</definedName>
    <definedName name="ClientSegments">OFFSET(Clients!$AM$5,0,0,MAX(1,COUNTIF(Clients!$AM$5:$AM$504,"?*")),1)</definedName>
    <definedName name="ClientStatusList">Settings!$A$169:$A$181</definedName>
    <definedName name="ClientTargetYear">'Goals &amp; Budget'!$D$20</definedName>
    <definedName name="CloseHour">Settings!$D$28</definedName>
    <definedName name="CommissionMethodList">Settings!$G$185:$G$198</definedName>
    <definedName name="CommissionOn">Settings!$D$58</definedName>
    <definedName name="CommissionPrefix">Settings!$C$109</definedName>
    <definedName name="ContactList">Settings!$J$148:$J$159</definedName>
    <definedName name="CurrencySign">Settings!$D$19</definedName>
    <definedName name="DashKey">Dashboard!$H$5</definedName>
    <definedName name="DashPrevKey">Dashboard!$K$5</definedName>
    <definedName name="DefaultHourly">Settings!$D$56</definedName>
    <definedName name="DepositPercent">Settings!$D$42</definedName>
    <definedName name="DepositThreshold">Settings!$D$43</definedName>
    <definedName name="ExpenseAmounts">OFFSET(Expenses!$F$5,0,0,MAX(1,COUNTIF(Expenses!$F$5:$F$604,"?*")),1)</definedName>
    <definedName name="ExpenseCategoriesCol">OFFSET(Expenses!$C$5,0,0,MAX(1,COUNTIF(Expenses!$C$5:$C$604,"?*")),1)</definedName>
    <definedName name="ExpenseCategoryList">Settings!$A$201:$A$229</definedName>
    <definedName name="ExpenseMonths">OFFSET(Expenses!$P$5,0,0,MAX(1,COUNTIF(Expenses!$P$5:$P$604,"?*")),1)</definedName>
    <definedName name="ExpensePrefix">Settings!$G$104</definedName>
    <definedName name="FrequencyList">Settings!$D$201:$D$214</definedName>
    <definedName name="InactiveDays">Settings!$D$93</definedName>
    <definedName name="LapsingDays">Settings!$D$92</definedName>
    <definedName name="LoyaltyPrefix">Settings!$G$108</definedName>
    <definedName name="LoyaltyRewardList">Settings!$G$232:$G$245</definedName>
    <definedName name="MarketingChannelList">Settings!$A$232:$A$252</definedName>
    <definedName name="MonthCostOfSales">Dashboard!$B$80</definedName>
    <definedName name="MonthExpenses">Dashboard!$E$80</definedName>
    <definedName name="MonthKeyList">Settings!$A$259:$A$283</definedName>
    <definedName name="MonthKeys">OFFSET(Settings!$A$259,0,0,MAX(1,COUNTIF(Settings!$A$259:$A$283,"?*")),1)</definedName>
    <definedName name="MonthNetSales">Dashboard!$A$80</definedName>
    <definedName name="MonthWages">Dashboard!$D$80</definedName>
    <definedName name="NetSalesAll">Settings!$D$116</definedName>
    <definedName name="NewClientTargetYear">'Goals &amp; Budget'!$D$21</definedName>
    <definedName name="NoShowFee">Settings!$D$45</definedName>
    <definedName name="OpenDays">Settings!$D$29</definedName>
    <definedName name="OpenHour">Settings!$D$27</definedName>
    <definedName name="OwnerName">Settings!$D$9</definedName>
    <definedName name="PatchTestDays">Settings!$D$94</definedName>
    <definedName name="PaymentKindList">Settings!$G$169:$G$182</definedName>
    <definedName name="PaymentMethodList">Settings!$J$169:$J$182</definedName>
    <definedName name="PaymentPrefix">Settings!$C$108</definedName>
    <definedName name="PayPeriodList">Settings!$J$185:$J$195</definedName>
    <definedName name="PayrollBurden">Settings!$D$57</definedName>
    <definedName name="PayrollPrefix">Settings!$G$103</definedName>
    <definedName name="PLNetSalesRow">'Profit &amp; Loss'!$N$13</definedName>
    <definedName name="PointsPerUnit">Settings!$D$95</definedName>
    <definedName name="PriceReviewDays">Settings!$D$48</definedName>
    <definedName name="_xlnm.Print_Area" localSheetId="2">'Appointments'!$A$1:$AH$1204</definedName>
    <definedName name="_xlnm.Print_Area" localSheetId="3">'Clients'!$A$1:$AQ$504</definedName>
    <definedName name="_xlnm.Print_Area" localSheetId="8">'Commissions'!$A$1:$AA$244</definedName>
    <definedName name="_xlnm.Print_Area" localSheetId="10">'Expenses'!$A$1:$Y$604</definedName>
    <definedName name="_xlnm.Print_Area" localSheetId="12">'Inventory'!$A$1:$AJ$304</definedName>
    <definedName name="_xlnm.Print_Area" localSheetId="15">'Loyalty'!$A$1:$X$504</definedName>
    <definedName name="_xlnm.Print_Area" localSheetId="14">'Marketing'!$A$1:$Y$104</definedName>
    <definedName name="_xlnm.Print_Area" localSheetId="6">'Payments'!$A$1:$W$1204</definedName>
    <definedName name="_xlnm.Print_Area" localSheetId="9">'Payroll'!$A$1:$AD$364</definedName>
    <definedName name="_xlnm.Print_Area" localSheetId="13">'Purchases'!$A$1:$Y$304</definedName>
    <definedName name="_xlnm.Print_Area" localSheetId="5">'Sales'!$A$1:$AL$1204</definedName>
    <definedName name="_xlnm.Print_Area" localSheetId="4">'Services'!$A$1:$AM$204</definedName>
    <definedName name="_xlnm.Print_Area" localSheetId="7">'Staff'!$A$1:$AO$44</definedName>
    <definedName name="_xlnm.Print_Titles" localSheetId="2">'Appointments'!$1:$4</definedName>
    <definedName name="_xlnm.Print_Titles" localSheetId="3">'Clients'!$1:$4</definedName>
    <definedName name="_xlnm.Print_Titles" localSheetId="8">'Commissions'!$1:$4</definedName>
    <definedName name="_xlnm.Print_Titles" localSheetId="10">'Expenses'!$1:$4</definedName>
    <definedName name="_xlnm.Print_Titles" localSheetId="12">'Inventory'!$1:$4</definedName>
    <definedName name="_xlnm.Print_Titles" localSheetId="15">'Loyalty'!$1:$4</definedName>
    <definedName name="_xlnm.Print_Titles" localSheetId="14">'Marketing'!$1:$4</definedName>
    <definedName name="_xlnm.Print_Titles" localSheetId="6">'Payments'!$1:$4</definedName>
    <definedName name="_xlnm.Print_Titles" localSheetId="9">'Payroll'!$1:$4</definedName>
    <definedName name="_xlnm.Print_Titles" localSheetId="13">'Purchases'!$1:$4</definedName>
    <definedName name="_xlnm.Print_Titles" localSheetId="5">'Sales'!$1:$4</definedName>
    <definedName name="_xlnm.Print_Titles" localSheetId="4">'Services'!$1:$4</definedName>
    <definedName name="_xlnm.Print_Titles" localSheetId="7">'Staff'!$1:$4</definedName>
    <definedName name="ProductCategoryList">Settings!$G$201:$G$220</definedName>
    <definedName name="ProductCostPercent">Settings!$D$88</definedName>
    <definedName name="ProductList">OFFSET(Inventory!$A$5,0,0,MAX(1,COUNTIF(Inventory!$A$5:$A$304,"?*")),1)</definedName>
    <definedName name="ProductNames">OFFSET(Inventory!$B$5,0,0,MAX(1,COUNTIF(Inventory!$B$5:$B$304,"?*")),1)</definedName>
    <definedName name="ProductPrefix">Settings!$G$105</definedName>
    <definedName name="ProfitTargetMonth">Settings!$D$76</definedName>
    <definedName name="PromoCodes">OFFSET(Marketing!$E$5,0,0,MAX(1,COUNTIF(Marketing!$E$5:$E$104,"?*")),1)</definedName>
    <definedName name="PurchasePrefix">Settings!$G$106</definedName>
    <definedName name="PurchaseStatusList">Settings!$J$201:$J$212</definedName>
    <definedName name="RebookWeeks">Settings!$D$91</definedName>
    <definedName name="ReferralReward">Settings!$D$98</definedName>
    <definedName name="ReorderWeeks">Settings!$D$86</definedName>
    <definedName name="ReportMonth">Reports!$D$6</definedName>
    <definedName name="ReportWeekEnd">Reports!$D$5</definedName>
    <definedName name="RetailCommission">Settings!$D$54</definedName>
    <definedName name="RetailMarkup">Settings!$D$85</definedName>
    <definedName name="RetailRevenueAll">Settings!$D$115</definedName>
    <definedName name="RevenueTargetMonth">Settings!$D$74</definedName>
    <definedName name="RevenueTargetYear">Settings!$D$75</definedName>
    <definedName name="RewardAt">Settings!$D$96</definedName>
    <definedName name="RewardValue">Settings!$D$97</definedName>
    <definedName name="RoundingRule">Settings!$D$46</definedName>
    <definedName name="RoundingRuleList">Settings!$J$232:$J$245</definedName>
    <definedName name="SaleDates">OFFSET(Sales!$B$5,0,0,MAX(1,COUNTIF(Sales!$B$5:$B$1204,"?*")),1)</definedName>
    <definedName name="SaleIDs">OFFSET(Sales!$A$5,0,0,MAX(1,COUNTIF(Sales!$A$5:$A$1204,"?*")),1)</definedName>
    <definedName name="SaleKindList">Settings!$D$169:$D$180</definedName>
    <definedName name="SaleKinds">OFFSET(Sales!$H$5,0,0,MAX(1,COUNTIF(Sales!$H$5:$H$1204,"?*")),1)</definedName>
    <definedName name="SaleMonths">OFFSET(Sales!$R$5,0,0,MAX(1,COUNTIF(Sales!$R$5:$R$1204,"?*")),1)</definedName>
    <definedName name="SaleNet">OFFSET(Sales!$Y$5,0,0,MAX(1,COUNTIF(Sales!$Y$5:$Y$1204,"?*")),1)</definedName>
    <definedName name="SalePrefix">Settings!$C$107</definedName>
    <definedName name="SaleStaff">OFFSET(Sales!$F$5,0,0,MAX(1,COUNTIF(Sales!$F$5:$F$1204,"?*")),1)</definedName>
    <definedName name="SalonName">Settings!$D$8</definedName>
    <definedName name="ServiceCategories">OFFSET(Services!$C$5,0,0,MAX(1,COUNTIF(Services!$C$5:$C$204,"?*")),1)</definedName>
    <definedName name="ServiceCategoryList">Settings!$D$123:$D$145</definedName>
    <definedName name="ServiceCommission">Settings!$D$53</definedName>
    <definedName name="ServiceList">OFFSET(Services!$A$5,0,0,MAX(1,COUNTIF(Services!$A$5:$A$204,"?*")),1)</definedName>
    <definedName name="ServiceNames">OFFSET(Services!$B$5,0,0,MAX(1,COUNTIF(Services!$B$5:$B$204,"?*")),1)</definedName>
    <definedName name="ServicePrefix">Settings!$C$104</definedName>
    <definedName name="ServiceRevenueAll">Settings!$D$114</definedName>
    <definedName name="ServiceRevenueCol">OFFSET(Services!$AD$5,0,0,MAX(1,COUNTIF(Services!$AD$5:$AD$204,"?*")),1)</definedName>
    <definedName name="ServiceStatusList">Settings!$G$123:$G$133</definedName>
    <definedName name="SourceList">Settings!$D$148:$D$166</definedName>
    <definedName name="StaffList">OFFSET(Staff!$A$5,0,0,MAX(1,COUNTIF(Staff!$A$5:$A$44,"?*")),1)</definedName>
    <definedName name="StaffNames">OFFSET(Staff!$B$5,0,0,MAX(1,COUNTIF(Staff!$B$5:$B$44,"?*")),1)</definedName>
    <definedName name="StaffPrefix">Settings!$C$105</definedName>
    <definedName name="StaffStatusList">Settings!$D$185:$D$195</definedName>
    <definedName name="StaffTypeList">Settings!$A$185:$A$196</definedName>
    <definedName name="StockWarningWeeks">Settings!$D$87</definedName>
    <definedName name="StylistLevelList">Settings!$J$123:$J$135</definedName>
    <definedName name="SupplierLeadDays">Purchases!$G$314:$G$337</definedName>
    <definedName name="SupplierList">OFFSET(Purchases!$A$314,0,0,MAX(1,COUNTIF(Purchases!$A$314:$A$337,"?*")),1)</definedName>
    <definedName name="TargetChairRate">Settings!$D$47</definedName>
    <definedName name="TargetRebook">Settings!$D$79</definedName>
    <definedName name="TargetRetailShare">Settings!$D$78</definedName>
    <definedName name="TargetRetention">Settings!$D$80</definedName>
    <definedName name="TargetTicket">Settings!$D$77</definedName>
    <definedName name="TargetUtilisation">Settings!$D$81</definedName>
    <definedName name="TaxOnRetail">Settings!$D$38</definedName>
    <definedName name="TaxOnServices">Settings!$D$37</definedName>
    <definedName name="TaxRate">Settings!$D$36</definedName>
    <definedName name="ThisMonthKey">Settings!$D$23</definedName>
    <definedName name="TierFrom">Settings!$B$65:$B$71</definedName>
    <definedName name="TierRate">Settings!$C$65:$C$71</definedName>
    <definedName name="TodayDate">Settings!$D$22</definedName>
    <definedName name="TrackingStart">Settings!$D$21</definedName>
    <definedName name="TrackingWeeks">Settings!$D$24</definedName>
    <definedName name="VipSpend">Settings!$D$82</definedName>
    <definedName name="YesNoList">Settings!$A$123:$A$130</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Automatic. Payments and sales can quote this ID so a deposit lands against the right booking.</t>
        </r>
      </text>
    </comment>
    <comment ref="B4" authorId="0">
      <text>
        <r>
          <rPr>
            <sz val="8"/>
            <color indexed="81"/>
            <rFont val="Tahoma"/>
            <family val="2"/>
          </rPr>
          <t>The day of the appointment. Everything on this row waits for it.</t>
        </r>
      </text>
    </comment>
    <comment ref="D4" authorId="0">
      <text>
        <r>
          <rPr>
            <sz val="8"/>
            <color indexed="81"/>
            <rFont val="Tahoma"/>
            <family val="2"/>
          </rPr>
          <t>Type 9:30 or 2:15 PM - Excel stores it as a time.</t>
        </r>
      </text>
    </comment>
    <comment ref="E4" authorId="0">
      <text>
        <r>
          <rPr>
            <sz val="8"/>
            <color indexed="81"/>
            <rFont val="Tahoma"/>
            <family val="2"/>
          </rPr>
          <t>Pick the client ID. A walk-in with no record can be left blank - the sale still counts.</t>
        </r>
      </text>
    </comment>
    <comment ref="F4" authorId="0">
      <text>
        <r>
          <rPr>
            <sz val="8"/>
            <color indexed="81"/>
            <rFont val="Tahoma"/>
            <family val="2"/>
          </rPr>
          <t>Looked up from the Clients tab.</t>
        </r>
      </text>
    </comment>
    <comment ref="G4" authorId="0">
      <text>
        <r>
          <rPr>
            <sz val="8"/>
            <color indexed="81"/>
            <rFont val="Tahoma"/>
            <family val="2"/>
          </rPr>
          <t>Pick from the service menu. The price and the minutes come with it.</t>
        </r>
      </text>
    </comment>
    <comment ref="K4" authorId="0">
      <text>
        <r>
          <rPr>
            <sz val="8"/>
            <color indexed="81"/>
            <rFont val="Tahoma"/>
            <family val="2"/>
          </rPr>
          <t>Only fill this in when the booking is longer or shorter than the menu says. Otherwise leave it blank.</t>
        </r>
      </text>
    </comment>
    <comment ref="L4" authorId="0">
      <text>
        <r>
          <rPr>
            <sz val="8"/>
            <color indexed="81"/>
            <rFont val="Tahoma"/>
            <family val="2"/>
          </rPr>
          <t>Overrides the menu price - a senior stylist surcharge, a quoted colour correction, a friend rate. Blank means use the menu.</t>
        </r>
      </text>
    </comment>
    <comment ref="M4" authorId="0">
      <text>
        <r>
          <rPr>
            <sz val="8"/>
            <color indexed="81"/>
            <rFont val="Tahoma"/>
            <family val="2"/>
          </rPr>
          <t>Enquiry, Booked, Confirmed, Arrived, Completed, Cancelled, No show, Rescheduled. Only the last three and Completed count as a final answer.</t>
        </r>
      </text>
    </comment>
    <comment ref="O4" authorId="0">
      <text>
        <r>
          <rPr>
            <sz val="8"/>
            <color indexed="81"/>
            <rFont val="Tahoma"/>
            <family val="2"/>
          </rPr>
          <t>Leave blank to use the deposit rule on Settings. Type 0 to waive it.</t>
        </r>
      </text>
    </comment>
    <comment ref="R4" authorId="0">
      <text>
        <r>
          <rPr>
            <sz val="8"/>
            <color indexed="81"/>
            <rFont val="Tahoma"/>
            <family val="2"/>
          </rPr>
          <t>A no-show or late cancellation fee you actually collected. Log the money itself on Payments.</t>
        </r>
      </text>
    </comment>
    <comment ref="S4" authorId="0">
      <text>
        <r>
          <rPr>
            <sz val="8"/>
            <color indexed="81"/>
            <rFont val="Tahoma"/>
            <family val="2"/>
          </rPr>
          <t>Automatic. Every monthly report groups on this.</t>
        </r>
      </text>
    </comment>
    <comment ref="V4" authorId="0">
      <text>
        <r>
          <rPr>
            <sz val="8"/>
            <color indexed="81"/>
            <rFont val="Tahoma"/>
            <family val="2"/>
          </rPr>
          <t>Start plus the service time and the turnaround.</t>
        </r>
      </text>
    </comment>
    <comment ref="W4" authorId="0">
      <text>
        <r>
          <rPr>
            <sz val="8"/>
            <color indexed="81"/>
            <rFont val="Tahoma"/>
            <family val="2"/>
          </rPr>
          <t>The hour the appointment starts, for the busiest-time analysis.</t>
        </r>
      </text>
    </comment>
    <comment ref="Y4" authorId="0">
      <text>
        <r>
          <rPr>
            <sz val="8"/>
            <color indexed="81"/>
            <rFont val="Tahoma"/>
            <family val="2"/>
          </rPr>
          <t>Your override if there is one, otherwise the menu price. This is what the diary is worth.</t>
        </r>
      </text>
    </comment>
    <comment ref="AA4" authorId="0">
      <text>
        <r>
          <rPr>
            <sz val="8"/>
            <color indexed="81"/>
            <rFont val="Tahoma"/>
            <family val="2"/>
          </rPr>
          <t>Deposits taken against this booking. They are money received, not revenue - the revenue appears when the sale is rung up.</t>
        </r>
      </text>
    </comment>
    <comment ref="AB4" authorId="0">
      <text>
        <r>
          <rPr>
            <sz val="8"/>
            <color indexed="81"/>
            <rFont val="Tahoma"/>
            <family val="2"/>
          </rPr>
          <t>What was actually rung through the till against this appointment, retail included.</t>
        </r>
      </text>
    </comment>
    <comment ref="AC4" authorId="0">
      <text>
        <r>
          <rPr>
            <sz val="8"/>
            <color indexed="81"/>
            <rFont val="Tahoma"/>
            <family val="2"/>
          </rPr>
          <t>Completed, Cancelled and No show are final. Everything else is still in play, so it is left out of the completion and cancellation rates.</t>
        </r>
      </text>
    </comment>
    <comment ref="AE4" authorId="0">
      <text>
        <r>
          <rPr>
            <sz val="8"/>
            <color indexed="81"/>
            <rFont val="Tahoma"/>
            <family val="2"/>
          </rPr>
          <t>When the booking was made. Optional - it feeds the lead-time figure on the analytics tab.</t>
        </r>
      </text>
    </comment>
    <comment ref="AF4" authorId="0">
      <text>
        <r>
          <rPr>
            <sz val="8"/>
            <color indexed="81"/>
            <rFont val="Tahoma"/>
            <family val="2"/>
          </rPr>
          <t>Did this client have anything else in the book after this visit? The rebooking rate on the dashboard is built from this column.</t>
        </r>
      </text>
    </comment>
    <comment ref="AG4" authorId="0">
      <text>
        <r>
          <rPr>
            <sz val="8"/>
            <color indexed="81"/>
            <rFont val="Tahoma"/>
            <family val="2"/>
          </rPr>
          <t>Counts any other booking for the same stylist on the same day whose time overlaps this one. Cancelled bookings are ignored.</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Automatic. Bookings, sales and payments all point at this ID.</t>
        </r>
      </text>
    </comment>
    <comment ref="B4" authorId="0">
      <text>
        <r>
          <rPr>
            <sz val="8"/>
            <color indexed="81"/>
            <rFont val="Tahoma"/>
            <family val="2"/>
          </rPr>
          <t>First and last name. Keep one row per person - duplicates split their history in two, and the check column tells you when you have made one.</t>
        </r>
      </text>
    </comment>
    <comment ref="F4" authorId="0">
      <text>
        <r>
          <rPr>
            <sz val="8"/>
            <color indexed="81"/>
            <rFont val="Tahoma"/>
            <family val="2"/>
          </rPr>
          <t>When they first came in. Leave it blank and the workbook uses their first completed appointment.</t>
        </r>
      </text>
    </comment>
    <comment ref="G4" authorId="0">
      <text>
        <r>
          <rPr>
            <sz val="8"/>
            <color indexed="81"/>
            <rFont val="Tahoma"/>
            <family val="2"/>
          </rPr>
          <t>Where this client came from. The marketing tab counts new clients by this column.</t>
        </r>
      </text>
    </comment>
    <comment ref="H4" authorId="0">
      <text>
        <r>
          <rPr>
            <sz val="8"/>
            <color indexed="81"/>
            <rFont val="Tahoma"/>
            <family val="2"/>
          </rPr>
          <t>The client ID of whoever sent them. The loyalty tab pays the referral credit from it.</t>
        </r>
      </text>
    </comment>
    <comment ref="I4" authorId="0">
      <text>
        <r>
          <rPr>
            <sz val="8"/>
            <color indexed="81"/>
            <rFont val="Tahoma"/>
            <family val="2"/>
          </rPr>
          <t>Staff ID. Used for the rebooking reminders and the 'my clients' counts on the staff tab.</t>
        </r>
      </text>
    </comment>
    <comment ref="K4" authorId="0">
      <text>
        <r>
          <rPr>
            <sz val="8"/>
            <color indexed="81"/>
            <rFont val="Tahoma"/>
            <family val="2"/>
          </rPr>
          <t>Day and month are what matter - the year is up to the client. Drives the birthday list on the marketing tab.</t>
        </r>
      </text>
    </comment>
    <comment ref="L4" authorId="0">
      <text>
        <r>
          <rPr>
            <sz val="8"/>
            <color indexed="81"/>
            <rFont val="Tahoma"/>
            <family val="2"/>
          </rPr>
          <t>Colour formula, timings, how they take their coffee, the fringe conversation. The thing that makes a client feel known.</t>
        </r>
      </text>
    </comment>
    <comment ref="N4" authorId="0">
      <text>
        <r>
          <rPr>
            <sz val="8"/>
            <color indexed="81"/>
            <rFont val="Tahoma"/>
            <family val="2"/>
          </rPr>
          <t>Last patch test date. The action column flags it when it is older than the period on Settings.</t>
        </r>
      </text>
    </comment>
    <comment ref="O4" authorId="0">
      <text>
        <r>
          <rPr>
            <sz val="8"/>
            <color indexed="81"/>
            <rFont val="Tahoma"/>
            <family val="2"/>
          </rPr>
          <t>Only email or text the clients who said yes.</t>
        </r>
      </text>
    </comment>
    <comment ref="Q4" authorId="0">
      <text>
        <r>
          <rPr>
            <sz val="8"/>
            <color indexed="81"/>
            <rFont val="Tahoma"/>
            <family val="2"/>
          </rPr>
          <t>Colour client, bridal, student, blow-dry regular - whatever you want to filter on.</t>
        </r>
      </text>
    </comment>
    <comment ref="R4" authorId="0">
      <text>
        <r>
          <rPr>
            <sz val="8"/>
            <color indexed="81"/>
            <rFont val="Tahoma"/>
            <family val="2"/>
          </rPr>
          <t>Leave as Active for a normal client. Archived keeps the history but drops them out of the chase lists.</t>
        </r>
      </text>
    </comment>
    <comment ref="T4" authorId="0">
      <text>
        <r>
          <rPr>
            <sz val="8"/>
            <color indexed="81"/>
            <rFont val="Tahoma"/>
            <family val="2"/>
          </rPr>
          <t>Completed appointments. Cancellations and no shows are counted separately.</t>
        </r>
      </text>
    </comment>
    <comment ref="W4" authorId="0">
      <text>
        <r>
          <rPr>
            <sz val="8"/>
            <color indexed="81"/>
            <rFont val="Tahoma"/>
            <family val="2"/>
          </rPr>
          <t>Two or more is the point at which most salons start asking for a deposit.</t>
        </r>
      </text>
    </comment>
    <comment ref="AB4" authorId="0">
      <text>
        <r>
          <rPr>
            <sz val="8"/>
            <color indexed="81"/>
            <rFont val="Tahoma"/>
            <family val="2"/>
          </rPr>
          <t>Their next appointment that has not been cancelled. Blank here is the whole point of the rebooking list.</t>
        </r>
      </text>
    </comment>
    <comment ref="AC4" authorId="0">
      <text>
        <r>
          <rPr>
            <sz val="8"/>
            <color indexed="81"/>
            <rFont val="Tahoma"/>
            <family val="2"/>
          </rPr>
          <t>Average days between visits. A client whose gap is stretching is a client on the way out.</t>
        </r>
      </text>
    </comment>
    <comment ref="AE4" authorId="0">
      <text>
        <r>
          <rPr>
            <sz val="8"/>
            <color indexed="81"/>
            <rFont val="Tahoma"/>
            <family val="2"/>
          </rPr>
          <t>Net of discounts and refunds, services and retail together.</t>
        </r>
      </text>
    </comment>
    <comment ref="AJ4" authorId="0">
      <text>
        <r>
          <rPr>
            <sz val="8"/>
            <color indexed="81"/>
            <rFont val="Tahoma"/>
            <family val="2"/>
          </rPr>
          <t>Average ticket x how many times a year they come. This is what losing them costs.</t>
        </r>
      </text>
    </comment>
    <comment ref="AK4" authorId="0">
      <text>
        <r>
          <rPr>
            <sz val="8"/>
            <color indexed="81"/>
            <rFont val="Tahoma"/>
            <family val="2"/>
          </rPr>
          <t>Everything billed less everything paid, deposits included. Positive means they owe you.</t>
        </r>
      </text>
    </comment>
    <comment ref="AL4" authorId="0">
      <text>
        <r>
          <rPr>
            <sz val="8"/>
            <color indexed="81"/>
            <rFont val="Tahoma"/>
            <family val="2"/>
          </rPr>
          <t>From the loyalty tab. Zero means they are not on the scheme yet.</t>
        </r>
      </text>
    </comment>
    <comment ref="AM4" authorId="0">
      <text>
        <r>
          <rPr>
            <sz val="8"/>
            <color indexed="81"/>
            <rFont val="Tahoma"/>
            <family val="2"/>
          </rPr>
          <t>Worked out from the visits and the spend, using the thresholds on Settings. Nothing to type.</t>
        </r>
      </text>
    </comment>
    <comment ref="AO4" authorId="0">
      <text>
        <r>
          <rPr>
            <sz val="8"/>
            <color indexed="81"/>
            <rFont val="Tahoma"/>
            <family val="2"/>
          </rPr>
          <t>1 = the largest spend.</t>
        </r>
      </text>
    </comment>
    <comment ref="AP4" authorId="0">
      <text>
        <r>
          <rPr>
            <sz val="8"/>
            <color indexed="81"/>
            <rFont val="Tahoma"/>
            <family val="2"/>
          </rPr>
          <t>1 = the largest visits.</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Automatic. Bookings and sales point at this ID, so renaming a service never breaks your history.</t>
        </r>
      </text>
    </comment>
    <comment ref="B4" authorId="0">
      <text>
        <r>
          <rPr>
            <sz val="8"/>
            <color indexed="81"/>
            <rFont val="Tahoma"/>
            <family val="2"/>
          </rPr>
          <t>Exactly as it appears on your menu and on the booking page.</t>
        </r>
      </text>
    </comment>
    <comment ref="C4" authorId="0">
      <text>
        <r>
          <rPr>
            <sz val="8"/>
            <color indexed="81"/>
            <rFont val="Tahoma"/>
            <family val="2"/>
          </rPr>
          <t>Drives the revenue-by-category figures on the dashboard and the analytics tab.</t>
        </r>
      </text>
    </comment>
    <comment ref="D4" authorId="0">
      <text>
        <r>
          <rPr>
            <sz val="8"/>
            <color indexed="81"/>
            <rFont val="Tahoma"/>
            <family val="2"/>
          </rPr>
          <t>What the client is buying. Used on the price list print-out.</t>
        </r>
      </text>
    </comment>
    <comment ref="E4" authorId="0">
      <text>
        <r>
          <rPr>
            <sz val="8"/>
            <color indexed="81"/>
            <rFont val="Tahoma"/>
            <family val="2"/>
          </rPr>
          <t>Chair time, start to finish. Include the time you cannot sell to anybody else.</t>
        </r>
      </text>
    </comment>
    <comment ref="F4" authorId="0">
      <text>
        <r>
          <rPr>
            <sz val="8"/>
            <color indexed="81"/>
            <rFont val="Tahoma"/>
            <family val="2"/>
          </rPr>
          <t>Clean down and reset minutes after the client leaves. Counted in the chair time, not charged to them.</t>
        </r>
      </text>
    </comment>
    <comment ref="G4" authorId="0">
      <text>
        <r>
          <rPr>
            <sz val="8"/>
            <color indexed="81"/>
            <rFont val="Tahoma"/>
            <family val="2"/>
          </rPr>
          <t>What you charge today. The suggested price column says what the maths would ask for.</t>
        </r>
      </text>
    </comment>
    <comment ref="H4" authorId="0">
      <text>
        <r>
          <rPr>
            <sz val="8"/>
            <color indexed="81"/>
            <rFont val="Tahoma"/>
            <family val="2"/>
          </rPr>
          <t>Backbar cost of one service - colour, developer, wax, lash adhesive. Leave blank and the workbook estimates it from the percentage on Settings.</t>
        </r>
      </text>
    </comment>
    <comment ref="I4" authorId="0">
      <text>
        <r>
          <rPr>
            <sz val="8"/>
            <color indexed="81"/>
            <rFont val="Tahoma"/>
            <family val="2"/>
          </rPr>
          <t>Yes for treatments, toners and finishes sold alongside something else.</t>
        </r>
      </text>
    </comment>
    <comment ref="J4" authorId="0">
      <text>
        <r>
          <rPr>
            <sz val="8"/>
            <color indexed="81"/>
            <rFont val="Tahoma"/>
            <family val="2"/>
          </rPr>
          <t>No for anything the owner keeps whole - a patch test, a fringe trim, a redo.</t>
        </r>
      </text>
    </comment>
    <comment ref="L4" authorId="0">
      <text>
        <r>
          <rPr>
            <sz val="8"/>
            <color indexed="81"/>
            <rFont val="Tahoma"/>
            <family val="2"/>
          </rPr>
          <t>Who is allowed to do it. Staff specific pricing lives in the price override on the appointment.</t>
        </r>
      </text>
    </comment>
    <comment ref="N4" authorId="0">
      <text>
        <r>
          <rPr>
            <sz val="8"/>
            <color indexed="81"/>
            <rFont val="Tahoma"/>
            <family val="2"/>
          </rPr>
          <t>The last time this price changed. The alert column nags when it is older than the review period.</t>
        </r>
      </text>
    </comment>
    <comment ref="Q4" authorId="0">
      <text>
        <r>
          <rPr>
            <sz val="8"/>
            <color indexed="81"/>
            <rFont val="Tahoma"/>
            <family val="2"/>
          </rPr>
          <t>Yours if you typed one, otherwise the percentage estimate from Settings.</t>
        </r>
      </text>
    </comment>
    <comment ref="R4" authorId="0">
      <text>
        <r>
          <rPr>
            <sz val="8"/>
            <color indexed="81"/>
            <rFont val="Tahoma"/>
            <family val="2"/>
          </rPr>
          <t>At the default service rate on Settings. The real figure per stylist is on the Commissions tab.</t>
        </r>
      </text>
    </comment>
    <comment ref="S4" authorId="0">
      <text>
        <r>
          <rPr>
            <sz val="8"/>
            <color indexed="81"/>
            <rFont val="Tahoma"/>
            <family val="2"/>
          </rPr>
          <t>Product plus commission. Rent, power and the front desk are overheads - they are in the profit and loss, not here.</t>
        </r>
      </text>
    </comment>
    <comment ref="T4" authorId="0">
      <text>
        <r>
          <rPr>
            <sz val="8"/>
            <color indexed="81"/>
            <rFont val="Tahoma"/>
            <family val="2"/>
          </rPr>
          <t>Price less the cost of delivering it. This is the money that has to cover the rent.</t>
        </r>
      </text>
    </comment>
    <comment ref="V4" authorId="0">
      <text>
        <r>
          <rPr>
            <sz val="8"/>
            <color indexed="81"/>
            <rFont val="Tahoma"/>
            <family val="2"/>
          </rPr>
          <t>The number that compares services fairly. A cheap service in half the time can beat an expensive one.</t>
        </r>
      </text>
    </comment>
    <comment ref="Y4" authorId="0">
      <text>
        <r>
          <rPr>
            <sz val="8"/>
            <color indexed="81"/>
            <rFont val="Tahoma"/>
            <family val="2"/>
          </rPr>
          <t>(Product cost + your target chair rate x the hours) / (1 - commission), rounded by the rule on Settings. Change the target, not the formula.</t>
        </r>
      </text>
    </comment>
    <comment ref="Z4" authorId="0">
      <text>
        <r>
          <rPr>
            <sz val="8"/>
            <color indexed="81"/>
            <rFont val="Tahoma"/>
            <family val="2"/>
          </rPr>
          <t>Positive means you charge more than the maths asks for. Negative is money you are leaving behind.</t>
        </r>
      </text>
    </comment>
    <comment ref="AA4" authorId="0">
      <text>
        <r>
          <rPr>
            <sz val="8"/>
            <color indexed="81"/>
            <rFont val="Tahoma"/>
            <family val="2"/>
          </rPr>
          <t>Every appointment that names this service, whatever happened to it.</t>
        </r>
      </text>
    </comment>
    <comment ref="AD4" authorId="0">
      <text>
        <r>
          <rPr>
            <sz val="8"/>
            <color indexed="81"/>
            <rFont val="Tahoma"/>
            <family val="2"/>
          </rPr>
          <t>Net of discounts, from the Sales tab.</t>
        </r>
      </text>
    </comment>
    <comment ref="AH4" authorId="0">
      <text>
        <r>
          <rPr>
            <sz val="8"/>
            <color indexed="81"/>
            <rFont val="Tahoma"/>
            <family val="2"/>
          </rPr>
          <t>How often a client who had this service also bought something to take home.</t>
        </r>
      </text>
    </comment>
    <comment ref="AJ4" authorId="0">
      <text>
        <r>
          <rPr>
            <sz val="8"/>
            <color indexed="81"/>
            <rFont val="Tahoma"/>
            <family val="2"/>
          </rPr>
          <t>1 = the largest revenue.</t>
        </r>
      </text>
    </comment>
    <comment ref="AK4" authorId="0">
      <text>
        <r>
          <rPr>
            <sz val="8"/>
            <color indexed="81"/>
            <rFont val="Tahoma"/>
            <family val="2"/>
          </rPr>
          <t>1 = the largest profit_hour.</t>
        </r>
      </text>
    </comment>
    <comment ref="AL4" authorId="0">
      <text>
        <r>
          <rPr>
            <sz val="8"/>
            <color indexed="81"/>
            <rFont val="Tahoma"/>
            <family val="2"/>
          </rPr>
          <t>1 = the largest done.</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day the money was earned, not the day it landed in the bank.</t>
        </r>
      </text>
    </comment>
    <comment ref="C4" authorId="0">
      <text>
        <r>
          <rPr>
            <sz val="8"/>
            <color indexed="81"/>
            <rFont val="Tahoma"/>
            <family val="2"/>
          </rPr>
          <t>Optional. The APT ID this sale belongs to - it links the till back to the diary and brings any deposit with it.</t>
        </r>
      </text>
    </comment>
    <comment ref="D4" authorId="0">
      <text>
        <r>
          <rPr>
            <sz val="8"/>
            <color indexed="81"/>
            <rFont val="Tahoma"/>
            <family val="2"/>
          </rPr>
          <t>Blank is fine for a walk-in who is not on the client book.</t>
        </r>
      </text>
    </comment>
    <comment ref="F4" authorId="0">
      <text>
        <r>
          <rPr>
            <sz val="8"/>
            <color indexed="81"/>
            <rFont val="Tahoma"/>
            <family val="2"/>
          </rPr>
          <t>Who did the work, or who sold the product. This is the column the commission is calculated from.</t>
        </r>
      </text>
    </comment>
    <comment ref="H4" authorId="0">
      <text>
        <r>
          <rPr>
            <sz val="8"/>
            <color indexed="81"/>
            <rFont val="Tahoma"/>
            <family val="2"/>
          </rPr>
          <t>Service, Retail, Package, Gift certificate, Course or Other. Keeping these apart is what makes the retail share and the commission split honest.</t>
        </r>
      </text>
    </comment>
    <comment ref="I4" authorId="0">
      <text>
        <r>
          <rPr>
            <sz val="8"/>
            <color indexed="81"/>
            <rFont val="Tahoma"/>
            <family val="2"/>
          </rPr>
          <t>The service ID for a treatment, the product ID for retail. Leave blank for anything that is neither.</t>
        </r>
      </text>
    </comment>
    <comment ref="J4" authorId="0">
      <text>
        <r>
          <rPr>
            <sz val="8"/>
            <color indexed="81"/>
            <rFont val="Tahoma"/>
            <family val="2"/>
          </rPr>
          <t>Only needed when there is no ID - 'gift voucher', 'course of six', 'fringe trim'.</t>
        </r>
      </text>
    </comment>
    <comment ref="K4" authorId="0">
      <text>
        <r>
          <rPr>
            <sz val="8"/>
            <color indexed="81"/>
            <rFont val="Tahoma"/>
            <family val="2"/>
          </rPr>
          <t>Blank counts as 1.</t>
        </r>
      </text>
    </comment>
    <comment ref="L4" authorId="0">
      <text>
        <r>
          <rPr>
            <sz val="8"/>
            <color indexed="81"/>
            <rFont val="Tahoma"/>
            <family val="2"/>
          </rPr>
          <t>Leave blank to take the menu or retail price. Fill it in to override for this sale only.</t>
        </r>
      </text>
    </comment>
    <comment ref="M4" authorId="0">
      <text>
        <r>
          <rPr>
            <sz val="8"/>
            <color indexed="81"/>
            <rFont val="Tahoma"/>
            <family val="2"/>
          </rPr>
          <t>As a percentage of the line - 10% is 0.1 or 10%.</t>
        </r>
      </text>
    </comment>
    <comment ref="N4" authorId="0">
      <text>
        <r>
          <rPr>
            <sz val="8"/>
            <color indexed="81"/>
            <rFont val="Tahoma"/>
            <family val="2"/>
          </rPr>
          <t>A straight amount off, on top of any percentage.</t>
        </r>
      </text>
    </comment>
    <comment ref="O4" authorId="0">
      <text>
        <r>
          <rPr>
            <sz val="8"/>
            <color indexed="81"/>
            <rFont val="Tahoma"/>
            <family val="2"/>
          </rPr>
          <t>Matches the code on the Marketing tab so a campaign can be measured.</t>
        </r>
      </text>
    </comment>
    <comment ref="P4" authorId="0">
      <text>
        <r>
          <rPr>
            <sz val="8"/>
            <color indexed="81"/>
            <rFont val="Tahoma"/>
            <family val="2"/>
          </rPr>
          <t>Money handed back on this line. It comes straight off net sales - no separate correction needed.</t>
        </r>
      </text>
    </comment>
    <comment ref="R4" authorId="0">
      <text>
        <r>
          <rPr>
            <sz val="8"/>
            <color indexed="81"/>
            <rFont val="Tahoma"/>
            <family val="2"/>
          </rPr>
          <t>Automatic. Every monthly report groups on this.</t>
        </r>
      </text>
    </comment>
    <comment ref="U4" authorId="0">
      <text>
        <r>
          <rPr>
            <sz val="8"/>
            <color indexed="81"/>
            <rFont val="Tahoma"/>
            <family val="2"/>
          </rPr>
          <t>Your description if you typed one, otherwise the name behind the ID.</t>
        </r>
      </text>
    </comment>
    <comment ref="W4" authorId="0">
      <text>
        <r>
          <rPr>
            <sz val="8"/>
            <color indexed="81"/>
            <rFont val="Tahoma"/>
            <family val="2"/>
          </rPr>
          <t>Quantity x price, before anything is taken off.</t>
        </r>
      </text>
    </comment>
    <comment ref="Y4" authorId="0">
      <text>
        <r>
          <rPr>
            <sz val="8"/>
            <color indexed="81"/>
            <rFont val="Tahoma"/>
            <family val="2"/>
          </rPr>
          <t>Gross less discounts less refunds. This is the revenue figure the whole workbook uses.</t>
        </r>
      </text>
    </comment>
    <comment ref="Z4" authorId="0">
      <text>
        <r>
          <rPr>
            <sz val="8"/>
            <color indexed="81"/>
            <rFont val="Tahoma"/>
            <family val="2"/>
          </rPr>
          <t>Worked out from the two switches and the rate on Settings. Set both to No if sales tax is not your problem, or change the rate to your own.</t>
        </r>
      </text>
    </comment>
    <comment ref="AA4" authorId="0">
      <text>
        <r>
          <rPr>
            <sz val="8"/>
            <color indexed="81"/>
            <rFont val="Tahoma"/>
            <family val="2"/>
          </rPr>
          <t>What the client owes for this line, tax included.</t>
        </r>
      </text>
    </comment>
    <comment ref="AB4" authorId="0">
      <text>
        <r>
          <rPr>
            <sz val="8"/>
            <color indexed="81"/>
            <rFont val="Tahoma"/>
            <family val="2"/>
          </rPr>
          <t>Trade cost for retail, backbar cost for a service. Wages and commission are handled on the staff tabs, not here.</t>
        </r>
      </text>
    </comment>
    <comment ref="AD4" authorId="0">
      <text>
        <r>
          <rPr>
            <sz val="8"/>
            <color indexed="81"/>
            <rFont val="Tahoma"/>
            <family val="2"/>
          </rPr>
          <t>Only the first sale line of an appointment picks up that appointment's deposit, so a deposit can never be applied twice.</t>
        </r>
      </text>
    </comment>
    <comment ref="AG4" authorId="0">
      <text>
        <r>
          <rPr>
            <sz val="8"/>
            <color indexed="81"/>
            <rFont val="Tahoma"/>
            <family val="2"/>
          </rPr>
          <t>Payments booked against this sale, plus any deposit taken on the appointment that has not already been applied somewhere else.</t>
        </r>
      </text>
    </comment>
    <comment ref="AH4" authorId="0">
      <text>
        <r>
          <rPr>
            <sz val="8"/>
            <color indexed="81"/>
            <rFont val="Tahoma"/>
            <family val="2"/>
          </rPr>
          <t>Total due less everything paid. Positive is money still owed to you.</t>
        </r>
      </text>
    </comment>
    <comment ref="AJ4" authorId="0">
      <text>
        <r>
          <rPr>
            <sz val="8"/>
            <color indexed="81"/>
            <rFont val="Tahoma"/>
            <family val="2"/>
          </rPr>
          <t>Did this client also take something home that day? The retail attachment rate is built from it.</t>
        </r>
      </text>
    </comment>
    <comment ref="AK4" authorId="0">
      <text>
        <r>
          <rPr>
            <sz val="8"/>
            <color indexed="81"/>
            <rFont val="Tahoma"/>
            <family val="2"/>
          </rPr>
          <t>1 = the largest net.</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day the money moved.</t>
        </r>
      </text>
    </comment>
    <comment ref="E4" authorId="0">
      <text>
        <r>
          <rPr>
            <sz val="8"/>
            <color indexed="81"/>
            <rFont val="Tahoma"/>
            <family val="2"/>
          </rPr>
          <t>Deposit, Balance, Full payment, Retail only, Refund, Gift certificate sale, Package sale or Tip. This column decides how the money is treated everywhere else.</t>
        </r>
      </text>
    </comment>
    <comment ref="F4" authorId="0">
      <text>
        <r>
          <rPr>
            <sz val="8"/>
            <color indexed="81"/>
            <rFont val="Tahoma"/>
            <family val="2"/>
          </rPr>
          <t>Card payments pick up the processing fee from Settings automatically.</t>
        </r>
      </text>
    </comment>
    <comment ref="G4" authorId="0">
      <text>
        <r>
          <rPr>
            <sz val="8"/>
            <color indexed="81"/>
            <rFont val="Tahoma"/>
            <family val="2"/>
          </rPr>
          <t>Always a positive number, even for a refund - the kind column says which way it went.</t>
        </r>
      </text>
    </comment>
    <comment ref="H4" authorId="0">
      <text>
        <r>
          <rPr>
            <sz val="8"/>
            <color indexed="81"/>
            <rFont val="Tahoma"/>
            <family val="2"/>
          </rPr>
          <t>The till line this settles. Fill it in and the payment is applied to that sale.</t>
        </r>
      </text>
    </comment>
    <comment ref="I4" authorId="0">
      <text>
        <r>
          <rPr>
            <sz val="8"/>
            <color indexed="81"/>
            <rFont val="Tahoma"/>
            <family val="2"/>
          </rPr>
          <t>For a deposit taken before there is a sale. When the client comes in, the deposit is applied to the first sale line of that appointment on its own.</t>
        </r>
      </text>
    </comment>
    <comment ref="J4" authorId="0">
      <text>
        <r>
          <rPr>
            <sz val="8"/>
            <color indexed="81"/>
            <rFont val="Tahoma"/>
            <family val="2"/>
          </rPr>
          <t>Who the tip belongs to, or who took the payment.</t>
        </r>
      </text>
    </comment>
    <comment ref="L4" authorId="0">
      <text>
        <r>
          <rPr>
            <sz val="8"/>
            <color indexed="81"/>
            <rFont val="Tahoma"/>
            <family val="2"/>
          </rPr>
          <t>Receipt number, last four digits, transfer reference - whatever you would need to find it again.</t>
        </r>
      </text>
    </comment>
    <comment ref="M4" authorId="0">
      <text>
        <r>
          <rPr>
            <sz val="8"/>
            <color indexed="81"/>
            <rFont val="Tahoma"/>
            <family val="2"/>
          </rPr>
          <t>Tick it off when you have seen it on the bank statement or in the till count.</t>
        </r>
      </text>
    </comment>
    <comment ref="O4" authorId="0">
      <text>
        <r>
          <rPr>
            <sz val="8"/>
            <color indexed="81"/>
            <rFont val="Tahoma"/>
            <family val="2"/>
          </rPr>
          <t>Automatic. Every monthly report groups on this.</t>
        </r>
      </text>
    </comment>
    <comment ref="Q4" authorId="0">
      <text>
        <r>
          <rPr>
            <sz val="8"/>
            <color indexed="81"/>
            <rFont val="Tahoma"/>
            <family val="2"/>
          </rPr>
          <t>Tips belong to the stylist and refunds go the other way, so neither of them pays off a bill.</t>
        </r>
      </text>
    </comment>
    <comment ref="S4" authorId="0">
      <text>
        <r>
          <rPr>
            <sz val="8"/>
            <color indexed="81"/>
            <rFont val="Tahoma"/>
            <family val="2"/>
          </rPr>
          <t>What the card machine keeps. Set the percentage and the fixed part on Settings; it never touches cash or bank transfers.</t>
        </r>
      </text>
    </comment>
    <comment ref="T4" authorId="0">
      <text>
        <r>
          <rPr>
            <sz val="8"/>
            <color indexed="81"/>
            <rFont val="Tahoma"/>
            <family val="2"/>
          </rPr>
          <t>Amount, minus the fee, negative for a refund. Add this column up and you have your cash flow.</t>
        </r>
      </text>
    </comment>
    <comment ref="V4" authorId="0">
      <text>
        <r>
          <rPr>
            <sz val="8"/>
            <color indexed="81"/>
            <rFont val="Tahoma"/>
            <family val="2"/>
          </rPr>
          <t>Unapplied is not wrong - a gift certificate sale or a general payment on account belongs here.</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Automatic. Appointments, sales, commissions and payroll all point at this ID.</t>
        </r>
      </text>
    </comment>
    <comment ref="C4" authorId="0">
      <text>
        <r>
          <rPr>
            <sz val="8"/>
            <color indexed="81"/>
            <rFont val="Tahoma"/>
            <family val="2"/>
          </rPr>
          <t>Stylist, colourist, nail tech, lash artist, front desk, apprentice - whatever you call it.</t>
        </r>
      </text>
    </comment>
    <comment ref="E4" authorId="0">
      <text>
        <r>
          <rPr>
            <sz val="8"/>
            <color indexed="81"/>
            <rFont val="Tahoma"/>
            <family val="2"/>
          </rPr>
          <t>Employed, self-employed, chair renter, apprentice, owner or contractor. Chair renters pay you rent instead of earning commission.</t>
        </r>
      </text>
    </comment>
    <comment ref="J4" authorId="0">
      <text>
        <r>
          <rPr>
            <sz val="8"/>
            <color indexed="81"/>
            <rFont val="Tahoma"/>
            <family val="2"/>
          </rPr>
          <t>Contracted or usual hours on the floor. The utilisation figure divides booked hours by these.</t>
        </r>
      </text>
    </comment>
    <comment ref="K4" authorId="0">
      <text>
        <r>
          <rPr>
            <sz val="8"/>
            <color indexed="81"/>
            <rFont val="Tahoma"/>
            <family val="2"/>
          </rPr>
          <t>Mon, Tue, Thu, Fri, Sat - free text, for the rota at a glance.</t>
        </r>
      </text>
    </comment>
    <comment ref="L4" authorId="0">
      <text>
        <r>
          <rPr>
            <sz val="8"/>
            <color indexed="81"/>
            <rFont val="Tahoma"/>
            <family val="2"/>
          </rPr>
          <t>Yours to choose, per person: none, percent of service, service and retail, percent after product cost, tiered, flat per service, hourly only, or rent a chair. The commissions tab follows whatever you pick here.</t>
        </r>
      </text>
    </comment>
    <comment ref="M4" authorId="0">
      <text>
        <r>
          <rPr>
            <sz val="8"/>
            <color indexed="81"/>
            <rFont val="Tahoma"/>
            <family val="2"/>
          </rPr>
          <t>Leave blank to use the salon default on Settings.</t>
        </r>
      </text>
    </comment>
    <comment ref="O4" authorId="0">
      <text>
        <r>
          <rPr>
            <sz val="8"/>
            <color indexed="81"/>
            <rFont val="Tahoma"/>
            <family val="2"/>
          </rPr>
          <t>Only used by the 'flat amount per service' method.</t>
        </r>
      </text>
    </comment>
    <comment ref="P4" authorId="0">
      <text>
        <r>
          <rPr>
            <sz val="8"/>
            <color indexed="81"/>
            <rFont val="Tahoma"/>
            <family val="2"/>
          </rPr>
          <t>Blank uses the default hourly rate on Settings.</t>
        </r>
      </text>
    </comment>
    <comment ref="Q4" authorId="0">
      <text>
        <r>
          <rPr>
            <sz val="8"/>
            <color indexed="81"/>
            <rFont val="Tahoma"/>
            <family val="2"/>
          </rPr>
          <t>Weekly rent for a chair renter. It is income to the salon, not a cost - log the money itself on the Sales tab as kind Other.</t>
        </r>
      </text>
    </comment>
    <comment ref="R4" authorId="0">
      <text>
        <r>
          <rPr>
            <sz val="8"/>
            <color indexed="81"/>
            <rFont val="Tahoma"/>
            <family val="2"/>
          </rPr>
          <t>What you expect this person to bill in a month.</t>
        </r>
      </text>
    </comment>
    <comment ref="W4" authorId="0">
      <text>
        <r>
          <rPr>
            <sz val="8"/>
            <color indexed="81"/>
            <rFont val="Tahoma"/>
            <family val="2"/>
          </rPr>
          <t>Clients who have this stylist down as their usual.</t>
        </r>
      </text>
    </comment>
    <comment ref="X4" authorId="0">
      <text>
        <r>
          <rPr>
            <sz val="8"/>
            <color indexed="81"/>
            <rFont val="Tahoma"/>
            <family val="2"/>
          </rPr>
          <t>Chair hours actually worked in the last four weeks.</t>
        </r>
      </text>
    </comment>
    <comment ref="Z4" authorId="0">
      <text>
        <r>
          <rPr>
            <sz val="8"/>
            <color indexed="81"/>
            <rFont val="Tahoma"/>
            <family val="2"/>
          </rPr>
          <t>Hours booked against hours available, last four weeks. Below half means an empty chair you are paying for.</t>
        </r>
      </text>
    </comment>
    <comment ref="AG4" authorId="0">
      <text>
        <r>
          <rPr>
            <sz val="8"/>
            <color indexed="81"/>
            <rFont val="Tahoma"/>
            <family val="2"/>
          </rPr>
          <t>How much of this stylist's money comes from product. The easiest number in the salon to improve.</t>
        </r>
      </text>
    </comment>
    <comment ref="AI4" authorId="0">
      <text>
        <r>
          <rPr>
            <sz val="8"/>
            <color indexed="81"/>
            <rFont val="Tahoma"/>
            <family val="2"/>
          </rPr>
          <t>How often their clients leave with the next appointment already in the book.</t>
        </r>
      </text>
    </comment>
    <comment ref="AK4" authorId="0">
      <text>
        <r>
          <rPr>
            <sz val="8"/>
            <color indexed="81"/>
            <rFont val="Tahoma"/>
            <family val="2"/>
          </rPr>
          <t>Everything calculated for this person on the commissions tab.</t>
        </r>
      </text>
    </comment>
    <comment ref="AL4" authorId="0">
      <text>
        <r>
          <rPr>
            <sz val="8"/>
            <color indexed="81"/>
            <rFont val="Tahoma"/>
            <family val="2"/>
          </rPr>
          <t>From the payroll tab - wages, commission and the employer costs on top.</t>
        </r>
      </text>
    </comment>
    <comment ref="AM4" authorId="0">
      <text>
        <r>
          <rPr>
            <sz val="8"/>
            <color indexed="81"/>
            <rFont val="Tahoma"/>
            <family val="2"/>
          </rPr>
          <t>This month's sales less this month's pay. What is left to cover the rent and everything else.</t>
        </r>
      </text>
    </comment>
    <comment ref="AN4" authorId="0">
      <text>
        <r>
          <rPr>
            <sz val="8"/>
            <color indexed="81"/>
            <rFont val="Tahoma"/>
            <family val="2"/>
          </rPr>
          <t>1 = the largest rev_total.</t>
        </r>
      </text>
    </comment>
  </commentList>
</comments>
</file>

<file path=xl/comments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month this covers, as yyyy-mm. Pick it from the list so it matches the sales tab exactly.</t>
        </r>
      </text>
    </comment>
    <comment ref="E4" authorId="0">
      <text>
        <r>
          <rPr>
            <sz val="8"/>
            <color indexed="81"/>
            <rFont val="Tahoma"/>
            <family val="2"/>
          </rPr>
          <t>Taken from the Staff tab. Change it there and this month recalculates.</t>
        </r>
      </text>
    </comment>
    <comment ref="F4" authorId="0">
      <text>
        <r>
          <rPr>
            <sz val="8"/>
            <color indexed="81"/>
            <rFont val="Tahoma"/>
            <family val="2"/>
          </rPr>
          <t>A correction, a clawback on a refund, a guarantee top-up. Plus or minus.</t>
        </r>
      </text>
    </comment>
    <comment ref="G4" authorId="0">
      <text>
        <r>
          <rPr>
            <sz val="8"/>
            <color indexed="81"/>
            <rFont val="Tahoma"/>
            <family val="2"/>
          </rPr>
          <t>Anything on top - a retail competition, a full column bonus.</t>
        </r>
      </text>
    </comment>
    <comment ref="I4" authorId="0">
      <text>
        <r>
          <rPr>
            <sz val="8"/>
            <color indexed="81"/>
            <rFont val="Tahoma"/>
            <family val="2"/>
          </rPr>
          <t>Leave blank until it has actually gone out.</t>
        </r>
      </text>
    </comment>
    <comment ref="O4" authorId="0">
      <text>
        <r>
          <rPr>
            <sz val="8"/>
            <color indexed="81"/>
            <rFont val="Tahoma"/>
            <family val="2"/>
          </rPr>
          <t>Backbar cost of the services they did - the figure the 'percent after product cost' method takes off first.</t>
        </r>
      </text>
    </comment>
    <comment ref="Q4" authorId="0">
      <text>
        <r>
          <rPr>
            <sz val="8"/>
            <color indexed="81"/>
            <rFont val="Tahoma"/>
            <family val="2"/>
          </rPr>
          <t>Which figure commission is paid on is your choice - set it once on Settings, net of discounts or gross before them.</t>
        </r>
      </text>
    </comment>
    <comment ref="S4" authorId="0">
      <text>
        <r>
          <rPr>
            <sz val="8"/>
            <color indexed="81"/>
            <rFont val="Tahoma"/>
            <family val="2"/>
          </rPr>
          <t>Their own rate if they have one, otherwise the salon default. On the tiered method it is read from the bands on Settings instead.</t>
        </r>
      </text>
    </comment>
    <comment ref="V4" authorId="0">
      <text>
        <r>
          <rPr>
            <sz val="8"/>
            <color indexed="81"/>
            <rFont val="Tahoma"/>
            <family val="2"/>
          </rPr>
          <t>Eligible revenue x the rate, exactly as the method says. None, hourly only and rent a chair all come out at zero here on purpose - those people are paid on the payroll tab or pay you rent instead.</t>
        </r>
      </text>
    </comment>
    <comment ref="W4" authorId="0">
      <text>
        <r>
          <rPr>
            <sz val="8"/>
            <color indexed="81"/>
            <rFont val="Tahoma"/>
            <family val="2"/>
          </rPr>
          <t>Tips logged to this stylist. They are theirs - shown here so the payout is complete, kept out of salon revenue everywhere else.</t>
        </r>
      </text>
    </comment>
    <comment ref="X4" authorId="0">
      <text>
        <r>
          <rPr>
            <sz val="8"/>
            <color indexed="81"/>
            <rFont val="Tahoma"/>
            <family val="2"/>
          </rPr>
          <t>Commission plus adjustments and bonus. Tips are not added in - they are not yours to pay.</t>
        </r>
      </text>
    </comment>
    <comment ref="Y4" authorId="0">
      <text>
        <r>
          <rPr>
            <sz val="8"/>
            <color indexed="81"/>
            <rFont val="Tahoma"/>
            <family val="2"/>
          </rPr>
          <t>What this month costs you as a percentage of what they billed. Over about 45% is worth a conversation.</t>
        </r>
      </text>
    </comment>
    <comment ref="Z4" authorId="0">
      <text>
        <r>
          <rPr>
            <sz val="8"/>
            <color indexed="81"/>
            <rFont val="Tahoma"/>
            <family val="2"/>
          </rPr>
          <t>1 = the largest commission.</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last day of the pay period. Everything on this tab is grouped by the month this date falls in.</t>
        </r>
      </text>
    </comment>
    <comment ref="C4" authorId="0">
      <text>
        <r>
          <rPr>
            <sz val="8"/>
            <color indexed="81"/>
            <rFont val="Tahoma"/>
            <family val="2"/>
          </rPr>
          <t>Weekly, fortnightly, monthly, four weekly or one off - label only, so your runs can be whatever shape they really are.</t>
        </r>
      </text>
    </comment>
    <comment ref="F4" authorId="0">
      <text>
        <r>
          <rPr>
            <sz val="8"/>
            <color indexed="81"/>
            <rFont val="Tahoma"/>
            <family val="2"/>
          </rPr>
          <t>Hours actually worked in this period.</t>
        </r>
      </text>
    </comment>
    <comment ref="G4" authorId="0">
      <text>
        <r>
          <rPr>
            <sz val="8"/>
            <color indexed="81"/>
            <rFont val="Tahoma"/>
            <family val="2"/>
          </rPr>
          <t>Leave blank to use their rate from the Staff tab, or the salon default if they have none.</t>
        </r>
      </text>
    </comment>
    <comment ref="H4" authorId="0">
      <text>
        <r>
          <rPr>
            <sz val="8"/>
            <color indexed="81"/>
            <rFont val="Tahoma"/>
            <family val="2"/>
          </rPr>
          <t>What you are releasing this run. The column beside it shows what the commissions tab calculated for the whole month, so you can see what is left.</t>
        </r>
      </text>
    </comment>
    <comment ref="I4" authorId="0">
      <text>
        <r>
          <rPr>
            <sz val="8"/>
            <color indexed="81"/>
            <rFont val="Tahoma"/>
            <family val="2"/>
          </rPr>
          <t>Tips handed over with this run. They are the stylist's money passing through, so they are kept out of the salon's wage cost.</t>
        </r>
      </text>
    </comment>
    <comment ref="L4" authorId="0">
      <text>
        <r>
          <rPr>
            <sz val="8"/>
            <color indexed="81"/>
            <rFont val="Tahoma"/>
            <family val="2"/>
          </rPr>
          <t>Anything taken off before it is paid - a product account, a uniform, an advance.</t>
        </r>
      </text>
    </comment>
    <comment ref="Q4" authorId="0">
      <text>
        <r>
          <rPr>
            <sz val="8"/>
            <color indexed="81"/>
            <rFont val="Tahoma"/>
            <family val="2"/>
          </rPr>
          <t>Automatic. Every monthly report groups on this.</t>
        </r>
      </text>
    </comment>
    <comment ref="U4" authorId="0">
      <text>
        <r>
          <rPr>
            <sz val="8"/>
            <color indexed="81"/>
            <rFont val="Tahoma"/>
            <family val="2"/>
          </rPr>
          <t>Hourly pay plus commission, bonus and holiday pay. Tips are not in here - they were never yours.</t>
        </r>
      </text>
    </comment>
    <comment ref="V4" authorId="0">
      <text>
        <r>
          <rPr>
            <sz val="8"/>
            <color indexed="81"/>
            <rFont val="Tahoma"/>
            <family val="2"/>
          </rPr>
          <t>Before income tax and any statutory deductions - this workbook does not calculate those.</t>
        </r>
      </text>
    </comment>
    <comment ref="W4" authorId="0">
      <text>
        <r>
          <rPr>
            <sz val="8"/>
            <color indexed="81"/>
            <rFont val="Tahoma"/>
            <family val="2"/>
          </rPr>
          <t>What physically leaves you on pay day, tips included.</t>
        </r>
      </text>
    </comment>
    <comment ref="X4" authorId="0">
      <text>
        <r>
          <rPr>
            <sz val="8"/>
            <color indexed="81"/>
            <rFont val="Tahoma"/>
            <family val="2"/>
          </rPr>
          <t>Employer tax, insurance and holiday accrual at the percentage on Settings. Self-employed stylists and chair renters carry none.</t>
        </r>
      </text>
    </comment>
    <comment ref="Y4" authorId="0">
      <text>
        <r>
          <rPr>
            <sz val="8"/>
            <color indexed="81"/>
            <rFont val="Tahoma"/>
            <family val="2"/>
          </rPr>
          <t>Gross pay plus employer costs. This is the figure the profit and loss uses for wages.</t>
        </r>
      </text>
    </comment>
    <comment ref="AB4" authorId="0">
      <text>
        <r>
          <rPr>
            <sz val="8"/>
            <color indexed="81"/>
            <rFont val="Tahoma"/>
            <family val="2"/>
          </rPr>
          <t>This month's calculated commission less everything already released in the month's pay runs. Zero means you are square; negative means you have overpaid.</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day the cost belongs to, not necessarily the day it leaves the bank.</t>
        </r>
      </text>
    </comment>
    <comment ref="C4" authorId="0">
      <text>
        <r>
          <rPr>
            <sz val="8"/>
            <color indexed="81"/>
            <rFont val="Tahoma"/>
            <family val="2"/>
          </rPr>
          <t>These are the lines of your profit and loss and the rows of your budget. Keep to the list.</t>
        </r>
      </text>
    </comment>
    <comment ref="D4" authorId="0">
      <text>
        <r>
          <rPr>
            <sz val="8"/>
            <color indexed="81"/>
            <rFont val="Tahoma"/>
            <family val="2"/>
          </rPr>
          <t>Landlord, wholesaler, the council, the card processor.</t>
        </r>
      </text>
    </comment>
    <comment ref="F4" authorId="0">
      <text>
        <r>
          <rPr>
            <sz val="8"/>
            <color indexed="81"/>
            <rFont val="Tahoma"/>
            <family val="2"/>
          </rPr>
          <t>Before tax, if you can reclaim it. Including tax if you cannot - just be consistent.</t>
        </r>
      </text>
    </comment>
    <comment ref="G4" authorId="0">
      <text>
        <r>
          <rPr>
            <sz val="8"/>
            <color indexed="81"/>
            <rFont val="Tahoma"/>
            <family val="2"/>
          </rPr>
          <t>Sales tax or VAT on the bill, if you track it separately.</t>
        </r>
      </text>
    </comment>
    <comment ref="I4" authorId="0">
      <text>
        <r>
          <rPr>
            <sz val="8"/>
            <color indexed="81"/>
            <rFont val="Tahoma"/>
            <family val="2"/>
          </rPr>
          <t>Yes for anything that comes round again - rent, insurance, software, the music licence.</t>
        </r>
      </text>
    </comment>
    <comment ref="J4" authorId="0">
      <text>
        <r>
          <rPr>
            <sz val="8"/>
            <color indexed="81"/>
            <rFont val="Tahoma"/>
            <family val="2"/>
          </rPr>
          <t>Only used when recurring is Yes. It is what turns a yearly insurance bill into a monthly overhead.</t>
        </r>
      </text>
    </comment>
    <comment ref="K4" authorId="0">
      <text>
        <r>
          <rPr>
            <sz val="8"/>
            <color indexed="81"/>
            <rFont val="Tahoma"/>
            <family val="2"/>
          </rPr>
          <t>When it has to be paid by. Leave blank for anything already settled.</t>
        </r>
      </text>
    </comment>
    <comment ref="N4" authorId="0">
      <text>
        <r>
          <rPr>
            <sz val="8"/>
            <color indexed="81"/>
            <rFont val="Tahoma"/>
            <family val="2"/>
          </rPr>
          <t>Invoice or receipt number - the thing your accountant will ask for.</t>
        </r>
      </text>
    </comment>
    <comment ref="P4" authorId="0">
      <text>
        <r>
          <rPr>
            <sz val="8"/>
            <color indexed="81"/>
            <rFont val="Tahoma"/>
            <family val="2"/>
          </rPr>
          <t>Automatic. Every monthly report groups on this.</t>
        </r>
      </text>
    </comment>
    <comment ref="R4" authorId="0">
      <text>
        <r>
          <rPr>
            <sz val="8"/>
            <color indexed="81"/>
            <rFont val="Tahoma"/>
            <family val="2"/>
          </rPr>
          <t>Amount plus tax. The profit and loss uses the amount; this column is what actually left the bank.</t>
        </r>
      </text>
    </comment>
    <comment ref="S4" authorId="0">
      <text>
        <r>
          <rPr>
            <sz val="8"/>
            <color indexed="81"/>
            <rFont val="Tahoma"/>
            <family val="2"/>
          </rPr>
          <t>A yearly bill spread over twelve months, a weekly one multiplied up. Add this column and you have your fixed monthly overhead.</t>
        </r>
      </text>
    </comment>
    <comment ref="W4" authorId="0">
      <text>
        <r>
          <rPr>
            <sz val="8"/>
            <color indexed="81"/>
            <rFont val="Tahoma"/>
            <family val="2"/>
          </rPr>
          <t>The monthly budget for this category, from the Goals &amp; Budget tab.</t>
        </r>
      </text>
    </comment>
    <comment ref="X4" authorId="0">
      <text>
        <r>
          <rPr>
            <sz val="8"/>
            <color indexed="81"/>
            <rFont val="Tahoma"/>
            <family val="2"/>
          </rPr>
          <t>1 = the largest total.</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Retail lines and backbar lines are both welcome here - the category keeps them apart.</t>
        </r>
      </text>
    </comment>
    <comment ref="E4" authorId="0">
      <text>
        <r>
          <rPr>
            <sz val="8"/>
            <color indexed="81"/>
            <rFont val="Tahoma"/>
            <family val="2"/>
          </rPr>
          <t>250ml, 100g, a tube, a box of 50.</t>
        </r>
      </text>
    </comment>
    <comment ref="G4" authorId="0">
      <text>
        <r>
          <rPr>
            <sz val="8"/>
            <color indexed="81"/>
            <rFont val="Tahoma"/>
            <family val="2"/>
          </rPr>
          <t>From the supplier list at the bottom of the Suppliers &amp; Purchases tab.</t>
        </r>
      </text>
    </comment>
    <comment ref="H4" authorId="0">
      <text>
        <r>
          <rPr>
            <sz val="8"/>
            <color indexed="81"/>
            <rFont val="Tahoma"/>
            <family val="2"/>
          </rPr>
          <t>What you pay, per unit, delivered.</t>
        </r>
      </text>
    </comment>
    <comment ref="I4" authorId="0">
      <text>
        <r>
          <rPr>
            <sz val="8"/>
            <color indexed="81"/>
            <rFont val="Tahoma"/>
            <family val="2"/>
          </rPr>
          <t>What the client pays. Leave blank for backbar stock that is never sold.</t>
        </r>
      </text>
    </comment>
    <comment ref="J4" authorId="0">
      <text>
        <r>
          <rPr>
            <sz val="8"/>
            <color indexed="81"/>
            <rFont val="Tahoma"/>
            <family val="2"/>
          </rPr>
          <t>What was on the shelf when you started using this workbook. Set it once; after that let the movements do the work.</t>
        </r>
      </text>
    </comment>
    <comment ref="K4" authorId="0">
      <text>
        <r>
          <rPr>
            <sz val="8"/>
            <color indexed="81"/>
            <rFont val="Tahoma"/>
            <family val="2"/>
          </rPr>
          <t>Backbar usage - tubes of colour, lash trays, wax pots. Count it monthly rather than per client.</t>
        </r>
      </text>
    </comment>
    <comment ref="L4" authorId="0">
      <text>
        <r>
          <rPr>
            <sz val="8"/>
            <color indexed="81"/>
            <rFont val="Tahoma"/>
            <family val="2"/>
          </rPr>
          <t>Spilt, expired, broken, given away.</t>
        </r>
      </text>
    </comment>
    <comment ref="M4" authorId="0">
      <text>
        <r>
          <rPr>
            <sz val="8"/>
            <color indexed="81"/>
            <rFont val="Tahoma"/>
            <family val="2"/>
          </rPr>
          <t>The honest column. Plus or minus whatever it takes to match the real count, with a note saying why.</t>
        </r>
      </text>
    </comment>
    <comment ref="N4" authorId="0">
      <text>
        <r>
          <rPr>
            <sz val="8"/>
            <color indexed="81"/>
            <rFont val="Tahoma"/>
            <family val="2"/>
          </rPr>
          <t>The point at which you want to be told. Blank means the workbook works one out from how fast it sells.</t>
        </r>
      </text>
    </comment>
    <comment ref="Q4" authorId="0">
      <text>
        <r>
          <rPr>
            <sz val="8"/>
            <color indexed="81"/>
            <rFont val="Tahoma"/>
            <family val="2"/>
          </rPr>
          <t>For developer, lash adhesive, anything with a shelf life.</t>
        </r>
      </text>
    </comment>
    <comment ref="R4" authorId="0">
      <text>
        <r>
          <rPr>
            <sz val="8"/>
            <color indexed="81"/>
            <rFont val="Tahoma"/>
            <family val="2"/>
          </rPr>
          <t>No for pure backbar stock, so it stays out of the retail figures.</t>
        </r>
      </text>
    </comment>
    <comment ref="T4" authorId="0">
      <text>
        <r>
          <rPr>
            <sz val="8"/>
            <color indexed="81"/>
            <rFont val="Tahoma"/>
            <family val="2"/>
          </rPr>
          <t>Everything booked in on the purchases tab.</t>
        </r>
      </text>
    </comment>
    <comment ref="U4" authorId="0">
      <text>
        <r>
          <rPr>
            <sz val="8"/>
            <color indexed="81"/>
            <rFont val="Tahoma"/>
            <family val="2"/>
          </rPr>
          <t>Units that went out through the till.</t>
        </r>
      </text>
    </comment>
    <comment ref="V4" authorId="0">
      <text>
        <r>
          <rPr>
            <sz val="8"/>
            <color indexed="81"/>
            <rFont val="Tahoma"/>
            <family val="2"/>
          </rPr>
          <t>Opening + received - used - sold - waste + adjustments. Nothing hidden.</t>
        </r>
      </text>
    </comment>
    <comment ref="W4" authorId="0">
      <text>
        <r>
          <rPr>
            <sz val="8"/>
            <color indexed="81"/>
            <rFont val="Tahoma"/>
            <family val="2"/>
          </rPr>
          <t>Average weekly movement since you started tracking.</t>
        </r>
      </text>
    </comment>
    <comment ref="X4" authorId="0">
      <text>
        <r>
          <rPr>
            <sz val="8"/>
            <color indexed="81"/>
            <rFont val="Tahoma"/>
            <family val="2"/>
          </rPr>
          <t>At the current rate. Under the warning level on Settings and it goes red.</t>
        </r>
      </text>
    </comment>
    <comment ref="AA4" authorId="0">
      <text>
        <r>
          <rPr>
            <sz val="8"/>
            <color indexed="81"/>
            <rFont val="Tahoma"/>
            <family val="2"/>
          </rPr>
          <t>Your order quantity if you set one, otherwise enough to cover the reorder window on Settings.</t>
        </r>
      </text>
    </comment>
    <comment ref="AB4" authorId="0">
      <text>
        <r>
          <rPr>
            <sz val="8"/>
            <color indexed="81"/>
            <rFont val="Tahoma"/>
            <family val="2"/>
          </rPr>
          <t>What is sitting on the shelf, in money. Usually a bigger number than anybody expects.</t>
        </r>
      </text>
    </comment>
    <comment ref="AF4" authorId="0">
      <text>
        <r>
          <rPr>
            <sz val="8"/>
            <color indexed="81"/>
            <rFont val="Tahoma"/>
            <family val="2"/>
          </rPr>
          <t>Cost x the retail markup on Settings, rounded by your rounding rule.</t>
        </r>
      </text>
    </comment>
    <comment ref="AI4" authorId="0">
      <text>
        <r>
          <rPr>
            <sz val="8"/>
            <color indexed="81"/>
            <rFont val="Tahoma"/>
            <family val="2"/>
          </rPr>
          <t>1 = the largest revenue.</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From the supplier book at the bottom of this tab.</t>
        </r>
      </text>
    </comment>
    <comment ref="D4" authorId="0">
      <text>
        <r>
          <rPr>
            <sz val="8"/>
            <color indexed="81"/>
            <rFont val="Tahoma"/>
            <family val="2"/>
          </rPr>
          <t>The inventory ID. One line per product, as on the invoice.</t>
        </r>
      </text>
    </comment>
    <comment ref="G4" authorId="0">
      <text>
        <r>
          <rPr>
            <sz val="8"/>
            <color indexed="81"/>
            <rFont val="Tahoma"/>
            <family val="2"/>
          </rPr>
          <t>What this order charged. Leave blank to use the cost on the inventory tab.</t>
        </r>
      </text>
    </comment>
    <comment ref="J4" authorId="0">
      <text>
        <r>
          <rPr>
            <sz val="8"/>
            <color indexed="81"/>
            <rFont val="Tahoma"/>
            <family val="2"/>
          </rPr>
          <t>Nothing counts into stock until this says Received or Part received.</t>
        </r>
      </text>
    </comment>
    <comment ref="M4" authorId="0">
      <text>
        <r>
          <rPr>
            <sz val="8"/>
            <color indexed="81"/>
            <rFont val="Tahoma"/>
            <family val="2"/>
          </rPr>
          <t>Only needed when a delivery is short. Blank means all of it arrived.</t>
        </r>
      </text>
    </comment>
    <comment ref="Q4" authorId="0">
      <text>
        <r>
          <rPr>
            <sz val="8"/>
            <color indexed="81"/>
            <rFont val="Tahoma"/>
            <family val="2"/>
          </rPr>
          <t>Automatic. Every monthly report groups on this.</t>
        </r>
      </text>
    </comment>
    <comment ref="U4" authorId="0">
      <text>
        <r>
          <rPr>
            <sz val="8"/>
            <color indexed="81"/>
            <rFont val="Tahoma"/>
            <family val="2"/>
          </rPr>
          <t>What the inventory tab counts as received. Draft and ordered lines add nothing until they land.</t>
        </r>
      </text>
    </comment>
    <comment ref="X4" authorId="0">
      <text>
        <r>
          <rPr>
            <sz val="8"/>
            <color indexed="81"/>
            <rFont val="Tahoma"/>
            <family val="2"/>
          </rPr>
          <t>This order against the cost on file. A positive number is a price rise you may not have noticed.</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What you would call it out loud - 'January colour offer', 'refer a friend', 'Tuesday blow dry'.</t>
        </r>
      </text>
    </comment>
    <comment ref="D4" authorId="0">
      <text>
        <r>
          <rPr>
            <sz val="8"/>
            <color indexed="81"/>
            <rFont val="Tahoma"/>
            <family val="2"/>
          </rPr>
          <t>20% off a first colour, free treatment with a cut, two for one on Tuesdays.</t>
        </r>
      </text>
    </comment>
    <comment ref="E4" authorId="0">
      <text>
        <r>
          <rPr>
            <sz val="8"/>
            <color indexed="81"/>
            <rFont val="Tahoma"/>
            <family val="2"/>
          </rPr>
          <t>The code you type on the Sales tab. This is what links the money back to the campaign - keep it short and keep it unique.</t>
        </r>
      </text>
    </comment>
    <comment ref="H4" authorId="0">
      <text>
        <r>
          <rPr>
            <sz val="8"/>
            <color indexed="81"/>
            <rFont val="Tahoma"/>
            <family val="2"/>
          </rPr>
          <t>Ads, print, the influencer's treatment at cost, the hour you spent making the reel.</t>
        </r>
      </text>
    </comment>
    <comment ref="K4" authorId="0">
      <text>
        <r>
          <rPr>
            <sz val="8"/>
            <color indexed="81"/>
            <rFont val="Tahoma"/>
            <family val="2"/>
          </rPr>
          <t>Worth a sentence while it is fresh. Next January you will want to know whether it was worth repeating.</t>
        </r>
      </text>
    </comment>
    <comment ref="L4" authorId="0">
      <text>
        <r>
          <rPr>
            <sz val="8"/>
            <color indexed="81"/>
            <rFont val="Tahoma"/>
            <family val="2"/>
          </rPr>
          <t>Automatic. Every monthly report groups on this.</t>
        </r>
      </text>
    </comment>
    <comment ref="M4" authorId="0">
      <text>
        <r>
          <rPr>
            <sz val="8"/>
            <color indexed="81"/>
            <rFont val="Tahoma"/>
            <family val="2"/>
          </rPr>
          <t>Sales lines carrying this code.</t>
        </r>
      </text>
    </comment>
    <comment ref="N4" authorId="0">
      <text>
        <r>
          <rPr>
            <sz val="8"/>
            <color indexed="81"/>
            <rFont val="Tahoma"/>
            <family val="2"/>
          </rPr>
          <t>Net sales on those lines - after the discount the offer gave away.</t>
        </r>
      </text>
    </comment>
    <comment ref="Q4" authorId="0">
      <text>
        <r>
          <rPr>
            <sz val="8"/>
            <color indexed="81"/>
            <rFont val="Tahoma"/>
            <family val="2"/>
          </rPr>
          <t>Clients whose 'found you by' matches this channel and whose first visit falls inside the dates.</t>
        </r>
      </text>
    </comment>
    <comment ref="S4" authorId="0">
      <text>
        <r>
          <rPr>
            <sz val="8"/>
            <color indexed="81"/>
            <rFont val="Tahoma"/>
            <family val="2"/>
          </rPr>
          <t>What you paid out plus what you gave away. Both are the cost of the offer.</t>
        </r>
      </text>
    </comment>
    <comment ref="U4" authorId="0">
      <text>
        <r>
          <rPr>
            <sz val="8"/>
            <color indexed="81"/>
            <rFont val="Tahoma"/>
            <family val="2"/>
          </rPr>
          <t>What you got back for every pound or dollar the campaign cost. 100% means it doubled its money.</t>
        </r>
      </text>
    </comment>
    <comment ref="V4" authorId="0">
      <text>
        <r>
          <rPr>
            <sz val="8"/>
            <color indexed="81"/>
            <rFont val="Tahoma"/>
            <family val="2"/>
          </rPr>
          <t>Over the price of an average visit means the campaign only pays if they come back - which is exactly what the retention tab is for.</t>
        </r>
      </text>
    </comment>
    <comment ref="X4" authorId="0">
      <text>
        <r>
          <rPr>
            <sz val="8"/>
            <color indexed="81"/>
            <rFont val="Tahoma"/>
            <family val="2"/>
          </rPr>
          <t>1 = the largest revenue.</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One row per client on the scheme.</t>
        </r>
      </text>
    </comment>
    <comment ref="E4" authorId="0">
      <text>
        <r>
          <rPr>
            <sz val="8"/>
            <color indexed="81"/>
            <rFont val="Tahoma"/>
            <family val="2"/>
          </rPr>
          <t>Only if you use physical cards. Otherwise leave it blank - the client ID is enough.</t>
        </r>
      </text>
    </comment>
    <comment ref="F4" authorId="0">
      <text>
        <r>
          <rPr>
            <sz val="8"/>
            <color indexed="81"/>
            <rFont val="Tahoma"/>
            <family val="2"/>
          </rPr>
          <t>Points you have handed out by hand - a birthday gift, an apology, a launch promotion.</t>
        </r>
      </text>
    </comment>
    <comment ref="G4" authorId="0">
      <text>
        <r>
          <rPr>
            <sz val="8"/>
            <color indexed="81"/>
            <rFont val="Tahoma"/>
            <family val="2"/>
          </rPr>
          <t>Total points spent so far. Add to this number each time a reward is taken.</t>
        </r>
      </text>
    </comment>
    <comment ref="J4" authorId="0">
      <text>
        <r>
          <rPr>
            <sz val="8"/>
            <color indexed="81"/>
            <rFont val="Tahoma"/>
            <family val="2"/>
          </rPr>
          <t>What you have already given them for sending people in.</t>
        </r>
      </text>
    </comment>
    <comment ref="M4" authorId="0">
      <text>
        <r>
          <rPr>
            <sz val="8"/>
            <color indexed="81"/>
            <rFont val="Tahoma"/>
            <family val="2"/>
          </rPr>
          <t>Everything they have spent since joining - services and retail.</t>
        </r>
      </text>
    </comment>
    <comment ref="O4" authorId="0">
      <text>
        <r>
          <rPr>
            <sz val="8"/>
            <color indexed="81"/>
            <rFont val="Tahoma"/>
            <family val="2"/>
          </rPr>
          <t>Spend x the points rate on Settings, plus any bonus points.</t>
        </r>
      </text>
    </comment>
    <comment ref="P4" authorId="0">
      <text>
        <r>
          <rPr>
            <sz val="8"/>
            <color indexed="81"/>
            <rFont val="Tahoma"/>
            <family val="2"/>
          </rPr>
          <t>Earned less redeemed. This is the number the client cares about.</t>
        </r>
      </text>
    </comment>
    <comment ref="R4" authorId="0">
      <text>
        <r>
          <rPr>
            <sz val="8"/>
            <color indexed="81"/>
            <rFont val="Tahoma"/>
            <family val="2"/>
          </rPr>
          <t>What those points are worth if they cash them in today. Worth knowing before you run a double points week.</t>
        </r>
      </text>
    </comment>
    <comment ref="S4" authorId="0">
      <text>
        <r>
          <rPr>
            <sz val="8"/>
            <color indexed="81"/>
            <rFont val="Tahoma"/>
            <family val="2"/>
          </rPr>
          <t>The number to tell them at the desk. 'Forty more points and your next treatment is on us.'</t>
        </r>
      </text>
    </comment>
    <comment ref="T4" authorId="0">
      <text>
        <r>
          <rPr>
            <sz val="8"/>
            <color indexed="81"/>
            <rFont val="Tahoma"/>
            <family val="2"/>
          </rPr>
          <t>Counted from the 'referred by' column on the Clients tab.</t>
        </r>
      </text>
    </comment>
    <comment ref="W4" authorId="0">
      <text>
        <r>
          <rPr>
            <sz val="8"/>
            <color indexed="81"/>
            <rFont val="Tahoma"/>
            <family val="2"/>
          </rPr>
          <t>1 = the largest balance.</t>
        </r>
      </text>
    </comment>
  </commentList>
</comments>
</file>

<file path=xl/sharedStrings.xml><?xml version="1.0" encoding="utf-8"?>
<sst xmlns="http://schemas.openxmlformats.org/spreadsheetml/2006/main" count="1774" uniqueCount="1110">
  <si>
    <t>Salon Business Management Spreadsheet</t>
  </si>
  <si>
    <t>Novality Store  |  v1.0.0</t>
  </si>
  <si>
    <t>A complete salon business system in one spreadsheet - diary, clients, prices, takings, staff pay, stock and profit.</t>
  </si>
  <si>
    <t>&gt; Start Here</t>
  </si>
  <si>
    <t>&gt; Dashboard</t>
  </si>
  <si>
    <t>&gt; Diary</t>
  </si>
  <si>
    <t>&gt; Clients</t>
  </si>
  <si>
    <t>&gt; Services</t>
  </si>
  <si>
    <t>Everything in this workbook is worked out from four tabs you fill in as you go: the diary, the till, the expenses and the pay runs. Fill those honestly and the dashboard, the profit and loss and the reports look after themselves.</t>
  </si>
  <si>
    <t>Setting up, in six steps</t>
  </si>
  <si>
    <t>1. Settings first</t>
  </si>
  <si>
    <t>Open the Settings tab and work down it: salon name, currency, tax rate and what tax applies to, deposit rule, rounding, the commission defaults and your targets. Ten minutes here saves every other tab from guessing.</t>
  </si>
  <si>
    <t>2. Put your menu in</t>
  </si>
  <si>
    <t>On the Services tab, type each treatment with its price, how many minutes it takes and what the product costs you. The minutes matter as much as the price - that is what turns a price list into a profit list.</t>
  </si>
  <si>
    <t>3. Add the team</t>
  </si>
  <si>
    <t>On the Staff tab, add everyone and pick their commission method. Nothing is assumed: commission only, hourly, a flat amount per service, tiered, a chair renter who pays you rent, or none at all.</t>
  </si>
  <si>
    <t>4. Bring the clients across</t>
  </si>
  <si>
    <t>Paste or type your client list - name, phone, email and the 'found you by' column. Everything else fills itself in as you start logging visits.</t>
  </si>
  <si>
    <t>5. Work the diary and the till</t>
  </si>
  <si>
    <t>Log appointments as you book them and sales as you ring them up. A deposit goes on the Payments tab against the booking; it is applied to the bill when the client comes in, so it can never be counted as revenue twice.</t>
  </si>
  <si>
    <t>6. Once a month</t>
  </si>
  <si>
    <t>Add a commission row per stylist, run the payroll rows, log the bills on Expenses, count the stock, and read the Profit &amp; Loss. Twenty minutes, and you know exactly how the month went.</t>
  </si>
  <si>
    <t>What is on each tab</t>
  </si>
  <si>
    <t>Tab</t>
  </si>
  <si>
    <t>What it is for</t>
  </si>
  <si>
    <t>You</t>
  </si>
  <si>
    <t>Dashboard</t>
  </si>
  <si>
    <t>The month at a glance: takings against target, average ticket, utilisation, rebooking, and the jobs that need doing today.</t>
  </si>
  <si>
    <t>Read it</t>
  </si>
  <si>
    <t>Appointments</t>
  </si>
  <si>
    <t>The diary. Date, time, client, service, stylist and status - with a double-booking alarm.</t>
  </si>
  <si>
    <t>Type here</t>
  </si>
  <si>
    <t>Clients</t>
  </si>
  <si>
    <t>The client book: contact details, formula, patch test, spend, last visit, and who is drifting away.</t>
  </si>
  <si>
    <t>Services</t>
  </si>
  <si>
    <t>Your menu, with the minutes, the product cost and what each treatment earns an hour.</t>
  </si>
  <si>
    <t>Sales</t>
  </si>
  <si>
    <t>The till. One row per thing sold - gross, discount, refund, net, tax and profit.</t>
  </si>
  <si>
    <t>Payments</t>
  </si>
  <si>
    <t>Money in and out: deposits, balances, tips, refunds and the card fees.</t>
  </si>
  <si>
    <t>Staff</t>
  </si>
  <si>
    <t>The team, their pay basis and what each chair brings in an hour.</t>
  </si>
  <si>
    <t>Commissions</t>
  </si>
  <si>
    <t>One row per stylist per month. Eight methods supported - you choose, per person.</t>
  </si>
  <si>
    <t>Payroll</t>
  </si>
  <si>
    <t>Pay runs: hours, commission released, tips passed on and the employer costs on top.</t>
  </si>
  <si>
    <t>Expenses</t>
  </si>
  <si>
    <t>Every cost, categorised the way a profit and loss wants it, with the recurring ones spread.</t>
  </si>
  <si>
    <t>Profit &amp; Loss</t>
  </si>
  <si>
    <t>Twelve months of income, cost of sales, staff cost, overheads and operating profit.</t>
  </si>
  <si>
    <t>Inventory</t>
  </si>
  <si>
    <t>Retail and backbar stock: what is left, what it is worth, what to order.</t>
  </si>
  <si>
    <t>Purchases</t>
  </si>
  <si>
    <t>Orders placed and received, plus the supplier book that feeds the drop-downs.</t>
  </si>
  <si>
    <t>Marketing</t>
  </si>
  <si>
    <t>Campaigns and offers, measured against what they cost - money out and discount given away.</t>
  </si>
  <si>
    <t>Loyalty</t>
  </si>
  <si>
    <t>Points, rewards and referral credit, counted from the spend already logged.</t>
  </si>
  <si>
    <t>Goals &amp; Budget</t>
  </si>
  <si>
    <t>This year's targets, the month-by-month plan and a budget for every category.</t>
  </si>
  <si>
    <t>Analytics</t>
  </si>
  <si>
    <t>Categories, days, hours, sources and retention - the patterns behind the takings.</t>
  </si>
  <si>
    <t>Reports</t>
  </si>
  <si>
    <t>The week and the month on one printable page.</t>
  </si>
  <si>
    <t>Settings</t>
  </si>
  <si>
    <t>Your salon, your tax rules, your pay model, your lists. Set these first.</t>
  </si>
  <si>
    <t>Set it up</t>
  </si>
  <si>
    <t>Seven rules that keep it working</t>
  </si>
  <si>
    <t>-  Blue cells are yours. Grey cells are formulas - they are locked so a stray paste cannot break the workbook.</t>
  </si>
  <si>
    <t>-  Every sheet is protected with the password 'premium'. Review &gt; Unprotect Sheet if you want to change the structure.</t>
  </si>
  <si>
    <t>-  IDs number themselves from the row. Filter and sort freely, but do not cut and paste rows around - copy the values instead.</t>
  </si>
  <si>
    <t>-  Type dates as real dates. 14/03 or 3/14 depending on where you are, not '14 march'.</t>
  </si>
  <si>
    <t>-  Status is the engine: Completed, Cancelled and No show are the three final answers an appointment can have. Everything else is still open and is left out of the completion and cancellation rates.</t>
  </si>
  <si>
    <t>-  Never type over a formula to make a number look right. Find the row that is wrong instead - the alert columns are there to point at it.</t>
  </si>
  <si>
    <t>-  Add rows by typing in the first empty row of a tab. Every tab has hundreds already formatted and waiting.</t>
  </si>
  <si>
    <t>What this workbook does not do</t>
  </si>
  <si>
    <t>-  It does not send confirmations, reminders, texts or emails, and it does not sync with any booking platform, till or card reader. Everything in here is typed in or pasted in by you.</t>
  </si>
  <si>
    <t>-  It is not accounting, payroll or tax software, and nothing in it is accounting, payroll or tax advice. It organises your business so that the conversation with your accountant is a short one.</t>
  </si>
  <si>
    <t>-  It does not calculate income tax, national insurance or social security on wages. It shows what a pay run costs the salon.</t>
  </si>
  <si>
    <t>-  It does not take payments or store card details.</t>
  </si>
  <si>
    <t>-  Sales tax is whatever you set it to be. There is no country baked in, and the two switches let you tax retail, services, both or neither.</t>
  </si>
  <si>
    <t>The sums behind the headline numbers</t>
  </si>
  <si>
    <t>Figure</t>
  </si>
  <si>
    <t>How it is worked out</t>
  </si>
  <si>
    <t>Net sales</t>
  </si>
  <si>
    <t>Gross, less discounts, less refunds.</t>
  </si>
  <si>
    <t>Operating profit</t>
  </si>
  <si>
    <t>Net sales, less the cost of what was sold, less the full cost of the pay runs, less the expenses logged.</t>
  </si>
  <si>
    <t>Average ticket</t>
  </si>
  <si>
    <t>Net sales divided by completed appointments that were paid for.</t>
  </si>
  <si>
    <t>Completion rate</t>
  </si>
  <si>
    <t>Completed appointments divided by the appointments that reached a final answer - completed, cancelled or no show.</t>
  </si>
  <si>
    <t>Cancellation rate</t>
  </si>
  <si>
    <t>Cancelled appointments over the same final-answer total.</t>
  </si>
  <si>
    <t>Client balance</t>
  </si>
  <si>
    <t>What was billed, less discounts, less every payment applied - deposits included.</t>
  </si>
  <si>
    <t>Commission</t>
  </si>
  <si>
    <t>Eligible revenue times the rate, by whichever of the eight methods that stylist is on.</t>
  </si>
  <si>
    <t>Service gross profit</t>
  </si>
  <si>
    <t>Price less the direct costs: the product used and the commission earned on it.</t>
  </si>
  <si>
    <t>Stock on hand</t>
  </si>
  <si>
    <t>Opening, plus received, less used in services, less sold, less waste, plus adjustments.</t>
  </si>
  <si>
    <t>Budget variance</t>
  </si>
  <si>
    <t>Actual spend less the budget. Positive means over.</t>
  </si>
  <si>
    <t>Repeat client rate</t>
  </si>
  <si>
    <t>Clients who came back at least twice, over the clients you have served.</t>
  </si>
  <si>
    <t>The small print</t>
  </si>
  <si>
    <t>This workbook is a business organising tool. It is not accounting, payroll, legal or tax advice, and it does not file anything for you. Tax, commission and payroll settings are yours to set and check against your own country's rules, and nothing here replaces an accountant or a booking system that sends confirmations.</t>
  </si>
  <si>
    <t>Version</t>
  </si>
  <si>
    <t>1.0.0</t>
  </si>
  <si>
    <t>Made by</t>
  </si>
  <si>
    <t>Novality Store</t>
  </si>
  <si>
    <t>Password</t>
  </si>
  <si>
    <t>premium</t>
  </si>
  <si>
    <t>Built for</t>
  </si>
  <si>
    <t>Excel 2010 and later, Google Sheets, LibreOffice, Numbers</t>
  </si>
  <si>
    <t>Salon Dashboard</t>
  </si>
  <si>
    <t>Takings, bookings, clients and chairs - worked out from the diary, the till and the payroll you have already filled in.</t>
  </si>
  <si>
    <t>&gt; Sales</t>
  </si>
  <si>
    <t/>
  </si>
  <si>
    <t>Salon</t>
  </si>
  <si>
    <t>Month</t>
  </si>
  <si>
    <t>Month key</t>
  </si>
  <si>
    <t>Last month</t>
  </si>
  <si>
    <t>Today</t>
  </si>
  <si>
    <t>Net sales this month</t>
  </si>
  <si>
    <t>target $28,000</t>
  </si>
  <si>
    <t>Against target</t>
  </si>
  <si>
    <t>100% means the month is made</t>
  </si>
  <si>
    <t>Operating profit, month</t>
  </si>
  <si>
    <t>net sales less stock, wages and costs</t>
  </si>
  <si>
    <t>Profit margin</t>
  </si>
  <si>
    <t>what is left of every dollar</t>
  </si>
  <si>
    <t>Clients served, month</t>
  </si>
  <si>
    <t>completed appointments</t>
  </si>
  <si>
    <t>target $78</t>
  </si>
  <si>
    <t>Retail share</t>
  </si>
  <si>
    <t>target 12%</t>
  </si>
  <si>
    <t>Tips passed on</t>
  </si>
  <si>
    <t>the team's money, not the salon's</t>
  </si>
  <si>
    <t>of bookings that reached a final answer</t>
  </si>
  <si>
    <t>cancelled, not no-showed</t>
  </si>
  <si>
    <t>No-show rate</t>
  </si>
  <si>
    <t>the most expensive hour in the salon</t>
  </si>
  <si>
    <t>Chair utilisation</t>
  </si>
  <si>
    <t>target 75% of sellable hours</t>
  </si>
  <si>
    <t>Rebooking rate</t>
  </si>
  <si>
    <t>target 60% leaving with the next one booked</t>
  </si>
  <si>
    <t>clients served who came back at least twice</t>
  </si>
  <si>
    <t>Owed to you</t>
  </si>
  <si>
    <t>unpaid balances across every client</t>
  </si>
  <si>
    <t>Stock on the shelf</t>
  </si>
  <si>
    <t>at cost, retail and backbar</t>
  </si>
  <si>
    <t>Needs doing today</t>
  </si>
  <si>
    <t>What</t>
  </si>
  <si>
    <t>How many</t>
  </si>
  <si>
    <t>What it means</t>
  </si>
  <si>
    <t>Where to fix it</t>
  </si>
  <si>
    <t>Clashes in the diary</t>
  </si>
  <si>
    <t>Bookings to confirm</t>
  </si>
  <si>
    <t>Deposits not taken</t>
  </si>
  <si>
    <t>Visits with nothing rung up</t>
  </si>
  <si>
    <t>Unpaid balances</t>
  </si>
  <si>
    <t>Clients lapsing</t>
  </si>
  <si>
    <t>Clients due a rebook</t>
  </si>
  <si>
    <t>Patch tests out of date</t>
  </si>
  <si>
    <t>Products out of stock</t>
  </si>
  <si>
    <t>Products to reorder</t>
  </si>
  <si>
    <t>Deliveries late</t>
  </si>
  <si>
    <t>Bills overdue</t>
  </si>
  <si>
    <t>Commission to approve</t>
  </si>
  <si>
    <t>Pay runs not paid</t>
  </si>
  <si>
    <t>Loyalty rewards ready</t>
  </si>
  <si>
    <t>Services below your chair rate</t>
  </si>
  <si>
    <t>Who is earning what</t>
  </si>
  <si>
    <t>Stylist</t>
  </si>
  <si>
    <t>Sales this month</t>
  </si>
  <si>
    <t>Completed</t>
  </si>
  <si>
    <t>Utilisation</t>
  </si>
  <si>
    <t>Rebook rate</t>
  </si>
  <si>
    <t>Pay this month</t>
  </si>
  <si>
    <t>Leaves behind</t>
  </si>
  <si>
    <t>What the chairs are selling</t>
  </si>
  <si>
    <t>Most booked</t>
  </si>
  <si>
    <t>Times</t>
  </si>
  <si>
    <t>Biggest earner</t>
  </si>
  <si>
    <t>Revenue</t>
  </si>
  <si>
    <t>Best an hour</t>
  </si>
  <si>
    <t>An hour</t>
  </si>
  <si>
    <t>Best clients</t>
  </si>
  <si>
    <t>Spent</t>
  </si>
  <si>
    <t>The last twelve months</t>
  </si>
  <si>
    <t>Target</t>
  </si>
  <si>
    <t>Retail</t>
  </si>
  <si>
    <t>Cost of sales</t>
  </si>
  <si>
    <t>Wages</t>
  </si>
  <si>
    <t>Margin</t>
  </si>
  <si>
    <t>Clients served</t>
  </si>
  <si>
    <t>Net sales, twelve months</t>
  </si>
  <si>
    <t>Operating profit, twelve months</t>
  </si>
  <si>
    <t>The month in one line</t>
  </si>
  <si>
    <t>Gross profit</t>
  </si>
  <si>
    <t>Other costs</t>
  </si>
  <si>
    <t>Break-even sales</t>
  </si>
  <si>
    <t>Operating profit here is net sales less the cost of what you sold, less the full cost of the pay runs, less the expenses logged for the month. It is not a tax computation and it does not know about depreciation, drawings or loans - it is the number that tells you whether the month worked.</t>
  </si>
  <si>
    <t>Appointment Planner</t>
  </si>
  <si>
    <t>The diary: who, with whom, how long, how much - and a double-booking alarm that checks every row.</t>
  </si>
  <si>
    <t>&gt; Staff</t>
  </si>
  <si>
    <t>&gt; Profit</t>
  </si>
  <si>
    <t>&gt; Settings</t>
  </si>
  <si>
    <t>Date, start time, client, service, stylist, status. The finish time, the price and the clash check look after themselves.</t>
  </si>
  <si>
    <t>ID</t>
  </si>
  <si>
    <t>Date</t>
  </si>
  <si>
    <t>Day</t>
  </si>
  <si>
    <t>Start</t>
  </si>
  <si>
    <t>Client ID</t>
  </si>
  <si>
    <t>Client</t>
  </si>
  <si>
    <t>Service ID</t>
  </si>
  <si>
    <t>Service</t>
  </si>
  <si>
    <t>Stylist ID</t>
  </si>
  <si>
    <t>Minutes</t>
  </si>
  <si>
    <t>Price</t>
  </si>
  <si>
    <t>Status</t>
  </si>
  <si>
    <t>Booked via</t>
  </si>
  <si>
    <t>Deposit asked</t>
  </si>
  <si>
    <t>Notes</t>
  </si>
  <si>
    <t>If cancelled, why</t>
  </si>
  <si>
    <t>Late fee charged</t>
  </si>
  <si>
    <t>Week</t>
  </si>
  <si>
    <t>Minutes used</t>
  </si>
  <si>
    <t>Finishes</t>
  </si>
  <si>
    <t>Hour</t>
  </si>
  <si>
    <t>Chair hours</t>
  </si>
  <si>
    <t>Price charged</t>
  </si>
  <si>
    <t>Deposit wanted</t>
  </si>
  <si>
    <t>Deposit paid</t>
  </si>
  <si>
    <t>Billed</t>
  </si>
  <si>
    <t>Final?</t>
  </si>
  <si>
    <t>Booked ahead</t>
  </si>
  <si>
    <t>Booked on</t>
  </si>
  <si>
    <t>Rebooked?</t>
  </si>
  <si>
    <t>Clash?</t>
  </si>
  <si>
    <t>Action</t>
  </si>
  <si>
    <t>The diary in numbers</t>
  </si>
  <si>
    <t>Appointments logged</t>
  </si>
  <si>
    <t>Cancelled</t>
  </si>
  <si>
    <t>No shows</t>
  </si>
  <si>
    <t>Booked value, completed</t>
  </si>
  <si>
    <t>Chair hours, completed</t>
  </si>
  <si>
    <t>Clashes to fix</t>
  </si>
  <si>
    <t>Client CRM</t>
  </si>
  <si>
    <t>Who they are, what they have spent, when they were last in - and which of them you are about to lose.</t>
  </si>
  <si>
    <t>Type the name and the contact details. Visits, spend, last visit and the chase list all build themselves from the appointments and sales tabs.</t>
  </si>
  <si>
    <t>Phone</t>
  </si>
  <si>
    <t>Email</t>
  </si>
  <si>
    <t>Contact by</t>
  </si>
  <si>
    <t>First seen</t>
  </si>
  <si>
    <t>Found you by</t>
  </si>
  <si>
    <t>Referred by</t>
  </si>
  <si>
    <t>Usual stylist</t>
  </si>
  <si>
    <t>Birthday</t>
  </si>
  <si>
    <t>Formula &amp; preferences</t>
  </si>
  <si>
    <t>Allergies &amp; notes</t>
  </si>
  <si>
    <t>Patch test</t>
  </si>
  <si>
    <t>Marketing OK?</t>
  </si>
  <si>
    <t>Photos OK?</t>
  </si>
  <si>
    <t>Tags</t>
  </si>
  <si>
    <t>Visits</t>
  </si>
  <si>
    <t>Visits, 12m</t>
  </si>
  <si>
    <t>First visit</t>
  </si>
  <si>
    <t>Last visit</t>
  </si>
  <si>
    <t>Days since</t>
  </si>
  <si>
    <t>Next raw</t>
  </si>
  <si>
    <t>Next booked</t>
  </si>
  <si>
    <t>Usual gap</t>
  </si>
  <si>
    <t>Rebook by</t>
  </si>
  <si>
    <t>Lifetime spend</t>
  </si>
  <si>
    <t>On services</t>
  </si>
  <si>
    <t>On retail</t>
  </si>
  <si>
    <t>Spend, 12m</t>
  </si>
  <si>
    <t>A year is worth</t>
  </si>
  <si>
    <t>Balance owed</t>
  </si>
  <si>
    <t>Loyalty points</t>
  </si>
  <si>
    <t>Segment</t>
  </si>
  <si>
    <t>Came back?</t>
  </si>
  <si>
    <t>Spend rank</t>
  </si>
  <si>
    <t>Visit rank</t>
  </si>
  <si>
    <t>The client book</t>
  </si>
  <si>
    <t>Clients on file</t>
  </si>
  <si>
    <t>Active</t>
  </si>
  <si>
    <t>New this year</t>
  </si>
  <si>
    <t>Lapsing</t>
  </si>
  <si>
    <t>Inactive</t>
  </si>
  <si>
    <t>Average lifetime spend</t>
  </si>
  <si>
    <t>Average visits</t>
  </si>
  <si>
    <t>Owing you money</t>
  </si>
  <si>
    <t>Marketing opt-ins</t>
  </si>
  <si>
    <t>Services &amp; Pricing</t>
  </si>
  <si>
    <t>The menu, the chair time, the product cost and what each treatment actually earns an hour.</t>
  </si>
  <si>
    <t>Price, minutes and product cost are the three things to get right. Everything to the right of them is worked out for you.</t>
  </si>
  <si>
    <t>Category</t>
  </si>
  <si>
    <t>Description</t>
  </si>
  <si>
    <t>Turnaround</t>
  </si>
  <si>
    <t>Product cost</t>
  </si>
  <si>
    <t>Add-on?</t>
  </si>
  <si>
    <t>Pays commission?</t>
  </si>
  <si>
    <t>Bookable online?</t>
  </si>
  <si>
    <t>Stylist level</t>
  </si>
  <si>
    <t>Price set on</t>
  </si>
  <si>
    <t>Product cost used</t>
  </si>
  <si>
    <t>Direct cost</t>
  </si>
  <si>
    <t>Price an hour</t>
  </si>
  <si>
    <t>Profit an hour</t>
  </si>
  <si>
    <t>Suggested, raw</t>
  </si>
  <si>
    <t>Suggested price</t>
  </si>
  <si>
    <t>Price gap</t>
  </si>
  <si>
    <t>Booked</t>
  </si>
  <si>
    <t>Sold</t>
  </si>
  <si>
    <t>Share of sales</t>
  </si>
  <si>
    <t>Profit earned</t>
  </si>
  <si>
    <t>Chair hours used</t>
  </si>
  <si>
    <t>Retail attached</t>
  </si>
  <si>
    <t>Last done</t>
  </si>
  <si>
    <t>Revenue rank</t>
  </si>
  <si>
    <t>Rate rank</t>
  </si>
  <si>
    <t>Popularity</t>
  </si>
  <si>
    <t>The menu at a glance</t>
  </si>
  <si>
    <t>Services listed</t>
  </si>
  <si>
    <t>Average price</t>
  </si>
  <si>
    <t>Average minutes</t>
  </si>
  <si>
    <t>Average price an hour</t>
  </si>
  <si>
    <t>Best rate an hour</t>
  </si>
  <si>
    <t>Never booked</t>
  </si>
  <si>
    <t>Priced under target</t>
  </si>
  <si>
    <t>Sales &amp; Transactions</t>
  </si>
  <si>
    <t>Every service, product and voucher sold - gross, discount, refund, net, tax and the profit left over.</t>
  </si>
  <si>
    <t>One row per thing sold. Two lines for a client who had a colour and bought shampoo - that is how the retail figures stay separate from the service figures.</t>
  </si>
  <si>
    <t>Appointment</t>
  </si>
  <si>
    <t>Kind</t>
  </si>
  <si>
    <t>Service / product</t>
  </si>
  <si>
    <t>Qty</t>
  </si>
  <si>
    <t>Unit price</t>
  </si>
  <si>
    <t>Discount %</t>
  </si>
  <si>
    <t>Discount $</t>
  </si>
  <si>
    <t>Promo code</t>
  </si>
  <si>
    <t>Refunded</t>
  </si>
  <si>
    <t>Qty used</t>
  </si>
  <si>
    <t>Item</t>
  </si>
  <si>
    <t>Price used</t>
  </si>
  <si>
    <t>Gross</t>
  </si>
  <si>
    <t>Discount</t>
  </si>
  <si>
    <t>Net sale</t>
  </si>
  <si>
    <t>Tax</t>
  </si>
  <si>
    <t>Total due</t>
  </si>
  <si>
    <t>Cost</t>
  </si>
  <si>
    <t>First line?</t>
  </si>
  <si>
    <t>Paid to this sale</t>
  </si>
  <si>
    <t>Deposit applied</t>
  </si>
  <si>
    <t>Paid</t>
  </si>
  <si>
    <t>Balance</t>
  </si>
  <si>
    <t>Paid?</t>
  </si>
  <si>
    <t>Retail too?</t>
  </si>
  <si>
    <t>Sale rank</t>
  </si>
  <si>
    <t>Check</t>
  </si>
  <si>
    <t>The till, all time</t>
  </si>
  <si>
    <t>Lines</t>
  </si>
  <si>
    <t>Discounts</t>
  </si>
  <si>
    <t>Refunds</t>
  </si>
  <si>
    <t>Outstanding</t>
  </si>
  <si>
    <t>Payments &amp; Deposits</t>
  </si>
  <si>
    <t>Every payment, deposit, tip and refund - what it settles, what the card machine took, what reached the bank.</t>
  </si>
  <si>
    <t>Log the money here; log what was sold on the Sales tab. Keeping them apart is what lets a deposit sit in the bank for three weeks without pretending to be revenue.</t>
  </si>
  <si>
    <t>What for</t>
  </si>
  <si>
    <t>Method</t>
  </si>
  <si>
    <t>Amount</t>
  </si>
  <si>
    <t>Sale ID</t>
  </si>
  <si>
    <t>Reference</t>
  </si>
  <si>
    <t>Reconciled?</t>
  </si>
  <si>
    <t>Settles a bill?</t>
  </si>
  <si>
    <t>In or out</t>
  </si>
  <si>
    <t>Processing fee</t>
  </si>
  <si>
    <t>Into the bank</t>
  </si>
  <si>
    <t>Tip?</t>
  </si>
  <si>
    <t>Applied to</t>
  </si>
  <si>
    <t>Money in, money out</t>
  </si>
  <si>
    <t>Payments logged</t>
  </si>
  <si>
    <t>Taken</t>
  </si>
  <si>
    <t>Tips</t>
  </si>
  <si>
    <t>Card fees</t>
  </si>
  <si>
    <t>Deposits held</t>
  </si>
  <si>
    <t>Not reconciled</t>
  </si>
  <si>
    <t>Staff Management</t>
  </si>
  <si>
    <t>The team, their pay basis, and what each chair brings in an hour.</t>
  </si>
  <si>
    <t>Set the commission method per person. Everything from 'hours booked' rightwards is worked out from the diary, the till and the payroll tab.</t>
  </si>
  <si>
    <t>Name</t>
  </si>
  <si>
    <t>Role</t>
  </si>
  <si>
    <t>Level</t>
  </si>
  <si>
    <t>Employment</t>
  </si>
  <si>
    <t>Started</t>
  </si>
  <si>
    <t>Hours a week</t>
  </si>
  <si>
    <t>Days worked</t>
  </si>
  <si>
    <t>Commission method</t>
  </si>
  <si>
    <t>Service rate</t>
  </si>
  <si>
    <t>Retail rate</t>
  </si>
  <si>
    <t>Flat per service</t>
  </si>
  <si>
    <t>Hourly rate</t>
  </si>
  <si>
    <t>Chair rent</t>
  </si>
  <si>
    <t>Monthly target</t>
  </si>
  <si>
    <t>Clients seen</t>
  </si>
  <si>
    <t>Hours booked</t>
  </si>
  <si>
    <t>Hours available</t>
  </si>
  <si>
    <t>Service sales</t>
  </si>
  <si>
    <t>Retail sales</t>
  </si>
  <si>
    <t>Total sales</t>
  </si>
  <si>
    <t>Earned an hour</t>
  </si>
  <si>
    <t>Sales rank</t>
  </si>
  <si>
    <t>The team at a glance</t>
  </si>
  <si>
    <t>On the team</t>
  </si>
  <si>
    <t>Completed visits</t>
  </si>
  <si>
    <t>Average utilisation</t>
  </si>
  <si>
    <t>Average rebook rate</t>
  </si>
  <si>
    <t>Staff Commissions</t>
  </si>
  <si>
    <t>One row per stylist per month. The method is yours; the arithmetic is the workbook's.</t>
  </si>
  <si>
    <t>Add a row for each stylist each month: month, stylist, and any adjustment. The sales, the base, the rate and the payout are all read from elsewhere.</t>
  </si>
  <si>
    <t>Method used</t>
  </si>
  <si>
    <t>Adjustment</t>
  </si>
  <si>
    <t>Bonus</t>
  </si>
  <si>
    <t>Approved?</t>
  </si>
  <si>
    <t>Paid on</t>
  </si>
  <si>
    <t>Before discount</t>
  </si>
  <si>
    <t>Retail before</t>
  </si>
  <si>
    <t>Product used</t>
  </si>
  <si>
    <t>Services done</t>
  </si>
  <si>
    <t>Service base</t>
  </si>
  <si>
    <t>Retail base</t>
  </si>
  <si>
    <t>To pay</t>
  </si>
  <si>
    <t>Share of their sales</t>
  </si>
  <si>
    <t>Commission rank</t>
  </si>
  <si>
    <t>Commission totals</t>
  </si>
  <si>
    <t>Rows</t>
  </si>
  <si>
    <t>Adjustments</t>
  </si>
  <si>
    <t>Bonuses</t>
  </si>
  <si>
    <t>Waiting for approval</t>
  </si>
  <si>
    <t>Approved, not paid</t>
  </si>
  <si>
    <t>Payroll &amp; Tips</t>
  </si>
  <si>
    <t>Hours, commission released, tips passed on and the employer costs on top - the real cost of a pay run.</t>
  </si>
  <si>
    <t>One row per person per pay run. Hours and the commission you are releasing are the only numbers to type.</t>
  </si>
  <si>
    <t>Period ending</t>
  </si>
  <si>
    <t>Run</t>
  </si>
  <si>
    <t>Hours</t>
  </si>
  <si>
    <t>Commission paid</t>
  </si>
  <si>
    <t>Holiday pay</t>
  </si>
  <si>
    <t>Deductions</t>
  </si>
  <si>
    <t>Rate used</t>
  </si>
  <si>
    <t>Hourly pay</t>
  </si>
  <si>
    <t>Gross pay</t>
  </si>
  <si>
    <t>After deductions</t>
  </si>
  <si>
    <t>Including tips</t>
  </si>
  <si>
    <t>Employer costs</t>
  </si>
  <si>
    <t>Cost to salon</t>
  </si>
  <si>
    <t>Month calculated</t>
  </si>
  <si>
    <t>Month released</t>
  </si>
  <si>
    <t>Commission left</t>
  </si>
  <si>
    <t>Cost an hour</t>
  </si>
  <si>
    <t>Pay runs, all time</t>
  </si>
  <si>
    <t>Runs logged</t>
  </si>
  <si>
    <t>Commission released</t>
  </si>
  <si>
    <t>Runs not paid</t>
  </si>
  <si>
    <t>Every cost, categorised the way the profit and loss needs it, with the recurring ones spread properly.</t>
  </si>
  <si>
    <t>Date, category, amount. Mark the regulars as recurring and give them a frequency - that is what makes the overhead figure believable.</t>
  </si>
  <si>
    <t>Paid to</t>
  </si>
  <si>
    <t>Recurring?</t>
  </si>
  <si>
    <t>How often</t>
  </si>
  <si>
    <t>Due</t>
  </si>
  <si>
    <t>Total</t>
  </si>
  <si>
    <t>Monthly equivalent</t>
  </si>
  <si>
    <t>Fixed cost?</t>
  </si>
  <si>
    <t>Days late</t>
  </si>
  <si>
    <t>Budget this month</t>
  </si>
  <si>
    <t>Size rank</t>
  </si>
  <si>
    <t>What it costs to open the doors</t>
  </si>
  <si>
    <t>Costs logged</t>
  </si>
  <si>
    <t>This month</t>
  </si>
  <si>
    <t>Fixed monthly overhead</t>
  </si>
  <si>
    <t>Unpaid</t>
  </si>
  <si>
    <t>Overdue</t>
  </si>
  <si>
    <t>Biggest single cost</t>
  </si>
  <si>
    <t>Biggest category</t>
  </si>
  <si>
    <t>Twelve months of income, costs and what was left - built from the sales, payroll and expenses you have already logged.</t>
  </si>
  <si>
    <t>Every column is a calendar month. The year-to-date column adds the twelve together. Nothing here is a tax return: it is a management view, so drawings, depreciation, loan capital and stock still on the shelf are deliberately left out.</t>
  </si>
  <si>
    <t>Line</t>
  </si>
  <si>
    <t>12 months</t>
  </si>
  <si>
    <t>Share</t>
  </si>
  <si>
    <t>Income</t>
  </si>
  <si>
    <t>Packages, courses &amp; gift certificates</t>
  </si>
  <si>
    <t>Other income (chair rent, fees)</t>
  </si>
  <si>
    <t>What came off the top</t>
  </si>
  <si>
    <t>Discounts given (memo)</t>
  </si>
  <si>
    <t>Refunds (memo)</t>
  </si>
  <si>
    <t>Sales tax collected (not yours)</t>
  </si>
  <si>
    <t>Tips passed to staff (not income)</t>
  </si>
  <si>
    <t>Product used in services</t>
  </si>
  <si>
    <t>Retail stock sold</t>
  </si>
  <si>
    <t>Total cost of sales</t>
  </si>
  <si>
    <t>Gross margin</t>
  </si>
  <si>
    <t>Staff costs</t>
  </si>
  <si>
    <t>Bonuses and holiday pay</t>
  </si>
  <si>
    <t>Employer taxes and cover</t>
  </si>
  <si>
    <t>Total staff cost</t>
  </si>
  <si>
    <t>Staff cost as a share of service sales</t>
  </si>
  <si>
    <t>Operating expenses</t>
  </si>
  <si>
    <t>Rent</t>
  </si>
  <si>
    <t>Utilities</t>
  </si>
  <si>
    <t>Product &amp; stock</t>
  </si>
  <si>
    <t>Backbar supplies</t>
  </si>
  <si>
    <t>Insurance</t>
  </si>
  <si>
    <t>Equipment</t>
  </si>
  <si>
    <t>Repairs &amp; maintenance</t>
  </si>
  <si>
    <t>Marketing &amp; advertising</t>
  </si>
  <si>
    <t>Software &amp; subscriptions</t>
  </si>
  <si>
    <t>Card processing fees</t>
  </si>
  <si>
    <t>Laundry</t>
  </si>
  <si>
    <t>Cleaning</t>
  </si>
  <si>
    <t>Training &amp; education</t>
  </si>
  <si>
    <t>Licences &amp; memberships</t>
  </si>
  <si>
    <t>Accounting &amp; legal</t>
  </si>
  <si>
    <t>Telephone &amp; internet</t>
  </si>
  <si>
    <t>Travel &amp; parking</t>
  </si>
  <si>
    <t>Bank charges</t>
  </si>
  <si>
    <t>Loan repayment</t>
  </si>
  <si>
    <t>Other</t>
  </si>
  <si>
    <t>Total operating expenses</t>
  </si>
  <si>
    <t>The bottom line</t>
  </si>
  <si>
    <t>Operating margin</t>
  </si>
  <si>
    <t>Profit target</t>
  </si>
  <si>
    <t>Operating profit, month by month</t>
  </si>
  <si>
    <t>Wages come from the payroll tab, never from the expense log, so they are counted once. Stock is counted when it is sold, not when it is bought, which is why a big delivery does not make a month look like a disaster. Deposits are money received and appear as revenue only when the sale is rung up.</t>
  </si>
  <si>
    <t>Product Inventory</t>
  </si>
  <si>
    <t>Retail and backbar stock, what is left, what it is worth and what to order.</t>
  </si>
  <si>
    <t>Set the opening stock once. After that, purchases and sales move the numbers; you only type the backbar usage, the waste and the odd adjustment.</t>
  </si>
  <si>
    <t>Product</t>
  </si>
  <si>
    <t>Brand</t>
  </si>
  <si>
    <t>Size</t>
  </si>
  <si>
    <t>SKU / barcode</t>
  </si>
  <si>
    <t>Supplier</t>
  </si>
  <si>
    <t>Cost each</t>
  </si>
  <si>
    <t>Retail price</t>
  </si>
  <si>
    <t>Opening stock</t>
  </si>
  <si>
    <t>Used in services</t>
  </si>
  <si>
    <t>Waste</t>
  </si>
  <si>
    <t>Reorder at</t>
  </si>
  <si>
    <t>Order quantity</t>
  </si>
  <si>
    <t>Last counted</t>
  </si>
  <si>
    <t>Expires</t>
  </si>
  <si>
    <t>Sold to clients?</t>
  </si>
  <si>
    <t>Received</t>
  </si>
  <si>
    <t>Used a week</t>
  </si>
  <si>
    <t>Weeks left</t>
  </si>
  <si>
    <t>Reorder point</t>
  </si>
  <si>
    <t>Stock status</t>
  </si>
  <si>
    <t>Order this many</t>
  </si>
  <si>
    <t>Value at cost</t>
  </si>
  <si>
    <t>Value at retail</t>
  </si>
  <si>
    <t>Suggested raw</t>
  </si>
  <si>
    <t>Retail revenue</t>
  </si>
  <si>
    <t>Retail profit</t>
  </si>
  <si>
    <t>Seller rank</t>
  </si>
  <si>
    <t>The stock room</t>
  </si>
  <si>
    <t>Products listed</t>
  </si>
  <si>
    <t>Out of stock</t>
  </si>
  <si>
    <t>Low stock</t>
  </si>
  <si>
    <t>To reorder</t>
  </si>
  <si>
    <t>Average retail margin</t>
  </si>
  <si>
    <t>Expiring in 30 days</t>
  </si>
  <si>
    <t>Suppliers &amp; Purchases</t>
  </si>
  <si>
    <t>What you ordered, what it cost, whether it turned up - and the supplier book underneath.</t>
  </si>
  <si>
    <t>Log the order when you place it and set the status to Received when it lands. Only received quantities reach the stock figures.</t>
  </si>
  <si>
    <t>Ordered</t>
  </si>
  <si>
    <t>Product ID</t>
  </si>
  <si>
    <t>Quantity</t>
  </si>
  <si>
    <t>Delivery</t>
  </si>
  <si>
    <t>Expected</t>
  </si>
  <si>
    <t>Quantity in</t>
  </si>
  <si>
    <t>Invoice ref</t>
  </si>
  <si>
    <t>Cost used</t>
  </si>
  <si>
    <t>Goods</t>
  </si>
  <si>
    <t>Order total</t>
  </si>
  <si>
    <t>Into stock</t>
  </si>
  <si>
    <t>Short by</t>
  </si>
  <si>
    <t>Days to arrive</t>
  </si>
  <si>
    <t>Cost moved</t>
  </si>
  <si>
    <t>Ordering, all time</t>
  </si>
  <si>
    <t>Orders</t>
  </si>
  <si>
    <t>Still on order</t>
  </si>
  <si>
    <t>Unpaid invoices</t>
  </si>
  <si>
    <t>Late deliveries</t>
  </si>
  <si>
    <t>Lines where cost rose</t>
  </si>
  <si>
    <t>Supplier book</t>
  </si>
  <si>
    <t>Type your wholesalers here. The first column feeds the supplier drop-down on this tab and on the inventory tab, so add a new one and it is immediately available everywhere. Blank rows are ignored.</t>
  </si>
  <si>
    <t>Contact</t>
  </si>
  <si>
    <t>Account number</t>
  </si>
  <si>
    <t>Minimum order</t>
  </si>
  <si>
    <t>Lead days</t>
  </si>
  <si>
    <t>Pays by</t>
  </si>
  <si>
    <t>Suppliers listed</t>
  </si>
  <si>
    <t>Spend, all time</t>
  </si>
  <si>
    <t>Spend this month</t>
  </si>
  <si>
    <t>Biggest supplier</t>
  </si>
  <si>
    <t>Marketing &amp; Promotions</t>
  </si>
  <si>
    <t>Offers, codes and campaigns, measured against what they cost - money out and discount given away.</t>
  </si>
  <si>
    <t>Give every offer a code and use that code on the Sales tab. Without the code, nothing can be traced back here.</t>
  </si>
  <si>
    <t>Campaign</t>
  </si>
  <si>
    <t>Channel</t>
  </si>
  <si>
    <t>The offer</t>
  </si>
  <si>
    <t>Starts</t>
  </si>
  <si>
    <t>Ends</t>
  </si>
  <si>
    <t>Revenue target</t>
  </si>
  <si>
    <t>What happened</t>
  </si>
  <si>
    <t>Times used</t>
  </si>
  <si>
    <t>Discount given</t>
  </si>
  <si>
    <t>Clients used it</t>
  </si>
  <si>
    <t>New clients</t>
  </si>
  <si>
    <t>Bookings</t>
  </si>
  <si>
    <t>Total cost</t>
  </si>
  <si>
    <t>Left over</t>
  </si>
  <si>
    <t>Return</t>
  </si>
  <si>
    <t>Cost per new client</t>
  </si>
  <si>
    <t>Best earner</t>
  </si>
  <si>
    <t>Verdict</t>
  </si>
  <si>
    <t>What the marketing did</t>
  </si>
  <si>
    <t>Campaigns</t>
  </si>
  <si>
    <t>Running now</t>
  </si>
  <si>
    <t>Revenue traced</t>
  </si>
  <si>
    <t>Average return</t>
  </si>
  <si>
    <t>Client Loyalty</t>
  </si>
  <si>
    <t>Points, rewards and referral credit - counted from the spend you have already logged.</t>
  </si>
  <si>
    <t>Add a row per client on the scheme. Points build themselves from the Sales tab; you only record what has been redeemed.</t>
  </si>
  <si>
    <t>Joined</t>
  </si>
  <si>
    <t>Card number</t>
  </si>
  <si>
    <t>Bonus points</t>
  </si>
  <si>
    <t>Points redeemed</t>
  </si>
  <si>
    <t>Last reward</t>
  </si>
  <si>
    <t>Usual reward</t>
  </si>
  <si>
    <t>Referral credit paid</t>
  </si>
  <si>
    <t>On the scheme?</t>
  </si>
  <si>
    <t>Spend counted</t>
  </si>
  <si>
    <t>Points earned</t>
  </si>
  <si>
    <t>Points balance</t>
  </si>
  <si>
    <t>Rewards due</t>
  </si>
  <si>
    <t>Reward owed</t>
  </si>
  <si>
    <t>Points to next</t>
  </si>
  <si>
    <t>People referred</t>
  </si>
  <si>
    <t>Referral credit owed</t>
  </si>
  <si>
    <t>Points rank</t>
  </si>
  <si>
    <t>The scheme</t>
  </si>
  <si>
    <t>Members</t>
  </si>
  <si>
    <t>Points outstanding</t>
  </si>
  <si>
    <t>Rewards ready</t>
  </si>
  <si>
    <t>Reward value owed</t>
  </si>
  <si>
    <t>Referrals</t>
  </si>
  <si>
    <t>The year you planned, the months as they land, and a budget for every line of cost.</t>
  </si>
  <si>
    <t>Blue cells are yours. The targets you set here are what the dashboard, the profit and loss and the expense tab measure against - change them and every red number in the workbook changes with them.</t>
  </si>
  <si>
    <t>This year's goals</t>
  </si>
  <si>
    <t>Goal</t>
  </si>
  <si>
    <t>Actual so far</t>
  </si>
  <si>
    <t>Difference</t>
  </si>
  <si>
    <t>On track?</t>
  </si>
  <si>
    <t>Revenue for the year</t>
  </si>
  <si>
    <t>Operating profit for the year</t>
  </si>
  <si>
    <t>New clients won</t>
  </si>
  <si>
    <t>Retail share of sales</t>
  </si>
  <si>
    <t>Two targets only this tab uses</t>
  </si>
  <si>
    <t>Clients served, target for the year</t>
  </si>
  <si>
    <t>Revenue target divided by the average ticket is a good first guess.</t>
  </si>
  <si>
    <t>New clients, target for the year</t>
  </si>
  <si>
    <t>Month by month</t>
  </si>
  <si>
    <t>Type a revenue target for each month - quiet January, busy December. Leave one blank and the monthly target from Settings is used instead.</t>
  </si>
  <si>
    <t>Actual</t>
  </si>
  <si>
    <t>Profit</t>
  </si>
  <si>
    <t>Hit it?</t>
  </si>
  <si>
    <t>Year</t>
  </si>
  <si>
    <t>Budget by category</t>
  </si>
  <si>
    <t>Set a monthly budget for each line of cost. The expense tab reads these figures, so every bill you log knows whether it is inside the plan. Variance is actual less budget: positive means you overspent.</t>
  </si>
  <si>
    <t>Monthly budget</t>
  </si>
  <si>
    <t>Variance</t>
  </si>
  <si>
    <t>Year to date</t>
  </si>
  <si>
    <t>Budget to date</t>
  </si>
  <si>
    <t>Variance to date</t>
  </si>
  <si>
    <t>What you have to take to break even</t>
  </si>
  <si>
    <t>Fixed costs a month</t>
  </si>
  <si>
    <t>Staff cost a month</t>
  </si>
  <si>
    <t>Still to go</t>
  </si>
  <si>
    <t>Days left in the month</t>
  </si>
  <si>
    <t>Break-even is the fixed overhead plus the pay run, divided by the gross margin you are actually achieving. It is the number to know before you agree to a discount, a new hire or a bigger unit.</t>
  </si>
  <si>
    <t>Business Analytics</t>
  </si>
  <si>
    <t>Nothing on this tab is typed. It is the same data as the rest of the workbook, cut four different ways, because the answer to 'why was last month quiet?' is usually in one of these tables.</t>
  </si>
  <si>
    <t>Where the money comes from, by category</t>
  </si>
  <si>
    <t>Services on the menu</t>
  </si>
  <si>
    <t>Share of revenue</t>
  </si>
  <si>
    <t>Revenue an hour</t>
  </si>
  <si>
    <t>Hair - cutting</t>
  </si>
  <si>
    <t>Hair - colour</t>
  </si>
  <si>
    <t>Hair - treatment</t>
  </si>
  <si>
    <t>Hair - styling</t>
  </si>
  <si>
    <t>Barbering</t>
  </si>
  <si>
    <t>Nails - manicure</t>
  </si>
  <si>
    <t>Nails - pedicure</t>
  </si>
  <si>
    <t>Nails - extensions</t>
  </si>
  <si>
    <t>Lashes</t>
  </si>
  <si>
    <t>Brows</t>
  </si>
  <si>
    <t>Waxing</t>
  </si>
  <si>
    <t>Facials &amp; skin</t>
  </si>
  <si>
    <t>Massage &amp; body</t>
  </si>
  <si>
    <t>Make-up</t>
  </si>
  <si>
    <t>Tanning</t>
  </si>
  <si>
    <t>Package</t>
  </si>
  <si>
    <t>Other service</t>
  </si>
  <si>
    <t>Which days pay</t>
  </si>
  <si>
    <t>Monday</t>
  </si>
  <si>
    <t>Tuesday</t>
  </si>
  <si>
    <t>Wednesday</t>
  </si>
  <si>
    <t>Thursday</t>
  </si>
  <si>
    <t>Friday</t>
  </si>
  <si>
    <t>Saturday</t>
  </si>
  <si>
    <t>Sunday</t>
  </si>
  <si>
    <t>Which hours are dead</t>
  </si>
  <si>
    <t>Bookings by start time, across the whole diary. A column of empty mornings is a column you can fill with an offer, a training slot, or a later opening time.</t>
  </si>
  <si>
    <t>Share of bookings</t>
  </si>
  <si>
    <t>Cancelled or no show</t>
  </si>
  <si>
    <t>7am</t>
  </si>
  <si>
    <t>8am</t>
  </si>
  <si>
    <t>9am</t>
  </si>
  <si>
    <t>10am</t>
  </si>
  <si>
    <t>11am</t>
  </si>
  <si>
    <t>12pm</t>
  </si>
  <si>
    <t>1pm</t>
  </si>
  <si>
    <t>2pm</t>
  </si>
  <si>
    <t>3pm</t>
  </si>
  <si>
    <t>4pm</t>
  </si>
  <si>
    <t>5pm</t>
  </si>
  <si>
    <t>6pm</t>
  </si>
  <si>
    <t>7pm</t>
  </si>
  <si>
    <t>8pm</t>
  </si>
  <si>
    <t>Where the clients come from</t>
  </si>
  <si>
    <t>New in 12 months</t>
  </si>
  <si>
    <t>Revenue from them</t>
  </si>
  <si>
    <t>Average spend</t>
  </si>
  <si>
    <t>Still active</t>
  </si>
  <si>
    <t>Instagram</t>
  </si>
  <si>
    <t>Facebook</t>
  </si>
  <si>
    <t>TikTok</t>
  </si>
  <si>
    <t>Google Ads</t>
  </si>
  <si>
    <t>Google Business</t>
  </si>
  <si>
    <t>SMS</t>
  </si>
  <si>
    <t>Flyers &amp; print</t>
  </si>
  <si>
    <t>Local press</t>
  </si>
  <si>
    <t>Referral scheme</t>
  </si>
  <si>
    <t>Loyalty scheme</t>
  </si>
  <si>
    <t>Influencer</t>
  </si>
  <si>
    <t>Walk-in</t>
  </si>
  <si>
    <t>Referral</t>
  </si>
  <si>
    <t>Repeat client</t>
  </si>
  <si>
    <t>Do they come back?</t>
  </si>
  <si>
    <t>Visits by returning clients</t>
  </si>
  <si>
    <t>Repeat rate</t>
  </si>
  <si>
    <t>Rebooked at the desk</t>
  </si>
  <si>
    <t>Gone quiet since</t>
  </si>
  <si>
    <t>Visits, twelve months</t>
  </si>
  <si>
    <t>The client book, by value</t>
  </si>
  <si>
    <t>VIP</t>
  </si>
  <si>
    <t>Regular</t>
  </si>
  <si>
    <t>New</t>
  </si>
  <si>
    <t>Not been yet</t>
  </si>
  <si>
    <t>Two tables worth acting on: the hours table tells you when to run an offer, and the category table tells you which service to run it on. Discounting the thing that already earns the most an hour is the most common mistake in the trade.</t>
  </si>
  <si>
    <t>Weekly &amp; Monthly Reports</t>
  </si>
  <si>
    <t>Two pickers at the top, two reports underneath. Nothing to rebuild and nothing to refresh.</t>
  </si>
  <si>
    <t>Week ending (a Sunday works best)</t>
  </si>
  <si>
    <t>The report covers the seven days up to and including this date.</t>
  </si>
  <si>
    <t>2026-10</t>
  </si>
  <si>
    <t>Pick any month in yyyy-mm form.</t>
  </si>
  <si>
    <t>The week</t>
  </si>
  <si>
    <t>Measure</t>
  </si>
  <si>
    <t>This week</t>
  </si>
  <si>
    <t>Week before</t>
  </si>
  <si>
    <t>Change</t>
  </si>
  <si>
    <t>Change %</t>
  </si>
  <si>
    <t>Four week average</t>
  </si>
  <si>
    <t>Cancellations</t>
  </si>
  <si>
    <t>Chair hours worked</t>
  </si>
  <si>
    <t>Tips taken</t>
  </si>
  <si>
    <t>Money into the bank</t>
  </si>
  <si>
    <t>The week, day by day</t>
  </si>
  <si>
    <t>Net sales through the week</t>
  </si>
  <si>
    <t>The month</t>
  </si>
  <si>
    <t>Month before</t>
  </si>
  <si>
    <t>Packages and vouchers</t>
  </si>
  <si>
    <t>Discounts given</t>
  </si>
  <si>
    <t>Staff cost</t>
  </si>
  <si>
    <t>Other expenses</t>
  </si>
  <si>
    <t>Sales tax collected</t>
  </si>
  <si>
    <t>Deposits taken</t>
  </si>
  <si>
    <t>The month, by stylist</t>
  </si>
  <si>
    <t>The month's best sellers</t>
  </si>
  <si>
    <t>Spend</t>
  </si>
  <si>
    <t>Change the week ending date or the month at the top and every number on this tab moves with it. Print range is set, so Ctrl+P gives you something you can hand over.</t>
  </si>
  <si>
    <t>Settings &amp; Lists</t>
  </si>
  <si>
    <t>Your salon, your prices, your pay model, your lists. Set these once and every tab in the workbook follows.</t>
  </si>
  <si>
    <t>Blue cells are yours to change. Everything else is locked and calculated. Nothing here is specific to one country: set your own tax rate and switches, your own commission basis, your own currency, and the workbook does the rest.</t>
  </si>
  <si>
    <t>The salon</t>
  </si>
  <si>
    <t>Salon name</t>
  </si>
  <si>
    <t>Gloss &amp; Grace Salon</t>
  </si>
  <si>
    <t>Printed at the top of every report.</t>
  </si>
  <si>
    <t>Owner</t>
  </si>
  <si>
    <t>Nadia Ellison</t>
  </si>
  <si>
    <t>Address</t>
  </si>
  <si>
    <t>118 Juniper Street, Austin, TX 78702</t>
  </si>
  <si>
    <t>(512) 555 0184</t>
  </si>
  <si>
    <t>hello@glossandgrace.co</t>
  </si>
  <si>
    <t>Website</t>
  </si>
  <si>
    <t>glossandgrace.co</t>
  </si>
  <si>
    <t>Booking link</t>
  </si>
  <si>
    <t>glossandgrace.co/book</t>
  </si>
  <si>
    <t>Where clients book. This workbook does not connect to it.</t>
  </si>
  <si>
    <t>Social</t>
  </si>
  <si>
    <t>@glossandgracesalon</t>
  </si>
  <si>
    <t>Handle used on the marketing tab.</t>
  </si>
  <si>
    <t>Strapline</t>
  </si>
  <si>
    <t>Colour, cuts and care since 2019</t>
  </si>
  <si>
    <t>Opening hours</t>
  </si>
  <si>
    <t>Tue-Fri 9:00-19:00, Sat 9:00-17:00</t>
  </si>
  <si>
    <t>Tax / business number</t>
  </si>
  <si>
    <t>TX-SAL-2019-8820</t>
  </si>
  <si>
    <t>Currency symbol</t>
  </si>
  <si>
    <t>$</t>
  </si>
  <si>
    <t>Used on screen. The cell formats follow the symbol you build the file with.</t>
  </si>
  <si>
    <t>Currency code</t>
  </si>
  <si>
    <t>USD</t>
  </si>
  <si>
    <t>Tracking started</t>
  </si>
  <si>
    <t>The day you began logging in this file. Stock cover and averages measure from here.</t>
  </si>
  <si>
    <t>Live. Everything that says 'overdue', 'lapsing' or 'this month' reads this cell.</t>
  </si>
  <si>
    <t>The month key the dashboard totals on.</t>
  </si>
  <si>
    <t>Weeks tracked</t>
  </si>
  <si>
    <t>Used for 'used a week' and the stock cover figures.</t>
  </si>
  <si>
    <t>Opening hours and capacity</t>
  </si>
  <si>
    <t>Opens at</t>
  </si>
  <si>
    <t>As a 24 hour number - 9 is 9am, 19 is 7pm.</t>
  </si>
  <si>
    <t>Closes at</t>
  </si>
  <si>
    <t>Days open a week</t>
  </si>
  <si>
    <t>Chairs / stations</t>
  </si>
  <si>
    <t>Sellable chair hours a week</t>
  </si>
  <si>
    <t>Hours x days x chairs. The utilisation figure on the dashboard divides by this.</t>
  </si>
  <si>
    <t>Money, tax and deposits</t>
  </si>
  <si>
    <t>Sales tax works differently everywhere, so nothing is assumed. Set the rate and say what it applies to - retail only, services only, both, or neither. Set both switches to No if tax is not something you charge.</t>
  </si>
  <si>
    <t>Sales tax rate</t>
  </si>
  <si>
    <t>8.25% is 0.0825 or 8.25% - both work.</t>
  </si>
  <si>
    <t>Tax on services?</t>
  </si>
  <si>
    <t>No</t>
  </si>
  <si>
    <t>Tax on retail?</t>
  </si>
  <si>
    <t>Yes</t>
  </si>
  <si>
    <t>Tax registered?</t>
  </si>
  <si>
    <t>For your own reference - it changes nothing in the formulas.</t>
  </si>
  <si>
    <t>Card fee, percent</t>
  </si>
  <si>
    <t>What the card machine takes on each payment.</t>
  </si>
  <si>
    <t>Card fee, fixed</t>
  </si>
  <si>
    <t>Deposit, percent of price</t>
  </si>
  <si>
    <t>Ask for a deposit above</t>
  </si>
  <si>
    <t>Bookings worth more than this suggest a deposit on the appointment tab.</t>
  </si>
  <si>
    <t>Cancellation notice, hours</t>
  </si>
  <si>
    <t>No-show fee</t>
  </si>
  <si>
    <t>Price rounding</t>
  </si>
  <si>
    <t>Nearest 0.50</t>
  </si>
  <si>
    <t>How calculated prices are rounded. Every rule rounds up, never down.</t>
  </si>
  <si>
    <t>Target chair rate an hour</t>
  </si>
  <si>
    <t>What an hour of chair time has to earn before commission. The suggested prices on the service menu are built from it.</t>
  </si>
  <si>
    <t>Review prices after, days</t>
  </si>
  <si>
    <t>How the team is paid</t>
  </si>
  <si>
    <t>These are defaults, not rules. Each person carries their own method and their own rate on the Staff tab; these fill the gaps when a rate is left blank.</t>
  </si>
  <si>
    <t>Default service commission</t>
  </si>
  <si>
    <t>Default retail commission</t>
  </si>
  <si>
    <t>Apprentice commission</t>
  </si>
  <si>
    <t>Default hourly rate</t>
  </si>
  <si>
    <t>Employer costs on wages</t>
  </si>
  <si>
    <t>Employer tax, insurance and holiday accrual as a percentage of gross pay.</t>
  </si>
  <si>
    <t>Commission is paid on</t>
  </si>
  <si>
    <t>Net of discounts</t>
  </si>
  <si>
    <t>One switch, applied to everybody.</t>
  </si>
  <si>
    <t>Chair rent a week</t>
  </si>
  <si>
    <t>Tiered commission ladder</t>
  </si>
  <si>
    <t>Used by the 'tiered on monthly service revenue' method. The rate that applies is the highest band the stylist's month reaches. Edit the bands to match your own ladder - keep the 'from' column in ascending order.</t>
  </si>
  <si>
    <t>Monthly service revenue from</t>
  </si>
  <si>
    <t>Rate</t>
  </si>
  <si>
    <t>Targets the dashboard measures you against</t>
  </si>
  <si>
    <t>Revenue target, month</t>
  </si>
  <si>
    <t>Revenue target, year</t>
  </si>
  <si>
    <t>Profit target, month</t>
  </si>
  <si>
    <t>Average ticket target</t>
  </si>
  <si>
    <t>Retail share target</t>
  </si>
  <si>
    <t>Retail as a share of everything you sell. Ten to fifteen percent is a good salon.</t>
  </si>
  <si>
    <t>Rebooking target</t>
  </si>
  <si>
    <t>Retention target</t>
  </si>
  <si>
    <t>Utilisation target</t>
  </si>
  <si>
    <t>VIP spend, 12 months</t>
  </si>
  <si>
    <t>Spend in a year that marks a client as VIP on the CRM.</t>
  </si>
  <si>
    <t>Stock and ordering</t>
  </si>
  <si>
    <t>Retail markup on cost</t>
  </si>
  <si>
    <t>2.0 means a $10 product retails at $20 before rounding.</t>
  </si>
  <si>
    <t>Reorder cover, weeks</t>
  </si>
  <si>
    <t>How many weeks of stock an order should bring in.</t>
  </si>
  <si>
    <t>Warn when stock falls below, weeks</t>
  </si>
  <si>
    <t>Backbar cost as a share of a service</t>
  </si>
  <si>
    <t>Only used when a service has no product cost of its own.</t>
  </si>
  <si>
    <t>Client care, loyalty and referrals</t>
  </si>
  <si>
    <t>Usual gap between visits, weeks</t>
  </si>
  <si>
    <t>Lapsing after, days</t>
  </si>
  <si>
    <t>Inactive after, days</t>
  </si>
  <si>
    <t>Patch test valid for, days</t>
  </si>
  <si>
    <t>Loyalty points per unit spent</t>
  </si>
  <si>
    <t>Reward at, points</t>
  </si>
  <si>
    <t>Reward is worth</t>
  </si>
  <si>
    <t>One point per dollar with a $20 reward at 200 points is a 10% scheme. Worth knowing before you promise it.</t>
  </si>
  <si>
    <t>Referral reward</t>
  </si>
  <si>
    <t>ID prefixes</t>
  </si>
  <si>
    <t>Every record numbers itself from its row. Change a prefix here and the IDs on that tab change with it - but do it before you have typed a hundred appointments, not after.</t>
  </si>
  <si>
    <t>Client IDs</t>
  </si>
  <si>
    <t>CLI-</t>
  </si>
  <si>
    <t>Service IDs</t>
  </si>
  <si>
    <t>SRV-</t>
  </si>
  <si>
    <t>Stylist IDs</t>
  </si>
  <si>
    <t>STF-</t>
  </si>
  <si>
    <t>Appointment IDs</t>
  </si>
  <si>
    <t>APT-</t>
  </si>
  <si>
    <t>Sale IDs</t>
  </si>
  <si>
    <t>TXN-</t>
  </si>
  <si>
    <t>Payment IDs</t>
  </si>
  <si>
    <t>PMT-</t>
  </si>
  <si>
    <t>Commission IDs</t>
  </si>
  <si>
    <t>COM-</t>
  </si>
  <si>
    <t>Pay run IDs</t>
  </si>
  <si>
    <t>RUN-</t>
  </si>
  <si>
    <t>Expense IDs</t>
  </si>
  <si>
    <t>EXP-</t>
  </si>
  <si>
    <t>Product IDs</t>
  </si>
  <si>
    <t>PRD-</t>
  </si>
  <si>
    <t>Purchase order IDs</t>
  </si>
  <si>
    <t>PO-</t>
  </si>
  <si>
    <t>Campaign IDs</t>
  </si>
  <si>
    <t>CMP-</t>
  </si>
  <si>
    <t>Loyalty IDs</t>
  </si>
  <si>
    <t>LOY-</t>
  </si>
  <si>
    <t>Workbook totals</t>
  </si>
  <si>
    <t>Calculated once here so that several tabs can share them. Nothing to change.</t>
  </si>
  <si>
    <t>Service revenue, all time</t>
  </si>
  <si>
    <t>Retail revenue, all time</t>
  </si>
  <si>
    <t>Net sales, all time</t>
  </si>
  <si>
    <t>Drop-down lists</t>
  </si>
  <si>
    <t>Add new entries directly under the last one in a column - every list has room to grow and blank rows are ignored. Do not delete a whole column: a drop-down pointing at a missing list stops working.</t>
  </si>
  <si>
    <t>YesNo</t>
  </si>
  <si>
    <t>ServiceCategory</t>
  </si>
  <si>
    <t>ServiceStatus</t>
  </si>
  <si>
    <t>Seasonal</t>
  </si>
  <si>
    <t>On hold</t>
  </si>
  <si>
    <t>Discontinued</t>
  </si>
  <si>
    <t>StylistLevel</t>
  </si>
  <si>
    <t>Any stylist</t>
  </si>
  <si>
    <t>Apprentice</t>
  </si>
  <si>
    <t>Senior stylist</t>
  </si>
  <si>
    <t>Master stylist</t>
  </si>
  <si>
    <t>Specialist</t>
  </si>
  <si>
    <t>AppointmentStatus</t>
  </si>
  <si>
    <t>Enquiry</t>
  </si>
  <si>
    <t>Confirmed</t>
  </si>
  <si>
    <t>Arrived</t>
  </si>
  <si>
    <t>No show</t>
  </si>
  <si>
    <t>Rescheduled</t>
  </si>
  <si>
    <t>Source</t>
  </si>
  <si>
    <t>Google</t>
  </si>
  <si>
    <t>Booking site</t>
  </si>
  <si>
    <t>Gift certificate</t>
  </si>
  <si>
    <t>Promotion</t>
  </si>
  <si>
    <t>CancelReason</t>
  </si>
  <si>
    <t>Client cancelled</t>
  </si>
  <si>
    <t>Client rescheduled</t>
  </si>
  <si>
    <t>Client unwell</t>
  </si>
  <si>
    <t>Salon cancelled</t>
  </si>
  <si>
    <t>Stylist unavailable</t>
  </si>
  <si>
    <t>Weather</t>
  </si>
  <si>
    <t>Double booked</t>
  </si>
  <si>
    <t>Text</t>
  </si>
  <si>
    <t>Phone call</t>
  </si>
  <si>
    <t>WhatsApp</t>
  </si>
  <si>
    <t>Instagram DM</t>
  </si>
  <si>
    <t>Do not contact</t>
  </si>
  <si>
    <t>ClientStatus</t>
  </si>
  <si>
    <t>Archived</t>
  </si>
  <si>
    <t>SaleKind</t>
  </si>
  <si>
    <t>Course</t>
  </si>
  <si>
    <t>PaymentKind</t>
  </si>
  <si>
    <t>Deposit</t>
  </si>
  <si>
    <t>Full payment</t>
  </si>
  <si>
    <t>Retail only</t>
  </si>
  <si>
    <t>Refund</t>
  </si>
  <si>
    <t>Gift certificate sale</t>
  </si>
  <si>
    <t>Package sale</t>
  </si>
  <si>
    <t>Tip</t>
  </si>
  <si>
    <t>PaymentMethod</t>
  </si>
  <si>
    <t>Cash</t>
  </si>
  <si>
    <t>Card</t>
  </si>
  <si>
    <t>Bank transfer</t>
  </si>
  <si>
    <t>Mobile wallet</t>
  </si>
  <si>
    <t>Package / prepaid</t>
  </si>
  <si>
    <t>Online deposit</t>
  </si>
  <si>
    <t>StaffType</t>
  </si>
  <si>
    <t>Employed</t>
  </si>
  <si>
    <t>Self-employed</t>
  </si>
  <si>
    <t>Chair renter</t>
  </si>
  <si>
    <t>Contractor</t>
  </si>
  <si>
    <t>StaffStatus</t>
  </si>
  <si>
    <t>On leave</t>
  </si>
  <si>
    <t>Trial</t>
  </si>
  <si>
    <t>Left</t>
  </si>
  <si>
    <t>CommissionMethod</t>
  </si>
  <si>
    <t>None</t>
  </si>
  <si>
    <t>Percent of service</t>
  </si>
  <si>
    <t>Percent of service and retail</t>
  </si>
  <si>
    <t>Percent after product cost</t>
  </si>
  <si>
    <t>Tiered on monthly service revenue</t>
  </si>
  <si>
    <t>Flat amount per service</t>
  </si>
  <si>
    <t>Hourly only</t>
  </si>
  <si>
    <t>Rent a chair</t>
  </si>
  <si>
    <t>PayPeriod</t>
  </si>
  <si>
    <t>Weekly</t>
  </si>
  <si>
    <t>Fortnightly</t>
  </si>
  <si>
    <t>Monthly</t>
  </si>
  <si>
    <t>Four weekly</t>
  </si>
  <si>
    <t>One off</t>
  </si>
  <si>
    <t>ExpenseCategory</t>
  </si>
  <si>
    <t>Salaries &amp; wages</t>
  </si>
  <si>
    <t>Payroll taxes</t>
  </si>
  <si>
    <t>Frequency</t>
  </si>
  <si>
    <t>Quarterly</t>
  </si>
  <si>
    <t>Twice a year</t>
  </si>
  <si>
    <t>Yearly</t>
  </si>
  <si>
    <t>ProductCategory</t>
  </si>
  <si>
    <t>Retail - hair</t>
  </si>
  <si>
    <t>Retail - skin</t>
  </si>
  <si>
    <t>Retail - nails</t>
  </si>
  <si>
    <t>Retail - accessories</t>
  </si>
  <si>
    <t>Backbar - colour</t>
  </si>
  <si>
    <t>Backbar - developer</t>
  </si>
  <si>
    <t>Backbar - shampoo &amp; conditioner</t>
  </si>
  <si>
    <t>Backbar - treatment</t>
  </si>
  <si>
    <t>Backbar - nails</t>
  </si>
  <si>
    <t>Backbar - lashes</t>
  </si>
  <si>
    <t>Backbar - waxing</t>
  </si>
  <si>
    <t>Disposables</t>
  </si>
  <si>
    <t>Tools &amp; equipment</t>
  </si>
  <si>
    <t>Other stock</t>
  </si>
  <si>
    <t>PurchaseStatus</t>
  </si>
  <si>
    <t>Draft</t>
  </si>
  <si>
    <t>Part received</t>
  </si>
  <si>
    <t>Returned</t>
  </si>
  <si>
    <t>MarketingChannel</t>
  </si>
  <si>
    <t>Event</t>
  </si>
  <si>
    <t>Window &amp; signage</t>
  </si>
  <si>
    <t>CampaignStatus</t>
  </si>
  <si>
    <t>Planned</t>
  </si>
  <si>
    <t>Running</t>
  </si>
  <si>
    <t>Finished</t>
  </si>
  <si>
    <t>Paused</t>
  </si>
  <si>
    <t>LoyaltyReward</t>
  </si>
  <si>
    <t>Free service</t>
  </si>
  <si>
    <t>Percent off</t>
  </si>
  <si>
    <t>Amount off</t>
  </si>
  <si>
    <t>Free add-on</t>
  </si>
  <si>
    <t>Free retail product</t>
  </si>
  <si>
    <t>Birthday treat</t>
  </si>
  <si>
    <t>Referral credit</t>
  </si>
  <si>
    <t>RoundingRule</t>
  </si>
  <si>
    <t>Nearest 0.99</t>
  </si>
  <si>
    <t>Nearest 0.95</t>
  </si>
  <si>
    <t>Nearest 1</t>
  </si>
  <si>
    <t>Nearest 5</t>
  </si>
  <si>
    <t>Up to whole 1</t>
  </si>
  <si>
    <t>Up to whole 5</t>
  </si>
  <si>
    <t>Month keys</t>
  </si>
  <si>
    <t>The months the commission, payroll and budget tabs pick from. They are plain text in yyyy-mm form so that every monthly total in the workbook groups on exactly the same thing.</t>
  </si>
  <si>
    <t>2025-07</t>
  </si>
  <si>
    <t>2025-08</t>
  </si>
  <si>
    <t>2025-09</t>
  </si>
  <si>
    <t>2025-10</t>
  </si>
  <si>
    <t>2025-11</t>
  </si>
  <si>
    <t>2025-12</t>
  </si>
  <si>
    <t>2026-01</t>
  </si>
  <si>
    <t>2026-02</t>
  </si>
  <si>
    <t>2026-03</t>
  </si>
  <si>
    <t>2026-04</t>
  </si>
  <si>
    <t>2026-05</t>
  </si>
  <si>
    <t>2026-06</t>
  </si>
  <si>
    <t>2026-07</t>
  </si>
  <si>
    <t>2026-08</t>
  </si>
  <si>
    <t>2026-09</t>
  </si>
  <si>
    <t>2026-11</t>
  </si>
  <si>
    <t>2026-12</t>
  </si>
  <si>
    <t>2027-01</t>
  </si>
  <si>
    <t>2027-02</t>
  </si>
  <si>
    <t>2027-03</t>
  </si>
  <si>
    <t>2027-04</t>
  </si>
  <si>
    <t>2027-05</t>
  </si>
  <si>
    <t>2027-06</t>
  </si>
  <si>
    <t>2027-07</t>
  </si>
</sst>
</file>

<file path=xl/styles.xml><?xml version="1.0" encoding="utf-8"?>
<styleSheet xmlns="http://schemas.openxmlformats.org/spreadsheetml/2006/main">
  <numFmts count="9">
    <numFmt numFmtId="164" formatCode="dd-mmm-yyyy"/>
    <numFmt numFmtId="165" formatCode="$#,##0;[Red]-$#,##0"/>
    <numFmt numFmtId="166" formatCode="0%"/>
    <numFmt numFmtId="167" formatCode="0.0%"/>
    <numFmt numFmtId="168" formatCode="#,##0"/>
    <numFmt numFmtId="169" formatCode="$#,##0.00;[Red]-$#,##0.00"/>
    <numFmt numFmtId="168" formatCode="#,##0"/>
    <numFmt numFmtId="169" formatCode="$#,##0.00;[Red]-$#,##0.00"/>
    <numFmt numFmtId="167" formatCode="0.0%"/>
    <numFmt numFmtId="164" formatCode="dd-mmm-yyyy"/>
    <numFmt numFmtId="170" formatCode="h:mm AM/PM"/>
    <numFmt numFmtId="168" formatCode="#,##0"/>
    <numFmt numFmtId="169" formatCode="$#,##0.00;[Red]-$#,##0.00"/>
    <numFmt numFmtId="170" formatCode="h:mm AM/PM"/>
    <numFmt numFmtId="171" formatCode="#,##0.0"/>
    <numFmt numFmtId="172" formatCode="#,##0.00"/>
    <numFmt numFmtId="171" formatCode="#,##0.0"/>
    <numFmt numFmtId="167" formatCode="0.0%"/>
  </numFmts>
  <fonts count="17">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6B5C66"/>
      <name val="Calibri"/>
      <family val="2"/>
      <scheme val="minor"/>
    </font>
    <font>
      <b/>
      <u/>
      <sz val="9"/>
      <color rgb="FF3A4578"/>
      <name val="Calibri"/>
      <family val="2"/>
      <scheme val="minor"/>
    </font>
    <font>
      <sz val="9"/>
      <color rgb="FF2E2430"/>
      <name val="Calibri"/>
      <family val="2"/>
      <scheme val="minor"/>
    </font>
    <font>
      <b/>
      <sz val="11"/>
      <color rgb="FFFFFFFF"/>
      <name val="Calibri"/>
      <family val="2"/>
      <scheme val="minor"/>
    </font>
    <font>
      <b/>
      <sz val="10"/>
      <color rgb="FF2E2430"/>
      <name val="Calibri"/>
      <family val="2"/>
      <scheme val="minor"/>
    </font>
    <font>
      <i/>
      <sz val="9"/>
      <color rgb="FF6B5C66"/>
      <name val="Calibri"/>
      <family val="2"/>
      <scheme val="minor"/>
    </font>
    <font>
      <b/>
      <sz val="9"/>
      <color rgb="FFFFFFFF"/>
      <name val="Calibri"/>
      <family val="2"/>
      <scheme val="minor"/>
    </font>
    <font>
      <sz val="10"/>
      <color theme="1"/>
      <name val="Calibri"/>
      <family val="2"/>
      <scheme val="minor"/>
    </font>
    <font>
      <sz val="10"/>
      <color rgb="FF2E2430"/>
      <name val="Calibri"/>
      <family val="2"/>
      <scheme val="minor"/>
    </font>
    <font>
      <sz val="9"/>
      <color rgb="FF6B5C66"/>
      <name val="Calibri"/>
      <family val="2"/>
      <scheme val="minor"/>
    </font>
    <font>
      <b/>
      <sz val="16"/>
      <color rgb="FF2E2430"/>
      <name val="Calibri"/>
      <family val="2"/>
      <scheme val="minor"/>
    </font>
    <font>
      <i/>
      <sz val="8"/>
      <color rgb="FF6B5C66"/>
      <name val="Calibri"/>
      <family val="2"/>
      <scheme val="minor"/>
    </font>
    <font>
      <b/>
      <sz val="10"/>
      <color rgb="FF6D3B5E"/>
      <name val="Calibri"/>
      <family val="2"/>
      <scheme val="minor"/>
    </font>
  </fonts>
  <fills count="9">
    <fill>
      <patternFill patternType="none"/>
    </fill>
    <fill>
      <patternFill patternType="gray125"/>
    </fill>
    <fill>
      <patternFill patternType="solid">
        <fgColor rgb="FF6D3B5E"/>
        <bgColor indexed="64"/>
      </patternFill>
    </fill>
    <fill>
      <patternFill patternType="solid">
        <fgColor rgb="FFFBF7FA"/>
        <bgColor indexed="64"/>
      </patternFill>
    </fill>
    <fill>
      <patternFill patternType="solid">
        <fgColor rgb="FFF7ECE1"/>
        <bgColor indexed="64"/>
      </patternFill>
    </fill>
    <fill>
      <patternFill patternType="solid">
        <fgColor rgb="FF9A5C86"/>
        <bgColor indexed="64"/>
      </patternFill>
    </fill>
    <fill>
      <patternFill patternType="solid">
        <fgColor rgb="FFFAF5F8"/>
        <bgColor indexed="64"/>
      </patternFill>
    </fill>
    <fill>
      <patternFill patternType="solid">
        <fgColor rgb="FFFFFFFF"/>
        <bgColor indexed="64"/>
      </patternFill>
    </fill>
    <fill>
      <patternFill patternType="solid">
        <fgColor rgb="FFF3E6EF"/>
        <bgColor indexed="64"/>
      </patternFill>
    </fill>
  </fills>
  <borders count="6">
    <border>
      <left/>
      <right/>
      <top/>
      <bottom/>
      <diagonal/>
    </border>
    <border>
      <left style="thin">
        <color rgb="FFC08A5E"/>
      </left>
      <right style="thin">
        <color rgb="FFC08A5E"/>
      </right>
      <top style="thin">
        <color rgb="FFC08A5E"/>
      </top>
      <bottom style="thin">
        <color rgb="FFC08A5E"/>
      </bottom>
      <diagonal/>
    </border>
    <border>
      <left style="thin">
        <color rgb="FF6D3B5E"/>
      </left>
      <right style="thin">
        <color rgb="FF6D3B5E"/>
      </right>
      <top style="thin">
        <color rgb="FF6D3B5E"/>
      </top>
      <bottom style="thin">
        <color rgb="FF6D3B5E"/>
      </bottom>
      <diagonal/>
    </border>
    <border>
      <left style="thin">
        <color rgb="FFEADFE7"/>
      </left>
      <right style="thin">
        <color rgb="FFEADFE7"/>
      </right>
      <top style="thin">
        <color rgb="FFEADFE7"/>
      </top>
      <bottom style="thin">
        <color rgb="FFEADFE7"/>
      </bottom>
      <diagonal/>
    </border>
    <border>
      <left style="thin">
        <color rgb="FFDCCBD6"/>
      </left>
      <right style="thin">
        <color rgb="FFDCCBD6"/>
      </right>
      <top style="thin">
        <color rgb="FFDCCBD6"/>
      </top>
      <bottom style="thin">
        <color rgb="FFDCCBD6"/>
      </bottom>
      <diagonal/>
    </border>
    <border>
      <left style="thin">
        <color rgb="FFE2D3DD"/>
      </left>
      <right style="thin">
        <color rgb="FFE2D3DD"/>
      </right>
      <top style="thin">
        <color rgb="FFE2D3DD"/>
      </top>
      <bottom style="thin">
        <color rgb="FFE2D3DD"/>
      </bottom>
      <diagonal/>
    </border>
  </borders>
  <cellStyleXfs count="1">
    <xf numFmtId="0" fontId="0" fillId="0" borderId="0"/>
  </cellStyleXfs>
  <cellXfs count="46">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3" borderId="0" xfId="0" applyFont="1" applyFill="1" applyAlignment="1">
      <alignment horizontal="left" vertical="center" indent="1"/>
    </xf>
    <xf numFmtId="0" fontId="6" fillId="4" borderId="1" xfId="0" applyFont="1" applyFill="1" applyBorder="1" applyAlignment="1">
      <alignment horizontal="left" vertical="top" indent="1" wrapText="1"/>
    </xf>
    <xf numFmtId="0" fontId="7" fillId="5" borderId="0" xfId="0" applyFont="1" applyFill="1" applyAlignment="1">
      <alignment horizontal="left" vertical="center" indent="1"/>
    </xf>
    <xf numFmtId="0" fontId="8" fillId="0" borderId="0" xfId="0" applyFont="1" applyAlignment="1">
      <alignment horizontal="left" vertical="center" indent="1"/>
    </xf>
    <xf numFmtId="0" fontId="9" fillId="0" borderId="0" xfId="0" applyFont="1" applyAlignment="1">
      <alignment horizontal="left" vertical="top" wrapText="1"/>
    </xf>
    <xf numFmtId="0" fontId="10" fillId="2" borderId="2" xfId="0" applyFont="1" applyFill="1" applyBorder="1" applyAlignment="1">
      <alignment horizontal="left" vertical="center" indent="1" wrapText="1"/>
    </xf>
    <xf numFmtId="0" fontId="10" fillId="2" borderId="2" xfId="0" applyFont="1" applyFill="1" applyBorder="1" applyAlignment="1">
      <alignment horizontal="center" vertical="center" wrapText="1"/>
    </xf>
    <xf numFmtId="0" fontId="11" fillId="0" borderId="0" xfId="0" applyFont="1" applyAlignment="1">
      <alignment vertical="center"/>
    </xf>
    <xf numFmtId="0" fontId="12" fillId="0" borderId="0" xfId="0" applyFont="1" applyAlignment="1">
      <alignment horizontal="left" vertical="center" indent="1"/>
    </xf>
    <xf numFmtId="0" fontId="13" fillId="3" borderId="0" xfId="0" applyFont="1" applyFill="1" applyAlignment="1">
      <alignment horizontal="left" vertical="center"/>
    </xf>
    <xf numFmtId="0" fontId="12" fillId="6" borderId="3" xfId="0" applyFont="1" applyFill="1" applyBorder="1" applyAlignment="1">
      <alignment horizontal="left" vertical="center"/>
    </xf>
    <xf numFmtId="0" fontId="12" fillId="0" borderId="0" xfId="0" applyFont="1" applyAlignment="1">
      <alignment horizontal="right" vertical="center"/>
    </xf>
    <xf numFmtId="164" fontId="12" fillId="6" borderId="3" xfId="0" applyNumberFormat="1" applyFont="1" applyFill="1" applyBorder="1" applyAlignment="1">
      <alignment horizontal="center" vertical="center"/>
    </xf>
    <xf numFmtId="0" fontId="10" fillId="5" borderId="0" xfId="0" applyFont="1" applyFill="1" applyAlignment="1">
      <alignment horizontal="left" vertical="center" indent="1"/>
    </xf>
    <xf numFmtId="165" fontId="14" fillId="7" borderId="4" xfId="0" applyNumberFormat="1" applyFont="1" applyFill="1" applyBorder="1" applyAlignment="1">
      <alignment horizontal="center" vertical="center"/>
    </xf>
    <xf numFmtId="166" fontId="14" fillId="7" borderId="4" xfId="0" applyNumberFormat="1" applyFont="1" applyFill="1" applyBorder="1" applyAlignment="1">
      <alignment horizontal="center" vertical="center"/>
    </xf>
    <xf numFmtId="167" fontId="14" fillId="7" borderId="4" xfId="0" applyNumberFormat="1" applyFont="1" applyFill="1" applyBorder="1" applyAlignment="1">
      <alignment horizontal="center" vertical="center"/>
    </xf>
    <xf numFmtId="0" fontId="15" fillId="7" borderId="4" xfId="0" applyFont="1" applyFill="1" applyBorder="1" applyAlignment="1">
      <alignment horizontal="center" vertical="center"/>
    </xf>
    <xf numFmtId="168" fontId="14" fillId="7" borderId="4" xfId="0" applyNumberFormat="1" applyFont="1" applyFill="1" applyBorder="1" applyAlignment="1">
      <alignment horizontal="center" vertical="center"/>
    </xf>
    <xf numFmtId="169" fontId="14" fillId="7" borderId="4" xfId="0" applyNumberFormat="1" applyFont="1" applyFill="1" applyBorder="1" applyAlignment="1">
      <alignment horizontal="center" vertical="center"/>
    </xf>
    <xf numFmtId="168" fontId="12" fillId="6" borderId="3" xfId="0" applyNumberFormat="1" applyFont="1" applyFill="1" applyBorder="1" applyAlignment="1">
      <alignment horizontal="right" vertical="center"/>
    </xf>
    <xf numFmtId="169" fontId="12" fillId="6" borderId="3" xfId="0" applyNumberFormat="1" applyFont="1" applyFill="1" applyBorder="1" applyAlignment="1">
      <alignment horizontal="right" vertical="center"/>
    </xf>
    <xf numFmtId="167" fontId="12" fillId="6" borderId="3" xfId="0" applyNumberFormat="1" applyFont="1" applyFill="1" applyBorder="1" applyAlignment="1">
      <alignment horizontal="center" vertical="center"/>
    </xf>
    <xf numFmtId="0" fontId="16" fillId="6" borderId="3" xfId="0" applyFont="1" applyFill="1" applyBorder="1" applyAlignment="1">
      <alignment horizontal="left" vertical="center"/>
    </xf>
    <xf numFmtId="164" fontId="11" fillId="7" borderId="5" xfId="0" applyNumberFormat="1" applyFont="1" applyFill="1" applyBorder="1" applyAlignment="1" applyProtection="1">
      <alignment horizontal="center" vertical="center"/>
      <protection locked="0"/>
    </xf>
    <xf numFmtId="170" fontId="11" fillId="7" borderId="5" xfId="0" applyNumberFormat="1" applyFont="1" applyFill="1" applyBorder="1" applyAlignment="1" applyProtection="1">
      <alignment horizontal="center" vertical="center"/>
      <protection locked="0"/>
    </xf>
    <xf numFmtId="0" fontId="16" fillId="7" borderId="5" xfId="0" applyFont="1" applyFill="1" applyBorder="1" applyAlignment="1" applyProtection="1">
      <alignment horizontal="left" vertical="center"/>
      <protection locked="0"/>
    </xf>
    <xf numFmtId="168" fontId="11" fillId="7" borderId="5" xfId="0" applyNumberFormat="1" applyFont="1" applyFill="1" applyBorder="1" applyAlignment="1" applyProtection="1">
      <alignment horizontal="right" vertical="center"/>
      <protection locked="0"/>
    </xf>
    <xf numFmtId="169" fontId="11" fillId="7" borderId="5" xfId="0" applyNumberFormat="1" applyFont="1" applyFill="1" applyBorder="1" applyAlignment="1" applyProtection="1">
      <alignment horizontal="right" vertical="center"/>
      <protection locked="0"/>
    </xf>
    <xf numFmtId="0" fontId="11" fillId="7" borderId="5" xfId="0" applyFont="1" applyFill="1" applyBorder="1" applyAlignment="1" applyProtection="1">
      <alignment horizontal="left" vertical="center"/>
      <protection locked="0"/>
    </xf>
    <xf numFmtId="0" fontId="11" fillId="7" borderId="5" xfId="0" applyFont="1" applyFill="1" applyBorder="1" applyAlignment="1" applyProtection="1">
      <alignment horizontal="left" vertical="top" wrapText="1"/>
      <protection locked="0"/>
    </xf>
    <xf numFmtId="170" fontId="12" fillId="6" borderId="3" xfId="0" applyNumberFormat="1" applyFont="1" applyFill="1" applyBorder="1" applyAlignment="1">
      <alignment horizontal="center" vertical="center"/>
    </xf>
    <xf numFmtId="171" fontId="12" fillId="6" borderId="3" xfId="0" applyNumberFormat="1" applyFont="1" applyFill="1" applyBorder="1" applyAlignment="1">
      <alignment horizontal="right" vertical="center"/>
    </xf>
    <xf numFmtId="0" fontId="12" fillId="6" borderId="3" xfId="0" applyFont="1" applyFill="1" applyBorder="1" applyAlignment="1">
      <alignment horizontal="center" vertical="center"/>
    </xf>
    <xf numFmtId="0" fontId="8" fillId="6" borderId="3" xfId="0" applyFont="1" applyFill="1" applyBorder="1" applyAlignment="1">
      <alignment horizontal="center" vertical="center"/>
    </xf>
    <xf numFmtId="0" fontId="9" fillId="3" borderId="0" xfId="0" applyFont="1" applyFill="1" applyAlignment="1">
      <alignment horizontal="left" vertical="top" wrapText="1"/>
    </xf>
    <xf numFmtId="0" fontId="11" fillId="7" borderId="5" xfId="0" applyFont="1" applyFill="1" applyBorder="1" applyAlignment="1" applyProtection="1">
      <alignment horizontal="center" vertical="center"/>
      <protection locked="0"/>
    </xf>
    <xf numFmtId="172" fontId="12" fillId="6" borderId="3" xfId="0" applyNumberFormat="1" applyFont="1" applyFill="1" applyBorder="1" applyAlignment="1">
      <alignment horizontal="right" vertical="center"/>
    </xf>
    <xf numFmtId="171" fontId="11" fillId="7" borderId="5" xfId="0" applyNumberFormat="1" applyFont="1" applyFill="1" applyBorder="1" applyAlignment="1" applyProtection="1">
      <alignment horizontal="right" vertical="center"/>
      <protection locked="0"/>
    </xf>
    <xf numFmtId="167" fontId="11" fillId="7" borderId="5" xfId="0" applyNumberFormat="1" applyFont="1" applyFill="1" applyBorder="1" applyAlignment="1" applyProtection="1">
      <alignment horizontal="center" vertical="center"/>
      <protection locked="0"/>
    </xf>
    <xf numFmtId="0" fontId="16" fillId="8" borderId="0" xfId="0" applyFont="1" applyFill="1" applyAlignment="1">
      <alignment horizontal="left" vertical="center" indent="1"/>
    </xf>
  </cellXfs>
  <cellStyles count="1">
    <cellStyle name="Normal" xfId="0" builtinId="0"/>
  </cellStyles>
  <dxfs count="6">
    <dxf>
      <font>
        <color rgb="FF8A5A00"/>
      </font>
      <fill>
        <patternFill>
          <bgColor rgb="FFFDEDD2"/>
        </patternFill>
      </fill>
    </dxf>
    <dxf>
      <font>
        <color rgb="FF2F5A2B"/>
      </font>
      <fill>
        <patternFill>
          <bgColor rgb="FFDCEBD8"/>
        </patternFill>
      </fill>
    </dxf>
    <dxf>
      <font>
        <color rgb="FF9C2A24"/>
      </font>
      <fill>
        <patternFill>
          <bgColor rgb="FFF8DAD9"/>
        </patternFill>
      </fill>
    </dxf>
    <dxf>
      <font>
        <color rgb="FF3A4578"/>
      </font>
      <fill>
        <patternFill>
          <bgColor rgb="FFE3E4F2"/>
        </patternFill>
      </fill>
    </dxf>
    <dxf>
      <font>
        <i/>
        <color rgb="FF6B5C66"/>
      </font>
    </dxf>
    <dxf>
      <font>
        <b/>
        <color rgb="FF9C2A24"/>
      </font>
      <fill>
        <patternFill>
          <bgColor rgb="FFF8DA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sheetPr>
    <tabColor rgb="FF6D3B5E"/>
    <pageSetUpPr fitToPage="1"/>
  </sheetPr>
  <dimension ref="A1:J71"/>
  <sheetViews>
    <sheetView showGridLines="0" tabSelected="1" workbookViewId="0">
      <pane ySplit="4" topLeftCell="A5" activePane="bottomLeft" state="frozen"/>
      <selection pane="bottomLeft"/>
    </sheetView>
  </sheetViews>
  <sheetFormatPr defaultRowHeight="15"/>
  <cols>
    <col min="1" max="1" width="3.7109375" customWidth="1"/>
    <col min="2" max="2" width="26.7109375" customWidth="1"/>
    <col min="3" max="10" width="13.7109375" customWidth="1"/>
    <col min="2" max="2" width="22.7109375" customWidth="1"/>
    <col min="3" max="3" width="60.7109375" customWidth="1"/>
    <col min="4" max="4" width="12.7109375" customWidth="1"/>
    <col min="2" max="2" width="26.7109375" customWidth="1"/>
    <col min="3" max="3" width="70.7109375" customWidth="1"/>
  </cols>
  <sheetData>
    <row r="1" spans="1:10" ht="34" customHeight="1">
      <c r="A1" s="2" t="s">
        <v>0</v>
      </c>
      <c r="B1" s="2"/>
      <c r="C1" s="2"/>
      <c r="D1" s="2"/>
      <c r="E1" s="2"/>
      <c r="F1" s="2"/>
      <c r="G1" s="2"/>
      <c r="H1" s="3" t="s">
        <v>1</v>
      </c>
      <c r="I1" s="3"/>
      <c r="J1" s="3"/>
    </row>
    <row r="2" spans="1:10" ht="18" customHeight="1">
      <c r="A2" s="4" t="s">
        <v>2</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32" customHeight="1">
      <c r="A5" s="6" t="s">
        <v>8</v>
      </c>
      <c r="B5" s="6"/>
      <c r="C5" s="6"/>
      <c r="D5" s="6"/>
      <c r="E5" s="6"/>
      <c r="F5" s="6"/>
      <c r="G5" s="6"/>
      <c r="H5" s="6"/>
      <c r="I5" s="6"/>
      <c r="J5" s="6"/>
    </row>
    <row r="7" spans="1:10" ht="20" customHeight="1">
      <c r="A7" s="7" t="s">
        <v>9</v>
      </c>
      <c r="B7" s="7"/>
      <c r="C7" s="7"/>
      <c r="D7" s="7"/>
      <c r="E7" s="7"/>
      <c r="F7" s="7"/>
      <c r="G7" s="7"/>
      <c r="H7" s="7"/>
      <c r="I7" s="7"/>
      <c r="J7" s="7"/>
    </row>
    <row r="8" spans="1:10" ht="32" customHeight="1">
      <c r="B8" s="8" t="s">
        <v>10</v>
      </c>
      <c r="C8" s="9" t="s">
        <v>11</v>
      </c>
      <c r="D8" s="9"/>
      <c r="E8" s="9"/>
      <c r="F8" s="9"/>
      <c r="G8" s="9"/>
      <c r="H8" s="9"/>
      <c r="I8" s="9"/>
      <c r="J8" s="9"/>
    </row>
    <row r="9" spans="1:10" ht="32" customHeight="1">
      <c r="B9" s="8" t="s">
        <v>12</v>
      </c>
      <c r="C9" s="9" t="s">
        <v>13</v>
      </c>
      <c r="D9" s="9"/>
      <c r="E9" s="9"/>
      <c r="F9" s="9"/>
      <c r="G9" s="9"/>
      <c r="H9" s="9"/>
      <c r="I9" s="9"/>
      <c r="J9" s="9"/>
    </row>
    <row r="10" spans="1:10" ht="32" customHeight="1">
      <c r="B10" s="8" t="s">
        <v>14</v>
      </c>
      <c r="C10" s="9" t="s">
        <v>15</v>
      </c>
      <c r="D10" s="9"/>
      <c r="E10" s="9"/>
      <c r="F10" s="9"/>
      <c r="G10" s="9"/>
      <c r="H10" s="9"/>
      <c r="I10" s="9"/>
      <c r="J10" s="9"/>
    </row>
    <row r="11" spans="1:10" ht="32" customHeight="1">
      <c r="B11" s="8" t="s">
        <v>16</v>
      </c>
      <c r="C11" s="9" t="s">
        <v>17</v>
      </c>
      <c r="D11" s="9"/>
      <c r="E11" s="9"/>
      <c r="F11" s="9"/>
      <c r="G11" s="9"/>
      <c r="H11" s="9"/>
      <c r="I11" s="9"/>
      <c r="J11" s="9"/>
    </row>
    <row r="12" spans="1:10" ht="32" customHeight="1">
      <c r="B12" s="8" t="s">
        <v>18</v>
      </c>
      <c r="C12" s="9" t="s">
        <v>19</v>
      </c>
      <c r="D12" s="9"/>
      <c r="E12" s="9"/>
      <c r="F12" s="9"/>
      <c r="G12" s="9"/>
      <c r="H12" s="9"/>
      <c r="I12" s="9"/>
      <c r="J12" s="9"/>
    </row>
    <row r="13" spans="1:10" ht="32" customHeight="1">
      <c r="B13" s="8" t="s">
        <v>20</v>
      </c>
      <c r="C13" s="9" t="s">
        <v>21</v>
      </c>
      <c r="D13" s="9"/>
      <c r="E13" s="9"/>
      <c r="F13" s="9"/>
      <c r="G13" s="9"/>
      <c r="H13" s="9"/>
      <c r="I13" s="9"/>
      <c r="J13" s="9"/>
    </row>
    <row r="15" spans="1:10" ht="20" customHeight="1">
      <c r="A15" s="7" t="s">
        <v>22</v>
      </c>
      <c r="B15" s="7"/>
      <c r="C15" s="7"/>
      <c r="D15" s="7"/>
      <c r="E15" s="7"/>
      <c r="F15" s="7"/>
      <c r="G15" s="7"/>
      <c r="H15" s="7"/>
      <c r="I15" s="7"/>
      <c r="J15" s="7"/>
    </row>
    <row r="16" spans="1:10" ht="26" customHeight="1">
      <c r="B16" s="10" t="s">
        <v>23</v>
      </c>
      <c r="C16" s="11" t="s">
        <v>24</v>
      </c>
      <c r="D16" s="11" t="s">
        <v>25</v>
      </c>
    </row>
    <row r="17" spans="2:10" ht="26" customHeight="1">
      <c r="B17" s="12" t="s">
        <v>26</v>
      </c>
      <c r="C17" s="9" t="s">
        <v>27</v>
      </c>
      <c r="D17" s="9"/>
      <c r="E17" s="9"/>
      <c r="F17" s="9"/>
      <c r="G17" s="9"/>
      <c r="H17" s="9"/>
      <c r="I17" s="9"/>
      <c r="J17" s="13" t="s">
        <v>28</v>
      </c>
    </row>
    <row r="18" spans="2:10" ht="26" customHeight="1">
      <c r="B18" s="12" t="s">
        <v>29</v>
      </c>
      <c r="C18" s="9" t="s">
        <v>30</v>
      </c>
      <c r="D18" s="9"/>
      <c r="E18" s="9"/>
      <c r="F18" s="9"/>
      <c r="G18" s="9"/>
      <c r="H18" s="9"/>
      <c r="I18" s="9"/>
      <c r="J18" s="13" t="s">
        <v>31</v>
      </c>
    </row>
    <row r="19" spans="2:10" ht="26" customHeight="1">
      <c r="B19" s="12" t="s">
        <v>32</v>
      </c>
      <c r="C19" s="9" t="s">
        <v>33</v>
      </c>
      <c r="D19" s="9"/>
      <c r="E19" s="9"/>
      <c r="F19" s="9"/>
      <c r="G19" s="9"/>
      <c r="H19" s="9"/>
      <c r="I19" s="9"/>
      <c r="J19" s="13" t="s">
        <v>31</v>
      </c>
    </row>
    <row r="20" spans="2:10" ht="26" customHeight="1">
      <c r="B20" s="12" t="s">
        <v>34</v>
      </c>
      <c r="C20" s="9" t="s">
        <v>35</v>
      </c>
      <c r="D20" s="9"/>
      <c r="E20" s="9"/>
      <c r="F20" s="9"/>
      <c r="G20" s="9"/>
      <c r="H20" s="9"/>
      <c r="I20" s="9"/>
      <c r="J20" s="13" t="s">
        <v>31</v>
      </c>
    </row>
    <row r="21" spans="2:10" ht="26" customHeight="1">
      <c r="B21" s="12" t="s">
        <v>36</v>
      </c>
      <c r="C21" s="9" t="s">
        <v>37</v>
      </c>
      <c r="D21" s="9"/>
      <c r="E21" s="9"/>
      <c r="F21" s="9"/>
      <c r="G21" s="9"/>
      <c r="H21" s="9"/>
      <c r="I21" s="9"/>
      <c r="J21" s="13" t="s">
        <v>31</v>
      </c>
    </row>
    <row r="22" spans="2:10" ht="26" customHeight="1">
      <c r="B22" s="12" t="s">
        <v>38</v>
      </c>
      <c r="C22" s="9" t="s">
        <v>39</v>
      </c>
      <c r="D22" s="9"/>
      <c r="E22" s="9"/>
      <c r="F22" s="9"/>
      <c r="G22" s="9"/>
      <c r="H22" s="9"/>
      <c r="I22" s="9"/>
      <c r="J22" s="13" t="s">
        <v>31</v>
      </c>
    </row>
    <row r="23" spans="2:10" ht="26" customHeight="1">
      <c r="B23" s="12" t="s">
        <v>40</v>
      </c>
      <c r="C23" s="9" t="s">
        <v>41</v>
      </c>
      <c r="D23" s="9"/>
      <c r="E23" s="9"/>
      <c r="F23" s="9"/>
      <c r="G23" s="9"/>
      <c r="H23" s="9"/>
      <c r="I23" s="9"/>
      <c r="J23" s="13" t="s">
        <v>31</v>
      </c>
    </row>
    <row r="24" spans="2:10" ht="26" customHeight="1">
      <c r="B24" s="12" t="s">
        <v>42</v>
      </c>
      <c r="C24" s="9" t="s">
        <v>43</v>
      </c>
      <c r="D24" s="9"/>
      <c r="E24" s="9"/>
      <c r="F24" s="9"/>
      <c r="G24" s="9"/>
      <c r="H24" s="9"/>
      <c r="I24" s="9"/>
      <c r="J24" s="13" t="s">
        <v>31</v>
      </c>
    </row>
    <row r="25" spans="2:10" ht="26" customHeight="1">
      <c r="B25" s="12" t="s">
        <v>44</v>
      </c>
      <c r="C25" s="9" t="s">
        <v>45</v>
      </c>
      <c r="D25" s="9"/>
      <c r="E25" s="9"/>
      <c r="F25" s="9"/>
      <c r="G25" s="9"/>
      <c r="H25" s="9"/>
      <c r="I25" s="9"/>
      <c r="J25" s="13" t="s">
        <v>31</v>
      </c>
    </row>
    <row r="26" spans="2:10" ht="26" customHeight="1">
      <c r="B26" s="12" t="s">
        <v>46</v>
      </c>
      <c r="C26" s="9" t="s">
        <v>47</v>
      </c>
      <c r="D26" s="9"/>
      <c r="E26" s="9"/>
      <c r="F26" s="9"/>
      <c r="G26" s="9"/>
      <c r="H26" s="9"/>
      <c r="I26" s="9"/>
      <c r="J26" s="13" t="s">
        <v>31</v>
      </c>
    </row>
    <row r="27" spans="2:10" ht="26" customHeight="1">
      <c r="B27" s="12" t="s">
        <v>48</v>
      </c>
      <c r="C27" s="9" t="s">
        <v>49</v>
      </c>
      <c r="D27" s="9"/>
      <c r="E27" s="9"/>
      <c r="F27" s="9"/>
      <c r="G27" s="9"/>
      <c r="H27" s="9"/>
      <c r="I27" s="9"/>
      <c r="J27" s="13" t="s">
        <v>28</v>
      </c>
    </row>
    <row r="28" spans="2:10" ht="26" customHeight="1">
      <c r="B28" s="12" t="s">
        <v>50</v>
      </c>
      <c r="C28" s="9" t="s">
        <v>51</v>
      </c>
      <c r="D28" s="9"/>
      <c r="E28" s="9"/>
      <c r="F28" s="9"/>
      <c r="G28" s="9"/>
      <c r="H28" s="9"/>
      <c r="I28" s="9"/>
      <c r="J28" s="13" t="s">
        <v>31</v>
      </c>
    </row>
    <row r="29" spans="2:10" ht="26" customHeight="1">
      <c r="B29" s="12" t="s">
        <v>52</v>
      </c>
      <c r="C29" s="9" t="s">
        <v>53</v>
      </c>
      <c r="D29" s="9"/>
      <c r="E29" s="9"/>
      <c r="F29" s="9"/>
      <c r="G29" s="9"/>
      <c r="H29" s="9"/>
      <c r="I29" s="9"/>
      <c r="J29" s="13" t="s">
        <v>31</v>
      </c>
    </row>
    <row r="30" spans="2:10" ht="26" customHeight="1">
      <c r="B30" s="12" t="s">
        <v>54</v>
      </c>
      <c r="C30" s="9" t="s">
        <v>55</v>
      </c>
      <c r="D30" s="9"/>
      <c r="E30" s="9"/>
      <c r="F30" s="9"/>
      <c r="G30" s="9"/>
      <c r="H30" s="9"/>
      <c r="I30" s="9"/>
      <c r="J30" s="13" t="s">
        <v>31</v>
      </c>
    </row>
    <row r="31" spans="2:10" ht="26" customHeight="1">
      <c r="B31" s="12" t="s">
        <v>56</v>
      </c>
      <c r="C31" s="9" t="s">
        <v>57</v>
      </c>
      <c r="D31" s="9"/>
      <c r="E31" s="9"/>
      <c r="F31" s="9"/>
      <c r="G31" s="9"/>
      <c r="H31" s="9"/>
      <c r="I31" s="9"/>
      <c r="J31" s="13" t="s">
        <v>31</v>
      </c>
    </row>
    <row r="32" spans="2:10" ht="26" customHeight="1">
      <c r="B32" s="12" t="s">
        <v>58</v>
      </c>
      <c r="C32" s="9" t="s">
        <v>59</v>
      </c>
      <c r="D32" s="9"/>
      <c r="E32" s="9"/>
      <c r="F32" s="9"/>
      <c r="G32" s="9"/>
      <c r="H32" s="9"/>
      <c r="I32" s="9"/>
      <c r="J32" s="13" t="s">
        <v>31</v>
      </c>
    </row>
    <row r="33" spans="1:10" ht="26" customHeight="1">
      <c r="B33" s="12" t="s">
        <v>60</v>
      </c>
      <c r="C33" s="9" t="s">
        <v>61</v>
      </c>
      <c r="D33" s="9"/>
      <c r="E33" s="9"/>
      <c r="F33" s="9"/>
      <c r="G33" s="9"/>
      <c r="H33" s="9"/>
      <c r="I33" s="9"/>
      <c r="J33" s="13" t="s">
        <v>28</v>
      </c>
    </row>
    <row r="34" spans="1:10" ht="26" customHeight="1">
      <c r="B34" s="12" t="s">
        <v>62</v>
      </c>
      <c r="C34" s="9" t="s">
        <v>63</v>
      </c>
      <c r="D34" s="9"/>
      <c r="E34" s="9"/>
      <c r="F34" s="9"/>
      <c r="G34" s="9"/>
      <c r="H34" s="9"/>
      <c r="I34" s="9"/>
      <c r="J34" s="13" t="s">
        <v>28</v>
      </c>
    </row>
    <row r="35" spans="1:10" ht="26" customHeight="1">
      <c r="B35" s="12" t="s">
        <v>64</v>
      </c>
      <c r="C35" s="9" t="s">
        <v>65</v>
      </c>
      <c r="D35" s="9"/>
      <c r="E35" s="9"/>
      <c r="F35" s="9"/>
      <c r="G35" s="9"/>
      <c r="H35" s="9"/>
      <c r="I35" s="9"/>
      <c r="J35" s="13" t="s">
        <v>66</v>
      </c>
    </row>
    <row r="37" spans="1:10" ht="20" customHeight="1">
      <c r="A37" s="7" t="s">
        <v>67</v>
      </c>
      <c r="B37" s="7"/>
      <c r="C37" s="7"/>
      <c r="D37" s="7"/>
      <c r="E37" s="7"/>
      <c r="F37" s="7"/>
      <c r="G37" s="7"/>
      <c r="H37" s="7"/>
      <c r="I37" s="7"/>
      <c r="J37" s="7"/>
    </row>
    <row r="38" spans="1:10" ht="26" customHeight="1">
      <c r="B38" s="9" t="s">
        <v>68</v>
      </c>
      <c r="C38" s="9"/>
      <c r="D38" s="9"/>
      <c r="E38" s="9"/>
      <c r="F38" s="9"/>
      <c r="G38" s="9"/>
      <c r="H38" s="9"/>
      <c r="I38" s="9"/>
      <c r="J38" s="9"/>
    </row>
    <row r="39" spans="1:10" ht="26" customHeight="1">
      <c r="B39" s="9" t="s">
        <v>69</v>
      </c>
      <c r="C39" s="9"/>
      <c r="D39" s="9"/>
      <c r="E39" s="9"/>
      <c r="F39" s="9"/>
      <c r="G39" s="9"/>
      <c r="H39" s="9"/>
      <c r="I39" s="9"/>
      <c r="J39" s="9"/>
    </row>
    <row r="40" spans="1:10" ht="26" customHeight="1">
      <c r="B40" s="9" t="s">
        <v>70</v>
      </c>
      <c r="C40" s="9"/>
      <c r="D40" s="9"/>
      <c r="E40" s="9"/>
      <c r="F40" s="9"/>
      <c r="G40" s="9"/>
      <c r="H40" s="9"/>
      <c r="I40" s="9"/>
      <c r="J40" s="9"/>
    </row>
    <row r="41" spans="1:10" ht="26" customHeight="1">
      <c r="B41" s="9" t="s">
        <v>71</v>
      </c>
      <c r="C41" s="9"/>
      <c r="D41" s="9"/>
      <c r="E41" s="9"/>
      <c r="F41" s="9"/>
      <c r="G41" s="9"/>
      <c r="H41" s="9"/>
      <c r="I41" s="9"/>
      <c r="J41" s="9"/>
    </row>
    <row r="42" spans="1:10" ht="26" customHeight="1">
      <c r="B42" s="9" t="s">
        <v>72</v>
      </c>
      <c r="C42" s="9"/>
      <c r="D42" s="9"/>
      <c r="E42" s="9"/>
      <c r="F42" s="9"/>
      <c r="G42" s="9"/>
      <c r="H42" s="9"/>
      <c r="I42" s="9"/>
      <c r="J42" s="9"/>
    </row>
    <row r="43" spans="1:10" ht="26" customHeight="1">
      <c r="B43" s="9" t="s">
        <v>73</v>
      </c>
      <c r="C43" s="9"/>
      <c r="D43" s="9"/>
      <c r="E43" s="9"/>
      <c r="F43" s="9"/>
      <c r="G43" s="9"/>
      <c r="H43" s="9"/>
      <c r="I43" s="9"/>
      <c r="J43" s="9"/>
    </row>
    <row r="44" spans="1:10" ht="26" customHeight="1">
      <c r="B44" s="9" t="s">
        <v>74</v>
      </c>
      <c r="C44" s="9"/>
      <c r="D44" s="9"/>
      <c r="E44" s="9"/>
      <c r="F44" s="9"/>
      <c r="G44" s="9"/>
      <c r="H44" s="9"/>
      <c r="I44" s="9"/>
      <c r="J44" s="9"/>
    </row>
    <row r="46" spans="1:10" ht="20" customHeight="1">
      <c r="A46" s="7" t="s">
        <v>75</v>
      </c>
      <c r="B46" s="7"/>
      <c r="C46" s="7"/>
      <c r="D46" s="7"/>
      <c r="E46" s="7"/>
      <c r="F46" s="7"/>
      <c r="G46" s="7"/>
      <c r="H46" s="7"/>
      <c r="I46" s="7"/>
      <c r="J46" s="7"/>
    </row>
    <row r="47" spans="1:10" ht="30" customHeight="1">
      <c r="B47" s="9" t="s">
        <v>76</v>
      </c>
      <c r="C47" s="9"/>
      <c r="D47" s="9"/>
      <c r="E47" s="9"/>
      <c r="F47" s="9"/>
      <c r="G47" s="9"/>
      <c r="H47" s="9"/>
      <c r="I47" s="9"/>
      <c r="J47" s="9"/>
    </row>
    <row r="48" spans="1:10" ht="30" customHeight="1">
      <c r="B48" s="9" t="s">
        <v>77</v>
      </c>
      <c r="C48" s="9"/>
      <c r="D48" s="9"/>
      <c r="E48" s="9"/>
      <c r="F48" s="9"/>
      <c r="G48" s="9"/>
      <c r="H48" s="9"/>
      <c r="I48" s="9"/>
      <c r="J48" s="9"/>
    </row>
    <row r="49" spans="1:10" ht="30" customHeight="1">
      <c r="B49" s="9" t="s">
        <v>78</v>
      </c>
      <c r="C49" s="9"/>
      <c r="D49" s="9"/>
      <c r="E49" s="9"/>
      <c r="F49" s="9"/>
      <c r="G49" s="9"/>
      <c r="H49" s="9"/>
      <c r="I49" s="9"/>
      <c r="J49" s="9"/>
    </row>
    <row r="50" spans="1:10" ht="30" customHeight="1">
      <c r="B50" s="9" t="s">
        <v>79</v>
      </c>
      <c r="C50" s="9"/>
      <c r="D50" s="9"/>
      <c r="E50" s="9"/>
      <c r="F50" s="9"/>
      <c r="G50" s="9"/>
      <c r="H50" s="9"/>
      <c r="I50" s="9"/>
      <c r="J50" s="9"/>
    </row>
    <row r="51" spans="1:10" ht="30" customHeight="1">
      <c r="B51" s="9" t="s">
        <v>80</v>
      </c>
      <c r="C51" s="9"/>
      <c r="D51" s="9"/>
      <c r="E51" s="9"/>
      <c r="F51" s="9"/>
      <c r="G51" s="9"/>
      <c r="H51" s="9"/>
      <c r="I51" s="9"/>
      <c r="J51" s="9"/>
    </row>
    <row r="53" spans="1:10" ht="20" customHeight="1">
      <c r="A53" s="7" t="s">
        <v>81</v>
      </c>
      <c r="B53" s="7"/>
      <c r="C53" s="7"/>
      <c r="D53" s="7"/>
      <c r="E53" s="7"/>
      <c r="F53" s="7"/>
      <c r="G53" s="7"/>
      <c r="H53" s="7"/>
      <c r="I53" s="7"/>
      <c r="J53" s="7"/>
    </row>
    <row r="54" spans="1:10" ht="26" customHeight="1">
      <c r="B54" s="10" t="s">
        <v>82</v>
      </c>
      <c r="C54" s="11" t="s">
        <v>83</v>
      </c>
    </row>
    <row r="55" spans="1:10" ht="26" customHeight="1">
      <c r="B55" s="8" t="s">
        <v>84</v>
      </c>
      <c r="C55" s="9" t="s">
        <v>85</v>
      </c>
      <c r="D55" s="9"/>
      <c r="E55" s="9"/>
      <c r="F55" s="9"/>
      <c r="G55" s="9"/>
      <c r="H55" s="9"/>
      <c r="I55" s="9"/>
      <c r="J55" s="9"/>
    </row>
    <row r="56" spans="1:10" ht="26" customHeight="1">
      <c r="B56" s="8" t="s">
        <v>86</v>
      </c>
      <c r="C56" s="9" t="s">
        <v>87</v>
      </c>
      <c r="D56" s="9"/>
      <c r="E56" s="9"/>
      <c r="F56" s="9"/>
      <c r="G56" s="9"/>
      <c r="H56" s="9"/>
      <c r="I56" s="9"/>
      <c r="J56" s="9"/>
    </row>
    <row r="57" spans="1:10" ht="26" customHeight="1">
      <c r="B57" s="8" t="s">
        <v>88</v>
      </c>
      <c r="C57" s="9" t="s">
        <v>89</v>
      </c>
      <c r="D57" s="9"/>
      <c r="E57" s="9"/>
      <c r="F57" s="9"/>
      <c r="G57" s="9"/>
      <c r="H57" s="9"/>
      <c r="I57" s="9"/>
      <c r="J57" s="9"/>
    </row>
    <row r="58" spans="1:10" ht="26" customHeight="1">
      <c r="B58" s="8" t="s">
        <v>90</v>
      </c>
      <c r="C58" s="9" t="s">
        <v>91</v>
      </c>
      <c r="D58" s="9"/>
      <c r="E58" s="9"/>
      <c r="F58" s="9"/>
      <c r="G58" s="9"/>
      <c r="H58" s="9"/>
      <c r="I58" s="9"/>
      <c r="J58" s="9"/>
    </row>
    <row r="59" spans="1:10" ht="26" customHeight="1">
      <c r="B59" s="8" t="s">
        <v>92</v>
      </c>
      <c r="C59" s="9" t="s">
        <v>93</v>
      </c>
      <c r="D59" s="9"/>
      <c r="E59" s="9"/>
      <c r="F59" s="9"/>
      <c r="G59" s="9"/>
      <c r="H59" s="9"/>
      <c r="I59" s="9"/>
      <c r="J59" s="9"/>
    </row>
    <row r="60" spans="1:10" ht="26" customHeight="1">
      <c r="B60" s="8" t="s">
        <v>94</v>
      </c>
      <c r="C60" s="9" t="s">
        <v>95</v>
      </c>
      <c r="D60" s="9"/>
      <c r="E60" s="9"/>
      <c r="F60" s="9"/>
      <c r="G60" s="9"/>
      <c r="H60" s="9"/>
      <c r="I60" s="9"/>
      <c r="J60" s="9"/>
    </row>
    <row r="61" spans="1:10" ht="26" customHeight="1">
      <c r="B61" s="8" t="s">
        <v>96</v>
      </c>
      <c r="C61" s="9" t="s">
        <v>97</v>
      </c>
      <c r="D61" s="9"/>
      <c r="E61" s="9"/>
      <c r="F61" s="9"/>
      <c r="G61" s="9"/>
      <c r="H61" s="9"/>
      <c r="I61" s="9"/>
      <c r="J61" s="9"/>
    </row>
    <row r="62" spans="1:10" ht="26" customHeight="1">
      <c r="B62" s="8" t="s">
        <v>98</v>
      </c>
      <c r="C62" s="9" t="s">
        <v>99</v>
      </c>
      <c r="D62" s="9"/>
      <c r="E62" s="9"/>
      <c r="F62" s="9"/>
      <c r="G62" s="9"/>
      <c r="H62" s="9"/>
      <c r="I62" s="9"/>
      <c r="J62" s="9"/>
    </row>
    <row r="63" spans="1:10" ht="26" customHeight="1">
      <c r="B63" s="8" t="s">
        <v>100</v>
      </c>
      <c r="C63" s="9" t="s">
        <v>101</v>
      </c>
      <c r="D63" s="9"/>
      <c r="E63" s="9"/>
      <c r="F63" s="9"/>
      <c r="G63" s="9"/>
      <c r="H63" s="9"/>
      <c r="I63" s="9"/>
      <c r="J63" s="9"/>
    </row>
    <row r="64" spans="1:10" ht="26" customHeight="1">
      <c r="B64" s="8" t="s">
        <v>102</v>
      </c>
      <c r="C64" s="9" t="s">
        <v>103</v>
      </c>
      <c r="D64" s="9"/>
      <c r="E64" s="9"/>
      <c r="F64" s="9"/>
      <c r="G64" s="9"/>
      <c r="H64" s="9"/>
      <c r="I64" s="9"/>
      <c r="J64" s="9"/>
    </row>
    <row r="65" spans="1:10" ht="26" customHeight="1">
      <c r="B65" s="8" t="s">
        <v>104</v>
      </c>
      <c r="C65" s="9" t="s">
        <v>105</v>
      </c>
      <c r="D65" s="9"/>
      <c r="E65" s="9"/>
      <c r="F65" s="9"/>
      <c r="G65" s="9"/>
      <c r="H65" s="9"/>
      <c r="I65" s="9"/>
      <c r="J65" s="9"/>
    </row>
    <row r="67" spans="1:10" ht="20" customHeight="1">
      <c r="A67" s="7" t="s">
        <v>106</v>
      </c>
      <c r="B67" s="7"/>
      <c r="C67" s="7"/>
      <c r="D67" s="7"/>
      <c r="E67" s="7"/>
      <c r="F67" s="7"/>
      <c r="G67" s="7"/>
      <c r="H67" s="7"/>
      <c r="I67" s="7"/>
      <c r="J67" s="7"/>
    </row>
    <row r="68" spans="1:10" ht="50" customHeight="1">
      <c r="A68" s="6" t="s">
        <v>107</v>
      </c>
      <c r="B68" s="6"/>
      <c r="C68" s="6"/>
      <c r="D68" s="6"/>
      <c r="E68" s="6"/>
      <c r="F68" s="6"/>
      <c r="G68" s="6"/>
      <c r="H68" s="6"/>
      <c r="I68" s="6"/>
      <c r="J68" s="6"/>
    </row>
    <row r="70" spans="1:10">
      <c r="B70" s="8" t="s">
        <v>108</v>
      </c>
      <c r="C70" s="13" t="s">
        <v>109</v>
      </c>
      <c r="E70" s="8" t="s">
        <v>110</v>
      </c>
      <c r="F70" s="13" t="s">
        <v>111</v>
      </c>
      <c r="G70" s="13"/>
      <c r="H70" s="13"/>
      <c r="I70" s="13"/>
      <c r="J70" s="13"/>
    </row>
    <row r="71" spans="1:10">
      <c r="B71" s="8" t="s">
        <v>112</v>
      </c>
      <c r="C71" s="13" t="s">
        <v>113</v>
      </c>
      <c r="E71" s="8" t="s">
        <v>114</v>
      </c>
      <c r="F71" s="13" t="s">
        <v>115</v>
      </c>
      <c r="G71" s="13"/>
      <c r="H71" s="13"/>
      <c r="I71" s="13"/>
      <c r="J71" s="13"/>
    </row>
  </sheetData>
  <sheetProtection password="EC7C" sheet="1" objects="1" scenarios="1" formatCells="0" formatColumns="0" formatRows="0" insertRows="0" insertHyperlinks="0" deleteRows="0" autoFilter="0"/>
  <mergeCells count="66">
    <mergeCell ref="A1:G1"/>
    <mergeCell ref="H1:J1"/>
    <mergeCell ref="A2:J2"/>
    <mergeCell ref="A3:B3"/>
    <mergeCell ref="C3:D3"/>
    <mergeCell ref="E3:F3"/>
    <mergeCell ref="G3:H3"/>
    <mergeCell ref="I3:J3"/>
    <mergeCell ref="A5:J5"/>
    <mergeCell ref="A7:J7"/>
    <mergeCell ref="C8:J8"/>
    <mergeCell ref="C9:J9"/>
    <mergeCell ref="C10:J10"/>
    <mergeCell ref="C11:J11"/>
    <mergeCell ref="C12:J12"/>
    <mergeCell ref="C13:J13"/>
    <mergeCell ref="A15:J15"/>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C32:I32"/>
    <mergeCell ref="C33:I33"/>
    <mergeCell ref="C34:I34"/>
    <mergeCell ref="C35:I35"/>
    <mergeCell ref="A37:J37"/>
    <mergeCell ref="B38:J38"/>
    <mergeCell ref="B39:J39"/>
    <mergeCell ref="B40:J40"/>
    <mergeCell ref="B41:J41"/>
    <mergeCell ref="B42:J42"/>
    <mergeCell ref="B43:J43"/>
    <mergeCell ref="B44:J44"/>
    <mergeCell ref="A46:J46"/>
    <mergeCell ref="B47:J47"/>
    <mergeCell ref="B48:J48"/>
    <mergeCell ref="B49:J49"/>
    <mergeCell ref="B50:J50"/>
    <mergeCell ref="B51:J51"/>
    <mergeCell ref="A53:J53"/>
    <mergeCell ref="C55:J55"/>
    <mergeCell ref="C56:J56"/>
    <mergeCell ref="C57:J57"/>
    <mergeCell ref="C58:J58"/>
    <mergeCell ref="C59:J59"/>
    <mergeCell ref="C60:J60"/>
    <mergeCell ref="C61:J61"/>
    <mergeCell ref="C62:J62"/>
    <mergeCell ref="C63:J63"/>
    <mergeCell ref="C64:J64"/>
    <mergeCell ref="C65:J65"/>
    <mergeCell ref="A67:J67"/>
    <mergeCell ref="A68:J68"/>
    <mergeCell ref="F70:J70"/>
    <mergeCell ref="F71:J71"/>
  </mergeCell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B17" location="Dashboard!A1" display="Dashboard"/>
    <hyperlink ref="B18" location="Appointments!A1" display="Appointments"/>
    <hyperlink ref="B19" location="Clients!A1" display="Clients"/>
    <hyperlink ref="B20" location="Services!A1" display="Services"/>
    <hyperlink ref="B21" location="Sales!A1" display="Sales"/>
    <hyperlink ref="B22" location="Payments!A1" display="Payments"/>
    <hyperlink ref="B23" location="Staff!A1" display="Staff"/>
    <hyperlink ref="B24" location="Commissions!A1" display="Commissions"/>
    <hyperlink ref="B25" location="Payroll!A1" display="Payroll"/>
    <hyperlink ref="B26" location="Expenses!A1" display="Expenses"/>
    <hyperlink ref="B27" location="'Profit &amp; Loss'!A1" display="Profit &amp; Loss"/>
    <hyperlink ref="B28" location="Inventory!A1" display="Inventory"/>
    <hyperlink ref="B29" location="Purchases!A1" display="Purchases"/>
    <hyperlink ref="B30" location="Marketing!A1" display="Marketing"/>
    <hyperlink ref="B31" location="Loyalty!A1" display="Loyalty"/>
    <hyperlink ref="B32" location="'Goals &amp; Budget'!A1" display="Goals &amp; Budget"/>
    <hyperlink ref="B33" location="Analytics!A1" display="Analytics"/>
    <hyperlink ref="B34" location="Reports!A1" display="Reports"/>
    <hyperlink ref="B35" location="Settings!A1" display="Settings"/>
  </hyperlinks>
  <pageMargins left="0.4" right="0.4" top="0.6" bottom="0.5" header="0.3" footer="0.3"/>
  <pageSetup paperSize="9" fitToHeight="0" orientation="portrait"/>
  <headerFooter>
    <oddHeader>&amp;L&amp;"Calibri,Bold"&amp;12&amp;C&amp;"Calibri,Bold"&amp;11Start Here&amp;R&amp;"Calibri,Italic"&amp;9Salon Business Management Spreadsheet</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6D3B5E"/>
    <pageSetUpPr fitToPage="1"/>
  </sheetPr>
  <dimension ref="A1:M82"/>
  <sheetViews>
    <sheetView showGridLines="0" workbookViewId="0">
      <pane ySplit="6" topLeftCell="A7" activePane="bottomLeft" state="frozen"/>
      <selection pane="bottomLeft"/>
    </sheetView>
  </sheetViews>
  <sheetFormatPr defaultRowHeight="15"/>
  <cols>
    <col min="1" max="1" width="26.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3" max="13" width="13.7109375" customWidth="1"/>
    <col min="1" max="1" width="28.7109375" customWidth="1"/>
    <col min="2" max="2" width="11.7109375" customWidth="1"/>
    <col min="3" max="3" width="48.7109375" customWidth="1"/>
    <col min="4" max="4" width="18.7109375" customWidth="1"/>
    <col min="1" max="1" width="20.7109375" customWidth="1"/>
    <col min="2" max="2" width="14.7109375" customWidth="1"/>
    <col min="3" max="3" width="13.7109375" customWidth="1"/>
    <col min="4" max="4" width="11.7109375" customWidth="1"/>
    <col min="5" max="5" width="13.7109375" customWidth="1"/>
    <col min="6" max="6" width="12.7109375" customWidth="1"/>
    <col min="7" max="7" width="12.7109375" customWidth="1"/>
    <col min="8" max="8" width="12.7109375" customWidth="1"/>
    <col min="9" max="9" width="12.7109375" customWidth="1"/>
    <col min="10" max="10" width="13.7109375" customWidth="1"/>
    <col min="11" max="11" width="13.7109375" customWidth="1"/>
    <col min="1" max="1" width="24.7109375" customWidth="1"/>
    <col min="2" max="2" width="9.7109375" customWidth="1"/>
    <col min="3" max="3" width="24.7109375" customWidth="1"/>
    <col min="4" max="4" width="12.7109375" customWidth="1"/>
    <col min="5" max="5" width="24.7109375" customWidth="1"/>
    <col min="6" max="6" width="11.7109375" customWidth="1"/>
    <col min="7" max="7" width="22.7109375" customWidth="1"/>
    <col min="8" max="8" width="12.7109375" customWidth="1"/>
    <col min="1" max="1" width="12.7109375" customWidth="1"/>
    <col min="2" max="2" width="13.7109375" customWidth="1"/>
    <col min="3" max="3" width="12.7109375" customWidth="1"/>
    <col min="4" max="4" width="13.7109375" customWidth="1"/>
    <col min="5" max="5" width="12.7109375" customWidth="1"/>
    <col min="6" max="6" width="11.7109375" customWidth="1"/>
    <col min="7" max="7" width="13.7109375" customWidth="1"/>
    <col min="8" max="8" width="12.7109375" customWidth="1"/>
    <col min="9" max="9" width="12.7109375" customWidth="1"/>
    <col min="10" max="10" width="14.7109375" customWidth="1"/>
    <col min="11" max="11" width="10.7109375" customWidth="1"/>
    <col min="12" max="12" width="12.7109375" customWidth="1"/>
    <col min="13" max="13" width="13.7109375" customWidth="1"/>
    <col min="1" max="1" width="14.7109375" customWidth="1"/>
    <col min="2" max="2" width="14.7109375" customWidth="1"/>
    <col min="3" max="3" width="14.7109375" customWidth="1"/>
    <col min="4" max="4" width="13.7109375" customWidth="1"/>
    <col min="5" max="5" width="13.7109375" customWidth="1"/>
    <col min="6" max="6" width="15.7109375" customWidth="1"/>
    <col min="7" max="7" width="10.7109375" customWidth="1"/>
    <col min="8" max="8" width="15.7109375" customWidth="1"/>
  </cols>
  <sheetData>
    <row r="1" spans="1:13" ht="34" customHeight="1">
      <c r="A1" s="2" t="s">
        <v>116</v>
      </c>
      <c r="B1" s="2"/>
      <c r="C1" s="2"/>
      <c r="D1" s="2"/>
      <c r="E1" s="2"/>
      <c r="F1" s="2"/>
      <c r="G1" s="2"/>
      <c r="H1" s="2"/>
      <c r="I1" s="2"/>
      <c r="J1" s="2"/>
      <c r="K1" s="3" t="s">
        <v>1</v>
      </c>
      <c r="L1" s="3"/>
      <c r="M1" s="3"/>
    </row>
    <row r="2" spans="1:13" ht="18" customHeight="1">
      <c r="A2" s="4" t="s">
        <v>117</v>
      </c>
      <c r="B2" s="4"/>
      <c r="C2" s="4"/>
      <c r="D2" s="4"/>
      <c r="E2" s="4"/>
      <c r="F2" s="4"/>
      <c r="G2" s="4"/>
      <c r="H2" s="4"/>
      <c r="I2" s="4"/>
      <c r="J2" s="4"/>
      <c r="K2" s="4"/>
      <c r="L2" s="4"/>
      <c r="M2" s="4"/>
    </row>
    <row r="3" spans="1:13" ht="16" customHeight="1">
      <c r="A3" s="5" t="s">
        <v>3</v>
      </c>
      <c r="B3" s="5"/>
      <c r="C3" s="5" t="s">
        <v>4</v>
      </c>
      <c r="D3" s="5"/>
      <c r="E3" s="5" t="s">
        <v>5</v>
      </c>
      <c r="F3" s="5"/>
      <c r="G3" s="5" t="s">
        <v>6</v>
      </c>
      <c r="H3" s="5"/>
      <c r="I3" s="5" t="s">
        <v>7</v>
      </c>
      <c r="J3" s="5"/>
      <c r="K3" s="5" t="s">
        <v>118</v>
      </c>
      <c r="L3" s="5"/>
      <c r="M3" s="14" t="s">
        <v>119</v>
      </c>
    </row>
    <row r="5" spans="1:13">
      <c r="A5" s="8" t="s">
        <v>120</v>
      </c>
      <c r="B5" s="15">
        <f>SalonName</f>
        <v>0</v>
      </c>
      <c r="C5" s="15"/>
      <c r="D5" s="15"/>
      <c r="E5" s="16" t="s">
        <v>121</v>
      </c>
      <c r="F5" s="15">
        <f>TEXT(TodayDate,"mmmm yyyy")</f>
        <v>0</v>
      </c>
      <c r="G5" s="16" t="s">
        <v>122</v>
      </c>
      <c r="H5" s="15">
        <f>TEXT(TodayDate,"yyyy-mm")</f>
        <v>0</v>
      </c>
      <c r="I5" s="16" t="s">
        <v>123</v>
      </c>
      <c r="J5" s="16"/>
      <c r="K5" s="15">
        <f>TEXT(DATE(YEAR(TodayDate),MONTH(TodayDate)-1,1),"yyyy-mm")</f>
        <v>0</v>
      </c>
      <c r="L5" s="16" t="s">
        <v>124</v>
      </c>
      <c r="M5" s="17">
        <f>TodayDate</f>
        <v>0</v>
      </c>
    </row>
    <row r="7" spans="1:13">
      <c r="A7" s="18" t="s">
        <v>125</v>
      </c>
      <c r="B7" s="18"/>
      <c r="C7" s="18"/>
      <c r="D7" s="18" t="s">
        <v>127</v>
      </c>
      <c r="E7" s="18"/>
      <c r="F7" s="18"/>
      <c r="G7" s="18" t="s">
        <v>129</v>
      </c>
      <c r="H7" s="18"/>
      <c r="I7" s="18"/>
      <c r="J7" s="18" t="s">
        <v>131</v>
      </c>
      <c r="K7" s="18"/>
      <c r="L7" s="18"/>
    </row>
    <row r="8" spans="1:13" ht="26" customHeight="1">
      <c r="A8" s="19">
        <f>ROUND(SUMIFS(Sales!$Y$5:$Y$1204,Sales!$R$5:$R$1204,DashKey),2)</f>
        <v>0</v>
      </c>
      <c r="B8" s="19"/>
      <c r="C8" s="19"/>
      <c r="D8" s="20">
        <f>IFERROR(SUMIFS(Sales!$Y$5:$Y$1204,Sales!$R$5:$R$1204,DashKey)/MAX(0.01,RevenueTargetMonth),"")</f>
        <v>0</v>
      </c>
      <c r="E8" s="20"/>
      <c r="F8" s="20"/>
      <c r="G8" s="19">
        <f>ROUND(MonthNetSales-MonthCostOfSales-MonthWages-MonthExpenses,2)</f>
        <v>0</v>
      </c>
      <c r="H8" s="19"/>
      <c r="I8" s="19"/>
      <c r="J8" s="21">
        <f>IF(MonthNetSales&lt;=0,"",(MonthNetSales-MonthCostOfSales-MonthWages-MonthExpenses)/MonthNetSales)</f>
        <v>0</v>
      </c>
      <c r="K8" s="21"/>
      <c r="L8" s="21"/>
    </row>
    <row r="9" spans="1:13">
      <c r="A9" s="22" t="s">
        <v>126</v>
      </c>
      <c r="B9" s="22"/>
      <c r="C9" s="22"/>
      <c r="D9" s="22" t="s">
        <v>128</v>
      </c>
      <c r="E9" s="22"/>
      <c r="F9" s="22"/>
      <c r="G9" s="22" t="s">
        <v>130</v>
      </c>
      <c r="H9" s="22"/>
      <c r="I9" s="22"/>
      <c r="J9" s="22" t="s">
        <v>132</v>
      </c>
      <c r="K9" s="22"/>
      <c r="L9" s="22"/>
    </row>
    <row r="11" spans="1:13">
      <c r="A11" s="18" t="s">
        <v>133</v>
      </c>
      <c r="B11" s="18"/>
      <c r="C11" s="18"/>
      <c r="D11" s="18" t="s">
        <v>88</v>
      </c>
      <c r="E11" s="18"/>
      <c r="F11" s="18"/>
      <c r="G11" s="18" t="s">
        <v>136</v>
      </c>
      <c r="H11" s="18"/>
      <c r="I11" s="18"/>
      <c r="J11" s="18" t="s">
        <v>138</v>
      </c>
      <c r="K11" s="18"/>
      <c r="L11" s="18"/>
    </row>
    <row r="12" spans="1:13" ht="26" customHeight="1">
      <c r="A12" s="23">
        <f>COUNTIFS(Appointments!$S$5:$S$1204,DashKey,Appointments!$M$5:$M$1204,"Completed")</f>
        <v>0</v>
      </c>
      <c r="B12" s="23"/>
      <c r="C12" s="23"/>
      <c r="D12" s="24">
        <f>IFERROR(SUMIFS(Sales!$Y$5:$Y$1204,Sales!$R$5:$R$1204,DashKey)/MAX(1,COUNTIFS(Appointments!$S$5:$S$1204,DashKey,Appointments!$M$5:$M$1204,"Completed")),"")</f>
        <v>0</v>
      </c>
      <c r="E12" s="24"/>
      <c r="F12" s="24"/>
      <c r="G12" s="21">
        <f>IFERROR(SUMIFS(Sales!$Y$5:$Y$1204,Sales!$R$5:$R$1204,DashKey,Sales!$H$5:$H$1204,"Retail")/MAX(0.01,SUMIFS(Sales!$Y$5:$Y$1204,Sales!$R$5:$R$1204,DashKey)),"")</f>
        <v>0</v>
      </c>
      <c r="H12" s="21"/>
      <c r="I12" s="21"/>
      <c r="J12" s="19">
        <f>ROUND(SUMIFS(Payments!$G$5:$G$1204,Payments!$O$5:$O$1204,DashKey,Payments!$E$5:$E$1204,"Tip"),2)</f>
        <v>0</v>
      </c>
      <c r="K12" s="19"/>
      <c r="L12" s="19"/>
    </row>
    <row r="13" spans="1:13">
      <c r="A13" s="22" t="s">
        <v>134</v>
      </c>
      <c r="B13" s="22"/>
      <c r="C13" s="22"/>
      <c r="D13" s="22" t="s">
        <v>135</v>
      </c>
      <c r="E13" s="22"/>
      <c r="F13" s="22"/>
      <c r="G13" s="22" t="s">
        <v>137</v>
      </c>
      <c r="H13" s="22"/>
      <c r="I13" s="22"/>
      <c r="J13" s="22" t="s">
        <v>139</v>
      </c>
      <c r="K13" s="22"/>
      <c r="L13" s="22"/>
    </row>
    <row r="15" spans="1:13">
      <c r="A15" s="18" t="s">
        <v>90</v>
      </c>
      <c r="B15" s="18"/>
      <c r="C15" s="18"/>
      <c r="D15" s="18" t="s">
        <v>92</v>
      </c>
      <c r="E15" s="18"/>
      <c r="F15" s="18"/>
      <c r="G15" s="18" t="s">
        <v>142</v>
      </c>
      <c r="H15" s="18"/>
      <c r="I15" s="18"/>
      <c r="J15" s="18" t="s">
        <v>144</v>
      </c>
      <c r="K15" s="18"/>
      <c r="L15" s="18"/>
    </row>
    <row r="16" spans="1:13" ht="26" customHeight="1">
      <c r="A16" s="21">
        <f>IFERROR(COUNTIFS(Appointments!$S$5:$S$1204,DashKey,Appointments!$M$5:$M$1204,"Completed")/MAX(1,COUNTIFS(Appointments!$S$5:$S$1204,DashKey,Appointments!$AC$5:$AC$1204,"Yes")),"")</f>
        <v>0</v>
      </c>
      <c r="B16" s="21"/>
      <c r="C16" s="21"/>
      <c r="D16" s="21">
        <f>IFERROR(COUNTIFS(Appointments!$S$5:$S$1204,DashKey,Appointments!$M$5:$M$1204,"Cancelled")/MAX(1,COUNTIFS(Appointments!$S$5:$S$1204,DashKey,Appointments!$AC$5:$AC$1204,"Yes")),"")</f>
        <v>0</v>
      </c>
      <c r="E16" s="21"/>
      <c r="F16" s="21"/>
      <c r="G16" s="21">
        <f>IFERROR(COUNTIFS(Appointments!$S$5:$S$1204,DashKey,Appointments!$M$5:$M$1204,"No show")/MAX(1,COUNTIFS(Appointments!$S$5:$S$1204,DashKey,Appointments!$AC$5:$AC$1204,"Yes")),"")</f>
        <v>0</v>
      </c>
      <c r="H16" s="21"/>
      <c r="I16" s="21"/>
      <c r="J16" s="21">
        <f>IFERROR(SUMIFS(Appointments!$X$5:$X$1204,Appointments!$S$5:$S$1204,DashKey,Appointments!$M$5:$M$1204,"Completed")/MAX(1,ChairHoursWeek*4.33),"")</f>
        <v>0</v>
      </c>
      <c r="K16" s="21"/>
      <c r="L16" s="21"/>
    </row>
    <row r="17" spans="1:13">
      <c r="A17" s="22" t="s">
        <v>140</v>
      </c>
      <c r="B17" s="22"/>
      <c r="C17" s="22"/>
      <c r="D17" s="22" t="s">
        <v>141</v>
      </c>
      <c r="E17" s="22"/>
      <c r="F17" s="22"/>
      <c r="G17" s="22" t="s">
        <v>143</v>
      </c>
      <c r="H17" s="22"/>
      <c r="I17" s="22"/>
      <c r="J17" s="22" t="s">
        <v>145</v>
      </c>
      <c r="K17" s="22"/>
      <c r="L17" s="22"/>
    </row>
    <row r="19" spans="1:13">
      <c r="A19" s="18" t="s">
        <v>146</v>
      </c>
      <c r="B19" s="18"/>
      <c r="C19" s="18"/>
      <c r="D19" s="18" t="s">
        <v>104</v>
      </c>
      <c r="E19" s="18"/>
      <c r="F19" s="18"/>
      <c r="G19" s="18" t="s">
        <v>149</v>
      </c>
      <c r="H19" s="18"/>
      <c r="I19" s="18"/>
      <c r="J19" s="18" t="s">
        <v>151</v>
      </c>
      <c r="K19" s="18"/>
      <c r="L19" s="18"/>
    </row>
    <row r="20" spans="1:13" ht="26" customHeight="1">
      <c r="A20" s="21">
        <f>IFERROR(COUNTIFS(Appointments!$S$5:$S$1204,DashKey,Appointments!$AF$5:$AF$1204,"Yes")/MAX(1,COUNTIFS(Appointments!$S$5:$S$1204,DashKey,Appointments!$M$5:$M$1204,"Completed")),"")</f>
        <v>0</v>
      </c>
      <c r="B20" s="21"/>
      <c r="C20" s="21"/>
      <c r="D20" s="21">
        <f>IFERROR(COUNTIFS(Clients!$AN$5:$AN$504,"Yes")/MAX(1,COUNTIFS(Clients!$T$5:$T$504,"&gt;0")),"")</f>
        <v>0</v>
      </c>
      <c r="E20" s="21"/>
      <c r="F20" s="21"/>
      <c r="G20" s="19">
        <f>ROUND(SUMIFS(Sales!$AH$5:$AH$1204,Sales!$AH$5:$AH$1204,"&gt;0.004"),2)</f>
        <v>0</v>
      </c>
      <c r="H20" s="19"/>
      <c r="I20" s="19"/>
      <c r="J20" s="19">
        <f>ROUND(SUM(Inventory!$AB$5:$AB$304),2)</f>
        <v>0</v>
      </c>
      <c r="K20" s="19"/>
      <c r="L20" s="19"/>
    </row>
    <row r="21" spans="1:13">
      <c r="A21" s="22" t="s">
        <v>147</v>
      </c>
      <c r="B21" s="22"/>
      <c r="C21" s="22"/>
      <c r="D21" s="22" t="s">
        <v>148</v>
      </c>
      <c r="E21" s="22"/>
      <c r="F21" s="22"/>
      <c r="G21" s="22" t="s">
        <v>150</v>
      </c>
      <c r="H21" s="22"/>
      <c r="I21" s="22"/>
      <c r="J21" s="22" t="s">
        <v>152</v>
      </c>
      <c r="K21" s="22"/>
      <c r="L21" s="22"/>
    </row>
    <row r="23" spans="1:13" ht="20" customHeight="1">
      <c r="A23" s="7" t="s">
        <v>153</v>
      </c>
      <c r="B23" s="7"/>
      <c r="C23" s="7"/>
      <c r="D23" s="7"/>
      <c r="E23" s="7"/>
      <c r="F23" s="7"/>
      <c r="G23" s="7"/>
      <c r="H23" s="7"/>
      <c r="I23" s="7"/>
      <c r="J23" s="7"/>
      <c r="K23" s="7"/>
      <c r="L23" s="7"/>
      <c r="M23" s="7"/>
    </row>
    <row r="24" spans="1:13" ht="26" customHeight="1">
      <c r="A24" s="10" t="s">
        <v>154</v>
      </c>
      <c r="B24" s="11" t="s">
        <v>155</v>
      </c>
      <c r="C24" s="11" t="s">
        <v>156</v>
      </c>
      <c r="D24" s="11" t="s">
        <v>157</v>
      </c>
    </row>
    <row r="25" spans="1:13">
      <c r="A25" s="8" t="s">
        <v>158</v>
      </c>
      <c r="B25" s="25">
        <f>COUNTIF(Appointments!$AG$5:$AG$1204,"Clash")</f>
        <v>0</v>
      </c>
      <c r="C25" s="15">
        <f>"Two bookings for the same stylist at the same time"</f>
        <v>0</v>
      </c>
      <c r="D25" s="15"/>
      <c r="E25" s="15"/>
      <c r="F25" s="15"/>
      <c r="G25" s="15"/>
      <c r="H25" s="15"/>
      <c r="I25" s="15"/>
      <c r="J25" s="15"/>
      <c r="K25" s="15"/>
      <c r="L25" s="13" t="s">
        <v>29</v>
      </c>
      <c r="M25" s="13"/>
    </row>
    <row r="26" spans="1:13">
      <c r="A26" s="8" t="s">
        <v>159</v>
      </c>
      <c r="B26" s="25">
        <f>COUNTIF(Appointments!$AH$5:$AH$1204,"Confirm*")</f>
        <v>0</v>
      </c>
      <c r="C26" s="15">
        <f>"Coming up in the next two days and not confirmed"</f>
        <v>0</v>
      </c>
      <c r="D26" s="15"/>
      <c r="E26" s="15"/>
      <c r="F26" s="15"/>
      <c r="G26" s="15"/>
      <c r="H26" s="15"/>
      <c r="I26" s="15"/>
      <c r="J26" s="15"/>
      <c r="K26" s="15"/>
      <c r="L26" s="13" t="s">
        <v>29</v>
      </c>
      <c r="M26" s="13"/>
    </row>
    <row r="27" spans="1:13">
      <c r="A27" s="8" t="s">
        <v>160</v>
      </c>
      <c r="B27" s="25">
        <f>COUNTIF(Appointments!$AH$5:$AH$1204,"Due - deposit*")</f>
        <v>0</v>
      </c>
      <c r="C27" s="15">
        <f>"Bookings over "&amp;TEXT(DepositThreshold,"0")&amp;" with no deposit against them"</f>
        <v>0</v>
      </c>
      <c r="D27" s="15"/>
      <c r="E27" s="15"/>
      <c r="F27" s="15"/>
      <c r="G27" s="15"/>
      <c r="H27" s="15"/>
      <c r="I27" s="15"/>
      <c r="J27" s="15"/>
      <c r="K27" s="15"/>
      <c r="L27" s="13" t="s">
        <v>29</v>
      </c>
      <c r="M27" s="13"/>
    </row>
    <row r="28" spans="1:13">
      <c r="A28" s="8" t="s">
        <v>161</v>
      </c>
      <c r="B28" s="25">
        <f>COUNTIF(Appointments!$AH$5:$AH$1204,"Unpaid*")</f>
        <v>0</v>
      </c>
      <c r="C28" s="15">
        <f>"Marked completed but no sale was logged"</f>
        <v>0</v>
      </c>
      <c r="D28" s="15"/>
      <c r="E28" s="15"/>
      <c r="F28" s="15"/>
      <c r="G28" s="15"/>
      <c r="H28" s="15"/>
      <c r="I28" s="15"/>
      <c r="J28" s="15"/>
      <c r="K28" s="15"/>
      <c r="L28" s="13" t="s">
        <v>36</v>
      </c>
      <c r="M28" s="13"/>
    </row>
    <row r="29" spans="1:13">
      <c r="A29" s="8" t="s">
        <v>162</v>
      </c>
      <c r="B29" s="25">
        <f>COUNTIFS(Sales!$AH$5:$AH$1204,"&gt;0.004")</f>
        <v>0</v>
      </c>
      <c r="C29" s="15">
        <f>"Sales where money is still owed"</f>
        <v>0</v>
      </c>
      <c r="D29" s="15"/>
      <c r="E29" s="15"/>
      <c r="F29" s="15"/>
      <c r="G29" s="15"/>
      <c r="H29" s="15"/>
      <c r="I29" s="15"/>
      <c r="J29" s="15"/>
      <c r="K29" s="15"/>
      <c r="L29" s="13" t="s">
        <v>38</v>
      </c>
      <c r="M29" s="13"/>
    </row>
    <row r="30" spans="1:13">
      <c r="A30" s="8" t="s">
        <v>163</v>
      </c>
      <c r="B30" s="25">
        <f>COUNTIF(Clients!$AM$5:$AM$504,"Lapsing")</f>
        <v>0</v>
      </c>
      <c r="C30" s="15">
        <f>"Not in for "&amp;LapsingDays&amp;" days. Call them before they become inactive"</f>
        <v>0</v>
      </c>
      <c r="D30" s="15"/>
      <c r="E30" s="15"/>
      <c r="F30" s="15"/>
      <c r="G30" s="15"/>
      <c r="H30" s="15"/>
      <c r="I30" s="15"/>
      <c r="J30" s="15"/>
      <c r="K30" s="15"/>
      <c r="L30" s="13" t="s">
        <v>32</v>
      </c>
      <c r="M30" s="13"/>
    </row>
    <row r="31" spans="1:13">
      <c r="A31" s="8" t="s">
        <v>164</v>
      </c>
      <c r="B31" s="25">
        <f>COUNTIF(Clients!$AQ$5:$AQ$504,"Rebook*")</f>
        <v>0</v>
      </c>
      <c r="C31" s="15">
        <f>"Past their usual gap with nothing in the book"</f>
        <v>0</v>
      </c>
      <c r="D31" s="15"/>
      <c r="E31" s="15"/>
      <c r="F31" s="15"/>
      <c r="G31" s="15"/>
      <c r="H31" s="15"/>
      <c r="I31" s="15"/>
      <c r="J31" s="15"/>
      <c r="K31" s="15"/>
      <c r="L31" s="13" t="s">
        <v>32</v>
      </c>
      <c r="M31" s="13"/>
    </row>
    <row r="32" spans="1:13">
      <c r="A32" s="8" t="s">
        <v>165</v>
      </c>
      <c r="B32" s="25">
        <f>COUNTIF(Clients!$AQ$5:$AQ$504,"Due - patch*")</f>
        <v>0</v>
      </c>
      <c r="C32" s="15">
        <f>"Colour clients whose patch test is older than "&amp;PatchTestDays&amp;" days"</f>
        <v>0</v>
      </c>
      <c r="D32" s="15"/>
      <c r="E32" s="15"/>
      <c r="F32" s="15"/>
      <c r="G32" s="15"/>
      <c r="H32" s="15"/>
      <c r="I32" s="15"/>
      <c r="J32" s="15"/>
      <c r="K32" s="15"/>
      <c r="L32" s="13" t="s">
        <v>32</v>
      </c>
      <c r="M32" s="13"/>
    </row>
    <row r="33" spans="1:13">
      <c r="A33" s="8" t="s">
        <v>166</v>
      </c>
      <c r="B33" s="25">
        <f>COUNTIF(Inventory!$Z$5:$Z$304,"Out of stock")</f>
        <v>0</v>
      </c>
      <c r="C33" s="15">
        <f>"Nothing left on the shelf to sell or use"</f>
        <v>0</v>
      </c>
      <c r="D33" s="15"/>
      <c r="E33" s="15"/>
      <c r="F33" s="15"/>
      <c r="G33" s="15"/>
      <c r="H33" s="15"/>
      <c r="I33" s="15"/>
      <c r="J33" s="15"/>
      <c r="K33" s="15"/>
      <c r="L33" s="13" t="s">
        <v>50</v>
      </c>
      <c r="M33" s="13"/>
    </row>
    <row r="34" spans="1:13">
      <c r="A34" s="8" t="s">
        <v>167</v>
      </c>
      <c r="B34" s="25">
        <f>COUNTIF(Inventory!$Z$5:$Z$304,"Low stock")</f>
        <v>0</v>
      </c>
      <c r="C34" s="15">
        <f>"Below the reorder point or under "&amp;StockWarningWeeks&amp;" weeks of cover"</f>
        <v>0</v>
      </c>
      <c r="D34" s="15"/>
      <c r="E34" s="15"/>
      <c r="F34" s="15"/>
      <c r="G34" s="15"/>
      <c r="H34" s="15"/>
      <c r="I34" s="15"/>
      <c r="J34" s="15"/>
      <c r="K34" s="15"/>
      <c r="L34" s="13" t="s">
        <v>50</v>
      </c>
      <c r="M34" s="13"/>
    </row>
    <row r="35" spans="1:13">
      <c r="A35" s="8" t="s">
        <v>168</v>
      </c>
      <c r="B35" s="25">
        <f>COUNTIF(Purchases!$Y$5:$Y$304,"Late*")</f>
        <v>0</v>
      </c>
      <c r="C35" s="15">
        <f>"Ordered, expected, still not here"</f>
        <v>0</v>
      </c>
      <c r="D35" s="15"/>
      <c r="E35" s="15"/>
      <c r="F35" s="15"/>
      <c r="G35" s="15"/>
      <c r="H35" s="15"/>
      <c r="I35" s="15"/>
      <c r="J35" s="15"/>
      <c r="K35" s="15"/>
      <c r="L35" s="13" t="s">
        <v>52</v>
      </c>
      <c r="M35" s="13"/>
    </row>
    <row r="36" spans="1:13">
      <c r="A36" s="8" t="s">
        <v>169</v>
      </c>
      <c r="B36" s="25">
        <f>COUNTIF(Expenses!$V$5:$V$604,"Overdue")</f>
        <v>0</v>
      </c>
      <c r="C36" s="15">
        <f>"Past the due date and not marked paid"</f>
        <v>0</v>
      </c>
      <c r="D36" s="15"/>
      <c r="E36" s="15"/>
      <c r="F36" s="15"/>
      <c r="G36" s="15"/>
      <c r="H36" s="15"/>
      <c r="I36" s="15"/>
      <c r="J36" s="15"/>
      <c r="K36" s="15"/>
      <c r="L36" s="13" t="s">
        <v>46</v>
      </c>
      <c r="M36" s="13"/>
    </row>
    <row r="37" spans="1:13">
      <c r="A37" s="8" t="s">
        <v>170</v>
      </c>
      <c r="B37" s="25">
        <f>COUNTIFS(Commissions!$H$5:$H$244,"&lt;&gt;Yes",Commissions!$B$5:$B$244,"&lt;&gt;")</f>
        <v>0</v>
      </c>
      <c r="C37" s="15">
        <f>"Calculated and waiting for your sign-off"</f>
        <v>0</v>
      </c>
      <c r="D37" s="15"/>
      <c r="E37" s="15"/>
      <c r="F37" s="15"/>
      <c r="G37" s="15"/>
      <c r="H37" s="15"/>
      <c r="I37" s="15"/>
      <c r="J37" s="15"/>
      <c r="K37" s="15"/>
      <c r="L37" s="13" t="s">
        <v>42</v>
      </c>
      <c r="M37" s="13"/>
    </row>
    <row r="38" spans="1:13">
      <c r="A38" s="8" t="s">
        <v>171</v>
      </c>
      <c r="B38" s="25">
        <f>COUNTIFS(Payroll!$M$5:$M$364,"&lt;&gt;Yes",Payroll!$B$5:$B$364,"&lt;&gt;")</f>
        <v>0</v>
      </c>
      <c r="C38" s="15">
        <f>"Payroll rows still open"</f>
        <v>0</v>
      </c>
      <c r="D38" s="15"/>
      <c r="E38" s="15"/>
      <c r="F38" s="15"/>
      <c r="G38" s="15"/>
      <c r="H38" s="15"/>
      <c r="I38" s="15"/>
      <c r="J38" s="15"/>
      <c r="K38" s="15"/>
      <c r="L38" s="13" t="s">
        <v>44</v>
      </c>
      <c r="M38" s="13"/>
    </row>
    <row r="39" spans="1:13">
      <c r="A39" s="8" t="s">
        <v>172</v>
      </c>
      <c r="B39" s="25">
        <f>COUNTIF(Loyalty!$X$5:$X$504,"Action - reward*")</f>
        <v>0</v>
      </c>
      <c r="C39" s="15">
        <f>"Clients who have earned something. Tell them"</f>
        <v>0</v>
      </c>
      <c r="D39" s="15"/>
      <c r="E39" s="15"/>
      <c r="F39" s="15"/>
      <c r="G39" s="15"/>
      <c r="H39" s="15"/>
      <c r="I39" s="15"/>
      <c r="J39" s="15"/>
      <c r="K39" s="15"/>
      <c r="L39" s="13" t="s">
        <v>56</v>
      </c>
      <c r="M39" s="13"/>
    </row>
    <row r="40" spans="1:13">
      <c r="A40" s="8" t="s">
        <v>173</v>
      </c>
      <c r="B40" s="25">
        <f>SUMPRODUCT((IFERROR(Services!$V$5:$V$204*1,0)&gt;0)*(IFERROR(Services!$V$5:$V$204*1,0)&lt;TargetChairRate))</f>
        <v>0</v>
      </c>
      <c r="C40" s="15">
        <f>"Earning less than "&amp;TEXT(TargetChairRate,"0")&amp;" an hour before commission"</f>
        <v>0</v>
      </c>
      <c r="D40" s="15"/>
      <c r="E40" s="15"/>
      <c r="F40" s="15"/>
      <c r="G40" s="15"/>
      <c r="H40" s="15"/>
      <c r="I40" s="15"/>
      <c r="J40" s="15"/>
      <c r="K40" s="15"/>
      <c r="L40" s="13" t="s">
        <v>34</v>
      </c>
      <c r="M40" s="13"/>
    </row>
    <row r="42" spans="1:13" ht="20" customHeight="1">
      <c r="A42" s="7" t="s">
        <v>174</v>
      </c>
      <c r="B42" s="7"/>
      <c r="C42" s="7"/>
      <c r="D42" s="7"/>
      <c r="E42" s="7"/>
      <c r="F42" s="7"/>
      <c r="G42" s="7"/>
      <c r="H42" s="7"/>
      <c r="I42" s="7"/>
      <c r="J42" s="7"/>
      <c r="K42" s="7"/>
      <c r="L42" s="7"/>
      <c r="M42" s="7"/>
    </row>
    <row r="43" spans="1:13" ht="26" customHeight="1">
      <c r="A43" s="10" t="s">
        <v>175</v>
      </c>
      <c r="B43" s="11" t="s">
        <v>176</v>
      </c>
      <c r="C43" s="11" t="s">
        <v>127</v>
      </c>
      <c r="D43" s="11" t="s">
        <v>177</v>
      </c>
      <c r="E43" s="11" t="s">
        <v>88</v>
      </c>
      <c r="F43" s="11" t="s">
        <v>136</v>
      </c>
      <c r="G43" s="11" t="s">
        <v>178</v>
      </c>
      <c r="H43" s="11" t="s">
        <v>179</v>
      </c>
      <c r="I43" s="11" t="s">
        <v>96</v>
      </c>
      <c r="J43" s="11" t="s">
        <v>180</v>
      </c>
      <c r="K43" s="11" t="s">
        <v>181</v>
      </c>
    </row>
    <row r="44" spans="1:13">
      <c r="A44" s="15">
        <f>IFERROR(INDEX(Staff!$B$5:$B$44,MATCH(1,Staff!$AN$5:$AN$44,0)),"")</f>
        <v>0</v>
      </c>
      <c r="B44" s="26">
        <f>IFERROR(INDEX(Staff!$AD$5:$AD$44,MATCH(1,Staff!$AN$5:$AN$44,0)),"")</f>
        <v>0</v>
      </c>
      <c r="C44" s="26">
        <f>IFERROR(INDEX(Staff!$AE$5:$AE$44,MATCH(1,Staff!$AN$5:$AN$44,0)),"")</f>
        <v>0</v>
      </c>
      <c r="D44" s="25">
        <f>IFERROR(INDEX(Staff!$U$5:$U$44,MATCH(1,Staff!$AN$5:$AN$44,0)),"")</f>
        <v>0</v>
      </c>
      <c r="E44" s="26">
        <f>IFERROR(INDEX(Staff!$AF$5:$AF$44,MATCH(1,Staff!$AN$5:$AN$44,0)),"")</f>
        <v>0</v>
      </c>
      <c r="F44" s="27">
        <f>IFERROR(INDEX(Staff!$AG$5:$AG$44,MATCH(1,Staff!$AN$5:$AN$44,0)),"")</f>
        <v>0</v>
      </c>
      <c r="G44" s="27">
        <f>IFERROR(INDEX(Staff!$Z$5:$Z$44,MATCH(1,Staff!$AN$5:$AN$44,0)),"")</f>
        <v>0</v>
      </c>
      <c r="H44" s="27">
        <f>IFERROR(INDEX(Staff!$AI$5:$AI$44,MATCH(1,Staff!$AN$5:$AN$44,0)),"")</f>
        <v>0</v>
      </c>
      <c r="I44" s="26">
        <f>IFERROR(INDEX(Staff!$AK$5:$AK$44,MATCH(1,Staff!$AN$5:$AN$44,0)),"")</f>
        <v>0</v>
      </c>
      <c r="J44" s="26">
        <f>IFERROR(INDEX(Staff!$AL$5:$AL$44,MATCH(1,Staff!$AN$5:$AN$44,0)),"")</f>
        <v>0</v>
      </c>
      <c r="K44" s="26">
        <f>IFERROR(INDEX(Staff!$AM$5:$AM$44,MATCH(1,Staff!$AN$5:$AN$44,0)),"")</f>
        <v>0</v>
      </c>
    </row>
    <row r="45" spans="1:13">
      <c r="A45" s="15">
        <f>IFERROR(INDEX(Staff!$B$5:$B$44,MATCH(2,Staff!$AN$5:$AN$44,0)),"")</f>
        <v>0</v>
      </c>
      <c r="B45" s="26">
        <f>IFERROR(INDEX(Staff!$AD$5:$AD$44,MATCH(2,Staff!$AN$5:$AN$44,0)),"")</f>
        <v>0</v>
      </c>
      <c r="C45" s="26">
        <f>IFERROR(INDEX(Staff!$AE$5:$AE$44,MATCH(2,Staff!$AN$5:$AN$44,0)),"")</f>
        <v>0</v>
      </c>
      <c r="D45" s="25">
        <f>IFERROR(INDEX(Staff!$U$5:$U$44,MATCH(2,Staff!$AN$5:$AN$44,0)),"")</f>
        <v>0</v>
      </c>
      <c r="E45" s="26">
        <f>IFERROR(INDEX(Staff!$AF$5:$AF$44,MATCH(2,Staff!$AN$5:$AN$44,0)),"")</f>
        <v>0</v>
      </c>
      <c r="F45" s="27">
        <f>IFERROR(INDEX(Staff!$AG$5:$AG$44,MATCH(2,Staff!$AN$5:$AN$44,0)),"")</f>
        <v>0</v>
      </c>
      <c r="G45" s="27">
        <f>IFERROR(INDEX(Staff!$Z$5:$Z$44,MATCH(2,Staff!$AN$5:$AN$44,0)),"")</f>
        <v>0</v>
      </c>
      <c r="H45" s="27">
        <f>IFERROR(INDEX(Staff!$AI$5:$AI$44,MATCH(2,Staff!$AN$5:$AN$44,0)),"")</f>
        <v>0</v>
      </c>
      <c r="I45" s="26">
        <f>IFERROR(INDEX(Staff!$AK$5:$AK$44,MATCH(2,Staff!$AN$5:$AN$44,0)),"")</f>
        <v>0</v>
      </c>
      <c r="J45" s="26">
        <f>IFERROR(INDEX(Staff!$AL$5:$AL$44,MATCH(2,Staff!$AN$5:$AN$44,0)),"")</f>
        <v>0</v>
      </c>
      <c r="K45" s="26">
        <f>IFERROR(INDEX(Staff!$AM$5:$AM$44,MATCH(2,Staff!$AN$5:$AN$44,0)),"")</f>
        <v>0</v>
      </c>
    </row>
    <row r="46" spans="1:13">
      <c r="A46" s="15">
        <f>IFERROR(INDEX(Staff!$B$5:$B$44,MATCH(3,Staff!$AN$5:$AN$44,0)),"")</f>
        <v>0</v>
      </c>
      <c r="B46" s="26">
        <f>IFERROR(INDEX(Staff!$AD$5:$AD$44,MATCH(3,Staff!$AN$5:$AN$44,0)),"")</f>
        <v>0</v>
      </c>
      <c r="C46" s="26">
        <f>IFERROR(INDEX(Staff!$AE$5:$AE$44,MATCH(3,Staff!$AN$5:$AN$44,0)),"")</f>
        <v>0</v>
      </c>
      <c r="D46" s="25">
        <f>IFERROR(INDEX(Staff!$U$5:$U$44,MATCH(3,Staff!$AN$5:$AN$44,0)),"")</f>
        <v>0</v>
      </c>
      <c r="E46" s="26">
        <f>IFERROR(INDEX(Staff!$AF$5:$AF$44,MATCH(3,Staff!$AN$5:$AN$44,0)),"")</f>
        <v>0</v>
      </c>
      <c r="F46" s="27">
        <f>IFERROR(INDEX(Staff!$AG$5:$AG$44,MATCH(3,Staff!$AN$5:$AN$44,0)),"")</f>
        <v>0</v>
      </c>
      <c r="G46" s="27">
        <f>IFERROR(INDEX(Staff!$Z$5:$Z$44,MATCH(3,Staff!$AN$5:$AN$44,0)),"")</f>
        <v>0</v>
      </c>
      <c r="H46" s="27">
        <f>IFERROR(INDEX(Staff!$AI$5:$AI$44,MATCH(3,Staff!$AN$5:$AN$44,0)),"")</f>
        <v>0</v>
      </c>
      <c r="I46" s="26">
        <f>IFERROR(INDEX(Staff!$AK$5:$AK$44,MATCH(3,Staff!$AN$5:$AN$44,0)),"")</f>
        <v>0</v>
      </c>
      <c r="J46" s="26">
        <f>IFERROR(INDEX(Staff!$AL$5:$AL$44,MATCH(3,Staff!$AN$5:$AN$44,0)),"")</f>
        <v>0</v>
      </c>
      <c r="K46" s="26">
        <f>IFERROR(INDEX(Staff!$AM$5:$AM$44,MATCH(3,Staff!$AN$5:$AN$44,0)),"")</f>
        <v>0</v>
      </c>
    </row>
    <row r="47" spans="1:13">
      <c r="A47" s="15">
        <f>IFERROR(INDEX(Staff!$B$5:$B$44,MATCH(4,Staff!$AN$5:$AN$44,0)),"")</f>
        <v>0</v>
      </c>
      <c r="B47" s="26">
        <f>IFERROR(INDEX(Staff!$AD$5:$AD$44,MATCH(4,Staff!$AN$5:$AN$44,0)),"")</f>
        <v>0</v>
      </c>
      <c r="C47" s="26">
        <f>IFERROR(INDEX(Staff!$AE$5:$AE$44,MATCH(4,Staff!$AN$5:$AN$44,0)),"")</f>
        <v>0</v>
      </c>
      <c r="D47" s="25">
        <f>IFERROR(INDEX(Staff!$U$5:$U$44,MATCH(4,Staff!$AN$5:$AN$44,0)),"")</f>
        <v>0</v>
      </c>
      <c r="E47" s="26">
        <f>IFERROR(INDEX(Staff!$AF$5:$AF$44,MATCH(4,Staff!$AN$5:$AN$44,0)),"")</f>
        <v>0</v>
      </c>
      <c r="F47" s="27">
        <f>IFERROR(INDEX(Staff!$AG$5:$AG$44,MATCH(4,Staff!$AN$5:$AN$44,0)),"")</f>
        <v>0</v>
      </c>
      <c r="G47" s="27">
        <f>IFERROR(INDEX(Staff!$Z$5:$Z$44,MATCH(4,Staff!$AN$5:$AN$44,0)),"")</f>
        <v>0</v>
      </c>
      <c r="H47" s="27">
        <f>IFERROR(INDEX(Staff!$AI$5:$AI$44,MATCH(4,Staff!$AN$5:$AN$44,0)),"")</f>
        <v>0</v>
      </c>
      <c r="I47" s="26">
        <f>IFERROR(INDEX(Staff!$AK$5:$AK$44,MATCH(4,Staff!$AN$5:$AN$44,0)),"")</f>
        <v>0</v>
      </c>
      <c r="J47" s="26">
        <f>IFERROR(INDEX(Staff!$AL$5:$AL$44,MATCH(4,Staff!$AN$5:$AN$44,0)),"")</f>
        <v>0</v>
      </c>
      <c r="K47" s="26">
        <f>IFERROR(INDEX(Staff!$AM$5:$AM$44,MATCH(4,Staff!$AN$5:$AN$44,0)),"")</f>
        <v>0</v>
      </c>
    </row>
    <row r="48" spans="1:13">
      <c r="A48" s="15">
        <f>IFERROR(INDEX(Staff!$B$5:$B$44,MATCH(5,Staff!$AN$5:$AN$44,0)),"")</f>
        <v>0</v>
      </c>
      <c r="B48" s="26">
        <f>IFERROR(INDEX(Staff!$AD$5:$AD$44,MATCH(5,Staff!$AN$5:$AN$44,0)),"")</f>
        <v>0</v>
      </c>
      <c r="C48" s="26">
        <f>IFERROR(INDEX(Staff!$AE$5:$AE$44,MATCH(5,Staff!$AN$5:$AN$44,0)),"")</f>
        <v>0</v>
      </c>
      <c r="D48" s="25">
        <f>IFERROR(INDEX(Staff!$U$5:$U$44,MATCH(5,Staff!$AN$5:$AN$44,0)),"")</f>
        <v>0</v>
      </c>
      <c r="E48" s="26">
        <f>IFERROR(INDEX(Staff!$AF$5:$AF$44,MATCH(5,Staff!$AN$5:$AN$44,0)),"")</f>
        <v>0</v>
      </c>
      <c r="F48" s="27">
        <f>IFERROR(INDEX(Staff!$AG$5:$AG$44,MATCH(5,Staff!$AN$5:$AN$44,0)),"")</f>
        <v>0</v>
      </c>
      <c r="G48" s="27">
        <f>IFERROR(INDEX(Staff!$Z$5:$Z$44,MATCH(5,Staff!$AN$5:$AN$44,0)),"")</f>
        <v>0</v>
      </c>
      <c r="H48" s="27">
        <f>IFERROR(INDEX(Staff!$AI$5:$AI$44,MATCH(5,Staff!$AN$5:$AN$44,0)),"")</f>
        <v>0</v>
      </c>
      <c r="I48" s="26">
        <f>IFERROR(INDEX(Staff!$AK$5:$AK$44,MATCH(5,Staff!$AN$5:$AN$44,0)),"")</f>
        <v>0</v>
      </c>
      <c r="J48" s="26">
        <f>IFERROR(INDEX(Staff!$AL$5:$AL$44,MATCH(5,Staff!$AN$5:$AN$44,0)),"")</f>
        <v>0</v>
      </c>
      <c r="K48" s="26">
        <f>IFERROR(INDEX(Staff!$AM$5:$AM$44,MATCH(5,Staff!$AN$5:$AN$44,0)),"")</f>
        <v>0</v>
      </c>
    </row>
    <row r="49" spans="1:13">
      <c r="A49" s="15">
        <f>IFERROR(INDEX(Staff!$B$5:$B$44,MATCH(6,Staff!$AN$5:$AN$44,0)),"")</f>
        <v>0</v>
      </c>
      <c r="B49" s="26">
        <f>IFERROR(INDEX(Staff!$AD$5:$AD$44,MATCH(6,Staff!$AN$5:$AN$44,0)),"")</f>
        <v>0</v>
      </c>
      <c r="C49" s="26">
        <f>IFERROR(INDEX(Staff!$AE$5:$AE$44,MATCH(6,Staff!$AN$5:$AN$44,0)),"")</f>
        <v>0</v>
      </c>
      <c r="D49" s="25">
        <f>IFERROR(INDEX(Staff!$U$5:$U$44,MATCH(6,Staff!$AN$5:$AN$44,0)),"")</f>
        <v>0</v>
      </c>
      <c r="E49" s="26">
        <f>IFERROR(INDEX(Staff!$AF$5:$AF$44,MATCH(6,Staff!$AN$5:$AN$44,0)),"")</f>
        <v>0</v>
      </c>
      <c r="F49" s="27">
        <f>IFERROR(INDEX(Staff!$AG$5:$AG$44,MATCH(6,Staff!$AN$5:$AN$44,0)),"")</f>
        <v>0</v>
      </c>
      <c r="G49" s="27">
        <f>IFERROR(INDEX(Staff!$Z$5:$Z$44,MATCH(6,Staff!$AN$5:$AN$44,0)),"")</f>
        <v>0</v>
      </c>
      <c r="H49" s="27">
        <f>IFERROR(INDEX(Staff!$AI$5:$AI$44,MATCH(6,Staff!$AN$5:$AN$44,0)),"")</f>
        <v>0</v>
      </c>
      <c r="I49" s="26">
        <f>IFERROR(INDEX(Staff!$AK$5:$AK$44,MATCH(6,Staff!$AN$5:$AN$44,0)),"")</f>
        <v>0</v>
      </c>
      <c r="J49" s="26">
        <f>IFERROR(INDEX(Staff!$AL$5:$AL$44,MATCH(6,Staff!$AN$5:$AN$44,0)),"")</f>
        <v>0</v>
      </c>
      <c r="K49" s="26">
        <f>IFERROR(INDEX(Staff!$AM$5:$AM$44,MATCH(6,Staff!$AN$5:$AN$44,0)),"")</f>
        <v>0</v>
      </c>
    </row>
    <row r="50" spans="1:13">
      <c r="A50" s="15">
        <f>IFERROR(INDEX(Staff!$B$5:$B$44,MATCH(7,Staff!$AN$5:$AN$44,0)),"")</f>
        <v>0</v>
      </c>
      <c r="B50" s="26">
        <f>IFERROR(INDEX(Staff!$AD$5:$AD$44,MATCH(7,Staff!$AN$5:$AN$44,0)),"")</f>
        <v>0</v>
      </c>
      <c r="C50" s="26">
        <f>IFERROR(INDEX(Staff!$AE$5:$AE$44,MATCH(7,Staff!$AN$5:$AN$44,0)),"")</f>
        <v>0</v>
      </c>
      <c r="D50" s="25">
        <f>IFERROR(INDEX(Staff!$U$5:$U$44,MATCH(7,Staff!$AN$5:$AN$44,0)),"")</f>
        <v>0</v>
      </c>
      <c r="E50" s="26">
        <f>IFERROR(INDEX(Staff!$AF$5:$AF$44,MATCH(7,Staff!$AN$5:$AN$44,0)),"")</f>
        <v>0</v>
      </c>
      <c r="F50" s="27">
        <f>IFERROR(INDEX(Staff!$AG$5:$AG$44,MATCH(7,Staff!$AN$5:$AN$44,0)),"")</f>
        <v>0</v>
      </c>
      <c r="G50" s="27">
        <f>IFERROR(INDEX(Staff!$Z$5:$Z$44,MATCH(7,Staff!$AN$5:$AN$44,0)),"")</f>
        <v>0</v>
      </c>
      <c r="H50" s="27">
        <f>IFERROR(INDEX(Staff!$AI$5:$AI$44,MATCH(7,Staff!$AN$5:$AN$44,0)),"")</f>
        <v>0</v>
      </c>
      <c r="I50" s="26">
        <f>IFERROR(INDEX(Staff!$AK$5:$AK$44,MATCH(7,Staff!$AN$5:$AN$44,0)),"")</f>
        <v>0</v>
      </c>
      <c r="J50" s="26">
        <f>IFERROR(INDEX(Staff!$AL$5:$AL$44,MATCH(7,Staff!$AN$5:$AN$44,0)),"")</f>
        <v>0</v>
      </c>
      <c r="K50" s="26">
        <f>IFERROR(INDEX(Staff!$AM$5:$AM$44,MATCH(7,Staff!$AN$5:$AN$44,0)),"")</f>
        <v>0</v>
      </c>
    </row>
    <row r="51" spans="1:13">
      <c r="A51" s="15">
        <f>IFERROR(INDEX(Staff!$B$5:$B$44,MATCH(8,Staff!$AN$5:$AN$44,0)),"")</f>
        <v>0</v>
      </c>
      <c r="B51" s="26">
        <f>IFERROR(INDEX(Staff!$AD$5:$AD$44,MATCH(8,Staff!$AN$5:$AN$44,0)),"")</f>
        <v>0</v>
      </c>
      <c r="C51" s="26">
        <f>IFERROR(INDEX(Staff!$AE$5:$AE$44,MATCH(8,Staff!$AN$5:$AN$44,0)),"")</f>
        <v>0</v>
      </c>
      <c r="D51" s="25">
        <f>IFERROR(INDEX(Staff!$U$5:$U$44,MATCH(8,Staff!$AN$5:$AN$44,0)),"")</f>
        <v>0</v>
      </c>
      <c r="E51" s="26">
        <f>IFERROR(INDEX(Staff!$AF$5:$AF$44,MATCH(8,Staff!$AN$5:$AN$44,0)),"")</f>
        <v>0</v>
      </c>
      <c r="F51" s="27">
        <f>IFERROR(INDEX(Staff!$AG$5:$AG$44,MATCH(8,Staff!$AN$5:$AN$44,0)),"")</f>
        <v>0</v>
      </c>
      <c r="G51" s="27">
        <f>IFERROR(INDEX(Staff!$Z$5:$Z$44,MATCH(8,Staff!$AN$5:$AN$44,0)),"")</f>
        <v>0</v>
      </c>
      <c r="H51" s="27">
        <f>IFERROR(INDEX(Staff!$AI$5:$AI$44,MATCH(8,Staff!$AN$5:$AN$44,0)),"")</f>
        <v>0</v>
      </c>
      <c r="I51" s="26">
        <f>IFERROR(INDEX(Staff!$AK$5:$AK$44,MATCH(8,Staff!$AN$5:$AN$44,0)),"")</f>
        <v>0</v>
      </c>
      <c r="J51" s="26">
        <f>IFERROR(INDEX(Staff!$AL$5:$AL$44,MATCH(8,Staff!$AN$5:$AN$44,0)),"")</f>
        <v>0</v>
      </c>
      <c r="K51" s="26">
        <f>IFERROR(INDEX(Staff!$AM$5:$AM$44,MATCH(8,Staff!$AN$5:$AN$44,0)),"")</f>
        <v>0</v>
      </c>
    </row>
    <row r="53" spans="1:13" ht="20" customHeight="1">
      <c r="A53" s="7" t="s">
        <v>182</v>
      </c>
      <c r="B53" s="7"/>
      <c r="C53" s="7"/>
      <c r="D53" s="7"/>
      <c r="E53" s="7"/>
      <c r="F53" s="7"/>
      <c r="G53" s="7"/>
      <c r="H53" s="7"/>
      <c r="I53" s="7"/>
      <c r="J53" s="7"/>
      <c r="K53" s="7"/>
      <c r="L53" s="7"/>
      <c r="M53" s="7"/>
    </row>
    <row r="54" spans="1:13" ht="26" customHeight="1">
      <c r="A54" s="10" t="s">
        <v>183</v>
      </c>
      <c r="B54" s="11" t="s">
        <v>184</v>
      </c>
      <c r="C54" s="11" t="s">
        <v>185</v>
      </c>
      <c r="D54" s="11" t="s">
        <v>186</v>
      </c>
      <c r="E54" s="11" t="s">
        <v>187</v>
      </c>
      <c r="F54" s="11" t="s">
        <v>188</v>
      </c>
      <c r="G54" s="11" t="s">
        <v>189</v>
      </c>
      <c r="H54" s="11" t="s">
        <v>190</v>
      </c>
    </row>
    <row r="55" spans="1:13">
      <c r="A55" s="15">
        <f>IFERROR(INDEX(Services!$B$5:$B$204,MATCH(1,Services!$AL$5:$AL$204,0)),"")</f>
        <v>0</v>
      </c>
      <c r="B55" s="25">
        <f>IFERROR(INDEX(Services!$AB$5:$AB$204,MATCH(1,Services!$AL$5:$AL$204,0)),"")</f>
        <v>0</v>
      </c>
      <c r="C55" s="15">
        <f>IFERROR(INDEX(Services!$B$5:$B$204,MATCH(1,Services!$AJ$5:$AJ$204,0)),"")</f>
        <v>0</v>
      </c>
      <c r="D55" s="26">
        <f>IFERROR(INDEX(Services!$AD$5:$AD$204,MATCH(1,Services!$AJ$5:$AJ$204,0)),"")</f>
        <v>0</v>
      </c>
      <c r="E55" s="15">
        <f>IFERROR(INDEX(Services!$B$5:$B$204,MATCH(1,Services!$AK$5:$AK$204,0)),"")</f>
        <v>0</v>
      </c>
      <c r="F55" s="26">
        <f>IFERROR(INDEX(Services!$V$5:$V$204,MATCH(1,Services!$AK$5:$AK$204,0)),"")</f>
        <v>0</v>
      </c>
      <c r="G55" s="15">
        <f>IFERROR(INDEX(Clients!$B$5:$B$504,MATCH(1,Clients!$AO$5:$AO$504,0)),"")</f>
        <v>0</v>
      </c>
      <c r="H55" s="26">
        <f>IFERROR(INDEX(Clients!$AE$5:$AE$504,MATCH(1,Clients!$AO$5:$AO$504,0)),"")</f>
        <v>0</v>
      </c>
    </row>
    <row r="56" spans="1:13">
      <c r="A56" s="15">
        <f>IFERROR(INDEX(Services!$B$5:$B$204,MATCH(2,Services!$AL$5:$AL$204,0)),"")</f>
        <v>0</v>
      </c>
      <c r="B56" s="25">
        <f>IFERROR(INDEX(Services!$AB$5:$AB$204,MATCH(2,Services!$AL$5:$AL$204,0)),"")</f>
        <v>0</v>
      </c>
      <c r="C56" s="15">
        <f>IFERROR(INDEX(Services!$B$5:$B$204,MATCH(2,Services!$AJ$5:$AJ$204,0)),"")</f>
        <v>0</v>
      </c>
      <c r="D56" s="26">
        <f>IFERROR(INDEX(Services!$AD$5:$AD$204,MATCH(2,Services!$AJ$5:$AJ$204,0)),"")</f>
        <v>0</v>
      </c>
      <c r="E56" s="15">
        <f>IFERROR(INDEX(Services!$B$5:$B$204,MATCH(2,Services!$AK$5:$AK$204,0)),"")</f>
        <v>0</v>
      </c>
      <c r="F56" s="26">
        <f>IFERROR(INDEX(Services!$V$5:$V$204,MATCH(2,Services!$AK$5:$AK$204,0)),"")</f>
        <v>0</v>
      </c>
      <c r="G56" s="15">
        <f>IFERROR(INDEX(Clients!$B$5:$B$504,MATCH(2,Clients!$AO$5:$AO$504,0)),"")</f>
        <v>0</v>
      </c>
      <c r="H56" s="26">
        <f>IFERROR(INDEX(Clients!$AE$5:$AE$504,MATCH(2,Clients!$AO$5:$AO$504,0)),"")</f>
        <v>0</v>
      </c>
    </row>
    <row r="57" spans="1:13">
      <c r="A57" s="15">
        <f>IFERROR(INDEX(Services!$B$5:$B$204,MATCH(3,Services!$AL$5:$AL$204,0)),"")</f>
        <v>0</v>
      </c>
      <c r="B57" s="25">
        <f>IFERROR(INDEX(Services!$AB$5:$AB$204,MATCH(3,Services!$AL$5:$AL$204,0)),"")</f>
        <v>0</v>
      </c>
      <c r="C57" s="15">
        <f>IFERROR(INDEX(Services!$B$5:$B$204,MATCH(3,Services!$AJ$5:$AJ$204,0)),"")</f>
        <v>0</v>
      </c>
      <c r="D57" s="26">
        <f>IFERROR(INDEX(Services!$AD$5:$AD$204,MATCH(3,Services!$AJ$5:$AJ$204,0)),"")</f>
        <v>0</v>
      </c>
      <c r="E57" s="15">
        <f>IFERROR(INDEX(Services!$B$5:$B$204,MATCH(3,Services!$AK$5:$AK$204,0)),"")</f>
        <v>0</v>
      </c>
      <c r="F57" s="26">
        <f>IFERROR(INDEX(Services!$V$5:$V$204,MATCH(3,Services!$AK$5:$AK$204,0)),"")</f>
        <v>0</v>
      </c>
      <c r="G57" s="15">
        <f>IFERROR(INDEX(Clients!$B$5:$B$504,MATCH(3,Clients!$AO$5:$AO$504,0)),"")</f>
        <v>0</v>
      </c>
      <c r="H57" s="26">
        <f>IFERROR(INDEX(Clients!$AE$5:$AE$504,MATCH(3,Clients!$AO$5:$AO$504,0)),"")</f>
        <v>0</v>
      </c>
    </row>
    <row r="58" spans="1:13">
      <c r="A58" s="15">
        <f>IFERROR(INDEX(Services!$B$5:$B$204,MATCH(4,Services!$AL$5:$AL$204,0)),"")</f>
        <v>0</v>
      </c>
      <c r="B58" s="25">
        <f>IFERROR(INDEX(Services!$AB$5:$AB$204,MATCH(4,Services!$AL$5:$AL$204,0)),"")</f>
        <v>0</v>
      </c>
      <c r="C58" s="15">
        <f>IFERROR(INDEX(Services!$B$5:$B$204,MATCH(4,Services!$AJ$5:$AJ$204,0)),"")</f>
        <v>0</v>
      </c>
      <c r="D58" s="26">
        <f>IFERROR(INDEX(Services!$AD$5:$AD$204,MATCH(4,Services!$AJ$5:$AJ$204,0)),"")</f>
        <v>0</v>
      </c>
      <c r="E58" s="15">
        <f>IFERROR(INDEX(Services!$B$5:$B$204,MATCH(4,Services!$AK$5:$AK$204,0)),"")</f>
        <v>0</v>
      </c>
      <c r="F58" s="26">
        <f>IFERROR(INDEX(Services!$V$5:$V$204,MATCH(4,Services!$AK$5:$AK$204,0)),"")</f>
        <v>0</v>
      </c>
      <c r="G58" s="15">
        <f>IFERROR(INDEX(Clients!$B$5:$B$504,MATCH(4,Clients!$AO$5:$AO$504,0)),"")</f>
        <v>0</v>
      </c>
      <c r="H58" s="26">
        <f>IFERROR(INDEX(Clients!$AE$5:$AE$504,MATCH(4,Clients!$AO$5:$AO$504,0)),"")</f>
        <v>0</v>
      </c>
    </row>
    <row r="59" spans="1:13">
      <c r="A59" s="15">
        <f>IFERROR(INDEX(Services!$B$5:$B$204,MATCH(5,Services!$AL$5:$AL$204,0)),"")</f>
        <v>0</v>
      </c>
      <c r="B59" s="25">
        <f>IFERROR(INDEX(Services!$AB$5:$AB$204,MATCH(5,Services!$AL$5:$AL$204,0)),"")</f>
        <v>0</v>
      </c>
      <c r="C59" s="15">
        <f>IFERROR(INDEX(Services!$B$5:$B$204,MATCH(5,Services!$AJ$5:$AJ$204,0)),"")</f>
        <v>0</v>
      </c>
      <c r="D59" s="26">
        <f>IFERROR(INDEX(Services!$AD$5:$AD$204,MATCH(5,Services!$AJ$5:$AJ$204,0)),"")</f>
        <v>0</v>
      </c>
      <c r="E59" s="15">
        <f>IFERROR(INDEX(Services!$B$5:$B$204,MATCH(5,Services!$AK$5:$AK$204,0)),"")</f>
        <v>0</v>
      </c>
      <c r="F59" s="26">
        <f>IFERROR(INDEX(Services!$V$5:$V$204,MATCH(5,Services!$AK$5:$AK$204,0)),"")</f>
        <v>0</v>
      </c>
      <c r="G59" s="15">
        <f>IFERROR(INDEX(Clients!$B$5:$B$504,MATCH(5,Clients!$AO$5:$AO$504,0)),"")</f>
        <v>0</v>
      </c>
      <c r="H59" s="26">
        <f>IFERROR(INDEX(Clients!$AE$5:$AE$504,MATCH(5,Clients!$AO$5:$AO$504,0)),"")</f>
        <v>0</v>
      </c>
    </row>
    <row r="60" spans="1:13">
      <c r="A60" s="15">
        <f>IFERROR(INDEX(Services!$B$5:$B$204,MATCH(6,Services!$AL$5:$AL$204,0)),"")</f>
        <v>0</v>
      </c>
      <c r="B60" s="25">
        <f>IFERROR(INDEX(Services!$AB$5:$AB$204,MATCH(6,Services!$AL$5:$AL$204,0)),"")</f>
        <v>0</v>
      </c>
      <c r="C60" s="15">
        <f>IFERROR(INDEX(Services!$B$5:$B$204,MATCH(6,Services!$AJ$5:$AJ$204,0)),"")</f>
        <v>0</v>
      </c>
      <c r="D60" s="26">
        <f>IFERROR(INDEX(Services!$AD$5:$AD$204,MATCH(6,Services!$AJ$5:$AJ$204,0)),"")</f>
        <v>0</v>
      </c>
      <c r="E60" s="15">
        <f>IFERROR(INDEX(Services!$B$5:$B$204,MATCH(6,Services!$AK$5:$AK$204,0)),"")</f>
        <v>0</v>
      </c>
      <c r="F60" s="26">
        <f>IFERROR(INDEX(Services!$V$5:$V$204,MATCH(6,Services!$AK$5:$AK$204,0)),"")</f>
        <v>0</v>
      </c>
      <c r="G60" s="15">
        <f>IFERROR(INDEX(Clients!$B$5:$B$504,MATCH(6,Clients!$AO$5:$AO$504,0)),"")</f>
        <v>0</v>
      </c>
      <c r="H60" s="26">
        <f>IFERROR(INDEX(Clients!$AE$5:$AE$504,MATCH(6,Clients!$AO$5:$AO$504,0)),"")</f>
        <v>0</v>
      </c>
    </row>
    <row r="62" spans="1:13" ht="20" customHeight="1">
      <c r="A62" s="7" t="s">
        <v>191</v>
      </c>
      <c r="B62" s="7"/>
      <c r="C62" s="7"/>
      <c r="D62" s="7"/>
      <c r="E62" s="7"/>
      <c r="F62" s="7"/>
      <c r="G62" s="7"/>
      <c r="H62" s="7"/>
      <c r="I62" s="7"/>
      <c r="J62" s="7"/>
      <c r="K62" s="7"/>
      <c r="L62" s="7"/>
      <c r="M62" s="7"/>
    </row>
    <row r="63" spans="1:13" ht="26" customHeight="1">
      <c r="A63" s="10" t="s">
        <v>121</v>
      </c>
      <c r="B63" s="11" t="s">
        <v>84</v>
      </c>
      <c r="C63" s="11" t="s">
        <v>192</v>
      </c>
      <c r="D63" s="11" t="s">
        <v>127</v>
      </c>
      <c r="E63" s="11" t="s">
        <v>34</v>
      </c>
      <c r="F63" s="11" t="s">
        <v>193</v>
      </c>
      <c r="G63" s="11" t="s">
        <v>194</v>
      </c>
      <c r="H63" s="11" t="s">
        <v>195</v>
      </c>
      <c r="I63" s="11" t="s">
        <v>46</v>
      </c>
      <c r="J63" s="11" t="s">
        <v>86</v>
      </c>
      <c r="K63" s="11" t="s">
        <v>196</v>
      </c>
      <c r="L63" s="11" t="s">
        <v>197</v>
      </c>
      <c r="M63" s="11" t="s">
        <v>88</v>
      </c>
    </row>
    <row r="64" spans="1:13">
      <c r="A64" s="15">
        <f>TEXT(DATE(YEAR(TodayDate),MONTH(TodayDate)-11,1),"mmm yy")</f>
        <v>0</v>
      </c>
      <c r="B64" s="26">
        <f>ROUND(SUMIFS(Sales!$Y$5:$Y$1204,Sales!$R$5:$R$1204,TEXT(DATE(YEAR(TodayDate),MONTH(TodayDate)-11,1),"yyyy-mm")),2)</f>
        <v>0</v>
      </c>
      <c r="C64" s="26">
        <f>ROUND(RevenueTargetMonth,2)</f>
        <v>0</v>
      </c>
      <c r="D64" s="26">
        <f>ROUND(SUMIFS(Sales!$Y$5:$Y$1204,Sales!$R$5:$R$1204,TEXT(DATE(YEAR(TodayDate),MONTH(TodayDate)-11,1),"yyyy-mm"))-RevenueTargetMonth,2)</f>
        <v>0</v>
      </c>
      <c r="E64" s="26">
        <f>ROUND(SUMIFS(Sales!$Y$5:$Y$1204,Sales!$R$5:$R$1204,TEXT(DATE(YEAR(TodayDate),MONTH(TodayDate)-11,1),"yyyy-mm"),Sales!$H$5:$H$1204,"Service"),2)</f>
        <v>0</v>
      </c>
      <c r="F64" s="26">
        <f>ROUND(SUMIFS(Sales!$Y$5:$Y$1204,Sales!$R$5:$R$1204,TEXT(DATE(YEAR(TodayDate),MONTH(TodayDate)-11,1),"yyyy-mm"),Sales!$H$5:$H$1204,"Retail"),2)</f>
        <v>0</v>
      </c>
      <c r="G64" s="26">
        <f>ROUND(SUMIFS(Sales!$AB$5:$AB$1204,Sales!$R$5:$R$1204,TEXT(DATE(YEAR(TodayDate),MONTH(TodayDate)-11,1),"yyyy-mm")),2)</f>
        <v>0</v>
      </c>
      <c r="H64" s="26">
        <f>ROUND(SUMIFS(Payroll!$Y$5:$Y$364,Payroll!$Q$5:$Q$364,TEXT(DATE(YEAR(TodayDate),MONTH(TodayDate)-11,1),"yyyy-mm")),2)</f>
        <v>0</v>
      </c>
      <c r="I64" s="26">
        <f>ROUND(SUMIFS(Expenses!$F$5:$F$604,Expenses!$P$5:$P$604,TEXT(DATE(YEAR(TodayDate),MONTH(TodayDate)-11,1),"yyyy-mm")),2)</f>
        <v>0</v>
      </c>
      <c r="J64" s="26">
        <f>ROUND(SUMIFS(Sales!$Y$5:$Y$1204,Sales!$R$5:$R$1204,TEXT(DATE(YEAR(TodayDate),MONTH(TodayDate)-11,1),"yyyy-mm"))-SUMIFS(Sales!$AB$5:$AB$1204,Sales!$R$5:$R$1204,TEXT(DATE(YEAR(TodayDate),MONTH(TodayDate)-11,1),"yyyy-mm"))-SUMIFS(Payroll!$Y$5:$Y$364,Payroll!$Q$5:$Q$364,TEXT(DATE(YEAR(TodayDate),MONTH(TodayDate)-11,1),"yyyy-mm"))-SUMIFS(Expenses!$F$5:$F$604,Expenses!$P$5:$P$604,TEXT(DATE(YEAR(TodayDate),MONTH(TodayDate)-11,1),"yyyy-mm")),2)</f>
        <v>0</v>
      </c>
      <c r="K64" s="27">
        <f>IF(SUMIFS(Sales!$Y$5:$Y$1204,Sales!$R$5:$R$1204,TEXT(DATE(YEAR(TodayDate),MONTH(TodayDate)-11,1),"yyyy-mm"))&lt;=0,"",(SUMIFS(Sales!$Y$5:$Y$1204,Sales!$R$5:$R$1204,TEXT(DATE(YEAR(TodayDate),MONTH(TodayDate)-11,1),"yyyy-mm"))-SUMIFS(Sales!$AB$5:$AB$1204,Sales!$R$5:$R$1204,TEXT(DATE(YEAR(TodayDate),MONTH(TodayDate)-11,1),"yyyy-mm"))-SUMIFS(Payroll!$Y$5:$Y$364,Payroll!$Q$5:$Q$364,TEXT(DATE(YEAR(TodayDate),MONTH(TodayDate)-11,1),"yyyy-mm"))-SUMIFS(Expenses!$F$5:$F$604,Expenses!$P$5:$P$604,TEXT(DATE(YEAR(TodayDate),MONTH(TodayDate)-11,1),"yyyy-mm")))/SUMIFS(Sales!$Y$5:$Y$1204,Sales!$R$5:$R$1204,TEXT(DATE(YEAR(TodayDate),MONTH(TodayDate)-11,1),"yyyy-mm")))</f>
        <v>0</v>
      </c>
      <c r="L64" s="25">
        <f>COUNTIFS(Appointments!$S$5:$S$1204,TEXT(DATE(YEAR(TodayDate),MONTH(TodayDate)-11,1),"yyyy-mm"),Appointments!$M$5:$M$1204,"Completed")</f>
        <v>0</v>
      </c>
      <c r="M64" s="26">
        <f>IFERROR(SUMIFS(Sales!$Y$5:$Y$1204,Sales!$R$5:$R$1204,TEXT(DATE(YEAR(TodayDate),MONTH(TodayDate)-11,1),"yyyy-mm"))/MAX(1,COUNTIFS(Appointments!$S$5:$S$1204,TEXT(DATE(YEAR(TodayDate),MONTH(TodayDate)-11,1),"yyyy-mm"),Appointments!$M$5:$M$1204,"Completed")),"")</f>
        <v>0</v>
      </c>
    </row>
    <row r="65" spans="1:13">
      <c r="A65" s="15">
        <f>TEXT(DATE(YEAR(TodayDate),MONTH(TodayDate)-10,1),"mmm yy")</f>
        <v>0</v>
      </c>
      <c r="B65" s="26">
        <f>ROUND(SUMIFS(Sales!$Y$5:$Y$1204,Sales!$R$5:$R$1204,TEXT(DATE(YEAR(TodayDate),MONTH(TodayDate)-10,1),"yyyy-mm")),2)</f>
        <v>0</v>
      </c>
      <c r="C65" s="26">
        <f>ROUND(RevenueTargetMonth,2)</f>
        <v>0</v>
      </c>
      <c r="D65" s="26">
        <f>ROUND(SUMIFS(Sales!$Y$5:$Y$1204,Sales!$R$5:$R$1204,TEXT(DATE(YEAR(TodayDate),MONTH(TodayDate)-10,1),"yyyy-mm"))-RevenueTargetMonth,2)</f>
        <v>0</v>
      </c>
      <c r="E65" s="26">
        <f>ROUND(SUMIFS(Sales!$Y$5:$Y$1204,Sales!$R$5:$R$1204,TEXT(DATE(YEAR(TodayDate),MONTH(TodayDate)-10,1),"yyyy-mm"),Sales!$H$5:$H$1204,"Service"),2)</f>
        <v>0</v>
      </c>
      <c r="F65" s="26">
        <f>ROUND(SUMIFS(Sales!$Y$5:$Y$1204,Sales!$R$5:$R$1204,TEXT(DATE(YEAR(TodayDate),MONTH(TodayDate)-10,1),"yyyy-mm"),Sales!$H$5:$H$1204,"Retail"),2)</f>
        <v>0</v>
      </c>
      <c r="G65" s="26">
        <f>ROUND(SUMIFS(Sales!$AB$5:$AB$1204,Sales!$R$5:$R$1204,TEXT(DATE(YEAR(TodayDate),MONTH(TodayDate)-10,1),"yyyy-mm")),2)</f>
        <v>0</v>
      </c>
      <c r="H65" s="26">
        <f>ROUND(SUMIFS(Payroll!$Y$5:$Y$364,Payroll!$Q$5:$Q$364,TEXT(DATE(YEAR(TodayDate),MONTH(TodayDate)-10,1),"yyyy-mm")),2)</f>
        <v>0</v>
      </c>
      <c r="I65" s="26">
        <f>ROUND(SUMIFS(Expenses!$F$5:$F$604,Expenses!$P$5:$P$604,TEXT(DATE(YEAR(TodayDate),MONTH(TodayDate)-10,1),"yyyy-mm")),2)</f>
        <v>0</v>
      </c>
      <c r="J65" s="26">
        <f>ROUND(SUMIFS(Sales!$Y$5:$Y$1204,Sales!$R$5:$R$1204,TEXT(DATE(YEAR(TodayDate),MONTH(TodayDate)-10,1),"yyyy-mm"))-SUMIFS(Sales!$AB$5:$AB$1204,Sales!$R$5:$R$1204,TEXT(DATE(YEAR(TodayDate),MONTH(TodayDate)-10,1),"yyyy-mm"))-SUMIFS(Payroll!$Y$5:$Y$364,Payroll!$Q$5:$Q$364,TEXT(DATE(YEAR(TodayDate),MONTH(TodayDate)-10,1),"yyyy-mm"))-SUMIFS(Expenses!$F$5:$F$604,Expenses!$P$5:$P$604,TEXT(DATE(YEAR(TodayDate),MONTH(TodayDate)-10,1),"yyyy-mm")),2)</f>
        <v>0</v>
      </c>
      <c r="K65" s="27">
        <f>IF(SUMIFS(Sales!$Y$5:$Y$1204,Sales!$R$5:$R$1204,TEXT(DATE(YEAR(TodayDate),MONTH(TodayDate)-10,1),"yyyy-mm"))&lt;=0,"",(SUMIFS(Sales!$Y$5:$Y$1204,Sales!$R$5:$R$1204,TEXT(DATE(YEAR(TodayDate),MONTH(TodayDate)-10,1),"yyyy-mm"))-SUMIFS(Sales!$AB$5:$AB$1204,Sales!$R$5:$R$1204,TEXT(DATE(YEAR(TodayDate),MONTH(TodayDate)-10,1),"yyyy-mm"))-SUMIFS(Payroll!$Y$5:$Y$364,Payroll!$Q$5:$Q$364,TEXT(DATE(YEAR(TodayDate),MONTH(TodayDate)-10,1),"yyyy-mm"))-SUMIFS(Expenses!$F$5:$F$604,Expenses!$P$5:$P$604,TEXT(DATE(YEAR(TodayDate),MONTH(TodayDate)-10,1),"yyyy-mm")))/SUMIFS(Sales!$Y$5:$Y$1204,Sales!$R$5:$R$1204,TEXT(DATE(YEAR(TodayDate),MONTH(TodayDate)-10,1),"yyyy-mm")))</f>
        <v>0</v>
      </c>
      <c r="L65" s="25">
        <f>COUNTIFS(Appointments!$S$5:$S$1204,TEXT(DATE(YEAR(TodayDate),MONTH(TodayDate)-10,1),"yyyy-mm"),Appointments!$M$5:$M$1204,"Completed")</f>
        <v>0</v>
      </c>
      <c r="M65" s="26">
        <f>IFERROR(SUMIFS(Sales!$Y$5:$Y$1204,Sales!$R$5:$R$1204,TEXT(DATE(YEAR(TodayDate),MONTH(TodayDate)-10,1),"yyyy-mm"))/MAX(1,COUNTIFS(Appointments!$S$5:$S$1204,TEXT(DATE(YEAR(TodayDate),MONTH(TodayDate)-10,1),"yyyy-mm"),Appointments!$M$5:$M$1204,"Completed")),"")</f>
        <v>0</v>
      </c>
    </row>
    <row r="66" spans="1:13">
      <c r="A66" s="15">
        <f>TEXT(DATE(YEAR(TodayDate),MONTH(TodayDate)-9,1),"mmm yy")</f>
        <v>0</v>
      </c>
      <c r="B66" s="26">
        <f>ROUND(SUMIFS(Sales!$Y$5:$Y$1204,Sales!$R$5:$R$1204,TEXT(DATE(YEAR(TodayDate),MONTH(TodayDate)-9,1),"yyyy-mm")),2)</f>
        <v>0</v>
      </c>
      <c r="C66" s="26">
        <f>ROUND(RevenueTargetMonth,2)</f>
        <v>0</v>
      </c>
      <c r="D66" s="26">
        <f>ROUND(SUMIFS(Sales!$Y$5:$Y$1204,Sales!$R$5:$R$1204,TEXT(DATE(YEAR(TodayDate),MONTH(TodayDate)-9,1),"yyyy-mm"))-RevenueTargetMonth,2)</f>
        <v>0</v>
      </c>
      <c r="E66" s="26">
        <f>ROUND(SUMIFS(Sales!$Y$5:$Y$1204,Sales!$R$5:$R$1204,TEXT(DATE(YEAR(TodayDate),MONTH(TodayDate)-9,1),"yyyy-mm"),Sales!$H$5:$H$1204,"Service"),2)</f>
        <v>0</v>
      </c>
      <c r="F66" s="26">
        <f>ROUND(SUMIFS(Sales!$Y$5:$Y$1204,Sales!$R$5:$R$1204,TEXT(DATE(YEAR(TodayDate),MONTH(TodayDate)-9,1),"yyyy-mm"),Sales!$H$5:$H$1204,"Retail"),2)</f>
        <v>0</v>
      </c>
      <c r="G66" s="26">
        <f>ROUND(SUMIFS(Sales!$AB$5:$AB$1204,Sales!$R$5:$R$1204,TEXT(DATE(YEAR(TodayDate),MONTH(TodayDate)-9,1),"yyyy-mm")),2)</f>
        <v>0</v>
      </c>
      <c r="H66" s="26">
        <f>ROUND(SUMIFS(Payroll!$Y$5:$Y$364,Payroll!$Q$5:$Q$364,TEXT(DATE(YEAR(TodayDate),MONTH(TodayDate)-9,1),"yyyy-mm")),2)</f>
        <v>0</v>
      </c>
      <c r="I66" s="26">
        <f>ROUND(SUMIFS(Expenses!$F$5:$F$604,Expenses!$P$5:$P$604,TEXT(DATE(YEAR(TodayDate),MONTH(TodayDate)-9,1),"yyyy-mm")),2)</f>
        <v>0</v>
      </c>
      <c r="J66" s="26">
        <f>ROUND(SUMIFS(Sales!$Y$5:$Y$1204,Sales!$R$5:$R$1204,TEXT(DATE(YEAR(TodayDate),MONTH(TodayDate)-9,1),"yyyy-mm"))-SUMIFS(Sales!$AB$5:$AB$1204,Sales!$R$5:$R$1204,TEXT(DATE(YEAR(TodayDate),MONTH(TodayDate)-9,1),"yyyy-mm"))-SUMIFS(Payroll!$Y$5:$Y$364,Payroll!$Q$5:$Q$364,TEXT(DATE(YEAR(TodayDate),MONTH(TodayDate)-9,1),"yyyy-mm"))-SUMIFS(Expenses!$F$5:$F$604,Expenses!$P$5:$P$604,TEXT(DATE(YEAR(TodayDate),MONTH(TodayDate)-9,1),"yyyy-mm")),2)</f>
        <v>0</v>
      </c>
      <c r="K66" s="27">
        <f>IF(SUMIFS(Sales!$Y$5:$Y$1204,Sales!$R$5:$R$1204,TEXT(DATE(YEAR(TodayDate),MONTH(TodayDate)-9,1),"yyyy-mm"))&lt;=0,"",(SUMIFS(Sales!$Y$5:$Y$1204,Sales!$R$5:$R$1204,TEXT(DATE(YEAR(TodayDate),MONTH(TodayDate)-9,1),"yyyy-mm"))-SUMIFS(Sales!$AB$5:$AB$1204,Sales!$R$5:$R$1204,TEXT(DATE(YEAR(TodayDate),MONTH(TodayDate)-9,1),"yyyy-mm"))-SUMIFS(Payroll!$Y$5:$Y$364,Payroll!$Q$5:$Q$364,TEXT(DATE(YEAR(TodayDate),MONTH(TodayDate)-9,1),"yyyy-mm"))-SUMIFS(Expenses!$F$5:$F$604,Expenses!$P$5:$P$604,TEXT(DATE(YEAR(TodayDate),MONTH(TodayDate)-9,1),"yyyy-mm")))/SUMIFS(Sales!$Y$5:$Y$1204,Sales!$R$5:$R$1204,TEXT(DATE(YEAR(TodayDate),MONTH(TodayDate)-9,1),"yyyy-mm")))</f>
        <v>0</v>
      </c>
      <c r="L66" s="25">
        <f>COUNTIFS(Appointments!$S$5:$S$1204,TEXT(DATE(YEAR(TodayDate),MONTH(TodayDate)-9,1),"yyyy-mm"),Appointments!$M$5:$M$1204,"Completed")</f>
        <v>0</v>
      </c>
      <c r="M66" s="26">
        <f>IFERROR(SUMIFS(Sales!$Y$5:$Y$1204,Sales!$R$5:$R$1204,TEXT(DATE(YEAR(TodayDate),MONTH(TodayDate)-9,1),"yyyy-mm"))/MAX(1,COUNTIFS(Appointments!$S$5:$S$1204,TEXT(DATE(YEAR(TodayDate),MONTH(TodayDate)-9,1),"yyyy-mm"),Appointments!$M$5:$M$1204,"Completed")),"")</f>
        <v>0</v>
      </c>
    </row>
    <row r="67" spans="1:13">
      <c r="A67" s="15">
        <f>TEXT(DATE(YEAR(TodayDate),MONTH(TodayDate)-8,1),"mmm yy")</f>
        <v>0</v>
      </c>
      <c r="B67" s="26">
        <f>ROUND(SUMIFS(Sales!$Y$5:$Y$1204,Sales!$R$5:$R$1204,TEXT(DATE(YEAR(TodayDate),MONTH(TodayDate)-8,1),"yyyy-mm")),2)</f>
        <v>0</v>
      </c>
      <c r="C67" s="26">
        <f>ROUND(RevenueTargetMonth,2)</f>
        <v>0</v>
      </c>
      <c r="D67" s="26">
        <f>ROUND(SUMIFS(Sales!$Y$5:$Y$1204,Sales!$R$5:$R$1204,TEXT(DATE(YEAR(TodayDate),MONTH(TodayDate)-8,1),"yyyy-mm"))-RevenueTargetMonth,2)</f>
        <v>0</v>
      </c>
      <c r="E67" s="26">
        <f>ROUND(SUMIFS(Sales!$Y$5:$Y$1204,Sales!$R$5:$R$1204,TEXT(DATE(YEAR(TodayDate),MONTH(TodayDate)-8,1),"yyyy-mm"),Sales!$H$5:$H$1204,"Service"),2)</f>
        <v>0</v>
      </c>
      <c r="F67" s="26">
        <f>ROUND(SUMIFS(Sales!$Y$5:$Y$1204,Sales!$R$5:$R$1204,TEXT(DATE(YEAR(TodayDate),MONTH(TodayDate)-8,1),"yyyy-mm"),Sales!$H$5:$H$1204,"Retail"),2)</f>
        <v>0</v>
      </c>
      <c r="G67" s="26">
        <f>ROUND(SUMIFS(Sales!$AB$5:$AB$1204,Sales!$R$5:$R$1204,TEXT(DATE(YEAR(TodayDate),MONTH(TodayDate)-8,1),"yyyy-mm")),2)</f>
        <v>0</v>
      </c>
      <c r="H67" s="26">
        <f>ROUND(SUMIFS(Payroll!$Y$5:$Y$364,Payroll!$Q$5:$Q$364,TEXT(DATE(YEAR(TodayDate),MONTH(TodayDate)-8,1),"yyyy-mm")),2)</f>
        <v>0</v>
      </c>
      <c r="I67" s="26">
        <f>ROUND(SUMIFS(Expenses!$F$5:$F$604,Expenses!$P$5:$P$604,TEXT(DATE(YEAR(TodayDate),MONTH(TodayDate)-8,1),"yyyy-mm")),2)</f>
        <v>0</v>
      </c>
      <c r="J67" s="26">
        <f>ROUND(SUMIFS(Sales!$Y$5:$Y$1204,Sales!$R$5:$R$1204,TEXT(DATE(YEAR(TodayDate),MONTH(TodayDate)-8,1),"yyyy-mm"))-SUMIFS(Sales!$AB$5:$AB$1204,Sales!$R$5:$R$1204,TEXT(DATE(YEAR(TodayDate),MONTH(TodayDate)-8,1),"yyyy-mm"))-SUMIFS(Payroll!$Y$5:$Y$364,Payroll!$Q$5:$Q$364,TEXT(DATE(YEAR(TodayDate),MONTH(TodayDate)-8,1),"yyyy-mm"))-SUMIFS(Expenses!$F$5:$F$604,Expenses!$P$5:$P$604,TEXT(DATE(YEAR(TodayDate),MONTH(TodayDate)-8,1),"yyyy-mm")),2)</f>
        <v>0</v>
      </c>
      <c r="K67" s="27">
        <f>IF(SUMIFS(Sales!$Y$5:$Y$1204,Sales!$R$5:$R$1204,TEXT(DATE(YEAR(TodayDate),MONTH(TodayDate)-8,1),"yyyy-mm"))&lt;=0,"",(SUMIFS(Sales!$Y$5:$Y$1204,Sales!$R$5:$R$1204,TEXT(DATE(YEAR(TodayDate),MONTH(TodayDate)-8,1),"yyyy-mm"))-SUMIFS(Sales!$AB$5:$AB$1204,Sales!$R$5:$R$1204,TEXT(DATE(YEAR(TodayDate),MONTH(TodayDate)-8,1),"yyyy-mm"))-SUMIFS(Payroll!$Y$5:$Y$364,Payroll!$Q$5:$Q$364,TEXT(DATE(YEAR(TodayDate),MONTH(TodayDate)-8,1),"yyyy-mm"))-SUMIFS(Expenses!$F$5:$F$604,Expenses!$P$5:$P$604,TEXT(DATE(YEAR(TodayDate),MONTH(TodayDate)-8,1),"yyyy-mm")))/SUMIFS(Sales!$Y$5:$Y$1204,Sales!$R$5:$R$1204,TEXT(DATE(YEAR(TodayDate),MONTH(TodayDate)-8,1),"yyyy-mm")))</f>
        <v>0</v>
      </c>
      <c r="L67" s="25">
        <f>COUNTIFS(Appointments!$S$5:$S$1204,TEXT(DATE(YEAR(TodayDate),MONTH(TodayDate)-8,1),"yyyy-mm"),Appointments!$M$5:$M$1204,"Completed")</f>
        <v>0</v>
      </c>
      <c r="M67" s="26">
        <f>IFERROR(SUMIFS(Sales!$Y$5:$Y$1204,Sales!$R$5:$R$1204,TEXT(DATE(YEAR(TodayDate),MONTH(TodayDate)-8,1),"yyyy-mm"))/MAX(1,COUNTIFS(Appointments!$S$5:$S$1204,TEXT(DATE(YEAR(TodayDate),MONTH(TodayDate)-8,1),"yyyy-mm"),Appointments!$M$5:$M$1204,"Completed")),"")</f>
        <v>0</v>
      </c>
    </row>
    <row r="68" spans="1:13">
      <c r="A68" s="15">
        <f>TEXT(DATE(YEAR(TodayDate),MONTH(TodayDate)-7,1),"mmm yy")</f>
        <v>0</v>
      </c>
      <c r="B68" s="26">
        <f>ROUND(SUMIFS(Sales!$Y$5:$Y$1204,Sales!$R$5:$R$1204,TEXT(DATE(YEAR(TodayDate),MONTH(TodayDate)-7,1),"yyyy-mm")),2)</f>
        <v>0</v>
      </c>
      <c r="C68" s="26">
        <f>ROUND(RevenueTargetMonth,2)</f>
        <v>0</v>
      </c>
      <c r="D68" s="26">
        <f>ROUND(SUMIFS(Sales!$Y$5:$Y$1204,Sales!$R$5:$R$1204,TEXT(DATE(YEAR(TodayDate),MONTH(TodayDate)-7,1),"yyyy-mm"))-RevenueTargetMonth,2)</f>
        <v>0</v>
      </c>
      <c r="E68" s="26">
        <f>ROUND(SUMIFS(Sales!$Y$5:$Y$1204,Sales!$R$5:$R$1204,TEXT(DATE(YEAR(TodayDate),MONTH(TodayDate)-7,1),"yyyy-mm"),Sales!$H$5:$H$1204,"Service"),2)</f>
        <v>0</v>
      </c>
      <c r="F68" s="26">
        <f>ROUND(SUMIFS(Sales!$Y$5:$Y$1204,Sales!$R$5:$R$1204,TEXT(DATE(YEAR(TodayDate),MONTH(TodayDate)-7,1),"yyyy-mm"),Sales!$H$5:$H$1204,"Retail"),2)</f>
        <v>0</v>
      </c>
      <c r="G68" s="26">
        <f>ROUND(SUMIFS(Sales!$AB$5:$AB$1204,Sales!$R$5:$R$1204,TEXT(DATE(YEAR(TodayDate),MONTH(TodayDate)-7,1),"yyyy-mm")),2)</f>
        <v>0</v>
      </c>
      <c r="H68" s="26">
        <f>ROUND(SUMIFS(Payroll!$Y$5:$Y$364,Payroll!$Q$5:$Q$364,TEXT(DATE(YEAR(TodayDate),MONTH(TodayDate)-7,1),"yyyy-mm")),2)</f>
        <v>0</v>
      </c>
      <c r="I68" s="26">
        <f>ROUND(SUMIFS(Expenses!$F$5:$F$604,Expenses!$P$5:$P$604,TEXT(DATE(YEAR(TodayDate),MONTH(TodayDate)-7,1),"yyyy-mm")),2)</f>
        <v>0</v>
      </c>
      <c r="J68" s="26">
        <f>ROUND(SUMIFS(Sales!$Y$5:$Y$1204,Sales!$R$5:$R$1204,TEXT(DATE(YEAR(TodayDate),MONTH(TodayDate)-7,1),"yyyy-mm"))-SUMIFS(Sales!$AB$5:$AB$1204,Sales!$R$5:$R$1204,TEXT(DATE(YEAR(TodayDate),MONTH(TodayDate)-7,1),"yyyy-mm"))-SUMIFS(Payroll!$Y$5:$Y$364,Payroll!$Q$5:$Q$364,TEXT(DATE(YEAR(TodayDate),MONTH(TodayDate)-7,1),"yyyy-mm"))-SUMIFS(Expenses!$F$5:$F$604,Expenses!$P$5:$P$604,TEXT(DATE(YEAR(TodayDate),MONTH(TodayDate)-7,1),"yyyy-mm")),2)</f>
        <v>0</v>
      </c>
      <c r="K68" s="27">
        <f>IF(SUMIFS(Sales!$Y$5:$Y$1204,Sales!$R$5:$R$1204,TEXT(DATE(YEAR(TodayDate),MONTH(TodayDate)-7,1),"yyyy-mm"))&lt;=0,"",(SUMIFS(Sales!$Y$5:$Y$1204,Sales!$R$5:$R$1204,TEXT(DATE(YEAR(TodayDate),MONTH(TodayDate)-7,1),"yyyy-mm"))-SUMIFS(Sales!$AB$5:$AB$1204,Sales!$R$5:$R$1204,TEXT(DATE(YEAR(TodayDate),MONTH(TodayDate)-7,1),"yyyy-mm"))-SUMIFS(Payroll!$Y$5:$Y$364,Payroll!$Q$5:$Q$364,TEXT(DATE(YEAR(TodayDate),MONTH(TodayDate)-7,1),"yyyy-mm"))-SUMIFS(Expenses!$F$5:$F$604,Expenses!$P$5:$P$604,TEXT(DATE(YEAR(TodayDate),MONTH(TodayDate)-7,1),"yyyy-mm")))/SUMIFS(Sales!$Y$5:$Y$1204,Sales!$R$5:$R$1204,TEXT(DATE(YEAR(TodayDate),MONTH(TodayDate)-7,1),"yyyy-mm")))</f>
        <v>0</v>
      </c>
      <c r="L68" s="25">
        <f>COUNTIFS(Appointments!$S$5:$S$1204,TEXT(DATE(YEAR(TodayDate),MONTH(TodayDate)-7,1),"yyyy-mm"),Appointments!$M$5:$M$1204,"Completed")</f>
        <v>0</v>
      </c>
      <c r="M68" s="26">
        <f>IFERROR(SUMIFS(Sales!$Y$5:$Y$1204,Sales!$R$5:$R$1204,TEXT(DATE(YEAR(TodayDate),MONTH(TodayDate)-7,1),"yyyy-mm"))/MAX(1,COUNTIFS(Appointments!$S$5:$S$1204,TEXT(DATE(YEAR(TodayDate),MONTH(TodayDate)-7,1),"yyyy-mm"),Appointments!$M$5:$M$1204,"Completed")),"")</f>
        <v>0</v>
      </c>
    </row>
    <row r="69" spans="1:13">
      <c r="A69" s="15">
        <f>TEXT(DATE(YEAR(TodayDate),MONTH(TodayDate)-6,1),"mmm yy")</f>
        <v>0</v>
      </c>
      <c r="B69" s="26">
        <f>ROUND(SUMIFS(Sales!$Y$5:$Y$1204,Sales!$R$5:$R$1204,TEXT(DATE(YEAR(TodayDate),MONTH(TodayDate)-6,1),"yyyy-mm")),2)</f>
        <v>0</v>
      </c>
      <c r="C69" s="26">
        <f>ROUND(RevenueTargetMonth,2)</f>
        <v>0</v>
      </c>
      <c r="D69" s="26">
        <f>ROUND(SUMIFS(Sales!$Y$5:$Y$1204,Sales!$R$5:$R$1204,TEXT(DATE(YEAR(TodayDate),MONTH(TodayDate)-6,1),"yyyy-mm"))-RevenueTargetMonth,2)</f>
        <v>0</v>
      </c>
      <c r="E69" s="26">
        <f>ROUND(SUMIFS(Sales!$Y$5:$Y$1204,Sales!$R$5:$R$1204,TEXT(DATE(YEAR(TodayDate),MONTH(TodayDate)-6,1),"yyyy-mm"),Sales!$H$5:$H$1204,"Service"),2)</f>
        <v>0</v>
      </c>
      <c r="F69" s="26">
        <f>ROUND(SUMIFS(Sales!$Y$5:$Y$1204,Sales!$R$5:$R$1204,TEXT(DATE(YEAR(TodayDate),MONTH(TodayDate)-6,1),"yyyy-mm"),Sales!$H$5:$H$1204,"Retail"),2)</f>
        <v>0</v>
      </c>
      <c r="G69" s="26">
        <f>ROUND(SUMIFS(Sales!$AB$5:$AB$1204,Sales!$R$5:$R$1204,TEXT(DATE(YEAR(TodayDate),MONTH(TodayDate)-6,1),"yyyy-mm")),2)</f>
        <v>0</v>
      </c>
      <c r="H69" s="26">
        <f>ROUND(SUMIFS(Payroll!$Y$5:$Y$364,Payroll!$Q$5:$Q$364,TEXT(DATE(YEAR(TodayDate),MONTH(TodayDate)-6,1),"yyyy-mm")),2)</f>
        <v>0</v>
      </c>
      <c r="I69" s="26">
        <f>ROUND(SUMIFS(Expenses!$F$5:$F$604,Expenses!$P$5:$P$604,TEXT(DATE(YEAR(TodayDate),MONTH(TodayDate)-6,1),"yyyy-mm")),2)</f>
        <v>0</v>
      </c>
      <c r="J69" s="26">
        <f>ROUND(SUMIFS(Sales!$Y$5:$Y$1204,Sales!$R$5:$R$1204,TEXT(DATE(YEAR(TodayDate),MONTH(TodayDate)-6,1),"yyyy-mm"))-SUMIFS(Sales!$AB$5:$AB$1204,Sales!$R$5:$R$1204,TEXT(DATE(YEAR(TodayDate),MONTH(TodayDate)-6,1),"yyyy-mm"))-SUMIFS(Payroll!$Y$5:$Y$364,Payroll!$Q$5:$Q$364,TEXT(DATE(YEAR(TodayDate),MONTH(TodayDate)-6,1),"yyyy-mm"))-SUMIFS(Expenses!$F$5:$F$604,Expenses!$P$5:$P$604,TEXT(DATE(YEAR(TodayDate),MONTH(TodayDate)-6,1),"yyyy-mm")),2)</f>
        <v>0</v>
      </c>
      <c r="K69" s="27">
        <f>IF(SUMIFS(Sales!$Y$5:$Y$1204,Sales!$R$5:$R$1204,TEXT(DATE(YEAR(TodayDate),MONTH(TodayDate)-6,1),"yyyy-mm"))&lt;=0,"",(SUMIFS(Sales!$Y$5:$Y$1204,Sales!$R$5:$R$1204,TEXT(DATE(YEAR(TodayDate),MONTH(TodayDate)-6,1),"yyyy-mm"))-SUMIFS(Sales!$AB$5:$AB$1204,Sales!$R$5:$R$1204,TEXT(DATE(YEAR(TodayDate),MONTH(TodayDate)-6,1),"yyyy-mm"))-SUMIFS(Payroll!$Y$5:$Y$364,Payroll!$Q$5:$Q$364,TEXT(DATE(YEAR(TodayDate),MONTH(TodayDate)-6,1),"yyyy-mm"))-SUMIFS(Expenses!$F$5:$F$604,Expenses!$P$5:$P$604,TEXT(DATE(YEAR(TodayDate),MONTH(TodayDate)-6,1),"yyyy-mm")))/SUMIFS(Sales!$Y$5:$Y$1204,Sales!$R$5:$R$1204,TEXT(DATE(YEAR(TodayDate),MONTH(TodayDate)-6,1),"yyyy-mm")))</f>
        <v>0</v>
      </c>
      <c r="L69" s="25">
        <f>COUNTIFS(Appointments!$S$5:$S$1204,TEXT(DATE(YEAR(TodayDate),MONTH(TodayDate)-6,1),"yyyy-mm"),Appointments!$M$5:$M$1204,"Completed")</f>
        <v>0</v>
      </c>
      <c r="M69" s="26">
        <f>IFERROR(SUMIFS(Sales!$Y$5:$Y$1204,Sales!$R$5:$R$1204,TEXT(DATE(YEAR(TodayDate),MONTH(TodayDate)-6,1),"yyyy-mm"))/MAX(1,COUNTIFS(Appointments!$S$5:$S$1204,TEXT(DATE(YEAR(TodayDate),MONTH(TodayDate)-6,1),"yyyy-mm"),Appointments!$M$5:$M$1204,"Completed")),"")</f>
        <v>0</v>
      </c>
    </row>
    <row r="70" spans="1:13">
      <c r="A70" s="15">
        <f>TEXT(DATE(YEAR(TodayDate),MONTH(TodayDate)-5,1),"mmm yy")</f>
        <v>0</v>
      </c>
      <c r="B70" s="26">
        <f>ROUND(SUMIFS(Sales!$Y$5:$Y$1204,Sales!$R$5:$R$1204,TEXT(DATE(YEAR(TodayDate),MONTH(TodayDate)-5,1),"yyyy-mm")),2)</f>
        <v>0</v>
      </c>
      <c r="C70" s="26">
        <f>ROUND(RevenueTargetMonth,2)</f>
        <v>0</v>
      </c>
      <c r="D70" s="26">
        <f>ROUND(SUMIFS(Sales!$Y$5:$Y$1204,Sales!$R$5:$R$1204,TEXT(DATE(YEAR(TodayDate),MONTH(TodayDate)-5,1),"yyyy-mm"))-RevenueTargetMonth,2)</f>
        <v>0</v>
      </c>
      <c r="E70" s="26">
        <f>ROUND(SUMIFS(Sales!$Y$5:$Y$1204,Sales!$R$5:$R$1204,TEXT(DATE(YEAR(TodayDate),MONTH(TodayDate)-5,1),"yyyy-mm"),Sales!$H$5:$H$1204,"Service"),2)</f>
        <v>0</v>
      </c>
      <c r="F70" s="26">
        <f>ROUND(SUMIFS(Sales!$Y$5:$Y$1204,Sales!$R$5:$R$1204,TEXT(DATE(YEAR(TodayDate),MONTH(TodayDate)-5,1),"yyyy-mm"),Sales!$H$5:$H$1204,"Retail"),2)</f>
        <v>0</v>
      </c>
      <c r="G70" s="26">
        <f>ROUND(SUMIFS(Sales!$AB$5:$AB$1204,Sales!$R$5:$R$1204,TEXT(DATE(YEAR(TodayDate),MONTH(TodayDate)-5,1),"yyyy-mm")),2)</f>
        <v>0</v>
      </c>
      <c r="H70" s="26">
        <f>ROUND(SUMIFS(Payroll!$Y$5:$Y$364,Payroll!$Q$5:$Q$364,TEXT(DATE(YEAR(TodayDate),MONTH(TodayDate)-5,1),"yyyy-mm")),2)</f>
        <v>0</v>
      </c>
      <c r="I70" s="26">
        <f>ROUND(SUMIFS(Expenses!$F$5:$F$604,Expenses!$P$5:$P$604,TEXT(DATE(YEAR(TodayDate),MONTH(TodayDate)-5,1),"yyyy-mm")),2)</f>
        <v>0</v>
      </c>
      <c r="J70" s="26">
        <f>ROUND(SUMIFS(Sales!$Y$5:$Y$1204,Sales!$R$5:$R$1204,TEXT(DATE(YEAR(TodayDate),MONTH(TodayDate)-5,1),"yyyy-mm"))-SUMIFS(Sales!$AB$5:$AB$1204,Sales!$R$5:$R$1204,TEXT(DATE(YEAR(TodayDate),MONTH(TodayDate)-5,1),"yyyy-mm"))-SUMIFS(Payroll!$Y$5:$Y$364,Payroll!$Q$5:$Q$364,TEXT(DATE(YEAR(TodayDate),MONTH(TodayDate)-5,1),"yyyy-mm"))-SUMIFS(Expenses!$F$5:$F$604,Expenses!$P$5:$P$604,TEXT(DATE(YEAR(TodayDate),MONTH(TodayDate)-5,1),"yyyy-mm")),2)</f>
        <v>0</v>
      </c>
      <c r="K70" s="27">
        <f>IF(SUMIFS(Sales!$Y$5:$Y$1204,Sales!$R$5:$R$1204,TEXT(DATE(YEAR(TodayDate),MONTH(TodayDate)-5,1),"yyyy-mm"))&lt;=0,"",(SUMIFS(Sales!$Y$5:$Y$1204,Sales!$R$5:$R$1204,TEXT(DATE(YEAR(TodayDate),MONTH(TodayDate)-5,1),"yyyy-mm"))-SUMIFS(Sales!$AB$5:$AB$1204,Sales!$R$5:$R$1204,TEXT(DATE(YEAR(TodayDate),MONTH(TodayDate)-5,1),"yyyy-mm"))-SUMIFS(Payroll!$Y$5:$Y$364,Payroll!$Q$5:$Q$364,TEXT(DATE(YEAR(TodayDate),MONTH(TodayDate)-5,1),"yyyy-mm"))-SUMIFS(Expenses!$F$5:$F$604,Expenses!$P$5:$P$604,TEXT(DATE(YEAR(TodayDate),MONTH(TodayDate)-5,1),"yyyy-mm")))/SUMIFS(Sales!$Y$5:$Y$1204,Sales!$R$5:$R$1204,TEXT(DATE(YEAR(TodayDate),MONTH(TodayDate)-5,1),"yyyy-mm")))</f>
        <v>0</v>
      </c>
      <c r="L70" s="25">
        <f>COUNTIFS(Appointments!$S$5:$S$1204,TEXT(DATE(YEAR(TodayDate),MONTH(TodayDate)-5,1),"yyyy-mm"),Appointments!$M$5:$M$1204,"Completed")</f>
        <v>0</v>
      </c>
      <c r="M70" s="26">
        <f>IFERROR(SUMIFS(Sales!$Y$5:$Y$1204,Sales!$R$5:$R$1204,TEXT(DATE(YEAR(TodayDate),MONTH(TodayDate)-5,1),"yyyy-mm"))/MAX(1,COUNTIFS(Appointments!$S$5:$S$1204,TEXT(DATE(YEAR(TodayDate),MONTH(TodayDate)-5,1),"yyyy-mm"),Appointments!$M$5:$M$1204,"Completed")),"")</f>
        <v>0</v>
      </c>
    </row>
    <row r="71" spans="1:13">
      <c r="A71" s="15">
        <f>TEXT(DATE(YEAR(TodayDate),MONTH(TodayDate)-4,1),"mmm yy")</f>
        <v>0</v>
      </c>
      <c r="B71" s="26">
        <f>ROUND(SUMIFS(Sales!$Y$5:$Y$1204,Sales!$R$5:$R$1204,TEXT(DATE(YEAR(TodayDate),MONTH(TodayDate)-4,1),"yyyy-mm")),2)</f>
        <v>0</v>
      </c>
      <c r="C71" s="26">
        <f>ROUND(RevenueTargetMonth,2)</f>
        <v>0</v>
      </c>
      <c r="D71" s="26">
        <f>ROUND(SUMIFS(Sales!$Y$5:$Y$1204,Sales!$R$5:$R$1204,TEXT(DATE(YEAR(TodayDate),MONTH(TodayDate)-4,1),"yyyy-mm"))-RevenueTargetMonth,2)</f>
        <v>0</v>
      </c>
      <c r="E71" s="26">
        <f>ROUND(SUMIFS(Sales!$Y$5:$Y$1204,Sales!$R$5:$R$1204,TEXT(DATE(YEAR(TodayDate),MONTH(TodayDate)-4,1),"yyyy-mm"),Sales!$H$5:$H$1204,"Service"),2)</f>
        <v>0</v>
      </c>
      <c r="F71" s="26">
        <f>ROUND(SUMIFS(Sales!$Y$5:$Y$1204,Sales!$R$5:$R$1204,TEXT(DATE(YEAR(TodayDate),MONTH(TodayDate)-4,1),"yyyy-mm"),Sales!$H$5:$H$1204,"Retail"),2)</f>
        <v>0</v>
      </c>
      <c r="G71" s="26">
        <f>ROUND(SUMIFS(Sales!$AB$5:$AB$1204,Sales!$R$5:$R$1204,TEXT(DATE(YEAR(TodayDate),MONTH(TodayDate)-4,1),"yyyy-mm")),2)</f>
        <v>0</v>
      </c>
      <c r="H71" s="26">
        <f>ROUND(SUMIFS(Payroll!$Y$5:$Y$364,Payroll!$Q$5:$Q$364,TEXT(DATE(YEAR(TodayDate),MONTH(TodayDate)-4,1),"yyyy-mm")),2)</f>
        <v>0</v>
      </c>
      <c r="I71" s="26">
        <f>ROUND(SUMIFS(Expenses!$F$5:$F$604,Expenses!$P$5:$P$604,TEXT(DATE(YEAR(TodayDate),MONTH(TodayDate)-4,1),"yyyy-mm")),2)</f>
        <v>0</v>
      </c>
      <c r="J71" s="26">
        <f>ROUND(SUMIFS(Sales!$Y$5:$Y$1204,Sales!$R$5:$R$1204,TEXT(DATE(YEAR(TodayDate),MONTH(TodayDate)-4,1),"yyyy-mm"))-SUMIFS(Sales!$AB$5:$AB$1204,Sales!$R$5:$R$1204,TEXT(DATE(YEAR(TodayDate),MONTH(TodayDate)-4,1),"yyyy-mm"))-SUMIFS(Payroll!$Y$5:$Y$364,Payroll!$Q$5:$Q$364,TEXT(DATE(YEAR(TodayDate),MONTH(TodayDate)-4,1),"yyyy-mm"))-SUMIFS(Expenses!$F$5:$F$604,Expenses!$P$5:$P$604,TEXT(DATE(YEAR(TodayDate),MONTH(TodayDate)-4,1),"yyyy-mm")),2)</f>
        <v>0</v>
      </c>
      <c r="K71" s="27">
        <f>IF(SUMIFS(Sales!$Y$5:$Y$1204,Sales!$R$5:$R$1204,TEXT(DATE(YEAR(TodayDate),MONTH(TodayDate)-4,1),"yyyy-mm"))&lt;=0,"",(SUMIFS(Sales!$Y$5:$Y$1204,Sales!$R$5:$R$1204,TEXT(DATE(YEAR(TodayDate),MONTH(TodayDate)-4,1),"yyyy-mm"))-SUMIFS(Sales!$AB$5:$AB$1204,Sales!$R$5:$R$1204,TEXT(DATE(YEAR(TodayDate),MONTH(TodayDate)-4,1),"yyyy-mm"))-SUMIFS(Payroll!$Y$5:$Y$364,Payroll!$Q$5:$Q$364,TEXT(DATE(YEAR(TodayDate),MONTH(TodayDate)-4,1),"yyyy-mm"))-SUMIFS(Expenses!$F$5:$F$604,Expenses!$P$5:$P$604,TEXT(DATE(YEAR(TodayDate),MONTH(TodayDate)-4,1),"yyyy-mm")))/SUMIFS(Sales!$Y$5:$Y$1204,Sales!$R$5:$R$1204,TEXT(DATE(YEAR(TodayDate),MONTH(TodayDate)-4,1),"yyyy-mm")))</f>
        <v>0</v>
      </c>
      <c r="L71" s="25">
        <f>COUNTIFS(Appointments!$S$5:$S$1204,TEXT(DATE(YEAR(TodayDate),MONTH(TodayDate)-4,1),"yyyy-mm"),Appointments!$M$5:$M$1204,"Completed")</f>
        <v>0</v>
      </c>
      <c r="M71" s="26">
        <f>IFERROR(SUMIFS(Sales!$Y$5:$Y$1204,Sales!$R$5:$R$1204,TEXT(DATE(YEAR(TodayDate),MONTH(TodayDate)-4,1),"yyyy-mm"))/MAX(1,COUNTIFS(Appointments!$S$5:$S$1204,TEXT(DATE(YEAR(TodayDate),MONTH(TodayDate)-4,1),"yyyy-mm"),Appointments!$M$5:$M$1204,"Completed")),"")</f>
        <v>0</v>
      </c>
    </row>
    <row r="72" spans="1:13">
      <c r="A72" s="15">
        <f>TEXT(DATE(YEAR(TodayDate),MONTH(TodayDate)-3,1),"mmm yy")</f>
        <v>0</v>
      </c>
      <c r="B72" s="26">
        <f>ROUND(SUMIFS(Sales!$Y$5:$Y$1204,Sales!$R$5:$R$1204,TEXT(DATE(YEAR(TodayDate),MONTH(TodayDate)-3,1),"yyyy-mm")),2)</f>
        <v>0</v>
      </c>
      <c r="C72" s="26">
        <f>ROUND(RevenueTargetMonth,2)</f>
        <v>0</v>
      </c>
      <c r="D72" s="26">
        <f>ROUND(SUMIFS(Sales!$Y$5:$Y$1204,Sales!$R$5:$R$1204,TEXT(DATE(YEAR(TodayDate),MONTH(TodayDate)-3,1),"yyyy-mm"))-RevenueTargetMonth,2)</f>
        <v>0</v>
      </c>
      <c r="E72" s="26">
        <f>ROUND(SUMIFS(Sales!$Y$5:$Y$1204,Sales!$R$5:$R$1204,TEXT(DATE(YEAR(TodayDate),MONTH(TodayDate)-3,1),"yyyy-mm"),Sales!$H$5:$H$1204,"Service"),2)</f>
        <v>0</v>
      </c>
      <c r="F72" s="26">
        <f>ROUND(SUMIFS(Sales!$Y$5:$Y$1204,Sales!$R$5:$R$1204,TEXT(DATE(YEAR(TodayDate),MONTH(TodayDate)-3,1),"yyyy-mm"),Sales!$H$5:$H$1204,"Retail"),2)</f>
        <v>0</v>
      </c>
      <c r="G72" s="26">
        <f>ROUND(SUMIFS(Sales!$AB$5:$AB$1204,Sales!$R$5:$R$1204,TEXT(DATE(YEAR(TodayDate),MONTH(TodayDate)-3,1),"yyyy-mm")),2)</f>
        <v>0</v>
      </c>
      <c r="H72" s="26">
        <f>ROUND(SUMIFS(Payroll!$Y$5:$Y$364,Payroll!$Q$5:$Q$364,TEXT(DATE(YEAR(TodayDate),MONTH(TodayDate)-3,1),"yyyy-mm")),2)</f>
        <v>0</v>
      </c>
      <c r="I72" s="26">
        <f>ROUND(SUMIFS(Expenses!$F$5:$F$604,Expenses!$P$5:$P$604,TEXT(DATE(YEAR(TodayDate),MONTH(TodayDate)-3,1),"yyyy-mm")),2)</f>
        <v>0</v>
      </c>
      <c r="J72" s="26">
        <f>ROUND(SUMIFS(Sales!$Y$5:$Y$1204,Sales!$R$5:$R$1204,TEXT(DATE(YEAR(TodayDate),MONTH(TodayDate)-3,1),"yyyy-mm"))-SUMIFS(Sales!$AB$5:$AB$1204,Sales!$R$5:$R$1204,TEXT(DATE(YEAR(TodayDate),MONTH(TodayDate)-3,1),"yyyy-mm"))-SUMIFS(Payroll!$Y$5:$Y$364,Payroll!$Q$5:$Q$364,TEXT(DATE(YEAR(TodayDate),MONTH(TodayDate)-3,1),"yyyy-mm"))-SUMIFS(Expenses!$F$5:$F$604,Expenses!$P$5:$P$604,TEXT(DATE(YEAR(TodayDate),MONTH(TodayDate)-3,1),"yyyy-mm")),2)</f>
        <v>0</v>
      </c>
      <c r="K72" s="27">
        <f>IF(SUMIFS(Sales!$Y$5:$Y$1204,Sales!$R$5:$R$1204,TEXT(DATE(YEAR(TodayDate),MONTH(TodayDate)-3,1),"yyyy-mm"))&lt;=0,"",(SUMIFS(Sales!$Y$5:$Y$1204,Sales!$R$5:$R$1204,TEXT(DATE(YEAR(TodayDate),MONTH(TodayDate)-3,1),"yyyy-mm"))-SUMIFS(Sales!$AB$5:$AB$1204,Sales!$R$5:$R$1204,TEXT(DATE(YEAR(TodayDate),MONTH(TodayDate)-3,1),"yyyy-mm"))-SUMIFS(Payroll!$Y$5:$Y$364,Payroll!$Q$5:$Q$364,TEXT(DATE(YEAR(TodayDate),MONTH(TodayDate)-3,1),"yyyy-mm"))-SUMIFS(Expenses!$F$5:$F$604,Expenses!$P$5:$P$604,TEXT(DATE(YEAR(TodayDate),MONTH(TodayDate)-3,1),"yyyy-mm")))/SUMIFS(Sales!$Y$5:$Y$1204,Sales!$R$5:$R$1204,TEXT(DATE(YEAR(TodayDate),MONTH(TodayDate)-3,1),"yyyy-mm")))</f>
        <v>0</v>
      </c>
      <c r="L72" s="25">
        <f>COUNTIFS(Appointments!$S$5:$S$1204,TEXT(DATE(YEAR(TodayDate),MONTH(TodayDate)-3,1),"yyyy-mm"),Appointments!$M$5:$M$1204,"Completed")</f>
        <v>0</v>
      </c>
      <c r="M72" s="26">
        <f>IFERROR(SUMIFS(Sales!$Y$5:$Y$1204,Sales!$R$5:$R$1204,TEXT(DATE(YEAR(TodayDate),MONTH(TodayDate)-3,1),"yyyy-mm"))/MAX(1,COUNTIFS(Appointments!$S$5:$S$1204,TEXT(DATE(YEAR(TodayDate),MONTH(TodayDate)-3,1),"yyyy-mm"),Appointments!$M$5:$M$1204,"Completed")),"")</f>
        <v>0</v>
      </c>
    </row>
    <row r="73" spans="1:13">
      <c r="A73" s="15">
        <f>TEXT(DATE(YEAR(TodayDate),MONTH(TodayDate)-2,1),"mmm yy")</f>
        <v>0</v>
      </c>
      <c r="B73" s="26">
        <f>ROUND(SUMIFS(Sales!$Y$5:$Y$1204,Sales!$R$5:$R$1204,TEXT(DATE(YEAR(TodayDate),MONTH(TodayDate)-2,1),"yyyy-mm")),2)</f>
        <v>0</v>
      </c>
      <c r="C73" s="26">
        <f>ROUND(RevenueTargetMonth,2)</f>
        <v>0</v>
      </c>
      <c r="D73" s="26">
        <f>ROUND(SUMIFS(Sales!$Y$5:$Y$1204,Sales!$R$5:$R$1204,TEXT(DATE(YEAR(TodayDate),MONTH(TodayDate)-2,1),"yyyy-mm"))-RevenueTargetMonth,2)</f>
        <v>0</v>
      </c>
      <c r="E73" s="26">
        <f>ROUND(SUMIFS(Sales!$Y$5:$Y$1204,Sales!$R$5:$R$1204,TEXT(DATE(YEAR(TodayDate),MONTH(TodayDate)-2,1),"yyyy-mm"),Sales!$H$5:$H$1204,"Service"),2)</f>
        <v>0</v>
      </c>
      <c r="F73" s="26">
        <f>ROUND(SUMIFS(Sales!$Y$5:$Y$1204,Sales!$R$5:$R$1204,TEXT(DATE(YEAR(TodayDate),MONTH(TodayDate)-2,1),"yyyy-mm"),Sales!$H$5:$H$1204,"Retail"),2)</f>
        <v>0</v>
      </c>
      <c r="G73" s="26">
        <f>ROUND(SUMIFS(Sales!$AB$5:$AB$1204,Sales!$R$5:$R$1204,TEXT(DATE(YEAR(TodayDate),MONTH(TodayDate)-2,1),"yyyy-mm")),2)</f>
        <v>0</v>
      </c>
      <c r="H73" s="26">
        <f>ROUND(SUMIFS(Payroll!$Y$5:$Y$364,Payroll!$Q$5:$Q$364,TEXT(DATE(YEAR(TodayDate),MONTH(TodayDate)-2,1),"yyyy-mm")),2)</f>
        <v>0</v>
      </c>
      <c r="I73" s="26">
        <f>ROUND(SUMIFS(Expenses!$F$5:$F$604,Expenses!$P$5:$P$604,TEXT(DATE(YEAR(TodayDate),MONTH(TodayDate)-2,1),"yyyy-mm")),2)</f>
        <v>0</v>
      </c>
      <c r="J73" s="26">
        <f>ROUND(SUMIFS(Sales!$Y$5:$Y$1204,Sales!$R$5:$R$1204,TEXT(DATE(YEAR(TodayDate),MONTH(TodayDate)-2,1),"yyyy-mm"))-SUMIFS(Sales!$AB$5:$AB$1204,Sales!$R$5:$R$1204,TEXT(DATE(YEAR(TodayDate),MONTH(TodayDate)-2,1),"yyyy-mm"))-SUMIFS(Payroll!$Y$5:$Y$364,Payroll!$Q$5:$Q$364,TEXT(DATE(YEAR(TodayDate),MONTH(TodayDate)-2,1),"yyyy-mm"))-SUMIFS(Expenses!$F$5:$F$604,Expenses!$P$5:$P$604,TEXT(DATE(YEAR(TodayDate),MONTH(TodayDate)-2,1),"yyyy-mm")),2)</f>
        <v>0</v>
      </c>
      <c r="K73" s="27">
        <f>IF(SUMIFS(Sales!$Y$5:$Y$1204,Sales!$R$5:$R$1204,TEXT(DATE(YEAR(TodayDate),MONTH(TodayDate)-2,1),"yyyy-mm"))&lt;=0,"",(SUMIFS(Sales!$Y$5:$Y$1204,Sales!$R$5:$R$1204,TEXT(DATE(YEAR(TodayDate),MONTH(TodayDate)-2,1),"yyyy-mm"))-SUMIFS(Sales!$AB$5:$AB$1204,Sales!$R$5:$R$1204,TEXT(DATE(YEAR(TodayDate),MONTH(TodayDate)-2,1),"yyyy-mm"))-SUMIFS(Payroll!$Y$5:$Y$364,Payroll!$Q$5:$Q$364,TEXT(DATE(YEAR(TodayDate),MONTH(TodayDate)-2,1),"yyyy-mm"))-SUMIFS(Expenses!$F$5:$F$604,Expenses!$P$5:$P$604,TEXT(DATE(YEAR(TodayDate),MONTH(TodayDate)-2,1),"yyyy-mm")))/SUMIFS(Sales!$Y$5:$Y$1204,Sales!$R$5:$R$1204,TEXT(DATE(YEAR(TodayDate),MONTH(TodayDate)-2,1),"yyyy-mm")))</f>
        <v>0</v>
      </c>
      <c r="L73" s="25">
        <f>COUNTIFS(Appointments!$S$5:$S$1204,TEXT(DATE(YEAR(TodayDate),MONTH(TodayDate)-2,1),"yyyy-mm"),Appointments!$M$5:$M$1204,"Completed")</f>
        <v>0</v>
      </c>
      <c r="M73" s="26">
        <f>IFERROR(SUMIFS(Sales!$Y$5:$Y$1204,Sales!$R$5:$R$1204,TEXT(DATE(YEAR(TodayDate),MONTH(TodayDate)-2,1),"yyyy-mm"))/MAX(1,COUNTIFS(Appointments!$S$5:$S$1204,TEXT(DATE(YEAR(TodayDate),MONTH(TodayDate)-2,1),"yyyy-mm"),Appointments!$M$5:$M$1204,"Completed")),"")</f>
        <v>0</v>
      </c>
    </row>
    <row r="74" spans="1:13">
      <c r="A74" s="15">
        <f>TEXT(DATE(YEAR(TodayDate),MONTH(TodayDate)-1,1),"mmm yy")</f>
        <v>0</v>
      </c>
      <c r="B74" s="26">
        <f>ROUND(SUMIFS(Sales!$Y$5:$Y$1204,Sales!$R$5:$R$1204,TEXT(DATE(YEAR(TodayDate),MONTH(TodayDate)-1,1),"yyyy-mm")),2)</f>
        <v>0</v>
      </c>
      <c r="C74" s="26">
        <f>ROUND(RevenueTargetMonth,2)</f>
        <v>0</v>
      </c>
      <c r="D74" s="26">
        <f>ROUND(SUMIFS(Sales!$Y$5:$Y$1204,Sales!$R$5:$R$1204,TEXT(DATE(YEAR(TodayDate),MONTH(TodayDate)-1,1),"yyyy-mm"))-RevenueTargetMonth,2)</f>
        <v>0</v>
      </c>
      <c r="E74" s="26">
        <f>ROUND(SUMIFS(Sales!$Y$5:$Y$1204,Sales!$R$5:$R$1204,TEXT(DATE(YEAR(TodayDate),MONTH(TodayDate)-1,1),"yyyy-mm"),Sales!$H$5:$H$1204,"Service"),2)</f>
        <v>0</v>
      </c>
      <c r="F74" s="26">
        <f>ROUND(SUMIFS(Sales!$Y$5:$Y$1204,Sales!$R$5:$R$1204,TEXT(DATE(YEAR(TodayDate),MONTH(TodayDate)-1,1),"yyyy-mm"),Sales!$H$5:$H$1204,"Retail"),2)</f>
        <v>0</v>
      </c>
      <c r="G74" s="26">
        <f>ROUND(SUMIFS(Sales!$AB$5:$AB$1204,Sales!$R$5:$R$1204,TEXT(DATE(YEAR(TodayDate),MONTH(TodayDate)-1,1),"yyyy-mm")),2)</f>
        <v>0</v>
      </c>
      <c r="H74" s="26">
        <f>ROUND(SUMIFS(Payroll!$Y$5:$Y$364,Payroll!$Q$5:$Q$364,TEXT(DATE(YEAR(TodayDate),MONTH(TodayDate)-1,1),"yyyy-mm")),2)</f>
        <v>0</v>
      </c>
      <c r="I74" s="26">
        <f>ROUND(SUMIFS(Expenses!$F$5:$F$604,Expenses!$P$5:$P$604,TEXT(DATE(YEAR(TodayDate),MONTH(TodayDate)-1,1),"yyyy-mm")),2)</f>
        <v>0</v>
      </c>
      <c r="J74" s="26">
        <f>ROUND(SUMIFS(Sales!$Y$5:$Y$1204,Sales!$R$5:$R$1204,TEXT(DATE(YEAR(TodayDate),MONTH(TodayDate)-1,1),"yyyy-mm"))-SUMIFS(Sales!$AB$5:$AB$1204,Sales!$R$5:$R$1204,TEXT(DATE(YEAR(TodayDate),MONTH(TodayDate)-1,1),"yyyy-mm"))-SUMIFS(Payroll!$Y$5:$Y$364,Payroll!$Q$5:$Q$364,TEXT(DATE(YEAR(TodayDate),MONTH(TodayDate)-1,1),"yyyy-mm"))-SUMIFS(Expenses!$F$5:$F$604,Expenses!$P$5:$P$604,TEXT(DATE(YEAR(TodayDate),MONTH(TodayDate)-1,1),"yyyy-mm")),2)</f>
        <v>0</v>
      </c>
      <c r="K74" s="27">
        <f>IF(SUMIFS(Sales!$Y$5:$Y$1204,Sales!$R$5:$R$1204,TEXT(DATE(YEAR(TodayDate),MONTH(TodayDate)-1,1),"yyyy-mm"))&lt;=0,"",(SUMIFS(Sales!$Y$5:$Y$1204,Sales!$R$5:$R$1204,TEXT(DATE(YEAR(TodayDate),MONTH(TodayDate)-1,1),"yyyy-mm"))-SUMIFS(Sales!$AB$5:$AB$1204,Sales!$R$5:$R$1204,TEXT(DATE(YEAR(TodayDate),MONTH(TodayDate)-1,1),"yyyy-mm"))-SUMIFS(Payroll!$Y$5:$Y$364,Payroll!$Q$5:$Q$364,TEXT(DATE(YEAR(TodayDate),MONTH(TodayDate)-1,1),"yyyy-mm"))-SUMIFS(Expenses!$F$5:$F$604,Expenses!$P$5:$P$604,TEXT(DATE(YEAR(TodayDate),MONTH(TodayDate)-1,1),"yyyy-mm")))/SUMIFS(Sales!$Y$5:$Y$1204,Sales!$R$5:$R$1204,TEXT(DATE(YEAR(TodayDate),MONTH(TodayDate)-1,1),"yyyy-mm")))</f>
        <v>0</v>
      </c>
      <c r="L74" s="25">
        <f>COUNTIFS(Appointments!$S$5:$S$1204,TEXT(DATE(YEAR(TodayDate),MONTH(TodayDate)-1,1),"yyyy-mm"),Appointments!$M$5:$M$1204,"Completed")</f>
        <v>0</v>
      </c>
      <c r="M74" s="26">
        <f>IFERROR(SUMIFS(Sales!$Y$5:$Y$1204,Sales!$R$5:$R$1204,TEXT(DATE(YEAR(TodayDate),MONTH(TodayDate)-1,1),"yyyy-mm"))/MAX(1,COUNTIFS(Appointments!$S$5:$S$1204,TEXT(DATE(YEAR(TodayDate),MONTH(TodayDate)-1,1),"yyyy-mm"),Appointments!$M$5:$M$1204,"Completed")),"")</f>
        <v>0</v>
      </c>
    </row>
    <row r="75" spans="1:13">
      <c r="A75" s="15">
        <f>TEXT(DATE(YEAR(TodayDate),MONTH(TodayDate)-0,1),"mmm yy")</f>
        <v>0</v>
      </c>
      <c r="B75" s="26">
        <f>ROUND(SUMIFS(Sales!$Y$5:$Y$1204,Sales!$R$5:$R$1204,TEXT(DATE(YEAR(TodayDate),MONTH(TodayDate)-0,1),"yyyy-mm")),2)</f>
        <v>0</v>
      </c>
      <c r="C75" s="26">
        <f>ROUND(RevenueTargetMonth,2)</f>
        <v>0</v>
      </c>
      <c r="D75" s="26">
        <f>ROUND(SUMIFS(Sales!$Y$5:$Y$1204,Sales!$R$5:$R$1204,TEXT(DATE(YEAR(TodayDate),MONTH(TodayDate)-0,1),"yyyy-mm"))-RevenueTargetMonth,2)</f>
        <v>0</v>
      </c>
      <c r="E75" s="26">
        <f>ROUND(SUMIFS(Sales!$Y$5:$Y$1204,Sales!$R$5:$R$1204,TEXT(DATE(YEAR(TodayDate),MONTH(TodayDate)-0,1),"yyyy-mm"),Sales!$H$5:$H$1204,"Service"),2)</f>
        <v>0</v>
      </c>
      <c r="F75" s="26">
        <f>ROUND(SUMIFS(Sales!$Y$5:$Y$1204,Sales!$R$5:$R$1204,TEXT(DATE(YEAR(TodayDate),MONTH(TodayDate)-0,1),"yyyy-mm"),Sales!$H$5:$H$1204,"Retail"),2)</f>
        <v>0</v>
      </c>
      <c r="G75" s="26">
        <f>ROUND(SUMIFS(Sales!$AB$5:$AB$1204,Sales!$R$5:$R$1204,TEXT(DATE(YEAR(TodayDate),MONTH(TodayDate)-0,1),"yyyy-mm")),2)</f>
        <v>0</v>
      </c>
      <c r="H75" s="26">
        <f>ROUND(SUMIFS(Payroll!$Y$5:$Y$364,Payroll!$Q$5:$Q$364,TEXT(DATE(YEAR(TodayDate),MONTH(TodayDate)-0,1),"yyyy-mm")),2)</f>
        <v>0</v>
      </c>
      <c r="I75" s="26">
        <f>ROUND(SUMIFS(Expenses!$F$5:$F$604,Expenses!$P$5:$P$604,TEXT(DATE(YEAR(TodayDate),MONTH(TodayDate)-0,1),"yyyy-mm")),2)</f>
        <v>0</v>
      </c>
      <c r="J75" s="26">
        <f>ROUND(SUMIFS(Sales!$Y$5:$Y$1204,Sales!$R$5:$R$1204,TEXT(DATE(YEAR(TodayDate),MONTH(TodayDate)-0,1),"yyyy-mm"))-SUMIFS(Sales!$AB$5:$AB$1204,Sales!$R$5:$R$1204,TEXT(DATE(YEAR(TodayDate),MONTH(TodayDate)-0,1),"yyyy-mm"))-SUMIFS(Payroll!$Y$5:$Y$364,Payroll!$Q$5:$Q$364,TEXT(DATE(YEAR(TodayDate),MONTH(TodayDate)-0,1),"yyyy-mm"))-SUMIFS(Expenses!$F$5:$F$604,Expenses!$P$5:$P$604,TEXT(DATE(YEAR(TodayDate),MONTH(TodayDate)-0,1),"yyyy-mm")),2)</f>
        <v>0</v>
      </c>
      <c r="K75" s="27">
        <f>IF(SUMIFS(Sales!$Y$5:$Y$1204,Sales!$R$5:$R$1204,TEXT(DATE(YEAR(TodayDate),MONTH(TodayDate)-0,1),"yyyy-mm"))&lt;=0,"",(SUMIFS(Sales!$Y$5:$Y$1204,Sales!$R$5:$R$1204,TEXT(DATE(YEAR(TodayDate),MONTH(TodayDate)-0,1),"yyyy-mm"))-SUMIFS(Sales!$AB$5:$AB$1204,Sales!$R$5:$R$1204,TEXT(DATE(YEAR(TodayDate),MONTH(TodayDate)-0,1),"yyyy-mm"))-SUMIFS(Payroll!$Y$5:$Y$364,Payroll!$Q$5:$Q$364,TEXT(DATE(YEAR(TodayDate),MONTH(TodayDate)-0,1),"yyyy-mm"))-SUMIFS(Expenses!$F$5:$F$604,Expenses!$P$5:$P$604,TEXT(DATE(YEAR(TodayDate),MONTH(TodayDate)-0,1),"yyyy-mm")))/SUMIFS(Sales!$Y$5:$Y$1204,Sales!$R$5:$R$1204,TEXT(DATE(YEAR(TodayDate),MONTH(TodayDate)-0,1),"yyyy-mm")))</f>
        <v>0</v>
      </c>
      <c r="L75" s="25">
        <f>COUNTIFS(Appointments!$S$5:$S$1204,TEXT(DATE(YEAR(TodayDate),MONTH(TodayDate)-0,1),"yyyy-mm"),Appointments!$M$5:$M$1204,"Completed")</f>
        <v>0</v>
      </c>
      <c r="M75" s="26">
        <f>IFERROR(SUMIFS(Sales!$Y$5:$Y$1204,Sales!$R$5:$R$1204,TEXT(DATE(YEAR(TodayDate),MONTH(TodayDate)-0,1),"yyyy-mm"))/MAX(1,COUNTIFS(Appointments!$S$5:$S$1204,TEXT(DATE(YEAR(TodayDate),MONTH(TodayDate)-0,1),"yyyy-mm"),Appointments!$M$5:$M$1204,"Completed")),"")</f>
        <v>0</v>
      </c>
    </row>
    <row r="76" spans="1:13">
      <c r="C76" s="9" t="s">
        <v>198</v>
      </c>
      <c r="D76" s="9"/>
      <c r="E76" s="9"/>
      <c r="G76" s="9" t="s">
        <v>199</v>
      </c>
      <c r="H76" s="9"/>
      <c r="I76" s="9"/>
    </row>
    <row r="78" spans="1:13" ht="20" customHeight="1">
      <c r="A78" s="7" t="s">
        <v>200</v>
      </c>
      <c r="B78" s="7"/>
      <c r="C78" s="7"/>
      <c r="D78" s="7"/>
      <c r="E78" s="7"/>
      <c r="F78" s="7"/>
      <c r="G78" s="7"/>
      <c r="H78" s="7"/>
      <c r="I78" s="7"/>
      <c r="J78" s="7"/>
      <c r="K78" s="7"/>
      <c r="L78" s="7"/>
      <c r="M78" s="7"/>
    </row>
    <row r="79" spans="1:13" ht="26" customHeight="1">
      <c r="A79" s="10" t="s">
        <v>84</v>
      </c>
      <c r="B79" s="11" t="s">
        <v>194</v>
      </c>
      <c r="C79" s="11" t="s">
        <v>201</v>
      </c>
      <c r="D79" s="11" t="s">
        <v>195</v>
      </c>
      <c r="E79" s="11" t="s">
        <v>202</v>
      </c>
      <c r="F79" s="11" t="s">
        <v>86</v>
      </c>
      <c r="G79" s="11" t="s">
        <v>196</v>
      </c>
      <c r="H79" s="11" t="s">
        <v>203</v>
      </c>
    </row>
    <row r="80" spans="1:13">
      <c r="A80" s="26">
        <f>ROUND(SUMIFS(Sales!$Y$5:$Y$1204,Sales!$R$5:$R$1204,DashKey),2)</f>
        <v>0</v>
      </c>
      <c r="B80" s="26">
        <f>ROUND(SUMIFS(Sales!$AB$5:$AB$1204,Sales!$R$5:$R$1204,DashKey),2)</f>
        <v>0</v>
      </c>
      <c r="C80" s="26">
        <f>ROUND(MonthNetSales-MonthCostOfSales,2)</f>
        <v>0</v>
      </c>
      <c r="D80" s="26">
        <f>ROUND(SUMIFS(Payroll!$Y$5:$Y$364,Payroll!$Q$5:$Q$364,DashKey),2)</f>
        <v>0</v>
      </c>
      <c r="E80" s="26">
        <f>ROUND(SUMIFS(Expenses!$F$5:$F$604,Expenses!$P$5:$P$604,DashKey),2)</f>
        <v>0</v>
      </c>
      <c r="F80" s="26">
        <f>ROUND(MonthNetSales-MonthCostOfSales-MonthWages-MonthExpenses,2)</f>
        <v>0</v>
      </c>
      <c r="G80" s="27">
        <f>IF(MonthNetSales&lt;=0,"",(MonthNetSales-MonthCostOfSales-MonthWages-MonthExpenses)/MonthNetSales)</f>
        <v>0</v>
      </c>
      <c r="H80" s="26">
        <f>IF(MonthNetSales&lt;=0,"",ROUND((MonthWages+MonthExpenses)/MAX(0.05,(MonthNetSales-MonthCostOfSales)/MonthNetSales),2))</f>
        <v>0</v>
      </c>
    </row>
    <row r="82" spans="1:13" ht="36" customHeight="1">
      <c r="A82" s="6" t="s">
        <v>204</v>
      </c>
      <c r="B82" s="6"/>
      <c r="C82" s="6"/>
      <c r="D82" s="6"/>
      <c r="E82" s="6"/>
      <c r="F82" s="6"/>
      <c r="G82" s="6"/>
      <c r="H82" s="6"/>
      <c r="I82" s="6"/>
      <c r="J82" s="6"/>
      <c r="K82" s="6"/>
      <c r="L82" s="6"/>
      <c r="M82" s="6"/>
    </row>
  </sheetData>
  <sheetProtection password="EC7C" sheet="1" objects="1" scenarios="1" formatCells="0" formatColumns="0" formatRows="0" insertRows="0" insertHyperlinks="0" deleteRows="0" autoFilter="0"/>
  <mergeCells count="99">
    <mergeCell ref="A1:J1"/>
    <mergeCell ref="K1:M1"/>
    <mergeCell ref="A2:M2"/>
    <mergeCell ref="A3:B3"/>
    <mergeCell ref="C3:D3"/>
    <mergeCell ref="E3:F3"/>
    <mergeCell ref="G3:H3"/>
    <mergeCell ref="I3:J3"/>
    <mergeCell ref="K3:L3"/>
    <mergeCell ref="B5:D5"/>
    <mergeCell ref="I5:J5"/>
    <mergeCell ref="A7:C7"/>
    <mergeCell ref="A8:C8"/>
    <mergeCell ref="A9:C9"/>
    <mergeCell ref="D7:F7"/>
    <mergeCell ref="D8:F8"/>
    <mergeCell ref="D9:F9"/>
    <mergeCell ref="G7:I7"/>
    <mergeCell ref="G8:I8"/>
    <mergeCell ref="G9:I9"/>
    <mergeCell ref="J7:L7"/>
    <mergeCell ref="J8:L8"/>
    <mergeCell ref="J9:L9"/>
    <mergeCell ref="A11:C11"/>
    <mergeCell ref="A12:C12"/>
    <mergeCell ref="A13:C13"/>
    <mergeCell ref="D11:F11"/>
    <mergeCell ref="D12:F12"/>
    <mergeCell ref="D13:F13"/>
    <mergeCell ref="G11:I11"/>
    <mergeCell ref="G12:I12"/>
    <mergeCell ref="G13:I13"/>
    <mergeCell ref="J11:L11"/>
    <mergeCell ref="J12:L12"/>
    <mergeCell ref="J13:L13"/>
    <mergeCell ref="A15:C15"/>
    <mergeCell ref="A16:C16"/>
    <mergeCell ref="A17:C17"/>
    <mergeCell ref="D15:F15"/>
    <mergeCell ref="D16:F16"/>
    <mergeCell ref="D17:F17"/>
    <mergeCell ref="G15:I15"/>
    <mergeCell ref="G16:I16"/>
    <mergeCell ref="G17:I17"/>
    <mergeCell ref="J15:L15"/>
    <mergeCell ref="J16:L16"/>
    <mergeCell ref="J17:L17"/>
    <mergeCell ref="A19:C19"/>
    <mergeCell ref="A20:C20"/>
    <mergeCell ref="A21:C21"/>
    <mergeCell ref="D19:F19"/>
    <mergeCell ref="D20:F20"/>
    <mergeCell ref="D21:F21"/>
    <mergeCell ref="G19:I19"/>
    <mergeCell ref="G20:I20"/>
    <mergeCell ref="G21:I21"/>
    <mergeCell ref="J19:L19"/>
    <mergeCell ref="J20:L20"/>
    <mergeCell ref="J21:L21"/>
    <mergeCell ref="A23:M23"/>
    <mergeCell ref="C25:K25"/>
    <mergeCell ref="L25:M25"/>
    <mergeCell ref="C26:K26"/>
    <mergeCell ref="L26:M26"/>
    <mergeCell ref="C27:K27"/>
    <mergeCell ref="L27:M27"/>
    <mergeCell ref="C28:K28"/>
    <mergeCell ref="L28:M28"/>
    <mergeCell ref="C29:K29"/>
    <mergeCell ref="L29:M29"/>
    <mergeCell ref="C30:K30"/>
    <mergeCell ref="L30:M30"/>
    <mergeCell ref="C31:K31"/>
    <mergeCell ref="L31:M31"/>
    <mergeCell ref="C32:K32"/>
    <mergeCell ref="L32:M32"/>
    <mergeCell ref="C33:K33"/>
    <mergeCell ref="L33:M33"/>
    <mergeCell ref="C34:K34"/>
    <mergeCell ref="L34:M34"/>
    <mergeCell ref="C35:K35"/>
    <mergeCell ref="L35:M35"/>
    <mergeCell ref="C36:K36"/>
    <mergeCell ref="L36:M36"/>
    <mergeCell ref="C37:K37"/>
    <mergeCell ref="L37:M37"/>
    <mergeCell ref="C38:K38"/>
    <mergeCell ref="L38:M38"/>
    <mergeCell ref="C39:K39"/>
    <mergeCell ref="L39:M39"/>
    <mergeCell ref="C40:K40"/>
    <mergeCell ref="L40:M40"/>
    <mergeCell ref="A42:M42"/>
    <mergeCell ref="A53:M53"/>
    <mergeCell ref="A62:M62"/>
    <mergeCell ref="C76:E76"/>
    <mergeCell ref="G76:I76"/>
    <mergeCell ref="A78:M78"/>
    <mergeCell ref="A82:M82"/>
  </mergeCells>
  <conditionalFormatting sqref="B25:B40">
    <cfRule type="cellIs" dxfId="0" priority="1" operator="greaterThan">
      <formula>0</formula>
    </cfRule>
    <cfRule type="cellIs" dxfId="1" priority="2" operator="equal">
      <formula>0</formula>
    </cfRule>
  </conditionalFormatting>
  <conditionalFormatting sqref="B64:B75">
    <cfRule type="dataBar" priority="4">
      <dataBar>
        <cfvo type="min" val="0"/>
        <cfvo type="max" val="0"/>
        <color rgb="FF9A5C86"/>
      </dataBar>
    </cfRule>
  </conditionalFormatting>
  <conditionalFormatting sqref="D64:D75">
    <cfRule type="cellIs" dxfId="1" priority="6" operator="greaterThanOrEqual">
      <formula>0</formula>
    </cfRule>
  </conditionalFormatting>
  <conditionalFormatting sqref="J64:J75">
    <cfRule type="cellIs" dxfId="2" priority="5" operator="lessThan">
      <formula>0</formula>
    </cfRule>
  </conditionalFormatting>
  <conditionalFormatting sqref="K44:K51">
    <cfRule type="cellIs" dxfId="2" priority="3" operator="lessThan">
      <formula>0</formula>
    </cfRule>
  </conditionalFormatting>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s>
  <pageMargins left="0.4" right="0.4" top="0.6" bottom="0.5" header="0.3" footer="0.3"/>
  <pageSetup paperSize="9" fitToHeight="0" orientation="landscape"/>
  <headerFooter>
    <oddHeader>&amp;L&amp;"Calibri,Bold"&amp;12&amp;C&amp;"Calibri,Bold"&amp;11Dashboard&amp;R&amp;"Calibri,Italic"&amp;9Salon Business Management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negative="1">
          <x14:colorSeries rgb="FFC08A5E"/>
          <x14:colorNegative theme="5"/>
          <x14:colorAxis rgb="FF000000"/>
          <x14:colorMarkers theme="4" tint="-0.499984740745262"/>
          <x14:colorFirst theme="4" tint="0.39997558519241921"/>
          <x14:colorLast theme="4" tint="0.39997558519241921"/>
          <x14:colorHigh theme="4"/>
          <x14:colorLow theme="4"/>
          <x14:sparklines>
            <x14:sparkline>
              <xm:f>Dashboard!J64:J75</xm:f>
              <xm:sqref>F76</xm:sqref>
            </x14:sparkline>
          </x14:sparklines>
        </x14:sparklineGroup>
        <x14:sparklineGroup type="column" displayEmptyCellsAs="gap">
          <x14:colorSeries rgb="FF9A5C86"/>
          <x14:colorNegative theme="5"/>
          <x14:colorAxis rgb="FF000000"/>
          <x14:colorMarkers theme="4" tint="-0.499984740745262"/>
          <x14:colorFirst theme="4" tint="0.39997558519241921"/>
          <x14:colorLast theme="4" tint="0.39997558519241921"/>
          <x14:colorHigh theme="4"/>
          <x14:colorLow theme="4"/>
          <x14:sparklines>
            <x14:sparkline>
              <xm:f>Dashboard!B64:B75</xm:f>
              <xm:sqref>B76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sheetPr>
    <tabColor rgb="FF6D3B5E"/>
    <pageSetUpPr fitToPage="1"/>
  </sheetPr>
  <dimension ref="A1:AH12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29" customWidth="1"/>
    <col min="3" max="3" width="8.7109375" style="15" customWidth="1"/>
    <col min="4" max="4" width="9.7109375" style="30" customWidth="1"/>
    <col min="5" max="5" width="11.7109375" style="31" customWidth="1"/>
    <col min="6" max="6" width="20.7109375" style="15" customWidth="1"/>
    <col min="7" max="7" width="11.7109375" style="31" customWidth="1"/>
    <col min="8" max="8" width="24.7109375" style="15" customWidth="1"/>
    <col min="9" max="9" width="11.7109375" style="31" customWidth="1"/>
    <col min="10" max="10" width="16.7109375" style="15" customWidth="1"/>
    <col min="11" max="11" width="9.7109375" style="32" customWidth="1"/>
    <col min="12" max="12" width="10.7109375" style="33" customWidth="1"/>
    <col min="13" max="13" width="13.7109375" style="34" customWidth="1"/>
    <col min="14" max="14" width="16.7109375" style="34" customWidth="1"/>
    <col min="15" max="15" width="12.7109375" style="33" customWidth="1"/>
    <col min="16" max="16" width="28.7109375" style="35" customWidth="1"/>
    <col min="17" max="17" width="22.7109375" style="34" customWidth="1"/>
    <col min="18" max="18" width="13.7109375" style="33" customWidth="1"/>
    <col min="19" max="19" width="10.7109375" style="15" hidden="1" customWidth="1"/>
    <col min="20" max="20" width="7.7109375" style="25" hidden="1" customWidth="1"/>
    <col min="21" max="21" width="11.7109375" style="25" hidden="1" customWidth="1"/>
    <col min="22" max="22" width="9.7109375" style="36" customWidth="1"/>
    <col min="23" max="23" width="7.7109375" style="25" hidden="1" customWidth="1"/>
    <col min="24" max="24" width="10.7109375" style="37" hidden="1" customWidth="1"/>
    <col min="25" max="25" width="11.7109375" style="26" customWidth="1"/>
    <col min="26" max="26" width="12.7109375" style="26" hidden="1" customWidth="1"/>
    <col min="27" max="27" width="12.7109375" style="26" customWidth="1"/>
    <col min="28" max="28" width="11.7109375" style="26" customWidth="1"/>
    <col min="29" max="29" width="8.7109375" style="38" hidden="1" customWidth="1"/>
    <col min="30" max="30" width="11.7109375" style="25" hidden="1" customWidth="1"/>
    <col min="31" max="31" width="11.7109375" style="29" customWidth="1"/>
    <col min="32" max="32" width="11.7109375" style="38" customWidth="1"/>
    <col min="33" max="33" width="9.7109375" style="38" customWidth="1"/>
    <col min="34" max="34" width="30.7109375" style="39" customWidth="1"/>
  </cols>
  <sheetData>
    <row r="1" spans="1:34" ht="34" customHeight="1">
      <c r="A1" s="2" t="s">
        <v>205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3" t="s">
        <v>1</v>
      </c>
      <c r="AG1" s="3"/>
      <c r="AH1" s="3"/>
    </row>
    <row r="2" spans="1:34" ht="18" customHeight="1">
      <c r="A2" s="4" t="s">
        <v>206</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210</v>
      </c>
      <c r="T3" s="40"/>
      <c r="U3" s="40"/>
      <c r="V3" s="40"/>
      <c r="W3" s="40"/>
      <c r="X3" s="40"/>
      <c r="Y3" s="40"/>
      <c r="Z3" s="40"/>
      <c r="AA3" s="40"/>
      <c r="AB3" s="40"/>
      <c r="AC3" s="40"/>
      <c r="AD3" s="40"/>
      <c r="AE3" s="40"/>
      <c r="AF3" s="40"/>
      <c r="AG3" s="40"/>
      <c r="AH3" s="40"/>
    </row>
    <row r="4" spans="1:34" ht="30" customHeight="1">
      <c r="A4" s="10" t="s">
        <v>211</v>
      </c>
      <c r="B4" s="10" t="s">
        <v>212</v>
      </c>
      <c r="C4" s="11" t="s">
        <v>213</v>
      </c>
      <c r="D4" s="11" t="s">
        <v>214</v>
      </c>
      <c r="E4" s="11" t="s">
        <v>215</v>
      </c>
      <c r="F4" s="11" t="s">
        <v>216</v>
      </c>
      <c r="G4" s="11" t="s">
        <v>217</v>
      </c>
      <c r="H4" s="11" t="s">
        <v>218</v>
      </c>
      <c r="I4" s="11" t="s">
        <v>219</v>
      </c>
      <c r="J4" s="11" t="s">
        <v>175</v>
      </c>
      <c r="K4" s="11" t="s">
        <v>220</v>
      </c>
      <c r="L4" s="11" t="s">
        <v>221</v>
      </c>
      <c r="M4" s="11" t="s">
        <v>222</v>
      </c>
      <c r="N4" s="11" t="s">
        <v>223</v>
      </c>
      <c r="O4" s="11" t="s">
        <v>224</v>
      </c>
      <c r="P4" s="11" t="s">
        <v>225</v>
      </c>
      <c r="Q4" s="11" t="s">
        <v>226</v>
      </c>
      <c r="R4" s="11" t="s">
        <v>227</v>
      </c>
      <c r="S4" s="11" t="s">
        <v>121</v>
      </c>
      <c r="T4" s="11" t="s">
        <v>228</v>
      </c>
      <c r="U4" s="11" t="s">
        <v>229</v>
      </c>
      <c r="V4" s="11" t="s">
        <v>230</v>
      </c>
      <c r="W4" s="11" t="s">
        <v>231</v>
      </c>
      <c r="X4" s="11" t="s">
        <v>232</v>
      </c>
      <c r="Y4" s="11" t="s">
        <v>233</v>
      </c>
      <c r="Z4" s="11" t="s">
        <v>234</v>
      </c>
      <c r="AA4" s="11" t="s">
        <v>235</v>
      </c>
      <c r="AB4" s="11" t="s">
        <v>236</v>
      </c>
      <c r="AC4" s="11" t="s">
        <v>237</v>
      </c>
      <c r="AD4" s="11" t="s">
        <v>238</v>
      </c>
      <c r="AE4" s="11" t="s">
        <v>239</v>
      </c>
      <c r="AF4" s="11" t="s">
        <v>240</v>
      </c>
      <c r="AG4" s="11" t="s">
        <v>241</v>
      </c>
      <c r="AH4" s="11" t="s">
        <v>242</v>
      </c>
    </row>
    <row r="5" spans="1:34">
      <c r="A5" s="28">
        <f>IF(B5="","",AppointmentPrefix&amp;TEXT(ROW()-4,"0000"))</f>
        <v>0</v>
      </c>
      <c r="C5" s="15">
        <f>IF(B5="","",TEXT(B5,"ddd"))</f>
        <v>0</v>
      </c>
      <c r="F5" s="15">
        <f>IF(E5="","",IFERROR(INDEX(Clients!$B$5:$B$504,MATCH(E5,Clients!$A$5:$A$504,0)),"Walk-in"))</f>
        <v>0</v>
      </c>
      <c r="H5" s="15">
        <f>IF(G5="","",IFERROR(INDEX(Services!$B$5:$B$204,MATCH(G5,Services!$A$5:$A$204,0)),"Not in Services"))</f>
        <v>0</v>
      </c>
      <c r="J5" s="15">
        <f>IF(I5="","",IFERROR(INDEX(Staff!$B$5:$B$44,MATCH(I5,Staff!$A$5:$A$44,0)),"Unassigned"))</f>
        <v>0</v>
      </c>
      <c r="S5" s="15">
        <f>IF(B5="","",TEXT(B5,"yyyy-mm"))</f>
        <v>0</v>
      </c>
      <c r="T5" s="25">
        <f>IF(B5="","",WEEKNUM(B5,2))</f>
        <v>0</v>
      </c>
      <c r="U5" s="25">
        <f>IF(B5="","",IF(K5&lt;&gt;"",K5,IFERROR(INDEX(Services!$E$5:$E$204,MATCH(G5,Services!$A$5:$A$204,0))*1,0)+IFERROR(INDEX(Services!$F$5:$F$204,MATCH(G5,Services!$A$5:$A$204,0))*1,0)))</f>
        <v>0</v>
      </c>
      <c r="V5" s="36">
        <f>IF(B5="","",IF(D5="","",D5+U5/1440))</f>
        <v>0</v>
      </c>
      <c r="W5" s="25">
        <f>IF(B5="","",IF(D5="","",HOUR(D5)))</f>
        <v>0</v>
      </c>
      <c r="X5" s="37">
        <f>IF(B5="","",ROUND(U5/60,2))</f>
        <v>0</v>
      </c>
      <c r="Y5" s="26">
        <f>IF(B5="","",IF(L5&lt;&gt;"",L5,IFERROR(INDEX(Services!$G$5:$G$204,MATCH(G5,Services!$A$5:$A$204,0))*1,0)))</f>
        <v>0</v>
      </c>
      <c r="Z5" s="26">
        <f>IF(B5="","",IF(O5&lt;&gt;"",O5,IF(Y5&gt;=DepositThreshold,ROUND(Y5*DepositPercent,2),0)))</f>
        <v>0</v>
      </c>
      <c r="AA5" s="26">
        <f>IF(B5="","",ROUND(SUMIFS(Payments!$G$5:$G$1204,Payments!$I$5:$I$1204,A5,Payments!$E$5:$E$1204,"Deposit"),2))</f>
        <v>0</v>
      </c>
      <c r="AB5" s="26">
        <f>IF(B5="","",ROUND(SUMIFS(Sales!$Y$5:$Y$1204,Sales!$C$5:$C$1204,A5),2))</f>
        <v>0</v>
      </c>
      <c r="AC5" s="38">
        <f>IF(B5="","",IF(M5="Completed","Yes",IF(M5="Cancelled","Yes",IF(M5="No show","Yes","No"))))</f>
        <v>0</v>
      </c>
      <c r="AD5" s="25">
        <f>IF(B5="","",IF(AE5="","",B5-AE5))</f>
        <v>0</v>
      </c>
      <c r="AF5" s="38">
        <f>IF(B5="","",IF(M5&lt;&gt;"Completed","",IF(E5="","No",IF(COUNTIFS(Appointments!$E$5:$E$1204,E5,Appointments!$B$5:$B$1204,"&gt;"&amp;B5,Appointments!$M$5:$M$1204,"&lt;&gt;Cancelled")&gt;0,"Yes","No"))))</f>
        <v>0</v>
      </c>
      <c r="AG5" s="38">
        <f>IF(B5="","",IF(I5="","",IF(D5="","",IF(COUNTIFS($I$5:$I$1204,I5,$B$5:$B$1204,B5,$D$5:$D$1204,"&lt;"&amp;V5,$V$5:$V$1204,"&gt;"&amp;D5,$M$5:$M$1204,"&lt;&gt;Cancelled")&gt;1,"Clash",""))))</f>
        <v>0</v>
      </c>
      <c r="AH5" s="39">
        <f>IF(B5="","",IF(AG5="Clash","Clash - stylist double booked",IF(I5="","Assign - no stylist yet",IF(G5="","Add - no service chosen",IF(M5="No show","No show - charge the fee?",IF(M5="Cancelled","",IF(IF(M5="Completed",AB5&lt;Y5-0.004,FALSE),"Unpaid - nothing rung up for this visit",IF(IF(B5&lt;TodayDate,M5="Booked",FALSE),"Overdue - past date, still only Booked",IF(IF(B5=TodayDate,TRUE,FALSE),"Today",IF(IF(Z5&gt;0,AA5&lt;Z5-0.004,FALSE),"Due - deposit not taken",IF(IF(B5&gt;TodayDate,B5&lt;=TodayDate+2,FALSE),"Confirm - coming up","OK")))))))))))</f>
        <v>0</v>
      </c>
    </row>
    <row r="6" spans="1:34">
      <c r="A6" s="28">
        <f>IF(B6="","",AppointmentPrefix&amp;TEXT(ROW()-4,"0000"))</f>
        <v>0</v>
      </c>
      <c r="C6" s="15">
        <f>IF(B6="","",TEXT(B6,"ddd"))</f>
        <v>0</v>
      </c>
      <c r="F6" s="15">
        <f>IF(E6="","",IFERROR(INDEX(Clients!$B$5:$B$504,MATCH(E6,Clients!$A$5:$A$504,0)),"Walk-in"))</f>
        <v>0</v>
      </c>
      <c r="H6" s="15">
        <f>IF(G6="","",IFERROR(INDEX(Services!$B$5:$B$204,MATCH(G6,Services!$A$5:$A$204,0)),"Not in Services"))</f>
        <v>0</v>
      </c>
      <c r="J6" s="15">
        <f>IF(I6="","",IFERROR(INDEX(Staff!$B$5:$B$44,MATCH(I6,Staff!$A$5:$A$44,0)),"Unassigned"))</f>
        <v>0</v>
      </c>
      <c r="S6" s="15">
        <f>IF(B6="","",TEXT(B6,"yyyy-mm"))</f>
        <v>0</v>
      </c>
      <c r="T6" s="25">
        <f>IF(B6="","",WEEKNUM(B6,2))</f>
        <v>0</v>
      </c>
      <c r="U6" s="25">
        <f>IF(B6="","",IF(K6&lt;&gt;"",K6,IFERROR(INDEX(Services!$E$5:$E$204,MATCH(G6,Services!$A$5:$A$204,0))*1,0)+IFERROR(INDEX(Services!$F$5:$F$204,MATCH(G6,Services!$A$5:$A$204,0))*1,0)))</f>
        <v>0</v>
      </c>
      <c r="V6" s="36">
        <f>IF(B6="","",IF(D6="","",D6+U6/1440))</f>
        <v>0</v>
      </c>
      <c r="W6" s="25">
        <f>IF(B6="","",IF(D6="","",HOUR(D6)))</f>
        <v>0</v>
      </c>
      <c r="X6" s="37">
        <f>IF(B6="","",ROUND(U6/60,2))</f>
        <v>0</v>
      </c>
      <c r="Y6" s="26">
        <f>IF(B6="","",IF(L6&lt;&gt;"",L6,IFERROR(INDEX(Services!$G$5:$G$204,MATCH(G6,Services!$A$5:$A$204,0))*1,0)))</f>
        <v>0</v>
      </c>
      <c r="Z6" s="26">
        <f>IF(B6="","",IF(O6&lt;&gt;"",O6,IF(Y6&gt;=DepositThreshold,ROUND(Y6*DepositPercent,2),0)))</f>
        <v>0</v>
      </c>
      <c r="AA6" s="26">
        <f>IF(B6="","",ROUND(SUMIFS(Payments!$G$5:$G$1204,Payments!$I$5:$I$1204,A6,Payments!$E$5:$E$1204,"Deposit"),2))</f>
        <v>0</v>
      </c>
      <c r="AB6" s="26">
        <f>IF(B6="","",ROUND(SUMIFS(Sales!$Y$5:$Y$1204,Sales!$C$5:$C$1204,A6),2))</f>
        <v>0</v>
      </c>
      <c r="AC6" s="38">
        <f>IF(B6="","",IF(M6="Completed","Yes",IF(M6="Cancelled","Yes",IF(M6="No show","Yes","No"))))</f>
        <v>0</v>
      </c>
      <c r="AD6" s="25">
        <f>IF(B6="","",IF(AE6="","",B6-AE6))</f>
        <v>0</v>
      </c>
      <c r="AF6" s="38">
        <f>IF(B6="","",IF(M6&lt;&gt;"Completed","",IF(E6="","No",IF(COUNTIFS(Appointments!$E$5:$E$1204,E6,Appointments!$B$5:$B$1204,"&gt;"&amp;B6,Appointments!$M$5:$M$1204,"&lt;&gt;Cancelled")&gt;0,"Yes","No"))))</f>
        <v>0</v>
      </c>
      <c r="AG6" s="38">
        <f>IF(B6="","",IF(I6="","",IF(D6="","",IF(COUNTIFS($I$5:$I$1204,I6,$B$5:$B$1204,B6,$D$5:$D$1204,"&lt;"&amp;V6,$V$5:$V$1204,"&gt;"&amp;D6,$M$5:$M$1204,"&lt;&gt;Cancelled")&gt;1,"Clash",""))))</f>
        <v>0</v>
      </c>
      <c r="AH6" s="39">
        <f>IF(B6="","",IF(AG6="Clash","Clash - stylist double booked",IF(I6="","Assign - no stylist yet",IF(G6="","Add - no service chosen",IF(M6="No show","No show - charge the fee?",IF(M6="Cancelled","",IF(IF(M6="Completed",AB6&lt;Y6-0.004,FALSE),"Unpaid - nothing rung up for this visit",IF(IF(B6&lt;TodayDate,M6="Booked",FALSE),"Overdue - past date, still only Booked",IF(IF(B6=TodayDate,TRUE,FALSE),"Today",IF(IF(Z6&gt;0,AA6&lt;Z6-0.004,FALSE),"Due - deposit not taken",IF(IF(B6&gt;TodayDate,B6&lt;=TodayDate+2,FALSE),"Confirm - coming up","OK")))))))))))</f>
        <v>0</v>
      </c>
    </row>
    <row r="7" spans="1:34">
      <c r="A7" s="28">
        <f>IF(B7="","",AppointmentPrefix&amp;TEXT(ROW()-4,"0000"))</f>
        <v>0</v>
      </c>
      <c r="C7" s="15">
        <f>IF(B7="","",TEXT(B7,"ddd"))</f>
        <v>0</v>
      </c>
      <c r="F7" s="15">
        <f>IF(E7="","",IFERROR(INDEX(Clients!$B$5:$B$504,MATCH(E7,Clients!$A$5:$A$504,0)),"Walk-in"))</f>
        <v>0</v>
      </c>
      <c r="H7" s="15">
        <f>IF(G7="","",IFERROR(INDEX(Services!$B$5:$B$204,MATCH(G7,Services!$A$5:$A$204,0)),"Not in Services"))</f>
        <v>0</v>
      </c>
      <c r="J7" s="15">
        <f>IF(I7="","",IFERROR(INDEX(Staff!$B$5:$B$44,MATCH(I7,Staff!$A$5:$A$44,0)),"Unassigned"))</f>
        <v>0</v>
      </c>
      <c r="S7" s="15">
        <f>IF(B7="","",TEXT(B7,"yyyy-mm"))</f>
        <v>0</v>
      </c>
      <c r="T7" s="25">
        <f>IF(B7="","",WEEKNUM(B7,2))</f>
        <v>0</v>
      </c>
      <c r="U7" s="25">
        <f>IF(B7="","",IF(K7&lt;&gt;"",K7,IFERROR(INDEX(Services!$E$5:$E$204,MATCH(G7,Services!$A$5:$A$204,0))*1,0)+IFERROR(INDEX(Services!$F$5:$F$204,MATCH(G7,Services!$A$5:$A$204,0))*1,0)))</f>
        <v>0</v>
      </c>
      <c r="V7" s="36">
        <f>IF(B7="","",IF(D7="","",D7+U7/1440))</f>
        <v>0</v>
      </c>
      <c r="W7" s="25">
        <f>IF(B7="","",IF(D7="","",HOUR(D7)))</f>
        <v>0</v>
      </c>
      <c r="X7" s="37">
        <f>IF(B7="","",ROUND(U7/60,2))</f>
        <v>0</v>
      </c>
      <c r="Y7" s="26">
        <f>IF(B7="","",IF(L7&lt;&gt;"",L7,IFERROR(INDEX(Services!$G$5:$G$204,MATCH(G7,Services!$A$5:$A$204,0))*1,0)))</f>
        <v>0</v>
      </c>
      <c r="Z7" s="26">
        <f>IF(B7="","",IF(O7&lt;&gt;"",O7,IF(Y7&gt;=DepositThreshold,ROUND(Y7*DepositPercent,2),0)))</f>
        <v>0</v>
      </c>
      <c r="AA7" s="26">
        <f>IF(B7="","",ROUND(SUMIFS(Payments!$G$5:$G$1204,Payments!$I$5:$I$1204,A7,Payments!$E$5:$E$1204,"Deposit"),2))</f>
        <v>0</v>
      </c>
      <c r="AB7" s="26">
        <f>IF(B7="","",ROUND(SUMIFS(Sales!$Y$5:$Y$1204,Sales!$C$5:$C$1204,A7),2))</f>
        <v>0</v>
      </c>
      <c r="AC7" s="38">
        <f>IF(B7="","",IF(M7="Completed","Yes",IF(M7="Cancelled","Yes",IF(M7="No show","Yes","No"))))</f>
        <v>0</v>
      </c>
      <c r="AD7" s="25">
        <f>IF(B7="","",IF(AE7="","",B7-AE7))</f>
        <v>0</v>
      </c>
      <c r="AF7" s="38">
        <f>IF(B7="","",IF(M7&lt;&gt;"Completed","",IF(E7="","No",IF(COUNTIFS(Appointments!$E$5:$E$1204,E7,Appointments!$B$5:$B$1204,"&gt;"&amp;B7,Appointments!$M$5:$M$1204,"&lt;&gt;Cancelled")&gt;0,"Yes","No"))))</f>
        <v>0</v>
      </c>
      <c r="AG7" s="38">
        <f>IF(B7="","",IF(I7="","",IF(D7="","",IF(COUNTIFS($I$5:$I$1204,I7,$B$5:$B$1204,B7,$D$5:$D$1204,"&lt;"&amp;V7,$V$5:$V$1204,"&gt;"&amp;D7,$M$5:$M$1204,"&lt;&gt;Cancelled")&gt;1,"Clash",""))))</f>
        <v>0</v>
      </c>
      <c r="AH7" s="39">
        <f>IF(B7="","",IF(AG7="Clash","Clash - stylist double booked",IF(I7="","Assign - no stylist yet",IF(G7="","Add - no service chosen",IF(M7="No show","No show - charge the fee?",IF(M7="Cancelled","",IF(IF(M7="Completed",AB7&lt;Y7-0.004,FALSE),"Unpaid - nothing rung up for this visit",IF(IF(B7&lt;TodayDate,M7="Booked",FALSE),"Overdue - past date, still only Booked",IF(IF(B7=TodayDate,TRUE,FALSE),"Today",IF(IF(Z7&gt;0,AA7&lt;Z7-0.004,FALSE),"Due - deposit not taken",IF(IF(B7&gt;TodayDate,B7&lt;=TodayDate+2,FALSE),"Confirm - coming up","OK")))))))))))</f>
        <v>0</v>
      </c>
    </row>
    <row r="8" spans="1:34">
      <c r="A8" s="28">
        <f>IF(B8="","",AppointmentPrefix&amp;TEXT(ROW()-4,"0000"))</f>
        <v>0</v>
      </c>
      <c r="C8" s="15">
        <f>IF(B8="","",TEXT(B8,"ddd"))</f>
        <v>0</v>
      </c>
      <c r="F8" s="15">
        <f>IF(E8="","",IFERROR(INDEX(Clients!$B$5:$B$504,MATCH(E8,Clients!$A$5:$A$504,0)),"Walk-in"))</f>
        <v>0</v>
      </c>
      <c r="H8" s="15">
        <f>IF(G8="","",IFERROR(INDEX(Services!$B$5:$B$204,MATCH(G8,Services!$A$5:$A$204,0)),"Not in Services"))</f>
        <v>0</v>
      </c>
      <c r="J8" s="15">
        <f>IF(I8="","",IFERROR(INDEX(Staff!$B$5:$B$44,MATCH(I8,Staff!$A$5:$A$44,0)),"Unassigned"))</f>
        <v>0</v>
      </c>
      <c r="S8" s="15">
        <f>IF(B8="","",TEXT(B8,"yyyy-mm"))</f>
        <v>0</v>
      </c>
      <c r="T8" s="25">
        <f>IF(B8="","",WEEKNUM(B8,2))</f>
        <v>0</v>
      </c>
      <c r="U8" s="25">
        <f>IF(B8="","",IF(K8&lt;&gt;"",K8,IFERROR(INDEX(Services!$E$5:$E$204,MATCH(G8,Services!$A$5:$A$204,0))*1,0)+IFERROR(INDEX(Services!$F$5:$F$204,MATCH(G8,Services!$A$5:$A$204,0))*1,0)))</f>
        <v>0</v>
      </c>
      <c r="V8" s="36">
        <f>IF(B8="","",IF(D8="","",D8+U8/1440))</f>
        <v>0</v>
      </c>
      <c r="W8" s="25">
        <f>IF(B8="","",IF(D8="","",HOUR(D8)))</f>
        <v>0</v>
      </c>
      <c r="X8" s="37">
        <f>IF(B8="","",ROUND(U8/60,2))</f>
        <v>0</v>
      </c>
      <c r="Y8" s="26">
        <f>IF(B8="","",IF(L8&lt;&gt;"",L8,IFERROR(INDEX(Services!$G$5:$G$204,MATCH(G8,Services!$A$5:$A$204,0))*1,0)))</f>
        <v>0</v>
      </c>
      <c r="Z8" s="26">
        <f>IF(B8="","",IF(O8&lt;&gt;"",O8,IF(Y8&gt;=DepositThreshold,ROUND(Y8*DepositPercent,2),0)))</f>
        <v>0</v>
      </c>
      <c r="AA8" s="26">
        <f>IF(B8="","",ROUND(SUMIFS(Payments!$G$5:$G$1204,Payments!$I$5:$I$1204,A8,Payments!$E$5:$E$1204,"Deposit"),2))</f>
        <v>0</v>
      </c>
      <c r="AB8" s="26">
        <f>IF(B8="","",ROUND(SUMIFS(Sales!$Y$5:$Y$1204,Sales!$C$5:$C$1204,A8),2))</f>
        <v>0</v>
      </c>
      <c r="AC8" s="38">
        <f>IF(B8="","",IF(M8="Completed","Yes",IF(M8="Cancelled","Yes",IF(M8="No show","Yes","No"))))</f>
        <v>0</v>
      </c>
      <c r="AD8" s="25">
        <f>IF(B8="","",IF(AE8="","",B8-AE8))</f>
        <v>0</v>
      </c>
      <c r="AF8" s="38">
        <f>IF(B8="","",IF(M8&lt;&gt;"Completed","",IF(E8="","No",IF(COUNTIFS(Appointments!$E$5:$E$1204,E8,Appointments!$B$5:$B$1204,"&gt;"&amp;B8,Appointments!$M$5:$M$1204,"&lt;&gt;Cancelled")&gt;0,"Yes","No"))))</f>
        <v>0</v>
      </c>
      <c r="AG8" s="38">
        <f>IF(B8="","",IF(I8="","",IF(D8="","",IF(COUNTIFS($I$5:$I$1204,I8,$B$5:$B$1204,B8,$D$5:$D$1204,"&lt;"&amp;V8,$V$5:$V$1204,"&gt;"&amp;D8,$M$5:$M$1204,"&lt;&gt;Cancelled")&gt;1,"Clash",""))))</f>
        <v>0</v>
      </c>
      <c r="AH8" s="39">
        <f>IF(B8="","",IF(AG8="Clash","Clash - stylist double booked",IF(I8="","Assign - no stylist yet",IF(G8="","Add - no service chosen",IF(M8="No show","No show - charge the fee?",IF(M8="Cancelled","",IF(IF(M8="Completed",AB8&lt;Y8-0.004,FALSE),"Unpaid - nothing rung up for this visit",IF(IF(B8&lt;TodayDate,M8="Booked",FALSE),"Overdue - past date, still only Booked",IF(IF(B8=TodayDate,TRUE,FALSE),"Today",IF(IF(Z8&gt;0,AA8&lt;Z8-0.004,FALSE),"Due - deposit not taken",IF(IF(B8&gt;TodayDate,B8&lt;=TodayDate+2,FALSE),"Confirm - coming up","OK")))))))))))</f>
        <v>0</v>
      </c>
    </row>
    <row r="9" spans="1:34">
      <c r="A9" s="28">
        <f>IF(B9="","",AppointmentPrefix&amp;TEXT(ROW()-4,"0000"))</f>
        <v>0</v>
      </c>
      <c r="C9" s="15">
        <f>IF(B9="","",TEXT(B9,"ddd"))</f>
        <v>0</v>
      </c>
      <c r="F9" s="15">
        <f>IF(E9="","",IFERROR(INDEX(Clients!$B$5:$B$504,MATCH(E9,Clients!$A$5:$A$504,0)),"Walk-in"))</f>
        <v>0</v>
      </c>
      <c r="H9" s="15">
        <f>IF(G9="","",IFERROR(INDEX(Services!$B$5:$B$204,MATCH(G9,Services!$A$5:$A$204,0)),"Not in Services"))</f>
        <v>0</v>
      </c>
      <c r="J9" s="15">
        <f>IF(I9="","",IFERROR(INDEX(Staff!$B$5:$B$44,MATCH(I9,Staff!$A$5:$A$44,0)),"Unassigned"))</f>
        <v>0</v>
      </c>
      <c r="S9" s="15">
        <f>IF(B9="","",TEXT(B9,"yyyy-mm"))</f>
        <v>0</v>
      </c>
      <c r="T9" s="25">
        <f>IF(B9="","",WEEKNUM(B9,2))</f>
        <v>0</v>
      </c>
      <c r="U9" s="25">
        <f>IF(B9="","",IF(K9&lt;&gt;"",K9,IFERROR(INDEX(Services!$E$5:$E$204,MATCH(G9,Services!$A$5:$A$204,0))*1,0)+IFERROR(INDEX(Services!$F$5:$F$204,MATCH(G9,Services!$A$5:$A$204,0))*1,0)))</f>
        <v>0</v>
      </c>
      <c r="V9" s="36">
        <f>IF(B9="","",IF(D9="","",D9+U9/1440))</f>
        <v>0</v>
      </c>
      <c r="W9" s="25">
        <f>IF(B9="","",IF(D9="","",HOUR(D9)))</f>
        <v>0</v>
      </c>
      <c r="X9" s="37">
        <f>IF(B9="","",ROUND(U9/60,2))</f>
        <v>0</v>
      </c>
      <c r="Y9" s="26">
        <f>IF(B9="","",IF(L9&lt;&gt;"",L9,IFERROR(INDEX(Services!$G$5:$G$204,MATCH(G9,Services!$A$5:$A$204,0))*1,0)))</f>
        <v>0</v>
      </c>
      <c r="Z9" s="26">
        <f>IF(B9="","",IF(O9&lt;&gt;"",O9,IF(Y9&gt;=DepositThreshold,ROUND(Y9*DepositPercent,2),0)))</f>
        <v>0</v>
      </c>
      <c r="AA9" s="26">
        <f>IF(B9="","",ROUND(SUMIFS(Payments!$G$5:$G$1204,Payments!$I$5:$I$1204,A9,Payments!$E$5:$E$1204,"Deposit"),2))</f>
        <v>0</v>
      </c>
      <c r="AB9" s="26">
        <f>IF(B9="","",ROUND(SUMIFS(Sales!$Y$5:$Y$1204,Sales!$C$5:$C$1204,A9),2))</f>
        <v>0</v>
      </c>
      <c r="AC9" s="38">
        <f>IF(B9="","",IF(M9="Completed","Yes",IF(M9="Cancelled","Yes",IF(M9="No show","Yes","No"))))</f>
        <v>0</v>
      </c>
      <c r="AD9" s="25">
        <f>IF(B9="","",IF(AE9="","",B9-AE9))</f>
        <v>0</v>
      </c>
      <c r="AF9" s="38">
        <f>IF(B9="","",IF(M9&lt;&gt;"Completed","",IF(E9="","No",IF(COUNTIFS(Appointments!$E$5:$E$1204,E9,Appointments!$B$5:$B$1204,"&gt;"&amp;B9,Appointments!$M$5:$M$1204,"&lt;&gt;Cancelled")&gt;0,"Yes","No"))))</f>
        <v>0</v>
      </c>
      <c r="AG9" s="38">
        <f>IF(B9="","",IF(I9="","",IF(D9="","",IF(COUNTIFS($I$5:$I$1204,I9,$B$5:$B$1204,B9,$D$5:$D$1204,"&lt;"&amp;V9,$V$5:$V$1204,"&gt;"&amp;D9,$M$5:$M$1204,"&lt;&gt;Cancelled")&gt;1,"Clash",""))))</f>
        <v>0</v>
      </c>
      <c r="AH9" s="39">
        <f>IF(B9="","",IF(AG9="Clash","Clash - stylist double booked",IF(I9="","Assign - no stylist yet",IF(G9="","Add - no service chosen",IF(M9="No show","No show - charge the fee?",IF(M9="Cancelled","",IF(IF(M9="Completed",AB9&lt;Y9-0.004,FALSE),"Unpaid - nothing rung up for this visit",IF(IF(B9&lt;TodayDate,M9="Booked",FALSE),"Overdue - past date, still only Booked",IF(IF(B9=TodayDate,TRUE,FALSE),"Today",IF(IF(Z9&gt;0,AA9&lt;Z9-0.004,FALSE),"Due - deposit not taken",IF(IF(B9&gt;TodayDate,B9&lt;=TodayDate+2,FALSE),"Confirm - coming up","OK")))))))))))</f>
        <v>0</v>
      </c>
    </row>
    <row r="10" spans="1:34">
      <c r="A10" s="28">
        <f>IF(B10="","",AppointmentPrefix&amp;TEXT(ROW()-4,"0000"))</f>
        <v>0</v>
      </c>
      <c r="C10" s="15">
        <f>IF(B10="","",TEXT(B10,"ddd"))</f>
        <v>0</v>
      </c>
      <c r="F10" s="15">
        <f>IF(E10="","",IFERROR(INDEX(Clients!$B$5:$B$504,MATCH(E10,Clients!$A$5:$A$504,0)),"Walk-in"))</f>
        <v>0</v>
      </c>
      <c r="H10" s="15">
        <f>IF(G10="","",IFERROR(INDEX(Services!$B$5:$B$204,MATCH(G10,Services!$A$5:$A$204,0)),"Not in Services"))</f>
        <v>0</v>
      </c>
      <c r="J10" s="15">
        <f>IF(I10="","",IFERROR(INDEX(Staff!$B$5:$B$44,MATCH(I10,Staff!$A$5:$A$44,0)),"Unassigned"))</f>
        <v>0</v>
      </c>
      <c r="S10" s="15">
        <f>IF(B10="","",TEXT(B10,"yyyy-mm"))</f>
        <v>0</v>
      </c>
      <c r="T10" s="25">
        <f>IF(B10="","",WEEKNUM(B10,2))</f>
        <v>0</v>
      </c>
      <c r="U10" s="25">
        <f>IF(B10="","",IF(K10&lt;&gt;"",K10,IFERROR(INDEX(Services!$E$5:$E$204,MATCH(G10,Services!$A$5:$A$204,0))*1,0)+IFERROR(INDEX(Services!$F$5:$F$204,MATCH(G10,Services!$A$5:$A$204,0))*1,0)))</f>
        <v>0</v>
      </c>
      <c r="V10" s="36">
        <f>IF(B10="","",IF(D10="","",D10+U10/1440))</f>
        <v>0</v>
      </c>
      <c r="W10" s="25">
        <f>IF(B10="","",IF(D10="","",HOUR(D10)))</f>
        <v>0</v>
      </c>
      <c r="X10" s="37">
        <f>IF(B10="","",ROUND(U10/60,2))</f>
        <v>0</v>
      </c>
      <c r="Y10" s="26">
        <f>IF(B10="","",IF(L10&lt;&gt;"",L10,IFERROR(INDEX(Services!$G$5:$G$204,MATCH(G10,Services!$A$5:$A$204,0))*1,0)))</f>
        <v>0</v>
      </c>
      <c r="Z10" s="26">
        <f>IF(B10="","",IF(O10&lt;&gt;"",O10,IF(Y10&gt;=DepositThreshold,ROUND(Y10*DepositPercent,2),0)))</f>
        <v>0</v>
      </c>
      <c r="AA10" s="26">
        <f>IF(B10="","",ROUND(SUMIFS(Payments!$G$5:$G$1204,Payments!$I$5:$I$1204,A10,Payments!$E$5:$E$1204,"Deposit"),2))</f>
        <v>0</v>
      </c>
      <c r="AB10" s="26">
        <f>IF(B10="","",ROUND(SUMIFS(Sales!$Y$5:$Y$1204,Sales!$C$5:$C$1204,A10),2))</f>
        <v>0</v>
      </c>
      <c r="AC10" s="38">
        <f>IF(B10="","",IF(M10="Completed","Yes",IF(M10="Cancelled","Yes",IF(M10="No show","Yes","No"))))</f>
        <v>0</v>
      </c>
      <c r="AD10" s="25">
        <f>IF(B10="","",IF(AE10="","",B10-AE10))</f>
        <v>0</v>
      </c>
      <c r="AF10" s="38">
        <f>IF(B10="","",IF(M10&lt;&gt;"Completed","",IF(E10="","No",IF(COUNTIFS(Appointments!$E$5:$E$1204,E10,Appointments!$B$5:$B$1204,"&gt;"&amp;B10,Appointments!$M$5:$M$1204,"&lt;&gt;Cancelled")&gt;0,"Yes","No"))))</f>
        <v>0</v>
      </c>
      <c r="AG10" s="38">
        <f>IF(B10="","",IF(I10="","",IF(D10="","",IF(COUNTIFS($I$5:$I$1204,I10,$B$5:$B$1204,B10,$D$5:$D$1204,"&lt;"&amp;V10,$V$5:$V$1204,"&gt;"&amp;D10,$M$5:$M$1204,"&lt;&gt;Cancelled")&gt;1,"Clash",""))))</f>
        <v>0</v>
      </c>
      <c r="AH10" s="39">
        <f>IF(B10="","",IF(AG10="Clash","Clash - stylist double booked",IF(I10="","Assign - no stylist yet",IF(G10="","Add - no service chosen",IF(M10="No show","No show - charge the fee?",IF(M10="Cancelled","",IF(IF(M10="Completed",AB10&lt;Y10-0.004,FALSE),"Unpaid - nothing rung up for this visit",IF(IF(B10&lt;TodayDate,M10="Booked",FALSE),"Overdue - past date, still only Booked",IF(IF(B10=TodayDate,TRUE,FALSE),"Today",IF(IF(Z10&gt;0,AA10&lt;Z10-0.004,FALSE),"Due - deposit not taken",IF(IF(B10&gt;TodayDate,B10&lt;=TodayDate+2,FALSE),"Confirm - coming up","OK")))))))))))</f>
        <v>0</v>
      </c>
    </row>
    <row r="11" spans="1:34">
      <c r="A11" s="28">
        <f>IF(B11="","",AppointmentPrefix&amp;TEXT(ROW()-4,"0000"))</f>
        <v>0</v>
      </c>
      <c r="C11" s="15">
        <f>IF(B11="","",TEXT(B11,"ddd"))</f>
        <v>0</v>
      </c>
      <c r="F11" s="15">
        <f>IF(E11="","",IFERROR(INDEX(Clients!$B$5:$B$504,MATCH(E11,Clients!$A$5:$A$504,0)),"Walk-in"))</f>
        <v>0</v>
      </c>
      <c r="H11" s="15">
        <f>IF(G11="","",IFERROR(INDEX(Services!$B$5:$B$204,MATCH(G11,Services!$A$5:$A$204,0)),"Not in Services"))</f>
        <v>0</v>
      </c>
      <c r="J11" s="15">
        <f>IF(I11="","",IFERROR(INDEX(Staff!$B$5:$B$44,MATCH(I11,Staff!$A$5:$A$44,0)),"Unassigned"))</f>
        <v>0</v>
      </c>
      <c r="S11" s="15">
        <f>IF(B11="","",TEXT(B11,"yyyy-mm"))</f>
        <v>0</v>
      </c>
      <c r="T11" s="25">
        <f>IF(B11="","",WEEKNUM(B11,2))</f>
        <v>0</v>
      </c>
      <c r="U11" s="25">
        <f>IF(B11="","",IF(K11&lt;&gt;"",K11,IFERROR(INDEX(Services!$E$5:$E$204,MATCH(G11,Services!$A$5:$A$204,0))*1,0)+IFERROR(INDEX(Services!$F$5:$F$204,MATCH(G11,Services!$A$5:$A$204,0))*1,0)))</f>
        <v>0</v>
      </c>
      <c r="V11" s="36">
        <f>IF(B11="","",IF(D11="","",D11+U11/1440))</f>
        <v>0</v>
      </c>
      <c r="W11" s="25">
        <f>IF(B11="","",IF(D11="","",HOUR(D11)))</f>
        <v>0</v>
      </c>
      <c r="X11" s="37">
        <f>IF(B11="","",ROUND(U11/60,2))</f>
        <v>0</v>
      </c>
      <c r="Y11" s="26">
        <f>IF(B11="","",IF(L11&lt;&gt;"",L11,IFERROR(INDEX(Services!$G$5:$G$204,MATCH(G11,Services!$A$5:$A$204,0))*1,0)))</f>
        <v>0</v>
      </c>
      <c r="Z11" s="26">
        <f>IF(B11="","",IF(O11&lt;&gt;"",O11,IF(Y11&gt;=DepositThreshold,ROUND(Y11*DepositPercent,2),0)))</f>
        <v>0</v>
      </c>
      <c r="AA11" s="26">
        <f>IF(B11="","",ROUND(SUMIFS(Payments!$G$5:$G$1204,Payments!$I$5:$I$1204,A11,Payments!$E$5:$E$1204,"Deposit"),2))</f>
        <v>0</v>
      </c>
      <c r="AB11" s="26">
        <f>IF(B11="","",ROUND(SUMIFS(Sales!$Y$5:$Y$1204,Sales!$C$5:$C$1204,A11),2))</f>
        <v>0</v>
      </c>
      <c r="AC11" s="38">
        <f>IF(B11="","",IF(M11="Completed","Yes",IF(M11="Cancelled","Yes",IF(M11="No show","Yes","No"))))</f>
        <v>0</v>
      </c>
      <c r="AD11" s="25">
        <f>IF(B11="","",IF(AE11="","",B11-AE11))</f>
        <v>0</v>
      </c>
      <c r="AF11" s="38">
        <f>IF(B11="","",IF(M11&lt;&gt;"Completed","",IF(E11="","No",IF(COUNTIFS(Appointments!$E$5:$E$1204,E11,Appointments!$B$5:$B$1204,"&gt;"&amp;B11,Appointments!$M$5:$M$1204,"&lt;&gt;Cancelled")&gt;0,"Yes","No"))))</f>
        <v>0</v>
      </c>
      <c r="AG11" s="38">
        <f>IF(B11="","",IF(I11="","",IF(D11="","",IF(COUNTIFS($I$5:$I$1204,I11,$B$5:$B$1204,B11,$D$5:$D$1204,"&lt;"&amp;V11,$V$5:$V$1204,"&gt;"&amp;D11,$M$5:$M$1204,"&lt;&gt;Cancelled")&gt;1,"Clash",""))))</f>
        <v>0</v>
      </c>
      <c r="AH11" s="39">
        <f>IF(B11="","",IF(AG11="Clash","Clash - stylist double booked",IF(I11="","Assign - no stylist yet",IF(G11="","Add - no service chosen",IF(M11="No show","No show - charge the fee?",IF(M11="Cancelled","",IF(IF(M11="Completed",AB11&lt;Y11-0.004,FALSE),"Unpaid - nothing rung up for this visit",IF(IF(B11&lt;TodayDate,M11="Booked",FALSE),"Overdue - past date, still only Booked",IF(IF(B11=TodayDate,TRUE,FALSE),"Today",IF(IF(Z11&gt;0,AA11&lt;Z11-0.004,FALSE),"Due - deposit not taken",IF(IF(B11&gt;TodayDate,B11&lt;=TodayDate+2,FALSE),"Confirm - coming up","OK")))))))))))</f>
        <v>0</v>
      </c>
    </row>
    <row r="12" spans="1:34">
      <c r="A12" s="28">
        <f>IF(B12="","",AppointmentPrefix&amp;TEXT(ROW()-4,"0000"))</f>
        <v>0</v>
      </c>
      <c r="C12" s="15">
        <f>IF(B12="","",TEXT(B12,"ddd"))</f>
        <v>0</v>
      </c>
      <c r="F12" s="15">
        <f>IF(E12="","",IFERROR(INDEX(Clients!$B$5:$B$504,MATCH(E12,Clients!$A$5:$A$504,0)),"Walk-in"))</f>
        <v>0</v>
      </c>
      <c r="H12" s="15">
        <f>IF(G12="","",IFERROR(INDEX(Services!$B$5:$B$204,MATCH(G12,Services!$A$5:$A$204,0)),"Not in Services"))</f>
        <v>0</v>
      </c>
      <c r="J12" s="15">
        <f>IF(I12="","",IFERROR(INDEX(Staff!$B$5:$B$44,MATCH(I12,Staff!$A$5:$A$44,0)),"Unassigned"))</f>
        <v>0</v>
      </c>
      <c r="S12" s="15">
        <f>IF(B12="","",TEXT(B12,"yyyy-mm"))</f>
        <v>0</v>
      </c>
      <c r="T12" s="25">
        <f>IF(B12="","",WEEKNUM(B12,2))</f>
        <v>0</v>
      </c>
      <c r="U12" s="25">
        <f>IF(B12="","",IF(K12&lt;&gt;"",K12,IFERROR(INDEX(Services!$E$5:$E$204,MATCH(G12,Services!$A$5:$A$204,0))*1,0)+IFERROR(INDEX(Services!$F$5:$F$204,MATCH(G12,Services!$A$5:$A$204,0))*1,0)))</f>
        <v>0</v>
      </c>
      <c r="V12" s="36">
        <f>IF(B12="","",IF(D12="","",D12+U12/1440))</f>
        <v>0</v>
      </c>
      <c r="W12" s="25">
        <f>IF(B12="","",IF(D12="","",HOUR(D12)))</f>
        <v>0</v>
      </c>
      <c r="X12" s="37">
        <f>IF(B12="","",ROUND(U12/60,2))</f>
        <v>0</v>
      </c>
      <c r="Y12" s="26">
        <f>IF(B12="","",IF(L12&lt;&gt;"",L12,IFERROR(INDEX(Services!$G$5:$G$204,MATCH(G12,Services!$A$5:$A$204,0))*1,0)))</f>
        <v>0</v>
      </c>
      <c r="Z12" s="26">
        <f>IF(B12="","",IF(O12&lt;&gt;"",O12,IF(Y12&gt;=DepositThreshold,ROUND(Y12*DepositPercent,2),0)))</f>
        <v>0</v>
      </c>
      <c r="AA12" s="26">
        <f>IF(B12="","",ROUND(SUMIFS(Payments!$G$5:$G$1204,Payments!$I$5:$I$1204,A12,Payments!$E$5:$E$1204,"Deposit"),2))</f>
        <v>0</v>
      </c>
      <c r="AB12" s="26">
        <f>IF(B12="","",ROUND(SUMIFS(Sales!$Y$5:$Y$1204,Sales!$C$5:$C$1204,A12),2))</f>
        <v>0</v>
      </c>
      <c r="AC12" s="38">
        <f>IF(B12="","",IF(M12="Completed","Yes",IF(M12="Cancelled","Yes",IF(M12="No show","Yes","No"))))</f>
        <v>0</v>
      </c>
      <c r="AD12" s="25">
        <f>IF(B12="","",IF(AE12="","",B12-AE12))</f>
        <v>0</v>
      </c>
      <c r="AF12" s="38">
        <f>IF(B12="","",IF(M12&lt;&gt;"Completed","",IF(E12="","No",IF(COUNTIFS(Appointments!$E$5:$E$1204,E12,Appointments!$B$5:$B$1204,"&gt;"&amp;B12,Appointments!$M$5:$M$1204,"&lt;&gt;Cancelled")&gt;0,"Yes","No"))))</f>
        <v>0</v>
      </c>
      <c r="AG12" s="38">
        <f>IF(B12="","",IF(I12="","",IF(D12="","",IF(COUNTIFS($I$5:$I$1204,I12,$B$5:$B$1204,B12,$D$5:$D$1204,"&lt;"&amp;V12,$V$5:$V$1204,"&gt;"&amp;D12,$M$5:$M$1204,"&lt;&gt;Cancelled")&gt;1,"Clash",""))))</f>
        <v>0</v>
      </c>
      <c r="AH12" s="39">
        <f>IF(B12="","",IF(AG12="Clash","Clash - stylist double booked",IF(I12="","Assign - no stylist yet",IF(G12="","Add - no service chosen",IF(M12="No show","No show - charge the fee?",IF(M12="Cancelled","",IF(IF(M12="Completed",AB12&lt;Y12-0.004,FALSE),"Unpaid - nothing rung up for this visit",IF(IF(B12&lt;TodayDate,M12="Booked",FALSE),"Overdue - past date, still only Booked",IF(IF(B12=TodayDate,TRUE,FALSE),"Today",IF(IF(Z12&gt;0,AA12&lt;Z12-0.004,FALSE),"Due - deposit not taken",IF(IF(B12&gt;TodayDate,B12&lt;=TodayDate+2,FALSE),"Confirm - coming up","OK")))))))))))</f>
        <v>0</v>
      </c>
    </row>
    <row r="13" spans="1:34">
      <c r="A13" s="28">
        <f>IF(B13="","",AppointmentPrefix&amp;TEXT(ROW()-4,"0000"))</f>
        <v>0</v>
      </c>
      <c r="C13" s="15">
        <f>IF(B13="","",TEXT(B13,"ddd"))</f>
        <v>0</v>
      </c>
      <c r="F13" s="15">
        <f>IF(E13="","",IFERROR(INDEX(Clients!$B$5:$B$504,MATCH(E13,Clients!$A$5:$A$504,0)),"Walk-in"))</f>
        <v>0</v>
      </c>
      <c r="H13" s="15">
        <f>IF(G13="","",IFERROR(INDEX(Services!$B$5:$B$204,MATCH(G13,Services!$A$5:$A$204,0)),"Not in Services"))</f>
        <v>0</v>
      </c>
      <c r="J13" s="15">
        <f>IF(I13="","",IFERROR(INDEX(Staff!$B$5:$B$44,MATCH(I13,Staff!$A$5:$A$44,0)),"Unassigned"))</f>
        <v>0</v>
      </c>
      <c r="S13" s="15">
        <f>IF(B13="","",TEXT(B13,"yyyy-mm"))</f>
        <v>0</v>
      </c>
      <c r="T13" s="25">
        <f>IF(B13="","",WEEKNUM(B13,2))</f>
        <v>0</v>
      </c>
      <c r="U13" s="25">
        <f>IF(B13="","",IF(K13&lt;&gt;"",K13,IFERROR(INDEX(Services!$E$5:$E$204,MATCH(G13,Services!$A$5:$A$204,0))*1,0)+IFERROR(INDEX(Services!$F$5:$F$204,MATCH(G13,Services!$A$5:$A$204,0))*1,0)))</f>
        <v>0</v>
      </c>
      <c r="V13" s="36">
        <f>IF(B13="","",IF(D13="","",D13+U13/1440))</f>
        <v>0</v>
      </c>
      <c r="W13" s="25">
        <f>IF(B13="","",IF(D13="","",HOUR(D13)))</f>
        <v>0</v>
      </c>
      <c r="X13" s="37">
        <f>IF(B13="","",ROUND(U13/60,2))</f>
        <v>0</v>
      </c>
      <c r="Y13" s="26">
        <f>IF(B13="","",IF(L13&lt;&gt;"",L13,IFERROR(INDEX(Services!$G$5:$G$204,MATCH(G13,Services!$A$5:$A$204,0))*1,0)))</f>
        <v>0</v>
      </c>
      <c r="Z13" s="26">
        <f>IF(B13="","",IF(O13&lt;&gt;"",O13,IF(Y13&gt;=DepositThreshold,ROUND(Y13*DepositPercent,2),0)))</f>
        <v>0</v>
      </c>
      <c r="AA13" s="26">
        <f>IF(B13="","",ROUND(SUMIFS(Payments!$G$5:$G$1204,Payments!$I$5:$I$1204,A13,Payments!$E$5:$E$1204,"Deposit"),2))</f>
        <v>0</v>
      </c>
      <c r="AB13" s="26">
        <f>IF(B13="","",ROUND(SUMIFS(Sales!$Y$5:$Y$1204,Sales!$C$5:$C$1204,A13),2))</f>
        <v>0</v>
      </c>
      <c r="AC13" s="38">
        <f>IF(B13="","",IF(M13="Completed","Yes",IF(M13="Cancelled","Yes",IF(M13="No show","Yes","No"))))</f>
        <v>0</v>
      </c>
      <c r="AD13" s="25">
        <f>IF(B13="","",IF(AE13="","",B13-AE13))</f>
        <v>0</v>
      </c>
      <c r="AF13" s="38">
        <f>IF(B13="","",IF(M13&lt;&gt;"Completed","",IF(E13="","No",IF(COUNTIFS(Appointments!$E$5:$E$1204,E13,Appointments!$B$5:$B$1204,"&gt;"&amp;B13,Appointments!$M$5:$M$1204,"&lt;&gt;Cancelled")&gt;0,"Yes","No"))))</f>
        <v>0</v>
      </c>
      <c r="AG13" s="38">
        <f>IF(B13="","",IF(I13="","",IF(D13="","",IF(COUNTIFS($I$5:$I$1204,I13,$B$5:$B$1204,B13,$D$5:$D$1204,"&lt;"&amp;V13,$V$5:$V$1204,"&gt;"&amp;D13,$M$5:$M$1204,"&lt;&gt;Cancelled")&gt;1,"Clash",""))))</f>
        <v>0</v>
      </c>
      <c r="AH13" s="39">
        <f>IF(B13="","",IF(AG13="Clash","Clash - stylist double booked",IF(I13="","Assign - no stylist yet",IF(G13="","Add - no service chosen",IF(M13="No show","No show - charge the fee?",IF(M13="Cancelled","",IF(IF(M13="Completed",AB13&lt;Y13-0.004,FALSE),"Unpaid - nothing rung up for this visit",IF(IF(B13&lt;TodayDate,M13="Booked",FALSE),"Overdue - past date, still only Booked",IF(IF(B13=TodayDate,TRUE,FALSE),"Today",IF(IF(Z13&gt;0,AA13&lt;Z13-0.004,FALSE),"Due - deposit not taken",IF(IF(B13&gt;TodayDate,B13&lt;=TodayDate+2,FALSE),"Confirm - coming up","OK")))))))))))</f>
        <v>0</v>
      </c>
    </row>
    <row r="14" spans="1:34">
      <c r="A14" s="28">
        <f>IF(B14="","",AppointmentPrefix&amp;TEXT(ROW()-4,"0000"))</f>
        <v>0</v>
      </c>
      <c r="C14" s="15">
        <f>IF(B14="","",TEXT(B14,"ddd"))</f>
        <v>0</v>
      </c>
      <c r="F14" s="15">
        <f>IF(E14="","",IFERROR(INDEX(Clients!$B$5:$B$504,MATCH(E14,Clients!$A$5:$A$504,0)),"Walk-in"))</f>
        <v>0</v>
      </c>
      <c r="H14" s="15">
        <f>IF(G14="","",IFERROR(INDEX(Services!$B$5:$B$204,MATCH(G14,Services!$A$5:$A$204,0)),"Not in Services"))</f>
        <v>0</v>
      </c>
      <c r="J14" s="15">
        <f>IF(I14="","",IFERROR(INDEX(Staff!$B$5:$B$44,MATCH(I14,Staff!$A$5:$A$44,0)),"Unassigned"))</f>
        <v>0</v>
      </c>
      <c r="S14" s="15">
        <f>IF(B14="","",TEXT(B14,"yyyy-mm"))</f>
        <v>0</v>
      </c>
      <c r="T14" s="25">
        <f>IF(B14="","",WEEKNUM(B14,2))</f>
        <v>0</v>
      </c>
      <c r="U14" s="25">
        <f>IF(B14="","",IF(K14&lt;&gt;"",K14,IFERROR(INDEX(Services!$E$5:$E$204,MATCH(G14,Services!$A$5:$A$204,0))*1,0)+IFERROR(INDEX(Services!$F$5:$F$204,MATCH(G14,Services!$A$5:$A$204,0))*1,0)))</f>
        <v>0</v>
      </c>
      <c r="V14" s="36">
        <f>IF(B14="","",IF(D14="","",D14+U14/1440))</f>
        <v>0</v>
      </c>
      <c r="W14" s="25">
        <f>IF(B14="","",IF(D14="","",HOUR(D14)))</f>
        <v>0</v>
      </c>
      <c r="X14" s="37">
        <f>IF(B14="","",ROUND(U14/60,2))</f>
        <v>0</v>
      </c>
      <c r="Y14" s="26">
        <f>IF(B14="","",IF(L14&lt;&gt;"",L14,IFERROR(INDEX(Services!$G$5:$G$204,MATCH(G14,Services!$A$5:$A$204,0))*1,0)))</f>
        <v>0</v>
      </c>
      <c r="Z14" s="26">
        <f>IF(B14="","",IF(O14&lt;&gt;"",O14,IF(Y14&gt;=DepositThreshold,ROUND(Y14*DepositPercent,2),0)))</f>
        <v>0</v>
      </c>
      <c r="AA14" s="26">
        <f>IF(B14="","",ROUND(SUMIFS(Payments!$G$5:$G$1204,Payments!$I$5:$I$1204,A14,Payments!$E$5:$E$1204,"Deposit"),2))</f>
        <v>0</v>
      </c>
      <c r="AB14" s="26">
        <f>IF(B14="","",ROUND(SUMIFS(Sales!$Y$5:$Y$1204,Sales!$C$5:$C$1204,A14),2))</f>
        <v>0</v>
      </c>
      <c r="AC14" s="38">
        <f>IF(B14="","",IF(M14="Completed","Yes",IF(M14="Cancelled","Yes",IF(M14="No show","Yes","No"))))</f>
        <v>0</v>
      </c>
      <c r="AD14" s="25">
        <f>IF(B14="","",IF(AE14="","",B14-AE14))</f>
        <v>0</v>
      </c>
      <c r="AF14" s="38">
        <f>IF(B14="","",IF(M14&lt;&gt;"Completed","",IF(E14="","No",IF(COUNTIFS(Appointments!$E$5:$E$1204,E14,Appointments!$B$5:$B$1204,"&gt;"&amp;B14,Appointments!$M$5:$M$1204,"&lt;&gt;Cancelled")&gt;0,"Yes","No"))))</f>
        <v>0</v>
      </c>
      <c r="AG14" s="38">
        <f>IF(B14="","",IF(I14="","",IF(D14="","",IF(COUNTIFS($I$5:$I$1204,I14,$B$5:$B$1204,B14,$D$5:$D$1204,"&lt;"&amp;V14,$V$5:$V$1204,"&gt;"&amp;D14,$M$5:$M$1204,"&lt;&gt;Cancelled")&gt;1,"Clash",""))))</f>
        <v>0</v>
      </c>
      <c r="AH14" s="39">
        <f>IF(B14="","",IF(AG14="Clash","Clash - stylist double booked",IF(I14="","Assign - no stylist yet",IF(G14="","Add - no service chosen",IF(M14="No show","No show - charge the fee?",IF(M14="Cancelled","",IF(IF(M14="Completed",AB14&lt;Y14-0.004,FALSE),"Unpaid - nothing rung up for this visit",IF(IF(B14&lt;TodayDate,M14="Booked",FALSE),"Overdue - past date, still only Booked",IF(IF(B14=TodayDate,TRUE,FALSE),"Today",IF(IF(Z14&gt;0,AA14&lt;Z14-0.004,FALSE),"Due - deposit not taken",IF(IF(B14&gt;TodayDate,B14&lt;=TodayDate+2,FALSE),"Confirm - coming up","OK")))))))))))</f>
        <v>0</v>
      </c>
    </row>
    <row r="15" spans="1:34">
      <c r="A15" s="28">
        <f>IF(B15="","",AppointmentPrefix&amp;TEXT(ROW()-4,"0000"))</f>
        <v>0</v>
      </c>
      <c r="C15" s="15">
        <f>IF(B15="","",TEXT(B15,"ddd"))</f>
        <v>0</v>
      </c>
      <c r="F15" s="15">
        <f>IF(E15="","",IFERROR(INDEX(Clients!$B$5:$B$504,MATCH(E15,Clients!$A$5:$A$504,0)),"Walk-in"))</f>
        <v>0</v>
      </c>
      <c r="H15" s="15">
        <f>IF(G15="","",IFERROR(INDEX(Services!$B$5:$B$204,MATCH(G15,Services!$A$5:$A$204,0)),"Not in Services"))</f>
        <v>0</v>
      </c>
      <c r="J15" s="15">
        <f>IF(I15="","",IFERROR(INDEX(Staff!$B$5:$B$44,MATCH(I15,Staff!$A$5:$A$44,0)),"Unassigned"))</f>
        <v>0</v>
      </c>
      <c r="S15" s="15">
        <f>IF(B15="","",TEXT(B15,"yyyy-mm"))</f>
        <v>0</v>
      </c>
      <c r="T15" s="25">
        <f>IF(B15="","",WEEKNUM(B15,2))</f>
        <v>0</v>
      </c>
      <c r="U15" s="25">
        <f>IF(B15="","",IF(K15&lt;&gt;"",K15,IFERROR(INDEX(Services!$E$5:$E$204,MATCH(G15,Services!$A$5:$A$204,0))*1,0)+IFERROR(INDEX(Services!$F$5:$F$204,MATCH(G15,Services!$A$5:$A$204,0))*1,0)))</f>
        <v>0</v>
      </c>
      <c r="V15" s="36">
        <f>IF(B15="","",IF(D15="","",D15+U15/1440))</f>
        <v>0</v>
      </c>
      <c r="W15" s="25">
        <f>IF(B15="","",IF(D15="","",HOUR(D15)))</f>
        <v>0</v>
      </c>
      <c r="X15" s="37">
        <f>IF(B15="","",ROUND(U15/60,2))</f>
        <v>0</v>
      </c>
      <c r="Y15" s="26">
        <f>IF(B15="","",IF(L15&lt;&gt;"",L15,IFERROR(INDEX(Services!$G$5:$G$204,MATCH(G15,Services!$A$5:$A$204,0))*1,0)))</f>
        <v>0</v>
      </c>
      <c r="Z15" s="26">
        <f>IF(B15="","",IF(O15&lt;&gt;"",O15,IF(Y15&gt;=DepositThreshold,ROUND(Y15*DepositPercent,2),0)))</f>
        <v>0</v>
      </c>
      <c r="AA15" s="26">
        <f>IF(B15="","",ROUND(SUMIFS(Payments!$G$5:$G$1204,Payments!$I$5:$I$1204,A15,Payments!$E$5:$E$1204,"Deposit"),2))</f>
        <v>0</v>
      </c>
      <c r="AB15" s="26">
        <f>IF(B15="","",ROUND(SUMIFS(Sales!$Y$5:$Y$1204,Sales!$C$5:$C$1204,A15),2))</f>
        <v>0</v>
      </c>
      <c r="AC15" s="38">
        <f>IF(B15="","",IF(M15="Completed","Yes",IF(M15="Cancelled","Yes",IF(M15="No show","Yes","No"))))</f>
        <v>0</v>
      </c>
      <c r="AD15" s="25">
        <f>IF(B15="","",IF(AE15="","",B15-AE15))</f>
        <v>0</v>
      </c>
      <c r="AF15" s="38">
        <f>IF(B15="","",IF(M15&lt;&gt;"Completed","",IF(E15="","No",IF(COUNTIFS(Appointments!$E$5:$E$1204,E15,Appointments!$B$5:$B$1204,"&gt;"&amp;B15,Appointments!$M$5:$M$1204,"&lt;&gt;Cancelled")&gt;0,"Yes","No"))))</f>
        <v>0</v>
      </c>
      <c r="AG15" s="38">
        <f>IF(B15="","",IF(I15="","",IF(D15="","",IF(COUNTIFS($I$5:$I$1204,I15,$B$5:$B$1204,B15,$D$5:$D$1204,"&lt;"&amp;V15,$V$5:$V$1204,"&gt;"&amp;D15,$M$5:$M$1204,"&lt;&gt;Cancelled")&gt;1,"Clash",""))))</f>
        <v>0</v>
      </c>
      <c r="AH15" s="39">
        <f>IF(B15="","",IF(AG15="Clash","Clash - stylist double booked",IF(I15="","Assign - no stylist yet",IF(G15="","Add - no service chosen",IF(M15="No show","No show - charge the fee?",IF(M15="Cancelled","",IF(IF(M15="Completed",AB15&lt;Y15-0.004,FALSE),"Unpaid - nothing rung up for this visit",IF(IF(B15&lt;TodayDate,M15="Booked",FALSE),"Overdue - past date, still only Booked",IF(IF(B15=TodayDate,TRUE,FALSE),"Today",IF(IF(Z15&gt;0,AA15&lt;Z15-0.004,FALSE),"Due - deposit not taken",IF(IF(B15&gt;TodayDate,B15&lt;=TodayDate+2,FALSE),"Confirm - coming up","OK")))))))))))</f>
        <v>0</v>
      </c>
    </row>
    <row r="16" spans="1:34">
      <c r="A16" s="28">
        <f>IF(B16="","",AppointmentPrefix&amp;TEXT(ROW()-4,"0000"))</f>
        <v>0</v>
      </c>
      <c r="C16" s="15">
        <f>IF(B16="","",TEXT(B16,"ddd"))</f>
        <v>0</v>
      </c>
      <c r="F16" s="15">
        <f>IF(E16="","",IFERROR(INDEX(Clients!$B$5:$B$504,MATCH(E16,Clients!$A$5:$A$504,0)),"Walk-in"))</f>
        <v>0</v>
      </c>
      <c r="H16" s="15">
        <f>IF(G16="","",IFERROR(INDEX(Services!$B$5:$B$204,MATCH(G16,Services!$A$5:$A$204,0)),"Not in Services"))</f>
        <v>0</v>
      </c>
      <c r="J16" s="15">
        <f>IF(I16="","",IFERROR(INDEX(Staff!$B$5:$B$44,MATCH(I16,Staff!$A$5:$A$44,0)),"Unassigned"))</f>
        <v>0</v>
      </c>
      <c r="S16" s="15">
        <f>IF(B16="","",TEXT(B16,"yyyy-mm"))</f>
        <v>0</v>
      </c>
      <c r="T16" s="25">
        <f>IF(B16="","",WEEKNUM(B16,2))</f>
        <v>0</v>
      </c>
      <c r="U16" s="25">
        <f>IF(B16="","",IF(K16&lt;&gt;"",K16,IFERROR(INDEX(Services!$E$5:$E$204,MATCH(G16,Services!$A$5:$A$204,0))*1,0)+IFERROR(INDEX(Services!$F$5:$F$204,MATCH(G16,Services!$A$5:$A$204,0))*1,0)))</f>
        <v>0</v>
      </c>
      <c r="V16" s="36">
        <f>IF(B16="","",IF(D16="","",D16+U16/1440))</f>
        <v>0</v>
      </c>
      <c r="W16" s="25">
        <f>IF(B16="","",IF(D16="","",HOUR(D16)))</f>
        <v>0</v>
      </c>
      <c r="X16" s="37">
        <f>IF(B16="","",ROUND(U16/60,2))</f>
        <v>0</v>
      </c>
      <c r="Y16" s="26">
        <f>IF(B16="","",IF(L16&lt;&gt;"",L16,IFERROR(INDEX(Services!$G$5:$G$204,MATCH(G16,Services!$A$5:$A$204,0))*1,0)))</f>
        <v>0</v>
      </c>
      <c r="Z16" s="26">
        <f>IF(B16="","",IF(O16&lt;&gt;"",O16,IF(Y16&gt;=DepositThreshold,ROUND(Y16*DepositPercent,2),0)))</f>
        <v>0</v>
      </c>
      <c r="AA16" s="26">
        <f>IF(B16="","",ROUND(SUMIFS(Payments!$G$5:$G$1204,Payments!$I$5:$I$1204,A16,Payments!$E$5:$E$1204,"Deposit"),2))</f>
        <v>0</v>
      </c>
      <c r="AB16" s="26">
        <f>IF(B16="","",ROUND(SUMIFS(Sales!$Y$5:$Y$1204,Sales!$C$5:$C$1204,A16),2))</f>
        <v>0</v>
      </c>
      <c r="AC16" s="38">
        <f>IF(B16="","",IF(M16="Completed","Yes",IF(M16="Cancelled","Yes",IF(M16="No show","Yes","No"))))</f>
        <v>0</v>
      </c>
      <c r="AD16" s="25">
        <f>IF(B16="","",IF(AE16="","",B16-AE16))</f>
        <v>0</v>
      </c>
      <c r="AF16" s="38">
        <f>IF(B16="","",IF(M16&lt;&gt;"Completed","",IF(E16="","No",IF(COUNTIFS(Appointments!$E$5:$E$1204,E16,Appointments!$B$5:$B$1204,"&gt;"&amp;B16,Appointments!$M$5:$M$1204,"&lt;&gt;Cancelled")&gt;0,"Yes","No"))))</f>
        <v>0</v>
      </c>
      <c r="AG16" s="38">
        <f>IF(B16="","",IF(I16="","",IF(D16="","",IF(COUNTIFS($I$5:$I$1204,I16,$B$5:$B$1204,B16,$D$5:$D$1204,"&lt;"&amp;V16,$V$5:$V$1204,"&gt;"&amp;D16,$M$5:$M$1204,"&lt;&gt;Cancelled")&gt;1,"Clash",""))))</f>
        <v>0</v>
      </c>
      <c r="AH16" s="39">
        <f>IF(B16="","",IF(AG16="Clash","Clash - stylist double booked",IF(I16="","Assign - no stylist yet",IF(G16="","Add - no service chosen",IF(M16="No show","No show - charge the fee?",IF(M16="Cancelled","",IF(IF(M16="Completed",AB16&lt;Y16-0.004,FALSE),"Unpaid - nothing rung up for this visit",IF(IF(B16&lt;TodayDate,M16="Booked",FALSE),"Overdue - past date, still only Booked",IF(IF(B16=TodayDate,TRUE,FALSE),"Today",IF(IF(Z16&gt;0,AA16&lt;Z16-0.004,FALSE),"Due - deposit not taken",IF(IF(B16&gt;TodayDate,B16&lt;=TodayDate+2,FALSE),"Confirm - coming up","OK")))))))))))</f>
        <v>0</v>
      </c>
    </row>
    <row r="17" spans="1:34">
      <c r="A17" s="28">
        <f>IF(B17="","",AppointmentPrefix&amp;TEXT(ROW()-4,"0000"))</f>
        <v>0</v>
      </c>
      <c r="C17" s="15">
        <f>IF(B17="","",TEXT(B17,"ddd"))</f>
        <v>0</v>
      </c>
      <c r="F17" s="15">
        <f>IF(E17="","",IFERROR(INDEX(Clients!$B$5:$B$504,MATCH(E17,Clients!$A$5:$A$504,0)),"Walk-in"))</f>
        <v>0</v>
      </c>
      <c r="H17" s="15">
        <f>IF(G17="","",IFERROR(INDEX(Services!$B$5:$B$204,MATCH(G17,Services!$A$5:$A$204,0)),"Not in Services"))</f>
        <v>0</v>
      </c>
      <c r="J17" s="15">
        <f>IF(I17="","",IFERROR(INDEX(Staff!$B$5:$B$44,MATCH(I17,Staff!$A$5:$A$44,0)),"Unassigned"))</f>
        <v>0</v>
      </c>
      <c r="S17" s="15">
        <f>IF(B17="","",TEXT(B17,"yyyy-mm"))</f>
        <v>0</v>
      </c>
      <c r="T17" s="25">
        <f>IF(B17="","",WEEKNUM(B17,2))</f>
        <v>0</v>
      </c>
      <c r="U17" s="25">
        <f>IF(B17="","",IF(K17&lt;&gt;"",K17,IFERROR(INDEX(Services!$E$5:$E$204,MATCH(G17,Services!$A$5:$A$204,0))*1,0)+IFERROR(INDEX(Services!$F$5:$F$204,MATCH(G17,Services!$A$5:$A$204,0))*1,0)))</f>
        <v>0</v>
      </c>
      <c r="V17" s="36">
        <f>IF(B17="","",IF(D17="","",D17+U17/1440))</f>
        <v>0</v>
      </c>
      <c r="W17" s="25">
        <f>IF(B17="","",IF(D17="","",HOUR(D17)))</f>
        <v>0</v>
      </c>
      <c r="X17" s="37">
        <f>IF(B17="","",ROUND(U17/60,2))</f>
        <v>0</v>
      </c>
      <c r="Y17" s="26">
        <f>IF(B17="","",IF(L17&lt;&gt;"",L17,IFERROR(INDEX(Services!$G$5:$G$204,MATCH(G17,Services!$A$5:$A$204,0))*1,0)))</f>
        <v>0</v>
      </c>
      <c r="Z17" s="26">
        <f>IF(B17="","",IF(O17&lt;&gt;"",O17,IF(Y17&gt;=DepositThreshold,ROUND(Y17*DepositPercent,2),0)))</f>
        <v>0</v>
      </c>
      <c r="AA17" s="26">
        <f>IF(B17="","",ROUND(SUMIFS(Payments!$G$5:$G$1204,Payments!$I$5:$I$1204,A17,Payments!$E$5:$E$1204,"Deposit"),2))</f>
        <v>0</v>
      </c>
      <c r="AB17" s="26">
        <f>IF(B17="","",ROUND(SUMIFS(Sales!$Y$5:$Y$1204,Sales!$C$5:$C$1204,A17),2))</f>
        <v>0</v>
      </c>
      <c r="AC17" s="38">
        <f>IF(B17="","",IF(M17="Completed","Yes",IF(M17="Cancelled","Yes",IF(M17="No show","Yes","No"))))</f>
        <v>0</v>
      </c>
      <c r="AD17" s="25">
        <f>IF(B17="","",IF(AE17="","",B17-AE17))</f>
        <v>0</v>
      </c>
      <c r="AF17" s="38">
        <f>IF(B17="","",IF(M17&lt;&gt;"Completed","",IF(E17="","No",IF(COUNTIFS(Appointments!$E$5:$E$1204,E17,Appointments!$B$5:$B$1204,"&gt;"&amp;B17,Appointments!$M$5:$M$1204,"&lt;&gt;Cancelled")&gt;0,"Yes","No"))))</f>
        <v>0</v>
      </c>
      <c r="AG17" s="38">
        <f>IF(B17="","",IF(I17="","",IF(D17="","",IF(COUNTIFS($I$5:$I$1204,I17,$B$5:$B$1204,B17,$D$5:$D$1204,"&lt;"&amp;V17,$V$5:$V$1204,"&gt;"&amp;D17,$M$5:$M$1204,"&lt;&gt;Cancelled")&gt;1,"Clash",""))))</f>
        <v>0</v>
      </c>
      <c r="AH17" s="39">
        <f>IF(B17="","",IF(AG17="Clash","Clash - stylist double booked",IF(I17="","Assign - no stylist yet",IF(G17="","Add - no service chosen",IF(M17="No show","No show - charge the fee?",IF(M17="Cancelled","",IF(IF(M17="Completed",AB17&lt;Y17-0.004,FALSE),"Unpaid - nothing rung up for this visit",IF(IF(B17&lt;TodayDate,M17="Booked",FALSE),"Overdue - past date, still only Booked",IF(IF(B17=TodayDate,TRUE,FALSE),"Today",IF(IF(Z17&gt;0,AA17&lt;Z17-0.004,FALSE),"Due - deposit not taken",IF(IF(B17&gt;TodayDate,B17&lt;=TodayDate+2,FALSE),"Confirm - coming up","OK")))))))))))</f>
        <v>0</v>
      </c>
    </row>
    <row r="18" spans="1:34">
      <c r="A18" s="28">
        <f>IF(B18="","",AppointmentPrefix&amp;TEXT(ROW()-4,"0000"))</f>
        <v>0</v>
      </c>
      <c r="C18" s="15">
        <f>IF(B18="","",TEXT(B18,"ddd"))</f>
        <v>0</v>
      </c>
      <c r="F18" s="15">
        <f>IF(E18="","",IFERROR(INDEX(Clients!$B$5:$B$504,MATCH(E18,Clients!$A$5:$A$504,0)),"Walk-in"))</f>
        <v>0</v>
      </c>
      <c r="H18" s="15">
        <f>IF(G18="","",IFERROR(INDEX(Services!$B$5:$B$204,MATCH(G18,Services!$A$5:$A$204,0)),"Not in Services"))</f>
        <v>0</v>
      </c>
      <c r="J18" s="15">
        <f>IF(I18="","",IFERROR(INDEX(Staff!$B$5:$B$44,MATCH(I18,Staff!$A$5:$A$44,0)),"Unassigned"))</f>
        <v>0</v>
      </c>
      <c r="S18" s="15">
        <f>IF(B18="","",TEXT(B18,"yyyy-mm"))</f>
        <v>0</v>
      </c>
      <c r="T18" s="25">
        <f>IF(B18="","",WEEKNUM(B18,2))</f>
        <v>0</v>
      </c>
      <c r="U18" s="25">
        <f>IF(B18="","",IF(K18&lt;&gt;"",K18,IFERROR(INDEX(Services!$E$5:$E$204,MATCH(G18,Services!$A$5:$A$204,0))*1,0)+IFERROR(INDEX(Services!$F$5:$F$204,MATCH(G18,Services!$A$5:$A$204,0))*1,0)))</f>
        <v>0</v>
      </c>
      <c r="V18" s="36">
        <f>IF(B18="","",IF(D18="","",D18+U18/1440))</f>
        <v>0</v>
      </c>
      <c r="W18" s="25">
        <f>IF(B18="","",IF(D18="","",HOUR(D18)))</f>
        <v>0</v>
      </c>
      <c r="X18" s="37">
        <f>IF(B18="","",ROUND(U18/60,2))</f>
        <v>0</v>
      </c>
      <c r="Y18" s="26">
        <f>IF(B18="","",IF(L18&lt;&gt;"",L18,IFERROR(INDEX(Services!$G$5:$G$204,MATCH(G18,Services!$A$5:$A$204,0))*1,0)))</f>
        <v>0</v>
      </c>
      <c r="Z18" s="26">
        <f>IF(B18="","",IF(O18&lt;&gt;"",O18,IF(Y18&gt;=DepositThreshold,ROUND(Y18*DepositPercent,2),0)))</f>
        <v>0</v>
      </c>
      <c r="AA18" s="26">
        <f>IF(B18="","",ROUND(SUMIFS(Payments!$G$5:$G$1204,Payments!$I$5:$I$1204,A18,Payments!$E$5:$E$1204,"Deposit"),2))</f>
        <v>0</v>
      </c>
      <c r="AB18" s="26">
        <f>IF(B18="","",ROUND(SUMIFS(Sales!$Y$5:$Y$1204,Sales!$C$5:$C$1204,A18),2))</f>
        <v>0</v>
      </c>
      <c r="AC18" s="38">
        <f>IF(B18="","",IF(M18="Completed","Yes",IF(M18="Cancelled","Yes",IF(M18="No show","Yes","No"))))</f>
        <v>0</v>
      </c>
      <c r="AD18" s="25">
        <f>IF(B18="","",IF(AE18="","",B18-AE18))</f>
        <v>0</v>
      </c>
      <c r="AF18" s="38">
        <f>IF(B18="","",IF(M18&lt;&gt;"Completed","",IF(E18="","No",IF(COUNTIFS(Appointments!$E$5:$E$1204,E18,Appointments!$B$5:$B$1204,"&gt;"&amp;B18,Appointments!$M$5:$M$1204,"&lt;&gt;Cancelled")&gt;0,"Yes","No"))))</f>
        <v>0</v>
      </c>
      <c r="AG18" s="38">
        <f>IF(B18="","",IF(I18="","",IF(D18="","",IF(COUNTIFS($I$5:$I$1204,I18,$B$5:$B$1204,B18,$D$5:$D$1204,"&lt;"&amp;V18,$V$5:$V$1204,"&gt;"&amp;D18,$M$5:$M$1204,"&lt;&gt;Cancelled")&gt;1,"Clash",""))))</f>
        <v>0</v>
      </c>
      <c r="AH18" s="39">
        <f>IF(B18="","",IF(AG18="Clash","Clash - stylist double booked",IF(I18="","Assign - no stylist yet",IF(G18="","Add - no service chosen",IF(M18="No show","No show - charge the fee?",IF(M18="Cancelled","",IF(IF(M18="Completed",AB18&lt;Y18-0.004,FALSE),"Unpaid - nothing rung up for this visit",IF(IF(B18&lt;TodayDate,M18="Booked",FALSE),"Overdue - past date, still only Booked",IF(IF(B18=TodayDate,TRUE,FALSE),"Today",IF(IF(Z18&gt;0,AA18&lt;Z18-0.004,FALSE),"Due - deposit not taken",IF(IF(B18&gt;TodayDate,B18&lt;=TodayDate+2,FALSE),"Confirm - coming up","OK")))))))))))</f>
        <v>0</v>
      </c>
    </row>
    <row r="19" spans="1:34">
      <c r="A19" s="28">
        <f>IF(B19="","",AppointmentPrefix&amp;TEXT(ROW()-4,"0000"))</f>
        <v>0</v>
      </c>
      <c r="C19" s="15">
        <f>IF(B19="","",TEXT(B19,"ddd"))</f>
        <v>0</v>
      </c>
      <c r="F19" s="15">
        <f>IF(E19="","",IFERROR(INDEX(Clients!$B$5:$B$504,MATCH(E19,Clients!$A$5:$A$504,0)),"Walk-in"))</f>
        <v>0</v>
      </c>
      <c r="H19" s="15">
        <f>IF(G19="","",IFERROR(INDEX(Services!$B$5:$B$204,MATCH(G19,Services!$A$5:$A$204,0)),"Not in Services"))</f>
        <v>0</v>
      </c>
      <c r="J19" s="15">
        <f>IF(I19="","",IFERROR(INDEX(Staff!$B$5:$B$44,MATCH(I19,Staff!$A$5:$A$44,0)),"Unassigned"))</f>
        <v>0</v>
      </c>
      <c r="S19" s="15">
        <f>IF(B19="","",TEXT(B19,"yyyy-mm"))</f>
        <v>0</v>
      </c>
      <c r="T19" s="25">
        <f>IF(B19="","",WEEKNUM(B19,2))</f>
        <v>0</v>
      </c>
      <c r="U19" s="25">
        <f>IF(B19="","",IF(K19&lt;&gt;"",K19,IFERROR(INDEX(Services!$E$5:$E$204,MATCH(G19,Services!$A$5:$A$204,0))*1,0)+IFERROR(INDEX(Services!$F$5:$F$204,MATCH(G19,Services!$A$5:$A$204,0))*1,0)))</f>
        <v>0</v>
      </c>
      <c r="V19" s="36">
        <f>IF(B19="","",IF(D19="","",D19+U19/1440))</f>
        <v>0</v>
      </c>
      <c r="W19" s="25">
        <f>IF(B19="","",IF(D19="","",HOUR(D19)))</f>
        <v>0</v>
      </c>
      <c r="X19" s="37">
        <f>IF(B19="","",ROUND(U19/60,2))</f>
        <v>0</v>
      </c>
      <c r="Y19" s="26">
        <f>IF(B19="","",IF(L19&lt;&gt;"",L19,IFERROR(INDEX(Services!$G$5:$G$204,MATCH(G19,Services!$A$5:$A$204,0))*1,0)))</f>
        <v>0</v>
      </c>
      <c r="Z19" s="26">
        <f>IF(B19="","",IF(O19&lt;&gt;"",O19,IF(Y19&gt;=DepositThreshold,ROUND(Y19*DepositPercent,2),0)))</f>
        <v>0</v>
      </c>
      <c r="AA19" s="26">
        <f>IF(B19="","",ROUND(SUMIFS(Payments!$G$5:$G$1204,Payments!$I$5:$I$1204,A19,Payments!$E$5:$E$1204,"Deposit"),2))</f>
        <v>0</v>
      </c>
      <c r="AB19" s="26">
        <f>IF(B19="","",ROUND(SUMIFS(Sales!$Y$5:$Y$1204,Sales!$C$5:$C$1204,A19),2))</f>
        <v>0</v>
      </c>
      <c r="AC19" s="38">
        <f>IF(B19="","",IF(M19="Completed","Yes",IF(M19="Cancelled","Yes",IF(M19="No show","Yes","No"))))</f>
        <v>0</v>
      </c>
      <c r="AD19" s="25">
        <f>IF(B19="","",IF(AE19="","",B19-AE19))</f>
        <v>0</v>
      </c>
      <c r="AF19" s="38">
        <f>IF(B19="","",IF(M19&lt;&gt;"Completed","",IF(E19="","No",IF(COUNTIFS(Appointments!$E$5:$E$1204,E19,Appointments!$B$5:$B$1204,"&gt;"&amp;B19,Appointments!$M$5:$M$1204,"&lt;&gt;Cancelled")&gt;0,"Yes","No"))))</f>
        <v>0</v>
      </c>
      <c r="AG19" s="38">
        <f>IF(B19="","",IF(I19="","",IF(D19="","",IF(COUNTIFS($I$5:$I$1204,I19,$B$5:$B$1204,B19,$D$5:$D$1204,"&lt;"&amp;V19,$V$5:$V$1204,"&gt;"&amp;D19,$M$5:$M$1204,"&lt;&gt;Cancelled")&gt;1,"Clash",""))))</f>
        <v>0</v>
      </c>
      <c r="AH19" s="39">
        <f>IF(B19="","",IF(AG19="Clash","Clash - stylist double booked",IF(I19="","Assign - no stylist yet",IF(G19="","Add - no service chosen",IF(M19="No show","No show - charge the fee?",IF(M19="Cancelled","",IF(IF(M19="Completed",AB19&lt;Y19-0.004,FALSE),"Unpaid - nothing rung up for this visit",IF(IF(B19&lt;TodayDate,M19="Booked",FALSE),"Overdue - past date, still only Booked",IF(IF(B19=TodayDate,TRUE,FALSE),"Today",IF(IF(Z19&gt;0,AA19&lt;Z19-0.004,FALSE),"Due - deposit not taken",IF(IF(B19&gt;TodayDate,B19&lt;=TodayDate+2,FALSE),"Confirm - coming up","OK")))))))))))</f>
        <v>0</v>
      </c>
    </row>
    <row r="20" spans="1:34">
      <c r="A20" s="28">
        <f>IF(B20="","",AppointmentPrefix&amp;TEXT(ROW()-4,"0000"))</f>
        <v>0</v>
      </c>
      <c r="C20" s="15">
        <f>IF(B20="","",TEXT(B20,"ddd"))</f>
        <v>0</v>
      </c>
      <c r="F20" s="15">
        <f>IF(E20="","",IFERROR(INDEX(Clients!$B$5:$B$504,MATCH(E20,Clients!$A$5:$A$504,0)),"Walk-in"))</f>
        <v>0</v>
      </c>
      <c r="H20" s="15">
        <f>IF(G20="","",IFERROR(INDEX(Services!$B$5:$B$204,MATCH(G20,Services!$A$5:$A$204,0)),"Not in Services"))</f>
        <v>0</v>
      </c>
      <c r="J20" s="15">
        <f>IF(I20="","",IFERROR(INDEX(Staff!$B$5:$B$44,MATCH(I20,Staff!$A$5:$A$44,0)),"Unassigned"))</f>
        <v>0</v>
      </c>
      <c r="S20" s="15">
        <f>IF(B20="","",TEXT(B20,"yyyy-mm"))</f>
        <v>0</v>
      </c>
      <c r="T20" s="25">
        <f>IF(B20="","",WEEKNUM(B20,2))</f>
        <v>0</v>
      </c>
      <c r="U20" s="25">
        <f>IF(B20="","",IF(K20&lt;&gt;"",K20,IFERROR(INDEX(Services!$E$5:$E$204,MATCH(G20,Services!$A$5:$A$204,0))*1,0)+IFERROR(INDEX(Services!$F$5:$F$204,MATCH(G20,Services!$A$5:$A$204,0))*1,0)))</f>
        <v>0</v>
      </c>
      <c r="V20" s="36">
        <f>IF(B20="","",IF(D20="","",D20+U20/1440))</f>
        <v>0</v>
      </c>
      <c r="W20" s="25">
        <f>IF(B20="","",IF(D20="","",HOUR(D20)))</f>
        <v>0</v>
      </c>
      <c r="X20" s="37">
        <f>IF(B20="","",ROUND(U20/60,2))</f>
        <v>0</v>
      </c>
      <c r="Y20" s="26">
        <f>IF(B20="","",IF(L20&lt;&gt;"",L20,IFERROR(INDEX(Services!$G$5:$G$204,MATCH(G20,Services!$A$5:$A$204,0))*1,0)))</f>
        <v>0</v>
      </c>
      <c r="Z20" s="26">
        <f>IF(B20="","",IF(O20&lt;&gt;"",O20,IF(Y20&gt;=DepositThreshold,ROUND(Y20*DepositPercent,2),0)))</f>
        <v>0</v>
      </c>
      <c r="AA20" s="26">
        <f>IF(B20="","",ROUND(SUMIFS(Payments!$G$5:$G$1204,Payments!$I$5:$I$1204,A20,Payments!$E$5:$E$1204,"Deposit"),2))</f>
        <v>0</v>
      </c>
      <c r="AB20" s="26">
        <f>IF(B20="","",ROUND(SUMIFS(Sales!$Y$5:$Y$1204,Sales!$C$5:$C$1204,A20),2))</f>
        <v>0</v>
      </c>
      <c r="AC20" s="38">
        <f>IF(B20="","",IF(M20="Completed","Yes",IF(M20="Cancelled","Yes",IF(M20="No show","Yes","No"))))</f>
        <v>0</v>
      </c>
      <c r="AD20" s="25">
        <f>IF(B20="","",IF(AE20="","",B20-AE20))</f>
        <v>0</v>
      </c>
      <c r="AF20" s="38">
        <f>IF(B20="","",IF(M20&lt;&gt;"Completed","",IF(E20="","No",IF(COUNTIFS(Appointments!$E$5:$E$1204,E20,Appointments!$B$5:$B$1204,"&gt;"&amp;B20,Appointments!$M$5:$M$1204,"&lt;&gt;Cancelled")&gt;0,"Yes","No"))))</f>
        <v>0</v>
      </c>
      <c r="AG20" s="38">
        <f>IF(B20="","",IF(I20="","",IF(D20="","",IF(COUNTIFS($I$5:$I$1204,I20,$B$5:$B$1204,B20,$D$5:$D$1204,"&lt;"&amp;V20,$V$5:$V$1204,"&gt;"&amp;D20,$M$5:$M$1204,"&lt;&gt;Cancelled")&gt;1,"Clash",""))))</f>
        <v>0</v>
      </c>
      <c r="AH20" s="39">
        <f>IF(B20="","",IF(AG20="Clash","Clash - stylist double booked",IF(I20="","Assign - no stylist yet",IF(G20="","Add - no service chosen",IF(M20="No show","No show - charge the fee?",IF(M20="Cancelled","",IF(IF(M20="Completed",AB20&lt;Y20-0.004,FALSE),"Unpaid - nothing rung up for this visit",IF(IF(B20&lt;TodayDate,M20="Booked",FALSE),"Overdue - past date, still only Booked",IF(IF(B20=TodayDate,TRUE,FALSE),"Today",IF(IF(Z20&gt;0,AA20&lt;Z20-0.004,FALSE),"Due - deposit not taken",IF(IF(B20&gt;TodayDate,B20&lt;=TodayDate+2,FALSE),"Confirm - coming up","OK")))))))))))</f>
        <v>0</v>
      </c>
    </row>
    <row r="21" spans="1:34">
      <c r="A21" s="28">
        <f>IF(B21="","",AppointmentPrefix&amp;TEXT(ROW()-4,"0000"))</f>
        <v>0</v>
      </c>
      <c r="C21" s="15">
        <f>IF(B21="","",TEXT(B21,"ddd"))</f>
        <v>0</v>
      </c>
      <c r="F21" s="15">
        <f>IF(E21="","",IFERROR(INDEX(Clients!$B$5:$B$504,MATCH(E21,Clients!$A$5:$A$504,0)),"Walk-in"))</f>
        <v>0</v>
      </c>
      <c r="H21" s="15">
        <f>IF(G21="","",IFERROR(INDEX(Services!$B$5:$B$204,MATCH(G21,Services!$A$5:$A$204,0)),"Not in Services"))</f>
        <v>0</v>
      </c>
      <c r="J21" s="15">
        <f>IF(I21="","",IFERROR(INDEX(Staff!$B$5:$B$44,MATCH(I21,Staff!$A$5:$A$44,0)),"Unassigned"))</f>
        <v>0</v>
      </c>
      <c r="S21" s="15">
        <f>IF(B21="","",TEXT(B21,"yyyy-mm"))</f>
        <v>0</v>
      </c>
      <c r="T21" s="25">
        <f>IF(B21="","",WEEKNUM(B21,2))</f>
        <v>0</v>
      </c>
      <c r="U21" s="25">
        <f>IF(B21="","",IF(K21&lt;&gt;"",K21,IFERROR(INDEX(Services!$E$5:$E$204,MATCH(G21,Services!$A$5:$A$204,0))*1,0)+IFERROR(INDEX(Services!$F$5:$F$204,MATCH(G21,Services!$A$5:$A$204,0))*1,0)))</f>
        <v>0</v>
      </c>
      <c r="V21" s="36">
        <f>IF(B21="","",IF(D21="","",D21+U21/1440))</f>
        <v>0</v>
      </c>
      <c r="W21" s="25">
        <f>IF(B21="","",IF(D21="","",HOUR(D21)))</f>
        <v>0</v>
      </c>
      <c r="X21" s="37">
        <f>IF(B21="","",ROUND(U21/60,2))</f>
        <v>0</v>
      </c>
      <c r="Y21" s="26">
        <f>IF(B21="","",IF(L21&lt;&gt;"",L21,IFERROR(INDEX(Services!$G$5:$G$204,MATCH(G21,Services!$A$5:$A$204,0))*1,0)))</f>
        <v>0</v>
      </c>
      <c r="Z21" s="26">
        <f>IF(B21="","",IF(O21&lt;&gt;"",O21,IF(Y21&gt;=DepositThreshold,ROUND(Y21*DepositPercent,2),0)))</f>
        <v>0</v>
      </c>
      <c r="AA21" s="26">
        <f>IF(B21="","",ROUND(SUMIFS(Payments!$G$5:$G$1204,Payments!$I$5:$I$1204,A21,Payments!$E$5:$E$1204,"Deposit"),2))</f>
        <v>0</v>
      </c>
      <c r="AB21" s="26">
        <f>IF(B21="","",ROUND(SUMIFS(Sales!$Y$5:$Y$1204,Sales!$C$5:$C$1204,A21),2))</f>
        <v>0</v>
      </c>
      <c r="AC21" s="38">
        <f>IF(B21="","",IF(M21="Completed","Yes",IF(M21="Cancelled","Yes",IF(M21="No show","Yes","No"))))</f>
        <v>0</v>
      </c>
      <c r="AD21" s="25">
        <f>IF(B21="","",IF(AE21="","",B21-AE21))</f>
        <v>0</v>
      </c>
      <c r="AF21" s="38">
        <f>IF(B21="","",IF(M21&lt;&gt;"Completed","",IF(E21="","No",IF(COUNTIFS(Appointments!$E$5:$E$1204,E21,Appointments!$B$5:$B$1204,"&gt;"&amp;B21,Appointments!$M$5:$M$1204,"&lt;&gt;Cancelled")&gt;0,"Yes","No"))))</f>
        <v>0</v>
      </c>
      <c r="AG21" s="38">
        <f>IF(B21="","",IF(I21="","",IF(D21="","",IF(COUNTIFS($I$5:$I$1204,I21,$B$5:$B$1204,B21,$D$5:$D$1204,"&lt;"&amp;V21,$V$5:$V$1204,"&gt;"&amp;D21,$M$5:$M$1204,"&lt;&gt;Cancelled")&gt;1,"Clash",""))))</f>
        <v>0</v>
      </c>
      <c r="AH21" s="39">
        <f>IF(B21="","",IF(AG21="Clash","Clash - stylist double booked",IF(I21="","Assign - no stylist yet",IF(G21="","Add - no service chosen",IF(M21="No show","No show - charge the fee?",IF(M21="Cancelled","",IF(IF(M21="Completed",AB21&lt;Y21-0.004,FALSE),"Unpaid - nothing rung up for this visit",IF(IF(B21&lt;TodayDate,M21="Booked",FALSE),"Overdue - past date, still only Booked",IF(IF(B21=TodayDate,TRUE,FALSE),"Today",IF(IF(Z21&gt;0,AA21&lt;Z21-0.004,FALSE),"Due - deposit not taken",IF(IF(B21&gt;TodayDate,B21&lt;=TodayDate+2,FALSE),"Confirm - coming up","OK")))))))))))</f>
        <v>0</v>
      </c>
    </row>
    <row r="22" spans="1:34">
      <c r="A22" s="28">
        <f>IF(B22="","",AppointmentPrefix&amp;TEXT(ROW()-4,"0000"))</f>
        <v>0</v>
      </c>
      <c r="C22" s="15">
        <f>IF(B22="","",TEXT(B22,"ddd"))</f>
        <v>0</v>
      </c>
      <c r="F22" s="15">
        <f>IF(E22="","",IFERROR(INDEX(Clients!$B$5:$B$504,MATCH(E22,Clients!$A$5:$A$504,0)),"Walk-in"))</f>
        <v>0</v>
      </c>
      <c r="H22" s="15">
        <f>IF(G22="","",IFERROR(INDEX(Services!$B$5:$B$204,MATCH(G22,Services!$A$5:$A$204,0)),"Not in Services"))</f>
        <v>0</v>
      </c>
      <c r="J22" s="15">
        <f>IF(I22="","",IFERROR(INDEX(Staff!$B$5:$B$44,MATCH(I22,Staff!$A$5:$A$44,0)),"Unassigned"))</f>
        <v>0</v>
      </c>
      <c r="S22" s="15">
        <f>IF(B22="","",TEXT(B22,"yyyy-mm"))</f>
        <v>0</v>
      </c>
      <c r="T22" s="25">
        <f>IF(B22="","",WEEKNUM(B22,2))</f>
        <v>0</v>
      </c>
      <c r="U22" s="25">
        <f>IF(B22="","",IF(K22&lt;&gt;"",K22,IFERROR(INDEX(Services!$E$5:$E$204,MATCH(G22,Services!$A$5:$A$204,0))*1,0)+IFERROR(INDEX(Services!$F$5:$F$204,MATCH(G22,Services!$A$5:$A$204,0))*1,0)))</f>
        <v>0</v>
      </c>
      <c r="V22" s="36">
        <f>IF(B22="","",IF(D22="","",D22+U22/1440))</f>
        <v>0</v>
      </c>
      <c r="W22" s="25">
        <f>IF(B22="","",IF(D22="","",HOUR(D22)))</f>
        <v>0</v>
      </c>
      <c r="X22" s="37">
        <f>IF(B22="","",ROUND(U22/60,2))</f>
        <v>0</v>
      </c>
      <c r="Y22" s="26">
        <f>IF(B22="","",IF(L22&lt;&gt;"",L22,IFERROR(INDEX(Services!$G$5:$G$204,MATCH(G22,Services!$A$5:$A$204,0))*1,0)))</f>
        <v>0</v>
      </c>
      <c r="Z22" s="26">
        <f>IF(B22="","",IF(O22&lt;&gt;"",O22,IF(Y22&gt;=DepositThreshold,ROUND(Y22*DepositPercent,2),0)))</f>
        <v>0</v>
      </c>
      <c r="AA22" s="26">
        <f>IF(B22="","",ROUND(SUMIFS(Payments!$G$5:$G$1204,Payments!$I$5:$I$1204,A22,Payments!$E$5:$E$1204,"Deposit"),2))</f>
        <v>0</v>
      </c>
      <c r="AB22" s="26">
        <f>IF(B22="","",ROUND(SUMIFS(Sales!$Y$5:$Y$1204,Sales!$C$5:$C$1204,A22),2))</f>
        <v>0</v>
      </c>
      <c r="AC22" s="38">
        <f>IF(B22="","",IF(M22="Completed","Yes",IF(M22="Cancelled","Yes",IF(M22="No show","Yes","No"))))</f>
        <v>0</v>
      </c>
      <c r="AD22" s="25">
        <f>IF(B22="","",IF(AE22="","",B22-AE22))</f>
        <v>0</v>
      </c>
      <c r="AF22" s="38">
        <f>IF(B22="","",IF(M22&lt;&gt;"Completed","",IF(E22="","No",IF(COUNTIFS(Appointments!$E$5:$E$1204,E22,Appointments!$B$5:$B$1204,"&gt;"&amp;B22,Appointments!$M$5:$M$1204,"&lt;&gt;Cancelled")&gt;0,"Yes","No"))))</f>
        <v>0</v>
      </c>
      <c r="AG22" s="38">
        <f>IF(B22="","",IF(I22="","",IF(D22="","",IF(COUNTIFS($I$5:$I$1204,I22,$B$5:$B$1204,B22,$D$5:$D$1204,"&lt;"&amp;V22,$V$5:$V$1204,"&gt;"&amp;D22,$M$5:$M$1204,"&lt;&gt;Cancelled")&gt;1,"Clash",""))))</f>
        <v>0</v>
      </c>
      <c r="AH22" s="39">
        <f>IF(B22="","",IF(AG22="Clash","Clash - stylist double booked",IF(I22="","Assign - no stylist yet",IF(G22="","Add - no service chosen",IF(M22="No show","No show - charge the fee?",IF(M22="Cancelled","",IF(IF(M22="Completed",AB22&lt;Y22-0.004,FALSE),"Unpaid - nothing rung up for this visit",IF(IF(B22&lt;TodayDate,M22="Booked",FALSE),"Overdue - past date, still only Booked",IF(IF(B22=TodayDate,TRUE,FALSE),"Today",IF(IF(Z22&gt;0,AA22&lt;Z22-0.004,FALSE),"Due - deposit not taken",IF(IF(B22&gt;TodayDate,B22&lt;=TodayDate+2,FALSE),"Confirm - coming up","OK")))))))))))</f>
        <v>0</v>
      </c>
    </row>
    <row r="23" spans="1:34">
      <c r="A23" s="28">
        <f>IF(B23="","",AppointmentPrefix&amp;TEXT(ROW()-4,"0000"))</f>
        <v>0</v>
      </c>
      <c r="C23" s="15">
        <f>IF(B23="","",TEXT(B23,"ddd"))</f>
        <v>0</v>
      </c>
      <c r="F23" s="15">
        <f>IF(E23="","",IFERROR(INDEX(Clients!$B$5:$B$504,MATCH(E23,Clients!$A$5:$A$504,0)),"Walk-in"))</f>
        <v>0</v>
      </c>
      <c r="H23" s="15">
        <f>IF(G23="","",IFERROR(INDEX(Services!$B$5:$B$204,MATCH(G23,Services!$A$5:$A$204,0)),"Not in Services"))</f>
        <v>0</v>
      </c>
      <c r="J23" s="15">
        <f>IF(I23="","",IFERROR(INDEX(Staff!$B$5:$B$44,MATCH(I23,Staff!$A$5:$A$44,0)),"Unassigned"))</f>
        <v>0</v>
      </c>
      <c r="S23" s="15">
        <f>IF(B23="","",TEXT(B23,"yyyy-mm"))</f>
        <v>0</v>
      </c>
      <c r="T23" s="25">
        <f>IF(B23="","",WEEKNUM(B23,2))</f>
        <v>0</v>
      </c>
      <c r="U23" s="25">
        <f>IF(B23="","",IF(K23&lt;&gt;"",K23,IFERROR(INDEX(Services!$E$5:$E$204,MATCH(G23,Services!$A$5:$A$204,0))*1,0)+IFERROR(INDEX(Services!$F$5:$F$204,MATCH(G23,Services!$A$5:$A$204,0))*1,0)))</f>
        <v>0</v>
      </c>
      <c r="V23" s="36">
        <f>IF(B23="","",IF(D23="","",D23+U23/1440))</f>
        <v>0</v>
      </c>
      <c r="W23" s="25">
        <f>IF(B23="","",IF(D23="","",HOUR(D23)))</f>
        <v>0</v>
      </c>
      <c r="X23" s="37">
        <f>IF(B23="","",ROUND(U23/60,2))</f>
        <v>0</v>
      </c>
      <c r="Y23" s="26">
        <f>IF(B23="","",IF(L23&lt;&gt;"",L23,IFERROR(INDEX(Services!$G$5:$G$204,MATCH(G23,Services!$A$5:$A$204,0))*1,0)))</f>
        <v>0</v>
      </c>
      <c r="Z23" s="26">
        <f>IF(B23="","",IF(O23&lt;&gt;"",O23,IF(Y23&gt;=DepositThreshold,ROUND(Y23*DepositPercent,2),0)))</f>
        <v>0</v>
      </c>
      <c r="AA23" s="26">
        <f>IF(B23="","",ROUND(SUMIFS(Payments!$G$5:$G$1204,Payments!$I$5:$I$1204,A23,Payments!$E$5:$E$1204,"Deposit"),2))</f>
        <v>0</v>
      </c>
      <c r="AB23" s="26">
        <f>IF(B23="","",ROUND(SUMIFS(Sales!$Y$5:$Y$1204,Sales!$C$5:$C$1204,A23),2))</f>
        <v>0</v>
      </c>
      <c r="AC23" s="38">
        <f>IF(B23="","",IF(M23="Completed","Yes",IF(M23="Cancelled","Yes",IF(M23="No show","Yes","No"))))</f>
        <v>0</v>
      </c>
      <c r="AD23" s="25">
        <f>IF(B23="","",IF(AE23="","",B23-AE23))</f>
        <v>0</v>
      </c>
      <c r="AF23" s="38">
        <f>IF(B23="","",IF(M23&lt;&gt;"Completed","",IF(E23="","No",IF(COUNTIFS(Appointments!$E$5:$E$1204,E23,Appointments!$B$5:$B$1204,"&gt;"&amp;B23,Appointments!$M$5:$M$1204,"&lt;&gt;Cancelled")&gt;0,"Yes","No"))))</f>
        <v>0</v>
      </c>
      <c r="AG23" s="38">
        <f>IF(B23="","",IF(I23="","",IF(D23="","",IF(COUNTIFS($I$5:$I$1204,I23,$B$5:$B$1204,B23,$D$5:$D$1204,"&lt;"&amp;V23,$V$5:$V$1204,"&gt;"&amp;D23,$M$5:$M$1204,"&lt;&gt;Cancelled")&gt;1,"Clash",""))))</f>
        <v>0</v>
      </c>
      <c r="AH23" s="39">
        <f>IF(B23="","",IF(AG23="Clash","Clash - stylist double booked",IF(I23="","Assign - no stylist yet",IF(G23="","Add - no service chosen",IF(M23="No show","No show - charge the fee?",IF(M23="Cancelled","",IF(IF(M23="Completed",AB23&lt;Y23-0.004,FALSE),"Unpaid - nothing rung up for this visit",IF(IF(B23&lt;TodayDate,M23="Booked",FALSE),"Overdue - past date, still only Booked",IF(IF(B23=TodayDate,TRUE,FALSE),"Today",IF(IF(Z23&gt;0,AA23&lt;Z23-0.004,FALSE),"Due - deposit not taken",IF(IF(B23&gt;TodayDate,B23&lt;=TodayDate+2,FALSE),"Confirm - coming up","OK")))))))))))</f>
        <v>0</v>
      </c>
    </row>
    <row r="24" spans="1:34">
      <c r="A24" s="28">
        <f>IF(B24="","",AppointmentPrefix&amp;TEXT(ROW()-4,"0000"))</f>
        <v>0</v>
      </c>
      <c r="C24" s="15">
        <f>IF(B24="","",TEXT(B24,"ddd"))</f>
        <v>0</v>
      </c>
      <c r="F24" s="15">
        <f>IF(E24="","",IFERROR(INDEX(Clients!$B$5:$B$504,MATCH(E24,Clients!$A$5:$A$504,0)),"Walk-in"))</f>
        <v>0</v>
      </c>
      <c r="H24" s="15">
        <f>IF(G24="","",IFERROR(INDEX(Services!$B$5:$B$204,MATCH(G24,Services!$A$5:$A$204,0)),"Not in Services"))</f>
        <v>0</v>
      </c>
      <c r="J24" s="15">
        <f>IF(I24="","",IFERROR(INDEX(Staff!$B$5:$B$44,MATCH(I24,Staff!$A$5:$A$44,0)),"Unassigned"))</f>
        <v>0</v>
      </c>
      <c r="S24" s="15">
        <f>IF(B24="","",TEXT(B24,"yyyy-mm"))</f>
        <v>0</v>
      </c>
      <c r="T24" s="25">
        <f>IF(B24="","",WEEKNUM(B24,2))</f>
        <v>0</v>
      </c>
      <c r="U24" s="25">
        <f>IF(B24="","",IF(K24&lt;&gt;"",K24,IFERROR(INDEX(Services!$E$5:$E$204,MATCH(G24,Services!$A$5:$A$204,0))*1,0)+IFERROR(INDEX(Services!$F$5:$F$204,MATCH(G24,Services!$A$5:$A$204,0))*1,0)))</f>
        <v>0</v>
      </c>
      <c r="V24" s="36">
        <f>IF(B24="","",IF(D24="","",D24+U24/1440))</f>
        <v>0</v>
      </c>
      <c r="W24" s="25">
        <f>IF(B24="","",IF(D24="","",HOUR(D24)))</f>
        <v>0</v>
      </c>
      <c r="X24" s="37">
        <f>IF(B24="","",ROUND(U24/60,2))</f>
        <v>0</v>
      </c>
      <c r="Y24" s="26">
        <f>IF(B24="","",IF(L24&lt;&gt;"",L24,IFERROR(INDEX(Services!$G$5:$G$204,MATCH(G24,Services!$A$5:$A$204,0))*1,0)))</f>
        <v>0</v>
      </c>
      <c r="Z24" s="26">
        <f>IF(B24="","",IF(O24&lt;&gt;"",O24,IF(Y24&gt;=DepositThreshold,ROUND(Y24*DepositPercent,2),0)))</f>
        <v>0</v>
      </c>
      <c r="AA24" s="26">
        <f>IF(B24="","",ROUND(SUMIFS(Payments!$G$5:$G$1204,Payments!$I$5:$I$1204,A24,Payments!$E$5:$E$1204,"Deposit"),2))</f>
        <v>0</v>
      </c>
      <c r="AB24" s="26">
        <f>IF(B24="","",ROUND(SUMIFS(Sales!$Y$5:$Y$1204,Sales!$C$5:$C$1204,A24),2))</f>
        <v>0</v>
      </c>
      <c r="AC24" s="38">
        <f>IF(B24="","",IF(M24="Completed","Yes",IF(M24="Cancelled","Yes",IF(M24="No show","Yes","No"))))</f>
        <v>0</v>
      </c>
      <c r="AD24" s="25">
        <f>IF(B24="","",IF(AE24="","",B24-AE24))</f>
        <v>0</v>
      </c>
      <c r="AF24" s="38">
        <f>IF(B24="","",IF(M24&lt;&gt;"Completed","",IF(E24="","No",IF(COUNTIFS(Appointments!$E$5:$E$1204,E24,Appointments!$B$5:$B$1204,"&gt;"&amp;B24,Appointments!$M$5:$M$1204,"&lt;&gt;Cancelled")&gt;0,"Yes","No"))))</f>
        <v>0</v>
      </c>
      <c r="AG24" s="38">
        <f>IF(B24="","",IF(I24="","",IF(D24="","",IF(COUNTIFS($I$5:$I$1204,I24,$B$5:$B$1204,B24,$D$5:$D$1204,"&lt;"&amp;V24,$V$5:$V$1204,"&gt;"&amp;D24,$M$5:$M$1204,"&lt;&gt;Cancelled")&gt;1,"Clash",""))))</f>
        <v>0</v>
      </c>
      <c r="AH24" s="39">
        <f>IF(B24="","",IF(AG24="Clash","Clash - stylist double booked",IF(I24="","Assign - no stylist yet",IF(G24="","Add - no service chosen",IF(M24="No show","No show - charge the fee?",IF(M24="Cancelled","",IF(IF(M24="Completed",AB24&lt;Y24-0.004,FALSE),"Unpaid - nothing rung up for this visit",IF(IF(B24&lt;TodayDate,M24="Booked",FALSE),"Overdue - past date, still only Booked",IF(IF(B24=TodayDate,TRUE,FALSE),"Today",IF(IF(Z24&gt;0,AA24&lt;Z24-0.004,FALSE),"Due - deposit not taken",IF(IF(B24&gt;TodayDate,B24&lt;=TodayDate+2,FALSE),"Confirm - coming up","OK")))))))))))</f>
        <v>0</v>
      </c>
    </row>
    <row r="25" spans="1:34">
      <c r="A25" s="28">
        <f>IF(B25="","",AppointmentPrefix&amp;TEXT(ROW()-4,"0000"))</f>
        <v>0</v>
      </c>
      <c r="C25" s="15">
        <f>IF(B25="","",TEXT(B25,"ddd"))</f>
        <v>0</v>
      </c>
      <c r="F25" s="15">
        <f>IF(E25="","",IFERROR(INDEX(Clients!$B$5:$B$504,MATCH(E25,Clients!$A$5:$A$504,0)),"Walk-in"))</f>
        <v>0</v>
      </c>
      <c r="H25" s="15">
        <f>IF(G25="","",IFERROR(INDEX(Services!$B$5:$B$204,MATCH(G25,Services!$A$5:$A$204,0)),"Not in Services"))</f>
        <v>0</v>
      </c>
      <c r="J25" s="15">
        <f>IF(I25="","",IFERROR(INDEX(Staff!$B$5:$B$44,MATCH(I25,Staff!$A$5:$A$44,0)),"Unassigned"))</f>
        <v>0</v>
      </c>
      <c r="S25" s="15">
        <f>IF(B25="","",TEXT(B25,"yyyy-mm"))</f>
        <v>0</v>
      </c>
      <c r="T25" s="25">
        <f>IF(B25="","",WEEKNUM(B25,2))</f>
        <v>0</v>
      </c>
      <c r="U25" s="25">
        <f>IF(B25="","",IF(K25&lt;&gt;"",K25,IFERROR(INDEX(Services!$E$5:$E$204,MATCH(G25,Services!$A$5:$A$204,0))*1,0)+IFERROR(INDEX(Services!$F$5:$F$204,MATCH(G25,Services!$A$5:$A$204,0))*1,0)))</f>
        <v>0</v>
      </c>
      <c r="V25" s="36">
        <f>IF(B25="","",IF(D25="","",D25+U25/1440))</f>
        <v>0</v>
      </c>
      <c r="W25" s="25">
        <f>IF(B25="","",IF(D25="","",HOUR(D25)))</f>
        <v>0</v>
      </c>
      <c r="X25" s="37">
        <f>IF(B25="","",ROUND(U25/60,2))</f>
        <v>0</v>
      </c>
      <c r="Y25" s="26">
        <f>IF(B25="","",IF(L25&lt;&gt;"",L25,IFERROR(INDEX(Services!$G$5:$G$204,MATCH(G25,Services!$A$5:$A$204,0))*1,0)))</f>
        <v>0</v>
      </c>
      <c r="Z25" s="26">
        <f>IF(B25="","",IF(O25&lt;&gt;"",O25,IF(Y25&gt;=DepositThreshold,ROUND(Y25*DepositPercent,2),0)))</f>
        <v>0</v>
      </c>
      <c r="AA25" s="26">
        <f>IF(B25="","",ROUND(SUMIFS(Payments!$G$5:$G$1204,Payments!$I$5:$I$1204,A25,Payments!$E$5:$E$1204,"Deposit"),2))</f>
        <v>0</v>
      </c>
      <c r="AB25" s="26">
        <f>IF(B25="","",ROUND(SUMIFS(Sales!$Y$5:$Y$1204,Sales!$C$5:$C$1204,A25),2))</f>
        <v>0</v>
      </c>
      <c r="AC25" s="38">
        <f>IF(B25="","",IF(M25="Completed","Yes",IF(M25="Cancelled","Yes",IF(M25="No show","Yes","No"))))</f>
        <v>0</v>
      </c>
      <c r="AD25" s="25">
        <f>IF(B25="","",IF(AE25="","",B25-AE25))</f>
        <v>0</v>
      </c>
      <c r="AF25" s="38">
        <f>IF(B25="","",IF(M25&lt;&gt;"Completed","",IF(E25="","No",IF(COUNTIFS(Appointments!$E$5:$E$1204,E25,Appointments!$B$5:$B$1204,"&gt;"&amp;B25,Appointments!$M$5:$M$1204,"&lt;&gt;Cancelled")&gt;0,"Yes","No"))))</f>
        <v>0</v>
      </c>
      <c r="AG25" s="38">
        <f>IF(B25="","",IF(I25="","",IF(D25="","",IF(COUNTIFS($I$5:$I$1204,I25,$B$5:$B$1204,B25,$D$5:$D$1204,"&lt;"&amp;V25,$V$5:$V$1204,"&gt;"&amp;D25,$M$5:$M$1204,"&lt;&gt;Cancelled")&gt;1,"Clash",""))))</f>
        <v>0</v>
      </c>
      <c r="AH25" s="39">
        <f>IF(B25="","",IF(AG25="Clash","Clash - stylist double booked",IF(I25="","Assign - no stylist yet",IF(G25="","Add - no service chosen",IF(M25="No show","No show - charge the fee?",IF(M25="Cancelled","",IF(IF(M25="Completed",AB25&lt;Y25-0.004,FALSE),"Unpaid - nothing rung up for this visit",IF(IF(B25&lt;TodayDate,M25="Booked",FALSE),"Overdue - past date, still only Booked",IF(IF(B25=TodayDate,TRUE,FALSE),"Today",IF(IF(Z25&gt;0,AA25&lt;Z25-0.004,FALSE),"Due - deposit not taken",IF(IF(B25&gt;TodayDate,B25&lt;=TodayDate+2,FALSE),"Confirm - coming up","OK")))))))))))</f>
        <v>0</v>
      </c>
    </row>
    <row r="26" spans="1:34">
      <c r="A26" s="28">
        <f>IF(B26="","",AppointmentPrefix&amp;TEXT(ROW()-4,"0000"))</f>
        <v>0</v>
      </c>
      <c r="C26" s="15">
        <f>IF(B26="","",TEXT(B26,"ddd"))</f>
        <v>0</v>
      </c>
      <c r="F26" s="15">
        <f>IF(E26="","",IFERROR(INDEX(Clients!$B$5:$B$504,MATCH(E26,Clients!$A$5:$A$504,0)),"Walk-in"))</f>
        <v>0</v>
      </c>
      <c r="H26" s="15">
        <f>IF(G26="","",IFERROR(INDEX(Services!$B$5:$B$204,MATCH(G26,Services!$A$5:$A$204,0)),"Not in Services"))</f>
        <v>0</v>
      </c>
      <c r="J26" s="15">
        <f>IF(I26="","",IFERROR(INDEX(Staff!$B$5:$B$44,MATCH(I26,Staff!$A$5:$A$44,0)),"Unassigned"))</f>
        <v>0</v>
      </c>
      <c r="S26" s="15">
        <f>IF(B26="","",TEXT(B26,"yyyy-mm"))</f>
        <v>0</v>
      </c>
      <c r="T26" s="25">
        <f>IF(B26="","",WEEKNUM(B26,2))</f>
        <v>0</v>
      </c>
      <c r="U26" s="25">
        <f>IF(B26="","",IF(K26&lt;&gt;"",K26,IFERROR(INDEX(Services!$E$5:$E$204,MATCH(G26,Services!$A$5:$A$204,0))*1,0)+IFERROR(INDEX(Services!$F$5:$F$204,MATCH(G26,Services!$A$5:$A$204,0))*1,0)))</f>
        <v>0</v>
      </c>
      <c r="V26" s="36">
        <f>IF(B26="","",IF(D26="","",D26+U26/1440))</f>
        <v>0</v>
      </c>
      <c r="W26" s="25">
        <f>IF(B26="","",IF(D26="","",HOUR(D26)))</f>
        <v>0</v>
      </c>
      <c r="X26" s="37">
        <f>IF(B26="","",ROUND(U26/60,2))</f>
        <v>0</v>
      </c>
      <c r="Y26" s="26">
        <f>IF(B26="","",IF(L26&lt;&gt;"",L26,IFERROR(INDEX(Services!$G$5:$G$204,MATCH(G26,Services!$A$5:$A$204,0))*1,0)))</f>
        <v>0</v>
      </c>
      <c r="Z26" s="26">
        <f>IF(B26="","",IF(O26&lt;&gt;"",O26,IF(Y26&gt;=DepositThreshold,ROUND(Y26*DepositPercent,2),0)))</f>
        <v>0</v>
      </c>
      <c r="AA26" s="26">
        <f>IF(B26="","",ROUND(SUMIFS(Payments!$G$5:$G$1204,Payments!$I$5:$I$1204,A26,Payments!$E$5:$E$1204,"Deposit"),2))</f>
        <v>0</v>
      </c>
      <c r="AB26" s="26">
        <f>IF(B26="","",ROUND(SUMIFS(Sales!$Y$5:$Y$1204,Sales!$C$5:$C$1204,A26),2))</f>
        <v>0</v>
      </c>
      <c r="AC26" s="38">
        <f>IF(B26="","",IF(M26="Completed","Yes",IF(M26="Cancelled","Yes",IF(M26="No show","Yes","No"))))</f>
        <v>0</v>
      </c>
      <c r="AD26" s="25">
        <f>IF(B26="","",IF(AE26="","",B26-AE26))</f>
        <v>0</v>
      </c>
      <c r="AF26" s="38">
        <f>IF(B26="","",IF(M26&lt;&gt;"Completed","",IF(E26="","No",IF(COUNTIFS(Appointments!$E$5:$E$1204,E26,Appointments!$B$5:$B$1204,"&gt;"&amp;B26,Appointments!$M$5:$M$1204,"&lt;&gt;Cancelled")&gt;0,"Yes","No"))))</f>
        <v>0</v>
      </c>
      <c r="AG26" s="38">
        <f>IF(B26="","",IF(I26="","",IF(D26="","",IF(COUNTIFS($I$5:$I$1204,I26,$B$5:$B$1204,B26,$D$5:$D$1204,"&lt;"&amp;V26,$V$5:$V$1204,"&gt;"&amp;D26,$M$5:$M$1204,"&lt;&gt;Cancelled")&gt;1,"Clash",""))))</f>
        <v>0</v>
      </c>
      <c r="AH26" s="39">
        <f>IF(B26="","",IF(AG26="Clash","Clash - stylist double booked",IF(I26="","Assign - no stylist yet",IF(G26="","Add - no service chosen",IF(M26="No show","No show - charge the fee?",IF(M26="Cancelled","",IF(IF(M26="Completed",AB26&lt;Y26-0.004,FALSE),"Unpaid - nothing rung up for this visit",IF(IF(B26&lt;TodayDate,M26="Booked",FALSE),"Overdue - past date, still only Booked",IF(IF(B26=TodayDate,TRUE,FALSE),"Today",IF(IF(Z26&gt;0,AA26&lt;Z26-0.004,FALSE),"Due - deposit not taken",IF(IF(B26&gt;TodayDate,B26&lt;=TodayDate+2,FALSE),"Confirm - coming up","OK")))))))))))</f>
        <v>0</v>
      </c>
    </row>
    <row r="27" spans="1:34">
      <c r="A27" s="28">
        <f>IF(B27="","",AppointmentPrefix&amp;TEXT(ROW()-4,"0000"))</f>
        <v>0</v>
      </c>
      <c r="C27" s="15">
        <f>IF(B27="","",TEXT(B27,"ddd"))</f>
        <v>0</v>
      </c>
      <c r="F27" s="15">
        <f>IF(E27="","",IFERROR(INDEX(Clients!$B$5:$B$504,MATCH(E27,Clients!$A$5:$A$504,0)),"Walk-in"))</f>
        <v>0</v>
      </c>
      <c r="H27" s="15">
        <f>IF(G27="","",IFERROR(INDEX(Services!$B$5:$B$204,MATCH(G27,Services!$A$5:$A$204,0)),"Not in Services"))</f>
        <v>0</v>
      </c>
      <c r="J27" s="15">
        <f>IF(I27="","",IFERROR(INDEX(Staff!$B$5:$B$44,MATCH(I27,Staff!$A$5:$A$44,0)),"Unassigned"))</f>
        <v>0</v>
      </c>
      <c r="S27" s="15">
        <f>IF(B27="","",TEXT(B27,"yyyy-mm"))</f>
        <v>0</v>
      </c>
      <c r="T27" s="25">
        <f>IF(B27="","",WEEKNUM(B27,2))</f>
        <v>0</v>
      </c>
      <c r="U27" s="25">
        <f>IF(B27="","",IF(K27&lt;&gt;"",K27,IFERROR(INDEX(Services!$E$5:$E$204,MATCH(G27,Services!$A$5:$A$204,0))*1,0)+IFERROR(INDEX(Services!$F$5:$F$204,MATCH(G27,Services!$A$5:$A$204,0))*1,0)))</f>
        <v>0</v>
      </c>
      <c r="V27" s="36">
        <f>IF(B27="","",IF(D27="","",D27+U27/1440))</f>
        <v>0</v>
      </c>
      <c r="W27" s="25">
        <f>IF(B27="","",IF(D27="","",HOUR(D27)))</f>
        <v>0</v>
      </c>
      <c r="X27" s="37">
        <f>IF(B27="","",ROUND(U27/60,2))</f>
        <v>0</v>
      </c>
      <c r="Y27" s="26">
        <f>IF(B27="","",IF(L27&lt;&gt;"",L27,IFERROR(INDEX(Services!$G$5:$G$204,MATCH(G27,Services!$A$5:$A$204,0))*1,0)))</f>
        <v>0</v>
      </c>
      <c r="Z27" s="26">
        <f>IF(B27="","",IF(O27&lt;&gt;"",O27,IF(Y27&gt;=DepositThreshold,ROUND(Y27*DepositPercent,2),0)))</f>
        <v>0</v>
      </c>
      <c r="AA27" s="26">
        <f>IF(B27="","",ROUND(SUMIFS(Payments!$G$5:$G$1204,Payments!$I$5:$I$1204,A27,Payments!$E$5:$E$1204,"Deposit"),2))</f>
        <v>0</v>
      </c>
      <c r="AB27" s="26">
        <f>IF(B27="","",ROUND(SUMIFS(Sales!$Y$5:$Y$1204,Sales!$C$5:$C$1204,A27),2))</f>
        <v>0</v>
      </c>
      <c r="AC27" s="38">
        <f>IF(B27="","",IF(M27="Completed","Yes",IF(M27="Cancelled","Yes",IF(M27="No show","Yes","No"))))</f>
        <v>0</v>
      </c>
      <c r="AD27" s="25">
        <f>IF(B27="","",IF(AE27="","",B27-AE27))</f>
        <v>0</v>
      </c>
      <c r="AF27" s="38">
        <f>IF(B27="","",IF(M27&lt;&gt;"Completed","",IF(E27="","No",IF(COUNTIFS(Appointments!$E$5:$E$1204,E27,Appointments!$B$5:$B$1204,"&gt;"&amp;B27,Appointments!$M$5:$M$1204,"&lt;&gt;Cancelled")&gt;0,"Yes","No"))))</f>
        <v>0</v>
      </c>
      <c r="AG27" s="38">
        <f>IF(B27="","",IF(I27="","",IF(D27="","",IF(COUNTIFS($I$5:$I$1204,I27,$B$5:$B$1204,B27,$D$5:$D$1204,"&lt;"&amp;V27,$V$5:$V$1204,"&gt;"&amp;D27,$M$5:$M$1204,"&lt;&gt;Cancelled")&gt;1,"Clash",""))))</f>
        <v>0</v>
      </c>
      <c r="AH27" s="39">
        <f>IF(B27="","",IF(AG27="Clash","Clash - stylist double booked",IF(I27="","Assign - no stylist yet",IF(G27="","Add - no service chosen",IF(M27="No show","No show - charge the fee?",IF(M27="Cancelled","",IF(IF(M27="Completed",AB27&lt;Y27-0.004,FALSE),"Unpaid - nothing rung up for this visit",IF(IF(B27&lt;TodayDate,M27="Booked",FALSE),"Overdue - past date, still only Booked",IF(IF(B27=TodayDate,TRUE,FALSE),"Today",IF(IF(Z27&gt;0,AA27&lt;Z27-0.004,FALSE),"Due - deposit not taken",IF(IF(B27&gt;TodayDate,B27&lt;=TodayDate+2,FALSE),"Confirm - coming up","OK")))))))))))</f>
        <v>0</v>
      </c>
    </row>
    <row r="28" spans="1:34">
      <c r="A28" s="28">
        <f>IF(B28="","",AppointmentPrefix&amp;TEXT(ROW()-4,"0000"))</f>
        <v>0</v>
      </c>
      <c r="C28" s="15">
        <f>IF(B28="","",TEXT(B28,"ddd"))</f>
        <v>0</v>
      </c>
      <c r="F28" s="15">
        <f>IF(E28="","",IFERROR(INDEX(Clients!$B$5:$B$504,MATCH(E28,Clients!$A$5:$A$504,0)),"Walk-in"))</f>
        <v>0</v>
      </c>
      <c r="H28" s="15">
        <f>IF(G28="","",IFERROR(INDEX(Services!$B$5:$B$204,MATCH(G28,Services!$A$5:$A$204,0)),"Not in Services"))</f>
        <v>0</v>
      </c>
      <c r="J28" s="15">
        <f>IF(I28="","",IFERROR(INDEX(Staff!$B$5:$B$44,MATCH(I28,Staff!$A$5:$A$44,0)),"Unassigned"))</f>
        <v>0</v>
      </c>
      <c r="S28" s="15">
        <f>IF(B28="","",TEXT(B28,"yyyy-mm"))</f>
        <v>0</v>
      </c>
      <c r="T28" s="25">
        <f>IF(B28="","",WEEKNUM(B28,2))</f>
        <v>0</v>
      </c>
      <c r="U28" s="25">
        <f>IF(B28="","",IF(K28&lt;&gt;"",K28,IFERROR(INDEX(Services!$E$5:$E$204,MATCH(G28,Services!$A$5:$A$204,0))*1,0)+IFERROR(INDEX(Services!$F$5:$F$204,MATCH(G28,Services!$A$5:$A$204,0))*1,0)))</f>
        <v>0</v>
      </c>
      <c r="V28" s="36">
        <f>IF(B28="","",IF(D28="","",D28+U28/1440))</f>
        <v>0</v>
      </c>
      <c r="W28" s="25">
        <f>IF(B28="","",IF(D28="","",HOUR(D28)))</f>
        <v>0</v>
      </c>
      <c r="X28" s="37">
        <f>IF(B28="","",ROUND(U28/60,2))</f>
        <v>0</v>
      </c>
      <c r="Y28" s="26">
        <f>IF(B28="","",IF(L28&lt;&gt;"",L28,IFERROR(INDEX(Services!$G$5:$G$204,MATCH(G28,Services!$A$5:$A$204,0))*1,0)))</f>
        <v>0</v>
      </c>
      <c r="Z28" s="26">
        <f>IF(B28="","",IF(O28&lt;&gt;"",O28,IF(Y28&gt;=DepositThreshold,ROUND(Y28*DepositPercent,2),0)))</f>
        <v>0</v>
      </c>
      <c r="AA28" s="26">
        <f>IF(B28="","",ROUND(SUMIFS(Payments!$G$5:$G$1204,Payments!$I$5:$I$1204,A28,Payments!$E$5:$E$1204,"Deposit"),2))</f>
        <v>0</v>
      </c>
      <c r="AB28" s="26">
        <f>IF(B28="","",ROUND(SUMIFS(Sales!$Y$5:$Y$1204,Sales!$C$5:$C$1204,A28),2))</f>
        <v>0</v>
      </c>
      <c r="AC28" s="38">
        <f>IF(B28="","",IF(M28="Completed","Yes",IF(M28="Cancelled","Yes",IF(M28="No show","Yes","No"))))</f>
        <v>0</v>
      </c>
      <c r="AD28" s="25">
        <f>IF(B28="","",IF(AE28="","",B28-AE28))</f>
        <v>0</v>
      </c>
      <c r="AF28" s="38">
        <f>IF(B28="","",IF(M28&lt;&gt;"Completed","",IF(E28="","No",IF(COUNTIFS(Appointments!$E$5:$E$1204,E28,Appointments!$B$5:$B$1204,"&gt;"&amp;B28,Appointments!$M$5:$M$1204,"&lt;&gt;Cancelled")&gt;0,"Yes","No"))))</f>
        <v>0</v>
      </c>
      <c r="AG28" s="38">
        <f>IF(B28="","",IF(I28="","",IF(D28="","",IF(COUNTIFS($I$5:$I$1204,I28,$B$5:$B$1204,B28,$D$5:$D$1204,"&lt;"&amp;V28,$V$5:$V$1204,"&gt;"&amp;D28,$M$5:$M$1204,"&lt;&gt;Cancelled")&gt;1,"Clash",""))))</f>
        <v>0</v>
      </c>
      <c r="AH28" s="39">
        <f>IF(B28="","",IF(AG28="Clash","Clash - stylist double booked",IF(I28="","Assign - no stylist yet",IF(G28="","Add - no service chosen",IF(M28="No show","No show - charge the fee?",IF(M28="Cancelled","",IF(IF(M28="Completed",AB28&lt;Y28-0.004,FALSE),"Unpaid - nothing rung up for this visit",IF(IF(B28&lt;TodayDate,M28="Booked",FALSE),"Overdue - past date, still only Booked",IF(IF(B28=TodayDate,TRUE,FALSE),"Today",IF(IF(Z28&gt;0,AA28&lt;Z28-0.004,FALSE),"Due - deposit not taken",IF(IF(B28&gt;TodayDate,B28&lt;=TodayDate+2,FALSE),"Confirm - coming up","OK")))))))))))</f>
        <v>0</v>
      </c>
    </row>
    <row r="29" spans="1:34">
      <c r="A29" s="28">
        <f>IF(B29="","",AppointmentPrefix&amp;TEXT(ROW()-4,"0000"))</f>
        <v>0</v>
      </c>
      <c r="C29" s="15">
        <f>IF(B29="","",TEXT(B29,"ddd"))</f>
        <v>0</v>
      </c>
      <c r="F29" s="15">
        <f>IF(E29="","",IFERROR(INDEX(Clients!$B$5:$B$504,MATCH(E29,Clients!$A$5:$A$504,0)),"Walk-in"))</f>
        <v>0</v>
      </c>
      <c r="H29" s="15">
        <f>IF(G29="","",IFERROR(INDEX(Services!$B$5:$B$204,MATCH(G29,Services!$A$5:$A$204,0)),"Not in Services"))</f>
        <v>0</v>
      </c>
      <c r="J29" s="15">
        <f>IF(I29="","",IFERROR(INDEX(Staff!$B$5:$B$44,MATCH(I29,Staff!$A$5:$A$44,0)),"Unassigned"))</f>
        <v>0</v>
      </c>
      <c r="S29" s="15">
        <f>IF(B29="","",TEXT(B29,"yyyy-mm"))</f>
        <v>0</v>
      </c>
      <c r="T29" s="25">
        <f>IF(B29="","",WEEKNUM(B29,2))</f>
        <v>0</v>
      </c>
      <c r="U29" s="25">
        <f>IF(B29="","",IF(K29&lt;&gt;"",K29,IFERROR(INDEX(Services!$E$5:$E$204,MATCH(G29,Services!$A$5:$A$204,0))*1,0)+IFERROR(INDEX(Services!$F$5:$F$204,MATCH(G29,Services!$A$5:$A$204,0))*1,0)))</f>
        <v>0</v>
      </c>
      <c r="V29" s="36">
        <f>IF(B29="","",IF(D29="","",D29+U29/1440))</f>
        <v>0</v>
      </c>
      <c r="W29" s="25">
        <f>IF(B29="","",IF(D29="","",HOUR(D29)))</f>
        <v>0</v>
      </c>
      <c r="X29" s="37">
        <f>IF(B29="","",ROUND(U29/60,2))</f>
        <v>0</v>
      </c>
      <c r="Y29" s="26">
        <f>IF(B29="","",IF(L29&lt;&gt;"",L29,IFERROR(INDEX(Services!$G$5:$G$204,MATCH(G29,Services!$A$5:$A$204,0))*1,0)))</f>
        <v>0</v>
      </c>
      <c r="Z29" s="26">
        <f>IF(B29="","",IF(O29&lt;&gt;"",O29,IF(Y29&gt;=DepositThreshold,ROUND(Y29*DepositPercent,2),0)))</f>
        <v>0</v>
      </c>
      <c r="AA29" s="26">
        <f>IF(B29="","",ROUND(SUMIFS(Payments!$G$5:$G$1204,Payments!$I$5:$I$1204,A29,Payments!$E$5:$E$1204,"Deposit"),2))</f>
        <v>0</v>
      </c>
      <c r="AB29" s="26">
        <f>IF(B29="","",ROUND(SUMIFS(Sales!$Y$5:$Y$1204,Sales!$C$5:$C$1204,A29),2))</f>
        <v>0</v>
      </c>
      <c r="AC29" s="38">
        <f>IF(B29="","",IF(M29="Completed","Yes",IF(M29="Cancelled","Yes",IF(M29="No show","Yes","No"))))</f>
        <v>0</v>
      </c>
      <c r="AD29" s="25">
        <f>IF(B29="","",IF(AE29="","",B29-AE29))</f>
        <v>0</v>
      </c>
      <c r="AF29" s="38">
        <f>IF(B29="","",IF(M29&lt;&gt;"Completed","",IF(E29="","No",IF(COUNTIFS(Appointments!$E$5:$E$1204,E29,Appointments!$B$5:$B$1204,"&gt;"&amp;B29,Appointments!$M$5:$M$1204,"&lt;&gt;Cancelled")&gt;0,"Yes","No"))))</f>
        <v>0</v>
      </c>
      <c r="AG29" s="38">
        <f>IF(B29="","",IF(I29="","",IF(D29="","",IF(COUNTIFS($I$5:$I$1204,I29,$B$5:$B$1204,B29,$D$5:$D$1204,"&lt;"&amp;V29,$V$5:$V$1204,"&gt;"&amp;D29,$M$5:$M$1204,"&lt;&gt;Cancelled")&gt;1,"Clash",""))))</f>
        <v>0</v>
      </c>
      <c r="AH29" s="39">
        <f>IF(B29="","",IF(AG29="Clash","Clash - stylist double booked",IF(I29="","Assign - no stylist yet",IF(G29="","Add - no service chosen",IF(M29="No show","No show - charge the fee?",IF(M29="Cancelled","",IF(IF(M29="Completed",AB29&lt;Y29-0.004,FALSE),"Unpaid - nothing rung up for this visit",IF(IF(B29&lt;TodayDate,M29="Booked",FALSE),"Overdue - past date, still only Booked",IF(IF(B29=TodayDate,TRUE,FALSE),"Today",IF(IF(Z29&gt;0,AA29&lt;Z29-0.004,FALSE),"Due - deposit not taken",IF(IF(B29&gt;TodayDate,B29&lt;=TodayDate+2,FALSE),"Confirm - coming up","OK")))))))))))</f>
        <v>0</v>
      </c>
    </row>
    <row r="30" spans="1:34">
      <c r="A30" s="28">
        <f>IF(B30="","",AppointmentPrefix&amp;TEXT(ROW()-4,"0000"))</f>
        <v>0</v>
      </c>
      <c r="C30" s="15">
        <f>IF(B30="","",TEXT(B30,"ddd"))</f>
        <v>0</v>
      </c>
      <c r="F30" s="15">
        <f>IF(E30="","",IFERROR(INDEX(Clients!$B$5:$B$504,MATCH(E30,Clients!$A$5:$A$504,0)),"Walk-in"))</f>
        <v>0</v>
      </c>
      <c r="H30" s="15">
        <f>IF(G30="","",IFERROR(INDEX(Services!$B$5:$B$204,MATCH(G30,Services!$A$5:$A$204,0)),"Not in Services"))</f>
        <v>0</v>
      </c>
      <c r="J30" s="15">
        <f>IF(I30="","",IFERROR(INDEX(Staff!$B$5:$B$44,MATCH(I30,Staff!$A$5:$A$44,0)),"Unassigned"))</f>
        <v>0</v>
      </c>
      <c r="S30" s="15">
        <f>IF(B30="","",TEXT(B30,"yyyy-mm"))</f>
        <v>0</v>
      </c>
      <c r="T30" s="25">
        <f>IF(B30="","",WEEKNUM(B30,2))</f>
        <v>0</v>
      </c>
      <c r="U30" s="25">
        <f>IF(B30="","",IF(K30&lt;&gt;"",K30,IFERROR(INDEX(Services!$E$5:$E$204,MATCH(G30,Services!$A$5:$A$204,0))*1,0)+IFERROR(INDEX(Services!$F$5:$F$204,MATCH(G30,Services!$A$5:$A$204,0))*1,0)))</f>
        <v>0</v>
      </c>
      <c r="V30" s="36">
        <f>IF(B30="","",IF(D30="","",D30+U30/1440))</f>
        <v>0</v>
      </c>
      <c r="W30" s="25">
        <f>IF(B30="","",IF(D30="","",HOUR(D30)))</f>
        <v>0</v>
      </c>
      <c r="X30" s="37">
        <f>IF(B30="","",ROUND(U30/60,2))</f>
        <v>0</v>
      </c>
      <c r="Y30" s="26">
        <f>IF(B30="","",IF(L30&lt;&gt;"",L30,IFERROR(INDEX(Services!$G$5:$G$204,MATCH(G30,Services!$A$5:$A$204,0))*1,0)))</f>
        <v>0</v>
      </c>
      <c r="Z30" s="26">
        <f>IF(B30="","",IF(O30&lt;&gt;"",O30,IF(Y30&gt;=DepositThreshold,ROUND(Y30*DepositPercent,2),0)))</f>
        <v>0</v>
      </c>
      <c r="AA30" s="26">
        <f>IF(B30="","",ROUND(SUMIFS(Payments!$G$5:$G$1204,Payments!$I$5:$I$1204,A30,Payments!$E$5:$E$1204,"Deposit"),2))</f>
        <v>0</v>
      </c>
      <c r="AB30" s="26">
        <f>IF(B30="","",ROUND(SUMIFS(Sales!$Y$5:$Y$1204,Sales!$C$5:$C$1204,A30),2))</f>
        <v>0</v>
      </c>
      <c r="AC30" s="38">
        <f>IF(B30="","",IF(M30="Completed","Yes",IF(M30="Cancelled","Yes",IF(M30="No show","Yes","No"))))</f>
        <v>0</v>
      </c>
      <c r="AD30" s="25">
        <f>IF(B30="","",IF(AE30="","",B30-AE30))</f>
        <v>0</v>
      </c>
      <c r="AF30" s="38">
        <f>IF(B30="","",IF(M30&lt;&gt;"Completed","",IF(E30="","No",IF(COUNTIFS(Appointments!$E$5:$E$1204,E30,Appointments!$B$5:$B$1204,"&gt;"&amp;B30,Appointments!$M$5:$M$1204,"&lt;&gt;Cancelled")&gt;0,"Yes","No"))))</f>
        <v>0</v>
      </c>
      <c r="AG30" s="38">
        <f>IF(B30="","",IF(I30="","",IF(D30="","",IF(COUNTIFS($I$5:$I$1204,I30,$B$5:$B$1204,B30,$D$5:$D$1204,"&lt;"&amp;V30,$V$5:$V$1204,"&gt;"&amp;D30,$M$5:$M$1204,"&lt;&gt;Cancelled")&gt;1,"Clash",""))))</f>
        <v>0</v>
      </c>
      <c r="AH30" s="39">
        <f>IF(B30="","",IF(AG30="Clash","Clash - stylist double booked",IF(I30="","Assign - no stylist yet",IF(G30="","Add - no service chosen",IF(M30="No show","No show - charge the fee?",IF(M30="Cancelled","",IF(IF(M30="Completed",AB30&lt;Y30-0.004,FALSE),"Unpaid - nothing rung up for this visit",IF(IF(B30&lt;TodayDate,M30="Booked",FALSE),"Overdue - past date, still only Booked",IF(IF(B30=TodayDate,TRUE,FALSE),"Today",IF(IF(Z30&gt;0,AA30&lt;Z30-0.004,FALSE),"Due - deposit not taken",IF(IF(B30&gt;TodayDate,B30&lt;=TodayDate+2,FALSE),"Confirm - coming up","OK")))))))))))</f>
        <v>0</v>
      </c>
    </row>
    <row r="31" spans="1:34">
      <c r="A31" s="28">
        <f>IF(B31="","",AppointmentPrefix&amp;TEXT(ROW()-4,"0000"))</f>
        <v>0</v>
      </c>
      <c r="C31" s="15">
        <f>IF(B31="","",TEXT(B31,"ddd"))</f>
        <v>0</v>
      </c>
      <c r="F31" s="15">
        <f>IF(E31="","",IFERROR(INDEX(Clients!$B$5:$B$504,MATCH(E31,Clients!$A$5:$A$504,0)),"Walk-in"))</f>
        <v>0</v>
      </c>
      <c r="H31" s="15">
        <f>IF(G31="","",IFERROR(INDEX(Services!$B$5:$B$204,MATCH(G31,Services!$A$5:$A$204,0)),"Not in Services"))</f>
        <v>0</v>
      </c>
      <c r="J31" s="15">
        <f>IF(I31="","",IFERROR(INDEX(Staff!$B$5:$B$44,MATCH(I31,Staff!$A$5:$A$44,0)),"Unassigned"))</f>
        <v>0</v>
      </c>
      <c r="S31" s="15">
        <f>IF(B31="","",TEXT(B31,"yyyy-mm"))</f>
        <v>0</v>
      </c>
      <c r="T31" s="25">
        <f>IF(B31="","",WEEKNUM(B31,2))</f>
        <v>0</v>
      </c>
      <c r="U31" s="25">
        <f>IF(B31="","",IF(K31&lt;&gt;"",K31,IFERROR(INDEX(Services!$E$5:$E$204,MATCH(G31,Services!$A$5:$A$204,0))*1,0)+IFERROR(INDEX(Services!$F$5:$F$204,MATCH(G31,Services!$A$5:$A$204,0))*1,0)))</f>
        <v>0</v>
      </c>
      <c r="V31" s="36">
        <f>IF(B31="","",IF(D31="","",D31+U31/1440))</f>
        <v>0</v>
      </c>
      <c r="W31" s="25">
        <f>IF(B31="","",IF(D31="","",HOUR(D31)))</f>
        <v>0</v>
      </c>
      <c r="X31" s="37">
        <f>IF(B31="","",ROUND(U31/60,2))</f>
        <v>0</v>
      </c>
      <c r="Y31" s="26">
        <f>IF(B31="","",IF(L31&lt;&gt;"",L31,IFERROR(INDEX(Services!$G$5:$G$204,MATCH(G31,Services!$A$5:$A$204,0))*1,0)))</f>
        <v>0</v>
      </c>
      <c r="Z31" s="26">
        <f>IF(B31="","",IF(O31&lt;&gt;"",O31,IF(Y31&gt;=DepositThreshold,ROUND(Y31*DepositPercent,2),0)))</f>
        <v>0</v>
      </c>
      <c r="AA31" s="26">
        <f>IF(B31="","",ROUND(SUMIFS(Payments!$G$5:$G$1204,Payments!$I$5:$I$1204,A31,Payments!$E$5:$E$1204,"Deposit"),2))</f>
        <v>0</v>
      </c>
      <c r="AB31" s="26">
        <f>IF(B31="","",ROUND(SUMIFS(Sales!$Y$5:$Y$1204,Sales!$C$5:$C$1204,A31),2))</f>
        <v>0</v>
      </c>
      <c r="AC31" s="38">
        <f>IF(B31="","",IF(M31="Completed","Yes",IF(M31="Cancelled","Yes",IF(M31="No show","Yes","No"))))</f>
        <v>0</v>
      </c>
      <c r="AD31" s="25">
        <f>IF(B31="","",IF(AE31="","",B31-AE31))</f>
        <v>0</v>
      </c>
      <c r="AF31" s="38">
        <f>IF(B31="","",IF(M31&lt;&gt;"Completed","",IF(E31="","No",IF(COUNTIFS(Appointments!$E$5:$E$1204,E31,Appointments!$B$5:$B$1204,"&gt;"&amp;B31,Appointments!$M$5:$M$1204,"&lt;&gt;Cancelled")&gt;0,"Yes","No"))))</f>
        <v>0</v>
      </c>
      <c r="AG31" s="38">
        <f>IF(B31="","",IF(I31="","",IF(D31="","",IF(COUNTIFS($I$5:$I$1204,I31,$B$5:$B$1204,B31,$D$5:$D$1204,"&lt;"&amp;V31,$V$5:$V$1204,"&gt;"&amp;D31,$M$5:$M$1204,"&lt;&gt;Cancelled")&gt;1,"Clash",""))))</f>
        <v>0</v>
      </c>
      <c r="AH31" s="39">
        <f>IF(B31="","",IF(AG31="Clash","Clash - stylist double booked",IF(I31="","Assign - no stylist yet",IF(G31="","Add - no service chosen",IF(M31="No show","No show - charge the fee?",IF(M31="Cancelled","",IF(IF(M31="Completed",AB31&lt;Y31-0.004,FALSE),"Unpaid - nothing rung up for this visit",IF(IF(B31&lt;TodayDate,M31="Booked",FALSE),"Overdue - past date, still only Booked",IF(IF(B31=TodayDate,TRUE,FALSE),"Today",IF(IF(Z31&gt;0,AA31&lt;Z31-0.004,FALSE),"Due - deposit not taken",IF(IF(B31&gt;TodayDate,B31&lt;=TodayDate+2,FALSE),"Confirm - coming up","OK")))))))))))</f>
        <v>0</v>
      </c>
    </row>
    <row r="32" spans="1:34">
      <c r="A32" s="28">
        <f>IF(B32="","",AppointmentPrefix&amp;TEXT(ROW()-4,"0000"))</f>
        <v>0</v>
      </c>
      <c r="C32" s="15">
        <f>IF(B32="","",TEXT(B32,"ddd"))</f>
        <v>0</v>
      </c>
      <c r="F32" s="15">
        <f>IF(E32="","",IFERROR(INDEX(Clients!$B$5:$B$504,MATCH(E32,Clients!$A$5:$A$504,0)),"Walk-in"))</f>
        <v>0</v>
      </c>
      <c r="H32" s="15">
        <f>IF(G32="","",IFERROR(INDEX(Services!$B$5:$B$204,MATCH(G32,Services!$A$5:$A$204,0)),"Not in Services"))</f>
        <v>0</v>
      </c>
      <c r="J32" s="15">
        <f>IF(I32="","",IFERROR(INDEX(Staff!$B$5:$B$44,MATCH(I32,Staff!$A$5:$A$44,0)),"Unassigned"))</f>
        <v>0</v>
      </c>
      <c r="S32" s="15">
        <f>IF(B32="","",TEXT(B32,"yyyy-mm"))</f>
        <v>0</v>
      </c>
      <c r="T32" s="25">
        <f>IF(B32="","",WEEKNUM(B32,2))</f>
        <v>0</v>
      </c>
      <c r="U32" s="25">
        <f>IF(B32="","",IF(K32&lt;&gt;"",K32,IFERROR(INDEX(Services!$E$5:$E$204,MATCH(G32,Services!$A$5:$A$204,0))*1,0)+IFERROR(INDEX(Services!$F$5:$F$204,MATCH(G32,Services!$A$5:$A$204,0))*1,0)))</f>
        <v>0</v>
      </c>
      <c r="V32" s="36">
        <f>IF(B32="","",IF(D32="","",D32+U32/1440))</f>
        <v>0</v>
      </c>
      <c r="W32" s="25">
        <f>IF(B32="","",IF(D32="","",HOUR(D32)))</f>
        <v>0</v>
      </c>
      <c r="X32" s="37">
        <f>IF(B32="","",ROUND(U32/60,2))</f>
        <v>0</v>
      </c>
      <c r="Y32" s="26">
        <f>IF(B32="","",IF(L32&lt;&gt;"",L32,IFERROR(INDEX(Services!$G$5:$G$204,MATCH(G32,Services!$A$5:$A$204,0))*1,0)))</f>
        <v>0</v>
      </c>
      <c r="Z32" s="26">
        <f>IF(B32="","",IF(O32&lt;&gt;"",O32,IF(Y32&gt;=DepositThreshold,ROUND(Y32*DepositPercent,2),0)))</f>
        <v>0</v>
      </c>
      <c r="AA32" s="26">
        <f>IF(B32="","",ROUND(SUMIFS(Payments!$G$5:$G$1204,Payments!$I$5:$I$1204,A32,Payments!$E$5:$E$1204,"Deposit"),2))</f>
        <v>0</v>
      </c>
      <c r="AB32" s="26">
        <f>IF(B32="","",ROUND(SUMIFS(Sales!$Y$5:$Y$1204,Sales!$C$5:$C$1204,A32),2))</f>
        <v>0</v>
      </c>
      <c r="AC32" s="38">
        <f>IF(B32="","",IF(M32="Completed","Yes",IF(M32="Cancelled","Yes",IF(M32="No show","Yes","No"))))</f>
        <v>0</v>
      </c>
      <c r="AD32" s="25">
        <f>IF(B32="","",IF(AE32="","",B32-AE32))</f>
        <v>0</v>
      </c>
      <c r="AF32" s="38">
        <f>IF(B32="","",IF(M32&lt;&gt;"Completed","",IF(E32="","No",IF(COUNTIFS(Appointments!$E$5:$E$1204,E32,Appointments!$B$5:$B$1204,"&gt;"&amp;B32,Appointments!$M$5:$M$1204,"&lt;&gt;Cancelled")&gt;0,"Yes","No"))))</f>
        <v>0</v>
      </c>
      <c r="AG32" s="38">
        <f>IF(B32="","",IF(I32="","",IF(D32="","",IF(COUNTIFS($I$5:$I$1204,I32,$B$5:$B$1204,B32,$D$5:$D$1204,"&lt;"&amp;V32,$V$5:$V$1204,"&gt;"&amp;D32,$M$5:$M$1204,"&lt;&gt;Cancelled")&gt;1,"Clash",""))))</f>
        <v>0</v>
      </c>
      <c r="AH32" s="39">
        <f>IF(B32="","",IF(AG32="Clash","Clash - stylist double booked",IF(I32="","Assign - no stylist yet",IF(G32="","Add - no service chosen",IF(M32="No show","No show - charge the fee?",IF(M32="Cancelled","",IF(IF(M32="Completed",AB32&lt;Y32-0.004,FALSE),"Unpaid - nothing rung up for this visit",IF(IF(B32&lt;TodayDate,M32="Booked",FALSE),"Overdue - past date, still only Booked",IF(IF(B32=TodayDate,TRUE,FALSE),"Today",IF(IF(Z32&gt;0,AA32&lt;Z32-0.004,FALSE),"Due - deposit not taken",IF(IF(B32&gt;TodayDate,B32&lt;=TodayDate+2,FALSE),"Confirm - coming up","OK")))))))))))</f>
        <v>0</v>
      </c>
    </row>
    <row r="33" spans="1:34">
      <c r="A33" s="28">
        <f>IF(B33="","",AppointmentPrefix&amp;TEXT(ROW()-4,"0000"))</f>
        <v>0</v>
      </c>
      <c r="C33" s="15">
        <f>IF(B33="","",TEXT(B33,"ddd"))</f>
        <v>0</v>
      </c>
      <c r="F33" s="15">
        <f>IF(E33="","",IFERROR(INDEX(Clients!$B$5:$B$504,MATCH(E33,Clients!$A$5:$A$504,0)),"Walk-in"))</f>
        <v>0</v>
      </c>
      <c r="H33" s="15">
        <f>IF(G33="","",IFERROR(INDEX(Services!$B$5:$B$204,MATCH(G33,Services!$A$5:$A$204,0)),"Not in Services"))</f>
        <v>0</v>
      </c>
      <c r="J33" s="15">
        <f>IF(I33="","",IFERROR(INDEX(Staff!$B$5:$B$44,MATCH(I33,Staff!$A$5:$A$44,0)),"Unassigned"))</f>
        <v>0</v>
      </c>
      <c r="S33" s="15">
        <f>IF(B33="","",TEXT(B33,"yyyy-mm"))</f>
        <v>0</v>
      </c>
      <c r="T33" s="25">
        <f>IF(B33="","",WEEKNUM(B33,2))</f>
        <v>0</v>
      </c>
      <c r="U33" s="25">
        <f>IF(B33="","",IF(K33&lt;&gt;"",K33,IFERROR(INDEX(Services!$E$5:$E$204,MATCH(G33,Services!$A$5:$A$204,0))*1,0)+IFERROR(INDEX(Services!$F$5:$F$204,MATCH(G33,Services!$A$5:$A$204,0))*1,0)))</f>
        <v>0</v>
      </c>
      <c r="V33" s="36">
        <f>IF(B33="","",IF(D33="","",D33+U33/1440))</f>
        <v>0</v>
      </c>
      <c r="W33" s="25">
        <f>IF(B33="","",IF(D33="","",HOUR(D33)))</f>
        <v>0</v>
      </c>
      <c r="X33" s="37">
        <f>IF(B33="","",ROUND(U33/60,2))</f>
        <v>0</v>
      </c>
      <c r="Y33" s="26">
        <f>IF(B33="","",IF(L33&lt;&gt;"",L33,IFERROR(INDEX(Services!$G$5:$G$204,MATCH(G33,Services!$A$5:$A$204,0))*1,0)))</f>
        <v>0</v>
      </c>
      <c r="Z33" s="26">
        <f>IF(B33="","",IF(O33&lt;&gt;"",O33,IF(Y33&gt;=DepositThreshold,ROUND(Y33*DepositPercent,2),0)))</f>
        <v>0</v>
      </c>
      <c r="AA33" s="26">
        <f>IF(B33="","",ROUND(SUMIFS(Payments!$G$5:$G$1204,Payments!$I$5:$I$1204,A33,Payments!$E$5:$E$1204,"Deposit"),2))</f>
        <v>0</v>
      </c>
      <c r="AB33" s="26">
        <f>IF(B33="","",ROUND(SUMIFS(Sales!$Y$5:$Y$1204,Sales!$C$5:$C$1204,A33),2))</f>
        <v>0</v>
      </c>
      <c r="AC33" s="38">
        <f>IF(B33="","",IF(M33="Completed","Yes",IF(M33="Cancelled","Yes",IF(M33="No show","Yes","No"))))</f>
        <v>0</v>
      </c>
      <c r="AD33" s="25">
        <f>IF(B33="","",IF(AE33="","",B33-AE33))</f>
        <v>0</v>
      </c>
      <c r="AF33" s="38">
        <f>IF(B33="","",IF(M33&lt;&gt;"Completed","",IF(E33="","No",IF(COUNTIFS(Appointments!$E$5:$E$1204,E33,Appointments!$B$5:$B$1204,"&gt;"&amp;B33,Appointments!$M$5:$M$1204,"&lt;&gt;Cancelled")&gt;0,"Yes","No"))))</f>
        <v>0</v>
      </c>
      <c r="AG33" s="38">
        <f>IF(B33="","",IF(I33="","",IF(D33="","",IF(COUNTIFS($I$5:$I$1204,I33,$B$5:$B$1204,B33,$D$5:$D$1204,"&lt;"&amp;V33,$V$5:$V$1204,"&gt;"&amp;D33,$M$5:$M$1204,"&lt;&gt;Cancelled")&gt;1,"Clash",""))))</f>
        <v>0</v>
      </c>
      <c r="AH33" s="39">
        <f>IF(B33="","",IF(AG33="Clash","Clash - stylist double booked",IF(I33="","Assign - no stylist yet",IF(G33="","Add - no service chosen",IF(M33="No show","No show - charge the fee?",IF(M33="Cancelled","",IF(IF(M33="Completed",AB33&lt;Y33-0.004,FALSE),"Unpaid - nothing rung up for this visit",IF(IF(B33&lt;TodayDate,M33="Booked",FALSE),"Overdue - past date, still only Booked",IF(IF(B33=TodayDate,TRUE,FALSE),"Today",IF(IF(Z33&gt;0,AA33&lt;Z33-0.004,FALSE),"Due - deposit not taken",IF(IF(B33&gt;TodayDate,B33&lt;=TodayDate+2,FALSE),"Confirm - coming up","OK")))))))))))</f>
        <v>0</v>
      </c>
    </row>
    <row r="34" spans="1:34">
      <c r="A34" s="28">
        <f>IF(B34="","",AppointmentPrefix&amp;TEXT(ROW()-4,"0000"))</f>
        <v>0</v>
      </c>
      <c r="C34" s="15">
        <f>IF(B34="","",TEXT(B34,"ddd"))</f>
        <v>0</v>
      </c>
      <c r="F34" s="15">
        <f>IF(E34="","",IFERROR(INDEX(Clients!$B$5:$B$504,MATCH(E34,Clients!$A$5:$A$504,0)),"Walk-in"))</f>
        <v>0</v>
      </c>
      <c r="H34" s="15">
        <f>IF(G34="","",IFERROR(INDEX(Services!$B$5:$B$204,MATCH(G34,Services!$A$5:$A$204,0)),"Not in Services"))</f>
        <v>0</v>
      </c>
      <c r="J34" s="15">
        <f>IF(I34="","",IFERROR(INDEX(Staff!$B$5:$B$44,MATCH(I34,Staff!$A$5:$A$44,0)),"Unassigned"))</f>
        <v>0</v>
      </c>
      <c r="S34" s="15">
        <f>IF(B34="","",TEXT(B34,"yyyy-mm"))</f>
        <v>0</v>
      </c>
      <c r="T34" s="25">
        <f>IF(B34="","",WEEKNUM(B34,2))</f>
        <v>0</v>
      </c>
      <c r="U34" s="25">
        <f>IF(B34="","",IF(K34&lt;&gt;"",K34,IFERROR(INDEX(Services!$E$5:$E$204,MATCH(G34,Services!$A$5:$A$204,0))*1,0)+IFERROR(INDEX(Services!$F$5:$F$204,MATCH(G34,Services!$A$5:$A$204,0))*1,0)))</f>
        <v>0</v>
      </c>
      <c r="V34" s="36">
        <f>IF(B34="","",IF(D34="","",D34+U34/1440))</f>
        <v>0</v>
      </c>
      <c r="W34" s="25">
        <f>IF(B34="","",IF(D34="","",HOUR(D34)))</f>
        <v>0</v>
      </c>
      <c r="X34" s="37">
        <f>IF(B34="","",ROUND(U34/60,2))</f>
        <v>0</v>
      </c>
      <c r="Y34" s="26">
        <f>IF(B34="","",IF(L34&lt;&gt;"",L34,IFERROR(INDEX(Services!$G$5:$G$204,MATCH(G34,Services!$A$5:$A$204,0))*1,0)))</f>
        <v>0</v>
      </c>
      <c r="Z34" s="26">
        <f>IF(B34="","",IF(O34&lt;&gt;"",O34,IF(Y34&gt;=DepositThreshold,ROUND(Y34*DepositPercent,2),0)))</f>
        <v>0</v>
      </c>
      <c r="AA34" s="26">
        <f>IF(B34="","",ROUND(SUMIFS(Payments!$G$5:$G$1204,Payments!$I$5:$I$1204,A34,Payments!$E$5:$E$1204,"Deposit"),2))</f>
        <v>0</v>
      </c>
      <c r="AB34" s="26">
        <f>IF(B34="","",ROUND(SUMIFS(Sales!$Y$5:$Y$1204,Sales!$C$5:$C$1204,A34),2))</f>
        <v>0</v>
      </c>
      <c r="AC34" s="38">
        <f>IF(B34="","",IF(M34="Completed","Yes",IF(M34="Cancelled","Yes",IF(M34="No show","Yes","No"))))</f>
        <v>0</v>
      </c>
      <c r="AD34" s="25">
        <f>IF(B34="","",IF(AE34="","",B34-AE34))</f>
        <v>0</v>
      </c>
      <c r="AF34" s="38">
        <f>IF(B34="","",IF(M34&lt;&gt;"Completed","",IF(E34="","No",IF(COUNTIFS(Appointments!$E$5:$E$1204,E34,Appointments!$B$5:$B$1204,"&gt;"&amp;B34,Appointments!$M$5:$M$1204,"&lt;&gt;Cancelled")&gt;0,"Yes","No"))))</f>
        <v>0</v>
      </c>
      <c r="AG34" s="38">
        <f>IF(B34="","",IF(I34="","",IF(D34="","",IF(COUNTIFS($I$5:$I$1204,I34,$B$5:$B$1204,B34,$D$5:$D$1204,"&lt;"&amp;V34,$V$5:$V$1204,"&gt;"&amp;D34,$M$5:$M$1204,"&lt;&gt;Cancelled")&gt;1,"Clash",""))))</f>
        <v>0</v>
      </c>
      <c r="AH34" s="39">
        <f>IF(B34="","",IF(AG34="Clash","Clash - stylist double booked",IF(I34="","Assign - no stylist yet",IF(G34="","Add - no service chosen",IF(M34="No show","No show - charge the fee?",IF(M34="Cancelled","",IF(IF(M34="Completed",AB34&lt;Y34-0.004,FALSE),"Unpaid - nothing rung up for this visit",IF(IF(B34&lt;TodayDate,M34="Booked",FALSE),"Overdue - past date, still only Booked",IF(IF(B34=TodayDate,TRUE,FALSE),"Today",IF(IF(Z34&gt;0,AA34&lt;Z34-0.004,FALSE),"Due - deposit not taken",IF(IF(B34&gt;TodayDate,B34&lt;=TodayDate+2,FALSE),"Confirm - coming up","OK")))))))))))</f>
        <v>0</v>
      </c>
    </row>
    <row r="35" spans="1:34">
      <c r="A35" s="28">
        <f>IF(B35="","",AppointmentPrefix&amp;TEXT(ROW()-4,"0000"))</f>
        <v>0</v>
      </c>
      <c r="C35" s="15">
        <f>IF(B35="","",TEXT(B35,"ddd"))</f>
        <v>0</v>
      </c>
      <c r="F35" s="15">
        <f>IF(E35="","",IFERROR(INDEX(Clients!$B$5:$B$504,MATCH(E35,Clients!$A$5:$A$504,0)),"Walk-in"))</f>
        <v>0</v>
      </c>
      <c r="H35" s="15">
        <f>IF(G35="","",IFERROR(INDEX(Services!$B$5:$B$204,MATCH(G35,Services!$A$5:$A$204,0)),"Not in Services"))</f>
        <v>0</v>
      </c>
      <c r="J35" s="15">
        <f>IF(I35="","",IFERROR(INDEX(Staff!$B$5:$B$44,MATCH(I35,Staff!$A$5:$A$44,0)),"Unassigned"))</f>
        <v>0</v>
      </c>
      <c r="S35" s="15">
        <f>IF(B35="","",TEXT(B35,"yyyy-mm"))</f>
        <v>0</v>
      </c>
      <c r="T35" s="25">
        <f>IF(B35="","",WEEKNUM(B35,2))</f>
        <v>0</v>
      </c>
      <c r="U35" s="25">
        <f>IF(B35="","",IF(K35&lt;&gt;"",K35,IFERROR(INDEX(Services!$E$5:$E$204,MATCH(G35,Services!$A$5:$A$204,0))*1,0)+IFERROR(INDEX(Services!$F$5:$F$204,MATCH(G35,Services!$A$5:$A$204,0))*1,0)))</f>
        <v>0</v>
      </c>
      <c r="V35" s="36">
        <f>IF(B35="","",IF(D35="","",D35+U35/1440))</f>
        <v>0</v>
      </c>
      <c r="W35" s="25">
        <f>IF(B35="","",IF(D35="","",HOUR(D35)))</f>
        <v>0</v>
      </c>
      <c r="X35" s="37">
        <f>IF(B35="","",ROUND(U35/60,2))</f>
        <v>0</v>
      </c>
      <c r="Y35" s="26">
        <f>IF(B35="","",IF(L35&lt;&gt;"",L35,IFERROR(INDEX(Services!$G$5:$G$204,MATCH(G35,Services!$A$5:$A$204,0))*1,0)))</f>
        <v>0</v>
      </c>
      <c r="Z35" s="26">
        <f>IF(B35="","",IF(O35&lt;&gt;"",O35,IF(Y35&gt;=DepositThreshold,ROUND(Y35*DepositPercent,2),0)))</f>
        <v>0</v>
      </c>
      <c r="AA35" s="26">
        <f>IF(B35="","",ROUND(SUMIFS(Payments!$G$5:$G$1204,Payments!$I$5:$I$1204,A35,Payments!$E$5:$E$1204,"Deposit"),2))</f>
        <v>0</v>
      </c>
      <c r="AB35" s="26">
        <f>IF(B35="","",ROUND(SUMIFS(Sales!$Y$5:$Y$1204,Sales!$C$5:$C$1204,A35),2))</f>
        <v>0</v>
      </c>
      <c r="AC35" s="38">
        <f>IF(B35="","",IF(M35="Completed","Yes",IF(M35="Cancelled","Yes",IF(M35="No show","Yes","No"))))</f>
        <v>0</v>
      </c>
      <c r="AD35" s="25">
        <f>IF(B35="","",IF(AE35="","",B35-AE35))</f>
        <v>0</v>
      </c>
      <c r="AF35" s="38">
        <f>IF(B35="","",IF(M35&lt;&gt;"Completed","",IF(E35="","No",IF(COUNTIFS(Appointments!$E$5:$E$1204,E35,Appointments!$B$5:$B$1204,"&gt;"&amp;B35,Appointments!$M$5:$M$1204,"&lt;&gt;Cancelled")&gt;0,"Yes","No"))))</f>
        <v>0</v>
      </c>
      <c r="AG35" s="38">
        <f>IF(B35="","",IF(I35="","",IF(D35="","",IF(COUNTIFS($I$5:$I$1204,I35,$B$5:$B$1204,B35,$D$5:$D$1204,"&lt;"&amp;V35,$V$5:$V$1204,"&gt;"&amp;D35,$M$5:$M$1204,"&lt;&gt;Cancelled")&gt;1,"Clash",""))))</f>
        <v>0</v>
      </c>
      <c r="AH35" s="39">
        <f>IF(B35="","",IF(AG35="Clash","Clash - stylist double booked",IF(I35="","Assign - no stylist yet",IF(G35="","Add - no service chosen",IF(M35="No show","No show - charge the fee?",IF(M35="Cancelled","",IF(IF(M35="Completed",AB35&lt;Y35-0.004,FALSE),"Unpaid - nothing rung up for this visit",IF(IF(B35&lt;TodayDate,M35="Booked",FALSE),"Overdue - past date, still only Booked",IF(IF(B35=TodayDate,TRUE,FALSE),"Today",IF(IF(Z35&gt;0,AA35&lt;Z35-0.004,FALSE),"Due - deposit not taken",IF(IF(B35&gt;TodayDate,B35&lt;=TodayDate+2,FALSE),"Confirm - coming up","OK")))))))))))</f>
        <v>0</v>
      </c>
    </row>
    <row r="36" spans="1:34">
      <c r="A36" s="28">
        <f>IF(B36="","",AppointmentPrefix&amp;TEXT(ROW()-4,"0000"))</f>
        <v>0</v>
      </c>
      <c r="C36" s="15">
        <f>IF(B36="","",TEXT(B36,"ddd"))</f>
        <v>0</v>
      </c>
      <c r="F36" s="15">
        <f>IF(E36="","",IFERROR(INDEX(Clients!$B$5:$B$504,MATCH(E36,Clients!$A$5:$A$504,0)),"Walk-in"))</f>
        <v>0</v>
      </c>
      <c r="H36" s="15">
        <f>IF(G36="","",IFERROR(INDEX(Services!$B$5:$B$204,MATCH(G36,Services!$A$5:$A$204,0)),"Not in Services"))</f>
        <v>0</v>
      </c>
      <c r="J36" s="15">
        <f>IF(I36="","",IFERROR(INDEX(Staff!$B$5:$B$44,MATCH(I36,Staff!$A$5:$A$44,0)),"Unassigned"))</f>
        <v>0</v>
      </c>
      <c r="S36" s="15">
        <f>IF(B36="","",TEXT(B36,"yyyy-mm"))</f>
        <v>0</v>
      </c>
      <c r="T36" s="25">
        <f>IF(B36="","",WEEKNUM(B36,2))</f>
        <v>0</v>
      </c>
      <c r="U36" s="25">
        <f>IF(B36="","",IF(K36&lt;&gt;"",K36,IFERROR(INDEX(Services!$E$5:$E$204,MATCH(G36,Services!$A$5:$A$204,0))*1,0)+IFERROR(INDEX(Services!$F$5:$F$204,MATCH(G36,Services!$A$5:$A$204,0))*1,0)))</f>
        <v>0</v>
      </c>
      <c r="V36" s="36">
        <f>IF(B36="","",IF(D36="","",D36+U36/1440))</f>
        <v>0</v>
      </c>
      <c r="W36" s="25">
        <f>IF(B36="","",IF(D36="","",HOUR(D36)))</f>
        <v>0</v>
      </c>
      <c r="X36" s="37">
        <f>IF(B36="","",ROUND(U36/60,2))</f>
        <v>0</v>
      </c>
      <c r="Y36" s="26">
        <f>IF(B36="","",IF(L36&lt;&gt;"",L36,IFERROR(INDEX(Services!$G$5:$G$204,MATCH(G36,Services!$A$5:$A$204,0))*1,0)))</f>
        <v>0</v>
      </c>
      <c r="Z36" s="26">
        <f>IF(B36="","",IF(O36&lt;&gt;"",O36,IF(Y36&gt;=DepositThreshold,ROUND(Y36*DepositPercent,2),0)))</f>
        <v>0</v>
      </c>
      <c r="AA36" s="26">
        <f>IF(B36="","",ROUND(SUMIFS(Payments!$G$5:$G$1204,Payments!$I$5:$I$1204,A36,Payments!$E$5:$E$1204,"Deposit"),2))</f>
        <v>0</v>
      </c>
      <c r="AB36" s="26">
        <f>IF(B36="","",ROUND(SUMIFS(Sales!$Y$5:$Y$1204,Sales!$C$5:$C$1204,A36),2))</f>
        <v>0</v>
      </c>
      <c r="AC36" s="38">
        <f>IF(B36="","",IF(M36="Completed","Yes",IF(M36="Cancelled","Yes",IF(M36="No show","Yes","No"))))</f>
        <v>0</v>
      </c>
      <c r="AD36" s="25">
        <f>IF(B36="","",IF(AE36="","",B36-AE36))</f>
        <v>0</v>
      </c>
      <c r="AF36" s="38">
        <f>IF(B36="","",IF(M36&lt;&gt;"Completed","",IF(E36="","No",IF(COUNTIFS(Appointments!$E$5:$E$1204,E36,Appointments!$B$5:$B$1204,"&gt;"&amp;B36,Appointments!$M$5:$M$1204,"&lt;&gt;Cancelled")&gt;0,"Yes","No"))))</f>
        <v>0</v>
      </c>
      <c r="AG36" s="38">
        <f>IF(B36="","",IF(I36="","",IF(D36="","",IF(COUNTIFS($I$5:$I$1204,I36,$B$5:$B$1204,B36,$D$5:$D$1204,"&lt;"&amp;V36,$V$5:$V$1204,"&gt;"&amp;D36,$M$5:$M$1204,"&lt;&gt;Cancelled")&gt;1,"Clash",""))))</f>
        <v>0</v>
      </c>
      <c r="AH36" s="39">
        <f>IF(B36="","",IF(AG36="Clash","Clash - stylist double booked",IF(I36="","Assign - no stylist yet",IF(G36="","Add - no service chosen",IF(M36="No show","No show - charge the fee?",IF(M36="Cancelled","",IF(IF(M36="Completed",AB36&lt;Y36-0.004,FALSE),"Unpaid - nothing rung up for this visit",IF(IF(B36&lt;TodayDate,M36="Booked",FALSE),"Overdue - past date, still only Booked",IF(IF(B36=TodayDate,TRUE,FALSE),"Today",IF(IF(Z36&gt;0,AA36&lt;Z36-0.004,FALSE),"Due - deposit not taken",IF(IF(B36&gt;TodayDate,B36&lt;=TodayDate+2,FALSE),"Confirm - coming up","OK")))))))))))</f>
        <v>0</v>
      </c>
    </row>
    <row r="37" spans="1:34">
      <c r="A37" s="28">
        <f>IF(B37="","",AppointmentPrefix&amp;TEXT(ROW()-4,"0000"))</f>
        <v>0</v>
      </c>
      <c r="C37" s="15">
        <f>IF(B37="","",TEXT(B37,"ddd"))</f>
        <v>0</v>
      </c>
      <c r="F37" s="15">
        <f>IF(E37="","",IFERROR(INDEX(Clients!$B$5:$B$504,MATCH(E37,Clients!$A$5:$A$504,0)),"Walk-in"))</f>
        <v>0</v>
      </c>
      <c r="H37" s="15">
        <f>IF(G37="","",IFERROR(INDEX(Services!$B$5:$B$204,MATCH(G37,Services!$A$5:$A$204,0)),"Not in Services"))</f>
        <v>0</v>
      </c>
      <c r="J37" s="15">
        <f>IF(I37="","",IFERROR(INDEX(Staff!$B$5:$B$44,MATCH(I37,Staff!$A$5:$A$44,0)),"Unassigned"))</f>
        <v>0</v>
      </c>
      <c r="S37" s="15">
        <f>IF(B37="","",TEXT(B37,"yyyy-mm"))</f>
        <v>0</v>
      </c>
      <c r="T37" s="25">
        <f>IF(B37="","",WEEKNUM(B37,2))</f>
        <v>0</v>
      </c>
      <c r="U37" s="25">
        <f>IF(B37="","",IF(K37&lt;&gt;"",K37,IFERROR(INDEX(Services!$E$5:$E$204,MATCH(G37,Services!$A$5:$A$204,0))*1,0)+IFERROR(INDEX(Services!$F$5:$F$204,MATCH(G37,Services!$A$5:$A$204,0))*1,0)))</f>
        <v>0</v>
      </c>
      <c r="V37" s="36">
        <f>IF(B37="","",IF(D37="","",D37+U37/1440))</f>
        <v>0</v>
      </c>
      <c r="W37" s="25">
        <f>IF(B37="","",IF(D37="","",HOUR(D37)))</f>
        <v>0</v>
      </c>
      <c r="X37" s="37">
        <f>IF(B37="","",ROUND(U37/60,2))</f>
        <v>0</v>
      </c>
      <c r="Y37" s="26">
        <f>IF(B37="","",IF(L37&lt;&gt;"",L37,IFERROR(INDEX(Services!$G$5:$G$204,MATCH(G37,Services!$A$5:$A$204,0))*1,0)))</f>
        <v>0</v>
      </c>
      <c r="Z37" s="26">
        <f>IF(B37="","",IF(O37&lt;&gt;"",O37,IF(Y37&gt;=DepositThreshold,ROUND(Y37*DepositPercent,2),0)))</f>
        <v>0</v>
      </c>
      <c r="AA37" s="26">
        <f>IF(B37="","",ROUND(SUMIFS(Payments!$G$5:$G$1204,Payments!$I$5:$I$1204,A37,Payments!$E$5:$E$1204,"Deposit"),2))</f>
        <v>0</v>
      </c>
      <c r="AB37" s="26">
        <f>IF(B37="","",ROUND(SUMIFS(Sales!$Y$5:$Y$1204,Sales!$C$5:$C$1204,A37),2))</f>
        <v>0</v>
      </c>
      <c r="AC37" s="38">
        <f>IF(B37="","",IF(M37="Completed","Yes",IF(M37="Cancelled","Yes",IF(M37="No show","Yes","No"))))</f>
        <v>0</v>
      </c>
      <c r="AD37" s="25">
        <f>IF(B37="","",IF(AE37="","",B37-AE37))</f>
        <v>0</v>
      </c>
      <c r="AF37" s="38">
        <f>IF(B37="","",IF(M37&lt;&gt;"Completed","",IF(E37="","No",IF(COUNTIFS(Appointments!$E$5:$E$1204,E37,Appointments!$B$5:$B$1204,"&gt;"&amp;B37,Appointments!$M$5:$M$1204,"&lt;&gt;Cancelled")&gt;0,"Yes","No"))))</f>
        <v>0</v>
      </c>
      <c r="AG37" s="38">
        <f>IF(B37="","",IF(I37="","",IF(D37="","",IF(COUNTIFS($I$5:$I$1204,I37,$B$5:$B$1204,B37,$D$5:$D$1204,"&lt;"&amp;V37,$V$5:$V$1204,"&gt;"&amp;D37,$M$5:$M$1204,"&lt;&gt;Cancelled")&gt;1,"Clash",""))))</f>
        <v>0</v>
      </c>
      <c r="AH37" s="39">
        <f>IF(B37="","",IF(AG37="Clash","Clash - stylist double booked",IF(I37="","Assign - no stylist yet",IF(G37="","Add - no service chosen",IF(M37="No show","No show - charge the fee?",IF(M37="Cancelled","",IF(IF(M37="Completed",AB37&lt;Y37-0.004,FALSE),"Unpaid - nothing rung up for this visit",IF(IF(B37&lt;TodayDate,M37="Booked",FALSE),"Overdue - past date, still only Booked",IF(IF(B37=TodayDate,TRUE,FALSE),"Today",IF(IF(Z37&gt;0,AA37&lt;Z37-0.004,FALSE),"Due - deposit not taken",IF(IF(B37&gt;TodayDate,B37&lt;=TodayDate+2,FALSE),"Confirm - coming up","OK")))))))))))</f>
        <v>0</v>
      </c>
    </row>
    <row r="38" spans="1:34">
      <c r="A38" s="28">
        <f>IF(B38="","",AppointmentPrefix&amp;TEXT(ROW()-4,"0000"))</f>
        <v>0</v>
      </c>
      <c r="C38" s="15">
        <f>IF(B38="","",TEXT(B38,"ddd"))</f>
        <v>0</v>
      </c>
      <c r="F38" s="15">
        <f>IF(E38="","",IFERROR(INDEX(Clients!$B$5:$B$504,MATCH(E38,Clients!$A$5:$A$504,0)),"Walk-in"))</f>
        <v>0</v>
      </c>
      <c r="H38" s="15">
        <f>IF(G38="","",IFERROR(INDEX(Services!$B$5:$B$204,MATCH(G38,Services!$A$5:$A$204,0)),"Not in Services"))</f>
        <v>0</v>
      </c>
      <c r="J38" s="15">
        <f>IF(I38="","",IFERROR(INDEX(Staff!$B$5:$B$44,MATCH(I38,Staff!$A$5:$A$44,0)),"Unassigned"))</f>
        <v>0</v>
      </c>
      <c r="S38" s="15">
        <f>IF(B38="","",TEXT(B38,"yyyy-mm"))</f>
        <v>0</v>
      </c>
      <c r="T38" s="25">
        <f>IF(B38="","",WEEKNUM(B38,2))</f>
        <v>0</v>
      </c>
      <c r="U38" s="25">
        <f>IF(B38="","",IF(K38&lt;&gt;"",K38,IFERROR(INDEX(Services!$E$5:$E$204,MATCH(G38,Services!$A$5:$A$204,0))*1,0)+IFERROR(INDEX(Services!$F$5:$F$204,MATCH(G38,Services!$A$5:$A$204,0))*1,0)))</f>
        <v>0</v>
      </c>
      <c r="V38" s="36">
        <f>IF(B38="","",IF(D38="","",D38+U38/1440))</f>
        <v>0</v>
      </c>
      <c r="W38" s="25">
        <f>IF(B38="","",IF(D38="","",HOUR(D38)))</f>
        <v>0</v>
      </c>
      <c r="X38" s="37">
        <f>IF(B38="","",ROUND(U38/60,2))</f>
        <v>0</v>
      </c>
      <c r="Y38" s="26">
        <f>IF(B38="","",IF(L38&lt;&gt;"",L38,IFERROR(INDEX(Services!$G$5:$G$204,MATCH(G38,Services!$A$5:$A$204,0))*1,0)))</f>
        <v>0</v>
      </c>
      <c r="Z38" s="26">
        <f>IF(B38="","",IF(O38&lt;&gt;"",O38,IF(Y38&gt;=DepositThreshold,ROUND(Y38*DepositPercent,2),0)))</f>
        <v>0</v>
      </c>
      <c r="AA38" s="26">
        <f>IF(B38="","",ROUND(SUMIFS(Payments!$G$5:$G$1204,Payments!$I$5:$I$1204,A38,Payments!$E$5:$E$1204,"Deposit"),2))</f>
        <v>0</v>
      </c>
      <c r="AB38" s="26">
        <f>IF(B38="","",ROUND(SUMIFS(Sales!$Y$5:$Y$1204,Sales!$C$5:$C$1204,A38),2))</f>
        <v>0</v>
      </c>
      <c r="AC38" s="38">
        <f>IF(B38="","",IF(M38="Completed","Yes",IF(M38="Cancelled","Yes",IF(M38="No show","Yes","No"))))</f>
        <v>0</v>
      </c>
      <c r="AD38" s="25">
        <f>IF(B38="","",IF(AE38="","",B38-AE38))</f>
        <v>0</v>
      </c>
      <c r="AF38" s="38">
        <f>IF(B38="","",IF(M38&lt;&gt;"Completed","",IF(E38="","No",IF(COUNTIFS(Appointments!$E$5:$E$1204,E38,Appointments!$B$5:$B$1204,"&gt;"&amp;B38,Appointments!$M$5:$M$1204,"&lt;&gt;Cancelled")&gt;0,"Yes","No"))))</f>
        <v>0</v>
      </c>
      <c r="AG38" s="38">
        <f>IF(B38="","",IF(I38="","",IF(D38="","",IF(COUNTIFS($I$5:$I$1204,I38,$B$5:$B$1204,B38,$D$5:$D$1204,"&lt;"&amp;V38,$V$5:$V$1204,"&gt;"&amp;D38,$M$5:$M$1204,"&lt;&gt;Cancelled")&gt;1,"Clash",""))))</f>
        <v>0</v>
      </c>
      <c r="AH38" s="39">
        <f>IF(B38="","",IF(AG38="Clash","Clash - stylist double booked",IF(I38="","Assign - no stylist yet",IF(G38="","Add - no service chosen",IF(M38="No show","No show - charge the fee?",IF(M38="Cancelled","",IF(IF(M38="Completed",AB38&lt;Y38-0.004,FALSE),"Unpaid - nothing rung up for this visit",IF(IF(B38&lt;TodayDate,M38="Booked",FALSE),"Overdue - past date, still only Booked",IF(IF(B38=TodayDate,TRUE,FALSE),"Today",IF(IF(Z38&gt;0,AA38&lt;Z38-0.004,FALSE),"Due - deposit not taken",IF(IF(B38&gt;TodayDate,B38&lt;=TodayDate+2,FALSE),"Confirm - coming up","OK")))))))))))</f>
        <v>0</v>
      </c>
    </row>
    <row r="39" spans="1:34">
      <c r="A39" s="28">
        <f>IF(B39="","",AppointmentPrefix&amp;TEXT(ROW()-4,"0000"))</f>
        <v>0</v>
      </c>
      <c r="C39" s="15">
        <f>IF(B39="","",TEXT(B39,"ddd"))</f>
        <v>0</v>
      </c>
      <c r="F39" s="15">
        <f>IF(E39="","",IFERROR(INDEX(Clients!$B$5:$B$504,MATCH(E39,Clients!$A$5:$A$504,0)),"Walk-in"))</f>
        <v>0</v>
      </c>
      <c r="H39" s="15">
        <f>IF(G39="","",IFERROR(INDEX(Services!$B$5:$B$204,MATCH(G39,Services!$A$5:$A$204,0)),"Not in Services"))</f>
        <v>0</v>
      </c>
      <c r="J39" s="15">
        <f>IF(I39="","",IFERROR(INDEX(Staff!$B$5:$B$44,MATCH(I39,Staff!$A$5:$A$44,0)),"Unassigned"))</f>
        <v>0</v>
      </c>
      <c r="S39" s="15">
        <f>IF(B39="","",TEXT(B39,"yyyy-mm"))</f>
        <v>0</v>
      </c>
      <c r="T39" s="25">
        <f>IF(B39="","",WEEKNUM(B39,2))</f>
        <v>0</v>
      </c>
      <c r="U39" s="25">
        <f>IF(B39="","",IF(K39&lt;&gt;"",K39,IFERROR(INDEX(Services!$E$5:$E$204,MATCH(G39,Services!$A$5:$A$204,0))*1,0)+IFERROR(INDEX(Services!$F$5:$F$204,MATCH(G39,Services!$A$5:$A$204,0))*1,0)))</f>
        <v>0</v>
      </c>
      <c r="V39" s="36">
        <f>IF(B39="","",IF(D39="","",D39+U39/1440))</f>
        <v>0</v>
      </c>
      <c r="W39" s="25">
        <f>IF(B39="","",IF(D39="","",HOUR(D39)))</f>
        <v>0</v>
      </c>
      <c r="X39" s="37">
        <f>IF(B39="","",ROUND(U39/60,2))</f>
        <v>0</v>
      </c>
      <c r="Y39" s="26">
        <f>IF(B39="","",IF(L39&lt;&gt;"",L39,IFERROR(INDEX(Services!$G$5:$G$204,MATCH(G39,Services!$A$5:$A$204,0))*1,0)))</f>
        <v>0</v>
      </c>
      <c r="Z39" s="26">
        <f>IF(B39="","",IF(O39&lt;&gt;"",O39,IF(Y39&gt;=DepositThreshold,ROUND(Y39*DepositPercent,2),0)))</f>
        <v>0</v>
      </c>
      <c r="AA39" s="26">
        <f>IF(B39="","",ROUND(SUMIFS(Payments!$G$5:$G$1204,Payments!$I$5:$I$1204,A39,Payments!$E$5:$E$1204,"Deposit"),2))</f>
        <v>0</v>
      </c>
      <c r="AB39" s="26">
        <f>IF(B39="","",ROUND(SUMIFS(Sales!$Y$5:$Y$1204,Sales!$C$5:$C$1204,A39),2))</f>
        <v>0</v>
      </c>
      <c r="AC39" s="38">
        <f>IF(B39="","",IF(M39="Completed","Yes",IF(M39="Cancelled","Yes",IF(M39="No show","Yes","No"))))</f>
        <v>0</v>
      </c>
      <c r="AD39" s="25">
        <f>IF(B39="","",IF(AE39="","",B39-AE39))</f>
        <v>0</v>
      </c>
      <c r="AF39" s="38">
        <f>IF(B39="","",IF(M39&lt;&gt;"Completed","",IF(E39="","No",IF(COUNTIFS(Appointments!$E$5:$E$1204,E39,Appointments!$B$5:$B$1204,"&gt;"&amp;B39,Appointments!$M$5:$M$1204,"&lt;&gt;Cancelled")&gt;0,"Yes","No"))))</f>
        <v>0</v>
      </c>
      <c r="AG39" s="38">
        <f>IF(B39="","",IF(I39="","",IF(D39="","",IF(COUNTIFS($I$5:$I$1204,I39,$B$5:$B$1204,B39,$D$5:$D$1204,"&lt;"&amp;V39,$V$5:$V$1204,"&gt;"&amp;D39,$M$5:$M$1204,"&lt;&gt;Cancelled")&gt;1,"Clash",""))))</f>
        <v>0</v>
      </c>
      <c r="AH39" s="39">
        <f>IF(B39="","",IF(AG39="Clash","Clash - stylist double booked",IF(I39="","Assign - no stylist yet",IF(G39="","Add - no service chosen",IF(M39="No show","No show - charge the fee?",IF(M39="Cancelled","",IF(IF(M39="Completed",AB39&lt;Y39-0.004,FALSE),"Unpaid - nothing rung up for this visit",IF(IF(B39&lt;TodayDate,M39="Booked",FALSE),"Overdue - past date, still only Booked",IF(IF(B39=TodayDate,TRUE,FALSE),"Today",IF(IF(Z39&gt;0,AA39&lt;Z39-0.004,FALSE),"Due - deposit not taken",IF(IF(B39&gt;TodayDate,B39&lt;=TodayDate+2,FALSE),"Confirm - coming up","OK")))))))))))</f>
        <v>0</v>
      </c>
    </row>
    <row r="40" spans="1:34">
      <c r="A40" s="28">
        <f>IF(B40="","",AppointmentPrefix&amp;TEXT(ROW()-4,"0000"))</f>
        <v>0</v>
      </c>
      <c r="C40" s="15">
        <f>IF(B40="","",TEXT(B40,"ddd"))</f>
        <v>0</v>
      </c>
      <c r="F40" s="15">
        <f>IF(E40="","",IFERROR(INDEX(Clients!$B$5:$B$504,MATCH(E40,Clients!$A$5:$A$504,0)),"Walk-in"))</f>
        <v>0</v>
      </c>
      <c r="H40" s="15">
        <f>IF(G40="","",IFERROR(INDEX(Services!$B$5:$B$204,MATCH(G40,Services!$A$5:$A$204,0)),"Not in Services"))</f>
        <v>0</v>
      </c>
      <c r="J40" s="15">
        <f>IF(I40="","",IFERROR(INDEX(Staff!$B$5:$B$44,MATCH(I40,Staff!$A$5:$A$44,0)),"Unassigned"))</f>
        <v>0</v>
      </c>
      <c r="S40" s="15">
        <f>IF(B40="","",TEXT(B40,"yyyy-mm"))</f>
        <v>0</v>
      </c>
      <c r="T40" s="25">
        <f>IF(B40="","",WEEKNUM(B40,2))</f>
        <v>0</v>
      </c>
      <c r="U40" s="25">
        <f>IF(B40="","",IF(K40&lt;&gt;"",K40,IFERROR(INDEX(Services!$E$5:$E$204,MATCH(G40,Services!$A$5:$A$204,0))*1,0)+IFERROR(INDEX(Services!$F$5:$F$204,MATCH(G40,Services!$A$5:$A$204,0))*1,0)))</f>
        <v>0</v>
      </c>
      <c r="V40" s="36">
        <f>IF(B40="","",IF(D40="","",D40+U40/1440))</f>
        <v>0</v>
      </c>
      <c r="W40" s="25">
        <f>IF(B40="","",IF(D40="","",HOUR(D40)))</f>
        <v>0</v>
      </c>
      <c r="X40" s="37">
        <f>IF(B40="","",ROUND(U40/60,2))</f>
        <v>0</v>
      </c>
      <c r="Y40" s="26">
        <f>IF(B40="","",IF(L40&lt;&gt;"",L40,IFERROR(INDEX(Services!$G$5:$G$204,MATCH(G40,Services!$A$5:$A$204,0))*1,0)))</f>
        <v>0</v>
      </c>
      <c r="Z40" s="26">
        <f>IF(B40="","",IF(O40&lt;&gt;"",O40,IF(Y40&gt;=DepositThreshold,ROUND(Y40*DepositPercent,2),0)))</f>
        <v>0</v>
      </c>
      <c r="AA40" s="26">
        <f>IF(B40="","",ROUND(SUMIFS(Payments!$G$5:$G$1204,Payments!$I$5:$I$1204,A40,Payments!$E$5:$E$1204,"Deposit"),2))</f>
        <v>0</v>
      </c>
      <c r="AB40" s="26">
        <f>IF(B40="","",ROUND(SUMIFS(Sales!$Y$5:$Y$1204,Sales!$C$5:$C$1204,A40),2))</f>
        <v>0</v>
      </c>
      <c r="AC40" s="38">
        <f>IF(B40="","",IF(M40="Completed","Yes",IF(M40="Cancelled","Yes",IF(M40="No show","Yes","No"))))</f>
        <v>0</v>
      </c>
      <c r="AD40" s="25">
        <f>IF(B40="","",IF(AE40="","",B40-AE40))</f>
        <v>0</v>
      </c>
      <c r="AF40" s="38">
        <f>IF(B40="","",IF(M40&lt;&gt;"Completed","",IF(E40="","No",IF(COUNTIFS(Appointments!$E$5:$E$1204,E40,Appointments!$B$5:$B$1204,"&gt;"&amp;B40,Appointments!$M$5:$M$1204,"&lt;&gt;Cancelled")&gt;0,"Yes","No"))))</f>
        <v>0</v>
      </c>
      <c r="AG40" s="38">
        <f>IF(B40="","",IF(I40="","",IF(D40="","",IF(COUNTIFS($I$5:$I$1204,I40,$B$5:$B$1204,B40,$D$5:$D$1204,"&lt;"&amp;V40,$V$5:$V$1204,"&gt;"&amp;D40,$M$5:$M$1204,"&lt;&gt;Cancelled")&gt;1,"Clash",""))))</f>
        <v>0</v>
      </c>
      <c r="AH40" s="39">
        <f>IF(B40="","",IF(AG40="Clash","Clash - stylist double booked",IF(I40="","Assign - no stylist yet",IF(G40="","Add - no service chosen",IF(M40="No show","No show - charge the fee?",IF(M40="Cancelled","",IF(IF(M40="Completed",AB40&lt;Y40-0.004,FALSE),"Unpaid - nothing rung up for this visit",IF(IF(B40&lt;TodayDate,M40="Booked",FALSE),"Overdue - past date, still only Booked",IF(IF(B40=TodayDate,TRUE,FALSE),"Today",IF(IF(Z40&gt;0,AA40&lt;Z40-0.004,FALSE),"Due - deposit not taken",IF(IF(B40&gt;TodayDate,B40&lt;=TodayDate+2,FALSE),"Confirm - coming up","OK")))))))))))</f>
        <v>0</v>
      </c>
    </row>
    <row r="41" spans="1:34">
      <c r="A41" s="28">
        <f>IF(B41="","",AppointmentPrefix&amp;TEXT(ROW()-4,"0000"))</f>
        <v>0</v>
      </c>
      <c r="C41" s="15">
        <f>IF(B41="","",TEXT(B41,"ddd"))</f>
        <v>0</v>
      </c>
      <c r="F41" s="15">
        <f>IF(E41="","",IFERROR(INDEX(Clients!$B$5:$B$504,MATCH(E41,Clients!$A$5:$A$504,0)),"Walk-in"))</f>
        <v>0</v>
      </c>
      <c r="H41" s="15">
        <f>IF(G41="","",IFERROR(INDEX(Services!$B$5:$B$204,MATCH(G41,Services!$A$5:$A$204,0)),"Not in Services"))</f>
        <v>0</v>
      </c>
      <c r="J41" s="15">
        <f>IF(I41="","",IFERROR(INDEX(Staff!$B$5:$B$44,MATCH(I41,Staff!$A$5:$A$44,0)),"Unassigned"))</f>
        <v>0</v>
      </c>
      <c r="S41" s="15">
        <f>IF(B41="","",TEXT(B41,"yyyy-mm"))</f>
        <v>0</v>
      </c>
      <c r="T41" s="25">
        <f>IF(B41="","",WEEKNUM(B41,2))</f>
        <v>0</v>
      </c>
      <c r="U41" s="25">
        <f>IF(B41="","",IF(K41&lt;&gt;"",K41,IFERROR(INDEX(Services!$E$5:$E$204,MATCH(G41,Services!$A$5:$A$204,0))*1,0)+IFERROR(INDEX(Services!$F$5:$F$204,MATCH(G41,Services!$A$5:$A$204,0))*1,0)))</f>
        <v>0</v>
      </c>
      <c r="V41" s="36">
        <f>IF(B41="","",IF(D41="","",D41+U41/1440))</f>
        <v>0</v>
      </c>
      <c r="W41" s="25">
        <f>IF(B41="","",IF(D41="","",HOUR(D41)))</f>
        <v>0</v>
      </c>
      <c r="X41" s="37">
        <f>IF(B41="","",ROUND(U41/60,2))</f>
        <v>0</v>
      </c>
      <c r="Y41" s="26">
        <f>IF(B41="","",IF(L41&lt;&gt;"",L41,IFERROR(INDEX(Services!$G$5:$G$204,MATCH(G41,Services!$A$5:$A$204,0))*1,0)))</f>
        <v>0</v>
      </c>
      <c r="Z41" s="26">
        <f>IF(B41="","",IF(O41&lt;&gt;"",O41,IF(Y41&gt;=DepositThreshold,ROUND(Y41*DepositPercent,2),0)))</f>
        <v>0</v>
      </c>
      <c r="AA41" s="26">
        <f>IF(B41="","",ROUND(SUMIFS(Payments!$G$5:$G$1204,Payments!$I$5:$I$1204,A41,Payments!$E$5:$E$1204,"Deposit"),2))</f>
        <v>0</v>
      </c>
      <c r="AB41" s="26">
        <f>IF(B41="","",ROUND(SUMIFS(Sales!$Y$5:$Y$1204,Sales!$C$5:$C$1204,A41),2))</f>
        <v>0</v>
      </c>
      <c r="AC41" s="38">
        <f>IF(B41="","",IF(M41="Completed","Yes",IF(M41="Cancelled","Yes",IF(M41="No show","Yes","No"))))</f>
        <v>0</v>
      </c>
      <c r="AD41" s="25">
        <f>IF(B41="","",IF(AE41="","",B41-AE41))</f>
        <v>0</v>
      </c>
      <c r="AF41" s="38">
        <f>IF(B41="","",IF(M41&lt;&gt;"Completed","",IF(E41="","No",IF(COUNTIFS(Appointments!$E$5:$E$1204,E41,Appointments!$B$5:$B$1204,"&gt;"&amp;B41,Appointments!$M$5:$M$1204,"&lt;&gt;Cancelled")&gt;0,"Yes","No"))))</f>
        <v>0</v>
      </c>
      <c r="AG41" s="38">
        <f>IF(B41="","",IF(I41="","",IF(D41="","",IF(COUNTIFS($I$5:$I$1204,I41,$B$5:$B$1204,B41,$D$5:$D$1204,"&lt;"&amp;V41,$V$5:$V$1204,"&gt;"&amp;D41,$M$5:$M$1204,"&lt;&gt;Cancelled")&gt;1,"Clash",""))))</f>
        <v>0</v>
      </c>
      <c r="AH41" s="39">
        <f>IF(B41="","",IF(AG41="Clash","Clash - stylist double booked",IF(I41="","Assign - no stylist yet",IF(G41="","Add - no service chosen",IF(M41="No show","No show - charge the fee?",IF(M41="Cancelled","",IF(IF(M41="Completed",AB41&lt;Y41-0.004,FALSE),"Unpaid - nothing rung up for this visit",IF(IF(B41&lt;TodayDate,M41="Booked",FALSE),"Overdue - past date, still only Booked",IF(IF(B41=TodayDate,TRUE,FALSE),"Today",IF(IF(Z41&gt;0,AA41&lt;Z41-0.004,FALSE),"Due - deposit not taken",IF(IF(B41&gt;TodayDate,B41&lt;=TodayDate+2,FALSE),"Confirm - coming up","OK")))))))))))</f>
        <v>0</v>
      </c>
    </row>
    <row r="42" spans="1:34">
      <c r="A42" s="28">
        <f>IF(B42="","",AppointmentPrefix&amp;TEXT(ROW()-4,"0000"))</f>
        <v>0</v>
      </c>
      <c r="C42" s="15">
        <f>IF(B42="","",TEXT(B42,"ddd"))</f>
        <v>0</v>
      </c>
      <c r="F42" s="15">
        <f>IF(E42="","",IFERROR(INDEX(Clients!$B$5:$B$504,MATCH(E42,Clients!$A$5:$A$504,0)),"Walk-in"))</f>
        <v>0</v>
      </c>
      <c r="H42" s="15">
        <f>IF(G42="","",IFERROR(INDEX(Services!$B$5:$B$204,MATCH(G42,Services!$A$5:$A$204,0)),"Not in Services"))</f>
        <v>0</v>
      </c>
      <c r="J42" s="15">
        <f>IF(I42="","",IFERROR(INDEX(Staff!$B$5:$B$44,MATCH(I42,Staff!$A$5:$A$44,0)),"Unassigned"))</f>
        <v>0</v>
      </c>
      <c r="S42" s="15">
        <f>IF(B42="","",TEXT(B42,"yyyy-mm"))</f>
        <v>0</v>
      </c>
      <c r="T42" s="25">
        <f>IF(B42="","",WEEKNUM(B42,2))</f>
        <v>0</v>
      </c>
      <c r="U42" s="25">
        <f>IF(B42="","",IF(K42&lt;&gt;"",K42,IFERROR(INDEX(Services!$E$5:$E$204,MATCH(G42,Services!$A$5:$A$204,0))*1,0)+IFERROR(INDEX(Services!$F$5:$F$204,MATCH(G42,Services!$A$5:$A$204,0))*1,0)))</f>
        <v>0</v>
      </c>
      <c r="V42" s="36">
        <f>IF(B42="","",IF(D42="","",D42+U42/1440))</f>
        <v>0</v>
      </c>
      <c r="W42" s="25">
        <f>IF(B42="","",IF(D42="","",HOUR(D42)))</f>
        <v>0</v>
      </c>
      <c r="X42" s="37">
        <f>IF(B42="","",ROUND(U42/60,2))</f>
        <v>0</v>
      </c>
      <c r="Y42" s="26">
        <f>IF(B42="","",IF(L42&lt;&gt;"",L42,IFERROR(INDEX(Services!$G$5:$G$204,MATCH(G42,Services!$A$5:$A$204,0))*1,0)))</f>
        <v>0</v>
      </c>
      <c r="Z42" s="26">
        <f>IF(B42="","",IF(O42&lt;&gt;"",O42,IF(Y42&gt;=DepositThreshold,ROUND(Y42*DepositPercent,2),0)))</f>
        <v>0</v>
      </c>
      <c r="AA42" s="26">
        <f>IF(B42="","",ROUND(SUMIFS(Payments!$G$5:$G$1204,Payments!$I$5:$I$1204,A42,Payments!$E$5:$E$1204,"Deposit"),2))</f>
        <v>0</v>
      </c>
      <c r="AB42" s="26">
        <f>IF(B42="","",ROUND(SUMIFS(Sales!$Y$5:$Y$1204,Sales!$C$5:$C$1204,A42),2))</f>
        <v>0</v>
      </c>
      <c r="AC42" s="38">
        <f>IF(B42="","",IF(M42="Completed","Yes",IF(M42="Cancelled","Yes",IF(M42="No show","Yes","No"))))</f>
        <v>0</v>
      </c>
      <c r="AD42" s="25">
        <f>IF(B42="","",IF(AE42="","",B42-AE42))</f>
        <v>0</v>
      </c>
      <c r="AF42" s="38">
        <f>IF(B42="","",IF(M42&lt;&gt;"Completed","",IF(E42="","No",IF(COUNTIFS(Appointments!$E$5:$E$1204,E42,Appointments!$B$5:$B$1204,"&gt;"&amp;B42,Appointments!$M$5:$M$1204,"&lt;&gt;Cancelled")&gt;0,"Yes","No"))))</f>
        <v>0</v>
      </c>
      <c r="AG42" s="38">
        <f>IF(B42="","",IF(I42="","",IF(D42="","",IF(COUNTIFS($I$5:$I$1204,I42,$B$5:$B$1204,B42,$D$5:$D$1204,"&lt;"&amp;V42,$V$5:$V$1204,"&gt;"&amp;D42,$M$5:$M$1204,"&lt;&gt;Cancelled")&gt;1,"Clash",""))))</f>
        <v>0</v>
      </c>
      <c r="AH42" s="39">
        <f>IF(B42="","",IF(AG42="Clash","Clash - stylist double booked",IF(I42="","Assign - no stylist yet",IF(G42="","Add - no service chosen",IF(M42="No show","No show - charge the fee?",IF(M42="Cancelled","",IF(IF(M42="Completed",AB42&lt;Y42-0.004,FALSE),"Unpaid - nothing rung up for this visit",IF(IF(B42&lt;TodayDate,M42="Booked",FALSE),"Overdue - past date, still only Booked",IF(IF(B42=TodayDate,TRUE,FALSE),"Today",IF(IF(Z42&gt;0,AA42&lt;Z42-0.004,FALSE),"Due - deposit not taken",IF(IF(B42&gt;TodayDate,B42&lt;=TodayDate+2,FALSE),"Confirm - coming up","OK")))))))))))</f>
        <v>0</v>
      </c>
    </row>
    <row r="43" spans="1:34">
      <c r="A43" s="28">
        <f>IF(B43="","",AppointmentPrefix&amp;TEXT(ROW()-4,"0000"))</f>
        <v>0</v>
      </c>
      <c r="C43" s="15">
        <f>IF(B43="","",TEXT(B43,"ddd"))</f>
        <v>0</v>
      </c>
      <c r="F43" s="15">
        <f>IF(E43="","",IFERROR(INDEX(Clients!$B$5:$B$504,MATCH(E43,Clients!$A$5:$A$504,0)),"Walk-in"))</f>
        <v>0</v>
      </c>
      <c r="H43" s="15">
        <f>IF(G43="","",IFERROR(INDEX(Services!$B$5:$B$204,MATCH(G43,Services!$A$5:$A$204,0)),"Not in Services"))</f>
        <v>0</v>
      </c>
      <c r="J43" s="15">
        <f>IF(I43="","",IFERROR(INDEX(Staff!$B$5:$B$44,MATCH(I43,Staff!$A$5:$A$44,0)),"Unassigned"))</f>
        <v>0</v>
      </c>
      <c r="S43" s="15">
        <f>IF(B43="","",TEXT(B43,"yyyy-mm"))</f>
        <v>0</v>
      </c>
      <c r="T43" s="25">
        <f>IF(B43="","",WEEKNUM(B43,2))</f>
        <v>0</v>
      </c>
      <c r="U43" s="25">
        <f>IF(B43="","",IF(K43&lt;&gt;"",K43,IFERROR(INDEX(Services!$E$5:$E$204,MATCH(G43,Services!$A$5:$A$204,0))*1,0)+IFERROR(INDEX(Services!$F$5:$F$204,MATCH(G43,Services!$A$5:$A$204,0))*1,0)))</f>
        <v>0</v>
      </c>
      <c r="V43" s="36">
        <f>IF(B43="","",IF(D43="","",D43+U43/1440))</f>
        <v>0</v>
      </c>
      <c r="W43" s="25">
        <f>IF(B43="","",IF(D43="","",HOUR(D43)))</f>
        <v>0</v>
      </c>
      <c r="X43" s="37">
        <f>IF(B43="","",ROUND(U43/60,2))</f>
        <v>0</v>
      </c>
      <c r="Y43" s="26">
        <f>IF(B43="","",IF(L43&lt;&gt;"",L43,IFERROR(INDEX(Services!$G$5:$G$204,MATCH(G43,Services!$A$5:$A$204,0))*1,0)))</f>
        <v>0</v>
      </c>
      <c r="Z43" s="26">
        <f>IF(B43="","",IF(O43&lt;&gt;"",O43,IF(Y43&gt;=DepositThreshold,ROUND(Y43*DepositPercent,2),0)))</f>
        <v>0</v>
      </c>
      <c r="AA43" s="26">
        <f>IF(B43="","",ROUND(SUMIFS(Payments!$G$5:$G$1204,Payments!$I$5:$I$1204,A43,Payments!$E$5:$E$1204,"Deposit"),2))</f>
        <v>0</v>
      </c>
      <c r="AB43" s="26">
        <f>IF(B43="","",ROUND(SUMIFS(Sales!$Y$5:$Y$1204,Sales!$C$5:$C$1204,A43),2))</f>
        <v>0</v>
      </c>
      <c r="AC43" s="38">
        <f>IF(B43="","",IF(M43="Completed","Yes",IF(M43="Cancelled","Yes",IF(M43="No show","Yes","No"))))</f>
        <v>0</v>
      </c>
      <c r="AD43" s="25">
        <f>IF(B43="","",IF(AE43="","",B43-AE43))</f>
        <v>0</v>
      </c>
      <c r="AF43" s="38">
        <f>IF(B43="","",IF(M43&lt;&gt;"Completed","",IF(E43="","No",IF(COUNTIFS(Appointments!$E$5:$E$1204,E43,Appointments!$B$5:$B$1204,"&gt;"&amp;B43,Appointments!$M$5:$M$1204,"&lt;&gt;Cancelled")&gt;0,"Yes","No"))))</f>
        <v>0</v>
      </c>
      <c r="AG43" s="38">
        <f>IF(B43="","",IF(I43="","",IF(D43="","",IF(COUNTIFS($I$5:$I$1204,I43,$B$5:$B$1204,B43,$D$5:$D$1204,"&lt;"&amp;V43,$V$5:$V$1204,"&gt;"&amp;D43,$M$5:$M$1204,"&lt;&gt;Cancelled")&gt;1,"Clash",""))))</f>
        <v>0</v>
      </c>
      <c r="AH43" s="39">
        <f>IF(B43="","",IF(AG43="Clash","Clash - stylist double booked",IF(I43="","Assign - no stylist yet",IF(G43="","Add - no service chosen",IF(M43="No show","No show - charge the fee?",IF(M43="Cancelled","",IF(IF(M43="Completed",AB43&lt;Y43-0.004,FALSE),"Unpaid - nothing rung up for this visit",IF(IF(B43&lt;TodayDate,M43="Booked",FALSE),"Overdue - past date, still only Booked",IF(IF(B43=TodayDate,TRUE,FALSE),"Today",IF(IF(Z43&gt;0,AA43&lt;Z43-0.004,FALSE),"Due - deposit not taken",IF(IF(B43&gt;TodayDate,B43&lt;=TodayDate+2,FALSE),"Confirm - coming up","OK")))))))))))</f>
        <v>0</v>
      </c>
    </row>
    <row r="44" spans="1:34">
      <c r="A44" s="28">
        <f>IF(B44="","",AppointmentPrefix&amp;TEXT(ROW()-4,"0000"))</f>
        <v>0</v>
      </c>
      <c r="C44" s="15">
        <f>IF(B44="","",TEXT(B44,"ddd"))</f>
        <v>0</v>
      </c>
      <c r="F44" s="15">
        <f>IF(E44="","",IFERROR(INDEX(Clients!$B$5:$B$504,MATCH(E44,Clients!$A$5:$A$504,0)),"Walk-in"))</f>
        <v>0</v>
      </c>
      <c r="H44" s="15">
        <f>IF(G44="","",IFERROR(INDEX(Services!$B$5:$B$204,MATCH(G44,Services!$A$5:$A$204,0)),"Not in Services"))</f>
        <v>0</v>
      </c>
      <c r="J44" s="15">
        <f>IF(I44="","",IFERROR(INDEX(Staff!$B$5:$B$44,MATCH(I44,Staff!$A$5:$A$44,0)),"Unassigned"))</f>
        <v>0</v>
      </c>
      <c r="S44" s="15">
        <f>IF(B44="","",TEXT(B44,"yyyy-mm"))</f>
        <v>0</v>
      </c>
      <c r="T44" s="25">
        <f>IF(B44="","",WEEKNUM(B44,2))</f>
        <v>0</v>
      </c>
      <c r="U44" s="25">
        <f>IF(B44="","",IF(K44&lt;&gt;"",K44,IFERROR(INDEX(Services!$E$5:$E$204,MATCH(G44,Services!$A$5:$A$204,0))*1,0)+IFERROR(INDEX(Services!$F$5:$F$204,MATCH(G44,Services!$A$5:$A$204,0))*1,0)))</f>
        <v>0</v>
      </c>
      <c r="V44" s="36">
        <f>IF(B44="","",IF(D44="","",D44+U44/1440))</f>
        <v>0</v>
      </c>
      <c r="W44" s="25">
        <f>IF(B44="","",IF(D44="","",HOUR(D44)))</f>
        <v>0</v>
      </c>
      <c r="X44" s="37">
        <f>IF(B44="","",ROUND(U44/60,2))</f>
        <v>0</v>
      </c>
      <c r="Y44" s="26">
        <f>IF(B44="","",IF(L44&lt;&gt;"",L44,IFERROR(INDEX(Services!$G$5:$G$204,MATCH(G44,Services!$A$5:$A$204,0))*1,0)))</f>
        <v>0</v>
      </c>
      <c r="Z44" s="26">
        <f>IF(B44="","",IF(O44&lt;&gt;"",O44,IF(Y44&gt;=DepositThreshold,ROUND(Y44*DepositPercent,2),0)))</f>
        <v>0</v>
      </c>
      <c r="AA44" s="26">
        <f>IF(B44="","",ROUND(SUMIFS(Payments!$G$5:$G$1204,Payments!$I$5:$I$1204,A44,Payments!$E$5:$E$1204,"Deposit"),2))</f>
        <v>0</v>
      </c>
      <c r="AB44" s="26">
        <f>IF(B44="","",ROUND(SUMIFS(Sales!$Y$5:$Y$1204,Sales!$C$5:$C$1204,A44),2))</f>
        <v>0</v>
      </c>
      <c r="AC44" s="38">
        <f>IF(B44="","",IF(M44="Completed","Yes",IF(M44="Cancelled","Yes",IF(M44="No show","Yes","No"))))</f>
        <v>0</v>
      </c>
      <c r="AD44" s="25">
        <f>IF(B44="","",IF(AE44="","",B44-AE44))</f>
        <v>0</v>
      </c>
      <c r="AF44" s="38">
        <f>IF(B44="","",IF(M44&lt;&gt;"Completed","",IF(E44="","No",IF(COUNTIFS(Appointments!$E$5:$E$1204,E44,Appointments!$B$5:$B$1204,"&gt;"&amp;B44,Appointments!$M$5:$M$1204,"&lt;&gt;Cancelled")&gt;0,"Yes","No"))))</f>
        <v>0</v>
      </c>
      <c r="AG44" s="38">
        <f>IF(B44="","",IF(I44="","",IF(D44="","",IF(COUNTIFS($I$5:$I$1204,I44,$B$5:$B$1204,B44,$D$5:$D$1204,"&lt;"&amp;V44,$V$5:$V$1204,"&gt;"&amp;D44,$M$5:$M$1204,"&lt;&gt;Cancelled")&gt;1,"Clash",""))))</f>
        <v>0</v>
      </c>
      <c r="AH44" s="39">
        <f>IF(B44="","",IF(AG44="Clash","Clash - stylist double booked",IF(I44="","Assign - no stylist yet",IF(G44="","Add - no service chosen",IF(M44="No show","No show - charge the fee?",IF(M44="Cancelled","",IF(IF(M44="Completed",AB44&lt;Y44-0.004,FALSE),"Unpaid - nothing rung up for this visit",IF(IF(B44&lt;TodayDate,M44="Booked",FALSE),"Overdue - past date, still only Booked",IF(IF(B44=TodayDate,TRUE,FALSE),"Today",IF(IF(Z44&gt;0,AA44&lt;Z44-0.004,FALSE),"Due - deposit not taken",IF(IF(B44&gt;TodayDate,B44&lt;=TodayDate+2,FALSE),"Confirm - coming up","OK")))))))))))</f>
        <v>0</v>
      </c>
    </row>
    <row r="45" spans="1:34">
      <c r="A45" s="28">
        <f>IF(B45="","",AppointmentPrefix&amp;TEXT(ROW()-4,"0000"))</f>
        <v>0</v>
      </c>
      <c r="C45" s="15">
        <f>IF(B45="","",TEXT(B45,"ddd"))</f>
        <v>0</v>
      </c>
      <c r="F45" s="15">
        <f>IF(E45="","",IFERROR(INDEX(Clients!$B$5:$B$504,MATCH(E45,Clients!$A$5:$A$504,0)),"Walk-in"))</f>
        <v>0</v>
      </c>
      <c r="H45" s="15">
        <f>IF(G45="","",IFERROR(INDEX(Services!$B$5:$B$204,MATCH(G45,Services!$A$5:$A$204,0)),"Not in Services"))</f>
        <v>0</v>
      </c>
      <c r="J45" s="15">
        <f>IF(I45="","",IFERROR(INDEX(Staff!$B$5:$B$44,MATCH(I45,Staff!$A$5:$A$44,0)),"Unassigned"))</f>
        <v>0</v>
      </c>
      <c r="S45" s="15">
        <f>IF(B45="","",TEXT(B45,"yyyy-mm"))</f>
        <v>0</v>
      </c>
      <c r="T45" s="25">
        <f>IF(B45="","",WEEKNUM(B45,2))</f>
        <v>0</v>
      </c>
      <c r="U45" s="25">
        <f>IF(B45="","",IF(K45&lt;&gt;"",K45,IFERROR(INDEX(Services!$E$5:$E$204,MATCH(G45,Services!$A$5:$A$204,0))*1,0)+IFERROR(INDEX(Services!$F$5:$F$204,MATCH(G45,Services!$A$5:$A$204,0))*1,0)))</f>
        <v>0</v>
      </c>
      <c r="V45" s="36">
        <f>IF(B45="","",IF(D45="","",D45+U45/1440))</f>
        <v>0</v>
      </c>
      <c r="W45" s="25">
        <f>IF(B45="","",IF(D45="","",HOUR(D45)))</f>
        <v>0</v>
      </c>
      <c r="X45" s="37">
        <f>IF(B45="","",ROUND(U45/60,2))</f>
        <v>0</v>
      </c>
      <c r="Y45" s="26">
        <f>IF(B45="","",IF(L45&lt;&gt;"",L45,IFERROR(INDEX(Services!$G$5:$G$204,MATCH(G45,Services!$A$5:$A$204,0))*1,0)))</f>
        <v>0</v>
      </c>
      <c r="Z45" s="26">
        <f>IF(B45="","",IF(O45&lt;&gt;"",O45,IF(Y45&gt;=DepositThreshold,ROUND(Y45*DepositPercent,2),0)))</f>
        <v>0</v>
      </c>
      <c r="AA45" s="26">
        <f>IF(B45="","",ROUND(SUMIFS(Payments!$G$5:$G$1204,Payments!$I$5:$I$1204,A45,Payments!$E$5:$E$1204,"Deposit"),2))</f>
        <v>0</v>
      </c>
      <c r="AB45" s="26">
        <f>IF(B45="","",ROUND(SUMIFS(Sales!$Y$5:$Y$1204,Sales!$C$5:$C$1204,A45),2))</f>
        <v>0</v>
      </c>
      <c r="AC45" s="38">
        <f>IF(B45="","",IF(M45="Completed","Yes",IF(M45="Cancelled","Yes",IF(M45="No show","Yes","No"))))</f>
        <v>0</v>
      </c>
      <c r="AD45" s="25">
        <f>IF(B45="","",IF(AE45="","",B45-AE45))</f>
        <v>0</v>
      </c>
      <c r="AF45" s="38">
        <f>IF(B45="","",IF(M45&lt;&gt;"Completed","",IF(E45="","No",IF(COUNTIFS(Appointments!$E$5:$E$1204,E45,Appointments!$B$5:$B$1204,"&gt;"&amp;B45,Appointments!$M$5:$M$1204,"&lt;&gt;Cancelled")&gt;0,"Yes","No"))))</f>
        <v>0</v>
      </c>
      <c r="AG45" s="38">
        <f>IF(B45="","",IF(I45="","",IF(D45="","",IF(COUNTIFS($I$5:$I$1204,I45,$B$5:$B$1204,B45,$D$5:$D$1204,"&lt;"&amp;V45,$V$5:$V$1204,"&gt;"&amp;D45,$M$5:$M$1204,"&lt;&gt;Cancelled")&gt;1,"Clash",""))))</f>
        <v>0</v>
      </c>
      <c r="AH45" s="39">
        <f>IF(B45="","",IF(AG45="Clash","Clash - stylist double booked",IF(I45="","Assign - no stylist yet",IF(G45="","Add - no service chosen",IF(M45="No show","No show - charge the fee?",IF(M45="Cancelled","",IF(IF(M45="Completed",AB45&lt;Y45-0.004,FALSE),"Unpaid - nothing rung up for this visit",IF(IF(B45&lt;TodayDate,M45="Booked",FALSE),"Overdue - past date, still only Booked",IF(IF(B45=TodayDate,TRUE,FALSE),"Today",IF(IF(Z45&gt;0,AA45&lt;Z45-0.004,FALSE),"Due - deposit not taken",IF(IF(B45&gt;TodayDate,B45&lt;=TodayDate+2,FALSE),"Confirm - coming up","OK")))))))))))</f>
        <v>0</v>
      </c>
    </row>
    <row r="46" spans="1:34">
      <c r="A46" s="28">
        <f>IF(B46="","",AppointmentPrefix&amp;TEXT(ROW()-4,"0000"))</f>
        <v>0</v>
      </c>
      <c r="C46" s="15">
        <f>IF(B46="","",TEXT(B46,"ddd"))</f>
        <v>0</v>
      </c>
      <c r="F46" s="15">
        <f>IF(E46="","",IFERROR(INDEX(Clients!$B$5:$B$504,MATCH(E46,Clients!$A$5:$A$504,0)),"Walk-in"))</f>
        <v>0</v>
      </c>
      <c r="H46" s="15">
        <f>IF(G46="","",IFERROR(INDEX(Services!$B$5:$B$204,MATCH(G46,Services!$A$5:$A$204,0)),"Not in Services"))</f>
        <v>0</v>
      </c>
      <c r="J46" s="15">
        <f>IF(I46="","",IFERROR(INDEX(Staff!$B$5:$B$44,MATCH(I46,Staff!$A$5:$A$44,0)),"Unassigned"))</f>
        <v>0</v>
      </c>
      <c r="S46" s="15">
        <f>IF(B46="","",TEXT(B46,"yyyy-mm"))</f>
        <v>0</v>
      </c>
      <c r="T46" s="25">
        <f>IF(B46="","",WEEKNUM(B46,2))</f>
        <v>0</v>
      </c>
      <c r="U46" s="25">
        <f>IF(B46="","",IF(K46&lt;&gt;"",K46,IFERROR(INDEX(Services!$E$5:$E$204,MATCH(G46,Services!$A$5:$A$204,0))*1,0)+IFERROR(INDEX(Services!$F$5:$F$204,MATCH(G46,Services!$A$5:$A$204,0))*1,0)))</f>
        <v>0</v>
      </c>
      <c r="V46" s="36">
        <f>IF(B46="","",IF(D46="","",D46+U46/1440))</f>
        <v>0</v>
      </c>
      <c r="W46" s="25">
        <f>IF(B46="","",IF(D46="","",HOUR(D46)))</f>
        <v>0</v>
      </c>
      <c r="X46" s="37">
        <f>IF(B46="","",ROUND(U46/60,2))</f>
        <v>0</v>
      </c>
      <c r="Y46" s="26">
        <f>IF(B46="","",IF(L46&lt;&gt;"",L46,IFERROR(INDEX(Services!$G$5:$G$204,MATCH(G46,Services!$A$5:$A$204,0))*1,0)))</f>
        <v>0</v>
      </c>
      <c r="Z46" s="26">
        <f>IF(B46="","",IF(O46&lt;&gt;"",O46,IF(Y46&gt;=DepositThreshold,ROUND(Y46*DepositPercent,2),0)))</f>
        <v>0</v>
      </c>
      <c r="AA46" s="26">
        <f>IF(B46="","",ROUND(SUMIFS(Payments!$G$5:$G$1204,Payments!$I$5:$I$1204,A46,Payments!$E$5:$E$1204,"Deposit"),2))</f>
        <v>0</v>
      </c>
      <c r="AB46" s="26">
        <f>IF(B46="","",ROUND(SUMIFS(Sales!$Y$5:$Y$1204,Sales!$C$5:$C$1204,A46),2))</f>
        <v>0</v>
      </c>
      <c r="AC46" s="38">
        <f>IF(B46="","",IF(M46="Completed","Yes",IF(M46="Cancelled","Yes",IF(M46="No show","Yes","No"))))</f>
        <v>0</v>
      </c>
      <c r="AD46" s="25">
        <f>IF(B46="","",IF(AE46="","",B46-AE46))</f>
        <v>0</v>
      </c>
      <c r="AF46" s="38">
        <f>IF(B46="","",IF(M46&lt;&gt;"Completed","",IF(E46="","No",IF(COUNTIFS(Appointments!$E$5:$E$1204,E46,Appointments!$B$5:$B$1204,"&gt;"&amp;B46,Appointments!$M$5:$M$1204,"&lt;&gt;Cancelled")&gt;0,"Yes","No"))))</f>
        <v>0</v>
      </c>
      <c r="AG46" s="38">
        <f>IF(B46="","",IF(I46="","",IF(D46="","",IF(COUNTIFS($I$5:$I$1204,I46,$B$5:$B$1204,B46,$D$5:$D$1204,"&lt;"&amp;V46,$V$5:$V$1204,"&gt;"&amp;D46,$M$5:$M$1204,"&lt;&gt;Cancelled")&gt;1,"Clash",""))))</f>
        <v>0</v>
      </c>
      <c r="AH46" s="39">
        <f>IF(B46="","",IF(AG46="Clash","Clash - stylist double booked",IF(I46="","Assign - no stylist yet",IF(G46="","Add - no service chosen",IF(M46="No show","No show - charge the fee?",IF(M46="Cancelled","",IF(IF(M46="Completed",AB46&lt;Y46-0.004,FALSE),"Unpaid - nothing rung up for this visit",IF(IF(B46&lt;TodayDate,M46="Booked",FALSE),"Overdue - past date, still only Booked",IF(IF(B46=TodayDate,TRUE,FALSE),"Today",IF(IF(Z46&gt;0,AA46&lt;Z46-0.004,FALSE),"Due - deposit not taken",IF(IF(B46&gt;TodayDate,B46&lt;=TodayDate+2,FALSE),"Confirm - coming up","OK")))))))))))</f>
        <v>0</v>
      </c>
    </row>
    <row r="47" spans="1:34">
      <c r="A47" s="28">
        <f>IF(B47="","",AppointmentPrefix&amp;TEXT(ROW()-4,"0000"))</f>
        <v>0</v>
      </c>
      <c r="C47" s="15">
        <f>IF(B47="","",TEXT(B47,"ddd"))</f>
        <v>0</v>
      </c>
      <c r="F47" s="15">
        <f>IF(E47="","",IFERROR(INDEX(Clients!$B$5:$B$504,MATCH(E47,Clients!$A$5:$A$504,0)),"Walk-in"))</f>
        <v>0</v>
      </c>
      <c r="H47" s="15">
        <f>IF(G47="","",IFERROR(INDEX(Services!$B$5:$B$204,MATCH(G47,Services!$A$5:$A$204,0)),"Not in Services"))</f>
        <v>0</v>
      </c>
      <c r="J47" s="15">
        <f>IF(I47="","",IFERROR(INDEX(Staff!$B$5:$B$44,MATCH(I47,Staff!$A$5:$A$44,0)),"Unassigned"))</f>
        <v>0</v>
      </c>
      <c r="S47" s="15">
        <f>IF(B47="","",TEXT(B47,"yyyy-mm"))</f>
        <v>0</v>
      </c>
      <c r="T47" s="25">
        <f>IF(B47="","",WEEKNUM(B47,2))</f>
        <v>0</v>
      </c>
      <c r="U47" s="25">
        <f>IF(B47="","",IF(K47&lt;&gt;"",K47,IFERROR(INDEX(Services!$E$5:$E$204,MATCH(G47,Services!$A$5:$A$204,0))*1,0)+IFERROR(INDEX(Services!$F$5:$F$204,MATCH(G47,Services!$A$5:$A$204,0))*1,0)))</f>
        <v>0</v>
      </c>
      <c r="V47" s="36">
        <f>IF(B47="","",IF(D47="","",D47+U47/1440))</f>
        <v>0</v>
      </c>
      <c r="W47" s="25">
        <f>IF(B47="","",IF(D47="","",HOUR(D47)))</f>
        <v>0</v>
      </c>
      <c r="X47" s="37">
        <f>IF(B47="","",ROUND(U47/60,2))</f>
        <v>0</v>
      </c>
      <c r="Y47" s="26">
        <f>IF(B47="","",IF(L47&lt;&gt;"",L47,IFERROR(INDEX(Services!$G$5:$G$204,MATCH(G47,Services!$A$5:$A$204,0))*1,0)))</f>
        <v>0</v>
      </c>
      <c r="Z47" s="26">
        <f>IF(B47="","",IF(O47&lt;&gt;"",O47,IF(Y47&gt;=DepositThreshold,ROUND(Y47*DepositPercent,2),0)))</f>
        <v>0</v>
      </c>
      <c r="AA47" s="26">
        <f>IF(B47="","",ROUND(SUMIFS(Payments!$G$5:$G$1204,Payments!$I$5:$I$1204,A47,Payments!$E$5:$E$1204,"Deposit"),2))</f>
        <v>0</v>
      </c>
      <c r="AB47" s="26">
        <f>IF(B47="","",ROUND(SUMIFS(Sales!$Y$5:$Y$1204,Sales!$C$5:$C$1204,A47),2))</f>
        <v>0</v>
      </c>
      <c r="AC47" s="38">
        <f>IF(B47="","",IF(M47="Completed","Yes",IF(M47="Cancelled","Yes",IF(M47="No show","Yes","No"))))</f>
        <v>0</v>
      </c>
      <c r="AD47" s="25">
        <f>IF(B47="","",IF(AE47="","",B47-AE47))</f>
        <v>0</v>
      </c>
      <c r="AF47" s="38">
        <f>IF(B47="","",IF(M47&lt;&gt;"Completed","",IF(E47="","No",IF(COUNTIFS(Appointments!$E$5:$E$1204,E47,Appointments!$B$5:$B$1204,"&gt;"&amp;B47,Appointments!$M$5:$M$1204,"&lt;&gt;Cancelled")&gt;0,"Yes","No"))))</f>
        <v>0</v>
      </c>
      <c r="AG47" s="38">
        <f>IF(B47="","",IF(I47="","",IF(D47="","",IF(COUNTIFS($I$5:$I$1204,I47,$B$5:$B$1204,B47,$D$5:$D$1204,"&lt;"&amp;V47,$V$5:$V$1204,"&gt;"&amp;D47,$M$5:$M$1204,"&lt;&gt;Cancelled")&gt;1,"Clash",""))))</f>
        <v>0</v>
      </c>
      <c r="AH47" s="39">
        <f>IF(B47="","",IF(AG47="Clash","Clash - stylist double booked",IF(I47="","Assign - no stylist yet",IF(G47="","Add - no service chosen",IF(M47="No show","No show - charge the fee?",IF(M47="Cancelled","",IF(IF(M47="Completed",AB47&lt;Y47-0.004,FALSE),"Unpaid - nothing rung up for this visit",IF(IF(B47&lt;TodayDate,M47="Booked",FALSE),"Overdue - past date, still only Booked",IF(IF(B47=TodayDate,TRUE,FALSE),"Today",IF(IF(Z47&gt;0,AA47&lt;Z47-0.004,FALSE),"Due - deposit not taken",IF(IF(B47&gt;TodayDate,B47&lt;=TodayDate+2,FALSE),"Confirm - coming up","OK")))))))))))</f>
        <v>0</v>
      </c>
    </row>
    <row r="48" spans="1:34">
      <c r="A48" s="28">
        <f>IF(B48="","",AppointmentPrefix&amp;TEXT(ROW()-4,"0000"))</f>
        <v>0</v>
      </c>
      <c r="C48" s="15">
        <f>IF(B48="","",TEXT(B48,"ddd"))</f>
        <v>0</v>
      </c>
      <c r="F48" s="15">
        <f>IF(E48="","",IFERROR(INDEX(Clients!$B$5:$B$504,MATCH(E48,Clients!$A$5:$A$504,0)),"Walk-in"))</f>
        <v>0</v>
      </c>
      <c r="H48" s="15">
        <f>IF(G48="","",IFERROR(INDEX(Services!$B$5:$B$204,MATCH(G48,Services!$A$5:$A$204,0)),"Not in Services"))</f>
        <v>0</v>
      </c>
      <c r="J48" s="15">
        <f>IF(I48="","",IFERROR(INDEX(Staff!$B$5:$B$44,MATCH(I48,Staff!$A$5:$A$44,0)),"Unassigned"))</f>
        <v>0</v>
      </c>
      <c r="S48" s="15">
        <f>IF(B48="","",TEXT(B48,"yyyy-mm"))</f>
        <v>0</v>
      </c>
      <c r="T48" s="25">
        <f>IF(B48="","",WEEKNUM(B48,2))</f>
        <v>0</v>
      </c>
      <c r="U48" s="25">
        <f>IF(B48="","",IF(K48&lt;&gt;"",K48,IFERROR(INDEX(Services!$E$5:$E$204,MATCH(G48,Services!$A$5:$A$204,0))*1,0)+IFERROR(INDEX(Services!$F$5:$F$204,MATCH(G48,Services!$A$5:$A$204,0))*1,0)))</f>
        <v>0</v>
      </c>
      <c r="V48" s="36">
        <f>IF(B48="","",IF(D48="","",D48+U48/1440))</f>
        <v>0</v>
      </c>
      <c r="W48" s="25">
        <f>IF(B48="","",IF(D48="","",HOUR(D48)))</f>
        <v>0</v>
      </c>
      <c r="X48" s="37">
        <f>IF(B48="","",ROUND(U48/60,2))</f>
        <v>0</v>
      </c>
      <c r="Y48" s="26">
        <f>IF(B48="","",IF(L48&lt;&gt;"",L48,IFERROR(INDEX(Services!$G$5:$G$204,MATCH(G48,Services!$A$5:$A$204,0))*1,0)))</f>
        <v>0</v>
      </c>
      <c r="Z48" s="26">
        <f>IF(B48="","",IF(O48&lt;&gt;"",O48,IF(Y48&gt;=DepositThreshold,ROUND(Y48*DepositPercent,2),0)))</f>
        <v>0</v>
      </c>
      <c r="AA48" s="26">
        <f>IF(B48="","",ROUND(SUMIFS(Payments!$G$5:$G$1204,Payments!$I$5:$I$1204,A48,Payments!$E$5:$E$1204,"Deposit"),2))</f>
        <v>0</v>
      </c>
      <c r="AB48" s="26">
        <f>IF(B48="","",ROUND(SUMIFS(Sales!$Y$5:$Y$1204,Sales!$C$5:$C$1204,A48),2))</f>
        <v>0</v>
      </c>
      <c r="AC48" s="38">
        <f>IF(B48="","",IF(M48="Completed","Yes",IF(M48="Cancelled","Yes",IF(M48="No show","Yes","No"))))</f>
        <v>0</v>
      </c>
      <c r="AD48" s="25">
        <f>IF(B48="","",IF(AE48="","",B48-AE48))</f>
        <v>0</v>
      </c>
      <c r="AF48" s="38">
        <f>IF(B48="","",IF(M48&lt;&gt;"Completed","",IF(E48="","No",IF(COUNTIFS(Appointments!$E$5:$E$1204,E48,Appointments!$B$5:$B$1204,"&gt;"&amp;B48,Appointments!$M$5:$M$1204,"&lt;&gt;Cancelled")&gt;0,"Yes","No"))))</f>
        <v>0</v>
      </c>
      <c r="AG48" s="38">
        <f>IF(B48="","",IF(I48="","",IF(D48="","",IF(COUNTIFS($I$5:$I$1204,I48,$B$5:$B$1204,B48,$D$5:$D$1204,"&lt;"&amp;V48,$V$5:$V$1204,"&gt;"&amp;D48,$M$5:$M$1204,"&lt;&gt;Cancelled")&gt;1,"Clash",""))))</f>
        <v>0</v>
      </c>
      <c r="AH48" s="39">
        <f>IF(B48="","",IF(AG48="Clash","Clash - stylist double booked",IF(I48="","Assign - no stylist yet",IF(G48="","Add - no service chosen",IF(M48="No show","No show - charge the fee?",IF(M48="Cancelled","",IF(IF(M48="Completed",AB48&lt;Y48-0.004,FALSE),"Unpaid - nothing rung up for this visit",IF(IF(B48&lt;TodayDate,M48="Booked",FALSE),"Overdue - past date, still only Booked",IF(IF(B48=TodayDate,TRUE,FALSE),"Today",IF(IF(Z48&gt;0,AA48&lt;Z48-0.004,FALSE),"Due - deposit not taken",IF(IF(B48&gt;TodayDate,B48&lt;=TodayDate+2,FALSE),"Confirm - coming up","OK")))))))))))</f>
        <v>0</v>
      </c>
    </row>
    <row r="49" spans="1:34">
      <c r="A49" s="28">
        <f>IF(B49="","",AppointmentPrefix&amp;TEXT(ROW()-4,"0000"))</f>
        <v>0</v>
      </c>
      <c r="C49" s="15">
        <f>IF(B49="","",TEXT(B49,"ddd"))</f>
        <v>0</v>
      </c>
      <c r="F49" s="15">
        <f>IF(E49="","",IFERROR(INDEX(Clients!$B$5:$B$504,MATCH(E49,Clients!$A$5:$A$504,0)),"Walk-in"))</f>
        <v>0</v>
      </c>
      <c r="H49" s="15">
        <f>IF(G49="","",IFERROR(INDEX(Services!$B$5:$B$204,MATCH(G49,Services!$A$5:$A$204,0)),"Not in Services"))</f>
        <v>0</v>
      </c>
      <c r="J49" s="15">
        <f>IF(I49="","",IFERROR(INDEX(Staff!$B$5:$B$44,MATCH(I49,Staff!$A$5:$A$44,0)),"Unassigned"))</f>
        <v>0</v>
      </c>
      <c r="S49" s="15">
        <f>IF(B49="","",TEXT(B49,"yyyy-mm"))</f>
        <v>0</v>
      </c>
      <c r="T49" s="25">
        <f>IF(B49="","",WEEKNUM(B49,2))</f>
        <v>0</v>
      </c>
      <c r="U49" s="25">
        <f>IF(B49="","",IF(K49&lt;&gt;"",K49,IFERROR(INDEX(Services!$E$5:$E$204,MATCH(G49,Services!$A$5:$A$204,0))*1,0)+IFERROR(INDEX(Services!$F$5:$F$204,MATCH(G49,Services!$A$5:$A$204,0))*1,0)))</f>
        <v>0</v>
      </c>
      <c r="V49" s="36">
        <f>IF(B49="","",IF(D49="","",D49+U49/1440))</f>
        <v>0</v>
      </c>
      <c r="W49" s="25">
        <f>IF(B49="","",IF(D49="","",HOUR(D49)))</f>
        <v>0</v>
      </c>
      <c r="X49" s="37">
        <f>IF(B49="","",ROUND(U49/60,2))</f>
        <v>0</v>
      </c>
      <c r="Y49" s="26">
        <f>IF(B49="","",IF(L49&lt;&gt;"",L49,IFERROR(INDEX(Services!$G$5:$G$204,MATCH(G49,Services!$A$5:$A$204,0))*1,0)))</f>
        <v>0</v>
      </c>
      <c r="Z49" s="26">
        <f>IF(B49="","",IF(O49&lt;&gt;"",O49,IF(Y49&gt;=DepositThreshold,ROUND(Y49*DepositPercent,2),0)))</f>
        <v>0</v>
      </c>
      <c r="AA49" s="26">
        <f>IF(B49="","",ROUND(SUMIFS(Payments!$G$5:$G$1204,Payments!$I$5:$I$1204,A49,Payments!$E$5:$E$1204,"Deposit"),2))</f>
        <v>0</v>
      </c>
      <c r="AB49" s="26">
        <f>IF(B49="","",ROUND(SUMIFS(Sales!$Y$5:$Y$1204,Sales!$C$5:$C$1204,A49),2))</f>
        <v>0</v>
      </c>
      <c r="AC49" s="38">
        <f>IF(B49="","",IF(M49="Completed","Yes",IF(M49="Cancelled","Yes",IF(M49="No show","Yes","No"))))</f>
        <v>0</v>
      </c>
      <c r="AD49" s="25">
        <f>IF(B49="","",IF(AE49="","",B49-AE49))</f>
        <v>0</v>
      </c>
      <c r="AF49" s="38">
        <f>IF(B49="","",IF(M49&lt;&gt;"Completed","",IF(E49="","No",IF(COUNTIFS(Appointments!$E$5:$E$1204,E49,Appointments!$B$5:$B$1204,"&gt;"&amp;B49,Appointments!$M$5:$M$1204,"&lt;&gt;Cancelled")&gt;0,"Yes","No"))))</f>
        <v>0</v>
      </c>
      <c r="AG49" s="38">
        <f>IF(B49="","",IF(I49="","",IF(D49="","",IF(COUNTIFS($I$5:$I$1204,I49,$B$5:$B$1204,B49,$D$5:$D$1204,"&lt;"&amp;V49,$V$5:$V$1204,"&gt;"&amp;D49,$M$5:$M$1204,"&lt;&gt;Cancelled")&gt;1,"Clash",""))))</f>
        <v>0</v>
      </c>
      <c r="AH49" s="39">
        <f>IF(B49="","",IF(AG49="Clash","Clash - stylist double booked",IF(I49="","Assign - no stylist yet",IF(G49="","Add - no service chosen",IF(M49="No show","No show - charge the fee?",IF(M49="Cancelled","",IF(IF(M49="Completed",AB49&lt;Y49-0.004,FALSE),"Unpaid - nothing rung up for this visit",IF(IF(B49&lt;TodayDate,M49="Booked",FALSE),"Overdue - past date, still only Booked",IF(IF(B49=TodayDate,TRUE,FALSE),"Today",IF(IF(Z49&gt;0,AA49&lt;Z49-0.004,FALSE),"Due - deposit not taken",IF(IF(B49&gt;TodayDate,B49&lt;=TodayDate+2,FALSE),"Confirm - coming up","OK")))))))))))</f>
        <v>0</v>
      </c>
    </row>
    <row r="50" spans="1:34">
      <c r="A50" s="28">
        <f>IF(B50="","",AppointmentPrefix&amp;TEXT(ROW()-4,"0000"))</f>
        <v>0</v>
      </c>
      <c r="C50" s="15">
        <f>IF(B50="","",TEXT(B50,"ddd"))</f>
        <v>0</v>
      </c>
      <c r="F50" s="15">
        <f>IF(E50="","",IFERROR(INDEX(Clients!$B$5:$B$504,MATCH(E50,Clients!$A$5:$A$504,0)),"Walk-in"))</f>
        <v>0</v>
      </c>
      <c r="H50" s="15">
        <f>IF(G50="","",IFERROR(INDEX(Services!$B$5:$B$204,MATCH(G50,Services!$A$5:$A$204,0)),"Not in Services"))</f>
        <v>0</v>
      </c>
      <c r="J50" s="15">
        <f>IF(I50="","",IFERROR(INDEX(Staff!$B$5:$B$44,MATCH(I50,Staff!$A$5:$A$44,0)),"Unassigned"))</f>
        <v>0</v>
      </c>
      <c r="S50" s="15">
        <f>IF(B50="","",TEXT(B50,"yyyy-mm"))</f>
        <v>0</v>
      </c>
      <c r="T50" s="25">
        <f>IF(B50="","",WEEKNUM(B50,2))</f>
        <v>0</v>
      </c>
      <c r="U50" s="25">
        <f>IF(B50="","",IF(K50&lt;&gt;"",K50,IFERROR(INDEX(Services!$E$5:$E$204,MATCH(G50,Services!$A$5:$A$204,0))*1,0)+IFERROR(INDEX(Services!$F$5:$F$204,MATCH(G50,Services!$A$5:$A$204,0))*1,0)))</f>
        <v>0</v>
      </c>
      <c r="V50" s="36">
        <f>IF(B50="","",IF(D50="","",D50+U50/1440))</f>
        <v>0</v>
      </c>
      <c r="W50" s="25">
        <f>IF(B50="","",IF(D50="","",HOUR(D50)))</f>
        <v>0</v>
      </c>
      <c r="X50" s="37">
        <f>IF(B50="","",ROUND(U50/60,2))</f>
        <v>0</v>
      </c>
      <c r="Y50" s="26">
        <f>IF(B50="","",IF(L50&lt;&gt;"",L50,IFERROR(INDEX(Services!$G$5:$G$204,MATCH(G50,Services!$A$5:$A$204,0))*1,0)))</f>
        <v>0</v>
      </c>
      <c r="Z50" s="26">
        <f>IF(B50="","",IF(O50&lt;&gt;"",O50,IF(Y50&gt;=DepositThreshold,ROUND(Y50*DepositPercent,2),0)))</f>
        <v>0</v>
      </c>
      <c r="AA50" s="26">
        <f>IF(B50="","",ROUND(SUMIFS(Payments!$G$5:$G$1204,Payments!$I$5:$I$1204,A50,Payments!$E$5:$E$1204,"Deposit"),2))</f>
        <v>0</v>
      </c>
      <c r="AB50" s="26">
        <f>IF(B50="","",ROUND(SUMIFS(Sales!$Y$5:$Y$1204,Sales!$C$5:$C$1204,A50),2))</f>
        <v>0</v>
      </c>
      <c r="AC50" s="38">
        <f>IF(B50="","",IF(M50="Completed","Yes",IF(M50="Cancelled","Yes",IF(M50="No show","Yes","No"))))</f>
        <v>0</v>
      </c>
      <c r="AD50" s="25">
        <f>IF(B50="","",IF(AE50="","",B50-AE50))</f>
        <v>0</v>
      </c>
      <c r="AF50" s="38">
        <f>IF(B50="","",IF(M50&lt;&gt;"Completed","",IF(E50="","No",IF(COUNTIFS(Appointments!$E$5:$E$1204,E50,Appointments!$B$5:$B$1204,"&gt;"&amp;B50,Appointments!$M$5:$M$1204,"&lt;&gt;Cancelled")&gt;0,"Yes","No"))))</f>
        <v>0</v>
      </c>
      <c r="AG50" s="38">
        <f>IF(B50="","",IF(I50="","",IF(D50="","",IF(COUNTIFS($I$5:$I$1204,I50,$B$5:$B$1204,B50,$D$5:$D$1204,"&lt;"&amp;V50,$V$5:$V$1204,"&gt;"&amp;D50,$M$5:$M$1204,"&lt;&gt;Cancelled")&gt;1,"Clash",""))))</f>
        <v>0</v>
      </c>
      <c r="AH50" s="39">
        <f>IF(B50="","",IF(AG50="Clash","Clash - stylist double booked",IF(I50="","Assign - no stylist yet",IF(G50="","Add - no service chosen",IF(M50="No show","No show - charge the fee?",IF(M50="Cancelled","",IF(IF(M50="Completed",AB50&lt;Y50-0.004,FALSE),"Unpaid - nothing rung up for this visit",IF(IF(B50&lt;TodayDate,M50="Booked",FALSE),"Overdue - past date, still only Booked",IF(IF(B50=TodayDate,TRUE,FALSE),"Today",IF(IF(Z50&gt;0,AA50&lt;Z50-0.004,FALSE),"Due - deposit not taken",IF(IF(B50&gt;TodayDate,B50&lt;=TodayDate+2,FALSE),"Confirm - coming up","OK")))))))))))</f>
        <v>0</v>
      </c>
    </row>
    <row r="51" spans="1:34">
      <c r="A51" s="28">
        <f>IF(B51="","",AppointmentPrefix&amp;TEXT(ROW()-4,"0000"))</f>
        <v>0</v>
      </c>
      <c r="C51" s="15">
        <f>IF(B51="","",TEXT(B51,"ddd"))</f>
        <v>0</v>
      </c>
      <c r="F51" s="15">
        <f>IF(E51="","",IFERROR(INDEX(Clients!$B$5:$B$504,MATCH(E51,Clients!$A$5:$A$504,0)),"Walk-in"))</f>
        <v>0</v>
      </c>
      <c r="H51" s="15">
        <f>IF(G51="","",IFERROR(INDEX(Services!$B$5:$B$204,MATCH(G51,Services!$A$5:$A$204,0)),"Not in Services"))</f>
        <v>0</v>
      </c>
      <c r="J51" s="15">
        <f>IF(I51="","",IFERROR(INDEX(Staff!$B$5:$B$44,MATCH(I51,Staff!$A$5:$A$44,0)),"Unassigned"))</f>
        <v>0</v>
      </c>
      <c r="S51" s="15">
        <f>IF(B51="","",TEXT(B51,"yyyy-mm"))</f>
        <v>0</v>
      </c>
      <c r="T51" s="25">
        <f>IF(B51="","",WEEKNUM(B51,2))</f>
        <v>0</v>
      </c>
      <c r="U51" s="25">
        <f>IF(B51="","",IF(K51&lt;&gt;"",K51,IFERROR(INDEX(Services!$E$5:$E$204,MATCH(G51,Services!$A$5:$A$204,0))*1,0)+IFERROR(INDEX(Services!$F$5:$F$204,MATCH(G51,Services!$A$5:$A$204,0))*1,0)))</f>
        <v>0</v>
      </c>
      <c r="V51" s="36">
        <f>IF(B51="","",IF(D51="","",D51+U51/1440))</f>
        <v>0</v>
      </c>
      <c r="W51" s="25">
        <f>IF(B51="","",IF(D51="","",HOUR(D51)))</f>
        <v>0</v>
      </c>
      <c r="X51" s="37">
        <f>IF(B51="","",ROUND(U51/60,2))</f>
        <v>0</v>
      </c>
      <c r="Y51" s="26">
        <f>IF(B51="","",IF(L51&lt;&gt;"",L51,IFERROR(INDEX(Services!$G$5:$G$204,MATCH(G51,Services!$A$5:$A$204,0))*1,0)))</f>
        <v>0</v>
      </c>
      <c r="Z51" s="26">
        <f>IF(B51="","",IF(O51&lt;&gt;"",O51,IF(Y51&gt;=DepositThreshold,ROUND(Y51*DepositPercent,2),0)))</f>
        <v>0</v>
      </c>
      <c r="AA51" s="26">
        <f>IF(B51="","",ROUND(SUMIFS(Payments!$G$5:$G$1204,Payments!$I$5:$I$1204,A51,Payments!$E$5:$E$1204,"Deposit"),2))</f>
        <v>0</v>
      </c>
      <c r="AB51" s="26">
        <f>IF(B51="","",ROUND(SUMIFS(Sales!$Y$5:$Y$1204,Sales!$C$5:$C$1204,A51),2))</f>
        <v>0</v>
      </c>
      <c r="AC51" s="38">
        <f>IF(B51="","",IF(M51="Completed","Yes",IF(M51="Cancelled","Yes",IF(M51="No show","Yes","No"))))</f>
        <v>0</v>
      </c>
      <c r="AD51" s="25">
        <f>IF(B51="","",IF(AE51="","",B51-AE51))</f>
        <v>0</v>
      </c>
      <c r="AF51" s="38">
        <f>IF(B51="","",IF(M51&lt;&gt;"Completed","",IF(E51="","No",IF(COUNTIFS(Appointments!$E$5:$E$1204,E51,Appointments!$B$5:$B$1204,"&gt;"&amp;B51,Appointments!$M$5:$M$1204,"&lt;&gt;Cancelled")&gt;0,"Yes","No"))))</f>
        <v>0</v>
      </c>
      <c r="AG51" s="38">
        <f>IF(B51="","",IF(I51="","",IF(D51="","",IF(COUNTIFS($I$5:$I$1204,I51,$B$5:$B$1204,B51,$D$5:$D$1204,"&lt;"&amp;V51,$V$5:$V$1204,"&gt;"&amp;D51,$M$5:$M$1204,"&lt;&gt;Cancelled")&gt;1,"Clash",""))))</f>
        <v>0</v>
      </c>
      <c r="AH51" s="39">
        <f>IF(B51="","",IF(AG51="Clash","Clash - stylist double booked",IF(I51="","Assign - no stylist yet",IF(G51="","Add - no service chosen",IF(M51="No show","No show - charge the fee?",IF(M51="Cancelled","",IF(IF(M51="Completed",AB51&lt;Y51-0.004,FALSE),"Unpaid - nothing rung up for this visit",IF(IF(B51&lt;TodayDate,M51="Booked",FALSE),"Overdue - past date, still only Booked",IF(IF(B51=TodayDate,TRUE,FALSE),"Today",IF(IF(Z51&gt;0,AA51&lt;Z51-0.004,FALSE),"Due - deposit not taken",IF(IF(B51&gt;TodayDate,B51&lt;=TodayDate+2,FALSE),"Confirm - coming up","OK")))))))))))</f>
        <v>0</v>
      </c>
    </row>
    <row r="52" spans="1:34">
      <c r="A52" s="28">
        <f>IF(B52="","",AppointmentPrefix&amp;TEXT(ROW()-4,"0000"))</f>
        <v>0</v>
      </c>
      <c r="C52" s="15">
        <f>IF(B52="","",TEXT(B52,"ddd"))</f>
        <v>0</v>
      </c>
      <c r="F52" s="15">
        <f>IF(E52="","",IFERROR(INDEX(Clients!$B$5:$B$504,MATCH(E52,Clients!$A$5:$A$504,0)),"Walk-in"))</f>
        <v>0</v>
      </c>
      <c r="H52" s="15">
        <f>IF(G52="","",IFERROR(INDEX(Services!$B$5:$B$204,MATCH(G52,Services!$A$5:$A$204,0)),"Not in Services"))</f>
        <v>0</v>
      </c>
      <c r="J52" s="15">
        <f>IF(I52="","",IFERROR(INDEX(Staff!$B$5:$B$44,MATCH(I52,Staff!$A$5:$A$44,0)),"Unassigned"))</f>
        <v>0</v>
      </c>
      <c r="S52" s="15">
        <f>IF(B52="","",TEXT(B52,"yyyy-mm"))</f>
        <v>0</v>
      </c>
      <c r="T52" s="25">
        <f>IF(B52="","",WEEKNUM(B52,2))</f>
        <v>0</v>
      </c>
      <c r="U52" s="25">
        <f>IF(B52="","",IF(K52&lt;&gt;"",K52,IFERROR(INDEX(Services!$E$5:$E$204,MATCH(G52,Services!$A$5:$A$204,0))*1,0)+IFERROR(INDEX(Services!$F$5:$F$204,MATCH(G52,Services!$A$5:$A$204,0))*1,0)))</f>
        <v>0</v>
      </c>
      <c r="V52" s="36">
        <f>IF(B52="","",IF(D52="","",D52+U52/1440))</f>
        <v>0</v>
      </c>
      <c r="W52" s="25">
        <f>IF(B52="","",IF(D52="","",HOUR(D52)))</f>
        <v>0</v>
      </c>
      <c r="X52" s="37">
        <f>IF(B52="","",ROUND(U52/60,2))</f>
        <v>0</v>
      </c>
      <c r="Y52" s="26">
        <f>IF(B52="","",IF(L52&lt;&gt;"",L52,IFERROR(INDEX(Services!$G$5:$G$204,MATCH(G52,Services!$A$5:$A$204,0))*1,0)))</f>
        <v>0</v>
      </c>
      <c r="Z52" s="26">
        <f>IF(B52="","",IF(O52&lt;&gt;"",O52,IF(Y52&gt;=DepositThreshold,ROUND(Y52*DepositPercent,2),0)))</f>
        <v>0</v>
      </c>
      <c r="AA52" s="26">
        <f>IF(B52="","",ROUND(SUMIFS(Payments!$G$5:$G$1204,Payments!$I$5:$I$1204,A52,Payments!$E$5:$E$1204,"Deposit"),2))</f>
        <v>0</v>
      </c>
      <c r="AB52" s="26">
        <f>IF(B52="","",ROUND(SUMIFS(Sales!$Y$5:$Y$1204,Sales!$C$5:$C$1204,A52),2))</f>
        <v>0</v>
      </c>
      <c r="AC52" s="38">
        <f>IF(B52="","",IF(M52="Completed","Yes",IF(M52="Cancelled","Yes",IF(M52="No show","Yes","No"))))</f>
        <v>0</v>
      </c>
      <c r="AD52" s="25">
        <f>IF(B52="","",IF(AE52="","",B52-AE52))</f>
        <v>0</v>
      </c>
      <c r="AF52" s="38">
        <f>IF(B52="","",IF(M52&lt;&gt;"Completed","",IF(E52="","No",IF(COUNTIFS(Appointments!$E$5:$E$1204,E52,Appointments!$B$5:$B$1204,"&gt;"&amp;B52,Appointments!$M$5:$M$1204,"&lt;&gt;Cancelled")&gt;0,"Yes","No"))))</f>
        <v>0</v>
      </c>
      <c r="AG52" s="38">
        <f>IF(B52="","",IF(I52="","",IF(D52="","",IF(COUNTIFS($I$5:$I$1204,I52,$B$5:$B$1204,B52,$D$5:$D$1204,"&lt;"&amp;V52,$V$5:$V$1204,"&gt;"&amp;D52,$M$5:$M$1204,"&lt;&gt;Cancelled")&gt;1,"Clash",""))))</f>
        <v>0</v>
      </c>
      <c r="AH52" s="39">
        <f>IF(B52="","",IF(AG52="Clash","Clash - stylist double booked",IF(I52="","Assign - no stylist yet",IF(G52="","Add - no service chosen",IF(M52="No show","No show - charge the fee?",IF(M52="Cancelled","",IF(IF(M52="Completed",AB52&lt;Y52-0.004,FALSE),"Unpaid - nothing rung up for this visit",IF(IF(B52&lt;TodayDate,M52="Booked",FALSE),"Overdue - past date, still only Booked",IF(IF(B52=TodayDate,TRUE,FALSE),"Today",IF(IF(Z52&gt;0,AA52&lt;Z52-0.004,FALSE),"Due - deposit not taken",IF(IF(B52&gt;TodayDate,B52&lt;=TodayDate+2,FALSE),"Confirm - coming up","OK")))))))))))</f>
        <v>0</v>
      </c>
    </row>
    <row r="53" spans="1:34">
      <c r="A53" s="28">
        <f>IF(B53="","",AppointmentPrefix&amp;TEXT(ROW()-4,"0000"))</f>
        <v>0</v>
      </c>
      <c r="C53" s="15">
        <f>IF(B53="","",TEXT(B53,"ddd"))</f>
        <v>0</v>
      </c>
      <c r="F53" s="15">
        <f>IF(E53="","",IFERROR(INDEX(Clients!$B$5:$B$504,MATCH(E53,Clients!$A$5:$A$504,0)),"Walk-in"))</f>
        <v>0</v>
      </c>
      <c r="H53" s="15">
        <f>IF(G53="","",IFERROR(INDEX(Services!$B$5:$B$204,MATCH(G53,Services!$A$5:$A$204,0)),"Not in Services"))</f>
        <v>0</v>
      </c>
      <c r="J53" s="15">
        <f>IF(I53="","",IFERROR(INDEX(Staff!$B$5:$B$44,MATCH(I53,Staff!$A$5:$A$44,0)),"Unassigned"))</f>
        <v>0</v>
      </c>
      <c r="S53" s="15">
        <f>IF(B53="","",TEXT(B53,"yyyy-mm"))</f>
        <v>0</v>
      </c>
      <c r="T53" s="25">
        <f>IF(B53="","",WEEKNUM(B53,2))</f>
        <v>0</v>
      </c>
      <c r="U53" s="25">
        <f>IF(B53="","",IF(K53&lt;&gt;"",K53,IFERROR(INDEX(Services!$E$5:$E$204,MATCH(G53,Services!$A$5:$A$204,0))*1,0)+IFERROR(INDEX(Services!$F$5:$F$204,MATCH(G53,Services!$A$5:$A$204,0))*1,0)))</f>
        <v>0</v>
      </c>
      <c r="V53" s="36">
        <f>IF(B53="","",IF(D53="","",D53+U53/1440))</f>
        <v>0</v>
      </c>
      <c r="W53" s="25">
        <f>IF(B53="","",IF(D53="","",HOUR(D53)))</f>
        <v>0</v>
      </c>
      <c r="X53" s="37">
        <f>IF(B53="","",ROUND(U53/60,2))</f>
        <v>0</v>
      </c>
      <c r="Y53" s="26">
        <f>IF(B53="","",IF(L53&lt;&gt;"",L53,IFERROR(INDEX(Services!$G$5:$G$204,MATCH(G53,Services!$A$5:$A$204,0))*1,0)))</f>
        <v>0</v>
      </c>
      <c r="Z53" s="26">
        <f>IF(B53="","",IF(O53&lt;&gt;"",O53,IF(Y53&gt;=DepositThreshold,ROUND(Y53*DepositPercent,2),0)))</f>
        <v>0</v>
      </c>
      <c r="AA53" s="26">
        <f>IF(B53="","",ROUND(SUMIFS(Payments!$G$5:$G$1204,Payments!$I$5:$I$1204,A53,Payments!$E$5:$E$1204,"Deposit"),2))</f>
        <v>0</v>
      </c>
      <c r="AB53" s="26">
        <f>IF(B53="","",ROUND(SUMIFS(Sales!$Y$5:$Y$1204,Sales!$C$5:$C$1204,A53),2))</f>
        <v>0</v>
      </c>
      <c r="AC53" s="38">
        <f>IF(B53="","",IF(M53="Completed","Yes",IF(M53="Cancelled","Yes",IF(M53="No show","Yes","No"))))</f>
        <v>0</v>
      </c>
      <c r="AD53" s="25">
        <f>IF(B53="","",IF(AE53="","",B53-AE53))</f>
        <v>0</v>
      </c>
      <c r="AF53" s="38">
        <f>IF(B53="","",IF(M53&lt;&gt;"Completed","",IF(E53="","No",IF(COUNTIFS(Appointments!$E$5:$E$1204,E53,Appointments!$B$5:$B$1204,"&gt;"&amp;B53,Appointments!$M$5:$M$1204,"&lt;&gt;Cancelled")&gt;0,"Yes","No"))))</f>
        <v>0</v>
      </c>
      <c r="AG53" s="38">
        <f>IF(B53="","",IF(I53="","",IF(D53="","",IF(COUNTIFS($I$5:$I$1204,I53,$B$5:$B$1204,B53,$D$5:$D$1204,"&lt;"&amp;V53,$V$5:$V$1204,"&gt;"&amp;D53,$M$5:$M$1204,"&lt;&gt;Cancelled")&gt;1,"Clash",""))))</f>
        <v>0</v>
      </c>
      <c r="AH53" s="39">
        <f>IF(B53="","",IF(AG53="Clash","Clash - stylist double booked",IF(I53="","Assign - no stylist yet",IF(G53="","Add - no service chosen",IF(M53="No show","No show - charge the fee?",IF(M53="Cancelled","",IF(IF(M53="Completed",AB53&lt;Y53-0.004,FALSE),"Unpaid - nothing rung up for this visit",IF(IF(B53&lt;TodayDate,M53="Booked",FALSE),"Overdue - past date, still only Booked",IF(IF(B53=TodayDate,TRUE,FALSE),"Today",IF(IF(Z53&gt;0,AA53&lt;Z53-0.004,FALSE),"Due - deposit not taken",IF(IF(B53&gt;TodayDate,B53&lt;=TodayDate+2,FALSE),"Confirm - coming up","OK")))))))))))</f>
        <v>0</v>
      </c>
    </row>
    <row r="54" spans="1:34">
      <c r="A54" s="28">
        <f>IF(B54="","",AppointmentPrefix&amp;TEXT(ROW()-4,"0000"))</f>
        <v>0</v>
      </c>
      <c r="C54" s="15">
        <f>IF(B54="","",TEXT(B54,"ddd"))</f>
        <v>0</v>
      </c>
      <c r="F54" s="15">
        <f>IF(E54="","",IFERROR(INDEX(Clients!$B$5:$B$504,MATCH(E54,Clients!$A$5:$A$504,0)),"Walk-in"))</f>
        <v>0</v>
      </c>
      <c r="H54" s="15">
        <f>IF(G54="","",IFERROR(INDEX(Services!$B$5:$B$204,MATCH(G54,Services!$A$5:$A$204,0)),"Not in Services"))</f>
        <v>0</v>
      </c>
      <c r="J54" s="15">
        <f>IF(I54="","",IFERROR(INDEX(Staff!$B$5:$B$44,MATCH(I54,Staff!$A$5:$A$44,0)),"Unassigned"))</f>
        <v>0</v>
      </c>
      <c r="S54" s="15">
        <f>IF(B54="","",TEXT(B54,"yyyy-mm"))</f>
        <v>0</v>
      </c>
      <c r="T54" s="25">
        <f>IF(B54="","",WEEKNUM(B54,2))</f>
        <v>0</v>
      </c>
      <c r="U54" s="25">
        <f>IF(B54="","",IF(K54&lt;&gt;"",K54,IFERROR(INDEX(Services!$E$5:$E$204,MATCH(G54,Services!$A$5:$A$204,0))*1,0)+IFERROR(INDEX(Services!$F$5:$F$204,MATCH(G54,Services!$A$5:$A$204,0))*1,0)))</f>
        <v>0</v>
      </c>
      <c r="V54" s="36">
        <f>IF(B54="","",IF(D54="","",D54+U54/1440))</f>
        <v>0</v>
      </c>
      <c r="W54" s="25">
        <f>IF(B54="","",IF(D54="","",HOUR(D54)))</f>
        <v>0</v>
      </c>
      <c r="X54" s="37">
        <f>IF(B54="","",ROUND(U54/60,2))</f>
        <v>0</v>
      </c>
      <c r="Y54" s="26">
        <f>IF(B54="","",IF(L54&lt;&gt;"",L54,IFERROR(INDEX(Services!$G$5:$G$204,MATCH(G54,Services!$A$5:$A$204,0))*1,0)))</f>
        <v>0</v>
      </c>
      <c r="Z54" s="26">
        <f>IF(B54="","",IF(O54&lt;&gt;"",O54,IF(Y54&gt;=DepositThreshold,ROUND(Y54*DepositPercent,2),0)))</f>
        <v>0</v>
      </c>
      <c r="AA54" s="26">
        <f>IF(B54="","",ROUND(SUMIFS(Payments!$G$5:$G$1204,Payments!$I$5:$I$1204,A54,Payments!$E$5:$E$1204,"Deposit"),2))</f>
        <v>0</v>
      </c>
      <c r="AB54" s="26">
        <f>IF(B54="","",ROUND(SUMIFS(Sales!$Y$5:$Y$1204,Sales!$C$5:$C$1204,A54),2))</f>
        <v>0</v>
      </c>
      <c r="AC54" s="38">
        <f>IF(B54="","",IF(M54="Completed","Yes",IF(M54="Cancelled","Yes",IF(M54="No show","Yes","No"))))</f>
        <v>0</v>
      </c>
      <c r="AD54" s="25">
        <f>IF(B54="","",IF(AE54="","",B54-AE54))</f>
        <v>0</v>
      </c>
      <c r="AF54" s="38">
        <f>IF(B54="","",IF(M54&lt;&gt;"Completed","",IF(E54="","No",IF(COUNTIFS(Appointments!$E$5:$E$1204,E54,Appointments!$B$5:$B$1204,"&gt;"&amp;B54,Appointments!$M$5:$M$1204,"&lt;&gt;Cancelled")&gt;0,"Yes","No"))))</f>
        <v>0</v>
      </c>
      <c r="AG54" s="38">
        <f>IF(B54="","",IF(I54="","",IF(D54="","",IF(COUNTIFS($I$5:$I$1204,I54,$B$5:$B$1204,B54,$D$5:$D$1204,"&lt;"&amp;V54,$V$5:$V$1204,"&gt;"&amp;D54,$M$5:$M$1204,"&lt;&gt;Cancelled")&gt;1,"Clash",""))))</f>
        <v>0</v>
      </c>
      <c r="AH54" s="39">
        <f>IF(B54="","",IF(AG54="Clash","Clash - stylist double booked",IF(I54="","Assign - no stylist yet",IF(G54="","Add - no service chosen",IF(M54="No show","No show - charge the fee?",IF(M54="Cancelled","",IF(IF(M54="Completed",AB54&lt;Y54-0.004,FALSE),"Unpaid - nothing rung up for this visit",IF(IF(B54&lt;TodayDate,M54="Booked",FALSE),"Overdue - past date, still only Booked",IF(IF(B54=TodayDate,TRUE,FALSE),"Today",IF(IF(Z54&gt;0,AA54&lt;Z54-0.004,FALSE),"Due - deposit not taken",IF(IF(B54&gt;TodayDate,B54&lt;=TodayDate+2,FALSE),"Confirm - coming up","OK")))))))))))</f>
        <v>0</v>
      </c>
    </row>
    <row r="55" spans="1:34">
      <c r="A55" s="28">
        <f>IF(B55="","",AppointmentPrefix&amp;TEXT(ROW()-4,"0000"))</f>
        <v>0</v>
      </c>
      <c r="C55" s="15">
        <f>IF(B55="","",TEXT(B55,"ddd"))</f>
        <v>0</v>
      </c>
      <c r="F55" s="15">
        <f>IF(E55="","",IFERROR(INDEX(Clients!$B$5:$B$504,MATCH(E55,Clients!$A$5:$A$504,0)),"Walk-in"))</f>
        <v>0</v>
      </c>
      <c r="H55" s="15">
        <f>IF(G55="","",IFERROR(INDEX(Services!$B$5:$B$204,MATCH(G55,Services!$A$5:$A$204,0)),"Not in Services"))</f>
        <v>0</v>
      </c>
      <c r="J55" s="15">
        <f>IF(I55="","",IFERROR(INDEX(Staff!$B$5:$B$44,MATCH(I55,Staff!$A$5:$A$44,0)),"Unassigned"))</f>
        <v>0</v>
      </c>
      <c r="S55" s="15">
        <f>IF(B55="","",TEXT(B55,"yyyy-mm"))</f>
        <v>0</v>
      </c>
      <c r="T55" s="25">
        <f>IF(B55="","",WEEKNUM(B55,2))</f>
        <v>0</v>
      </c>
      <c r="U55" s="25">
        <f>IF(B55="","",IF(K55&lt;&gt;"",K55,IFERROR(INDEX(Services!$E$5:$E$204,MATCH(G55,Services!$A$5:$A$204,0))*1,0)+IFERROR(INDEX(Services!$F$5:$F$204,MATCH(G55,Services!$A$5:$A$204,0))*1,0)))</f>
        <v>0</v>
      </c>
      <c r="V55" s="36">
        <f>IF(B55="","",IF(D55="","",D55+U55/1440))</f>
        <v>0</v>
      </c>
      <c r="W55" s="25">
        <f>IF(B55="","",IF(D55="","",HOUR(D55)))</f>
        <v>0</v>
      </c>
      <c r="X55" s="37">
        <f>IF(B55="","",ROUND(U55/60,2))</f>
        <v>0</v>
      </c>
      <c r="Y55" s="26">
        <f>IF(B55="","",IF(L55&lt;&gt;"",L55,IFERROR(INDEX(Services!$G$5:$G$204,MATCH(G55,Services!$A$5:$A$204,0))*1,0)))</f>
        <v>0</v>
      </c>
      <c r="Z55" s="26">
        <f>IF(B55="","",IF(O55&lt;&gt;"",O55,IF(Y55&gt;=DepositThreshold,ROUND(Y55*DepositPercent,2),0)))</f>
        <v>0</v>
      </c>
      <c r="AA55" s="26">
        <f>IF(B55="","",ROUND(SUMIFS(Payments!$G$5:$G$1204,Payments!$I$5:$I$1204,A55,Payments!$E$5:$E$1204,"Deposit"),2))</f>
        <v>0</v>
      </c>
      <c r="AB55" s="26">
        <f>IF(B55="","",ROUND(SUMIFS(Sales!$Y$5:$Y$1204,Sales!$C$5:$C$1204,A55),2))</f>
        <v>0</v>
      </c>
      <c r="AC55" s="38">
        <f>IF(B55="","",IF(M55="Completed","Yes",IF(M55="Cancelled","Yes",IF(M55="No show","Yes","No"))))</f>
        <v>0</v>
      </c>
      <c r="AD55" s="25">
        <f>IF(B55="","",IF(AE55="","",B55-AE55))</f>
        <v>0</v>
      </c>
      <c r="AF55" s="38">
        <f>IF(B55="","",IF(M55&lt;&gt;"Completed","",IF(E55="","No",IF(COUNTIFS(Appointments!$E$5:$E$1204,E55,Appointments!$B$5:$B$1204,"&gt;"&amp;B55,Appointments!$M$5:$M$1204,"&lt;&gt;Cancelled")&gt;0,"Yes","No"))))</f>
        <v>0</v>
      </c>
      <c r="AG55" s="38">
        <f>IF(B55="","",IF(I55="","",IF(D55="","",IF(COUNTIFS($I$5:$I$1204,I55,$B$5:$B$1204,B55,$D$5:$D$1204,"&lt;"&amp;V55,$V$5:$V$1204,"&gt;"&amp;D55,$M$5:$M$1204,"&lt;&gt;Cancelled")&gt;1,"Clash",""))))</f>
        <v>0</v>
      </c>
      <c r="AH55" s="39">
        <f>IF(B55="","",IF(AG55="Clash","Clash - stylist double booked",IF(I55="","Assign - no stylist yet",IF(G55="","Add - no service chosen",IF(M55="No show","No show - charge the fee?",IF(M55="Cancelled","",IF(IF(M55="Completed",AB55&lt;Y55-0.004,FALSE),"Unpaid - nothing rung up for this visit",IF(IF(B55&lt;TodayDate,M55="Booked",FALSE),"Overdue - past date, still only Booked",IF(IF(B55=TodayDate,TRUE,FALSE),"Today",IF(IF(Z55&gt;0,AA55&lt;Z55-0.004,FALSE),"Due - deposit not taken",IF(IF(B55&gt;TodayDate,B55&lt;=TodayDate+2,FALSE),"Confirm - coming up","OK")))))))))))</f>
        <v>0</v>
      </c>
    </row>
    <row r="56" spans="1:34">
      <c r="A56" s="28">
        <f>IF(B56="","",AppointmentPrefix&amp;TEXT(ROW()-4,"0000"))</f>
        <v>0</v>
      </c>
      <c r="C56" s="15">
        <f>IF(B56="","",TEXT(B56,"ddd"))</f>
        <v>0</v>
      </c>
      <c r="F56" s="15">
        <f>IF(E56="","",IFERROR(INDEX(Clients!$B$5:$B$504,MATCH(E56,Clients!$A$5:$A$504,0)),"Walk-in"))</f>
        <v>0</v>
      </c>
      <c r="H56" s="15">
        <f>IF(G56="","",IFERROR(INDEX(Services!$B$5:$B$204,MATCH(G56,Services!$A$5:$A$204,0)),"Not in Services"))</f>
        <v>0</v>
      </c>
      <c r="J56" s="15">
        <f>IF(I56="","",IFERROR(INDEX(Staff!$B$5:$B$44,MATCH(I56,Staff!$A$5:$A$44,0)),"Unassigned"))</f>
        <v>0</v>
      </c>
      <c r="S56" s="15">
        <f>IF(B56="","",TEXT(B56,"yyyy-mm"))</f>
        <v>0</v>
      </c>
      <c r="T56" s="25">
        <f>IF(B56="","",WEEKNUM(B56,2))</f>
        <v>0</v>
      </c>
      <c r="U56" s="25">
        <f>IF(B56="","",IF(K56&lt;&gt;"",K56,IFERROR(INDEX(Services!$E$5:$E$204,MATCH(G56,Services!$A$5:$A$204,0))*1,0)+IFERROR(INDEX(Services!$F$5:$F$204,MATCH(G56,Services!$A$5:$A$204,0))*1,0)))</f>
        <v>0</v>
      </c>
      <c r="V56" s="36">
        <f>IF(B56="","",IF(D56="","",D56+U56/1440))</f>
        <v>0</v>
      </c>
      <c r="W56" s="25">
        <f>IF(B56="","",IF(D56="","",HOUR(D56)))</f>
        <v>0</v>
      </c>
      <c r="X56" s="37">
        <f>IF(B56="","",ROUND(U56/60,2))</f>
        <v>0</v>
      </c>
      <c r="Y56" s="26">
        <f>IF(B56="","",IF(L56&lt;&gt;"",L56,IFERROR(INDEX(Services!$G$5:$G$204,MATCH(G56,Services!$A$5:$A$204,0))*1,0)))</f>
        <v>0</v>
      </c>
      <c r="Z56" s="26">
        <f>IF(B56="","",IF(O56&lt;&gt;"",O56,IF(Y56&gt;=DepositThreshold,ROUND(Y56*DepositPercent,2),0)))</f>
        <v>0</v>
      </c>
      <c r="AA56" s="26">
        <f>IF(B56="","",ROUND(SUMIFS(Payments!$G$5:$G$1204,Payments!$I$5:$I$1204,A56,Payments!$E$5:$E$1204,"Deposit"),2))</f>
        <v>0</v>
      </c>
      <c r="AB56" s="26">
        <f>IF(B56="","",ROUND(SUMIFS(Sales!$Y$5:$Y$1204,Sales!$C$5:$C$1204,A56),2))</f>
        <v>0</v>
      </c>
      <c r="AC56" s="38">
        <f>IF(B56="","",IF(M56="Completed","Yes",IF(M56="Cancelled","Yes",IF(M56="No show","Yes","No"))))</f>
        <v>0</v>
      </c>
      <c r="AD56" s="25">
        <f>IF(B56="","",IF(AE56="","",B56-AE56))</f>
        <v>0</v>
      </c>
      <c r="AF56" s="38">
        <f>IF(B56="","",IF(M56&lt;&gt;"Completed","",IF(E56="","No",IF(COUNTIFS(Appointments!$E$5:$E$1204,E56,Appointments!$B$5:$B$1204,"&gt;"&amp;B56,Appointments!$M$5:$M$1204,"&lt;&gt;Cancelled")&gt;0,"Yes","No"))))</f>
        <v>0</v>
      </c>
      <c r="AG56" s="38">
        <f>IF(B56="","",IF(I56="","",IF(D56="","",IF(COUNTIFS($I$5:$I$1204,I56,$B$5:$B$1204,B56,$D$5:$D$1204,"&lt;"&amp;V56,$V$5:$V$1204,"&gt;"&amp;D56,$M$5:$M$1204,"&lt;&gt;Cancelled")&gt;1,"Clash",""))))</f>
        <v>0</v>
      </c>
      <c r="AH56" s="39">
        <f>IF(B56="","",IF(AG56="Clash","Clash - stylist double booked",IF(I56="","Assign - no stylist yet",IF(G56="","Add - no service chosen",IF(M56="No show","No show - charge the fee?",IF(M56="Cancelled","",IF(IF(M56="Completed",AB56&lt;Y56-0.004,FALSE),"Unpaid - nothing rung up for this visit",IF(IF(B56&lt;TodayDate,M56="Booked",FALSE),"Overdue - past date, still only Booked",IF(IF(B56=TodayDate,TRUE,FALSE),"Today",IF(IF(Z56&gt;0,AA56&lt;Z56-0.004,FALSE),"Due - deposit not taken",IF(IF(B56&gt;TodayDate,B56&lt;=TodayDate+2,FALSE),"Confirm - coming up","OK")))))))))))</f>
        <v>0</v>
      </c>
    </row>
    <row r="57" spans="1:34">
      <c r="A57" s="28">
        <f>IF(B57="","",AppointmentPrefix&amp;TEXT(ROW()-4,"0000"))</f>
        <v>0</v>
      </c>
      <c r="C57" s="15">
        <f>IF(B57="","",TEXT(B57,"ddd"))</f>
        <v>0</v>
      </c>
      <c r="F57" s="15">
        <f>IF(E57="","",IFERROR(INDEX(Clients!$B$5:$B$504,MATCH(E57,Clients!$A$5:$A$504,0)),"Walk-in"))</f>
        <v>0</v>
      </c>
      <c r="H57" s="15">
        <f>IF(G57="","",IFERROR(INDEX(Services!$B$5:$B$204,MATCH(G57,Services!$A$5:$A$204,0)),"Not in Services"))</f>
        <v>0</v>
      </c>
      <c r="J57" s="15">
        <f>IF(I57="","",IFERROR(INDEX(Staff!$B$5:$B$44,MATCH(I57,Staff!$A$5:$A$44,0)),"Unassigned"))</f>
        <v>0</v>
      </c>
      <c r="S57" s="15">
        <f>IF(B57="","",TEXT(B57,"yyyy-mm"))</f>
        <v>0</v>
      </c>
      <c r="T57" s="25">
        <f>IF(B57="","",WEEKNUM(B57,2))</f>
        <v>0</v>
      </c>
      <c r="U57" s="25">
        <f>IF(B57="","",IF(K57&lt;&gt;"",K57,IFERROR(INDEX(Services!$E$5:$E$204,MATCH(G57,Services!$A$5:$A$204,0))*1,0)+IFERROR(INDEX(Services!$F$5:$F$204,MATCH(G57,Services!$A$5:$A$204,0))*1,0)))</f>
        <v>0</v>
      </c>
      <c r="V57" s="36">
        <f>IF(B57="","",IF(D57="","",D57+U57/1440))</f>
        <v>0</v>
      </c>
      <c r="W57" s="25">
        <f>IF(B57="","",IF(D57="","",HOUR(D57)))</f>
        <v>0</v>
      </c>
      <c r="X57" s="37">
        <f>IF(B57="","",ROUND(U57/60,2))</f>
        <v>0</v>
      </c>
      <c r="Y57" s="26">
        <f>IF(B57="","",IF(L57&lt;&gt;"",L57,IFERROR(INDEX(Services!$G$5:$G$204,MATCH(G57,Services!$A$5:$A$204,0))*1,0)))</f>
        <v>0</v>
      </c>
      <c r="Z57" s="26">
        <f>IF(B57="","",IF(O57&lt;&gt;"",O57,IF(Y57&gt;=DepositThreshold,ROUND(Y57*DepositPercent,2),0)))</f>
        <v>0</v>
      </c>
      <c r="AA57" s="26">
        <f>IF(B57="","",ROUND(SUMIFS(Payments!$G$5:$G$1204,Payments!$I$5:$I$1204,A57,Payments!$E$5:$E$1204,"Deposit"),2))</f>
        <v>0</v>
      </c>
      <c r="AB57" s="26">
        <f>IF(B57="","",ROUND(SUMIFS(Sales!$Y$5:$Y$1204,Sales!$C$5:$C$1204,A57),2))</f>
        <v>0</v>
      </c>
      <c r="AC57" s="38">
        <f>IF(B57="","",IF(M57="Completed","Yes",IF(M57="Cancelled","Yes",IF(M57="No show","Yes","No"))))</f>
        <v>0</v>
      </c>
      <c r="AD57" s="25">
        <f>IF(B57="","",IF(AE57="","",B57-AE57))</f>
        <v>0</v>
      </c>
      <c r="AF57" s="38">
        <f>IF(B57="","",IF(M57&lt;&gt;"Completed","",IF(E57="","No",IF(COUNTIFS(Appointments!$E$5:$E$1204,E57,Appointments!$B$5:$B$1204,"&gt;"&amp;B57,Appointments!$M$5:$M$1204,"&lt;&gt;Cancelled")&gt;0,"Yes","No"))))</f>
        <v>0</v>
      </c>
      <c r="AG57" s="38">
        <f>IF(B57="","",IF(I57="","",IF(D57="","",IF(COUNTIFS($I$5:$I$1204,I57,$B$5:$B$1204,B57,$D$5:$D$1204,"&lt;"&amp;V57,$V$5:$V$1204,"&gt;"&amp;D57,$M$5:$M$1204,"&lt;&gt;Cancelled")&gt;1,"Clash",""))))</f>
        <v>0</v>
      </c>
      <c r="AH57" s="39">
        <f>IF(B57="","",IF(AG57="Clash","Clash - stylist double booked",IF(I57="","Assign - no stylist yet",IF(G57="","Add - no service chosen",IF(M57="No show","No show - charge the fee?",IF(M57="Cancelled","",IF(IF(M57="Completed",AB57&lt;Y57-0.004,FALSE),"Unpaid - nothing rung up for this visit",IF(IF(B57&lt;TodayDate,M57="Booked",FALSE),"Overdue - past date, still only Booked",IF(IF(B57=TodayDate,TRUE,FALSE),"Today",IF(IF(Z57&gt;0,AA57&lt;Z57-0.004,FALSE),"Due - deposit not taken",IF(IF(B57&gt;TodayDate,B57&lt;=TodayDate+2,FALSE),"Confirm - coming up","OK")))))))))))</f>
        <v>0</v>
      </c>
    </row>
    <row r="58" spans="1:34">
      <c r="A58" s="28">
        <f>IF(B58="","",AppointmentPrefix&amp;TEXT(ROW()-4,"0000"))</f>
        <v>0</v>
      </c>
      <c r="C58" s="15">
        <f>IF(B58="","",TEXT(B58,"ddd"))</f>
        <v>0</v>
      </c>
      <c r="F58" s="15">
        <f>IF(E58="","",IFERROR(INDEX(Clients!$B$5:$B$504,MATCH(E58,Clients!$A$5:$A$504,0)),"Walk-in"))</f>
        <v>0</v>
      </c>
      <c r="H58" s="15">
        <f>IF(G58="","",IFERROR(INDEX(Services!$B$5:$B$204,MATCH(G58,Services!$A$5:$A$204,0)),"Not in Services"))</f>
        <v>0</v>
      </c>
      <c r="J58" s="15">
        <f>IF(I58="","",IFERROR(INDEX(Staff!$B$5:$B$44,MATCH(I58,Staff!$A$5:$A$44,0)),"Unassigned"))</f>
        <v>0</v>
      </c>
      <c r="S58" s="15">
        <f>IF(B58="","",TEXT(B58,"yyyy-mm"))</f>
        <v>0</v>
      </c>
      <c r="T58" s="25">
        <f>IF(B58="","",WEEKNUM(B58,2))</f>
        <v>0</v>
      </c>
      <c r="U58" s="25">
        <f>IF(B58="","",IF(K58&lt;&gt;"",K58,IFERROR(INDEX(Services!$E$5:$E$204,MATCH(G58,Services!$A$5:$A$204,0))*1,0)+IFERROR(INDEX(Services!$F$5:$F$204,MATCH(G58,Services!$A$5:$A$204,0))*1,0)))</f>
        <v>0</v>
      </c>
      <c r="V58" s="36">
        <f>IF(B58="","",IF(D58="","",D58+U58/1440))</f>
        <v>0</v>
      </c>
      <c r="W58" s="25">
        <f>IF(B58="","",IF(D58="","",HOUR(D58)))</f>
        <v>0</v>
      </c>
      <c r="X58" s="37">
        <f>IF(B58="","",ROUND(U58/60,2))</f>
        <v>0</v>
      </c>
      <c r="Y58" s="26">
        <f>IF(B58="","",IF(L58&lt;&gt;"",L58,IFERROR(INDEX(Services!$G$5:$G$204,MATCH(G58,Services!$A$5:$A$204,0))*1,0)))</f>
        <v>0</v>
      </c>
      <c r="Z58" s="26">
        <f>IF(B58="","",IF(O58&lt;&gt;"",O58,IF(Y58&gt;=DepositThreshold,ROUND(Y58*DepositPercent,2),0)))</f>
        <v>0</v>
      </c>
      <c r="AA58" s="26">
        <f>IF(B58="","",ROUND(SUMIFS(Payments!$G$5:$G$1204,Payments!$I$5:$I$1204,A58,Payments!$E$5:$E$1204,"Deposit"),2))</f>
        <v>0</v>
      </c>
      <c r="AB58" s="26">
        <f>IF(B58="","",ROUND(SUMIFS(Sales!$Y$5:$Y$1204,Sales!$C$5:$C$1204,A58),2))</f>
        <v>0</v>
      </c>
      <c r="AC58" s="38">
        <f>IF(B58="","",IF(M58="Completed","Yes",IF(M58="Cancelled","Yes",IF(M58="No show","Yes","No"))))</f>
        <v>0</v>
      </c>
      <c r="AD58" s="25">
        <f>IF(B58="","",IF(AE58="","",B58-AE58))</f>
        <v>0</v>
      </c>
      <c r="AF58" s="38">
        <f>IF(B58="","",IF(M58&lt;&gt;"Completed","",IF(E58="","No",IF(COUNTIFS(Appointments!$E$5:$E$1204,E58,Appointments!$B$5:$B$1204,"&gt;"&amp;B58,Appointments!$M$5:$M$1204,"&lt;&gt;Cancelled")&gt;0,"Yes","No"))))</f>
        <v>0</v>
      </c>
      <c r="AG58" s="38">
        <f>IF(B58="","",IF(I58="","",IF(D58="","",IF(COUNTIFS($I$5:$I$1204,I58,$B$5:$B$1204,B58,$D$5:$D$1204,"&lt;"&amp;V58,$V$5:$V$1204,"&gt;"&amp;D58,$M$5:$M$1204,"&lt;&gt;Cancelled")&gt;1,"Clash",""))))</f>
        <v>0</v>
      </c>
      <c r="AH58" s="39">
        <f>IF(B58="","",IF(AG58="Clash","Clash - stylist double booked",IF(I58="","Assign - no stylist yet",IF(G58="","Add - no service chosen",IF(M58="No show","No show - charge the fee?",IF(M58="Cancelled","",IF(IF(M58="Completed",AB58&lt;Y58-0.004,FALSE),"Unpaid - nothing rung up for this visit",IF(IF(B58&lt;TodayDate,M58="Booked",FALSE),"Overdue - past date, still only Booked",IF(IF(B58=TodayDate,TRUE,FALSE),"Today",IF(IF(Z58&gt;0,AA58&lt;Z58-0.004,FALSE),"Due - deposit not taken",IF(IF(B58&gt;TodayDate,B58&lt;=TodayDate+2,FALSE),"Confirm - coming up","OK")))))))))))</f>
        <v>0</v>
      </c>
    </row>
    <row r="59" spans="1:34">
      <c r="A59" s="28">
        <f>IF(B59="","",AppointmentPrefix&amp;TEXT(ROW()-4,"0000"))</f>
        <v>0</v>
      </c>
      <c r="C59" s="15">
        <f>IF(B59="","",TEXT(B59,"ddd"))</f>
        <v>0</v>
      </c>
      <c r="F59" s="15">
        <f>IF(E59="","",IFERROR(INDEX(Clients!$B$5:$B$504,MATCH(E59,Clients!$A$5:$A$504,0)),"Walk-in"))</f>
        <v>0</v>
      </c>
      <c r="H59" s="15">
        <f>IF(G59="","",IFERROR(INDEX(Services!$B$5:$B$204,MATCH(G59,Services!$A$5:$A$204,0)),"Not in Services"))</f>
        <v>0</v>
      </c>
      <c r="J59" s="15">
        <f>IF(I59="","",IFERROR(INDEX(Staff!$B$5:$B$44,MATCH(I59,Staff!$A$5:$A$44,0)),"Unassigned"))</f>
        <v>0</v>
      </c>
      <c r="S59" s="15">
        <f>IF(B59="","",TEXT(B59,"yyyy-mm"))</f>
        <v>0</v>
      </c>
      <c r="T59" s="25">
        <f>IF(B59="","",WEEKNUM(B59,2))</f>
        <v>0</v>
      </c>
      <c r="U59" s="25">
        <f>IF(B59="","",IF(K59&lt;&gt;"",K59,IFERROR(INDEX(Services!$E$5:$E$204,MATCH(G59,Services!$A$5:$A$204,0))*1,0)+IFERROR(INDEX(Services!$F$5:$F$204,MATCH(G59,Services!$A$5:$A$204,0))*1,0)))</f>
        <v>0</v>
      </c>
      <c r="V59" s="36">
        <f>IF(B59="","",IF(D59="","",D59+U59/1440))</f>
        <v>0</v>
      </c>
      <c r="W59" s="25">
        <f>IF(B59="","",IF(D59="","",HOUR(D59)))</f>
        <v>0</v>
      </c>
      <c r="X59" s="37">
        <f>IF(B59="","",ROUND(U59/60,2))</f>
        <v>0</v>
      </c>
      <c r="Y59" s="26">
        <f>IF(B59="","",IF(L59&lt;&gt;"",L59,IFERROR(INDEX(Services!$G$5:$G$204,MATCH(G59,Services!$A$5:$A$204,0))*1,0)))</f>
        <v>0</v>
      </c>
      <c r="Z59" s="26">
        <f>IF(B59="","",IF(O59&lt;&gt;"",O59,IF(Y59&gt;=DepositThreshold,ROUND(Y59*DepositPercent,2),0)))</f>
        <v>0</v>
      </c>
      <c r="AA59" s="26">
        <f>IF(B59="","",ROUND(SUMIFS(Payments!$G$5:$G$1204,Payments!$I$5:$I$1204,A59,Payments!$E$5:$E$1204,"Deposit"),2))</f>
        <v>0</v>
      </c>
      <c r="AB59" s="26">
        <f>IF(B59="","",ROUND(SUMIFS(Sales!$Y$5:$Y$1204,Sales!$C$5:$C$1204,A59),2))</f>
        <v>0</v>
      </c>
      <c r="AC59" s="38">
        <f>IF(B59="","",IF(M59="Completed","Yes",IF(M59="Cancelled","Yes",IF(M59="No show","Yes","No"))))</f>
        <v>0</v>
      </c>
      <c r="AD59" s="25">
        <f>IF(B59="","",IF(AE59="","",B59-AE59))</f>
        <v>0</v>
      </c>
      <c r="AF59" s="38">
        <f>IF(B59="","",IF(M59&lt;&gt;"Completed","",IF(E59="","No",IF(COUNTIFS(Appointments!$E$5:$E$1204,E59,Appointments!$B$5:$B$1204,"&gt;"&amp;B59,Appointments!$M$5:$M$1204,"&lt;&gt;Cancelled")&gt;0,"Yes","No"))))</f>
        <v>0</v>
      </c>
      <c r="AG59" s="38">
        <f>IF(B59="","",IF(I59="","",IF(D59="","",IF(COUNTIFS($I$5:$I$1204,I59,$B$5:$B$1204,B59,$D$5:$D$1204,"&lt;"&amp;V59,$V$5:$V$1204,"&gt;"&amp;D59,$M$5:$M$1204,"&lt;&gt;Cancelled")&gt;1,"Clash",""))))</f>
        <v>0</v>
      </c>
      <c r="AH59" s="39">
        <f>IF(B59="","",IF(AG59="Clash","Clash - stylist double booked",IF(I59="","Assign - no stylist yet",IF(G59="","Add - no service chosen",IF(M59="No show","No show - charge the fee?",IF(M59="Cancelled","",IF(IF(M59="Completed",AB59&lt;Y59-0.004,FALSE),"Unpaid - nothing rung up for this visit",IF(IF(B59&lt;TodayDate,M59="Booked",FALSE),"Overdue - past date, still only Booked",IF(IF(B59=TodayDate,TRUE,FALSE),"Today",IF(IF(Z59&gt;0,AA59&lt;Z59-0.004,FALSE),"Due - deposit not taken",IF(IF(B59&gt;TodayDate,B59&lt;=TodayDate+2,FALSE),"Confirm - coming up","OK")))))))))))</f>
        <v>0</v>
      </c>
    </row>
    <row r="60" spans="1:34">
      <c r="A60" s="28">
        <f>IF(B60="","",AppointmentPrefix&amp;TEXT(ROW()-4,"0000"))</f>
        <v>0</v>
      </c>
      <c r="C60" s="15">
        <f>IF(B60="","",TEXT(B60,"ddd"))</f>
        <v>0</v>
      </c>
      <c r="F60" s="15">
        <f>IF(E60="","",IFERROR(INDEX(Clients!$B$5:$B$504,MATCH(E60,Clients!$A$5:$A$504,0)),"Walk-in"))</f>
        <v>0</v>
      </c>
      <c r="H60" s="15">
        <f>IF(G60="","",IFERROR(INDEX(Services!$B$5:$B$204,MATCH(G60,Services!$A$5:$A$204,0)),"Not in Services"))</f>
        <v>0</v>
      </c>
      <c r="J60" s="15">
        <f>IF(I60="","",IFERROR(INDEX(Staff!$B$5:$B$44,MATCH(I60,Staff!$A$5:$A$44,0)),"Unassigned"))</f>
        <v>0</v>
      </c>
      <c r="S60" s="15">
        <f>IF(B60="","",TEXT(B60,"yyyy-mm"))</f>
        <v>0</v>
      </c>
      <c r="T60" s="25">
        <f>IF(B60="","",WEEKNUM(B60,2))</f>
        <v>0</v>
      </c>
      <c r="U60" s="25">
        <f>IF(B60="","",IF(K60&lt;&gt;"",K60,IFERROR(INDEX(Services!$E$5:$E$204,MATCH(G60,Services!$A$5:$A$204,0))*1,0)+IFERROR(INDEX(Services!$F$5:$F$204,MATCH(G60,Services!$A$5:$A$204,0))*1,0)))</f>
        <v>0</v>
      </c>
      <c r="V60" s="36">
        <f>IF(B60="","",IF(D60="","",D60+U60/1440))</f>
        <v>0</v>
      </c>
      <c r="W60" s="25">
        <f>IF(B60="","",IF(D60="","",HOUR(D60)))</f>
        <v>0</v>
      </c>
      <c r="X60" s="37">
        <f>IF(B60="","",ROUND(U60/60,2))</f>
        <v>0</v>
      </c>
      <c r="Y60" s="26">
        <f>IF(B60="","",IF(L60&lt;&gt;"",L60,IFERROR(INDEX(Services!$G$5:$G$204,MATCH(G60,Services!$A$5:$A$204,0))*1,0)))</f>
        <v>0</v>
      </c>
      <c r="Z60" s="26">
        <f>IF(B60="","",IF(O60&lt;&gt;"",O60,IF(Y60&gt;=DepositThreshold,ROUND(Y60*DepositPercent,2),0)))</f>
        <v>0</v>
      </c>
      <c r="AA60" s="26">
        <f>IF(B60="","",ROUND(SUMIFS(Payments!$G$5:$G$1204,Payments!$I$5:$I$1204,A60,Payments!$E$5:$E$1204,"Deposit"),2))</f>
        <v>0</v>
      </c>
      <c r="AB60" s="26">
        <f>IF(B60="","",ROUND(SUMIFS(Sales!$Y$5:$Y$1204,Sales!$C$5:$C$1204,A60),2))</f>
        <v>0</v>
      </c>
      <c r="AC60" s="38">
        <f>IF(B60="","",IF(M60="Completed","Yes",IF(M60="Cancelled","Yes",IF(M60="No show","Yes","No"))))</f>
        <v>0</v>
      </c>
      <c r="AD60" s="25">
        <f>IF(B60="","",IF(AE60="","",B60-AE60))</f>
        <v>0</v>
      </c>
      <c r="AF60" s="38">
        <f>IF(B60="","",IF(M60&lt;&gt;"Completed","",IF(E60="","No",IF(COUNTIFS(Appointments!$E$5:$E$1204,E60,Appointments!$B$5:$B$1204,"&gt;"&amp;B60,Appointments!$M$5:$M$1204,"&lt;&gt;Cancelled")&gt;0,"Yes","No"))))</f>
        <v>0</v>
      </c>
      <c r="AG60" s="38">
        <f>IF(B60="","",IF(I60="","",IF(D60="","",IF(COUNTIFS($I$5:$I$1204,I60,$B$5:$B$1204,B60,$D$5:$D$1204,"&lt;"&amp;V60,$V$5:$V$1204,"&gt;"&amp;D60,$M$5:$M$1204,"&lt;&gt;Cancelled")&gt;1,"Clash",""))))</f>
        <v>0</v>
      </c>
      <c r="AH60" s="39">
        <f>IF(B60="","",IF(AG60="Clash","Clash - stylist double booked",IF(I60="","Assign - no stylist yet",IF(G60="","Add - no service chosen",IF(M60="No show","No show - charge the fee?",IF(M60="Cancelled","",IF(IF(M60="Completed",AB60&lt;Y60-0.004,FALSE),"Unpaid - nothing rung up for this visit",IF(IF(B60&lt;TodayDate,M60="Booked",FALSE),"Overdue - past date, still only Booked",IF(IF(B60=TodayDate,TRUE,FALSE),"Today",IF(IF(Z60&gt;0,AA60&lt;Z60-0.004,FALSE),"Due - deposit not taken",IF(IF(B60&gt;TodayDate,B60&lt;=TodayDate+2,FALSE),"Confirm - coming up","OK")))))))))))</f>
        <v>0</v>
      </c>
    </row>
    <row r="61" spans="1:34">
      <c r="A61" s="28">
        <f>IF(B61="","",AppointmentPrefix&amp;TEXT(ROW()-4,"0000"))</f>
        <v>0</v>
      </c>
      <c r="C61" s="15">
        <f>IF(B61="","",TEXT(B61,"ddd"))</f>
        <v>0</v>
      </c>
      <c r="F61" s="15">
        <f>IF(E61="","",IFERROR(INDEX(Clients!$B$5:$B$504,MATCH(E61,Clients!$A$5:$A$504,0)),"Walk-in"))</f>
        <v>0</v>
      </c>
      <c r="H61" s="15">
        <f>IF(G61="","",IFERROR(INDEX(Services!$B$5:$B$204,MATCH(G61,Services!$A$5:$A$204,0)),"Not in Services"))</f>
        <v>0</v>
      </c>
      <c r="J61" s="15">
        <f>IF(I61="","",IFERROR(INDEX(Staff!$B$5:$B$44,MATCH(I61,Staff!$A$5:$A$44,0)),"Unassigned"))</f>
        <v>0</v>
      </c>
      <c r="S61" s="15">
        <f>IF(B61="","",TEXT(B61,"yyyy-mm"))</f>
        <v>0</v>
      </c>
      <c r="T61" s="25">
        <f>IF(B61="","",WEEKNUM(B61,2))</f>
        <v>0</v>
      </c>
      <c r="U61" s="25">
        <f>IF(B61="","",IF(K61&lt;&gt;"",K61,IFERROR(INDEX(Services!$E$5:$E$204,MATCH(G61,Services!$A$5:$A$204,0))*1,0)+IFERROR(INDEX(Services!$F$5:$F$204,MATCH(G61,Services!$A$5:$A$204,0))*1,0)))</f>
        <v>0</v>
      </c>
      <c r="V61" s="36">
        <f>IF(B61="","",IF(D61="","",D61+U61/1440))</f>
        <v>0</v>
      </c>
      <c r="W61" s="25">
        <f>IF(B61="","",IF(D61="","",HOUR(D61)))</f>
        <v>0</v>
      </c>
      <c r="X61" s="37">
        <f>IF(B61="","",ROUND(U61/60,2))</f>
        <v>0</v>
      </c>
      <c r="Y61" s="26">
        <f>IF(B61="","",IF(L61&lt;&gt;"",L61,IFERROR(INDEX(Services!$G$5:$G$204,MATCH(G61,Services!$A$5:$A$204,0))*1,0)))</f>
        <v>0</v>
      </c>
      <c r="Z61" s="26">
        <f>IF(B61="","",IF(O61&lt;&gt;"",O61,IF(Y61&gt;=DepositThreshold,ROUND(Y61*DepositPercent,2),0)))</f>
        <v>0</v>
      </c>
      <c r="AA61" s="26">
        <f>IF(B61="","",ROUND(SUMIFS(Payments!$G$5:$G$1204,Payments!$I$5:$I$1204,A61,Payments!$E$5:$E$1204,"Deposit"),2))</f>
        <v>0</v>
      </c>
      <c r="AB61" s="26">
        <f>IF(B61="","",ROUND(SUMIFS(Sales!$Y$5:$Y$1204,Sales!$C$5:$C$1204,A61),2))</f>
        <v>0</v>
      </c>
      <c r="AC61" s="38">
        <f>IF(B61="","",IF(M61="Completed","Yes",IF(M61="Cancelled","Yes",IF(M61="No show","Yes","No"))))</f>
        <v>0</v>
      </c>
      <c r="AD61" s="25">
        <f>IF(B61="","",IF(AE61="","",B61-AE61))</f>
        <v>0</v>
      </c>
      <c r="AF61" s="38">
        <f>IF(B61="","",IF(M61&lt;&gt;"Completed","",IF(E61="","No",IF(COUNTIFS(Appointments!$E$5:$E$1204,E61,Appointments!$B$5:$B$1204,"&gt;"&amp;B61,Appointments!$M$5:$M$1204,"&lt;&gt;Cancelled")&gt;0,"Yes","No"))))</f>
        <v>0</v>
      </c>
      <c r="AG61" s="38">
        <f>IF(B61="","",IF(I61="","",IF(D61="","",IF(COUNTIFS($I$5:$I$1204,I61,$B$5:$B$1204,B61,$D$5:$D$1204,"&lt;"&amp;V61,$V$5:$V$1204,"&gt;"&amp;D61,$M$5:$M$1204,"&lt;&gt;Cancelled")&gt;1,"Clash",""))))</f>
        <v>0</v>
      </c>
      <c r="AH61" s="39">
        <f>IF(B61="","",IF(AG61="Clash","Clash - stylist double booked",IF(I61="","Assign - no stylist yet",IF(G61="","Add - no service chosen",IF(M61="No show","No show - charge the fee?",IF(M61="Cancelled","",IF(IF(M61="Completed",AB61&lt;Y61-0.004,FALSE),"Unpaid - nothing rung up for this visit",IF(IF(B61&lt;TodayDate,M61="Booked",FALSE),"Overdue - past date, still only Booked",IF(IF(B61=TodayDate,TRUE,FALSE),"Today",IF(IF(Z61&gt;0,AA61&lt;Z61-0.004,FALSE),"Due - deposit not taken",IF(IF(B61&gt;TodayDate,B61&lt;=TodayDate+2,FALSE),"Confirm - coming up","OK")))))))))))</f>
        <v>0</v>
      </c>
    </row>
    <row r="62" spans="1:34">
      <c r="A62" s="28">
        <f>IF(B62="","",AppointmentPrefix&amp;TEXT(ROW()-4,"0000"))</f>
        <v>0</v>
      </c>
      <c r="C62" s="15">
        <f>IF(B62="","",TEXT(B62,"ddd"))</f>
        <v>0</v>
      </c>
      <c r="F62" s="15">
        <f>IF(E62="","",IFERROR(INDEX(Clients!$B$5:$B$504,MATCH(E62,Clients!$A$5:$A$504,0)),"Walk-in"))</f>
        <v>0</v>
      </c>
      <c r="H62" s="15">
        <f>IF(G62="","",IFERROR(INDEX(Services!$B$5:$B$204,MATCH(G62,Services!$A$5:$A$204,0)),"Not in Services"))</f>
        <v>0</v>
      </c>
      <c r="J62" s="15">
        <f>IF(I62="","",IFERROR(INDEX(Staff!$B$5:$B$44,MATCH(I62,Staff!$A$5:$A$44,0)),"Unassigned"))</f>
        <v>0</v>
      </c>
      <c r="S62" s="15">
        <f>IF(B62="","",TEXT(B62,"yyyy-mm"))</f>
        <v>0</v>
      </c>
      <c r="T62" s="25">
        <f>IF(B62="","",WEEKNUM(B62,2))</f>
        <v>0</v>
      </c>
      <c r="U62" s="25">
        <f>IF(B62="","",IF(K62&lt;&gt;"",K62,IFERROR(INDEX(Services!$E$5:$E$204,MATCH(G62,Services!$A$5:$A$204,0))*1,0)+IFERROR(INDEX(Services!$F$5:$F$204,MATCH(G62,Services!$A$5:$A$204,0))*1,0)))</f>
        <v>0</v>
      </c>
      <c r="V62" s="36">
        <f>IF(B62="","",IF(D62="","",D62+U62/1440))</f>
        <v>0</v>
      </c>
      <c r="W62" s="25">
        <f>IF(B62="","",IF(D62="","",HOUR(D62)))</f>
        <v>0</v>
      </c>
      <c r="X62" s="37">
        <f>IF(B62="","",ROUND(U62/60,2))</f>
        <v>0</v>
      </c>
      <c r="Y62" s="26">
        <f>IF(B62="","",IF(L62&lt;&gt;"",L62,IFERROR(INDEX(Services!$G$5:$G$204,MATCH(G62,Services!$A$5:$A$204,0))*1,0)))</f>
        <v>0</v>
      </c>
      <c r="Z62" s="26">
        <f>IF(B62="","",IF(O62&lt;&gt;"",O62,IF(Y62&gt;=DepositThreshold,ROUND(Y62*DepositPercent,2),0)))</f>
        <v>0</v>
      </c>
      <c r="AA62" s="26">
        <f>IF(B62="","",ROUND(SUMIFS(Payments!$G$5:$G$1204,Payments!$I$5:$I$1204,A62,Payments!$E$5:$E$1204,"Deposit"),2))</f>
        <v>0</v>
      </c>
      <c r="AB62" s="26">
        <f>IF(B62="","",ROUND(SUMIFS(Sales!$Y$5:$Y$1204,Sales!$C$5:$C$1204,A62),2))</f>
        <v>0</v>
      </c>
      <c r="AC62" s="38">
        <f>IF(B62="","",IF(M62="Completed","Yes",IF(M62="Cancelled","Yes",IF(M62="No show","Yes","No"))))</f>
        <v>0</v>
      </c>
      <c r="AD62" s="25">
        <f>IF(B62="","",IF(AE62="","",B62-AE62))</f>
        <v>0</v>
      </c>
      <c r="AF62" s="38">
        <f>IF(B62="","",IF(M62&lt;&gt;"Completed","",IF(E62="","No",IF(COUNTIFS(Appointments!$E$5:$E$1204,E62,Appointments!$B$5:$B$1204,"&gt;"&amp;B62,Appointments!$M$5:$M$1204,"&lt;&gt;Cancelled")&gt;0,"Yes","No"))))</f>
        <v>0</v>
      </c>
      <c r="AG62" s="38">
        <f>IF(B62="","",IF(I62="","",IF(D62="","",IF(COUNTIFS($I$5:$I$1204,I62,$B$5:$B$1204,B62,$D$5:$D$1204,"&lt;"&amp;V62,$V$5:$V$1204,"&gt;"&amp;D62,$M$5:$M$1204,"&lt;&gt;Cancelled")&gt;1,"Clash",""))))</f>
        <v>0</v>
      </c>
      <c r="AH62" s="39">
        <f>IF(B62="","",IF(AG62="Clash","Clash - stylist double booked",IF(I62="","Assign - no stylist yet",IF(G62="","Add - no service chosen",IF(M62="No show","No show - charge the fee?",IF(M62="Cancelled","",IF(IF(M62="Completed",AB62&lt;Y62-0.004,FALSE),"Unpaid - nothing rung up for this visit",IF(IF(B62&lt;TodayDate,M62="Booked",FALSE),"Overdue - past date, still only Booked",IF(IF(B62=TodayDate,TRUE,FALSE),"Today",IF(IF(Z62&gt;0,AA62&lt;Z62-0.004,FALSE),"Due - deposit not taken",IF(IF(B62&gt;TodayDate,B62&lt;=TodayDate+2,FALSE),"Confirm - coming up","OK")))))))))))</f>
        <v>0</v>
      </c>
    </row>
    <row r="63" spans="1:34">
      <c r="A63" s="28">
        <f>IF(B63="","",AppointmentPrefix&amp;TEXT(ROW()-4,"0000"))</f>
        <v>0</v>
      </c>
      <c r="C63" s="15">
        <f>IF(B63="","",TEXT(B63,"ddd"))</f>
        <v>0</v>
      </c>
      <c r="F63" s="15">
        <f>IF(E63="","",IFERROR(INDEX(Clients!$B$5:$B$504,MATCH(E63,Clients!$A$5:$A$504,0)),"Walk-in"))</f>
        <v>0</v>
      </c>
      <c r="H63" s="15">
        <f>IF(G63="","",IFERROR(INDEX(Services!$B$5:$B$204,MATCH(G63,Services!$A$5:$A$204,0)),"Not in Services"))</f>
        <v>0</v>
      </c>
      <c r="J63" s="15">
        <f>IF(I63="","",IFERROR(INDEX(Staff!$B$5:$B$44,MATCH(I63,Staff!$A$5:$A$44,0)),"Unassigned"))</f>
        <v>0</v>
      </c>
      <c r="S63" s="15">
        <f>IF(B63="","",TEXT(B63,"yyyy-mm"))</f>
        <v>0</v>
      </c>
      <c r="T63" s="25">
        <f>IF(B63="","",WEEKNUM(B63,2))</f>
        <v>0</v>
      </c>
      <c r="U63" s="25">
        <f>IF(B63="","",IF(K63&lt;&gt;"",K63,IFERROR(INDEX(Services!$E$5:$E$204,MATCH(G63,Services!$A$5:$A$204,0))*1,0)+IFERROR(INDEX(Services!$F$5:$F$204,MATCH(G63,Services!$A$5:$A$204,0))*1,0)))</f>
        <v>0</v>
      </c>
      <c r="V63" s="36">
        <f>IF(B63="","",IF(D63="","",D63+U63/1440))</f>
        <v>0</v>
      </c>
      <c r="W63" s="25">
        <f>IF(B63="","",IF(D63="","",HOUR(D63)))</f>
        <v>0</v>
      </c>
      <c r="X63" s="37">
        <f>IF(B63="","",ROUND(U63/60,2))</f>
        <v>0</v>
      </c>
      <c r="Y63" s="26">
        <f>IF(B63="","",IF(L63&lt;&gt;"",L63,IFERROR(INDEX(Services!$G$5:$G$204,MATCH(G63,Services!$A$5:$A$204,0))*1,0)))</f>
        <v>0</v>
      </c>
      <c r="Z63" s="26">
        <f>IF(B63="","",IF(O63&lt;&gt;"",O63,IF(Y63&gt;=DepositThreshold,ROUND(Y63*DepositPercent,2),0)))</f>
        <v>0</v>
      </c>
      <c r="AA63" s="26">
        <f>IF(B63="","",ROUND(SUMIFS(Payments!$G$5:$G$1204,Payments!$I$5:$I$1204,A63,Payments!$E$5:$E$1204,"Deposit"),2))</f>
        <v>0</v>
      </c>
      <c r="AB63" s="26">
        <f>IF(B63="","",ROUND(SUMIFS(Sales!$Y$5:$Y$1204,Sales!$C$5:$C$1204,A63),2))</f>
        <v>0</v>
      </c>
      <c r="AC63" s="38">
        <f>IF(B63="","",IF(M63="Completed","Yes",IF(M63="Cancelled","Yes",IF(M63="No show","Yes","No"))))</f>
        <v>0</v>
      </c>
      <c r="AD63" s="25">
        <f>IF(B63="","",IF(AE63="","",B63-AE63))</f>
        <v>0</v>
      </c>
      <c r="AF63" s="38">
        <f>IF(B63="","",IF(M63&lt;&gt;"Completed","",IF(E63="","No",IF(COUNTIFS(Appointments!$E$5:$E$1204,E63,Appointments!$B$5:$B$1204,"&gt;"&amp;B63,Appointments!$M$5:$M$1204,"&lt;&gt;Cancelled")&gt;0,"Yes","No"))))</f>
        <v>0</v>
      </c>
      <c r="AG63" s="38">
        <f>IF(B63="","",IF(I63="","",IF(D63="","",IF(COUNTIFS($I$5:$I$1204,I63,$B$5:$B$1204,B63,$D$5:$D$1204,"&lt;"&amp;V63,$V$5:$V$1204,"&gt;"&amp;D63,$M$5:$M$1204,"&lt;&gt;Cancelled")&gt;1,"Clash",""))))</f>
        <v>0</v>
      </c>
      <c r="AH63" s="39">
        <f>IF(B63="","",IF(AG63="Clash","Clash - stylist double booked",IF(I63="","Assign - no stylist yet",IF(G63="","Add - no service chosen",IF(M63="No show","No show - charge the fee?",IF(M63="Cancelled","",IF(IF(M63="Completed",AB63&lt;Y63-0.004,FALSE),"Unpaid - nothing rung up for this visit",IF(IF(B63&lt;TodayDate,M63="Booked",FALSE),"Overdue - past date, still only Booked",IF(IF(B63=TodayDate,TRUE,FALSE),"Today",IF(IF(Z63&gt;0,AA63&lt;Z63-0.004,FALSE),"Due - deposit not taken",IF(IF(B63&gt;TodayDate,B63&lt;=TodayDate+2,FALSE),"Confirm - coming up","OK")))))))))))</f>
        <v>0</v>
      </c>
    </row>
    <row r="64" spans="1:34">
      <c r="A64" s="28">
        <f>IF(B64="","",AppointmentPrefix&amp;TEXT(ROW()-4,"0000"))</f>
        <v>0</v>
      </c>
      <c r="C64" s="15">
        <f>IF(B64="","",TEXT(B64,"ddd"))</f>
        <v>0</v>
      </c>
      <c r="F64" s="15">
        <f>IF(E64="","",IFERROR(INDEX(Clients!$B$5:$B$504,MATCH(E64,Clients!$A$5:$A$504,0)),"Walk-in"))</f>
        <v>0</v>
      </c>
      <c r="H64" s="15">
        <f>IF(G64="","",IFERROR(INDEX(Services!$B$5:$B$204,MATCH(G64,Services!$A$5:$A$204,0)),"Not in Services"))</f>
        <v>0</v>
      </c>
      <c r="J64" s="15">
        <f>IF(I64="","",IFERROR(INDEX(Staff!$B$5:$B$44,MATCH(I64,Staff!$A$5:$A$44,0)),"Unassigned"))</f>
        <v>0</v>
      </c>
      <c r="S64" s="15">
        <f>IF(B64="","",TEXT(B64,"yyyy-mm"))</f>
        <v>0</v>
      </c>
      <c r="T64" s="25">
        <f>IF(B64="","",WEEKNUM(B64,2))</f>
        <v>0</v>
      </c>
      <c r="U64" s="25">
        <f>IF(B64="","",IF(K64&lt;&gt;"",K64,IFERROR(INDEX(Services!$E$5:$E$204,MATCH(G64,Services!$A$5:$A$204,0))*1,0)+IFERROR(INDEX(Services!$F$5:$F$204,MATCH(G64,Services!$A$5:$A$204,0))*1,0)))</f>
        <v>0</v>
      </c>
      <c r="V64" s="36">
        <f>IF(B64="","",IF(D64="","",D64+U64/1440))</f>
        <v>0</v>
      </c>
      <c r="W64" s="25">
        <f>IF(B64="","",IF(D64="","",HOUR(D64)))</f>
        <v>0</v>
      </c>
      <c r="X64" s="37">
        <f>IF(B64="","",ROUND(U64/60,2))</f>
        <v>0</v>
      </c>
      <c r="Y64" s="26">
        <f>IF(B64="","",IF(L64&lt;&gt;"",L64,IFERROR(INDEX(Services!$G$5:$G$204,MATCH(G64,Services!$A$5:$A$204,0))*1,0)))</f>
        <v>0</v>
      </c>
      <c r="Z64" s="26">
        <f>IF(B64="","",IF(O64&lt;&gt;"",O64,IF(Y64&gt;=DepositThreshold,ROUND(Y64*DepositPercent,2),0)))</f>
        <v>0</v>
      </c>
      <c r="AA64" s="26">
        <f>IF(B64="","",ROUND(SUMIFS(Payments!$G$5:$G$1204,Payments!$I$5:$I$1204,A64,Payments!$E$5:$E$1204,"Deposit"),2))</f>
        <v>0</v>
      </c>
      <c r="AB64" s="26">
        <f>IF(B64="","",ROUND(SUMIFS(Sales!$Y$5:$Y$1204,Sales!$C$5:$C$1204,A64),2))</f>
        <v>0</v>
      </c>
      <c r="AC64" s="38">
        <f>IF(B64="","",IF(M64="Completed","Yes",IF(M64="Cancelled","Yes",IF(M64="No show","Yes","No"))))</f>
        <v>0</v>
      </c>
      <c r="AD64" s="25">
        <f>IF(B64="","",IF(AE64="","",B64-AE64))</f>
        <v>0</v>
      </c>
      <c r="AF64" s="38">
        <f>IF(B64="","",IF(M64&lt;&gt;"Completed","",IF(E64="","No",IF(COUNTIFS(Appointments!$E$5:$E$1204,E64,Appointments!$B$5:$B$1204,"&gt;"&amp;B64,Appointments!$M$5:$M$1204,"&lt;&gt;Cancelled")&gt;0,"Yes","No"))))</f>
        <v>0</v>
      </c>
      <c r="AG64" s="38">
        <f>IF(B64="","",IF(I64="","",IF(D64="","",IF(COUNTIFS($I$5:$I$1204,I64,$B$5:$B$1204,B64,$D$5:$D$1204,"&lt;"&amp;V64,$V$5:$V$1204,"&gt;"&amp;D64,$M$5:$M$1204,"&lt;&gt;Cancelled")&gt;1,"Clash",""))))</f>
        <v>0</v>
      </c>
      <c r="AH64" s="39">
        <f>IF(B64="","",IF(AG64="Clash","Clash - stylist double booked",IF(I64="","Assign - no stylist yet",IF(G64="","Add - no service chosen",IF(M64="No show","No show - charge the fee?",IF(M64="Cancelled","",IF(IF(M64="Completed",AB64&lt;Y64-0.004,FALSE),"Unpaid - nothing rung up for this visit",IF(IF(B64&lt;TodayDate,M64="Booked",FALSE),"Overdue - past date, still only Booked",IF(IF(B64=TodayDate,TRUE,FALSE),"Today",IF(IF(Z64&gt;0,AA64&lt;Z64-0.004,FALSE),"Due - deposit not taken",IF(IF(B64&gt;TodayDate,B64&lt;=TodayDate+2,FALSE),"Confirm - coming up","OK")))))))))))</f>
        <v>0</v>
      </c>
    </row>
    <row r="65" spans="1:34">
      <c r="A65" s="28">
        <f>IF(B65="","",AppointmentPrefix&amp;TEXT(ROW()-4,"0000"))</f>
        <v>0</v>
      </c>
      <c r="C65" s="15">
        <f>IF(B65="","",TEXT(B65,"ddd"))</f>
        <v>0</v>
      </c>
      <c r="F65" s="15">
        <f>IF(E65="","",IFERROR(INDEX(Clients!$B$5:$B$504,MATCH(E65,Clients!$A$5:$A$504,0)),"Walk-in"))</f>
        <v>0</v>
      </c>
      <c r="H65" s="15">
        <f>IF(G65="","",IFERROR(INDEX(Services!$B$5:$B$204,MATCH(G65,Services!$A$5:$A$204,0)),"Not in Services"))</f>
        <v>0</v>
      </c>
      <c r="J65" s="15">
        <f>IF(I65="","",IFERROR(INDEX(Staff!$B$5:$B$44,MATCH(I65,Staff!$A$5:$A$44,0)),"Unassigned"))</f>
        <v>0</v>
      </c>
      <c r="S65" s="15">
        <f>IF(B65="","",TEXT(B65,"yyyy-mm"))</f>
        <v>0</v>
      </c>
      <c r="T65" s="25">
        <f>IF(B65="","",WEEKNUM(B65,2))</f>
        <v>0</v>
      </c>
      <c r="U65" s="25">
        <f>IF(B65="","",IF(K65&lt;&gt;"",K65,IFERROR(INDEX(Services!$E$5:$E$204,MATCH(G65,Services!$A$5:$A$204,0))*1,0)+IFERROR(INDEX(Services!$F$5:$F$204,MATCH(G65,Services!$A$5:$A$204,0))*1,0)))</f>
        <v>0</v>
      </c>
      <c r="V65" s="36">
        <f>IF(B65="","",IF(D65="","",D65+U65/1440))</f>
        <v>0</v>
      </c>
      <c r="W65" s="25">
        <f>IF(B65="","",IF(D65="","",HOUR(D65)))</f>
        <v>0</v>
      </c>
      <c r="X65" s="37">
        <f>IF(B65="","",ROUND(U65/60,2))</f>
        <v>0</v>
      </c>
      <c r="Y65" s="26">
        <f>IF(B65="","",IF(L65&lt;&gt;"",L65,IFERROR(INDEX(Services!$G$5:$G$204,MATCH(G65,Services!$A$5:$A$204,0))*1,0)))</f>
        <v>0</v>
      </c>
      <c r="Z65" s="26">
        <f>IF(B65="","",IF(O65&lt;&gt;"",O65,IF(Y65&gt;=DepositThreshold,ROUND(Y65*DepositPercent,2),0)))</f>
        <v>0</v>
      </c>
      <c r="AA65" s="26">
        <f>IF(B65="","",ROUND(SUMIFS(Payments!$G$5:$G$1204,Payments!$I$5:$I$1204,A65,Payments!$E$5:$E$1204,"Deposit"),2))</f>
        <v>0</v>
      </c>
      <c r="AB65" s="26">
        <f>IF(B65="","",ROUND(SUMIFS(Sales!$Y$5:$Y$1204,Sales!$C$5:$C$1204,A65),2))</f>
        <v>0</v>
      </c>
      <c r="AC65" s="38">
        <f>IF(B65="","",IF(M65="Completed","Yes",IF(M65="Cancelled","Yes",IF(M65="No show","Yes","No"))))</f>
        <v>0</v>
      </c>
      <c r="AD65" s="25">
        <f>IF(B65="","",IF(AE65="","",B65-AE65))</f>
        <v>0</v>
      </c>
      <c r="AF65" s="38">
        <f>IF(B65="","",IF(M65&lt;&gt;"Completed","",IF(E65="","No",IF(COUNTIFS(Appointments!$E$5:$E$1204,E65,Appointments!$B$5:$B$1204,"&gt;"&amp;B65,Appointments!$M$5:$M$1204,"&lt;&gt;Cancelled")&gt;0,"Yes","No"))))</f>
        <v>0</v>
      </c>
      <c r="AG65" s="38">
        <f>IF(B65="","",IF(I65="","",IF(D65="","",IF(COUNTIFS($I$5:$I$1204,I65,$B$5:$B$1204,B65,$D$5:$D$1204,"&lt;"&amp;V65,$V$5:$V$1204,"&gt;"&amp;D65,$M$5:$M$1204,"&lt;&gt;Cancelled")&gt;1,"Clash",""))))</f>
        <v>0</v>
      </c>
      <c r="AH65" s="39">
        <f>IF(B65="","",IF(AG65="Clash","Clash - stylist double booked",IF(I65="","Assign - no stylist yet",IF(G65="","Add - no service chosen",IF(M65="No show","No show - charge the fee?",IF(M65="Cancelled","",IF(IF(M65="Completed",AB65&lt;Y65-0.004,FALSE),"Unpaid - nothing rung up for this visit",IF(IF(B65&lt;TodayDate,M65="Booked",FALSE),"Overdue - past date, still only Booked",IF(IF(B65=TodayDate,TRUE,FALSE),"Today",IF(IF(Z65&gt;0,AA65&lt;Z65-0.004,FALSE),"Due - deposit not taken",IF(IF(B65&gt;TodayDate,B65&lt;=TodayDate+2,FALSE),"Confirm - coming up","OK")))))))))))</f>
        <v>0</v>
      </c>
    </row>
    <row r="66" spans="1:34">
      <c r="A66" s="28">
        <f>IF(B66="","",AppointmentPrefix&amp;TEXT(ROW()-4,"0000"))</f>
        <v>0</v>
      </c>
      <c r="C66" s="15">
        <f>IF(B66="","",TEXT(B66,"ddd"))</f>
        <v>0</v>
      </c>
      <c r="F66" s="15">
        <f>IF(E66="","",IFERROR(INDEX(Clients!$B$5:$B$504,MATCH(E66,Clients!$A$5:$A$504,0)),"Walk-in"))</f>
        <v>0</v>
      </c>
      <c r="H66" s="15">
        <f>IF(G66="","",IFERROR(INDEX(Services!$B$5:$B$204,MATCH(G66,Services!$A$5:$A$204,0)),"Not in Services"))</f>
        <v>0</v>
      </c>
      <c r="J66" s="15">
        <f>IF(I66="","",IFERROR(INDEX(Staff!$B$5:$B$44,MATCH(I66,Staff!$A$5:$A$44,0)),"Unassigned"))</f>
        <v>0</v>
      </c>
      <c r="S66" s="15">
        <f>IF(B66="","",TEXT(B66,"yyyy-mm"))</f>
        <v>0</v>
      </c>
      <c r="T66" s="25">
        <f>IF(B66="","",WEEKNUM(B66,2))</f>
        <v>0</v>
      </c>
      <c r="U66" s="25">
        <f>IF(B66="","",IF(K66&lt;&gt;"",K66,IFERROR(INDEX(Services!$E$5:$E$204,MATCH(G66,Services!$A$5:$A$204,0))*1,0)+IFERROR(INDEX(Services!$F$5:$F$204,MATCH(G66,Services!$A$5:$A$204,0))*1,0)))</f>
        <v>0</v>
      </c>
      <c r="V66" s="36">
        <f>IF(B66="","",IF(D66="","",D66+U66/1440))</f>
        <v>0</v>
      </c>
      <c r="W66" s="25">
        <f>IF(B66="","",IF(D66="","",HOUR(D66)))</f>
        <v>0</v>
      </c>
      <c r="X66" s="37">
        <f>IF(B66="","",ROUND(U66/60,2))</f>
        <v>0</v>
      </c>
      <c r="Y66" s="26">
        <f>IF(B66="","",IF(L66&lt;&gt;"",L66,IFERROR(INDEX(Services!$G$5:$G$204,MATCH(G66,Services!$A$5:$A$204,0))*1,0)))</f>
        <v>0</v>
      </c>
      <c r="Z66" s="26">
        <f>IF(B66="","",IF(O66&lt;&gt;"",O66,IF(Y66&gt;=DepositThreshold,ROUND(Y66*DepositPercent,2),0)))</f>
        <v>0</v>
      </c>
      <c r="AA66" s="26">
        <f>IF(B66="","",ROUND(SUMIFS(Payments!$G$5:$G$1204,Payments!$I$5:$I$1204,A66,Payments!$E$5:$E$1204,"Deposit"),2))</f>
        <v>0</v>
      </c>
      <c r="AB66" s="26">
        <f>IF(B66="","",ROUND(SUMIFS(Sales!$Y$5:$Y$1204,Sales!$C$5:$C$1204,A66),2))</f>
        <v>0</v>
      </c>
      <c r="AC66" s="38">
        <f>IF(B66="","",IF(M66="Completed","Yes",IF(M66="Cancelled","Yes",IF(M66="No show","Yes","No"))))</f>
        <v>0</v>
      </c>
      <c r="AD66" s="25">
        <f>IF(B66="","",IF(AE66="","",B66-AE66))</f>
        <v>0</v>
      </c>
      <c r="AF66" s="38">
        <f>IF(B66="","",IF(M66&lt;&gt;"Completed","",IF(E66="","No",IF(COUNTIFS(Appointments!$E$5:$E$1204,E66,Appointments!$B$5:$B$1204,"&gt;"&amp;B66,Appointments!$M$5:$M$1204,"&lt;&gt;Cancelled")&gt;0,"Yes","No"))))</f>
        <v>0</v>
      </c>
      <c r="AG66" s="38">
        <f>IF(B66="","",IF(I66="","",IF(D66="","",IF(COUNTIFS($I$5:$I$1204,I66,$B$5:$B$1204,B66,$D$5:$D$1204,"&lt;"&amp;V66,$V$5:$V$1204,"&gt;"&amp;D66,$M$5:$M$1204,"&lt;&gt;Cancelled")&gt;1,"Clash",""))))</f>
        <v>0</v>
      </c>
      <c r="AH66" s="39">
        <f>IF(B66="","",IF(AG66="Clash","Clash - stylist double booked",IF(I66="","Assign - no stylist yet",IF(G66="","Add - no service chosen",IF(M66="No show","No show - charge the fee?",IF(M66="Cancelled","",IF(IF(M66="Completed",AB66&lt;Y66-0.004,FALSE),"Unpaid - nothing rung up for this visit",IF(IF(B66&lt;TodayDate,M66="Booked",FALSE),"Overdue - past date, still only Booked",IF(IF(B66=TodayDate,TRUE,FALSE),"Today",IF(IF(Z66&gt;0,AA66&lt;Z66-0.004,FALSE),"Due - deposit not taken",IF(IF(B66&gt;TodayDate,B66&lt;=TodayDate+2,FALSE),"Confirm - coming up","OK")))))))))))</f>
        <v>0</v>
      </c>
    </row>
    <row r="67" spans="1:34">
      <c r="A67" s="28">
        <f>IF(B67="","",AppointmentPrefix&amp;TEXT(ROW()-4,"0000"))</f>
        <v>0</v>
      </c>
      <c r="C67" s="15">
        <f>IF(B67="","",TEXT(B67,"ddd"))</f>
        <v>0</v>
      </c>
      <c r="F67" s="15">
        <f>IF(E67="","",IFERROR(INDEX(Clients!$B$5:$B$504,MATCH(E67,Clients!$A$5:$A$504,0)),"Walk-in"))</f>
        <v>0</v>
      </c>
      <c r="H67" s="15">
        <f>IF(G67="","",IFERROR(INDEX(Services!$B$5:$B$204,MATCH(G67,Services!$A$5:$A$204,0)),"Not in Services"))</f>
        <v>0</v>
      </c>
      <c r="J67" s="15">
        <f>IF(I67="","",IFERROR(INDEX(Staff!$B$5:$B$44,MATCH(I67,Staff!$A$5:$A$44,0)),"Unassigned"))</f>
        <v>0</v>
      </c>
      <c r="S67" s="15">
        <f>IF(B67="","",TEXT(B67,"yyyy-mm"))</f>
        <v>0</v>
      </c>
      <c r="T67" s="25">
        <f>IF(B67="","",WEEKNUM(B67,2))</f>
        <v>0</v>
      </c>
      <c r="U67" s="25">
        <f>IF(B67="","",IF(K67&lt;&gt;"",K67,IFERROR(INDEX(Services!$E$5:$E$204,MATCH(G67,Services!$A$5:$A$204,0))*1,0)+IFERROR(INDEX(Services!$F$5:$F$204,MATCH(G67,Services!$A$5:$A$204,0))*1,0)))</f>
        <v>0</v>
      </c>
      <c r="V67" s="36">
        <f>IF(B67="","",IF(D67="","",D67+U67/1440))</f>
        <v>0</v>
      </c>
      <c r="W67" s="25">
        <f>IF(B67="","",IF(D67="","",HOUR(D67)))</f>
        <v>0</v>
      </c>
      <c r="X67" s="37">
        <f>IF(B67="","",ROUND(U67/60,2))</f>
        <v>0</v>
      </c>
      <c r="Y67" s="26">
        <f>IF(B67="","",IF(L67&lt;&gt;"",L67,IFERROR(INDEX(Services!$G$5:$G$204,MATCH(G67,Services!$A$5:$A$204,0))*1,0)))</f>
        <v>0</v>
      </c>
      <c r="Z67" s="26">
        <f>IF(B67="","",IF(O67&lt;&gt;"",O67,IF(Y67&gt;=DepositThreshold,ROUND(Y67*DepositPercent,2),0)))</f>
        <v>0</v>
      </c>
      <c r="AA67" s="26">
        <f>IF(B67="","",ROUND(SUMIFS(Payments!$G$5:$G$1204,Payments!$I$5:$I$1204,A67,Payments!$E$5:$E$1204,"Deposit"),2))</f>
        <v>0</v>
      </c>
      <c r="AB67" s="26">
        <f>IF(B67="","",ROUND(SUMIFS(Sales!$Y$5:$Y$1204,Sales!$C$5:$C$1204,A67),2))</f>
        <v>0</v>
      </c>
      <c r="AC67" s="38">
        <f>IF(B67="","",IF(M67="Completed","Yes",IF(M67="Cancelled","Yes",IF(M67="No show","Yes","No"))))</f>
        <v>0</v>
      </c>
      <c r="AD67" s="25">
        <f>IF(B67="","",IF(AE67="","",B67-AE67))</f>
        <v>0</v>
      </c>
      <c r="AF67" s="38">
        <f>IF(B67="","",IF(M67&lt;&gt;"Completed","",IF(E67="","No",IF(COUNTIFS(Appointments!$E$5:$E$1204,E67,Appointments!$B$5:$B$1204,"&gt;"&amp;B67,Appointments!$M$5:$M$1204,"&lt;&gt;Cancelled")&gt;0,"Yes","No"))))</f>
        <v>0</v>
      </c>
      <c r="AG67" s="38">
        <f>IF(B67="","",IF(I67="","",IF(D67="","",IF(COUNTIFS($I$5:$I$1204,I67,$B$5:$B$1204,B67,$D$5:$D$1204,"&lt;"&amp;V67,$V$5:$V$1204,"&gt;"&amp;D67,$M$5:$M$1204,"&lt;&gt;Cancelled")&gt;1,"Clash",""))))</f>
        <v>0</v>
      </c>
      <c r="AH67" s="39">
        <f>IF(B67="","",IF(AG67="Clash","Clash - stylist double booked",IF(I67="","Assign - no stylist yet",IF(G67="","Add - no service chosen",IF(M67="No show","No show - charge the fee?",IF(M67="Cancelled","",IF(IF(M67="Completed",AB67&lt;Y67-0.004,FALSE),"Unpaid - nothing rung up for this visit",IF(IF(B67&lt;TodayDate,M67="Booked",FALSE),"Overdue - past date, still only Booked",IF(IF(B67=TodayDate,TRUE,FALSE),"Today",IF(IF(Z67&gt;0,AA67&lt;Z67-0.004,FALSE),"Due - deposit not taken",IF(IF(B67&gt;TodayDate,B67&lt;=TodayDate+2,FALSE),"Confirm - coming up","OK")))))))))))</f>
        <v>0</v>
      </c>
    </row>
    <row r="68" spans="1:34">
      <c r="A68" s="28">
        <f>IF(B68="","",AppointmentPrefix&amp;TEXT(ROW()-4,"0000"))</f>
        <v>0</v>
      </c>
      <c r="C68" s="15">
        <f>IF(B68="","",TEXT(B68,"ddd"))</f>
        <v>0</v>
      </c>
      <c r="F68" s="15">
        <f>IF(E68="","",IFERROR(INDEX(Clients!$B$5:$B$504,MATCH(E68,Clients!$A$5:$A$504,0)),"Walk-in"))</f>
        <v>0</v>
      </c>
      <c r="H68" s="15">
        <f>IF(G68="","",IFERROR(INDEX(Services!$B$5:$B$204,MATCH(G68,Services!$A$5:$A$204,0)),"Not in Services"))</f>
        <v>0</v>
      </c>
      <c r="J68" s="15">
        <f>IF(I68="","",IFERROR(INDEX(Staff!$B$5:$B$44,MATCH(I68,Staff!$A$5:$A$44,0)),"Unassigned"))</f>
        <v>0</v>
      </c>
      <c r="S68" s="15">
        <f>IF(B68="","",TEXT(B68,"yyyy-mm"))</f>
        <v>0</v>
      </c>
      <c r="T68" s="25">
        <f>IF(B68="","",WEEKNUM(B68,2))</f>
        <v>0</v>
      </c>
      <c r="U68" s="25">
        <f>IF(B68="","",IF(K68&lt;&gt;"",K68,IFERROR(INDEX(Services!$E$5:$E$204,MATCH(G68,Services!$A$5:$A$204,0))*1,0)+IFERROR(INDEX(Services!$F$5:$F$204,MATCH(G68,Services!$A$5:$A$204,0))*1,0)))</f>
        <v>0</v>
      </c>
      <c r="V68" s="36">
        <f>IF(B68="","",IF(D68="","",D68+U68/1440))</f>
        <v>0</v>
      </c>
      <c r="W68" s="25">
        <f>IF(B68="","",IF(D68="","",HOUR(D68)))</f>
        <v>0</v>
      </c>
      <c r="X68" s="37">
        <f>IF(B68="","",ROUND(U68/60,2))</f>
        <v>0</v>
      </c>
      <c r="Y68" s="26">
        <f>IF(B68="","",IF(L68&lt;&gt;"",L68,IFERROR(INDEX(Services!$G$5:$G$204,MATCH(G68,Services!$A$5:$A$204,0))*1,0)))</f>
        <v>0</v>
      </c>
      <c r="Z68" s="26">
        <f>IF(B68="","",IF(O68&lt;&gt;"",O68,IF(Y68&gt;=DepositThreshold,ROUND(Y68*DepositPercent,2),0)))</f>
        <v>0</v>
      </c>
      <c r="AA68" s="26">
        <f>IF(B68="","",ROUND(SUMIFS(Payments!$G$5:$G$1204,Payments!$I$5:$I$1204,A68,Payments!$E$5:$E$1204,"Deposit"),2))</f>
        <v>0</v>
      </c>
      <c r="AB68" s="26">
        <f>IF(B68="","",ROUND(SUMIFS(Sales!$Y$5:$Y$1204,Sales!$C$5:$C$1204,A68),2))</f>
        <v>0</v>
      </c>
      <c r="AC68" s="38">
        <f>IF(B68="","",IF(M68="Completed","Yes",IF(M68="Cancelled","Yes",IF(M68="No show","Yes","No"))))</f>
        <v>0</v>
      </c>
      <c r="AD68" s="25">
        <f>IF(B68="","",IF(AE68="","",B68-AE68))</f>
        <v>0</v>
      </c>
      <c r="AF68" s="38">
        <f>IF(B68="","",IF(M68&lt;&gt;"Completed","",IF(E68="","No",IF(COUNTIFS(Appointments!$E$5:$E$1204,E68,Appointments!$B$5:$B$1204,"&gt;"&amp;B68,Appointments!$M$5:$M$1204,"&lt;&gt;Cancelled")&gt;0,"Yes","No"))))</f>
        <v>0</v>
      </c>
      <c r="AG68" s="38">
        <f>IF(B68="","",IF(I68="","",IF(D68="","",IF(COUNTIFS($I$5:$I$1204,I68,$B$5:$B$1204,B68,$D$5:$D$1204,"&lt;"&amp;V68,$V$5:$V$1204,"&gt;"&amp;D68,$M$5:$M$1204,"&lt;&gt;Cancelled")&gt;1,"Clash",""))))</f>
        <v>0</v>
      </c>
      <c r="AH68" s="39">
        <f>IF(B68="","",IF(AG68="Clash","Clash - stylist double booked",IF(I68="","Assign - no stylist yet",IF(G68="","Add - no service chosen",IF(M68="No show","No show - charge the fee?",IF(M68="Cancelled","",IF(IF(M68="Completed",AB68&lt;Y68-0.004,FALSE),"Unpaid - nothing rung up for this visit",IF(IF(B68&lt;TodayDate,M68="Booked",FALSE),"Overdue - past date, still only Booked",IF(IF(B68=TodayDate,TRUE,FALSE),"Today",IF(IF(Z68&gt;0,AA68&lt;Z68-0.004,FALSE),"Due - deposit not taken",IF(IF(B68&gt;TodayDate,B68&lt;=TodayDate+2,FALSE),"Confirm - coming up","OK")))))))))))</f>
        <v>0</v>
      </c>
    </row>
    <row r="69" spans="1:34">
      <c r="A69" s="28">
        <f>IF(B69="","",AppointmentPrefix&amp;TEXT(ROW()-4,"0000"))</f>
        <v>0</v>
      </c>
      <c r="C69" s="15">
        <f>IF(B69="","",TEXT(B69,"ddd"))</f>
        <v>0</v>
      </c>
      <c r="F69" s="15">
        <f>IF(E69="","",IFERROR(INDEX(Clients!$B$5:$B$504,MATCH(E69,Clients!$A$5:$A$504,0)),"Walk-in"))</f>
        <v>0</v>
      </c>
      <c r="H69" s="15">
        <f>IF(G69="","",IFERROR(INDEX(Services!$B$5:$B$204,MATCH(G69,Services!$A$5:$A$204,0)),"Not in Services"))</f>
        <v>0</v>
      </c>
      <c r="J69" s="15">
        <f>IF(I69="","",IFERROR(INDEX(Staff!$B$5:$B$44,MATCH(I69,Staff!$A$5:$A$44,0)),"Unassigned"))</f>
        <v>0</v>
      </c>
      <c r="S69" s="15">
        <f>IF(B69="","",TEXT(B69,"yyyy-mm"))</f>
        <v>0</v>
      </c>
      <c r="T69" s="25">
        <f>IF(B69="","",WEEKNUM(B69,2))</f>
        <v>0</v>
      </c>
      <c r="U69" s="25">
        <f>IF(B69="","",IF(K69&lt;&gt;"",K69,IFERROR(INDEX(Services!$E$5:$E$204,MATCH(G69,Services!$A$5:$A$204,0))*1,0)+IFERROR(INDEX(Services!$F$5:$F$204,MATCH(G69,Services!$A$5:$A$204,0))*1,0)))</f>
        <v>0</v>
      </c>
      <c r="V69" s="36">
        <f>IF(B69="","",IF(D69="","",D69+U69/1440))</f>
        <v>0</v>
      </c>
      <c r="W69" s="25">
        <f>IF(B69="","",IF(D69="","",HOUR(D69)))</f>
        <v>0</v>
      </c>
      <c r="X69" s="37">
        <f>IF(B69="","",ROUND(U69/60,2))</f>
        <v>0</v>
      </c>
      <c r="Y69" s="26">
        <f>IF(B69="","",IF(L69&lt;&gt;"",L69,IFERROR(INDEX(Services!$G$5:$G$204,MATCH(G69,Services!$A$5:$A$204,0))*1,0)))</f>
        <v>0</v>
      </c>
      <c r="Z69" s="26">
        <f>IF(B69="","",IF(O69&lt;&gt;"",O69,IF(Y69&gt;=DepositThreshold,ROUND(Y69*DepositPercent,2),0)))</f>
        <v>0</v>
      </c>
      <c r="AA69" s="26">
        <f>IF(B69="","",ROUND(SUMIFS(Payments!$G$5:$G$1204,Payments!$I$5:$I$1204,A69,Payments!$E$5:$E$1204,"Deposit"),2))</f>
        <v>0</v>
      </c>
      <c r="AB69" s="26">
        <f>IF(B69="","",ROUND(SUMIFS(Sales!$Y$5:$Y$1204,Sales!$C$5:$C$1204,A69),2))</f>
        <v>0</v>
      </c>
      <c r="AC69" s="38">
        <f>IF(B69="","",IF(M69="Completed","Yes",IF(M69="Cancelled","Yes",IF(M69="No show","Yes","No"))))</f>
        <v>0</v>
      </c>
      <c r="AD69" s="25">
        <f>IF(B69="","",IF(AE69="","",B69-AE69))</f>
        <v>0</v>
      </c>
      <c r="AF69" s="38">
        <f>IF(B69="","",IF(M69&lt;&gt;"Completed","",IF(E69="","No",IF(COUNTIFS(Appointments!$E$5:$E$1204,E69,Appointments!$B$5:$B$1204,"&gt;"&amp;B69,Appointments!$M$5:$M$1204,"&lt;&gt;Cancelled")&gt;0,"Yes","No"))))</f>
        <v>0</v>
      </c>
      <c r="AG69" s="38">
        <f>IF(B69="","",IF(I69="","",IF(D69="","",IF(COUNTIFS($I$5:$I$1204,I69,$B$5:$B$1204,B69,$D$5:$D$1204,"&lt;"&amp;V69,$V$5:$V$1204,"&gt;"&amp;D69,$M$5:$M$1204,"&lt;&gt;Cancelled")&gt;1,"Clash",""))))</f>
        <v>0</v>
      </c>
      <c r="AH69" s="39">
        <f>IF(B69="","",IF(AG69="Clash","Clash - stylist double booked",IF(I69="","Assign - no stylist yet",IF(G69="","Add - no service chosen",IF(M69="No show","No show - charge the fee?",IF(M69="Cancelled","",IF(IF(M69="Completed",AB69&lt;Y69-0.004,FALSE),"Unpaid - nothing rung up for this visit",IF(IF(B69&lt;TodayDate,M69="Booked",FALSE),"Overdue - past date, still only Booked",IF(IF(B69=TodayDate,TRUE,FALSE),"Today",IF(IF(Z69&gt;0,AA69&lt;Z69-0.004,FALSE),"Due - deposit not taken",IF(IF(B69&gt;TodayDate,B69&lt;=TodayDate+2,FALSE),"Confirm - coming up","OK")))))))))))</f>
        <v>0</v>
      </c>
    </row>
    <row r="70" spans="1:34">
      <c r="A70" s="28">
        <f>IF(B70="","",AppointmentPrefix&amp;TEXT(ROW()-4,"0000"))</f>
        <v>0</v>
      </c>
      <c r="C70" s="15">
        <f>IF(B70="","",TEXT(B70,"ddd"))</f>
        <v>0</v>
      </c>
      <c r="F70" s="15">
        <f>IF(E70="","",IFERROR(INDEX(Clients!$B$5:$B$504,MATCH(E70,Clients!$A$5:$A$504,0)),"Walk-in"))</f>
        <v>0</v>
      </c>
      <c r="H70" s="15">
        <f>IF(G70="","",IFERROR(INDEX(Services!$B$5:$B$204,MATCH(G70,Services!$A$5:$A$204,0)),"Not in Services"))</f>
        <v>0</v>
      </c>
      <c r="J70" s="15">
        <f>IF(I70="","",IFERROR(INDEX(Staff!$B$5:$B$44,MATCH(I70,Staff!$A$5:$A$44,0)),"Unassigned"))</f>
        <v>0</v>
      </c>
      <c r="S70" s="15">
        <f>IF(B70="","",TEXT(B70,"yyyy-mm"))</f>
        <v>0</v>
      </c>
      <c r="T70" s="25">
        <f>IF(B70="","",WEEKNUM(B70,2))</f>
        <v>0</v>
      </c>
      <c r="U70" s="25">
        <f>IF(B70="","",IF(K70&lt;&gt;"",K70,IFERROR(INDEX(Services!$E$5:$E$204,MATCH(G70,Services!$A$5:$A$204,0))*1,0)+IFERROR(INDEX(Services!$F$5:$F$204,MATCH(G70,Services!$A$5:$A$204,0))*1,0)))</f>
        <v>0</v>
      </c>
      <c r="V70" s="36">
        <f>IF(B70="","",IF(D70="","",D70+U70/1440))</f>
        <v>0</v>
      </c>
      <c r="W70" s="25">
        <f>IF(B70="","",IF(D70="","",HOUR(D70)))</f>
        <v>0</v>
      </c>
      <c r="X70" s="37">
        <f>IF(B70="","",ROUND(U70/60,2))</f>
        <v>0</v>
      </c>
      <c r="Y70" s="26">
        <f>IF(B70="","",IF(L70&lt;&gt;"",L70,IFERROR(INDEX(Services!$G$5:$G$204,MATCH(G70,Services!$A$5:$A$204,0))*1,0)))</f>
        <v>0</v>
      </c>
      <c r="Z70" s="26">
        <f>IF(B70="","",IF(O70&lt;&gt;"",O70,IF(Y70&gt;=DepositThreshold,ROUND(Y70*DepositPercent,2),0)))</f>
        <v>0</v>
      </c>
      <c r="AA70" s="26">
        <f>IF(B70="","",ROUND(SUMIFS(Payments!$G$5:$G$1204,Payments!$I$5:$I$1204,A70,Payments!$E$5:$E$1204,"Deposit"),2))</f>
        <v>0</v>
      </c>
      <c r="AB70" s="26">
        <f>IF(B70="","",ROUND(SUMIFS(Sales!$Y$5:$Y$1204,Sales!$C$5:$C$1204,A70),2))</f>
        <v>0</v>
      </c>
      <c r="AC70" s="38">
        <f>IF(B70="","",IF(M70="Completed","Yes",IF(M70="Cancelled","Yes",IF(M70="No show","Yes","No"))))</f>
        <v>0</v>
      </c>
      <c r="AD70" s="25">
        <f>IF(B70="","",IF(AE70="","",B70-AE70))</f>
        <v>0</v>
      </c>
      <c r="AF70" s="38">
        <f>IF(B70="","",IF(M70&lt;&gt;"Completed","",IF(E70="","No",IF(COUNTIFS(Appointments!$E$5:$E$1204,E70,Appointments!$B$5:$B$1204,"&gt;"&amp;B70,Appointments!$M$5:$M$1204,"&lt;&gt;Cancelled")&gt;0,"Yes","No"))))</f>
        <v>0</v>
      </c>
      <c r="AG70" s="38">
        <f>IF(B70="","",IF(I70="","",IF(D70="","",IF(COUNTIFS($I$5:$I$1204,I70,$B$5:$B$1204,B70,$D$5:$D$1204,"&lt;"&amp;V70,$V$5:$V$1204,"&gt;"&amp;D70,$M$5:$M$1204,"&lt;&gt;Cancelled")&gt;1,"Clash",""))))</f>
        <v>0</v>
      </c>
      <c r="AH70" s="39">
        <f>IF(B70="","",IF(AG70="Clash","Clash - stylist double booked",IF(I70="","Assign - no stylist yet",IF(G70="","Add - no service chosen",IF(M70="No show","No show - charge the fee?",IF(M70="Cancelled","",IF(IF(M70="Completed",AB70&lt;Y70-0.004,FALSE),"Unpaid - nothing rung up for this visit",IF(IF(B70&lt;TodayDate,M70="Booked",FALSE),"Overdue - past date, still only Booked",IF(IF(B70=TodayDate,TRUE,FALSE),"Today",IF(IF(Z70&gt;0,AA70&lt;Z70-0.004,FALSE),"Due - deposit not taken",IF(IF(B70&gt;TodayDate,B70&lt;=TodayDate+2,FALSE),"Confirm - coming up","OK")))))))))))</f>
        <v>0</v>
      </c>
    </row>
    <row r="71" spans="1:34">
      <c r="A71" s="28">
        <f>IF(B71="","",AppointmentPrefix&amp;TEXT(ROW()-4,"0000"))</f>
        <v>0</v>
      </c>
      <c r="C71" s="15">
        <f>IF(B71="","",TEXT(B71,"ddd"))</f>
        <v>0</v>
      </c>
      <c r="F71" s="15">
        <f>IF(E71="","",IFERROR(INDEX(Clients!$B$5:$B$504,MATCH(E71,Clients!$A$5:$A$504,0)),"Walk-in"))</f>
        <v>0</v>
      </c>
      <c r="H71" s="15">
        <f>IF(G71="","",IFERROR(INDEX(Services!$B$5:$B$204,MATCH(G71,Services!$A$5:$A$204,0)),"Not in Services"))</f>
        <v>0</v>
      </c>
      <c r="J71" s="15">
        <f>IF(I71="","",IFERROR(INDEX(Staff!$B$5:$B$44,MATCH(I71,Staff!$A$5:$A$44,0)),"Unassigned"))</f>
        <v>0</v>
      </c>
      <c r="S71" s="15">
        <f>IF(B71="","",TEXT(B71,"yyyy-mm"))</f>
        <v>0</v>
      </c>
      <c r="T71" s="25">
        <f>IF(B71="","",WEEKNUM(B71,2))</f>
        <v>0</v>
      </c>
      <c r="U71" s="25">
        <f>IF(B71="","",IF(K71&lt;&gt;"",K71,IFERROR(INDEX(Services!$E$5:$E$204,MATCH(G71,Services!$A$5:$A$204,0))*1,0)+IFERROR(INDEX(Services!$F$5:$F$204,MATCH(G71,Services!$A$5:$A$204,0))*1,0)))</f>
        <v>0</v>
      </c>
      <c r="V71" s="36">
        <f>IF(B71="","",IF(D71="","",D71+U71/1440))</f>
        <v>0</v>
      </c>
      <c r="W71" s="25">
        <f>IF(B71="","",IF(D71="","",HOUR(D71)))</f>
        <v>0</v>
      </c>
      <c r="X71" s="37">
        <f>IF(B71="","",ROUND(U71/60,2))</f>
        <v>0</v>
      </c>
      <c r="Y71" s="26">
        <f>IF(B71="","",IF(L71&lt;&gt;"",L71,IFERROR(INDEX(Services!$G$5:$G$204,MATCH(G71,Services!$A$5:$A$204,0))*1,0)))</f>
        <v>0</v>
      </c>
      <c r="Z71" s="26">
        <f>IF(B71="","",IF(O71&lt;&gt;"",O71,IF(Y71&gt;=DepositThreshold,ROUND(Y71*DepositPercent,2),0)))</f>
        <v>0</v>
      </c>
      <c r="AA71" s="26">
        <f>IF(B71="","",ROUND(SUMIFS(Payments!$G$5:$G$1204,Payments!$I$5:$I$1204,A71,Payments!$E$5:$E$1204,"Deposit"),2))</f>
        <v>0</v>
      </c>
      <c r="AB71" s="26">
        <f>IF(B71="","",ROUND(SUMIFS(Sales!$Y$5:$Y$1204,Sales!$C$5:$C$1204,A71),2))</f>
        <v>0</v>
      </c>
      <c r="AC71" s="38">
        <f>IF(B71="","",IF(M71="Completed","Yes",IF(M71="Cancelled","Yes",IF(M71="No show","Yes","No"))))</f>
        <v>0</v>
      </c>
      <c r="AD71" s="25">
        <f>IF(B71="","",IF(AE71="","",B71-AE71))</f>
        <v>0</v>
      </c>
      <c r="AF71" s="38">
        <f>IF(B71="","",IF(M71&lt;&gt;"Completed","",IF(E71="","No",IF(COUNTIFS(Appointments!$E$5:$E$1204,E71,Appointments!$B$5:$B$1204,"&gt;"&amp;B71,Appointments!$M$5:$M$1204,"&lt;&gt;Cancelled")&gt;0,"Yes","No"))))</f>
        <v>0</v>
      </c>
      <c r="AG71" s="38">
        <f>IF(B71="","",IF(I71="","",IF(D71="","",IF(COUNTIFS($I$5:$I$1204,I71,$B$5:$B$1204,B71,$D$5:$D$1204,"&lt;"&amp;V71,$V$5:$V$1204,"&gt;"&amp;D71,$M$5:$M$1204,"&lt;&gt;Cancelled")&gt;1,"Clash",""))))</f>
        <v>0</v>
      </c>
      <c r="AH71" s="39">
        <f>IF(B71="","",IF(AG71="Clash","Clash - stylist double booked",IF(I71="","Assign - no stylist yet",IF(G71="","Add - no service chosen",IF(M71="No show","No show - charge the fee?",IF(M71="Cancelled","",IF(IF(M71="Completed",AB71&lt;Y71-0.004,FALSE),"Unpaid - nothing rung up for this visit",IF(IF(B71&lt;TodayDate,M71="Booked",FALSE),"Overdue - past date, still only Booked",IF(IF(B71=TodayDate,TRUE,FALSE),"Today",IF(IF(Z71&gt;0,AA71&lt;Z71-0.004,FALSE),"Due - deposit not taken",IF(IF(B71&gt;TodayDate,B71&lt;=TodayDate+2,FALSE),"Confirm - coming up","OK")))))))))))</f>
        <v>0</v>
      </c>
    </row>
    <row r="72" spans="1:34">
      <c r="A72" s="28">
        <f>IF(B72="","",AppointmentPrefix&amp;TEXT(ROW()-4,"0000"))</f>
        <v>0</v>
      </c>
      <c r="C72" s="15">
        <f>IF(B72="","",TEXT(B72,"ddd"))</f>
        <v>0</v>
      </c>
      <c r="F72" s="15">
        <f>IF(E72="","",IFERROR(INDEX(Clients!$B$5:$B$504,MATCH(E72,Clients!$A$5:$A$504,0)),"Walk-in"))</f>
        <v>0</v>
      </c>
      <c r="H72" s="15">
        <f>IF(G72="","",IFERROR(INDEX(Services!$B$5:$B$204,MATCH(G72,Services!$A$5:$A$204,0)),"Not in Services"))</f>
        <v>0</v>
      </c>
      <c r="J72" s="15">
        <f>IF(I72="","",IFERROR(INDEX(Staff!$B$5:$B$44,MATCH(I72,Staff!$A$5:$A$44,0)),"Unassigned"))</f>
        <v>0</v>
      </c>
      <c r="S72" s="15">
        <f>IF(B72="","",TEXT(B72,"yyyy-mm"))</f>
        <v>0</v>
      </c>
      <c r="T72" s="25">
        <f>IF(B72="","",WEEKNUM(B72,2))</f>
        <v>0</v>
      </c>
      <c r="U72" s="25">
        <f>IF(B72="","",IF(K72&lt;&gt;"",K72,IFERROR(INDEX(Services!$E$5:$E$204,MATCH(G72,Services!$A$5:$A$204,0))*1,0)+IFERROR(INDEX(Services!$F$5:$F$204,MATCH(G72,Services!$A$5:$A$204,0))*1,0)))</f>
        <v>0</v>
      </c>
      <c r="V72" s="36">
        <f>IF(B72="","",IF(D72="","",D72+U72/1440))</f>
        <v>0</v>
      </c>
      <c r="W72" s="25">
        <f>IF(B72="","",IF(D72="","",HOUR(D72)))</f>
        <v>0</v>
      </c>
      <c r="X72" s="37">
        <f>IF(B72="","",ROUND(U72/60,2))</f>
        <v>0</v>
      </c>
      <c r="Y72" s="26">
        <f>IF(B72="","",IF(L72&lt;&gt;"",L72,IFERROR(INDEX(Services!$G$5:$G$204,MATCH(G72,Services!$A$5:$A$204,0))*1,0)))</f>
        <v>0</v>
      </c>
      <c r="Z72" s="26">
        <f>IF(B72="","",IF(O72&lt;&gt;"",O72,IF(Y72&gt;=DepositThreshold,ROUND(Y72*DepositPercent,2),0)))</f>
        <v>0</v>
      </c>
      <c r="AA72" s="26">
        <f>IF(B72="","",ROUND(SUMIFS(Payments!$G$5:$G$1204,Payments!$I$5:$I$1204,A72,Payments!$E$5:$E$1204,"Deposit"),2))</f>
        <v>0</v>
      </c>
      <c r="AB72" s="26">
        <f>IF(B72="","",ROUND(SUMIFS(Sales!$Y$5:$Y$1204,Sales!$C$5:$C$1204,A72),2))</f>
        <v>0</v>
      </c>
      <c r="AC72" s="38">
        <f>IF(B72="","",IF(M72="Completed","Yes",IF(M72="Cancelled","Yes",IF(M72="No show","Yes","No"))))</f>
        <v>0</v>
      </c>
      <c r="AD72" s="25">
        <f>IF(B72="","",IF(AE72="","",B72-AE72))</f>
        <v>0</v>
      </c>
      <c r="AF72" s="38">
        <f>IF(B72="","",IF(M72&lt;&gt;"Completed","",IF(E72="","No",IF(COUNTIFS(Appointments!$E$5:$E$1204,E72,Appointments!$B$5:$B$1204,"&gt;"&amp;B72,Appointments!$M$5:$M$1204,"&lt;&gt;Cancelled")&gt;0,"Yes","No"))))</f>
        <v>0</v>
      </c>
      <c r="AG72" s="38">
        <f>IF(B72="","",IF(I72="","",IF(D72="","",IF(COUNTIFS($I$5:$I$1204,I72,$B$5:$B$1204,B72,$D$5:$D$1204,"&lt;"&amp;V72,$V$5:$V$1204,"&gt;"&amp;D72,$M$5:$M$1204,"&lt;&gt;Cancelled")&gt;1,"Clash",""))))</f>
        <v>0</v>
      </c>
      <c r="AH72" s="39">
        <f>IF(B72="","",IF(AG72="Clash","Clash - stylist double booked",IF(I72="","Assign - no stylist yet",IF(G72="","Add - no service chosen",IF(M72="No show","No show - charge the fee?",IF(M72="Cancelled","",IF(IF(M72="Completed",AB72&lt;Y72-0.004,FALSE),"Unpaid - nothing rung up for this visit",IF(IF(B72&lt;TodayDate,M72="Booked",FALSE),"Overdue - past date, still only Booked",IF(IF(B72=TodayDate,TRUE,FALSE),"Today",IF(IF(Z72&gt;0,AA72&lt;Z72-0.004,FALSE),"Due - deposit not taken",IF(IF(B72&gt;TodayDate,B72&lt;=TodayDate+2,FALSE),"Confirm - coming up","OK")))))))))))</f>
        <v>0</v>
      </c>
    </row>
    <row r="73" spans="1:34">
      <c r="A73" s="28">
        <f>IF(B73="","",AppointmentPrefix&amp;TEXT(ROW()-4,"0000"))</f>
        <v>0</v>
      </c>
      <c r="C73" s="15">
        <f>IF(B73="","",TEXT(B73,"ddd"))</f>
        <v>0</v>
      </c>
      <c r="F73" s="15">
        <f>IF(E73="","",IFERROR(INDEX(Clients!$B$5:$B$504,MATCH(E73,Clients!$A$5:$A$504,0)),"Walk-in"))</f>
        <v>0</v>
      </c>
      <c r="H73" s="15">
        <f>IF(G73="","",IFERROR(INDEX(Services!$B$5:$B$204,MATCH(G73,Services!$A$5:$A$204,0)),"Not in Services"))</f>
        <v>0</v>
      </c>
      <c r="J73" s="15">
        <f>IF(I73="","",IFERROR(INDEX(Staff!$B$5:$B$44,MATCH(I73,Staff!$A$5:$A$44,0)),"Unassigned"))</f>
        <v>0</v>
      </c>
      <c r="S73" s="15">
        <f>IF(B73="","",TEXT(B73,"yyyy-mm"))</f>
        <v>0</v>
      </c>
      <c r="T73" s="25">
        <f>IF(B73="","",WEEKNUM(B73,2))</f>
        <v>0</v>
      </c>
      <c r="U73" s="25">
        <f>IF(B73="","",IF(K73&lt;&gt;"",K73,IFERROR(INDEX(Services!$E$5:$E$204,MATCH(G73,Services!$A$5:$A$204,0))*1,0)+IFERROR(INDEX(Services!$F$5:$F$204,MATCH(G73,Services!$A$5:$A$204,0))*1,0)))</f>
        <v>0</v>
      </c>
      <c r="V73" s="36">
        <f>IF(B73="","",IF(D73="","",D73+U73/1440))</f>
        <v>0</v>
      </c>
      <c r="W73" s="25">
        <f>IF(B73="","",IF(D73="","",HOUR(D73)))</f>
        <v>0</v>
      </c>
      <c r="X73" s="37">
        <f>IF(B73="","",ROUND(U73/60,2))</f>
        <v>0</v>
      </c>
      <c r="Y73" s="26">
        <f>IF(B73="","",IF(L73&lt;&gt;"",L73,IFERROR(INDEX(Services!$G$5:$G$204,MATCH(G73,Services!$A$5:$A$204,0))*1,0)))</f>
        <v>0</v>
      </c>
      <c r="Z73" s="26">
        <f>IF(B73="","",IF(O73&lt;&gt;"",O73,IF(Y73&gt;=DepositThreshold,ROUND(Y73*DepositPercent,2),0)))</f>
        <v>0</v>
      </c>
      <c r="AA73" s="26">
        <f>IF(B73="","",ROUND(SUMIFS(Payments!$G$5:$G$1204,Payments!$I$5:$I$1204,A73,Payments!$E$5:$E$1204,"Deposit"),2))</f>
        <v>0</v>
      </c>
      <c r="AB73" s="26">
        <f>IF(B73="","",ROUND(SUMIFS(Sales!$Y$5:$Y$1204,Sales!$C$5:$C$1204,A73),2))</f>
        <v>0</v>
      </c>
      <c r="AC73" s="38">
        <f>IF(B73="","",IF(M73="Completed","Yes",IF(M73="Cancelled","Yes",IF(M73="No show","Yes","No"))))</f>
        <v>0</v>
      </c>
      <c r="AD73" s="25">
        <f>IF(B73="","",IF(AE73="","",B73-AE73))</f>
        <v>0</v>
      </c>
      <c r="AF73" s="38">
        <f>IF(B73="","",IF(M73&lt;&gt;"Completed","",IF(E73="","No",IF(COUNTIFS(Appointments!$E$5:$E$1204,E73,Appointments!$B$5:$B$1204,"&gt;"&amp;B73,Appointments!$M$5:$M$1204,"&lt;&gt;Cancelled")&gt;0,"Yes","No"))))</f>
        <v>0</v>
      </c>
      <c r="AG73" s="38">
        <f>IF(B73="","",IF(I73="","",IF(D73="","",IF(COUNTIFS($I$5:$I$1204,I73,$B$5:$B$1204,B73,$D$5:$D$1204,"&lt;"&amp;V73,$V$5:$V$1204,"&gt;"&amp;D73,$M$5:$M$1204,"&lt;&gt;Cancelled")&gt;1,"Clash",""))))</f>
        <v>0</v>
      </c>
      <c r="AH73" s="39">
        <f>IF(B73="","",IF(AG73="Clash","Clash - stylist double booked",IF(I73="","Assign - no stylist yet",IF(G73="","Add - no service chosen",IF(M73="No show","No show - charge the fee?",IF(M73="Cancelled","",IF(IF(M73="Completed",AB73&lt;Y73-0.004,FALSE),"Unpaid - nothing rung up for this visit",IF(IF(B73&lt;TodayDate,M73="Booked",FALSE),"Overdue - past date, still only Booked",IF(IF(B73=TodayDate,TRUE,FALSE),"Today",IF(IF(Z73&gt;0,AA73&lt;Z73-0.004,FALSE),"Due - deposit not taken",IF(IF(B73&gt;TodayDate,B73&lt;=TodayDate+2,FALSE),"Confirm - coming up","OK")))))))))))</f>
        <v>0</v>
      </c>
    </row>
    <row r="74" spans="1:34">
      <c r="A74" s="28">
        <f>IF(B74="","",AppointmentPrefix&amp;TEXT(ROW()-4,"0000"))</f>
        <v>0</v>
      </c>
      <c r="C74" s="15">
        <f>IF(B74="","",TEXT(B74,"ddd"))</f>
        <v>0</v>
      </c>
      <c r="F74" s="15">
        <f>IF(E74="","",IFERROR(INDEX(Clients!$B$5:$B$504,MATCH(E74,Clients!$A$5:$A$504,0)),"Walk-in"))</f>
        <v>0</v>
      </c>
      <c r="H74" s="15">
        <f>IF(G74="","",IFERROR(INDEX(Services!$B$5:$B$204,MATCH(G74,Services!$A$5:$A$204,0)),"Not in Services"))</f>
        <v>0</v>
      </c>
      <c r="J74" s="15">
        <f>IF(I74="","",IFERROR(INDEX(Staff!$B$5:$B$44,MATCH(I74,Staff!$A$5:$A$44,0)),"Unassigned"))</f>
        <v>0</v>
      </c>
      <c r="S74" s="15">
        <f>IF(B74="","",TEXT(B74,"yyyy-mm"))</f>
        <v>0</v>
      </c>
      <c r="T74" s="25">
        <f>IF(B74="","",WEEKNUM(B74,2))</f>
        <v>0</v>
      </c>
      <c r="U74" s="25">
        <f>IF(B74="","",IF(K74&lt;&gt;"",K74,IFERROR(INDEX(Services!$E$5:$E$204,MATCH(G74,Services!$A$5:$A$204,0))*1,0)+IFERROR(INDEX(Services!$F$5:$F$204,MATCH(G74,Services!$A$5:$A$204,0))*1,0)))</f>
        <v>0</v>
      </c>
      <c r="V74" s="36">
        <f>IF(B74="","",IF(D74="","",D74+U74/1440))</f>
        <v>0</v>
      </c>
      <c r="W74" s="25">
        <f>IF(B74="","",IF(D74="","",HOUR(D74)))</f>
        <v>0</v>
      </c>
      <c r="X74" s="37">
        <f>IF(B74="","",ROUND(U74/60,2))</f>
        <v>0</v>
      </c>
      <c r="Y74" s="26">
        <f>IF(B74="","",IF(L74&lt;&gt;"",L74,IFERROR(INDEX(Services!$G$5:$G$204,MATCH(G74,Services!$A$5:$A$204,0))*1,0)))</f>
        <v>0</v>
      </c>
      <c r="Z74" s="26">
        <f>IF(B74="","",IF(O74&lt;&gt;"",O74,IF(Y74&gt;=DepositThreshold,ROUND(Y74*DepositPercent,2),0)))</f>
        <v>0</v>
      </c>
      <c r="AA74" s="26">
        <f>IF(B74="","",ROUND(SUMIFS(Payments!$G$5:$G$1204,Payments!$I$5:$I$1204,A74,Payments!$E$5:$E$1204,"Deposit"),2))</f>
        <v>0</v>
      </c>
      <c r="AB74" s="26">
        <f>IF(B74="","",ROUND(SUMIFS(Sales!$Y$5:$Y$1204,Sales!$C$5:$C$1204,A74),2))</f>
        <v>0</v>
      </c>
      <c r="AC74" s="38">
        <f>IF(B74="","",IF(M74="Completed","Yes",IF(M74="Cancelled","Yes",IF(M74="No show","Yes","No"))))</f>
        <v>0</v>
      </c>
      <c r="AD74" s="25">
        <f>IF(B74="","",IF(AE74="","",B74-AE74))</f>
        <v>0</v>
      </c>
      <c r="AF74" s="38">
        <f>IF(B74="","",IF(M74&lt;&gt;"Completed","",IF(E74="","No",IF(COUNTIFS(Appointments!$E$5:$E$1204,E74,Appointments!$B$5:$B$1204,"&gt;"&amp;B74,Appointments!$M$5:$M$1204,"&lt;&gt;Cancelled")&gt;0,"Yes","No"))))</f>
        <v>0</v>
      </c>
      <c r="AG74" s="38">
        <f>IF(B74="","",IF(I74="","",IF(D74="","",IF(COUNTIFS($I$5:$I$1204,I74,$B$5:$B$1204,B74,$D$5:$D$1204,"&lt;"&amp;V74,$V$5:$V$1204,"&gt;"&amp;D74,$M$5:$M$1204,"&lt;&gt;Cancelled")&gt;1,"Clash",""))))</f>
        <v>0</v>
      </c>
      <c r="AH74" s="39">
        <f>IF(B74="","",IF(AG74="Clash","Clash - stylist double booked",IF(I74="","Assign - no stylist yet",IF(G74="","Add - no service chosen",IF(M74="No show","No show - charge the fee?",IF(M74="Cancelled","",IF(IF(M74="Completed",AB74&lt;Y74-0.004,FALSE),"Unpaid - nothing rung up for this visit",IF(IF(B74&lt;TodayDate,M74="Booked",FALSE),"Overdue - past date, still only Booked",IF(IF(B74=TodayDate,TRUE,FALSE),"Today",IF(IF(Z74&gt;0,AA74&lt;Z74-0.004,FALSE),"Due - deposit not taken",IF(IF(B74&gt;TodayDate,B74&lt;=TodayDate+2,FALSE),"Confirm - coming up","OK")))))))))))</f>
        <v>0</v>
      </c>
    </row>
    <row r="75" spans="1:34">
      <c r="A75" s="28">
        <f>IF(B75="","",AppointmentPrefix&amp;TEXT(ROW()-4,"0000"))</f>
        <v>0</v>
      </c>
      <c r="C75" s="15">
        <f>IF(B75="","",TEXT(B75,"ddd"))</f>
        <v>0</v>
      </c>
      <c r="F75" s="15">
        <f>IF(E75="","",IFERROR(INDEX(Clients!$B$5:$B$504,MATCH(E75,Clients!$A$5:$A$504,0)),"Walk-in"))</f>
        <v>0</v>
      </c>
      <c r="H75" s="15">
        <f>IF(G75="","",IFERROR(INDEX(Services!$B$5:$B$204,MATCH(G75,Services!$A$5:$A$204,0)),"Not in Services"))</f>
        <v>0</v>
      </c>
      <c r="J75" s="15">
        <f>IF(I75="","",IFERROR(INDEX(Staff!$B$5:$B$44,MATCH(I75,Staff!$A$5:$A$44,0)),"Unassigned"))</f>
        <v>0</v>
      </c>
      <c r="S75" s="15">
        <f>IF(B75="","",TEXT(B75,"yyyy-mm"))</f>
        <v>0</v>
      </c>
      <c r="T75" s="25">
        <f>IF(B75="","",WEEKNUM(B75,2))</f>
        <v>0</v>
      </c>
      <c r="U75" s="25">
        <f>IF(B75="","",IF(K75&lt;&gt;"",K75,IFERROR(INDEX(Services!$E$5:$E$204,MATCH(G75,Services!$A$5:$A$204,0))*1,0)+IFERROR(INDEX(Services!$F$5:$F$204,MATCH(G75,Services!$A$5:$A$204,0))*1,0)))</f>
        <v>0</v>
      </c>
      <c r="V75" s="36">
        <f>IF(B75="","",IF(D75="","",D75+U75/1440))</f>
        <v>0</v>
      </c>
      <c r="W75" s="25">
        <f>IF(B75="","",IF(D75="","",HOUR(D75)))</f>
        <v>0</v>
      </c>
      <c r="X75" s="37">
        <f>IF(B75="","",ROUND(U75/60,2))</f>
        <v>0</v>
      </c>
      <c r="Y75" s="26">
        <f>IF(B75="","",IF(L75&lt;&gt;"",L75,IFERROR(INDEX(Services!$G$5:$G$204,MATCH(G75,Services!$A$5:$A$204,0))*1,0)))</f>
        <v>0</v>
      </c>
      <c r="Z75" s="26">
        <f>IF(B75="","",IF(O75&lt;&gt;"",O75,IF(Y75&gt;=DepositThreshold,ROUND(Y75*DepositPercent,2),0)))</f>
        <v>0</v>
      </c>
      <c r="AA75" s="26">
        <f>IF(B75="","",ROUND(SUMIFS(Payments!$G$5:$G$1204,Payments!$I$5:$I$1204,A75,Payments!$E$5:$E$1204,"Deposit"),2))</f>
        <v>0</v>
      </c>
      <c r="AB75" s="26">
        <f>IF(B75="","",ROUND(SUMIFS(Sales!$Y$5:$Y$1204,Sales!$C$5:$C$1204,A75),2))</f>
        <v>0</v>
      </c>
      <c r="AC75" s="38">
        <f>IF(B75="","",IF(M75="Completed","Yes",IF(M75="Cancelled","Yes",IF(M75="No show","Yes","No"))))</f>
        <v>0</v>
      </c>
      <c r="AD75" s="25">
        <f>IF(B75="","",IF(AE75="","",B75-AE75))</f>
        <v>0</v>
      </c>
      <c r="AF75" s="38">
        <f>IF(B75="","",IF(M75&lt;&gt;"Completed","",IF(E75="","No",IF(COUNTIFS(Appointments!$E$5:$E$1204,E75,Appointments!$B$5:$B$1204,"&gt;"&amp;B75,Appointments!$M$5:$M$1204,"&lt;&gt;Cancelled")&gt;0,"Yes","No"))))</f>
        <v>0</v>
      </c>
      <c r="AG75" s="38">
        <f>IF(B75="","",IF(I75="","",IF(D75="","",IF(COUNTIFS($I$5:$I$1204,I75,$B$5:$B$1204,B75,$D$5:$D$1204,"&lt;"&amp;V75,$V$5:$V$1204,"&gt;"&amp;D75,$M$5:$M$1204,"&lt;&gt;Cancelled")&gt;1,"Clash",""))))</f>
        <v>0</v>
      </c>
      <c r="AH75" s="39">
        <f>IF(B75="","",IF(AG75="Clash","Clash - stylist double booked",IF(I75="","Assign - no stylist yet",IF(G75="","Add - no service chosen",IF(M75="No show","No show - charge the fee?",IF(M75="Cancelled","",IF(IF(M75="Completed",AB75&lt;Y75-0.004,FALSE),"Unpaid - nothing rung up for this visit",IF(IF(B75&lt;TodayDate,M75="Booked",FALSE),"Overdue - past date, still only Booked",IF(IF(B75=TodayDate,TRUE,FALSE),"Today",IF(IF(Z75&gt;0,AA75&lt;Z75-0.004,FALSE),"Due - deposit not taken",IF(IF(B75&gt;TodayDate,B75&lt;=TodayDate+2,FALSE),"Confirm - coming up","OK")))))))))))</f>
        <v>0</v>
      </c>
    </row>
    <row r="76" spans="1:34">
      <c r="A76" s="28">
        <f>IF(B76="","",AppointmentPrefix&amp;TEXT(ROW()-4,"0000"))</f>
        <v>0</v>
      </c>
      <c r="C76" s="15">
        <f>IF(B76="","",TEXT(B76,"ddd"))</f>
        <v>0</v>
      </c>
      <c r="F76" s="15">
        <f>IF(E76="","",IFERROR(INDEX(Clients!$B$5:$B$504,MATCH(E76,Clients!$A$5:$A$504,0)),"Walk-in"))</f>
        <v>0</v>
      </c>
      <c r="H76" s="15">
        <f>IF(G76="","",IFERROR(INDEX(Services!$B$5:$B$204,MATCH(G76,Services!$A$5:$A$204,0)),"Not in Services"))</f>
        <v>0</v>
      </c>
      <c r="J76" s="15">
        <f>IF(I76="","",IFERROR(INDEX(Staff!$B$5:$B$44,MATCH(I76,Staff!$A$5:$A$44,0)),"Unassigned"))</f>
        <v>0</v>
      </c>
      <c r="S76" s="15">
        <f>IF(B76="","",TEXT(B76,"yyyy-mm"))</f>
        <v>0</v>
      </c>
      <c r="T76" s="25">
        <f>IF(B76="","",WEEKNUM(B76,2))</f>
        <v>0</v>
      </c>
      <c r="U76" s="25">
        <f>IF(B76="","",IF(K76&lt;&gt;"",K76,IFERROR(INDEX(Services!$E$5:$E$204,MATCH(G76,Services!$A$5:$A$204,0))*1,0)+IFERROR(INDEX(Services!$F$5:$F$204,MATCH(G76,Services!$A$5:$A$204,0))*1,0)))</f>
        <v>0</v>
      </c>
      <c r="V76" s="36">
        <f>IF(B76="","",IF(D76="","",D76+U76/1440))</f>
        <v>0</v>
      </c>
      <c r="W76" s="25">
        <f>IF(B76="","",IF(D76="","",HOUR(D76)))</f>
        <v>0</v>
      </c>
      <c r="X76" s="37">
        <f>IF(B76="","",ROUND(U76/60,2))</f>
        <v>0</v>
      </c>
      <c r="Y76" s="26">
        <f>IF(B76="","",IF(L76&lt;&gt;"",L76,IFERROR(INDEX(Services!$G$5:$G$204,MATCH(G76,Services!$A$5:$A$204,0))*1,0)))</f>
        <v>0</v>
      </c>
      <c r="Z76" s="26">
        <f>IF(B76="","",IF(O76&lt;&gt;"",O76,IF(Y76&gt;=DepositThreshold,ROUND(Y76*DepositPercent,2),0)))</f>
        <v>0</v>
      </c>
      <c r="AA76" s="26">
        <f>IF(B76="","",ROUND(SUMIFS(Payments!$G$5:$G$1204,Payments!$I$5:$I$1204,A76,Payments!$E$5:$E$1204,"Deposit"),2))</f>
        <v>0</v>
      </c>
      <c r="AB76" s="26">
        <f>IF(B76="","",ROUND(SUMIFS(Sales!$Y$5:$Y$1204,Sales!$C$5:$C$1204,A76),2))</f>
        <v>0</v>
      </c>
      <c r="AC76" s="38">
        <f>IF(B76="","",IF(M76="Completed","Yes",IF(M76="Cancelled","Yes",IF(M76="No show","Yes","No"))))</f>
        <v>0</v>
      </c>
      <c r="AD76" s="25">
        <f>IF(B76="","",IF(AE76="","",B76-AE76))</f>
        <v>0</v>
      </c>
      <c r="AF76" s="38">
        <f>IF(B76="","",IF(M76&lt;&gt;"Completed","",IF(E76="","No",IF(COUNTIFS(Appointments!$E$5:$E$1204,E76,Appointments!$B$5:$B$1204,"&gt;"&amp;B76,Appointments!$M$5:$M$1204,"&lt;&gt;Cancelled")&gt;0,"Yes","No"))))</f>
        <v>0</v>
      </c>
      <c r="AG76" s="38">
        <f>IF(B76="","",IF(I76="","",IF(D76="","",IF(COUNTIFS($I$5:$I$1204,I76,$B$5:$B$1204,B76,$D$5:$D$1204,"&lt;"&amp;V76,$V$5:$V$1204,"&gt;"&amp;D76,$M$5:$M$1204,"&lt;&gt;Cancelled")&gt;1,"Clash",""))))</f>
        <v>0</v>
      </c>
      <c r="AH76" s="39">
        <f>IF(B76="","",IF(AG76="Clash","Clash - stylist double booked",IF(I76="","Assign - no stylist yet",IF(G76="","Add - no service chosen",IF(M76="No show","No show - charge the fee?",IF(M76="Cancelled","",IF(IF(M76="Completed",AB76&lt;Y76-0.004,FALSE),"Unpaid - nothing rung up for this visit",IF(IF(B76&lt;TodayDate,M76="Booked",FALSE),"Overdue - past date, still only Booked",IF(IF(B76=TodayDate,TRUE,FALSE),"Today",IF(IF(Z76&gt;0,AA76&lt;Z76-0.004,FALSE),"Due - deposit not taken",IF(IF(B76&gt;TodayDate,B76&lt;=TodayDate+2,FALSE),"Confirm - coming up","OK")))))))))))</f>
        <v>0</v>
      </c>
    </row>
    <row r="77" spans="1:34">
      <c r="A77" s="28">
        <f>IF(B77="","",AppointmentPrefix&amp;TEXT(ROW()-4,"0000"))</f>
        <v>0</v>
      </c>
      <c r="C77" s="15">
        <f>IF(B77="","",TEXT(B77,"ddd"))</f>
        <v>0</v>
      </c>
      <c r="F77" s="15">
        <f>IF(E77="","",IFERROR(INDEX(Clients!$B$5:$B$504,MATCH(E77,Clients!$A$5:$A$504,0)),"Walk-in"))</f>
        <v>0</v>
      </c>
      <c r="H77" s="15">
        <f>IF(G77="","",IFERROR(INDEX(Services!$B$5:$B$204,MATCH(G77,Services!$A$5:$A$204,0)),"Not in Services"))</f>
        <v>0</v>
      </c>
      <c r="J77" s="15">
        <f>IF(I77="","",IFERROR(INDEX(Staff!$B$5:$B$44,MATCH(I77,Staff!$A$5:$A$44,0)),"Unassigned"))</f>
        <v>0</v>
      </c>
      <c r="S77" s="15">
        <f>IF(B77="","",TEXT(B77,"yyyy-mm"))</f>
        <v>0</v>
      </c>
      <c r="T77" s="25">
        <f>IF(B77="","",WEEKNUM(B77,2))</f>
        <v>0</v>
      </c>
      <c r="U77" s="25">
        <f>IF(B77="","",IF(K77&lt;&gt;"",K77,IFERROR(INDEX(Services!$E$5:$E$204,MATCH(G77,Services!$A$5:$A$204,0))*1,0)+IFERROR(INDEX(Services!$F$5:$F$204,MATCH(G77,Services!$A$5:$A$204,0))*1,0)))</f>
        <v>0</v>
      </c>
      <c r="V77" s="36">
        <f>IF(B77="","",IF(D77="","",D77+U77/1440))</f>
        <v>0</v>
      </c>
      <c r="W77" s="25">
        <f>IF(B77="","",IF(D77="","",HOUR(D77)))</f>
        <v>0</v>
      </c>
      <c r="X77" s="37">
        <f>IF(B77="","",ROUND(U77/60,2))</f>
        <v>0</v>
      </c>
      <c r="Y77" s="26">
        <f>IF(B77="","",IF(L77&lt;&gt;"",L77,IFERROR(INDEX(Services!$G$5:$G$204,MATCH(G77,Services!$A$5:$A$204,0))*1,0)))</f>
        <v>0</v>
      </c>
      <c r="Z77" s="26">
        <f>IF(B77="","",IF(O77&lt;&gt;"",O77,IF(Y77&gt;=DepositThreshold,ROUND(Y77*DepositPercent,2),0)))</f>
        <v>0</v>
      </c>
      <c r="AA77" s="26">
        <f>IF(B77="","",ROUND(SUMIFS(Payments!$G$5:$G$1204,Payments!$I$5:$I$1204,A77,Payments!$E$5:$E$1204,"Deposit"),2))</f>
        <v>0</v>
      </c>
      <c r="AB77" s="26">
        <f>IF(B77="","",ROUND(SUMIFS(Sales!$Y$5:$Y$1204,Sales!$C$5:$C$1204,A77),2))</f>
        <v>0</v>
      </c>
      <c r="AC77" s="38">
        <f>IF(B77="","",IF(M77="Completed","Yes",IF(M77="Cancelled","Yes",IF(M77="No show","Yes","No"))))</f>
        <v>0</v>
      </c>
      <c r="AD77" s="25">
        <f>IF(B77="","",IF(AE77="","",B77-AE77))</f>
        <v>0</v>
      </c>
      <c r="AF77" s="38">
        <f>IF(B77="","",IF(M77&lt;&gt;"Completed","",IF(E77="","No",IF(COUNTIFS(Appointments!$E$5:$E$1204,E77,Appointments!$B$5:$B$1204,"&gt;"&amp;B77,Appointments!$M$5:$M$1204,"&lt;&gt;Cancelled")&gt;0,"Yes","No"))))</f>
        <v>0</v>
      </c>
      <c r="AG77" s="38">
        <f>IF(B77="","",IF(I77="","",IF(D77="","",IF(COUNTIFS($I$5:$I$1204,I77,$B$5:$B$1204,B77,$D$5:$D$1204,"&lt;"&amp;V77,$V$5:$V$1204,"&gt;"&amp;D77,$M$5:$M$1204,"&lt;&gt;Cancelled")&gt;1,"Clash",""))))</f>
        <v>0</v>
      </c>
      <c r="AH77" s="39">
        <f>IF(B77="","",IF(AG77="Clash","Clash - stylist double booked",IF(I77="","Assign - no stylist yet",IF(G77="","Add - no service chosen",IF(M77="No show","No show - charge the fee?",IF(M77="Cancelled","",IF(IF(M77="Completed",AB77&lt;Y77-0.004,FALSE),"Unpaid - nothing rung up for this visit",IF(IF(B77&lt;TodayDate,M77="Booked",FALSE),"Overdue - past date, still only Booked",IF(IF(B77=TodayDate,TRUE,FALSE),"Today",IF(IF(Z77&gt;0,AA77&lt;Z77-0.004,FALSE),"Due - deposit not taken",IF(IF(B77&gt;TodayDate,B77&lt;=TodayDate+2,FALSE),"Confirm - coming up","OK")))))))))))</f>
        <v>0</v>
      </c>
    </row>
    <row r="78" spans="1:34">
      <c r="A78" s="28">
        <f>IF(B78="","",AppointmentPrefix&amp;TEXT(ROW()-4,"0000"))</f>
        <v>0</v>
      </c>
      <c r="C78" s="15">
        <f>IF(B78="","",TEXT(B78,"ddd"))</f>
        <v>0</v>
      </c>
      <c r="F78" s="15">
        <f>IF(E78="","",IFERROR(INDEX(Clients!$B$5:$B$504,MATCH(E78,Clients!$A$5:$A$504,0)),"Walk-in"))</f>
        <v>0</v>
      </c>
      <c r="H78" s="15">
        <f>IF(G78="","",IFERROR(INDEX(Services!$B$5:$B$204,MATCH(G78,Services!$A$5:$A$204,0)),"Not in Services"))</f>
        <v>0</v>
      </c>
      <c r="J78" s="15">
        <f>IF(I78="","",IFERROR(INDEX(Staff!$B$5:$B$44,MATCH(I78,Staff!$A$5:$A$44,0)),"Unassigned"))</f>
        <v>0</v>
      </c>
      <c r="S78" s="15">
        <f>IF(B78="","",TEXT(B78,"yyyy-mm"))</f>
        <v>0</v>
      </c>
      <c r="T78" s="25">
        <f>IF(B78="","",WEEKNUM(B78,2))</f>
        <v>0</v>
      </c>
      <c r="U78" s="25">
        <f>IF(B78="","",IF(K78&lt;&gt;"",K78,IFERROR(INDEX(Services!$E$5:$E$204,MATCH(G78,Services!$A$5:$A$204,0))*1,0)+IFERROR(INDEX(Services!$F$5:$F$204,MATCH(G78,Services!$A$5:$A$204,0))*1,0)))</f>
        <v>0</v>
      </c>
      <c r="V78" s="36">
        <f>IF(B78="","",IF(D78="","",D78+U78/1440))</f>
        <v>0</v>
      </c>
      <c r="W78" s="25">
        <f>IF(B78="","",IF(D78="","",HOUR(D78)))</f>
        <v>0</v>
      </c>
      <c r="X78" s="37">
        <f>IF(B78="","",ROUND(U78/60,2))</f>
        <v>0</v>
      </c>
      <c r="Y78" s="26">
        <f>IF(B78="","",IF(L78&lt;&gt;"",L78,IFERROR(INDEX(Services!$G$5:$G$204,MATCH(G78,Services!$A$5:$A$204,0))*1,0)))</f>
        <v>0</v>
      </c>
      <c r="Z78" s="26">
        <f>IF(B78="","",IF(O78&lt;&gt;"",O78,IF(Y78&gt;=DepositThreshold,ROUND(Y78*DepositPercent,2),0)))</f>
        <v>0</v>
      </c>
      <c r="AA78" s="26">
        <f>IF(B78="","",ROUND(SUMIFS(Payments!$G$5:$G$1204,Payments!$I$5:$I$1204,A78,Payments!$E$5:$E$1204,"Deposit"),2))</f>
        <v>0</v>
      </c>
      <c r="AB78" s="26">
        <f>IF(B78="","",ROUND(SUMIFS(Sales!$Y$5:$Y$1204,Sales!$C$5:$C$1204,A78),2))</f>
        <v>0</v>
      </c>
      <c r="AC78" s="38">
        <f>IF(B78="","",IF(M78="Completed","Yes",IF(M78="Cancelled","Yes",IF(M78="No show","Yes","No"))))</f>
        <v>0</v>
      </c>
      <c r="AD78" s="25">
        <f>IF(B78="","",IF(AE78="","",B78-AE78))</f>
        <v>0</v>
      </c>
      <c r="AF78" s="38">
        <f>IF(B78="","",IF(M78&lt;&gt;"Completed","",IF(E78="","No",IF(COUNTIFS(Appointments!$E$5:$E$1204,E78,Appointments!$B$5:$B$1204,"&gt;"&amp;B78,Appointments!$M$5:$M$1204,"&lt;&gt;Cancelled")&gt;0,"Yes","No"))))</f>
        <v>0</v>
      </c>
      <c r="AG78" s="38">
        <f>IF(B78="","",IF(I78="","",IF(D78="","",IF(COUNTIFS($I$5:$I$1204,I78,$B$5:$B$1204,B78,$D$5:$D$1204,"&lt;"&amp;V78,$V$5:$V$1204,"&gt;"&amp;D78,$M$5:$M$1204,"&lt;&gt;Cancelled")&gt;1,"Clash",""))))</f>
        <v>0</v>
      </c>
      <c r="AH78" s="39">
        <f>IF(B78="","",IF(AG78="Clash","Clash - stylist double booked",IF(I78="","Assign - no stylist yet",IF(G78="","Add - no service chosen",IF(M78="No show","No show - charge the fee?",IF(M78="Cancelled","",IF(IF(M78="Completed",AB78&lt;Y78-0.004,FALSE),"Unpaid - nothing rung up for this visit",IF(IF(B78&lt;TodayDate,M78="Booked",FALSE),"Overdue - past date, still only Booked",IF(IF(B78=TodayDate,TRUE,FALSE),"Today",IF(IF(Z78&gt;0,AA78&lt;Z78-0.004,FALSE),"Due - deposit not taken",IF(IF(B78&gt;TodayDate,B78&lt;=TodayDate+2,FALSE),"Confirm - coming up","OK")))))))))))</f>
        <v>0</v>
      </c>
    </row>
    <row r="79" spans="1:34">
      <c r="A79" s="28">
        <f>IF(B79="","",AppointmentPrefix&amp;TEXT(ROW()-4,"0000"))</f>
        <v>0</v>
      </c>
      <c r="C79" s="15">
        <f>IF(B79="","",TEXT(B79,"ddd"))</f>
        <v>0</v>
      </c>
      <c r="F79" s="15">
        <f>IF(E79="","",IFERROR(INDEX(Clients!$B$5:$B$504,MATCH(E79,Clients!$A$5:$A$504,0)),"Walk-in"))</f>
        <v>0</v>
      </c>
      <c r="H79" s="15">
        <f>IF(G79="","",IFERROR(INDEX(Services!$B$5:$B$204,MATCH(G79,Services!$A$5:$A$204,0)),"Not in Services"))</f>
        <v>0</v>
      </c>
      <c r="J79" s="15">
        <f>IF(I79="","",IFERROR(INDEX(Staff!$B$5:$B$44,MATCH(I79,Staff!$A$5:$A$44,0)),"Unassigned"))</f>
        <v>0</v>
      </c>
      <c r="S79" s="15">
        <f>IF(B79="","",TEXT(B79,"yyyy-mm"))</f>
        <v>0</v>
      </c>
      <c r="T79" s="25">
        <f>IF(B79="","",WEEKNUM(B79,2))</f>
        <v>0</v>
      </c>
      <c r="U79" s="25">
        <f>IF(B79="","",IF(K79&lt;&gt;"",K79,IFERROR(INDEX(Services!$E$5:$E$204,MATCH(G79,Services!$A$5:$A$204,0))*1,0)+IFERROR(INDEX(Services!$F$5:$F$204,MATCH(G79,Services!$A$5:$A$204,0))*1,0)))</f>
        <v>0</v>
      </c>
      <c r="V79" s="36">
        <f>IF(B79="","",IF(D79="","",D79+U79/1440))</f>
        <v>0</v>
      </c>
      <c r="W79" s="25">
        <f>IF(B79="","",IF(D79="","",HOUR(D79)))</f>
        <v>0</v>
      </c>
      <c r="X79" s="37">
        <f>IF(B79="","",ROUND(U79/60,2))</f>
        <v>0</v>
      </c>
      <c r="Y79" s="26">
        <f>IF(B79="","",IF(L79&lt;&gt;"",L79,IFERROR(INDEX(Services!$G$5:$G$204,MATCH(G79,Services!$A$5:$A$204,0))*1,0)))</f>
        <v>0</v>
      </c>
      <c r="Z79" s="26">
        <f>IF(B79="","",IF(O79&lt;&gt;"",O79,IF(Y79&gt;=DepositThreshold,ROUND(Y79*DepositPercent,2),0)))</f>
        <v>0</v>
      </c>
      <c r="AA79" s="26">
        <f>IF(B79="","",ROUND(SUMIFS(Payments!$G$5:$G$1204,Payments!$I$5:$I$1204,A79,Payments!$E$5:$E$1204,"Deposit"),2))</f>
        <v>0</v>
      </c>
      <c r="AB79" s="26">
        <f>IF(B79="","",ROUND(SUMIFS(Sales!$Y$5:$Y$1204,Sales!$C$5:$C$1204,A79),2))</f>
        <v>0</v>
      </c>
      <c r="AC79" s="38">
        <f>IF(B79="","",IF(M79="Completed","Yes",IF(M79="Cancelled","Yes",IF(M79="No show","Yes","No"))))</f>
        <v>0</v>
      </c>
      <c r="AD79" s="25">
        <f>IF(B79="","",IF(AE79="","",B79-AE79))</f>
        <v>0</v>
      </c>
      <c r="AF79" s="38">
        <f>IF(B79="","",IF(M79&lt;&gt;"Completed","",IF(E79="","No",IF(COUNTIFS(Appointments!$E$5:$E$1204,E79,Appointments!$B$5:$B$1204,"&gt;"&amp;B79,Appointments!$M$5:$M$1204,"&lt;&gt;Cancelled")&gt;0,"Yes","No"))))</f>
        <v>0</v>
      </c>
      <c r="AG79" s="38">
        <f>IF(B79="","",IF(I79="","",IF(D79="","",IF(COUNTIFS($I$5:$I$1204,I79,$B$5:$B$1204,B79,$D$5:$D$1204,"&lt;"&amp;V79,$V$5:$V$1204,"&gt;"&amp;D79,$M$5:$M$1204,"&lt;&gt;Cancelled")&gt;1,"Clash",""))))</f>
        <v>0</v>
      </c>
      <c r="AH79" s="39">
        <f>IF(B79="","",IF(AG79="Clash","Clash - stylist double booked",IF(I79="","Assign - no stylist yet",IF(G79="","Add - no service chosen",IF(M79="No show","No show - charge the fee?",IF(M79="Cancelled","",IF(IF(M79="Completed",AB79&lt;Y79-0.004,FALSE),"Unpaid - nothing rung up for this visit",IF(IF(B79&lt;TodayDate,M79="Booked",FALSE),"Overdue - past date, still only Booked",IF(IF(B79=TodayDate,TRUE,FALSE),"Today",IF(IF(Z79&gt;0,AA79&lt;Z79-0.004,FALSE),"Due - deposit not taken",IF(IF(B79&gt;TodayDate,B79&lt;=TodayDate+2,FALSE),"Confirm - coming up","OK")))))))))))</f>
        <v>0</v>
      </c>
    </row>
    <row r="80" spans="1:34">
      <c r="A80" s="28">
        <f>IF(B80="","",AppointmentPrefix&amp;TEXT(ROW()-4,"0000"))</f>
        <v>0</v>
      </c>
      <c r="C80" s="15">
        <f>IF(B80="","",TEXT(B80,"ddd"))</f>
        <v>0</v>
      </c>
      <c r="F80" s="15">
        <f>IF(E80="","",IFERROR(INDEX(Clients!$B$5:$B$504,MATCH(E80,Clients!$A$5:$A$504,0)),"Walk-in"))</f>
        <v>0</v>
      </c>
      <c r="H80" s="15">
        <f>IF(G80="","",IFERROR(INDEX(Services!$B$5:$B$204,MATCH(G80,Services!$A$5:$A$204,0)),"Not in Services"))</f>
        <v>0</v>
      </c>
      <c r="J80" s="15">
        <f>IF(I80="","",IFERROR(INDEX(Staff!$B$5:$B$44,MATCH(I80,Staff!$A$5:$A$44,0)),"Unassigned"))</f>
        <v>0</v>
      </c>
      <c r="S80" s="15">
        <f>IF(B80="","",TEXT(B80,"yyyy-mm"))</f>
        <v>0</v>
      </c>
      <c r="T80" s="25">
        <f>IF(B80="","",WEEKNUM(B80,2))</f>
        <v>0</v>
      </c>
      <c r="U80" s="25">
        <f>IF(B80="","",IF(K80&lt;&gt;"",K80,IFERROR(INDEX(Services!$E$5:$E$204,MATCH(G80,Services!$A$5:$A$204,0))*1,0)+IFERROR(INDEX(Services!$F$5:$F$204,MATCH(G80,Services!$A$5:$A$204,0))*1,0)))</f>
        <v>0</v>
      </c>
      <c r="V80" s="36">
        <f>IF(B80="","",IF(D80="","",D80+U80/1440))</f>
        <v>0</v>
      </c>
      <c r="W80" s="25">
        <f>IF(B80="","",IF(D80="","",HOUR(D80)))</f>
        <v>0</v>
      </c>
      <c r="X80" s="37">
        <f>IF(B80="","",ROUND(U80/60,2))</f>
        <v>0</v>
      </c>
      <c r="Y80" s="26">
        <f>IF(B80="","",IF(L80&lt;&gt;"",L80,IFERROR(INDEX(Services!$G$5:$G$204,MATCH(G80,Services!$A$5:$A$204,0))*1,0)))</f>
        <v>0</v>
      </c>
      <c r="Z80" s="26">
        <f>IF(B80="","",IF(O80&lt;&gt;"",O80,IF(Y80&gt;=DepositThreshold,ROUND(Y80*DepositPercent,2),0)))</f>
        <v>0</v>
      </c>
      <c r="AA80" s="26">
        <f>IF(B80="","",ROUND(SUMIFS(Payments!$G$5:$G$1204,Payments!$I$5:$I$1204,A80,Payments!$E$5:$E$1204,"Deposit"),2))</f>
        <v>0</v>
      </c>
      <c r="AB80" s="26">
        <f>IF(B80="","",ROUND(SUMIFS(Sales!$Y$5:$Y$1204,Sales!$C$5:$C$1204,A80),2))</f>
        <v>0</v>
      </c>
      <c r="AC80" s="38">
        <f>IF(B80="","",IF(M80="Completed","Yes",IF(M80="Cancelled","Yes",IF(M80="No show","Yes","No"))))</f>
        <v>0</v>
      </c>
      <c r="AD80" s="25">
        <f>IF(B80="","",IF(AE80="","",B80-AE80))</f>
        <v>0</v>
      </c>
      <c r="AF80" s="38">
        <f>IF(B80="","",IF(M80&lt;&gt;"Completed","",IF(E80="","No",IF(COUNTIFS(Appointments!$E$5:$E$1204,E80,Appointments!$B$5:$B$1204,"&gt;"&amp;B80,Appointments!$M$5:$M$1204,"&lt;&gt;Cancelled")&gt;0,"Yes","No"))))</f>
        <v>0</v>
      </c>
      <c r="AG80" s="38">
        <f>IF(B80="","",IF(I80="","",IF(D80="","",IF(COUNTIFS($I$5:$I$1204,I80,$B$5:$B$1204,B80,$D$5:$D$1204,"&lt;"&amp;V80,$V$5:$V$1204,"&gt;"&amp;D80,$M$5:$M$1204,"&lt;&gt;Cancelled")&gt;1,"Clash",""))))</f>
        <v>0</v>
      </c>
      <c r="AH80" s="39">
        <f>IF(B80="","",IF(AG80="Clash","Clash - stylist double booked",IF(I80="","Assign - no stylist yet",IF(G80="","Add - no service chosen",IF(M80="No show","No show - charge the fee?",IF(M80="Cancelled","",IF(IF(M80="Completed",AB80&lt;Y80-0.004,FALSE),"Unpaid - nothing rung up for this visit",IF(IF(B80&lt;TodayDate,M80="Booked",FALSE),"Overdue - past date, still only Booked",IF(IF(B80=TodayDate,TRUE,FALSE),"Today",IF(IF(Z80&gt;0,AA80&lt;Z80-0.004,FALSE),"Due - deposit not taken",IF(IF(B80&gt;TodayDate,B80&lt;=TodayDate+2,FALSE),"Confirm - coming up","OK")))))))))))</f>
        <v>0</v>
      </c>
    </row>
    <row r="81" spans="1:34">
      <c r="A81" s="28">
        <f>IF(B81="","",AppointmentPrefix&amp;TEXT(ROW()-4,"0000"))</f>
        <v>0</v>
      </c>
      <c r="C81" s="15">
        <f>IF(B81="","",TEXT(B81,"ddd"))</f>
        <v>0</v>
      </c>
      <c r="F81" s="15">
        <f>IF(E81="","",IFERROR(INDEX(Clients!$B$5:$B$504,MATCH(E81,Clients!$A$5:$A$504,0)),"Walk-in"))</f>
        <v>0</v>
      </c>
      <c r="H81" s="15">
        <f>IF(G81="","",IFERROR(INDEX(Services!$B$5:$B$204,MATCH(G81,Services!$A$5:$A$204,0)),"Not in Services"))</f>
        <v>0</v>
      </c>
      <c r="J81" s="15">
        <f>IF(I81="","",IFERROR(INDEX(Staff!$B$5:$B$44,MATCH(I81,Staff!$A$5:$A$44,0)),"Unassigned"))</f>
        <v>0</v>
      </c>
      <c r="S81" s="15">
        <f>IF(B81="","",TEXT(B81,"yyyy-mm"))</f>
        <v>0</v>
      </c>
      <c r="T81" s="25">
        <f>IF(B81="","",WEEKNUM(B81,2))</f>
        <v>0</v>
      </c>
      <c r="U81" s="25">
        <f>IF(B81="","",IF(K81&lt;&gt;"",K81,IFERROR(INDEX(Services!$E$5:$E$204,MATCH(G81,Services!$A$5:$A$204,0))*1,0)+IFERROR(INDEX(Services!$F$5:$F$204,MATCH(G81,Services!$A$5:$A$204,0))*1,0)))</f>
        <v>0</v>
      </c>
      <c r="V81" s="36">
        <f>IF(B81="","",IF(D81="","",D81+U81/1440))</f>
        <v>0</v>
      </c>
      <c r="W81" s="25">
        <f>IF(B81="","",IF(D81="","",HOUR(D81)))</f>
        <v>0</v>
      </c>
      <c r="X81" s="37">
        <f>IF(B81="","",ROUND(U81/60,2))</f>
        <v>0</v>
      </c>
      <c r="Y81" s="26">
        <f>IF(B81="","",IF(L81&lt;&gt;"",L81,IFERROR(INDEX(Services!$G$5:$G$204,MATCH(G81,Services!$A$5:$A$204,0))*1,0)))</f>
        <v>0</v>
      </c>
      <c r="Z81" s="26">
        <f>IF(B81="","",IF(O81&lt;&gt;"",O81,IF(Y81&gt;=DepositThreshold,ROUND(Y81*DepositPercent,2),0)))</f>
        <v>0</v>
      </c>
      <c r="AA81" s="26">
        <f>IF(B81="","",ROUND(SUMIFS(Payments!$G$5:$G$1204,Payments!$I$5:$I$1204,A81,Payments!$E$5:$E$1204,"Deposit"),2))</f>
        <v>0</v>
      </c>
      <c r="AB81" s="26">
        <f>IF(B81="","",ROUND(SUMIFS(Sales!$Y$5:$Y$1204,Sales!$C$5:$C$1204,A81),2))</f>
        <v>0</v>
      </c>
      <c r="AC81" s="38">
        <f>IF(B81="","",IF(M81="Completed","Yes",IF(M81="Cancelled","Yes",IF(M81="No show","Yes","No"))))</f>
        <v>0</v>
      </c>
      <c r="AD81" s="25">
        <f>IF(B81="","",IF(AE81="","",B81-AE81))</f>
        <v>0</v>
      </c>
      <c r="AF81" s="38">
        <f>IF(B81="","",IF(M81&lt;&gt;"Completed","",IF(E81="","No",IF(COUNTIFS(Appointments!$E$5:$E$1204,E81,Appointments!$B$5:$B$1204,"&gt;"&amp;B81,Appointments!$M$5:$M$1204,"&lt;&gt;Cancelled")&gt;0,"Yes","No"))))</f>
        <v>0</v>
      </c>
      <c r="AG81" s="38">
        <f>IF(B81="","",IF(I81="","",IF(D81="","",IF(COUNTIFS($I$5:$I$1204,I81,$B$5:$B$1204,B81,$D$5:$D$1204,"&lt;"&amp;V81,$V$5:$V$1204,"&gt;"&amp;D81,$M$5:$M$1204,"&lt;&gt;Cancelled")&gt;1,"Clash",""))))</f>
        <v>0</v>
      </c>
      <c r="AH81" s="39">
        <f>IF(B81="","",IF(AG81="Clash","Clash - stylist double booked",IF(I81="","Assign - no stylist yet",IF(G81="","Add - no service chosen",IF(M81="No show","No show - charge the fee?",IF(M81="Cancelled","",IF(IF(M81="Completed",AB81&lt;Y81-0.004,FALSE),"Unpaid - nothing rung up for this visit",IF(IF(B81&lt;TodayDate,M81="Booked",FALSE),"Overdue - past date, still only Booked",IF(IF(B81=TodayDate,TRUE,FALSE),"Today",IF(IF(Z81&gt;0,AA81&lt;Z81-0.004,FALSE),"Due - deposit not taken",IF(IF(B81&gt;TodayDate,B81&lt;=TodayDate+2,FALSE),"Confirm - coming up","OK")))))))))))</f>
        <v>0</v>
      </c>
    </row>
    <row r="82" spans="1:34">
      <c r="A82" s="28">
        <f>IF(B82="","",AppointmentPrefix&amp;TEXT(ROW()-4,"0000"))</f>
        <v>0</v>
      </c>
      <c r="C82" s="15">
        <f>IF(B82="","",TEXT(B82,"ddd"))</f>
        <v>0</v>
      </c>
      <c r="F82" s="15">
        <f>IF(E82="","",IFERROR(INDEX(Clients!$B$5:$B$504,MATCH(E82,Clients!$A$5:$A$504,0)),"Walk-in"))</f>
        <v>0</v>
      </c>
      <c r="H82" s="15">
        <f>IF(G82="","",IFERROR(INDEX(Services!$B$5:$B$204,MATCH(G82,Services!$A$5:$A$204,0)),"Not in Services"))</f>
        <v>0</v>
      </c>
      <c r="J82" s="15">
        <f>IF(I82="","",IFERROR(INDEX(Staff!$B$5:$B$44,MATCH(I82,Staff!$A$5:$A$44,0)),"Unassigned"))</f>
        <v>0</v>
      </c>
      <c r="S82" s="15">
        <f>IF(B82="","",TEXT(B82,"yyyy-mm"))</f>
        <v>0</v>
      </c>
      <c r="T82" s="25">
        <f>IF(B82="","",WEEKNUM(B82,2))</f>
        <v>0</v>
      </c>
      <c r="U82" s="25">
        <f>IF(B82="","",IF(K82&lt;&gt;"",K82,IFERROR(INDEX(Services!$E$5:$E$204,MATCH(G82,Services!$A$5:$A$204,0))*1,0)+IFERROR(INDEX(Services!$F$5:$F$204,MATCH(G82,Services!$A$5:$A$204,0))*1,0)))</f>
        <v>0</v>
      </c>
      <c r="V82" s="36">
        <f>IF(B82="","",IF(D82="","",D82+U82/1440))</f>
        <v>0</v>
      </c>
      <c r="W82" s="25">
        <f>IF(B82="","",IF(D82="","",HOUR(D82)))</f>
        <v>0</v>
      </c>
      <c r="X82" s="37">
        <f>IF(B82="","",ROUND(U82/60,2))</f>
        <v>0</v>
      </c>
      <c r="Y82" s="26">
        <f>IF(B82="","",IF(L82&lt;&gt;"",L82,IFERROR(INDEX(Services!$G$5:$G$204,MATCH(G82,Services!$A$5:$A$204,0))*1,0)))</f>
        <v>0</v>
      </c>
      <c r="Z82" s="26">
        <f>IF(B82="","",IF(O82&lt;&gt;"",O82,IF(Y82&gt;=DepositThreshold,ROUND(Y82*DepositPercent,2),0)))</f>
        <v>0</v>
      </c>
      <c r="AA82" s="26">
        <f>IF(B82="","",ROUND(SUMIFS(Payments!$G$5:$G$1204,Payments!$I$5:$I$1204,A82,Payments!$E$5:$E$1204,"Deposit"),2))</f>
        <v>0</v>
      </c>
      <c r="AB82" s="26">
        <f>IF(B82="","",ROUND(SUMIFS(Sales!$Y$5:$Y$1204,Sales!$C$5:$C$1204,A82),2))</f>
        <v>0</v>
      </c>
      <c r="AC82" s="38">
        <f>IF(B82="","",IF(M82="Completed","Yes",IF(M82="Cancelled","Yes",IF(M82="No show","Yes","No"))))</f>
        <v>0</v>
      </c>
      <c r="AD82" s="25">
        <f>IF(B82="","",IF(AE82="","",B82-AE82))</f>
        <v>0</v>
      </c>
      <c r="AF82" s="38">
        <f>IF(B82="","",IF(M82&lt;&gt;"Completed","",IF(E82="","No",IF(COUNTIFS(Appointments!$E$5:$E$1204,E82,Appointments!$B$5:$B$1204,"&gt;"&amp;B82,Appointments!$M$5:$M$1204,"&lt;&gt;Cancelled")&gt;0,"Yes","No"))))</f>
        <v>0</v>
      </c>
      <c r="AG82" s="38">
        <f>IF(B82="","",IF(I82="","",IF(D82="","",IF(COUNTIFS($I$5:$I$1204,I82,$B$5:$B$1204,B82,$D$5:$D$1204,"&lt;"&amp;V82,$V$5:$V$1204,"&gt;"&amp;D82,$M$5:$M$1204,"&lt;&gt;Cancelled")&gt;1,"Clash",""))))</f>
        <v>0</v>
      </c>
      <c r="AH82" s="39">
        <f>IF(B82="","",IF(AG82="Clash","Clash - stylist double booked",IF(I82="","Assign - no stylist yet",IF(G82="","Add - no service chosen",IF(M82="No show","No show - charge the fee?",IF(M82="Cancelled","",IF(IF(M82="Completed",AB82&lt;Y82-0.004,FALSE),"Unpaid - nothing rung up for this visit",IF(IF(B82&lt;TodayDate,M82="Booked",FALSE),"Overdue - past date, still only Booked",IF(IF(B82=TodayDate,TRUE,FALSE),"Today",IF(IF(Z82&gt;0,AA82&lt;Z82-0.004,FALSE),"Due - deposit not taken",IF(IF(B82&gt;TodayDate,B82&lt;=TodayDate+2,FALSE),"Confirm - coming up","OK")))))))))))</f>
        <v>0</v>
      </c>
    </row>
    <row r="83" spans="1:34">
      <c r="A83" s="28">
        <f>IF(B83="","",AppointmentPrefix&amp;TEXT(ROW()-4,"0000"))</f>
        <v>0</v>
      </c>
      <c r="C83" s="15">
        <f>IF(B83="","",TEXT(B83,"ddd"))</f>
        <v>0</v>
      </c>
      <c r="F83" s="15">
        <f>IF(E83="","",IFERROR(INDEX(Clients!$B$5:$B$504,MATCH(E83,Clients!$A$5:$A$504,0)),"Walk-in"))</f>
        <v>0</v>
      </c>
      <c r="H83" s="15">
        <f>IF(G83="","",IFERROR(INDEX(Services!$B$5:$B$204,MATCH(G83,Services!$A$5:$A$204,0)),"Not in Services"))</f>
        <v>0</v>
      </c>
      <c r="J83" s="15">
        <f>IF(I83="","",IFERROR(INDEX(Staff!$B$5:$B$44,MATCH(I83,Staff!$A$5:$A$44,0)),"Unassigned"))</f>
        <v>0</v>
      </c>
      <c r="S83" s="15">
        <f>IF(B83="","",TEXT(B83,"yyyy-mm"))</f>
        <v>0</v>
      </c>
      <c r="T83" s="25">
        <f>IF(B83="","",WEEKNUM(B83,2))</f>
        <v>0</v>
      </c>
      <c r="U83" s="25">
        <f>IF(B83="","",IF(K83&lt;&gt;"",K83,IFERROR(INDEX(Services!$E$5:$E$204,MATCH(G83,Services!$A$5:$A$204,0))*1,0)+IFERROR(INDEX(Services!$F$5:$F$204,MATCH(G83,Services!$A$5:$A$204,0))*1,0)))</f>
        <v>0</v>
      </c>
      <c r="V83" s="36">
        <f>IF(B83="","",IF(D83="","",D83+U83/1440))</f>
        <v>0</v>
      </c>
      <c r="W83" s="25">
        <f>IF(B83="","",IF(D83="","",HOUR(D83)))</f>
        <v>0</v>
      </c>
      <c r="X83" s="37">
        <f>IF(B83="","",ROUND(U83/60,2))</f>
        <v>0</v>
      </c>
      <c r="Y83" s="26">
        <f>IF(B83="","",IF(L83&lt;&gt;"",L83,IFERROR(INDEX(Services!$G$5:$G$204,MATCH(G83,Services!$A$5:$A$204,0))*1,0)))</f>
        <v>0</v>
      </c>
      <c r="Z83" s="26">
        <f>IF(B83="","",IF(O83&lt;&gt;"",O83,IF(Y83&gt;=DepositThreshold,ROUND(Y83*DepositPercent,2),0)))</f>
        <v>0</v>
      </c>
      <c r="AA83" s="26">
        <f>IF(B83="","",ROUND(SUMIFS(Payments!$G$5:$G$1204,Payments!$I$5:$I$1204,A83,Payments!$E$5:$E$1204,"Deposit"),2))</f>
        <v>0</v>
      </c>
      <c r="AB83" s="26">
        <f>IF(B83="","",ROUND(SUMIFS(Sales!$Y$5:$Y$1204,Sales!$C$5:$C$1204,A83),2))</f>
        <v>0</v>
      </c>
      <c r="AC83" s="38">
        <f>IF(B83="","",IF(M83="Completed","Yes",IF(M83="Cancelled","Yes",IF(M83="No show","Yes","No"))))</f>
        <v>0</v>
      </c>
      <c r="AD83" s="25">
        <f>IF(B83="","",IF(AE83="","",B83-AE83))</f>
        <v>0</v>
      </c>
      <c r="AF83" s="38">
        <f>IF(B83="","",IF(M83&lt;&gt;"Completed","",IF(E83="","No",IF(COUNTIFS(Appointments!$E$5:$E$1204,E83,Appointments!$B$5:$B$1204,"&gt;"&amp;B83,Appointments!$M$5:$M$1204,"&lt;&gt;Cancelled")&gt;0,"Yes","No"))))</f>
        <v>0</v>
      </c>
      <c r="AG83" s="38">
        <f>IF(B83="","",IF(I83="","",IF(D83="","",IF(COUNTIFS($I$5:$I$1204,I83,$B$5:$B$1204,B83,$D$5:$D$1204,"&lt;"&amp;V83,$V$5:$V$1204,"&gt;"&amp;D83,$M$5:$M$1204,"&lt;&gt;Cancelled")&gt;1,"Clash",""))))</f>
        <v>0</v>
      </c>
      <c r="AH83" s="39">
        <f>IF(B83="","",IF(AG83="Clash","Clash - stylist double booked",IF(I83="","Assign - no stylist yet",IF(G83="","Add - no service chosen",IF(M83="No show","No show - charge the fee?",IF(M83="Cancelled","",IF(IF(M83="Completed",AB83&lt;Y83-0.004,FALSE),"Unpaid - nothing rung up for this visit",IF(IF(B83&lt;TodayDate,M83="Booked",FALSE),"Overdue - past date, still only Booked",IF(IF(B83=TodayDate,TRUE,FALSE),"Today",IF(IF(Z83&gt;0,AA83&lt;Z83-0.004,FALSE),"Due - deposit not taken",IF(IF(B83&gt;TodayDate,B83&lt;=TodayDate+2,FALSE),"Confirm - coming up","OK")))))))))))</f>
        <v>0</v>
      </c>
    </row>
    <row r="84" spans="1:34">
      <c r="A84" s="28">
        <f>IF(B84="","",AppointmentPrefix&amp;TEXT(ROW()-4,"0000"))</f>
        <v>0</v>
      </c>
      <c r="C84" s="15">
        <f>IF(B84="","",TEXT(B84,"ddd"))</f>
        <v>0</v>
      </c>
      <c r="F84" s="15">
        <f>IF(E84="","",IFERROR(INDEX(Clients!$B$5:$B$504,MATCH(E84,Clients!$A$5:$A$504,0)),"Walk-in"))</f>
        <v>0</v>
      </c>
      <c r="H84" s="15">
        <f>IF(G84="","",IFERROR(INDEX(Services!$B$5:$B$204,MATCH(G84,Services!$A$5:$A$204,0)),"Not in Services"))</f>
        <v>0</v>
      </c>
      <c r="J84" s="15">
        <f>IF(I84="","",IFERROR(INDEX(Staff!$B$5:$B$44,MATCH(I84,Staff!$A$5:$A$44,0)),"Unassigned"))</f>
        <v>0</v>
      </c>
      <c r="S84" s="15">
        <f>IF(B84="","",TEXT(B84,"yyyy-mm"))</f>
        <v>0</v>
      </c>
      <c r="T84" s="25">
        <f>IF(B84="","",WEEKNUM(B84,2))</f>
        <v>0</v>
      </c>
      <c r="U84" s="25">
        <f>IF(B84="","",IF(K84&lt;&gt;"",K84,IFERROR(INDEX(Services!$E$5:$E$204,MATCH(G84,Services!$A$5:$A$204,0))*1,0)+IFERROR(INDEX(Services!$F$5:$F$204,MATCH(G84,Services!$A$5:$A$204,0))*1,0)))</f>
        <v>0</v>
      </c>
      <c r="V84" s="36">
        <f>IF(B84="","",IF(D84="","",D84+U84/1440))</f>
        <v>0</v>
      </c>
      <c r="W84" s="25">
        <f>IF(B84="","",IF(D84="","",HOUR(D84)))</f>
        <v>0</v>
      </c>
      <c r="X84" s="37">
        <f>IF(B84="","",ROUND(U84/60,2))</f>
        <v>0</v>
      </c>
      <c r="Y84" s="26">
        <f>IF(B84="","",IF(L84&lt;&gt;"",L84,IFERROR(INDEX(Services!$G$5:$G$204,MATCH(G84,Services!$A$5:$A$204,0))*1,0)))</f>
        <v>0</v>
      </c>
      <c r="Z84" s="26">
        <f>IF(B84="","",IF(O84&lt;&gt;"",O84,IF(Y84&gt;=DepositThreshold,ROUND(Y84*DepositPercent,2),0)))</f>
        <v>0</v>
      </c>
      <c r="AA84" s="26">
        <f>IF(B84="","",ROUND(SUMIFS(Payments!$G$5:$G$1204,Payments!$I$5:$I$1204,A84,Payments!$E$5:$E$1204,"Deposit"),2))</f>
        <v>0</v>
      </c>
      <c r="AB84" s="26">
        <f>IF(B84="","",ROUND(SUMIFS(Sales!$Y$5:$Y$1204,Sales!$C$5:$C$1204,A84),2))</f>
        <v>0</v>
      </c>
      <c r="AC84" s="38">
        <f>IF(B84="","",IF(M84="Completed","Yes",IF(M84="Cancelled","Yes",IF(M84="No show","Yes","No"))))</f>
        <v>0</v>
      </c>
      <c r="AD84" s="25">
        <f>IF(B84="","",IF(AE84="","",B84-AE84))</f>
        <v>0</v>
      </c>
      <c r="AF84" s="38">
        <f>IF(B84="","",IF(M84&lt;&gt;"Completed","",IF(E84="","No",IF(COUNTIFS(Appointments!$E$5:$E$1204,E84,Appointments!$B$5:$B$1204,"&gt;"&amp;B84,Appointments!$M$5:$M$1204,"&lt;&gt;Cancelled")&gt;0,"Yes","No"))))</f>
        <v>0</v>
      </c>
      <c r="AG84" s="38">
        <f>IF(B84="","",IF(I84="","",IF(D84="","",IF(COUNTIFS($I$5:$I$1204,I84,$B$5:$B$1204,B84,$D$5:$D$1204,"&lt;"&amp;V84,$V$5:$V$1204,"&gt;"&amp;D84,$M$5:$M$1204,"&lt;&gt;Cancelled")&gt;1,"Clash",""))))</f>
        <v>0</v>
      </c>
      <c r="AH84" s="39">
        <f>IF(B84="","",IF(AG84="Clash","Clash - stylist double booked",IF(I84="","Assign - no stylist yet",IF(G84="","Add - no service chosen",IF(M84="No show","No show - charge the fee?",IF(M84="Cancelled","",IF(IF(M84="Completed",AB84&lt;Y84-0.004,FALSE),"Unpaid - nothing rung up for this visit",IF(IF(B84&lt;TodayDate,M84="Booked",FALSE),"Overdue - past date, still only Booked",IF(IF(B84=TodayDate,TRUE,FALSE),"Today",IF(IF(Z84&gt;0,AA84&lt;Z84-0.004,FALSE),"Due - deposit not taken",IF(IF(B84&gt;TodayDate,B84&lt;=TodayDate+2,FALSE),"Confirm - coming up","OK")))))))))))</f>
        <v>0</v>
      </c>
    </row>
    <row r="85" spans="1:34">
      <c r="A85" s="28">
        <f>IF(B85="","",AppointmentPrefix&amp;TEXT(ROW()-4,"0000"))</f>
        <v>0</v>
      </c>
      <c r="C85" s="15">
        <f>IF(B85="","",TEXT(B85,"ddd"))</f>
        <v>0</v>
      </c>
      <c r="F85" s="15">
        <f>IF(E85="","",IFERROR(INDEX(Clients!$B$5:$B$504,MATCH(E85,Clients!$A$5:$A$504,0)),"Walk-in"))</f>
        <v>0</v>
      </c>
      <c r="H85" s="15">
        <f>IF(G85="","",IFERROR(INDEX(Services!$B$5:$B$204,MATCH(G85,Services!$A$5:$A$204,0)),"Not in Services"))</f>
        <v>0</v>
      </c>
      <c r="J85" s="15">
        <f>IF(I85="","",IFERROR(INDEX(Staff!$B$5:$B$44,MATCH(I85,Staff!$A$5:$A$44,0)),"Unassigned"))</f>
        <v>0</v>
      </c>
      <c r="S85" s="15">
        <f>IF(B85="","",TEXT(B85,"yyyy-mm"))</f>
        <v>0</v>
      </c>
      <c r="T85" s="25">
        <f>IF(B85="","",WEEKNUM(B85,2))</f>
        <v>0</v>
      </c>
      <c r="U85" s="25">
        <f>IF(B85="","",IF(K85&lt;&gt;"",K85,IFERROR(INDEX(Services!$E$5:$E$204,MATCH(G85,Services!$A$5:$A$204,0))*1,0)+IFERROR(INDEX(Services!$F$5:$F$204,MATCH(G85,Services!$A$5:$A$204,0))*1,0)))</f>
        <v>0</v>
      </c>
      <c r="V85" s="36">
        <f>IF(B85="","",IF(D85="","",D85+U85/1440))</f>
        <v>0</v>
      </c>
      <c r="W85" s="25">
        <f>IF(B85="","",IF(D85="","",HOUR(D85)))</f>
        <v>0</v>
      </c>
      <c r="X85" s="37">
        <f>IF(B85="","",ROUND(U85/60,2))</f>
        <v>0</v>
      </c>
      <c r="Y85" s="26">
        <f>IF(B85="","",IF(L85&lt;&gt;"",L85,IFERROR(INDEX(Services!$G$5:$G$204,MATCH(G85,Services!$A$5:$A$204,0))*1,0)))</f>
        <v>0</v>
      </c>
      <c r="Z85" s="26">
        <f>IF(B85="","",IF(O85&lt;&gt;"",O85,IF(Y85&gt;=DepositThreshold,ROUND(Y85*DepositPercent,2),0)))</f>
        <v>0</v>
      </c>
      <c r="AA85" s="26">
        <f>IF(B85="","",ROUND(SUMIFS(Payments!$G$5:$G$1204,Payments!$I$5:$I$1204,A85,Payments!$E$5:$E$1204,"Deposit"),2))</f>
        <v>0</v>
      </c>
      <c r="AB85" s="26">
        <f>IF(B85="","",ROUND(SUMIFS(Sales!$Y$5:$Y$1204,Sales!$C$5:$C$1204,A85),2))</f>
        <v>0</v>
      </c>
      <c r="AC85" s="38">
        <f>IF(B85="","",IF(M85="Completed","Yes",IF(M85="Cancelled","Yes",IF(M85="No show","Yes","No"))))</f>
        <v>0</v>
      </c>
      <c r="AD85" s="25">
        <f>IF(B85="","",IF(AE85="","",B85-AE85))</f>
        <v>0</v>
      </c>
      <c r="AF85" s="38">
        <f>IF(B85="","",IF(M85&lt;&gt;"Completed","",IF(E85="","No",IF(COUNTIFS(Appointments!$E$5:$E$1204,E85,Appointments!$B$5:$B$1204,"&gt;"&amp;B85,Appointments!$M$5:$M$1204,"&lt;&gt;Cancelled")&gt;0,"Yes","No"))))</f>
        <v>0</v>
      </c>
      <c r="AG85" s="38">
        <f>IF(B85="","",IF(I85="","",IF(D85="","",IF(COUNTIFS($I$5:$I$1204,I85,$B$5:$B$1204,B85,$D$5:$D$1204,"&lt;"&amp;V85,$V$5:$V$1204,"&gt;"&amp;D85,$M$5:$M$1204,"&lt;&gt;Cancelled")&gt;1,"Clash",""))))</f>
        <v>0</v>
      </c>
      <c r="AH85" s="39">
        <f>IF(B85="","",IF(AG85="Clash","Clash - stylist double booked",IF(I85="","Assign - no stylist yet",IF(G85="","Add - no service chosen",IF(M85="No show","No show - charge the fee?",IF(M85="Cancelled","",IF(IF(M85="Completed",AB85&lt;Y85-0.004,FALSE),"Unpaid - nothing rung up for this visit",IF(IF(B85&lt;TodayDate,M85="Booked",FALSE),"Overdue - past date, still only Booked",IF(IF(B85=TodayDate,TRUE,FALSE),"Today",IF(IF(Z85&gt;0,AA85&lt;Z85-0.004,FALSE),"Due - deposit not taken",IF(IF(B85&gt;TodayDate,B85&lt;=TodayDate+2,FALSE),"Confirm - coming up","OK")))))))))))</f>
        <v>0</v>
      </c>
    </row>
    <row r="86" spans="1:34">
      <c r="A86" s="28">
        <f>IF(B86="","",AppointmentPrefix&amp;TEXT(ROW()-4,"0000"))</f>
        <v>0</v>
      </c>
      <c r="C86" s="15">
        <f>IF(B86="","",TEXT(B86,"ddd"))</f>
        <v>0</v>
      </c>
      <c r="F86" s="15">
        <f>IF(E86="","",IFERROR(INDEX(Clients!$B$5:$B$504,MATCH(E86,Clients!$A$5:$A$504,0)),"Walk-in"))</f>
        <v>0</v>
      </c>
      <c r="H86" s="15">
        <f>IF(G86="","",IFERROR(INDEX(Services!$B$5:$B$204,MATCH(G86,Services!$A$5:$A$204,0)),"Not in Services"))</f>
        <v>0</v>
      </c>
      <c r="J86" s="15">
        <f>IF(I86="","",IFERROR(INDEX(Staff!$B$5:$B$44,MATCH(I86,Staff!$A$5:$A$44,0)),"Unassigned"))</f>
        <v>0</v>
      </c>
      <c r="S86" s="15">
        <f>IF(B86="","",TEXT(B86,"yyyy-mm"))</f>
        <v>0</v>
      </c>
      <c r="T86" s="25">
        <f>IF(B86="","",WEEKNUM(B86,2))</f>
        <v>0</v>
      </c>
      <c r="U86" s="25">
        <f>IF(B86="","",IF(K86&lt;&gt;"",K86,IFERROR(INDEX(Services!$E$5:$E$204,MATCH(G86,Services!$A$5:$A$204,0))*1,0)+IFERROR(INDEX(Services!$F$5:$F$204,MATCH(G86,Services!$A$5:$A$204,0))*1,0)))</f>
        <v>0</v>
      </c>
      <c r="V86" s="36">
        <f>IF(B86="","",IF(D86="","",D86+U86/1440))</f>
        <v>0</v>
      </c>
      <c r="W86" s="25">
        <f>IF(B86="","",IF(D86="","",HOUR(D86)))</f>
        <v>0</v>
      </c>
      <c r="X86" s="37">
        <f>IF(B86="","",ROUND(U86/60,2))</f>
        <v>0</v>
      </c>
      <c r="Y86" s="26">
        <f>IF(B86="","",IF(L86&lt;&gt;"",L86,IFERROR(INDEX(Services!$G$5:$G$204,MATCH(G86,Services!$A$5:$A$204,0))*1,0)))</f>
        <v>0</v>
      </c>
      <c r="Z86" s="26">
        <f>IF(B86="","",IF(O86&lt;&gt;"",O86,IF(Y86&gt;=DepositThreshold,ROUND(Y86*DepositPercent,2),0)))</f>
        <v>0</v>
      </c>
      <c r="AA86" s="26">
        <f>IF(B86="","",ROUND(SUMIFS(Payments!$G$5:$G$1204,Payments!$I$5:$I$1204,A86,Payments!$E$5:$E$1204,"Deposit"),2))</f>
        <v>0</v>
      </c>
      <c r="AB86" s="26">
        <f>IF(B86="","",ROUND(SUMIFS(Sales!$Y$5:$Y$1204,Sales!$C$5:$C$1204,A86),2))</f>
        <v>0</v>
      </c>
      <c r="AC86" s="38">
        <f>IF(B86="","",IF(M86="Completed","Yes",IF(M86="Cancelled","Yes",IF(M86="No show","Yes","No"))))</f>
        <v>0</v>
      </c>
      <c r="AD86" s="25">
        <f>IF(B86="","",IF(AE86="","",B86-AE86))</f>
        <v>0</v>
      </c>
      <c r="AF86" s="38">
        <f>IF(B86="","",IF(M86&lt;&gt;"Completed","",IF(E86="","No",IF(COUNTIFS(Appointments!$E$5:$E$1204,E86,Appointments!$B$5:$B$1204,"&gt;"&amp;B86,Appointments!$M$5:$M$1204,"&lt;&gt;Cancelled")&gt;0,"Yes","No"))))</f>
        <v>0</v>
      </c>
      <c r="AG86" s="38">
        <f>IF(B86="","",IF(I86="","",IF(D86="","",IF(COUNTIFS($I$5:$I$1204,I86,$B$5:$B$1204,B86,$D$5:$D$1204,"&lt;"&amp;V86,$V$5:$V$1204,"&gt;"&amp;D86,$M$5:$M$1204,"&lt;&gt;Cancelled")&gt;1,"Clash",""))))</f>
        <v>0</v>
      </c>
      <c r="AH86" s="39">
        <f>IF(B86="","",IF(AG86="Clash","Clash - stylist double booked",IF(I86="","Assign - no stylist yet",IF(G86="","Add - no service chosen",IF(M86="No show","No show - charge the fee?",IF(M86="Cancelled","",IF(IF(M86="Completed",AB86&lt;Y86-0.004,FALSE),"Unpaid - nothing rung up for this visit",IF(IF(B86&lt;TodayDate,M86="Booked",FALSE),"Overdue - past date, still only Booked",IF(IF(B86=TodayDate,TRUE,FALSE),"Today",IF(IF(Z86&gt;0,AA86&lt;Z86-0.004,FALSE),"Due - deposit not taken",IF(IF(B86&gt;TodayDate,B86&lt;=TodayDate+2,FALSE),"Confirm - coming up","OK")))))))))))</f>
        <v>0</v>
      </c>
    </row>
    <row r="87" spans="1:34">
      <c r="A87" s="28">
        <f>IF(B87="","",AppointmentPrefix&amp;TEXT(ROW()-4,"0000"))</f>
        <v>0</v>
      </c>
      <c r="C87" s="15">
        <f>IF(B87="","",TEXT(B87,"ddd"))</f>
        <v>0</v>
      </c>
      <c r="F87" s="15">
        <f>IF(E87="","",IFERROR(INDEX(Clients!$B$5:$B$504,MATCH(E87,Clients!$A$5:$A$504,0)),"Walk-in"))</f>
        <v>0</v>
      </c>
      <c r="H87" s="15">
        <f>IF(G87="","",IFERROR(INDEX(Services!$B$5:$B$204,MATCH(G87,Services!$A$5:$A$204,0)),"Not in Services"))</f>
        <v>0</v>
      </c>
      <c r="J87" s="15">
        <f>IF(I87="","",IFERROR(INDEX(Staff!$B$5:$B$44,MATCH(I87,Staff!$A$5:$A$44,0)),"Unassigned"))</f>
        <v>0</v>
      </c>
      <c r="S87" s="15">
        <f>IF(B87="","",TEXT(B87,"yyyy-mm"))</f>
        <v>0</v>
      </c>
      <c r="T87" s="25">
        <f>IF(B87="","",WEEKNUM(B87,2))</f>
        <v>0</v>
      </c>
      <c r="U87" s="25">
        <f>IF(B87="","",IF(K87&lt;&gt;"",K87,IFERROR(INDEX(Services!$E$5:$E$204,MATCH(G87,Services!$A$5:$A$204,0))*1,0)+IFERROR(INDEX(Services!$F$5:$F$204,MATCH(G87,Services!$A$5:$A$204,0))*1,0)))</f>
        <v>0</v>
      </c>
      <c r="V87" s="36">
        <f>IF(B87="","",IF(D87="","",D87+U87/1440))</f>
        <v>0</v>
      </c>
      <c r="W87" s="25">
        <f>IF(B87="","",IF(D87="","",HOUR(D87)))</f>
        <v>0</v>
      </c>
      <c r="X87" s="37">
        <f>IF(B87="","",ROUND(U87/60,2))</f>
        <v>0</v>
      </c>
      <c r="Y87" s="26">
        <f>IF(B87="","",IF(L87&lt;&gt;"",L87,IFERROR(INDEX(Services!$G$5:$G$204,MATCH(G87,Services!$A$5:$A$204,0))*1,0)))</f>
        <v>0</v>
      </c>
      <c r="Z87" s="26">
        <f>IF(B87="","",IF(O87&lt;&gt;"",O87,IF(Y87&gt;=DepositThreshold,ROUND(Y87*DepositPercent,2),0)))</f>
        <v>0</v>
      </c>
      <c r="AA87" s="26">
        <f>IF(B87="","",ROUND(SUMIFS(Payments!$G$5:$G$1204,Payments!$I$5:$I$1204,A87,Payments!$E$5:$E$1204,"Deposit"),2))</f>
        <v>0</v>
      </c>
      <c r="AB87" s="26">
        <f>IF(B87="","",ROUND(SUMIFS(Sales!$Y$5:$Y$1204,Sales!$C$5:$C$1204,A87),2))</f>
        <v>0</v>
      </c>
      <c r="AC87" s="38">
        <f>IF(B87="","",IF(M87="Completed","Yes",IF(M87="Cancelled","Yes",IF(M87="No show","Yes","No"))))</f>
        <v>0</v>
      </c>
      <c r="AD87" s="25">
        <f>IF(B87="","",IF(AE87="","",B87-AE87))</f>
        <v>0</v>
      </c>
      <c r="AF87" s="38">
        <f>IF(B87="","",IF(M87&lt;&gt;"Completed","",IF(E87="","No",IF(COUNTIFS(Appointments!$E$5:$E$1204,E87,Appointments!$B$5:$B$1204,"&gt;"&amp;B87,Appointments!$M$5:$M$1204,"&lt;&gt;Cancelled")&gt;0,"Yes","No"))))</f>
        <v>0</v>
      </c>
      <c r="AG87" s="38">
        <f>IF(B87="","",IF(I87="","",IF(D87="","",IF(COUNTIFS($I$5:$I$1204,I87,$B$5:$B$1204,B87,$D$5:$D$1204,"&lt;"&amp;V87,$V$5:$V$1204,"&gt;"&amp;D87,$M$5:$M$1204,"&lt;&gt;Cancelled")&gt;1,"Clash",""))))</f>
        <v>0</v>
      </c>
      <c r="AH87" s="39">
        <f>IF(B87="","",IF(AG87="Clash","Clash - stylist double booked",IF(I87="","Assign - no stylist yet",IF(G87="","Add - no service chosen",IF(M87="No show","No show - charge the fee?",IF(M87="Cancelled","",IF(IF(M87="Completed",AB87&lt;Y87-0.004,FALSE),"Unpaid - nothing rung up for this visit",IF(IF(B87&lt;TodayDate,M87="Booked",FALSE),"Overdue - past date, still only Booked",IF(IF(B87=TodayDate,TRUE,FALSE),"Today",IF(IF(Z87&gt;0,AA87&lt;Z87-0.004,FALSE),"Due - deposit not taken",IF(IF(B87&gt;TodayDate,B87&lt;=TodayDate+2,FALSE),"Confirm - coming up","OK")))))))))))</f>
        <v>0</v>
      </c>
    </row>
    <row r="88" spans="1:34">
      <c r="A88" s="28">
        <f>IF(B88="","",AppointmentPrefix&amp;TEXT(ROW()-4,"0000"))</f>
        <v>0</v>
      </c>
      <c r="C88" s="15">
        <f>IF(B88="","",TEXT(B88,"ddd"))</f>
        <v>0</v>
      </c>
      <c r="F88" s="15">
        <f>IF(E88="","",IFERROR(INDEX(Clients!$B$5:$B$504,MATCH(E88,Clients!$A$5:$A$504,0)),"Walk-in"))</f>
        <v>0</v>
      </c>
      <c r="H88" s="15">
        <f>IF(G88="","",IFERROR(INDEX(Services!$B$5:$B$204,MATCH(G88,Services!$A$5:$A$204,0)),"Not in Services"))</f>
        <v>0</v>
      </c>
      <c r="J88" s="15">
        <f>IF(I88="","",IFERROR(INDEX(Staff!$B$5:$B$44,MATCH(I88,Staff!$A$5:$A$44,0)),"Unassigned"))</f>
        <v>0</v>
      </c>
      <c r="S88" s="15">
        <f>IF(B88="","",TEXT(B88,"yyyy-mm"))</f>
        <v>0</v>
      </c>
      <c r="T88" s="25">
        <f>IF(B88="","",WEEKNUM(B88,2))</f>
        <v>0</v>
      </c>
      <c r="U88" s="25">
        <f>IF(B88="","",IF(K88&lt;&gt;"",K88,IFERROR(INDEX(Services!$E$5:$E$204,MATCH(G88,Services!$A$5:$A$204,0))*1,0)+IFERROR(INDEX(Services!$F$5:$F$204,MATCH(G88,Services!$A$5:$A$204,0))*1,0)))</f>
        <v>0</v>
      </c>
      <c r="V88" s="36">
        <f>IF(B88="","",IF(D88="","",D88+U88/1440))</f>
        <v>0</v>
      </c>
      <c r="W88" s="25">
        <f>IF(B88="","",IF(D88="","",HOUR(D88)))</f>
        <v>0</v>
      </c>
      <c r="X88" s="37">
        <f>IF(B88="","",ROUND(U88/60,2))</f>
        <v>0</v>
      </c>
      <c r="Y88" s="26">
        <f>IF(B88="","",IF(L88&lt;&gt;"",L88,IFERROR(INDEX(Services!$G$5:$G$204,MATCH(G88,Services!$A$5:$A$204,0))*1,0)))</f>
        <v>0</v>
      </c>
      <c r="Z88" s="26">
        <f>IF(B88="","",IF(O88&lt;&gt;"",O88,IF(Y88&gt;=DepositThreshold,ROUND(Y88*DepositPercent,2),0)))</f>
        <v>0</v>
      </c>
      <c r="AA88" s="26">
        <f>IF(B88="","",ROUND(SUMIFS(Payments!$G$5:$G$1204,Payments!$I$5:$I$1204,A88,Payments!$E$5:$E$1204,"Deposit"),2))</f>
        <v>0</v>
      </c>
      <c r="AB88" s="26">
        <f>IF(B88="","",ROUND(SUMIFS(Sales!$Y$5:$Y$1204,Sales!$C$5:$C$1204,A88),2))</f>
        <v>0</v>
      </c>
      <c r="AC88" s="38">
        <f>IF(B88="","",IF(M88="Completed","Yes",IF(M88="Cancelled","Yes",IF(M88="No show","Yes","No"))))</f>
        <v>0</v>
      </c>
      <c r="AD88" s="25">
        <f>IF(B88="","",IF(AE88="","",B88-AE88))</f>
        <v>0</v>
      </c>
      <c r="AF88" s="38">
        <f>IF(B88="","",IF(M88&lt;&gt;"Completed","",IF(E88="","No",IF(COUNTIFS(Appointments!$E$5:$E$1204,E88,Appointments!$B$5:$B$1204,"&gt;"&amp;B88,Appointments!$M$5:$M$1204,"&lt;&gt;Cancelled")&gt;0,"Yes","No"))))</f>
        <v>0</v>
      </c>
      <c r="AG88" s="38">
        <f>IF(B88="","",IF(I88="","",IF(D88="","",IF(COUNTIFS($I$5:$I$1204,I88,$B$5:$B$1204,B88,$D$5:$D$1204,"&lt;"&amp;V88,$V$5:$V$1204,"&gt;"&amp;D88,$M$5:$M$1204,"&lt;&gt;Cancelled")&gt;1,"Clash",""))))</f>
        <v>0</v>
      </c>
      <c r="AH88" s="39">
        <f>IF(B88="","",IF(AG88="Clash","Clash - stylist double booked",IF(I88="","Assign - no stylist yet",IF(G88="","Add - no service chosen",IF(M88="No show","No show - charge the fee?",IF(M88="Cancelled","",IF(IF(M88="Completed",AB88&lt;Y88-0.004,FALSE),"Unpaid - nothing rung up for this visit",IF(IF(B88&lt;TodayDate,M88="Booked",FALSE),"Overdue - past date, still only Booked",IF(IF(B88=TodayDate,TRUE,FALSE),"Today",IF(IF(Z88&gt;0,AA88&lt;Z88-0.004,FALSE),"Due - deposit not taken",IF(IF(B88&gt;TodayDate,B88&lt;=TodayDate+2,FALSE),"Confirm - coming up","OK")))))))))))</f>
        <v>0</v>
      </c>
    </row>
    <row r="89" spans="1:34">
      <c r="A89" s="28">
        <f>IF(B89="","",AppointmentPrefix&amp;TEXT(ROW()-4,"0000"))</f>
        <v>0</v>
      </c>
      <c r="C89" s="15">
        <f>IF(B89="","",TEXT(B89,"ddd"))</f>
        <v>0</v>
      </c>
      <c r="F89" s="15">
        <f>IF(E89="","",IFERROR(INDEX(Clients!$B$5:$B$504,MATCH(E89,Clients!$A$5:$A$504,0)),"Walk-in"))</f>
        <v>0</v>
      </c>
      <c r="H89" s="15">
        <f>IF(G89="","",IFERROR(INDEX(Services!$B$5:$B$204,MATCH(G89,Services!$A$5:$A$204,0)),"Not in Services"))</f>
        <v>0</v>
      </c>
      <c r="J89" s="15">
        <f>IF(I89="","",IFERROR(INDEX(Staff!$B$5:$B$44,MATCH(I89,Staff!$A$5:$A$44,0)),"Unassigned"))</f>
        <v>0</v>
      </c>
      <c r="S89" s="15">
        <f>IF(B89="","",TEXT(B89,"yyyy-mm"))</f>
        <v>0</v>
      </c>
      <c r="T89" s="25">
        <f>IF(B89="","",WEEKNUM(B89,2))</f>
        <v>0</v>
      </c>
      <c r="U89" s="25">
        <f>IF(B89="","",IF(K89&lt;&gt;"",K89,IFERROR(INDEX(Services!$E$5:$E$204,MATCH(G89,Services!$A$5:$A$204,0))*1,0)+IFERROR(INDEX(Services!$F$5:$F$204,MATCH(G89,Services!$A$5:$A$204,0))*1,0)))</f>
        <v>0</v>
      </c>
      <c r="V89" s="36">
        <f>IF(B89="","",IF(D89="","",D89+U89/1440))</f>
        <v>0</v>
      </c>
      <c r="W89" s="25">
        <f>IF(B89="","",IF(D89="","",HOUR(D89)))</f>
        <v>0</v>
      </c>
      <c r="X89" s="37">
        <f>IF(B89="","",ROUND(U89/60,2))</f>
        <v>0</v>
      </c>
      <c r="Y89" s="26">
        <f>IF(B89="","",IF(L89&lt;&gt;"",L89,IFERROR(INDEX(Services!$G$5:$G$204,MATCH(G89,Services!$A$5:$A$204,0))*1,0)))</f>
        <v>0</v>
      </c>
      <c r="Z89" s="26">
        <f>IF(B89="","",IF(O89&lt;&gt;"",O89,IF(Y89&gt;=DepositThreshold,ROUND(Y89*DepositPercent,2),0)))</f>
        <v>0</v>
      </c>
      <c r="AA89" s="26">
        <f>IF(B89="","",ROUND(SUMIFS(Payments!$G$5:$G$1204,Payments!$I$5:$I$1204,A89,Payments!$E$5:$E$1204,"Deposit"),2))</f>
        <v>0</v>
      </c>
      <c r="AB89" s="26">
        <f>IF(B89="","",ROUND(SUMIFS(Sales!$Y$5:$Y$1204,Sales!$C$5:$C$1204,A89),2))</f>
        <v>0</v>
      </c>
      <c r="AC89" s="38">
        <f>IF(B89="","",IF(M89="Completed","Yes",IF(M89="Cancelled","Yes",IF(M89="No show","Yes","No"))))</f>
        <v>0</v>
      </c>
      <c r="AD89" s="25">
        <f>IF(B89="","",IF(AE89="","",B89-AE89))</f>
        <v>0</v>
      </c>
      <c r="AF89" s="38">
        <f>IF(B89="","",IF(M89&lt;&gt;"Completed","",IF(E89="","No",IF(COUNTIFS(Appointments!$E$5:$E$1204,E89,Appointments!$B$5:$B$1204,"&gt;"&amp;B89,Appointments!$M$5:$M$1204,"&lt;&gt;Cancelled")&gt;0,"Yes","No"))))</f>
        <v>0</v>
      </c>
      <c r="AG89" s="38">
        <f>IF(B89="","",IF(I89="","",IF(D89="","",IF(COUNTIFS($I$5:$I$1204,I89,$B$5:$B$1204,B89,$D$5:$D$1204,"&lt;"&amp;V89,$V$5:$V$1204,"&gt;"&amp;D89,$M$5:$M$1204,"&lt;&gt;Cancelled")&gt;1,"Clash",""))))</f>
        <v>0</v>
      </c>
      <c r="AH89" s="39">
        <f>IF(B89="","",IF(AG89="Clash","Clash - stylist double booked",IF(I89="","Assign - no stylist yet",IF(G89="","Add - no service chosen",IF(M89="No show","No show - charge the fee?",IF(M89="Cancelled","",IF(IF(M89="Completed",AB89&lt;Y89-0.004,FALSE),"Unpaid - nothing rung up for this visit",IF(IF(B89&lt;TodayDate,M89="Booked",FALSE),"Overdue - past date, still only Booked",IF(IF(B89=TodayDate,TRUE,FALSE),"Today",IF(IF(Z89&gt;0,AA89&lt;Z89-0.004,FALSE),"Due - deposit not taken",IF(IF(B89&gt;TodayDate,B89&lt;=TodayDate+2,FALSE),"Confirm - coming up","OK")))))))))))</f>
        <v>0</v>
      </c>
    </row>
    <row r="90" spans="1:34">
      <c r="A90" s="28">
        <f>IF(B90="","",AppointmentPrefix&amp;TEXT(ROW()-4,"0000"))</f>
        <v>0</v>
      </c>
      <c r="C90" s="15">
        <f>IF(B90="","",TEXT(B90,"ddd"))</f>
        <v>0</v>
      </c>
      <c r="F90" s="15">
        <f>IF(E90="","",IFERROR(INDEX(Clients!$B$5:$B$504,MATCH(E90,Clients!$A$5:$A$504,0)),"Walk-in"))</f>
        <v>0</v>
      </c>
      <c r="H90" s="15">
        <f>IF(G90="","",IFERROR(INDEX(Services!$B$5:$B$204,MATCH(G90,Services!$A$5:$A$204,0)),"Not in Services"))</f>
        <v>0</v>
      </c>
      <c r="J90" s="15">
        <f>IF(I90="","",IFERROR(INDEX(Staff!$B$5:$B$44,MATCH(I90,Staff!$A$5:$A$44,0)),"Unassigned"))</f>
        <v>0</v>
      </c>
      <c r="S90" s="15">
        <f>IF(B90="","",TEXT(B90,"yyyy-mm"))</f>
        <v>0</v>
      </c>
      <c r="T90" s="25">
        <f>IF(B90="","",WEEKNUM(B90,2))</f>
        <v>0</v>
      </c>
      <c r="U90" s="25">
        <f>IF(B90="","",IF(K90&lt;&gt;"",K90,IFERROR(INDEX(Services!$E$5:$E$204,MATCH(G90,Services!$A$5:$A$204,0))*1,0)+IFERROR(INDEX(Services!$F$5:$F$204,MATCH(G90,Services!$A$5:$A$204,0))*1,0)))</f>
        <v>0</v>
      </c>
      <c r="V90" s="36">
        <f>IF(B90="","",IF(D90="","",D90+U90/1440))</f>
        <v>0</v>
      </c>
      <c r="W90" s="25">
        <f>IF(B90="","",IF(D90="","",HOUR(D90)))</f>
        <v>0</v>
      </c>
      <c r="X90" s="37">
        <f>IF(B90="","",ROUND(U90/60,2))</f>
        <v>0</v>
      </c>
      <c r="Y90" s="26">
        <f>IF(B90="","",IF(L90&lt;&gt;"",L90,IFERROR(INDEX(Services!$G$5:$G$204,MATCH(G90,Services!$A$5:$A$204,0))*1,0)))</f>
        <v>0</v>
      </c>
      <c r="Z90" s="26">
        <f>IF(B90="","",IF(O90&lt;&gt;"",O90,IF(Y90&gt;=DepositThreshold,ROUND(Y90*DepositPercent,2),0)))</f>
        <v>0</v>
      </c>
      <c r="AA90" s="26">
        <f>IF(B90="","",ROUND(SUMIFS(Payments!$G$5:$G$1204,Payments!$I$5:$I$1204,A90,Payments!$E$5:$E$1204,"Deposit"),2))</f>
        <v>0</v>
      </c>
      <c r="AB90" s="26">
        <f>IF(B90="","",ROUND(SUMIFS(Sales!$Y$5:$Y$1204,Sales!$C$5:$C$1204,A90),2))</f>
        <v>0</v>
      </c>
      <c r="AC90" s="38">
        <f>IF(B90="","",IF(M90="Completed","Yes",IF(M90="Cancelled","Yes",IF(M90="No show","Yes","No"))))</f>
        <v>0</v>
      </c>
      <c r="AD90" s="25">
        <f>IF(B90="","",IF(AE90="","",B90-AE90))</f>
        <v>0</v>
      </c>
      <c r="AF90" s="38">
        <f>IF(B90="","",IF(M90&lt;&gt;"Completed","",IF(E90="","No",IF(COUNTIFS(Appointments!$E$5:$E$1204,E90,Appointments!$B$5:$B$1204,"&gt;"&amp;B90,Appointments!$M$5:$M$1204,"&lt;&gt;Cancelled")&gt;0,"Yes","No"))))</f>
        <v>0</v>
      </c>
      <c r="AG90" s="38">
        <f>IF(B90="","",IF(I90="","",IF(D90="","",IF(COUNTIFS($I$5:$I$1204,I90,$B$5:$B$1204,B90,$D$5:$D$1204,"&lt;"&amp;V90,$V$5:$V$1204,"&gt;"&amp;D90,$M$5:$M$1204,"&lt;&gt;Cancelled")&gt;1,"Clash",""))))</f>
        <v>0</v>
      </c>
      <c r="AH90" s="39">
        <f>IF(B90="","",IF(AG90="Clash","Clash - stylist double booked",IF(I90="","Assign - no stylist yet",IF(G90="","Add - no service chosen",IF(M90="No show","No show - charge the fee?",IF(M90="Cancelled","",IF(IF(M90="Completed",AB90&lt;Y90-0.004,FALSE),"Unpaid - nothing rung up for this visit",IF(IF(B90&lt;TodayDate,M90="Booked",FALSE),"Overdue - past date, still only Booked",IF(IF(B90=TodayDate,TRUE,FALSE),"Today",IF(IF(Z90&gt;0,AA90&lt;Z90-0.004,FALSE),"Due - deposit not taken",IF(IF(B90&gt;TodayDate,B90&lt;=TodayDate+2,FALSE),"Confirm - coming up","OK")))))))))))</f>
        <v>0</v>
      </c>
    </row>
    <row r="91" spans="1:34">
      <c r="A91" s="28">
        <f>IF(B91="","",AppointmentPrefix&amp;TEXT(ROW()-4,"0000"))</f>
        <v>0</v>
      </c>
      <c r="C91" s="15">
        <f>IF(B91="","",TEXT(B91,"ddd"))</f>
        <v>0</v>
      </c>
      <c r="F91" s="15">
        <f>IF(E91="","",IFERROR(INDEX(Clients!$B$5:$B$504,MATCH(E91,Clients!$A$5:$A$504,0)),"Walk-in"))</f>
        <v>0</v>
      </c>
      <c r="H91" s="15">
        <f>IF(G91="","",IFERROR(INDEX(Services!$B$5:$B$204,MATCH(G91,Services!$A$5:$A$204,0)),"Not in Services"))</f>
        <v>0</v>
      </c>
      <c r="J91" s="15">
        <f>IF(I91="","",IFERROR(INDEX(Staff!$B$5:$B$44,MATCH(I91,Staff!$A$5:$A$44,0)),"Unassigned"))</f>
        <v>0</v>
      </c>
      <c r="S91" s="15">
        <f>IF(B91="","",TEXT(B91,"yyyy-mm"))</f>
        <v>0</v>
      </c>
      <c r="T91" s="25">
        <f>IF(B91="","",WEEKNUM(B91,2))</f>
        <v>0</v>
      </c>
      <c r="U91" s="25">
        <f>IF(B91="","",IF(K91&lt;&gt;"",K91,IFERROR(INDEX(Services!$E$5:$E$204,MATCH(G91,Services!$A$5:$A$204,0))*1,0)+IFERROR(INDEX(Services!$F$5:$F$204,MATCH(G91,Services!$A$5:$A$204,0))*1,0)))</f>
        <v>0</v>
      </c>
      <c r="V91" s="36">
        <f>IF(B91="","",IF(D91="","",D91+U91/1440))</f>
        <v>0</v>
      </c>
      <c r="W91" s="25">
        <f>IF(B91="","",IF(D91="","",HOUR(D91)))</f>
        <v>0</v>
      </c>
      <c r="X91" s="37">
        <f>IF(B91="","",ROUND(U91/60,2))</f>
        <v>0</v>
      </c>
      <c r="Y91" s="26">
        <f>IF(B91="","",IF(L91&lt;&gt;"",L91,IFERROR(INDEX(Services!$G$5:$G$204,MATCH(G91,Services!$A$5:$A$204,0))*1,0)))</f>
        <v>0</v>
      </c>
      <c r="Z91" s="26">
        <f>IF(B91="","",IF(O91&lt;&gt;"",O91,IF(Y91&gt;=DepositThreshold,ROUND(Y91*DepositPercent,2),0)))</f>
        <v>0</v>
      </c>
      <c r="AA91" s="26">
        <f>IF(B91="","",ROUND(SUMIFS(Payments!$G$5:$G$1204,Payments!$I$5:$I$1204,A91,Payments!$E$5:$E$1204,"Deposit"),2))</f>
        <v>0</v>
      </c>
      <c r="AB91" s="26">
        <f>IF(B91="","",ROUND(SUMIFS(Sales!$Y$5:$Y$1204,Sales!$C$5:$C$1204,A91),2))</f>
        <v>0</v>
      </c>
      <c r="AC91" s="38">
        <f>IF(B91="","",IF(M91="Completed","Yes",IF(M91="Cancelled","Yes",IF(M91="No show","Yes","No"))))</f>
        <v>0</v>
      </c>
      <c r="AD91" s="25">
        <f>IF(B91="","",IF(AE91="","",B91-AE91))</f>
        <v>0</v>
      </c>
      <c r="AF91" s="38">
        <f>IF(B91="","",IF(M91&lt;&gt;"Completed","",IF(E91="","No",IF(COUNTIFS(Appointments!$E$5:$E$1204,E91,Appointments!$B$5:$B$1204,"&gt;"&amp;B91,Appointments!$M$5:$M$1204,"&lt;&gt;Cancelled")&gt;0,"Yes","No"))))</f>
        <v>0</v>
      </c>
      <c r="AG91" s="38">
        <f>IF(B91="","",IF(I91="","",IF(D91="","",IF(COUNTIFS($I$5:$I$1204,I91,$B$5:$B$1204,B91,$D$5:$D$1204,"&lt;"&amp;V91,$V$5:$V$1204,"&gt;"&amp;D91,$M$5:$M$1204,"&lt;&gt;Cancelled")&gt;1,"Clash",""))))</f>
        <v>0</v>
      </c>
      <c r="AH91" s="39">
        <f>IF(B91="","",IF(AG91="Clash","Clash - stylist double booked",IF(I91="","Assign - no stylist yet",IF(G91="","Add - no service chosen",IF(M91="No show","No show - charge the fee?",IF(M91="Cancelled","",IF(IF(M91="Completed",AB91&lt;Y91-0.004,FALSE),"Unpaid - nothing rung up for this visit",IF(IF(B91&lt;TodayDate,M91="Booked",FALSE),"Overdue - past date, still only Booked",IF(IF(B91=TodayDate,TRUE,FALSE),"Today",IF(IF(Z91&gt;0,AA91&lt;Z91-0.004,FALSE),"Due - deposit not taken",IF(IF(B91&gt;TodayDate,B91&lt;=TodayDate+2,FALSE),"Confirm - coming up","OK")))))))))))</f>
        <v>0</v>
      </c>
    </row>
    <row r="92" spans="1:34">
      <c r="A92" s="28">
        <f>IF(B92="","",AppointmentPrefix&amp;TEXT(ROW()-4,"0000"))</f>
        <v>0</v>
      </c>
      <c r="C92" s="15">
        <f>IF(B92="","",TEXT(B92,"ddd"))</f>
        <v>0</v>
      </c>
      <c r="F92" s="15">
        <f>IF(E92="","",IFERROR(INDEX(Clients!$B$5:$B$504,MATCH(E92,Clients!$A$5:$A$504,0)),"Walk-in"))</f>
        <v>0</v>
      </c>
      <c r="H92" s="15">
        <f>IF(G92="","",IFERROR(INDEX(Services!$B$5:$B$204,MATCH(G92,Services!$A$5:$A$204,0)),"Not in Services"))</f>
        <v>0</v>
      </c>
      <c r="J92" s="15">
        <f>IF(I92="","",IFERROR(INDEX(Staff!$B$5:$B$44,MATCH(I92,Staff!$A$5:$A$44,0)),"Unassigned"))</f>
        <v>0</v>
      </c>
      <c r="S92" s="15">
        <f>IF(B92="","",TEXT(B92,"yyyy-mm"))</f>
        <v>0</v>
      </c>
      <c r="T92" s="25">
        <f>IF(B92="","",WEEKNUM(B92,2))</f>
        <v>0</v>
      </c>
      <c r="U92" s="25">
        <f>IF(B92="","",IF(K92&lt;&gt;"",K92,IFERROR(INDEX(Services!$E$5:$E$204,MATCH(G92,Services!$A$5:$A$204,0))*1,0)+IFERROR(INDEX(Services!$F$5:$F$204,MATCH(G92,Services!$A$5:$A$204,0))*1,0)))</f>
        <v>0</v>
      </c>
      <c r="V92" s="36">
        <f>IF(B92="","",IF(D92="","",D92+U92/1440))</f>
        <v>0</v>
      </c>
      <c r="W92" s="25">
        <f>IF(B92="","",IF(D92="","",HOUR(D92)))</f>
        <v>0</v>
      </c>
      <c r="X92" s="37">
        <f>IF(B92="","",ROUND(U92/60,2))</f>
        <v>0</v>
      </c>
      <c r="Y92" s="26">
        <f>IF(B92="","",IF(L92&lt;&gt;"",L92,IFERROR(INDEX(Services!$G$5:$G$204,MATCH(G92,Services!$A$5:$A$204,0))*1,0)))</f>
        <v>0</v>
      </c>
      <c r="Z92" s="26">
        <f>IF(B92="","",IF(O92&lt;&gt;"",O92,IF(Y92&gt;=DepositThreshold,ROUND(Y92*DepositPercent,2),0)))</f>
        <v>0</v>
      </c>
      <c r="AA92" s="26">
        <f>IF(B92="","",ROUND(SUMIFS(Payments!$G$5:$G$1204,Payments!$I$5:$I$1204,A92,Payments!$E$5:$E$1204,"Deposit"),2))</f>
        <v>0</v>
      </c>
      <c r="AB92" s="26">
        <f>IF(B92="","",ROUND(SUMIFS(Sales!$Y$5:$Y$1204,Sales!$C$5:$C$1204,A92),2))</f>
        <v>0</v>
      </c>
      <c r="AC92" s="38">
        <f>IF(B92="","",IF(M92="Completed","Yes",IF(M92="Cancelled","Yes",IF(M92="No show","Yes","No"))))</f>
        <v>0</v>
      </c>
      <c r="AD92" s="25">
        <f>IF(B92="","",IF(AE92="","",B92-AE92))</f>
        <v>0</v>
      </c>
      <c r="AF92" s="38">
        <f>IF(B92="","",IF(M92&lt;&gt;"Completed","",IF(E92="","No",IF(COUNTIFS(Appointments!$E$5:$E$1204,E92,Appointments!$B$5:$B$1204,"&gt;"&amp;B92,Appointments!$M$5:$M$1204,"&lt;&gt;Cancelled")&gt;0,"Yes","No"))))</f>
        <v>0</v>
      </c>
      <c r="AG92" s="38">
        <f>IF(B92="","",IF(I92="","",IF(D92="","",IF(COUNTIFS($I$5:$I$1204,I92,$B$5:$B$1204,B92,$D$5:$D$1204,"&lt;"&amp;V92,$V$5:$V$1204,"&gt;"&amp;D92,$M$5:$M$1204,"&lt;&gt;Cancelled")&gt;1,"Clash",""))))</f>
        <v>0</v>
      </c>
      <c r="AH92" s="39">
        <f>IF(B92="","",IF(AG92="Clash","Clash - stylist double booked",IF(I92="","Assign - no stylist yet",IF(G92="","Add - no service chosen",IF(M92="No show","No show - charge the fee?",IF(M92="Cancelled","",IF(IF(M92="Completed",AB92&lt;Y92-0.004,FALSE),"Unpaid - nothing rung up for this visit",IF(IF(B92&lt;TodayDate,M92="Booked",FALSE),"Overdue - past date, still only Booked",IF(IF(B92=TodayDate,TRUE,FALSE),"Today",IF(IF(Z92&gt;0,AA92&lt;Z92-0.004,FALSE),"Due - deposit not taken",IF(IF(B92&gt;TodayDate,B92&lt;=TodayDate+2,FALSE),"Confirm - coming up","OK")))))))))))</f>
        <v>0</v>
      </c>
    </row>
    <row r="93" spans="1:34">
      <c r="A93" s="28">
        <f>IF(B93="","",AppointmentPrefix&amp;TEXT(ROW()-4,"0000"))</f>
        <v>0</v>
      </c>
      <c r="C93" s="15">
        <f>IF(B93="","",TEXT(B93,"ddd"))</f>
        <v>0</v>
      </c>
      <c r="F93" s="15">
        <f>IF(E93="","",IFERROR(INDEX(Clients!$B$5:$B$504,MATCH(E93,Clients!$A$5:$A$504,0)),"Walk-in"))</f>
        <v>0</v>
      </c>
      <c r="H93" s="15">
        <f>IF(G93="","",IFERROR(INDEX(Services!$B$5:$B$204,MATCH(G93,Services!$A$5:$A$204,0)),"Not in Services"))</f>
        <v>0</v>
      </c>
      <c r="J93" s="15">
        <f>IF(I93="","",IFERROR(INDEX(Staff!$B$5:$B$44,MATCH(I93,Staff!$A$5:$A$44,0)),"Unassigned"))</f>
        <v>0</v>
      </c>
      <c r="S93" s="15">
        <f>IF(B93="","",TEXT(B93,"yyyy-mm"))</f>
        <v>0</v>
      </c>
      <c r="T93" s="25">
        <f>IF(B93="","",WEEKNUM(B93,2))</f>
        <v>0</v>
      </c>
      <c r="U93" s="25">
        <f>IF(B93="","",IF(K93&lt;&gt;"",K93,IFERROR(INDEX(Services!$E$5:$E$204,MATCH(G93,Services!$A$5:$A$204,0))*1,0)+IFERROR(INDEX(Services!$F$5:$F$204,MATCH(G93,Services!$A$5:$A$204,0))*1,0)))</f>
        <v>0</v>
      </c>
      <c r="V93" s="36">
        <f>IF(B93="","",IF(D93="","",D93+U93/1440))</f>
        <v>0</v>
      </c>
      <c r="W93" s="25">
        <f>IF(B93="","",IF(D93="","",HOUR(D93)))</f>
        <v>0</v>
      </c>
      <c r="X93" s="37">
        <f>IF(B93="","",ROUND(U93/60,2))</f>
        <v>0</v>
      </c>
      <c r="Y93" s="26">
        <f>IF(B93="","",IF(L93&lt;&gt;"",L93,IFERROR(INDEX(Services!$G$5:$G$204,MATCH(G93,Services!$A$5:$A$204,0))*1,0)))</f>
        <v>0</v>
      </c>
      <c r="Z93" s="26">
        <f>IF(B93="","",IF(O93&lt;&gt;"",O93,IF(Y93&gt;=DepositThreshold,ROUND(Y93*DepositPercent,2),0)))</f>
        <v>0</v>
      </c>
      <c r="AA93" s="26">
        <f>IF(B93="","",ROUND(SUMIFS(Payments!$G$5:$G$1204,Payments!$I$5:$I$1204,A93,Payments!$E$5:$E$1204,"Deposit"),2))</f>
        <v>0</v>
      </c>
      <c r="AB93" s="26">
        <f>IF(B93="","",ROUND(SUMIFS(Sales!$Y$5:$Y$1204,Sales!$C$5:$C$1204,A93),2))</f>
        <v>0</v>
      </c>
      <c r="AC93" s="38">
        <f>IF(B93="","",IF(M93="Completed","Yes",IF(M93="Cancelled","Yes",IF(M93="No show","Yes","No"))))</f>
        <v>0</v>
      </c>
      <c r="AD93" s="25">
        <f>IF(B93="","",IF(AE93="","",B93-AE93))</f>
        <v>0</v>
      </c>
      <c r="AF93" s="38">
        <f>IF(B93="","",IF(M93&lt;&gt;"Completed","",IF(E93="","No",IF(COUNTIFS(Appointments!$E$5:$E$1204,E93,Appointments!$B$5:$B$1204,"&gt;"&amp;B93,Appointments!$M$5:$M$1204,"&lt;&gt;Cancelled")&gt;0,"Yes","No"))))</f>
        <v>0</v>
      </c>
      <c r="AG93" s="38">
        <f>IF(B93="","",IF(I93="","",IF(D93="","",IF(COUNTIFS($I$5:$I$1204,I93,$B$5:$B$1204,B93,$D$5:$D$1204,"&lt;"&amp;V93,$V$5:$V$1204,"&gt;"&amp;D93,$M$5:$M$1204,"&lt;&gt;Cancelled")&gt;1,"Clash",""))))</f>
        <v>0</v>
      </c>
      <c r="AH93" s="39">
        <f>IF(B93="","",IF(AG93="Clash","Clash - stylist double booked",IF(I93="","Assign - no stylist yet",IF(G93="","Add - no service chosen",IF(M93="No show","No show - charge the fee?",IF(M93="Cancelled","",IF(IF(M93="Completed",AB93&lt;Y93-0.004,FALSE),"Unpaid - nothing rung up for this visit",IF(IF(B93&lt;TodayDate,M93="Booked",FALSE),"Overdue - past date, still only Booked",IF(IF(B93=TodayDate,TRUE,FALSE),"Today",IF(IF(Z93&gt;0,AA93&lt;Z93-0.004,FALSE),"Due - deposit not taken",IF(IF(B93&gt;TodayDate,B93&lt;=TodayDate+2,FALSE),"Confirm - coming up","OK")))))))))))</f>
        <v>0</v>
      </c>
    </row>
    <row r="94" spans="1:34">
      <c r="A94" s="28">
        <f>IF(B94="","",AppointmentPrefix&amp;TEXT(ROW()-4,"0000"))</f>
        <v>0</v>
      </c>
      <c r="C94" s="15">
        <f>IF(B94="","",TEXT(B94,"ddd"))</f>
        <v>0</v>
      </c>
      <c r="F94" s="15">
        <f>IF(E94="","",IFERROR(INDEX(Clients!$B$5:$B$504,MATCH(E94,Clients!$A$5:$A$504,0)),"Walk-in"))</f>
        <v>0</v>
      </c>
      <c r="H94" s="15">
        <f>IF(G94="","",IFERROR(INDEX(Services!$B$5:$B$204,MATCH(G94,Services!$A$5:$A$204,0)),"Not in Services"))</f>
        <v>0</v>
      </c>
      <c r="J94" s="15">
        <f>IF(I94="","",IFERROR(INDEX(Staff!$B$5:$B$44,MATCH(I94,Staff!$A$5:$A$44,0)),"Unassigned"))</f>
        <v>0</v>
      </c>
      <c r="S94" s="15">
        <f>IF(B94="","",TEXT(B94,"yyyy-mm"))</f>
        <v>0</v>
      </c>
      <c r="T94" s="25">
        <f>IF(B94="","",WEEKNUM(B94,2))</f>
        <v>0</v>
      </c>
      <c r="U94" s="25">
        <f>IF(B94="","",IF(K94&lt;&gt;"",K94,IFERROR(INDEX(Services!$E$5:$E$204,MATCH(G94,Services!$A$5:$A$204,0))*1,0)+IFERROR(INDEX(Services!$F$5:$F$204,MATCH(G94,Services!$A$5:$A$204,0))*1,0)))</f>
        <v>0</v>
      </c>
      <c r="V94" s="36">
        <f>IF(B94="","",IF(D94="","",D94+U94/1440))</f>
        <v>0</v>
      </c>
      <c r="W94" s="25">
        <f>IF(B94="","",IF(D94="","",HOUR(D94)))</f>
        <v>0</v>
      </c>
      <c r="X94" s="37">
        <f>IF(B94="","",ROUND(U94/60,2))</f>
        <v>0</v>
      </c>
      <c r="Y94" s="26">
        <f>IF(B94="","",IF(L94&lt;&gt;"",L94,IFERROR(INDEX(Services!$G$5:$G$204,MATCH(G94,Services!$A$5:$A$204,0))*1,0)))</f>
        <v>0</v>
      </c>
      <c r="Z94" s="26">
        <f>IF(B94="","",IF(O94&lt;&gt;"",O94,IF(Y94&gt;=DepositThreshold,ROUND(Y94*DepositPercent,2),0)))</f>
        <v>0</v>
      </c>
      <c r="AA94" s="26">
        <f>IF(B94="","",ROUND(SUMIFS(Payments!$G$5:$G$1204,Payments!$I$5:$I$1204,A94,Payments!$E$5:$E$1204,"Deposit"),2))</f>
        <v>0</v>
      </c>
      <c r="AB94" s="26">
        <f>IF(B94="","",ROUND(SUMIFS(Sales!$Y$5:$Y$1204,Sales!$C$5:$C$1204,A94),2))</f>
        <v>0</v>
      </c>
      <c r="AC94" s="38">
        <f>IF(B94="","",IF(M94="Completed","Yes",IF(M94="Cancelled","Yes",IF(M94="No show","Yes","No"))))</f>
        <v>0</v>
      </c>
      <c r="AD94" s="25">
        <f>IF(B94="","",IF(AE94="","",B94-AE94))</f>
        <v>0</v>
      </c>
      <c r="AF94" s="38">
        <f>IF(B94="","",IF(M94&lt;&gt;"Completed","",IF(E94="","No",IF(COUNTIFS(Appointments!$E$5:$E$1204,E94,Appointments!$B$5:$B$1204,"&gt;"&amp;B94,Appointments!$M$5:$M$1204,"&lt;&gt;Cancelled")&gt;0,"Yes","No"))))</f>
        <v>0</v>
      </c>
      <c r="AG94" s="38">
        <f>IF(B94="","",IF(I94="","",IF(D94="","",IF(COUNTIFS($I$5:$I$1204,I94,$B$5:$B$1204,B94,$D$5:$D$1204,"&lt;"&amp;V94,$V$5:$V$1204,"&gt;"&amp;D94,$M$5:$M$1204,"&lt;&gt;Cancelled")&gt;1,"Clash",""))))</f>
        <v>0</v>
      </c>
      <c r="AH94" s="39">
        <f>IF(B94="","",IF(AG94="Clash","Clash - stylist double booked",IF(I94="","Assign - no stylist yet",IF(G94="","Add - no service chosen",IF(M94="No show","No show - charge the fee?",IF(M94="Cancelled","",IF(IF(M94="Completed",AB94&lt;Y94-0.004,FALSE),"Unpaid - nothing rung up for this visit",IF(IF(B94&lt;TodayDate,M94="Booked",FALSE),"Overdue - past date, still only Booked",IF(IF(B94=TodayDate,TRUE,FALSE),"Today",IF(IF(Z94&gt;0,AA94&lt;Z94-0.004,FALSE),"Due - deposit not taken",IF(IF(B94&gt;TodayDate,B94&lt;=TodayDate+2,FALSE),"Confirm - coming up","OK")))))))))))</f>
        <v>0</v>
      </c>
    </row>
    <row r="95" spans="1:34">
      <c r="A95" s="28">
        <f>IF(B95="","",AppointmentPrefix&amp;TEXT(ROW()-4,"0000"))</f>
        <v>0</v>
      </c>
      <c r="C95" s="15">
        <f>IF(B95="","",TEXT(B95,"ddd"))</f>
        <v>0</v>
      </c>
      <c r="F95" s="15">
        <f>IF(E95="","",IFERROR(INDEX(Clients!$B$5:$B$504,MATCH(E95,Clients!$A$5:$A$504,0)),"Walk-in"))</f>
        <v>0</v>
      </c>
      <c r="H95" s="15">
        <f>IF(G95="","",IFERROR(INDEX(Services!$B$5:$B$204,MATCH(G95,Services!$A$5:$A$204,0)),"Not in Services"))</f>
        <v>0</v>
      </c>
      <c r="J95" s="15">
        <f>IF(I95="","",IFERROR(INDEX(Staff!$B$5:$B$44,MATCH(I95,Staff!$A$5:$A$44,0)),"Unassigned"))</f>
        <v>0</v>
      </c>
      <c r="S95" s="15">
        <f>IF(B95="","",TEXT(B95,"yyyy-mm"))</f>
        <v>0</v>
      </c>
      <c r="T95" s="25">
        <f>IF(B95="","",WEEKNUM(B95,2))</f>
        <v>0</v>
      </c>
      <c r="U95" s="25">
        <f>IF(B95="","",IF(K95&lt;&gt;"",K95,IFERROR(INDEX(Services!$E$5:$E$204,MATCH(G95,Services!$A$5:$A$204,0))*1,0)+IFERROR(INDEX(Services!$F$5:$F$204,MATCH(G95,Services!$A$5:$A$204,0))*1,0)))</f>
        <v>0</v>
      </c>
      <c r="V95" s="36">
        <f>IF(B95="","",IF(D95="","",D95+U95/1440))</f>
        <v>0</v>
      </c>
      <c r="W95" s="25">
        <f>IF(B95="","",IF(D95="","",HOUR(D95)))</f>
        <v>0</v>
      </c>
      <c r="X95" s="37">
        <f>IF(B95="","",ROUND(U95/60,2))</f>
        <v>0</v>
      </c>
      <c r="Y95" s="26">
        <f>IF(B95="","",IF(L95&lt;&gt;"",L95,IFERROR(INDEX(Services!$G$5:$G$204,MATCH(G95,Services!$A$5:$A$204,0))*1,0)))</f>
        <v>0</v>
      </c>
      <c r="Z95" s="26">
        <f>IF(B95="","",IF(O95&lt;&gt;"",O95,IF(Y95&gt;=DepositThreshold,ROUND(Y95*DepositPercent,2),0)))</f>
        <v>0</v>
      </c>
      <c r="AA95" s="26">
        <f>IF(B95="","",ROUND(SUMIFS(Payments!$G$5:$G$1204,Payments!$I$5:$I$1204,A95,Payments!$E$5:$E$1204,"Deposit"),2))</f>
        <v>0</v>
      </c>
      <c r="AB95" s="26">
        <f>IF(B95="","",ROUND(SUMIFS(Sales!$Y$5:$Y$1204,Sales!$C$5:$C$1204,A95),2))</f>
        <v>0</v>
      </c>
      <c r="AC95" s="38">
        <f>IF(B95="","",IF(M95="Completed","Yes",IF(M95="Cancelled","Yes",IF(M95="No show","Yes","No"))))</f>
        <v>0</v>
      </c>
      <c r="AD95" s="25">
        <f>IF(B95="","",IF(AE95="","",B95-AE95))</f>
        <v>0</v>
      </c>
      <c r="AF95" s="38">
        <f>IF(B95="","",IF(M95&lt;&gt;"Completed","",IF(E95="","No",IF(COUNTIFS(Appointments!$E$5:$E$1204,E95,Appointments!$B$5:$B$1204,"&gt;"&amp;B95,Appointments!$M$5:$M$1204,"&lt;&gt;Cancelled")&gt;0,"Yes","No"))))</f>
        <v>0</v>
      </c>
      <c r="AG95" s="38">
        <f>IF(B95="","",IF(I95="","",IF(D95="","",IF(COUNTIFS($I$5:$I$1204,I95,$B$5:$B$1204,B95,$D$5:$D$1204,"&lt;"&amp;V95,$V$5:$V$1204,"&gt;"&amp;D95,$M$5:$M$1204,"&lt;&gt;Cancelled")&gt;1,"Clash",""))))</f>
        <v>0</v>
      </c>
      <c r="AH95" s="39">
        <f>IF(B95="","",IF(AG95="Clash","Clash - stylist double booked",IF(I95="","Assign - no stylist yet",IF(G95="","Add - no service chosen",IF(M95="No show","No show - charge the fee?",IF(M95="Cancelled","",IF(IF(M95="Completed",AB95&lt;Y95-0.004,FALSE),"Unpaid - nothing rung up for this visit",IF(IF(B95&lt;TodayDate,M95="Booked",FALSE),"Overdue - past date, still only Booked",IF(IF(B95=TodayDate,TRUE,FALSE),"Today",IF(IF(Z95&gt;0,AA95&lt;Z95-0.004,FALSE),"Due - deposit not taken",IF(IF(B95&gt;TodayDate,B95&lt;=TodayDate+2,FALSE),"Confirm - coming up","OK")))))))))))</f>
        <v>0</v>
      </c>
    </row>
    <row r="96" spans="1:34">
      <c r="A96" s="28">
        <f>IF(B96="","",AppointmentPrefix&amp;TEXT(ROW()-4,"0000"))</f>
        <v>0</v>
      </c>
      <c r="C96" s="15">
        <f>IF(B96="","",TEXT(B96,"ddd"))</f>
        <v>0</v>
      </c>
      <c r="F96" s="15">
        <f>IF(E96="","",IFERROR(INDEX(Clients!$B$5:$B$504,MATCH(E96,Clients!$A$5:$A$504,0)),"Walk-in"))</f>
        <v>0</v>
      </c>
      <c r="H96" s="15">
        <f>IF(G96="","",IFERROR(INDEX(Services!$B$5:$B$204,MATCH(G96,Services!$A$5:$A$204,0)),"Not in Services"))</f>
        <v>0</v>
      </c>
      <c r="J96" s="15">
        <f>IF(I96="","",IFERROR(INDEX(Staff!$B$5:$B$44,MATCH(I96,Staff!$A$5:$A$44,0)),"Unassigned"))</f>
        <v>0</v>
      </c>
      <c r="S96" s="15">
        <f>IF(B96="","",TEXT(B96,"yyyy-mm"))</f>
        <v>0</v>
      </c>
      <c r="T96" s="25">
        <f>IF(B96="","",WEEKNUM(B96,2))</f>
        <v>0</v>
      </c>
      <c r="U96" s="25">
        <f>IF(B96="","",IF(K96&lt;&gt;"",K96,IFERROR(INDEX(Services!$E$5:$E$204,MATCH(G96,Services!$A$5:$A$204,0))*1,0)+IFERROR(INDEX(Services!$F$5:$F$204,MATCH(G96,Services!$A$5:$A$204,0))*1,0)))</f>
        <v>0</v>
      </c>
      <c r="V96" s="36">
        <f>IF(B96="","",IF(D96="","",D96+U96/1440))</f>
        <v>0</v>
      </c>
      <c r="W96" s="25">
        <f>IF(B96="","",IF(D96="","",HOUR(D96)))</f>
        <v>0</v>
      </c>
      <c r="X96" s="37">
        <f>IF(B96="","",ROUND(U96/60,2))</f>
        <v>0</v>
      </c>
      <c r="Y96" s="26">
        <f>IF(B96="","",IF(L96&lt;&gt;"",L96,IFERROR(INDEX(Services!$G$5:$G$204,MATCH(G96,Services!$A$5:$A$204,0))*1,0)))</f>
        <v>0</v>
      </c>
      <c r="Z96" s="26">
        <f>IF(B96="","",IF(O96&lt;&gt;"",O96,IF(Y96&gt;=DepositThreshold,ROUND(Y96*DepositPercent,2),0)))</f>
        <v>0</v>
      </c>
      <c r="AA96" s="26">
        <f>IF(B96="","",ROUND(SUMIFS(Payments!$G$5:$G$1204,Payments!$I$5:$I$1204,A96,Payments!$E$5:$E$1204,"Deposit"),2))</f>
        <v>0</v>
      </c>
      <c r="AB96" s="26">
        <f>IF(B96="","",ROUND(SUMIFS(Sales!$Y$5:$Y$1204,Sales!$C$5:$C$1204,A96),2))</f>
        <v>0</v>
      </c>
      <c r="AC96" s="38">
        <f>IF(B96="","",IF(M96="Completed","Yes",IF(M96="Cancelled","Yes",IF(M96="No show","Yes","No"))))</f>
        <v>0</v>
      </c>
      <c r="AD96" s="25">
        <f>IF(B96="","",IF(AE96="","",B96-AE96))</f>
        <v>0</v>
      </c>
      <c r="AF96" s="38">
        <f>IF(B96="","",IF(M96&lt;&gt;"Completed","",IF(E96="","No",IF(COUNTIFS(Appointments!$E$5:$E$1204,E96,Appointments!$B$5:$B$1204,"&gt;"&amp;B96,Appointments!$M$5:$M$1204,"&lt;&gt;Cancelled")&gt;0,"Yes","No"))))</f>
        <v>0</v>
      </c>
      <c r="AG96" s="38">
        <f>IF(B96="","",IF(I96="","",IF(D96="","",IF(COUNTIFS($I$5:$I$1204,I96,$B$5:$B$1204,B96,$D$5:$D$1204,"&lt;"&amp;V96,$V$5:$V$1204,"&gt;"&amp;D96,$M$5:$M$1204,"&lt;&gt;Cancelled")&gt;1,"Clash",""))))</f>
        <v>0</v>
      </c>
      <c r="AH96" s="39">
        <f>IF(B96="","",IF(AG96="Clash","Clash - stylist double booked",IF(I96="","Assign - no stylist yet",IF(G96="","Add - no service chosen",IF(M96="No show","No show - charge the fee?",IF(M96="Cancelled","",IF(IF(M96="Completed",AB96&lt;Y96-0.004,FALSE),"Unpaid - nothing rung up for this visit",IF(IF(B96&lt;TodayDate,M96="Booked",FALSE),"Overdue - past date, still only Booked",IF(IF(B96=TodayDate,TRUE,FALSE),"Today",IF(IF(Z96&gt;0,AA96&lt;Z96-0.004,FALSE),"Due - deposit not taken",IF(IF(B96&gt;TodayDate,B96&lt;=TodayDate+2,FALSE),"Confirm - coming up","OK")))))))))))</f>
        <v>0</v>
      </c>
    </row>
    <row r="97" spans="1:34">
      <c r="A97" s="28">
        <f>IF(B97="","",AppointmentPrefix&amp;TEXT(ROW()-4,"0000"))</f>
        <v>0</v>
      </c>
      <c r="C97" s="15">
        <f>IF(B97="","",TEXT(B97,"ddd"))</f>
        <v>0</v>
      </c>
      <c r="F97" s="15">
        <f>IF(E97="","",IFERROR(INDEX(Clients!$B$5:$B$504,MATCH(E97,Clients!$A$5:$A$504,0)),"Walk-in"))</f>
        <v>0</v>
      </c>
      <c r="H97" s="15">
        <f>IF(G97="","",IFERROR(INDEX(Services!$B$5:$B$204,MATCH(G97,Services!$A$5:$A$204,0)),"Not in Services"))</f>
        <v>0</v>
      </c>
      <c r="J97" s="15">
        <f>IF(I97="","",IFERROR(INDEX(Staff!$B$5:$B$44,MATCH(I97,Staff!$A$5:$A$44,0)),"Unassigned"))</f>
        <v>0</v>
      </c>
      <c r="S97" s="15">
        <f>IF(B97="","",TEXT(B97,"yyyy-mm"))</f>
        <v>0</v>
      </c>
      <c r="T97" s="25">
        <f>IF(B97="","",WEEKNUM(B97,2))</f>
        <v>0</v>
      </c>
      <c r="U97" s="25">
        <f>IF(B97="","",IF(K97&lt;&gt;"",K97,IFERROR(INDEX(Services!$E$5:$E$204,MATCH(G97,Services!$A$5:$A$204,0))*1,0)+IFERROR(INDEX(Services!$F$5:$F$204,MATCH(G97,Services!$A$5:$A$204,0))*1,0)))</f>
        <v>0</v>
      </c>
      <c r="V97" s="36">
        <f>IF(B97="","",IF(D97="","",D97+U97/1440))</f>
        <v>0</v>
      </c>
      <c r="W97" s="25">
        <f>IF(B97="","",IF(D97="","",HOUR(D97)))</f>
        <v>0</v>
      </c>
      <c r="X97" s="37">
        <f>IF(B97="","",ROUND(U97/60,2))</f>
        <v>0</v>
      </c>
      <c r="Y97" s="26">
        <f>IF(B97="","",IF(L97&lt;&gt;"",L97,IFERROR(INDEX(Services!$G$5:$G$204,MATCH(G97,Services!$A$5:$A$204,0))*1,0)))</f>
        <v>0</v>
      </c>
      <c r="Z97" s="26">
        <f>IF(B97="","",IF(O97&lt;&gt;"",O97,IF(Y97&gt;=DepositThreshold,ROUND(Y97*DepositPercent,2),0)))</f>
        <v>0</v>
      </c>
      <c r="AA97" s="26">
        <f>IF(B97="","",ROUND(SUMIFS(Payments!$G$5:$G$1204,Payments!$I$5:$I$1204,A97,Payments!$E$5:$E$1204,"Deposit"),2))</f>
        <v>0</v>
      </c>
      <c r="AB97" s="26">
        <f>IF(B97="","",ROUND(SUMIFS(Sales!$Y$5:$Y$1204,Sales!$C$5:$C$1204,A97),2))</f>
        <v>0</v>
      </c>
      <c r="AC97" s="38">
        <f>IF(B97="","",IF(M97="Completed","Yes",IF(M97="Cancelled","Yes",IF(M97="No show","Yes","No"))))</f>
        <v>0</v>
      </c>
      <c r="AD97" s="25">
        <f>IF(B97="","",IF(AE97="","",B97-AE97))</f>
        <v>0</v>
      </c>
      <c r="AF97" s="38">
        <f>IF(B97="","",IF(M97&lt;&gt;"Completed","",IF(E97="","No",IF(COUNTIFS(Appointments!$E$5:$E$1204,E97,Appointments!$B$5:$B$1204,"&gt;"&amp;B97,Appointments!$M$5:$M$1204,"&lt;&gt;Cancelled")&gt;0,"Yes","No"))))</f>
        <v>0</v>
      </c>
      <c r="AG97" s="38">
        <f>IF(B97="","",IF(I97="","",IF(D97="","",IF(COUNTIFS($I$5:$I$1204,I97,$B$5:$B$1204,B97,$D$5:$D$1204,"&lt;"&amp;V97,$V$5:$V$1204,"&gt;"&amp;D97,$M$5:$M$1204,"&lt;&gt;Cancelled")&gt;1,"Clash",""))))</f>
        <v>0</v>
      </c>
      <c r="AH97" s="39">
        <f>IF(B97="","",IF(AG97="Clash","Clash - stylist double booked",IF(I97="","Assign - no stylist yet",IF(G97="","Add - no service chosen",IF(M97="No show","No show - charge the fee?",IF(M97="Cancelled","",IF(IF(M97="Completed",AB97&lt;Y97-0.004,FALSE),"Unpaid - nothing rung up for this visit",IF(IF(B97&lt;TodayDate,M97="Booked",FALSE),"Overdue - past date, still only Booked",IF(IF(B97=TodayDate,TRUE,FALSE),"Today",IF(IF(Z97&gt;0,AA97&lt;Z97-0.004,FALSE),"Due - deposit not taken",IF(IF(B97&gt;TodayDate,B97&lt;=TodayDate+2,FALSE),"Confirm - coming up","OK")))))))))))</f>
        <v>0</v>
      </c>
    </row>
    <row r="98" spans="1:34">
      <c r="A98" s="28">
        <f>IF(B98="","",AppointmentPrefix&amp;TEXT(ROW()-4,"0000"))</f>
        <v>0</v>
      </c>
      <c r="C98" s="15">
        <f>IF(B98="","",TEXT(B98,"ddd"))</f>
        <v>0</v>
      </c>
      <c r="F98" s="15">
        <f>IF(E98="","",IFERROR(INDEX(Clients!$B$5:$B$504,MATCH(E98,Clients!$A$5:$A$504,0)),"Walk-in"))</f>
        <v>0</v>
      </c>
      <c r="H98" s="15">
        <f>IF(G98="","",IFERROR(INDEX(Services!$B$5:$B$204,MATCH(G98,Services!$A$5:$A$204,0)),"Not in Services"))</f>
        <v>0</v>
      </c>
      <c r="J98" s="15">
        <f>IF(I98="","",IFERROR(INDEX(Staff!$B$5:$B$44,MATCH(I98,Staff!$A$5:$A$44,0)),"Unassigned"))</f>
        <v>0</v>
      </c>
      <c r="S98" s="15">
        <f>IF(B98="","",TEXT(B98,"yyyy-mm"))</f>
        <v>0</v>
      </c>
      <c r="T98" s="25">
        <f>IF(B98="","",WEEKNUM(B98,2))</f>
        <v>0</v>
      </c>
      <c r="U98" s="25">
        <f>IF(B98="","",IF(K98&lt;&gt;"",K98,IFERROR(INDEX(Services!$E$5:$E$204,MATCH(G98,Services!$A$5:$A$204,0))*1,0)+IFERROR(INDEX(Services!$F$5:$F$204,MATCH(G98,Services!$A$5:$A$204,0))*1,0)))</f>
        <v>0</v>
      </c>
      <c r="V98" s="36">
        <f>IF(B98="","",IF(D98="","",D98+U98/1440))</f>
        <v>0</v>
      </c>
      <c r="W98" s="25">
        <f>IF(B98="","",IF(D98="","",HOUR(D98)))</f>
        <v>0</v>
      </c>
      <c r="X98" s="37">
        <f>IF(B98="","",ROUND(U98/60,2))</f>
        <v>0</v>
      </c>
      <c r="Y98" s="26">
        <f>IF(B98="","",IF(L98&lt;&gt;"",L98,IFERROR(INDEX(Services!$G$5:$G$204,MATCH(G98,Services!$A$5:$A$204,0))*1,0)))</f>
        <v>0</v>
      </c>
      <c r="Z98" s="26">
        <f>IF(B98="","",IF(O98&lt;&gt;"",O98,IF(Y98&gt;=DepositThreshold,ROUND(Y98*DepositPercent,2),0)))</f>
        <v>0</v>
      </c>
      <c r="AA98" s="26">
        <f>IF(B98="","",ROUND(SUMIFS(Payments!$G$5:$G$1204,Payments!$I$5:$I$1204,A98,Payments!$E$5:$E$1204,"Deposit"),2))</f>
        <v>0</v>
      </c>
      <c r="AB98" s="26">
        <f>IF(B98="","",ROUND(SUMIFS(Sales!$Y$5:$Y$1204,Sales!$C$5:$C$1204,A98),2))</f>
        <v>0</v>
      </c>
      <c r="AC98" s="38">
        <f>IF(B98="","",IF(M98="Completed","Yes",IF(M98="Cancelled","Yes",IF(M98="No show","Yes","No"))))</f>
        <v>0</v>
      </c>
      <c r="AD98" s="25">
        <f>IF(B98="","",IF(AE98="","",B98-AE98))</f>
        <v>0</v>
      </c>
      <c r="AF98" s="38">
        <f>IF(B98="","",IF(M98&lt;&gt;"Completed","",IF(E98="","No",IF(COUNTIFS(Appointments!$E$5:$E$1204,E98,Appointments!$B$5:$B$1204,"&gt;"&amp;B98,Appointments!$M$5:$M$1204,"&lt;&gt;Cancelled")&gt;0,"Yes","No"))))</f>
        <v>0</v>
      </c>
      <c r="AG98" s="38">
        <f>IF(B98="","",IF(I98="","",IF(D98="","",IF(COUNTIFS($I$5:$I$1204,I98,$B$5:$B$1204,B98,$D$5:$D$1204,"&lt;"&amp;V98,$V$5:$V$1204,"&gt;"&amp;D98,$M$5:$M$1204,"&lt;&gt;Cancelled")&gt;1,"Clash",""))))</f>
        <v>0</v>
      </c>
      <c r="AH98" s="39">
        <f>IF(B98="","",IF(AG98="Clash","Clash - stylist double booked",IF(I98="","Assign - no stylist yet",IF(G98="","Add - no service chosen",IF(M98="No show","No show - charge the fee?",IF(M98="Cancelled","",IF(IF(M98="Completed",AB98&lt;Y98-0.004,FALSE),"Unpaid - nothing rung up for this visit",IF(IF(B98&lt;TodayDate,M98="Booked",FALSE),"Overdue - past date, still only Booked",IF(IF(B98=TodayDate,TRUE,FALSE),"Today",IF(IF(Z98&gt;0,AA98&lt;Z98-0.004,FALSE),"Due - deposit not taken",IF(IF(B98&gt;TodayDate,B98&lt;=TodayDate+2,FALSE),"Confirm - coming up","OK")))))))))))</f>
        <v>0</v>
      </c>
    </row>
    <row r="99" spans="1:34">
      <c r="A99" s="28">
        <f>IF(B99="","",AppointmentPrefix&amp;TEXT(ROW()-4,"0000"))</f>
        <v>0</v>
      </c>
      <c r="C99" s="15">
        <f>IF(B99="","",TEXT(B99,"ddd"))</f>
        <v>0</v>
      </c>
      <c r="F99" s="15">
        <f>IF(E99="","",IFERROR(INDEX(Clients!$B$5:$B$504,MATCH(E99,Clients!$A$5:$A$504,0)),"Walk-in"))</f>
        <v>0</v>
      </c>
      <c r="H99" s="15">
        <f>IF(G99="","",IFERROR(INDEX(Services!$B$5:$B$204,MATCH(G99,Services!$A$5:$A$204,0)),"Not in Services"))</f>
        <v>0</v>
      </c>
      <c r="J99" s="15">
        <f>IF(I99="","",IFERROR(INDEX(Staff!$B$5:$B$44,MATCH(I99,Staff!$A$5:$A$44,0)),"Unassigned"))</f>
        <v>0</v>
      </c>
      <c r="S99" s="15">
        <f>IF(B99="","",TEXT(B99,"yyyy-mm"))</f>
        <v>0</v>
      </c>
      <c r="T99" s="25">
        <f>IF(B99="","",WEEKNUM(B99,2))</f>
        <v>0</v>
      </c>
      <c r="U99" s="25">
        <f>IF(B99="","",IF(K99&lt;&gt;"",K99,IFERROR(INDEX(Services!$E$5:$E$204,MATCH(G99,Services!$A$5:$A$204,0))*1,0)+IFERROR(INDEX(Services!$F$5:$F$204,MATCH(G99,Services!$A$5:$A$204,0))*1,0)))</f>
        <v>0</v>
      </c>
      <c r="V99" s="36">
        <f>IF(B99="","",IF(D99="","",D99+U99/1440))</f>
        <v>0</v>
      </c>
      <c r="W99" s="25">
        <f>IF(B99="","",IF(D99="","",HOUR(D99)))</f>
        <v>0</v>
      </c>
      <c r="X99" s="37">
        <f>IF(B99="","",ROUND(U99/60,2))</f>
        <v>0</v>
      </c>
      <c r="Y99" s="26">
        <f>IF(B99="","",IF(L99&lt;&gt;"",L99,IFERROR(INDEX(Services!$G$5:$G$204,MATCH(G99,Services!$A$5:$A$204,0))*1,0)))</f>
        <v>0</v>
      </c>
      <c r="Z99" s="26">
        <f>IF(B99="","",IF(O99&lt;&gt;"",O99,IF(Y99&gt;=DepositThreshold,ROUND(Y99*DepositPercent,2),0)))</f>
        <v>0</v>
      </c>
      <c r="AA99" s="26">
        <f>IF(B99="","",ROUND(SUMIFS(Payments!$G$5:$G$1204,Payments!$I$5:$I$1204,A99,Payments!$E$5:$E$1204,"Deposit"),2))</f>
        <v>0</v>
      </c>
      <c r="AB99" s="26">
        <f>IF(B99="","",ROUND(SUMIFS(Sales!$Y$5:$Y$1204,Sales!$C$5:$C$1204,A99),2))</f>
        <v>0</v>
      </c>
      <c r="AC99" s="38">
        <f>IF(B99="","",IF(M99="Completed","Yes",IF(M99="Cancelled","Yes",IF(M99="No show","Yes","No"))))</f>
        <v>0</v>
      </c>
      <c r="AD99" s="25">
        <f>IF(B99="","",IF(AE99="","",B99-AE99))</f>
        <v>0</v>
      </c>
      <c r="AF99" s="38">
        <f>IF(B99="","",IF(M99&lt;&gt;"Completed","",IF(E99="","No",IF(COUNTIFS(Appointments!$E$5:$E$1204,E99,Appointments!$B$5:$B$1204,"&gt;"&amp;B99,Appointments!$M$5:$M$1204,"&lt;&gt;Cancelled")&gt;0,"Yes","No"))))</f>
        <v>0</v>
      </c>
      <c r="AG99" s="38">
        <f>IF(B99="","",IF(I99="","",IF(D99="","",IF(COUNTIFS($I$5:$I$1204,I99,$B$5:$B$1204,B99,$D$5:$D$1204,"&lt;"&amp;V99,$V$5:$V$1204,"&gt;"&amp;D99,$M$5:$M$1204,"&lt;&gt;Cancelled")&gt;1,"Clash",""))))</f>
        <v>0</v>
      </c>
      <c r="AH99" s="39">
        <f>IF(B99="","",IF(AG99="Clash","Clash - stylist double booked",IF(I99="","Assign - no stylist yet",IF(G99="","Add - no service chosen",IF(M99="No show","No show - charge the fee?",IF(M99="Cancelled","",IF(IF(M99="Completed",AB99&lt;Y99-0.004,FALSE),"Unpaid - nothing rung up for this visit",IF(IF(B99&lt;TodayDate,M99="Booked",FALSE),"Overdue - past date, still only Booked",IF(IF(B99=TodayDate,TRUE,FALSE),"Today",IF(IF(Z99&gt;0,AA99&lt;Z99-0.004,FALSE),"Due - deposit not taken",IF(IF(B99&gt;TodayDate,B99&lt;=TodayDate+2,FALSE),"Confirm - coming up","OK")))))))))))</f>
        <v>0</v>
      </c>
    </row>
    <row r="100" spans="1:34">
      <c r="A100" s="28">
        <f>IF(B100="","",AppointmentPrefix&amp;TEXT(ROW()-4,"0000"))</f>
        <v>0</v>
      </c>
      <c r="C100" s="15">
        <f>IF(B100="","",TEXT(B100,"ddd"))</f>
        <v>0</v>
      </c>
      <c r="F100" s="15">
        <f>IF(E100="","",IFERROR(INDEX(Clients!$B$5:$B$504,MATCH(E100,Clients!$A$5:$A$504,0)),"Walk-in"))</f>
        <v>0</v>
      </c>
      <c r="H100" s="15">
        <f>IF(G100="","",IFERROR(INDEX(Services!$B$5:$B$204,MATCH(G100,Services!$A$5:$A$204,0)),"Not in Services"))</f>
        <v>0</v>
      </c>
      <c r="J100" s="15">
        <f>IF(I100="","",IFERROR(INDEX(Staff!$B$5:$B$44,MATCH(I100,Staff!$A$5:$A$44,0)),"Unassigned"))</f>
        <v>0</v>
      </c>
      <c r="S100" s="15">
        <f>IF(B100="","",TEXT(B100,"yyyy-mm"))</f>
        <v>0</v>
      </c>
      <c r="T100" s="25">
        <f>IF(B100="","",WEEKNUM(B100,2))</f>
        <v>0</v>
      </c>
      <c r="U100" s="25">
        <f>IF(B100="","",IF(K100&lt;&gt;"",K100,IFERROR(INDEX(Services!$E$5:$E$204,MATCH(G100,Services!$A$5:$A$204,0))*1,0)+IFERROR(INDEX(Services!$F$5:$F$204,MATCH(G100,Services!$A$5:$A$204,0))*1,0)))</f>
        <v>0</v>
      </c>
      <c r="V100" s="36">
        <f>IF(B100="","",IF(D100="","",D100+U100/1440))</f>
        <v>0</v>
      </c>
      <c r="W100" s="25">
        <f>IF(B100="","",IF(D100="","",HOUR(D100)))</f>
        <v>0</v>
      </c>
      <c r="X100" s="37">
        <f>IF(B100="","",ROUND(U100/60,2))</f>
        <v>0</v>
      </c>
      <c r="Y100" s="26">
        <f>IF(B100="","",IF(L100&lt;&gt;"",L100,IFERROR(INDEX(Services!$G$5:$G$204,MATCH(G100,Services!$A$5:$A$204,0))*1,0)))</f>
        <v>0</v>
      </c>
      <c r="Z100" s="26">
        <f>IF(B100="","",IF(O100&lt;&gt;"",O100,IF(Y100&gt;=DepositThreshold,ROUND(Y100*DepositPercent,2),0)))</f>
        <v>0</v>
      </c>
      <c r="AA100" s="26">
        <f>IF(B100="","",ROUND(SUMIFS(Payments!$G$5:$G$1204,Payments!$I$5:$I$1204,A100,Payments!$E$5:$E$1204,"Deposit"),2))</f>
        <v>0</v>
      </c>
      <c r="AB100" s="26">
        <f>IF(B100="","",ROUND(SUMIFS(Sales!$Y$5:$Y$1204,Sales!$C$5:$C$1204,A100),2))</f>
        <v>0</v>
      </c>
      <c r="AC100" s="38">
        <f>IF(B100="","",IF(M100="Completed","Yes",IF(M100="Cancelled","Yes",IF(M100="No show","Yes","No"))))</f>
        <v>0</v>
      </c>
      <c r="AD100" s="25">
        <f>IF(B100="","",IF(AE100="","",B100-AE100))</f>
        <v>0</v>
      </c>
      <c r="AF100" s="38">
        <f>IF(B100="","",IF(M100&lt;&gt;"Completed","",IF(E100="","No",IF(COUNTIFS(Appointments!$E$5:$E$1204,E100,Appointments!$B$5:$B$1204,"&gt;"&amp;B100,Appointments!$M$5:$M$1204,"&lt;&gt;Cancelled")&gt;0,"Yes","No"))))</f>
        <v>0</v>
      </c>
      <c r="AG100" s="38">
        <f>IF(B100="","",IF(I100="","",IF(D100="","",IF(COUNTIFS($I$5:$I$1204,I100,$B$5:$B$1204,B100,$D$5:$D$1204,"&lt;"&amp;V100,$V$5:$V$1204,"&gt;"&amp;D100,$M$5:$M$1204,"&lt;&gt;Cancelled")&gt;1,"Clash",""))))</f>
        <v>0</v>
      </c>
      <c r="AH100" s="39">
        <f>IF(B100="","",IF(AG100="Clash","Clash - stylist double booked",IF(I100="","Assign - no stylist yet",IF(G100="","Add - no service chosen",IF(M100="No show","No show - charge the fee?",IF(M100="Cancelled","",IF(IF(M100="Completed",AB100&lt;Y100-0.004,FALSE),"Unpaid - nothing rung up for this visit",IF(IF(B100&lt;TodayDate,M100="Booked",FALSE),"Overdue - past date, still only Booked",IF(IF(B100=TodayDate,TRUE,FALSE),"Today",IF(IF(Z100&gt;0,AA100&lt;Z100-0.004,FALSE),"Due - deposit not taken",IF(IF(B100&gt;TodayDate,B100&lt;=TodayDate+2,FALSE),"Confirm - coming up","OK")))))))))))</f>
        <v>0</v>
      </c>
    </row>
    <row r="101" spans="1:34">
      <c r="A101" s="28">
        <f>IF(B101="","",AppointmentPrefix&amp;TEXT(ROW()-4,"0000"))</f>
        <v>0</v>
      </c>
      <c r="C101" s="15">
        <f>IF(B101="","",TEXT(B101,"ddd"))</f>
        <v>0</v>
      </c>
      <c r="F101" s="15">
        <f>IF(E101="","",IFERROR(INDEX(Clients!$B$5:$B$504,MATCH(E101,Clients!$A$5:$A$504,0)),"Walk-in"))</f>
        <v>0</v>
      </c>
      <c r="H101" s="15">
        <f>IF(G101="","",IFERROR(INDEX(Services!$B$5:$B$204,MATCH(G101,Services!$A$5:$A$204,0)),"Not in Services"))</f>
        <v>0</v>
      </c>
      <c r="J101" s="15">
        <f>IF(I101="","",IFERROR(INDEX(Staff!$B$5:$B$44,MATCH(I101,Staff!$A$5:$A$44,0)),"Unassigned"))</f>
        <v>0</v>
      </c>
      <c r="S101" s="15">
        <f>IF(B101="","",TEXT(B101,"yyyy-mm"))</f>
        <v>0</v>
      </c>
      <c r="T101" s="25">
        <f>IF(B101="","",WEEKNUM(B101,2))</f>
        <v>0</v>
      </c>
      <c r="U101" s="25">
        <f>IF(B101="","",IF(K101&lt;&gt;"",K101,IFERROR(INDEX(Services!$E$5:$E$204,MATCH(G101,Services!$A$5:$A$204,0))*1,0)+IFERROR(INDEX(Services!$F$5:$F$204,MATCH(G101,Services!$A$5:$A$204,0))*1,0)))</f>
        <v>0</v>
      </c>
      <c r="V101" s="36">
        <f>IF(B101="","",IF(D101="","",D101+U101/1440))</f>
        <v>0</v>
      </c>
      <c r="W101" s="25">
        <f>IF(B101="","",IF(D101="","",HOUR(D101)))</f>
        <v>0</v>
      </c>
      <c r="X101" s="37">
        <f>IF(B101="","",ROUND(U101/60,2))</f>
        <v>0</v>
      </c>
      <c r="Y101" s="26">
        <f>IF(B101="","",IF(L101&lt;&gt;"",L101,IFERROR(INDEX(Services!$G$5:$G$204,MATCH(G101,Services!$A$5:$A$204,0))*1,0)))</f>
        <v>0</v>
      </c>
      <c r="Z101" s="26">
        <f>IF(B101="","",IF(O101&lt;&gt;"",O101,IF(Y101&gt;=DepositThreshold,ROUND(Y101*DepositPercent,2),0)))</f>
        <v>0</v>
      </c>
      <c r="AA101" s="26">
        <f>IF(B101="","",ROUND(SUMIFS(Payments!$G$5:$G$1204,Payments!$I$5:$I$1204,A101,Payments!$E$5:$E$1204,"Deposit"),2))</f>
        <v>0</v>
      </c>
      <c r="AB101" s="26">
        <f>IF(B101="","",ROUND(SUMIFS(Sales!$Y$5:$Y$1204,Sales!$C$5:$C$1204,A101),2))</f>
        <v>0</v>
      </c>
      <c r="AC101" s="38">
        <f>IF(B101="","",IF(M101="Completed","Yes",IF(M101="Cancelled","Yes",IF(M101="No show","Yes","No"))))</f>
        <v>0</v>
      </c>
      <c r="AD101" s="25">
        <f>IF(B101="","",IF(AE101="","",B101-AE101))</f>
        <v>0</v>
      </c>
      <c r="AF101" s="38">
        <f>IF(B101="","",IF(M101&lt;&gt;"Completed","",IF(E101="","No",IF(COUNTIFS(Appointments!$E$5:$E$1204,E101,Appointments!$B$5:$B$1204,"&gt;"&amp;B101,Appointments!$M$5:$M$1204,"&lt;&gt;Cancelled")&gt;0,"Yes","No"))))</f>
        <v>0</v>
      </c>
      <c r="AG101" s="38">
        <f>IF(B101="","",IF(I101="","",IF(D101="","",IF(COUNTIFS($I$5:$I$1204,I101,$B$5:$B$1204,B101,$D$5:$D$1204,"&lt;"&amp;V101,$V$5:$V$1204,"&gt;"&amp;D101,$M$5:$M$1204,"&lt;&gt;Cancelled")&gt;1,"Clash",""))))</f>
        <v>0</v>
      </c>
      <c r="AH101" s="39">
        <f>IF(B101="","",IF(AG101="Clash","Clash - stylist double booked",IF(I101="","Assign - no stylist yet",IF(G101="","Add - no service chosen",IF(M101="No show","No show - charge the fee?",IF(M101="Cancelled","",IF(IF(M101="Completed",AB101&lt;Y101-0.004,FALSE),"Unpaid - nothing rung up for this visit",IF(IF(B101&lt;TodayDate,M101="Booked",FALSE),"Overdue - past date, still only Booked",IF(IF(B101=TodayDate,TRUE,FALSE),"Today",IF(IF(Z101&gt;0,AA101&lt;Z101-0.004,FALSE),"Due - deposit not taken",IF(IF(B101&gt;TodayDate,B101&lt;=TodayDate+2,FALSE),"Confirm - coming up","OK")))))))))))</f>
        <v>0</v>
      </c>
    </row>
    <row r="102" spans="1:34">
      <c r="A102" s="28">
        <f>IF(B102="","",AppointmentPrefix&amp;TEXT(ROW()-4,"0000"))</f>
        <v>0</v>
      </c>
      <c r="C102" s="15">
        <f>IF(B102="","",TEXT(B102,"ddd"))</f>
        <v>0</v>
      </c>
      <c r="F102" s="15">
        <f>IF(E102="","",IFERROR(INDEX(Clients!$B$5:$B$504,MATCH(E102,Clients!$A$5:$A$504,0)),"Walk-in"))</f>
        <v>0</v>
      </c>
      <c r="H102" s="15">
        <f>IF(G102="","",IFERROR(INDEX(Services!$B$5:$B$204,MATCH(G102,Services!$A$5:$A$204,0)),"Not in Services"))</f>
        <v>0</v>
      </c>
      <c r="J102" s="15">
        <f>IF(I102="","",IFERROR(INDEX(Staff!$B$5:$B$44,MATCH(I102,Staff!$A$5:$A$44,0)),"Unassigned"))</f>
        <v>0</v>
      </c>
      <c r="S102" s="15">
        <f>IF(B102="","",TEXT(B102,"yyyy-mm"))</f>
        <v>0</v>
      </c>
      <c r="T102" s="25">
        <f>IF(B102="","",WEEKNUM(B102,2))</f>
        <v>0</v>
      </c>
      <c r="U102" s="25">
        <f>IF(B102="","",IF(K102&lt;&gt;"",K102,IFERROR(INDEX(Services!$E$5:$E$204,MATCH(G102,Services!$A$5:$A$204,0))*1,0)+IFERROR(INDEX(Services!$F$5:$F$204,MATCH(G102,Services!$A$5:$A$204,0))*1,0)))</f>
        <v>0</v>
      </c>
      <c r="V102" s="36">
        <f>IF(B102="","",IF(D102="","",D102+U102/1440))</f>
        <v>0</v>
      </c>
      <c r="W102" s="25">
        <f>IF(B102="","",IF(D102="","",HOUR(D102)))</f>
        <v>0</v>
      </c>
      <c r="X102" s="37">
        <f>IF(B102="","",ROUND(U102/60,2))</f>
        <v>0</v>
      </c>
      <c r="Y102" s="26">
        <f>IF(B102="","",IF(L102&lt;&gt;"",L102,IFERROR(INDEX(Services!$G$5:$G$204,MATCH(G102,Services!$A$5:$A$204,0))*1,0)))</f>
        <v>0</v>
      </c>
      <c r="Z102" s="26">
        <f>IF(B102="","",IF(O102&lt;&gt;"",O102,IF(Y102&gt;=DepositThreshold,ROUND(Y102*DepositPercent,2),0)))</f>
        <v>0</v>
      </c>
      <c r="AA102" s="26">
        <f>IF(B102="","",ROUND(SUMIFS(Payments!$G$5:$G$1204,Payments!$I$5:$I$1204,A102,Payments!$E$5:$E$1204,"Deposit"),2))</f>
        <v>0</v>
      </c>
      <c r="AB102" s="26">
        <f>IF(B102="","",ROUND(SUMIFS(Sales!$Y$5:$Y$1204,Sales!$C$5:$C$1204,A102),2))</f>
        <v>0</v>
      </c>
      <c r="AC102" s="38">
        <f>IF(B102="","",IF(M102="Completed","Yes",IF(M102="Cancelled","Yes",IF(M102="No show","Yes","No"))))</f>
        <v>0</v>
      </c>
      <c r="AD102" s="25">
        <f>IF(B102="","",IF(AE102="","",B102-AE102))</f>
        <v>0</v>
      </c>
      <c r="AF102" s="38">
        <f>IF(B102="","",IF(M102&lt;&gt;"Completed","",IF(E102="","No",IF(COUNTIFS(Appointments!$E$5:$E$1204,E102,Appointments!$B$5:$B$1204,"&gt;"&amp;B102,Appointments!$M$5:$M$1204,"&lt;&gt;Cancelled")&gt;0,"Yes","No"))))</f>
        <v>0</v>
      </c>
      <c r="AG102" s="38">
        <f>IF(B102="","",IF(I102="","",IF(D102="","",IF(COUNTIFS($I$5:$I$1204,I102,$B$5:$B$1204,B102,$D$5:$D$1204,"&lt;"&amp;V102,$V$5:$V$1204,"&gt;"&amp;D102,$M$5:$M$1204,"&lt;&gt;Cancelled")&gt;1,"Clash",""))))</f>
        <v>0</v>
      </c>
      <c r="AH102" s="39">
        <f>IF(B102="","",IF(AG102="Clash","Clash - stylist double booked",IF(I102="","Assign - no stylist yet",IF(G102="","Add - no service chosen",IF(M102="No show","No show - charge the fee?",IF(M102="Cancelled","",IF(IF(M102="Completed",AB102&lt;Y102-0.004,FALSE),"Unpaid - nothing rung up for this visit",IF(IF(B102&lt;TodayDate,M102="Booked",FALSE),"Overdue - past date, still only Booked",IF(IF(B102=TodayDate,TRUE,FALSE),"Today",IF(IF(Z102&gt;0,AA102&lt;Z102-0.004,FALSE),"Due - deposit not taken",IF(IF(B102&gt;TodayDate,B102&lt;=TodayDate+2,FALSE),"Confirm - coming up","OK")))))))))))</f>
        <v>0</v>
      </c>
    </row>
    <row r="103" spans="1:34">
      <c r="A103" s="28">
        <f>IF(B103="","",AppointmentPrefix&amp;TEXT(ROW()-4,"0000"))</f>
        <v>0</v>
      </c>
      <c r="C103" s="15">
        <f>IF(B103="","",TEXT(B103,"ddd"))</f>
        <v>0</v>
      </c>
      <c r="F103" s="15">
        <f>IF(E103="","",IFERROR(INDEX(Clients!$B$5:$B$504,MATCH(E103,Clients!$A$5:$A$504,0)),"Walk-in"))</f>
        <v>0</v>
      </c>
      <c r="H103" s="15">
        <f>IF(G103="","",IFERROR(INDEX(Services!$B$5:$B$204,MATCH(G103,Services!$A$5:$A$204,0)),"Not in Services"))</f>
        <v>0</v>
      </c>
      <c r="J103" s="15">
        <f>IF(I103="","",IFERROR(INDEX(Staff!$B$5:$B$44,MATCH(I103,Staff!$A$5:$A$44,0)),"Unassigned"))</f>
        <v>0</v>
      </c>
      <c r="S103" s="15">
        <f>IF(B103="","",TEXT(B103,"yyyy-mm"))</f>
        <v>0</v>
      </c>
      <c r="T103" s="25">
        <f>IF(B103="","",WEEKNUM(B103,2))</f>
        <v>0</v>
      </c>
      <c r="U103" s="25">
        <f>IF(B103="","",IF(K103&lt;&gt;"",K103,IFERROR(INDEX(Services!$E$5:$E$204,MATCH(G103,Services!$A$5:$A$204,0))*1,0)+IFERROR(INDEX(Services!$F$5:$F$204,MATCH(G103,Services!$A$5:$A$204,0))*1,0)))</f>
        <v>0</v>
      </c>
      <c r="V103" s="36">
        <f>IF(B103="","",IF(D103="","",D103+U103/1440))</f>
        <v>0</v>
      </c>
      <c r="W103" s="25">
        <f>IF(B103="","",IF(D103="","",HOUR(D103)))</f>
        <v>0</v>
      </c>
      <c r="X103" s="37">
        <f>IF(B103="","",ROUND(U103/60,2))</f>
        <v>0</v>
      </c>
      <c r="Y103" s="26">
        <f>IF(B103="","",IF(L103&lt;&gt;"",L103,IFERROR(INDEX(Services!$G$5:$G$204,MATCH(G103,Services!$A$5:$A$204,0))*1,0)))</f>
        <v>0</v>
      </c>
      <c r="Z103" s="26">
        <f>IF(B103="","",IF(O103&lt;&gt;"",O103,IF(Y103&gt;=DepositThreshold,ROUND(Y103*DepositPercent,2),0)))</f>
        <v>0</v>
      </c>
      <c r="AA103" s="26">
        <f>IF(B103="","",ROUND(SUMIFS(Payments!$G$5:$G$1204,Payments!$I$5:$I$1204,A103,Payments!$E$5:$E$1204,"Deposit"),2))</f>
        <v>0</v>
      </c>
      <c r="AB103" s="26">
        <f>IF(B103="","",ROUND(SUMIFS(Sales!$Y$5:$Y$1204,Sales!$C$5:$C$1204,A103),2))</f>
        <v>0</v>
      </c>
      <c r="AC103" s="38">
        <f>IF(B103="","",IF(M103="Completed","Yes",IF(M103="Cancelled","Yes",IF(M103="No show","Yes","No"))))</f>
        <v>0</v>
      </c>
      <c r="AD103" s="25">
        <f>IF(B103="","",IF(AE103="","",B103-AE103))</f>
        <v>0</v>
      </c>
      <c r="AF103" s="38">
        <f>IF(B103="","",IF(M103&lt;&gt;"Completed","",IF(E103="","No",IF(COUNTIFS(Appointments!$E$5:$E$1204,E103,Appointments!$B$5:$B$1204,"&gt;"&amp;B103,Appointments!$M$5:$M$1204,"&lt;&gt;Cancelled")&gt;0,"Yes","No"))))</f>
        <v>0</v>
      </c>
      <c r="AG103" s="38">
        <f>IF(B103="","",IF(I103="","",IF(D103="","",IF(COUNTIFS($I$5:$I$1204,I103,$B$5:$B$1204,B103,$D$5:$D$1204,"&lt;"&amp;V103,$V$5:$V$1204,"&gt;"&amp;D103,$M$5:$M$1204,"&lt;&gt;Cancelled")&gt;1,"Clash",""))))</f>
        <v>0</v>
      </c>
      <c r="AH103" s="39">
        <f>IF(B103="","",IF(AG103="Clash","Clash - stylist double booked",IF(I103="","Assign - no stylist yet",IF(G103="","Add - no service chosen",IF(M103="No show","No show - charge the fee?",IF(M103="Cancelled","",IF(IF(M103="Completed",AB103&lt;Y103-0.004,FALSE),"Unpaid - nothing rung up for this visit",IF(IF(B103&lt;TodayDate,M103="Booked",FALSE),"Overdue - past date, still only Booked",IF(IF(B103=TodayDate,TRUE,FALSE),"Today",IF(IF(Z103&gt;0,AA103&lt;Z103-0.004,FALSE),"Due - deposit not taken",IF(IF(B103&gt;TodayDate,B103&lt;=TodayDate+2,FALSE),"Confirm - coming up","OK")))))))))))</f>
        <v>0</v>
      </c>
    </row>
    <row r="104" spans="1:34">
      <c r="A104" s="28">
        <f>IF(B104="","",AppointmentPrefix&amp;TEXT(ROW()-4,"0000"))</f>
        <v>0</v>
      </c>
      <c r="C104" s="15">
        <f>IF(B104="","",TEXT(B104,"ddd"))</f>
        <v>0</v>
      </c>
      <c r="F104" s="15">
        <f>IF(E104="","",IFERROR(INDEX(Clients!$B$5:$B$504,MATCH(E104,Clients!$A$5:$A$504,0)),"Walk-in"))</f>
        <v>0</v>
      </c>
      <c r="H104" s="15">
        <f>IF(G104="","",IFERROR(INDEX(Services!$B$5:$B$204,MATCH(G104,Services!$A$5:$A$204,0)),"Not in Services"))</f>
        <v>0</v>
      </c>
      <c r="J104" s="15">
        <f>IF(I104="","",IFERROR(INDEX(Staff!$B$5:$B$44,MATCH(I104,Staff!$A$5:$A$44,0)),"Unassigned"))</f>
        <v>0</v>
      </c>
      <c r="S104" s="15">
        <f>IF(B104="","",TEXT(B104,"yyyy-mm"))</f>
        <v>0</v>
      </c>
      <c r="T104" s="25">
        <f>IF(B104="","",WEEKNUM(B104,2))</f>
        <v>0</v>
      </c>
      <c r="U104" s="25">
        <f>IF(B104="","",IF(K104&lt;&gt;"",K104,IFERROR(INDEX(Services!$E$5:$E$204,MATCH(G104,Services!$A$5:$A$204,0))*1,0)+IFERROR(INDEX(Services!$F$5:$F$204,MATCH(G104,Services!$A$5:$A$204,0))*1,0)))</f>
        <v>0</v>
      </c>
      <c r="V104" s="36">
        <f>IF(B104="","",IF(D104="","",D104+U104/1440))</f>
        <v>0</v>
      </c>
      <c r="W104" s="25">
        <f>IF(B104="","",IF(D104="","",HOUR(D104)))</f>
        <v>0</v>
      </c>
      <c r="X104" s="37">
        <f>IF(B104="","",ROUND(U104/60,2))</f>
        <v>0</v>
      </c>
      <c r="Y104" s="26">
        <f>IF(B104="","",IF(L104&lt;&gt;"",L104,IFERROR(INDEX(Services!$G$5:$G$204,MATCH(G104,Services!$A$5:$A$204,0))*1,0)))</f>
        <v>0</v>
      </c>
      <c r="Z104" s="26">
        <f>IF(B104="","",IF(O104&lt;&gt;"",O104,IF(Y104&gt;=DepositThreshold,ROUND(Y104*DepositPercent,2),0)))</f>
        <v>0</v>
      </c>
      <c r="AA104" s="26">
        <f>IF(B104="","",ROUND(SUMIFS(Payments!$G$5:$G$1204,Payments!$I$5:$I$1204,A104,Payments!$E$5:$E$1204,"Deposit"),2))</f>
        <v>0</v>
      </c>
      <c r="AB104" s="26">
        <f>IF(B104="","",ROUND(SUMIFS(Sales!$Y$5:$Y$1204,Sales!$C$5:$C$1204,A104),2))</f>
        <v>0</v>
      </c>
      <c r="AC104" s="38">
        <f>IF(B104="","",IF(M104="Completed","Yes",IF(M104="Cancelled","Yes",IF(M104="No show","Yes","No"))))</f>
        <v>0</v>
      </c>
      <c r="AD104" s="25">
        <f>IF(B104="","",IF(AE104="","",B104-AE104))</f>
        <v>0</v>
      </c>
      <c r="AF104" s="38">
        <f>IF(B104="","",IF(M104&lt;&gt;"Completed","",IF(E104="","No",IF(COUNTIFS(Appointments!$E$5:$E$1204,E104,Appointments!$B$5:$B$1204,"&gt;"&amp;B104,Appointments!$M$5:$M$1204,"&lt;&gt;Cancelled")&gt;0,"Yes","No"))))</f>
        <v>0</v>
      </c>
      <c r="AG104" s="38">
        <f>IF(B104="","",IF(I104="","",IF(D104="","",IF(COUNTIFS($I$5:$I$1204,I104,$B$5:$B$1204,B104,$D$5:$D$1204,"&lt;"&amp;V104,$V$5:$V$1204,"&gt;"&amp;D104,$M$5:$M$1204,"&lt;&gt;Cancelled")&gt;1,"Clash",""))))</f>
        <v>0</v>
      </c>
      <c r="AH104" s="39">
        <f>IF(B104="","",IF(AG104="Clash","Clash - stylist double booked",IF(I104="","Assign - no stylist yet",IF(G104="","Add - no service chosen",IF(M104="No show","No show - charge the fee?",IF(M104="Cancelled","",IF(IF(M104="Completed",AB104&lt;Y104-0.004,FALSE),"Unpaid - nothing rung up for this visit",IF(IF(B104&lt;TodayDate,M104="Booked",FALSE),"Overdue - past date, still only Booked",IF(IF(B104=TodayDate,TRUE,FALSE),"Today",IF(IF(Z104&gt;0,AA104&lt;Z104-0.004,FALSE),"Due - deposit not taken",IF(IF(B104&gt;TodayDate,B104&lt;=TodayDate+2,FALSE),"Confirm - coming up","OK")))))))))))</f>
        <v>0</v>
      </c>
    </row>
    <row r="105" spans="1:34">
      <c r="A105" s="28">
        <f>IF(B105="","",AppointmentPrefix&amp;TEXT(ROW()-4,"0000"))</f>
        <v>0</v>
      </c>
      <c r="C105" s="15">
        <f>IF(B105="","",TEXT(B105,"ddd"))</f>
        <v>0</v>
      </c>
      <c r="F105" s="15">
        <f>IF(E105="","",IFERROR(INDEX(Clients!$B$5:$B$504,MATCH(E105,Clients!$A$5:$A$504,0)),"Walk-in"))</f>
        <v>0</v>
      </c>
      <c r="H105" s="15">
        <f>IF(G105="","",IFERROR(INDEX(Services!$B$5:$B$204,MATCH(G105,Services!$A$5:$A$204,0)),"Not in Services"))</f>
        <v>0</v>
      </c>
      <c r="J105" s="15">
        <f>IF(I105="","",IFERROR(INDEX(Staff!$B$5:$B$44,MATCH(I105,Staff!$A$5:$A$44,0)),"Unassigned"))</f>
        <v>0</v>
      </c>
      <c r="S105" s="15">
        <f>IF(B105="","",TEXT(B105,"yyyy-mm"))</f>
        <v>0</v>
      </c>
      <c r="T105" s="25">
        <f>IF(B105="","",WEEKNUM(B105,2))</f>
        <v>0</v>
      </c>
      <c r="U105" s="25">
        <f>IF(B105="","",IF(K105&lt;&gt;"",K105,IFERROR(INDEX(Services!$E$5:$E$204,MATCH(G105,Services!$A$5:$A$204,0))*1,0)+IFERROR(INDEX(Services!$F$5:$F$204,MATCH(G105,Services!$A$5:$A$204,0))*1,0)))</f>
        <v>0</v>
      </c>
      <c r="V105" s="36">
        <f>IF(B105="","",IF(D105="","",D105+U105/1440))</f>
        <v>0</v>
      </c>
      <c r="W105" s="25">
        <f>IF(B105="","",IF(D105="","",HOUR(D105)))</f>
        <v>0</v>
      </c>
      <c r="X105" s="37">
        <f>IF(B105="","",ROUND(U105/60,2))</f>
        <v>0</v>
      </c>
      <c r="Y105" s="26">
        <f>IF(B105="","",IF(L105&lt;&gt;"",L105,IFERROR(INDEX(Services!$G$5:$G$204,MATCH(G105,Services!$A$5:$A$204,0))*1,0)))</f>
        <v>0</v>
      </c>
      <c r="Z105" s="26">
        <f>IF(B105="","",IF(O105&lt;&gt;"",O105,IF(Y105&gt;=DepositThreshold,ROUND(Y105*DepositPercent,2),0)))</f>
        <v>0</v>
      </c>
      <c r="AA105" s="26">
        <f>IF(B105="","",ROUND(SUMIFS(Payments!$G$5:$G$1204,Payments!$I$5:$I$1204,A105,Payments!$E$5:$E$1204,"Deposit"),2))</f>
        <v>0</v>
      </c>
      <c r="AB105" s="26">
        <f>IF(B105="","",ROUND(SUMIFS(Sales!$Y$5:$Y$1204,Sales!$C$5:$C$1204,A105),2))</f>
        <v>0</v>
      </c>
      <c r="AC105" s="38">
        <f>IF(B105="","",IF(M105="Completed","Yes",IF(M105="Cancelled","Yes",IF(M105="No show","Yes","No"))))</f>
        <v>0</v>
      </c>
      <c r="AD105" s="25">
        <f>IF(B105="","",IF(AE105="","",B105-AE105))</f>
        <v>0</v>
      </c>
      <c r="AF105" s="38">
        <f>IF(B105="","",IF(M105&lt;&gt;"Completed","",IF(E105="","No",IF(COUNTIFS(Appointments!$E$5:$E$1204,E105,Appointments!$B$5:$B$1204,"&gt;"&amp;B105,Appointments!$M$5:$M$1204,"&lt;&gt;Cancelled")&gt;0,"Yes","No"))))</f>
        <v>0</v>
      </c>
      <c r="AG105" s="38">
        <f>IF(B105="","",IF(I105="","",IF(D105="","",IF(COUNTIFS($I$5:$I$1204,I105,$B$5:$B$1204,B105,$D$5:$D$1204,"&lt;"&amp;V105,$V$5:$V$1204,"&gt;"&amp;D105,$M$5:$M$1204,"&lt;&gt;Cancelled")&gt;1,"Clash",""))))</f>
        <v>0</v>
      </c>
      <c r="AH105" s="39">
        <f>IF(B105="","",IF(AG105="Clash","Clash - stylist double booked",IF(I105="","Assign - no stylist yet",IF(G105="","Add - no service chosen",IF(M105="No show","No show - charge the fee?",IF(M105="Cancelled","",IF(IF(M105="Completed",AB105&lt;Y105-0.004,FALSE),"Unpaid - nothing rung up for this visit",IF(IF(B105&lt;TodayDate,M105="Booked",FALSE),"Overdue - past date, still only Booked",IF(IF(B105=TodayDate,TRUE,FALSE),"Today",IF(IF(Z105&gt;0,AA105&lt;Z105-0.004,FALSE),"Due - deposit not taken",IF(IF(B105&gt;TodayDate,B105&lt;=TodayDate+2,FALSE),"Confirm - coming up","OK")))))))))))</f>
        <v>0</v>
      </c>
    </row>
    <row r="106" spans="1:34">
      <c r="A106" s="28">
        <f>IF(B106="","",AppointmentPrefix&amp;TEXT(ROW()-4,"0000"))</f>
        <v>0</v>
      </c>
      <c r="C106" s="15">
        <f>IF(B106="","",TEXT(B106,"ddd"))</f>
        <v>0</v>
      </c>
      <c r="F106" s="15">
        <f>IF(E106="","",IFERROR(INDEX(Clients!$B$5:$B$504,MATCH(E106,Clients!$A$5:$A$504,0)),"Walk-in"))</f>
        <v>0</v>
      </c>
      <c r="H106" s="15">
        <f>IF(G106="","",IFERROR(INDEX(Services!$B$5:$B$204,MATCH(G106,Services!$A$5:$A$204,0)),"Not in Services"))</f>
        <v>0</v>
      </c>
      <c r="J106" s="15">
        <f>IF(I106="","",IFERROR(INDEX(Staff!$B$5:$B$44,MATCH(I106,Staff!$A$5:$A$44,0)),"Unassigned"))</f>
        <v>0</v>
      </c>
      <c r="S106" s="15">
        <f>IF(B106="","",TEXT(B106,"yyyy-mm"))</f>
        <v>0</v>
      </c>
      <c r="T106" s="25">
        <f>IF(B106="","",WEEKNUM(B106,2))</f>
        <v>0</v>
      </c>
      <c r="U106" s="25">
        <f>IF(B106="","",IF(K106&lt;&gt;"",K106,IFERROR(INDEX(Services!$E$5:$E$204,MATCH(G106,Services!$A$5:$A$204,0))*1,0)+IFERROR(INDEX(Services!$F$5:$F$204,MATCH(G106,Services!$A$5:$A$204,0))*1,0)))</f>
        <v>0</v>
      </c>
      <c r="V106" s="36">
        <f>IF(B106="","",IF(D106="","",D106+U106/1440))</f>
        <v>0</v>
      </c>
      <c r="W106" s="25">
        <f>IF(B106="","",IF(D106="","",HOUR(D106)))</f>
        <v>0</v>
      </c>
      <c r="X106" s="37">
        <f>IF(B106="","",ROUND(U106/60,2))</f>
        <v>0</v>
      </c>
      <c r="Y106" s="26">
        <f>IF(B106="","",IF(L106&lt;&gt;"",L106,IFERROR(INDEX(Services!$G$5:$G$204,MATCH(G106,Services!$A$5:$A$204,0))*1,0)))</f>
        <v>0</v>
      </c>
      <c r="Z106" s="26">
        <f>IF(B106="","",IF(O106&lt;&gt;"",O106,IF(Y106&gt;=DepositThreshold,ROUND(Y106*DepositPercent,2),0)))</f>
        <v>0</v>
      </c>
      <c r="AA106" s="26">
        <f>IF(B106="","",ROUND(SUMIFS(Payments!$G$5:$G$1204,Payments!$I$5:$I$1204,A106,Payments!$E$5:$E$1204,"Deposit"),2))</f>
        <v>0</v>
      </c>
      <c r="AB106" s="26">
        <f>IF(B106="","",ROUND(SUMIFS(Sales!$Y$5:$Y$1204,Sales!$C$5:$C$1204,A106),2))</f>
        <v>0</v>
      </c>
      <c r="AC106" s="38">
        <f>IF(B106="","",IF(M106="Completed","Yes",IF(M106="Cancelled","Yes",IF(M106="No show","Yes","No"))))</f>
        <v>0</v>
      </c>
      <c r="AD106" s="25">
        <f>IF(B106="","",IF(AE106="","",B106-AE106))</f>
        <v>0</v>
      </c>
      <c r="AF106" s="38">
        <f>IF(B106="","",IF(M106&lt;&gt;"Completed","",IF(E106="","No",IF(COUNTIFS(Appointments!$E$5:$E$1204,E106,Appointments!$B$5:$B$1204,"&gt;"&amp;B106,Appointments!$M$5:$M$1204,"&lt;&gt;Cancelled")&gt;0,"Yes","No"))))</f>
        <v>0</v>
      </c>
      <c r="AG106" s="38">
        <f>IF(B106="","",IF(I106="","",IF(D106="","",IF(COUNTIFS($I$5:$I$1204,I106,$B$5:$B$1204,B106,$D$5:$D$1204,"&lt;"&amp;V106,$V$5:$V$1204,"&gt;"&amp;D106,$M$5:$M$1204,"&lt;&gt;Cancelled")&gt;1,"Clash",""))))</f>
        <v>0</v>
      </c>
      <c r="AH106" s="39">
        <f>IF(B106="","",IF(AG106="Clash","Clash - stylist double booked",IF(I106="","Assign - no stylist yet",IF(G106="","Add - no service chosen",IF(M106="No show","No show - charge the fee?",IF(M106="Cancelled","",IF(IF(M106="Completed",AB106&lt;Y106-0.004,FALSE),"Unpaid - nothing rung up for this visit",IF(IF(B106&lt;TodayDate,M106="Booked",FALSE),"Overdue - past date, still only Booked",IF(IF(B106=TodayDate,TRUE,FALSE),"Today",IF(IF(Z106&gt;0,AA106&lt;Z106-0.004,FALSE),"Due - deposit not taken",IF(IF(B106&gt;TodayDate,B106&lt;=TodayDate+2,FALSE),"Confirm - coming up","OK")))))))))))</f>
        <v>0</v>
      </c>
    </row>
    <row r="107" spans="1:34">
      <c r="A107" s="28">
        <f>IF(B107="","",AppointmentPrefix&amp;TEXT(ROW()-4,"0000"))</f>
        <v>0</v>
      </c>
      <c r="C107" s="15">
        <f>IF(B107="","",TEXT(B107,"ddd"))</f>
        <v>0</v>
      </c>
      <c r="F107" s="15">
        <f>IF(E107="","",IFERROR(INDEX(Clients!$B$5:$B$504,MATCH(E107,Clients!$A$5:$A$504,0)),"Walk-in"))</f>
        <v>0</v>
      </c>
      <c r="H107" s="15">
        <f>IF(G107="","",IFERROR(INDEX(Services!$B$5:$B$204,MATCH(G107,Services!$A$5:$A$204,0)),"Not in Services"))</f>
        <v>0</v>
      </c>
      <c r="J107" s="15">
        <f>IF(I107="","",IFERROR(INDEX(Staff!$B$5:$B$44,MATCH(I107,Staff!$A$5:$A$44,0)),"Unassigned"))</f>
        <v>0</v>
      </c>
      <c r="S107" s="15">
        <f>IF(B107="","",TEXT(B107,"yyyy-mm"))</f>
        <v>0</v>
      </c>
      <c r="T107" s="25">
        <f>IF(B107="","",WEEKNUM(B107,2))</f>
        <v>0</v>
      </c>
      <c r="U107" s="25">
        <f>IF(B107="","",IF(K107&lt;&gt;"",K107,IFERROR(INDEX(Services!$E$5:$E$204,MATCH(G107,Services!$A$5:$A$204,0))*1,0)+IFERROR(INDEX(Services!$F$5:$F$204,MATCH(G107,Services!$A$5:$A$204,0))*1,0)))</f>
        <v>0</v>
      </c>
      <c r="V107" s="36">
        <f>IF(B107="","",IF(D107="","",D107+U107/1440))</f>
        <v>0</v>
      </c>
      <c r="W107" s="25">
        <f>IF(B107="","",IF(D107="","",HOUR(D107)))</f>
        <v>0</v>
      </c>
      <c r="X107" s="37">
        <f>IF(B107="","",ROUND(U107/60,2))</f>
        <v>0</v>
      </c>
      <c r="Y107" s="26">
        <f>IF(B107="","",IF(L107&lt;&gt;"",L107,IFERROR(INDEX(Services!$G$5:$G$204,MATCH(G107,Services!$A$5:$A$204,0))*1,0)))</f>
        <v>0</v>
      </c>
      <c r="Z107" s="26">
        <f>IF(B107="","",IF(O107&lt;&gt;"",O107,IF(Y107&gt;=DepositThreshold,ROUND(Y107*DepositPercent,2),0)))</f>
        <v>0</v>
      </c>
      <c r="AA107" s="26">
        <f>IF(B107="","",ROUND(SUMIFS(Payments!$G$5:$G$1204,Payments!$I$5:$I$1204,A107,Payments!$E$5:$E$1204,"Deposit"),2))</f>
        <v>0</v>
      </c>
      <c r="AB107" s="26">
        <f>IF(B107="","",ROUND(SUMIFS(Sales!$Y$5:$Y$1204,Sales!$C$5:$C$1204,A107),2))</f>
        <v>0</v>
      </c>
      <c r="AC107" s="38">
        <f>IF(B107="","",IF(M107="Completed","Yes",IF(M107="Cancelled","Yes",IF(M107="No show","Yes","No"))))</f>
        <v>0</v>
      </c>
      <c r="AD107" s="25">
        <f>IF(B107="","",IF(AE107="","",B107-AE107))</f>
        <v>0</v>
      </c>
      <c r="AF107" s="38">
        <f>IF(B107="","",IF(M107&lt;&gt;"Completed","",IF(E107="","No",IF(COUNTIFS(Appointments!$E$5:$E$1204,E107,Appointments!$B$5:$B$1204,"&gt;"&amp;B107,Appointments!$M$5:$M$1204,"&lt;&gt;Cancelled")&gt;0,"Yes","No"))))</f>
        <v>0</v>
      </c>
      <c r="AG107" s="38">
        <f>IF(B107="","",IF(I107="","",IF(D107="","",IF(COUNTIFS($I$5:$I$1204,I107,$B$5:$B$1204,B107,$D$5:$D$1204,"&lt;"&amp;V107,$V$5:$V$1204,"&gt;"&amp;D107,$M$5:$M$1204,"&lt;&gt;Cancelled")&gt;1,"Clash",""))))</f>
        <v>0</v>
      </c>
      <c r="AH107" s="39">
        <f>IF(B107="","",IF(AG107="Clash","Clash - stylist double booked",IF(I107="","Assign - no stylist yet",IF(G107="","Add - no service chosen",IF(M107="No show","No show - charge the fee?",IF(M107="Cancelled","",IF(IF(M107="Completed",AB107&lt;Y107-0.004,FALSE),"Unpaid - nothing rung up for this visit",IF(IF(B107&lt;TodayDate,M107="Booked",FALSE),"Overdue - past date, still only Booked",IF(IF(B107=TodayDate,TRUE,FALSE),"Today",IF(IF(Z107&gt;0,AA107&lt;Z107-0.004,FALSE),"Due - deposit not taken",IF(IF(B107&gt;TodayDate,B107&lt;=TodayDate+2,FALSE),"Confirm - coming up","OK")))))))))))</f>
        <v>0</v>
      </c>
    </row>
    <row r="108" spans="1:34">
      <c r="A108" s="28">
        <f>IF(B108="","",AppointmentPrefix&amp;TEXT(ROW()-4,"0000"))</f>
        <v>0</v>
      </c>
      <c r="C108" s="15">
        <f>IF(B108="","",TEXT(B108,"ddd"))</f>
        <v>0</v>
      </c>
      <c r="F108" s="15">
        <f>IF(E108="","",IFERROR(INDEX(Clients!$B$5:$B$504,MATCH(E108,Clients!$A$5:$A$504,0)),"Walk-in"))</f>
        <v>0</v>
      </c>
      <c r="H108" s="15">
        <f>IF(G108="","",IFERROR(INDEX(Services!$B$5:$B$204,MATCH(G108,Services!$A$5:$A$204,0)),"Not in Services"))</f>
        <v>0</v>
      </c>
      <c r="J108" s="15">
        <f>IF(I108="","",IFERROR(INDEX(Staff!$B$5:$B$44,MATCH(I108,Staff!$A$5:$A$44,0)),"Unassigned"))</f>
        <v>0</v>
      </c>
      <c r="S108" s="15">
        <f>IF(B108="","",TEXT(B108,"yyyy-mm"))</f>
        <v>0</v>
      </c>
      <c r="T108" s="25">
        <f>IF(B108="","",WEEKNUM(B108,2))</f>
        <v>0</v>
      </c>
      <c r="U108" s="25">
        <f>IF(B108="","",IF(K108&lt;&gt;"",K108,IFERROR(INDEX(Services!$E$5:$E$204,MATCH(G108,Services!$A$5:$A$204,0))*1,0)+IFERROR(INDEX(Services!$F$5:$F$204,MATCH(G108,Services!$A$5:$A$204,0))*1,0)))</f>
        <v>0</v>
      </c>
      <c r="V108" s="36">
        <f>IF(B108="","",IF(D108="","",D108+U108/1440))</f>
        <v>0</v>
      </c>
      <c r="W108" s="25">
        <f>IF(B108="","",IF(D108="","",HOUR(D108)))</f>
        <v>0</v>
      </c>
      <c r="X108" s="37">
        <f>IF(B108="","",ROUND(U108/60,2))</f>
        <v>0</v>
      </c>
      <c r="Y108" s="26">
        <f>IF(B108="","",IF(L108&lt;&gt;"",L108,IFERROR(INDEX(Services!$G$5:$G$204,MATCH(G108,Services!$A$5:$A$204,0))*1,0)))</f>
        <v>0</v>
      </c>
      <c r="Z108" s="26">
        <f>IF(B108="","",IF(O108&lt;&gt;"",O108,IF(Y108&gt;=DepositThreshold,ROUND(Y108*DepositPercent,2),0)))</f>
        <v>0</v>
      </c>
      <c r="AA108" s="26">
        <f>IF(B108="","",ROUND(SUMIFS(Payments!$G$5:$G$1204,Payments!$I$5:$I$1204,A108,Payments!$E$5:$E$1204,"Deposit"),2))</f>
        <v>0</v>
      </c>
      <c r="AB108" s="26">
        <f>IF(B108="","",ROUND(SUMIFS(Sales!$Y$5:$Y$1204,Sales!$C$5:$C$1204,A108),2))</f>
        <v>0</v>
      </c>
      <c r="AC108" s="38">
        <f>IF(B108="","",IF(M108="Completed","Yes",IF(M108="Cancelled","Yes",IF(M108="No show","Yes","No"))))</f>
        <v>0</v>
      </c>
      <c r="AD108" s="25">
        <f>IF(B108="","",IF(AE108="","",B108-AE108))</f>
        <v>0</v>
      </c>
      <c r="AF108" s="38">
        <f>IF(B108="","",IF(M108&lt;&gt;"Completed","",IF(E108="","No",IF(COUNTIFS(Appointments!$E$5:$E$1204,E108,Appointments!$B$5:$B$1204,"&gt;"&amp;B108,Appointments!$M$5:$M$1204,"&lt;&gt;Cancelled")&gt;0,"Yes","No"))))</f>
        <v>0</v>
      </c>
      <c r="AG108" s="38">
        <f>IF(B108="","",IF(I108="","",IF(D108="","",IF(COUNTIFS($I$5:$I$1204,I108,$B$5:$B$1204,B108,$D$5:$D$1204,"&lt;"&amp;V108,$V$5:$V$1204,"&gt;"&amp;D108,$M$5:$M$1204,"&lt;&gt;Cancelled")&gt;1,"Clash",""))))</f>
        <v>0</v>
      </c>
      <c r="AH108" s="39">
        <f>IF(B108="","",IF(AG108="Clash","Clash - stylist double booked",IF(I108="","Assign - no stylist yet",IF(G108="","Add - no service chosen",IF(M108="No show","No show - charge the fee?",IF(M108="Cancelled","",IF(IF(M108="Completed",AB108&lt;Y108-0.004,FALSE),"Unpaid - nothing rung up for this visit",IF(IF(B108&lt;TodayDate,M108="Booked",FALSE),"Overdue - past date, still only Booked",IF(IF(B108=TodayDate,TRUE,FALSE),"Today",IF(IF(Z108&gt;0,AA108&lt;Z108-0.004,FALSE),"Due - deposit not taken",IF(IF(B108&gt;TodayDate,B108&lt;=TodayDate+2,FALSE),"Confirm - coming up","OK")))))))))))</f>
        <v>0</v>
      </c>
    </row>
    <row r="109" spans="1:34">
      <c r="A109" s="28">
        <f>IF(B109="","",AppointmentPrefix&amp;TEXT(ROW()-4,"0000"))</f>
        <v>0</v>
      </c>
      <c r="C109" s="15">
        <f>IF(B109="","",TEXT(B109,"ddd"))</f>
        <v>0</v>
      </c>
      <c r="F109" s="15">
        <f>IF(E109="","",IFERROR(INDEX(Clients!$B$5:$B$504,MATCH(E109,Clients!$A$5:$A$504,0)),"Walk-in"))</f>
        <v>0</v>
      </c>
      <c r="H109" s="15">
        <f>IF(G109="","",IFERROR(INDEX(Services!$B$5:$B$204,MATCH(G109,Services!$A$5:$A$204,0)),"Not in Services"))</f>
        <v>0</v>
      </c>
      <c r="J109" s="15">
        <f>IF(I109="","",IFERROR(INDEX(Staff!$B$5:$B$44,MATCH(I109,Staff!$A$5:$A$44,0)),"Unassigned"))</f>
        <v>0</v>
      </c>
      <c r="S109" s="15">
        <f>IF(B109="","",TEXT(B109,"yyyy-mm"))</f>
        <v>0</v>
      </c>
      <c r="T109" s="25">
        <f>IF(B109="","",WEEKNUM(B109,2))</f>
        <v>0</v>
      </c>
      <c r="U109" s="25">
        <f>IF(B109="","",IF(K109&lt;&gt;"",K109,IFERROR(INDEX(Services!$E$5:$E$204,MATCH(G109,Services!$A$5:$A$204,0))*1,0)+IFERROR(INDEX(Services!$F$5:$F$204,MATCH(G109,Services!$A$5:$A$204,0))*1,0)))</f>
        <v>0</v>
      </c>
      <c r="V109" s="36">
        <f>IF(B109="","",IF(D109="","",D109+U109/1440))</f>
        <v>0</v>
      </c>
      <c r="W109" s="25">
        <f>IF(B109="","",IF(D109="","",HOUR(D109)))</f>
        <v>0</v>
      </c>
      <c r="X109" s="37">
        <f>IF(B109="","",ROUND(U109/60,2))</f>
        <v>0</v>
      </c>
      <c r="Y109" s="26">
        <f>IF(B109="","",IF(L109&lt;&gt;"",L109,IFERROR(INDEX(Services!$G$5:$G$204,MATCH(G109,Services!$A$5:$A$204,0))*1,0)))</f>
        <v>0</v>
      </c>
      <c r="Z109" s="26">
        <f>IF(B109="","",IF(O109&lt;&gt;"",O109,IF(Y109&gt;=DepositThreshold,ROUND(Y109*DepositPercent,2),0)))</f>
        <v>0</v>
      </c>
      <c r="AA109" s="26">
        <f>IF(B109="","",ROUND(SUMIFS(Payments!$G$5:$G$1204,Payments!$I$5:$I$1204,A109,Payments!$E$5:$E$1204,"Deposit"),2))</f>
        <v>0</v>
      </c>
      <c r="AB109" s="26">
        <f>IF(B109="","",ROUND(SUMIFS(Sales!$Y$5:$Y$1204,Sales!$C$5:$C$1204,A109),2))</f>
        <v>0</v>
      </c>
      <c r="AC109" s="38">
        <f>IF(B109="","",IF(M109="Completed","Yes",IF(M109="Cancelled","Yes",IF(M109="No show","Yes","No"))))</f>
        <v>0</v>
      </c>
      <c r="AD109" s="25">
        <f>IF(B109="","",IF(AE109="","",B109-AE109))</f>
        <v>0</v>
      </c>
      <c r="AF109" s="38">
        <f>IF(B109="","",IF(M109&lt;&gt;"Completed","",IF(E109="","No",IF(COUNTIFS(Appointments!$E$5:$E$1204,E109,Appointments!$B$5:$B$1204,"&gt;"&amp;B109,Appointments!$M$5:$M$1204,"&lt;&gt;Cancelled")&gt;0,"Yes","No"))))</f>
        <v>0</v>
      </c>
      <c r="AG109" s="38">
        <f>IF(B109="","",IF(I109="","",IF(D109="","",IF(COUNTIFS($I$5:$I$1204,I109,$B$5:$B$1204,B109,$D$5:$D$1204,"&lt;"&amp;V109,$V$5:$V$1204,"&gt;"&amp;D109,$M$5:$M$1204,"&lt;&gt;Cancelled")&gt;1,"Clash",""))))</f>
        <v>0</v>
      </c>
      <c r="AH109" s="39">
        <f>IF(B109="","",IF(AG109="Clash","Clash - stylist double booked",IF(I109="","Assign - no stylist yet",IF(G109="","Add - no service chosen",IF(M109="No show","No show - charge the fee?",IF(M109="Cancelled","",IF(IF(M109="Completed",AB109&lt;Y109-0.004,FALSE),"Unpaid - nothing rung up for this visit",IF(IF(B109&lt;TodayDate,M109="Booked",FALSE),"Overdue - past date, still only Booked",IF(IF(B109=TodayDate,TRUE,FALSE),"Today",IF(IF(Z109&gt;0,AA109&lt;Z109-0.004,FALSE),"Due - deposit not taken",IF(IF(B109&gt;TodayDate,B109&lt;=TodayDate+2,FALSE),"Confirm - coming up","OK")))))))))))</f>
        <v>0</v>
      </c>
    </row>
    <row r="110" spans="1:34">
      <c r="A110" s="28">
        <f>IF(B110="","",AppointmentPrefix&amp;TEXT(ROW()-4,"0000"))</f>
        <v>0</v>
      </c>
      <c r="C110" s="15">
        <f>IF(B110="","",TEXT(B110,"ddd"))</f>
        <v>0</v>
      </c>
      <c r="F110" s="15">
        <f>IF(E110="","",IFERROR(INDEX(Clients!$B$5:$B$504,MATCH(E110,Clients!$A$5:$A$504,0)),"Walk-in"))</f>
        <v>0</v>
      </c>
      <c r="H110" s="15">
        <f>IF(G110="","",IFERROR(INDEX(Services!$B$5:$B$204,MATCH(G110,Services!$A$5:$A$204,0)),"Not in Services"))</f>
        <v>0</v>
      </c>
      <c r="J110" s="15">
        <f>IF(I110="","",IFERROR(INDEX(Staff!$B$5:$B$44,MATCH(I110,Staff!$A$5:$A$44,0)),"Unassigned"))</f>
        <v>0</v>
      </c>
      <c r="S110" s="15">
        <f>IF(B110="","",TEXT(B110,"yyyy-mm"))</f>
        <v>0</v>
      </c>
      <c r="T110" s="25">
        <f>IF(B110="","",WEEKNUM(B110,2))</f>
        <v>0</v>
      </c>
      <c r="U110" s="25">
        <f>IF(B110="","",IF(K110&lt;&gt;"",K110,IFERROR(INDEX(Services!$E$5:$E$204,MATCH(G110,Services!$A$5:$A$204,0))*1,0)+IFERROR(INDEX(Services!$F$5:$F$204,MATCH(G110,Services!$A$5:$A$204,0))*1,0)))</f>
        <v>0</v>
      </c>
      <c r="V110" s="36">
        <f>IF(B110="","",IF(D110="","",D110+U110/1440))</f>
        <v>0</v>
      </c>
      <c r="W110" s="25">
        <f>IF(B110="","",IF(D110="","",HOUR(D110)))</f>
        <v>0</v>
      </c>
      <c r="X110" s="37">
        <f>IF(B110="","",ROUND(U110/60,2))</f>
        <v>0</v>
      </c>
      <c r="Y110" s="26">
        <f>IF(B110="","",IF(L110&lt;&gt;"",L110,IFERROR(INDEX(Services!$G$5:$G$204,MATCH(G110,Services!$A$5:$A$204,0))*1,0)))</f>
        <v>0</v>
      </c>
      <c r="Z110" s="26">
        <f>IF(B110="","",IF(O110&lt;&gt;"",O110,IF(Y110&gt;=DepositThreshold,ROUND(Y110*DepositPercent,2),0)))</f>
        <v>0</v>
      </c>
      <c r="AA110" s="26">
        <f>IF(B110="","",ROUND(SUMIFS(Payments!$G$5:$G$1204,Payments!$I$5:$I$1204,A110,Payments!$E$5:$E$1204,"Deposit"),2))</f>
        <v>0</v>
      </c>
      <c r="AB110" s="26">
        <f>IF(B110="","",ROUND(SUMIFS(Sales!$Y$5:$Y$1204,Sales!$C$5:$C$1204,A110),2))</f>
        <v>0</v>
      </c>
      <c r="AC110" s="38">
        <f>IF(B110="","",IF(M110="Completed","Yes",IF(M110="Cancelled","Yes",IF(M110="No show","Yes","No"))))</f>
        <v>0</v>
      </c>
      <c r="AD110" s="25">
        <f>IF(B110="","",IF(AE110="","",B110-AE110))</f>
        <v>0</v>
      </c>
      <c r="AF110" s="38">
        <f>IF(B110="","",IF(M110&lt;&gt;"Completed","",IF(E110="","No",IF(COUNTIFS(Appointments!$E$5:$E$1204,E110,Appointments!$B$5:$B$1204,"&gt;"&amp;B110,Appointments!$M$5:$M$1204,"&lt;&gt;Cancelled")&gt;0,"Yes","No"))))</f>
        <v>0</v>
      </c>
      <c r="AG110" s="38">
        <f>IF(B110="","",IF(I110="","",IF(D110="","",IF(COUNTIFS($I$5:$I$1204,I110,$B$5:$B$1204,B110,$D$5:$D$1204,"&lt;"&amp;V110,$V$5:$V$1204,"&gt;"&amp;D110,$M$5:$M$1204,"&lt;&gt;Cancelled")&gt;1,"Clash",""))))</f>
        <v>0</v>
      </c>
      <c r="AH110" s="39">
        <f>IF(B110="","",IF(AG110="Clash","Clash - stylist double booked",IF(I110="","Assign - no stylist yet",IF(G110="","Add - no service chosen",IF(M110="No show","No show - charge the fee?",IF(M110="Cancelled","",IF(IF(M110="Completed",AB110&lt;Y110-0.004,FALSE),"Unpaid - nothing rung up for this visit",IF(IF(B110&lt;TodayDate,M110="Booked",FALSE),"Overdue - past date, still only Booked",IF(IF(B110=TodayDate,TRUE,FALSE),"Today",IF(IF(Z110&gt;0,AA110&lt;Z110-0.004,FALSE),"Due - deposit not taken",IF(IF(B110&gt;TodayDate,B110&lt;=TodayDate+2,FALSE),"Confirm - coming up","OK")))))))))))</f>
        <v>0</v>
      </c>
    </row>
    <row r="111" spans="1:34">
      <c r="A111" s="28">
        <f>IF(B111="","",AppointmentPrefix&amp;TEXT(ROW()-4,"0000"))</f>
        <v>0</v>
      </c>
      <c r="C111" s="15">
        <f>IF(B111="","",TEXT(B111,"ddd"))</f>
        <v>0</v>
      </c>
      <c r="F111" s="15">
        <f>IF(E111="","",IFERROR(INDEX(Clients!$B$5:$B$504,MATCH(E111,Clients!$A$5:$A$504,0)),"Walk-in"))</f>
        <v>0</v>
      </c>
      <c r="H111" s="15">
        <f>IF(G111="","",IFERROR(INDEX(Services!$B$5:$B$204,MATCH(G111,Services!$A$5:$A$204,0)),"Not in Services"))</f>
        <v>0</v>
      </c>
      <c r="J111" s="15">
        <f>IF(I111="","",IFERROR(INDEX(Staff!$B$5:$B$44,MATCH(I111,Staff!$A$5:$A$44,0)),"Unassigned"))</f>
        <v>0</v>
      </c>
      <c r="S111" s="15">
        <f>IF(B111="","",TEXT(B111,"yyyy-mm"))</f>
        <v>0</v>
      </c>
      <c r="T111" s="25">
        <f>IF(B111="","",WEEKNUM(B111,2))</f>
        <v>0</v>
      </c>
      <c r="U111" s="25">
        <f>IF(B111="","",IF(K111&lt;&gt;"",K111,IFERROR(INDEX(Services!$E$5:$E$204,MATCH(G111,Services!$A$5:$A$204,0))*1,0)+IFERROR(INDEX(Services!$F$5:$F$204,MATCH(G111,Services!$A$5:$A$204,0))*1,0)))</f>
        <v>0</v>
      </c>
      <c r="V111" s="36">
        <f>IF(B111="","",IF(D111="","",D111+U111/1440))</f>
        <v>0</v>
      </c>
      <c r="W111" s="25">
        <f>IF(B111="","",IF(D111="","",HOUR(D111)))</f>
        <v>0</v>
      </c>
      <c r="X111" s="37">
        <f>IF(B111="","",ROUND(U111/60,2))</f>
        <v>0</v>
      </c>
      <c r="Y111" s="26">
        <f>IF(B111="","",IF(L111&lt;&gt;"",L111,IFERROR(INDEX(Services!$G$5:$G$204,MATCH(G111,Services!$A$5:$A$204,0))*1,0)))</f>
        <v>0</v>
      </c>
      <c r="Z111" s="26">
        <f>IF(B111="","",IF(O111&lt;&gt;"",O111,IF(Y111&gt;=DepositThreshold,ROUND(Y111*DepositPercent,2),0)))</f>
        <v>0</v>
      </c>
      <c r="AA111" s="26">
        <f>IF(B111="","",ROUND(SUMIFS(Payments!$G$5:$G$1204,Payments!$I$5:$I$1204,A111,Payments!$E$5:$E$1204,"Deposit"),2))</f>
        <v>0</v>
      </c>
      <c r="AB111" s="26">
        <f>IF(B111="","",ROUND(SUMIFS(Sales!$Y$5:$Y$1204,Sales!$C$5:$C$1204,A111),2))</f>
        <v>0</v>
      </c>
      <c r="AC111" s="38">
        <f>IF(B111="","",IF(M111="Completed","Yes",IF(M111="Cancelled","Yes",IF(M111="No show","Yes","No"))))</f>
        <v>0</v>
      </c>
      <c r="AD111" s="25">
        <f>IF(B111="","",IF(AE111="","",B111-AE111))</f>
        <v>0</v>
      </c>
      <c r="AF111" s="38">
        <f>IF(B111="","",IF(M111&lt;&gt;"Completed","",IF(E111="","No",IF(COUNTIFS(Appointments!$E$5:$E$1204,E111,Appointments!$B$5:$B$1204,"&gt;"&amp;B111,Appointments!$M$5:$M$1204,"&lt;&gt;Cancelled")&gt;0,"Yes","No"))))</f>
        <v>0</v>
      </c>
      <c r="AG111" s="38">
        <f>IF(B111="","",IF(I111="","",IF(D111="","",IF(COUNTIFS($I$5:$I$1204,I111,$B$5:$B$1204,B111,$D$5:$D$1204,"&lt;"&amp;V111,$V$5:$V$1204,"&gt;"&amp;D111,$M$5:$M$1204,"&lt;&gt;Cancelled")&gt;1,"Clash",""))))</f>
        <v>0</v>
      </c>
      <c r="AH111" s="39">
        <f>IF(B111="","",IF(AG111="Clash","Clash - stylist double booked",IF(I111="","Assign - no stylist yet",IF(G111="","Add - no service chosen",IF(M111="No show","No show - charge the fee?",IF(M111="Cancelled","",IF(IF(M111="Completed",AB111&lt;Y111-0.004,FALSE),"Unpaid - nothing rung up for this visit",IF(IF(B111&lt;TodayDate,M111="Booked",FALSE),"Overdue - past date, still only Booked",IF(IF(B111=TodayDate,TRUE,FALSE),"Today",IF(IF(Z111&gt;0,AA111&lt;Z111-0.004,FALSE),"Due - deposit not taken",IF(IF(B111&gt;TodayDate,B111&lt;=TodayDate+2,FALSE),"Confirm - coming up","OK")))))))))))</f>
        <v>0</v>
      </c>
    </row>
    <row r="112" spans="1:34">
      <c r="A112" s="28">
        <f>IF(B112="","",AppointmentPrefix&amp;TEXT(ROW()-4,"0000"))</f>
        <v>0</v>
      </c>
      <c r="C112" s="15">
        <f>IF(B112="","",TEXT(B112,"ddd"))</f>
        <v>0</v>
      </c>
      <c r="F112" s="15">
        <f>IF(E112="","",IFERROR(INDEX(Clients!$B$5:$B$504,MATCH(E112,Clients!$A$5:$A$504,0)),"Walk-in"))</f>
        <v>0</v>
      </c>
      <c r="H112" s="15">
        <f>IF(G112="","",IFERROR(INDEX(Services!$B$5:$B$204,MATCH(G112,Services!$A$5:$A$204,0)),"Not in Services"))</f>
        <v>0</v>
      </c>
      <c r="J112" s="15">
        <f>IF(I112="","",IFERROR(INDEX(Staff!$B$5:$B$44,MATCH(I112,Staff!$A$5:$A$44,0)),"Unassigned"))</f>
        <v>0</v>
      </c>
      <c r="S112" s="15">
        <f>IF(B112="","",TEXT(B112,"yyyy-mm"))</f>
        <v>0</v>
      </c>
      <c r="T112" s="25">
        <f>IF(B112="","",WEEKNUM(B112,2))</f>
        <v>0</v>
      </c>
      <c r="U112" s="25">
        <f>IF(B112="","",IF(K112&lt;&gt;"",K112,IFERROR(INDEX(Services!$E$5:$E$204,MATCH(G112,Services!$A$5:$A$204,0))*1,0)+IFERROR(INDEX(Services!$F$5:$F$204,MATCH(G112,Services!$A$5:$A$204,0))*1,0)))</f>
        <v>0</v>
      </c>
      <c r="V112" s="36">
        <f>IF(B112="","",IF(D112="","",D112+U112/1440))</f>
        <v>0</v>
      </c>
      <c r="W112" s="25">
        <f>IF(B112="","",IF(D112="","",HOUR(D112)))</f>
        <v>0</v>
      </c>
      <c r="X112" s="37">
        <f>IF(B112="","",ROUND(U112/60,2))</f>
        <v>0</v>
      </c>
      <c r="Y112" s="26">
        <f>IF(B112="","",IF(L112&lt;&gt;"",L112,IFERROR(INDEX(Services!$G$5:$G$204,MATCH(G112,Services!$A$5:$A$204,0))*1,0)))</f>
        <v>0</v>
      </c>
      <c r="Z112" s="26">
        <f>IF(B112="","",IF(O112&lt;&gt;"",O112,IF(Y112&gt;=DepositThreshold,ROUND(Y112*DepositPercent,2),0)))</f>
        <v>0</v>
      </c>
      <c r="AA112" s="26">
        <f>IF(B112="","",ROUND(SUMIFS(Payments!$G$5:$G$1204,Payments!$I$5:$I$1204,A112,Payments!$E$5:$E$1204,"Deposit"),2))</f>
        <v>0</v>
      </c>
      <c r="AB112" s="26">
        <f>IF(B112="","",ROUND(SUMIFS(Sales!$Y$5:$Y$1204,Sales!$C$5:$C$1204,A112),2))</f>
        <v>0</v>
      </c>
      <c r="AC112" s="38">
        <f>IF(B112="","",IF(M112="Completed","Yes",IF(M112="Cancelled","Yes",IF(M112="No show","Yes","No"))))</f>
        <v>0</v>
      </c>
      <c r="AD112" s="25">
        <f>IF(B112="","",IF(AE112="","",B112-AE112))</f>
        <v>0</v>
      </c>
      <c r="AF112" s="38">
        <f>IF(B112="","",IF(M112&lt;&gt;"Completed","",IF(E112="","No",IF(COUNTIFS(Appointments!$E$5:$E$1204,E112,Appointments!$B$5:$B$1204,"&gt;"&amp;B112,Appointments!$M$5:$M$1204,"&lt;&gt;Cancelled")&gt;0,"Yes","No"))))</f>
        <v>0</v>
      </c>
      <c r="AG112" s="38">
        <f>IF(B112="","",IF(I112="","",IF(D112="","",IF(COUNTIFS($I$5:$I$1204,I112,$B$5:$B$1204,B112,$D$5:$D$1204,"&lt;"&amp;V112,$V$5:$V$1204,"&gt;"&amp;D112,$M$5:$M$1204,"&lt;&gt;Cancelled")&gt;1,"Clash",""))))</f>
        <v>0</v>
      </c>
      <c r="AH112" s="39">
        <f>IF(B112="","",IF(AG112="Clash","Clash - stylist double booked",IF(I112="","Assign - no stylist yet",IF(G112="","Add - no service chosen",IF(M112="No show","No show - charge the fee?",IF(M112="Cancelled","",IF(IF(M112="Completed",AB112&lt;Y112-0.004,FALSE),"Unpaid - nothing rung up for this visit",IF(IF(B112&lt;TodayDate,M112="Booked",FALSE),"Overdue - past date, still only Booked",IF(IF(B112=TodayDate,TRUE,FALSE),"Today",IF(IF(Z112&gt;0,AA112&lt;Z112-0.004,FALSE),"Due - deposit not taken",IF(IF(B112&gt;TodayDate,B112&lt;=TodayDate+2,FALSE),"Confirm - coming up","OK")))))))))))</f>
        <v>0</v>
      </c>
    </row>
    <row r="113" spans="1:34">
      <c r="A113" s="28">
        <f>IF(B113="","",AppointmentPrefix&amp;TEXT(ROW()-4,"0000"))</f>
        <v>0</v>
      </c>
      <c r="C113" s="15">
        <f>IF(B113="","",TEXT(B113,"ddd"))</f>
        <v>0</v>
      </c>
      <c r="F113" s="15">
        <f>IF(E113="","",IFERROR(INDEX(Clients!$B$5:$B$504,MATCH(E113,Clients!$A$5:$A$504,0)),"Walk-in"))</f>
        <v>0</v>
      </c>
      <c r="H113" s="15">
        <f>IF(G113="","",IFERROR(INDEX(Services!$B$5:$B$204,MATCH(G113,Services!$A$5:$A$204,0)),"Not in Services"))</f>
        <v>0</v>
      </c>
      <c r="J113" s="15">
        <f>IF(I113="","",IFERROR(INDEX(Staff!$B$5:$B$44,MATCH(I113,Staff!$A$5:$A$44,0)),"Unassigned"))</f>
        <v>0</v>
      </c>
      <c r="S113" s="15">
        <f>IF(B113="","",TEXT(B113,"yyyy-mm"))</f>
        <v>0</v>
      </c>
      <c r="T113" s="25">
        <f>IF(B113="","",WEEKNUM(B113,2))</f>
        <v>0</v>
      </c>
      <c r="U113" s="25">
        <f>IF(B113="","",IF(K113&lt;&gt;"",K113,IFERROR(INDEX(Services!$E$5:$E$204,MATCH(G113,Services!$A$5:$A$204,0))*1,0)+IFERROR(INDEX(Services!$F$5:$F$204,MATCH(G113,Services!$A$5:$A$204,0))*1,0)))</f>
        <v>0</v>
      </c>
      <c r="V113" s="36">
        <f>IF(B113="","",IF(D113="","",D113+U113/1440))</f>
        <v>0</v>
      </c>
      <c r="W113" s="25">
        <f>IF(B113="","",IF(D113="","",HOUR(D113)))</f>
        <v>0</v>
      </c>
      <c r="X113" s="37">
        <f>IF(B113="","",ROUND(U113/60,2))</f>
        <v>0</v>
      </c>
      <c r="Y113" s="26">
        <f>IF(B113="","",IF(L113&lt;&gt;"",L113,IFERROR(INDEX(Services!$G$5:$G$204,MATCH(G113,Services!$A$5:$A$204,0))*1,0)))</f>
        <v>0</v>
      </c>
      <c r="Z113" s="26">
        <f>IF(B113="","",IF(O113&lt;&gt;"",O113,IF(Y113&gt;=DepositThreshold,ROUND(Y113*DepositPercent,2),0)))</f>
        <v>0</v>
      </c>
      <c r="AA113" s="26">
        <f>IF(B113="","",ROUND(SUMIFS(Payments!$G$5:$G$1204,Payments!$I$5:$I$1204,A113,Payments!$E$5:$E$1204,"Deposit"),2))</f>
        <v>0</v>
      </c>
      <c r="AB113" s="26">
        <f>IF(B113="","",ROUND(SUMIFS(Sales!$Y$5:$Y$1204,Sales!$C$5:$C$1204,A113),2))</f>
        <v>0</v>
      </c>
      <c r="AC113" s="38">
        <f>IF(B113="","",IF(M113="Completed","Yes",IF(M113="Cancelled","Yes",IF(M113="No show","Yes","No"))))</f>
        <v>0</v>
      </c>
      <c r="AD113" s="25">
        <f>IF(B113="","",IF(AE113="","",B113-AE113))</f>
        <v>0</v>
      </c>
      <c r="AF113" s="38">
        <f>IF(B113="","",IF(M113&lt;&gt;"Completed","",IF(E113="","No",IF(COUNTIFS(Appointments!$E$5:$E$1204,E113,Appointments!$B$5:$B$1204,"&gt;"&amp;B113,Appointments!$M$5:$M$1204,"&lt;&gt;Cancelled")&gt;0,"Yes","No"))))</f>
        <v>0</v>
      </c>
      <c r="AG113" s="38">
        <f>IF(B113="","",IF(I113="","",IF(D113="","",IF(COUNTIFS($I$5:$I$1204,I113,$B$5:$B$1204,B113,$D$5:$D$1204,"&lt;"&amp;V113,$V$5:$V$1204,"&gt;"&amp;D113,$M$5:$M$1204,"&lt;&gt;Cancelled")&gt;1,"Clash",""))))</f>
        <v>0</v>
      </c>
      <c r="AH113" s="39">
        <f>IF(B113="","",IF(AG113="Clash","Clash - stylist double booked",IF(I113="","Assign - no stylist yet",IF(G113="","Add - no service chosen",IF(M113="No show","No show - charge the fee?",IF(M113="Cancelled","",IF(IF(M113="Completed",AB113&lt;Y113-0.004,FALSE),"Unpaid - nothing rung up for this visit",IF(IF(B113&lt;TodayDate,M113="Booked",FALSE),"Overdue - past date, still only Booked",IF(IF(B113=TodayDate,TRUE,FALSE),"Today",IF(IF(Z113&gt;0,AA113&lt;Z113-0.004,FALSE),"Due - deposit not taken",IF(IF(B113&gt;TodayDate,B113&lt;=TodayDate+2,FALSE),"Confirm - coming up","OK")))))))))))</f>
        <v>0</v>
      </c>
    </row>
    <row r="114" spans="1:34">
      <c r="A114" s="28">
        <f>IF(B114="","",AppointmentPrefix&amp;TEXT(ROW()-4,"0000"))</f>
        <v>0</v>
      </c>
      <c r="C114" s="15">
        <f>IF(B114="","",TEXT(B114,"ddd"))</f>
        <v>0</v>
      </c>
      <c r="F114" s="15">
        <f>IF(E114="","",IFERROR(INDEX(Clients!$B$5:$B$504,MATCH(E114,Clients!$A$5:$A$504,0)),"Walk-in"))</f>
        <v>0</v>
      </c>
      <c r="H114" s="15">
        <f>IF(G114="","",IFERROR(INDEX(Services!$B$5:$B$204,MATCH(G114,Services!$A$5:$A$204,0)),"Not in Services"))</f>
        <v>0</v>
      </c>
      <c r="J114" s="15">
        <f>IF(I114="","",IFERROR(INDEX(Staff!$B$5:$B$44,MATCH(I114,Staff!$A$5:$A$44,0)),"Unassigned"))</f>
        <v>0</v>
      </c>
      <c r="S114" s="15">
        <f>IF(B114="","",TEXT(B114,"yyyy-mm"))</f>
        <v>0</v>
      </c>
      <c r="T114" s="25">
        <f>IF(B114="","",WEEKNUM(B114,2))</f>
        <v>0</v>
      </c>
      <c r="U114" s="25">
        <f>IF(B114="","",IF(K114&lt;&gt;"",K114,IFERROR(INDEX(Services!$E$5:$E$204,MATCH(G114,Services!$A$5:$A$204,0))*1,0)+IFERROR(INDEX(Services!$F$5:$F$204,MATCH(G114,Services!$A$5:$A$204,0))*1,0)))</f>
        <v>0</v>
      </c>
      <c r="V114" s="36">
        <f>IF(B114="","",IF(D114="","",D114+U114/1440))</f>
        <v>0</v>
      </c>
      <c r="W114" s="25">
        <f>IF(B114="","",IF(D114="","",HOUR(D114)))</f>
        <v>0</v>
      </c>
      <c r="X114" s="37">
        <f>IF(B114="","",ROUND(U114/60,2))</f>
        <v>0</v>
      </c>
      <c r="Y114" s="26">
        <f>IF(B114="","",IF(L114&lt;&gt;"",L114,IFERROR(INDEX(Services!$G$5:$G$204,MATCH(G114,Services!$A$5:$A$204,0))*1,0)))</f>
        <v>0</v>
      </c>
      <c r="Z114" s="26">
        <f>IF(B114="","",IF(O114&lt;&gt;"",O114,IF(Y114&gt;=DepositThreshold,ROUND(Y114*DepositPercent,2),0)))</f>
        <v>0</v>
      </c>
      <c r="AA114" s="26">
        <f>IF(B114="","",ROUND(SUMIFS(Payments!$G$5:$G$1204,Payments!$I$5:$I$1204,A114,Payments!$E$5:$E$1204,"Deposit"),2))</f>
        <v>0</v>
      </c>
      <c r="AB114" s="26">
        <f>IF(B114="","",ROUND(SUMIFS(Sales!$Y$5:$Y$1204,Sales!$C$5:$C$1204,A114),2))</f>
        <v>0</v>
      </c>
      <c r="AC114" s="38">
        <f>IF(B114="","",IF(M114="Completed","Yes",IF(M114="Cancelled","Yes",IF(M114="No show","Yes","No"))))</f>
        <v>0</v>
      </c>
      <c r="AD114" s="25">
        <f>IF(B114="","",IF(AE114="","",B114-AE114))</f>
        <v>0</v>
      </c>
      <c r="AF114" s="38">
        <f>IF(B114="","",IF(M114&lt;&gt;"Completed","",IF(E114="","No",IF(COUNTIFS(Appointments!$E$5:$E$1204,E114,Appointments!$B$5:$B$1204,"&gt;"&amp;B114,Appointments!$M$5:$M$1204,"&lt;&gt;Cancelled")&gt;0,"Yes","No"))))</f>
        <v>0</v>
      </c>
      <c r="AG114" s="38">
        <f>IF(B114="","",IF(I114="","",IF(D114="","",IF(COUNTIFS($I$5:$I$1204,I114,$B$5:$B$1204,B114,$D$5:$D$1204,"&lt;"&amp;V114,$V$5:$V$1204,"&gt;"&amp;D114,$M$5:$M$1204,"&lt;&gt;Cancelled")&gt;1,"Clash",""))))</f>
        <v>0</v>
      </c>
      <c r="AH114" s="39">
        <f>IF(B114="","",IF(AG114="Clash","Clash - stylist double booked",IF(I114="","Assign - no stylist yet",IF(G114="","Add - no service chosen",IF(M114="No show","No show - charge the fee?",IF(M114="Cancelled","",IF(IF(M114="Completed",AB114&lt;Y114-0.004,FALSE),"Unpaid - nothing rung up for this visit",IF(IF(B114&lt;TodayDate,M114="Booked",FALSE),"Overdue - past date, still only Booked",IF(IF(B114=TodayDate,TRUE,FALSE),"Today",IF(IF(Z114&gt;0,AA114&lt;Z114-0.004,FALSE),"Due - deposit not taken",IF(IF(B114&gt;TodayDate,B114&lt;=TodayDate+2,FALSE),"Confirm - coming up","OK")))))))))))</f>
        <v>0</v>
      </c>
    </row>
    <row r="115" spans="1:34">
      <c r="A115" s="28">
        <f>IF(B115="","",AppointmentPrefix&amp;TEXT(ROW()-4,"0000"))</f>
        <v>0</v>
      </c>
      <c r="C115" s="15">
        <f>IF(B115="","",TEXT(B115,"ddd"))</f>
        <v>0</v>
      </c>
      <c r="F115" s="15">
        <f>IF(E115="","",IFERROR(INDEX(Clients!$B$5:$B$504,MATCH(E115,Clients!$A$5:$A$504,0)),"Walk-in"))</f>
        <v>0</v>
      </c>
      <c r="H115" s="15">
        <f>IF(G115="","",IFERROR(INDEX(Services!$B$5:$B$204,MATCH(G115,Services!$A$5:$A$204,0)),"Not in Services"))</f>
        <v>0</v>
      </c>
      <c r="J115" s="15">
        <f>IF(I115="","",IFERROR(INDEX(Staff!$B$5:$B$44,MATCH(I115,Staff!$A$5:$A$44,0)),"Unassigned"))</f>
        <v>0</v>
      </c>
      <c r="S115" s="15">
        <f>IF(B115="","",TEXT(B115,"yyyy-mm"))</f>
        <v>0</v>
      </c>
      <c r="T115" s="25">
        <f>IF(B115="","",WEEKNUM(B115,2))</f>
        <v>0</v>
      </c>
      <c r="U115" s="25">
        <f>IF(B115="","",IF(K115&lt;&gt;"",K115,IFERROR(INDEX(Services!$E$5:$E$204,MATCH(G115,Services!$A$5:$A$204,0))*1,0)+IFERROR(INDEX(Services!$F$5:$F$204,MATCH(G115,Services!$A$5:$A$204,0))*1,0)))</f>
        <v>0</v>
      </c>
      <c r="V115" s="36">
        <f>IF(B115="","",IF(D115="","",D115+U115/1440))</f>
        <v>0</v>
      </c>
      <c r="W115" s="25">
        <f>IF(B115="","",IF(D115="","",HOUR(D115)))</f>
        <v>0</v>
      </c>
      <c r="X115" s="37">
        <f>IF(B115="","",ROUND(U115/60,2))</f>
        <v>0</v>
      </c>
      <c r="Y115" s="26">
        <f>IF(B115="","",IF(L115&lt;&gt;"",L115,IFERROR(INDEX(Services!$G$5:$G$204,MATCH(G115,Services!$A$5:$A$204,0))*1,0)))</f>
        <v>0</v>
      </c>
      <c r="Z115" s="26">
        <f>IF(B115="","",IF(O115&lt;&gt;"",O115,IF(Y115&gt;=DepositThreshold,ROUND(Y115*DepositPercent,2),0)))</f>
        <v>0</v>
      </c>
      <c r="AA115" s="26">
        <f>IF(B115="","",ROUND(SUMIFS(Payments!$G$5:$G$1204,Payments!$I$5:$I$1204,A115,Payments!$E$5:$E$1204,"Deposit"),2))</f>
        <v>0</v>
      </c>
      <c r="AB115" s="26">
        <f>IF(B115="","",ROUND(SUMIFS(Sales!$Y$5:$Y$1204,Sales!$C$5:$C$1204,A115),2))</f>
        <v>0</v>
      </c>
      <c r="AC115" s="38">
        <f>IF(B115="","",IF(M115="Completed","Yes",IF(M115="Cancelled","Yes",IF(M115="No show","Yes","No"))))</f>
        <v>0</v>
      </c>
      <c r="AD115" s="25">
        <f>IF(B115="","",IF(AE115="","",B115-AE115))</f>
        <v>0</v>
      </c>
      <c r="AF115" s="38">
        <f>IF(B115="","",IF(M115&lt;&gt;"Completed","",IF(E115="","No",IF(COUNTIFS(Appointments!$E$5:$E$1204,E115,Appointments!$B$5:$B$1204,"&gt;"&amp;B115,Appointments!$M$5:$M$1204,"&lt;&gt;Cancelled")&gt;0,"Yes","No"))))</f>
        <v>0</v>
      </c>
      <c r="AG115" s="38">
        <f>IF(B115="","",IF(I115="","",IF(D115="","",IF(COUNTIFS($I$5:$I$1204,I115,$B$5:$B$1204,B115,$D$5:$D$1204,"&lt;"&amp;V115,$V$5:$V$1204,"&gt;"&amp;D115,$M$5:$M$1204,"&lt;&gt;Cancelled")&gt;1,"Clash",""))))</f>
        <v>0</v>
      </c>
      <c r="AH115" s="39">
        <f>IF(B115="","",IF(AG115="Clash","Clash - stylist double booked",IF(I115="","Assign - no stylist yet",IF(G115="","Add - no service chosen",IF(M115="No show","No show - charge the fee?",IF(M115="Cancelled","",IF(IF(M115="Completed",AB115&lt;Y115-0.004,FALSE),"Unpaid - nothing rung up for this visit",IF(IF(B115&lt;TodayDate,M115="Booked",FALSE),"Overdue - past date, still only Booked",IF(IF(B115=TodayDate,TRUE,FALSE),"Today",IF(IF(Z115&gt;0,AA115&lt;Z115-0.004,FALSE),"Due - deposit not taken",IF(IF(B115&gt;TodayDate,B115&lt;=TodayDate+2,FALSE),"Confirm - coming up","OK")))))))))))</f>
        <v>0</v>
      </c>
    </row>
    <row r="116" spans="1:34">
      <c r="A116" s="28">
        <f>IF(B116="","",AppointmentPrefix&amp;TEXT(ROW()-4,"0000"))</f>
        <v>0</v>
      </c>
      <c r="C116" s="15">
        <f>IF(B116="","",TEXT(B116,"ddd"))</f>
        <v>0</v>
      </c>
      <c r="F116" s="15">
        <f>IF(E116="","",IFERROR(INDEX(Clients!$B$5:$B$504,MATCH(E116,Clients!$A$5:$A$504,0)),"Walk-in"))</f>
        <v>0</v>
      </c>
      <c r="H116" s="15">
        <f>IF(G116="","",IFERROR(INDEX(Services!$B$5:$B$204,MATCH(G116,Services!$A$5:$A$204,0)),"Not in Services"))</f>
        <v>0</v>
      </c>
      <c r="J116" s="15">
        <f>IF(I116="","",IFERROR(INDEX(Staff!$B$5:$B$44,MATCH(I116,Staff!$A$5:$A$44,0)),"Unassigned"))</f>
        <v>0</v>
      </c>
      <c r="S116" s="15">
        <f>IF(B116="","",TEXT(B116,"yyyy-mm"))</f>
        <v>0</v>
      </c>
      <c r="T116" s="25">
        <f>IF(B116="","",WEEKNUM(B116,2))</f>
        <v>0</v>
      </c>
      <c r="U116" s="25">
        <f>IF(B116="","",IF(K116&lt;&gt;"",K116,IFERROR(INDEX(Services!$E$5:$E$204,MATCH(G116,Services!$A$5:$A$204,0))*1,0)+IFERROR(INDEX(Services!$F$5:$F$204,MATCH(G116,Services!$A$5:$A$204,0))*1,0)))</f>
        <v>0</v>
      </c>
      <c r="V116" s="36">
        <f>IF(B116="","",IF(D116="","",D116+U116/1440))</f>
        <v>0</v>
      </c>
      <c r="W116" s="25">
        <f>IF(B116="","",IF(D116="","",HOUR(D116)))</f>
        <v>0</v>
      </c>
      <c r="X116" s="37">
        <f>IF(B116="","",ROUND(U116/60,2))</f>
        <v>0</v>
      </c>
      <c r="Y116" s="26">
        <f>IF(B116="","",IF(L116&lt;&gt;"",L116,IFERROR(INDEX(Services!$G$5:$G$204,MATCH(G116,Services!$A$5:$A$204,0))*1,0)))</f>
        <v>0</v>
      </c>
      <c r="Z116" s="26">
        <f>IF(B116="","",IF(O116&lt;&gt;"",O116,IF(Y116&gt;=DepositThreshold,ROUND(Y116*DepositPercent,2),0)))</f>
        <v>0</v>
      </c>
      <c r="AA116" s="26">
        <f>IF(B116="","",ROUND(SUMIFS(Payments!$G$5:$G$1204,Payments!$I$5:$I$1204,A116,Payments!$E$5:$E$1204,"Deposit"),2))</f>
        <v>0</v>
      </c>
      <c r="AB116" s="26">
        <f>IF(B116="","",ROUND(SUMIFS(Sales!$Y$5:$Y$1204,Sales!$C$5:$C$1204,A116),2))</f>
        <v>0</v>
      </c>
      <c r="AC116" s="38">
        <f>IF(B116="","",IF(M116="Completed","Yes",IF(M116="Cancelled","Yes",IF(M116="No show","Yes","No"))))</f>
        <v>0</v>
      </c>
      <c r="AD116" s="25">
        <f>IF(B116="","",IF(AE116="","",B116-AE116))</f>
        <v>0</v>
      </c>
      <c r="AF116" s="38">
        <f>IF(B116="","",IF(M116&lt;&gt;"Completed","",IF(E116="","No",IF(COUNTIFS(Appointments!$E$5:$E$1204,E116,Appointments!$B$5:$B$1204,"&gt;"&amp;B116,Appointments!$M$5:$M$1204,"&lt;&gt;Cancelled")&gt;0,"Yes","No"))))</f>
        <v>0</v>
      </c>
      <c r="AG116" s="38">
        <f>IF(B116="","",IF(I116="","",IF(D116="","",IF(COUNTIFS($I$5:$I$1204,I116,$B$5:$B$1204,B116,$D$5:$D$1204,"&lt;"&amp;V116,$V$5:$V$1204,"&gt;"&amp;D116,$M$5:$M$1204,"&lt;&gt;Cancelled")&gt;1,"Clash",""))))</f>
        <v>0</v>
      </c>
      <c r="AH116" s="39">
        <f>IF(B116="","",IF(AG116="Clash","Clash - stylist double booked",IF(I116="","Assign - no stylist yet",IF(G116="","Add - no service chosen",IF(M116="No show","No show - charge the fee?",IF(M116="Cancelled","",IF(IF(M116="Completed",AB116&lt;Y116-0.004,FALSE),"Unpaid - nothing rung up for this visit",IF(IF(B116&lt;TodayDate,M116="Booked",FALSE),"Overdue - past date, still only Booked",IF(IF(B116=TodayDate,TRUE,FALSE),"Today",IF(IF(Z116&gt;0,AA116&lt;Z116-0.004,FALSE),"Due - deposit not taken",IF(IF(B116&gt;TodayDate,B116&lt;=TodayDate+2,FALSE),"Confirm - coming up","OK")))))))))))</f>
        <v>0</v>
      </c>
    </row>
    <row r="117" spans="1:34">
      <c r="A117" s="28">
        <f>IF(B117="","",AppointmentPrefix&amp;TEXT(ROW()-4,"0000"))</f>
        <v>0</v>
      </c>
      <c r="C117" s="15">
        <f>IF(B117="","",TEXT(B117,"ddd"))</f>
        <v>0</v>
      </c>
      <c r="F117" s="15">
        <f>IF(E117="","",IFERROR(INDEX(Clients!$B$5:$B$504,MATCH(E117,Clients!$A$5:$A$504,0)),"Walk-in"))</f>
        <v>0</v>
      </c>
      <c r="H117" s="15">
        <f>IF(G117="","",IFERROR(INDEX(Services!$B$5:$B$204,MATCH(G117,Services!$A$5:$A$204,0)),"Not in Services"))</f>
        <v>0</v>
      </c>
      <c r="J117" s="15">
        <f>IF(I117="","",IFERROR(INDEX(Staff!$B$5:$B$44,MATCH(I117,Staff!$A$5:$A$44,0)),"Unassigned"))</f>
        <v>0</v>
      </c>
      <c r="S117" s="15">
        <f>IF(B117="","",TEXT(B117,"yyyy-mm"))</f>
        <v>0</v>
      </c>
      <c r="T117" s="25">
        <f>IF(B117="","",WEEKNUM(B117,2))</f>
        <v>0</v>
      </c>
      <c r="U117" s="25">
        <f>IF(B117="","",IF(K117&lt;&gt;"",K117,IFERROR(INDEX(Services!$E$5:$E$204,MATCH(G117,Services!$A$5:$A$204,0))*1,0)+IFERROR(INDEX(Services!$F$5:$F$204,MATCH(G117,Services!$A$5:$A$204,0))*1,0)))</f>
        <v>0</v>
      </c>
      <c r="V117" s="36">
        <f>IF(B117="","",IF(D117="","",D117+U117/1440))</f>
        <v>0</v>
      </c>
      <c r="W117" s="25">
        <f>IF(B117="","",IF(D117="","",HOUR(D117)))</f>
        <v>0</v>
      </c>
      <c r="X117" s="37">
        <f>IF(B117="","",ROUND(U117/60,2))</f>
        <v>0</v>
      </c>
      <c r="Y117" s="26">
        <f>IF(B117="","",IF(L117&lt;&gt;"",L117,IFERROR(INDEX(Services!$G$5:$G$204,MATCH(G117,Services!$A$5:$A$204,0))*1,0)))</f>
        <v>0</v>
      </c>
      <c r="Z117" s="26">
        <f>IF(B117="","",IF(O117&lt;&gt;"",O117,IF(Y117&gt;=DepositThreshold,ROUND(Y117*DepositPercent,2),0)))</f>
        <v>0</v>
      </c>
      <c r="AA117" s="26">
        <f>IF(B117="","",ROUND(SUMIFS(Payments!$G$5:$G$1204,Payments!$I$5:$I$1204,A117,Payments!$E$5:$E$1204,"Deposit"),2))</f>
        <v>0</v>
      </c>
      <c r="AB117" s="26">
        <f>IF(B117="","",ROUND(SUMIFS(Sales!$Y$5:$Y$1204,Sales!$C$5:$C$1204,A117),2))</f>
        <v>0</v>
      </c>
      <c r="AC117" s="38">
        <f>IF(B117="","",IF(M117="Completed","Yes",IF(M117="Cancelled","Yes",IF(M117="No show","Yes","No"))))</f>
        <v>0</v>
      </c>
      <c r="AD117" s="25">
        <f>IF(B117="","",IF(AE117="","",B117-AE117))</f>
        <v>0</v>
      </c>
      <c r="AF117" s="38">
        <f>IF(B117="","",IF(M117&lt;&gt;"Completed","",IF(E117="","No",IF(COUNTIFS(Appointments!$E$5:$E$1204,E117,Appointments!$B$5:$B$1204,"&gt;"&amp;B117,Appointments!$M$5:$M$1204,"&lt;&gt;Cancelled")&gt;0,"Yes","No"))))</f>
        <v>0</v>
      </c>
      <c r="AG117" s="38">
        <f>IF(B117="","",IF(I117="","",IF(D117="","",IF(COUNTIFS($I$5:$I$1204,I117,$B$5:$B$1204,B117,$D$5:$D$1204,"&lt;"&amp;V117,$V$5:$V$1204,"&gt;"&amp;D117,$M$5:$M$1204,"&lt;&gt;Cancelled")&gt;1,"Clash",""))))</f>
        <v>0</v>
      </c>
      <c r="AH117" s="39">
        <f>IF(B117="","",IF(AG117="Clash","Clash - stylist double booked",IF(I117="","Assign - no stylist yet",IF(G117="","Add - no service chosen",IF(M117="No show","No show - charge the fee?",IF(M117="Cancelled","",IF(IF(M117="Completed",AB117&lt;Y117-0.004,FALSE),"Unpaid - nothing rung up for this visit",IF(IF(B117&lt;TodayDate,M117="Booked",FALSE),"Overdue - past date, still only Booked",IF(IF(B117=TodayDate,TRUE,FALSE),"Today",IF(IF(Z117&gt;0,AA117&lt;Z117-0.004,FALSE),"Due - deposit not taken",IF(IF(B117&gt;TodayDate,B117&lt;=TodayDate+2,FALSE),"Confirm - coming up","OK")))))))))))</f>
        <v>0</v>
      </c>
    </row>
    <row r="118" spans="1:34">
      <c r="A118" s="28">
        <f>IF(B118="","",AppointmentPrefix&amp;TEXT(ROW()-4,"0000"))</f>
        <v>0</v>
      </c>
      <c r="C118" s="15">
        <f>IF(B118="","",TEXT(B118,"ddd"))</f>
        <v>0</v>
      </c>
      <c r="F118" s="15">
        <f>IF(E118="","",IFERROR(INDEX(Clients!$B$5:$B$504,MATCH(E118,Clients!$A$5:$A$504,0)),"Walk-in"))</f>
        <v>0</v>
      </c>
      <c r="H118" s="15">
        <f>IF(G118="","",IFERROR(INDEX(Services!$B$5:$B$204,MATCH(G118,Services!$A$5:$A$204,0)),"Not in Services"))</f>
        <v>0</v>
      </c>
      <c r="J118" s="15">
        <f>IF(I118="","",IFERROR(INDEX(Staff!$B$5:$B$44,MATCH(I118,Staff!$A$5:$A$44,0)),"Unassigned"))</f>
        <v>0</v>
      </c>
      <c r="S118" s="15">
        <f>IF(B118="","",TEXT(B118,"yyyy-mm"))</f>
        <v>0</v>
      </c>
      <c r="T118" s="25">
        <f>IF(B118="","",WEEKNUM(B118,2))</f>
        <v>0</v>
      </c>
      <c r="U118" s="25">
        <f>IF(B118="","",IF(K118&lt;&gt;"",K118,IFERROR(INDEX(Services!$E$5:$E$204,MATCH(G118,Services!$A$5:$A$204,0))*1,0)+IFERROR(INDEX(Services!$F$5:$F$204,MATCH(G118,Services!$A$5:$A$204,0))*1,0)))</f>
        <v>0</v>
      </c>
      <c r="V118" s="36">
        <f>IF(B118="","",IF(D118="","",D118+U118/1440))</f>
        <v>0</v>
      </c>
      <c r="W118" s="25">
        <f>IF(B118="","",IF(D118="","",HOUR(D118)))</f>
        <v>0</v>
      </c>
      <c r="X118" s="37">
        <f>IF(B118="","",ROUND(U118/60,2))</f>
        <v>0</v>
      </c>
      <c r="Y118" s="26">
        <f>IF(B118="","",IF(L118&lt;&gt;"",L118,IFERROR(INDEX(Services!$G$5:$G$204,MATCH(G118,Services!$A$5:$A$204,0))*1,0)))</f>
        <v>0</v>
      </c>
      <c r="Z118" s="26">
        <f>IF(B118="","",IF(O118&lt;&gt;"",O118,IF(Y118&gt;=DepositThreshold,ROUND(Y118*DepositPercent,2),0)))</f>
        <v>0</v>
      </c>
      <c r="AA118" s="26">
        <f>IF(B118="","",ROUND(SUMIFS(Payments!$G$5:$G$1204,Payments!$I$5:$I$1204,A118,Payments!$E$5:$E$1204,"Deposit"),2))</f>
        <v>0</v>
      </c>
      <c r="AB118" s="26">
        <f>IF(B118="","",ROUND(SUMIFS(Sales!$Y$5:$Y$1204,Sales!$C$5:$C$1204,A118),2))</f>
        <v>0</v>
      </c>
      <c r="AC118" s="38">
        <f>IF(B118="","",IF(M118="Completed","Yes",IF(M118="Cancelled","Yes",IF(M118="No show","Yes","No"))))</f>
        <v>0</v>
      </c>
      <c r="AD118" s="25">
        <f>IF(B118="","",IF(AE118="","",B118-AE118))</f>
        <v>0</v>
      </c>
      <c r="AF118" s="38">
        <f>IF(B118="","",IF(M118&lt;&gt;"Completed","",IF(E118="","No",IF(COUNTIFS(Appointments!$E$5:$E$1204,E118,Appointments!$B$5:$B$1204,"&gt;"&amp;B118,Appointments!$M$5:$M$1204,"&lt;&gt;Cancelled")&gt;0,"Yes","No"))))</f>
        <v>0</v>
      </c>
      <c r="AG118" s="38">
        <f>IF(B118="","",IF(I118="","",IF(D118="","",IF(COUNTIFS($I$5:$I$1204,I118,$B$5:$B$1204,B118,$D$5:$D$1204,"&lt;"&amp;V118,$V$5:$V$1204,"&gt;"&amp;D118,$M$5:$M$1204,"&lt;&gt;Cancelled")&gt;1,"Clash",""))))</f>
        <v>0</v>
      </c>
      <c r="AH118" s="39">
        <f>IF(B118="","",IF(AG118="Clash","Clash - stylist double booked",IF(I118="","Assign - no stylist yet",IF(G118="","Add - no service chosen",IF(M118="No show","No show - charge the fee?",IF(M118="Cancelled","",IF(IF(M118="Completed",AB118&lt;Y118-0.004,FALSE),"Unpaid - nothing rung up for this visit",IF(IF(B118&lt;TodayDate,M118="Booked",FALSE),"Overdue - past date, still only Booked",IF(IF(B118=TodayDate,TRUE,FALSE),"Today",IF(IF(Z118&gt;0,AA118&lt;Z118-0.004,FALSE),"Due - deposit not taken",IF(IF(B118&gt;TodayDate,B118&lt;=TodayDate+2,FALSE),"Confirm - coming up","OK")))))))))))</f>
        <v>0</v>
      </c>
    </row>
    <row r="119" spans="1:34">
      <c r="A119" s="28">
        <f>IF(B119="","",AppointmentPrefix&amp;TEXT(ROW()-4,"0000"))</f>
        <v>0</v>
      </c>
      <c r="C119" s="15">
        <f>IF(B119="","",TEXT(B119,"ddd"))</f>
        <v>0</v>
      </c>
      <c r="F119" s="15">
        <f>IF(E119="","",IFERROR(INDEX(Clients!$B$5:$B$504,MATCH(E119,Clients!$A$5:$A$504,0)),"Walk-in"))</f>
        <v>0</v>
      </c>
      <c r="H119" s="15">
        <f>IF(G119="","",IFERROR(INDEX(Services!$B$5:$B$204,MATCH(G119,Services!$A$5:$A$204,0)),"Not in Services"))</f>
        <v>0</v>
      </c>
      <c r="J119" s="15">
        <f>IF(I119="","",IFERROR(INDEX(Staff!$B$5:$B$44,MATCH(I119,Staff!$A$5:$A$44,0)),"Unassigned"))</f>
        <v>0</v>
      </c>
      <c r="S119" s="15">
        <f>IF(B119="","",TEXT(B119,"yyyy-mm"))</f>
        <v>0</v>
      </c>
      <c r="T119" s="25">
        <f>IF(B119="","",WEEKNUM(B119,2))</f>
        <v>0</v>
      </c>
      <c r="U119" s="25">
        <f>IF(B119="","",IF(K119&lt;&gt;"",K119,IFERROR(INDEX(Services!$E$5:$E$204,MATCH(G119,Services!$A$5:$A$204,0))*1,0)+IFERROR(INDEX(Services!$F$5:$F$204,MATCH(G119,Services!$A$5:$A$204,0))*1,0)))</f>
        <v>0</v>
      </c>
      <c r="V119" s="36">
        <f>IF(B119="","",IF(D119="","",D119+U119/1440))</f>
        <v>0</v>
      </c>
      <c r="W119" s="25">
        <f>IF(B119="","",IF(D119="","",HOUR(D119)))</f>
        <v>0</v>
      </c>
      <c r="X119" s="37">
        <f>IF(B119="","",ROUND(U119/60,2))</f>
        <v>0</v>
      </c>
      <c r="Y119" s="26">
        <f>IF(B119="","",IF(L119&lt;&gt;"",L119,IFERROR(INDEX(Services!$G$5:$G$204,MATCH(G119,Services!$A$5:$A$204,0))*1,0)))</f>
        <v>0</v>
      </c>
      <c r="Z119" s="26">
        <f>IF(B119="","",IF(O119&lt;&gt;"",O119,IF(Y119&gt;=DepositThreshold,ROUND(Y119*DepositPercent,2),0)))</f>
        <v>0</v>
      </c>
      <c r="AA119" s="26">
        <f>IF(B119="","",ROUND(SUMIFS(Payments!$G$5:$G$1204,Payments!$I$5:$I$1204,A119,Payments!$E$5:$E$1204,"Deposit"),2))</f>
        <v>0</v>
      </c>
      <c r="AB119" s="26">
        <f>IF(B119="","",ROUND(SUMIFS(Sales!$Y$5:$Y$1204,Sales!$C$5:$C$1204,A119),2))</f>
        <v>0</v>
      </c>
      <c r="AC119" s="38">
        <f>IF(B119="","",IF(M119="Completed","Yes",IF(M119="Cancelled","Yes",IF(M119="No show","Yes","No"))))</f>
        <v>0</v>
      </c>
      <c r="AD119" s="25">
        <f>IF(B119="","",IF(AE119="","",B119-AE119))</f>
        <v>0</v>
      </c>
      <c r="AF119" s="38">
        <f>IF(B119="","",IF(M119&lt;&gt;"Completed","",IF(E119="","No",IF(COUNTIFS(Appointments!$E$5:$E$1204,E119,Appointments!$B$5:$B$1204,"&gt;"&amp;B119,Appointments!$M$5:$M$1204,"&lt;&gt;Cancelled")&gt;0,"Yes","No"))))</f>
        <v>0</v>
      </c>
      <c r="AG119" s="38">
        <f>IF(B119="","",IF(I119="","",IF(D119="","",IF(COUNTIFS($I$5:$I$1204,I119,$B$5:$B$1204,B119,$D$5:$D$1204,"&lt;"&amp;V119,$V$5:$V$1204,"&gt;"&amp;D119,$M$5:$M$1204,"&lt;&gt;Cancelled")&gt;1,"Clash",""))))</f>
        <v>0</v>
      </c>
      <c r="AH119" s="39">
        <f>IF(B119="","",IF(AG119="Clash","Clash - stylist double booked",IF(I119="","Assign - no stylist yet",IF(G119="","Add - no service chosen",IF(M119="No show","No show - charge the fee?",IF(M119="Cancelled","",IF(IF(M119="Completed",AB119&lt;Y119-0.004,FALSE),"Unpaid - nothing rung up for this visit",IF(IF(B119&lt;TodayDate,M119="Booked",FALSE),"Overdue - past date, still only Booked",IF(IF(B119=TodayDate,TRUE,FALSE),"Today",IF(IF(Z119&gt;0,AA119&lt;Z119-0.004,FALSE),"Due - deposit not taken",IF(IF(B119&gt;TodayDate,B119&lt;=TodayDate+2,FALSE),"Confirm - coming up","OK")))))))))))</f>
        <v>0</v>
      </c>
    </row>
    <row r="120" spans="1:34">
      <c r="A120" s="28">
        <f>IF(B120="","",AppointmentPrefix&amp;TEXT(ROW()-4,"0000"))</f>
        <v>0</v>
      </c>
      <c r="C120" s="15">
        <f>IF(B120="","",TEXT(B120,"ddd"))</f>
        <v>0</v>
      </c>
      <c r="F120" s="15">
        <f>IF(E120="","",IFERROR(INDEX(Clients!$B$5:$B$504,MATCH(E120,Clients!$A$5:$A$504,0)),"Walk-in"))</f>
        <v>0</v>
      </c>
      <c r="H120" s="15">
        <f>IF(G120="","",IFERROR(INDEX(Services!$B$5:$B$204,MATCH(G120,Services!$A$5:$A$204,0)),"Not in Services"))</f>
        <v>0</v>
      </c>
      <c r="J120" s="15">
        <f>IF(I120="","",IFERROR(INDEX(Staff!$B$5:$B$44,MATCH(I120,Staff!$A$5:$A$44,0)),"Unassigned"))</f>
        <v>0</v>
      </c>
      <c r="S120" s="15">
        <f>IF(B120="","",TEXT(B120,"yyyy-mm"))</f>
        <v>0</v>
      </c>
      <c r="T120" s="25">
        <f>IF(B120="","",WEEKNUM(B120,2))</f>
        <v>0</v>
      </c>
      <c r="U120" s="25">
        <f>IF(B120="","",IF(K120&lt;&gt;"",K120,IFERROR(INDEX(Services!$E$5:$E$204,MATCH(G120,Services!$A$5:$A$204,0))*1,0)+IFERROR(INDEX(Services!$F$5:$F$204,MATCH(G120,Services!$A$5:$A$204,0))*1,0)))</f>
        <v>0</v>
      </c>
      <c r="V120" s="36">
        <f>IF(B120="","",IF(D120="","",D120+U120/1440))</f>
        <v>0</v>
      </c>
      <c r="W120" s="25">
        <f>IF(B120="","",IF(D120="","",HOUR(D120)))</f>
        <v>0</v>
      </c>
      <c r="X120" s="37">
        <f>IF(B120="","",ROUND(U120/60,2))</f>
        <v>0</v>
      </c>
      <c r="Y120" s="26">
        <f>IF(B120="","",IF(L120&lt;&gt;"",L120,IFERROR(INDEX(Services!$G$5:$G$204,MATCH(G120,Services!$A$5:$A$204,0))*1,0)))</f>
        <v>0</v>
      </c>
      <c r="Z120" s="26">
        <f>IF(B120="","",IF(O120&lt;&gt;"",O120,IF(Y120&gt;=DepositThreshold,ROUND(Y120*DepositPercent,2),0)))</f>
        <v>0</v>
      </c>
      <c r="AA120" s="26">
        <f>IF(B120="","",ROUND(SUMIFS(Payments!$G$5:$G$1204,Payments!$I$5:$I$1204,A120,Payments!$E$5:$E$1204,"Deposit"),2))</f>
        <v>0</v>
      </c>
      <c r="AB120" s="26">
        <f>IF(B120="","",ROUND(SUMIFS(Sales!$Y$5:$Y$1204,Sales!$C$5:$C$1204,A120),2))</f>
        <v>0</v>
      </c>
      <c r="AC120" s="38">
        <f>IF(B120="","",IF(M120="Completed","Yes",IF(M120="Cancelled","Yes",IF(M120="No show","Yes","No"))))</f>
        <v>0</v>
      </c>
      <c r="AD120" s="25">
        <f>IF(B120="","",IF(AE120="","",B120-AE120))</f>
        <v>0</v>
      </c>
      <c r="AF120" s="38">
        <f>IF(B120="","",IF(M120&lt;&gt;"Completed","",IF(E120="","No",IF(COUNTIFS(Appointments!$E$5:$E$1204,E120,Appointments!$B$5:$B$1204,"&gt;"&amp;B120,Appointments!$M$5:$M$1204,"&lt;&gt;Cancelled")&gt;0,"Yes","No"))))</f>
        <v>0</v>
      </c>
      <c r="AG120" s="38">
        <f>IF(B120="","",IF(I120="","",IF(D120="","",IF(COUNTIFS($I$5:$I$1204,I120,$B$5:$B$1204,B120,$D$5:$D$1204,"&lt;"&amp;V120,$V$5:$V$1204,"&gt;"&amp;D120,$M$5:$M$1204,"&lt;&gt;Cancelled")&gt;1,"Clash",""))))</f>
        <v>0</v>
      </c>
      <c r="AH120" s="39">
        <f>IF(B120="","",IF(AG120="Clash","Clash - stylist double booked",IF(I120="","Assign - no stylist yet",IF(G120="","Add - no service chosen",IF(M120="No show","No show - charge the fee?",IF(M120="Cancelled","",IF(IF(M120="Completed",AB120&lt;Y120-0.004,FALSE),"Unpaid - nothing rung up for this visit",IF(IF(B120&lt;TodayDate,M120="Booked",FALSE),"Overdue - past date, still only Booked",IF(IF(B120=TodayDate,TRUE,FALSE),"Today",IF(IF(Z120&gt;0,AA120&lt;Z120-0.004,FALSE),"Due - deposit not taken",IF(IF(B120&gt;TodayDate,B120&lt;=TodayDate+2,FALSE),"Confirm - coming up","OK")))))))))))</f>
        <v>0</v>
      </c>
    </row>
    <row r="121" spans="1:34">
      <c r="A121" s="28">
        <f>IF(B121="","",AppointmentPrefix&amp;TEXT(ROW()-4,"0000"))</f>
        <v>0</v>
      </c>
      <c r="C121" s="15">
        <f>IF(B121="","",TEXT(B121,"ddd"))</f>
        <v>0</v>
      </c>
      <c r="F121" s="15">
        <f>IF(E121="","",IFERROR(INDEX(Clients!$B$5:$B$504,MATCH(E121,Clients!$A$5:$A$504,0)),"Walk-in"))</f>
        <v>0</v>
      </c>
      <c r="H121" s="15">
        <f>IF(G121="","",IFERROR(INDEX(Services!$B$5:$B$204,MATCH(G121,Services!$A$5:$A$204,0)),"Not in Services"))</f>
        <v>0</v>
      </c>
      <c r="J121" s="15">
        <f>IF(I121="","",IFERROR(INDEX(Staff!$B$5:$B$44,MATCH(I121,Staff!$A$5:$A$44,0)),"Unassigned"))</f>
        <v>0</v>
      </c>
      <c r="S121" s="15">
        <f>IF(B121="","",TEXT(B121,"yyyy-mm"))</f>
        <v>0</v>
      </c>
      <c r="T121" s="25">
        <f>IF(B121="","",WEEKNUM(B121,2))</f>
        <v>0</v>
      </c>
      <c r="U121" s="25">
        <f>IF(B121="","",IF(K121&lt;&gt;"",K121,IFERROR(INDEX(Services!$E$5:$E$204,MATCH(G121,Services!$A$5:$A$204,0))*1,0)+IFERROR(INDEX(Services!$F$5:$F$204,MATCH(G121,Services!$A$5:$A$204,0))*1,0)))</f>
        <v>0</v>
      </c>
      <c r="V121" s="36">
        <f>IF(B121="","",IF(D121="","",D121+U121/1440))</f>
        <v>0</v>
      </c>
      <c r="W121" s="25">
        <f>IF(B121="","",IF(D121="","",HOUR(D121)))</f>
        <v>0</v>
      </c>
      <c r="X121" s="37">
        <f>IF(B121="","",ROUND(U121/60,2))</f>
        <v>0</v>
      </c>
      <c r="Y121" s="26">
        <f>IF(B121="","",IF(L121&lt;&gt;"",L121,IFERROR(INDEX(Services!$G$5:$G$204,MATCH(G121,Services!$A$5:$A$204,0))*1,0)))</f>
        <v>0</v>
      </c>
      <c r="Z121" s="26">
        <f>IF(B121="","",IF(O121&lt;&gt;"",O121,IF(Y121&gt;=DepositThreshold,ROUND(Y121*DepositPercent,2),0)))</f>
        <v>0</v>
      </c>
      <c r="AA121" s="26">
        <f>IF(B121="","",ROUND(SUMIFS(Payments!$G$5:$G$1204,Payments!$I$5:$I$1204,A121,Payments!$E$5:$E$1204,"Deposit"),2))</f>
        <v>0</v>
      </c>
      <c r="AB121" s="26">
        <f>IF(B121="","",ROUND(SUMIFS(Sales!$Y$5:$Y$1204,Sales!$C$5:$C$1204,A121),2))</f>
        <v>0</v>
      </c>
      <c r="AC121" s="38">
        <f>IF(B121="","",IF(M121="Completed","Yes",IF(M121="Cancelled","Yes",IF(M121="No show","Yes","No"))))</f>
        <v>0</v>
      </c>
      <c r="AD121" s="25">
        <f>IF(B121="","",IF(AE121="","",B121-AE121))</f>
        <v>0</v>
      </c>
      <c r="AF121" s="38">
        <f>IF(B121="","",IF(M121&lt;&gt;"Completed","",IF(E121="","No",IF(COUNTIFS(Appointments!$E$5:$E$1204,E121,Appointments!$B$5:$B$1204,"&gt;"&amp;B121,Appointments!$M$5:$M$1204,"&lt;&gt;Cancelled")&gt;0,"Yes","No"))))</f>
        <v>0</v>
      </c>
      <c r="AG121" s="38">
        <f>IF(B121="","",IF(I121="","",IF(D121="","",IF(COUNTIFS($I$5:$I$1204,I121,$B$5:$B$1204,B121,$D$5:$D$1204,"&lt;"&amp;V121,$V$5:$V$1204,"&gt;"&amp;D121,$M$5:$M$1204,"&lt;&gt;Cancelled")&gt;1,"Clash",""))))</f>
        <v>0</v>
      </c>
      <c r="AH121" s="39">
        <f>IF(B121="","",IF(AG121="Clash","Clash - stylist double booked",IF(I121="","Assign - no stylist yet",IF(G121="","Add - no service chosen",IF(M121="No show","No show - charge the fee?",IF(M121="Cancelled","",IF(IF(M121="Completed",AB121&lt;Y121-0.004,FALSE),"Unpaid - nothing rung up for this visit",IF(IF(B121&lt;TodayDate,M121="Booked",FALSE),"Overdue - past date, still only Booked",IF(IF(B121=TodayDate,TRUE,FALSE),"Today",IF(IF(Z121&gt;0,AA121&lt;Z121-0.004,FALSE),"Due - deposit not taken",IF(IF(B121&gt;TodayDate,B121&lt;=TodayDate+2,FALSE),"Confirm - coming up","OK")))))))))))</f>
        <v>0</v>
      </c>
    </row>
    <row r="122" spans="1:34">
      <c r="A122" s="28">
        <f>IF(B122="","",AppointmentPrefix&amp;TEXT(ROW()-4,"0000"))</f>
        <v>0</v>
      </c>
      <c r="C122" s="15">
        <f>IF(B122="","",TEXT(B122,"ddd"))</f>
        <v>0</v>
      </c>
      <c r="F122" s="15">
        <f>IF(E122="","",IFERROR(INDEX(Clients!$B$5:$B$504,MATCH(E122,Clients!$A$5:$A$504,0)),"Walk-in"))</f>
        <v>0</v>
      </c>
      <c r="H122" s="15">
        <f>IF(G122="","",IFERROR(INDEX(Services!$B$5:$B$204,MATCH(G122,Services!$A$5:$A$204,0)),"Not in Services"))</f>
        <v>0</v>
      </c>
      <c r="J122" s="15">
        <f>IF(I122="","",IFERROR(INDEX(Staff!$B$5:$B$44,MATCH(I122,Staff!$A$5:$A$44,0)),"Unassigned"))</f>
        <v>0</v>
      </c>
      <c r="S122" s="15">
        <f>IF(B122="","",TEXT(B122,"yyyy-mm"))</f>
        <v>0</v>
      </c>
      <c r="T122" s="25">
        <f>IF(B122="","",WEEKNUM(B122,2))</f>
        <v>0</v>
      </c>
      <c r="U122" s="25">
        <f>IF(B122="","",IF(K122&lt;&gt;"",K122,IFERROR(INDEX(Services!$E$5:$E$204,MATCH(G122,Services!$A$5:$A$204,0))*1,0)+IFERROR(INDEX(Services!$F$5:$F$204,MATCH(G122,Services!$A$5:$A$204,0))*1,0)))</f>
        <v>0</v>
      </c>
      <c r="V122" s="36">
        <f>IF(B122="","",IF(D122="","",D122+U122/1440))</f>
        <v>0</v>
      </c>
      <c r="W122" s="25">
        <f>IF(B122="","",IF(D122="","",HOUR(D122)))</f>
        <v>0</v>
      </c>
      <c r="X122" s="37">
        <f>IF(B122="","",ROUND(U122/60,2))</f>
        <v>0</v>
      </c>
      <c r="Y122" s="26">
        <f>IF(B122="","",IF(L122&lt;&gt;"",L122,IFERROR(INDEX(Services!$G$5:$G$204,MATCH(G122,Services!$A$5:$A$204,0))*1,0)))</f>
        <v>0</v>
      </c>
      <c r="Z122" s="26">
        <f>IF(B122="","",IF(O122&lt;&gt;"",O122,IF(Y122&gt;=DepositThreshold,ROUND(Y122*DepositPercent,2),0)))</f>
        <v>0</v>
      </c>
      <c r="AA122" s="26">
        <f>IF(B122="","",ROUND(SUMIFS(Payments!$G$5:$G$1204,Payments!$I$5:$I$1204,A122,Payments!$E$5:$E$1204,"Deposit"),2))</f>
        <v>0</v>
      </c>
      <c r="AB122" s="26">
        <f>IF(B122="","",ROUND(SUMIFS(Sales!$Y$5:$Y$1204,Sales!$C$5:$C$1204,A122),2))</f>
        <v>0</v>
      </c>
      <c r="AC122" s="38">
        <f>IF(B122="","",IF(M122="Completed","Yes",IF(M122="Cancelled","Yes",IF(M122="No show","Yes","No"))))</f>
        <v>0</v>
      </c>
      <c r="AD122" s="25">
        <f>IF(B122="","",IF(AE122="","",B122-AE122))</f>
        <v>0</v>
      </c>
      <c r="AF122" s="38">
        <f>IF(B122="","",IF(M122&lt;&gt;"Completed","",IF(E122="","No",IF(COUNTIFS(Appointments!$E$5:$E$1204,E122,Appointments!$B$5:$B$1204,"&gt;"&amp;B122,Appointments!$M$5:$M$1204,"&lt;&gt;Cancelled")&gt;0,"Yes","No"))))</f>
        <v>0</v>
      </c>
      <c r="AG122" s="38">
        <f>IF(B122="","",IF(I122="","",IF(D122="","",IF(COUNTIFS($I$5:$I$1204,I122,$B$5:$B$1204,B122,$D$5:$D$1204,"&lt;"&amp;V122,$V$5:$V$1204,"&gt;"&amp;D122,$M$5:$M$1204,"&lt;&gt;Cancelled")&gt;1,"Clash",""))))</f>
        <v>0</v>
      </c>
      <c r="AH122" s="39">
        <f>IF(B122="","",IF(AG122="Clash","Clash - stylist double booked",IF(I122="","Assign - no stylist yet",IF(G122="","Add - no service chosen",IF(M122="No show","No show - charge the fee?",IF(M122="Cancelled","",IF(IF(M122="Completed",AB122&lt;Y122-0.004,FALSE),"Unpaid - nothing rung up for this visit",IF(IF(B122&lt;TodayDate,M122="Booked",FALSE),"Overdue - past date, still only Booked",IF(IF(B122=TodayDate,TRUE,FALSE),"Today",IF(IF(Z122&gt;0,AA122&lt;Z122-0.004,FALSE),"Due - deposit not taken",IF(IF(B122&gt;TodayDate,B122&lt;=TodayDate+2,FALSE),"Confirm - coming up","OK")))))))))))</f>
        <v>0</v>
      </c>
    </row>
    <row r="123" spans="1:34">
      <c r="A123" s="28">
        <f>IF(B123="","",AppointmentPrefix&amp;TEXT(ROW()-4,"0000"))</f>
        <v>0</v>
      </c>
      <c r="C123" s="15">
        <f>IF(B123="","",TEXT(B123,"ddd"))</f>
        <v>0</v>
      </c>
      <c r="F123" s="15">
        <f>IF(E123="","",IFERROR(INDEX(Clients!$B$5:$B$504,MATCH(E123,Clients!$A$5:$A$504,0)),"Walk-in"))</f>
        <v>0</v>
      </c>
      <c r="H123" s="15">
        <f>IF(G123="","",IFERROR(INDEX(Services!$B$5:$B$204,MATCH(G123,Services!$A$5:$A$204,0)),"Not in Services"))</f>
        <v>0</v>
      </c>
      <c r="J123" s="15">
        <f>IF(I123="","",IFERROR(INDEX(Staff!$B$5:$B$44,MATCH(I123,Staff!$A$5:$A$44,0)),"Unassigned"))</f>
        <v>0</v>
      </c>
      <c r="S123" s="15">
        <f>IF(B123="","",TEXT(B123,"yyyy-mm"))</f>
        <v>0</v>
      </c>
      <c r="T123" s="25">
        <f>IF(B123="","",WEEKNUM(B123,2))</f>
        <v>0</v>
      </c>
      <c r="U123" s="25">
        <f>IF(B123="","",IF(K123&lt;&gt;"",K123,IFERROR(INDEX(Services!$E$5:$E$204,MATCH(G123,Services!$A$5:$A$204,0))*1,0)+IFERROR(INDEX(Services!$F$5:$F$204,MATCH(G123,Services!$A$5:$A$204,0))*1,0)))</f>
        <v>0</v>
      </c>
      <c r="V123" s="36">
        <f>IF(B123="","",IF(D123="","",D123+U123/1440))</f>
        <v>0</v>
      </c>
      <c r="W123" s="25">
        <f>IF(B123="","",IF(D123="","",HOUR(D123)))</f>
        <v>0</v>
      </c>
      <c r="X123" s="37">
        <f>IF(B123="","",ROUND(U123/60,2))</f>
        <v>0</v>
      </c>
      <c r="Y123" s="26">
        <f>IF(B123="","",IF(L123&lt;&gt;"",L123,IFERROR(INDEX(Services!$G$5:$G$204,MATCH(G123,Services!$A$5:$A$204,0))*1,0)))</f>
        <v>0</v>
      </c>
      <c r="Z123" s="26">
        <f>IF(B123="","",IF(O123&lt;&gt;"",O123,IF(Y123&gt;=DepositThreshold,ROUND(Y123*DepositPercent,2),0)))</f>
        <v>0</v>
      </c>
      <c r="AA123" s="26">
        <f>IF(B123="","",ROUND(SUMIFS(Payments!$G$5:$G$1204,Payments!$I$5:$I$1204,A123,Payments!$E$5:$E$1204,"Deposit"),2))</f>
        <v>0</v>
      </c>
      <c r="AB123" s="26">
        <f>IF(B123="","",ROUND(SUMIFS(Sales!$Y$5:$Y$1204,Sales!$C$5:$C$1204,A123),2))</f>
        <v>0</v>
      </c>
      <c r="AC123" s="38">
        <f>IF(B123="","",IF(M123="Completed","Yes",IF(M123="Cancelled","Yes",IF(M123="No show","Yes","No"))))</f>
        <v>0</v>
      </c>
      <c r="AD123" s="25">
        <f>IF(B123="","",IF(AE123="","",B123-AE123))</f>
        <v>0</v>
      </c>
      <c r="AF123" s="38">
        <f>IF(B123="","",IF(M123&lt;&gt;"Completed","",IF(E123="","No",IF(COUNTIFS(Appointments!$E$5:$E$1204,E123,Appointments!$B$5:$B$1204,"&gt;"&amp;B123,Appointments!$M$5:$M$1204,"&lt;&gt;Cancelled")&gt;0,"Yes","No"))))</f>
        <v>0</v>
      </c>
      <c r="AG123" s="38">
        <f>IF(B123="","",IF(I123="","",IF(D123="","",IF(COUNTIFS($I$5:$I$1204,I123,$B$5:$B$1204,B123,$D$5:$D$1204,"&lt;"&amp;V123,$V$5:$V$1204,"&gt;"&amp;D123,$M$5:$M$1204,"&lt;&gt;Cancelled")&gt;1,"Clash",""))))</f>
        <v>0</v>
      </c>
      <c r="AH123" s="39">
        <f>IF(B123="","",IF(AG123="Clash","Clash - stylist double booked",IF(I123="","Assign - no stylist yet",IF(G123="","Add - no service chosen",IF(M123="No show","No show - charge the fee?",IF(M123="Cancelled","",IF(IF(M123="Completed",AB123&lt;Y123-0.004,FALSE),"Unpaid - nothing rung up for this visit",IF(IF(B123&lt;TodayDate,M123="Booked",FALSE),"Overdue - past date, still only Booked",IF(IF(B123=TodayDate,TRUE,FALSE),"Today",IF(IF(Z123&gt;0,AA123&lt;Z123-0.004,FALSE),"Due - deposit not taken",IF(IF(B123&gt;TodayDate,B123&lt;=TodayDate+2,FALSE),"Confirm - coming up","OK")))))))))))</f>
        <v>0</v>
      </c>
    </row>
    <row r="124" spans="1:34">
      <c r="A124" s="28">
        <f>IF(B124="","",AppointmentPrefix&amp;TEXT(ROW()-4,"0000"))</f>
        <v>0</v>
      </c>
      <c r="C124" s="15">
        <f>IF(B124="","",TEXT(B124,"ddd"))</f>
        <v>0</v>
      </c>
      <c r="F124" s="15">
        <f>IF(E124="","",IFERROR(INDEX(Clients!$B$5:$B$504,MATCH(E124,Clients!$A$5:$A$504,0)),"Walk-in"))</f>
        <v>0</v>
      </c>
      <c r="H124" s="15">
        <f>IF(G124="","",IFERROR(INDEX(Services!$B$5:$B$204,MATCH(G124,Services!$A$5:$A$204,0)),"Not in Services"))</f>
        <v>0</v>
      </c>
      <c r="J124" s="15">
        <f>IF(I124="","",IFERROR(INDEX(Staff!$B$5:$B$44,MATCH(I124,Staff!$A$5:$A$44,0)),"Unassigned"))</f>
        <v>0</v>
      </c>
      <c r="S124" s="15">
        <f>IF(B124="","",TEXT(B124,"yyyy-mm"))</f>
        <v>0</v>
      </c>
      <c r="T124" s="25">
        <f>IF(B124="","",WEEKNUM(B124,2))</f>
        <v>0</v>
      </c>
      <c r="U124" s="25">
        <f>IF(B124="","",IF(K124&lt;&gt;"",K124,IFERROR(INDEX(Services!$E$5:$E$204,MATCH(G124,Services!$A$5:$A$204,0))*1,0)+IFERROR(INDEX(Services!$F$5:$F$204,MATCH(G124,Services!$A$5:$A$204,0))*1,0)))</f>
        <v>0</v>
      </c>
      <c r="V124" s="36">
        <f>IF(B124="","",IF(D124="","",D124+U124/1440))</f>
        <v>0</v>
      </c>
      <c r="W124" s="25">
        <f>IF(B124="","",IF(D124="","",HOUR(D124)))</f>
        <v>0</v>
      </c>
      <c r="X124" s="37">
        <f>IF(B124="","",ROUND(U124/60,2))</f>
        <v>0</v>
      </c>
      <c r="Y124" s="26">
        <f>IF(B124="","",IF(L124&lt;&gt;"",L124,IFERROR(INDEX(Services!$G$5:$G$204,MATCH(G124,Services!$A$5:$A$204,0))*1,0)))</f>
        <v>0</v>
      </c>
      <c r="Z124" s="26">
        <f>IF(B124="","",IF(O124&lt;&gt;"",O124,IF(Y124&gt;=DepositThreshold,ROUND(Y124*DepositPercent,2),0)))</f>
        <v>0</v>
      </c>
      <c r="AA124" s="26">
        <f>IF(B124="","",ROUND(SUMIFS(Payments!$G$5:$G$1204,Payments!$I$5:$I$1204,A124,Payments!$E$5:$E$1204,"Deposit"),2))</f>
        <v>0</v>
      </c>
      <c r="AB124" s="26">
        <f>IF(B124="","",ROUND(SUMIFS(Sales!$Y$5:$Y$1204,Sales!$C$5:$C$1204,A124),2))</f>
        <v>0</v>
      </c>
      <c r="AC124" s="38">
        <f>IF(B124="","",IF(M124="Completed","Yes",IF(M124="Cancelled","Yes",IF(M124="No show","Yes","No"))))</f>
        <v>0</v>
      </c>
      <c r="AD124" s="25">
        <f>IF(B124="","",IF(AE124="","",B124-AE124))</f>
        <v>0</v>
      </c>
      <c r="AF124" s="38">
        <f>IF(B124="","",IF(M124&lt;&gt;"Completed","",IF(E124="","No",IF(COUNTIFS(Appointments!$E$5:$E$1204,E124,Appointments!$B$5:$B$1204,"&gt;"&amp;B124,Appointments!$M$5:$M$1204,"&lt;&gt;Cancelled")&gt;0,"Yes","No"))))</f>
        <v>0</v>
      </c>
      <c r="AG124" s="38">
        <f>IF(B124="","",IF(I124="","",IF(D124="","",IF(COUNTIFS($I$5:$I$1204,I124,$B$5:$B$1204,B124,$D$5:$D$1204,"&lt;"&amp;V124,$V$5:$V$1204,"&gt;"&amp;D124,$M$5:$M$1204,"&lt;&gt;Cancelled")&gt;1,"Clash",""))))</f>
        <v>0</v>
      </c>
      <c r="AH124" s="39">
        <f>IF(B124="","",IF(AG124="Clash","Clash - stylist double booked",IF(I124="","Assign - no stylist yet",IF(G124="","Add - no service chosen",IF(M124="No show","No show - charge the fee?",IF(M124="Cancelled","",IF(IF(M124="Completed",AB124&lt;Y124-0.004,FALSE),"Unpaid - nothing rung up for this visit",IF(IF(B124&lt;TodayDate,M124="Booked",FALSE),"Overdue - past date, still only Booked",IF(IF(B124=TodayDate,TRUE,FALSE),"Today",IF(IF(Z124&gt;0,AA124&lt;Z124-0.004,FALSE),"Due - deposit not taken",IF(IF(B124&gt;TodayDate,B124&lt;=TodayDate+2,FALSE),"Confirm - coming up","OK")))))))))))</f>
        <v>0</v>
      </c>
    </row>
    <row r="125" spans="1:34">
      <c r="A125" s="28">
        <f>IF(B125="","",AppointmentPrefix&amp;TEXT(ROW()-4,"0000"))</f>
        <v>0</v>
      </c>
      <c r="C125" s="15">
        <f>IF(B125="","",TEXT(B125,"ddd"))</f>
        <v>0</v>
      </c>
      <c r="F125" s="15">
        <f>IF(E125="","",IFERROR(INDEX(Clients!$B$5:$B$504,MATCH(E125,Clients!$A$5:$A$504,0)),"Walk-in"))</f>
        <v>0</v>
      </c>
      <c r="H125" s="15">
        <f>IF(G125="","",IFERROR(INDEX(Services!$B$5:$B$204,MATCH(G125,Services!$A$5:$A$204,0)),"Not in Services"))</f>
        <v>0</v>
      </c>
      <c r="J125" s="15">
        <f>IF(I125="","",IFERROR(INDEX(Staff!$B$5:$B$44,MATCH(I125,Staff!$A$5:$A$44,0)),"Unassigned"))</f>
        <v>0</v>
      </c>
      <c r="S125" s="15">
        <f>IF(B125="","",TEXT(B125,"yyyy-mm"))</f>
        <v>0</v>
      </c>
      <c r="T125" s="25">
        <f>IF(B125="","",WEEKNUM(B125,2))</f>
        <v>0</v>
      </c>
      <c r="U125" s="25">
        <f>IF(B125="","",IF(K125&lt;&gt;"",K125,IFERROR(INDEX(Services!$E$5:$E$204,MATCH(G125,Services!$A$5:$A$204,0))*1,0)+IFERROR(INDEX(Services!$F$5:$F$204,MATCH(G125,Services!$A$5:$A$204,0))*1,0)))</f>
        <v>0</v>
      </c>
      <c r="V125" s="36">
        <f>IF(B125="","",IF(D125="","",D125+U125/1440))</f>
        <v>0</v>
      </c>
      <c r="W125" s="25">
        <f>IF(B125="","",IF(D125="","",HOUR(D125)))</f>
        <v>0</v>
      </c>
      <c r="X125" s="37">
        <f>IF(B125="","",ROUND(U125/60,2))</f>
        <v>0</v>
      </c>
      <c r="Y125" s="26">
        <f>IF(B125="","",IF(L125&lt;&gt;"",L125,IFERROR(INDEX(Services!$G$5:$G$204,MATCH(G125,Services!$A$5:$A$204,0))*1,0)))</f>
        <v>0</v>
      </c>
      <c r="Z125" s="26">
        <f>IF(B125="","",IF(O125&lt;&gt;"",O125,IF(Y125&gt;=DepositThreshold,ROUND(Y125*DepositPercent,2),0)))</f>
        <v>0</v>
      </c>
      <c r="AA125" s="26">
        <f>IF(B125="","",ROUND(SUMIFS(Payments!$G$5:$G$1204,Payments!$I$5:$I$1204,A125,Payments!$E$5:$E$1204,"Deposit"),2))</f>
        <v>0</v>
      </c>
      <c r="AB125" s="26">
        <f>IF(B125="","",ROUND(SUMIFS(Sales!$Y$5:$Y$1204,Sales!$C$5:$C$1204,A125),2))</f>
        <v>0</v>
      </c>
      <c r="AC125" s="38">
        <f>IF(B125="","",IF(M125="Completed","Yes",IF(M125="Cancelled","Yes",IF(M125="No show","Yes","No"))))</f>
        <v>0</v>
      </c>
      <c r="AD125" s="25">
        <f>IF(B125="","",IF(AE125="","",B125-AE125))</f>
        <v>0</v>
      </c>
      <c r="AF125" s="38">
        <f>IF(B125="","",IF(M125&lt;&gt;"Completed","",IF(E125="","No",IF(COUNTIFS(Appointments!$E$5:$E$1204,E125,Appointments!$B$5:$B$1204,"&gt;"&amp;B125,Appointments!$M$5:$M$1204,"&lt;&gt;Cancelled")&gt;0,"Yes","No"))))</f>
        <v>0</v>
      </c>
      <c r="AG125" s="38">
        <f>IF(B125="","",IF(I125="","",IF(D125="","",IF(COUNTIFS($I$5:$I$1204,I125,$B$5:$B$1204,B125,$D$5:$D$1204,"&lt;"&amp;V125,$V$5:$V$1204,"&gt;"&amp;D125,$M$5:$M$1204,"&lt;&gt;Cancelled")&gt;1,"Clash",""))))</f>
        <v>0</v>
      </c>
      <c r="AH125" s="39">
        <f>IF(B125="","",IF(AG125="Clash","Clash - stylist double booked",IF(I125="","Assign - no stylist yet",IF(G125="","Add - no service chosen",IF(M125="No show","No show - charge the fee?",IF(M125="Cancelled","",IF(IF(M125="Completed",AB125&lt;Y125-0.004,FALSE),"Unpaid - nothing rung up for this visit",IF(IF(B125&lt;TodayDate,M125="Booked",FALSE),"Overdue - past date, still only Booked",IF(IF(B125=TodayDate,TRUE,FALSE),"Today",IF(IF(Z125&gt;0,AA125&lt;Z125-0.004,FALSE),"Due - deposit not taken",IF(IF(B125&gt;TodayDate,B125&lt;=TodayDate+2,FALSE),"Confirm - coming up","OK")))))))))))</f>
        <v>0</v>
      </c>
    </row>
    <row r="126" spans="1:34">
      <c r="A126" s="28">
        <f>IF(B126="","",AppointmentPrefix&amp;TEXT(ROW()-4,"0000"))</f>
        <v>0</v>
      </c>
      <c r="C126" s="15">
        <f>IF(B126="","",TEXT(B126,"ddd"))</f>
        <v>0</v>
      </c>
      <c r="F126" s="15">
        <f>IF(E126="","",IFERROR(INDEX(Clients!$B$5:$B$504,MATCH(E126,Clients!$A$5:$A$504,0)),"Walk-in"))</f>
        <v>0</v>
      </c>
      <c r="H126" s="15">
        <f>IF(G126="","",IFERROR(INDEX(Services!$B$5:$B$204,MATCH(G126,Services!$A$5:$A$204,0)),"Not in Services"))</f>
        <v>0</v>
      </c>
      <c r="J126" s="15">
        <f>IF(I126="","",IFERROR(INDEX(Staff!$B$5:$B$44,MATCH(I126,Staff!$A$5:$A$44,0)),"Unassigned"))</f>
        <v>0</v>
      </c>
      <c r="S126" s="15">
        <f>IF(B126="","",TEXT(B126,"yyyy-mm"))</f>
        <v>0</v>
      </c>
      <c r="T126" s="25">
        <f>IF(B126="","",WEEKNUM(B126,2))</f>
        <v>0</v>
      </c>
      <c r="U126" s="25">
        <f>IF(B126="","",IF(K126&lt;&gt;"",K126,IFERROR(INDEX(Services!$E$5:$E$204,MATCH(G126,Services!$A$5:$A$204,0))*1,0)+IFERROR(INDEX(Services!$F$5:$F$204,MATCH(G126,Services!$A$5:$A$204,0))*1,0)))</f>
        <v>0</v>
      </c>
      <c r="V126" s="36">
        <f>IF(B126="","",IF(D126="","",D126+U126/1440))</f>
        <v>0</v>
      </c>
      <c r="W126" s="25">
        <f>IF(B126="","",IF(D126="","",HOUR(D126)))</f>
        <v>0</v>
      </c>
      <c r="X126" s="37">
        <f>IF(B126="","",ROUND(U126/60,2))</f>
        <v>0</v>
      </c>
      <c r="Y126" s="26">
        <f>IF(B126="","",IF(L126&lt;&gt;"",L126,IFERROR(INDEX(Services!$G$5:$G$204,MATCH(G126,Services!$A$5:$A$204,0))*1,0)))</f>
        <v>0</v>
      </c>
      <c r="Z126" s="26">
        <f>IF(B126="","",IF(O126&lt;&gt;"",O126,IF(Y126&gt;=DepositThreshold,ROUND(Y126*DepositPercent,2),0)))</f>
        <v>0</v>
      </c>
      <c r="AA126" s="26">
        <f>IF(B126="","",ROUND(SUMIFS(Payments!$G$5:$G$1204,Payments!$I$5:$I$1204,A126,Payments!$E$5:$E$1204,"Deposit"),2))</f>
        <v>0</v>
      </c>
      <c r="AB126" s="26">
        <f>IF(B126="","",ROUND(SUMIFS(Sales!$Y$5:$Y$1204,Sales!$C$5:$C$1204,A126),2))</f>
        <v>0</v>
      </c>
      <c r="AC126" s="38">
        <f>IF(B126="","",IF(M126="Completed","Yes",IF(M126="Cancelled","Yes",IF(M126="No show","Yes","No"))))</f>
        <v>0</v>
      </c>
      <c r="AD126" s="25">
        <f>IF(B126="","",IF(AE126="","",B126-AE126))</f>
        <v>0</v>
      </c>
      <c r="AF126" s="38">
        <f>IF(B126="","",IF(M126&lt;&gt;"Completed","",IF(E126="","No",IF(COUNTIFS(Appointments!$E$5:$E$1204,E126,Appointments!$B$5:$B$1204,"&gt;"&amp;B126,Appointments!$M$5:$M$1204,"&lt;&gt;Cancelled")&gt;0,"Yes","No"))))</f>
        <v>0</v>
      </c>
      <c r="AG126" s="38">
        <f>IF(B126="","",IF(I126="","",IF(D126="","",IF(COUNTIFS($I$5:$I$1204,I126,$B$5:$B$1204,B126,$D$5:$D$1204,"&lt;"&amp;V126,$V$5:$V$1204,"&gt;"&amp;D126,$M$5:$M$1204,"&lt;&gt;Cancelled")&gt;1,"Clash",""))))</f>
        <v>0</v>
      </c>
      <c r="AH126" s="39">
        <f>IF(B126="","",IF(AG126="Clash","Clash - stylist double booked",IF(I126="","Assign - no stylist yet",IF(G126="","Add - no service chosen",IF(M126="No show","No show - charge the fee?",IF(M126="Cancelled","",IF(IF(M126="Completed",AB126&lt;Y126-0.004,FALSE),"Unpaid - nothing rung up for this visit",IF(IF(B126&lt;TodayDate,M126="Booked",FALSE),"Overdue - past date, still only Booked",IF(IF(B126=TodayDate,TRUE,FALSE),"Today",IF(IF(Z126&gt;0,AA126&lt;Z126-0.004,FALSE),"Due - deposit not taken",IF(IF(B126&gt;TodayDate,B126&lt;=TodayDate+2,FALSE),"Confirm - coming up","OK")))))))))))</f>
        <v>0</v>
      </c>
    </row>
    <row r="127" spans="1:34">
      <c r="A127" s="28">
        <f>IF(B127="","",AppointmentPrefix&amp;TEXT(ROW()-4,"0000"))</f>
        <v>0</v>
      </c>
      <c r="C127" s="15">
        <f>IF(B127="","",TEXT(B127,"ddd"))</f>
        <v>0</v>
      </c>
      <c r="F127" s="15">
        <f>IF(E127="","",IFERROR(INDEX(Clients!$B$5:$B$504,MATCH(E127,Clients!$A$5:$A$504,0)),"Walk-in"))</f>
        <v>0</v>
      </c>
      <c r="H127" s="15">
        <f>IF(G127="","",IFERROR(INDEX(Services!$B$5:$B$204,MATCH(G127,Services!$A$5:$A$204,0)),"Not in Services"))</f>
        <v>0</v>
      </c>
      <c r="J127" s="15">
        <f>IF(I127="","",IFERROR(INDEX(Staff!$B$5:$B$44,MATCH(I127,Staff!$A$5:$A$44,0)),"Unassigned"))</f>
        <v>0</v>
      </c>
      <c r="S127" s="15">
        <f>IF(B127="","",TEXT(B127,"yyyy-mm"))</f>
        <v>0</v>
      </c>
      <c r="T127" s="25">
        <f>IF(B127="","",WEEKNUM(B127,2))</f>
        <v>0</v>
      </c>
      <c r="U127" s="25">
        <f>IF(B127="","",IF(K127&lt;&gt;"",K127,IFERROR(INDEX(Services!$E$5:$E$204,MATCH(G127,Services!$A$5:$A$204,0))*1,0)+IFERROR(INDEX(Services!$F$5:$F$204,MATCH(G127,Services!$A$5:$A$204,0))*1,0)))</f>
        <v>0</v>
      </c>
      <c r="V127" s="36">
        <f>IF(B127="","",IF(D127="","",D127+U127/1440))</f>
        <v>0</v>
      </c>
      <c r="W127" s="25">
        <f>IF(B127="","",IF(D127="","",HOUR(D127)))</f>
        <v>0</v>
      </c>
      <c r="X127" s="37">
        <f>IF(B127="","",ROUND(U127/60,2))</f>
        <v>0</v>
      </c>
      <c r="Y127" s="26">
        <f>IF(B127="","",IF(L127&lt;&gt;"",L127,IFERROR(INDEX(Services!$G$5:$G$204,MATCH(G127,Services!$A$5:$A$204,0))*1,0)))</f>
        <v>0</v>
      </c>
      <c r="Z127" s="26">
        <f>IF(B127="","",IF(O127&lt;&gt;"",O127,IF(Y127&gt;=DepositThreshold,ROUND(Y127*DepositPercent,2),0)))</f>
        <v>0</v>
      </c>
      <c r="AA127" s="26">
        <f>IF(B127="","",ROUND(SUMIFS(Payments!$G$5:$G$1204,Payments!$I$5:$I$1204,A127,Payments!$E$5:$E$1204,"Deposit"),2))</f>
        <v>0</v>
      </c>
      <c r="AB127" s="26">
        <f>IF(B127="","",ROUND(SUMIFS(Sales!$Y$5:$Y$1204,Sales!$C$5:$C$1204,A127),2))</f>
        <v>0</v>
      </c>
      <c r="AC127" s="38">
        <f>IF(B127="","",IF(M127="Completed","Yes",IF(M127="Cancelled","Yes",IF(M127="No show","Yes","No"))))</f>
        <v>0</v>
      </c>
      <c r="AD127" s="25">
        <f>IF(B127="","",IF(AE127="","",B127-AE127))</f>
        <v>0</v>
      </c>
      <c r="AF127" s="38">
        <f>IF(B127="","",IF(M127&lt;&gt;"Completed","",IF(E127="","No",IF(COUNTIFS(Appointments!$E$5:$E$1204,E127,Appointments!$B$5:$B$1204,"&gt;"&amp;B127,Appointments!$M$5:$M$1204,"&lt;&gt;Cancelled")&gt;0,"Yes","No"))))</f>
        <v>0</v>
      </c>
      <c r="AG127" s="38">
        <f>IF(B127="","",IF(I127="","",IF(D127="","",IF(COUNTIFS($I$5:$I$1204,I127,$B$5:$B$1204,B127,$D$5:$D$1204,"&lt;"&amp;V127,$V$5:$V$1204,"&gt;"&amp;D127,$M$5:$M$1204,"&lt;&gt;Cancelled")&gt;1,"Clash",""))))</f>
        <v>0</v>
      </c>
      <c r="AH127" s="39">
        <f>IF(B127="","",IF(AG127="Clash","Clash - stylist double booked",IF(I127="","Assign - no stylist yet",IF(G127="","Add - no service chosen",IF(M127="No show","No show - charge the fee?",IF(M127="Cancelled","",IF(IF(M127="Completed",AB127&lt;Y127-0.004,FALSE),"Unpaid - nothing rung up for this visit",IF(IF(B127&lt;TodayDate,M127="Booked",FALSE),"Overdue - past date, still only Booked",IF(IF(B127=TodayDate,TRUE,FALSE),"Today",IF(IF(Z127&gt;0,AA127&lt;Z127-0.004,FALSE),"Due - deposit not taken",IF(IF(B127&gt;TodayDate,B127&lt;=TodayDate+2,FALSE),"Confirm - coming up","OK")))))))))))</f>
        <v>0</v>
      </c>
    </row>
    <row r="128" spans="1:34">
      <c r="A128" s="28">
        <f>IF(B128="","",AppointmentPrefix&amp;TEXT(ROW()-4,"0000"))</f>
        <v>0</v>
      </c>
      <c r="C128" s="15">
        <f>IF(B128="","",TEXT(B128,"ddd"))</f>
        <v>0</v>
      </c>
      <c r="F128" s="15">
        <f>IF(E128="","",IFERROR(INDEX(Clients!$B$5:$B$504,MATCH(E128,Clients!$A$5:$A$504,0)),"Walk-in"))</f>
        <v>0</v>
      </c>
      <c r="H128" s="15">
        <f>IF(G128="","",IFERROR(INDEX(Services!$B$5:$B$204,MATCH(G128,Services!$A$5:$A$204,0)),"Not in Services"))</f>
        <v>0</v>
      </c>
      <c r="J128" s="15">
        <f>IF(I128="","",IFERROR(INDEX(Staff!$B$5:$B$44,MATCH(I128,Staff!$A$5:$A$44,0)),"Unassigned"))</f>
        <v>0</v>
      </c>
      <c r="S128" s="15">
        <f>IF(B128="","",TEXT(B128,"yyyy-mm"))</f>
        <v>0</v>
      </c>
      <c r="T128" s="25">
        <f>IF(B128="","",WEEKNUM(B128,2))</f>
        <v>0</v>
      </c>
      <c r="U128" s="25">
        <f>IF(B128="","",IF(K128&lt;&gt;"",K128,IFERROR(INDEX(Services!$E$5:$E$204,MATCH(G128,Services!$A$5:$A$204,0))*1,0)+IFERROR(INDEX(Services!$F$5:$F$204,MATCH(G128,Services!$A$5:$A$204,0))*1,0)))</f>
        <v>0</v>
      </c>
      <c r="V128" s="36">
        <f>IF(B128="","",IF(D128="","",D128+U128/1440))</f>
        <v>0</v>
      </c>
      <c r="W128" s="25">
        <f>IF(B128="","",IF(D128="","",HOUR(D128)))</f>
        <v>0</v>
      </c>
      <c r="X128" s="37">
        <f>IF(B128="","",ROUND(U128/60,2))</f>
        <v>0</v>
      </c>
      <c r="Y128" s="26">
        <f>IF(B128="","",IF(L128&lt;&gt;"",L128,IFERROR(INDEX(Services!$G$5:$G$204,MATCH(G128,Services!$A$5:$A$204,0))*1,0)))</f>
        <v>0</v>
      </c>
      <c r="Z128" s="26">
        <f>IF(B128="","",IF(O128&lt;&gt;"",O128,IF(Y128&gt;=DepositThreshold,ROUND(Y128*DepositPercent,2),0)))</f>
        <v>0</v>
      </c>
      <c r="AA128" s="26">
        <f>IF(B128="","",ROUND(SUMIFS(Payments!$G$5:$G$1204,Payments!$I$5:$I$1204,A128,Payments!$E$5:$E$1204,"Deposit"),2))</f>
        <v>0</v>
      </c>
      <c r="AB128" s="26">
        <f>IF(B128="","",ROUND(SUMIFS(Sales!$Y$5:$Y$1204,Sales!$C$5:$C$1204,A128),2))</f>
        <v>0</v>
      </c>
      <c r="AC128" s="38">
        <f>IF(B128="","",IF(M128="Completed","Yes",IF(M128="Cancelled","Yes",IF(M128="No show","Yes","No"))))</f>
        <v>0</v>
      </c>
      <c r="AD128" s="25">
        <f>IF(B128="","",IF(AE128="","",B128-AE128))</f>
        <v>0</v>
      </c>
      <c r="AF128" s="38">
        <f>IF(B128="","",IF(M128&lt;&gt;"Completed","",IF(E128="","No",IF(COUNTIFS(Appointments!$E$5:$E$1204,E128,Appointments!$B$5:$B$1204,"&gt;"&amp;B128,Appointments!$M$5:$M$1204,"&lt;&gt;Cancelled")&gt;0,"Yes","No"))))</f>
        <v>0</v>
      </c>
      <c r="AG128" s="38">
        <f>IF(B128="","",IF(I128="","",IF(D128="","",IF(COUNTIFS($I$5:$I$1204,I128,$B$5:$B$1204,B128,$D$5:$D$1204,"&lt;"&amp;V128,$V$5:$V$1204,"&gt;"&amp;D128,$M$5:$M$1204,"&lt;&gt;Cancelled")&gt;1,"Clash",""))))</f>
        <v>0</v>
      </c>
      <c r="AH128" s="39">
        <f>IF(B128="","",IF(AG128="Clash","Clash - stylist double booked",IF(I128="","Assign - no stylist yet",IF(G128="","Add - no service chosen",IF(M128="No show","No show - charge the fee?",IF(M128="Cancelled","",IF(IF(M128="Completed",AB128&lt;Y128-0.004,FALSE),"Unpaid - nothing rung up for this visit",IF(IF(B128&lt;TodayDate,M128="Booked",FALSE),"Overdue - past date, still only Booked",IF(IF(B128=TodayDate,TRUE,FALSE),"Today",IF(IF(Z128&gt;0,AA128&lt;Z128-0.004,FALSE),"Due - deposit not taken",IF(IF(B128&gt;TodayDate,B128&lt;=TodayDate+2,FALSE),"Confirm - coming up","OK")))))))))))</f>
        <v>0</v>
      </c>
    </row>
    <row r="129" spans="1:34">
      <c r="A129" s="28">
        <f>IF(B129="","",AppointmentPrefix&amp;TEXT(ROW()-4,"0000"))</f>
        <v>0</v>
      </c>
      <c r="C129" s="15">
        <f>IF(B129="","",TEXT(B129,"ddd"))</f>
        <v>0</v>
      </c>
      <c r="F129" s="15">
        <f>IF(E129="","",IFERROR(INDEX(Clients!$B$5:$B$504,MATCH(E129,Clients!$A$5:$A$504,0)),"Walk-in"))</f>
        <v>0</v>
      </c>
      <c r="H129" s="15">
        <f>IF(G129="","",IFERROR(INDEX(Services!$B$5:$B$204,MATCH(G129,Services!$A$5:$A$204,0)),"Not in Services"))</f>
        <v>0</v>
      </c>
      <c r="J129" s="15">
        <f>IF(I129="","",IFERROR(INDEX(Staff!$B$5:$B$44,MATCH(I129,Staff!$A$5:$A$44,0)),"Unassigned"))</f>
        <v>0</v>
      </c>
      <c r="S129" s="15">
        <f>IF(B129="","",TEXT(B129,"yyyy-mm"))</f>
        <v>0</v>
      </c>
      <c r="T129" s="25">
        <f>IF(B129="","",WEEKNUM(B129,2))</f>
        <v>0</v>
      </c>
      <c r="U129" s="25">
        <f>IF(B129="","",IF(K129&lt;&gt;"",K129,IFERROR(INDEX(Services!$E$5:$E$204,MATCH(G129,Services!$A$5:$A$204,0))*1,0)+IFERROR(INDEX(Services!$F$5:$F$204,MATCH(G129,Services!$A$5:$A$204,0))*1,0)))</f>
        <v>0</v>
      </c>
      <c r="V129" s="36">
        <f>IF(B129="","",IF(D129="","",D129+U129/1440))</f>
        <v>0</v>
      </c>
      <c r="W129" s="25">
        <f>IF(B129="","",IF(D129="","",HOUR(D129)))</f>
        <v>0</v>
      </c>
      <c r="X129" s="37">
        <f>IF(B129="","",ROUND(U129/60,2))</f>
        <v>0</v>
      </c>
      <c r="Y129" s="26">
        <f>IF(B129="","",IF(L129&lt;&gt;"",L129,IFERROR(INDEX(Services!$G$5:$G$204,MATCH(G129,Services!$A$5:$A$204,0))*1,0)))</f>
        <v>0</v>
      </c>
      <c r="Z129" s="26">
        <f>IF(B129="","",IF(O129&lt;&gt;"",O129,IF(Y129&gt;=DepositThreshold,ROUND(Y129*DepositPercent,2),0)))</f>
        <v>0</v>
      </c>
      <c r="AA129" s="26">
        <f>IF(B129="","",ROUND(SUMIFS(Payments!$G$5:$G$1204,Payments!$I$5:$I$1204,A129,Payments!$E$5:$E$1204,"Deposit"),2))</f>
        <v>0</v>
      </c>
      <c r="AB129" s="26">
        <f>IF(B129="","",ROUND(SUMIFS(Sales!$Y$5:$Y$1204,Sales!$C$5:$C$1204,A129),2))</f>
        <v>0</v>
      </c>
      <c r="AC129" s="38">
        <f>IF(B129="","",IF(M129="Completed","Yes",IF(M129="Cancelled","Yes",IF(M129="No show","Yes","No"))))</f>
        <v>0</v>
      </c>
      <c r="AD129" s="25">
        <f>IF(B129="","",IF(AE129="","",B129-AE129))</f>
        <v>0</v>
      </c>
      <c r="AF129" s="38">
        <f>IF(B129="","",IF(M129&lt;&gt;"Completed","",IF(E129="","No",IF(COUNTIFS(Appointments!$E$5:$E$1204,E129,Appointments!$B$5:$B$1204,"&gt;"&amp;B129,Appointments!$M$5:$M$1204,"&lt;&gt;Cancelled")&gt;0,"Yes","No"))))</f>
        <v>0</v>
      </c>
      <c r="AG129" s="38">
        <f>IF(B129="","",IF(I129="","",IF(D129="","",IF(COUNTIFS($I$5:$I$1204,I129,$B$5:$B$1204,B129,$D$5:$D$1204,"&lt;"&amp;V129,$V$5:$V$1204,"&gt;"&amp;D129,$M$5:$M$1204,"&lt;&gt;Cancelled")&gt;1,"Clash",""))))</f>
        <v>0</v>
      </c>
      <c r="AH129" s="39">
        <f>IF(B129="","",IF(AG129="Clash","Clash - stylist double booked",IF(I129="","Assign - no stylist yet",IF(G129="","Add - no service chosen",IF(M129="No show","No show - charge the fee?",IF(M129="Cancelled","",IF(IF(M129="Completed",AB129&lt;Y129-0.004,FALSE),"Unpaid - nothing rung up for this visit",IF(IF(B129&lt;TodayDate,M129="Booked",FALSE),"Overdue - past date, still only Booked",IF(IF(B129=TodayDate,TRUE,FALSE),"Today",IF(IF(Z129&gt;0,AA129&lt;Z129-0.004,FALSE),"Due - deposit not taken",IF(IF(B129&gt;TodayDate,B129&lt;=TodayDate+2,FALSE),"Confirm - coming up","OK")))))))))))</f>
        <v>0</v>
      </c>
    </row>
    <row r="130" spans="1:34">
      <c r="A130" s="28">
        <f>IF(B130="","",AppointmentPrefix&amp;TEXT(ROW()-4,"0000"))</f>
        <v>0</v>
      </c>
      <c r="C130" s="15">
        <f>IF(B130="","",TEXT(B130,"ddd"))</f>
        <v>0</v>
      </c>
      <c r="F130" s="15">
        <f>IF(E130="","",IFERROR(INDEX(Clients!$B$5:$B$504,MATCH(E130,Clients!$A$5:$A$504,0)),"Walk-in"))</f>
        <v>0</v>
      </c>
      <c r="H130" s="15">
        <f>IF(G130="","",IFERROR(INDEX(Services!$B$5:$B$204,MATCH(G130,Services!$A$5:$A$204,0)),"Not in Services"))</f>
        <v>0</v>
      </c>
      <c r="J130" s="15">
        <f>IF(I130="","",IFERROR(INDEX(Staff!$B$5:$B$44,MATCH(I130,Staff!$A$5:$A$44,0)),"Unassigned"))</f>
        <v>0</v>
      </c>
      <c r="S130" s="15">
        <f>IF(B130="","",TEXT(B130,"yyyy-mm"))</f>
        <v>0</v>
      </c>
      <c r="T130" s="25">
        <f>IF(B130="","",WEEKNUM(B130,2))</f>
        <v>0</v>
      </c>
      <c r="U130" s="25">
        <f>IF(B130="","",IF(K130&lt;&gt;"",K130,IFERROR(INDEX(Services!$E$5:$E$204,MATCH(G130,Services!$A$5:$A$204,0))*1,0)+IFERROR(INDEX(Services!$F$5:$F$204,MATCH(G130,Services!$A$5:$A$204,0))*1,0)))</f>
        <v>0</v>
      </c>
      <c r="V130" s="36">
        <f>IF(B130="","",IF(D130="","",D130+U130/1440))</f>
        <v>0</v>
      </c>
      <c r="W130" s="25">
        <f>IF(B130="","",IF(D130="","",HOUR(D130)))</f>
        <v>0</v>
      </c>
      <c r="X130" s="37">
        <f>IF(B130="","",ROUND(U130/60,2))</f>
        <v>0</v>
      </c>
      <c r="Y130" s="26">
        <f>IF(B130="","",IF(L130&lt;&gt;"",L130,IFERROR(INDEX(Services!$G$5:$G$204,MATCH(G130,Services!$A$5:$A$204,0))*1,0)))</f>
        <v>0</v>
      </c>
      <c r="Z130" s="26">
        <f>IF(B130="","",IF(O130&lt;&gt;"",O130,IF(Y130&gt;=DepositThreshold,ROUND(Y130*DepositPercent,2),0)))</f>
        <v>0</v>
      </c>
      <c r="AA130" s="26">
        <f>IF(B130="","",ROUND(SUMIFS(Payments!$G$5:$G$1204,Payments!$I$5:$I$1204,A130,Payments!$E$5:$E$1204,"Deposit"),2))</f>
        <v>0</v>
      </c>
      <c r="AB130" s="26">
        <f>IF(B130="","",ROUND(SUMIFS(Sales!$Y$5:$Y$1204,Sales!$C$5:$C$1204,A130),2))</f>
        <v>0</v>
      </c>
      <c r="AC130" s="38">
        <f>IF(B130="","",IF(M130="Completed","Yes",IF(M130="Cancelled","Yes",IF(M130="No show","Yes","No"))))</f>
        <v>0</v>
      </c>
      <c r="AD130" s="25">
        <f>IF(B130="","",IF(AE130="","",B130-AE130))</f>
        <v>0</v>
      </c>
      <c r="AF130" s="38">
        <f>IF(B130="","",IF(M130&lt;&gt;"Completed","",IF(E130="","No",IF(COUNTIFS(Appointments!$E$5:$E$1204,E130,Appointments!$B$5:$B$1204,"&gt;"&amp;B130,Appointments!$M$5:$M$1204,"&lt;&gt;Cancelled")&gt;0,"Yes","No"))))</f>
        <v>0</v>
      </c>
      <c r="AG130" s="38">
        <f>IF(B130="","",IF(I130="","",IF(D130="","",IF(COUNTIFS($I$5:$I$1204,I130,$B$5:$B$1204,B130,$D$5:$D$1204,"&lt;"&amp;V130,$V$5:$V$1204,"&gt;"&amp;D130,$M$5:$M$1204,"&lt;&gt;Cancelled")&gt;1,"Clash",""))))</f>
        <v>0</v>
      </c>
      <c r="AH130" s="39">
        <f>IF(B130="","",IF(AG130="Clash","Clash - stylist double booked",IF(I130="","Assign - no stylist yet",IF(G130="","Add - no service chosen",IF(M130="No show","No show - charge the fee?",IF(M130="Cancelled","",IF(IF(M130="Completed",AB130&lt;Y130-0.004,FALSE),"Unpaid - nothing rung up for this visit",IF(IF(B130&lt;TodayDate,M130="Booked",FALSE),"Overdue - past date, still only Booked",IF(IF(B130=TodayDate,TRUE,FALSE),"Today",IF(IF(Z130&gt;0,AA130&lt;Z130-0.004,FALSE),"Due - deposit not taken",IF(IF(B130&gt;TodayDate,B130&lt;=TodayDate+2,FALSE),"Confirm - coming up","OK")))))))))))</f>
        <v>0</v>
      </c>
    </row>
    <row r="131" spans="1:34">
      <c r="A131" s="28">
        <f>IF(B131="","",AppointmentPrefix&amp;TEXT(ROW()-4,"0000"))</f>
        <v>0</v>
      </c>
      <c r="C131" s="15">
        <f>IF(B131="","",TEXT(B131,"ddd"))</f>
        <v>0</v>
      </c>
      <c r="F131" s="15">
        <f>IF(E131="","",IFERROR(INDEX(Clients!$B$5:$B$504,MATCH(E131,Clients!$A$5:$A$504,0)),"Walk-in"))</f>
        <v>0</v>
      </c>
      <c r="H131" s="15">
        <f>IF(G131="","",IFERROR(INDEX(Services!$B$5:$B$204,MATCH(G131,Services!$A$5:$A$204,0)),"Not in Services"))</f>
        <v>0</v>
      </c>
      <c r="J131" s="15">
        <f>IF(I131="","",IFERROR(INDEX(Staff!$B$5:$B$44,MATCH(I131,Staff!$A$5:$A$44,0)),"Unassigned"))</f>
        <v>0</v>
      </c>
      <c r="S131" s="15">
        <f>IF(B131="","",TEXT(B131,"yyyy-mm"))</f>
        <v>0</v>
      </c>
      <c r="T131" s="25">
        <f>IF(B131="","",WEEKNUM(B131,2))</f>
        <v>0</v>
      </c>
      <c r="U131" s="25">
        <f>IF(B131="","",IF(K131&lt;&gt;"",K131,IFERROR(INDEX(Services!$E$5:$E$204,MATCH(G131,Services!$A$5:$A$204,0))*1,0)+IFERROR(INDEX(Services!$F$5:$F$204,MATCH(G131,Services!$A$5:$A$204,0))*1,0)))</f>
        <v>0</v>
      </c>
      <c r="V131" s="36">
        <f>IF(B131="","",IF(D131="","",D131+U131/1440))</f>
        <v>0</v>
      </c>
      <c r="W131" s="25">
        <f>IF(B131="","",IF(D131="","",HOUR(D131)))</f>
        <v>0</v>
      </c>
      <c r="X131" s="37">
        <f>IF(B131="","",ROUND(U131/60,2))</f>
        <v>0</v>
      </c>
      <c r="Y131" s="26">
        <f>IF(B131="","",IF(L131&lt;&gt;"",L131,IFERROR(INDEX(Services!$G$5:$G$204,MATCH(G131,Services!$A$5:$A$204,0))*1,0)))</f>
        <v>0</v>
      </c>
      <c r="Z131" s="26">
        <f>IF(B131="","",IF(O131&lt;&gt;"",O131,IF(Y131&gt;=DepositThreshold,ROUND(Y131*DepositPercent,2),0)))</f>
        <v>0</v>
      </c>
      <c r="AA131" s="26">
        <f>IF(B131="","",ROUND(SUMIFS(Payments!$G$5:$G$1204,Payments!$I$5:$I$1204,A131,Payments!$E$5:$E$1204,"Deposit"),2))</f>
        <v>0</v>
      </c>
      <c r="AB131" s="26">
        <f>IF(B131="","",ROUND(SUMIFS(Sales!$Y$5:$Y$1204,Sales!$C$5:$C$1204,A131),2))</f>
        <v>0</v>
      </c>
      <c r="AC131" s="38">
        <f>IF(B131="","",IF(M131="Completed","Yes",IF(M131="Cancelled","Yes",IF(M131="No show","Yes","No"))))</f>
        <v>0</v>
      </c>
      <c r="AD131" s="25">
        <f>IF(B131="","",IF(AE131="","",B131-AE131))</f>
        <v>0</v>
      </c>
      <c r="AF131" s="38">
        <f>IF(B131="","",IF(M131&lt;&gt;"Completed","",IF(E131="","No",IF(COUNTIFS(Appointments!$E$5:$E$1204,E131,Appointments!$B$5:$B$1204,"&gt;"&amp;B131,Appointments!$M$5:$M$1204,"&lt;&gt;Cancelled")&gt;0,"Yes","No"))))</f>
        <v>0</v>
      </c>
      <c r="AG131" s="38">
        <f>IF(B131="","",IF(I131="","",IF(D131="","",IF(COUNTIFS($I$5:$I$1204,I131,$B$5:$B$1204,B131,$D$5:$D$1204,"&lt;"&amp;V131,$V$5:$V$1204,"&gt;"&amp;D131,$M$5:$M$1204,"&lt;&gt;Cancelled")&gt;1,"Clash",""))))</f>
        <v>0</v>
      </c>
      <c r="AH131" s="39">
        <f>IF(B131="","",IF(AG131="Clash","Clash - stylist double booked",IF(I131="","Assign - no stylist yet",IF(G131="","Add - no service chosen",IF(M131="No show","No show - charge the fee?",IF(M131="Cancelled","",IF(IF(M131="Completed",AB131&lt;Y131-0.004,FALSE),"Unpaid - nothing rung up for this visit",IF(IF(B131&lt;TodayDate,M131="Booked",FALSE),"Overdue - past date, still only Booked",IF(IF(B131=TodayDate,TRUE,FALSE),"Today",IF(IF(Z131&gt;0,AA131&lt;Z131-0.004,FALSE),"Due - deposit not taken",IF(IF(B131&gt;TodayDate,B131&lt;=TodayDate+2,FALSE),"Confirm - coming up","OK")))))))))))</f>
        <v>0</v>
      </c>
    </row>
    <row r="132" spans="1:34">
      <c r="A132" s="28">
        <f>IF(B132="","",AppointmentPrefix&amp;TEXT(ROW()-4,"0000"))</f>
        <v>0</v>
      </c>
      <c r="C132" s="15">
        <f>IF(B132="","",TEXT(B132,"ddd"))</f>
        <v>0</v>
      </c>
      <c r="F132" s="15">
        <f>IF(E132="","",IFERROR(INDEX(Clients!$B$5:$B$504,MATCH(E132,Clients!$A$5:$A$504,0)),"Walk-in"))</f>
        <v>0</v>
      </c>
      <c r="H132" s="15">
        <f>IF(G132="","",IFERROR(INDEX(Services!$B$5:$B$204,MATCH(G132,Services!$A$5:$A$204,0)),"Not in Services"))</f>
        <v>0</v>
      </c>
      <c r="J132" s="15">
        <f>IF(I132="","",IFERROR(INDEX(Staff!$B$5:$B$44,MATCH(I132,Staff!$A$5:$A$44,0)),"Unassigned"))</f>
        <v>0</v>
      </c>
      <c r="S132" s="15">
        <f>IF(B132="","",TEXT(B132,"yyyy-mm"))</f>
        <v>0</v>
      </c>
      <c r="T132" s="25">
        <f>IF(B132="","",WEEKNUM(B132,2))</f>
        <v>0</v>
      </c>
      <c r="U132" s="25">
        <f>IF(B132="","",IF(K132&lt;&gt;"",K132,IFERROR(INDEX(Services!$E$5:$E$204,MATCH(G132,Services!$A$5:$A$204,0))*1,0)+IFERROR(INDEX(Services!$F$5:$F$204,MATCH(G132,Services!$A$5:$A$204,0))*1,0)))</f>
        <v>0</v>
      </c>
      <c r="V132" s="36">
        <f>IF(B132="","",IF(D132="","",D132+U132/1440))</f>
        <v>0</v>
      </c>
      <c r="W132" s="25">
        <f>IF(B132="","",IF(D132="","",HOUR(D132)))</f>
        <v>0</v>
      </c>
      <c r="X132" s="37">
        <f>IF(B132="","",ROUND(U132/60,2))</f>
        <v>0</v>
      </c>
      <c r="Y132" s="26">
        <f>IF(B132="","",IF(L132&lt;&gt;"",L132,IFERROR(INDEX(Services!$G$5:$G$204,MATCH(G132,Services!$A$5:$A$204,0))*1,0)))</f>
        <v>0</v>
      </c>
      <c r="Z132" s="26">
        <f>IF(B132="","",IF(O132&lt;&gt;"",O132,IF(Y132&gt;=DepositThreshold,ROUND(Y132*DepositPercent,2),0)))</f>
        <v>0</v>
      </c>
      <c r="AA132" s="26">
        <f>IF(B132="","",ROUND(SUMIFS(Payments!$G$5:$G$1204,Payments!$I$5:$I$1204,A132,Payments!$E$5:$E$1204,"Deposit"),2))</f>
        <v>0</v>
      </c>
      <c r="AB132" s="26">
        <f>IF(B132="","",ROUND(SUMIFS(Sales!$Y$5:$Y$1204,Sales!$C$5:$C$1204,A132),2))</f>
        <v>0</v>
      </c>
      <c r="AC132" s="38">
        <f>IF(B132="","",IF(M132="Completed","Yes",IF(M132="Cancelled","Yes",IF(M132="No show","Yes","No"))))</f>
        <v>0</v>
      </c>
      <c r="AD132" s="25">
        <f>IF(B132="","",IF(AE132="","",B132-AE132))</f>
        <v>0</v>
      </c>
      <c r="AF132" s="38">
        <f>IF(B132="","",IF(M132&lt;&gt;"Completed","",IF(E132="","No",IF(COUNTIFS(Appointments!$E$5:$E$1204,E132,Appointments!$B$5:$B$1204,"&gt;"&amp;B132,Appointments!$M$5:$M$1204,"&lt;&gt;Cancelled")&gt;0,"Yes","No"))))</f>
        <v>0</v>
      </c>
      <c r="AG132" s="38">
        <f>IF(B132="","",IF(I132="","",IF(D132="","",IF(COUNTIFS($I$5:$I$1204,I132,$B$5:$B$1204,B132,$D$5:$D$1204,"&lt;"&amp;V132,$V$5:$V$1204,"&gt;"&amp;D132,$M$5:$M$1204,"&lt;&gt;Cancelled")&gt;1,"Clash",""))))</f>
        <v>0</v>
      </c>
      <c r="AH132" s="39">
        <f>IF(B132="","",IF(AG132="Clash","Clash - stylist double booked",IF(I132="","Assign - no stylist yet",IF(G132="","Add - no service chosen",IF(M132="No show","No show - charge the fee?",IF(M132="Cancelled","",IF(IF(M132="Completed",AB132&lt;Y132-0.004,FALSE),"Unpaid - nothing rung up for this visit",IF(IF(B132&lt;TodayDate,M132="Booked",FALSE),"Overdue - past date, still only Booked",IF(IF(B132=TodayDate,TRUE,FALSE),"Today",IF(IF(Z132&gt;0,AA132&lt;Z132-0.004,FALSE),"Due - deposit not taken",IF(IF(B132&gt;TodayDate,B132&lt;=TodayDate+2,FALSE),"Confirm - coming up","OK")))))))))))</f>
        <v>0</v>
      </c>
    </row>
    <row r="133" spans="1:34">
      <c r="A133" s="28">
        <f>IF(B133="","",AppointmentPrefix&amp;TEXT(ROW()-4,"0000"))</f>
        <v>0</v>
      </c>
      <c r="C133" s="15">
        <f>IF(B133="","",TEXT(B133,"ddd"))</f>
        <v>0</v>
      </c>
      <c r="F133" s="15">
        <f>IF(E133="","",IFERROR(INDEX(Clients!$B$5:$B$504,MATCH(E133,Clients!$A$5:$A$504,0)),"Walk-in"))</f>
        <v>0</v>
      </c>
      <c r="H133" s="15">
        <f>IF(G133="","",IFERROR(INDEX(Services!$B$5:$B$204,MATCH(G133,Services!$A$5:$A$204,0)),"Not in Services"))</f>
        <v>0</v>
      </c>
      <c r="J133" s="15">
        <f>IF(I133="","",IFERROR(INDEX(Staff!$B$5:$B$44,MATCH(I133,Staff!$A$5:$A$44,0)),"Unassigned"))</f>
        <v>0</v>
      </c>
      <c r="S133" s="15">
        <f>IF(B133="","",TEXT(B133,"yyyy-mm"))</f>
        <v>0</v>
      </c>
      <c r="T133" s="25">
        <f>IF(B133="","",WEEKNUM(B133,2))</f>
        <v>0</v>
      </c>
      <c r="U133" s="25">
        <f>IF(B133="","",IF(K133&lt;&gt;"",K133,IFERROR(INDEX(Services!$E$5:$E$204,MATCH(G133,Services!$A$5:$A$204,0))*1,0)+IFERROR(INDEX(Services!$F$5:$F$204,MATCH(G133,Services!$A$5:$A$204,0))*1,0)))</f>
        <v>0</v>
      </c>
      <c r="V133" s="36">
        <f>IF(B133="","",IF(D133="","",D133+U133/1440))</f>
        <v>0</v>
      </c>
      <c r="W133" s="25">
        <f>IF(B133="","",IF(D133="","",HOUR(D133)))</f>
        <v>0</v>
      </c>
      <c r="X133" s="37">
        <f>IF(B133="","",ROUND(U133/60,2))</f>
        <v>0</v>
      </c>
      <c r="Y133" s="26">
        <f>IF(B133="","",IF(L133&lt;&gt;"",L133,IFERROR(INDEX(Services!$G$5:$G$204,MATCH(G133,Services!$A$5:$A$204,0))*1,0)))</f>
        <v>0</v>
      </c>
      <c r="Z133" s="26">
        <f>IF(B133="","",IF(O133&lt;&gt;"",O133,IF(Y133&gt;=DepositThreshold,ROUND(Y133*DepositPercent,2),0)))</f>
        <v>0</v>
      </c>
      <c r="AA133" s="26">
        <f>IF(B133="","",ROUND(SUMIFS(Payments!$G$5:$G$1204,Payments!$I$5:$I$1204,A133,Payments!$E$5:$E$1204,"Deposit"),2))</f>
        <v>0</v>
      </c>
      <c r="AB133" s="26">
        <f>IF(B133="","",ROUND(SUMIFS(Sales!$Y$5:$Y$1204,Sales!$C$5:$C$1204,A133),2))</f>
        <v>0</v>
      </c>
      <c r="AC133" s="38">
        <f>IF(B133="","",IF(M133="Completed","Yes",IF(M133="Cancelled","Yes",IF(M133="No show","Yes","No"))))</f>
        <v>0</v>
      </c>
      <c r="AD133" s="25">
        <f>IF(B133="","",IF(AE133="","",B133-AE133))</f>
        <v>0</v>
      </c>
      <c r="AF133" s="38">
        <f>IF(B133="","",IF(M133&lt;&gt;"Completed","",IF(E133="","No",IF(COUNTIFS(Appointments!$E$5:$E$1204,E133,Appointments!$B$5:$B$1204,"&gt;"&amp;B133,Appointments!$M$5:$M$1204,"&lt;&gt;Cancelled")&gt;0,"Yes","No"))))</f>
        <v>0</v>
      </c>
      <c r="AG133" s="38">
        <f>IF(B133="","",IF(I133="","",IF(D133="","",IF(COUNTIFS($I$5:$I$1204,I133,$B$5:$B$1204,B133,$D$5:$D$1204,"&lt;"&amp;V133,$V$5:$V$1204,"&gt;"&amp;D133,$M$5:$M$1204,"&lt;&gt;Cancelled")&gt;1,"Clash",""))))</f>
        <v>0</v>
      </c>
      <c r="AH133" s="39">
        <f>IF(B133="","",IF(AG133="Clash","Clash - stylist double booked",IF(I133="","Assign - no stylist yet",IF(G133="","Add - no service chosen",IF(M133="No show","No show - charge the fee?",IF(M133="Cancelled","",IF(IF(M133="Completed",AB133&lt;Y133-0.004,FALSE),"Unpaid - nothing rung up for this visit",IF(IF(B133&lt;TodayDate,M133="Booked",FALSE),"Overdue - past date, still only Booked",IF(IF(B133=TodayDate,TRUE,FALSE),"Today",IF(IF(Z133&gt;0,AA133&lt;Z133-0.004,FALSE),"Due - deposit not taken",IF(IF(B133&gt;TodayDate,B133&lt;=TodayDate+2,FALSE),"Confirm - coming up","OK")))))))))))</f>
        <v>0</v>
      </c>
    </row>
    <row r="134" spans="1:34">
      <c r="A134" s="28">
        <f>IF(B134="","",AppointmentPrefix&amp;TEXT(ROW()-4,"0000"))</f>
        <v>0</v>
      </c>
      <c r="C134" s="15">
        <f>IF(B134="","",TEXT(B134,"ddd"))</f>
        <v>0</v>
      </c>
      <c r="F134" s="15">
        <f>IF(E134="","",IFERROR(INDEX(Clients!$B$5:$B$504,MATCH(E134,Clients!$A$5:$A$504,0)),"Walk-in"))</f>
        <v>0</v>
      </c>
      <c r="H134" s="15">
        <f>IF(G134="","",IFERROR(INDEX(Services!$B$5:$B$204,MATCH(G134,Services!$A$5:$A$204,0)),"Not in Services"))</f>
        <v>0</v>
      </c>
      <c r="J134" s="15">
        <f>IF(I134="","",IFERROR(INDEX(Staff!$B$5:$B$44,MATCH(I134,Staff!$A$5:$A$44,0)),"Unassigned"))</f>
        <v>0</v>
      </c>
      <c r="S134" s="15">
        <f>IF(B134="","",TEXT(B134,"yyyy-mm"))</f>
        <v>0</v>
      </c>
      <c r="T134" s="25">
        <f>IF(B134="","",WEEKNUM(B134,2))</f>
        <v>0</v>
      </c>
      <c r="U134" s="25">
        <f>IF(B134="","",IF(K134&lt;&gt;"",K134,IFERROR(INDEX(Services!$E$5:$E$204,MATCH(G134,Services!$A$5:$A$204,0))*1,0)+IFERROR(INDEX(Services!$F$5:$F$204,MATCH(G134,Services!$A$5:$A$204,0))*1,0)))</f>
        <v>0</v>
      </c>
      <c r="V134" s="36">
        <f>IF(B134="","",IF(D134="","",D134+U134/1440))</f>
        <v>0</v>
      </c>
      <c r="W134" s="25">
        <f>IF(B134="","",IF(D134="","",HOUR(D134)))</f>
        <v>0</v>
      </c>
      <c r="X134" s="37">
        <f>IF(B134="","",ROUND(U134/60,2))</f>
        <v>0</v>
      </c>
      <c r="Y134" s="26">
        <f>IF(B134="","",IF(L134&lt;&gt;"",L134,IFERROR(INDEX(Services!$G$5:$G$204,MATCH(G134,Services!$A$5:$A$204,0))*1,0)))</f>
        <v>0</v>
      </c>
      <c r="Z134" s="26">
        <f>IF(B134="","",IF(O134&lt;&gt;"",O134,IF(Y134&gt;=DepositThreshold,ROUND(Y134*DepositPercent,2),0)))</f>
        <v>0</v>
      </c>
      <c r="AA134" s="26">
        <f>IF(B134="","",ROUND(SUMIFS(Payments!$G$5:$G$1204,Payments!$I$5:$I$1204,A134,Payments!$E$5:$E$1204,"Deposit"),2))</f>
        <v>0</v>
      </c>
      <c r="AB134" s="26">
        <f>IF(B134="","",ROUND(SUMIFS(Sales!$Y$5:$Y$1204,Sales!$C$5:$C$1204,A134),2))</f>
        <v>0</v>
      </c>
      <c r="AC134" s="38">
        <f>IF(B134="","",IF(M134="Completed","Yes",IF(M134="Cancelled","Yes",IF(M134="No show","Yes","No"))))</f>
        <v>0</v>
      </c>
      <c r="AD134" s="25">
        <f>IF(B134="","",IF(AE134="","",B134-AE134))</f>
        <v>0</v>
      </c>
      <c r="AF134" s="38">
        <f>IF(B134="","",IF(M134&lt;&gt;"Completed","",IF(E134="","No",IF(COUNTIFS(Appointments!$E$5:$E$1204,E134,Appointments!$B$5:$B$1204,"&gt;"&amp;B134,Appointments!$M$5:$M$1204,"&lt;&gt;Cancelled")&gt;0,"Yes","No"))))</f>
        <v>0</v>
      </c>
      <c r="AG134" s="38">
        <f>IF(B134="","",IF(I134="","",IF(D134="","",IF(COUNTIFS($I$5:$I$1204,I134,$B$5:$B$1204,B134,$D$5:$D$1204,"&lt;"&amp;V134,$V$5:$V$1204,"&gt;"&amp;D134,$M$5:$M$1204,"&lt;&gt;Cancelled")&gt;1,"Clash",""))))</f>
        <v>0</v>
      </c>
      <c r="AH134" s="39">
        <f>IF(B134="","",IF(AG134="Clash","Clash - stylist double booked",IF(I134="","Assign - no stylist yet",IF(G134="","Add - no service chosen",IF(M134="No show","No show - charge the fee?",IF(M134="Cancelled","",IF(IF(M134="Completed",AB134&lt;Y134-0.004,FALSE),"Unpaid - nothing rung up for this visit",IF(IF(B134&lt;TodayDate,M134="Booked",FALSE),"Overdue - past date, still only Booked",IF(IF(B134=TodayDate,TRUE,FALSE),"Today",IF(IF(Z134&gt;0,AA134&lt;Z134-0.004,FALSE),"Due - deposit not taken",IF(IF(B134&gt;TodayDate,B134&lt;=TodayDate+2,FALSE),"Confirm - coming up","OK")))))))))))</f>
        <v>0</v>
      </c>
    </row>
    <row r="135" spans="1:34">
      <c r="A135" s="28">
        <f>IF(B135="","",AppointmentPrefix&amp;TEXT(ROW()-4,"0000"))</f>
        <v>0</v>
      </c>
      <c r="C135" s="15">
        <f>IF(B135="","",TEXT(B135,"ddd"))</f>
        <v>0</v>
      </c>
      <c r="F135" s="15">
        <f>IF(E135="","",IFERROR(INDEX(Clients!$B$5:$B$504,MATCH(E135,Clients!$A$5:$A$504,0)),"Walk-in"))</f>
        <v>0</v>
      </c>
      <c r="H135" s="15">
        <f>IF(G135="","",IFERROR(INDEX(Services!$B$5:$B$204,MATCH(G135,Services!$A$5:$A$204,0)),"Not in Services"))</f>
        <v>0</v>
      </c>
      <c r="J135" s="15">
        <f>IF(I135="","",IFERROR(INDEX(Staff!$B$5:$B$44,MATCH(I135,Staff!$A$5:$A$44,0)),"Unassigned"))</f>
        <v>0</v>
      </c>
      <c r="S135" s="15">
        <f>IF(B135="","",TEXT(B135,"yyyy-mm"))</f>
        <v>0</v>
      </c>
      <c r="T135" s="25">
        <f>IF(B135="","",WEEKNUM(B135,2))</f>
        <v>0</v>
      </c>
      <c r="U135" s="25">
        <f>IF(B135="","",IF(K135&lt;&gt;"",K135,IFERROR(INDEX(Services!$E$5:$E$204,MATCH(G135,Services!$A$5:$A$204,0))*1,0)+IFERROR(INDEX(Services!$F$5:$F$204,MATCH(G135,Services!$A$5:$A$204,0))*1,0)))</f>
        <v>0</v>
      </c>
      <c r="V135" s="36">
        <f>IF(B135="","",IF(D135="","",D135+U135/1440))</f>
        <v>0</v>
      </c>
      <c r="W135" s="25">
        <f>IF(B135="","",IF(D135="","",HOUR(D135)))</f>
        <v>0</v>
      </c>
      <c r="X135" s="37">
        <f>IF(B135="","",ROUND(U135/60,2))</f>
        <v>0</v>
      </c>
      <c r="Y135" s="26">
        <f>IF(B135="","",IF(L135&lt;&gt;"",L135,IFERROR(INDEX(Services!$G$5:$G$204,MATCH(G135,Services!$A$5:$A$204,0))*1,0)))</f>
        <v>0</v>
      </c>
      <c r="Z135" s="26">
        <f>IF(B135="","",IF(O135&lt;&gt;"",O135,IF(Y135&gt;=DepositThreshold,ROUND(Y135*DepositPercent,2),0)))</f>
        <v>0</v>
      </c>
      <c r="AA135" s="26">
        <f>IF(B135="","",ROUND(SUMIFS(Payments!$G$5:$G$1204,Payments!$I$5:$I$1204,A135,Payments!$E$5:$E$1204,"Deposit"),2))</f>
        <v>0</v>
      </c>
      <c r="AB135" s="26">
        <f>IF(B135="","",ROUND(SUMIFS(Sales!$Y$5:$Y$1204,Sales!$C$5:$C$1204,A135),2))</f>
        <v>0</v>
      </c>
      <c r="AC135" s="38">
        <f>IF(B135="","",IF(M135="Completed","Yes",IF(M135="Cancelled","Yes",IF(M135="No show","Yes","No"))))</f>
        <v>0</v>
      </c>
      <c r="AD135" s="25">
        <f>IF(B135="","",IF(AE135="","",B135-AE135))</f>
        <v>0</v>
      </c>
      <c r="AF135" s="38">
        <f>IF(B135="","",IF(M135&lt;&gt;"Completed","",IF(E135="","No",IF(COUNTIFS(Appointments!$E$5:$E$1204,E135,Appointments!$B$5:$B$1204,"&gt;"&amp;B135,Appointments!$M$5:$M$1204,"&lt;&gt;Cancelled")&gt;0,"Yes","No"))))</f>
        <v>0</v>
      </c>
      <c r="AG135" s="38">
        <f>IF(B135="","",IF(I135="","",IF(D135="","",IF(COUNTIFS($I$5:$I$1204,I135,$B$5:$B$1204,B135,$D$5:$D$1204,"&lt;"&amp;V135,$V$5:$V$1204,"&gt;"&amp;D135,$M$5:$M$1204,"&lt;&gt;Cancelled")&gt;1,"Clash",""))))</f>
        <v>0</v>
      </c>
      <c r="AH135" s="39">
        <f>IF(B135="","",IF(AG135="Clash","Clash - stylist double booked",IF(I135="","Assign - no stylist yet",IF(G135="","Add - no service chosen",IF(M135="No show","No show - charge the fee?",IF(M135="Cancelled","",IF(IF(M135="Completed",AB135&lt;Y135-0.004,FALSE),"Unpaid - nothing rung up for this visit",IF(IF(B135&lt;TodayDate,M135="Booked",FALSE),"Overdue - past date, still only Booked",IF(IF(B135=TodayDate,TRUE,FALSE),"Today",IF(IF(Z135&gt;0,AA135&lt;Z135-0.004,FALSE),"Due - deposit not taken",IF(IF(B135&gt;TodayDate,B135&lt;=TodayDate+2,FALSE),"Confirm - coming up","OK")))))))))))</f>
        <v>0</v>
      </c>
    </row>
    <row r="136" spans="1:34">
      <c r="A136" s="28">
        <f>IF(B136="","",AppointmentPrefix&amp;TEXT(ROW()-4,"0000"))</f>
        <v>0</v>
      </c>
      <c r="C136" s="15">
        <f>IF(B136="","",TEXT(B136,"ddd"))</f>
        <v>0</v>
      </c>
      <c r="F136" s="15">
        <f>IF(E136="","",IFERROR(INDEX(Clients!$B$5:$B$504,MATCH(E136,Clients!$A$5:$A$504,0)),"Walk-in"))</f>
        <v>0</v>
      </c>
      <c r="H136" s="15">
        <f>IF(G136="","",IFERROR(INDEX(Services!$B$5:$B$204,MATCH(G136,Services!$A$5:$A$204,0)),"Not in Services"))</f>
        <v>0</v>
      </c>
      <c r="J136" s="15">
        <f>IF(I136="","",IFERROR(INDEX(Staff!$B$5:$B$44,MATCH(I136,Staff!$A$5:$A$44,0)),"Unassigned"))</f>
        <v>0</v>
      </c>
      <c r="S136" s="15">
        <f>IF(B136="","",TEXT(B136,"yyyy-mm"))</f>
        <v>0</v>
      </c>
      <c r="T136" s="25">
        <f>IF(B136="","",WEEKNUM(B136,2))</f>
        <v>0</v>
      </c>
      <c r="U136" s="25">
        <f>IF(B136="","",IF(K136&lt;&gt;"",K136,IFERROR(INDEX(Services!$E$5:$E$204,MATCH(G136,Services!$A$5:$A$204,0))*1,0)+IFERROR(INDEX(Services!$F$5:$F$204,MATCH(G136,Services!$A$5:$A$204,0))*1,0)))</f>
        <v>0</v>
      </c>
      <c r="V136" s="36">
        <f>IF(B136="","",IF(D136="","",D136+U136/1440))</f>
        <v>0</v>
      </c>
      <c r="W136" s="25">
        <f>IF(B136="","",IF(D136="","",HOUR(D136)))</f>
        <v>0</v>
      </c>
      <c r="X136" s="37">
        <f>IF(B136="","",ROUND(U136/60,2))</f>
        <v>0</v>
      </c>
      <c r="Y136" s="26">
        <f>IF(B136="","",IF(L136&lt;&gt;"",L136,IFERROR(INDEX(Services!$G$5:$G$204,MATCH(G136,Services!$A$5:$A$204,0))*1,0)))</f>
        <v>0</v>
      </c>
      <c r="Z136" s="26">
        <f>IF(B136="","",IF(O136&lt;&gt;"",O136,IF(Y136&gt;=DepositThreshold,ROUND(Y136*DepositPercent,2),0)))</f>
        <v>0</v>
      </c>
      <c r="AA136" s="26">
        <f>IF(B136="","",ROUND(SUMIFS(Payments!$G$5:$G$1204,Payments!$I$5:$I$1204,A136,Payments!$E$5:$E$1204,"Deposit"),2))</f>
        <v>0</v>
      </c>
      <c r="AB136" s="26">
        <f>IF(B136="","",ROUND(SUMIFS(Sales!$Y$5:$Y$1204,Sales!$C$5:$C$1204,A136),2))</f>
        <v>0</v>
      </c>
      <c r="AC136" s="38">
        <f>IF(B136="","",IF(M136="Completed","Yes",IF(M136="Cancelled","Yes",IF(M136="No show","Yes","No"))))</f>
        <v>0</v>
      </c>
      <c r="AD136" s="25">
        <f>IF(B136="","",IF(AE136="","",B136-AE136))</f>
        <v>0</v>
      </c>
      <c r="AF136" s="38">
        <f>IF(B136="","",IF(M136&lt;&gt;"Completed","",IF(E136="","No",IF(COUNTIFS(Appointments!$E$5:$E$1204,E136,Appointments!$B$5:$B$1204,"&gt;"&amp;B136,Appointments!$M$5:$M$1204,"&lt;&gt;Cancelled")&gt;0,"Yes","No"))))</f>
        <v>0</v>
      </c>
      <c r="AG136" s="38">
        <f>IF(B136="","",IF(I136="","",IF(D136="","",IF(COUNTIFS($I$5:$I$1204,I136,$B$5:$B$1204,B136,$D$5:$D$1204,"&lt;"&amp;V136,$V$5:$V$1204,"&gt;"&amp;D136,$M$5:$M$1204,"&lt;&gt;Cancelled")&gt;1,"Clash",""))))</f>
        <v>0</v>
      </c>
      <c r="AH136" s="39">
        <f>IF(B136="","",IF(AG136="Clash","Clash - stylist double booked",IF(I136="","Assign - no stylist yet",IF(G136="","Add - no service chosen",IF(M136="No show","No show - charge the fee?",IF(M136="Cancelled","",IF(IF(M136="Completed",AB136&lt;Y136-0.004,FALSE),"Unpaid - nothing rung up for this visit",IF(IF(B136&lt;TodayDate,M136="Booked",FALSE),"Overdue - past date, still only Booked",IF(IF(B136=TodayDate,TRUE,FALSE),"Today",IF(IF(Z136&gt;0,AA136&lt;Z136-0.004,FALSE),"Due - deposit not taken",IF(IF(B136&gt;TodayDate,B136&lt;=TodayDate+2,FALSE),"Confirm - coming up","OK")))))))))))</f>
        <v>0</v>
      </c>
    </row>
    <row r="137" spans="1:34">
      <c r="A137" s="28">
        <f>IF(B137="","",AppointmentPrefix&amp;TEXT(ROW()-4,"0000"))</f>
        <v>0</v>
      </c>
      <c r="C137" s="15">
        <f>IF(B137="","",TEXT(B137,"ddd"))</f>
        <v>0</v>
      </c>
      <c r="F137" s="15">
        <f>IF(E137="","",IFERROR(INDEX(Clients!$B$5:$B$504,MATCH(E137,Clients!$A$5:$A$504,0)),"Walk-in"))</f>
        <v>0</v>
      </c>
      <c r="H137" s="15">
        <f>IF(G137="","",IFERROR(INDEX(Services!$B$5:$B$204,MATCH(G137,Services!$A$5:$A$204,0)),"Not in Services"))</f>
        <v>0</v>
      </c>
      <c r="J137" s="15">
        <f>IF(I137="","",IFERROR(INDEX(Staff!$B$5:$B$44,MATCH(I137,Staff!$A$5:$A$44,0)),"Unassigned"))</f>
        <v>0</v>
      </c>
      <c r="S137" s="15">
        <f>IF(B137="","",TEXT(B137,"yyyy-mm"))</f>
        <v>0</v>
      </c>
      <c r="T137" s="25">
        <f>IF(B137="","",WEEKNUM(B137,2))</f>
        <v>0</v>
      </c>
      <c r="U137" s="25">
        <f>IF(B137="","",IF(K137&lt;&gt;"",K137,IFERROR(INDEX(Services!$E$5:$E$204,MATCH(G137,Services!$A$5:$A$204,0))*1,0)+IFERROR(INDEX(Services!$F$5:$F$204,MATCH(G137,Services!$A$5:$A$204,0))*1,0)))</f>
        <v>0</v>
      </c>
      <c r="V137" s="36">
        <f>IF(B137="","",IF(D137="","",D137+U137/1440))</f>
        <v>0</v>
      </c>
      <c r="W137" s="25">
        <f>IF(B137="","",IF(D137="","",HOUR(D137)))</f>
        <v>0</v>
      </c>
      <c r="X137" s="37">
        <f>IF(B137="","",ROUND(U137/60,2))</f>
        <v>0</v>
      </c>
      <c r="Y137" s="26">
        <f>IF(B137="","",IF(L137&lt;&gt;"",L137,IFERROR(INDEX(Services!$G$5:$G$204,MATCH(G137,Services!$A$5:$A$204,0))*1,0)))</f>
        <v>0</v>
      </c>
      <c r="Z137" s="26">
        <f>IF(B137="","",IF(O137&lt;&gt;"",O137,IF(Y137&gt;=DepositThreshold,ROUND(Y137*DepositPercent,2),0)))</f>
        <v>0</v>
      </c>
      <c r="AA137" s="26">
        <f>IF(B137="","",ROUND(SUMIFS(Payments!$G$5:$G$1204,Payments!$I$5:$I$1204,A137,Payments!$E$5:$E$1204,"Deposit"),2))</f>
        <v>0</v>
      </c>
      <c r="AB137" s="26">
        <f>IF(B137="","",ROUND(SUMIFS(Sales!$Y$5:$Y$1204,Sales!$C$5:$C$1204,A137),2))</f>
        <v>0</v>
      </c>
      <c r="AC137" s="38">
        <f>IF(B137="","",IF(M137="Completed","Yes",IF(M137="Cancelled","Yes",IF(M137="No show","Yes","No"))))</f>
        <v>0</v>
      </c>
      <c r="AD137" s="25">
        <f>IF(B137="","",IF(AE137="","",B137-AE137))</f>
        <v>0</v>
      </c>
      <c r="AF137" s="38">
        <f>IF(B137="","",IF(M137&lt;&gt;"Completed","",IF(E137="","No",IF(COUNTIFS(Appointments!$E$5:$E$1204,E137,Appointments!$B$5:$B$1204,"&gt;"&amp;B137,Appointments!$M$5:$M$1204,"&lt;&gt;Cancelled")&gt;0,"Yes","No"))))</f>
        <v>0</v>
      </c>
      <c r="AG137" s="38">
        <f>IF(B137="","",IF(I137="","",IF(D137="","",IF(COUNTIFS($I$5:$I$1204,I137,$B$5:$B$1204,B137,$D$5:$D$1204,"&lt;"&amp;V137,$V$5:$V$1204,"&gt;"&amp;D137,$M$5:$M$1204,"&lt;&gt;Cancelled")&gt;1,"Clash",""))))</f>
        <v>0</v>
      </c>
      <c r="AH137" s="39">
        <f>IF(B137="","",IF(AG137="Clash","Clash - stylist double booked",IF(I137="","Assign - no stylist yet",IF(G137="","Add - no service chosen",IF(M137="No show","No show - charge the fee?",IF(M137="Cancelled","",IF(IF(M137="Completed",AB137&lt;Y137-0.004,FALSE),"Unpaid - nothing rung up for this visit",IF(IF(B137&lt;TodayDate,M137="Booked",FALSE),"Overdue - past date, still only Booked",IF(IF(B137=TodayDate,TRUE,FALSE),"Today",IF(IF(Z137&gt;0,AA137&lt;Z137-0.004,FALSE),"Due - deposit not taken",IF(IF(B137&gt;TodayDate,B137&lt;=TodayDate+2,FALSE),"Confirm - coming up","OK")))))))))))</f>
        <v>0</v>
      </c>
    </row>
    <row r="138" spans="1:34">
      <c r="A138" s="28">
        <f>IF(B138="","",AppointmentPrefix&amp;TEXT(ROW()-4,"0000"))</f>
        <v>0</v>
      </c>
      <c r="C138" s="15">
        <f>IF(B138="","",TEXT(B138,"ddd"))</f>
        <v>0</v>
      </c>
      <c r="F138" s="15">
        <f>IF(E138="","",IFERROR(INDEX(Clients!$B$5:$B$504,MATCH(E138,Clients!$A$5:$A$504,0)),"Walk-in"))</f>
        <v>0</v>
      </c>
      <c r="H138" s="15">
        <f>IF(G138="","",IFERROR(INDEX(Services!$B$5:$B$204,MATCH(G138,Services!$A$5:$A$204,0)),"Not in Services"))</f>
        <v>0</v>
      </c>
      <c r="J138" s="15">
        <f>IF(I138="","",IFERROR(INDEX(Staff!$B$5:$B$44,MATCH(I138,Staff!$A$5:$A$44,0)),"Unassigned"))</f>
        <v>0</v>
      </c>
      <c r="S138" s="15">
        <f>IF(B138="","",TEXT(B138,"yyyy-mm"))</f>
        <v>0</v>
      </c>
      <c r="T138" s="25">
        <f>IF(B138="","",WEEKNUM(B138,2))</f>
        <v>0</v>
      </c>
      <c r="U138" s="25">
        <f>IF(B138="","",IF(K138&lt;&gt;"",K138,IFERROR(INDEX(Services!$E$5:$E$204,MATCH(G138,Services!$A$5:$A$204,0))*1,0)+IFERROR(INDEX(Services!$F$5:$F$204,MATCH(G138,Services!$A$5:$A$204,0))*1,0)))</f>
        <v>0</v>
      </c>
      <c r="V138" s="36">
        <f>IF(B138="","",IF(D138="","",D138+U138/1440))</f>
        <v>0</v>
      </c>
      <c r="W138" s="25">
        <f>IF(B138="","",IF(D138="","",HOUR(D138)))</f>
        <v>0</v>
      </c>
      <c r="X138" s="37">
        <f>IF(B138="","",ROUND(U138/60,2))</f>
        <v>0</v>
      </c>
      <c r="Y138" s="26">
        <f>IF(B138="","",IF(L138&lt;&gt;"",L138,IFERROR(INDEX(Services!$G$5:$G$204,MATCH(G138,Services!$A$5:$A$204,0))*1,0)))</f>
        <v>0</v>
      </c>
      <c r="Z138" s="26">
        <f>IF(B138="","",IF(O138&lt;&gt;"",O138,IF(Y138&gt;=DepositThreshold,ROUND(Y138*DepositPercent,2),0)))</f>
        <v>0</v>
      </c>
      <c r="AA138" s="26">
        <f>IF(B138="","",ROUND(SUMIFS(Payments!$G$5:$G$1204,Payments!$I$5:$I$1204,A138,Payments!$E$5:$E$1204,"Deposit"),2))</f>
        <v>0</v>
      </c>
      <c r="AB138" s="26">
        <f>IF(B138="","",ROUND(SUMIFS(Sales!$Y$5:$Y$1204,Sales!$C$5:$C$1204,A138),2))</f>
        <v>0</v>
      </c>
      <c r="AC138" s="38">
        <f>IF(B138="","",IF(M138="Completed","Yes",IF(M138="Cancelled","Yes",IF(M138="No show","Yes","No"))))</f>
        <v>0</v>
      </c>
      <c r="AD138" s="25">
        <f>IF(B138="","",IF(AE138="","",B138-AE138))</f>
        <v>0</v>
      </c>
      <c r="AF138" s="38">
        <f>IF(B138="","",IF(M138&lt;&gt;"Completed","",IF(E138="","No",IF(COUNTIFS(Appointments!$E$5:$E$1204,E138,Appointments!$B$5:$B$1204,"&gt;"&amp;B138,Appointments!$M$5:$M$1204,"&lt;&gt;Cancelled")&gt;0,"Yes","No"))))</f>
        <v>0</v>
      </c>
      <c r="AG138" s="38">
        <f>IF(B138="","",IF(I138="","",IF(D138="","",IF(COUNTIFS($I$5:$I$1204,I138,$B$5:$B$1204,B138,$D$5:$D$1204,"&lt;"&amp;V138,$V$5:$V$1204,"&gt;"&amp;D138,$M$5:$M$1204,"&lt;&gt;Cancelled")&gt;1,"Clash",""))))</f>
        <v>0</v>
      </c>
      <c r="AH138" s="39">
        <f>IF(B138="","",IF(AG138="Clash","Clash - stylist double booked",IF(I138="","Assign - no stylist yet",IF(G138="","Add - no service chosen",IF(M138="No show","No show - charge the fee?",IF(M138="Cancelled","",IF(IF(M138="Completed",AB138&lt;Y138-0.004,FALSE),"Unpaid - nothing rung up for this visit",IF(IF(B138&lt;TodayDate,M138="Booked",FALSE),"Overdue - past date, still only Booked",IF(IF(B138=TodayDate,TRUE,FALSE),"Today",IF(IF(Z138&gt;0,AA138&lt;Z138-0.004,FALSE),"Due - deposit not taken",IF(IF(B138&gt;TodayDate,B138&lt;=TodayDate+2,FALSE),"Confirm - coming up","OK")))))))))))</f>
        <v>0</v>
      </c>
    </row>
    <row r="139" spans="1:34">
      <c r="A139" s="28">
        <f>IF(B139="","",AppointmentPrefix&amp;TEXT(ROW()-4,"0000"))</f>
        <v>0</v>
      </c>
      <c r="C139" s="15">
        <f>IF(B139="","",TEXT(B139,"ddd"))</f>
        <v>0</v>
      </c>
      <c r="F139" s="15">
        <f>IF(E139="","",IFERROR(INDEX(Clients!$B$5:$B$504,MATCH(E139,Clients!$A$5:$A$504,0)),"Walk-in"))</f>
        <v>0</v>
      </c>
      <c r="H139" s="15">
        <f>IF(G139="","",IFERROR(INDEX(Services!$B$5:$B$204,MATCH(G139,Services!$A$5:$A$204,0)),"Not in Services"))</f>
        <v>0</v>
      </c>
      <c r="J139" s="15">
        <f>IF(I139="","",IFERROR(INDEX(Staff!$B$5:$B$44,MATCH(I139,Staff!$A$5:$A$44,0)),"Unassigned"))</f>
        <v>0</v>
      </c>
      <c r="S139" s="15">
        <f>IF(B139="","",TEXT(B139,"yyyy-mm"))</f>
        <v>0</v>
      </c>
      <c r="T139" s="25">
        <f>IF(B139="","",WEEKNUM(B139,2))</f>
        <v>0</v>
      </c>
      <c r="U139" s="25">
        <f>IF(B139="","",IF(K139&lt;&gt;"",K139,IFERROR(INDEX(Services!$E$5:$E$204,MATCH(G139,Services!$A$5:$A$204,0))*1,0)+IFERROR(INDEX(Services!$F$5:$F$204,MATCH(G139,Services!$A$5:$A$204,0))*1,0)))</f>
        <v>0</v>
      </c>
      <c r="V139" s="36">
        <f>IF(B139="","",IF(D139="","",D139+U139/1440))</f>
        <v>0</v>
      </c>
      <c r="W139" s="25">
        <f>IF(B139="","",IF(D139="","",HOUR(D139)))</f>
        <v>0</v>
      </c>
      <c r="X139" s="37">
        <f>IF(B139="","",ROUND(U139/60,2))</f>
        <v>0</v>
      </c>
      <c r="Y139" s="26">
        <f>IF(B139="","",IF(L139&lt;&gt;"",L139,IFERROR(INDEX(Services!$G$5:$G$204,MATCH(G139,Services!$A$5:$A$204,0))*1,0)))</f>
        <v>0</v>
      </c>
      <c r="Z139" s="26">
        <f>IF(B139="","",IF(O139&lt;&gt;"",O139,IF(Y139&gt;=DepositThreshold,ROUND(Y139*DepositPercent,2),0)))</f>
        <v>0</v>
      </c>
      <c r="AA139" s="26">
        <f>IF(B139="","",ROUND(SUMIFS(Payments!$G$5:$G$1204,Payments!$I$5:$I$1204,A139,Payments!$E$5:$E$1204,"Deposit"),2))</f>
        <v>0</v>
      </c>
      <c r="AB139" s="26">
        <f>IF(B139="","",ROUND(SUMIFS(Sales!$Y$5:$Y$1204,Sales!$C$5:$C$1204,A139),2))</f>
        <v>0</v>
      </c>
      <c r="AC139" s="38">
        <f>IF(B139="","",IF(M139="Completed","Yes",IF(M139="Cancelled","Yes",IF(M139="No show","Yes","No"))))</f>
        <v>0</v>
      </c>
      <c r="AD139" s="25">
        <f>IF(B139="","",IF(AE139="","",B139-AE139))</f>
        <v>0</v>
      </c>
      <c r="AF139" s="38">
        <f>IF(B139="","",IF(M139&lt;&gt;"Completed","",IF(E139="","No",IF(COUNTIFS(Appointments!$E$5:$E$1204,E139,Appointments!$B$5:$B$1204,"&gt;"&amp;B139,Appointments!$M$5:$M$1204,"&lt;&gt;Cancelled")&gt;0,"Yes","No"))))</f>
        <v>0</v>
      </c>
      <c r="AG139" s="38">
        <f>IF(B139="","",IF(I139="","",IF(D139="","",IF(COUNTIFS($I$5:$I$1204,I139,$B$5:$B$1204,B139,$D$5:$D$1204,"&lt;"&amp;V139,$V$5:$V$1204,"&gt;"&amp;D139,$M$5:$M$1204,"&lt;&gt;Cancelled")&gt;1,"Clash",""))))</f>
        <v>0</v>
      </c>
      <c r="AH139" s="39">
        <f>IF(B139="","",IF(AG139="Clash","Clash - stylist double booked",IF(I139="","Assign - no stylist yet",IF(G139="","Add - no service chosen",IF(M139="No show","No show - charge the fee?",IF(M139="Cancelled","",IF(IF(M139="Completed",AB139&lt;Y139-0.004,FALSE),"Unpaid - nothing rung up for this visit",IF(IF(B139&lt;TodayDate,M139="Booked",FALSE),"Overdue - past date, still only Booked",IF(IF(B139=TodayDate,TRUE,FALSE),"Today",IF(IF(Z139&gt;0,AA139&lt;Z139-0.004,FALSE),"Due - deposit not taken",IF(IF(B139&gt;TodayDate,B139&lt;=TodayDate+2,FALSE),"Confirm - coming up","OK")))))))))))</f>
        <v>0</v>
      </c>
    </row>
    <row r="140" spans="1:34">
      <c r="A140" s="28">
        <f>IF(B140="","",AppointmentPrefix&amp;TEXT(ROW()-4,"0000"))</f>
        <v>0</v>
      </c>
      <c r="C140" s="15">
        <f>IF(B140="","",TEXT(B140,"ddd"))</f>
        <v>0</v>
      </c>
      <c r="F140" s="15">
        <f>IF(E140="","",IFERROR(INDEX(Clients!$B$5:$B$504,MATCH(E140,Clients!$A$5:$A$504,0)),"Walk-in"))</f>
        <v>0</v>
      </c>
      <c r="H140" s="15">
        <f>IF(G140="","",IFERROR(INDEX(Services!$B$5:$B$204,MATCH(G140,Services!$A$5:$A$204,0)),"Not in Services"))</f>
        <v>0</v>
      </c>
      <c r="J140" s="15">
        <f>IF(I140="","",IFERROR(INDEX(Staff!$B$5:$B$44,MATCH(I140,Staff!$A$5:$A$44,0)),"Unassigned"))</f>
        <v>0</v>
      </c>
      <c r="S140" s="15">
        <f>IF(B140="","",TEXT(B140,"yyyy-mm"))</f>
        <v>0</v>
      </c>
      <c r="T140" s="25">
        <f>IF(B140="","",WEEKNUM(B140,2))</f>
        <v>0</v>
      </c>
      <c r="U140" s="25">
        <f>IF(B140="","",IF(K140&lt;&gt;"",K140,IFERROR(INDEX(Services!$E$5:$E$204,MATCH(G140,Services!$A$5:$A$204,0))*1,0)+IFERROR(INDEX(Services!$F$5:$F$204,MATCH(G140,Services!$A$5:$A$204,0))*1,0)))</f>
        <v>0</v>
      </c>
      <c r="V140" s="36">
        <f>IF(B140="","",IF(D140="","",D140+U140/1440))</f>
        <v>0</v>
      </c>
      <c r="W140" s="25">
        <f>IF(B140="","",IF(D140="","",HOUR(D140)))</f>
        <v>0</v>
      </c>
      <c r="X140" s="37">
        <f>IF(B140="","",ROUND(U140/60,2))</f>
        <v>0</v>
      </c>
      <c r="Y140" s="26">
        <f>IF(B140="","",IF(L140&lt;&gt;"",L140,IFERROR(INDEX(Services!$G$5:$G$204,MATCH(G140,Services!$A$5:$A$204,0))*1,0)))</f>
        <v>0</v>
      </c>
      <c r="Z140" s="26">
        <f>IF(B140="","",IF(O140&lt;&gt;"",O140,IF(Y140&gt;=DepositThreshold,ROUND(Y140*DepositPercent,2),0)))</f>
        <v>0</v>
      </c>
      <c r="AA140" s="26">
        <f>IF(B140="","",ROUND(SUMIFS(Payments!$G$5:$G$1204,Payments!$I$5:$I$1204,A140,Payments!$E$5:$E$1204,"Deposit"),2))</f>
        <v>0</v>
      </c>
      <c r="AB140" s="26">
        <f>IF(B140="","",ROUND(SUMIFS(Sales!$Y$5:$Y$1204,Sales!$C$5:$C$1204,A140),2))</f>
        <v>0</v>
      </c>
      <c r="AC140" s="38">
        <f>IF(B140="","",IF(M140="Completed","Yes",IF(M140="Cancelled","Yes",IF(M140="No show","Yes","No"))))</f>
        <v>0</v>
      </c>
      <c r="AD140" s="25">
        <f>IF(B140="","",IF(AE140="","",B140-AE140))</f>
        <v>0</v>
      </c>
      <c r="AF140" s="38">
        <f>IF(B140="","",IF(M140&lt;&gt;"Completed","",IF(E140="","No",IF(COUNTIFS(Appointments!$E$5:$E$1204,E140,Appointments!$B$5:$B$1204,"&gt;"&amp;B140,Appointments!$M$5:$M$1204,"&lt;&gt;Cancelled")&gt;0,"Yes","No"))))</f>
        <v>0</v>
      </c>
      <c r="AG140" s="38">
        <f>IF(B140="","",IF(I140="","",IF(D140="","",IF(COUNTIFS($I$5:$I$1204,I140,$B$5:$B$1204,B140,$D$5:$D$1204,"&lt;"&amp;V140,$V$5:$V$1204,"&gt;"&amp;D140,$M$5:$M$1204,"&lt;&gt;Cancelled")&gt;1,"Clash",""))))</f>
        <v>0</v>
      </c>
      <c r="AH140" s="39">
        <f>IF(B140="","",IF(AG140="Clash","Clash - stylist double booked",IF(I140="","Assign - no stylist yet",IF(G140="","Add - no service chosen",IF(M140="No show","No show - charge the fee?",IF(M140="Cancelled","",IF(IF(M140="Completed",AB140&lt;Y140-0.004,FALSE),"Unpaid - nothing rung up for this visit",IF(IF(B140&lt;TodayDate,M140="Booked",FALSE),"Overdue - past date, still only Booked",IF(IF(B140=TodayDate,TRUE,FALSE),"Today",IF(IF(Z140&gt;0,AA140&lt;Z140-0.004,FALSE),"Due - deposit not taken",IF(IF(B140&gt;TodayDate,B140&lt;=TodayDate+2,FALSE),"Confirm - coming up","OK")))))))))))</f>
        <v>0</v>
      </c>
    </row>
    <row r="141" spans="1:34">
      <c r="A141" s="28">
        <f>IF(B141="","",AppointmentPrefix&amp;TEXT(ROW()-4,"0000"))</f>
        <v>0</v>
      </c>
      <c r="C141" s="15">
        <f>IF(B141="","",TEXT(B141,"ddd"))</f>
        <v>0</v>
      </c>
      <c r="F141" s="15">
        <f>IF(E141="","",IFERROR(INDEX(Clients!$B$5:$B$504,MATCH(E141,Clients!$A$5:$A$504,0)),"Walk-in"))</f>
        <v>0</v>
      </c>
      <c r="H141" s="15">
        <f>IF(G141="","",IFERROR(INDEX(Services!$B$5:$B$204,MATCH(G141,Services!$A$5:$A$204,0)),"Not in Services"))</f>
        <v>0</v>
      </c>
      <c r="J141" s="15">
        <f>IF(I141="","",IFERROR(INDEX(Staff!$B$5:$B$44,MATCH(I141,Staff!$A$5:$A$44,0)),"Unassigned"))</f>
        <v>0</v>
      </c>
      <c r="S141" s="15">
        <f>IF(B141="","",TEXT(B141,"yyyy-mm"))</f>
        <v>0</v>
      </c>
      <c r="T141" s="25">
        <f>IF(B141="","",WEEKNUM(B141,2))</f>
        <v>0</v>
      </c>
      <c r="U141" s="25">
        <f>IF(B141="","",IF(K141&lt;&gt;"",K141,IFERROR(INDEX(Services!$E$5:$E$204,MATCH(G141,Services!$A$5:$A$204,0))*1,0)+IFERROR(INDEX(Services!$F$5:$F$204,MATCH(G141,Services!$A$5:$A$204,0))*1,0)))</f>
        <v>0</v>
      </c>
      <c r="V141" s="36">
        <f>IF(B141="","",IF(D141="","",D141+U141/1440))</f>
        <v>0</v>
      </c>
      <c r="W141" s="25">
        <f>IF(B141="","",IF(D141="","",HOUR(D141)))</f>
        <v>0</v>
      </c>
      <c r="X141" s="37">
        <f>IF(B141="","",ROUND(U141/60,2))</f>
        <v>0</v>
      </c>
      <c r="Y141" s="26">
        <f>IF(B141="","",IF(L141&lt;&gt;"",L141,IFERROR(INDEX(Services!$G$5:$G$204,MATCH(G141,Services!$A$5:$A$204,0))*1,0)))</f>
        <v>0</v>
      </c>
      <c r="Z141" s="26">
        <f>IF(B141="","",IF(O141&lt;&gt;"",O141,IF(Y141&gt;=DepositThreshold,ROUND(Y141*DepositPercent,2),0)))</f>
        <v>0</v>
      </c>
      <c r="AA141" s="26">
        <f>IF(B141="","",ROUND(SUMIFS(Payments!$G$5:$G$1204,Payments!$I$5:$I$1204,A141,Payments!$E$5:$E$1204,"Deposit"),2))</f>
        <v>0</v>
      </c>
      <c r="AB141" s="26">
        <f>IF(B141="","",ROUND(SUMIFS(Sales!$Y$5:$Y$1204,Sales!$C$5:$C$1204,A141),2))</f>
        <v>0</v>
      </c>
      <c r="AC141" s="38">
        <f>IF(B141="","",IF(M141="Completed","Yes",IF(M141="Cancelled","Yes",IF(M141="No show","Yes","No"))))</f>
        <v>0</v>
      </c>
      <c r="AD141" s="25">
        <f>IF(B141="","",IF(AE141="","",B141-AE141))</f>
        <v>0</v>
      </c>
      <c r="AF141" s="38">
        <f>IF(B141="","",IF(M141&lt;&gt;"Completed","",IF(E141="","No",IF(COUNTIFS(Appointments!$E$5:$E$1204,E141,Appointments!$B$5:$B$1204,"&gt;"&amp;B141,Appointments!$M$5:$M$1204,"&lt;&gt;Cancelled")&gt;0,"Yes","No"))))</f>
        <v>0</v>
      </c>
      <c r="AG141" s="38">
        <f>IF(B141="","",IF(I141="","",IF(D141="","",IF(COUNTIFS($I$5:$I$1204,I141,$B$5:$B$1204,B141,$D$5:$D$1204,"&lt;"&amp;V141,$V$5:$V$1204,"&gt;"&amp;D141,$M$5:$M$1204,"&lt;&gt;Cancelled")&gt;1,"Clash",""))))</f>
        <v>0</v>
      </c>
      <c r="AH141" s="39">
        <f>IF(B141="","",IF(AG141="Clash","Clash - stylist double booked",IF(I141="","Assign - no stylist yet",IF(G141="","Add - no service chosen",IF(M141="No show","No show - charge the fee?",IF(M141="Cancelled","",IF(IF(M141="Completed",AB141&lt;Y141-0.004,FALSE),"Unpaid - nothing rung up for this visit",IF(IF(B141&lt;TodayDate,M141="Booked",FALSE),"Overdue - past date, still only Booked",IF(IF(B141=TodayDate,TRUE,FALSE),"Today",IF(IF(Z141&gt;0,AA141&lt;Z141-0.004,FALSE),"Due - deposit not taken",IF(IF(B141&gt;TodayDate,B141&lt;=TodayDate+2,FALSE),"Confirm - coming up","OK")))))))))))</f>
        <v>0</v>
      </c>
    </row>
    <row r="142" spans="1:34">
      <c r="A142" s="28">
        <f>IF(B142="","",AppointmentPrefix&amp;TEXT(ROW()-4,"0000"))</f>
        <v>0</v>
      </c>
      <c r="C142" s="15">
        <f>IF(B142="","",TEXT(B142,"ddd"))</f>
        <v>0</v>
      </c>
      <c r="F142" s="15">
        <f>IF(E142="","",IFERROR(INDEX(Clients!$B$5:$B$504,MATCH(E142,Clients!$A$5:$A$504,0)),"Walk-in"))</f>
        <v>0</v>
      </c>
      <c r="H142" s="15">
        <f>IF(G142="","",IFERROR(INDEX(Services!$B$5:$B$204,MATCH(G142,Services!$A$5:$A$204,0)),"Not in Services"))</f>
        <v>0</v>
      </c>
      <c r="J142" s="15">
        <f>IF(I142="","",IFERROR(INDEX(Staff!$B$5:$B$44,MATCH(I142,Staff!$A$5:$A$44,0)),"Unassigned"))</f>
        <v>0</v>
      </c>
      <c r="S142" s="15">
        <f>IF(B142="","",TEXT(B142,"yyyy-mm"))</f>
        <v>0</v>
      </c>
      <c r="T142" s="25">
        <f>IF(B142="","",WEEKNUM(B142,2))</f>
        <v>0</v>
      </c>
      <c r="U142" s="25">
        <f>IF(B142="","",IF(K142&lt;&gt;"",K142,IFERROR(INDEX(Services!$E$5:$E$204,MATCH(G142,Services!$A$5:$A$204,0))*1,0)+IFERROR(INDEX(Services!$F$5:$F$204,MATCH(G142,Services!$A$5:$A$204,0))*1,0)))</f>
        <v>0</v>
      </c>
      <c r="V142" s="36">
        <f>IF(B142="","",IF(D142="","",D142+U142/1440))</f>
        <v>0</v>
      </c>
      <c r="W142" s="25">
        <f>IF(B142="","",IF(D142="","",HOUR(D142)))</f>
        <v>0</v>
      </c>
      <c r="X142" s="37">
        <f>IF(B142="","",ROUND(U142/60,2))</f>
        <v>0</v>
      </c>
      <c r="Y142" s="26">
        <f>IF(B142="","",IF(L142&lt;&gt;"",L142,IFERROR(INDEX(Services!$G$5:$G$204,MATCH(G142,Services!$A$5:$A$204,0))*1,0)))</f>
        <v>0</v>
      </c>
      <c r="Z142" s="26">
        <f>IF(B142="","",IF(O142&lt;&gt;"",O142,IF(Y142&gt;=DepositThreshold,ROUND(Y142*DepositPercent,2),0)))</f>
        <v>0</v>
      </c>
      <c r="AA142" s="26">
        <f>IF(B142="","",ROUND(SUMIFS(Payments!$G$5:$G$1204,Payments!$I$5:$I$1204,A142,Payments!$E$5:$E$1204,"Deposit"),2))</f>
        <v>0</v>
      </c>
      <c r="AB142" s="26">
        <f>IF(B142="","",ROUND(SUMIFS(Sales!$Y$5:$Y$1204,Sales!$C$5:$C$1204,A142),2))</f>
        <v>0</v>
      </c>
      <c r="AC142" s="38">
        <f>IF(B142="","",IF(M142="Completed","Yes",IF(M142="Cancelled","Yes",IF(M142="No show","Yes","No"))))</f>
        <v>0</v>
      </c>
      <c r="AD142" s="25">
        <f>IF(B142="","",IF(AE142="","",B142-AE142))</f>
        <v>0</v>
      </c>
      <c r="AF142" s="38">
        <f>IF(B142="","",IF(M142&lt;&gt;"Completed","",IF(E142="","No",IF(COUNTIFS(Appointments!$E$5:$E$1204,E142,Appointments!$B$5:$B$1204,"&gt;"&amp;B142,Appointments!$M$5:$M$1204,"&lt;&gt;Cancelled")&gt;0,"Yes","No"))))</f>
        <v>0</v>
      </c>
      <c r="AG142" s="38">
        <f>IF(B142="","",IF(I142="","",IF(D142="","",IF(COUNTIFS($I$5:$I$1204,I142,$B$5:$B$1204,B142,$D$5:$D$1204,"&lt;"&amp;V142,$V$5:$V$1204,"&gt;"&amp;D142,$M$5:$M$1204,"&lt;&gt;Cancelled")&gt;1,"Clash",""))))</f>
        <v>0</v>
      </c>
      <c r="AH142" s="39">
        <f>IF(B142="","",IF(AG142="Clash","Clash - stylist double booked",IF(I142="","Assign - no stylist yet",IF(G142="","Add - no service chosen",IF(M142="No show","No show - charge the fee?",IF(M142="Cancelled","",IF(IF(M142="Completed",AB142&lt;Y142-0.004,FALSE),"Unpaid - nothing rung up for this visit",IF(IF(B142&lt;TodayDate,M142="Booked",FALSE),"Overdue - past date, still only Booked",IF(IF(B142=TodayDate,TRUE,FALSE),"Today",IF(IF(Z142&gt;0,AA142&lt;Z142-0.004,FALSE),"Due - deposit not taken",IF(IF(B142&gt;TodayDate,B142&lt;=TodayDate+2,FALSE),"Confirm - coming up","OK")))))))))))</f>
        <v>0</v>
      </c>
    </row>
    <row r="143" spans="1:34">
      <c r="A143" s="28">
        <f>IF(B143="","",AppointmentPrefix&amp;TEXT(ROW()-4,"0000"))</f>
        <v>0</v>
      </c>
      <c r="C143" s="15">
        <f>IF(B143="","",TEXT(B143,"ddd"))</f>
        <v>0</v>
      </c>
      <c r="F143" s="15">
        <f>IF(E143="","",IFERROR(INDEX(Clients!$B$5:$B$504,MATCH(E143,Clients!$A$5:$A$504,0)),"Walk-in"))</f>
        <v>0</v>
      </c>
      <c r="H143" s="15">
        <f>IF(G143="","",IFERROR(INDEX(Services!$B$5:$B$204,MATCH(G143,Services!$A$5:$A$204,0)),"Not in Services"))</f>
        <v>0</v>
      </c>
      <c r="J143" s="15">
        <f>IF(I143="","",IFERROR(INDEX(Staff!$B$5:$B$44,MATCH(I143,Staff!$A$5:$A$44,0)),"Unassigned"))</f>
        <v>0</v>
      </c>
      <c r="S143" s="15">
        <f>IF(B143="","",TEXT(B143,"yyyy-mm"))</f>
        <v>0</v>
      </c>
      <c r="T143" s="25">
        <f>IF(B143="","",WEEKNUM(B143,2))</f>
        <v>0</v>
      </c>
      <c r="U143" s="25">
        <f>IF(B143="","",IF(K143&lt;&gt;"",K143,IFERROR(INDEX(Services!$E$5:$E$204,MATCH(G143,Services!$A$5:$A$204,0))*1,0)+IFERROR(INDEX(Services!$F$5:$F$204,MATCH(G143,Services!$A$5:$A$204,0))*1,0)))</f>
        <v>0</v>
      </c>
      <c r="V143" s="36">
        <f>IF(B143="","",IF(D143="","",D143+U143/1440))</f>
        <v>0</v>
      </c>
      <c r="W143" s="25">
        <f>IF(B143="","",IF(D143="","",HOUR(D143)))</f>
        <v>0</v>
      </c>
      <c r="X143" s="37">
        <f>IF(B143="","",ROUND(U143/60,2))</f>
        <v>0</v>
      </c>
      <c r="Y143" s="26">
        <f>IF(B143="","",IF(L143&lt;&gt;"",L143,IFERROR(INDEX(Services!$G$5:$G$204,MATCH(G143,Services!$A$5:$A$204,0))*1,0)))</f>
        <v>0</v>
      </c>
      <c r="Z143" s="26">
        <f>IF(B143="","",IF(O143&lt;&gt;"",O143,IF(Y143&gt;=DepositThreshold,ROUND(Y143*DepositPercent,2),0)))</f>
        <v>0</v>
      </c>
      <c r="AA143" s="26">
        <f>IF(B143="","",ROUND(SUMIFS(Payments!$G$5:$G$1204,Payments!$I$5:$I$1204,A143,Payments!$E$5:$E$1204,"Deposit"),2))</f>
        <v>0</v>
      </c>
      <c r="AB143" s="26">
        <f>IF(B143="","",ROUND(SUMIFS(Sales!$Y$5:$Y$1204,Sales!$C$5:$C$1204,A143),2))</f>
        <v>0</v>
      </c>
      <c r="AC143" s="38">
        <f>IF(B143="","",IF(M143="Completed","Yes",IF(M143="Cancelled","Yes",IF(M143="No show","Yes","No"))))</f>
        <v>0</v>
      </c>
      <c r="AD143" s="25">
        <f>IF(B143="","",IF(AE143="","",B143-AE143))</f>
        <v>0</v>
      </c>
      <c r="AF143" s="38">
        <f>IF(B143="","",IF(M143&lt;&gt;"Completed","",IF(E143="","No",IF(COUNTIFS(Appointments!$E$5:$E$1204,E143,Appointments!$B$5:$B$1204,"&gt;"&amp;B143,Appointments!$M$5:$M$1204,"&lt;&gt;Cancelled")&gt;0,"Yes","No"))))</f>
        <v>0</v>
      </c>
      <c r="AG143" s="38">
        <f>IF(B143="","",IF(I143="","",IF(D143="","",IF(COUNTIFS($I$5:$I$1204,I143,$B$5:$B$1204,B143,$D$5:$D$1204,"&lt;"&amp;V143,$V$5:$V$1204,"&gt;"&amp;D143,$M$5:$M$1204,"&lt;&gt;Cancelled")&gt;1,"Clash",""))))</f>
        <v>0</v>
      </c>
      <c r="AH143" s="39">
        <f>IF(B143="","",IF(AG143="Clash","Clash - stylist double booked",IF(I143="","Assign - no stylist yet",IF(G143="","Add - no service chosen",IF(M143="No show","No show - charge the fee?",IF(M143="Cancelled","",IF(IF(M143="Completed",AB143&lt;Y143-0.004,FALSE),"Unpaid - nothing rung up for this visit",IF(IF(B143&lt;TodayDate,M143="Booked",FALSE),"Overdue - past date, still only Booked",IF(IF(B143=TodayDate,TRUE,FALSE),"Today",IF(IF(Z143&gt;0,AA143&lt;Z143-0.004,FALSE),"Due - deposit not taken",IF(IF(B143&gt;TodayDate,B143&lt;=TodayDate+2,FALSE),"Confirm - coming up","OK")))))))))))</f>
        <v>0</v>
      </c>
    </row>
    <row r="144" spans="1:34">
      <c r="A144" s="28">
        <f>IF(B144="","",AppointmentPrefix&amp;TEXT(ROW()-4,"0000"))</f>
        <v>0</v>
      </c>
      <c r="C144" s="15">
        <f>IF(B144="","",TEXT(B144,"ddd"))</f>
        <v>0</v>
      </c>
      <c r="F144" s="15">
        <f>IF(E144="","",IFERROR(INDEX(Clients!$B$5:$B$504,MATCH(E144,Clients!$A$5:$A$504,0)),"Walk-in"))</f>
        <v>0</v>
      </c>
      <c r="H144" s="15">
        <f>IF(G144="","",IFERROR(INDEX(Services!$B$5:$B$204,MATCH(G144,Services!$A$5:$A$204,0)),"Not in Services"))</f>
        <v>0</v>
      </c>
      <c r="J144" s="15">
        <f>IF(I144="","",IFERROR(INDEX(Staff!$B$5:$B$44,MATCH(I144,Staff!$A$5:$A$44,0)),"Unassigned"))</f>
        <v>0</v>
      </c>
      <c r="S144" s="15">
        <f>IF(B144="","",TEXT(B144,"yyyy-mm"))</f>
        <v>0</v>
      </c>
      <c r="T144" s="25">
        <f>IF(B144="","",WEEKNUM(B144,2))</f>
        <v>0</v>
      </c>
      <c r="U144" s="25">
        <f>IF(B144="","",IF(K144&lt;&gt;"",K144,IFERROR(INDEX(Services!$E$5:$E$204,MATCH(G144,Services!$A$5:$A$204,0))*1,0)+IFERROR(INDEX(Services!$F$5:$F$204,MATCH(G144,Services!$A$5:$A$204,0))*1,0)))</f>
        <v>0</v>
      </c>
      <c r="V144" s="36">
        <f>IF(B144="","",IF(D144="","",D144+U144/1440))</f>
        <v>0</v>
      </c>
      <c r="W144" s="25">
        <f>IF(B144="","",IF(D144="","",HOUR(D144)))</f>
        <v>0</v>
      </c>
      <c r="X144" s="37">
        <f>IF(B144="","",ROUND(U144/60,2))</f>
        <v>0</v>
      </c>
      <c r="Y144" s="26">
        <f>IF(B144="","",IF(L144&lt;&gt;"",L144,IFERROR(INDEX(Services!$G$5:$G$204,MATCH(G144,Services!$A$5:$A$204,0))*1,0)))</f>
        <v>0</v>
      </c>
      <c r="Z144" s="26">
        <f>IF(B144="","",IF(O144&lt;&gt;"",O144,IF(Y144&gt;=DepositThreshold,ROUND(Y144*DepositPercent,2),0)))</f>
        <v>0</v>
      </c>
      <c r="AA144" s="26">
        <f>IF(B144="","",ROUND(SUMIFS(Payments!$G$5:$G$1204,Payments!$I$5:$I$1204,A144,Payments!$E$5:$E$1204,"Deposit"),2))</f>
        <v>0</v>
      </c>
      <c r="AB144" s="26">
        <f>IF(B144="","",ROUND(SUMIFS(Sales!$Y$5:$Y$1204,Sales!$C$5:$C$1204,A144),2))</f>
        <v>0</v>
      </c>
      <c r="AC144" s="38">
        <f>IF(B144="","",IF(M144="Completed","Yes",IF(M144="Cancelled","Yes",IF(M144="No show","Yes","No"))))</f>
        <v>0</v>
      </c>
      <c r="AD144" s="25">
        <f>IF(B144="","",IF(AE144="","",B144-AE144))</f>
        <v>0</v>
      </c>
      <c r="AF144" s="38">
        <f>IF(B144="","",IF(M144&lt;&gt;"Completed","",IF(E144="","No",IF(COUNTIFS(Appointments!$E$5:$E$1204,E144,Appointments!$B$5:$B$1204,"&gt;"&amp;B144,Appointments!$M$5:$M$1204,"&lt;&gt;Cancelled")&gt;0,"Yes","No"))))</f>
        <v>0</v>
      </c>
      <c r="AG144" s="38">
        <f>IF(B144="","",IF(I144="","",IF(D144="","",IF(COUNTIFS($I$5:$I$1204,I144,$B$5:$B$1204,B144,$D$5:$D$1204,"&lt;"&amp;V144,$V$5:$V$1204,"&gt;"&amp;D144,$M$5:$M$1204,"&lt;&gt;Cancelled")&gt;1,"Clash",""))))</f>
        <v>0</v>
      </c>
      <c r="AH144" s="39">
        <f>IF(B144="","",IF(AG144="Clash","Clash - stylist double booked",IF(I144="","Assign - no stylist yet",IF(G144="","Add - no service chosen",IF(M144="No show","No show - charge the fee?",IF(M144="Cancelled","",IF(IF(M144="Completed",AB144&lt;Y144-0.004,FALSE),"Unpaid - nothing rung up for this visit",IF(IF(B144&lt;TodayDate,M144="Booked",FALSE),"Overdue - past date, still only Booked",IF(IF(B144=TodayDate,TRUE,FALSE),"Today",IF(IF(Z144&gt;0,AA144&lt;Z144-0.004,FALSE),"Due - deposit not taken",IF(IF(B144&gt;TodayDate,B144&lt;=TodayDate+2,FALSE),"Confirm - coming up","OK")))))))))))</f>
        <v>0</v>
      </c>
    </row>
    <row r="145" spans="1:34">
      <c r="A145" s="28">
        <f>IF(B145="","",AppointmentPrefix&amp;TEXT(ROW()-4,"0000"))</f>
        <v>0</v>
      </c>
      <c r="C145" s="15">
        <f>IF(B145="","",TEXT(B145,"ddd"))</f>
        <v>0</v>
      </c>
      <c r="F145" s="15">
        <f>IF(E145="","",IFERROR(INDEX(Clients!$B$5:$B$504,MATCH(E145,Clients!$A$5:$A$504,0)),"Walk-in"))</f>
        <v>0</v>
      </c>
      <c r="H145" s="15">
        <f>IF(G145="","",IFERROR(INDEX(Services!$B$5:$B$204,MATCH(G145,Services!$A$5:$A$204,0)),"Not in Services"))</f>
        <v>0</v>
      </c>
      <c r="J145" s="15">
        <f>IF(I145="","",IFERROR(INDEX(Staff!$B$5:$B$44,MATCH(I145,Staff!$A$5:$A$44,0)),"Unassigned"))</f>
        <v>0</v>
      </c>
      <c r="S145" s="15">
        <f>IF(B145="","",TEXT(B145,"yyyy-mm"))</f>
        <v>0</v>
      </c>
      <c r="T145" s="25">
        <f>IF(B145="","",WEEKNUM(B145,2))</f>
        <v>0</v>
      </c>
      <c r="U145" s="25">
        <f>IF(B145="","",IF(K145&lt;&gt;"",K145,IFERROR(INDEX(Services!$E$5:$E$204,MATCH(G145,Services!$A$5:$A$204,0))*1,0)+IFERROR(INDEX(Services!$F$5:$F$204,MATCH(G145,Services!$A$5:$A$204,0))*1,0)))</f>
        <v>0</v>
      </c>
      <c r="V145" s="36">
        <f>IF(B145="","",IF(D145="","",D145+U145/1440))</f>
        <v>0</v>
      </c>
      <c r="W145" s="25">
        <f>IF(B145="","",IF(D145="","",HOUR(D145)))</f>
        <v>0</v>
      </c>
      <c r="X145" s="37">
        <f>IF(B145="","",ROUND(U145/60,2))</f>
        <v>0</v>
      </c>
      <c r="Y145" s="26">
        <f>IF(B145="","",IF(L145&lt;&gt;"",L145,IFERROR(INDEX(Services!$G$5:$G$204,MATCH(G145,Services!$A$5:$A$204,0))*1,0)))</f>
        <v>0</v>
      </c>
      <c r="Z145" s="26">
        <f>IF(B145="","",IF(O145&lt;&gt;"",O145,IF(Y145&gt;=DepositThreshold,ROUND(Y145*DepositPercent,2),0)))</f>
        <v>0</v>
      </c>
      <c r="AA145" s="26">
        <f>IF(B145="","",ROUND(SUMIFS(Payments!$G$5:$G$1204,Payments!$I$5:$I$1204,A145,Payments!$E$5:$E$1204,"Deposit"),2))</f>
        <v>0</v>
      </c>
      <c r="AB145" s="26">
        <f>IF(B145="","",ROUND(SUMIFS(Sales!$Y$5:$Y$1204,Sales!$C$5:$C$1204,A145),2))</f>
        <v>0</v>
      </c>
      <c r="AC145" s="38">
        <f>IF(B145="","",IF(M145="Completed","Yes",IF(M145="Cancelled","Yes",IF(M145="No show","Yes","No"))))</f>
        <v>0</v>
      </c>
      <c r="AD145" s="25">
        <f>IF(B145="","",IF(AE145="","",B145-AE145))</f>
        <v>0</v>
      </c>
      <c r="AF145" s="38">
        <f>IF(B145="","",IF(M145&lt;&gt;"Completed","",IF(E145="","No",IF(COUNTIFS(Appointments!$E$5:$E$1204,E145,Appointments!$B$5:$B$1204,"&gt;"&amp;B145,Appointments!$M$5:$M$1204,"&lt;&gt;Cancelled")&gt;0,"Yes","No"))))</f>
        <v>0</v>
      </c>
      <c r="AG145" s="38">
        <f>IF(B145="","",IF(I145="","",IF(D145="","",IF(COUNTIFS($I$5:$I$1204,I145,$B$5:$B$1204,B145,$D$5:$D$1204,"&lt;"&amp;V145,$V$5:$V$1204,"&gt;"&amp;D145,$M$5:$M$1204,"&lt;&gt;Cancelled")&gt;1,"Clash",""))))</f>
        <v>0</v>
      </c>
      <c r="AH145" s="39">
        <f>IF(B145="","",IF(AG145="Clash","Clash - stylist double booked",IF(I145="","Assign - no stylist yet",IF(G145="","Add - no service chosen",IF(M145="No show","No show - charge the fee?",IF(M145="Cancelled","",IF(IF(M145="Completed",AB145&lt;Y145-0.004,FALSE),"Unpaid - nothing rung up for this visit",IF(IF(B145&lt;TodayDate,M145="Booked",FALSE),"Overdue - past date, still only Booked",IF(IF(B145=TodayDate,TRUE,FALSE),"Today",IF(IF(Z145&gt;0,AA145&lt;Z145-0.004,FALSE),"Due - deposit not taken",IF(IF(B145&gt;TodayDate,B145&lt;=TodayDate+2,FALSE),"Confirm - coming up","OK")))))))))))</f>
        <v>0</v>
      </c>
    </row>
    <row r="146" spans="1:34">
      <c r="A146" s="28">
        <f>IF(B146="","",AppointmentPrefix&amp;TEXT(ROW()-4,"0000"))</f>
        <v>0</v>
      </c>
      <c r="C146" s="15">
        <f>IF(B146="","",TEXT(B146,"ddd"))</f>
        <v>0</v>
      </c>
      <c r="F146" s="15">
        <f>IF(E146="","",IFERROR(INDEX(Clients!$B$5:$B$504,MATCH(E146,Clients!$A$5:$A$504,0)),"Walk-in"))</f>
        <v>0</v>
      </c>
      <c r="H146" s="15">
        <f>IF(G146="","",IFERROR(INDEX(Services!$B$5:$B$204,MATCH(G146,Services!$A$5:$A$204,0)),"Not in Services"))</f>
        <v>0</v>
      </c>
      <c r="J146" s="15">
        <f>IF(I146="","",IFERROR(INDEX(Staff!$B$5:$B$44,MATCH(I146,Staff!$A$5:$A$44,0)),"Unassigned"))</f>
        <v>0</v>
      </c>
      <c r="S146" s="15">
        <f>IF(B146="","",TEXT(B146,"yyyy-mm"))</f>
        <v>0</v>
      </c>
      <c r="T146" s="25">
        <f>IF(B146="","",WEEKNUM(B146,2))</f>
        <v>0</v>
      </c>
      <c r="U146" s="25">
        <f>IF(B146="","",IF(K146&lt;&gt;"",K146,IFERROR(INDEX(Services!$E$5:$E$204,MATCH(G146,Services!$A$5:$A$204,0))*1,0)+IFERROR(INDEX(Services!$F$5:$F$204,MATCH(G146,Services!$A$5:$A$204,0))*1,0)))</f>
        <v>0</v>
      </c>
      <c r="V146" s="36">
        <f>IF(B146="","",IF(D146="","",D146+U146/1440))</f>
        <v>0</v>
      </c>
      <c r="W146" s="25">
        <f>IF(B146="","",IF(D146="","",HOUR(D146)))</f>
        <v>0</v>
      </c>
      <c r="X146" s="37">
        <f>IF(B146="","",ROUND(U146/60,2))</f>
        <v>0</v>
      </c>
      <c r="Y146" s="26">
        <f>IF(B146="","",IF(L146&lt;&gt;"",L146,IFERROR(INDEX(Services!$G$5:$G$204,MATCH(G146,Services!$A$5:$A$204,0))*1,0)))</f>
        <v>0</v>
      </c>
      <c r="Z146" s="26">
        <f>IF(B146="","",IF(O146&lt;&gt;"",O146,IF(Y146&gt;=DepositThreshold,ROUND(Y146*DepositPercent,2),0)))</f>
        <v>0</v>
      </c>
      <c r="AA146" s="26">
        <f>IF(B146="","",ROUND(SUMIFS(Payments!$G$5:$G$1204,Payments!$I$5:$I$1204,A146,Payments!$E$5:$E$1204,"Deposit"),2))</f>
        <v>0</v>
      </c>
      <c r="AB146" s="26">
        <f>IF(B146="","",ROUND(SUMIFS(Sales!$Y$5:$Y$1204,Sales!$C$5:$C$1204,A146),2))</f>
        <v>0</v>
      </c>
      <c r="AC146" s="38">
        <f>IF(B146="","",IF(M146="Completed","Yes",IF(M146="Cancelled","Yes",IF(M146="No show","Yes","No"))))</f>
        <v>0</v>
      </c>
      <c r="AD146" s="25">
        <f>IF(B146="","",IF(AE146="","",B146-AE146))</f>
        <v>0</v>
      </c>
      <c r="AF146" s="38">
        <f>IF(B146="","",IF(M146&lt;&gt;"Completed","",IF(E146="","No",IF(COUNTIFS(Appointments!$E$5:$E$1204,E146,Appointments!$B$5:$B$1204,"&gt;"&amp;B146,Appointments!$M$5:$M$1204,"&lt;&gt;Cancelled")&gt;0,"Yes","No"))))</f>
        <v>0</v>
      </c>
      <c r="AG146" s="38">
        <f>IF(B146="","",IF(I146="","",IF(D146="","",IF(COUNTIFS($I$5:$I$1204,I146,$B$5:$B$1204,B146,$D$5:$D$1204,"&lt;"&amp;V146,$V$5:$V$1204,"&gt;"&amp;D146,$M$5:$M$1204,"&lt;&gt;Cancelled")&gt;1,"Clash",""))))</f>
        <v>0</v>
      </c>
      <c r="AH146" s="39">
        <f>IF(B146="","",IF(AG146="Clash","Clash - stylist double booked",IF(I146="","Assign - no stylist yet",IF(G146="","Add - no service chosen",IF(M146="No show","No show - charge the fee?",IF(M146="Cancelled","",IF(IF(M146="Completed",AB146&lt;Y146-0.004,FALSE),"Unpaid - nothing rung up for this visit",IF(IF(B146&lt;TodayDate,M146="Booked",FALSE),"Overdue - past date, still only Booked",IF(IF(B146=TodayDate,TRUE,FALSE),"Today",IF(IF(Z146&gt;0,AA146&lt;Z146-0.004,FALSE),"Due - deposit not taken",IF(IF(B146&gt;TodayDate,B146&lt;=TodayDate+2,FALSE),"Confirm - coming up","OK")))))))))))</f>
        <v>0</v>
      </c>
    </row>
    <row r="147" spans="1:34">
      <c r="A147" s="28">
        <f>IF(B147="","",AppointmentPrefix&amp;TEXT(ROW()-4,"0000"))</f>
        <v>0</v>
      </c>
      <c r="C147" s="15">
        <f>IF(B147="","",TEXT(B147,"ddd"))</f>
        <v>0</v>
      </c>
      <c r="F147" s="15">
        <f>IF(E147="","",IFERROR(INDEX(Clients!$B$5:$B$504,MATCH(E147,Clients!$A$5:$A$504,0)),"Walk-in"))</f>
        <v>0</v>
      </c>
      <c r="H147" s="15">
        <f>IF(G147="","",IFERROR(INDEX(Services!$B$5:$B$204,MATCH(G147,Services!$A$5:$A$204,0)),"Not in Services"))</f>
        <v>0</v>
      </c>
      <c r="J147" s="15">
        <f>IF(I147="","",IFERROR(INDEX(Staff!$B$5:$B$44,MATCH(I147,Staff!$A$5:$A$44,0)),"Unassigned"))</f>
        <v>0</v>
      </c>
      <c r="S147" s="15">
        <f>IF(B147="","",TEXT(B147,"yyyy-mm"))</f>
        <v>0</v>
      </c>
      <c r="T147" s="25">
        <f>IF(B147="","",WEEKNUM(B147,2))</f>
        <v>0</v>
      </c>
      <c r="U147" s="25">
        <f>IF(B147="","",IF(K147&lt;&gt;"",K147,IFERROR(INDEX(Services!$E$5:$E$204,MATCH(G147,Services!$A$5:$A$204,0))*1,0)+IFERROR(INDEX(Services!$F$5:$F$204,MATCH(G147,Services!$A$5:$A$204,0))*1,0)))</f>
        <v>0</v>
      </c>
      <c r="V147" s="36">
        <f>IF(B147="","",IF(D147="","",D147+U147/1440))</f>
        <v>0</v>
      </c>
      <c r="W147" s="25">
        <f>IF(B147="","",IF(D147="","",HOUR(D147)))</f>
        <v>0</v>
      </c>
      <c r="X147" s="37">
        <f>IF(B147="","",ROUND(U147/60,2))</f>
        <v>0</v>
      </c>
      <c r="Y147" s="26">
        <f>IF(B147="","",IF(L147&lt;&gt;"",L147,IFERROR(INDEX(Services!$G$5:$G$204,MATCH(G147,Services!$A$5:$A$204,0))*1,0)))</f>
        <v>0</v>
      </c>
      <c r="Z147" s="26">
        <f>IF(B147="","",IF(O147&lt;&gt;"",O147,IF(Y147&gt;=DepositThreshold,ROUND(Y147*DepositPercent,2),0)))</f>
        <v>0</v>
      </c>
      <c r="AA147" s="26">
        <f>IF(B147="","",ROUND(SUMIFS(Payments!$G$5:$G$1204,Payments!$I$5:$I$1204,A147,Payments!$E$5:$E$1204,"Deposit"),2))</f>
        <v>0</v>
      </c>
      <c r="AB147" s="26">
        <f>IF(B147="","",ROUND(SUMIFS(Sales!$Y$5:$Y$1204,Sales!$C$5:$C$1204,A147),2))</f>
        <v>0</v>
      </c>
      <c r="AC147" s="38">
        <f>IF(B147="","",IF(M147="Completed","Yes",IF(M147="Cancelled","Yes",IF(M147="No show","Yes","No"))))</f>
        <v>0</v>
      </c>
      <c r="AD147" s="25">
        <f>IF(B147="","",IF(AE147="","",B147-AE147))</f>
        <v>0</v>
      </c>
      <c r="AF147" s="38">
        <f>IF(B147="","",IF(M147&lt;&gt;"Completed","",IF(E147="","No",IF(COUNTIFS(Appointments!$E$5:$E$1204,E147,Appointments!$B$5:$B$1204,"&gt;"&amp;B147,Appointments!$M$5:$M$1204,"&lt;&gt;Cancelled")&gt;0,"Yes","No"))))</f>
        <v>0</v>
      </c>
      <c r="AG147" s="38">
        <f>IF(B147="","",IF(I147="","",IF(D147="","",IF(COUNTIFS($I$5:$I$1204,I147,$B$5:$B$1204,B147,$D$5:$D$1204,"&lt;"&amp;V147,$V$5:$V$1204,"&gt;"&amp;D147,$M$5:$M$1204,"&lt;&gt;Cancelled")&gt;1,"Clash",""))))</f>
        <v>0</v>
      </c>
      <c r="AH147" s="39">
        <f>IF(B147="","",IF(AG147="Clash","Clash - stylist double booked",IF(I147="","Assign - no stylist yet",IF(G147="","Add - no service chosen",IF(M147="No show","No show - charge the fee?",IF(M147="Cancelled","",IF(IF(M147="Completed",AB147&lt;Y147-0.004,FALSE),"Unpaid - nothing rung up for this visit",IF(IF(B147&lt;TodayDate,M147="Booked",FALSE),"Overdue - past date, still only Booked",IF(IF(B147=TodayDate,TRUE,FALSE),"Today",IF(IF(Z147&gt;0,AA147&lt;Z147-0.004,FALSE),"Due - deposit not taken",IF(IF(B147&gt;TodayDate,B147&lt;=TodayDate+2,FALSE),"Confirm - coming up","OK")))))))))))</f>
        <v>0</v>
      </c>
    </row>
    <row r="148" spans="1:34">
      <c r="A148" s="28">
        <f>IF(B148="","",AppointmentPrefix&amp;TEXT(ROW()-4,"0000"))</f>
        <v>0</v>
      </c>
      <c r="C148" s="15">
        <f>IF(B148="","",TEXT(B148,"ddd"))</f>
        <v>0</v>
      </c>
      <c r="F148" s="15">
        <f>IF(E148="","",IFERROR(INDEX(Clients!$B$5:$B$504,MATCH(E148,Clients!$A$5:$A$504,0)),"Walk-in"))</f>
        <v>0</v>
      </c>
      <c r="H148" s="15">
        <f>IF(G148="","",IFERROR(INDEX(Services!$B$5:$B$204,MATCH(G148,Services!$A$5:$A$204,0)),"Not in Services"))</f>
        <v>0</v>
      </c>
      <c r="J148" s="15">
        <f>IF(I148="","",IFERROR(INDEX(Staff!$B$5:$B$44,MATCH(I148,Staff!$A$5:$A$44,0)),"Unassigned"))</f>
        <v>0</v>
      </c>
      <c r="S148" s="15">
        <f>IF(B148="","",TEXT(B148,"yyyy-mm"))</f>
        <v>0</v>
      </c>
      <c r="T148" s="25">
        <f>IF(B148="","",WEEKNUM(B148,2))</f>
        <v>0</v>
      </c>
      <c r="U148" s="25">
        <f>IF(B148="","",IF(K148&lt;&gt;"",K148,IFERROR(INDEX(Services!$E$5:$E$204,MATCH(G148,Services!$A$5:$A$204,0))*1,0)+IFERROR(INDEX(Services!$F$5:$F$204,MATCH(G148,Services!$A$5:$A$204,0))*1,0)))</f>
        <v>0</v>
      </c>
      <c r="V148" s="36">
        <f>IF(B148="","",IF(D148="","",D148+U148/1440))</f>
        <v>0</v>
      </c>
      <c r="W148" s="25">
        <f>IF(B148="","",IF(D148="","",HOUR(D148)))</f>
        <v>0</v>
      </c>
      <c r="X148" s="37">
        <f>IF(B148="","",ROUND(U148/60,2))</f>
        <v>0</v>
      </c>
      <c r="Y148" s="26">
        <f>IF(B148="","",IF(L148&lt;&gt;"",L148,IFERROR(INDEX(Services!$G$5:$G$204,MATCH(G148,Services!$A$5:$A$204,0))*1,0)))</f>
        <v>0</v>
      </c>
      <c r="Z148" s="26">
        <f>IF(B148="","",IF(O148&lt;&gt;"",O148,IF(Y148&gt;=DepositThreshold,ROUND(Y148*DepositPercent,2),0)))</f>
        <v>0</v>
      </c>
      <c r="AA148" s="26">
        <f>IF(B148="","",ROUND(SUMIFS(Payments!$G$5:$G$1204,Payments!$I$5:$I$1204,A148,Payments!$E$5:$E$1204,"Deposit"),2))</f>
        <v>0</v>
      </c>
      <c r="AB148" s="26">
        <f>IF(B148="","",ROUND(SUMIFS(Sales!$Y$5:$Y$1204,Sales!$C$5:$C$1204,A148),2))</f>
        <v>0</v>
      </c>
      <c r="AC148" s="38">
        <f>IF(B148="","",IF(M148="Completed","Yes",IF(M148="Cancelled","Yes",IF(M148="No show","Yes","No"))))</f>
        <v>0</v>
      </c>
      <c r="AD148" s="25">
        <f>IF(B148="","",IF(AE148="","",B148-AE148))</f>
        <v>0</v>
      </c>
      <c r="AF148" s="38">
        <f>IF(B148="","",IF(M148&lt;&gt;"Completed","",IF(E148="","No",IF(COUNTIFS(Appointments!$E$5:$E$1204,E148,Appointments!$B$5:$B$1204,"&gt;"&amp;B148,Appointments!$M$5:$M$1204,"&lt;&gt;Cancelled")&gt;0,"Yes","No"))))</f>
        <v>0</v>
      </c>
      <c r="AG148" s="38">
        <f>IF(B148="","",IF(I148="","",IF(D148="","",IF(COUNTIFS($I$5:$I$1204,I148,$B$5:$B$1204,B148,$D$5:$D$1204,"&lt;"&amp;V148,$V$5:$V$1204,"&gt;"&amp;D148,$M$5:$M$1204,"&lt;&gt;Cancelled")&gt;1,"Clash",""))))</f>
        <v>0</v>
      </c>
      <c r="AH148" s="39">
        <f>IF(B148="","",IF(AG148="Clash","Clash - stylist double booked",IF(I148="","Assign - no stylist yet",IF(G148="","Add - no service chosen",IF(M148="No show","No show - charge the fee?",IF(M148="Cancelled","",IF(IF(M148="Completed",AB148&lt;Y148-0.004,FALSE),"Unpaid - nothing rung up for this visit",IF(IF(B148&lt;TodayDate,M148="Booked",FALSE),"Overdue - past date, still only Booked",IF(IF(B148=TodayDate,TRUE,FALSE),"Today",IF(IF(Z148&gt;0,AA148&lt;Z148-0.004,FALSE),"Due - deposit not taken",IF(IF(B148&gt;TodayDate,B148&lt;=TodayDate+2,FALSE),"Confirm - coming up","OK")))))))))))</f>
        <v>0</v>
      </c>
    </row>
    <row r="149" spans="1:34">
      <c r="A149" s="28">
        <f>IF(B149="","",AppointmentPrefix&amp;TEXT(ROW()-4,"0000"))</f>
        <v>0</v>
      </c>
      <c r="C149" s="15">
        <f>IF(B149="","",TEXT(B149,"ddd"))</f>
        <v>0</v>
      </c>
      <c r="F149" s="15">
        <f>IF(E149="","",IFERROR(INDEX(Clients!$B$5:$B$504,MATCH(E149,Clients!$A$5:$A$504,0)),"Walk-in"))</f>
        <v>0</v>
      </c>
      <c r="H149" s="15">
        <f>IF(G149="","",IFERROR(INDEX(Services!$B$5:$B$204,MATCH(G149,Services!$A$5:$A$204,0)),"Not in Services"))</f>
        <v>0</v>
      </c>
      <c r="J149" s="15">
        <f>IF(I149="","",IFERROR(INDEX(Staff!$B$5:$B$44,MATCH(I149,Staff!$A$5:$A$44,0)),"Unassigned"))</f>
        <v>0</v>
      </c>
      <c r="S149" s="15">
        <f>IF(B149="","",TEXT(B149,"yyyy-mm"))</f>
        <v>0</v>
      </c>
      <c r="T149" s="25">
        <f>IF(B149="","",WEEKNUM(B149,2))</f>
        <v>0</v>
      </c>
      <c r="U149" s="25">
        <f>IF(B149="","",IF(K149&lt;&gt;"",K149,IFERROR(INDEX(Services!$E$5:$E$204,MATCH(G149,Services!$A$5:$A$204,0))*1,0)+IFERROR(INDEX(Services!$F$5:$F$204,MATCH(G149,Services!$A$5:$A$204,0))*1,0)))</f>
        <v>0</v>
      </c>
      <c r="V149" s="36">
        <f>IF(B149="","",IF(D149="","",D149+U149/1440))</f>
        <v>0</v>
      </c>
      <c r="W149" s="25">
        <f>IF(B149="","",IF(D149="","",HOUR(D149)))</f>
        <v>0</v>
      </c>
      <c r="X149" s="37">
        <f>IF(B149="","",ROUND(U149/60,2))</f>
        <v>0</v>
      </c>
      <c r="Y149" s="26">
        <f>IF(B149="","",IF(L149&lt;&gt;"",L149,IFERROR(INDEX(Services!$G$5:$G$204,MATCH(G149,Services!$A$5:$A$204,0))*1,0)))</f>
        <v>0</v>
      </c>
      <c r="Z149" s="26">
        <f>IF(B149="","",IF(O149&lt;&gt;"",O149,IF(Y149&gt;=DepositThreshold,ROUND(Y149*DepositPercent,2),0)))</f>
        <v>0</v>
      </c>
      <c r="AA149" s="26">
        <f>IF(B149="","",ROUND(SUMIFS(Payments!$G$5:$G$1204,Payments!$I$5:$I$1204,A149,Payments!$E$5:$E$1204,"Deposit"),2))</f>
        <v>0</v>
      </c>
      <c r="AB149" s="26">
        <f>IF(B149="","",ROUND(SUMIFS(Sales!$Y$5:$Y$1204,Sales!$C$5:$C$1204,A149),2))</f>
        <v>0</v>
      </c>
      <c r="AC149" s="38">
        <f>IF(B149="","",IF(M149="Completed","Yes",IF(M149="Cancelled","Yes",IF(M149="No show","Yes","No"))))</f>
        <v>0</v>
      </c>
      <c r="AD149" s="25">
        <f>IF(B149="","",IF(AE149="","",B149-AE149))</f>
        <v>0</v>
      </c>
      <c r="AF149" s="38">
        <f>IF(B149="","",IF(M149&lt;&gt;"Completed","",IF(E149="","No",IF(COUNTIFS(Appointments!$E$5:$E$1204,E149,Appointments!$B$5:$B$1204,"&gt;"&amp;B149,Appointments!$M$5:$M$1204,"&lt;&gt;Cancelled")&gt;0,"Yes","No"))))</f>
        <v>0</v>
      </c>
      <c r="AG149" s="38">
        <f>IF(B149="","",IF(I149="","",IF(D149="","",IF(COUNTIFS($I$5:$I$1204,I149,$B$5:$B$1204,B149,$D$5:$D$1204,"&lt;"&amp;V149,$V$5:$V$1204,"&gt;"&amp;D149,$M$5:$M$1204,"&lt;&gt;Cancelled")&gt;1,"Clash",""))))</f>
        <v>0</v>
      </c>
      <c r="AH149" s="39">
        <f>IF(B149="","",IF(AG149="Clash","Clash - stylist double booked",IF(I149="","Assign - no stylist yet",IF(G149="","Add - no service chosen",IF(M149="No show","No show - charge the fee?",IF(M149="Cancelled","",IF(IF(M149="Completed",AB149&lt;Y149-0.004,FALSE),"Unpaid - nothing rung up for this visit",IF(IF(B149&lt;TodayDate,M149="Booked",FALSE),"Overdue - past date, still only Booked",IF(IF(B149=TodayDate,TRUE,FALSE),"Today",IF(IF(Z149&gt;0,AA149&lt;Z149-0.004,FALSE),"Due - deposit not taken",IF(IF(B149&gt;TodayDate,B149&lt;=TodayDate+2,FALSE),"Confirm - coming up","OK")))))))))))</f>
        <v>0</v>
      </c>
    </row>
    <row r="150" spans="1:34">
      <c r="A150" s="28">
        <f>IF(B150="","",AppointmentPrefix&amp;TEXT(ROW()-4,"0000"))</f>
        <v>0</v>
      </c>
      <c r="C150" s="15">
        <f>IF(B150="","",TEXT(B150,"ddd"))</f>
        <v>0</v>
      </c>
      <c r="F150" s="15">
        <f>IF(E150="","",IFERROR(INDEX(Clients!$B$5:$B$504,MATCH(E150,Clients!$A$5:$A$504,0)),"Walk-in"))</f>
        <v>0</v>
      </c>
      <c r="H150" s="15">
        <f>IF(G150="","",IFERROR(INDEX(Services!$B$5:$B$204,MATCH(G150,Services!$A$5:$A$204,0)),"Not in Services"))</f>
        <v>0</v>
      </c>
      <c r="J150" s="15">
        <f>IF(I150="","",IFERROR(INDEX(Staff!$B$5:$B$44,MATCH(I150,Staff!$A$5:$A$44,0)),"Unassigned"))</f>
        <v>0</v>
      </c>
      <c r="S150" s="15">
        <f>IF(B150="","",TEXT(B150,"yyyy-mm"))</f>
        <v>0</v>
      </c>
      <c r="T150" s="25">
        <f>IF(B150="","",WEEKNUM(B150,2))</f>
        <v>0</v>
      </c>
      <c r="U150" s="25">
        <f>IF(B150="","",IF(K150&lt;&gt;"",K150,IFERROR(INDEX(Services!$E$5:$E$204,MATCH(G150,Services!$A$5:$A$204,0))*1,0)+IFERROR(INDEX(Services!$F$5:$F$204,MATCH(G150,Services!$A$5:$A$204,0))*1,0)))</f>
        <v>0</v>
      </c>
      <c r="V150" s="36">
        <f>IF(B150="","",IF(D150="","",D150+U150/1440))</f>
        <v>0</v>
      </c>
      <c r="W150" s="25">
        <f>IF(B150="","",IF(D150="","",HOUR(D150)))</f>
        <v>0</v>
      </c>
      <c r="X150" s="37">
        <f>IF(B150="","",ROUND(U150/60,2))</f>
        <v>0</v>
      </c>
      <c r="Y150" s="26">
        <f>IF(B150="","",IF(L150&lt;&gt;"",L150,IFERROR(INDEX(Services!$G$5:$G$204,MATCH(G150,Services!$A$5:$A$204,0))*1,0)))</f>
        <v>0</v>
      </c>
      <c r="Z150" s="26">
        <f>IF(B150="","",IF(O150&lt;&gt;"",O150,IF(Y150&gt;=DepositThreshold,ROUND(Y150*DepositPercent,2),0)))</f>
        <v>0</v>
      </c>
      <c r="AA150" s="26">
        <f>IF(B150="","",ROUND(SUMIFS(Payments!$G$5:$G$1204,Payments!$I$5:$I$1204,A150,Payments!$E$5:$E$1204,"Deposit"),2))</f>
        <v>0</v>
      </c>
      <c r="AB150" s="26">
        <f>IF(B150="","",ROUND(SUMIFS(Sales!$Y$5:$Y$1204,Sales!$C$5:$C$1204,A150),2))</f>
        <v>0</v>
      </c>
      <c r="AC150" s="38">
        <f>IF(B150="","",IF(M150="Completed","Yes",IF(M150="Cancelled","Yes",IF(M150="No show","Yes","No"))))</f>
        <v>0</v>
      </c>
      <c r="AD150" s="25">
        <f>IF(B150="","",IF(AE150="","",B150-AE150))</f>
        <v>0</v>
      </c>
      <c r="AF150" s="38">
        <f>IF(B150="","",IF(M150&lt;&gt;"Completed","",IF(E150="","No",IF(COUNTIFS(Appointments!$E$5:$E$1204,E150,Appointments!$B$5:$B$1204,"&gt;"&amp;B150,Appointments!$M$5:$M$1204,"&lt;&gt;Cancelled")&gt;0,"Yes","No"))))</f>
        <v>0</v>
      </c>
      <c r="AG150" s="38">
        <f>IF(B150="","",IF(I150="","",IF(D150="","",IF(COUNTIFS($I$5:$I$1204,I150,$B$5:$B$1204,B150,$D$5:$D$1204,"&lt;"&amp;V150,$V$5:$V$1204,"&gt;"&amp;D150,$M$5:$M$1204,"&lt;&gt;Cancelled")&gt;1,"Clash",""))))</f>
        <v>0</v>
      </c>
      <c r="AH150" s="39">
        <f>IF(B150="","",IF(AG150="Clash","Clash - stylist double booked",IF(I150="","Assign - no stylist yet",IF(G150="","Add - no service chosen",IF(M150="No show","No show - charge the fee?",IF(M150="Cancelled","",IF(IF(M150="Completed",AB150&lt;Y150-0.004,FALSE),"Unpaid - nothing rung up for this visit",IF(IF(B150&lt;TodayDate,M150="Booked",FALSE),"Overdue - past date, still only Booked",IF(IF(B150=TodayDate,TRUE,FALSE),"Today",IF(IF(Z150&gt;0,AA150&lt;Z150-0.004,FALSE),"Due - deposit not taken",IF(IF(B150&gt;TodayDate,B150&lt;=TodayDate+2,FALSE),"Confirm - coming up","OK")))))))))))</f>
        <v>0</v>
      </c>
    </row>
    <row r="151" spans="1:34">
      <c r="A151" s="28">
        <f>IF(B151="","",AppointmentPrefix&amp;TEXT(ROW()-4,"0000"))</f>
        <v>0</v>
      </c>
      <c r="C151" s="15">
        <f>IF(B151="","",TEXT(B151,"ddd"))</f>
        <v>0</v>
      </c>
      <c r="F151" s="15">
        <f>IF(E151="","",IFERROR(INDEX(Clients!$B$5:$B$504,MATCH(E151,Clients!$A$5:$A$504,0)),"Walk-in"))</f>
        <v>0</v>
      </c>
      <c r="H151" s="15">
        <f>IF(G151="","",IFERROR(INDEX(Services!$B$5:$B$204,MATCH(G151,Services!$A$5:$A$204,0)),"Not in Services"))</f>
        <v>0</v>
      </c>
      <c r="J151" s="15">
        <f>IF(I151="","",IFERROR(INDEX(Staff!$B$5:$B$44,MATCH(I151,Staff!$A$5:$A$44,0)),"Unassigned"))</f>
        <v>0</v>
      </c>
      <c r="S151" s="15">
        <f>IF(B151="","",TEXT(B151,"yyyy-mm"))</f>
        <v>0</v>
      </c>
      <c r="T151" s="25">
        <f>IF(B151="","",WEEKNUM(B151,2))</f>
        <v>0</v>
      </c>
      <c r="U151" s="25">
        <f>IF(B151="","",IF(K151&lt;&gt;"",K151,IFERROR(INDEX(Services!$E$5:$E$204,MATCH(G151,Services!$A$5:$A$204,0))*1,0)+IFERROR(INDEX(Services!$F$5:$F$204,MATCH(G151,Services!$A$5:$A$204,0))*1,0)))</f>
        <v>0</v>
      </c>
      <c r="V151" s="36">
        <f>IF(B151="","",IF(D151="","",D151+U151/1440))</f>
        <v>0</v>
      </c>
      <c r="W151" s="25">
        <f>IF(B151="","",IF(D151="","",HOUR(D151)))</f>
        <v>0</v>
      </c>
      <c r="X151" s="37">
        <f>IF(B151="","",ROUND(U151/60,2))</f>
        <v>0</v>
      </c>
      <c r="Y151" s="26">
        <f>IF(B151="","",IF(L151&lt;&gt;"",L151,IFERROR(INDEX(Services!$G$5:$G$204,MATCH(G151,Services!$A$5:$A$204,0))*1,0)))</f>
        <v>0</v>
      </c>
      <c r="Z151" s="26">
        <f>IF(B151="","",IF(O151&lt;&gt;"",O151,IF(Y151&gt;=DepositThreshold,ROUND(Y151*DepositPercent,2),0)))</f>
        <v>0</v>
      </c>
      <c r="AA151" s="26">
        <f>IF(B151="","",ROUND(SUMIFS(Payments!$G$5:$G$1204,Payments!$I$5:$I$1204,A151,Payments!$E$5:$E$1204,"Deposit"),2))</f>
        <v>0</v>
      </c>
      <c r="AB151" s="26">
        <f>IF(B151="","",ROUND(SUMIFS(Sales!$Y$5:$Y$1204,Sales!$C$5:$C$1204,A151),2))</f>
        <v>0</v>
      </c>
      <c r="AC151" s="38">
        <f>IF(B151="","",IF(M151="Completed","Yes",IF(M151="Cancelled","Yes",IF(M151="No show","Yes","No"))))</f>
        <v>0</v>
      </c>
      <c r="AD151" s="25">
        <f>IF(B151="","",IF(AE151="","",B151-AE151))</f>
        <v>0</v>
      </c>
      <c r="AF151" s="38">
        <f>IF(B151="","",IF(M151&lt;&gt;"Completed","",IF(E151="","No",IF(COUNTIFS(Appointments!$E$5:$E$1204,E151,Appointments!$B$5:$B$1204,"&gt;"&amp;B151,Appointments!$M$5:$M$1204,"&lt;&gt;Cancelled")&gt;0,"Yes","No"))))</f>
        <v>0</v>
      </c>
      <c r="AG151" s="38">
        <f>IF(B151="","",IF(I151="","",IF(D151="","",IF(COUNTIFS($I$5:$I$1204,I151,$B$5:$B$1204,B151,$D$5:$D$1204,"&lt;"&amp;V151,$V$5:$V$1204,"&gt;"&amp;D151,$M$5:$M$1204,"&lt;&gt;Cancelled")&gt;1,"Clash",""))))</f>
        <v>0</v>
      </c>
      <c r="AH151" s="39">
        <f>IF(B151="","",IF(AG151="Clash","Clash - stylist double booked",IF(I151="","Assign - no stylist yet",IF(G151="","Add - no service chosen",IF(M151="No show","No show - charge the fee?",IF(M151="Cancelled","",IF(IF(M151="Completed",AB151&lt;Y151-0.004,FALSE),"Unpaid - nothing rung up for this visit",IF(IF(B151&lt;TodayDate,M151="Booked",FALSE),"Overdue - past date, still only Booked",IF(IF(B151=TodayDate,TRUE,FALSE),"Today",IF(IF(Z151&gt;0,AA151&lt;Z151-0.004,FALSE),"Due - deposit not taken",IF(IF(B151&gt;TodayDate,B151&lt;=TodayDate+2,FALSE),"Confirm - coming up","OK")))))))))))</f>
        <v>0</v>
      </c>
    </row>
    <row r="152" spans="1:34">
      <c r="A152" s="28">
        <f>IF(B152="","",AppointmentPrefix&amp;TEXT(ROW()-4,"0000"))</f>
        <v>0</v>
      </c>
      <c r="C152" s="15">
        <f>IF(B152="","",TEXT(B152,"ddd"))</f>
        <v>0</v>
      </c>
      <c r="F152" s="15">
        <f>IF(E152="","",IFERROR(INDEX(Clients!$B$5:$B$504,MATCH(E152,Clients!$A$5:$A$504,0)),"Walk-in"))</f>
        <v>0</v>
      </c>
      <c r="H152" s="15">
        <f>IF(G152="","",IFERROR(INDEX(Services!$B$5:$B$204,MATCH(G152,Services!$A$5:$A$204,0)),"Not in Services"))</f>
        <v>0</v>
      </c>
      <c r="J152" s="15">
        <f>IF(I152="","",IFERROR(INDEX(Staff!$B$5:$B$44,MATCH(I152,Staff!$A$5:$A$44,0)),"Unassigned"))</f>
        <v>0</v>
      </c>
      <c r="S152" s="15">
        <f>IF(B152="","",TEXT(B152,"yyyy-mm"))</f>
        <v>0</v>
      </c>
      <c r="T152" s="25">
        <f>IF(B152="","",WEEKNUM(B152,2))</f>
        <v>0</v>
      </c>
      <c r="U152" s="25">
        <f>IF(B152="","",IF(K152&lt;&gt;"",K152,IFERROR(INDEX(Services!$E$5:$E$204,MATCH(G152,Services!$A$5:$A$204,0))*1,0)+IFERROR(INDEX(Services!$F$5:$F$204,MATCH(G152,Services!$A$5:$A$204,0))*1,0)))</f>
        <v>0</v>
      </c>
      <c r="V152" s="36">
        <f>IF(B152="","",IF(D152="","",D152+U152/1440))</f>
        <v>0</v>
      </c>
      <c r="W152" s="25">
        <f>IF(B152="","",IF(D152="","",HOUR(D152)))</f>
        <v>0</v>
      </c>
      <c r="X152" s="37">
        <f>IF(B152="","",ROUND(U152/60,2))</f>
        <v>0</v>
      </c>
      <c r="Y152" s="26">
        <f>IF(B152="","",IF(L152&lt;&gt;"",L152,IFERROR(INDEX(Services!$G$5:$G$204,MATCH(G152,Services!$A$5:$A$204,0))*1,0)))</f>
        <v>0</v>
      </c>
      <c r="Z152" s="26">
        <f>IF(B152="","",IF(O152&lt;&gt;"",O152,IF(Y152&gt;=DepositThreshold,ROUND(Y152*DepositPercent,2),0)))</f>
        <v>0</v>
      </c>
      <c r="AA152" s="26">
        <f>IF(B152="","",ROUND(SUMIFS(Payments!$G$5:$G$1204,Payments!$I$5:$I$1204,A152,Payments!$E$5:$E$1204,"Deposit"),2))</f>
        <v>0</v>
      </c>
      <c r="AB152" s="26">
        <f>IF(B152="","",ROUND(SUMIFS(Sales!$Y$5:$Y$1204,Sales!$C$5:$C$1204,A152),2))</f>
        <v>0</v>
      </c>
      <c r="AC152" s="38">
        <f>IF(B152="","",IF(M152="Completed","Yes",IF(M152="Cancelled","Yes",IF(M152="No show","Yes","No"))))</f>
        <v>0</v>
      </c>
      <c r="AD152" s="25">
        <f>IF(B152="","",IF(AE152="","",B152-AE152))</f>
        <v>0</v>
      </c>
      <c r="AF152" s="38">
        <f>IF(B152="","",IF(M152&lt;&gt;"Completed","",IF(E152="","No",IF(COUNTIFS(Appointments!$E$5:$E$1204,E152,Appointments!$B$5:$B$1204,"&gt;"&amp;B152,Appointments!$M$5:$M$1204,"&lt;&gt;Cancelled")&gt;0,"Yes","No"))))</f>
        <v>0</v>
      </c>
      <c r="AG152" s="38">
        <f>IF(B152="","",IF(I152="","",IF(D152="","",IF(COUNTIFS($I$5:$I$1204,I152,$B$5:$B$1204,B152,$D$5:$D$1204,"&lt;"&amp;V152,$V$5:$V$1204,"&gt;"&amp;D152,$M$5:$M$1204,"&lt;&gt;Cancelled")&gt;1,"Clash",""))))</f>
        <v>0</v>
      </c>
      <c r="AH152" s="39">
        <f>IF(B152="","",IF(AG152="Clash","Clash - stylist double booked",IF(I152="","Assign - no stylist yet",IF(G152="","Add - no service chosen",IF(M152="No show","No show - charge the fee?",IF(M152="Cancelled","",IF(IF(M152="Completed",AB152&lt;Y152-0.004,FALSE),"Unpaid - nothing rung up for this visit",IF(IF(B152&lt;TodayDate,M152="Booked",FALSE),"Overdue - past date, still only Booked",IF(IF(B152=TodayDate,TRUE,FALSE),"Today",IF(IF(Z152&gt;0,AA152&lt;Z152-0.004,FALSE),"Due - deposit not taken",IF(IF(B152&gt;TodayDate,B152&lt;=TodayDate+2,FALSE),"Confirm - coming up","OK")))))))))))</f>
        <v>0</v>
      </c>
    </row>
    <row r="153" spans="1:34">
      <c r="A153" s="28">
        <f>IF(B153="","",AppointmentPrefix&amp;TEXT(ROW()-4,"0000"))</f>
        <v>0</v>
      </c>
      <c r="C153" s="15">
        <f>IF(B153="","",TEXT(B153,"ddd"))</f>
        <v>0</v>
      </c>
      <c r="F153" s="15">
        <f>IF(E153="","",IFERROR(INDEX(Clients!$B$5:$B$504,MATCH(E153,Clients!$A$5:$A$504,0)),"Walk-in"))</f>
        <v>0</v>
      </c>
      <c r="H153" s="15">
        <f>IF(G153="","",IFERROR(INDEX(Services!$B$5:$B$204,MATCH(G153,Services!$A$5:$A$204,0)),"Not in Services"))</f>
        <v>0</v>
      </c>
      <c r="J153" s="15">
        <f>IF(I153="","",IFERROR(INDEX(Staff!$B$5:$B$44,MATCH(I153,Staff!$A$5:$A$44,0)),"Unassigned"))</f>
        <v>0</v>
      </c>
      <c r="S153" s="15">
        <f>IF(B153="","",TEXT(B153,"yyyy-mm"))</f>
        <v>0</v>
      </c>
      <c r="T153" s="25">
        <f>IF(B153="","",WEEKNUM(B153,2))</f>
        <v>0</v>
      </c>
      <c r="U153" s="25">
        <f>IF(B153="","",IF(K153&lt;&gt;"",K153,IFERROR(INDEX(Services!$E$5:$E$204,MATCH(G153,Services!$A$5:$A$204,0))*1,0)+IFERROR(INDEX(Services!$F$5:$F$204,MATCH(G153,Services!$A$5:$A$204,0))*1,0)))</f>
        <v>0</v>
      </c>
      <c r="V153" s="36">
        <f>IF(B153="","",IF(D153="","",D153+U153/1440))</f>
        <v>0</v>
      </c>
      <c r="W153" s="25">
        <f>IF(B153="","",IF(D153="","",HOUR(D153)))</f>
        <v>0</v>
      </c>
      <c r="X153" s="37">
        <f>IF(B153="","",ROUND(U153/60,2))</f>
        <v>0</v>
      </c>
      <c r="Y153" s="26">
        <f>IF(B153="","",IF(L153&lt;&gt;"",L153,IFERROR(INDEX(Services!$G$5:$G$204,MATCH(G153,Services!$A$5:$A$204,0))*1,0)))</f>
        <v>0</v>
      </c>
      <c r="Z153" s="26">
        <f>IF(B153="","",IF(O153&lt;&gt;"",O153,IF(Y153&gt;=DepositThreshold,ROUND(Y153*DepositPercent,2),0)))</f>
        <v>0</v>
      </c>
      <c r="AA153" s="26">
        <f>IF(B153="","",ROUND(SUMIFS(Payments!$G$5:$G$1204,Payments!$I$5:$I$1204,A153,Payments!$E$5:$E$1204,"Deposit"),2))</f>
        <v>0</v>
      </c>
      <c r="AB153" s="26">
        <f>IF(B153="","",ROUND(SUMIFS(Sales!$Y$5:$Y$1204,Sales!$C$5:$C$1204,A153),2))</f>
        <v>0</v>
      </c>
      <c r="AC153" s="38">
        <f>IF(B153="","",IF(M153="Completed","Yes",IF(M153="Cancelled","Yes",IF(M153="No show","Yes","No"))))</f>
        <v>0</v>
      </c>
      <c r="AD153" s="25">
        <f>IF(B153="","",IF(AE153="","",B153-AE153))</f>
        <v>0</v>
      </c>
      <c r="AF153" s="38">
        <f>IF(B153="","",IF(M153&lt;&gt;"Completed","",IF(E153="","No",IF(COUNTIFS(Appointments!$E$5:$E$1204,E153,Appointments!$B$5:$B$1204,"&gt;"&amp;B153,Appointments!$M$5:$M$1204,"&lt;&gt;Cancelled")&gt;0,"Yes","No"))))</f>
        <v>0</v>
      </c>
      <c r="AG153" s="38">
        <f>IF(B153="","",IF(I153="","",IF(D153="","",IF(COUNTIFS($I$5:$I$1204,I153,$B$5:$B$1204,B153,$D$5:$D$1204,"&lt;"&amp;V153,$V$5:$V$1204,"&gt;"&amp;D153,$M$5:$M$1204,"&lt;&gt;Cancelled")&gt;1,"Clash",""))))</f>
        <v>0</v>
      </c>
      <c r="AH153" s="39">
        <f>IF(B153="","",IF(AG153="Clash","Clash - stylist double booked",IF(I153="","Assign - no stylist yet",IF(G153="","Add - no service chosen",IF(M153="No show","No show - charge the fee?",IF(M153="Cancelled","",IF(IF(M153="Completed",AB153&lt;Y153-0.004,FALSE),"Unpaid - nothing rung up for this visit",IF(IF(B153&lt;TodayDate,M153="Booked",FALSE),"Overdue - past date, still only Booked",IF(IF(B153=TodayDate,TRUE,FALSE),"Today",IF(IF(Z153&gt;0,AA153&lt;Z153-0.004,FALSE),"Due - deposit not taken",IF(IF(B153&gt;TodayDate,B153&lt;=TodayDate+2,FALSE),"Confirm - coming up","OK")))))))))))</f>
        <v>0</v>
      </c>
    </row>
    <row r="154" spans="1:34">
      <c r="A154" s="28">
        <f>IF(B154="","",AppointmentPrefix&amp;TEXT(ROW()-4,"0000"))</f>
        <v>0</v>
      </c>
      <c r="C154" s="15">
        <f>IF(B154="","",TEXT(B154,"ddd"))</f>
        <v>0</v>
      </c>
      <c r="F154" s="15">
        <f>IF(E154="","",IFERROR(INDEX(Clients!$B$5:$B$504,MATCH(E154,Clients!$A$5:$A$504,0)),"Walk-in"))</f>
        <v>0</v>
      </c>
      <c r="H154" s="15">
        <f>IF(G154="","",IFERROR(INDEX(Services!$B$5:$B$204,MATCH(G154,Services!$A$5:$A$204,0)),"Not in Services"))</f>
        <v>0</v>
      </c>
      <c r="J154" s="15">
        <f>IF(I154="","",IFERROR(INDEX(Staff!$B$5:$B$44,MATCH(I154,Staff!$A$5:$A$44,0)),"Unassigned"))</f>
        <v>0</v>
      </c>
      <c r="S154" s="15">
        <f>IF(B154="","",TEXT(B154,"yyyy-mm"))</f>
        <v>0</v>
      </c>
      <c r="T154" s="25">
        <f>IF(B154="","",WEEKNUM(B154,2))</f>
        <v>0</v>
      </c>
      <c r="U154" s="25">
        <f>IF(B154="","",IF(K154&lt;&gt;"",K154,IFERROR(INDEX(Services!$E$5:$E$204,MATCH(G154,Services!$A$5:$A$204,0))*1,0)+IFERROR(INDEX(Services!$F$5:$F$204,MATCH(G154,Services!$A$5:$A$204,0))*1,0)))</f>
        <v>0</v>
      </c>
      <c r="V154" s="36">
        <f>IF(B154="","",IF(D154="","",D154+U154/1440))</f>
        <v>0</v>
      </c>
      <c r="W154" s="25">
        <f>IF(B154="","",IF(D154="","",HOUR(D154)))</f>
        <v>0</v>
      </c>
      <c r="X154" s="37">
        <f>IF(B154="","",ROUND(U154/60,2))</f>
        <v>0</v>
      </c>
      <c r="Y154" s="26">
        <f>IF(B154="","",IF(L154&lt;&gt;"",L154,IFERROR(INDEX(Services!$G$5:$G$204,MATCH(G154,Services!$A$5:$A$204,0))*1,0)))</f>
        <v>0</v>
      </c>
      <c r="Z154" s="26">
        <f>IF(B154="","",IF(O154&lt;&gt;"",O154,IF(Y154&gt;=DepositThreshold,ROUND(Y154*DepositPercent,2),0)))</f>
        <v>0</v>
      </c>
      <c r="AA154" s="26">
        <f>IF(B154="","",ROUND(SUMIFS(Payments!$G$5:$G$1204,Payments!$I$5:$I$1204,A154,Payments!$E$5:$E$1204,"Deposit"),2))</f>
        <v>0</v>
      </c>
      <c r="AB154" s="26">
        <f>IF(B154="","",ROUND(SUMIFS(Sales!$Y$5:$Y$1204,Sales!$C$5:$C$1204,A154),2))</f>
        <v>0</v>
      </c>
      <c r="AC154" s="38">
        <f>IF(B154="","",IF(M154="Completed","Yes",IF(M154="Cancelled","Yes",IF(M154="No show","Yes","No"))))</f>
        <v>0</v>
      </c>
      <c r="AD154" s="25">
        <f>IF(B154="","",IF(AE154="","",B154-AE154))</f>
        <v>0</v>
      </c>
      <c r="AF154" s="38">
        <f>IF(B154="","",IF(M154&lt;&gt;"Completed","",IF(E154="","No",IF(COUNTIFS(Appointments!$E$5:$E$1204,E154,Appointments!$B$5:$B$1204,"&gt;"&amp;B154,Appointments!$M$5:$M$1204,"&lt;&gt;Cancelled")&gt;0,"Yes","No"))))</f>
        <v>0</v>
      </c>
      <c r="AG154" s="38">
        <f>IF(B154="","",IF(I154="","",IF(D154="","",IF(COUNTIFS($I$5:$I$1204,I154,$B$5:$B$1204,B154,$D$5:$D$1204,"&lt;"&amp;V154,$V$5:$V$1204,"&gt;"&amp;D154,$M$5:$M$1204,"&lt;&gt;Cancelled")&gt;1,"Clash",""))))</f>
        <v>0</v>
      </c>
      <c r="AH154" s="39">
        <f>IF(B154="","",IF(AG154="Clash","Clash - stylist double booked",IF(I154="","Assign - no stylist yet",IF(G154="","Add - no service chosen",IF(M154="No show","No show - charge the fee?",IF(M154="Cancelled","",IF(IF(M154="Completed",AB154&lt;Y154-0.004,FALSE),"Unpaid - nothing rung up for this visit",IF(IF(B154&lt;TodayDate,M154="Booked",FALSE),"Overdue - past date, still only Booked",IF(IF(B154=TodayDate,TRUE,FALSE),"Today",IF(IF(Z154&gt;0,AA154&lt;Z154-0.004,FALSE),"Due - deposit not taken",IF(IF(B154&gt;TodayDate,B154&lt;=TodayDate+2,FALSE),"Confirm - coming up","OK")))))))))))</f>
        <v>0</v>
      </c>
    </row>
    <row r="155" spans="1:34">
      <c r="A155" s="28">
        <f>IF(B155="","",AppointmentPrefix&amp;TEXT(ROW()-4,"0000"))</f>
        <v>0</v>
      </c>
      <c r="C155" s="15">
        <f>IF(B155="","",TEXT(B155,"ddd"))</f>
        <v>0</v>
      </c>
      <c r="F155" s="15">
        <f>IF(E155="","",IFERROR(INDEX(Clients!$B$5:$B$504,MATCH(E155,Clients!$A$5:$A$504,0)),"Walk-in"))</f>
        <v>0</v>
      </c>
      <c r="H155" s="15">
        <f>IF(G155="","",IFERROR(INDEX(Services!$B$5:$B$204,MATCH(G155,Services!$A$5:$A$204,0)),"Not in Services"))</f>
        <v>0</v>
      </c>
      <c r="J155" s="15">
        <f>IF(I155="","",IFERROR(INDEX(Staff!$B$5:$B$44,MATCH(I155,Staff!$A$5:$A$44,0)),"Unassigned"))</f>
        <v>0</v>
      </c>
      <c r="S155" s="15">
        <f>IF(B155="","",TEXT(B155,"yyyy-mm"))</f>
        <v>0</v>
      </c>
      <c r="T155" s="25">
        <f>IF(B155="","",WEEKNUM(B155,2))</f>
        <v>0</v>
      </c>
      <c r="U155" s="25">
        <f>IF(B155="","",IF(K155&lt;&gt;"",K155,IFERROR(INDEX(Services!$E$5:$E$204,MATCH(G155,Services!$A$5:$A$204,0))*1,0)+IFERROR(INDEX(Services!$F$5:$F$204,MATCH(G155,Services!$A$5:$A$204,0))*1,0)))</f>
        <v>0</v>
      </c>
      <c r="V155" s="36">
        <f>IF(B155="","",IF(D155="","",D155+U155/1440))</f>
        <v>0</v>
      </c>
      <c r="W155" s="25">
        <f>IF(B155="","",IF(D155="","",HOUR(D155)))</f>
        <v>0</v>
      </c>
      <c r="X155" s="37">
        <f>IF(B155="","",ROUND(U155/60,2))</f>
        <v>0</v>
      </c>
      <c r="Y155" s="26">
        <f>IF(B155="","",IF(L155&lt;&gt;"",L155,IFERROR(INDEX(Services!$G$5:$G$204,MATCH(G155,Services!$A$5:$A$204,0))*1,0)))</f>
        <v>0</v>
      </c>
      <c r="Z155" s="26">
        <f>IF(B155="","",IF(O155&lt;&gt;"",O155,IF(Y155&gt;=DepositThreshold,ROUND(Y155*DepositPercent,2),0)))</f>
        <v>0</v>
      </c>
      <c r="AA155" s="26">
        <f>IF(B155="","",ROUND(SUMIFS(Payments!$G$5:$G$1204,Payments!$I$5:$I$1204,A155,Payments!$E$5:$E$1204,"Deposit"),2))</f>
        <v>0</v>
      </c>
      <c r="AB155" s="26">
        <f>IF(B155="","",ROUND(SUMIFS(Sales!$Y$5:$Y$1204,Sales!$C$5:$C$1204,A155),2))</f>
        <v>0</v>
      </c>
      <c r="AC155" s="38">
        <f>IF(B155="","",IF(M155="Completed","Yes",IF(M155="Cancelled","Yes",IF(M155="No show","Yes","No"))))</f>
        <v>0</v>
      </c>
      <c r="AD155" s="25">
        <f>IF(B155="","",IF(AE155="","",B155-AE155))</f>
        <v>0</v>
      </c>
      <c r="AF155" s="38">
        <f>IF(B155="","",IF(M155&lt;&gt;"Completed","",IF(E155="","No",IF(COUNTIFS(Appointments!$E$5:$E$1204,E155,Appointments!$B$5:$B$1204,"&gt;"&amp;B155,Appointments!$M$5:$M$1204,"&lt;&gt;Cancelled")&gt;0,"Yes","No"))))</f>
        <v>0</v>
      </c>
      <c r="AG155" s="38">
        <f>IF(B155="","",IF(I155="","",IF(D155="","",IF(COUNTIFS($I$5:$I$1204,I155,$B$5:$B$1204,B155,$D$5:$D$1204,"&lt;"&amp;V155,$V$5:$V$1204,"&gt;"&amp;D155,$M$5:$M$1204,"&lt;&gt;Cancelled")&gt;1,"Clash",""))))</f>
        <v>0</v>
      </c>
      <c r="AH155" s="39">
        <f>IF(B155="","",IF(AG155="Clash","Clash - stylist double booked",IF(I155="","Assign - no stylist yet",IF(G155="","Add - no service chosen",IF(M155="No show","No show - charge the fee?",IF(M155="Cancelled","",IF(IF(M155="Completed",AB155&lt;Y155-0.004,FALSE),"Unpaid - nothing rung up for this visit",IF(IF(B155&lt;TodayDate,M155="Booked",FALSE),"Overdue - past date, still only Booked",IF(IF(B155=TodayDate,TRUE,FALSE),"Today",IF(IF(Z155&gt;0,AA155&lt;Z155-0.004,FALSE),"Due - deposit not taken",IF(IF(B155&gt;TodayDate,B155&lt;=TodayDate+2,FALSE),"Confirm - coming up","OK")))))))))))</f>
        <v>0</v>
      </c>
    </row>
    <row r="156" spans="1:34">
      <c r="A156" s="28">
        <f>IF(B156="","",AppointmentPrefix&amp;TEXT(ROW()-4,"0000"))</f>
        <v>0</v>
      </c>
      <c r="C156" s="15">
        <f>IF(B156="","",TEXT(B156,"ddd"))</f>
        <v>0</v>
      </c>
      <c r="F156" s="15">
        <f>IF(E156="","",IFERROR(INDEX(Clients!$B$5:$B$504,MATCH(E156,Clients!$A$5:$A$504,0)),"Walk-in"))</f>
        <v>0</v>
      </c>
      <c r="H156" s="15">
        <f>IF(G156="","",IFERROR(INDEX(Services!$B$5:$B$204,MATCH(G156,Services!$A$5:$A$204,0)),"Not in Services"))</f>
        <v>0</v>
      </c>
      <c r="J156" s="15">
        <f>IF(I156="","",IFERROR(INDEX(Staff!$B$5:$B$44,MATCH(I156,Staff!$A$5:$A$44,0)),"Unassigned"))</f>
        <v>0</v>
      </c>
      <c r="S156" s="15">
        <f>IF(B156="","",TEXT(B156,"yyyy-mm"))</f>
        <v>0</v>
      </c>
      <c r="T156" s="25">
        <f>IF(B156="","",WEEKNUM(B156,2))</f>
        <v>0</v>
      </c>
      <c r="U156" s="25">
        <f>IF(B156="","",IF(K156&lt;&gt;"",K156,IFERROR(INDEX(Services!$E$5:$E$204,MATCH(G156,Services!$A$5:$A$204,0))*1,0)+IFERROR(INDEX(Services!$F$5:$F$204,MATCH(G156,Services!$A$5:$A$204,0))*1,0)))</f>
        <v>0</v>
      </c>
      <c r="V156" s="36">
        <f>IF(B156="","",IF(D156="","",D156+U156/1440))</f>
        <v>0</v>
      </c>
      <c r="W156" s="25">
        <f>IF(B156="","",IF(D156="","",HOUR(D156)))</f>
        <v>0</v>
      </c>
      <c r="X156" s="37">
        <f>IF(B156="","",ROUND(U156/60,2))</f>
        <v>0</v>
      </c>
      <c r="Y156" s="26">
        <f>IF(B156="","",IF(L156&lt;&gt;"",L156,IFERROR(INDEX(Services!$G$5:$G$204,MATCH(G156,Services!$A$5:$A$204,0))*1,0)))</f>
        <v>0</v>
      </c>
      <c r="Z156" s="26">
        <f>IF(B156="","",IF(O156&lt;&gt;"",O156,IF(Y156&gt;=DepositThreshold,ROUND(Y156*DepositPercent,2),0)))</f>
        <v>0</v>
      </c>
      <c r="AA156" s="26">
        <f>IF(B156="","",ROUND(SUMIFS(Payments!$G$5:$G$1204,Payments!$I$5:$I$1204,A156,Payments!$E$5:$E$1204,"Deposit"),2))</f>
        <v>0</v>
      </c>
      <c r="AB156" s="26">
        <f>IF(B156="","",ROUND(SUMIFS(Sales!$Y$5:$Y$1204,Sales!$C$5:$C$1204,A156),2))</f>
        <v>0</v>
      </c>
      <c r="AC156" s="38">
        <f>IF(B156="","",IF(M156="Completed","Yes",IF(M156="Cancelled","Yes",IF(M156="No show","Yes","No"))))</f>
        <v>0</v>
      </c>
      <c r="AD156" s="25">
        <f>IF(B156="","",IF(AE156="","",B156-AE156))</f>
        <v>0</v>
      </c>
      <c r="AF156" s="38">
        <f>IF(B156="","",IF(M156&lt;&gt;"Completed","",IF(E156="","No",IF(COUNTIFS(Appointments!$E$5:$E$1204,E156,Appointments!$B$5:$B$1204,"&gt;"&amp;B156,Appointments!$M$5:$M$1204,"&lt;&gt;Cancelled")&gt;0,"Yes","No"))))</f>
        <v>0</v>
      </c>
      <c r="AG156" s="38">
        <f>IF(B156="","",IF(I156="","",IF(D156="","",IF(COUNTIFS($I$5:$I$1204,I156,$B$5:$B$1204,B156,$D$5:$D$1204,"&lt;"&amp;V156,$V$5:$V$1204,"&gt;"&amp;D156,$M$5:$M$1204,"&lt;&gt;Cancelled")&gt;1,"Clash",""))))</f>
        <v>0</v>
      </c>
      <c r="AH156" s="39">
        <f>IF(B156="","",IF(AG156="Clash","Clash - stylist double booked",IF(I156="","Assign - no stylist yet",IF(G156="","Add - no service chosen",IF(M156="No show","No show - charge the fee?",IF(M156="Cancelled","",IF(IF(M156="Completed",AB156&lt;Y156-0.004,FALSE),"Unpaid - nothing rung up for this visit",IF(IF(B156&lt;TodayDate,M156="Booked",FALSE),"Overdue - past date, still only Booked",IF(IF(B156=TodayDate,TRUE,FALSE),"Today",IF(IF(Z156&gt;0,AA156&lt;Z156-0.004,FALSE),"Due - deposit not taken",IF(IF(B156&gt;TodayDate,B156&lt;=TodayDate+2,FALSE),"Confirm - coming up","OK")))))))))))</f>
        <v>0</v>
      </c>
    </row>
    <row r="157" spans="1:34">
      <c r="A157" s="28">
        <f>IF(B157="","",AppointmentPrefix&amp;TEXT(ROW()-4,"0000"))</f>
        <v>0</v>
      </c>
      <c r="C157" s="15">
        <f>IF(B157="","",TEXT(B157,"ddd"))</f>
        <v>0</v>
      </c>
      <c r="F157" s="15">
        <f>IF(E157="","",IFERROR(INDEX(Clients!$B$5:$B$504,MATCH(E157,Clients!$A$5:$A$504,0)),"Walk-in"))</f>
        <v>0</v>
      </c>
      <c r="H157" s="15">
        <f>IF(G157="","",IFERROR(INDEX(Services!$B$5:$B$204,MATCH(G157,Services!$A$5:$A$204,0)),"Not in Services"))</f>
        <v>0</v>
      </c>
      <c r="J157" s="15">
        <f>IF(I157="","",IFERROR(INDEX(Staff!$B$5:$B$44,MATCH(I157,Staff!$A$5:$A$44,0)),"Unassigned"))</f>
        <v>0</v>
      </c>
      <c r="S157" s="15">
        <f>IF(B157="","",TEXT(B157,"yyyy-mm"))</f>
        <v>0</v>
      </c>
      <c r="T157" s="25">
        <f>IF(B157="","",WEEKNUM(B157,2))</f>
        <v>0</v>
      </c>
      <c r="U157" s="25">
        <f>IF(B157="","",IF(K157&lt;&gt;"",K157,IFERROR(INDEX(Services!$E$5:$E$204,MATCH(G157,Services!$A$5:$A$204,0))*1,0)+IFERROR(INDEX(Services!$F$5:$F$204,MATCH(G157,Services!$A$5:$A$204,0))*1,0)))</f>
        <v>0</v>
      </c>
      <c r="V157" s="36">
        <f>IF(B157="","",IF(D157="","",D157+U157/1440))</f>
        <v>0</v>
      </c>
      <c r="W157" s="25">
        <f>IF(B157="","",IF(D157="","",HOUR(D157)))</f>
        <v>0</v>
      </c>
      <c r="X157" s="37">
        <f>IF(B157="","",ROUND(U157/60,2))</f>
        <v>0</v>
      </c>
      <c r="Y157" s="26">
        <f>IF(B157="","",IF(L157&lt;&gt;"",L157,IFERROR(INDEX(Services!$G$5:$G$204,MATCH(G157,Services!$A$5:$A$204,0))*1,0)))</f>
        <v>0</v>
      </c>
      <c r="Z157" s="26">
        <f>IF(B157="","",IF(O157&lt;&gt;"",O157,IF(Y157&gt;=DepositThreshold,ROUND(Y157*DepositPercent,2),0)))</f>
        <v>0</v>
      </c>
      <c r="AA157" s="26">
        <f>IF(B157="","",ROUND(SUMIFS(Payments!$G$5:$G$1204,Payments!$I$5:$I$1204,A157,Payments!$E$5:$E$1204,"Deposit"),2))</f>
        <v>0</v>
      </c>
      <c r="AB157" s="26">
        <f>IF(B157="","",ROUND(SUMIFS(Sales!$Y$5:$Y$1204,Sales!$C$5:$C$1204,A157),2))</f>
        <v>0</v>
      </c>
      <c r="AC157" s="38">
        <f>IF(B157="","",IF(M157="Completed","Yes",IF(M157="Cancelled","Yes",IF(M157="No show","Yes","No"))))</f>
        <v>0</v>
      </c>
      <c r="AD157" s="25">
        <f>IF(B157="","",IF(AE157="","",B157-AE157))</f>
        <v>0</v>
      </c>
      <c r="AF157" s="38">
        <f>IF(B157="","",IF(M157&lt;&gt;"Completed","",IF(E157="","No",IF(COUNTIFS(Appointments!$E$5:$E$1204,E157,Appointments!$B$5:$B$1204,"&gt;"&amp;B157,Appointments!$M$5:$M$1204,"&lt;&gt;Cancelled")&gt;0,"Yes","No"))))</f>
        <v>0</v>
      </c>
      <c r="AG157" s="38">
        <f>IF(B157="","",IF(I157="","",IF(D157="","",IF(COUNTIFS($I$5:$I$1204,I157,$B$5:$B$1204,B157,$D$5:$D$1204,"&lt;"&amp;V157,$V$5:$V$1204,"&gt;"&amp;D157,$M$5:$M$1204,"&lt;&gt;Cancelled")&gt;1,"Clash",""))))</f>
        <v>0</v>
      </c>
      <c r="AH157" s="39">
        <f>IF(B157="","",IF(AG157="Clash","Clash - stylist double booked",IF(I157="","Assign - no stylist yet",IF(G157="","Add - no service chosen",IF(M157="No show","No show - charge the fee?",IF(M157="Cancelled","",IF(IF(M157="Completed",AB157&lt;Y157-0.004,FALSE),"Unpaid - nothing rung up for this visit",IF(IF(B157&lt;TodayDate,M157="Booked",FALSE),"Overdue - past date, still only Booked",IF(IF(B157=TodayDate,TRUE,FALSE),"Today",IF(IF(Z157&gt;0,AA157&lt;Z157-0.004,FALSE),"Due - deposit not taken",IF(IF(B157&gt;TodayDate,B157&lt;=TodayDate+2,FALSE),"Confirm - coming up","OK")))))))))))</f>
        <v>0</v>
      </c>
    </row>
    <row r="158" spans="1:34">
      <c r="A158" s="28">
        <f>IF(B158="","",AppointmentPrefix&amp;TEXT(ROW()-4,"0000"))</f>
        <v>0</v>
      </c>
      <c r="C158" s="15">
        <f>IF(B158="","",TEXT(B158,"ddd"))</f>
        <v>0</v>
      </c>
      <c r="F158" s="15">
        <f>IF(E158="","",IFERROR(INDEX(Clients!$B$5:$B$504,MATCH(E158,Clients!$A$5:$A$504,0)),"Walk-in"))</f>
        <v>0</v>
      </c>
      <c r="H158" s="15">
        <f>IF(G158="","",IFERROR(INDEX(Services!$B$5:$B$204,MATCH(G158,Services!$A$5:$A$204,0)),"Not in Services"))</f>
        <v>0</v>
      </c>
      <c r="J158" s="15">
        <f>IF(I158="","",IFERROR(INDEX(Staff!$B$5:$B$44,MATCH(I158,Staff!$A$5:$A$44,0)),"Unassigned"))</f>
        <v>0</v>
      </c>
      <c r="S158" s="15">
        <f>IF(B158="","",TEXT(B158,"yyyy-mm"))</f>
        <v>0</v>
      </c>
      <c r="T158" s="25">
        <f>IF(B158="","",WEEKNUM(B158,2))</f>
        <v>0</v>
      </c>
      <c r="U158" s="25">
        <f>IF(B158="","",IF(K158&lt;&gt;"",K158,IFERROR(INDEX(Services!$E$5:$E$204,MATCH(G158,Services!$A$5:$A$204,0))*1,0)+IFERROR(INDEX(Services!$F$5:$F$204,MATCH(G158,Services!$A$5:$A$204,0))*1,0)))</f>
        <v>0</v>
      </c>
      <c r="V158" s="36">
        <f>IF(B158="","",IF(D158="","",D158+U158/1440))</f>
        <v>0</v>
      </c>
      <c r="W158" s="25">
        <f>IF(B158="","",IF(D158="","",HOUR(D158)))</f>
        <v>0</v>
      </c>
      <c r="X158" s="37">
        <f>IF(B158="","",ROUND(U158/60,2))</f>
        <v>0</v>
      </c>
      <c r="Y158" s="26">
        <f>IF(B158="","",IF(L158&lt;&gt;"",L158,IFERROR(INDEX(Services!$G$5:$G$204,MATCH(G158,Services!$A$5:$A$204,0))*1,0)))</f>
        <v>0</v>
      </c>
      <c r="Z158" s="26">
        <f>IF(B158="","",IF(O158&lt;&gt;"",O158,IF(Y158&gt;=DepositThreshold,ROUND(Y158*DepositPercent,2),0)))</f>
        <v>0</v>
      </c>
      <c r="AA158" s="26">
        <f>IF(B158="","",ROUND(SUMIFS(Payments!$G$5:$G$1204,Payments!$I$5:$I$1204,A158,Payments!$E$5:$E$1204,"Deposit"),2))</f>
        <v>0</v>
      </c>
      <c r="AB158" s="26">
        <f>IF(B158="","",ROUND(SUMIFS(Sales!$Y$5:$Y$1204,Sales!$C$5:$C$1204,A158),2))</f>
        <v>0</v>
      </c>
      <c r="AC158" s="38">
        <f>IF(B158="","",IF(M158="Completed","Yes",IF(M158="Cancelled","Yes",IF(M158="No show","Yes","No"))))</f>
        <v>0</v>
      </c>
      <c r="AD158" s="25">
        <f>IF(B158="","",IF(AE158="","",B158-AE158))</f>
        <v>0</v>
      </c>
      <c r="AF158" s="38">
        <f>IF(B158="","",IF(M158&lt;&gt;"Completed","",IF(E158="","No",IF(COUNTIFS(Appointments!$E$5:$E$1204,E158,Appointments!$B$5:$B$1204,"&gt;"&amp;B158,Appointments!$M$5:$M$1204,"&lt;&gt;Cancelled")&gt;0,"Yes","No"))))</f>
        <v>0</v>
      </c>
      <c r="AG158" s="38">
        <f>IF(B158="","",IF(I158="","",IF(D158="","",IF(COUNTIFS($I$5:$I$1204,I158,$B$5:$B$1204,B158,$D$5:$D$1204,"&lt;"&amp;V158,$V$5:$V$1204,"&gt;"&amp;D158,$M$5:$M$1204,"&lt;&gt;Cancelled")&gt;1,"Clash",""))))</f>
        <v>0</v>
      </c>
      <c r="AH158" s="39">
        <f>IF(B158="","",IF(AG158="Clash","Clash - stylist double booked",IF(I158="","Assign - no stylist yet",IF(G158="","Add - no service chosen",IF(M158="No show","No show - charge the fee?",IF(M158="Cancelled","",IF(IF(M158="Completed",AB158&lt;Y158-0.004,FALSE),"Unpaid - nothing rung up for this visit",IF(IF(B158&lt;TodayDate,M158="Booked",FALSE),"Overdue - past date, still only Booked",IF(IF(B158=TodayDate,TRUE,FALSE),"Today",IF(IF(Z158&gt;0,AA158&lt;Z158-0.004,FALSE),"Due - deposit not taken",IF(IF(B158&gt;TodayDate,B158&lt;=TodayDate+2,FALSE),"Confirm - coming up","OK")))))))))))</f>
        <v>0</v>
      </c>
    </row>
    <row r="159" spans="1:34">
      <c r="A159" s="28">
        <f>IF(B159="","",AppointmentPrefix&amp;TEXT(ROW()-4,"0000"))</f>
        <v>0</v>
      </c>
      <c r="C159" s="15">
        <f>IF(B159="","",TEXT(B159,"ddd"))</f>
        <v>0</v>
      </c>
      <c r="F159" s="15">
        <f>IF(E159="","",IFERROR(INDEX(Clients!$B$5:$B$504,MATCH(E159,Clients!$A$5:$A$504,0)),"Walk-in"))</f>
        <v>0</v>
      </c>
      <c r="H159" s="15">
        <f>IF(G159="","",IFERROR(INDEX(Services!$B$5:$B$204,MATCH(G159,Services!$A$5:$A$204,0)),"Not in Services"))</f>
        <v>0</v>
      </c>
      <c r="J159" s="15">
        <f>IF(I159="","",IFERROR(INDEX(Staff!$B$5:$B$44,MATCH(I159,Staff!$A$5:$A$44,0)),"Unassigned"))</f>
        <v>0</v>
      </c>
      <c r="S159" s="15">
        <f>IF(B159="","",TEXT(B159,"yyyy-mm"))</f>
        <v>0</v>
      </c>
      <c r="T159" s="25">
        <f>IF(B159="","",WEEKNUM(B159,2))</f>
        <v>0</v>
      </c>
      <c r="U159" s="25">
        <f>IF(B159="","",IF(K159&lt;&gt;"",K159,IFERROR(INDEX(Services!$E$5:$E$204,MATCH(G159,Services!$A$5:$A$204,0))*1,0)+IFERROR(INDEX(Services!$F$5:$F$204,MATCH(G159,Services!$A$5:$A$204,0))*1,0)))</f>
        <v>0</v>
      </c>
      <c r="V159" s="36">
        <f>IF(B159="","",IF(D159="","",D159+U159/1440))</f>
        <v>0</v>
      </c>
      <c r="W159" s="25">
        <f>IF(B159="","",IF(D159="","",HOUR(D159)))</f>
        <v>0</v>
      </c>
      <c r="X159" s="37">
        <f>IF(B159="","",ROUND(U159/60,2))</f>
        <v>0</v>
      </c>
      <c r="Y159" s="26">
        <f>IF(B159="","",IF(L159&lt;&gt;"",L159,IFERROR(INDEX(Services!$G$5:$G$204,MATCH(G159,Services!$A$5:$A$204,0))*1,0)))</f>
        <v>0</v>
      </c>
      <c r="Z159" s="26">
        <f>IF(B159="","",IF(O159&lt;&gt;"",O159,IF(Y159&gt;=DepositThreshold,ROUND(Y159*DepositPercent,2),0)))</f>
        <v>0</v>
      </c>
      <c r="AA159" s="26">
        <f>IF(B159="","",ROUND(SUMIFS(Payments!$G$5:$G$1204,Payments!$I$5:$I$1204,A159,Payments!$E$5:$E$1204,"Deposit"),2))</f>
        <v>0</v>
      </c>
      <c r="AB159" s="26">
        <f>IF(B159="","",ROUND(SUMIFS(Sales!$Y$5:$Y$1204,Sales!$C$5:$C$1204,A159),2))</f>
        <v>0</v>
      </c>
      <c r="AC159" s="38">
        <f>IF(B159="","",IF(M159="Completed","Yes",IF(M159="Cancelled","Yes",IF(M159="No show","Yes","No"))))</f>
        <v>0</v>
      </c>
      <c r="AD159" s="25">
        <f>IF(B159="","",IF(AE159="","",B159-AE159))</f>
        <v>0</v>
      </c>
      <c r="AF159" s="38">
        <f>IF(B159="","",IF(M159&lt;&gt;"Completed","",IF(E159="","No",IF(COUNTIFS(Appointments!$E$5:$E$1204,E159,Appointments!$B$5:$B$1204,"&gt;"&amp;B159,Appointments!$M$5:$M$1204,"&lt;&gt;Cancelled")&gt;0,"Yes","No"))))</f>
        <v>0</v>
      </c>
      <c r="AG159" s="38">
        <f>IF(B159="","",IF(I159="","",IF(D159="","",IF(COUNTIFS($I$5:$I$1204,I159,$B$5:$B$1204,B159,$D$5:$D$1204,"&lt;"&amp;V159,$V$5:$V$1204,"&gt;"&amp;D159,$M$5:$M$1204,"&lt;&gt;Cancelled")&gt;1,"Clash",""))))</f>
        <v>0</v>
      </c>
      <c r="AH159" s="39">
        <f>IF(B159="","",IF(AG159="Clash","Clash - stylist double booked",IF(I159="","Assign - no stylist yet",IF(G159="","Add - no service chosen",IF(M159="No show","No show - charge the fee?",IF(M159="Cancelled","",IF(IF(M159="Completed",AB159&lt;Y159-0.004,FALSE),"Unpaid - nothing rung up for this visit",IF(IF(B159&lt;TodayDate,M159="Booked",FALSE),"Overdue - past date, still only Booked",IF(IF(B159=TodayDate,TRUE,FALSE),"Today",IF(IF(Z159&gt;0,AA159&lt;Z159-0.004,FALSE),"Due - deposit not taken",IF(IF(B159&gt;TodayDate,B159&lt;=TodayDate+2,FALSE),"Confirm - coming up","OK")))))))))))</f>
        <v>0</v>
      </c>
    </row>
    <row r="160" spans="1:34">
      <c r="A160" s="28">
        <f>IF(B160="","",AppointmentPrefix&amp;TEXT(ROW()-4,"0000"))</f>
        <v>0</v>
      </c>
      <c r="C160" s="15">
        <f>IF(B160="","",TEXT(B160,"ddd"))</f>
        <v>0</v>
      </c>
      <c r="F160" s="15">
        <f>IF(E160="","",IFERROR(INDEX(Clients!$B$5:$B$504,MATCH(E160,Clients!$A$5:$A$504,0)),"Walk-in"))</f>
        <v>0</v>
      </c>
      <c r="H160" s="15">
        <f>IF(G160="","",IFERROR(INDEX(Services!$B$5:$B$204,MATCH(G160,Services!$A$5:$A$204,0)),"Not in Services"))</f>
        <v>0</v>
      </c>
      <c r="J160" s="15">
        <f>IF(I160="","",IFERROR(INDEX(Staff!$B$5:$B$44,MATCH(I160,Staff!$A$5:$A$44,0)),"Unassigned"))</f>
        <v>0</v>
      </c>
      <c r="S160" s="15">
        <f>IF(B160="","",TEXT(B160,"yyyy-mm"))</f>
        <v>0</v>
      </c>
      <c r="T160" s="25">
        <f>IF(B160="","",WEEKNUM(B160,2))</f>
        <v>0</v>
      </c>
      <c r="U160" s="25">
        <f>IF(B160="","",IF(K160&lt;&gt;"",K160,IFERROR(INDEX(Services!$E$5:$E$204,MATCH(G160,Services!$A$5:$A$204,0))*1,0)+IFERROR(INDEX(Services!$F$5:$F$204,MATCH(G160,Services!$A$5:$A$204,0))*1,0)))</f>
        <v>0</v>
      </c>
      <c r="V160" s="36">
        <f>IF(B160="","",IF(D160="","",D160+U160/1440))</f>
        <v>0</v>
      </c>
      <c r="W160" s="25">
        <f>IF(B160="","",IF(D160="","",HOUR(D160)))</f>
        <v>0</v>
      </c>
      <c r="X160" s="37">
        <f>IF(B160="","",ROUND(U160/60,2))</f>
        <v>0</v>
      </c>
      <c r="Y160" s="26">
        <f>IF(B160="","",IF(L160&lt;&gt;"",L160,IFERROR(INDEX(Services!$G$5:$G$204,MATCH(G160,Services!$A$5:$A$204,0))*1,0)))</f>
        <v>0</v>
      </c>
      <c r="Z160" s="26">
        <f>IF(B160="","",IF(O160&lt;&gt;"",O160,IF(Y160&gt;=DepositThreshold,ROUND(Y160*DepositPercent,2),0)))</f>
        <v>0</v>
      </c>
      <c r="AA160" s="26">
        <f>IF(B160="","",ROUND(SUMIFS(Payments!$G$5:$G$1204,Payments!$I$5:$I$1204,A160,Payments!$E$5:$E$1204,"Deposit"),2))</f>
        <v>0</v>
      </c>
      <c r="AB160" s="26">
        <f>IF(B160="","",ROUND(SUMIFS(Sales!$Y$5:$Y$1204,Sales!$C$5:$C$1204,A160),2))</f>
        <v>0</v>
      </c>
      <c r="AC160" s="38">
        <f>IF(B160="","",IF(M160="Completed","Yes",IF(M160="Cancelled","Yes",IF(M160="No show","Yes","No"))))</f>
        <v>0</v>
      </c>
      <c r="AD160" s="25">
        <f>IF(B160="","",IF(AE160="","",B160-AE160))</f>
        <v>0</v>
      </c>
      <c r="AF160" s="38">
        <f>IF(B160="","",IF(M160&lt;&gt;"Completed","",IF(E160="","No",IF(COUNTIFS(Appointments!$E$5:$E$1204,E160,Appointments!$B$5:$B$1204,"&gt;"&amp;B160,Appointments!$M$5:$M$1204,"&lt;&gt;Cancelled")&gt;0,"Yes","No"))))</f>
        <v>0</v>
      </c>
      <c r="AG160" s="38">
        <f>IF(B160="","",IF(I160="","",IF(D160="","",IF(COUNTIFS($I$5:$I$1204,I160,$B$5:$B$1204,B160,$D$5:$D$1204,"&lt;"&amp;V160,$V$5:$V$1204,"&gt;"&amp;D160,$M$5:$M$1204,"&lt;&gt;Cancelled")&gt;1,"Clash",""))))</f>
        <v>0</v>
      </c>
      <c r="AH160" s="39">
        <f>IF(B160="","",IF(AG160="Clash","Clash - stylist double booked",IF(I160="","Assign - no stylist yet",IF(G160="","Add - no service chosen",IF(M160="No show","No show - charge the fee?",IF(M160="Cancelled","",IF(IF(M160="Completed",AB160&lt;Y160-0.004,FALSE),"Unpaid - nothing rung up for this visit",IF(IF(B160&lt;TodayDate,M160="Booked",FALSE),"Overdue - past date, still only Booked",IF(IF(B160=TodayDate,TRUE,FALSE),"Today",IF(IF(Z160&gt;0,AA160&lt;Z160-0.004,FALSE),"Due - deposit not taken",IF(IF(B160&gt;TodayDate,B160&lt;=TodayDate+2,FALSE),"Confirm - coming up","OK")))))))))))</f>
        <v>0</v>
      </c>
    </row>
    <row r="161" spans="1:34">
      <c r="A161" s="28">
        <f>IF(B161="","",AppointmentPrefix&amp;TEXT(ROW()-4,"0000"))</f>
        <v>0</v>
      </c>
      <c r="C161" s="15">
        <f>IF(B161="","",TEXT(B161,"ddd"))</f>
        <v>0</v>
      </c>
      <c r="F161" s="15">
        <f>IF(E161="","",IFERROR(INDEX(Clients!$B$5:$B$504,MATCH(E161,Clients!$A$5:$A$504,0)),"Walk-in"))</f>
        <v>0</v>
      </c>
      <c r="H161" s="15">
        <f>IF(G161="","",IFERROR(INDEX(Services!$B$5:$B$204,MATCH(G161,Services!$A$5:$A$204,0)),"Not in Services"))</f>
        <v>0</v>
      </c>
      <c r="J161" s="15">
        <f>IF(I161="","",IFERROR(INDEX(Staff!$B$5:$B$44,MATCH(I161,Staff!$A$5:$A$44,0)),"Unassigned"))</f>
        <v>0</v>
      </c>
      <c r="S161" s="15">
        <f>IF(B161="","",TEXT(B161,"yyyy-mm"))</f>
        <v>0</v>
      </c>
      <c r="T161" s="25">
        <f>IF(B161="","",WEEKNUM(B161,2))</f>
        <v>0</v>
      </c>
      <c r="U161" s="25">
        <f>IF(B161="","",IF(K161&lt;&gt;"",K161,IFERROR(INDEX(Services!$E$5:$E$204,MATCH(G161,Services!$A$5:$A$204,0))*1,0)+IFERROR(INDEX(Services!$F$5:$F$204,MATCH(G161,Services!$A$5:$A$204,0))*1,0)))</f>
        <v>0</v>
      </c>
      <c r="V161" s="36">
        <f>IF(B161="","",IF(D161="","",D161+U161/1440))</f>
        <v>0</v>
      </c>
      <c r="W161" s="25">
        <f>IF(B161="","",IF(D161="","",HOUR(D161)))</f>
        <v>0</v>
      </c>
      <c r="X161" s="37">
        <f>IF(B161="","",ROUND(U161/60,2))</f>
        <v>0</v>
      </c>
      <c r="Y161" s="26">
        <f>IF(B161="","",IF(L161&lt;&gt;"",L161,IFERROR(INDEX(Services!$G$5:$G$204,MATCH(G161,Services!$A$5:$A$204,0))*1,0)))</f>
        <v>0</v>
      </c>
      <c r="Z161" s="26">
        <f>IF(B161="","",IF(O161&lt;&gt;"",O161,IF(Y161&gt;=DepositThreshold,ROUND(Y161*DepositPercent,2),0)))</f>
        <v>0</v>
      </c>
      <c r="AA161" s="26">
        <f>IF(B161="","",ROUND(SUMIFS(Payments!$G$5:$G$1204,Payments!$I$5:$I$1204,A161,Payments!$E$5:$E$1204,"Deposit"),2))</f>
        <v>0</v>
      </c>
      <c r="AB161" s="26">
        <f>IF(B161="","",ROUND(SUMIFS(Sales!$Y$5:$Y$1204,Sales!$C$5:$C$1204,A161),2))</f>
        <v>0</v>
      </c>
      <c r="AC161" s="38">
        <f>IF(B161="","",IF(M161="Completed","Yes",IF(M161="Cancelled","Yes",IF(M161="No show","Yes","No"))))</f>
        <v>0</v>
      </c>
      <c r="AD161" s="25">
        <f>IF(B161="","",IF(AE161="","",B161-AE161))</f>
        <v>0</v>
      </c>
      <c r="AF161" s="38">
        <f>IF(B161="","",IF(M161&lt;&gt;"Completed","",IF(E161="","No",IF(COUNTIFS(Appointments!$E$5:$E$1204,E161,Appointments!$B$5:$B$1204,"&gt;"&amp;B161,Appointments!$M$5:$M$1204,"&lt;&gt;Cancelled")&gt;0,"Yes","No"))))</f>
        <v>0</v>
      </c>
      <c r="AG161" s="38">
        <f>IF(B161="","",IF(I161="","",IF(D161="","",IF(COUNTIFS($I$5:$I$1204,I161,$B$5:$B$1204,B161,$D$5:$D$1204,"&lt;"&amp;V161,$V$5:$V$1204,"&gt;"&amp;D161,$M$5:$M$1204,"&lt;&gt;Cancelled")&gt;1,"Clash",""))))</f>
        <v>0</v>
      </c>
      <c r="AH161" s="39">
        <f>IF(B161="","",IF(AG161="Clash","Clash - stylist double booked",IF(I161="","Assign - no stylist yet",IF(G161="","Add - no service chosen",IF(M161="No show","No show - charge the fee?",IF(M161="Cancelled","",IF(IF(M161="Completed",AB161&lt;Y161-0.004,FALSE),"Unpaid - nothing rung up for this visit",IF(IF(B161&lt;TodayDate,M161="Booked",FALSE),"Overdue - past date, still only Booked",IF(IF(B161=TodayDate,TRUE,FALSE),"Today",IF(IF(Z161&gt;0,AA161&lt;Z161-0.004,FALSE),"Due - deposit not taken",IF(IF(B161&gt;TodayDate,B161&lt;=TodayDate+2,FALSE),"Confirm - coming up","OK")))))))))))</f>
        <v>0</v>
      </c>
    </row>
    <row r="162" spans="1:34">
      <c r="A162" s="28">
        <f>IF(B162="","",AppointmentPrefix&amp;TEXT(ROW()-4,"0000"))</f>
        <v>0</v>
      </c>
      <c r="C162" s="15">
        <f>IF(B162="","",TEXT(B162,"ddd"))</f>
        <v>0</v>
      </c>
      <c r="F162" s="15">
        <f>IF(E162="","",IFERROR(INDEX(Clients!$B$5:$B$504,MATCH(E162,Clients!$A$5:$A$504,0)),"Walk-in"))</f>
        <v>0</v>
      </c>
      <c r="H162" s="15">
        <f>IF(G162="","",IFERROR(INDEX(Services!$B$5:$B$204,MATCH(G162,Services!$A$5:$A$204,0)),"Not in Services"))</f>
        <v>0</v>
      </c>
      <c r="J162" s="15">
        <f>IF(I162="","",IFERROR(INDEX(Staff!$B$5:$B$44,MATCH(I162,Staff!$A$5:$A$44,0)),"Unassigned"))</f>
        <v>0</v>
      </c>
      <c r="S162" s="15">
        <f>IF(B162="","",TEXT(B162,"yyyy-mm"))</f>
        <v>0</v>
      </c>
      <c r="T162" s="25">
        <f>IF(B162="","",WEEKNUM(B162,2))</f>
        <v>0</v>
      </c>
      <c r="U162" s="25">
        <f>IF(B162="","",IF(K162&lt;&gt;"",K162,IFERROR(INDEX(Services!$E$5:$E$204,MATCH(G162,Services!$A$5:$A$204,0))*1,0)+IFERROR(INDEX(Services!$F$5:$F$204,MATCH(G162,Services!$A$5:$A$204,0))*1,0)))</f>
        <v>0</v>
      </c>
      <c r="V162" s="36">
        <f>IF(B162="","",IF(D162="","",D162+U162/1440))</f>
        <v>0</v>
      </c>
      <c r="W162" s="25">
        <f>IF(B162="","",IF(D162="","",HOUR(D162)))</f>
        <v>0</v>
      </c>
      <c r="X162" s="37">
        <f>IF(B162="","",ROUND(U162/60,2))</f>
        <v>0</v>
      </c>
      <c r="Y162" s="26">
        <f>IF(B162="","",IF(L162&lt;&gt;"",L162,IFERROR(INDEX(Services!$G$5:$G$204,MATCH(G162,Services!$A$5:$A$204,0))*1,0)))</f>
        <v>0</v>
      </c>
      <c r="Z162" s="26">
        <f>IF(B162="","",IF(O162&lt;&gt;"",O162,IF(Y162&gt;=DepositThreshold,ROUND(Y162*DepositPercent,2),0)))</f>
        <v>0</v>
      </c>
      <c r="AA162" s="26">
        <f>IF(B162="","",ROUND(SUMIFS(Payments!$G$5:$G$1204,Payments!$I$5:$I$1204,A162,Payments!$E$5:$E$1204,"Deposit"),2))</f>
        <v>0</v>
      </c>
      <c r="AB162" s="26">
        <f>IF(B162="","",ROUND(SUMIFS(Sales!$Y$5:$Y$1204,Sales!$C$5:$C$1204,A162),2))</f>
        <v>0</v>
      </c>
      <c r="AC162" s="38">
        <f>IF(B162="","",IF(M162="Completed","Yes",IF(M162="Cancelled","Yes",IF(M162="No show","Yes","No"))))</f>
        <v>0</v>
      </c>
      <c r="AD162" s="25">
        <f>IF(B162="","",IF(AE162="","",B162-AE162))</f>
        <v>0</v>
      </c>
      <c r="AF162" s="38">
        <f>IF(B162="","",IF(M162&lt;&gt;"Completed","",IF(E162="","No",IF(COUNTIFS(Appointments!$E$5:$E$1204,E162,Appointments!$B$5:$B$1204,"&gt;"&amp;B162,Appointments!$M$5:$M$1204,"&lt;&gt;Cancelled")&gt;0,"Yes","No"))))</f>
        <v>0</v>
      </c>
      <c r="AG162" s="38">
        <f>IF(B162="","",IF(I162="","",IF(D162="","",IF(COUNTIFS($I$5:$I$1204,I162,$B$5:$B$1204,B162,$D$5:$D$1204,"&lt;"&amp;V162,$V$5:$V$1204,"&gt;"&amp;D162,$M$5:$M$1204,"&lt;&gt;Cancelled")&gt;1,"Clash",""))))</f>
        <v>0</v>
      </c>
      <c r="AH162" s="39">
        <f>IF(B162="","",IF(AG162="Clash","Clash - stylist double booked",IF(I162="","Assign - no stylist yet",IF(G162="","Add - no service chosen",IF(M162="No show","No show - charge the fee?",IF(M162="Cancelled","",IF(IF(M162="Completed",AB162&lt;Y162-0.004,FALSE),"Unpaid - nothing rung up for this visit",IF(IF(B162&lt;TodayDate,M162="Booked",FALSE),"Overdue - past date, still only Booked",IF(IF(B162=TodayDate,TRUE,FALSE),"Today",IF(IF(Z162&gt;0,AA162&lt;Z162-0.004,FALSE),"Due - deposit not taken",IF(IF(B162&gt;TodayDate,B162&lt;=TodayDate+2,FALSE),"Confirm - coming up","OK")))))))))))</f>
        <v>0</v>
      </c>
    </row>
    <row r="163" spans="1:34">
      <c r="A163" s="28">
        <f>IF(B163="","",AppointmentPrefix&amp;TEXT(ROW()-4,"0000"))</f>
        <v>0</v>
      </c>
      <c r="C163" s="15">
        <f>IF(B163="","",TEXT(B163,"ddd"))</f>
        <v>0</v>
      </c>
      <c r="F163" s="15">
        <f>IF(E163="","",IFERROR(INDEX(Clients!$B$5:$B$504,MATCH(E163,Clients!$A$5:$A$504,0)),"Walk-in"))</f>
        <v>0</v>
      </c>
      <c r="H163" s="15">
        <f>IF(G163="","",IFERROR(INDEX(Services!$B$5:$B$204,MATCH(G163,Services!$A$5:$A$204,0)),"Not in Services"))</f>
        <v>0</v>
      </c>
      <c r="J163" s="15">
        <f>IF(I163="","",IFERROR(INDEX(Staff!$B$5:$B$44,MATCH(I163,Staff!$A$5:$A$44,0)),"Unassigned"))</f>
        <v>0</v>
      </c>
      <c r="S163" s="15">
        <f>IF(B163="","",TEXT(B163,"yyyy-mm"))</f>
        <v>0</v>
      </c>
      <c r="T163" s="25">
        <f>IF(B163="","",WEEKNUM(B163,2))</f>
        <v>0</v>
      </c>
      <c r="U163" s="25">
        <f>IF(B163="","",IF(K163&lt;&gt;"",K163,IFERROR(INDEX(Services!$E$5:$E$204,MATCH(G163,Services!$A$5:$A$204,0))*1,0)+IFERROR(INDEX(Services!$F$5:$F$204,MATCH(G163,Services!$A$5:$A$204,0))*1,0)))</f>
        <v>0</v>
      </c>
      <c r="V163" s="36">
        <f>IF(B163="","",IF(D163="","",D163+U163/1440))</f>
        <v>0</v>
      </c>
      <c r="W163" s="25">
        <f>IF(B163="","",IF(D163="","",HOUR(D163)))</f>
        <v>0</v>
      </c>
      <c r="X163" s="37">
        <f>IF(B163="","",ROUND(U163/60,2))</f>
        <v>0</v>
      </c>
      <c r="Y163" s="26">
        <f>IF(B163="","",IF(L163&lt;&gt;"",L163,IFERROR(INDEX(Services!$G$5:$G$204,MATCH(G163,Services!$A$5:$A$204,0))*1,0)))</f>
        <v>0</v>
      </c>
      <c r="Z163" s="26">
        <f>IF(B163="","",IF(O163&lt;&gt;"",O163,IF(Y163&gt;=DepositThreshold,ROUND(Y163*DepositPercent,2),0)))</f>
        <v>0</v>
      </c>
      <c r="AA163" s="26">
        <f>IF(B163="","",ROUND(SUMIFS(Payments!$G$5:$G$1204,Payments!$I$5:$I$1204,A163,Payments!$E$5:$E$1204,"Deposit"),2))</f>
        <v>0</v>
      </c>
      <c r="AB163" s="26">
        <f>IF(B163="","",ROUND(SUMIFS(Sales!$Y$5:$Y$1204,Sales!$C$5:$C$1204,A163),2))</f>
        <v>0</v>
      </c>
      <c r="AC163" s="38">
        <f>IF(B163="","",IF(M163="Completed","Yes",IF(M163="Cancelled","Yes",IF(M163="No show","Yes","No"))))</f>
        <v>0</v>
      </c>
      <c r="AD163" s="25">
        <f>IF(B163="","",IF(AE163="","",B163-AE163))</f>
        <v>0</v>
      </c>
      <c r="AF163" s="38">
        <f>IF(B163="","",IF(M163&lt;&gt;"Completed","",IF(E163="","No",IF(COUNTIFS(Appointments!$E$5:$E$1204,E163,Appointments!$B$5:$B$1204,"&gt;"&amp;B163,Appointments!$M$5:$M$1204,"&lt;&gt;Cancelled")&gt;0,"Yes","No"))))</f>
        <v>0</v>
      </c>
      <c r="AG163" s="38">
        <f>IF(B163="","",IF(I163="","",IF(D163="","",IF(COUNTIFS($I$5:$I$1204,I163,$B$5:$B$1204,B163,$D$5:$D$1204,"&lt;"&amp;V163,$V$5:$V$1204,"&gt;"&amp;D163,$M$5:$M$1204,"&lt;&gt;Cancelled")&gt;1,"Clash",""))))</f>
        <v>0</v>
      </c>
      <c r="AH163" s="39">
        <f>IF(B163="","",IF(AG163="Clash","Clash - stylist double booked",IF(I163="","Assign - no stylist yet",IF(G163="","Add - no service chosen",IF(M163="No show","No show - charge the fee?",IF(M163="Cancelled","",IF(IF(M163="Completed",AB163&lt;Y163-0.004,FALSE),"Unpaid - nothing rung up for this visit",IF(IF(B163&lt;TodayDate,M163="Booked",FALSE),"Overdue - past date, still only Booked",IF(IF(B163=TodayDate,TRUE,FALSE),"Today",IF(IF(Z163&gt;0,AA163&lt;Z163-0.004,FALSE),"Due - deposit not taken",IF(IF(B163&gt;TodayDate,B163&lt;=TodayDate+2,FALSE),"Confirm - coming up","OK")))))))))))</f>
        <v>0</v>
      </c>
    </row>
    <row r="164" spans="1:34">
      <c r="A164" s="28">
        <f>IF(B164="","",AppointmentPrefix&amp;TEXT(ROW()-4,"0000"))</f>
        <v>0</v>
      </c>
      <c r="C164" s="15">
        <f>IF(B164="","",TEXT(B164,"ddd"))</f>
        <v>0</v>
      </c>
      <c r="F164" s="15">
        <f>IF(E164="","",IFERROR(INDEX(Clients!$B$5:$B$504,MATCH(E164,Clients!$A$5:$A$504,0)),"Walk-in"))</f>
        <v>0</v>
      </c>
      <c r="H164" s="15">
        <f>IF(G164="","",IFERROR(INDEX(Services!$B$5:$B$204,MATCH(G164,Services!$A$5:$A$204,0)),"Not in Services"))</f>
        <v>0</v>
      </c>
      <c r="J164" s="15">
        <f>IF(I164="","",IFERROR(INDEX(Staff!$B$5:$B$44,MATCH(I164,Staff!$A$5:$A$44,0)),"Unassigned"))</f>
        <v>0</v>
      </c>
      <c r="S164" s="15">
        <f>IF(B164="","",TEXT(B164,"yyyy-mm"))</f>
        <v>0</v>
      </c>
      <c r="T164" s="25">
        <f>IF(B164="","",WEEKNUM(B164,2))</f>
        <v>0</v>
      </c>
      <c r="U164" s="25">
        <f>IF(B164="","",IF(K164&lt;&gt;"",K164,IFERROR(INDEX(Services!$E$5:$E$204,MATCH(G164,Services!$A$5:$A$204,0))*1,0)+IFERROR(INDEX(Services!$F$5:$F$204,MATCH(G164,Services!$A$5:$A$204,0))*1,0)))</f>
        <v>0</v>
      </c>
      <c r="V164" s="36">
        <f>IF(B164="","",IF(D164="","",D164+U164/1440))</f>
        <v>0</v>
      </c>
      <c r="W164" s="25">
        <f>IF(B164="","",IF(D164="","",HOUR(D164)))</f>
        <v>0</v>
      </c>
      <c r="X164" s="37">
        <f>IF(B164="","",ROUND(U164/60,2))</f>
        <v>0</v>
      </c>
      <c r="Y164" s="26">
        <f>IF(B164="","",IF(L164&lt;&gt;"",L164,IFERROR(INDEX(Services!$G$5:$G$204,MATCH(G164,Services!$A$5:$A$204,0))*1,0)))</f>
        <v>0</v>
      </c>
      <c r="Z164" s="26">
        <f>IF(B164="","",IF(O164&lt;&gt;"",O164,IF(Y164&gt;=DepositThreshold,ROUND(Y164*DepositPercent,2),0)))</f>
        <v>0</v>
      </c>
      <c r="AA164" s="26">
        <f>IF(B164="","",ROUND(SUMIFS(Payments!$G$5:$G$1204,Payments!$I$5:$I$1204,A164,Payments!$E$5:$E$1204,"Deposit"),2))</f>
        <v>0</v>
      </c>
      <c r="AB164" s="26">
        <f>IF(B164="","",ROUND(SUMIFS(Sales!$Y$5:$Y$1204,Sales!$C$5:$C$1204,A164),2))</f>
        <v>0</v>
      </c>
      <c r="AC164" s="38">
        <f>IF(B164="","",IF(M164="Completed","Yes",IF(M164="Cancelled","Yes",IF(M164="No show","Yes","No"))))</f>
        <v>0</v>
      </c>
      <c r="AD164" s="25">
        <f>IF(B164="","",IF(AE164="","",B164-AE164))</f>
        <v>0</v>
      </c>
      <c r="AF164" s="38">
        <f>IF(B164="","",IF(M164&lt;&gt;"Completed","",IF(E164="","No",IF(COUNTIFS(Appointments!$E$5:$E$1204,E164,Appointments!$B$5:$B$1204,"&gt;"&amp;B164,Appointments!$M$5:$M$1204,"&lt;&gt;Cancelled")&gt;0,"Yes","No"))))</f>
        <v>0</v>
      </c>
      <c r="AG164" s="38">
        <f>IF(B164="","",IF(I164="","",IF(D164="","",IF(COUNTIFS($I$5:$I$1204,I164,$B$5:$B$1204,B164,$D$5:$D$1204,"&lt;"&amp;V164,$V$5:$V$1204,"&gt;"&amp;D164,$M$5:$M$1204,"&lt;&gt;Cancelled")&gt;1,"Clash",""))))</f>
        <v>0</v>
      </c>
      <c r="AH164" s="39">
        <f>IF(B164="","",IF(AG164="Clash","Clash - stylist double booked",IF(I164="","Assign - no stylist yet",IF(G164="","Add - no service chosen",IF(M164="No show","No show - charge the fee?",IF(M164="Cancelled","",IF(IF(M164="Completed",AB164&lt;Y164-0.004,FALSE),"Unpaid - nothing rung up for this visit",IF(IF(B164&lt;TodayDate,M164="Booked",FALSE),"Overdue - past date, still only Booked",IF(IF(B164=TodayDate,TRUE,FALSE),"Today",IF(IF(Z164&gt;0,AA164&lt;Z164-0.004,FALSE),"Due - deposit not taken",IF(IF(B164&gt;TodayDate,B164&lt;=TodayDate+2,FALSE),"Confirm - coming up","OK")))))))))))</f>
        <v>0</v>
      </c>
    </row>
    <row r="165" spans="1:34">
      <c r="A165" s="28">
        <f>IF(B165="","",AppointmentPrefix&amp;TEXT(ROW()-4,"0000"))</f>
        <v>0</v>
      </c>
      <c r="C165" s="15">
        <f>IF(B165="","",TEXT(B165,"ddd"))</f>
        <v>0</v>
      </c>
      <c r="F165" s="15">
        <f>IF(E165="","",IFERROR(INDEX(Clients!$B$5:$B$504,MATCH(E165,Clients!$A$5:$A$504,0)),"Walk-in"))</f>
        <v>0</v>
      </c>
      <c r="H165" s="15">
        <f>IF(G165="","",IFERROR(INDEX(Services!$B$5:$B$204,MATCH(G165,Services!$A$5:$A$204,0)),"Not in Services"))</f>
        <v>0</v>
      </c>
      <c r="J165" s="15">
        <f>IF(I165="","",IFERROR(INDEX(Staff!$B$5:$B$44,MATCH(I165,Staff!$A$5:$A$44,0)),"Unassigned"))</f>
        <v>0</v>
      </c>
      <c r="S165" s="15">
        <f>IF(B165="","",TEXT(B165,"yyyy-mm"))</f>
        <v>0</v>
      </c>
      <c r="T165" s="25">
        <f>IF(B165="","",WEEKNUM(B165,2))</f>
        <v>0</v>
      </c>
      <c r="U165" s="25">
        <f>IF(B165="","",IF(K165&lt;&gt;"",K165,IFERROR(INDEX(Services!$E$5:$E$204,MATCH(G165,Services!$A$5:$A$204,0))*1,0)+IFERROR(INDEX(Services!$F$5:$F$204,MATCH(G165,Services!$A$5:$A$204,0))*1,0)))</f>
        <v>0</v>
      </c>
      <c r="V165" s="36">
        <f>IF(B165="","",IF(D165="","",D165+U165/1440))</f>
        <v>0</v>
      </c>
      <c r="W165" s="25">
        <f>IF(B165="","",IF(D165="","",HOUR(D165)))</f>
        <v>0</v>
      </c>
      <c r="X165" s="37">
        <f>IF(B165="","",ROUND(U165/60,2))</f>
        <v>0</v>
      </c>
      <c r="Y165" s="26">
        <f>IF(B165="","",IF(L165&lt;&gt;"",L165,IFERROR(INDEX(Services!$G$5:$G$204,MATCH(G165,Services!$A$5:$A$204,0))*1,0)))</f>
        <v>0</v>
      </c>
      <c r="Z165" s="26">
        <f>IF(B165="","",IF(O165&lt;&gt;"",O165,IF(Y165&gt;=DepositThreshold,ROUND(Y165*DepositPercent,2),0)))</f>
        <v>0</v>
      </c>
      <c r="AA165" s="26">
        <f>IF(B165="","",ROUND(SUMIFS(Payments!$G$5:$G$1204,Payments!$I$5:$I$1204,A165,Payments!$E$5:$E$1204,"Deposit"),2))</f>
        <v>0</v>
      </c>
      <c r="AB165" s="26">
        <f>IF(B165="","",ROUND(SUMIFS(Sales!$Y$5:$Y$1204,Sales!$C$5:$C$1204,A165),2))</f>
        <v>0</v>
      </c>
      <c r="AC165" s="38">
        <f>IF(B165="","",IF(M165="Completed","Yes",IF(M165="Cancelled","Yes",IF(M165="No show","Yes","No"))))</f>
        <v>0</v>
      </c>
      <c r="AD165" s="25">
        <f>IF(B165="","",IF(AE165="","",B165-AE165))</f>
        <v>0</v>
      </c>
      <c r="AF165" s="38">
        <f>IF(B165="","",IF(M165&lt;&gt;"Completed","",IF(E165="","No",IF(COUNTIFS(Appointments!$E$5:$E$1204,E165,Appointments!$B$5:$B$1204,"&gt;"&amp;B165,Appointments!$M$5:$M$1204,"&lt;&gt;Cancelled")&gt;0,"Yes","No"))))</f>
        <v>0</v>
      </c>
      <c r="AG165" s="38">
        <f>IF(B165="","",IF(I165="","",IF(D165="","",IF(COUNTIFS($I$5:$I$1204,I165,$B$5:$B$1204,B165,$D$5:$D$1204,"&lt;"&amp;V165,$V$5:$V$1204,"&gt;"&amp;D165,$M$5:$M$1204,"&lt;&gt;Cancelled")&gt;1,"Clash",""))))</f>
        <v>0</v>
      </c>
      <c r="AH165" s="39">
        <f>IF(B165="","",IF(AG165="Clash","Clash - stylist double booked",IF(I165="","Assign - no stylist yet",IF(G165="","Add - no service chosen",IF(M165="No show","No show - charge the fee?",IF(M165="Cancelled","",IF(IF(M165="Completed",AB165&lt;Y165-0.004,FALSE),"Unpaid - nothing rung up for this visit",IF(IF(B165&lt;TodayDate,M165="Booked",FALSE),"Overdue - past date, still only Booked",IF(IF(B165=TodayDate,TRUE,FALSE),"Today",IF(IF(Z165&gt;0,AA165&lt;Z165-0.004,FALSE),"Due - deposit not taken",IF(IF(B165&gt;TodayDate,B165&lt;=TodayDate+2,FALSE),"Confirm - coming up","OK")))))))))))</f>
        <v>0</v>
      </c>
    </row>
    <row r="166" spans="1:34">
      <c r="A166" s="28">
        <f>IF(B166="","",AppointmentPrefix&amp;TEXT(ROW()-4,"0000"))</f>
        <v>0</v>
      </c>
      <c r="C166" s="15">
        <f>IF(B166="","",TEXT(B166,"ddd"))</f>
        <v>0</v>
      </c>
      <c r="F166" s="15">
        <f>IF(E166="","",IFERROR(INDEX(Clients!$B$5:$B$504,MATCH(E166,Clients!$A$5:$A$504,0)),"Walk-in"))</f>
        <v>0</v>
      </c>
      <c r="H166" s="15">
        <f>IF(G166="","",IFERROR(INDEX(Services!$B$5:$B$204,MATCH(G166,Services!$A$5:$A$204,0)),"Not in Services"))</f>
        <v>0</v>
      </c>
      <c r="J166" s="15">
        <f>IF(I166="","",IFERROR(INDEX(Staff!$B$5:$B$44,MATCH(I166,Staff!$A$5:$A$44,0)),"Unassigned"))</f>
        <v>0</v>
      </c>
      <c r="S166" s="15">
        <f>IF(B166="","",TEXT(B166,"yyyy-mm"))</f>
        <v>0</v>
      </c>
      <c r="T166" s="25">
        <f>IF(B166="","",WEEKNUM(B166,2))</f>
        <v>0</v>
      </c>
      <c r="U166" s="25">
        <f>IF(B166="","",IF(K166&lt;&gt;"",K166,IFERROR(INDEX(Services!$E$5:$E$204,MATCH(G166,Services!$A$5:$A$204,0))*1,0)+IFERROR(INDEX(Services!$F$5:$F$204,MATCH(G166,Services!$A$5:$A$204,0))*1,0)))</f>
        <v>0</v>
      </c>
      <c r="V166" s="36">
        <f>IF(B166="","",IF(D166="","",D166+U166/1440))</f>
        <v>0</v>
      </c>
      <c r="W166" s="25">
        <f>IF(B166="","",IF(D166="","",HOUR(D166)))</f>
        <v>0</v>
      </c>
      <c r="X166" s="37">
        <f>IF(B166="","",ROUND(U166/60,2))</f>
        <v>0</v>
      </c>
      <c r="Y166" s="26">
        <f>IF(B166="","",IF(L166&lt;&gt;"",L166,IFERROR(INDEX(Services!$G$5:$G$204,MATCH(G166,Services!$A$5:$A$204,0))*1,0)))</f>
        <v>0</v>
      </c>
      <c r="Z166" s="26">
        <f>IF(B166="","",IF(O166&lt;&gt;"",O166,IF(Y166&gt;=DepositThreshold,ROUND(Y166*DepositPercent,2),0)))</f>
        <v>0</v>
      </c>
      <c r="AA166" s="26">
        <f>IF(B166="","",ROUND(SUMIFS(Payments!$G$5:$G$1204,Payments!$I$5:$I$1204,A166,Payments!$E$5:$E$1204,"Deposit"),2))</f>
        <v>0</v>
      </c>
      <c r="AB166" s="26">
        <f>IF(B166="","",ROUND(SUMIFS(Sales!$Y$5:$Y$1204,Sales!$C$5:$C$1204,A166),2))</f>
        <v>0</v>
      </c>
      <c r="AC166" s="38">
        <f>IF(B166="","",IF(M166="Completed","Yes",IF(M166="Cancelled","Yes",IF(M166="No show","Yes","No"))))</f>
        <v>0</v>
      </c>
      <c r="AD166" s="25">
        <f>IF(B166="","",IF(AE166="","",B166-AE166))</f>
        <v>0</v>
      </c>
      <c r="AF166" s="38">
        <f>IF(B166="","",IF(M166&lt;&gt;"Completed","",IF(E166="","No",IF(COUNTIFS(Appointments!$E$5:$E$1204,E166,Appointments!$B$5:$B$1204,"&gt;"&amp;B166,Appointments!$M$5:$M$1204,"&lt;&gt;Cancelled")&gt;0,"Yes","No"))))</f>
        <v>0</v>
      </c>
      <c r="AG166" s="38">
        <f>IF(B166="","",IF(I166="","",IF(D166="","",IF(COUNTIFS($I$5:$I$1204,I166,$B$5:$B$1204,B166,$D$5:$D$1204,"&lt;"&amp;V166,$V$5:$V$1204,"&gt;"&amp;D166,$M$5:$M$1204,"&lt;&gt;Cancelled")&gt;1,"Clash",""))))</f>
        <v>0</v>
      </c>
      <c r="AH166" s="39">
        <f>IF(B166="","",IF(AG166="Clash","Clash - stylist double booked",IF(I166="","Assign - no stylist yet",IF(G166="","Add - no service chosen",IF(M166="No show","No show - charge the fee?",IF(M166="Cancelled","",IF(IF(M166="Completed",AB166&lt;Y166-0.004,FALSE),"Unpaid - nothing rung up for this visit",IF(IF(B166&lt;TodayDate,M166="Booked",FALSE),"Overdue - past date, still only Booked",IF(IF(B166=TodayDate,TRUE,FALSE),"Today",IF(IF(Z166&gt;0,AA166&lt;Z166-0.004,FALSE),"Due - deposit not taken",IF(IF(B166&gt;TodayDate,B166&lt;=TodayDate+2,FALSE),"Confirm - coming up","OK")))))))))))</f>
        <v>0</v>
      </c>
    </row>
    <row r="167" spans="1:34">
      <c r="A167" s="28">
        <f>IF(B167="","",AppointmentPrefix&amp;TEXT(ROW()-4,"0000"))</f>
        <v>0</v>
      </c>
      <c r="C167" s="15">
        <f>IF(B167="","",TEXT(B167,"ddd"))</f>
        <v>0</v>
      </c>
      <c r="F167" s="15">
        <f>IF(E167="","",IFERROR(INDEX(Clients!$B$5:$B$504,MATCH(E167,Clients!$A$5:$A$504,0)),"Walk-in"))</f>
        <v>0</v>
      </c>
      <c r="H167" s="15">
        <f>IF(G167="","",IFERROR(INDEX(Services!$B$5:$B$204,MATCH(G167,Services!$A$5:$A$204,0)),"Not in Services"))</f>
        <v>0</v>
      </c>
      <c r="J167" s="15">
        <f>IF(I167="","",IFERROR(INDEX(Staff!$B$5:$B$44,MATCH(I167,Staff!$A$5:$A$44,0)),"Unassigned"))</f>
        <v>0</v>
      </c>
      <c r="S167" s="15">
        <f>IF(B167="","",TEXT(B167,"yyyy-mm"))</f>
        <v>0</v>
      </c>
      <c r="T167" s="25">
        <f>IF(B167="","",WEEKNUM(B167,2))</f>
        <v>0</v>
      </c>
      <c r="U167" s="25">
        <f>IF(B167="","",IF(K167&lt;&gt;"",K167,IFERROR(INDEX(Services!$E$5:$E$204,MATCH(G167,Services!$A$5:$A$204,0))*1,0)+IFERROR(INDEX(Services!$F$5:$F$204,MATCH(G167,Services!$A$5:$A$204,0))*1,0)))</f>
        <v>0</v>
      </c>
      <c r="V167" s="36">
        <f>IF(B167="","",IF(D167="","",D167+U167/1440))</f>
        <v>0</v>
      </c>
      <c r="W167" s="25">
        <f>IF(B167="","",IF(D167="","",HOUR(D167)))</f>
        <v>0</v>
      </c>
      <c r="X167" s="37">
        <f>IF(B167="","",ROUND(U167/60,2))</f>
        <v>0</v>
      </c>
      <c r="Y167" s="26">
        <f>IF(B167="","",IF(L167&lt;&gt;"",L167,IFERROR(INDEX(Services!$G$5:$G$204,MATCH(G167,Services!$A$5:$A$204,0))*1,0)))</f>
        <v>0</v>
      </c>
      <c r="Z167" s="26">
        <f>IF(B167="","",IF(O167&lt;&gt;"",O167,IF(Y167&gt;=DepositThreshold,ROUND(Y167*DepositPercent,2),0)))</f>
        <v>0</v>
      </c>
      <c r="AA167" s="26">
        <f>IF(B167="","",ROUND(SUMIFS(Payments!$G$5:$G$1204,Payments!$I$5:$I$1204,A167,Payments!$E$5:$E$1204,"Deposit"),2))</f>
        <v>0</v>
      </c>
      <c r="AB167" s="26">
        <f>IF(B167="","",ROUND(SUMIFS(Sales!$Y$5:$Y$1204,Sales!$C$5:$C$1204,A167),2))</f>
        <v>0</v>
      </c>
      <c r="AC167" s="38">
        <f>IF(B167="","",IF(M167="Completed","Yes",IF(M167="Cancelled","Yes",IF(M167="No show","Yes","No"))))</f>
        <v>0</v>
      </c>
      <c r="AD167" s="25">
        <f>IF(B167="","",IF(AE167="","",B167-AE167))</f>
        <v>0</v>
      </c>
      <c r="AF167" s="38">
        <f>IF(B167="","",IF(M167&lt;&gt;"Completed","",IF(E167="","No",IF(COUNTIFS(Appointments!$E$5:$E$1204,E167,Appointments!$B$5:$B$1204,"&gt;"&amp;B167,Appointments!$M$5:$M$1204,"&lt;&gt;Cancelled")&gt;0,"Yes","No"))))</f>
        <v>0</v>
      </c>
      <c r="AG167" s="38">
        <f>IF(B167="","",IF(I167="","",IF(D167="","",IF(COUNTIFS($I$5:$I$1204,I167,$B$5:$B$1204,B167,$D$5:$D$1204,"&lt;"&amp;V167,$V$5:$V$1204,"&gt;"&amp;D167,$M$5:$M$1204,"&lt;&gt;Cancelled")&gt;1,"Clash",""))))</f>
        <v>0</v>
      </c>
      <c r="AH167" s="39">
        <f>IF(B167="","",IF(AG167="Clash","Clash - stylist double booked",IF(I167="","Assign - no stylist yet",IF(G167="","Add - no service chosen",IF(M167="No show","No show - charge the fee?",IF(M167="Cancelled","",IF(IF(M167="Completed",AB167&lt;Y167-0.004,FALSE),"Unpaid - nothing rung up for this visit",IF(IF(B167&lt;TodayDate,M167="Booked",FALSE),"Overdue - past date, still only Booked",IF(IF(B167=TodayDate,TRUE,FALSE),"Today",IF(IF(Z167&gt;0,AA167&lt;Z167-0.004,FALSE),"Due - deposit not taken",IF(IF(B167&gt;TodayDate,B167&lt;=TodayDate+2,FALSE),"Confirm - coming up","OK")))))))))))</f>
        <v>0</v>
      </c>
    </row>
    <row r="168" spans="1:34">
      <c r="A168" s="28">
        <f>IF(B168="","",AppointmentPrefix&amp;TEXT(ROW()-4,"0000"))</f>
        <v>0</v>
      </c>
      <c r="C168" s="15">
        <f>IF(B168="","",TEXT(B168,"ddd"))</f>
        <v>0</v>
      </c>
      <c r="F168" s="15">
        <f>IF(E168="","",IFERROR(INDEX(Clients!$B$5:$B$504,MATCH(E168,Clients!$A$5:$A$504,0)),"Walk-in"))</f>
        <v>0</v>
      </c>
      <c r="H168" s="15">
        <f>IF(G168="","",IFERROR(INDEX(Services!$B$5:$B$204,MATCH(G168,Services!$A$5:$A$204,0)),"Not in Services"))</f>
        <v>0</v>
      </c>
      <c r="J168" s="15">
        <f>IF(I168="","",IFERROR(INDEX(Staff!$B$5:$B$44,MATCH(I168,Staff!$A$5:$A$44,0)),"Unassigned"))</f>
        <v>0</v>
      </c>
      <c r="S168" s="15">
        <f>IF(B168="","",TEXT(B168,"yyyy-mm"))</f>
        <v>0</v>
      </c>
      <c r="T168" s="25">
        <f>IF(B168="","",WEEKNUM(B168,2))</f>
        <v>0</v>
      </c>
      <c r="U168" s="25">
        <f>IF(B168="","",IF(K168&lt;&gt;"",K168,IFERROR(INDEX(Services!$E$5:$E$204,MATCH(G168,Services!$A$5:$A$204,0))*1,0)+IFERROR(INDEX(Services!$F$5:$F$204,MATCH(G168,Services!$A$5:$A$204,0))*1,0)))</f>
        <v>0</v>
      </c>
      <c r="V168" s="36">
        <f>IF(B168="","",IF(D168="","",D168+U168/1440))</f>
        <v>0</v>
      </c>
      <c r="W168" s="25">
        <f>IF(B168="","",IF(D168="","",HOUR(D168)))</f>
        <v>0</v>
      </c>
      <c r="X168" s="37">
        <f>IF(B168="","",ROUND(U168/60,2))</f>
        <v>0</v>
      </c>
      <c r="Y168" s="26">
        <f>IF(B168="","",IF(L168&lt;&gt;"",L168,IFERROR(INDEX(Services!$G$5:$G$204,MATCH(G168,Services!$A$5:$A$204,0))*1,0)))</f>
        <v>0</v>
      </c>
      <c r="Z168" s="26">
        <f>IF(B168="","",IF(O168&lt;&gt;"",O168,IF(Y168&gt;=DepositThreshold,ROUND(Y168*DepositPercent,2),0)))</f>
        <v>0</v>
      </c>
      <c r="AA168" s="26">
        <f>IF(B168="","",ROUND(SUMIFS(Payments!$G$5:$G$1204,Payments!$I$5:$I$1204,A168,Payments!$E$5:$E$1204,"Deposit"),2))</f>
        <v>0</v>
      </c>
      <c r="AB168" s="26">
        <f>IF(B168="","",ROUND(SUMIFS(Sales!$Y$5:$Y$1204,Sales!$C$5:$C$1204,A168),2))</f>
        <v>0</v>
      </c>
      <c r="AC168" s="38">
        <f>IF(B168="","",IF(M168="Completed","Yes",IF(M168="Cancelled","Yes",IF(M168="No show","Yes","No"))))</f>
        <v>0</v>
      </c>
      <c r="AD168" s="25">
        <f>IF(B168="","",IF(AE168="","",B168-AE168))</f>
        <v>0</v>
      </c>
      <c r="AF168" s="38">
        <f>IF(B168="","",IF(M168&lt;&gt;"Completed","",IF(E168="","No",IF(COUNTIFS(Appointments!$E$5:$E$1204,E168,Appointments!$B$5:$B$1204,"&gt;"&amp;B168,Appointments!$M$5:$M$1204,"&lt;&gt;Cancelled")&gt;0,"Yes","No"))))</f>
        <v>0</v>
      </c>
      <c r="AG168" s="38">
        <f>IF(B168="","",IF(I168="","",IF(D168="","",IF(COUNTIFS($I$5:$I$1204,I168,$B$5:$B$1204,B168,$D$5:$D$1204,"&lt;"&amp;V168,$V$5:$V$1204,"&gt;"&amp;D168,$M$5:$M$1204,"&lt;&gt;Cancelled")&gt;1,"Clash",""))))</f>
        <v>0</v>
      </c>
      <c r="AH168" s="39">
        <f>IF(B168="","",IF(AG168="Clash","Clash - stylist double booked",IF(I168="","Assign - no stylist yet",IF(G168="","Add - no service chosen",IF(M168="No show","No show - charge the fee?",IF(M168="Cancelled","",IF(IF(M168="Completed",AB168&lt;Y168-0.004,FALSE),"Unpaid - nothing rung up for this visit",IF(IF(B168&lt;TodayDate,M168="Booked",FALSE),"Overdue - past date, still only Booked",IF(IF(B168=TodayDate,TRUE,FALSE),"Today",IF(IF(Z168&gt;0,AA168&lt;Z168-0.004,FALSE),"Due - deposit not taken",IF(IF(B168&gt;TodayDate,B168&lt;=TodayDate+2,FALSE),"Confirm - coming up","OK")))))))))))</f>
        <v>0</v>
      </c>
    </row>
    <row r="169" spans="1:34">
      <c r="A169" s="28">
        <f>IF(B169="","",AppointmentPrefix&amp;TEXT(ROW()-4,"0000"))</f>
        <v>0</v>
      </c>
      <c r="C169" s="15">
        <f>IF(B169="","",TEXT(B169,"ddd"))</f>
        <v>0</v>
      </c>
      <c r="F169" s="15">
        <f>IF(E169="","",IFERROR(INDEX(Clients!$B$5:$B$504,MATCH(E169,Clients!$A$5:$A$504,0)),"Walk-in"))</f>
        <v>0</v>
      </c>
      <c r="H169" s="15">
        <f>IF(G169="","",IFERROR(INDEX(Services!$B$5:$B$204,MATCH(G169,Services!$A$5:$A$204,0)),"Not in Services"))</f>
        <v>0</v>
      </c>
      <c r="J169" s="15">
        <f>IF(I169="","",IFERROR(INDEX(Staff!$B$5:$B$44,MATCH(I169,Staff!$A$5:$A$44,0)),"Unassigned"))</f>
        <v>0</v>
      </c>
      <c r="S169" s="15">
        <f>IF(B169="","",TEXT(B169,"yyyy-mm"))</f>
        <v>0</v>
      </c>
      <c r="T169" s="25">
        <f>IF(B169="","",WEEKNUM(B169,2))</f>
        <v>0</v>
      </c>
      <c r="U169" s="25">
        <f>IF(B169="","",IF(K169&lt;&gt;"",K169,IFERROR(INDEX(Services!$E$5:$E$204,MATCH(G169,Services!$A$5:$A$204,0))*1,0)+IFERROR(INDEX(Services!$F$5:$F$204,MATCH(G169,Services!$A$5:$A$204,0))*1,0)))</f>
        <v>0</v>
      </c>
      <c r="V169" s="36">
        <f>IF(B169="","",IF(D169="","",D169+U169/1440))</f>
        <v>0</v>
      </c>
      <c r="W169" s="25">
        <f>IF(B169="","",IF(D169="","",HOUR(D169)))</f>
        <v>0</v>
      </c>
      <c r="X169" s="37">
        <f>IF(B169="","",ROUND(U169/60,2))</f>
        <v>0</v>
      </c>
      <c r="Y169" s="26">
        <f>IF(B169="","",IF(L169&lt;&gt;"",L169,IFERROR(INDEX(Services!$G$5:$G$204,MATCH(G169,Services!$A$5:$A$204,0))*1,0)))</f>
        <v>0</v>
      </c>
      <c r="Z169" s="26">
        <f>IF(B169="","",IF(O169&lt;&gt;"",O169,IF(Y169&gt;=DepositThreshold,ROUND(Y169*DepositPercent,2),0)))</f>
        <v>0</v>
      </c>
      <c r="AA169" s="26">
        <f>IF(B169="","",ROUND(SUMIFS(Payments!$G$5:$G$1204,Payments!$I$5:$I$1204,A169,Payments!$E$5:$E$1204,"Deposit"),2))</f>
        <v>0</v>
      </c>
      <c r="AB169" s="26">
        <f>IF(B169="","",ROUND(SUMIFS(Sales!$Y$5:$Y$1204,Sales!$C$5:$C$1204,A169),2))</f>
        <v>0</v>
      </c>
      <c r="AC169" s="38">
        <f>IF(B169="","",IF(M169="Completed","Yes",IF(M169="Cancelled","Yes",IF(M169="No show","Yes","No"))))</f>
        <v>0</v>
      </c>
      <c r="AD169" s="25">
        <f>IF(B169="","",IF(AE169="","",B169-AE169))</f>
        <v>0</v>
      </c>
      <c r="AF169" s="38">
        <f>IF(B169="","",IF(M169&lt;&gt;"Completed","",IF(E169="","No",IF(COUNTIFS(Appointments!$E$5:$E$1204,E169,Appointments!$B$5:$B$1204,"&gt;"&amp;B169,Appointments!$M$5:$M$1204,"&lt;&gt;Cancelled")&gt;0,"Yes","No"))))</f>
        <v>0</v>
      </c>
      <c r="AG169" s="38">
        <f>IF(B169="","",IF(I169="","",IF(D169="","",IF(COUNTIFS($I$5:$I$1204,I169,$B$5:$B$1204,B169,$D$5:$D$1204,"&lt;"&amp;V169,$V$5:$V$1204,"&gt;"&amp;D169,$M$5:$M$1204,"&lt;&gt;Cancelled")&gt;1,"Clash",""))))</f>
        <v>0</v>
      </c>
      <c r="AH169" s="39">
        <f>IF(B169="","",IF(AG169="Clash","Clash - stylist double booked",IF(I169="","Assign - no stylist yet",IF(G169="","Add - no service chosen",IF(M169="No show","No show - charge the fee?",IF(M169="Cancelled","",IF(IF(M169="Completed",AB169&lt;Y169-0.004,FALSE),"Unpaid - nothing rung up for this visit",IF(IF(B169&lt;TodayDate,M169="Booked",FALSE),"Overdue - past date, still only Booked",IF(IF(B169=TodayDate,TRUE,FALSE),"Today",IF(IF(Z169&gt;0,AA169&lt;Z169-0.004,FALSE),"Due - deposit not taken",IF(IF(B169&gt;TodayDate,B169&lt;=TodayDate+2,FALSE),"Confirm - coming up","OK")))))))))))</f>
        <v>0</v>
      </c>
    </row>
    <row r="170" spans="1:34">
      <c r="A170" s="28">
        <f>IF(B170="","",AppointmentPrefix&amp;TEXT(ROW()-4,"0000"))</f>
        <v>0</v>
      </c>
      <c r="C170" s="15">
        <f>IF(B170="","",TEXT(B170,"ddd"))</f>
        <v>0</v>
      </c>
      <c r="F170" s="15">
        <f>IF(E170="","",IFERROR(INDEX(Clients!$B$5:$B$504,MATCH(E170,Clients!$A$5:$A$504,0)),"Walk-in"))</f>
        <v>0</v>
      </c>
      <c r="H170" s="15">
        <f>IF(G170="","",IFERROR(INDEX(Services!$B$5:$B$204,MATCH(G170,Services!$A$5:$A$204,0)),"Not in Services"))</f>
        <v>0</v>
      </c>
      <c r="J170" s="15">
        <f>IF(I170="","",IFERROR(INDEX(Staff!$B$5:$B$44,MATCH(I170,Staff!$A$5:$A$44,0)),"Unassigned"))</f>
        <v>0</v>
      </c>
      <c r="S170" s="15">
        <f>IF(B170="","",TEXT(B170,"yyyy-mm"))</f>
        <v>0</v>
      </c>
      <c r="T170" s="25">
        <f>IF(B170="","",WEEKNUM(B170,2))</f>
        <v>0</v>
      </c>
      <c r="U170" s="25">
        <f>IF(B170="","",IF(K170&lt;&gt;"",K170,IFERROR(INDEX(Services!$E$5:$E$204,MATCH(G170,Services!$A$5:$A$204,0))*1,0)+IFERROR(INDEX(Services!$F$5:$F$204,MATCH(G170,Services!$A$5:$A$204,0))*1,0)))</f>
        <v>0</v>
      </c>
      <c r="V170" s="36">
        <f>IF(B170="","",IF(D170="","",D170+U170/1440))</f>
        <v>0</v>
      </c>
      <c r="W170" s="25">
        <f>IF(B170="","",IF(D170="","",HOUR(D170)))</f>
        <v>0</v>
      </c>
      <c r="X170" s="37">
        <f>IF(B170="","",ROUND(U170/60,2))</f>
        <v>0</v>
      </c>
      <c r="Y170" s="26">
        <f>IF(B170="","",IF(L170&lt;&gt;"",L170,IFERROR(INDEX(Services!$G$5:$G$204,MATCH(G170,Services!$A$5:$A$204,0))*1,0)))</f>
        <v>0</v>
      </c>
      <c r="Z170" s="26">
        <f>IF(B170="","",IF(O170&lt;&gt;"",O170,IF(Y170&gt;=DepositThreshold,ROUND(Y170*DepositPercent,2),0)))</f>
        <v>0</v>
      </c>
      <c r="AA170" s="26">
        <f>IF(B170="","",ROUND(SUMIFS(Payments!$G$5:$G$1204,Payments!$I$5:$I$1204,A170,Payments!$E$5:$E$1204,"Deposit"),2))</f>
        <v>0</v>
      </c>
      <c r="AB170" s="26">
        <f>IF(B170="","",ROUND(SUMIFS(Sales!$Y$5:$Y$1204,Sales!$C$5:$C$1204,A170),2))</f>
        <v>0</v>
      </c>
      <c r="AC170" s="38">
        <f>IF(B170="","",IF(M170="Completed","Yes",IF(M170="Cancelled","Yes",IF(M170="No show","Yes","No"))))</f>
        <v>0</v>
      </c>
      <c r="AD170" s="25">
        <f>IF(B170="","",IF(AE170="","",B170-AE170))</f>
        <v>0</v>
      </c>
      <c r="AF170" s="38">
        <f>IF(B170="","",IF(M170&lt;&gt;"Completed","",IF(E170="","No",IF(COUNTIFS(Appointments!$E$5:$E$1204,E170,Appointments!$B$5:$B$1204,"&gt;"&amp;B170,Appointments!$M$5:$M$1204,"&lt;&gt;Cancelled")&gt;0,"Yes","No"))))</f>
        <v>0</v>
      </c>
      <c r="AG170" s="38">
        <f>IF(B170="","",IF(I170="","",IF(D170="","",IF(COUNTIFS($I$5:$I$1204,I170,$B$5:$B$1204,B170,$D$5:$D$1204,"&lt;"&amp;V170,$V$5:$V$1204,"&gt;"&amp;D170,$M$5:$M$1204,"&lt;&gt;Cancelled")&gt;1,"Clash",""))))</f>
        <v>0</v>
      </c>
      <c r="AH170" s="39">
        <f>IF(B170="","",IF(AG170="Clash","Clash - stylist double booked",IF(I170="","Assign - no stylist yet",IF(G170="","Add - no service chosen",IF(M170="No show","No show - charge the fee?",IF(M170="Cancelled","",IF(IF(M170="Completed",AB170&lt;Y170-0.004,FALSE),"Unpaid - nothing rung up for this visit",IF(IF(B170&lt;TodayDate,M170="Booked",FALSE),"Overdue - past date, still only Booked",IF(IF(B170=TodayDate,TRUE,FALSE),"Today",IF(IF(Z170&gt;0,AA170&lt;Z170-0.004,FALSE),"Due - deposit not taken",IF(IF(B170&gt;TodayDate,B170&lt;=TodayDate+2,FALSE),"Confirm - coming up","OK")))))))))))</f>
        <v>0</v>
      </c>
    </row>
    <row r="171" spans="1:34">
      <c r="A171" s="28">
        <f>IF(B171="","",AppointmentPrefix&amp;TEXT(ROW()-4,"0000"))</f>
        <v>0</v>
      </c>
      <c r="C171" s="15">
        <f>IF(B171="","",TEXT(B171,"ddd"))</f>
        <v>0</v>
      </c>
      <c r="F171" s="15">
        <f>IF(E171="","",IFERROR(INDEX(Clients!$B$5:$B$504,MATCH(E171,Clients!$A$5:$A$504,0)),"Walk-in"))</f>
        <v>0</v>
      </c>
      <c r="H171" s="15">
        <f>IF(G171="","",IFERROR(INDEX(Services!$B$5:$B$204,MATCH(G171,Services!$A$5:$A$204,0)),"Not in Services"))</f>
        <v>0</v>
      </c>
      <c r="J171" s="15">
        <f>IF(I171="","",IFERROR(INDEX(Staff!$B$5:$B$44,MATCH(I171,Staff!$A$5:$A$44,0)),"Unassigned"))</f>
        <v>0</v>
      </c>
      <c r="S171" s="15">
        <f>IF(B171="","",TEXT(B171,"yyyy-mm"))</f>
        <v>0</v>
      </c>
      <c r="T171" s="25">
        <f>IF(B171="","",WEEKNUM(B171,2))</f>
        <v>0</v>
      </c>
      <c r="U171" s="25">
        <f>IF(B171="","",IF(K171&lt;&gt;"",K171,IFERROR(INDEX(Services!$E$5:$E$204,MATCH(G171,Services!$A$5:$A$204,0))*1,0)+IFERROR(INDEX(Services!$F$5:$F$204,MATCH(G171,Services!$A$5:$A$204,0))*1,0)))</f>
        <v>0</v>
      </c>
      <c r="V171" s="36">
        <f>IF(B171="","",IF(D171="","",D171+U171/1440))</f>
        <v>0</v>
      </c>
      <c r="W171" s="25">
        <f>IF(B171="","",IF(D171="","",HOUR(D171)))</f>
        <v>0</v>
      </c>
      <c r="X171" s="37">
        <f>IF(B171="","",ROUND(U171/60,2))</f>
        <v>0</v>
      </c>
      <c r="Y171" s="26">
        <f>IF(B171="","",IF(L171&lt;&gt;"",L171,IFERROR(INDEX(Services!$G$5:$G$204,MATCH(G171,Services!$A$5:$A$204,0))*1,0)))</f>
        <v>0</v>
      </c>
      <c r="Z171" s="26">
        <f>IF(B171="","",IF(O171&lt;&gt;"",O171,IF(Y171&gt;=DepositThreshold,ROUND(Y171*DepositPercent,2),0)))</f>
        <v>0</v>
      </c>
      <c r="AA171" s="26">
        <f>IF(B171="","",ROUND(SUMIFS(Payments!$G$5:$G$1204,Payments!$I$5:$I$1204,A171,Payments!$E$5:$E$1204,"Deposit"),2))</f>
        <v>0</v>
      </c>
      <c r="AB171" s="26">
        <f>IF(B171="","",ROUND(SUMIFS(Sales!$Y$5:$Y$1204,Sales!$C$5:$C$1204,A171),2))</f>
        <v>0</v>
      </c>
      <c r="AC171" s="38">
        <f>IF(B171="","",IF(M171="Completed","Yes",IF(M171="Cancelled","Yes",IF(M171="No show","Yes","No"))))</f>
        <v>0</v>
      </c>
      <c r="AD171" s="25">
        <f>IF(B171="","",IF(AE171="","",B171-AE171))</f>
        <v>0</v>
      </c>
      <c r="AF171" s="38">
        <f>IF(B171="","",IF(M171&lt;&gt;"Completed","",IF(E171="","No",IF(COUNTIFS(Appointments!$E$5:$E$1204,E171,Appointments!$B$5:$B$1204,"&gt;"&amp;B171,Appointments!$M$5:$M$1204,"&lt;&gt;Cancelled")&gt;0,"Yes","No"))))</f>
        <v>0</v>
      </c>
      <c r="AG171" s="38">
        <f>IF(B171="","",IF(I171="","",IF(D171="","",IF(COUNTIFS($I$5:$I$1204,I171,$B$5:$B$1204,B171,$D$5:$D$1204,"&lt;"&amp;V171,$V$5:$V$1204,"&gt;"&amp;D171,$M$5:$M$1204,"&lt;&gt;Cancelled")&gt;1,"Clash",""))))</f>
        <v>0</v>
      </c>
      <c r="AH171" s="39">
        <f>IF(B171="","",IF(AG171="Clash","Clash - stylist double booked",IF(I171="","Assign - no stylist yet",IF(G171="","Add - no service chosen",IF(M171="No show","No show - charge the fee?",IF(M171="Cancelled","",IF(IF(M171="Completed",AB171&lt;Y171-0.004,FALSE),"Unpaid - nothing rung up for this visit",IF(IF(B171&lt;TodayDate,M171="Booked",FALSE),"Overdue - past date, still only Booked",IF(IF(B171=TodayDate,TRUE,FALSE),"Today",IF(IF(Z171&gt;0,AA171&lt;Z171-0.004,FALSE),"Due - deposit not taken",IF(IF(B171&gt;TodayDate,B171&lt;=TodayDate+2,FALSE),"Confirm - coming up","OK")))))))))))</f>
        <v>0</v>
      </c>
    </row>
    <row r="172" spans="1:34">
      <c r="A172" s="28">
        <f>IF(B172="","",AppointmentPrefix&amp;TEXT(ROW()-4,"0000"))</f>
        <v>0</v>
      </c>
      <c r="C172" s="15">
        <f>IF(B172="","",TEXT(B172,"ddd"))</f>
        <v>0</v>
      </c>
      <c r="F172" s="15">
        <f>IF(E172="","",IFERROR(INDEX(Clients!$B$5:$B$504,MATCH(E172,Clients!$A$5:$A$504,0)),"Walk-in"))</f>
        <v>0</v>
      </c>
      <c r="H172" s="15">
        <f>IF(G172="","",IFERROR(INDEX(Services!$B$5:$B$204,MATCH(G172,Services!$A$5:$A$204,0)),"Not in Services"))</f>
        <v>0</v>
      </c>
      <c r="J172" s="15">
        <f>IF(I172="","",IFERROR(INDEX(Staff!$B$5:$B$44,MATCH(I172,Staff!$A$5:$A$44,0)),"Unassigned"))</f>
        <v>0</v>
      </c>
      <c r="S172" s="15">
        <f>IF(B172="","",TEXT(B172,"yyyy-mm"))</f>
        <v>0</v>
      </c>
      <c r="T172" s="25">
        <f>IF(B172="","",WEEKNUM(B172,2))</f>
        <v>0</v>
      </c>
      <c r="U172" s="25">
        <f>IF(B172="","",IF(K172&lt;&gt;"",K172,IFERROR(INDEX(Services!$E$5:$E$204,MATCH(G172,Services!$A$5:$A$204,0))*1,0)+IFERROR(INDEX(Services!$F$5:$F$204,MATCH(G172,Services!$A$5:$A$204,0))*1,0)))</f>
        <v>0</v>
      </c>
      <c r="V172" s="36">
        <f>IF(B172="","",IF(D172="","",D172+U172/1440))</f>
        <v>0</v>
      </c>
      <c r="W172" s="25">
        <f>IF(B172="","",IF(D172="","",HOUR(D172)))</f>
        <v>0</v>
      </c>
      <c r="X172" s="37">
        <f>IF(B172="","",ROUND(U172/60,2))</f>
        <v>0</v>
      </c>
      <c r="Y172" s="26">
        <f>IF(B172="","",IF(L172&lt;&gt;"",L172,IFERROR(INDEX(Services!$G$5:$G$204,MATCH(G172,Services!$A$5:$A$204,0))*1,0)))</f>
        <v>0</v>
      </c>
      <c r="Z172" s="26">
        <f>IF(B172="","",IF(O172&lt;&gt;"",O172,IF(Y172&gt;=DepositThreshold,ROUND(Y172*DepositPercent,2),0)))</f>
        <v>0</v>
      </c>
      <c r="AA172" s="26">
        <f>IF(B172="","",ROUND(SUMIFS(Payments!$G$5:$G$1204,Payments!$I$5:$I$1204,A172,Payments!$E$5:$E$1204,"Deposit"),2))</f>
        <v>0</v>
      </c>
      <c r="AB172" s="26">
        <f>IF(B172="","",ROUND(SUMIFS(Sales!$Y$5:$Y$1204,Sales!$C$5:$C$1204,A172),2))</f>
        <v>0</v>
      </c>
      <c r="AC172" s="38">
        <f>IF(B172="","",IF(M172="Completed","Yes",IF(M172="Cancelled","Yes",IF(M172="No show","Yes","No"))))</f>
        <v>0</v>
      </c>
      <c r="AD172" s="25">
        <f>IF(B172="","",IF(AE172="","",B172-AE172))</f>
        <v>0</v>
      </c>
      <c r="AF172" s="38">
        <f>IF(B172="","",IF(M172&lt;&gt;"Completed","",IF(E172="","No",IF(COUNTIFS(Appointments!$E$5:$E$1204,E172,Appointments!$B$5:$B$1204,"&gt;"&amp;B172,Appointments!$M$5:$M$1204,"&lt;&gt;Cancelled")&gt;0,"Yes","No"))))</f>
        <v>0</v>
      </c>
      <c r="AG172" s="38">
        <f>IF(B172="","",IF(I172="","",IF(D172="","",IF(COUNTIFS($I$5:$I$1204,I172,$B$5:$B$1204,B172,$D$5:$D$1204,"&lt;"&amp;V172,$V$5:$V$1204,"&gt;"&amp;D172,$M$5:$M$1204,"&lt;&gt;Cancelled")&gt;1,"Clash",""))))</f>
        <v>0</v>
      </c>
      <c r="AH172" s="39">
        <f>IF(B172="","",IF(AG172="Clash","Clash - stylist double booked",IF(I172="","Assign - no stylist yet",IF(G172="","Add - no service chosen",IF(M172="No show","No show - charge the fee?",IF(M172="Cancelled","",IF(IF(M172="Completed",AB172&lt;Y172-0.004,FALSE),"Unpaid - nothing rung up for this visit",IF(IF(B172&lt;TodayDate,M172="Booked",FALSE),"Overdue - past date, still only Booked",IF(IF(B172=TodayDate,TRUE,FALSE),"Today",IF(IF(Z172&gt;0,AA172&lt;Z172-0.004,FALSE),"Due - deposit not taken",IF(IF(B172&gt;TodayDate,B172&lt;=TodayDate+2,FALSE),"Confirm - coming up","OK")))))))))))</f>
        <v>0</v>
      </c>
    </row>
    <row r="173" spans="1:34">
      <c r="A173" s="28">
        <f>IF(B173="","",AppointmentPrefix&amp;TEXT(ROW()-4,"0000"))</f>
        <v>0</v>
      </c>
      <c r="C173" s="15">
        <f>IF(B173="","",TEXT(B173,"ddd"))</f>
        <v>0</v>
      </c>
      <c r="F173" s="15">
        <f>IF(E173="","",IFERROR(INDEX(Clients!$B$5:$B$504,MATCH(E173,Clients!$A$5:$A$504,0)),"Walk-in"))</f>
        <v>0</v>
      </c>
      <c r="H173" s="15">
        <f>IF(G173="","",IFERROR(INDEX(Services!$B$5:$B$204,MATCH(G173,Services!$A$5:$A$204,0)),"Not in Services"))</f>
        <v>0</v>
      </c>
      <c r="J173" s="15">
        <f>IF(I173="","",IFERROR(INDEX(Staff!$B$5:$B$44,MATCH(I173,Staff!$A$5:$A$44,0)),"Unassigned"))</f>
        <v>0</v>
      </c>
      <c r="S173" s="15">
        <f>IF(B173="","",TEXT(B173,"yyyy-mm"))</f>
        <v>0</v>
      </c>
      <c r="T173" s="25">
        <f>IF(B173="","",WEEKNUM(B173,2))</f>
        <v>0</v>
      </c>
      <c r="U173" s="25">
        <f>IF(B173="","",IF(K173&lt;&gt;"",K173,IFERROR(INDEX(Services!$E$5:$E$204,MATCH(G173,Services!$A$5:$A$204,0))*1,0)+IFERROR(INDEX(Services!$F$5:$F$204,MATCH(G173,Services!$A$5:$A$204,0))*1,0)))</f>
        <v>0</v>
      </c>
      <c r="V173" s="36">
        <f>IF(B173="","",IF(D173="","",D173+U173/1440))</f>
        <v>0</v>
      </c>
      <c r="W173" s="25">
        <f>IF(B173="","",IF(D173="","",HOUR(D173)))</f>
        <v>0</v>
      </c>
      <c r="X173" s="37">
        <f>IF(B173="","",ROUND(U173/60,2))</f>
        <v>0</v>
      </c>
      <c r="Y173" s="26">
        <f>IF(B173="","",IF(L173&lt;&gt;"",L173,IFERROR(INDEX(Services!$G$5:$G$204,MATCH(G173,Services!$A$5:$A$204,0))*1,0)))</f>
        <v>0</v>
      </c>
      <c r="Z173" s="26">
        <f>IF(B173="","",IF(O173&lt;&gt;"",O173,IF(Y173&gt;=DepositThreshold,ROUND(Y173*DepositPercent,2),0)))</f>
        <v>0</v>
      </c>
      <c r="AA173" s="26">
        <f>IF(B173="","",ROUND(SUMIFS(Payments!$G$5:$G$1204,Payments!$I$5:$I$1204,A173,Payments!$E$5:$E$1204,"Deposit"),2))</f>
        <v>0</v>
      </c>
      <c r="AB173" s="26">
        <f>IF(B173="","",ROUND(SUMIFS(Sales!$Y$5:$Y$1204,Sales!$C$5:$C$1204,A173),2))</f>
        <v>0</v>
      </c>
      <c r="AC173" s="38">
        <f>IF(B173="","",IF(M173="Completed","Yes",IF(M173="Cancelled","Yes",IF(M173="No show","Yes","No"))))</f>
        <v>0</v>
      </c>
      <c r="AD173" s="25">
        <f>IF(B173="","",IF(AE173="","",B173-AE173))</f>
        <v>0</v>
      </c>
      <c r="AF173" s="38">
        <f>IF(B173="","",IF(M173&lt;&gt;"Completed","",IF(E173="","No",IF(COUNTIFS(Appointments!$E$5:$E$1204,E173,Appointments!$B$5:$B$1204,"&gt;"&amp;B173,Appointments!$M$5:$M$1204,"&lt;&gt;Cancelled")&gt;0,"Yes","No"))))</f>
        <v>0</v>
      </c>
      <c r="AG173" s="38">
        <f>IF(B173="","",IF(I173="","",IF(D173="","",IF(COUNTIFS($I$5:$I$1204,I173,$B$5:$B$1204,B173,$D$5:$D$1204,"&lt;"&amp;V173,$V$5:$V$1204,"&gt;"&amp;D173,$M$5:$M$1204,"&lt;&gt;Cancelled")&gt;1,"Clash",""))))</f>
        <v>0</v>
      </c>
      <c r="AH173" s="39">
        <f>IF(B173="","",IF(AG173="Clash","Clash - stylist double booked",IF(I173="","Assign - no stylist yet",IF(G173="","Add - no service chosen",IF(M173="No show","No show - charge the fee?",IF(M173="Cancelled","",IF(IF(M173="Completed",AB173&lt;Y173-0.004,FALSE),"Unpaid - nothing rung up for this visit",IF(IF(B173&lt;TodayDate,M173="Booked",FALSE),"Overdue - past date, still only Booked",IF(IF(B173=TodayDate,TRUE,FALSE),"Today",IF(IF(Z173&gt;0,AA173&lt;Z173-0.004,FALSE),"Due - deposit not taken",IF(IF(B173&gt;TodayDate,B173&lt;=TodayDate+2,FALSE),"Confirm - coming up","OK")))))))))))</f>
        <v>0</v>
      </c>
    </row>
    <row r="174" spans="1:34">
      <c r="A174" s="28">
        <f>IF(B174="","",AppointmentPrefix&amp;TEXT(ROW()-4,"0000"))</f>
        <v>0</v>
      </c>
      <c r="C174" s="15">
        <f>IF(B174="","",TEXT(B174,"ddd"))</f>
        <v>0</v>
      </c>
      <c r="F174" s="15">
        <f>IF(E174="","",IFERROR(INDEX(Clients!$B$5:$B$504,MATCH(E174,Clients!$A$5:$A$504,0)),"Walk-in"))</f>
        <v>0</v>
      </c>
      <c r="H174" s="15">
        <f>IF(G174="","",IFERROR(INDEX(Services!$B$5:$B$204,MATCH(G174,Services!$A$5:$A$204,0)),"Not in Services"))</f>
        <v>0</v>
      </c>
      <c r="J174" s="15">
        <f>IF(I174="","",IFERROR(INDEX(Staff!$B$5:$B$44,MATCH(I174,Staff!$A$5:$A$44,0)),"Unassigned"))</f>
        <v>0</v>
      </c>
      <c r="S174" s="15">
        <f>IF(B174="","",TEXT(B174,"yyyy-mm"))</f>
        <v>0</v>
      </c>
      <c r="T174" s="25">
        <f>IF(B174="","",WEEKNUM(B174,2))</f>
        <v>0</v>
      </c>
      <c r="U174" s="25">
        <f>IF(B174="","",IF(K174&lt;&gt;"",K174,IFERROR(INDEX(Services!$E$5:$E$204,MATCH(G174,Services!$A$5:$A$204,0))*1,0)+IFERROR(INDEX(Services!$F$5:$F$204,MATCH(G174,Services!$A$5:$A$204,0))*1,0)))</f>
        <v>0</v>
      </c>
      <c r="V174" s="36">
        <f>IF(B174="","",IF(D174="","",D174+U174/1440))</f>
        <v>0</v>
      </c>
      <c r="W174" s="25">
        <f>IF(B174="","",IF(D174="","",HOUR(D174)))</f>
        <v>0</v>
      </c>
      <c r="X174" s="37">
        <f>IF(B174="","",ROUND(U174/60,2))</f>
        <v>0</v>
      </c>
      <c r="Y174" s="26">
        <f>IF(B174="","",IF(L174&lt;&gt;"",L174,IFERROR(INDEX(Services!$G$5:$G$204,MATCH(G174,Services!$A$5:$A$204,0))*1,0)))</f>
        <v>0</v>
      </c>
      <c r="Z174" s="26">
        <f>IF(B174="","",IF(O174&lt;&gt;"",O174,IF(Y174&gt;=DepositThreshold,ROUND(Y174*DepositPercent,2),0)))</f>
        <v>0</v>
      </c>
      <c r="AA174" s="26">
        <f>IF(B174="","",ROUND(SUMIFS(Payments!$G$5:$G$1204,Payments!$I$5:$I$1204,A174,Payments!$E$5:$E$1204,"Deposit"),2))</f>
        <v>0</v>
      </c>
      <c r="AB174" s="26">
        <f>IF(B174="","",ROUND(SUMIFS(Sales!$Y$5:$Y$1204,Sales!$C$5:$C$1204,A174),2))</f>
        <v>0</v>
      </c>
      <c r="AC174" s="38">
        <f>IF(B174="","",IF(M174="Completed","Yes",IF(M174="Cancelled","Yes",IF(M174="No show","Yes","No"))))</f>
        <v>0</v>
      </c>
      <c r="AD174" s="25">
        <f>IF(B174="","",IF(AE174="","",B174-AE174))</f>
        <v>0</v>
      </c>
      <c r="AF174" s="38">
        <f>IF(B174="","",IF(M174&lt;&gt;"Completed","",IF(E174="","No",IF(COUNTIFS(Appointments!$E$5:$E$1204,E174,Appointments!$B$5:$B$1204,"&gt;"&amp;B174,Appointments!$M$5:$M$1204,"&lt;&gt;Cancelled")&gt;0,"Yes","No"))))</f>
        <v>0</v>
      </c>
      <c r="AG174" s="38">
        <f>IF(B174="","",IF(I174="","",IF(D174="","",IF(COUNTIFS($I$5:$I$1204,I174,$B$5:$B$1204,B174,$D$5:$D$1204,"&lt;"&amp;V174,$V$5:$V$1204,"&gt;"&amp;D174,$M$5:$M$1204,"&lt;&gt;Cancelled")&gt;1,"Clash",""))))</f>
        <v>0</v>
      </c>
      <c r="AH174" s="39">
        <f>IF(B174="","",IF(AG174="Clash","Clash - stylist double booked",IF(I174="","Assign - no stylist yet",IF(G174="","Add - no service chosen",IF(M174="No show","No show - charge the fee?",IF(M174="Cancelled","",IF(IF(M174="Completed",AB174&lt;Y174-0.004,FALSE),"Unpaid - nothing rung up for this visit",IF(IF(B174&lt;TodayDate,M174="Booked",FALSE),"Overdue - past date, still only Booked",IF(IF(B174=TodayDate,TRUE,FALSE),"Today",IF(IF(Z174&gt;0,AA174&lt;Z174-0.004,FALSE),"Due - deposit not taken",IF(IF(B174&gt;TodayDate,B174&lt;=TodayDate+2,FALSE),"Confirm - coming up","OK")))))))))))</f>
        <v>0</v>
      </c>
    </row>
    <row r="175" spans="1:34">
      <c r="A175" s="28">
        <f>IF(B175="","",AppointmentPrefix&amp;TEXT(ROW()-4,"0000"))</f>
        <v>0</v>
      </c>
      <c r="C175" s="15">
        <f>IF(B175="","",TEXT(B175,"ddd"))</f>
        <v>0</v>
      </c>
      <c r="F175" s="15">
        <f>IF(E175="","",IFERROR(INDEX(Clients!$B$5:$B$504,MATCH(E175,Clients!$A$5:$A$504,0)),"Walk-in"))</f>
        <v>0</v>
      </c>
      <c r="H175" s="15">
        <f>IF(G175="","",IFERROR(INDEX(Services!$B$5:$B$204,MATCH(G175,Services!$A$5:$A$204,0)),"Not in Services"))</f>
        <v>0</v>
      </c>
      <c r="J175" s="15">
        <f>IF(I175="","",IFERROR(INDEX(Staff!$B$5:$B$44,MATCH(I175,Staff!$A$5:$A$44,0)),"Unassigned"))</f>
        <v>0</v>
      </c>
      <c r="S175" s="15">
        <f>IF(B175="","",TEXT(B175,"yyyy-mm"))</f>
        <v>0</v>
      </c>
      <c r="T175" s="25">
        <f>IF(B175="","",WEEKNUM(B175,2))</f>
        <v>0</v>
      </c>
      <c r="U175" s="25">
        <f>IF(B175="","",IF(K175&lt;&gt;"",K175,IFERROR(INDEX(Services!$E$5:$E$204,MATCH(G175,Services!$A$5:$A$204,0))*1,0)+IFERROR(INDEX(Services!$F$5:$F$204,MATCH(G175,Services!$A$5:$A$204,0))*1,0)))</f>
        <v>0</v>
      </c>
      <c r="V175" s="36">
        <f>IF(B175="","",IF(D175="","",D175+U175/1440))</f>
        <v>0</v>
      </c>
      <c r="W175" s="25">
        <f>IF(B175="","",IF(D175="","",HOUR(D175)))</f>
        <v>0</v>
      </c>
      <c r="X175" s="37">
        <f>IF(B175="","",ROUND(U175/60,2))</f>
        <v>0</v>
      </c>
      <c r="Y175" s="26">
        <f>IF(B175="","",IF(L175&lt;&gt;"",L175,IFERROR(INDEX(Services!$G$5:$G$204,MATCH(G175,Services!$A$5:$A$204,0))*1,0)))</f>
        <v>0</v>
      </c>
      <c r="Z175" s="26">
        <f>IF(B175="","",IF(O175&lt;&gt;"",O175,IF(Y175&gt;=DepositThreshold,ROUND(Y175*DepositPercent,2),0)))</f>
        <v>0</v>
      </c>
      <c r="AA175" s="26">
        <f>IF(B175="","",ROUND(SUMIFS(Payments!$G$5:$G$1204,Payments!$I$5:$I$1204,A175,Payments!$E$5:$E$1204,"Deposit"),2))</f>
        <v>0</v>
      </c>
      <c r="AB175" s="26">
        <f>IF(B175="","",ROUND(SUMIFS(Sales!$Y$5:$Y$1204,Sales!$C$5:$C$1204,A175),2))</f>
        <v>0</v>
      </c>
      <c r="AC175" s="38">
        <f>IF(B175="","",IF(M175="Completed","Yes",IF(M175="Cancelled","Yes",IF(M175="No show","Yes","No"))))</f>
        <v>0</v>
      </c>
      <c r="AD175" s="25">
        <f>IF(B175="","",IF(AE175="","",B175-AE175))</f>
        <v>0</v>
      </c>
      <c r="AF175" s="38">
        <f>IF(B175="","",IF(M175&lt;&gt;"Completed","",IF(E175="","No",IF(COUNTIFS(Appointments!$E$5:$E$1204,E175,Appointments!$B$5:$B$1204,"&gt;"&amp;B175,Appointments!$M$5:$M$1204,"&lt;&gt;Cancelled")&gt;0,"Yes","No"))))</f>
        <v>0</v>
      </c>
      <c r="AG175" s="38">
        <f>IF(B175="","",IF(I175="","",IF(D175="","",IF(COUNTIFS($I$5:$I$1204,I175,$B$5:$B$1204,B175,$D$5:$D$1204,"&lt;"&amp;V175,$V$5:$V$1204,"&gt;"&amp;D175,$M$5:$M$1204,"&lt;&gt;Cancelled")&gt;1,"Clash",""))))</f>
        <v>0</v>
      </c>
      <c r="AH175" s="39">
        <f>IF(B175="","",IF(AG175="Clash","Clash - stylist double booked",IF(I175="","Assign - no stylist yet",IF(G175="","Add - no service chosen",IF(M175="No show","No show - charge the fee?",IF(M175="Cancelled","",IF(IF(M175="Completed",AB175&lt;Y175-0.004,FALSE),"Unpaid - nothing rung up for this visit",IF(IF(B175&lt;TodayDate,M175="Booked",FALSE),"Overdue - past date, still only Booked",IF(IF(B175=TodayDate,TRUE,FALSE),"Today",IF(IF(Z175&gt;0,AA175&lt;Z175-0.004,FALSE),"Due - deposit not taken",IF(IF(B175&gt;TodayDate,B175&lt;=TodayDate+2,FALSE),"Confirm - coming up","OK")))))))))))</f>
        <v>0</v>
      </c>
    </row>
    <row r="176" spans="1:34">
      <c r="A176" s="28">
        <f>IF(B176="","",AppointmentPrefix&amp;TEXT(ROW()-4,"0000"))</f>
        <v>0</v>
      </c>
      <c r="C176" s="15">
        <f>IF(B176="","",TEXT(B176,"ddd"))</f>
        <v>0</v>
      </c>
      <c r="F176" s="15">
        <f>IF(E176="","",IFERROR(INDEX(Clients!$B$5:$B$504,MATCH(E176,Clients!$A$5:$A$504,0)),"Walk-in"))</f>
        <v>0</v>
      </c>
      <c r="H176" s="15">
        <f>IF(G176="","",IFERROR(INDEX(Services!$B$5:$B$204,MATCH(G176,Services!$A$5:$A$204,0)),"Not in Services"))</f>
        <v>0</v>
      </c>
      <c r="J176" s="15">
        <f>IF(I176="","",IFERROR(INDEX(Staff!$B$5:$B$44,MATCH(I176,Staff!$A$5:$A$44,0)),"Unassigned"))</f>
        <v>0</v>
      </c>
      <c r="S176" s="15">
        <f>IF(B176="","",TEXT(B176,"yyyy-mm"))</f>
        <v>0</v>
      </c>
      <c r="T176" s="25">
        <f>IF(B176="","",WEEKNUM(B176,2))</f>
        <v>0</v>
      </c>
      <c r="U176" s="25">
        <f>IF(B176="","",IF(K176&lt;&gt;"",K176,IFERROR(INDEX(Services!$E$5:$E$204,MATCH(G176,Services!$A$5:$A$204,0))*1,0)+IFERROR(INDEX(Services!$F$5:$F$204,MATCH(G176,Services!$A$5:$A$204,0))*1,0)))</f>
        <v>0</v>
      </c>
      <c r="V176" s="36">
        <f>IF(B176="","",IF(D176="","",D176+U176/1440))</f>
        <v>0</v>
      </c>
      <c r="W176" s="25">
        <f>IF(B176="","",IF(D176="","",HOUR(D176)))</f>
        <v>0</v>
      </c>
      <c r="X176" s="37">
        <f>IF(B176="","",ROUND(U176/60,2))</f>
        <v>0</v>
      </c>
      <c r="Y176" s="26">
        <f>IF(B176="","",IF(L176&lt;&gt;"",L176,IFERROR(INDEX(Services!$G$5:$G$204,MATCH(G176,Services!$A$5:$A$204,0))*1,0)))</f>
        <v>0</v>
      </c>
      <c r="Z176" s="26">
        <f>IF(B176="","",IF(O176&lt;&gt;"",O176,IF(Y176&gt;=DepositThreshold,ROUND(Y176*DepositPercent,2),0)))</f>
        <v>0</v>
      </c>
      <c r="AA176" s="26">
        <f>IF(B176="","",ROUND(SUMIFS(Payments!$G$5:$G$1204,Payments!$I$5:$I$1204,A176,Payments!$E$5:$E$1204,"Deposit"),2))</f>
        <v>0</v>
      </c>
      <c r="AB176" s="26">
        <f>IF(B176="","",ROUND(SUMIFS(Sales!$Y$5:$Y$1204,Sales!$C$5:$C$1204,A176),2))</f>
        <v>0</v>
      </c>
      <c r="AC176" s="38">
        <f>IF(B176="","",IF(M176="Completed","Yes",IF(M176="Cancelled","Yes",IF(M176="No show","Yes","No"))))</f>
        <v>0</v>
      </c>
      <c r="AD176" s="25">
        <f>IF(B176="","",IF(AE176="","",B176-AE176))</f>
        <v>0</v>
      </c>
      <c r="AF176" s="38">
        <f>IF(B176="","",IF(M176&lt;&gt;"Completed","",IF(E176="","No",IF(COUNTIFS(Appointments!$E$5:$E$1204,E176,Appointments!$B$5:$B$1204,"&gt;"&amp;B176,Appointments!$M$5:$M$1204,"&lt;&gt;Cancelled")&gt;0,"Yes","No"))))</f>
        <v>0</v>
      </c>
      <c r="AG176" s="38">
        <f>IF(B176="","",IF(I176="","",IF(D176="","",IF(COUNTIFS($I$5:$I$1204,I176,$B$5:$B$1204,B176,$D$5:$D$1204,"&lt;"&amp;V176,$V$5:$V$1204,"&gt;"&amp;D176,$M$5:$M$1204,"&lt;&gt;Cancelled")&gt;1,"Clash",""))))</f>
        <v>0</v>
      </c>
      <c r="AH176" s="39">
        <f>IF(B176="","",IF(AG176="Clash","Clash - stylist double booked",IF(I176="","Assign - no stylist yet",IF(G176="","Add - no service chosen",IF(M176="No show","No show - charge the fee?",IF(M176="Cancelled","",IF(IF(M176="Completed",AB176&lt;Y176-0.004,FALSE),"Unpaid - nothing rung up for this visit",IF(IF(B176&lt;TodayDate,M176="Booked",FALSE),"Overdue - past date, still only Booked",IF(IF(B176=TodayDate,TRUE,FALSE),"Today",IF(IF(Z176&gt;0,AA176&lt;Z176-0.004,FALSE),"Due - deposit not taken",IF(IF(B176&gt;TodayDate,B176&lt;=TodayDate+2,FALSE),"Confirm - coming up","OK")))))))))))</f>
        <v>0</v>
      </c>
    </row>
    <row r="177" spans="1:34">
      <c r="A177" s="28">
        <f>IF(B177="","",AppointmentPrefix&amp;TEXT(ROW()-4,"0000"))</f>
        <v>0</v>
      </c>
      <c r="C177" s="15">
        <f>IF(B177="","",TEXT(B177,"ddd"))</f>
        <v>0</v>
      </c>
      <c r="F177" s="15">
        <f>IF(E177="","",IFERROR(INDEX(Clients!$B$5:$B$504,MATCH(E177,Clients!$A$5:$A$504,0)),"Walk-in"))</f>
        <v>0</v>
      </c>
      <c r="H177" s="15">
        <f>IF(G177="","",IFERROR(INDEX(Services!$B$5:$B$204,MATCH(G177,Services!$A$5:$A$204,0)),"Not in Services"))</f>
        <v>0</v>
      </c>
      <c r="J177" s="15">
        <f>IF(I177="","",IFERROR(INDEX(Staff!$B$5:$B$44,MATCH(I177,Staff!$A$5:$A$44,0)),"Unassigned"))</f>
        <v>0</v>
      </c>
      <c r="S177" s="15">
        <f>IF(B177="","",TEXT(B177,"yyyy-mm"))</f>
        <v>0</v>
      </c>
      <c r="T177" s="25">
        <f>IF(B177="","",WEEKNUM(B177,2))</f>
        <v>0</v>
      </c>
      <c r="U177" s="25">
        <f>IF(B177="","",IF(K177&lt;&gt;"",K177,IFERROR(INDEX(Services!$E$5:$E$204,MATCH(G177,Services!$A$5:$A$204,0))*1,0)+IFERROR(INDEX(Services!$F$5:$F$204,MATCH(G177,Services!$A$5:$A$204,0))*1,0)))</f>
        <v>0</v>
      </c>
      <c r="V177" s="36">
        <f>IF(B177="","",IF(D177="","",D177+U177/1440))</f>
        <v>0</v>
      </c>
      <c r="W177" s="25">
        <f>IF(B177="","",IF(D177="","",HOUR(D177)))</f>
        <v>0</v>
      </c>
      <c r="X177" s="37">
        <f>IF(B177="","",ROUND(U177/60,2))</f>
        <v>0</v>
      </c>
      <c r="Y177" s="26">
        <f>IF(B177="","",IF(L177&lt;&gt;"",L177,IFERROR(INDEX(Services!$G$5:$G$204,MATCH(G177,Services!$A$5:$A$204,0))*1,0)))</f>
        <v>0</v>
      </c>
      <c r="Z177" s="26">
        <f>IF(B177="","",IF(O177&lt;&gt;"",O177,IF(Y177&gt;=DepositThreshold,ROUND(Y177*DepositPercent,2),0)))</f>
        <v>0</v>
      </c>
      <c r="AA177" s="26">
        <f>IF(B177="","",ROUND(SUMIFS(Payments!$G$5:$G$1204,Payments!$I$5:$I$1204,A177,Payments!$E$5:$E$1204,"Deposit"),2))</f>
        <v>0</v>
      </c>
      <c r="AB177" s="26">
        <f>IF(B177="","",ROUND(SUMIFS(Sales!$Y$5:$Y$1204,Sales!$C$5:$C$1204,A177),2))</f>
        <v>0</v>
      </c>
      <c r="AC177" s="38">
        <f>IF(B177="","",IF(M177="Completed","Yes",IF(M177="Cancelled","Yes",IF(M177="No show","Yes","No"))))</f>
        <v>0</v>
      </c>
      <c r="AD177" s="25">
        <f>IF(B177="","",IF(AE177="","",B177-AE177))</f>
        <v>0</v>
      </c>
      <c r="AF177" s="38">
        <f>IF(B177="","",IF(M177&lt;&gt;"Completed","",IF(E177="","No",IF(COUNTIFS(Appointments!$E$5:$E$1204,E177,Appointments!$B$5:$B$1204,"&gt;"&amp;B177,Appointments!$M$5:$M$1204,"&lt;&gt;Cancelled")&gt;0,"Yes","No"))))</f>
        <v>0</v>
      </c>
      <c r="AG177" s="38">
        <f>IF(B177="","",IF(I177="","",IF(D177="","",IF(COUNTIFS($I$5:$I$1204,I177,$B$5:$B$1204,B177,$D$5:$D$1204,"&lt;"&amp;V177,$V$5:$V$1204,"&gt;"&amp;D177,$M$5:$M$1204,"&lt;&gt;Cancelled")&gt;1,"Clash",""))))</f>
        <v>0</v>
      </c>
      <c r="AH177" s="39">
        <f>IF(B177="","",IF(AG177="Clash","Clash - stylist double booked",IF(I177="","Assign - no stylist yet",IF(G177="","Add - no service chosen",IF(M177="No show","No show - charge the fee?",IF(M177="Cancelled","",IF(IF(M177="Completed",AB177&lt;Y177-0.004,FALSE),"Unpaid - nothing rung up for this visit",IF(IF(B177&lt;TodayDate,M177="Booked",FALSE),"Overdue - past date, still only Booked",IF(IF(B177=TodayDate,TRUE,FALSE),"Today",IF(IF(Z177&gt;0,AA177&lt;Z177-0.004,FALSE),"Due - deposit not taken",IF(IF(B177&gt;TodayDate,B177&lt;=TodayDate+2,FALSE),"Confirm - coming up","OK")))))))))))</f>
        <v>0</v>
      </c>
    </row>
    <row r="178" spans="1:34">
      <c r="A178" s="28">
        <f>IF(B178="","",AppointmentPrefix&amp;TEXT(ROW()-4,"0000"))</f>
        <v>0</v>
      </c>
      <c r="C178" s="15">
        <f>IF(B178="","",TEXT(B178,"ddd"))</f>
        <v>0</v>
      </c>
      <c r="F178" s="15">
        <f>IF(E178="","",IFERROR(INDEX(Clients!$B$5:$B$504,MATCH(E178,Clients!$A$5:$A$504,0)),"Walk-in"))</f>
        <v>0</v>
      </c>
      <c r="H178" s="15">
        <f>IF(G178="","",IFERROR(INDEX(Services!$B$5:$B$204,MATCH(G178,Services!$A$5:$A$204,0)),"Not in Services"))</f>
        <v>0</v>
      </c>
      <c r="J178" s="15">
        <f>IF(I178="","",IFERROR(INDEX(Staff!$B$5:$B$44,MATCH(I178,Staff!$A$5:$A$44,0)),"Unassigned"))</f>
        <v>0</v>
      </c>
      <c r="S178" s="15">
        <f>IF(B178="","",TEXT(B178,"yyyy-mm"))</f>
        <v>0</v>
      </c>
      <c r="T178" s="25">
        <f>IF(B178="","",WEEKNUM(B178,2))</f>
        <v>0</v>
      </c>
      <c r="U178" s="25">
        <f>IF(B178="","",IF(K178&lt;&gt;"",K178,IFERROR(INDEX(Services!$E$5:$E$204,MATCH(G178,Services!$A$5:$A$204,0))*1,0)+IFERROR(INDEX(Services!$F$5:$F$204,MATCH(G178,Services!$A$5:$A$204,0))*1,0)))</f>
        <v>0</v>
      </c>
      <c r="V178" s="36">
        <f>IF(B178="","",IF(D178="","",D178+U178/1440))</f>
        <v>0</v>
      </c>
      <c r="W178" s="25">
        <f>IF(B178="","",IF(D178="","",HOUR(D178)))</f>
        <v>0</v>
      </c>
      <c r="X178" s="37">
        <f>IF(B178="","",ROUND(U178/60,2))</f>
        <v>0</v>
      </c>
      <c r="Y178" s="26">
        <f>IF(B178="","",IF(L178&lt;&gt;"",L178,IFERROR(INDEX(Services!$G$5:$G$204,MATCH(G178,Services!$A$5:$A$204,0))*1,0)))</f>
        <v>0</v>
      </c>
      <c r="Z178" s="26">
        <f>IF(B178="","",IF(O178&lt;&gt;"",O178,IF(Y178&gt;=DepositThreshold,ROUND(Y178*DepositPercent,2),0)))</f>
        <v>0</v>
      </c>
      <c r="AA178" s="26">
        <f>IF(B178="","",ROUND(SUMIFS(Payments!$G$5:$G$1204,Payments!$I$5:$I$1204,A178,Payments!$E$5:$E$1204,"Deposit"),2))</f>
        <v>0</v>
      </c>
      <c r="AB178" s="26">
        <f>IF(B178="","",ROUND(SUMIFS(Sales!$Y$5:$Y$1204,Sales!$C$5:$C$1204,A178),2))</f>
        <v>0</v>
      </c>
      <c r="AC178" s="38">
        <f>IF(B178="","",IF(M178="Completed","Yes",IF(M178="Cancelled","Yes",IF(M178="No show","Yes","No"))))</f>
        <v>0</v>
      </c>
      <c r="AD178" s="25">
        <f>IF(B178="","",IF(AE178="","",B178-AE178))</f>
        <v>0</v>
      </c>
      <c r="AF178" s="38">
        <f>IF(B178="","",IF(M178&lt;&gt;"Completed","",IF(E178="","No",IF(COUNTIFS(Appointments!$E$5:$E$1204,E178,Appointments!$B$5:$B$1204,"&gt;"&amp;B178,Appointments!$M$5:$M$1204,"&lt;&gt;Cancelled")&gt;0,"Yes","No"))))</f>
        <v>0</v>
      </c>
      <c r="AG178" s="38">
        <f>IF(B178="","",IF(I178="","",IF(D178="","",IF(COUNTIFS($I$5:$I$1204,I178,$B$5:$B$1204,B178,$D$5:$D$1204,"&lt;"&amp;V178,$V$5:$V$1204,"&gt;"&amp;D178,$M$5:$M$1204,"&lt;&gt;Cancelled")&gt;1,"Clash",""))))</f>
        <v>0</v>
      </c>
      <c r="AH178" s="39">
        <f>IF(B178="","",IF(AG178="Clash","Clash - stylist double booked",IF(I178="","Assign - no stylist yet",IF(G178="","Add - no service chosen",IF(M178="No show","No show - charge the fee?",IF(M178="Cancelled","",IF(IF(M178="Completed",AB178&lt;Y178-0.004,FALSE),"Unpaid - nothing rung up for this visit",IF(IF(B178&lt;TodayDate,M178="Booked",FALSE),"Overdue - past date, still only Booked",IF(IF(B178=TodayDate,TRUE,FALSE),"Today",IF(IF(Z178&gt;0,AA178&lt;Z178-0.004,FALSE),"Due - deposit not taken",IF(IF(B178&gt;TodayDate,B178&lt;=TodayDate+2,FALSE),"Confirm - coming up","OK")))))))))))</f>
        <v>0</v>
      </c>
    </row>
    <row r="179" spans="1:34">
      <c r="A179" s="28">
        <f>IF(B179="","",AppointmentPrefix&amp;TEXT(ROW()-4,"0000"))</f>
        <v>0</v>
      </c>
      <c r="C179" s="15">
        <f>IF(B179="","",TEXT(B179,"ddd"))</f>
        <v>0</v>
      </c>
      <c r="F179" s="15">
        <f>IF(E179="","",IFERROR(INDEX(Clients!$B$5:$B$504,MATCH(E179,Clients!$A$5:$A$504,0)),"Walk-in"))</f>
        <v>0</v>
      </c>
      <c r="H179" s="15">
        <f>IF(G179="","",IFERROR(INDEX(Services!$B$5:$B$204,MATCH(G179,Services!$A$5:$A$204,0)),"Not in Services"))</f>
        <v>0</v>
      </c>
      <c r="J179" s="15">
        <f>IF(I179="","",IFERROR(INDEX(Staff!$B$5:$B$44,MATCH(I179,Staff!$A$5:$A$44,0)),"Unassigned"))</f>
        <v>0</v>
      </c>
      <c r="S179" s="15">
        <f>IF(B179="","",TEXT(B179,"yyyy-mm"))</f>
        <v>0</v>
      </c>
      <c r="T179" s="25">
        <f>IF(B179="","",WEEKNUM(B179,2))</f>
        <v>0</v>
      </c>
      <c r="U179" s="25">
        <f>IF(B179="","",IF(K179&lt;&gt;"",K179,IFERROR(INDEX(Services!$E$5:$E$204,MATCH(G179,Services!$A$5:$A$204,0))*1,0)+IFERROR(INDEX(Services!$F$5:$F$204,MATCH(G179,Services!$A$5:$A$204,0))*1,0)))</f>
        <v>0</v>
      </c>
      <c r="V179" s="36">
        <f>IF(B179="","",IF(D179="","",D179+U179/1440))</f>
        <v>0</v>
      </c>
      <c r="W179" s="25">
        <f>IF(B179="","",IF(D179="","",HOUR(D179)))</f>
        <v>0</v>
      </c>
      <c r="X179" s="37">
        <f>IF(B179="","",ROUND(U179/60,2))</f>
        <v>0</v>
      </c>
      <c r="Y179" s="26">
        <f>IF(B179="","",IF(L179&lt;&gt;"",L179,IFERROR(INDEX(Services!$G$5:$G$204,MATCH(G179,Services!$A$5:$A$204,0))*1,0)))</f>
        <v>0</v>
      </c>
      <c r="Z179" s="26">
        <f>IF(B179="","",IF(O179&lt;&gt;"",O179,IF(Y179&gt;=DepositThreshold,ROUND(Y179*DepositPercent,2),0)))</f>
        <v>0</v>
      </c>
      <c r="AA179" s="26">
        <f>IF(B179="","",ROUND(SUMIFS(Payments!$G$5:$G$1204,Payments!$I$5:$I$1204,A179,Payments!$E$5:$E$1204,"Deposit"),2))</f>
        <v>0</v>
      </c>
      <c r="AB179" s="26">
        <f>IF(B179="","",ROUND(SUMIFS(Sales!$Y$5:$Y$1204,Sales!$C$5:$C$1204,A179),2))</f>
        <v>0</v>
      </c>
      <c r="AC179" s="38">
        <f>IF(B179="","",IF(M179="Completed","Yes",IF(M179="Cancelled","Yes",IF(M179="No show","Yes","No"))))</f>
        <v>0</v>
      </c>
      <c r="AD179" s="25">
        <f>IF(B179="","",IF(AE179="","",B179-AE179))</f>
        <v>0</v>
      </c>
      <c r="AF179" s="38">
        <f>IF(B179="","",IF(M179&lt;&gt;"Completed","",IF(E179="","No",IF(COUNTIFS(Appointments!$E$5:$E$1204,E179,Appointments!$B$5:$B$1204,"&gt;"&amp;B179,Appointments!$M$5:$M$1204,"&lt;&gt;Cancelled")&gt;0,"Yes","No"))))</f>
        <v>0</v>
      </c>
      <c r="AG179" s="38">
        <f>IF(B179="","",IF(I179="","",IF(D179="","",IF(COUNTIFS($I$5:$I$1204,I179,$B$5:$B$1204,B179,$D$5:$D$1204,"&lt;"&amp;V179,$V$5:$V$1204,"&gt;"&amp;D179,$M$5:$M$1204,"&lt;&gt;Cancelled")&gt;1,"Clash",""))))</f>
        <v>0</v>
      </c>
      <c r="AH179" s="39">
        <f>IF(B179="","",IF(AG179="Clash","Clash - stylist double booked",IF(I179="","Assign - no stylist yet",IF(G179="","Add - no service chosen",IF(M179="No show","No show - charge the fee?",IF(M179="Cancelled","",IF(IF(M179="Completed",AB179&lt;Y179-0.004,FALSE),"Unpaid - nothing rung up for this visit",IF(IF(B179&lt;TodayDate,M179="Booked",FALSE),"Overdue - past date, still only Booked",IF(IF(B179=TodayDate,TRUE,FALSE),"Today",IF(IF(Z179&gt;0,AA179&lt;Z179-0.004,FALSE),"Due - deposit not taken",IF(IF(B179&gt;TodayDate,B179&lt;=TodayDate+2,FALSE),"Confirm - coming up","OK")))))))))))</f>
        <v>0</v>
      </c>
    </row>
    <row r="180" spans="1:34">
      <c r="A180" s="28">
        <f>IF(B180="","",AppointmentPrefix&amp;TEXT(ROW()-4,"0000"))</f>
        <v>0</v>
      </c>
      <c r="C180" s="15">
        <f>IF(B180="","",TEXT(B180,"ddd"))</f>
        <v>0</v>
      </c>
      <c r="F180" s="15">
        <f>IF(E180="","",IFERROR(INDEX(Clients!$B$5:$B$504,MATCH(E180,Clients!$A$5:$A$504,0)),"Walk-in"))</f>
        <v>0</v>
      </c>
      <c r="H180" s="15">
        <f>IF(G180="","",IFERROR(INDEX(Services!$B$5:$B$204,MATCH(G180,Services!$A$5:$A$204,0)),"Not in Services"))</f>
        <v>0</v>
      </c>
      <c r="J180" s="15">
        <f>IF(I180="","",IFERROR(INDEX(Staff!$B$5:$B$44,MATCH(I180,Staff!$A$5:$A$44,0)),"Unassigned"))</f>
        <v>0</v>
      </c>
      <c r="S180" s="15">
        <f>IF(B180="","",TEXT(B180,"yyyy-mm"))</f>
        <v>0</v>
      </c>
      <c r="T180" s="25">
        <f>IF(B180="","",WEEKNUM(B180,2))</f>
        <v>0</v>
      </c>
      <c r="U180" s="25">
        <f>IF(B180="","",IF(K180&lt;&gt;"",K180,IFERROR(INDEX(Services!$E$5:$E$204,MATCH(G180,Services!$A$5:$A$204,0))*1,0)+IFERROR(INDEX(Services!$F$5:$F$204,MATCH(G180,Services!$A$5:$A$204,0))*1,0)))</f>
        <v>0</v>
      </c>
      <c r="V180" s="36">
        <f>IF(B180="","",IF(D180="","",D180+U180/1440))</f>
        <v>0</v>
      </c>
      <c r="W180" s="25">
        <f>IF(B180="","",IF(D180="","",HOUR(D180)))</f>
        <v>0</v>
      </c>
      <c r="X180" s="37">
        <f>IF(B180="","",ROUND(U180/60,2))</f>
        <v>0</v>
      </c>
      <c r="Y180" s="26">
        <f>IF(B180="","",IF(L180&lt;&gt;"",L180,IFERROR(INDEX(Services!$G$5:$G$204,MATCH(G180,Services!$A$5:$A$204,0))*1,0)))</f>
        <v>0</v>
      </c>
      <c r="Z180" s="26">
        <f>IF(B180="","",IF(O180&lt;&gt;"",O180,IF(Y180&gt;=DepositThreshold,ROUND(Y180*DepositPercent,2),0)))</f>
        <v>0</v>
      </c>
      <c r="AA180" s="26">
        <f>IF(B180="","",ROUND(SUMIFS(Payments!$G$5:$G$1204,Payments!$I$5:$I$1204,A180,Payments!$E$5:$E$1204,"Deposit"),2))</f>
        <v>0</v>
      </c>
      <c r="AB180" s="26">
        <f>IF(B180="","",ROUND(SUMIFS(Sales!$Y$5:$Y$1204,Sales!$C$5:$C$1204,A180),2))</f>
        <v>0</v>
      </c>
      <c r="AC180" s="38">
        <f>IF(B180="","",IF(M180="Completed","Yes",IF(M180="Cancelled","Yes",IF(M180="No show","Yes","No"))))</f>
        <v>0</v>
      </c>
      <c r="AD180" s="25">
        <f>IF(B180="","",IF(AE180="","",B180-AE180))</f>
        <v>0</v>
      </c>
      <c r="AF180" s="38">
        <f>IF(B180="","",IF(M180&lt;&gt;"Completed","",IF(E180="","No",IF(COUNTIFS(Appointments!$E$5:$E$1204,E180,Appointments!$B$5:$B$1204,"&gt;"&amp;B180,Appointments!$M$5:$M$1204,"&lt;&gt;Cancelled")&gt;0,"Yes","No"))))</f>
        <v>0</v>
      </c>
      <c r="AG180" s="38">
        <f>IF(B180="","",IF(I180="","",IF(D180="","",IF(COUNTIFS($I$5:$I$1204,I180,$B$5:$B$1204,B180,$D$5:$D$1204,"&lt;"&amp;V180,$V$5:$V$1204,"&gt;"&amp;D180,$M$5:$M$1204,"&lt;&gt;Cancelled")&gt;1,"Clash",""))))</f>
        <v>0</v>
      </c>
      <c r="AH180" s="39">
        <f>IF(B180="","",IF(AG180="Clash","Clash - stylist double booked",IF(I180="","Assign - no stylist yet",IF(G180="","Add - no service chosen",IF(M180="No show","No show - charge the fee?",IF(M180="Cancelled","",IF(IF(M180="Completed",AB180&lt;Y180-0.004,FALSE),"Unpaid - nothing rung up for this visit",IF(IF(B180&lt;TodayDate,M180="Booked",FALSE),"Overdue - past date, still only Booked",IF(IF(B180=TodayDate,TRUE,FALSE),"Today",IF(IF(Z180&gt;0,AA180&lt;Z180-0.004,FALSE),"Due - deposit not taken",IF(IF(B180&gt;TodayDate,B180&lt;=TodayDate+2,FALSE),"Confirm - coming up","OK")))))))))))</f>
        <v>0</v>
      </c>
    </row>
    <row r="181" spans="1:34">
      <c r="A181" s="28">
        <f>IF(B181="","",AppointmentPrefix&amp;TEXT(ROW()-4,"0000"))</f>
        <v>0</v>
      </c>
      <c r="C181" s="15">
        <f>IF(B181="","",TEXT(B181,"ddd"))</f>
        <v>0</v>
      </c>
      <c r="F181" s="15">
        <f>IF(E181="","",IFERROR(INDEX(Clients!$B$5:$B$504,MATCH(E181,Clients!$A$5:$A$504,0)),"Walk-in"))</f>
        <v>0</v>
      </c>
      <c r="H181" s="15">
        <f>IF(G181="","",IFERROR(INDEX(Services!$B$5:$B$204,MATCH(G181,Services!$A$5:$A$204,0)),"Not in Services"))</f>
        <v>0</v>
      </c>
      <c r="J181" s="15">
        <f>IF(I181="","",IFERROR(INDEX(Staff!$B$5:$B$44,MATCH(I181,Staff!$A$5:$A$44,0)),"Unassigned"))</f>
        <v>0</v>
      </c>
      <c r="S181" s="15">
        <f>IF(B181="","",TEXT(B181,"yyyy-mm"))</f>
        <v>0</v>
      </c>
      <c r="T181" s="25">
        <f>IF(B181="","",WEEKNUM(B181,2))</f>
        <v>0</v>
      </c>
      <c r="U181" s="25">
        <f>IF(B181="","",IF(K181&lt;&gt;"",K181,IFERROR(INDEX(Services!$E$5:$E$204,MATCH(G181,Services!$A$5:$A$204,0))*1,0)+IFERROR(INDEX(Services!$F$5:$F$204,MATCH(G181,Services!$A$5:$A$204,0))*1,0)))</f>
        <v>0</v>
      </c>
      <c r="V181" s="36">
        <f>IF(B181="","",IF(D181="","",D181+U181/1440))</f>
        <v>0</v>
      </c>
      <c r="W181" s="25">
        <f>IF(B181="","",IF(D181="","",HOUR(D181)))</f>
        <v>0</v>
      </c>
      <c r="X181" s="37">
        <f>IF(B181="","",ROUND(U181/60,2))</f>
        <v>0</v>
      </c>
      <c r="Y181" s="26">
        <f>IF(B181="","",IF(L181&lt;&gt;"",L181,IFERROR(INDEX(Services!$G$5:$G$204,MATCH(G181,Services!$A$5:$A$204,0))*1,0)))</f>
        <v>0</v>
      </c>
      <c r="Z181" s="26">
        <f>IF(B181="","",IF(O181&lt;&gt;"",O181,IF(Y181&gt;=DepositThreshold,ROUND(Y181*DepositPercent,2),0)))</f>
        <v>0</v>
      </c>
      <c r="AA181" s="26">
        <f>IF(B181="","",ROUND(SUMIFS(Payments!$G$5:$G$1204,Payments!$I$5:$I$1204,A181,Payments!$E$5:$E$1204,"Deposit"),2))</f>
        <v>0</v>
      </c>
      <c r="AB181" s="26">
        <f>IF(B181="","",ROUND(SUMIFS(Sales!$Y$5:$Y$1204,Sales!$C$5:$C$1204,A181),2))</f>
        <v>0</v>
      </c>
      <c r="AC181" s="38">
        <f>IF(B181="","",IF(M181="Completed","Yes",IF(M181="Cancelled","Yes",IF(M181="No show","Yes","No"))))</f>
        <v>0</v>
      </c>
      <c r="AD181" s="25">
        <f>IF(B181="","",IF(AE181="","",B181-AE181))</f>
        <v>0</v>
      </c>
      <c r="AF181" s="38">
        <f>IF(B181="","",IF(M181&lt;&gt;"Completed","",IF(E181="","No",IF(COUNTIFS(Appointments!$E$5:$E$1204,E181,Appointments!$B$5:$B$1204,"&gt;"&amp;B181,Appointments!$M$5:$M$1204,"&lt;&gt;Cancelled")&gt;0,"Yes","No"))))</f>
        <v>0</v>
      </c>
      <c r="AG181" s="38">
        <f>IF(B181="","",IF(I181="","",IF(D181="","",IF(COUNTIFS($I$5:$I$1204,I181,$B$5:$B$1204,B181,$D$5:$D$1204,"&lt;"&amp;V181,$V$5:$V$1204,"&gt;"&amp;D181,$M$5:$M$1204,"&lt;&gt;Cancelled")&gt;1,"Clash",""))))</f>
        <v>0</v>
      </c>
      <c r="AH181" s="39">
        <f>IF(B181="","",IF(AG181="Clash","Clash - stylist double booked",IF(I181="","Assign - no stylist yet",IF(G181="","Add - no service chosen",IF(M181="No show","No show - charge the fee?",IF(M181="Cancelled","",IF(IF(M181="Completed",AB181&lt;Y181-0.004,FALSE),"Unpaid - nothing rung up for this visit",IF(IF(B181&lt;TodayDate,M181="Booked",FALSE),"Overdue - past date, still only Booked",IF(IF(B181=TodayDate,TRUE,FALSE),"Today",IF(IF(Z181&gt;0,AA181&lt;Z181-0.004,FALSE),"Due - deposit not taken",IF(IF(B181&gt;TodayDate,B181&lt;=TodayDate+2,FALSE),"Confirm - coming up","OK")))))))))))</f>
        <v>0</v>
      </c>
    </row>
    <row r="182" spans="1:34">
      <c r="A182" s="28">
        <f>IF(B182="","",AppointmentPrefix&amp;TEXT(ROW()-4,"0000"))</f>
        <v>0</v>
      </c>
      <c r="C182" s="15">
        <f>IF(B182="","",TEXT(B182,"ddd"))</f>
        <v>0</v>
      </c>
      <c r="F182" s="15">
        <f>IF(E182="","",IFERROR(INDEX(Clients!$B$5:$B$504,MATCH(E182,Clients!$A$5:$A$504,0)),"Walk-in"))</f>
        <v>0</v>
      </c>
      <c r="H182" s="15">
        <f>IF(G182="","",IFERROR(INDEX(Services!$B$5:$B$204,MATCH(G182,Services!$A$5:$A$204,0)),"Not in Services"))</f>
        <v>0</v>
      </c>
      <c r="J182" s="15">
        <f>IF(I182="","",IFERROR(INDEX(Staff!$B$5:$B$44,MATCH(I182,Staff!$A$5:$A$44,0)),"Unassigned"))</f>
        <v>0</v>
      </c>
      <c r="S182" s="15">
        <f>IF(B182="","",TEXT(B182,"yyyy-mm"))</f>
        <v>0</v>
      </c>
      <c r="T182" s="25">
        <f>IF(B182="","",WEEKNUM(B182,2))</f>
        <v>0</v>
      </c>
      <c r="U182" s="25">
        <f>IF(B182="","",IF(K182&lt;&gt;"",K182,IFERROR(INDEX(Services!$E$5:$E$204,MATCH(G182,Services!$A$5:$A$204,0))*1,0)+IFERROR(INDEX(Services!$F$5:$F$204,MATCH(G182,Services!$A$5:$A$204,0))*1,0)))</f>
        <v>0</v>
      </c>
      <c r="V182" s="36">
        <f>IF(B182="","",IF(D182="","",D182+U182/1440))</f>
        <v>0</v>
      </c>
      <c r="W182" s="25">
        <f>IF(B182="","",IF(D182="","",HOUR(D182)))</f>
        <v>0</v>
      </c>
      <c r="X182" s="37">
        <f>IF(B182="","",ROUND(U182/60,2))</f>
        <v>0</v>
      </c>
      <c r="Y182" s="26">
        <f>IF(B182="","",IF(L182&lt;&gt;"",L182,IFERROR(INDEX(Services!$G$5:$G$204,MATCH(G182,Services!$A$5:$A$204,0))*1,0)))</f>
        <v>0</v>
      </c>
      <c r="Z182" s="26">
        <f>IF(B182="","",IF(O182&lt;&gt;"",O182,IF(Y182&gt;=DepositThreshold,ROUND(Y182*DepositPercent,2),0)))</f>
        <v>0</v>
      </c>
      <c r="AA182" s="26">
        <f>IF(B182="","",ROUND(SUMIFS(Payments!$G$5:$G$1204,Payments!$I$5:$I$1204,A182,Payments!$E$5:$E$1204,"Deposit"),2))</f>
        <v>0</v>
      </c>
      <c r="AB182" s="26">
        <f>IF(B182="","",ROUND(SUMIFS(Sales!$Y$5:$Y$1204,Sales!$C$5:$C$1204,A182),2))</f>
        <v>0</v>
      </c>
      <c r="AC182" s="38">
        <f>IF(B182="","",IF(M182="Completed","Yes",IF(M182="Cancelled","Yes",IF(M182="No show","Yes","No"))))</f>
        <v>0</v>
      </c>
      <c r="AD182" s="25">
        <f>IF(B182="","",IF(AE182="","",B182-AE182))</f>
        <v>0</v>
      </c>
      <c r="AF182" s="38">
        <f>IF(B182="","",IF(M182&lt;&gt;"Completed","",IF(E182="","No",IF(COUNTIFS(Appointments!$E$5:$E$1204,E182,Appointments!$B$5:$B$1204,"&gt;"&amp;B182,Appointments!$M$5:$M$1204,"&lt;&gt;Cancelled")&gt;0,"Yes","No"))))</f>
        <v>0</v>
      </c>
      <c r="AG182" s="38">
        <f>IF(B182="","",IF(I182="","",IF(D182="","",IF(COUNTIFS($I$5:$I$1204,I182,$B$5:$B$1204,B182,$D$5:$D$1204,"&lt;"&amp;V182,$V$5:$V$1204,"&gt;"&amp;D182,$M$5:$M$1204,"&lt;&gt;Cancelled")&gt;1,"Clash",""))))</f>
        <v>0</v>
      </c>
      <c r="AH182" s="39">
        <f>IF(B182="","",IF(AG182="Clash","Clash - stylist double booked",IF(I182="","Assign - no stylist yet",IF(G182="","Add - no service chosen",IF(M182="No show","No show - charge the fee?",IF(M182="Cancelled","",IF(IF(M182="Completed",AB182&lt;Y182-0.004,FALSE),"Unpaid - nothing rung up for this visit",IF(IF(B182&lt;TodayDate,M182="Booked",FALSE),"Overdue - past date, still only Booked",IF(IF(B182=TodayDate,TRUE,FALSE),"Today",IF(IF(Z182&gt;0,AA182&lt;Z182-0.004,FALSE),"Due - deposit not taken",IF(IF(B182&gt;TodayDate,B182&lt;=TodayDate+2,FALSE),"Confirm - coming up","OK")))))))))))</f>
        <v>0</v>
      </c>
    </row>
    <row r="183" spans="1:34">
      <c r="A183" s="28">
        <f>IF(B183="","",AppointmentPrefix&amp;TEXT(ROW()-4,"0000"))</f>
        <v>0</v>
      </c>
      <c r="C183" s="15">
        <f>IF(B183="","",TEXT(B183,"ddd"))</f>
        <v>0</v>
      </c>
      <c r="F183" s="15">
        <f>IF(E183="","",IFERROR(INDEX(Clients!$B$5:$B$504,MATCH(E183,Clients!$A$5:$A$504,0)),"Walk-in"))</f>
        <v>0</v>
      </c>
      <c r="H183" s="15">
        <f>IF(G183="","",IFERROR(INDEX(Services!$B$5:$B$204,MATCH(G183,Services!$A$5:$A$204,0)),"Not in Services"))</f>
        <v>0</v>
      </c>
      <c r="J183" s="15">
        <f>IF(I183="","",IFERROR(INDEX(Staff!$B$5:$B$44,MATCH(I183,Staff!$A$5:$A$44,0)),"Unassigned"))</f>
        <v>0</v>
      </c>
      <c r="S183" s="15">
        <f>IF(B183="","",TEXT(B183,"yyyy-mm"))</f>
        <v>0</v>
      </c>
      <c r="T183" s="25">
        <f>IF(B183="","",WEEKNUM(B183,2))</f>
        <v>0</v>
      </c>
      <c r="U183" s="25">
        <f>IF(B183="","",IF(K183&lt;&gt;"",K183,IFERROR(INDEX(Services!$E$5:$E$204,MATCH(G183,Services!$A$5:$A$204,0))*1,0)+IFERROR(INDEX(Services!$F$5:$F$204,MATCH(G183,Services!$A$5:$A$204,0))*1,0)))</f>
        <v>0</v>
      </c>
      <c r="V183" s="36">
        <f>IF(B183="","",IF(D183="","",D183+U183/1440))</f>
        <v>0</v>
      </c>
      <c r="W183" s="25">
        <f>IF(B183="","",IF(D183="","",HOUR(D183)))</f>
        <v>0</v>
      </c>
      <c r="X183" s="37">
        <f>IF(B183="","",ROUND(U183/60,2))</f>
        <v>0</v>
      </c>
      <c r="Y183" s="26">
        <f>IF(B183="","",IF(L183&lt;&gt;"",L183,IFERROR(INDEX(Services!$G$5:$G$204,MATCH(G183,Services!$A$5:$A$204,0))*1,0)))</f>
        <v>0</v>
      </c>
      <c r="Z183" s="26">
        <f>IF(B183="","",IF(O183&lt;&gt;"",O183,IF(Y183&gt;=DepositThreshold,ROUND(Y183*DepositPercent,2),0)))</f>
        <v>0</v>
      </c>
      <c r="AA183" s="26">
        <f>IF(B183="","",ROUND(SUMIFS(Payments!$G$5:$G$1204,Payments!$I$5:$I$1204,A183,Payments!$E$5:$E$1204,"Deposit"),2))</f>
        <v>0</v>
      </c>
      <c r="AB183" s="26">
        <f>IF(B183="","",ROUND(SUMIFS(Sales!$Y$5:$Y$1204,Sales!$C$5:$C$1204,A183),2))</f>
        <v>0</v>
      </c>
      <c r="AC183" s="38">
        <f>IF(B183="","",IF(M183="Completed","Yes",IF(M183="Cancelled","Yes",IF(M183="No show","Yes","No"))))</f>
        <v>0</v>
      </c>
      <c r="AD183" s="25">
        <f>IF(B183="","",IF(AE183="","",B183-AE183))</f>
        <v>0</v>
      </c>
      <c r="AF183" s="38">
        <f>IF(B183="","",IF(M183&lt;&gt;"Completed","",IF(E183="","No",IF(COUNTIFS(Appointments!$E$5:$E$1204,E183,Appointments!$B$5:$B$1204,"&gt;"&amp;B183,Appointments!$M$5:$M$1204,"&lt;&gt;Cancelled")&gt;0,"Yes","No"))))</f>
        <v>0</v>
      </c>
      <c r="AG183" s="38">
        <f>IF(B183="","",IF(I183="","",IF(D183="","",IF(COUNTIFS($I$5:$I$1204,I183,$B$5:$B$1204,B183,$D$5:$D$1204,"&lt;"&amp;V183,$V$5:$V$1204,"&gt;"&amp;D183,$M$5:$M$1204,"&lt;&gt;Cancelled")&gt;1,"Clash",""))))</f>
        <v>0</v>
      </c>
      <c r="AH183" s="39">
        <f>IF(B183="","",IF(AG183="Clash","Clash - stylist double booked",IF(I183="","Assign - no stylist yet",IF(G183="","Add - no service chosen",IF(M183="No show","No show - charge the fee?",IF(M183="Cancelled","",IF(IF(M183="Completed",AB183&lt;Y183-0.004,FALSE),"Unpaid - nothing rung up for this visit",IF(IF(B183&lt;TodayDate,M183="Booked",FALSE),"Overdue - past date, still only Booked",IF(IF(B183=TodayDate,TRUE,FALSE),"Today",IF(IF(Z183&gt;0,AA183&lt;Z183-0.004,FALSE),"Due - deposit not taken",IF(IF(B183&gt;TodayDate,B183&lt;=TodayDate+2,FALSE),"Confirm - coming up","OK")))))))))))</f>
        <v>0</v>
      </c>
    </row>
    <row r="184" spans="1:34">
      <c r="A184" s="28">
        <f>IF(B184="","",AppointmentPrefix&amp;TEXT(ROW()-4,"0000"))</f>
        <v>0</v>
      </c>
      <c r="C184" s="15">
        <f>IF(B184="","",TEXT(B184,"ddd"))</f>
        <v>0</v>
      </c>
      <c r="F184" s="15">
        <f>IF(E184="","",IFERROR(INDEX(Clients!$B$5:$B$504,MATCH(E184,Clients!$A$5:$A$504,0)),"Walk-in"))</f>
        <v>0</v>
      </c>
      <c r="H184" s="15">
        <f>IF(G184="","",IFERROR(INDEX(Services!$B$5:$B$204,MATCH(G184,Services!$A$5:$A$204,0)),"Not in Services"))</f>
        <v>0</v>
      </c>
      <c r="J184" s="15">
        <f>IF(I184="","",IFERROR(INDEX(Staff!$B$5:$B$44,MATCH(I184,Staff!$A$5:$A$44,0)),"Unassigned"))</f>
        <v>0</v>
      </c>
      <c r="S184" s="15">
        <f>IF(B184="","",TEXT(B184,"yyyy-mm"))</f>
        <v>0</v>
      </c>
      <c r="T184" s="25">
        <f>IF(B184="","",WEEKNUM(B184,2))</f>
        <v>0</v>
      </c>
      <c r="U184" s="25">
        <f>IF(B184="","",IF(K184&lt;&gt;"",K184,IFERROR(INDEX(Services!$E$5:$E$204,MATCH(G184,Services!$A$5:$A$204,0))*1,0)+IFERROR(INDEX(Services!$F$5:$F$204,MATCH(G184,Services!$A$5:$A$204,0))*1,0)))</f>
        <v>0</v>
      </c>
      <c r="V184" s="36">
        <f>IF(B184="","",IF(D184="","",D184+U184/1440))</f>
        <v>0</v>
      </c>
      <c r="W184" s="25">
        <f>IF(B184="","",IF(D184="","",HOUR(D184)))</f>
        <v>0</v>
      </c>
      <c r="X184" s="37">
        <f>IF(B184="","",ROUND(U184/60,2))</f>
        <v>0</v>
      </c>
      <c r="Y184" s="26">
        <f>IF(B184="","",IF(L184&lt;&gt;"",L184,IFERROR(INDEX(Services!$G$5:$G$204,MATCH(G184,Services!$A$5:$A$204,0))*1,0)))</f>
        <v>0</v>
      </c>
      <c r="Z184" s="26">
        <f>IF(B184="","",IF(O184&lt;&gt;"",O184,IF(Y184&gt;=DepositThreshold,ROUND(Y184*DepositPercent,2),0)))</f>
        <v>0</v>
      </c>
      <c r="AA184" s="26">
        <f>IF(B184="","",ROUND(SUMIFS(Payments!$G$5:$G$1204,Payments!$I$5:$I$1204,A184,Payments!$E$5:$E$1204,"Deposit"),2))</f>
        <v>0</v>
      </c>
      <c r="AB184" s="26">
        <f>IF(B184="","",ROUND(SUMIFS(Sales!$Y$5:$Y$1204,Sales!$C$5:$C$1204,A184),2))</f>
        <v>0</v>
      </c>
      <c r="AC184" s="38">
        <f>IF(B184="","",IF(M184="Completed","Yes",IF(M184="Cancelled","Yes",IF(M184="No show","Yes","No"))))</f>
        <v>0</v>
      </c>
      <c r="AD184" s="25">
        <f>IF(B184="","",IF(AE184="","",B184-AE184))</f>
        <v>0</v>
      </c>
      <c r="AF184" s="38">
        <f>IF(B184="","",IF(M184&lt;&gt;"Completed","",IF(E184="","No",IF(COUNTIFS(Appointments!$E$5:$E$1204,E184,Appointments!$B$5:$B$1204,"&gt;"&amp;B184,Appointments!$M$5:$M$1204,"&lt;&gt;Cancelled")&gt;0,"Yes","No"))))</f>
        <v>0</v>
      </c>
      <c r="AG184" s="38">
        <f>IF(B184="","",IF(I184="","",IF(D184="","",IF(COUNTIFS($I$5:$I$1204,I184,$B$5:$B$1204,B184,$D$5:$D$1204,"&lt;"&amp;V184,$V$5:$V$1204,"&gt;"&amp;D184,$M$5:$M$1204,"&lt;&gt;Cancelled")&gt;1,"Clash",""))))</f>
        <v>0</v>
      </c>
      <c r="AH184" s="39">
        <f>IF(B184="","",IF(AG184="Clash","Clash - stylist double booked",IF(I184="","Assign - no stylist yet",IF(G184="","Add - no service chosen",IF(M184="No show","No show - charge the fee?",IF(M184="Cancelled","",IF(IF(M184="Completed",AB184&lt;Y184-0.004,FALSE),"Unpaid - nothing rung up for this visit",IF(IF(B184&lt;TodayDate,M184="Booked",FALSE),"Overdue - past date, still only Booked",IF(IF(B184=TodayDate,TRUE,FALSE),"Today",IF(IF(Z184&gt;0,AA184&lt;Z184-0.004,FALSE),"Due - deposit not taken",IF(IF(B184&gt;TodayDate,B184&lt;=TodayDate+2,FALSE),"Confirm - coming up","OK")))))))))))</f>
        <v>0</v>
      </c>
    </row>
    <row r="185" spans="1:34">
      <c r="A185" s="28">
        <f>IF(B185="","",AppointmentPrefix&amp;TEXT(ROW()-4,"0000"))</f>
        <v>0</v>
      </c>
      <c r="C185" s="15">
        <f>IF(B185="","",TEXT(B185,"ddd"))</f>
        <v>0</v>
      </c>
      <c r="F185" s="15">
        <f>IF(E185="","",IFERROR(INDEX(Clients!$B$5:$B$504,MATCH(E185,Clients!$A$5:$A$504,0)),"Walk-in"))</f>
        <v>0</v>
      </c>
      <c r="H185" s="15">
        <f>IF(G185="","",IFERROR(INDEX(Services!$B$5:$B$204,MATCH(G185,Services!$A$5:$A$204,0)),"Not in Services"))</f>
        <v>0</v>
      </c>
      <c r="J185" s="15">
        <f>IF(I185="","",IFERROR(INDEX(Staff!$B$5:$B$44,MATCH(I185,Staff!$A$5:$A$44,0)),"Unassigned"))</f>
        <v>0</v>
      </c>
      <c r="S185" s="15">
        <f>IF(B185="","",TEXT(B185,"yyyy-mm"))</f>
        <v>0</v>
      </c>
      <c r="T185" s="25">
        <f>IF(B185="","",WEEKNUM(B185,2))</f>
        <v>0</v>
      </c>
      <c r="U185" s="25">
        <f>IF(B185="","",IF(K185&lt;&gt;"",K185,IFERROR(INDEX(Services!$E$5:$E$204,MATCH(G185,Services!$A$5:$A$204,0))*1,0)+IFERROR(INDEX(Services!$F$5:$F$204,MATCH(G185,Services!$A$5:$A$204,0))*1,0)))</f>
        <v>0</v>
      </c>
      <c r="V185" s="36">
        <f>IF(B185="","",IF(D185="","",D185+U185/1440))</f>
        <v>0</v>
      </c>
      <c r="W185" s="25">
        <f>IF(B185="","",IF(D185="","",HOUR(D185)))</f>
        <v>0</v>
      </c>
      <c r="X185" s="37">
        <f>IF(B185="","",ROUND(U185/60,2))</f>
        <v>0</v>
      </c>
      <c r="Y185" s="26">
        <f>IF(B185="","",IF(L185&lt;&gt;"",L185,IFERROR(INDEX(Services!$G$5:$G$204,MATCH(G185,Services!$A$5:$A$204,0))*1,0)))</f>
        <v>0</v>
      </c>
      <c r="Z185" s="26">
        <f>IF(B185="","",IF(O185&lt;&gt;"",O185,IF(Y185&gt;=DepositThreshold,ROUND(Y185*DepositPercent,2),0)))</f>
        <v>0</v>
      </c>
      <c r="AA185" s="26">
        <f>IF(B185="","",ROUND(SUMIFS(Payments!$G$5:$G$1204,Payments!$I$5:$I$1204,A185,Payments!$E$5:$E$1204,"Deposit"),2))</f>
        <v>0</v>
      </c>
      <c r="AB185" s="26">
        <f>IF(B185="","",ROUND(SUMIFS(Sales!$Y$5:$Y$1204,Sales!$C$5:$C$1204,A185),2))</f>
        <v>0</v>
      </c>
      <c r="AC185" s="38">
        <f>IF(B185="","",IF(M185="Completed","Yes",IF(M185="Cancelled","Yes",IF(M185="No show","Yes","No"))))</f>
        <v>0</v>
      </c>
      <c r="AD185" s="25">
        <f>IF(B185="","",IF(AE185="","",B185-AE185))</f>
        <v>0</v>
      </c>
      <c r="AF185" s="38">
        <f>IF(B185="","",IF(M185&lt;&gt;"Completed","",IF(E185="","No",IF(COUNTIFS(Appointments!$E$5:$E$1204,E185,Appointments!$B$5:$B$1204,"&gt;"&amp;B185,Appointments!$M$5:$M$1204,"&lt;&gt;Cancelled")&gt;0,"Yes","No"))))</f>
        <v>0</v>
      </c>
      <c r="AG185" s="38">
        <f>IF(B185="","",IF(I185="","",IF(D185="","",IF(COUNTIFS($I$5:$I$1204,I185,$B$5:$B$1204,B185,$D$5:$D$1204,"&lt;"&amp;V185,$V$5:$V$1204,"&gt;"&amp;D185,$M$5:$M$1204,"&lt;&gt;Cancelled")&gt;1,"Clash",""))))</f>
        <v>0</v>
      </c>
      <c r="AH185" s="39">
        <f>IF(B185="","",IF(AG185="Clash","Clash - stylist double booked",IF(I185="","Assign - no stylist yet",IF(G185="","Add - no service chosen",IF(M185="No show","No show - charge the fee?",IF(M185="Cancelled","",IF(IF(M185="Completed",AB185&lt;Y185-0.004,FALSE),"Unpaid - nothing rung up for this visit",IF(IF(B185&lt;TodayDate,M185="Booked",FALSE),"Overdue - past date, still only Booked",IF(IF(B185=TodayDate,TRUE,FALSE),"Today",IF(IF(Z185&gt;0,AA185&lt;Z185-0.004,FALSE),"Due - deposit not taken",IF(IF(B185&gt;TodayDate,B185&lt;=TodayDate+2,FALSE),"Confirm - coming up","OK")))))))))))</f>
        <v>0</v>
      </c>
    </row>
    <row r="186" spans="1:34">
      <c r="A186" s="28">
        <f>IF(B186="","",AppointmentPrefix&amp;TEXT(ROW()-4,"0000"))</f>
        <v>0</v>
      </c>
      <c r="C186" s="15">
        <f>IF(B186="","",TEXT(B186,"ddd"))</f>
        <v>0</v>
      </c>
      <c r="F186" s="15">
        <f>IF(E186="","",IFERROR(INDEX(Clients!$B$5:$B$504,MATCH(E186,Clients!$A$5:$A$504,0)),"Walk-in"))</f>
        <v>0</v>
      </c>
      <c r="H186" s="15">
        <f>IF(G186="","",IFERROR(INDEX(Services!$B$5:$B$204,MATCH(G186,Services!$A$5:$A$204,0)),"Not in Services"))</f>
        <v>0</v>
      </c>
      <c r="J186" s="15">
        <f>IF(I186="","",IFERROR(INDEX(Staff!$B$5:$B$44,MATCH(I186,Staff!$A$5:$A$44,0)),"Unassigned"))</f>
        <v>0</v>
      </c>
      <c r="S186" s="15">
        <f>IF(B186="","",TEXT(B186,"yyyy-mm"))</f>
        <v>0</v>
      </c>
      <c r="T186" s="25">
        <f>IF(B186="","",WEEKNUM(B186,2))</f>
        <v>0</v>
      </c>
      <c r="U186" s="25">
        <f>IF(B186="","",IF(K186&lt;&gt;"",K186,IFERROR(INDEX(Services!$E$5:$E$204,MATCH(G186,Services!$A$5:$A$204,0))*1,0)+IFERROR(INDEX(Services!$F$5:$F$204,MATCH(G186,Services!$A$5:$A$204,0))*1,0)))</f>
        <v>0</v>
      </c>
      <c r="V186" s="36">
        <f>IF(B186="","",IF(D186="","",D186+U186/1440))</f>
        <v>0</v>
      </c>
      <c r="W186" s="25">
        <f>IF(B186="","",IF(D186="","",HOUR(D186)))</f>
        <v>0</v>
      </c>
      <c r="X186" s="37">
        <f>IF(B186="","",ROUND(U186/60,2))</f>
        <v>0</v>
      </c>
      <c r="Y186" s="26">
        <f>IF(B186="","",IF(L186&lt;&gt;"",L186,IFERROR(INDEX(Services!$G$5:$G$204,MATCH(G186,Services!$A$5:$A$204,0))*1,0)))</f>
        <v>0</v>
      </c>
      <c r="Z186" s="26">
        <f>IF(B186="","",IF(O186&lt;&gt;"",O186,IF(Y186&gt;=DepositThreshold,ROUND(Y186*DepositPercent,2),0)))</f>
        <v>0</v>
      </c>
      <c r="AA186" s="26">
        <f>IF(B186="","",ROUND(SUMIFS(Payments!$G$5:$G$1204,Payments!$I$5:$I$1204,A186,Payments!$E$5:$E$1204,"Deposit"),2))</f>
        <v>0</v>
      </c>
      <c r="AB186" s="26">
        <f>IF(B186="","",ROUND(SUMIFS(Sales!$Y$5:$Y$1204,Sales!$C$5:$C$1204,A186),2))</f>
        <v>0</v>
      </c>
      <c r="AC186" s="38">
        <f>IF(B186="","",IF(M186="Completed","Yes",IF(M186="Cancelled","Yes",IF(M186="No show","Yes","No"))))</f>
        <v>0</v>
      </c>
      <c r="AD186" s="25">
        <f>IF(B186="","",IF(AE186="","",B186-AE186))</f>
        <v>0</v>
      </c>
      <c r="AF186" s="38">
        <f>IF(B186="","",IF(M186&lt;&gt;"Completed","",IF(E186="","No",IF(COUNTIFS(Appointments!$E$5:$E$1204,E186,Appointments!$B$5:$B$1204,"&gt;"&amp;B186,Appointments!$M$5:$M$1204,"&lt;&gt;Cancelled")&gt;0,"Yes","No"))))</f>
        <v>0</v>
      </c>
      <c r="AG186" s="38">
        <f>IF(B186="","",IF(I186="","",IF(D186="","",IF(COUNTIFS($I$5:$I$1204,I186,$B$5:$B$1204,B186,$D$5:$D$1204,"&lt;"&amp;V186,$V$5:$V$1204,"&gt;"&amp;D186,$M$5:$M$1204,"&lt;&gt;Cancelled")&gt;1,"Clash",""))))</f>
        <v>0</v>
      </c>
      <c r="AH186" s="39">
        <f>IF(B186="","",IF(AG186="Clash","Clash - stylist double booked",IF(I186="","Assign - no stylist yet",IF(G186="","Add - no service chosen",IF(M186="No show","No show - charge the fee?",IF(M186="Cancelled","",IF(IF(M186="Completed",AB186&lt;Y186-0.004,FALSE),"Unpaid - nothing rung up for this visit",IF(IF(B186&lt;TodayDate,M186="Booked",FALSE),"Overdue - past date, still only Booked",IF(IF(B186=TodayDate,TRUE,FALSE),"Today",IF(IF(Z186&gt;0,AA186&lt;Z186-0.004,FALSE),"Due - deposit not taken",IF(IF(B186&gt;TodayDate,B186&lt;=TodayDate+2,FALSE),"Confirm - coming up","OK")))))))))))</f>
        <v>0</v>
      </c>
    </row>
    <row r="187" spans="1:34">
      <c r="A187" s="28">
        <f>IF(B187="","",AppointmentPrefix&amp;TEXT(ROW()-4,"0000"))</f>
        <v>0</v>
      </c>
      <c r="C187" s="15">
        <f>IF(B187="","",TEXT(B187,"ddd"))</f>
        <v>0</v>
      </c>
      <c r="F187" s="15">
        <f>IF(E187="","",IFERROR(INDEX(Clients!$B$5:$B$504,MATCH(E187,Clients!$A$5:$A$504,0)),"Walk-in"))</f>
        <v>0</v>
      </c>
      <c r="H187" s="15">
        <f>IF(G187="","",IFERROR(INDEX(Services!$B$5:$B$204,MATCH(G187,Services!$A$5:$A$204,0)),"Not in Services"))</f>
        <v>0</v>
      </c>
      <c r="J187" s="15">
        <f>IF(I187="","",IFERROR(INDEX(Staff!$B$5:$B$44,MATCH(I187,Staff!$A$5:$A$44,0)),"Unassigned"))</f>
        <v>0</v>
      </c>
      <c r="S187" s="15">
        <f>IF(B187="","",TEXT(B187,"yyyy-mm"))</f>
        <v>0</v>
      </c>
      <c r="T187" s="25">
        <f>IF(B187="","",WEEKNUM(B187,2))</f>
        <v>0</v>
      </c>
      <c r="U187" s="25">
        <f>IF(B187="","",IF(K187&lt;&gt;"",K187,IFERROR(INDEX(Services!$E$5:$E$204,MATCH(G187,Services!$A$5:$A$204,0))*1,0)+IFERROR(INDEX(Services!$F$5:$F$204,MATCH(G187,Services!$A$5:$A$204,0))*1,0)))</f>
        <v>0</v>
      </c>
      <c r="V187" s="36">
        <f>IF(B187="","",IF(D187="","",D187+U187/1440))</f>
        <v>0</v>
      </c>
      <c r="W187" s="25">
        <f>IF(B187="","",IF(D187="","",HOUR(D187)))</f>
        <v>0</v>
      </c>
      <c r="X187" s="37">
        <f>IF(B187="","",ROUND(U187/60,2))</f>
        <v>0</v>
      </c>
      <c r="Y187" s="26">
        <f>IF(B187="","",IF(L187&lt;&gt;"",L187,IFERROR(INDEX(Services!$G$5:$G$204,MATCH(G187,Services!$A$5:$A$204,0))*1,0)))</f>
        <v>0</v>
      </c>
      <c r="Z187" s="26">
        <f>IF(B187="","",IF(O187&lt;&gt;"",O187,IF(Y187&gt;=DepositThreshold,ROUND(Y187*DepositPercent,2),0)))</f>
        <v>0</v>
      </c>
      <c r="AA187" s="26">
        <f>IF(B187="","",ROUND(SUMIFS(Payments!$G$5:$G$1204,Payments!$I$5:$I$1204,A187,Payments!$E$5:$E$1204,"Deposit"),2))</f>
        <v>0</v>
      </c>
      <c r="AB187" s="26">
        <f>IF(B187="","",ROUND(SUMIFS(Sales!$Y$5:$Y$1204,Sales!$C$5:$C$1204,A187),2))</f>
        <v>0</v>
      </c>
      <c r="AC187" s="38">
        <f>IF(B187="","",IF(M187="Completed","Yes",IF(M187="Cancelled","Yes",IF(M187="No show","Yes","No"))))</f>
        <v>0</v>
      </c>
      <c r="AD187" s="25">
        <f>IF(B187="","",IF(AE187="","",B187-AE187))</f>
        <v>0</v>
      </c>
      <c r="AF187" s="38">
        <f>IF(B187="","",IF(M187&lt;&gt;"Completed","",IF(E187="","No",IF(COUNTIFS(Appointments!$E$5:$E$1204,E187,Appointments!$B$5:$B$1204,"&gt;"&amp;B187,Appointments!$M$5:$M$1204,"&lt;&gt;Cancelled")&gt;0,"Yes","No"))))</f>
        <v>0</v>
      </c>
      <c r="AG187" s="38">
        <f>IF(B187="","",IF(I187="","",IF(D187="","",IF(COUNTIFS($I$5:$I$1204,I187,$B$5:$B$1204,B187,$D$5:$D$1204,"&lt;"&amp;V187,$V$5:$V$1204,"&gt;"&amp;D187,$M$5:$M$1204,"&lt;&gt;Cancelled")&gt;1,"Clash",""))))</f>
        <v>0</v>
      </c>
      <c r="AH187" s="39">
        <f>IF(B187="","",IF(AG187="Clash","Clash - stylist double booked",IF(I187="","Assign - no stylist yet",IF(G187="","Add - no service chosen",IF(M187="No show","No show - charge the fee?",IF(M187="Cancelled","",IF(IF(M187="Completed",AB187&lt;Y187-0.004,FALSE),"Unpaid - nothing rung up for this visit",IF(IF(B187&lt;TodayDate,M187="Booked",FALSE),"Overdue - past date, still only Booked",IF(IF(B187=TodayDate,TRUE,FALSE),"Today",IF(IF(Z187&gt;0,AA187&lt;Z187-0.004,FALSE),"Due - deposit not taken",IF(IF(B187&gt;TodayDate,B187&lt;=TodayDate+2,FALSE),"Confirm - coming up","OK")))))))))))</f>
        <v>0</v>
      </c>
    </row>
    <row r="188" spans="1:34">
      <c r="A188" s="28">
        <f>IF(B188="","",AppointmentPrefix&amp;TEXT(ROW()-4,"0000"))</f>
        <v>0</v>
      </c>
      <c r="C188" s="15">
        <f>IF(B188="","",TEXT(B188,"ddd"))</f>
        <v>0</v>
      </c>
      <c r="F188" s="15">
        <f>IF(E188="","",IFERROR(INDEX(Clients!$B$5:$B$504,MATCH(E188,Clients!$A$5:$A$504,0)),"Walk-in"))</f>
        <v>0</v>
      </c>
      <c r="H188" s="15">
        <f>IF(G188="","",IFERROR(INDEX(Services!$B$5:$B$204,MATCH(G188,Services!$A$5:$A$204,0)),"Not in Services"))</f>
        <v>0</v>
      </c>
      <c r="J188" s="15">
        <f>IF(I188="","",IFERROR(INDEX(Staff!$B$5:$B$44,MATCH(I188,Staff!$A$5:$A$44,0)),"Unassigned"))</f>
        <v>0</v>
      </c>
      <c r="S188" s="15">
        <f>IF(B188="","",TEXT(B188,"yyyy-mm"))</f>
        <v>0</v>
      </c>
      <c r="T188" s="25">
        <f>IF(B188="","",WEEKNUM(B188,2))</f>
        <v>0</v>
      </c>
      <c r="U188" s="25">
        <f>IF(B188="","",IF(K188&lt;&gt;"",K188,IFERROR(INDEX(Services!$E$5:$E$204,MATCH(G188,Services!$A$5:$A$204,0))*1,0)+IFERROR(INDEX(Services!$F$5:$F$204,MATCH(G188,Services!$A$5:$A$204,0))*1,0)))</f>
        <v>0</v>
      </c>
      <c r="V188" s="36">
        <f>IF(B188="","",IF(D188="","",D188+U188/1440))</f>
        <v>0</v>
      </c>
      <c r="W188" s="25">
        <f>IF(B188="","",IF(D188="","",HOUR(D188)))</f>
        <v>0</v>
      </c>
      <c r="X188" s="37">
        <f>IF(B188="","",ROUND(U188/60,2))</f>
        <v>0</v>
      </c>
      <c r="Y188" s="26">
        <f>IF(B188="","",IF(L188&lt;&gt;"",L188,IFERROR(INDEX(Services!$G$5:$G$204,MATCH(G188,Services!$A$5:$A$204,0))*1,0)))</f>
        <v>0</v>
      </c>
      <c r="Z188" s="26">
        <f>IF(B188="","",IF(O188&lt;&gt;"",O188,IF(Y188&gt;=DepositThreshold,ROUND(Y188*DepositPercent,2),0)))</f>
        <v>0</v>
      </c>
      <c r="AA188" s="26">
        <f>IF(B188="","",ROUND(SUMIFS(Payments!$G$5:$G$1204,Payments!$I$5:$I$1204,A188,Payments!$E$5:$E$1204,"Deposit"),2))</f>
        <v>0</v>
      </c>
      <c r="AB188" s="26">
        <f>IF(B188="","",ROUND(SUMIFS(Sales!$Y$5:$Y$1204,Sales!$C$5:$C$1204,A188),2))</f>
        <v>0</v>
      </c>
      <c r="AC188" s="38">
        <f>IF(B188="","",IF(M188="Completed","Yes",IF(M188="Cancelled","Yes",IF(M188="No show","Yes","No"))))</f>
        <v>0</v>
      </c>
      <c r="AD188" s="25">
        <f>IF(B188="","",IF(AE188="","",B188-AE188))</f>
        <v>0</v>
      </c>
      <c r="AF188" s="38">
        <f>IF(B188="","",IF(M188&lt;&gt;"Completed","",IF(E188="","No",IF(COUNTIFS(Appointments!$E$5:$E$1204,E188,Appointments!$B$5:$B$1204,"&gt;"&amp;B188,Appointments!$M$5:$M$1204,"&lt;&gt;Cancelled")&gt;0,"Yes","No"))))</f>
        <v>0</v>
      </c>
      <c r="AG188" s="38">
        <f>IF(B188="","",IF(I188="","",IF(D188="","",IF(COUNTIFS($I$5:$I$1204,I188,$B$5:$B$1204,B188,$D$5:$D$1204,"&lt;"&amp;V188,$V$5:$V$1204,"&gt;"&amp;D188,$M$5:$M$1204,"&lt;&gt;Cancelled")&gt;1,"Clash",""))))</f>
        <v>0</v>
      </c>
      <c r="AH188" s="39">
        <f>IF(B188="","",IF(AG188="Clash","Clash - stylist double booked",IF(I188="","Assign - no stylist yet",IF(G188="","Add - no service chosen",IF(M188="No show","No show - charge the fee?",IF(M188="Cancelled","",IF(IF(M188="Completed",AB188&lt;Y188-0.004,FALSE),"Unpaid - nothing rung up for this visit",IF(IF(B188&lt;TodayDate,M188="Booked",FALSE),"Overdue - past date, still only Booked",IF(IF(B188=TodayDate,TRUE,FALSE),"Today",IF(IF(Z188&gt;0,AA188&lt;Z188-0.004,FALSE),"Due - deposit not taken",IF(IF(B188&gt;TodayDate,B188&lt;=TodayDate+2,FALSE),"Confirm - coming up","OK")))))))))))</f>
        <v>0</v>
      </c>
    </row>
    <row r="189" spans="1:34">
      <c r="A189" s="28">
        <f>IF(B189="","",AppointmentPrefix&amp;TEXT(ROW()-4,"0000"))</f>
        <v>0</v>
      </c>
      <c r="C189" s="15">
        <f>IF(B189="","",TEXT(B189,"ddd"))</f>
        <v>0</v>
      </c>
      <c r="F189" s="15">
        <f>IF(E189="","",IFERROR(INDEX(Clients!$B$5:$B$504,MATCH(E189,Clients!$A$5:$A$504,0)),"Walk-in"))</f>
        <v>0</v>
      </c>
      <c r="H189" s="15">
        <f>IF(G189="","",IFERROR(INDEX(Services!$B$5:$B$204,MATCH(G189,Services!$A$5:$A$204,0)),"Not in Services"))</f>
        <v>0</v>
      </c>
      <c r="J189" s="15">
        <f>IF(I189="","",IFERROR(INDEX(Staff!$B$5:$B$44,MATCH(I189,Staff!$A$5:$A$44,0)),"Unassigned"))</f>
        <v>0</v>
      </c>
      <c r="S189" s="15">
        <f>IF(B189="","",TEXT(B189,"yyyy-mm"))</f>
        <v>0</v>
      </c>
      <c r="T189" s="25">
        <f>IF(B189="","",WEEKNUM(B189,2))</f>
        <v>0</v>
      </c>
      <c r="U189" s="25">
        <f>IF(B189="","",IF(K189&lt;&gt;"",K189,IFERROR(INDEX(Services!$E$5:$E$204,MATCH(G189,Services!$A$5:$A$204,0))*1,0)+IFERROR(INDEX(Services!$F$5:$F$204,MATCH(G189,Services!$A$5:$A$204,0))*1,0)))</f>
        <v>0</v>
      </c>
      <c r="V189" s="36">
        <f>IF(B189="","",IF(D189="","",D189+U189/1440))</f>
        <v>0</v>
      </c>
      <c r="W189" s="25">
        <f>IF(B189="","",IF(D189="","",HOUR(D189)))</f>
        <v>0</v>
      </c>
      <c r="X189" s="37">
        <f>IF(B189="","",ROUND(U189/60,2))</f>
        <v>0</v>
      </c>
      <c r="Y189" s="26">
        <f>IF(B189="","",IF(L189&lt;&gt;"",L189,IFERROR(INDEX(Services!$G$5:$G$204,MATCH(G189,Services!$A$5:$A$204,0))*1,0)))</f>
        <v>0</v>
      </c>
      <c r="Z189" s="26">
        <f>IF(B189="","",IF(O189&lt;&gt;"",O189,IF(Y189&gt;=DepositThreshold,ROUND(Y189*DepositPercent,2),0)))</f>
        <v>0</v>
      </c>
      <c r="AA189" s="26">
        <f>IF(B189="","",ROUND(SUMIFS(Payments!$G$5:$G$1204,Payments!$I$5:$I$1204,A189,Payments!$E$5:$E$1204,"Deposit"),2))</f>
        <v>0</v>
      </c>
      <c r="AB189" s="26">
        <f>IF(B189="","",ROUND(SUMIFS(Sales!$Y$5:$Y$1204,Sales!$C$5:$C$1204,A189),2))</f>
        <v>0</v>
      </c>
      <c r="AC189" s="38">
        <f>IF(B189="","",IF(M189="Completed","Yes",IF(M189="Cancelled","Yes",IF(M189="No show","Yes","No"))))</f>
        <v>0</v>
      </c>
      <c r="AD189" s="25">
        <f>IF(B189="","",IF(AE189="","",B189-AE189))</f>
        <v>0</v>
      </c>
      <c r="AF189" s="38">
        <f>IF(B189="","",IF(M189&lt;&gt;"Completed","",IF(E189="","No",IF(COUNTIFS(Appointments!$E$5:$E$1204,E189,Appointments!$B$5:$B$1204,"&gt;"&amp;B189,Appointments!$M$5:$M$1204,"&lt;&gt;Cancelled")&gt;0,"Yes","No"))))</f>
        <v>0</v>
      </c>
      <c r="AG189" s="38">
        <f>IF(B189="","",IF(I189="","",IF(D189="","",IF(COUNTIFS($I$5:$I$1204,I189,$B$5:$B$1204,B189,$D$5:$D$1204,"&lt;"&amp;V189,$V$5:$V$1204,"&gt;"&amp;D189,$M$5:$M$1204,"&lt;&gt;Cancelled")&gt;1,"Clash",""))))</f>
        <v>0</v>
      </c>
      <c r="AH189" s="39">
        <f>IF(B189="","",IF(AG189="Clash","Clash - stylist double booked",IF(I189="","Assign - no stylist yet",IF(G189="","Add - no service chosen",IF(M189="No show","No show - charge the fee?",IF(M189="Cancelled","",IF(IF(M189="Completed",AB189&lt;Y189-0.004,FALSE),"Unpaid - nothing rung up for this visit",IF(IF(B189&lt;TodayDate,M189="Booked",FALSE),"Overdue - past date, still only Booked",IF(IF(B189=TodayDate,TRUE,FALSE),"Today",IF(IF(Z189&gt;0,AA189&lt;Z189-0.004,FALSE),"Due - deposit not taken",IF(IF(B189&gt;TodayDate,B189&lt;=TodayDate+2,FALSE),"Confirm - coming up","OK")))))))))))</f>
        <v>0</v>
      </c>
    </row>
    <row r="190" spans="1:34">
      <c r="A190" s="28">
        <f>IF(B190="","",AppointmentPrefix&amp;TEXT(ROW()-4,"0000"))</f>
        <v>0</v>
      </c>
      <c r="C190" s="15">
        <f>IF(B190="","",TEXT(B190,"ddd"))</f>
        <v>0</v>
      </c>
      <c r="F190" s="15">
        <f>IF(E190="","",IFERROR(INDEX(Clients!$B$5:$B$504,MATCH(E190,Clients!$A$5:$A$504,0)),"Walk-in"))</f>
        <v>0</v>
      </c>
      <c r="H190" s="15">
        <f>IF(G190="","",IFERROR(INDEX(Services!$B$5:$B$204,MATCH(G190,Services!$A$5:$A$204,0)),"Not in Services"))</f>
        <v>0</v>
      </c>
      <c r="J190" s="15">
        <f>IF(I190="","",IFERROR(INDEX(Staff!$B$5:$B$44,MATCH(I190,Staff!$A$5:$A$44,0)),"Unassigned"))</f>
        <v>0</v>
      </c>
      <c r="S190" s="15">
        <f>IF(B190="","",TEXT(B190,"yyyy-mm"))</f>
        <v>0</v>
      </c>
      <c r="T190" s="25">
        <f>IF(B190="","",WEEKNUM(B190,2))</f>
        <v>0</v>
      </c>
      <c r="U190" s="25">
        <f>IF(B190="","",IF(K190&lt;&gt;"",K190,IFERROR(INDEX(Services!$E$5:$E$204,MATCH(G190,Services!$A$5:$A$204,0))*1,0)+IFERROR(INDEX(Services!$F$5:$F$204,MATCH(G190,Services!$A$5:$A$204,0))*1,0)))</f>
        <v>0</v>
      </c>
      <c r="V190" s="36">
        <f>IF(B190="","",IF(D190="","",D190+U190/1440))</f>
        <v>0</v>
      </c>
      <c r="W190" s="25">
        <f>IF(B190="","",IF(D190="","",HOUR(D190)))</f>
        <v>0</v>
      </c>
      <c r="X190" s="37">
        <f>IF(B190="","",ROUND(U190/60,2))</f>
        <v>0</v>
      </c>
      <c r="Y190" s="26">
        <f>IF(B190="","",IF(L190&lt;&gt;"",L190,IFERROR(INDEX(Services!$G$5:$G$204,MATCH(G190,Services!$A$5:$A$204,0))*1,0)))</f>
        <v>0</v>
      </c>
      <c r="Z190" s="26">
        <f>IF(B190="","",IF(O190&lt;&gt;"",O190,IF(Y190&gt;=DepositThreshold,ROUND(Y190*DepositPercent,2),0)))</f>
        <v>0</v>
      </c>
      <c r="AA190" s="26">
        <f>IF(B190="","",ROUND(SUMIFS(Payments!$G$5:$G$1204,Payments!$I$5:$I$1204,A190,Payments!$E$5:$E$1204,"Deposit"),2))</f>
        <v>0</v>
      </c>
      <c r="AB190" s="26">
        <f>IF(B190="","",ROUND(SUMIFS(Sales!$Y$5:$Y$1204,Sales!$C$5:$C$1204,A190),2))</f>
        <v>0</v>
      </c>
      <c r="AC190" s="38">
        <f>IF(B190="","",IF(M190="Completed","Yes",IF(M190="Cancelled","Yes",IF(M190="No show","Yes","No"))))</f>
        <v>0</v>
      </c>
      <c r="AD190" s="25">
        <f>IF(B190="","",IF(AE190="","",B190-AE190))</f>
        <v>0</v>
      </c>
      <c r="AF190" s="38">
        <f>IF(B190="","",IF(M190&lt;&gt;"Completed","",IF(E190="","No",IF(COUNTIFS(Appointments!$E$5:$E$1204,E190,Appointments!$B$5:$B$1204,"&gt;"&amp;B190,Appointments!$M$5:$M$1204,"&lt;&gt;Cancelled")&gt;0,"Yes","No"))))</f>
        <v>0</v>
      </c>
      <c r="AG190" s="38">
        <f>IF(B190="","",IF(I190="","",IF(D190="","",IF(COUNTIFS($I$5:$I$1204,I190,$B$5:$B$1204,B190,$D$5:$D$1204,"&lt;"&amp;V190,$V$5:$V$1204,"&gt;"&amp;D190,$M$5:$M$1204,"&lt;&gt;Cancelled")&gt;1,"Clash",""))))</f>
        <v>0</v>
      </c>
      <c r="AH190" s="39">
        <f>IF(B190="","",IF(AG190="Clash","Clash - stylist double booked",IF(I190="","Assign - no stylist yet",IF(G190="","Add - no service chosen",IF(M190="No show","No show - charge the fee?",IF(M190="Cancelled","",IF(IF(M190="Completed",AB190&lt;Y190-0.004,FALSE),"Unpaid - nothing rung up for this visit",IF(IF(B190&lt;TodayDate,M190="Booked",FALSE),"Overdue - past date, still only Booked",IF(IF(B190=TodayDate,TRUE,FALSE),"Today",IF(IF(Z190&gt;0,AA190&lt;Z190-0.004,FALSE),"Due - deposit not taken",IF(IF(B190&gt;TodayDate,B190&lt;=TodayDate+2,FALSE),"Confirm - coming up","OK")))))))))))</f>
        <v>0</v>
      </c>
    </row>
    <row r="191" spans="1:34">
      <c r="A191" s="28">
        <f>IF(B191="","",AppointmentPrefix&amp;TEXT(ROW()-4,"0000"))</f>
        <v>0</v>
      </c>
      <c r="C191" s="15">
        <f>IF(B191="","",TEXT(B191,"ddd"))</f>
        <v>0</v>
      </c>
      <c r="F191" s="15">
        <f>IF(E191="","",IFERROR(INDEX(Clients!$B$5:$B$504,MATCH(E191,Clients!$A$5:$A$504,0)),"Walk-in"))</f>
        <v>0</v>
      </c>
      <c r="H191" s="15">
        <f>IF(G191="","",IFERROR(INDEX(Services!$B$5:$B$204,MATCH(G191,Services!$A$5:$A$204,0)),"Not in Services"))</f>
        <v>0</v>
      </c>
      <c r="J191" s="15">
        <f>IF(I191="","",IFERROR(INDEX(Staff!$B$5:$B$44,MATCH(I191,Staff!$A$5:$A$44,0)),"Unassigned"))</f>
        <v>0</v>
      </c>
      <c r="S191" s="15">
        <f>IF(B191="","",TEXT(B191,"yyyy-mm"))</f>
        <v>0</v>
      </c>
      <c r="T191" s="25">
        <f>IF(B191="","",WEEKNUM(B191,2))</f>
        <v>0</v>
      </c>
      <c r="U191" s="25">
        <f>IF(B191="","",IF(K191&lt;&gt;"",K191,IFERROR(INDEX(Services!$E$5:$E$204,MATCH(G191,Services!$A$5:$A$204,0))*1,0)+IFERROR(INDEX(Services!$F$5:$F$204,MATCH(G191,Services!$A$5:$A$204,0))*1,0)))</f>
        <v>0</v>
      </c>
      <c r="V191" s="36">
        <f>IF(B191="","",IF(D191="","",D191+U191/1440))</f>
        <v>0</v>
      </c>
      <c r="W191" s="25">
        <f>IF(B191="","",IF(D191="","",HOUR(D191)))</f>
        <v>0</v>
      </c>
      <c r="X191" s="37">
        <f>IF(B191="","",ROUND(U191/60,2))</f>
        <v>0</v>
      </c>
      <c r="Y191" s="26">
        <f>IF(B191="","",IF(L191&lt;&gt;"",L191,IFERROR(INDEX(Services!$G$5:$G$204,MATCH(G191,Services!$A$5:$A$204,0))*1,0)))</f>
        <v>0</v>
      </c>
      <c r="Z191" s="26">
        <f>IF(B191="","",IF(O191&lt;&gt;"",O191,IF(Y191&gt;=DepositThreshold,ROUND(Y191*DepositPercent,2),0)))</f>
        <v>0</v>
      </c>
      <c r="AA191" s="26">
        <f>IF(B191="","",ROUND(SUMIFS(Payments!$G$5:$G$1204,Payments!$I$5:$I$1204,A191,Payments!$E$5:$E$1204,"Deposit"),2))</f>
        <v>0</v>
      </c>
      <c r="AB191" s="26">
        <f>IF(B191="","",ROUND(SUMIFS(Sales!$Y$5:$Y$1204,Sales!$C$5:$C$1204,A191),2))</f>
        <v>0</v>
      </c>
      <c r="AC191" s="38">
        <f>IF(B191="","",IF(M191="Completed","Yes",IF(M191="Cancelled","Yes",IF(M191="No show","Yes","No"))))</f>
        <v>0</v>
      </c>
      <c r="AD191" s="25">
        <f>IF(B191="","",IF(AE191="","",B191-AE191))</f>
        <v>0</v>
      </c>
      <c r="AF191" s="38">
        <f>IF(B191="","",IF(M191&lt;&gt;"Completed","",IF(E191="","No",IF(COUNTIFS(Appointments!$E$5:$E$1204,E191,Appointments!$B$5:$B$1204,"&gt;"&amp;B191,Appointments!$M$5:$M$1204,"&lt;&gt;Cancelled")&gt;0,"Yes","No"))))</f>
        <v>0</v>
      </c>
      <c r="AG191" s="38">
        <f>IF(B191="","",IF(I191="","",IF(D191="","",IF(COUNTIFS($I$5:$I$1204,I191,$B$5:$B$1204,B191,$D$5:$D$1204,"&lt;"&amp;V191,$V$5:$V$1204,"&gt;"&amp;D191,$M$5:$M$1204,"&lt;&gt;Cancelled")&gt;1,"Clash",""))))</f>
        <v>0</v>
      </c>
      <c r="AH191" s="39">
        <f>IF(B191="","",IF(AG191="Clash","Clash - stylist double booked",IF(I191="","Assign - no stylist yet",IF(G191="","Add - no service chosen",IF(M191="No show","No show - charge the fee?",IF(M191="Cancelled","",IF(IF(M191="Completed",AB191&lt;Y191-0.004,FALSE),"Unpaid - nothing rung up for this visit",IF(IF(B191&lt;TodayDate,M191="Booked",FALSE),"Overdue - past date, still only Booked",IF(IF(B191=TodayDate,TRUE,FALSE),"Today",IF(IF(Z191&gt;0,AA191&lt;Z191-0.004,FALSE),"Due - deposit not taken",IF(IF(B191&gt;TodayDate,B191&lt;=TodayDate+2,FALSE),"Confirm - coming up","OK")))))))))))</f>
        <v>0</v>
      </c>
    </row>
    <row r="192" spans="1:34">
      <c r="A192" s="28">
        <f>IF(B192="","",AppointmentPrefix&amp;TEXT(ROW()-4,"0000"))</f>
        <v>0</v>
      </c>
      <c r="C192" s="15">
        <f>IF(B192="","",TEXT(B192,"ddd"))</f>
        <v>0</v>
      </c>
      <c r="F192" s="15">
        <f>IF(E192="","",IFERROR(INDEX(Clients!$B$5:$B$504,MATCH(E192,Clients!$A$5:$A$504,0)),"Walk-in"))</f>
        <v>0</v>
      </c>
      <c r="H192" s="15">
        <f>IF(G192="","",IFERROR(INDEX(Services!$B$5:$B$204,MATCH(G192,Services!$A$5:$A$204,0)),"Not in Services"))</f>
        <v>0</v>
      </c>
      <c r="J192" s="15">
        <f>IF(I192="","",IFERROR(INDEX(Staff!$B$5:$B$44,MATCH(I192,Staff!$A$5:$A$44,0)),"Unassigned"))</f>
        <v>0</v>
      </c>
      <c r="S192" s="15">
        <f>IF(B192="","",TEXT(B192,"yyyy-mm"))</f>
        <v>0</v>
      </c>
      <c r="T192" s="25">
        <f>IF(B192="","",WEEKNUM(B192,2))</f>
        <v>0</v>
      </c>
      <c r="U192" s="25">
        <f>IF(B192="","",IF(K192&lt;&gt;"",K192,IFERROR(INDEX(Services!$E$5:$E$204,MATCH(G192,Services!$A$5:$A$204,0))*1,0)+IFERROR(INDEX(Services!$F$5:$F$204,MATCH(G192,Services!$A$5:$A$204,0))*1,0)))</f>
        <v>0</v>
      </c>
      <c r="V192" s="36">
        <f>IF(B192="","",IF(D192="","",D192+U192/1440))</f>
        <v>0</v>
      </c>
      <c r="W192" s="25">
        <f>IF(B192="","",IF(D192="","",HOUR(D192)))</f>
        <v>0</v>
      </c>
      <c r="X192" s="37">
        <f>IF(B192="","",ROUND(U192/60,2))</f>
        <v>0</v>
      </c>
      <c r="Y192" s="26">
        <f>IF(B192="","",IF(L192&lt;&gt;"",L192,IFERROR(INDEX(Services!$G$5:$G$204,MATCH(G192,Services!$A$5:$A$204,0))*1,0)))</f>
        <v>0</v>
      </c>
      <c r="Z192" s="26">
        <f>IF(B192="","",IF(O192&lt;&gt;"",O192,IF(Y192&gt;=DepositThreshold,ROUND(Y192*DepositPercent,2),0)))</f>
        <v>0</v>
      </c>
      <c r="AA192" s="26">
        <f>IF(B192="","",ROUND(SUMIFS(Payments!$G$5:$G$1204,Payments!$I$5:$I$1204,A192,Payments!$E$5:$E$1204,"Deposit"),2))</f>
        <v>0</v>
      </c>
      <c r="AB192" s="26">
        <f>IF(B192="","",ROUND(SUMIFS(Sales!$Y$5:$Y$1204,Sales!$C$5:$C$1204,A192),2))</f>
        <v>0</v>
      </c>
      <c r="AC192" s="38">
        <f>IF(B192="","",IF(M192="Completed","Yes",IF(M192="Cancelled","Yes",IF(M192="No show","Yes","No"))))</f>
        <v>0</v>
      </c>
      <c r="AD192" s="25">
        <f>IF(B192="","",IF(AE192="","",B192-AE192))</f>
        <v>0</v>
      </c>
      <c r="AF192" s="38">
        <f>IF(B192="","",IF(M192&lt;&gt;"Completed","",IF(E192="","No",IF(COUNTIFS(Appointments!$E$5:$E$1204,E192,Appointments!$B$5:$B$1204,"&gt;"&amp;B192,Appointments!$M$5:$M$1204,"&lt;&gt;Cancelled")&gt;0,"Yes","No"))))</f>
        <v>0</v>
      </c>
      <c r="AG192" s="38">
        <f>IF(B192="","",IF(I192="","",IF(D192="","",IF(COUNTIFS($I$5:$I$1204,I192,$B$5:$B$1204,B192,$D$5:$D$1204,"&lt;"&amp;V192,$V$5:$V$1204,"&gt;"&amp;D192,$M$5:$M$1204,"&lt;&gt;Cancelled")&gt;1,"Clash",""))))</f>
        <v>0</v>
      </c>
      <c r="AH192" s="39">
        <f>IF(B192="","",IF(AG192="Clash","Clash - stylist double booked",IF(I192="","Assign - no stylist yet",IF(G192="","Add - no service chosen",IF(M192="No show","No show - charge the fee?",IF(M192="Cancelled","",IF(IF(M192="Completed",AB192&lt;Y192-0.004,FALSE),"Unpaid - nothing rung up for this visit",IF(IF(B192&lt;TodayDate,M192="Booked",FALSE),"Overdue - past date, still only Booked",IF(IF(B192=TodayDate,TRUE,FALSE),"Today",IF(IF(Z192&gt;0,AA192&lt;Z192-0.004,FALSE),"Due - deposit not taken",IF(IF(B192&gt;TodayDate,B192&lt;=TodayDate+2,FALSE),"Confirm - coming up","OK")))))))))))</f>
        <v>0</v>
      </c>
    </row>
    <row r="193" spans="1:34">
      <c r="A193" s="28">
        <f>IF(B193="","",AppointmentPrefix&amp;TEXT(ROW()-4,"0000"))</f>
        <v>0</v>
      </c>
      <c r="C193" s="15">
        <f>IF(B193="","",TEXT(B193,"ddd"))</f>
        <v>0</v>
      </c>
      <c r="F193" s="15">
        <f>IF(E193="","",IFERROR(INDEX(Clients!$B$5:$B$504,MATCH(E193,Clients!$A$5:$A$504,0)),"Walk-in"))</f>
        <v>0</v>
      </c>
      <c r="H193" s="15">
        <f>IF(G193="","",IFERROR(INDEX(Services!$B$5:$B$204,MATCH(G193,Services!$A$5:$A$204,0)),"Not in Services"))</f>
        <v>0</v>
      </c>
      <c r="J193" s="15">
        <f>IF(I193="","",IFERROR(INDEX(Staff!$B$5:$B$44,MATCH(I193,Staff!$A$5:$A$44,0)),"Unassigned"))</f>
        <v>0</v>
      </c>
      <c r="S193" s="15">
        <f>IF(B193="","",TEXT(B193,"yyyy-mm"))</f>
        <v>0</v>
      </c>
      <c r="T193" s="25">
        <f>IF(B193="","",WEEKNUM(B193,2))</f>
        <v>0</v>
      </c>
      <c r="U193" s="25">
        <f>IF(B193="","",IF(K193&lt;&gt;"",K193,IFERROR(INDEX(Services!$E$5:$E$204,MATCH(G193,Services!$A$5:$A$204,0))*1,0)+IFERROR(INDEX(Services!$F$5:$F$204,MATCH(G193,Services!$A$5:$A$204,0))*1,0)))</f>
        <v>0</v>
      </c>
      <c r="V193" s="36">
        <f>IF(B193="","",IF(D193="","",D193+U193/1440))</f>
        <v>0</v>
      </c>
      <c r="W193" s="25">
        <f>IF(B193="","",IF(D193="","",HOUR(D193)))</f>
        <v>0</v>
      </c>
      <c r="X193" s="37">
        <f>IF(B193="","",ROUND(U193/60,2))</f>
        <v>0</v>
      </c>
      <c r="Y193" s="26">
        <f>IF(B193="","",IF(L193&lt;&gt;"",L193,IFERROR(INDEX(Services!$G$5:$G$204,MATCH(G193,Services!$A$5:$A$204,0))*1,0)))</f>
        <v>0</v>
      </c>
      <c r="Z193" s="26">
        <f>IF(B193="","",IF(O193&lt;&gt;"",O193,IF(Y193&gt;=DepositThreshold,ROUND(Y193*DepositPercent,2),0)))</f>
        <v>0</v>
      </c>
      <c r="AA193" s="26">
        <f>IF(B193="","",ROUND(SUMIFS(Payments!$G$5:$G$1204,Payments!$I$5:$I$1204,A193,Payments!$E$5:$E$1204,"Deposit"),2))</f>
        <v>0</v>
      </c>
      <c r="AB193" s="26">
        <f>IF(B193="","",ROUND(SUMIFS(Sales!$Y$5:$Y$1204,Sales!$C$5:$C$1204,A193),2))</f>
        <v>0</v>
      </c>
      <c r="AC193" s="38">
        <f>IF(B193="","",IF(M193="Completed","Yes",IF(M193="Cancelled","Yes",IF(M193="No show","Yes","No"))))</f>
        <v>0</v>
      </c>
      <c r="AD193" s="25">
        <f>IF(B193="","",IF(AE193="","",B193-AE193))</f>
        <v>0</v>
      </c>
      <c r="AF193" s="38">
        <f>IF(B193="","",IF(M193&lt;&gt;"Completed","",IF(E193="","No",IF(COUNTIFS(Appointments!$E$5:$E$1204,E193,Appointments!$B$5:$B$1204,"&gt;"&amp;B193,Appointments!$M$5:$M$1204,"&lt;&gt;Cancelled")&gt;0,"Yes","No"))))</f>
        <v>0</v>
      </c>
      <c r="AG193" s="38">
        <f>IF(B193="","",IF(I193="","",IF(D193="","",IF(COUNTIFS($I$5:$I$1204,I193,$B$5:$B$1204,B193,$D$5:$D$1204,"&lt;"&amp;V193,$V$5:$V$1204,"&gt;"&amp;D193,$M$5:$M$1204,"&lt;&gt;Cancelled")&gt;1,"Clash",""))))</f>
        <v>0</v>
      </c>
      <c r="AH193" s="39">
        <f>IF(B193="","",IF(AG193="Clash","Clash - stylist double booked",IF(I193="","Assign - no stylist yet",IF(G193="","Add - no service chosen",IF(M193="No show","No show - charge the fee?",IF(M193="Cancelled","",IF(IF(M193="Completed",AB193&lt;Y193-0.004,FALSE),"Unpaid - nothing rung up for this visit",IF(IF(B193&lt;TodayDate,M193="Booked",FALSE),"Overdue - past date, still only Booked",IF(IF(B193=TodayDate,TRUE,FALSE),"Today",IF(IF(Z193&gt;0,AA193&lt;Z193-0.004,FALSE),"Due - deposit not taken",IF(IF(B193&gt;TodayDate,B193&lt;=TodayDate+2,FALSE),"Confirm - coming up","OK")))))))))))</f>
        <v>0</v>
      </c>
    </row>
    <row r="194" spans="1:34">
      <c r="A194" s="28">
        <f>IF(B194="","",AppointmentPrefix&amp;TEXT(ROW()-4,"0000"))</f>
        <v>0</v>
      </c>
      <c r="C194" s="15">
        <f>IF(B194="","",TEXT(B194,"ddd"))</f>
        <v>0</v>
      </c>
      <c r="F194" s="15">
        <f>IF(E194="","",IFERROR(INDEX(Clients!$B$5:$B$504,MATCH(E194,Clients!$A$5:$A$504,0)),"Walk-in"))</f>
        <v>0</v>
      </c>
      <c r="H194" s="15">
        <f>IF(G194="","",IFERROR(INDEX(Services!$B$5:$B$204,MATCH(G194,Services!$A$5:$A$204,0)),"Not in Services"))</f>
        <v>0</v>
      </c>
      <c r="J194" s="15">
        <f>IF(I194="","",IFERROR(INDEX(Staff!$B$5:$B$44,MATCH(I194,Staff!$A$5:$A$44,0)),"Unassigned"))</f>
        <v>0</v>
      </c>
      <c r="S194" s="15">
        <f>IF(B194="","",TEXT(B194,"yyyy-mm"))</f>
        <v>0</v>
      </c>
      <c r="T194" s="25">
        <f>IF(B194="","",WEEKNUM(B194,2))</f>
        <v>0</v>
      </c>
      <c r="U194" s="25">
        <f>IF(B194="","",IF(K194&lt;&gt;"",K194,IFERROR(INDEX(Services!$E$5:$E$204,MATCH(G194,Services!$A$5:$A$204,0))*1,0)+IFERROR(INDEX(Services!$F$5:$F$204,MATCH(G194,Services!$A$5:$A$204,0))*1,0)))</f>
        <v>0</v>
      </c>
      <c r="V194" s="36">
        <f>IF(B194="","",IF(D194="","",D194+U194/1440))</f>
        <v>0</v>
      </c>
      <c r="W194" s="25">
        <f>IF(B194="","",IF(D194="","",HOUR(D194)))</f>
        <v>0</v>
      </c>
      <c r="X194" s="37">
        <f>IF(B194="","",ROUND(U194/60,2))</f>
        <v>0</v>
      </c>
      <c r="Y194" s="26">
        <f>IF(B194="","",IF(L194&lt;&gt;"",L194,IFERROR(INDEX(Services!$G$5:$G$204,MATCH(G194,Services!$A$5:$A$204,0))*1,0)))</f>
        <v>0</v>
      </c>
      <c r="Z194" s="26">
        <f>IF(B194="","",IF(O194&lt;&gt;"",O194,IF(Y194&gt;=DepositThreshold,ROUND(Y194*DepositPercent,2),0)))</f>
        <v>0</v>
      </c>
      <c r="AA194" s="26">
        <f>IF(B194="","",ROUND(SUMIFS(Payments!$G$5:$G$1204,Payments!$I$5:$I$1204,A194,Payments!$E$5:$E$1204,"Deposit"),2))</f>
        <v>0</v>
      </c>
      <c r="AB194" s="26">
        <f>IF(B194="","",ROUND(SUMIFS(Sales!$Y$5:$Y$1204,Sales!$C$5:$C$1204,A194),2))</f>
        <v>0</v>
      </c>
      <c r="AC194" s="38">
        <f>IF(B194="","",IF(M194="Completed","Yes",IF(M194="Cancelled","Yes",IF(M194="No show","Yes","No"))))</f>
        <v>0</v>
      </c>
      <c r="AD194" s="25">
        <f>IF(B194="","",IF(AE194="","",B194-AE194))</f>
        <v>0</v>
      </c>
      <c r="AF194" s="38">
        <f>IF(B194="","",IF(M194&lt;&gt;"Completed","",IF(E194="","No",IF(COUNTIFS(Appointments!$E$5:$E$1204,E194,Appointments!$B$5:$B$1204,"&gt;"&amp;B194,Appointments!$M$5:$M$1204,"&lt;&gt;Cancelled")&gt;0,"Yes","No"))))</f>
        <v>0</v>
      </c>
      <c r="AG194" s="38">
        <f>IF(B194="","",IF(I194="","",IF(D194="","",IF(COUNTIFS($I$5:$I$1204,I194,$B$5:$B$1204,B194,$D$5:$D$1204,"&lt;"&amp;V194,$V$5:$V$1204,"&gt;"&amp;D194,$M$5:$M$1204,"&lt;&gt;Cancelled")&gt;1,"Clash",""))))</f>
        <v>0</v>
      </c>
      <c r="AH194" s="39">
        <f>IF(B194="","",IF(AG194="Clash","Clash - stylist double booked",IF(I194="","Assign - no stylist yet",IF(G194="","Add - no service chosen",IF(M194="No show","No show - charge the fee?",IF(M194="Cancelled","",IF(IF(M194="Completed",AB194&lt;Y194-0.004,FALSE),"Unpaid - nothing rung up for this visit",IF(IF(B194&lt;TodayDate,M194="Booked",FALSE),"Overdue - past date, still only Booked",IF(IF(B194=TodayDate,TRUE,FALSE),"Today",IF(IF(Z194&gt;0,AA194&lt;Z194-0.004,FALSE),"Due - deposit not taken",IF(IF(B194&gt;TodayDate,B194&lt;=TodayDate+2,FALSE),"Confirm - coming up","OK")))))))))))</f>
        <v>0</v>
      </c>
    </row>
    <row r="195" spans="1:34">
      <c r="A195" s="28">
        <f>IF(B195="","",AppointmentPrefix&amp;TEXT(ROW()-4,"0000"))</f>
        <v>0</v>
      </c>
      <c r="C195" s="15">
        <f>IF(B195="","",TEXT(B195,"ddd"))</f>
        <v>0</v>
      </c>
      <c r="F195" s="15">
        <f>IF(E195="","",IFERROR(INDEX(Clients!$B$5:$B$504,MATCH(E195,Clients!$A$5:$A$504,0)),"Walk-in"))</f>
        <v>0</v>
      </c>
      <c r="H195" s="15">
        <f>IF(G195="","",IFERROR(INDEX(Services!$B$5:$B$204,MATCH(G195,Services!$A$5:$A$204,0)),"Not in Services"))</f>
        <v>0</v>
      </c>
      <c r="J195" s="15">
        <f>IF(I195="","",IFERROR(INDEX(Staff!$B$5:$B$44,MATCH(I195,Staff!$A$5:$A$44,0)),"Unassigned"))</f>
        <v>0</v>
      </c>
      <c r="S195" s="15">
        <f>IF(B195="","",TEXT(B195,"yyyy-mm"))</f>
        <v>0</v>
      </c>
      <c r="T195" s="25">
        <f>IF(B195="","",WEEKNUM(B195,2))</f>
        <v>0</v>
      </c>
      <c r="U195" s="25">
        <f>IF(B195="","",IF(K195&lt;&gt;"",K195,IFERROR(INDEX(Services!$E$5:$E$204,MATCH(G195,Services!$A$5:$A$204,0))*1,0)+IFERROR(INDEX(Services!$F$5:$F$204,MATCH(G195,Services!$A$5:$A$204,0))*1,0)))</f>
        <v>0</v>
      </c>
      <c r="V195" s="36">
        <f>IF(B195="","",IF(D195="","",D195+U195/1440))</f>
        <v>0</v>
      </c>
      <c r="W195" s="25">
        <f>IF(B195="","",IF(D195="","",HOUR(D195)))</f>
        <v>0</v>
      </c>
      <c r="X195" s="37">
        <f>IF(B195="","",ROUND(U195/60,2))</f>
        <v>0</v>
      </c>
      <c r="Y195" s="26">
        <f>IF(B195="","",IF(L195&lt;&gt;"",L195,IFERROR(INDEX(Services!$G$5:$G$204,MATCH(G195,Services!$A$5:$A$204,0))*1,0)))</f>
        <v>0</v>
      </c>
      <c r="Z195" s="26">
        <f>IF(B195="","",IF(O195&lt;&gt;"",O195,IF(Y195&gt;=DepositThreshold,ROUND(Y195*DepositPercent,2),0)))</f>
        <v>0</v>
      </c>
      <c r="AA195" s="26">
        <f>IF(B195="","",ROUND(SUMIFS(Payments!$G$5:$G$1204,Payments!$I$5:$I$1204,A195,Payments!$E$5:$E$1204,"Deposit"),2))</f>
        <v>0</v>
      </c>
      <c r="AB195" s="26">
        <f>IF(B195="","",ROUND(SUMIFS(Sales!$Y$5:$Y$1204,Sales!$C$5:$C$1204,A195),2))</f>
        <v>0</v>
      </c>
      <c r="AC195" s="38">
        <f>IF(B195="","",IF(M195="Completed","Yes",IF(M195="Cancelled","Yes",IF(M195="No show","Yes","No"))))</f>
        <v>0</v>
      </c>
      <c r="AD195" s="25">
        <f>IF(B195="","",IF(AE195="","",B195-AE195))</f>
        <v>0</v>
      </c>
      <c r="AF195" s="38">
        <f>IF(B195="","",IF(M195&lt;&gt;"Completed","",IF(E195="","No",IF(COUNTIFS(Appointments!$E$5:$E$1204,E195,Appointments!$B$5:$B$1204,"&gt;"&amp;B195,Appointments!$M$5:$M$1204,"&lt;&gt;Cancelled")&gt;0,"Yes","No"))))</f>
        <v>0</v>
      </c>
      <c r="AG195" s="38">
        <f>IF(B195="","",IF(I195="","",IF(D195="","",IF(COUNTIFS($I$5:$I$1204,I195,$B$5:$B$1204,B195,$D$5:$D$1204,"&lt;"&amp;V195,$V$5:$V$1204,"&gt;"&amp;D195,$M$5:$M$1204,"&lt;&gt;Cancelled")&gt;1,"Clash",""))))</f>
        <v>0</v>
      </c>
      <c r="AH195" s="39">
        <f>IF(B195="","",IF(AG195="Clash","Clash - stylist double booked",IF(I195="","Assign - no stylist yet",IF(G195="","Add - no service chosen",IF(M195="No show","No show - charge the fee?",IF(M195="Cancelled","",IF(IF(M195="Completed",AB195&lt;Y195-0.004,FALSE),"Unpaid - nothing rung up for this visit",IF(IF(B195&lt;TodayDate,M195="Booked",FALSE),"Overdue - past date, still only Booked",IF(IF(B195=TodayDate,TRUE,FALSE),"Today",IF(IF(Z195&gt;0,AA195&lt;Z195-0.004,FALSE),"Due - deposit not taken",IF(IF(B195&gt;TodayDate,B195&lt;=TodayDate+2,FALSE),"Confirm - coming up","OK")))))))))))</f>
        <v>0</v>
      </c>
    </row>
    <row r="196" spans="1:34">
      <c r="A196" s="28">
        <f>IF(B196="","",AppointmentPrefix&amp;TEXT(ROW()-4,"0000"))</f>
        <v>0</v>
      </c>
      <c r="C196" s="15">
        <f>IF(B196="","",TEXT(B196,"ddd"))</f>
        <v>0</v>
      </c>
      <c r="F196" s="15">
        <f>IF(E196="","",IFERROR(INDEX(Clients!$B$5:$B$504,MATCH(E196,Clients!$A$5:$A$504,0)),"Walk-in"))</f>
        <v>0</v>
      </c>
      <c r="H196" s="15">
        <f>IF(G196="","",IFERROR(INDEX(Services!$B$5:$B$204,MATCH(G196,Services!$A$5:$A$204,0)),"Not in Services"))</f>
        <v>0</v>
      </c>
      <c r="J196" s="15">
        <f>IF(I196="","",IFERROR(INDEX(Staff!$B$5:$B$44,MATCH(I196,Staff!$A$5:$A$44,0)),"Unassigned"))</f>
        <v>0</v>
      </c>
      <c r="S196" s="15">
        <f>IF(B196="","",TEXT(B196,"yyyy-mm"))</f>
        <v>0</v>
      </c>
      <c r="T196" s="25">
        <f>IF(B196="","",WEEKNUM(B196,2))</f>
        <v>0</v>
      </c>
      <c r="U196" s="25">
        <f>IF(B196="","",IF(K196&lt;&gt;"",K196,IFERROR(INDEX(Services!$E$5:$E$204,MATCH(G196,Services!$A$5:$A$204,0))*1,0)+IFERROR(INDEX(Services!$F$5:$F$204,MATCH(G196,Services!$A$5:$A$204,0))*1,0)))</f>
        <v>0</v>
      </c>
      <c r="V196" s="36">
        <f>IF(B196="","",IF(D196="","",D196+U196/1440))</f>
        <v>0</v>
      </c>
      <c r="W196" s="25">
        <f>IF(B196="","",IF(D196="","",HOUR(D196)))</f>
        <v>0</v>
      </c>
      <c r="X196" s="37">
        <f>IF(B196="","",ROUND(U196/60,2))</f>
        <v>0</v>
      </c>
      <c r="Y196" s="26">
        <f>IF(B196="","",IF(L196&lt;&gt;"",L196,IFERROR(INDEX(Services!$G$5:$G$204,MATCH(G196,Services!$A$5:$A$204,0))*1,0)))</f>
        <v>0</v>
      </c>
      <c r="Z196" s="26">
        <f>IF(B196="","",IF(O196&lt;&gt;"",O196,IF(Y196&gt;=DepositThreshold,ROUND(Y196*DepositPercent,2),0)))</f>
        <v>0</v>
      </c>
      <c r="AA196" s="26">
        <f>IF(B196="","",ROUND(SUMIFS(Payments!$G$5:$G$1204,Payments!$I$5:$I$1204,A196,Payments!$E$5:$E$1204,"Deposit"),2))</f>
        <v>0</v>
      </c>
      <c r="AB196" s="26">
        <f>IF(B196="","",ROUND(SUMIFS(Sales!$Y$5:$Y$1204,Sales!$C$5:$C$1204,A196),2))</f>
        <v>0</v>
      </c>
      <c r="AC196" s="38">
        <f>IF(B196="","",IF(M196="Completed","Yes",IF(M196="Cancelled","Yes",IF(M196="No show","Yes","No"))))</f>
        <v>0</v>
      </c>
      <c r="AD196" s="25">
        <f>IF(B196="","",IF(AE196="","",B196-AE196))</f>
        <v>0</v>
      </c>
      <c r="AF196" s="38">
        <f>IF(B196="","",IF(M196&lt;&gt;"Completed","",IF(E196="","No",IF(COUNTIFS(Appointments!$E$5:$E$1204,E196,Appointments!$B$5:$B$1204,"&gt;"&amp;B196,Appointments!$M$5:$M$1204,"&lt;&gt;Cancelled")&gt;0,"Yes","No"))))</f>
        <v>0</v>
      </c>
      <c r="AG196" s="38">
        <f>IF(B196="","",IF(I196="","",IF(D196="","",IF(COUNTIFS($I$5:$I$1204,I196,$B$5:$B$1204,B196,$D$5:$D$1204,"&lt;"&amp;V196,$V$5:$V$1204,"&gt;"&amp;D196,$M$5:$M$1204,"&lt;&gt;Cancelled")&gt;1,"Clash",""))))</f>
        <v>0</v>
      </c>
      <c r="AH196" s="39">
        <f>IF(B196="","",IF(AG196="Clash","Clash - stylist double booked",IF(I196="","Assign - no stylist yet",IF(G196="","Add - no service chosen",IF(M196="No show","No show - charge the fee?",IF(M196="Cancelled","",IF(IF(M196="Completed",AB196&lt;Y196-0.004,FALSE),"Unpaid - nothing rung up for this visit",IF(IF(B196&lt;TodayDate,M196="Booked",FALSE),"Overdue - past date, still only Booked",IF(IF(B196=TodayDate,TRUE,FALSE),"Today",IF(IF(Z196&gt;0,AA196&lt;Z196-0.004,FALSE),"Due - deposit not taken",IF(IF(B196&gt;TodayDate,B196&lt;=TodayDate+2,FALSE),"Confirm - coming up","OK")))))))))))</f>
        <v>0</v>
      </c>
    </row>
    <row r="197" spans="1:34">
      <c r="A197" s="28">
        <f>IF(B197="","",AppointmentPrefix&amp;TEXT(ROW()-4,"0000"))</f>
        <v>0</v>
      </c>
      <c r="C197" s="15">
        <f>IF(B197="","",TEXT(B197,"ddd"))</f>
        <v>0</v>
      </c>
      <c r="F197" s="15">
        <f>IF(E197="","",IFERROR(INDEX(Clients!$B$5:$B$504,MATCH(E197,Clients!$A$5:$A$504,0)),"Walk-in"))</f>
        <v>0</v>
      </c>
      <c r="H197" s="15">
        <f>IF(G197="","",IFERROR(INDEX(Services!$B$5:$B$204,MATCH(G197,Services!$A$5:$A$204,0)),"Not in Services"))</f>
        <v>0</v>
      </c>
      <c r="J197" s="15">
        <f>IF(I197="","",IFERROR(INDEX(Staff!$B$5:$B$44,MATCH(I197,Staff!$A$5:$A$44,0)),"Unassigned"))</f>
        <v>0</v>
      </c>
      <c r="S197" s="15">
        <f>IF(B197="","",TEXT(B197,"yyyy-mm"))</f>
        <v>0</v>
      </c>
      <c r="T197" s="25">
        <f>IF(B197="","",WEEKNUM(B197,2))</f>
        <v>0</v>
      </c>
      <c r="U197" s="25">
        <f>IF(B197="","",IF(K197&lt;&gt;"",K197,IFERROR(INDEX(Services!$E$5:$E$204,MATCH(G197,Services!$A$5:$A$204,0))*1,0)+IFERROR(INDEX(Services!$F$5:$F$204,MATCH(G197,Services!$A$5:$A$204,0))*1,0)))</f>
        <v>0</v>
      </c>
      <c r="V197" s="36">
        <f>IF(B197="","",IF(D197="","",D197+U197/1440))</f>
        <v>0</v>
      </c>
      <c r="W197" s="25">
        <f>IF(B197="","",IF(D197="","",HOUR(D197)))</f>
        <v>0</v>
      </c>
      <c r="X197" s="37">
        <f>IF(B197="","",ROUND(U197/60,2))</f>
        <v>0</v>
      </c>
      <c r="Y197" s="26">
        <f>IF(B197="","",IF(L197&lt;&gt;"",L197,IFERROR(INDEX(Services!$G$5:$G$204,MATCH(G197,Services!$A$5:$A$204,0))*1,0)))</f>
        <v>0</v>
      </c>
      <c r="Z197" s="26">
        <f>IF(B197="","",IF(O197&lt;&gt;"",O197,IF(Y197&gt;=DepositThreshold,ROUND(Y197*DepositPercent,2),0)))</f>
        <v>0</v>
      </c>
      <c r="AA197" s="26">
        <f>IF(B197="","",ROUND(SUMIFS(Payments!$G$5:$G$1204,Payments!$I$5:$I$1204,A197,Payments!$E$5:$E$1204,"Deposit"),2))</f>
        <v>0</v>
      </c>
      <c r="AB197" s="26">
        <f>IF(B197="","",ROUND(SUMIFS(Sales!$Y$5:$Y$1204,Sales!$C$5:$C$1204,A197),2))</f>
        <v>0</v>
      </c>
      <c r="AC197" s="38">
        <f>IF(B197="","",IF(M197="Completed","Yes",IF(M197="Cancelled","Yes",IF(M197="No show","Yes","No"))))</f>
        <v>0</v>
      </c>
      <c r="AD197" s="25">
        <f>IF(B197="","",IF(AE197="","",B197-AE197))</f>
        <v>0</v>
      </c>
      <c r="AF197" s="38">
        <f>IF(B197="","",IF(M197&lt;&gt;"Completed","",IF(E197="","No",IF(COUNTIFS(Appointments!$E$5:$E$1204,E197,Appointments!$B$5:$B$1204,"&gt;"&amp;B197,Appointments!$M$5:$M$1204,"&lt;&gt;Cancelled")&gt;0,"Yes","No"))))</f>
        <v>0</v>
      </c>
      <c r="AG197" s="38">
        <f>IF(B197="","",IF(I197="","",IF(D197="","",IF(COUNTIFS($I$5:$I$1204,I197,$B$5:$B$1204,B197,$D$5:$D$1204,"&lt;"&amp;V197,$V$5:$V$1204,"&gt;"&amp;D197,$M$5:$M$1204,"&lt;&gt;Cancelled")&gt;1,"Clash",""))))</f>
        <v>0</v>
      </c>
      <c r="AH197" s="39">
        <f>IF(B197="","",IF(AG197="Clash","Clash - stylist double booked",IF(I197="","Assign - no stylist yet",IF(G197="","Add - no service chosen",IF(M197="No show","No show - charge the fee?",IF(M197="Cancelled","",IF(IF(M197="Completed",AB197&lt;Y197-0.004,FALSE),"Unpaid - nothing rung up for this visit",IF(IF(B197&lt;TodayDate,M197="Booked",FALSE),"Overdue - past date, still only Booked",IF(IF(B197=TodayDate,TRUE,FALSE),"Today",IF(IF(Z197&gt;0,AA197&lt;Z197-0.004,FALSE),"Due - deposit not taken",IF(IF(B197&gt;TodayDate,B197&lt;=TodayDate+2,FALSE),"Confirm - coming up","OK")))))))))))</f>
        <v>0</v>
      </c>
    </row>
    <row r="198" spans="1:34">
      <c r="A198" s="28">
        <f>IF(B198="","",AppointmentPrefix&amp;TEXT(ROW()-4,"0000"))</f>
        <v>0</v>
      </c>
      <c r="C198" s="15">
        <f>IF(B198="","",TEXT(B198,"ddd"))</f>
        <v>0</v>
      </c>
      <c r="F198" s="15">
        <f>IF(E198="","",IFERROR(INDEX(Clients!$B$5:$B$504,MATCH(E198,Clients!$A$5:$A$504,0)),"Walk-in"))</f>
        <v>0</v>
      </c>
      <c r="H198" s="15">
        <f>IF(G198="","",IFERROR(INDEX(Services!$B$5:$B$204,MATCH(G198,Services!$A$5:$A$204,0)),"Not in Services"))</f>
        <v>0</v>
      </c>
      <c r="J198" s="15">
        <f>IF(I198="","",IFERROR(INDEX(Staff!$B$5:$B$44,MATCH(I198,Staff!$A$5:$A$44,0)),"Unassigned"))</f>
        <v>0</v>
      </c>
      <c r="S198" s="15">
        <f>IF(B198="","",TEXT(B198,"yyyy-mm"))</f>
        <v>0</v>
      </c>
      <c r="T198" s="25">
        <f>IF(B198="","",WEEKNUM(B198,2))</f>
        <v>0</v>
      </c>
      <c r="U198" s="25">
        <f>IF(B198="","",IF(K198&lt;&gt;"",K198,IFERROR(INDEX(Services!$E$5:$E$204,MATCH(G198,Services!$A$5:$A$204,0))*1,0)+IFERROR(INDEX(Services!$F$5:$F$204,MATCH(G198,Services!$A$5:$A$204,0))*1,0)))</f>
        <v>0</v>
      </c>
      <c r="V198" s="36">
        <f>IF(B198="","",IF(D198="","",D198+U198/1440))</f>
        <v>0</v>
      </c>
      <c r="W198" s="25">
        <f>IF(B198="","",IF(D198="","",HOUR(D198)))</f>
        <v>0</v>
      </c>
      <c r="X198" s="37">
        <f>IF(B198="","",ROUND(U198/60,2))</f>
        <v>0</v>
      </c>
      <c r="Y198" s="26">
        <f>IF(B198="","",IF(L198&lt;&gt;"",L198,IFERROR(INDEX(Services!$G$5:$G$204,MATCH(G198,Services!$A$5:$A$204,0))*1,0)))</f>
        <v>0</v>
      </c>
      <c r="Z198" s="26">
        <f>IF(B198="","",IF(O198&lt;&gt;"",O198,IF(Y198&gt;=DepositThreshold,ROUND(Y198*DepositPercent,2),0)))</f>
        <v>0</v>
      </c>
      <c r="AA198" s="26">
        <f>IF(B198="","",ROUND(SUMIFS(Payments!$G$5:$G$1204,Payments!$I$5:$I$1204,A198,Payments!$E$5:$E$1204,"Deposit"),2))</f>
        <v>0</v>
      </c>
      <c r="AB198" s="26">
        <f>IF(B198="","",ROUND(SUMIFS(Sales!$Y$5:$Y$1204,Sales!$C$5:$C$1204,A198),2))</f>
        <v>0</v>
      </c>
      <c r="AC198" s="38">
        <f>IF(B198="","",IF(M198="Completed","Yes",IF(M198="Cancelled","Yes",IF(M198="No show","Yes","No"))))</f>
        <v>0</v>
      </c>
      <c r="AD198" s="25">
        <f>IF(B198="","",IF(AE198="","",B198-AE198))</f>
        <v>0</v>
      </c>
      <c r="AF198" s="38">
        <f>IF(B198="","",IF(M198&lt;&gt;"Completed","",IF(E198="","No",IF(COUNTIFS(Appointments!$E$5:$E$1204,E198,Appointments!$B$5:$B$1204,"&gt;"&amp;B198,Appointments!$M$5:$M$1204,"&lt;&gt;Cancelled")&gt;0,"Yes","No"))))</f>
        <v>0</v>
      </c>
      <c r="AG198" s="38">
        <f>IF(B198="","",IF(I198="","",IF(D198="","",IF(COUNTIFS($I$5:$I$1204,I198,$B$5:$B$1204,B198,$D$5:$D$1204,"&lt;"&amp;V198,$V$5:$V$1204,"&gt;"&amp;D198,$M$5:$M$1204,"&lt;&gt;Cancelled")&gt;1,"Clash",""))))</f>
        <v>0</v>
      </c>
      <c r="AH198" s="39">
        <f>IF(B198="","",IF(AG198="Clash","Clash - stylist double booked",IF(I198="","Assign - no stylist yet",IF(G198="","Add - no service chosen",IF(M198="No show","No show - charge the fee?",IF(M198="Cancelled","",IF(IF(M198="Completed",AB198&lt;Y198-0.004,FALSE),"Unpaid - nothing rung up for this visit",IF(IF(B198&lt;TodayDate,M198="Booked",FALSE),"Overdue - past date, still only Booked",IF(IF(B198=TodayDate,TRUE,FALSE),"Today",IF(IF(Z198&gt;0,AA198&lt;Z198-0.004,FALSE),"Due - deposit not taken",IF(IF(B198&gt;TodayDate,B198&lt;=TodayDate+2,FALSE),"Confirm - coming up","OK")))))))))))</f>
        <v>0</v>
      </c>
    </row>
    <row r="199" spans="1:34">
      <c r="A199" s="28">
        <f>IF(B199="","",AppointmentPrefix&amp;TEXT(ROW()-4,"0000"))</f>
        <v>0</v>
      </c>
      <c r="C199" s="15">
        <f>IF(B199="","",TEXT(B199,"ddd"))</f>
        <v>0</v>
      </c>
      <c r="F199" s="15">
        <f>IF(E199="","",IFERROR(INDEX(Clients!$B$5:$B$504,MATCH(E199,Clients!$A$5:$A$504,0)),"Walk-in"))</f>
        <v>0</v>
      </c>
      <c r="H199" s="15">
        <f>IF(G199="","",IFERROR(INDEX(Services!$B$5:$B$204,MATCH(G199,Services!$A$5:$A$204,0)),"Not in Services"))</f>
        <v>0</v>
      </c>
      <c r="J199" s="15">
        <f>IF(I199="","",IFERROR(INDEX(Staff!$B$5:$B$44,MATCH(I199,Staff!$A$5:$A$44,0)),"Unassigned"))</f>
        <v>0</v>
      </c>
      <c r="S199" s="15">
        <f>IF(B199="","",TEXT(B199,"yyyy-mm"))</f>
        <v>0</v>
      </c>
      <c r="T199" s="25">
        <f>IF(B199="","",WEEKNUM(B199,2))</f>
        <v>0</v>
      </c>
      <c r="U199" s="25">
        <f>IF(B199="","",IF(K199&lt;&gt;"",K199,IFERROR(INDEX(Services!$E$5:$E$204,MATCH(G199,Services!$A$5:$A$204,0))*1,0)+IFERROR(INDEX(Services!$F$5:$F$204,MATCH(G199,Services!$A$5:$A$204,0))*1,0)))</f>
        <v>0</v>
      </c>
      <c r="V199" s="36">
        <f>IF(B199="","",IF(D199="","",D199+U199/1440))</f>
        <v>0</v>
      </c>
      <c r="W199" s="25">
        <f>IF(B199="","",IF(D199="","",HOUR(D199)))</f>
        <v>0</v>
      </c>
      <c r="X199" s="37">
        <f>IF(B199="","",ROUND(U199/60,2))</f>
        <v>0</v>
      </c>
      <c r="Y199" s="26">
        <f>IF(B199="","",IF(L199&lt;&gt;"",L199,IFERROR(INDEX(Services!$G$5:$G$204,MATCH(G199,Services!$A$5:$A$204,0))*1,0)))</f>
        <v>0</v>
      </c>
      <c r="Z199" s="26">
        <f>IF(B199="","",IF(O199&lt;&gt;"",O199,IF(Y199&gt;=DepositThreshold,ROUND(Y199*DepositPercent,2),0)))</f>
        <v>0</v>
      </c>
      <c r="AA199" s="26">
        <f>IF(B199="","",ROUND(SUMIFS(Payments!$G$5:$G$1204,Payments!$I$5:$I$1204,A199,Payments!$E$5:$E$1204,"Deposit"),2))</f>
        <v>0</v>
      </c>
      <c r="AB199" s="26">
        <f>IF(B199="","",ROUND(SUMIFS(Sales!$Y$5:$Y$1204,Sales!$C$5:$C$1204,A199),2))</f>
        <v>0</v>
      </c>
      <c r="AC199" s="38">
        <f>IF(B199="","",IF(M199="Completed","Yes",IF(M199="Cancelled","Yes",IF(M199="No show","Yes","No"))))</f>
        <v>0</v>
      </c>
      <c r="AD199" s="25">
        <f>IF(B199="","",IF(AE199="","",B199-AE199))</f>
        <v>0</v>
      </c>
      <c r="AF199" s="38">
        <f>IF(B199="","",IF(M199&lt;&gt;"Completed","",IF(E199="","No",IF(COUNTIFS(Appointments!$E$5:$E$1204,E199,Appointments!$B$5:$B$1204,"&gt;"&amp;B199,Appointments!$M$5:$M$1204,"&lt;&gt;Cancelled")&gt;0,"Yes","No"))))</f>
        <v>0</v>
      </c>
      <c r="AG199" s="38">
        <f>IF(B199="","",IF(I199="","",IF(D199="","",IF(COUNTIFS($I$5:$I$1204,I199,$B$5:$B$1204,B199,$D$5:$D$1204,"&lt;"&amp;V199,$V$5:$V$1204,"&gt;"&amp;D199,$M$5:$M$1204,"&lt;&gt;Cancelled")&gt;1,"Clash",""))))</f>
        <v>0</v>
      </c>
      <c r="AH199" s="39">
        <f>IF(B199="","",IF(AG199="Clash","Clash - stylist double booked",IF(I199="","Assign - no stylist yet",IF(G199="","Add - no service chosen",IF(M199="No show","No show - charge the fee?",IF(M199="Cancelled","",IF(IF(M199="Completed",AB199&lt;Y199-0.004,FALSE),"Unpaid - nothing rung up for this visit",IF(IF(B199&lt;TodayDate,M199="Booked",FALSE),"Overdue - past date, still only Booked",IF(IF(B199=TodayDate,TRUE,FALSE),"Today",IF(IF(Z199&gt;0,AA199&lt;Z199-0.004,FALSE),"Due - deposit not taken",IF(IF(B199&gt;TodayDate,B199&lt;=TodayDate+2,FALSE),"Confirm - coming up","OK")))))))))))</f>
        <v>0</v>
      </c>
    </row>
    <row r="200" spans="1:34">
      <c r="A200" s="28">
        <f>IF(B200="","",AppointmentPrefix&amp;TEXT(ROW()-4,"0000"))</f>
        <v>0</v>
      </c>
      <c r="C200" s="15">
        <f>IF(B200="","",TEXT(B200,"ddd"))</f>
        <v>0</v>
      </c>
      <c r="F200" s="15">
        <f>IF(E200="","",IFERROR(INDEX(Clients!$B$5:$B$504,MATCH(E200,Clients!$A$5:$A$504,0)),"Walk-in"))</f>
        <v>0</v>
      </c>
      <c r="H200" s="15">
        <f>IF(G200="","",IFERROR(INDEX(Services!$B$5:$B$204,MATCH(G200,Services!$A$5:$A$204,0)),"Not in Services"))</f>
        <v>0</v>
      </c>
      <c r="J200" s="15">
        <f>IF(I200="","",IFERROR(INDEX(Staff!$B$5:$B$44,MATCH(I200,Staff!$A$5:$A$44,0)),"Unassigned"))</f>
        <v>0</v>
      </c>
      <c r="S200" s="15">
        <f>IF(B200="","",TEXT(B200,"yyyy-mm"))</f>
        <v>0</v>
      </c>
      <c r="T200" s="25">
        <f>IF(B200="","",WEEKNUM(B200,2))</f>
        <v>0</v>
      </c>
      <c r="U200" s="25">
        <f>IF(B200="","",IF(K200&lt;&gt;"",K200,IFERROR(INDEX(Services!$E$5:$E$204,MATCH(G200,Services!$A$5:$A$204,0))*1,0)+IFERROR(INDEX(Services!$F$5:$F$204,MATCH(G200,Services!$A$5:$A$204,0))*1,0)))</f>
        <v>0</v>
      </c>
      <c r="V200" s="36">
        <f>IF(B200="","",IF(D200="","",D200+U200/1440))</f>
        <v>0</v>
      </c>
      <c r="W200" s="25">
        <f>IF(B200="","",IF(D200="","",HOUR(D200)))</f>
        <v>0</v>
      </c>
      <c r="X200" s="37">
        <f>IF(B200="","",ROUND(U200/60,2))</f>
        <v>0</v>
      </c>
      <c r="Y200" s="26">
        <f>IF(B200="","",IF(L200&lt;&gt;"",L200,IFERROR(INDEX(Services!$G$5:$G$204,MATCH(G200,Services!$A$5:$A$204,0))*1,0)))</f>
        <v>0</v>
      </c>
      <c r="Z200" s="26">
        <f>IF(B200="","",IF(O200&lt;&gt;"",O200,IF(Y200&gt;=DepositThreshold,ROUND(Y200*DepositPercent,2),0)))</f>
        <v>0</v>
      </c>
      <c r="AA200" s="26">
        <f>IF(B200="","",ROUND(SUMIFS(Payments!$G$5:$G$1204,Payments!$I$5:$I$1204,A200,Payments!$E$5:$E$1204,"Deposit"),2))</f>
        <v>0</v>
      </c>
      <c r="AB200" s="26">
        <f>IF(B200="","",ROUND(SUMIFS(Sales!$Y$5:$Y$1204,Sales!$C$5:$C$1204,A200),2))</f>
        <v>0</v>
      </c>
      <c r="AC200" s="38">
        <f>IF(B200="","",IF(M200="Completed","Yes",IF(M200="Cancelled","Yes",IF(M200="No show","Yes","No"))))</f>
        <v>0</v>
      </c>
      <c r="AD200" s="25">
        <f>IF(B200="","",IF(AE200="","",B200-AE200))</f>
        <v>0</v>
      </c>
      <c r="AF200" s="38">
        <f>IF(B200="","",IF(M200&lt;&gt;"Completed","",IF(E200="","No",IF(COUNTIFS(Appointments!$E$5:$E$1204,E200,Appointments!$B$5:$B$1204,"&gt;"&amp;B200,Appointments!$M$5:$M$1204,"&lt;&gt;Cancelled")&gt;0,"Yes","No"))))</f>
        <v>0</v>
      </c>
      <c r="AG200" s="38">
        <f>IF(B200="","",IF(I200="","",IF(D200="","",IF(COUNTIFS($I$5:$I$1204,I200,$B$5:$B$1204,B200,$D$5:$D$1204,"&lt;"&amp;V200,$V$5:$V$1204,"&gt;"&amp;D200,$M$5:$M$1204,"&lt;&gt;Cancelled")&gt;1,"Clash",""))))</f>
        <v>0</v>
      </c>
      <c r="AH200" s="39">
        <f>IF(B200="","",IF(AG200="Clash","Clash - stylist double booked",IF(I200="","Assign - no stylist yet",IF(G200="","Add - no service chosen",IF(M200="No show","No show - charge the fee?",IF(M200="Cancelled","",IF(IF(M200="Completed",AB200&lt;Y200-0.004,FALSE),"Unpaid - nothing rung up for this visit",IF(IF(B200&lt;TodayDate,M200="Booked",FALSE),"Overdue - past date, still only Booked",IF(IF(B200=TodayDate,TRUE,FALSE),"Today",IF(IF(Z200&gt;0,AA200&lt;Z200-0.004,FALSE),"Due - deposit not taken",IF(IF(B200&gt;TodayDate,B200&lt;=TodayDate+2,FALSE),"Confirm - coming up","OK")))))))))))</f>
        <v>0</v>
      </c>
    </row>
    <row r="201" spans="1:34">
      <c r="A201" s="28">
        <f>IF(B201="","",AppointmentPrefix&amp;TEXT(ROW()-4,"0000"))</f>
        <v>0</v>
      </c>
      <c r="C201" s="15">
        <f>IF(B201="","",TEXT(B201,"ddd"))</f>
        <v>0</v>
      </c>
      <c r="F201" s="15">
        <f>IF(E201="","",IFERROR(INDEX(Clients!$B$5:$B$504,MATCH(E201,Clients!$A$5:$A$504,0)),"Walk-in"))</f>
        <v>0</v>
      </c>
      <c r="H201" s="15">
        <f>IF(G201="","",IFERROR(INDEX(Services!$B$5:$B$204,MATCH(G201,Services!$A$5:$A$204,0)),"Not in Services"))</f>
        <v>0</v>
      </c>
      <c r="J201" s="15">
        <f>IF(I201="","",IFERROR(INDEX(Staff!$B$5:$B$44,MATCH(I201,Staff!$A$5:$A$44,0)),"Unassigned"))</f>
        <v>0</v>
      </c>
      <c r="S201" s="15">
        <f>IF(B201="","",TEXT(B201,"yyyy-mm"))</f>
        <v>0</v>
      </c>
      <c r="T201" s="25">
        <f>IF(B201="","",WEEKNUM(B201,2))</f>
        <v>0</v>
      </c>
      <c r="U201" s="25">
        <f>IF(B201="","",IF(K201&lt;&gt;"",K201,IFERROR(INDEX(Services!$E$5:$E$204,MATCH(G201,Services!$A$5:$A$204,0))*1,0)+IFERROR(INDEX(Services!$F$5:$F$204,MATCH(G201,Services!$A$5:$A$204,0))*1,0)))</f>
        <v>0</v>
      </c>
      <c r="V201" s="36">
        <f>IF(B201="","",IF(D201="","",D201+U201/1440))</f>
        <v>0</v>
      </c>
      <c r="W201" s="25">
        <f>IF(B201="","",IF(D201="","",HOUR(D201)))</f>
        <v>0</v>
      </c>
      <c r="X201" s="37">
        <f>IF(B201="","",ROUND(U201/60,2))</f>
        <v>0</v>
      </c>
      <c r="Y201" s="26">
        <f>IF(B201="","",IF(L201&lt;&gt;"",L201,IFERROR(INDEX(Services!$G$5:$G$204,MATCH(G201,Services!$A$5:$A$204,0))*1,0)))</f>
        <v>0</v>
      </c>
      <c r="Z201" s="26">
        <f>IF(B201="","",IF(O201&lt;&gt;"",O201,IF(Y201&gt;=DepositThreshold,ROUND(Y201*DepositPercent,2),0)))</f>
        <v>0</v>
      </c>
      <c r="AA201" s="26">
        <f>IF(B201="","",ROUND(SUMIFS(Payments!$G$5:$G$1204,Payments!$I$5:$I$1204,A201,Payments!$E$5:$E$1204,"Deposit"),2))</f>
        <v>0</v>
      </c>
      <c r="AB201" s="26">
        <f>IF(B201="","",ROUND(SUMIFS(Sales!$Y$5:$Y$1204,Sales!$C$5:$C$1204,A201),2))</f>
        <v>0</v>
      </c>
      <c r="AC201" s="38">
        <f>IF(B201="","",IF(M201="Completed","Yes",IF(M201="Cancelled","Yes",IF(M201="No show","Yes","No"))))</f>
        <v>0</v>
      </c>
      <c r="AD201" s="25">
        <f>IF(B201="","",IF(AE201="","",B201-AE201))</f>
        <v>0</v>
      </c>
      <c r="AF201" s="38">
        <f>IF(B201="","",IF(M201&lt;&gt;"Completed","",IF(E201="","No",IF(COUNTIFS(Appointments!$E$5:$E$1204,E201,Appointments!$B$5:$B$1204,"&gt;"&amp;B201,Appointments!$M$5:$M$1204,"&lt;&gt;Cancelled")&gt;0,"Yes","No"))))</f>
        <v>0</v>
      </c>
      <c r="AG201" s="38">
        <f>IF(B201="","",IF(I201="","",IF(D201="","",IF(COUNTIFS($I$5:$I$1204,I201,$B$5:$B$1204,B201,$D$5:$D$1204,"&lt;"&amp;V201,$V$5:$V$1204,"&gt;"&amp;D201,$M$5:$M$1204,"&lt;&gt;Cancelled")&gt;1,"Clash",""))))</f>
        <v>0</v>
      </c>
      <c r="AH201" s="39">
        <f>IF(B201="","",IF(AG201="Clash","Clash - stylist double booked",IF(I201="","Assign - no stylist yet",IF(G201="","Add - no service chosen",IF(M201="No show","No show - charge the fee?",IF(M201="Cancelled","",IF(IF(M201="Completed",AB201&lt;Y201-0.004,FALSE),"Unpaid - nothing rung up for this visit",IF(IF(B201&lt;TodayDate,M201="Booked",FALSE),"Overdue - past date, still only Booked",IF(IF(B201=TodayDate,TRUE,FALSE),"Today",IF(IF(Z201&gt;0,AA201&lt;Z201-0.004,FALSE),"Due - deposit not taken",IF(IF(B201&gt;TodayDate,B201&lt;=TodayDate+2,FALSE),"Confirm - coming up","OK")))))))))))</f>
        <v>0</v>
      </c>
    </row>
    <row r="202" spans="1:34">
      <c r="A202" s="28">
        <f>IF(B202="","",AppointmentPrefix&amp;TEXT(ROW()-4,"0000"))</f>
        <v>0</v>
      </c>
      <c r="C202" s="15">
        <f>IF(B202="","",TEXT(B202,"ddd"))</f>
        <v>0</v>
      </c>
      <c r="F202" s="15">
        <f>IF(E202="","",IFERROR(INDEX(Clients!$B$5:$B$504,MATCH(E202,Clients!$A$5:$A$504,0)),"Walk-in"))</f>
        <v>0</v>
      </c>
      <c r="H202" s="15">
        <f>IF(G202="","",IFERROR(INDEX(Services!$B$5:$B$204,MATCH(G202,Services!$A$5:$A$204,0)),"Not in Services"))</f>
        <v>0</v>
      </c>
      <c r="J202" s="15">
        <f>IF(I202="","",IFERROR(INDEX(Staff!$B$5:$B$44,MATCH(I202,Staff!$A$5:$A$44,0)),"Unassigned"))</f>
        <v>0</v>
      </c>
      <c r="S202" s="15">
        <f>IF(B202="","",TEXT(B202,"yyyy-mm"))</f>
        <v>0</v>
      </c>
      <c r="T202" s="25">
        <f>IF(B202="","",WEEKNUM(B202,2))</f>
        <v>0</v>
      </c>
      <c r="U202" s="25">
        <f>IF(B202="","",IF(K202&lt;&gt;"",K202,IFERROR(INDEX(Services!$E$5:$E$204,MATCH(G202,Services!$A$5:$A$204,0))*1,0)+IFERROR(INDEX(Services!$F$5:$F$204,MATCH(G202,Services!$A$5:$A$204,0))*1,0)))</f>
        <v>0</v>
      </c>
      <c r="V202" s="36">
        <f>IF(B202="","",IF(D202="","",D202+U202/1440))</f>
        <v>0</v>
      </c>
      <c r="W202" s="25">
        <f>IF(B202="","",IF(D202="","",HOUR(D202)))</f>
        <v>0</v>
      </c>
      <c r="X202" s="37">
        <f>IF(B202="","",ROUND(U202/60,2))</f>
        <v>0</v>
      </c>
      <c r="Y202" s="26">
        <f>IF(B202="","",IF(L202&lt;&gt;"",L202,IFERROR(INDEX(Services!$G$5:$G$204,MATCH(G202,Services!$A$5:$A$204,0))*1,0)))</f>
        <v>0</v>
      </c>
      <c r="Z202" s="26">
        <f>IF(B202="","",IF(O202&lt;&gt;"",O202,IF(Y202&gt;=DepositThreshold,ROUND(Y202*DepositPercent,2),0)))</f>
        <v>0</v>
      </c>
      <c r="AA202" s="26">
        <f>IF(B202="","",ROUND(SUMIFS(Payments!$G$5:$G$1204,Payments!$I$5:$I$1204,A202,Payments!$E$5:$E$1204,"Deposit"),2))</f>
        <v>0</v>
      </c>
      <c r="AB202" s="26">
        <f>IF(B202="","",ROUND(SUMIFS(Sales!$Y$5:$Y$1204,Sales!$C$5:$C$1204,A202),2))</f>
        <v>0</v>
      </c>
      <c r="AC202" s="38">
        <f>IF(B202="","",IF(M202="Completed","Yes",IF(M202="Cancelled","Yes",IF(M202="No show","Yes","No"))))</f>
        <v>0</v>
      </c>
      <c r="AD202" s="25">
        <f>IF(B202="","",IF(AE202="","",B202-AE202))</f>
        <v>0</v>
      </c>
      <c r="AF202" s="38">
        <f>IF(B202="","",IF(M202&lt;&gt;"Completed","",IF(E202="","No",IF(COUNTIFS(Appointments!$E$5:$E$1204,E202,Appointments!$B$5:$B$1204,"&gt;"&amp;B202,Appointments!$M$5:$M$1204,"&lt;&gt;Cancelled")&gt;0,"Yes","No"))))</f>
        <v>0</v>
      </c>
      <c r="AG202" s="38">
        <f>IF(B202="","",IF(I202="","",IF(D202="","",IF(COUNTIFS($I$5:$I$1204,I202,$B$5:$B$1204,B202,$D$5:$D$1204,"&lt;"&amp;V202,$V$5:$V$1204,"&gt;"&amp;D202,$M$5:$M$1204,"&lt;&gt;Cancelled")&gt;1,"Clash",""))))</f>
        <v>0</v>
      </c>
      <c r="AH202" s="39">
        <f>IF(B202="","",IF(AG202="Clash","Clash - stylist double booked",IF(I202="","Assign - no stylist yet",IF(G202="","Add - no service chosen",IF(M202="No show","No show - charge the fee?",IF(M202="Cancelled","",IF(IF(M202="Completed",AB202&lt;Y202-0.004,FALSE),"Unpaid - nothing rung up for this visit",IF(IF(B202&lt;TodayDate,M202="Booked",FALSE),"Overdue - past date, still only Booked",IF(IF(B202=TodayDate,TRUE,FALSE),"Today",IF(IF(Z202&gt;0,AA202&lt;Z202-0.004,FALSE),"Due - deposit not taken",IF(IF(B202&gt;TodayDate,B202&lt;=TodayDate+2,FALSE),"Confirm - coming up","OK")))))))))))</f>
        <v>0</v>
      </c>
    </row>
    <row r="203" spans="1:34">
      <c r="A203" s="28">
        <f>IF(B203="","",AppointmentPrefix&amp;TEXT(ROW()-4,"0000"))</f>
        <v>0</v>
      </c>
      <c r="C203" s="15">
        <f>IF(B203="","",TEXT(B203,"ddd"))</f>
        <v>0</v>
      </c>
      <c r="F203" s="15">
        <f>IF(E203="","",IFERROR(INDEX(Clients!$B$5:$B$504,MATCH(E203,Clients!$A$5:$A$504,0)),"Walk-in"))</f>
        <v>0</v>
      </c>
      <c r="H203" s="15">
        <f>IF(G203="","",IFERROR(INDEX(Services!$B$5:$B$204,MATCH(G203,Services!$A$5:$A$204,0)),"Not in Services"))</f>
        <v>0</v>
      </c>
      <c r="J203" s="15">
        <f>IF(I203="","",IFERROR(INDEX(Staff!$B$5:$B$44,MATCH(I203,Staff!$A$5:$A$44,0)),"Unassigned"))</f>
        <v>0</v>
      </c>
      <c r="S203" s="15">
        <f>IF(B203="","",TEXT(B203,"yyyy-mm"))</f>
        <v>0</v>
      </c>
      <c r="T203" s="25">
        <f>IF(B203="","",WEEKNUM(B203,2))</f>
        <v>0</v>
      </c>
      <c r="U203" s="25">
        <f>IF(B203="","",IF(K203&lt;&gt;"",K203,IFERROR(INDEX(Services!$E$5:$E$204,MATCH(G203,Services!$A$5:$A$204,0))*1,0)+IFERROR(INDEX(Services!$F$5:$F$204,MATCH(G203,Services!$A$5:$A$204,0))*1,0)))</f>
        <v>0</v>
      </c>
      <c r="V203" s="36">
        <f>IF(B203="","",IF(D203="","",D203+U203/1440))</f>
        <v>0</v>
      </c>
      <c r="W203" s="25">
        <f>IF(B203="","",IF(D203="","",HOUR(D203)))</f>
        <v>0</v>
      </c>
      <c r="X203" s="37">
        <f>IF(B203="","",ROUND(U203/60,2))</f>
        <v>0</v>
      </c>
      <c r="Y203" s="26">
        <f>IF(B203="","",IF(L203&lt;&gt;"",L203,IFERROR(INDEX(Services!$G$5:$G$204,MATCH(G203,Services!$A$5:$A$204,0))*1,0)))</f>
        <v>0</v>
      </c>
      <c r="Z203" s="26">
        <f>IF(B203="","",IF(O203&lt;&gt;"",O203,IF(Y203&gt;=DepositThreshold,ROUND(Y203*DepositPercent,2),0)))</f>
        <v>0</v>
      </c>
      <c r="AA203" s="26">
        <f>IF(B203="","",ROUND(SUMIFS(Payments!$G$5:$G$1204,Payments!$I$5:$I$1204,A203,Payments!$E$5:$E$1204,"Deposit"),2))</f>
        <v>0</v>
      </c>
      <c r="AB203" s="26">
        <f>IF(B203="","",ROUND(SUMIFS(Sales!$Y$5:$Y$1204,Sales!$C$5:$C$1204,A203),2))</f>
        <v>0</v>
      </c>
      <c r="AC203" s="38">
        <f>IF(B203="","",IF(M203="Completed","Yes",IF(M203="Cancelled","Yes",IF(M203="No show","Yes","No"))))</f>
        <v>0</v>
      </c>
      <c r="AD203" s="25">
        <f>IF(B203="","",IF(AE203="","",B203-AE203))</f>
        <v>0</v>
      </c>
      <c r="AF203" s="38">
        <f>IF(B203="","",IF(M203&lt;&gt;"Completed","",IF(E203="","No",IF(COUNTIFS(Appointments!$E$5:$E$1204,E203,Appointments!$B$5:$B$1204,"&gt;"&amp;B203,Appointments!$M$5:$M$1204,"&lt;&gt;Cancelled")&gt;0,"Yes","No"))))</f>
        <v>0</v>
      </c>
      <c r="AG203" s="38">
        <f>IF(B203="","",IF(I203="","",IF(D203="","",IF(COUNTIFS($I$5:$I$1204,I203,$B$5:$B$1204,B203,$D$5:$D$1204,"&lt;"&amp;V203,$V$5:$V$1204,"&gt;"&amp;D203,$M$5:$M$1204,"&lt;&gt;Cancelled")&gt;1,"Clash",""))))</f>
        <v>0</v>
      </c>
      <c r="AH203" s="39">
        <f>IF(B203="","",IF(AG203="Clash","Clash - stylist double booked",IF(I203="","Assign - no stylist yet",IF(G203="","Add - no service chosen",IF(M203="No show","No show - charge the fee?",IF(M203="Cancelled","",IF(IF(M203="Completed",AB203&lt;Y203-0.004,FALSE),"Unpaid - nothing rung up for this visit",IF(IF(B203&lt;TodayDate,M203="Booked",FALSE),"Overdue - past date, still only Booked",IF(IF(B203=TodayDate,TRUE,FALSE),"Today",IF(IF(Z203&gt;0,AA203&lt;Z203-0.004,FALSE),"Due - deposit not taken",IF(IF(B203&gt;TodayDate,B203&lt;=TodayDate+2,FALSE),"Confirm - coming up","OK")))))))))))</f>
        <v>0</v>
      </c>
    </row>
    <row r="204" spans="1:34">
      <c r="A204" s="28">
        <f>IF(B204="","",AppointmentPrefix&amp;TEXT(ROW()-4,"0000"))</f>
        <v>0</v>
      </c>
      <c r="C204" s="15">
        <f>IF(B204="","",TEXT(B204,"ddd"))</f>
        <v>0</v>
      </c>
      <c r="F204" s="15">
        <f>IF(E204="","",IFERROR(INDEX(Clients!$B$5:$B$504,MATCH(E204,Clients!$A$5:$A$504,0)),"Walk-in"))</f>
        <v>0</v>
      </c>
      <c r="H204" s="15">
        <f>IF(G204="","",IFERROR(INDEX(Services!$B$5:$B$204,MATCH(G204,Services!$A$5:$A$204,0)),"Not in Services"))</f>
        <v>0</v>
      </c>
      <c r="J204" s="15">
        <f>IF(I204="","",IFERROR(INDEX(Staff!$B$5:$B$44,MATCH(I204,Staff!$A$5:$A$44,0)),"Unassigned"))</f>
        <v>0</v>
      </c>
      <c r="S204" s="15">
        <f>IF(B204="","",TEXT(B204,"yyyy-mm"))</f>
        <v>0</v>
      </c>
      <c r="T204" s="25">
        <f>IF(B204="","",WEEKNUM(B204,2))</f>
        <v>0</v>
      </c>
      <c r="U204" s="25">
        <f>IF(B204="","",IF(K204&lt;&gt;"",K204,IFERROR(INDEX(Services!$E$5:$E$204,MATCH(G204,Services!$A$5:$A$204,0))*1,0)+IFERROR(INDEX(Services!$F$5:$F$204,MATCH(G204,Services!$A$5:$A$204,0))*1,0)))</f>
        <v>0</v>
      </c>
      <c r="V204" s="36">
        <f>IF(B204="","",IF(D204="","",D204+U204/1440))</f>
        <v>0</v>
      </c>
      <c r="W204" s="25">
        <f>IF(B204="","",IF(D204="","",HOUR(D204)))</f>
        <v>0</v>
      </c>
      <c r="X204" s="37">
        <f>IF(B204="","",ROUND(U204/60,2))</f>
        <v>0</v>
      </c>
      <c r="Y204" s="26">
        <f>IF(B204="","",IF(L204&lt;&gt;"",L204,IFERROR(INDEX(Services!$G$5:$G$204,MATCH(G204,Services!$A$5:$A$204,0))*1,0)))</f>
        <v>0</v>
      </c>
      <c r="Z204" s="26">
        <f>IF(B204="","",IF(O204&lt;&gt;"",O204,IF(Y204&gt;=DepositThreshold,ROUND(Y204*DepositPercent,2),0)))</f>
        <v>0</v>
      </c>
      <c r="AA204" s="26">
        <f>IF(B204="","",ROUND(SUMIFS(Payments!$G$5:$G$1204,Payments!$I$5:$I$1204,A204,Payments!$E$5:$E$1204,"Deposit"),2))</f>
        <v>0</v>
      </c>
      <c r="AB204" s="26">
        <f>IF(B204="","",ROUND(SUMIFS(Sales!$Y$5:$Y$1204,Sales!$C$5:$C$1204,A204),2))</f>
        <v>0</v>
      </c>
      <c r="AC204" s="38">
        <f>IF(B204="","",IF(M204="Completed","Yes",IF(M204="Cancelled","Yes",IF(M204="No show","Yes","No"))))</f>
        <v>0</v>
      </c>
      <c r="AD204" s="25">
        <f>IF(B204="","",IF(AE204="","",B204-AE204))</f>
        <v>0</v>
      </c>
      <c r="AF204" s="38">
        <f>IF(B204="","",IF(M204&lt;&gt;"Completed","",IF(E204="","No",IF(COUNTIFS(Appointments!$E$5:$E$1204,E204,Appointments!$B$5:$B$1204,"&gt;"&amp;B204,Appointments!$M$5:$M$1204,"&lt;&gt;Cancelled")&gt;0,"Yes","No"))))</f>
        <v>0</v>
      </c>
      <c r="AG204" s="38">
        <f>IF(B204="","",IF(I204="","",IF(D204="","",IF(COUNTIFS($I$5:$I$1204,I204,$B$5:$B$1204,B204,$D$5:$D$1204,"&lt;"&amp;V204,$V$5:$V$1204,"&gt;"&amp;D204,$M$5:$M$1204,"&lt;&gt;Cancelled")&gt;1,"Clash",""))))</f>
        <v>0</v>
      </c>
      <c r="AH204" s="39">
        <f>IF(B204="","",IF(AG204="Clash","Clash - stylist double booked",IF(I204="","Assign - no stylist yet",IF(G204="","Add - no service chosen",IF(M204="No show","No show - charge the fee?",IF(M204="Cancelled","",IF(IF(M204="Completed",AB204&lt;Y204-0.004,FALSE),"Unpaid - nothing rung up for this visit",IF(IF(B204&lt;TodayDate,M204="Booked",FALSE),"Overdue - past date, still only Booked",IF(IF(B204=TodayDate,TRUE,FALSE),"Today",IF(IF(Z204&gt;0,AA204&lt;Z204-0.004,FALSE),"Due - deposit not taken",IF(IF(B204&gt;TodayDate,B204&lt;=TodayDate+2,FALSE),"Confirm - coming up","OK")))))))))))</f>
        <v>0</v>
      </c>
    </row>
    <row r="205" spans="1:34">
      <c r="A205" s="28">
        <f>IF(B205="","",AppointmentPrefix&amp;TEXT(ROW()-4,"0000"))</f>
        <v>0</v>
      </c>
      <c r="C205" s="15">
        <f>IF(B205="","",TEXT(B205,"ddd"))</f>
        <v>0</v>
      </c>
      <c r="F205" s="15">
        <f>IF(E205="","",IFERROR(INDEX(Clients!$B$5:$B$504,MATCH(E205,Clients!$A$5:$A$504,0)),"Walk-in"))</f>
        <v>0</v>
      </c>
      <c r="H205" s="15">
        <f>IF(G205="","",IFERROR(INDEX(Services!$B$5:$B$204,MATCH(G205,Services!$A$5:$A$204,0)),"Not in Services"))</f>
        <v>0</v>
      </c>
      <c r="J205" s="15">
        <f>IF(I205="","",IFERROR(INDEX(Staff!$B$5:$B$44,MATCH(I205,Staff!$A$5:$A$44,0)),"Unassigned"))</f>
        <v>0</v>
      </c>
      <c r="S205" s="15">
        <f>IF(B205="","",TEXT(B205,"yyyy-mm"))</f>
        <v>0</v>
      </c>
      <c r="T205" s="25">
        <f>IF(B205="","",WEEKNUM(B205,2))</f>
        <v>0</v>
      </c>
      <c r="U205" s="25">
        <f>IF(B205="","",IF(K205&lt;&gt;"",K205,IFERROR(INDEX(Services!$E$5:$E$204,MATCH(G205,Services!$A$5:$A$204,0))*1,0)+IFERROR(INDEX(Services!$F$5:$F$204,MATCH(G205,Services!$A$5:$A$204,0))*1,0)))</f>
        <v>0</v>
      </c>
      <c r="V205" s="36">
        <f>IF(B205="","",IF(D205="","",D205+U205/1440))</f>
        <v>0</v>
      </c>
      <c r="W205" s="25">
        <f>IF(B205="","",IF(D205="","",HOUR(D205)))</f>
        <v>0</v>
      </c>
      <c r="X205" s="37">
        <f>IF(B205="","",ROUND(U205/60,2))</f>
        <v>0</v>
      </c>
      <c r="Y205" s="26">
        <f>IF(B205="","",IF(L205&lt;&gt;"",L205,IFERROR(INDEX(Services!$G$5:$G$204,MATCH(G205,Services!$A$5:$A$204,0))*1,0)))</f>
        <v>0</v>
      </c>
      <c r="Z205" s="26">
        <f>IF(B205="","",IF(O205&lt;&gt;"",O205,IF(Y205&gt;=DepositThreshold,ROUND(Y205*DepositPercent,2),0)))</f>
        <v>0</v>
      </c>
      <c r="AA205" s="26">
        <f>IF(B205="","",ROUND(SUMIFS(Payments!$G$5:$G$1204,Payments!$I$5:$I$1204,A205,Payments!$E$5:$E$1204,"Deposit"),2))</f>
        <v>0</v>
      </c>
      <c r="AB205" s="26">
        <f>IF(B205="","",ROUND(SUMIFS(Sales!$Y$5:$Y$1204,Sales!$C$5:$C$1204,A205),2))</f>
        <v>0</v>
      </c>
      <c r="AC205" s="38">
        <f>IF(B205="","",IF(M205="Completed","Yes",IF(M205="Cancelled","Yes",IF(M205="No show","Yes","No"))))</f>
        <v>0</v>
      </c>
      <c r="AD205" s="25">
        <f>IF(B205="","",IF(AE205="","",B205-AE205))</f>
        <v>0</v>
      </c>
      <c r="AF205" s="38">
        <f>IF(B205="","",IF(M205&lt;&gt;"Completed","",IF(E205="","No",IF(COUNTIFS(Appointments!$E$5:$E$1204,E205,Appointments!$B$5:$B$1204,"&gt;"&amp;B205,Appointments!$M$5:$M$1204,"&lt;&gt;Cancelled")&gt;0,"Yes","No"))))</f>
        <v>0</v>
      </c>
      <c r="AG205" s="38">
        <f>IF(B205="","",IF(I205="","",IF(D205="","",IF(COUNTIFS($I$5:$I$1204,I205,$B$5:$B$1204,B205,$D$5:$D$1204,"&lt;"&amp;V205,$V$5:$V$1204,"&gt;"&amp;D205,$M$5:$M$1204,"&lt;&gt;Cancelled")&gt;1,"Clash",""))))</f>
        <v>0</v>
      </c>
      <c r="AH205" s="39">
        <f>IF(B205="","",IF(AG205="Clash","Clash - stylist double booked",IF(I205="","Assign - no stylist yet",IF(G205="","Add - no service chosen",IF(M205="No show","No show - charge the fee?",IF(M205="Cancelled","",IF(IF(M205="Completed",AB205&lt;Y205-0.004,FALSE),"Unpaid - nothing rung up for this visit",IF(IF(B205&lt;TodayDate,M205="Booked",FALSE),"Overdue - past date, still only Booked",IF(IF(B205=TodayDate,TRUE,FALSE),"Today",IF(IF(Z205&gt;0,AA205&lt;Z205-0.004,FALSE),"Due - deposit not taken",IF(IF(B205&gt;TodayDate,B205&lt;=TodayDate+2,FALSE),"Confirm - coming up","OK")))))))))))</f>
        <v>0</v>
      </c>
    </row>
    <row r="206" spans="1:34">
      <c r="A206" s="28">
        <f>IF(B206="","",AppointmentPrefix&amp;TEXT(ROW()-4,"0000"))</f>
        <v>0</v>
      </c>
      <c r="C206" s="15">
        <f>IF(B206="","",TEXT(B206,"ddd"))</f>
        <v>0</v>
      </c>
      <c r="F206" s="15">
        <f>IF(E206="","",IFERROR(INDEX(Clients!$B$5:$B$504,MATCH(E206,Clients!$A$5:$A$504,0)),"Walk-in"))</f>
        <v>0</v>
      </c>
      <c r="H206" s="15">
        <f>IF(G206="","",IFERROR(INDEX(Services!$B$5:$B$204,MATCH(G206,Services!$A$5:$A$204,0)),"Not in Services"))</f>
        <v>0</v>
      </c>
      <c r="J206" s="15">
        <f>IF(I206="","",IFERROR(INDEX(Staff!$B$5:$B$44,MATCH(I206,Staff!$A$5:$A$44,0)),"Unassigned"))</f>
        <v>0</v>
      </c>
      <c r="S206" s="15">
        <f>IF(B206="","",TEXT(B206,"yyyy-mm"))</f>
        <v>0</v>
      </c>
      <c r="T206" s="25">
        <f>IF(B206="","",WEEKNUM(B206,2))</f>
        <v>0</v>
      </c>
      <c r="U206" s="25">
        <f>IF(B206="","",IF(K206&lt;&gt;"",K206,IFERROR(INDEX(Services!$E$5:$E$204,MATCH(G206,Services!$A$5:$A$204,0))*1,0)+IFERROR(INDEX(Services!$F$5:$F$204,MATCH(G206,Services!$A$5:$A$204,0))*1,0)))</f>
        <v>0</v>
      </c>
      <c r="V206" s="36">
        <f>IF(B206="","",IF(D206="","",D206+U206/1440))</f>
        <v>0</v>
      </c>
      <c r="W206" s="25">
        <f>IF(B206="","",IF(D206="","",HOUR(D206)))</f>
        <v>0</v>
      </c>
      <c r="X206" s="37">
        <f>IF(B206="","",ROUND(U206/60,2))</f>
        <v>0</v>
      </c>
      <c r="Y206" s="26">
        <f>IF(B206="","",IF(L206&lt;&gt;"",L206,IFERROR(INDEX(Services!$G$5:$G$204,MATCH(G206,Services!$A$5:$A$204,0))*1,0)))</f>
        <v>0</v>
      </c>
      <c r="Z206" s="26">
        <f>IF(B206="","",IF(O206&lt;&gt;"",O206,IF(Y206&gt;=DepositThreshold,ROUND(Y206*DepositPercent,2),0)))</f>
        <v>0</v>
      </c>
      <c r="AA206" s="26">
        <f>IF(B206="","",ROUND(SUMIFS(Payments!$G$5:$G$1204,Payments!$I$5:$I$1204,A206,Payments!$E$5:$E$1204,"Deposit"),2))</f>
        <v>0</v>
      </c>
      <c r="AB206" s="26">
        <f>IF(B206="","",ROUND(SUMIFS(Sales!$Y$5:$Y$1204,Sales!$C$5:$C$1204,A206),2))</f>
        <v>0</v>
      </c>
      <c r="AC206" s="38">
        <f>IF(B206="","",IF(M206="Completed","Yes",IF(M206="Cancelled","Yes",IF(M206="No show","Yes","No"))))</f>
        <v>0</v>
      </c>
      <c r="AD206" s="25">
        <f>IF(B206="","",IF(AE206="","",B206-AE206))</f>
        <v>0</v>
      </c>
      <c r="AF206" s="38">
        <f>IF(B206="","",IF(M206&lt;&gt;"Completed","",IF(E206="","No",IF(COUNTIFS(Appointments!$E$5:$E$1204,E206,Appointments!$B$5:$B$1204,"&gt;"&amp;B206,Appointments!$M$5:$M$1204,"&lt;&gt;Cancelled")&gt;0,"Yes","No"))))</f>
        <v>0</v>
      </c>
      <c r="AG206" s="38">
        <f>IF(B206="","",IF(I206="","",IF(D206="","",IF(COUNTIFS($I$5:$I$1204,I206,$B$5:$B$1204,B206,$D$5:$D$1204,"&lt;"&amp;V206,$V$5:$V$1204,"&gt;"&amp;D206,$M$5:$M$1204,"&lt;&gt;Cancelled")&gt;1,"Clash",""))))</f>
        <v>0</v>
      </c>
      <c r="AH206" s="39">
        <f>IF(B206="","",IF(AG206="Clash","Clash - stylist double booked",IF(I206="","Assign - no stylist yet",IF(G206="","Add - no service chosen",IF(M206="No show","No show - charge the fee?",IF(M206="Cancelled","",IF(IF(M206="Completed",AB206&lt;Y206-0.004,FALSE),"Unpaid - nothing rung up for this visit",IF(IF(B206&lt;TodayDate,M206="Booked",FALSE),"Overdue - past date, still only Booked",IF(IF(B206=TodayDate,TRUE,FALSE),"Today",IF(IF(Z206&gt;0,AA206&lt;Z206-0.004,FALSE),"Due - deposit not taken",IF(IF(B206&gt;TodayDate,B206&lt;=TodayDate+2,FALSE),"Confirm - coming up","OK")))))))))))</f>
        <v>0</v>
      </c>
    </row>
    <row r="207" spans="1:34">
      <c r="A207" s="28">
        <f>IF(B207="","",AppointmentPrefix&amp;TEXT(ROW()-4,"0000"))</f>
        <v>0</v>
      </c>
      <c r="C207" s="15">
        <f>IF(B207="","",TEXT(B207,"ddd"))</f>
        <v>0</v>
      </c>
      <c r="F207" s="15">
        <f>IF(E207="","",IFERROR(INDEX(Clients!$B$5:$B$504,MATCH(E207,Clients!$A$5:$A$504,0)),"Walk-in"))</f>
        <v>0</v>
      </c>
      <c r="H207" s="15">
        <f>IF(G207="","",IFERROR(INDEX(Services!$B$5:$B$204,MATCH(G207,Services!$A$5:$A$204,0)),"Not in Services"))</f>
        <v>0</v>
      </c>
      <c r="J207" s="15">
        <f>IF(I207="","",IFERROR(INDEX(Staff!$B$5:$B$44,MATCH(I207,Staff!$A$5:$A$44,0)),"Unassigned"))</f>
        <v>0</v>
      </c>
      <c r="S207" s="15">
        <f>IF(B207="","",TEXT(B207,"yyyy-mm"))</f>
        <v>0</v>
      </c>
      <c r="T207" s="25">
        <f>IF(B207="","",WEEKNUM(B207,2))</f>
        <v>0</v>
      </c>
      <c r="U207" s="25">
        <f>IF(B207="","",IF(K207&lt;&gt;"",K207,IFERROR(INDEX(Services!$E$5:$E$204,MATCH(G207,Services!$A$5:$A$204,0))*1,0)+IFERROR(INDEX(Services!$F$5:$F$204,MATCH(G207,Services!$A$5:$A$204,0))*1,0)))</f>
        <v>0</v>
      </c>
      <c r="V207" s="36">
        <f>IF(B207="","",IF(D207="","",D207+U207/1440))</f>
        <v>0</v>
      </c>
      <c r="W207" s="25">
        <f>IF(B207="","",IF(D207="","",HOUR(D207)))</f>
        <v>0</v>
      </c>
      <c r="X207" s="37">
        <f>IF(B207="","",ROUND(U207/60,2))</f>
        <v>0</v>
      </c>
      <c r="Y207" s="26">
        <f>IF(B207="","",IF(L207&lt;&gt;"",L207,IFERROR(INDEX(Services!$G$5:$G$204,MATCH(G207,Services!$A$5:$A$204,0))*1,0)))</f>
        <v>0</v>
      </c>
      <c r="Z207" s="26">
        <f>IF(B207="","",IF(O207&lt;&gt;"",O207,IF(Y207&gt;=DepositThreshold,ROUND(Y207*DepositPercent,2),0)))</f>
        <v>0</v>
      </c>
      <c r="AA207" s="26">
        <f>IF(B207="","",ROUND(SUMIFS(Payments!$G$5:$G$1204,Payments!$I$5:$I$1204,A207,Payments!$E$5:$E$1204,"Deposit"),2))</f>
        <v>0</v>
      </c>
      <c r="AB207" s="26">
        <f>IF(B207="","",ROUND(SUMIFS(Sales!$Y$5:$Y$1204,Sales!$C$5:$C$1204,A207),2))</f>
        <v>0</v>
      </c>
      <c r="AC207" s="38">
        <f>IF(B207="","",IF(M207="Completed","Yes",IF(M207="Cancelled","Yes",IF(M207="No show","Yes","No"))))</f>
        <v>0</v>
      </c>
      <c r="AD207" s="25">
        <f>IF(B207="","",IF(AE207="","",B207-AE207))</f>
        <v>0</v>
      </c>
      <c r="AF207" s="38">
        <f>IF(B207="","",IF(M207&lt;&gt;"Completed","",IF(E207="","No",IF(COUNTIFS(Appointments!$E$5:$E$1204,E207,Appointments!$B$5:$B$1204,"&gt;"&amp;B207,Appointments!$M$5:$M$1204,"&lt;&gt;Cancelled")&gt;0,"Yes","No"))))</f>
        <v>0</v>
      </c>
      <c r="AG207" s="38">
        <f>IF(B207="","",IF(I207="","",IF(D207="","",IF(COUNTIFS($I$5:$I$1204,I207,$B$5:$B$1204,B207,$D$5:$D$1204,"&lt;"&amp;V207,$V$5:$V$1204,"&gt;"&amp;D207,$M$5:$M$1204,"&lt;&gt;Cancelled")&gt;1,"Clash",""))))</f>
        <v>0</v>
      </c>
      <c r="AH207" s="39">
        <f>IF(B207="","",IF(AG207="Clash","Clash - stylist double booked",IF(I207="","Assign - no stylist yet",IF(G207="","Add - no service chosen",IF(M207="No show","No show - charge the fee?",IF(M207="Cancelled","",IF(IF(M207="Completed",AB207&lt;Y207-0.004,FALSE),"Unpaid - nothing rung up for this visit",IF(IF(B207&lt;TodayDate,M207="Booked",FALSE),"Overdue - past date, still only Booked",IF(IF(B207=TodayDate,TRUE,FALSE),"Today",IF(IF(Z207&gt;0,AA207&lt;Z207-0.004,FALSE),"Due - deposit not taken",IF(IF(B207&gt;TodayDate,B207&lt;=TodayDate+2,FALSE),"Confirm - coming up","OK")))))))))))</f>
        <v>0</v>
      </c>
    </row>
    <row r="208" spans="1:34">
      <c r="A208" s="28">
        <f>IF(B208="","",AppointmentPrefix&amp;TEXT(ROW()-4,"0000"))</f>
        <v>0</v>
      </c>
      <c r="C208" s="15">
        <f>IF(B208="","",TEXT(B208,"ddd"))</f>
        <v>0</v>
      </c>
      <c r="F208" s="15">
        <f>IF(E208="","",IFERROR(INDEX(Clients!$B$5:$B$504,MATCH(E208,Clients!$A$5:$A$504,0)),"Walk-in"))</f>
        <v>0</v>
      </c>
      <c r="H208" s="15">
        <f>IF(G208="","",IFERROR(INDEX(Services!$B$5:$B$204,MATCH(G208,Services!$A$5:$A$204,0)),"Not in Services"))</f>
        <v>0</v>
      </c>
      <c r="J208" s="15">
        <f>IF(I208="","",IFERROR(INDEX(Staff!$B$5:$B$44,MATCH(I208,Staff!$A$5:$A$44,0)),"Unassigned"))</f>
        <v>0</v>
      </c>
      <c r="S208" s="15">
        <f>IF(B208="","",TEXT(B208,"yyyy-mm"))</f>
        <v>0</v>
      </c>
      <c r="T208" s="25">
        <f>IF(B208="","",WEEKNUM(B208,2))</f>
        <v>0</v>
      </c>
      <c r="U208" s="25">
        <f>IF(B208="","",IF(K208&lt;&gt;"",K208,IFERROR(INDEX(Services!$E$5:$E$204,MATCH(G208,Services!$A$5:$A$204,0))*1,0)+IFERROR(INDEX(Services!$F$5:$F$204,MATCH(G208,Services!$A$5:$A$204,0))*1,0)))</f>
        <v>0</v>
      </c>
      <c r="V208" s="36">
        <f>IF(B208="","",IF(D208="","",D208+U208/1440))</f>
        <v>0</v>
      </c>
      <c r="W208" s="25">
        <f>IF(B208="","",IF(D208="","",HOUR(D208)))</f>
        <v>0</v>
      </c>
      <c r="X208" s="37">
        <f>IF(B208="","",ROUND(U208/60,2))</f>
        <v>0</v>
      </c>
      <c r="Y208" s="26">
        <f>IF(B208="","",IF(L208&lt;&gt;"",L208,IFERROR(INDEX(Services!$G$5:$G$204,MATCH(G208,Services!$A$5:$A$204,0))*1,0)))</f>
        <v>0</v>
      </c>
      <c r="Z208" s="26">
        <f>IF(B208="","",IF(O208&lt;&gt;"",O208,IF(Y208&gt;=DepositThreshold,ROUND(Y208*DepositPercent,2),0)))</f>
        <v>0</v>
      </c>
      <c r="AA208" s="26">
        <f>IF(B208="","",ROUND(SUMIFS(Payments!$G$5:$G$1204,Payments!$I$5:$I$1204,A208,Payments!$E$5:$E$1204,"Deposit"),2))</f>
        <v>0</v>
      </c>
      <c r="AB208" s="26">
        <f>IF(B208="","",ROUND(SUMIFS(Sales!$Y$5:$Y$1204,Sales!$C$5:$C$1204,A208),2))</f>
        <v>0</v>
      </c>
      <c r="AC208" s="38">
        <f>IF(B208="","",IF(M208="Completed","Yes",IF(M208="Cancelled","Yes",IF(M208="No show","Yes","No"))))</f>
        <v>0</v>
      </c>
      <c r="AD208" s="25">
        <f>IF(B208="","",IF(AE208="","",B208-AE208))</f>
        <v>0</v>
      </c>
      <c r="AF208" s="38">
        <f>IF(B208="","",IF(M208&lt;&gt;"Completed","",IF(E208="","No",IF(COUNTIFS(Appointments!$E$5:$E$1204,E208,Appointments!$B$5:$B$1204,"&gt;"&amp;B208,Appointments!$M$5:$M$1204,"&lt;&gt;Cancelled")&gt;0,"Yes","No"))))</f>
        <v>0</v>
      </c>
      <c r="AG208" s="38">
        <f>IF(B208="","",IF(I208="","",IF(D208="","",IF(COUNTIFS($I$5:$I$1204,I208,$B$5:$B$1204,B208,$D$5:$D$1204,"&lt;"&amp;V208,$V$5:$V$1204,"&gt;"&amp;D208,$M$5:$M$1204,"&lt;&gt;Cancelled")&gt;1,"Clash",""))))</f>
        <v>0</v>
      </c>
      <c r="AH208" s="39">
        <f>IF(B208="","",IF(AG208="Clash","Clash - stylist double booked",IF(I208="","Assign - no stylist yet",IF(G208="","Add - no service chosen",IF(M208="No show","No show - charge the fee?",IF(M208="Cancelled","",IF(IF(M208="Completed",AB208&lt;Y208-0.004,FALSE),"Unpaid - nothing rung up for this visit",IF(IF(B208&lt;TodayDate,M208="Booked",FALSE),"Overdue - past date, still only Booked",IF(IF(B208=TodayDate,TRUE,FALSE),"Today",IF(IF(Z208&gt;0,AA208&lt;Z208-0.004,FALSE),"Due - deposit not taken",IF(IF(B208&gt;TodayDate,B208&lt;=TodayDate+2,FALSE),"Confirm - coming up","OK")))))))))))</f>
        <v>0</v>
      </c>
    </row>
    <row r="209" spans="1:34">
      <c r="A209" s="28">
        <f>IF(B209="","",AppointmentPrefix&amp;TEXT(ROW()-4,"0000"))</f>
        <v>0</v>
      </c>
      <c r="C209" s="15">
        <f>IF(B209="","",TEXT(B209,"ddd"))</f>
        <v>0</v>
      </c>
      <c r="F209" s="15">
        <f>IF(E209="","",IFERROR(INDEX(Clients!$B$5:$B$504,MATCH(E209,Clients!$A$5:$A$504,0)),"Walk-in"))</f>
        <v>0</v>
      </c>
      <c r="H209" s="15">
        <f>IF(G209="","",IFERROR(INDEX(Services!$B$5:$B$204,MATCH(G209,Services!$A$5:$A$204,0)),"Not in Services"))</f>
        <v>0</v>
      </c>
      <c r="J209" s="15">
        <f>IF(I209="","",IFERROR(INDEX(Staff!$B$5:$B$44,MATCH(I209,Staff!$A$5:$A$44,0)),"Unassigned"))</f>
        <v>0</v>
      </c>
      <c r="S209" s="15">
        <f>IF(B209="","",TEXT(B209,"yyyy-mm"))</f>
        <v>0</v>
      </c>
      <c r="T209" s="25">
        <f>IF(B209="","",WEEKNUM(B209,2))</f>
        <v>0</v>
      </c>
      <c r="U209" s="25">
        <f>IF(B209="","",IF(K209&lt;&gt;"",K209,IFERROR(INDEX(Services!$E$5:$E$204,MATCH(G209,Services!$A$5:$A$204,0))*1,0)+IFERROR(INDEX(Services!$F$5:$F$204,MATCH(G209,Services!$A$5:$A$204,0))*1,0)))</f>
        <v>0</v>
      </c>
      <c r="V209" s="36">
        <f>IF(B209="","",IF(D209="","",D209+U209/1440))</f>
        <v>0</v>
      </c>
      <c r="W209" s="25">
        <f>IF(B209="","",IF(D209="","",HOUR(D209)))</f>
        <v>0</v>
      </c>
      <c r="X209" s="37">
        <f>IF(B209="","",ROUND(U209/60,2))</f>
        <v>0</v>
      </c>
      <c r="Y209" s="26">
        <f>IF(B209="","",IF(L209&lt;&gt;"",L209,IFERROR(INDEX(Services!$G$5:$G$204,MATCH(G209,Services!$A$5:$A$204,0))*1,0)))</f>
        <v>0</v>
      </c>
      <c r="Z209" s="26">
        <f>IF(B209="","",IF(O209&lt;&gt;"",O209,IF(Y209&gt;=DepositThreshold,ROUND(Y209*DepositPercent,2),0)))</f>
        <v>0</v>
      </c>
      <c r="AA209" s="26">
        <f>IF(B209="","",ROUND(SUMIFS(Payments!$G$5:$G$1204,Payments!$I$5:$I$1204,A209,Payments!$E$5:$E$1204,"Deposit"),2))</f>
        <v>0</v>
      </c>
      <c r="AB209" s="26">
        <f>IF(B209="","",ROUND(SUMIFS(Sales!$Y$5:$Y$1204,Sales!$C$5:$C$1204,A209),2))</f>
        <v>0</v>
      </c>
      <c r="AC209" s="38">
        <f>IF(B209="","",IF(M209="Completed","Yes",IF(M209="Cancelled","Yes",IF(M209="No show","Yes","No"))))</f>
        <v>0</v>
      </c>
      <c r="AD209" s="25">
        <f>IF(B209="","",IF(AE209="","",B209-AE209))</f>
        <v>0</v>
      </c>
      <c r="AF209" s="38">
        <f>IF(B209="","",IF(M209&lt;&gt;"Completed","",IF(E209="","No",IF(COUNTIFS(Appointments!$E$5:$E$1204,E209,Appointments!$B$5:$B$1204,"&gt;"&amp;B209,Appointments!$M$5:$M$1204,"&lt;&gt;Cancelled")&gt;0,"Yes","No"))))</f>
        <v>0</v>
      </c>
      <c r="AG209" s="38">
        <f>IF(B209="","",IF(I209="","",IF(D209="","",IF(COUNTIFS($I$5:$I$1204,I209,$B$5:$B$1204,B209,$D$5:$D$1204,"&lt;"&amp;V209,$V$5:$V$1204,"&gt;"&amp;D209,$M$5:$M$1204,"&lt;&gt;Cancelled")&gt;1,"Clash",""))))</f>
        <v>0</v>
      </c>
      <c r="AH209" s="39">
        <f>IF(B209="","",IF(AG209="Clash","Clash - stylist double booked",IF(I209="","Assign - no stylist yet",IF(G209="","Add - no service chosen",IF(M209="No show","No show - charge the fee?",IF(M209="Cancelled","",IF(IF(M209="Completed",AB209&lt;Y209-0.004,FALSE),"Unpaid - nothing rung up for this visit",IF(IF(B209&lt;TodayDate,M209="Booked",FALSE),"Overdue - past date, still only Booked",IF(IF(B209=TodayDate,TRUE,FALSE),"Today",IF(IF(Z209&gt;0,AA209&lt;Z209-0.004,FALSE),"Due - deposit not taken",IF(IF(B209&gt;TodayDate,B209&lt;=TodayDate+2,FALSE),"Confirm - coming up","OK")))))))))))</f>
        <v>0</v>
      </c>
    </row>
    <row r="210" spans="1:34">
      <c r="A210" s="28">
        <f>IF(B210="","",AppointmentPrefix&amp;TEXT(ROW()-4,"0000"))</f>
        <v>0</v>
      </c>
      <c r="C210" s="15">
        <f>IF(B210="","",TEXT(B210,"ddd"))</f>
        <v>0</v>
      </c>
      <c r="F210" s="15">
        <f>IF(E210="","",IFERROR(INDEX(Clients!$B$5:$B$504,MATCH(E210,Clients!$A$5:$A$504,0)),"Walk-in"))</f>
        <v>0</v>
      </c>
      <c r="H210" s="15">
        <f>IF(G210="","",IFERROR(INDEX(Services!$B$5:$B$204,MATCH(G210,Services!$A$5:$A$204,0)),"Not in Services"))</f>
        <v>0</v>
      </c>
      <c r="J210" s="15">
        <f>IF(I210="","",IFERROR(INDEX(Staff!$B$5:$B$44,MATCH(I210,Staff!$A$5:$A$44,0)),"Unassigned"))</f>
        <v>0</v>
      </c>
      <c r="S210" s="15">
        <f>IF(B210="","",TEXT(B210,"yyyy-mm"))</f>
        <v>0</v>
      </c>
      <c r="T210" s="25">
        <f>IF(B210="","",WEEKNUM(B210,2))</f>
        <v>0</v>
      </c>
      <c r="U210" s="25">
        <f>IF(B210="","",IF(K210&lt;&gt;"",K210,IFERROR(INDEX(Services!$E$5:$E$204,MATCH(G210,Services!$A$5:$A$204,0))*1,0)+IFERROR(INDEX(Services!$F$5:$F$204,MATCH(G210,Services!$A$5:$A$204,0))*1,0)))</f>
        <v>0</v>
      </c>
      <c r="V210" s="36">
        <f>IF(B210="","",IF(D210="","",D210+U210/1440))</f>
        <v>0</v>
      </c>
      <c r="W210" s="25">
        <f>IF(B210="","",IF(D210="","",HOUR(D210)))</f>
        <v>0</v>
      </c>
      <c r="X210" s="37">
        <f>IF(B210="","",ROUND(U210/60,2))</f>
        <v>0</v>
      </c>
      <c r="Y210" s="26">
        <f>IF(B210="","",IF(L210&lt;&gt;"",L210,IFERROR(INDEX(Services!$G$5:$G$204,MATCH(G210,Services!$A$5:$A$204,0))*1,0)))</f>
        <v>0</v>
      </c>
      <c r="Z210" s="26">
        <f>IF(B210="","",IF(O210&lt;&gt;"",O210,IF(Y210&gt;=DepositThreshold,ROUND(Y210*DepositPercent,2),0)))</f>
        <v>0</v>
      </c>
      <c r="AA210" s="26">
        <f>IF(B210="","",ROUND(SUMIFS(Payments!$G$5:$G$1204,Payments!$I$5:$I$1204,A210,Payments!$E$5:$E$1204,"Deposit"),2))</f>
        <v>0</v>
      </c>
      <c r="AB210" s="26">
        <f>IF(B210="","",ROUND(SUMIFS(Sales!$Y$5:$Y$1204,Sales!$C$5:$C$1204,A210),2))</f>
        <v>0</v>
      </c>
      <c r="AC210" s="38">
        <f>IF(B210="","",IF(M210="Completed","Yes",IF(M210="Cancelled","Yes",IF(M210="No show","Yes","No"))))</f>
        <v>0</v>
      </c>
      <c r="AD210" s="25">
        <f>IF(B210="","",IF(AE210="","",B210-AE210))</f>
        <v>0</v>
      </c>
      <c r="AF210" s="38">
        <f>IF(B210="","",IF(M210&lt;&gt;"Completed","",IF(E210="","No",IF(COUNTIFS(Appointments!$E$5:$E$1204,E210,Appointments!$B$5:$B$1204,"&gt;"&amp;B210,Appointments!$M$5:$M$1204,"&lt;&gt;Cancelled")&gt;0,"Yes","No"))))</f>
        <v>0</v>
      </c>
      <c r="AG210" s="38">
        <f>IF(B210="","",IF(I210="","",IF(D210="","",IF(COUNTIFS($I$5:$I$1204,I210,$B$5:$B$1204,B210,$D$5:$D$1204,"&lt;"&amp;V210,$V$5:$V$1204,"&gt;"&amp;D210,$M$5:$M$1204,"&lt;&gt;Cancelled")&gt;1,"Clash",""))))</f>
        <v>0</v>
      </c>
      <c r="AH210" s="39">
        <f>IF(B210="","",IF(AG210="Clash","Clash - stylist double booked",IF(I210="","Assign - no stylist yet",IF(G210="","Add - no service chosen",IF(M210="No show","No show - charge the fee?",IF(M210="Cancelled","",IF(IF(M210="Completed",AB210&lt;Y210-0.004,FALSE),"Unpaid - nothing rung up for this visit",IF(IF(B210&lt;TodayDate,M210="Booked",FALSE),"Overdue - past date, still only Booked",IF(IF(B210=TodayDate,TRUE,FALSE),"Today",IF(IF(Z210&gt;0,AA210&lt;Z210-0.004,FALSE),"Due - deposit not taken",IF(IF(B210&gt;TodayDate,B210&lt;=TodayDate+2,FALSE),"Confirm - coming up","OK")))))))))))</f>
        <v>0</v>
      </c>
    </row>
    <row r="211" spans="1:34">
      <c r="A211" s="28">
        <f>IF(B211="","",AppointmentPrefix&amp;TEXT(ROW()-4,"0000"))</f>
        <v>0</v>
      </c>
      <c r="C211" s="15">
        <f>IF(B211="","",TEXT(B211,"ddd"))</f>
        <v>0</v>
      </c>
      <c r="F211" s="15">
        <f>IF(E211="","",IFERROR(INDEX(Clients!$B$5:$B$504,MATCH(E211,Clients!$A$5:$A$504,0)),"Walk-in"))</f>
        <v>0</v>
      </c>
      <c r="H211" s="15">
        <f>IF(G211="","",IFERROR(INDEX(Services!$B$5:$B$204,MATCH(G211,Services!$A$5:$A$204,0)),"Not in Services"))</f>
        <v>0</v>
      </c>
      <c r="J211" s="15">
        <f>IF(I211="","",IFERROR(INDEX(Staff!$B$5:$B$44,MATCH(I211,Staff!$A$5:$A$44,0)),"Unassigned"))</f>
        <v>0</v>
      </c>
      <c r="S211" s="15">
        <f>IF(B211="","",TEXT(B211,"yyyy-mm"))</f>
        <v>0</v>
      </c>
      <c r="T211" s="25">
        <f>IF(B211="","",WEEKNUM(B211,2))</f>
        <v>0</v>
      </c>
      <c r="U211" s="25">
        <f>IF(B211="","",IF(K211&lt;&gt;"",K211,IFERROR(INDEX(Services!$E$5:$E$204,MATCH(G211,Services!$A$5:$A$204,0))*1,0)+IFERROR(INDEX(Services!$F$5:$F$204,MATCH(G211,Services!$A$5:$A$204,0))*1,0)))</f>
        <v>0</v>
      </c>
      <c r="V211" s="36">
        <f>IF(B211="","",IF(D211="","",D211+U211/1440))</f>
        <v>0</v>
      </c>
      <c r="W211" s="25">
        <f>IF(B211="","",IF(D211="","",HOUR(D211)))</f>
        <v>0</v>
      </c>
      <c r="X211" s="37">
        <f>IF(B211="","",ROUND(U211/60,2))</f>
        <v>0</v>
      </c>
      <c r="Y211" s="26">
        <f>IF(B211="","",IF(L211&lt;&gt;"",L211,IFERROR(INDEX(Services!$G$5:$G$204,MATCH(G211,Services!$A$5:$A$204,0))*1,0)))</f>
        <v>0</v>
      </c>
      <c r="Z211" s="26">
        <f>IF(B211="","",IF(O211&lt;&gt;"",O211,IF(Y211&gt;=DepositThreshold,ROUND(Y211*DepositPercent,2),0)))</f>
        <v>0</v>
      </c>
      <c r="AA211" s="26">
        <f>IF(B211="","",ROUND(SUMIFS(Payments!$G$5:$G$1204,Payments!$I$5:$I$1204,A211,Payments!$E$5:$E$1204,"Deposit"),2))</f>
        <v>0</v>
      </c>
      <c r="AB211" s="26">
        <f>IF(B211="","",ROUND(SUMIFS(Sales!$Y$5:$Y$1204,Sales!$C$5:$C$1204,A211),2))</f>
        <v>0</v>
      </c>
      <c r="AC211" s="38">
        <f>IF(B211="","",IF(M211="Completed","Yes",IF(M211="Cancelled","Yes",IF(M211="No show","Yes","No"))))</f>
        <v>0</v>
      </c>
      <c r="AD211" s="25">
        <f>IF(B211="","",IF(AE211="","",B211-AE211))</f>
        <v>0</v>
      </c>
      <c r="AF211" s="38">
        <f>IF(B211="","",IF(M211&lt;&gt;"Completed","",IF(E211="","No",IF(COUNTIFS(Appointments!$E$5:$E$1204,E211,Appointments!$B$5:$B$1204,"&gt;"&amp;B211,Appointments!$M$5:$M$1204,"&lt;&gt;Cancelled")&gt;0,"Yes","No"))))</f>
        <v>0</v>
      </c>
      <c r="AG211" s="38">
        <f>IF(B211="","",IF(I211="","",IF(D211="","",IF(COUNTIFS($I$5:$I$1204,I211,$B$5:$B$1204,B211,$D$5:$D$1204,"&lt;"&amp;V211,$V$5:$V$1204,"&gt;"&amp;D211,$M$5:$M$1204,"&lt;&gt;Cancelled")&gt;1,"Clash",""))))</f>
        <v>0</v>
      </c>
      <c r="AH211" s="39">
        <f>IF(B211="","",IF(AG211="Clash","Clash - stylist double booked",IF(I211="","Assign - no stylist yet",IF(G211="","Add - no service chosen",IF(M211="No show","No show - charge the fee?",IF(M211="Cancelled","",IF(IF(M211="Completed",AB211&lt;Y211-0.004,FALSE),"Unpaid - nothing rung up for this visit",IF(IF(B211&lt;TodayDate,M211="Booked",FALSE),"Overdue - past date, still only Booked",IF(IF(B211=TodayDate,TRUE,FALSE),"Today",IF(IF(Z211&gt;0,AA211&lt;Z211-0.004,FALSE),"Due - deposit not taken",IF(IF(B211&gt;TodayDate,B211&lt;=TodayDate+2,FALSE),"Confirm - coming up","OK")))))))))))</f>
        <v>0</v>
      </c>
    </row>
    <row r="212" spans="1:34">
      <c r="A212" s="28">
        <f>IF(B212="","",AppointmentPrefix&amp;TEXT(ROW()-4,"0000"))</f>
        <v>0</v>
      </c>
      <c r="C212" s="15">
        <f>IF(B212="","",TEXT(B212,"ddd"))</f>
        <v>0</v>
      </c>
      <c r="F212" s="15">
        <f>IF(E212="","",IFERROR(INDEX(Clients!$B$5:$B$504,MATCH(E212,Clients!$A$5:$A$504,0)),"Walk-in"))</f>
        <v>0</v>
      </c>
      <c r="H212" s="15">
        <f>IF(G212="","",IFERROR(INDEX(Services!$B$5:$B$204,MATCH(G212,Services!$A$5:$A$204,0)),"Not in Services"))</f>
        <v>0</v>
      </c>
      <c r="J212" s="15">
        <f>IF(I212="","",IFERROR(INDEX(Staff!$B$5:$B$44,MATCH(I212,Staff!$A$5:$A$44,0)),"Unassigned"))</f>
        <v>0</v>
      </c>
      <c r="S212" s="15">
        <f>IF(B212="","",TEXT(B212,"yyyy-mm"))</f>
        <v>0</v>
      </c>
      <c r="T212" s="25">
        <f>IF(B212="","",WEEKNUM(B212,2))</f>
        <v>0</v>
      </c>
      <c r="U212" s="25">
        <f>IF(B212="","",IF(K212&lt;&gt;"",K212,IFERROR(INDEX(Services!$E$5:$E$204,MATCH(G212,Services!$A$5:$A$204,0))*1,0)+IFERROR(INDEX(Services!$F$5:$F$204,MATCH(G212,Services!$A$5:$A$204,0))*1,0)))</f>
        <v>0</v>
      </c>
      <c r="V212" s="36">
        <f>IF(B212="","",IF(D212="","",D212+U212/1440))</f>
        <v>0</v>
      </c>
      <c r="W212" s="25">
        <f>IF(B212="","",IF(D212="","",HOUR(D212)))</f>
        <v>0</v>
      </c>
      <c r="X212" s="37">
        <f>IF(B212="","",ROUND(U212/60,2))</f>
        <v>0</v>
      </c>
      <c r="Y212" s="26">
        <f>IF(B212="","",IF(L212&lt;&gt;"",L212,IFERROR(INDEX(Services!$G$5:$G$204,MATCH(G212,Services!$A$5:$A$204,0))*1,0)))</f>
        <v>0</v>
      </c>
      <c r="Z212" s="26">
        <f>IF(B212="","",IF(O212&lt;&gt;"",O212,IF(Y212&gt;=DepositThreshold,ROUND(Y212*DepositPercent,2),0)))</f>
        <v>0</v>
      </c>
      <c r="AA212" s="26">
        <f>IF(B212="","",ROUND(SUMIFS(Payments!$G$5:$G$1204,Payments!$I$5:$I$1204,A212,Payments!$E$5:$E$1204,"Deposit"),2))</f>
        <v>0</v>
      </c>
      <c r="AB212" s="26">
        <f>IF(B212="","",ROUND(SUMIFS(Sales!$Y$5:$Y$1204,Sales!$C$5:$C$1204,A212),2))</f>
        <v>0</v>
      </c>
      <c r="AC212" s="38">
        <f>IF(B212="","",IF(M212="Completed","Yes",IF(M212="Cancelled","Yes",IF(M212="No show","Yes","No"))))</f>
        <v>0</v>
      </c>
      <c r="AD212" s="25">
        <f>IF(B212="","",IF(AE212="","",B212-AE212))</f>
        <v>0</v>
      </c>
      <c r="AF212" s="38">
        <f>IF(B212="","",IF(M212&lt;&gt;"Completed","",IF(E212="","No",IF(COUNTIFS(Appointments!$E$5:$E$1204,E212,Appointments!$B$5:$B$1204,"&gt;"&amp;B212,Appointments!$M$5:$M$1204,"&lt;&gt;Cancelled")&gt;0,"Yes","No"))))</f>
        <v>0</v>
      </c>
      <c r="AG212" s="38">
        <f>IF(B212="","",IF(I212="","",IF(D212="","",IF(COUNTIFS($I$5:$I$1204,I212,$B$5:$B$1204,B212,$D$5:$D$1204,"&lt;"&amp;V212,$V$5:$V$1204,"&gt;"&amp;D212,$M$5:$M$1204,"&lt;&gt;Cancelled")&gt;1,"Clash",""))))</f>
        <v>0</v>
      </c>
      <c r="AH212" s="39">
        <f>IF(B212="","",IF(AG212="Clash","Clash - stylist double booked",IF(I212="","Assign - no stylist yet",IF(G212="","Add - no service chosen",IF(M212="No show","No show - charge the fee?",IF(M212="Cancelled","",IF(IF(M212="Completed",AB212&lt;Y212-0.004,FALSE),"Unpaid - nothing rung up for this visit",IF(IF(B212&lt;TodayDate,M212="Booked",FALSE),"Overdue - past date, still only Booked",IF(IF(B212=TodayDate,TRUE,FALSE),"Today",IF(IF(Z212&gt;0,AA212&lt;Z212-0.004,FALSE),"Due - deposit not taken",IF(IF(B212&gt;TodayDate,B212&lt;=TodayDate+2,FALSE),"Confirm - coming up","OK")))))))))))</f>
        <v>0</v>
      </c>
    </row>
    <row r="213" spans="1:34">
      <c r="A213" s="28">
        <f>IF(B213="","",AppointmentPrefix&amp;TEXT(ROW()-4,"0000"))</f>
        <v>0</v>
      </c>
      <c r="C213" s="15">
        <f>IF(B213="","",TEXT(B213,"ddd"))</f>
        <v>0</v>
      </c>
      <c r="F213" s="15">
        <f>IF(E213="","",IFERROR(INDEX(Clients!$B$5:$B$504,MATCH(E213,Clients!$A$5:$A$504,0)),"Walk-in"))</f>
        <v>0</v>
      </c>
      <c r="H213" s="15">
        <f>IF(G213="","",IFERROR(INDEX(Services!$B$5:$B$204,MATCH(G213,Services!$A$5:$A$204,0)),"Not in Services"))</f>
        <v>0</v>
      </c>
      <c r="J213" s="15">
        <f>IF(I213="","",IFERROR(INDEX(Staff!$B$5:$B$44,MATCH(I213,Staff!$A$5:$A$44,0)),"Unassigned"))</f>
        <v>0</v>
      </c>
      <c r="S213" s="15">
        <f>IF(B213="","",TEXT(B213,"yyyy-mm"))</f>
        <v>0</v>
      </c>
      <c r="T213" s="25">
        <f>IF(B213="","",WEEKNUM(B213,2))</f>
        <v>0</v>
      </c>
      <c r="U213" s="25">
        <f>IF(B213="","",IF(K213&lt;&gt;"",K213,IFERROR(INDEX(Services!$E$5:$E$204,MATCH(G213,Services!$A$5:$A$204,0))*1,0)+IFERROR(INDEX(Services!$F$5:$F$204,MATCH(G213,Services!$A$5:$A$204,0))*1,0)))</f>
        <v>0</v>
      </c>
      <c r="V213" s="36">
        <f>IF(B213="","",IF(D213="","",D213+U213/1440))</f>
        <v>0</v>
      </c>
      <c r="W213" s="25">
        <f>IF(B213="","",IF(D213="","",HOUR(D213)))</f>
        <v>0</v>
      </c>
      <c r="X213" s="37">
        <f>IF(B213="","",ROUND(U213/60,2))</f>
        <v>0</v>
      </c>
      <c r="Y213" s="26">
        <f>IF(B213="","",IF(L213&lt;&gt;"",L213,IFERROR(INDEX(Services!$G$5:$G$204,MATCH(G213,Services!$A$5:$A$204,0))*1,0)))</f>
        <v>0</v>
      </c>
      <c r="Z213" s="26">
        <f>IF(B213="","",IF(O213&lt;&gt;"",O213,IF(Y213&gt;=DepositThreshold,ROUND(Y213*DepositPercent,2),0)))</f>
        <v>0</v>
      </c>
      <c r="AA213" s="26">
        <f>IF(B213="","",ROUND(SUMIFS(Payments!$G$5:$G$1204,Payments!$I$5:$I$1204,A213,Payments!$E$5:$E$1204,"Deposit"),2))</f>
        <v>0</v>
      </c>
      <c r="AB213" s="26">
        <f>IF(B213="","",ROUND(SUMIFS(Sales!$Y$5:$Y$1204,Sales!$C$5:$C$1204,A213),2))</f>
        <v>0</v>
      </c>
      <c r="AC213" s="38">
        <f>IF(B213="","",IF(M213="Completed","Yes",IF(M213="Cancelled","Yes",IF(M213="No show","Yes","No"))))</f>
        <v>0</v>
      </c>
      <c r="AD213" s="25">
        <f>IF(B213="","",IF(AE213="","",B213-AE213))</f>
        <v>0</v>
      </c>
      <c r="AF213" s="38">
        <f>IF(B213="","",IF(M213&lt;&gt;"Completed","",IF(E213="","No",IF(COUNTIFS(Appointments!$E$5:$E$1204,E213,Appointments!$B$5:$B$1204,"&gt;"&amp;B213,Appointments!$M$5:$M$1204,"&lt;&gt;Cancelled")&gt;0,"Yes","No"))))</f>
        <v>0</v>
      </c>
      <c r="AG213" s="38">
        <f>IF(B213="","",IF(I213="","",IF(D213="","",IF(COUNTIFS($I$5:$I$1204,I213,$B$5:$B$1204,B213,$D$5:$D$1204,"&lt;"&amp;V213,$V$5:$V$1204,"&gt;"&amp;D213,$M$5:$M$1204,"&lt;&gt;Cancelled")&gt;1,"Clash",""))))</f>
        <v>0</v>
      </c>
      <c r="AH213" s="39">
        <f>IF(B213="","",IF(AG213="Clash","Clash - stylist double booked",IF(I213="","Assign - no stylist yet",IF(G213="","Add - no service chosen",IF(M213="No show","No show - charge the fee?",IF(M213="Cancelled","",IF(IF(M213="Completed",AB213&lt;Y213-0.004,FALSE),"Unpaid - nothing rung up for this visit",IF(IF(B213&lt;TodayDate,M213="Booked",FALSE),"Overdue - past date, still only Booked",IF(IF(B213=TodayDate,TRUE,FALSE),"Today",IF(IF(Z213&gt;0,AA213&lt;Z213-0.004,FALSE),"Due - deposit not taken",IF(IF(B213&gt;TodayDate,B213&lt;=TodayDate+2,FALSE),"Confirm - coming up","OK")))))))))))</f>
        <v>0</v>
      </c>
    </row>
    <row r="214" spans="1:34">
      <c r="A214" s="28">
        <f>IF(B214="","",AppointmentPrefix&amp;TEXT(ROW()-4,"0000"))</f>
        <v>0</v>
      </c>
      <c r="C214" s="15">
        <f>IF(B214="","",TEXT(B214,"ddd"))</f>
        <v>0</v>
      </c>
      <c r="F214" s="15">
        <f>IF(E214="","",IFERROR(INDEX(Clients!$B$5:$B$504,MATCH(E214,Clients!$A$5:$A$504,0)),"Walk-in"))</f>
        <v>0</v>
      </c>
      <c r="H214" s="15">
        <f>IF(G214="","",IFERROR(INDEX(Services!$B$5:$B$204,MATCH(G214,Services!$A$5:$A$204,0)),"Not in Services"))</f>
        <v>0</v>
      </c>
      <c r="J214" s="15">
        <f>IF(I214="","",IFERROR(INDEX(Staff!$B$5:$B$44,MATCH(I214,Staff!$A$5:$A$44,0)),"Unassigned"))</f>
        <v>0</v>
      </c>
      <c r="S214" s="15">
        <f>IF(B214="","",TEXT(B214,"yyyy-mm"))</f>
        <v>0</v>
      </c>
      <c r="T214" s="25">
        <f>IF(B214="","",WEEKNUM(B214,2))</f>
        <v>0</v>
      </c>
      <c r="U214" s="25">
        <f>IF(B214="","",IF(K214&lt;&gt;"",K214,IFERROR(INDEX(Services!$E$5:$E$204,MATCH(G214,Services!$A$5:$A$204,0))*1,0)+IFERROR(INDEX(Services!$F$5:$F$204,MATCH(G214,Services!$A$5:$A$204,0))*1,0)))</f>
        <v>0</v>
      </c>
      <c r="V214" s="36">
        <f>IF(B214="","",IF(D214="","",D214+U214/1440))</f>
        <v>0</v>
      </c>
      <c r="W214" s="25">
        <f>IF(B214="","",IF(D214="","",HOUR(D214)))</f>
        <v>0</v>
      </c>
      <c r="X214" s="37">
        <f>IF(B214="","",ROUND(U214/60,2))</f>
        <v>0</v>
      </c>
      <c r="Y214" s="26">
        <f>IF(B214="","",IF(L214&lt;&gt;"",L214,IFERROR(INDEX(Services!$G$5:$G$204,MATCH(G214,Services!$A$5:$A$204,0))*1,0)))</f>
        <v>0</v>
      </c>
      <c r="Z214" s="26">
        <f>IF(B214="","",IF(O214&lt;&gt;"",O214,IF(Y214&gt;=DepositThreshold,ROUND(Y214*DepositPercent,2),0)))</f>
        <v>0</v>
      </c>
      <c r="AA214" s="26">
        <f>IF(B214="","",ROUND(SUMIFS(Payments!$G$5:$G$1204,Payments!$I$5:$I$1204,A214,Payments!$E$5:$E$1204,"Deposit"),2))</f>
        <v>0</v>
      </c>
      <c r="AB214" s="26">
        <f>IF(B214="","",ROUND(SUMIFS(Sales!$Y$5:$Y$1204,Sales!$C$5:$C$1204,A214),2))</f>
        <v>0</v>
      </c>
      <c r="AC214" s="38">
        <f>IF(B214="","",IF(M214="Completed","Yes",IF(M214="Cancelled","Yes",IF(M214="No show","Yes","No"))))</f>
        <v>0</v>
      </c>
      <c r="AD214" s="25">
        <f>IF(B214="","",IF(AE214="","",B214-AE214))</f>
        <v>0</v>
      </c>
      <c r="AF214" s="38">
        <f>IF(B214="","",IF(M214&lt;&gt;"Completed","",IF(E214="","No",IF(COUNTIFS(Appointments!$E$5:$E$1204,E214,Appointments!$B$5:$B$1204,"&gt;"&amp;B214,Appointments!$M$5:$M$1204,"&lt;&gt;Cancelled")&gt;0,"Yes","No"))))</f>
        <v>0</v>
      </c>
      <c r="AG214" s="38">
        <f>IF(B214="","",IF(I214="","",IF(D214="","",IF(COUNTIFS($I$5:$I$1204,I214,$B$5:$B$1204,B214,$D$5:$D$1204,"&lt;"&amp;V214,$V$5:$V$1204,"&gt;"&amp;D214,$M$5:$M$1204,"&lt;&gt;Cancelled")&gt;1,"Clash",""))))</f>
        <v>0</v>
      </c>
      <c r="AH214" s="39">
        <f>IF(B214="","",IF(AG214="Clash","Clash - stylist double booked",IF(I214="","Assign - no stylist yet",IF(G214="","Add - no service chosen",IF(M214="No show","No show - charge the fee?",IF(M214="Cancelled","",IF(IF(M214="Completed",AB214&lt;Y214-0.004,FALSE),"Unpaid - nothing rung up for this visit",IF(IF(B214&lt;TodayDate,M214="Booked",FALSE),"Overdue - past date, still only Booked",IF(IF(B214=TodayDate,TRUE,FALSE),"Today",IF(IF(Z214&gt;0,AA214&lt;Z214-0.004,FALSE),"Due - deposit not taken",IF(IF(B214&gt;TodayDate,B214&lt;=TodayDate+2,FALSE),"Confirm - coming up","OK")))))))))))</f>
        <v>0</v>
      </c>
    </row>
    <row r="215" spans="1:34">
      <c r="A215" s="28">
        <f>IF(B215="","",AppointmentPrefix&amp;TEXT(ROW()-4,"0000"))</f>
        <v>0</v>
      </c>
      <c r="C215" s="15">
        <f>IF(B215="","",TEXT(B215,"ddd"))</f>
        <v>0</v>
      </c>
      <c r="F215" s="15">
        <f>IF(E215="","",IFERROR(INDEX(Clients!$B$5:$B$504,MATCH(E215,Clients!$A$5:$A$504,0)),"Walk-in"))</f>
        <v>0</v>
      </c>
      <c r="H215" s="15">
        <f>IF(G215="","",IFERROR(INDEX(Services!$B$5:$B$204,MATCH(G215,Services!$A$5:$A$204,0)),"Not in Services"))</f>
        <v>0</v>
      </c>
      <c r="J215" s="15">
        <f>IF(I215="","",IFERROR(INDEX(Staff!$B$5:$B$44,MATCH(I215,Staff!$A$5:$A$44,0)),"Unassigned"))</f>
        <v>0</v>
      </c>
      <c r="S215" s="15">
        <f>IF(B215="","",TEXT(B215,"yyyy-mm"))</f>
        <v>0</v>
      </c>
      <c r="T215" s="25">
        <f>IF(B215="","",WEEKNUM(B215,2))</f>
        <v>0</v>
      </c>
      <c r="U215" s="25">
        <f>IF(B215="","",IF(K215&lt;&gt;"",K215,IFERROR(INDEX(Services!$E$5:$E$204,MATCH(G215,Services!$A$5:$A$204,0))*1,0)+IFERROR(INDEX(Services!$F$5:$F$204,MATCH(G215,Services!$A$5:$A$204,0))*1,0)))</f>
        <v>0</v>
      </c>
      <c r="V215" s="36">
        <f>IF(B215="","",IF(D215="","",D215+U215/1440))</f>
        <v>0</v>
      </c>
      <c r="W215" s="25">
        <f>IF(B215="","",IF(D215="","",HOUR(D215)))</f>
        <v>0</v>
      </c>
      <c r="X215" s="37">
        <f>IF(B215="","",ROUND(U215/60,2))</f>
        <v>0</v>
      </c>
      <c r="Y215" s="26">
        <f>IF(B215="","",IF(L215&lt;&gt;"",L215,IFERROR(INDEX(Services!$G$5:$G$204,MATCH(G215,Services!$A$5:$A$204,0))*1,0)))</f>
        <v>0</v>
      </c>
      <c r="Z215" s="26">
        <f>IF(B215="","",IF(O215&lt;&gt;"",O215,IF(Y215&gt;=DepositThreshold,ROUND(Y215*DepositPercent,2),0)))</f>
        <v>0</v>
      </c>
      <c r="AA215" s="26">
        <f>IF(B215="","",ROUND(SUMIFS(Payments!$G$5:$G$1204,Payments!$I$5:$I$1204,A215,Payments!$E$5:$E$1204,"Deposit"),2))</f>
        <v>0</v>
      </c>
      <c r="AB215" s="26">
        <f>IF(B215="","",ROUND(SUMIFS(Sales!$Y$5:$Y$1204,Sales!$C$5:$C$1204,A215),2))</f>
        <v>0</v>
      </c>
      <c r="AC215" s="38">
        <f>IF(B215="","",IF(M215="Completed","Yes",IF(M215="Cancelled","Yes",IF(M215="No show","Yes","No"))))</f>
        <v>0</v>
      </c>
      <c r="AD215" s="25">
        <f>IF(B215="","",IF(AE215="","",B215-AE215))</f>
        <v>0</v>
      </c>
      <c r="AF215" s="38">
        <f>IF(B215="","",IF(M215&lt;&gt;"Completed","",IF(E215="","No",IF(COUNTIFS(Appointments!$E$5:$E$1204,E215,Appointments!$B$5:$B$1204,"&gt;"&amp;B215,Appointments!$M$5:$M$1204,"&lt;&gt;Cancelled")&gt;0,"Yes","No"))))</f>
        <v>0</v>
      </c>
      <c r="AG215" s="38">
        <f>IF(B215="","",IF(I215="","",IF(D215="","",IF(COUNTIFS($I$5:$I$1204,I215,$B$5:$B$1204,B215,$D$5:$D$1204,"&lt;"&amp;V215,$V$5:$V$1204,"&gt;"&amp;D215,$M$5:$M$1204,"&lt;&gt;Cancelled")&gt;1,"Clash",""))))</f>
        <v>0</v>
      </c>
      <c r="AH215" s="39">
        <f>IF(B215="","",IF(AG215="Clash","Clash - stylist double booked",IF(I215="","Assign - no stylist yet",IF(G215="","Add - no service chosen",IF(M215="No show","No show - charge the fee?",IF(M215="Cancelled","",IF(IF(M215="Completed",AB215&lt;Y215-0.004,FALSE),"Unpaid - nothing rung up for this visit",IF(IF(B215&lt;TodayDate,M215="Booked",FALSE),"Overdue - past date, still only Booked",IF(IF(B215=TodayDate,TRUE,FALSE),"Today",IF(IF(Z215&gt;0,AA215&lt;Z215-0.004,FALSE),"Due - deposit not taken",IF(IF(B215&gt;TodayDate,B215&lt;=TodayDate+2,FALSE),"Confirm - coming up","OK")))))))))))</f>
        <v>0</v>
      </c>
    </row>
    <row r="216" spans="1:34">
      <c r="A216" s="28">
        <f>IF(B216="","",AppointmentPrefix&amp;TEXT(ROW()-4,"0000"))</f>
        <v>0</v>
      </c>
      <c r="C216" s="15">
        <f>IF(B216="","",TEXT(B216,"ddd"))</f>
        <v>0</v>
      </c>
      <c r="F216" s="15">
        <f>IF(E216="","",IFERROR(INDEX(Clients!$B$5:$B$504,MATCH(E216,Clients!$A$5:$A$504,0)),"Walk-in"))</f>
        <v>0</v>
      </c>
      <c r="H216" s="15">
        <f>IF(G216="","",IFERROR(INDEX(Services!$B$5:$B$204,MATCH(G216,Services!$A$5:$A$204,0)),"Not in Services"))</f>
        <v>0</v>
      </c>
      <c r="J216" s="15">
        <f>IF(I216="","",IFERROR(INDEX(Staff!$B$5:$B$44,MATCH(I216,Staff!$A$5:$A$44,0)),"Unassigned"))</f>
        <v>0</v>
      </c>
      <c r="S216" s="15">
        <f>IF(B216="","",TEXT(B216,"yyyy-mm"))</f>
        <v>0</v>
      </c>
      <c r="T216" s="25">
        <f>IF(B216="","",WEEKNUM(B216,2))</f>
        <v>0</v>
      </c>
      <c r="U216" s="25">
        <f>IF(B216="","",IF(K216&lt;&gt;"",K216,IFERROR(INDEX(Services!$E$5:$E$204,MATCH(G216,Services!$A$5:$A$204,0))*1,0)+IFERROR(INDEX(Services!$F$5:$F$204,MATCH(G216,Services!$A$5:$A$204,0))*1,0)))</f>
        <v>0</v>
      </c>
      <c r="V216" s="36">
        <f>IF(B216="","",IF(D216="","",D216+U216/1440))</f>
        <v>0</v>
      </c>
      <c r="W216" s="25">
        <f>IF(B216="","",IF(D216="","",HOUR(D216)))</f>
        <v>0</v>
      </c>
      <c r="X216" s="37">
        <f>IF(B216="","",ROUND(U216/60,2))</f>
        <v>0</v>
      </c>
      <c r="Y216" s="26">
        <f>IF(B216="","",IF(L216&lt;&gt;"",L216,IFERROR(INDEX(Services!$G$5:$G$204,MATCH(G216,Services!$A$5:$A$204,0))*1,0)))</f>
        <v>0</v>
      </c>
      <c r="Z216" s="26">
        <f>IF(B216="","",IF(O216&lt;&gt;"",O216,IF(Y216&gt;=DepositThreshold,ROUND(Y216*DepositPercent,2),0)))</f>
        <v>0</v>
      </c>
      <c r="AA216" s="26">
        <f>IF(B216="","",ROUND(SUMIFS(Payments!$G$5:$G$1204,Payments!$I$5:$I$1204,A216,Payments!$E$5:$E$1204,"Deposit"),2))</f>
        <v>0</v>
      </c>
      <c r="AB216" s="26">
        <f>IF(B216="","",ROUND(SUMIFS(Sales!$Y$5:$Y$1204,Sales!$C$5:$C$1204,A216),2))</f>
        <v>0</v>
      </c>
      <c r="AC216" s="38">
        <f>IF(B216="","",IF(M216="Completed","Yes",IF(M216="Cancelled","Yes",IF(M216="No show","Yes","No"))))</f>
        <v>0</v>
      </c>
      <c r="AD216" s="25">
        <f>IF(B216="","",IF(AE216="","",B216-AE216))</f>
        <v>0</v>
      </c>
      <c r="AF216" s="38">
        <f>IF(B216="","",IF(M216&lt;&gt;"Completed","",IF(E216="","No",IF(COUNTIFS(Appointments!$E$5:$E$1204,E216,Appointments!$B$5:$B$1204,"&gt;"&amp;B216,Appointments!$M$5:$M$1204,"&lt;&gt;Cancelled")&gt;0,"Yes","No"))))</f>
        <v>0</v>
      </c>
      <c r="AG216" s="38">
        <f>IF(B216="","",IF(I216="","",IF(D216="","",IF(COUNTIFS($I$5:$I$1204,I216,$B$5:$B$1204,B216,$D$5:$D$1204,"&lt;"&amp;V216,$V$5:$V$1204,"&gt;"&amp;D216,$M$5:$M$1204,"&lt;&gt;Cancelled")&gt;1,"Clash",""))))</f>
        <v>0</v>
      </c>
      <c r="AH216" s="39">
        <f>IF(B216="","",IF(AG216="Clash","Clash - stylist double booked",IF(I216="","Assign - no stylist yet",IF(G216="","Add - no service chosen",IF(M216="No show","No show - charge the fee?",IF(M216="Cancelled","",IF(IF(M216="Completed",AB216&lt;Y216-0.004,FALSE),"Unpaid - nothing rung up for this visit",IF(IF(B216&lt;TodayDate,M216="Booked",FALSE),"Overdue - past date, still only Booked",IF(IF(B216=TodayDate,TRUE,FALSE),"Today",IF(IF(Z216&gt;0,AA216&lt;Z216-0.004,FALSE),"Due - deposit not taken",IF(IF(B216&gt;TodayDate,B216&lt;=TodayDate+2,FALSE),"Confirm - coming up","OK")))))))))))</f>
        <v>0</v>
      </c>
    </row>
    <row r="217" spans="1:34">
      <c r="A217" s="28">
        <f>IF(B217="","",AppointmentPrefix&amp;TEXT(ROW()-4,"0000"))</f>
        <v>0</v>
      </c>
      <c r="C217" s="15">
        <f>IF(B217="","",TEXT(B217,"ddd"))</f>
        <v>0</v>
      </c>
      <c r="F217" s="15">
        <f>IF(E217="","",IFERROR(INDEX(Clients!$B$5:$B$504,MATCH(E217,Clients!$A$5:$A$504,0)),"Walk-in"))</f>
        <v>0</v>
      </c>
      <c r="H217" s="15">
        <f>IF(G217="","",IFERROR(INDEX(Services!$B$5:$B$204,MATCH(G217,Services!$A$5:$A$204,0)),"Not in Services"))</f>
        <v>0</v>
      </c>
      <c r="J217" s="15">
        <f>IF(I217="","",IFERROR(INDEX(Staff!$B$5:$B$44,MATCH(I217,Staff!$A$5:$A$44,0)),"Unassigned"))</f>
        <v>0</v>
      </c>
      <c r="S217" s="15">
        <f>IF(B217="","",TEXT(B217,"yyyy-mm"))</f>
        <v>0</v>
      </c>
      <c r="T217" s="25">
        <f>IF(B217="","",WEEKNUM(B217,2))</f>
        <v>0</v>
      </c>
      <c r="U217" s="25">
        <f>IF(B217="","",IF(K217&lt;&gt;"",K217,IFERROR(INDEX(Services!$E$5:$E$204,MATCH(G217,Services!$A$5:$A$204,0))*1,0)+IFERROR(INDEX(Services!$F$5:$F$204,MATCH(G217,Services!$A$5:$A$204,0))*1,0)))</f>
        <v>0</v>
      </c>
      <c r="V217" s="36">
        <f>IF(B217="","",IF(D217="","",D217+U217/1440))</f>
        <v>0</v>
      </c>
      <c r="W217" s="25">
        <f>IF(B217="","",IF(D217="","",HOUR(D217)))</f>
        <v>0</v>
      </c>
      <c r="X217" s="37">
        <f>IF(B217="","",ROUND(U217/60,2))</f>
        <v>0</v>
      </c>
      <c r="Y217" s="26">
        <f>IF(B217="","",IF(L217&lt;&gt;"",L217,IFERROR(INDEX(Services!$G$5:$G$204,MATCH(G217,Services!$A$5:$A$204,0))*1,0)))</f>
        <v>0</v>
      </c>
      <c r="Z217" s="26">
        <f>IF(B217="","",IF(O217&lt;&gt;"",O217,IF(Y217&gt;=DepositThreshold,ROUND(Y217*DepositPercent,2),0)))</f>
        <v>0</v>
      </c>
      <c r="AA217" s="26">
        <f>IF(B217="","",ROUND(SUMIFS(Payments!$G$5:$G$1204,Payments!$I$5:$I$1204,A217,Payments!$E$5:$E$1204,"Deposit"),2))</f>
        <v>0</v>
      </c>
      <c r="AB217" s="26">
        <f>IF(B217="","",ROUND(SUMIFS(Sales!$Y$5:$Y$1204,Sales!$C$5:$C$1204,A217),2))</f>
        <v>0</v>
      </c>
      <c r="AC217" s="38">
        <f>IF(B217="","",IF(M217="Completed","Yes",IF(M217="Cancelled","Yes",IF(M217="No show","Yes","No"))))</f>
        <v>0</v>
      </c>
      <c r="AD217" s="25">
        <f>IF(B217="","",IF(AE217="","",B217-AE217))</f>
        <v>0</v>
      </c>
      <c r="AF217" s="38">
        <f>IF(B217="","",IF(M217&lt;&gt;"Completed","",IF(E217="","No",IF(COUNTIFS(Appointments!$E$5:$E$1204,E217,Appointments!$B$5:$B$1204,"&gt;"&amp;B217,Appointments!$M$5:$M$1204,"&lt;&gt;Cancelled")&gt;0,"Yes","No"))))</f>
        <v>0</v>
      </c>
      <c r="AG217" s="38">
        <f>IF(B217="","",IF(I217="","",IF(D217="","",IF(COUNTIFS($I$5:$I$1204,I217,$B$5:$B$1204,B217,$D$5:$D$1204,"&lt;"&amp;V217,$V$5:$V$1204,"&gt;"&amp;D217,$M$5:$M$1204,"&lt;&gt;Cancelled")&gt;1,"Clash",""))))</f>
        <v>0</v>
      </c>
      <c r="AH217" s="39">
        <f>IF(B217="","",IF(AG217="Clash","Clash - stylist double booked",IF(I217="","Assign - no stylist yet",IF(G217="","Add - no service chosen",IF(M217="No show","No show - charge the fee?",IF(M217="Cancelled","",IF(IF(M217="Completed",AB217&lt;Y217-0.004,FALSE),"Unpaid - nothing rung up for this visit",IF(IF(B217&lt;TodayDate,M217="Booked",FALSE),"Overdue - past date, still only Booked",IF(IF(B217=TodayDate,TRUE,FALSE),"Today",IF(IF(Z217&gt;0,AA217&lt;Z217-0.004,FALSE),"Due - deposit not taken",IF(IF(B217&gt;TodayDate,B217&lt;=TodayDate+2,FALSE),"Confirm - coming up","OK")))))))))))</f>
        <v>0</v>
      </c>
    </row>
    <row r="218" spans="1:34">
      <c r="A218" s="28">
        <f>IF(B218="","",AppointmentPrefix&amp;TEXT(ROW()-4,"0000"))</f>
        <v>0</v>
      </c>
      <c r="C218" s="15">
        <f>IF(B218="","",TEXT(B218,"ddd"))</f>
        <v>0</v>
      </c>
      <c r="F218" s="15">
        <f>IF(E218="","",IFERROR(INDEX(Clients!$B$5:$B$504,MATCH(E218,Clients!$A$5:$A$504,0)),"Walk-in"))</f>
        <v>0</v>
      </c>
      <c r="H218" s="15">
        <f>IF(G218="","",IFERROR(INDEX(Services!$B$5:$B$204,MATCH(G218,Services!$A$5:$A$204,0)),"Not in Services"))</f>
        <v>0</v>
      </c>
      <c r="J218" s="15">
        <f>IF(I218="","",IFERROR(INDEX(Staff!$B$5:$B$44,MATCH(I218,Staff!$A$5:$A$44,0)),"Unassigned"))</f>
        <v>0</v>
      </c>
      <c r="S218" s="15">
        <f>IF(B218="","",TEXT(B218,"yyyy-mm"))</f>
        <v>0</v>
      </c>
      <c r="T218" s="25">
        <f>IF(B218="","",WEEKNUM(B218,2))</f>
        <v>0</v>
      </c>
      <c r="U218" s="25">
        <f>IF(B218="","",IF(K218&lt;&gt;"",K218,IFERROR(INDEX(Services!$E$5:$E$204,MATCH(G218,Services!$A$5:$A$204,0))*1,0)+IFERROR(INDEX(Services!$F$5:$F$204,MATCH(G218,Services!$A$5:$A$204,0))*1,0)))</f>
        <v>0</v>
      </c>
      <c r="V218" s="36">
        <f>IF(B218="","",IF(D218="","",D218+U218/1440))</f>
        <v>0</v>
      </c>
      <c r="W218" s="25">
        <f>IF(B218="","",IF(D218="","",HOUR(D218)))</f>
        <v>0</v>
      </c>
      <c r="X218" s="37">
        <f>IF(B218="","",ROUND(U218/60,2))</f>
        <v>0</v>
      </c>
      <c r="Y218" s="26">
        <f>IF(B218="","",IF(L218&lt;&gt;"",L218,IFERROR(INDEX(Services!$G$5:$G$204,MATCH(G218,Services!$A$5:$A$204,0))*1,0)))</f>
        <v>0</v>
      </c>
      <c r="Z218" s="26">
        <f>IF(B218="","",IF(O218&lt;&gt;"",O218,IF(Y218&gt;=DepositThreshold,ROUND(Y218*DepositPercent,2),0)))</f>
        <v>0</v>
      </c>
      <c r="AA218" s="26">
        <f>IF(B218="","",ROUND(SUMIFS(Payments!$G$5:$G$1204,Payments!$I$5:$I$1204,A218,Payments!$E$5:$E$1204,"Deposit"),2))</f>
        <v>0</v>
      </c>
      <c r="AB218" s="26">
        <f>IF(B218="","",ROUND(SUMIFS(Sales!$Y$5:$Y$1204,Sales!$C$5:$C$1204,A218),2))</f>
        <v>0</v>
      </c>
      <c r="AC218" s="38">
        <f>IF(B218="","",IF(M218="Completed","Yes",IF(M218="Cancelled","Yes",IF(M218="No show","Yes","No"))))</f>
        <v>0</v>
      </c>
      <c r="AD218" s="25">
        <f>IF(B218="","",IF(AE218="","",B218-AE218))</f>
        <v>0</v>
      </c>
      <c r="AF218" s="38">
        <f>IF(B218="","",IF(M218&lt;&gt;"Completed","",IF(E218="","No",IF(COUNTIFS(Appointments!$E$5:$E$1204,E218,Appointments!$B$5:$B$1204,"&gt;"&amp;B218,Appointments!$M$5:$M$1204,"&lt;&gt;Cancelled")&gt;0,"Yes","No"))))</f>
        <v>0</v>
      </c>
      <c r="AG218" s="38">
        <f>IF(B218="","",IF(I218="","",IF(D218="","",IF(COUNTIFS($I$5:$I$1204,I218,$B$5:$B$1204,B218,$D$5:$D$1204,"&lt;"&amp;V218,$V$5:$V$1204,"&gt;"&amp;D218,$M$5:$M$1204,"&lt;&gt;Cancelled")&gt;1,"Clash",""))))</f>
        <v>0</v>
      </c>
      <c r="AH218" s="39">
        <f>IF(B218="","",IF(AG218="Clash","Clash - stylist double booked",IF(I218="","Assign - no stylist yet",IF(G218="","Add - no service chosen",IF(M218="No show","No show - charge the fee?",IF(M218="Cancelled","",IF(IF(M218="Completed",AB218&lt;Y218-0.004,FALSE),"Unpaid - nothing rung up for this visit",IF(IF(B218&lt;TodayDate,M218="Booked",FALSE),"Overdue - past date, still only Booked",IF(IF(B218=TodayDate,TRUE,FALSE),"Today",IF(IF(Z218&gt;0,AA218&lt;Z218-0.004,FALSE),"Due - deposit not taken",IF(IF(B218&gt;TodayDate,B218&lt;=TodayDate+2,FALSE),"Confirm - coming up","OK")))))))))))</f>
        <v>0</v>
      </c>
    </row>
    <row r="219" spans="1:34">
      <c r="A219" s="28">
        <f>IF(B219="","",AppointmentPrefix&amp;TEXT(ROW()-4,"0000"))</f>
        <v>0</v>
      </c>
      <c r="C219" s="15">
        <f>IF(B219="","",TEXT(B219,"ddd"))</f>
        <v>0</v>
      </c>
      <c r="F219" s="15">
        <f>IF(E219="","",IFERROR(INDEX(Clients!$B$5:$B$504,MATCH(E219,Clients!$A$5:$A$504,0)),"Walk-in"))</f>
        <v>0</v>
      </c>
      <c r="H219" s="15">
        <f>IF(G219="","",IFERROR(INDEX(Services!$B$5:$B$204,MATCH(G219,Services!$A$5:$A$204,0)),"Not in Services"))</f>
        <v>0</v>
      </c>
      <c r="J219" s="15">
        <f>IF(I219="","",IFERROR(INDEX(Staff!$B$5:$B$44,MATCH(I219,Staff!$A$5:$A$44,0)),"Unassigned"))</f>
        <v>0</v>
      </c>
      <c r="S219" s="15">
        <f>IF(B219="","",TEXT(B219,"yyyy-mm"))</f>
        <v>0</v>
      </c>
      <c r="T219" s="25">
        <f>IF(B219="","",WEEKNUM(B219,2))</f>
        <v>0</v>
      </c>
      <c r="U219" s="25">
        <f>IF(B219="","",IF(K219&lt;&gt;"",K219,IFERROR(INDEX(Services!$E$5:$E$204,MATCH(G219,Services!$A$5:$A$204,0))*1,0)+IFERROR(INDEX(Services!$F$5:$F$204,MATCH(G219,Services!$A$5:$A$204,0))*1,0)))</f>
        <v>0</v>
      </c>
      <c r="V219" s="36">
        <f>IF(B219="","",IF(D219="","",D219+U219/1440))</f>
        <v>0</v>
      </c>
      <c r="W219" s="25">
        <f>IF(B219="","",IF(D219="","",HOUR(D219)))</f>
        <v>0</v>
      </c>
      <c r="X219" s="37">
        <f>IF(B219="","",ROUND(U219/60,2))</f>
        <v>0</v>
      </c>
      <c r="Y219" s="26">
        <f>IF(B219="","",IF(L219&lt;&gt;"",L219,IFERROR(INDEX(Services!$G$5:$G$204,MATCH(G219,Services!$A$5:$A$204,0))*1,0)))</f>
        <v>0</v>
      </c>
      <c r="Z219" s="26">
        <f>IF(B219="","",IF(O219&lt;&gt;"",O219,IF(Y219&gt;=DepositThreshold,ROUND(Y219*DepositPercent,2),0)))</f>
        <v>0</v>
      </c>
      <c r="AA219" s="26">
        <f>IF(B219="","",ROUND(SUMIFS(Payments!$G$5:$G$1204,Payments!$I$5:$I$1204,A219,Payments!$E$5:$E$1204,"Deposit"),2))</f>
        <v>0</v>
      </c>
      <c r="AB219" s="26">
        <f>IF(B219="","",ROUND(SUMIFS(Sales!$Y$5:$Y$1204,Sales!$C$5:$C$1204,A219),2))</f>
        <v>0</v>
      </c>
      <c r="AC219" s="38">
        <f>IF(B219="","",IF(M219="Completed","Yes",IF(M219="Cancelled","Yes",IF(M219="No show","Yes","No"))))</f>
        <v>0</v>
      </c>
      <c r="AD219" s="25">
        <f>IF(B219="","",IF(AE219="","",B219-AE219))</f>
        <v>0</v>
      </c>
      <c r="AF219" s="38">
        <f>IF(B219="","",IF(M219&lt;&gt;"Completed","",IF(E219="","No",IF(COUNTIFS(Appointments!$E$5:$E$1204,E219,Appointments!$B$5:$B$1204,"&gt;"&amp;B219,Appointments!$M$5:$M$1204,"&lt;&gt;Cancelled")&gt;0,"Yes","No"))))</f>
        <v>0</v>
      </c>
      <c r="AG219" s="38">
        <f>IF(B219="","",IF(I219="","",IF(D219="","",IF(COUNTIFS($I$5:$I$1204,I219,$B$5:$B$1204,B219,$D$5:$D$1204,"&lt;"&amp;V219,$V$5:$V$1204,"&gt;"&amp;D219,$M$5:$M$1204,"&lt;&gt;Cancelled")&gt;1,"Clash",""))))</f>
        <v>0</v>
      </c>
      <c r="AH219" s="39">
        <f>IF(B219="","",IF(AG219="Clash","Clash - stylist double booked",IF(I219="","Assign - no stylist yet",IF(G219="","Add - no service chosen",IF(M219="No show","No show - charge the fee?",IF(M219="Cancelled","",IF(IF(M219="Completed",AB219&lt;Y219-0.004,FALSE),"Unpaid - nothing rung up for this visit",IF(IF(B219&lt;TodayDate,M219="Booked",FALSE),"Overdue - past date, still only Booked",IF(IF(B219=TodayDate,TRUE,FALSE),"Today",IF(IF(Z219&gt;0,AA219&lt;Z219-0.004,FALSE),"Due - deposit not taken",IF(IF(B219&gt;TodayDate,B219&lt;=TodayDate+2,FALSE),"Confirm - coming up","OK")))))))))))</f>
        <v>0</v>
      </c>
    </row>
    <row r="220" spans="1:34">
      <c r="A220" s="28">
        <f>IF(B220="","",AppointmentPrefix&amp;TEXT(ROW()-4,"0000"))</f>
        <v>0</v>
      </c>
      <c r="C220" s="15">
        <f>IF(B220="","",TEXT(B220,"ddd"))</f>
        <v>0</v>
      </c>
      <c r="F220" s="15">
        <f>IF(E220="","",IFERROR(INDEX(Clients!$B$5:$B$504,MATCH(E220,Clients!$A$5:$A$504,0)),"Walk-in"))</f>
        <v>0</v>
      </c>
      <c r="H220" s="15">
        <f>IF(G220="","",IFERROR(INDEX(Services!$B$5:$B$204,MATCH(G220,Services!$A$5:$A$204,0)),"Not in Services"))</f>
        <v>0</v>
      </c>
      <c r="J220" s="15">
        <f>IF(I220="","",IFERROR(INDEX(Staff!$B$5:$B$44,MATCH(I220,Staff!$A$5:$A$44,0)),"Unassigned"))</f>
        <v>0</v>
      </c>
      <c r="S220" s="15">
        <f>IF(B220="","",TEXT(B220,"yyyy-mm"))</f>
        <v>0</v>
      </c>
      <c r="T220" s="25">
        <f>IF(B220="","",WEEKNUM(B220,2))</f>
        <v>0</v>
      </c>
      <c r="U220" s="25">
        <f>IF(B220="","",IF(K220&lt;&gt;"",K220,IFERROR(INDEX(Services!$E$5:$E$204,MATCH(G220,Services!$A$5:$A$204,0))*1,0)+IFERROR(INDEX(Services!$F$5:$F$204,MATCH(G220,Services!$A$5:$A$204,0))*1,0)))</f>
        <v>0</v>
      </c>
      <c r="V220" s="36">
        <f>IF(B220="","",IF(D220="","",D220+U220/1440))</f>
        <v>0</v>
      </c>
      <c r="W220" s="25">
        <f>IF(B220="","",IF(D220="","",HOUR(D220)))</f>
        <v>0</v>
      </c>
      <c r="X220" s="37">
        <f>IF(B220="","",ROUND(U220/60,2))</f>
        <v>0</v>
      </c>
      <c r="Y220" s="26">
        <f>IF(B220="","",IF(L220&lt;&gt;"",L220,IFERROR(INDEX(Services!$G$5:$G$204,MATCH(G220,Services!$A$5:$A$204,0))*1,0)))</f>
        <v>0</v>
      </c>
      <c r="Z220" s="26">
        <f>IF(B220="","",IF(O220&lt;&gt;"",O220,IF(Y220&gt;=DepositThreshold,ROUND(Y220*DepositPercent,2),0)))</f>
        <v>0</v>
      </c>
      <c r="AA220" s="26">
        <f>IF(B220="","",ROUND(SUMIFS(Payments!$G$5:$G$1204,Payments!$I$5:$I$1204,A220,Payments!$E$5:$E$1204,"Deposit"),2))</f>
        <v>0</v>
      </c>
      <c r="AB220" s="26">
        <f>IF(B220="","",ROUND(SUMIFS(Sales!$Y$5:$Y$1204,Sales!$C$5:$C$1204,A220),2))</f>
        <v>0</v>
      </c>
      <c r="AC220" s="38">
        <f>IF(B220="","",IF(M220="Completed","Yes",IF(M220="Cancelled","Yes",IF(M220="No show","Yes","No"))))</f>
        <v>0</v>
      </c>
      <c r="AD220" s="25">
        <f>IF(B220="","",IF(AE220="","",B220-AE220))</f>
        <v>0</v>
      </c>
      <c r="AF220" s="38">
        <f>IF(B220="","",IF(M220&lt;&gt;"Completed","",IF(E220="","No",IF(COUNTIFS(Appointments!$E$5:$E$1204,E220,Appointments!$B$5:$B$1204,"&gt;"&amp;B220,Appointments!$M$5:$M$1204,"&lt;&gt;Cancelled")&gt;0,"Yes","No"))))</f>
        <v>0</v>
      </c>
      <c r="AG220" s="38">
        <f>IF(B220="","",IF(I220="","",IF(D220="","",IF(COUNTIFS($I$5:$I$1204,I220,$B$5:$B$1204,B220,$D$5:$D$1204,"&lt;"&amp;V220,$V$5:$V$1204,"&gt;"&amp;D220,$M$5:$M$1204,"&lt;&gt;Cancelled")&gt;1,"Clash",""))))</f>
        <v>0</v>
      </c>
      <c r="AH220" s="39">
        <f>IF(B220="","",IF(AG220="Clash","Clash - stylist double booked",IF(I220="","Assign - no stylist yet",IF(G220="","Add - no service chosen",IF(M220="No show","No show - charge the fee?",IF(M220="Cancelled","",IF(IF(M220="Completed",AB220&lt;Y220-0.004,FALSE),"Unpaid - nothing rung up for this visit",IF(IF(B220&lt;TodayDate,M220="Booked",FALSE),"Overdue - past date, still only Booked",IF(IF(B220=TodayDate,TRUE,FALSE),"Today",IF(IF(Z220&gt;0,AA220&lt;Z220-0.004,FALSE),"Due - deposit not taken",IF(IF(B220&gt;TodayDate,B220&lt;=TodayDate+2,FALSE),"Confirm - coming up","OK")))))))))))</f>
        <v>0</v>
      </c>
    </row>
    <row r="221" spans="1:34">
      <c r="A221" s="28">
        <f>IF(B221="","",AppointmentPrefix&amp;TEXT(ROW()-4,"0000"))</f>
        <v>0</v>
      </c>
      <c r="C221" s="15">
        <f>IF(B221="","",TEXT(B221,"ddd"))</f>
        <v>0</v>
      </c>
      <c r="F221" s="15">
        <f>IF(E221="","",IFERROR(INDEX(Clients!$B$5:$B$504,MATCH(E221,Clients!$A$5:$A$504,0)),"Walk-in"))</f>
        <v>0</v>
      </c>
      <c r="H221" s="15">
        <f>IF(G221="","",IFERROR(INDEX(Services!$B$5:$B$204,MATCH(G221,Services!$A$5:$A$204,0)),"Not in Services"))</f>
        <v>0</v>
      </c>
      <c r="J221" s="15">
        <f>IF(I221="","",IFERROR(INDEX(Staff!$B$5:$B$44,MATCH(I221,Staff!$A$5:$A$44,0)),"Unassigned"))</f>
        <v>0</v>
      </c>
      <c r="S221" s="15">
        <f>IF(B221="","",TEXT(B221,"yyyy-mm"))</f>
        <v>0</v>
      </c>
      <c r="T221" s="25">
        <f>IF(B221="","",WEEKNUM(B221,2))</f>
        <v>0</v>
      </c>
      <c r="U221" s="25">
        <f>IF(B221="","",IF(K221&lt;&gt;"",K221,IFERROR(INDEX(Services!$E$5:$E$204,MATCH(G221,Services!$A$5:$A$204,0))*1,0)+IFERROR(INDEX(Services!$F$5:$F$204,MATCH(G221,Services!$A$5:$A$204,0))*1,0)))</f>
        <v>0</v>
      </c>
      <c r="V221" s="36">
        <f>IF(B221="","",IF(D221="","",D221+U221/1440))</f>
        <v>0</v>
      </c>
      <c r="W221" s="25">
        <f>IF(B221="","",IF(D221="","",HOUR(D221)))</f>
        <v>0</v>
      </c>
      <c r="X221" s="37">
        <f>IF(B221="","",ROUND(U221/60,2))</f>
        <v>0</v>
      </c>
      <c r="Y221" s="26">
        <f>IF(B221="","",IF(L221&lt;&gt;"",L221,IFERROR(INDEX(Services!$G$5:$G$204,MATCH(G221,Services!$A$5:$A$204,0))*1,0)))</f>
        <v>0</v>
      </c>
      <c r="Z221" s="26">
        <f>IF(B221="","",IF(O221&lt;&gt;"",O221,IF(Y221&gt;=DepositThreshold,ROUND(Y221*DepositPercent,2),0)))</f>
        <v>0</v>
      </c>
      <c r="AA221" s="26">
        <f>IF(B221="","",ROUND(SUMIFS(Payments!$G$5:$G$1204,Payments!$I$5:$I$1204,A221,Payments!$E$5:$E$1204,"Deposit"),2))</f>
        <v>0</v>
      </c>
      <c r="AB221" s="26">
        <f>IF(B221="","",ROUND(SUMIFS(Sales!$Y$5:$Y$1204,Sales!$C$5:$C$1204,A221),2))</f>
        <v>0</v>
      </c>
      <c r="AC221" s="38">
        <f>IF(B221="","",IF(M221="Completed","Yes",IF(M221="Cancelled","Yes",IF(M221="No show","Yes","No"))))</f>
        <v>0</v>
      </c>
      <c r="AD221" s="25">
        <f>IF(B221="","",IF(AE221="","",B221-AE221))</f>
        <v>0</v>
      </c>
      <c r="AF221" s="38">
        <f>IF(B221="","",IF(M221&lt;&gt;"Completed","",IF(E221="","No",IF(COUNTIFS(Appointments!$E$5:$E$1204,E221,Appointments!$B$5:$B$1204,"&gt;"&amp;B221,Appointments!$M$5:$M$1204,"&lt;&gt;Cancelled")&gt;0,"Yes","No"))))</f>
        <v>0</v>
      </c>
      <c r="AG221" s="38">
        <f>IF(B221="","",IF(I221="","",IF(D221="","",IF(COUNTIFS($I$5:$I$1204,I221,$B$5:$B$1204,B221,$D$5:$D$1204,"&lt;"&amp;V221,$V$5:$V$1204,"&gt;"&amp;D221,$M$5:$M$1204,"&lt;&gt;Cancelled")&gt;1,"Clash",""))))</f>
        <v>0</v>
      </c>
      <c r="AH221" s="39">
        <f>IF(B221="","",IF(AG221="Clash","Clash - stylist double booked",IF(I221="","Assign - no stylist yet",IF(G221="","Add - no service chosen",IF(M221="No show","No show - charge the fee?",IF(M221="Cancelled","",IF(IF(M221="Completed",AB221&lt;Y221-0.004,FALSE),"Unpaid - nothing rung up for this visit",IF(IF(B221&lt;TodayDate,M221="Booked",FALSE),"Overdue - past date, still only Booked",IF(IF(B221=TodayDate,TRUE,FALSE),"Today",IF(IF(Z221&gt;0,AA221&lt;Z221-0.004,FALSE),"Due - deposit not taken",IF(IF(B221&gt;TodayDate,B221&lt;=TodayDate+2,FALSE),"Confirm - coming up","OK")))))))))))</f>
        <v>0</v>
      </c>
    </row>
    <row r="222" spans="1:34">
      <c r="A222" s="28">
        <f>IF(B222="","",AppointmentPrefix&amp;TEXT(ROW()-4,"0000"))</f>
        <v>0</v>
      </c>
      <c r="C222" s="15">
        <f>IF(B222="","",TEXT(B222,"ddd"))</f>
        <v>0</v>
      </c>
      <c r="F222" s="15">
        <f>IF(E222="","",IFERROR(INDEX(Clients!$B$5:$B$504,MATCH(E222,Clients!$A$5:$A$504,0)),"Walk-in"))</f>
        <v>0</v>
      </c>
      <c r="H222" s="15">
        <f>IF(G222="","",IFERROR(INDEX(Services!$B$5:$B$204,MATCH(G222,Services!$A$5:$A$204,0)),"Not in Services"))</f>
        <v>0</v>
      </c>
      <c r="J222" s="15">
        <f>IF(I222="","",IFERROR(INDEX(Staff!$B$5:$B$44,MATCH(I222,Staff!$A$5:$A$44,0)),"Unassigned"))</f>
        <v>0</v>
      </c>
      <c r="S222" s="15">
        <f>IF(B222="","",TEXT(B222,"yyyy-mm"))</f>
        <v>0</v>
      </c>
      <c r="T222" s="25">
        <f>IF(B222="","",WEEKNUM(B222,2))</f>
        <v>0</v>
      </c>
      <c r="U222" s="25">
        <f>IF(B222="","",IF(K222&lt;&gt;"",K222,IFERROR(INDEX(Services!$E$5:$E$204,MATCH(G222,Services!$A$5:$A$204,0))*1,0)+IFERROR(INDEX(Services!$F$5:$F$204,MATCH(G222,Services!$A$5:$A$204,0))*1,0)))</f>
        <v>0</v>
      </c>
      <c r="V222" s="36">
        <f>IF(B222="","",IF(D222="","",D222+U222/1440))</f>
        <v>0</v>
      </c>
      <c r="W222" s="25">
        <f>IF(B222="","",IF(D222="","",HOUR(D222)))</f>
        <v>0</v>
      </c>
      <c r="X222" s="37">
        <f>IF(B222="","",ROUND(U222/60,2))</f>
        <v>0</v>
      </c>
      <c r="Y222" s="26">
        <f>IF(B222="","",IF(L222&lt;&gt;"",L222,IFERROR(INDEX(Services!$G$5:$G$204,MATCH(G222,Services!$A$5:$A$204,0))*1,0)))</f>
        <v>0</v>
      </c>
      <c r="Z222" s="26">
        <f>IF(B222="","",IF(O222&lt;&gt;"",O222,IF(Y222&gt;=DepositThreshold,ROUND(Y222*DepositPercent,2),0)))</f>
        <v>0</v>
      </c>
      <c r="AA222" s="26">
        <f>IF(B222="","",ROUND(SUMIFS(Payments!$G$5:$G$1204,Payments!$I$5:$I$1204,A222,Payments!$E$5:$E$1204,"Deposit"),2))</f>
        <v>0</v>
      </c>
      <c r="AB222" s="26">
        <f>IF(B222="","",ROUND(SUMIFS(Sales!$Y$5:$Y$1204,Sales!$C$5:$C$1204,A222),2))</f>
        <v>0</v>
      </c>
      <c r="AC222" s="38">
        <f>IF(B222="","",IF(M222="Completed","Yes",IF(M222="Cancelled","Yes",IF(M222="No show","Yes","No"))))</f>
        <v>0</v>
      </c>
      <c r="AD222" s="25">
        <f>IF(B222="","",IF(AE222="","",B222-AE222))</f>
        <v>0</v>
      </c>
      <c r="AF222" s="38">
        <f>IF(B222="","",IF(M222&lt;&gt;"Completed","",IF(E222="","No",IF(COUNTIFS(Appointments!$E$5:$E$1204,E222,Appointments!$B$5:$B$1204,"&gt;"&amp;B222,Appointments!$M$5:$M$1204,"&lt;&gt;Cancelled")&gt;0,"Yes","No"))))</f>
        <v>0</v>
      </c>
      <c r="AG222" s="38">
        <f>IF(B222="","",IF(I222="","",IF(D222="","",IF(COUNTIFS($I$5:$I$1204,I222,$B$5:$B$1204,B222,$D$5:$D$1204,"&lt;"&amp;V222,$V$5:$V$1204,"&gt;"&amp;D222,$M$5:$M$1204,"&lt;&gt;Cancelled")&gt;1,"Clash",""))))</f>
        <v>0</v>
      </c>
      <c r="AH222" s="39">
        <f>IF(B222="","",IF(AG222="Clash","Clash - stylist double booked",IF(I222="","Assign - no stylist yet",IF(G222="","Add - no service chosen",IF(M222="No show","No show - charge the fee?",IF(M222="Cancelled","",IF(IF(M222="Completed",AB222&lt;Y222-0.004,FALSE),"Unpaid - nothing rung up for this visit",IF(IF(B222&lt;TodayDate,M222="Booked",FALSE),"Overdue - past date, still only Booked",IF(IF(B222=TodayDate,TRUE,FALSE),"Today",IF(IF(Z222&gt;0,AA222&lt;Z222-0.004,FALSE),"Due - deposit not taken",IF(IF(B222&gt;TodayDate,B222&lt;=TodayDate+2,FALSE),"Confirm - coming up","OK")))))))))))</f>
        <v>0</v>
      </c>
    </row>
    <row r="223" spans="1:34">
      <c r="A223" s="28">
        <f>IF(B223="","",AppointmentPrefix&amp;TEXT(ROW()-4,"0000"))</f>
        <v>0</v>
      </c>
      <c r="C223" s="15">
        <f>IF(B223="","",TEXT(B223,"ddd"))</f>
        <v>0</v>
      </c>
      <c r="F223" s="15">
        <f>IF(E223="","",IFERROR(INDEX(Clients!$B$5:$B$504,MATCH(E223,Clients!$A$5:$A$504,0)),"Walk-in"))</f>
        <v>0</v>
      </c>
      <c r="H223" s="15">
        <f>IF(G223="","",IFERROR(INDEX(Services!$B$5:$B$204,MATCH(G223,Services!$A$5:$A$204,0)),"Not in Services"))</f>
        <v>0</v>
      </c>
      <c r="J223" s="15">
        <f>IF(I223="","",IFERROR(INDEX(Staff!$B$5:$B$44,MATCH(I223,Staff!$A$5:$A$44,0)),"Unassigned"))</f>
        <v>0</v>
      </c>
      <c r="S223" s="15">
        <f>IF(B223="","",TEXT(B223,"yyyy-mm"))</f>
        <v>0</v>
      </c>
      <c r="T223" s="25">
        <f>IF(B223="","",WEEKNUM(B223,2))</f>
        <v>0</v>
      </c>
      <c r="U223" s="25">
        <f>IF(B223="","",IF(K223&lt;&gt;"",K223,IFERROR(INDEX(Services!$E$5:$E$204,MATCH(G223,Services!$A$5:$A$204,0))*1,0)+IFERROR(INDEX(Services!$F$5:$F$204,MATCH(G223,Services!$A$5:$A$204,0))*1,0)))</f>
        <v>0</v>
      </c>
      <c r="V223" s="36">
        <f>IF(B223="","",IF(D223="","",D223+U223/1440))</f>
        <v>0</v>
      </c>
      <c r="W223" s="25">
        <f>IF(B223="","",IF(D223="","",HOUR(D223)))</f>
        <v>0</v>
      </c>
      <c r="X223" s="37">
        <f>IF(B223="","",ROUND(U223/60,2))</f>
        <v>0</v>
      </c>
      <c r="Y223" s="26">
        <f>IF(B223="","",IF(L223&lt;&gt;"",L223,IFERROR(INDEX(Services!$G$5:$G$204,MATCH(G223,Services!$A$5:$A$204,0))*1,0)))</f>
        <v>0</v>
      </c>
      <c r="Z223" s="26">
        <f>IF(B223="","",IF(O223&lt;&gt;"",O223,IF(Y223&gt;=DepositThreshold,ROUND(Y223*DepositPercent,2),0)))</f>
        <v>0</v>
      </c>
      <c r="AA223" s="26">
        <f>IF(B223="","",ROUND(SUMIFS(Payments!$G$5:$G$1204,Payments!$I$5:$I$1204,A223,Payments!$E$5:$E$1204,"Deposit"),2))</f>
        <v>0</v>
      </c>
      <c r="AB223" s="26">
        <f>IF(B223="","",ROUND(SUMIFS(Sales!$Y$5:$Y$1204,Sales!$C$5:$C$1204,A223),2))</f>
        <v>0</v>
      </c>
      <c r="AC223" s="38">
        <f>IF(B223="","",IF(M223="Completed","Yes",IF(M223="Cancelled","Yes",IF(M223="No show","Yes","No"))))</f>
        <v>0</v>
      </c>
      <c r="AD223" s="25">
        <f>IF(B223="","",IF(AE223="","",B223-AE223))</f>
        <v>0</v>
      </c>
      <c r="AF223" s="38">
        <f>IF(B223="","",IF(M223&lt;&gt;"Completed","",IF(E223="","No",IF(COUNTIFS(Appointments!$E$5:$E$1204,E223,Appointments!$B$5:$B$1204,"&gt;"&amp;B223,Appointments!$M$5:$M$1204,"&lt;&gt;Cancelled")&gt;0,"Yes","No"))))</f>
        <v>0</v>
      </c>
      <c r="AG223" s="38">
        <f>IF(B223="","",IF(I223="","",IF(D223="","",IF(COUNTIFS($I$5:$I$1204,I223,$B$5:$B$1204,B223,$D$5:$D$1204,"&lt;"&amp;V223,$V$5:$V$1204,"&gt;"&amp;D223,$M$5:$M$1204,"&lt;&gt;Cancelled")&gt;1,"Clash",""))))</f>
        <v>0</v>
      </c>
      <c r="AH223" s="39">
        <f>IF(B223="","",IF(AG223="Clash","Clash - stylist double booked",IF(I223="","Assign - no stylist yet",IF(G223="","Add - no service chosen",IF(M223="No show","No show - charge the fee?",IF(M223="Cancelled","",IF(IF(M223="Completed",AB223&lt;Y223-0.004,FALSE),"Unpaid - nothing rung up for this visit",IF(IF(B223&lt;TodayDate,M223="Booked",FALSE),"Overdue - past date, still only Booked",IF(IF(B223=TodayDate,TRUE,FALSE),"Today",IF(IF(Z223&gt;0,AA223&lt;Z223-0.004,FALSE),"Due - deposit not taken",IF(IF(B223&gt;TodayDate,B223&lt;=TodayDate+2,FALSE),"Confirm - coming up","OK")))))))))))</f>
        <v>0</v>
      </c>
    </row>
    <row r="224" spans="1:34">
      <c r="A224" s="28">
        <f>IF(B224="","",AppointmentPrefix&amp;TEXT(ROW()-4,"0000"))</f>
        <v>0</v>
      </c>
      <c r="C224" s="15">
        <f>IF(B224="","",TEXT(B224,"ddd"))</f>
        <v>0</v>
      </c>
      <c r="F224" s="15">
        <f>IF(E224="","",IFERROR(INDEX(Clients!$B$5:$B$504,MATCH(E224,Clients!$A$5:$A$504,0)),"Walk-in"))</f>
        <v>0</v>
      </c>
      <c r="H224" s="15">
        <f>IF(G224="","",IFERROR(INDEX(Services!$B$5:$B$204,MATCH(G224,Services!$A$5:$A$204,0)),"Not in Services"))</f>
        <v>0</v>
      </c>
      <c r="J224" s="15">
        <f>IF(I224="","",IFERROR(INDEX(Staff!$B$5:$B$44,MATCH(I224,Staff!$A$5:$A$44,0)),"Unassigned"))</f>
        <v>0</v>
      </c>
      <c r="S224" s="15">
        <f>IF(B224="","",TEXT(B224,"yyyy-mm"))</f>
        <v>0</v>
      </c>
      <c r="T224" s="25">
        <f>IF(B224="","",WEEKNUM(B224,2))</f>
        <v>0</v>
      </c>
      <c r="U224" s="25">
        <f>IF(B224="","",IF(K224&lt;&gt;"",K224,IFERROR(INDEX(Services!$E$5:$E$204,MATCH(G224,Services!$A$5:$A$204,0))*1,0)+IFERROR(INDEX(Services!$F$5:$F$204,MATCH(G224,Services!$A$5:$A$204,0))*1,0)))</f>
        <v>0</v>
      </c>
      <c r="V224" s="36">
        <f>IF(B224="","",IF(D224="","",D224+U224/1440))</f>
        <v>0</v>
      </c>
      <c r="W224" s="25">
        <f>IF(B224="","",IF(D224="","",HOUR(D224)))</f>
        <v>0</v>
      </c>
      <c r="X224" s="37">
        <f>IF(B224="","",ROUND(U224/60,2))</f>
        <v>0</v>
      </c>
      <c r="Y224" s="26">
        <f>IF(B224="","",IF(L224&lt;&gt;"",L224,IFERROR(INDEX(Services!$G$5:$G$204,MATCH(G224,Services!$A$5:$A$204,0))*1,0)))</f>
        <v>0</v>
      </c>
      <c r="Z224" s="26">
        <f>IF(B224="","",IF(O224&lt;&gt;"",O224,IF(Y224&gt;=DepositThreshold,ROUND(Y224*DepositPercent,2),0)))</f>
        <v>0</v>
      </c>
      <c r="AA224" s="26">
        <f>IF(B224="","",ROUND(SUMIFS(Payments!$G$5:$G$1204,Payments!$I$5:$I$1204,A224,Payments!$E$5:$E$1204,"Deposit"),2))</f>
        <v>0</v>
      </c>
      <c r="AB224" s="26">
        <f>IF(B224="","",ROUND(SUMIFS(Sales!$Y$5:$Y$1204,Sales!$C$5:$C$1204,A224),2))</f>
        <v>0</v>
      </c>
      <c r="AC224" s="38">
        <f>IF(B224="","",IF(M224="Completed","Yes",IF(M224="Cancelled","Yes",IF(M224="No show","Yes","No"))))</f>
        <v>0</v>
      </c>
      <c r="AD224" s="25">
        <f>IF(B224="","",IF(AE224="","",B224-AE224))</f>
        <v>0</v>
      </c>
      <c r="AF224" s="38">
        <f>IF(B224="","",IF(M224&lt;&gt;"Completed","",IF(E224="","No",IF(COUNTIFS(Appointments!$E$5:$E$1204,E224,Appointments!$B$5:$B$1204,"&gt;"&amp;B224,Appointments!$M$5:$M$1204,"&lt;&gt;Cancelled")&gt;0,"Yes","No"))))</f>
        <v>0</v>
      </c>
      <c r="AG224" s="38">
        <f>IF(B224="","",IF(I224="","",IF(D224="","",IF(COUNTIFS($I$5:$I$1204,I224,$B$5:$B$1204,B224,$D$5:$D$1204,"&lt;"&amp;V224,$V$5:$V$1204,"&gt;"&amp;D224,$M$5:$M$1204,"&lt;&gt;Cancelled")&gt;1,"Clash",""))))</f>
        <v>0</v>
      </c>
      <c r="AH224" s="39">
        <f>IF(B224="","",IF(AG224="Clash","Clash - stylist double booked",IF(I224="","Assign - no stylist yet",IF(G224="","Add - no service chosen",IF(M224="No show","No show - charge the fee?",IF(M224="Cancelled","",IF(IF(M224="Completed",AB224&lt;Y224-0.004,FALSE),"Unpaid - nothing rung up for this visit",IF(IF(B224&lt;TodayDate,M224="Booked",FALSE),"Overdue - past date, still only Booked",IF(IF(B224=TodayDate,TRUE,FALSE),"Today",IF(IF(Z224&gt;0,AA224&lt;Z224-0.004,FALSE),"Due - deposit not taken",IF(IF(B224&gt;TodayDate,B224&lt;=TodayDate+2,FALSE),"Confirm - coming up","OK")))))))))))</f>
        <v>0</v>
      </c>
    </row>
    <row r="225" spans="1:34">
      <c r="A225" s="28">
        <f>IF(B225="","",AppointmentPrefix&amp;TEXT(ROW()-4,"0000"))</f>
        <v>0</v>
      </c>
      <c r="C225" s="15">
        <f>IF(B225="","",TEXT(B225,"ddd"))</f>
        <v>0</v>
      </c>
      <c r="F225" s="15">
        <f>IF(E225="","",IFERROR(INDEX(Clients!$B$5:$B$504,MATCH(E225,Clients!$A$5:$A$504,0)),"Walk-in"))</f>
        <v>0</v>
      </c>
      <c r="H225" s="15">
        <f>IF(G225="","",IFERROR(INDEX(Services!$B$5:$B$204,MATCH(G225,Services!$A$5:$A$204,0)),"Not in Services"))</f>
        <v>0</v>
      </c>
      <c r="J225" s="15">
        <f>IF(I225="","",IFERROR(INDEX(Staff!$B$5:$B$44,MATCH(I225,Staff!$A$5:$A$44,0)),"Unassigned"))</f>
        <v>0</v>
      </c>
      <c r="S225" s="15">
        <f>IF(B225="","",TEXT(B225,"yyyy-mm"))</f>
        <v>0</v>
      </c>
      <c r="T225" s="25">
        <f>IF(B225="","",WEEKNUM(B225,2))</f>
        <v>0</v>
      </c>
      <c r="U225" s="25">
        <f>IF(B225="","",IF(K225&lt;&gt;"",K225,IFERROR(INDEX(Services!$E$5:$E$204,MATCH(G225,Services!$A$5:$A$204,0))*1,0)+IFERROR(INDEX(Services!$F$5:$F$204,MATCH(G225,Services!$A$5:$A$204,0))*1,0)))</f>
        <v>0</v>
      </c>
      <c r="V225" s="36">
        <f>IF(B225="","",IF(D225="","",D225+U225/1440))</f>
        <v>0</v>
      </c>
      <c r="W225" s="25">
        <f>IF(B225="","",IF(D225="","",HOUR(D225)))</f>
        <v>0</v>
      </c>
      <c r="X225" s="37">
        <f>IF(B225="","",ROUND(U225/60,2))</f>
        <v>0</v>
      </c>
      <c r="Y225" s="26">
        <f>IF(B225="","",IF(L225&lt;&gt;"",L225,IFERROR(INDEX(Services!$G$5:$G$204,MATCH(G225,Services!$A$5:$A$204,0))*1,0)))</f>
        <v>0</v>
      </c>
      <c r="Z225" s="26">
        <f>IF(B225="","",IF(O225&lt;&gt;"",O225,IF(Y225&gt;=DepositThreshold,ROUND(Y225*DepositPercent,2),0)))</f>
        <v>0</v>
      </c>
      <c r="AA225" s="26">
        <f>IF(B225="","",ROUND(SUMIFS(Payments!$G$5:$G$1204,Payments!$I$5:$I$1204,A225,Payments!$E$5:$E$1204,"Deposit"),2))</f>
        <v>0</v>
      </c>
      <c r="AB225" s="26">
        <f>IF(B225="","",ROUND(SUMIFS(Sales!$Y$5:$Y$1204,Sales!$C$5:$C$1204,A225),2))</f>
        <v>0</v>
      </c>
      <c r="AC225" s="38">
        <f>IF(B225="","",IF(M225="Completed","Yes",IF(M225="Cancelled","Yes",IF(M225="No show","Yes","No"))))</f>
        <v>0</v>
      </c>
      <c r="AD225" s="25">
        <f>IF(B225="","",IF(AE225="","",B225-AE225))</f>
        <v>0</v>
      </c>
      <c r="AF225" s="38">
        <f>IF(B225="","",IF(M225&lt;&gt;"Completed","",IF(E225="","No",IF(COUNTIFS(Appointments!$E$5:$E$1204,E225,Appointments!$B$5:$B$1204,"&gt;"&amp;B225,Appointments!$M$5:$M$1204,"&lt;&gt;Cancelled")&gt;0,"Yes","No"))))</f>
        <v>0</v>
      </c>
      <c r="AG225" s="38">
        <f>IF(B225="","",IF(I225="","",IF(D225="","",IF(COUNTIFS($I$5:$I$1204,I225,$B$5:$B$1204,B225,$D$5:$D$1204,"&lt;"&amp;V225,$V$5:$V$1204,"&gt;"&amp;D225,$M$5:$M$1204,"&lt;&gt;Cancelled")&gt;1,"Clash",""))))</f>
        <v>0</v>
      </c>
      <c r="AH225" s="39">
        <f>IF(B225="","",IF(AG225="Clash","Clash - stylist double booked",IF(I225="","Assign - no stylist yet",IF(G225="","Add - no service chosen",IF(M225="No show","No show - charge the fee?",IF(M225="Cancelled","",IF(IF(M225="Completed",AB225&lt;Y225-0.004,FALSE),"Unpaid - nothing rung up for this visit",IF(IF(B225&lt;TodayDate,M225="Booked",FALSE),"Overdue - past date, still only Booked",IF(IF(B225=TodayDate,TRUE,FALSE),"Today",IF(IF(Z225&gt;0,AA225&lt;Z225-0.004,FALSE),"Due - deposit not taken",IF(IF(B225&gt;TodayDate,B225&lt;=TodayDate+2,FALSE),"Confirm - coming up","OK")))))))))))</f>
        <v>0</v>
      </c>
    </row>
    <row r="226" spans="1:34">
      <c r="A226" s="28">
        <f>IF(B226="","",AppointmentPrefix&amp;TEXT(ROW()-4,"0000"))</f>
        <v>0</v>
      </c>
      <c r="C226" s="15">
        <f>IF(B226="","",TEXT(B226,"ddd"))</f>
        <v>0</v>
      </c>
      <c r="F226" s="15">
        <f>IF(E226="","",IFERROR(INDEX(Clients!$B$5:$B$504,MATCH(E226,Clients!$A$5:$A$504,0)),"Walk-in"))</f>
        <v>0</v>
      </c>
      <c r="H226" s="15">
        <f>IF(G226="","",IFERROR(INDEX(Services!$B$5:$B$204,MATCH(G226,Services!$A$5:$A$204,0)),"Not in Services"))</f>
        <v>0</v>
      </c>
      <c r="J226" s="15">
        <f>IF(I226="","",IFERROR(INDEX(Staff!$B$5:$B$44,MATCH(I226,Staff!$A$5:$A$44,0)),"Unassigned"))</f>
        <v>0</v>
      </c>
      <c r="S226" s="15">
        <f>IF(B226="","",TEXT(B226,"yyyy-mm"))</f>
        <v>0</v>
      </c>
      <c r="T226" s="25">
        <f>IF(B226="","",WEEKNUM(B226,2))</f>
        <v>0</v>
      </c>
      <c r="U226" s="25">
        <f>IF(B226="","",IF(K226&lt;&gt;"",K226,IFERROR(INDEX(Services!$E$5:$E$204,MATCH(G226,Services!$A$5:$A$204,0))*1,0)+IFERROR(INDEX(Services!$F$5:$F$204,MATCH(G226,Services!$A$5:$A$204,0))*1,0)))</f>
        <v>0</v>
      </c>
      <c r="V226" s="36">
        <f>IF(B226="","",IF(D226="","",D226+U226/1440))</f>
        <v>0</v>
      </c>
      <c r="W226" s="25">
        <f>IF(B226="","",IF(D226="","",HOUR(D226)))</f>
        <v>0</v>
      </c>
      <c r="X226" s="37">
        <f>IF(B226="","",ROUND(U226/60,2))</f>
        <v>0</v>
      </c>
      <c r="Y226" s="26">
        <f>IF(B226="","",IF(L226&lt;&gt;"",L226,IFERROR(INDEX(Services!$G$5:$G$204,MATCH(G226,Services!$A$5:$A$204,0))*1,0)))</f>
        <v>0</v>
      </c>
      <c r="Z226" s="26">
        <f>IF(B226="","",IF(O226&lt;&gt;"",O226,IF(Y226&gt;=DepositThreshold,ROUND(Y226*DepositPercent,2),0)))</f>
        <v>0</v>
      </c>
      <c r="AA226" s="26">
        <f>IF(B226="","",ROUND(SUMIFS(Payments!$G$5:$G$1204,Payments!$I$5:$I$1204,A226,Payments!$E$5:$E$1204,"Deposit"),2))</f>
        <v>0</v>
      </c>
      <c r="AB226" s="26">
        <f>IF(B226="","",ROUND(SUMIFS(Sales!$Y$5:$Y$1204,Sales!$C$5:$C$1204,A226),2))</f>
        <v>0</v>
      </c>
      <c r="AC226" s="38">
        <f>IF(B226="","",IF(M226="Completed","Yes",IF(M226="Cancelled","Yes",IF(M226="No show","Yes","No"))))</f>
        <v>0</v>
      </c>
      <c r="AD226" s="25">
        <f>IF(B226="","",IF(AE226="","",B226-AE226))</f>
        <v>0</v>
      </c>
      <c r="AF226" s="38">
        <f>IF(B226="","",IF(M226&lt;&gt;"Completed","",IF(E226="","No",IF(COUNTIFS(Appointments!$E$5:$E$1204,E226,Appointments!$B$5:$B$1204,"&gt;"&amp;B226,Appointments!$M$5:$M$1204,"&lt;&gt;Cancelled")&gt;0,"Yes","No"))))</f>
        <v>0</v>
      </c>
      <c r="AG226" s="38">
        <f>IF(B226="","",IF(I226="","",IF(D226="","",IF(COUNTIFS($I$5:$I$1204,I226,$B$5:$B$1204,B226,$D$5:$D$1204,"&lt;"&amp;V226,$V$5:$V$1204,"&gt;"&amp;D226,$M$5:$M$1204,"&lt;&gt;Cancelled")&gt;1,"Clash",""))))</f>
        <v>0</v>
      </c>
      <c r="AH226" s="39">
        <f>IF(B226="","",IF(AG226="Clash","Clash - stylist double booked",IF(I226="","Assign - no stylist yet",IF(G226="","Add - no service chosen",IF(M226="No show","No show - charge the fee?",IF(M226="Cancelled","",IF(IF(M226="Completed",AB226&lt;Y226-0.004,FALSE),"Unpaid - nothing rung up for this visit",IF(IF(B226&lt;TodayDate,M226="Booked",FALSE),"Overdue - past date, still only Booked",IF(IF(B226=TodayDate,TRUE,FALSE),"Today",IF(IF(Z226&gt;0,AA226&lt;Z226-0.004,FALSE),"Due - deposit not taken",IF(IF(B226&gt;TodayDate,B226&lt;=TodayDate+2,FALSE),"Confirm - coming up","OK")))))))))))</f>
        <v>0</v>
      </c>
    </row>
    <row r="227" spans="1:34">
      <c r="A227" s="28">
        <f>IF(B227="","",AppointmentPrefix&amp;TEXT(ROW()-4,"0000"))</f>
        <v>0</v>
      </c>
      <c r="C227" s="15">
        <f>IF(B227="","",TEXT(B227,"ddd"))</f>
        <v>0</v>
      </c>
      <c r="F227" s="15">
        <f>IF(E227="","",IFERROR(INDEX(Clients!$B$5:$B$504,MATCH(E227,Clients!$A$5:$A$504,0)),"Walk-in"))</f>
        <v>0</v>
      </c>
      <c r="H227" s="15">
        <f>IF(G227="","",IFERROR(INDEX(Services!$B$5:$B$204,MATCH(G227,Services!$A$5:$A$204,0)),"Not in Services"))</f>
        <v>0</v>
      </c>
      <c r="J227" s="15">
        <f>IF(I227="","",IFERROR(INDEX(Staff!$B$5:$B$44,MATCH(I227,Staff!$A$5:$A$44,0)),"Unassigned"))</f>
        <v>0</v>
      </c>
      <c r="S227" s="15">
        <f>IF(B227="","",TEXT(B227,"yyyy-mm"))</f>
        <v>0</v>
      </c>
      <c r="T227" s="25">
        <f>IF(B227="","",WEEKNUM(B227,2))</f>
        <v>0</v>
      </c>
      <c r="U227" s="25">
        <f>IF(B227="","",IF(K227&lt;&gt;"",K227,IFERROR(INDEX(Services!$E$5:$E$204,MATCH(G227,Services!$A$5:$A$204,0))*1,0)+IFERROR(INDEX(Services!$F$5:$F$204,MATCH(G227,Services!$A$5:$A$204,0))*1,0)))</f>
        <v>0</v>
      </c>
      <c r="V227" s="36">
        <f>IF(B227="","",IF(D227="","",D227+U227/1440))</f>
        <v>0</v>
      </c>
      <c r="W227" s="25">
        <f>IF(B227="","",IF(D227="","",HOUR(D227)))</f>
        <v>0</v>
      </c>
      <c r="X227" s="37">
        <f>IF(B227="","",ROUND(U227/60,2))</f>
        <v>0</v>
      </c>
      <c r="Y227" s="26">
        <f>IF(B227="","",IF(L227&lt;&gt;"",L227,IFERROR(INDEX(Services!$G$5:$G$204,MATCH(G227,Services!$A$5:$A$204,0))*1,0)))</f>
        <v>0</v>
      </c>
      <c r="Z227" s="26">
        <f>IF(B227="","",IF(O227&lt;&gt;"",O227,IF(Y227&gt;=DepositThreshold,ROUND(Y227*DepositPercent,2),0)))</f>
        <v>0</v>
      </c>
      <c r="AA227" s="26">
        <f>IF(B227="","",ROUND(SUMIFS(Payments!$G$5:$G$1204,Payments!$I$5:$I$1204,A227,Payments!$E$5:$E$1204,"Deposit"),2))</f>
        <v>0</v>
      </c>
      <c r="AB227" s="26">
        <f>IF(B227="","",ROUND(SUMIFS(Sales!$Y$5:$Y$1204,Sales!$C$5:$C$1204,A227),2))</f>
        <v>0</v>
      </c>
      <c r="AC227" s="38">
        <f>IF(B227="","",IF(M227="Completed","Yes",IF(M227="Cancelled","Yes",IF(M227="No show","Yes","No"))))</f>
        <v>0</v>
      </c>
      <c r="AD227" s="25">
        <f>IF(B227="","",IF(AE227="","",B227-AE227))</f>
        <v>0</v>
      </c>
      <c r="AF227" s="38">
        <f>IF(B227="","",IF(M227&lt;&gt;"Completed","",IF(E227="","No",IF(COUNTIFS(Appointments!$E$5:$E$1204,E227,Appointments!$B$5:$B$1204,"&gt;"&amp;B227,Appointments!$M$5:$M$1204,"&lt;&gt;Cancelled")&gt;0,"Yes","No"))))</f>
        <v>0</v>
      </c>
      <c r="AG227" s="38">
        <f>IF(B227="","",IF(I227="","",IF(D227="","",IF(COUNTIFS($I$5:$I$1204,I227,$B$5:$B$1204,B227,$D$5:$D$1204,"&lt;"&amp;V227,$V$5:$V$1204,"&gt;"&amp;D227,$M$5:$M$1204,"&lt;&gt;Cancelled")&gt;1,"Clash",""))))</f>
        <v>0</v>
      </c>
      <c r="AH227" s="39">
        <f>IF(B227="","",IF(AG227="Clash","Clash - stylist double booked",IF(I227="","Assign - no stylist yet",IF(G227="","Add - no service chosen",IF(M227="No show","No show - charge the fee?",IF(M227="Cancelled","",IF(IF(M227="Completed",AB227&lt;Y227-0.004,FALSE),"Unpaid - nothing rung up for this visit",IF(IF(B227&lt;TodayDate,M227="Booked",FALSE),"Overdue - past date, still only Booked",IF(IF(B227=TodayDate,TRUE,FALSE),"Today",IF(IF(Z227&gt;0,AA227&lt;Z227-0.004,FALSE),"Due - deposit not taken",IF(IF(B227&gt;TodayDate,B227&lt;=TodayDate+2,FALSE),"Confirm - coming up","OK")))))))))))</f>
        <v>0</v>
      </c>
    </row>
    <row r="228" spans="1:34">
      <c r="A228" s="28">
        <f>IF(B228="","",AppointmentPrefix&amp;TEXT(ROW()-4,"0000"))</f>
        <v>0</v>
      </c>
      <c r="C228" s="15">
        <f>IF(B228="","",TEXT(B228,"ddd"))</f>
        <v>0</v>
      </c>
      <c r="F228" s="15">
        <f>IF(E228="","",IFERROR(INDEX(Clients!$B$5:$B$504,MATCH(E228,Clients!$A$5:$A$504,0)),"Walk-in"))</f>
        <v>0</v>
      </c>
      <c r="H228" s="15">
        <f>IF(G228="","",IFERROR(INDEX(Services!$B$5:$B$204,MATCH(G228,Services!$A$5:$A$204,0)),"Not in Services"))</f>
        <v>0</v>
      </c>
      <c r="J228" s="15">
        <f>IF(I228="","",IFERROR(INDEX(Staff!$B$5:$B$44,MATCH(I228,Staff!$A$5:$A$44,0)),"Unassigned"))</f>
        <v>0</v>
      </c>
      <c r="S228" s="15">
        <f>IF(B228="","",TEXT(B228,"yyyy-mm"))</f>
        <v>0</v>
      </c>
      <c r="T228" s="25">
        <f>IF(B228="","",WEEKNUM(B228,2))</f>
        <v>0</v>
      </c>
      <c r="U228" s="25">
        <f>IF(B228="","",IF(K228&lt;&gt;"",K228,IFERROR(INDEX(Services!$E$5:$E$204,MATCH(G228,Services!$A$5:$A$204,0))*1,0)+IFERROR(INDEX(Services!$F$5:$F$204,MATCH(G228,Services!$A$5:$A$204,0))*1,0)))</f>
        <v>0</v>
      </c>
      <c r="V228" s="36">
        <f>IF(B228="","",IF(D228="","",D228+U228/1440))</f>
        <v>0</v>
      </c>
      <c r="W228" s="25">
        <f>IF(B228="","",IF(D228="","",HOUR(D228)))</f>
        <v>0</v>
      </c>
      <c r="X228" s="37">
        <f>IF(B228="","",ROUND(U228/60,2))</f>
        <v>0</v>
      </c>
      <c r="Y228" s="26">
        <f>IF(B228="","",IF(L228&lt;&gt;"",L228,IFERROR(INDEX(Services!$G$5:$G$204,MATCH(G228,Services!$A$5:$A$204,0))*1,0)))</f>
        <v>0</v>
      </c>
      <c r="Z228" s="26">
        <f>IF(B228="","",IF(O228&lt;&gt;"",O228,IF(Y228&gt;=DepositThreshold,ROUND(Y228*DepositPercent,2),0)))</f>
        <v>0</v>
      </c>
      <c r="AA228" s="26">
        <f>IF(B228="","",ROUND(SUMIFS(Payments!$G$5:$G$1204,Payments!$I$5:$I$1204,A228,Payments!$E$5:$E$1204,"Deposit"),2))</f>
        <v>0</v>
      </c>
      <c r="AB228" s="26">
        <f>IF(B228="","",ROUND(SUMIFS(Sales!$Y$5:$Y$1204,Sales!$C$5:$C$1204,A228),2))</f>
        <v>0</v>
      </c>
      <c r="AC228" s="38">
        <f>IF(B228="","",IF(M228="Completed","Yes",IF(M228="Cancelled","Yes",IF(M228="No show","Yes","No"))))</f>
        <v>0</v>
      </c>
      <c r="AD228" s="25">
        <f>IF(B228="","",IF(AE228="","",B228-AE228))</f>
        <v>0</v>
      </c>
      <c r="AF228" s="38">
        <f>IF(B228="","",IF(M228&lt;&gt;"Completed","",IF(E228="","No",IF(COUNTIFS(Appointments!$E$5:$E$1204,E228,Appointments!$B$5:$B$1204,"&gt;"&amp;B228,Appointments!$M$5:$M$1204,"&lt;&gt;Cancelled")&gt;0,"Yes","No"))))</f>
        <v>0</v>
      </c>
      <c r="AG228" s="38">
        <f>IF(B228="","",IF(I228="","",IF(D228="","",IF(COUNTIFS($I$5:$I$1204,I228,$B$5:$B$1204,B228,$D$5:$D$1204,"&lt;"&amp;V228,$V$5:$V$1204,"&gt;"&amp;D228,$M$5:$M$1204,"&lt;&gt;Cancelled")&gt;1,"Clash",""))))</f>
        <v>0</v>
      </c>
      <c r="AH228" s="39">
        <f>IF(B228="","",IF(AG228="Clash","Clash - stylist double booked",IF(I228="","Assign - no stylist yet",IF(G228="","Add - no service chosen",IF(M228="No show","No show - charge the fee?",IF(M228="Cancelled","",IF(IF(M228="Completed",AB228&lt;Y228-0.004,FALSE),"Unpaid - nothing rung up for this visit",IF(IF(B228&lt;TodayDate,M228="Booked",FALSE),"Overdue - past date, still only Booked",IF(IF(B228=TodayDate,TRUE,FALSE),"Today",IF(IF(Z228&gt;0,AA228&lt;Z228-0.004,FALSE),"Due - deposit not taken",IF(IF(B228&gt;TodayDate,B228&lt;=TodayDate+2,FALSE),"Confirm - coming up","OK")))))))))))</f>
        <v>0</v>
      </c>
    </row>
    <row r="229" spans="1:34">
      <c r="A229" s="28">
        <f>IF(B229="","",AppointmentPrefix&amp;TEXT(ROW()-4,"0000"))</f>
        <v>0</v>
      </c>
      <c r="C229" s="15">
        <f>IF(B229="","",TEXT(B229,"ddd"))</f>
        <v>0</v>
      </c>
      <c r="F229" s="15">
        <f>IF(E229="","",IFERROR(INDEX(Clients!$B$5:$B$504,MATCH(E229,Clients!$A$5:$A$504,0)),"Walk-in"))</f>
        <v>0</v>
      </c>
      <c r="H229" s="15">
        <f>IF(G229="","",IFERROR(INDEX(Services!$B$5:$B$204,MATCH(G229,Services!$A$5:$A$204,0)),"Not in Services"))</f>
        <v>0</v>
      </c>
      <c r="J229" s="15">
        <f>IF(I229="","",IFERROR(INDEX(Staff!$B$5:$B$44,MATCH(I229,Staff!$A$5:$A$44,0)),"Unassigned"))</f>
        <v>0</v>
      </c>
      <c r="S229" s="15">
        <f>IF(B229="","",TEXT(B229,"yyyy-mm"))</f>
        <v>0</v>
      </c>
      <c r="T229" s="25">
        <f>IF(B229="","",WEEKNUM(B229,2))</f>
        <v>0</v>
      </c>
      <c r="U229" s="25">
        <f>IF(B229="","",IF(K229&lt;&gt;"",K229,IFERROR(INDEX(Services!$E$5:$E$204,MATCH(G229,Services!$A$5:$A$204,0))*1,0)+IFERROR(INDEX(Services!$F$5:$F$204,MATCH(G229,Services!$A$5:$A$204,0))*1,0)))</f>
        <v>0</v>
      </c>
      <c r="V229" s="36">
        <f>IF(B229="","",IF(D229="","",D229+U229/1440))</f>
        <v>0</v>
      </c>
      <c r="W229" s="25">
        <f>IF(B229="","",IF(D229="","",HOUR(D229)))</f>
        <v>0</v>
      </c>
      <c r="X229" s="37">
        <f>IF(B229="","",ROUND(U229/60,2))</f>
        <v>0</v>
      </c>
      <c r="Y229" s="26">
        <f>IF(B229="","",IF(L229&lt;&gt;"",L229,IFERROR(INDEX(Services!$G$5:$G$204,MATCH(G229,Services!$A$5:$A$204,0))*1,0)))</f>
        <v>0</v>
      </c>
      <c r="Z229" s="26">
        <f>IF(B229="","",IF(O229&lt;&gt;"",O229,IF(Y229&gt;=DepositThreshold,ROUND(Y229*DepositPercent,2),0)))</f>
        <v>0</v>
      </c>
      <c r="AA229" s="26">
        <f>IF(B229="","",ROUND(SUMIFS(Payments!$G$5:$G$1204,Payments!$I$5:$I$1204,A229,Payments!$E$5:$E$1204,"Deposit"),2))</f>
        <v>0</v>
      </c>
      <c r="AB229" s="26">
        <f>IF(B229="","",ROUND(SUMIFS(Sales!$Y$5:$Y$1204,Sales!$C$5:$C$1204,A229),2))</f>
        <v>0</v>
      </c>
      <c r="AC229" s="38">
        <f>IF(B229="","",IF(M229="Completed","Yes",IF(M229="Cancelled","Yes",IF(M229="No show","Yes","No"))))</f>
        <v>0</v>
      </c>
      <c r="AD229" s="25">
        <f>IF(B229="","",IF(AE229="","",B229-AE229))</f>
        <v>0</v>
      </c>
      <c r="AF229" s="38">
        <f>IF(B229="","",IF(M229&lt;&gt;"Completed","",IF(E229="","No",IF(COUNTIFS(Appointments!$E$5:$E$1204,E229,Appointments!$B$5:$B$1204,"&gt;"&amp;B229,Appointments!$M$5:$M$1204,"&lt;&gt;Cancelled")&gt;0,"Yes","No"))))</f>
        <v>0</v>
      </c>
      <c r="AG229" s="38">
        <f>IF(B229="","",IF(I229="","",IF(D229="","",IF(COUNTIFS($I$5:$I$1204,I229,$B$5:$B$1204,B229,$D$5:$D$1204,"&lt;"&amp;V229,$V$5:$V$1204,"&gt;"&amp;D229,$M$5:$M$1204,"&lt;&gt;Cancelled")&gt;1,"Clash",""))))</f>
        <v>0</v>
      </c>
      <c r="AH229" s="39">
        <f>IF(B229="","",IF(AG229="Clash","Clash - stylist double booked",IF(I229="","Assign - no stylist yet",IF(G229="","Add - no service chosen",IF(M229="No show","No show - charge the fee?",IF(M229="Cancelled","",IF(IF(M229="Completed",AB229&lt;Y229-0.004,FALSE),"Unpaid - nothing rung up for this visit",IF(IF(B229&lt;TodayDate,M229="Booked",FALSE),"Overdue - past date, still only Booked",IF(IF(B229=TodayDate,TRUE,FALSE),"Today",IF(IF(Z229&gt;0,AA229&lt;Z229-0.004,FALSE),"Due - deposit not taken",IF(IF(B229&gt;TodayDate,B229&lt;=TodayDate+2,FALSE),"Confirm - coming up","OK")))))))))))</f>
        <v>0</v>
      </c>
    </row>
    <row r="230" spans="1:34">
      <c r="A230" s="28">
        <f>IF(B230="","",AppointmentPrefix&amp;TEXT(ROW()-4,"0000"))</f>
        <v>0</v>
      </c>
      <c r="C230" s="15">
        <f>IF(B230="","",TEXT(B230,"ddd"))</f>
        <v>0</v>
      </c>
      <c r="F230" s="15">
        <f>IF(E230="","",IFERROR(INDEX(Clients!$B$5:$B$504,MATCH(E230,Clients!$A$5:$A$504,0)),"Walk-in"))</f>
        <v>0</v>
      </c>
      <c r="H230" s="15">
        <f>IF(G230="","",IFERROR(INDEX(Services!$B$5:$B$204,MATCH(G230,Services!$A$5:$A$204,0)),"Not in Services"))</f>
        <v>0</v>
      </c>
      <c r="J230" s="15">
        <f>IF(I230="","",IFERROR(INDEX(Staff!$B$5:$B$44,MATCH(I230,Staff!$A$5:$A$44,0)),"Unassigned"))</f>
        <v>0</v>
      </c>
      <c r="S230" s="15">
        <f>IF(B230="","",TEXT(B230,"yyyy-mm"))</f>
        <v>0</v>
      </c>
      <c r="T230" s="25">
        <f>IF(B230="","",WEEKNUM(B230,2))</f>
        <v>0</v>
      </c>
      <c r="U230" s="25">
        <f>IF(B230="","",IF(K230&lt;&gt;"",K230,IFERROR(INDEX(Services!$E$5:$E$204,MATCH(G230,Services!$A$5:$A$204,0))*1,0)+IFERROR(INDEX(Services!$F$5:$F$204,MATCH(G230,Services!$A$5:$A$204,0))*1,0)))</f>
        <v>0</v>
      </c>
      <c r="V230" s="36">
        <f>IF(B230="","",IF(D230="","",D230+U230/1440))</f>
        <v>0</v>
      </c>
      <c r="W230" s="25">
        <f>IF(B230="","",IF(D230="","",HOUR(D230)))</f>
        <v>0</v>
      </c>
      <c r="X230" s="37">
        <f>IF(B230="","",ROUND(U230/60,2))</f>
        <v>0</v>
      </c>
      <c r="Y230" s="26">
        <f>IF(B230="","",IF(L230&lt;&gt;"",L230,IFERROR(INDEX(Services!$G$5:$G$204,MATCH(G230,Services!$A$5:$A$204,0))*1,0)))</f>
        <v>0</v>
      </c>
      <c r="Z230" s="26">
        <f>IF(B230="","",IF(O230&lt;&gt;"",O230,IF(Y230&gt;=DepositThreshold,ROUND(Y230*DepositPercent,2),0)))</f>
        <v>0</v>
      </c>
      <c r="AA230" s="26">
        <f>IF(B230="","",ROUND(SUMIFS(Payments!$G$5:$G$1204,Payments!$I$5:$I$1204,A230,Payments!$E$5:$E$1204,"Deposit"),2))</f>
        <v>0</v>
      </c>
      <c r="AB230" s="26">
        <f>IF(B230="","",ROUND(SUMIFS(Sales!$Y$5:$Y$1204,Sales!$C$5:$C$1204,A230),2))</f>
        <v>0</v>
      </c>
      <c r="AC230" s="38">
        <f>IF(B230="","",IF(M230="Completed","Yes",IF(M230="Cancelled","Yes",IF(M230="No show","Yes","No"))))</f>
        <v>0</v>
      </c>
      <c r="AD230" s="25">
        <f>IF(B230="","",IF(AE230="","",B230-AE230))</f>
        <v>0</v>
      </c>
      <c r="AF230" s="38">
        <f>IF(B230="","",IF(M230&lt;&gt;"Completed","",IF(E230="","No",IF(COUNTIFS(Appointments!$E$5:$E$1204,E230,Appointments!$B$5:$B$1204,"&gt;"&amp;B230,Appointments!$M$5:$M$1204,"&lt;&gt;Cancelled")&gt;0,"Yes","No"))))</f>
        <v>0</v>
      </c>
      <c r="AG230" s="38">
        <f>IF(B230="","",IF(I230="","",IF(D230="","",IF(COUNTIFS($I$5:$I$1204,I230,$B$5:$B$1204,B230,$D$5:$D$1204,"&lt;"&amp;V230,$V$5:$V$1204,"&gt;"&amp;D230,$M$5:$M$1204,"&lt;&gt;Cancelled")&gt;1,"Clash",""))))</f>
        <v>0</v>
      </c>
      <c r="AH230" s="39">
        <f>IF(B230="","",IF(AG230="Clash","Clash - stylist double booked",IF(I230="","Assign - no stylist yet",IF(G230="","Add - no service chosen",IF(M230="No show","No show - charge the fee?",IF(M230="Cancelled","",IF(IF(M230="Completed",AB230&lt;Y230-0.004,FALSE),"Unpaid - nothing rung up for this visit",IF(IF(B230&lt;TodayDate,M230="Booked",FALSE),"Overdue - past date, still only Booked",IF(IF(B230=TodayDate,TRUE,FALSE),"Today",IF(IF(Z230&gt;0,AA230&lt;Z230-0.004,FALSE),"Due - deposit not taken",IF(IF(B230&gt;TodayDate,B230&lt;=TodayDate+2,FALSE),"Confirm - coming up","OK")))))))))))</f>
        <v>0</v>
      </c>
    </row>
    <row r="231" spans="1:34">
      <c r="A231" s="28">
        <f>IF(B231="","",AppointmentPrefix&amp;TEXT(ROW()-4,"0000"))</f>
        <v>0</v>
      </c>
      <c r="C231" s="15">
        <f>IF(B231="","",TEXT(B231,"ddd"))</f>
        <v>0</v>
      </c>
      <c r="F231" s="15">
        <f>IF(E231="","",IFERROR(INDEX(Clients!$B$5:$B$504,MATCH(E231,Clients!$A$5:$A$504,0)),"Walk-in"))</f>
        <v>0</v>
      </c>
      <c r="H231" s="15">
        <f>IF(G231="","",IFERROR(INDEX(Services!$B$5:$B$204,MATCH(G231,Services!$A$5:$A$204,0)),"Not in Services"))</f>
        <v>0</v>
      </c>
      <c r="J231" s="15">
        <f>IF(I231="","",IFERROR(INDEX(Staff!$B$5:$B$44,MATCH(I231,Staff!$A$5:$A$44,0)),"Unassigned"))</f>
        <v>0</v>
      </c>
      <c r="S231" s="15">
        <f>IF(B231="","",TEXT(B231,"yyyy-mm"))</f>
        <v>0</v>
      </c>
      <c r="T231" s="25">
        <f>IF(B231="","",WEEKNUM(B231,2))</f>
        <v>0</v>
      </c>
      <c r="U231" s="25">
        <f>IF(B231="","",IF(K231&lt;&gt;"",K231,IFERROR(INDEX(Services!$E$5:$E$204,MATCH(G231,Services!$A$5:$A$204,0))*1,0)+IFERROR(INDEX(Services!$F$5:$F$204,MATCH(G231,Services!$A$5:$A$204,0))*1,0)))</f>
        <v>0</v>
      </c>
      <c r="V231" s="36">
        <f>IF(B231="","",IF(D231="","",D231+U231/1440))</f>
        <v>0</v>
      </c>
      <c r="W231" s="25">
        <f>IF(B231="","",IF(D231="","",HOUR(D231)))</f>
        <v>0</v>
      </c>
      <c r="X231" s="37">
        <f>IF(B231="","",ROUND(U231/60,2))</f>
        <v>0</v>
      </c>
      <c r="Y231" s="26">
        <f>IF(B231="","",IF(L231&lt;&gt;"",L231,IFERROR(INDEX(Services!$G$5:$G$204,MATCH(G231,Services!$A$5:$A$204,0))*1,0)))</f>
        <v>0</v>
      </c>
      <c r="Z231" s="26">
        <f>IF(B231="","",IF(O231&lt;&gt;"",O231,IF(Y231&gt;=DepositThreshold,ROUND(Y231*DepositPercent,2),0)))</f>
        <v>0</v>
      </c>
      <c r="AA231" s="26">
        <f>IF(B231="","",ROUND(SUMIFS(Payments!$G$5:$G$1204,Payments!$I$5:$I$1204,A231,Payments!$E$5:$E$1204,"Deposit"),2))</f>
        <v>0</v>
      </c>
      <c r="AB231" s="26">
        <f>IF(B231="","",ROUND(SUMIFS(Sales!$Y$5:$Y$1204,Sales!$C$5:$C$1204,A231),2))</f>
        <v>0</v>
      </c>
      <c r="AC231" s="38">
        <f>IF(B231="","",IF(M231="Completed","Yes",IF(M231="Cancelled","Yes",IF(M231="No show","Yes","No"))))</f>
        <v>0</v>
      </c>
      <c r="AD231" s="25">
        <f>IF(B231="","",IF(AE231="","",B231-AE231))</f>
        <v>0</v>
      </c>
      <c r="AF231" s="38">
        <f>IF(B231="","",IF(M231&lt;&gt;"Completed","",IF(E231="","No",IF(COUNTIFS(Appointments!$E$5:$E$1204,E231,Appointments!$B$5:$B$1204,"&gt;"&amp;B231,Appointments!$M$5:$M$1204,"&lt;&gt;Cancelled")&gt;0,"Yes","No"))))</f>
        <v>0</v>
      </c>
      <c r="AG231" s="38">
        <f>IF(B231="","",IF(I231="","",IF(D231="","",IF(COUNTIFS($I$5:$I$1204,I231,$B$5:$B$1204,B231,$D$5:$D$1204,"&lt;"&amp;V231,$V$5:$V$1204,"&gt;"&amp;D231,$M$5:$M$1204,"&lt;&gt;Cancelled")&gt;1,"Clash",""))))</f>
        <v>0</v>
      </c>
      <c r="AH231" s="39">
        <f>IF(B231="","",IF(AG231="Clash","Clash - stylist double booked",IF(I231="","Assign - no stylist yet",IF(G231="","Add - no service chosen",IF(M231="No show","No show - charge the fee?",IF(M231="Cancelled","",IF(IF(M231="Completed",AB231&lt;Y231-0.004,FALSE),"Unpaid - nothing rung up for this visit",IF(IF(B231&lt;TodayDate,M231="Booked",FALSE),"Overdue - past date, still only Booked",IF(IF(B231=TodayDate,TRUE,FALSE),"Today",IF(IF(Z231&gt;0,AA231&lt;Z231-0.004,FALSE),"Due - deposit not taken",IF(IF(B231&gt;TodayDate,B231&lt;=TodayDate+2,FALSE),"Confirm - coming up","OK")))))))))))</f>
        <v>0</v>
      </c>
    </row>
    <row r="232" spans="1:34">
      <c r="A232" s="28">
        <f>IF(B232="","",AppointmentPrefix&amp;TEXT(ROW()-4,"0000"))</f>
        <v>0</v>
      </c>
      <c r="C232" s="15">
        <f>IF(B232="","",TEXT(B232,"ddd"))</f>
        <v>0</v>
      </c>
      <c r="F232" s="15">
        <f>IF(E232="","",IFERROR(INDEX(Clients!$B$5:$B$504,MATCH(E232,Clients!$A$5:$A$504,0)),"Walk-in"))</f>
        <v>0</v>
      </c>
      <c r="H232" s="15">
        <f>IF(G232="","",IFERROR(INDEX(Services!$B$5:$B$204,MATCH(G232,Services!$A$5:$A$204,0)),"Not in Services"))</f>
        <v>0</v>
      </c>
      <c r="J232" s="15">
        <f>IF(I232="","",IFERROR(INDEX(Staff!$B$5:$B$44,MATCH(I232,Staff!$A$5:$A$44,0)),"Unassigned"))</f>
        <v>0</v>
      </c>
      <c r="S232" s="15">
        <f>IF(B232="","",TEXT(B232,"yyyy-mm"))</f>
        <v>0</v>
      </c>
      <c r="T232" s="25">
        <f>IF(B232="","",WEEKNUM(B232,2))</f>
        <v>0</v>
      </c>
      <c r="U232" s="25">
        <f>IF(B232="","",IF(K232&lt;&gt;"",K232,IFERROR(INDEX(Services!$E$5:$E$204,MATCH(G232,Services!$A$5:$A$204,0))*1,0)+IFERROR(INDEX(Services!$F$5:$F$204,MATCH(G232,Services!$A$5:$A$204,0))*1,0)))</f>
        <v>0</v>
      </c>
      <c r="V232" s="36">
        <f>IF(B232="","",IF(D232="","",D232+U232/1440))</f>
        <v>0</v>
      </c>
      <c r="W232" s="25">
        <f>IF(B232="","",IF(D232="","",HOUR(D232)))</f>
        <v>0</v>
      </c>
      <c r="X232" s="37">
        <f>IF(B232="","",ROUND(U232/60,2))</f>
        <v>0</v>
      </c>
      <c r="Y232" s="26">
        <f>IF(B232="","",IF(L232&lt;&gt;"",L232,IFERROR(INDEX(Services!$G$5:$G$204,MATCH(G232,Services!$A$5:$A$204,0))*1,0)))</f>
        <v>0</v>
      </c>
      <c r="Z232" s="26">
        <f>IF(B232="","",IF(O232&lt;&gt;"",O232,IF(Y232&gt;=DepositThreshold,ROUND(Y232*DepositPercent,2),0)))</f>
        <v>0</v>
      </c>
      <c r="AA232" s="26">
        <f>IF(B232="","",ROUND(SUMIFS(Payments!$G$5:$G$1204,Payments!$I$5:$I$1204,A232,Payments!$E$5:$E$1204,"Deposit"),2))</f>
        <v>0</v>
      </c>
      <c r="AB232" s="26">
        <f>IF(B232="","",ROUND(SUMIFS(Sales!$Y$5:$Y$1204,Sales!$C$5:$C$1204,A232),2))</f>
        <v>0</v>
      </c>
      <c r="AC232" s="38">
        <f>IF(B232="","",IF(M232="Completed","Yes",IF(M232="Cancelled","Yes",IF(M232="No show","Yes","No"))))</f>
        <v>0</v>
      </c>
      <c r="AD232" s="25">
        <f>IF(B232="","",IF(AE232="","",B232-AE232))</f>
        <v>0</v>
      </c>
      <c r="AF232" s="38">
        <f>IF(B232="","",IF(M232&lt;&gt;"Completed","",IF(E232="","No",IF(COUNTIFS(Appointments!$E$5:$E$1204,E232,Appointments!$B$5:$B$1204,"&gt;"&amp;B232,Appointments!$M$5:$M$1204,"&lt;&gt;Cancelled")&gt;0,"Yes","No"))))</f>
        <v>0</v>
      </c>
      <c r="AG232" s="38">
        <f>IF(B232="","",IF(I232="","",IF(D232="","",IF(COUNTIFS($I$5:$I$1204,I232,$B$5:$B$1204,B232,$D$5:$D$1204,"&lt;"&amp;V232,$V$5:$V$1204,"&gt;"&amp;D232,$M$5:$M$1204,"&lt;&gt;Cancelled")&gt;1,"Clash",""))))</f>
        <v>0</v>
      </c>
      <c r="AH232" s="39">
        <f>IF(B232="","",IF(AG232="Clash","Clash - stylist double booked",IF(I232="","Assign - no stylist yet",IF(G232="","Add - no service chosen",IF(M232="No show","No show - charge the fee?",IF(M232="Cancelled","",IF(IF(M232="Completed",AB232&lt;Y232-0.004,FALSE),"Unpaid - nothing rung up for this visit",IF(IF(B232&lt;TodayDate,M232="Booked",FALSE),"Overdue - past date, still only Booked",IF(IF(B232=TodayDate,TRUE,FALSE),"Today",IF(IF(Z232&gt;0,AA232&lt;Z232-0.004,FALSE),"Due - deposit not taken",IF(IF(B232&gt;TodayDate,B232&lt;=TodayDate+2,FALSE),"Confirm - coming up","OK")))))))))))</f>
        <v>0</v>
      </c>
    </row>
    <row r="233" spans="1:34">
      <c r="A233" s="28">
        <f>IF(B233="","",AppointmentPrefix&amp;TEXT(ROW()-4,"0000"))</f>
        <v>0</v>
      </c>
      <c r="C233" s="15">
        <f>IF(B233="","",TEXT(B233,"ddd"))</f>
        <v>0</v>
      </c>
      <c r="F233" s="15">
        <f>IF(E233="","",IFERROR(INDEX(Clients!$B$5:$B$504,MATCH(E233,Clients!$A$5:$A$504,0)),"Walk-in"))</f>
        <v>0</v>
      </c>
      <c r="H233" s="15">
        <f>IF(G233="","",IFERROR(INDEX(Services!$B$5:$B$204,MATCH(G233,Services!$A$5:$A$204,0)),"Not in Services"))</f>
        <v>0</v>
      </c>
      <c r="J233" s="15">
        <f>IF(I233="","",IFERROR(INDEX(Staff!$B$5:$B$44,MATCH(I233,Staff!$A$5:$A$44,0)),"Unassigned"))</f>
        <v>0</v>
      </c>
      <c r="S233" s="15">
        <f>IF(B233="","",TEXT(B233,"yyyy-mm"))</f>
        <v>0</v>
      </c>
      <c r="T233" s="25">
        <f>IF(B233="","",WEEKNUM(B233,2))</f>
        <v>0</v>
      </c>
      <c r="U233" s="25">
        <f>IF(B233="","",IF(K233&lt;&gt;"",K233,IFERROR(INDEX(Services!$E$5:$E$204,MATCH(G233,Services!$A$5:$A$204,0))*1,0)+IFERROR(INDEX(Services!$F$5:$F$204,MATCH(G233,Services!$A$5:$A$204,0))*1,0)))</f>
        <v>0</v>
      </c>
      <c r="V233" s="36">
        <f>IF(B233="","",IF(D233="","",D233+U233/1440))</f>
        <v>0</v>
      </c>
      <c r="W233" s="25">
        <f>IF(B233="","",IF(D233="","",HOUR(D233)))</f>
        <v>0</v>
      </c>
      <c r="X233" s="37">
        <f>IF(B233="","",ROUND(U233/60,2))</f>
        <v>0</v>
      </c>
      <c r="Y233" s="26">
        <f>IF(B233="","",IF(L233&lt;&gt;"",L233,IFERROR(INDEX(Services!$G$5:$G$204,MATCH(G233,Services!$A$5:$A$204,0))*1,0)))</f>
        <v>0</v>
      </c>
      <c r="Z233" s="26">
        <f>IF(B233="","",IF(O233&lt;&gt;"",O233,IF(Y233&gt;=DepositThreshold,ROUND(Y233*DepositPercent,2),0)))</f>
        <v>0</v>
      </c>
      <c r="AA233" s="26">
        <f>IF(B233="","",ROUND(SUMIFS(Payments!$G$5:$G$1204,Payments!$I$5:$I$1204,A233,Payments!$E$5:$E$1204,"Deposit"),2))</f>
        <v>0</v>
      </c>
      <c r="AB233" s="26">
        <f>IF(B233="","",ROUND(SUMIFS(Sales!$Y$5:$Y$1204,Sales!$C$5:$C$1204,A233),2))</f>
        <v>0</v>
      </c>
      <c r="AC233" s="38">
        <f>IF(B233="","",IF(M233="Completed","Yes",IF(M233="Cancelled","Yes",IF(M233="No show","Yes","No"))))</f>
        <v>0</v>
      </c>
      <c r="AD233" s="25">
        <f>IF(B233="","",IF(AE233="","",B233-AE233))</f>
        <v>0</v>
      </c>
      <c r="AF233" s="38">
        <f>IF(B233="","",IF(M233&lt;&gt;"Completed","",IF(E233="","No",IF(COUNTIFS(Appointments!$E$5:$E$1204,E233,Appointments!$B$5:$B$1204,"&gt;"&amp;B233,Appointments!$M$5:$M$1204,"&lt;&gt;Cancelled")&gt;0,"Yes","No"))))</f>
        <v>0</v>
      </c>
      <c r="AG233" s="38">
        <f>IF(B233="","",IF(I233="","",IF(D233="","",IF(COUNTIFS($I$5:$I$1204,I233,$B$5:$B$1204,B233,$D$5:$D$1204,"&lt;"&amp;V233,$V$5:$V$1204,"&gt;"&amp;D233,$M$5:$M$1204,"&lt;&gt;Cancelled")&gt;1,"Clash",""))))</f>
        <v>0</v>
      </c>
      <c r="AH233" s="39">
        <f>IF(B233="","",IF(AG233="Clash","Clash - stylist double booked",IF(I233="","Assign - no stylist yet",IF(G233="","Add - no service chosen",IF(M233="No show","No show - charge the fee?",IF(M233="Cancelled","",IF(IF(M233="Completed",AB233&lt;Y233-0.004,FALSE),"Unpaid - nothing rung up for this visit",IF(IF(B233&lt;TodayDate,M233="Booked",FALSE),"Overdue - past date, still only Booked",IF(IF(B233=TodayDate,TRUE,FALSE),"Today",IF(IF(Z233&gt;0,AA233&lt;Z233-0.004,FALSE),"Due - deposit not taken",IF(IF(B233&gt;TodayDate,B233&lt;=TodayDate+2,FALSE),"Confirm - coming up","OK")))))))))))</f>
        <v>0</v>
      </c>
    </row>
    <row r="234" spans="1:34">
      <c r="A234" s="28">
        <f>IF(B234="","",AppointmentPrefix&amp;TEXT(ROW()-4,"0000"))</f>
        <v>0</v>
      </c>
      <c r="C234" s="15">
        <f>IF(B234="","",TEXT(B234,"ddd"))</f>
        <v>0</v>
      </c>
      <c r="F234" s="15">
        <f>IF(E234="","",IFERROR(INDEX(Clients!$B$5:$B$504,MATCH(E234,Clients!$A$5:$A$504,0)),"Walk-in"))</f>
        <v>0</v>
      </c>
      <c r="H234" s="15">
        <f>IF(G234="","",IFERROR(INDEX(Services!$B$5:$B$204,MATCH(G234,Services!$A$5:$A$204,0)),"Not in Services"))</f>
        <v>0</v>
      </c>
      <c r="J234" s="15">
        <f>IF(I234="","",IFERROR(INDEX(Staff!$B$5:$B$44,MATCH(I234,Staff!$A$5:$A$44,0)),"Unassigned"))</f>
        <v>0</v>
      </c>
      <c r="S234" s="15">
        <f>IF(B234="","",TEXT(B234,"yyyy-mm"))</f>
        <v>0</v>
      </c>
      <c r="T234" s="25">
        <f>IF(B234="","",WEEKNUM(B234,2))</f>
        <v>0</v>
      </c>
      <c r="U234" s="25">
        <f>IF(B234="","",IF(K234&lt;&gt;"",K234,IFERROR(INDEX(Services!$E$5:$E$204,MATCH(G234,Services!$A$5:$A$204,0))*1,0)+IFERROR(INDEX(Services!$F$5:$F$204,MATCH(G234,Services!$A$5:$A$204,0))*1,0)))</f>
        <v>0</v>
      </c>
      <c r="V234" s="36">
        <f>IF(B234="","",IF(D234="","",D234+U234/1440))</f>
        <v>0</v>
      </c>
      <c r="W234" s="25">
        <f>IF(B234="","",IF(D234="","",HOUR(D234)))</f>
        <v>0</v>
      </c>
      <c r="X234" s="37">
        <f>IF(B234="","",ROUND(U234/60,2))</f>
        <v>0</v>
      </c>
      <c r="Y234" s="26">
        <f>IF(B234="","",IF(L234&lt;&gt;"",L234,IFERROR(INDEX(Services!$G$5:$G$204,MATCH(G234,Services!$A$5:$A$204,0))*1,0)))</f>
        <v>0</v>
      </c>
      <c r="Z234" s="26">
        <f>IF(B234="","",IF(O234&lt;&gt;"",O234,IF(Y234&gt;=DepositThreshold,ROUND(Y234*DepositPercent,2),0)))</f>
        <v>0</v>
      </c>
      <c r="AA234" s="26">
        <f>IF(B234="","",ROUND(SUMIFS(Payments!$G$5:$G$1204,Payments!$I$5:$I$1204,A234,Payments!$E$5:$E$1204,"Deposit"),2))</f>
        <v>0</v>
      </c>
      <c r="AB234" s="26">
        <f>IF(B234="","",ROUND(SUMIFS(Sales!$Y$5:$Y$1204,Sales!$C$5:$C$1204,A234),2))</f>
        <v>0</v>
      </c>
      <c r="AC234" s="38">
        <f>IF(B234="","",IF(M234="Completed","Yes",IF(M234="Cancelled","Yes",IF(M234="No show","Yes","No"))))</f>
        <v>0</v>
      </c>
      <c r="AD234" s="25">
        <f>IF(B234="","",IF(AE234="","",B234-AE234))</f>
        <v>0</v>
      </c>
      <c r="AF234" s="38">
        <f>IF(B234="","",IF(M234&lt;&gt;"Completed","",IF(E234="","No",IF(COUNTIFS(Appointments!$E$5:$E$1204,E234,Appointments!$B$5:$B$1204,"&gt;"&amp;B234,Appointments!$M$5:$M$1204,"&lt;&gt;Cancelled")&gt;0,"Yes","No"))))</f>
        <v>0</v>
      </c>
      <c r="AG234" s="38">
        <f>IF(B234="","",IF(I234="","",IF(D234="","",IF(COUNTIFS($I$5:$I$1204,I234,$B$5:$B$1204,B234,$D$5:$D$1204,"&lt;"&amp;V234,$V$5:$V$1204,"&gt;"&amp;D234,$M$5:$M$1204,"&lt;&gt;Cancelled")&gt;1,"Clash",""))))</f>
        <v>0</v>
      </c>
      <c r="AH234" s="39">
        <f>IF(B234="","",IF(AG234="Clash","Clash - stylist double booked",IF(I234="","Assign - no stylist yet",IF(G234="","Add - no service chosen",IF(M234="No show","No show - charge the fee?",IF(M234="Cancelled","",IF(IF(M234="Completed",AB234&lt;Y234-0.004,FALSE),"Unpaid - nothing rung up for this visit",IF(IF(B234&lt;TodayDate,M234="Booked",FALSE),"Overdue - past date, still only Booked",IF(IF(B234=TodayDate,TRUE,FALSE),"Today",IF(IF(Z234&gt;0,AA234&lt;Z234-0.004,FALSE),"Due - deposit not taken",IF(IF(B234&gt;TodayDate,B234&lt;=TodayDate+2,FALSE),"Confirm - coming up","OK")))))))))))</f>
        <v>0</v>
      </c>
    </row>
    <row r="235" spans="1:34">
      <c r="A235" s="28">
        <f>IF(B235="","",AppointmentPrefix&amp;TEXT(ROW()-4,"0000"))</f>
        <v>0</v>
      </c>
      <c r="C235" s="15">
        <f>IF(B235="","",TEXT(B235,"ddd"))</f>
        <v>0</v>
      </c>
      <c r="F235" s="15">
        <f>IF(E235="","",IFERROR(INDEX(Clients!$B$5:$B$504,MATCH(E235,Clients!$A$5:$A$504,0)),"Walk-in"))</f>
        <v>0</v>
      </c>
      <c r="H235" s="15">
        <f>IF(G235="","",IFERROR(INDEX(Services!$B$5:$B$204,MATCH(G235,Services!$A$5:$A$204,0)),"Not in Services"))</f>
        <v>0</v>
      </c>
      <c r="J235" s="15">
        <f>IF(I235="","",IFERROR(INDEX(Staff!$B$5:$B$44,MATCH(I235,Staff!$A$5:$A$44,0)),"Unassigned"))</f>
        <v>0</v>
      </c>
      <c r="S235" s="15">
        <f>IF(B235="","",TEXT(B235,"yyyy-mm"))</f>
        <v>0</v>
      </c>
      <c r="T235" s="25">
        <f>IF(B235="","",WEEKNUM(B235,2))</f>
        <v>0</v>
      </c>
      <c r="U235" s="25">
        <f>IF(B235="","",IF(K235&lt;&gt;"",K235,IFERROR(INDEX(Services!$E$5:$E$204,MATCH(G235,Services!$A$5:$A$204,0))*1,0)+IFERROR(INDEX(Services!$F$5:$F$204,MATCH(G235,Services!$A$5:$A$204,0))*1,0)))</f>
        <v>0</v>
      </c>
      <c r="V235" s="36">
        <f>IF(B235="","",IF(D235="","",D235+U235/1440))</f>
        <v>0</v>
      </c>
      <c r="W235" s="25">
        <f>IF(B235="","",IF(D235="","",HOUR(D235)))</f>
        <v>0</v>
      </c>
      <c r="X235" s="37">
        <f>IF(B235="","",ROUND(U235/60,2))</f>
        <v>0</v>
      </c>
      <c r="Y235" s="26">
        <f>IF(B235="","",IF(L235&lt;&gt;"",L235,IFERROR(INDEX(Services!$G$5:$G$204,MATCH(G235,Services!$A$5:$A$204,0))*1,0)))</f>
        <v>0</v>
      </c>
      <c r="Z235" s="26">
        <f>IF(B235="","",IF(O235&lt;&gt;"",O235,IF(Y235&gt;=DepositThreshold,ROUND(Y235*DepositPercent,2),0)))</f>
        <v>0</v>
      </c>
      <c r="AA235" s="26">
        <f>IF(B235="","",ROUND(SUMIFS(Payments!$G$5:$G$1204,Payments!$I$5:$I$1204,A235,Payments!$E$5:$E$1204,"Deposit"),2))</f>
        <v>0</v>
      </c>
      <c r="AB235" s="26">
        <f>IF(B235="","",ROUND(SUMIFS(Sales!$Y$5:$Y$1204,Sales!$C$5:$C$1204,A235),2))</f>
        <v>0</v>
      </c>
      <c r="AC235" s="38">
        <f>IF(B235="","",IF(M235="Completed","Yes",IF(M235="Cancelled","Yes",IF(M235="No show","Yes","No"))))</f>
        <v>0</v>
      </c>
      <c r="AD235" s="25">
        <f>IF(B235="","",IF(AE235="","",B235-AE235))</f>
        <v>0</v>
      </c>
      <c r="AF235" s="38">
        <f>IF(B235="","",IF(M235&lt;&gt;"Completed","",IF(E235="","No",IF(COUNTIFS(Appointments!$E$5:$E$1204,E235,Appointments!$B$5:$B$1204,"&gt;"&amp;B235,Appointments!$M$5:$M$1204,"&lt;&gt;Cancelled")&gt;0,"Yes","No"))))</f>
        <v>0</v>
      </c>
      <c r="AG235" s="38">
        <f>IF(B235="","",IF(I235="","",IF(D235="","",IF(COUNTIFS($I$5:$I$1204,I235,$B$5:$B$1204,B235,$D$5:$D$1204,"&lt;"&amp;V235,$V$5:$V$1204,"&gt;"&amp;D235,$M$5:$M$1204,"&lt;&gt;Cancelled")&gt;1,"Clash",""))))</f>
        <v>0</v>
      </c>
      <c r="AH235" s="39">
        <f>IF(B235="","",IF(AG235="Clash","Clash - stylist double booked",IF(I235="","Assign - no stylist yet",IF(G235="","Add - no service chosen",IF(M235="No show","No show - charge the fee?",IF(M235="Cancelled","",IF(IF(M235="Completed",AB235&lt;Y235-0.004,FALSE),"Unpaid - nothing rung up for this visit",IF(IF(B235&lt;TodayDate,M235="Booked",FALSE),"Overdue - past date, still only Booked",IF(IF(B235=TodayDate,TRUE,FALSE),"Today",IF(IF(Z235&gt;0,AA235&lt;Z235-0.004,FALSE),"Due - deposit not taken",IF(IF(B235&gt;TodayDate,B235&lt;=TodayDate+2,FALSE),"Confirm - coming up","OK")))))))))))</f>
        <v>0</v>
      </c>
    </row>
    <row r="236" spans="1:34">
      <c r="A236" s="28">
        <f>IF(B236="","",AppointmentPrefix&amp;TEXT(ROW()-4,"0000"))</f>
        <v>0</v>
      </c>
      <c r="C236" s="15">
        <f>IF(B236="","",TEXT(B236,"ddd"))</f>
        <v>0</v>
      </c>
      <c r="F236" s="15">
        <f>IF(E236="","",IFERROR(INDEX(Clients!$B$5:$B$504,MATCH(E236,Clients!$A$5:$A$504,0)),"Walk-in"))</f>
        <v>0</v>
      </c>
      <c r="H236" s="15">
        <f>IF(G236="","",IFERROR(INDEX(Services!$B$5:$B$204,MATCH(G236,Services!$A$5:$A$204,0)),"Not in Services"))</f>
        <v>0</v>
      </c>
      <c r="J236" s="15">
        <f>IF(I236="","",IFERROR(INDEX(Staff!$B$5:$B$44,MATCH(I236,Staff!$A$5:$A$44,0)),"Unassigned"))</f>
        <v>0</v>
      </c>
      <c r="S236" s="15">
        <f>IF(B236="","",TEXT(B236,"yyyy-mm"))</f>
        <v>0</v>
      </c>
      <c r="T236" s="25">
        <f>IF(B236="","",WEEKNUM(B236,2))</f>
        <v>0</v>
      </c>
      <c r="U236" s="25">
        <f>IF(B236="","",IF(K236&lt;&gt;"",K236,IFERROR(INDEX(Services!$E$5:$E$204,MATCH(G236,Services!$A$5:$A$204,0))*1,0)+IFERROR(INDEX(Services!$F$5:$F$204,MATCH(G236,Services!$A$5:$A$204,0))*1,0)))</f>
        <v>0</v>
      </c>
      <c r="V236" s="36">
        <f>IF(B236="","",IF(D236="","",D236+U236/1440))</f>
        <v>0</v>
      </c>
      <c r="W236" s="25">
        <f>IF(B236="","",IF(D236="","",HOUR(D236)))</f>
        <v>0</v>
      </c>
      <c r="X236" s="37">
        <f>IF(B236="","",ROUND(U236/60,2))</f>
        <v>0</v>
      </c>
      <c r="Y236" s="26">
        <f>IF(B236="","",IF(L236&lt;&gt;"",L236,IFERROR(INDEX(Services!$G$5:$G$204,MATCH(G236,Services!$A$5:$A$204,0))*1,0)))</f>
        <v>0</v>
      </c>
      <c r="Z236" s="26">
        <f>IF(B236="","",IF(O236&lt;&gt;"",O236,IF(Y236&gt;=DepositThreshold,ROUND(Y236*DepositPercent,2),0)))</f>
        <v>0</v>
      </c>
      <c r="AA236" s="26">
        <f>IF(B236="","",ROUND(SUMIFS(Payments!$G$5:$G$1204,Payments!$I$5:$I$1204,A236,Payments!$E$5:$E$1204,"Deposit"),2))</f>
        <v>0</v>
      </c>
      <c r="AB236" s="26">
        <f>IF(B236="","",ROUND(SUMIFS(Sales!$Y$5:$Y$1204,Sales!$C$5:$C$1204,A236),2))</f>
        <v>0</v>
      </c>
      <c r="AC236" s="38">
        <f>IF(B236="","",IF(M236="Completed","Yes",IF(M236="Cancelled","Yes",IF(M236="No show","Yes","No"))))</f>
        <v>0</v>
      </c>
      <c r="AD236" s="25">
        <f>IF(B236="","",IF(AE236="","",B236-AE236))</f>
        <v>0</v>
      </c>
      <c r="AF236" s="38">
        <f>IF(B236="","",IF(M236&lt;&gt;"Completed","",IF(E236="","No",IF(COUNTIFS(Appointments!$E$5:$E$1204,E236,Appointments!$B$5:$B$1204,"&gt;"&amp;B236,Appointments!$M$5:$M$1204,"&lt;&gt;Cancelled")&gt;0,"Yes","No"))))</f>
        <v>0</v>
      </c>
      <c r="AG236" s="38">
        <f>IF(B236="","",IF(I236="","",IF(D236="","",IF(COUNTIFS($I$5:$I$1204,I236,$B$5:$B$1204,B236,$D$5:$D$1204,"&lt;"&amp;V236,$V$5:$V$1204,"&gt;"&amp;D236,$M$5:$M$1204,"&lt;&gt;Cancelled")&gt;1,"Clash",""))))</f>
        <v>0</v>
      </c>
      <c r="AH236" s="39">
        <f>IF(B236="","",IF(AG236="Clash","Clash - stylist double booked",IF(I236="","Assign - no stylist yet",IF(G236="","Add - no service chosen",IF(M236="No show","No show - charge the fee?",IF(M236="Cancelled","",IF(IF(M236="Completed",AB236&lt;Y236-0.004,FALSE),"Unpaid - nothing rung up for this visit",IF(IF(B236&lt;TodayDate,M236="Booked",FALSE),"Overdue - past date, still only Booked",IF(IF(B236=TodayDate,TRUE,FALSE),"Today",IF(IF(Z236&gt;0,AA236&lt;Z236-0.004,FALSE),"Due - deposit not taken",IF(IF(B236&gt;TodayDate,B236&lt;=TodayDate+2,FALSE),"Confirm - coming up","OK")))))))))))</f>
        <v>0</v>
      </c>
    </row>
    <row r="237" spans="1:34">
      <c r="A237" s="28">
        <f>IF(B237="","",AppointmentPrefix&amp;TEXT(ROW()-4,"0000"))</f>
        <v>0</v>
      </c>
      <c r="C237" s="15">
        <f>IF(B237="","",TEXT(B237,"ddd"))</f>
        <v>0</v>
      </c>
      <c r="F237" s="15">
        <f>IF(E237="","",IFERROR(INDEX(Clients!$B$5:$B$504,MATCH(E237,Clients!$A$5:$A$504,0)),"Walk-in"))</f>
        <v>0</v>
      </c>
      <c r="H237" s="15">
        <f>IF(G237="","",IFERROR(INDEX(Services!$B$5:$B$204,MATCH(G237,Services!$A$5:$A$204,0)),"Not in Services"))</f>
        <v>0</v>
      </c>
      <c r="J237" s="15">
        <f>IF(I237="","",IFERROR(INDEX(Staff!$B$5:$B$44,MATCH(I237,Staff!$A$5:$A$44,0)),"Unassigned"))</f>
        <v>0</v>
      </c>
      <c r="S237" s="15">
        <f>IF(B237="","",TEXT(B237,"yyyy-mm"))</f>
        <v>0</v>
      </c>
      <c r="T237" s="25">
        <f>IF(B237="","",WEEKNUM(B237,2))</f>
        <v>0</v>
      </c>
      <c r="U237" s="25">
        <f>IF(B237="","",IF(K237&lt;&gt;"",K237,IFERROR(INDEX(Services!$E$5:$E$204,MATCH(G237,Services!$A$5:$A$204,0))*1,0)+IFERROR(INDEX(Services!$F$5:$F$204,MATCH(G237,Services!$A$5:$A$204,0))*1,0)))</f>
        <v>0</v>
      </c>
      <c r="V237" s="36">
        <f>IF(B237="","",IF(D237="","",D237+U237/1440))</f>
        <v>0</v>
      </c>
      <c r="W237" s="25">
        <f>IF(B237="","",IF(D237="","",HOUR(D237)))</f>
        <v>0</v>
      </c>
      <c r="X237" s="37">
        <f>IF(B237="","",ROUND(U237/60,2))</f>
        <v>0</v>
      </c>
      <c r="Y237" s="26">
        <f>IF(B237="","",IF(L237&lt;&gt;"",L237,IFERROR(INDEX(Services!$G$5:$G$204,MATCH(G237,Services!$A$5:$A$204,0))*1,0)))</f>
        <v>0</v>
      </c>
      <c r="Z237" s="26">
        <f>IF(B237="","",IF(O237&lt;&gt;"",O237,IF(Y237&gt;=DepositThreshold,ROUND(Y237*DepositPercent,2),0)))</f>
        <v>0</v>
      </c>
      <c r="AA237" s="26">
        <f>IF(B237="","",ROUND(SUMIFS(Payments!$G$5:$G$1204,Payments!$I$5:$I$1204,A237,Payments!$E$5:$E$1204,"Deposit"),2))</f>
        <v>0</v>
      </c>
      <c r="AB237" s="26">
        <f>IF(B237="","",ROUND(SUMIFS(Sales!$Y$5:$Y$1204,Sales!$C$5:$C$1204,A237),2))</f>
        <v>0</v>
      </c>
      <c r="AC237" s="38">
        <f>IF(B237="","",IF(M237="Completed","Yes",IF(M237="Cancelled","Yes",IF(M237="No show","Yes","No"))))</f>
        <v>0</v>
      </c>
      <c r="AD237" s="25">
        <f>IF(B237="","",IF(AE237="","",B237-AE237))</f>
        <v>0</v>
      </c>
      <c r="AF237" s="38">
        <f>IF(B237="","",IF(M237&lt;&gt;"Completed","",IF(E237="","No",IF(COUNTIFS(Appointments!$E$5:$E$1204,E237,Appointments!$B$5:$B$1204,"&gt;"&amp;B237,Appointments!$M$5:$M$1204,"&lt;&gt;Cancelled")&gt;0,"Yes","No"))))</f>
        <v>0</v>
      </c>
      <c r="AG237" s="38">
        <f>IF(B237="","",IF(I237="","",IF(D237="","",IF(COUNTIFS($I$5:$I$1204,I237,$B$5:$B$1204,B237,$D$5:$D$1204,"&lt;"&amp;V237,$V$5:$V$1204,"&gt;"&amp;D237,$M$5:$M$1204,"&lt;&gt;Cancelled")&gt;1,"Clash",""))))</f>
        <v>0</v>
      </c>
      <c r="AH237" s="39">
        <f>IF(B237="","",IF(AG237="Clash","Clash - stylist double booked",IF(I237="","Assign - no stylist yet",IF(G237="","Add - no service chosen",IF(M237="No show","No show - charge the fee?",IF(M237="Cancelled","",IF(IF(M237="Completed",AB237&lt;Y237-0.004,FALSE),"Unpaid - nothing rung up for this visit",IF(IF(B237&lt;TodayDate,M237="Booked",FALSE),"Overdue - past date, still only Booked",IF(IF(B237=TodayDate,TRUE,FALSE),"Today",IF(IF(Z237&gt;0,AA237&lt;Z237-0.004,FALSE),"Due - deposit not taken",IF(IF(B237&gt;TodayDate,B237&lt;=TodayDate+2,FALSE),"Confirm - coming up","OK")))))))))))</f>
        <v>0</v>
      </c>
    </row>
    <row r="238" spans="1:34">
      <c r="A238" s="28">
        <f>IF(B238="","",AppointmentPrefix&amp;TEXT(ROW()-4,"0000"))</f>
        <v>0</v>
      </c>
      <c r="C238" s="15">
        <f>IF(B238="","",TEXT(B238,"ddd"))</f>
        <v>0</v>
      </c>
      <c r="F238" s="15">
        <f>IF(E238="","",IFERROR(INDEX(Clients!$B$5:$B$504,MATCH(E238,Clients!$A$5:$A$504,0)),"Walk-in"))</f>
        <v>0</v>
      </c>
      <c r="H238" s="15">
        <f>IF(G238="","",IFERROR(INDEX(Services!$B$5:$B$204,MATCH(G238,Services!$A$5:$A$204,0)),"Not in Services"))</f>
        <v>0</v>
      </c>
      <c r="J238" s="15">
        <f>IF(I238="","",IFERROR(INDEX(Staff!$B$5:$B$44,MATCH(I238,Staff!$A$5:$A$44,0)),"Unassigned"))</f>
        <v>0</v>
      </c>
      <c r="S238" s="15">
        <f>IF(B238="","",TEXT(B238,"yyyy-mm"))</f>
        <v>0</v>
      </c>
      <c r="T238" s="25">
        <f>IF(B238="","",WEEKNUM(B238,2))</f>
        <v>0</v>
      </c>
      <c r="U238" s="25">
        <f>IF(B238="","",IF(K238&lt;&gt;"",K238,IFERROR(INDEX(Services!$E$5:$E$204,MATCH(G238,Services!$A$5:$A$204,0))*1,0)+IFERROR(INDEX(Services!$F$5:$F$204,MATCH(G238,Services!$A$5:$A$204,0))*1,0)))</f>
        <v>0</v>
      </c>
      <c r="V238" s="36">
        <f>IF(B238="","",IF(D238="","",D238+U238/1440))</f>
        <v>0</v>
      </c>
      <c r="W238" s="25">
        <f>IF(B238="","",IF(D238="","",HOUR(D238)))</f>
        <v>0</v>
      </c>
      <c r="X238" s="37">
        <f>IF(B238="","",ROUND(U238/60,2))</f>
        <v>0</v>
      </c>
      <c r="Y238" s="26">
        <f>IF(B238="","",IF(L238&lt;&gt;"",L238,IFERROR(INDEX(Services!$G$5:$G$204,MATCH(G238,Services!$A$5:$A$204,0))*1,0)))</f>
        <v>0</v>
      </c>
      <c r="Z238" s="26">
        <f>IF(B238="","",IF(O238&lt;&gt;"",O238,IF(Y238&gt;=DepositThreshold,ROUND(Y238*DepositPercent,2),0)))</f>
        <v>0</v>
      </c>
      <c r="AA238" s="26">
        <f>IF(B238="","",ROUND(SUMIFS(Payments!$G$5:$G$1204,Payments!$I$5:$I$1204,A238,Payments!$E$5:$E$1204,"Deposit"),2))</f>
        <v>0</v>
      </c>
      <c r="AB238" s="26">
        <f>IF(B238="","",ROUND(SUMIFS(Sales!$Y$5:$Y$1204,Sales!$C$5:$C$1204,A238),2))</f>
        <v>0</v>
      </c>
      <c r="AC238" s="38">
        <f>IF(B238="","",IF(M238="Completed","Yes",IF(M238="Cancelled","Yes",IF(M238="No show","Yes","No"))))</f>
        <v>0</v>
      </c>
      <c r="AD238" s="25">
        <f>IF(B238="","",IF(AE238="","",B238-AE238))</f>
        <v>0</v>
      </c>
      <c r="AF238" s="38">
        <f>IF(B238="","",IF(M238&lt;&gt;"Completed","",IF(E238="","No",IF(COUNTIFS(Appointments!$E$5:$E$1204,E238,Appointments!$B$5:$B$1204,"&gt;"&amp;B238,Appointments!$M$5:$M$1204,"&lt;&gt;Cancelled")&gt;0,"Yes","No"))))</f>
        <v>0</v>
      </c>
      <c r="AG238" s="38">
        <f>IF(B238="","",IF(I238="","",IF(D238="","",IF(COUNTIFS($I$5:$I$1204,I238,$B$5:$B$1204,B238,$D$5:$D$1204,"&lt;"&amp;V238,$V$5:$V$1204,"&gt;"&amp;D238,$M$5:$M$1204,"&lt;&gt;Cancelled")&gt;1,"Clash",""))))</f>
        <v>0</v>
      </c>
      <c r="AH238" s="39">
        <f>IF(B238="","",IF(AG238="Clash","Clash - stylist double booked",IF(I238="","Assign - no stylist yet",IF(G238="","Add - no service chosen",IF(M238="No show","No show - charge the fee?",IF(M238="Cancelled","",IF(IF(M238="Completed",AB238&lt;Y238-0.004,FALSE),"Unpaid - nothing rung up for this visit",IF(IF(B238&lt;TodayDate,M238="Booked",FALSE),"Overdue - past date, still only Booked",IF(IF(B238=TodayDate,TRUE,FALSE),"Today",IF(IF(Z238&gt;0,AA238&lt;Z238-0.004,FALSE),"Due - deposit not taken",IF(IF(B238&gt;TodayDate,B238&lt;=TodayDate+2,FALSE),"Confirm - coming up","OK")))))))))))</f>
        <v>0</v>
      </c>
    </row>
    <row r="239" spans="1:34">
      <c r="A239" s="28">
        <f>IF(B239="","",AppointmentPrefix&amp;TEXT(ROW()-4,"0000"))</f>
        <v>0</v>
      </c>
      <c r="C239" s="15">
        <f>IF(B239="","",TEXT(B239,"ddd"))</f>
        <v>0</v>
      </c>
      <c r="F239" s="15">
        <f>IF(E239="","",IFERROR(INDEX(Clients!$B$5:$B$504,MATCH(E239,Clients!$A$5:$A$504,0)),"Walk-in"))</f>
        <v>0</v>
      </c>
      <c r="H239" s="15">
        <f>IF(G239="","",IFERROR(INDEX(Services!$B$5:$B$204,MATCH(G239,Services!$A$5:$A$204,0)),"Not in Services"))</f>
        <v>0</v>
      </c>
      <c r="J239" s="15">
        <f>IF(I239="","",IFERROR(INDEX(Staff!$B$5:$B$44,MATCH(I239,Staff!$A$5:$A$44,0)),"Unassigned"))</f>
        <v>0</v>
      </c>
      <c r="S239" s="15">
        <f>IF(B239="","",TEXT(B239,"yyyy-mm"))</f>
        <v>0</v>
      </c>
      <c r="T239" s="25">
        <f>IF(B239="","",WEEKNUM(B239,2))</f>
        <v>0</v>
      </c>
      <c r="U239" s="25">
        <f>IF(B239="","",IF(K239&lt;&gt;"",K239,IFERROR(INDEX(Services!$E$5:$E$204,MATCH(G239,Services!$A$5:$A$204,0))*1,0)+IFERROR(INDEX(Services!$F$5:$F$204,MATCH(G239,Services!$A$5:$A$204,0))*1,0)))</f>
        <v>0</v>
      </c>
      <c r="V239" s="36">
        <f>IF(B239="","",IF(D239="","",D239+U239/1440))</f>
        <v>0</v>
      </c>
      <c r="W239" s="25">
        <f>IF(B239="","",IF(D239="","",HOUR(D239)))</f>
        <v>0</v>
      </c>
      <c r="X239" s="37">
        <f>IF(B239="","",ROUND(U239/60,2))</f>
        <v>0</v>
      </c>
      <c r="Y239" s="26">
        <f>IF(B239="","",IF(L239&lt;&gt;"",L239,IFERROR(INDEX(Services!$G$5:$G$204,MATCH(G239,Services!$A$5:$A$204,0))*1,0)))</f>
        <v>0</v>
      </c>
      <c r="Z239" s="26">
        <f>IF(B239="","",IF(O239&lt;&gt;"",O239,IF(Y239&gt;=DepositThreshold,ROUND(Y239*DepositPercent,2),0)))</f>
        <v>0</v>
      </c>
      <c r="AA239" s="26">
        <f>IF(B239="","",ROUND(SUMIFS(Payments!$G$5:$G$1204,Payments!$I$5:$I$1204,A239,Payments!$E$5:$E$1204,"Deposit"),2))</f>
        <v>0</v>
      </c>
      <c r="AB239" s="26">
        <f>IF(B239="","",ROUND(SUMIFS(Sales!$Y$5:$Y$1204,Sales!$C$5:$C$1204,A239),2))</f>
        <v>0</v>
      </c>
      <c r="AC239" s="38">
        <f>IF(B239="","",IF(M239="Completed","Yes",IF(M239="Cancelled","Yes",IF(M239="No show","Yes","No"))))</f>
        <v>0</v>
      </c>
      <c r="AD239" s="25">
        <f>IF(B239="","",IF(AE239="","",B239-AE239))</f>
        <v>0</v>
      </c>
      <c r="AF239" s="38">
        <f>IF(B239="","",IF(M239&lt;&gt;"Completed","",IF(E239="","No",IF(COUNTIFS(Appointments!$E$5:$E$1204,E239,Appointments!$B$5:$B$1204,"&gt;"&amp;B239,Appointments!$M$5:$M$1204,"&lt;&gt;Cancelled")&gt;0,"Yes","No"))))</f>
        <v>0</v>
      </c>
      <c r="AG239" s="38">
        <f>IF(B239="","",IF(I239="","",IF(D239="","",IF(COUNTIFS($I$5:$I$1204,I239,$B$5:$B$1204,B239,$D$5:$D$1204,"&lt;"&amp;V239,$V$5:$V$1204,"&gt;"&amp;D239,$M$5:$M$1204,"&lt;&gt;Cancelled")&gt;1,"Clash",""))))</f>
        <v>0</v>
      </c>
      <c r="AH239" s="39">
        <f>IF(B239="","",IF(AG239="Clash","Clash - stylist double booked",IF(I239="","Assign - no stylist yet",IF(G239="","Add - no service chosen",IF(M239="No show","No show - charge the fee?",IF(M239="Cancelled","",IF(IF(M239="Completed",AB239&lt;Y239-0.004,FALSE),"Unpaid - nothing rung up for this visit",IF(IF(B239&lt;TodayDate,M239="Booked",FALSE),"Overdue - past date, still only Booked",IF(IF(B239=TodayDate,TRUE,FALSE),"Today",IF(IF(Z239&gt;0,AA239&lt;Z239-0.004,FALSE),"Due - deposit not taken",IF(IF(B239&gt;TodayDate,B239&lt;=TodayDate+2,FALSE),"Confirm - coming up","OK")))))))))))</f>
        <v>0</v>
      </c>
    </row>
    <row r="240" spans="1:34">
      <c r="A240" s="28">
        <f>IF(B240="","",AppointmentPrefix&amp;TEXT(ROW()-4,"0000"))</f>
        <v>0</v>
      </c>
      <c r="C240" s="15">
        <f>IF(B240="","",TEXT(B240,"ddd"))</f>
        <v>0</v>
      </c>
      <c r="F240" s="15">
        <f>IF(E240="","",IFERROR(INDEX(Clients!$B$5:$B$504,MATCH(E240,Clients!$A$5:$A$504,0)),"Walk-in"))</f>
        <v>0</v>
      </c>
      <c r="H240" s="15">
        <f>IF(G240="","",IFERROR(INDEX(Services!$B$5:$B$204,MATCH(G240,Services!$A$5:$A$204,0)),"Not in Services"))</f>
        <v>0</v>
      </c>
      <c r="J240" s="15">
        <f>IF(I240="","",IFERROR(INDEX(Staff!$B$5:$B$44,MATCH(I240,Staff!$A$5:$A$44,0)),"Unassigned"))</f>
        <v>0</v>
      </c>
      <c r="S240" s="15">
        <f>IF(B240="","",TEXT(B240,"yyyy-mm"))</f>
        <v>0</v>
      </c>
      <c r="T240" s="25">
        <f>IF(B240="","",WEEKNUM(B240,2))</f>
        <v>0</v>
      </c>
      <c r="U240" s="25">
        <f>IF(B240="","",IF(K240&lt;&gt;"",K240,IFERROR(INDEX(Services!$E$5:$E$204,MATCH(G240,Services!$A$5:$A$204,0))*1,0)+IFERROR(INDEX(Services!$F$5:$F$204,MATCH(G240,Services!$A$5:$A$204,0))*1,0)))</f>
        <v>0</v>
      </c>
      <c r="V240" s="36">
        <f>IF(B240="","",IF(D240="","",D240+U240/1440))</f>
        <v>0</v>
      </c>
      <c r="W240" s="25">
        <f>IF(B240="","",IF(D240="","",HOUR(D240)))</f>
        <v>0</v>
      </c>
      <c r="X240" s="37">
        <f>IF(B240="","",ROUND(U240/60,2))</f>
        <v>0</v>
      </c>
      <c r="Y240" s="26">
        <f>IF(B240="","",IF(L240&lt;&gt;"",L240,IFERROR(INDEX(Services!$G$5:$G$204,MATCH(G240,Services!$A$5:$A$204,0))*1,0)))</f>
        <v>0</v>
      </c>
      <c r="Z240" s="26">
        <f>IF(B240="","",IF(O240&lt;&gt;"",O240,IF(Y240&gt;=DepositThreshold,ROUND(Y240*DepositPercent,2),0)))</f>
        <v>0</v>
      </c>
      <c r="AA240" s="26">
        <f>IF(B240="","",ROUND(SUMIFS(Payments!$G$5:$G$1204,Payments!$I$5:$I$1204,A240,Payments!$E$5:$E$1204,"Deposit"),2))</f>
        <v>0</v>
      </c>
      <c r="AB240" s="26">
        <f>IF(B240="","",ROUND(SUMIFS(Sales!$Y$5:$Y$1204,Sales!$C$5:$C$1204,A240),2))</f>
        <v>0</v>
      </c>
      <c r="AC240" s="38">
        <f>IF(B240="","",IF(M240="Completed","Yes",IF(M240="Cancelled","Yes",IF(M240="No show","Yes","No"))))</f>
        <v>0</v>
      </c>
      <c r="AD240" s="25">
        <f>IF(B240="","",IF(AE240="","",B240-AE240))</f>
        <v>0</v>
      </c>
      <c r="AF240" s="38">
        <f>IF(B240="","",IF(M240&lt;&gt;"Completed","",IF(E240="","No",IF(COUNTIFS(Appointments!$E$5:$E$1204,E240,Appointments!$B$5:$B$1204,"&gt;"&amp;B240,Appointments!$M$5:$M$1204,"&lt;&gt;Cancelled")&gt;0,"Yes","No"))))</f>
        <v>0</v>
      </c>
      <c r="AG240" s="38">
        <f>IF(B240="","",IF(I240="","",IF(D240="","",IF(COUNTIFS($I$5:$I$1204,I240,$B$5:$B$1204,B240,$D$5:$D$1204,"&lt;"&amp;V240,$V$5:$V$1204,"&gt;"&amp;D240,$M$5:$M$1204,"&lt;&gt;Cancelled")&gt;1,"Clash",""))))</f>
        <v>0</v>
      </c>
      <c r="AH240" s="39">
        <f>IF(B240="","",IF(AG240="Clash","Clash - stylist double booked",IF(I240="","Assign - no stylist yet",IF(G240="","Add - no service chosen",IF(M240="No show","No show - charge the fee?",IF(M240="Cancelled","",IF(IF(M240="Completed",AB240&lt;Y240-0.004,FALSE),"Unpaid - nothing rung up for this visit",IF(IF(B240&lt;TodayDate,M240="Booked",FALSE),"Overdue - past date, still only Booked",IF(IF(B240=TodayDate,TRUE,FALSE),"Today",IF(IF(Z240&gt;0,AA240&lt;Z240-0.004,FALSE),"Due - deposit not taken",IF(IF(B240&gt;TodayDate,B240&lt;=TodayDate+2,FALSE),"Confirm - coming up","OK")))))))))))</f>
        <v>0</v>
      </c>
    </row>
    <row r="241" spans="1:34">
      <c r="A241" s="28">
        <f>IF(B241="","",AppointmentPrefix&amp;TEXT(ROW()-4,"0000"))</f>
        <v>0</v>
      </c>
      <c r="C241" s="15">
        <f>IF(B241="","",TEXT(B241,"ddd"))</f>
        <v>0</v>
      </c>
      <c r="F241" s="15">
        <f>IF(E241="","",IFERROR(INDEX(Clients!$B$5:$B$504,MATCH(E241,Clients!$A$5:$A$504,0)),"Walk-in"))</f>
        <v>0</v>
      </c>
      <c r="H241" s="15">
        <f>IF(G241="","",IFERROR(INDEX(Services!$B$5:$B$204,MATCH(G241,Services!$A$5:$A$204,0)),"Not in Services"))</f>
        <v>0</v>
      </c>
      <c r="J241" s="15">
        <f>IF(I241="","",IFERROR(INDEX(Staff!$B$5:$B$44,MATCH(I241,Staff!$A$5:$A$44,0)),"Unassigned"))</f>
        <v>0</v>
      </c>
      <c r="S241" s="15">
        <f>IF(B241="","",TEXT(B241,"yyyy-mm"))</f>
        <v>0</v>
      </c>
      <c r="T241" s="25">
        <f>IF(B241="","",WEEKNUM(B241,2))</f>
        <v>0</v>
      </c>
      <c r="U241" s="25">
        <f>IF(B241="","",IF(K241&lt;&gt;"",K241,IFERROR(INDEX(Services!$E$5:$E$204,MATCH(G241,Services!$A$5:$A$204,0))*1,0)+IFERROR(INDEX(Services!$F$5:$F$204,MATCH(G241,Services!$A$5:$A$204,0))*1,0)))</f>
        <v>0</v>
      </c>
      <c r="V241" s="36">
        <f>IF(B241="","",IF(D241="","",D241+U241/1440))</f>
        <v>0</v>
      </c>
      <c r="W241" s="25">
        <f>IF(B241="","",IF(D241="","",HOUR(D241)))</f>
        <v>0</v>
      </c>
      <c r="X241" s="37">
        <f>IF(B241="","",ROUND(U241/60,2))</f>
        <v>0</v>
      </c>
      <c r="Y241" s="26">
        <f>IF(B241="","",IF(L241&lt;&gt;"",L241,IFERROR(INDEX(Services!$G$5:$G$204,MATCH(G241,Services!$A$5:$A$204,0))*1,0)))</f>
        <v>0</v>
      </c>
      <c r="Z241" s="26">
        <f>IF(B241="","",IF(O241&lt;&gt;"",O241,IF(Y241&gt;=DepositThreshold,ROUND(Y241*DepositPercent,2),0)))</f>
        <v>0</v>
      </c>
      <c r="AA241" s="26">
        <f>IF(B241="","",ROUND(SUMIFS(Payments!$G$5:$G$1204,Payments!$I$5:$I$1204,A241,Payments!$E$5:$E$1204,"Deposit"),2))</f>
        <v>0</v>
      </c>
      <c r="AB241" s="26">
        <f>IF(B241="","",ROUND(SUMIFS(Sales!$Y$5:$Y$1204,Sales!$C$5:$C$1204,A241),2))</f>
        <v>0</v>
      </c>
      <c r="AC241" s="38">
        <f>IF(B241="","",IF(M241="Completed","Yes",IF(M241="Cancelled","Yes",IF(M241="No show","Yes","No"))))</f>
        <v>0</v>
      </c>
      <c r="AD241" s="25">
        <f>IF(B241="","",IF(AE241="","",B241-AE241))</f>
        <v>0</v>
      </c>
      <c r="AF241" s="38">
        <f>IF(B241="","",IF(M241&lt;&gt;"Completed","",IF(E241="","No",IF(COUNTIFS(Appointments!$E$5:$E$1204,E241,Appointments!$B$5:$B$1204,"&gt;"&amp;B241,Appointments!$M$5:$M$1204,"&lt;&gt;Cancelled")&gt;0,"Yes","No"))))</f>
        <v>0</v>
      </c>
      <c r="AG241" s="38">
        <f>IF(B241="","",IF(I241="","",IF(D241="","",IF(COUNTIFS($I$5:$I$1204,I241,$B$5:$B$1204,B241,$D$5:$D$1204,"&lt;"&amp;V241,$V$5:$V$1204,"&gt;"&amp;D241,$M$5:$M$1204,"&lt;&gt;Cancelled")&gt;1,"Clash",""))))</f>
        <v>0</v>
      </c>
      <c r="AH241" s="39">
        <f>IF(B241="","",IF(AG241="Clash","Clash - stylist double booked",IF(I241="","Assign - no stylist yet",IF(G241="","Add - no service chosen",IF(M241="No show","No show - charge the fee?",IF(M241="Cancelled","",IF(IF(M241="Completed",AB241&lt;Y241-0.004,FALSE),"Unpaid - nothing rung up for this visit",IF(IF(B241&lt;TodayDate,M241="Booked",FALSE),"Overdue - past date, still only Booked",IF(IF(B241=TodayDate,TRUE,FALSE),"Today",IF(IF(Z241&gt;0,AA241&lt;Z241-0.004,FALSE),"Due - deposit not taken",IF(IF(B241&gt;TodayDate,B241&lt;=TodayDate+2,FALSE),"Confirm - coming up","OK")))))))))))</f>
        <v>0</v>
      </c>
    </row>
    <row r="242" spans="1:34">
      <c r="A242" s="28">
        <f>IF(B242="","",AppointmentPrefix&amp;TEXT(ROW()-4,"0000"))</f>
        <v>0</v>
      </c>
      <c r="C242" s="15">
        <f>IF(B242="","",TEXT(B242,"ddd"))</f>
        <v>0</v>
      </c>
      <c r="F242" s="15">
        <f>IF(E242="","",IFERROR(INDEX(Clients!$B$5:$B$504,MATCH(E242,Clients!$A$5:$A$504,0)),"Walk-in"))</f>
        <v>0</v>
      </c>
      <c r="H242" s="15">
        <f>IF(G242="","",IFERROR(INDEX(Services!$B$5:$B$204,MATCH(G242,Services!$A$5:$A$204,0)),"Not in Services"))</f>
        <v>0</v>
      </c>
      <c r="J242" s="15">
        <f>IF(I242="","",IFERROR(INDEX(Staff!$B$5:$B$44,MATCH(I242,Staff!$A$5:$A$44,0)),"Unassigned"))</f>
        <v>0</v>
      </c>
      <c r="S242" s="15">
        <f>IF(B242="","",TEXT(B242,"yyyy-mm"))</f>
        <v>0</v>
      </c>
      <c r="T242" s="25">
        <f>IF(B242="","",WEEKNUM(B242,2))</f>
        <v>0</v>
      </c>
      <c r="U242" s="25">
        <f>IF(B242="","",IF(K242&lt;&gt;"",K242,IFERROR(INDEX(Services!$E$5:$E$204,MATCH(G242,Services!$A$5:$A$204,0))*1,0)+IFERROR(INDEX(Services!$F$5:$F$204,MATCH(G242,Services!$A$5:$A$204,0))*1,0)))</f>
        <v>0</v>
      </c>
      <c r="V242" s="36">
        <f>IF(B242="","",IF(D242="","",D242+U242/1440))</f>
        <v>0</v>
      </c>
      <c r="W242" s="25">
        <f>IF(B242="","",IF(D242="","",HOUR(D242)))</f>
        <v>0</v>
      </c>
      <c r="X242" s="37">
        <f>IF(B242="","",ROUND(U242/60,2))</f>
        <v>0</v>
      </c>
      <c r="Y242" s="26">
        <f>IF(B242="","",IF(L242&lt;&gt;"",L242,IFERROR(INDEX(Services!$G$5:$G$204,MATCH(G242,Services!$A$5:$A$204,0))*1,0)))</f>
        <v>0</v>
      </c>
      <c r="Z242" s="26">
        <f>IF(B242="","",IF(O242&lt;&gt;"",O242,IF(Y242&gt;=DepositThreshold,ROUND(Y242*DepositPercent,2),0)))</f>
        <v>0</v>
      </c>
      <c r="AA242" s="26">
        <f>IF(B242="","",ROUND(SUMIFS(Payments!$G$5:$G$1204,Payments!$I$5:$I$1204,A242,Payments!$E$5:$E$1204,"Deposit"),2))</f>
        <v>0</v>
      </c>
      <c r="AB242" s="26">
        <f>IF(B242="","",ROUND(SUMIFS(Sales!$Y$5:$Y$1204,Sales!$C$5:$C$1204,A242),2))</f>
        <v>0</v>
      </c>
      <c r="AC242" s="38">
        <f>IF(B242="","",IF(M242="Completed","Yes",IF(M242="Cancelled","Yes",IF(M242="No show","Yes","No"))))</f>
        <v>0</v>
      </c>
      <c r="AD242" s="25">
        <f>IF(B242="","",IF(AE242="","",B242-AE242))</f>
        <v>0</v>
      </c>
      <c r="AF242" s="38">
        <f>IF(B242="","",IF(M242&lt;&gt;"Completed","",IF(E242="","No",IF(COUNTIFS(Appointments!$E$5:$E$1204,E242,Appointments!$B$5:$B$1204,"&gt;"&amp;B242,Appointments!$M$5:$M$1204,"&lt;&gt;Cancelled")&gt;0,"Yes","No"))))</f>
        <v>0</v>
      </c>
      <c r="AG242" s="38">
        <f>IF(B242="","",IF(I242="","",IF(D242="","",IF(COUNTIFS($I$5:$I$1204,I242,$B$5:$B$1204,B242,$D$5:$D$1204,"&lt;"&amp;V242,$V$5:$V$1204,"&gt;"&amp;D242,$M$5:$M$1204,"&lt;&gt;Cancelled")&gt;1,"Clash",""))))</f>
        <v>0</v>
      </c>
      <c r="AH242" s="39">
        <f>IF(B242="","",IF(AG242="Clash","Clash - stylist double booked",IF(I242="","Assign - no stylist yet",IF(G242="","Add - no service chosen",IF(M242="No show","No show - charge the fee?",IF(M242="Cancelled","",IF(IF(M242="Completed",AB242&lt;Y242-0.004,FALSE),"Unpaid - nothing rung up for this visit",IF(IF(B242&lt;TodayDate,M242="Booked",FALSE),"Overdue - past date, still only Booked",IF(IF(B242=TodayDate,TRUE,FALSE),"Today",IF(IF(Z242&gt;0,AA242&lt;Z242-0.004,FALSE),"Due - deposit not taken",IF(IF(B242&gt;TodayDate,B242&lt;=TodayDate+2,FALSE),"Confirm - coming up","OK")))))))))))</f>
        <v>0</v>
      </c>
    </row>
    <row r="243" spans="1:34">
      <c r="A243" s="28">
        <f>IF(B243="","",AppointmentPrefix&amp;TEXT(ROW()-4,"0000"))</f>
        <v>0</v>
      </c>
      <c r="C243" s="15">
        <f>IF(B243="","",TEXT(B243,"ddd"))</f>
        <v>0</v>
      </c>
      <c r="F243" s="15">
        <f>IF(E243="","",IFERROR(INDEX(Clients!$B$5:$B$504,MATCH(E243,Clients!$A$5:$A$504,0)),"Walk-in"))</f>
        <v>0</v>
      </c>
      <c r="H243" s="15">
        <f>IF(G243="","",IFERROR(INDEX(Services!$B$5:$B$204,MATCH(G243,Services!$A$5:$A$204,0)),"Not in Services"))</f>
        <v>0</v>
      </c>
      <c r="J243" s="15">
        <f>IF(I243="","",IFERROR(INDEX(Staff!$B$5:$B$44,MATCH(I243,Staff!$A$5:$A$44,0)),"Unassigned"))</f>
        <v>0</v>
      </c>
      <c r="S243" s="15">
        <f>IF(B243="","",TEXT(B243,"yyyy-mm"))</f>
        <v>0</v>
      </c>
      <c r="T243" s="25">
        <f>IF(B243="","",WEEKNUM(B243,2))</f>
        <v>0</v>
      </c>
      <c r="U243" s="25">
        <f>IF(B243="","",IF(K243&lt;&gt;"",K243,IFERROR(INDEX(Services!$E$5:$E$204,MATCH(G243,Services!$A$5:$A$204,0))*1,0)+IFERROR(INDEX(Services!$F$5:$F$204,MATCH(G243,Services!$A$5:$A$204,0))*1,0)))</f>
        <v>0</v>
      </c>
      <c r="V243" s="36">
        <f>IF(B243="","",IF(D243="","",D243+U243/1440))</f>
        <v>0</v>
      </c>
      <c r="W243" s="25">
        <f>IF(B243="","",IF(D243="","",HOUR(D243)))</f>
        <v>0</v>
      </c>
      <c r="X243" s="37">
        <f>IF(B243="","",ROUND(U243/60,2))</f>
        <v>0</v>
      </c>
      <c r="Y243" s="26">
        <f>IF(B243="","",IF(L243&lt;&gt;"",L243,IFERROR(INDEX(Services!$G$5:$G$204,MATCH(G243,Services!$A$5:$A$204,0))*1,0)))</f>
        <v>0</v>
      </c>
      <c r="Z243" s="26">
        <f>IF(B243="","",IF(O243&lt;&gt;"",O243,IF(Y243&gt;=DepositThreshold,ROUND(Y243*DepositPercent,2),0)))</f>
        <v>0</v>
      </c>
      <c r="AA243" s="26">
        <f>IF(B243="","",ROUND(SUMIFS(Payments!$G$5:$G$1204,Payments!$I$5:$I$1204,A243,Payments!$E$5:$E$1204,"Deposit"),2))</f>
        <v>0</v>
      </c>
      <c r="AB243" s="26">
        <f>IF(B243="","",ROUND(SUMIFS(Sales!$Y$5:$Y$1204,Sales!$C$5:$C$1204,A243),2))</f>
        <v>0</v>
      </c>
      <c r="AC243" s="38">
        <f>IF(B243="","",IF(M243="Completed","Yes",IF(M243="Cancelled","Yes",IF(M243="No show","Yes","No"))))</f>
        <v>0</v>
      </c>
      <c r="AD243" s="25">
        <f>IF(B243="","",IF(AE243="","",B243-AE243))</f>
        <v>0</v>
      </c>
      <c r="AF243" s="38">
        <f>IF(B243="","",IF(M243&lt;&gt;"Completed","",IF(E243="","No",IF(COUNTIFS(Appointments!$E$5:$E$1204,E243,Appointments!$B$5:$B$1204,"&gt;"&amp;B243,Appointments!$M$5:$M$1204,"&lt;&gt;Cancelled")&gt;0,"Yes","No"))))</f>
        <v>0</v>
      </c>
      <c r="AG243" s="38">
        <f>IF(B243="","",IF(I243="","",IF(D243="","",IF(COUNTIFS($I$5:$I$1204,I243,$B$5:$B$1204,B243,$D$5:$D$1204,"&lt;"&amp;V243,$V$5:$V$1204,"&gt;"&amp;D243,$M$5:$M$1204,"&lt;&gt;Cancelled")&gt;1,"Clash",""))))</f>
        <v>0</v>
      </c>
      <c r="AH243" s="39">
        <f>IF(B243="","",IF(AG243="Clash","Clash - stylist double booked",IF(I243="","Assign - no stylist yet",IF(G243="","Add - no service chosen",IF(M243="No show","No show - charge the fee?",IF(M243="Cancelled","",IF(IF(M243="Completed",AB243&lt;Y243-0.004,FALSE),"Unpaid - nothing rung up for this visit",IF(IF(B243&lt;TodayDate,M243="Booked",FALSE),"Overdue - past date, still only Booked",IF(IF(B243=TodayDate,TRUE,FALSE),"Today",IF(IF(Z243&gt;0,AA243&lt;Z243-0.004,FALSE),"Due - deposit not taken",IF(IF(B243&gt;TodayDate,B243&lt;=TodayDate+2,FALSE),"Confirm - coming up","OK")))))))))))</f>
        <v>0</v>
      </c>
    </row>
    <row r="244" spans="1:34">
      <c r="A244" s="28">
        <f>IF(B244="","",AppointmentPrefix&amp;TEXT(ROW()-4,"0000"))</f>
        <v>0</v>
      </c>
      <c r="C244" s="15">
        <f>IF(B244="","",TEXT(B244,"ddd"))</f>
        <v>0</v>
      </c>
      <c r="F244" s="15">
        <f>IF(E244="","",IFERROR(INDEX(Clients!$B$5:$B$504,MATCH(E244,Clients!$A$5:$A$504,0)),"Walk-in"))</f>
        <v>0</v>
      </c>
      <c r="H244" s="15">
        <f>IF(G244="","",IFERROR(INDEX(Services!$B$5:$B$204,MATCH(G244,Services!$A$5:$A$204,0)),"Not in Services"))</f>
        <v>0</v>
      </c>
      <c r="J244" s="15">
        <f>IF(I244="","",IFERROR(INDEX(Staff!$B$5:$B$44,MATCH(I244,Staff!$A$5:$A$44,0)),"Unassigned"))</f>
        <v>0</v>
      </c>
      <c r="S244" s="15">
        <f>IF(B244="","",TEXT(B244,"yyyy-mm"))</f>
        <v>0</v>
      </c>
      <c r="T244" s="25">
        <f>IF(B244="","",WEEKNUM(B244,2))</f>
        <v>0</v>
      </c>
      <c r="U244" s="25">
        <f>IF(B244="","",IF(K244&lt;&gt;"",K244,IFERROR(INDEX(Services!$E$5:$E$204,MATCH(G244,Services!$A$5:$A$204,0))*1,0)+IFERROR(INDEX(Services!$F$5:$F$204,MATCH(G244,Services!$A$5:$A$204,0))*1,0)))</f>
        <v>0</v>
      </c>
      <c r="V244" s="36">
        <f>IF(B244="","",IF(D244="","",D244+U244/1440))</f>
        <v>0</v>
      </c>
      <c r="W244" s="25">
        <f>IF(B244="","",IF(D244="","",HOUR(D244)))</f>
        <v>0</v>
      </c>
      <c r="X244" s="37">
        <f>IF(B244="","",ROUND(U244/60,2))</f>
        <v>0</v>
      </c>
      <c r="Y244" s="26">
        <f>IF(B244="","",IF(L244&lt;&gt;"",L244,IFERROR(INDEX(Services!$G$5:$G$204,MATCH(G244,Services!$A$5:$A$204,0))*1,0)))</f>
        <v>0</v>
      </c>
      <c r="Z244" s="26">
        <f>IF(B244="","",IF(O244&lt;&gt;"",O244,IF(Y244&gt;=DepositThreshold,ROUND(Y244*DepositPercent,2),0)))</f>
        <v>0</v>
      </c>
      <c r="AA244" s="26">
        <f>IF(B244="","",ROUND(SUMIFS(Payments!$G$5:$G$1204,Payments!$I$5:$I$1204,A244,Payments!$E$5:$E$1204,"Deposit"),2))</f>
        <v>0</v>
      </c>
      <c r="AB244" s="26">
        <f>IF(B244="","",ROUND(SUMIFS(Sales!$Y$5:$Y$1204,Sales!$C$5:$C$1204,A244),2))</f>
        <v>0</v>
      </c>
      <c r="AC244" s="38">
        <f>IF(B244="","",IF(M244="Completed","Yes",IF(M244="Cancelled","Yes",IF(M244="No show","Yes","No"))))</f>
        <v>0</v>
      </c>
      <c r="AD244" s="25">
        <f>IF(B244="","",IF(AE244="","",B244-AE244))</f>
        <v>0</v>
      </c>
      <c r="AF244" s="38">
        <f>IF(B244="","",IF(M244&lt;&gt;"Completed","",IF(E244="","No",IF(COUNTIFS(Appointments!$E$5:$E$1204,E244,Appointments!$B$5:$B$1204,"&gt;"&amp;B244,Appointments!$M$5:$M$1204,"&lt;&gt;Cancelled")&gt;0,"Yes","No"))))</f>
        <v>0</v>
      </c>
      <c r="AG244" s="38">
        <f>IF(B244="","",IF(I244="","",IF(D244="","",IF(COUNTIFS($I$5:$I$1204,I244,$B$5:$B$1204,B244,$D$5:$D$1204,"&lt;"&amp;V244,$V$5:$V$1204,"&gt;"&amp;D244,$M$5:$M$1204,"&lt;&gt;Cancelled")&gt;1,"Clash",""))))</f>
        <v>0</v>
      </c>
      <c r="AH244" s="39">
        <f>IF(B244="","",IF(AG244="Clash","Clash - stylist double booked",IF(I244="","Assign - no stylist yet",IF(G244="","Add - no service chosen",IF(M244="No show","No show - charge the fee?",IF(M244="Cancelled","",IF(IF(M244="Completed",AB244&lt;Y244-0.004,FALSE),"Unpaid - nothing rung up for this visit",IF(IF(B244&lt;TodayDate,M244="Booked",FALSE),"Overdue - past date, still only Booked",IF(IF(B244=TodayDate,TRUE,FALSE),"Today",IF(IF(Z244&gt;0,AA244&lt;Z244-0.004,FALSE),"Due - deposit not taken",IF(IF(B244&gt;TodayDate,B244&lt;=TodayDate+2,FALSE),"Confirm - coming up","OK")))))))))))</f>
        <v>0</v>
      </c>
    </row>
    <row r="245" spans="1:34">
      <c r="A245" s="28">
        <f>IF(B245="","",AppointmentPrefix&amp;TEXT(ROW()-4,"0000"))</f>
        <v>0</v>
      </c>
      <c r="C245" s="15">
        <f>IF(B245="","",TEXT(B245,"ddd"))</f>
        <v>0</v>
      </c>
      <c r="F245" s="15">
        <f>IF(E245="","",IFERROR(INDEX(Clients!$B$5:$B$504,MATCH(E245,Clients!$A$5:$A$504,0)),"Walk-in"))</f>
        <v>0</v>
      </c>
      <c r="H245" s="15">
        <f>IF(G245="","",IFERROR(INDEX(Services!$B$5:$B$204,MATCH(G245,Services!$A$5:$A$204,0)),"Not in Services"))</f>
        <v>0</v>
      </c>
      <c r="J245" s="15">
        <f>IF(I245="","",IFERROR(INDEX(Staff!$B$5:$B$44,MATCH(I245,Staff!$A$5:$A$44,0)),"Unassigned"))</f>
        <v>0</v>
      </c>
      <c r="S245" s="15">
        <f>IF(B245="","",TEXT(B245,"yyyy-mm"))</f>
        <v>0</v>
      </c>
      <c r="T245" s="25">
        <f>IF(B245="","",WEEKNUM(B245,2))</f>
        <v>0</v>
      </c>
      <c r="U245" s="25">
        <f>IF(B245="","",IF(K245&lt;&gt;"",K245,IFERROR(INDEX(Services!$E$5:$E$204,MATCH(G245,Services!$A$5:$A$204,0))*1,0)+IFERROR(INDEX(Services!$F$5:$F$204,MATCH(G245,Services!$A$5:$A$204,0))*1,0)))</f>
        <v>0</v>
      </c>
      <c r="V245" s="36">
        <f>IF(B245="","",IF(D245="","",D245+U245/1440))</f>
        <v>0</v>
      </c>
      <c r="W245" s="25">
        <f>IF(B245="","",IF(D245="","",HOUR(D245)))</f>
        <v>0</v>
      </c>
      <c r="X245" s="37">
        <f>IF(B245="","",ROUND(U245/60,2))</f>
        <v>0</v>
      </c>
      <c r="Y245" s="26">
        <f>IF(B245="","",IF(L245&lt;&gt;"",L245,IFERROR(INDEX(Services!$G$5:$G$204,MATCH(G245,Services!$A$5:$A$204,0))*1,0)))</f>
        <v>0</v>
      </c>
      <c r="Z245" s="26">
        <f>IF(B245="","",IF(O245&lt;&gt;"",O245,IF(Y245&gt;=DepositThreshold,ROUND(Y245*DepositPercent,2),0)))</f>
        <v>0</v>
      </c>
      <c r="AA245" s="26">
        <f>IF(B245="","",ROUND(SUMIFS(Payments!$G$5:$G$1204,Payments!$I$5:$I$1204,A245,Payments!$E$5:$E$1204,"Deposit"),2))</f>
        <v>0</v>
      </c>
      <c r="AB245" s="26">
        <f>IF(B245="","",ROUND(SUMIFS(Sales!$Y$5:$Y$1204,Sales!$C$5:$C$1204,A245),2))</f>
        <v>0</v>
      </c>
      <c r="AC245" s="38">
        <f>IF(B245="","",IF(M245="Completed","Yes",IF(M245="Cancelled","Yes",IF(M245="No show","Yes","No"))))</f>
        <v>0</v>
      </c>
      <c r="AD245" s="25">
        <f>IF(B245="","",IF(AE245="","",B245-AE245))</f>
        <v>0</v>
      </c>
      <c r="AF245" s="38">
        <f>IF(B245="","",IF(M245&lt;&gt;"Completed","",IF(E245="","No",IF(COUNTIFS(Appointments!$E$5:$E$1204,E245,Appointments!$B$5:$B$1204,"&gt;"&amp;B245,Appointments!$M$5:$M$1204,"&lt;&gt;Cancelled")&gt;0,"Yes","No"))))</f>
        <v>0</v>
      </c>
      <c r="AG245" s="38">
        <f>IF(B245="","",IF(I245="","",IF(D245="","",IF(COUNTIFS($I$5:$I$1204,I245,$B$5:$B$1204,B245,$D$5:$D$1204,"&lt;"&amp;V245,$V$5:$V$1204,"&gt;"&amp;D245,$M$5:$M$1204,"&lt;&gt;Cancelled")&gt;1,"Clash",""))))</f>
        <v>0</v>
      </c>
      <c r="AH245" s="39">
        <f>IF(B245="","",IF(AG245="Clash","Clash - stylist double booked",IF(I245="","Assign - no stylist yet",IF(G245="","Add - no service chosen",IF(M245="No show","No show - charge the fee?",IF(M245="Cancelled","",IF(IF(M245="Completed",AB245&lt;Y245-0.004,FALSE),"Unpaid - nothing rung up for this visit",IF(IF(B245&lt;TodayDate,M245="Booked",FALSE),"Overdue - past date, still only Booked",IF(IF(B245=TodayDate,TRUE,FALSE),"Today",IF(IF(Z245&gt;0,AA245&lt;Z245-0.004,FALSE),"Due - deposit not taken",IF(IF(B245&gt;TodayDate,B245&lt;=TodayDate+2,FALSE),"Confirm - coming up","OK")))))))))))</f>
        <v>0</v>
      </c>
    </row>
    <row r="246" spans="1:34">
      <c r="A246" s="28">
        <f>IF(B246="","",AppointmentPrefix&amp;TEXT(ROW()-4,"0000"))</f>
        <v>0</v>
      </c>
      <c r="C246" s="15">
        <f>IF(B246="","",TEXT(B246,"ddd"))</f>
        <v>0</v>
      </c>
      <c r="F246" s="15">
        <f>IF(E246="","",IFERROR(INDEX(Clients!$B$5:$B$504,MATCH(E246,Clients!$A$5:$A$504,0)),"Walk-in"))</f>
        <v>0</v>
      </c>
      <c r="H246" s="15">
        <f>IF(G246="","",IFERROR(INDEX(Services!$B$5:$B$204,MATCH(G246,Services!$A$5:$A$204,0)),"Not in Services"))</f>
        <v>0</v>
      </c>
      <c r="J246" s="15">
        <f>IF(I246="","",IFERROR(INDEX(Staff!$B$5:$B$44,MATCH(I246,Staff!$A$5:$A$44,0)),"Unassigned"))</f>
        <v>0</v>
      </c>
      <c r="S246" s="15">
        <f>IF(B246="","",TEXT(B246,"yyyy-mm"))</f>
        <v>0</v>
      </c>
      <c r="T246" s="25">
        <f>IF(B246="","",WEEKNUM(B246,2))</f>
        <v>0</v>
      </c>
      <c r="U246" s="25">
        <f>IF(B246="","",IF(K246&lt;&gt;"",K246,IFERROR(INDEX(Services!$E$5:$E$204,MATCH(G246,Services!$A$5:$A$204,0))*1,0)+IFERROR(INDEX(Services!$F$5:$F$204,MATCH(G246,Services!$A$5:$A$204,0))*1,0)))</f>
        <v>0</v>
      </c>
      <c r="V246" s="36">
        <f>IF(B246="","",IF(D246="","",D246+U246/1440))</f>
        <v>0</v>
      </c>
      <c r="W246" s="25">
        <f>IF(B246="","",IF(D246="","",HOUR(D246)))</f>
        <v>0</v>
      </c>
      <c r="X246" s="37">
        <f>IF(B246="","",ROUND(U246/60,2))</f>
        <v>0</v>
      </c>
      <c r="Y246" s="26">
        <f>IF(B246="","",IF(L246&lt;&gt;"",L246,IFERROR(INDEX(Services!$G$5:$G$204,MATCH(G246,Services!$A$5:$A$204,0))*1,0)))</f>
        <v>0</v>
      </c>
      <c r="Z246" s="26">
        <f>IF(B246="","",IF(O246&lt;&gt;"",O246,IF(Y246&gt;=DepositThreshold,ROUND(Y246*DepositPercent,2),0)))</f>
        <v>0</v>
      </c>
      <c r="AA246" s="26">
        <f>IF(B246="","",ROUND(SUMIFS(Payments!$G$5:$G$1204,Payments!$I$5:$I$1204,A246,Payments!$E$5:$E$1204,"Deposit"),2))</f>
        <v>0</v>
      </c>
      <c r="AB246" s="26">
        <f>IF(B246="","",ROUND(SUMIFS(Sales!$Y$5:$Y$1204,Sales!$C$5:$C$1204,A246),2))</f>
        <v>0</v>
      </c>
      <c r="AC246" s="38">
        <f>IF(B246="","",IF(M246="Completed","Yes",IF(M246="Cancelled","Yes",IF(M246="No show","Yes","No"))))</f>
        <v>0</v>
      </c>
      <c r="AD246" s="25">
        <f>IF(B246="","",IF(AE246="","",B246-AE246))</f>
        <v>0</v>
      </c>
      <c r="AF246" s="38">
        <f>IF(B246="","",IF(M246&lt;&gt;"Completed","",IF(E246="","No",IF(COUNTIFS(Appointments!$E$5:$E$1204,E246,Appointments!$B$5:$B$1204,"&gt;"&amp;B246,Appointments!$M$5:$M$1204,"&lt;&gt;Cancelled")&gt;0,"Yes","No"))))</f>
        <v>0</v>
      </c>
      <c r="AG246" s="38">
        <f>IF(B246="","",IF(I246="","",IF(D246="","",IF(COUNTIFS($I$5:$I$1204,I246,$B$5:$B$1204,B246,$D$5:$D$1204,"&lt;"&amp;V246,$V$5:$V$1204,"&gt;"&amp;D246,$M$5:$M$1204,"&lt;&gt;Cancelled")&gt;1,"Clash",""))))</f>
        <v>0</v>
      </c>
      <c r="AH246" s="39">
        <f>IF(B246="","",IF(AG246="Clash","Clash - stylist double booked",IF(I246="","Assign - no stylist yet",IF(G246="","Add - no service chosen",IF(M246="No show","No show - charge the fee?",IF(M246="Cancelled","",IF(IF(M246="Completed",AB246&lt;Y246-0.004,FALSE),"Unpaid - nothing rung up for this visit",IF(IF(B246&lt;TodayDate,M246="Booked",FALSE),"Overdue - past date, still only Booked",IF(IF(B246=TodayDate,TRUE,FALSE),"Today",IF(IF(Z246&gt;0,AA246&lt;Z246-0.004,FALSE),"Due - deposit not taken",IF(IF(B246&gt;TodayDate,B246&lt;=TodayDate+2,FALSE),"Confirm - coming up","OK")))))))))))</f>
        <v>0</v>
      </c>
    </row>
    <row r="247" spans="1:34">
      <c r="A247" s="28">
        <f>IF(B247="","",AppointmentPrefix&amp;TEXT(ROW()-4,"0000"))</f>
        <v>0</v>
      </c>
      <c r="C247" s="15">
        <f>IF(B247="","",TEXT(B247,"ddd"))</f>
        <v>0</v>
      </c>
      <c r="F247" s="15">
        <f>IF(E247="","",IFERROR(INDEX(Clients!$B$5:$B$504,MATCH(E247,Clients!$A$5:$A$504,0)),"Walk-in"))</f>
        <v>0</v>
      </c>
      <c r="H247" s="15">
        <f>IF(G247="","",IFERROR(INDEX(Services!$B$5:$B$204,MATCH(G247,Services!$A$5:$A$204,0)),"Not in Services"))</f>
        <v>0</v>
      </c>
      <c r="J247" s="15">
        <f>IF(I247="","",IFERROR(INDEX(Staff!$B$5:$B$44,MATCH(I247,Staff!$A$5:$A$44,0)),"Unassigned"))</f>
        <v>0</v>
      </c>
      <c r="S247" s="15">
        <f>IF(B247="","",TEXT(B247,"yyyy-mm"))</f>
        <v>0</v>
      </c>
      <c r="T247" s="25">
        <f>IF(B247="","",WEEKNUM(B247,2))</f>
        <v>0</v>
      </c>
      <c r="U247" s="25">
        <f>IF(B247="","",IF(K247&lt;&gt;"",K247,IFERROR(INDEX(Services!$E$5:$E$204,MATCH(G247,Services!$A$5:$A$204,0))*1,0)+IFERROR(INDEX(Services!$F$5:$F$204,MATCH(G247,Services!$A$5:$A$204,0))*1,0)))</f>
        <v>0</v>
      </c>
      <c r="V247" s="36">
        <f>IF(B247="","",IF(D247="","",D247+U247/1440))</f>
        <v>0</v>
      </c>
      <c r="W247" s="25">
        <f>IF(B247="","",IF(D247="","",HOUR(D247)))</f>
        <v>0</v>
      </c>
      <c r="X247" s="37">
        <f>IF(B247="","",ROUND(U247/60,2))</f>
        <v>0</v>
      </c>
      <c r="Y247" s="26">
        <f>IF(B247="","",IF(L247&lt;&gt;"",L247,IFERROR(INDEX(Services!$G$5:$G$204,MATCH(G247,Services!$A$5:$A$204,0))*1,0)))</f>
        <v>0</v>
      </c>
      <c r="Z247" s="26">
        <f>IF(B247="","",IF(O247&lt;&gt;"",O247,IF(Y247&gt;=DepositThreshold,ROUND(Y247*DepositPercent,2),0)))</f>
        <v>0</v>
      </c>
      <c r="AA247" s="26">
        <f>IF(B247="","",ROUND(SUMIFS(Payments!$G$5:$G$1204,Payments!$I$5:$I$1204,A247,Payments!$E$5:$E$1204,"Deposit"),2))</f>
        <v>0</v>
      </c>
      <c r="AB247" s="26">
        <f>IF(B247="","",ROUND(SUMIFS(Sales!$Y$5:$Y$1204,Sales!$C$5:$C$1204,A247),2))</f>
        <v>0</v>
      </c>
      <c r="AC247" s="38">
        <f>IF(B247="","",IF(M247="Completed","Yes",IF(M247="Cancelled","Yes",IF(M247="No show","Yes","No"))))</f>
        <v>0</v>
      </c>
      <c r="AD247" s="25">
        <f>IF(B247="","",IF(AE247="","",B247-AE247))</f>
        <v>0</v>
      </c>
      <c r="AF247" s="38">
        <f>IF(B247="","",IF(M247&lt;&gt;"Completed","",IF(E247="","No",IF(COUNTIFS(Appointments!$E$5:$E$1204,E247,Appointments!$B$5:$B$1204,"&gt;"&amp;B247,Appointments!$M$5:$M$1204,"&lt;&gt;Cancelled")&gt;0,"Yes","No"))))</f>
        <v>0</v>
      </c>
      <c r="AG247" s="38">
        <f>IF(B247="","",IF(I247="","",IF(D247="","",IF(COUNTIFS($I$5:$I$1204,I247,$B$5:$B$1204,B247,$D$5:$D$1204,"&lt;"&amp;V247,$V$5:$V$1204,"&gt;"&amp;D247,$M$5:$M$1204,"&lt;&gt;Cancelled")&gt;1,"Clash",""))))</f>
        <v>0</v>
      </c>
      <c r="AH247" s="39">
        <f>IF(B247="","",IF(AG247="Clash","Clash - stylist double booked",IF(I247="","Assign - no stylist yet",IF(G247="","Add - no service chosen",IF(M247="No show","No show - charge the fee?",IF(M247="Cancelled","",IF(IF(M247="Completed",AB247&lt;Y247-0.004,FALSE),"Unpaid - nothing rung up for this visit",IF(IF(B247&lt;TodayDate,M247="Booked",FALSE),"Overdue - past date, still only Booked",IF(IF(B247=TodayDate,TRUE,FALSE),"Today",IF(IF(Z247&gt;0,AA247&lt;Z247-0.004,FALSE),"Due - deposit not taken",IF(IF(B247&gt;TodayDate,B247&lt;=TodayDate+2,FALSE),"Confirm - coming up","OK")))))))))))</f>
        <v>0</v>
      </c>
    </row>
    <row r="248" spans="1:34">
      <c r="A248" s="28">
        <f>IF(B248="","",AppointmentPrefix&amp;TEXT(ROW()-4,"0000"))</f>
        <v>0</v>
      </c>
      <c r="C248" s="15">
        <f>IF(B248="","",TEXT(B248,"ddd"))</f>
        <v>0</v>
      </c>
      <c r="F248" s="15">
        <f>IF(E248="","",IFERROR(INDEX(Clients!$B$5:$B$504,MATCH(E248,Clients!$A$5:$A$504,0)),"Walk-in"))</f>
        <v>0</v>
      </c>
      <c r="H248" s="15">
        <f>IF(G248="","",IFERROR(INDEX(Services!$B$5:$B$204,MATCH(G248,Services!$A$5:$A$204,0)),"Not in Services"))</f>
        <v>0</v>
      </c>
      <c r="J248" s="15">
        <f>IF(I248="","",IFERROR(INDEX(Staff!$B$5:$B$44,MATCH(I248,Staff!$A$5:$A$44,0)),"Unassigned"))</f>
        <v>0</v>
      </c>
      <c r="S248" s="15">
        <f>IF(B248="","",TEXT(B248,"yyyy-mm"))</f>
        <v>0</v>
      </c>
      <c r="T248" s="25">
        <f>IF(B248="","",WEEKNUM(B248,2))</f>
        <v>0</v>
      </c>
      <c r="U248" s="25">
        <f>IF(B248="","",IF(K248&lt;&gt;"",K248,IFERROR(INDEX(Services!$E$5:$E$204,MATCH(G248,Services!$A$5:$A$204,0))*1,0)+IFERROR(INDEX(Services!$F$5:$F$204,MATCH(G248,Services!$A$5:$A$204,0))*1,0)))</f>
        <v>0</v>
      </c>
      <c r="V248" s="36">
        <f>IF(B248="","",IF(D248="","",D248+U248/1440))</f>
        <v>0</v>
      </c>
      <c r="W248" s="25">
        <f>IF(B248="","",IF(D248="","",HOUR(D248)))</f>
        <v>0</v>
      </c>
      <c r="X248" s="37">
        <f>IF(B248="","",ROUND(U248/60,2))</f>
        <v>0</v>
      </c>
      <c r="Y248" s="26">
        <f>IF(B248="","",IF(L248&lt;&gt;"",L248,IFERROR(INDEX(Services!$G$5:$G$204,MATCH(G248,Services!$A$5:$A$204,0))*1,0)))</f>
        <v>0</v>
      </c>
      <c r="Z248" s="26">
        <f>IF(B248="","",IF(O248&lt;&gt;"",O248,IF(Y248&gt;=DepositThreshold,ROUND(Y248*DepositPercent,2),0)))</f>
        <v>0</v>
      </c>
      <c r="AA248" s="26">
        <f>IF(B248="","",ROUND(SUMIFS(Payments!$G$5:$G$1204,Payments!$I$5:$I$1204,A248,Payments!$E$5:$E$1204,"Deposit"),2))</f>
        <v>0</v>
      </c>
      <c r="AB248" s="26">
        <f>IF(B248="","",ROUND(SUMIFS(Sales!$Y$5:$Y$1204,Sales!$C$5:$C$1204,A248),2))</f>
        <v>0</v>
      </c>
      <c r="AC248" s="38">
        <f>IF(B248="","",IF(M248="Completed","Yes",IF(M248="Cancelled","Yes",IF(M248="No show","Yes","No"))))</f>
        <v>0</v>
      </c>
      <c r="AD248" s="25">
        <f>IF(B248="","",IF(AE248="","",B248-AE248))</f>
        <v>0</v>
      </c>
      <c r="AF248" s="38">
        <f>IF(B248="","",IF(M248&lt;&gt;"Completed","",IF(E248="","No",IF(COUNTIFS(Appointments!$E$5:$E$1204,E248,Appointments!$B$5:$B$1204,"&gt;"&amp;B248,Appointments!$M$5:$M$1204,"&lt;&gt;Cancelled")&gt;0,"Yes","No"))))</f>
        <v>0</v>
      </c>
      <c r="AG248" s="38">
        <f>IF(B248="","",IF(I248="","",IF(D248="","",IF(COUNTIFS($I$5:$I$1204,I248,$B$5:$B$1204,B248,$D$5:$D$1204,"&lt;"&amp;V248,$V$5:$V$1204,"&gt;"&amp;D248,$M$5:$M$1204,"&lt;&gt;Cancelled")&gt;1,"Clash",""))))</f>
        <v>0</v>
      </c>
      <c r="AH248" s="39">
        <f>IF(B248="","",IF(AG248="Clash","Clash - stylist double booked",IF(I248="","Assign - no stylist yet",IF(G248="","Add - no service chosen",IF(M248="No show","No show - charge the fee?",IF(M248="Cancelled","",IF(IF(M248="Completed",AB248&lt;Y248-0.004,FALSE),"Unpaid - nothing rung up for this visit",IF(IF(B248&lt;TodayDate,M248="Booked",FALSE),"Overdue - past date, still only Booked",IF(IF(B248=TodayDate,TRUE,FALSE),"Today",IF(IF(Z248&gt;0,AA248&lt;Z248-0.004,FALSE),"Due - deposit not taken",IF(IF(B248&gt;TodayDate,B248&lt;=TodayDate+2,FALSE),"Confirm - coming up","OK")))))))))))</f>
        <v>0</v>
      </c>
    </row>
    <row r="249" spans="1:34">
      <c r="A249" s="28">
        <f>IF(B249="","",AppointmentPrefix&amp;TEXT(ROW()-4,"0000"))</f>
        <v>0</v>
      </c>
      <c r="C249" s="15">
        <f>IF(B249="","",TEXT(B249,"ddd"))</f>
        <v>0</v>
      </c>
      <c r="F249" s="15">
        <f>IF(E249="","",IFERROR(INDEX(Clients!$B$5:$B$504,MATCH(E249,Clients!$A$5:$A$504,0)),"Walk-in"))</f>
        <v>0</v>
      </c>
      <c r="H249" s="15">
        <f>IF(G249="","",IFERROR(INDEX(Services!$B$5:$B$204,MATCH(G249,Services!$A$5:$A$204,0)),"Not in Services"))</f>
        <v>0</v>
      </c>
      <c r="J249" s="15">
        <f>IF(I249="","",IFERROR(INDEX(Staff!$B$5:$B$44,MATCH(I249,Staff!$A$5:$A$44,0)),"Unassigned"))</f>
        <v>0</v>
      </c>
      <c r="S249" s="15">
        <f>IF(B249="","",TEXT(B249,"yyyy-mm"))</f>
        <v>0</v>
      </c>
      <c r="T249" s="25">
        <f>IF(B249="","",WEEKNUM(B249,2))</f>
        <v>0</v>
      </c>
      <c r="U249" s="25">
        <f>IF(B249="","",IF(K249&lt;&gt;"",K249,IFERROR(INDEX(Services!$E$5:$E$204,MATCH(G249,Services!$A$5:$A$204,0))*1,0)+IFERROR(INDEX(Services!$F$5:$F$204,MATCH(G249,Services!$A$5:$A$204,0))*1,0)))</f>
        <v>0</v>
      </c>
      <c r="V249" s="36">
        <f>IF(B249="","",IF(D249="","",D249+U249/1440))</f>
        <v>0</v>
      </c>
      <c r="W249" s="25">
        <f>IF(B249="","",IF(D249="","",HOUR(D249)))</f>
        <v>0</v>
      </c>
      <c r="X249" s="37">
        <f>IF(B249="","",ROUND(U249/60,2))</f>
        <v>0</v>
      </c>
      <c r="Y249" s="26">
        <f>IF(B249="","",IF(L249&lt;&gt;"",L249,IFERROR(INDEX(Services!$G$5:$G$204,MATCH(G249,Services!$A$5:$A$204,0))*1,0)))</f>
        <v>0</v>
      </c>
      <c r="Z249" s="26">
        <f>IF(B249="","",IF(O249&lt;&gt;"",O249,IF(Y249&gt;=DepositThreshold,ROUND(Y249*DepositPercent,2),0)))</f>
        <v>0</v>
      </c>
      <c r="AA249" s="26">
        <f>IF(B249="","",ROUND(SUMIFS(Payments!$G$5:$G$1204,Payments!$I$5:$I$1204,A249,Payments!$E$5:$E$1204,"Deposit"),2))</f>
        <v>0</v>
      </c>
      <c r="AB249" s="26">
        <f>IF(B249="","",ROUND(SUMIFS(Sales!$Y$5:$Y$1204,Sales!$C$5:$C$1204,A249),2))</f>
        <v>0</v>
      </c>
      <c r="AC249" s="38">
        <f>IF(B249="","",IF(M249="Completed","Yes",IF(M249="Cancelled","Yes",IF(M249="No show","Yes","No"))))</f>
        <v>0</v>
      </c>
      <c r="AD249" s="25">
        <f>IF(B249="","",IF(AE249="","",B249-AE249))</f>
        <v>0</v>
      </c>
      <c r="AF249" s="38">
        <f>IF(B249="","",IF(M249&lt;&gt;"Completed","",IF(E249="","No",IF(COUNTIFS(Appointments!$E$5:$E$1204,E249,Appointments!$B$5:$B$1204,"&gt;"&amp;B249,Appointments!$M$5:$M$1204,"&lt;&gt;Cancelled")&gt;0,"Yes","No"))))</f>
        <v>0</v>
      </c>
      <c r="AG249" s="38">
        <f>IF(B249="","",IF(I249="","",IF(D249="","",IF(COUNTIFS($I$5:$I$1204,I249,$B$5:$B$1204,B249,$D$5:$D$1204,"&lt;"&amp;V249,$V$5:$V$1204,"&gt;"&amp;D249,$M$5:$M$1204,"&lt;&gt;Cancelled")&gt;1,"Clash",""))))</f>
        <v>0</v>
      </c>
      <c r="AH249" s="39">
        <f>IF(B249="","",IF(AG249="Clash","Clash - stylist double booked",IF(I249="","Assign - no stylist yet",IF(G249="","Add - no service chosen",IF(M249="No show","No show - charge the fee?",IF(M249="Cancelled","",IF(IF(M249="Completed",AB249&lt;Y249-0.004,FALSE),"Unpaid - nothing rung up for this visit",IF(IF(B249&lt;TodayDate,M249="Booked",FALSE),"Overdue - past date, still only Booked",IF(IF(B249=TodayDate,TRUE,FALSE),"Today",IF(IF(Z249&gt;0,AA249&lt;Z249-0.004,FALSE),"Due - deposit not taken",IF(IF(B249&gt;TodayDate,B249&lt;=TodayDate+2,FALSE),"Confirm - coming up","OK")))))))))))</f>
        <v>0</v>
      </c>
    </row>
    <row r="250" spans="1:34">
      <c r="A250" s="28">
        <f>IF(B250="","",AppointmentPrefix&amp;TEXT(ROW()-4,"0000"))</f>
        <v>0</v>
      </c>
      <c r="C250" s="15">
        <f>IF(B250="","",TEXT(B250,"ddd"))</f>
        <v>0</v>
      </c>
      <c r="F250" s="15">
        <f>IF(E250="","",IFERROR(INDEX(Clients!$B$5:$B$504,MATCH(E250,Clients!$A$5:$A$504,0)),"Walk-in"))</f>
        <v>0</v>
      </c>
      <c r="H250" s="15">
        <f>IF(G250="","",IFERROR(INDEX(Services!$B$5:$B$204,MATCH(G250,Services!$A$5:$A$204,0)),"Not in Services"))</f>
        <v>0</v>
      </c>
      <c r="J250" s="15">
        <f>IF(I250="","",IFERROR(INDEX(Staff!$B$5:$B$44,MATCH(I250,Staff!$A$5:$A$44,0)),"Unassigned"))</f>
        <v>0</v>
      </c>
      <c r="S250" s="15">
        <f>IF(B250="","",TEXT(B250,"yyyy-mm"))</f>
        <v>0</v>
      </c>
      <c r="T250" s="25">
        <f>IF(B250="","",WEEKNUM(B250,2))</f>
        <v>0</v>
      </c>
      <c r="U250" s="25">
        <f>IF(B250="","",IF(K250&lt;&gt;"",K250,IFERROR(INDEX(Services!$E$5:$E$204,MATCH(G250,Services!$A$5:$A$204,0))*1,0)+IFERROR(INDEX(Services!$F$5:$F$204,MATCH(G250,Services!$A$5:$A$204,0))*1,0)))</f>
        <v>0</v>
      </c>
      <c r="V250" s="36">
        <f>IF(B250="","",IF(D250="","",D250+U250/1440))</f>
        <v>0</v>
      </c>
      <c r="W250" s="25">
        <f>IF(B250="","",IF(D250="","",HOUR(D250)))</f>
        <v>0</v>
      </c>
      <c r="X250" s="37">
        <f>IF(B250="","",ROUND(U250/60,2))</f>
        <v>0</v>
      </c>
      <c r="Y250" s="26">
        <f>IF(B250="","",IF(L250&lt;&gt;"",L250,IFERROR(INDEX(Services!$G$5:$G$204,MATCH(G250,Services!$A$5:$A$204,0))*1,0)))</f>
        <v>0</v>
      </c>
      <c r="Z250" s="26">
        <f>IF(B250="","",IF(O250&lt;&gt;"",O250,IF(Y250&gt;=DepositThreshold,ROUND(Y250*DepositPercent,2),0)))</f>
        <v>0</v>
      </c>
      <c r="AA250" s="26">
        <f>IF(B250="","",ROUND(SUMIFS(Payments!$G$5:$G$1204,Payments!$I$5:$I$1204,A250,Payments!$E$5:$E$1204,"Deposit"),2))</f>
        <v>0</v>
      </c>
      <c r="AB250" s="26">
        <f>IF(B250="","",ROUND(SUMIFS(Sales!$Y$5:$Y$1204,Sales!$C$5:$C$1204,A250),2))</f>
        <v>0</v>
      </c>
      <c r="AC250" s="38">
        <f>IF(B250="","",IF(M250="Completed","Yes",IF(M250="Cancelled","Yes",IF(M250="No show","Yes","No"))))</f>
        <v>0</v>
      </c>
      <c r="AD250" s="25">
        <f>IF(B250="","",IF(AE250="","",B250-AE250))</f>
        <v>0</v>
      </c>
      <c r="AF250" s="38">
        <f>IF(B250="","",IF(M250&lt;&gt;"Completed","",IF(E250="","No",IF(COUNTIFS(Appointments!$E$5:$E$1204,E250,Appointments!$B$5:$B$1204,"&gt;"&amp;B250,Appointments!$M$5:$M$1204,"&lt;&gt;Cancelled")&gt;0,"Yes","No"))))</f>
        <v>0</v>
      </c>
      <c r="AG250" s="38">
        <f>IF(B250="","",IF(I250="","",IF(D250="","",IF(COUNTIFS($I$5:$I$1204,I250,$B$5:$B$1204,B250,$D$5:$D$1204,"&lt;"&amp;V250,$V$5:$V$1204,"&gt;"&amp;D250,$M$5:$M$1204,"&lt;&gt;Cancelled")&gt;1,"Clash",""))))</f>
        <v>0</v>
      </c>
      <c r="AH250" s="39">
        <f>IF(B250="","",IF(AG250="Clash","Clash - stylist double booked",IF(I250="","Assign - no stylist yet",IF(G250="","Add - no service chosen",IF(M250="No show","No show - charge the fee?",IF(M250="Cancelled","",IF(IF(M250="Completed",AB250&lt;Y250-0.004,FALSE),"Unpaid - nothing rung up for this visit",IF(IF(B250&lt;TodayDate,M250="Booked",FALSE),"Overdue - past date, still only Booked",IF(IF(B250=TodayDate,TRUE,FALSE),"Today",IF(IF(Z250&gt;0,AA250&lt;Z250-0.004,FALSE),"Due - deposit not taken",IF(IF(B250&gt;TodayDate,B250&lt;=TodayDate+2,FALSE),"Confirm - coming up","OK")))))))))))</f>
        <v>0</v>
      </c>
    </row>
    <row r="251" spans="1:34">
      <c r="A251" s="28">
        <f>IF(B251="","",AppointmentPrefix&amp;TEXT(ROW()-4,"0000"))</f>
        <v>0</v>
      </c>
      <c r="C251" s="15">
        <f>IF(B251="","",TEXT(B251,"ddd"))</f>
        <v>0</v>
      </c>
      <c r="F251" s="15">
        <f>IF(E251="","",IFERROR(INDEX(Clients!$B$5:$B$504,MATCH(E251,Clients!$A$5:$A$504,0)),"Walk-in"))</f>
        <v>0</v>
      </c>
      <c r="H251" s="15">
        <f>IF(G251="","",IFERROR(INDEX(Services!$B$5:$B$204,MATCH(G251,Services!$A$5:$A$204,0)),"Not in Services"))</f>
        <v>0</v>
      </c>
      <c r="J251" s="15">
        <f>IF(I251="","",IFERROR(INDEX(Staff!$B$5:$B$44,MATCH(I251,Staff!$A$5:$A$44,0)),"Unassigned"))</f>
        <v>0</v>
      </c>
      <c r="S251" s="15">
        <f>IF(B251="","",TEXT(B251,"yyyy-mm"))</f>
        <v>0</v>
      </c>
      <c r="T251" s="25">
        <f>IF(B251="","",WEEKNUM(B251,2))</f>
        <v>0</v>
      </c>
      <c r="U251" s="25">
        <f>IF(B251="","",IF(K251&lt;&gt;"",K251,IFERROR(INDEX(Services!$E$5:$E$204,MATCH(G251,Services!$A$5:$A$204,0))*1,0)+IFERROR(INDEX(Services!$F$5:$F$204,MATCH(G251,Services!$A$5:$A$204,0))*1,0)))</f>
        <v>0</v>
      </c>
      <c r="V251" s="36">
        <f>IF(B251="","",IF(D251="","",D251+U251/1440))</f>
        <v>0</v>
      </c>
      <c r="W251" s="25">
        <f>IF(B251="","",IF(D251="","",HOUR(D251)))</f>
        <v>0</v>
      </c>
      <c r="X251" s="37">
        <f>IF(B251="","",ROUND(U251/60,2))</f>
        <v>0</v>
      </c>
      <c r="Y251" s="26">
        <f>IF(B251="","",IF(L251&lt;&gt;"",L251,IFERROR(INDEX(Services!$G$5:$G$204,MATCH(G251,Services!$A$5:$A$204,0))*1,0)))</f>
        <v>0</v>
      </c>
      <c r="Z251" s="26">
        <f>IF(B251="","",IF(O251&lt;&gt;"",O251,IF(Y251&gt;=DepositThreshold,ROUND(Y251*DepositPercent,2),0)))</f>
        <v>0</v>
      </c>
      <c r="AA251" s="26">
        <f>IF(B251="","",ROUND(SUMIFS(Payments!$G$5:$G$1204,Payments!$I$5:$I$1204,A251,Payments!$E$5:$E$1204,"Deposit"),2))</f>
        <v>0</v>
      </c>
      <c r="AB251" s="26">
        <f>IF(B251="","",ROUND(SUMIFS(Sales!$Y$5:$Y$1204,Sales!$C$5:$C$1204,A251),2))</f>
        <v>0</v>
      </c>
      <c r="AC251" s="38">
        <f>IF(B251="","",IF(M251="Completed","Yes",IF(M251="Cancelled","Yes",IF(M251="No show","Yes","No"))))</f>
        <v>0</v>
      </c>
      <c r="AD251" s="25">
        <f>IF(B251="","",IF(AE251="","",B251-AE251))</f>
        <v>0</v>
      </c>
      <c r="AF251" s="38">
        <f>IF(B251="","",IF(M251&lt;&gt;"Completed","",IF(E251="","No",IF(COUNTIFS(Appointments!$E$5:$E$1204,E251,Appointments!$B$5:$B$1204,"&gt;"&amp;B251,Appointments!$M$5:$M$1204,"&lt;&gt;Cancelled")&gt;0,"Yes","No"))))</f>
        <v>0</v>
      </c>
      <c r="AG251" s="38">
        <f>IF(B251="","",IF(I251="","",IF(D251="","",IF(COUNTIFS($I$5:$I$1204,I251,$B$5:$B$1204,B251,$D$5:$D$1204,"&lt;"&amp;V251,$V$5:$V$1204,"&gt;"&amp;D251,$M$5:$M$1204,"&lt;&gt;Cancelled")&gt;1,"Clash",""))))</f>
        <v>0</v>
      </c>
      <c r="AH251" s="39">
        <f>IF(B251="","",IF(AG251="Clash","Clash - stylist double booked",IF(I251="","Assign - no stylist yet",IF(G251="","Add - no service chosen",IF(M251="No show","No show - charge the fee?",IF(M251="Cancelled","",IF(IF(M251="Completed",AB251&lt;Y251-0.004,FALSE),"Unpaid - nothing rung up for this visit",IF(IF(B251&lt;TodayDate,M251="Booked",FALSE),"Overdue - past date, still only Booked",IF(IF(B251=TodayDate,TRUE,FALSE),"Today",IF(IF(Z251&gt;0,AA251&lt;Z251-0.004,FALSE),"Due - deposit not taken",IF(IF(B251&gt;TodayDate,B251&lt;=TodayDate+2,FALSE),"Confirm - coming up","OK")))))))))))</f>
        <v>0</v>
      </c>
    </row>
    <row r="252" spans="1:34">
      <c r="A252" s="28">
        <f>IF(B252="","",AppointmentPrefix&amp;TEXT(ROW()-4,"0000"))</f>
        <v>0</v>
      </c>
      <c r="C252" s="15">
        <f>IF(B252="","",TEXT(B252,"ddd"))</f>
        <v>0</v>
      </c>
      <c r="F252" s="15">
        <f>IF(E252="","",IFERROR(INDEX(Clients!$B$5:$B$504,MATCH(E252,Clients!$A$5:$A$504,0)),"Walk-in"))</f>
        <v>0</v>
      </c>
      <c r="H252" s="15">
        <f>IF(G252="","",IFERROR(INDEX(Services!$B$5:$B$204,MATCH(G252,Services!$A$5:$A$204,0)),"Not in Services"))</f>
        <v>0</v>
      </c>
      <c r="J252" s="15">
        <f>IF(I252="","",IFERROR(INDEX(Staff!$B$5:$B$44,MATCH(I252,Staff!$A$5:$A$44,0)),"Unassigned"))</f>
        <v>0</v>
      </c>
      <c r="S252" s="15">
        <f>IF(B252="","",TEXT(B252,"yyyy-mm"))</f>
        <v>0</v>
      </c>
      <c r="T252" s="25">
        <f>IF(B252="","",WEEKNUM(B252,2))</f>
        <v>0</v>
      </c>
      <c r="U252" s="25">
        <f>IF(B252="","",IF(K252&lt;&gt;"",K252,IFERROR(INDEX(Services!$E$5:$E$204,MATCH(G252,Services!$A$5:$A$204,0))*1,0)+IFERROR(INDEX(Services!$F$5:$F$204,MATCH(G252,Services!$A$5:$A$204,0))*1,0)))</f>
        <v>0</v>
      </c>
      <c r="V252" s="36">
        <f>IF(B252="","",IF(D252="","",D252+U252/1440))</f>
        <v>0</v>
      </c>
      <c r="W252" s="25">
        <f>IF(B252="","",IF(D252="","",HOUR(D252)))</f>
        <v>0</v>
      </c>
      <c r="X252" s="37">
        <f>IF(B252="","",ROUND(U252/60,2))</f>
        <v>0</v>
      </c>
      <c r="Y252" s="26">
        <f>IF(B252="","",IF(L252&lt;&gt;"",L252,IFERROR(INDEX(Services!$G$5:$G$204,MATCH(G252,Services!$A$5:$A$204,0))*1,0)))</f>
        <v>0</v>
      </c>
      <c r="Z252" s="26">
        <f>IF(B252="","",IF(O252&lt;&gt;"",O252,IF(Y252&gt;=DepositThreshold,ROUND(Y252*DepositPercent,2),0)))</f>
        <v>0</v>
      </c>
      <c r="AA252" s="26">
        <f>IF(B252="","",ROUND(SUMIFS(Payments!$G$5:$G$1204,Payments!$I$5:$I$1204,A252,Payments!$E$5:$E$1204,"Deposit"),2))</f>
        <v>0</v>
      </c>
      <c r="AB252" s="26">
        <f>IF(B252="","",ROUND(SUMIFS(Sales!$Y$5:$Y$1204,Sales!$C$5:$C$1204,A252),2))</f>
        <v>0</v>
      </c>
      <c r="AC252" s="38">
        <f>IF(B252="","",IF(M252="Completed","Yes",IF(M252="Cancelled","Yes",IF(M252="No show","Yes","No"))))</f>
        <v>0</v>
      </c>
      <c r="AD252" s="25">
        <f>IF(B252="","",IF(AE252="","",B252-AE252))</f>
        <v>0</v>
      </c>
      <c r="AF252" s="38">
        <f>IF(B252="","",IF(M252&lt;&gt;"Completed","",IF(E252="","No",IF(COUNTIFS(Appointments!$E$5:$E$1204,E252,Appointments!$B$5:$B$1204,"&gt;"&amp;B252,Appointments!$M$5:$M$1204,"&lt;&gt;Cancelled")&gt;0,"Yes","No"))))</f>
        <v>0</v>
      </c>
      <c r="AG252" s="38">
        <f>IF(B252="","",IF(I252="","",IF(D252="","",IF(COUNTIFS($I$5:$I$1204,I252,$B$5:$B$1204,B252,$D$5:$D$1204,"&lt;"&amp;V252,$V$5:$V$1204,"&gt;"&amp;D252,$M$5:$M$1204,"&lt;&gt;Cancelled")&gt;1,"Clash",""))))</f>
        <v>0</v>
      </c>
      <c r="AH252" s="39">
        <f>IF(B252="","",IF(AG252="Clash","Clash - stylist double booked",IF(I252="","Assign - no stylist yet",IF(G252="","Add - no service chosen",IF(M252="No show","No show - charge the fee?",IF(M252="Cancelled","",IF(IF(M252="Completed",AB252&lt;Y252-0.004,FALSE),"Unpaid - nothing rung up for this visit",IF(IF(B252&lt;TodayDate,M252="Booked",FALSE),"Overdue - past date, still only Booked",IF(IF(B252=TodayDate,TRUE,FALSE),"Today",IF(IF(Z252&gt;0,AA252&lt;Z252-0.004,FALSE),"Due - deposit not taken",IF(IF(B252&gt;TodayDate,B252&lt;=TodayDate+2,FALSE),"Confirm - coming up","OK")))))))))))</f>
        <v>0</v>
      </c>
    </row>
    <row r="253" spans="1:34">
      <c r="A253" s="28">
        <f>IF(B253="","",AppointmentPrefix&amp;TEXT(ROW()-4,"0000"))</f>
        <v>0</v>
      </c>
      <c r="C253" s="15">
        <f>IF(B253="","",TEXT(B253,"ddd"))</f>
        <v>0</v>
      </c>
      <c r="F253" s="15">
        <f>IF(E253="","",IFERROR(INDEX(Clients!$B$5:$B$504,MATCH(E253,Clients!$A$5:$A$504,0)),"Walk-in"))</f>
        <v>0</v>
      </c>
      <c r="H253" s="15">
        <f>IF(G253="","",IFERROR(INDEX(Services!$B$5:$B$204,MATCH(G253,Services!$A$5:$A$204,0)),"Not in Services"))</f>
        <v>0</v>
      </c>
      <c r="J253" s="15">
        <f>IF(I253="","",IFERROR(INDEX(Staff!$B$5:$B$44,MATCH(I253,Staff!$A$5:$A$44,0)),"Unassigned"))</f>
        <v>0</v>
      </c>
      <c r="S253" s="15">
        <f>IF(B253="","",TEXT(B253,"yyyy-mm"))</f>
        <v>0</v>
      </c>
      <c r="T253" s="25">
        <f>IF(B253="","",WEEKNUM(B253,2))</f>
        <v>0</v>
      </c>
      <c r="U253" s="25">
        <f>IF(B253="","",IF(K253&lt;&gt;"",K253,IFERROR(INDEX(Services!$E$5:$E$204,MATCH(G253,Services!$A$5:$A$204,0))*1,0)+IFERROR(INDEX(Services!$F$5:$F$204,MATCH(G253,Services!$A$5:$A$204,0))*1,0)))</f>
        <v>0</v>
      </c>
      <c r="V253" s="36">
        <f>IF(B253="","",IF(D253="","",D253+U253/1440))</f>
        <v>0</v>
      </c>
      <c r="W253" s="25">
        <f>IF(B253="","",IF(D253="","",HOUR(D253)))</f>
        <v>0</v>
      </c>
      <c r="X253" s="37">
        <f>IF(B253="","",ROUND(U253/60,2))</f>
        <v>0</v>
      </c>
      <c r="Y253" s="26">
        <f>IF(B253="","",IF(L253&lt;&gt;"",L253,IFERROR(INDEX(Services!$G$5:$G$204,MATCH(G253,Services!$A$5:$A$204,0))*1,0)))</f>
        <v>0</v>
      </c>
      <c r="Z253" s="26">
        <f>IF(B253="","",IF(O253&lt;&gt;"",O253,IF(Y253&gt;=DepositThreshold,ROUND(Y253*DepositPercent,2),0)))</f>
        <v>0</v>
      </c>
      <c r="AA253" s="26">
        <f>IF(B253="","",ROUND(SUMIFS(Payments!$G$5:$G$1204,Payments!$I$5:$I$1204,A253,Payments!$E$5:$E$1204,"Deposit"),2))</f>
        <v>0</v>
      </c>
      <c r="AB253" s="26">
        <f>IF(B253="","",ROUND(SUMIFS(Sales!$Y$5:$Y$1204,Sales!$C$5:$C$1204,A253),2))</f>
        <v>0</v>
      </c>
      <c r="AC253" s="38">
        <f>IF(B253="","",IF(M253="Completed","Yes",IF(M253="Cancelled","Yes",IF(M253="No show","Yes","No"))))</f>
        <v>0</v>
      </c>
      <c r="AD253" s="25">
        <f>IF(B253="","",IF(AE253="","",B253-AE253))</f>
        <v>0</v>
      </c>
      <c r="AF253" s="38">
        <f>IF(B253="","",IF(M253&lt;&gt;"Completed","",IF(E253="","No",IF(COUNTIFS(Appointments!$E$5:$E$1204,E253,Appointments!$B$5:$B$1204,"&gt;"&amp;B253,Appointments!$M$5:$M$1204,"&lt;&gt;Cancelled")&gt;0,"Yes","No"))))</f>
        <v>0</v>
      </c>
      <c r="AG253" s="38">
        <f>IF(B253="","",IF(I253="","",IF(D253="","",IF(COUNTIFS($I$5:$I$1204,I253,$B$5:$B$1204,B253,$D$5:$D$1204,"&lt;"&amp;V253,$V$5:$V$1204,"&gt;"&amp;D253,$M$5:$M$1204,"&lt;&gt;Cancelled")&gt;1,"Clash",""))))</f>
        <v>0</v>
      </c>
      <c r="AH253" s="39">
        <f>IF(B253="","",IF(AG253="Clash","Clash - stylist double booked",IF(I253="","Assign - no stylist yet",IF(G253="","Add - no service chosen",IF(M253="No show","No show - charge the fee?",IF(M253="Cancelled","",IF(IF(M253="Completed",AB253&lt;Y253-0.004,FALSE),"Unpaid - nothing rung up for this visit",IF(IF(B253&lt;TodayDate,M253="Booked",FALSE),"Overdue - past date, still only Booked",IF(IF(B253=TodayDate,TRUE,FALSE),"Today",IF(IF(Z253&gt;0,AA253&lt;Z253-0.004,FALSE),"Due - deposit not taken",IF(IF(B253&gt;TodayDate,B253&lt;=TodayDate+2,FALSE),"Confirm - coming up","OK")))))))))))</f>
        <v>0</v>
      </c>
    </row>
    <row r="254" spans="1:34">
      <c r="A254" s="28">
        <f>IF(B254="","",AppointmentPrefix&amp;TEXT(ROW()-4,"0000"))</f>
        <v>0</v>
      </c>
      <c r="C254" s="15">
        <f>IF(B254="","",TEXT(B254,"ddd"))</f>
        <v>0</v>
      </c>
      <c r="F254" s="15">
        <f>IF(E254="","",IFERROR(INDEX(Clients!$B$5:$B$504,MATCH(E254,Clients!$A$5:$A$504,0)),"Walk-in"))</f>
        <v>0</v>
      </c>
      <c r="H254" s="15">
        <f>IF(G254="","",IFERROR(INDEX(Services!$B$5:$B$204,MATCH(G254,Services!$A$5:$A$204,0)),"Not in Services"))</f>
        <v>0</v>
      </c>
      <c r="J254" s="15">
        <f>IF(I254="","",IFERROR(INDEX(Staff!$B$5:$B$44,MATCH(I254,Staff!$A$5:$A$44,0)),"Unassigned"))</f>
        <v>0</v>
      </c>
      <c r="S254" s="15">
        <f>IF(B254="","",TEXT(B254,"yyyy-mm"))</f>
        <v>0</v>
      </c>
      <c r="T254" s="25">
        <f>IF(B254="","",WEEKNUM(B254,2))</f>
        <v>0</v>
      </c>
      <c r="U254" s="25">
        <f>IF(B254="","",IF(K254&lt;&gt;"",K254,IFERROR(INDEX(Services!$E$5:$E$204,MATCH(G254,Services!$A$5:$A$204,0))*1,0)+IFERROR(INDEX(Services!$F$5:$F$204,MATCH(G254,Services!$A$5:$A$204,0))*1,0)))</f>
        <v>0</v>
      </c>
      <c r="V254" s="36">
        <f>IF(B254="","",IF(D254="","",D254+U254/1440))</f>
        <v>0</v>
      </c>
      <c r="W254" s="25">
        <f>IF(B254="","",IF(D254="","",HOUR(D254)))</f>
        <v>0</v>
      </c>
      <c r="X254" s="37">
        <f>IF(B254="","",ROUND(U254/60,2))</f>
        <v>0</v>
      </c>
      <c r="Y254" s="26">
        <f>IF(B254="","",IF(L254&lt;&gt;"",L254,IFERROR(INDEX(Services!$G$5:$G$204,MATCH(G254,Services!$A$5:$A$204,0))*1,0)))</f>
        <v>0</v>
      </c>
      <c r="Z254" s="26">
        <f>IF(B254="","",IF(O254&lt;&gt;"",O254,IF(Y254&gt;=DepositThreshold,ROUND(Y254*DepositPercent,2),0)))</f>
        <v>0</v>
      </c>
      <c r="AA254" s="26">
        <f>IF(B254="","",ROUND(SUMIFS(Payments!$G$5:$G$1204,Payments!$I$5:$I$1204,A254,Payments!$E$5:$E$1204,"Deposit"),2))</f>
        <v>0</v>
      </c>
      <c r="AB254" s="26">
        <f>IF(B254="","",ROUND(SUMIFS(Sales!$Y$5:$Y$1204,Sales!$C$5:$C$1204,A254),2))</f>
        <v>0</v>
      </c>
      <c r="AC254" s="38">
        <f>IF(B254="","",IF(M254="Completed","Yes",IF(M254="Cancelled","Yes",IF(M254="No show","Yes","No"))))</f>
        <v>0</v>
      </c>
      <c r="AD254" s="25">
        <f>IF(B254="","",IF(AE254="","",B254-AE254))</f>
        <v>0</v>
      </c>
      <c r="AF254" s="38">
        <f>IF(B254="","",IF(M254&lt;&gt;"Completed","",IF(E254="","No",IF(COUNTIFS(Appointments!$E$5:$E$1204,E254,Appointments!$B$5:$B$1204,"&gt;"&amp;B254,Appointments!$M$5:$M$1204,"&lt;&gt;Cancelled")&gt;0,"Yes","No"))))</f>
        <v>0</v>
      </c>
      <c r="AG254" s="38">
        <f>IF(B254="","",IF(I254="","",IF(D254="","",IF(COUNTIFS($I$5:$I$1204,I254,$B$5:$B$1204,B254,$D$5:$D$1204,"&lt;"&amp;V254,$V$5:$V$1204,"&gt;"&amp;D254,$M$5:$M$1204,"&lt;&gt;Cancelled")&gt;1,"Clash",""))))</f>
        <v>0</v>
      </c>
      <c r="AH254" s="39">
        <f>IF(B254="","",IF(AG254="Clash","Clash - stylist double booked",IF(I254="","Assign - no stylist yet",IF(G254="","Add - no service chosen",IF(M254="No show","No show - charge the fee?",IF(M254="Cancelled","",IF(IF(M254="Completed",AB254&lt;Y254-0.004,FALSE),"Unpaid - nothing rung up for this visit",IF(IF(B254&lt;TodayDate,M254="Booked",FALSE),"Overdue - past date, still only Booked",IF(IF(B254=TodayDate,TRUE,FALSE),"Today",IF(IF(Z254&gt;0,AA254&lt;Z254-0.004,FALSE),"Due - deposit not taken",IF(IF(B254&gt;TodayDate,B254&lt;=TodayDate+2,FALSE),"Confirm - coming up","OK")))))))))))</f>
        <v>0</v>
      </c>
    </row>
    <row r="255" spans="1:34">
      <c r="A255" s="28">
        <f>IF(B255="","",AppointmentPrefix&amp;TEXT(ROW()-4,"0000"))</f>
        <v>0</v>
      </c>
      <c r="C255" s="15">
        <f>IF(B255="","",TEXT(B255,"ddd"))</f>
        <v>0</v>
      </c>
      <c r="F255" s="15">
        <f>IF(E255="","",IFERROR(INDEX(Clients!$B$5:$B$504,MATCH(E255,Clients!$A$5:$A$504,0)),"Walk-in"))</f>
        <v>0</v>
      </c>
      <c r="H255" s="15">
        <f>IF(G255="","",IFERROR(INDEX(Services!$B$5:$B$204,MATCH(G255,Services!$A$5:$A$204,0)),"Not in Services"))</f>
        <v>0</v>
      </c>
      <c r="J255" s="15">
        <f>IF(I255="","",IFERROR(INDEX(Staff!$B$5:$B$44,MATCH(I255,Staff!$A$5:$A$44,0)),"Unassigned"))</f>
        <v>0</v>
      </c>
      <c r="S255" s="15">
        <f>IF(B255="","",TEXT(B255,"yyyy-mm"))</f>
        <v>0</v>
      </c>
      <c r="T255" s="25">
        <f>IF(B255="","",WEEKNUM(B255,2))</f>
        <v>0</v>
      </c>
      <c r="U255" s="25">
        <f>IF(B255="","",IF(K255&lt;&gt;"",K255,IFERROR(INDEX(Services!$E$5:$E$204,MATCH(G255,Services!$A$5:$A$204,0))*1,0)+IFERROR(INDEX(Services!$F$5:$F$204,MATCH(G255,Services!$A$5:$A$204,0))*1,0)))</f>
        <v>0</v>
      </c>
      <c r="V255" s="36">
        <f>IF(B255="","",IF(D255="","",D255+U255/1440))</f>
        <v>0</v>
      </c>
      <c r="W255" s="25">
        <f>IF(B255="","",IF(D255="","",HOUR(D255)))</f>
        <v>0</v>
      </c>
      <c r="X255" s="37">
        <f>IF(B255="","",ROUND(U255/60,2))</f>
        <v>0</v>
      </c>
      <c r="Y255" s="26">
        <f>IF(B255="","",IF(L255&lt;&gt;"",L255,IFERROR(INDEX(Services!$G$5:$G$204,MATCH(G255,Services!$A$5:$A$204,0))*1,0)))</f>
        <v>0</v>
      </c>
      <c r="Z255" s="26">
        <f>IF(B255="","",IF(O255&lt;&gt;"",O255,IF(Y255&gt;=DepositThreshold,ROUND(Y255*DepositPercent,2),0)))</f>
        <v>0</v>
      </c>
      <c r="AA255" s="26">
        <f>IF(B255="","",ROUND(SUMIFS(Payments!$G$5:$G$1204,Payments!$I$5:$I$1204,A255,Payments!$E$5:$E$1204,"Deposit"),2))</f>
        <v>0</v>
      </c>
      <c r="AB255" s="26">
        <f>IF(B255="","",ROUND(SUMIFS(Sales!$Y$5:$Y$1204,Sales!$C$5:$C$1204,A255),2))</f>
        <v>0</v>
      </c>
      <c r="AC255" s="38">
        <f>IF(B255="","",IF(M255="Completed","Yes",IF(M255="Cancelled","Yes",IF(M255="No show","Yes","No"))))</f>
        <v>0</v>
      </c>
      <c r="AD255" s="25">
        <f>IF(B255="","",IF(AE255="","",B255-AE255))</f>
        <v>0</v>
      </c>
      <c r="AF255" s="38">
        <f>IF(B255="","",IF(M255&lt;&gt;"Completed","",IF(E255="","No",IF(COUNTIFS(Appointments!$E$5:$E$1204,E255,Appointments!$B$5:$B$1204,"&gt;"&amp;B255,Appointments!$M$5:$M$1204,"&lt;&gt;Cancelled")&gt;0,"Yes","No"))))</f>
        <v>0</v>
      </c>
      <c r="AG255" s="38">
        <f>IF(B255="","",IF(I255="","",IF(D255="","",IF(COUNTIFS($I$5:$I$1204,I255,$B$5:$B$1204,B255,$D$5:$D$1204,"&lt;"&amp;V255,$V$5:$V$1204,"&gt;"&amp;D255,$M$5:$M$1204,"&lt;&gt;Cancelled")&gt;1,"Clash",""))))</f>
        <v>0</v>
      </c>
      <c r="AH255" s="39">
        <f>IF(B255="","",IF(AG255="Clash","Clash - stylist double booked",IF(I255="","Assign - no stylist yet",IF(G255="","Add - no service chosen",IF(M255="No show","No show - charge the fee?",IF(M255="Cancelled","",IF(IF(M255="Completed",AB255&lt;Y255-0.004,FALSE),"Unpaid - nothing rung up for this visit",IF(IF(B255&lt;TodayDate,M255="Booked",FALSE),"Overdue - past date, still only Booked",IF(IF(B255=TodayDate,TRUE,FALSE),"Today",IF(IF(Z255&gt;0,AA255&lt;Z255-0.004,FALSE),"Due - deposit not taken",IF(IF(B255&gt;TodayDate,B255&lt;=TodayDate+2,FALSE),"Confirm - coming up","OK")))))))))))</f>
        <v>0</v>
      </c>
    </row>
    <row r="256" spans="1:34">
      <c r="A256" s="28">
        <f>IF(B256="","",AppointmentPrefix&amp;TEXT(ROW()-4,"0000"))</f>
        <v>0</v>
      </c>
      <c r="C256" s="15">
        <f>IF(B256="","",TEXT(B256,"ddd"))</f>
        <v>0</v>
      </c>
      <c r="F256" s="15">
        <f>IF(E256="","",IFERROR(INDEX(Clients!$B$5:$B$504,MATCH(E256,Clients!$A$5:$A$504,0)),"Walk-in"))</f>
        <v>0</v>
      </c>
      <c r="H256" s="15">
        <f>IF(G256="","",IFERROR(INDEX(Services!$B$5:$B$204,MATCH(G256,Services!$A$5:$A$204,0)),"Not in Services"))</f>
        <v>0</v>
      </c>
      <c r="J256" s="15">
        <f>IF(I256="","",IFERROR(INDEX(Staff!$B$5:$B$44,MATCH(I256,Staff!$A$5:$A$44,0)),"Unassigned"))</f>
        <v>0</v>
      </c>
      <c r="S256" s="15">
        <f>IF(B256="","",TEXT(B256,"yyyy-mm"))</f>
        <v>0</v>
      </c>
      <c r="T256" s="25">
        <f>IF(B256="","",WEEKNUM(B256,2))</f>
        <v>0</v>
      </c>
      <c r="U256" s="25">
        <f>IF(B256="","",IF(K256&lt;&gt;"",K256,IFERROR(INDEX(Services!$E$5:$E$204,MATCH(G256,Services!$A$5:$A$204,0))*1,0)+IFERROR(INDEX(Services!$F$5:$F$204,MATCH(G256,Services!$A$5:$A$204,0))*1,0)))</f>
        <v>0</v>
      </c>
      <c r="V256" s="36">
        <f>IF(B256="","",IF(D256="","",D256+U256/1440))</f>
        <v>0</v>
      </c>
      <c r="W256" s="25">
        <f>IF(B256="","",IF(D256="","",HOUR(D256)))</f>
        <v>0</v>
      </c>
      <c r="X256" s="37">
        <f>IF(B256="","",ROUND(U256/60,2))</f>
        <v>0</v>
      </c>
      <c r="Y256" s="26">
        <f>IF(B256="","",IF(L256&lt;&gt;"",L256,IFERROR(INDEX(Services!$G$5:$G$204,MATCH(G256,Services!$A$5:$A$204,0))*1,0)))</f>
        <v>0</v>
      </c>
      <c r="Z256" s="26">
        <f>IF(B256="","",IF(O256&lt;&gt;"",O256,IF(Y256&gt;=DepositThreshold,ROUND(Y256*DepositPercent,2),0)))</f>
        <v>0</v>
      </c>
      <c r="AA256" s="26">
        <f>IF(B256="","",ROUND(SUMIFS(Payments!$G$5:$G$1204,Payments!$I$5:$I$1204,A256,Payments!$E$5:$E$1204,"Deposit"),2))</f>
        <v>0</v>
      </c>
      <c r="AB256" s="26">
        <f>IF(B256="","",ROUND(SUMIFS(Sales!$Y$5:$Y$1204,Sales!$C$5:$C$1204,A256),2))</f>
        <v>0</v>
      </c>
      <c r="AC256" s="38">
        <f>IF(B256="","",IF(M256="Completed","Yes",IF(M256="Cancelled","Yes",IF(M256="No show","Yes","No"))))</f>
        <v>0</v>
      </c>
      <c r="AD256" s="25">
        <f>IF(B256="","",IF(AE256="","",B256-AE256))</f>
        <v>0</v>
      </c>
      <c r="AF256" s="38">
        <f>IF(B256="","",IF(M256&lt;&gt;"Completed","",IF(E256="","No",IF(COUNTIFS(Appointments!$E$5:$E$1204,E256,Appointments!$B$5:$B$1204,"&gt;"&amp;B256,Appointments!$M$5:$M$1204,"&lt;&gt;Cancelled")&gt;0,"Yes","No"))))</f>
        <v>0</v>
      </c>
      <c r="AG256" s="38">
        <f>IF(B256="","",IF(I256="","",IF(D256="","",IF(COUNTIFS($I$5:$I$1204,I256,$B$5:$B$1204,B256,$D$5:$D$1204,"&lt;"&amp;V256,$V$5:$V$1204,"&gt;"&amp;D256,$M$5:$M$1204,"&lt;&gt;Cancelled")&gt;1,"Clash",""))))</f>
        <v>0</v>
      </c>
      <c r="AH256" s="39">
        <f>IF(B256="","",IF(AG256="Clash","Clash - stylist double booked",IF(I256="","Assign - no stylist yet",IF(G256="","Add - no service chosen",IF(M256="No show","No show - charge the fee?",IF(M256="Cancelled","",IF(IF(M256="Completed",AB256&lt;Y256-0.004,FALSE),"Unpaid - nothing rung up for this visit",IF(IF(B256&lt;TodayDate,M256="Booked",FALSE),"Overdue - past date, still only Booked",IF(IF(B256=TodayDate,TRUE,FALSE),"Today",IF(IF(Z256&gt;0,AA256&lt;Z256-0.004,FALSE),"Due - deposit not taken",IF(IF(B256&gt;TodayDate,B256&lt;=TodayDate+2,FALSE),"Confirm - coming up","OK")))))))))))</f>
        <v>0</v>
      </c>
    </row>
    <row r="257" spans="1:34">
      <c r="A257" s="28">
        <f>IF(B257="","",AppointmentPrefix&amp;TEXT(ROW()-4,"0000"))</f>
        <v>0</v>
      </c>
      <c r="C257" s="15">
        <f>IF(B257="","",TEXT(B257,"ddd"))</f>
        <v>0</v>
      </c>
      <c r="F257" s="15">
        <f>IF(E257="","",IFERROR(INDEX(Clients!$B$5:$B$504,MATCH(E257,Clients!$A$5:$A$504,0)),"Walk-in"))</f>
        <v>0</v>
      </c>
      <c r="H257" s="15">
        <f>IF(G257="","",IFERROR(INDEX(Services!$B$5:$B$204,MATCH(G257,Services!$A$5:$A$204,0)),"Not in Services"))</f>
        <v>0</v>
      </c>
      <c r="J257" s="15">
        <f>IF(I257="","",IFERROR(INDEX(Staff!$B$5:$B$44,MATCH(I257,Staff!$A$5:$A$44,0)),"Unassigned"))</f>
        <v>0</v>
      </c>
      <c r="S257" s="15">
        <f>IF(B257="","",TEXT(B257,"yyyy-mm"))</f>
        <v>0</v>
      </c>
      <c r="T257" s="25">
        <f>IF(B257="","",WEEKNUM(B257,2))</f>
        <v>0</v>
      </c>
      <c r="U257" s="25">
        <f>IF(B257="","",IF(K257&lt;&gt;"",K257,IFERROR(INDEX(Services!$E$5:$E$204,MATCH(G257,Services!$A$5:$A$204,0))*1,0)+IFERROR(INDEX(Services!$F$5:$F$204,MATCH(G257,Services!$A$5:$A$204,0))*1,0)))</f>
        <v>0</v>
      </c>
      <c r="V257" s="36">
        <f>IF(B257="","",IF(D257="","",D257+U257/1440))</f>
        <v>0</v>
      </c>
      <c r="W257" s="25">
        <f>IF(B257="","",IF(D257="","",HOUR(D257)))</f>
        <v>0</v>
      </c>
      <c r="X257" s="37">
        <f>IF(B257="","",ROUND(U257/60,2))</f>
        <v>0</v>
      </c>
      <c r="Y257" s="26">
        <f>IF(B257="","",IF(L257&lt;&gt;"",L257,IFERROR(INDEX(Services!$G$5:$G$204,MATCH(G257,Services!$A$5:$A$204,0))*1,0)))</f>
        <v>0</v>
      </c>
      <c r="Z257" s="26">
        <f>IF(B257="","",IF(O257&lt;&gt;"",O257,IF(Y257&gt;=DepositThreshold,ROUND(Y257*DepositPercent,2),0)))</f>
        <v>0</v>
      </c>
      <c r="AA257" s="26">
        <f>IF(B257="","",ROUND(SUMIFS(Payments!$G$5:$G$1204,Payments!$I$5:$I$1204,A257,Payments!$E$5:$E$1204,"Deposit"),2))</f>
        <v>0</v>
      </c>
      <c r="AB257" s="26">
        <f>IF(B257="","",ROUND(SUMIFS(Sales!$Y$5:$Y$1204,Sales!$C$5:$C$1204,A257),2))</f>
        <v>0</v>
      </c>
      <c r="AC257" s="38">
        <f>IF(B257="","",IF(M257="Completed","Yes",IF(M257="Cancelled","Yes",IF(M257="No show","Yes","No"))))</f>
        <v>0</v>
      </c>
      <c r="AD257" s="25">
        <f>IF(B257="","",IF(AE257="","",B257-AE257))</f>
        <v>0</v>
      </c>
      <c r="AF257" s="38">
        <f>IF(B257="","",IF(M257&lt;&gt;"Completed","",IF(E257="","No",IF(COUNTIFS(Appointments!$E$5:$E$1204,E257,Appointments!$B$5:$B$1204,"&gt;"&amp;B257,Appointments!$M$5:$M$1204,"&lt;&gt;Cancelled")&gt;0,"Yes","No"))))</f>
        <v>0</v>
      </c>
      <c r="AG257" s="38">
        <f>IF(B257="","",IF(I257="","",IF(D257="","",IF(COUNTIFS($I$5:$I$1204,I257,$B$5:$B$1204,B257,$D$5:$D$1204,"&lt;"&amp;V257,$V$5:$V$1204,"&gt;"&amp;D257,$M$5:$M$1204,"&lt;&gt;Cancelled")&gt;1,"Clash",""))))</f>
        <v>0</v>
      </c>
      <c r="AH257" s="39">
        <f>IF(B257="","",IF(AG257="Clash","Clash - stylist double booked",IF(I257="","Assign - no stylist yet",IF(G257="","Add - no service chosen",IF(M257="No show","No show - charge the fee?",IF(M257="Cancelled","",IF(IF(M257="Completed",AB257&lt;Y257-0.004,FALSE),"Unpaid - nothing rung up for this visit",IF(IF(B257&lt;TodayDate,M257="Booked",FALSE),"Overdue - past date, still only Booked",IF(IF(B257=TodayDate,TRUE,FALSE),"Today",IF(IF(Z257&gt;0,AA257&lt;Z257-0.004,FALSE),"Due - deposit not taken",IF(IF(B257&gt;TodayDate,B257&lt;=TodayDate+2,FALSE),"Confirm - coming up","OK")))))))))))</f>
        <v>0</v>
      </c>
    </row>
    <row r="258" spans="1:34">
      <c r="A258" s="28">
        <f>IF(B258="","",AppointmentPrefix&amp;TEXT(ROW()-4,"0000"))</f>
        <v>0</v>
      </c>
      <c r="C258" s="15">
        <f>IF(B258="","",TEXT(B258,"ddd"))</f>
        <v>0</v>
      </c>
      <c r="F258" s="15">
        <f>IF(E258="","",IFERROR(INDEX(Clients!$B$5:$B$504,MATCH(E258,Clients!$A$5:$A$504,0)),"Walk-in"))</f>
        <v>0</v>
      </c>
      <c r="H258" s="15">
        <f>IF(G258="","",IFERROR(INDEX(Services!$B$5:$B$204,MATCH(G258,Services!$A$5:$A$204,0)),"Not in Services"))</f>
        <v>0</v>
      </c>
      <c r="J258" s="15">
        <f>IF(I258="","",IFERROR(INDEX(Staff!$B$5:$B$44,MATCH(I258,Staff!$A$5:$A$44,0)),"Unassigned"))</f>
        <v>0</v>
      </c>
      <c r="S258" s="15">
        <f>IF(B258="","",TEXT(B258,"yyyy-mm"))</f>
        <v>0</v>
      </c>
      <c r="T258" s="25">
        <f>IF(B258="","",WEEKNUM(B258,2))</f>
        <v>0</v>
      </c>
      <c r="U258" s="25">
        <f>IF(B258="","",IF(K258&lt;&gt;"",K258,IFERROR(INDEX(Services!$E$5:$E$204,MATCH(G258,Services!$A$5:$A$204,0))*1,0)+IFERROR(INDEX(Services!$F$5:$F$204,MATCH(G258,Services!$A$5:$A$204,0))*1,0)))</f>
        <v>0</v>
      </c>
      <c r="V258" s="36">
        <f>IF(B258="","",IF(D258="","",D258+U258/1440))</f>
        <v>0</v>
      </c>
      <c r="W258" s="25">
        <f>IF(B258="","",IF(D258="","",HOUR(D258)))</f>
        <v>0</v>
      </c>
      <c r="X258" s="37">
        <f>IF(B258="","",ROUND(U258/60,2))</f>
        <v>0</v>
      </c>
      <c r="Y258" s="26">
        <f>IF(B258="","",IF(L258&lt;&gt;"",L258,IFERROR(INDEX(Services!$G$5:$G$204,MATCH(G258,Services!$A$5:$A$204,0))*1,0)))</f>
        <v>0</v>
      </c>
      <c r="Z258" s="26">
        <f>IF(B258="","",IF(O258&lt;&gt;"",O258,IF(Y258&gt;=DepositThreshold,ROUND(Y258*DepositPercent,2),0)))</f>
        <v>0</v>
      </c>
      <c r="AA258" s="26">
        <f>IF(B258="","",ROUND(SUMIFS(Payments!$G$5:$G$1204,Payments!$I$5:$I$1204,A258,Payments!$E$5:$E$1204,"Deposit"),2))</f>
        <v>0</v>
      </c>
      <c r="AB258" s="26">
        <f>IF(B258="","",ROUND(SUMIFS(Sales!$Y$5:$Y$1204,Sales!$C$5:$C$1204,A258),2))</f>
        <v>0</v>
      </c>
      <c r="AC258" s="38">
        <f>IF(B258="","",IF(M258="Completed","Yes",IF(M258="Cancelled","Yes",IF(M258="No show","Yes","No"))))</f>
        <v>0</v>
      </c>
      <c r="AD258" s="25">
        <f>IF(B258="","",IF(AE258="","",B258-AE258))</f>
        <v>0</v>
      </c>
      <c r="AF258" s="38">
        <f>IF(B258="","",IF(M258&lt;&gt;"Completed","",IF(E258="","No",IF(COUNTIFS(Appointments!$E$5:$E$1204,E258,Appointments!$B$5:$B$1204,"&gt;"&amp;B258,Appointments!$M$5:$M$1204,"&lt;&gt;Cancelled")&gt;0,"Yes","No"))))</f>
        <v>0</v>
      </c>
      <c r="AG258" s="38">
        <f>IF(B258="","",IF(I258="","",IF(D258="","",IF(COUNTIFS($I$5:$I$1204,I258,$B$5:$B$1204,B258,$D$5:$D$1204,"&lt;"&amp;V258,$V$5:$V$1204,"&gt;"&amp;D258,$M$5:$M$1204,"&lt;&gt;Cancelled")&gt;1,"Clash",""))))</f>
        <v>0</v>
      </c>
      <c r="AH258" s="39">
        <f>IF(B258="","",IF(AG258="Clash","Clash - stylist double booked",IF(I258="","Assign - no stylist yet",IF(G258="","Add - no service chosen",IF(M258="No show","No show - charge the fee?",IF(M258="Cancelled","",IF(IF(M258="Completed",AB258&lt;Y258-0.004,FALSE),"Unpaid - nothing rung up for this visit",IF(IF(B258&lt;TodayDate,M258="Booked",FALSE),"Overdue - past date, still only Booked",IF(IF(B258=TodayDate,TRUE,FALSE),"Today",IF(IF(Z258&gt;0,AA258&lt;Z258-0.004,FALSE),"Due - deposit not taken",IF(IF(B258&gt;TodayDate,B258&lt;=TodayDate+2,FALSE),"Confirm - coming up","OK")))))))))))</f>
        <v>0</v>
      </c>
    </row>
    <row r="259" spans="1:34">
      <c r="A259" s="28">
        <f>IF(B259="","",AppointmentPrefix&amp;TEXT(ROW()-4,"0000"))</f>
        <v>0</v>
      </c>
      <c r="C259" s="15">
        <f>IF(B259="","",TEXT(B259,"ddd"))</f>
        <v>0</v>
      </c>
      <c r="F259" s="15">
        <f>IF(E259="","",IFERROR(INDEX(Clients!$B$5:$B$504,MATCH(E259,Clients!$A$5:$A$504,0)),"Walk-in"))</f>
        <v>0</v>
      </c>
      <c r="H259" s="15">
        <f>IF(G259="","",IFERROR(INDEX(Services!$B$5:$B$204,MATCH(G259,Services!$A$5:$A$204,0)),"Not in Services"))</f>
        <v>0</v>
      </c>
      <c r="J259" s="15">
        <f>IF(I259="","",IFERROR(INDEX(Staff!$B$5:$B$44,MATCH(I259,Staff!$A$5:$A$44,0)),"Unassigned"))</f>
        <v>0</v>
      </c>
      <c r="S259" s="15">
        <f>IF(B259="","",TEXT(B259,"yyyy-mm"))</f>
        <v>0</v>
      </c>
      <c r="T259" s="25">
        <f>IF(B259="","",WEEKNUM(B259,2))</f>
        <v>0</v>
      </c>
      <c r="U259" s="25">
        <f>IF(B259="","",IF(K259&lt;&gt;"",K259,IFERROR(INDEX(Services!$E$5:$E$204,MATCH(G259,Services!$A$5:$A$204,0))*1,0)+IFERROR(INDEX(Services!$F$5:$F$204,MATCH(G259,Services!$A$5:$A$204,0))*1,0)))</f>
        <v>0</v>
      </c>
      <c r="V259" s="36">
        <f>IF(B259="","",IF(D259="","",D259+U259/1440))</f>
        <v>0</v>
      </c>
      <c r="W259" s="25">
        <f>IF(B259="","",IF(D259="","",HOUR(D259)))</f>
        <v>0</v>
      </c>
      <c r="X259" s="37">
        <f>IF(B259="","",ROUND(U259/60,2))</f>
        <v>0</v>
      </c>
      <c r="Y259" s="26">
        <f>IF(B259="","",IF(L259&lt;&gt;"",L259,IFERROR(INDEX(Services!$G$5:$G$204,MATCH(G259,Services!$A$5:$A$204,0))*1,0)))</f>
        <v>0</v>
      </c>
      <c r="Z259" s="26">
        <f>IF(B259="","",IF(O259&lt;&gt;"",O259,IF(Y259&gt;=DepositThreshold,ROUND(Y259*DepositPercent,2),0)))</f>
        <v>0</v>
      </c>
      <c r="AA259" s="26">
        <f>IF(B259="","",ROUND(SUMIFS(Payments!$G$5:$G$1204,Payments!$I$5:$I$1204,A259,Payments!$E$5:$E$1204,"Deposit"),2))</f>
        <v>0</v>
      </c>
      <c r="AB259" s="26">
        <f>IF(B259="","",ROUND(SUMIFS(Sales!$Y$5:$Y$1204,Sales!$C$5:$C$1204,A259),2))</f>
        <v>0</v>
      </c>
      <c r="AC259" s="38">
        <f>IF(B259="","",IF(M259="Completed","Yes",IF(M259="Cancelled","Yes",IF(M259="No show","Yes","No"))))</f>
        <v>0</v>
      </c>
      <c r="AD259" s="25">
        <f>IF(B259="","",IF(AE259="","",B259-AE259))</f>
        <v>0</v>
      </c>
      <c r="AF259" s="38">
        <f>IF(B259="","",IF(M259&lt;&gt;"Completed","",IF(E259="","No",IF(COUNTIFS(Appointments!$E$5:$E$1204,E259,Appointments!$B$5:$B$1204,"&gt;"&amp;B259,Appointments!$M$5:$M$1204,"&lt;&gt;Cancelled")&gt;0,"Yes","No"))))</f>
        <v>0</v>
      </c>
      <c r="AG259" s="38">
        <f>IF(B259="","",IF(I259="","",IF(D259="","",IF(COUNTIFS($I$5:$I$1204,I259,$B$5:$B$1204,B259,$D$5:$D$1204,"&lt;"&amp;V259,$V$5:$V$1204,"&gt;"&amp;D259,$M$5:$M$1204,"&lt;&gt;Cancelled")&gt;1,"Clash",""))))</f>
        <v>0</v>
      </c>
      <c r="AH259" s="39">
        <f>IF(B259="","",IF(AG259="Clash","Clash - stylist double booked",IF(I259="","Assign - no stylist yet",IF(G259="","Add - no service chosen",IF(M259="No show","No show - charge the fee?",IF(M259="Cancelled","",IF(IF(M259="Completed",AB259&lt;Y259-0.004,FALSE),"Unpaid - nothing rung up for this visit",IF(IF(B259&lt;TodayDate,M259="Booked",FALSE),"Overdue - past date, still only Booked",IF(IF(B259=TodayDate,TRUE,FALSE),"Today",IF(IF(Z259&gt;0,AA259&lt;Z259-0.004,FALSE),"Due - deposit not taken",IF(IF(B259&gt;TodayDate,B259&lt;=TodayDate+2,FALSE),"Confirm - coming up","OK")))))))))))</f>
        <v>0</v>
      </c>
    </row>
    <row r="260" spans="1:34">
      <c r="A260" s="28">
        <f>IF(B260="","",AppointmentPrefix&amp;TEXT(ROW()-4,"0000"))</f>
        <v>0</v>
      </c>
      <c r="C260" s="15">
        <f>IF(B260="","",TEXT(B260,"ddd"))</f>
        <v>0</v>
      </c>
      <c r="F260" s="15">
        <f>IF(E260="","",IFERROR(INDEX(Clients!$B$5:$B$504,MATCH(E260,Clients!$A$5:$A$504,0)),"Walk-in"))</f>
        <v>0</v>
      </c>
      <c r="H260" s="15">
        <f>IF(G260="","",IFERROR(INDEX(Services!$B$5:$B$204,MATCH(G260,Services!$A$5:$A$204,0)),"Not in Services"))</f>
        <v>0</v>
      </c>
      <c r="J260" s="15">
        <f>IF(I260="","",IFERROR(INDEX(Staff!$B$5:$B$44,MATCH(I260,Staff!$A$5:$A$44,0)),"Unassigned"))</f>
        <v>0</v>
      </c>
      <c r="S260" s="15">
        <f>IF(B260="","",TEXT(B260,"yyyy-mm"))</f>
        <v>0</v>
      </c>
      <c r="T260" s="25">
        <f>IF(B260="","",WEEKNUM(B260,2))</f>
        <v>0</v>
      </c>
      <c r="U260" s="25">
        <f>IF(B260="","",IF(K260&lt;&gt;"",K260,IFERROR(INDEX(Services!$E$5:$E$204,MATCH(G260,Services!$A$5:$A$204,0))*1,0)+IFERROR(INDEX(Services!$F$5:$F$204,MATCH(G260,Services!$A$5:$A$204,0))*1,0)))</f>
        <v>0</v>
      </c>
      <c r="V260" s="36">
        <f>IF(B260="","",IF(D260="","",D260+U260/1440))</f>
        <v>0</v>
      </c>
      <c r="W260" s="25">
        <f>IF(B260="","",IF(D260="","",HOUR(D260)))</f>
        <v>0</v>
      </c>
      <c r="X260" s="37">
        <f>IF(B260="","",ROUND(U260/60,2))</f>
        <v>0</v>
      </c>
      <c r="Y260" s="26">
        <f>IF(B260="","",IF(L260&lt;&gt;"",L260,IFERROR(INDEX(Services!$G$5:$G$204,MATCH(G260,Services!$A$5:$A$204,0))*1,0)))</f>
        <v>0</v>
      </c>
      <c r="Z260" s="26">
        <f>IF(B260="","",IF(O260&lt;&gt;"",O260,IF(Y260&gt;=DepositThreshold,ROUND(Y260*DepositPercent,2),0)))</f>
        <v>0</v>
      </c>
      <c r="AA260" s="26">
        <f>IF(B260="","",ROUND(SUMIFS(Payments!$G$5:$G$1204,Payments!$I$5:$I$1204,A260,Payments!$E$5:$E$1204,"Deposit"),2))</f>
        <v>0</v>
      </c>
      <c r="AB260" s="26">
        <f>IF(B260="","",ROUND(SUMIFS(Sales!$Y$5:$Y$1204,Sales!$C$5:$C$1204,A260),2))</f>
        <v>0</v>
      </c>
      <c r="AC260" s="38">
        <f>IF(B260="","",IF(M260="Completed","Yes",IF(M260="Cancelled","Yes",IF(M260="No show","Yes","No"))))</f>
        <v>0</v>
      </c>
      <c r="AD260" s="25">
        <f>IF(B260="","",IF(AE260="","",B260-AE260))</f>
        <v>0</v>
      </c>
      <c r="AF260" s="38">
        <f>IF(B260="","",IF(M260&lt;&gt;"Completed","",IF(E260="","No",IF(COUNTIFS(Appointments!$E$5:$E$1204,E260,Appointments!$B$5:$B$1204,"&gt;"&amp;B260,Appointments!$M$5:$M$1204,"&lt;&gt;Cancelled")&gt;0,"Yes","No"))))</f>
        <v>0</v>
      </c>
      <c r="AG260" s="38">
        <f>IF(B260="","",IF(I260="","",IF(D260="","",IF(COUNTIFS($I$5:$I$1204,I260,$B$5:$B$1204,B260,$D$5:$D$1204,"&lt;"&amp;V260,$V$5:$V$1204,"&gt;"&amp;D260,$M$5:$M$1204,"&lt;&gt;Cancelled")&gt;1,"Clash",""))))</f>
        <v>0</v>
      </c>
      <c r="AH260" s="39">
        <f>IF(B260="","",IF(AG260="Clash","Clash - stylist double booked",IF(I260="","Assign - no stylist yet",IF(G260="","Add - no service chosen",IF(M260="No show","No show - charge the fee?",IF(M260="Cancelled","",IF(IF(M260="Completed",AB260&lt;Y260-0.004,FALSE),"Unpaid - nothing rung up for this visit",IF(IF(B260&lt;TodayDate,M260="Booked",FALSE),"Overdue - past date, still only Booked",IF(IF(B260=TodayDate,TRUE,FALSE),"Today",IF(IF(Z260&gt;0,AA260&lt;Z260-0.004,FALSE),"Due - deposit not taken",IF(IF(B260&gt;TodayDate,B260&lt;=TodayDate+2,FALSE),"Confirm - coming up","OK")))))))))))</f>
        <v>0</v>
      </c>
    </row>
    <row r="261" spans="1:34">
      <c r="A261" s="28">
        <f>IF(B261="","",AppointmentPrefix&amp;TEXT(ROW()-4,"0000"))</f>
        <v>0</v>
      </c>
      <c r="C261" s="15">
        <f>IF(B261="","",TEXT(B261,"ddd"))</f>
        <v>0</v>
      </c>
      <c r="F261" s="15">
        <f>IF(E261="","",IFERROR(INDEX(Clients!$B$5:$B$504,MATCH(E261,Clients!$A$5:$A$504,0)),"Walk-in"))</f>
        <v>0</v>
      </c>
      <c r="H261" s="15">
        <f>IF(G261="","",IFERROR(INDEX(Services!$B$5:$B$204,MATCH(G261,Services!$A$5:$A$204,0)),"Not in Services"))</f>
        <v>0</v>
      </c>
      <c r="J261" s="15">
        <f>IF(I261="","",IFERROR(INDEX(Staff!$B$5:$B$44,MATCH(I261,Staff!$A$5:$A$44,0)),"Unassigned"))</f>
        <v>0</v>
      </c>
      <c r="S261" s="15">
        <f>IF(B261="","",TEXT(B261,"yyyy-mm"))</f>
        <v>0</v>
      </c>
      <c r="T261" s="25">
        <f>IF(B261="","",WEEKNUM(B261,2))</f>
        <v>0</v>
      </c>
      <c r="U261" s="25">
        <f>IF(B261="","",IF(K261&lt;&gt;"",K261,IFERROR(INDEX(Services!$E$5:$E$204,MATCH(G261,Services!$A$5:$A$204,0))*1,0)+IFERROR(INDEX(Services!$F$5:$F$204,MATCH(G261,Services!$A$5:$A$204,0))*1,0)))</f>
        <v>0</v>
      </c>
      <c r="V261" s="36">
        <f>IF(B261="","",IF(D261="","",D261+U261/1440))</f>
        <v>0</v>
      </c>
      <c r="W261" s="25">
        <f>IF(B261="","",IF(D261="","",HOUR(D261)))</f>
        <v>0</v>
      </c>
      <c r="X261" s="37">
        <f>IF(B261="","",ROUND(U261/60,2))</f>
        <v>0</v>
      </c>
      <c r="Y261" s="26">
        <f>IF(B261="","",IF(L261&lt;&gt;"",L261,IFERROR(INDEX(Services!$G$5:$G$204,MATCH(G261,Services!$A$5:$A$204,0))*1,0)))</f>
        <v>0</v>
      </c>
      <c r="Z261" s="26">
        <f>IF(B261="","",IF(O261&lt;&gt;"",O261,IF(Y261&gt;=DepositThreshold,ROUND(Y261*DepositPercent,2),0)))</f>
        <v>0</v>
      </c>
      <c r="AA261" s="26">
        <f>IF(B261="","",ROUND(SUMIFS(Payments!$G$5:$G$1204,Payments!$I$5:$I$1204,A261,Payments!$E$5:$E$1204,"Deposit"),2))</f>
        <v>0</v>
      </c>
      <c r="AB261" s="26">
        <f>IF(B261="","",ROUND(SUMIFS(Sales!$Y$5:$Y$1204,Sales!$C$5:$C$1204,A261),2))</f>
        <v>0</v>
      </c>
      <c r="AC261" s="38">
        <f>IF(B261="","",IF(M261="Completed","Yes",IF(M261="Cancelled","Yes",IF(M261="No show","Yes","No"))))</f>
        <v>0</v>
      </c>
      <c r="AD261" s="25">
        <f>IF(B261="","",IF(AE261="","",B261-AE261))</f>
        <v>0</v>
      </c>
      <c r="AF261" s="38">
        <f>IF(B261="","",IF(M261&lt;&gt;"Completed","",IF(E261="","No",IF(COUNTIFS(Appointments!$E$5:$E$1204,E261,Appointments!$B$5:$B$1204,"&gt;"&amp;B261,Appointments!$M$5:$M$1204,"&lt;&gt;Cancelled")&gt;0,"Yes","No"))))</f>
        <v>0</v>
      </c>
      <c r="AG261" s="38">
        <f>IF(B261="","",IF(I261="","",IF(D261="","",IF(COUNTIFS($I$5:$I$1204,I261,$B$5:$B$1204,B261,$D$5:$D$1204,"&lt;"&amp;V261,$V$5:$V$1204,"&gt;"&amp;D261,$M$5:$M$1204,"&lt;&gt;Cancelled")&gt;1,"Clash",""))))</f>
        <v>0</v>
      </c>
      <c r="AH261" s="39">
        <f>IF(B261="","",IF(AG261="Clash","Clash - stylist double booked",IF(I261="","Assign - no stylist yet",IF(G261="","Add - no service chosen",IF(M261="No show","No show - charge the fee?",IF(M261="Cancelled","",IF(IF(M261="Completed",AB261&lt;Y261-0.004,FALSE),"Unpaid - nothing rung up for this visit",IF(IF(B261&lt;TodayDate,M261="Booked",FALSE),"Overdue - past date, still only Booked",IF(IF(B261=TodayDate,TRUE,FALSE),"Today",IF(IF(Z261&gt;0,AA261&lt;Z261-0.004,FALSE),"Due - deposit not taken",IF(IF(B261&gt;TodayDate,B261&lt;=TodayDate+2,FALSE),"Confirm - coming up","OK")))))))))))</f>
        <v>0</v>
      </c>
    </row>
    <row r="262" spans="1:34">
      <c r="A262" s="28">
        <f>IF(B262="","",AppointmentPrefix&amp;TEXT(ROW()-4,"0000"))</f>
        <v>0</v>
      </c>
      <c r="C262" s="15">
        <f>IF(B262="","",TEXT(B262,"ddd"))</f>
        <v>0</v>
      </c>
      <c r="F262" s="15">
        <f>IF(E262="","",IFERROR(INDEX(Clients!$B$5:$B$504,MATCH(E262,Clients!$A$5:$A$504,0)),"Walk-in"))</f>
        <v>0</v>
      </c>
      <c r="H262" s="15">
        <f>IF(G262="","",IFERROR(INDEX(Services!$B$5:$B$204,MATCH(G262,Services!$A$5:$A$204,0)),"Not in Services"))</f>
        <v>0</v>
      </c>
      <c r="J262" s="15">
        <f>IF(I262="","",IFERROR(INDEX(Staff!$B$5:$B$44,MATCH(I262,Staff!$A$5:$A$44,0)),"Unassigned"))</f>
        <v>0</v>
      </c>
      <c r="S262" s="15">
        <f>IF(B262="","",TEXT(B262,"yyyy-mm"))</f>
        <v>0</v>
      </c>
      <c r="T262" s="25">
        <f>IF(B262="","",WEEKNUM(B262,2))</f>
        <v>0</v>
      </c>
      <c r="U262" s="25">
        <f>IF(B262="","",IF(K262&lt;&gt;"",K262,IFERROR(INDEX(Services!$E$5:$E$204,MATCH(G262,Services!$A$5:$A$204,0))*1,0)+IFERROR(INDEX(Services!$F$5:$F$204,MATCH(G262,Services!$A$5:$A$204,0))*1,0)))</f>
        <v>0</v>
      </c>
      <c r="V262" s="36">
        <f>IF(B262="","",IF(D262="","",D262+U262/1440))</f>
        <v>0</v>
      </c>
      <c r="W262" s="25">
        <f>IF(B262="","",IF(D262="","",HOUR(D262)))</f>
        <v>0</v>
      </c>
      <c r="X262" s="37">
        <f>IF(B262="","",ROUND(U262/60,2))</f>
        <v>0</v>
      </c>
      <c r="Y262" s="26">
        <f>IF(B262="","",IF(L262&lt;&gt;"",L262,IFERROR(INDEX(Services!$G$5:$G$204,MATCH(G262,Services!$A$5:$A$204,0))*1,0)))</f>
        <v>0</v>
      </c>
      <c r="Z262" s="26">
        <f>IF(B262="","",IF(O262&lt;&gt;"",O262,IF(Y262&gt;=DepositThreshold,ROUND(Y262*DepositPercent,2),0)))</f>
        <v>0</v>
      </c>
      <c r="AA262" s="26">
        <f>IF(B262="","",ROUND(SUMIFS(Payments!$G$5:$G$1204,Payments!$I$5:$I$1204,A262,Payments!$E$5:$E$1204,"Deposit"),2))</f>
        <v>0</v>
      </c>
      <c r="AB262" s="26">
        <f>IF(B262="","",ROUND(SUMIFS(Sales!$Y$5:$Y$1204,Sales!$C$5:$C$1204,A262),2))</f>
        <v>0</v>
      </c>
      <c r="AC262" s="38">
        <f>IF(B262="","",IF(M262="Completed","Yes",IF(M262="Cancelled","Yes",IF(M262="No show","Yes","No"))))</f>
        <v>0</v>
      </c>
      <c r="AD262" s="25">
        <f>IF(B262="","",IF(AE262="","",B262-AE262))</f>
        <v>0</v>
      </c>
      <c r="AF262" s="38">
        <f>IF(B262="","",IF(M262&lt;&gt;"Completed","",IF(E262="","No",IF(COUNTIFS(Appointments!$E$5:$E$1204,E262,Appointments!$B$5:$B$1204,"&gt;"&amp;B262,Appointments!$M$5:$M$1204,"&lt;&gt;Cancelled")&gt;0,"Yes","No"))))</f>
        <v>0</v>
      </c>
      <c r="AG262" s="38">
        <f>IF(B262="","",IF(I262="","",IF(D262="","",IF(COUNTIFS($I$5:$I$1204,I262,$B$5:$B$1204,B262,$D$5:$D$1204,"&lt;"&amp;V262,$V$5:$V$1204,"&gt;"&amp;D262,$M$5:$M$1204,"&lt;&gt;Cancelled")&gt;1,"Clash",""))))</f>
        <v>0</v>
      </c>
      <c r="AH262" s="39">
        <f>IF(B262="","",IF(AG262="Clash","Clash - stylist double booked",IF(I262="","Assign - no stylist yet",IF(G262="","Add - no service chosen",IF(M262="No show","No show - charge the fee?",IF(M262="Cancelled","",IF(IF(M262="Completed",AB262&lt;Y262-0.004,FALSE),"Unpaid - nothing rung up for this visit",IF(IF(B262&lt;TodayDate,M262="Booked",FALSE),"Overdue - past date, still only Booked",IF(IF(B262=TodayDate,TRUE,FALSE),"Today",IF(IF(Z262&gt;0,AA262&lt;Z262-0.004,FALSE),"Due - deposit not taken",IF(IF(B262&gt;TodayDate,B262&lt;=TodayDate+2,FALSE),"Confirm - coming up","OK")))))))))))</f>
        <v>0</v>
      </c>
    </row>
    <row r="263" spans="1:34">
      <c r="A263" s="28">
        <f>IF(B263="","",AppointmentPrefix&amp;TEXT(ROW()-4,"0000"))</f>
        <v>0</v>
      </c>
      <c r="C263" s="15">
        <f>IF(B263="","",TEXT(B263,"ddd"))</f>
        <v>0</v>
      </c>
      <c r="F263" s="15">
        <f>IF(E263="","",IFERROR(INDEX(Clients!$B$5:$B$504,MATCH(E263,Clients!$A$5:$A$504,0)),"Walk-in"))</f>
        <v>0</v>
      </c>
      <c r="H263" s="15">
        <f>IF(G263="","",IFERROR(INDEX(Services!$B$5:$B$204,MATCH(G263,Services!$A$5:$A$204,0)),"Not in Services"))</f>
        <v>0</v>
      </c>
      <c r="J263" s="15">
        <f>IF(I263="","",IFERROR(INDEX(Staff!$B$5:$B$44,MATCH(I263,Staff!$A$5:$A$44,0)),"Unassigned"))</f>
        <v>0</v>
      </c>
      <c r="S263" s="15">
        <f>IF(B263="","",TEXT(B263,"yyyy-mm"))</f>
        <v>0</v>
      </c>
      <c r="T263" s="25">
        <f>IF(B263="","",WEEKNUM(B263,2))</f>
        <v>0</v>
      </c>
      <c r="U263" s="25">
        <f>IF(B263="","",IF(K263&lt;&gt;"",K263,IFERROR(INDEX(Services!$E$5:$E$204,MATCH(G263,Services!$A$5:$A$204,0))*1,0)+IFERROR(INDEX(Services!$F$5:$F$204,MATCH(G263,Services!$A$5:$A$204,0))*1,0)))</f>
        <v>0</v>
      </c>
      <c r="V263" s="36">
        <f>IF(B263="","",IF(D263="","",D263+U263/1440))</f>
        <v>0</v>
      </c>
      <c r="W263" s="25">
        <f>IF(B263="","",IF(D263="","",HOUR(D263)))</f>
        <v>0</v>
      </c>
      <c r="X263" s="37">
        <f>IF(B263="","",ROUND(U263/60,2))</f>
        <v>0</v>
      </c>
      <c r="Y263" s="26">
        <f>IF(B263="","",IF(L263&lt;&gt;"",L263,IFERROR(INDEX(Services!$G$5:$G$204,MATCH(G263,Services!$A$5:$A$204,0))*1,0)))</f>
        <v>0</v>
      </c>
      <c r="Z263" s="26">
        <f>IF(B263="","",IF(O263&lt;&gt;"",O263,IF(Y263&gt;=DepositThreshold,ROUND(Y263*DepositPercent,2),0)))</f>
        <v>0</v>
      </c>
      <c r="AA263" s="26">
        <f>IF(B263="","",ROUND(SUMIFS(Payments!$G$5:$G$1204,Payments!$I$5:$I$1204,A263,Payments!$E$5:$E$1204,"Deposit"),2))</f>
        <v>0</v>
      </c>
      <c r="AB263" s="26">
        <f>IF(B263="","",ROUND(SUMIFS(Sales!$Y$5:$Y$1204,Sales!$C$5:$C$1204,A263),2))</f>
        <v>0</v>
      </c>
      <c r="AC263" s="38">
        <f>IF(B263="","",IF(M263="Completed","Yes",IF(M263="Cancelled","Yes",IF(M263="No show","Yes","No"))))</f>
        <v>0</v>
      </c>
      <c r="AD263" s="25">
        <f>IF(B263="","",IF(AE263="","",B263-AE263))</f>
        <v>0</v>
      </c>
      <c r="AF263" s="38">
        <f>IF(B263="","",IF(M263&lt;&gt;"Completed","",IF(E263="","No",IF(COUNTIFS(Appointments!$E$5:$E$1204,E263,Appointments!$B$5:$B$1204,"&gt;"&amp;B263,Appointments!$M$5:$M$1204,"&lt;&gt;Cancelled")&gt;0,"Yes","No"))))</f>
        <v>0</v>
      </c>
      <c r="AG263" s="38">
        <f>IF(B263="","",IF(I263="","",IF(D263="","",IF(COUNTIFS($I$5:$I$1204,I263,$B$5:$B$1204,B263,$D$5:$D$1204,"&lt;"&amp;V263,$V$5:$V$1204,"&gt;"&amp;D263,$M$5:$M$1204,"&lt;&gt;Cancelled")&gt;1,"Clash",""))))</f>
        <v>0</v>
      </c>
      <c r="AH263" s="39">
        <f>IF(B263="","",IF(AG263="Clash","Clash - stylist double booked",IF(I263="","Assign - no stylist yet",IF(G263="","Add - no service chosen",IF(M263="No show","No show - charge the fee?",IF(M263="Cancelled","",IF(IF(M263="Completed",AB263&lt;Y263-0.004,FALSE),"Unpaid - nothing rung up for this visit",IF(IF(B263&lt;TodayDate,M263="Booked",FALSE),"Overdue - past date, still only Booked",IF(IF(B263=TodayDate,TRUE,FALSE),"Today",IF(IF(Z263&gt;0,AA263&lt;Z263-0.004,FALSE),"Due - deposit not taken",IF(IF(B263&gt;TodayDate,B263&lt;=TodayDate+2,FALSE),"Confirm - coming up","OK")))))))))))</f>
        <v>0</v>
      </c>
    </row>
    <row r="264" spans="1:34">
      <c r="A264" s="28">
        <f>IF(B264="","",AppointmentPrefix&amp;TEXT(ROW()-4,"0000"))</f>
        <v>0</v>
      </c>
      <c r="C264" s="15">
        <f>IF(B264="","",TEXT(B264,"ddd"))</f>
        <v>0</v>
      </c>
      <c r="F264" s="15">
        <f>IF(E264="","",IFERROR(INDEX(Clients!$B$5:$B$504,MATCH(E264,Clients!$A$5:$A$504,0)),"Walk-in"))</f>
        <v>0</v>
      </c>
      <c r="H264" s="15">
        <f>IF(G264="","",IFERROR(INDEX(Services!$B$5:$B$204,MATCH(G264,Services!$A$5:$A$204,0)),"Not in Services"))</f>
        <v>0</v>
      </c>
      <c r="J264" s="15">
        <f>IF(I264="","",IFERROR(INDEX(Staff!$B$5:$B$44,MATCH(I264,Staff!$A$5:$A$44,0)),"Unassigned"))</f>
        <v>0</v>
      </c>
      <c r="S264" s="15">
        <f>IF(B264="","",TEXT(B264,"yyyy-mm"))</f>
        <v>0</v>
      </c>
      <c r="T264" s="25">
        <f>IF(B264="","",WEEKNUM(B264,2))</f>
        <v>0</v>
      </c>
      <c r="U264" s="25">
        <f>IF(B264="","",IF(K264&lt;&gt;"",K264,IFERROR(INDEX(Services!$E$5:$E$204,MATCH(G264,Services!$A$5:$A$204,0))*1,0)+IFERROR(INDEX(Services!$F$5:$F$204,MATCH(G264,Services!$A$5:$A$204,0))*1,0)))</f>
        <v>0</v>
      </c>
      <c r="V264" s="36">
        <f>IF(B264="","",IF(D264="","",D264+U264/1440))</f>
        <v>0</v>
      </c>
      <c r="W264" s="25">
        <f>IF(B264="","",IF(D264="","",HOUR(D264)))</f>
        <v>0</v>
      </c>
      <c r="X264" s="37">
        <f>IF(B264="","",ROUND(U264/60,2))</f>
        <v>0</v>
      </c>
      <c r="Y264" s="26">
        <f>IF(B264="","",IF(L264&lt;&gt;"",L264,IFERROR(INDEX(Services!$G$5:$G$204,MATCH(G264,Services!$A$5:$A$204,0))*1,0)))</f>
        <v>0</v>
      </c>
      <c r="Z264" s="26">
        <f>IF(B264="","",IF(O264&lt;&gt;"",O264,IF(Y264&gt;=DepositThreshold,ROUND(Y264*DepositPercent,2),0)))</f>
        <v>0</v>
      </c>
      <c r="AA264" s="26">
        <f>IF(B264="","",ROUND(SUMIFS(Payments!$G$5:$G$1204,Payments!$I$5:$I$1204,A264,Payments!$E$5:$E$1204,"Deposit"),2))</f>
        <v>0</v>
      </c>
      <c r="AB264" s="26">
        <f>IF(B264="","",ROUND(SUMIFS(Sales!$Y$5:$Y$1204,Sales!$C$5:$C$1204,A264),2))</f>
        <v>0</v>
      </c>
      <c r="AC264" s="38">
        <f>IF(B264="","",IF(M264="Completed","Yes",IF(M264="Cancelled","Yes",IF(M264="No show","Yes","No"))))</f>
        <v>0</v>
      </c>
      <c r="AD264" s="25">
        <f>IF(B264="","",IF(AE264="","",B264-AE264))</f>
        <v>0</v>
      </c>
      <c r="AF264" s="38">
        <f>IF(B264="","",IF(M264&lt;&gt;"Completed","",IF(E264="","No",IF(COUNTIFS(Appointments!$E$5:$E$1204,E264,Appointments!$B$5:$B$1204,"&gt;"&amp;B264,Appointments!$M$5:$M$1204,"&lt;&gt;Cancelled")&gt;0,"Yes","No"))))</f>
        <v>0</v>
      </c>
      <c r="AG264" s="38">
        <f>IF(B264="","",IF(I264="","",IF(D264="","",IF(COUNTIFS($I$5:$I$1204,I264,$B$5:$B$1204,B264,$D$5:$D$1204,"&lt;"&amp;V264,$V$5:$V$1204,"&gt;"&amp;D264,$M$5:$M$1204,"&lt;&gt;Cancelled")&gt;1,"Clash",""))))</f>
        <v>0</v>
      </c>
      <c r="AH264" s="39">
        <f>IF(B264="","",IF(AG264="Clash","Clash - stylist double booked",IF(I264="","Assign - no stylist yet",IF(G264="","Add - no service chosen",IF(M264="No show","No show - charge the fee?",IF(M264="Cancelled","",IF(IF(M264="Completed",AB264&lt;Y264-0.004,FALSE),"Unpaid - nothing rung up for this visit",IF(IF(B264&lt;TodayDate,M264="Booked",FALSE),"Overdue - past date, still only Booked",IF(IF(B264=TodayDate,TRUE,FALSE),"Today",IF(IF(Z264&gt;0,AA264&lt;Z264-0.004,FALSE),"Due - deposit not taken",IF(IF(B264&gt;TodayDate,B264&lt;=TodayDate+2,FALSE),"Confirm - coming up","OK")))))))))))</f>
        <v>0</v>
      </c>
    </row>
    <row r="265" spans="1:34">
      <c r="A265" s="28">
        <f>IF(B265="","",AppointmentPrefix&amp;TEXT(ROW()-4,"0000"))</f>
        <v>0</v>
      </c>
      <c r="C265" s="15">
        <f>IF(B265="","",TEXT(B265,"ddd"))</f>
        <v>0</v>
      </c>
      <c r="F265" s="15">
        <f>IF(E265="","",IFERROR(INDEX(Clients!$B$5:$B$504,MATCH(E265,Clients!$A$5:$A$504,0)),"Walk-in"))</f>
        <v>0</v>
      </c>
      <c r="H265" s="15">
        <f>IF(G265="","",IFERROR(INDEX(Services!$B$5:$B$204,MATCH(G265,Services!$A$5:$A$204,0)),"Not in Services"))</f>
        <v>0</v>
      </c>
      <c r="J265" s="15">
        <f>IF(I265="","",IFERROR(INDEX(Staff!$B$5:$B$44,MATCH(I265,Staff!$A$5:$A$44,0)),"Unassigned"))</f>
        <v>0</v>
      </c>
      <c r="S265" s="15">
        <f>IF(B265="","",TEXT(B265,"yyyy-mm"))</f>
        <v>0</v>
      </c>
      <c r="T265" s="25">
        <f>IF(B265="","",WEEKNUM(B265,2))</f>
        <v>0</v>
      </c>
      <c r="U265" s="25">
        <f>IF(B265="","",IF(K265&lt;&gt;"",K265,IFERROR(INDEX(Services!$E$5:$E$204,MATCH(G265,Services!$A$5:$A$204,0))*1,0)+IFERROR(INDEX(Services!$F$5:$F$204,MATCH(G265,Services!$A$5:$A$204,0))*1,0)))</f>
        <v>0</v>
      </c>
      <c r="V265" s="36">
        <f>IF(B265="","",IF(D265="","",D265+U265/1440))</f>
        <v>0</v>
      </c>
      <c r="W265" s="25">
        <f>IF(B265="","",IF(D265="","",HOUR(D265)))</f>
        <v>0</v>
      </c>
      <c r="X265" s="37">
        <f>IF(B265="","",ROUND(U265/60,2))</f>
        <v>0</v>
      </c>
      <c r="Y265" s="26">
        <f>IF(B265="","",IF(L265&lt;&gt;"",L265,IFERROR(INDEX(Services!$G$5:$G$204,MATCH(G265,Services!$A$5:$A$204,0))*1,0)))</f>
        <v>0</v>
      </c>
      <c r="Z265" s="26">
        <f>IF(B265="","",IF(O265&lt;&gt;"",O265,IF(Y265&gt;=DepositThreshold,ROUND(Y265*DepositPercent,2),0)))</f>
        <v>0</v>
      </c>
      <c r="AA265" s="26">
        <f>IF(B265="","",ROUND(SUMIFS(Payments!$G$5:$G$1204,Payments!$I$5:$I$1204,A265,Payments!$E$5:$E$1204,"Deposit"),2))</f>
        <v>0</v>
      </c>
      <c r="AB265" s="26">
        <f>IF(B265="","",ROUND(SUMIFS(Sales!$Y$5:$Y$1204,Sales!$C$5:$C$1204,A265),2))</f>
        <v>0</v>
      </c>
      <c r="AC265" s="38">
        <f>IF(B265="","",IF(M265="Completed","Yes",IF(M265="Cancelled","Yes",IF(M265="No show","Yes","No"))))</f>
        <v>0</v>
      </c>
      <c r="AD265" s="25">
        <f>IF(B265="","",IF(AE265="","",B265-AE265))</f>
        <v>0</v>
      </c>
      <c r="AF265" s="38">
        <f>IF(B265="","",IF(M265&lt;&gt;"Completed","",IF(E265="","No",IF(COUNTIFS(Appointments!$E$5:$E$1204,E265,Appointments!$B$5:$B$1204,"&gt;"&amp;B265,Appointments!$M$5:$M$1204,"&lt;&gt;Cancelled")&gt;0,"Yes","No"))))</f>
        <v>0</v>
      </c>
      <c r="AG265" s="38">
        <f>IF(B265="","",IF(I265="","",IF(D265="","",IF(COUNTIFS($I$5:$I$1204,I265,$B$5:$B$1204,B265,$D$5:$D$1204,"&lt;"&amp;V265,$V$5:$V$1204,"&gt;"&amp;D265,$M$5:$M$1204,"&lt;&gt;Cancelled")&gt;1,"Clash",""))))</f>
        <v>0</v>
      </c>
      <c r="AH265" s="39">
        <f>IF(B265="","",IF(AG265="Clash","Clash - stylist double booked",IF(I265="","Assign - no stylist yet",IF(G265="","Add - no service chosen",IF(M265="No show","No show - charge the fee?",IF(M265="Cancelled","",IF(IF(M265="Completed",AB265&lt;Y265-0.004,FALSE),"Unpaid - nothing rung up for this visit",IF(IF(B265&lt;TodayDate,M265="Booked",FALSE),"Overdue - past date, still only Booked",IF(IF(B265=TodayDate,TRUE,FALSE),"Today",IF(IF(Z265&gt;0,AA265&lt;Z265-0.004,FALSE),"Due - deposit not taken",IF(IF(B265&gt;TodayDate,B265&lt;=TodayDate+2,FALSE),"Confirm - coming up","OK")))))))))))</f>
        <v>0</v>
      </c>
    </row>
    <row r="266" spans="1:34">
      <c r="A266" s="28">
        <f>IF(B266="","",AppointmentPrefix&amp;TEXT(ROW()-4,"0000"))</f>
        <v>0</v>
      </c>
      <c r="C266" s="15">
        <f>IF(B266="","",TEXT(B266,"ddd"))</f>
        <v>0</v>
      </c>
      <c r="F266" s="15">
        <f>IF(E266="","",IFERROR(INDEX(Clients!$B$5:$B$504,MATCH(E266,Clients!$A$5:$A$504,0)),"Walk-in"))</f>
        <v>0</v>
      </c>
      <c r="H266" s="15">
        <f>IF(G266="","",IFERROR(INDEX(Services!$B$5:$B$204,MATCH(G266,Services!$A$5:$A$204,0)),"Not in Services"))</f>
        <v>0</v>
      </c>
      <c r="J266" s="15">
        <f>IF(I266="","",IFERROR(INDEX(Staff!$B$5:$B$44,MATCH(I266,Staff!$A$5:$A$44,0)),"Unassigned"))</f>
        <v>0</v>
      </c>
      <c r="S266" s="15">
        <f>IF(B266="","",TEXT(B266,"yyyy-mm"))</f>
        <v>0</v>
      </c>
      <c r="T266" s="25">
        <f>IF(B266="","",WEEKNUM(B266,2))</f>
        <v>0</v>
      </c>
      <c r="U266" s="25">
        <f>IF(B266="","",IF(K266&lt;&gt;"",K266,IFERROR(INDEX(Services!$E$5:$E$204,MATCH(G266,Services!$A$5:$A$204,0))*1,0)+IFERROR(INDEX(Services!$F$5:$F$204,MATCH(G266,Services!$A$5:$A$204,0))*1,0)))</f>
        <v>0</v>
      </c>
      <c r="V266" s="36">
        <f>IF(B266="","",IF(D266="","",D266+U266/1440))</f>
        <v>0</v>
      </c>
      <c r="W266" s="25">
        <f>IF(B266="","",IF(D266="","",HOUR(D266)))</f>
        <v>0</v>
      </c>
      <c r="X266" s="37">
        <f>IF(B266="","",ROUND(U266/60,2))</f>
        <v>0</v>
      </c>
      <c r="Y266" s="26">
        <f>IF(B266="","",IF(L266&lt;&gt;"",L266,IFERROR(INDEX(Services!$G$5:$G$204,MATCH(G266,Services!$A$5:$A$204,0))*1,0)))</f>
        <v>0</v>
      </c>
      <c r="Z266" s="26">
        <f>IF(B266="","",IF(O266&lt;&gt;"",O266,IF(Y266&gt;=DepositThreshold,ROUND(Y266*DepositPercent,2),0)))</f>
        <v>0</v>
      </c>
      <c r="AA266" s="26">
        <f>IF(B266="","",ROUND(SUMIFS(Payments!$G$5:$G$1204,Payments!$I$5:$I$1204,A266,Payments!$E$5:$E$1204,"Deposit"),2))</f>
        <v>0</v>
      </c>
      <c r="AB266" s="26">
        <f>IF(B266="","",ROUND(SUMIFS(Sales!$Y$5:$Y$1204,Sales!$C$5:$C$1204,A266),2))</f>
        <v>0</v>
      </c>
      <c r="AC266" s="38">
        <f>IF(B266="","",IF(M266="Completed","Yes",IF(M266="Cancelled","Yes",IF(M266="No show","Yes","No"))))</f>
        <v>0</v>
      </c>
      <c r="AD266" s="25">
        <f>IF(B266="","",IF(AE266="","",B266-AE266))</f>
        <v>0</v>
      </c>
      <c r="AF266" s="38">
        <f>IF(B266="","",IF(M266&lt;&gt;"Completed","",IF(E266="","No",IF(COUNTIFS(Appointments!$E$5:$E$1204,E266,Appointments!$B$5:$B$1204,"&gt;"&amp;B266,Appointments!$M$5:$M$1204,"&lt;&gt;Cancelled")&gt;0,"Yes","No"))))</f>
        <v>0</v>
      </c>
      <c r="AG266" s="38">
        <f>IF(B266="","",IF(I266="","",IF(D266="","",IF(COUNTIFS($I$5:$I$1204,I266,$B$5:$B$1204,B266,$D$5:$D$1204,"&lt;"&amp;V266,$V$5:$V$1204,"&gt;"&amp;D266,$M$5:$M$1204,"&lt;&gt;Cancelled")&gt;1,"Clash",""))))</f>
        <v>0</v>
      </c>
      <c r="AH266" s="39">
        <f>IF(B266="","",IF(AG266="Clash","Clash - stylist double booked",IF(I266="","Assign - no stylist yet",IF(G266="","Add - no service chosen",IF(M266="No show","No show - charge the fee?",IF(M266="Cancelled","",IF(IF(M266="Completed",AB266&lt;Y266-0.004,FALSE),"Unpaid - nothing rung up for this visit",IF(IF(B266&lt;TodayDate,M266="Booked",FALSE),"Overdue - past date, still only Booked",IF(IF(B266=TodayDate,TRUE,FALSE),"Today",IF(IF(Z266&gt;0,AA266&lt;Z266-0.004,FALSE),"Due - deposit not taken",IF(IF(B266&gt;TodayDate,B266&lt;=TodayDate+2,FALSE),"Confirm - coming up","OK")))))))))))</f>
        <v>0</v>
      </c>
    </row>
    <row r="267" spans="1:34">
      <c r="A267" s="28">
        <f>IF(B267="","",AppointmentPrefix&amp;TEXT(ROW()-4,"0000"))</f>
        <v>0</v>
      </c>
      <c r="C267" s="15">
        <f>IF(B267="","",TEXT(B267,"ddd"))</f>
        <v>0</v>
      </c>
      <c r="F267" s="15">
        <f>IF(E267="","",IFERROR(INDEX(Clients!$B$5:$B$504,MATCH(E267,Clients!$A$5:$A$504,0)),"Walk-in"))</f>
        <v>0</v>
      </c>
      <c r="H267" s="15">
        <f>IF(G267="","",IFERROR(INDEX(Services!$B$5:$B$204,MATCH(G267,Services!$A$5:$A$204,0)),"Not in Services"))</f>
        <v>0</v>
      </c>
      <c r="J267" s="15">
        <f>IF(I267="","",IFERROR(INDEX(Staff!$B$5:$B$44,MATCH(I267,Staff!$A$5:$A$44,0)),"Unassigned"))</f>
        <v>0</v>
      </c>
      <c r="S267" s="15">
        <f>IF(B267="","",TEXT(B267,"yyyy-mm"))</f>
        <v>0</v>
      </c>
      <c r="T267" s="25">
        <f>IF(B267="","",WEEKNUM(B267,2))</f>
        <v>0</v>
      </c>
      <c r="U267" s="25">
        <f>IF(B267="","",IF(K267&lt;&gt;"",K267,IFERROR(INDEX(Services!$E$5:$E$204,MATCH(G267,Services!$A$5:$A$204,0))*1,0)+IFERROR(INDEX(Services!$F$5:$F$204,MATCH(G267,Services!$A$5:$A$204,0))*1,0)))</f>
        <v>0</v>
      </c>
      <c r="V267" s="36">
        <f>IF(B267="","",IF(D267="","",D267+U267/1440))</f>
        <v>0</v>
      </c>
      <c r="W267" s="25">
        <f>IF(B267="","",IF(D267="","",HOUR(D267)))</f>
        <v>0</v>
      </c>
      <c r="X267" s="37">
        <f>IF(B267="","",ROUND(U267/60,2))</f>
        <v>0</v>
      </c>
      <c r="Y267" s="26">
        <f>IF(B267="","",IF(L267&lt;&gt;"",L267,IFERROR(INDEX(Services!$G$5:$G$204,MATCH(G267,Services!$A$5:$A$204,0))*1,0)))</f>
        <v>0</v>
      </c>
      <c r="Z267" s="26">
        <f>IF(B267="","",IF(O267&lt;&gt;"",O267,IF(Y267&gt;=DepositThreshold,ROUND(Y267*DepositPercent,2),0)))</f>
        <v>0</v>
      </c>
      <c r="AA267" s="26">
        <f>IF(B267="","",ROUND(SUMIFS(Payments!$G$5:$G$1204,Payments!$I$5:$I$1204,A267,Payments!$E$5:$E$1204,"Deposit"),2))</f>
        <v>0</v>
      </c>
      <c r="AB267" s="26">
        <f>IF(B267="","",ROUND(SUMIFS(Sales!$Y$5:$Y$1204,Sales!$C$5:$C$1204,A267),2))</f>
        <v>0</v>
      </c>
      <c r="AC267" s="38">
        <f>IF(B267="","",IF(M267="Completed","Yes",IF(M267="Cancelled","Yes",IF(M267="No show","Yes","No"))))</f>
        <v>0</v>
      </c>
      <c r="AD267" s="25">
        <f>IF(B267="","",IF(AE267="","",B267-AE267))</f>
        <v>0</v>
      </c>
      <c r="AF267" s="38">
        <f>IF(B267="","",IF(M267&lt;&gt;"Completed","",IF(E267="","No",IF(COUNTIFS(Appointments!$E$5:$E$1204,E267,Appointments!$B$5:$B$1204,"&gt;"&amp;B267,Appointments!$M$5:$M$1204,"&lt;&gt;Cancelled")&gt;0,"Yes","No"))))</f>
        <v>0</v>
      </c>
      <c r="AG267" s="38">
        <f>IF(B267="","",IF(I267="","",IF(D267="","",IF(COUNTIFS($I$5:$I$1204,I267,$B$5:$B$1204,B267,$D$5:$D$1204,"&lt;"&amp;V267,$V$5:$V$1204,"&gt;"&amp;D267,$M$5:$M$1204,"&lt;&gt;Cancelled")&gt;1,"Clash",""))))</f>
        <v>0</v>
      </c>
      <c r="AH267" s="39">
        <f>IF(B267="","",IF(AG267="Clash","Clash - stylist double booked",IF(I267="","Assign - no stylist yet",IF(G267="","Add - no service chosen",IF(M267="No show","No show - charge the fee?",IF(M267="Cancelled","",IF(IF(M267="Completed",AB267&lt;Y267-0.004,FALSE),"Unpaid - nothing rung up for this visit",IF(IF(B267&lt;TodayDate,M267="Booked",FALSE),"Overdue - past date, still only Booked",IF(IF(B267=TodayDate,TRUE,FALSE),"Today",IF(IF(Z267&gt;0,AA267&lt;Z267-0.004,FALSE),"Due - deposit not taken",IF(IF(B267&gt;TodayDate,B267&lt;=TodayDate+2,FALSE),"Confirm - coming up","OK")))))))))))</f>
        <v>0</v>
      </c>
    </row>
    <row r="268" spans="1:34">
      <c r="A268" s="28">
        <f>IF(B268="","",AppointmentPrefix&amp;TEXT(ROW()-4,"0000"))</f>
        <v>0</v>
      </c>
      <c r="C268" s="15">
        <f>IF(B268="","",TEXT(B268,"ddd"))</f>
        <v>0</v>
      </c>
      <c r="F268" s="15">
        <f>IF(E268="","",IFERROR(INDEX(Clients!$B$5:$B$504,MATCH(E268,Clients!$A$5:$A$504,0)),"Walk-in"))</f>
        <v>0</v>
      </c>
      <c r="H268" s="15">
        <f>IF(G268="","",IFERROR(INDEX(Services!$B$5:$B$204,MATCH(G268,Services!$A$5:$A$204,0)),"Not in Services"))</f>
        <v>0</v>
      </c>
      <c r="J268" s="15">
        <f>IF(I268="","",IFERROR(INDEX(Staff!$B$5:$B$44,MATCH(I268,Staff!$A$5:$A$44,0)),"Unassigned"))</f>
        <v>0</v>
      </c>
      <c r="S268" s="15">
        <f>IF(B268="","",TEXT(B268,"yyyy-mm"))</f>
        <v>0</v>
      </c>
      <c r="T268" s="25">
        <f>IF(B268="","",WEEKNUM(B268,2))</f>
        <v>0</v>
      </c>
      <c r="U268" s="25">
        <f>IF(B268="","",IF(K268&lt;&gt;"",K268,IFERROR(INDEX(Services!$E$5:$E$204,MATCH(G268,Services!$A$5:$A$204,0))*1,0)+IFERROR(INDEX(Services!$F$5:$F$204,MATCH(G268,Services!$A$5:$A$204,0))*1,0)))</f>
        <v>0</v>
      </c>
      <c r="V268" s="36">
        <f>IF(B268="","",IF(D268="","",D268+U268/1440))</f>
        <v>0</v>
      </c>
      <c r="W268" s="25">
        <f>IF(B268="","",IF(D268="","",HOUR(D268)))</f>
        <v>0</v>
      </c>
      <c r="X268" s="37">
        <f>IF(B268="","",ROUND(U268/60,2))</f>
        <v>0</v>
      </c>
      <c r="Y268" s="26">
        <f>IF(B268="","",IF(L268&lt;&gt;"",L268,IFERROR(INDEX(Services!$G$5:$G$204,MATCH(G268,Services!$A$5:$A$204,0))*1,0)))</f>
        <v>0</v>
      </c>
      <c r="Z268" s="26">
        <f>IF(B268="","",IF(O268&lt;&gt;"",O268,IF(Y268&gt;=DepositThreshold,ROUND(Y268*DepositPercent,2),0)))</f>
        <v>0</v>
      </c>
      <c r="AA268" s="26">
        <f>IF(B268="","",ROUND(SUMIFS(Payments!$G$5:$G$1204,Payments!$I$5:$I$1204,A268,Payments!$E$5:$E$1204,"Deposit"),2))</f>
        <v>0</v>
      </c>
      <c r="AB268" s="26">
        <f>IF(B268="","",ROUND(SUMIFS(Sales!$Y$5:$Y$1204,Sales!$C$5:$C$1204,A268),2))</f>
        <v>0</v>
      </c>
      <c r="AC268" s="38">
        <f>IF(B268="","",IF(M268="Completed","Yes",IF(M268="Cancelled","Yes",IF(M268="No show","Yes","No"))))</f>
        <v>0</v>
      </c>
      <c r="AD268" s="25">
        <f>IF(B268="","",IF(AE268="","",B268-AE268))</f>
        <v>0</v>
      </c>
      <c r="AF268" s="38">
        <f>IF(B268="","",IF(M268&lt;&gt;"Completed","",IF(E268="","No",IF(COUNTIFS(Appointments!$E$5:$E$1204,E268,Appointments!$B$5:$B$1204,"&gt;"&amp;B268,Appointments!$M$5:$M$1204,"&lt;&gt;Cancelled")&gt;0,"Yes","No"))))</f>
        <v>0</v>
      </c>
      <c r="AG268" s="38">
        <f>IF(B268="","",IF(I268="","",IF(D268="","",IF(COUNTIFS($I$5:$I$1204,I268,$B$5:$B$1204,B268,$D$5:$D$1204,"&lt;"&amp;V268,$V$5:$V$1204,"&gt;"&amp;D268,$M$5:$M$1204,"&lt;&gt;Cancelled")&gt;1,"Clash",""))))</f>
        <v>0</v>
      </c>
      <c r="AH268" s="39">
        <f>IF(B268="","",IF(AG268="Clash","Clash - stylist double booked",IF(I268="","Assign - no stylist yet",IF(G268="","Add - no service chosen",IF(M268="No show","No show - charge the fee?",IF(M268="Cancelled","",IF(IF(M268="Completed",AB268&lt;Y268-0.004,FALSE),"Unpaid - nothing rung up for this visit",IF(IF(B268&lt;TodayDate,M268="Booked",FALSE),"Overdue - past date, still only Booked",IF(IF(B268=TodayDate,TRUE,FALSE),"Today",IF(IF(Z268&gt;0,AA268&lt;Z268-0.004,FALSE),"Due - deposit not taken",IF(IF(B268&gt;TodayDate,B268&lt;=TodayDate+2,FALSE),"Confirm - coming up","OK")))))))))))</f>
        <v>0</v>
      </c>
    </row>
    <row r="269" spans="1:34">
      <c r="A269" s="28">
        <f>IF(B269="","",AppointmentPrefix&amp;TEXT(ROW()-4,"0000"))</f>
        <v>0</v>
      </c>
      <c r="C269" s="15">
        <f>IF(B269="","",TEXT(B269,"ddd"))</f>
        <v>0</v>
      </c>
      <c r="F269" s="15">
        <f>IF(E269="","",IFERROR(INDEX(Clients!$B$5:$B$504,MATCH(E269,Clients!$A$5:$A$504,0)),"Walk-in"))</f>
        <v>0</v>
      </c>
      <c r="H269" s="15">
        <f>IF(G269="","",IFERROR(INDEX(Services!$B$5:$B$204,MATCH(G269,Services!$A$5:$A$204,0)),"Not in Services"))</f>
        <v>0</v>
      </c>
      <c r="J269" s="15">
        <f>IF(I269="","",IFERROR(INDEX(Staff!$B$5:$B$44,MATCH(I269,Staff!$A$5:$A$44,0)),"Unassigned"))</f>
        <v>0</v>
      </c>
      <c r="S269" s="15">
        <f>IF(B269="","",TEXT(B269,"yyyy-mm"))</f>
        <v>0</v>
      </c>
      <c r="T269" s="25">
        <f>IF(B269="","",WEEKNUM(B269,2))</f>
        <v>0</v>
      </c>
      <c r="U269" s="25">
        <f>IF(B269="","",IF(K269&lt;&gt;"",K269,IFERROR(INDEX(Services!$E$5:$E$204,MATCH(G269,Services!$A$5:$A$204,0))*1,0)+IFERROR(INDEX(Services!$F$5:$F$204,MATCH(G269,Services!$A$5:$A$204,0))*1,0)))</f>
        <v>0</v>
      </c>
      <c r="V269" s="36">
        <f>IF(B269="","",IF(D269="","",D269+U269/1440))</f>
        <v>0</v>
      </c>
      <c r="W269" s="25">
        <f>IF(B269="","",IF(D269="","",HOUR(D269)))</f>
        <v>0</v>
      </c>
      <c r="X269" s="37">
        <f>IF(B269="","",ROUND(U269/60,2))</f>
        <v>0</v>
      </c>
      <c r="Y269" s="26">
        <f>IF(B269="","",IF(L269&lt;&gt;"",L269,IFERROR(INDEX(Services!$G$5:$G$204,MATCH(G269,Services!$A$5:$A$204,0))*1,0)))</f>
        <v>0</v>
      </c>
      <c r="Z269" s="26">
        <f>IF(B269="","",IF(O269&lt;&gt;"",O269,IF(Y269&gt;=DepositThreshold,ROUND(Y269*DepositPercent,2),0)))</f>
        <v>0</v>
      </c>
      <c r="AA269" s="26">
        <f>IF(B269="","",ROUND(SUMIFS(Payments!$G$5:$G$1204,Payments!$I$5:$I$1204,A269,Payments!$E$5:$E$1204,"Deposit"),2))</f>
        <v>0</v>
      </c>
      <c r="AB269" s="26">
        <f>IF(B269="","",ROUND(SUMIFS(Sales!$Y$5:$Y$1204,Sales!$C$5:$C$1204,A269),2))</f>
        <v>0</v>
      </c>
      <c r="AC269" s="38">
        <f>IF(B269="","",IF(M269="Completed","Yes",IF(M269="Cancelled","Yes",IF(M269="No show","Yes","No"))))</f>
        <v>0</v>
      </c>
      <c r="AD269" s="25">
        <f>IF(B269="","",IF(AE269="","",B269-AE269))</f>
        <v>0</v>
      </c>
      <c r="AF269" s="38">
        <f>IF(B269="","",IF(M269&lt;&gt;"Completed","",IF(E269="","No",IF(COUNTIFS(Appointments!$E$5:$E$1204,E269,Appointments!$B$5:$B$1204,"&gt;"&amp;B269,Appointments!$M$5:$M$1204,"&lt;&gt;Cancelled")&gt;0,"Yes","No"))))</f>
        <v>0</v>
      </c>
      <c r="AG269" s="38">
        <f>IF(B269="","",IF(I269="","",IF(D269="","",IF(COUNTIFS($I$5:$I$1204,I269,$B$5:$B$1204,B269,$D$5:$D$1204,"&lt;"&amp;V269,$V$5:$V$1204,"&gt;"&amp;D269,$M$5:$M$1204,"&lt;&gt;Cancelled")&gt;1,"Clash",""))))</f>
        <v>0</v>
      </c>
      <c r="AH269" s="39">
        <f>IF(B269="","",IF(AG269="Clash","Clash - stylist double booked",IF(I269="","Assign - no stylist yet",IF(G269="","Add - no service chosen",IF(M269="No show","No show - charge the fee?",IF(M269="Cancelled","",IF(IF(M269="Completed",AB269&lt;Y269-0.004,FALSE),"Unpaid - nothing rung up for this visit",IF(IF(B269&lt;TodayDate,M269="Booked",FALSE),"Overdue - past date, still only Booked",IF(IF(B269=TodayDate,TRUE,FALSE),"Today",IF(IF(Z269&gt;0,AA269&lt;Z269-0.004,FALSE),"Due - deposit not taken",IF(IF(B269&gt;TodayDate,B269&lt;=TodayDate+2,FALSE),"Confirm - coming up","OK")))))))))))</f>
        <v>0</v>
      </c>
    </row>
    <row r="270" spans="1:34">
      <c r="A270" s="28">
        <f>IF(B270="","",AppointmentPrefix&amp;TEXT(ROW()-4,"0000"))</f>
        <v>0</v>
      </c>
      <c r="C270" s="15">
        <f>IF(B270="","",TEXT(B270,"ddd"))</f>
        <v>0</v>
      </c>
      <c r="F270" s="15">
        <f>IF(E270="","",IFERROR(INDEX(Clients!$B$5:$B$504,MATCH(E270,Clients!$A$5:$A$504,0)),"Walk-in"))</f>
        <v>0</v>
      </c>
      <c r="H270" s="15">
        <f>IF(G270="","",IFERROR(INDEX(Services!$B$5:$B$204,MATCH(G270,Services!$A$5:$A$204,0)),"Not in Services"))</f>
        <v>0</v>
      </c>
      <c r="J270" s="15">
        <f>IF(I270="","",IFERROR(INDEX(Staff!$B$5:$B$44,MATCH(I270,Staff!$A$5:$A$44,0)),"Unassigned"))</f>
        <v>0</v>
      </c>
      <c r="S270" s="15">
        <f>IF(B270="","",TEXT(B270,"yyyy-mm"))</f>
        <v>0</v>
      </c>
      <c r="T270" s="25">
        <f>IF(B270="","",WEEKNUM(B270,2))</f>
        <v>0</v>
      </c>
      <c r="U270" s="25">
        <f>IF(B270="","",IF(K270&lt;&gt;"",K270,IFERROR(INDEX(Services!$E$5:$E$204,MATCH(G270,Services!$A$5:$A$204,0))*1,0)+IFERROR(INDEX(Services!$F$5:$F$204,MATCH(G270,Services!$A$5:$A$204,0))*1,0)))</f>
        <v>0</v>
      </c>
      <c r="V270" s="36">
        <f>IF(B270="","",IF(D270="","",D270+U270/1440))</f>
        <v>0</v>
      </c>
      <c r="W270" s="25">
        <f>IF(B270="","",IF(D270="","",HOUR(D270)))</f>
        <v>0</v>
      </c>
      <c r="X270" s="37">
        <f>IF(B270="","",ROUND(U270/60,2))</f>
        <v>0</v>
      </c>
      <c r="Y270" s="26">
        <f>IF(B270="","",IF(L270&lt;&gt;"",L270,IFERROR(INDEX(Services!$G$5:$G$204,MATCH(G270,Services!$A$5:$A$204,0))*1,0)))</f>
        <v>0</v>
      </c>
      <c r="Z270" s="26">
        <f>IF(B270="","",IF(O270&lt;&gt;"",O270,IF(Y270&gt;=DepositThreshold,ROUND(Y270*DepositPercent,2),0)))</f>
        <v>0</v>
      </c>
      <c r="AA270" s="26">
        <f>IF(B270="","",ROUND(SUMIFS(Payments!$G$5:$G$1204,Payments!$I$5:$I$1204,A270,Payments!$E$5:$E$1204,"Deposit"),2))</f>
        <v>0</v>
      </c>
      <c r="AB270" s="26">
        <f>IF(B270="","",ROUND(SUMIFS(Sales!$Y$5:$Y$1204,Sales!$C$5:$C$1204,A270),2))</f>
        <v>0</v>
      </c>
      <c r="AC270" s="38">
        <f>IF(B270="","",IF(M270="Completed","Yes",IF(M270="Cancelled","Yes",IF(M270="No show","Yes","No"))))</f>
        <v>0</v>
      </c>
      <c r="AD270" s="25">
        <f>IF(B270="","",IF(AE270="","",B270-AE270))</f>
        <v>0</v>
      </c>
      <c r="AF270" s="38">
        <f>IF(B270="","",IF(M270&lt;&gt;"Completed","",IF(E270="","No",IF(COUNTIFS(Appointments!$E$5:$E$1204,E270,Appointments!$B$5:$B$1204,"&gt;"&amp;B270,Appointments!$M$5:$M$1204,"&lt;&gt;Cancelled")&gt;0,"Yes","No"))))</f>
        <v>0</v>
      </c>
      <c r="AG270" s="38">
        <f>IF(B270="","",IF(I270="","",IF(D270="","",IF(COUNTIFS($I$5:$I$1204,I270,$B$5:$B$1204,B270,$D$5:$D$1204,"&lt;"&amp;V270,$V$5:$V$1204,"&gt;"&amp;D270,$M$5:$M$1204,"&lt;&gt;Cancelled")&gt;1,"Clash",""))))</f>
        <v>0</v>
      </c>
      <c r="AH270" s="39">
        <f>IF(B270="","",IF(AG270="Clash","Clash - stylist double booked",IF(I270="","Assign - no stylist yet",IF(G270="","Add - no service chosen",IF(M270="No show","No show - charge the fee?",IF(M270="Cancelled","",IF(IF(M270="Completed",AB270&lt;Y270-0.004,FALSE),"Unpaid - nothing rung up for this visit",IF(IF(B270&lt;TodayDate,M270="Booked",FALSE),"Overdue - past date, still only Booked",IF(IF(B270=TodayDate,TRUE,FALSE),"Today",IF(IF(Z270&gt;0,AA270&lt;Z270-0.004,FALSE),"Due - deposit not taken",IF(IF(B270&gt;TodayDate,B270&lt;=TodayDate+2,FALSE),"Confirm - coming up","OK")))))))))))</f>
        <v>0</v>
      </c>
    </row>
    <row r="271" spans="1:34">
      <c r="A271" s="28">
        <f>IF(B271="","",AppointmentPrefix&amp;TEXT(ROW()-4,"0000"))</f>
        <v>0</v>
      </c>
      <c r="C271" s="15">
        <f>IF(B271="","",TEXT(B271,"ddd"))</f>
        <v>0</v>
      </c>
      <c r="F271" s="15">
        <f>IF(E271="","",IFERROR(INDEX(Clients!$B$5:$B$504,MATCH(E271,Clients!$A$5:$A$504,0)),"Walk-in"))</f>
        <v>0</v>
      </c>
      <c r="H271" s="15">
        <f>IF(G271="","",IFERROR(INDEX(Services!$B$5:$B$204,MATCH(G271,Services!$A$5:$A$204,0)),"Not in Services"))</f>
        <v>0</v>
      </c>
      <c r="J271" s="15">
        <f>IF(I271="","",IFERROR(INDEX(Staff!$B$5:$B$44,MATCH(I271,Staff!$A$5:$A$44,0)),"Unassigned"))</f>
        <v>0</v>
      </c>
      <c r="S271" s="15">
        <f>IF(B271="","",TEXT(B271,"yyyy-mm"))</f>
        <v>0</v>
      </c>
      <c r="T271" s="25">
        <f>IF(B271="","",WEEKNUM(B271,2))</f>
        <v>0</v>
      </c>
      <c r="U271" s="25">
        <f>IF(B271="","",IF(K271&lt;&gt;"",K271,IFERROR(INDEX(Services!$E$5:$E$204,MATCH(G271,Services!$A$5:$A$204,0))*1,0)+IFERROR(INDEX(Services!$F$5:$F$204,MATCH(G271,Services!$A$5:$A$204,0))*1,0)))</f>
        <v>0</v>
      </c>
      <c r="V271" s="36">
        <f>IF(B271="","",IF(D271="","",D271+U271/1440))</f>
        <v>0</v>
      </c>
      <c r="W271" s="25">
        <f>IF(B271="","",IF(D271="","",HOUR(D271)))</f>
        <v>0</v>
      </c>
      <c r="X271" s="37">
        <f>IF(B271="","",ROUND(U271/60,2))</f>
        <v>0</v>
      </c>
      <c r="Y271" s="26">
        <f>IF(B271="","",IF(L271&lt;&gt;"",L271,IFERROR(INDEX(Services!$G$5:$G$204,MATCH(G271,Services!$A$5:$A$204,0))*1,0)))</f>
        <v>0</v>
      </c>
      <c r="Z271" s="26">
        <f>IF(B271="","",IF(O271&lt;&gt;"",O271,IF(Y271&gt;=DepositThreshold,ROUND(Y271*DepositPercent,2),0)))</f>
        <v>0</v>
      </c>
      <c r="AA271" s="26">
        <f>IF(B271="","",ROUND(SUMIFS(Payments!$G$5:$G$1204,Payments!$I$5:$I$1204,A271,Payments!$E$5:$E$1204,"Deposit"),2))</f>
        <v>0</v>
      </c>
      <c r="AB271" s="26">
        <f>IF(B271="","",ROUND(SUMIFS(Sales!$Y$5:$Y$1204,Sales!$C$5:$C$1204,A271),2))</f>
        <v>0</v>
      </c>
      <c r="AC271" s="38">
        <f>IF(B271="","",IF(M271="Completed","Yes",IF(M271="Cancelled","Yes",IF(M271="No show","Yes","No"))))</f>
        <v>0</v>
      </c>
      <c r="AD271" s="25">
        <f>IF(B271="","",IF(AE271="","",B271-AE271))</f>
        <v>0</v>
      </c>
      <c r="AF271" s="38">
        <f>IF(B271="","",IF(M271&lt;&gt;"Completed","",IF(E271="","No",IF(COUNTIFS(Appointments!$E$5:$E$1204,E271,Appointments!$B$5:$B$1204,"&gt;"&amp;B271,Appointments!$M$5:$M$1204,"&lt;&gt;Cancelled")&gt;0,"Yes","No"))))</f>
        <v>0</v>
      </c>
      <c r="AG271" s="38">
        <f>IF(B271="","",IF(I271="","",IF(D271="","",IF(COUNTIFS($I$5:$I$1204,I271,$B$5:$B$1204,B271,$D$5:$D$1204,"&lt;"&amp;V271,$V$5:$V$1204,"&gt;"&amp;D271,$M$5:$M$1204,"&lt;&gt;Cancelled")&gt;1,"Clash",""))))</f>
        <v>0</v>
      </c>
      <c r="AH271" s="39">
        <f>IF(B271="","",IF(AG271="Clash","Clash - stylist double booked",IF(I271="","Assign - no stylist yet",IF(G271="","Add - no service chosen",IF(M271="No show","No show - charge the fee?",IF(M271="Cancelled","",IF(IF(M271="Completed",AB271&lt;Y271-0.004,FALSE),"Unpaid - nothing rung up for this visit",IF(IF(B271&lt;TodayDate,M271="Booked",FALSE),"Overdue - past date, still only Booked",IF(IF(B271=TodayDate,TRUE,FALSE),"Today",IF(IF(Z271&gt;0,AA271&lt;Z271-0.004,FALSE),"Due - deposit not taken",IF(IF(B271&gt;TodayDate,B271&lt;=TodayDate+2,FALSE),"Confirm - coming up","OK")))))))))))</f>
        <v>0</v>
      </c>
    </row>
    <row r="272" spans="1:34">
      <c r="A272" s="28">
        <f>IF(B272="","",AppointmentPrefix&amp;TEXT(ROW()-4,"0000"))</f>
        <v>0</v>
      </c>
      <c r="C272" s="15">
        <f>IF(B272="","",TEXT(B272,"ddd"))</f>
        <v>0</v>
      </c>
      <c r="F272" s="15">
        <f>IF(E272="","",IFERROR(INDEX(Clients!$B$5:$B$504,MATCH(E272,Clients!$A$5:$A$504,0)),"Walk-in"))</f>
        <v>0</v>
      </c>
      <c r="H272" s="15">
        <f>IF(G272="","",IFERROR(INDEX(Services!$B$5:$B$204,MATCH(G272,Services!$A$5:$A$204,0)),"Not in Services"))</f>
        <v>0</v>
      </c>
      <c r="J272" s="15">
        <f>IF(I272="","",IFERROR(INDEX(Staff!$B$5:$B$44,MATCH(I272,Staff!$A$5:$A$44,0)),"Unassigned"))</f>
        <v>0</v>
      </c>
      <c r="S272" s="15">
        <f>IF(B272="","",TEXT(B272,"yyyy-mm"))</f>
        <v>0</v>
      </c>
      <c r="T272" s="25">
        <f>IF(B272="","",WEEKNUM(B272,2))</f>
        <v>0</v>
      </c>
      <c r="U272" s="25">
        <f>IF(B272="","",IF(K272&lt;&gt;"",K272,IFERROR(INDEX(Services!$E$5:$E$204,MATCH(G272,Services!$A$5:$A$204,0))*1,0)+IFERROR(INDEX(Services!$F$5:$F$204,MATCH(G272,Services!$A$5:$A$204,0))*1,0)))</f>
        <v>0</v>
      </c>
      <c r="V272" s="36">
        <f>IF(B272="","",IF(D272="","",D272+U272/1440))</f>
        <v>0</v>
      </c>
      <c r="W272" s="25">
        <f>IF(B272="","",IF(D272="","",HOUR(D272)))</f>
        <v>0</v>
      </c>
      <c r="X272" s="37">
        <f>IF(B272="","",ROUND(U272/60,2))</f>
        <v>0</v>
      </c>
      <c r="Y272" s="26">
        <f>IF(B272="","",IF(L272&lt;&gt;"",L272,IFERROR(INDEX(Services!$G$5:$G$204,MATCH(G272,Services!$A$5:$A$204,0))*1,0)))</f>
        <v>0</v>
      </c>
      <c r="Z272" s="26">
        <f>IF(B272="","",IF(O272&lt;&gt;"",O272,IF(Y272&gt;=DepositThreshold,ROUND(Y272*DepositPercent,2),0)))</f>
        <v>0</v>
      </c>
      <c r="AA272" s="26">
        <f>IF(B272="","",ROUND(SUMIFS(Payments!$G$5:$G$1204,Payments!$I$5:$I$1204,A272,Payments!$E$5:$E$1204,"Deposit"),2))</f>
        <v>0</v>
      </c>
      <c r="AB272" s="26">
        <f>IF(B272="","",ROUND(SUMIFS(Sales!$Y$5:$Y$1204,Sales!$C$5:$C$1204,A272),2))</f>
        <v>0</v>
      </c>
      <c r="AC272" s="38">
        <f>IF(B272="","",IF(M272="Completed","Yes",IF(M272="Cancelled","Yes",IF(M272="No show","Yes","No"))))</f>
        <v>0</v>
      </c>
      <c r="AD272" s="25">
        <f>IF(B272="","",IF(AE272="","",B272-AE272))</f>
        <v>0</v>
      </c>
      <c r="AF272" s="38">
        <f>IF(B272="","",IF(M272&lt;&gt;"Completed","",IF(E272="","No",IF(COUNTIFS(Appointments!$E$5:$E$1204,E272,Appointments!$B$5:$B$1204,"&gt;"&amp;B272,Appointments!$M$5:$M$1204,"&lt;&gt;Cancelled")&gt;0,"Yes","No"))))</f>
        <v>0</v>
      </c>
      <c r="AG272" s="38">
        <f>IF(B272="","",IF(I272="","",IF(D272="","",IF(COUNTIFS($I$5:$I$1204,I272,$B$5:$B$1204,B272,$D$5:$D$1204,"&lt;"&amp;V272,$V$5:$V$1204,"&gt;"&amp;D272,$M$5:$M$1204,"&lt;&gt;Cancelled")&gt;1,"Clash",""))))</f>
        <v>0</v>
      </c>
      <c r="AH272" s="39">
        <f>IF(B272="","",IF(AG272="Clash","Clash - stylist double booked",IF(I272="","Assign - no stylist yet",IF(G272="","Add - no service chosen",IF(M272="No show","No show - charge the fee?",IF(M272="Cancelled","",IF(IF(M272="Completed",AB272&lt;Y272-0.004,FALSE),"Unpaid - nothing rung up for this visit",IF(IF(B272&lt;TodayDate,M272="Booked",FALSE),"Overdue - past date, still only Booked",IF(IF(B272=TodayDate,TRUE,FALSE),"Today",IF(IF(Z272&gt;0,AA272&lt;Z272-0.004,FALSE),"Due - deposit not taken",IF(IF(B272&gt;TodayDate,B272&lt;=TodayDate+2,FALSE),"Confirm - coming up","OK")))))))))))</f>
        <v>0</v>
      </c>
    </row>
    <row r="273" spans="1:34">
      <c r="A273" s="28">
        <f>IF(B273="","",AppointmentPrefix&amp;TEXT(ROW()-4,"0000"))</f>
        <v>0</v>
      </c>
      <c r="C273" s="15">
        <f>IF(B273="","",TEXT(B273,"ddd"))</f>
        <v>0</v>
      </c>
      <c r="F273" s="15">
        <f>IF(E273="","",IFERROR(INDEX(Clients!$B$5:$B$504,MATCH(E273,Clients!$A$5:$A$504,0)),"Walk-in"))</f>
        <v>0</v>
      </c>
      <c r="H273" s="15">
        <f>IF(G273="","",IFERROR(INDEX(Services!$B$5:$B$204,MATCH(G273,Services!$A$5:$A$204,0)),"Not in Services"))</f>
        <v>0</v>
      </c>
      <c r="J273" s="15">
        <f>IF(I273="","",IFERROR(INDEX(Staff!$B$5:$B$44,MATCH(I273,Staff!$A$5:$A$44,0)),"Unassigned"))</f>
        <v>0</v>
      </c>
      <c r="S273" s="15">
        <f>IF(B273="","",TEXT(B273,"yyyy-mm"))</f>
        <v>0</v>
      </c>
      <c r="T273" s="25">
        <f>IF(B273="","",WEEKNUM(B273,2))</f>
        <v>0</v>
      </c>
      <c r="U273" s="25">
        <f>IF(B273="","",IF(K273&lt;&gt;"",K273,IFERROR(INDEX(Services!$E$5:$E$204,MATCH(G273,Services!$A$5:$A$204,0))*1,0)+IFERROR(INDEX(Services!$F$5:$F$204,MATCH(G273,Services!$A$5:$A$204,0))*1,0)))</f>
        <v>0</v>
      </c>
      <c r="V273" s="36">
        <f>IF(B273="","",IF(D273="","",D273+U273/1440))</f>
        <v>0</v>
      </c>
      <c r="W273" s="25">
        <f>IF(B273="","",IF(D273="","",HOUR(D273)))</f>
        <v>0</v>
      </c>
      <c r="X273" s="37">
        <f>IF(B273="","",ROUND(U273/60,2))</f>
        <v>0</v>
      </c>
      <c r="Y273" s="26">
        <f>IF(B273="","",IF(L273&lt;&gt;"",L273,IFERROR(INDEX(Services!$G$5:$G$204,MATCH(G273,Services!$A$5:$A$204,0))*1,0)))</f>
        <v>0</v>
      </c>
      <c r="Z273" s="26">
        <f>IF(B273="","",IF(O273&lt;&gt;"",O273,IF(Y273&gt;=DepositThreshold,ROUND(Y273*DepositPercent,2),0)))</f>
        <v>0</v>
      </c>
      <c r="AA273" s="26">
        <f>IF(B273="","",ROUND(SUMIFS(Payments!$G$5:$G$1204,Payments!$I$5:$I$1204,A273,Payments!$E$5:$E$1204,"Deposit"),2))</f>
        <v>0</v>
      </c>
      <c r="AB273" s="26">
        <f>IF(B273="","",ROUND(SUMIFS(Sales!$Y$5:$Y$1204,Sales!$C$5:$C$1204,A273),2))</f>
        <v>0</v>
      </c>
      <c r="AC273" s="38">
        <f>IF(B273="","",IF(M273="Completed","Yes",IF(M273="Cancelled","Yes",IF(M273="No show","Yes","No"))))</f>
        <v>0</v>
      </c>
      <c r="AD273" s="25">
        <f>IF(B273="","",IF(AE273="","",B273-AE273))</f>
        <v>0</v>
      </c>
      <c r="AF273" s="38">
        <f>IF(B273="","",IF(M273&lt;&gt;"Completed","",IF(E273="","No",IF(COUNTIFS(Appointments!$E$5:$E$1204,E273,Appointments!$B$5:$B$1204,"&gt;"&amp;B273,Appointments!$M$5:$M$1204,"&lt;&gt;Cancelled")&gt;0,"Yes","No"))))</f>
        <v>0</v>
      </c>
      <c r="AG273" s="38">
        <f>IF(B273="","",IF(I273="","",IF(D273="","",IF(COUNTIFS($I$5:$I$1204,I273,$B$5:$B$1204,B273,$D$5:$D$1204,"&lt;"&amp;V273,$V$5:$V$1204,"&gt;"&amp;D273,$M$5:$M$1204,"&lt;&gt;Cancelled")&gt;1,"Clash",""))))</f>
        <v>0</v>
      </c>
      <c r="AH273" s="39">
        <f>IF(B273="","",IF(AG273="Clash","Clash - stylist double booked",IF(I273="","Assign - no stylist yet",IF(G273="","Add - no service chosen",IF(M273="No show","No show - charge the fee?",IF(M273="Cancelled","",IF(IF(M273="Completed",AB273&lt;Y273-0.004,FALSE),"Unpaid - nothing rung up for this visit",IF(IF(B273&lt;TodayDate,M273="Booked",FALSE),"Overdue - past date, still only Booked",IF(IF(B273=TodayDate,TRUE,FALSE),"Today",IF(IF(Z273&gt;0,AA273&lt;Z273-0.004,FALSE),"Due - deposit not taken",IF(IF(B273&gt;TodayDate,B273&lt;=TodayDate+2,FALSE),"Confirm - coming up","OK")))))))))))</f>
        <v>0</v>
      </c>
    </row>
    <row r="274" spans="1:34">
      <c r="A274" s="28">
        <f>IF(B274="","",AppointmentPrefix&amp;TEXT(ROW()-4,"0000"))</f>
        <v>0</v>
      </c>
      <c r="C274" s="15">
        <f>IF(B274="","",TEXT(B274,"ddd"))</f>
        <v>0</v>
      </c>
      <c r="F274" s="15">
        <f>IF(E274="","",IFERROR(INDEX(Clients!$B$5:$B$504,MATCH(E274,Clients!$A$5:$A$504,0)),"Walk-in"))</f>
        <v>0</v>
      </c>
      <c r="H274" s="15">
        <f>IF(G274="","",IFERROR(INDEX(Services!$B$5:$B$204,MATCH(G274,Services!$A$5:$A$204,0)),"Not in Services"))</f>
        <v>0</v>
      </c>
      <c r="J274" s="15">
        <f>IF(I274="","",IFERROR(INDEX(Staff!$B$5:$B$44,MATCH(I274,Staff!$A$5:$A$44,0)),"Unassigned"))</f>
        <v>0</v>
      </c>
      <c r="S274" s="15">
        <f>IF(B274="","",TEXT(B274,"yyyy-mm"))</f>
        <v>0</v>
      </c>
      <c r="T274" s="25">
        <f>IF(B274="","",WEEKNUM(B274,2))</f>
        <v>0</v>
      </c>
      <c r="U274" s="25">
        <f>IF(B274="","",IF(K274&lt;&gt;"",K274,IFERROR(INDEX(Services!$E$5:$E$204,MATCH(G274,Services!$A$5:$A$204,0))*1,0)+IFERROR(INDEX(Services!$F$5:$F$204,MATCH(G274,Services!$A$5:$A$204,0))*1,0)))</f>
        <v>0</v>
      </c>
      <c r="V274" s="36">
        <f>IF(B274="","",IF(D274="","",D274+U274/1440))</f>
        <v>0</v>
      </c>
      <c r="W274" s="25">
        <f>IF(B274="","",IF(D274="","",HOUR(D274)))</f>
        <v>0</v>
      </c>
      <c r="X274" s="37">
        <f>IF(B274="","",ROUND(U274/60,2))</f>
        <v>0</v>
      </c>
      <c r="Y274" s="26">
        <f>IF(B274="","",IF(L274&lt;&gt;"",L274,IFERROR(INDEX(Services!$G$5:$G$204,MATCH(G274,Services!$A$5:$A$204,0))*1,0)))</f>
        <v>0</v>
      </c>
      <c r="Z274" s="26">
        <f>IF(B274="","",IF(O274&lt;&gt;"",O274,IF(Y274&gt;=DepositThreshold,ROUND(Y274*DepositPercent,2),0)))</f>
        <v>0</v>
      </c>
      <c r="AA274" s="26">
        <f>IF(B274="","",ROUND(SUMIFS(Payments!$G$5:$G$1204,Payments!$I$5:$I$1204,A274,Payments!$E$5:$E$1204,"Deposit"),2))</f>
        <v>0</v>
      </c>
      <c r="AB274" s="26">
        <f>IF(B274="","",ROUND(SUMIFS(Sales!$Y$5:$Y$1204,Sales!$C$5:$C$1204,A274),2))</f>
        <v>0</v>
      </c>
      <c r="AC274" s="38">
        <f>IF(B274="","",IF(M274="Completed","Yes",IF(M274="Cancelled","Yes",IF(M274="No show","Yes","No"))))</f>
        <v>0</v>
      </c>
      <c r="AD274" s="25">
        <f>IF(B274="","",IF(AE274="","",B274-AE274))</f>
        <v>0</v>
      </c>
      <c r="AF274" s="38">
        <f>IF(B274="","",IF(M274&lt;&gt;"Completed","",IF(E274="","No",IF(COUNTIFS(Appointments!$E$5:$E$1204,E274,Appointments!$B$5:$B$1204,"&gt;"&amp;B274,Appointments!$M$5:$M$1204,"&lt;&gt;Cancelled")&gt;0,"Yes","No"))))</f>
        <v>0</v>
      </c>
      <c r="AG274" s="38">
        <f>IF(B274="","",IF(I274="","",IF(D274="","",IF(COUNTIFS($I$5:$I$1204,I274,$B$5:$B$1204,B274,$D$5:$D$1204,"&lt;"&amp;V274,$V$5:$V$1204,"&gt;"&amp;D274,$M$5:$M$1204,"&lt;&gt;Cancelled")&gt;1,"Clash",""))))</f>
        <v>0</v>
      </c>
      <c r="AH274" s="39">
        <f>IF(B274="","",IF(AG274="Clash","Clash - stylist double booked",IF(I274="","Assign - no stylist yet",IF(G274="","Add - no service chosen",IF(M274="No show","No show - charge the fee?",IF(M274="Cancelled","",IF(IF(M274="Completed",AB274&lt;Y274-0.004,FALSE),"Unpaid - nothing rung up for this visit",IF(IF(B274&lt;TodayDate,M274="Booked",FALSE),"Overdue - past date, still only Booked",IF(IF(B274=TodayDate,TRUE,FALSE),"Today",IF(IF(Z274&gt;0,AA274&lt;Z274-0.004,FALSE),"Due - deposit not taken",IF(IF(B274&gt;TodayDate,B274&lt;=TodayDate+2,FALSE),"Confirm - coming up","OK")))))))))))</f>
        <v>0</v>
      </c>
    </row>
    <row r="275" spans="1:34">
      <c r="A275" s="28">
        <f>IF(B275="","",AppointmentPrefix&amp;TEXT(ROW()-4,"0000"))</f>
        <v>0</v>
      </c>
      <c r="C275" s="15">
        <f>IF(B275="","",TEXT(B275,"ddd"))</f>
        <v>0</v>
      </c>
      <c r="F275" s="15">
        <f>IF(E275="","",IFERROR(INDEX(Clients!$B$5:$B$504,MATCH(E275,Clients!$A$5:$A$504,0)),"Walk-in"))</f>
        <v>0</v>
      </c>
      <c r="H275" s="15">
        <f>IF(G275="","",IFERROR(INDEX(Services!$B$5:$B$204,MATCH(G275,Services!$A$5:$A$204,0)),"Not in Services"))</f>
        <v>0</v>
      </c>
      <c r="J275" s="15">
        <f>IF(I275="","",IFERROR(INDEX(Staff!$B$5:$B$44,MATCH(I275,Staff!$A$5:$A$44,0)),"Unassigned"))</f>
        <v>0</v>
      </c>
      <c r="S275" s="15">
        <f>IF(B275="","",TEXT(B275,"yyyy-mm"))</f>
        <v>0</v>
      </c>
      <c r="T275" s="25">
        <f>IF(B275="","",WEEKNUM(B275,2))</f>
        <v>0</v>
      </c>
      <c r="U275" s="25">
        <f>IF(B275="","",IF(K275&lt;&gt;"",K275,IFERROR(INDEX(Services!$E$5:$E$204,MATCH(G275,Services!$A$5:$A$204,0))*1,0)+IFERROR(INDEX(Services!$F$5:$F$204,MATCH(G275,Services!$A$5:$A$204,0))*1,0)))</f>
        <v>0</v>
      </c>
      <c r="V275" s="36">
        <f>IF(B275="","",IF(D275="","",D275+U275/1440))</f>
        <v>0</v>
      </c>
      <c r="W275" s="25">
        <f>IF(B275="","",IF(D275="","",HOUR(D275)))</f>
        <v>0</v>
      </c>
      <c r="X275" s="37">
        <f>IF(B275="","",ROUND(U275/60,2))</f>
        <v>0</v>
      </c>
      <c r="Y275" s="26">
        <f>IF(B275="","",IF(L275&lt;&gt;"",L275,IFERROR(INDEX(Services!$G$5:$G$204,MATCH(G275,Services!$A$5:$A$204,0))*1,0)))</f>
        <v>0</v>
      </c>
      <c r="Z275" s="26">
        <f>IF(B275="","",IF(O275&lt;&gt;"",O275,IF(Y275&gt;=DepositThreshold,ROUND(Y275*DepositPercent,2),0)))</f>
        <v>0</v>
      </c>
      <c r="AA275" s="26">
        <f>IF(B275="","",ROUND(SUMIFS(Payments!$G$5:$G$1204,Payments!$I$5:$I$1204,A275,Payments!$E$5:$E$1204,"Deposit"),2))</f>
        <v>0</v>
      </c>
      <c r="AB275" s="26">
        <f>IF(B275="","",ROUND(SUMIFS(Sales!$Y$5:$Y$1204,Sales!$C$5:$C$1204,A275),2))</f>
        <v>0</v>
      </c>
      <c r="AC275" s="38">
        <f>IF(B275="","",IF(M275="Completed","Yes",IF(M275="Cancelled","Yes",IF(M275="No show","Yes","No"))))</f>
        <v>0</v>
      </c>
      <c r="AD275" s="25">
        <f>IF(B275="","",IF(AE275="","",B275-AE275))</f>
        <v>0</v>
      </c>
      <c r="AF275" s="38">
        <f>IF(B275="","",IF(M275&lt;&gt;"Completed","",IF(E275="","No",IF(COUNTIFS(Appointments!$E$5:$E$1204,E275,Appointments!$B$5:$B$1204,"&gt;"&amp;B275,Appointments!$M$5:$M$1204,"&lt;&gt;Cancelled")&gt;0,"Yes","No"))))</f>
        <v>0</v>
      </c>
      <c r="AG275" s="38">
        <f>IF(B275="","",IF(I275="","",IF(D275="","",IF(COUNTIFS($I$5:$I$1204,I275,$B$5:$B$1204,B275,$D$5:$D$1204,"&lt;"&amp;V275,$V$5:$V$1204,"&gt;"&amp;D275,$M$5:$M$1204,"&lt;&gt;Cancelled")&gt;1,"Clash",""))))</f>
        <v>0</v>
      </c>
      <c r="AH275" s="39">
        <f>IF(B275="","",IF(AG275="Clash","Clash - stylist double booked",IF(I275="","Assign - no stylist yet",IF(G275="","Add - no service chosen",IF(M275="No show","No show - charge the fee?",IF(M275="Cancelled","",IF(IF(M275="Completed",AB275&lt;Y275-0.004,FALSE),"Unpaid - nothing rung up for this visit",IF(IF(B275&lt;TodayDate,M275="Booked",FALSE),"Overdue - past date, still only Booked",IF(IF(B275=TodayDate,TRUE,FALSE),"Today",IF(IF(Z275&gt;0,AA275&lt;Z275-0.004,FALSE),"Due - deposit not taken",IF(IF(B275&gt;TodayDate,B275&lt;=TodayDate+2,FALSE),"Confirm - coming up","OK")))))))))))</f>
        <v>0</v>
      </c>
    </row>
    <row r="276" spans="1:34">
      <c r="A276" s="28">
        <f>IF(B276="","",AppointmentPrefix&amp;TEXT(ROW()-4,"0000"))</f>
        <v>0</v>
      </c>
      <c r="C276" s="15">
        <f>IF(B276="","",TEXT(B276,"ddd"))</f>
        <v>0</v>
      </c>
      <c r="F276" s="15">
        <f>IF(E276="","",IFERROR(INDEX(Clients!$B$5:$B$504,MATCH(E276,Clients!$A$5:$A$504,0)),"Walk-in"))</f>
        <v>0</v>
      </c>
      <c r="H276" s="15">
        <f>IF(G276="","",IFERROR(INDEX(Services!$B$5:$B$204,MATCH(G276,Services!$A$5:$A$204,0)),"Not in Services"))</f>
        <v>0</v>
      </c>
      <c r="J276" s="15">
        <f>IF(I276="","",IFERROR(INDEX(Staff!$B$5:$B$44,MATCH(I276,Staff!$A$5:$A$44,0)),"Unassigned"))</f>
        <v>0</v>
      </c>
      <c r="S276" s="15">
        <f>IF(B276="","",TEXT(B276,"yyyy-mm"))</f>
        <v>0</v>
      </c>
      <c r="T276" s="25">
        <f>IF(B276="","",WEEKNUM(B276,2))</f>
        <v>0</v>
      </c>
      <c r="U276" s="25">
        <f>IF(B276="","",IF(K276&lt;&gt;"",K276,IFERROR(INDEX(Services!$E$5:$E$204,MATCH(G276,Services!$A$5:$A$204,0))*1,0)+IFERROR(INDEX(Services!$F$5:$F$204,MATCH(G276,Services!$A$5:$A$204,0))*1,0)))</f>
        <v>0</v>
      </c>
      <c r="V276" s="36">
        <f>IF(B276="","",IF(D276="","",D276+U276/1440))</f>
        <v>0</v>
      </c>
      <c r="W276" s="25">
        <f>IF(B276="","",IF(D276="","",HOUR(D276)))</f>
        <v>0</v>
      </c>
      <c r="X276" s="37">
        <f>IF(B276="","",ROUND(U276/60,2))</f>
        <v>0</v>
      </c>
      <c r="Y276" s="26">
        <f>IF(B276="","",IF(L276&lt;&gt;"",L276,IFERROR(INDEX(Services!$G$5:$G$204,MATCH(G276,Services!$A$5:$A$204,0))*1,0)))</f>
        <v>0</v>
      </c>
      <c r="Z276" s="26">
        <f>IF(B276="","",IF(O276&lt;&gt;"",O276,IF(Y276&gt;=DepositThreshold,ROUND(Y276*DepositPercent,2),0)))</f>
        <v>0</v>
      </c>
      <c r="AA276" s="26">
        <f>IF(B276="","",ROUND(SUMIFS(Payments!$G$5:$G$1204,Payments!$I$5:$I$1204,A276,Payments!$E$5:$E$1204,"Deposit"),2))</f>
        <v>0</v>
      </c>
      <c r="AB276" s="26">
        <f>IF(B276="","",ROUND(SUMIFS(Sales!$Y$5:$Y$1204,Sales!$C$5:$C$1204,A276),2))</f>
        <v>0</v>
      </c>
      <c r="AC276" s="38">
        <f>IF(B276="","",IF(M276="Completed","Yes",IF(M276="Cancelled","Yes",IF(M276="No show","Yes","No"))))</f>
        <v>0</v>
      </c>
      <c r="AD276" s="25">
        <f>IF(B276="","",IF(AE276="","",B276-AE276))</f>
        <v>0</v>
      </c>
      <c r="AF276" s="38">
        <f>IF(B276="","",IF(M276&lt;&gt;"Completed","",IF(E276="","No",IF(COUNTIFS(Appointments!$E$5:$E$1204,E276,Appointments!$B$5:$B$1204,"&gt;"&amp;B276,Appointments!$M$5:$M$1204,"&lt;&gt;Cancelled")&gt;0,"Yes","No"))))</f>
        <v>0</v>
      </c>
      <c r="AG276" s="38">
        <f>IF(B276="","",IF(I276="","",IF(D276="","",IF(COUNTIFS($I$5:$I$1204,I276,$B$5:$B$1204,B276,$D$5:$D$1204,"&lt;"&amp;V276,$V$5:$V$1204,"&gt;"&amp;D276,$M$5:$M$1204,"&lt;&gt;Cancelled")&gt;1,"Clash",""))))</f>
        <v>0</v>
      </c>
      <c r="AH276" s="39">
        <f>IF(B276="","",IF(AG276="Clash","Clash - stylist double booked",IF(I276="","Assign - no stylist yet",IF(G276="","Add - no service chosen",IF(M276="No show","No show - charge the fee?",IF(M276="Cancelled","",IF(IF(M276="Completed",AB276&lt;Y276-0.004,FALSE),"Unpaid - nothing rung up for this visit",IF(IF(B276&lt;TodayDate,M276="Booked",FALSE),"Overdue - past date, still only Booked",IF(IF(B276=TodayDate,TRUE,FALSE),"Today",IF(IF(Z276&gt;0,AA276&lt;Z276-0.004,FALSE),"Due - deposit not taken",IF(IF(B276&gt;TodayDate,B276&lt;=TodayDate+2,FALSE),"Confirm - coming up","OK")))))))))))</f>
        <v>0</v>
      </c>
    </row>
    <row r="277" spans="1:34">
      <c r="A277" s="28">
        <f>IF(B277="","",AppointmentPrefix&amp;TEXT(ROW()-4,"0000"))</f>
        <v>0</v>
      </c>
      <c r="C277" s="15">
        <f>IF(B277="","",TEXT(B277,"ddd"))</f>
        <v>0</v>
      </c>
      <c r="F277" s="15">
        <f>IF(E277="","",IFERROR(INDEX(Clients!$B$5:$B$504,MATCH(E277,Clients!$A$5:$A$504,0)),"Walk-in"))</f>
        <v>0</v>
      </c>
      <c r="H277" s="15">
        <f>IF(G277="","",IFERROR(INDEX(Services!$B$5:$B$204,MATCH(G277,Services!$A$5:$A$204,0)),"Not in Services"))</f>
        <v>0</v>
      </c>
      <c r="J277" s="15">
        <f>IF(I277="","",IFERROR(INDEX(Staff!$B$5:$B$44,MATCH(I277,Staff!$A$5:$A$44,0)),"Unassigned"))</f>
        <v>0</v>
      </c>
      <c r="S277" s="15">
        <f>IF(B277="","",TEXT(B277,"yyyy-mm"))</f>
        <v>0</v>
      </c>
      <c r="T277" s="25">
        <f>IF(B277="","",WEEKNUM(B277,2))</f>
        <v>0</v>
      </c>
      <c r="U277" s="25">
        <f>IF(B277="","",IF(K277&lt;&gt;"",K277,IFERROR(INDEX(Services!$E$5:$E$204,MATCH(G277,Services!$A$5:$A$204,0))*1,0)+IFERROR(INDEX(Services!$F$5:$F$204,MATCH(G277,Services!$A$5:$A$204,0))*1,0)))</f>
        <v>0</v>
      </c>
      <c r="V277" s="36">
        <f>IF(B277="","",IF(D277="","",D277+U277/1440))</f>
        <v>0</v>
      </c>
      <c r="W277" s="25">
        <f>IF(B277="","",IF(D277="","",HOUR(D277)))</f>
        <v>0</v>
      </c>
      <c r="X277" s="37">
        <f>IF(B277="","",ROUND(U277/60,2))</f>
        <v>0</v>
      </c>
      <c r="Y277" s="26">
        <f>IF(B277="","",IF(L277&lt;&gt;"",L277,IFERROR(INDEX(Services!$G$5:$G$204,MATCH(G277,Services!$A$5:$A$204,0))*1,0)))</f>
        <v>0</v>
      </c>
      <c r="Z277" s="26">
        <f>IF(B277="","",IF(O277&lt;&gt;"",O277,IF(Y277&gt;=DepositThreshold,ROUND(Y277*DepositPercent,2),0)))</f>
        <v>0</v>
      </c>
      <c r="AA277" s="26">
        <f>IF(B277="","",ROUND(SUMIFS(Payments!$G$5:$G$1204,Payments!$I$5:$I$1204,A277,Payments!$E$5:$E$1204,"Deposit"),2))</f>
        <v>0</v>
      </c>
      <c r="AB277" s="26">
        <f>IF(B277="","",ROUND(SUMIFS(Sales!$Y$5:$Y$1204,Sales!$C$5:$C$1204,A277),2))</f>
        <v>0</v>
      </c>
      <c r="AC277" s="38">
        <f>IF(B277="","",IF(M277="Completed","Yes",IF(M277="Cancelled","Yes",IF(M277="No show","Yes","No"))))</f>
        <v>0</v>
      </c>
      <c r="AD277" s="25">
        <f>IF(B277="","",IF(AE277="","",B277-AE277))</f>
        <v>0</v>
      </c>
      <c r="AF277" s="38">
        <f>IF(B277="","",IF(M277&lt;&gt;"Completed","",IF(E277="","No",IF(COUNTIFS(Appointments!$E$5:$E$1204,E277,Appointments!$B$5:$B$1204,"&gt;"&amp;B277,Appointments!$M$5:$M$1204,"&lt;&gt;Cancelled")&gt;0,"Yes","No"))))</f>
        <v>0</v>
      </c>
      <c r="AG277" s="38">
        <f>IF(B277="","",IF(I277="","",IF(D277="","",IF(COUNTIFS($I$5:$I$1204,I277,$B$5:$B$1204,B277,$D$5:$D$1204,"&lt;"&amp;V277,$V$5:$V$1204,"&gt;"&amp;D277,$M$5:$M$1204,"&lt;&gt;Cancelled")&gt;1,"Clash",""))))</f>
        <v>0</v>
      </c>
      <c r="AH277" s="39">
        <f>IF(B277="","",IF(AG277="Clash","Clash - stylist double booked",IF(I277="","Assign - no stylist yet",IF(G277="","Add - no service chosen",IF(M277="No show","No show - charge the fee?",IF(M277="Cancelled","",IF(IF(M277="Completed",AB277&lt;Y277-0.004,FALSE),"Unpaid - nothing rung up for this visit",IF(IF(B277&lt;TodayDate,M277="Booked",FALSE),"Overdue - past date, still only Booked",IF(IF(B277=TodayDate,TRUE,FALSE),"Today",IF(IF(Z277&gt;0,AA277&lt;Z277-0.004,FALSE),"Due - deposit not taken",IF(IF(B277&gt;TodayDate,B277&lt;=TodayDate+2,FALSE),"Confirm - coming up","OK")))))))))))</f>
        <v>0</v>
      </c>
    </row>
    <row r="278" spans="1:34">
      <c r="A278" s="28">
        <f>IF(B278="","",AppointmentPrefix&amp;TEXT(ROW()-4,"0000"))</f>
        <v>0</v>
      </c>
      <c r="C278" s="15">
        <f>IF(B278="","",TEXT(B278,"ddd"))</f>
        <v>0</v>
      </c>
      <c r="F278" s="15">
        <f>IF(E278="","",IFERROR(INDEX(Clients!$B$5:$B$504,MATCH(E278,Clients!$A$5:$A$504,0)),"Walk-in"))</f>
        <v>0</v>
      </c>
      <c r="H278" s="15">
        <f>IF(G278="","",IFERROR(INDEX(Services!$B$5:$B$204,MATCH(G278,Services!$A$5:$A$204,0)),"Not in Services"))</f>
        <v>0</v>
      </c>
      <c r="J278" s="15">
        <f>IF(I278="","",IFERROR(INDEX(Staff!$B$5:$B$44,MATCH(I278,Staff!$A$5:$A$44,0)),"Unassigned"))</f>
        <v>0</v>
      </c>
      <c r="S278" s="15">
        <f>IF(B278="","",TEXT(B278,"yyyy-mm"))</f>
        <v>0</v>
      </c>
      <c r="T278" s="25">
        <f>IF(B278="","",WEEKNUM(B278,2))</f>
        <v>0</v>
      </c>
      <c r="U278" s="25">
        <f>IF(B278="","",IF(K278&lt;&gt;"",K278,IFERROR(INDEX(Services!$E$5:$E$204,MATCH(G278,Services!$A$5:$A$204,0))*1,0)+IFERROR(INDEX(Services!$F$5:$F$204,MATCH(G278,Services!$A$5:$A$204,0))*1,0)))</f>
        <v>0</v>
      </c>
      <c r="V278" s="36">
        <f>IF(B278="","",IF(D278="","",D278+U278/1440))</f>
        <v>0</v>
      </c>
      <c r="W278" s="25">
        <f>IF(B278="","",IF(D278="","",HOUR(D278)))</f>
        <v>0</v>
      </c>
      <c r="X278" s="37">
        <f>IF(B278="","",ROUND(U278/60,2))</f>
        <v>0</v>
      </c>
      <c r="Y278" s="26">
        <f>IF(B278="","",IF(L278&lt;&gt;"",L278,IFERROR(INDEX(Services!$G$5:$G$204,MATCH(G278,Services!$A$5:$A$204,0))*1,0)))</f>
        <v>0</v>
      </c>
      <c r="Z278" s="26">
        <f>IF(B278="","",IF(O278&lt;&gt;"",O278,IF(Y278&gt;=DepositThreshold,ROUND(Y278*DepositPercent,2),0)))</f>
        <v>0</v>
      </c>
      <c r="AA278" s="26">
        <f>IF(B278="","",ROUND(SUMIFS(Payments!$G$5:$G$1204,Payments!$I$5:$I$1204,A278,Payments!$E$5:$E$1204,"Deposit"),2))</f>
        <v>0</v>
      </c>
      <c r="AB278" s="26">
        <f>IF(B278="","",ROUND(SUMIFS(Sales!$Y$5:$Y$1204,Sales!$C$5:$C$1204,A278),2))</f>
        <v>0</v>
      </c>
      <c r="AC278" s="38">
        <f>IF(B278="","",IF(M278="Completed","Yes",IF(M278="Cancelled","Yes",IF(M278="No show","Yes","No"))))</f>
        <v>0</v>
      </c>
      <c r="AD278" s="25">
        <f>IF(B278="","",IF(AE278="","",B278-AE278))</f>
        <v>0</v>
      </c>
      <c r="AF278" s="38">
        <f>IF(B278="","",IF(M278&lt;&gt;"Completed","",IF(E278="","No",IF(COUNTIFS(Appointments!$E$5:$E$1204,E278,Appointments!$B$5:$B$1204,"&gt;"&amp;B278,Appointments!$M$5:$M$1204,"&lt;&gt;Cancelled")&gt;0,"Yes","No"))))</f>
        <v>0</v>
      </c>
      <c r="AG278" s="38">
        <f>IF(B278="","",IF(I278="","",IF(D278="","",IF(COUNTIFS($I$5:$I$1204,I278,$B$5:$B$1204,B278,$D$5:$D$1204,"&lt;"&amp;V278,$V$5:$V$1204,"&gt;"&amp;D278,$M$5:$M$1204,"&lt;&gt;Cancelled")&gt;1,"Clash",""))))</f>
        <v>0</v>
      </c>
      <c r="AH278" s="39">
        <f>IF(B278="","",IF(AG278="Clash","Clash - stylist double booked",IF(I278="","Assign - no stylist yet",IF(G278="","Add - no service chosen",IF(M278="No show","No show - charge the fee?",IF(M278="Cancelled","",IF(IF(M278="Completed",AB278&lt;Y278-0.004,FALSE),"Unpaid - nothing rung up for this visit",IF(IF(B278&lt;TodayDate,M278="Booked",FALSE),"Overdue - past date, still only Booked",IF(IF(B278=TodayDate,TRUE,FALSE),"Today",IF(IF(Z278&gt;0,AA278&lt;Z278-0.004,FALSE),"Due - deposit not taken",IF(IF(B278&gt;TodayDate,B278&lt;=TodayDate+2,FALSE),"Confirm - coming up","OK")))))))))))</f>
        <v>0</v>
      </c>
    </row>
    <row r="279" spans="1:34">
      <c r="A279" s="28">
        <f>IF(B279="","",AppointmentPrefix&amp;TEXT(ROW()-4,"0000"))</f>
        <v>0</v>
      </c>
      <c r="C279" s="15">
        <f>IF(B279="","",TEXT(B279,"ddd"))</f>
        <v>0</v>
      </c>
      <c r="F279" s="15">
        <f>IF(E279="","",IFERROR(INDEX(Clients!$B$5:$B$504,MATCH(E279,Clients!$A$5:$A$504,0)),"Walk-in"))</f>
        <v>0</v>
      </c>
      <c r="H279" s="15">
        <f>IF(G279="","",IFERROR(INDEX(Services!$B$5:$B$204,MATCH(G279,Services!$A$5:$A$204,0)),"Not in Services"))</f>
        <v>0</v>
      </c>
      <c r="J279" s="15">
        <f>IF(I279="","",IFERROR(INDEX(Staff!$B$5:$B$44,MATCH(I279,Staff!$A$5:$A$44,0)),"Unassigned"))</f>
        <v>0</v>
      </c>
      <c r="S279" s="15">
        <f>IF(B279="","",TEXT(B279,"yyyy-mm"))</f>
        <v>0</v>
      </c>
      <c r="T279" s="25">
        <f>IF(B279="","",WEEKNUM(B279,2))</f>
        <v>0</v>
      </c>
      <c r="U279" s="25">
        <f>IF(B279="","",IF(K279&lt;&gt;"",K279,IFERROR(INDEX(Services!$E$5:$E$204,MATCH(G279,Services!$A$5:$A$204,0))*1,0)+IFERROR(INDEX(Services!$F$5:$F$204,MATCH(G279,Services!$A$5:$A$204,0))*1,0)))</f>
        <v>0</v>
      </c>
      <c r="V279" s="36">
        <f>IF(B279="","",IF(D279="","",D279+U279/1440))</f>
        <v>0</v>
      </c>
      <c r="W279" s="25">
        <f>IF(B279="","",IF(D279="","",HOUR(D279)))</f>
        <v>0</v>
      </c>
      <c r="X279" s="37">
        <f>IF(B279="","",ROUND(U279/60,2))</f>
        <v>0</v>
      </c>
      <c r="Y279" s="26">
        <f>IF(B279="","",IF(L279&lt;&gt;"",L279,IFERROR(INDEX(Services!$G$5:$G$204,MATCH(G279,Services!$A$5:$A$204,0))*1,0)))</f>
        <v>0</v>
      </c>
      <c r="Z279" s="26">
        <f>IF(B279="","",IF(O279&lt;&gt;"",O279,IF(Y279&gt;=DepositThreshold,ROUND(Y279*DepositPercent,2),0)))</f>
        <v>0</v>
      </c>
      <c r="AA279" s="26">
        <f>IF(B279="","",ROUND(SUMIFS(Payments!$G$5:$G$1204,Payments!$I$5:$I$1204,A279,Payments!$E$5:$E$1204,"Deposit"),2))</f>
        <v>0</v>
      </c>
      <c r="AB279" s="26">
        <f>IF(B279="","",ROUND(SUMIFS(Sales!$Y$5:$Y$1204,Sales!$C$5:$C$1204,A279),2))</f>
        <v>0</v>
      </c>
      <c r="AC279" s="38">
        <f>IF(B279="","",IF(M279="Completed","Yes",IF(M279="Cancelled","Yes",IF(M279="No show","Yes","No"))))</f>
        <v>0</v>
      </c>
      <c r="AD279" s="25">
        <f>IF(B279="","",IF(AE279="","",B279-AE279))</f>
        <v>0</v>
      </c>
      <c r="AF279" s="38">
        <f>IF(B279="","",IF(M279&lt;&gt;"Completed","",IF(E279="","No",IF(COUNTIFS(Appointments!$E$5:$E$1204,E279,Appointments!$B$5:$B$1204,"&gt;"&amp;B279,Appointments!$M$5:$M$1204,"&lt;&gt;Cancelled")&gt;0,"Yes","No"))))</f>
        <v>0</v>
      </c>
      <c r="AG279" s="38">
        <f>IF(B279="","",IF(I279="","",IF(D279="","",IF(COUNTIFS($I$5:$I$1204,I279,$B$5:$B$1204,B279,$D$5:$D$1204,"&lt;"&amp;V279,$V$5:$V$1204,"&gt;"&amp;D279,$M$5:$M$1204,"&lt;&gt;Cancelled")&gt;1,"Clash",""))))</f>
        <v>0</v>
      </c>
      <c r="AH279" s="39">
        <f>IF(B279="","",IF(AG279="Clash","Clash - stylist double booked",IF(I279="","Assign - no stylist yet",IF(G279="","Add - no service chosen",IF(M279="No show","No show - charge the fee?",IF(M279="Cancelled","",IF(IF(M279="Completed",AB279&lt;Y279-0.004,FALSE),"Unpaid - nothing rung up for this visit",IF(IF(B279&lt;TodayDate,M279="Booked",FALSE),"Overdue - past date, still only Booked",IF(IF(B279=TodayDate,TRUE,FALSE),"Today",IF(IF(Z279&gt;0,AA279&lt;Z279-0.004,FALSE),"Due - deposit not taken",IF(IF(B279&gt;TodayDate,B279&lt;=TodayDate+2,FALSE),"Confirm - coming up","OK")))))))))))</f>
        <v>0</v>
      </c>
    </row>
    <row r="280" spans="1:34">
      <c r="A280" s="28">
        <f>IF(B280="","",AppointmentPrefix&amp;TEXT(ROW()-4,"0000"))</f>
        <v>0</v>
      </c>
      <c r="C280" s="15">
        <f>IF(B280="","",TEXT(B280,"ddd"))</f>
        <v>0</v>
      </c>
      <c r="F280" s="15">
        <f>IF(E280="","",IFERROR(INDEX(Clients!$B$5:$B$504,MATCH(E280,Clients!$A$5:$A$504,0)),"Walk-in"))</f>
        <v>0</v>
      </c>
      <c r="H280" s="15">
        <f>IF(G280="","",IFERROR(INDEX(Services!$B$5:$B$204,MATCH(G280,Services!$A$5:$A$204,0)),"Not in Services"))</f>
        <v>0</v>
      </c>
      <c r="J280" s="15">
        <f>IF(I280="","",IFERROR(INDEX(Staff!$B$5:$B$44,MATCH(I280,Staff!$A$5:$A$44,0)),"Unassigned"))</f>
        <v>0</v>
      </c>
      <c r="S280" s="15">
        <f>IF(B280="","",TEXT(B280,"yyyy-mm"))</f>
        <v>0</v>
      </c>
      <c r="T280" s="25">
        <f>IF(B280="","",WEEKNUM(B280,2))</f>
        <v>0</v>
      </c>
      <c r="U280" s="25">
        <f>IF(B280="","",IF(K280&lt;&gt;"",K280,IFERROR(INDEX(Services!$E$5:$E$204,MATCH(G280,Services!$A$5:$A$204,0))*1,0)+IFERROR(INDEX(Services!$F$5:$F$204,MATCH(G280,Services!$A$5:$A$204,0))*1,0)))</f>
        <v>0</v>
      </c>
      <c r="V280" s="36">
        <f>IF(B280="","",IF(D280="","",D280+U280/1440))</f>
        <v>0</v>
      </c>
      <c r="W280" s="25">
        <f>IF(B280="","",IF(D280="","",HOUR(D280)))</f>
        <v>0</v>
      </c>
      <c r="X280" s="37">
        <f>IF(B280="","",ROUND(U280/60,2))</f>
        <v>0</v>
      </c>
      <c r="Y280" s="26">
        <f>IF(B280="","",IF(L280&lt;&gt;"",L280,IFERROR(INDEX(Services!$G$5:$G$204,MATCH(G280,Services!$A$5:$A$204,0))*1,0)))</f>
        <v>0</v>
      </c>
      <c r="Z280" s="26">
        <f>IF(B280="","",IF(O280&lt;&gt;"",O280,IF(Y280&gt;=DepositThreshold,ROUND(Y280*DepositPercent,2),0)))</f>
        <v>0</v>
      </c>
      <c r="AA280" s="26">
        <f>IF(B280="","",ROUND(SUMIFS(Payments!$G$5:$G$1204,Payments!$I$5:$I$1204,A280,Payments!$E$5:$E$1204,"Deposit"),2))</f>
        <v>0</v>
      </c>
      <c r="AB280" s="26">
        <f>IF(B280="","",ROUND(SUMIFS(Sales!$Y$5:$Y$1204,Sales!$C$5:$C$1204,A280),2))</f>
        <v>0</v>
      </c>
      <c r="AC280" s="38">
        <f>IF(B280="","",IF(M280="Completed","Yes",IF(M280="Cancelled","Yes",IF(M280="No show","Yes","No"))))</f>
        <v>0</v>
      </c>
      <c r="AD280" s="25">
        <f>IF(B280="","",IF(AE280="","",B280-AE280))</f>
        <v>0</v>
      </c>
      <c r="AF280" s="38">
        <f>IF(B280="","",IF(M280&lt;&gt;"Completed","",IF(E280="","No",IF(COUNTIFS(Appointments!$E$5:$E$1204,E280,Appointments!$B$5:$B$1204,"&gt;"&amp;B280,Appointments!$M$5:$M$1204,"&lt;&gt;Cancelled")&gt;0,"Yes","No"))))</f>
        <v>0</v>
      </c>
      <c r="AG280" s="38">
        <f>IF(B280="","",IF(I280="","",IF(D280="","",IF(COUNTIFS($I$5:$I$1204,I280,$B$5:$B$1204,B280,$D$5:$D$1204,"&lt;"&amp;V280,$V$5:$V$1204,"&gt;"&amp;D280,$M$5:$M$1204,"&lt;&gt;Cancelled")&gt;1,"Clash",""))))</f>
        <v>0</v>
      </c>
      <c r="AH280" s="39">
        <f>IF(B280="","",IF(AG280="Clash","Clash - stylist double booked",IF(I280="","Assign - no stylist yet",IF(G280="","Add - no service chosen",IF(M280="No show","No show - charge the fee?",IF(M280="Cancelled","",IF(IF(M280="Completed",AB280&lt;Y280-0.004,FALSE),"Unpaid - nothing rung up for this visit",IF(IF(B280&lt;TodayDate,M280="Booked",FALSE),"Overdue - past date, still only Booked",IF(IF(B280=TodayDate,TRUE,FALSE),"Today",IF(IF(Z280&gt;0,AA280&lt;Z280-0.004,FALSE),"Due - deposit not taken",IF(IF(B280&gt;TodayDate,B280&lt;=TodayDate+2,FALSE),"Confirm - coming up","OK")))))))))))</f>
        <v>0</v>
      </c>
    </row>
    <row r="281" spans="1:34">
      <c r="A281" s="28">
        <f>IF(B281="","",AppointmentPrefix&amp;TEXT(ROW()-4,"0000"))</f>
        <v>0</v>
      </c>
      <c r="C281" s="15">
        <f>IF(B281="","",TEXT(B281,"ddd"))</f>
        <v>0</v>
      </c>
      <c r="F281" s="15">
        <f>IF(E281="","",IFERROR(INDEX(Clients!$B$5:$B$504,MATCH(E281,Clients!$A$5:$A$504,0)),"Walk-in"))</f>
        <v>0</v>
      </c>
      <c r="H281" s="15">
        <f>IF(G281="","",IFERROR(INDEX(Services!$B$5:$B$204,MATCH(G281,Services!$A$5:$A$204,0)),"Not in Services"))</f>
        <v>0</v>
      </c>
      <c r="J281" s="15">
        <f>IF(I281="","",IFERROR(INDEX(Staff!$B$5:$B$44,MATCH(I281,Staff!$A$5:$A$44,0)),"Unassigned"))</f>
        <v>0</v>
      </c>
      <c r="S281" s="15">
        <f>IF(B281="","",TEXT(B281,"yyyy-mm"))</f>
        <v>0</v>
      </c>
      <c r="T281" s="25">
        <f>IF(B281="","",WEEKNUM(B281,2))</f>
        <v>0</v>
      </c>
      <c r="U281" s="25">
        <f>IF(B281="","",IF(K281&lt;&gt;"",K281,IFERROR(INDEX(Services!$E$5:$E$204,MATCH(G281,Services!$A$5:$A$204,0))*1,0)+IFERROR(INDEX(Services!$F$5:$F$204,MATCH(G281,Services!$A$5:$A$204,0))*1,0)))</f>
        <v>0</v>
      </c>
      <c r="V281" s="36">
        <f>IF(B281="","",IF(D281="","",D281+U281/1440))</f>
        <v>0</v>
      </c>
      <c r="W281" s="25">
        <f>IF(B281="","",IF(D281="","",HOUR(D281)))</f>
        <v>0</v>
      </c>
      <c r="X281" s="37">
        <f>IF(B281="","",ROUND(U281/60,2))</f>
        <v>0</v>
      </c>
      <c r="Y281" s="26">
        <f>IF(B281="","",IF(L281&lt;&gt;"",L281,IFERROR(INDEX(Services!$G$5:$G$204,MATCH(G281,Services!$A$5:$A$204,0))*1,0)))</f>
        <v>0</v>
      </c>
      <c r="Z281" s="26">
        <f>IF(B281="","",IF(O281&lt;&gt;"",O281,IF(Y281&gt;=DepositThreshold,ROUND(Y281*DepositPercent,2),0)))</f>
        <v>0</v>
      </c>
      <c r="AA281" s="26">
        <f>IF(B281="","",ROUND(SUMIFS(Payments!$G$5:$G$1204,Payments!$I$5:$I$1204,A281,Payments!$E$5:$E$1204,"Deposit"),2))</f>
        <v>0</v>
      </c>
      <c r="AB281" s="26">
        <f>IF(B281="","",ROUND(SUMIFS(Sales!$Y$5:$Y$1204,Sales!$C$5:$C$1204,A281),2))</f>
        <v>0</v>
      </c>
      <c r="AC281" s="38">
        <f>IF(B281="","",IF(M281="Completed","Yes",IF(M281="Cancelled","Yes",IF(M281="No show","Yes","No"))))</f>
        <v>0</v>
      </c>
      <c r="AD281" s="25">
        <f>IF(B281="","",IF(AE281="","",B281-AE281))</f>
        <v>0</v>
      </c>
      <c r="AF281" s="38">
        <f>IF(B281="","",IF(M281&lt;&gt;"Completed","",IF(E281="","No",IF(COUNTIFS(Appointments!$E$5:$E$1204,E281,Appointments!$B$5:$B$1204,"&gt;"&amp;B281,Appointments!$M$5:$M$1204,"&lt;&gt;Cancelled")&gt;0,"Yes","No"))))</f>
        <v>0</v>
      </c>
      <c r="AG281" s="38">
        <f>IF(B281="","",IF(I281="","",IF(D281="","",IF(COUNTIFS($I$5:$I$1204,I281,$B$5:$B$1204,B281,$D$5:$D$1204,"&lt;"&amp;V281,$V$5:$V$1204,"&gt;"&amp;D281,$M$5:$M$1204,"&lt;&gt;Cancelled")&gt;1,"Clash",""))))</f>
        <v>0</v>
      </c>
      <c r="AH281" s="39">
        <f>IF(B281="","",IF(AG281="Clash","Clash - stylist double booked",IF(I281="","Assign - no stylist yet",IF(G281="","Add - no service chosen",IF(M281="No show","No show - charge the fee?",IF(M281="Cancelled","",IF(IF(M281="Completed",AB281&lt;Y281-0.004,FALSE),"Unpaid - nothing rung up for this visit",IF(IF(B281&lt;TodayDate,M281="Booked",FALSE),"Overdue - past date, still only Booked",IF(IF(B281=TodayDate,TRUE,FALSE),"Today",IF(IF(Z281&gt;0,AA281&lt;Z281-0.004,FALSE),"Due - deposit not taken",IF(IF(B281&gt;TodayDate,B281&lt;=TodayDate+2,FALSE),"Confirm - coming up","OK")))))))))))</f>
        <v>0</v>
      </c>
    </row>
    <row r="282" spans="1:34">
      <c r="A282" s="28">
        <f>IF(B282="","",AppointmentPrefix&amp;TEXT(ROW()-4,"0000"))</f>
        <v>0</v>
      </c>
      <c r="C282" s="15">
        <f>IF(B282="","",TEXT(B282,"ddd"))</f>
        <v>0</v>
      </c>
      <c r="F282" s="15">
        <f>IF(E282="","",IFERROR(INDEX(Clients!$B$5:$B$504,MATCH(E282,Clients!$A$5:$A$504,0)),"Walk-in"))</f>
        <v>0</v>
      </c>
      <c r="H282" s="15">
        <f>IF(G282="","",IFERROR(INDEX(Services!$B$5:$B$204,MATCH(G282,Services!$A$5:$A$204,0)),"Not in Services"))</f>
        <v>0</v>
      </c>
      <c r="J282" s="15">
        <f>IF(I282="","",IFERROR(INDEX(Staff!$B$5:$B$44,MATCH(I282,Staff!$A$5:$A$44,0)),"Unassigned"))</f>
        <v>0</v>
      </c>
      <c r="S282" s="15">
        <f>IF(B282="","",TEXT(B282,"yyyy-mm"))</f>
        <v>0</v>
      </c>
      <c r="T282" s="25">
        <f>IF(B282="","",WEEKNUM(B282,2))</f>
        <v>0</v>
      </c>
      <c r="U282" s="25">
        <f>IF(B282="","",IF(K282&lt;&gt;"",K282,IFERROR(INDEX(Services!$E$5:$E$204,MATCH(G282,Services!$A$5:$A$204,0))*1,0)+IFERROR(INDEX(Services!$F$5:$F$204,MATCH(G282,Services!$A$5:$A$204,0))*1,0)))</f>
        <v>0</v>
      </c>
      <c r="V282" s="36">
        <f>IF(B282="","",IF(D282="","",D282+U282/1440))</f>
        <v>0</v>
      </c>
      <c r="W282" s="25">
        <f>IF(B282="","",IF(D282="","",HOUR(D282)))</f>
        <v>0</v>
      </c>
      <c r="X282" s="37">
        <f>IF(B282="","",ROUND(U282/60,2))</f>
        <v>0</v>
      </c>
      <c r="Y282" s="26">
        <f>IF(B282="","",IF(L282&lt;&gt;"",L282,IFERROR(INDEX(Services!$G$5:$G$204,MATCH(G282,Services!$A$5:$A$204,0))*1,0)))</f>
        <v>0</v>
      </c>
      <c r="Z282" s="26">
        <f>IF(B282="","",IF(O282&lt;&gt;"",O282,IF(Y282&gt;=DepositThreshold,ROUND(Y282*DepositPercent,2),0)))</f>
        <v>0</v>
      </c>
      <c r="AA282" s="26">
        <f>IF(B282="","",ROUND(SUMIFS(Payments!$G$5:$G$1204,Payments!$I$5:$I$1204,A282,Payments!$E$5:$E$1204,"Deposit"),2))</f>
        <v>0</v>
      </c>
      <c r="AB282" s="26">
        <f>IF(B282="","",ROUND(SUMIFS(Sales!$Y$5:$Y$1204,Sales!$C$5:$C$1204,A282),2))</f>
        <v>0</v>
      </c>
      <c r="AC282" s="38">
        <f>IF(B282="","",IF(M282="Completed","Yes",IF(M282="Cancelled","Yes",IF(M282="No show","Yes","No"))))</f>
        <v>0</v>
      </c>
      <c r="AD282" s="25">
        <f>IF(B282="","",IF(AE282="","",B282-AE282))</f>
        <v>0</v>
      </c>
      <c r="AF282" s="38">
        <f>IF(B282="","",IF(M282&lt;&gt;"Completed","",IF(E282="","No",IF(COUNTIFS(Appointments!$E$5:$E$1204,E282,Appointments!$B$5:$B$1204,"&gt;"&amp;B282,Appointments!$M$5:$M$1204,"&lt;&gt;Cancelled")&gt;0,"Yes","No"))))</f>
        <v>0</v>
      </c>
      <c r="AG282" s="38">
        <f>IF(B282="","",IF(I282="","",IF(D282="","",IF(COUNTIFS($I$5:$I$1204,I282,$B$5:$B$1204,B282,$D$5:$D$1204,"&lt;"&amp;V282,$V$5:$V$1204,"&gt;"&amp;D282,$M$5:$M$1204,"&lt;&gt;Cancelled")&gt;1,"Clash",""))))</f>
        <v>0</v>
      </c>
      <c r="AH282" s="39">
        <f>IF(B282="","",IF(AG282="Clash","Clash - stylist double booked",IF(I282="","Assign - no stylist yet",IF(G282="","Add - no service chosen",IF(M282="No show","No show - charge the fee?",IF(M282="Cancelled","",IF(IF(M282="Completed",AB282&lt;Y282-0.004,FALSE),"Unpaid - nothing rung up for this visit",IF(IF(B282&lt;TodayDate,M282="Booked",FALSE),"Overdue - past date, still only Booked",IF(IF(B282=TodayDate,TRUE,FALSE),"Today",IF(IF(Z282&gt;0,AA282&lt;Z282-0.004,FALSE),"Due - deposit not taken",IF(IF(B282&gt;TodayDate,B282&lt;=TodayDate+2,FALSE),"Confirm - coming up","OK")))))))))))</f>
        <v>0</v>
      </c>
    </row>
    <row r="283" spans="1:34">
      <c r="A283" s="28">
        <f>IF(B283="","",AppointmentPrefix&amp;TEXT(ROW()-4,"0000"))</f>
        <v>0</v>
      </c>
      <c r="C283" s="15">
        <f>IF(B283="","",TEXT(B283,"ddd"))</f>
        <v>0</v>
      </c>
      <c r="F283" s="15">
        <f>IF(E283="","",IFERROR(INDEX(Clients!$B$5:$B$504,MATCH(E283,Clients!$A$5:$A$504,0)),"Walk-in"))</f>
        <v>0</v>
      </c>
      <c r="H283" s="15">
        <f>IF(G283="","",IFERROR(INDEX(Services!$B$5:$B$204,MATCH(G283,Services!$A$5:$A$204,0)),"Not in Services"))</f>
        <v>0</v>
      </c>
      <c r="J283" s="15">
        <f>IF(I283="","",IFERROR(INDEX(Staff!$B$5:$B$44,MATCH(I283,Staff!$A$5:$A$44,0)),"Unassigned"))</f>
        <v>0</v>
      </c>
      <c r="S283" s="15">
        <f>IF(B283="","",TEXT(B283,"yyyy-mm"))</f>
        <v>0</v>
      </c>
      <c r="T283" s="25">
        <f>IF(B283="","",WEEKNUM(B283,2))</f>
        <v>0</v>
      </c>
      <c r="U283" s="25">
        <f>IF(B283="","",IF(K283&lt;&gt;"",K283,IFERROR(INDEX(Services!$E$5:$E$204,MATCH(G283,Services!$A$5:$A$204,0))*1,0)+IFERROR(INDEX(Services!$F$5:$F$204,MATCH(G283,Services!$A$5:$A$204,0))*1,0)))</f>
        <v>0</v>
      </c>
      <c r="V283" s="36">
        <f>IF(B283="","",IF(D283="","",D283+U283/1440))</f>
        <v>0</v>
      </c>
      <c r="W283" s="25">
        <f>IF(B283="","",IF(D283="","",HOUR(D283)))</f>
        <v>0</v>
      </c>
      <c r="X283" s="37">
        <f>IF(B283="","",ROUND(U283/60,2))</f>
        <v>0</v>
      </c>
      <c r="Y283" s="26">
        <f>IF(B283="","",IF(L283&lt;&gt;"",L283,IFERROR(INDEX(Services!$G$5:$G$204,MATCH(G283,Services!$A$5:$A$204,0))*1,0)))</f>
        <v>0</v>
      </c>
      <c r="Z283" s="26">
        <f>IF(B283="","",IF(O283&lt;&gt;"",O283,IF(Y283&gt;=DepositThreshold,ROUND(Y283*DepositPercent,2),0)))</f>
        <v>0</v>
      </c>
      <c r="AA283" s="26">
        <f>IF(B283="","",ROUND(SUMIFS(Payments!$G$5:$G$1204,Payments!$I$5:$I$1204,A283,Payments!$E$5:$E$1204,"Deposit"),2))</f>
        <v>0</v>
      </c>
      <c r="AB283" s="26">
        <f>IF(B283="","",ROUND(SUMIFS(Sales!$Y$5:$Y$1204,Sales!$C$5:$C$1204,A283),2))</f>
        <v>0</v>
      </c>
      <c r="AC283" s="38">
        <f>IF(B283="","",IF(M283="Completed","Yes",IF(M283="Cancelled","Yes",IF(M283="No show","Yes","No"))))</f>
        <v>0</v>
      </c>
      <c r="AD283" s="25">
        <f>IF(B283="","",IF(AE283="","",B283-AE283))</f>
        <v>0</v>
      </c>
      <c r="AF283" s="38">
        <f>IF(B283="","",IF(M283&lt;&gt;"Completed","",IF(E283="","No",IF(COUNTIFS(Appointments!$E$5:$E$1204,E283,Appointments!$B$5:$B$1204,"&gt;"&amp;B283,Appointments!$M$5:$M$1204,"&lt;&gt;Cancelled")&gt;0,"Yes","No"))))</f>
        <v>0</v>
      </c>
      <c r="AG283" s="38">
        <f>IF(B283="","",IF(I283="","",IF(D283="","",IF(COUNTIFS($I$5:$I$1204,I283,$B$5:$B$1204,B283,$D$5:$D$1204,"&lt;"&amp;V283,$V$5:$V$1204,"&gt;"&amp;D283,$M$5:$M$1204,"&lt;&gt;Cancelled")&gt;1,"Clash",""))))</f>
        <v>0</v>
      </c>
      <c r="AH283" s="39">
        <f>IF(B283="","",IF(AG283="Clash","Clash - stylist double booked",IF(I283="","Assign - no stylist yet",IF(G283="","Add - no service chosen",IF(M283="No show","No show - charge the fee?",IF(M283="Cancelled","",IF(IF(M283="Completed",AB283&lt;Y283-0.004,FALSE),"Unpaid - nothing rung up for this visit",IF(IF(B283&lt;TodayDate,M283="Booked",FALSE),"Overdue - past date, still only Booked",IF(IF(B283=TodayDate,TRUE,FALSE),"Today",IF(IF(Z283&gt;0,AA283&lt;Z283-0.004,FALSE),"Due - deposit not taken",IF(IF(B283&gt;TodayDate,B283&lt;=TodayDate+2,FALSE),"Confirm - coming up","OK")))))))))))</f>
        <v>0</v>
      </c>
    </row>
    <row r="284" spans="1:34">
      <c r="A284" s="28">
        <f>IF(B284="","",AppointmentPrefix&amp;TEXT(ROW()-4,"0000"))</f>
        <v>0</v>
      </c>
      <c r="C284" s="15">
        <f>IF(B284="","",TEXT(B284,"ddd"))</f>
        <v>0</v>
      </c>
      <c r="F284" s="15">
        <f>IF(E284="","",IFERROR(INDEX(Clients!$B$5:$B$504,MATCH(E284,Clients!$A$5:$A$504,0)),"Walk-in"))</f>
        <v>0</v>
      </c>
      <c r="H284" s="15">
        <f>IF(G284="","",IFERROR(INDEX(Services!$B$5:$B$204,MATCH(G284,Services!$A$5:$A$204,0)),"Not in Services"))</f>
        <v>0</v>
      </c>
      <c r="J284" s="15">
        <f>IF(I284="","",IFERROR(INDEX(Staff!$B$5:$B$44,MATCH(I284,Staff!$A$5:$A$44,0)),"Unassigned"))</f>
        <v>0</v>
      </c>
      <c r="S284" s="15">
        <f>IF(B284="","",TEXT(B284,"yyyy-mm"))</f>
        <v>0</v>
      </c>
      <c r="T284" s="25">
        <f>IF(B284="","",WEEKNUM(B284,2))</f>
        <v>0</v>
      </c>
      <c r="U284" s="25">
        <f>IF(B284="","",IF(K284&lt;&gt;"",K284,IFERROR(INDEX(Services!$E$5:$E$204,MATCH(G284,Services!$A$5:$A$204,0))*1,0)+IFERROR(INDEX(Services!$F$5:$F$204,MATCH(G284,Services!$A$5:$A$204,0))*1,0)))</f>
        <v>0</v>
      </c>
      <c r="V284" s="36">
        <f>IF(B284="","",IF(D284="","",D284+U284/1440))</f>
        <v>0</v>
      </c>
      <c r="W284" s="25">
        <f>IF(B284="","",IF(D284="","",HOUR(D284)))</f>
        <v>0</v>
      </c>
      <c r="X284" s="37">
        <f>IF(B284="","",ROUND(U284/60,2))</f>
        <v>0</v>
      </c>
      <c r="Y284" s="26">
        <f>IF(B284="","",IF(L284&lt;&gt;"",L284,IFERROR(INDEX(Services!$G$5:$G$204,MATCH(G284,Services!$A$5:$A$204,0))*1,0)))</f>
        <v>0</v>
      </c>
      <c r="Z284" s="26">
        <f>IF(B284="","",IF(O284&lt;&gt;"",O284,IF(Y284&gt;=DepositThreshold,ROUND(Y284*DepositPercent,2),0)))</f>
        <v>0</v>
      </c>
      <c r="AA284" s="26">
        <f>IF(B284="","",ROUND(SUMIFS(Payments!$G$5:$G$1204,Payments!$I$5:$I$1204,A284,Payments!$E$5:$E$1204,"Deposit"),2))</f>
        <v>0</v>
      </c>
      <c r="AB284" s="26">
        <f>IF(B284="","",ROUND(SUMIFS(Sales!$Y$5:$Y$1204,Sales!$C$5:$C$1204,A284),2))</f>
        <v>0</v>
      </c>
      <c r="AC284" s="38">
        <f>IF(B284="","",IF(M284="Completed","Yes",IF(M284="Cancelled","Yes",IF(M284="No show","Yes","No"))))</f>
        <v>0</v>
      </c>
      <c r="AD284" s="25">
        <f>IF(B284="","",IF(AE284="","",B284-AE284))</f>
        <v>0</v>
      </c>
      <c r="AF284" s="38">
        <f>IF(B284="","",IF(M284&lt;&gt;"Completed","",IF(E284="","No",IF(COUNTIFS(Appointments!$E$5:$E$1204,E284,Appointments!$B$5:$B$1204,"&gt;"&amp;B284,Appointments!$M$5:$M$1204,"&lt;&gt;Cancelled")&gt;0,"Yes","No"))))</f>
        <v>0</v>
      </c>
      <c r="AG284" s="38">
        <f>IF(B284="","",IF(I284="","",IF(D284="","",IF(COUNTIFS($I$5:$I$1204,I284,$B$5:$B$1204,B284,$D$5:$D$1204,"&lt;"&amp;V284,$V$5:$V$1204,"&gt;"&amp;D284,$M$5:$M$1204,"&lt;&gt;Cancelled")&gt;1,"Clash",""))))</f>
        <v>0</v>
      </c>
      <c r="AH284" s="39">
        <f>IF(B284="","",IF(AG284="Clash","Clash - stylist double booked",IF(I284="","Assign - no stylist yet",IF(G284="","Add - no service chosen",IF(M284="No show","No show - charge the fee?",IF(M284="Cancelled","",IF(IF(M284="Completed",AB284&lt;Y284-0.004,FALSE),"Unpaid - nothing rung up for this visit",IF(IF(B284&lt;TodayDate,M284="Booked",FALSE),"Overdue - past date, still only Booked",IF(IF(B284=TodayDate,TRUE,FALSE),"Today",IF(IF(Z284&gt;0,AA284&lt;Z284-0.004,FALSE),"Due - deposit not taken",IF(IF(B284&gt;TodayDate,B284&lt;=TodayDate+2,FALSE),"Confirm - coming up","OK")))))))))))</f>
        <v>0</v>
      </c>
    </row>
    <row r="285" spans="1:34">
      <c r="A285" s="28">
        <f>IF(B285="","",AppointmentPrefix&amp;TEXT(ROW()-4,"0000"))</f>
        <v>0</v>
      </c>
      <c r="C285" s="15">
        <f>IF(B285="","",TEXT(B285,"ddd"))</f>
        <v>0</v>
      </c>
      <c r="F285" s="15">
        <f>IF(E285="","",IFERROR(INDEX(Clients!$B$5:$B$504,MATCH(E285,Clients!$A$5:$A$504,0)),"Walk-in"))</f>
        <v>0</v>
      </c>
      <c r="H285" s="15">
        <f>IF(G285="","",IFERROR(INDEX(Services!$B$5:$B$204,MATCH(G285,Services!$A$5:$A$204,0)),"Not in Services"))</f>
        <v>0</v>
      </c>
      <c r="J285" s="15">
        <f>IF(I285="","",IFERROR(INDEX(Staff!$B$5:$B$44,MATCH(I285,Staff!$A$5:$A$44,0)),"Unassigned"))</f>
        <v>0</v>
      </c>
      <c r="S285" s="15">
        <f>IF(B285="","",TEXT(B285,"yyyy-mm"))</f>
        <v>0</v>
      </c>
      <c r="T285" s="25">
        <f>IF(B285="","",WEEKNUM(B285,2))</f>
        <v>0</v>
      </c>
      <c r="U285" s="25">
        <f>IF(B285="","",IF(K285&lt;&gt;"",K285,IFERROR(INDEX(Services!$E$5:$E$204,MATCH(G285,Services!$A$5:$A$204,0))*1,0)+IFERROR(INDEX(Services!$F$5:$F$204,MATCH(G285,Services!$A$5:$A$204,0))*1,0)))</f>
        <v>0</v>
      </c>
      <c r="V285" s="36">
        <f>IF(B285="","",IF(D285="","",D285+U285/1440))</f>
        <v>0</v>
      </c>
      <c r="W285" s="25">
        <f>IF(B285="","",IF(D285="","",HOUR(D285)))</f>
        <v>0</v>
      </c>
      <c r="X285" s="37">
        <f>IF(B285="","",ROUND(U285/60,2))</f>
        <v>0</v>
      </c>
      <c r="Y285" s="26">
        <f>IF(B285="","",IF(L285&lt;&gt;"",L285,IFERROR(INDEX(Services!$G$5:$G$204,MATCH(G285,Services!$A$5:$A$204,0))*1,0)))</f>
        <v>0</v>
      </c>
      <c r="Z285" s="26">
        <f>IF(B285="","",IF(O285&lt;&gt;"",O285,IF(Y285&gt;=DepositThreshold,ROUND(Y285*DepositPercent,2),0)))</f>
        <v>0</v>
      </c>
      <c r="AA285" s="26">
        <f>IF(B285="","",ROUND(SUMIFS(Payments!$G$5:$G$1204,Payments!$I$5:$I$1204,A285,Payments!$E$5:$E$1204,"Deposit"),2))</f>
        <v>0</v>
      </c>
      <c r="AB285" s="26">
        <f>IF(B285="","",ROUND(SUMIFS(Sales!$Y$5:$Y$1204,Sales!$C$5:$C$1204,A285),2))</f>
        <v>0</v>
      </c>
      <c r="AC285" s="38">
        <f>IF(B285="","",IF(M285="Completed","Yes",IF(M285="Cancelled","Yes",IF(M285="No show","Yes","No"))))</f>
        <v>0</v>
      </c>
      <c r="AD285" s="25">
        <f>IF(B285="","",IF(AE285="","",B285-AE285))</f>
        <v>0</v>
      </c>
      <c r="AF285" s="38">
        <f>IF(B285="","",IF(M285&lt;&gt;"Completed","",IF(E285="","No",IF(COUNTIFS(Appointments!$E$5:$E$1204,E285,Appointments!$B$5:$B$1204,"&gt;"&amp;B285,Appointments!$M$5:$M$1204,"&lt;&gt;Cancelled")&gt;0,"Yes","No"))))</f>
        <v>0</v>
      </c>
      <c r="AG285" s="38">
        <f>IF(B285="","",IF(I285="","",IF(D285="","",IF(COUNTIFS($I$5:$I$1204,I285,$B$5:$B$1204,B285,$D$5:$D$1204,"&lt;"&amp;V285,$V$5:$V$1204,"&gt;"&amp;D285,$M$5:$M$1204,"&lt;&gt;Cancelled")&gt;1,"Clash",""))))</f>
        <v>0</v>
      </c>
      <c r="AH285" s="39">
        <f>IF(B285="","",IF(AG285="Clash","Clash - stylist double booked",IF(I285="","Assign - no stylist yet",IF(G285="","Add - no service chosen",IF(M285="No show","No show - charge the fee?",IF(M285="Cancelled","",IF(IF(M285="Completed",AB285&lt;Y285-0.004,FALSE),"Unpaid - nothing rung up for this visit",IF(IF(B285&lt;TodayDate,M285="Booked",FALSE),"Overdue - past date, still only Booked",IF(IF(B285=TodayDate,TRUE,FALSE),"Today",IF(IF(Z285&gt;0,AA285&lt;Z285-0.004,FALSE),"Due - deposit not taken",IF(IF(B285&gt;TodayDate,B285&lt;=TodayDate+2,FALSE),"Confirm - coming up","OK")))))))))))</f>
        <v>0</v>
      </c>
    </row>
    <row r="286" spans="1:34">
      <c r="A286" s="28">
        <f>IF(B286="","",AppointmentPrefix&amp;TEXT(ROW()-4,"0000"))</f>
        <v>0</v>
      </c>
      <c r="C286" s="15">
        <f>IF(B286="","",TEXT(B286,"ddd"))</f>
        <v>0</v>
      </c>
      <c r="F286" s="15">
        <f>IF(E286="","",IFERROR(INDEX(Clients!$B$5:$B$504,MATCH(E286,Clients!$A$5:$A$504,0)),"Walk-in"))</f>
        <v>0</v>
      </c>
      <c r="H286" s="15">
        <f>IF(G286="","",IFERROR(INDEX(Services!$B$5:$B$204,MATCH(G286,Services!$A$5:$A$204,0)),"Not in Services"))</f>
        <v>0</v>
      </c>
      <c r="J286" s="15">
        <f>IF(I286="","",IFERROR(INDEX(Staff!$B$5:$B$44,MATCH(I286,Staff!$A$5:$A$44,0)),"Unassigned"))</f>
        <v>0</v>
      </c>
      <c r="S286" s="15">
        <f>IF(B286="","",TEXT(B286,"yyyy-mm"))</f>
        <v>0</v>
      </c>
      <c r="T286" s="25">
        <f>IF(B286="","",WEEKNUM(B286,2))</f>
        <v>0</v>
      </c>
      <c r="U286" s="25">
        <f>IF(B286="","",IF(K286&lt;&gt;"",K286,IFERROR(INDEX(Services!$E$5:$E$204,MATCH(G286,Services!$A$5:$A$204,0))*1,0)+IFERROR(INDEX(Services!$F$5:$F$204,MATCH(G286,Services!$A$5:$A$204,0))*1,0)))</f>
        <v>0</v>
      </c>
      <c r="V286" s="36">
        <f>IF(B286="","",IF(D286="","",D286+U286/1440))</f>
        <v>0</v>
      </c>
      <c r="W286" s="25">
        <f>IF(B286="","",IF(D286="","",HOUR(D286)))</f>
        <v>0</v>
      </c>
      <c r="X286" s="37">
        <f>IF(B286="","",ROUND(U286/60,2))</f>
        <v>0</v>
      </c>
      <c r="Y286" s="26">
        <f>IF(B286="","",IF(L286&lt;&gt;"",L286,IFERROR(INDEX(Services!$G$5:$G$204,MATCH(G286,Services!$A$5:$A$204,0))*1,0)))</f>
        <v>0</v>
      </c>
      <c r="Z286" s="26">
        <f>IF(B286="","",IF(O286&lt;&gt;"",O286,IF(Y286&gt;=DepositThreshold,ROUND(Y286*DepositPercent,2),0)))</f>
        <v>0</v>
      </c>
      <c r="AA286" s="26">
        <f>IF(B286="","",ROUND(SUMIFS(Payments!$G$5:$G$1204,Payments!$I$5:$I$1204,A286,Payments!$E$5:$E$1204,"Deposit"),2))</f>
        <v>0</v>
      </c>
      <c r="AB286" s="26">
        <f>IF(B286="","",ROUND(SUMIFS(Sales!$Y$5:$Y$1204,Sales!$C$5:$C$1204,A286),2))</f>
        <v>0</v>
      </c>
      <c r="AC286" s="38">
        <f>IF(B286="","",IF(M286="Completed","Yes",IF(M286="Cancelled","Yes",IF(M286="No show","Yes","No"))))</f>
        <v>0</v>
      </c>
      <c r="AD286" s="25">
        <f>IF(B286="","",IF(AE286="","",B286-AE286))</f>
        <v>0</v>
      </c>
      <c r="AF286" s="38">
        <f>IF(B286="","",IF(M286&lt;&gt;"Completed","",IF(E286="","No",IF(COUNTIFS(Appointments!$E$5:$E$1204,E286,Appointments!$B$5:$B$1204,"&gt;"&amp;B286,Appointments!$M$5:$M$1204,"&lt;&gt;Cancelled")&gt;0,"Yes","No"))))</f>
        <v>0</v>
      </c>
      <c r="AG286" s="38">
        <f>IF(B286="","",IF(I286="","",IF(D286="","",IF(COUNTIFS($I$5:$I$1204,I286,$B$5:$B$1204,B286,$D$5:$D$1204,"&lt;"&amp;V286,$V$5:$V$1204,"&gt;"&amp;D286,$M$5:$M$1204,"&lt;&gt;Cancelled")&gt;1,"Clash",""))))</f>
        <v>0</v>
      </c>
      <c r="AH286" s="39">
        <f>IF(B286="","",IF(AG286="Clash","Clash - stylist double booked",IF(I286="","Assign - no stylist yet",IF(G286="","Add - no service chosen",IF(M286="No show","No show - charge the fee?",IF(M286="Cancelled","",IF(IF(M286="Completed",AB286&lt;Y286-0.004,FALSE),"Unpaid - nothing rung up for this visit",IF(IF(B286&lt;TodayDate,M286="Booked",FALSE),"Overdue - past date, still only Booked",IF(IF(B286=TodayDate,TRUE,FALSE),"Today",IF(IF(Z286&gt;0,AA286&lt;Z286-0.004,FALSE),"Due - deposit not taken",IF(IF(B286&gt;TodayDate,B286&lt;=TodayDate+2,FALSE),"Confirm - coming up","OK")))))))))))</f>
        <v>0</v>
      </c>
    </row>
    <row r="287" spans="1:34">
      <c r="A287" s="28">
        <f>IF(B287="","",AppointmentPrefix&amp;TEXT(ROW()-4,"0000"))</f>
        <v>0</v>
      </c>
      <c r="C287" s="15">
        <f>IF(B287="","",TEXT(B287,"ddd"))</f>
        <v>0</v>
      </c>
      <c r="F287" s="15">
        <f>IF(E287="","",IFERROR(INDEX(Clients!$B$5:$B$504,MATCH(E287,Clients!$A$5:$A$504,0)),"Walk-in"))</f>
        <v>0</v>
      </c>
      <c r="H287" s="15">
        <f>IF(G287="","",IFERROR(INDEX(Services!$B$5:$B$204,MATCH(G287,Services!$A$5:$A$204,0)),"Not in Services"))</f>
        <v>0</v>
      </c>
      <c r="J287" s="15">
        <f>IF(I287="","",IFERROR(INDEX(Staff!$B$5:$B$44,MATCH(I287,Staff!$A$5:$A$44,0)),"Unassigned"))</f>
        <v>0</v>
      </c>
      <c r="S287" s="15">
        <f>IF(B287="","",TEXT(B287,"yyyy-mm"))</f>
        <v>0</v>
      </c>
      <c r="T287" s="25">
        <f>IF(B287="","",WEEKNUM(B287,2))</f>
        <v>0</v>
      </c>
      <c r="U287" s="25">
        <f>IF(B287="","",IF(K287&lt;&gt;"",K287,IFERROR(INDEX(Services!$E$5:$E$204,MATCH(G287,Services!$A$5:$A$204,0))*1,0)+IFERROR(INDEX(Services!$F$5:$F$204,MATCH(G287,Services!$A$5:$A$204,0))*1,0)))</f>
        <v>0</v>
      </c>
      <c r="V287" s="36">
        <f>IF(B287="","",IF(D287="","",D287+U287/1440))</f>
        <v>0</v>
      </c>
      <c r="W287" s="25">
        <f>IF(B287="","",IF(D287="","",HOUR(D287)))</f>
        <v>0</v>
      </c>
      <c r="X287" s="37">
        <f>IF(B287="","",ROUND(U287/60,2))</f>
        <v>0</v>
      </c>
      <c r="Y287" s="26">
        <f>IF(B287="","",IF(L287&lt;&gt;"",L287,IFERROR(INDEX(Services!$G$5:$G$204,MATCH(G287,Services!$A$5:$A$204,0))*1,0)))</f>
        <v>0</v>
      </c>
      <c r="Z287" s="26">
        <f>IF(B287="","",IF(O287&lt;&gt;"",O287,IF(Y287&gt;=DepositThreshold,ROUND(Y287*DepositPercent,2),0)))</f>
        <v>0</v>
      </c>
      <c r="AA287" s="26">
        <f>IF(B287="","",ROUND(SUMIFS(Payments!$G$5:$G$1204,Payments!$I$5:$I$1204,A287,Payments!$E$5:$E$1204,"Deposit"),2))</f>
        <v>0</v>
      </c>
      <c r="AB287" s="26">
        <f>IF(B287="","",ROUND(SUMIFS(Sales!$Y$5:$Y$1204,Sales!$C$5:$C$1204,A287),2))</f>
        <v>0</v>
      </c>
      <c r="AC287" s="38">
        <f>IF(B287="","",IF(M287="Completed","Yes",IF(M287="Cancelled","Yes",IF(M287="No show","Yes","No"))))</f>
        <v>0</v>
      </c>
      <c r="AD287" s="25">
        <f>IF(B287="","",IF(AE287="","",B287-AE287))</f>
        <v>0</v>
      </c>
      <c r="AF287" s="38">
        <f>IF(B287="","",IF(M287&lt;&gt;"Completed","",IF(E287="","No",IF(COUNTIFS(Appointments!$E$5:$E$1204,E287,Appointments!$B$5:$B$1204,"&gt;"&amp;B287,Appointments!$M$5:$M$1204,"&lt;&gt;Cancelled")&gt;0,"Yes","No"))))</f>
        <v>0</v>
      </c>
      <c r="AG287" s="38">
        <f>IF(B287="","",IF(I287="","",IF(D287="","",IF(COUNTIFS($I$5:$I$1204,I287,$B$5:$B$1204,B287,$D$5:$D$1204,"&lt;"&amp;V287,$V$5:$V$1204,"&gt;"&amp;D287,$M$5:$M$1204,"&lt;&gt;Cancelled")&gt;1,"Clash",""))))</f>
        <v>0</v>
      </c>
      <c r="AH287" s="39">
        <f>IF(B287="","",IF(AG287="Clash","Clash - stylist double booked",IF(I287="","Assign - no stylist yet",IF(G287="","Add - no service chosen",IF(M287="No show","No show - charge the fee?",IF(M287="Cancelled","",IF(IF(M287="Completed",AB287&lt;Y287-0.004,FALSE),"Unpaid - nothing rung up for this visit",IF(IF(B287&lt;TodayDate,M287="Booked",FALSE),"Overdue - past date, still only Booked",IF(IF(B287=TodayDate,TRUE,FALSE),"Today",IF(IF(Z287&gt;0,AA287&lt;Z287-0.004,FALSE),"Due - deposit not taken",IF(IF(B287&gt;TodayDate,B287&lt;=TodayDate+2,FALSE),"Confirm - coming up","OK")))))))))))</f>
        <v>0</v>
      </c>
    </row>
    <row r="288" spans="1:34">
      <c r="A288" s="28">
        <f>IF(B288="","",AppointmentPrefix&amp;TEXT(ROW()-4,"0000"))</f>
        <v>0</v>
      </c>
      <c r="C288" s="15">
        <f>IF(B288="","",TEXT(B288,"ddd"))</f>
        <v>0</v>
      </c>
      <c r="F288" s="15">
        <f>IF(E288="","",IFERROR(INDEX(Clients!$B$5:$B$504,MATCH(E288,Clients!$A$5:$A$504,0)),"Walk-in"))</f>
        <v>0</v>
      </c>
      <c r="H288" s="15">
        <f>IF(G288="","",IFERROR(INDEX(Services!$B$5:$B$204,MATCH(G288,Services!$A$5:$A$204,0)),"Not in Services"))</f>
        <v>0</v>
      </c>
      <c r="J288" s="15">
        <f>IF(I288="","",IFERROR(INDEX(Staff!$B$5:$B$44,MATCH(I288,Staff!$A$5:$A$44,0)),"Unassigned"))</f>
        <v>0</v>
      </c>
      <c r="S288" s="15">
        <f>IF(B288="","",TEXT(B288,"yyyy-mm"))</f>
        <v>0</v>
      </c>
      <c r="T288" s="25">
        <f>IF(B288="","",WEEKNUM(B288,2))</f>
        <v>0</v>
      </c>
      <c r="U288" s="25">
        <f>IF(B288="","",IF(K288&lt;&gt;"",K288,IFERROR(INDEX(Services!$E$5:$E$204,MATCH(G288,Services!$A$5:$A$204,0))*1,0)+IFERROR(INDEX(Services!$F$5:$F$204,MATCH(G288,Services!$A$5:$A$204,0))*1,0)))</f>
        <v>0</v>
      </c>
      <c r="V288" s="36">
        <f>IF(B288="","",IF(D288="","",D288+U288/1440))</f>
        <v>0</v>
      </c>
      <c r="W288" s="25">
        <f>IF(B288="","",IF(D288="","",HOUR(D288)))</f>
        <v>0</v>
      </c>
      <c r="X288" s="37">
        <f>IF(B288="","",ROUND(U288/60,2))</f>
        <v>0</v>
      </c>
      <c r="Y288" s="26">
        <f>IF(B288="","",IF(L288&lt;&gt;"",L288,IFERROR(INDEX(Services!$G$5:$G$204,MATCH(G288,Services!$A$5:$A$204,0))*1,0)))</f>
        <v>0</v>
      </c>
      <c r="Z288" s="26">
        <f>IF(B288="","",IF(O288&lt;&gt;"",O288,IF(Y288&gt;=DepositThreshold,ROUND(Y288*DepositPercent,2),0)))</f>
        <v>0</v>
      </c>
      <c r="AA288" s="26">
        <f>IF(B288="","",ROUND(SUMIFS(Payments!$G$5:$G$1204,Payments!$I$5:$I$1204,A288,Payments!$E$5:$E$1204,"Deposit"),2))</f>
        <v>0</v>
      </c>
      <c r="AB288" s="26">
        <f>IF(B288="","",ROUND(SUMIFS(Sales!$Y$5:$Y$1204,Sales!$C$5:$C$1204,A288),2))</f>
        <v>0</v>
      </c>
      <c r="AC288" s="38">
        <f>IF(B288="","",IF(M288="Completed","Yes",IF(M288="Cancelled","Yes",IF(M288="No show","Yes","No"))))</f>
        <v>0</v>
      </c>
      <c r="AD288" s="25">
        <f>IF(B288="","",IF(AE288="","",B288-AE288))</f>
        <v>0</v>
      </c>
      <c r="AF288" s="38">
        <f>IF(B288="","",IF(M288&lt;&gt;"Completed","",IF(E288="","No",IF(COUNTIFS(Appointments!$E$5:$E$1204,E288,Appointments!$B$5:$B$1204,"&gt;"&amp;B288,Appointments!$M$5:$M$1204,"&lt;&gt;Cancelled")&gt;0,"Yes","No"))))</f>
        <v>0</v>
      </c>
      <c r="AG288" s="38">
        <f>IF(B288="","",IF(I288="","",IF(D288="","",IF(COUNTIFS($I$5:$I$1204,I288,$B$5:$B$1204,B288,$D$5:$D$1204,"&lt;"&amp;V288,$V$5:$V$1204,"&gt;"&amp;D288,$M$5:$M$1204,"&lt;&gt;Cancelled")&gt;1,"Clash",""))))</f>
        <v>0</v>
      </c>
      <c r="AH288" s="39">
        <f>IF(B288="","",IF(AG288="Clash","Clash - stylist double booked",IF(I288="","Assign - no stylist yet",IF(G288="","Add - no service chosen",IF(M288="No show","No show - charge the fee?",IF(M288="Cancelled","",IF(IF(M288="Completed",AB288&lt;Y288-0.004,FALSE),"Unpaid - nothing rung up for this visit",IF(IF(B288&lt;TodayDate,M288="Booked",FALSE),"Overdue - past date, still only Booked",IF(IF(B288=TodayDate,TRUE,FALSE),"Today",IF(IF(Z288&gt;0,AA288&lt;Z288-0.004,FALSE),"Due - deposit not taken",IF(IF(B288&gt;TodayDate,B288&lt;=TodayDate+2,FALSE),"Confirm - coming up","OK")))))))))))</f>
        <v>0</v>
      </c>
    </row>
    <row r="289" spans="1:34">
      <c r="A289" s="28">
        <f>IF(B289="","",AppointmentPrefix&amp;TEXT(ROW()-4,"0000"))</f>
        <v>0</v>
      </c>
      <c r="C289" s="15">
        <f>IF(B289="","",TEXT(B289,"ddd"))</f>
        <v>0</v>
      </c>
      <c r="F289" s="15">
        <f>IF(E289="","",IFERROR(INDEX(Clients!$B$5:$B$504,MATCH(E289,Clients!$A$5:$A$504,0)),"Walk-in"))</f>
        <v>0</v>
      </c>
      <c r="H289" s="15">
        <f>IF(G289="","",IFERROR(INDEX(Services!$B$5:$B$204,MATCH(G289,Services!$A$5:$A$204,0)),"Not in Services"))</f>
        <v>0</v>
      </c>
      <c r="J289" s="15">
        <f>IF(I289="","",IFERROR(INDEX(Staff!$B$5:$B$44,MATCH(I289,Staff!$A$5:$A$44,0)),"Unassigned"))</f>
        <v>0</v>
      </c>
      <c r="S289" s="15">
        <f>IF(B289="","",TEXT(B289,"yyyy-mm"))</f>
        <v>0</v>
      </c>
      <c r="T289" s="25">
        <f>IF(B289="","",WEEKNUM(B289,2))</f>
        <v>0</v>
      </c>
      <c r="U289" s="25">
        <f>IF(B289="","",IF(K289&lt;&gt;"",K289,IFERROR(INDEX(Services!$E$5:$E$204,MATCH(G289,Services!$A$5:$A$204,0))*1,0)+IFERROR(INDEX(Services!$F$5:$F$204,MATCH(G289,Services!$A$5:$A$204,0))*1,0)))</f>
        <v>0</v>
      </c>
      <c r="V289" s="36">
        <f>IF(B289="","",IF(D289="","",D289+U289/1440))</f>
        <v>0</v>
      </c>
      <c r="W289" s="25">
        <f>IF(B289="","",IF(D289="","",HOUR(D289)))</f>
        <v>0</v>
      </c>
      <c r="X289" s="37">
        <f>IF(B289="","",ROUND(U289/60,2))</f>
        <v>0</v>
      </c>
      <c r="Y289" s="26">
        <f>IF(B289="","",IF(L289&lt;&gt;"",L289,IFERROR(INDEX(Services!$G$5:$G$204,MATCH(G289,Services!$A$5:$A$204,0))*1,0)))</f>
        <v>0</v>
      </c>
      <c r="Z289" s="26">
        <f>IF(B289="","",IF(O289&lt;&gt;"",O289,IF(Y289&gt;=DepositThreshold,ROUND(Y289*DepositPercent,2),0)))</f>
        <v>0</v>
      </c>
      <c r="AA289" s="26">
        <f>IF(B289="","",ROUND(SUMIFS(Payments!$G$5:$G$1204,Payments!$I$5:$I$1204,A289,Payments!$E$5:$E$1204,"Deposit"),2))</f>
        <v>0</v>
      </c>
      <c r="AB289" s="26">
        <f>IF(B289="","",ROUND(SUMIFS(Sales!$Y$5:$Y$1204,Sales!$C$5:$C$1204,A289),2))</f>
        <v>0</v>
      </c>
      <c r="AC289" s="38">
        <f>IF(B289="","",IF(M289="Completed","Yes",IF(M289="Cancelled","Yes",IF(M289="No show","Yes","No"))))</f>
        <v>0</v>
      </c>
      <c r="AD289" s="25">
        <f>IF(B289="","",IF(AE289="","",B289-AE289))</f>
        <v>0</v>
      </c>
      <c r="AF289" s="38">
        <f>IF(B289="","",IF(M289&lt;&gt;"Completed","",IF(E289="","No",IF(COUNTIFS(Appointments!$E$5:$E$1204,E289,Appointments!$B$5:$B$1204,"&gt;"&amp;B289,Appointments!$M$5:$M$1204,"&lt;&gt;Cancelled")&gt;0,"Yes","No"))))</f>
        <v>0</v>
      </c>
      <c r="AG289" s="38">
        <f>IF(B289="","",IF(I289="","",IF(D289="","",IF(COUNTIFS($I$5:$I$1204,I289,$B$5:$B$1204,B289,$D$5:$D$1204,"&lt;"&amp;V289,$V$5:$V$1204,"&gt;"&amp;D289,$M$5:$M$1204,"&lt;&gt;Cancelled")&gt;1,"Clash",""))))</f>
        <v>0</v>
      </c>
      <c r="AH289" s="39">
        <f>IF(B289="","",IF(AG289="Clash","Clash - stylist double booked",IF(I289="","Assign - no stylist yet",IF(G289="","Add - no service chosen",IF(M289="No show","No show - charge the fee?",IF(M289="Cancelled","",IF(IF(M289="Completed",AB289&lt;Y289-0.004,FALSE),"Unpaid - nothing rung up for this visit",IF(IF(B289&lt;TodayDate,M289="Booked",FALSE),"Overdue - past date, still only Booked",IF(IF(B289=TodayDate,TRUE,FALSE),"Today",IF(IF(Z289&gt;0,AA289&lt;Z289-0.004,FALSE),"Due - deposit not taken",IF(IF(B289&gt;TodayDate,B289&lt;=TodayDate+2,FALSE),"Confirm - coming up","OK")))))))))))</f>
        <v>0</v>
      </c>
    </row>
    <row r="290" spans="1:34">
      <c r="A290" s="28">
        <f>IF(B290="","",AppointmentPrefix&amp;TEXT(ROW()-4,"0000"))</f>
        <v>0</v>
      </c>
      <c r="C290" s="15">
        <f>IF(B290="","",TEXT(B290,"ddd"))</f>
        <v>0</v>
      </c>
      <c r="F290" s="15">
        <f>IF(E290="","",IFERROR(INDEX(Clients!$B$5:$B$504,MATCH(E290,Clients!$A$5:$A$504,0)),"Walk-in"))</f>
        <v>0</v>
      </c>
      <c r="H290" s="15">
        <f>IF(G290="","",IFERROR(INDEX(Services!$B$5:$B$204,MATCH(G290,Services!$A$5:$A$204,0)),"Not in Services"))</f>
        <v>0</v>
      </c>
      <c r="J290" s="15">
        <f>IF(I290="","",IFERROR(INDEX(Staff!$B$5:$B$44,MATCH(I290,Staff!$A$5:$A$44,0)),"Unassigned"))</f>
        <v>0</v>
      </c>
      <c r="S290" s="15">
        <f>IF(B290="","",TEXT(B290,"yyyy-mm"))</f>
        <v>0</v>
      </c>
      <c r="T290" s="25">
        <f>IF(B290="","",WEEKNUM(B290,2))</f>
        <v>0</v>
      </c>
      <c r="U290" s="25">
        <f>IF(B290="","",IF(K290&lt;&gt;"",K290,IFERROR(INDEX(Services!$E$5:$E$204,MATCH(G290,Services!$A$5:$A$204,0))*1,0)+IFERROR(INDEX(Services!$F$5:$F$204,MATCH(G290,Services!$A$5:$A$204,0))*1,0)))</f>
        <v>0</v>
      </c>
      <c r="V290" s="36">
        <f>IF(B290="","",IF(D290="","",D290+U290/1440))</f>
        <v>0</v>
      </c>
      <c r="W290" s="25">
        <f>IF(B290="","",IF(D290="","",HOUR(D290)))</f>
        <v>0</v>
      </c>
      <c r="X290" s="37">
        <f>IF(B290="","",ROUND(U290/60,2))</f>
        <v>0</v>
      </c>
      <c r="Y290" s="26">
        <f>IF(B290="","",IF(L290&lt;&gt;"",L290,IFERROR(INDEX(Services!$G$5:$G$204,MATCH(G290,Services!$A$5:$A$204,0))*1,0)))</f>
        <v>0</v>
      </c>
      <c r="Z290" s="26">
        <f>IF(B290="","",IF(O290&lt;&gt;"",O290,IF(Y290&gt;=DepositThreshold,ROUND(Y290*DepositPercent,2),0)))</f>
        <v>0</v>
      </c>
      <c r="AA290" s="26">
        <f>IF(B290="","",ROUND(SUMIFS(Payments!$G$5:$G$1204,Payments!$I$5:$I$1204,A290,Payments!$E$5:$E$1204,"Deposit"),2))</f>
        <v>0</v>
      </c>
      <c r="AB290" s="26">
        <f>IF(B290="","",ROUND(SUMIFS(Sales!$Y$5:$Y$1204,Sales!$C$5:$C$1204,A290),2))</f>
        <v>0</v>
      </c>
      <c r="AC290" s="38">
        <f>IF(B290="","",IF(M290="Completed","Yes",IF(M290="Cancelled","Yes",IF(M290="No show","Yes","No"))))</f>
        <v>0</v>
      </c>
      <c r="AD290" s="25">
        <f>IF(B290="","",IF(AE290="","",B290-AE290))</f>
        <v>0</v>
      </c>
      <c r="AF290" s="38">
        <f>IF(B290="","",IF(M290&lt;&gt;"Completed","",IF(E290="","No",IF(COUNTIFS(Appointments!$E$5:$E$1204,E290,Appointments!$B$5:$B$1204,"&gt;"&amp;B290,Appointments!$M$5:$M$1204,"&lt;&gt;Cancelled")&gt;0,"Yes","No"))))</f>
        <v>0</v>
      </c>
      <c r="AG290" s="38">
        <f>IF(B290="","",IF(I290="","",IF(D290="","",IF(COUNTIFS($I$5:$I$1204,I290,$B$5:$B$1204,B290,$D$5:$D$1204,"&lt;"&amp;V290,$V$5:$V$1204,"&gt;"&amp;D290,$M$5:$M$1204,"&lt;&gt;Cancelled")&gt;1,"Clash",""))))</f>
        <v>0</v>
      </c>
      <c r="AH290" s="39">
        <f>IF(B290="","",IF(AG290="Clash","Clash - stylist double booked",IF(I290="","Assign - no stylist yet",IF(G290="","Add - no service chosen",IF(M290="No show","No show - charge the fee?",IF(M290="Cancelled","",IF(IF(M290="Completed",AB290&lt;Y290-0.004,FALSE),"Unpaid - nothing rung up for this visit",IF(IF(B290&lt;TodayDate,M290="Booked",FALSE),"Overdue - past date, still only Booked",IF(IF(B290=TodayDate,TRUE,FALSE),"Today",IF(IF(Z290&gt;0,AA290&lt;Z290-0.004,FALSE),"Due - deposit not taken",IF(IF(B290&gt;TodayDate,B290&lt;=TodayDate+2,FALSE),"Confirm - coming up","OK")))))))))))</f>
        <v>0</v>
      </c>
    </row>
    <row r="291" spans="1:34">
      <c r="A291" s="28">
        <f>IF(B291="","",AppointmentPrefix&amp;TEXT(ROW()-4,"0000"))</f>
        <v>0</v>
      </c>
      <c r="C291" s="15">
        <f>IF(B291="","",TEXT(B291,"ddd"))</f>
        <v>0</v>
      </c>
      <c r="F291" s="15">
        <f>IF(E291="","",IFERROR(INDEX(Clients!$B$5:$B$504,MATCH(E291,Clients!$A$5:$A$504,0)),"Walk-in"))</f>
        <v>0</v>
      </c>
      <c r="H291" s="15">
        <f>IF(G291="","",IFERROR(INDEX(Services!$B$5:$B$204,MATCH(G291,Services!$A$5:$A$204,0)),"Not in Services"))</f>
        <v>0</v>
      </c>
      <c r="J291" s="15">
        <f>IF(I291="","",IFERROR(INDEX(Staff!$B$5:$B$44,MATCH(I291,Staff!$A$5:$A$44,0)),"Unassigned"))</f>
        <v>0</v>
      </c>
      <c r="S291" s="15">
        <f>IF(B291="","",TEXT(B291,"yyyy-mm"))</f>
        <v>0</v>
      </c>
      <c r="T291" s="25">
        <f>IF(B291="","",WEEKNUM(B291,2))</f>
        <v>0</v>
      </c>
      <c r="U291" s="25">
        <f>IF(B291="","",IF(K291&lt;&gt;"",K291,IFERROR(INDEX(Services!$E$5:$E$204,MATCH(G291,Services!$A$5:$A$204,0))*1,0)+IFERROR(INDEX(Services!$F$5:$F$204,MATCH(G291,Services!$A$5:$A$204,0))*1,0)))</f>
        <v>0</v>
      </c>
      <c r="V291" s="36">
        <f>IF(B291="","",IF(D291="","",D291+U291/1440))</f>
        <v>0</v>
      </c>
      <c r="W291" s="25">
        <f>IF(B291="","",IF(D291="","",HOUR(D291)))</f>
        <v>0</v>
      </c>
      <c r="X291" s="37">
        <f>IF(B291="","",ROUND(U291/60,2))</f>
        <v>0</v>
      </c>
      <c r="Y291" s="26">
        <f>IF(B291="","",IF(L291&lt;&gt;"",L291,IFERROR(INDEX(Services!$G$5:$G$204,MATCH(G291,Services!$A$5:$A$204,0))*1,0)))</f>
        <v>0</v>
      </c>
      <c r="Z291" s="26">
        <f>IF(B291="","",IF(O291&lt;&gt;"",O291,IF(Y291&gt;=DepositThreshold,ROUND(Y291*DepositPercent,2),0)))</f>
        <v>0</v>
      </c>
      <c r="AA291" s="26">
        <f>IF(B291="","",ROUND(SUMIFS(Payments!$G$5:$G$1204,Payments!$I$5:$I$1204,A291,Payments!$E$5:$E$1204,"Deposit"),2))</f>
        <v>0</v>
      </c>
      <c r="AB291" s="26">
        <f>IF(B291="","",ROUND(SUMIFS(Sales!$Y$5:$Y$1204,Sales!$C$5:$C$1204,A291),2))</f>
        <v>0</v>
      </c>
      <c r="AC291" s="38">
        <f>IF(B291="","",IF(M291="Completed","Yes",IF(M291="Cancelled","Yes",IF(M291="No show","Yes","No"))))</f>
        <v>0</v>
      </c>
      <c r="AD291" s="25">
        <f>IF(B291="","",IF(AE291="","",B291-AE291))</f>
        <v>0</v>
      </c>
      <c r="AF291" s="38">
        <f>IF(B291="","",IF(M291&lt;&gt;"Completed","",IF(E291="","No",IF(COUNTIFS(Appointments!$E$5:$E$1204,E291,Appointments!$B$5:$B$1204,"&gt;"&amp;B291,Appointments!$M$5:$M$1204,"&lt;&gt;Cancelled")&gt;0,"Yes","No"))))</f>
        <v>0</v>
      </c>
      <c r="AG291" s="38">
        <f>IF(B291="","",IF(I291="","",IF(D291="","",IF(COUNTIFS($I$5:$I$1204,I291,$B$5:$B$1204,B291,$D$5:$D$1204,"&lt;"&amp;V291,$V$5:$V$1204,"&gt;"&amp;D291,$M$5:$M$1204,"&lt;&gt;Cancelled")&gt;1,"Clash",""))))</f>
        <v>0</v>
      </c>
      <c r="AH291" s="39">
        <f>IF(B291="","",IF(AG291="Clash","Clash - stylist double booked",IF(I291="","Assign - no stylist yet",IF(G291="","Add - no service chosen",IF(M291="No show","No show - charge the fee?",IF(M291="Cancelled","",IF(IF(M291="Completed",AB291&lt;Y291-0.004,FALSE),"Unpaid - nothing rung up for this visit",IF(IF(B291&lt;TodayDate,M291="Booked",FALSE),"Overdue - past date, still only Booked",IF(IF(B291=TodayDate,TRUE,FALSE),"Today",IF(IF(Z291&gt;0,AA291&lt;Z291-0.004,FALSE),"Due - deposit not taken",IF(IF(B291&gt;TodayDate,B291&lt;=TodayDate+2,FALSE),"Confirm - coming up","OK")))))))))))</f>
        <v>0</v>
      </c>
    </row>
    <row r="292" spans="1:34">
      <c r="A292" s="28">
        <f>IF(B292="","",AppointmentPrefix&amp;TEXT(ROW()-4,"0000"))</f>
        <v>0</v>
      </c>
      <c r="C292" s="15">
        <f>IF(B292="","",TEXT(B292,"ddd"))</f>
        <v>0</v>
      </c>
      <c r="F292" s="15">
        <f>IF(E292="","",IFERROR(INDEX(Clients!$B$5:$B$504,MATCH(E292,Clients!$A$5:$A$504,0)),"Walk-in"))</f>
        <v>0</v>
      </c>
      <c r="H292" s="15">
        <f>IF(G292="","",IFERROR(INDEX(Services!$B$5:$B$204,MATCH(G292,Services!$A$5:$A$204,0)),"Not in Services"))</f>
        <v>0</v>
      </c>
      <c r="J292" s="15">
        <f>IF(I292="","",IFERROR(INDEX(Staff!$B$5:$B$44,MATCH(I292,Staff!$A$5:$A$44,0)),"Unassigned"))</f>
        <v>0</v>
      </c>
      <c r="S292" s="15">
        <f>IF(B292="","",TEXT(B292,"yyyy-mm"))</f>
        <v>0</v>
      </c>
      <c r="T292" s="25">
        <f>IF(B292="","",WEEKNUM(B292,2))</f>
        <v>0</v>
      </c>
      <c r="U292" s="25">
        <f>IF(B292="","",IF(K292&lt;&gt;"",K292,IFERROR(INDEX(Services!$E$5:$E$204,MATCH(G292,Services!$A$5:$A$204,0))*1,0)+IFERROR(INDEX(Services!$F$5:$F$204,MATCH(G292,Services!$A$5:$A$204,0))*1,0)))</f>
        <v>0</v>
      </c>
      <c r="V292" s="36">
        <f>IF(B292="","",IF(D292="","",D292+U292/1440))</f>
        <v>0</v>
      </c>
      <c r="W292" s="25">
        <f>IF(B292="","",IF(D292="","",HOUR(D292)))</f>
        <v>0</v>
      </c>
      <c r="X292" s="37">
        <f>IF(B292="","",ROUND(U292/60,2))</f>
        <v>0</v>
      </c>
      <c r="Y292" s="26">
        <f>IF(B292="","",IF(L292&lt;&gt;"",L292,IFERROR(INDEX(Services!$G$5:$G$204,MATCH(G292,Services!$A$5:$A$204,0))*1,0)))</f>
        <v>0</v>
      </c>
      <c r="Z292" s="26">
        <f>IF(B292="","",IF(O292&lt;&gt;"",O292,IF(Y292&gt;=DepositThreshold,ROUND(Y292*DepositPercent,2),0)))</f>
        <v>0</v>
      </c>
      <c r="AA292" s="26">
        <f>IF(B292="","",ROUND(SUMIFS(Payments!$G$5:$G$1204,Payments!$I$5:$I$1204,A292,Payments!$E$5:$E$1204,"Deposit"),2))</f>
        <v>0</v>
      </c>
      <c r="AB292" s="26">
        <f>IF(B292="","",ROUND(SUMIFS(Sales!$Y$5:$Y$1204,Sales!$C$5:$C$1204,A292),2))</f>
        <v>0</v>
      </c>
      <c r="AC292" s="38">
        <f>IF(B292="","",IF(M292="Completed","Yes",IF(M292="Cancelled","Yes",IF(M292="No show","Yes","No"))))</f>
        <v>0</v>
      </c>
      <c r="AD292" s="25">
        <f>IF(B292="","",IF(AE292="","",B292-AE292))</f>
        <v>0</v>
      </c>
      <c r="AF292" s="38">
        <f>IF(B292="","",IF(M292&lt;&gt;"Completed","",IF(E292="","No",IF(COUNTIFS(Appointments!$E$5:$E$1204,E292,Appointments!$B$5:$B$1204,"&gt;"&amp;B292,Appointments!$M$5:$M$1204,"&lt;&gt;Cancelled")&gt;0,"Yes","No"))))</f>
        <v>0</v>
      </c>
      <c r="AG292" s="38">
        <f>IF(B292="","",IF(I292="","",IF(D292="","",IF(COUNTIFS($I$5:$I$1204,I292,$B$5:$B$1204,B292,$D$5:$D$1204,"&lt;"&amp;V292,$V$5:$V$1204,"&gt;"&amp;D292,$M$5:$M$1204,"&lt;&gt;Cancelled")&gt;1,"Clash",""))))</f>
        <v>0</v>
      </c>
      <c r="AH292" s="39">
        <f>IF(B292="","",IF(AG292="Clash","Clash - stylist double booked",IF(I292="","Assign - no stylist yet",IF(G292="","Add - no service chosen",IF(M292="No show","No show - charge the fee?",IF(M292="Cancelled","",IF(IF(M292="Completed",AB292&lt;Y292-0.004,FALSE),"Unpaid - nothing rung up for this visit",IF(IF(B292&lt;TodayDate,M292="Booked",FALSE),"Overdue - past date, still only Booked",IF(IF(B292=TodayDate,TRUE,FALSE),"Today",IF(IF(Z292&gt;0,AA292&lt;Z292-0.004,FALSE),"Due - deposit not taken",IF(IF(B292&gt;TodayDate,B292&lt;=TodayDate+2,FALSE),"Confirm - coming up","OK")))))))))))</f>
        <v>0</v>
      </c>
    </row>
    <row r="293" spans="1:34">
      <c r="A293" s="28">
        <f>IF(B293="","",AppointmentPrefix&amp;TEXT(ROW()-4,"0000"))</f>
        <v>0</v>
      </c>
      <c r="C293" s="15">
        <f>IF(B293="","",TEXT(B293,"ddd"))</f>
        <v>0</v>
      </c>
      <c r="F293" s="15">
        <f>IF(E293="","",IFERROR(INDEX(Clients!$B$5:$B$504,MATCH(E293,Clients!$A$5:$A$504,0)),"Walk-in"))</f>
        <v>0</v>
      </c>
      <c r="H293" s="15">
        <f>IF(G293="","",IFERROR(INDEX(Services!$B$5:$B$204,MATCH(G293,Services!$A$5:$A$204,0)),"Not in Services"))</f>
        <v>0</v>
      </c>
      <c r="J293" s="15">
        <f>IF(I293="","",IFERROR(INDEX(Staff!$B$5:$B$44,MATCH(I293,Staff!$A$5:$A$44,0)),"Unassigned"))</f>
        <v>0</v>
      </c>
      <c r="S293" s="15">
        <f>IF(B293="","",TEXT(B293,"yyyy-mm"))</f>
        <v>0</v>
      </c>
      <c r="T293" s="25">
        <f>IF(B293="","",WEEKNUM(B293,2))</f>
        <v>0</v>
      </c>
      <c r="U293" s="25">
        <f>IF(B293="","",IF(K293&lt;&gt;"",K293,IFERROR(INDEX(Services!$E$5:$E$204,MATCH(G293,Services!$A$5:$A$204,0))*1,0)+IFERROR(INDEX(Services!$F$5:$F$204,MATCH(G293,Services!$A$5:$A$204,0))*1,0)))</f>
        <v>0</v>
      </c>
      <c r="V293" s="36">
        <f>IF(B293="","",IF(D293="","",D293+U293/1440))</f>
        <v>0</v>
      </c>
      <c r="W293" s="25">
        <f>IF(B293="","",IF(D293="","",HOUR(D293)))</f>
        <v>0</v>
      </c>
      <c r="X293" s="37">
        <f>IF(B293="","",ROUND(U293/60,2))</f>
        <v>0</v>
      </c>
      <c r="Y293" s="26">
        <f>IF(B293="","",IF(L293&lt;&gt;"",L293,IFERROR(INDEX(Services!$G$5:$G$204,MATCH(G293,Services!$A$5:$A$204,0))*1,0)))</f>
        <v>0</v>
      </c>
      <c r="Z293" s="26">
        <f>IF(B293="","",IF(O293&lt;&gt;"",O293,IF(Y293&gt;=DepositThreshold,ROUND(Y293*DepositPercent,2),0)))</f>
        <v>0</v>
      </c>
      <c r="AA293" s="26">
        <f>IF(B293="","",ROUND(SUMIFS(Payments!$G$5:$G$1204,Payments!$I$5:$I$1204,A293,Payments!$E$5:$E$1204,"Deposit"),2))</f>
        <v>0</v>
      </c>
      <c r="AB293" s="26">
        <f>IF(B293="","",ROUND(SUMIFS(Sales!$Y$5:$Y$1204,Sales!$C$5:$C$1204,A293),2))</f>
        <v>0</v>
      </c>
      <c r="AC293" s="38">
        <f>IF(B293="","",IF(M293="Completed","Yes",IF(M293="Cancelled","Yes",IF(M293="No show","Yes","No"))))</f>
        <v>0</v>
      </c>
      <c r="AD293" s="25">
        <f>IF(B293="","",IF(AE293="","",B293-AE293))</f>
        <v>0</v>
      </c>
      <c r="AF293" s="38">
        <f>IF(B293="","",IF(M293&lt;&gt;"Completed","",IF(E293="","No",IF(COUNTIFS(Appointments!$E$5:$E$1204,E293,Appointments!$B$5:$B$1204,"&gt;"&amp;B293,Appointments!$M$5:$M$1204,"&lt;&gt;Cancelled")&gt;0,"Yes","No"))))</f>
        <v>0</v>
      </c>
      <c r="AG293" s="38">
        <f>IF(B293="","",IF(I293="","",IF(D293="","",IF(COUNTIFS($I$5:$I$1204,I293,$B$5:$B$1204,B293,$D$5:$D$1204,"&lt;"&amp;V293,$V$5:$V$1204,"&gt;"&amp;D293,$M$5:$M$1204,"&lt;&gt;Cancelled")&gt;1,"Clash",""))))</f>
        <v>0</v>
      </c>
      <c r="AH293" s="39">
        <f>IF(B293="","",IF(AG293="Clash","Clash - stylist double booked",IF(I293="","Assign - no stylist yet",IF(G293="","Add - no service chosen",IF(M293="No show","No show - charge the fee?",IF(M293="Cancelled","",IF(IF(M293="Completed",AB293&lt;Y293-0.004,FALSE),"Unpaid - nothing rung up for this visit",IF(IF(B293&lt;TodayDate,M293="Booked",FALSE),"Overdue - past date, still only Booked",IF(IF(B293=TodayDate,TRUE,FALSE),"Today",IF(IF(Z293&gt;0,AA293&lt;Z293-0.004,FALSE),"Due - deposit not taken",IF(IF(B293&gt;TodayDate,B293&lt;=TodayDate+2,FALSE),"Confirm - coming up","OK")))))))))))</f>
        <v>0</v>
      </c>
    </row>
    <row r="294" spans="1:34">
      <c r="A294" s="28">
        <f>IF(B294="","",AppointmentPrefix&amp;TEXT(ROW()-4,"0000"))</f>
        <v>0</v>
      </c>
      <c r="C294" s="15">
        <f>IF(B294="","",TEXT(B294,"ddd"))</f>
        <v>0</v>
      </c>
      <c r="F294" s="15">
        <f>IF(E294="","",IFERROR(INDEX(Clients!$B$5:$B$504,MATCH(E294,Clients!$A$5:$A$504,0)),"Walk-in"))</f>
        <v>0</v>
      </c>
      <c r="H294" s="15">
        <f>IF(G294="","",IFERROR(INDEX(Services!$B$5:$B$204,MATCH(G294,Services!$A$5:$A$204,0)),"Not in Services"))</f>
        <v>0</v>
      </c>
      <c r="J294" s="15">
        <f>IF(I294="","",IFERROR(INDEX(Staff!$B$5:$B$44,MATCH(I294,Staff!$A$5:$A$44,0)),"Unassigned"))</f>
        <v>0</v>
      </c>
      <c r="S294" s="15">
        <f>IF(B294="","",TEXT(B294,"yyyy-mm"))</f>
        <v>0</v>
      </c>
      <c r="T294" s="25">
        <f>IF(B294="","",WEEKNUM(B294,2))</f>
        <v>0</v>
      </c>
      <c r="U294" s="25">
        <f>IF(B294="","",IF(K294&lt;&gt;"",K294,IFERROR(INDEX(Services!$E$5:$E$204,MATCH(G294,Services!$A$5:$A$204,0))*1,0)+IFERROR(INDEX(Services!$F$5:$F$204,MATCH(G294,Services!$A$5:$A$204,0))*1,0)))</f>
        <v>0</v>
      </c>
      <c r="V294" s="36">
        <f>IF(B294="","",IF(D294="","",D294+U294/1440))</f>
        <v>0</v>
      </c>
      <c r="W294" s="25">
        <f>IF(B294="","",IF(D294="","",HOUR(D294)))</f>
        <v>0</v>
      </c>
      <c r="X294" s="37">
        <f>IF(B294="","",ROUND(U294/60,2))</f>
        <v>0</v>
      </c>
      <c r="Y294" s="26">
        <f>IF(B294="","",IF(L294&lt;&gt;"",L294,IFERROR(INDEX(Services!$G$5:$G$204,MATCH(G294,Services!$A$5:$A$204,0))*1,0)))</f>
        <v>0</v>
      </c>
      <c r="Z294" s="26">
        <f>IF(B294="","",IF(O294&lt;&gt;"",O294,IF(Y294&gt;=DepositThreshold,ROUND(Y294*DepositPercent,2),0)))</f>
        <v>0</v>
      </c>
      <c r="AA294" s="26">
        <f>IF(B294="","",ROUND(SUMIFS(Payments!$G$5:$G$1204,Payments!$I$5:$I$1204,A294,Payments!$E$5:$E$1204,"Deposit"),2))</f>
        <v>0</v>
      </c>
      <c r="AB294" s="26">
        <f>IF(B294="","",ROUND(SUMIFS(Sales!$Y$5:$Y$1204,Sales!$C$5:$C$1204,A294),2))</f>
        <v>0</v>
      </c>
      <c r="AC294" s="38">
        <f>IF(B294="","",IF(M294="Completed","Yes",IF(M294="Cancelled","Yes",IF(M294="No show","Yes","No"))))</f>
        <v>0</v>
      </c>
      <c r="AD294" s="25">
        <f>IF(B294="","",IF(AE294="","",B294-AE294))</f>
        <v>0</v>
      </c>
      <c r="AF294" s="38">
        <f>IF(B294="","",IF(M294&lt;&gt;"Completed","",IF(E294="","No",IF(COUNTIFS(Appointments!$E$5:$E$1204,E294,Appointments!$B$5:$B$1204,"&gt;"&amp;B294,Appointments!$M$5:$M$1204,"&lt;&gt;Cancelled")&gt;0,"Yes","No"))))</f>
        <v>0</v>
      </c>
      <c r="AG294" s="38">
        <f>IF(B294="","",IF(I294="","",IF(D294="","",IF(COUNTIFS($I$5:$I$1204,I294,$B$5:$B$1204,B294,$D$5:$D$1204,"&lt;"&amp;V294,$V$5:$V$1204,"&gt;"&amp;D294,$M$5:$M$1204,"&lt;&gt;Cancelled")&gt;1,"Clash",""))))</f>
        <v>0</v>
      </c>
      <c r="AH294" s="39">
        <f>IF(B294="","",IF(AG294="Clash","Clash - stylist double booked",IF(I294="","Assign - no stylist yet",IF(G294="","Add - no service chosen",IF(M294="No show","No show - charge the fee?",IF(M294="Cancelled","",IF(IF(M294="Completed",AB294&lt;Y294-0.004,FALSE),"Unpaid - nothing rung up for this visit",IF(IF(B294&lt;TodayDate,M294="Booked",FALSE),"Overdue - past date, still only Booked",IF(IF(B294=TodayDate,TRUE,FALSE),"Today",IF(IF(Z294&gt;0,AA294&lt;Z294-0.004,FALSE),"Due - deposit not taken",IF(IF(B294&gt;TodayDate,B294&lt;=TodayDate+2,FALSE),"Confirm - coming up","OK")))))))))))</f>
        <v>0</v>
      </c>
    </row>
    <row r="295" spans="1:34">
      <c r="A295" s="28">
        <f>IF(B295="","",AppointmentPrefix&amp;TEXT(ROW()-4,"0000"))</f>
        <v>0</v>
      </c>
      <c r="C295" s="15">
        <f>IF(B295="","",TEXT(B295,"ddd"))</f>
        <v>0</v>
      </c>
      <c r="F295" s="15">
        <f>IF(E295="","",IFERROR(INDEX(Clients!$B$5:$B$504,MATCH(E295,Clients!$A$5:$A$504,0)),"Walk-in"))</f>
        <v>0</v>
      </c>
      <c r="H295" s="15">
        <f>IF(G295="","",IFERROR(INDEX(Services!$B$5:$B$204,MATCH(G295,Services!$A$5:$A$204,0)),"Not in Services"))</f>
        <v>0</v>
      </c>
      <c r="J295" s="15">
        <f>IF(I295="","",IFERROR(INDEX(Staff!$B$5:$B$44,MATCH(I295,Staff!$A$5:$A$44,0)),"Unassigned"))</f>
        <v>0</v>
      </c>
      <c r="S295" s="15">
        <f>IF(B295="","",TEXT(B295,"yyyy-mm"))</f>
        <v>0</v>
      </c>
      <c r="T295" s="25">
        <f>IF(B295="","",WEEKNUM(B295,2))</f>
        <v>0</v>
      </c>
      <c r="U295" s="25">
        <f>IF(B295="","",IF(K295&lt;&gt;"",K295,IFERROR(INDEX(Services!$E$5:$E$204,MATCH(G295,Services!$A$5:$A$204,0))*1,0)+IFERROR(INDEX(Services!$F$5:$F$204,MATCH(G295,Services!$A$5:$A$204,0))*1,0)))</f>
        <v>0</v>
      </c>
      <c r="V295" s="36">
        <f>IF(B295="","",IF(D295="","",D295+U295/1440))</f>
        <v>0</v>
      </c>
      <c r="W295" s="25">
        <f>IF(B295="","",IF(D295="","",HOUR(D295)))</f>
        <v>0</v>
      </c>
      <c r="X295" s="37">
        <f>IF(B295="","",ROUND(U295/60,2))</f>
        <v>0</v>
      </c>
      <c r="Y295" s="26">
        <f>IF(B295="","",IF(L295&lt;&gt;"",L295,IFERROR(INDEX(Services!$G$5:$G$204,MATCH(G295,Services!$A$5:$A$204,0))*1,0)))</f>
        <v>0</v>
      </c>
      <c r="Z295" s="26">
        <f>IF(B295="","",IF(O295&lt;&gt;"",O295,IF(Y295&gt;=DepositThreshold,ROUND(Y295*DepositPercent,2),0)))</f>
        <v>0</v>
      </c>
      <c r="AA295" s="26">
        <f>IF(B295="","",ROUND(SUMIFS(Payments!$G$5:$G$1204,Payments!$I$5:$I$1204,A295,Payments!$E$5:$E$1204,"Deposit"),2))</f>
        <v>0</v>
      </c>
      <c r="AB295" s="26">
        <f>IF(B295="","",ROUND(SUMIFS(Sales!$Y$5:$Y$1204,Sales!$C$5:$C$1204,A295),2))</f>
        <v>0</v>
      </c>
      <c r="AC295" s="38">
        <f>IF(B295="","",IF(M295="Completed","Yes",IF(M295="Cancelled","Yes",IF(M295="No show","Yes","No"))))</f>
        <v>0</v>
      </c>
      <c r="AD295" s="25">
        <f>IF(B295="","",IF(AE295="","",B295-AE295))</f>
        <v>0</v>
      </c>
      <c r="AF295" s="38">
        <f>IF(B295="","",IF(M295&lt;&gt;"Completed","",IF(E295="","No",IF(COUNTIFS(Appointments!$E$5:$E$1204,E295,Appointments!$B$5:$B$1204,"&gt;"&amp;B295,Appointments!$M$5:$M$1204,"&lt;&gt;Cancelled")&gt;0,"Yes","No"))))</f>
        <v>0</v>
      </c>
      <c r="AG295" s="38">
        <f>IF(B295="","",IF(I295="","",IF(D295="","",IF(COUNTIFS($I$5:$I$1204,I295,$B$5:$B$1204,B295,$D$5:$D$1204,"&lt;"&amp;V295,$V$5:$V$1204,"&gt;"&amp;D295,$M$5:$M$1204,"&lt;&gt;Cancelled")&gt;1,"Clash",""))))</f>
        <v>0</v>
      </c>
      <c r="AH295" s="39">
        <f>IF(B295="","",IF(AG295="Clash","Clash - stylist double booked",IF(I295="","Assign - no stylist yet",IF(G295="","Add - no service chosen",IF(M295="No show","No show - charge the fee?",IF(M295="Cancelled","",IF(IF(M295="Completed",AB295&lt;Y295-0.004,FALSE),"Unpaid - nothing rung up for this visit",IF(IF(B295&lt;TodayDate,M295="Booked",FALSE),"Overdue - past date, still only Booked",IF(IF(B295=TodayDate,TRUE,FALSE),"Today",IF(IF(Z295&gt;0,AA295&lt;Z295-0.004,FALSE),"Due - deposit not taken",IF(IF(B295&gt;TodayDate,B295&lt;=TodayDate+2,FALSE),"Confirm - coming up","OK")))))))))))</f>
        <v>0</v>
      </c>
    </row>
    <row r="296" spans="1:34">
      <c r="A296" s="28">
        <f>IF(B296="","",AppointmentPrefix&amp;TEXT(ROW()-4,"0000"))</f>
        <v>0</v>
      </c>
      <c r="C296" s="15">
        <f>IF(B296="","",TEXT(B296,"ddd"))</f>
        <v>0</v>
      </c>
      <c r="F296" s="15">
        <f>IF(E296="","",IFERROR(INDEX(Clients!$B$5:$B$504,MATCH(E296,Clients!$A$5:$A$504,0)),"Walk-in"))</f>
        <v>0</v>
      </c>
      <c r="H296" s="15">
        <f>IF(G296="","",IFERROR(INDEX(Services!$B$5:$B$204,MATCH(G296,Services!$A$5:$A$204,0)),"Not in Services"))</f>
        <v>0</v>
      </c>
      <c r="J296" s="15">
        <f>IF(I296="","",IFERROR(INDEX(Staff!$B$5:$B$44,MATCH(I296,Staff!$A$5:$A$44,0)),"Unassigned"))</f>
        <v>0</v>
      </c>
      <c r="S296" s="15">
        <f>IF(B296="","",TEXT(B296,"yyyy-mm"))</f>
        <v>0</v>
      </c>
      <c r="T296" s="25">
        <f>IF(B296="","",WEEKNUM(B296,2))</f>
        <v>0</v>
      </c>
      <c r="U296" s="25">
        <f>IF(B296="","",IF(K296&lt;&gt;"",K296,IFERROR(INDEX(Services!$E$5:$E$204,MATCH(G296,Services!$A$5:$A$204,0))*1,0)+IFERROR(INDEX(Services!$F$5:$F$204,MATCH(G296,Services!$A$5:$A$204,0))*1,0)))</f>
        <v>0</v>
      </c>
      <c r="V296" s="36">
        <f>IF(B296="","",IF(D296="","",D296+U296/1440))</f>
        <v>0</v>
      </c>
      <c r="W296" s="25">
        <f>IF(B296="","",IF(D296="","",HOUR(D296)))</f>
        <v>0</v>
      </c>
      <c r="X296" s="37">
        <f>IF(B296="","",ROUND(U296/60,2))</f>
        <v>0</v>
      </c>
      <c r="Y296" s="26">
        <f>IF(B296="","",IF(L296&lt;&gt;"",L296,IFERROR(INDEX(Services!$G$5:$G$204,MATCH(G296,Services!$A$5:$A$204,0))*1,0)))</f>
        <v>0</v>
      </c>
      <c r="Z296" s="26">
        <f>IF(B296="","",IF(O296&lt;&gt;"",O296,IF(Y296&gt;=DepositThreshold,ROUND(Y296*DepositPercent,2),0)))</f>
        <v>0</v>
      </c>
      <c r="AA296" s="26">
        <f>IF(B296="","",ROUND(SUMIFS(Payments!$G$5:$G$1204,Payments!$I$5:$I$1204,A296,Payments!$E$5:$E$1204,"Deposit"),2))</f>
        <v>0</v>
      </c>
      <c r="AB296" s="26">
        <f>IF(B296="","",ROUND(SUMIFS(Sales!$Y$5:$Y$1204,Sales!$C$5:$C$1204,A296),2))</f>
        <v>0</v>
      </c>
      <c r="AC296" s="38">
        <f>IF(B296="","",IF(M296="Completed","Yes",IF(M296="Cancelled","Yes",IF(M296="No show","Yes","No"))))</f>
        <v>0</v>
      </c>
      <c r="AD296" s="25">
        <f>IF(B296="","",IF(AE296="","",B296-AE296))</f>
        <v>0</v>
      </c>
      <c r="AF296" s="38">
        <f>IF(B296="","",IF(M296&lt;&gt;"Completed","",IF(E296="","No",IF(COUNTIFS(Appointments!$E$5:$E$1204,E296,Appointments!$B$5:$B$1204,"&gt;"&amp;B296,Appointments!$M$5:$M$1204,"&lt;&gt;Cancelled")&gt;0,"Yes","No"))))</f>
        <v>0</v>
      </c>
      <c r="AG296" s="38">
        <f>IF(B296="","",IF(I296="","",IF(D296="","",IF(COUNTIFS($I$5:$I$1204,I296,$B$5:$B$1204,B296,$D$5:$D$1204,"&lt;"&amp;V296,$V$5:$V$1204,"&gt;"&amp;D296,$M$5:$M$1204,"&lt;&gt;Cancelled")&gt;1,"Clash",""))))</f>
        <v>0</v>
      </c>
      <c r="AH296" s="39">
        <f>IF(B296="","",IF(AG296="Clash","Clash - stylist double booked",IF(I296="","Assign - no stylist yet",IF(G296="","Add - no service chosen",IF(M296="No show","No show - charge the fee?",IF(M296="Cancelled","",IF(IF(M296="Completed",AB296&lt;Y296-0.004,FALSE),"Unpaid - nothing rung up for this visit",IF(IF(B296&lt;TodayDate,M296="Booked",FALSE),"Overdue - past date, still only Booked",IF(IF(B296=TodayDate,TRUE,FALSE),"Today",IF(IF(Z296&gt;0,AA296&lt;Z296-0.004,FALSE),"Due - deposit not taken",IF(IF(B296&gt;TodayDate,B296&lt;=TodayDate+2,FALSE),"Confirm - coming up","OK")))))))))))</f>
        <v>0</v>
      </c>
    </row>
    <row r="297" spans="1:34">
      <c r="A297" s="28">
        <f>IF(B297="","",AppointmentPrefix&amp;TEXT(ROW()-4,"0000"))</f>
        <v>0</v>
      </c>
      <c r="C297" s="15">
        <f>IF(B297="","",TEXT(B297,"ddd"))</f>
        <v>0</v>
      </c>
      <c r="F297" s="15">
        <f>IF(E297="","",IFERROR(INDEX(Clients!$B$5:$B$504,MATCH(E297,Clients!$A$5:$A$504,0)),"Walk-in"))</f>
        <v>0</v>
      </c>
      <c r="H297" s="15">
        <f>IF(G297="","",IFERROR(INDEX(Services!$B$5:$B$204,MATCH(G297,Services!$A$5:$A$204,0)),"Not in Services"))</f>
        <v>0</v>
      </c>
      <c r="J297" s="15">
        <f>IF(I297="","",IFERROR(INDEX(Staff!$B$5:$B$44,MATCH(I297,Staff!$A$5:$A$44,0)),"Unassigned"))</f>
        <v>0</v>
      </c>
      <c r="S297" s="15">
        <f>IF(B297="","",TEXT(B297,"yyyy-mm"))</f>
        <v>0</v>
      </c>
      <c r="T297" s="25">
        <f>IF(B297="","",WEEKNUM(B297,2))</f>
        <v>0</v>
      </c>
      <c r="U297" s="25">
        <f>IF(B297="","",IF(K297&lt;&gt;"",K297,IFERROR(INDEX(Services!$E$5:$E$204,MATCH(G297,Services!$A$5:$A$204,0))*1,0)+IFERROR(INDEX(Services!$F$5:$F$204,MATCH(G297,Services!$A$5:$A$204,0))*1,0)))</f>
        <v>0</v>
      </c>
      <c r="V297" s="36">
        <f>IF(B297="","",IF(D297="","",D297+U297/1440))</f>
        <v>0</v>
      </c>
      <c r="W297" s="25">
        <f>IF(B297="","",IF(D297="","",HOUR(D297)))</f>
        <v>0</v>
      </c>
      <c r="X297" s="37">
        <f>IF(B297="","",ROUND(U297/60,2))</f>
        <v>0</v>
      </c>
      <c r="Y297" s="26">
        <f>IF(B297="","",IF(L297&lt;&gt;"",L297,IFERROR(INDEX(Services!$G$5:$G$204,MATCH(G297,Services!$A$5:$A$204,0))*1,0)))</f>
        <v>0</v>
      </c>
      <c r="Z297" s="26">
        <f>IF(B297="","",IF(O297&lt;&gt;"",O297,IF(Y297&gt;=DepositThreshold,ROUND(Y297*DepositPercent,2),0)))</f>
        <v>0</v>
      </c>
      <c r="AA297" s="26">
        <f>IF(B297="","",ROUND(SUMIFS(Payments!$G$5:$G$1204,Payments!$I$5:$I$1204,A297,Payments!$E$5:$E$1204,"Deposit"),2))</f>
        <v>0</v>
      </c>
      <c r="AB297" s="26">
        <f>IF(B297="","",ROUND(SUMIFS(Sales!$Y$5:$Y$1204,Sales!$C$5:$C$1204,A297),2))</f>
        <v>0</v>
      </c>
      <c r="AC297" s="38">
        <f>IF(B297="","",IF(M297="Completed","Yes",IF(M297="Cancelled","Yes",IF(M297="No show","Yes","No"))))</f>
        <v>0</v>
      </c>
      <c r="AD297" s="25">
        <f>IF(B297="","",IF(AE297="","",B297-AE297))</f>
        <v>0</v>
      </c>
      <c r="AF297" s="38">
        <f>IF(B297="","",IF(M297&lt;&gt;"Completed","",IF(E297="","No",IF(COUNTIFS(Appointments!$E$5:$E$1204,E297,Appointments!$B$5:$B$1204,"&gt;"&amp;B297,Appointments!$M$5:$M$1204,"&lt;&gt;Cancelled")&gt;0,"Yes","No"))))</f>
        <v>0</v>
      </c>
      <c r="AG297" s="38">
        <f>IF(B297="","",IF(I297="","",IF(D297="","",IF(COUNTIFS($I$5:$I$1204,I297,$B$5:$B$1204,B297,$D$5:$D$1204,"&lt;"&amp;V297,$V$5:$V$1204,"&gt;"&amp;D297,$M$5:$M$1204,"&lt;&gt;Cancelled")&gt;1,"Clash",""))))</f>
        <v>0</v>
      </c>
      <c r="AH297" s="39">
        <f>IF(B297="","",IF(AG297="Clash","Clash - stylist double booked",IF(I297="","Assign - no stylist yet",IF(G297="","Add - no service chosen",IF(M297="No show","No show - charge the fee?",IF(M297="Cancelled","",IF(IF(M297="Completed",AB297&lt;Y297-0.004,FALSE),"Unpaid - nothing rung up for this visit",IF(IF(B297&lt;TodayDate,M297="Booked",FALSE),"Overdue - past date, still only Booked",IF(IF(B297=TodayDate,TRUE,FALSE),"Today",IF(IF(Z297&gt;0,AA297&lt;Z297-0.004,FALSE),"Due - deposit not taken",IF(IF(B297&gt;TodayDate,B297&lt;=TodayDate+2,FALSE),"Confirm - coming up","OK")))))))))))</f>
        <v>0</v>
      </c>
    </row>
    <row r="298" spans="1:34">
      <c r="A298" s="28">
        <f>IF(B298="","",AppointmentPrefix&amp;TEXT(ROW()-4,"0000"))</f>
        <v>0</v>
      </c>
      <c r="C298" s="15">
        <f>IF(B298="","",TEXT(B298,"ddd"))</f>
        <v>0</v>
      </c>
      <c r="F298" s="15">
        <f>IF(E298="","",IFERROR(INDEX(Clients!$B$5:$B$504,MATCH(E298,Clients!$A$5:$A$504,0)),"Walk-in"))</f>
        <v>0</v>
      </c>
      <c r="H298" s="15">
        <f>IF(G298="","",IFERROR(INDEX(Services!$B$5:$B$204,MATCH(G298,Services!$A$5:$A$204,0)),"Not in Services"))</f>
        <v>0</v>
      </c>
      <c r="J298" s="15">
        <f>IF(I298="","",IFERROR(INDEX(Staff!$B$5:$B$44,MATCH(I298,Staff!$A$5:$A$44,0)),"Unassigned"))</f>
        <v>0</v>
      </c>
      <c r="S298" s="15">
        <f>IF(B298="","",TEXT(B298,"yyyy-mm"))</f>
        <v>0</v>
      </c>
      <c r="T298" s="25">
        <f>IF(B298="","",WEEKNUM(B298,2))</f>
        <v>0</v>
      </c>
      <c r="U298" s="25">
        <f>IF(B298="","",IF(K298&lt;&gt;"",K298,IFERROR(INDEX(Services!$E$5:$E$204,MATCH(G298,Services!$A$5:$A$204,0))*1,0)+IFERROR(INDEX(Services!$F$5:$F$204,MATCH(G298,Services!$A$5:$A$204,0))*1,0)))</f>
        <v>0</v>
      </c>
      <c r="V298" s="36">
        <f>IF(B298="","",IF(D298="","",D298+U298/1440))</f>
        <v>0</v>
      </c>
      <c r="W298" s="25">
        <f>IF(B298="","",IF(D298="","",HOUR(D298)))</f>
        <v>0</v>
      </c>
      <c r="X298" s="37">
        <f>IF(B298="","",ROUND(U298/60,2))</f>
        <v>0</v>
      </c>
      <c r="Y298" s="26">
        <f>IF(B298="","",IF(L298&lt;&gt;"",L298,IFERROR(INDEX(Services!$G$5:$G$204,MATCH(G298,Services!$A$5:$A$204,0))*1,0)))</f>
        <v>0</v>
      </c>
      <c r="Z298" s="26">
        <f>IF(B298="","",IF(O298&lt;&gt;"",O298,IF(Y298&gt;=DepositThreshold,ROUND(Y298*DepositPercent,2),0)))</f>
        <v>0</v>
      </c>
      <c r="AA298" s="26">
        <f>IF(B298="","",ROUND(SUMIFS(Payments!$G$5:$G$1204,Payments!$I$5:$I$1204,A298,Payments!$E$5:$E$1204,"Deposit"),2))</f>
        <v>0</v>
      </c>
      <c r="AB298" s="26">
        <f>IF(B298="","",ROUND(SUMIFS(Sales!$Y$5:$Y$1204,Sales!$C$5:$C$1204,A298),2))</f>
        <v>0</v>
      </c>
      <c r="AC298" s="38">
        <f>IF(B298="","",IF(M298="Completed","Yes",IF(M298="Cancelled","Yes",IF(M298="No show","Yes","No"))))</f>
        <v>0</v>
      </c>
      <c r="AD298" s="25">
        <f>IF(B298="","",IF(AE298="","",B298-AE298))</f>
        <v>0</v>
      </c>
      <c r="AF298" s="38">
        <f>IF(B298="","",IF(M298&lt;&gt;"Completed","",IF(E298="","No",IF(COUNTIFS(Appointments!$E$5:$E$1204,E298,Appointments!$B$5:$B$1204,"&gt;"&amp;B298,Appointments!$M$5:$M$1204,"&lt;&gt;Cancelled")&gt;0,"Yes","No"))))</f>
        <v>0</v>
      </c>
      <c r="AG298" s="38">
        <f>IF(B298="","",IF(I298="","",IF(D298="","",IF(COUNTIFS($I$5:$I$1204,I298,$B$5:$B$1204,B298,$D$5:$D$1204,"&lt;"&amp;V298,$V$5:$V$1204,"&gt;"&amp;D298,$M$5:$M$1204,"&lt;&gt;Cancelled")&gt;1,"Clash",""))))</f>
        <v>0</v>
      </c>
      <c r="AH298" s="39">
        <f>IF(B298="","",IF(AG298="Clash","Clash - stylist double booked",IF(I298="","Assign - no stylist yet",IF(G298="","Add - no service chosen",IF(M298="No show","No show - charge the fee?",IF(M298="Cancelled","",IF(IF(M298="Completed",AB298&lt;Y298-0.004,FALSE),"Unpaid - nothing rung up for this visit",IF(IF(B298&lt;TodayDate,M298="Booked",FALSE),"Overdue - past date, still only Booked",IF(IF(B298=TodayDate,TRUE,FALSE),"Today",IF(IF(Z298&gt;0,AA298&lt;Z298-0.004,FALSE),"Due - deposit not taken",IF(IF(B298&gt;TodayDate,B298&lt;=TodayDate+2,FALSE),"Confirm - coming up","OK")))))))))))</f>
        <v>0</v>
      </c>
    </row>
    <row r="299" spans="1:34">
      <c r="A299" s="28">
        <f>IF(B299="","",AppointmentPrefix&amp;TEXT(ROW()-4,"0000"))</f>
        <v>0</v>
      </c>
      <c r="C299" s="15">
        <f>IF(B299="","",TEXT(B299,"ddd"))</f>
        <v>0</v>
      </c>
      <c r="F299" s="15">
        <f>IF(E299="","",IFERROR(INDEX(Clients!$B$5:$B$504,MATCH(E299,Clients!$A$5:$A$504,0)),"Walk-in"))</f>
        <v>0</v>
      </c>
      <c r="H299" s="15">
        <f>IF(G299="","",IFERROR(INDEX(Services!$B$5:$B$204,MATCH(G299,Services!$A$5:$A$204,0)),"Not in Services"))</f>
        <v>0</v>
      </c>
      <c r="J299" s="15">
        <f>IF(I299="","",IFERROR(INDEX(Staff!$B$5:$B$44,MATCH(I299,Staff!$A$5:$A$44,0)),"Unassigned"))</f>
        <v>0</v>
      </c>
      <c r="S299" s="15">
        <f>IF(B299="","",TEXT(B299,"yyyy-mm"))</f>
        <v>0</v>
      </c>
      <c r="T299" s="25">
        <f>IF(B299="","",WEEKNUM(B299,2))</f>
        <v>0</v>
      </c>
      <c r="U299" s="25">
        <f>IF(B299="","",IF(K299&lt;&gt;"",K299,IFERROR(INDEX(Services!$E$5:$E$204,MATCH(G299,Services!$A$5:$A$204,0))*1,0)+IFERROR(INDEX(Services!$F$5:$F$204,MATCH(G299,Services!$A$5:$A$204,0))*1,0)))</f>
        <v>0</v>
      </c>
      <c r="V299" s="36">
        <f>IF(B299="","",IF(D299="","",D299+U299/1440))</f>
        <v>0</v>
      </c>
      <c r="W299" s="25">
        <f>IF(B299="","",IF(D299="","",HOUR(D299)))</f>
        <v>0</v>
      </c>
      <c r="X299" s="37">
        <f>IF(B299="","",ROUND(U299/60,2))</f>
        <v>0</v>
      </c>
      <c r="Y299" s="26">
        <f>IF(B299="","",IF(L299&lt;&gt;"",L299,IFERROR(INDEX(Services!$G$5:$G$204,MATCH(G299,Services!$A$5:$A$204,0))*1,0)))</f>
        <v>0</v>
      </c>
      <c r="Z299" s="26">
        <f>IF(B299="","",IF(O299&lt;&gt;"",O299,IF(Y299&gt;=DepositThreshold,ROUND(Y299*DepositPercent,2),0)))</f>
        <v>0</v>
      </c>
      <c r="AA299" s="26">
        <f>IF(B299="","",ROUND(SUMIFS(Payments!$G$5:$G$1204,Payments!$I$5:$I$1204,A299,Payments!$E$5:$E$1204,"Deposit"),2))</f>
        <v>0</v>
      </c>
      <c r="AB299" s="26">
        <f>IF(B299="","",ROUND(SUMIFS(Sales!$Y$5:$Y$1204,Sales!$C$5:$C$1204,A299),2))</f>
        <v>0</v>
      </c>
      <c r="AC299" s="38">
        <f>IF(B299="","",IF(M299="Completed","Yes",IF(M299="Cancelled","Yes",IF(M299="No show","Yes","No"))))</f>
        <v>0</v>
      </c>
      <c r="AD299" s="25">
        <f>IF(B299="","",IF(AE299="","",B299-AE299))</f>
        <v>0</v>
      </c>
      <c r="AF299" s="38">
        <f>IF(B299="","",IF(M299&lt;&gt;"Completed","",IF(E299="","No",IF(COUNTIFS(Appointments!$E$5:$E$1204,E299,Appointments!$B$5:$B$1204,"&gt;"&amp;B299,Appointments!$M$5:$M$1204,"&lt;&gt;Cancelled")&gt;0,"Yes","No"))))</f>
        <v>0</v>
      </c>
      <c r="AG299" s="38">
        <f>IF(B299="","",IF(I299="","",IF(D299="","",IF(COUNTIFS($I$5:$I$1204,I299,$B$5:$B$1204,B299,$D$5:$D$1204,"&lt;"&amp;V299,$V$5:$V$1204,"&gt;"&amp;D299,$M$5:$M$1204,"&lt;&gt;Cancelled")&gt;1,"Clash",""))))</f>
        <v>0</v>
      </c>
      <c r="AH299" s="39">
        <f>IF(B299="","",IF(AG299="Clash","Clash - stylist double booked",IF(I299="","Assign - no stylist yet",IF(G299="","Add - no service chosen",IF(M299="No show","No show - charge the fee?",IF(M299="Cancelled","",IF(IF(M299="Completed",AB299&lt;Y299-0.004,FALSE),"Unpaid - nothing rung up for this visit",IF(IF(B299&lt;TodayDate,M299="Booked",FALSE),"Overdue - past date, still only Booked",IF(IF(B299=TodayDate,TRUE,FALSE),"Today",IF(IF(Z299&gt;0,AA299&lt;Z299-0.004,FALSE),"Due - deposit not taken",IF(IF(B299&gt;TodayDate,B299&lt;=TodayDate+2,FALSE),"Confirm - coming up","OK")))))))))))</f>
        <v>0</v>
      </c>
    </row>
    <row r="300" spans="1:34">
      <c r="A300" s="28">
        <f>IF(B300="","",AppointmentPrefix&amp;TEXT(ROW()-4,"0000"))</f>
        <v>0</v>
      </c>
      <c r="C300" s="15">
        <f>IF(B300="","",TEXT(B300,"ddd"))</f>
        <v>0</v>
      </c>
      <c r="F300" s="15">
        <f>IF(E300="","",IFERROR(INDEX(Clients!$B$5:$B$504,MATCH(E300,Clients!$A$5:$A$504,0)),"Walk-in"))</f>
        <v>0</v>
      </c>
      <c r="H300" s="15">
        <f>IF(G300="","",IFERROR(INDEX(Services!$B$5:$B$204,MATCH(G300,Services!$A$5:$A$204,0)),"Not in Services"))</f>
        <v>0</v>
      </c>
      <c r="J300" s="15">
        <f>IF(I300="","",IFERROR(INDEX(Staff!$B$5:$B$44,MATCH(I300,Staff!$A$5:$A$44,0)),"Unassigned"))</f>
        <v>0</v>
      </c>
      <c r="S300" s="15">
        <f>IF(B300="","",TEXT(B300,"yyyy-mm"))</f>
        <v>0</v>
      </c>
      <c r="T300" s="25">
        <f>IF(B300="","",WEEKNUM(B300,2))</f>
        <v>0</v>
      </c>
      <c r="U300" s="25">
        <f>IF(B300="","",IF(K300&lt;&gt;"",K300,IFERROR(INDEX(Services!$E$5:$E$204,MATCH(G300,Services!$A$5:$A$204,0))*1,0)+IFERROR(INDEX(Services!$F$5:$F$204,MATCH(G300,Services!$A$5:$A$204,0))*1,0)))</f>
        <v>0</v>
      </c>
      <c r="V300" s="36">
        <f>IF(B300="","",IF(D300="","",D300+U300/1440))</f>
        <v>0</v>
      </c>
      <c r="W300" s="25">
        <f>IF(B300="","",IF(D300="","",HOUR(D300)))</f>
        <v>0</v>
      </c>
      <c r="X300" s="37">
        <f>IF(B300="","",ROUND(U300/60,2))</f>
        <v>0</v>
      </c>
      <c r="Y300" s="26">
        <f>IF(B300="","",IF(L300&lt;&gt;"",L300,IFERROR(INDEX(Services!$G$5:$G$204,MATCH(G300,Services!$A$5:$A$204,0))*1,0)))</f>
        <v>0</v>
      </c>
      <c r="Z300" s="26">
        <f>IF(B300="","",IF(O300&lt;&gt;"",O300,IF(Y300&gt;=DepositThreshold,ROUND(Y300*DepositPercent,2),0)))</f>
        <v>0</v>
      </c>
      <c r="AA300" s="26">
        <f>IF(B300="","",ROUND(SUMIFS(Payments!$G$5:$G$1204,Payments!$I$5:$I$1204,A300,Payments!$E$5:$E$1204,"Deposit"),2))</f>
        <v>0</v>
      </c>
      <c r="AB300" s="26">
        <f>IF(B300="","",ROUND(SUMIFS(Sales!$Y$5:$Y$1204,Sales!$C$5:$C$1204,A300),2))</f>
        <v>0</v>
      </c>
      <c r="AC300" s="38">
        <f>IF(B300="","",IF(M300="Completed","Yes",IF(M300="Cancelled","Yes",IF(M300="No show","Yes","No"))))</f>
        <v>0</v>
      </c>
      <c r="AD300" s="25">
        <f>IF(B300="","",IF(AE300="","",B300-AE300))</f>
        <v>0</v>
      </c>
      <c r="AF300" s="38">
        <f>IF(B300="","",IF(M300&lt;&gt;"Completed","",IF(E300="","No",IF(COUNTIFS(Appointments!$E$5:$E$1204,E300,Appointments!$B$5:$B$1204,"&gt;"&amp;B300,Appointments!$M$5:$M$1204,"&lt;&gt;Cancelled")&gt;0,"Yes","No"))))</f>
        <v>0</v>
      </c>
      <c r="AG300" s="38">
        <f>IF(B300="","",IF(I300="","",IF(D300="","",IF(COUNTIFS($I$5:$I$1204,I300,$B$5:$B$1204,B300,$D$5:$D$1204,"&lt;"&amp;V300,$V$5:$V$1204,"&gt;"&amp;D300,$M$5:$M$1204,"&lt;&gt;Cancelled")&gt;1,"Clash",""))))</f>
        <v>0</v>
      </c>
      <c r="AH300" s="39">
        <f>IF(B300="","",IF(AG300="Clash","Clash - stylist double booked",IF(I300="","Assign - no stylist yet",IF(G300="","Add - no service chosen",IF(M300="No show","No show - charge the fee?",IF(M300="Cancelled","",IF(IF(M300="Completed",AB300&lt;Y300-0.004,FALSE),"Unpaid - nothing rung up for this visit",IF(IF(B300&lt;TodayDate,M300="Booked",FALSE),"Overdue - past date, still only Booked",IF(IF(B300=TodayDate,TRUE,FALSE),"Today",IF(IF(Z300&gt;0,AA300&lt;Z300-0.004,FALSE),"Due - deposit not taken",IF(IF(B300&gt;TodayDate,B300&lt;=TodayDate+2,FALSE),"Confirm - coming up","OK")))))))))))</f>
        <v>0</v>
      </c>
    </row>
    <row r="301" spans="1:34">
      <c r="A301" s="28">
        <f>IF(B301="","",AppointmentPrefix&amp;TEXT(ROW()-4,"0000"))</f>
        <v>0</v>
      </c>
      <c r="C301" s="15">
        <f>IF(B301="","",TEXT(B301,"ddd"))</f>
        <v>0</v>
      </c>
      <c r="F301" s="15">
        <f>IF(E301="","",IFERROR(INDEX(Clients!$B$5:$B$504,MATCH(E301,Clients!$A$5:$A$504,0)),"Walk-in"))</f>
        <v>0</v>
      </c>
      <c r="H301" s="15">
        <f>IF(G301="","",IFERROR(INDEX(Services!$B$5:$B$204,MATCH(G301,Services!$A$5:$A$204,0)),"Not in Services"))</f>
        <v>0</v>
      </c>
      <c r="J301" s="15">
        <f>IF(I301="","",IFERROR(INDEX(Staff!$B$5:$B$44,MATCH(I301,Staff!$A$5:$A$44,0)),"Unassigned"))</f>
        <v>0</v>
      </c>
      <c r="S301" s="15">
        <f>IF(B301="","",TEXT(B301,"yyyy-mm"))</f>
        <v>0</v>
      </c>
      <c r="T301" s="25">
        <f>IF(B301="","",WEEKNUM(B301,2))</f>
        <v>0</v>
      </c>
      <c r="U301" s="25">
        <f>IF(B301="","",IF(K301&lt;&gt;"",K301,IFERROR(INDEX(Services!$E$5:$E$204,MATCH(G301,Services!$A$5:$A$204,0))*1,0)+IFERROR(INDEX(Services!$F$5:$F$204,MATCH(G301,Services!$A$5:$A$204,0))*1,0)))</f>
        <v>0</v>
      </c>
      <c r="V301" s="36">
        <f>IF(B301="","",IF(D301="","",D301+U301/1440))</f>
        <v>0</v>
      </c>
      <c r="W301" s="25">
        <f>IF(B301="","",IF(D301="","",HOUR(D301)))</f>
        <v>0</v>
      </c>
      <c r="X301" s="37">
        <f>IF(B301="","",ROUND(U301/60,2))</f>
        <v>0</v>
      </c>
      <c r="Y301" s="26">
        <f>IF(B301="","",IF(L301&lt;&gt;"",L301,IFERROR(INDEX(Services!$G$5:$G$204,MATCH(G301,Services!$A$5:$A$204,0))*1,0)))</f>
        <v>0</v>
      </c>
      <c r="Z301" s="26">
        <f>IF(B301="","",IF(O301&lt;&gt;"",O301,IF(Y301&gt;=DepositThreshold,ROUND(Y301*DepositPercent,2),0)))</f>
        <v>0</v>
      </c>
      <c r="AA301" s="26">
        <f>IF(B301="","",ROUND(SUMIFS(Payments!$G$5:$G$1204,Payments!$I$5:$I$1204,A301,Payments!$E$5:$E$1204,"Deposit"),2))</f>
        <v>0</v>
      </c>
      <c r="AB301" s="26">
        <f>IF(B301="","",ROUND(SUMIFS(Sales!$Y$5:$Y$1204,Sales!$C$5:$C$1204,A301),2))</f>
        <v>0</v>
      </c>
      <c r="AC301" s="38">
        <f>IF(B301="","",IF(M301="Completed","Yes",IF(M301="Cancelled","Yes",IF(M301="No show","Yes","No"))))</f>
        <v>0</v>
      </c>
      <c r="AD301" s="25">
        <f>IF(B301="","",IF(AE301="","",B301-AE301))</f>
        <v>0</v>
      </c>
      <c r="AF301" s="38">
        <f>IF(B301="","",IF(M301&lt;&gt;"Completed","",IF(E301="","No",IF(COUNTIFS(Appointments!$E$5:$E$1204,E301,Appointments!$B$5:$B$1204,"&gt;"&amp;B301,Appointments!$M$5:$M$1204,"&lt;&gt;Cancelled")&gt;0,"Yes","No"))))</f>
        <v>0</v>
      </c>
      <c r="AG301" s="38">
        <f>IF(B301="","",IF(I301="","",IF(D301="","",IF(COUNTIFS($I$5:$I$1204,I301,$B$5:$B$1204,B301,$D$5:$D$1204,"&lt;"&amp;V301,$V$5:$V$1204,"&gt;"&amp;D301,$M$5:$M$1204,"&lt;&gt;Cancelled")&gt;1,"Clash",""))))</f>
        <v>0</v>
      </c>
      <c r="AH301" s="39">
        <f>IF(B301="","",IF(AG301="Clash","Clash - stylist double booked",IF(I301="","Assign - no stylist yet",IF(G301="","Add - no service chosen",IF(M301="No show","No show - charge the fee?",IF(M301="Cancelled","",IF(IF(M301="Completed",AB301&lt;Y301-0.004,FALSE),"Unpaid - nothing rung up for this visit",IF(IF(B301&lt;TodayDate,M301="Booked",FALSE),"Overdue - past date, still only Booked",IF(IF(B301=TodayDate,TRUE,FALSE),"Today",IF(IF(Z301&gt;0,AA301&lt;Z301-0.004,FALSE),"Due - deposit not taken",IF(IF(B301&gt;TodayDate,B301&lt;=TodayDate+2,FALSE),"Confirm - coming up","OK")))))))))))</f>
        <v>0</v>
      </c>
    </row>
    <row r="302" spans="1:34">
      <c r="A302" s="28">
        <f>IF(B302="","",AppointmentPrefix&amp;TEXT(ROW()-4,"0000"))</f>
        <v>0</v>
      </c>
      <c r="C302" s="15">
        <f>IF(B302="","",TEXT(B302,"ddd"))</f>
        <v>0</v>
      </c>
      <c r="F302" s="15">
        <f>IF(E302="","",IFERROR(INDEX(Clients!$B$5:$B$504,MATCH(E302,Clients!$A$5:$A$504,0)),"Walk-in"))</f>
        <v>0</v>
      </c>
      <c r="H302" s="15">
        <f>IF(G302="","",IFERROR(INDEX(Services!$B$5:$B$204,MATCH(G302,Services!$A$5:$A$204,0)),"Not in Services"))</f>
        <v>0</v>
      </c>
      <c r="J302" s="15">
        <f>IF(I302="","",IFERROR(INDEX(Staff!$B$5:$B$44,MATCH(I302,Staff!$A$5:$A$44,0)),"Unassigned"))</f>
        <v>0</v>
      </c>
      <c r="S302" s="15">
        <f>IF(B302="","",TEXT(B302,"yyyy-mm"))</f>
        <v>0</v>
      </c>
      <c r="T302" s="25">
        <f>IF(B302="","",WEEKNUM(B302,2))</f>
        <v>0</v>
      </c>
      <c r="U302" s="25">
        <f>IF(B302="","",IF(K302&lt;&gt;"",K302,IFERROR(INDEX(Services!$E$5:$E$204,MATCH(G302,Services!$A$5:$A$204,0))*1,0)+IFERROR(INDEX(Services!$F$5:$F$204,MATCH(G302,Services!$A$5:$A$204,0))*1,0)))</f>
        <v>0</v>
      </c>
      <c r="V302" s="36">
        <f>IF(B302="","",IF(D302="","",D302+U302/1440))</f>
        <v>0</v>
      </c>
      <c r="W302" s="25">
        <f>IF(B302="","",IF(D302="","",HOUR(D302)))</f>
        <v>0</v>
      </c>
      <c r="X302" s="37">
        <f>IF(B302="","",ROUND(U302/60,2))</f>
        <v>0</v>
      </c>
      <c r="Y302" s="26">
        <f>IF(B302="","",IF(L302&lt;&gt;"",L302,IFERROR(INDEX(Services!$G$5:$G$204,MATCH(G302,Services!$A$5:$A$204,0))*1,0)))</f>
        <v>0</v>
      </c>
      <c r="Z302" s="26">
        <f>IF(B302="","",IF(O302&lt;&gt;"",O302,IF(Y302&gt;=DepositThreshold,ROUND(Y302*DepositPercent,2),0)))</f>
        <v>0</v>
      </c>
      <c r="AA302" s="26">
        <f>IF(B302="","",ROUND(SUMIFS(Payments!$G$5:$G$1204,Payments!$I$5:$I$1204,A302,Payments!$E$5:$E$1204,"Deposit"),2))</f>
        <v>0</v>
      </c>
      <c r="AB302" s="26">
        <f>IF(B302="","",ROUND(SUMIFS(Sales!$Y$5:$Y$1204,Sales!$C$5:$C$1204,A302),2))</f>
        <v>0</v>
      </c>
      <c r="AC302" s="38">
        <f>IF(B302="","",IF(M302="Completed","Yes",IF(M302="Cancelled","Yes",IF(M302="No show","Yes","No"))))</f>
        <v>0</v>
      </c>
      <c r="AD302" s="25">
        <f>IF(B302="","",IF(AE302="","",B302-AE302))</f>
        <v>0</v>
      </c>
      <c r="AF302" s="38">
        <f>IF(B302="","",IF(M302&lt;&gt;"Completed","",IF(E302="","No",IF(COUNTIFS(Appointments!$E$5:$E$1204,E302,Appointments!$B$5:$B$1204,"&gt;"&amp;B302,Appointments!$M$5:$M$1204,"&lt;&gt;Cancelled")&gt;0,"Yes","No"))))</f>
        <v>0</v>
      </c>
      <c r="AG302" s="38">
        <f>IF(B302="","",IF(I302="","",IF(D302="","",IF(COUNTIFS($I$5:$I$1204,I302,$B$5:$B$1204,B302,$D$5:$D$1204,"&lt;"&amp;V302,$V$5:$V$1204,"&gt;"&amp;D302,$M$5:$M$1204,"&lt;&gt;Cancelled")&gt;1,"Clash",""))))</f>
        <v>0</v>
      </c>
      <c r="AH302" s="39">
        <f>IF(B302="","",IF(AG302="Clash","Clash - stylist double booked",IF(I302="","Assign - no stylist yet",IF(G302="","Add - no service chosen",IF(M302="No show","No show - charge the fee?",IF(M302="Cancelled","",IF(IF(M302="Completed",AB302&lt;Y302-0.004,FALSE),"Unpaid - nothing rung up for this visit",IF(IF(B302&lt;TodayDate,M302="Booked",FALSE),"Overdue - past date, still only Booked",IF(IF(B302=TodayDate,TRUE,FALSE),"Today",IF(IF(Z302&gt;0,AA302&lt;Z302-0.004,FALSE),"Due - deposit not taken",IF(IF(B302&gt;TodayDate,B302&lt;=TodayDate+2,FALSE),"Confirm - coming up","OK")))))))))))</f>
        <v>0</v>
      </c>
    </row>
    <row r="303" spans="1:34">
      <c r="A303" s="28">
        <f>IF(B303="","",AppointmentPrefix&amp;TEXT(ROW()-4,"0000"))</f>
        <v>0</v>
      </c>
      <c r="C303" s="15">
        <f>IF(B303="","",TEXT(B303,"ddd"))</f>
        <v>0</v>
      </c>
      <c r="F303" s="15">
        <f>IF(E303="","",IFERROR(INDEX(Clients!$B$5:$B$504,MATCH(E303,Clients!$A$5:$A$504,0)),"Walk-in"))</f>
        <v>0</v>
      </c>
      <c r="H303" s="15">
        <f>IF(G303="","",IFERROR(INDEX(Services!$B$5:$B$204,MATCH(G303,Services!$A$5:$A$204,0)),"Not in Services"))</f>
        <v>0</v>
      </c>
      <c r="J303" s="15">
        <f>IF(I303="","",IFERROR(INDEX(Staff!$B$5:$B$44,MATCH(I303,Staff!$A$5:$A$44,0)),"Unassigned"))</f>
        <v>0</v>
      </c>
      <c r="S303" s="15">
        <f>IF(B303="","",TEXT(B303,"yyyy-mm"))</f>
        <v>0</v>
      </c>
      <c r="T303" s="25">
        <f>IF(B303="","",WEEKNUM(B303,2))</f>
        <v>0</v>
      </c>
      <c r="U303" s="25">
        <f>IF(B303="","",IF(K303&lt;&gt;"",K303,IFERROR(INDEX(Services!$E$5:$E$204,MATCH(G303,Services!$A$5:$A$204,0))*1,0)+IFERROR(INDEX(Services!$F$5:$F$204,MATCH(G303,Services!$A$5:$A$204,0))*1,0)))</f>
        <v>0</v>
      </c>
      <c r="V303" s="36">
        <f>IF(B303="","",IF(D303="","",D303+U303/1440))</f>
        <v>0</v>
      </c>
      <c r="W303" s="25">
        <f>IF(B303="","",IF(D303="","",HOUR(D303)))</f>
        <v>0</v>
      </c>
      <c r="X303" s="37">
        <f>IF(B303="","",ROUND(U303/60,2))</f>
        <v>0</v>
      </c>
      <c r="Y303" s="26">
        <f>IF(B303="","",IF(L303&lt;&gt;"",L303,IFERROR(INDEX(Services!$G$5:$G$204,MATCH(G303,Services!$A$5:$A$204,0))*1,0)))</f>
        <v>0</v>
      </c>
      <c r="Z303" s="26">
        <f>IF(B303="","",IF(O303&lt;&gt;"",O303,IF(Y303&gt;=DepositThreshold,ROUND(Y303*DepositPercent,2),0)))</f>
        <v>0</v>
      </c>
      <c r="AA303" s="26">
        <f>IF(B303="","",ROUND(SUMIFS(Payments!$G$5:$G$1204,Payments!$I$5:$I$1204,A303,Payments!$E$5:$E$1204,"Deposit"),2))</f>
        <v>0</v>
      </c>
      <c r="AB303" s="26">
        <f>IF(B303="","",ROUND(SUMIFS(Sales!$Y$5:$Y$1204,Sales!$C$5:$C$1204,A303),2))</f>
        <v>0</v>
      </c>
      <c r="AC303" s="38">
        <f>IF(B303="","",IF(M303="Completed","Yes",IF(M303="Cancelled","Yes",IF(M303="No show","Yes","No"))))</f>
        <v>0</v>
      </c>
      <c r="AD303" s="25">
        <f>IF(B303="","",IF(AE303="","",B303-AE303))</f>
        <v>0</v>
      </c>
      <c r="AF303" s="38">
        <f>IF(B303="","",IF(M303&lt;&gt;"Completed","",IF(E303="","No",IF(COUNTIFS(Appointments!$E$5:$E$1204,E303,Appointments!$B$5:$B$1204,"&gt;"&amp;B303,Appointments!$M$5:$M$1204,"&lt;&gt;Cancelled")&gt;0,"Yes","No"))))</f>
        <v>0</v>
      </c>
      <c r="AG303" s="38">
        <f>IF(B303="","",IF(I303="","",IF(D303="","",IF(COUNTIFS($I$5:$I$1204,I303,$B$5:$B$1204,B303,$D$5:$D$1204,"&lt;"&amp;V303,$V$5:$V$1204,"&gt;"&amp;D303,$M$5:$M$1204,"&lt;&gt;Cancelled")&gt;1,"Clash",""))))</f>
        <v>0</v>
      </c>
      <c r="AH303" s="39">
        <f>IF(B303="","",IF(AG303="Clash","Clash - stylist double booked",IF(I303="","Assign - no stylist yet",IF(G303="","Add - no service chosen",IF(M303="No show","No show - charge the fee?",IF(M303="Cancelled","",IF(IF(M303="Completed",AB303&lt;Y303-0.004,FALSE),"Unpaid - nothing rung up for this visit",IF(IF(B303&lt;TodayDate,M303="Booked",FALSE),"Overdue - past date, still only Booked",IF(IF(B303=TodayDate,TRUE,FALSE),"Today",IF(IF(Z303&gt;0,AA303&lt;Z303-0.004,FALSE),"Due - deposit not taken",IF(IF(B303&gt;TodayDate,B303&lt;=TodayDate+2,FALSE),"Confirm - coming up","OK")))))))))))</f>
        <v>0</v>
      </c>
    </row>
    <row r="304" spans="1:34">
      <c r="A304" s="28">
        <f>IF(B304="","",AppointmentPrefix&amp;TEXT(ROW()-4,"0000"))</f>
        <v>0</v>
      </c>
      <c r="C304" s="15">
        <f>IF(B304="","",TEXT(B304,"ddd"))</f>
        <v>0</v>
      </c>
      <c r="F304" s="15">
        <f>IF(E304="","",IFERROR(INDEX(Clients!$B$5:$B$504,MATCH(E304,Clients!$A$5:$A$504,0)),"Walk-in"))</f>
        <v>0</v>
      </c>
      <c r="H304" s="15">
        <f>IF(G304="","",IFERROR(INDEX(Services!$B$5:$B$204,MATCH(G304,Services!$A$5:$A$204,0)),"Not in Services"))</f>
        <v>0</v>
      </c>
      <c r="J304" s="15">
        <f>IF(I304="","",IFERROR(INDEX(Staff!$B$5:$B$44,MATCH(I304,Staff!$A$5:$A$44,0)),"Unassigned"))</f>
        <v>0</v>
      </c>
      <c r="S304" s="15">
        <f>IF(B304="","",TEXT(B304,"yyyy-mm"))</f>
        <v>0</v>
      </c>
      <c r="T304" s="25">
        <f>IF(B304="","",WEEKNUM(B304,2))</f>
        <v>0</v>
      </c>
      <c r="U304" s="25">
        <f>IF(B304="","",IF(K304&lt;&gt;"",K304,IFERROR(INDEX(Services!$E$5:$E$204,MATCH(G304,Services!$A$5:$A$204,0))*1,0)+IFERROR(INDEX(Services!$F$5:$F$204,MATCH(G304,Services!$A$5:$A$204,0))*1,0)))</f>
        <v>0</v>
      </c>
      <c r="V304" s="36">
        <f>IF(B304="","",IF(D304="","",D304+U304/1440))</f>
        <v>0</v>
      </c>
      <c r="W304" s="25">
        <f>IF(B304="","",IF(D304="","",HOUR(D304)))</f>
        <v>0</v>
      </c>
      <c r="X304" s="37">
        <f>IF(B304="","",ROUND(U304/60,2))</f>
        <v>0</v>
      </c>
      <c r="Y304" s="26">
        <f>IF(B304="","",IF(L304&lt;&gt;"",L304,IFERROR(INDEX(Services!$G$5:$G$204,MATCH(G304,Services!$A$5:$A$204,0))*1,0)))</f>
        <v>0</v>
      </c>
      <c r="Z304" s="26">
        <f>IF(B304="","",IF(O304&lt;&gt;"",O304,IF(Y304&gt;=DepositThreshold,ROUND(Y304*DepositPercent,2),0)))</f>
        <v>0</v>
      </c>
      <c r="AA304" s="26">
        <f>IF(B304="","",ROUND(SUMIFS(Payments!$G$5:$G$1204,Payments!$I$5:$I$1204,A304,Payments!$E$5:$E$1204,"Deposit"),2))</f>
        <v>0</v>
      </c>
      <c r="AB304" s="26">
        <f>IF(B304="","",ROUND(SUMIFS(Sales!$Y$5:$Y$1204,Sales!$C$5:$C$1204,A304),2))</f>
        <v>0</v>
      </c>
      <c r="AC304" s="38">
        <f>IF(B304="","",IF(M304="Completed","Yes",IF(M304="Cancelled","Yes",IF(M304="No show","Yes","No"))))</f>
        <v>0</v>
      </c>
      <c r="AD304" s="25">
        <f>IF(B304="","",IF(AE304="","",B304-AE304))</f>
        <v>0</v>
      </c>
      <c r="AF304" s="38">
        <f>IF(B304="","",IF(M304&lt;&gt;"Completed","",IF(E304="","No",IF(COUNTIFS(Appointments!$E$5:$E$1204,E304,Appointments!$B$5:$B$1204,"&gt;"&amp;B304,Appointments!$M$5:$M$1204,"&lt;&gt;Cancelled")&gt;0,"Yes","No"))))</f>
        <v>0</v>
      </c>
      <c r="AG304" s="38">
        <f>IF(B304="","",IF(I304="","",IF(D304="","",IF(COUNTIFS($I$5:$I$1204,I304,$B$5:$B$1204,B304,$D$5:$D$1204,"&lt;"&amp;V304,$V$5:$V$1204,"&gt;"&amp;D304,$M$5:$M$1204,"&lt;&gt;Cancelled")&gt;1,"Clash",""))))</f>
        <v>0</v>
      </c>
      <c r="AH304" s="39">
        <f>IF(B304="","",IF(AG304="Clash","Clash - stylist double booked",IF(I304="","Assign - no stylist yet",IF(G304="","Add - no service chosen",IF(M304="No show","No show - charge the fee?",IF(M304="Cancelled","",IF(IF(M304="Completed",AB304&lt;Y304-0.004,FALSE),"Unpaid - nothing rung up for this visit",IF(IF(B304&lt;TodayDate,M304="Booked",FALSE),"Overdue - past date, still only Booked",IF(IF(B304=TodayDate,TRUE,FALSE),"Today",IF(IF(Z304&gt;0,AA304&lt;Z304-0.004,FALSE),"Due - deposit not taken",IF(IF(B304&gt;TodayDate,B304&lt;=TodayDate+2,FALSE),"Confirm - coming up","OK")))))))))))</f>
        <v>0</v>
      </c>
    </row>
    <row r="305" spans="1:34">
      <c r="A305" s="28">
        <f>IF(B305="","",AppointmentPrefix&amp;TEXT(ROW()-4,"0000"))</f>
        <v>0</v>
      </c>
      <c r="C305" s="15">
        <f>IF(B305="","",TEXT(B305,"ddd"))</f>
        <v>0</v>
      </c>
      <c r="F305" s="15">
        <f>IF(E305="","",IFERROR(INDEX(Clients!$B$5:$B$504,MATCH(E305,Clients!$A$5:$A$504,0)),"Walk-in"))</f>
        <v>0</v>
      </c>
      <c r="H305" s="15">
        <f>IF(G305="","",IFERROR(INDEX(Services!$B$5:$B$204,MATCH(G305,Services!$A$5:$A$204,0)),"Not in Services"))</f>
        <v>0</v>
      </c>
      <c r="J305" s="15">
        <f>IF(I305="","",IFERROR(INDEX(Staff!$B$5:$B$44,MATCH(I305,Staff!$A$5:$A$44,0)),"Unassigned"))</f>
        <v>0</v>
      </c>
      <c r="S305" s="15">
        <f>IF(B305="","",TEXT(B305,"yyyy-mm"))</f>
        <v>0</v>
      </c>
      <c r="T305" s="25">
        <f>IF(B305="","",WEEKNUM(B305,2))</f>
        <v>0</v>
      </c>
      <c r="U305" s="25">
        <f>IF(B305="","",IF(K305&lt;&gt;"",K305,IFERROR(INDEX(Services!$E$5:$E$204,MATCH(G305,Services!$A$5:$A$204,0))*1,0)+IFERROR(INDEX(Services!$F$5:$F$204,MATCH(G305,Services!$A$5:$A$204,0))*1,0)))</f>
        <v>0</v>
      </c>
      <c r="V305" s="36">
        <f>IF(B305="","",IF(D305="","",D305+U305/1440))</f>
        <v>0</v>
      </c>
      <c r="W305" s="25">
        <f>IF(B305="","",IF(D305="","",HOUR(D305)))</f>
        <v>0</v>
      </c>
      <c r="X305" s="37">
        <f>IF(B305="","",ROUND(U305/60,2))</f>
        <v>0</v>
      </c>
      <c r="Y305" s="26">
        <f>IF(B305="","",IF(L305&lt;&gt;"",L305,IFERROR(INDEX(Services!$G$5:$G$204,MATCH(G305,Services!$A$5:$A$204,0))*1,0)))</f>
        <v>0</v>
      </c>
      <c r="Z305" s="26">
        <f>IF(B305="","",IF(O305&lt;&gt;"",O305,IF(Y305&gt;=DepositThreshold,ROUND(Y305*DepositPercent,2),0)))</f>
        <v>0</v>
      </c>
      <c r="AA305" s="26">
        <f>IF(B305="","",ROUND(SUMIFS(Payments!$G$5:$G$1204,Payments!$I$5:$I$1204,A305,Payments!$E$5:$E$1204,"Deposit"),2))</f>
        <v>0</v>
      </c>
      <c r="AB305" s="26">
        <f>IF(B305="","",ROUND(SUMIFS(Sales!$Y$5:$Y$1204,Sales!$C$5:$C$1204,A305),2))</f>
        <v>0</v>
      </c>
      <c r="AC305" s="38">
        <f>IF(B305="","",IF(M305="Completed","Yes",IF(M305="Cancelled","Yes",IF(M305="No show","Yes","No"))))</f>
        <v>0</v>
      </c>
      <c r="AD305" s="25">
        <f>IF(B305="","",IF(AE305="","",B305-AE305))</f>
        <v>0</v>
      </c>
      <c r="AF305" s="38">
        <f>IF(B305="","",IF(M305&lt;&gt;"Completed","",IF(E305="","No",IF(COUNTIFS(Appointments!$E$5:$E$1204,E305,Appointments!$B$5:$B$1204,"&gt;"&amp;B305,Appointments!$M$5:$M$1204,"&lt;&gt;Cancelled")&gt;0,"Yes","No"))))</f>
        <v>0</v>
      </c>
      <c r="AG305" s="38">
        <f>IF(B305="","",IF(I305="","",IF(D305="","",IF(COUNTIFS($I$5:$I$1204,I305,$B$5:$B$1204,B305,$D$5:$D$1204,"&lt;"&amp;V305,$V$5:$V$1204,"&gt;"&amp;D305,$M$5:$M$1204,"&lt;&gt;Cancelled")&gt;1,"Clash",""))))</f>
        <v>0</v>
      </c>
      <c r="AH305" s="39">
        <f>IF(B305="","",IF(AG305="Clash","Clash - stylist double booked",IF(I305="","Assign - no stylist yet",IF(G305="","Add - no service chosen",IF(M305="No show","No show - charge the fee?",IF(M305="Cancelled","",IF(IF(M305="Completed",AB305&lt;Y305-0.004,FALSE),"Unpaid - nothing rung up for this visit",IF(IF(B305&lt;TodayDate,M305="Booked",FALSE),"Overdue - past date, still only Booked",IF(IF(B305=TodayDate,TRUE,FALSE),"Today",IF(IF(Z305&gt;0,AA305&lt;Z305-0.004,FALSE),"Due - deposit not taken",IF(IF(B305&gt;TodayDate,B305&lt;=TodayDate+2,FALSE),"Confirm - coming up","OK")))))))))))</f>
        <v>0</v>
      </c>
    </row>
    <row r="306" spans="1:34">
      <c r="A306" s="28">
        <f>IF(B306="","",AppointmentPrefix&amp;TEXT(ROW()-4,"0000"))</f>
        <v>0</v>
      </c>
      <c r="C306" s="15">
        <f>IF(B306="","",TEXT(B306,"ddd"))</f>
        <v>0</v>
      </c>
      <c r="F306" s="15">
        <f>IF(E306="","",IFERROR(INDEX(Clients!$B$5:$B$504,MATCH(E306,Clients!$A$5:$A$504,0)),"Walk-in"))</f>
        <v>0</v>
      </c>
      <c r="H306" s="15">
        <f>IF(G306="","",IFERROR(INDEX(Services!$B$5:$B$204,MATCH(G306,Services!$A$5:$A$204,0)),"Not in Services"))</f>
        <v>0</v>
      </c>
      <c r="J306" s="15">
        <f>IF(I306="","",IFERROR(INDEX(Staff!$B$5:$B$44,MATCH(I306,Staff!$A$5:$A$44,0)),"Unassigned"))</f>
        <v>0</v>
      </c>
      <c r="S306" s="15">
        <f>IF(B306="","",TEXT(B306,"yyyy-mm"))</f>
        <v>0</v>
      </c>
      <c r="T306" s="25">
        <f>IF(B306="","",WEEKNUM(B306,2))</f>
        <v>0</v>
      </c>
      <c r="U306" s="25">
        <f>IF(B306="","",IF(K306&lt;&gt;"",K306,IFERROR(INDEX(Services!$E$5:$E$204,MATCH(G306,Services!$A$5:$A$204,0))*1,0)+IFERROR(INDEX(Services!$F$5:$F$204,MATCH(G306,Services!$A$5:$A$204,0))*1,0)))</f>
        <v>0</v>
      </c>
      <c r="V306" s="36">
        <f>IF(B306="","",IF(D306="","",D306+U306/1440))</f>
        <v>0</v>
      </c>
      <c r="W306" s="25">
        <f>IF(B306="","",IF(D306="","",HOUR(D306)))</f>
        <v>0</v>
      </c>
      <c r="X306" s="37">
        <f>IF(B306="","",ROUND(U306/60,2))</f>
        <v>0</v>
      </c>
      <c r="Y306" s="26">
        <f>IF(B306="","",IF(L306&lt;&gt;"",L306,IFERROR(INDEX(Services!$G$5:$G$204,MATCH(G306,Services!$A$5:$A$204,0))*1,0)))</f>
        <v>0</v>
      </c>
      <c r="Z306" s="26">
        <f>IF(B306="","",IF(O306&lt;&gt;"",O306,IF(Y306&gt;=DepositThreshold,ROUND(Y306*DepositPercent,2),0)))</f>
        <v>0</v>
      </c>
      <c r="AA306" s="26">
        <f>IF(B306="","",ROUND(SUMIFS(Payments!$G$5:$G$1204,Payments!$I$5:$I$1204,A306,Payments!$E$5:$E$1204,"Deposit"),2))</f>
        <v>0</v>
      </c>
      <c r="AB306" s="26">
        <f>IF(B306="","",ROUND(SUMIFS(Sales!$Y$5:$Y$1204,Sales!$C$5:$C$1204,A306),2))</f>
        <v>0</v>
      </c>
      <c r="AC306" s="38">
        <f>IF(B306="","",IF(M306="Completed","Yes",IF(M306="Cancelled","Yes",IF(M306="No show","Yes","No"))))</f>
        <v>0</v>
      </c>
      <c r="AD306" s="25">
        <f>IF(B306="","",IF(AE306="","",B306-AE306))</f>
        <v>0</v>
      </c>
      <c r="AF306" s="38">
        <f>IF(B306="","",IF(M306&lt;&gt;"Completed","",IF(E306="","No",IF(COUNTIFS(Appointments!$E$5:$E$1204,E306,Appointments!$B$5:$B$1204,"&gt;"&amp;B306,Appointments!$M$5:$M$1204,"&lt;&gt;Cancelled")&gt;0,"Yes","No"))))</f>
        <v>0</v>
      </c>
      <c r="AG306" s="38">
        <f>IF(B306="","",IF(I306="","",IF(D306="","",IF(COUNTIFS($I$5:$I$1204,I306,$B$5:$B$1204,B306,$D$5:$D$1204,"&lt;"&amp;V306,$V$5:$V$1204,"&gt;"&amp;D306,$M$5:$M$1204,"&lt;&gt;Cancelled")&gt;1,"Clash",""))))</f>
        <v>0</v>
      </c>
      <c r="AH306" s="39">
        <f>IF(B306="","",IF(AG306="Clash","Clash - stylist double booked",IF(I306="","Assign - no stylist yet",IF(G306="","Add - no service chosen",IF(M306="No show","No show - charge the fee?",IF(M306="Cancelled","",IF(IF(M306="Completed",AB306&lt;Y306-0.004,FALSE),"Unpaid - nothing rung up for this visit",IF(IF(B306&lt;TodayDate,M306="Booked",FALSE),"Overdue - past date, still only Booked",IF(IF(B306=TodayDate,TRUE,FALSE),"Today",IF(IF(Z306&gt;0,AA306&lt;Z306-0.004,FALSE),"Due - deposit not taken",IF(IF(B306&gt;TodayDate,B306&lt;=TodayDate+2,FALSE),"Confirm - coming up","OK")))))))))))</f>
        <v>0</v>
      </c>
    </row>
    <row r="307" spans="1:34">
      <c r="A307" s="28">
        <f>IF(B307="","",AppointmentPrefix&amp;TEXT(ROW()-4,"0000"))</f>
        <v>0</v>
      </c>
      <c r="C307" s="15">
        <f>IF(B307="","",TEXT(B307,"ddd"))</f>
        <v>0</v>
      </c>
      <c r="F307" s="15">
        <f>IF(E307="","",IFERROR(INDEX(Clients!$B$5:$B$504,MATCH(E307,Clients!$A$5:$A$504,0)),"Walk-in"))</f>
        <v>0</v>
      </c>
      <c r="H307" s="15">
        <f>IF(G307="","",IFERROR(INDEX(Services!$B$5:$B$204,MATCH(G307,Services!$A$5:$A$204,0)),"Not in Services"))</f>
        <v>0</v>
      </c>
      <c r="J307" s="15">
        <f>IF(I307="","",IFERROR(INDEX(Staff!$B$5:$B$44,MATCH(I307,Staff!$A$5:$A$44,0)),"Unassigned"))</f>
        <v>0</v>
      </c>
      <c r="S307" s="15">
        <f>IF(B307="","",TEXT(B307,"yyyy-mm"))</f>
        <v>0</v>
      </c>
      <c r="T307" s="25">
        <f>IF(B307="","",WEEKNUM(B307,2))</f>
        <v>0</v>
      </c>
      <c r="U307" s="25">
        <f>IF(B307="","",IF(K307&lt;&gt;"",K307,IFERROR(INDEX(Services!$E$5:$E$204,MATCH(G307,Services!$A$5:$A$204,0))*1,0)+IFERROR(INDEX(Services!$F$5:$F$204,MATCH(G307,Services!$A$5:$A$204,0))*1,0)))</f>
        <v>0</v>
      </c>
      <c r="V307" s="36">
        <f>IF(B307="","",IF(D307="","",D307+U307/1440))</f>
        <v>0</v>
      </c>
      <c r="W307" s="25">
        <f>IF(B307="","",IF(D307="","",HOUR(D307)))</f>
        <v>0</v>
      </c>
      <c r="X307" s="37">
        <f>IF(B307="","",ROUND(U307/60,2))</f>
        <v>0</v>
      </c>
      <c r="Y307" s="26">
        <f>IF(B307="","",IF(L307&lt;&gt;"",L307,IFERROR(INDEX(Services!$G$5:$G$204,MATCH(G307,Services!$A$5:$A$204,0))*1,0)))</f>
        <v>0</v>
      </c>
      <c r="Z307" s="26">
        <f>IF(B307="","",IF(O307&lt;&gt;"",O307,IF(Y307&gt;=DepositThreshold,ROUND(Y307*DepositPercent,2),0)))</f>
        <v>0</v>
      </c>
      <c r="AA307" s="26">
        <f>IF(B307="","",ROUND(SUMIFS(Payments!$G$5:$G$1204,Payments!$I$5:$I$1204,A307,Payments!$E$5:$E$1204,"Deposit"),2))</f>
        <v>0</v>
      </c>
      <c r="AB307" s="26">
        <f>IF(B307="","",ROUND(SUMIFS(Sales!$Y$5:$Y$1204,Sales!$C$5:$C$1204,A307),2))</f>
        <v>0</v>
      </c>
      <c r="AC307" s="38">
        <f>IF(B307="","",IF(M307="Completed","Yes",IF(M307="Cancelled","Yes",IF(M307="No show","Yes","No"))))</f>
        <v>0</v>
      </c>
      <c r="AD307" s="25">
        <f>IF(B307="","",IF(AE307="","",B307-AE307))</f>
        <v>0</v>
      </c>
      <c r="AF307" s="38">
        <f>IF(B307="","",IF(M307&lt;&gt;"Completed","",IF(E307="","No",IF(COUNTIFS(Appointments!$E$5:$E$1204,E307,Appointments!$B$5:$B$1204,"&gt;"&amp;B307,Appointments!$M$5:$M$1204,"&lt;&gt;Cancelled")&gt;0,"Yes","No"))))</f>
        <v>0</v>
      </c>
      <c r="AG307" s="38">
        <f>IF(B307="","",IF(I307="","",IF(D307="","",IF(COUNTIFS($I$5:$I$1204,I307,$B$5:$B$1204,B307,$D$5:$D$1204,"&lt;"&amp;V307,$V$5:$V$1204,"&gt;"&amp;D307,$M$5:$M$1204,"&lt;&gt;Cancelled")&gt;1,"Clash",""))))</f>
        <v>0</v>
      </c>
      <c r="AH307" s="39">
        <f>IF(B307="","",IF(AG307="Clash","Clash - stylist double booked",IF(I307="","Assign - no stylist yet",IF(G307="","Add - no service chosen",IF(M307="No show","No show - charge the fee?",IF(M307="Cancelled","",IF(IF(M307="Completed",AB307&lt;Y307-0.004,FALSE),"Unpaid - nothing rung up for this visit",IF(IF(B307&lt;TodayDate,M307="Booked",FALSE),"Overdue - past date, still only Booked",IF(IF(B307=TodayDate,TRUE,FALSE),"Today",IF(IF(Z307&gt;0,AA307&lt;Z307-0.004,FALSE),"Due - deposit not taken",IF(IF(B307&gt;TodayDate,B307&lt;=TodayDate+2,FALSE),"Confirm - coming up","OK")))))))))))</f>
        <v>0</v>
      </c>
    </row>
    <row r="308" spans="1:34">
      <c r="A308" s="28">
        <f>IF(B308="","",AppointmentPrefix&amp;TEXT(ROW()-4,"0000"))</f>
        <v>0</v>
      </c>
      <c r="C308" s="15">
        <f>IF(B308="","",TEXT(B308,"ddd"))</f>
        <v>0</v>
      </c>
      <c r="F308" s="15">
        <f>IF(E308="","",IFERROR(INDEX(Clients!$B$5:$B$504,MATCH(E308,Clients!$A$5:$A$504,0)),"Walk-in"))</f>
        <v>0</v>
      </c>
      <c r="H308" s="15">
        <f>IF(G308="","",IFERROR(INDEX(Services!$B$5:$B$204,MATCH(G308,Services!$A$5:$A$204,0)),"Not in Services"))</f>
        <v>0</v>
      </c>
      <c r="J308" s="15">
        <f>IF(I308="","",IFERROR(INDEX(Staff!$B$5:$B$44,MATCH(I308,Staff!$A$5:$A$44,0)),"Unassigned"))</f>
        <v>0</v>
      </c>
      <c r="S308" s="15">
        <f>IF(B308="","",TEXT(B308,"yyyy-mm"))</f>
        <v>0</v>
      </c>
      <c r="T308" s="25">
        <f>IF(B308="","",WEEKNUM(B308,2))</f>
        <v>0</v>
      </c>
      <c r="U308" s="25">
        <f>IF(B308="","",IF(K308&lt;&gt;"",K308,IFERROR(INDEX(Services!$E$5:$E$204,MATCH(G308,Services!$A$5:$A$204,0))*1,0)+IFERROR(INDEX(Services!$F$5:$F$204,MATCH(G308,Services!$A$5:$A$204,0))*1,0)))</f>
        <v>0</v>
      </c>
      <c r="V308" s="36">
        <f>IF(B308="","",IF(D308="","",D308+U308/1440))</f>
        <v>0</v>
      </c>
      <c r="W308" s="25">
        <f>IF(B308="","",IF(D308="","",HOUR(D308)))</f>
        <v>0</v>
      </c>
      <c r="X308" s="37">
        <f>IF(B308="","",ROUND(U308/60,2))</f>
        <v>0</v>
      </c>
      <c r="Y308" s="26">
        <f>IF(B308="","",IF(L308&lt;&gt;"",L308,IFERROR(INDEX(Services!$G$5:$G$204,MATCH(G308,Services!$A$5:$A$204,0))*1,0)))</f>
        <v>0</v>
      </c>
      <c r="Z308" s="26">
        <f>IF(B308="","",IF(O308&lt;&gt;"",O308,IF(Y308&gt;=DepositThreshold,ROUND(Y308*DepositPercent,2),0)))</f>
        <v>0</v>
      </c>
      <c r="AA308" s="26">
        <f>IF(B308="","",ROUND(SUMIFS(Payments!$G$5:$G$1204,Payments!$I$5:$I$1204,A308,Payments!$E$5:$E$1204,"Deposit"),2))</f>
        <v>0</v>
      </c>
      <c r="AB308" s="26">
        <f>IF(B308="","",ROUND(SUMIFS(Sales!$Y$5:$Y$1204,Sales!$C$5:$C$1204,A308),2))</f>
        <v>0</v>
      </c>
      <c r="AC308" s="38">
        <f>IF(B308="","",IF(M308="Completed","Yes",IF(M308="Cancelled","Yes",IF(M308="No show","Yes","No"))))</f>
        <v>0</v>
      </c>
      <c r="AD308" s="25">
        <f>IF(B308="","",IF(AE308="","",B308-AE308))</f>
        <v>0</v>
      </c>
      <c r="AF308" s="38">
        <f>IF(B308="","",IF(M308&lt;&gt;"Completed","",IF(E308="","No",IF(COUNTIFS(Appointments!$E$5:$E$1204,E308,Appointments!$B$5:$B$1204,"&gt;"&amp;B308,Appointments!$M$5:$M$1204,"&lt;&gt;Cancelled")&gt;0,"Yes","No"))))</f>
        <v>0</v>
      </c>
      <c r="AG308" s="38">
        <f>IF(B308="","",IF(I308="","",IF(D308="","",IF(COUNTIFS($I$5:$I$1204,I308,$B$5:$B$1204,B308,$D$5:$D$1204,"&lt;"&amp;V308,$V$5:$V$1204,"&gt;"&amp;D308,$M$5:$M$1204,"&lt;&gt;Cancelled")&gt;1,"Clash",""))))</f>
        <v>0</v>
      </c>
      <c r="AH308" s="39">
        <f>IF(B308="","",IF(AG308="Clash","Clash - stylist double booked",IF(I308="","Assign - no stylist yet",IF(G308="","Add - no service chosen",IF(M308="No show","No show - charge the fee?",IF(M308="Cancelled","",IF(IF(M308="Completed",AB308&lt;Y308-0.004,FALSE),"Unpaid - nothing rung up for this visit",IF(IF(B308&lt;TodayDate,M308="Booked",FALSE),"Overdue - past date, still only Booked",IF(IF(B308=TodayDate,TRUE,FALSE),"Today",IF(IF(Z308&gt;0,AA308&lt;Z308-0.004,FALSE),"Due - deposit not taken",IF(IF(B308&gt;TodayDate,B308&lt;=TodayDate+2,FALSE),"Confirm - coming up","OK")))))))))))</f>
        <v>0</v>
      </c>
    </row>
    <row r="309" spans="1:34">
      <c r="A309" s="28">
        <f>IF(B309="","",AppointmentPrefix&amp;TEXT(ROW()-4,"0000"))</f>
        <v>0</v>
      </c>
      <c r="C309" s="15">
        <f>IF(B309="","",TEXT(B309,"ddd"))</f>
        <v>0</v>
      </c>
      <c r="F309" s="15">
        <f>IF(E309="","",IFERROR(INDEX(Clients!$B$5:$B$504,MATCH(E309,Clients!$A$5:$A$504,0)),"Walk-in"))</f>
        <v>0</v>
      </c>
      <c r="H309" s="15">
        <f>IF(G309="","",IFERROR(INDEX(Services!$B$5:$B$204,MATCH(G309,Services!$A$5:$A$204,0)),"Not in Services"))</f>
        <v>0</v>
      </c>
      <c r="J309" s="15">
        <f>IF(I309="","",IFERROR(INDEX(Staff!$B$5:$B$44,MATCH(I309,Staff!$A$5:$A$44,0)),"Unassigned"))</f>
        <v>0</v>
      </c>
      <c r="S309" s="15">
        <f>IF(B309="","",TEXT(B309,"yyyy-mm"))</f>
        <v>0</v>
      </c>
      <c r="T309" s="25">
        <f>IF(B309="","",WEEKNUM(B309,2))</f>
        <v>0</v>
      </c>
      <c r="U309" s="25">
        <f>IF(B309="","",IF(K309&lt;&gt;"",K309,IFERROR(INDEX(Services!$E$5:$E$204,MATCH(G309,Services!$A$5:$A$204,0))*1,0)+IFERROR(INDEX(Services!$F$5:$F$204,MATCH(G309,Services!$A$5:$A$204,0))*1,0)))</f>
        <v>0</v>
      </c>
      <c r="V309" s="36">
        <f>IF(B309="","",IF(D309="","",D309+U309/1440))</f>
        <v>0</v>
      </c>
      <c r="W309" s="25">
        <f>IF(B309="","",IF(D309="","",HOUR(D309)))</f>
        <v>0</v>
      </c>
      <c r="X309" s="37">
        <f>IF(B309="","",ROUND(U309/60,2))</f>
        <v>0</v>
      </c>
      <c r="Y309" s="26">
        <f>IF(B309="","",IF(L309&lt;&gt;"",L309,IFERROR(INDEX(Services!$G$5:$G$204,MATCH(G309,Services!$A$5:$A$204,0))*1,0)))</f>
        <v>0</v>
      </c>
      <c r="Z309" s="26">
        <f>IF(B309="","",IF(O309&lt;&gt;"",O309,IF(Y309&gt;=DepositThreshold,ROUND(Y309*DepositPercent,2),0)))</f>
        <v>0</v>
      </c>
      <c r="AA309" s="26">
        <f>IF(B309="","",ROUND(SUMIFS(Payments!$G$5:$G$1204,Payments!$I$5:$I$1204,A309,Payments!$E$5:$E$1204,"Deposit"),2))</f>
        <v>0</v>
      </c>
      <c r="AB309" s="26">
        <f>IF(B309="","",ROUND(SUMIFS(Sales!$Y$5:$Y$1204,Sales!$C$5:$C$1204,A309),2))</f>
        <v>0</v>
      </c>
      <c r="AC309" s="38">
        <f>IF(B309="","",IF(M309="Completed","Yes",IF(M309="Cancelled","Yes",IF(M309="No show","Yes","No"))))</f>
        <v>0</v>
      </c>
      <c r="AD309" s="25">
        <f>IF(B309="","",IF(AE309="","",B309-AE309))</f>
        <v>0</v>
      </c>
      <c r="AF309" s="38">
        <f>IF(B309="","",IF(M309&lt;&gt;"Completed","",IF(E309="","No",IF(COUNTIFS(Appointments!$E$5:$E$1204,E309,Appointments!$B$5:$B$1204,"&gt;"&amp;B309,Appointments!$M$5:$M$1204,"&lt;&gt;Cancelled")&gt;0,"Yes","No"))))</f>
        <v>0</v>
      </c>
      <c r="AG309" s="38">
        <f>IF(B309="","",IF(I309="","",IF(D309="","",IF(COUNTIFS($I$5:$I$1204,I309,$B$5:$B$1204,B309,$D$5:$D$1204,"&lt;"&amp;V309,$V$5:$V$1204,"&gt;"&amp;D309,$M$5:$M$1204,"&lt;&gt;Cancelled")&gt;1,"Clash",""))))</f>
        <v>0</v>
      </c>
      <c r="AH309" s="39">
        <f>IF(B309="","",IF(AG309="Clash","Clash - stylist double booked",IF(I309="","Assign - no stylist yet",IF(G309="","Add - no service chosen",IF(M309="No show","No show - charge the fee?",IF(M309="Cancelled","",IF(IF(M309="Completed",AB309&lt;Y309-0.004,FALSE),"Unpaid - nothing rung up for this visit",IF(IF(B309&lt;TodayDate,M309="Booked",FALSE),"Overdue - past date, still only Booked",IF(IF(B309=TodayDate,TRUE,FALSE),"Today",IF(IF(Z309&gt;0,AA309&lt;Z309-0.004,FALSE),"Due - deposit not taken",IF(IF(B309&gt;TodayDate,B309&lt;=TodayDate+2,FALSE),"Confirm - coming up","OK")))))))))))</f>
        <v>0</v>
      </c>
    </row>
    <row r="310" spans="1:34">
      <c r="A310" s="28">
        <f>IF(B310="","",AppointmentPrefix&amp;TEXT(ROW()-4,"0000"))</f>
        <v>0</v>
      </c>
      <c r="C310" s="15">
        <f>IF(B310="","",TEXT(B310,"ddd"))</f>
        <v>0</v>
      </c>
      <c r="F310" s="15">
        <f>IF(E310="","",IFERROR(INDEX(Clients!$B$5:$B$504,MATCH(E310,Clients!$A$5:$A$504,0)),"Walk-in"))</f>
        <v>0</v>
      </c>
      <c r="H310" s="15">
        <f>IF(G310="","",IFERROR(INDEX(Services!$B$5:$B$204,MATCH(G310,Services!$A$5:$A$204,0)),"Not in Services"))</f>
        <v>0</v>
      </c>
      <c r="J310" s="15">
        <f>IF(I310="","",IFERROR(INDEX(Staff!$B$5:$B$44,MATCH(I310,Staff!$A$5:$A$44,0)),"Unassigned"))</f>
        <v>0</v>
      </c>
      <c r="S310" s="15">
        <f>IF(B310="","",TEXT(B310,"yyyy-mm"))</f>
        <v>0</v>
      </c>
      <c r="T310" s="25">
        <f>IF(B310="","",WEEKNUM(B310,2))</f>
        <v>0</v>
      </c>
      <c r="U310" s="25">
        <f>IF(B310="","",IF(K310&lt;&gt;"",K310,IFERROR(INDEX(Services!$E$5:$E$204,MATCH(G310,Services!$A$5:$A$204,0))*1,0)+IFERROR(INDEX(Services!$F$5:$F$204,MATCH(G310,Services!$A$5:$A$204,0))*1,0)))</f>
        <v>0</v>
      </c>
      <c r="V310" s="36">
        <f>IF(B310="","",IF(D310="","",D310+U310/1440))</f>
        <v>0</v>
      </c>
      <c r="W310" s="25">
        <f>IF(B310="","",IF(D310="","",HOUR(D310)))</f>
        <v>0</v>
      </c>
      <c r="X310" s="37">
        <f>IF(B310="","",ROUND(U310/60,2))</f>
        <v>0</v>
      </c>
      <c r="Y310" s="26">
        <f>IF(B310="","",IF(L310&lt;&gt;"",L310,IFERROR(INDEX(Services!$G$5:$G$204,MATCH(G310,Services!$A$5:$A$204,0))*1,0)))</f>
        <v>0</v>
      </c>
      <c r="Z310" s="26">
        <f>IF(B310="","",IF(O310&lt;&gt;"",O310,IF(Y310&gt;=DepositThreshold,ROUND(Y310*DepositPercent,2),0)))</f>
        <v>0</v>
      </c>
      <c r="AA310" s="26">
        <f>IF(B310="","",ROUND(SUMIFS(Payments!$G$5:$G$1204,Payments!$I$5:$I$1204,A310,Payments!$E$5:$E$1204,"Deposit"),2))</f>
        <v>0</v>
      </c>
      <c r="AB310" s="26">
        <f>IF(B310="","",ROUND(SUMIFS(Sales!$Y$5:$Y$1204,Sales!$C$5:$C$1204,A310),2))</f>
        <v>0</v>
      </c>
      <c r="AC310" s="38">
        <f>IF(B310="","",IF(M310="Completed","Yes",IF(M310="Cancelled","Yes",IF(M310="No show","Yes","No"))))</f>
        <v>0</v>
      </c>
      <c r="AD310" s="25">
        <f>IF(B310="","",IF(AE310="","",B310-AE310))</f>
        <v>0</v>
      </c>
      <c r="AF310" s="38">
        <f>IF(B310="","",IF(M310&lt;&gt;"Completed","",IF(E310="","No",IF(COUNTIFS(Appointments!$E$5:$E$1204,E310,Appointments!$B$5:$B$1204,"&gt;"&amp;B310,Appointments!$M$5:$M$1204,"&lt;&gt;Cancelled")&gt;0,"Yes","No"))))</f>
        <v>0</v>
      </c>
      <c r="AG310" s="38">
        <f>IF(B310="","",IF(I310="","",IF(D310="","",IF(COUNTIFS($I$5:$I$1204,I310,$B$5:$B$1204,B310,$D$5:$D$1204,"&lt;"&amp;V310,$V$5:$V$1204,"&gt;"&amp;D310,$M$5:$M$1204,"&lt;&gt;Cancelled")&gt;1,"Clash",""))))</f>
        <v>0</v>
      </c>
      <c r="AH310" s="39">
        <f>IF(B310="","",IF(AG310="Clash","Clash - stylist double booked",IF(I310="","Assign - no stylist yet",IF(G310="","Add - no service chosen",IF(M310="No show","No show - charge the fee?",IF(M310="Cancelled","",IF(IF(M310="Completed",AB310&lt;Y310-0.004,FALSE),"Unpaid - nothing rung up for this visit",IF(IF(B310&lt;TodayDate,M310="Booked",FALSE),"Overdue - past date, still only Booked",IF(IF(B310=TodayDate,TRUE,FALSE),"Today",IF(IF(Z310&gt;0,AA310&lt;Z310-0.004,FALSE),"Due - deposit not taken",IF(IF(B310&gt;TodayDate,B310&lt;=TodayDate+2,FALSE),"Confirm - coming up","OK")))))))))))</f>
        <v>0</v>
      </c>
    </row>
    <row r="311" spans="1:34">
      <c r="A311" s="28">
        <f>IF(B311="","",AppointmentPrefix&amp;TEXT(ROW()-4,"0000"))</f>
        <v>0</v>
      </c>
      <c r="C311" s="15">
        <f>IF(B311="","",TEXT(B311,"ddd"))</f>
        <v>0</v>
      </c>
      <c r="F311" s="15">
        <f>IF(E311="","",IFERROR(INDEX(Clients!$B$5:$B$504,MATCH(E311,Clients!$A$5:$A$504,0)),"Walk-in"))</f>
        <v>0</v>
      </c>
      <c r="H311" s="15">
        <f>IF(G311="","",IFERROR(INDEX(Services!$B$5:$B$204,MATCH(G311,Services!$A$5:$A$204,0)),"Not in Services"))</f>
        <v>0</v>
      </c>
      <c r="J311" s="15">
        <f>IF(I311="","",IFERROR(INDEX(Staff!$B$5:$B$44,MATCH(I311,Staff!$A$5:$A$44,0)),"Unassigned"))</f>
        <v>0</v>
      </c>
      <c r="S311" s="15">
        <f>IF(B311="","",TEXT(B311,"yyyy-mm"))</f>
        <v>0</v>
      </c>
      <c r="T311" s="25">
        <f>IF(B311="","",WEEKNUM(B311,2))</f>
        <v>0</v>
      </c>
      <c r="U311" s="25">
        <f>IF(B311="","",IF(K311&lt;&gt;"",K311,IFERROR(INDEX(Services!$E$5:$E$204,MATCH(G311,Services!$A$5:$A$204,0))*1,0)+IFERROR(INDEX(Services!$F$5:$F$204,MATCH(G311,Services!$A$5:$A$204,0))*1,0)))</f>
        <v>0</v>
      </c>
      <c r="V311" s="36">
        <f>IF(B311="","",IF(D311="","",D311+U311/1440))</f>
        <v>0</v>
      </c>
      <c r="W311" s="25">
        <f>IF(B311="","",IF(D311="","",HOUR(D311)))</f>
        <v>0</v>
      </c>
      <c r="X311" s="37">
        <f>IF(B311="","",ROUND(U311/60,2))</f>
        <v>0</v>
      </c>
      <c r="Y311" s="26">
        <f>IF(B311="","",IF(L311&lt;&gt;"",L311,IFERROR(INDEX(Services!$G$5:$G$204,MATCH(G311,Services!$A$5:$A$204,0))*1,0)))</f>
        <v>0</v>
      </c>
      <c r="Z311" s="26">
        <f>IF(B311="","",IF(O311&lt;&gt;"",O311,IF(Y311&gt;=DepositThreshold,ROUND(Y311*DepositPercent,2),0)))</f>
        <v>0</v>
      </c>
      <c r="AA311" s="26">
        <f>IF(B311="","",ROUND(SUMIFS(Payments!$G$5:$G$1204,Payments!$I$5:$I$1204,A311,Payments!$E$5:$E$1204,"Deposit"),2))</f>
        <v>0</v>
      </c>
      <c r="AB311" s="26">
        <f>IF(B311="","",ROUND(SUMIFS(Sales!$Y$5:$Y$1204,Sales!$C$5:$C$1204,A311),2))</f>
        <v>0</v>
      </c>
      <c r="AC311" s="38">
        <f>IF(B311="","",IF(M311="Completed","Yes",IF(M311="Cancelled","Yes",IF(M311="No show","Yes","No"))))</f>
        <v>0</v>
      </c>
      <c r="AD311" s="25">
        <f>IF(B311="","",IF(AE311="","",B311-AE311))</f>
        <v>0</v>
      </c>
      <c r="AF311" s="38">
        <f>IF(B311="","",IF(M311&lt;&gt;"Completed","",IF(E311="","No",IF(COUNTIFS(Appointments!$E$5:$E$1204,E311,Appointments!$B$5:$B$1204,"&gt;"&amp;B311,Appointments!$M$5:$M$1204,"&lt;&gt;Cancelled")&gt;0,"Yes","No"))))</f>
        <v>0</v>
      </c>
      <c r="AG311" s="38">
        <f>IF(B311="","",IF(I311="","",IF(D311="","",IF(COUNTIFS($I$5:$I$1204,I311,$B$5:$B$1204,B311,$D$5:$D$1204,"&lt;"&amp;V311,$V$5:$V$1204,"&gt;"&amp;D311,$M$5:$M$1204,"&lt;&gt;Cancelled")&gt;1,"Clash",""))))</f>
        <v>0</v>
      </c>
      <c r="AH311" s="39">
        <f>IF(B311="","",IF(AG311="Clash","Clash - stylist double booked",IF(I311="","Assign - no stylist yet",IF(G311="","Add - no service chosen",IF(M311="No show","No show - charge the fee?",IF(M311="Cancelled","",IF(IF(M311="Completed",AB311&lt;Y311-0.004,FALSE),"Unpaid - nothing rung up for this visit",IF(IF(B311&lt;TodayDate,M311="Booked",FALSE),"Overdue - past date, still only Booked",IF(IF(B311=TodayDate,TRUE,FALSE),"Today",IF(IF(Z311&gt;0,AA311&lt;Z311-0.004,FALSE),"Due - deposit not taken",IF(IF(B311&gt;TodayDate,B311&lt;=TodayDate+2,FALSE),"Confirm - coming up","OK")))))))))))</f>
        <v>0</v>
      </c>
    </row>
    <row r="312" spans="1:34">
      <c r="A312" s="28">
        <f>IF(B312="","",AppointmentPrefix&amp;TEXT(ROW()-4,"0000"))</f>
        <v>0</v>
      </c>
      <c r="C312" s="15">
        <f>IF(B312="","",TEXT(B312,"ddd"))</f>
        <v>0</v>
      </c>
      <c r="F312" s="15">
        <f>IF(E312="","",IFERROR(INDEX(Clients!$B$5:$B$504,MATCH(E312,Clients!$A$5:$A$504,0)),"Walk-in"))</f>
        <v>0</v>
      </c>
      <c r="H312" s="15">
        <f>IF(G312="","",IFERROR(INDEX(Services!$B$5:$B$204,MATCH(G312,Services!$A$5:$A$204,0)),"Not in Services"))</f>
        <v>0</v>
      </c>
      <c r="J312" s="15">
        <f>IF(I312="","",IFERROR(INDEX(Staff!$B$5:$B$44,MATCH(I312,Staff!$A$5:$A$44,0)),"Unassigned"))</f>
        <v>0</v>
      </c>
      <c r="S312" s="15">
        <f>IF(B312="","",TEXT(B312,"yyyy-mm"))</f>
        <v>0</v>
      </c>
      <c r="T312" s="25">
        <f>IF(B312="","",WEEKNUM(B312,2))</f>
        <v>0</v>
      </c>
      <c r="U312" s="25">
        <f>IF(B312="","",IF(K312&lt;&gt;"",K312,IFERROR(INDEX(Services!$E$5:$E$204,MATCH(G312,Services!$A$5:$A$204,0))*1,0)+IFERROR(INDEX(Services!$F$5:$F$204,MATCH(G312,Services!$A$5:$A$204,0))*1,0)))</f>
        <v>0</v>
      </c>
      <c r="V312" s="36">
        <f>IF(B312="","",IF(D312="","",D312+U312/1440))</f>
        <v>0</v>
      </c>
      <c r="W312" s="25">
        <f>IF(B312="","",IF(D312="","",HOUR(D312)))</f>
        <v>0</v>
      </c>
      <c r="X312" s="37">
        <f>IF(B312="","",ROUND(U312/60,2))</f>
        <v>0</v>
      </c>
      <c r="Y312" s="26">
        <f>IF(B312="","",IF(L312&lt;&gt;"",L312,IFERROR(INDEX(Services!$G$5:$G$204,MATCH(G312,Services!$A$5:$A$204,0))*1,0)))</f>
        <v>0</v>
      </c>
      <c r="Z312" s="26">
        <f>IF(B312="","",IF(O312&lt;&gt;"",O312,IF(Y312&gt;=DepositThreshold,ROUND(Y312*DepositPercent,2),0)))</f>
        <v>0</v>
      </c>
      <c r="AA312" s="26">
        <f>IF(B312="","",ROUND(SUMIFS(Payments!$G$5:$G$1204,Payments!$I$5:$I$1204,A312,Payments!$E$5:$E$1204,"Deposit"),2))</f>
        <v>0</v>
      </c>
      <c r="AB312" s="26">
        <f>IF(B312="","",ROUND(SUMIFS(Sales!$Y$5:$Y$1204,Sales!$C$5:$C$1204,A312),2))</f>
        <v>0</v>
      </c>
      <c r="AC312" s="38">
        <f>IF(B312="","",IF(M312="Completed","Yes",IF(M312="Cancelled","Yes",IF(M312="No show","Yes","No"))))</f>
        <v>0</v>
      </c>
      <c r="AD312" s="25">
        <f>IF(B312="","",IF(AE312="","",B312-AE312))</f>
        <v>0</v>
      </c>
      <c r="AF312" s="38">
        <f>IF(B312="","",IF(M312&lt;&gt;"Completed","",IF(E312="","No",IF(COUNTIFS(Appointments!$E$5:$E$1204,E312,Appointments!$B$5:$B$1204,"&gt;"&amp;B312,Appointments!$M$5:$M$1204,"&lt;&gt;Cancelled")&gt;0,"Yes","No"))))</f>
        <v>0</v>
      </c>
      <c r="AG312" s="38">
        <f>IF(B312="","",IF(I312="","",IF(D312="","",IF(COUNTIFS($I$5:$I$1204,I312,$B$5:$B$1204,B312,$D$5:$D$1204,"&lt;"&amp;V312,$V$5:$V$1204,"&gt;"&amp;D312,$M$5:$M$1204,"&lt;&gt;Cancelled")&gt;1,"Clash",""))))</f>
        <v>0</v>
      </c>
      <c r="AH312" s="39">
        <f>IF(B312="","",IF(AG312="Clash","Clash - stylist double booked",IF(I312="","Assign - no stylist yet",IF(G312="","Add - no service chosen",IF(M312="No show","No show - charge the fee?",IF(M312="Cancelled","",IF(IF(M312="Completed",AB312&lt;Y312-0.004,FALSE),"Unpaid - nothing rung up for this visit",IF(IF(B312&lt;TodayDate,M312="Booked",FALSE),"Overdue - past date, still only Booked",IF(IF(B312=TodayDate,TRUE,FALSE),"Today",IF(IF(Z312&gt;0,AA312&lt;Z312-0.004,FALSE),"Due - deposit not taken",IF(IF(B312&gt;TodayDate,B312&lt;=TodayDate+2,FALSE),"Confirm - coming up","OK")))))))))))</f>
        <v>0</v>
      </c>
    </row>
    <row r="313" spans="1:34">
      <c r="A313" s="28">
        <f>IF(B313="","",AppointmentPrefix&amp;TEXT(ROW()-4,"0000"))</f>
        <v>0</v>
      </c>
      <c r="C313" s="15">
        <f>IF(B313="","",TEXT(B313,"ddd"))</f>
        <v>0</v>
      </c>
      <c r="F313" s="15">
        <f>IF(E313="","",IFERROR(INDEX(Clients!$B$5:$B$504,MATCH(E313,Clients!$A$5:$A$504,0)),"Walk-in"))</f>
        <v>0</v>
      </c>
      <c r="H313" s="15">
        <f>IF(G313="","",IFERROR(INDEX(Services!$B$5:$B$204,MATCH(G313,Services!$A$5:$A$204,0)),"Not in Services"))</f>
        <v>0</v>
      </c>
      <c r="J313" s="15">
        <f>IF(I313="","",IFERROR(INDEX(Staff!$B$5:$B$44,MATCH(I313,Staff!$A$5:$A$44,0)),"Unassigned"))</f>
        <v>0</v>
      </c>
      <c r="S313" s="15">
        <f>IF(B313="","",TEXT(B313,"yyyy-mm"))</f>
        <v>0</v>
      </c>
      <c r="T313" s="25">
        <f>IF(B313="","",WEEKNUM(B313,2))</f>
        <v>0</v>
      </c>
      <c r="U313" s="25">
        <f>IF(B313="","",IF(K313&lt;&gt;"",K313,IFERROR(INDEX(Services!$E$5:$E$204,MATCH(G313,Services!$A$5:$A$204,0))*1,0)+IFERROR(INDEX(Services!$F$5:$F$204,MATCH(G313,Services!$A$5:$A$204,0))*1,0)))</f>
        <v>0</v>
      </c>
      <c r="V313" s="36">
        <f>IF(B313="","",IF(D313="","",D313+U313/1440))</f>
        <v>0</v>
      </c>
      <c r="W313" s="25">
        <f>IF(B313="","",IF(D313="","",HOUR(D313)))</f>
        <v>0</v>
      </c>
      <c r="X313" s="37">
        <f>IF(B313="","",ROUND(U313/60,2))</f>
        <v>0</v>
      </c>
      <c r="Y313" s="26">
        <f>IF(B313="","",IF(L313&lt;&gt;"",L313,IFERROR(INDEX(Services!$G$5:$G$204,MATCH(G313,Services!$A$5:$A$204,0))*1,0)))</f>
        <v>0</v>
      </c>
      <c r="Z313" s="26">
        <f>IF(B313="","",IF(O313&lt;&gt;"",O313,IF(Y313&gt;=DepositThreshold,ROUND(Y313*DepositPercent,2),0)))</f>
        <v>0</v>
      </c>
      <c r="AA313" s="26">
        <f>IF(B313="","",ROUND(SUMIFS(Payments!$G$5:$G$1204,Payments!$I$5:$I$1204,A313,Payments!$E$5:$E$1204,"Deposit"),2))</f>
        <v>0</v>
      </c>
      <c r="AB313" s="26">
        <f>IF(B313="","",ROUND(SUMIFS(Sales!$Y$5:$Y$1204,Sales!$C$5:$C$1204,A313),2))</f>
        <v>0</v>
      </c>
      <c r="AC313" s="38">
        <f>IF(B313="","",IF(M313="Completed","Yes",IF(M313="Cancelled","Yes",IF(M313="No show","Yes","No"))))</f>
        <v>0</v>
      </c>
      <c r="AD313" s="25">
        <f>IF(B313="","",IF(AE313="","",B313-AE313))</f>
        <v>0</v>
      </c>
      <c r="AF313" s="38">
        <f>IF(B313="","",IF(M313&lt;&gt;"Completed","",IF(E313="","No",IF(COUNTIFS(Appointments!$E$5:$E$1204,E313,Appointments!$B$5:$B$1204,"&gt;"&amp;B313,Appointments!$M$5:$M$1204,"&lt;&gt;Cancelled")&gt;0,"Yes","No"))))</f>
        <v>0</v>
      </c>
      <c r="AG313" s="38">
        <f>IF(B313="","",IF(I313="","",IF(D313="","",IF(COUNTIFS($I$5:$I$1204,I313,$B$5:$B$1204,B313,$D$5:$D$1204,"&lt;"&amp;V313,$V$5:$V$1204,"&gt;"&amp;D313,$M$5:$M$1204,"&lt;&gt;Cancelled")&gt;1,"Clash",""))))</f>
        <v>0</v>
      </c>
      <c r="AH313" s="39">
        <f>IF(B313="","",IF(AG313="Clash","Clash - stylist double booked",IF(I313="","Assign - no stylist yet",IF(G313="","Add - no service chosen",IF(M313="No show","No show - charge the fee?",IF(M313="Cancelled","",IF(IF(M313="Completed",AB313&lt;Y313-0.004,FALSE),"Unpaid - nothing rung up for this visit",IF(IF(B313&lt;TodayDate,M313="Booked",FALSE),"Overdue - past date, still only Booked",IF(IF(B313=TodayDate,TRUE,FALSE),"Today",IF(IF(Z313&gt;0,AA313&lt;Z313-0.004,FALSE),"Due - deposit not taken",IF(IF(B313&gt;TodayDate,B313&lt;=TodayDate+2,FALSE),"Confirm - coming up","OK")))))))))))</f>
        <v>0</v>
      </c>
    </row>
    <row r="314" spans="1:34">
      <c r="A314" s="28">
        <f>IF(B314="","",AppointmentPrefix&amp;TEXT(ROW()-4,"0000"))</f>
        <v>0</v>
      </c>
      <c r="C314" s="15">
        <f>IF(B314="","",TEXT(B314,"ddd"))</f>
        <v>0</v>
      </c>
      <c r="F314" s="15">
        <f>IF(E314="","",IFERROR(INDEX(Clients!$B$5:$B$504,MATCH(E314,Clients!$A$5:$A$504,0)),"Walk-in"))</f>
        <v>0</v>
      </c>
      <c r="H314" s="15">
        <f>IF(G314="","",IFERROR(INDEX(Services!$B$5:$B$204,MATCH(G314,Services!$A$5:$A$204,0)),"Not in Services"))</f>
        <v>0</v>
      </c>
      <c r="J314" s="15">
        <f>IF(I314="","",IFERROR(INDEX(Staff!$B$5:$B$44,MATCH(I314,Staff!$A$5:$A$44,0)),"Unassigned"))</f>
        <v>0</v>
      </c>
      <c r="S314" s="15">
        <f>IF(B314="","",TEXT(B314,"yyyy-mm"))</f>
        <v>0</v>
      </c>
      <c r="T314" s="25">
        <f>IF(B314="","",WEEKNUM(B314,2))</f>
        <v>0</v>
      </c>
      <c r="U314" s="25">
        <f>IF(B314="","",IF(K314&lt;&gt;"",K314,IFERROR(INDEX(Services!$E$5:$E$204,MATCH(G314,Services!$A$5:$A$204,0))*1,0)+IFERROR(INDEX(Services!$F$5:$F$204,MATCH(G314,Services!$A$5:$A$204,0))*1,0)))</f>
        <v>0</v>
      </c>
      <c r="V314" s="36">
        <f>IF(B314="","",IF(D314="","",D314+U314/1440))</f>
        <v>0</v>
      </c>
      <c r="W314" s="25">
        <f>IF(B314="","",IF(D314="","",HOUR(D314)))</f>
        <v>0</v>
      </c>
      <c r="X314" s="37">
        <f>IF(B314="","",ROUND(U314/60,2))</f>
        <v>0</v>
      </c>
      <c r="Y314" s="26">
        <f>IF(B314="","",IF(L314&lt;&gt;"",L314,IFERROR(INDEX(Services!$G$5:$G$204,MATCH(G314,Services!$A$5:$A$204,0))*1,0)))</f>
        <v>0</v>
      </c>
      <c r="Z314" s="26">
        <f>IF(B314="","",IF(O314&lt;&gt;"",O314,IF(Y314&gt;=DepositThreshold,ROUND(Y314*DepositPercent,2),0)))</f>
        <v>0</v>
      </c>
      <c r="AA314" s="26">
        <f>IF(B314="","",ROUND(SUMIFS(Payments!$G$5:$G$1204,Payments!$I$5:$I$1204,A314,Payments!$E$5:$E$1204,"Deposit"),2))</f>
        <v>0</v>
      </c>
      <c r="AB314" s="26">
        <f>IF(B314="","",ROUND(SUMIFS(Sales!$Y$5:$Y$1204,Sales!$C$5:$C$1204,A314),2))</f>
        <v>0</v>
      </c>
      <c r="AC314" s="38">
        <f>IF(B314="","",IF(M314="Completed","Yes",IF(M314="Cancelled","Yes",IF(M314="No show","Yes","No"))))</f>
        <v>0</v>
      </c>
      <c r="AD314" s="25">
        <f>IF(B314="","",IF(AE314="","",B314-AE314))</f>
        <v>0</v>
      </c>
      <c r="AF314" s="38">
        <f>IF(B314="","",IF(M314&lt;&gt;"Completed","",IF(E314="","No",IF(COUNTIFS(Appointments!$E$5:$E$1204,E314,Appointments!$B$5:$B$1204,"&gt;"&amp;B314,Appointments!$M$5:$M$1204,"&lt;&gt;Cancelled")&gt;0,"Yes","No"))))</f>
        <v>0</v>
      </c>
      <c r="AG314" s="38">
        <f>IF(B314="","",IF(I314="","",IF(D314="","",IF(COUNTIFS($I$5:$I$1204,I314,$B$5:$B$1204,B314,$D$5:$D$1204,"&lt;"&amp;V314,$V$5:$V$1204,"&gt;"&amp;D314,$M$5:$M$1204,"&lt;&gt;Cancelled")&gt;1,"Clash",""))))</f>
        <v>0</v>
      </c>
      <c r="AH314" s="39">
        <f>IF(B314="","",IF(AG314="Clash","Clash - stylist double booked",IF(I314="","Assign - no stylist yet",IF(G314="","Add - no service chosen",IF(M314="No show","No show - charge the fee?",IF(M314="Cancelled","",IF(IF(M314="Completed",AB314&lt;Y314-0.004,FALSE),"Unpaid - nothing rung up for this visit",IF(IF(B314&lt;TodayDate,M314="Booked",FALSE),"Overdue - past date, still only Booked",IF(IF(B314=TodayDate,TRUE,FALSE),"Today",IF(IF(Z314&gt;0,AA314&lt;Z314-0.004,FALSE),"Due - deposit not taken",IF(IF(B314&gt;TodayDate,B314&lt;=TodayDate+2,FALSE),"Confirm - coming up","OK")))))))))))</f>
        <v>0</v>
      </c>
    </row>
    <row r="315" spans="1:34">
      <c r="A315" s="28">
        <f>IF(B315="","",AppointmentPrefix&amp;TEXT(ROW()-4,"0000"))</f>
        <v>0</v>
      </c>
      <c r="C315" s="15">
        <f>IF(B315="","",TEXT(B315,"ddd"))</f>
        <v>0</v>
      </c>
      <c r="F315" s="15">
        <f>IF(E315="","",IFERROR(INDEX(Clients!$B$5:$B$504,MATCH(E315,Clients!$A$5:$A$504,0)),"Walk-in"))</f>
        <v>0</v>
      </c>
      <c r="H315" s="15">
        <f>IF(G315="","",IFERROR(INDEX(Services!$B$5:$B$204,MATCH(G315,Services!$A$5:$A$204,0)),"Not in Services"))</f>
        <v>0</v>
      </c>
      <c r="J315" s="15">
        <f>IF(I315="","",IFERROR(INDEX(Staff!$B$5:$B$44,MATCH(I315,Staff!$A$5:$A$44,0)),"Unassigned"))</f>
        <v>0</v>
      </c>
      <c r="S315" s="15">
        <f>IF(B315="","",TEXT(B315,"yyyy-mm"))</f>
        <v>0</v>
      </c>
      <c r="T315" s="25">
        <f>IF(B315="","",WEEKNUM(B315,2))</f>
        <v>0</v>
      </c>
      <c r="U315" s="25">
        <f>IF(B315="","",IF(K315&lt;&gt;"",K315,IFERROR(INDEX(Services!$E$5:$E$204,MATCH(G315,Services!$A$5:$A$204,0))*1,0)+IFERROR(INDEX(Services!$F$5:$F$204,MATCH(G315,Services!$A$5:$A$204,0))*1,0)))</f>
        <v>0</v>
      </c>
      <c r="V315" s="36">
        <f>IF(B315="","",IF(D315="","",D315+U315/1440))</f>
        <v>0</v>
      </c>
      <c r="W315" s="25">
        <f>IF(B315="","",IF(D315="","",HOUR(D315)))</f>
        <v>0</v>
      </c>
      <c r="X315" s="37">
        <f>IF(B315="","",ROUND(U315/60,2))</f>
        <v>0</v>
      </c>
      <c r="Y315" s="26">
        <f>IF(B315="","",IF(L315&lt;&gt;"",L315,IFERROR(INDEX(Services!$G$5:$G$204,MATCH(G315,Services!$A$5:$A$204,0))*1,0)))</f>
        <v>0</v>
      </c>
      <c r="Z315" s="26">
        <f>IF(B315="","",IF(O315&lt;&gt;"",O315,IF(Y315&gt;=DepositThreshold,ROUND(Y315*DepositPercent,2),0)))</f>
        <v>0</v>
      </c>
      <c r="AA315" s="26">
        <f>IF(B315="","",ROUND(SUMIFS(Payments!$G$5:$G$1204,Payments!$I$5:$I$1204,A315,Payments!$E$5:$E$1204,"Deposit"),2))</f>
        <v>0</v>
      </c>
      <c r="AB315" s="26">
        <f>IF(B315="","",ROUND(SUMIFS(Sales!$Y$5:$Y$1204,Sales!$C$5:$C$1204,A315),2))</f>
        <v>0</v>
      </c>
      <c r="AC315" s="38">
        <f>IF(B315="","",IF(M315="Completed","Yes",IF(M315="Cancelled","Yes",IF(M315="No show","Yes","No"))))</f>
        <v>0</v>
      </c>
      <c r="AD315" s="25">
        <f>IF(B315="","",IF(AE315="","",B315-AE315))</f>
        <v>0</v>
      </c>
      <c r="AF315" s="38">
        <f>IF(B315="","",IF(M315&lt;&gt;"Completed","",IF(E315="","No",IF(COUNTIFS(Appointments!$E$5:$E$1204,E315,Appointments!$B$5:$B$1204,"&gt;"&amp;B315,Appointments!$M$5:$M$1204,"&lt;&gt;Cancelled")&gt;0,"Yes","No"))))</f>
        <v>0</v>
      </c>
      <c r="AG315" s="38">
        <f>IF(B315="","",IF(I315="","",IF(D315="","",IF(COUNTIFS($I$5:$I$1204,I315,$B$5:$B$1204,B315,$D$5:$D$1204,"&lt;"&amp;V315,$V$5:$V$1204,"&gt;"&amp;D315,$M$5:$M$1204,"&lt;&gt;Cancelled")&gt;1,"Clash",""))))</f>
        <v>0</v>
      </c>
      <c r="AH315" s="39">
        <f>IF(B315="","",IF(AG315="Clash","Clash - stylist double booked",IF(I315="","Assign - no stylist yet",IF(G315="","Add - no service chosen",IF(M315="No show","No show - charge the fee?",IF(M315="Cancelled","",IF(IF(M315="Completed",AB315&lt;Y315-0.004,FALSE),"Unpaid - nothing rung up for this visit",IF(IF(B315&lt;TodayDate,M315="Booked",FALSE),"Overdue - past date, still only Booked",IF(IF(B315=TodayDate,TRUE,FALSE),"Today",IF(IF(Z315&gt;0,AA315&lt;Z315-0.004,FALSE),"Due - deposit not taken",IF(IF(B315&gt;TodayDate,B315&lt;=TodayDate+2,FALSE),"Confirm - coming up","OK")))))))))))</f>
        <v>0</v>
      </c>
    </row>
    <row r="316" spans="1:34">
      <c r="A316" s="28">
        <f>IF(B316="","",AppointmentPrefix&amp;TEXT(ROW()-4,"0000"))</f>
        <v>0</v>
      </c>
      <c r="C316" s="15">
        <f>IF(B316="","",TEXT(B316,"ddd"))</f>
        <v>0</v>
      </c>
      <c r="F316" s="15">
        <f>IF(E316="","",IFERROR(INDEX(Clients!$B$5:$B$504,MATCH(E316,Clients!$A$5:$A$504,0)),"Walk-in"))</f>
        <v>0</v>
      </c>
      <c r="H316" s="15">
        <f>IF(G316="","",IFERROR(INDEX(Services!$B$5:$B$204,MATCH(G316,Services!$A$5:$A$204,0)),"Not in Services"))</f>
        <v>0</v>
      </c>
      <c r="J316" s="15">
        <f>IF(I316="","",IFERROR(INDEX(Staff!$B$5:$B$44,MATCH(I316,Staff!$A$5:$A$44,0)),"Unassigned"))</f>
        <v>0</v>
      </c>
      <c r="S316" s="15">
        <f>IF(B316="","",TEXT(B316,"yyyy-mm"))</f>
        <v>0</v>
      </c>
      <c r="T316" s="25">
        <f>IF(B316="","",WEEKNUM(B316,2))</f>
        <v>0</v>
      </c>
      <c r="U316" s="25">
        <f>IF(B316="","",IF(K316&lt;&gt;"",K316,IFERROR(INDEX(Services!$E$5:$E$204,MATCH(G316,Services!$A$5:$A$204,0))*1,0)+IFERROR(INDEX(Services!$F$5:$F$204,MATCH(G316,Services!$A$5:$A$204,0))*1,0)))</f>
        <v>0</v>
      </c>
      <c r="V316" s="36">
        <f>IF(B316="","",IF(D316="","",D316+U316/1440))</f>
        <v>0</v>
      </c>
      <c r="W316" s="25">
        <f>IF(B316="","",IF(D316="","",HOUR(D316)))</f>
        <v>0</v>
      </c>
      <c r="X316" s="37">
        <f>IF(B316="","",ROUND(U316/60,2))</f>
        <v>0</v>
      </c>
      <c r="Y316" s="26">
        <f>IF(B316="","",IF(L316&lt;&gt;"",L316,IFERROR(INDEX(Services!$G$5:$G$204,MATCH(G316,Services!$A$5:$A$204,0))*1,0)))</f>
        <v>0</v>
      </c>
      <c r="Z316" s="26">
        <f>IF(B316="","",IF(O316&lt;&gt;"",O316,IF(Y316&gt;=DepositThreshold,ROUND(Y316*DepositPercent,2),0)))</f>
        <v>0</v>
      </c>
      <c r="AA316" s="26">
        <f>IF(B316="","",ROUND(SUMIFS(Payments!$G$5:$G$1204,Payments!$I$5:$I$1204,A316,Payments!$E$5:$E$1204,"Deposit"),2))</f>
        <v>0</v>
      </c>
      <c r="AB316" s="26">
        <f>IF(B316="","",ROUND(SUMIFS(Sales!$Y$5:$Y$1204,Sales!$C$5:$C$1204,A316),2))</f>
        <v>0</v>
      </c>
      <c r="AC316" s="38">
        <f>IF(B316="","",IF(M316="Completed","Yes",IF(M316="Cancelled","Yes",IF(M316="No show","Yes","No"))))</f>
        <v>0</v>
      </c>
      <c r="AD316" s="25">
        <f>IF(B316="","",IF(AE316="","",B316-AE316))</f>
        <v>0</v>
      </c>
      <c r="AF316" s="38">
        <f>IF(B316="","",IF(M316&lt;&gt;"Completed","",IF(E316="","No",IF(COUNTIFS(Appointments!$E$5:$E$1204,E316,Appointments!$B$5:$B$1204,"&gt;"&amp;B316,Appointments!$M$5:$M$1204,"&lt;&gt;Cancelled")&gt;0,"Yes","No"))))</f>
        <v>0</v>
      </c>
      <c r="AG316" s="38">
        <f>IF(B316="","",IF(I316="","",IF(D316="","",IF(COUNTIFS($I$5:$I$1204,I316,$B$5:$B$1204,B316,$D$5:$D$1204,"&lt;"&amp;V316,$V$5:$V$1204,"&gt;"&amp;D316,$M$5:$M$1204,"&lt;&gt;Cancelled")&gt;1,"Clash",""))))</f>
        <v>0</v>
      </c>
      <c r="AH316" s="39">
        <f>IF(B316="","",IF(AG316="Clash","Clash - stylist double booked",IF(I316="","Assign - no stylist yet",IF(G316="","Add - no service chosen",IF(M316="No show","No show - charge the fee?",IF(M316="Cancelled","",IF(IF(M316="Completed",AB316&lt;Y316-0.004,FALSE),"Unpaid - nothing rung up for this visit",IF(IF(B316&lt;TodayDate,M316="Booked",FALSE),"Overdue - past date, still only Booked",IF(IF(B316=TodayDate,TRUE,FALSE),"Today",IF(IF(Z316&gt;0,AA316&lt;Z316-0.004,FALSE),"Due - deposit not taken",IF(IF(B316&gt;TodayDate,B316&lt;=TodayDate+2,FALSE),"Confirm - coming up","OK")))))))))))</f>
        <v>0</v>
      </c>
    </row>
    <row r="317" spans="1:34">
      <c r="A317" s="28">
        <f>IF(B317="","",AppointmentPrefix&amp;TEXT(ROW()-4,"0000"))</f>
        <v>0</v>
      </c>
      <c r="C317" s="15">
        <f>IF(B317="","",TEXT(B317,"ddd"))</f>
        <v>0</v>
      </c>
      <c r="F317" s="15">
        <f>IF(E317="","",IFERROR(INDEX(Clients!$B$5:$B$504,MATCH(E317,Clients!$A$5:$A$504,0)),"Walk-in"))</f>
        <v>0</v>
      </c>
      <c r="H317" s="15">
        <f>IF(G317="","",IFERROR(INDEX(Services!$B$5:$B$204,MATCH(G317,Services!$A$5:$A$204,0)),"Not in Services"))</f>
        <v>0</v>
      </c>
      <c r="J317" s="15">
        <f>IF(I317="","",IFERROR(INDEX(Staff!$B$5:$B$44,MATCH(I317,Staff!$A$5:$A$44,0)),"Unassigned"))</f>
        <v>0</v>
      </c>
      <c r="S317" s="15">
        <f>IF(B317="","",TEXT(B317,"yyyy-mm"))</f>
        <v>0</v>
      </c>
      <c r="T317" s="25">
        <f>IF(B317="","",WEEKNUM(B317,2))</f>
        <v>0</v>
      </c>
      <c r="U317" s="25">
        <f>IF(B317="","",IF(K317&lt;&gt;"",K317,IFERROR(INDEX(Services!$E$5:$E$204,MATCH(G317,Services!$A$5:$A$204,0))*1,0)+IFERROR(INDEX(Services!$F$5:$F$204,MATCH(G317,Services!$A$5:$A$204,0))*1,0)))</f>
        <v>0</v>
      </c>
      <c r="V317" s="36">
        <f>IF(B317="","",IF(D317="","",D317+U317/1440))</f>
        <v>0</v>
      </c>
      <c r="W317" s="25">
        <f>IF(B317="","",IF(D317="","",HOUR(D317)))</f>
        <v>0</v>
      </c>
      <c r="X317" s="37">
        <f>IF(B317="","",ROUND(U317/60,2))</f>
        <v>0</v>
      </c>
      <c r="Y317" s="26">
        <f>IF(B317="","",IF(L317&lt;&gt;"",L317,IFERROR(INDEX(Services!$G$5:$G$204,MATCH(G317,Services!$A$5:$A$204,0))*1,0)))</f>
        <v>0</v>
      </c>
      <c r="Z317" s="26">
        <f>IF(B317="","",IF(O317&lt;&gt;"",O317,IF(Y317&gt;=DepositThreshold,ROUND(Y317*DepositPercent,2),0)))</f>
        <v>0</v>
      </c>
      <c r="AA317" s="26">
        <f>IF(B317="","",ROUND(SUMIFS(Payments!$G$5:$G$1204,Payments!$I$5:$I$1204,A317,Payments!$E$5:$E$1204,"Deposit"),2))</f>
        <v>0</v>
      </c>
      <c r="AB317" s="26">
        <f>IF(B317="","",ROUND(SUMIFS(Sales!$Y$5:$Y$1204,Sales!$C$5:$C$1204,A317),2))</f>
        <v>0</v>
      </c>
      <c r="AC317" s="38">
        <f>IF(B317="","",IF(M317="Completed","Yes",IF(M317="Cancelled","Yes",IF(M317="No show","Yes","No"))))</f>
        <v>0</v>
      </c>
      <c r="AD317" s="25">
        <f>IF(B317="","",IF(AE317="","",B317-AE317))</f>
        <v>0</v>
      </c>
      <c r="AF317" s="38">
        <f>IF(B317="","",IF(M317&lt;&gt;"Completed","",IF(E317="","No",IF(COUNTIFS(Appointments!$E$5:$E$1204,E317,Appointments!$B$5:$B$1204,"&gt;"&amp;B317,Appointments!$M$5:$M$1204,"&lt;&gt;Cancelled")&gt;0,"Yes","No"))))</f>
        <v>0</v>
      </c>
      <c r="AG317" s="38">
        <f>IF(B317="","",IF(I317="","",IF(D317="","",IF(COUNTIFS($I$5:$I$1204,I317,$B$5:$B$1204,B317,$D$5:$D$1204,"&lt;"&amp;V317,$V$5:$V$1204,"&gt;"&amp;D317,$M$5:$M$1204,"&lt;&gt;Cancelled")&gt;1,"Clash",""))))</f>
        <v>0</v>
      </c>
      <c r="AH317" s="39">
        <f>IF(B317="","",IF(AG317="Clash","Clash - stylist double booked",IF(I317="","Assign - no stylist yet",IF(G317="","Add - no service chosen",IF(M317="No show","No show - charge the fee?",IF(M317="Cancelled","",IF(IF(M317="Completed",AB317&lt;Y317-0.004,FALSE),"Unpaid - nothing rung up for this visit",IF(IF(B317&lt;TodayDate,M317="Booked",FALSE),"Overdue - past date, still only Booked",IF(IF(B317=TodayDate,TRUE,FALSE),"Today",IF(IF(Z317&gt;0,AA317&lt;Z317-0.004,FALSE),"Due - deposit not taken",IF(IF(B317&gt;TodayDate,B317&lt;=TodayDate+2,FALSE),"Confirm - coming up","OK")))))))))))</f>
        <v>0</v>
      </c>
    </row>
    <row r="318" spans="1:34">
      <c r="A318" s="28">
        <f>IF(B318="","",AppointmentPrefix&amp;TEXT(ROW()-4,"0000"))</f>
        <v>0</v>
      </c>
      <c r="C318" s="15">
        <f>IF(B318="","",TEXT(B318,"ddd"))</f>
        <v>0</v>
      </c>
      <c r="F318" s="15">
        <f>IF(E318="","",IFERROR(INDEX(Clients!$B$5:$B$504,MATCH(E318,Clients!$A$5:$A$504,0)),"Walk-in"))</f>
        <v>0</v>
      </c>
      <c r="H318" s="15">
        <f>IF(G318="","",IFERROR(INDEX(Services!$B$5:$B$204,MATCH(G318,Services!$A$5:$A$204,0)),"Not in Services"))</f>
        <v>0</v>
      </c>
      <c r="J318" s="15">
        <f>IF(I318="","",IFERROR(INDEX(Staff!$B$5:$B$44,MATCH(I318,Staff!$A$5:$A$44,0)),"Unassigned"))</f>
        <v>0</v>
      </c>
      <c r="S318" s="15">
        <f>IF(B318="","",TEXT(B318,"yyyy-mm"))</f>
        <v>0</v>
      </c>
      <c r="T318" s="25">
        <f>IF(B318="","",WEEKNUM(B318,2))</f>
        <v>0</v>
      </c>
      <c r="U318" s="25">
        <f>IF(B318="","",IF(K318&lt;&gt;"",K318,IFERROR(INDEX(Services!$E$5:$E$204,MATCH(G318,Services!$A$5:$A$204,0))*1,0)+IFERROR(INDEX(Services!$F$5:$F$204,MATCH(G318,Services!$A$5:$A$204,0))*1,0)))</f>
        <v>0</v>
      </c>
      <c r="V318" s="36">
        <f>IF(B318="","",IF(D318="","",D318+U318/1440))</f>
        <v>0</v>
      </c>
      <c r="W318" s="25">
        <f>IF(B318="","",IF(D318="","",HOUR(D318)))</f>
        <v>0</v>
      </c>
      <c r="X318" s="37">
        <f>IF(B318="","",ROUND(U318/60,2))</f>
        <v>0</v>
      </c>
      <c r="Y318" s="26">
        <f>IF(B318="","",IF(L318&lt;&gt;"",L318,IFERROR(INDEX(Services!$G$5:$G$204,MATCH(G318,Services!$A$5:$A$204,0))*1,0)))</f>
        <v>0</v>
      </c>
      <c r="Z318" s="26">
        <f>IF(B318="","",IF(O318&lt;&gt;"",O318,IF(Y318&gt;=DepositThreshold,ROUND(Y318*DepositPercent,2),0)))</f>
        <v>0</v>
      </c>
      <c r="AA318" s="26">
        <f>IF(B318="","",ROUND(SUMIFS(Payments!$G$5:$G$1204,Payments!$I$5:$I$1204,A318,Payments!$E$5:$E$1204,"Deposit"),2))</f>
        <v>0</v>
      </c>
      <c r="AB318" s="26">
        <f>IF(B318="","",ROUND(SUMIFS(Sales!$Y$5:$Y$1204,Sales!$C$5:$C$1204,A318),2))</f>
        <v>0</v>
      </c>
      <c r="AC318" s="38">
        <f>IF(B318="","",IF(M318="Completed","Yes",IF(M318="Cancelled","Yes",IF(M318="No show","Yes","No"))))</f>
        <v>0</v>
      </c>
      <c r="AD318" s="25">
        <f>IF(B318="","",IF(AE318="","",B318-AE318))</f>
        <v>0</v>
      </c>
      <c r="AF318" s="38">
        <f>IF(B318="","",IF(M318&lt;&gt;"Completed","",IF(E318="","No",IF(COUNTIFS(Appointments!$E$5:$E$1204,E318,Appointments!$B$5:$B$1204,"&gt;"&amp;B318,Appointments!$M$5:$M$1204,"&lt;&gt;Cancelled")&gt;0,"Yes","No"))))</f>
        <v>0</v>
      </c>
      <c r="AG318" s="38">
        <f>IF(B318="","",IF(I318="","",IF(D318="","",IF(COUNTIFS($I$5:$I$1204,I318,$B$5:$B$1204,B318,$D$5:$D$1204,"&lt;"&amp;V318,$V$5:$V$1204,"&gt;"&amp;D318,$M$5:$M$1204,"&lt;&gt;Cancelled")&gt;1,"Clash",""))))</f>
        <v>0</v>
      </c>
      <c r="AH318" s="39">
        <f>IF(B318="","",IF(AG318="Clash","Clash - stylist double booked",IF(I318="","Assign - no stylist yet",IF(G318="","Add - no service chosen",IF(M318="No show","No show - charge the fee?",IF(M318="Cancelled","",IF(IF(M318="Completed",AB318&lt;Y318-0.004,FALSE),"Unpaid - nothing rung up for this visit",IF(IF(B318&lt;TodayDate,M318="Booked",FALSE),"Overdue - past date, still only Booked",IF(IF(B318=TodayDate,TRUE,FALSE),"Today",IF(IF(Z318&gt;0,AA318&lt;Z318-0.004,FALSE),"Due - deposit not taken",IF(IF(B318&gt;TodayDate,B318&lt;=TodayDate+2,FALSE),"Confirm - coming up","OK")))))))))))</f>
        <v>0</v>
      </c>
    </row>
    <row r="319" spans="1:34">
      <c r="A319" s="28">
        <f>IF(B319="","",AppointmentPrefix&amp;TEXT(ROW()-4,"0000"))</f>
        <v>0</v>
      </c>
      <c r="C319" s="15">
        <f>IF(B319="","",TEXT(B319,"ddd"))</f>
        <v>0</v>
      </c>
      <c r="F319" s="15">
        <f>IF(E319="","",IFERROR(INDEX(Clients!$B$5:$B$504,MATCH(E319,Clients!$A$5:$A$504,0)),"Walk-in"))</f>
        <v>0</v>
      </c>
      <c r="H319" s="15">
        <f>IF(G319="","",IFERROR(INDEX(Services!$B$5:$B$204,MATCH(G319,Services!$A$5:$A$204,0)),"Not in Services"))</f>
        <v>0</v>
      </c>
      <c r="J319" s="15">
        <f>IF(I319="","",IFERROR(INDEX(Staff!$B$5:$B$44,MATCH(I319,Staff!$A$5:$A$44,0)),"Unassigned"))</f>
        <v>0</v>
      </c>
      <c r="S319" s="15">
        <f>IF(B319="","",TEXT(B319,"yyyy-mm"))</f>
        <v>0</v>
      </c>
      <c r="T319" s="25">
        <f>IF(B319="","",WEEKNUM(B319,2))</f>
        <v>0</v>
      </c>
      <c r="U319" s="25">
        <f>IF(B319="","",IF(K319&lt;&gt;"",K319,IFERROR(INDEX(Services!$E$5:$E$204,MATCH(G319,Services!$A$5:$A$204,0))*1,0)+IFERROR(INDEX(Services!$F$5:$F$204,MATCH(G319,Services!$A$5:$A$204,0))*1,0)))</f>
        <v>0</v>
      </c>
      <c r="V319" s="36">
        <f>IF(B319="","",IF(D319="","",D319+U319/1440))</f>
        <v>0</v>
      </c>
      <c r="W319" s="25">
        <f>IF(B319="","",IF(D319="","",HOUR(D319)))</f>
        <v>0</v>
      </c>
      <c r="X319" s="37">
        <f>IF(B319="","",ROUND(U319/60,2))</f>
        <v>0</v>
      </c>
      <c r="Y319" s="26">
        <f>IF(B319="","",IF(L319&lt;&gt;"",L319,IFERROR(INDEX(Services!$G$5:$G$204,MATCH(G319,Services!$A$5:$A$204,0))*1,0)))</f>
        <v>0</v>
      </c>
      <c r="Z319" s="26">
        <f>IF(B319="","",IF(O319&lt;&gt;"",O319,IF(Y319&gt;=DepositThreshold,ROUND(Y319*DepositPercent,2),0)))</f>
        <v>0</v>
      </c>
      <c r="AA319" s="26">
        <f>IF(B319="","",ROUND(SUMIFS(Payments!$G$5:$G$1204,Payments!$I$5:$I$1204,A319,Payments!$E$5:$E$1204,"Deposit"),2))</f>
        <v>0</v>
      </c>
      <c r="AB319" s="26">
        <f>IF(B319="","",ROUND(SUMIFS(Sales!$Y$5:$Y$1204,Sales!$C$5:$C$1204,A319),2))</f>
        <v>0</v>
      </c>
      <c r="AC319" s="38">
        <f>IF(B319="","",IF(M319="Completed","Yes",IF(M319="Cancelled","Yes",IF(M319="No show","Yes","No"))))</f>
        <v>0</v>
      </c>
      <c r="AD319" s="25">
        <f>IF(B319="","",IF(AE319="","",B319-AE319))</f>
        <v>0</v>
      </c>
      <c r="AF319" s="38">
        <f>IF(B319="","",IF(M319&lt;&gt;"Completed","",IF(E319="","No",IF(COUNTIFS(Appointments!$E$5:$E$1204,E319,Appointments!$B$5:$B$1204,"&gt;"&amp;B319,Appointments!$M$5:$M$1204,"&lt;&gt;Cancelled")&gt;0,"Yes","No"))))</f>
        <v>0</v>
      </c>
      <c r="AG319" s="38">
        <f>IF(B319="","",IF(I319="","",IF(D319="","",IF(COUNTIFS($I$5:$I$1204,I319,$B$5:$B$1204,B319,$D$5:$D$1204,"&lt;"&amp;V319,$V$5:$V$1204,"&gt;"&amp;D319,$M$5:$M$1204,"&lt;&gt;Cancelled")&gt;1,"Clash",""))))</f>
        <v>0</v>
      </c>
      <c r="AH319" s="39">
        <f>IF(B319="","",IF(AG319="Clash","Clash - stylist double booked",IF(I319="","Assign - no stylist yet",IF(G319="","Add - no service chosen",IF(M319="No show","No show - charge the fee?",IF(M319="Cancelled","",IF(IF(M319="Completed",AB319&lt;Y319-0.004,FALSE),"Unpaid - nothing rung up for this visit",IF(IF(B319&lt;TodayDate,M319="Booked",FALSE),"Overdue - past date, still only Booked",IF(IF(B319=TodayDate,TRUE,FALSE),"Today",IF(IF(Z319&gt;0,AA319&lt;Z319-0.004,FALSE),"Due - deposit not taken",IF(IF(B319&gt;TodayDate,B319&lt;=TodayDate+2,FALSE),"Confirm - coming up","OK")))))))))))</f>
        <v>0</v>
      </c>
    </row>
    <row r="320" spans="1:34">
      <c r="A320" s="28">
        <f>IF(B320="","",AppointmentPrefix&amp;TEXT(ROW()-4,"0000"))</f>
        <v>0</v>
      </c>
      <c r="C320" s="15">
        <f>IF(B320="","",TEXT(B320,"ddd"))</f>
        <v>0</v>
      </c>
      <c r="F320" s="15">
        <f>IF(E320="","",IFERROR(INDEX(Clients!$B$5:$B$504,MATCH(E320,Clients!$A$5:$A$504,0)),"Walk-in"))</f>
        <v>0</v>
      </c>
      <c r="H320" s="15">
        <f>IF(G320="","",IFERROR(INDEX(Services!$B$5:$B$204,MATCH(G320,Services!$A$5:$A$204,0)),"Not in Services"))</f>
        <v>0</v>
      </c>
      <c r="J320" s="15">
        <f>IF(I320="","",IFERROR(INDEX(Staff!$B$5:$B$44,MATCH(I320,Staff!$A$5:$A$44,0)),"Unassigned"))</f>
        <v>0</v>
      </c>
      <c r="S320" s="15">
        <f>IF(B320="","",TEXT(B320,"yyyy-mm"))</f>
        <v>0</v>
      </c>
      <c r="T320" s="25">
        <f>IF(B320="","",WEEKNUM(B320,2))</f>
        <v>0</v>
      </c>
      <c r="U320" s="25">
        <f>IF(B320="","",IF(K320&lt;&gt;"",K320,IFERROR(INDEX(Services!$E$5:$E$204,MATCH(G320,Services!$A$5:$A$204,0))*1,0)+IFERROR(INDEX(Services!$F$5:$F$204,MATCH(G320,Services!$A$5:$A$204,0))*1,0)))</f>
        <v>0</v>
      </c>
      <c r="V320" s="36">
        <f>IF(B320="","",IF(D320="","",D320+U320/1440))</f>
        <v>0</v>
      </c>
      <c r="W320" s="25">
        <f>IF(B320="","",IF(D320="","",HOUR(D320)))</f>
        <v>0</v>
      </c>
      <c r="X320" s="37">
        <f>IF(B320="","",ROUND(U320/60,2))</f>
        <v>0</v>
      </c>
      <c r="Y320" s="26">
        <f>IF(B320="","",IF(L320&lt;&gt;"",L320,IFERROR(INDEX(Services!$G$5:$G$204,MATCH(G320,Services!$A$5:$A$204,0))*1,0)))</f>
        <v>0</v>
      </c>
      <c r="Z320" s="26">
        <f>IF(B320="","",IF(O320&lt;&gt;"",O320,IF(Y320&gt;=DepositThreshold,ROUND(Y320*DepositPercent,2),0)))</f>
        <v>0</v>
      </c>
      <c r="AA320" s="26">
        <f>IF(B320="","",ROUND(SUMIFS(Payments!$G$5:$G$1204,Payments!$I$5:$I$1204,A320,Payments!$E$5:$E$1204,"Deposit"),2))</f>
        <v>0</v>
      </c>
      <c r="AB320" s="26">
        <f>IF(B320="","",ROUND(SUMIFS(Sales!$Y$5:$Y$1204,Sales!$C$5:$C$1204,A320),2))</f>
        <v>0</v>
      </c>
      <c r="AC320" s="38">
        <f>IF(B320="","",IF(M320="Completed","Yes",IF(M320="Cancelled","Yes",IF(M320="No show","Yes","No"))))</f>
        <v>0</v>
      </c>
      <c r="AD320" s="25">
        <f>IF(B320="","",IF(AE320="","",B320-AE320))</f>
        <v>0</v>
      </c>
      <c r="AF320" s="38">
        <f>IF(B320="","",IF(M320&lt;&gt;"Completed","",IF(E320="","No",IF(COUNTIFS(Appointments!$E$5:$E$1204,E320,Appointments!$B$5:$B$1204,"&gt;"&amp;B320,Appointments!$M$5:$M$1204,"&lt;&gt;Cancelled")&gt;0,"Yes","No"))))</f>
        <v>0</v>
      </c>
      <c r="AG320" s="38">
        <f>IF(B320="","",IF(I320="","",IF(D320="","",IF(COUNTIFS($I$5:$I$1204,I320,$B$5:$B$1204,B320,$D$5:$D$1204,"&lt;"&amp;V320,$V$5:$V$1204,"&gt;"&amp;D320,$M$5:$M$1204,"&lt;&gt;Cancelled")&gt;1,"Clash",""))))</f>
        <v>0</v>
      </c>
      <c r="AH320" s="39">
        <f>IF(B320="","",IF(AG320="Clash","Clash - stylist double booked",IF(I320="","Assign - no stylist yet",IF(G320="","Add - no service chosen",IF(M320="No show","No show - charge the fee?",IF(M320="Cancelled","",IF(IF(M320="Completed",AB320&lt;Y320-0.004,FALSE),"Unpaid - nothing rung up for this visit",IF(IF(B320&lt;TodayDate,M320="Booked",FALSE),"Overdue - past date, still only Booked",IF(IF(B320=TodayDate,TRUE,FALSE),"Today",IF(IF(Z320&gt;0,AA320&lt;Z320-0.004,FALSE),"Due - deposit not taken",IF(IF(B320&gt;TodayDate,B320&lt;=TodayDate+2,FALSE),"Confirm - coming up","OK")))))))))))</f>
        <v>0</v>
      </c>
    </row>
    <row r="321" spans="1:34">
      <c r="A321" s="28">
        <f>IF(B321="","",AppointmentPrefix&amp;TEXT(ROW()-4,"0000"))</f>
        <v>0</v>
      </c>
      <c r="C321" s="15">
        <f>IF(B321="","",TEXT(B321,"ddd"))</f>
        <v>0</v>
      </c>
      <c r="F321" s="15">
        <f>IF(E321="","",IFERROR(INDEX(Clients!$B$5:$B$504,MATCH(E321,Clients!$A$5:$A$504,0)),"Walk-in"))</f>
        <v>0</v>
      </c>
      <c r="H321" s="15">
        <f>IF(G321="","",IFERROR(INDEX(Services!$B$5:$B$204,MATCH(G321,Services!$A$5:$A$204,0)),"Not in Services"))</f>
        <v>0</v>
      </c>
      <c r="J321" s="15">
        <f>IF(I321="","",IFERROR(INDEX(Staff!$B$5:$B$44,MATCH(I321,Staff!$A$5:$A$44,0)),"Unassigned"))</f>
        <v>0</v>
      </c>
      <c r="S321" s="15">
        <f>IF(B321="","",TEXT(B321,"yyyy-mm"))</f>
        <v>0</v>
      </c>
      <c r="T321" s="25">
        <f>IF(B321="","",WEEKNUM(B321,2))</f>
        <v>0</v>
      </c>
      <c r="U321" s="25">
        <f>IF(B321="","",IF(K321&lt;&gt;"",K321,IFERROR(INDEX(Services!$E$5:$E$204,MATCH(G321,Services!$A$5:$A$204,0))*1,0)+IFERROR(INDEX(Services!$F$5:$F$204,MATCH(G321,Services!$A$5:$A$204,0))*1,0)))</f>
        <v>0</v>
      </c>
      <c r="V321" s="36">
        <f>IF(B321="","",IF(D321="","",D321+U321/1440))</f>
        <v>0</v>
      </c>
      <c r="W321" s="25">
        <f>IF(B321="","",IF(D321="","",HOUR(D321)))</f>
        <v>0</v>
      </c>
      <c r="X321" s="37">
        <f>IF(B321="","",ROUND(U321/60,2))</f>
        <v>0</v>
      </c>
      <c r="Y321" s="26">
        <f>IF(B321="","",IF(L321&lt;&gt;"",L321,IFERROR(INDEX(Services!$G$5:$G$204,MATCH(G321,Services!$A$5:$A$204,0))*1,0)))</f>
        <v>0</v>
      </c>
      <c r="Z321" s="26">
        <f>IF(B321="","",IF(O321&lt;&gt;"",O321,IF(Y321&gt;=DepositThreshold,ROUND(Y321*DepositPercent,2),0)))</f>
        <v>0</v>
      </c>
      <c r="AA321" s="26">
        <f>IF(B321="","",ROUND(SUMIFS(Payments!$G$5:$G$1204,Payments!$I$5:$I$1204,A321,Payments!$E$5:$E$1204,"Deposit"),2))</f>
        <v>0</v>
      </c>
      <c r="AB321" s="26">
        <f>IF(B321="","",ROUND(SUMIFS(Sales!$Y$5:$Y$1204,Sales!$C$5:$C$1204,A321),2))</f>
        <v>0</v>
      </c>
      <c r="AC321" s="38">
        <f>IF(B321="","",IF(M321="Completed","Yes",IF(M321="Cancelled","Yes",IF(M321="No show","Yes","No"))))</f>
        <v>0</v>
      </c>
      <c r="AD321" s="25">
        <f>IF(B321="","",IF(AE321="","",B321-AE321))</f>
        <v>0</v>
      </c>
      <c r="AF321" s="38">
        <f>IF(B321="","",IF(M321&lt;&gt;"Completed","",IF(E321="","No",IF(COUNTIFS(Appointments!$E$5:$E$1204,E321,Appointments!$B$5:$B$1204,"&gt;"&amp;B321,Appointments!$M$5:$M$1204,"&lt;&gt;Cancelled")&gt;0,"Yes","No"))))</f>
        <v>0</v>
      </c>
      <c r="AG321" s="38">
        <f>IF(B321="","",IF(I321="","",IF(D321="","",IF(COUNTIFS($I$5:$I$1204,I321,$B$5:$B$1204,B321,$D$5:$D$1204,"&lt;"&amp;V321,$V$5:$V$1204,"&gt;"&amp;D321,$M$5:$M$1204,"&lt;&gt;Cancelled")&gt;1,"Clash",""))))</f>
        <v>0</v>
      </c>
      <c r="AH321" s="39">
        <f>IF(B321="","",IF(AG321="Clash","Clash - stylist double booked",IF(I321="","Assign - no stylist yet",IF(G321="","Add - no service chosen",IF(M321="No show","No show - charge the fee?",IF(M321="Cancelled","",IF(IF(M321="Completed",AB321&lt;Y321-0.004,FALSE),"Unpaid - nothing rung up for this visit",IF(IF(B321&lt;TodayDate,M321="Booked",FALSE),"Overdue - past date, still only Booked",IF(IF(B321=TodayDate,TRUE,FALSE),"Today",IF(IF(Z321&gt;0,AA321&lt;Z321-0.004,FALSE),"Due - deposit not taken",IF(IF(B321&gt;TodayDate,B321&lt;=TodayDate+2,FALSE),"Confirm - coming up","OK")))))))))))</f>
        <v>0</v>
      </c>
    </row>
    <row r="322" spans="1:34">
      <c r="A322" s="28">
        <f>IF(B322="","",AppointmentPrefix&amp;TEXT(ROW()-4,"0000"))</f>
        <v>0</v>
      </c>
      <c r="C322" s="15">
        <f>IF(B322="","",TEXT(B322,"ddd"))</f>
        <v>0</v>
      </c>
      <c r="F322" s="15">
        <f>IF(E322="","",IFERROR(INDEX(Clients!$B$5:$B$504,MATCH(E322,Clients!$A$5:$A$504,0)),"Walk-in"))</f>
        <v>0</v>
      </c>
      <c r="H322" s="15">
        <f>IF(G322="","",IFERROR(INDEX(Services!$B$5:$B$204,MATCH(G322,Services!$A$5:$A$204,0)),"Not in Services"))</f>
        <v>0</v>
      </c>
      <c r="J322" s="15">
        <f>IF(I322="","",IFERROR(INDEX(Staff!$B$5:$B$44,MATCH(I322,Staff!$A$5:$A$44,0)),"Unassigned"))</f>
        <v>0</v>
      </c>
      <c r="S322" s="15">
        <f>IF(B322="","",TEXT(B322,"yyyy-mm"))</f>
        <v>0</v>
      </c>
      <c r="T322" s="25">
        <f>IF(B322="","",WEEKNUM(B322,2))</f>
        <v>0</v>
      </c>
      <c r="U322" s="25">
        <f>IF(B322="","",IF(K322&lt;&gt;"",K322,IFERROR(INDEX(Services!$E$5:$E$204,MATCH(G322,Services!$A$5:$A$204,0))*1,0)+IFERROR(INDEX(Services!$F$5:$F$204,MATCH(G322,Services!$A$5:$A$204,0))*1,0)))</f>
        <v>0</v>
      </c>
      <c r="V322" s="36">
        <f>IF(B322="","",IF(D322="","",D322+U322/1440))</f>
        <v>0</v>
      </c>
      <c r="W322" s="25">
        <f>IF(B322="","",IF(D322="","",HOUR(D322)))</f>
        <v>0</v>
      </c>
      <c r="X322" s="37">
        <f>IF(B322="","",ROUND(U322/60,2))</f>
        <v>0</v>
      </c>
      <c r="Y322" s="26">
        <f>IF(B322="","",IF(L322&lt;&gt;"",L322,IFERROR(INDEX(Services!$G$5:$G$204,MATCH(G322,Services!$A$5:$A$204,0))*1,0)))</f>
        <v>0</v>
      </c>
      <c r="Z322" s="26">
        <f>IF(B322="","",IF(O322&lt;&gt;"",O322,IF(Y322&gt;=DepositThreshold,ROUND(Y322*DepositPercent,2),0)))</f>
        <v>0</v>
      </c>
      <c r="AA322" s="26">
        <f>IF(B322="","",ROUND(SUMIFS(Payments!$G$5:$G$1204,Payments!$I$5:$I$1204,A322,Payments!$E$5:$E$1204,"Deposit"),2))</f>
        <v>0</v>
      </c>
      <c r="AB322" s="26">
        <f>IF(B322="","",ROUND(SUMIFS(Sales!$Y$5:$Y$1204,Sales!$C$5:$C$1204,A322),2))</f>
        <v>0</v>
      </c>
      <c r="AC322" s="38">
        <f>IF(B322="","",IF(M322="Completed","Yes",IF(M322="Cancelled","Yes",IF(M322="No show","Yes","No"))))</f>
        <v>0</v>
      </c>
      <c r="AD322" s="25">
        <f>IF(B322="","",IF(AE322="","",B322-AE322))</f>
        <v>0</v>
      </c>
      <c r="AF322" s="38">
        <f>IF(B322="","",IF(M322&lt;&gt;"Completed","",IF(E322="","No",IF(COUNTIFS(Appointments!$E$5:$E$1204,E322,Appointments!$B$5:$B$1204,"&gt;"&amp;B322,Appointments!$M$5:$M$1204,"&lt;&gt;Cancelled")&gt;0,"Yes","No"))))</f>
        <v>0</v>
      </c>
      <c r="AG322" s="38">
        <f>IF(B322="","",IF(I322="","",IF(D322="","",IF(COUNTIFS($I$5:$I$1204,I322,$B$5:$B$1204,B322,$D$5:$D$1204,"&lt;"&amp;V322,$V$5:$V$1204,"&gt;"&amp;D322,$M$5:$M$1204,"&lt;&gt;Cancelled")&gt;1,"Clash",""))))</f>
        <v>0</v>
      </c>
      <c r="AH322" s="39">
        <f>IF(B322="","",IF(AG322="Clash","Clash - stylist double booked",IF(I322="","Assign - no stylist yet",IF(G322="","Add - no service chosen",IF(M322="No show","No show - charge the fee?",IF(M322="Cancelled","",IF(IF(M322="Completed",AB322&lt;Y322-0.004,FALSE),"Unpaid - nothing rung up for this visit",IF(IF(B322&lt;TodayDate,M322="Booked",FALSE),"Overdue - past date, still only Booked",IF(IF(B322=TodayDate,TRUE,FALSE),"Today",IF(IF(Z322&gt;0,AA322&lt;Z322-0.004,FALSE),"Due - deposit not taken",IF(IF(B322&gt;TodayDate,B322&lt;=TodayDate+2,FALSE),"Confirm - coming up","OK")))))))))))</f>
        <v>0</v>
      </c>
    </row>
    <row r="323" spans="1:34">
      <c r="A323" s="28">
        <f>IF(B323="","",AppointmentPrefix&amp;TEXT(ROW()-4,"0000"))</f>
        <v>0</v>
      </c>
      <c r="C323" s="15">
        <f>IF(B323="","",TEXT(B323,"ddd"))</f>
        <v>0</v>
      </c>
      <c r="F323" s="15">
        <f>IF(E323="","",IFERROR(INDEX(Clients!$B$5:$B$504,MATCH(E323,Clients!$A$5:$A$504,0)),"Walk-in"))</f>
        <v>0</v>
      </c>
      <c r="H323" s="15">
        <f>IF(G323="","",IFERROR(INDEX(Services!$B$5:$B$204,MATCH(G323,Services!$A$5:$A$204,0)),"Not in Services"))</f>
        <v>0</v>
      </c>
      <c r="J323" s="15">
        <f>IF(I323="","",IFERROR(INDEX(Staff!$B$5:$B$44,MATCH(I323,Staff!$A$5:$A$44,0)),"Unassigned"))</f>
        <v>0</v>
      </c>
      <c r="S323" s="15">
        <f>IF(B323="","",TEXT(B323,"yyyy-mm"))</f>
        <v>0</v>
      </c>
      <c r="T323" s="25">
        <f>IF(B323="","",WEEKNUM(B323,2))</f>
        <v>0</v>
      </c>
      <c r="U323" s="25">
        <f>IF(B323="","",IF(K323&lt;&gt;"",K323,IFERROR(INDEX(Services!$E$5:$E$204,MATCH(G323,Services!$A$5:$A$204,0))*1,0)+IFERROR(INDEX(Services!$F$5:$F$204,MATCH(G323,Services!$A$5:$A$204,0))*1,0)))</f>
        <v>0</v>
      </c>
      <c r="V323" s="36">
        <f>IF(B323="","",IF(D323="","",D323+U323/1440))</f>
        <v>0</v>
      </c>
      <c r="W323" s="25">
        <f>IF(B323="","",IF(D323="","",HOUR(D323)))</f>
        <v>0</v>
      </c>
      <c r="X323" s="37">
        <f>IF(B323="","",ROUND(U323/60,2))</f>
        <v>0</v>
      </c>
      <c r="Y323" s="26">
        <f>IF(B323="","",IF(L323&lt;&gt;"",L323,IFERROR(INDEX(Services!$G$5:$G$204,MATCH(G323,Services!$A$5:$A$204,0))*1,0)))</f>
        <v>0</v>
      </c>
      <c r="Z323" s="26">
        <f>IF(B323="","",IF(O323&lt;&gt;"",O323,IF(Y323&gt;=DepositThreshold,ROUND(Y323*DepositPercent,2),0)))</f>
        <v>0</v>
      </c>
      <c r="AA323" s="26">
        <f>IF(B323="","",ROUND(SUMIFS(Payments!$G$5:$G$1204,Payments!$I$5:$I$1204,A323,Payments!$E$5:$E$1204,"Deposit"),2))</f>
        <v>0</v>
      </c>
      <c r="AB323" s="26">
        <f>IF(B323="","",ROUND(SUMIFS(Sales!$Y$5:$Y$1204,Sales!$C$5:$C$1204,A323),2))</f>
        <v>0</v>
      </c>
      <c r="AC323" s="38">
        <f>IF(B323="","",IF(M323="Completed","Yes",IF(M323="Cancelled","Yes",IF(M323="No show","Yes","No"))))</f>
        <v>0</v>
      </c>
      <c r="AD323" s="25">
        <f>IF(B323="","",IF(AE323="","",B323-AE323))</f>
        <v>0</v>
      </c>
      <c r="AF323" s="38">
        <f>IF(B323="","",IF(M323&lt;&gt;"Completed","",IF(E323="","No",IF(COUNTIFS(Appointments!$E$5:$E$1204,E323,Appointments!$B$5:$B$1204,"&gt;"&amp;B323,Appointments!$M$5:$M$1204,"&lt;&gt;Cancelled")&gt;0,"Yes","No"))))</f>
        <v>0</v>
      </c>
      <c r="AG323" s="38">
        <f>IF(B323="","",IF(I323="","",IF(D323="","",IF(COUNTIFS($I$5:$I$1204,I323,$B$5:$B$1204,B323,$D$5:$D$1204,"&lt;"&amp;V323,$V$5:$V$1204,"&gt;"&amp;D323,$M$5:$M$1204,"&lt;&gt;Cancelled")&gt;1,"Clash",""))))</f>
        <v>0</v>
      </c>
      <c r="AH323" s="39">
        <f>IF(B323="","",IF(AG323="Clash","Clash - stylist double booked",IF(I323="","Assign - no stylist yet",IF(G323="","Add - no service chosen",IF(M323="No show","No show - charge the fee?",IF(M323="Cancelled","",IF(IF(M323="Completed",AB323&lt;Y323-0.004,FALSE),"Unpaid - nothing rung up for this visit",IF(IF(B323&lt;TodayDate,M323="Booked",FALSE),"Overdue - past date, still only Booked",IF(IF(B323=TodayDate,TRUE,FALSE),"Today",IF(IF(Z323&gt;0,AA323&lt;Z323-0.004,FALSE),"Due - deposit not taken",IF(IF(B323&gt;TodayDate,B323&lt;=TodayDate+2,FALSE),"Confirm - coming up","OK")))))))))))</f>
        <v>0</v>
      </c>
    </row>
    <row r="324" spans="1:34">
      <c r="A324" s="28">
        <f>IF(B324="","",AppointmentPrefix&amp;TEXT(ROW()-4,"0000"))</f>
        <v>0</v>
      </c>
      <c r="C324" s="15">
        <f>IF(B324="","",TEXT(B324,"ddd"))</f>
        <v>0</v>
      </c>
      <c r="F324" s="15">
        <f>IF(E324="","",IFERROR(INDEX(Clients!$B$5:$B$504,MATCH(E324,Clients!$A$5:$A$504,0)),"Walk-in"))</f>
        <v>0</v>
      </c>
      <c r="H324" s="15">
        <f>IF(G324="","",IFERROR(INDEX(Services!$B$5:$B$204,MATCH(G324,Services!$A$5:$A$204,0)),"Not in Services"))</f>
        <v>0</v>
      </c>
      <c r="J324" s="15">
        <f>IF(I324="","",IFERROR(INDEX(Staff!$B$5:$B$44,MATCH(I324,Staff!$A$5:$A$44,0)),"Unassigned"))</f>
        <v>0</v>
      </c>
      <c r="S324" s="15">
        <f>IF(B324="","",TEXT(B324,"yyyy-mm"))</f>
        <v>0</v>
      </c>
      <c r="T324" s="25">
        <f>IF(B324="","",WEEKNUM(B324,2))</f>
        <v>0</v>
      </c>
      <c r="U324" s="25">
        <f>IF(B324="","",IF(K324&lt;&gt;"",K324,IFERROR(INDEX(Services!$E$5:$E$204,MATCH(G324,Services!$A$5:$A$204,0))*1,0)+IFERROR(INDEX(Services!$F$5:$F$204,MATCH(G324,Services!$A$5:$A$204,0))*1,0)))</f>
        <v>0</v>
      </c>
      <c r="V324" s="36">
        <f>IF(B324="","",IF(D324="","",D324+U324/1440))</f>
        <v>0</v>
      </c>
      <c r="W324" s="25">
        <f>IF(B324="","",IF(D324="","",HOUR(D324)))</f>
        <v>0</v>
      </c>
      <c r="X324" s="37">
        <f>IF(B324="","",ROUND(U324/60,2))</f>
        <v>0</v>
      </c>
      <c r="Y324" s="26">
        <f>IF(B324="","",IF(L324&lt;&gt;"",L324,IFERROR(INDEX(Services!$G$5:$G$204,MATCH(G324,Services!$A$5:$A$204,0))*1,0)))</f>
        <v>0</v>
      </c>
      <c r="Z324" s="26">
        <f>IF(B324="","",IF(O324&lt;&gt;"",O324,IF(Y324&gt;=DepositThreshold,ROUND(Y324*DepositPercent,2),0)))</f>
        <v>0</v>
      </c>
      <c r="AA324" s="26">
        <f>IF(B324="","",ROUND(SUMIFS(Payments!$G$5:$G$1204,Payments!$I$5:$I$1204,A324,Payments!$E$5:$E$1204,"Deposit"),2))</f>
        <v>0</v>
      </c>
      <c r="AB324" s="26">
        <f>IF(B324="","",ROUND(SUMIFS(Sales!$Y$5:$Y$1204,Sales!$C$5:$C$1204,A324),2))</f>
        <v>0</v>
      </c>
      <c r="AC324" s="38">
        <f>IF(B324="","",IF(M324="Completed","Yes",IF(M324="Cancelled","Yes",IF(M324="No show","Yes","No"))))</f>
        <v>0</v>
      </c>
      <c r="AD324" s="25">
        <f>IF(B324="","",IF(AE324="","",B324-AE324))</f>
        <v>0</v>
      </c>
      <c r="AF324" s="38">
        <f>IF(B324="","",IF(M324&lt;&gt;"Completed","",IF(E324="","No",IF(COUNTIFS(Appointments!$E$5:$E$1204,E324,Appointments!$B$5:$B$1204,"&gt;"&amp;B324,Appointments!$M$5:$M$1204,"&lt;&gt;Cancelled")&gt;0,"Yes","No"))))</f>
        <v>0</v>
      </c>
      <c r="AG324" s="38">
        <f>IF(B324="","",IF(I324="","",IF(D324="","",IF(COUNTIFS($I$5:$I$1204,I324,$B$5:$B$1204,B324,$D$5:$D$1204,"&lt;"&amp;V324,$V$5:$V$1204,"&gt;"&amp;D324,$M$5:$M$1204,"&lt;&gt;Cancelled")&gt;1,"Clash",""))))</f>
        <v>0</v>
      </c>
      <c r="AH324" s="39">
        <f>IF(B324="","",IF(AG324="Clash","Clash - stylist double booked",IF(I324="","Assign - no stylist yet",IF(G324="","Add - no service chosen",IF(M324="No show","No show - charge the fee?",IF(M324="Cancelled","",IF(IF(M324="Completed",AB324&lt;Y324-0.004,FALSE),"Unpaid - nothing rung up for this visit",IF(IF(B324&lt;TodayDate,M324="Booked",FALSE),"Overdue - past date, still only Booked",IF(IF(B324=TodayDate,TRUE,FALSE),"Today",IF(IF(Z324&gt;0,AA324&lt;Z324-0.004,FALSE),"Due - deposit not taken",IF(IF(B324&gt;TodayDate,B324&lt;=TodayDate+2,FALSE),"Confirm - coming up","OK")))))))))))</f>
        <v>0</v>
      </c>
    </row>
    <row r="325" spans="1:34">
      <c r="A325" s="28">
        <f>IF(B325="","",AppointmentPrefix&amp;TEXT(ROW()-4,"0000"))</f>
        <v>0</v>
      </c>
      <c r="C325" s="15">
        <f>IF(B325="","",TEXT(B325,"ddd"))</f>
        <v>0</v>
      </c>
      <c r="F325" s="15">
        <f>IF(E325="","",IFERROR(INDEX(Clients!$B$5:$B$504,MATCH(E325,Clients!$A$5:$A$504,0)),"Walk-in"))</f>
        <v>0</v>
      </c>
      <c r="H325" s="15">
        <f>IF(G325="","",IFERROR(INDEX(Services!$B$5:$B$204,MATCH(G325,Services!$A$5:$A$204,0)),"Not in Services"))</f>
        <v>0</v>
      </c>
      <c r="J325" s="15">
        <f>IF(I325="","",IFERROR(INDEX(Staff!$B$5:$B$44,MATCH(I325,Staff!$A$5:$A$44,0)),"Unassigned"))</f>
        <v>0</v>
      </c>
      <c r="S325" s="15">
        <f>IF(B325="","",TEXT(B325,"yyyy-mm"))</f>
        <v>0</v>
      </c>
      <c r="T325" s="25">
        <f>IF(B325="","",WEEKNUM(B325,2))</f>
        <v>0</v>
      </c>
      <c r="U325" s="25">
        <f>IF(B325="","",IF(K325&lt;&gt;"",K325,IFERROR(INDEX(Services!$E$5:$E$204,MATCH(G325,Services!$A$5:$A$204,0))*1,0)+IFERROR(INDEX(Services!$F$5:$F$204,MATCH(G325,Services!$A$5:$A$204,0))*1,0)))</f>
        <v>0</v>
      </c>
      <c r="V325" s="36">
        <f>IF(B325="","",IF(D325="","",D325+U325/1440))</f>
        <v>0</v>
      </c>
      <c r="W325" s="25">
        <f>IF(B325="","",IF(D325="","",HOUR(D325)))</f>
        <v>0</v>
      </c>
      <c r="X325" s="37">
        <f>IF(B325="","",ROUND(U325/60,2))</f>
        <v>0</v>
      </c>
      <c r="Y325" s="26">
        <f>IF(B325="","",IF(L325&lt;&gt;"",L325,IFERROR(INDEX(Services!$G$5:$G$204,MATCH(G325,Services!$A$5:$A$204,0))*1,0)))</f>
        <v>0</v>
      </c>
      <c r="Z325" s="26">
        <f>IF(B325="","",IF(O325&lt;&gt;"",O325,IF(Y325&gt;=DepositThreshold,ROUND(Y325*DepositPercent,2),0)))</f>
        <v>0</v>
      </c>
      <c r="AA325" s="26">
        <f>IF(B325="","",ROUND(SUMIFS(Payments!$G$5:$G$1204,Payments!$I$5:$I$1204,A325,Payments!$E$5:$E$1204,"Deposit"),2))</f>
        <v>0</v>
      </c>
      <c r="AB325" s="26">
        <f>IF(B325="","",ROUND(SUMIFS(Sales!$Y$5:$Y$1204,Sales!$C$5:$C$1204,A325),2))</f>
        <v>0</v>
      </c>
      <c r="AC325" s="38">
        <f>IF(B325="","",IF(M325="Completed","Yes",IF(M325="Cancelled","Yes",IF(M325="No show","Yes","No"))))</f>
        <v>0</v>
      </c>
      <c r="AD325" s="25">
        <f>IF(B325="","",IF(AE325="","",B325-AE325))</f>
        <v>0</v>
      </c>
      <c r="AF325" s="38">
        <f>IF(B325="","",IF(M325&lt;&gt;"Completed","",IF(E325="","No",IF(COUNTIFS(Appointments!$E$5:$E$1204,E325,Appointments!$B$5:$B$1204,"&gt;"&amp;B325,Appointments!$M$5:$M$1204,"&lt;&gt;Cancelled")&gt;0,"Yes","No"))))</f>
        <v>0</v>
      </c>
      <c r="AG325" s="38">
        <f>IF(B325="","",IF(I325="","",IF(D325="","",IF(COUNTIFS($I$5:$I$1204,I325,$B$5:$B$1204,B325,$D$5:$D$1204,"&lt;"&amp;V325,$V$5:$V$1204,"&gt;"&amp;D325,$M$5:$M$1204,"&lt;&gt;Cancelled")&gt;1,"Clash",""))))</f>
        <v>0</v>
      </c>
      <c r="AH325" s="39">
        <f>IF(B325="","",IF(AG325="Clash","Clash - stylist double booked",IF(I325="","Assign - no stylist yet",IF(G325="","Add - no service chosen",IF(M325="No show","No show - charge the fee?",IF(M325="Cancelled","",IF(IF(M325="Completed",AB325&lt;Y325-0.004,FALSE),"Unpaid - nothing rung up for this visit",IF(IF(B325&lt;TodayDate,M325="Booked",FALSE),"Overdue - past date, still only Booked",IF(IF(B325=TodayDate,TRUE,FALSE),"Today",IF(IF(Z325&gt;0,AA325&lt;Z325-0.004,FALSE),"Due - deposit not taken",IF(IF(B325&gt;TodayDate,B325&lt;=TodayDate+2,FALSE),"Confirm - coming up","OK")))))))))))</f>
        <v>0</v>
      </c>
    </row>
    <row r="326" spans="1:34">
      <c r="A326" s="28">
        <f>IF(B326="","",AppointmentPrefix&amp;TEXT(ROW()-4,"0000"))</f>
        <v>0</v>
      </c>
      <c r="C326" s="15">
        <f>IF(B326="","",TEXT(B326,"ddd"))</f>
        <v>0</v>
      </c>
      <c r="F326" s="15">
        <f>IF(E326="","",IFERROR(INDEX(Clients!$B$5:$B$504,MATCH(E326,Clients!$A$5:$A$504,0)),"Walk-in"))</f>
        <v>0</v>
      </c>
      <c r="H326" s="15">
        <f>IF(G326="","",IFERROR(INDEX(Services!$B$5:$B$204,MATCH(G326,Services!$A$5:$A$204,0)),"Not in Services"))</f>
        <v>0</v>
      </c>
      <c r="J326" s="15">
        <f>IF(I326="","",IFERROR(INDEX(Staff!$B$5:$B$44,MATCH(I326,Staff!$A$5:$A$44,0)),"Unassigned"))</f>
        <v>0</v>
      </c>
      <c r="S326" s="15">
        <f>IF(B326="","",TEXT(B326,"yyyy-mm"))</f>
        <v>0</v>
      </c>
      <c r="T326" s="25">
        <f>IF(B326="","",WEEKNUM(B326,2))</f>
        <v>0</v>
      </c>
      <c r="U326" s="25">
        <f>IF(B326="","",IF(K326&lt;&gt;"",K326,IFERROR(INDEX(Services!$E$5:$E$204,MATCH(G326,Services!$A$5:$A$204,0))*1,0)+IFERROR(INDEX(Services!$F$5:$F$204,MATCH(G326,Services!$A$5:$A$204,0))*1,0)))</f>
        <v>0</v>
      </c>
      <c r="V326" s="36">
        <f>IF(B326="","",IF(D326="","",D326+U326/1440))</f>
        <v>0</v>
      </c>
      <c r="W326" s="25">
        <f>IF(B326="","",IF(D326="","",HOUR(D326)))</f>
        <v>0</v>
      </c>
      <c r="X326" s="37">
        <f>IF(B326="","",ROUND(U326/60,2))</f>
        <v>0</v>
      </c>
      <c r="Y326" s="26">
        <f>IF(B326="","",IF(L326&lt;&gt;"",L326,IFERROR(INDEX(Services!$G$5:$G$204,MATCH(G326,Services!$A$5:$A$204,0))*1,0)))</f>
        <v>0</v>
      </c>
      <c r="Z326" s="26">
        <f>IF(B326="","",IF(O326&lt;&gt;"",O326,IF(Y326&gt;=DepositThreshold,ROUND(Y326*DepositPercent,2),0)))</f>
        <v>0</v>
      </c>
      <c r="AA326" s="26">
        <f>IF(B326="","",ROUND(SUMIFS(Payments!$G$5:$G$1204,Payments!$I$5:$I$1204,A326,Payments!$E$5:$E$1204,"Deposit"),2))</f>
        <v>0</v>
      </c>
      <c r="AB326" s="26">
        <f>IF(B326="","",ROUND(SUMIFS(Sales!$Y$5:$Y$1204,Sales!$C$5:$C$1204,A326),2))</f>
        <v>0</v>
      </c>
      <c r="AC326" s="38">
        <f>IF(B326="","",IF(M326="Completed","Yes",IF(M326="Cancelled","Yes",IF(M326="No show","Yes","No"))))</f>
        <v>0</v>
      </c>
      <c r="AD326" s="25">
        <f>IF(B326="","",IF(AE326="","",B326-AE326))</f>
        <v>0</v>
      </c>
      <c r="AF326" s="38">
        <f>IF(B326="","",IF(M326&lt;&gt;"Completed","",IF(E326="","No",IF(COUNTIFS(Appointments!$E$5:$E$1204,E326,Appointments!$B$5:$B$1204,"&gt;"&amp;B326,Appointments!$M$5:$M$1204,"&lt;&gt;Cancelled")&gt;0,"Yes","No"))))</f>
        <v>0</v>
      </c>
      <c r="AG326" s="38">
        <f>IF(B326="","",IF(I326="","",IF(D326="","",IF(COUNTIFS($I$5:$I$1204,I326,$B$5:$B$1204,B326,$D$5:$D$1204,"&lt;"&amp;V326,$V$5:$V$1204,"&gt;"&amp;D326,$M$5:$M$1204,"&lt;&gt;Cancelled")&gt;1,"Clash",""))))</f>
        <v>0</v>
      </c>
      <c r="AH326" s="39">
        <f>IF(B326="","",IF(AG326="Clash","Clash - stylist double booked",IF(I326="","Assign - no stylist yet",IF(G326="","Add - no service chosen",IF(M326="No show","No show - charge the fee?",IF(M326="Cancelled","",IF(IF(M326="Completed",AB326&lt;Y326-0.004,FALSE),"Unpaid - nothing rung up for this visit",IF(IF(B326&lt;TodayDate,M326="Booked",FALSE),"Overdue - past date, still only Booked",IF(IF(B326=TodayDate,TRUE,FALSE),"Today",IF(IF(Z326&gt;0,AA326&lt;Z326-0.004,FALSE),"Due - deposit not taken",IF(IF(B326&gt;TodayDate,B326&lt;=TodayDate+2,FALSE),"Confirm - coming up","OK")))))))))))</f>
        <v>0</v>
      </c>
    </row>
    <row r="327" spans="1:34">
      <c r="A327" s="28">
        <f>IF(B327="","",AppointmentPrefix&amp;TEXT(ROW()-4,"0000"))</f>
        <v>0</v>
      </c>
      <c r="C327" s="15">
        <f>IF(B327="","",TEXT(B327,"ddd"))</f>
        <v>0</v>
      </c>
      <c r="F327" s="15">
        <f>IF(E327="","",IFERROR(INDEX(Clients!$B$5:$B$504,MATCH(E327,Clients!$A$5:$A$504,0)),"Walk-in"))</f>
        <v>0</v>
      </c>
      <c r="H327" s="15">
        <f>IF(G327="","",IFERROR(INDEX(Services!$B$5:$B$204,MATCH(G327,Services!$A$5:$A$204,0)),"Not in Services"))</f>
        <v>0</v>
      </c>
      <c r="J327" s="15">
        <f>IF(I327="","",IFERROR(INDEX(Staff!$B$5:$B$44,MATCH(I327,Staff!$A$5:$A$44,0)),"Unassigned"))</f>
        <v>0</v>
      </c>
      <c r="S327" s="15">
        <f>IF(B327="","",TEXT(B327,"yyyy-mm"))</f>
        <v>0</v>
      </c>
      <c r="T327" s="25">
        <f>IF(B327="","",WEEKNUM(B327,2))</f>
        <v>0</v>
      </c>
      <c r="U327" s="25">
        <f>IF(B327="","",IF(K327&lt;&gt;"",K327,IFERROR(INDEX(Services!$E$5:$E$204,MATCH(G327,Services!$A$5:$A$204,0))*1,0)+IFERROR(INDEX(Services!$F$5:$F$204,MATCH(G327,Services!$A$5:$A$204,0))*1,0)))</f>
        <v>0</v>
      </c>
      <c r="V327" s="36">
        <f>IF(B327="","",IF(D327="","",D327+U327/1440))</f>
        <v>0</v>
      </c>
      <c r="W327" s="25">
        <f>IF(B327="","",IF(D327="","",HOUR(D327)))</f>
        <v>0</v>
      </c>
      <c r="X327" s="37">
        <f>IF(B327="","",ROUND(U327/60,2))</f>
        <v>0</v>
      </c>
      <c r="Y327" s="26">
        <f>IF(B327="","",IF(L327&lt;&gt;"",L327,IFERROR(INDEX(Services!$G$5:$G$204,MATCH(G327,Services!$A$5:$A$204,0))*1,0)))</f>
        <v>0</v>
      </c>
      <c r="Z327" s="26">
        <f>IF(B327="","",IF(O327&lt;&gt;"",O327,IF(Y327&gt;=DepositThreshold,ROUND(Y327*DepositPercent,2),0)))</f>
        <v>0</v>
      </c>
      <c r="AA327" s="26">
        <f>IF(B327="","",ROUND(SUMIFS(Payments!$G$5:$G$1204,Payments!$I$5:$I$1204,A327,Payments!$E$5:$E$1204,"Deposit"),2))</f>
        <v>0</v>
      </c>
      <c r="AB327" s="26">
        <f>IF(B327="","",ROUND(SUMIFS(Sales!$Y$5:$Y$1204,Sales!$C$5:$C$1204,A327),2))</f>
        <v>0</v>
      </c>
      <c r="AC327" s="38">
        <f>IF(B327="","",IF(M327="Completed","Yes",IF(M327="Cancelled","Yes",IF(M327="No show","Yes","No"))))</f>
        <v>0</v>
      </c>
      <c r="AD327" s="25">
        <f>IF(B327="","",IF(AE327="","",B327-AE327))</f>
        <v>0</v>
      </c>
      <c r="AF327" s="38">
        <f>IF(B327="","",IF(M327&lt;&gt;"Completed","",IF(E327="","No",IF(COUNTIFS(Appointments!$E$5:$E$1204,E327,Appointments!$B$5:$B$1204,"&gt;"&amp;B327,Appointments!$M$5:$M$1204,"&lt;&gt;Cancelled")&gt;0,"Yes","No"))))</f>
        <v>0</v>
      </c>
      <c r="AG327" s="38">
        <f>IF(B327="","",IF(I327="","",IF(D327="","",IF(COUNTIFS($I$5:$I$1204,I327,$B$5:$B$1204,B327,$D$5:$D$1204,"&lt;"&amp;V327,$V$5:$V$1204,"&gt;"&amp;D327,$M$5:$M$1204,"&lt;&gt;Cancelled")&gt;1,"Clash",""))))</f>
        <v>0</v>
      </c>
      <c r="AH327" s="39">
        <f>IF(B327="","",IF(AG327="Clash","Clash - stylist double booked",IF(I327="","Assign - no stylist yet",IF(G327="","Add - no service chosen",IF(M327="No show","No show - charge the fee?",IF(M327="Cancelled","",IF(IF(M327="Completed",AB327&lt;Y327-0.004,FALSE),"Unpaid - nothing rung up for this visit",IF(IF(B327&lt;TodayDate,M327="Booked",FALSE),"Overdue - past date, still only Booked",IF(IF(B327=TodayDate,TRUE,FALSE),"Today",IF(IF(Z327&gt;0,AA327&lt;Z327-0.004,FALSE),"Due - deposit not taken",IF(IF(B327&gt;TodayDate,B327&lt;=TodayDate+2,FALSE),"Confirm - coming up","OK")))))))))))</f>
        <v>0</v>
      </c>
    </row>
    <row r="328" spans="1:34">
      <c r="A328" s="28">
        <f>IF(B328="","",AppointmentPrefix&amp;TEXT(ROW()-4,"0000"))</f>
        <v>0</v>
      </c>
      <c r="C328" s="15">
        <f>IF(B328="","",TEXT(B328,"ddd"))</f>
        <v>0</v>
      </c>
      <c r="F328" s="15">
        <f>IF(E328="","",IFERROR(INDEX(Clients!$B$5:$B$504,MATCH(E328,Clients!$A$5:$A$504,0)),"Walk-in"))</f>
        <v>0</v>
      </c>
      <c r="H328" s="15">
        <f>IF(G328="","",IFERROR(INDEX(Services!$B$5:$B$204,MATCH(G328,Services!$A$5:$A$204,0)),"Not in Services"))</f>
        <v>0</v>
      </c>
      <c r="J328" s="15">
        <f>IF(I328="","",IFERROR(INDEX(Staff!$B$5:$B$44,MATCH(I328,Staff!$A$5:$A$44,0)),"Unassigned"))</f>
        <v>0</v>
      </c>
      <c r="S328" s="15">
        <f>IF(B328="","",TEXT(B328,"yyyy-mm"))</f>
        <v>0</v>
      </c>
      <c r="T328" s="25">
        <f>IF(B328="","",WEEKNUM(B328,2))</f>
        <v>0</v>
      </c>
      <c r="U328" s="25">
        <f>IF(B328="","",IF(K328&lt;&gt;"",K328,IFERROR(INDEX(Services!$E$5:$E$204,MATCH(G328,Services!$A$5:$A$204,0))*1,0)+IFERROR(INDEX(Services!$F$5:$F$204,MATCH(G328,Services!$A$5:$A$204,0))*1,0)))</f>
        <v>0</v>
      </c>
      <c r="V328" s="36">
        <f>IF(B328="","",IF(D328="","",D328+U328/1440))</f>
        <v>0</v>
      </c>
      <c r="W328" s="25">
        <f>IF(B328="","",IF(D328="","",HOUR(D328)))</f>
        <v>0</v>
      </c>
      <c r="X328" s="37">
        <f>IF(B328="","",ROUND(U328/60,2))</f>
        <v>0</v>
      </c>
      <c r="Y328" s="26">
        <f>IF(B328="","",IF(L328&lt;&gt;"",L328,IFERROR(INDEX(Services!$G$5:$G$204,MATCH(G328,Services!$A$5:$A$204,0))*1,0)))</f>
        <v>0</v>
      </c>
      <c r="Z328" s="26">
        <f>IF(B328="","",IF(O328&lt;&gt;"",O328,IF(Y328&gt;=DepositThreshold,ROUND(Y328*DepositPercent,2),0)))</f>
        <v>0</v>
      </c>
      <c r="AA328" s="26">
        <f>IF(B328="","",ROUND(SUMIFS(Payments!$G$5:$G$1204,Payments!$I$5:$I$1204,A328,Payments!$E$5:$E$1204,"Deposit"),2))</f>
        <v>0</v>
      </c>
      <c r="AB328" s="26">
        <f>IF(B328="","",ROUND(SUMIFS(Sales!$Y$5:$Y$1204,Sales!$C$5:$C$1204,A328),2))</f>
        <v>0</v>
      </c>
      <c r="AC328" s="38">
        <f>IF(B328="","",IF(M328="Completed","Yes",IF(M328="Cancelled","Yes",IF(M328="No show","Yes","No"))))</f>
        <v>0</v>
      </c>
      <c r="AD328" s="25">
        <f>IF(B328="","",IF(AE328="","",B328-AE328))</f>
        <v>0</v>
      </c>
      <c r="AF328" s="38">
        <f>IF(B328="","",IF(M328&lt;&gt;"Completed","",IF(E328="","No",IF(COUNTIFS(Appointments!$E$5:$E$1204,E328,Appointments!$B$5:$B$1204,"&gt;"&amp;B328,Appointments!$M$5:$M$1204,"&lt;&gt;Cancelled")&gt;0,"Yes","No"))))</f>
        <v>0</v>
      </c>
      <c r="AG328" s="38">
        <f>IF(B328="","",IF(I328="","",IF(D328="","",IF(COUNTIFS($I$5:$I$1204,I328,$B$5:$B$1204,B328,$D$5:$D$1204,"&lt;"&amp;V328,$V$5:$V$1204,"&gt;"&amp;D328,$M$5:$M$1204,"&lt;&gt;Cancelled")&gt;1,"Clash",""))))</f>
        <v>0</v>
      </c>
      <c r="AH328" s="39">
        <f>IF(B328="","",IF(AG328="Clash","Clash - stylist double booked",IF(I328="","Assign - no stylist yet",IF(G328="","Add - no service chosen",IF(M328="No show","No show - charge the fee?",IF(M328="Cancelled","",IF(IF(M328="Completed",AB328&lt;Y328-0.004,FALSE),"Unpaid - nothing rung up for this visit",IF(IF(B328&lt;TodayDate,M328="Booked",FALSE),"Overdue - past date, still only Booked",IF(IF(B328=TodayDate,TRUE,FALSE),"Today",IF(IF(Z328&gt;0,AA328&lt;Z328-0.004,FALSE),"Due - deposit not taken",IF(IF(B328&gt;TodayDate,B328&lt;=TodayDate+2,FALSE),"Confirm - coming up","OK")))))))))))</f>
        <v>0</v>
      </c>
    </row>
    <row r="329" spans="1:34">
      <c r="A329" s="28">
        <f>IF(B329="","",AppointmentPrefix&amp;TEXT(ROW()-4,"0000"))</f>
        <v>0</v>
      </c>
      <c r="C329" s="15">
        <f>IF(B329="","",TEXT(B329,"ddd"))</f>
        <v>0</v>
      </c>
      <c r="F329" s="15">
        <f>IF(E329="","",IFERROR(INDEX(Clients!$B$5:$B$504,MATCH(E329,Clients!$A$5:$A$504,0)),"Walk-in"))</f>
        <v>0</v>
      </c>
      <c r="H329" s="15">
        <f>IF(G329="","",IFERROR(INDEX(Services!$B$5:$B$204,MATCH(G329,Services!$A$5:$A$204,0)),"Not in Services"))</f>
        <v>0</v>
      </c>
      <c r="J329" s="15">
        <f>IF(I329="","",IFERROR(INDEX(Staff!$B$5:$B$44,MATCH(I329,Staff!$A$5:$A$44,0)),"Unassigned"))</f>
        <v>0</v>
      </c>
      <c r="S329" s="15">
        <f>IF(B329="","",TEXT(B329,"yyyy-mm"))</f>
        <v>0</v>
      </c>
      <c r="T329" s="25">
        <f>IF(B329="","",WEEKNUM(B329,2))</f>
        <v>0</v>
      </c>
      <c r="U329" s="25">
        <f>IF(B329="","",IF(K329&lt;&gt;"",K329,IFERROR(INDEX(Services!$E$5:$E$204,MATCH(G329,Services!$A$5:$A$204,0))*1,0)+IFERROR(INDEX(Services!$F$5:$F$204,MATCH(G329,Services!$A$5:$A$204,0))*1,0)))</f>
        <v>0</v>
      </c>
      <c r="V329" s="36">
        <f>IF(B329="","",IF(D329="","",D329+U329/1440))</f>
        <v>0</v>
      </c>
      <c r="W329" s="25">
        <f>IF(B329="","",IF(D329="","",HOUR(D329)))</f>
        <v>0</v>
      </c>
      <c r="X329" s="37">
        <f>IF(B329="","",ROUND(U329/60,2))</f>
        <v>0</v>
      </c>
      <c r="Y329" s="26">
        <f>IF(B329="","",IF(L329&lt;&gt;"",L329,IFERROR(INDEX(Services!$G$5:$G$204,MATCH(G329,Services!$A$5:$A$204,0))*1,0)))</f>
        <v>0</v>
      </c>
      <c r="Z329" s="26">
        <f>IF(B329="","",IF(O329&lt;&gt;"",O329,IF(Y329&gt;=DepositThreshold,ROUND(Y329*DepositPercent,2),0)))</f>
        <v>0</v>
      </c>
      <c r="AA329" s="26">
        <f>IF(B329="","",ROUND(SUMIFS(Payments!$G$5:$G$1204,Payments!$I$5:$I$1204,A329,Payments!$E$5:$E$1204,"Deposit"),2))</f>
        <v>0</v>
      </c>
      <c r="AB329" s="26">
        <f>IF(B329="","",ROUND(SUMIFS(Sales!$Y$5:$Y$1204,Sales!$C$5:$C$1204,A329),2))</f>
        <v>0</v>
      </c>
      <c r="AC329" s="38">
        <f>IF(B329="","",IF(M329="Completed","Yes",IF(M329="Cancelled","Yes",IF(M329="No show","Yes","No"))))</f>
        <v>0</v>
      </c>
      <c r="AD329" s="25">
        <f>IF(B329="","",IF(AE329="","",B329-AE329))</f>
        <v>0</v>
      </c>
      <c r="AF329" s="38">
        <f>IF(B329="","",IF(M329&lt;&gt;"Completed","",IF(E329="","No",IF(COUNTIFS(Appointments!$E$5:$E$1204,E329,Appointments!$B$5:$B$1204,"&gt;"&amp;B329,Appointments!$M$5:$M$1204,"&lt;&gt;Cancelled")&gt;0,"Yes","No"))))</f>
        <v>0</v>
      </c>
      <c r="AG329" s="38">
        <f>IF(B329="","",IF(I329="","",IF(D329="","",IF(COUNTIFS($I$5:$I$1204,I329,$B$5:$B$1204,B329,$D$5:$D$1204,"&lt;"&amp;V329,$V$5:$V$1204,"&gt;"&amp;D329,$M$5:$M$1204,"&lt;&gt;Cancelled")&gt;1,"Clash",""))))</f>
        <v>0</v>
      </c>
      <c r="AH329" s="39">
        <f>IF(B329="","",IF(AG329="Clash","Clash - stylist double booked",IF(I329="","Assign - no stylist yet",IF(G329="","Add - no service chosen",IF(M329="No show","No show - charge the fee?",IF(M329="Cancelled","",IF(IF(M329="Completed",AB329&lt;Y329-0.004,FALSE),"Unpaid - nothing rung up for this visit",IF(IF(B329&lt;TodayDate,M329="Booked",FALSE),"Overdue - past date, still only Booked",IF(IF(B329=TodayDate,TRUE,FALSE),"Today",IF(IF(Z329&gt;0,AA329&lt;Z329-0.004,FALSE),"Due - deposit not taken",IF(IF(B329&gt;TodayDate,B329&lt;=TodayDate+2,FALSE),"Confirm - coming up","OK")))))))))))</f>
        <v>0</v>
      </c>
    </row>
    <row r="330" spans="1:34">
      <c r="A330" s="28">
        <f>IF(B330="","",AppointmentPrefix&amp;TEXT(ROW()-4,"0000"))</f>
        <v>0</v>
      </c>
      <c r="C330" s="15">
        <f>IF(B330="","",TEXT(B330,"ddd"))</f>
        <v>0</v>
      </c>
      <c r="F330" s="15">
        <f>IF(E330="","",IFERROR(INDEX(Clients!$B$5:$B$504,MATCH(E330,Clients!$A$5:$A$504,0)),"Walk-in"))</f>
        <v>0</v>
      </c>
      <c r="H330" s="15">
        <f>IF(G330="","",IFERROR(INDEX(Services!$B$5:$B$204,MATCH(G330,Services!$A$5:$A$204,0)),"Not in Services"))</f>
        <v>0</v>
      </c>
      <c r="J330" s="15">
        <f>IF(I330="","",IFERROR(INDEX(Staff!$B$5:$B$44,MATCH(I330,Staff!$A$5:$A$44,0)),"Unassigned"))</f>
        <v>0</v>
      </c>
      <c r="S330" s="15">
        <f>IF(B330="","",TEXT(B330,"yyyy-mm"))</f>
        <v>0</v>
      </c>
      <c r="T330" s="25">
        <f>IF(B330="","",WEEKNUM(B330,2))</f>
        <v>0</v>
      </c>
      <c r="U330" s="25">
        <f>IF(B330="","",IF(K330&lt;&gt;"",K330,IFERROR(INDEX(Services!$E$5:$E$204,MATCH(G330,Services!$A$5:$A$204,0))*1,0)+IFERROR(INDEX(Services!$F$5:$F$204,MATCH(G330,Services!$A$5:$A$204,0))*1,0)))</f>
        <v>0</v>
      </c>
      <c r="V330" s="36">
        <f>IF(B330="","",IF(D330="","",D330+U330/1440))</f>
        <v>0</v>
      </c>
      <c r="W330" s="25">
        <f>IF(B330="","",IF(D330="","",HOUR(D330)))</f>
        <v>0</v>
      </c>
      <c r="X330" s="37">
        <f>IF(B330="","",ROUND(U330/60,2))</f>
        <v>0</v>
      </c>
      <c r="Y330" s="26">
        <f>IF(B330="","",IF(L330&lt;&gt;"",L330,IFERROR(INDEX(Services!$G$5:$G$204,MATCH(G330,Services!$A$5:$A$204,0))*1,0)))</f>
        <v>0</v>
      </c>
      <c r="Z330" s="26">
        <f>IF(B330="","",IF(O330&lt;&gt;"",O330,IF(Y330&gt;=DepositThreshold,ROUND(Y330*DepositPercent,2),0)))</f>
        <v>0</v>
      </c>
      <c r="AA330" s="26">
        <f>IF(B330="","",ROUND(SUMIFS(Payments!$G$5:$G$1204,Payments!$I$5:$I$1204,A330,Payments!$E$5:$E$1204,"Deposit"),2))</f>
        <v>0</v>
      </c>
      <c r="AB330" s="26">
        <f>IF(B330="","",ROUND(SUMIFS(Sales!$Y$5:$Y$1204,Sales!$C$5:$C$1204,A330),2))</f>
        <v>0</v>
      </c>
      <c r="AC330" s="38">
        <f>IF(B330="","",IF(M330="Completed","Yes",IF(M330="Cancelled","Yes",IF(M330="No show","Yes","No"))))</f>
        <v>0</v>
      </c>
      <c r="AD330" s="25">
        <f>IF(B330="","",IF(AE330="","",B330-AE330))</f>
        <v>0</v>
      </c>
      <c r="AF330" s="38">
        <f>IF(B330="","",IF(M330&lt;&gt;"Completed","",IF(E330="","No",IF(COUNTIFS(Appointments!$E$5:$E$1204,E330,Appointments!$B$5:$B$1204,"&gt;"&amp;B330,Appointments!$M$5:$M$1204,"&lt;&gt;Cancelled")&gt;0,"Yes","No"))))</f>
        <v>0</v>
      </c>
      <c r="AG330" s="38">
        <f>IF(B330="","",IF(I330="","",IF(D330="","",IF(COUNTIFS($I$5:$I$1204,I330,$B$5:$B$1204,B330,$D$5:$D$1204,"&lt;"&amp;V330,$V$5:$V$1204,"&gt;"&amp;D330,$M$5:$M$1204,"&lt;&gt;Cancelled")&gt;1,"Clash",""))))</f>
        <v>0</v>
      </c>
      <c r="AH330" s="39">
        <f>IF(B330="","",IF(AG330="Clash","Clash - stylist double booked",IF(I330="","Assign - no stylist yet",IF(G330="","Add - no service chosen",IF(M330="No show","No show - charge the fee?",IF(M330="Cancelled","",IF(IF(M330="Completed",AB330&lt;Y330-0.004,FALSE),"Unpaid - nothing rung up for this visit",IF(IF(B330&lt;TodayDate,M330="Booked",FALSE),"Overdue - past date, still only Booked",IF(IF(B330=TodayDate,TRUE,FALSE),"Today",IF(IF(Z330&gt;0,AA330&lt;Z330-0.004,FALSE),"Due - deposit not taken",IF(IF(B330&gt;TodayDate,B330&lt;=TodayDate+2,FALSE),"Confirm - coming up","OK")))))))))))</f>
        <v>0</v>
      </c>
    </row>
    <row r="331" spans="1:34">
      <c r="A331" s="28">
        <f>IF(B331="","",AppointmentPrefix&amp;TEXT(ROW()-4,"0000"))</f>
        <v>0</v>
      </c>
      <c r="C331" s="15">
        <f>IF(B331="","",TEXT(B331,"ddd"))</f>
        <v>0</v>
      </c>
      <c r="F331" s="15">
        <f>IF(E331="","",IFERROR(INDEX(Clients!$B$5:$B$504,MATCH(E331,Clients!$A$5:$A$504,0)),"Walk-in"))</f>
        <v>0</v>
      </c>
      <c r="H331" s="15">
        <f>IF(G331="","",IFERROR(INDEX(Services!$B$5:$B$204,MATCH(G331,Services!$A$5:$A$204,0)),"Not in Services"))</f>
        <v>0</v>
      </c>
      <c r="J331" s="15">
        <f>IF(I331="","",IFERROR(INDEX(Staff!$B$5:$B$44,MATCH(I331,Staff!$A$5:$A$44,0)),"Unassigned"))</f>
        <v>0</v>
      </c>
      <c r="S331" s="15">
        <f>IF(B331="","",TEXT(B331,"yyyy-mm"))</f>
        <v>0</v>
      </c>
      <c r="T331" s="25">
        <f>IF(B331="","",WEEKNUM(B331,2))</f>
        <v>0</v>
      </c>
      <c r="U331" s="25">
        <f>IF(B331="","",IF(K331&lt;&gt;"",K331,IFERROR(INDEX(Services!$E$5:$E$204,MATCH(G331,Services!$A$5:$A$204,0))*1,0)+IFERROR(INDEX(Services!$F$5:$F$204,MATCH(G331,Services!$A$5:$A$204,0))*1,0)))</f>
        <v>0</v>
      </c>
      <c r="V331" s="36">
        <f>IF(B331="","",IF(D331="","",D331+U331/1440))</f>
        <v>0</v>
      </c>
      <c r="W331" s="25">
        <f>IF(B331="","",IF(D331="","",HOUR(D331)))</f>
        <v>0</v>
      </c>
      <c r="X331" s="37">
        <f>IF(B331="","",ROUND(U331/60,2))</f>
        <v>0</v>
      </c>
      <c r="Y331" s="26">
        <f>IF(B331="","",IF(L331&lt;&gt;"",L331,IFERROR(INDEX(Services!$G$5:$G$204,MATCH(G331,Services!$A$5:$A$204,0))*1,0)))</f>
        <v>0</v>
      </c>
      <c r="Z331" s="26">
        <f>IF(B331="","",IF(O331&lt;&gt;"",O331,IF(Y331&gt;=DepositThreshold,ROUND(Y331*DepositPercent,2),0)))</f>
        <v>0</v>
      </c>
      <c r="AA331" s="26">
        <f>IF(B331="","",ROUND(SUMIFS(Payments!$G$5:$G$1204,Payments!$I$5:$I$1204,A331,Payments!$E$5:$E$1204,"Deposit"),2))</f>
        <v>0</v>
      </c>
      <c r="AB331" s="26">
        <f>IF(B331="","",ROUND(SUMIFS(Sales!$Y$5:$Y$1204,Sales!$C$5:$C$1204,A331),2))</f>
        <v>0</v>
      </c>
      <c r="AC331" s="38">
        <f>IF(B331="","",IF(M331="Completed","Yes",IF(M331="Cancelled","Yes",IF(M331="No show","Yes","No"))))</f>
        <v>0</v>
      </c>
      <c r="AD331" s="25">
        <f>IF(B331="","",IF(AE331="","",B331-AE331))</f>
        <v>0</v>
      </c>
      <c r="AF331" s="38">
        <f>IF(B331="","",IF(M331&lt;&gt;"Completed","",IF(E331="","No",IF(COUNTIFS(Appointments!$E$5:$E$1204,E331,Appointments!$B$5:$B$1204,"&gt;"&amp;B331,Appointments!$M$5:$M$1204,"&lt;&gt;Cancelled")&gt;0,"Yes","No"))))</f>
        <v>0</v>
      </c>
      <c r="AG331" s="38">
        <f>IF(B331="","",IF(I331="","",IF(D331="","",IF(COUNTIFS($I$5:$I$1204,I331,$B$5:$B$1204,B331,$D$5:$D$1204,"&lt;"&amp;V331,$V$5:$V$1204,"&gt;"&amp;D331,$M$5:$M$1204,"&lt;&gt;Cancelled")&gt;1,"Clash",""))))</f>
        <v>0</v>
      </c>
      <c r="AH331" s="39">
        <f>IF(B331="","",IF(AG331="Clash","Clash - stylist double booked",IF(I331="","Assign - no stylist yet",IF(G331="","Add - no service chosen",IF(M331="No show","No show - charge the fee?",IF(M331="Cancelled","",IF(IF(M331="Completed",AB331&lt;Y331-0.004,FALSE),"Unpaid - nothing rung up for this visit",IF(IF(B331&lt;TodayDate,M331="Booked",FALSE),"Overdue - past date, still only Booked",IF(IF(B331=TodayDate,TRUE,FALSE),"Today",IF(IF(Z331&gt;0,AA331&lt;Z331-0.004,FALSE),"Due - deposit not taken",IF(IF(B331&gt;TodayDate,B331&lt;=TodayDate+2,FALSE),"Confirm - coming up","OK")))))))))))</f>
        <v>0</v>
      </c>
    </row>
    <row r="332" spans="1:34">
      <c r="A332" s="28">
        <f>IF(B332="","",AppointmentPrefix&amp;TEXT(ROW()-4,"0000"))</f>
        <v>0</v>
      </c>
      <c r="C332" s="15">
        <f>IF(B332="","",TEXT(B332,"ddd"))</f>
        <v>0</v>
      </c>
      <c r="F332" s="15">
        <f>IF(E332="","",IFERROR(INDEX(Clients!$B$5:$B$504,MATCH(E332,Clients!$A$5:$A$504,0)),"Walk-in"))</f>
        <v>0</v>
      </c>
      <c r="H332" s="15">
        <f>IF(G332="","",IFERROR(INDEX(Services!$B$5:$B$204,MATCH(G332,Services!$A$5:$A$204,0)),"Not in Services"))</f>
        <v>0</v>
      </c>
      <c r="J332" s="15">
        <f>IF(I332="","",IFERROR(INDEX(Staff!$B$5:$B$44,MATCH(I332,Staff!$A$5:$A$44,0)),"Unassigned"))</f>
        <v>0</v>
      </c>
      <c r="S332" s="15">
        <f>IF(B332="","",TEXT(B332,"yyyy-mm"))</f>
        <v>0</v>
      </c>
      <c r="T332" s="25">
        <f>IF(B332="","",WEEKNUM(B332,2))</f>
        <v>0</v>
      </c>
      <c r="U332" s="25">
        <f>IF(B332="","",IF(K332&lt;&gt;"",K332,IFERROR(INDEX(Services!$E$5:$E$204,MATCH(G332,Services!$A$5:$A$204,0))*1,0)+IFERROR(INDEX(Services!$F$5:$F$204,MATCH(G332,Services!$A$5:$A$204,0))*1,0)))</f>
        <v>0</v>
      </c>
      <c r="V332" s="36">
        <f>IF(B332="","",IF(D332="","",D332+U332/1440))</f>
        <v>0</v>
      </c>
      <c r="W332" s="25">
        <f>IF(B332="","",IF(D332="","",HOUR(D332)))</f>
        <v>0</v>
      </c>
      <c r="X332" s="37">
        <f>IF(B332="","",ROUND(U332/60,2))</f>
        <v>0</v>
      </c>
      <c r="Y332" s="26">
        <f>IF(B332="","",IF(L332&lt;&gt;"",L332,IFERROR(INDEX(Services!$G$5:$G$204,MATCH(G332,Services!$A$5:$A$204,0))*1,0)))</f>
        <v>0</v>
      </c>
      <c r="Z332" s="26">
        <f>IF(B332="","",IF(O332&lt;&gt;"",O332,IF(Y332&gt;=DepositThreshold,ROUND(Y332*DepositPercent,2),0)))</f>
        <v>0</v>
      </c>
      <c r="AA332" s="26">
        <f>IF(B332="","",ROUND(SUMIFS(Payments!$G$5:$G$1204,Payments!$I$5:$I$1204,A332,Payments!$E$5:$E$1204,"Deposit"),2))</f>
        <v>0</v>
      </c>
      <c r="AB332" s="26">
        <f>IF(B332="","",ROUND(SUMIFS(Sales!$Y$5:$Y$1204,Sales!$C$5:$C$1204,A332),2))</f>
        <v>0</v>
      </c>
      <c r="AC332" s="38">
        <f>IF(B332="","",IF(M332="Completed","Yes",IF(M332="Cancelled","Yes",IF(M332="No show","Yes","No"))))</f>
        <v>0</v>
      </c>
      <c r="AD332" s="25">
        <f>IF(B332="","",IF(AE332="","",B332-AE332))</f>
        <v>0</v>
      </c>
      <c r="AF332" s="38">
        <f>IF(B332="","",IF(M332&lt;&gt;"Completed","",IF(E332="","No",IF(COUNTIFS(Appointments!$E$5:$E$1204,E332,Appointments!$B$5:$B$1204,"&gt;"&amp;B332,Appointments!$M$5:$M$1204,"&lt;&gt;Cancelled")&gt;0,"Yes","No"))))</f>
        <v>0</v>
      </c>
      <c r="AG332" s="38">
        <f>IF(B332="","",IF(I332="","",IF(D332="","",IF(COUNTIFS($I$5:$I$1204,I332,$B$5:$B$1204,B332,$D$5:$D$1204,"&lt;"&amp;V332,$V$5:$V$1204,"&gt;"&amp;D332,$M$5:$M$1204,"&lt;&gt;Cancelled")&gt;1,"Clash",""))))</f>
        <v>0</v>
      </c>
      <c r="AH332" s="39">
        <f>IF(B332="","",IF(AG332="Clash","Clash - stylist double booked",IF(I332="","Assign - no stylist yet",IF(G332="","Add - no service chosen",IF(M332="No show","No show - charge the fee?",IF(M332="Cancelled","",IF(IF(M332="Completed",AB332&lt;Y332-0.004,FALSE),"Unpaid - nothing rung up for this visit",IF(IF(B332&lt;TodayDate,M332="Booked",FALSE),"Overdue - past date, still only Booked",IF(IF(B332=TodayDate,TRUE,FALSE),"Today",IF(IF(Z332&gt;0,AA332&lt;Z332-0.004,FALSE),"Due - deposit not taken",IF(IF(B332&gt;TodayDate,B332&lt;=TodayDate+2,FALSE),"Confirm - coming up","OK")))))))))))</f>
        <v>0</v>
      </c>
    </row>
    <row r="333" spans="1:34">
      <c r="A333" s="28">
        <f>IF(B333="","",AppointmentPrefix&amp;TEXT(ROW()-4,"0000"))</f>
        <v>0</v>
      </c>
      <c r="C333" s="15">
        <f>IF(B333="","",TEXT(B333,"ddd"))</f>
        <v>0</v>
      </c>
      <c r="F333" s="15">
        <f>IF(E333="","",IFERROR(INDEX(Clients!$B$5:$B$504,MATCH(E333,Clients!$A$5:$A$504,0)),"Walk-in"))</f>
        <v>0</v>
      </c>
      <c r="H333" s="15">
        <f>IF(G333="","",IFERROR(INDEX(Services!$B$5:$B$204,MATCH(G333,Services!$A$5:$A$204,0)),"Not in Services"))</f>
        <v>0</v>
      </c>
      <c r="J333" s="15">
        <f>IF(I333="","",IFERROR(INDEX(Staff!$B$5:$B$44,MATCH(I333,Staff!$A$5:$A$44,0)),"Unassigned"))</f>
        <v>0</v>
      </c>
      <c r="S333" s="15">
        <f>IF(B333="","",TEXT(B333,"yyyy-mm"))</f>
        <v>0</v>
      </c>
      <c r="T333" s="25">
        <f>IF(B333="","",WEEKNUM(B333,2))</f>
        <v>0</v>
      </c>
      <c r="U333" s="25">
        <f>IF(B333="","",IF(K333&lt;&gt;"",K333,IFERROR(INDEX(Services!$E$5:$E$204,MATCH(G333,Services!$A$5:$A$204,0))*1,0)+IFERROR(INDEX(Services!$F$5:$F$204,MATCH(G333,Services!$A$5:$A$204,0))*1,0)))</f>
        <v>0</v>
      </c>
      <c r="V333" s="36">
        <f>IF(B333="","",IF(D333="","",D333+U333/1440))</f>
        <v>0</v>
      </c>
      <c r="W333" s="25">
        <f>IF(B333="","",IF(D333="","",HOUR(D333)))</f>
        <v>0</v>
      </c>
      <c r="X333" s="37">
        <f>IF(B333="","",ROUND(U333/60,2))</f>
        <v>0</v>
      </c>
      <c r="Y333" s="26">
        <f>IF(B333="","",IF(L333&lt;&gt;"",L333,IFERROR(INDEX(Services!$G$5:$G$204,MATCH(G333,Services!$A$5:$A$204,0))*1,0)))</f>
        <v>0</v>
      </c>
      <c r="Z333" s="26">
        <f>IF(B333="","",IF(O333&lt;&gt;"",O333,IF(Y333&gt;=DepositThreshold,ROUND(Y333*DepositPercent,2),0)))</f>
        <v>0</v>
      </c>
      <c r="AA333" s="26">
        <f>IF(B333="","",ROUND(SUMIFS(Payments!$G$5:$G$1204,Payments!$I$5:$I$1204,A333,Payments!$E$5:$E$1204,"Deposit"),2))</f>
        <v>0</v>
      </c>
      <c r="AB333" s="26">
        <f>IF(B333="","",ROUND(SUMIFS(Sales!$Y$5:$Y$1204,Sales!$C$5:$C$1204,A333),2))</f>
        <v>0</v>
      </c>
      <c r="AC333" s="38">
        <f>IF(B333="","",IF(M333="Completed","Yes",IF(M333="Cancelled","Yes",IF(M333="No show","Yes","No"))))</f>
        <v>0</v>
      </c>
      <c r="AD333" s="25">
        <f>IF(B333="","",IF(AE333="","",B333-AE333))</f>
        <v>0</v>
      </c>
      <c r="AF333" s="38">
        <f>IF(B333="","",IF(M333&lt;&gt;"Completed","",IF(E333="","No",IF(COUNTIFS(Appointments!$E$5:$E$1204,E333,Appointments!$B$5:$B$1204,"&gt;"&amp;B333,Appointments!$M$5:$M$1204,"&lt;&gt;Cancelled")&gt;0,"Yes","No"))))</f>
        <v>0</v>
      </c>
      <c r="AG333" s="38">
        <f>IF(B333="","",IF(I333="","",IF(D333="","",IF(COUNTIFS($I$5:$I$1204,I333,$B$5:$B$1204,B333,$D$5:$D$1204,"&lt;"&amp;V333,$V$5:$V$1204,"&gt;"&amp;D333,$M$5:$M$1204,"&lt;&gt;Cancelled")&gt;1,"Clash",""))))</f>
        <v>0</v>
      </c>
      <c r="AH333" s="39">
        <f>IF(B333="","",IF(AG333="Clash","Clash - stylist double booked",IF(I333="","Assign - no stylist yet",IF(G333="","Add - no service chosen",IF(M333="No show","No show - charge the fee?",IF(M333="Cancelled","",IF(IF(M333="Completed",AB333&lt;Y333-0.004,FALSE),"Unpaid - nothing rung up for this visit",IF(IF(B333&lt;TodayDate,M333="Booked",FALSE),"Overdue - past date, still only Booked",IF(IF(B333=TodayDate,TRUE,FALSE),"Today",IF(IF(Z333&gt;0,AA333&lt;Z333-0.004,FALSE),"Due - deposit not taken",IF(IF(B333&gt;TodayDate,B333&lt;=TodayDate+2,FALSE),"Confirm - coming up","OK")))))))))))</f>
        <v>0</v>
      </c>
    </row>
    <row r="334" spans="1:34">
      <c r="A334" s="28">
        <f>IF(B334="","",AppointmentPrefix&amp;TEXT(ROW()-4,"0000"))</f>
        <v>0</v>
      </c>
      <c r="C334" s="15">
        <f>IF(B334="","",TEXT(B334,"ddd"))</f>
        <v>0</v>
      </c>
      <c r="F334" s="15">
        <f>IF(E334="","",IFERROR(INDEX(Clients!$B$5:$B$504,MATCH(E334,Clients!$A$5:$A$504,0)),"Walk-in"))</f>
        <v>0</v>
      </c>
      <c r="H334" s="15">
        <f>IF(G334="","",IFERROR(INDEX(Services!$B$5:$B$204,MATCH(G334,Services!$A$5:$A$204,0)),"Not in Services"))</f>
        <v>0</v>
      </c>
      <c r="J334" s="15">
        <f>IF(I334="","",IFERROR(INDEX(Staff!$B$5:$B$44,MATCH(I334,Staff!$A$5:$A$44,0)),"Unassigned"))</f>
        <v>0</v>
      </c>
      <c r="S334" s="15">
        <f>IF(B334="","",TEXT(B334,"yyyy-mm"))</f>
        <v>0</v>
      </c>
      <c r="T334" s="25">
        <f>IF(B334="","",WEEKNUM(B334,2))</f>
        <v>0</v>
      </c>
      <c r="U334" s="25">
        <f>IF(B334="","",IF(K334&lt;&gt;"",K334,IFERROR(INDEX(Services!$E$5:$E$204,MATCH(G334,Services!$A$5:$A$204,0))*1,0)+IFERROR(INDEX(Services!$F$5:$F$204,MATCH(G334,Services!$A$5:$A$204,0))*1,0)))</f>
        <v>0</v>
      </c>
      <c r="V334" s="36">
        <f>IF(B334="","",IF(D334="","",D334+U334/1440))</f>
        <v>0</v>
      </c>
      <c r="W334" s="25">
        <f>IF(B334="","",IF(D334="","",HOUR(D334)))</f>
        <v>0</v>
      </c>
      <c r="X334" s="37">
        <f>IF(B334="","",ROUND(U334/60,2))</f>
        <v>0</v>
      </c>
      <c r="Y334" s="26">
        <f>IF(B334="","",IF(L334&lt;&gt;"",L334,IFERROR(INDEX(Services!$G$5:$G$204,MATCH(G334,Services!$A$5:$A$204,0))*1,0)))</f>
        <v>0</v>
      </c>
      <c r="Z334" s="26">
        <f>IF(B334="","",IF(O334&lt;&gt;"",O334,IF(Y334&gt;=DepositThreshold,ROUND(Y334*DepositPercent,2),0)))</f>
        <v>0</v>
      </c>
      <c r="AA334" s="26">
        <f>IF(B334="","",ROUND(SUMIFS(Payments!$G$5:$G$1204,Payments!$I$5:$I$1204,A334,Payments!$E$5:$E$1204,"Deposit"),2))</f>
        <v>0</v>
      </c>
      <c r="AB334" s="26">
        <f>IF(B334="","",ROUND(SUMIFS(Sales!$Y$5:$Y$1204,Sales!$C$5:$C$1204,A334),2))</f>
        <v>0</v>
      </c>
      <c r="AC334" s="38">
        <f>IF(B334="","",IF(M334="Completed","Yes",IF(M334="Cancelled","Yes",IF(M334="No show","Yes","No"))))</f>
        <v>0</v>
      </c>
      <c r="AD334" s="25">
        <f>IF(B334="","",IF(AE334="","",B334-AE334))</f>
        <v>0</v>
      </c>
      <c r="AF334" s="38">
        <f>IF(B334="","",IF(M334&lt;&gt;"Completed","",IF(E334="","No",IF(COUNTIFS(Appointments!$E$5:$E$1204,E334,Appointments!$B$5:$B$1204,"&gt;"&amp;B334,Appointments!$M$5:$M$1204,"&lt;&gt;Cancelled")&gt;0,"Yes","No"))))</f>
        <v>0</v>
      </c>
      <c r="AG334" s="38">
        <f>IF(B334="","",IF(I334="","",IF(D334="","",IF(COUNTIFS($I$5:$I$1204,I334,$B$5:$B$1204,B334,$D$5:$D$1204,"&lt;"&amp;V334,$V$5:$V$1204,"&gt;"&amp;D334,$M$5:$M$1204,"&lt;&gt;Cancelled")&gt;1,"Clash",""))))</f>
        <v>0</v>
      </c>
      <c r="AH334" s="39">
        <f>IF(B334="","",IF(AG334="Clash","Clash - stylist double booked",IF(I334="","Assign - no stylist yet",IF(G334="","Add - no service chosen",IF(M334="No show","No show - charge the fee?",IF(M334="Cancelled","",IF(IF(M334="Completed",AB334&lt;Y334-0.004,FALSE),"Unpaid - nothing rung up for this visit",IF(IF(B334&lt;TodayDate,M334="Booked",FALSE),"Overdue - past date, still only Booked",IF(IF(B334=TodayDate,TRUE,FALSE),"Today",IF(IF(Z334&gt;0,AA334&lt;Z334-0.004,FALSE),"Due - deposit not taken",IF(IF(B334&gt;TodayDate,B334&lt;=TodayDate+2,FALSE),"Confirm - coming up","OK")))))))))))</f>
        <v>0</v>
      </c>
    </row>
    <row r="335" spans="1:34">
      <c r="A335" s="28">
        <f>IF(B335="","",AppointmentPrefix&amp;TEXT(ROW()-4,"0000"))</f>
        <v>0</v>
      </c>
      <c r="C335" s="15">
        <f>IF(B335="","",TEXT(B335,"ddd"))</f>
        <v>0</v>
      </c>
      <c r="F335" s="15">
        <f>IF(E335="","",IFERROR(INDEX(Clients!$B$5:$B$504,MATCH(E335,Clients!$A$5:$A$504,0)),"Walk-in"))</f>
        <v>0</v>
      </c>
      <c r="H335" s="15">
        <f>IF(G335="","",IFERROR(INDEX(Services!$B$5:$B$204,MATCH(G335,Services!$A$5:$A$204,0)),"Not in Services"))</f>
        <v>0</v>
      </c>
      <c r="J335" s="15">
        <f>IF(I335="","",IFERROR(INDEX(Staff!$B$5:$B$44,MATCH(I335,Staff!$A$5:$A$44,0)),"Unassigned"))</f>
        <v>0</v>
      </c>
      <c r="S335" s="15">
        <f>IF(B335="","",TEXT(B335,"yyyy-mm"))</f>
        <v>0</v>
      </c>
      <c r="T335" s="25">
        <f>IF(B335="","",WEEKNUM(B335,2))</f>
        <v>0</v>
      </c>
      <c r="U335" s="25">
        <f>IF(B335="","",IF(K335&lt;&gt;"",K335,IFERROR(INDEX(Services!$E$5:$E$204,MATCH(G335,Services!$A$5:$A$204,0))*1,0)+IFERROR(INDEX(Services!$F$5:$F$204,MATCH(G335,Services!$A$5:$A$204,0))*1,0)))</f>
        <v>0</v>
      </c>
      <c r="V335" s="36">
        <f>IF(B335="","",IF(D335="","",D335+U335/1440))</f>
        <v>0</v>
      </c>
      <c r="W335" s="25">
        <f>IF(B335="","",IF(D335="","",HOUR(D335)))</f>
        <v>0</v>
      </c>
      <c r="X335" s="37">
        <f>IF(B335="","",ROUND(U335/60,2))</f>
        <v>0</v>
      </c>
      <c r="Y335" s="26">
        <f>IF(B335="","",IF(L335&lt;&gt;"",L335,IFERROR(INDEX(Services!$G$5:$G$204,MATCH(G335,Services!$A$5:$A$204,0))*1,0)))</f>
        <v>0</v>
      </c>
      <c r="Z335" s="26">
        <f>IF(B335="","",IF(O335&lt;&gt;"",O335,IF(Y335&gt;=DepositThreshold,ROUND(Y335*DepositPercent,2),0)))</f>
        <v>0</v>
      </c>
      <c r="AA335" s="26">
        <f>IF(B335="","",ROUND(SUMIFS(Payments!$G$5:$G$1204,Payments!$I$5:$I$1204,A335,Payments!$E$5:$E$1204,"Deposit"),2))</f>
        <v>0</v>
      </c>
      <c r="AB335" s="26">
        <f>IF(B335="","",ROUND(SUMIFS(Sales!$Y$5:$Y$1204,Sales!$C$5:$C$1204,A335),2))</f>
        <v>0</v>
      </c>
      <c r="AC335" s="38">
        <f>IF(B335="","",IF(M335="Completed","Yes",IF(M335="Cancelled","Yes",IF(M335="No show","Yes","No"))))</f>
        <v>0</v>
      </c>
      <c r="AD335" s="25">
        <f>IF(B335="","",IF(AE335="","",B335-AE335))</f>
        <v>0</v>
      </c>
      <c r="AF335" s="38">
        <f>IF(B335="","",IF(M335&lt;&gt;"Completed","",IF(E335="","No",IF(COUNTIFS(Appointments!$E$5:$E$1204,E335,Appointments!$B$5:$B$1204,"&gt;"&amp;B335,Appointments!$M$5:$M$1204,"&lt;&gt;Cancelled")&gt;0,"Yes","No"))))</f>
        <v>0</v>
      </c>
      <c r="AG335" s="38">
        <f>IF(B335="","",IF(I335="","",IF(D335="","",IF(COUNTIFS($I$5:$I$1204,I335,$B$5:$B$1204,B335,$D$5:$D$1204,"&lt;"&amp;V335,$V$5:$V$1204,"&gt;"&amp;D335,$M$5:$M$1204,"&lt;&gt;Cancelled")&gt;1,"Clash",""))))</f>
        <v>0</v>
      </c>
      <c r="AH335" s="39">
        <f>IF(B335="","",IF(AG335="Clash","Clash - stylist double booked",IF(I335="","Assign - no stylist yet",IF(G335="","Add - no service chosen",IF(M335="No show","No show - charge the fee?",IF(M335="Cancelled","",IF(IF(M335="Completed",AB335&lt;Y335-0.004,FALSE),"Unpaid - nothing rung up for this visit",IF(IF(B335&lt;TodayDate,M335="Booked",FALSE),"Overdue - past date, still only Booked",IF(IF(B335=TodayDate,TRUE,FALSE),"Today",IF(IF(Z335&gt;0,AA335&lt;Z335-0.004,FALSE),"Due - deposit not taken",IF(IF(B335&gt;TodayDate,B335&lt;=TodayDate+2,FALSE),"Confirm - coming up","OK")))))))))))</f>
        <v>0</v>
      </c>
    </row>
    <row r="336" spans="1:34">
      <c r="A336" s="28">
        <f>IF(B336="","",AppointmentPrefix&amp;TEXT(ROW()-4,"0000"))</f>
        <v>0</v>
      </c>
      <c r="C336" s="15">
        <f>IF(B336="","",TEXT(B336,"ddd"))</f>
        <v>0</v>
      </c>
      <c r="F336" s="15">
        <f>IF(E336="","",IFERROR(INDEX(Clients!$B$5:$B$504,MATCH(E336,Clients!$A$5:$A$504,0)),"Walk-in"))</f>
        <v>0</v>
      </c>
      <c r="H336" s="15">
        <f>IF(G336="","",IFERROR(INDEX(Services!$B$5:$B$204,MATCH(G336,Services!$A$5:$A$204,0)),"Not in Services"))</f>
        <v>0</v>
      </c>
      <c r="J336" s="15">
        <f>IF(I336="","",IFERROR(INDEX(Staff!$B$5:$B$44,MATCH(I336,Staff!$A$5:$A$44,0)),"Unassigned"))</f>
        <v>0</v>
      </c>
      <c r="S336" s="15">
        <f>IF(B336="","",TEXT(B336,"yyyy-mm"))</f>
        <v>0</v>
      </c>
      <c r="T336" s="25">
        <f>IF(B336="","",WEEKNUM(B336,2))</f>
        <v>0</v>
      </c>
      <c r="U336" s="25">
        <f>IF(B336="","",IF(K336&lt;&gt;"",K336,IFERROR(INDEX(Services!$E$5:$E$204,MATCH(G336,Services!$A$5:$A$204,0))*1,0)+IFERROR(INDEX(Services!$F$5:$F$204,MATCH(G336,Services!$A$5:$A$204,0))*1,0)))</f>
        <v>0</v>
      </c>
      <c r="V336" s="36">
        <f>IF(B336="","",IF(D336="","",D336+U336/1440))</f>
        <v>0</v>
      </c>
      <c r="W336" s="25">
        <f>IF(B336="","",IF(D336="","",HOUR(D336)))</f>
        <v>0</v>
      </c>
      <c r="X336" s="37">
        <f>IF(B336="","",ROUND(U336/60,2))</f>
        <v>0</v>
      </c>
      <c r="Y336" s="26">
        <f>IF(B336="","",IF(L336&lt;&gt;"",L336,IFERROR(INDEX(Services!$G$5:$G$204,MATCH(G336,Services!$A$5:$A$204,0))*1,0)))</f>
        <v>0</v>
      </c>
      <c r="Z336" s="26">
        <f>IF(B336="","",IF(O336&lt;&gt;"",O336,IF(Y336&gt;=DepositThreshold,ROUND(Y336*DepositPercent,2),0)))</f>
        <v>0</v>
      </c>
      <c r="AA336" s="26">
        <f>IF(B336="","",ROUND(SUMIFS(Payments!$G$5:$G$1204,Payments!$I$5:$I$1204,A336,Payments!$E$5:$E$1204,"Deposit"),2))</f>
        <v>0</v>
      </c>
      <c r="AB336" s="26">
        <f>IF(B336="","",ROUND(SUMIFS(Sales!$Y$5:$Y$1204,Sales!$C$5:$C$1204,A336),2))</f>
        <v>0</v>
      </c>
      <c r="AC336" s="38">
        <f>IF(B336="","",IF(M336="Completed","Yes",IF(M336="Cancelled","Yes",IF(M336="No show","Yes","No"))))</f>
        <v>0</v>
      </c>
      <c r="AD336" s="25">
        <f>IF(B336="","",IF(AE336="","",B336-AE336))</f>
        <v>0</v>
      </c>
      <c r="AF336" s="38">
        <f>IF(B336="","",IF(M336&lt;&gt;"Completed","",IF(E336="","No",IF(COUNTIFS(Appointments!$E$5:$E$1204,E336,Appointments!$B$5:$B$1204,"&gt;"&amp;B336,Appointments!$M$5:$M$1204,"&lt;&gt;Cancelled")&gt;0,"Yes","No"))))</f>
        <v>0</v>
      </c>
      <c r="AG336" s="38">
        <f>IF(B336="","",IF(I336="","",IF(D336="","",IF(COUNTIFS($I$5:$I$1204,I336,$B$5:$B$1204,B336,$D$5:$D$1204,"&lt;"&amp;V336,$V$5:$V$1204,"&gt;"&amp;D336,$M$5:$M$1204,"&lt;&gt;Cancelled")&gt;1,"Clash",""))))</f>
        <v>0</v>
      </c>
      <c r="AH336" s="39">
        <f>IF(B336="","",IF(AG336="Clash","Clash - stylist double booked",IF(I336="","Assign - no stylist yet",IF(G336="","Add - no service chosen",IF(M336="No show","No show - charge the fee?",IF(M336="Cancelled","",IF(IF(M336="Completed",AB336&lt;Y336-0.004,FALSE),"Unpaid - nothing rung up for this visit",IF(IF(B336&lt;TodayDate,M336="Booked",FALSE),"Overdue - past date, still only Booked",IF(IF(B336=TodayDate,TRUE,FALSE),"Today",IF(IF(Z336&gt;0,AA336&lt;Z336-0.004,FALSE),"Due - deposit not taken",IF(IF(B336&gt;TodayDate,B336&lt;=TodayDate+2,FALSE),"Confirm - coming up","OK")))))))))))</f>
        <v>0</v>
      </c>
    </row>
    <row r="337" spans="1:34">
      <c r="A337" s="28">
        <f>IF(B337="","",AppointmentPrefix&amp;TEXT(ROW()-4,"0000"))</f>
        <v>0</v>
      </c>
      <c r="C337" s="15">
        <f>IF(B337="","",TEXT(B337,"ddd"))</f>
        <v>0</v>
      </c>
      <c r="F337" s="15">
        <f>IF(E337="","",IFERROR(INDEX(Clients!$B$5:$B$504,MATCH(E337,Clients!$A$5:$A$504,0)),"Walk-in"))</f>
        <v>0</v>
      </c>
      <c r="H337" s="15">
        <f>IF(G337="","",IFERROR(INDEX(Services!$B$5:$B$204,MATCH(G337,Services!$A$5:$A$204,0)),"Not in Services"))</f>
        <v>0</v>
      </c>
      <c r="J337" s="15">
        <f>IF(I337="","",IFERROR(INDEX(Staff!$B$5:$B$44,MATCH(I337,Staff!$A$5:$A$44,0)),"Unassigned"))</f>
        <v>0</v>
      </c>
      <c r="S337" s="15">
        <f>IF(B337="","",TEXT(B337,"yyyy-mm"))</f>
        <v>0</v>
      </c>
      <c r="T337" s="25">
        <f>IF(B337="","",WEEKNUM(B337,2))</f>
        <v>0</v>
      </c>
      <c r="U337" s="25">
        <f>IF(B337="","",IF(K337&lt;&gt;"",K337,IFERROR(INDEX(Services!$E$5:$E$204,MATCH(G337,Services!$A$5:$A$204,0))*1,0)+IFERROR(INDEX(Services!$F$5:$F$204,MATCH(G337,Services!$A$5:$A$204,0))*1,0)))</f>
        <v>0</v>
      </c>
      <c r="V337" s="36">
        <f>IF(B337="","",IF(D337="","",D337+U337/1440))</f>
        <v>0</v>
      </c>
      <c r="W337" s="25">
        <f>IF(B337="","",IF(D337="","",HOUR(D337)))</f>
        <v>0</v>
      </c>
      <c r="X337" s="37">
        <f>IF(B337="","",ROUND(U337/60,2))</f>
        <v>0</v>
      </c>
      <c r="Y337" s="26">
        <f>IF(B337="","",IF(L337&lt;&gt;"",L337,IFERROR(INDEX(Services!$G$5:$G$204,MATCH(G337,Services!$A$5:$A$204,0))*1,0)))</f>
        <v>0</v>
      </c>
      <c r="Z337" s="26">
        <f>IF(B337="","",IF(O337&lt;&gt;"",O337,IF(Y337&gt;=DepositThreshold,ROUND(Y337*DepositPercent,2),0)))</f>
        <v>0</v>
      </c>
      <c r="AA337" s="26">
        <f>IF(B337="","",ROUND(SUMIFS(Payments!$G$5:$G$1204,Payments!$I$5:$I$1204,A337,Payments!$E$5:$E$1204,"Deposit"),2))</f>
        <v>0</v>
      </c>
      <c r="AB337" s="26">
        <f>IF(B337="","",ROUND(SUMIFS(Sales!$Y$5:$Y$1204,Sales!$C$5:$C$1204,A337),2))</f>
        <v>0</v>
      </c>
      <c r="AC337" s="38">
        <f>IF(B337="","",IF(M337="Completed","Yes",IF(M337="Cancelled","Yes",IF(M337="No show","Yes","No"))))</f>
        <v>0</v>
      </c>
      <c r="AD337" s="25">
        <f>IF(B337="","",IF(AE337="","",B337-AE337))</f>
        <v>0</v>
      </c>
      <c r="AF337" s="38">
        <f>IF(B337="","",IF(M337&lt;&gt;"Completed","",IF(E337="","No",IF(COUNTIFS(Appointments!$E$5:$E$1204,E337,Appointments!$B$5:$B$1204,"&gt;"&amp;B337,Appointments!$M$5:$M$1204,"&lt;&gt;Cancelled")&gt;0,"Yes","No"))))</f>
        <v>0</v>
      </c>
      <c r="AG337" s="38">
        <f>IF(B337="","",IF(I337="","",IF(D337="","",IF(COUNTIFS($I$5:$I$1204,I337,$B$5:$B$1204,B337,$D$5:$D$1204,"&lt;"&amp;V337,$V$5:$V$1204,"&gt;"&amp;D337,$M$5:$M$1204,"&lt;&gt;Cancelled")&gt;1,"Clash",""))))</f>
        <v>0</v>
      </c>
      <c r="AH337" s="39">
        <f>IF(B337="","",IF(AG337="Clash","Clash - stylist double booked",IF(I337="","Assign - no stylist yet",IF(G337="","Add - no service chosen",IF(M337="No show","No show - charge the fee?",IF(M337="Cancelled","",IF(IF(M337="Completed",AB337&lt;Y337-0.004,FALSE),"Unpaid - nothing rung up for this visit",IF(IF(B337&lt;TodayDate,M337="Booked",FALSE),"Overdue - past date, still only Booked",IF(IF(B337=TodayDate,TRUE,FALSE),"Today",IF(IF(Z337&gt;0,AA337&lt;Z337-0.004,FALSE),"Due - deposit not taken",IF(IF(B337&gt;TodayDate,B337&lt;=TodayDate+2,FALSE),"Confirm - coming up","OK")))))))))))</f>
        <v>0</v>
      </c>
    </row>
    <row r="338" spans="1:34">
      <c r="A338" s="28">
        <f>IF(B338="","",AppointmentPrefix&amp;TEXT(ROW()-4,"0000"))</f>
        <v>0</v>
      </c>
      <c r="C338" s="15">
        <f>IF(B338="","",TEXT(B338,"ddd"))</f>
        <v>0</v>
      </c>
      <c r="F338" s="15">
        <f>IF(E338="","",IFERROR(INDEX(Clients!$B$5:$B$504,MATCH(E338,Clients!$A$5:$A$504,0)),"Walk-in"))</f>
        <v>0</v>
      </c>
      <c r="H338" s="15">
        <f>IF(G338="","",IFERROR(INDEX(Services!$B$5:$B$204,MATCH(G338,Services!$A$5:$A$204,0)),"Not in Services"))</f>
        <v>0</v>
      </c>
      <c r="J338" s="15">
        <f>IF(I338="","",IFERROR(INDEX(Staff!$B$5:$B$44,MATCH(I338,Staff!$A$5:$A$44,0)),"Unassigned"))</f>
        <v>0</v>
      </c>
      <c r="S338" s="15">
        <f>IF(B338="","",TEXT(B338,"yyyy-mm"))</f>
        <v>0</v>
      </c>
      <c r="T338" s="25">
        <f>IF(B338="","",WEEKNUM(B338,2))</f>
        <v>0</v>
      </c>
      <c r="U338" s="25">
        <f>IF(B338="","",IF(K338&lt;&gt;"",K338,IFERROR(INDEX(Services!$E$5:$E$204,MATCH(G338,Services!$A$5:$A$204,0))*1,0)+IFERROR(INDEX(Services!$F$5:$F$204,MATCH(G338,Services!$A$5:$A$204,0))*1,0)))</f>
        <v>0</v>
      </c>
      <c r="V338" s="36">
        <f>IF(B338="","",IF(D338="","",D338+U338/1440))</f>
        <v>0</v>
      </c>
      <c r="W338" s="25">
        <f>IF(B338="","",IF(D338="","",HOUR(D338)))</f>
        <v>0</v>
      </c>
      <c r="X338" s="37">
        <f>IF(B338="","",ROUND(U338/60,2))</f>
        <v>0</v>
      </c>
      <c r="Y338" s="26">
        <f>IF(B338="","",IF(L338&lt;&gt;"",L338,IFERROR(INDEX(Services!$G$5:$G$204,MATCH(G338,Services!$A$5:$A$204,0))*1,0)))</f>
        <v>0</v>
      </c>
      <c r="Z338" s="26">
        <f>IF(B338="","",IF(O338&lt;&gt;"",O338,IF(Y338&gt;=DepositThreshold,ROUND(Y338*DepositPercent,2),0)))</f>
        <v>0</v>
      </c>
      <c r="AA338" s="26">
        <f>IF(B338="","",ROUND(SUMIFS(Payments!$G$5:$G$1204,Payments!$I$5:$I$1204,A338,Payments!$E$5:$E$1204,"Deposit"),2))</f>
        <v>0</v>
      </c>
      <c r="AB338" s="26">
        <f>IF(B338="","",ROUND(SUMIFS(Sales!$Y$5:$Y$1204,Sales!$C$5:$C$1204,A338),2))</f>
        <v>0</v>
      </c>
      <c r="AC338" s="38">
        <f>IF(B338="","",IF(M338="Completed","Yes",IF(M338="Cancelled","Yes",IF(M338="No show","Yes","No"))))</f>
        <v>0</v>
      </c>
      <c r="AD338" s="25">
        <f>IF(B338="","",IF(AE338="","",B338-AE338))</f>
        <v>0</v>
      </c>
      <c r="AF338" s="38">
        <f>IF(B338="","",IF(M338&lt;&gt;"Completed","",IF(E338="","No",IF(COUNTIFS(Appointments!$E$5:$E$1204,E338,Appointments!$B$5:$B$1204,"&gt;"&amp;B338,Appointments!$M$5:$M$1204,"&lt;&gt;Cancelled")&gt;0,"Yes","No"))))</f>
        <v>0</v>
      </c>
      <c r="AG338" s="38">
        <f>IF(B338="","",IF(I338="","",IF(D338="","",IF(COUNTIFS($I$5:$I$1204,I338,$B$5:$B$1204,B338,$D$5:$D$1204,"&lt;"&amp;V338,$V$5:$V$1204,"&gt;"&amp;D338,$M$5:$M$1204,"&lt;&gt;Cancelled")&gt;1,"Clash",""))))</f>
        <v>0</v>
      </c>
      <c r="AH338" s="39">
        <f>IF(B338="","",IF(AG338="Clash","Clash - stylist double booked",IF(I338="","Assign - no stylist yet",IF(G338="","Add - no service chosen",IF(M338="No show","No show - charge the fee?",IF(M338="Cancelled","",IF(IF(M338="Completed",AB338&lt;Y338-0.004,FALSE),"Unpaid - nothing rung up for this visit",IF(IF(B338&lt;TodayDate,M338="Booked",FALSE),"Overdue - past date, still only Booked",IF(IF(B338=TodayDate,TRUE,FALSE),"Today",IF(IF(Z338&gt;0,AA338&lt;Z338-0.004,FALSE),"Due - deposit not taken",IF(IF(B338&gt;TodayDate,B338&lt;=TodayDate+2,FALSE),"Confirm - coming up","OK")))))))))))</f>
        <v>0</v>
      </c>
    </row>
    <row r="339" spans="1:34">
      <c r="A339" s="28">
        <f>IF(B339="","",AppointmentPrefix&amp;TEXT(ROW()-4,"0000"))</f>
        <v>0</v>
      </c>
      <c r="C339" s="15">
        <f>IF(B339="","",TEXT(B339,"ddd"))</f>
        <v>0</v>
      </c>
      <c r="F339" s="15">
        <f>IF(E339="","",IFERROR(INDEX(Clients!$B$5:$B$504,MATCH(E339,Clients!$A$5:$A$504,0)),"Walk-in"))</f>
        <v>0</v>
      </c>
      <c r="H339" s="15">
        <f>IF(G339="","",IFERROR(INDEX(Services!$B$5:$B$204,MATCH(G339,Services!$A$5:$A$204,0)),"Not in Services"))</f>
        <v>0</v>
      </c>
      <c r="J339" s="15">
        <f>IF(I339="","",IFERROR(INDEX(Staff!$B$5:$B$44,MATCH(I339,Staff!$A$5:$A$44,0)),"Unassigned"))</f>
        <v>0</v>
      </c>
      <c r="S339" s="15">
        <f>IF(B339="","",TEXT(B339,"yyyy-mm"))</f>
        <v>0</v>
      </c>
      <c r="T339" s="25">
        <f>IF(B339="","",WEEKNUM(B339,2))</f>
        <v>0</v>
      </c>
      <c r="U339" s="25">
        <f>IF(B339="","",IF(K339&lt;&gt;"",K339,IFERROR(INDEX(Services!$E$5:$E$204,MATCH(G339,Services!$A$5:$A$204,0))*1,0)+IFERROR(INDEX(Services!$F$5:$F$204,MATCH(G339,Services!$A$5:$A$204,0))*1,0)))</f>
        <v>0</v>
      </c>
      <c r="V339" s="36">
        <f>IF(B339="","",IF(D339="","",D339+U339/1440))</f>
        <v>0</v>
      </c>
      <c r="W339" s="25">
        <f>IF(B339="","",IF(D339="","",HOUR(D339)))</f>
        <v>0</v>
      </c>
      <c r="X339" s="37">
        <f>IF(B339="","",ROUND(U339/60,2))</f>
        <v>0</v>
      </c>
      <c r="Y339" s="26">
        <f>IF(B339="","",IF(L339&lt;&gt;"",L339,IFERROR(INDEX(Services!$G$5:$G$204,MATCH(G339,Services!$A$5:$A$204,0))*1,0)))</f>
        <v>0</v>
      </c>
      <c r="Z339" s="26">
        <f>IF(B339="","",IF(O339&lt;&gt;"",O339,IF(Y339&gt;=DepositThreshold,ROUND(Y339*DepositPercent,2),0)))</f>
        <v>0</v>
      </c>
      <c r="AA339" s="26">
        <f>IF(B339="","",ROUND(SUMIFS(Payments!$G$5:$G$1204,Payments!$I$5:$I$1204,A339,Payments!$E$5:$E$1204,"Deposit"),2))</f>
        <v>0</v>
      </c>
      <c r="AB339" s="26">
        <f>IF(B339="","",ROUND(SUMIFS(Sales!$Y$5:$Y$1204,Sales!$C$5:$C$1204,A339),2))</f>
        <v>0</v>
      </c>
      <c r="AC339" s="38">
        <f>IF(B339="","",IF(M339="Completed","Yes",IF(M339="Cancelled","Yes",IF(M339="No show","Yes","No"))))</f>
        <v>0</v>
      </c>
      <c r="AD339" s="25">
        <f>IF(B339="","",IF(AE339="","",B339-AE339))</f>
        <v>0</v>
      </c>
      <c r="AF339" s="38">
        <f>IF(B339="","",IF(M339&lt;&gt;"Completed","",IF(E339="","No",IF(COUNTIFS(Appointments!$E$5:$E$1204,E339,Appointments!$B$5:$B$1204,"&gt;"&amp;B339,Appointments!$M$5:$M$1204,"&lt;&gt;Cancelled")&gt;0,"Yes","No"))))</f>
        <v>0</v>
      </c>
      <c r="AG339" s="38">
        <f>IF(B339="","",IF(I339="","",IF(D339="","",IF(COUNTIFS($I$5:$I$1204,I339,$B$5:$B$1204,B339,$D$5:$D$1204,"&lt;"&amp;V339,$V$5:$V$1204,"&gt;"&amp;D339,$M$5:$M$1204,"&lt;&gt;Cancelled")&gt;1,"Clash",""))))</f>
        <v>0</v>
      </c>
      <c r="AH339" s="39">
        <f>IF(B339="","",IF(AG339="Clash","Clash - stylist double booked",IF(I339="","Assign - no stylist yet",IF(G339="","Add - no service chosen",IF(M339="No show","No show - charge the fee?",IF(M339="Cancelled","",IF(IF(M339="Completed",AB339&lt;Y339-0.004,FALSE),"Unpaid - nothing rung up for this visit",IF(IF(B339&lt;TodayDate,M339="Booked",FALSE),"Overdue - past date, still only Booked",IF(IF(B339=TodayDate,TRUE,FALSE),"Today",IF(IF(Z339&gt;0,AA339&lt;Z339-0.004,FALSE),"Due - deposit not taken",IF(IF(B339&gt;TodayDate,B339&lt;=TodayDate+2,FALSE),"Confirm - coming up","OK")))))))))))</f>
        <v>0</v>
      </c>
    </row>
    <row r="340" spans="1:34">
      <c r="A340" s="28">
        <f>IF(B340="","",AppointmentPrefix&amp;TEXT(ROW()-4,"0000"))</f>
        <v>0</v>
      </c>
      <c r="C340" s="15">
        <f>IF(B340="","",TEXT(B340,"ddd"))</f>
        <v>0</v>
      </c>
      <c r="F340" s="15">
        <f>IF(E340="","",IFERROR(INDEX(Clients!$B$5:$B$504,MATCH(E340,Clients!$A$5:$A$504,0)),"Walk-in"))</f>
        <v>0</v>
      </c>
      <c r="H340" s="15">
        <f>IF(G340="","",IFERROR(INDEX(Services!$B$5:$B$204,MATCH(G340,Services!$A$5:$A$204,0)),"Not in Services"))</f>
        <v>0</v>
      </c>
      <c r="J340" s="15">
        <f>IF(I340="","",IFERROR(INDEX(Staff!$B$5:$B$44,MATCH(I340,Staff!$A$5:$A$44,0)),"Unassigned"))</f>
        <v>0</v>
      </c>
      <c r="S340" s="15">
        <f>IF(B340="","",TEXT(B340,"yyyy-mm"))</f>
        <v>0</v>
      </c>
      <c r="T340" s="25">
        <f>IF(B340="","",WEEKNUM(B340,2))</f>
        <v>0</v>
      </c>
      <c r="U340" s="25">
        <f>IF(B340="","",IF(K340&lt;&gt;"",K340,IFERROR(INDEX(Services!$E$5:$E$204,MATCH(G340,Services!$A$5:$A$204,0))*1,0)+IFERROR(INDEX(Services!$F$5:$F$204,MATCH(G340,Services!$A$5:$A$204,0))*1,0)))</f>
        <v>0</v>
      </c>
      <c r="V340" s="36">
        <f>IF(B340="","",IF(D340="","",D340+U340/1440))</f>
        <v>0</v>
      </c>
      <c r="W340" s="25">
        <f>IF(B340="","",IF(D340="","",HOUR(D340)))</f>
        <v>0</v>
      </c>
      <c r="X340" s="37">
        <f>IF(B340="","",ROUND(U340/60,2))</f>
        <v>0</v>
      </c>
      <c r="Y340" s="26">
        <f>IF(B340="","",IF(L340&lt;&gt;"",L340,IFERROR(INDEX(Services!$G$5:$G$204,MATCH(G340,Services!$A$5:$A$204,0))*1,0)))</f>
        <v>0</v>
      </c>
      <c r="Z340" s="26">
        <f>IF(B340="","",IF(O340&lt;&gt;"",O340,IF(Y340&gt;=DepositThreshold,ROUND(Y340*DepositPercent,2),0)))</f>
        <v>0</v>
      </c>
      <c r="AA340" s="26">
        <f>IF(B340="","",ROUND(SUMIFS(Payments!$G$5:$G$1204,Payments!$I$5:$I$1204,A340,Payments!$E$5:$E$1204,"Deposit"),2))</f>
        <v>0</v>
      </c>
      <c r="AB340" s="26">
        <f>IF(B340="","",ROUND(SUMIFS(Sales!$Y$5:$Y$1204,Sales!$C$5:$C$1204,A340),2))</f>
        <v>0</v>
      </c>
      <c r="AC340" s="38">
        <f>IF(B340="","",IF(M340="Completed","Yes",IF(M340="Cancelled","Yes",IF(M340="No show","Yes","No"))))</f>
        <v>0</v>
      </c>
      <c r="AD340" s="25">
        <f>IF(B340="","",IF(AE340="","",B340-AE340))</f>
        <v>0</v>
      </c>
      <c r="AF340" s="38">
        <f>IF(B340="","",IF(M340&lt;&gt;"Completed","",IF(E340="","No",IF(COUNTIFS(Appointments!$E$5:$E$1204,E340,Appointments!$B$5:$B$1204,"&gt;"&amp;B340,Appointments!$M$5:$M$1204,"&lt;&gt;Cancelled")&gt;0,"Yes","No"))))</f>
        <v>0</v>
      </c>
      <c r="AG340" s="38">
        <f>IF(B340="","",IF(I340="","",IF(D340="","",IF(COUNTIFS($I$5:$I$1204,I340,$B$5:$B$1204,B340,$D$5:$D$1204,"&lt;"&amp;V340,$V$5:$V$1204,"&gt;"&amp;D340,$M$5:$M$1204,"&lt;&gt;Cancelled")&gt;1,"Clash",""))))</f>
        <v>0</v>
      </c>
      <c r="AH340" s="39">
        <f>IF(B340="","",IF(AG340="Clash","Clash - stylist double booked",IF(I340="","Assign - no stylist yet",IF(G340="","Add - no service chosen",IF(M340="No show","No show - charge the fee?",IF(M340="Cancelled","",IF(IF(M340="Completed",AB340&lt;Y340-0.004,FALSE),"Unpaid - nothing rung up for this visit",IF(IF(B340&lt;TodayDate,M340="Booked",FALSE),"Overdue - past date, still only Booked",IF(IF(B340=TodayDate,TRUE,FALSE),"Today",IF(IF(Z340&gt;0,AA340&lt;Z340-0.004,FALSE),"Due - deposit not taken",IF(IF(B340&gt;TodayDate,B340&lt;=TodayDate+2,FALSE),"Confirm - coming up","OK")))))))))))</f>
        <v>0</v>
      </c>
    </row>
    <row r="341" spans="1:34">
      <c r="A341" s="28">
        <f>IF(B341="","",AppointmentPrefix&amp;TEXT(ROW()-4,"0000"))</f>
        <v>0</v>
      </c>
      <c r="C341" s="15">
        <f>IF(B341="","",TEXT(B341,"ddd"))</f>
        <v>0</v>
      </c>
      <c r="F341" s="15">
        <f>IF(E341="","",IFERROR(INDEX(Clients!$B$5:$B$504,MATCH(E341,Clients!$A$5:$A$504,0)),"Walk-in"))</f>
        <v>0</v>
      </c>
      <c r="H341" s="15">
        <f>IF(G341="","",IFERROR(INDEX(Services!$B$5:$B$204,MATCH(G341,Services!$A$5:$A$204,0)),"Not in Services"))</f>
        <v>0</v>
      </c>
      <c r="J341" s="15">
        <f>IF(I341="","",IFERROR(INDEX(Staff!$B$5:$B$44,MATCH(I341,Staff!$A$5:$A$44,0)),"Unassigned"))</f>
        <v>0</v>
      </c>
      <c r="S341" s="15">
        <f>IF(B341="","",TEXT(B341,"yyyy-mm"))</f>
        <v>0</v>
      </c>
      <c r="T341" s="25">
        <f>IF(B341="","",WEEKNUM(B341,2))</f>
        <v>0</v>
      </c>
      <c r="U341" s="25">
        <f>IF(B341="","",IF(K341&lt;&gt;"",K341,IFERROR(INDEX(Services!$E$5:$E$204,MATCH(G341,Services!$A$5:$A$204,0))*1,0)+IFERROR(INDEX(Services!$F$5:$F$204,MATCH(G341,Services!$A$5:$A$204,0))*1,0)))</f>
        <v>0</v>
      </c>
      <c r="V341" s="36">
        <f>IF(B341="","",IF(D341="","",D341+U341/1440))</f>
        <v>0</v>
      </c>
      <c r="W341" s="25">
        <f>IF(B341="","",IF(D341="","",HOUR(D341)))</f>
        <v>0</v>
      </c>
      <c r="X341" s="37">
        <f>IF(B341="","",ROUND(U341/60,2))</f>
        <v>0</v>
      </c>
      <c r="Y341" s="26">
        <f>IF(B341="","",IF(L341&lt;&gt;"",L341,IFERROR(INDEX(Services!$G$5:$G$204,MATCH(G341,Services!$A$5:$A$204,0))*1,0)))</f>
        <v>0</v>
      </c>
      <c r="Z341" s="26">
        <f>IF(B341="","",IF(O341&lt;&gt;"",O341,IF(Y341&gt;=DepositThreshold,ROUND(Y341*DepositPercent,2),0)))</f>
        <v>0</v>
      </c>
      <c r="AA341" s="26">
        <f>IF(B341="","",ROUND(SUMIFS(Payments!$G$5:$G$1204,Payments!$I$5:$I$1204,A341,Payments!$E$5:$E$1204,"Deposit"),2))</f>
        <v>0</v>
      </c>
      <c r="AB341" s="26">
        <f>IF(B341="","",ROUND(SUMIFS(Sales!$Y$5:$Y$1204,Sales!$C$5:$C$1204,A341),2))</f>
        <v>0</v>
      </c>
      <c r="AC341" s="38">
        <f>IF(B341="","",IF(M341="Completed","Yes",IF(M341="Cancelled","Yes",IF(M341="No show","Yes","No"))))</f>
        <v>0</v>
      </c>
      <c r="AD341" s="25">
        <f>IF(B341="","",IF(AE341="","",B341-AE341))</f>
        <v>0</v>
      </c>
      <c r="AF341" s="38">
        <f>IF(B341="","",IF(M341&lt;&gt;"Completed","",IF(E341="","No",IF(COUNTIFS(Appointments!$E$5:$E$1204,E341,Appointments!$B$5:$B$1204,"&gt;"&amp;B341,Appointments!$M$5:$M$1204,"&lt;&gt;Cancelled")&gt;0,"Yes","No"))))</f>
        <v>0</v>
      </c>
      <c r="AG341" s="38">
        <f>IF(B341="","",IF(I341="","",IF(D341="","",IF(COUNTIFS($I$5:$I$1204,I341,$B$5:$B$1204,B341,$D$5:$D$1204,"&lt;"&amp;V341,$V$5:$V$1204,"&gt;"&amp;D341,$M$5:$M$1204,"&lt;&gt;Cancelled")&gt;1,"Clash",""))))</f>
        <v>0</v>
      </c>
      <c r="AH341" s="39">
        <f>IF(B341="","",IF(AG341="Clash","Clash - stylist double booked",IF(I341="","Assign - no stylist yet",IF(G341="","Add - no service chosen",IF(M341="No show","No show - charge the fee?",IF(M341="Cancelled","",IF(IF(M341="Completed",AB341&lt;Y341-0.004,FALSE),"Unpaid - nothing rung up for this visit",IF(IF(B341&lt;TodayDate,M341="Booked",FALSE),"Overdue - past date, still only Booked",IF(IF(B341=TodayDate,TRUE,FALSE),"Today",IF(IF(Z341&gt;0,AA341&lt;Z341-0.004,FALSE),"Due - deposit not taken",IF(IF(B341&gt;TodayDate,B341&lt;=TodayDate+2,FALSE),"Confirm - coming up","OK")))))))))))</f>
        <v>0</v>
      </c>
    </row>
    <row r="342" spans="1:34">
      <c r="A342" s="28">
        <f>IF(B342="","",AppointmentPrefix&amp;TEXT(ROW()-4,"0000"))</f>
        <v>0</v>
      </c>
      <c r="C342" s="15">
        <f>IF(B342="","",TEXT(B342,"ddd"))</f>
        <v>0</v>
      </c>
      <c r="F342" s="15">
        <f>IF(E342="","",IFERROR(INDEX(Clients!$B$5:$B$504,MATCH(E342,Clients!$A$5:$A$504,0)),"Walk-in"))</f>
        <v>0</v>
      </c>
      <c r="H342" s="15">
        <f>IF(G342="","",IFERROR(INDEX(Services!$B$5:$B$204,MATCH(G342,Services!$A$5:$A$204,0)),"Not in Services"))</f>
        <v>0</v>
      </c>
      <c r="J342" s="15">
        <f>IF(I342="","",IFERROR(INDEX(Staff!$B$5:$B$44,MATCH(I342,Staff!$A$5:$A$44,0)),"Unassigned"))</f>
        <v>0</v>
      </c>
      <c r="S342" s="15">
        <f>IF(B342="","",TEXT(B342,"yyyy-mm"))</f>
        <v>0</v>
      </c>
      <c r="T342" s="25">
        <f>IF(B342="","",WEEKNUM(B342,2))</f>
        <v>0</v>
      </c>
      <c r="U342" s="25">
        <f>IF(B342="","",IF(K342&lt;&gt;"",K342,IFERROR(INDEX(Services!$E$5:$E$204,MATCH(G342,Services!$A$5:$A$204,0))*1,0)+IFERROR(INDEX(Services!$F$5:$F$204,MATCH(G342,Services!$A$5:$A$204,0))*1,0)))</f>
        <v>0</v>
      </c>
      <c r="V342" s="36">
        <f>IF(B342="","",IF(D342="","",D342+U342/1440))</f>
        <v>0</v>
      </c>
      <c r="W342" s="25">
        <f>IF(B342="","",IF(D342="","",HOUR(D342)))</f>
        <v>0</v>
      </c>
      <c r="X342" s="37">
        <f>IF(B342="","",ROUND(U342/60,2))</f>
        <v>0</v>
      </c>
      <c r="Y342" s="26">
        <f>IF(B342="","",IF(L342&lt;&gt;"",L342,IFERROR(INDEX(Services!$G$5:$G$204,MATCH(G342,Services!$A$5:$A$204,0))*1,0)))</f>
        <v>0</v>
      </c>
      <c r="Z342" s="26">
        <f>IF(B342="","",IF(O342&lt;&gt;"",O342,IF(Y342&gt;=DepositThreshold,ROUND(Y342*DepositPercent,2),0)))</f>
        <v>0</v>
      </c>
      <c r="AA342" s="26">
        <f>IF(B342="","",ROUND(SUMIFS(Payments!$G$5:$G$1204,Payments!$I$5:$I$1204,A342,Payments!$E$5:$E$1204,"Deposit"),2))</f>
        <v>0</v>
      </c>
      <c r="AB342" s="26">
        <f>IF(B342="","",ROUND(SUMIFS(Sales!$Y$5:$Y$1204,Sales!$C$5:$C$1204,A342),2))</f>
        <v>0</v>
      </c>
      <c r="AC342" s="38">
        <f>IF(B342="","",IF(M342="Completed","Yes",IF(M342="Cancelled","Yes",IF(M342="No show","Yes","No"))))</f>
        <v>0</v>
      </c>
      <c r="AD342" s="25">
        <f>IF(B342="","",IF(AE342="","",B342-AE342))</f>
        <v>0</v>
      </c>
      <c r="AF342" s="38">
        <f>IF(B342="","",IF(M342&lt;&gt;"Completed","",IF(E342="","No",IF(COUNTIFS(Appointments!$E$5:$E$1204,E342,Appointments!$B$5:$B$1204,"&gt;"&amp;B342,Appointments!$M$5:$M$1204,"&lt;&gt;Cancelled")&gt;0,"Yes","No"))))</f>
        <v>0</v>
      </c>
      <c r="AG342" s="38">
        <f>IF(B342="","",IF(I342="","",IF(D342="","",IF(COUNTIFS($I$5:$I$1204,I342,$B$5:$B$1204,B342,$D$5:$D$1204,"&lt;"&amp;V342,$V$5:$V$1204,"&gt;"&amp;D342,$M$5:$M$1204,"&lt;&gt;Cancelled")&gt;1,"Clash",""))))</f>
        <v>0</v>
      </c>
      <c r="AH342" s="39">
        <f>IF(B342="","",IF(AG342="Clash","Clash - stylist double booked",IF(I342="","Assign - no stylist yet",IF(G342="","Add - no service chosen",IF(M342="No show","No show - charge the fee?",IF(M342="Cancelled","",IF(IF(M342="Completed",AB342&lt;Y342-0.004,FALSE),"Unpaid - nothing rung up for this visit",IF(IF(B342&lt;TodayDate,M342="Booked",FALSE),"Overdue - past date, still only Booked",IF(IF(B342=TodayDate,TRUE,FALSE),"Today",IF(IF(Z342&gt;0,AA342&lt;Z342-0.004,FALSE),"Due - deposit not taken",IF(IF(B342&gt;TodayDate,B342&lt;=TodayDate+2,FALSE),"Confirm - coming up","OK")))))))))))</f>
        <v>0</v>
      </c>
    </row>
    <row r="343" spans="1:34">
      <c r="A343" s="28">
        <f>IF(B343="","",AppointmentPrefix&amp;TEXT(ROW()-4,"0000"))</f>
        <v>0</v>
      </c>
      <c r="C343" s="15">
        <f>IF(B343="","",TEXT(B343,"ddd"))</f>
        <v>0</v>
      </c>
      <c r="F343" s="15">
        <f>IF(E343="","",IFERROR(INDEX(Clients!$B$5:$B$504,MATCH(E343,Clients!$A$5:$A$504,0)),"Walk-in"))</f>
        <v>0</v>
      </c>
      <c r="H343" s="15">
        <f>IF(G343="","",IFERROR(INDEX(Services!$B$5:$B$204,MATCH(G343,Services!$A$5:$A$204,0)),"Not in Services"))</f>
        <v>0</v>
      </c>
      <c r="J343" s="15">
        <f>IF(I343="","",IFERROR(INDEX(Staff!$B$5:$B$44,MATCH(I343,Staff!$A$5:$A$44,0)),"Unassigned"))</f>
        <v>0</v>
      </c>
      <c r="S343" s="15">
        <f>IF(B343="","",TEXT(B343,"yyyy-mm"))</f>
        <v>0</v>
      </c>
      <c r="T343" s="25">
        <f>IF(B343="","",WEEKNUM(B343,2))</f>
        <v>0</v>
      </c>
      <c r="U343" s="25">
        <f>IF(B343="","",IF(K343&lt;&gt;"",K343,IFERROR(INDEX(Services!$E$5:$E$204,MATCH(G343,Services!$A$5:$A$204,0))*1,0)+IFERROR(INDEX(Services!$F$5:$F$204,MATCH(G343,Services!$A$5:$A$204,0))*1,0)))</f>
        <v>0</v>
      </c>
      <c r="V343" s="36">
        <f>IF(B343="","",IF(D343="","",D343+U343/1440))</f>
        <v>0</v>
      </c>
      <c r="W343" s="25">
        <f>IF(B343="","",IF(D343="","",HOUR(D343)))</f>
        <v>0</v>
      </c>
      <c r="X343" s="37">
        <f>IF(B343="","",ROUND(U343/60,2))</f>
        <v>0</v>
      </c>
      <c r="Y343" s="26">
        <f>IF(B343="","",IF(L343&lt;&gt;"",L343,IFERROR(INDEX(Services!$G$5:$G$204,MATCH(G343,Services!$A$5:$A$204,0))*1,0)))</f>
        <v>0</v>
      </c>
      <c r="Z343" s="26">
        <f>IF(B343="","",IF(O343&lt;&gt;"",O343,IF(Y343&gt;=DepositThreshold,ROUND(Y343*DepositPercent,2),0)))</f>
        <v>0</v>
      </c>
      <c r="AA343" s="26">
        <f>IF(B343="","",ROUND(SUMIFS(Payments!$G$5:$G$1204,Payments!$I$5:$I$1204,A343,Payments!$E$5:$E$1204,"Deposit"),2))</f>
        <v>0</v>
      </c>
      <c r="AB343" s="26">
        <f>IF(B343="","",ROUND(SUMIFS(Sales!$Y$5:$Y$1204,Sales!$C$5:$C$1204,A343),2))</f>
        <v>0</v>
      </c>
      <c r="AC343" s="38">
        <f>IF(B343="","",IF(M343="Completed","Yes",IF(M343="Cancelled","Yes",IF(M343="No show","Yes","No"))))</f>
        <v>0</v>
      </c>
      <c r="AD343" s="25">
        <f>IF(B343="","",IF(AE343="","",B343-AE343))</f>
        <v>0</v>
      </c>
      <c r="AF343" s="38">
        <f>IF(B343="","",IF(M343&lt;&gt;"Completed","",IF(E343="","No",IF(COUNTIFS(Appointments!$E$5:$E$1204,E343,Appointments!$B$5:$B$1204,"&gt;"&amp;B343,Appointments!$M$5:$M$1204,"&lt;&gt;Cancelled")&gt;0,"Yes","No"))))</f>
        <v>0</v>
      </c>
      <c r="AG343" s="38">
        <f>IF(B343="","",IF(I343="","",IF(D343="","",IF(COUNTIFS($I$5:$I$1204,I343,$B$5:$B$1204,B343,$D$5:$D$1204,"&lt;"&amp;V343,$V$5:$V$1204,"&gt;"&amp;D343,$M$5:$M$1204,"&lt;&gt;Cancelled")&gt;1,"Clash",""))))</f>
        <v>0</v>
      </c>
      <c r="AH343" s="39">
        <f>IF(B343="","",IF(AG343="Clash","Clash - stylist double booked",IF(I343="","Assign - no stylist yet",IF(G343="","Add - no service chosen",IF(M343="No show","No show - charge the fee?",IF(M343="Cancelled","",IF(IF(M343="Completed",AB343&lt;Y343-0.004,FALSE),"Unpaid - nothing rung up for this visit",IF(IF(B343&lt;TodayDate,M343="Booked",FALSE),"Overdue - past date, still only Booked",IF(IF(B343=TodayDate,TRUE,FALSE),"Today",IF(IF(Z343&gt;0,AA343&lt;Z343-0.004,FALSE),"Due - deposit not taken",IF(IF(B343&gt;TodayDate,B343&lt;=TodayDate+2,FALSE),"Confirm - coming up","OK")))))))))))</f>
        <v>0</v>
      </c>
    </row>
    <row r="344" spans="1:34">
      <c r="A344" s="28">
        <f>IF(B344="","",AppointmentPrefix&amp;TEXT(ROW()-4,"0000"))</f>
        <v>0</v>
      </c>
      <c r="C344" s="15">
        <f>IF(B344="","",TEXT(B344,"ddd"))</f>
        <v>0</v>
      </c>
      <c r="F344" s="15">
        <f>IF(E344="","",IFERROR(INDEX(Clients!$B$5:$B$504,MATCH(E344,Clients!$A$5:$A$504,0)),"Walk-in"))</f>
        <v>0</v>
      </c>
      <c r="H344" s="15">
        <f>IF(G344="","",IFERROR(INDEX(Services!$B$5:$B$204,MATCH(G344,Services!$A$5:$A$204,0)),"Not in Services"))</f>
        <v>0</v>
      </c>
      <c r="J344" s="15">
        <f>IF(I344="","",IFERROR(INDEX(Staff!$B$5:$B$44,MATCH(I344,Staff!$A$5:$A$44,0)),"Unassigned"))</f>
        <v>0</v>
      </c>
      <c r="S344" s="15">
        <f>IF(B344="","",TEXT(B344,"yyyy-mm"))</f>
        <v>0</v>
      </c>
      <c r="T344" s="25">
        <f>IF(B344="","",WEEKNUM(B344,2))</f>
        <v>0</v>
      </c>
      <c r="U344" s="25">
        <f>IF(B344="","",IF(K344&lt;&gt;"",K344,IFERROR(INDEX(Services!$E$5:$E$204,MATCH(G344,Services!$A$5:$A$204,0))*1,0)+IFERROR(INDEX(Services!$F$5:$F$204,MATCH(G344,Services!$A$5:$A$204,0))*1,0)))</f>
        <v>0</v>
      </c>
      <c r="V344" s="36">
        <f>IF(B344="","",IF(D344="","",D344+U344/1440))</f>
        <v>0</v>
      </c>
      <c r="W344" s="25">
        <f>IF(B344="","",IF(D344="","",HOUR(D344)))</f>
        <v>0</v>
      </c>
      <c r="X344" s="37">
        <f>IF(B344="","",ROUND(U344/60,2))</f>
        <v>0</v>
      </c>
      <c r="Y344" s="26">
        <f>IF(B344="","",IF(L344&lt;&gt;"",L344,IFERROR(INDEX(Services!$G$5:$G$204,MATCH(G344,Services!$A$5:$A$204,0))*1,0)))</f>
        <v>0</v>
      </c>
      <c r="Z344" s="26">
        <f>IF(B344="","",IF(O344&lt;&gt;"",O344,IF(Y344&gt;=DepositThreshold,ROUND(Y344*DepositPercent,2),0)))</f>
        <v>0</v>
      </c>
      <c r="AA344" s="26">
        <f>IF(B344="","",ROUND(SUMIFS(Payments!$G$5:$G$1204,Payments!$I$5:$I$1204,A344,Payments!$E$5:$E$1204,"Deposit"),2))</f>
        <v>0</v>
      </c>
      <c r="AB344" s="26">
        <f>IF(B344="","",ROUND(SUMIFS(Sales!$Y$5:$Y$1204,Sales!$C$5:$C$1204,A344),2))</f>
        <v>0</v>
      </c>
      <c r="AC344" s="38">
        <f>IF(B344="","",IF(M344="Completed","Yes",IF(M344="Cancelled","Yes",IF(M344="No show","Yes","No"))))</f>
        <v>0</v>
      </c>
      <c r="AD344" s="25">
        <f>IF(B344="","",IF(AE344="","",B344-AE344))</f>
        <v>0</v>
      </c>
      <c r="AF344" s="38">
        <f>IF(B344="","",IF(M344&lt;&gt;"Completed","",IF(E344="","No",IF(COUNTIFS(Appointments!$E$5:$E$1204,E344,Appointments!$B$5:$B$1204,"&gt;"&amp;B344,Appointments!$M$5:$M$1204,"&lt;&gt;Cancelled")&gt;0,"Yes","No"))))</f>
        <v>0</v>
      </c>
      <c r="AG344" s="38">
        <f>IF(B344="","",IF(I344="","",IF(D344="","",IF(COUNTIFS($I$5:$I$1204,I344,$B$5:$B$1204,B344,$D$5:$D$1204,"&lt;"&amp;V344,$V$5:$V$1204,"&gt;"&amp;D344,$M$5:$M$1204,"&lt;&gt;Cancelled")&gt;1,"Clash",""))))</f>
        <v>0</v>
      </c>
      <c r="AH344" s="39">
        <f>IF(B344="","",IF(AG344="Clash","Clash - stylist double booked",IF(I344="","Assign - no stylist yet",IF(G344="","Add - no service chosen",IF(M344="No show","No show - charge the fee?",IF(M344="Cancelled","",IF(IF(M344="Completed",AB344&lt;Y344-0.004,FALSE),"Unpaid - nothing rung up for this visit",IF(IF(B344&lt;TodayDate,M344="Booked",FALSE),"Overdue - past date, still only Booked",IF(IF(B344=TodayDate,TRUE,FALSE),"Today",IF(IF(Z344&gt;0,AA344&lt;Z344-0.004,FALSE),"Due - deposit not taken",IF(IF(B344&gt;TodayDate,B344&lt;=TodayDate+2,FALSE),"Confirm - coming up","OK")))))))))))</f>
        <v>0</v>
      </c>
    </row>
    <row r="345" spans="1:34">
      <c r="A345" s="28">
        <f>IF(B345="","",AppointmentPrefix&amp;TEXT(ROW()-4,"0000"))</f>
        <v>0</v>
      </c>
      <c r="C345" s="15">
        <f>IF(B345="","",TEXT(B345,"ddd"))</f>
        <v>0</v>
      </c>
      <c r="F345" s="15">
        <f>IF(E345="","",IFERROR(INDEX(Clients!$B$5:$B$504,MATCH(E345,Clients!$A$5:$A$504,0)),"Walk-in"))</f>
        <v>0</v>
      </c>
      <c r="H345" s="15">
        <f>IF(G345="","",IFERROR(INDEX(Services!$B$5:$B$204,MATCH(G345,Services!$A$5:$A$204,0)),"Not in Services"))</f>
        <v>0</v>
      </c>
      <c r="J345" s="15">
        <f>IF(I345="","",IFERROR(INDEX(Staff!$B$5:$B$44,MATCH(I345,Staff!$A$5:$A$44,0)),"Unassigned"))</f>
        <v>0</v>
      </c>
      <c r="S345" s="15">
        <f>IF(B345="","",TEXT(B345,"yyyy-mm"))</f>
        <v>0</v>
      </c>
      <c r="T345" s="25">
        <f>IF(B345="","",WEEKNUM(B345,2))</f>
        <v>0</v>
      </c>
      <c r="U345" s="25">
        <f>IF(B345="","",IF(K345&lt;&gt;"",K345,IFERROR(INDEX(Services!$E$5:$E$204,MATCH(G345,Services!$A$5:$A$204,0))*1,0)+IFERROR(INDEX(Services!$F$5:$F$204,MATCH(G345,Services!$A$5:$A$204,0))*1,0)))</f>
        <v>0</v>
      </c>
      <c r="V345" s="36">
        <f>IF(B345="","",IF(D345="","",D345+U345/1440))</f>
        <v>0</v>
      </c>
      <c r="W345" s="25">
        <f>IF(B345="","",IF(D345="","",HOUR(D345)))</f>
        <v>0</v>
      </c>
      <c r="X345" s="37">
        <f>IF(B345="","",ROUND(U345/60,2))</f>
        <v>0</v>
      </c>
      <c r="Y345" s="26">
        <f>IF(B345="","",IF(L345&lt;&gt;"",L345,IFERROR(INDEX(Services!$G$5:$G$204,MATCH(G345,Services!$A$5:$A$204,0))*1,0)))</f>
        <v>0</v>
      </c>
      <c r="Z345" s="26">
        <f>IF(B345="","",IF(O345&lt;&gt;"",O345,IF(Y345&gt;=DepositThreshold,ROUND(Y345*DepositPercent,2),0)))</f>
        <v>0</v>
      </c>
      <c r="AA345" s="26">
        <f>IF(B345="","",ROUND(SUMIFS(Payments!$G$5:$G$1204,Payments!$I$5:$I$1204,A345,Payments!$E$5:$E$1204,"Deposit"),2))</f>
        <v>0</v>
      </c>
      <c r="AB345" s="26">
        <f>IF(B345="","",ROUND(SUMIFS(Sales!$Y$5:$Y$1204,Sales!$C$5:$C$1204,A345),2))</f>
        <v>0</v>
      </c>
      <c r="AC345" s="38">
        <f>IF(B345="","",IF(M345="Completed","Yes",IF(M345="Cancelled","Yes",IF(M345="No show","Yes","No"))))</f>
        <v>0</v>
      </c>
      <c r="AD345" s="25">
        <f>IF(B345="","",IF(AE345="","",B345-AE345))</f>
        <v>0</v>
      </c>
      <c r="AF345" s="38">
        <f>IF(B345="","",IF(M345&lt;&gt;"Completed","",IF(E345="","No",IF(COUNTIFS(Appointments!$E$5:$E$1204,E345,Appointments!$B$5:$B$1204,"&gt;"&amp;B345,Appointments!$M$5:$M$1204,"&lt;&gt;Cancelled")&gt;0,"Yes","No"))))</f>
        <v>0</v>
      </c>
      <c r="AG345" s="38">
        <f>IF(B345="","",IF(I345="","",IF(D345="","",IF(COUNTIFS($I$5:$I$1204,I345,$B$5:$B$1204,B345,$D$5:$D$1204,"&lt;"&amp;V345,$V$5:$V$1204,"&gt;"&amp;D345,$M$5:$M$1204,"&lt;&gt;Cancelled")&gt;1,"Clash",""))))</f>
        <v>0</v>
      </c>
      <c r="AH345" s="39">
        <f>IF(B345="","",IF(AG345="Clash","Clash - stylist double booked",IF(I345="","Assign - no stylist yet",IF(G345="","Add - no service chosen",IF(M345="No show","No show - charge the fee?",IF(M345="Cancelled","",IF(IF(M345="Completed",AB345&lt;Y345-0.004,FALSE),"Unpaid - nothing rung up for this visit",IF(IF(B345&lt;TodayDate,M345="Booked",FALSE),"Overdue - past date, still only Booked",IF(IF(B345=TodayDate,TRUE,FALSE),"Today",IF(IF(Z345&gt;0,AA345&lt;Z345-0.004,FALSE),"Due - deposit not taken",IF(IF(B345&gt;TodayDate,B345&lt;=TodayDate+2,FALSE),"Confirm - coming up","OK")))))))))))</f>
        <v>0</v>
      </c>
    </row>
    <row r="346" spans="1:34">
      <c r="A346" s="28">
        <f>IF(B346="","",AppointmentPrefix&amp;TEXT(ROW()-4,"0000"))</f>
        <v>0</v>
      </c>
      <c r="C346" s="15">
        <f>IF(B346="","",TEXT(B346,"ddd"))</f>
        <v>0</v>
      </c>
      <c r="F346" s="15">
        <f>IF(E346="","",IFERROR(INDEX(Clients!$B$5:$B$504,MATCH(E346,Clients!$A$5:$A$504,0)),"Walk-in"))</f>
        <v>0</v>
      </c>
      <c r="H346" s="15">
        <f>IF(G346="","",IFERROR(INDEX(Services!$B$5:$B$204,MATCH(G346,Services!$A$5:$A$204,0)),"Not in Services"))</f>
        <v>0</v>
      </c>
      <c r="J346" s="15">
        <f>IF(I346="","",IFERROR(INDEX(Staff!$B$5:$B$44,MATCH(I346,Staff!$A$5:$A$44,0)),"Unassigned"))</f>
        <v>0</v>
      </c>
      <c r="S346" s="15">
        <f>IF(B346="","",TEXT(B346,"yyyy-mm"))</f>
        <v>0</v>
      </c>
      <c r="T346" s="25">
        <f>IF(B346="","",WEEKNUM(B346,2))</f>
        <v>0</v>
      </c>
      <c r="U346" s="25">
        <f>IF(B346="","",IF(K346&lt;&gt;"",K346,IFERROR(INDEX(Services!$E$5:$E$204,MATCH(G346,Services!$A$5:$A$204,0))*1,0)+IFERROR(INDEX(Services!$F$5:$F$204,MATCH(G346,Services!$A$5:$A$204,0))*1,0)))</f>
        <v>0</v>
      </c>
      <c r="V346" s="36">
        <f>IF(B346="","",IF(D346="","",D346+U346/1440))</f>
        <v>0</v>
      </c>
      <c r="W346" s="25">
        <f>IF(B346="","",IF(D346="","",HOUR(D346)))</f>
        <v>0</v>
      </c>
      <c r="X346" s="37">
        <f>IF(B346="","",ROUND(U346/60,2))</f>
        <v>0</v>
      </c>
      <c r="Y346" s="26">
        <f>IF(B346="","",IF(L346&lt;&gt;"",L346,IFERROR(INDEX(Services!$G$5:$G$204,MATCH(G346,Services!$A$5:$A$204,0))*1,0)))</f>
        <v>0</v>
      </c>
      <c r="Z346" s="26">
        <f>IF(B346="","",IF(O346&lt;&gt;"",O346,IF(Y346&gt;=DepositThreshold,ROUND(Y346*DepositPercent,2),0)))</f>
        <v>0</v>
      </c>
      <c r="AA346" s="26">
        <f>IF(B346="","",ROUND(SUMIFS(Payments!$G$5:$G$1204,Payments!$I$5:$I$1204,A346,Payments!$E$5:$E$1204,"Deposit"),2))</f>
        <v>0</v>
      </c>
      <c r="AB346" s="26">
        <f>IF(B346="","",ROUND(SUMIFS(Sales!$Y$5:$Y$1204,Sales!$C$5:$C$1204,A346),2))</f>
        <v>0</v>
      </c>
      <c r="AC346" s="38">
        <f>IF(B346="","",IF(M346="Completed","Yes",IF(M346="Cancelled","Yes",IF(M346="No show","Yes","No"))))</f>
        <v>0</v>
      </c>
      <c r="AD346" s="25">
        <f>IF(B346="","",IF(AE346="","",B346-AE346))</f>
        <v>0</v>
      </c>
      <c r="AF346" s="38">
        <f>IF(B346="","",IF(M346&lt;&gt;"Completed","",IF(E346="","No",IF(COUNTIFS(Appointments!$E$5:$E$1204,E346,Appointments!$B$5:$B$1204,"&gt;"&amp;B346,Appointments!$M$5:$M$1204,"&lt;&gt;Cancelled")&gt;0,"Yes","No"))))</f>
        <v>0</v>
      </c>
      <c r="AG346" s="38">
        <f>IF(B346="","",IF(I346="","",IF(D346="","",IF(COUNTIFS($I$5:$I$1204,I346,$B$5:$B$1204,B346,$D$5:$D$1204,"&lt;"&amp;V346,$V$5:$V$1204,"&gt;"&amp;D346,$M$5:$M$1204,"&lt;&gt;Cancelled")&gt;1,"Clash",""))))</f>
        <v>0</v>
      </c>
      <c r="AH346" s="39">
        <f>IF(B346="","",IF(AG346="Clash","Clash - stylist double booked",IF(I346="","Assign - no stylist yet",IF(G346="","Add - no service chosen",IF(M346="No show","No show - charge the fee?",IF(M346="Cancelled","",IF(IF(M346="Completed",AB346&lt;Y346-0.004,FALSE),"Unpaid - nothing rung up for this visit",IF(IF(B346&lt;TodayDate,M346="Booked",FALSE),"Overdue - past date, still only Booked",IF(IF(B346=TodayDate,TRUE,FALSE),"Today",IF(IF(Z346&gt;0,AA346&lt;Z346-0.004,FALSE),"Due - deposit not taken",IF(IF(B346&gt;TodayDate,B346&lt;=TodayDate+2,FALSE),"Confirm - coming up","OK")))))))))))</f>
        <v>0</v>
      </c>
    </row>
    <row r="347" spans="1:34">
      <c r="A347" s="28">
        <f>IF(B347="","",AppointmentPrefix&amp;TEXT(ROW()-4,"0000"))</f>
        <v>0</v>
      </c>
      <c r="C347" s="15">
        <f>IF(B347="","",TEXT(B347,"ddd"))</f>
        <v>0</v>
      </c>
      <c r="F347" s="15">
        <f>IF(E347="","",IFERROR(INDEX(Clients!$B$5:$B$504,MATCH(E347,Clients!$A$5:$A$504,0)),"Walk-in"))</f>
        <v>0</v>
      </c>
      <c r="H347" s="15">
        <f>IF(G347="","",IFERROR(INDEX(Services!$B$5:$B$204,MATCH(G347,Services!$A$5:$A$204,0)),"Not in Services"))</f>
        <v>0</v>
      </c>
      <c r="J347" s="15">
        <f>IF(I347="","",IFERROR(INDEX(Staff!$B$5:$B$44,MATCH(I347,Staff!$A$5:$A$44,0)),"Unassigned"))</f>
        <v>0</v>
      </c>
      <c r="S347" s="15">
        <f>IF(B347="","",TEXT(B347,"yyyy-mm"))</f>
        <v>0</v>
      </c>
      <c r="T347" s="25">
        <f>IF(B347="","",WEEKNUM(B347,2))</f>
        <v>0</v>
      </c>
      <c r="U347" s="25">
        <f>IF(B347="","",IF(K347&lt;&gt;"",K347,IFERROR(INDEX(Services!$E$5:$E$204,MATCH(G347,Services!$A$5:$A$204,0))*1,0)+IFERROR(INDEX(Services!$F$5:$F$204,MATCH(G347,Services!$A$5:$A$204,0))*1,0)))</f>
        <v>0</v>
      </c>
      <c r="V347" s="36">
        <f>IF(B347="","",IF(D347="","",D347+U347/1440))</f>
        <v>0</v>
      </c>
      <c r="W347" s="25">
        <f>IF(B347="","",IF(D347="","",HOUR(D347)))</f>
        <v>0</v>
      </c>
      <c r="X347" s="37">
        <f>IF(B347="","",ROUND(U347/60,2))</f>
        <v>0</v>
      </c>
      <c r="Y347" s="26">
        <f>IF(B347="","",IF(L347&lt;&gt;"",L347,IFERROR(INDEX(Services!$G$5:$G$204,MATCH(G347,Services!$A$5:$A$204,0))*1,0)))</f>
        <v>0</v>
      </c>
      <c r="Z347" s="26">
        <f>IF(B347="","",IF(O347&lt;&gt;"",O347,IF(Y347&gt;=DepositThreshold,ROUND(Y347*DepositPercent,2),0)))</f>
        <v>0</v>
      </c>
      <c r="AA347" s="26">
        <f>IF(B347="","",ROUND(SUMIFS(Payments!$G$5:$G$1204,Payments!$I$5:$I$1204,A347,Payments!$E$5:$E$1204,"Deposit"),2))</f>
        <v>0</v>
      </c>
      <c r="AB347" s="26">
        <f>IF(B347="","",ROUND(SUMIFS(Sales!$Y$5:$Y$1204,Sales!$C$5:$C$1204,A347),2))</f>
        <v>0</v>
      </c>
      <c r="AC347" s="38">
        <f>IF(B347="","",IF(M347="Completed","Yes",IF(M347="Cancelled","Yes",IF(M347="No show","Yes","No"))))</f>
        <v>0</v>
      </c>
      <c r="AD347" s="25">
        <f>IF(B347="","",IF(AE347="","",B347-AE347))</f>
        <v>0</v>
      </c>
      <c r="AF347" s="38">
        <f>IF(B347="","",IF(M347&lt;&gt;"Completed","",IF(E347="","No",IF(COUNTIFS(Appointments!$E$5:$E$1204,E347,Appointments!$B$5:$B$1204,"&gt;"&amp;B347,Appointments!$M$5:$M$1204,"&lt;&gt;Cancelled")&gt;0,"Yes","No"))))</f>
        <v>0</v>
      </c>
      <c r="AG347" s="38">
        <f>IF(B347="","",IF(I347="","",IF(D347="","",IF(COUNTIFS($I$5:$I$1204,I347,$B$5:$B$1204,B347,$D$5:$D$1204,"&lt;"&amp;V347,$V$5:$V$1204,"&gt;"&amp;D347,$M$5:$M$1204,"&lt;&gt;Cancelled")&gt;1,"Clash",""))))</f>
        <v>0</v>
      </c>
      <c r="AH347" s="39">
        <f>IF(B347="","",IF(AG347="Clash","Clash - stylist double booked",IF(I347="","Assign - no stylist yet",IF(G347="","Add - no service chosen",IF(M347="No show","No show - charge the fee?",IF(M347="Cancelled","",IF(IF(M347="Completed",AB347&lt;Y347-0.004,FALSE),"Unpaid - nothing rung up for this visit",IF(IF(B347&lt;TodayDate,M347="Booked",FALSE),"Overdue - past date, still only Booked",IF(IF(B347=TodayDate,TRUE,FALSE),"Today",IF(IF(Z347&gt;0,AA347&lt;Z347-0.004,FALSE),"Due - deposit not taken",IF(IF(B347&gt;TodayDate,B347&lt;=TodayDate+2,FALSE),"Confirm - coming up","OK")))))))))))</f>
        <v>0</v>
      </c>
    </row>
    <row r="348" spans="1:34">
      <c r="A348" s="28">
        <f>IF(B348="","",AppointmentPrefix&amp;TEXT(ROW()-4,"0000"))</f>
        <v>0</v>
      </c>
      <c r="C348" s="15">
        <f>IF(B348="","",TEXT(B348,"ddd"))</f>
        <v>0</v>
      </c>
      <c r="F348" s="15">
        <f>IF(E348="","",IFERROR(INDEX(Clients!$B$5:$B$504,MATCH(E348,Clients!$A$5:$A$504,0)),"Walk-in"))</f>
        <v>0</v>
      </c>
      <c r="H348" s="15">
        <f>IF(G348="","",IFERROR(INDEX(Services!$B$5:$B$204,MATCH(G348,Services!$A$5:$A$204,0)),"Not in Services"))</f>
        <v>0</v>
      </c>
      <c r="J348" s="15">
        <f>IF(I348="","",IFERROR(INDEX(Staff!$B$5:$B$44,MATCH(I348,Staff!$A$5:$A$44,0)),"Unassigned"))</f>
        <v>0</v>
      </c>
      <c r="S348" s="15">
        <f>IF(B348="","",TEXT(B348,"yyyy-mm"))</f>
        <v>0</v>
      </c>
      <c r="T348" s="25">
        <f>IF(B348="","",WEEKNUM(B348,2))</f>
        <v>0</v>
      </c>
      <c r="U348" s="25">
        <f>IF(B348="","",IF(K348&lt;&gt;"",K348,IFERROR(INDEX(Services!$E$5:$E$204,MATCH(G348,Services!$A$5:$A$204,0))*1,0)+IFERROR(INDEX(Services!$F$5:$F$204,MATCH(G348,Services!$A$5:$A$204,0))*1,0)))</f>
        <v>0</v>
      </c>
      <c r="V348" s="36">
        <f>IF(B348="","",IF(D348="","",D348+U348/1440))</f>
        <v>0</v>
      </c>
      <c r="W348" s="25">
        <f>IF(B348="","",IF(D348="","",HOUR(D348)))</f>
        <v>0</v>
      </c>
      <c r="X348" s="37">
        <f>IF(B348="","",ROUND(U348/60,2))</f>
        <v>0</v>
      </c>
      <c r="Y348" s="26">
        <f>IF(B348="","",IF(L348&lt;&gt;"",L348,IFERROR(INDEX(Services!$G$5:$G$204,MATCH(G348,Services!$A$5:$A$204,0))*1,0)))</f>
        <v>0</v>
      </c>
      <c r="Z348" s="26">
        <f>IF(B348="","",IF(O348&lt;&gt;"",O348,IF(Y348&gt;=DepositThreshold,ROUND(Y348*DepositPercent,2),0)))</f>
        <v>0</v>
      </c>
      <c r="AA348" s="26">
        <f>IF(B348="","",ROUND(SUMIFS(Payments!$G$5:$G$1204,Payments!$I$5:$I$1204,A348,Payments!$E$5:$E$1204,"Deposit"),2))</f>
        <v>0</v>
      </c>
      <c r="AB348" s="26">
        <f>IF(B348="","",ROUND(SUMIFS(Sales!$Y$5:$Y$1204,Sales!$C$5:$C$1204,A348),2))</f>
        <v>0</v>
      </c>
      <c r="AC348" s="38">
        <f>IF(B348="","",IF(M348="Completed","Yes",IF(M348="Cancelled","Yes",IF(M348="No show","Yes","No"))))</f>
        <v>0</v>
      </c>
      <c r="AD348" s="25">
        <f>IF(B348="","",IF(AE348="","",B348-AE348))</f>
        <v>0</v>
      </c>
      <c r="AF348" s="38">
        <f>IF(B348="","",IF(M348&lt;&gt;"Completed","",IF(E348="","No",IF(COUNTIFS(Appointments!$E$5:$E$1204,E348,Appointments!$B$5:$B$1204,"&gt;"&amp;B348,Appointments!$M$5:$M$1204,"&lt;&gt;Cancelled")&gt;0,"Yes","No"))))</f>
        <v>0</v>
      </c>
      <c r="AG348" s="38">
        <f>IF(B348="","",IF(I348="","",IF(D348="","",IF(COUNTIFS($I$5:$I$1204,I348,$B$5:$B$1204,B348,$D$5:$D$1204,"&lt;"&amp;V348,$V$5:$V$1204,"&gt;"&amp;D348,$M$5:$M$1204,"&lt;&gt;Cancelled")&gt;1,"Clash",""))))</f>
        <v>0</v>
      </c>
      <c r="AH348" s="39">
        <f>IF(B348="","",IF(AG348="Clash","Clash - stylist double booked",IF(I348="","Assign - no stylist yet",IF(G348="","Add - no service chosen",IF(M348="No show","No show - charge the fee?",IF(M348="Cancelled","",IF(IF(M348="Completed",AB348&lt;Y348-0.004,FALSE),"Unpaid - nothing rung up for this visit",IF(IF(B348&lt;TodayDate,M348="Booked",FALSE),"Overdue - past date, still only Booked",IF(IF(B348=TodayDate,TRUE,FALSE),"Today",IF(IF(Z348&gt;0,AA348&lt;Z348-0.004,FALSE),"Due - deposit not taken",IF(IF(B348&gt;TodayDate,B348&lt;=TodayDate+2,FALSE),"Confirm - coming up","OK")))))))))))</f>
        <v>0</v>
      </c>
    </row>
    <row r="349" spans="1:34">
      <c r="A349" s="28">
        <f>IF(B349="","",AppointmentPrefix&amp;TEXT(ROW()-4,"0000"))</f>
        <v>0</v>
      </c>
      <c r="C349" s="15">
        <f>IF(B349="","",TEXT(B349,"ddd"))</f>
        <v>0</v>
      </c>
      <c r="F349" s="15">
        <f>IF(E349="","",IFERROR(INDEX(Clients!$B$5:$B$504,MATCH(E349,Clients!$A$5:$A$504,0)),"Walk-in"))</f>
        <v>0</v>
      </c>
      <c r="H349" s="15">
        <f>IF(G349="","",IFERROR(INDEX(Services!$B$5:$B$204,MATCH(G349,Services!$A$5:$A$204,0)),"Not in Services"))</f>
        <v>0</v>
      </c>
      <c r="J349" s="15">
        <f>IF(I349="","",IFERROR(INDEX(Staff!$B$5:$B$44,MATCH(I349,Staff!$A$5:$A$44,0)),"Unassigned"))</f>
        <v>0</v>
      </c>
      <c r="S349" s="15">
        <f>IF(B349="","",TEXT(B349,"yyyy-mm"))</f>
        <v>0</v>
      </c>
      <c r="T349" s="25">
        <f>IF(B349="","",WEEKNUM(B349,2))</f>
        <v>0</v>
      </c>
      <c r="U349" s="25">
        <f>IF(B349="","",IF(K349&lt;&gt;"",K349,IFERROR(INDEX(Services!$E$5:$E$204,MATCH(G349,Services!$A$5:$A$204,0))*1,0)+IFERROR(INDEX(Services!$F$5:$F$204,MATCH(G349,Services!$A$5:$A$204,0))*1,0)))</f>
        <v>0</v>
      </c>
      <c r="V349" s="36">
        <f>IF(B349="","",IF(D349="","",D349+U349/1440))</f>
        <v>0</v>
      </c>
      <c r="W349" s="25">
        <f>IF(B349="","",IF(D349="","",HOUR(D349)))</f>
        <v>0</v>
      </c>
      <c r="X349" s="37">
        <f>IF(B349="","",ROUND(U349/60,2))</f>
        <v>0</v>
      </c>
      <c r="Y349" s="26">
        <f>IF(B349="","",IF(L349&lt;&gt;"",L349,IFERROR(INDEX(Services!$G$5:$G$204,MATCH(G349,Services!$A$5:$A$204,0))*1,0)))</f>
        <v>0</v>
      </c>
      <c r="Z349" s="26">
        <f>IF(B349="","",IF(O349&lt;&gt;"",O349,IF(Y349&gt;=DepositThreshold,ROUND(Y349*DepositPercent,2),0)))</f>
        <v>0</v>
      </c>
      <c r="AA349" s="26">
        <f>IF(B349="","",ROUND(SUMIFS(Payments!$G$5:$G$1204,Payments!$I$5:$I$1204,A349,Payments!$E$5:$E$1204,"Deposit"),2))</f>
        <v>0</v>
      </c>
      <c r="AB349" s="26">
        <f>IF(B349="","",ROUND(SUMIFS(Sales!$Y$5:$Y$1204,Sales!$C$5:$C$1204,A349),2))</f>
        <v>0</v>
      </c>
      <c r="AC349" s="38">
        <f>IF(B349="","",IF(M349="Completed","Yes",IF(M349="Cancelled","Yes",IF(M349="No show","Yes","No"))))</f>
        <v>0</v>
      </c>
      <c r="AD349" s="25">
        <f>IF(B349="","",IF(AE349="","",B349-AE349))</f>
        <v>0</v>
      </c>
      <c r="AF349" s="38">
        <f>IF(B349="","",IF(M349&lt;&gt;"Completed","",IF(E349="","No",IF(COUNTIFS(Appointments!$E$5:$E$1204,E349,Appointments!$B$5:$B$1204,"&gt;"&amp;B349,Appointments!$M$5:$M$1204,"&lt;&gt;Cancelled")&gt;0,"Yes","No"))))</f>
        <v>0</v>
      </c>
      <c r="AG349" s="38">
        <f>IF(B349="","",IF(I349="","",IF(D349="","",IF(COUNTIFS($I$5:$I$1204,I349,$B$5:$B$1204,B349,$D$5:$D$1204,"&lt;"&amp;V349,$V$5:$V$1204,"&gt;"&amp;D349,$M$5:$M$1204,"&lt;&gt;Cancelled")&gt;1,"Clash",""))))</f>
        <v>0</v>
      </c>
      <c r="AH349" s="39">
        <f>IF(B349="","",IF(AG349="Clash","Clash - stylist double booked",IF(I349="","Assign - no stylist yet",IF(G349="","Add - no service chosen",IF(M349="No show","No show - charge the fee?",IF(M349="Cancelled","",IF(IF(M349="Completed",AB349&lt;Y349-0.004,FALSE),"Unpaid - nothing rung up for this visit",IF(IF(B349&lt;TodayDate,M349="Booked",FALSE),"Overdue - past date, still only Booked",IF(IF(B349=TodayDate,TRUE,FALSE),"Today",IF(IF(Z349&gt;0,AA349&lt;Z349-0.004,FALSE),"Due - deposit not taken",IF(IF(B349&gt;TodayDate,B349&lt;=TodayDate+2,FALSE),"Confirm - coming up","OK")))))))))))</f>
        <v>0</v>
      </c>
    </row>
    <row r="350" spans="1:34">
      <c r="A350" s="28">
        <f>IF(B350="","",AppointmentPrefix&amp;TEXT(ROW()-4,"0000"))</f>
        <v>0</v>
      </c>
      <c r="C350" s="15">
        <f>IF(B350="","",TEXT(B350,"ddd"))</f>
        <v>0</v>
      </c>
      <c r="F350" s="15">
        <f>IF(E350="","",IFERROR(INDEX(Clients!$B$5:$B$504,MATCH(E350,Clients!$A$5:$A$504,0)),"Walk-in"))</f>
        <v>0</v>
      </c>
      <c r="H350" s="15">
        <f>IF(G350="","",IFERROR(INDEX(Services!$B$5:$B$204,MATCH(G350,Services!$A$5:$A$204,0)),"Not in Services"))</f>
        <v>0</v>
      </c>
      <c r="J350" s="15">
        <f>IF(I350="","",IFERROR(INDEX(Staff!$B$5:$B$44,MATCH(I350,Staff!$A$5:$A$44,0)),"Unassigned"))</f>
        <v>0</v>
      </c>
      <c r="S350" s="15">
        <f>IF(B350="","",TEXT(B350,"yyyy-mm"))</f>
        <v>0</v>
      </c>
      <c r="T350" s="25">
        <f>IF(B350="","",WEEKNUM(B350,2))</f>
        <v>0</v>
      </c>
      <c r="U350" s="25">
        <f>IF(B350="","",IF(K350&lt;&gt;"",K350,IFERROR(INDEX(Services!$E$5:$E$204,MATCH(G350,Services!$A$5:$A$204,0))*1,0)+IFERROR(INDEX(Services!$F$5:$F$204,MATCH(G350,Services!$A$5:$A$204,0))*1,0)))</f>
        <v>0</v>
      </c>
      <c r="V350" s="36">
        <f>IF(B350="","",IF(D350="","",D350+U350/1440))</f>
        <v>0</v>
      </c>
      <c r="W350" s="25">
        <f>IF(B350="","",IF(D350="","",HOUR(D350)))</f>
        <v>0</v>
      </c>
      <c r="X350" s="37">
        <f>IF(B350="","",ROUND(U350/60,2))</f>
        <v>0</v>
      </c>
      <c r="Y350" s="26">
        <f>IF(B350="","",IF(L350&lt;&gt;"",L350,IFERROR(INDEX(Services!$G$5:$G$204,MATCH(G350,Services!$A$5:$A$204,0))*1,0)))</f>
        <v>0</v>
      </c>
      <c r="Z350" s="26">
        <f>IF(B350="","",IF(O350&lt;&gt;"",O350,IF(Y350&gt;=DepositThreshold,ROUND(Y350*DepositPercent,2),0)))</f>
        <v>0</v>
      </c>
      <c r="AA350" s="26">
        <f>IF(B350="","",ROUND(SUMIFS(Payments!$G$5:$G$1204,Payments!$I$5:$I$1204,A350,Payments!$E$5:$E$1204,"Deposit"),2))</f>
        <v>0</v>
      </c>
      <c r="AB350" s="26">
        <f>IF(B350="","",ROUND(SUMIFS(Sales!$Y$5:$Y$1204,Sales!$C$5:$C$1204,A350),2))</f>
        <v>0</v>
      </c>
      <c r="AC350" s="38">
        <f>IF(B350="","",IF(M350="Completed","Yes",IF(M350="Cancelled","Yes",IF(M350="No show","Yes","No"))))</f>
        <v>0</v>
      </c>
      <c r="AD350" s="25">
        <f>IF(B350="","",IF(AE350="","",B350-AE350))</f>
        <v>0</v>
      </c>
      <c r="AF350" s="38">
        <f>IF(B350="","",IF(M350&lt;&gt;"Completed","",IF(E350="","No",IF(COUNTIFS(Appointments!$E$5:$E$1204,E350,Appointments!$B$5:$B$1204,"&gt;"&amp;B350,Appointments!$M$5:$M$1204,"&lt;&gt;Cancelled")&gt;0,"Yes","No"))))</f>
        <v>0</v>
      </c>
      <c r="AG350" s="38">
        <f>IF(B350="","",IF(I350="","",IF(D350="","",IF(COUNTIFS($I$5:$I$1204,I350,$B$5:$B$1204,B350,$D$5:$D$1204,"&lt;"&amp;V350,$V$5:$V$1204,"&gt;"&amp;D350,$M$5:$M$1204,"&lt;&gt;Cancelled")&gt;1,"Clash",""))))</f>
        <v>0</v>
      </c>
      <c r="AH350" s="39">
        <f>IF(B350="","",IF(AG350="Clash","Clash - stylist double booked",IF(I350="","Assign - no stylist yet",IF(G350="","Add - no service chosen",IF(M350="No show","No show - charge the fee?",IF(M350="Cancelled","",IF(IF(M350="Completed",AB350&lt;Y350-0.004,FALSE),"Unpaid - nothing rung up for this visit",IF(IF(B350&lt;TodayDate,M350="Booked",FALSE),"Overdue - past date, still only Booked",IF(IF(B350=TodayDate,TRUE,FALSE),"Today",IF(IF(Z350&gt;0,AA350&lt;Z350-0.004,FALSE),"Due - deposit not taken",IF(IF(B350&gt;TodayDate,B350&lt;=TodayDate+2,FALSE),"Confirm - coming up","OK")))))))))))</f>
        <v>0</v>
      </c>
    </row>
    <row r="351" spans="1:34">
      <c r="A351" s="28">
        <f>IF(B351="","",AppointmentPrefix&amp;TEXT(ROW()-4,"0000"))</f>
        <v>0</v>
      </c>
      <c r="C351" s="15">
        <f>IF(B351="","",TEXT(B351,"ddd"))</f>
        <v>0</v>
      </c>
      <c r="F351" s="15">
        <f>IF(E351="","",IFERROR(INDEX(Clients!$B$5:$B$504,MATCH(E351,Clients!$A$5:$A$504,0)),"Walk-in"))</f>
        <v>0</v>
      </c>
      <c r="H351" s="15">
        <f>IF(G351="","",IFERROR(INDEX(Services!$B$5:$B$204,MATCH(G351,Services!$A$5:$A$204,0)),"Not in Services"))</f>
        <v>0</v>
      </c>
      <c r="J351" s="15">
        <f>IF(I351="","",IFERROR(INDEX(Staff!$B$5:$B$44,MATCH(I351,Staff!$A$5:$A$44,0)),"Unassigned"))</f>
        <v>0</v>
      </c>
      <c r="S351" s="15">
        <f>IF(B351="","",TEXT(B351,"yyyy-mm"))</f>
        <v>0</v>
      </c>
      <c r="T351" s="25">
        <f>IF(B351="","",WEEKNUM(B351,2))</f>
        <v>0</v>
      </c>
      <c r="U351" s="25">
        <f>IF(B351="","",IF(K351&lt;&gt;"",K351,IFERROR(INDEX(Services!$E$5:$E$204,MATCH(G351,Services!$A$5:$A$204,0))*1,0)+IFERROR(INDEX(Services!$F$5:$F$204,MATCH(G351,Services!$A$5:$A$204,0))*1,0)))</f>
        <v>0</v>
      </c>
      <c r="V351" s="36">
        <f>IF(B351="","",IF(D351="","",D351+U351/1440))</f>
        <v>0</v>
      </c>
      <c r="W351" s="25">
        <f>IF(B351="","",IF(D351="","",HOUR(D351)))</f>
        <v>0</v>
      </c>
      <c r="X351" s="37">
        <f>IF(B351="","",ROUND(U351/60,2))</f>
        <v>0</v>
      </c>
      <c r="Y351" s="26">
        <f>IF(B351="","",IF(L351&lt;&gt;"",L351,IFERROR(INDEX(Services!$G$5:$G$204,MATCH(G351,Services!$A$5:$A$204,0))*1,0)))</f>
        <v>0</v>
      </c>
      <c r="Z351" s="26">
        <f>IF(B351="","",IF(O351&lt;&gt;"",O351,IF(Y351&gt;=DepositThreshold,ROUND(Y351*DepositPercent,2),0)))</f>
        <v>0</v>
      </c>
      <c r="AA351" s="26">
        <f>IF(B351="","",ROUND(SUMIFS(Payments!$G$5:$G$1204,Payments!$I$5:$I$1204,A351,Payments!$E$5:$E$1204,"Deposit"),2))</f>
        <v>0</v>
      </c>
      <c r="AB351" s="26">
        <f>IF(B351="","",ROUND(SUMIFS(Sales!$Y$5:$Y$1204,Sales!$C$5:$C$1204,A351),2))</f>
        <v>0</v>
      </c>
      <c r="AC351" s="38">
        <f>IF(B351="","",IF(M351="Completed","Yes",IF(M351="Cancelled","Yes",IF(M351="No show","Yes","No"))))</f>
        <v>0</v>
      </c>
      <c r="AD351" s="25">
        <f>IF(B351="","",IF(AE351="","",B351-AE351))</f>
        <v>0</v>
      </c>
      <c r="AF351" s="38">
        <f>IF(B351="","",IF(M351&lt;&gt;"Completed","",IF(E351="","No",IF(COUNTIFS(Appointments!$E$5:$E$1204,E351,Appointments!$B$5:$B$1204,"&gt;"&amp;B351,Appointments!$M$5:$M$1204,"&lt;&gt;Cancelled")&gt;0,"Yes","No"))))</f>
        <v>0</v>
      </c>
      <c r="AG351" s="38">
        <f>IF(B351="","",IF(I351="","",IF(D351="","",IF(COUNTIFS($I$5:$I$1204,I351,$B$5:$B$1204,B351,$D$5:$D$1204,"&lt;"&amp;V351,$V$5:$V$1204,"&gt;"&amp;D351,$M$5:$M$1204,"&lt;&gt;Cancelled")&gt;1,"Clash",""))))</f>
        <v>0</v>
      </c>
      <c r="AH351" s="39">
        <f>IF(B351="","",IF(AG351="Clash","Clash - stylist double booked",IF(I351="","Assign - no stylist yet",IF(G351="","Add - no service chosen",IF(M351="No show","No show - charge the fee?",IF(M351="Cancelled","",IF(IF(M351="Completed",AB351&lt;Y351-0.004,FALSE),"Unpaid - nothing rung up for this visit",IF(IF(B351&lt;TodayDate,M351="Booked",FALSE),"Overdue - past date, still only Booked",IF(IF(B351=TodayDate,TRUE,FALSE),"Today",IF(IF(Z351&gt;0,AA351&lt;Z351-0.004,FALSE),"Due - deposit not taken",IF(IF(B351&gt;TodayDate,B351&lt;=TodayDate+2,FALSE),"Confirm - coming up","OK")))))))))))</f>
        <v>0</v>
      </c>
    </row>
    <row r="352" spans="1:34">
      <c r="A352" s="28">
        <f>IF(B352="","",AppointmentPrefix&amp;TEXT(ROW()-4,"0000"))</f>
        <v>0</v>
      </c>
      <c r="C352" s="15">
        <f>IF(B352="","",TEXT(B352,"ddd"))</f>
        <v>0</v>
      </c>
      <c r="F352" s="15">
        <f>IF(E352="","",IFERROR(INDEX(Clients!$B$5:$B$504,MATCH(E352,Clients!$A$5:$A$504,0)),"Walk-in"))</f>
        <v>0</v>
      </c>
      <c r="H352" s="15">
        <f>IF(G352="","",IFERROR(INDEX(Services!$B$5:$B$204,MATCH(G352,Services!$A$5:$A$204,0)),"Not in Services"))</f>
        <v>0</v>
      </c>
      <c r="J352" s="15">
        <f>IF(I352="","",IFERROR(INDEX(Staff!$B$5:$B$44,MATCH(I352,Staff!$A$5:$A$44,0)),"Unassigned"))</f>
        <v>0</v>
      </c>
      <c r="S352" s="15">
        <f>IF(B352="","",TEXT(B352,"yyyy-mm"))</f>
        <v>0</v>
      </c>
      <c r="T352" s="25">
        <f>IF(B352="","",WEEKNUM(B352,2))</f>
        <v>0</v>
      </c>
      <c r="U352" s="25">
        <f>IF(B352="","",IF(K352&lt;&gt;"",K352,IFERROR(INDEX(Services!$E$5:$E$204,MATCH(G352,Services!$A$5:$A$204,0))*1,0)+IFERROR(INDEX(Services!$F$5:$F$204,MATCH(G352,Services!$A$5:$A$204,0))*1,0)))</f>
        <v>0</v>
      </c>
      <c r="V352" s="36">
        <f>IF(B352="","",IF(D352="","",D352+U352/1440))</f>
        <v>0</v>
      </c>
      <c r="W352" s="25">
        <f>IF(B352="","",IF(D352="","",HOUR(D352)))</f>
        <v>0</v>
      </c>
      <c r="X352" s="37">
        <f>IF(B352="","",ROUND(U352/60,2))</f>
        <v>0</v>
      </c>
      <c r="Y352" s="26">
        <f>IF(B352="","",IF(L352&lt;&gt;"",L352,IFERROR(INDEX(Services!$G$5:$G$204,MATCH(G352,Services!$A$5:$A$204,0))*1,0)))</f>
        <v>0</v>
      </c>
      <c r="Z352" s="26">
        <f>IF(B352="","",IF(O352&lt;&gt;"",O352,IF(Y352&gt;=DepositThreshold,ROUND(Y352*DepositPercent,2),0)))</f>
        <v>0</v>
      </c>
      <c r="AA352" s="26">
        <f>IF(B352="","",ROUND(SUMIFS(Payments!$G$5:$G$1204,Payments!$I$5:$I$1204,A352,Payments!$E$5:$E$1204,"Deposit"),2))</f>
        <v>0</v>
      </c>
      <c r="AB352" s="26">
        <f>IF(B352="","",ROUND(SUMIFS(Sales!$Y$5:$Y$1204,Sales!$C$5:$C$1204,A352),2))</f>
        <v>0</v>
      </c>
      <c r="AC352" s="38">
        <f>IF(B352="","",IF(M352="Completed","Yes",IF(M352="Cancelled","Yes",IF(M352="No show","Yes","No"))))</f>
        <v>0</v>
      </c>
      <c r="AD352" s="25">
        <f>IF(B352="","",IF(AE352="","",B352-AE352))</f>
        <v>0</v>
      </c>
      <c r="AF352" s="38">
        <f>IF(B352="","",IF(M352&lt;&gt;"Completed","",IF(E352="","No",IF(COUNTIFS(Appointments!$E$5:$E$1204,E352,Appointments!$B$5:$B$1204,"&gt;"&amp;B352,Appointments!$M$5:$M$1204,"&lt;&gt;Cancelled")&gt;0,"Yes","No"))))</f>
        <v>0</v>
      </c>
      <c r="AG352" s="38">
        <f>IF(B352="","",IF(I352="","",IF(D352="","",IF(COUNTIFS($I$5:$I$1204,I352,$B$5:$B$1204,B352,$D$5:$D$1204,"&lt;"&amp;V352,$V$5:$V$1204,"&gt;"&amp;D352,$M$5:$M$1204,"&lt;&gt;Cancelled")&gt;1,"Clash",""))))</f>
        <v>0</v>
      </c>
      <c r="AH352" s="39">
        <f>IF(B352="","",IF(AG352="Clash","Clash - stylist double booked",IF(I352="","Assign - no stylist yet",IF(G352="","Add - no service chosen",IF(M352="No show","No show - charge the fee?",IF(M352="Cancelled","",IF(IF(M352="Completed",AB352&lt;Y352-0.004,FALSE),"Unpaid - nothing rung up for this visit",IF(IF(B352&lt;TodayDate,M352="Booked",FALSE),"Overdue - past date, still only Booked",IF(IF(B352=TodayDate,TRUE,FALSE),"Today",IF(IF(Z352&gt;0,AA352&lt;Z352-0.004,FALSE),"Due - deposit not taken",IF(IF(B352&gt;TodayDate,B352&lt;=TodayDate+2,FALSE),"Confirm - coming up","OK")))))))))))</f>
        <v>0</v>
      </c>
    </row>
    <row r="353" spans="1:34">
      <c r="A353" s="28">
        <f>IF(B353="","",AppointmentPrefix&amp;TEXT(ROW()-4,"0000"))</f>
        <v>0</v>
      </c>
      <c r="C353" s="15">
        <f>IF(B353="","",TEXT(B353,"ddd"))</f>
        <v>0</v>
      </c>
      <c r="F353" s="15">
        <f>IF(E353="","",IFERROR(INDEX(Clients!$B$5:$B$504,MATCH(E353,Clients!$A$5:$A$504,0)),"Walk-in"))</f>
        <v>0</v>
      </c>
      <c r="H353" s="15">
        <f>IF(G353="","",IFERROR(INDEX(Services!$B$5:$B$204,MATCH(G353,Services!$A$5:$A$204,0)),"Not in Services"))</f>
        <v>0</v>
      </c>
      <c r="J353" s="15">
        <f>IF(I353="","",IFERROR(INDEX(Staff!$B$5:$B$44,MATCH(I353,Staff!$A$5:$A$44,0)),"Unassigned"))</f>
        <v>0</v>
      </c>
      <c r="S353" s="15">
        <f>IF(B353="","",TEXT(B353,"yyyy-mm"))</f>
        <v>0</v>
      </c>
      <c r="T353" s="25">
        <f>IF(B353="","",WEEKNUM(B353,2))</f>
        <v>0</v>
      </c>
      <c r="U353" s="25">
        <f>IF(B353="","",IF(K353&lt;&gt;"",K353,IFERROR(INDEX(Services!$E$5:$E$204,MATCH(G353,Services!$A$5:$A$204,0))*1,0)+IFERROR(INDEX(Services!$F$5:$F$204,MATCH(G353,Services!$A$5:$A$204,0))*1,0)))</f>
        <v>0</v>
      </c>
      <c r="V353" s="36">
        <f>IF(B353="","",IF(D353="","",D353+U353/1440))</f>
        <v>0</v>
      </c>
      <c r="W353" s="25">
        <f>IF(B353="","",IF(D353="","",HOUR(D353)))</f>
        <v>0</v>
      </c>
      <c r="X353" s="37">
        <f>IF(B353="","",ROUND(U353/60,2))</f>
        <v>0</v>
      </c>
      <c r="Y353" s="26">
        <f>IF(B353="","",IF(L353&lt;&gt;"",L353,IFERROR(INDEX(Services!$G$5:$G$204,MATCH(G353,Services!$A$5:$A$204,0))*1,0)))</f>
        <v>0</v>
      </c>
      <c r="Z353" s="26">
        <f>IF(B353="","",IF(O353&lt;&gt;"",O353,IF(Y353&gt;=DepositThreshold,ROUND(Y353*DepositPercent,2),0)))</f>
        <v>0</v>
      </c>
      <c r="AA353" s="26">
        <f>IF(B353="","",ROUND(SUMIFS(Payments!$G$5:$G$1204,Payments!$I$5:$I$1204,A353,Payments!$E$5:$E$1204,"Deposit"),2))</f>
        <v>0</v>
      </c>
      <c r="AB353" s="26">
        <f>IF(B353="","",ROUND(SUMIFS(Sales!$Y$5:$Y$1204,Sales!$C$5:$C$1204,A353),2))</f>
        <v>0</v>
      </c>
      <c r="AC353" s="38">
        <f>IF(B353="","",IF(M353="Completed","Yes",IF(M353="Cancelled","Yes",IF(M353="No show","Yes","No"))))</f>
        <v>0</v>
      </c>
      <c r="AD353" s="25">
        <f>IF(B353="","",IF(AE353="","",B353-AE353))</f>
        <v>0</v>
      </c>
      <c r="AF353" s="38">
        <f>IF(B353="","",IF(M353&lt;&gt;"Completed","",IF(E353="","No",IF(COUNTIFS(Appointments!$E$5:$E$1204,E353,Appointments!$B$5:$B$1204,"&gt;"&amp;B353,Appointments!$M$5:$M$1204,"&lt;&gt;Cancelled")&gt;0,"Yes","No"))))</f>
        <v>0</v>
      </c>
      <c r="AG353" s="38">
        <f>IF(B353="","",IF(I353="","",IF(D353="","",IF(COUNTIFS($I$5:$I$1204,I353,$B$5:$B$1204,B353,$D$5:$D$1204,"&lt;"&amp;V353,$V$5:$V$1204,"&gt;"&amp;D353,$M$5:$M$1204,"&lt;&gt;Cancelled")&gt;1,"Clash",""))))</f>
        <v>0</v>
      </c>
      <c r="AH353" s="39">
        <f>IF(B353="","",IF(AG353="Clash","Clash - stylist double booked",IF(I353="","Assign - no stylist yet",IF(G353="","Add - no service chosen",IF(M353="No show","No show - charge the fee?",IF(M353="Cancelled","",IF(IF(M353="Completed",AB353&lt;Y353-0.004,FALSE),"Unpaid - nothing rung up for this visit",IF(IF(B353&lt;TodayDate,M353="Booked",FALSE),"Overdue - past date, still only Booked",IF(IF(B353=TodayDate,TRUE,FALSE),"Today",IF(IF(Z353&gt;0,AA353&lt;Z353-0.004,FALSE),"Due - deposit not taken",IF(IF(B353&gt;TodayDate,B353&lt;=TodayDate+2,FALSE),"Confirm - coming up","OK")))))))))))</f>
        <v>0</v>
      </c>
    </row>
    <row r="354" spans="1:34">
      <c r="A354" s="28">
        <f>IF(B354="","",AppointmentPrefix&amp;TEXT(ROW()-4,"0000"))</f>
        <v>0</v>
      </c>
      <c r="C354" s="15">
        <f>IF(B354="","",TEXT(B354,"ddd"))</f>
        <v>0</v>
      </c>
      <c r="F354" s="15">
        <f>IF(E354="","",IFERROR(INDEX(Clients!$B$5:$B$504,MATCH(E354,Clients!$A$5:$A$504,0)),"Walk-in"))</f>
        <v>0</v>
      </c>
      <c r="H354" s="15">
        <f>IF(G354="","",IFERROR(INDEX(Services!$B$5:$B$204,MATCH(G354,Services!$A$5:$A$204,0)),"Not in Services"))</f>
        <v>0</v>
      </c>
      <c r="J354" s="15">
        <f>IF(I354="","",IFERROR(INDEX(Staff!$B$5:$B$44,MATCH(I354,Staff!$A$5:$A$44,0)),"Unassigned"))</f>
        <v>0</v>
      </c>
      <c r="S354" s="15">
        <f>IF(B354="","",TEXT(B354,"yyyy-mm"))</f>
        <v>0</v>
      </c>
      <c r="T354" s="25">
        <f>IF(B354="","",WEEKNUM(B354,2))</f>
        <v>0</v>
      </c>
      <c r="U354" s="25">
        <f>IF(B354="","",IF(K354&lt;&gt;"",K354,IFERROR(INDEX(Services!$E$5:$E$204,MATCH(G354,Services!$A$5:$A$204,0))*1,0)+IFERROR(INDEX(Services!$F$5:$F$204,MATCH(G354,Services!$A$5:$A$204,0))*1,0)))</f>
        <v>0</v>
      </c>
      <c r="V354" s="36">
        <f>IF(B354="","",IF(D354="","",D354+U354/1440))</f>
        <v>0</v>
      </c>
      <c r="W354" s="25">
        <f>IF(B354="","",IF(D354="","",HOUR(D354)))</f>
        <v>0</v>
      </c>
      <c r="X354" s="37">
        <f>IF(B354="","",ROUND(U354/60,2))</f>
        <v>0</v>
      </c>
      <c r="Y354" s="26">
        <f>IF(B354="","",IF(L354&lt;&gt;"",L354,IFERROR(INDEX(Services!$G$5:$G$204,MATCH(G354,Services!$A$5:$A$204,0))*1,0)))</f>
        <v>0</v>
      </c>
      <c r="Z354" s="26">
        <f>IF(B354="","",IF(O354&lt;&gt;"",O354,IF(Y354&gt;=DepositThreshold,ROUND(Y354*DepositPercent,2),0)))</f>
        <v>0</v>
      </c>
      <c r="AA354" s="26">
        <f>IF(B354="","",ROUND(SUMIFS(Payments!$G$5:$G$1204,Payments!$I$5:$I$1204,A354,Payments!$E$5:$E$1204,"Deposit"),2))</f>
        <v>0</v>
      </c>
      <c r="AB354" s="26">
        <f>IF(B354="","",ROUND(SUMIFS(Sales!$Y$5:$Y$1204,Sales!$C$5:$C$1204,A354),2))</f>
        <v>0</v>
      </c>
      <c r="AC354" s="38">
        <f>IF(B354="","",IF(M354="Completed","Yes",IF(M354="Cancelled","Yes",IF(M354="No show","Yes","No"))))</f>
        <v>0</v>
      </c>
      <c r="AD354" s="25">
        <f>IF(B354="","",IF(AE354="","",B354-AE354))</f>
        <v>0</v>
      </c>
      <c r="AF354" s="38">
        <f>IF(B354="","",IF(M354&lt;&gt;"Completed","",IF(E354="","No",IF(COUNTIFS(Appointments!$E$5:$E$1204,E354,Appointments!$B$5:$B$1204,"&gt;"&amp;B354,Appointments!$M$5:$M$1204,"&lt;&gt;Cancelled")&gt;0,"Yes","No"))))</f>
        <v>0</v>
      </c>
      <c r="AG354" s="38">
        <f>IF(B354="","",IF(I354="","",IF(D354="","",IF(COUNTIFS($I$5:$I$1204,I354,$B$5:$B$1204,B354,$D$5:$D$1204,"&lt;"&amp;V354,$V$5:$V$1204,"&gt;"&amp;D354,$M$5:$M$1204,"&lt;&gt;Cancelled")&gt;1,"Clash",""))))</f>
        <v>0</v>
      </c>
      <c r="AH354" s="39">
        <f>IF(B354="","",IF(AG354="Clash","Clash - stylist double booked",IF(I354="","Assign - no stylist yet",IF(G354="","Add - no service chosen",IF(M354="No show","No show - charge the fee?",IF(M354="Cancelled","",IF(IF(M354="Completed",AB354&lt;Y354-0.004,FALSE),"Unpaid - nothing rung up for this visit",IF(IF(B354&lt;TodayDate,M354="Booked",FALSE),"Overdue - past date, still only Booked",IF(IF(B354=TodayDate,TRUE,FALSE),"Today",IF(IF(Z354&gt;0,AA354&lt;Z354-0.004,FALSE),"Due - deposit not taken",IF(IF(B354&gt;TodayDate,B354&lt;=TodayDate+2,FALSE),"Confirm - coming up","OK")))))))))))</f>
        <v>0</v>
      </c>
    </row>
    <row r="355" spans="1:34">
      <c r="A355" s="28">
        <f>IF(B355="","",AppointmentPrefix&amp;TEXT(ROW()-4,"0000"))</f>
        <v>0</v>
      </c>
      <c r="C355" s="15">
        <f>IF(B355="","",TEXT(B355,"ddd"))</f>
        <v>0</v>
      </c>
      <c r="F355" s="15">
        <f>IF(E355="","",IFERROR(INDEX(Clients!$B$5:$B$504,MATCH(E355,Clients!$A$5:$A$504,0)),"Walk-in"))</f>
        <v>0</v>
      </c>
      <c r="H355" s="15">
        <f>IF(G355="","",IFERROR(INDEX(Services!$B$5:$B$204,MATCH(G355,Services!$A$5:$A$204,0)),"Not in Services"))</f>
        <v>0</v>
      </c>
      <c r="J355" s="15">
        <f>IF(I355="","",IFERROR(INDEX(Staff!$B$5:$B$44,MATCH(I355,Staff!$A$5:$A$44,0)),"Unassigned"))</f>
        <v>0</v>
      </c>
      <c r="S355" s="15">
        <f>IF(B355="","",TEXT(B355,"yyyy-mm"))</f>
        <v>0</v>
      </c>
      <c r="T355" s="25">
        <f>IF(B355="","",WEEKNUM(B355,2))</f>
        <v>0</v>
      </c>
      <c r="U355" s="25">
        <f>IF(B355="","",IF(K355&lt;&gt;"",K355,IFERROR(INDEX(Services!$E$5:$E$204,MATCH(G355,Services!$A$5:$A$204,0))*1,0)+IFERROR(INDEX(Services!$F$5:$F$204,MATCH(G355,Services!$A$5:$A$204,0))*1,0)))</f>
        <v>0</v>
      </c>
      <c r="V355" s="36">
        <f>IF(B355="","",IF(D355="","",D355+U355/1440))</f>
        <v>0</v>
      </c>
      <c r="W355" s="25">
        <f>IF(B355="","",IF(D355="","",HOUR(D355)))</f>
        <v>0</v>
      </c>
      <c r="X355" s="37">
        <f>IF(B355="","",ROUND(U355/60,2))</f>
        <v>0</v>
      </c>
      <c r="Y355" s="26">
        <f>IF(B355="","",IF(L355&lt;&gt;"",L355,IFERROR(INDEX(Services!$G$5:$G$204,MATCH(G355,Services!$A$5:$A$204,0))*1,0)))</f>
        <v>0</v>
      </c>
      <c r="Z355" s="26">
        <f>IF(B355="","",IF(O355&lt;&gt;"",O355,IF(Y355&gt;=DepositThreshold,ROUND(Y355*DepositPercent,2),0)))</f>
        <v>0</v>
      </c>
      <c r="AA355" s="26">
        <f>IF(B355="","",ROUND(SUMIFS(Payments!$G$5:$G$1204,Payments!$I$5:$I$1204,A355,Payments!$E$5:$E$1204,"Deposit"),2))</f>
        <v>0</v>
      </c>
      <c r="AB355" s="26">
        <f>IF(B355="","",ROUND(SUMIFS(Sales!$Y$5:$Y$1204,Sales!$C$5:$C$1204,A355),2))</f>
        <v>0</v>
      </c>
      <c r="AC355" s="38">
        <f>IF(B355="","",IF(M355="Completed","Yes",IF(M355="Cancelled","Yes",IF(M355="No show","Yes","No"))))</f>
        <v>0</v>
      </c>
      <c r="AD355" s="25">
        <f>IF(B355="","",IF(AE355="","",B355-AE355))</f>
        <v>0</v>
      </c>
      <c r="AF355" s="38">
        <f>IF(B355="","",IF(M355&lt;&gt;"Completed","",IF(E355="","No",IF(COUNTIFS(Appointments!$E$5:$E$1204,E355,Appointments!$B$5:$B$1204,"&gt;"&amp;B355,Appointments!$M$5:$M$1204,"&lt;&gt;Cancelled")&gt;0,"Yes","No"))))</f>
        <v>0</v>
      </c>
      <c r="AG355" s="38">
        <f>IF(B355="","",IF(I355="","",IF(D355="","",IF(COUNTIFS($I$5:$I$1204,I355,$B$5:$B$1204,B355,$D$5:$D$1204,"&lt;"&amp;V355,$V$5:$V$1204,"&gt;"&amp;D355,$M$5:$M$1204,"&lt;&gt;Cancelled")&gt;1,"Clash",""))))</f>
        <v>0</v>
      </c>
      <c r="AH355" s="39">
        <f>IF(B355="","",IF(AG355="Clash","Clash - stylist double booked",IF(I355="","Assign - no stylist yet",IF(G355="","Add - no service chosen",IF(M355="No show","No show - charge the fee?",IF(M355="Cancelled","",IF(IF(M355="Completed",AB355&lt;Y355-0.004,FALSE),"Unpaid - nothing rung up for this visit",IF(IF(B355&lt;TodayDate,M355="Booked",FALSE),"Overdue - past date, still only Booked",IF(IF(B355=TodayDate,TRUE,FALSE),"Today",IF(IF(Z355&gt;0,AA355&lt;Z355-0.004,FALSE),"Due - deposit not taken",IF(IF(B355&gt;TodayDate,B355&lt;=TodayDate+2,FALSE),"Confirm - coming up","OK")))))))))))</f>
        <v>0</v>
      </c>
    </row>
    <row r="356" spans="1:34">
      <c r="A356" s="28">
        <f>IF(B356="","",AppointmentPrefix&amp;TEXT(ROW()-4,"0000"))</f>
        <v>0</v>
      </c>
      <c r="C356" s="15">
        <f>IF(B356="","",TEXT(B356,"ddd"))</f>
        <v>0</v>
      </c>
      <c r="F356" s="15">
        <f>IF(E356="","",IFERROR(INDEX(Clients!$B$5:$B$504,MATCH(E356,Clients!$A$5:$A$504,0)),"Walk-in"))</f>
        <v>0</v>
      </c>
      <c r="H356" s="15">
        <f>IF(G356="","",IFERROR(INDEX(Services!$B$5:$B$204,MATCH(G356,Services!$A$5:$A$204,0)),"Not in Services"))</f>
        <v>0</v>
      </c>
      <c r="J356" s="15">
        <f>IF(I356="","",IFERROR(INDEX(Staff!$B$5:$B$44,MATCH(I356,Staff!$A$5:$A$44,0)),"Unassigned"))</f>
        <v>0</v>
      </c>
      <c r="S356" s="15">
        <f>IF(B356="","",TEXT(B356,"yyyy-mm"))</f>
        <v>0</v>
      </c>
      <c r="T356" s="25">
        <f>IF(B356="","",WEEKNUM(B356,2))</f>
        <v>0</v>
      </c>
      <c r="U356" s="25">
        <f>IF(B356="","",IF(K356&lt;&gt;"",K356,IFERROR(INDEX(Services!$E$5:$E$204,MATCH(G356,Services!$A$5:$A$204,0))*1,0)+IFERROR(INDEX(Services!$F$5:$F$204,MATCH(G356,Services!$A$5:$A$204,0))*1,0)))</f>
        <v>0</v>
      </c>
      <c r="V356" s="36">
        <f>IF(B356="","",IF(D356="","",D356+U356/1440))</f>
        <v>0</v>
      </c>
      <c r="W356" s="25">
        <f>IF(B356="","",IF(D356="","",HOUR(D356)))</f>
        <v>0</v>
      </c>
      <c r="X356" s="37">
        <f>IF(B356="","",ROUND(U356/60,2))</f>
        <v>0</v>
      </c>
      <c r="Y356" s="26">
        <f>IF(B356="","",IF(L356&lt;&gt;"",L356,IFERROR(INDEX(Services!$G$5:$G$204,MATCH(G356,Services!$A$5:$A$204,0))*1,0)))</f>
        <v>0</v>
      </c>
      <c r="Z356" s="26">
        <f>IF(B356="","",IF(O356&lt;&gt;"",O356,IF(Y356&gt;=DepositThreshold,ROUND(Y356*DepositPercent,2),0)))</f>
        <v>0</v>
      </c>
      <c r="AA356" s="26">
        <f>IF(B356="","",ROUND(SUMIFS(Payments!$G$5:$G$1204,Payments!$I$5:$I$1204,A356,Payments!$E$5:$E$1204,"Deposit"),2))</f>
        <v>0</v>
      </c>
      <c r="AB356" s="26">
        <f>IF(B356="","",ROUND(SUMIFS(Sales!$Y$5:$Y$1204,Sales!$C$5:$C$1204,A356),2))</f>
        <v>0</v>
      </c>
      <c r="AC356" s="38">
        <f>IF(B356="","",IF(M356="Completed","Yes",IF(M356="Cancelled","Yes",IF(M356="No show","Yes","No"))))</f>
        <v>0</v>
      </c>
      <c r="AD356" s="25">
        <f>IF(B356="","",IF(AE356="","",B356-AE356))</f>
        <v>0</v>
      </c>
      <c r="AF356" s="38">
        <f>IF(B356="","",IF(M356&lt;&gt;"Completed","",IF(E356="","No",IF(COUNTIFS(Appointments!$E$5:$E$1204,E356,Appointments!$B$5:$B$1204,"&gt;"&amp;B356,Appointments!$M$5:$M$1204,"&lt;&gt;Cancelled")&gt;0,"Yes","No"))))</f>
        <v>0</v>
      </c>
      <c r="AG356" s="38">
        <f>IF(B356="","",IF(I356="","",IF(D356="","",IF(COUNTIFS($I$5:$I$1204,I356,$B$5:$B$1204,B356,$D$5:$D$1204,"&lt;"&amp;V356,$V$5:$V$1204,"&gt;"&amp;D356,$M$5:$M$1204,"&lt;&gt;Cancelled")&gt;1,"Clash",""))))</f>
        <v>0</v>
      </c>
      <c r="AH356" s="39">
        <f>IF(B356="","",IF(AG356="Clash","Clash - stylist double booked",IF(I356="","Assign - no stylist yet",IF(G356="","Add - no service chosen",IF(M356="No show","No show - charge the fee?",IF(M356="Cancelled","",IF(IF(M356="Completed",AB356&lt;Y356-0.004,FALSE),"Unpaid - nothing rung up for this visit",IF(IF(B356&lt;TodayDate,M356="Booked",FALSE),"Overdue - past date, still only Booked",IF(IF(B356=TodayDate,TRUE,FALSE),"Today",IF(IF(Z356&gt;0,AA356&lt;Z356-0.004,FALSE),"Due - deposit not taken",IF(IF(B356&gt;TodayDate,B356&lt;=TodayDate+2,FALSE),"Confirm - coming up","OK")))))))))))</f>
        <v>0</v>
      </c>
    </row>
    <row r="357" spans="1:34">
      <c r="A357" s="28">
        <f>IF(B357="","",AppointmentPrefix&amp;TEXT(ROW()-4,"0000"))</f>
        <v>0</v>
      </c>
      <c r="C357" s="15">
        <f>IF(B357="","",TEXT(B357,"ddd"))</f>
        <v>0</v>
      </c>
      <c r="F357" s="15">
        <f>IF(E357="","",IFERROR(INDEX(Clients!$B$5:$B$504,MATCH(E357,Clients!$A$5:$A$504,0)),"Walk-in"))</f>
        <v>0</v>
      </c>
      <c r="H357" s="15">
        <f>IF(G357="","",IFERROR(INDEX(Services!$B$5:$B$204,MATCH(G357,Services!$A$5:$A$204,0)),"Not in Services"))</f>
        <v>0</v>
      </c>
      <c r="J357" s="15">
        <f>IF(I357="","",IFERROR(INDEX(Staff!$B$5:$B$44,MATCH(I357,Staff!$A$5:$A$44,0)),"Unassigned"))</f>
        <v>0</v>
      </c>
      <c r="S357" s="15">
        <f>IF(B357="","",TEXT(B357,"yyyy-mm"))</f>
        <v>0</v>
      </c>
      <c r="T357" s="25">
        <f>IF(B357="","",WEEKNUM(B357,2))</f>
        <v>0</v>
      </c>
      <c r="U357" s="25">
        <f>IF(B357="","",IF(K357&lt;&gt;"",K357,IFERROR(INDEX(Services!$E$5:$E$204,MATCH(G357,Services!$A$5:$A$204,0))*1,0)+IFERROR(INDEX(Services!$F$5:$F$204,MATCH(G357,Services!$A$5:$A$204,0))*1,0)))</f>
        <v>0</v>
      </c>
      <c r="V357" s="36">
        <f>IF(B357="","",IF(D357="","",D357+U357/1440))</f>
        <v>0</v>
      </c>
      <c r="W357" s="25">
        <f>IF(B357="","",IF(D357="","",HOUR(D357)))</f>
        <v>0</v>
      </c>
      <c r="X357" s="37">
        <f>IF(B357="","",ROUND(U357/60,2))</f>
        <v>0</v>
      </c>
      <c r="Y357" s="26">
        <f>IF(B357="","",IF(L357&lt;&gt;"",L357,IFERROR(INDEX(Services!$G$5:$G$204,MATCH(G357,Services!$A$5:$A$204,0))*1,0)))</f>
        <v>0</v>
      </c>
      <c r="Z357" s="26">
        <f>IF(B357="","",IF(O357&lt;&gt;"",O357,IF(Y357&gt;=DepositThreshold,ROUND(Y357*DepositPercent,2),0)))</f>
        <v>0</v>
      </c>
      <c r="AA357" s="26">
        <f>IF(B357="","",ROUND(SUMIFS(Payments!$G$5:$G$1204,Payments!$I$5:$I$1204,A357,Payments!$E$5:$E$1204,"Deposit"),2))</f>
        <v>0</v>
      </c>
      <c r="AB357" s="26">
        <f>IF(B357="","",ROUND(SUMIFS(Sales!$Y$5:$Y$1204,Sales!$C$5:$C$1204,A357),2))</f>
        <v>0</v>
      </c>
      <c r="AC357" s="38">
        <f>IF(B357="","",IF(M357="Completed","Yes",IF(M357="Cancelled","Yes",IF(M357="No show","Yes","No"))))</f>
        <v>0</v>
      </c>
      <c r="AD357" s="25">
        <f>IF(B357="","",IF(AE357="","",B357-AE357))</f>
        <v>0</v>
      </c>
      <c r="AF357" s="38">
        <f>IF(B357="","",IF(M357&lt;&gt;"Completed","",IF(E357="","No",IF(COUNTIFS(Appointments!$E$5:$E$1204,E357,Appointments!$B$5:$B$1204,"&gt;"&amp;B357,Appointments!$M$5:$M$1204,"&lt;&gt;Cancelled")&gt;0,"Yes","No"))))</f>
        <v>0</v>
      </c>
      <c r="AG357" s="38">
        <f>IF(B357="","",IF(I357="","",IF(D357="","",IF(COUNTIFS($I$5:$I$1204,I357,$B$5:$B$1204,B357,$D$5:$D$1204,"&lt;"&amp;V357,$V$5:$V$1204,"&gt;"&amp;D357,$M$5:$M$1204,"&lt;&gt;Cancelled")&gt;1,"Clash",""))))</f>
        <v>0</v>
      </c>
      <c r="AH357" s="39">
        <f>IF(B357="","",IF(AG357="Clash","Clash - stylist double booked",IF(I357="","Assign - no stylist yet",IF(G357="","Add - no service chosen",IF(M357="No show","No show - charge the fee?",IF(M357="Cancelled","",IF(IF(M357="Completed",AB357&lt;Y357-0.004,FALSE),"Unpaid - nothing rung up for this visit",IF(IF(B357&lt;TodayDate,M357="Booked",FALSE),"Overdue - past date, still only Booked",IF(IF(B357=TodayDate,TRUE,FALSE),"Today",IF(IF(Z357&gt;0,AA357&lt;Z357-0.004,FALSE),"Due - deposit not taken",IF(IF(B357&gt;TodayDate,B357&lt;=TodayDate+2,FALSE),"Confirm - coming up","OK")))))))))))</f>
        <v>0</v>
      </c>
    </row>
    <row r="358" spans="1:34">
      <c r="A358" s="28">
        <f>IF(B358="","",AppointmentPrefix&amp;TEXT(ROW()-4,"0000"))</f>
        <v>0</v>
      </c>
      <c r="C358" s="15">
        <f>IF(B358="","",TEXT(B358,"ddd"))</f>
        <v>0</v>
      </c>
      <c r="F358" s="15">
        <f>IF(E358="","",IFERROR(INDEX(Clients!$B$5:$B$504,MATCH(E358,Clients!$A$5:$A$504,0)),"Walk-in"))</f>
        <v>0</v>
      </c>
      <c r="H358" s="15">
        <f>IF(G358="","",IFERROR(INDEX(Services!$B$5:$B$204,MATCH(G358,Services!$A$5:$A$204,0)),"Not in Services"))</f>
        <v>0</v>
      </c>
      <c r="J358" s="15">
        <f>IF(I358="","",IFERROR(INDEX(Staff!$B$5:$B$44,MATCH(I358,Staff!$A$5:$A$44,0)),"Unassigned"))</f>
        <v>0</v>
      </c>
      <c r="S358" s="15">
        <f>IF(B358="","",TEXT(B358,"yyyy-mm"))</f>
        <v>0</v>
      </c>
      <c r="T358" s="25">
        <f>IF(B358="","",WEEKNUM(B358,2))</f>
        <v>0</v>
      </c>
      <c r="U358" s="25">
        <f>IF(B358="","",IF(K358&lt;&gt;"",K358,IFERROR(INDEX(Services!$E$5:$E$204,MATCH(G358,Services!$A$5:$A$204,0))*1,0)+IFERROR(INDEX(Services!$F$5:$F$204,MATCH(G358,Services!$A$5:$A$204,0))*1,0)))</f>
        <v>0</v>
      </c>
      <c r="V358" s="36">
        <f>IF(B358="","",IF(D358="","",D358+U358/1440))</f>
        <v>0</v>
      </c>
      <c r="W358" s="25">
        <f>IF(B358="","",IF(D358="","",HOUR(D358)))</f>
        <v>0</v>
      </c>
      <c r="X358" s="37">
        <f>IF(B358="","",ROUND(U358/60,2))</f>
        <v>0</v>
      </c>
      <c r="Y358" s="26">
        <f>IF(B358="","",IF(L358&lt;&gt;"",L358,IFERROR(INDEX(Services!$G$5:$G$204,MATCH(G358,Services!$A$5:$A$204,0))*1,0)))</f>
        <v>0</v>
      </c>
      <c r="Z358" s="26">
        <f>IF(B358="","",IF(O358&lt;&gt;"",O358,IF(Y358&gt;=DepositThreshold,ROUND(Y358*DepositPercent,2),0)))</f>
        <v>0</v>
      </c>
      <c r="AA358" s="26">
        <f>IF(B358="","",ROUND(SUMIFS(Payments!$G$5:$G$1204,Payments!$I$5:$I$1204,A358,Payments!$E$5:$E$1204,"Deposit"),2))</f>
        <v>0</v>
      </c>
      <c r="AB358" s="26">
        <f>IF(B358="","",ROUND(SUMIFS(Sales!$Y$5:$Y$1204,Sales!$C$5:$C$1204,A358),2))</f>
        <v>0</v>
      </c>
      <c r="AC358" s="38">
        <f>IF(B358="","",IF(M358="Completed","Yes",IF(M358="Cancelled","Yes",IF(M358="No show","Yes","No"))))</f>
        <v>0</v>
      </c>
      <c r="AD358" s="25">
        <f>IF(B358="","",IF(AE358="","",B358-AE358))</f>
        <v>0</v>
      </c>
      <c r="AF358" s="38">
        <f>IF(B358="","",IF(M358&lt;&gt;"Completed","",IF(E358="","No",IF(COUNTIFS(Appointments!$E$5:$E$1204,E358,Appointments!$B$5:$B$1204,"&gt;"&amp;B358,Appointments!$M$5:$M$1204,"&lt;&gt;Cancelled")&gt;0,"Yes","No"))))</f>
        <v>0</v>
      </c>
      <c r="AG358" s="38">
        <f>IF(B358="","",IF(I358="","",IF(D358="","",IF(COUNTIFS($I$5:$I$1204,I358,$B$5:$B$1204,B358,$D$5:$D$1204,"&lt;"&amp;V358,$V$5:$V$1204,"&gt;"&amp;D358,$M$5:$M$1204,"&lt;&gt;Cancelled")&gt;1,"Clash",""))))</f>
        <v>0</v>
      </c>
      <c r="AH358" s="39">
        <f>IF(B358="","",IF(AG358="Clash","Clash - stylist double booked",IF(I358="","Assign - no stylist yet",IF(G358="","Add - no service chosen",IF(M358="No show","No show - charge the fee?",IF(M358="Cancelled","",IF(IF(M358="Completed",AB358&lt;Y358-0.004,FALSE),"Unpaid - nothing rung up for this visit",IF(IF(B358&lt;TodayDate,M358="Booked",FALSE),"Overdue - past date, still only Booked",IF(IF(B358=TodayDate,TRUE,FALSE),"Today",IF(IF(Z358&gt;0,AA358&lt;Z358-0.004,FALSE),"Due - deposit not taken",IF(IF(B358&gt;TodayDate,B358&lt;=TodayDate+2,FALSE),"Confirm - coming up","OK")))))))))))</f>
        <v>0</v>
      </c>
    </row>
    <row r="359" spans="1:34">
      <c r="A359" s="28">
        <f>IF(B359="","",AppointmentPrefix&amp;TEXT(ROW()-4,"0000"))</f>
        <v>0</v>
      </c>
      <c r="C359" s="15">
        <f>IF(B359="","",TEXT(B359,"ddd"))</f>
        <v>0</v>
      </c>
      <c r="F359" s="15">
        <f>IF(E359="","",IFERROR(INDEX(Clients!$B$5:$B$504,MATCH(E359,Clients!$A$5:$A$504,0)),"Walk-in"))</f>
        <v>0</v>
      </c>
      <c r="H359" s="15">
        <f>IF(G359="","",IFERROR(INDEX(Services!$B$5:$B$204,MATCH(G359,Services!$A$5:$A$204,0)),"Not in Services"))</f>
        <v>0</v>
      </c>
      <c r="J359" s="15">
        <f>IF(I359="","",IFERROR(INDEX(Staff!$B$5:$B$44,MATCH(I359,Staff!$A$5:$A$44,0)),"Unassigned"))</f>
        <v>0</v>
      </c>
      <c r="S359" s="15">
        <f>IF(B359="","",TEXT(B359,"yyyy-mm"))</f>
        <v>0</v>
      </c>
      <c r="T359" s="25">
        <f>IF(B359="","",WEEKNUM(B359,2))</f>
        <v>0</v>
      </c>
      <c r="U359" s="25">
        <f>IF(B359="","",IF(K359&lt;&gt;"",K359,IFERROR(INDEX(Services!$E$5:$E$204,MATCH(G359,Services!$A$5:$A$204,0))*1,0)+IFERROR(INDEX(Services!$F$5:$F$204,MATCH(G359,Services!$A$5:$A$204,0))*1,0)))</f>
        <v>0</v>
      </c>
      <c r="V359" s="36">
        <f>IF(B359="","",IF(D359="","",D359+U359/1440))</f>
        <v>0</v>
      </c>
      <c r="W359" s="25">
        <f>IF(B359="","",IF(D359="","",HOUR(D359)))</f>
        <v>0</v>
      </c>
      <c r="X359" s="37">
        <f>IF(B359="","",ROUND(U359/60,2))</f>
        <v>0</v>
      </c>
      <c r="Y359" s="26">
        <f>IF(B359="","",IF(L359&lt;&gt;"",L359,IFERROR(INDEX(Services!$G$5:$G$204,MATCH(G359,Services!$A$5:$A$204,0))*1,0)))</f>
        <v>0</v>
      </c>
      <c r="Z359" s="26">
        <f>IF(B359="","",IF(O359&lt;&gt;"",O359,IF(Y359&gt;=DepositThreshold,ROUND(Y359*DepositPercent,2),0)))</f>
        <v>0</v>
      </c>
      <c r="AA359" s="26">
        <f>IF(B359="","",ROUND(SUMIFS(Payments!$G$5:$G$1204,Payments!$I$5:$I$1204,A359,Payments!$E$5:$E$1204,"Deposit"),2))</f>
        <v>0</v>
      </c>
      <c r="AB359" s="26">
        <f>IF(B359="","",ROUND(SUMIFS(Sales!$Y$5:$Y$1204,Sales!$C$5:$C$1204,A359),2))</f>
        <v>0</v>
      </c>
      <c r="AC359" s="38">
        <f>IF(B359="","",IF(M359="Completed","Yes",IF(M359="Cancelled","Yes",IF(M359="No show","Yes","No"))))</f>
        <v>0</v>
      </c>
      <c r="AD359" s="25">
        <f>IF(B359="","",IF(AE359="","",B359-AE359))</f>
        <v>0</v>
      </c>
      <c r="AF359" s="38">
        <f>IF(B359="","",IF(M359&lt;&gt;"Completed","",IF(E359="","No",IF(COUNTIFS(Appointments!$E$5:$E$1204,E359,Appointments!$B$5:$B$1204,"&gt;"&amp;B359,Appointments!$M$5:$M$1204,"&lt;&gt;Cancelled")&gt;0,"Yes","No"))))</f>
        <v>0</v>
      </c>
      <c r="AG359" s="38">
        <f>IF(B359="","",IF(I359="","",IF(D359="","",IF(COUNTIFS($I$5:$I$1204,I359,$B$5:$B$1204,B359,$D$5:$D$1204,"&lt;"&amp;V359,$V$5:$V$1204,"&gt;"&amp;D359,$M$5:$M$1204,"&lt;&gt;Cancelled")&gt;1,"Clash",""))))</f>
        <v>0</v>
      </c>
      <c r="AH359" s="39">
        <f>IF(B359="","",IF(AG359="Clash","Clash - stylist double booked",IF(I359="","Assign - no stylist yet",IF(G359="","Add - no service chosen",IF(M359="No show","No show - charge the fee?",IF(M359="Cancelled","",IF(IF(M359="Completed",AB359&lt;Y359-0.004,FALSE),"Unpaid - nothing rung up for this visit",IF(IF(B359&lt;TodayDate,M359="Booked",FALSE),"Overdue - past date, still only Booked",IF(IF(B359=TodayDate,TRUE,FALSE),"Today",IF(IF(Z359&gt;0,AA359&lt;Z359-0.004,FALSE),"Due - deposit not taken",IF(IF(B359&gt;TodayDate,B359&lt;=TodayDate+2,FALSE),"Confirm - coming up","OK")))))))))))</f>
        <v>0</v>
      </c>
    </row>
    <row r="360" spans="1:34">
      <c r="A360" s="28">
        <f>IF(B360="","",AppointmentPrefix&amp;TEXT(ROW()-4,"0000"))</f>
        <v>0</v>
      </c>
      <c r="C360" s="15">
        <f>IF(B360="","",TEXT(B360,"ddd"))</f>
        <v>0</v>
      </c>
      <c r="F360" s="15">
        <f>IF(E360="","",IFERROR(INDEX(Clients!$B$5:$B$504,MATCH(E360,Clients!$A$5:$A$504,0)),"Walk-in"))</f>
        <v>0</v>
      </c>
      <c r="H360" s="15">
        <f>IF(G360="","",IFERROR(INDEX(Services!$B$5:$B$204,MATCH(G360,Services!$A$5:$A$204,0)),"Not in Services"))</f>
        <v>0</v>
      </c>
      <c r="J360" s="15">
        <f>IF(I360="","",IFERROR(INDEX(Staff!$B$5:$B$44,MATCH(I360,Staff!$A$5:$A$44,0)),"Unassigned"))</f>
        <v>0</v>
      </c>
      <c r="S360" s="15">
        <f>IF(B360="","",TEXT(B360,"yyyy-mm"))</f>
        <v>0</v>
      </c>
      <c r="T360" s="25">
        <f>IF(B360="","",WEEKNUM(B360,2))</f>
        <v>0</v>
      </c>
      <c r="U360" s="25">
        <f>IF(B360="","",IF(K360&lt;&gt;"",K360,IFERROR(INDEX(Services!$E$5:$E$204,MATCH(G360,Services!$A$5:$A$204,0))*1,0)+IFERROR(INDEX(Services!$F$5:$F$204,MATCH(G360,Services!$A$5:$A$204,0))*1,0)))</f>
        <v>0</v>
      </c>
      <c r="V360" s="36">
        <f>IF(B360="","",IF(D360="","",D360+U360/1440))</f>
        <v>0</v>
      </c>
      <c r="W360" s="25">
        <f>IF(B360="","",IF(D360="","",HOUR(D360)))</f>
        <v>0</v>
      </c>
      <c r="X360" s="37">
        <f>IF(B360="","",ROUND(U360/60,2))</f>
        <v>0</v>
      </c>
      <c r="Y360" s="26">
        <f>IF(B360="","",IF(L360&lt;&gt;"",L360,IFERROR(INDEX(Services!$G$5:$G$204,MATCH(G360,Services!$A$5:$A$204,0))*1,0)))</f>
        <v>0</v>
      </c>
      <c r="Z360" s="26">
        <f>IF(B360="","",IF(O360&lt;&gt;"",O360,IF(Y360&gt;=DepositThreshold,ROUND(Y360*DepositPercent,2),0)))</f>
        <v>0</v>
      </c>
      <c r="AA360" s="26">
        <f>IF(B360="","",ROUND(SUMIFS(Payments!$G$5:$G$1204,Payments!$I$5:$I$1204,A360,Payments!$E$5:$E$1204,"Deposit"),2))</f>
        <v>0</v>
      </c>
      <c r="AB360" s="26">
        <f>IF(B360="","",ROUND(SUMIFS(Sales!$Y$5:$Y$1204,Sales!$C$5:$C$1204,A360),2))</f>
        <v>0</v>
      </c>
      <c r="AC360" s="38">
        <f>IF(B360="","",IF(M360="Completed","Yes",IF(M360="Cancelled","Yes",IF(M360="No show","Yes","No"))))</f>
        <v>0</v>
      </c>
      <c r="AD360" s="25">
        <f>IF(B360="","",IF(AE360="","",B360-AE360))</f>
        <v>0</v>
      </c>
      <c r="AF360" s="38">
        <f>IF(B360="","",IF(M360&lt;&gt;"Completed","",IF(E360="","No",IF(COUNTIFS(Appointments!$E$5:$E$1204,E360,Appointments!$B$5:$B$1204,"&gt;"&amp;B360,Appointments!$M$5:$M$1204,"&lt;&gt;Cancelled")&gt;0,"Yes","No"))))</f>
        <v>0</v>
      </c>
      <c r="AG360" s="38">
        <f>IF(B360="","",IF(I360="","",IF(D360="","",IF(COUNTIFS($I$5:$I$1204,I360,$B$5:$B$1204,B360,$D$5:$D$1204,"&lt;"&amp;V360,$V$5:$V$1204,"&gt;"&amp;D360,$M$5:$M$1204,"&lt;&gt;Cancelled")&gt;1,"Clash",""))))</f>
        <v>0</v>
      </c>
      <c r="AH360" s="39">
        <f>IF(B360="","",IF(AG360="Clash","Clash - stylist double booked",IF(I360="","Assign - no stylist yet",IF(G360="","Add - no service chosen",IF(M360="No show","No show - charge the fee?",IF(M360="Cancelled","",IF(IF(M360="Completed",AB360&lt;Y360-0.004,FALSE),"Unpaid - nothing rung up for this visit",IF(IF(B360&lt;TodayDate,M360="Booked",FALSE),"Overdue - past date, still only Booked",IF(IF(B360=TodayDate,TRUE,FALSE),"Today",IF(IF(Z360&gt;0,AA360&lt;Z360-0.004,FALSE),"Due - deposit not taken",IF(IF(B360&gt;TodayDate,B360&lt;=TodayDate+2,FALSE),"Confirm - coming up","OK")))))))))))</f>
        <v>0</v>
      </c>
    </row>
    <row r="361" spans="1:34">
      <c r="A361" s="28">
        <f>IF(B361="","",AppointmentPrefix&amp;TEXT(ROW()-4,"0000"))</f>
        <v>0</v>
      </c>
      <c r="C361" s="15">
        <f>IF(B361="","",TEXT(B361,"ddd"))</f>
        <v>0</v>
      </c>
      <c r="F361" s="15">
        <f>IF(E361="","",IFERROR(INDEX(Clients!$B$5:$B$504,MATCH(E361,Clients!$A$5:$A$504,0)),"Walk-in"))</f>
        <v>0</v>
      </c>
      <c r="H361" s="15">
        <f>IF(G361="","",IFERROR(INDEX(Services!$B$5:$B$204,MATCH(G361,Services!$A$5:$A$204,0)),"Not in Services"))</f>
        <v>0</v>
      </c>
      <c r="J361" s="15">
        <f>IF(I361="","",IFERROR(INDEX(Staff!$B$5:$B$44,MATCH(I361,Staff!$A$5:$A$44,0)),"Unassigned"))</f>
        <v>0</v>
      </c>
      <c r="S361" s="15">
        <f>IF(B361="","",TEXT(B361,"yyyy-mm"))</f>
        <v>0</v>
      </c>
      <c r="T361" s="25">
        <f>IF(B361="","",WEEKNUM(B361,2))</f>
        <v>0</v>
      </c>
      <c r="U361" s="25">
        <f>IF(B361="","",IF(K361&lt;&gt;"",K361,IFERROR(INDEX(Services!$E$5:$E$204,MATCH(G361,Services!$A$5:$A$204,0))*1,0)+IFERROR(INDEX(Services!$F$5:$F$204,MATCH(G361,Services!$A$5:$A$204,0))*1,0)))</f>
        <v>0</v>
      </c>
      <c r="V361" s="36">
        <f>IF(B361="","",IF(D361="","",D361+U361/1440))</f>
        <v>0</v>
      </c>
      <c r="W361" s="25">
        <f>IF(B361="","",IF(D361="","",HOUR(D361)))</f>
        <v>0</v>
      </c>
      <c r="X361" s="37">
        <f>IF(B361="","",ROUND(U361/60,2))</f>
        <v>0</v>
      </c>
      <c r="Y361" s="26">
        <f>IF(B361="","",IF(L361&lt;&gt;"",L361,IFERROR(INDEX(Services!$G$5:$G$204,MATCH(G361,Services!$A$5:$A$204,0))*1,0)))</f>
        <v>0</v>
      </c>
      <c r="Z361" s="26">
        <f>IF(B361="","",IF(O361&lt;&gt;"",O361,IF(Y361&gt;=DepositThreshold,ROUND(Y361*DepositPercent,2),0)))</f>
        <v>0</v>
      </c>
      <c r="AA361" s="26">
        <f>IF(B361="","",ROUND(SUMIFS(Payments!$G$5:$G$1204,Payments!$I$5:$I$1204,A361,Payments!$E$5:$E$1204,"Deposit"),2))</f>
        <v>0</v>
      </c>
      <c r="AB361" s="26">
        <f>IF(B361="","",ROUND(SUMIFS(Sales!$Y$5:$Y$1204,Sales!$C$5:$C$1204,A361),2))</f>
        <v>0</v>
      </c>
      <c r="AC361" s="38">
        <f>IF(B361="","",IF(M361="Completed","Yes",IF(M361="Cancelled","Yes",IF(M361="No show","Yes","No"))))</f>
        <v>0</v>
      </c>
      <c r="AD361" s="25">
        <f>IF(B361="","",IF(AE361="","",B361-AE361))</f>
        <v>0</v>
      </c>
      <c r="AF361" s="38">
        <f>IF(B361="","",IF(M361&lt;&gt;"Completed","",IF(E361="","No",IF(COUNTIFS(Appointments!$E$5:$E$1204,E361,Appointments!$B$5:$B$1204,"&gt;"&amp;B361,Appointments!$M$5:$M$1204,"&lt;&gt;Cancelled")&gt;0,"Yes","No"))))</f>
        <v>0</v>
      </c>
      <c r="AG361" s="38">
        <f>IF(B361="","",IF(I361="","",IF(D361="","",IF(COUNTIFS($I$5:$I$1204,I361,$B$5:$B$1204,B361,$D$5:$D$1204,"&lt;"&amp;V361,$V$5:$V$1204,"&gt;"&amp;D361,$M$5:$M$1204,"&lt;&gt;Cancelled")&gt;1,"Clash",""))))</f>
        <v>0</v>
      </c>
      <c r="AH361" s="39">
        <f>IF(B361="","",IF(AG361="Clash","Clash - stylist double booked",IF(I361="","Assign - no stylist yet",IF(G361="","Add - no service chosen",IF(M361="No show","No show - charge the fee?",IF(M361="Cancelled","",IF(IF(M361="Completed",AB361&lt;Y361-0.004,FALSE),"Unpaid - nothing rung up for this visit",IF(IF(B361&lt;TodayDate,M361="Booked",FALSE),"Overdue - past date, still only Booked",IF(IF(B361=TodayDate,TRUE,FALSE),"Today",IF(IF(Z361&gt;0,AA361&lt;Z361-0.004,FALSE),"Due - deposit not taken",IF(IF(B361&gt;TodayDate,B361&lt;=TodayDate+2,FALSE),"Confirm - coming up","OK")))))))))))</f>
        <v>0</v>
      </c>
    </row>
    <row r="362" spans="1:34">
      <c r="A362" s="28">
        <f>IF(B362="","",AppointmentPrefix&amp;TEXT(ROW()-4,"0000"))</f>
        <v>0</v>
      </c>
      <c r="C362" s="15">
        <f>IF(B362="","",TEXT(B362,"ddd"))</f>
        <v>0</v>
      </c>
      <c r="F362" s="15">
        <f>IF(E362="","",IFERROR(INDEX(Clients!$B$5:$B$504,MATCH(E362,Clients!$A$5:$A$504,0)),"Walk-in"))</f>
        <v>0</v>
      </c>
      <c r="H362" s="15">
        <f>IF(G362="","",IFERROR(INDEX(Services!$B$5:$B$204,MATCH(G362,Services!$A$5:$A$204,0)),"Not in Services"))</f>
        <v>0</v>
      </c>
      <c r="J362" s="15">
        <f>IF(I362="","",IFERROR(INDEX(Staff!$B$5:$B$44,MATCH(I362,Staff!$A$5:$A$44,0)),"Unassigned"))</f>
        <v>0</v>
      </c>
      <c r="S362" s="15">
        <f>IF(B362="","",TEXT(B362,"yyyy-mm"))</f>
        <v>0</v>
      </c>
      <c r="T362" s="25">
        <f>IF(B362="","",WEEKNUM(B362,2))</f>
        <v>0</v>
      </c>
      <c r="U362" s="25">
        <f>IF(B362="","",IF(K362&lt;&gt;"",K362,IFERROR(INDEX(Services!$E$5:$E$204,MATCH(G362,Services!$A$5:$A$204,0))*1,0)+IFERROR(INDEX(Services!$F$5:$F$204,MATCH(G362,Services!$A$5:$A$204,0))*1,0)))</f>
        <v>0</v>
      </c>
      <c r="V362" s="36">
        <f>IF(B362="","",IF(D362="","",D362+U362/1440))</f>
        <v>0</v>
      </c>
      <c r="W362" s="25">
        <f>IF(B362="","",IF(D362="","",HOUR(D362)))</f>
        <v>0</v>
      </c>
      <c r="X362" s="37">
        <f>IF(B362="","",ROUND(U362/60,2))</f>
        <v>0</v>
      </c>
      <c r="Y362" s="26">
        <f>IF(B362="","",IF(L362&lt;&gt;"",L362,IFERROR(INDEX(Services!$G$5:$G$204,MATCH(G362,Services!$A$5:$A$204,0))*1,0)))</f>
        <v>0</v>
      </c>
      <c r="Z362" s="26">
        <f>IF(B362="","",IF(O362&lt;&gt;"",O362,IF(Y362&gt;=DepositThreshold,ROUND(Y362*DepositPercent,2),0)))</f>
        <v>0</v>
      </c>
      <c r="AA362" s="26">
        <f>IF(B362="","",ROUND(SUMIFS(Payments!$G$5:$G$1204,Payments!$I$5:$I$1204,A362,Payments!$E$5:$E$1204,"Deposit"),2))</f>
        <v>0</v>
      </c>
      <c r="AB362" s="26">
        <f>IF(B362="","",ROUND(SUMIFS(Sales!$Y$5:$Y$1204,Sales!$C$5:$C$1204,A362),2))</f>
        <v>0</v>
      </c>
      <c r="AC362" s="38">
        <f>IF(B362="","",IF(M362="Completed","Yes",IF(M362="Cancelled","Yes",IF(M362="No show","Yes","No"))))</f>
        <v>0</v>
      </c>
      <c r="AD362" s="25">
        <f>IF(B362="","",IF(AE362="","",B362-AE362))</f>
        <v>0</v>
      </c>
      <c r="AF362" s="38">
        <f>IF(B362="","",IF(M362&lt;&gt;"Completed","",IF(E362="","No",IF(COUNTIFS(Appointments!$E$5:$E$1204,E362,Appointments!$B$5:$B$1204,"&gt;"&amp;B362,Appointments!$M$5:$M$1204,"&lt;&gt;Cancelled")&gt;0,"Yes","No"))))</f>
        <v>0</v>
      </c>
      <c r="AG362" s="38">
        <f>IF(B362="","",IF(I362="","",IF(D362="","",IF(COUNTIFS($I$5:$I$1204,I362,$B$5:$B$1204,B362,$D$5:$D$1204,"&lt;"&amp;V362,$V$5:$V$1204,"&gt;"&amp;D362,$M$5:$M$1204,"&lt;&gt;Cancelled")&gt;1,"Clash",""))))</f>
        <v>0</v>
      </c>
      <c r="AH362" s="39">
        <f>IF(B362="","",IF(AG362="Clash","Clash - stylist double booked",IF(I362="","Assign - no stylist yet",IF(G362="","Add - no service chosen",IF(M362="No show","No show - charge the fee?",IF(M362="Cancelled","",IF(IF(M362="Completed",AB362&lt;Y362-0.004,FALSE),"Unpaid - nothing rung up for this visit",IF(IF(B362&lt;TodayDate,M362="Booked",FALSE),"Overdue - past date, still only Booked",IF(IF(B362=TodayDate,TRUE,FALSE),"Today",IF(IF(Z362&gt;0,AA362&lt;Z362-0.004,FALSE),"Due - deposit not taken",IF(IF(B362&gt;TodayDate,B362&lt;=TodayDate+2,FALSE),"Confirm - coming up","OK")))))))))))</f>
        <v>0</v>
      </c>
    </row>
    <row r="363" spans="1:34">
      <c r="A363" s="28">
        <f>IF(B363="","",AppointmentPrefix&amp;TEXT(ROW()-4,"0000"))</f>
        <v>0</v>
      </c>
      <c r="C363" s="15">
        <f>IF(B363="","",TEXT(B363,"ddd"))</f>
        <v>0</v>
      </c>
      <c r="F363" s="15">
        <f>IF(E363="","",IFERROR(INDEX(Clients!$B$5:$B$504,MATCH(E363,Clients!$A$5:$A$504,0)),"Walk-in"))</f>
        <v>0</v>
      </c>
      <c r="H363" s="15">
        <f>IF(G363="","",IFERROR(INDEX(Services!$B$5:$B$204,MATCH(G363,Services!$A$5:$A$204,0)),"Not in Services"))</f>
        <v>0</v>
      </c>
      <c r="J363" s="15">
        <f>IF(I363="","",IFERROR(INDEX(Staff!$B$5:$B$44,MATCH(I363,Staff!$A$5:$A$44,0)),"Unassigned"))</f>
        <v>0</v>
      </c>
      <c r="S363" s="15">
        <f>IF(B363="","",TEXT(B363,"yyyy-mm"))</f>
        <v>0</v>
      </c>
      <c r="T363" s="25">
        <f>IF(B363="","",WEEKNUM(B363,2))</f>
        <v>0</v>
      </c>
      <c r="U363" s="25">
        <f>IF(B363="","",IF(K363&lt;&gt;"",K363,IFERROR(INDEX(Services!$E$5:$E$204,MATCH(G363,Services!$A$5:$A$204,0))*1,0)+IFERROR(INDEX(Services!$F$5:$F$204,MATCH(G363,Services!$A$5:$A$204,0))*1,0)))</f>
        <v>0</v>
      </c>
      <c r="V363" s="36">
        <f>IF(B363="","",IF(D363="","",D363+U363/1440))</f>
        <v>0</v>
      </c>
      <c r="W363" s="25">
        <f>IF(B363="","",IF(D363="","",HOUR(D363)))</f>
        <v>0</v>
      </c>
      <c r="X363" s="37">
        <f>IF(B363="","",ROUND(U363/60,2))</f>
        <v>0</v>
      </c>
      <c r="Y363" s="26">
        <f>IF(B363="","",IF(L363&lt;&gt;"",L363,IFERROR(INDEX(Services!$G$5:$G$204,MATCH(G363,Services!$A$5:$A$204,0))*1,0)))</f>
        <v>0</v>
      </c>
      <c r="Z363" s="26">
        <f>IF(B363="","",IF(O363&lt;&gt;"",O363,IF(Y363&gt;=DepositThreshold,ROUND(Y363*DepositPercent,2),0)))</f>
        <v>0</v>
      </c>
      <c r="AA363" s="26">
        <f>IF(B363="","",ROUND(SUMIFS(Payments!$G$5:$G$1204,Payments!$I$5:$I$1204,A363,Payments!$E$5:$E$1204,"Deposit"),2))</f>
        <v>0</v>
      </c>
      <c r="AB363" s="26">
        <f>IF(B363="","",ROUND(SUMIFS(Sales!$Y$5:$Y$1204,Sales!$C$5:$C$1204,A363),2))</f>
        <v>0</v>
      </c>
      <c r="AC363" s="38">
        <f>IF(B363="","",IF(M363="Completed","Yes",IF(M363="Cancelled","Yes",IF(M363="No show","Yes","No"))))</f>
        <v>0</v>
      </c>
      <c r="AD363" s="25">
        <f>IF(B363="","",IF(AE363="","",B363-AE363))</f>
        <v>0</v>
      </c>
      <c r="AF363" s="38">
        <f>IF(B363="","",IF(M363&lt;&gt;"Completed","",IF(E363="","No",IF(COUNTIFS(Appointments!$E$5:$E$1204,E363,Appointments!$B$5:$B$1204,"&gt;"&amp;B363,Appointments!$M$5:$M$1204,"&lt;&gt;Cancelled")&gt;0,"Yes","No"))))</f>
        <v>0</v>
      </c>
      <c r="AG363" s="38">
        <f>IF(B363="","",IF(I363="","",IF(D363="","",IF(COUNTIFS($I$5:$I$1204,I363,$B$5:$B$1204,B363,$D$5:$D$1204,"&lt;"&amp;V363,$V$5:$V$1204,"&gt;"&amp;D363,$M$5:$M$1204,"&lt;&gt;Cancelled")&gt;1,"Clash",""))))</f>
        <v>0</v>
      </c>
      <c r="AH363" s="39">
        <f>IF(B363="","",IF(AG363="Clash","Clash - stylist double booked",IF(I363="","Assign - no stylist yet",IF(G363="","Add - no service chosen",IF(M363="No show","No show - charge the fee?",IF(M363="Cancelled","",IF(IF(M363="Completed",AB363&lt;Y363-0.004,FALSE),"Unpaid - nothing rung up for this visit",IF(IF(B363&lt;TodayDate,M363="Booked",FALSE),"Overdue - past date, still only Booked",IF(IF(B363=TodayDate,TRUE,FALSE),"Today",IF(IF(Z363&gt;0,AA363&lt;Z363-0.004,FALSE),"Due - deposit not taken",IF(IF(B363&gt;TodayDate,B363&lt;=TodayDate+2,FALSE),"Confirm - coming up","OK")))))))))))</f>
        <v>0</v>
      </c>
    </row>
    <row r="364" spans="1:34">
      <c r="A364" s="28">
        <f>IF(B364="","",AppointmentPrefix&amp;TEXT(ROW()-4,"0000"))</f>
        <v>0</v>
      </c>
      <c r="C364" s="15">
        <f>IF(B364="","",TEXT(B364,"ddd"))</f>
        <v>0</v>
      </c>
      <c r="F364" s="15">
        <f>IF(E364="","",IFERROR(INDEX(Clients!$B$5:$B$504,MATCH(E364,Clients!$A$5:$A$504,0)),"Walk-in"))</f>
        <v>0</v>
      </c>
      <c r="H364" s="15">
        <f>IF(G364="","",IFERROR(INDEX(Services!$B$5:$B$204,MATCH(G364,Services!$A$5:$A$204,0)),"Not in Services"))</f>
        <v>0</v>
      </c>
      <c r="J364" s="15">
        <f>IF(I364="","",IFERROR(INDEX(Staff!$B$5:$B$44,MATCH(I364,Staff!$A$5:$A$44,0)),"Unassigned"))</f>
        <v>0</v>
      </c>
      <c r="S364" s="15">
        <f>IF(B364="","",TEXT(B364,"yyyy-mm"))</f>
        <v>0</v>
      </c>
      <c r="T364" s="25">
        <f>IF(B364="","",WEEKNUM(B364,2))</f>
        <v>0</v>
      </c>
      <c r="U364" s="25">
        <f>IF(B364="","",IF(K364&lt;&gt;"",K364,IFERROR(INDEX(Services!$E$5:$E$204,MATCH(G364,Services!$A$5:$A$204,0))*1,0)+IFERROR(INDEX(Services!$F$5:$F$204,MATCH(G364,Services!$A$5:$A$204,0))*1,0)))</f>
        <v>0</v>
      </c>
      <c r="V364" s="36">
        <f>IF(B364="","",IF(D364="","",D364+U364/1440))</f>
        <v>0</v>
      </c>
      <c r="W364" s="25">
        <f>IF(B364="","",IF(D364="","",HOUR(D364)))</f>
        <v>0</v>
      </c>
      <c r="X364" s="37">
        <f>IF(B364="","",ROUND(U364/60,2))</f>
        <v>0</v>
      </c>
      <c r="Y364" s="26">
        <f>IF(B364="","",IF(L364&lt;&gt;"",L364,IFERROR(INDEX(Services!$G$5:$G$204,MATCH(G364,Services!$A$5:$A$204,0))*1,0)))</f>
        <v>0</v>
      </c>
      <c r="Z364" s="26">
        <f>IF(B364="","",IF(O364&lt;&gt;"",O364,IF(Y364&gt;=DepositThreshold,ROUND(Y364*DepositPercent,2),0)))</f>
        <v>0</v>
      </c>
      <c r="AA364" s="26">
        <f>IF(B364="","",ROUND(SUMIFS(Payments!$G$5:$G$1204,Payments!$I$5:$I$1204,A364,Payments!$E$5:$E$1204,"Deposit"),2))</f>
        <v>0</v>
      </c>
      <c r="AB364" s="26">
        <f>IF(B364="","",ROUND(SUMIFS(Sales!$Y$5:$Y$1204,Sales!$C$5:$C$1204,A364),2))</f>
        <v>0</v>
      </c>
      <c r="AC364" s="38">
        <f>IF(B364="","",IF(M364="Completed","Yes",IF(M364="Cancelled","Yes",IF(M364="No show","Yes","No"))))</f>
        <v>0</v>
      </c>
      <c r="AD364" s="25">
        <f>IF(B364="","",IF(AE364="","",B364-AE364))</f>
        <v>0</v>
      </c>
      <c r="AF364" s="38">
        <f>IF(B364="","",IF(M364&lt;&gt;"Completed","",IF(E364="","No",IF(COUNTIFS(Appointments!$E$5:$E$1204,E364,Appointments!$B$5:$B$1204,"&gt;"&amp;B364,Appointments!$M$5:$M$1204,"&lt;&gt;Cancelled")&gt;0,"Yes","No"))))</f>
        <v>0</v>
      </c>
      <c r="AG364" s="38">
        <f>IF(B364="","",IF(I364="","",IF(D364="","",IF(COUNTIFS($I$5:$I$1204,I364,$B$5:$B$1204,B364,$D$5:$D$1204,"&lt;"&amp;V364,$V$5:$V$1204,"&gt;"&amp;D364,$M$5:$M$1204,"&lt;&gt;Cancelled")&gt;1,"Clash",""))))</f>
        <v>0</v>
      </c>
      <c r="AH364" s="39">
        <f>IF(B364="","",IF(AG364="Clash","Clash - stylist double booked",IF(I364="","Assign - no stylist yet",IF(G364="","Add - no service chosen",IF(M364="No show","No show - charge the fee?",IF(M364="Cancelled","",IF(IF(M364="Completed",AB364&lt;Y364-0.004,FALSE),"Unpaid - nothing rung up for this visit",IF(IF(B364&lt;TodayDate,M364="Booked",FALSE),"Overdue - past date, still only Booked",IF(IF(B364=TodayDate,TRUE,FALSE),"Today",IF(IF(Z364&gt;0,AA364&lt;Z364-0.004,FALSE),"Due - deposit not taken",IF(IF(B364&gt;TodayDate,B364&lt;=TodayDate+2,FALSE),"Confirm - coming up","OK")))))))))))</f>
        <v>0</v>
      </c>
    </row>
    <row r="365" spans="1:34">
      <c r="A365" s="28">
        <f>IF(B365="","",AppointmentPrefix&amp;TEXT(ROW()-4,"0000"))</f>
        <v>0</v>
      </c>
      <c r="C365" s="15">
        <f>IF(B365="","",TEXT(B365,"ddd"))</f>
        <v>0</v>
      </c>
      <c r="F365" s="15">
        <f>IF(E365="","",IFERROR(INDEX(Clients!$B$5:$B$504,MATCH(E365,Clients!$A$5:$A$504,0)),"Walk-in"))</f>
        <v>0</v>
      </c>
      <c r="H365" s="15">
        <f>IF(G365="","",IFERROR(INDEX(Services!$B$5:$B$204,MATCH(G365,Services!$A$5:$A$204,0)),"Not in Services"))</f>
        <v>0</v>
      </c>
      <c r="J365" s="15">
        <f>IF(I365="","",IFERROR(INDEX(Staff!$B$5:$B$44,MATCH(I365,Staff!$A$5:$A$44,0)),"Unassigned"))</f>
        <v>0</v>
      </c>
      <c r="S365" s="15">
        <f>IF(B365="","",TEXT(B365,"yyyy-mm"))</f>
        <v>0</v>
      </c>
      <c r="T365" s="25">
        <f>IF(B365="","",WEEKNUM(B365,2))</f>
        <v>0</v>
      </c>
      <c r="U365" s="25">
        <f>IF(B365="","",IF(K365&lt;&gt;"",K365,IFERROR(INDEX(Services!$E$5:$E$204,MATCH(G365,Services!$A$5:$A$204,0))*1,0)+IFERROR(INDEX(Services!$F$5:$F$204,MATCH(G365,Services!$A$5:$A$204,0))*1,0)))</f>
        <v>0</v>
      </c>
      <c r="V365" s="36">
        <f>IF(B365="","",IF(D365="","",D365+U365/1440))</f>
        <v>0</v>
      </c>
      <c r="W365" s="25">
        <f>IF(B365="","",IF(D365="","",HOUR(D365)))</f>
        <v>0</v>
      </c>
      <c r="X365" s="37">
        <f>IF(B365="","",ROUND(U365/60,2))</f>
        <v>0</v>
      </c>
      <c r="Y365" s="26">
        <f>IF(B365="","",IF(L365&lt;&gt;"",L365,IFERROR(INDEX(Services!$G$5:$G$204,MATCH(G365,Services!$A$5:$A$204,0))*1,0)))</f>
        <v>0</v>
      </c>
      <c r="Z365" s="26">
        <f>IF(B365="","",IF(O365&lt;&gt;"",O365,IF(Y365&gt;=DepositThreshold,ROUND(Y365*DepositPercent,2),0)))</f>
        <v>0</v>
      </c>
      <c r="AA365" s="26">
        <f>IF(B365="","",ROUND(SUMIFS(Payments!$G$5:$G$1204,Payments!$I$5:$I$1204,A365,Payments!$E$5:$E$1204,"Deposit"),2))</f>
        <v>0</v>
      </c>
      <c r="AB365" s="26">
        <f>IF(B365="","",ROUND(SUMIFS(Sales!$Y$5:$Y$1204,Sales!$C$5:$C$1204,A365),2))</f>
        <v>0</v>
      </c>
      <c r="AC365" s="38">
        <f>IF(B365="","",IF(M365="Completed","Yes",IF(M365="Cancelled","Yes",IF(M365="No show","Yes","No"))))</f>
        <v>0</v>
      </c>
      <c r="AD365" s="25">
        <f>IF(B365="","",IF(AE365="","",B365-AE365))</f>
        <v>0</v>
      </c>
      <c r="AF365" s="38">
        <f>IF(B365="","",IF(M365&lt;&gt;"Completed","",IF(E365="","No",IF(COUNTIFS(Appointments!$E$5:$E$1204,E365,Appointments!$B$5:$B$1204,"&gt;"&amp;B365,Appointments!$M$5:$M$1204,"&lt;&gt;Cancelled")&gt;0,"Yes","No"))))</f>
        <v>0</v>
      </c>
      <c r="AG365" s="38">
        <f>IF(B365="","",IF(I365="","",IF(D365="","",IF(COUNTIFS($I$5:$I$1204,I365,$B$5:$B$1204,B365,$D$5:$D$1204,"&lt;"&amp;V365,$V$5:$V$1204,"&gt;"&amp;D365,$M$5:$M$1204,"&lt;&gt;Cancelled")&gt;1,"Clash",""))))</f>
        <v>0</v>
      </c>
      <c r="AH365" s="39">
        <f>IF(B365="","",IF(AG365="Clash","Clash - stylist double booked",IF(I365="","Assign - no stylist yet",IF(G365="","Add - no service chosen",IF(M365="No show","No show - charge the fee?",IF(M365="Cancelled","",IF(IF(M365="Completed",AB365&lt;Y365-0.004,FALSE),"Unpaid - nothing rung up for this visit",IF(IF(B365&lt;TodayDate,M365="Booked",FALSE),"Overdue - past date, still only Booked",IF(IF(B365=TodayDate,TRUE,FALSE),"Today",IF(IF(Z365&gt;0,AA365&lt;Z365-0.004,FALSE),"Due - deposit not taken",IF(IF(B365&gt;TodayDate,B365&lt;=TodayDate+2,FALSE),"Confirm - coming up","OK")))))))))))</f>
        <v>0</v>
      </c>
    </row>
    <row r="366" spans="1:34">
      <c r="A366" s="28">
        <f>IF(B366="","",AppointmentPrefix&amp;TEXT(ROW()-4,"0000"))</f>
        <v>0</v>
      </c>
      <c r="C366" s="15">
        <f>IF(B366="","",TEXT(B366,"ddd"))</f>
        <v>0</v>
      </c>
      <c r="F366" s="15">
        <f>IF(E366="","",IFERROR(INDEX(Clients!$B$5:$B$504,MATCH(E366,Clients!$A$5:$A$504,0)),"Walk-in"))</f>
        <v>0</v>
      </c>
      <c r="H366" s="15">
        <f>IF(G366="","",IFERROR(INDEX(Services!$B$5:$B$204,MATCH(G366,Services!$A$5:$A$204,0)),"Not in Services"))</f>
        <v>0</v>
      </c>
      <c r="J366" s="15">
        <f>IF(I366="","",IFERROR(INDEX(Staff!$B$5:$B$44,MATCH(I366,Staff!$A$5:$A$44,0)),"Unassigned"))</f>
        <v>0</v>
      </c>
      <c r="S366" s="15">
        <f>IF(B366="","",TEXT(B366,"yyyy-mm"))</f>
        <v>0</v>
      </c>
      <c r="T366" s="25">
        <f>IF(B366="","",WEEKNUM(B366,2))</f>
        <v>0</v>
      </c>
      <c r="U366" s="25">
        <f>IF(B366="","",IF(K366&lt;&gt;"",K366,IFERROR(INDEX(Services!$E$5:$E$204,MATCH(G366,Services!$A$5:$A$204,0))*1,0)+IFERROR(INDEX(Services!$F$5:$F$204,MATCH(G366,Services!$A$5:$A$204,0))*1,0)))</f>
        <v>0</v>
      </c>
      <c r="V366" s="36">
        <f>IF(B366="","",IF(D366="","",D366+U366/1440))</f>
        <v>0</v>
      </c>
      <c r="W366" s="25">
        <f>IF(B366="","",IF(D366="","",HOUR(D366)))</f>
        <v>0</v>
      </c>
      <c r="X366" s="37">
        <f>IF(B366="","",ROUND(U366/60,2))</f>
        <v>0</v>
      </c>
      <c r="Y366" s="26">
        <f>IF(B366="","",IF(L366&lt;&gt;"",L366,IFERROR(INDEX(Services!$G$5:$G$204,MATCH(G366,Services!$A$5:$A$204,0))*1,0)))</f>
        <v>0</v>
      </c>
      <c r="Z366" s="26">
        <f>IF(B366="","",IF(O366&lt;&gt;"",O366,IF(Y366&gt;=DepositThreshold,ROUND(Y366*DepositPercent,2),0)))</f>
        <v>0</v>
      </c>
      <c r="AA366" s="26">
        <f>IF(B366="","",ROUND(SUMIFS(Payments!$G$5:$G$1204,Payments!$I$5:$I$1204,A366,Payments!$E$5:$E$1204,"Deposit"),2))</f>
        <v>0</v>
      </c>
      <c r="AB366" s="26">
        <f>IF(B366="","",ROUND(SUMIFS(Sales!$Y$5:$Y$1204,Sales!$C$5:$C$1204,A366),2))</f>
        <v>0</v>
      </c>
      <c r="AC366" s="38">
        <f>IF(B366="","",IF(M366="Completed","Yes",IF(M366="Cancelled","Yes",IF(M366="No show","Yes","No"))))</f>
        <v>0</v>
      </c>
      <c r="AD366" s="25">
        <f>IF(B366="","",IF(AE366="","",B366-AE366))</f>
        <v>0</v>
      </c>
      <c r="AF366" s="38">
        <f>IF(B366="","",IF(M366&lt;&gt;"Completed","",IF(E366="","No",IF(COUNTIFS(Appointments!$E$5:$E$1204,E366,Appointments!$B$5:$B$1204,"&gt;"&amp;B366,Appointments!$M$5:$M$1204,"&lt;&gt;Cancelled")&gt;0,"Yes","No"))))</f>
        <v>0</v>
      </c>
      <c r="AG366" s="38">
        <f>IF(B366="","",IF(I366="","",IF(D366="","",IF(COUNTIFS($I$5:$I$1204,I366,$B$5:$B$1204,B366,$D$5:$D$1204,"&lt;"&amp;V366,$V$5:$V$1204,"&gt;"&amp;D366,$M$5:$M$1204,"&lt;&gt;Cancelled")&gt;1,"Clash",""))))</f>
        <v>0</v>
      </c>
      <c r="AH366" s="39">
        <f>IF(B366="","",IF(AG366="Clash","Clash - stylist double booked",IF(I366="","Assign - no stylist yet",IF(G366="","Add - no service chosen",IF(M366="No show","No show - charge the fee?",IF(M366="Cancelled","",IF(IF(M366="Completed",AB366&lt;Y366-0.004,FALSE),"Unpaid - nothing rung up for this visit",IF(IF(B366&lt;TodayDate,M366="Booked",FALSE),"Overdue - past date, still only Booked",IF(IF(B366=TodayDate,TRUE,FALSE),"Today",IF(IF(Z366&gt;0,AA366&lt;Z366-0.004,FALSE),"Due - deposit not taken",IF(IF(B366&gt;TodayDate,B366&lt;=TodayDate+2,FALSE),"Confirm - coming up","OK")))))))))))</f>
        <v>0</v>
      </c>
    </row>
    <row r="367" spans="1:34">
      <c r="A367" s="28">
        <f>IF(B367="","",AppointmentPrefix&amp;TEXT(ROW()-4,"0000"))</f>
        <v>0</v>
      </c>
      <c r="C367" s="15">
        <f>IF(B367="","",TEXT(B367,"ddd"))</f>
        <v>0</v>
      </c>
      <c r="F367" s="15">
        <f>IF(E367="","",IFERROR(INDEX(Clients!$B$5:$B$504,MATCH(E367,Clients!$A$5:$A$504,0)),"Walk-in"))</f>
        <v>0</v>
      </c>
      <c r="H367" s="15">
        <f>IF(G367="","",IFERROR(INDEX(Services!$B$5:$B$204,MATCH(G367,Services!$A$5:$A$204,0)),"Not in Services"))</f>
        <v>0</v>
      </c>
      <c r="J367" s="15">
        <f>IF(I367="","",IFERROR(INDEX(Staff!$B$5:$B$44,MATCH(I367,Staff!$A$5:$A$44,0)),"Unassigned"))</f>
        <v>0</v>
      </c>
      <c r="S367" s="15">
        <f>IF(B367="","",TEXT(B367,"yyyy-mm"))</f>
        <v>0</v>
      </c>
      <c r="T367" s="25">
        <f>IF(B367="","",WEEKNUM(B367,2))</f>
        <v>0</v>
      </c>
      <c r="U367" s="25">
        <f>IF(B367="","",IF(K367&lt;&gt;"",K367,IFERROR(INDEX(Services!$E$5:$E$204,MATCH(G367,Services!$A$5:$A$204,0))*1,0)+IFERROR(INDEX(Services!$F$5:$F$204,MATCH(G367,Services!$A$5:$A$204,0))*1,0)))</f>
        <v>0</v>
      </c>
      <c r="V367" s="36">
        <f>IF(B367="","",IF(D367="","",D367+U367/1440))</f>
        <v>0</v>
      </c>
      <c r="W367" s="25">
        <f>IF(B367="","",IF(D367="","",HOUR(D367)))</f>
        <v>0</v>
      </c>
      <c r="X367" s="37">
        <f>IF(B367="","",ROUND(U367/60,2))</f>
        <v>0</v>
      </c>
      <c r="Y367" s="26">
        <f>IF(B367="","",IF(L367&lt;&gt;"",L367,IFERROR(INDEX(Services!$G$5:$G$204,MATCH(G367,Services!$A$5:$A$204,0))*1,0)))</f>
        <v>0</v>
      </c>
      <c r="Z367" s="26">
        <f>IF(B367="","",IF(O367&lt;&gt;"",O367,IF(Y367&gt;=DepositThreshold,ROUND(Y367*DepositPercent,2),0)))</f>
        <v>0</v>
      </c>
      <c r="AA367" s="26">
        <f>IF(B367="","",ROUND(SUMIFS(Payments!$G$5:$G$1204,Payments!$I$5:$I$1204,A367,Payments!$E$5:$E$1204,"Deposit"),2))</f>
        <v>0</v>
      </c>
      <c r="AB367" s="26">
        <f>IF(B367="","",ROUND(SUMIFS(Sales!$Y$5:$Y$1204,Sales!$C$5:$C$1204,A367),2))</f>
        <v>0</v>
      </c>
      <c r="AC367" s="38">
        <f>IF(B367="","",IF(M367="Completed","Yes",IF(M367="Cancelled","Yes",IF(M367="No show","Yes","No"))))</f>
        <v>0</v>
      </c>
      <c r="AD367" s="25">
        <f>IF(B367="","",IF(AE367="","",B367-AE367))</f>
        <v>0</v>
      </c>
      <c r="AF367" s="38">
        <f>IF(B367="","",IF(M367&lt;&gt;"Completed","",IF(E367="","No",IF(COUNTIFS(Appointments!$E$5:$E$1204,E367,Appointments!$B$5:$B$1204,"&gt;"&amp;B367,Appointments!$M$5:$M$1204,"&lt;&gt;Cancelled")&gt;0,"Yes","No"))))</f>
        <v>0</v>
      </c>
      <c r="AG367" s="38">
        <f>IF(B367="","",IF(I367="","",IF(D367="","",IF(COUNTIFS($I$5:$I$1204,I367,$B$5:$B$1204,B367,$D$5:$D$1204,"&lt;"&amp;V367,$V$5:$V$1204,"&gt;"&amp;D367,$M$5:$M$1204,"&lt;&gt;Cancelled")&gt;1,"Clash",""))))</f>
        <v>0</v>
      </c>
      <c r="AH367" s="39">
        <f>IF(B367="","",IF(AG367="Clash","Clash - stylist double booked",IF(I367="","Assign - no stylist yet",IF(G367="","Add - no service chosen",IF(M367="No show","No show - charge the fee?",IF(M367="Cancelled","",IF(IF(M367="Completed",AB367&lt;Y367-0.004,FALSE),"Unpaid - nothing rung up for this visit",IF(IF(B367&lt;TodayDate,M367="Booked",FALSE),"Overdue - past date, still only Booked",IF(IF(B367=TodayDate,TRUE,FALSE),"Today",IF(IF(Z367&gt;0,AA367&lt;Z367-0.004,FALSE),"Due - deposit not taken",IF(IF(B367&gt;TodayDate,B367&lt;=TodayDate+2,FALSE),"Confirm - coming up","OK")))))))))))</f>
        <v>0</v>
      </c>
    </row>
    <row r="368" spans="1:34">
      <c r="A368" s="28">
        <f>IF(B368="","",AppointmentPrefix&amp;TEXT(ROW()-4,"0000"))</f>
        <v>0</v>
      </c>
      <c r="C368" s="15">
        <f>IF(B368="","",TEXT(B368,"ddd"))</f>
        <v>0</v>
      </c>
      <c r="F368" s="15">
        <f>IF(E368="","",IFERROR(INDEX(Clients!$B$5:$B$504,MATCH(E368,Clients!$A$5:$A$504,0)),"Walk-in"))</f>
        <v>0</v>
      </c>
      <c r="H368" s="15">
        <f>IF(G368="","",IFERROR(INDEX(Services!$B$5:$B$204,MATCH(G368,Services!$A$5:$A$204,0)),"Not in Services"))</f>
        <v>0</v>
      </c>
      <c r="J368" s="15">
        <f>IF(I368="","",IFERROR(INDEX(Staff!$B$5:$B$44,MATCH(I368,Staff!$A$5:$A$44,0)),"Unassigned"))</f>
        <v>0</v>
      </c>
      <c r="S368" s="15">
        <f>IF(B368="","",TEXT(B368,"yyyy-mm"))</f>
        <v>0</v>
      </c>
      <c r="T368" s="25">
        <f>IF(B368="","",WEEKNUM(B368,2))</f>
        <v>0</v>
      </c>
      <c r="U368" s="25">
        <f>IF(B368="","",IF(K368&lt;&gt;"",K368,IFERROR(INDEX(Services!$E$5:$E$204,MATCH(G368,Services!$A$5:$A$204,0))*1,0)+IFERROR(INDEX(Services!$F$5:$F$204,MATCH(G368,Services!$A$5:$A$204,0))*1,0)))</f>
        <v>0</v>
      </c>
      <c r="V368" s="36">
        <f>IF(B368="","",IF(D368="","",D368+U368/1440))</f>
        <v>0</v>
      </c>
      <c r="W368" s="25">
        <f>IF(B368="","",IF(D368="","",HOUR(D368)))</f>
        <v>0</v>
      </c>
      <c r="X368" s="37">
        <f>IF(B368="","",ROUND(U368/60,2))</f>
        <v>0</v>
      </c>
      <c r="Y368" s="26">
        <f>IF(B368="","",IF(L368&lt;&gt;"",L368,IFERROR(INDEX(Services!$G$5:$G$204,MATCH(G368,Services!$A$5:$A$204,0))*1,0)))</f>
        <v>0</v>
      </c>
      <c r="Z368" s="26">
        <f>IF(B368="","",IF(O368&lt;&gt;"",O368,IF(Y368&gt;=DepositThreshold,ROUND(Y368*DepositPercent,2),0)))</f>
        <v>0</v>
      </c>
      <c r="AA368" s="26">
        <f>IF(B368="","",ROUND(SUMIFS(Payments!$G$5:$G$1204,Payments!$I$5:$I$1204,A368,Payments!$E$5:$E$1204,"Deposit"),2))</f>
        <v>0</v>
      </c>
      <c r="AB368" s="26">
        <f>IF(B368="","",ROUND(SUMIFS(Sales!$Y$5:$Y$1204,Sales!$C$5:$C$1204,A368),2))</f>
        <v>0</v>
      </c>
      <c r="AC368" s="38">
        <f>IF(B368="","",IF(M368="Completed","Yes",IF(M368="Cancelled","Yes",IF(M368="No show","Yes","No"))))</f>
        <v>0</v>
      </c>
      <c r="AD368" s="25">
        <f>IF(B368="","",IF(AE368="","",B368-AE368))</f>
        <v>0</v>
      </c>
      <c r="AF368" s="38">
        <f>IF(B368="","",IF(M368&lt;&gt;"Completed","",IF(E368="","No",IF(COUNTIFS(Appointments!$E$5:$E$1204,E368,Appointments!$B$5:$B$1204,"&gt;"&amp;B368,Appointments!$M$5:$M$1204,"&lt;&gt;Cancelled")&gt;0,"Yes","No"))))</f>
        <v>0</v>
      </c>
      <c r="AG368" s="38">
        <f>IF(B368="","",IF(I368="","",IF(D368="","",IF(COUNTIFS($I$5:$I$1204,I368,$B$5:$B$1204,B368,$D$5:$D$1204,"&lt;"&amp;V368,$V$5:$V$1204,"&gt;"&amp;D368,$M$5:$M$1204,"&lt;&gt;Cancelled")&gt;1,"Clash",""))))</f>
        <v>0</v>
      </c>
      <c r="AH368" s="39">
        <f>IF(B368="","",IF(AG368="Clash","Clash - stylist double booked",IF(I368="","Assign - no stylist yet",IF(G368="","Add - no service chosen",IF(M368="No show","No show - charge the fee?",IF(M368="Cancelled","",IF(IF(M368="Completed",AB368&lt;Y368-0.004,FALSE),"Unpaid - nothing rung up for this visit",IF(IF(B368&lt;TodayDate,M368="Booked",FALSE),"Overdue - past date, still only Booked",IF(IF(B368=TodayDate,TRUE,FALSE),"Today",IF(IF(Z368&gt;0,AA368&lt;Z368-0.004,FALSE),"Due - deposit not taken",IF(IF(B368&gt;TodayDate,B368&lt;=TodayDate+2,FALSE),"Confirm - coming up","OK")))))))))))</f>
        <v>0</v>
      </c>
    </row>
    <row r="369" spans="1:34">
      <c r="A369" s="28">
        <f>IF(B369="","",AppointmentPrefix&amp;TEXT(ROW()-4,"0000"))</f>
        <v>0</v>
      </c>
      <c r="C369" s="15">
        <f>IF(B369="","",TEXT(B369,"ddd"))</f>
        <v>0</v>
      </c>
      <c r="F369" s="15">
        <f>IF(E369="","",IFERROR(INDEX(Clients!$B$5:$B$504,MATCH(E369,Clients!$A$5:$A$504,0)),"Walk-in"))</f>
        <v>0</v>
      </c>
      <c r="H369" s="15">
        <f>IF(G369="","",IFERROR(INDEX(Services!$B$5:$B$204,MATCH(G369,Services!$A$5:$A$204,0)),"Not in Services"))</f>
        <v>0</v>
      </c>
      <c r="J369" s="15">
        <f>IF(I369="","",IFERROR(INDEX(Staff!$B$5:$B$44,MATCH(I369,Staff!$A$5:$A$44,0)),"Unassigned"))</f>
        <v>0</v>
      </c>
      <c r="S369" s="15">
        <f>IF(B369="","",TEXT(B369,"yyyy-mm"))</f>
        <v>0</v>
      </c>
      <c r="T369" s="25">
        <f>IF(B369="","",WEEKNUM(B369,2))</f>
        <v>0</v>
      </c>
      <c r="U369" s="25">
        <f>IF(B369="","",IF(K369&lt;&gt;"",K369,IFERROR(INDEX(Services!$E$5:$E$204,MATCH(G369,Services!$A$5:$A$204,0))*1,0)+IFERROR(INDEX(Services!$F$5:$F$204,MATCH(G369,Services!$A$5:$A$204,0))*1,0)))</f>
        <v>0</v>
      </c>
      <c r="V369" s="36">
        <f>IF(B369="","",IF(D369="","",D369+U369/1440))</f>
        <v>0</v>
      </c>
      <c r="W369" s="25">
        <f>IF(B369="","",IF(D369="","",HOUR(D369)))</f>
        <v>0</v>
      </c>
      <c r="X369" s="37">
        <f>IF(B369="","",ROUND(U369/60,2))</f>
        <v>0</v>
      </c>
      <c r="Y369" s="26">
        <f>IF(B369="","",IF(L369&lt;&gt;"",L369,IFERROR(INDEX(Services!$G$5:$G$204,MATCH(G369,Services!$A$5:$A$204,0))*1,0)))</f>
        <v>0</v>
      </c>
      <c r="Z369" s="26">
        <f>IF(B369="","",IF(O369&lt;&gt;"",O369,IF(Y369&gt;=DepositThreshold,ROUND(Y369*DepositPercent,2),0)))</f>
        <v>0</v>
      </c>
      <c r="AA369" s="26">
        <f>IF(B369="","",ROUND(SUMIFS(Payments!$G$5:$G$1204,Payments!$I$5:$I$1204,A369,Payments!$E$5:$E$1204,"Deposit"),2))</f>
        <v>0</v>
      </c>
      <c r="AB369" s="26">
        <f>IF(B369="","",ROUND(SUMIFS(Sales!$Y$5:$Y$1204,Sales!$C$5:$C$1204,A369),2))</f>
        <v>0</v>
      </c>
      <c r="AC369" s="38">
        <f>IF(B369="","",IF(M369="Completed","Yes",IF(M369="Cancelled","Yes",IF(M369="No show","Yes","No"))))</f>
        <v>0</v>
      </c>
      <c r="AD369" s="25">
        <f>IF(B369="","",IF(AE369="","",B369-AE369))</f>
        <v>0</v>
      </c>
      <c r="AF369" s="38">
        <f>IF(B369="","",IF(M369&lt;&gt;"Completed","",IF(E369="","No",IF(COUNTIFS(Appointments!$E$5:$E$1204,E369,Appointments!$B$5:$B$1204,"&gt;"&amp;B369,Appointments!$M$5:$M$1204,"&lt;&gt;Cancelled")&gt;0,"Yes","No"))))</f>
        <v>0</v>
      </c>
      <c r="AG369" s="38">
        <f>IF(B369="","",IF(I369="","",IF(D369="","",IF(COUNTIFS($I$5:$I$1204,I369,$B$5:$B$1204,B369,$D$5:$D$1204,"&lt;"&amp;V369,$V$5:$V$1204,"&gt;"&amp;D369,$M$5:$M$1204,"&lt;&gt;Cancelled")&gt;1,"Clash",""))))</f>
        <v>0</v>
      </c>
      <c r="AH369" s="39">
        <f>IF(B369="","",IF(AG369="Clash","Clash - stylist double booked",IF(I369="","Assign - no stylist yet",IF(G369="","Add - no service chosen",IF(M369="No show","No show - charge the fee?",IF(M369="Cancelled","",IF(IF(M369="Completed",AB369&lt;Y369-0.004,FALSE),"Unpaid - nothing rung up for this visit",IF(IF(B369&lt;TodayDate,M369="Booked",FALSE),"Overdue - past date, still only Booked",IF(IF(B369=TodayDate,TRUE,FALSE),"Today",IF(IF(Z369&gt;0,AA369&lt;Z369-0.004,FALSE),"Due - deposit not taken",IF(IF(B369&gt;TodayDate,B369&lt;=TodayDate+2,FALSE),"Confirm - coming up","OK")))))))))))</f>
        <v>0</v>
      </c>
    </row>
    <row r="370" spans="1:34">
      <c r="A370" s="28">
        <f>IF(B370="","",AppointmentPrefix&amp;TEXT(ROW()-4,"0000"))</f>
        <v>0</v>
      </c>
      <c r="C370" s="15">
        <f>IF(B370="","",TEXT(B370,"ddd"))</f>
        <v>0</v>
      </c>
      <c r="F370" s="15">
        <f>IF(E370="","",IFERROR(INDEX(Clients!$B$5:$B$504,MATCH(E370,Clients!$A$5:$A$504,0)),"Walk-in"))</f>
        <v>0</v>
      </c>
      <c r="H370" s="15">
        <f>IF(G370="","",IFERROR(INDEX(Services!$B$5:$B$204,MATCH(G370,Services!$A$5:$A$204,0)),"Not in Services"))</f>
        <v>0</v>
      </c>
      <c r="J370" s="15">
        <f>IF(I370="","",IFERROR(INDEX(Staff!$B$5:$B$44,MATCH(I370,Staff!$A$5:$A$44,0)),"Unassigned"))</f>
        <v>0</v>
      </c>
      <c r="S370" s="15">
        <f>IF(B370="","",TEXT(B370,"yyyy-mm"))</f>
        <v>0</v>
      </c>
      <c r="T370" s="25">
        <f>IF(B370="","",WEEKNUM(B370,2))</f>
        <v>0</v>
      </c>
      <c r="U370" s="25">
        <f>IF(B370="","",IF(K370&lt;&gt;"",K370,IFERROR(INDEX(Services!$E$5:$E$204,MATCH(G370,Services!$A$5:$A$204,0))*1,0)+IFERROR(INDEX(Services!$F$5:$F$204,MATCH(G370,Services!$A$5:$A$204,0))*1,0)))</f>
        <v>0</v>
      </c>
      <c r="V370" s="36">
        <f>IF(B370="","",IF(D370="","",D370+U370/1440))</f>
        <v>0</v>
      </c>
      <c r="W370" s="25">
        <f>IF(B370="","",IF(D370="","",HOUR(D370)))</f>
        <v>0</v>
      </c>
      <c r="X370" s="37">
        <f>IF(B370="","",ROUND(U370/60,2))</f>
        <v>0</v>
      </c>
      <c r="Y370" s="26">
        <f>IF(B370="","",IF(L370&lt;&gt;"",L370,IFERROR(INDEX(Services!$G$5:$G$204,MATCH(G370,Services!$A$5:$A$204,0))*1,0)))</f>
        <v>0</v>
      </c>
      <c r="Z370" s="26">
        <f>IF(B370="","",IF(O370&lt;&gt;"",O370,IF(Y370&gt;=DepositThreshold,ROUND(Y370*DepositPercent,2),0)))</f>
        <v>0</v>
      </c>
      <c r="AA370" s="26">
        <f>IF(B370="","",ROUND(SUMIFS(Payments!$G$5:$G$1204,Payments!$I$5:$I$1204,A370,Payments!$E$5:$E$1204,"Deposit"),2))</f>
        <v>0</v>
      </c>
      <c r="AB370" s="26">
        <f>IF(B370="","",ROUND(SUMIFS(Sales!$Y$5:$Y$1204,Sales!$C$5:$C$1204,A370),2))</f>
        <v>0</v>
      </c>
      <c r="AC370" s="38">
        <f>IF(B370="","",IF(M370="Completed","Yes",IF(M370="Cancelled","Yes",IF(M370="No show","Yes","No"))))</f>
        <v>0</v>
      </c>
      <c r="AD370" s="25">
        <f>IF(B370="","",IF(AE370="","",B370-AE370))</f>
        <v>0</v>
      </c>
      <c r="AF370" s="38">
        <f>IF(B370="","",IF(M370&lt;&gt;"Completed","",IF(E370="","No",IF(COUNTIFS(Appointments!$E$5:$E$1204,E370,Appointments!$B$5:$B$1204,"&gt;"&amp;B370,Appointments!$M$5:$M$1204,"&lt;&gt;Cancelled")&gt;0,"Yes","No"))))</f>
        <v>0</v>
      </c>
      <c r="AG370" s="38">
        <f>IF(B370="","",IF(I370="","",IF(D370="","",IF(COUNTIFS($I$5:$I$1204,I370,$B$5:$B$1204,B370,$D$5:$D$1204,"&lt;"&amp;V370,$V$5:$V$1204,"&gt;"&amp;D370,$M$5:$M$1204,"&lt;&gt;Cancelled")&gt;1,"Clash",""))))</f>
        <v>0</v>
      </c>
      <c r="AH370" s="39">
        <f>IF(B370="","",IF(AG370="Clash","Clash - stylist double booked",IF(I370="","Assign - no stylist yet",IF(G370="","Add - no service chosen",IF(M370="No show","No show - charge the fee?",IF(M370="Cancelled","",IF(IF(M370="Completed",AB370&lt;Y370-0.004,FALSE),"Unpaid - nothing rung up for this visit",IF(IF(B370&lt;TodayDate,M370="Booked",FALSE),"Overdue - past date, still only Booked",IF(IF(B370=TodayDate,TRUE,FALSE),"Today",IF(IF(Z370&gt;0,AA370&lt;Z370-0.004,FALSE),"Due - deposit not taken",IF(IF(B370&gt;TodayDate,B370&lt;=TodayDate+2,FALSE),"Confirm - coming up","OK")))))))))))</f>
        <v>0</v>
      </c>
    </row>
    <row r="371" spans="1:34">
      <c r="A371" s="28">
        <f>IF(B371="","",AppointmentPrefix&amp;TEXT(ROW()-4,"0000"))</f>
        <v>0</v>
      </c>
      <c r="C371" s="15">
        <f>IF(B371="","",TEXT(B371,"ddd"))</f>
        <v>0</v>
      </c>
      <c r="F371" s="15">
        <f>IF(E371="","",IFERROR(INDEX(Clients!$B$5:$B$504,MATCH(E371,Clients!$A$5:$A$504,0)),"Walk-in"))</f>
        <v>0</v>
      </c>
      <c r="H371" s="15">
        <f>IF(G371="","",IFERROR(INDEX(Services!$B$5:$B$204,MATCH(G371,Services!$A$5:$A$204,0)),"Not in Services"))</f>
        <v>0</v>
      </c>
      <c r="J371" s="15">
        <f>IF(I371="","",IFERROR(INDEX(Staff!$B$5:$B$44,MATCH(I371,Staff!$A$5:$A$44,0)),"Unassigned"))</f>
        <v>0</v>
      </c>
      <c r="S371" s="15">
        <f>IF(B371="","",TEXT(B371,"yyyy-mm"))</f>
        <v>0</v>
      </c>
      <c r="T371" s="25">
        <f>IF(B371="","",WEEKNUM(B371,2))</f>
        <v>0</v>
      </c>
      <c r="U371" s="25">
        <f>IF(B371="","",IF(K371&lt;&gt;"",K371,IFERROR(INDEX(Services!$E$5:$E$204,MATCH(G371,Services!$A$5:$A$204,0))*1,0)+IFERROR(INDEX(Services!$F$5:$F$204,MATCH(G371,Services!$A$5:$A$204,0))*1,0)))</f>
        <v>0</v>
      </c>
      <c r="V371" s="36">
        <f>IF(B371="","",IF(D371="","",D371+U371/1440))</f>
        <v>0</v>
      </c>
      <c r="W371" s="25">
        <f>IF(B371="","",IF(D371="","",HOUR(D371)))</f>
        <v>0</v>
      </c>
      <c r="X371" s="37">
        <f>IF(B371="","",ROUND(U371/60,2))</f>
        <v>0</v>
      </c>
      <c r="Y371" s="26">
        <f>IF(B371="","",IF(L371&lt;&gt;"",L371,IFERROR(INDEX(Services!$G$5:$G$204,MATCH(G371,Services!$A$5:$A$204,0))*1,0)))</f>
        <v>0</v>
      </c>
      <c r="Z371" s="26">
        <f>IF(B371="","",IF(O371&lt;&gt;"",O371,IF(Y371&gt;=DepositThreshold,ROUND(Y371*DepositPercent,2),0)))</f>
        <v>0</v>
      </c>
      <c r="AA371" s="26">
        <f>IF(B371="","",ROUND(SUMIFS(Payments!$G$5:$G$1204,Payments!$I$5:$I$1204,A371,Payments!$E$5:$E$1204,"Deposit"),2))</f>
        <v>0</v>
      </c>
      <c r="AB371" s="26">
        <f>IF(B371="","",ROUND(SUMIFS(Sales!$Y$5:$Y$1204,Sales!$C$5:$C$1204,A371),2))</f>
        <v>0</v>
      </c>
      <c r="AC371" s="38">
        <f>IF(B371="","",IF(M371="Completed","Yes",IF(M371="Cancelled","Yes",IF(M371="No show","Yes","No"))))</f>
        <v>0</v>
      </c>
      <c r="AD371" s="25">
        <f>IF(B371="","",IF(AE371="","",B371-AE371))</f>
        <v>0</v>
      </c>
      <c r="AF371" s="38">
        <f>IF(B371="","",IF(M371&lt;&gt;"Completed","",IF(E371="","No",IF(COUNTIFS(Appointments!$E$5:$E$1204,E371,Appointments!$B$5:$B$1204,"&gt;"&amp;B371,Appointments!$M$5:$M$1204,"&lt;&gt;Cancelled")&gt;0,"Yes","No"))))</f>
        <v>0</v>
      </c>
      <c r="AG371" s="38">
        <f>IF(B371="","",IF(I371="","",IF(D371="","",IF(COUNTIFS($I$5:$I$1204,I371,$B$5:$B$1204,B371,$D$5:$D$1204,"&lt;"&amp;V371,$V$5:$V$1204,"&gt;"&amp;D371,$M$5:$M$1204,"&lt;&gt;Cancelled")&gt;1,"Clash",""))))</f>
        <v>0</v>
      </c>
      <c r="AH371" s="39">
        <f>IF(B371="","",IF(AG371="Clash","Clash - stylist double booked",IF(I371="","Assign - no stylist yet",IF(G371="","Add - no service chosen",IF(M371="No show","No show - charge the fee?",IF(M371="Cancelled","",IF(IF(M371="Completed",AB371&lt;Y371-0.004,FALSE),"Unpaid - nothing rung up for this visit",IF(IF(B371&lt;TodayDate,M371="Booked",FALSE),"Overdue - past date, still only Booked",IF(IF(B371=TodayDate,TRUE,FALSE),"Today",IF(IF(Z371&gt;0,AA371&lt;Z371-0.004,FALSE),"Due - deposit not taken",IF(IF(B371&gt;TodayDate,B371&lt;=TodayDate+2,FALSE),"Confirm - coming up","OK")))))))))))</f>
        <v>0</v>
      </c>
    </row>
    <row r="372" spans="1:34">
      <c r="A372" s="28">
        <f>IF(B372="","",AppointmentPrefix&amp;TEXT(ROW()-4,"0000"))</f>
        <v>0</v>
      </c>
      <c r="C372" s="15">
        <f>IF(B372="","",TEXT(B372,"ddd"))</f>
        <v>0</v>
      </c>
      <c r="F372" s="15">
        <f>IF(E372="","",IFERROR(INDEX(Clients!$B$5:$B$504,MATCH(E372,Clients!$A$5:$A$504,0)),"Walk-in"))</f>
        <v>0</v>
      </c>
      <c r="H372" s="15">
        <f>IF(G372="","",IFERROR(INDEX(Services!$B$5:$B$204,MATCH(G372,Services!$A$5:$A$204,0)),"Not in Services"))</f>
        <v>0</v>
      </c>
      <c r="J372" s="15">
        <f>IF(I372="","",IFERROR(INDEX(Staff!$B$5:$B$44,MATCH(I372,Staff!$A$5:$A$44,0)),"Unassigned"))</f>
        <v>0</v>
      </c>
      <c r="S372" s="15">
        <f>IF(B372="","",TEXT(B372,"yyyy-mm"))</f>
        <v>0</v>
      </c>
      <c r="T372" s="25">
        <f>IF(B372="","",WEEKNUM(B372,2))</f>
        <v>0</v>
      </c>
      <c r="U372" s="25">
        <f>IF(B372="","",IF(K372&lt;&gt;"",K372,IFERROR(INDEX(Services!$E$5:$E$204,MATCH(G372,Services!$A$5:$A$204,0))*1,0)+IFERROR(INDEX(Services!$F$5:$F$204,MATCH(G372,Services!$A$5:$A$204,0))*1,0)))</f>
        <v>0</v>
      </c>
      <c r="V372" s="36">
        <f>IF(B372="","",IF(D372="","",D372+U372/1440))</f>
        <v>0</v>
      </c>
      <c r="W372" s="25">
        <f>IF(B372="","",IF(D372="","",HOUR(D372)))</f>
        <v>0</v>
      </c>
      <c r="X372" s="37">
        <f>IF(B372="","",ROUND(U372/60,2))</f>
        <v>0</v>
      </c>
      <c r="Y372" s="26">
        <f>IF(B372="","",IF(L372&lt;&gt;"",L372,IFERROR(INDEX(Services!$G$5:$G$204,MATCH(G372,Services!$A$5:$A$204,0))*1,0)))</f>
        <v>0</v>
      </c>
      <c r="Z372" s="26">
        <f>IF(B372="","",IF(O372&lt;&gt;"",O372,IF(Y372&gt;=DepositThreshold,ROUND(Y372*DepositPercent,2),0)))</f>
        <v>0</v>
      </c>
      <c r="AA372" s="26">
        <f>IF(B372="","",ROUND(SUMIFS(Payments!$G$5:$G$1204,Payments!$I$5:$I$1204,A372,Payments!$E$5:$E$1204,"Deposit"),2))</f>
        <v>0</v>
      </c>
      <c r="AB372" s="26">
        <f>IF(B372="","",ROUND(SUMIFS(Sales!$Y$5:$Y$1204,Sales!$C$5:$C$1204,A372),2))</f>
        <v>0</v>
      </c>
      <c r="AC372" s="38">
        <f>IF(B372="","",IF(M372="Completed","Yes",IF(M372="Cancelled","Yes",IF(M372="No show","Yes","No"))))</f>
        <v>0</v>
      </c>
      <c r="AD372" s="25">
        <f>IF(B372="","",IF(AE372="","",B372-AE372))</f>
        <v>0</v>
      </c>
      <c r="AF372" s="38">
        <f>IF(B372="","",IF(M372&lt;&gt;"Completed","",IF(E372="","No",IF(COUNTIFS(Appointments!$E$5:$E$1204,E372,Appointments!$B$5:$B$1204,"&gt;"&amp;B372,Appointments!$M$5:$M$1204,"&lt;&gt;Cancelled")&gt;0,"Yes","No"))))</f>
        <v>0</v>
      </c>
      <c r="AG372" s="38">
        <f>IF(B372="","",IF(I372="","",IF(D372="","",IF(COUNTIFS($I$5:$I$1204,I372,$B$5:$B$1204,B372,$D$5:$D$1204,"&lt;"&amp;V372,$V$5:$V$1204,"&gt;"&amp;D372,$M$5:$M$1204,"&lt;&gt;Cancelled")&gt;1,"Clash",""))))</f>
        <v>0</v>
      </c>
      <c r="AH372" s="39">
        <f>IF(B372="","",IF(AG372="Clash","Clash - stylist double booked",IF(I372="","Assign - no stylist yet",IF(G372="","Add - no service chosen",IF(M372="No show","No show - charge the fee?",IF(M372="Cancelled","",IF(IF(M372="Completed",AB372&lt;Y372-0.004,FALSE),"Unpaid - nothing rung up for this visit",IF(IF(B372&lt;TodayDate,M372="Booked",FALSE),"Overdue - past date, still only Booked",IF(IF(B372=TodayDate,TRUE,FALSE),"Today",IF(IF(Z372&gt;0,AA372&lt;Z372-0.004,FALSE),"Due - deposit not taken",IF(IF(B372&gt;TodayDate,B372&lt;=TodayDate+2,FALSE),"Confirm - coming up","OK")))))))))))</f>
        <v>0</v>
      </c>
    </row>
    <row r="373" spans="1:34">
      <c r="A373" s="28">
        <f>IF(B373="","",AppointmentPrefix&amp;TEXT(ROW()-4,"0000"))</f>
        <v>0</v>
      </c>
      <c r="C373" s="15">
        <f>IF(B373="","",TEXT(B373,"ddd"))</f>
        <v>0</v>
      </c>
      <c r="F373" s="15">
        <f>IF(E373="","",IFERROR(INDEX(Clients!$B$5:$B$504,MATCH(E373,Clients!$A$5:$A$504,0)),"Walk-in"))</f>
        <v>0</v>
      </c>
      <c r="H373" s="15">
        <f>IF(G373="","",IFERROR(INDEX(Services!$B$5:$B$204,MATCH(G373,Services!$A$5:$A$204,0)),"Not in Services"))</f>
        <v>0</v>
      </c>
      <c r="J373" s="15">
        <f>IF(I373="","",IFERROR(INDEX(Staff!$B$5:$B$44,MATCH(I373,Staff!$A$5:$A$44,0)),"Unassigned"))</f>
        <v>0</v>
      </c>
      <c r="S373" s="15">
        <f>IF(B373="","",TEXT(B373,"yyyy-mm"))</f>
        <v>0</v>
      </c>
      <c r="T373" s="25">
        <f>IF(B373="","",WEEKNUM(B373,2))</f>
        <v>0</v>
      </c>
      <c r="U373" s="25">
        <f>IF(B373="","",IF(K373&lt;&gt;"",K373,IFERROR(INDEX(Services!$E$5:$E$204,MATCH(G373,Services!$A$5:$A$204,0))*1,0)+IFERROR(INDEX(Services!$F$5:$F$204,MATCH(G373,Services!$A$5:$A$204,0))*1,0)))</f>
        <v>0</v>
      </c>
      <c r="V373" s="36">
        <f>IF(B373="","",IF(D373="","",D373+U373/1440))</f>
        <v>0</v>
      </c>
      <c r="W373" s="25">
        <f>IF(B373="","",IF(D373="","",HOUR(D373)))</f>
        <v>0</v>
      </c>
      <c r="X373" s="37">
        <f>IF(B373="","",ROUND(U373/60,2))</f>
        <v>0</v>
      </c>
      <c r="Y373" s="26">
        <f>IF(B373="","",IF(L373&lt;&gt;"",L373,IFERROR(INDEX(Services!$G$5:$G$204,MATCH(G373,Services!$A$5:$A$204,0))*1,0)))</f>
        <v>0</v>
      </c>
      <c r="Z373" s="26">
        <f>IF(B373="","",IF(O373&lt;&gt;"",O373,IF(Y373&gt;=DepositThreshold,ROUND(Y373*DepositPercent,2),0)))</f>
        <v>0</v>
      </c>
      <c r="AA373" s="26">
        <f>IF(B373="","",ROUND(SUMIFS(Payments!$G$5:$G$1204,Payments!$I$5:$I$1204,A373,Payments!$E$5:$E$1204,"Deposit"),2))</f>
        <v>0</v>
      </c>
      <c r="AB373" s="26">
        <f>IF(B373="","",ROUND(SUMIFS(Sales!$Y$5:$Y$1204,Sales!$C$5:$C$1204,A373),2))</f>
        <v>0</v>
      </c>
      <c r="AC373" s="38">
        <f>IF(B373="","",IF(M373="Completed","Yes",IF(M373="Cancelled","Yes",IF(M373="No show","Yes","No"))))</f>
        <v>0</v>
      </c>
      <c r="AD373" s="25">
        <f>IF(B373="","",IF(AE373="","",B373-AE373))</f>
        <v>0</v>
      </c>
      <c r="AF373" s="38">
        <f>IF(B373="","",IF(M373&lt;&gt;"Completed","",IF(E373="","No",IF(COUNTIFS(Appointments!$E$5:$E$1204,E373,Appointments!$B$5:$B$1204,"&gt;"&amp;B373,Appointments!$M$5:$M$1204,"&lt;&gt;Cancelled")&gt;0,"Yes","No"))))</f>
        <v>0</v>
      </c>
      <c r="AG373" s="38">
        <f>IF(B373="","",IF(I373="","",IF(D373="","",IF(COUNTIFS($I$5:$I$1204,I373,$B$5:$B$1204,B373,$D$5:$D$1204,"&lt;"&amp;V373,$V$5:$V$1204,"&gt;"&amp;D373,$M$5:$M$1204,"&lt;&gt;Cancelled")&gt;1,"Clash",""))))</f>
        <v>0</v>
      </c>
      <c r="AH373" s="39">
        <f>IF(B373="","",IF(AG373="Clash","Clash - stylist double booked",IF(I373="","Assign - no stylist yet",IF(G373="","Add - no service chosen",IF(M373="No show","No show - charge the fee?",IF(M373="Cancelled","",IF(IF(M373="Completed",AB373&lt;Y373-0.004,FALSE),"Unpaid - nothing rung up for this visit",IF(IF(B373&lt;TodayDate,M373="Booked",FALSE),"Overdue - past date, still only Booked",IF(IF(B373=TodayDate,TRUE,FALSE),"Today",IF(IF(Z373&gt;0,AA373&lt;Z373-0.004,FALSE),"Due - deposit not taken",IF(IF(B373&gt;TodayDate,B373&lt;=TodayDate+2,FALSE),"Confirm - coming up","OK")))))))))))</f>
        <v>0</v>
      </c>
    </row>
    <row r="374" spans="1:34">
      <c r="A374" s="28">
        <f>IF(B374="","",AppointmentPrefix&amp;TEXT(ROW()-4,"0000"))</f>
        <v>0</v>
      </c>
      <c r="C374" s="15">
        <f>IF(B374="","",TEXT(B374,"ddd"))</f>
        <v>0</v>
      </c>
      <c r="F374" s="15">
        <f>IF(E374="","",IFERROR(INDEX(Clients!$B$5:$B$504,MATCH(E374,Clients!$A$5:$A$504,0)),"Walk-in"))</f>
        <v>0</v>
      </c>
      <c r="H374" s="15">
        <f>IF(G374="","",IFERROR(INDEX(Services!$B$5:$B$204,MATCH(G374,Services!$A$5:$A$204,0)),"Not in Services"))</f>
        <v>0</v>
      </c>
      <c r="J374" s="15">
        <f>IF(I374="","",IFERROR(INDEX(Staff!$B$5:$B$44,MATCH(I374,Staff!$A$5:$A$44,0)),"Unassigned"))</f>
        <v>0</v>
      </c>
      <c r="S374" s="15">
        <f>IF(B374="","",TEXT(B374,"yyyy-mm"))</f>
        <v>0</v>
      </c>
      <c r="T374" s="25">
        <f>IF(B374="","",WEEKNUM(B374,2))</f>
        <v>0</v>
      </c>
      <c r="U374" s="25">
        <f>IF(B374="","",IF(K374&lt;&gt;"",K374,IFERROR(INDEX(Services!$E$5:$E$204,MATCH(G374,Services!$A$5:$A$204,0))*1,0)+IFERROR(INDEX(Services!$F$5:$F$204,MATCH(G374,Services!$A$5:$A$204,0))*1,0)))</f>
        <v>0</v>
      </c>
      <c r="V374" s="36">
        <f>IF(B374="","",IF(D374="","",D374+U374/1440))</f>
        <v>0</v>
      </c>
      <c r="W374" s="25">
        <f>IF(B374="","",IF(D374="","",HOUR(D374)))</f>
        <v>0</v>
      </c>
      <c r="X374" s="37">
        <f>IF(B374="","",ROUND(U374/60,2))</f>
        <v>0</v>
      </c>
      <c r="Y374" s="26">
        <f>IF(B374="","",IF(L374&lt;&gt;"",L374,IFERROR(INDEX(Services!$G$5:$G$204,MATCH(G374,Services!$A$5:$A$204,0))*1,0)))</f>
        <v>0</v>
      </c>
      <c r="Z374" s="26">
        <f>IF(B374="","",IF(O374&lt;&gt;"",O374,IF(Y374&gt;=DepositThreshold,ROUND(Y374*DepositPercent,2),0)))</f>
        <v>0</v>
      </c>
      <c r="AA374" s="26">
        <f>IF(B374="","",ROUND(SUMIFS(Payments!$G$5:$G$1204,Payments!$I$5:$I$1204,A374,Payments!$E$5:$E$1204,"Deposit"),2))</f>
        <v>0</v>
      </c>
      <c r="AB374" s="26">
        <f>IF(B374="","",ROUND(SUMIFS(Sales!$Y$5:$Y$1204,Sales!$C$5:$C$1204,A374),2))</f>
        <v>0</v>
      </c>
      <c r="AC374" s="38">
        <f>IF(B374="","",IF(M374="Completed","Yes",IF(M374="Cancelled","Yes",IF(M374="No show","Yes","No"))))</f>
        <v>0</v>
      </c>
      <c r="AD374" s="25">
        <f>IF(B374="","",IF(AE374="","",B374-AE374))</f>
        <v>0</v>
      </c>
      <c r="AF374" s="38">
        <f>IF(B374="","",IF(M374&lt;&gt;"Completed","",IF(E374="","No",IF(COUNTIFS(Appointments!$E$5:$E$1204,E374,Appointments!$B$5:$B$1204,"&gt;"&amp;B374,Appointments!$M$5:$M$1204,"&lt;&gt;Cancelled")&gt;0,"Yes","No"))))</f>
        <v>0</v>
      </c>
      <c r="AG374" s="38">
        <f>IF(B374="","",IF(I374="","",IF(D374="","",IF(COUNTIFS($I$5:$I$1204,I374,$B$5:$B$1204,B374,$D$5:$D$1204,"&lt;"&amp;V374,$V$5:$V$1204,"&gt;"&amp;D374,$M$5:$M$1204,"&lt;&gt;Cancelled")&gt;1,"Clash",""))))</f>
        <v>0</v>
      </c>
      <c r="AH374" s="39">
        <f>IF(B374="","",IF(AG374="Clash","Clash - stylist double booked",IF(I374="","Assign - no stylist yet",IF(G374="","Add - no service chosen",IF(M374="No show","No show - charge the fee?",IF(M374="Cancelled","",IF(IF(M374="Completed",AB374&lt;Y374-0.004,FALSE),"Unpaid - nothing rung up for this visit",IF(IF(B374&lt;TodayDate,M374="Booked",FALSE),"Overdue - past date, still only Booked",IF(IF(B374=TodayDate,TRUE,FALSE),"Today",IF(IF(Z374&gt;0,AA374&lt;Z374-0.004,FALSE),"Due - deposit not taken",IF(IF(B374&gt;TodayDate,B374&lt;=TodayDate+2,FALSE),"Confirm - coming up","OK")))))))))))</f>
        <v>0</v>
      </c>
    </row>
    <row r="375" spans="1:34">
      <c r="A375" s="28">
        <f>IF(B375="","",AppointmentPrefix&amp;TEXT(ROW()-4,"0000"))</f>
        <v>0</v>
      </c>
      <c r="C375" s="15">
        <f>IF(B375="","",TEXT(B375,"ddd"))</f>
        <v>0</v>
      </c>
      <c r="F375" s="15">
        <f>IF(E375="","",IFERROR(INDEX(Clients!$B$5:$B$504,MATCH(E375,Clients!$A$5:$A$504,0)),"Walk-in"))</f>
        <v>0</v>
      </c>
      <c r="H375" s="15">
        <f>IF(G375="","",IFERROR(INDEX(Services!$B$5:$B$204,MATCH(G375,Services!$A$5:$A$204,0)),"Not in Services"))</f>
        <v>0</v>
      </c>
      <c r="J375" s="15">
        <f>IF(I375="","",IFERROR(INDEX(Staff!$B$5:$B$44,MATCH(I375,Staff!$A$5:$A$44,0)),"Unassigned"))</f>
        <v>0</v>
      </c>
      <c r="S375" s="15">
        <f>IF(B375="","",TEXT(B375,"yyyy-mm"))</f>
        <v>0</v>
      </c>
      <c r="T375" s="25">
        <f>IF(B375="","",WEEKNUM(B375,2))</f>
        <v>0</v>
      </c>
      <c r="U375" s="25">
        <f>IF(B375="","",IF(K375&lt;&gt;"",K375,IFERROR(INDEX(Services!$E$5:$E$204,MATCH(G375,Services!$A$5:$A$204,0))*1,0)+IFERROR(INDEX(Services!$F$5:$F$204,MATCH(G375,Services!$A$5:$A$204,0))*1,0)))</f>
        <v>0</v>
      </c>
      <c r="V375" s="36">
        <f>IF(B375="","",IF(D375="","",D375+U375/1440))</f>
        <v>0</v>
      </c>
      <c r="W375" s="25">
        <f>IF(B375="","",IF(D375="","",HOUR(D375)))</f>
        <v>0</v>
      </c>
      <c r="X375" s="37">
        <f>IF(B375="","",ROUND(U375/60,2))</f>
        <v>0</v>
      </c>
      <c r="Y375" s="26">
        <f>IF(B375="","",IF(L375&lt;&gt;"",L375,IFERROR(INDEX(Services!$G$5:$G$204,MATCH(G375,Services!$A$5:$A$204,0))*1,0)))</f>
        <v>0</v>
      </c>
      <c r="Z375" s="26">
        <f>IF(B375="","",IF(O375&lt;&gt;"",O375,IF(Y375&gt;=DepositThreshold,ROUND(Y375*DepositPercent,2),0)))</f>
        <v>0</v>
      </c>
      <c r="AA375" s="26">
        <f>IF(B375="","",ROUND(SUMIFS(Payments!$G$5:$G$1204,Payments!$I$5:$I$1204,A375,Payments!$E$5:$E$1204,"Deposit"),2))</f>
        <v>0</v>
      </c>
      <c r="AB375" s="26">
        <f>IF(B375="","",ROUND(SUMIFS(Sales!$Y$5:$Y$1204,Sales!$C$5:$C$1204,A375),2))</f>
        <v>0</v>
      </c>
      <c r="AC375" s="38">
        <f>IF(B375="","",IF(M375="Completed","Yes",IF(M375="Cancelled","Yes",IF(M375="No show","Yes","No"))))</f>
        <v>0</v>
      </c>
      <c r="AD375" s="25">
        <f>IF(B375="","",IF(AE375="","",B375-AE375))</f>
        <v>0</v>
      </c>
      <c r="AF375" s="38">
        <f>IF(B375="","",IF(M375&lt;&gt;"Completed","",IF(E375="","No",IF(COUNTIFS(Appointments!$E$5:$E$1204,E375,Appointments!$B$5:$B$1204,"&gt;"&amp;B375,Appointments!$M$5:$M$1204,"&lt;&gt;Cancelled")&gt;0,"Yes","No"))))</f>
        <v>0</v>
      </c>
      <c r="AG375" s="38">
        <f>IF(B375="","",IF(I375="","",IF(D375="","",IF(COUNTIFS($I$5:$I$1204,I375,$B$5:$B$1204,B375,$D$5:$D$1204,"&lt;"&amp;V375,$V$5:$V$1204,"&gt;"&amp;D375,$M$5:$M$1204,"&lt;&gt;Cancelled")&gt;1,"Clash",""))))</f>
        <v>0</v>
      </c>
      <c r="AH375" s="39">
        <f>IF(B375="","",IF(AG375="Clash","Clash - stylist double booked",IF(I375="","Assign - no stylist yet",IF(G375="","Add - no service chosen",IF(M375="No show","No show - charge the fee?",IF(M375="Cancelled","",IF(IF(M375="Completed",AB375&lt;Y375-0.004,FALSE),"Unpaid - nothing rung up for this visit",IF(IF(B375&lt;TodayDate,M375="Booked",FALSE),"Overdue - past date, still only Booked",IF(IF(B375=TodayDate,TRUE,FALSE),"Today",IF(IF(Z375&gt;0,AA375&lt;Z375-0.004,FALSE),"Due - deposit not taken",IF(IF(B375&gt;TodayDate,B375&lt;=TodayDate+2,FALSE),"Confirm - coming up","OK")))))))))))</f>
        <v>0</v>
      </c>
    </row>
    <row r="376" spans="1:34">
      <c r="A376" s="28">
        <f>IF(B376="","",AppointmentPrefix&amp;TEXT(ROW()-4,"0000"))</f>
        <v>0</v>
      </c>
      <c r="C376" s="15">
        <f>IF(B376="","",TEXT(B376,"ddd"))</f>
        <v>0</v>
      </c>
      <c r="F376" s="15">
        <f>IF(E376="","",IFERROR(INDEX(Clients!$B$5:$B$504,MATCH(E376,Clients!$A$5:$A$504,0)),"Walk-in"))</f>
        <v>0</v>
      </c>
      <c r="H376" s="15">
        <f>IF(G376="","",IFERROR(INDEX(Services!$B$5:$B$204,MATCH(G376,Services!$A$5:$A$204,0)),"Not in Services"))</f>
        <v>0</v>
      </c>
      <c r="J376" s="15">
        <f>IF(I376="","",IFERROR(INDEX(Staff!$B$5:$B$44,MATCH(I376,Staff!$A$5:$A$44,0)),"Unassigned"))</f>
        <v>0</v>
      </c>
      <c r="S376" s="15">
        <f>IF(B376="","",TEXT(B376,"yyyy-mm"))</f>
        <v>0</v>
      </c>
      <c r="T376" s="25">
        <f>IF(B376="","",WEEKNUM(B376,2))</f>
        <v>0</v>
      </c>
      <c r="U376" s="25">
        <f>IF(B376="","",IF(K376&lt;&gt;"",K376,IFERROR(INDEX(Services!$E$5:$E$204,MATCH(G376,Services!$A$5:$A$204,0))*1,0)+IFERROR(INDEX(Services!$F$5:$F$204,MATCH(G376,Services!$A$5:$A$204,0))*1,0)))</f>
        <v>0</v>
      </c>
      <c r="V376" s="36">
        <f>IF(B376="","",IF(D376="","",D376+U376/1440))</f>
        <v>0</v>
      </c>
      <c r="W376" s="25">
        <f>IF(B376="","",IF(D376="","",HOUR(D376)))</f>
        <v>0</v>
      </c>
      <c r="X376" s="37">
        <f>IF(B376="","",ROUND(U376/60,2))</f>
        <v>0</v>
      </c>
      <c r="Y376" s="26">
        <f>IF(B376="","",IF(L376&lt;&gt;"",L376,IFERROR(INDEX(Services!$G$5:$G$204,MATCH(G376,Services!$A$5:$A$204,0))*1,0)))</f>
        <v>0</v>
      </c>
      <c r="Z376" s="26">
        <f>IF(B376="","",IF(O376&lt;&gt;"",O376,IF(Y376&gt;=DepositThreshold,ROUND(Y376*DepositPercent,2),0)))</f>
        <v>0</v>
      </c>
      <c r="AA376" s="26">
        <f>IF(B376="","",ROUND(SUMIFS(Payments!$G$5:$G$1204,Payments!$I$5:$I$1204,A376,Payments!$E$5:$E$1204,"Deposit"),2))</f>
        <v>0</v>
      </c>
      <c r="AB376" s="26">
        <f>IF(B376="","",ROUND(SUMIFS(Sales!$Y$5:$Y$1204,Sales!$C$5:$C$1204,A376),2))</f>
        <v>0</v>
      </c>
      <c r="AC376" s="38">
        <f>IF(B376="","",IF(M376="Completed","Yes",IF(M376="Cancelled","Yes",IF(M376="No show","Yes","No"))))</f>
        <v>0</v>
      </c>
      <c r="AD376" s="25">
        <f>IF(B376="","",IF(AE376="","",B376-AE376))</f>
        <v>0</v>
      </c>
      <c r="AF376" s="38">
        <f>IF(B376="","",IF(M376&lt;&gt;"Completed","",IF(E376="","No",IF(COUNTIFS(Appointments!$E$5:$E$1204,E376,Appointments!$B$5:$B$1204,"&gt;"&amp;B376,Appointments!$M$5:$M$1204,"&lt;&gt;Cancelled")&gt;0,"Yes","No"))))</f>
        <v>0</v>
      </c>
      <c r="AG376" s="38">
        <f>IF(B376="","",IF(I376="","",IF(D376="","",IF(COUNTIFS($I$5:$I$1204,I376,$B$5:$B$1204,B376,$D$5:$D$1204,"&lt;"&amp;V376,$V$5:$V$1204,"&gt;"&amp;D376,$M$5:$M$1204,"&lt;&gt;Cancelled")&gt;1,"Clash",""))))</f>
        <v>0</v>
      </c>
      <c r="AH376" s="39">
        <f>IF(B376="","",IF(AG376="Clash","Clash - stylist double booked",IF(I376="","Assign - no stylist yet",IF(G376="","Add - no service chosen",IF(M376="No show","No show - charge the fee?",IF(M376="Cancelled","",IF(IF(M376="Completed",AB376&lt;Y376-0.004,FALSE),"Unpaid - nothing rung up for this visit",IF(IF(B376&lt;TodayDate,M376="Booked",FALSE),"Overdue - past date, still only Booked",IF(IF(B376=TodayDate,TRUE,FALSE),"Today",IF(IF(Z376&gt;0,AA376&lt;Z376-0.004,FALSE),"Due - deposit not taken",IF(IF(B376&gt;TodayDate,B376&lt;=TodayDate+2,FALSE),"Confirm - coming up","OK")))))))))))</f>
        <v>0</v>
      </c>
    </row>
    <row r="377" spans="1:34">
      <c r="A377" s="28">
        <f>IF(B377="","",AppointmentPrefix&amp;TEXT(ROW()-4,"0000"))</f>
        <v>0</v>
      </c>
      <c r="C377" s="15">
        <f>IF(B377="","",TEXT(B377,"ddd"))</f>
        <v>0</v>
      </c>
      <c r="F377" s="15">
        <f>IF(E377="","",IFERROR(INDEX(Clients!$B$5:$B$504,MATCH(E377,Clients!$A$5:$A$504,0)),"Walk-in"))</f>
        <v>0</v>
      </c>
      <c r="H377" s="15">
        <f>IF(G377="","",IFERROR(INDEX(Services!$B$5:$B$204,MATCH(G377,Services!$A$5:$A$204,0)),"Not in Services"))</f>
        <v>0</v>
      </c>
      <c r="J377" s="15">
        <f>IF(I377="","",IFERROR(INDEX(Staff!$B$5:$B$44,MATCH(I377,Staff!$A$5:$A$44,0)),"Unassigned"))</f>
        <v>0</v>
      </c>
      <c r="S377" s="15">
        <f>IF(B377="","",TEXT(B377,"yyyy-mm"))</f>
        <v>0</v>
      </c>
      <c r="T377" s="25">
        <f>IF(B377="","",WEEKNUM(B377,2))</f>
        <v>0</v>
      </c>
      <c r="U377" s="25">
        <f>IF(B377="","",IF(K377&lt;&gt;"",K377,IFERROR(INDEX(Services!$E$5:$E$204,MATCH(G377,Services!$A$5:$A$204,0))*1,0)+IFERROR(INDEX(Services!$F$5:$F$204,MATCH(G377,Services!$A$5:$A$204,0))*1,0)))</f>
        <v>0</v>
      </c>
      <c r="V377" s="36">
        <f>IF(B377="","",IF(D377="","",D377+U377/1440))</f>
        <v>0</v>
      </c>
      <c r="W377" s="25">
        <f>IF(B377="","",IF(D377="","",HOUR(D377)))</f>
        <v>0</v>
      </c>
      <c r="X377" s="37">
        <f>IF(B377="","",ROUND(U377/60,2))</f>
        <v>0</v>
      </c>
      <c r="Y377" s="26">
        <f>IF(B377="","",IF(L377&lt;&gt;"",L377,IFERROR(INDEX(Services!$G$5:$G$204,MATCH(G377,Services!$A$5:$A$204,0))*1,0)))</f>
        <v>0</v>
      </c>
      <c r="Z377" s="26">
        <f>IF(B377="","",IF(O377&lt;&gt;"",O377,IF(Y377&gt;=DepositThreshold,ROUND(Y377*DepositPercent,2),0)))</f>
        <v>0</v>
      </c>
      <c r="AA377" s="26">
        <f>IF(B377="","",ROUND(SUMIFS(Payments!$G$5:$G$1204,Payments!$I$5:$I$1204,A377,Payments!$E$5:$E$1204,"Deposit"),2))</f>
        <v>0</v>
      </c>
      <c r="AB377" s="26">
        <f>IF(B377="","",ROUND(SUMIFS(Sales!$Y$5:$Y$1204,Sales!$C$5:$C$1204,A377),2))</f>
        <v>0</v>
      </c>
      <c r="AC377" s="38">
        <f>IF(B377="","",IF(M377="Completed","Yes",IF(M377="Cancelled","Yes",IF(M377="No show","Yes","No"))))</f>
        <v>0</v>
      </c>
      <c r="AD377" s="25">
        <f>IF(B377="","",IF(AE377="","",B377-AE377))</f>
        <v>0</v>
      </c>
      <c r="AF377" s="38">
        <f>IF(B377="","",IF(M377&lt;&gt;"Completed","",IF(E377="","No",IF(COUNTIFS(Appointments!$E$5:$E$1204,E377,Appointments!$B$5:$B$1204,"&gt;"&amp;B377,Appointments!$M$5:$M$1204,"&lt;&gt;Cancelled")&gt;0,"Yes","No"))))</f>
        <v>0</v>
      </c>
      <c r="AG377" s="38">
        <f>IF(B377="","",IF(I377="","",IF(D377="","",IF(COUNTIFS($I$5:$I$1204,I377,$B$5:$B$1204,B377,$D$5:$D$1204,"&lt;"&amp;V377,$V$5:$V$1204,"&gt;"&amp;D377,$M$5:$M$1204,"&lt;&gt;Cancelled")&gt;1,"Clash",""))))</f>
        <v>0</v>
      </c>
      <c r="AH377" s="39">
        <f>IF(B377="","",IF(AG377="Clash","Clash - stylist double booked",IF(I377="","Assign - no stylist yet",IF(G377="","Add - no service chosen",IF(M377="No show","No show - charge the fee?",IF(M377="Cancelled","",IF(IF(M377="Completed",AB377&lt;Y377-0.004,FALSE),"Unpaid - nothing rung up for this visit",IF(IF(B377&lt;TodayDate,M377="Booked",FALSE),"Overdue - past date, still only Booked",IF(IF(B377=TodayDate,TRUE,FALSE),"Today",IF(IF(Z377&gt;0,AA377&lt;Z377-0.004,FALSE),"Due - deposit not taken",IF(IF(B377&gt;TodayDate,B377&lt;=TodayDate+2,FALSE),"Confirm - coming up","OK")))))))))))</f>
        <v>0</v>
      </c>
    </row>
    <row r="378" spans="1:34">
      <c r="A378" s="28">
        <f>IF(B378="","",AppointmentPrefix&amp;TEXT(ROW()-4,"0000"))</f>
        <v>0</v>
      </c>
      <c r="C378" s="15">
        <f>IF(B378="","",TEXT(B378,"ddd"))</f>
        <v>0</v>
      </c>
      <c r="F378" s="15">
        <f>IF(E378="","",IFERROR(INDEX(Clients!$B$5:$B$504,MATCH(E378,Clients!$A$5:$A$504,0)),"Walk-in"))</f>
        <v>0</v>
      </c>
      <c r="H378" s="15">
        <f>IF(G378="","",IFERROR(INDEX(Services!$B$5:$B$204,MATCH(G378,Services!$A$5:$A$204,0)),"Not in Services"))</f>
        <v>0</v>
      </c>
      <c r="J378" s="15">
        <f>IF(I378="","",IFERROR(INDEX(Staff!$B$5:$B$44,MATCH(I378,Staff!$A$5:$A$44,0)),"Unassigned"))</f>
        <v>0</v>
      </c>
      <c r="S378" s="15">
        <f>IF(B378="","",TEXT(B378,"yyyy-mm"))</f>
        <v>0</v>
      </c>
      <c r="T378" s="25">
        <f>IF(B378="","",WEEKNUM(B378,2))</f>
        <v>0</v>
      </c>
      <c r="U378" s="25">
        <f>IF(B378="","",IF(K378&lt;&gt;"",K378,IFERROR(INDEX(Services!$E$5:$E$204,MATCH(G378,Services!$A$5:$A$204,0))*1,0)+IFERROR(INDEX(Services!$F$5:$F$204,MATCH(G378,Services!$A$5:$A$204,0))*1,0)))</f>
        <v>0</v>
      </c>
      <c r="V378" s="36">
        <f>IF(B378="","",IF(D378="","",D378+U378/1440))</f>
        <v>0</v>
      </c>
      <c r="W378" s="25">
        <f>IF(B378="","",IF(D378="","",HOUR(D378)))</f>
        <v>0</v>
      </c>
      <c r="X378" s="37">
        <f>IF(B378="","",ROUND(U378/60,2))</f>
        <v>0</v>
      </c>
      <c r="Y378" s="26">
        <f>IF(B378="","",IF(L378&lt;&gt;"",L378,IFERROR(INDEX(Services!$G$5:$G$204,MATCH(G378,Services!$A$5:$A$204,0))*1,0)))</f>
        <v>0</v>
      </c>
      <c r="Z378" s="26">
        <f>IF(B378="","",IF(O378&lt;&gt;"",O378,IF(Y378&gt;=DepositThreshold,ROUND(Y378*DepositPercent,2),0)))</f>
        <v>0</v>
      </c>
      <c r="AA378" s="26">
        <f>IF(B378="","",ROUND(SUMIFS(Payments!$G$5:$G$1204,Payments!$I$5:$I$1204,A378,Payments!$E$5:$E$1204,"Deposit"),2))</f>
        <v>0</v>
      </c>
      <c r="AB378" s="26">
        <f>IF(B378="","",ROUND(SUMIFS(Sales!$Y$5:$Y$1204,Sales!$C$5:$C$1204,A378),2))</f>
        <v>0</v>
      </c>
      <c r="AC378" s="38">
        <f>IF(B378="","",IF(M378="Completed","Yes",IF(M378="Cancelled","Yes",IF(M378="No show","Yes","No"))))</f>
        <v>0</v>
      </c>
      <c r="AD378" s="25">
        <f>IF(B378="","",IF(AE378="","",B378-AE378))</f>
        <v>0</v>
      </c>
      <c r="AF378" s="38">
        <f>IF(B378="","",IF(M378&lt;&gt;"Completed","",IF(E378="","No",IF(COUNTIFS(Appointments!$E$5:$E$1204,E378,Appointments!$B$5:$B$1204,"&gt;"&amp;B378,Appointments!$M$5:$M$1204,"&lt;&gt;Cancelled")&gt;0,"Yes","No"))))</f>
        <v>0</v>
      </c>
      <c r="AG378" s="38">
        <f>IF(B378="","",IF(I378="","",IF(D378="","",IF(COUNTIFS($I$5:$I$1204,I378,$B$5:$B$1204,B378,$D$5:$D$1204,"&lt;"&amp;V378,$V$5:$V$1204,"&gt;"&amp;D378,$M$5:$M$1204,"&lt;&gt;Cancelled")&gt;1,"Clash",""))))</f>
        <v>0</v>
      </c>
      <c r="AH378" s="39">
        <f>IF(B378="","",IF(AG378="Clash","Clash - stylist double booked",IF(I378="","Assign - no stylist yet",IF(G378="","Add - no service chosen",IF(M378="No show","No show - charge the fee?",IF(M378="Cancelled","",IF(IF(M378="Completed",AB378&lt;Y378-0.004,FALSE),"Unpaid - nothing rung up for this visit",IF(IF(B378&lt;TodayDate,M378="Booked",FALSE),"Overdue - past date, still only Booked",IF(IF(B378=TodayDate,TRUE,FALSE),"Today",IF(IF(Z378&gt;0,AA378&lt;Z378-0.004,FALSE),"Due - deposit not taken",IF(IF(B378&gt;TodayDate,B378&lt;=TodayDate+2,FALSE),"Confirm - coming up","OK")))))))))))</f>
        <v>0</v>
      </c>
    </row>
    <row r="379" spans="1:34">
      <c r="A379" s="28">
        <f>IF(B379="","",AppointmentPrefix&amp;TEXT(ROW()-4,"0000"))</f>
        <v>0</v>
      </c>
      <c r="C379" s="15">
        <f>IF(B379="","",TEXT(B379,"ddd"))</f>
        <v>0</v>
      </c>
      <c r="F379" s="15">
        <f>IF(E379="","",IFERROR(INDEX(Clients!$B$5:$B$504,MATCH(E379,Clients!$A$5:$A$504,0)),"Walk-in"))</f>
        <v>0</v>
      </c>
      <c r="H379" s="15">
        <f>IF(G379="","",IFERROR(INDEX(Services!$B$5:$B$204,MATCH(G379,Services!$A$5:$A$204,0)),"Not in Services"))</f>
        <v>0</v>
      </c>
      <c r="J379" s="15">
        <f>IF(I379="","",IFERROR(INDEX(Staff!$B$5:$B$44,MATCH(I379,Staff!$A$5:$A$44,0)),"Unassigned"))</f>
        <v>0</v>
      </c>
      <c r="S379" s="15">
        <f>IF(B379="","",TEXT(B379,"yyyy-mm"))</f>
        <v>0</v>
      </c>
      <c r="T379" s="25">
        <f>IF(B379="","",WEEKNUM(B379,2))</f>
        <v>0</v>
      </c>
      <c r="U379" s="25">
        <f>IF(B379="","",IF(K379&lt;&gt;"",K379,IFERROR(INDEX(Services!$E$5:$E$204,MATCH(G379,Services!$A$5:$A$204,0))*1,0)+IFERROR(INDEX(Services!$F$5:$F$204,MATCH(G379,Services!$A$5:$A$204,0))*1,0)))</f>
        <v>0</v>
      </c>
      <c r="V379" s="36">
        <f>IF(B379="","",IF(D379="","",D379+U379/1440))</f>
        <v>0</v>
      </c>
      <c r="W379" s="25">
        <f>IF(B379="","",IF(D379="","",HOUR(D379)))</f>
        <v>0</v>
      </c>
      <c r="X379" s="37">
        <f>IF(B379="","",ROUND(U379/60,2))</f>
        <v>0</v>
      </c>
      <c r="Y379" s="26">
        <f>IF(B379="","",IF(L379&lt;&gt;"",L379,IFERROR(INDEX(Services!$G$5:$G$204,MATCH(G379,Services!$A$5:$A$204,0))*1,0)))</f>
        <v>0</v>
      </c>
      <c r="Z379" s="26">
        <f>IF(B379="","",IF(O379&lt;&gt;"",O379,IF(Y379&gt;=DepositThreshold,ROUND(Y379*DepositPercent,2),0)))</f>
        <v>0</v>
      </c>
      <c r="AA379" s="26">
        <f>IF(B379="","",ROUND(SUMIFS(Payments!$G$5:$G$1204,Payments!$I$5:$I$1204,A379,Payments!$E$5:$E$1204,"Deposit"),2))</f>
        <v>0</v>
      </c>
      <c r="AB379" s="26">
        <f>IF(B379="","",ROUND(SUMIFS(Sales!$Y$5:$Y$1204,Sales!$C$5:$C$1204,A379),2))</f>
        <v>0</v>
      </c>
      <c r="AC379" s="38">
        <f>IF(B379="","",IF(M379="Completed","Yes",IF(M379="Cancelled","Yes",IF(M379="No show","Yes","No"))))</f>
        <v>0</v>
      </c>
      <c r="AD379" s="25">
        <f>IF(B379="","",IF(AE379="","",B379-AE379))</f>
        <v>0</v>
      </c>
      <c r="AF379" s="38">
        <f>IF(B379="","",IF(M379&lt;&gt;"Completed","",IF(E379="","No",IF(COUNTIFS(Appointments!$E$5:$E$1204,E379,Appointments!$B$5:$B$1204,"&gt;"&amp;B379,Appointments!$M$5:$M$1204,"&lt;&gt;Cancelled")&gt;0,"Yes","No"))))</f>
        <v>0</v>
      </c>
      <c r="AG379" s="38">
        <f>IF(B379="","",IF(I379="","",IF(D379="","",IF(COUNTIFS($I$5:$I$1204,I379,$B$5:$B$1204,B379,$D$5:$D$1204,"&lt;"&amp;V379,$V$5:$V$1204,"&gt;"&amp;D379,$M$5:$M$1204,"&lt;&gt;Cancelled")&gt;1,"Clash",""))))</f>
        <v>0</v>
      </c>
      <c r="AH379" s="39">
        <f>IF(B379="","",IF(AG379="Clash","Clash - stylist double booked",IF(I379="","Assign - no stylist yet",IF(G379="","Add - no service chosen",IF(M379="No show","No show - charge the fee?",IF(M379="Cancelled","",IF(IF(M379="Completed",AB379&lt;Y379-0.004,FALSE),"Unpaid - nothing rung up for this visit",IF(IF(B379&lt;TodayDate,M379="Booked",FALSE),"Overdue - past date, still only Booked",IF(IF(B379=TodayDate,TRUE,FALSE),"Today",IF(IF(Z379&gt;0,AA379&lt;Z379-0.004,FALSE),"Due - deposit not taken",IF(IF(B379&gt;TodayDate,B379&lt;=TodayDate+2,FALSE),"Confirm - coming up","OK")))))))))))</f>
        <v>0</v>
      </c>
    </row>
    <row r="380" spans="1:34">
      <c r="A380" s="28">
        <f>IF(B380="","",AppointmentPrefix&amp;TEXT(ROW()-4,"0000"))</f>
        <v>0</v>
      </c>
      <c r="C380" s="15">
        <f>IF(B380="","",TEXT(B380,"ddd"))</f>
        <v>0</v>
      </c>
      <c r="F380" s="15">
        <f>IF(E380="","",IFERROR(INDEX(Clients!$B$5:$B$504,MATCH(E380,Clients!$A$5:$A$504,0)),"Walk-in"))</f>
        <v>0</v>
      </c>
      <c r="H380" s="15">
        <f>IF(G380="","",IFERROR(INDEX(Services!$B$5:$B$204,MATCH(G380,Services!$A$5:$A$204,0)),"Not in Services"))</f>
        <v>0</v>
      </c>
      <c r="J380" s="15">
        <f>IF(I380="","",IFERROR(INDEX(Staff!$B$5:$B$44,MATCH(I380,Staff!$A$5:$A$44,0)),"Unassigned"))</f>
        <v>0</v>
      </c>
      <c r="S380" s="15">
        <f>IF(B380="","",TEXT(B380,"yyyy-mm"))</f>
        <v>0</v>
      </c>
      <c r="T380" s="25">
        <f>IF(B380="","",WEEKNUM(B380,2))</f>
        <v>0</v>
      </c>
      <c r="U380" s="25">
        <f>IF(B380="","",IF(K380&lt;&gt;"",K380,IFERROR(INDEX(Services!$E$5:$E$204,MATCH(G380,Services!$A$5:$A$204,0))*1,0)+IFERROR(INDEX(Services!$F$5:$F$204,MATCH(G380,Services!$A$5:$A$204,0))*1,0)))</f>
        <v>0</v>
      </c>
      <c r="V380" s="36">
        <f>IF(B380="","",IF(D380="","",D380+U380/1440))</f>
        <v>0</v>
      </c>
      <c r="W380" s="25">
        <f>IF(B380="","",IF(D380="","",HOUR(D380)))</f>
        <v>0</v>
      </c>
      <c r="X380" s="37">
        <f>IF(B380="","",ROUND(U380/60,2))</f>
        <v>0</v>
      </c>
      <c r="Y380" s="26">
        <f>IF(B380="","",IF(L380&lt;&gt;"",L380,IFERROR(INDEX(Services!$G$5:$G$204,MATCH(G380,Services!$A$5:$A$204,0))*1,0)))</f>
        <v>0</v>
      </c>
      <c r="Z380" s="26">
        <f>IF(B380="","",IF(O380&lt;&gt;"",O380,IF(Y380&gt;=DepositThreshold,ROUND(Y380*DepositPercent,2),0)))</f>
        <v>0</v>
      </c>
      <c r="AA380" s="26">
        <f>IF(B380="","",ROUND(SUMIFS(Payments!$G$5:$G$1204,Payments!$I$5:$I$1204,A380,Payments!$E$5:$E$1204,"Deposit"),2))</f>
        <v>0</v>
      </c>
      <c r="AB380" s="26">
        <f>IF(B380="","",ROUND(SUMIFS(Sales!$Y$5:$Y$1204,Sales!$C$5:$C$1204,A380),2))</f>
        <v>0</v>
      </c>
      <c r="AC380" s="38">
        <f>IF(B380="","",IF(M380="Completed","Yes",IF(M380="Cancelled","Yes",IF(M380="No show","Yes","No"))))</f>
        <v>0</v>
      </c>
      <c r="AD380" s="25">
        <f>IF(B380="","",IF(AE380="","",B380-AE380))</f>
        <v>0</v>
      </c>
      <c r="AF380" s="38">
        <f>IF(B380="","",IF(M380&lt;&gt;"Completed","",IF(E380="","No",IF(COUNTIFS(Appointments!$E$5:$E$1204,E380,Appointments!$B$5:$B$1204,"&gt;"&amp;B380,Appointments!$M$5:$M$1204,"&lt;&gt;Cancelled")&gt;0,"Yes","No"))))</f>
        <v>0</v>
      </c>
      <c r="AG380" s="38">
        <f>IF(B380="","",IF(I380="","",IF(D380="","",IF(COUNTIFS($I$5:$I$1204,I380,$B$5:$B$1204,B380,$D$5:$D$1204,"&lt;"&amp;V380,$V$5:$V$1204,"&gt;"&amp;D380,$M$5:$M$1204,"&lt;&gt;Cancelled")&gt;1,"Clash",""))))</f>
        <v>0</v>
      </c>
      <c r="AH380" s="39">
        <f>IF(B380="","",IF(AG380="Clash","Clash - stylist double booked",IF(I380="","Assign - no stylist yet",IF(G380="","Add - no service chosen",IF(M380="No show","No show - charge the fee?",IF(M380="Cancelled","",IF(IF(M380="Completed",AB380&lt;Y380-0.004,FALSE),"Unpaid - nothing rung up for this visit",IF(IF(B380&lt;TodayDate,M380="Booked",FALSE),"Overdue - past date, still only Booked",IF(IF(B380=TodayDate,TRUE,FALSE),"Today",IF(IF(Z380&gt;0,AA380&lt;Z380-0.004,FALSE),"Due - deposit not taken",IF(IF(B380&gt;TodayDate,B380&lt;=TodayDate+2,FALSE),"Confirm - coming up","OK")))))))))))</f>
        <v>0</v>
      </c>
    </row>
    <row r="381" spans="1:34">
      <c r="A381" s="28">
        <f>IF(B381="","",AppointmentPrefix&amp;TEXT(ROW()-4,"0000"))</f>
        <v>0</v>
      </c>
      <c r="C381" s="15">
        <f>IF(B381="","",TEXT(B381,"ddd"))</f>
        <v>0</v>
      </c>
      <c r="F381" s="15">
        <f>IF(E381="","",IFERROR(INDEX(Clients!$B$5:$B$504,MATCH(E381,Clients!$A$5:$A$504,0)),"Walk-in"))</f>
        <v>0</v>
      </c>
      <c r="H381" s="15">
        <f>IF(G381="","",IFERROR(INDEX(Services!$B$5:$B$204,MATCH(G381,Services!$A$5:$A$204,0)),"Not in Services"))</f>
        <v>0</v>
      </c>
      <c r="J381" s="15">
        <f>IF(I381="","",IFERROR(INDEX(Staff!$B$5:$B$44,MATCH(I381,Staff!$A$5:$A$44,0)),"Unassigned"))</f>
        <v>0</v>
      </c>
      <c r="S381" s="15">
        <f>IF(B381="","",TEXT(B381,"yyyy-mm"))</f>
        <v>0</v>
      </c>
      <c r="T381" s="25">
        <f>IF(B381="","",WEEKNUM(B381,2))</f>
        <v>0</v>
      </c>
      <c r="U381" s="25">
        <f>IF(B381="","",IF(K381&lt;&gt;"",K381,IFERROR(INDEX(Services!$E$5:$E$204,MATCH(G381,Services!$A$5:$A$204,0))*1,0)+IFERROR(INDEX(Services!$F$5:$F$204,MATCH(G381,Services!$A$5:$A$204,0))*1,0)))</f>
        <v>0</v>
      </c>
      <c r="V381" s="36">
        <f>IF(B381="","",IF(D381="","",D381+U381/1440))</f>
        <v>0</v>
      </c>
      <c r="W381" s="25">
        <f>IF(B381="","",IF(D381="","",HOUR(D381)))</f>
        <v>0</v>
      </c>
      <c r="X381" s="37">
        <f>IF(B381="","",ROUND(U381/60,2))</f>
        <v>0</v>
      </c>
      <c r="Y381" s="26">
        <f>IF(B381="","",IF(L381&lt;&gt;"",L381,IFERROR(INDEX(Services!$G$5:$G$204,MATCH(G381,Services!$A$5:$A$204,0))*1,0)))</f>
        <v>0</v>
      </c>
      <c r="Z381" s="26">
        <f>IF(B381="","",IF(O381&lt;&gt;"",O381,IF(Y381&gt;=DepositThreshold,ROUND(Y381*DepositPercent,2),0)))</f>
        <v>0</v>
      </c>
      <c r="AA381" s="26">
        <f>IF(B381="","",ROUND(SUMIFS(Payments!$G$5:$G$1204,Payments!$I$5:$I$1204,A381,Payments!$E$5:$E$1204,"Deposit"),2))</f>
        <v>0</v>
      </c>
      <c r="AB381" s="26">
        <f>IF(B381="","",ROUND(SUMIFS(Sales!$Y$5:$Y$1204,Sales!$C$5:$C$1204,A381),2))</f>
        <v>0</v>
      </c>
      <c r="AC381" s="38">
        <f>IF(B381="","",IF(M381="Completed","Yes",IF(M381="Cancelled","Yes",IF(M381="No show","Yes","No"))))</f>
        <v>0</v>
      </c>
      <c r="AD381" s="25">
        <f>IF(B381="","",IF(AE381="","",B381-AE381))</f>
        <v>0</v>
      </c>
      <c r="AF381" s="38">
        <f>IF(B381="","",IF(M381&lt;&gt;"Completed","",IF(E381="","No",IF(COUNTIFS(Appointments!$E$5:$E$1204,E381,Appointments!$B$5:$B$1204,"&gt;"&amp;B381,Appointments!$M$5:$M$1204,"&lt;&gt;Cancelled")&gt;0,"Yes","No"))))</f>
        <v>0</v>
      </c>
      <c r="AG381" s="38">
        <f>IF(B381="","",IF(I381="","",IF(D381="","",IF(COUNTIFS($I$5:$I$1204,I381,$B$5:$B$1204,B381,$D$5:$D$1204,"&lt;"&amp;V381,$V$5:$V$1204,"&gt;"&amp;D381,$M$5:$M$1204,"&lt;&gt;Cancelled")&gt;1,"Clash",""))))</f>
        <v>0</v>
      </c>
      <c r="AH381" s="39">
        <f>IF(B381="","",IF(AG381="Clash","Clash - stylist double booked",IF(I381="","Assign - no stylist yet",IF(G381="","Add - no service chosen",IF(M381="No show","No show - charge the fee?",IF(M381="Cancelled","",IF(IF(M381="Completed",AB381&lt;Y381-0.004,FALSE),"Unpaid - nothing rung up for this visit",IF(IF(B381&lt;TodayDate,M381="Booked",FALSE),"Overdue - past date, still only Booked",IF(IF(B381=TodayDate,TRUE,FALSE),"Today",IF(IF(Z381&gt;0,AA381&lt;Z381-0.004,FALSE),"Due - deposit not taken",IF(IF(B381&gt;TodayDate,B381&lt;=TodayDate+2,FALSE),"Confirm - coming up","OK")))))))))))</f>
        <v>0</v>
      </c>
    </row>
    <row r="382" spans="1:34">
      <c r="A382" s="28">
        <f>IF(B382="","",AppointmentPrefix&amp;TEXT(ROW()-4,"0000"))</f>
        <v>0</v>
      </c>
      <c r="C382" s="15">
        <f>IF(B382="","",TEXT(B382,"ddd"))</f>
        <v>0</v>
      </c>
      <c r="F382" s="15">
        <f>IF(E382="","",IFERROR(INDEX(Clients!$B$5:$B$504,MATCH(E382,Clients!$A$5:$A$504,0)),"Walk-in"))</f>
        <v>0</v>
      </c>
      <c r="H382" s="15">
        <f>IF(G382="","",IFERROR(INDEX(Services!$B$5:$B$204,MATCH(G382,Services!$A$5:$A$204,0)),"Not in Services"))</f>
        <v>0</v>
      </c>
      <c r="J382" s="15">
        <f>IF(I382="","",IFERROR(INDEX(Staff!$B$5:$B$44,MATCH(I382,Staff!$A$5:$A$44,0)),"Unassigned"))</f>
        <v>0</v>
      </c>
      <c r="S382" s="15">
        <f>IF(B382="","",TEXT(B382,"yyyy-mm"))</f>
        <v>0</v>
      </c>
      <c r="T382" s="25">
        <f>IF(B382="","",WEEKNUM(B382,2))</f>
        <v>0</v>
      </c>
      <c r="U382" s="25">
        <f>IF(B382="","",IF(K382&lt;&gt;"",K382,IFERROR(INDEX(Services!$E$5:$E$204,MATCH(G382,Services!$A$5:$A$204,0))*1,0)+IFERROR(INDEX(Services!$F$5:$F$204,MATCH(G382,Services!$A$5:$A$204,0))*1,0)))</f>
        <v>0</v>
      </c>
      <c r="V382" s="36">
        <f>IF(B382="","",IF(D382="","",D382+U382/1440))</f>
        <v>0</v>
      </c>
      <c r="W382" s="25">
        <f>IF(B382="","",IF(D382="","",HOUR(D382)))</f>
        <v>0</v>
      </c>
      <c r="X382" s="37">
        <f>IF(B382="","",ROUND(U382/60,2))</f>
        <v>0</v>
      </c>
      <c r="Y382" s="26">
        <f>IF(B382="","",IF(L382&lt;&gt;"",L382,IFERROR(INDEX(Services!$G$5:$G$204,MATCH(G382,Services!$A$5:$A$204,0))*1,0)))</f>
        <v>0</v>
      </c>
      <c r="Z382" s="26">
        <f>IF(B382="","",IF(O382&lt;&gt;"",O382,IF(Y382&gt;=DepositThreshold,ROUND(Y382*DepositPercent,2),0)))</f>
        <v>0</v>
      </c>
      <c r="AA382" s="26">
        <f>IF(B382="","",ROUND(SUMIFS(Payments!$G$5:$G$1204,Payments!$I$5:$I$1204,A382,Payments!$E$5:$E$1204,"Deposit"),2))</f>
        <v>0</v>
      </c>
      <c r="AB382" s="26">
        <f>IF(B382="","",ROUND(SUMIFS(Sales!$Y$5:$Y$1204,Sales!$C$5:$C$1204,A382),2))</f>
        <v>0</v>
      </c>
      <c r="AC382" s="38">
        <f>IF(B382="","",IF(M382="Completed","Yes",IF(M382="Cancelled","Yes",IF(M382="No show","Yes","No"))))</f>
        <v>0</v>
      </c>
      <c r="AD382" s="25">
        <f>IF(B382="","",IF(AE382="","",B382-AE382))</f>
        <v>0</v>
      </c>
      <c r="AF382" s="38">
        <f>IF(B382="","",IF(M382&lt;&gt;"Completed","",IF(E382="","No",IF(COUNTIFS(Appointments!$E$5:$E$1204,E382,Appointments!$B$5:$B$1204,"&gt;"&amp;B382,Appointments!$M$5:$M$1204,"&lt;&gt;Cancelled")&gt;0,"Yes","No"))))</f>
        <v>0</v>
      </c>
      <c r="AG382" s="38">
        <f>IF(B382="","",IF(I382="","",IF(D382="","",IF(COUNTIFS($I$5:$I$1204,I382,$B$5:$B$1204,B382,$D$5:$D$1204,"&lt;"&amp;V382,$V$5:$V$1204,"&gt;"&amp;D382,$M$5:$M$1204,"&lt;&gt;Cancelled")&gt;1,"Clash",""))))</f>
        <v>0</v>
      </c>
      <c r="AH382" s="39">
        <f>IF(B382="","",IF(AG382="Clash","Clash - stylist double booked",IF(I382="","Assign - no stylist yet",IF(G382="","Add - no service chosen",IF(M382="No show","No show - charge the fee?",IF(M382="Cancelled","",IF(IF(M382="Completed",AB382&lt;Y382-0.004,FALSE),"Unpaid - nothing rung up for this visit",IF(IF(B382&lt;TodayDate,M382="Booked",FALSE),"Overdue - past date, still only Booked",IF(IF(B382=TodayDate,TRUE,FALSE),"Today",IF(IF(Z382&gt;0,AA382&lt;Z382-0.004,FALSE),"Due - deposit not taken",IF(IF(B382&gt;TodayDate,B382&lt;=TodayDate+2,FALSE),"Confirm - coming up","OK")))))))))))</f>
        <v>0</v>
      </c>
    </row>
    <row r="383" spans="1:34">
      <c r="A383" s="28">
        <f>IF(B383="","",AppointmentPrefix&amp;TEXT(ROW()-4,"0000"))</f>
        <v>0</v>
      </c>
      <c r="C383" s="15">
        <f>IF(B383="","",TEXT(B383,"ddd"))</f>
        <v>0</v>
      </c>
      <c r="F383" s="15">
        <f>IF(E383="","",IFERROR(INDEX(Clients!$B$5:$B$504,MATCH(E383,Clients!$A$5:$A$504,0)),"Walk-in"))</f>
        <v>0</v>
      </c>
      <c r="H383" s="15">
        <f>IF(G383="","",IFERROR(INDEX(Services!$B$5:$B$204,MATCH(G383,Services!$A$5:$A$204,0)),"Not in Services"))</f>
        <v>0</v>
      </c>
      <c r="J383" s="15">
        <f>IF(I383="","",IFERROR(INDEX(Staff!$B$5:$B$44,MATCH(I383,Staff!$A$5:$A$44,0)),"Unassigned"))</f>
        <v>0</v>
      </c>
      <c r="S383" s="15">
        <f>IF(B383="","",TEXT(B383,"yyyy-mm"))</f>
        <v>0</v>
      </c>
      <c r="T383" s="25">
        <f>IF(B383="","",WEEKNUM(B383,2))</f>
        <v>0</v>
      </c>
      <c r="U383" s="25">
        <f>IF(B383="","",IF(K383&lt;&gt;"",K383,IFERROR(INDEX(Services!$E$5:$E$204,MATCH(G383,Services!$A$5:$A$204,0))*1,0)+IFERROR(INDEX(Services!$F$5:$F$204,MATCH(G383,Services!$A$5:$A$204,0))*1,0)))</f>
        <v>0</v>
      </c>
      <c r="V383" s="36">
        <f>IF(B383="","",IF(D383="","",D383+U383/1440))</f>
        <v>0</v>
      </c>
      <c r="W383" s="25">
        <f>IF(B383="","",IF(D383="","",HOUR(D383)))</f>
        <v>0</v>
      </c>
      <c r="X383" s="37">
        <f>IF(B383="","",ROUND(U383/60,2))</f>
        <v>0</v>
      </c>
      <c r="Y383" s="26">
        <f>IF(B383="","",IF(L383&lt;&gt;"",L383,IFERROR(INDEX(Services!$G$5:$G$204,MATCH(G383,Services!$A$5:$A$204,0))*1,0)))</f>
        <v>0</v>
      </c>
      <c r="Z383" s="26">
        <f>IF(B383="","",IF(O383&lt;&gt;"",O383,IF(Y383&gt;=DepositThreshold,ROUND(Y383*DepositPercent,2),0)))</f>
        <v>0</v>
      </c>
      <c r="AA383" s="26">
        <f>IF(B383="","",ROUND(SUMIFS(Payments!$G$5:$G$1204,Payments!$I$5:$I$1204,A383,Payments!$E$5:$E$1204,"Deposit"),2))</f>
        <v>0</v>
      </c>
      <c r="AB383" s="26">
        <f>IF(B383="","",ROUND(SUMIFS(Sales!$Y$5:$Y$1204,Sales!$C$5:$C$1204,A383),2))</f>
        <v>0</v>
      </c>
      <c r="AC383" s="38">
        <f>IF(B383="","",IF(M383="Completed","Yes",IF(M383="Cancelled","Yes",IF(M383="No show","Yes","No"))))</f>
        <v>0</v>
      </c>
      <c r="AD383" s="25">
        <f>IF(B383="","",IF(AE383="","",B383-AE383))</f>
        <v>0</v>
      </c>
      <c r="AF383" s="38">
        <f>IF(B383="","",IF(M383&lt;&gt;"Completed","",IF(E383="","No",IF(COUNTIFS(Appointments!$E$5:$E$1204,E383,Appointments!$B$5:$B$1204,"&gt;"&amp;B383,Appointments!$M$5:$M$1204,"&lt;&gt;Cancelled")&gt;0,"Yes","No"))))</f>
        <v>0</v>
      </c>
      <c r="AG383" s="38">
        <f>IF(B383="","",IF(I383="","",IF(D383="","",IF(COUNTIFS($I$5:$I$1204,I383,$B$5:$B$1204,B383,$D$5:$D$1204,"&lt;"&amp;V383,$V$5:$V$1204,"&gt;"&amp;D383,$M$5:$M$1204,"&lt;&gt;Cancelled")&gt;1,"Clash",""))))</f>
        <v>0</v>
      </c>
      <c r="AH383" s="39">
        <f>IF(B383="","",IF(AG383="Clash","Clash - stylist double booked",IF(I383="","Assign - no stylist yet",IF(G383="","Add - no service chosen",IF(M383="No show","No show - charge the fee?",IF(M383="Cancelled","",IF(IF(M383="Completed",AB383&lt;Y383-0.004,FALSE),"Unpaid - nothing rung up for this visit",IF(IF(B383&lt;TodayDate,M383="Booked",FALSE),"Overdue - past date, still only Booked",IF(IF(B383=TodayDate,TRUE,FALSE),"Today",IF(IF(Z383&gt;0,AA383&lt;Z383-0.004,FALSE),"Due - deposit not taken",IF(IF(B383&gt;TodayDate,B383&lt;=TodayDate+2,FALSE),"Confirm - coming up","OK")))))))))))</f>
        <v>0</v>
      </c>
    </row>
    <row r="384" spans="1:34">
      <c r="A384" s="28">
        <f>IF(B384="","",AppointmentPrefix&amp;TEXT(ROW()-4,"0000"))</f>
        <v>0</v>
      </c>
      <c r="C384" s="15">
        <f>IF(B384="","",TEXT(B384,"ddd"))</f>
        <v>0</v>
      </c>
      <c r="F384" s="15">
        <f>IF(E384="","",IFERROR(INDEX(Clients!$B$5:$B$504,MATCH(E384,Clients!$A$5:$A$504,0)),"Walk-in"))</f>
        <v>0</v>
      </c>
      <c r="H384" s="15">
        <f>IF(G384="","",IFERROR(INDEX(Services!$B$5:$B$204,MATCH(G384,Services!$A$5:$A$204,0)),"Not in Services"))</f>
        <v>0</v>
      </c>
      <c r="J384" s="15">
        <f>IF(I384="","",IFERROR(INDEX(Staff!$B$5:$B$44,MATCH(I384,Staff!$A$5:$A$44,0)),"Unassigned"))</f>
        <v>0</v>
      </c>
      <c r="S384" s="15">
        <f>IF(B384="","",TEXT(B384,"yyyy-mm"))</f>
        <v>0</v>
      </c>
      <c r="T384" s="25">
        <f>IF(B384="","",WEEKNUM(B384,2))</f>
        <v>0</v>
      </c>
      <c r="U384" s="25">
        <f>IF(B384="","",IF(K384&lt;&gt;"",K384,IFERROR(INDEX(Services!$E$5:$E$204,MATCH(G384,Services!$A$5:$A$204,0))*1,0)+IFERROR(INDEX(Services!$F$5:$F$204,MATCH(G384,Services!$A$5:$A$204,0))*1,0)))</f>
        <v>0</v>
      </c>
      <c r="V384" s="36">
        <f>IF(B384="","",IF(D384="","",D384+U384/1440))</f>
        <v>0</v>
      </c>
      <c r="W384" s="25">
        <f>IF(B384="","",IF(D384="","",HOUR(D384)))</f>
        <v>0</v>
      </c>
      <c r="X384" s="37">
        <f>IF(B384="","",ROUND(U384/60,2))</f>
        <v>0</v>
      </c>
      <c r="Y384" s="26">
        <f>IF(B384="","",IF(L384&lt;&gt;"",L384,IFERROR(INDEX(Services!$G$5:$G$204,MATCH(G384,Services!$A$5:$A$204,0))*1,0)))</f>
        <v>0</v>
      </c>
      <c r="Z384" s="26">
        <f>IF(B384="","",IF(O384&lt;&gt;"",O384,IF(Y384&gt;=DepositThreshold,ROUND(Y384*DepositPercent,2),0)))</f>
        <v>0</v>
      </c>
      <c r="AA384" s="26">
        <f>IF(B384="","",ROUND(SUMIFS(Payments!$G$5:$G$1204,Payments!$I$5:$I$1204,A384,Payments!$E$5:$E$1204,"Deposit"),2))</f>
        <v>0</v>
      </c>
      <c r="AB384" s="26">
        <f>IF(B384="","",ROUND(SUMIFS(Sales!$Y$5:$Y$1204,Sales!$C$5:$C$1204,A384),2))</f>
        <v>0</v>
      </c>
      <c r="AC384" s="38">
        <f>IF(B384="","",IF(M384="Completed","Yes",IF(M384="Cancelled","Yes",IF(M384="No show","Yes","No"))))</f>
        <v>0</v>
      </c>
      <c r="AD384" s="25">
        <f>IF(B384="","",IF(AE384="","",B384-AE384))</f>
        <v>0</v>
      </c>
      <c r="AF384" s="38">
        <f>IF(B384="","",IF(M384&lt;&gt;"Completed","",IF(E384="","No",IF(COUNTIFS(Appointments!$E$5:$E$1204,E384,Appointments!$B$5:$B$1204,"&gt;"&amp;B384,Appointments!$M$5:$M$1204,"&lt;&gt;Cancelled")&gt;0,"Yes","No"))))</f>
        <v>0</v>
      </c>
      <c r="AG384" s="38">
        <f>IF(B384="","",IF(I384="","",IF(D384="","",IF(COUNTIFS($I$5:$I$1204,I384,$B$5:$B$1204,B384,$D$5:$D$1204,"&lt;"&amp;V384,$V$5:$V$1204,"&gt;"&amp;D384,$M$5:$M$1204,"&lt;&gt;Cancelled")&gt;1,"Clash",""))))</f>
        <v>0</v>
      </c>
      <c r="AH384" s="39">
        <f>IF(B384="","",IF(AG384="Clash","Clash - stylist double booked",IF(I384="","Assign - no stylist yet",IF(G384="","Add - no service chosen",IF(M384="No show","No show - charge the fee?",IF(M384="Cancelled","",IF(IF(M384="Completed",AB384&lt;Y384-0.004,FALSE),"Unpaid - nothing rung up for this visit",IF(IF(B384&lt;TodayDate,M384="Booked",FALSE),"Overdue - past date, still only Booked",IF(IF(B384=TodayDate,TRUE,FALSE),"Today",IF(IF(Z384&gt;0,AA384&lt;Z384-0.004,FALSE),"Due - deposit not taken",IF(IF(B384&gt;TodayDate,B384&lt;=TodayDate+2,FALSE),"Confirm - coming up","OK")))))))))))</f>
        <v>0</v>
      </c>
    </row>
    <row r="385" spans="1:34">
      <c r="A385" s="28">
        <f>IF(B385="","",AppointmentPrefix&amp;TEXT(ROW()-4,"0000"))</f>
        <v>0</v>
      </c>
      <c r="C385" s="15">
        <f>IF(B385="","",TEXT(B385,"ddd"))</f>
        <v>0</v>
      </c>
      <c r="F385" s="15">
        <f>IF(E385="","",IFERROR(INDEX(Clients!$B$5:$B$504,MATCH(E385,Clients!$A$5:$A$504,0)),"Walk-in"))</f>
        <v>0</v>
      </c>
      <c r="H385" s="15">
        <f>IF(G385="","",IFERROR(INDEX(Services!$B$5:$B$204,MATCH(G385,Services!$A$5:$A$204,0)),"Not in Services"))</f>
        <v>0</v>
      </c>
      <c r="J385" s="15">
        <f>IF(I385="","",IFERROR(INDEX(Staff!$B$5:$B$44,MATCH(I385,Staff!$A$5:$A$44,0)),"Unassigned"))</f>
        <v>0</v>
      </c>
      <c r="S385" s="15">
        <f>IF(B385="","",TEXT(B385,"yyyy-mm"))</f>
        <v>0</v>
      </c>
      <c r="T385" s="25">
        <f>IF(B385="","",WEEKNUM(B385,2))</f>
        <v>0</v>
      </c>
      <c r="U385" s="25">
        <f>IF(B385="","",IF(K385&lt;&gt;"",K385,IFERROR(INDEX(Services!$E$5:$E$204,MATCH(G385,Services!$A$5:$A$204,0))*1,0)+IFERROR(INDEX(Services!$F$5:$F$204,MATCH(G385,Services!$A$5:$A$204,0))*1,0)))</f>
        <v>0</v>
      </c>
      <c r="V385" s="36">
        <f>IF(B385="","",IF(D385="","",D385+U385/1440))</f>
        <v>0</v>
      </c>
      <c r="W385" s="25">
        <f>IF(B385="","",IF(D385="","",HOUR(D385)))</f>
        <v>0</v>
      </c>
      <c r="X385" s="37">
        <f>IF(B385="","",ROUND(U385/60,2))</f>
        <v>0</v>
      </c>
      <c r="Y385" s="26">
        <f>IF(B385="","",IF(L385&lt;&gt;"",L385,IFERROR(INDEX(Services!$G$5:$G$204,MATCH(G385,Services!$A$5:$A$204,0))*1,0)))</f>
        <v>0</v>
      </c>
      <c r="Z385" s="26">
        <f>IF(B385="","",IF(O385&lt;&gt;"",O385,IF(Y385&gt;=DepositThreshold,ROUND(Y385*DepositPercent,2),0)))</f>
        <v>0</v>
      </c>
      <c r="AA385" s="26">
        <f>IF(B385="","",ROUND(SUMIFS(Payments!$G$5:$G$1204,Payments!$I$5:$I$1204,A385,Payments!$E$5:$E$1204,"Deposit"),2))</f>
        <v>0</v>
      </c>
      <c r="AB385" s="26">
        <f>IF(B385="","",ROUND(SUMIFS(Sales!$Y$5:$Y$1204,Sales!$C$5:$C$1204,A385),2))</f>
        <v>0</v>
      </c>
      <c r="AC385" s="38">
        <f>IF(B385="","",IF(M385="Completed","Yes",IF(M385="Cancelled","Yes",IF(M385="No show","Yes","No"))))</f>
        <v>0</v>
      </c>
      <c r="AD385" s="25">
        <f>IF(B385="","",IF(AE385="","",B385-AE385))</f>
        <v>0</v>
      </c>
      <c r="AF385" s="38">
        <f>IF(B385="","",IF(M385&lt;&gt;"Completed","",IF(E385="","No",IF(COUNTIFS(Appointments!$E$5:$E$1204,E385,Appointments!$B$5:$B$1204,"&gt;"&amp;B385,Appointments!$M$5:$M$1204,"&lt;&gt;Cancelled")&gt;0,"Yes","No"))))</f>
        <v>0</v>
      </c>
      <c r="AG385" s="38">
        <f>IF(B385="","",IF(I385="","",IF(D385="","",IF(COUNTIFS($I$5:$I$1204,I385,$B$5:$B$1204,B385,$D$5:$D$1204,"&lt;"&amp;V385,$V$5:$V$1204,"&gt;"&amp;D385,$M$5:$M$1204,"&lt;&gt;Cancelled")&gt;1,"Clash",""))))</f>
        <v>0</v>
      </c>
      <c r="AH385" s="39">
        <f>IF(B385="","",IF(AG385="Clash","Clash - stylist double booked",IF(I385="","Assign - no stylist yet",IF(G385="","Add - no service chosen",IF(M385="No show","No show - charge the fee?",IF(M385="Cancelled","",IF(IF(M385="Completed",AB385&lt;Y385-0.004,FALSE),"Unpaid - nothing rung up for this visit",IF(IF(B385&lt;TodayDate,M385="Booked",FALSE),"Overdue - past date, still only Booked",IF(IF(B385=TodayDate,TRUE,FALSE),"Today",IF(IF(Z385&gt;0,AA385&lt;Z385-0.004,FALSE),"Due - deposit not taken",IF(IF(B385&gt;TodayDate,B385&lt;=TodayDate+2,FALSE),"Confirm - coming up","OK")))))))))))</f>
        <v>0</v>
      </c>
    </row>
    <row r="386" spans="1:34">
      <c r="A386" s="28">
        <f>IF(B386="","",AppointmentPrefix&amp;TEXT(ROW()-4,"0000"))</f>
        <v>0</v>
      </c>
      <c r="C386" s="15">
        <f>IF(B386="","",TEXT(B386,"ddd"))</f>
        <v>0</v>
      </c>
      <c r="F386" s="15">
        <f>IF(E386="","",IFERROR(INDEX(Clients!$B$5:$B$504,MATCH(E386,Clients!$A$5:$A$504,0)),"Walk-in"))</f>
        <v>0</v>
      </c>
      <c r="H386" s="15">
        <f>IF(G386="","",IFERROR(INDEX(Services!$B$5:$B$204,MATCH(G386,Services!$A$5:$A$204,0)),"Not in Services"))</f>
        <v>0</v>
      </c>
      <c r="J386" s="15">
        <f>IF(I386="","",IFERROR(INDEX(Staff!$B$5:$B$44,MATCH(I386,Staff!$A$5:$A$44,0)),"Unassigned"))</f>
        <v>0</v>
      </c>
      <c r="S386" s="15">
        <f>IF(B386="","",TEXT(B386,"yyyy-mm"))</f>
        <v>0</v>
      </c>
      <c r="T386" s="25">
        <f>IF(B386="","",WEEKNUM(B386,2))</f>
        <v>0</v>
      </c>
      <c r="U386" s="25">
        <f>IF(B386="","",IF(K386&lt;&gt;"",K386,IFERROR(INDEX(Services!$E$5:$E$204,MATCH(G386,Services!$A$5:$A$204,0))*1,0)+IFERROR(INDEX(Services!$F$5:$F$204,MATCH(G386,Services!$A$5:$A$204,0))*1,0)))</f>
        <v>0</v>
      </c>
      <c r="V386" s="36">
        <f>IF(B386="","",IF(D386="","",D386+U386/1440))</f>
        <v>0</v>
      </c>
      <c r="W386" s="25">
        <f>IF(B386="","",IF(D386="","",HOUR(D386)))</f>
        <v>0</v>
      </c>
      <c r="X386" s="37">
        <f>IF(B386="","",ROUND(U386/60,2))</f>
        <v>0</v>
      </c>
      <c r="Y386" s="26">
        <f>IF(B386="","",IF(L386&lt;&gt;"",L386,IFERROR(INDEX(Services!$G$5:$G$204,MATCH(G386,Services!$A$5:$A$204,0))*1,0)))</f>
        <v>0</v>
      </c>
      <c r="Z386" s="26">
        <f>IF(B386="","",IF(O386&lt;&gt;"",O386,IF(Y386&gt;=DepositThreshold,ROUND(Y386*DepositPercent,2),0)))</f>
        <v>0</v>
      </c>
      <c r="AA386" s="26">
        <f>IF(B386="","",ROUND(SUMIFS(Payments!$G$5:$G$1204,Payments!$I$5:$I$1204,A386,Payments!$E$5:$E$1204,"Deposit"),2))</f>
        <v>0</v>
      </c>
      <c r="AB386" s="26">
        <f>IF(B386="","",ROUND(SUMIFS(Sales!$Y$5:$Y$1204,Sales!$C$5:$C$1204,A386),2))</f>
        <v>0</v>
      </c>
      <c r="AC386" s="38">
        <f>IF(B386="","",IF(M386="Completed","Yes",IF(M386="Cancelled","Yes",IF(M386="No show","Yes","No"))))</f>
        <v>0</v>
      </c>
      <c r="AD386" s="25">
        <f>IF(B386="","",IF(AE386="","",B386-AE386))</f>
        <v>0</v>
      </c>
      <c r="AF386" s="38">
        <f>IF(B386="","",IF(M386&lt;&gt;"Completed","",IF(E386="","No",IF(COUNTIFS(Appointments!$E$5:$E$1204,E386,Appointments!$B$5:$B$1204,"&gt;"&amp;B386,Appointments!$M$5:$M$1204,"&lt;&gt;Cancelled")&gt;0,"Yes","No"))))</f>
        <v>0</v>
      </c>
      <c r="AG386" s="38">
        <f>IF(B386="","",IF(I386="","",IF(D386="","",IF(COUNTIFS($I$5:$I$1204,I386,$B$5:$B$1204,B386,$D$5:$D$1204,"&lt;"&amp;V386,$V$5:$V$1204,"&gt;"&amp;D386,$M$5:$M$1204,"&lt;&gt;Cancelled")&gt;1,"Clash",""))))</f>
        <v>0</v>
      </c>
      <c r="AH386" s="39">
        <f>IF(B386="","",IF(AG386="Clash","Clash - stylist double booked",IF(I386="","Assign - no stylist yet",IF(G386="","Add - no service chosen",IF(M386="No show","No show - charge the fee?",IF(M386="Cancelled","",IF(IF(M386="Completed",AB386&lt;Y386-0.004,FALSE),"Unpaid - nothing rung up for this visit",IF(IF(B386&lt;TodayDate,M386="Booked",FALSE),"Overdue - past date, still only Booked",IF(IF(B386=TodayDate,TRUE,FALSE),"Today",IF(IF(Z386&gt;0,AA386&lt;Z386-0.004,FALSE),"Due - deposit not taken",IF(IF(B386&gt;TodayDate,B386&lt;=TodayDate+2,FALSE),"Confirm - coming up","OK")))))))))))</f>
        <v>0</v>
      </c>
    </row>
    <row r="387" spans="1:34">
      <c r="A387" s="28">
        <f>IF(B387="","",AppointmentPrefix&amp;TEXT(ROW()-4,"0000"))</f>
        <v>0</v>
      </c>
      <c r="C387" s="15">
        <f>IF(B387="","",TEXT(B387,"ddd"))</f>
        <v>0</v>
      </c>
      <c r="F387" s="15">
        <f>IF(E387="","",IFERROR(INDEX(Clients!$B$5:$B$504,MATCH(E387,Clients!$A$5:$A$504,0)),"Walk-in"))</f>
        <v>0</v>
      </c>
      <c r="H387" s="15">
        <f>IF(G387="","",IFERROR(INDEX(Services!$B$5:$B$204,MATCH(G387,Services!$A$5:$A$204,0)),"Not in Services"))</f>
        <v>0</v>
      </c>
      <c r="J387" s="15">
        <f>IF(I387="","",IFERROR(INDEX(Staff!$B$5:$B$44,MATCH(I387,Staff!$A$5:$A$44,0)),"Unassigned"))</f>
        <v>0</v>
      </c>
      <c r="S387" s="15">
        <f>IF(B387="","",TEXT(B387,"yyyy-mm"))</f>
        <v>0</v>
      </c>
      <c r="T387" s="25">
        <f>IF(B387="","",WEEKNUM(B387,2))</f>
        <v>0</v>
      </c>
      <c r="U387" s="25">
        <f>IF(B387="","",IF(K387&lt;&gt;"",K387,IFERROR(INDEX(Services!$E$5:$E$204,MATCH(G387,Services!$A$5:$A$204,0))*1,0)+IFERROR(INDEX(Services!$F$5:$F$204,MATCH(G387,Services!$A$5:$A$204,0))*1,0)))</f>
        <v>0</v>
      </c>
      <c r="V387" s="36">
        <f>IF(B387="","",IF(D387="","",D387+U387/1440))</f>
        <v>0</v>
      </c>
      <c r="W387" s="25">
        <f>IF(B387="","",IF(D387="","",HOUR(D387)))</f>
        <v>0</v>
      </c>
      <c r="X387" s="37">
        <f>IF(B387="","",ROUND(U387/60,2))</f>
        <v>0</v>
      </c>
      <c r="Y387" s="26">
        <f>IF(B387="","",IF(L387&lt;&gt;"",L387,IFERROR(INDEX(Services!$G$5:$G$204,MATCH(G387,Services!$A$5:$A$204,0))*1,0)))</f>
        <v>0</v>
      </c>
      <c r="Z387" s="26">
        <f>IF(B387="","",IF(O387&lt;&gt;"",O387,IF(Y387&gt;=DepositThreshold,ROUND(Y387*DepositPercent,2),0)))</f>
        <v>0</v>
      </c>
      <c r="AA387" s="26">
        <f>IF(B387="","",ROUND(SUMIFS(Payments!$G$5:$G$1204,Payments!$I$5:$I$1204,A387,Payments!$E$5:$E$1204,"Deposit"),2))</f>
        <v>0</v>
      </c>
      <c r="AB387" s="26">
        <f>IF(B387="","",ROUND(SUMIFS(Sales!$Y$5:$Y$1204,Sales!$C$5:$C$1204,A387),2))</f>
        <v>0</v>
      </c>
      <c r="AC387" s="38">
        <f>IF(B387="","",IF(M387="Completed","Yes",IF(M387="Cancelled","Yes",IF(M387="No show","Yes","No"))))</f>
        <v>0</v>
      </c>
      <c r="AD387" s="25">
        <f>IF(B387="","",IF(AE387="","",B387-AE387))</f>
        <v>0</v>
      </c>
      <c r="AF387" s="38">
        <f>IF(B387="","",IF(M387&lt;&gt;"Completed","",IF(E387="","No",IF(COUNTIFS(Appointments!$E$5:$E$1204,E387,Appointments!$B$5:$B$1204,"&gt;"&amp;B387,Appointments!$M$5:$M$1204,"&lt;&gt;Cancelled")&gt;0,"Yes","No"))))</f>
        <v>0</v>
      </c>
      <c r="AG387" s="38">
        <f>IF(B387="","",IF(I387="","",IF(D387="","",IF(COUNTIFS($I$5:$I$1204,I387,$B$5:$B$1204,B387,$D$5:$D$1204,"&lt;"&amp;V387,$V$5:$V$1204,"&gt;"&amp;D387,$M$5:$M$1204,"&lt;&gt;Cancelled")&gt;1,"Clash",""))))</f>
        <v>0</v>
      </c>
      <c r="AH387" s="39">
        <f>IF(B387="","",IF(AG387="Clash","Clash - stylist double booked",IF(I387="","Assign - no stylist yet",IF(G387="","Add - no service chosen",IF(M387="No show","No show - charge the fee?",IF(M387="Cancelled","",IF(IF(M387="Completed",AB387&lt;Y387-0.004,FALSE),"Unpaid - nothing rung up for this visit",IF(IF(B387&lt;TodayDate,M387="Booked",FALSE),"Overdue - past date, still only Booked",IF(IF(B387=TodayDate,TRUE,FALSE),"Today",IF(IF(Z387&gt;0,AA387&lt;Z387-0.004,FALSE),"Due - deposit not taken",IF(IF(B387&gt;TodayDate,B387&lt;=TodayDate+2,FALSE),"Confirm - coming up","OK")))))))))))</f>
        <v>0</v>
      </c>
    </row>
    <row r="388" spans="1:34">
      <c r="A388" s="28">
        <f>IF(B388="","",AppointmentPrefix&amp;TEXT(ROW()-4,"0000"))</f>
        <v>0</v>
      </c>
      <c r="C388" s="15">
        <f>IF(B388="","",TEXT(B388,"ddd"))</f>
        <v>0</v>
      </c>
      <c r="F388" s="15">
        <f>IF(E388="","",IFERROR(INDEX(Clients!$B$5:$B$504,MATCH(E388,Clients!$A$5:$A$504,0)),"Walk-in"))</f>
        <v>0</v>
      </c>
      <c r="H388" s="15">
        <f>IF(G388="","",IFERROR(INDEX(Services!$B$5:$B$204,MATCH(G388,Services!$A$5:$A$204,0)),"Not in Services"))</f>
        <v>0</v>
      </c>
      <c r="J388" s="15">
        <f>IF(I388="","",IFERROR(INDEX(Staff!$B$5:$B$44,MATCH(I388,Staff!$A$5:$A$44,0)),"Unassigned"))</f>
        <v>0</v>
      </c>
      <c r="S388" s="15">
        <f>IF(B388="","",TEXT(B388,"yyyy-mm"))</f>
        <v>0</v>
      </c>
      <c r="T388" s="25">
        <f>IF(B388="","",WEEKNUM(B388,2))</f>
        <v>0</v>
      </c>
      <c r="U388" s="25">
        <f>IF(B388="","",IF(K388&lt;&gt;"",K388,IFERROR(INDEX(Services!$E$5:$E$204,MATCH(G388,Services!$A$5:$A$204,0))*1,0)+IFERROR(INDEX(Services!$F$5:$F$204,MATCH(G388,Services!$A$5:$A$204,0))*1,0)))</f>
        <v>0</v>
      </c>
      <c r="V388" s="36">
        <f>IF(B388="","",IF(D388="","",D388+U388/1440))</f>
        <v>0</v>
      </c>
      <c r="W388" s="25">
        <f>IF(B388="","",IF(D388="","",HOUR(D388)))</f>
        <v>0</v>
      </c>
      <c r="X388" s="37">
        <f>IF(B388="","",ROUND(U388/60,2))</f>
        <v>0</v>
      </c>
      <c r="Y388" s="26">
        <f>IF(B388="","",IF(L388&lt;&gt;"",L388,IFERROR(INDEX(Services!$G$5:$G$204,MATCH(G388,Services!$A$5:$A$204,0))*1,0)))</f>
        <v>0</v>
      </c>
      <c r="Z388" s="26">
        <f>IF(B388="","",IF(O388&lt;&gt;"",O388,IF(Y388&gt;=DepositThreshold,ROUND(Y388*DepositPercent,2),0)))</f>
        <v>0</v>
      </c>
      <c r="AA388" s="26">
        <f>IF(B388="","",ROUND(SUMIFS(Payments!$G$5:$G$1204,Payments!$I$5:$I$1204,A388,Payments!$E$5:$E$1204,"Deposit"),2))</f>
        <v>0</v>
      </c>
      <c r="AB388" s="26">
        <f>IF(B388="","",ROUND(SUMIFS(Sales!$Y$5:$Y$1204,Sales!$C$5:$C$1204,A388),2))</f>
        <v>0</v>
      </c>
      <c r="AC388" s="38">
        <f>IF(B388="","",IF(M388="Completed","Yes",IF(M388="Cancelled","Yes",IF(M388="No show","Yes","No"))))</f>
        <v>0</v>
      </c>
      <c r="AD388" s="25">
        <f>IF(B388="","",IF(AE388="","",B388-AE388))</f>
        <v>0</v>
      </c>
      <c r="AF388" s="38">
        <f>IF(B388="","",IF(M388&lt;&gt;"Completed","",IF(E388="","No",IF(COUNTIFS(Appointments!$E$5:$E$1204,E388,Appointments!$B$5:$B$1204,"&gt;"&amp;B388,Appointments!$M$5:$M$1204,"&lt;&gt;Cancelled")&gt;0,"Yes","No"))))</f>
        <v>0</v>
      </c>
      <c r="AG388" s="38">
        <f>IF(B388="","",IF(I388="","",IF(D388="","",IF(COUNTIFS($I$5:$I$1204,I388,$B$5:$B$1204,B388,$D$5:$D$1204,"&lt;"&amp;V388,$V$5:$V$1204,"&gt;"&amp;D388,$M$5:$M$1204,"&lt;&gt;Cancelled")&gt;1,"Clash",""))))</f>
        <v>0</v>
      </c>
      <c r="AH388" s="39">
        <f>IF(B388="","",IF(AG388="Clash","Clash - stylist double booked",IF(I388="","Assign - no stylist yet",IF(G388="","Add - no service chosen",IF(M388="No show","No show - charge the fee?",IF(M388="Cancelled","",IF(IF(M388="Completed",AB388&lt;Y388-0.004,FALSE),"Unpaid - nothing rung up for this visit",IF(IF(B388&lt;TodayDate,M388="Booked",FALSE),"Overdue - past date, still only Booked",IF(IF(B388=TodayDate,TRUE,FALSE),"Today",IF(IF(Z388&gt;0,AA388&lt;Z388-0.004,FALSE),"Due - deposit not taken",IF(IF(B388&gt;TodayDate,B388&lt;=TodayDate+2,FALSE),"Confirm - coming up","OK")))))))))))</f>
        <v>0</v>
      </c>
    </row>
    <row r="389" spans="1:34">
      <c r="A389" s="28">
        <f>IF(B389="","",AppointmentPrefix&amp;TEXT(ROW()-4,"0000"))</f>
        <v>0</v>
      </c>
      <c r="C389" s="15">
        <f>IF(B389="","",TEXT(B389,"ddd"))</f>
        <v>0</v>
      </c>
      <c r="F389" s="15">
        <f>IF(E389="","",IFERROR(INDEX(Clients!$B$5:$B$504,MATCH(E389,Clients!$A$5:$A$504,0)),"Walk-in"))</f>
        <v>0</v>
      </c>
      <c r="H389" s="15">
        <f>IF(G389="","",IFERROR(INDEX(Services!$B$5:$B$204,MATCH(G389,Services!$A$5:$A$204,0)),"Not in Services"))</f>
        <v>0</v>
      </c>
      <c r="J389" s="15">
        <f>IF(I389="","",IFERROR(INDEX(Staff!$B$5:$B$44,MATCH(I389,Staff!$A$5:$A$44,0)),"Unassigned"))</f>
        <v>0</v>
      </c>
      <c r="S389" s="15">
        <f>IF(B389="","",TEXT(B389,"yyyy-mm"))</f>
        <v>0</v>
      </c>
      <c r="T389" s="25">
        <f>IF(B389="","",WEEKNUM(B389,2))</f>
        <v>0</v>
      </c>
      <c r="U389" s="25">
        <f>IF(B389="","",IF(K389&lt;&gt;"",K389,IFERROR(INDEX(Services!$E$5:$E$204,MATCH(G389,Services!$A$5:$A$204,0))*1,0)+IFERROR(INDEX(Services!$F$5:$F$204,MATCH(G389,Services!$A$5:$A$204,0))*1,0)))</f>
        <v>0</v>
      </c>
      <c r="V389" s="36">
        <f>IF(B389="","",IF(D389="","",D389+U389/1440))</f>
        <v>0</v>
      </c>
      <c r="W389" s="25">
        <f>IF(B389="","",IF(D389="","",HOUR(D389)))</f>
        <v>0</v>
      </c>
      <c r="X389" s="37">
        <f>IF(B389="","",ROUND(U389/60,2))</f>
        <v>0</v>
      </c>
      <c r="Y389" s="26">
        <f>IF(B389="","",IF(L389&lt;&gt;"",L389,IFERROR(INDEX(Services!$G$5:$G$204,MATCH(G389,Services!$A$5:$A$204,0))*1,0)))</f>
        <v>0</v>
      </c>
      <c r="Z389" s="26">
        <f>IF(B389="","",IF(O389&lt;&gt;"",O389,IF(Y389&gt;=DepositThreshold,ROUND(Y389*DepositPercent,2),0)))</f>
        <v>0</v>
      </c>
      <c r="AA389" s="26">
        <f>IF(B389="","",ROUND(SUMIFS(Payments!$G$5:$G$1204,Payments!$I$5:$I$1204,A389,Payments!$E$5:$E$1204,"Deposit"),2))</f>
        <v>0</v>
      </c>
      <c r="AB389" s="26">
        <f>IF(B389="","",ROUND(SUMIFS(Sales!$Y$5:$Y$1204,Sales!$C$5:$C$1204,A389),2))</f>
        <v>0</v>
      </c>
      <c r="AC389" s="38">
        <f>IF(B389="","",IF(M389="Completed","Yes",IF(M389="Cancelled","Yes",IF(M389="No show","Yes","No"))))</f>
        <v>0</v>
      </c>
      <c r="AD389" s="25">
        <f>IF(B389="","",IF(AE389="","",B389-AE389))</f>
        <v>0</v>
      </c>
      <c r="AF389" s="38">
        <f>IF(B389="","",IF(M389&lt;&gt;"Completed","",IF(E389="","No",IF(COUNTIFS(Appointments!$E$5:$E$1204,E389,Appointments!$B$5:$B$1204,"&gt;"&amp;B389,Appointments!$M$5:$M$1204,"&lt;&gt;Cancelled")&gt;0,"Yes","No"))))</f>
        <v>0</v>
      </c>
      <c r="AG389" s="38">
        <f>IF(B389="","",IF(I389="","",IF(D389="","",IF(COUNTIFS($I$5:$I$1204,I389,$B$5:$B$1204,B389,$D$5:$D$1204,"&lt;"&amp;V389,$V$5:$V$1204,"&gt;"&amp;D389,$M$5:$M$1204,"&lt;&gt;Cancelled")&gt;1,"Clash",""))))</f>
        <v>0</v>
      </c>
      <c r="AH389" s="39">
        <f>IF(B389="","",IF(AG389="Clash","Clash - stylist double booked",IF(I389="","Assign - no stylist yet",IF(G389="","Add - no service chosen",IF(M389="No show","No show - charge the fee?",IF(M389="Cancelled","",IF(IF(M389="Completed",AB389&lt;Y389-0.004,FALSE),"Unpaid - nothing rung up for this visit",IF(IF(B389&lt;TodayDate,M389="Booked",FALSE),"Overdue - past date, still only Booked",IF(IF(B389=TodayDate,TRUE,FALSE),"Today",IF(IF(Z389&gt;0,AA389&lt;Z389-0.004,FALSE),"Due - deposit not taken",IF(IF(B389&gt;TodayDate,B389&lt;=TodayDate+2,FALSE),"Confirm - coming up","OK")))))))))))</f>
        <v>0</v>
      </c>
    </row>
    <row r="390" spans="1:34">
      <c r="A390" s="28">
        <f>IF(B390="","",AppointmentPrefix&amp;TEXT(ROW()-4,"0000"))</f>
        <v>0</v>
      </c>
      <c r="C390" s="15">
        <f>IF(B390="","",TEXT(B390,"ddd"))</f>
        <v>0</v>
      </c>
      <c r="F390" s="15">
        <f>IF(E390="","",IFERROR(INDEX(Clients!$B$5:$B$504,MATCH(E390,Clients!$A$5:$A$504,0)),"Walk-in"))</f>
        <v>0</v>
      </c>
      <c r="H390" s="15">
        <f>IF(G390="","",IFERROR(INDEX(Services!$B$5:$B$204,MATCH(G390,Services!$A$5:$A$204,0)),"Not in Services"))</f>
        <v>0</v>
      </c>
      <c r="J390" s="15">
        <f>IF(I390="","",IFERROR(INDEX(Staff!$B$5:$B$44,MATCH(I390,Staff!$A$5:$A$44,0)),"Unassigned"))</f>
        <v>0</v>
      </c>
      <c r="S390" s="15">
        <f>IF(B390="","",TEXT(B390,"yyyy-mm"))</f>
        <v>0</v>
      </c>
      <c r="T390" s="25">
        <f>IF(B390="","",WEEKNUM(B390,2))</f>
        <v>0</v>
      </c>
      <c r="U390" s="25">
        <f>IF(B390="","",IF(K390&lt;&gt;"",K390,IFERROR(INDEX(Services!$E$5:$E$204,MATCH(G390,Services!$A$5:$A$204,0))*1,0)+IFERROR(INDEX(Services!$F$5:$F$204,MATCH(G390,Services!$A$5:$A$204,0))*1,0)))</f>
        <v>0</v>
      </c>
      <c r="V390" s="36">
        <f>IF(B390="","",IF(D390="","",D390+U390/1440))</f>
        <v>0</v>
      </c>
      <c r="W390" s="25">
        <f>IF(B390="","",IF(D390="","",HOUR(D390)))</f>
        <v>0</v>
      </c>
      <c r="X390" s="37">
        <f>IF(B390="","",ROUND(U390/60,2))</f>
        <v>0</v>
      </c>
      <c r="Y390" s="26">
        <f>IF(B390="","",IF(L390&lt;&gt;"",L390,IFERROR(INDEX(Services!$G$5:$G$204,MATCH(G390,Services!$A$5:$A$204,0))*1,0)))</f>
        <v>0</v>
      </c>
      <c r="Z390" s="26">
        <f>IF(B390="","",IF(O390&lt;&gt;"",O390,IF(Y390&gt;=DepositThreshold,ROUND(Y390*DepositPercent,2),0)))</f>
        <v>0</v>
      </c>
      <c r="AA390" s="26">
        <f>IF(B390="","",ROUND(SUMIFS(Payments!$G$5:$G$1204,Payments!$I$5:$I$1204,A390,Payments!$E$5:$E$1204,"Deposit"),2))</f>
        <v>0</v>
      </c>
      <c r="AB390" s="26">
        <f>IF(B390="","",ROUND(SUMIFS(Sales!$Y$5:$Y$1204,Sales!$C$5:$C$1204,A390),2))</f>
        <v>0</v>
      </c>
      <c r="AC390" s="38">
        <f>IF(B390="","",IF(M390="Completed","Yes",IF(M390="Cancelled","Yes",IF(M390="No show","Yes","No"))))</f>
        <v>0</v>
      </c>
      <c r="AD390" s="25">
        <f>IF(B390="","",IF(AE390="","",B390-AE390))</f>
        <v>0</v>
      </c>
      <c r="AF390" s="38">
        <f>IF(B390="","",IF(M390&lt;&gt;"Completed","",IF(E390="","No",IF(COUNTIFS(Appointments!$E$5:$E$1204,E390,Appointments!$B$5:$B$1204,"&gt;"&amp;B390,Appointments!$M$5:$M$1204,"&lt;&gt;Cancelled")&gt;0,"Yes","No"))))</f>
        <v>0</v>
      </c>
      <c r="AG390" s="38">
        <f>IF(B390="","",IF(I390="","",IF(D390="","",IF(COUNTIFS($I$5:$I$1204,I390,$B$5:$B$1204,B390,$D$5:$D$1204,"&lt;"&amp;V390,$V$5:$V$1204,"&gt;"&amp;D390,$M$5:$M$1204,"&lt;&gt;Cancelled")&gt;1,"Clash",""))))</f>
        <v>0</v>
      </c>
      <c r="AH390" s="39">
        <f>IF(B390="","",IF(AG390="Clash","Clash - stylist double booked",IF(I390="","Assign - no stylist yet",IF(G390="","Add - no service chosen",IF(M390="No show","No show - charge the fee?",IF(M390="Cancelled","",IF(IF(M390="Completed",AB390&lt;Y390-0.004,FALSE),"Unpaid - nothing rung up for this visit",IF(IF(B390&lt;TodayDate,M390="Booked",FALSE),"Overdue - past date, still only Booked",IF(IF(B390=TodayDate,TRUE,FALSE),"Today",IF(IF(Z390&gt;0,AA390&lt;Z390-0.004,FALSE),"Due - deposit not taken",IF(IF(B390&gt;TodayDate,B390&lt;=TodayDate+2,FALSE),"Confirm - coming up","OK")))))))))))</f>
        <v>0</v>
      </c>
    </row>
    <row r="391" spans="1:34">
      <c r="A391" s="28">
        <f>IF(B391="","",AppointmentPrefix&amp;TEXT(ROW()-4,"0000"))</f>
        <v>0</v>
      </c>
      <c r="C391" s="15">
        <f>IF(B391="","",TEXT(B391,"ddd"))</f>
        <v>0</v>
      </c>
      <c r="F391" s="15">
        <f>IF(E391="","",IFERROR(INDEX(Clients!$B$5:$B$504,MATCH(E391,Clients!$A$5:$A$504,0)),"Walk-in"))</f>
        <v>0</v>
      </c>
      <c r="H391" s="15">
        <f>IF(G391="","",IFERROR(INDEX(Services!$B$5:$B$204,MATCH(G391,Services!$A$5:$A$204,0)),"Not in Services"))</f>
        <v>0</v>
      </c>
      <c r="J391" s="15">
        <f>IF(I391="","",IFERROR(INDEX(Staff!$B$5:$B$44,MATCH(I391,Staff!$A$5:$A$44,0)),"Unassigned"))</f>
        <v>0</v>
      </c>
      <c r="S391" s="15">
        <f>IF(B391="","",TEXT(B391,"yyyy-mm"))</f>
        <v>0</v>
      </c>
      <c r="T391" s="25">
        <f>IF(B391="","",WEEKNUM(B391,2))</f>
        <v>0</v>
      </c>
      <c r="U391" s="25">
        <f>IF(B391="","",IF(K391&lt;&gt;"",K391,IFERROR(INDEX(Services!$E$5:$E$204,MATCH(G391,Services!$A$5:$A$204,0))*1,0)+IFERROR(INDEX(Services!$F$5:$F$204,MATCH(G391,Services!$A$5:$A$204,0))*1,0)))</f>
        <v>0</v>
      </c>
      <c r="V391" s="36">
        <f>IF(B391="","",IF(D391="","",D391+U391/1440))</f>
        <v>0</v>
      </c>
      <c r="W391" s="25">
        <f>IF(B391="","",IF(D391="","",HOUR(D391)))</f>
        <v>0</v>
      </c>
      <c r="X391" s="37">
        <f>IF(B391="","",ROUND(U391/60,2))</f>
        <v>0</v>
      </c>
      <c r="Y391" s="26">
        <f>IF(B391="","",IF(L391&lt;&gt;"",L391,IFERROR(INDEX(Services!$G$5:$G$204,MATCH(G391,Services!$A$5:$A$204,0))*1,0)))</f>
        <v>0</v>
      </c>
      <c r="Z391" s="26">
        <f>IF(B391="","",IF(O391&lt;&gt;"",O391,IF(Y391&gt;=DepositThreshold,ROUND(Y391*DepositPercent,2),0)))</f>
        <v>0</v>
      </c>
      <c r="AA391" s="26">
        <f>IF(B391="","",ROUND(SUMIFS(Payments!$G$5:$G$1204,Payments!$I$5:$I$1204,A391,Payments!$E$5:$E$1204,"Deposit"),2))</f>
        <v>0</v>
      </c>
      <c r="AB391" s="26">
        <f>IF(B391="","",ROUND(SUMIFS(Sales!$Y$5:$Y$1204,Sales!$C$5:$C$1204,A391),2))</f>
        <v>0</v>
      </c>
      <c r="AC391" s="38">
        <f>IF(B391="","",IF(M391="Completed","Yes",IF(M391="Cancelled","Yes",IF(M391="No show","Yes","No"))))</f>
        <v>0</v>
      </c>
      <c r="AD391" s="25">
        <f>IF(B391="","",IF(AE391="","",B391-AE391))</f>
        <v>0</v>
      </c>
      <c r="AF391" s="38">
        <f>IF(B391="","",IF(M391&lt;&gt;"Completed","",IF(E391="","No",IF(COUNTIFS(Appointments!$E$5:$E$1204,E391,Appointments!$B$5:$B$1204,"&gt;"&amp;B391,Appointments!$M$5:$M$1204,"&lt;&gt;Cancelled")&gt;0,"Yes","No"))))</f>
        <v>0</v>
      </c>
      <c r="AG391" s="38">
        <f>IF(B391="","",IF(I391="","",IF(D391="","",IF(COUNTIFS($I$5:$I$1204,I391,$B$5:$B$1204,B391,$D$5:$D$1204,"&lt;"&amp;V391,$V$5:$V$1204,"&gt;"&amp;D391,$M$5:$M$1204,"&lt;&gt;Cancelled")&gt;1,"Clash",""))))</f>
        <v>0</v>
      </c>
      <c r="AH391" s="39">
        <f>IF(B391="","",IF(AG391="Clash","Clash - stylist double booked",IF(I391="","Assign - no stylist yet",IF(G391="","Add - no service chosen",IF(M391="No show","No show - charge the fee?",IF(M391="Cancelled","",IF(IF(M391="Completed",AB391&lt;Y391-0.004,FALSE),"Unpaid - nothing rung up for this visit",IF(IF(B391&lt;TodayDate,M391="Booked",FALSE),"Overdue - past date, still only Booked",IF(IF(B391=TodayDate,TRUE,FALSE),"Today",IF(IF(Z391&gt;0,AA391&lt;Z391-0.004,FALSE),"Due - deposit not taken",IF(IF(B391&gt;TodayDate,B391&lt;=TodayDate+2,FALSE),"Confirm - coming up","OK")))))))))))</f>
        <v>0</v>
      </c>
    </row>
    <row r="392" spans="1:34">
      <c r="A392" s="28">
        <f>IF(B392="","",AppointmentPrefix&amp;TEXT(ROW()-4,"0000"))</f>
        <v>0</v>
      </c>
      <c r="C392" s="15">
        <f>IF(B392="","",TEXT(B392,"ddd"))</f>
        <v>0</v>
      </c>
      <c r="F392" s="15">
        <f>IF(E392="","",IFERROR(INDEX(Clients!$B$5:$B$504,MATCH(E392,Clients!$A$5:$A$504,0)),"Walk-in"))</f>
        <v>0</v>
      </c>
      <c r="H392" s="15">
        <f>IF(G392="","",IFERROR(INDEX(Services!$B$5:$B$204,MATCH(G392,Services!$A$5:$A$204,0)),"Not in Services"))</f>
        <v>0</v>
      </c>
      <c r="J392" s="15">
        <f>IF(I392="","",IFERROR(INDEX(Staff!$B$5:$B$44,MATCH(I392,Staff!$A$5:$A$44,0)),"Unassigned"))</f>
        <v>0</v>
      </c>
      <c r="S392" s="15">
        <f>IF(B392="","",TEXT(B392,"yyyy-mm"))</f>
        <v>0</v>
      </c>
      <c r="T392" s="25">
        <f>IF(B392="","",WEEKNUM(B392,2))</f>
        <v>0</v>
      </c>
      <c r="U392" s="25">
        <f>IF(B392="","",IF(K392&lt;&gt;"",K392,IFERROR(INDEX(Services!$E$5:$E$204,MATCH(G392,Services!$A$5:$A$204,0))*1,0)+IFERROR(INDEX(Services!$F$5:$F$204,MATCH(G392,Services!$A$5:$A$204,0))*1,0)))</f>
        <v>0</v>
      </c>
      <c r="V392" s="36">
        <f>IF(B392="","",IF(D392="","",D392+U392/1440))</f>
        <v>0</v>
      </c>
      <c r="W392" s="25">
        <f>IF(B392="","",IF(D392="","",HOUR(D392)))</f>
        <v>0</v>
      </c>
      <c r="X392" s="37">
        <f>IF(B392="","",ROUND(U392/60,2))</f>
        <v>0</v>
      </c>
      <c r="Y392" s="26">
        <f>IF(B392="","",IF(L392&lt;&gt;"",L392,IFERROR(INDEX(Services!$G$5:$G$204,MATCH(G392,Services!$A$5:$A$204,0))*1,0)))</f>
        <v>0</v>
      </c>
      <c r="Z392" s="26">
        <f>IF(B392="","",IF(O392&lt;&gt;"",O392,IF(Y392&gt;=DepositThreshold,ROUND(Y392*DepositPercent,2),0)))</f>
        <v>0</v>
      </c>
      <c r="AA392" s="26">
        <f>IF(B392="","",ROUND(SUMIFS(Payments!$G$5:$G$1204,Payments!$I$5:$I$1204,A392,Payments!$E$5:$E$1204,"Deposit"),2))</f>
        <v>0</v>
      </c>
      <c r="AB392" s="26">
        <f>IF(B392="","",ROUND(SUMIFS(Sales!$Y$5:$Y$1204,Sales!$C$5:$C$1204,A392),2))</f>
        <v>0</v>
      </c>
      <c r="AC392" s="38">
        <f>IF(B392="","",IF(M392="Completed","Yes",IF(M392="Cancelled","Yes",IF(M392="No show","Yes","No"))))</f>
        <v>0</v>
      </c>
      <c r="AD392" s="25">
        <f>IF(B392="","",IF(AE392="","",B392-AE392))</f>
        <v>0</v>
      </c>
      <c r="AF392" s="38">
        <f>IF(B392="","",IF(M392&lt;&gt;"Completed","",IF(E392="","No",IF(COUNTIFS(Appointments!$E$5:$E$1204,E392,Appointments!$B$5:$B$1204,"&gt;"&amp;B392,Appointments!$M$5:$M$1204,"&lt;&gt;Cancelled")&gt;0,"Yes","No"))))</f>
        <v>0</v>
      </c>
      <c r="AG392" s="38">
        <f>IF(B392="","",IF(I392="","",IF(D392="","",IF(COUNTIFS($I$5:$I$1204,I392,$B$5:$B$1204,B392,$D$5:$D$1204,"&lt;"&amp;V392,$V$5:$V$1204,"&gt;"&amp;D392,$M$5:$M$1204,"&lt;&gt;Cancelled")&gt;1,"Clash",""))))</f>
        <v>0</v>
      </c>
      <c r="AH392" s="39">
        <f>IF(B392="","",IF(AG392="Clash","Clash - stylist double booked",IF(I392="","Assign - no stylist yet",IF(G392="","Add - no service chosen",IF(M392="No show","No show - charge the fee?",IF(M392="Cancelled","",IF(IF(M392="Completed",AB392&lt;Y392-0.004,FALSE),"Unpaid - nothing rung up for this visit",IF(IF(B392&lt;TodayDate,M392="Booked",FALSE),"Overdue - past date, still only Booked",IF(IF(B392=TodayDate,TRUE,FALSE),"Today",IF(IF(Z392&gt;0,AA392&lt;Z392-0.004,FALSE),"Due - deposit not taken",IF(IF(B392&gt;TodayDate,B392&lt;=TodayDate+2,FALSE),"Confirm - coming up","OK")))))))))))</f>
        <v>0</v>
      </c>
    </row>
    <row r="393" spans="1:34">
      <c r="A393" s="28">
        <f>IF(B393="","",AppointmentPrefix&amp;TEXT(ROW()-4,"0000"))</f>
        <v>0</v>
      </c>
      <c r="C393" s="15">
        <f>IF(B393="","",TEXT(B393,"ddd"))</f>
        <v>0</v>
      </c>
      <c r="F393" s="15">
        <f>IF(E393="","",IFERROR(INDEX(Clients!$B$5:$B$504,MATCH(E393,Clients!$A$5:$A$504,0)),"Walk-in"))</f>
        <v>0</v>
      </c>
      <c r="H393" s="15">
        <f>IF(G393="","",IFERROR(INDEX(Services!$B$5:$B$204,MATCH(G393,Services!$A$5:$A$204,0)),"Not in Services"))</f>
        <v>0</v>
      </c>
      <c r="J393" s="15">
        <f>IF(I393="","",IFERROR(INDEX(Staff!$B$5:$B$44,MATCH(I393,Staff!$A$5:$A$44,0)),"Unassigned"))</f>
        <v>0</v>
      </c>
      <c r="S393" s="15">
        <f>IF(B393="","",TEXT(B393,"yyyy-mm"))</f>
        <v>0</v>
      </c>
      <c r="T393" s="25">
        <f>IF(B393="","",WEEKNUM(B393,2))</f>
        <v>0</v>
      </c>
      <c r="U393" s="25">
        <f>IF(B393="","",IF(K393&lt;&gt;"",K393,IFERROR(INDEX(Services!$E$5:$E$204,MATCH(G393,Services!$A$5:$A$204,0))*1,0)+IFERROR(INDEX(Services!$F$5:$F$204,MATCH(G393,Services!$A$5:$A$204,0))*1,0)))</f>
        <v>0</v>
      </c>
      <c r="V393" s="36">
        <f>IF(B393="","",IF(D393="","",D393+U393/1440))</f>
        <v>0</v>
      </c>
      <c r="W393" s="25">
        <f>IF(B393="","",IF(D393="","",HOUR(D393)))</f>
        <v>0</v>
      </c>
      <c r="X393" s="37">
        <f>IF(B393="","",ROUND(U393/60,2))</f>
        <v>0</v>
      </c>
      <c r="Y393" s="26">
        <f>IF(B393="","",IF(L393&lt;&gt;"",L393,IFERROR(INDEX(Services!$G$5:$G$204,MATCH(G393,Services!$A$5:$A$204,0))*1,0)))</f>
        <v>0</v>
      </c>
      <c r="Z393" s="26">
        <f>IF(B393="","",IF(O393&lt;&gt;"",O393,IF(Y393&gt;=DepositThreshold,ROUND(Y393*DepositPercent,2),0)))</f>
        <v>0</v>
      </c>
      <c r="AA393" s="26">
        <f>IF(B393="","",ROUND(SUMIFS(Payments!$G$5:$G$1204,Payments!$I$5:$I$1204,A393,Payments!$E$5:$E$1204,"Deposit"),2))</f>
        <v>0</v>
      </c>
      <c r="AB393" s="26">
        <f>IF(B393="","",ROUND(SUMIFS(Sales!$Y$5:$Y$1204,Sales!$C$5:$C$1204,A393),2))</f>
        <v>0</v>
      </c>
      <c r="AC393" s="38">
        <f>IF(B393="","",IF(M393="Completed","Yes",IF(M393="Cancelled","Yes",IF(M393="No show","Yes","No"))))</f>
        <v>0</v>
      </c>
      <c r="AD393" s="25">
        <f>IF(B393="","",IF(AE393="","",B393-AE393))</f>
        <v>0</v>
      </c>
      <c r="AF393" s="38">
        <f>IF(B393="","",IF(M393&lt;&gt;"Completed","",IF(E393="","No",IF(COUNTIFS(Appointments!$E$5:$E$1204,E393,Appointments!$B$5:$B$1204,"&gt;"&amp;B393,Appointments!$M$5:$M$1204,"&lt;&gt;Cancelled")&gt;0,"Yes","No"))))</f>
        <v>0</v>
      </c>
      <c r="AG393" s="38">
        <f>IF(B393="","",IF(I393="","",IF(D393="","",IF(COUNTIFS($I$5:$I$1204,I393,$B$5:$B$1204,B393,$D$5:$D$1204,"&lt;"&amp;V393,$V$5:$V$1204,"&gt;"&amp;D393,$M$5:$M$1204,"&lt;&gt;Cancelled")&gt;1,"Clash",""))))</f>
        <v>0</v>
      </c>
      <c r="AH393" s="39">
        <f>IF(B393="","",IF(AG393="Clash","Clash - stylist double booked",IF(I393="","Assign - no stylist yet",IF(G393="","Add - no service chosen",IF(M393="No show","No show - charge the fee?",IF(M393="Cancelled","",IF(IF(M393="Completed",AB393&lt;Y393-0.004,FALSE),"Unpaid - nothing rung up for this visit",IF(IF(B393&lt;TodayDate,M393="Booked",FALSE),"Overdue - past date, still only Booked",IF(IF(B393=TodayDate,TRUE,FALSE),"Today",IF(IF(Z393&gt;0,AA393&lt;Z393-0.004,FALSE),"Due - deposit not taken",IF(IF(B393&gt;TodayDate,B393&lt;=TodayDate+2,FALSE),"Confirm - coming up","OK")))))))))))</f>
        <v>0</v>
      </c>
    </row>
    <row r="394" spans="1:34">
      <c r="A394" s="28">
        <f>IF(B394="","",AppointmentPrefix&amp;TEXT(ROW()-4,"0000"))</f>
        <v>0</v>
      </c>
      <c r="C394" s="15">
        <f>IF(B394="","",TEXT(B394,"ddd"))</f>
        <v>0</v>
      </c>
      <c r="F394" s="15">
        <f>IF(E394="","",IFERROR(INDEX(Clients!$B$5:$B$504,MATCH(E394,Clients!$A$5:$A$504,0)),"Walk-in"))</f>
        <v>0</v>
      </c>
      <c r="H394" s="15">
        <f>IF(G394="","",IFERROR(INDEX(Services!$B$5:$B$204,MATCH(G394,Services!$A$5:$A$204,0)),"Not in Services"))</f>
        <v>0</v>
      </c>
      <c r="J394" s="15">
        <f>IF(I394="","",IFERROR(INDEX(Staff!$B$5:$B$44,MATCH(I394,Staff!$A$5:$A$44,0)),"Unassigned"))</f>
        <v>0</v>
      </c>
      <c r="S394" s="15">
        <f>IF(B394="","",TEXT(B394,"yyyy-mm"))</f>
        <v>0</v>
      </c>
      <c r="T394" s="25">
        <f>IF(B394="","",WEEKNUM(B394,2))</f>
        <v>0</v>
      </c>
      <c r="U394" s="25">
        <f>IF(B394="","",IF(K394&lt;&gt;"",K394,IFERROR(INDEX(Services!$E$5:$E$204,MATCH(G394,Services!$A$5:$A$204,0))*1,0)+IFERROR(INDEX(Services!$F$5:$F$204,MATCH(G394,Services!$A$5:$A$204,0))*1,0)))</f>
        <v>0</v>
      </c>
      <c r="V394" s="36">
        <f>IF(B394="","",IF(D394="","",D394+U394/1440))</f>
        <v>0</v>
      </c>
      <c r="W394" s="25">
        <f>IF(B394="","",IF(D394="","",HOUR(D394)))</f>
        <v>0</v>
      </c>
      <c r="X394" s="37">
        <f>IF(B394="","",ROUND(U394/60,2))</f>
        <v>0</v>
      </c>
      <c r="Y394" s="26">
        <f>IF(B394="","",IF(L394&lt;&gt;"",L394,IFERROR(INDEX(Services!$G$5:$G$204,MATCH(G394,Services!$A$5:$A$204,0))*1,0)))</f>
        <v>0</v>
      </c>
      <c r="Z394" s="26">
        <f>IF(B394="","",IF(O394&lt;&gt;"",O394,IF(Y394&gt;=DepositThreshold,ROUND(Y394*DepositPercent,2),0)))</f>
        <v>0</v>
      </c>
      <c r="AA394" s="26">
        <f>IF(B394="","",ROUND(SUMIFS(Payments!$G$5:$G$1204,Payments!$I$5:$I$1204,A394,Payments!$E$5:$E$1204,"Deposit"),2))</f>
        <v>0</v>
      </c>
      <c r="AB394" s="26">
        <f>IF(B394="","",ROUND(SUMIFS(Sales!$Y$5:$Y$1204,Sales!$C$5:$C$1204,A394),2))</f>
        <v>0</v>
      </c>
      <c r="AC394" s="38">
        <f>IF(B394="","",IF(M394="Completed","Yes",IF(M394="Cancelled","Yes",IF(M394="No show","Yes","No"))))</f>
        <v>0</v>
      </c>
      <c r="AD394" s="25">
        <f>IF(B394="","",IF(AE394="","",B394-AE394))</f>
        <v>0</v>
      </c>
      <c r="AF394" s="38">
        <f>IF(B394="","",IF(M394&lt;&gt;"Completed","",IF(E394="","No",IF(COUNTIFS(Appointments!$E$5:$E$1204,E394,Appointments!$B$5:$B$1204,"&gt;"&amp;B394,Appointments!$M$5:$M$1204,"&lt;&gt;Cancelled")&gt;0,"Yes","No"))))</f>
        <v>0</v>
      </c>
      <c r="AG394" s="38">
        <f>IF(B394="","",IF(I394="","",IF(D394="","",IF(COUNTIFS($I$5:$I$1204,I394,$B$5:$B$1204,B394,$D$5:$D$1204,"&lt;"&amp;V394,$V$5:$V$1204,"&gt;"&amp;D394,$M$5:$M$1204,"&lt;&gt;Cancelled")&gt;1,"Clash",""))))</f>
        <v>0</v>
      </c>
      <c r="AH394" s="39">
        <f>IF(B394="","",IF(AG394="Clash","Clash - stylist double booked",IF(I394="","Assign - no stylist yet",IF(G394="","Add - no service chosen",IF(M394="No show","No show - charge the fee?",IF(M394="Cancelled","",IF(IF(M394="Completed",AB394&lt;Y394-0.004,FALSE),"Unpaid - nothing rung up for this visit",IF(IF(B394&lt;TodayDate,M394="Booked",FALSE),"Overdue - past date, still only Booked",IF(IF(B394=TodayDate,TRUE,FALSE),"Today",IF(IF(Z394&gt;0,AA394&lt;Z394-0.004,FALSE),"Due - deposit not taken",IF(IF(B394&gt;TodayDate,B394&lt;=TodayDate+2,FALSE),"Confirm - coming up","OK")))))))))))</f>
        <v>0</v>
      </c>
    </row>
    <row r="395" spans="1:34">
      <c r="A395" s="28">
        <f>IF(B395="","",AppointmentPrefix&amp;TEXT(ROW()-4,"0000"))</f>
        <v>0</v>
      </c>
      <c r="C395" s="15">
        <f>IF(B395="","",TEXT(B395,"ddd"))</f>
        <v>0</v>
      </c>
      <c r="F395" s="15">
        <f>IF(E395="","",IFERROR(INDEX(Clients!$B$5:$B$504,MATCH(E395,Clients!$A$5:$A$504,0)),"Walk-in"))</f>
        <v>0</v>
      </c>
      <c r="H395" s="15">
        <f>IF(G395="","",IFERROR(INDEX(Services!$B$5:$B$204,MATCH(G395,Services!$A$5:$A$204,0)),"Not in Services"))</f>
        <v>0</v>
      </c>
      <c r="J395" s="15">
        <f>IF(I395="","",IFERROR(INDEX(Staff!$B$5:$B$44,MATCH(I395,Staff!$A$5:$A$44,0)),"Unassigned"))</f>
        <v>0</v>
      </c>
      <c r="S395" s="15">
        <f>IF(B395="","",TEXT(B395,"yyyy-mm"))</f>
        <v>0</v>
      </c>
      <c r="T395" s="25">
        <f>IF(B395="","",WEEKNUM(B395,2))</f>
        <v>0</v>
      </c>
      <c r="U395" s="25">
        <f>IF(B395="","",IF(K395&lt;&gt;"",K395,IFERROR(INDEX(Services!$E$5:$E$204,MATCH(G395,Services!$A$5:$A$204,0))*1,0)+IFERROR(INDEX(Services!$F$5:$F$204,MATCH(G395,Services!$A$5:$A$204,0))*1,0)))</f>
        <v>0</v>
      </c>
      <c r="V395" s="36">
        <f>IF(B395="","",IF(D395="","",D395+U395/1440))</f>
        <v>0</v>
      </c>
      <c r="W395" s="25">
        <f>IF(B395="","",IF(D395="","",HOUR(D395)))</f>
        <v>0</v>
      </c>
      <c r="X395" s="37">
        <f>IF(B395="","",ROUND(U395/60,2))</f>
        <v>0</v>
      </c>
      <c r="Y395" s="26">
        <f>IF(B395="","",IF(L395&lt;&gt;"",L395,IFERROR(INDEX(Services!$G$5:$G$204,MATCH(G395,Services!$A$5:$A$204,0))*1,0)))</f>
        <v>0</v>
      </c>
      <c r="Z395" s="26">
        <f>IF(B395="","",IF(O395&lt;&gt;"",O395,IF(Y395&gt;=DepositThreshold,ROUND(Y395*DepositPercent,2),0)))</f>
        <v>0</v>
      </c>
      <c r="AA395" s="26">
        <f>IF(B395="","",ROUND(SUMIFS(Payments!$G$5:$G$1204,Payments!$I$5:$I$1204,A395,Payments!$E$5:$E$1204,"Deposit"),2))</f>
        <v>0</v>
      </c>
      <c r="AB395" s="26">
        <f>IF(B395="","",ROUND(SUMIFS(Sales!$Y$5:$Y$1204,Sales!$C$5:$C$1204,A395),2))</f>
        <v>0</v>
      </c>
      <c r="AC395" s="38">
        <f>IF(B395="","",IF(M395="Completed","Yes",IF(M395="Cancelled","Yes",IF(M395="No show","Yes","No"))))</f>
        <v>0</v>
      </c>
      <c r="AD395" s="25">
        <f>IF(B395="","",IF(AE395="","",B395-AE395))</f>
        <v>0</v>
      </c>
      <c r="AF395" s="38">
        <f>IF(B395="","",IF(M395&lt;&gt;"Completed","",IF(E395="","No",IF(COUNTIFS(Appointments!$E$5:$E$1204,E395,Appointments!$B$5:$B$1204,"&gt;"&amp;B395,Appointments!$M$5:$M$1204,"&lt;&gt;Cancelled")&gt;0,"Yes","No"))))</f>
        <v>0</v>
      </c>
      <c r="AG395" s="38">
        <f>IF(B395="","",IF(I395="","",IF(D395="","",IF(COUNTIFS($I$5:$I$1204,I395,$B$5:$B$1204,B395,$D$5:$D$1204,"&lt;"&amp;V395,$V$5:$V$1204,"&gt;"&amp;D395,$M$5:$M$1204,"&lt;&gt;Cancelled")&gt;1,"Clash",""))))</f>
        <v>0</v>
      </c>
      <c r="AH395" s="39">
        <f>IF(B395="","",IF(AG395="Clash","Clash - stylist double booked",IF(I395="","Assign - no stylist yet",IF(G395="","Add - no service chosen",IF(M395="No show","No show - charge the fee?",IF(M395="Cancelled","",IF(IF(M395="Completed",AB395&lt;Y395-0.004,FALSE),"Unpaid - nothing rung up for this visit",IF(IF(B395&lt;TodayDate,M395="Booked",FALSE),"Overdue - past date, still only Booked",IF(IF(B395=TodayDate,TRUE,FALSE),"Today",IF(IF(Z395&gt;0,AA395&lt;Z395-0.004,FALSE),"Due - deposit not taken",IF(IF(B395&gt;TodayDate,B395&lt;=TodayDate+2,FALSE),"Confirm - coming up","OK")))))))))))</f>
        <v>0</v>
      </c>
    </row>
    <row r="396" spans="1:34">
      <c r="A396" s="28">
        <f>IF(B396="","",AppointmentPrefix&amp;TEXT(ROW()-4,"0000"))</f>
        <v>0</v>
      </c>
      <c r="C396" s="15">
        <f>IF(B396="","",TEXT(B396,"ddd"))</f>
        <v>0</v>
      </c>
      <c r="F396" s="15">
        <f>IF(E396="","",IFERROR(INDEX(Clients!$B$5:$B$504,MATCH(E396,Clients!$A$5:$A$504,0)),"Walk-in"))</f>
        <v>0</v>
      </c>
      <c r="H396" s="15">
        <f>IF(G396="","",IFERROR(INDEX(Services!$B$5:$B$204,MATCH(G396,Services!$A$5:$A$204,0)),"Not in Services"))</f>
        <v>0</v>
      </c>
      <c r="J396" s="15">
        <f>IF(I396="","",IFERROR(INDEX(Staff!$B$5:$B$44,MATCH(I396,Staff!$A$5:$A$44,0)),"Unassigned"))</f>
        <v>0</v>
      </c>
      <c r="S396" s="15">
        <f>IF(B396="","",TEXT(B396,"yyyy-mm"))</f>
        <v>0</v>
      </c>
      <c r="T396" s="25">
        <f>IF(B396="","",WEEKNUM(B396,2))</f>
        <v>0</v>
      </c>
      <c r="U396" s="25">
        <f>IF(B396="","",IF(K396&lt;&gt;"",K396,IFERROR(INDEX(Services!$E$5:$E$204,MATCH(G396,Services!$A$5:$A$204,0))*1,0)+IFERROR(INDEX(Services!$F$5:$F$204,MATCH(G396,Services!$A$5:$A$204,0))*1,0)))</f>
        <v>0</v>
      </c>
      <c r="V396" s="36">
        <f>IF(B396="","",IF(D396="","",D396+U396/1440))</f>
        <v>0</v>
      </c>
      <c r="W396" s="25">
        <f>IF(B396="","",IF(D396="","",HOUR(D396)))</f>
        <v>0</v>
      </c>
      <c r="X396" s="37">
        <f>IF(B396="","",ROUND(U396/60,2))</f>
        <v>0</v>
      </c>
      <c r="Y396" s="26">
        <f>IF(B396="","",IF(L396&lt;&gt;"",L396,IFERROR(INDEX(Services!$G$5:$G$204,MATCH(G396,Services!$A$5:$A$204,0))*1,0)))</f>
        <v>0</v>
      </c>
      <c r="Z396" s="26">
        <f>IF(B396="","",IF(O396&lt;&gt;"",O396,IF(Y396&gt;=DepositThreshold,ROUND(Y396*DepositPercent,2),0)))</f>
        <v>0</v>
      </c>
      <c r="AA396" s="26">
        <f>IF(B396="","",ROUND(SUMIFS(Payments!$G$5:$G$1204,Payments!$I$5:$I$1204,A396,Payments!$E$5:$E$1204,"Deposit"),2))</f>
        <v>0</v>
      </c>
      <c r="AB396" s="26">
        <f>IF(B396="","",ROUND(SUMIFS(Sales!$Y$5:$Y$1204,Sales!$C$5:$C$1204,A396),2))</f>
        <v>0</v>
      </c>
      <c r="AC396" s="38">
        <f>IF(B396="","",IF(M396="Completed","Yes",IF(M396="Cancelled","Yes",IF(M396="No show","Yes","No"))))</f>
        <v>0</v>
      </c>
      <c r="AD396" s="25">
        <f>IF(B396="","",IF(AE396="","",B396-AE396))</f>
        <v>0</v>
      </c>
      <c r="AF396" s="38">
        <f>IF(B396="","",IF(M396&lt;&gt;"Completed","",IF(E396="","No",IF(COUNTIFS(Appointments!$E$5:$E$1204,E396,Appointments!$B$5:$B$1204,"&gt;"&amp;B396,Appointments!$M$5:$M$1204,"&lt;&gt;Cancelled")&gt;0,"Yes","No"))))</f>
        <v>0</v>
      </c>
      <c r="AG396" s="38">
        <f>IF(B396="","",IF(I396="","",IF(D396="","",IF(COUNTIFS($I$5:$I$1204,I396,$B$5:$B$1204,B396,$D$5:$D$1204,"&lt;"&amp;V396,$V$5:$V$1204,"&gt;"&amp;D396,$M$5:$M$1204,"&lt;&gt;Cancelled")&gt;1,"Clash",""))))</f>
        <v>0</v>
      </c>
      <c r="AH396" s="39">
        <f>IF(B396="","",IF(AG396="Clash","Clash - stylist double booked",IF(I396="","Assign - no stylist yet",IF(G396="","Add - no service chosen",IF(M396="No show","No show - charge the fee?",IF(M396="Cancelled","",IF(IF(M396="Completed",AB396&lt;Y396-0.004,FALSE),"Unpaid - nothing rung up for this visit",IF(IF(B396&lt;TodayDate,M396="Booked",FALSE),"Overdue - past date, still only Booked",IF(IF(B396=TodayDate,TRUE,FALSE),"Today",IF(IF(Z396&gt;0,AA396&lt;Z396-0.004,FALSE),"Due - deposit not taken",IF(IF(B396&gt;TodayDate,B396&lt;=TodayDate+2,FALSE),"Confirm - coming up","OK")))))))))))</f>
        <v>0</v>
      </c>
    </row>
    <row r="397" spans="1:34">
      <c r="A397" s="28">
        <f>IF(B397="","",AppointmentPrefix&amp;TEXT(ROW()-4,"0000"))</f>
        <v>0</v>
      </c>
      <c r="C397" s="15">
        <f>IF(B397="","",TEXT(B397,"ddd"))</f>
        <v>0</v>
      </c>
      <c r="F397" s="15">
        <f>IF(E397="","",IFERROR(INDEX(Clients!$B$5:$B$504,MATCH(E397,Clients!$A$5:$A$504,0)),"Walk-in"))</f>
        <v>0</v>
      </c>
      <c r="H397" s="15">
        <f>IF(G397="","",IFERROR(INDEX(Services!$B$5:$B$204,MATCH(G397,Services!$A$5:$A$204,0)),"Not in Services"))</f>
        <v>0</v>
      </c>
      <c r="J397" s="15">
        <f>IF(I397="","",IFERROR(INDEX(Staff!$B$5:$B$44,MATCH(I397,Staff!$A$5:$A$44,0)),"Unassigned"))</f>
        <v>0</v>
      </c>
      <c r="S397" s="15">
        <f>IF(B397="","",TEXT(B397,"yyyy-mm"))</f>
        <v>0</v>
      </c>
      <c r="T397" s="25">
        <f>IF(B397="","",WEEKNUM(B397,2))</f>
        <v>0</v>
      </c>
      <c r="U397" s="25">
        <f>IF(B397="","",IF(K397&lt;&gt;"",K397,IFERROR(INDEX(Services!$E$5:$E$204,MATCH(G397,Services!$A$5:$A$204,0))*1,0)+IFERROR(INDEX(Services!$F$5:$F$204,MATCH(G397,Services!$A$5:$A$204,0))*1,0)))</f>
        <v>0</v>
      </c>
      <c r="V397" s="36">
        <f>IF(B397="","",IF(D397="","",D397+U397/1440))</f>
        <v>0</v>
      </c>
      <c r="W397" s="25">
        <f>IF(B397="","",IF(D397="","",HOUR(D397)))</f>
        <v>0</v>
      </c>
      <c r="X397" s="37">
        <f>IF(B397="","",ROUND(U397/60,2))</f>
        <v>0</v>
      </c>
      <c r="Y397" s="26">
        <f>IF(B397="","",IF(L397&lt;&gt;"",L397,IFERROR(INDEX(Services!$G$5:$G$204,MATCH(G397,Services!$A$5:$A$204,0))*1,0)))</f>
        <v>0</v>
      </c>
      <c r="Z397" s="26">
        <f>IF(B397="","",IF(O397&lt;&gt;"",O397,IF(Y397&gt;=DepositThreshold,ROUND(Y397*DepositPercent,2),0)))</f>
        <v>0</v>
      </c>
      <c r="AA397" s="26">
        <f>IF(B397="","",ROUND(SUMIFS(Payments!$G$5:$G$1204,Payments!$I$5:$I$1204,A397,Payments!$E$5:$E$1204,"Deposit"),2))</f>
        <v>0</v>
      </c>
      <c r="AB397" s="26">
        <f>IF(B397="","",ROUND(SUMIFS(Sales!$Y$5:$Y$1204,Sales!$C$5:$C$1204,A397),2))</f>
        <v>0</v>
      </c>
      <c r="AC397" s="38">
        <f>IF(B397="","",IF(M397="Completed","Yes",IF(M397="Cancelled","Yes",IF(M397="No show","Yes","No"))))</f>
        <v>0</v>
      </c>
      <c r="AD397" s="25">
        <f>IF(B397="","",IF(AE397="","",B397-AE397))</f>
        <v>0</v>
      </c>
      <c r="AF397" s="38">
        <f>IF(B397="","",IF(M397&lt;&gt;"Completed","",IF(E397="","No",IF(COUNTIFS(Appointments!$E$5:$E$1204,E397,Appointments!$B$5:$B$1204,"&gt;"&amp;B397,Appointments!$M$5:$M$1204,"&lt;&gt;Cancelled")&gt;0,"Yes","No"))))</f>
        <v>0</v>
      </c>
      <c r="AG397" s="38">
        <f>IF(B397="","",IF(I397="","",IF(D397="","",IF(COUNTIFS($I$5:$I$1204,I397,$B$5:$B$1204,B397,$D$5:$D$1204,"&lt;"&amp;V397,$V$5:$V$1204,"&gt;"&amp;D397,$M$5:$M$1204,"&lt;&gt;Cancelled")&gt;1,"Clash",""))))</f>
        <v>0</v>
      </c>
      <c r="AH397" s="39">
        <f>IF(B397="","",IF(AG397="Clash","Clash - stylist double booked",IF(I397="","Assign - no stylist yet",IF(G397="","Add - no service chosen",IF(M397="No show","No show - charge the fee?",IF(M397="Cancelled","",IF(IF(M397="Completed",AB397&lt;Y397-0.004,FALSE),"Unpaid - nothing rung up for this visit",IF(IF(B397&lt;TodayDate,M397="Booked",FALSE),"Overdue - past date, still only Booked",IF(IF(B397=TodayDate,TRUE,FALSE),"Today",IF(IF(Z397&gt;0,AA397&lt;Z397-0.004,FALSE),"Due - deposit not taken",IF(IF(B397&gt;TodayDate,B397&lt;=TodayDate+2,FALSE),"Confirm - coming up","OK")))))))))))</f>
        <v>0</v>
      </c>
    </row>
    <row r="398" spans="1:34">
      <c r="A398" s="28">
        <f>IF(B398="","",AppointmentPrefix&amp;TEXT(ROW()-4,"0000"))</f>
        <v>0</v>
      </c>
      <c r="C398" s="15">
        <f>IF(B398="","",TEXT(B398,"ddd"))</f>
        <v>0</v>
      </c>
      <c r="F398" s="15">
        <f>IF(E398="","",IFERROR(INDEX(Clients!$B$5:$B$504,MATCH(E398,Clients!$A$5:$A$504,0)),"Walk-in"))</f>
        <v>0</v>
      </c>
      <c r="H398" s="15">
        <f>IF(G398="","",IFERROR(INDEX(Services!$B$5:$B$204,MATCH(G398,Services!$A$5:$A$204,0)),"Not in Services"))</f>
        <v>0</v>
      </c>
      <c r="J398" s="15">
        <f>IF(I398="","",IFERROR(INDEX(Staff!$B$5:$B$44,MATCH(I398,Staff!$A$5:$A$44,0)),"Unassigned"))</f>
        <v>0</v>
      </c>
      <c r="S398" s="15">
        <f>IF(B398="","",TEXT(B398,"yyyy-mm"))</f>
        <v>0</v>
      </c>
      <c r="T398" s="25">
        <f>IF(B398="","",WEEKNUM(B398,2))</f>
        <v>0</v>
      </c>
      <c r="U398" s="25">
        <f>IF(B398="","",IF(K398&lt;&gt;"",K398,IFERROR(INDEX(Services!$E$5:$E$204,MATCH(G398,Services!$A$5:$A$204,0))*1,0)+IFERROR(INDEX(Services!$F$5:$F$204,MATCH(G398,Services!$A$5:$A$204,0))*1,0)))</f>
        <v>0</v>
      </c>
      <c r="V398" s="36">
        <f>IF(B398="","",IF(D398="","",D398+U398/1440))</f>
        <v>0</v>
      </c>
      <c r="W398" s="25">
        <f>IF(B398="","",IF(D398="","",HOUR(D398)))</f>
        <v>0</v>
      </c>
      <c r="X398" s="37">
        <f>IF(B398="","",ROUND(U398/60,2))</f>
        <v>0</v>
      </c>
      <c r="Y398" s="26">
        <f>IF(B398="","",IF(L398&lt;&gt;"",L398,IFERROR(INDEX(Services!$G$5:$G$204,MATCH(G398,Services!$A$5:$A$204,0))*1,0)))</f>
        <v>0</v>
      </c>
      <c r="Z398" s="26">
        <f>IF(B398="","",IF(O398&lt;&gt;"",O398,IF(Y398&gt;=DepositThreshold,ROUND(Y398*DepositPercent,2),0)))</f>
        <v>0</v>
      </c>
      <c r="AA398" s="26">
        <f>IF(B398="","",ROUND(SUMIFS(Payments!$G$5:$G$1204,Payments!$I$5:$I$1204,A398,Payments!$E$5:$E$1204,"Deposit"),2))</f>
        <v>0</v>
      </c>
      <c r="AB398" s="26">
        <f>IF(B398="","",ROUND(SUMIFS(Sales!$Y$5:$Y$1204,Sales!$C$5:$C$1204,A398),2))</f>
        <v>0</v>
      </c>
      <c r="AC398" s="38">
        <f>IF(B398="","",IF(M398="Completed","Yes",IF(M398="Cancelled","Yes",IF(M398="No show","Yes","No"))))</f>
        <v>0</v>
      </c>
      <c r="AD398" s="25">
        <f>IF(B398="","",IF(AE398="","",B398-AE398))</f>
        <v>0</v>
      </c>
      <c r="AF398" s="38">
        <f>IF(B398="","",IF(M398&lt;&gt;"Completed","",IF(E398="","No",IF(COUNTIFS(Appointments!$E$5:$E$1204,E398,Appointments!$B$5:$B$1204,"&gt;"&amp;B398,Appointments!$M$5:$M$1204,"&lt;&gt;Cancelled")&gt;0,"Yes","No"))))</f>
        <v>0</v>
      </c>
      <c r="AG398" s="38">
        <f>IF(B398="","",IF(I398="","",IF(D398="","",IF(COUNTIFS($I$5:$I$1204,I398,$B$5:$B$1204,B398,$D$5:$D$1204,"&lt;"&amp;V398,$V$5:$V$1204,"&gt;"&amp;D398,$M$5:$M$1204,"&lt;&gt;Cancelled")&gt;1,"Clash",""))))</f>
        <v>0</v>
      </c>
      <c r="AH398" s="39">
        <f>IF(B398="","",IF(AG398="Clash","Clash - stylist double booked",IF(I398="","Assign - no stylist yet",IF(G398="","Add - no service chosen",IF(M398="No show","No show - charge the fee?",IF(M398="Cancelled","",IF(IF(M398="Completed",AB398&lt;Y398-0.004,FALSE),"Unpaid - nothing rung up for this visit",IF(IF(B398&lt;TodayDate,M398="Booked",FALSE),"Overdue - past date, still only Booked",IF(IF(B398=TodayDate,TRUE,FALSE),"Today",IF(IF(Z398&gt;0,AA398&lt;Z398-0.004,FALSE),"Due - deposit not taken",IF(IF(B398&gt;TodayDate,B398&lt;=TodayDate+2,FALSE),"Confirm - coming up","OK")))))))))))</f>
        <v>0</v>
      </c>
    </row>
    <row r="399" spans="1:34">
      <c r="A399" s="28">
        <f>IF(B399="","",AppointmentPrefix&amp;TEXT(ROW()-4,"0000"))</f>
        <v>0</v>
      </c>
      <c r="C399" s="15">
        <f>IF(B399="","",TEXT(B399,"ddd"))</f>
        <v>0</v>
      </c>
      <c r="F399" s="15">
        <f>IF(E399="","",IFERROR(INDEX(Clients!$B$5:$B$504,MATCH(E399,Clients!$A$5:$A$504,0)),"Walk-in"))</f>
        <v>0</v>
      </c>
      <c r="H399" s="15">
        <f>IF(G399="","",IFERROR(INDEX(Services!$B$5:$B$204,MATCH(G399,Services!$A$5:$A$204,0)),"Not in Services"))</f>
        <v>0</v>
      </c>
      <c r="J399" s="15">
        <f>IF(I399="","",IFERROR(INDEX(Staff!$B$5:$B$44,MATCH(I399,Staff!$A$5:$A$44,0)),"Unassigned"))</f>
        <v>0</v>
      </c>
      <c r="S399" s="15">
        <f>IF(B399="","",TEXT(B399,"yyyy-mm"))</f>
        <v>0</v>
      </c>
      <c r="T399" s="25">
        <f>IF(B399="","",WEEKNUM(B399,2))</f>
        <v>0</v>
      </c>
      <c r="U399" s="25">
        <f>IF(B399="","",IF(K399&lt;&gt;"",K399,IFERROR(INDEX(Services!$E$5:$E$204,MATCH(G399,Services!$A$5:$A$204,0))*1,0)+IFERROR(INDEX(Services!$F$5:$F$204,MATCH(G399,Services!$A$5:$A$204,0))*1,0)))</f>
        <v>0</v>
      </c>
      <c r="V399" s="36">
        <f>IF(B399="","",IF(D399="","",D399+U399/1440))</f>
        <v>0</v>
      </c>
      <c r="W399" s="25">
        <f>IF(B399="","",IF(D399="","",HOUR(D399)))</f>
        <v>0</v>
      </c>
      <c r="X399" s="37">
        <f>IF(B399="","",ROUND(U399/60,2))</f>
        <v>0</v>
      </c>
      <c r="Y399" s="26">
        <f>IF(B399="","",IF(L399&lt;&gt;"",L399,IFERROR(INDEX(Services!$G$5:$G$204,MATCH(G399,Services!$A$5:$A$204,0))*1,0)))</f>
        <v>0</v>
      </c>
      <c r="Z399" s="26">
        <f>IF(B399="","",IF(O399&lt;&gt;"",O399,IF(Y399&gt;=DepositThreshold,ROUND(Y399*DepositPercent,2),0)))</f>
        <v>0</v>
      </c>
      <c r="AA399" s="26">
        <f>IF(B399="","",ROUND(SUMIFS(Payments!$G$5:$G$1204,Payments!$I$5:$I$1204,A399,Payments!$E$5:$E$1204,"Deposit"),2))</f>
        <v>0</v>
      </c>
      <c r="AB399" s="26">
        <f>IF(B399="","",ROUND(SUMIFS(Sales!$Y$5:$Y$1204,Sales!$C$5:$C$1204,A399),2))</f>
        <v>0</v>
      </c>
      <c r="AC399" s="38">
        <f>IF(B399="","",IF(M399="Completed","Yes",IF(M399="Cancelled","Yes",IF(M399="No show","Yes","No"))))</f>
        <v>0</v>
      </c>
      <c r="AD399" s="25">
        <f>IF(B399="","",IF(AE399="","",B399-AE399))</f>
        <v>0</v>
      </c>
      <c r="AF399" s="38">
        <f>IF(B399="","",IF(M399&lt;&gt;"Completed","",IF(E399="","No",IF(COUNTIFS(Appointments!$E$5:$E$1204,E399,Appointments!$B$5:$B$1204,"&gt;"&amp;B399,Appointments!$M$5:$M$1204,"&lt;&gt;Cancelled")&gt;0,"Yes","No"))))</f>
        <v>0</v>
      </c>
      <c r="AG399" s="38">
        <f>IF(B399="","",IF(I399="","",IF(D399="","",IF(COUNTIFS($I$5:$I$1204,I399,$B$5:$B$1204,B399,$D$5:$D$1204,"&lt;"&amp;V399,$V$5:$V$1204,"&gt;"&amp;D399,$M$5:$M$1204,"&lt;&gt;Cancelled")&gt;1,"Clash",""))))</f>
        <v>0</v>
      </c>
      <c r="AH399" s="39">
        <f>IF(B399="","",IF(AG399="Clash","Clash - stylist double booked",IF(I399="","Assign - no stylist yet",IF(G399="","Add - no service chosen",IF(M399="No show","No show - charge the fee?",IF(M399="Cancelled","",IF(IF(M399="Completed",AB399&lt;Y399-0.004,FALSE),"Unpaid - nothing rung up for this visit",IF(IF(B399&lt;TodayDate,M399="Booked",FALSE),"Overdue - past date, still only Booked",IF(IF(B399=TodayDate,TRUE,FALSE),"Today",IF(IF(Z399&gt;0,AA399&lt;Z399-0.004,FALSE),"Due - deposit not taken",IF(IF(B399&gt;TodayDate,B399&lt;=TodayDate+2,FALSE),"Confirm - coming up","OK")))))))))))</f>
        <v>0</v>
      </c>
    </row>
    <row r="400" spans="1:34">
      <c r="A400" s="28">
        <f>IF(B400="","",AppointmentPrefix&amp;TEXT(ROW()-4,"0000"))</f>
        <v>0</v>
      </c>
      <c r="C400" s="15">
        <f>IF(B400="","",TEXT(B400,"ddd"))</f>
        <v>0</v>
      </c>
      <c r="F400" s="15">
        <f>IF(E400="","",IFERROR(INDEX(Clients!$B$5:$B$504,MATCH(E400,Clients!$A$5:$A$504,0)),"Walk-in"))</f>
        <v>0</v>
      </c>
      <c r="H400" s="15">
        <f>IF(G400="","",IFERROR(INDEX(Services!$B$5:$B$204,MATCH(G400,Services!$A$5:$A$204,0)),"Not in Services"))</f>
        <v>0</v>
      </c>
      <c r="J400" s="15">
        <f>IF(I400="","",IFERROR(INDEX(Staff!$B$5:$B$44,MATCH(I400,Staff!$A$5:$A$44,0)),"Unassigned"))</f>
        <v>0</v>
      </c>
      <c r="S400" s="15">
        <f>IF(B400="","",TEXT(B400,"yyyy-mm"))</f>
        <v>0</v>
      </c>
      <c r="T400" s="25">
        <f>IF(B400="","",WEEKNUM(B400,2))</f>
        <v>0</v>
      </c>
      <c r="U400" s="25">
        <f>IF(B400="","",IF(K400&lt;&gt;"",K400,IFERROR(INDEX(Services!$E$5:$E$204,MATCH(G400,Services!$A$5:$A$204,0))*1,0)+IFERROR(INDEX(Services!$F$5:$F$204,MATCH(G400,Services!$A$5:$A$204,0))*1,0)))</f>
        <v>0</v>
      </c>
      <c r="V400" s="36">
        <f>IF(B400="","",IF(D400="","",D400+U400/1440))</f>
        <v>0</v>
      </c>
      <c r="W400" s="25">
        <f>IF(B400="","",IF(D400="","",HOUR(D400)))</f>
        <v>0</v>
      </c>
      <c r="X400" s="37">
        <f>IF(B400="","",ROUND(U400/60,2))</f>
        <v>0</v>
      </c>
      <c r="Y400" s="26">
        <f>IF(B400="","",IF(L400&lt;&gt;"",L400,IFERROR(INDEX(Services!$G$5:$G$204,MATCH(G400,Services!$A$5:$A$204,0))*1,0)))</f>
        <v>0</v>
      </c>
      <c r="Z400" s="26">
        <f>IF(B400="","",IF(O400&lt;&gt;"",O400,IF(Y400&gt;=DepositThreshold,ROUND(Y400*DepositPercent,2),0)))</f>
        <v>0</v>
      </c>
      <c r="AA400" s="26">
        <f>IF(B400="","",ROUND(SUMIFS(Payments!$G$5:$G$1204,Payments!$I$5:$I$1204,A400,Payments!$E$5:$E$1204,"Deposit"),2))</f>
        <v>0</v>
      </c>
      <c r="AB400" s="26">
        <f>IF(B400="","",ROUND(SUMIFS(Sales!$Y$5:$Y$1204,Sales!$C$5:$C$1204,A400),2))</f>
        <v>0</v>
      </c>
      <c r="AC400" s="38">
        <f>IF(B400="","",IF(M400="Completed","Yes",IF(M400="Cancelled","Yes",IF(M400="No show","Yes","No"))))</f>
        <v>0</v>
      </c>
      <c r="AD400" s="25">
        <f>IF(B400="","",IF(AE400="","",B400-AE400))</f>
        <v>0</v>
      </c>
      <c r="AF400" s="38">
        <f>IF(B400="","",IF(M400&lt;&gt;"Completed","",IF(E400="","No",IF(COUNTIFS(Appointments!$E$5:$E$1204,E400,Appointments!$B$5:$B$1204,"&gt;"&amp;B400,Appointments!$M$5:$M$1204,"&lt;&gt;Cancelled")&gt;0,"Yes","No"))))</f>
        <v>0</v>
      </c>
      <c r="AG400" s="38">
        <f>IF(B400="","",IF(I400="","",IF(D400="","",IF(COUNTIFS($I$5:$I$1204,I400,$B$5:$B$1204,B400,$D$5:$D$1204,"&lt;"&amp;V400,$V$5:$V$1204,"&gt;"&amp;D400,$M$5:$M$1204,"&lt;&gt;Cancelled")&gt;1,"Clash",""))))</f>
        <v>0</v>
      </c>
      <c r="AH400" s="39">
        <f>IF(B400="","",IF(AG400="Clash","Clash - stylist double booked",IF(I400="","Assign - no stylist yet",IF(G400="","Add - no service chosen",IF(M400="No show","No show - charge the fee?",IF(M400="Cancelled","",IF(IF(M400="Completed",AB400&lt;Y400-0.004,FALSE),"Unpaid - nothing rung up for this visit",IF(IF(B400&lt;TodayDate,M400="Booked",FALSE),"Overdue - past date, still only Booked",IF(IF(B400=TodayDate,TRUE,FALSE),"Today",IF(IF(Z400&gt;0,AA400&lt;Z400-0.004,FALSE),"Due - deposit not taken",IF(IF(B400&gt;TodayDate,B400&lt;=TodayDate+2,FALSE),"Confirm - coming up","OK")))))))))))</f>
        <v>0</v>
      </c>
    </row>
    <row r="401" spans="1:34">
      <c r="A401" s="28">
        <f>IF(B401="","",AppointmentPrefix&amp;TEXT(ROW()-4,"0000"))</f>
        <v>0</v>
      </c>
      <c r="C401" s="15">
        <f>IF(B401="","",TEXT(B401,"ddd"))</f>
        <v>0</v>
      </c>
      <c r="F401" s="15">
        <f>IF(E401="","",IFERROR(INDEX(Clients!$B$5:$B$504,MATCH(E401,Clients!$A$5:$A$504,0)),"Walk-in"))</f>
        <v>0</v>
      </c>
      <c r="H401" s="15">
        <f>IF(G401="","",IFERROR(INDEX(Services!$B$5:$B$204,MATCH(G401,Services!$A$5:$A$204,0)),"Not in Services"))</f>
        <v>0</v>
      </c>
      <c r="J401" s="15">
        <f>IF(I401="","",IFERROR(INDEX(Staff!$B$5:$B$44,MATCH(I401,Staff!$A$5:$A$44,0)),"Unassigned"))</f>
        <v>0</v>
      </c>
      <c r="S401" s="15">
        <f>IF(B401="","",TEXT(B401,"yyyy-mm"))</f>
        <v>0</v>
      </c>
      <c r="T401" s="25">
        <f>IF(B401="","",WEEKNUM(B401,2))</f>
        <v>0</v>
      </c>
      <c r="U401" s="25">
        <f>IF(B401="","",IF(K401&lt;&gt;"",K401,IFERROR(INDEX(Services!$E$5:$E$204,MATCH(G401,Services!$A$5:$A$204,0))*1,0)+IFERROR(INDEX(Services!$F$5:$F$204,MATCH(G401,Services!$A$5:$A$204,0))*1,0)))</f>
        <v>0</v>
      </c>
      <c r="V401" s="36">
        <f>IF(B401="","",IF(D401="","",D401+U401/1440))</f>
        <v>0</v>
      </c>
      <c r="W401" s="25">
        <f>IF(B401="","",IF(D401="","",HOUR(D401)))</f>
        <v>0</v>
      </c>
      <c r="X401" s="37">
        <f>IF(B401="","",ROUND(U401/60,2))</f>
        <v>0</v>
      </c>
      <c r="Y401" s="26">
        <f>IF(B401="","",IF(L401&lt;&gt;"",L401,IFERROR(INDEX(Services!$G$5:$G$204,MATCH(G401,Services!$A$5:$A$204,0))*1,0)))</f>
        <v>0</v>
      </c>
      <c r="Z401" s="26">
        <f>IF(B401="","",IF(O401&lt;&gt;"",O401,IF(Y401&gt;=DepositThreshold,ROUND(Y401*DepositPercent,2),0)))</f>
        <v>0</v>
      </c>
      <c r="AA401" s="26">
        <f>IF(B401="","",ROUND(SUMIFS(Payments!$G$5:$G$1204,Payments!$I$5:$I$1204,A401,Payments!$E$5:$E$1204,"Deposit"),2))</f>
        <v>0</v>
      </c>
      <c r="AB401" s="26">
        <f>IF(B401="","",ROUND(SUMIFS(Sales!$Y$5:$Y$1204,Sales!$C$5:$C$1204,A401),2))</f>
        <v>0</v>
      </c>
      <c r="AC401" s="38">
        <f>IF(B401="","",IF(M401="Completed","Yes",IF(M401="Cancelled","Yes",IF(M401="No show","Yes","No"))))</f>
        <v>0</v>
      </c>
      <c r="AD401" s="25">
        <f>IF(B401="","",IF(AE401="","",B401-AE401))</f>
        <v>0</v>
      </c>
      <c r="AF401" s="38">
        <f>IF(B401="","",IF(M401&lt;&gt;"Completed","",IF(E401="","No",IF(COUNTIFS(Appointments!$E$5:$E$1204,E401,Appointments!$B$5:$B$1204,"&gt;"&amp;B401,Appointments!$M$5:$M$1204,"&lt;&gt;Cancelled")&gt;0,"Yes","No"))))</f>
        <v>0</v>
      </c>
      <c r="AG401" s="38">
        <f>IF(B401="","",IF(I401="","",IF(D401="","",IF(COUNTIFS($I$5:$I$1204,I401,$B$5:$B$1204,B401,$D$5:$D$1204,"&lt;"&amp;V401,$V$5:$V$1204,"&gt;"&amp;D401,$M$5:$M$1204,"&lt;&gt;Cancelled")&gt;1,"Clash",""))))</f>
        <v>0</v>
      </c>
      <c r="AH401" s="39">
        <f>IF(B401="","",IF(AG401="Clash","Clash - stylist double booked",IF(I401="","Assign - no stylist yet",IF(G401="","Add - no service chosen",IF(M401="No show","No show - charge the fee?",IF(M401="Cancelled","",IF(IF(M401="Completed",AB401&lt;Y401-0.004,FALSE),"Unpaid - nothing rung up for this visit",IF(IF(B401&lt;TodayDate,M401="Booked",FALSE),"Overdue - past date, still only Booked",IF(IF(B401=TodayDate,TRUE,FALSE),"Today",IF(IF(Z401&gt;0,AA401&lt;Z401-0.004,FALSE),"Due - deposit not taken",IF(IF(B401&gt;TodayDate,B401&lt;=TodayDate+2,FALSE),"Confirm - coming up","OK")))))))))))</f>
        <v>0</v>
      </c>
    </row>
    <row r="402" spans="1:34">
      <c r="A402" s="28">
        <f>IF(B402="","",AppointmentPrefix&amp;TEXT(ROW()-4,"0000"))</f>
        <v>0</v>
      </c>
      <c r="C402" s="15">
        <f>IF(B402="","",TEXT(B402,"ddd"))</f>
        <v>0</v>
      </c>
      <c r="F402" s="15">
        <f>IF(E402="","",IFERROR(INDEX(Clients!$B$5:$B$504,MATCH(E402,Clients!$A$5:$A$504,0)),"Walk-in"))</f>
        <v>0</v>
      </c>
      <c r="H402" s="15">
        <f>IF(G402="","",IFERROR(INDEX(Services!$B$5:$B$204,MATCH(G402,Services!$A$5:$A$204,0)),"Not in Services"))</f>
        <v>0</v>
      </c>
      <c r="J402" s="15">
        <f>IF(I402="","",IFERROR(INDEX(Staff!$B$5:$B$44,MATCH(I402,Staff!$A$5:$A$44,0)),"Unassigned"))</f>
        <v>0</v>
      </c>
      <c r="S402" s="15">
        <f>IF(B402="","",TEXT(B402,"yyyy-mm"))</f>
        <v>0</v>
      </c>
      <c r="T402" s="25">
        <f>IF(B402="","",WEEKNUM(B402,2))</f>
        <v>0</v>
      </c>
      <c r="U402" s="25">
        <f>IF(B402="","",IF(K402&lt;&gt;"",K402,IFERROR(INDEX(Services!$E$5:$E$204,MATCH(G402,Services!$A$5:$A$204,0))*1,0)+IFERROR(INDEX(Services!$F$5:$F$204,MATCH(G402,Services!$A$5:$A$204,0))*1,0)))</f>
        <v>0</v>
      </c>
      <c r="V402" s="36">
        <f>IF(B402="","",IF(D402="","",D402+U402/1440))</f>
        <v>0</v>
      </c>
      <c r="W402" s="25">
        <f>IF(B402="","",IF(D402="","",HOUR(D402)))</f>
        <v>0</v>
      </c>
      <c r="X402" s="37">
        <f>IF(B402="","",ROUND(U402/60,2))</f>
        <v>0</v>
      </c>
      <c r="Y402" s="26">
        <f>IF(B402="","",IF(L402&lt;&gt;"",L402,IFERROR(INDEX(Services!$G$5:$G$204,MATCH(G402,Services!$A$5:$A$204,0))*1,0)))</f>
        <v>0</v>
      </c>
      <c r="Z402" s="26">
        <f>IF(B402="","",IF(O402&lt;&gt;"",O402,IF(Y402&gt;=DepositThreshold,ROUND(Y402*DepositPercent,2),0)))</f>
        <v>0</v>
      </c>
      <c r="AA402" s="26">
        <f>IF(B402="","",ROUND(SUMIFS(Payments!$G$5:$G$1204,Payments!$I$5:$I$1204,A402,Payments!$E$5:$E$1204,"Deposit"),2))</f>
        <v>0</v>
      </c>
      <c r="AB402" s="26">
        <f>IF(B402="","",ROUND(SUMIFS(Sales!$Y$5:$Y$1204,Sales!$C$5:$C$1204,A402),2))</f>
        <v>0</v>
      </c>
      <c r="AC402" s="38">
        <f>IF(B402="","",IF(M402="Completed","Yes",IF(M402="Cancelled","Yes",IF(M402="No show","Yes","No"))))</f>
        <v>0</v>
      </c>
      <c r="AD402" s="25">
        <f>IF(B402="","",IF(AE402="","",B402-AE402))</f>
        <v>0</v>
      </c>
      <c r="AF402" s="38">
        <f>IF(B402="","",IF(M402&lt;&gt;"Completed","",IF(E402="","No",IF(COUNTIFS(Appointments!$E$5:$E$1204,E402,Appointments!$B$5:$B$1204,"&gt;"&amp;B402,Appointments!$M$5:$M$1204,"&lt;&gt;Cancelled")&gt;0,"Yes","No"))))</f>
        <v>0</v>
      </c>
      <c r="AG402" s="38">
        <f>IF(B402="","",IF(I402="","",IF(D402="","",IF(COUNTIFS($I$5:$I$1204,I402,$B$5:$B$1204,B402,$D$5:$D$1204,"&lt;"&amp;V402,$V$5:$V$1204,"&gt;"&amp;D402,$M$5:$M$1204,"&lt;&gt;Cancelled")&gt;1,"Clash",""))))</f>
        <v>0</v>
      </c>
      <c r="AH402" s="39">
        <f>IF(B402="","",IF(AG402="Clash","Clash - stylist double booked",IF(I402="","Assign - no stylist yet",IF(G402="","Add - no service chosen",IF(M402="No show","No show - charge the fee?",IF(M402="Cancelled","",IF(IF(M402="Completed",AB402&lt;Y402-0.004,FALSE),"Unpaid - nothing rung up for this visit",IF(IF(B402&lt;TodayDate,M402="Booked",FALSE),"Overdue - past date, still only Booked",IF(IF(B402=TodayDate,TRUE,FALSE),"Today",IF(IF(Z402&gt;0,AA402&lt;Z402-0.004,FALSE),"Due - deposit not taken",IF(IF(B402&gt;TodayDate,B402&lt;=TodayDate+2,FALSE),"Confirm - coming up","OK")))))))))))</f>
        <v>0</v>
      </c>
    </row>
    <row r="403" spans="1:34">
      <c r="A403" s="28">
        <f>IF(B403="","",AppointmentPrefix&amp;TEXT(ROW()-4,"0000"))</f>
        <v>0</v>
      </c>
      <c r="C403" s="15">
        <f>IF(B403="","",TEXT(B403,"ddd"))</f>
        <v>0</v>
      </c>
      <c r="F403" s="15">
        <f>IF(E403="","",IFERROR(INDEX(Clients!$B$5:$B$504,MATCH(E403,Clients!$A$5:$A$504,0)),"Walk-in"))</f>
        <v>0</v>
      </c>
      <c r="H403" s="15">
        <f>IF(G403="","",IFERROR(INDEX(Services!$B$5:$B$204,MATCH(G403,Services!$A$5:$A$204,0)),"Not in Services"))</f>
        <v>0</v>
      </c>
      <c r="J403" s="15">
        <f>IF(I403="","",IFERROR(INDEX(Staff!$B$5:$B$44,MATCH(I403,Staff!$A$5:$A$44,0)),"Unassigned"))</f>
        <v>0</v>
      </c>
      <c r="S403" s="15">
        <f>IF(B403="","",TEXT(B403,"yyyy-mm"))</f>
        <v>0</v>
      </c>
      <c r="T403" s="25">
        <f>IF(B403="","",WEEKNUM(B403,2))</f>
        <v>0</v>
      </c>
      <c r="U403" s="25">
        <f>IF(B403="","",IF(K403&lt;&gt;"",K403,IFERROR(INDEX(Services!$E$5:$E$204,MATCH(G403,Services!$A$5:$A$204,0))*1,0)+IFERROR(INDEX(Services!$F$5:$F$204,MATCH(G403,Services!$A$5:$A$204,0))*1,0)))</f>
        <v>0</v>
      </c>
      <c r="V403" s="36">
        <f>IF(B403="","",IF(D403="","",D403+U403/1440))</f>
        <v>0</v>
      </c>
      <c r="W403" s="25">
        <f>IF(B403="","",IF(D403="","",HOUR(D403)))</f>
        <v>0</v>
      </c>
      <c r="X403" s="37">
        <f>IF(B403="","",ROUND(U403/60,2))</f>
        <v>0</v>
      </c>
      <c r="Y403" s="26">
        <f>IF(B403="","",IF(L403&lt;&gt;"",L403,IFERROR(INDEX(Services!$G$5:$G$204,MATCH(G403,Services!$A$5:$A$204,0))*1,0)))</f>
        <v>0</v>
      </c>
      <c r="Z403" s="26">
        <f>IF(B403="","",IF(O403&lt;&gt;"",O403,IF(Y403&gt;=DepositThreshold,ROUND(Y403*DepositPercent,2),0)))</f>
        <v>0</v>
      </c>
      <c r="AA403" s="26">
        <f>IF(B403="","",ROUND(SUMIFS(Payments!$G$5:$G$1204,Payments!$I$5:$I$1204,A403,Payments!$E$5:$E$1204,"Deposit"),2))</f>
        <v>0</v>
      </c>
      <c r="AB403" s="26">
        <f>IF(B403="","",ROUND(SUMIFS(Sales!$Y$5:$Y$1204,Sales!$C$5:$C$1204,A403),2))</f>
        <v>0</v>
      </c>
      <c r="AC403" s="38">
        <f>IF(B403="","",IF(M403="Completed","Yes",IF(M403="Cancelled","Yes",IF(M403="No show","Yes","No"))))</f>
        <v>0</v>
      </c>
      <c r="AD403" s="25">
        <f>IF(B403="","",IF(AE403="","",B403-AE403))</f>
        <v>0</v>
      </c>
      <c r="AF403" s="38">
        <f>IF(B403="","",IF(M403&lt;&gt;"Completed","",IF(E403="","No",IF(COUNTIFS(Appointments!$E$5:$E$1204,E403,Appointments!$B$5:$B$1204,"&gt;"&amp;B403,Appointments!$M$5:$M$1204,"&lt;&gt;Cancelled")&gt;0,"Yes","No"))))</f>
        <v>0</v>
      </c>
      <c r="AG403" s="38">
        <f>IF(B403="","",IF(I403="","",IF(D403="","",IF(COUNTIFS($I$5:$I$1204,I403,$B$5:$B$1204,B403,$D$5:$D$1204,"&lt;"&amp;V403,$V$5:$V$1204,"&gt;"&amp;D403,$M$5:$M$1204,"&lt;&gt;Cancelled")&gt;1,"Clash",""))))</f>
        <v>0</v>
      </c>
      <c r="AH403" s="39">
        <f>IF(B403="","",IF(AG403="Clash","Clash - stylist double booked",IF(I403="","Assign - no stylist yet",IF(G403="","Add - no service chosen",IF(M403="No show","No show - charge the fee?",IF(M403="Cancelled","",IF(IF(M403="Completed",AB403&lt;Y403-0.004,FALSE),"Unpaid - nothing rung up for this visit",IF(IF(B403&lt;TodayDate,M403="Booked",FALSE),"Overdue - past date, still only Booked",IF(IF(B403=TodayDate,TRUE,FALSE),"Today",IF(IF(Z403&gt;0,AA403&lt;Z403-0.004,FALSE),"Due - deposit not taken",IF(IF(B403&gt;TodayDate,B403&lt;=TodayDate+2,FALSE),"Confirm - coming up","OK")))))))))))</f>
        <v>0</v>
      </c>
    </row>
    <row r="404" spans="1:34">
      <c r="A404" s="28">
        <f>IF(B404="","",AppointmentPrefix&amp;TEXT(ROW()-4,"0000"))</f>
        <v>0</v>
      </c>
      <c r="C404" s="15">
        <f>IF(B404="","",TEXT(B404,"ddd"))</f>
        <v>0</v>
      </c>
      <c r="F404" s="15">
        <f>IF(E404="","",IFERROR(INDEX(Clients!$B$5:$B$504,MATCH(E404,Clients!$A$5:$A$504,0)),"Walk-in"))</f>
        <v>0</v>
      </c>
      <c r="H404" s="15">
        <f>IF(G404="","",IFERROR(INDEX(Services!$B$5:$B$204,MATCH(G404,Services!$A$5:$A$204,0)),"Not in Services"))</f>
        <v>0</v>
      </c>
      <c r="J404" s="15">
        <f>IF(I404="","",IFERROR(INDEX(Staff!$B$5:$B$44,MATCH(I404,Staff!$A$5:$A$44,0)),"Unassigned"))</f>
        <v>0</v>
      </c>
      <c r="S404" s="15">
        <f>IF(B404="","",TEXT(B404,"yyyy-mm"))</f>
        <v>0</v>
      </c>
      <c r="T404" s="25">
        <f>IF(B404="","",WEEKNUM(B404,2))</f>
        <v>0</v>
      </c>
      <c r="U404" s="25">
        <f>IF(B404="","",IF(K404&lt;&gt;"",K404,IFERROR(INDEX(Services!$E$5:$E$204,MATCH(G404,Services!$A$5:$A$204,0))*1,0)+IFERROR(INDEX(Services!$F$5:$F$204,MATCH(G404,Services!$A$5:$A$204,0))*1,0)))</f>
        <v>0</v>
      </c>
      <c r="V404" s="36">
        <f>IF(B404="","",IF(D404="","",D404+U404/1440))</f>
        <v>0</v>
      </c>
      <c r="W404" s="25">
        <f>IF(B404="","",IF(D404="","",HOUR(D404)))</f>
        <v>0</v>
      </c>
      <c r="X404" s="37">
        <f>IF(B404="","",ROUND(U404/60,2))</f>
        <v>0</v>
      </c>
      <c r="Y404" s="26">
        <f>IF(B404="","",IF(L404&lt;&gt;"",L404,IFERROR(INDEX(Services!$G$5:$G$204,MATCH(G404,Services!$A$5:$A$204,0))*1,0)))</f>
        <v>0</v>
      </c>
      <c r="Z404" s="26">
        <f>IF(B404="","",IF(O404&lt;&gt;"",O404,IF(Y404&gt;=DepositThreshold,ROUND(Y404*DepositPercent,2),0)))</f>
        <v>0</v>
      </c>
      <c r="AA404" s="26">
        <f>IF(B404="","",ROUND(SUMIFS(Payments!$G$5:$G$1204,Payments!$I$5:$I$1204,A404,Payments!$E$5:$E$1204,"Deposit"),2))</f>
        <v>0</v>
      </c>
      <c r="AB404" s="26">
        <f>IF(B404="","",ROUND(SUMIFS(Sales!$Y$5:$Y$1204,Sales!$C$5:$C$1204,A404),2))</f>
        <v>0</v>
      </c>
      <c r="AC404" s="38">
        <f>IF(B404="","",IF(M404="Completed","Yes",IF(M404="Cancelled","Yes",IF(M404="No show","Yes","No"))))</f>
        <v>0</v>
      </c>
      <c r="AD404" s="25">
        <f>IF(B404="","",IF(AE404="","",B404-AE404))</f>
        <v>0</v>
      </c>
      <c r="AF404" s="38">
        <f>IF(B404="","",IF(M404&lt;&gt;"Completed","",IF(E404="","No",IF(COUNTIFS(Appointments!$E$5:$E$1204,E404,Appointments!$B$5:$B$1204,"&gt;"&amp;B404,Appointments!$M$5:$M$1204,"&lt;&gt;Cancelled")&gt;0,"Yes","No"))))</f>
        <v>0</v>
      </c>
      <c r="AG404" s="38">
        <f>IF(B404="","",IF(I404="","",IF(D404="","",IF(COUNTIFS($I$5:$I$1204,I404,$B$5:$B$1204,B404,$D$5:$D$1204,"&lt;"&amp;V404,$V$5:$V$1204,"&gt;"&amp;D404,$M$5:$M$1204,"&lt;&gt;Cancelled")&gt;1,"Clash",""))))</f>
        <v>0</v>
      </c>
      <c r="AH404" s="39">
        <f>IF(B404="","",IF(AG404="Clash","Clash - stylist double booked",IF(I404="","Assign - no stylist yet",IF(G404="","Add - no service chosen",IF(M404="No show","No show - charge the fee?",IF(M404="Cancelled","",IF(IF(M404="Completed",AB404&lt;Y404-0.004,FALSE),"Unpaid - nothing rung up for this visit",IF(IF(B404&lt;TodayDate,M404="Booked",FALSE),"Overdue - past date, still only Booked",IF(IF(B404=TodayDate,TRUE,FALSE),"Today",IF(IF(Z404&gt;0,AA404&lt;Z404-0.004,FALSE),"Due - deposit not taken",IF(IF(B404&gt;TodayDate,B404&lt;=TodayDate+2,FALSE),"Confirm - coming up","OK")))))))))))</f>
        <v>0</v>
      </c>
    </row>
    <row r="405" spans="1:34">
      <c r="A405" s="28">
        <f>IF(B405="","",AppointmentPrefix&amp;TEXT(ROW()-4,"0000"))</f>
        <v>0</v>
      </c>
      <c r="C405" s="15">
        <f>IF(B405="","",TEXT(B405,"ddd"))</f>
        <v>0</v>
      </c>
      <c r="F405" s="15">
        <f>IF(E405="","",IFERROR(INDEX(Clients!$B$5:$B$504,MATCH(E405,Clients!$A$5:$A$504,0)),"Walk-in"))</f>
        <v>0</v>
      </c>
      <c r="H405" s="15">
        <f>IF(G405="","",IFERROR(INDEX(Services!$B$5:$B$204,MATCH(G405,Services!$A$5:$A$204,0)),"Not in Services"))</f>
        <v>0</v>
      </c>
      <c r="J405" s="15">
        <f>IF(I405="","",IFERROR(INDEX(Staff!$B$5:$B$44,MATCH(I405,Staff!$A$5:$A$44,0)),"Unassigned"))</f>
        <v>0</v>
      </c>
      <c r="S405" s="15">
        <f>IF(B405="","",TEXT(B405,"yyyy-mm"))</f>
        <v>0</v>
      </c>
      <c r="T405" s="25">
        <f>IF(B405="","",WEEKNUM(B405,2))</f>
        <v>0</v>
      </c>
      <c r="U405" s="25">
        <f>IF(B405="","",IF(K405&lt;&gt;"",K405,IFERROR(INDEX(Services!$E$5:$E$204,MATCH(G405,Services!$A$5:$A$204,0))*1,0)+IFERROR(INDEX(Services!$F$5:$F$204,MATCH(G405,Services!$A$5:$A$204,0))*1,0)))</f>
        <v>0</v>
      </c>
      <c r="V405" s="36">
        <f>IF(B405="","",IF(D405="","",D405+U405/1440))</f>
        <v>0</v>
      </c>
      <c r="W405" s="25">
        <f>IF(B405="","",IF(D405="","",HOUR(D405)))</f>
        <v>0</v>
      </c>
      <c r="X405" s="37">
        <f>IF(B405="","",ROUND(U405/60,2))</f>
        <v>0</v>
      </c>
      <c r="Y405" s="26">
        <f>IF(B405="","",IF(L405&lt;&gt;"",L405,IFERROR(INDEX(Services!$G$5:$G$204,MATCH(G405,Services!$A$5:$A$204,0))*1,0)))</f>
        <v>0</v>
      </c>
      <c r="Z405" s="26">
        <f>IF(B405="","",IF(O405&lt;&gt;"",O405,IF(Y405&gt;=DepositThreshold,ROUND(Y405*DepositPercent,2),0)))</f>
        <v>0</v>
      </c>
      <c r="AA405" s="26">
        <f>IF(B405="","",ROUND(SUMIFS(Payments!$G$5:$G$1204,Payments!$I$5:$I$1204,A405,Payments!$E$5:$E$1204,"Deposit"),2))</f>
        <v>0</v>
      </c>
      <c r="AB405" s="26">
        <f>IF(B405="","",ROUND(SUMIFS(Sales!$Y$5:$Y$1204,Sales!$C$5:$C$1204,A405),2))</f>
        <v>0</v>
      </c>
      <c r="AC405" s="38">
        <f>IF(B405="","",IF(M405="Completed","Yes",IF(M405="Cancelled","Yes",IF(M405="No show","Yes","No"))))</f>
        <v>0</v>
      </c>
      <c r="AD405" s="25">
        <f>IF(B405="","",IF(AE405="","",B405-AE405))</f>
        <v>0</v>
      </c>
      <c r="AF405" s="38">
        <f>IF(B405="","",IF(M405&lt;&gt;"Completed","",IF(E405="","No",IF(COUNTIFS(Appointments!$E$5:$E$1204,E405,Appointments!$B$5:$B$1204,"&gt;"&amp;B405,Appointments!$M$5:$M$1204,"&lt;&gt;Cancelled")&gt;0,"Yes","No"))))</f>
        <v>0</v>
      </c>
      <c r="AG405" s="38">
        <f>IF(B405="","",IF(I405="","",IF(D405="","",IF(COUNTIFS($I$5:$I$1204,I405,$B$5:$B$1204,B405,$D$5:$D$1204,"&lt;"&amp;V405,$V$5:$V$1204,"&gt;"&amp;D405,$M$5:$M$1204,"&lt;&gt;Cancelled")&gt;1,"Clash",""))))</f>
        <v>0</v>
      </c>
      <c r="AH405" s="39">
        <f>IF(B405="","",IF(AG405="Clash","Clash - stylist double booked",IF(I405="","Assign - no stylist yet",IF(G405="","Add - no service chosen",IF(M405="No show","No show - charge the fee?",IF(M405="Cancelled","",IF(IF(M405="Completed",AB405&lt;Y405-0.004,FALSE),"Unpaid - nothing rung up for this visit",IF(IF(B405&lt;TodayDate,M405="Booked",FALSE),"Overdue - past date, still only Booked",IF(IF(B405=TodayDate,TRUE,FALSE),"Today",IF(IF(Z405&gt;0,AA405&lt;Z405-0.004,FALSE),"Due - deposit not taken",IF(IF(B405&gt;TodayDate,B405&lt;=TodayDate+2,FALSE),"Confirm - coming up","OK")))))))))))</f>
        <v>0</v>
      </c>
    </row>
    <row r="406" spans="1:34">
      <c r="A406" s="28">
        <f>IF(B406="","",AppointmentPrefix&amp;TEXT(ROW()-4,"0000"))</f>
        <v>0</v>
      </c>
      <c r="C406" s="15">
        <f>IF(B406="","",TEXT(B406,"ddd"))</f>
        <v>0</v>
      </c>
      <c r="F406" s="15">
        <f>IF(E406="","",IFERROR(INDEX(Clients!$B$5:$B$504,MATCH(E406,Clients!$A$5:$A$504,0)),"Walk-in"))</f>
        <v>0</v>
      </c>
      <c r="H406" s="15">
        <f>IF(G406="","",IFERROR(INDEX(Services!$B$5:$B$204,MATCH(G406,Services!$A$5:$A$204,0)),"Not in Services"))</f>
        <v>0</v>
      </c>
      <c r="J406" s="15">
        <f>IF(I406="","",IFERROR(INDEX(Staff!$B$5:$B$44,MATCH(I406,Staff!$A$5:$A$44,0)),"Unassigned"))</f>
        <v>0</v>
      </c>
      <c r="S406" s="15">
        <f>IF(B406="","",TEXT(B406,"yyyy-mm"))</f>
        <v>0</v>
      </c>
      <c r="T406" s="25">
        <f>IF(B406="","",WEEKNUM(B406,2))</f>
        <v>0</v>
      </c>
      <c r="U406" s="25">
        <f>IF(B406="","",IF(K406&lt;&gt;"",K406,IFERROR(INDEX(Services!$E$5:$E$204,MATCH(G406,Services!$A$5:$A$204,0))*1,0)+IFERROR(INDEX(Services!$F$5:$F$204,MATCH(G406,Services!$A$5:$A$204,0))*1,0)))</f>
        <v>0</v>
      </c>
      <c r="V406" s="36">
        <f>IF(B406="","",IF(D406="","",D406+U406/1440))</f>
        <v>0</v>
      </c>
      <c r="W406" s="25">
        <f>IF(B406="","",IF(D406="","",HOUR(D406)))</f>
        <v>0</v>
      </c>
      <c r="X406" s="37">
        <f>IF(B406="","",ROUND(U406/60,2))</f>
        <v>0</v>
      </c>
      <c r="Y406" s="26">
        <f>IF(B406="","",IF(L406&lt;&gt;"",L406,IFERROR(INDEX(Services!$G$5:$G$204,MATCH(G406,Services!$A$5:$A$204,0))*1,0)))</f>
        <v>0</v>
      </c>
      <c r="Z406" s="26">
        <f>IF(B406="","",IF(O406&lt;&gt;"",O406,IF(Y406&gt;=DepositThreshold,ROUND(Y406*DepositPercent,2),0)))</f>
        <v>0</v>
      </c>
      <c r="AA406" s="26">
        <f>IF(B406="","",ROUND(SUMIFS(Payments!$G$5:$G$1204,Payments!$I$5:$I$1204,A406,Payments!$E$5:$E$1204,"Deposit"),2))</f>
        <v>0</v>
      </c>
      <c r="AB406" s="26">
        <f>IF(B406="","",ROUND(SUMIFS(Sales!$Y$5:$Y$1204,Sales!$C$5:$C$1204,A406),2))</f>
        <v>0</v>
      </c>
      <c r="AC406" s="38">
        <f>IF(B406="","",IF(M406="Completed","Yes",IF(M406="Cancelled","Yes",IF(M406="No show","Yes","No"))))</f>
        <v>0</v>
      </c>
      <c r="AD406" s="25">
        <f>IF(B406="","",IF(AE406="","",B406-AE406))</f>
        <v>0</v>
      </c>
      <c r="AF406" s="38">
        <f>IF(B406="","",IF(M406&lt;&gt;"Completed","",IF(E406="","No",IF(COUNTIFS(Appointments!$E$5:$E$1204,E406,Appointments!$B$5:$B$1204,"&gt;"&amp;B406,Appointments!$M$5:$M$1204,"&lt;&gt;Cancelled")&gt;0,"Yes","No"))))</f>
        <v>0</v>
      </c>
      <c r="AG406" s="38">
        <f>IF(B406="","",IF(I406="","",IF(D406="","",IF(COUNTIFS($I$5:$I$1204,I406,$B$5:$B$1204,B406,$D$5:$D$1204,"&lt;"&amp;V406,$V$5:$V$1204,"&gt;"&amp;D406,$M$5:$M$1204,"&lt;&gt;Cancelled")&gt;1,"Clash",""))))</f>
        <v>0</v>
      </c>
      <c r="AH406" s="39">
        <f>IF(B406="","",IF(AG406="Clash","Clash - stylist double booked",IF(I406="","Assign - no stylist yet",IF(G406="","Add - no service chosen",IF(M406="No show","No show - charge the fee?",IF(M406="Cancelled","",IF(IF(M406="Completed",AB406&lt;Y406-0.004,FALSE),"Unpaid - nothing rung up for this visit",IF(IF(B406&lt;TodayDate,M406="Booked",FALSE),"Overdue - past date, still only Booked",IF(IF(B406=TodayDate,TRUE,FALSE),"Today",IF(IF(Z406&gt;0,AA406&lt;Z406-0.004,FALSE),"Due - deposit not taken",IF(IF(B406&gt;TodayDate,B406&lt;=TodayDate+2,FALSE),"Confirm - coming up","OK")))))))))))</f>
        <v>0</v>
      </c>
    </row>
    <row r="407" spans="1:34">
      <c r="A407" s="28">
        <f>IF(B407="","",AppointmentPrefix&amp;TEXT(ROW()-4,"0000"))</f>
        <v>0</v>
      </c>
      <c r="C407" s="15">
        <f>IF(B407="","",TEXT(B407,"ddd"))</f>
        <v>0</v>
      </c>
      <c r="F407" s="15">
        <f>IF(E407="","",IFERROR(INDEX(Clients!$B$5:$B$504,MATCH(E407,Clients!$A$5:$A$504,0)),"Walk-in"))</f>
        <v>0</v>
      </c>
      <c r="H407" s="15">
        <f>IF(G407="","",IFERROR(INDEX(Services!$B$5:$B$204,MATCH(G407,Services!$A$5:$A$204,0)),"Not in Services"))</f>
        <v>0</v>
      </c>
      <c r="J407" s="15">
        <f>IF(I407="","",IFERROR(INDEX(Staff!$B$5:$B$44,MATCH(I407,Staff!$A$5:$A$44,0)),"Unassigned"))</f>
        <v>0</v>
      </c>
      <c r="S407" s="15">
        <f>IF(B407="","",TEXT(B407,"yyyy-mm"))</f>
        <v>0</v>
      </c>
      <c r="T407" s="25">
        <f>IF(B407="","",WEEKNUM(B407,2))</f>
        <v>0</v>
      </c>
      <c r="U407" s="25">
        <f>IF(B407="","",IF(K407&lt;&gt;"",K407,IFERROR(INDEX(Services!$E$5:$E$204,MATCH(G407,Services!$A$5:$A$204,0))*1,0)+IFERROR(INDEX(Services!$F$5:$F$204,MATCH(G407,Services!$A$5:$A$204,0))*1,0)))</f>
        <v>0</v>
      </c>
      <c r="V407" s="36">
        <f>IF(B407="","",IF(D407="","",D407+U407/1440))</f>
        <v>0</v>
      </c>
      <c r="W407" s="25">
        <f>IF(B407="","",IF(D407="","",HOUR(D407)))</f>
        <v>0</v>
      </c>
      <c r="X407" s="37">
        <f>IF(B407="","",ROUND(U407/60,2))</f>
        <v>0</v>
      </c>
      <c r="Y407" s="26">
        <f>IF(B407="","",IF(L407&lt;&gt;"",L407,IFERROR(INDEX(Services!$G$5:$G$204,MATCH(G407,Services!$A$5:$A$204,0))*1,0)))</f>
        <v>0</v>
      </c>
      <c r="Z407" s="26">
        <f>IF(B407="","",IF(O407&lt;&gt;"",O407,IF(Y407&gt;=DepositThreshold,ROUND(Y407*DepositPercent,2),0)))</f>
        <v>0</v>
      </c>
      <c r="AA407" s="26">
        <f>IF(B407="","",ROUND(SUMIFS(Payments!$G$5:$G$1204,Payments!$I$5:$I$1204,A407,Payments!$E$5:$E$1204,"Deposit"),2))</f>
        <v>0</v>
      </c>
      <c r="AB407" s="26">
        <f>IF(B407="","",ROUND(SUMIFS(Sales!$Y$5:$Y$1204,Sales!$C$5:$C$1204,A407),2))</f>
        <v>0</v>
      </c>
      <c r="AC407" s="38">
        <f>IF(B407="","",IF(M407="Completed","Yes",IF(M407="Cancelled","Yes",IF(M407="No show","Yes","No"))))</f>
        <v>0</v>
      </c>
      <c r="AD407" s="25">
        <f>IF(B407="","",IF(AE407="","",B407-AE407))</f>
        <v>0</v>
      </c>
      <c r="AF407" s="38">
        <f>IF(B407="","",IF(M407&lt;&gt;"Completed","",IF(E407="","No",IF(COUNTIFS(Appointments!$E$5:$E$1204,E407,Appointments!$B$5:$B$1204,"&gt;"&amp;B407,Appointments!$M$5:$M$1204,"&lt;&gt;Cancelled")&gt;0,"Yes","No"))))</f>
        <v>0</v>
      </c>
      <c r="AG407" s="38">
        <f>IF(B407="","",IF(I407="","",IF(D407="","",IF(COUNTIFS($I$5:$I$1204,I407,$B$5:$B$1204,B407,$D$5:$D$1204,"&lt;"&amp;V407,$V$5:$V$1204,"&gt;"&amp;D407,$M$5:$M$1204,"&lt;&gt;Cancelled")&gt;1,"Clash",""))))</f>
        <v>0</v>
      </c>
      <c r="AH407" s="39">
        <f>IF(B407="","",IF(AG407="Clash","Clash - stylist double booked",IF(I407="","Assign - no stylist yet",IF(G407="","Add - no service chosen",IF(M407="No show","No show - charge the fee?",IF(M407="Cancelled","",IF(IF(M407="Completed",AB407&lt;Y407-0.004,FALSE),"Unpaid - nothing rung up for this visit",IF(IF(B407&lt;TodayDate,M407="Booked",FALSE),"Overdue - past date, still only Booked",IF(IF(B407=TodayDate,TRUE,FALSE),"Today",IF(IF(Z407&gt;0,AA407&lt;Z407-0.004,FALSE),"Due - deposit not taken",IF(IF(B407&gt;TodayDate,B407&lt;=TodayDate+2,FALSE),"Confirm - coming up","OK")))))))))))</f>
        <v>0</v>
      </c>
    </row>
    <row r="408" spans="1:34">
      <c r="A408" s="28">
        <f>IF(B408="","",AppointmentPrefix&amp;TEXT(ROW()-4,"0000"))</f>
        <v>0</v>
      </c>
      <c r="C408" s="15">
        <f>IF(B408="","",TEXT(B408,"ddd"))</f>
        <v>0</v>
      </c>
      <c r="F408" s="15">
        <f>IF(E408="","",IFERROR(INDEX(Clients!$B$5:$B$504,MATCH(E408,Clients!$A$5:$A$504,0)),"Walk-in"))</f>
        <v>0</v>
      </c>
      <c r="H408" s="15">
        <f>IF(G408="","",IFERROR(INDEX(Services!$B$5:$B$204,MATCH(G408,Services!$A$5:$A$204,0)),"Not in Services"))</f>
        <v>0</v>
      </c>
      <c r="J408" s="15">
        <f>IF(I408="","",IFERROR(INDEX(Staff!$B$5:$B$44,MATCH(I408,Staff!$A$5:$A$44,0)),"Unassigned"))</f>
        <v>0</v>
      </c>
      <c r="S408" s="15">
        <f>IF(B408="","",TEXT(B408,"yyyy-mm"))</f>
        <v>0</v>
      </c>
      <c r="T408" s="25">
        <f>IF(B408="","",WEEKNUM(B408,2))</f>
        <v>0</v>
      </c>
      <c r="U408" s="25">
        <f>IF(B408="","",IF(K408&lt;&gt;"",K408,IFERROR(INDEX(Services!$E$5:$E$204,MATCH(G408,Services!$A$5:$A$204,0))*1,0)+IFERROR(INDEX(Services!$F$5:$F$204,MATCH(G408,Services!$A$5:$A$204,0))*1,0)))</f>
        <v>0</v>
      </c>
      <c r="V408" s="36">
        <f>IF(B408="","",IF(D408="","",D408+U408/1440))</f>
        <v>0</v>
      </c>
      <c r="W408" s="25">
        <f>IF(B408="","",IF(D408="","",HOUR(D408)))</f>
        <v>0</v>
      </c>
      <c r="X408" s="37">
        <f>IF(B408="","",ROUND(U408/60,2))</f>
        <v>0</v>
      </c>
      <c r="Y408" s="26">
        <f>IF(B408="","",IF(L408&lt;&gt;"",L408,IFERROR(INDEX(Services!$G$5:$G$204,MATCH(G408,Services!$A$5:$A$204,0))*1,0)))</f>
        <v>0</v>
      </c>
      <c r="Z408" s="26">
        <f>IF(B408="","",IF(O408&lt;&gt;"",O408,IF(Y408&gt;=DepositThreshold,ROUND(Y408*DepositPercent,2),0)))</f>
        <v>0</v>
      </c>
      <c r="AA408" s="26">
        <f>IF(B408="","",ROUND(SUMIFS(Payments!$G$5:$G$1204,Payments!$I$5:$I$1204,A408,Payments!$E$5:$E$1204,"Deposit"),2))</f>
        <v>0</v>
      </c>
      <c r="AB408" s="26">
        <f>IF(B408="","",ROUND(SUMIFS(Sales!$Y$5:$Y$1204,Sales!$C$5:$C$1204,A408),2))</f>
        <v>0</v>
      </c>
      <c r="AC408" s="38">
        <f>IF(B408="","",IF(M408="Completed","Yes",IF(M408="Cancelled","Yes",IF(M408="No show","Yes","No"))))</f>
        <v>0</v>
      </c>
      <c r="AD408" s="25">
        <f>IF(B408="","",IF(AE408="","",B408-AE408))</f>
        <v>0</v>
      </c>
      <c r="AF408" s="38">
        <f>IF(B408="","",IF(M408&lt;&gt;"Completed","",IF(E408="","No",IF(COUNTIFS(Appointments!$E$5:$E$1204,E408,Appointments!$B$5:$B$1204,"&gt;"&amp;B408,Appointments!$M$5:$M$1204,"&lt;&gt;Cancelled")&gt;0,"Yes","No"))))</f>
        <v>0</v>
      </c>
      <c r="AG408" s="38">
        <f>IF(B408="","",IF(I408="","",IF(D408="","",IF(COUNTIFS($I$5:$I$1204,I408,$B$5:$B$1204,B408,$D$5:$D$1204,"&lt;"&amp;V408,$V$5:$V$1204,"&gt;"&amp;D408,$M$5:$M$1204,"&lt;&gt;Cancelled")&gt;1,"Clash",""))))</f>
        <v>0</v>
      </c>
      <c r="AH408" s="39">
        <f>IF(B408="","",IF(AG408="Clash","Clash - stylist double booked",IF(I408="","Assign - no stylist yet",IF(G408="","Add - no service chosen",IF(M408="No show","No show - charge the fee?",IF(M408="Cancelled","",IF(IF(M408="Completed",AB408&lt;Y408-0.004,FALSE),"Unpaid - nothing rung up for this visit",IF(IF(B408&lt;TodayDate,M408="Booked",FALSE),"Overdue - past date, still only Booked",IF(IF(B408=TodayDate,TRUE,FALSE),"Today",IF(IF(Z408&gt;0,AA408&lt;Z408-0.004,FALSE),"Due - deposit not taken",IF(IF(B408&gt;TodayDate,B408&lt;=TodayDate+2,FALSE),"Confirm - coming up","OK")))))))))))</f>
        <v>0</v>
      </c>
    </row>
    <row r="409" spans="1:34">
      <c r="A409" s="28">
        <f>IF(B409="","",AppointmentPrefix&amp;TEXT(ROW()-4,"0000"))</f>
        <v>0</v>
      </c>
      <c r="C409" s="15">
        <f>IF(B409="","",TEXT(B409,"ddd"))</f>
        <v>0</v>
      </c>
      <c r="F409" s="15">
        <f>IF(E409="","",IFERROR(INDEX(Clients!$B$5:$B$504,MATCH(E409,Clients!$A$5:$A$504,0)),"Walk-in"))</f>
        <v>0</v>
      </c>
      <c r="H409" s="15">
        <f>IF(G409="","",IFERROR(INDEX(Services!$B$5:$B$204,MATCH(G409,Services!$A$5:$A$204,0)),"Not in Services"))</f>
        <v>0</v>
      </c>
      <c r="J409" s="15">
        <f>IF(I409="","",IFERROR(INDEX(Staff!$B$5:$B$44,MATCH(I409,Staff!$A$5:$A$44,0)),"Unassigned"))</f>
        <v>0</v>
      </c>
      <c r="S409" s="15">
        <f>IF(B409="","",TEXT(B409,"yyyy-mm"))</f>
        <v>0</v>
      </c>
      <c r="T409" s="25">
        <f>IF(B409="","",WEEKNUM(B409,2))</f>
        <v>0</v>
      </c>
      <c r="U409" s="25">
        <f>IF(B409="","",IF(K409&lt;&gt;"",K409,IFERROR(INDEX(Services!$E$5:$E$204,MATCH(G409,Services!$A$5:$A$204,0))*1,0)+IFERROR(INDEX(Services!$F$5:$F$204,MATCH(G409,Services!$A$5:$A$204,0))*1,0)))</f>
        <v>0</v>
      </c>
      <c r="V409" s="36">
        <f>IF(B409="","",IF(D409="","",D409+U409/1440))</f>
        <v>0</v>
      </c>
      <c r="W409" s="25">
        <f>IF(B409="","",IF(D409="","",HOUR(D409)))</f>
        <v>0</v>
      </c>
      <c r="X409" s="37">
        <f>IF(B409="","",ROUND(U409/60,2))</f>
        <v>0</v>
      </c>
      <c r="Y409" s="26">
        <f>IF(B409="","",IF(L409&lt;&gt;"",L409,IFERROR(INDEX(Services!$G$5:$G$204,MATCH(G409,Services!$A$5:$A$204,0))*1,0)))</f>
        <v>0</v>
      </c>
      <c r="Z409" s="26">
        <f>IF(B409="","",IF(O409&lt;&gt;"",O409,IF(Y409&gt;=DepositThreshold,ROUND(Y409*DepositPercent,2),0)))</f>
        <v>0</v>
      </c>
      <c r="AA409" s="26">
        <f>IF(B409="","",ROUND(SUMIFS(Payments!$G$5:$G$1204,Payments!$I$5:$I$1204,A409,Payments!$E$5:$E$1204,"Deposit"),2))</f>
        <v>0</v>
      </c>
      <c r="AB409" s="26">
        <f>IF(B409="","",ROUND(SUMIFS(Sales!$Y$5:$Y$1204,Sales!$C$5:$C$1204,A409),2))</f>
        <v>0</v>
      </c>
      <c r="AC409" s="38">
        <f>IF(B409="","",IF(M409="Completed","Yes",IF(M409="Cancelled","Yes",IF(M409="No show","Yes","No"))))</f>
        <v>0</v>
      </c>
      <c r="AD409" s="25">
        <f>IF(B409="","",IF(AE409="","",B409-AE409))</f>
        <v>0</v>
      </c>
      <c r="AF409" s="38">
        <f>IF(B409="","",IF(M409&lt;&gt;"Completed","",IF(E409="","No",IF(COUNTIFS(Appointments!$E$5:$E$1204,E409,Appointments!$B$5:$B$1204,"&gt;"&amp;B409,Appointments!$M$5:$M$1204,"&lt;&gt;Cancelled")&gt;0,"Yes","No"))))</f>
        <v>0</v>
      </c>
      <c r="AG409" s="38">
        <f>IF(B409="","",IF(I409="","",IF(D409="","",IF(COUNTIFS($I$5:$I$1204,I409,$B$5:$B$1204,B409,$D$5:$D$1204,"&lt;"&amp;V409,$V$5:$V$1204,"&gt;"&amp;D409,$M$5:$M$1204,"&lt;&gt;Cancelled")&gt;1,"Clash",""))))</f>
        <v>0</v>
      </c>
      <c r="AH409" s="39">
        <f>IF(B409="","",IF(AG409="Clash","Clash - stylist double booked",IF(I409="","Assign - no stylist yet",IF(G409="","Add - no service chosen",IF(M409="No show","No show - charge the fee?",IF(M409="Cancelled","",IF(IF(M409="Completed",AB409&lt;Y409-0.004,FALSE),"Unpaid - nothing rung up for this visit",IF(IF(B409&lt;TodayDate,M409="Booked",FALSE),"Overdue - past date, still only Booked",IF(IF(B409=TodayDate,TRUE,FALSE),"Today",IF(IF(Z409&gt;0,AA409&lt;Z409-0.004,FALSE),"Due - deposit not taken",IF(IF(B409&gt;TodayDate,B409&lt;=TodayDate+2,FALSE),"Confirm - coming up","OK")))))))))))</f>
        <v>0</v>
      </c>
    </row>
    <row r="410" spans="1:34">
      <c r="A410" s="28">
        <f>IF(B410="","",AppointmentPrefix&amp;TEXT(ROW()-4,"0000"))</f>
        <v>0</v>
      </c>
      <c r="C410" s="15">
        <f>IF(B410="","",TEXT(B410,"ddd"))</f>
        <v>0</v>
      </c>
      <c r="F410" s="15">
        <f>IF(E410="","",IFERROR(INDEX(Clients!$B$5:$B$504,MATCH(E410,Clients!$A$5:$A$504,0)),"Walk-in"))</f>
        <v>0</v>
      </c>
      <c r="H410" s="15">
        <f>IF(G410="","",IFERROR(INDEX(Services!$B$5:$B$204,MATCH(G410,Services!$A$5:$A$204,0)),"Not in Services"))</f>
        <v>0</v>
      </c>
      <c r="J410" s="15">
        <f>IF(I410="","",IFERROR(INDEX(Staff!$B$5:$B$44,MATCH(I410,Staff!$A$5:$A$44,0)),"Unassigned"))</f>
        <v>0</v>
      </c>
      <c r="S410" s="15">
        <f>IF(B410="","",TEXT(B410,"yyyy-mm"))</f>
        <v>0</v>
      </c>
      <c r="T410" s="25">
        <f>IF(B410="","",WEEKNUM(B410,2))</f>
        <v>0</v>
      </c>
      <c r="U410" s="25">
        <f>IF(B410="","",IF(K410&lt;&gt;"",K410,IFERROR(INDEX(Services!$E$5:$E$204,MATCH(G410,Services!$A$5:$A$204,0))*1,0)+IFERROR(INDEX(Services!$F$5:$F$204,MATCH(G410,Services!$A$5:$A$204,0))*1,0)))</f>
        <v>0</v>
      </c>
      <c r="V410" s="36">
        <f>IF(B410="","",IF(D410="","",D410+U410/1440))</f>
        <v>0</v>
      </c>
      <c r="W410" s="25">
        <f>IF(B410="","",IF(D410="","",HOUR(D410)))</f>
        <v>0</v>
      </c>
      <c r="X410" s="37">
        <f>IF(B410="","",ROUND(U410/60,2))</f>
        <v>0</v>
      </c>
      <c r="Y410" s="26">
        <f>IF(B410="","",IF(L410&lt;&gt;"",L410,IFERROR(INDEX(Services!$G$5:$G$204,MATCH(G410,Services!$A$5:$A$204,0))*1,0)))</f>
        <v>0</v>
      </c>
      <c r="Z410" s="26">
        <f>IF(B410="","",IF(O410&lt;&gt;"",O410,IF(Y410&gt;=DepositThreshold,ROUND(Y410*DepositPercent,2),0)))</f>
        <v>0</v>
      </c>
      <c r="AA410" s="26">
        <f>IF(B410="","",ROUND(SUMIFS(Payments!$G$5:$G$1204,Payments!$I$5:$I$1204,A410,Payments!$E$5:$E$1204,"Deposit"),2))</f>
        <v>0</v>
      </c>
      <c r="AB410" s="26">
        <f>IF(B410="","",ROUND(SUMIFS(Sales!$Y$5:$Y$1204,Sales!$C$5:$C$1204,A410),2))</f>
        <v>0</v>
      </c>
      <c r="AC410" s="38">
        <f>IF(B410="","",IF(M410="Completed","Yes",IF(M410="Cancelled","Yes",IF(M410="No show","Yes","No"))))</f>
        <v>0</v>
      </c>
      <c r="AD410" s="25">
        <f>IF(B410="","",IF(AE410="","",B410-AE410))</f>
        <v>0</v>
      </c>
      <c r="AF410" s="38">
        <f>IF(B410="","",IF(M410&lt;&gt;"Completed","",IF(E410="","No",IF(COUNTIFS(Appointments!$E$5:$E$1204,E410,Appointments!$B$5:$B$1204,"&gt;"&amp;B410,Appointments!$M$5:$M$1204,"&lt;&gt;Cancelled")&gt;0,"Yes","No"))))</f>
        <v>0</v>
      </c>
      <c r="AG410" s="38">
        <f>IF(B410="","",IF(I410="","",IF(D410="","",IF(COUNTIFS($I$5:$I$1204,I410,$B$5:$B$1204,B410,$D$5:$D$1204,"&lt;"&amp;V410,$V$5:$V$1204,"&gt;"&amp;D410,$M$5:$M$1204,"&lt;&gt;Cancelled")&gt;1,"Clash",""))))</f>
        <v>0</v>
      </c>
      <c r="AH410" s="39">
        <f>IF(B410="","",IF(AG410="Clash","Clash - stylist double booked",IF(I410="","Assign - no stylist yet",IF(G410="","Add - no service chosen",IF(M410="No show","No show - charge the fee?",IF(M410="Cancelled","",IF(IF(M410="Completed",AB410&lt;Y410-0.004,FALSE),"Unpaid - nothing rung up for this visit",IF(IF(B410&lt;TodayDate,M410="Booked",FALSE),"Overdue - past date, still only Booked",IF(IF(B410=TodayDate,TRUE,FALSE),"Today",IF(IF(Z410&gt;0,AA410&lt;Z410-0.004,FALSE),"Due - deposit not taken",IF(IF(B410&gt;TodayDate,B410&lt;=TodayDate+2,FALSE),"Confirm - coming up","OK")))))))))))</f>
        <v>0</v>
      </c>
    </row>
    <row r="411" spans="1:34">
      <c r="A411" s="28">
        <f>IF(B411="","",AppointmentPrefix&amp;TEXT(ROW()-4,"0000"))</f>
        <v>0</v>
      </c>
      <c r="C411" s="15">
        <f>IF(B411="","",TEXT(B411,"ddd"))</f>
        <v>0</v>
      </c>
      <c r="F411" s="15">
        <f>IF(E411="","",IFERROR(INDEX(Clients!$B$5:$B$504,MATCH(E411,Clients!$A$5:$A$504,0)),"Walk-in"))</f>
        <v>0</v>
      </c>
      <c r="H411" s="15">
        <f>IF(G411="","",IFERROR(INDEX(Services!$B$5:$B$204,MATCH(G411,Services!$A$5:$A$204,0)),"Not in Services"))</f>
        <v>0</v>
      </c>
      <c r="J411" s="15">
        <f>IF(I411="","",IFERROR(INDEX(Staff!$B$5:$B$44,MATCH(I411,Staff!$A$5:$A$44,0)),"Unassigned"))</f>
        <v>0</v>
      </c>
      <c r="S411" s="15">
        <f>IF(B411="","",TEXT(B411,"yyyy-mm"))</f>
        <v>0</v>
      </c>
      <c r="T411" s="25">
        <f>IF(B411="","",WEEKNUM(B411,2))</f>
        <v>0</v>
      </c>
      <c r="U411" s="25">
        <f>IF(B411="","",IF(K411&lt;&gt;"",K411,IFERROR(INDEX(Services!$E$5:$E$204,MATCH(G411,Services!$A$5:$A$204,0))*1,0)+IFERROR(INDEX(Services!$F$5:$F$204,MATCH(G411,Services!$A$5:$A$204,0))*1,0)))</f>
        <v>0</v>
      </c>
      <c r="V411" s="36">
        <f>IF(B411="","",IF(D411="","",D411+U411/1440))</f>
        <v>0</v>
      </c>
      <c r="W411" s="25">
        <f>IF(B411="","",IF(D411="","",HOUR(D411)))</f>
        <v>0</v>
      </c>
      <c r="X411" s="37">
        <f>IF(B411="","",ROUND(U411/60,2))</f>
        <v>0</v>
      </c>
      <c r="Y411" s="26">
        <f>IF(B411="","",IF(L411&lt;&gt;"",L411,IFERROR(INDEX(Services!$G$5:$G$204,MATCH(G411,Services!$A$5:$A$204,0))*1,0)))</f>
        <v>0</v>
      </c>
      <c r="Z411" s="26">
        <f>IF(B411="","",IF(O411&lt;&gt;"",O411,IF(Y411&gt;=DepositThreshold,ROUND(Y411*DepositPercent,2),0)))</f>
        <v>0</v>
      </c>
      <c r="AA411" s="26">
        <f>IF(B411="","",ROUND(SUMIFS(Payments!$G$5:$G$1204,Payments!$I$5:$I$1204,A411,Payments!$E$5:$E$1204,"Deposit"),2))</f>
        <v>0</v>
      </c>
      <c r="AB411" s="26">
        <f>IF(B411="","",ROUND(SUMIFS(Sales!$Y$5:$Y$1204,Sales!$C$5:$C$1204,A411),2))</f>
        <v>0</v>
      </c>
      <c r="AC411" s="38">
        <f>IF(B411="","",IF(M411="Completed","Yes",IF(M411="Cancelled","Yes",IF(M411="No show","Yes","No"))))</f>
        <v>0</v>
      </c>
      <c r="AD411" s="25">
        <f>IF(B411="","",IF(AE411="","",B411-AE411))</f>
        <v>0</v>
      </c>
      <c r="AF411" s="38">
        <f>IF(B411="","",IF(M411&lt;&gt;"Completed","",IF(E411="","No",IF(COUNTIFS(Appointments!$E$5:$E$1204,E411,Appointments!$B$5:$B$1204,"&gt;"&amp;B411,Appointments!$M$5:$M$1204,"&lt;&gt;Cancelled")&gt;0,"Yes","No"))))</f>
        <v>0</v>
      </c>
      <c r="AG411" s="38">
        <f>IF(B411="","",IF(I411="","",IF(D411="","",IF(COUNTIFS($I$5:$I$1204,I411,$B$5:$B$1204,B411,$D$5:$D$1204,"&lt;"&amp;V411,$V$5:$V$1204,"&gt;"&amp;D411,$M$5:$M$1204,"&lt;&gt;Cancelled")&gt;1,"Clash",""))))</f>
        <v>0</v>
      </c>
      <c r="AH411" s="39">
        <f>IF(B411="","",IF(AG411="Clash","Clash - stylist double booked",IF(I411="","Assign - no stylist yet",IF(G411="","Add - no service chosen",IF(M411="No show","No show - charge the fee?",IF(M411="Cancelled","",IF(IF(M411="Completed",AB411&lt;Y411-0.004,FALSE),"Unpaid - nothing rung up for this visit",IF(IF(B411&lt;TodayDate,M411="Booked",FALSE),"Overdue - past date, still only Booked",IF(IF(B411=TodayDate,TRUE,FALSE),"Today",IF(IF(Z411&gt;0,AA411&lt;Z411-0.004,FALSE),"Due - deposit not taken",IF(IF(B411&gt;TodayDate,B411&lt;=TodayDate+2,FALSE),"Confirm - coming up","OK")))))))))))</f>
        <v>0</v>
      </c>
    </row>
    <row r="412" spans="1:34">
      <c r="A412" s="28">
        <f>IF(B412="","",AppointmentPrefix&amp;TEXT(ROW()-4,"0000"))</f>
        <v>0</v>
      </c>
      <c r="C412" s="15">
        <f>IF(B412="","",TEXT(B412,"ddd"))</f>
        <v>0</v>
      </c>
      <c r="F412" s="15">
        <f>IF(E412="","",IFERROR(INDEX(Clients!$B$5:$B$504,MATCH(E412,Clients!$A$5:$A$504,0)),"Walk-in"))</f>
        <v>0</v>
      </c>
      <c r="H412" s="15">
        <f>IF(G412="","",IFERROR(INDEX(Services!$B$5:$B$204,MATCH(G412,Services!$A$5:$A$204,0)),"Not in Services"))</f>
        <v>0</v>
      </c>
      <c r="J412" s="15">
        <f>IF(I412="","",IFERROR(INDEX(Staff!$B$5:$B$44,MATCH(I412,Staff!$A$5:$A$44,0)),"Unassigned"))</f>
        <v>0</v>
      </c>
      <c r="S412" s="15">
        <f>IF(B412="","",TEXT(B412,"yyyy-mm"))</f>
        <v>0</v>
      </c>
      <c r="T412" s="25">
        <f>IF(B412="","",WEEKNUM(B412,2))</f>
        <v>0</v>
      </c>
      <c r="U412" s="25">
        <f>IF(B412="","",IF(K412&lt;&gt;"",K412,IFERROR(INDEX(Services!$E$5:$E$204,MATCH(G412,Services!$A$5:$A$204,0))*1,0)+IFERROR(INDEX(Services!$F$5:$F$204,MATCH(G412,Services!$A$5:$A$204,0))*1,0)))</f>
        <v>0</v>
      </c>
      <c r="V412" s="36">
        <f>IF(B412="","",IF(D412="","",D412+U412/1440))</f>
        <v>0</v>
      </c>
      <c r="W412" s="25">
        <f>IF(B412="","",IF(D412="","",HOUR(D412)))</f>
        <v>0</v>
      </c>
      <c r="X412" s="37">
        <f>IF(B412="","",ROUND(U412/60,2))</f>
        <v>0</v>
      </c>
      <c r="Y412" s="26">
        <f>IF(B412="","",IF(L412&lt;&gt;"",L412,IFERROR(INDEX(Services!$G$5:$G$204,MATCH(G412,Services!$A$5:$A$204,0))*1,0)))</f>
        <v>0</v>
      </c>
      <c r="Z412" s="26">
        <f>IF(B412="","",IF(O412&lt;&gt;"",O412,IF(Y412&gt;=DepositThreshold,ROUND(Y412*DepositPercent,2),0)))</f>
        <v>0</v>
      </c>
      <c r="AA412" s="26">
        <f>IF(B412="","",ROUND(SUMIFS(Payments!$G$5:$G$1204,Payments!$I$5:$I$1204,A412,Payments!$E$5:$E$1204,"Deposit"),2))</f>
        <v>0</v>
      </c>
      <c r="AB412" s="26">
        <f>IF(B412="","",ROUND(SUMIFS(Sales!$Y$5:$Y$1204,Sales!$C$5:$C$1204,A412),2))</f>
        <v>0</v>
      </c>
      <c r="AC412" s="38">
        <f>IF(B412="","",IF(M412="Completed","Yes",IF(M412="Cancelled","Yes",IF(M412="No show","Yes","No"))))</f>
        <v>0</v>
      </c>
      <c r="AD412" s="25">
        <f>IF(B412="","",IF(AE412="","",B412-AE412))</f>
        <v>0</v>
      </c>
      <c r="AF412" s="38">
        <f>IF(B412="","",IF(M412&lt;&gt;"Completed","",IF(E412="","No",IF(COUNTIFS(Appointments!$E$5:$E$1204,E412,Appointments!$B$5:$B$1204,"&gt;"&amp;B412,Appointments!$M$5:$M$1204,"&lt;&gt;Cancelled")&gt;0,"Yes","No"))))</f>
        <v>0</v>
      </c>
      <c r="AG412" s="38">
        <f>IF(B412="","",IF(I412="","",IF(D412="","",IF(COUNTIFS($I$5:$I$1204,I412,$B$5:$B$1204,B412,$D$5:$D$1204,"&lt;"&amp;V412,$V$5:$V$1204,"&gt;"&amp;D412,$M$5:$M$1204,"&lt;&gt;Cancelled")&gt;1,"Clash",""))))</f>
        <v>0</v>
      </c>
      <c r="AH412" s="39">
        <f>IF(B412="","",IF(AG412="Clash","Clash - stylist double booked",IF(I412="","Assign - no stylist yet",IF(G412="","Add - no service chosen",IF(M412="No show","No show - charge the fee?",IF(M412="Cancelled","",IF(IF(M412="Completed",AB412&lt;Y412-0.004,FALSE),"Unpaid - nothing rung up for this visit",IF(IF(B412&lt;TodayDate,M412="Booked",FALSE),"Overdue - past date, still only Booked",IF(IF(B412=TodayDate,TRUE,FALSE),"Today",IF(IF(Z412&gt;0,AA412&lt;Z412-0.004,FALSE),"Due - deposit not taken",IF(IF(B412&gt;TodayDate,B412&lt;=TodayDate+2,FALSE),"Confirm - coming up","OK")))))))))))</f>
        <v>0</v>
      </c>
    </row>
    <row r="413" spans="1:34">
      <c r="A413" s="28">
        <f>IF(B413="","",AppointmentPrefix&amp;TEXT(ROW()-4,"0000"))</f>
        <v>0</v>
      </c>
      <c r="C413" s="15">
        <f>IF(B413="","",TEXT(B413,"ddd"))</f>
        <v>0</v>
      </c>
      <c r="F413" s="15">
        <f>IF(E413="","",IFERROR(INDEX(Clients!$B$5:$B$504,MATCH(E413,Clients!$A$5:$A$504,0)),"Walk-in"))</f>
        <v>0</v>
      </c>
      <c r="H413" s="15">
        <f>IF(G413="","",IFERROR(INDEX(Services!$B$5:$B$204,MATCH(G413,Services!$A$5:$A$204,0)),"Not in Services"))</f>
        <v>0</v>
      </c>
      <c r="J413" s="15">
        <f>IF(I413="","",IFERROR(INDEX(Staff!$B$5:$B$44,MATCH(I413,Staff!$A$5:$A$44,0)),"Unassigned"))</f>
        <v>0</v>
      </c>
      <c r="S413" s="15">
        <f>IF(B413="","",TEXT(B413,"yyyy-mm"))</f>
        <v>0</v>
      </c>
      <c r="T413" s="25">
        <f>IF(B413="","",WEEKNUM(B413,2))</f>
        <v>0</v>
      </c>
      <c r="U413" s="25">
        <f>IF(B413="","",IF(K413&lt;&gt;"",K413,IFERROR(INDEX(Services!$E$5:$E$204,MATCH(G413,Services!$A$5:$A$204,0))*1,0)+IFERROR(INDEX(Services!$F$5:$F$204,MATCH(G413,Services!$A$5:$A$204,0))*1,0)))</f>
        <v>0</v>
      </c>
      <c r="V413" s="36">
        <f>IF(B413="","",IF(D413="","",D413+U413/1440))</f>
        <v>0</v>
      </c>
      <c r="W413" s="25">
        <f>IF(B413="","",IF(D413="","",HOUR(D413)))</f>
        <v>0</v>
      </c>
      <c r="X413" s="37">
        <f>IF(B413="","",ROUND(U413/60,2))</f>
        <v>0</v>
      </c>
      <c r="Y413" s="26">
        <f>IF(B413="","",IF(L413&lt;&gt;"",L413,IFERROR(INDEX(Services!$G$5:$G$204,MATCH(G413,Services!$A$5:$A$204,0))*1,0)))</f>
        <v>0</v>
      </c>
      <c r="Z413" s="26">
        <f>IF(B413="","",IF(O413&lt;&gt;"",O413,IF(Y413&gt;=DepositThreshold,ROUND(Y413*DepositPercent,2),0)))</f>
        <v>0</v>
      </c>
      <c r="AA413" s="26">
        <f>IF(B413="","",ROUND(SUMIFS(Payments!$G$5:$G$1204,Payments!$I$5:$I$1204,A413,Payments!$E$5:$E$1204,"Deposit"),2))</f>
        <v>0</v>
      </c>
      <c r="AB413" s="26">
        <f>IF(B413="","",ROUND(SUMIFS(Sales!$Y$5:$Y$1204,Sales!$C$5:$C$1204,A413),2))</f>
        <v>0</v>
      </c>
      <c r="AC413" s="38">
        <f>IF(B413="","",IF(M413="Completed","Yes",IF(M413="Cancelled","Yes",IF(M413="No show","Yes","No"))))</f>
        <v>0</v>
      </c>
      <c r="AD413" s="25">
        <f>IF(B413="","",IF(AE413="","",B413-AE413))</f>
        <v>0</v>
      </c>
      <c r="AF413" s="38">
        <f>IF(B413="","",IF(M413&lt;&gt;"Completed","",IF(E413="","No",IF(COUNTIFS(Appointments!$E$5:$E$1204,E413,Appointments!$B$5:$B$1204,"&gt;"&amp;B413,Appointments!$M$5:$M$1204,"&lt;&gt;Cancelled")&gt;0,"Yes","No"))))</f>
        <v>0</v>
      </c>
      <c r="AG413" s="38">
        <f>IF(B413="","",IF(I413="","",IF(D413="","",IF(COUNTIFS($I$5:$I$1204,I413,$B$5:$B$1204,B413,$D$5:$D$1204,"&lt;"&amp;V413,$V$5:$V$1204,"&gt;"&amp;D413,$M$5:$M$1204,"&lt;&gt;Cancelled")&gt;1,"Clash",""))))</f>
        <v>0</v>
      </c>
      <c r="AH413" s="39">
        <f>IF(B413="","",IF(AG413="Clash","Clash - stylist double booked",IF(I413="","Assign - no stylist yet",IF(G413="","Add - no service chosen",IF(M413="No show","No show - charge the fee?",IF(M413="Cancelled","",IF(IF(M413="Completed",AB413&lt;Y413-0.004,FALSE),"Unpaid - nothing rung up for this visit",IF(IF(B413&lt;TodayDate,M413="Booked",FALSE),"Overdue - past date, still only Booked",IF(IF(B413=TodayDate,TRUE,FALSE),"Today",IF(IF(Z413&gt;0,AA413&lt;Z413-0.004,FALSE),"Due - deposit not taken",IF(IF(B413&gt;TodayDate,B413&lt;=TodayDate+2,FALSE),"Confirm - coming up","OK")))))))))))</f>
        <v>0</v>
      </c>
    </row>
    <row r="414" spans="1:34">
      <c r="A414" s="28">
        <f>IF(B414="","",AppointmentPrefix&amp;TEXT(ROW()-4,"0000"))</f>
        <v>0</v>
      </c>
      <c r="C414" s="15">
        <f>IF(B414="","",TEXT(B414,"ddd"))</f>
        <v>0</v>
      </c>
      <c r="F414" s="15">
        <f>IF(E414="","",IFERROR(INDEX(Clients!$B$5:$B$504,MATCH(E414,Clients!$A$5:$A$504,0)),"Walk-in"))</f>
        <v>0</v>
      </c>
      <c r="H414" s="15">
        <f>IF(G414="","",IFERROR(INDEX(Services!$B$5:$B$204,MATCH(G414,Services!$A$5:$A$204,0)),"Not in Services"))</f>
        <v>0</v>
      </c>
      <c r="J414" s="15">
        <f>IF(I414="","",IFERROR(INDEX(Staff!$B$5:$B$44,MATCH(I414,Staff!$A$5:$A$44,0)),"Unassigned"))</f>
        <v>0</v>
      </c>
      <c r="S414" s="15">
        <f>IF(B414="","",TEXT(B414,"yyyy-mm"))</f>
        <v>0</v>
      </c>
      <c r="T414" s="25">
        <f>IF(B414="","",WEEKNUM(B414,2))</f>
        <v>0</v>
      </c>
      <c r="U414" s="25">
        <f>IF(B414="","",IF(K414&lt;&gt;"",K414,IFERROR(INDEX(Services!$E$5:$E$204,MATCH(G414,Services!$A$5:$A$204,0))*1,0)+IFERROR(INDEX(Services!$F$5:$F$204,MATCH(G414,Services!$A$5:$A$204,0))*1,0)))</f>
        <v>0</v>
      </c>
      <c r="V414" s="36">
        <f>IF(B414="","",IF(D414="","",D414+U414/1440))</f>
        <v>0</v>
      </c>
      <c r="W414" s="25">
        <f>IF(B414="","",IF(D414="","",HOUR(D414)))</f>
        <v>0</v>
      </c>
      <c r="X414" s="37">
        <f>IF(B414="","",ROUND(U414/60,2))</f>
        <v>0</v>
      </c>
      <c r="Y414" s="26">
        <f>IF(B414="","",IF(L414&lt;&gt;"",L414,IFERROR(INDEX(Services!$G$5:$G$204,MATCH(G414,Services!$A$5:$A$204,0))*1,0)))</f>
        <v>0</v>
      </c>
      <c r="Z414" s="26">
        <f>IF(B414="","",IF(O414&lt;&gt;"",O414,IF(Y414&gt;=DepositThreshold,ROUND(Y414*DepositPercent,2),0)))</f>
        <v>0</v>
      </c>
      <c r="AA414" s="26">
        <f>IF(B414="","",ROUND(SUMIFS(Payments!$G$5:$G$1204,Payments!$I$5:$I$1204,A414,Payments!$E$5:$E$1204,"Deposit"),2))</f>
        <v>0</v>
      </c>
      <c r="AB414" s="26">
        <f>IF(B414="","",ROUND(SUMIFS(Sales!$Y$5:$Y$1204,Sales!$C$5:$C$1204,A414),2))</f>
        <v>0</v>
      </c>
      <c r="AC414" s="38">
        <f>IF(B414="","",IF(M414="Completed","Yes",IF(M414="Cancelled","Yes",IF(M414="No show","Yes","No"))))</f>
        <v>0</v>
      </c>
      <c r="AD414" s="25">
        <f>IF(B414="","",IF(AE414="","",B414-AE414))</f>
        <v>0</v>
      </c>
      <c r="AF414" s="38">
        <f>IF(B414="","",IF(M414&lt;&gt;"Completed","",IF(E414="","No",IF(COUNTIFS(Appointments!$E$5:$E$1204,E414,Appointments!$B$5:$B$1204,"&gt;"&amp;B414,Appointments!$M$5:$M$1204,"&lt;&gt;Cancelled")&gt;0,"Yes","No"))))</f>
        <v>0</v>
      </c>
      <c r="AG414" s="38">
        <f>IF(B414="","",IF(I414="","",IF(D414="","",IF(COUNTIFS($I$5:$I$1204,I414,$B$5:$B$1204,B414,$D$5:$D$1204,"&lt;"&amp;V414,$V$5:$V$1204,"&gt;"&amp;D414,$M$5:$M$1204,"&lt;&gt;Cancelled")&gt;1,"Clash",""))))</f>
        <v>0</v>
      </c>
      <c r="AH414" s="39">
        <f>IF(B414="","",IF(AG414="Clash","Clash - stylist double booked",IF(I414="","Assign - no stylist yet",IF(G414="","Add - no service chosen",IF(M414="No show","No show - charge the fee?",IF(M414="Cancelled","",IF(IF(M414="Completed",AB414&lt;Y414-0.004,FALSE),"Unpaid - nothing rung up for this visit",IF(IF(B414&lt;TodayDate,M414="Booked",FALSE),"Overdue - past date, still only Booked",IF(IF(B414=TodayDate,TRUE,FALSE),"Today",IF(IF(Z414&gt;0,AA414&lt;Z414-0.004,FALSE),"Due - deposit not taken",IF(IF(B414&gt;TodayDate,B414&lt;=TodayDate+2,FALSE),"Confirm - coming up","OK")))))))))))</f>
        <v>0</v>
      </c>
    </row>
    <row r="415" spans="1:34">
      <c r="A415" s="28">
        <f>IF(B415="","",AppointmentPrefix&amp;TEXT(ROW()-4,"0000"))</f>
        <v>0</v>
      </c>
      <c r="C415" s="15">
        <f>IF(B415="","",TEXT(B415,"ddd"))</f>
        <v>0</v>
      </c>
      <c r="F415" s="15">
        <f>IF(E415="","",IFERROR(INDEX(Clients!$B$5:$B$504,MATCH(E415,Clients!$A$5:$A$504,0)),"Walk-in"))</f>
        <v>0</v>
      </c>
      <c r="H415" s="15">
        <f>IF(G415="","",IFERROR(INDEX(Services!$B$5:$B$204,MATCH(G415,Services!$A$5:$A$204,0)),"Not in Services"))</f>
        <v>0</v>
      </c>
      <c r="J415" s="15">
        <f>IF(I415="","",IFERROR(INDEX(Staff!$B$5:$B$44,MATCH(I415,Staff!$A$5:$A$44,0)),"Unassigned"))</f>
        <v>0</v>
      </c>
      <c r="S415" s="15">
        <f>IF(B415="","",TEXT(B415,"yyyy-mm"))</f>
        <v>0</v>
      </c>
      <c r="T415" s="25">
        <f>IF(B415="","",WEEKNUM(B415,2))</f>
        <v>0</v>
      </c>
      <c r="U415" s="25">
        <f>IF(B415="","",IF(K415&lt;&gt;"",K415,IFERROR(INDEX(Services!$E$5:$E$204,MATCH(G415,Services!$A$5:$A$204,0))*1,0)+IFERROR(INDEX(Services!$F$5:$F$204,MATCH(G415,Services!$A$5:$A$204,0))*1,0)))</f>
        <v>0</v>
      </c>
      <c r="V415" s="36">
        <f>IF(B415="","",IF(D415="","",D415+U415/1440))</f>
        <v>0</v>
      </c>
      <c r="W415" s="25">
        <f>IF(B415="","",IF(D415="","",HOUR(D415)))</f>
        <v>0</v>
      </c>
      <c r="X415" s="37">
        <f>IF(B415="","",ROUND(U415/60,2))</f>
        <v>0</v>
      </c>
      <c r="Y415" s="26">
        <f>IF(B415="","",IF(L415&lt;&gt;"",L415,IFERROR(INDEX(Services!$G$5:$G$204,MATCH(G415,Services!$A$5:$A$204,0))*1,0)))</f>
        <v>0</v>
      </c>
      <c r="Z415" s="26">
        <f>IF(B415="","",IF(O415&lt;&gt;"",O415,IF(Y415&gt;=DepositThreshold,ROUND(Y415*DepositPercent,2),0)))</f>
        <v>0</v>
      </c>
      <c r="AA415" s="26">
        <f>IF(B415="","",ROUND(SUMIFS(Payments!$G$5:$G$1204,Payments!$I$5:$I$1204,A415,Payments!$E$5:$E$1204,"Deposit"),2))</f>
        <v>0</v>
      </c>
      <c r="AB415" s="26">
        <f>IF(B415="","",ROUND(SUMIFS(Sales!$Y$5:$Y$1204,Sales!$C$5:$C$1204,A415),2))</f>
        <v>0</v>
      </c>
      <c r="AC415" s="38">
        <f>IF(B415="","",IF(M415="Completed","Yes",IF(M415="Cancelled","Yes",IF(M415="No show","Yes","No"))))</f>
        <v>0</v>
      </c>
      <c r="AD415" s="25">
        <f>IF(B415="","",IF(AE415="","",B415-AE415))</f>
        <v>0</v>
      </c>
      <c r="AF415" s="38">
        <f>IF(B415="","",IF(M415&lt;&gt;"Completed","",IF(E415="","No",IF(COUNTIFS(Appointments!$E$5:$E$1204,E415,Appointments!$B$5:$B$1204,"&gt;"&amp;B415,Appointments!$M$5:$M$1204,"&lt;&gt;Cancelled")&gt;0,"Yes","No"))))</f>
        <v>0</v>
      </c>
      <c r="AG415" s="38">
        <f>IF(B415="","",IF(I415="","",IF(D415="","",IF(COUNTIFS($I$5:$I$1204,I415,$B$5:$B$1204,B415,$D$5:$D$1204,"&lt;"&amp;V415,$V$5:$V$1204,"&gt;"&amp;D415,$M$5:$M$1204,"&lt;&gt;Cancelled")&gt;1,"Clash",""))))</f>
        <v>0</v>
      </c>
      <c r="AH415" s="39">
        <f>IF(B415="","",IF(AG415="Clash","Clash - stylist double booked",IF(I415="","Assign - no stylist yet",IF(G415="","Add - no service chosen",IF(M415="No show","No show - charge the fee?",IF(M415="Cancelled","",IF(IF(M415="Completed",AB415&lt;Y415-0.004,FALSE),"Unpaid - nothing rung up for this visit",IF(IF(B415&lt;TodayDate,M415="Booked",FALSE),"Overdue - past date, still only Booked",IF(IF(B415=TodayDate,TRUE,FALSE),"Today",IF(IF(Z415&gt;0,AA415&lt;Z415-0.004,FALSE),"Due - deposit not taken",IF(IF(B415&gt;TodayDate,B415&lt;=TodayDate+2,FALSE),"Confirm - coming up","OK")))))))))))</f>
        <v>0</v>
      </c>
    </row>
    <row r="416" spans="1:34">
      <c r="A416" s="28">
        <f>IF(B416="","",AppointmentPrefix&amp;TEXT(ROW()-4,"0000"))</f>
        <v>0</v>
      </c>
      <c r="C416" s="15">
        <f>IF(B416="","",TEXT(B416,"ddd"))</f>
        <v>0</v>
      </c>
      <c r="F416" s="15">
        <f>IF(E416="","",IFERROR(INDEX(Clients!$B$5:$B$504,MATCH(E416,Clients!$A$5:$A$504,0)),"Walk-in"))</f>
        <v>0</v>
      </c>
      <c r="H416" s="15">
        <f>IF(G416="","",IFERROR(INDEX(Services!$B$5:$B$204,MATCH(G416,Services!$A$5:$A$204,0)),"Not in Services"))</f>
        <v>0</v>
      </c>
      <c r="J416" s="15">
        <f>IF(I416="","",IFERROR(INDEX(Staff!$B$5:$B$44,MATCH(I416,Staff!$A$5:$A$44,0)),"Unassigned"))</f>
        <v>0</v>
      </c>
      <c r="S416" s="15">
        <f>IF(B416="","",TEXT(B416,"yyyy-mm"))</f>
        <v>0</v>
      </c>
      <c r="T416" s="25">
        <f>IF(B416="","",WEEKNUM(B416,2))</f>
        <v>0</v>
      </c>
      <c r="U416" s="25">
        <f>IF(B416="","",IF(K416&lt;&gt;"",K416,IFERROR(INDEX(Services!$E$5:$E$204,MATCH(G416,Services!$A$5:$A$204,0))*1,0)+IFERROR(INDEX(Services!$F$5:$F$204,MATCH(G416,Services!$A$5:$A$204,0))*1,0)))</f>
        <v>0</v>
      </c>
      <c r="V416" s="36">
        <f>IF(B416="","",IF(D416="","",D416+U416/1440))</f>
        <v>0</v>
      </c>
      <c r="W416" s="25">
        <f>IF(B416="","",IF(D416="","",HOUR(D416)))</f>
        <v>0</v>
      </c>
      <c r="X416" s="37">
        <f>IF(B416="","",ROUND(U416/60,2))</f>
        <v>0</v>
      </c>
      <c r="Y416" s="26">
        <f>IF(B416="","",IF(L416&lt;&gt;"",L416,IFERROR(INDEX(Services!$G$5:$G$204,MATCH(G416,Services!$A$5:$A$204,0))*1,0)))</f>
        <v>0</v>
      </c>
      <c r="Z416" s="26">
        <f>IF(B416="","",IF(O416&lt;&gt;"",O416,IF(Y416&gt;=DepositThreshold,ROUND(Y416*DepositPercent,2),0)))</f>
        <v>0</v>
      </c>
      <c r="AA416" s="26">
        <f>IF(B416="","",ROUND(SUMIFS(Payments!$G$5:$G$1204,Payments!$I$5:$I$1204,A416,Payments!$E$5:$E$1204,"Deposit"),2))</f>
        <v>0</v>
      </c>
      <c r="AB416" s="26">
        <f>IF(B416="","",ROUND(SUMIFS(Sales!$Y$5:$Y$1204,Sales!$C$5:$C$1204,A416),2))</f>
        <v>0</v>
      </c>
      <c r="AC416" s="38">
        <f>IF(B416="","",IF(M416="Completed","Yes",IF(M416="Cancelled","Yes",IF(M416="No show","Yes","No"))))</f>
        <v>0</v>
      </c>
      <c r="AD416" s="25">
        <f>IF(B416="","",IF(AE416="","",B416-AE416))</f>
        <v>0</v>
      </c>
      <c r="AF416" s="38">
        <f>IF(B416="","",IF(M416&lt;&gt;"Completed","",IF(E416="","No",IF(COUNTIFS(Appointments!$E$5:$E$1204,E416,Appointments!$B$5:$B$1204,"&gt;"&amp;B416,Appointments!$M$5:$M$1204,"&lt;&gt;Cancelled")&gt;0,"Yes","No"))))</f>
        <v>0</v>
      </c>
      <c r="AG416" s="38">
        <f>IF(B416="","",IF(I416="","",IF(D416="","",IF(COUNTIFS($I$5:$I$1204,I416,$B$5:$B$1204,B416,$D$5:$D$1204,"&lt;"&amp;V416,$V$5:$V$1204,"&gt;"&amp;D416,$M$5:$M$1204,"&lt;&gt;Cancelled")&gt;1,"Clash",""))))</f>
        <v>0</v>
      </c>
      <c r="AH416" s="39">
        <f>IF(B416="","",IF(AG416="Clash","Clash - stylist double booked",IF(I416="","Assign - no stylist yet",IF(G416="","Add - no service chosen",IF(M416="No show","No show - charge the fee?",IF(M416="Cancelled","",IF(IF(M416="Completed",AB416&lt;Y416-0.004,FALSE),"Unpaid - nothing rung up for this visit",IF(IF(B416&lt;TodayDate,M416="Booked",FALSE),"Overdue - past date, still only Booked",IF(IF(B416=TodayDate,TRUE,FALSE),"Today",IF(IF(Z416&gt;0,AA416&lt;Z416-0.004,FALSE),"Due - deposit not taken",IF(IF(B416&gt;TodayDate,B416&lt;=TodayDate+2,FALSE),"Confirm - coming up","OK")))))))))))</f>
        <v>0</v>
      </c>
    </row>
    <row r="417" spans="1:34">
      <c r="A417" s="28">
        <f>IF(B417="","",AppointmentPrefix&amp;TEXT(ROW()-4,"0000"))</f>
        <v>0</v>
      </c>
      <c r="C417" s="15">
        <f>IF(B417="","",TEXT(B417,"ddd"))</f>
        <v>0</v>
      </c>
      <c r="F417" s="15">
        <f>IF(E417="","",IFERROR(INDEX(Clients!$B$5:$B$504,MATCH(E417,Clients!$A$5:$A$504,0)),"Walk-in"))</f>
        <v>0</v>
      </c>
      <c r="H417" s="15">
        <f>IF(G417="","",IFERROR(INDEX(Services!$B$5:$B$204,MATCH(G417,Services!$A$5:$A$204,0)),"Not in Services"))</f>
        <v>0</v>
      </c>
      <c r="J417" s="15">
        <f>IF(I417="","",IFERROR(INDEX(Staff!$B$5:$B$44,MATCH(I417,Staff!$A$5:$A$44,0)),"Unassigned"))</f>
        <v>0</v>
      </c>
      <c r="S417" s="15">
        <f>IF(B417="","",TEXT(B417,"yyyy-mm"))</f>
        <v>0</v>
      </c>
      <c r="T417" s="25">
        <f>IF(B417="","",WEEKNUM(B417,2))</f>
        <v>0</v>
      </c>
      <c r="U417" s="25">
        <f>IF(B417="","",IF(K417&lt;&gt;"",K417,IFERROR(INDEX(Services!$E$5:$E$204,MATCH(G417,Services!$A$5:$A$204,0))*1,0)+IFERROR(INDEX(Services!$F$5:$F$204,MATCH(G417,Services!$A$5:$A$204,0))*1,0)))</f>
        <v>0</v>
      </c>
      <c r="V417" s="36">
        <f>IF(B417="","",IF(D417="","",D417+U417/1440))</f>
        <v>0</v>
      </c>
      <c r="W417" s="25">
        <f>IF(B417="","",IF(D417="","",HOUR(D417)))</f>
        <v>0</v>
      </c>
      <c r="X417" s="37">
        <f>IF(B417="","",ROUND(U417/60,2))</f>
        <v>0</v>
      </c>
      <c r="Y417" s="26">
        <f>IF(B417="","",IF(L417&lt;&gt;"",L417,IFERROR(INDEX(Services!$G$5:$G$204,MATCH(G417,Services!$A$5:$A$204,0))*1,0)))</f>
        <v>0</v>
      </c>
      <c r="Z417" s="26">
        <f>IF(B417="","",IF(O417&lt;&gt;"",O417,IF(Y417&gt;=DepositThreshold,ROUND(Y417*DepositPercent,2),0)))</f>
        <v>0</v>
      </c>
      <c r="AA417" s="26">
        <f>IF(B417="","",ROUND(SUMIFS(Payments!$G$5:$G$1204,Payments!$I$5:$I$1204,A417,Payments!$E$5:$E$1204,"Deposit"),2))</f>
        <v>0</v>
      </c>
      <c r="AB417" s="26">
        <f>IF(B417="","",ROUND(SUMIFS(Sales!$Y$5:$Y$1204,Sales!$C$5:$C$1204,A417),2))</f>
        <v>0</v>
      </c>
      <c r="AC417" s="38">
        <f>IF(B417="","",IF(M417="Completed","Yes",IF(M417="Cancelled","Yes",IF(M417="No show","Yes","No"))))</f>
        <v>0</v>
      </c>
      <c r="AD417" s="25">
        <f>IF(B417="","",IF(AE417="","",B417-AE417))</f>
        <v>0</v>
      </c>
      <c r="AF417" s="38">
        <f>IF(B417="","",IF(M417&lt;&gt;"Completed","",IF(E417="","No",IF(COUNTIFS(Appointments!$E$5:$E$1204,E417,Appointments!$B$5:$B$1204,"&gt;"&amp;B417,Appointments!$M$5:$M$1204,"&lt;&gt;Cancelled")&gt;0,"Yes","No"))))</f>
        <v>0</v>
      </c>
      <c r="AG417" s="38">
        <f>IF(B417="","",IF(I417="","",IF(D417="","",IF(COUNTIFS($I$5:$I$1204,I417,$B$5:$B$1204,B417,$D$5:$D$1204,"&lt;"&amp;V417,$V$5:$V$1204,"&gt;"&amp;D417,$M$5:$M$1204,"&lt;&gt;Cancelled")&gt;1,"Clash",""))))</f>
        <v>0</v>
      </c>
      <c r="AH417" s="39">
        <f>IF(B417="","",IF(AG417="Clash","Clash - stylist double booked",IF(I417="","Assign - no stylist yet",IF(G417="","Add - no service chosen",IF(M417="No show","No show - charge the fee?",IF(M417="Cancelled","",IF(IF(M417="Completed",AB417&lt;Y417-0.004,FALSE),"Unpaid - nothing rung up for this visit",IF(IF(B417&lt;TodayDate,M417="Booked",FALSE),"Overdue - past date, still only Booked",IF(IF(B417=TodayDate,TRUE,FALSE),"Today",IF(IF(Z417&gt;0,AA417&lt;Z417-0.004,FALSE),"Due - deposit not taken",IF(IF(B417&gt;TodayDate,B417&lt;=TodayDate+2,FALSE),"Confirm - coming up","OK")))))))))))</f>
        <v>0</v>
      </c>
    </row>
    <row r="418" spans="1:34">
      <c r="A418" s="28">
        <f>IF(B418="","",AppointmentPrefix&amp;TEXT(ROW()-4,"0000"))</f>
        <v>0</v>
      </c>
      <c r="C418" s="15">
        <f>IF(B418="","",TEXT(B418,"ddd"))</f>
        <v>0</v>
      </c>
      <c r="F418" s="15">
        <f>IF(E418="","",IFERROR(INDEX(Clients!$B$5:$B$504,MATCH(E418,Clients!$A$5:$A$504,0)),"Walk-in"))</f>
        <v>0</v>
      </c>
      <c r="H418" s="15">
        <f>IF(G418="","",IFERROR(INDEX(Services!$B$5:$B$204,MATCH(G418,Services!$A$5:$A$204,0)),"Not in Services"))</f>
        <v>0</v>
      </c>
      <c r="J418" s="15">
        <f>IF(I418="","",IFERROR(INDEX(Staff!$B$5:$B$44,MATCH(I418,Staff!$A$5:$A$44,0)),"Unassigned"))</f>
        <v>0</v>
      </c>
      <c r="S418" s="15">
        <f>IF(B418="","",TEXT(B418,"yyyy-mm"))</f>
        <v>0</v>
      </c>
      <c r="T418" s="25">
        <f>IF(B418="","",WEEKNUM(B418,2))</f>
        <v>0</v>
      </c>
      <c r="U418" s="25">
        <f>IF(B418="","",IF(K418&lt;&gt;"",K418,IFERROR(INDEX(Services!$E$5:$E$204,MATCH(G418,Services!$A$5:$A$204,0))*1,0)+IFERROR(INDEX(Services!$F$5:$F$204,MATCH(G418,Services!$A$5:$A$204,0))*1,0)))</f>
        <v>0</v>
      </c>
      <c r="V418" s="36">
        <f>IF(B418="","",IF(D418="","",D418+U418/1440))</f>
        <v>0</v>
      </c>
      <c r="W418" s="25">
        <f>IF(B418="","",IF(D418="","",HOUR(D418)))</f>
        <v>0</v>
      </c>
      <c r="X418" s="37">
        <f>IF(B418="","",ROUND(U418/60,2))</f>
        <v>0</v>
      </c>
      <c r="Y418" s="26">
        <f>IF(B418="","",IF(L418&lt;&gt;"",L418,IFERROR(INDEX(Services!$G$5:$G$204,MATCH(G418,Services!$A$5:$A$204,0))*1,0)))</f>
        <v>0</v>
      </c>
      <c r="Z418" s="26">
        <f>IF(B418="","",IF(O418&lt;&gt;"",O418,IF(Y418&gt;=DepositThreshold,ROUND(Y418*DepositPercent,2),0)))</f>
        <v>0</v>
      </c>
      <c r="AA418" s="26">
        <f>IF(B418="","",ROUND(SUMIFS(Payments!$G$5:$G$1204,Payments!$I$5:$I$1204,A418,Payments!$E$5:$E$1204,"Deposit"),2))</f>
        <v>0</v>
      </c>
      <c r="AB418" s="26">
        <f>IF(B418="","",ROUND(SUMIFS(Sales!$Y$5:$Y$1204,Sales!$C$5:$C$1204,A418),2))</f>
        <v>0</v>
      </c>
      <c r="AC418" s="38">
        <f>IF(B418="","",IF(M418="Completed","Yes",IF(M418="Cancelled","Yes",IF(M418="No show","Yes","No"))))</f>
        <v>0</v>
      </c>
      <c r="AD418" s="25">
        <f>IF(B418="","",IF(AE418="","",B418-AE418))</f>
        <v>0</v>
      </c>
      <c r="AF418" s="38">
        <f>IF(B418="","",IF(M418&lt;&gt;"Completed","",IF(E418="","No",IF(COUNTIFS(Appointments!$E$5:$E$1204,E418,Appointments!$B$5:$B$1204,"&gt;"&amp;B418,Appointments!$M$5:$M$1204,"&lt;&gt;Cancelled")&gt;0,"Yes","No"))))</f>
        <v>0</v>
      </c>
      <c r="AG418" s="38">
        <f>IF(B418="","",IF(I418="","",IF(D418="","",IF(COUNTIFS($I$5:$I$1204,I418,$B$5:$B$1204,B418,$D$5:$D$1204,"&lt;"&amp;V418,$V$5:$V$1204,"&gt;"&amp;D418,$M$5:$M$1204,"&lt;&gt;Cancelled")&gt;1,"Clash",""))))</f>
        <v>0</v>
      </c>
      <c r="AH418" s="39">
        <f>IF(B418="","",IF(AG418="Clash","Clash - stylist double booked",IF(I418="","Assign - no stylist yet",IF(G418="","Add - no service chosen",IF(M418="No show","No show - charge the fee?",IF(M418="Cancelled","",IF(IF(M418="Completed",AB418&lt;Y418-0.004,FALSE),"Unpaid - nothing rung up for this visit",IF(IF(B418&lt;TodayDate,M418="Booked",FALSE),"Overdue - past date, still only Booked",IF(IF(B418=TodayDate,TRUE,FALSE),"Today",IF(IF(Z418&gt;0,AA418&lt;Z418-0.004,FALSE),"Due - deposit not taken",IF(IF(B418&gt;TodayDate,B418&lt;=TodayDate+2,FALSE),"Confirm - coming up","OK")))))))))))</f>
        <v>0</v>
      </c>
    </row>
    <row r="419" spans="1:34">
      <c r="A419" s="28">
        <f>IF(B419="","",AppointmentPrefix&amp;TEXT(ROW()-4,"0000"))</f>
        <v>0</v>
      </c>
      <c r="C419" s="15">
        <f>IF(B419="","",TEXT(B419,"ddd"))</f>
        <v>0</v>
      </c>
      <c r="F419" s="15">
        <f>IF(E419="","",IFERROR(INDEX(Clients!$B$5:$B$504,MATCH(E419,Clients!$A$5:$A$504,0)),"Walk-in"))</f>
        <v>0</v>
      </c>
      <c r="H419" s="15">
        <f>IF(G419="","",IFERROR(INDEX(Services!$B$5:$B$204,MATCH(G419,Services!$A$5:$A$204,0)),"Not in Services"))</f>
        <v>0</v>
      </c>
      <c r="J419" s="15">
        <f>IF(I419="","",IFERROR(INDEX(Staff!$B$5:$B$44,MATCH(I419,Staff!$A$5:$A$44,0)),"Unassigned"))</f>
        <v>0</v>
      </c>
      <c r="S419" s="15">
        <f>IF(B419="","",TEXT(B419,"yyyy-mm"))</f>
        <v>0</v>
      </c>
      <c r="T419" s="25">
        <f>IF(B419="","",WEEKNUM(B419,2))</f>
        <v>0</v>
      </c>
      <c r="U419" s="25">
        <f>IF(B419="","",IF(K419&lt;&gt;"",K419,IFERROR(INDEX(Services!$E$5:$E$204,MATCH(G419,Services!$A$5:$A$204,0))*1,0)+IFERROR(INDEX(Services!$F$5:$F$204,MATCH(G419,Services!$A$5:$A$204,0))*1,0)))</f>
        <v>0</v>
      </c>
      <c r="V419" s="36">
        <f>IF(B419="","",IF(D419="","",D419+U419/1440))</f>
        <v>0</v>
      </c>
      <c r="W419" s="25">
        <f>IF(B419="","",IF(D419="","",HOUR(D419)))</f>
        <v>0</v>
      </c>
      <c r="X419" s="37">
        <f>IF(B419="","",ROUND(U419/60,2))</f>
        <v>0</v>
      </c>
      <c r="Y419" s="26">
        <f>IF(B419="","",IF(L419&lt;&gt;"",L419,IFERROR(INDEX(Services!$G$5:$G$204,MATCH(G419,Services!$A$5:$A$204,0))*1,0)))</f>
        <v>0</v>
      </c>
      <c r="Z419" s="26">
        <f>IF(B419="","",IF(O419&lt;&gt;"",O419,IF(Y419&gt;=DepositThreshold,ROUND(Y419*DepositPercent,2),0)))</f>
        <v>0</v>
      </c>
      <c r="AA419" s="26">
        <f>IF(B419="","",ROUND(SUMIFS(Payments!$G$5:$G$1204,Payments!$I$5:$I$1204,A419,Payments!$E$5:$E$1204,"Deposit"),2))</f>
        <v>0</v>
      </c>
      <c r="AB419" s="26">
        <f>IF(B419="","",ROUND(SUMIFS(Sales!$Y$5:$Y$1204,Sales!$C$5:$C$1204,A419),2))</f>
        <v>0</v>
      </c>
      <c r="AC419" s="38">
        <f>IF(B419="","",IF(M419="Completed","Yes",IF(M419="Cancelled","Yes",IF(M419="No show","Yes","No"))))</f>
        <v>0</v>
      </c>
      <c r="AD419" s="25">
        <f>IF(B419="","",IF(AE419="","",B419-AE419))</f>
        <v>0</v>
      </c>
      <c r="AF419" s="38">
        <f>IF(B419="","",IF(M419&lt;&gt;"Completed","",IF(E419="","No",IF(COUNTIFS(Appointments!$E$5:$E$1204,E419,Appointments!$B$5:$B$1204,"&gt;"&amp;B419,Appointments!$M$5:$M$1204,"&lt;&gt;Cancelled")&gt;0,"Yes","No"))))</f>
        <v>0</v>
      </c>
      <c r="AG419" s="38">
        <f>IF(B419="","",IF(I419="","",IF(D419="","",IF(COUNTIFS($I$5:$I$1204,I419,$B$5:$B$1204,B419,$D$5:$D$1204,"&lt;"&amp;V419,$V$5:$V$1204,"&gt;"&amp;D419,$M$5:$M$1204,"&lt;&gt;Cancelled")&gt;1,"Clash",""))))</f>
        <v>0</v>
      </c>
      <c r="AH419" s="39">
        <f>IF(B419="","",IF(AG419="Clash","Clash - stylist double booked",IF(I419="","Assign - no stylist yet",IF(G419="","Add - no service chosen",IF(M419="No show","No show - charge the fee?",IF(M419="Cancelled","",IF(IF(M419="Completed",AB419&lt;Y419-0.004,FALSE),"Unpaid - nothing rung up for this visit",IF(IF(B419&lt;TodayDate,M419="Booked",FALSE),"Overdue - past date, still only Booked",IF(IF(B419=TodayDate,TRUE,FALSE),"Today",IF(IF(Z419&gt;0,AA419&lt;Z419-0.004,FALSE),"Due - deposit not taken",IF(IF(B419&gt;TodayDate,B419&lt;=TodayDate+2,FALSE),"Confirm - coming up","OK")))))))))))</f>
        <v>0</v>
      </c>
    </row>
    <row r="420" spans="1:34">
      <c r="A420" s="28">
        <f>IF(B420="","",AppointmentPrefix&amp;TEXT(ROW()-4,"0000"))</f>
        <v>0</v>
      </c>
      <c r="C420" s="15">
        <f>IF(B420="","",TEXT(B420,"ddd"))</f>
        <v>0</v>
      </c>
      <c r="F420" s="15">
        <f>IF(E420="","",IFERROR(INDEX(Clients!$B$5:$B$504,MATCH(E420,Clients!$A$5:$A$504,0)),"Walk-in"))</f>
        <v>0</v>
      </c>
      <c r="H420" s="15">
        <f>IF(G420="","",IFERROR(INDEX(Services!$B$5:$B$204,MATCH(G420,Services!$A$5:$A$204,0)),"Not in Services"))</f>
        <v>0</v>
      </c>
      <c r="J420" s="15">
        <f>IF(I420="","",IFERROR(INDEX(Staff!$B$5:$B$44,MATCH(I420,Staff!$A$5:$A$44,0)),"Unassigned"))</f>
        <v>0</v>
      </c>
      <c r="S420" s="15">
        <f>IF(B420="","",TEXT(B420,"yyyy-mm"))</f>
        <v>0</v>
      </c>
      <c r="T420" s="25">
        <f>IF(B420="","",WEEKNUM(B420,2))</f>
        <v>0</v>
      </c>
      <c r="U420" s="25">
        <f>IF(B420="","",IF(K420&lt;&gt;"",K420,IFERROR(INDEX(Services!$E$5:$E$204,MATCH(G420,Services!$A$5:$A$204,0))*1,0)+IFERROR(INDEX(Services!$F$5:$F$204,MATCH(G420,Services!$A$5:$A$204,0))*1,0)))</f>
        <v>0</v>
      </c>
      <c r="V420" s="36">
        <f>IF(B420="","",IF(D420="","",D420+U420/1440))</f>
        <v>0</v>
      </c>
      <c r="W420" s="25">
        <f>IF(B420="","",IF(D420="","",HOUR(D420)))</f>
        <v>0</v>
      </c>
      <c r="X420" s="37">
        <f>IF(B420="","",ROUND(U420/60,2))</f>
        <v>0</v>
      </c>
      <c r="Y420" s="26">
        <f>IF(B420="","",IF(L420&lt;&gt;"",L420,IFERROR(INDEX(Services!$G$5:$G$204,MATCH(G420,Services!$A$5:$A$204,0))*1,0)))</f>
        <v>0</v>
      </c>
      <c r="Z420" s="26">
        <f>IF(B420="","",IF(O420&lt;&gt;"",O420,IF(Y420&gt;=DepositThreshold,ROUND(Y420*DepositPercent,2),0)))</f>
        <v>0</v>
      </c>
      <c r="AA420" s="26">
        <f>IF(B420="","",ROUND(SUMIFS(Payments!$G$5:$G$1204,Payments!$I$5:$I$1204,A420,Payments!$E$5:$E$1204,"Deposit"),2))</f>
        <v>0</v>
      </c>
      <c r="AB420" s="26">
        <f>IF(B420="","",ROUND(SUMIFS(Sales!$Y$5:$Y$1204,Sales!$C$5:$C$1204,A420),2))</f>
        <v>0</v>
      </c>
      <c r="AC420" s="38">
        <f>IF(B420="","",IF(M420="Completed","Yes",IF(M420="Cancelled","Yes",IF(M420="No show","Yes","No"))))</f>
        <v>0</v>
      </c>
      <c r="AD420" s="25">
        <f>IF(B420="","",IF(AE420="","",B420-AE420))</f>
        <v>0</v>
      </c>
      <c r="AF420" s="38">
        <f>IF(B420="","",IF(M420&lt;&gt;"Completed","",IF(E420="","No",IF(COUNTIFS(Appointments!$E$5:$E$1204,E420,Appointments!$B$5:$B$1204,"&gt;"&amp;B420,Appointments!$M$5:$M$1204,"&lt;&gt;Cancelled")&gt;0,"Yes","No"))))</f>
        <v>0</v>
      </c>
      <c r="AG420" s="38">
        <f>IF(B420="","",IF(I420="","",IF(D420="","",IF(COUNTIFS($I$5:$I$1204,I420,$B$5:$B$1204,B420,$D$5:$D$1204,"&lt;"&amp;V420,$V$5:$V$1204,"&gt;"&amp;D420,$M$5:$M$1204,"&lt;&gt;Cancelled")&gt;1,"Clash",""))))</f>
        <v>0</v>
      </c>
      <c r="AH420" s="39">
        <f>IF(B420="","",IF(AG420="Clash","Clash - stylist double booked",IF(I420="","Assign - no stylist yet",IF(G420="","Add - no service chosen",IF(M420="No show","No show - charge the fee?",IF(M420="Cancelled","",IF(IF(M420="Completed",AB420&lt;Y420-0.004,FALSE),"Unpaid - nothing rung up for this visit",IF(IF(B420&lt;TodayDate,M420="Booked",FALSE),"Overdue - past date, still only Booked",IF(IF(B420=TodayDate,TRUE,FALSE),"Today",IF(IF(Z420&gt;0,AA420&lt;Z420-0.004,FALSE),"Due - deposit not taken",IF(IF(B420&gt;TodayDate,B420&lt;=TodayDate+2,FALSE),"Confirm - coming up","OK")))))))))))</f>
        <v>0</v>
      </c>
    </row>
    <row r="421" spans="1:34">
      <c r="A421" s="28">
        <f>IF(B421="","",AppointmentPrefix&amp;TEXT(ROW()-4,"0000"))</f>
        <v>0</v>
      </c>
      <c r="C421" s="15">
        <f>IF(B421="","",TEXT(B421,"ddd"))</f>
        <v>0</v>
      </c>
      <c r="F421" s="15">
        <f>IF(E421="","",IFERROR(INDEX(Clients!$B$5:$B$504,MATCH(E421,Clients!$A$5:$A$504,0)),"Walk-in"))</f>
        <v>0</v>
      </c>
      <c r="H421" s="15">
        <f>IF(G421="","",IFERROR(INDEX(Services!$B$5:$B$204,MATCH(G421,Services!$A$5:$A$204,0)),"Not in Services"))</f>
        <v>0</v>
      </c>
      <c r="J421" s="15">
        <f>IF(I421="","",IFERROR(INDEX(Staff!$B$5:$B$44,MATCH(I421,Staff!$A$5:$A$44,0)),"Unassigned"))</f>
        <v>0</v>
      </c>
      <c r="S421" s="15">
        <f>IF(B421="","",TEXT(B421,"yyyy-mm"))</f>
        <v>0</v>
      </c>
      <c r="T421" s="25">
        <f>IF(B421="","",WEEKNUM(B421,2))</f>
        <v>0</v>
      </c>
      <c r="U421" s="25">
        <f>IF(B421="","",IF(K421&lt;&gt;"",K421,IFERROR(INDEX(Services!$E$5:$E$204,MATCH(G421,Services!$A$5:$A$204,0))*1,0)+IFERROR(INDEX(Services!$F$5:$F$204,MATCH(G421,Services!$A$5:$A$204,0))*1,0)))</f>
        <v>0</v>
      </c>
      <c r="V421" s="36">
        <f>IF(B421="","",IF(D421="","",D421+U421/1440))</f>
        <v>0</v>
      </c>
      <c r="W421" s="25">
        <f>IF(B421="","",IF(D421="","",HOUR(D421)))</f>
        <v>0</v>
      </c>
      <c r="X421" s="37">
        <f>IF(B421="","",ROUND(U421/60,2))</f>
        <v>0</v>
      </c>
      <c r="Y421" s="26">
        <f>IF(B421="","",IF(L421&lt;&gt;"",L421,IFERROR(INDEX(Services!$G$5:$G$204,MATCH(G421,Services!$A$5:$A$204,0))*1,0)))</f>
        <v>0</v>
      </c>
      <c r="Z421" s="26">
        <f>IF(B421="","",IF(O421&lt;&gt;"",O421,IF(Y421&gt;=DepositThreshold,ROUND(Y421*DepositPercent,2),0)))</f>
        <v>0</v>
      </c>
      <c r="AA421" s="26">
        <f>IF(B421="","",ROUND(SUMIFS(Payments!$G$5:$G$1204,Payments!$I$5:$I$1204,A421,Payments!$E$5:$E$1204,"Deposit"),2))</f>
        <v>0</v>
      </c>
      <c r="AB421" s="26">
        <f>IF(B421="","",ROUND(SUMIFS(Sales!$Y$5:$Y$1204,Sales!$C$5:$C$1204,A421),2))</f>
        <v>0</v>
      </c>
      <c r="AC421" s="38">
        <f>IF(B421="","",IF(M421="Completed","Yes",IF(M421="Cancelled","Yes",IF(M421="No show","Yes","No"))))</f>
        <v>0</v>
      </c>
      <c r="AD421" s="25">
        <f>IF(B421="","",IF(AE421="","",B421-AE421))</f>
        <v>0</v>
      </c>
      <c r="AF421" s="38">
        <f>IF(B421="","",IF(M421&lt;&gt;"Completed","",IF(E421="","No",IF(COUNTIFS(Appointments!$E$5:$E$1204,E421,Appointments!$B$5:$B$1204,"&gt;"&amp;B421,Appointments!$M$5:$M$1204,"&lt;&gt;Cancelled")&gt;0,"Yes","No"))))</f>
        <v>0</v>
      </c>
      <c r="AG421" s="38">
        <f>IF(B421="","",IF(I421="","",IF(D421="","",IF(COUNTIFS($I$5:$I$1204,I421,$B$5:$B$1204,B421,$D$5:$D$1204,"&lt;"&amp;V421,$V$5:$V$1204,"&gt;"&amp;D421,$M$5:$M$1204,"&lt;&gt;Cancelled")&gt;1,"Clash",""))))</f>
        <v>0</v>
      </c>
      <c r="AH421" s="39">
        <f>IF(B421="","",IF(AG421="Clash","Clash - stylist double booked",IF(I421="","Assign - no stylist yet",IF(G421="","Add - no service chosen",IF(M421="No show","No show - charge the fee?",IF(M421="Cancelled","",IF(IF(M421="Completed",AB421&lt;Y421-0.004,FALSE),"Unpaid - nothing rung up for this visit",IF(IF(B421&lt;TodayDate,M421="Booked",FALSE),"Overdue - past date, still only Booked",IF(IF(B421=TodayDate,TRUE,FALSE),"Today",IF(IF(Z421&gt;0,AA421&lt;Z421-0.004,FALSE),"Due - deposit not taken",IF(IF(B421&gt;TodayDate,B421&lt;=TodayDate+2,FALSE),"Confirm - coming up","OK")))))))))))</f>
        <v>0</v>
      </c>
    </row>
    <row r="422" spans="1:34">
      <c r="A422" s="28">
        <f>IF(B422="","",AppointmentPrefix&amp;TEXT(ROW()-4,"0000"))</f>
        <v>0</v>
      </c>
      <c r="C422" s="15">
        <f>IF(B422="","",TEXT(B422,"ddd"))</f>
        <v>0</v>
      </c>
      <c r="F422" s="15">
        <f>IF(E422="","",IFERROR(INDEX(Clients!$B$5:$B$504,MATCH(E422,Clients!$A$5:$A$504,0)),"Walk-in"))</f>
        <v>0</v>
      </c>
      <c r="H422" s="15">
        <f>IF(G422="","",IFERROR(INDEX(Services!$B$5:$B$204,MATCH(G422,Services!$A$5:$A$204,0)),"Not in Services"))</f>
        <v>0</v>
      </c>
      <c r="J422" s="15">
        <f>IF(I422="","",IFERROR(INDEX(Staff!$B$5:$B$44,MATCH(I422,Staff!$A$5:$A$44,0)),"Unassigned"))</f>
        <v>0</v>
      </c>
      <c r="S422" s="15">
        <f>IF(B422="","",TEXT(B422,"yyyy-mm"))</f>
        <v>0</v>
      </c>
      <c r="T422" s="25">
        <f>IF(B422="","",WEEKNUM(B422,2))</f>
        <v>0</v>
      </c>
      <c r="U422" s="25">
        <f>IF(B422="","",IF(K422&lt;&gt;"",K422,IFERROR(INDEX(Services!$E$5:$E$204,MATCH(G422,Services!$A$5:$A$204,0))*1,0)+IFERROR(INDEX(Services!$F$5:$F$204,MATCH(G422,Services!$A$5:$A$204,0))*1,0)))</f>
        <v>0</v>
      </c>
      <c r="V422" s="36">
        <f>IF(B422="","",IF(D422="","",D422+U422/1440))</f>
        <v>0</v>
      </c>
      <c r="W422" s="25">
        <f>IF(B422="","",IF(D422="","",HOUR(D422)))</f>
        <v>0</v>
      </c>
      <c r="X422" s="37">
        <f>IF(B422="","",ROUND(U422/60,2))</f>
        <v>0</v>
      </c>
      <c r="Y422" s="26">
        <f>IF(B422="","",IF(L422&lt;&gt;"",L422,IFERROR(INDEX(Services!$G$5:$G$204,MATCH(G422,Services!$A$5:$A$204,0))*1,0)))</f>
        <v>0</v>
      </c>
      <c r="Z422" s="26">
        <f>IF(B422="","",IF(O422&lt;&gt;"",O422,IF(Y422&gt;=DepositThreshold,ROUND(Y422*DepositPercent,2),0)))</f>
        <v>0</v>
      </c>
      <c r="AA422" s="26">
        <f>IF(B422="","",ROUND(SUMIFS(Payments!$G$5:$G$1204,Payments!$I$5:$I$1204,A422,Payments!$E$5:$E$1204,"Deposit"),2))</f>
        <v>0</v>
      </c>
      <c r="AB422" s="26">
        <f>IF(B422="","",ROUND(SUMIFS(Sales!$Y$5:$Y$1204,Sales!$C$5:$C$1204,A422),2))</f>
        <v>0</v>
      </c>
      <c r="AC422" s="38">
        <f>IF(B422="","",IF(M422="Completed","Yes",IF(M422="Cancelled","Yes",IF(M422="No show","Yes","No"))))</f>
        <v>0</v>
      </c>
      <c r="AD422" s="25">
        <f>IF(B422="","",IF(AE422="","",B422-AE422))</f>
        <v>0</v>
      </c>
      <c r="AF422" s="38">
        <f>IF(B422="","",IF(M422&lt;&gt;"Completed","",IF(E422="","No",IF(COUNTIFS(Appointments!$E$5:$E$1204,E422,Appointments!$B$5:$B$1204,"&gt;"&amp;B422,Appointments!$M$5:$M$1204,"&lt;&gt;Cancelled")&gt;0,"Yes","No"))))</f>
        <v>0</v>
      </c>
      <c r="AG422" s="38">
        <f>IF(B422="","",IF(I422="","",IF(D422="","",IF(COUNTIFS($I$5:$I$1204,I422,$B$5:$B$1204,B422,$D$5:$D$1204,"&lt;"&amp;V422,$V$5:$V$1204,"&gt;"&amp;D422,$M$5:$M$1204,"&lt;&gt;Cancelled")&gt;1,"Clash",""))))</f>
        <v>0</v>
      </c>
      <c r="AH422" s="39">
        <f>IF(B422="","",IF(AG422="Clash","Clash - stylist double booked",IF(I422="","Assign - no stylist yet",IF(G422="","Add - no service chosen",IF(M422="No show","No show - charge the fee?",IF(M422="Cancelled","",IF(IF(M422="Completed",AB422&lt;Y422-0.004,FALSE),"Unpaid - nothing rung up for this visit",IF(IF(B422&lt;TodayDate,M422="Booked",FALSE),"Overdue - past date, still only Booked",IF(IF(B422=TodayDate,TRUE,FALSE),"Today",IF(IF(Z422&gt;0,AA422&lt;Z422-0.004,FALSE),"Due - deposit not taken",IF(IF(B422&gt;TodayDate,B422&lt;=TodayDate+2,FALSE),"Confirm - coming up","OK")))))))))))</f>
        <v>0</v>
      </c>
    </row>
    <row r="423" spans="1:34">
      <c r="A423" s="28">
        <f>IF(B423="","",AppointmentPrefix&amp;TEXT(ROW()-4,"0000"))</f>
        <v>0</v>
      </c>
      <c r="C423" s="15">
        <f>IF(B423="","",TEXT(B423,"ddd"))</f>
        <v>0</v>
      </c>
      <c r="F423" s="15">
        <f>IF(E423="","",IFERROR(INDEX(Clients!$B$5:$B$504,MATCH(E423,Clients!$A$5:$A$504,0)),"Walk-in"))</f>
        <v>0</v>
      </c>
      <c r="H423" s="15">
        <f>IF(G423="","",IFERROR(INDEX(Services!$B$5:$B$204,MATCH(G423,Services!$A$5:$A$204,0)),"Not in Services"))</f>
        <v>0</v>
      </c>
      <c r="J423" s="15">
        <f>IF(I423="","",IFERROR(INDEX(Staff!$B$5:$B$44,MATCH(I423,Staff!$A$5:$A$44,0)),"Unassigned"))</f>
        <v>0</v>
      </c>
      <c r="S423" s="15">
        <f>IF(B423="","",TEXT(B423,"yyyy-mm"))</f>
        <v>0</v>
      </c>
      <c r="T423" s="25">
        <f>IF(B423="","",WEEKNUM(B423,2))</f>
        <v>0</v>
      </c>
      <c r="U423" s="25">
        <f>IF(B423="","",IF(K423&lt;&gt;"",K423,IFERROR(INDEX(Services!$E$5:$E$204,MATCH(G423,Services!$A$5:$A$204,0))*1,0)+IFERROR(INDEX(Services!$F$5:$F$204,MATCH(G423,Services!$A$5:$A$204,0))*1,0)))</f>
        <v>0</v>
      </c>
      <c r="V423" s="36">
        <f>IF(B423="","",IF(D423="","",D423+U423/1440))</f>
        <v>0</v>
      </c>
      <c r="W423" s="25">
        <f>IF(B423="","",IF(D423="","",HOUR(D423)))</f>
        <v>0</v>
      </c>
      <c r="X423" s="37">
        <f>IF(B423="","",ROUND(U423/60,2))</f>
        <v>0</v>
      </c>
      <c r="Y423" s="26">
        <f>IF(B423="","",IF(L423&lt;&gt;"",L423,IFERROR(INDEX(Services!$G$5:$G$204,MATCH(G423,Services!$A$5:$A$204,0))*1,0)))</f>
        <v>0</v>
      </c>
      <c r="Z423" s="26">
        <f>IF(B423="","",IF(O423&lt;&gt;"",O423,IF(Y423&gt;=DepositThreshold,ROUND(Y423*DepositPercent,2),0)))</f>
        <v>0</v>
      </c>
      <c r="AA423" s="26">
        <f>IF(B423="","",ROUND(SUMIFS(Payments!$G$5:$G$1204,Payments!$I$5:$I$1204,A423,Payments!$E$5:$E$1204,"Deposit"),2))</f>
        <v>0</v>
      </c>
      <c r="AB423" s="26">
        <f>IF(B423="","",ROUND(SUMIFS(Sales!$Y$5:$Y$1204,Sales!$C$5:$C$1204,A423),2))</f>
        <v>0</v>
      </c>
      <c r="AC423" s="38">
        <f>IF(B423="","",IF(M423="Completed","Yes",IF(M423="Cancelled","Yes",IF(M423="No show","Yes","No"))))</f>
        <v>0</v>
      </c>
      <c r="AD423" s="25">
        <f>IF(B423="","",IF(AE423="","",B423-AE423))</f>
        <v>0</v>
      </c>
      <c r="AF423" s="38">
        <f>IF(B423="","",IF(M423&lt;&gt;"Completed","",IF(E423="","No",IF(COUNTIFS(Appointments!$E$5:$E$1204,E423,Appointments!$B$5:$B$1204,"&gt;"&amp;B423,Appointments!$M$5:$M$1204,"&lt;&gt;Cancelled")&gt;0,"Yes","No"))))</f>
        <v>0</v>
      </c>
      <c r="AG423" s="38">
        <f>IF(B423="","",IF(I423="","",IF(D423="","",IF(COUNTIFS($I$5:$I$1204,I423,$B$5:$B$1204,B423,$D$5:$D$1204,"&lt;"&amp;V423,$V$5:$V$1204,"&gt;"&amp;D423,$M$5:$M$1204,"&lt;&gt;Cancelled")&gt;1,"Clash",""))))</f>
        <v>0</v>
      </c>
      <c r="AH423" s="39">
        <f>IF(B423="","",IF(AG423="Clash","Clash - stylist double booked",IF(I423="","Assign - no stylist yet",IF(G423="","Add - no service chosen",IF(M423="No show","No show - charge the fee?",IF(M423="Cancelled","",IF(IF(M423="Completed",AB423&lt;Y423-0.004,FALSE),"Unpaid - nothing rung up for this visit",IF(IF(B423&lt;TodayDate,M423="Booked",FALSE),"Overdue - past date, still only Booked",IF(IF(B423=TodayDate,TRUE,FALSE),"Today",IF(IF(Z423&gt;0,AA423&lt;Z423-0.004,FALSE),"Due - deposit not taken",IF(IF(B423&gt;TodayDate,B423&lt;=TodayDate+2,FALSE),"Confirm - coming up","OK")))))))))))</f>
        <v>0</v>
      </c>
    </row>
    <row r="424" spans="1:34">
      <c r="A424" s="28">
        <f>IF(B424="","",AppointmentPrefix&amp;TEXT(ROW()-4,"0000"))</f>
        <v>0</v>
      </c>
      <c r="C424" s="15">
        <f>IF(B424="","",TEXT(B424,"ddd"))</f>
        <v>0</v>
      </c>
      <c r="F424" s="15">
        <f>IF(E424="","",IFERROR(INDEX(Clients!$B$5:$B$504,MATCH(E424,Clients!$A$5:$A$504,0)),"Walk-in"))</f>
        <v>0</v>
      </c>
      <c r="H424" s="15">
        <f>IF(G424="","",IFERROR(INDEX(Services!$B$5:$B$204,MATCH(G424,Services!$A$5:$A$204,0)),"Not in Services"))</f>
        <v>0</v>
      </c>
      <c r="J424" s="15">
        <f>IF(I424="","",IFERROR(INDEX(Staff!$B$5:$B$44,MATCH(I424,Staff!$A$5:$A$44,0)),"Unassigned"))</f>
        <v>0</v>
      </c>
      <c r="S424" s="15">
        <f>IF(B424="","",TEXT(B424,"yyyy-mm"))</f>
        <v>0</v>
      </c>
      <c r="T424" s="25">
        <f>IF(B424="","",WEEKNUM(B424,2))</f>
        <v>0</v>
      </c>
      <c r="U424" s="25">
        <f>IF(B424="","",IF(K424&lt;&gt;"",K424,IFERROR(INDEX(Services!$E$5:$E$204,MATCH(G424,Services!$A$5:$A$204,0))*1,0)+IFERROR(INDEX(Services!$F$5:$F$204,MATCH(G424,Services!$A$5:$A$204,0))*1,0)))</f>
        <v>0</v>
      </c>
      <c r="V424" s="36">
        <f>IF(B424="","",IF(D424="","",D424+U424/1440))</f>
        <v>0</v>
      </c>
      <c r="W424" s="25">
        <f>IF(B424="","",IF(D424="","",HOUR(D424)))</f>
        <v>0</v>
      </c>
      <c r="X424" s="37">
        <f>IF(B424="","",ROUND(U424/60,2))</f>
        <v>0</v>
      </c>
      <c r="Y424" s="26">
        <f>IF(B424="","",IF(L424&lt;&gt;"",L424,IFERROR(INDEX(Services!$G$5:$G$204,MATCH(G424,Services!$A$5:$A$204,0))*1,0)))</f>
        <v>0</v>
      </c>
      <c r="Z424" s="26">
        <f>IF(B424="","",IF(O424&lt;&gt;"",O424,IF(Y424&gt;=DepositThreshold,ROUND(Y424*DepositPercent,2),0)))</f>
        <v>0</v>
      </c>
      <c r="AA424" s="26">
        <f>IF(B424="","",ROUND(SUMIFS(Payments!$G$5:$G$1204,Payments!$I$5:$I$1204,A424,Payments!$E$5:$E$1204,"Deposit"),2))</f>
        <v>0</v>
      </c>
      <c r="AB424" s="26">
        <f>IF(B424="","",ROUND(SUMIFS(Sales!$Y$5:$Y$1204,Sales!$C$5:$C$1204,A424),2))</f>
        <v>0</v>
      </c>
      <c r="AC424" s="38">
        <f>IF(B424="","",IF(M424="Completed","Yes",IF(M424="Cancelled","Yes",IF(M424="No show","Yes","No"))))</f>
        <v>0</v>
      </c>
      <c r="AD424" s="25">
        <f>IF(B424="","",IF(AE424="","",B424-AE424))</f>
        <v>0</v>
      </c>
      <c r="AF424" s="38">
        <f>IF(B424="","",IF(M424&lt;&gt;"Completed","",IF(E424="","No",IF(COUNTIFS(Appointments!$E$5:$E$1204,E424,Appointments!$B$5:$B$1204,"&gt;"&amp;B424,Appointments!$M$5:$M$1204,"&lt;&gt;Cancelled")&gt;0,"Yes","No"))))</f>
        <v>0</v>
      </c>
      <c r="AG424" s="38">
        <f>IF(B424="","",IF(I424="","",IF(D424="","",IF(COUNTIFS($I$5:$I$1204,I424,$B$5:$B$1204,B424,$D$5:$D$1204,"&lt;"&amp;V424,$V$5:$V$1204,"&gt;"&amp;D424,$M$5:$M$1204,"&lt;&gt;Cancelled")&gt;1,"Clash",""))))</f>
        <v>0</v>
      </c>
      <c r="AH424" s="39">
        <f>IF(B424="","",IF(AG424="Clash","Clash - stylist double booked",IF(I424="","Assign - no stylist yet",IF(G424="","Add - no service chosen",IF(M424="No show","No show - charge the fee?",IF(M424="Cancelled","",IF(IF(M424="Completed",AB424&lt;Y424-0.004,FALSE),"Unpaid - nothing rung up for this visit",IF(IF(B424&lt;TodayDate,M424="Booked",FALSE),"Overdue - past date, still only Booked",IF(IF(B424=TodayDate,TRUE,FALSE),"Today",IF(IF(Z424&gt;0,AA424&lt;Z424-0.004,FALSE),"Due - deposit not taken",IF(IF(B424&gt;TodayDate,B424&lt;=TodayDate+2,FALSE),"Confirm - coming up","OK")))))))))))</f>
        <v>0</v>
      </c>
    </row>
    <row r="425" spans="1:34">
      <c r="A425" s="28">
        <f>IF(B425="","",AppointmentPrefix&amp;TEXT(ROW()-4,"0000"))</f>
        <v>0</v>
      </c>
      <c r="C425" s="15">
        <f>IF(B425="","",TEXT(B425,"ddd"))</f>
        <v>0</v>
      </c>
      <c r="F425" s="15">
        <f>IF(E425="","",IFERROR(INDEX(Clients!$B$5:$B$504,MATCH(E425,Clients!$A$5:$A$504,0)),"Walk-in"))</f>
        <v>0</v>
      </c>
      <c r="H425" s="15">
        <f>IF(G425="","",IFERROR(INDEX(Services!$B$5:$B$204,MATCH(G425,Services!$A$5:$A$204,0)),"Not in Services"))</f>
        <v>0</v>
      </c>
      <c r="J425" s="15">
        <f>IF(I425="","",IFERROR(INDEX(Staff!$B$5:$B$44,MATCH(I425,Staff!$A$5:$A$44,0)),"Unassigned"))</f>
        <v>0</v>
      </c>
      <c r="S425" s="15">
        <f>IF(B425="","",TEXT(B425,"yyyy-mm"))</f>
        <v>0</v>
      </c>
      <c r="T425" s="25">
        <f>IF(B425="","",WEEKNUM(B425,2))</f>
        <v>0</v>
      </c>
      <c r="U425" s="25">
        <f>IF(B425="","",IF(K425&lt;&gt;"",K425,IFERROR(INDEX(Services!$E$5:$E$204,MATCH(G425,Services!$A$5:$A$204,0))*1,0)+IFERROR(INDEX(Services!$F$5:$F$204,MATCH(G425,Services!$A$5:$A$204,0))*1,0)))</f>
        <v>0</v>
      </c>
      <c r="V425" s="36">
        <f>IF(B425="","",IF(D425="","",D425+U425/1440))</f>
        <v>0</v>
      </c>
      <c r="W425" s="25">
        <f>IF(B425="","",IF(D425="","",HOUR(D425)))</f>
        <v>0</v>
      </c>
      <c r="X425" s="37">
        <f>IF(B425="","",ROUND(U425/60,2))</f>
        <v>0</v>
      </c>
      <c r="Y425" s="26">
        <f>IF(B425="","",IF(L425&lt;&gt;"",L425,IFERROR(INDEX(Services!$G$5:$G$204,MATCH(G425,Services!$A$5:$A$204,0))*1,0)))</f>
        <v>0</v>
      </c>
      <c r="Z425" s="26">
        <f>IF(B425="","",IF(O425&lt;&gt;"",O425,IF(Y425&gt;=DepositThreshold,ROUND(Y425*DepositPercent,2),0)))</f>
        <v>0</v>
      </c>
      <c r="AA425" s="26">
        <f>IF(B425="","",ROUND(SUMIFS(Payments!$G$5:$G$1204,Payments!$I$5:$I$1204,A425,Payments!$E$5:$E$1204,"Deposit"),2))</f>
        <v>0</v>
      </c>
      <c r="AB425" s="26">
        <f>IF(B425="","",ROUND(SUMIFS(Sales!$Y$5:$Y$1204,Sales!$C$5:$C$1204,A425),2))</f>
        <v>0</v>
      </c>
      <c r="AC425" s="38">
        <f>IF(B425="","",IF(M425="Completed","Yes",IF(M425="Cancelled","Yes",IF(M425="No show","Yes","No"))))</f>
        <v>0</v>
      </c>
      <c r="AD425" s="25">
        <f>IF(B425="","",IF(AE425="","",B425-AE425))</f>
        <v>0</v>
      </c>
      <c r="AF425" s="38">
        <f>IF(B425="","",IF(M425&lt;&gt;"Completed","",IF(E425="","No",IF(COUNTIFS(Appointments!$E$5:$E$1204,E425,Appointments!$B$5:$B$1204,"&gt;"&amp;B425,Appointments!$M$5:$M$1204,"&lt;&gt;Cancelled")&gt;0,"Yes","No"))))</f>
        <v>0</v>
      </c>
      <c r="AG425" s="38">
        <f>IF(B425="","",IF(I425="","",IF(D425="","",IF(COUNTIFS($I$5:$I$1204,I425,$B$5:$B$1204,B425,$D$5:$D$1204,"&lt;"&amp;V425,$V$5:$V$1204,"&gt;"&amp;D425,$M$5:$M$1204,"&lt;&gt;Cancelled")&gt;1,"Clash",""))))</f>
        <v>0</v>
      </c>
      <c r="AH425" s="39">
        <f>IF(B425="","",IF(AG425="Clash","Clash - stylist double booked",IF(I425="","Assign - no stylist yet",IF(G425="","Add - no service chosen",IF(M425="No show","No show - charge the fee?",IF(M425="Cancelled","",IF(IF(M425="Completed",AB425&lt;Y425-0.004,FALSE),"Unpaid - nothing rung up for this visit",IF(IF(B425&lt;TodayDate,M425="Booked",FALSE),"Overdue - past date, still only Booked",IF(IF(B425=TodayDate,TRUE,FALSE),"Today",IF(IF(Z425&gt;0,AA425&lt;Z425-0.004,FALSE),"Due - deposit not taken",IF(IF(B425&gt;TodayDate,B425&lt;=TodayDate+2,FALSE),"Confirm - coming up","OK")))))))))))</f>
        <v>0</v>
      </c>
    </row>
    <row r="426" spans="1:34">
      <c r="A426" s="28">
        <f>IF(B426="","",AppointmentPrefix&amp;TEXT(ROW()-4,"0000"))</f>
        <v>0</v>
      </c>
      <c r="C426" s="15">
        <f>IF(B426="","",TEXT(B426,"ddd"))</f>
        <v>0</v>
      </c>
      <c r="F426" s="15">
        <f>IF(E426="","",IFERROR(INDEX(Clients!$B$5:$B$504,MATCH(E426,Clients!$A$5:$A$504,0)),"Walk-in"))</f>
        <v>0</v>
      </c>
      <c r="H426" s="15">
        <f>IF(G426="","",IFERROR(INDEX(Services!$B$5:$B$204,MATCH(G426,Services!$A$5:$A$204,0)),"Not in Services"))</f>
        <v>0</v>
      </c>
      <c r="J426" s="15">
        <f>IF(I426="","",IFERROR(INDEX(Staff!$B$5:$B$44,MATCH(I426,Staff!$A$5:$A$44,0)),"Unassigned"))</f>
        <v>0</v>
      </c>
      <c r="S426" s="15">
        <f>IF(B426="","",TEXT(B426,"yyyy-mm"))</f>
        <v>0</v>
      </c>
      <c r="T426" s="25">
        <f>IF(B426="","",WEEKNUM(B426,2))</f>
        <v>0</v>
      </c>
      <c r="U426" s="25">
        <f>IF(B426="","",IF(K426&lt;&gt;"",K426,IFERROR(INDEX(Services!$E$5:$E$204,MATCH(G426,Services!$A$5:$A$204,0))*1,0)+IFERROR(INDEX(Services!$F$5:$F$204,MATCH(G426,Services!$A$5:$A$204,0))*1,0)))</f>
        <v>0</v>
      </c>
      <c r="V426" s="36">
        <f>IF(B426="","",IF(D426="","",D426+U426/1440))</f>
        <v>0</v>
      </c>
      <c r="W426" s="25">
        <f>IF(B426="","",IF(D426="","",HOUR(D426)))</f>
        <v>0</v>
      </c>
      <c r="X426" s="37">
        <f>IF(B426="","",ROUND(U426/60,2))</f>
        <v>0</v>
      </c>
      <c r="Y426" s="26">
        <f>IF(B426="","",IF(L426&lt;&gt;"",L426,IFERROR(INDEX(Services!$G$5:$G$204,MATCH(G426,Services!$A$5:$A$204,0))*1,0)))</f>
        <v>0</v>
      </c>
      <c r="Z426" s="26">
        <f>IF(B426="","",IF(O426&lt;&gt;"",O426,IF(Y426&gt;=DepositThreshold,ROUND(Y426*DepositPercent,2),0)))</f>
        <v>0</v>
      </c>
      <c r="AA426" s="26">
        <f>IF(B426="","",ROUND(SUMIFS(Payments!$G$5:$G$1204,Payments!$I$5:$I$1204,A426,Payments!$E$5:$E$1204,"Deposit"),2))</f>
        <v>0</v>
      </c>
      <c r="AB426" s="26">
        <f>IF(B426="","",ROUND(SUMIFS(Sales!$Y$5:$Y$1204,Sales!$C$5:$C$1204,A426),2))</f>
        <v>0</v>
      </c>
      <c r="AC426" s="38">
        <f>IF(B426="","",IF(M426="Completed","Yes",IF(M426="Cancelled","Yes",IF(M426="No show","Yes","No"))))</f>
        <v>0</v>
      </c>
      <c r="AD426" s="25">
        <f>IF(B426="","",IF(AE426="","",B426-AE426))</f>
        <v>0</v>
      </c>
      <c r="AF426" s="38">
        <f>IF(B426="","",IF(M426&lt;&gt;"Completed","",IF(E426="","No",IF(COUNTIFS(Appointments!$E$5:$E$1204,E426,Appointments!$B$5:$B$1204,"&gt;"&amp;B426,Appointments!$M$5:$M$1204,"&lt;&gt;Cancelled")&gt;0,"Yes","No"))))</f>
        <v>0</v>
      </c>
      <c r="AG426" s="38">
        <f>IF(B426="","",IF(I426="","",IF(D426="","",IF(COUNTIFS($I$5:$I$1204,I426,$B$5:$B$1204,B426,$D$5:$D$1204,"&lt;"&amp;V426,$V$5:$V$1204,"&gt;"&amp;D426,$M$5:$M$1204,"&lt;&gt;Cancelled")&gt;1,"Clash",""))))</f>
        <v>0</v>
      </c>
      <c r="AH426" s="39">
        <f>IF(B426="","",IF(AG426="Clash","Clash - stylist double booked",IF(I426="","Assign - no stylist yet",IF(G426="","Add - no service chosen",IF(M426="No show","No show - charge the fee?",IF(M426="Cancelled","",IF(IF(M426="Completed",AB426&lt;Y426-0.004,FALSE),"Unpaid - nothing rung up for this visit",IF(IF(B426&lt;TodayDate,M426="Booked",FALSE),"Overdue - past date, still only Booked",IF(IF(B426=TodayDate,TRUE,FALSE),"Today",IF(IF(Z426&gt;0,AA426&lt;Z426-0.004,FALSE),"Due - deposit not taken",IF(IF(B426&gt;TodayDate,B426&lt;=TodayDate+2,FALSE),"Confirm - coming up","OK")))))))))))</f>
        <v>0</v>
      </c>
    </row>
    <row r="427" spans="1:34">
      <c r="A427" s="28">
        <f>IF(B427="","",AppointmentPrefix&amp;TEXT(ROW()-4,"0000"))</f>
        <v>0</v>
      </c>
      <c r="C427" s="15">
        <f>IF(B427="","",TEXT(B427,"ddd"))</f>
        <v>0</v>
      </c>
      <c r="F427" s="15">
        <f>IF(E427="","",IFERROR(INDEX(Clients!$B$5:$B$504,MATCH(E427,Clients!$A$5:$A$504,0)),"Walk-in"))</f>
        <v>0</v>
      </c>
      <c r="H427" s="15">
        <f>IF(G427="","",IFERROR(INDEX(Services!$B$5:$B$204,MATCH(G427,Services!$A$5:$A$204,0)),"Not in Services"))</f>
        <v>0</v>
      </c>
      <c r="J427" s="15">
        <f>IF(I427="","",IFERROR(INDEX(Staff!$B$5:$B$44,MATCH(I427,Staff!$A$5:$A$44,0)),"Unassigned"))</f>
        <v>0</v>
      </c>
      <c r="S427" s="15">
        <f>IF(B427="","",TEXT(B427,"yyyy-mm"))</f>
        <v>0</v>
      </c>
      <c r="T427" s="25">
        <f>IF(B427="","",WEEKNUM(B427,2))</f>
        <v>0</v>
      </c>
      <c r="U427" s="25">
        <f>IF(B427="","",IF(K427&lt;&gt;"",K427,IFERROR(INDEX(Services!$E$5:$E$204,MATCH(G427,Services!$A$5:$A$204,0))*1,0)+IFERROR(INDEX(Services!$F$5:$F$204,MATCH(G427,Services!$A$5:$A$204,0))*1,0)))</f>
        <v>0</v>
      </c>
      <c r="V427" s="36">
        <f>IF(B427="","",IF(D427="","",D427+U427/1440))</f>
        <v>0</v>
      </c>
      <c r="W427" s="25">
        <f>IF(B427="","",IF(D427="","",HOUR(D427)))</f>
        <v>0</v>
      </c>
      <c r="X427" s="37">
        <f>IF(B427="","",ROUND(U427/60,2))</f>
        <v>0</v>
      </c>
      <c r="Y427" s="26">
        <f>IF(B427="","",IF(L427&lt;&gt;"",L427,IFERROR(INDEX(Services!$G$5:$G$204,MATCH(G427,Services!$A$5:$A$204,0))*1,0)))</f>
        <v>0</v>
      </c>
      <c r="Z427" s="26">
        <f>IF(B427="","",IF(O427&lt;&gt;"",O427,IF(Y427&gt;=DepositThreshold,ROUND(Y427*DepositPercent,2),0)))</f>
        <v>0</v>
      </c>
      <c r="AA427" s="26">
        <f>IF(B427="","",ROUND(SUMIFS(Payments!$G$5:$G$1204,Payments!$I$5:$I$1204,A427,Payments!$E$5:$E$1204,"Deposit"),2))</f>
        <v>0</v>
      </c>
      <c r="AB427" s="26">
        <f>IF(B427="","",ROUND(SUMIFS(Sales!$Y$5:$Y$1204,Sales!$C$5:$C$1204,A427),2))</f>
        <v>0</v>
      </c>
      <c r="AC427" s="38">
        <f>IF(B427="","",IF(M427="Completed","Yes",IF(M427="Cancelled","Yes",IF(M427="No show","Yes","No"))))</f>
        <v>0</v>
      </c>
      <c r="AD427" s="25">
        <f>IF(B427="","",IF(AE427="","",B427-AE427))</f>
        <v>0</v>
      </c>
      <c r="AF427" s="38">
        <f>IF(B427="","",IF(M427&lt;&gt;"Completed","",IF(E427="","No",IF(COUNTIFS(Appointments!$E$5:$E$1204,E427,Appointments!$B$5:$B$1204,"&gt;"&amp;B427,Appointments!$M$5:$M$1204,"&lt;&gt;Cancelled")&gt;0,"Yes","No"))))</f>
        <v>0</v>
      </c>
      <c r="AG427" s="38">
        <f>IF(B427="","",IF(I427="","",IF(D427="","",IF(COUNTIFS($I$5:$I$1204,I427,$B$5:$B$1204,B427,$D$5:$D$1204,"&lt;"&amp;V427,$V$5:$V$1204,"&gt;"&amp;D427,$M$5:$M$1204,"&lt;&gt;Cancelled")&gt;1,"Clash",""))))</f>
        <v>0</v>
      </c>
      <c r="AH427" s="39">
        <f>IF(B427="","",IF(AG427="Clash","Clash - stylist double booked",IF(I427="","Assign - no stylist yet",IF(G427="","Add - no service chosen",IF(M427="No show","No show - charge the fee?",IF(M427="Cancelled","",IF(IF(M427="Completed",AB427&lt;Y427-0.004,FALSE),"Unpaid - nothing rung up for this visit",IF(IF(B427&lt;TodayDate,M427="Booked",FALSE),"Overdue - past date, still only Booked",IF(IF(B427=TodayDate,TRUE,FALSE),"Today",IF(IF(Z427&gt;0,AA427&lt;Z427-0.004,FALSE),"Due - deposit not taken",IF(IF(B427&gt;TodayDate,B427&lt;=TodayDate+2,FALSE),"Confirm - coming up","OK")))))))))))</f>
        <v>0</v>
      </c>
    </row>
    <row r="428" spans="1:34">
      <c r="A428" s="28">
        <f>IF(B428="","",AppointmentPrefix&amp;TEXT(ROW()-4,"0000"))</f>
        <v>0</v>
      </c>
      <c r="C428" s="15">
        <f>IF(B428="","",TEXT(B428,"ddd"))</f>
        <v>0</v>
      </c>
      <c r="F428" s="15">
        <f>IF(E428="","",IFERROR(INDEX(Clients!$B$5:$B$504,MATCH(E428,Clients!$A$5:$A$504,0)),"Walk-in"))</f>
        <v>0</v>
      </c>
      <c r="H428" s="15">
        <f>IF(G428="","",IFERROR(INDEX(Services!$B$5:$B$204,MATCH(G428,Services!$A$5:$A$204,0)),"Not in Services"))</f>
        <v>0</v>
      </c>
      <c r="J428" s="15">
        <f>IF(I428="","",IFERROR(INDEX(Staff!$B$5:$B$44,MATCH(I428,Staff!$A$5:$A$44,0)),"Unassigned"))</f>
        <v>0</v>
      </c>
      <c r="S428" s="15">
        <f>IF(B428="","",TEXT(B428,"yyyy-mm"))</f>
        <v>0</v>
      </c>
      <c r="T428" s="25">
        <f>IF(B428="","",WEEKNUM(B428,2))</f>
        <v>0</v>
      </c>
      <c r="U428" s="25">
        <f>IF(B428="","",IF(K428&lt;&gt;"",K428,IFERROR(INDEX(Services!$E$5:$E$204,MATCH(G428,Services!$A$5:$A$204,0))*1,0)+IFERROR(INDEX(Services!$F$5:$F$204,MATCH(G428,Services!$A$5:$A$204,0))*1,0)))</f>
        <v>0</v>
      </c>
      <c r="V428" s="36">
        <f>IF(B428="","",IF(D428="","",D428+U428/1440))</f>
        <v>0</v>
      </c>
      <c r="W428" s="25">
        <f>IF(B428="","",IF(D428="","",HOUR(D428)))</f>
        <v>0</v>
      </c>
      <c r="X428" s="37">
        <f>IF(B428="","",ROUND(U428/60,2))</f>
        <v>0</v>
      </c>
      <c r="Y428" s="26">
        <f>IF(B428="","",IF(L428&lt;&gt;"",L428,IFERROR(INDEX(Services!$G$5:$G$204,MATCH(G428,Services!$A$5:$A$204,0))*1,0)))</f>
        <v>0</v>
      </c>
      <c r="Z428" s="26">
        <f>IF(B428="","",IF(O428&lt;&gt;"",O428,IF(Y428&gt;=DepositThreshold,ROUND(Y428*DepositPercent,2),0)))</f>
        <v>0</v>
      </c>
      <c r="AA428" s="26">
        <f>IF(B428="","",ROUND(SUMIFS(Payments!$G$5:$G$1204,Payments!$I$5:$I$1204,A428,Payments!$E$5:$E$1204,"Deposit"),2))</f>
        <v>0</v>
      </c>
      <c r="AB428" s="26">
        <f>IF(B428="","",ROUND(SUMIFS(Sales!$Y$5:$Y$1204,Sales!$C$5:$C$1204,A428),2))</f>
        <v>0</v>
      </c>
      <c r="AC428" s="38">
        <f>IF(B428="","",IF(M428="Completed","Yes",IF(M428="Cancelled","Yes",IF(M428="No show","Yes","No"))))</f>
        <v>0</v>
      </c>
      <c r="AD428" s="25">
        <f>IF(B428="","",IF(AE428="","",B428-AE428))</f>
        <v>0</v>
      </c>
      <c r="AF428" s="38">
        <f>IF(B428="","",IF(M428&lt;&gt;"Completed","",IF(E428="","No",IF(COUNTIFS(Appointments!$E$5:$E$1204,E428,Appointments!$B$5:$B$1204,"&gt;"&amp;B428,Appointments!$M$5:$M$1204,"&lt;&gt;Cancelled")&gt;0,"Yes","No"))))</f>
        <v>0</v>
      </c>
      <c r="AG428" s="38">
        <f>IF(B428="","",IF(I428="","",IF(D428="","",IF(COUNTIFS($I$5:$I$1204,I428,$B$5:$B$1204,B428,$D$5:$D$1204,"&lt;"&amp;V428,$V$5:$V$1204,"&gt;"&amp;D428,$M$5:$M$1204,"&lt;&gt;Cancelled")&gt;1,"Clash",""))))</f>
        <v>0</v>
      </c>
      <c r="AH428" s="39">
        <f>IF(B428="","",IF(AG428="Clash","Clash - stylist double booked",IF(I428="","Assign - no stylist yet",IF(G428="","Add - no service chosen",IF(M428="No show","No show - charge the fee?",IF(M428="Cancelled","",IF(IF(M428="Completed",AB428&lt;Y428-0.004,FALSE),"Unpaid - nothing rung up for this visit",IF(IF(B428&lt;TodayDate,M428="Booked",FALSE),"Overdue - past date, still only Booked",IF(IF(B428=TodayDate,TRUE,FALSE),"Today",IF(IF(Z428&gt;0,AA428&lt;Z428-0.004,FALSE),"Due - deposit not taken",IF(IF(B428&gt;TodayDate,B428&lt;=TodayDate+2,FALSE),"Confirm - coming up","OK")))))))))))</f>
        <v>0</v>
      </c>
    </row>
    <row r="429" spans="1:34">
      <c r="A429" s="28">
        <f>IF(B429="","",AppointmentPrefix&amp;TEXT(ROW()-4,"0000"))</f>
        <v>0</v>
      </c>
      <c r="C429" s="15">
        <f>IF(B429="","",TEXT(B429,"ddd"))</f>
        <v>0</v>
      </c>
      <c r="F429" s="15">
        <f>IF(E429="","",IFERROR(INDEX(Clients!$B$5:$B$504,MATCH(E429,Clients!$A$5:$A$504,0)),"Walk-in"))</f>
        <v>0</v>
      </c>
      <c r="H429" s="15">
        <f>IF(G429="","",IFERROR(INDEX(Services!$B$5:$B$204,MATCH(G429,Services!$A$5:$A$204,0)),"Not in Services"))</f>
        <v>0</v>
      </c>
      <c r="J429" s="15">
        <f>IF(I429="","",IFERROR(INDEX(Staff!$B$5:$B$44,MATCH(I429,Staff!$A$5:$A$44,0)),"Unassigned"))</f>
        <v>0</v>
      </c>
      <c r="S429" s="15">
        <f>IF(B429="","",TEXT(B429,"yyyy-mm"))</f>
        <v>0</v>
      </c>
      <c r="T429" s="25">
        <f>IF(B429="","",WEEKNUM(B429,2))</f>
        <v>0</v>
      </c>
      <c r="U429" s="25">
        <f>IF(B429="","",IF(K429&lt;&gt;"",K429,IFERROR(INDEX(Services!$E$5:$E$204,MATCH(G429,Services!$A$5:$A$204,0))*1,0)+IFERROR(INDEX(Services!$F$5:$F$204,MATCH(G429,Services!$A$5:$A$204,0))*1,0)))</f>
        <v>0</v>
      </c>
      <c r="V429" s="36">
        <f>IF(B429="","",IF(D429="","",D429+U429/1440))</f>
        <v>0</v>
      </c>
      <c r="W429" s="25">
        <f>IF(B429="","",IF(D429="","",HOUR(D429)))</f>
        <v>0</v>
      </c>
      <c r="X429" s="37">
        <f>IF(B429="","",ROUND(U429/60,2))</f>
        <v>0</v>
      </c>
      <c r="Y429" s="26">
        <f>IF(B429="","",IF(L429&lt;&gt;"",L429,IFERROR(INDEX(Services!$G$5:$G$204,MATCH(G429,Services!$A$5:$A$204,0))*1,0)))</f>
        <v>0</v>
      </c>
      <c r="Z429" s="26">
        <f>IF(B429="","",IF(O429&lt;&gt;"",O429,IF(Y429&gt;=DepositThreshold,ROUND(Y429*DepositPercent,2),0)))</f>
        <v>0</v>
      </c>
      <c r="AA429" s="26">
        <f>IF(B429="","",ROUND(SUMIFS(Payments!$G$5:$G$1204,Payments!$I$5:$I$1204,A429,Payments!$E$5:$E$1204,"Deposit"),2))</f>
        <v>0</v>
      </c>
      <c r="AB429" s="26">
        <f>IF(B429="","",ROUND(SUMIFS(Sales!$Y$5:$Y$1204,Sales!$C$5:$C$1204,A429),2))</f>
        <v>0</v>
      </c>
      <c r="AC429" s="38">
        <f>IF(B429="","",IF(M429="Completed","Yes",IF(M429="Cancelled","Yes",IF(M429="No show","Yes","No"))))</f>
        <v>0</v>
      </c>
      <c r="AD429" s="25">
        <f>IF(B429="","",IF(AE429="","",B429-AE429))</f>
        <v>0</v>
      </c>
      <c r="AF429" s="38">
        <f>IF(B429="","",IF(M429&lt;&gt;"Completed","",IF(E429="","No",IF(COUNTIFS(Appointments!$E$5:$E$1204,E429,Appointments!$B$5:$B$1204,"&gt;"&amp;B429,Appointments!$M$5:$M$1204,"&lt;&gt;Cancelled")&gt;0,"Yes","No"))))</f>
        <v>0</v>
      </c>
      <c r="AG429" s="38">
        <f>IF(B429="","",IF(I429="","",IF(D429="","",IF(COUNTIFS($I$5:$I$1204,I429,$B$5:$B$1204,B429,$D$5:$D$1204,"&lt;"&amp;V429,$V$5:$V$1204,"&gt;"&amp;D429,$M$5:$M$1204,"&lt;&gt;Cancelled")&gt;1,"Clash",""))))</f>
        <v>0</v>
      </c>
      <c r="AH429" s="39">
        <f>IF(B429="","",IF(AG429="Clash","Clash - stylist double booked",IF(I429="","Assign - no stylist yet",IF(G429="","Add - no service chosen",IF(M429="No show","No show - charge the fee?",IF(M429="Cancelled","",IF(IF(M429="Completed",AB429&lt;Y429-0.004,FALSE),"Unpaid - nothing rung up for this visit",IF(IF(B429&lt;TodayDate,M429="Booked",FALSE),"Overdue - past date, still only Booked",IF(IF(B429=TodayDate,TRUE,FALSE),"Today",IF(IF(Z429&gt;0,AA429&lt;Z429-0.004,FALSE),"Due - deposit not taken",IF(IF(B429&gt;TodayDate,B429&lt;=TodayDate+2,FALSE),"Confirm - coming up","OK")))))))))))</f>
        <v>0</v>
      </c>
    </row>
    <row r="430" spans="1:34">
      <c r="A430" s="28">
        <f>IF(B430="","",AppointmentPrefix&amp;TEXT(ROW()-4,"0000"))</f>
        <v>0</v>
      </c>
      <c r="C430" s="15">
        <f>IF(B430="","",TEXT(B430,"ddd"))</f>
        <v>0</v>
      </c>
      <c r="F430" s="15">
        <f>IF(E430="","",IFERROR(INDEX(Clients!$B$5:$B$504,MATCH(E430,Clients!$A$5:$A$504,0)),"Walk-in"))</f>
        <v>0</v>
      </c>
      <c r="H430" s="15">
        <f>IF(G430="","",IFERROR(INDEX(Services!$B$5:$B$204,MATCH(G430,Services!$A$5:$A$204,0)),"Not in Services"))</f>
        <v>0</v>
      </c>
      <c r="J430" s="15">
        <f>IF(I430="","",IFERROR(INDEX(Staff!$B$5:$B$44,MATCH(I430,Staff!$A$5:$A$44,0)),"Unassigned"))</f>
        <v>0</v>
      </c>
      <c r="S430" s="15">
        <f>IF(B430="","",TEXT(B430,"yyyy-mm"))</f>
        <v>0</v>
      </c>
      <c r="T430" s="25">
        <f>IF(B430="","",WEEKNUM(B430,2))</f>
        <v>0</v>
      </c>
      <c r="U430" s="25">
        <f>IF(B430="","",IF(K430&lt;&gt;"",K430,IFERROR(INDEX(Services!$E$5:$E$204,MATCH(G430,Services!$A$5:$A$204,0))*1,0)+IFERROR(INDEX(Services!$F$5:$F$204,MATCH(G430,Services!$A$5:$A$204,0))*1,0)))</f>
        <v>0</v>
      </c>
      <c r="V430" s="36">
        <f>IF(B430="","",IF(D430="","",D430+U430/1440))</f>
        <v>0</v>
      </c>
      <c r="W430" s="25">
        <f>IF(B430="","",IF(D430="","",HOUR(D430)))</f>
        <v>0</v>
      </c>
      <c r="X430" s="37">
        <f>IF(B430="","",ROUND(U430/60,2))</f>
        <v>0</v>
      </c>
      <c r="Y430" s="26">
        <f>IF(B430="","",IF(L430&lt;&gt;"",L430,IFERROR(INDEX(Services!$G$5:$G$204,MATCH(G430,Services!$A$5:$A$204,0))*1,0)))</f>
        <v>0</v>
      </c>
      <c r="Z430" s="26">
        <f>IF(B430="","",IF(O430&lt;&gt;"",O430,IF(Y430&gt;=DepositThreshold,ROUND(Y430*DepositPercent,2),0)))</f>
        <v>0</v>
      </c>
      <c r="AA430" s="26">
        <f>IF(B430="","",ROUND(SUMIFS(Payments!$G$5:$G$1204,Payments!$I$5:$I$1204,A430,Payments!$E$5:$E$1204,"Deposit"),2))</f>
        <v>0</v>
      </c>
      <c r="AB430" s="26">
        <f>IF(B430="","",ROUND(SUMIFS(Sales!$Y$5:$Y$1204,Sales!$C$5:$C$1204,A430),2))</f>
        <v>0</v>
      </c>
      <c r="AC430" s="38">
        <f>IF(B430="","",IF(M430="Completed","Yes",IF(M430="Cancelled","Yes",IF(M430="No show","Yes","No"))))</f>
        <v>0</v>
      </c>
      <c r="AD430" s="25">
        <f>IF(B430="","",IF(AE430="","",B430-AE430))</f>
        <v>0</v>
      </c>
      <c r="AF430" s="38">
        <f>IF(B430="","",IF(M430&lt;&gt;"Completed","",IF(E430="","No",IF(COUNTIFS(Appointments!$E$5:$E$1204,E430,Appointments!$B$5:$B$1204,"&gt;"&amp;B430,Appointments!$M$5:$M$1204,"&lt;&gt;Cancelled")&gt;0,"Yes","No"))))</f>
        <v>0</v>
      </c>
      <c r="AG430" s="38">
        <f>IF(B430="","",IF(I430="","",IF(D430="","",IF(COUNTIFS($I$5:$I$1204,I430,$B$5:$B$1204,B430,$D$5:$D$1204,"&lt;"&amp;V430,$V$5:$V$1204,"&gt;"&amp;D430,$M$5:$M$1204,"&lt;&gt;Cancelled")&gt;1,"Clash",""))))</f>
        <v>0</v>
      </c>
      <c r="AH430" s="39">
        <f>IF(B430="","",IF(AG430="Clash","Clash - stylist double booked",IF(I430="","Assign - no stylist yet",IF(G430="","Add - no service chosen",IF(M430="No show","No show - charge the fee?",IF(M430="Cancelled","",IF(IF(M430="Completed",AB430&lt;Y430-0.004,FALSE),"Unpaid - nothing rung up for this visit",IF(IF(B430&lt;TodayDate,M430="Booked",FALSE),"Overdue - past date, still only Booked",IF(IF(B430=TodayDate,TRUE,FALSE),"Today",IF(IF(Z430&gt;0,AA430&lt;Z430-0.004,FALSE),"Due - deposit not taken",IF(IF(B430&gt;TodayDate,B430&lt;=TodayDate+2,FALSE),"Confirm - coming up","OK")))))))))))</f>
        <v>0</v>
      </c>
    </row>
    <row r="431" spans="1:34">
      <c r="A431" s="28">
        <f>IF(B431="","",AppointmentPrefix&amp;TEXT(ROW()-4,"0000"))</f>
        <v>0</v>
      </c>
      <c r="C431" s="15">
        <f>IF(B431="","",TEXT(B431,"ddd"))</f>
        <v>0</v>
      </c>
      <c r="F431" s="15">
        <f>IF(E431="","",IFERROR(INDEX(Clients!$B$5:$B$504,MATCH(E431,Clients!$A$5:$A$504,0)),"Walk-in"))</f>
        <v>0</v>
      </c>
      <c r="H431" s="15">
        <f>IF(G431="","",IFERROR(INDEX(Services!$B$5:$B$204,MATCH(G431,Services!$A$5:$A$204,0)),"Not in Services"))</f>
        <v>0</v>
      </c>
      <c r="J431" s="15">
        <f>IF(I431="","",IFERROR(INDEX(Staff!$B$5:$B$44,MATCH(I431,Staff!$A$5:$A$44,0)),"Unassigned"))</f>
        <v>0</v>
      </c>
      <c r="S431" s="15">
        <f>IF(B431="","",TEXT(B431,"yyyy-mm"))</f>
        <v>0</v>
      </c>
      <c r="T431" s="25">
        <f>IF(B431="","",WEEKNUM(B431,2))</f>
        <v>0</v>
      </c>
      <c r="U431" s="25">
        <f>IF(B431="","",IF(K431&lt;&gt;"",K431,IFERROR(INDEX(Services!$E$5:$E$204,MATCH(G431,Services!$A$5:$A$204,0))*1,0)+IFERROR(INDEX(Services!$F$5:$F$204,MATCH(G431,Services!$A$5:$A$204,0))*1,0)))</f>
        <v>0</v>
      </c>
      <c r="V431" s="36">
        <f>IF(B431="","",IF(D431="","",D431+U431/1440))</f>
        <v>0</v>
      </c>
      <c r="W431" s="25">
        <f>IF(B431="","",IF(D431="","",HOUR(D431)))</f>
        <v>0</v>
      </c>
      <c r="X431" s="37">
        <f>IF(B431="","",ROUND(U431/60,2))</f>
        <v>0</v>
      </c>
      <c r="Y431" s="26">
        <f>IF(B431="","",IF(L431&lt;&gt;"",L431,IFERROR(INDEX(Services!$G$5:$G$204,MATCH(G431,Services!$A$5:$A$204,0))*1,0)))</f>
        <v>0</v>
      </c>
      <c r="Z431" s="26">
        <f>IF(B431="","",IF(O431&lt;&gt;"",O431,IF(Y431&gt;=DepositThreshold,ROUND(Y431*DepositPercent,2),0)))</f>
        <v>0</v>
      </c>
      <c r="AA431" s="26">
        <f>IF(B431="","",ROUND(SUMIFS(Payments!$G$5:$G$1204,Payments!$I$5:$I$1204,A431,Payments!$E$5:$E$1204,"Deposit"),2))</f>
        <v>0</v>
      </c>
      <c r="AB431" s="26">
        <f>IF(B431="","",ROUND(SUMIFS(Sales!$Y$5:$Y$1204,Sales!$C$5:$C$1204,A431),2))</f>
        <v>0</v>
      </c>
      <c r="AC431" s="38">
        <f>IF(B431="","",IF(M431="Completed","Yes",IF(M431="Cancelled","Yes",IF(M431="No show","Yes","No"))))</f>
        <v>0</v>
      </c>
      <c r="AD431" s="25">
        <f>IF(B431="","",IF(AE431="","",B431-AE431))</f>
        <v>0</v>
      </c>
      <c r="AF431" s="38">
        <f>IF(B431="","",IF(M431&lt;&gt;"Completed","",IF(E431="","No",IF(COUNTIFS(Appointments!$E$5:$E$1204,E431,Appointments!$B$5:$B$1204,"&gt;"&amp;B431,Appointments!$M$5:$M$1204,"&lt;&gt;Cancelled")&gt;0,"Yes","No"))))</f>
        <v>0</v>
      </c>
      <c r="AG431" s="38">
        <f>IF(B431="","",IF(I431="","",IF(D431="","",IF(COUNTIFS($I$5:$I$1204,I431,$B$5:$B$1204,B431,$D$5:$D$1204,"&lt;"&amp;V431,$V$5:$V$1204,"&gt;"&amp;D431,$M$5:$M$1204,"&lt;&gt;Cancelled")&gt;1,"Clash",""))))</f>
        <v>0</v>
      </c>
      <c r="AH431" s="39">
        <f>IF(B431="","",IF(AG431="Clash","Clash - stylist double booked",IF(I431="","Assign - no stylist yet",IF(G431="","Add - no service chosen",IF(M431="No show","No show - charge the fee?",IF(M431="Cancelled","",IF(IF(M431="Completed",AB431&lt;Y431-0.004,FALSE),"Unpaid - nothing rung up for this visit",IF(IF(B431&lt;TodayDate,M431="Booked",FALSE),"Overdue - past date, still only Booked",IF(IF(B431=TodayDate,TRUE,FALSE),"Today",IF(IF(Z431&gt;0,AA431&lt;Z431-0.004,FALSE),"Due - deposit not taken",IF(IF(B431&gt;TodayDate,B431&lt;=TodayDate+2,FALSE),"Confirm - coming up","OK")))))))))))</f>
        <v>0</v>
      </c>
    </row>
    <row r="432" spans="1:34">
      <c r="A432" s="28">
        <f>IF(B432="","",AppointmentPrefix&amp;TEXT(ROW()-4,"0000"))</f>
        <v>0</v>
      </c>
      <c r="C432" s="15">
        <f>IF(B432="","",TEXT(B432,"ddd"))</f>
        <v>0</v>
      </c>
      <c r="F432" s="15">
        <f>IF(E432="","",IFERROR(INDEX(Clients!$B$5:$B$504,MATCH(E432,Clients!$A$5:$A$504,0)),"Walk-in"))</f>
        <v>0</v>
      </c>
      <c r="H432" s="15">
        <f>IF(G432="","",IFERROR(INDEX(Services!$B$5:$B$204,MATCH(G432,Services!$A$5:$A$204,0)),"Not in Services"))</f>
        <v>0</v>
      </c>
      <c r="J432" s="15">
        <f>IF(I432="","",IFERROR(INDEX(Staff!$B$5:$B$44,MATCH(I432,Staff!$A$5:$A$44,0)),"Unassigned"))</f>
        <v>0</v>
      </c>
      <c r="S432" s="15">
        <f>IF(B432="","",TEXT(B432,"yyyy-mm"))</f>
        <v>0</v>
      </c>
      <c r="T432" s="25">
        <f>IF(B432="","",WEEKNUM(B432,2))</f>
        <v>0</v>
      </c>
      <c r="U432" s="25">
        <f>IF(B432="","",IF(K432&lt;&gt;"",K432,IFERROR(INDEX(Services!$E$5:$E$204,MATCH(G432,Services!$A$5:$A$204,0))*1,0)+IFERROR(INDEX(Services!$F$5:$F$204,MATCH(G432,Services!$A$5:$A$204,0))*1,0)))</f>
        <v>0</v>
      </c>
      <c r="V432" s="36">
        <f>IF(B432="","",IF(D432="","",D432+U432/1440))</f>
        <v>0</v>
      </c>
      <c r="W432" s="25">
        <f>IF(B432="","",IF(D432="","",HOUR(D432)))</f>
        <v>0</v>
      </c>
      <c r="X432" s="37">
        <f>IF(B432="","",ROUND(U432/60,2))</f>
        <v>0</v>
      </c>
      <c r="Y432" s="26">
        <f>IF(B432="","",IF(L432&lt;&gt;"",L432,IFERROR(INDEX(Services!$G$5:$G$204,MATCH(G432,Services!$A$5:$A$204,0))*1,0)))</f>
        <v>0</v>
      </c>
      <c r="Z432" s="26">
        <f>IF(B432="","",IF(O432&lt;&gt;"",O432,IF(Y432&gt;=DepositThreshold,ROUND(Y432*DepositPercent,2),0)))</f>
        <v>0</v>
      </c>
      <c r="AA432" s="26">
        <f>IF(B432="","",ROUND(SUMIFS(Payments!$G$5:$G$1204,Payments!$I$5:$I$1204,A432,Payments!$E$5:$E$1204,"Deposit"),2))</f>
        <v>0</v>
      </c>
      <c r="AB432" s="26">
        <f>IF(B432="","",ROUND(SUMIFS(Sales!$Y$5:$Y$1204,Sales!$C$5:$C$1204,A432),2))</f>
        <v>0</v>
      </c>
      <c r="AC432" s="38">
        <f>IF(B432="","",IF(M432="Completed","Yes",IF(M432="Cancelled","Yes",IF(M432="No show","Yes","No"))))</f>
        <v>0</v>
      </c>
      <c r="AD432" s="25">
        <f>IF(B432="","",IF(AE432="","",B432-AE432))</f>
        <v>0</v>
      </c>
      <c r="AF432" s="38">
        <f>IF(B432="","",IF(M432&lt;&gt;"Completed","",IF(E432="","No",IF(COUNTIFS(Appointments!$E$5:$E$1204,E432,Appointments!$B$5:$B$1204,"&gt;"&amp;B432,Appointments!$M$5:$M$1204,"&lt;&gt;Cancelled")&gt;0,"Yes","No"))))</f>
        <v>0</v>
      </c>
      <c r="AG432" s="38">
        <f>IF(B432="","",IF(I432="","",IF(D432="","",IF(COUNTIFS($I$5:$I$1204,I432,$B$5:$B$1204,B432,$D$5:$D$1204,"&lt;"&amp;V432,$V$5:$V$1204,"&gt;"&amp;D432,$M$5:$M$1204,"&lt;&gt;Cancelled")&gt;1,"Clash",""))))</f>
        <v>0</v>
      </c>
      <c r="AH432" s="39">
        <f>IF(B432="","",IF(AG432="Clash","Clash - stylist double booked",IF(I432="","Assign - no stylist yet",IF(G432="","Add - no service chosen",IF(M432="No show","No show - charge the fee?",IF(M432="Cancelled","",IF(IF(M432="Completed",AB432&lt;Y432-0.004,FALSE),"Unpaid - nothing rung up for this visit",IF(IF(B432&lt;TodayDate,M432="Booked",FALSE),"Overdue - past date, still only Booked",IF(IF(B432=TodayDate,TRUE,FALSE),"Today",IF(IF(Z432&gt;0,AA432&lt;Z432-0.004,FALSE),"Due - deposit not taken",IF(IF(B432&gt;TodayDate,B432&lt;=TodayDate+2,FALSE),"Confirm - coming up","OK")))))))))))</f>
        <v>0</v>
      </c>
    </row>
    <row r="433" spans="1:34">
      <c r="A433" s="28">
        <f>IF(B433="","",AppointmentPrefix&amp;TEXT(ROW()-4,"0000"))</f>
        <v>0</v>
      </c>
      <c r="C433" s="15">
        <f>IF(B433="","",TEXT(B433,"ddd"))</f>
        <v>0</v>
      </c>
      <c r="F433" s="15">
        <f>IF(E433="","",IFERROR(INDEX(Clients!$B$5:$B$504,MATCH(E433,Clients!$A$5:$A$504,0)),"Walk-in"))</f>
        <v>0</v>
      </c>
      <c r="H433" s="15">
        <f>IF(G433="","",IFERROR(INDEX(Services!$B$5:$B$204,MATCH(G433,Services!$A$5:$A$204,0)),"Not in Services"))</f>
        <v>0</v>
      </c>
      <c r="J433" s="15">
        <f>IF(I433="","",IFERROR(INDEX(Staff!$B$5:$B$44,MATCH(I433,Staff!$A$5:$A$44,0)),"Unassigned"))</f>
        <v>0</v>
      </c>
      <c r="S433" s="15">
        <f>IF(B433="","",TEXT(B433,"yyyy-mm"))</f>
        <v>0</v>
      </c>
      <c r="T433" s="25">
        <f>IF(B433="","",WEEKNUM(B433,2))</f>
        <v>0</v>
      </c>
      <c r="U433" s="25">
        <f>IF(B433="","",IF(K433&lt;&gt;"",K433,IFERROR(INDEX(Services!$E$5:$E$204,MATCH(G433,Services!$A$5:$A$204,0))*1,0)+IFERROR(INDEX(Services!$F$5:$F$204,MATCH(G433,Services!$A$5:$A$204,0))*1,0)))</f>
        <v>0</v>
      </c>
      <c r="V433" s="36">
        <f>IF(B433="","",IF(D433="","",D433+U433/1440))</f>
        <v>0</v>
      </c>
      <c r="W433" s="25">
        <f>IF(B433="","",IF(D433="","",HOUR(D433)))</f>
        <v>0</v>
      </c>
      <c r="X433" s="37">
        <f>IF(B433="","",ROUND(U433/60,2))</f>
        <v>0</v>
      </c>
      <c r="Y433" s="26">
        <f>IF(B433="","",IF(L433&lt;&gt;"",L433,IFERROR(INDEX(Services!$G$5:$G$204,MATCH(G433,Services!$A$5:$A$204,0))*1,0)))</f>
        <v>0</v>
      </c>
      <c r="Z433" s="26">
        <f>IF(B433="","",IF(O433&lt;&gt;"",O433,IF(Y433&gt;=DepositThreshold,ROUND(Y433*DepositPercent,2),0)))</f>
        <v>0</v>
      </c>
      <c r="AA433" s="26">
        <f>IF(B433="","",ROUND(SUMIFS(Payments!$G$5:$G$1204,Payments!$I$5:$I$1204,A433,Payments!$E$5:$E$1204,"Deposit"),2))</f>
        <v>0</v>
      </c>
      <c r="AB433" s="26">
        <f>IF(B433="","",ROUND(SUMIFS(Sales!$Y$5:$Y$1204,Sales!$C$5:$C$1204,A433),2))</f>
        <v>0</v>
      </c>
      <c r="AC433" s="38">
        <f>IF(B433="","",IF(M433="Completed","Yes",IF(M433="Cancelled","Yes",IF(M433="No show","Yes","No"))))</f>
        <v>0</v>
      </c>
      <c r="AD433" s="25">
        <f>IF(B433="","",IF(AE433="","",B433-AE433))</f>
        <v>0</v>
      </c>
      <c r="AF433" s="38">
        <f>IF(B433="","",IF(M433&lt;&gt;"Completed","",IF(E433="","No",IF(COUNTIFS(Appointments!$E$5:$E$1204,E433,Appointments!$B$5:$B$1204,"&gt;"&amp;B433,Appointments!$M$5:$M$1204,"&lt;&gt;Cancelled")&gt;0,"Yes","No"))))</f>
        <v>0</v>
      </c>
      <c r="AG433" s="38">
        <f>IF(B433="","",IF(I433="","",IF(D433="","",IF(COUNTIFS($I$5:$I$1204,I433,$B$5:$B$1204,B433,$D$5:$D$1204,"&lt;"&amp;V433,$V$5:$V$1204,"&gt;"&amp;D433,$M$5:$M$1204,"&lt;&gt;Cancelled")&gt;1,"Clash",""))))</f>
        <v>0</v>
      </c>
      <c r="AH433" s="39">
        <f>IF(B433="","",IF(AG433="Clash","Clash - stylist double booked",IF(I433="","Assign - no stylist yet",IF(G433="","Add - no service chosen",IF(M433="No show","No show - charge the fee?",IF(M433="Cancelled","",IF(IF(M433="Completed",AB433&lt;Y433-0.004,FALSE),"Unpaid - nothing rung up for this visit",IF(IF(B433&lt;TodayDate,M433="Booked",FALSE),"Overdue - past date, still only Booked",IF(IF(B433=TodayDate,TRUE,FALSE),"Today",IF(IF(Z433&gt;0,AA433&lt;Z433-0.004,FALSE),"Due - deposit not taken",IF(IF(B433&gt;TodayDate,B433&lt;=TodayDate+2,FALSE),"Confirm - coming up","OK")))))))))))</f>
        <v>0</v>
      </c>
    </row>
    <row r="434" spans="1:34">
      <c r="A434" s="28">
        <f>IF(B434="","",AppointmentPrefix&amp;TEXT(ROW()-4,"0000"))</f>
        <v>0</v>
      </c>
      <c r="C434" s="15">
        <f>IF(B434="","",TEXT(B434,"ddd"))</f>
        <v>0</v>
      </c>
      <c r="F434" s="15">
        <f>IF(E434="","",IFERROR(INDEX(Clients!$B$5:$B$504,MATCH(E434,Clients!$A$5:$A$504,0)),"Walk-in"))</f>
        <v>0</v>
      </c>
      <c r="H434" s="15">
        <f>IF(G434="","",IFERROR(INDEX(Services!$B$5:$B$204,MATCH(G434,Services!$A$5:$A$204,0)),"Not in Services"))</f>
        <v>0</v>
      </c>
      <c r="J434" s="15">
        <f>IF(I434="","",IFERROR(INDEX(Staff!$B$5:$B$44,MATCH(I434,Staff!$A$5:$A$44,0)),"Unassigned"))</f>
        <v>0</v>
      </c>
      <c r="S434" s="15">
        <f>IF(B434="","",TEXT(B434,"yyyy-mm"))</f>
        <v>0</v>
      </c>
      <c r="T434" s="25">
        <f>IF(B434="","",WEEKNUM(B434,2))</f>
        <v>0</v>
      </c>
      <c r="U434" s="25">
        <f>IF(B434="","",IF(K434&lt;&gt;"",K434,IFERROR(INDEX(Services!$E$5:$E$204,MATCH(G434,Services!$A$5:$A$204,0))*1,0)+IFERROR(INDEX(Services!$F$5:$F$204,MATCH(G434,Services!$A$5:$A$204,0))*1,0)))</f>
        <v>0</v>
      </c>
      <c r="V434" s="36">
        <f>IF(B434="","",IF(D434="","",D434+U434/1440))</f>
        <v>0</v>
      </c>
      <c r="W434" s="25">
        <f>IF(B434="","",IF(D434="","",HOUR(D434)))</f>
        <v>0</v>
      </c>
      <c r="X434" s="37">
        <f>IF(B434="","",ROUND(U434/60,2))</f>
        <v>0</v>
      </c>
      <c r="Y434" s="26">
        <f>IF(B434="","",IF(L434&lt;&gt;"",L434,IFERROR(INDEX(Services!$G$5:$G$204,MATCH(G434,Services!$A$5:$A$204,0))*1,0)))</f>
        <v>0</v>
      </c>
      <c r="Z434" s="26">
        <f>IF(B434="","",IF(O434&lt;&gt;"",O434,IF(Y434&gt;=DepositThreshold,ROUND(Y434*DepositPercent,2),0)))</f>
        <v>0</v>
      </c>
      <c r="AA434" s="26">
        <f>IF(B434="","",ROUND(SUMIFS(Payments!$G$5:$G$1204,Payments!$I$5:$I$1204,A434,Payments!$E$5:$E$1204,"Deposit"),2))</f>
        <v>0</v>
      </c>
      <c r="AB434" s="26">
        <f>IF(B434="","",ROUND(SUMIFS(Sales!$Y$5:$Y$1204,Sales!$C$5:$C$1204,A434),2))</f>
        <v>0</v>
      </c>
      <c r="AC434" s="38">
        <f>IF(B434="","",IF(M434="Completed","Yes",IF(M434="Cancelled","Yes",IF(M434="No show","Yes","No"))))</f>
        <v>0</v>
      </c>
      <c r="AD434" s="25">
        <f>IF(B434="","",IF(AE434="","",B434-AE434))</f>
        <v>0</v>
      </c>
      <c r="AF434" s="38">
        <f>IF(B434="","",IF(M434&lt;&gt;"Completed","",IF(E434="","No",IF(COUNTIFS(Appointments!$E$5:$E$1204,E434,Appointments!$B$5:$B$1204,"&gt;"&amp;B434,Appointments!$M$5:$M$1204,"&lt;&gt;Cancelled")&gt;0,"Yes","No"))))</f>
        <v>0</v>
      </c>
      <c r="AG434" s="38">
        <f>IF(B434="","",IF(I434="","",IF(D434="","",IF(COUNTIFS($I$5:$I$1204,I434,$B$5:$B$1204,B434,$D$5:$D$1204,"&lt;"&amp;V434,$V$5:$V$1204,"&gt;"&amp;D434,$M$5:$M$1204,"&lt;&gt;Cancelled")&gt;1,"Clash",""))))</f>
        <v>0</v>
      </c>
      <c r="AH434" s="39">
        <f>IF(B434="","",IF(AG434="Clash","Clash - stylist double booked",IF(I434="","Assign - no stylist yet",IF(G434="","Add - no service chosen",IF(M434="No show","No show - charge the fee?",IF(M434="Cancelled","",IF(IF(M434="Completed",AB434&lt;Y434-0.004,FALSE),"Unpaid - nothing rung up for this visit",IF(IF(B434&lt;TodayDate,M434="Booked",FALSE),"Overdue - past date, still only Booked",IF(IF(B434=TodayDate,TRUE,FALSE),"Today",IF(IF(Z434&gt;0,AA434&lt;Z434-0.004,FALSE),"Due - deposit not taken",IF(IF(B434&gt;TodayDate,B434&lt;=TodayDate+2,FALSE),"Confirm - coming up","OK")))))))))))</f>
        <v>0</v>
      </c>
    </row>
    <row r="435" spans="1:34">
      <c r="A435" s="28">
        <f>IF(B435="","",AppointmentPrefix&amp;TEXT(ROW()-4,"0000"))</f>
        <v>0</v>
      </c>
      <c r="C435" s="15">
        <f>IF(B435="","",TEXT(B435,"ddd"))</f>
        <v>0</v>
      </c>
      <c r="F435" s="15">
        <f>IF(E435="","",IFERROR(INDEX(Clients!$B$5:$B$504,MATCH(E435,Clients!$A$5:$A$504,0)),"Walk-in"))</f>
        <v>0</v>
      </c>
      <c r="H435" s="15">
        <f>IF(G435="","",IFERROR(INDEX(Services!$B$5:$B$204,MATCH(G435,Services!$A$5:$A$204,0)),"Not in Services"))</f>
        <v>0</v>
      </c>
      <c r="J435" s="15">
        <f>IF(I435="","",IFERROR(INDEX(Staff!$B$5:$B$44,MATCH(I435,Staff!$A$5:$A$44,0)),"Unassigned"))</f>
        <v>0</v>
      </c>
      <c r="S435" s="15">
        <f>IF(B435="","",TEXT(B435,"yyyy-mm"))</f>
        <v>0</v>
      </c>
      <c r="T435" s="25">
        <f>IF(B435="","",WEEKNUM(B435,2))</f>
        <v>0</v>
      </c>
      <c r="U435" s="25">
        <f>IF(B435="","",IF(K435&lt;&gt;"",K435,IFERROR(INDEX(Services!$E$5:$E$204,MATCH(G435,Services!$A$5:$A$204,0))*1,0)+IFERROR(INDEX(Services!$F$5:$F$204,MATCH(G435,Services!$A$5:$A$204,0))*1,0)))</f>
        <v>0</v>
      </c>
      <c r="V435" s="36">
        <f>IF(B435="","",IF(D435="","",D435+U435/1440))</f>
        <v>0</v>
      </c>
      <c r="W435" s="25">
        <f>IF(B435="","",IF(D435="","",HOUR(D435)))</f>
        <v>0</v>
      </c>
      <c r="X435" s="37">
        <f>IF(B435="","",ROUND(U435/60,2))</f>
        <v>0</v>
      </c>
      <c r="Y435" s="26">
        <f>IF(B435="","",IF(L435&lt;&gt;"",L435,IFERROR(INDEX(Services!$G$5:$G$204,MATCH(G435,Services!$A$5:$A$204,0))*1,0)))</f>
        <v>0</v>
      </c>
      <c r="Z435" s="26">
        <f>IF(B435="","",IF(O435&lt;&gt;"",O435,IF(Y435&gt;=DepositThreshold,ROUND(Y435*DepositPercent,2),0)))</f>
        <v>0</v>
      </c>
      <c r="AA435" s="26">
        <f>IF(B435="","",ROUND(SUMIFS(Payments!$G$5:$G$1204,Payments!$I$5:$I$1204,A435,Payments!$E$5:$E$1204,"Deposit"),2))</f>
        <v>0</v>
      </c>
      <c r="AB435" s="26">
        <f>IF(B435="","",ROUND(SUMIFS(Sales!$Y$5:$Y$1204,Sales!$C$5:$C$1204,A435),2))</f>
        <v>0</v>
      </c>
      <c r="AC435" s="38">
        <f>IF(B435="","",IF(M435="Completed","Yes",IF(M435="Cancelled","Yes",IF(M435="No show","Yes","No"))))</f>
        <v>0</v>
      </c>
      <c r="AD435" s="25">
        <f>IF(B435="","",IF(AE435="","",B435-AE435))</f>
        <v>0</v>
      </c>
      <c r="AF435" s="38">
        <f>IF(B435="","",IF(M435&lt;&gt;"Completed","",IF(E435="","No",IF(COUNTIFS(Appointments!$E$5:$E$1204,E435,Appointments!$B$5:$B$1204,"&gt;"&amp;B435,Appointments!$M$5:$M$1204,"&lt;&gt;Cancelled")&gt;0,"Yes","No"))))</f>
        <v>0</v>
      </c>
      <c r="AG435" s="38">
        <f>IF(B435="","",IF(I435="","",IF(D435="","",IF(COUNTIFS($I$5:$I$1204,I435,$B$5:$B$1204,B435,$D$5:$D$1204,"&lt;"&amp;V435,$V$5:$V$1204,"&gt;"&amp;D435,$M$5:$M$1204,"&lt;&gt;Cancelled")&gt;1,"Clash",""))))</f>
        <v>0</v>
      </c>
      <c r="AH435" s="39">
        <f>IF(B435="","",IF(AG435="Clash","Clash - stylist double booked",IF(I435="","Assign - no stylist yet",IF(G435="","Add - no service chosen",IF(M435="No show","No show - charge the fee?",IF(M435="Cancelled","",IF(IF(M435="Completed",AB435&lt;Y435-0.004,FALSE),"Unpaid - nothing rung up for this visit",IF(IF(B435&lt;TodayDate,M435="Booked",FALSE),"Overdue - past date, still only Booked",IF(IF(B435=TodayDate,TRUE,FALSE),"Today",IF(IF(Z435&gt;0,AA435&lt;Z435-0.004,FALSE),"Due - deposit not taken",IF(IF(B435&gt;TodayDate,B435&lt;=TodayDate+2,FALSE),"Confirm - coming up","OK")))))))))))</f>
        <v>0</v>
      </c>
    </row>
    <row r="436" spans="1:34">
      <c r="A436" s="28">
        <f>IF(B436="","",AppointmentPrefix&amp;TEXT(ROW()-4,"0000"))</f>
        <v>0</v>
      </c>
      <c r="C436" s="15">
        <f>IF(B436="","",TEXT(B436,"ddd"))</f>
        <v>0</v>
      </c>
      <c r="F436" s="15">
        <f>IF(E436="","",IFERROR(INDEX(Clients!$B$5:$B$504,MATCH(E436,Clients!$A$5:$A$504,0)),"Walk-in"))</f>
        <v>0</v>
      </c>
      <c r="H436" s="15">
        <f>IF(G436="","",IFERROR(INDEX(Services!$B$5:$B$204,MATCH(G436,Services!$A$5:$A$204,0)),"Not in Services"))</f>
        <v>0</v>
      </c>
      <c r="J436" s="15">
        <f>IF(I436="","",IFERROR(INDEX(Staff!$B$5:$B$44,MATCH(I436,Staff!$A$5:$A$44,0)),"Unassigned"))</f>
        <v>0</v>
      </c>
      <c r="S436" s="15">
        <f>IF(B436="","",TEXT(B436,"yyyy-mm"))</f>
        <v>0</v>
      </c>
      <c r="T436" s="25">
        <f>IF(B436="","",WEEKNUM(B436,2))</f>
        <v>0</v>
      </c>
      <c r="U436" s="25">
        <f>IF(B436="","",IF(K436&lt;&gt;"",K436,IFERROR(INDEX(Services!$E$5:$E$204,MATCH(G436,Services!$A$5:$A$204,0))*1,0)+IFERROR(INDEX(Services!$F$5:$F$204,MATCH(G436,Services!$A$5:$A$204,0))*1,0)))</f>
        <v>0</v>
      </c>
      <c r="V436" s="36">
        <f>IF(B436="","",IF(D436="","",D436+U436/1440))</f>
        <v>0</v>
      </c>
      <c r="W436" s="25">
        <f>IF(B436="","",IF(D436="","",HOUR(D436)))</f>
        <v>0</v>
      </c>
      <c r="X436" s="37">
        <f>IF(B436="","",ROUND(U436/60,2))</f>
        <v>0</v>
      </c>
      <c r="Y436" s="26">
        <f>IF(B436="","",IF(L436&lt;&gt;"",L436,IFERROR(INDEX(Services!$G$5:$G$204,MATCH(G436,Services!$A$5:$A$204,0))*1,0)))</f>
        <v>0</v>
      </c>
      <c r="Z436" s="26">
        <f>IF(B436="","",IF(O436&lt;&gt;"",O436,IF(Y436&gt;=DepositThreshold,ROUND(Y436*DepositPercent,2),0)))</f>
        <v>0</v>
      </c>
      <c r="AA436" s="26">
        <f>IF(B436="","",ROUND(SUMIFS(Payments!$G$5:$G$1204,Payments!$I$5:$I$1204,A436,Payments!$E$5:$E$1204,"Deposit"),2))</f>
        <v>0</v>
      </c>
      <c r="AB436" s="26">
        <f>IF(B436="","",ROUND(SUMIFS(Sales!$Y$5:$Y$1204,Sales!$C$5:$C$1204,A436),2))</f>
        <v>0</v>
      </c>
      <c r="AC436" s="38">
        <f>IF(B436="","",IF(M436="Completed","Yes",IF(M436="Cancelled","Yes",IF(M436="No show","Yes","No"))))</f>
        <v>0</v>
      </c>
      <c r="AD436" s="25">
        <f>IF(B436="","",IF(AE436="","",B436-AE436))</f>
        <v>0</v>
      </c>
      <c r="AF436" s="38">
        <f>IF(B436="","",IF(M436&lt;&gt;"Completed","",IF(E436="","No",IF(COUNTIFS(Appointments!$E$5:$E$1204,E436,Appointments!$B$5:$B$1204,"&gt;"&amp;B436,Appointments!$M$5:$M$1204,"&lt;&gt;Cancelled")&gt;0,"Yes","No"))))</f>
        <v>0</v>
      </c>
      <c r="AG436" s="38">
        <f>IF(B436="","",IF(I436="","",IF(D436="","",IF(COUNTIFS($I$5:$I$1204,I436,$B$5:$B$1204,B436,$D$5:$D$1204,"&lt;"&amp;V436,$V$5:$V$1204,"&gt;"&amp;D436,$M$5:$M$1204,"&lt;&gt;Cancelled")&gt;1,"Clash",""))))</f>
        <v>0</v>
      </c>
      <c r="AH436" s="39">
        <f>IF(B436="","",IF(AG436="Clash","Clash - stylist double booked",IF(I436="","Assign - no stylist yet",IF(G436="","Add - no service chosen",IF(M436="No show","No show - charge the fee?",IF(M436="Cancelled","",IF(IF(M436="Completed",AB436&lt;Y436-0.004,FALSE),"Unpaid - nothing rung up for this visit",IF(IF(B436&lt;TodayDate,M436="Booked",FALSE),"Overdue - past date, still only Booked",IF(IF(B436=TodayDate,TRUE,FALSE),"Today",IF(IF(Z436&gt;0,AA436&lt;Z436-0.004,FALSE),"Due - deposit not taken",IF(IF(B436&gt;TodayDate,B436&lt;=TodayDate+2,FALSE),"Confirm - coming up","OK")))))))))))</f>
        <v>0</v>
      </c>
    </row>
    <row r="437" spans="1:34">
      <c r="A437" s="28">
        <f>IF(B437="","",AppointmentPrefix&amp;TEXT(ROW()-4,"0000"))</f>
        <v>0</v>
      </c>
      <c r="C437" s="15">
        <f>IF(B437="","",TEXT(B437,"ddd"))</f>
        <v>0</v>
      </c>
      <c r="F437" s="15">
        <f>IF(E437="","",IFERROR(INDEX(Clients!$B$5:$B$504,MATCH(E437,Clients!$A$5:$A$504,0)),"Walk-in"))</f>
        <v>0</v>
      </c>
      <c r="H437" s="15">
        <f>IF(G437="","",IFERROR(INDEX(Services!$B$5:$B$204,MATCH(G437,Services!$A$5:$A$204,0)),"Not in Services"))</f>
        <v>0</v>
      </c>
      <c r="J437" s="15">
        <f>IF(I437="","",IFERROR(INDEX(Staff!$B$5:$B$44,MATCH(I437,Staff!$A$5:$A$44,0)),"Unassigned"))</f>
        <v>0</v>
      </c>
      <c r="S437" s="15">
        <f>IF(B437="","",TEXT(B437,"yyyy-mm"))</f>
        <v>0</v>
      </c>
      <c r="T437" s="25">
        <f>IF(B437="","",WEEKNUM(B437,2))</f>
        <v>0</v>
      </c>
      <c r="U437" s="25">
        <f>IF(B437="","",IF(K437&lt;&gt;"",K437,IFERROR(INDEX(Services!$E$5:$E$204,MATCH(G437,Services!$A$5:$A$204,0))*1,0)+IFERROR(INDEX(Services!$F$5:$F$204,MATCH(G437,Services!$A$5:$A$204,0))*1,0)))</f>
        <v>0</v>
      </c>
      <c r="V437" s="36">
        <f>IF(B437="","",IF(D437="","",D437+U437/1440))</f>
        <v>0</v>
      </c>
      <c r="W437" s="25">
        <f>IF(B437="","",IF(D437="","",HOUR(D437)))</f>
        <v>0</v>
      </c>
      <c r="X437" s="37">
        <f>IF(B437="","",ROUND(U437/60,2))</f>
        <v>0</v>
      </c>
      <c r="Y437" s="26">
        <f>IF(B437="","",IF(L437&lt;&gt;"",L437,IFERROR(INDEX(Services!$G$5:$G$204,MATCH(G437,Services!$A$5:$A$204,0))*1,0)))</f>
        <v>0</v>
      </c>
      <c r="Z437" s="26">
        <f>IF(B437="","",IF(O437&lt;&gt;"",O437,IF(Y437&gt;=DepositThreshold,ROUND(Y437*DepositPercent,2),0)))</f>
        <v>0</v>
      </c>
      <c r="AA437" s="26">
        <f>IF(B437="","",ROUND(SUMIFS(Payments!$G$5:$G$1204,Payments!$I$5:$I$1204,A437,Payments!$E$5:$E$1204,"Deposit"),2))</f>
        <v>0</v>
      </c>
      <c r="AB437" s="26">
        <f>IF(B437="","",ROUND(SUMIFS(Sales!$Y$5:$Y$1204,Sales!$C$5:$C$1204,A437),2))</f>
        <v>0</v>
      </c>
      <c r="AC437" s="38">
        <f>IF(B437="","",IF(M437="Completed","Yes",IF(M437="Cancelled","Yes",IF(M437="No show","Yes","No"))))</f>
        <v>0</v>
      </c>
      <c r="AD437" s="25">
        <f>IF(B437="","",IF(AE437="","",B437-AE437))</f>
        <v>0</v>
      </c>
      <c r="AF437" s="38">
        <f>IF(B437="","",IF(M437&lt;&gt;"Completed","",IF(E437="","No",IF(COUNTIFS(Appointments!$E$5:$E$1204,E437,Appointments!$B$5:$B$1204,"&gt;"&amp;B437,Appointments!$M$5:$M$1204,"&lt;&gt;Cancelled")&gt;0,"Yes","No"))))</f>
        <v>0</v>
      </c>
      <c r="AG437" s="38">
        <f>IF(B437="","",IF(I437="","",IF(D437="","",IF(COUNTIFS($I$5:$I$1204,I437,$B$5:$B$1204,B437,$D$5:$D$1204,"&lt;"&amp;V437,$V$5:$V$1204,"&gt;"&amp;D437,$M$5:$M$1204,"&lt;&gt;Cancelled")&gt;1,"Clash",""))))</f>
        <v>0</v>
      </c>
      <c r="AH437" s="39">
        <f>IF(B437="","",IF(AG437="Clash","Clash - stylist double booked",IF(I437="","Assign - no stylist yet",IF(G437="","Add - no service chosen",IF(M437="No show","No show - charge the fee?",IF(M437="Cancelled","",IF(IF(M437="Completed",AB437&lt;Y437-0.004,FALSE),"Unpaid - nothing rung up for this visit",IF(IF(B437&lt;TodayDate,M437="Booked",FALSE),"Overdue - past date, still only Booked",IF(IF(B437=TodayDate,TRUE,FALSE),"Today",IF(IF(Z437&gt;0,AA437&lt;Z437-0.004,FALSE),"Due - deposit not taken",IF(IF(B437&gt;TodayDate,B437&lt;=TodayDate+2,FALSE),"Confirm - coming up","OK")))))))))))</f>
        <v>0</v>
      </c>
    </row>
    <row r="438" spans="1:34">
      <c r="A438" s="28">
        <f>IF(B438="","",AppointmentPrefix&amp;TEXT(ROW()-4,"0000"))</f>
        <v>0</v>
      </c>
      <c r="C438" s="15">
        <f>IF(B438="","",TEXT(B438,"ddd"))</f>
        <v>0</v>
      </c>
      <c r="F438" s="15">
        <f>IF(E438="","",IFERROR(INDEX(Clients!$B$5:$B$504,MATCH(E438,Clients!$A$5:$A$504,0)),"Walk-in"))</f>
        <v>0</v>
      </c>
      <c r="H438" s="15">
        <f>IF(G438="","",IFERROR(INDEX(Services!$B$5:$B$204,MATCH(G438,Services!$A$5:$A$204,0)),"Not in Services"))</f>
        <v>0</v>
      </c>
      <c r="J438" s="15">
        <f>IF(I438="","",IFERROR(INDEX(Staff!$B$5:$B$44,MATCH(I438,Staff!$A$5:$A$44,0)),"Unassigned"))</f>
        <v>0</v>
      </c>
      <c r="S438" s="15">
        <f>IF(B438="","",TEXT(B438,"yyyy-mm"))</f>
        <v>0</v>
      </c>
      <c r="T438" s="25">
        <f>IF(B438="","",WEEKNUM(B438,2))</f>
        <v>0</v>
      </c>
      <c r="U438" s="25">
        <f>IF(B438="","",IF(K438&lt;&gt;"",K438,IFERROR(INDEX(Services!$E$5:$E$204,MATCH(G438,Services!$A$5:$A$204,0))*1,0)+IFERROR(INDEX(Services!$F$5:$F$204,MATCH(G438,Services!$A$5:$A$204,0))*1,0)))</f>
        <v>0</v>
      </c>
      <c r="V438" s="36">
        <f>IF(B438="","",IF(D438="","",D438+U438/1440))</f>
        <v>0</v>
      </c>
      <c r="W438" s="25">
        <f>IF(B438="","",IF(D438="","",HOUR(D438)))</f>
        <v>0</v>
      </c>
      <c r="X438" s="37">
        <f>IF(B438="","",ROUND(U438/60,2))</f>
        <v>0</v>
      </c>
      <c r="Y438" s="26">
        <f>IF(B438="","",IF(L438&lt;&gt;"",L438,IFERROR(INDEX(Services!$G$5:$G$204,MATCH(G438,Services!$A$5:$A$204,0))*1,0)))</f>
        <v>0</v>
      </c>
      <c r="Z438" s="26">
        <f>IF(B438="","",IF(O438&lt;&gt;"",O438,IF(Y438&gt;=DepositThreshold,ROUND(Y438*DepositPercent,2),0)))</f>
        <v>0</v>
      </c>
      <c r="AA438" s="26">
        <f>IF(B438="","",ROUND(SUMIFS(Payments!$G$5:$G$1204,Payments!$I$5:$I$1204,A438,Payments!$E$5:$E$1204,"Deposit"),2))</f>
        <v>0</v>
      </c>
      <c r="AB438" s="26">
        <f>IF(B438="","",ROUND(SUMIFS(Sales!$Y$5:$Y$1204,Sales!$C$5:$C$1204,A438),2))</f>
        <v>0</v>
      </c>
      <c r="AC438" s="38">
        <f>IF(B438="","",IF(M438="Completed","Yes",IF(M438="Cancelled","Yes",IF(M438="No show","Yes","No"))))</f>
        <v>0</v>
      </c>
      <c r="AD438" s="25">
        <f>IF(B438="","",IF(AE438="","",B438-AE438))</f>
        <v>0</v>
      </c>
      <c r="AF438" s="38">
        <f>IF(B438="","",IF(M438&lt;&gt;"Completed","",IF(E438="","No",IF(COUNTIFS(Appointments!$E$5:$E$1204,E438,Appointments!$B$5:$B$1204,"&gt;"&amp;B438,Appointments!$M$5:$M$1204,"&lt;&gt;Cancelled")&gt;0,"Yes","No"))))</f>
        <v>0</v>
      </c>
      <c r="AG438" s="38">
        <f>IF(B438="","",IF(I438="","",IF(D438="","",IF(COUNTIFS($I$5:$I$1204,I438,$B$5:$B$1204,B438,$D$5:$D$1204,"&lt;"&amp;V438,$V$5:$V$1204,"&gt;"&amp;D438,$M$5:$M$1204,"&lt;&gt;Cancelled")&gt;1,"Clash",""))))</f>
        <v>0</v>
      </c>
      <c r="AH438" s="39">
        <f>IF(B438="","",IF(AG438="Clash","Clash - stylist double booked",IF(I438="","Assign - no stylist yet",IF(G438="","Add - no service chosen",IF(M438="No show","No show - charge the fee?",IF(M438="Cancelled","",IF(IF(M438="Completed",AB438&lt;Y438-0.004,FALSE),"Unpaid - nothing rung up for this visit",IF(IF(B438&lt;TodayDate,M438="Booked",FALSE),"Overdue - past date, still only Booked",IF(IF(B438=TodayDate,TRUE,FALSE),"Today",IF(IF(Z438&gt;0,AA438&lt;Z438-0.004,FALSE),"Due - deposit not taken",IF(IF(B438&gt;TodayDate,B438&lt;=TodayDate+2,FALSE),"Confirm - coming up","OK")))))))))))</f>
        <v>0</v>
      </c>
    </row>
    <row r="439" spans="1:34">
      <c r="A439" s="28">
        <f>IF(B439="","",AppointmentPrefix&amp;TEXT(ROW()-4,"0000"))</f>
        <v>0</v>
      </c>
      <c r="C439" s="15">
        <f>IF(B439="","",TEXT(B439,"ddd"))</f>
        <v>0</v>
      </c>
      <c r="F439" s="15">
        <f>IF(E439="","",IFERROR(INDEX(Clients!$B$5:$B$504,MATCH(E439,Clients!$A$5:$A$504,0)),"Walk-in"))</f>
        <v>0</v>
      </c>
      <c r="H439" s="15">
        <f>IF(G439="","",IFERROR(INDEX(Services!$B$5:$B$204,MATCH(G439,Services!$A$5:$A$204,0)),"Not in Services"))</f>
        <v>0</v>
      </c>
      <c r="J439" s="15">
        <f>IF(I439="","",IFERROR(INDEX(Staff!$B$5:$B$44,MATCH(I439,Staff!$A$5:$A$44,0)),"Unassigned"))</f>
        <v>0</v>
      </c>
      <c r="S439" s="15">
        <f>IF(B439="","",TEXT(B439,"yyyy-mm"))</f>
        <v>0</v>
      </c>
      <c r="T439" s="25">
        <f>IF(B439="","",WEEKNUM(B439,2))</f>
        <v>0</v>
      </c>
      <c r="U439" s="25">
        <f>IF(B439="","",IF(K439&lt;&gt;"",K439,IFERROR(INDEX(Services!$E$5:$E$204,MATCH(G439,Services!$A$5:$A$204,0))*1,0)+IFERROR(INDEX(Services!$F$5:$F$204,MATCH(G439,Services!$A$5:$A$204,0))*1,0)))</f>
        <v>0</v>
      </c>
      <c r="V439" s="36">
        <f>IF(B439="","",IF(D439="","",D439+U439/1440))</f>
        <v>0</v>
      </c>
      <c r="W439" s="25">
        <f>IF(B439="","",IF(D439="","",HOUR(D439)))</f>
        <v>0</v>
      </c>
      <c r="X439" s="37">
        <f>IF(B439="","",ROUND(U439/60,2))</f>
        <v>0</v>
      </c>
      <c r="Y439" s="26">
        <f>IF(B439="","",IF(L439&lt;&gt;"",L439,IFERROR(INDEX(Services!$G$5:$G$204,MATCH(G439,Services!$A$5:$A$204,0))*1,0)))</f>
        <v>0</v>
      </c>
      <c r="Z439" s="26">
        <f>IF(B439="","",IF(O439&lt;&gt;"",O439,IF(Y439&gt;=DepositThreshold,ROUND(Y439*DepositPercent,2),0)))</f>
        <v>0</v>
      </c>
      <c r="AA439" s="26">
        <f>IF(B439="","",ROUND(SUMIFS(Payments!$G$5:$G$1204,Payments!$I$5:$I$1204,A439,Payments!$E$5:$E$1204,"Deposit"),2))</f>
        <v>0</v>
      </c>
      <c r="AB439" s="26">
        <f>IF(B439="","",ROUND(SUMIFS(Sales!$Y$5:$Y$1204,Sales!$C$5:$C$1204,A439),2))</f>
        <v>0</v>
      </c>
      <c r="AC439" s="38">
        <f>IF(B439="","",IF(M439="Completed","Yes",IF(M439="Cancelled","Yes",IF(M439="No show","Yes","No"))))</f>
        <v>0</v>
      </c>
      <c r="AD439" s="25">
        <f>IF(B439="","",IF(AE439="","",B439-AE439))</f>
        <v>0</v>
      </c>
      <c r="AF439" s="38">
        <f>IF(B439="","",IF(M439&lt;&gt;"Completed","",IF(E439="","No",IF(COUNTIFS(Appointments!$E$5:$E$1204,E439,Appointments!$B$5:$B$1204,"&gt;"&amp;B439,Appointments!$M$5:$M$1204,"&lt;&gt;Cancelled")&gt;0,"Yes","No"))))</f>
        <v>0</v>
      </c>
      <c r="AG439" s="38">
        <f>IF(B439="","",IF(I439="","",IF(D439="","",IF(COUNTIFS($I$5:$I$1204,I439,$B$5:$B$1204,B439,$D$5:$D$1204,"&lt;"&amp;V439,$V$5:$V$1204,"&gt;"&amp;D439,$M$5:$M$1204,"&lt;&gt;Cancelled")&gt;1,"Clash",""))))</f>
        <v>0</v>
      </c>
      <c r="AH439" s="39">
        <f>IF(B439="","",IF(AG439="Clash","Clash - stylist double booked",IF(I439="","Assign - no stylist yet",IF(G439="","Add - no service chosen",IF(M439="No show","No show - charge the fee?",IF(M439="Cancelled","",IF(IF(M439="Completed",AB439&lt;Y439-0.004,FALSE),"Unpaid - nothing rung up for this visit",IF(IF(B439&lt;TodayDate,M439="Booked",FALSE),"Overdue - past date, still only Booked",IF(IF(B439=TodayDate,TRUE,FALSE),"Today",IF(IF(Z439&gt;0,AA439&lt;Z439-0.004,FALSE),"Due - deposit not taken",IF(IF(B439&gt;TodayDate,B439&lt;=TodayDate+2,FALSE),"Confirm - coming up","OK")))))))))))</f>
        <v>0</v>
      </c>
    </row>
    <row r="440" spans="1:34">
      <c r="A440" s="28">
        <f>IF(B440="","",AppointmentPrefix&amp;TEXT(ROW()-4,"0000"))</f>
        <v>0</v>
      </c>
      <c r="C440" s="15">
        <f>IF(B440="","",TEXT(B440,"ddd"))</f>
        <v>0</v>
      </c>
      <c r="F440" s="15">
        <f>IF(E440="","",IFERROR(INDEX(Clients!$B$5:$B$504,MATCH(E440,Clients!$A$5:$A$504,0)),"Walk-in"))</f>
        <v>0</v>
      </c>
      <c r="H440" s="15">
        <f>IF(G440="","",IFERROR(INDEX(Services!$B$5:$B$204,MATCH(G440,Services!$A$5:$A$204,0)),"Not in Services"))</f>
        <v>0</v>
      </c>
      <c r="J440" s="15">
        <f>IF(I440="","",IFERROR(INDEX(Staff!$B$5:$B$44,MATCH(I440,Staff!$A$5:$A$44,0)),"Unassigned"))</f>
        <v>0</v>
      </c>
      <c r="S440" s="15">
        <f>IF(B440="","",TEXT(B440,"yyyy-mm"))</f>
        <v>0</v>
      </c>
      <c r="T440" s="25">
        <f>IF(B440="","",WEEKNUM(B440,2))</f>
        <v>0</v>
      </c>
      <c r="U440" s="25">
        <f>IF(B440="","",IF(K440&lt;&gt;"",K440,IFERROR(INDEX(Services!$E$5:$E$204,MATCH(G440,Services!$A$5:$A$204,0))*1,0)+IFERROR(INDEX(Services!$F$5:$F$204,MATCH(G440,Services!$A$5:$A$204,0))*1,0)))</f>
        <v>0</v>
      </c>
      <c r="V440" s="36">
        <f>IF(B440="","",IF(D440="","",D440+U440/1440))</f>
        <v>0</v>
      </c>
      <c r="W440" s="25">
        <f>IF(B440="","",IF(D440="","",HOUR(D440)))</f>
        <v>0</v>
      </c>
      <c r="X440" s="37">
        <f>IF(B440="","",ROUND(U440/60,2))</f>
        <v>0</v>
      </c>
      <c r="Y440" s="26">
        <f>IF(B440="","",IF(L440&lt;&gt;"",L440,IFERROR(INDEX(Services!$G$5:$G$204,MATCH(G440,Services!$A$5:$A$204,0))*1,0)))</f>
        <v>0</v>
      </c>
      <c r="Z440" s="26">
        <f>IF(B440="","",IF(O440&lt;&gt;"",O440,IF(Y440&gt;=DepositThreshold,ROUND(Y440*DepositPercent,2),0)))</f>
        <v>0</v>
      </c>
      <c r="AA440" s="26">
        <f>IF(B440="","",ROUND(SUMIFS(Payments!$G$5:$G$1204,Payments!$I$5:$I$1204,A440,Payments!$E$5:$E$1204,"Deposit"),2))</f>
        <v>0</v>
      </c>
      <c r="AB440" s="26">
        <f>IF(B440="","",ROUND(SUMIFS(Sales!$Y$5:$Y$1204,Sales!$C$5:$C$1204,A440),2))</f>
        <v>0</v>
      </c>
      <c r="AC440" s="38">
        <f>IF(B440="","",IF(M440="Completed","Yes",IF(M440="Cancelled","Yes",IF(M440="No show","Yes","No"))))</f>
        <v>0</v>
      </c>
      <c r="AD440" s="25">
        <f>IF(B440="","",IF(AE440="","",B440-AE440))</f>
        <v>0</v>
      </c>
      <c r="AF440" s="38">
        <f>IF(B440="","",IF(M440&lt;&gt;"Completed","",IF(E440="","No",IF(COUNTIFS(Appointments!$E$5:$E$1204,E440,Appointments!$B$5:$B$1204,"&gt;"&amp;B440,Appointments!$M$5:$M$1204,"&lt;&gt;Cancelled")&gt;0,"Yes","No"))))</f>
        <v>0</v>
      </c>
      <c r="AG440" s="38">
        <f>IF(B440="","",IF(I440="","",IF(D440="","",IF(COUNTIFS($I$5:$I$1204,I440,$B$5:$B$1204,B440,$D$5:$D$1204,"&lt;"&amp;V440,$V$5:$V$1204,"&gt;"&amp;D440,$M$5:$M$1204,"&lt;&gt;Cancelled")&gt;1,"Clash",""))))</f>
        <v>0</v>
      </c>
      <c r="AH440" s="39">
        <f>IF(B440="","",IF(AG440="Clash","Clash - stylist double booked",IF(I440="","Assign - no stylist yet",IF(G440="","Add - no service chosen",IF(M440="No show","No show - charge the fee?",IF(M440="Cancelled","",IF(IF(M440="Completed",AB440&lt;Y440-0.004,FALSE),"Unpaid - nothing rung up for this visit",IF(IF(B440&lt;TodayDate,M440="Booked",FALSE),"Overdue - past date, still only Booked",IF(IF(B440=TodayDate,TRUE,FALSE),"Today",IF(IF(Z440&gt;0,AA440&lt;Z440-0.004,FALSE),"Due - deposit not taken",IF(IF(B440&gt;TodayDate,B440&lt;=TodayDate+2,FALSE),"Confirm - coming up","OK")))))))))))</f>
        <v>0</v>
      </c>
    </row>
    <row r="441" spans="1:34">
      <c r="A441" s="28">
        <f>IF(B441="","",AppointmentPrefix&amp;TEXT(ROW()-4,"0000"))</f>
        <v>0</v>
      </c>
      <c r="C441" s="15">
        <f>IF(B441="","",TEXT(B441,"ddd"))</f>
        <v>0</v>
      </c>
      <c r="F441" s="15">
        <f>IF(E441="","",IFERROR(INDEX(Clients!$B$5:$B$504,MATCH(E441,Clients!$A$5:$A$504,0)),"Walk-in"))</f>
        <v>0</v>
      </c>
      <c r="H441" s="15">
        <f>IF(G441="","",IFERROR(INDEX(Services!$B$5:$B$204,MATCH(G441,Services!$A$5:$A$204,0)),"Not in Services"))</f>
        <v>0</v>
      </c>
      <c r="J441" s="15">
        <f>IF(I441="","",IFERROR(INDEX(Staff!$B$5:$B$44,MATCH(I441,Staff!$A$5:$A$44,0)),"Unassigned"))</f>
        <v>0</v>
      </c>
      <c r="S441" s="15">
        <f>IF(B441="","",TEXT(B441,"yyyy-mm"))</f>
        <v>0</v>
      </c>
      <c r="T441" s="25">
        <f>IF(B441="","",WEEKNUM(B441,2))</f>
        <v>0</v>
      </c>
      <c r="U441" s="25">
        <f>IF(B441="","",IF(K441&lt;&gt;"",K441,IFERROR(INDEX(Services!$E$5:$E$204,MATCH(G441,Services!$A$5:$A$204,0))*1,0)+IFERROR(INDEX(Services!$F$5:$F$204,MATCH(G441,Services!$A$5:$A$204,0))*1,0)))</f>
        <v>0</v>
      </c>
      <c r="V441" s="36">
        <f>IF(B441="","",IF(D441="","",D441+U441/1440))</f>
        <v>0</v>
      </c>
      <c r="W441" s="25">
        <f>IF(B441="","",IF(D441="","",HOUR(D441)))</f>
        <v>0</v>
      </c>
      <c r="X441" s="37">
        <f>IF(B441="","",ROUND(U441/60,2))</f>
        <v>0</v>
      </c>
      <c r="Y441" s="26">
        <f>IF(B441="","",IF(L441&lt;&gt;"",L441,IFERROR(INDEX(Services!$G$5:$G$204,MATCH(G441,Services!$A$5:$A$204,0))*1,0)))</f>
        <v>0</v>
      </c>
      <c r="Z441" s="26">
        <f>IF(B441="","",IF(O441&lt;&gt;"",O441,IF(Y441&gt;=DepositThreshold,ROUND(Y441*DepositPercent,2),0)))</f>
        <v>0</v>
      </c>
      <c r="AA441" s="26">
        <f>IF(B441="","",ROUND(SUMIFS(Payments!$G$5:$G$1204,Payments!$I$5:$I$1204,A441,Payments!$E$5:$E$1204,"Deposit"),2))</f>
        <v>0</v>
      </c>
      <c r="AB441" s="26">
        <f>IF(B441="","",ROUND(SUMIFS(Sales!$Y$5:$Y$1204,Sales!$C$5:$C$1204,A441),2))</f>
        <v>0</v>
      </c>
      <c r="AC441" s="38">
        <f>IF(B441="","",IF(M441="Completed","Yes",IF(M441="Cancelled","Yes",IF(M441="No show","Yes","No"))))</f>
        <v>0</v>
      </c>
      <c r="AD441" s="25">
        <f>IF(B441="","",IF(AE441="","",B441-AE441))</f>
        <v>0</v>
      </c>
      <c r="AF441" s="38">
        <f>IF(B441="","",IF(M441&lt;&gt;"Completed","",IF(E441="","No",IF(COUNTIFS(Appointments!$E$5:$E$1204,E441,Appointments!$B$5:$B$1204,"&gt;"&amp;B441,Appointments!$M$5:$M$1204,"&lt;&gt;Cancelled")&gt;0,"Yes","No"))))</f>
        <v>0</v>
      </c>
      <c r="AG441" s="38">
        <f>IF(B441="","",IF(I441="","",IF(D441="","",IF(COUNTIFS($I$5:$I$1204,I441,$B$5:$B$1204,B441,$D$5:$D$1204,"&lt;"&amp;V441,$V$5:$V$1204,"&gt;"&amp;D441,$M$5:$M$1204,"&lt;&gt;Cancelled")&gt;1,"Clash",""))))</f>
        <v>0</v>
      </c>
      <c r="AH441" s="39">
        <f>IF(B441="","",IF(AG441="Clash","Clash - stylist double booked",IF(I441="","Assign - no stylist yet",IF(G441="","Add - no service chosen",IF(M441="No show","No show - charge the fee?",IF(M441="Cancelled","",IF(IF(M441="Completed",AB441&lt;Y441-0.004,FALSE),"Unpaid - nothing rung up for this visit",IF(IF(B441&lt;TodayDate,M441="Booked",FALSE),"Overdue - past date, still only Booked",IF(IF(B441=TodayDate,TRUE,FALSE),"Today",IF(IF(Z441&gt;0,AA441&lt;Z441-0.004,FALSE),"Due - deposit not taken",IF(IF(B441&gt;TodayDate,B441&lt;=TodayDate+2,FALSE),"Confirm - coming up","OK")))))))))))</f>
        <v>0</v>
      </c>
    </row>
    <row r="442" spans="1:34">
      <c r="A442" s="28">
        <f>IF(B442="","",AppointmentPrefix&amp;TEXT(ROW()-4,"0000"))</f>
        <v>0</v>
      </c>
      <c r="C442" s="15">
        <f>IF(B442="","",TEXT(B442,"ddd"))</f>
        <v>0</v>
      </c>
      <c r="F442" s="15">
        <f>IF(E442="","",IFERROR(INDEX(Clients!$B$5:$B$504,MATCH(E442,Clients!$A$5:$A$504,0)),"Walk-in"))</f>
        <v>0</v>
      </c>
      <c r="H442" s="15">
        <f>IF(G442="","",IFERROR(INDEX(Services!$B$5:$B$204,MATCH(G442,Services!$A$5:$A$204,0)),"Not in Services"))</f>
        <v>0</v>
      </c>
      <c r="J442" s="15">
        <f>IF(I442="","",IFERROR(INDEX(Staff!$B$5:$B$44,MATCH(I442,Staff!$A$5:$A$44,0)),"Unassigned"))</f>
        <v>0</v>
      </c>
      <c r="S442" s="15">
        <f>IF(B442="","",TEXT(B442,"yyyy-mm"))</f>
        <v>0</v>
      </c>
      <c r="T442" s="25">
        <f>IF(B442="","",WEEKNUM(B442,2))</f>
        <v>0</v>
      </c>
      <c r="U442" s="25">
        <f>IF(B442="","",IF(K442&lt;&gt;"",K442,IFERROR(INDEX(Services!$E$5:$E$204,MATCH(G442,Services!$A$5:$A$204,0))*1,0)+IFERROR(INDEX(Services!$F$5:$F$204,MATCH(G442,Services!$A$5:$A$204,0))*1,0)))</f>
        <v>0</v>
      </c>
      <c r="V442" s="36">
        <f>IF(B442="","",IF(D442="","",D442+U442/1440))</f>
        <v>0</v>
      </c>
      <c r="W442" s="25">
        <f>IF(B442="","",IF(D442="","",HOUR(D442)))</f>
        <v>0</v>
      </c>
      <c r="X442" s="37">
        <f>IF(B442="","",ROUND(U442/60,2))</f>
        <v>0</v>
      </c>
      <c r="Y442" s="26">
        <f>IF(B442="","",IF(L442&lt;&gt;"",L442,IFERROR(INDEX(Services!$G$5:$G$204,MATCH(G442,Services!$A$5:$A$204,0))*1,0)))</f>
        <v>0</v>
      </c>
      <c r="Z442" s="26">
        <f>IF(B442="","",IF(O442&lt;&gt;"",O442,IF(Y442&gt;=DepositThreshold,ROUND(Y442*DepositPercent,2),0)))</f>
        <v>0</v>
      </c>
      <c r="AA442" s="26">
        <f>IF(B442="","",ROUND(SUMIFS(Payments!$G$5:$G$1204,Payments!$I$5:$I$1204,A442,Payments!$E$5:$E$1204,"Deposit"),2))</f>
        <v>0</v>
      </c>
      <c r="AB442" s="26">
        <f>IF(B442="","",ROUND(SUMIFS(Sales!$Y$5:$Y$1204,Sales!$C$5:$C$1204,A442),2))</f>
        <v>0</v>
      </c>
      <c r="AC442" s="38">
        <f>IF(B442="","",IF(M442="Completed","Yes",IF(M442="Cancelled","Yes",IF(M442="No show","Yes","No"))))</f>
        <v>0</v>
      </c>
      <c r="AD442" s="25">
        <f>IF(B442="","",IF(AE442="","",B442-AE442))</f>
        <v>0</v>
      </c>
      <c r="AF442" s="38">
        <f>IF(B442="","",IF(M442&lt;&gt;"Completed","",IF(E442="","No",IF(COUNTIFS(Appointments!$E$5:$E$1204,E442,Appointments!$B$5:$B$1204,"&gt;"&amp;B442,Appointments!$M$5:$M$1204,"&lt;&gt;Cancelled")&gt;0,"Yes","No"))))</f>
        <v>0</v>
      </c>
      <c r="AG442" s="38">
        <f>IF(B442="","",IF(I442="","",IF(D442="","",IF(COUNTIFS($I$5:$I$1204,I442,$B$5:$B$1204,B442,$D$5:$D$1204,"&lt;"&amp;V442,$V$5:$V$1204,"&gt;"&amp;D442,$M$5:$M$1204,"&lt;&gt;Cancelled")&gt;1,"Clash",""))))</f>
        <v>0</v>
      </c>
      <c r="AH442" s="39">
        <f>IF(B442="","",IF(AG442="Clash","Clash - stylist double booked",IF(I442="","Assign - no stylist yet",IF(G442="","Add - no service chosen",IF(M442="No show","No show - charge the fee?",IF(M442="Cancelled","",IF(IF(M442="Completed",AB442&lt;Y442-0.004,FALSE),"Unpaid - nothing rung up for this visit",IF(IF(B442&lt;TodayDate,M442="Booked",FALSE),"Overdue - past date, still only Booked",IF(IF(B442=TodayDate,TRUE,FALSE),"Today",IF(IF(Z442&gt;0,AA442&lt;Z442-0.004,FALSE),"Due - deposit not taken",IF(IF(B442&gt;TodayDate,B442&lt;=TodayDate+2,FALSE),"Confirm - coming up","OK")))))))))))</f>
        <v>0</v>
      </c>
    </row>
    <row r="443" spans="1:34">
      <c r="A443" s="28">
        <f>IF(B443="","",AppointmentPrefix&amp;TEXT(ROW()-4,"0000"))</f>
        <v>0</v>
      </c>
      <c r="C443" s="15">
        <f>IF(B443="","",TEXT(B443,"ddd"))</f>
        <v>0</v>
      </c>
      <c r="F443" s="15">
        <f>IF(E443="","",IFERROR(INDEX(Clients!$B$5:$B$504,MATCH(E443,Clients!$A$5:$A$504,0)),"Walk-in"))</f>
        <v>0</v>
      </c>
      <c r="H443" s="15">
        <f>IF(G443="","",IFERROR(INDEX(Services!$B$5:$B$204,MATCH(G443,Services!$A$5:$A$204,0)),"Not in Services"))</f>
        <v>0</v>
      </c>
      <c r="J443" s="15">
        <f>IF(I443="","",IFERROR(INDEX(Staff!$B$5:$B$44,MATCH(I443,Staff!$A$5:$A$44,0)),"Unassigned"))</f>
        <v>0</v>
      </c>
      <c r="S443" s="15">
        <f>IF(B443="","",TEXT(B443,"yyyy-mm"))</f>
        <v>0</v>
      </c>
      <c r="T443" s="25">
        <f>IF(B443="","",WEEKNUM(B443,2))</f>
        <v>0</v>
      </c>
      <c r="U443" s="25">
        <f>IF(B443="","",IF(K443&lt;&gt;"",K443,IFERROR(INDEX(Services!$E$5:$E$204,MATCH(G443,Services!$A$5:$A$204,0))*1,0)+IFERROR(INDEX(Services!$F$5:$F$204,MATCH(G443,Services!$A$5:$A$204,0))*1,0)))</f>
        <v>0</v>
      </c>
      <c r="V443" s="36">
        <f>IF(B443="","",IF(D443="","",D443+U443/1440))</f>
        <v>0</v>
      </c>
      <c r="W443" s="25">
        <f>IF(B443="","",IF(D443="","",HOUR(D443)))</f>
        <v>0</v>
      </c>
      <c r="X443" s="37">
        <f>IF(B443="","",ROUND(U443/60,2))</f>
        <v>0</v>
      </c>
      <c r="Y443" s="26">
        <f>IF(B443="","",IF(L443&lt;&gt;"",L443,IFERROR(INDEX(Services!$G$5:$G$204,MATCH(G443,Services!$A$5:$A$204,0))*1,0)))</f>
        <v>0</v>
      </c>
      <c r="Z443" s="26">
        <f>IF(B443="","",IF(O443&lt;&gt;"",O443,IF(Y443&gt;=DepositThreshold,ROUND(Y443*DepositPercent,2),0)))</f>
        <v>0</v>
      </c>
      <c r="AA443" s="26">
        <f>IF(B443="","",ROUND(SUMIFS(Payments!$G$5:$G$1204,Payments!$I$5:$I$1204,A443,Payments!$E$5:$E$1204,"Deposit"),2))</f>
        <v>0</v>
      </c>
      <c r="AB443" s="26">
        <f>IF(B443="","",ROUND(SUMIFS(Sales!$Y$5:$Y$1204,Sales!$C$5:$C$1204,A443),2))</f>
        <v>0</v>
      </c>
      <c r="AC443" s="38">
        <f>IF(B443="","",IF(M443="Completed","Yes",IF(M443="Cancelled","Yes",IF(M443="No show","Yes","No"))))</f>
        <v>0</v>
      </c>
      <c r="AD443" s="25">
        <f>IF(B443="","",IF(AE443="","",B443-AE443))</f>
        <v>0</v>
      </c>
      <c r="AF443" s="38">
        <f>IF(B443="","",IF(M443&lt;&gt;"Completed","",IF(E443="","No",IF(COUNTIFS(Appointments!$E$5:$E$1204,E443,Appointments!$B$5:$B$1204,"&gt;"&amp;B443,Appointments!$M$5:$M$1204,"&lt;&gt;Cancelled")&gt;0,"Yes","No"))))</f>
        <v>0</v>
      </c>
      <c r="AG443" s="38">
        <f>IF(B443="","",IF(I443="","",IF(D443="","",IF(COUNTIFS($I$5:$I$1204,I443,$B$5:$B$1204,B443,$D$5:$D$1204,"&lt;"&amp;V443,$V$5:$V$1204,"&gt;"&amp;D443,$M$5:$M$1204,"&lt;&gt;Cancelled")&gt;1,"Clash",""))))</f>
        <v>0</v>
      </c>
      <c r="AH443" s="39">
        <f>IF(B443="","",IF(AG443="Clash","Clash - stylist double booked",IF(I443="","Assign - no stylist yet",IF(G443="","Add - no service chosen",IF(M443="No show","No show - charge the fee?",IF(M443="Cancelled","",IF(IF(M443="Completed",AB443&lt;Y443-0.004,FALSE),"Unpaid - nothing rung up for this visit",IF(IF(B443&lt;TodayDate,M443="Booked",FALSE),"Overdue - past date, still only Booked",IF(IF(B443=TodayDate,TRUE,FALSE),"Today",IF(IF(Z443&gt;0,AA443&lt;Z443-0.004,FALSE),"Due - deposit not taken",IF(IF(B443&gt;TodayDate,B443&lt;=TodayDate+2,FALSE),"Confirm - coming up","OK")))))))))))</f>
        <v>0</v>
      </c>
    </row>
    <row r="444" spans="1:34">
      <c r="A444" s="28">
        <f>IF(B444="","",AppointmentPrefix&amp;TEXT(ROW()-4,"0000"))</f>
        <v>0</v>
      </c>
      <c r="C444" s="15">
        <f>IF(B444="","",TEXT(B444,"ddd"))</f>
        <v>0</v>
      </c>
      <c r="F444" s="15">
        <f>IF(E444="","",IFERROR(INDEX(Clients!$B$5:$B$504,MATCH(E444,Clients!$A$5:$A$504,0)),"Walk-in"))</f>
        <v>0</v>
      </c>
      <c r="H444" s="15">
        <f>IF(G444="","",IFERROR(INDEX(Services!$B$5:$B$204,MATCH(G444,Services!$A$5:$A$204,0)),"Not in Services"))</f>
        <v>0</v>
      </c>
      <c r="J444" s="15">
        <f>IF(I444="","",IFERROR(INDEX(Staff!$B$5:$B$44,MATCH(I444,Staff!$A$5:$A$44,0)),"Unassigned"))</f>
        <v>0</v>
      </c>
      <c r="S444" s="15">
        <f>IF(B444="","",TEXT(B444,"yyyy-mm"))</f>
        <v>0</v>
      </c>
      <c r="T444" s="25">
        <f>IF(B444="","",WEEKNUM(B444,2))</f>
        <v>0</v>
      </c>
      <c r="U444" s="25">
        <f>IF(B444="","",IF(K444&lt;&gt;"",K444,IFERROR(INDEX(Services!$E$5:$E$204,MATCH(G444,Services!$A$5:$A$204,0))*1,0)+IFERROR(INDEX(Services!$F$5:$F$204,MATCH(G444,Services!$A$5:$A$204,0))*1,0)))</f>
        <v>0</v>
      </c>
      <c r="V444" s="36">
        <f>IF(B444="","",IF(D444="","",D444+U444/1440))</f>
        <v>0</v>
      </c>
      <c r="W444" s="25">
        <f>IF(B444="","",IF(D444="","",HOUR(D444)))</f>
        <v>0</v>
      </c>
      <c r="X444" s="37">
        <f>IF(B444="","",ROUND(U444/60,2))</f>
        <v>0</v>
      </c>
      <c r="Y444" s="26">
        <f>IF(B444="","",IF(L444&lt;&gt;"",L444,IFERROR(INDEX(Services!$G$5:$G$204,MATCH(G444,Services!$A$5:$A$204,0))*1,0)))</f>
        <v>0</v>
      </c>
      <c r="Z444" s="26">
        <f>IF(B444="","",IF(O444&lt;&gt;"",O444,IF(Y444&gt;=DepositThreshold,ROUND(Y444*DepositPercent,2),0)))</f>
        <v>0</v>
      </c>
      <c r="AA444" s="26">
        <f>IF(B444="","",ROUND(SUMIFS(Payments!$G$5:$G$1204,Payments!$I$5:$I$1204,A444,Payments!$E$5:$E$1204,"Deposit"),2))</f>
        <v>0</v>
      </c>
      <c r="AB444" s="26">
        <f>IF(B444="","",ROUND(SUMIFS(Sales!$Y$5:$Y$1204,Sales!$C$5:$C$1204,A444),2))</f>
        <v>0</v>
      </c>
      <c r="AC444" s="38">
        <f>IF(B444="","",IF(M444="Completed","Yes",IF(M444="Cancelled","Yes",IF(M444="No show","Yes","No"))))</f>
        <v>0</v>
      </c>
      <c r="AD444" s="25">
        <f>IF(B444="","",IF(AE444="","",B444-AE444))</f>
        <v>0</v>
      </c>
      <c r="AF444" s="38">
        <f>IF(B444="","",IF(M444&lt;&gt;"Completed","",IF(E444="","No",IF(COUNTIFS(Appointments!$E$5:$E$1204,E444,Appointments!$B$5:$B$1204,"&gt;"&amp;B444,Appointments!$M$5:$M$1204,"&lt;&gt;Cancelled")&gt;0,"Yes","No"))))</f>
        <v>0</v>
      </c>
      <c r="AG444" s="38">
        <f>IF(B444="","",IF(I444="","",IF(D444="","",IF(COUNTIFS($I$5:$I$1204,I444,$B$5:$B$1204,B444,$D$5:$D$1204,"&lt;"&amp;V444,$V$5:$V$1204,"&gt;"&amp;D444,$M$5:$M$1204,"&lt;&gt;Cancelled")&gt;1,"Clash",""))))</f>
        <v>0</v>
      </c>
      <c r="AH444" s="39">
        <f>IF(B444="","",IF(AG444="Clash","Clash - stylist double booked",IF(I444="","Assign - no stylist yet",IF(G444="","Add - no service chosen",IF(M444="No show","No show - charge the fee?",IF(M444="Cancelled","",IF(IF(M444="Completed",AB444&lt;Y444-0.004,FALSE),"Unpaid - nothing rung up for this visit",IF(IF(B444&lt;TodayDate,M444="Booked",FALSE),"Overdue - past date, still only Booked",IF(IF(B444=TodayDate,TRUE,FALSE),"Today",IF(IF(Z444&gt;0,AA444&lt;Z444-0.004,FALSE),"Due - deposit not taken",IF(IF(B444&gt;TodayDate,B444&lt;=TodayDate+2,FALSE),"Confirm - coming up","OK")))))))))))</f>
        <v>0</v>
      </c>
    </row>
    <row r="445" spans="1:34">
      <c r="A445" s="28">
        <f>IF(B445="","",AppointmentPrefix&amp;TEXT(ROW()-4,"0000"))</f>
        <v>0</v>
      </c>
      <c r="C445" s="15">
        <f>IF(B445="","",TEXT(B445,"ddd"))</f>
        <v>0</v>
      </c>
      <c r="F445" s="15">
        <f>IF(E445="","",IFERROR(INDEX(Clients!$B$5:$B$504,MATCH(E445,Clients!$A$5:$A$504,0)),"Walk-in"))</f>
        <v>0</v>
      </c>
      <c r="H445" s="15">
        <f>IF(G445="","",IFERROR(INDEX(Services!$B$5:$B$204,MATCH(G445,Services!$A$5:$A$204,0)),"Not in Services"))</f>
        <v>0</v>
      </c>
      <c r="J445" s="15">
        <f>IF(I445="","",IFERROR(INDEX(Staff!$B$5:$B$44,MATCH(I445,Staff!$A$5:$A$44,0)),"Unassigned"))</f>
        <v>0</v>
      </c>
      <c r="S445" s="15">
        <f>IF(B445="","",TEXT(B445,"yyyy-mm"))</f>
        <v>0</v>
      </c>
      <c r="T445" s="25">
        <f>IF(B445="","",WEEKNUM(B445,2))</f>
        <v>0</v>
      </c>
      <c r="U445" s="25">
        <f>IF(B445="","",IF(K445&lt;&gt;"",K445,IFERROR(INDEX(Services!$E$5:$E$204,MATCH(G445,Services!$A$5:$A$204,0))*1,0)+IFERROR(INDEX(Services!$F$5:$F$204,MATCH(G445,Services!$A$5:$A$204,0))*1,0)))</f>
        <v>0</v>
      </c>
      <c r="V445" s="36">
        <f>IF(B445="","",IF(D445="","",D445+U445/1440))</f>
        <v>0</v>
      </c>
      <c r="W445" s="25">
        <f>IF(B445="","",IF(D445="","",HOUR(D445)))</f>
        <v>0</v>
      </c>
      <c r="X445" s="37">
        <f>IF(B445="","",ROUND(U445/60,2))</f>
        <v>0</v>
      </c>
      <c r="Y445" s="26">
        <f>IF(B445="","",IF(L445&lt;&gt;"",L445,IFERROR(INDEX(Services!$G$5:$G$204,MATCH(G445,Services!$A$5:$A$204,0))*1,0)))</f>
        <v>0</v>
      </c>
      <c r="Z445" s="26">
        <f>IF(B445="","",IF(O445&lt;&gt;"",O445,IF(Y445&gt;=DepositThreshold,ROUND(Y445*DepositPercent,2),0)))</f>
        <v>0</v>
      </c>
      <c r="AA445" s="26">
        <f>IF(B445="","",ROUND(SUMIFS(Payments!$G$5:$G$1204,Payments!$I$5:$I$1204,A445,Payments!$E$5:$E$1204,"Deposit"),2))</f>
        <v>0</v>
      </c>
      <c r="AB445" s="26">
        <f>IF(B445="","",ROUND(SUMIFS(Sales!$Y$5:$Y$1204,Sales!$C$5:$C$1204,A445),2))</f>
        <v>0</v>
      </c>
      <c r="AC445" s="38">
        <f>IF(B445="","",IF(M445="Completed","Yes",IF(M445="Cancelled","Yes",IF(M445="No show","Yes","No"))))</f>
        <v>0</v>
      </c>
      <c r="AD445" s="25">
        <f>IF(B445="","",IF(AE445="","",B445-AE445))</f>
        <v>0</v>
      </c>
      <c r="AF445" s="38">
        <f>IF(B445="","",IF(M445&lt;&gt;"Completed","",IF(E445="","No",IF(COUNTIFS(Appointments!$E$5:$E$1204,E445,Appointments!$B$5:$B$1204,"&gt;"&amp;B445,Appointments!$M$5:$M$1204,"&lt;&gt;Cancelled")&gt;0,"Yes","No"))))</f>
        <v>0</v>
      </c>
      <c r="AG445" s="38">
        <f>IF(B445="","",IF(I445="","",IF(D445="","",IF(COUNTIFS($I$5:$I$1204,I445,$B$5:$B$1204,B445,$D$5:$D$1204,"&lt;"&amp;V445,$V$5:$V$1204,"&gt;"&amp;D445,$M$5:$M$1204,"&lt;&gt;Cancelled")&gt;1,"Clash",""))))</f>
        <v>0</v>
      </c>
      <c r="AH445" s="39">
        <f>IF(B445="","",IF(AG445="Clash","Clash - stylist double booked",IF(I445="","Assign - no stylist yet",IF(G445="","Add - no service chosen",IF(M445="No show","No show - charge the fee?",IF(M445="Cancelled","",IF(IF(M445="Completed",AB445&lt;Y445-0.004,FALSE),"Unpaid - nothing rung up for this visit",IF(IF(B445&lt;TodayDate,M445="Booked",FALSE),"Overdue - past date, still only Booked",IF(IF(B445=TodayDate,TRUE,FALSE),"Today",IF(IF(Z445&gt;0,AA445&lt;Z445-0.004,FALSE),"Due - deposit not taken",IF(IF(B445&gt;TodayDate,B445&lt;=TodayDate+2,FALSE),"Confirm - coming up","OK")))))))))))</f>
        <v>0</v>
      </c>
    </row>
    <row r="446" spans="1:34">
      <c r="A446" s="28">
        <f>IF(B446="","",AppointmentPrefix&amp;TEXT(ROW()-4,"0000"))</f>
        <v>0</v>
      </c>
      <c r="C446" s="15">
        <f>IF(B446="","",TEXT(B446,"ddd"))</f>
        <v>0</v>
      </c>
      <c r="F446" s="15">
        <f>IF(E446="","",IFERROR(INDEX(Clients!$B$5:$B$504,MATCH(E446,Clients!$A$5:$A$504,0)),"Walk-in"))</f>
        <v>0</v>
      </c>
      <c r="H446" s="15">
        <f>IF(G446="","",IFERROR(INDEX(Services!$B$5:$B$204,MATCH(G446,Services!$A$5:$A$204,0)),"Not in Services"))</f>
        <v>0</v>
      </c>
      <c r="J446" s="15">
        <f>IF(I446="","",IFERROR(INDEX(Staff!$B$5:$B$44,MATCH(I446,Staff!$A$5:$A$44,0)),"Unassigned"))</f>
        <v>0</v>
      </c>
      <c r="S446" s="15">
        <f>IF(B446="","",TEXT(B446,"yyyy-mm"))</f>
        <v>0</v>
      </c>
      <c r="T446" s="25">
        <f>IF(B446="","",WEEKNUM(B446,2))</f>
        <v>0</v>
      </c>
      <c r="U446" s="25">
        <f>IF(B446="","",IF(K446&lt;&gt;"",K446,IFERROR(INDEX(Services!$E$5:$E$204,MATCH(G446,Services!$A$5:$A$204,0))*1,0)+IFERROR(INDEX(Services!$F$5:$F$204,MATCH(G446,Services!$A$5:$A$204,0))*1,0)))</f>
        <v>0</v>
      </c>
      <c r="V446" s="36">
        <f>IF(B446="","",IF(D446="","",D446+U446/1440))</f>
        <v>0</v>
      </c>
      <c r="W446" s="25">
        <f>IF(B446="","",IF(D446="","",HOUR(D446)))</f>
        <v>0</v>
      </c>
      <c r="X446" s="37">
        <f>IF(B446="","",ROUND(U446/60,2))</f>
        <v>0</v>
      </c>
      <c r="Y446" s="26">
        <f>IF(B446="","",IF(L446&lt;&gt;"",L446,IFERROR(INDEX(Services!$G$5:$G$204,MATCH(G446,Services!$A$5:$A$204,0))*1,0)))</f>
        <v>0</v>
      </c>
      <c r="Z446" s="26">
        <f>IF(B446="","",IF(O446&lt;&gt;"",O446,IF(Y446&gt;=DepositThreshold,ROUND(Y446*DepositPercent,2),0)))</f>
        <v>0</v>
      </c>
      <c r="AA446" s="26">
        <f>IF(B446="","",ROUND(SUMIFS(Payments!$G$5:$G$1204,Payments!$I$5:$I$1204,A446,Payments!$E$5:$E$1204,"Deposit"),2))</f>
        <v>0</v>
      </c>
      <c r="AB446" s="26">
        <f>IF(B446="","",ROUND(SUMIFS(Sales!$Y$5:$Y$1204,Sales!$C$5:$C$1204,A446),2))</f>
        <v>0</v>
      </c>
      <c r="AC446" s="38">
        <f>IF(B446="","",IF(M446="Completed","Yes",IF(M446="Cancelled","Yes",IF(M446="No show","Yes","No"))))</f>
        <v>0</v>
      </c>
      <c r="AD446" s="25">
        <f>IF(B446="","",IF(AE446="","",B446-AE446))</f>
        <v>0</v>
      </c>
      <c r="AF446" s="38">
        <f>IF(B446="","",IF(M446&lt;&gt;"Completed","",IF(E446="","No",IF(COUNTIFS(Appointments!$E$5:$E$1204,E446,Appointments!$B$5:$B$1204,"&gt;"&amp;B446,Appointments!$M$5:$M$1204,"&lt;&gt;Cancelled")&gt;0,"Yes","No"))))</f>
        <v>0</v>
      </c>
      <c r="AG446" s="38">
        <f>IF(B446="","",IF(I446="","",IF(D446="","",IF(COUNTIFS($I$5:$I$1204,I446,$B$5:$B$1204,B446,$D$5:$D$1204,"&lt;"&amp;V446,$V$5:$V$1204,"&gt;"&amp;D446,$M$5:$M$1204,"&lt;&gt;Cancelled")&gt;1,"Clash",""))))</f>
        <v>0</v>
      </c>
      <c r="AH446" s="39">
        <f>IF(B446="","",IF(AG446="Clash","Clash - stylist double booked",IF(I446="","Assign - no stylist yet",IF(G446="","Add - no service chosen",IF(M446="No show","No show - charge the fee?",IF(M446="Cancelled","",IF(IF(M446="Completed",AB446&lt;Y446-0.004,FALSE),"Unpaid - nothing rung up for this visit",IF(IF(B446&lt;TodayDate,M446="Booked",FALSE),"Overdue - past date, still only Booked",IF(IF(B446=TodayDate,TRUE,FALSE),"Today",IF(IF(Z446&gt;0,AA446&lt;Z446-0.004,FALSE),"Due - deposit not taken",IF(IF(B446&gt;TodayDate,B446&lt;=TodayDate+2,FALSE),"Confirm - coming up","OK")))))))))))</f>
        <v>0</v>
      </c>
    </row>
    <row r="447" spans="1:34">
      <c r="A447" s="28">
        <f>IF(B447="","",AppointmentPrefix&amp;TEXT(ROW()-4,"0000"))</f>
        <v>0</v>
      </c>
      <c r="C447" s="15">
        <f>IF(B447="","",TEXT(B447,"ddd"))</f>
        <v>0</v>
      </c>
      <c r="F447" s="15">
        <f>IF(E447="","",IFERROR(INDEX(Clients!$B$5:$B$504,MATCH(E447,Clients!$A$5:$A$504,0)),"Walk-in"))</f>
        <v>0</v>
      </c>
      <c r="H447" s="15">
        <f>IF(G447="","",IFERROR(INDEX(Services!$B$5:$B$204,MATCH(G447,Services!$A$5:$A$204,0)),"Not in Services"))</f>
        <v>0</v>
      </c>
      <c r="J447" s="15">
        <f>IF(I447="","",IFERROR(INDEX(Staff!$B$5:$B$44,MATCH(I447,Staff!$A$5:$A$44,0)),"Unassigned"))</f>
        <v>0</v>
      </c>
      <c r="S447" s="15">
        <f>IF(B447="","",TEXT(B447,"yyyy-mm"))</f>
        <v>0</v>
      </c>
      <c r="T447" s="25">
        <f>IF(B447="","",WEEKNUM(B447,2))</f>
        <v>0</v>
      </c>
      <c r="U447" s="25">
        <f>IF(B447="","",IF(K447&lt;&gt;"",K447,IFERROR(INDEX(Services!$E$5:$E$204,MATCH(G447,Services!$A$5:$A$204,0))*1,0)+IFERROR(INDEX(Services!$F$5:$F$204,MATCH(G447,Services!$A$5:$A$204,0))*1,0)))</f>
        <v>0</v>
      </c>
      <c r="V447" s="36">
        <f>IF(B447="","",IF(D447="","",D447+U447/1440))</f>
        <v>0</v>
      </c>
      <c r="W447" s="25">
        <f>IF(B447="","",IF(D447="","",HOUR(D447)))</f>
        <v>0</v>
      </c>
      <c r="X447" s="37">
        <f>IF(B447="","",ROUND(U447/60,2))</f>
        <v>0</v>
      </c>
      <c r="Y447" s="26">
        <f>IF(B447="","",IF(L447&lt;&gt;"",L447,IFERROR(INDEX(Services!$G$5:$G$204,MATCH(G447,Services!$A$5:$A$204,0))*1,0)))</f>
        <v>0</v>
      </c>
      <c r="Z447" s="26">
        <f>IF(B447="","",IF(O447&lt;&gt;"",O447,IF(Y447&gt;=DepositThreshold,ROUND(Y447*DepositPercent,2),0)))</f>
        <v>0</v>
      </c>
      <c r="AA447" s="26">
        <f>IF(B447="","",ROUND(SUMIFS(Payments!$G$5:$G$1204,Payments!$I$5:$I$1204,A447,Payments!$E$5:$E$1204,"Deposit"),2))</f>
        <v>0</v>
      </c>
      <c r="AB447" s="26">
        <f>IF(B447="","",ROUND(SUMIFS(Sales!$Y$5:$Y$1204,Sales!$C$5:$C$1204,A447),2))</f>
        <v>0</v>
      </c>
      <c r="AC447" s="38">
        <f>IF(B447="","",IF(M447="Completed","Yes",IF(M447="Cancelled","Yes",IF(M447="No show","Yes","No"))))</f>
        <v>0</v>
      </c>
      <c r="AD447" s="25">
        <f>IF(B447="","",IF(AE447="","",B447-AE447))</f>
        <v>0</v>
      </c>
      <c r="AF447" s="38">
        <f>IF(B447="","",IF(M447&lt;&gt;"Completed","",IF(E447="","No",IF(COUNTIFS(Appointments!$E$5:$E$1204,E447,Appointments!$B$5:$B$1204,"&gt;"&amp;B447,Appointments!$M$5:$M$1204,"&lt;&gt;Cancelled")&gt;0,"Yes","No"))))</f>
        <v>0</v>
      </c>
      <c r="AG447" s="38">
        <f>IF(B447="","",IF(I447="","",IF(D447="","",IF(COUNTIFS($I$5:$I$1204,I447,$B$5:$B$1204,B447,$D$5:$D$1204,"&lt;"&amp;V447,$V$5:$V$1204,"&gt;"&amp;D447,$M$5:$M$1204,"&lt;&gt;Cancelled")&gt;1,"Clash",""))))</f>
        <v>0</v>
      </c>
      <c r="AH447" s="39">
        <f>IF(B447="","",IF(AG447="Clash","Clash - stylist double booked",IF(I447="","Assign - no stylist yet",IF(G447="","Add - no service chosen",IF(M447="No show","No show - charge the fee?",IF(M447="Cancelled","",IF(IF(M447="Completed",AB447&lt;Y447-0.004,FALSE),"Unpaid - nothing rung up for this visit",IF(IF(B447&lt;TodayDate,M447="Booked",FALSE),"Overdue - past date, still only Booked",IF(IF(B447=TodayDate,TRUE,FALSE),"Today",IF(IF(Z447&gt;0,AA447&lt;Z447-0.004,FALSE),"Due - deposit not taken",IF(IF(B447&gt;TodayDate,B447&lt;=TodayDate+2,FALSE),"Confirm - coming up","OK")))))))))))</f>
        <v>0</v>
      </c>
    </row>
    <row r="448" spans="1:34">
      <c r="A448" s="28">
        <f>IF(B448="","",AppointmentPrefix&amp;TEXT(ROW()-4,"0000"))</f>
        <v>0</v>
      </c>
      <c r="C448" s="15">
        <f>IF(B448="","",TEXT(B448,"ddd"))</f>
        <v>0</v>
      </c>
      <c r="F448" s="15">
        <f>IF(E448="","",IFERROR(INDEX(Clients!$B$5:$B$504,MATCH(E448,Clients!$A$5:$A$504,0)),"Walk-in"))</f>
        <v>0</v>
      </c>
      <c r="H448" s="15">
        <f>IF(G448="","",IFERROR(INDEX(Services!$B$5:$B$204,MATCH(G448,Services!$A$5:$A$204,0)),"Not in Services"))</f>
        <v>0</v>
      </c>
      <c r="J448" s="15">
        <f>IF(I448="","",IFERROR(INDEX(Staff!$B$5:$B$44,MATCH(I448,Staff!$A$5:$A$44,0)),"Unassigned"))</f>
        <v>0</v>
      </c>
      <c r="S448" s="15">
        <f>IF(B448="","",TEXT(B448,"yyyy-mm"))</f>
        <v>0</v>
      </c>
      <c r="T448" s="25">
        <f>IF(B448="","",WEEKNUM(B448,2))</f>
        <v>0</v>
      </c>
      <c r="U448" s="25">
        <f>IF(B448="","",IF(K448&lt;&gt;"",K448,IFERROR(INDEX(Services!$E$5:$E$204,MATCH(G448,Services!$A$5:$A$204,0))*1,0)+IFERROR(INDEX(Services!$F$5:$F$204,MATCH(G448,Services!$A$5:$A$204,0))*1,0)))</f>
        <v>0</v>
      </c>
      <c r="V448" s="36">
        <f>IF(B448="","",IF(D448="","",D448+U448/1440))</f>
        <v>0</v>
      </c>
      <c r="W448" s="25">
        <f>IF(B448="","",IF(D448="","",HOUR(D448)))</f>
        <v>0</v>
      </c>
      <c r="X448" s="37">
        <f>IF(B448="","",ROUND(U448/60,2))</f>
        <v>0</v>
      </c>
      <c r="Y448" s="26">
        <f>IF(B448="","",IF(L448&lt;&gt;"",L448,IFERROR(INDEX(Services!$G$5:$G$204,MATCH(G448,Services!$A$5:$A$204,0))*1,0)))</f>
        <v>0</v>
      </c>
      <c r="Z448" s="26">
        <f>IF(B448="","",IF(O448&lt;&gt;"",O448,IF(Y448&gt;=DepositThreshold,ROUND(Y448*DepositPercent,2),0)))</f>
        <v>0</v>
      </c>
      <c r="AA448" s="26">
        <f>IF(B448="","",ROUND(SUMIFS(Payments!$G$5:$G$1204,Payments!$I$5:$I$1204,A448,Payments!$E$5:$E$1204,"Deposit"),2))</f>
        <v>0</v>
      </c>
      <c r="AB448" s="26">
        <f>IF(B448="","",ROUND(SUMIFS(Sales!$Y$5:$Y$1204,Sales!$C$5:$C$1204,A448),2))</f>
        <v>0</v>
      </c>
      <c r="AC448" s="38">
        <f>IF(B448="","",IF(M448="Completed","Yes",IF(M448="Cancelled","Yes",IF(M448="No show","Yes","No"))))</f>
        <v>0</v>
      </c>
      <c r="AD448" s="25">
        <f>IF(B448="","",IF(AE448="","",B448-AE448))</f>
        <v>0</v>
      </c>
      <c r="AF448" s="38">
        <f>IF(B448="","",IF(M448&lt;&gt;"Completed","",IF(E448="","No",IF(COUNTIFS(Appointments!$E$5:$E$1204,E448,Appointments!$B$5:$B$1204,"&gt;"&amp;B448,Appointments!$M$5:$M$1204,"&lt;&gt;Cancelled")&gt;0,"Yes","No"))))</f>
        <v>0</v>
      </c>
      <c r="AG448" s="38">
        <f>IF(B448="","",IF(I448="","",IF(D448="","",IF(COUNTIFS($I$5:$I$1204,I448,$B$5:$B$1204,B448,$D$5:$D$1204,"&lt;"&amp;V448,$V$5:$V$1204,"&gt;"&amp;D448,$M$5:$M$1204,"&lt;&gt;Cancelled")&gt;1,"Clash",""))))</f>
        <v>0</v>
      </c>
      <c r="AH448" s="39">
        <f>IF(B448="","",IF(AG448="Clash","Clash - stylist double booked",IF(I448="","Assign - no stylist yet",IF(G448="","Add - no service chosen",IF(M448="No show","No show - charge the fee?",IF(M448="Cancelled","",IF(IF(M448="Completed",AB448&lt;Y448-0.004,FALSE),"Unpaid - nothing rung up for this visit",IF(IF(B448&lt;TodayDate,M448="Booked",FALSE),"Overdue - past date, still only Booked",IF(IF(B448=TodayDate,TRUE,FALSE),"Today",IF(IF(Z448&gt;0,AA448&lt;Z448-0.004,FALSE),"Due - deposit not taken",IF(IF(B448&gt;TodayDate,B448&lt;=TodayDate+2,FALSE),"Confirm - coming up","OK")))))))))))</f>
        <v>0</v>
      </c>
    </row>
    <row r="449" spans="1:34">
      <c r="A449" s="28">
        <f>IF(B449="","",AppointmentPrefix&amp;TEXT(ROW()-4,"0000"))</f>
        <v>0</v>
      </c>
      <c r="C449" s="15">
        <f>IF(B449="","",TEXT(B449,"ddd"))</f>
        <v>0</v>
      </c>
      <c r="F449" s="15">
        <f>IF(E449="","",IFERROR(INDEX(Clients!$B$5:$B$504,MATCH(E449,Clients!$A$5:$A$504,0)),"Walk-in"))</f>
        <v>0</v>
      </c>
      <c r="H449" s="15">
        <f>IF(G449="","",IFERROR(INDEX(Services!$B$5:$B$204,MATCH(G449,Services!$A$5:$A$204,0)),"Not in Services"))</f>
        <v>0</v>
      </c>
      <c r="J449" s="15">
        <f>IF(I449="","",IFERROR(INDEX(Staff!$B$5:$B$44,MATCH(I449,Staff!$A$5:$A$44,0)),"Unassigned"))</f>
        <v>0</v>
      </c>
      <c r="S449" s="15">
        <f>IF(B449="","",TEXT(B449,"yyyy-mm"))</f>
        <v>0</v>
      </c>
      <c r="T449" s="25">
        <f>IF(B449="","",WEEKNUM(B449,2))</f>
        <v>0</v>
      </c>
      <c r="U449" s="25">
        <f>IF(B449="","",IF(K449&lt;&gt;"",K449,IFERROR(INDEX(Services!$E$5:$E$204,MATCH(G449,Services!$A$5:$A$204,0))*1,0)+IFERROR(INDEX(Services!$F$5:$F$204,MATCH(G449,Services!$A$5:$A$204,0))*1,0)))</f>
        <v>0</v>
      </c>
      <c r="V449" s="36">
        <f>IF(B449="","",IF(D449="","",D449+U449/1440))</f>
        <v>0</v>
      </c>
      <c r="W449" s="25">
        <f>IF(B449="","",IF(D449="","",HOUR(D449)))</f>
        <v>0</v>
      </c>
      <c r="X449" s="37">
        <f>IF(B449="","",ROUND(U449/60,2))</f>
        <v>0</v>
      </c>
      <c r="Y449" s="26">
        <f>IF(B449="","",IF(L449&lt;&gt;"",L449,IFERROR(INDEX(Services!$G$5:$G$204,MATCH(G449,Services!$A$5:$A$204,0))*1,0)))</f>
        <v>0</v>
      </c>
      <c r="Z449" s="26">
        <f>IF(B449="","",IF(O449&lt;&gt;"",O449,IF(Y449&gt;=DepositThreshold,ROUND(Y449*DepositPercent,2),0)))</f>
        <v>0</v>
      </c>
      <c r="AA449" s="26">
        <f>IF(B449="","",ROUND(SUMIFS(Payments!$G$5:$G$1204,Payments!$I$5:$I$1204,A449,Payments!$E$5:$E$1204,"Deposit"),2))</f>
        <v>0</v>
      </c>
      <c r="AB449" s="26">
        <f>IF(B449="","",ROUND(SUMIFS(Sales!$Y$5:$Y$1204,Sales!$C$5:$C$1204,A449),2))</f>
        <v>0</v>
      </c>
      <c r="AC449" s="38">
        <f>IF(B449="","",IF(M449="Completed","Yes",IF(M449="Cancelled","Yes",IF(M449="No show","Yes","No"))))</f>
        <v>0</v>
      </c>
      <c r="AD449" s="25">
        <f>IF(B449="","",IF(AE449="","",B449-AE449))</f>
        <v>0</v>
      </c>
      <c r="AF449" s="38">
        <f>IF(B449="","",IF(M449&lt;&gt;"Completed","",IF(E449="","No",IF(COUNTIFS(Appointments!$E$5:$E$1204,E449,Appointments!$B$5:$B$1204,"&gt;"&amp;B449,Appointments!$M$5:$M$1204,"&lt;&gt;Cancelled")&gt;0,"Yes","No"))))</f>
        <v>0</v>
      </c>
      <c r="AG449" s="38">
        <f>IF(B449="","",IF(I449="","",IF(D449="","",IF(COUNTIFS($I$5:$I$1204,I449,$B$5:$B$1204,B449,$D$5:$D$1204,"&lt;"&amp;V449,$V$5:$V$1204,"&gt;"&amp;D449,$M$5:$M$1204,"&lt;&gt;Cancelled")&gt;1,"Clash",""))))</f>
        <v>0</v>
      </c>
      <c r="AH449" s="39">
        <f>IF(B449="","",IF(AG449="Clash","Clash - stylist double booked",IF(I449="","Assign - no stylist yet",IF(G449="","Add - no service chosen",IF(M449="No show","No show - charge the fee?",IF(M449="Cancelled","",IF(IF(M449="Completed",AB449&lt;Y449-0.004,FALSE),"Unpaid - nothing rung up for this visit",IF(IF(B449&lt;TodayDate,M449="Booked",FALSE),"Overdue - past date, still only Booked",IF(IF(B449=TodayDate,TRUE,FALSE),"Today",IF(IF(Z449&gt;0,AA449&lt;Z449-0.004,FALSE),"Due - deposit not taken",IF(IF(B449&gt;TodayDate,B449&lt;=TodayDate+2,FALSE),"Confirm - coming up","OK")))))))))))</f>
        <v>0</v>
      </c>
    </row>
    <row r="450" spans="1:34">
      <c r="A450" s="28">
        <f>IF(B450="","",AppointmentPrefix&amp;TEXT(ROW()-4,"0000"))</f>
        <v>0</v>
      </c>
      <c r="C450" s="15">
        <f>IF(B450="","",TEXT(B450,"ddd"))</f>
        <v>0</v>
      </c>
      <c r="F450" s="15">
        <f>IF(E450="","",IFERROR(INDEX(Clients!$B$5:$B$504,MATCH(E450,Clients!$A$5:$A$504,0)),"Walk-in"))</f>
        <v>0</v>
      </c>
      <c r="H450" s="15">
        <f>IF(G450="","",IFERROR(INDEX(Services!$B$5:$B$204,MATCH(G450,Services!$A$5:$A$204,0)),"Not in Services"))</f>
        <v>0</v>
      </c>
      <c r="J450" s="15">
        <f>IF(I450="","",IFERROR(INDEX(Staff!$B$5:$B$44,MATCH(I450,Staff!$A$5:$A$44,0)),"Unassigned"))</f>
        <v>0</v>
      </c>
      <c r="S450" s="15">
        <f>IF(B450="","",TEXT(B450,"yyyy-mm"))</f>
        <v>0</v>
      </c>
      <c r="T450" s="25">
        <f>IF(B450="","",WEEKNUM(B450,2))</f>
        <v>0</v>
      </c>
      <c r="U450" s="25">
        <f>IF(B450="","",IF(K450&lt;&gt;"",K450,IFERROR(INDEX(Services!$E$5:$E$204,MATCH(G450,Services!$A$5:$A$204,0))*1,0)+IFERROR(INDEX(Services!$F$5:$F$204,MATCH(G450,Services!$A$5:$A$204,0))*1,0)))</f>
        <v>0</v>
      </c>
      <c r="V450" s="36">
        <f>IF(B450="","",IF(D450="","",D450+U450/1440))</f>
        <v>0</v>
      </c>
      <c r="W450" s="25">
        <f>IF(B450="","",IF(D450="","",HOUR(D450)))</f>
        <v>0</v>
      </c>
      <c r="X450" s="37">
        <f>IF(B450="","",ROUND(U450/60,2))</f>
        <v>0</v>
      </c>
      <c r="Y450" s="26">
        <f>IF(B450="","",IF(L450&lt;&gt;"",L450,IFERROR(INDEX(Services!$G$5:$G$204,MATCH(G450,Services!$A$5:$A$204,0))*1,0)))</f>
        <v>0</v>
      </c>
      <c r="Z450" s="26">
        <f>IF(B450="","",IF(O450&lt;&gt;"",O450,IF(Y450&gt;=DepositThreshold,ROUND(Y450*DepositPercent,2),0)))</f>
        <v>0</v>
      </c>
      <c r="AA450" s="26">
        <f>IF(B450="","",ROUND(SUMIFS(Payments!$G$5:$G$1204,Payments!$I$5:$I$1204,A450,Payments!$E$5:$E$1204,"Deposit"),2))</f>
        <v>0</v>
      </c>
      <c r="AB450" s="26">
        <f>IF(B450="","",ROUND(SUMIFS(Sales!$Y$5:$Y$1204,Sales!$C$5:$C$1204,A450),2))</f>
        <v>0</v>
      </c>
      <c r="AC450" s="38">
        <f>IF(B450="","",IF(M450="Completed","Yes",IF(M450="Cancelled","Yes",IF(M450="No show","Yes","No"))))</f>
        <v>0</v>
      </c>
      <c r="AD450" s="25">
        <f>IF(B450="","",IF(AE450="","",B450-AE450))</f>
        <v>0</v>
      </c>
      <c r="AF450" s="38">
        <f>IF(B450="","",IF(M450&lt;&gt;"Completed","",IF(E450="","No",IF(COUNTIFS(Appointments!$E$5:$E$1204,E450,Appointments!$B$5:$B$1204,"&gt;"&amp;B450,Appointments!$M$5:$M$1204,"&lt;&gt;Cancelled")&gt;0,"Yes","No"))))</f>
        <v>0</v>
      </c>
      <c r="AG450" s="38">
        <f>IF(B450="","",IF(I450="","",IF(D450="","",IF(COUNTIFS($I$5:$I$1204,I450,$B$5:$B$1204,B450,$D$5:$D$1204,"&lt;"&amp;V450,$V$5:$V$1204,"&gt;"&amp;D450,$M$5:$M$1204,"&lt;&gt;Cancelled")&gt;1,"Clash",""))))</f>
        <v>0</v>
      </c>
      <c r="AH450" s="39">
        <f>IF(B450="","",IF(AG450="Clash","Clash - stylist double booked",IF(I450="","Assign - no stylist yet",IF(G450="","Add - no service chosen",IF(M450="No show","No show - charge the fee?",IF(M450="Cancelled","",IF(IF(M450="Completed",AB450&lt;Y450-0.004,FALSE),"Unpaid - nothing rung up for this visit",IF(IF(B450&lt;TodayDate,M450="Booked",FALSE),"Overdue - past date, still only Booked",IF(IF(B450=TodayDate,TRUE,FALSE),"Today",IF(IF(Z450&gt;0,AA450&lt;Z450-0.004,FALSE),"Due - deposit not taken",IF(IF(B450&gt;TodayDate,B450&lt;=TodayDate+2,FALSE),"Confirm - coming up","OK")))))))))))</f>
        <v>0</v>
      </c>
    </row>
    <row r="451" spans="1:34">
      <c r="A451" s="28">
        <f>IF(B451="","",AppointmentPrefix&amp;TEXT(ROW()-4,"0000"))</f>
        <v>0</v>
      </c>
      <c r="C451" s="15">
        <f>IF(B451="","",TEXT(B451,"ddd"))</f>
        <v>0</v>
      </c>
      <c r="F451" s="15">
        <f>IF(E451="","",IFERROR(INDEX(Clients!$B$5:$B$504,MATCH(E451,Clients!$A$5:$A$504,0)),"Walk-in"))</f>
        <v>0</v>
      </c>
      <c r="H451" s="15">
        <f>IF(G451="","",IFERROR(INDEX(Services!$B$5:$B$204,MATCH(G451,Services!$A$5:$A$204,0)),"Not in Services"))</f>
        <v>0</v>
      </c>
      <c r="J451" s="15">
        <f>IF(I451="","",IFERROR(INDEX(Staff!$B$5:$B$44,MATCH(I451,Staff!$A$5:$A$44,0)),"Unassigned"))</f>
        <v>0</v>
      </c>
      <c r="S451" s="15">
        <f>IF(B451="","",TEXT(B451,"yyyy-mm"))</f>
        <v>0</v>
      </c>
      <c r="T451" s="25">
        <f>IF(B451="","",WEEKNUM(B451,2))</f>
        <v>0</v>
      </c>
      <c r="U451" s="25">
        <f>IF(B451="","",IF(K451&lt;&gt;"",K451,IFERROR(INDEX(Services!$E$5:$E$204,MATCH(G451,Services!$A$5:$A$204,0))*1,0)+IFERROR(INDEX(Services!$F$5:$F$204,MATCH(G451,Services!$A$5:$A$204,0))*1,0)))</f>
        <v>0</v>
      </c>
      <c r="V451" s="36">
        <f>IF(B451="","",IF(D451="","",D451+U451/1440))</f>
        <v>0</v>
      </c>
      <c r="W451" s="25">
        <f>IF(B451="","",IF(D451="","",HOUR(D451)))</f>
        <v>0</v>
      </c>
      <c r="X451" s="37">
        <f>IF(B451="","",ROUND(U451/60,2))</f>
        <v>0</v>
      </c>
      <c r="Y451" s="26">
        <f>IF(B451="","",IF(L451&lt;&gt;"",L451,IFERROR(INDEX(Services!$G$5:$G$204,MATCH(G451,Services!$A$5:$A$204,0))*1,0)))</f>
        <v>0</v>
      </c>
      <c r="Z451" s="26">
        <f>IF(B451="","",IF(O451&lt;&gt;"",O451,IF(Y451&gt;=DepositThreshold,ROUND(Y451*DepositPercent,2),0)))</f>
        <v>0</v>
      </c>
      <c r="AA451" s="26">
        <f>IF(B451="","",ROUND(SUMIFS(Payments!$G$5:$G$1204,Payments!$I$5:$I$1204,A451,Payments!$E$5:$E$1204,"Deposit"),2))</f>
        <v>0</v>
      </c>
      <c r="AB451" s="26">
        <f>IF(B451="","",ROUND(SUMIFS(Sales!$Y$5:$Y$1204,Sales!$C$5:$C$1204,A451),2))</f>
        <v>0</v>
      </c>
      <c r="AC451" s="38">
        <f>IF(B451="","",IF(M451="Completed","Yes",IF(M451="Cancelled","Yes",IF(M451="No show","Yes","No"))))</f>
        <v>0</v>
      </c>
      <c r="AD451" s="25">
        <f>IF(B451="","",IF(AE451="","",B451-AE451))</f>
        <v>0</v>
      </c>
      <c r="AF451" s="38">
        <f>IF(B451="","",IF(M451&lt;&gt;"Completed","",IF(E451="","No",IF(COUNTIFS(Appointments!$E$5:$E$1204,E451,Appointments!$B$5:$B$1204,"&gt;"&amp;B451,Appointments!$M$5:$M$1204,"&lt;&gt;Cancelled")&gt;0,"Yes","No"))))</f>
        <v>0</v>
      </c>
      <c r="AG451" s="38">
        <f>IF(B451="","",IF(I451="","",IF(D451="","",IF(COUNTIFS($I$5:$I$1204,I451,$B$5:$B$1204,B451,$D$5:$D$1204,"&lt;"&amp;V451,$V$5:$V$1204,"&gt;"&amp;D451,$M$5:$M$1204,"&lt;&gt;Cancelled")&gt;1,"Clash",""))))</f>
        <v>0</v>
      </c>
      <c r="AH451" s="39">
        <f>IF(B451="","",IF(AG451="Clash","Clash - stylist double booked",IF(I451="","Assign - no stylist yet",IF(G451="","Add - no service chosen",IF(M451="No show","No show - charge the fee?",IF(M451="Cancelled","",IF(IF(M451="Completed",AB451&lt;Y451-0.004,FALSE),"Unpaid - nothing rung up for this visit",IF(IF(B451&lt;TodayDate,M451="Booked",FALSE),"Overdue - past date, still only Booked",IF(IF(B451=TodayDate,TRUE,FALSE),"Today",IF(IF(Z451&gt;0,AA451&lt;Z451-0.004,FALSE),"Due - deposit not taken",IF(IF(B451&gt;TodayDate,B451&lt;=TodayDate+2,FALSE),"Confirm - coming up","OK")))))))))))</f>
        <v>0</v>
      </c>
    </row>
    <row r="452" spans="1:34">
      <c r="A452" s="28">
        <f>IF(B452="","",AppointmentPrefix&amp;TEXT(ROW()-4,"0000"))</f>
        <v>0</v>
      </c>
      <c r="C452" s="15">
        <f>IF(B452="","",TEXT(B452,"ddd"))</f>
        <v>0</v>
      </c>
      <c r="F452" s="15">
        <f>IF(E452="","",IFERROR(INDEX(Clients!$B$5:$B$504,MATCH(E452,Clients!$A$5:$A$504,0)),"Walk-in"))</f>
        <v>0</v>
      </c>
      <c r="H452" s="15">
        <f>IF(G452="","",IFERROR(INDEX(Services!$B$5:$B$204,MATCH(G452,Services!$A$5:$A$204,0)),"Not in Services"))</f>
        <v>0</v>
      </c>
      <c r="J452" s="15">
        <f>IF(I452="","",IFERROR(INDEX(Staff!$B$5:$B$44,MATCH(I452,Staff!$A$5:$A$44,0)),"Unassigned"))</f>
        <v>0</v>
      </c>
      <c r="S452" s="15">
        <f>IF(B452="","",TEXT(B452,"yyyy-mm"))</f>
        <v>0</v>
      </c>
      <c r="T452" s="25">
        <f>IF(B452="","",WEEKNUM(B452,2))</f>
        <v>0</v>
      </c>
      <c r="U452" s="25">
        <f>IF(B452="","",IF(K452&lt;&gt;"",K452,IFERROR(INDEX(Services!$E$5:$E$204,MATCH(G452,Services!$A$5:$A$204,0))*1,0)+IFERROR(INDEX(Services!$F$5:$F$204,MATCH(G452,Services!$A$5:$A$204,0))*1,0)))</f>
        <v>0</v>
      </c>
      <c r="V452" s="36">
        <f>IF(B452="","",IF(D452="","",D452+U452/1440))</f>
        <v>0</v>
      </c>
      <c r="W452" s="25">
        <f>IF(B452="","",IF(D452="","",HOUR(D452)))</f>
        <v>0</v>
      </c>
      <c r="X452" s="37">
        <f>IF(B452="","",ROUND(U452/60,2))</f>
        <v>0</v>
      </c>
      <c r="Y452" s="26">
        <f>IF(B452="","",IF(L452&lt;&gt;"",L452,IFERROR(INDEX(Services!$G$5:$G$204,MATCH(G452,Services!$A$5:$A$204,0))*1,0)))</f>
        <v>0</v>
      </c>
      <c r="Z452" s="26">
        <f>IF(B452="","",IF(O452&lt;&gt;"",O452,IF(Y452&gt;=DepositThreshold,ROUND(Y452*DepositPercent,2),0)))</f>
        <v>0</v>
      </c>
      <c r="AA452" s="26">
        <f>IF(B452="","",ROUND(SUMIFS(Payments!$G$5:$G$1204,Payments!$I$5:$I$1204,A452,Payments!$E$5:$E$1204,"Deposit"),2))</f>
        <v>0</v>
      </c>
      <c r="AB452" s="26">
        <f>IF(B452="","",ROUND(SUMIFS(Sales!$Y$5:$Y$1204,Sales!$C$5:$C$1204,A452),2))</f>
        <v>0</v>
      </c>
      <c r="AC452" s="38">
        <f>IF(B452="","",IF(M452="Completed","Yes",IF(M452="Cancelled","Yes",IF(M452="No show","Yes","No"))))</f>
        <v>0</v>
      </c>
      <c r="AD452" s="25">
        <f>IF(B452="","",IF(AE452="","",B452-AE452))</f>
        <v>0</v>
      </c>
      <c r="AF452" s="38">
        <f>IF(B452="","",IF(M452&lt;&gt;"Completed","",IF(E452="","No",IF(COUNTIFS(Appointments!$E$5:$E$1204,E452,Appointments!$B$5:$B$1204,"&gt;"&amp;B452,Appointments!$M$5:$M$1204,"&lt;&gt;Cancelled")&gt;0,"Yes","No"))))</f>
        <v>0</v>
      </c>
      <c r="AG452" s="38">
        <f>IF(B452="","",IF(I452="","",IF(D452="","",IF(COUNTIFS($I$5:$I$1204,I452,$B$5:$B$1204,B452,$D$5:$D$1204,"&lt;"&amp;V452,$V$5:$V$1204,"&gt;"&amp;D452,$M$5:$M$1204,"&lt;&gt;Cancelled")&gt;1,"Clash",""))))</f>
        <v>0</v>
      </c>
      <c r="AH452" s="39">
        <f>IF(B452="","",IF(AG452="Clash","Clash - stylist double booked",IF(I452="","Assign - no stylist yet",IF(G452="","Add - no service chosen",IF(M452="No show","No show - charge the fee?",IF(M452="Cancelled","",IF(IF(M452="Completed",AB452&lt;Y452-0.004,FALSE),"Unpaid - nothing rung up for this visit",IF(IF(B452&lt;TodayDate,M452="Booked",FALSE),"Overdue - past date, still only Booked",IF(IF(B452=TodayDate,TRUE,FALSE),"Today",IF(IF(Z452&gt;0,AA452&lt;Z452-0.004,FALSE),"Due - deposit not taken",IF(IF(B452&gt;TodayDate,B452&lt;=TodayDate+2,FALSE),"Confirm - coming up","OK")))))))))))</f>
        <v>0</v>
      </c>
    </row>
    <row r="453" spans="1:34">
      <c r="A453" s="28">
        <f>IF(B453="","",AppointmentPrefix&amp;TEXT(ROW()-4,"0000"))</f>
        <v>0</v>
      </c>
      <c r="C453" s="15">
        <f>IF(B453="","",TEXT(B453,"ddd"))</f>
        <v>0</v>
      </c>
      <c r="F453" s="15">
        <f>IF(E453="","",IFERROR(INDEX(Clients!$B$5:$B$504,MATCH(E453,Clients!$A$5:$A$504,0)),"Walk-in"))</f>
        <v>0</v>
      </c>
      <c r="H453" s="15">
        <f>IF(G453="","",IFERROR(INDEX(Services!$B$5:$B$204,MATCH(G453,Services!$A$5:$A$204,0)),"Not in Services"))</f>
        <v>0</v>
      </c>
      <c r="J453" s="15">
        <f>IF(I453="","",IFERROR(INDEX(Staff!$B$5:$B$44,MATCH(I453,Staff!$A$5:$A$44,0)),"Unassigned"))</f>
        <v>0</v>
      </c>
      <c r="S453" s="15">
        <f>IF(B453="","",TEXT(B453,"yyyy-mm"))</f>
        <v>0</v>
      </c>
      <c r="T453" s="25">
        <f>IF(B453="","",WEEKNUM(B453,2))</f>
        <v>0</v>
      </c>
      <c r="U453" s="25">
        <f>IF(B453="","",IF(K453&lt;&gt;"",K453,IFERROR(INDEX(Services!$E$5:$E$204,MATCH(G453,Services!$A$5:$A$204,0))*1,0)+IFERROR(INDEX(Services!$F$5:$F$204,MATCH(G453,Services!$A$5:$A$204,0))*1,0)))</f>
        <v>0</v>
      </c>
      <c r="V453" s="36">
        <f>IF(B453="","",IF(D453="","",D453+U453/1440))</f>
        <v>0</v>
      </c>
      <c r="W453" s="25">
        <f>IF(B453="","",IF(D453="","",HOUR(D453)))</f>
        <v>0</v>
      </c>
      <c r="X453" s="37">
        <f>IF(B453="","",ROUND(U453/60,2))</f>
        <v>0</v>
      </c>
      <c r="Y453" s="26">
        <f>IF(B453="","",IF(L453&lt;&gt;"",L453,IFERROR(INDEX(Services!$G$5:$G$204,MATCH(G453,Services!$A$5:$A$204,0))*1,0)))</f>
        <v>0</v>
      </c>
      <c r="Z453" s="26">
        <f>IF(B453="","",IF(O453&lt;&gt;"",O453,IF(Y453&gt;=DepositThreshold,ROUND(Y453*DepositPercent,2),0)))</f>
        <v>0</v>
      </c>
      <c r="AA453" s="26">
        <f>IF(B453="","",ROUND(SUMIFS(Payments!$G$5:$G$1204,Payments!$I$5:$I$1204,A453,Payments!$E$5:$E$1204,"Deposit"),2))</f>
        <v>0</v>
      </c>
      <c r="AB453" s="26">
        <f>IF(B453="","",ROUND(SUMIFS(Sales!$Y$5:$Y$1204,Sales!$C$5:$C$1204,A453),2))</f>
        <v>0</v>
      </c>
      <c r="AC453" s="38">
        <f>IF(B453="","",IF(M453="Completed","Yes",IF(M453="Cancelled","Yes",IF(M453="No show","Yes","No"))))</f>
        <v>0</v>
      </c>
      <c r="AD453" s="25">
        <f>IF(B453="","",IF(AE453="","",B453-AE453))</f>
        <v>0</v>
      </c>
      <c r="AF453" s="38">
        <f>IF(B453="","",IF(M453&lt;&gt;"Completed","",IF(E453="","No",IF(COUNTIFS(Appointments!$E$5:$E$1204,E453,Appointments!$B$5:$B$1204,"&gt;"&amp;B453,Appointments!$M$5:$M$1204,"&lt;&gt;Cancelled")&gt;0,"Yes","No"))))</f>
        <v>0</v>
      </c>
      <c r="AG453" s="38">
        <f>IF(B453="","",IF(I453="","",IF(D453="","",IF(COUNTIFS($I$5:$I$1204,I453,$B$5:$B$1204,B453,$D$5:$D$1204,"&lt;"&amp;V453,$V$5:$V$1204,"&gt;"&amp;D453,$M$5:$M$1204,"&lt;&gt;Cancelled")&gt;1,"Clash",""))))</f>
        <v>0</v>
      </c>
      <c r="AH453" s="39">
        <f>IF(B453="","",IF(AG453="Clash","Clash - stylist double booked",IF(I453="","Assign - no stylist yet",IF(G453="","Add - no service chosen",IF(M453="No show","No show - charge the fee?",IF(M453="Cancelled","",IF(IF(M453="Completed",AB453&lt;Y453-0.004,FALSE),"Unpaid - nothing rung up for this visit",IF(IF(B453&lt;TodayDate,M453="Booked",FALSE),"Overdue - past date, still only Booked",IF(IF(B453=TodayDate,TRUE,FALSE),"Today",IF(IF(Z453&gt;0,AA453&lt;Z453-0.004,FALSE),"Due - deposit not taken",IF(IF(B453&gt;TodayDate,B453&lt;=TodayDate+2,FALSE),"Confirm - coming up","OK")))))))))))</f>
        <v>0</v>
      </c>
    </row>
    <row r="454" spans="1:34">
      <c r="A454" s="28">
        <f>IF(B454="","",AppointmentPrefix&amp;TEXT(ROW()-4,"0000"))</f>
        <v>0</v>
      </c>
      <c r="C454" s="15">
        <f>IF(B454="","",TEXT(B454,"ddd"))</f>
        <v>0</v>
      </c>
      <c r="F454" s="15">
        <f>IF(E454="","",IFERROR(INDEX(Clients!$B$5:$B$504,MATCH(E454,Clients!$A$5:$A$504,0)),"Walk-in"))</f>
        <v>0</v>
      </c>
      <c r="H454" s="15">
        <f>IF(G454="","",IFERROR(INDEX(Services!$B$5:$B$204,MATCH(G454,Services!$A$5:$A$204,0)),"Not in Services"))</f>
        <v>0</v>
      </c>
      <c r="J454" s="15">
        <f>IF(I454="","",IFERROR(INDEX(Staff!$B$5:$B$44,MATCH(I454,Staff!$A$5:$A$44,0)),"Unassigned"))</f>
        <v>0</v>
      </c>
      <c r="S454" s="15">
        <f>IF(B454="","",TEXT(B454,"yyyy-mm"))</f>
        <v>0</v>
      </c>
      <c r="T454" s="25">
        <f>IF(B454="","",WEEKNUM(B454,2))</f>
        <v>0</v>
      </c>
      <c r="U454" s="25">
        <f>IF(B454="","",IF(K454&lt;&gt;"",K454,IFERROR(INDEX(Services!$E$5:$E$204,MATCH(G454,Services!$A$5:$A$204,0))*1,0)+IFERROR(INDEX(Services!$F$5:$F$204,MATCH(G454,Services!$A$5:$A$204,0))*1,0)))</f>
        <v>0</v>
      </c>
      <c r="V454" s="36">
        <f>IF(B454="","",IF(D454="","",D454+U454/1440))</f>
        <v>0</v>
      </c>
      <c r="W454" s="25">
        <f>IF(B454="","",IF(D454="","",HOUR(D454)))</f>
        <v>0</v>
      </c>
      <c r="X454" s="37">
        <f>IF(B454="","",ROUND(U454/60,2))</f>
        <v>0</v>
      </c>
      <c r="Y454" s="26">
        <f>IF(B454="","",IF(L454&lt;&gt;"",L454,IFERROR(INDEX(Services!$G$5:$G$204,MATCH(G454,Services!$A$5:$A$204,0))*1,0)))</f>
        <v>0</v>
      </c>
      <c r="Z454" s="26">
        <f>IF(B454="","",IF(O454&lt;&gt;"",O454,IF(Y454&gt;=DepositThreshold,ROUND(Y454*DepositPercent,2),0)))</f>
        <v>0</v>
      </c>
      <c r="AA454" s="26">
        <f>IF(B454="","",ROUND(SUMIFS(Payments!$G$5:$G$1204,Payments!$I$5:$I$1204,A454,Payments!$E$5:$E$1204,"Deposit"),2))</f>
        <v>0</v>
      </c>
      <c r="AB454" s="26">
        <f>IF(B454="","",ROUND(SUMIFS(Sales!$Y$5:$Y$1204,Sales!$C$5:$C$1204,A454),2))</f>
        <v>0</v>
      </c>
      <c r="AC454" s="38">
        <f>IF(B454="","",IF(M454="Completed","Yes",IF(M454="Cancelled","Yes",IF(M454="No show","Yes","No"))))</f>
        <v>0</v>
      </c>
      <c r="AD454" s="25">
        <f>IF(B454="","",IF(AE454="","",B454-AE454))</f>
        <v>0</v>
      </c>
      <c r="AF454" s="38">
        <f>IF(B454="","",IF(M454&lt;&gt;"Completed","",IF(E454="","No",IF(COUNTIFS(Appointments!$E$5:$E$1204,E454,Appointments!$B$5:$B$1204,"&gt;"&amp;B454,Appointments!$M$5:$M$1204,"&lt;&gt;Cancelled")&gt;0,"Yes","No"))))</f>
        <v>0</v>
      </c>
      <c r="AG454" s="38">
        <f>IF(B454="","",IF(I454="","",IF(D454="","",IF(COUNTIFS($I$5:$I$1204,I454,$B$5:$B$1204,B454,$D$5:$D$1204,"&lt;"&amp;V454,$V$5:$V$1204,"&gt;"&amp;D454,$M$5:$M$1204,"&lt;&gt;Cancelled")&gt;1,"Clash",""))))</f>
        <v>0</v>
      </c>
      <c r="AH454" s="39">
        <f>IF(B454="","",IF(AG454="Clash","Clash - stylist double booked",IF(I454="","Assign - no stylist yet",IF(G454="","Add - no service chosen",IF(M454="No show","No show - charge the fee?",IF(M454="Cancelled","",IF(IF(M454="Completed",AB454&lt;Y454-0.004,FALSE),"Unpaid - nothing rung up for this visit",IF(IF(B454&lt;TodayDate,M454="Booked",FALSE),"Overdue - past date, still only Booked",IF(IF(B454=TodayDate,TRUE,FALSE),"Today",IF(IF(Z454&gt;0,AA454&lt;Z454-0.004,FALSE),"Due - deposit not taken",IF(IF(B454&gt;TodayDate,B454&lt;=TodayDate+2,FALSE),"Confirm - coming up","OK")))))))))))</f>
        <v>0</v>
      </c>
    </row>
    <row r="455" spans="1:34">
      <c r="A455" s="28">
        <f>IF(B455="","",AppointmentPrefix&amp;TEXT(ROW()-4,"0000"))</f>
        <v>0</v>
      </c>
      <c r="C455" s="15">
        <f>IF(B455="","",TEXT(B455,"ddd"))</f>
        <v>0</v>
      </c>
      <c r="F455" s="15">
        <f>IF(E455="","",IFERROR(INDEX(Clients!$B$5:$B$504,MATCH(E455,Clients!$A$5:$A$504,0)),"Walk-in"))</f>
        <v>0</v>
      </c>
      <c r="H455" s="15">
        <f>IF(G455="","",IFERROR(INDEX(Services!$B$5:$B$204,MATCH(G455,Services!$A$5:$A$204,0)),"Not in Services"))</f>
        <v>0</v>
      </c>
      <c r="J455" s="15">
        <f>IF(I455="","",IFERROR(INDEX(Staff!$B$5:$B$44,MATCH(I455,Staff!$A$5:$A$44,0)),"Unassigned"))</f>
        <v>0</v>
      </c>
      <c r="S455" s="15">
        <f>IF(B455="","",TEXT(B455,"yyyy-mm"))</f>
        <v>0</v>
      </c>
      <c r="T455" s="25">
        <f>IF(B455="","",WEEKNUM(B455,2))</f>
        <v>0</v>
      </c>
      <c r="U455" s="25">
        <f>IF(B455="","",IF(K455&lt;&gt;"",K455,IFERROR(INDEX(Services!$E$5:$E$204,MATCH(G455,Services!$A$5:$A$204,0))*1,0)+IFERROR(INDEX(Services!$F$5:$F$204,MATCH(G455,Services!$A$5:$A$204,0))*1,0)))</f>
        <v>0</v>
      </c>
      <c r="V455" s="36">
        <f>IF(B455="","",IF(D455="","",D455+U455/1440))</f>
        <v>0</v>
      </c>
      <c r="W455" s="25">
        <f>IF(B455="","",IF(D455="","",HOUR(D455)))</f>
        <v>0</v>
      </c>
      <c r="X455" s="37">
        <f>IF(B455="","",ROUND(U455/60,2))</f>
        <v>0</v>
      </c>
      <c r="Y455" s="26">
        <f>IF(B455="","",IF(L455&lt;&gt;"",L455,IFERROR(INDEX(Services!$G$5:$G$204,MATCH(G455,Services!$A$5:$A$204,0))*1,0)))</f>
        <v>0</v>
      </c>
      <c r="Z455" s="26">
        <f>IF(B455="","",IF(O455&lt;&gt;"",O455,IF(Y455&gt;=DepositThreshold,ROUND(Y455*DepositPercent,2),0)))</f>
        <v>0</v>
      </c>
      <c r="AA455" s="26">
        <f>IF(B455="","",ROUND(SUMIFS(Payments!$G$5:$G$1204,Payments!$I$5:$I$1204,A455,Payments!$E$5:$E$1204,"Deposit"),2))</f>
        <v>0</v>
      </c>
      <c r="AB455" s="26">
        <f>IF(B455="","",ROUND(SUMIFS(Sales!$Y$5:$Y$1204,Sales!$C$5:$C$1204,A455),2))</f>
        <v>0</v>
      </c>
      <c r="AC455" s="38">
        <f>IF(B455="","",IF(M455="Completed","Yes",IF(M455="Cancelled","Yes",IF(M455="No show","Yes","No"))))</f>
        <v>0</v>
      </c>
      <c r="AD455" s="25">
        <f>IF(B455="","",IF(AE455="","",B455-AE455))</f>
        <v>0</v>
      </c>
      <c r="AF455" s="38">
        <f>IF(B455="","",IF(M455&lt;&gt;"Completed","",IF(E455="","No",IF(COUNTIFS(Appointments!$E$5:$E$1204,E455,Appointments!$B$5:$B$1204,"&gt;"&amp;B455,Appointments!$M$5:$M$1204,"&lt;&gt;Cancelled")&gt;0,"Yes","No"))))</f>
        <v>0</v>
      </c>
      <c r="AG455" s="38">
        <f>IF(B455="","",IF(I455="","",IF(D455="","",IF(COUNTIFS($I$5:$I$1204,I455,$B$5:$B$1204,B455,$D$5:$D$1204,"&lt;"&amp;V455,$V$5:$V$1204,"&gt;"&amp;D455,$M$5:$M$1204,"&lt;&gt;Cancelled")&gt;1,"Clash",""))))</f>
        <v>0</v>
      </c>
      <c r="AH455" s="39">
        <f>IF(B455="","",IF(AG455="Clash","Clash - stylist double booked",IF(I455="","Assign - no stylist yet",IF(G455="","Add - no service chosen",IF(M455="No show","No show - charge the fee?",IF(M455="Cancelled","",IF(IF(M455="Completed",AB455&lt;Y455-0.004,FALSE),"Unpaid - nothing rung up for this visit",IF(IF(B455&lt;TodayDate,M455="Booked",FALSE),"Overdue - past date, still only Booked",IF(IF(B455=TodayDate,TRUE,FALSE),"Today",IF(IF(Z455&gt;0,AA455&lt;Z455-0.004,FALSE),"Due - deposit not taken",IF(IF(B455&gt;TodayDate,B455&lt;=TodayDate+2,FALSE),"Confirm - coming up","OK")))))))))))</f>
        <v>0</v>
      </c>
    </row>
    <row r="456" spans="1:34">
      <c r="A456" s="28">
        <f>IF(B456="","",AppointmentPrefix&amp;TEXT(ROW()-4,"0000"))</f>
        <v>0</v>
      </c>
      <c r="C456" s="15">
        <f>IF(B456="","",TEXT(B456,"ddd"))</f>
        <v>0</v>
      </c>
      <c r="F456" s="15">
        <f>IF(E456="","",IFERROR(INDEX(Clients!$B$5:$B$504,MATCH(E456,Clients!$A$5:$A$504,0)),"Walk-in"))</f>
        <v>0</v>
      </c>
      <c r="H456" s="15">
        <f>IF(G456="","",IFERROR(INDEX(Services!$B$5:$B$204,MATCH(G456,Services!$A$5:$A$204,0)),"Not in Services"))</f>
        <v>0</v>
      </c>
      <c r="J456" s="15">
        <f>IF(I456="","",IFERROR(INDEX(Staff!$B$5:$B$44,MATCH(I456,Staff!$A$5:$A$44,0)),"Unassigned"))</f>
        <v>0</v>
      </c>
      <c r="S456" s="15">
        <f>IF(B456="","",TEXT(B456,"yyyy-mm"))</f>
        <v>0</v>
      </c>
      <c r="T456" s="25">
        <f>IF(B456="","",WEEKNUM(B456,2))</f>
        <v>0</v>
      </c>
      <c r="U456" s="25">
        <f>IF(B456="","",IF(K456&lt;&gt;"",K456,IFERROR(INDEX(Services!$E$5:$E$204,MATCH(G456,Services!$A$5:$A$204,0))*1,0)+IFERROR(INDEX(Services!$F$5:$F$204,MATCH(G456,Services!$A$5:$A$204,0))*1,0)))</f>
        <v>0</v>
      </c>
      <c r="V456" s="36">
        <f>IF(B456="","",IF(D456="","",D456+U456/1440))</f>
        <v>0</v>
      </c>
      <c r="W456" s="25">
        <f>IF(B456="","",IF(D456="","",HOUR(D456)))</f>
        <v>0</v>
      </c>
      <c r="X456" s="37">
        <f>IF(B456="","",ROUND(U456/60,2))</f>
        <v>0</v>
      </c>
      <c r="Y456" s="26">
        <f>IF(B456="","",IF(L456&lt;&gt;"",L456,IFERROR(INDEX(Services!$G$5:$G$204,MATCH(G456,Services!$A$5:$A$204,0))*1,0)))</f>
        <v>0</v>
      </c>
      <c r="Z456" s="26">
        <f>IF(B456="","",IF(O456&lt;&gt;"",O456,IF(Y456&gt;=DepositThreshold,ROUND(Y456*DepositPercent,2),0)))</f>
        <v>0</v>
      </c>
      <c r="AA456" s="26">
        <f>IF(B456="","",ROUND(SUMIFS(Payments!$G$5:$G$1204,Payments!$I$5:$I$1204,A456,Payments!$E$5:$E$1204,"Deposit"),2))</f>
        <v>0</v>
      </c>
      <c r="AB456" s="26">
        <f>IF(B456="","",ROUND(SUMIFS(Sales!$Y$5:$Y$1204,Sales!$C$5:$C$1204,A456),2))</f>
        <v>0</v>
      </c>
      <c r="AC456" s="38">
        <f>IF(B456="","",IF(M456="Completed","Yes",IF(M456="Cancelled","Yes",IF(M456="No show","Yes","No"))))</f>
        <v>0</v>
      </c>
      <c r="AD456" s="25">
        <f>IF(B456="","",IF(AE456="","",B456-AE456))</f>
        <v>0</v>
      </c>
      <c r="AF456" s="38">
        <f>IF(B456="","",IF(M456&lt;&gt;"Completed","",IF(E456="","No",IF(COUNTIFS(Appointments!$E$5:$E$1204,E456,Appointments!$B$5:$B$1204,"&gt;"&amp;B456,Appointments!$M$5:$M$1204,"&lt;&gt;Cancelled")&gt;0,"Yes","No"))))</f>
        <v>0</v>
      </c>
      <c r="AG456" s="38">
        <f>IF(B456="","",IF(I456="","",IF(D456="","",IF(COUNTIFS($I$5:$I$1204,I456,$B$5:$B$1204,B456,$D$5:$D$1204,"&lt;"&amp;V456,$V$5:$V$1204,"&gt;"&amp;D456,$M$5:$M$1204,"&lt;&gt;Cancelled")&gt;1,"Clash",""))))</f>
        <v>0</v>
      </c>
      <c r="AH456" s="39">
        <f>IF(B456="","",IF(AG456="Clash","Clash - stylist double booked",IF(I456="","Assign - no stylist yet",IF(G456="","Add - no service chosen",IF(M456="No show","No show - charge the fee?",IF(M456="Cancelled","",IF(IF(M456="Completed",AB456&lt;Y456-0.004,FALSE),"Unpaid - nothing rung up for this visit",IF(IF(B456&lt;TodayDate,M456="Booked",FALSE),"Overdue - past date, still only Booked",IF(IF(B456=TodayDate,TRUE,FALSE),"Today",IF(IF(Z456&gt;0,AA456&lt;Z456-0.004,FALSE),"Due - deposit not taken",IF(IF(B456&gt;TodayDate,B456&lt;=TodayDate+2,FALSE),"Confirm - coming up","OK")))))))))))</f>
        <v>0</v>
      </c>
    </row>
    <row r="457" spans="1:34">
      <c r="A457" s="28">
        <f>IF(B457="","",AppointmentPrefix&amp;TEXT(ROW()-4,"0000"))</f>
        <v>0</v>
      </c>
      <c r="C457" s="15">
        <f>IF(B457="","",TEXT(B457,"ddd"))</f>
        <v>0</v>
      </c>
      <c r="F457" s="15">
        <f>IF(E457="","",IFERROR(INDEX(Clients!$B$5:$B$504,MATCH(E457,Clients!$A$5:$A$504,0)),"Walk-in"))</f>
        <v>0</v>
      </c>
      <c r="H457" s="15">
        <f>IF(G457="","",IFERROR(INDEX(Services!$B$5:$B$204,MATCH(G457,Services!$A$5:$A$204,0)),"Not in Services"))</f>
        <v>0</v>
      </c>
      <c r="J457" s="15">
        <f>IF(I457="","",IFERROR(INDEX(Staff!$B$5:$B$44,MATCH(I457,Staff!$A$5:$A$44,0)),"Unassigned"))</f>
        <v>0</v>
      </c>
      <c r="S457" s="15">
        <f>IF(B457="","",TEXT(B457,"yyyy-mm"))</f>
        <v>0</v>
      </c>
      <c r="T457" s="25">
        <f>IF(B457="","",WEEKNUM(B457,2))</f>
        <v>0</v>
      </c>
      <c r="U457" s="25">
        <f>IF(B457="","",IF(K457&lt;&gt;"",K457,IFERROR(INDEX(Services!$E$5:$E$204,MATCH(G457,Services!$A$5:$A$204,0))*1,0)+IFERROR(INDEX(Services!$F$5:$F$204,MATCH(G457,Services!$A$5:$A$204,0))*1,0)))</f>
        <v>0</v>
      </c>
      <c r="V457" s="36">
        <f>IF(B457="","",IF(D457="","",D457+U457/1440))</f>
        <v>0</v>
      </c>
      <c r="W457" s="25">
        <f>IF(B457="","",IF(D457="","",HOUR(D457)))</f>
        <v>0</v>
      </c>
      <c r="X457" s="37">
        <f>IF(B457="","",ROUND(U457/60,2))</f>
        <v>0</v>
      </c>
      <c r="Y457" s="26">
        <f>IF(B457="","",IF(L457&lt;&gt;"",L457,IFERROR(INDEX(Services!$G$5:$G$204,MATCH(G457,Services!$A$5:$A$204,0))*1,0)))</f>
        <v>0</v>
      </c>
      <c r="Z457" s="26">
        <f>IF(B457="","",IF(O457&lt;&gt;"",O457,IF(Y457&gt;=DepositThreshold,ROUND(Y457*DepositPercent,2),0)))</f>
        <v>0</v>
      </c>
      <c r="AA457" s="26">
        <f>IF(B457="","",ROUND(SUMIFS(Payments!$G$5:$G$1204,Payments!$I$5:$I$1204,A457,Payments!$E$5:$E$1204,"Deposit"),2))</f>
        <v>0</v>
      </c>
      <c r="AB457" s="26">
        <f>IF(B457="","",ROUND(SUMIFS(Sales!$Y$5:$Y$1204,Sales!$C$5:$C$1204,A457),2))</f>
        <v>0</v>
      </c>
      <c r="AC457" s="38">
        <f>IF(B457="","",IF(M457="Completed","Yes",IF(M457="Cancelled","Yes",IF(M457="No show","Yes","No"))))</f>
        <v>0</v>
      </c>
      <c r="AD457" s="25">
        <f>IF(B457="","",IF(AE457="","",B457-AE457))</f>
        <v>0</v>
      </c>
      <c r="AF457" s="38">
        <f>IF(B457="","",IF(M457&lt;&gt;"Completed","",IF(E457="","No",IF(COUNTIFS(Appointments!$E$5:$E$1204,E457,Appointments!$B$5:$B$1204,"&gt;"&amp;B457,Appointments!$M$5:$M$1204,"&lt;&gt;Cancelled")&gt;0,"Yes","No"))))</f>
        <v>0</v>
      </c>
      <c r="AG457" s="38">
        <f>IF(B457="","",IF(I457="","",IF(D457="","",IF(COUNTIFS($I$5:$I$1204,I457,$B$5:$B$1204,B457,$D$5:$D$1204,"&lt;"&amp;V457,$V$5:$V$1204,"&gt;"&amp;D457,$M$5:$M$1204,"&lt;&gt;Cancelled")&gt;1,"Clash",""))))</f>
        <v>0</v>
      </c>
      <c r="AH457" s="39">
        <f>IF(B457="","",IF(AG457="Clash","Clash - stylist double booked",IF(I457="","Assign - no stylist yet",IF(G457="","Add - no service chosen",IF(M457="No show","No show - charge the fee?",IF(M457="Cancelled","",IF(IF(M457="Completed",AB457&lt;Y457-0.004,FALSE),"Unpaid - nothing rung up for this visit",IF(IF(B457&lt;TodayDate,M457="Booked",FALSE),"Overdue - past date, still only Booked",IF(IF(B457=TodayDate,TRUE,FALSE),"Today",IF(IF(Z457&gt;0,AA457&lt;Z457-0.004,FALSE),"Due - deposit not taken",IF(IF(B457&gt;TodayDate,B457&lt;=TodayDate+2,FALSE),"Confirm - coming up","OK")))))))))))</f>
        <v>0</v>
      </c>
    </row>
    <row r="458" spans="1:34">
      <c r="A458" s="28">
        <f>IF(B458="","",AppointmentPrefix&amp;TEXT(ROW()-4,"0000"))</f>
        <v>0</v>
      </c>
      <c r="C458" s="15">
        <f>IF(B458="","",TEXT(B458,"ddd"))</f>
        <v>0</v>
      </c>
      <c r="F458" s="15">
        <f>IF(E458="","",IFERROR(INDEX(Clients!$B$5:$B$504,MATCH(E458,Clients!$A$5:$A$504,0)),"Walk-in"))</f>
        <v>0</v>
      </c>
      <c r="H458" s="15">
        <f>IF(G458="","",IFERROR(INDEX(Services!$B$5:$B$204,MATCH(G458,Services!$A$5:$A$204,0)),"Not in Services"))</f>
        <v>0</v>
      </c>
      <c r="J458" s="15">
        <f>IF(I458="","",IFERROR(INDEX(Staff!$B$5:$B$44,MATCH(I458,Staff!$A$5:$A$44,0)),"Unassigned"))</f>
        <v>0</v>
      </c>
      <c r="S458" s="15">
        <f>IF(B458="","",TEXT(B458,"yyyy-mm"))</f>
        <v>0</v>
      </c>
      <c r="T458" s="25">
        <f>IF(B458="","",WEEKNUM(B458,2))</f>
        <v>0</v>
      </c>
      <c r="U458" s="25">
        <f>IF(B458="","",IF(K458&lt;&gt;"",K458,IFERROR(INDEX(Services!$E$5:$E$204,MATCH(G458,Services!$A$5:$A$204,0))*1,0)+IFERROR(INDEX(Services!$F$5:$F$204,MATCH(G458,Services!$A$5:$A$204,0))*1,0)))</f>
        <v>0</v>
      </c>
      <c r="V458" s="36">
        <f>IF(B458="","",IF(D458="","",D458+U458/1440))</f>
        <v>0</v>
      </c>
      <c r="W458" s="25">
        <f>IF(B458="","",IF(D458="","",HOUR(D458)))</f>
        <v>0</v>
      </c>
      <c r="X458" s="37">
        <f>IF(B458="","",ROUND(U458/60,2))</f>
        <v>0</v>
      </c>
      <c r="Y458" s="26">
        <f>IF(B458="","",IF(L458&lt;&gt;"",L458,IFERROR(INDEX(Services!$G$5:$G$204,MATCH(G458,Services!$A$5:$A$204,0))*1,0)))</f>
        <v>0</v>
      </c>
      <c r="Z458" s="26">
        <f>IF(B458="","",IF(O458&lt;&gt;"",O458,IF(Y458&gt;=DepositThreshold,ROUND(Y458*DepositPercent,2),0)))</f>
        <v>0</v>
      </c>
      <c r="AA458" s="26">
        <f>IF(B458="","",ROUND(SUMIFS(Payments!$G$5:$G$1204,Payments!$I$5:$I$1204,A458,Payments!$E$5:$E$1204,"Deposit"),2))</f>
        <v>0</v>
      </c>
      <c r="AB458" s="26">
        <f>IF(B458="","",ROUND(SUMIFS(Sales!$Y$5:$Y$1204,Sales!$C$5:$C$1204,A458),2))</f>
        <v>0</v>
      </c>
      <c r="AC458" s="38">
        <f>IF(B458="","",IF(M458="Completed","Yes",IF(M458="Cancelled","Yes",IF(M458="No show","Yes","No"))))</f>
        <v>0</v>
      </c>
      <c r="AD458" s="25">
        <f>IF(B458="","",IF(AE458="","",B458-AE458))</f>
        <v>0</v>
      </c>
      <c r="AF458" s="38">
        <f>IF(B458="","",IF(M458&lt;&gt;"Completed","",IF(E458="","No",IF(COUNTIFS(Appointments!$E$5:$E$1204,E458,Appointments!$B$5:$B$1204,"&gt;"&amp;B458,Appointments!$M$5:$M$1204,"&lt;&gt;Cancelled")&gt;0,"Yes","No"))))</f>
        <v>0</v>
      </c>
      <c r="AG458" s="38">
        <f>IF(B458="","",IF(I458="","",IF(D458="","",IF(COUNTIFS($I$5:$I$1204,I458,$B$5:$B$1204,B458,$D$5:$D$1204,"&lt;"&amp;V458,$V$5:$V$1204,"&gt;"&amp;D458,$M$5:$M$1204,"&lt;&gt;Cancelled")&gt;1,"Clash",""))))</f>
        <v>0</v>
      </c>
      <c r="AH458" s="39">
        <f>IF(B458="","",IF(AG458="Clash","Clash - stylist double booked",IF(I458="","Assign - no stylist yet",IF(G458="","Add - no service chosen",IF(M458="No show","No show - charge the fee?",IF(M458="Cancelled","",IF(IF(M458="Completed",AB458&lt;Y458-0.004,FALSE),"Unpaid - nothing rung up for this visit",IF(IF(B458&lt;TodayDate,M458="Booked",FALSE),"Overdue - past date, still only Booked",IF(IF(B458=TodayDate,TRUE,FALSE),"Today",IF(IF(Z458&gt;0,AA458&lt;Z458-0.004,FALSE),"Due - deposit not taken",IF(IF(B458&gt;TodayDate,B458&lt;=TodayDate+2,FALSE),"Confirm - coming up","OK")))))))))))</f>
        <v>0</v>
      </c>
    </row>
    <row r="459" spans="1:34">
      <c r="A459" s="28">
        <f>IF(B459="","",AppointmentPrefix&amp;TEXT(ROW()-4,"0000"))</f>
        <v>0</v>
      </c>
      <c r="C459" s="15">
        <f>IF(B459="","",TEXT(B459,"ddd"))</f>
        <v>0</v>
      </c>
      <c r="F459" s="15">
        <f>IF(E459="","",IFERROR(INDEX(Clients!$B$5:$B$504,MATCH(E459,Clients!$A$5:$A$504,0)),"Walk-in"))</f>
        <v>0</v>
      </c>
      <c r="H459" s="15">
        <f>IF(G459="","",IFERROR(INDEX(Services!$B$5:$B$204,MATCH(G459,Services!$A$5:$A$204,0)),"Not in Services"))</f>
        <v>0</v>
      </c>
      <c r="J459" s="15">
        <f>IF(I459="","",IFERROR(INDEX(Staff!$B$5:$B$44,MATCH(I459,Staff!$A$5:$A$44,0)),"Unassigned"))</f>
        <v>0</v>
      </c>
      <c r="S459" s="15">
        <f>IF(B459="","",TEXT(B459,"yyyy-mm"))</f>
        <v>0</v>
      </c>
      <c r="T459" s="25">
        <f>IF(B459="","",WEEKNUM(B459,2))</f>
        <v>0</v>
      </c>
      <c r="U459" s="25">
        <f>IF(B459="","",IF(K459&lt;&gt;"",K459,IFERROR(INDEX(Services!$E$5:$E$204,MATCH(G459,Services!$A$5:$A$204,0))*1,0)+IFERROR(INDEX(Services!$F$5:$F$204,MATCH(G459,Services!$A$5:$A$204,0))*1,0)))</f>
        <v>0</v>
      </c>
      <c r="V459" s="36">
        <f>IF(B459="","",IF(D459="","",D459+U459/1440))</f>
        <v>0</v>
      </c>
      <c r="W459" s="25">
        <f>IF(B459="","",IF(D459="","",HOUR(D459)))</f>
        <v>0</v>
      </c>
      <c r="X459" s="37">
        <f>IF(B459="","",ROUND(U459/60,2))</f>
        <v>0</v>
      </c>
      <c r="Y459" s="26">
        <f>IF(B459="","",IF(L459&lt;&gt;"",L459,IFERROR(INDEX(Services!$G$5:$G$204,MATCH(G459,Services!$A$5:$A$204,0))*1,0)))</f>
        <v>0</v>
      </c>
      <c r="Z459" s="26">
        <f>IF(B459="","",IF(O459&lt;&gt;"",O459,IF(Y459&gt;=DepositThreshold,ROUND(Y459*DepositPercent,2),0)))</f>
        <v>0</v>
      </c>
      <c r="AA459" s="26">
        <f>IF(B459="","",ROUND(SUMIFS(Payments!$G$5:$G$1204,Payments!$I$5:$I$1204,A459,Payments!$E$5:$E$1204,"Deposit"),2))</f>
        <v>0</v>
      </c>
      <c r="AB459" s="26">
        <f>IF(B459="","",ROUND(SUMIFS(Sales!$Y$5:$Y$1204,Sales!$C$5:$C$1204,A459),2))</f>
        <v>0</v>
      </c>
      <c r="AC459" s="38">
        <f>IF(B459="","",IF(M459="Completed","Yes",IF(M459="Cancelled","Yes",IF(M459="No show","Yes","No"))))</f>
        <v>0</v>
      </c>
      <c r="AD459" s="25">
        <f>IF(B459="","",IF(AE459="","",B459-AE459))</f>
        <v>0</v>
      </c>
      <c r="AF459" s="38">
        <f>IF(B459="","",IF(M459&lt;&gt;"Completed","",IF(E459="","No",IF(COUNTIFS(Appointments!$E$5:$E$1204,E459,Appointments!$B$5:$B$1204,"&gt;"&amp;B459,Appointments!$M$5:$M$1204,"&lt;&gt;Cancelled")&gt;0,"Yes","No"))))</f>
        <v>0</v>
      </c>
      <c r="AG459" s="38">
        <f>IF(B459="","",IF(I459="","",IF(D459="","",IF(COUNTIFS($I$5:$I$1204,I459,$B$5:$B$1204,B459,$D$5:$D$1204,"&lt;"&amp;V459,$V$5:$V$1204,"&gt;"&amp;D459,$M$5:$M$1204,"&lt;&gt;Cancelled")&gt;1,"Clash",""))))</f>
        <v>0</v>
      </c>
      <c r="AH459" s="39">
        <f>IF(B459="","",IF(AG459="Clash","Clash - stylist double booked",IF(I459="","Assign - no stylist yet",IF(G459="","Add - no service chosen",IF(M459="No show","No show - charge the fee?",IF(M459="Cancelled","",IF(IF(M459="Completed",AB459&lt;Y459-0.004,FALSE),"Unpaid - nothing rung up for this visit",IF(IF(B459&lt;TodayDate,M459="Booked",FALSE),"Overdue - past date, still only Booked",IF(IF(B459=TodayDate,TRUE,FALSE),"Today",IF(IF(Z459&gt;0,AA459&lt;Z459-0.004,FALSE),"Due - deposit not taken",IF(IF(B459&gt;TodayDate,B459&lt;=TodayDate+2,FALSE),"Confirm - coming up","OK")))))))))))</f>
        <v>0</v>
      </c>
    </row>
    <row r="460" spans="1:34">
      <c r="A460" s="28">
        <f>IF(B460="","",AppointmentPrefix&amp;TEXT(ROW()-4,"0000"))</f>
        <v>0</v>
      </c>
      <c r="C460" s="15">
        <f>IF(B460="","",TEXT(B460,"ddd"))</f>
        <v>0</v>
      </c>
      <c r="F460" s="15">
        <f>IF(E460="","",IFERROR(INDEX(Clients!$B$5:$B$504,MATCH(E460,Clients!$A$5:$A$504,0)),"Walk-in"))</f>
        <v>0</v>
      </c>
      <c r="H460" s="15">
        <f>IF(G460="","",IFERROR(INDEX(Services!$B$5:$B$204,MATCH(G460,Services!$A$5:$A$204,0)),"Not in Services"))</f>
        <v>0</v>
      </c>
      <c r="J460" s="15">
        <f>IF(I460="","",IFERROR(INDEX(Staff!$B$5:$B$44,MATCH(I460,Staff!$A$5:$A$44,0)),"Unassigned"))</f>
        <v>0</v>
      </c>
      <c r="S460" s="15">
        <f>IF(B460="","",TEXT(B460,"yyyy-mm"))</f>
        <v>0</v>
      </c>
      <c r="T460" s="25">
        <f>IF(B460="","",WEEKNUM(B460,2))</f>
        <v>0</v>
      </c>
      <c r="U460" s="25">
        <f>IF(B460="","",IF(K460&lt;&gt;"",K460,IFERROR(INDEX(Services!$E$5:$E$204,MATCH(G460,Services!$A$5:$A$204,0))*1,0)+IFERROR(INDEX(Services!$F$5:$F$204,MATCH(G460,Services!$A$5:$A$204,0))*1,0)))</f>
        <v>0</v>
      </c>
      <c r="V460" s="36">
        <f>IF(B460="","",IF(D460="","",D460+U460/1440))</f>
        <v>0</v>
      </c>
      <c r="W460" s="25">
        <f>IF(B460="","",IF(D460="","",HOUR(D460)))</f>
        <v>0</v>
      </c>
      <c r="X460" s="37">
        <f>IF(B460="","",ROUND(U460/60,2))</f>
        <v>0</v>
      </c>
      <c r="Y460" s="26">
        <f>IF(B460="","",IF(L460&lt;&gt;"",L460,IFERROR(INDEX(Services!$G$5:$G$204,MATCH(G460,Services!$A$5:$A$204,0))*1,0)))</f>
        <v>0</v>
      </c>
      <c r="Z460" s="26">
        <f>IF(B460="","",IF(O460&lt;&gt;"",O460,IF(Y460&gt;=DepositThreshold,ROUND(Y460*DepositPercent,2),0)))</f>
        <v>0</v>
      </c>
      <c r="AA460" s="26">
        <f>IF(B460="","",ROUND(SUMIFS(Payments!$G$5:$G$1204,Payments!$I$5:$I$1204,A460,Payments!$E$5:$E$1204,"Deposit"),2))</f>
        <v>0</v>
      </c>
      <c r="AB460" s="26">
        <f>IF(B460="","",ROUND(SUMIFS(Sales!$Y$5:$Y$1204,Sales!$C$5:$C$1204,A460),2))</f>
        <v>0</v>
      </c>
      <c r="AC460" s="38">
        <f>IF(B460="","",IF(M460="Completed","Yes",IF(M460="Cancelled","Yes",IF(M460="No show","Yes","No"))))</f>
        <v>0</v>
      </c>
      <c r="AD460" s="25">
        <f>IF(B460="","",IF(AE460="","",B460-AE460))</f>
        <v>0</v>
      </c>
      <c r="AF460" s="38">
        <f>IF(B460="","",IF(M460&lt;&gt;"Completed","",IF(E460="","No",IF(COUNTIFS(Appointments!$E$5:$E$1204,E460,Appointments!$B$5:$B$1204,"&gt;"&amp;B460,Appointments!$M$5:$M$1204,"&lt;&gt;Cancelled")&gt;0,"Yes","No"))))</f>
        <v>0</v>
      </c>
      <c r="AG460" s="38">
        <f>IF(B460="","",IF(I460="","",IF(D460="","",IF(COUNTIFS($I$5:$I$1204,I460,$B$5:$B$1204,B460,$D$5:$D$1204,"&lt;"&amp;V460,$V$5:$V$1204,"&gt;"&amp;D460,$M$5:$M$1204,"&lt;&gt;Cancelled")&gt;1,"Clash",""))))</f>
        <v>0</v>
      </c>
      <c r="AH460" s="39">
        <f>IF(B460="","",IF(AG460="Clash","Clash - stylist double booked",IF(I460="","Assign - no stylist yet",IF(G460="","Add - no service chosen",IF(M460="No show","No show - charge the fee?",IF(M460="Cancelled","",IF(IF(M460="Completed",AB460&lt;Y460-0.004,FALSE),"Unpaid - nothing rung up for this visit",IF(IF(B460&lt;TodayDate,M460="Booked",FALSE),"Overdue - past date, still only Booked",IF(IF(B460=TodayDate,TRUE,FALSE),"Today",IF(IF(Z460&gt;0,AA460&lt;Z460-0.004,FALSE),"Due - deposit not taken",IF(IF(B460&gt;TodayDate,B460&lt;=TodayDate+2,FALSE),"Confirm - coming up","OK")))))))))))</f>
        <v>0</v>
      </c>
    </row>
    <row r="461" spans="1:34">
      <c r="A461" s="28">
        <f>IF(B461="","",AppointmentPrefix&amp;TEXT(ROW()-4,"0000"))</f>
        <v>0</v>
      </c>
      <c r="C461" s="15">
        <f>IF(B461="","",TEXT(B461,"ddd"))</f>
        <v>0</v>
      </c>
      <c r="F461" s="15">
        <f>IF(E461="","",IFERROR(INDEX(Clients!$B$5:$B$504,MATCH(E461,Clients!$A$5:$A$504,0)),"Walk-in"))</f>
        <v>0</v>
      </c>
      <c r="H461" s="15">
        <f>IF(G461="","",IFERROR(INDEX(Services!$B$5:$B$204,MATCH(G461,Services!$A$5:$A$204,0)),"Not in Services"))</f>
        <v>0</v>
      </c>
      <c r="J461" s="15">
        <f>IF(I461="","",IFERROR(INDEX(Staff!$B$5:$B$44,MATCH(I461,Staff!$A$5:$A$44,0)),"Unassigned"))</f>
        <v>0</v>
      </c>
      <c r="S461" s="15">
        <f>IF(B461="","",TEXT(B461,"yyyy-mm"))</f>
        <v>0</v>
      </c>
      <c r="T461" s="25">
        <f>IF(B461="","",WEEKNUM(B461,2))</f>
        <v>0</v>
      </c>
      <c r="U461" s="25">
        <f>IF(B461="","",IF(K461&lt;&gt;"",K461,IFERROR(INDEX(Services!$E$5:$E$204,MATCH(G461,Services!$A$5:$A$204,0))*1,0)+IFERROR(INDEX(Services!$F$5:$F$204,MATCH(G461,Services!$A$5:$A$204,0))*1,0)))</f>
        <v>0</v>
      </c>
      <c r="V461" s="36">
        <f>IF(B461="","",IF(D461="","",D461+U461/1440))</f>
        <v>0</v>
      </c>
      <c r="W461" s="25">
        <f>IF(B461="","",IF(D461="","",HOUR(D461)))</f>
        <v>0</v>
      </c>
      <c r="X461" s="37">
        <f>IF(B461="","",ROUND(U461/60,2))</f>
        <v>0</v>
      </c>
      <c r="Y461" s="26">
        <f>IF(B461="","",IF(L461&lt;&gt;"",L461,IFERROR(INDEX(Services!$G$5:$G$204,MATCH(G461,Services!$A$5:$A$204,0))*1,0)))</f>
        <v>0</v>
      </c>
      <c r="Z461" s="26">
        <f>IF(B461="","",IF(O461&lt;&gt;"",O461,IF(Y461&gt;=DepositThreshold,ROUND(Y461*DepositPercent,2),0)))</f>
        <v>0</v>
      </c>
      <c r="AA461" s="26">
        <f>IF(B461="","",ROUND(SUMIFS(Payments!$G$5:$G$1204,Payments!$I$5:$I$1204,A461,Payments!$E$5:$E$1204,"Deposit"),2))</f>
        <v>0</v>
      </c>
      <c r="AB461" s="26">
        <f>IF(B461="","",ROUND(SUMIFS(Sales!$Y$5:$Y$1204,Sales!$C$5:$C$1204,A461),2))</f>
        <v>0</v>
      </c>
      <c r="AC461" s="38">
        <f>IF(B461="","",IF(M461="Completed","Yes",IF(M461="Cancelled","Yes",IF(M461="No show","Yes","No"))))</f>
        <v>0</v>
      </c>
      <c r="AD461" s="25">
        <f>IF(B461="","",IF(AE461="","",B461-AE461))</f>
        <v>0</v>
      </c>
      <c r="AF461" s="38">
        <f>IF(B461="","",IF(M461&lt;&gt;"Completed","",IF(E461="","No",IF(COUNTIFS(Appointments!$E$5:$E$1204,E461,Appointments!$B$5:$B$1204,"&gt;"&amp;B461,Appointments!$M$5:$M$1204,"&lt;&gt;Cancelled")&gt;0,"Yes","No"))))</f>
        <v>0</v>
      </c>
      <c r="AG461" s="38">
        <f>IF(B461="","",IF(I461="","",IF(D461="","",IF(COUNTIFS($I$5:$I$1204,I461,$B$5:$B$1204,B461,$D$5:$D$1204,"&lt;"&amp;V461,$V$5:$V$1204,"&gt;"&amp;D461,$M$5:$M$1204,"&lt;&gt;Cancelled")&gt;1,"Clash",""))))</f>
        <v>0</v>
      </c>
      <c r="AH461" s="39">
        <f>IF(B461="","",IF(AG461="Clash","Clash - stylist double booked",IF(I461="","Assign - no stylist yet",IF(G461="","Add - no service chosen",IF(M461="No show","No show - charge the fee?",IF(M461="Cancelled","",IF(IF(M461="Completed",AB461&lt;Y461-0.004,FALSE),"Unpaid - nothing rung up for this visit",IF(IF(B461&lt;TodayDate,M461="Booked",FALSE),"Overdue - past date, still only Booked",IF(IF(B461=TodayDate,TRUE,FALSE),"Today",IF(IF(Z461&gt;0,AA461&lt;Z461-0.004,FALSE),"Due - deposit not taken",IF(IF(B461&gt;TodayDate,B461&lt;=TodayDate+2,FALSE),"Confirm - coming up","OK")))))))))))</f>
        <v>0</v>
      </c>
    </row>
    <row r="462" spans="1:34">
      <c r="A462" s="28">
        <f>IF(B462="","",AppointmentPrefix&amp;TEXT(ROW()-4,"0000"))</f>
        <v>0</v>
      </c>
      <c r="C462" s="15">
        <f>IF(B462="","",TEXT(B462,"ddd"))</f>
        <v>0</v>
      </c>
      <c r="F462" s="15">
        <f>IF(E462="","",IFERROR(INDEX(Clients!$B$5:$B$504,MATCH(E462,Clients!$A$5:$A$504,0)),"Walk-in"))</f>
        <v>0</v>
      </c>
      <c r="H462" s="15">
        <f>IF(G462="","",IFERROR(INDEX(Services!$B$5:$B$204,MATCH(G462,Services!$A$5:$A$204,0)),"Not in Services"))</f>
        <v>0</v>
      </c>
      <c r="J462" s="15">
        <f>IF(I462="","",IFERROR(INDEX(Staff!$B$5:$B$44,MATCH(I462,Staff!$A$5:$A$44,0)),"Unassigned"))</f>
        <v>0</v>
      </c>
      <c r="S462" s="15">
        <f>IF(B462="","",TEXT(B462,"yyyy-mm"))</f>
        <v>0</v>
      </c>
      <c r="T462" s="25">
        <f>IF(B462="","",WEEKNUM(B462,2))</f>
        <v>0</v>
      </c>
      <c r="U462" s="25">
        <f>IF(B462="","",IF(K462&lt;&gt;"",K462,IFERROR(INDEX(Services!$E$5:$E$204,MATCH(G462,Services!$A$5:$A$204,0))*1,0)+IFERROR(INDEX(Services!$F$5:$F$204,MATCH(G462,Services!$A$5:$A$204,0))*1,0)))</f>
        <v>0</v>
      </c>
      <c r="V462" s="36">
        <f>IF(B462="","",IF(D462="","",D462+U462/1440))</f>
        <v>0</v>
      </c>
      <c r="W462" s="25">
        <f>IF(B462="","",IF(D462="","",HOUR(D462)))</f>
        <v>0</v>
      </c>
      <c r="X462" s="37">
        <f>IF(B462="","",ROUND(U462/60,2))</f>
        <v>0</v>
      </c>
      <c r="Y462" s="26">
        <f>IF(B462="","",IF(L462&lt;&gt;"",L462,IFERROR(INDEX(Services!$G$5:$G$204,MATCH(G462,Services!$A$5:$A$204,0))*1,0)))</f>
        <v>0</v>
      </c>
      <c r="Z462" s="26">
        <f>IF(B462="","",IF(O462&lt;&gt;"",O462,IF(Y462&gt;=DepositThreshold,ROUND(Y462*DepositPercent,2),0)))</f>
        <v>0</v>
      </c>
      <c r="AA462" s="26">
        <f>IF(B462="","",ROUND(SUMIFS(Payments!$G$5:$G$1204,Payments!$I$5:$I$1204,A462,Payments!$E$5:$E$1204,"Deposit"),2))</f>
        <v>0</v>
      </c>
      <c r="AB462" s="26">
        <f>IF(B462="","",ROUND(SUMIFS(Sales!$Y$5:$Y$1204,Sales!$C$5:$C$1204,A462),2))</f>
        <v>0</v>
      </c>
      <c r="AC462" s="38">
        <f>IF(B462="","",IF(M462="Completed","Yes",IF(M462="Cancelled","Yes",IF(M462="No show","Yes","No"))))</f>
        <v>0</v>
      </c>
      <c r="AD462" s="25">
        <f>IF(B462="","",IF(AE462="","",B462-AE462))</f>
        <v>0</v>
      </c>
      <c r="AF462" s="38">
        <f>IF(B462="","",IF(M462&lt;&gt;"Completed","",IF(E462="","No",IF(COUNTIFS(Appointments!$E$5:$E$1204,E462,Appointments!$B$5:$B$1204,"&gt;"&amp;B462,Appointments!$M$5:$M$1204,"&lt;&gt;Cancelled")&gt;0,"Yes","No"))))</f>
        <v>0</v>
      </c>
      <c r="AG462" s="38">
        <f>IF(B462="","",IF(I462="","",IF(D462="","",IF(COUNTIFS($I$5:$I$1204,I462,$B$5:$B$1204,B462,$D$5:$D$1204,"&lt;"&amp;V462,$V$5:$V$1204,"&gt;"&amp;D462,$M$5:$M$1204,"&lt;&gt;Cancelled")&gt;1,"Clash",""))))</f>
        <v>0</v>
      </c>
      <c r="AH462" s="39">
        <f>IF(B462="","",IF(AG462="Clash","Clash - stylist double booked",IF(I462="","Assign - no stylist yet",IF(G462="","Add - no service chosen",IF(M462="No show","No show - charge the fee?",IF(M462="Cancelled","",IF(IF(M462="Completed",AB462&lt;Y462-0.004,FALSE),"Unpaid - nothing rung up for this visit",IF(IF(B462&lt;TodayDate,M462="Booked",FALSE),"Overdue - past date, still only Booked",IF(IF(B462=TodayDate,TRUE,FALSE),"Today",IF(IF(Z462&gt;0,AA462&lt;Z462-0.004,FALSE),"Due - deposit not taken",IF(IF(B462&gt;TodayDate,B462&lt;=TodayDate+2,FALSE),"Confirm - coming up","OK")))))))))))</f>
        <v>0</v>
      </c>
    </row>
    <row r="463" spans="1:34">
      <c r="A463" s="28">
        <f>IF(B463="","",AppointmentPrefix&amp;TEXT(ROW()-4,"0000"))</f>
        <v>0</v>
      </c>
      <c r="C463" s="15">
        <f>IF(B463="","",TEXT(B463,"ddd"))</f>
        <v>0</v>
      </c>
      <c r="F463" s="15">
        <f>IF(E463="","",IFERROR(INDEX(Clients!$B$5:$B$504,MATCH(E463,Clients!$A$5:$A$504,0)),"Walk-in"))</f>
        <v>0</v>
      </c>
      <c r="H463" s="15">
        <f>IF(G463="","",IFERROR(INDEX(Services!$B$5:$B$204,MATCH(G463,Services!$A$5:$A$204,0)),"Not in Services"))</f>
        <v>0</v>
      </c>
      <c r="J463" s="15">
        <f>IF(I463="","",IFERROR(INDEX(Staff!$B$5:$B$44,MATCH(I463,Staff!$A$5:$A$44,0)),"Unassigned"))</f>
        <v>0</v>
      </c>
      <c r="S463" s="15">
        <f>IF(B463="","",TEXT(B463,"yyyy-mm"))</f>
        <v>0</v>
      </c>
      <c r="T463" s="25">
        <f>IF(B463="","",WEEKNUM(B463,2))</f>
        <v>0</v>
      </c>
      <c r="U463" s="25">
        <f>IF(B463="","",IF(K463&lt;&gt;"",K463,IFERROR(INDEX(Services!$E$5:$E$204,MATCH(G463,Services!$A$5:$A$204,0))*1,0)+IFERROR(INDEX(Services!$F$5:$F$204,MATCH(G463,Services!$A$5:$A$204,0))*1,0)))</f>
        <v>0</v>
      </c>
      <c r="V463" s="36">
        <f>IF(B463="","",IF(D463="","",D463+U463/1440))</f>
        <v>0</v>
      </c>
      <c r="W463" s="25">
        <f>IF(B463="","",IF(D463="","",HOUR(D463)))</f>
        <v>0</v>
      </c>
      <c r="X463" s="37">
        <f>IF(B463="","",ROUND(U463/60,2))</f>
        <v>0</v>
      </c>
      <c r="Y463" s="26">
        <f>IF(B463="","",IF(L463&lt;&gt;"",L463,IFERROR(INDEX(Services!$G$5:$G$204,MATCH(G463,Services!$A$5:$A$204,0))*1,0)))</f>
        <v>0</v>
      </c>
      <c r="Z463" s="26">
        <f>IF(B463="","",IF(O463&lt;&gt;"",O463,IF(Y463&gt;=DepositThreshold,ROUND(Y463*DepositPercent,2),0)))</f>
        <v>0</v>
      </c>
      <c r="AA463" s="26">
        <f>IF(B463="","",ROUND(SUMIFS(Payments!$G$5:$G$1204,Payments!$I$5:$I$1204,A463,Payments!$E$5:$E$1204,"Deposit"),2))</f>
        <v>0</v>
      </c>
      <c r="AB463" s="26">
        <f>IF(B463="","",ROUND(SUMIFS(Sales!$Y$5:$Y$1204,Sales!$C$5:$C$1204,A463),2))</f>
        <v>0</v>
      </c>
      <c r="AC463" s="38">
        <f>IF(B463="","",IF(M463="Completed","Yes",IF(M463="Cancelled","Yes",IF(M463="No show","Yes","No"))))</f>
        <v>0</v>
      </c>
      <c r="AD463" s="25">
        <f>IF(B463="","",IF(AE463="","",B463-AE463))</f>
        <v>0</v>
      </c>
      <c r="AF463" s="38">
        <f>IF(B463="","",IF(M463&lt;&gt;"Completed","",IF(E463="","No",IF(COUNTIFS(Appointments!$E$5:$E$1204,E463,Appointments!$B$5:$B$1204,"&gt;"&amp;B463,Appointments!$M$5:$M$1204,"&lt;&gt;Cancelled")&gt;0,"Yes","No"))))</f>
        <v>0</v>
      </c>
      <c r="AG463" s="38">
        <f>IF(B463="","",IF(I463="","",IF(D463="","",IF(COUNTIFS($I$5:$I$1204,I463,$B$5:$B$1204,B463,$D$5:$D$1204,"&lt;"&amp;V463,$V$5:$V$1204,"&gt;"&amp;D463,$M$5:$M$1204,"&lt;&gt;Cancelled")&gt;1,"Clash",""))))</f>
        <v>0</v>
      </c>
      <c r="AH463" s="39">
        <f>IF(B463="","",IF(AG463="Clash","Clash - stylist double booked",IF(I463="","Assign - no stylist yet",IF(G463="","Add - no service chosen",IF(M463="No show","No show - charge the fee?",IF(M463="Cancelled","",IF(IF(M463="Completed",AB463&lt;Y463-0.004,FALSE),"Unpaid - nothing rung up for this visit",IF(IF(B463&lt;TodayDate,M463="Booked",FALSE),"Overdue - past date, still only Booked",IF(IF(B463=TodayDate,TRUE,FALSE),"Today",IF(IF(Z463&gt;0,AA463&lt;Z463-0.004,FALSE),"Due - deposit not taken",IF(IF(B463&gt;TodayDate,B463&lt;=TodayDate+2,FALSE),"Confirm - coming up","OK")))))))))))</f>
        <v>0</v>
      </c>
    </row>
    <row r="464" spans="1:34">
      <c r="A464" s="28">
        <f>IF(B464="","",AppointmentPrefix&amp;TEXT(ROW()-4,"0000"))</f>
        <v>0</v>
      </c>
      <c r="C464" s="15">
        <f>IF(B464="","",TEXT(B464,"ddd"))</f>
        <v>0</v>
      </c>
      <c r="F464" s="15">
        <f>IF(E464="","",IFERROR(INDEX(Clients!$B$5:$B$504,MATCH(E464,Clients!$A$5:$A$504,0)),"Walk-in"))</f>
        <v>0</v>
      </c>
      <c r="H464" s="15">
        <f>IF(G464="","",IFERROR(INDEX(Services!$B$5:$B$204,MATCH(G464,Services!$A$5:$A$204,0)),"Not in Services"))</f>
        <v>0</v>
      </c>
      <c r="J464" s="15">
        <f>IF(I464="","",IFERROR(INDEX(Staff!$B$5:$B$44,MATCH(I464,Staff!$A$5:$A$44,0)),"Unassigned"))</f>
        <v>0</v>
      </c>
      <c r="S464" s="15">
        <f>IF(B464="","",TEXT(B464,"yyyy-mm"))</f>
        <v>0</v>
      </c>
      <c r="T464" s="25">
        <f>IF(B464="","",WEEKNUM(B464,2))</f>
        <v>0</v>
      </c>
      <c r="U464" s="25">
        <f>IF(B464="","",IF(K464&lt;&gt;"",K464,IFERROR(INDEX(Services!$E$5:$E$204,MATCH(G464,Services!$A$5:$A$204,0))*1,0)+IFERROR(INDEX(Services!$F$5:$F$204,MATCH(G464,Services!$A$5:$A$204,0))*1,0)))</f>
        <v>0</v>
      </c>
      <c r="V464" s="36">
        <f>IF(B464="","",IF(D464="","",D464+U464/1440))</f>
        <v>0</v>
      </c>
      <c r="W464" s="25">
        <f>IF(B464="","",IF(D464="","",HOUR(D464)))</f>
        <v>0</v>
      </c>
      <c r="X464" s="37">
        <f>IF(B464="","",ROUND(U464/60,2))</f>
        <v>0</v>
      </c>
      <c r="Y464" s="26">
        <f>IF(B464="","",IF(L464&lt;&gt;"",L464,IFERROR(INDEX(Services!$G$5:$G$204,MATCH(G464,Services!$A$5:$A$204,0))*1,0)))</f>
        <v>0</v>
      </c>
      <c r="Z464" s="26">
        <f>IF(B464="","",IF(O464&lt;&gt;"",O464,IF(Y464&gt;=DepositThreshold,ROUND(Y464*DepositPercent,2),0)))</f>
        <v>0</v>
      </c>
      <c r="AA464" s="26">
        <f>IF(B464="","",ROUND(SUMIFS(Payments!$G$5:$G$1204,Payments!$I$5:$I$1204,A464,Payments!$E$5:$E$1204,"Deposit"),2))</f>
        <v>0</v>
      </c>
      <c r="AB464" s="26">
        <f>IF(B464="","",ROUND(SUMIFS(Sales!$Y$5:$Y$1204,Sales!$C$5:$C$1204,A464),2))</f>
        <v>0</v>
      </c>
      <c r="AC464" s="38">
        <f>IF(B464="","",IF(M464="Completed","Yes",IF(M464="Cancelled","Yes",IF(M464="No show","Yes","No"))))</f>
        <v>0</v>
      </c>
      <c r="AD464" s="25">
        <f>IF(B464="","",IF(AE464="","",B464-AE464))</f>
        <v>0</v>
      </c>
      <c r="AF464" s="38">
        <f>IF(B464="","",IF(M464&lt;&gt;"Completed","",IF(E464="","No",IF(COUNTIFS(Appointments!$E$5:$E$1204,E464,Appointments!$B$5:$B$1204,"&gt;"&amp;B464,Appointments!$M$5:$M$1204,"&lt;&gt;Cancelled")&gt;0,"Yes","No"))))</f>
        <v>0</v>
      </c>
      <c r="AG464" s="38">
        <f>IF(B464="","",IF(I464="","",IF(D464="","",IF(COUNTIFS($I$5:$I$1204,I464,$B$5:$B$1204,B464,$D$5:$D$1204,"&lt;"&amp;V464,$V$5:$V$1204,"&gt;"&amp;D464,$M$5:$M$1204,"&lt;&gt;Cancelled")&gt;1,"Clash",""))))</f>
        <v>0</v>
      </c>
      <c r="AH464" s="39">
        <f>IF(B464="","",IF(AG464="Clash","Clash - stylist double booked",IF(I464="","Assign - no stylist yet",IF(G464="","Add - no service chosen",IF(M464="No show","No show - charge the fee?",IF(M464="Cancelled","",IF(IF(M464="Completed",AB464&lt;Y464-0.004,FALSE),"Unpaid - nothing rung up for this visit",IF(IF(B464&lt;TodayDate,M464="Booked",FALSE),"Overdue - past date, still only Booked",IF(IF(B464=TodayDate,TRUE,FALSE),"Today",IF(IF(Z464&gt;0,AA464&lt;Z464-0.004,FALSE),"Due - deposit not taken",IF(IF(B464&gt;TodayDate,B464&lt;=TodayDate+2,FALSE),"Confirm - coming up","OK")))))))))))</f>
        <v>0</v>
      </c>
    </row>
    <row r="465" spans="1:34">
      <c r="A465" s="28">
        <f>IF(B465="","",AppointmentPrefix&amp;TEXT(ROW()-4,"0000"))</f>
        <v>0</v>
      </c>
      <c r="C465" s="15">
        <f>IF(B465="","",TEXT(B465,"ddd"))</f>
        <v>0</v>
      </c>
      <c r="F465" s="15">
        <f>IF(E465="","",IFERROR(INDEX(Clients!$B$5:$B$504,MATCH(E465,Clients!$A$5:$A$504,0)),"Walk-in"))</f>
        <v>0</v>
      </c>
      <c r="H465" s="15">
        <f>IF(G465="","",IFERROR(INDEX(Services!$B$5:$B$204,MATCH(G465,Services!$A$5:$A$204,0)),"Not in Services"))</f>
        <v>0</v>
      </c>
      <c r="J465" s="15">
        <f>IF(I465="","",IFERROR(INDEX(Staff!$B$5:$B$44,MATCH(I465,Staff!$A$5:$A$44,0)),"Unassigned"))</f>
        <v>0</v>
      </c>
      <c r="S465" s="15">
        <f>IF(B465="","",TEXT(B465,"yyyy-mm"))</f>
        <v>0</v>
      </c>
      <c r="T465" s="25">
        <f>IF(B465="","",WEEKNUM(B465,2))</f>
        <v>0</v>
      </c>
      <c r="U465" s="25">
        <f>IF(B465="","",IF(K465&lt;&gt;"",K465,IFERROR(INDEX(Services!$E$5:$E$204,MATCH(G465,Services!$A$5:$A$204,0))*1,0)+IFERROR(INDEX(Services!$F$5:$F$204,MATCH(G465,Services!$A$5:$A$204,0))*1,0)))</f>
        <v>0</v>
      </c>
      <c r="V465" s="36">
        <f>IF(B465="","",IF(D465="","",D465+U465/1440))</f>
        <v>0</v>
      </c>
      <c r="W465" s="25">
        <f>IF(B465="","",IF(D465="","",HOUR(D465)))</f>
        <v>0</v>
      </c>
      <c r="X465" s="37">
        <f>IF(B465="","",ROUND(U465/60,2))</f>
        <v>0</v>
      </c>
      <c r="Y465" s="26">
        <f>IF(B465="","",IF(L465&lt;&gt;"",L465,IFERROR(INDEX(Services!$G$5:$G$204,MATCH(G465,Services!$A$5:$A$204,0))*1,0)))</f>
        <v>0</v>
      </c>
      <c r="Z465" s="26">
        <f>IF(B465="","",IF(O465&lt;&gt;"",O465,IF(Y465&gt;=DepositThreshold,ROUND(Y465*DepositPercent,2),0)))</f>
        <v>0</v>
      </c>
      <c r="AA465" s="26">
        <f>IF(B465="","",ROUND(SUMIFS(Payments!$G$5:$G$1204,Payments!$I$5:$I$1204,A465,Payments!$E$5:$E$1204,"Deposit"),2))</f>
        <v>0</v>
      </c>
      <c r="AB465" s="26">
        <f>IF(B465="","",ROUND(SUMIFS(Sales!$Y$5:$Y$1204,Sales!$C$5:$C$1204,A465),2))</f>
        <v>0</v>
      </c>
      <c r="AC465" s="38">
        <f>IF(B465="","",IF(M465="Completed","Yes",IF(M465="Cancelled","Yes",IF(M465="No show","Yes","No"))))</f>
        <v>0</v>
      </c>
      <c r="AD465" s="25">
        <f>IF(B465="","",IF(AE465="","",B465-AE465))</f>
        <v>0</v>
      </c>
      <c r="AF465" s="38">
        <f>IF(B465="","",IF(M465&lt;&gt;"Completed","",IF(E465="","No",IF(COUNTIFS(Appointments!$E$5:$E$1204,E465,Appointments!$B$5:$B$1204,"&gt;"&amp;B465,Appointments!$M$5:$M$1204,"&lt;&gt;Cancelled")&gt;0,"Yes","No"))))</f>
        <v>0</v>
      </c>
      <c r="AG465" s="38">
        <f>IF(B465="","",IF(I465="","",IF(D465="","",IF(COUNTIFS($I$5:$I$1204,I465,$B$5:$B$1204,B465,$D$5:$D$1204,"&lt;"&amp;V465,$V$5:$V$1204,"&gt;"&amp;D465,$M$5:$M$1204,"&lt;&gt;Cancelled")&gt;1,"Clash",""))))</f>
        <v>0</v>
      </c>
      <c r="AH465" s="39">
        <f>IF(B465="","",IF(AG465="Clash","Clash - stylist double booked",IF(I465="","Assign - no stylist yet",IF(G465="","Add - no service chosen",IF(M465="No show","No show - charge the fee?",IF(M465="Cancelled","",IF(IF(M465="Completed",AB465&lt;Y465-0.004,FALSE),"Unpaid - nothing rung up for this visit",IF(IF(B465&lt;TodayDate,M465="Booked",FALSE),"Overdue - past date, still only Booked",IF(IF(B465=TodayDate,TRUE,FALSE),"Today",IF(IF(Z465&gt;0,AA465&lt;Z465-0.004,FALSE),"Due - deposit not taken",IF(IF(B465&gt;TodayDate,B465&lt;=TodayDate+2,FALSE),"Confirm - coming up","OK")))))))))))</f>
        <v>0</v>
      </c>
    </row>
    <row r="466" spans="1:34">
      <c r="A466" s="28">
        <f>IF(B466="","",AppointmentPrefix&amp;TEXT(ROW()-4,"0000"))</f>
        <v>0</v>
      </c>
      <c r="C466" s="15">
        <f>IF(B466="","",TEXT(B466,"ddd"))</f>
        <v>0</v>
      </c>
      <c r="F466" s="15">
        <f>IF(E466="","",IFERROR(INDEX(Clients!$B$5:$B$504,MATCH(E466,Clients!$A$5:$A$504,0)),"Walk-in"))</f>
        <v>0</v>
      </c>
      <c r="H466" s="15">
        <f>IF(G466="","",IFERROR(INDEX(Services!$B$5:$B$204,MATCH(G466,Services!$A$5:$A$204,0)),"Not in Services"))</f>
        <v>0</v>
      </c>
      <c r="J466" s="15">
        <f>IF(I466="","",IFERROR(INDEX(Staff!$B$5:$B$44,MATCH(I466,Staff!$A$5:$A$44,0)),"Unassigned"))</f>
        <v>0</v>
      </c>
      <c r="S466" s="15">
        <f>IF(B466="","",TEXT(B466,"yyyy-mm"))</f>
        <v>0</v>
      </c>
      <c r="T466" s="25">
        <f>IF(B466="","",WEEKNUM(B466,2))</f>
        <v>0</v>
      </c>
      <c r="U466" s="25">
        <f>IF(B466="","",IF(K466&lt;&gt;"",K466,IFERROR(INDEX(Services!$E$5:$E$204,MATCH(G466,Services!$A$5:$A$204,0))*1,0)+IFERROR(INDEX(Services!$F$5:$F$204,MATCH(G466,Services!$A$5:$A$204,0))*1,0)))</f>
        <v>0</v>
      </c>
      <c r="V466" s="36">
        <f>IF(B466="","",IF(D466="","",D466+U466/1440))</f>
        <v>0</v>
      </c>
      <c r="W466" s="25">
        <f>IF(B466="","",IF(D466="","",HOUR(D466)))</f>
        <v>0</v>
      </c>
      <c r="X466" s="37">
        <f>IF(B466="","",ROUND(U466/60,2))</f>
        <v>0</v>
      </c>
      <c r="Y466" s="26">
        <f>IF(B466="","",IF(L466&lt;&gt;"",L466,IFERROR(INDEX(Services!$G$5:$G$204,MATCH(G466,Services!$A$5:$A$204,0))*1,0)))</f>
        <v>0</v>
      </c>
      <c r="Z466" s="26">
        <f>IF(B466="","",IF(O466&lt;&gt;"",O466,IF(Y466&gt;=DepositThreshold,ROUND(Y466*DepositPercent,2),0)))</f>
        <v>0</v>
      </c>
      <c r="AA466" s="26">
        <f>IF(B466="","",ROUND(SUMIFS(Payments!$G$5:$G$1204,Payments!$I$5:$I$1204,A466,Payments!$E$5:$E$1204,"Deposit"),2))</f>
        <v>0</v>
      </c>
      <c r="AB466" s="26">
        <f>IF(B466="","",ROUND(SUMIFS(Sales!$Y$5:$Y$1204,Sales!$C$5:$C$1204,A466),2))</f>
        <v>0</v>
      </c>
      <c r="AC466" s="38">
        <f>IF(B466="","",IF(M466="Completed","Yes",IF(M466="Cancelled","Yes",IF(M466="No show","Yes","No"))))</f>
        <v>0</v>
      </c>
      <c r="AD466" s="25">
        <f>IF(B466="","",IF(AE466="","",B466-AE466))</f>
        <v>0</v>
      </c>
      <c r="AF466" s="38">
        <f>IF(B466="","",IF(M466&lt;&gt;"Completed","",IF(E466="","No",IF(COUNTIFS(Appointments!$E$5:$E$1204,E466,Appointments!$B$5:$B$1204,"&gt;"&amp;B466,Appointments!$M$5:$M$1204,"&lt;&gt;Cancelled")&gt;0,"Yes","No"))))</f>
        <v>0</v>
      </c>
      <c r="AG466" s="38">
        <f>IF(B466="","",IF(I466="","",IF(D466="","",IF(COUNTIFS($I$5:$I$1204,I466,$B$5:$B$1204,B466,$D$5:$D$1204,"&lt;"&amp;V466,$V$5:$V$1204,"&gt;"&amp;D466,$M$5:$M$1204,"&lt;&gt;Cancelled")&gt;1,"Clash",""))))</f>
        <v>0</v>
      </c>
      <c r="AH466" s="39">
        <f>IF(B466="","",IF(AG466="Clash","Clash - stylist double booked",IF(I466="","Assign - no stylist yet",IF(G466="","Add - no service chosen",IF(M466="No show","No show - charge the fee?",IF(M466="Cancelled","",IF(IF(M466="Completed",AB466&lt;Y466-0.004,FALSE),"Unpaid - nothing rung up for this visit",IF(IF(B466&lt;TodayDate,M466="Booked",FALSE),"Overdue - past date, still only Booked",IF(IF(B466=TodayDate,TRUE,FALSE),"Today",IF(IF(Z466&gt;0,AA466&lt;Z466-0.004,FALSE),"Due - deposit not taken",IF(IF(B466&gt;TodayDate,B466&lt;=TodayDate+2,FALSE),"Confirm - coming up","OK")))))))))))</f>
        <v>0</v>
      </c>
    </row>
    <row r="467" spans="1:34">
      <c r="A467" s="28">
        <f>IF(B467="","",AppointmentPrefix&amp;TEXT(ROW()-4,"0000"))</f>
        <v>0</v>
      </c>
      <c r="C467" s="15">
        <f>IF(B467="","",TEXT(B467,"ddd"))</f>
        <v>0</v>
      </c>
      <c r="F467" s="15">
        <f>IF(E467="","",IFERROR(INDEX(Clients!$B$5:$B$504,MATCH(E467,Clients!$A$5:$A$504,0)),"Walk-in"))</f>
        <v>0</v>
      </c>
      <c r="H467" s="15">
        <f>IF(G467="","",IFERROR(INDEX(Services!$B$5:$B$204,MATCH(G467,Services!$A$5:$A$204,0)),"Not in Services"))</f>
        <v>0</v>
      </c>
      <c r="J467" s="15">
        <f>IF(I467="","",IFERROR(INDEX(Staff!$B$5:$B$44,MATCH(I467,Staff!$A$5:$A$44,0)),"Unassigned"))</f>
        <v>0</v>
      </c>
      <c r="S467" s="15">
        <f>IF(B467="","",TEXT(B467,"yyyy-mm"))</f>
        <v>0</v>
      </c>
      <c r="T467" s="25">
        <f>IF(B467="","",WEEKNUM(B467,2))</f>
        <v>0</v>
      </c>
      <c r="U467" s="25">
        <f>IF(B467="","",IF(K467&lt;&gt;"",K467,IFERROR(INDEX(Services!$E$5:$E$204,MATCH(G467,Services!$A$5:$A$204,0))*1,0)+IFERROR(INDEX(Services!$F$5:$F$204,MATCH(G467,Services!$A$5:$A$204,0))*1,0)))</f>
        <v>0</v>
      </c>
      <c r="V467" s="36">
        <f>IF(B467="","",IF(D467="","",D467+U467/1440))</f>
        <v>0</v>
      </c>
      <c r="W467" s="25">
        <f>IF(B467="","",IF(D467="","",HOUR(D467)))</f>
        <v>0</v>
      </c>
      <c r="X467" s="37">
        <f>IF(B467="","",ROUND(U467/60,2))</f>
        <v>0</v>
      </c>
      <c r="Y467" s="26">
        <f>IF(B467="","",IF(L467&lt;&gt;"",L467,IFERROR(INDEX(Services!$G$5:$G$204,MATCH(G467,Services!$A$5:$A$204,0))*1,0)))</f>
        <v>0</v>
      </c>
      <c r="Z467" s="26">
        <f>IF(B467="","",IF(O467&lt;&gt;"",O467,IF(Y467&gt;=DepositThreshold,ROUND(Y467*DepositPercent,2),0)))</f>
        <v>0</v>
      </c>
      <c r="AA467" s="26">
        <f>IF(B467="","",ROUND(SUMIFS(Payments!$G$5:$G$1204,Payments!$I$5:$I$1204,A467,Payments!$E$5:$E$1204,"Deposit"),2))</f>
        <v>0</v>
      </c>
      <c r="AB467" s="26">
        <f>IF(B467="","",ROUND(SUMIFS(Sales!$Y$5:$Y$1204,Sales!$C$5:$C$1204,A467),2))</f>
        <v>0</v>
      </c>
      <c r="AC467" s="38">
        <f>IF(B467="","",IF(M467="Completed","Yes",IF(M467="Cancelled","Yes",IF(M467="No show","Yes","No"))))</f>
        <v>0</v>
      </c>
      <c r="AD467" s="25">
        <f>IF(B467="","",IF(AE467="","",B467-AE467))</f>
        <v>0</v>
      </c>
      <c r="AF467" s="38">
        <f>IF(B467="","",IF(M467&lt;&gt;"Completed","",IF(E467="","No",IF(COUNTIFS(Appointments!$E$5:$E$1204,E467,Appointments!$B$5:$B$1204,"&gt;"&amp;B467,Appointments!$M$5:$M$1204,"&lt;&gt;Cancelled")&gt;0,"Yes","No"))))</f>
        <v>0</v>
      </c>
      <c r="AG467" s="38">
        <f>IF(B467="","",IF(I467="","",IF(D467="","",IF(COUNTIFS($I$5:$I$1204,I467,$B$5:$B$1204,B467,$D$5:$D$1204,"&lt;"&amp;V467,$V$5:$V$1204,"&gt;"&amp;D467,$M$5:$M$1204,"&lt;&gt;Cancelled")&gt;1,"Clash",""))))</f>
        <v>0</v>
      </c>
      <c r="AH467" s="39">
        <f>IF(B467="","",IF(AG467="Clash","Clash - stylist double booked",IF(I467="","Assign - no stylist yet",IF(G467="","Add - no service chosen",IF(M467="No show","No show - charge the fee?",IF(M467="Cancelled","",IF(IF(M467="Completed",AB467&lt;Y467-0.004,FALSE),"Unpaid - nothing rung up for this visit",IF(IF(B467&lt;TodayDate,M467="Booked",FALSE),"Overdue - past date, still only Booked",IF(IF(B467=TodayDate,TRUE,FALSE),"Today",IF(IF(Z467&gt;0,AA467&lt;Z467-0.004,FALSE),"Due - deposit not taken",IF(IF(B467&gt;TodayDate,B467&lt;=TodayDate+2,FALSE),"Confirm - coming up","OK")))))))))))</f>
        <v>0</v>
      </c>
    </row>
    <row r="468" spans="1:34">
      <c r="A468" s="28">
        <f>IF(B468="","",AppointmentPrefix&amp;TEXT(ROW()-4,"0000"))</f>
        <v>0</v>
      </c>
      <c r="C468" s="15">
        <f>IF(B468="","",TEXT(B468,"ddd"))</f>
        <v>0</v>
      </c>
      <c r="F468" s="15">
        <f>IF(E468="","",IFERROR(INDEX(Clients!$B$5:$B$504,MATCH(E468,Clients!$A$5:$A$504,0)),"Walk-in"))</f>
        <v>0</v>
      </c>
      <c r="H468" s="15">
        <f>IF(G468="","",IFERROR(INDEX(Services!$B$5:$B$204,MATCH(G468,Services!$A$5:$A$204,0)),"Not in Services"))</f>
        <v>0</v>
      </c>
      <c r="J468" s="15">
        <f>IF(I468="","",IFERROR(INDEX(Staff!$B$5:$B$44,MATCH(I468,Staff!$A$5:$A$44,0)),"Unassigned"))</f>
        <v>0</v>
      </c>
      <c r="S468" s="15">
        <f>IF(B468="","",TEXT(B468,"yyyy-mm"))</f>
        <v>0</v>
      </c>
      <c r="T468" s="25">
        <f>IF(B468="","",WEEKNUM(B468,2))</f>
        <v>0</v>
      </c>
      <c r="U468" s="25">
        <f>IF(B468="","",IF(K468&lt;&gt;"",K468,IFERROR(INDEX(Services!$E$5:$E$204,MATCH(G468,Services!$A$5:$A$204,0))*1,0)+IFERROR(INDEX(Services!$F$5:$F$204,MATCH(G468,Services!$A$5:$A$204,0))*1,0)))</f>
        <v>0</v>
      </c>
      <c r="V468" s="36">
        <f>IF(B468="","",IF(D468="","",D468+U468/1440))</f>
        <v>0</v>
      </c>
      <c r="W468" s="25">
        <f>IF(B468="","",IF(D468="","",HOUR(D468)))</f>
        <v>0</v>
      </c>
      <c r="X468" s="37">
        <f>IF(B468="","",ROUND(U468/60,2))</f>
        <v>0</v>
      </c>
      <c r="Y468" s="26">
        <f>IF(B468="","",IF(L468&lt;&gt;"",L468,IFERROR(INDEX(Services!$G$5:$G$204,MATCH(G468,Services!$A$5:$A$204,0))*1,0)))</f>
        <v>0</v>
      </c>
      <c r="Z468" s="26">
        <f>IF(B468="","",IF(O468&lt;&gt;"",O468,IF(Y468&gt;=DepositThreshold,ROUND(Y468*DepositPercent,2),0)))</f>
        <v>0</v>
      </c>
      <c r="AA468" s="26">
        <f>IF(B468="","",ROUND(SUMIFS(Payments!$G$5:$G$1204,Payments!$I$5:$I$1204,A468,Payments!$E$5:$E$1204,"Deposit"),2))</f>
        <v>0</v>
      </c>
      <c r="AB468" s="26">
        <f>IF(B468="","",ROUND(SUMIFS(Sales!$Y$5:$Y$1204,Sales!$C$5:$C$1204,A468),2))</f>
        <v>0</v>
      </c>
      <c r="AC468" s="38">
        <f>IF(B468="","",IF(M468="Completed","Yes",IF(M468="Cancelled","Yes",IF(M468="No show","Yes","No"))))</f>
        <v>0</v>
      </c>
      <c r="AD468" s="25">
        <f>IF(B468="","",IF(AE468="","",B468-AE468))</f>
        <v>0</v>
      </c>
      <c r="AF468" s="38">
        <f>IF(B468="","",IF(M468&lt;&gt;"Completed","",IF(E468="","No",IF(COUNTIFS(Appointments!$E$5:$E$1204,E468,Appointments!$B$5:$B$1204,"&gt;"&amp;B468,Appointments!$M$5:$M$1204,"&lt;&gt;Cancelled")&gt;0,"Yes","No"))))</f>
        <v>0</v>
      </c>
      <c r="AG468" s="38">
        <f>IF(B468="","",IF(I468="","",IF(D468="","",IF(COUNTIFS($I$5:$I$1204,I468,$B$5:$B$1204,B468,$D$5:$D$1204,"&lt;"&amp;V468,$V$5:$V$1204,"&gt;"&amp;D468,$M$5:$M$1204,"&lt;&gt;Cancelled")&gt;1,"Clash",""))))</f>
        <v>0</v>
      </c>
      <c r="AH468" s="39">
        <f>IF(B468="","",IF(AG468="Clash","Clash - stylist double booked",IF(I468="","Assign - no stylist yet",IF(G468="","Add - no service chosen",IF(M468="No show","No show - charge the fee?",IF(M468="Cancelled","",IF(IF(M468="Completed",AB468&lt;Y468-0.004,FALSE),"Unpaid - nothing rung up for this visit",IF(IF(B468&lt;TodayDate,M468="Booked",FALSE),"Overdue - past date, still only Booked",IF(IF(B468=TodayDate,TRUE,FALSE),"Today",IF(IF(Z468&gt;0,AA468&lt;Z468-0.004,FALSE),"Due - deposit not taken",IF(IF(B468&gt;TodayDate,B468&lt;=TodayDate+2,FALSE),"Confirm - coming up","OK")))))))))))</f>
        <v>0</v>
      </c>
    </row>
    <row r="469" spans="1:34">
      <c r="A469" s="28">
        <f>IF(B469="","",AppointmentPrefix&amp;TEXT(ROW()-4,"0000"))</f>
        <v>0</v>
      </c>
      <c r="C469" s="15">
        <f>IF(B469="","",TEXT(B469,"ddd"))</f>
        <v>0</v>
      </c>
      <c r="F469" s="15">
        <f>IF(E469="","",IFERROR(INDEX(Clients!$B$5:$B$504,MATCH(E469,Clients!$A$5:$A$504,0)),"Walk-in"))</f>
        <v>0</v>
      </c>
      <c r="H469" s="15">
        <f>IF(G469="","",IFERROR(INDEX(Services!$B$5:$B$204,MATCH(G469,Services!$A$5:$A$204,0)),"Not in Services"))</f>
        <v>0</v>
      </c>
      <c r="J469" s="15">
        <f>IF(I469="","",IFERROR(INDEX(Staff!$B$5:$B$44,MATCH(I469,Staff!$A$5:$A$44,0)),"Unassigned"))</f>
        <v>0</v>
      </c>
      <c r="S469" s="15">
        <f>IF(B469="","",TEXT(B469,"yyyy-mm"))</f>
        <v>0</v>
      </c>
      <c r="T469" s="25">
        <f>IF(B469="","",WEEKNUM(B469,2))</f>
        <v>0</v>
      </c>
      <c r="U469" s="25">
        <f>IF(B469="","",IF(K469&lt;&gt;"",K469,IFERROR(INDEX(Services!$E$5:$E$204,MATCH(G469,Services!$A$5:$A$204,0))*1,0)+IFERROR(INDEX(Services!$F$5:$F$204,MATCH(G469,Services!$A$5:$A$204,0))*1,0)))</f>
        <v>0</v>
      </c>
      <c r="V469" s="36">
        <f>IF(B469="","",IF(D469="","",D469+U469/1440))</f>
        <v>0</v>
      </c>
      <c r="W469" s="25">
        <f>IF(B469="","",IF(D469="","",HOUR(D469)))</f>
        <v>0</v>
      </c>
      <c r="X469" s="37">
        <f>IF(B469="","",ROUND(U469/60,2))</f>
        <v>0</v>
      </c>
      <c r="Y469" s="26">
        <f>IF(B469="","",IF(L469&lt;&gt;"",L469,IFERROR(INDEX(Services!$G$5:$G$204,MATCH(G469,Services!$A$5:$A$204,0))*1,0)))</f>
        <v>0</v>
      </c>
      <c r="Z469" s="26">
        <f>IF(B469="","",IF(O469&lt;&gt;"",O469,IF(Y469&gt;=DepositThreshold,ROUND(Y469*DepositPercent,2),0)))</f>
        <v>0</v>
      </c>
      <c r="AA469" s="26">
        <f>IF(B469="","",ROUND(SUMIFS(Payments!$G$5:$G$1204,Payments!$I$5:$I$1204,A469,Payments!$E$5:$E$1204,"Deposit"),2))</f>
        <v>0</v>
      </c>
      <c r="AB469" s="26">
        <f>IF(B469="","",ROUND(SUMIFS(Sales!$Y$5:$Y$1204,Sales!$C$5:$C$1204,A469),2))</f>
        <v>0</v>
      </c>
      <c r="AC469" s="38">
        <f>IF(B469="","",IF(M469="Completed","Yes",IF(M469="Cancelled","Yes",IF(M469="No show","Yes","No"))))</f>
        <v>0</v>
      </c>
      <c r="AD469" s="25">
        <f>IF(B469="","",IF(AE469="","",B469-AE469))</f>
        <v>0</v>
      </c>
      <c r="AF469" s="38">
        <f>IF(B469="","",IF(M469&lt;&gt;"Completed","",IF(E469="","No",IF(COUNTIFS(Appointments!$E$5:$E$1204,E469,Appointments!$B$5:$B$1204,"&gt;"&amp;B469,Appointments!$M$5:$M$1204,"&lt;&gt;Cancelled")&gt;0,"Yes","No"))))</f>
        <v>0</v>
      </c>
      <c r="AG469" s="38">
        <f>IF(B469="","",IF(I469="","",IF(D469="","",IF(COUNTIFS($I$5:$I$1204,I469,$B$5:$B$1204,B469,$D$5:$D$1204,"&lt;"&amp;V469,$V$5:$V$1204,"&gt;"&amp;D469,$M$5:$M$1204,"&lt;&gt;Cancelled")&gt;1,"Clash",""))))</f>
        <v>0</v>
      </c>
      <c r="AH469" s="39">
        <f>IF(B469="","",IF(AG469="Clash","Clash - stylist double booked",IF(I469="","Assign - no stylist yet",IF(G469="","Add - no service chosen",IF(M469="No show","No show - charge the fee?",IF(M469="Cancelled","",IF(IF(M469="Completed",AB469&lt;Y469-0.004,FALSE),"Unpaid - nothing rung up for this visit",IF(IF(B469&lt;TodayDate,M469="Booked",FALSE),"Overdue - past date, still only Booked",IF(IF(B469=TodayDate,TRUE,FALSE),"Today",IF(IF(Z469&gt;0,AA469&lt;Z469-0.004,FALSE),"Due - deposit not taken",IF(IF(B469&gt;TodayDate,B469&lt;=TodayDate+2,FALSE),"Confirm - coming up","OK")))))))))))</f>
        <v>0</v>
      </c>
    </row>
    <row r="470" spans="1:34">
      <c r="A470" s="28">
        <f>IF(B470="","",AppointmentPrefix&amp;TEXT(ROW()-4,"0000"))</f>
        <v>0</v>
      </c>
      <c r="C470" s="15">
        <f>IF(B470="","",TEXT(B470,"ddd"))</f>
        <v>0</v>
      </c>
      <c r="F470" s="15">
        <f>IF(E470="","",IFERROR(INDEX(Clients!$B$5:$B$504,MATCH(E470,Clients!$A$5:$A$504,0)),"Walk-in"))</f>
        <v>0</v>
      </c>
      <c r="H470" s="15">
        <f>IF(G470="","",IFERROR(INDEX(Services!$B$5:$B$204,MATCH(G470,Services!$A$5:$A$204,0)),"Not in Services"))</f>
        <v>0</v>
      </c>
      <c r="J470" s="15">
        <f>IF(I470="","",IFERROR(INDEX(Staff!$B$5:$B$44,MATCH(I470,Staff!$A$5:$A$44,0)),"Unassigned"))</f>
        <v>0</v>
      </c>
      <c r="S470" s="15">
        <f>IF(B470="","",TEXT(B470,"yyyy-mm"))</f>
        <v>0</v>
      </c>
      <c r="T470" s="25">
        <f>IF(B470="","",WEEKNUM(B470,2))</f>
        <v>0</v>
      </c>
      <c r="U470" s="25">
        <f>IF(B470="","",IF(K470&lt;&gt;"",K470,IFERROR(INDEX(Services!$E$5:$E$204,MATCH(G470,Services!$A$5:$A$204,0))*1,0)+IFERROR(INDEX(Services!$F$5:$F$204,MATCH(G470,Services!$A$5:$A$204,0))*1,0)))</f>
        <v>0</v>
      </c>
      <c r="V470" s="36">
        <f>IF(B470="","",IF(D470="","",D470+U470/1440))</f>
        <v>0</v>
      </c>
      <c r="W470" s="25">
        <f>IF(B470="","",IF(D470="","",HOUR(D470)))</f>
        <v>0</v>
      </c>
      <c r="X470" s="37">
        <f>IF(B470="","",ROUND(U470/60,2))</f>
        <v>0</v>
      </c>
      <c r="Y470" s="26">
        <f>IF(B470="","",IF(L470&lt;&gt;"",L470,IFERROR(INDEX(Services!$G$5:$G$204,MATCH(G470,Services!$A$5:$A$204,0))*1,0)))</f>
        <v>0</v>
      </c>
      <c r="Z470" s="26">
        <f>IF(B470="","",IF(O470&lt;&gt;"",O470,IF(Y470&gt;=DepositThreshold,ROUND(Y470*DepositPercent,2),0)))</f>
        <v>0</v>
      </c>
      <c r="AA470" s="26">
        <f>IF(B470="","",ROUND(SUMIFS(Payments!$G$5:$G$1204,Payments!$I$5:$I$1204,A470,Payments!$E$5:$E$1204,"Deposit"),2))</f>
        <v>0</v>
      </c>
      <c r="AB470" s="26">
        <f>IF(B470="","",ROUND(SUMIFS(Sales!$Y$5:$Y$1204,Sales!$C$5:$C$1204,A470),2))</f>
        <v>0</v>
      </c>
      <c r="AC470" s="38">
        <f>IF(B470="","",IF(M470="Completed","Yes",IF(M470="Cancelled","Yes",IF(M470="No show","Yes","No"))))</f>
        <v>0</v>
      </c>
      <c r="AD470" s="25">
        <f>IF(B470="","",IF(AE470="","",B470-AE470))</f>
        <v>0</v>
      </c>
      <c r="AF470" s="38">
        <f>IF(B470="","",IF(M470&lt;&gt;"Completed","",IF(E470="","No",IF(COUNTIFS(Appointments!$E$5:$E$1204,E470,Appointments!$B$5:$B$1204,"&gt;"&amp;B470,Appointments!$M$5:$M$1204,"&lt;&gt;Cancelled")&gt;0,"Yes","No"))))</f>
        <v>0</v>
      </c>
      <c r="AG470" s="38">
        <f>IF(B470="","",IF(I470="","",IF(D470="","",IF(COUNTIFS($I$5:$I$1204,I470,$B$5:$B$1204,B470,$D$5:$D$1204,"&lt;"&amp;V470,$V$5:$V$1204,"&gt;"&amp;D470,$M$5:$M$1204,"&lt;&gt;Cancelled")&gt;1,"Clash",""))))</f>
        <v>0</v>
      </c>
      <c r="AH470" s="39">
        <f>IF(B470="","",IF(AG470="Clash","Clash - stylist double booked",IF(I470="","Assign - no stylist yet",IF(G470="","Add - no service chosen",IF(M470="No show","No show - charge the fee?",IF(M470="Cancelled","",IF(IF(M470="Completed",AB470&lt;Y470-0.004,FALSE),"Unpaid - nothing rung up for this visit",IF(IF(B470&lt;TodayDate,M470="Booked",FALSE),"Overdue - past date, still only Booked",IF(IF(B470=TodayDate,TRUE,FALSE),"Today",IF(IF(Z470&gt;0,AA470&lt;Z470-0.004,FALSE),"Due - deposit not taken",IF(IF(B470&gt;TodayDate,B470&lt;=TodayDate+2,FALSE),"Confirm - coming up","OK")))))))))))</f>
        <v>0</v>
      </c>
    </row>
    <row r="471" spans="1:34">
      <c r="A471" s="28">
        <f>IF(B471="","",AppointmentPrefix&amp;TEXT(ROW()-4,"0000"))</f>
        <v>0</v>
      </c>
      <c r="C471" s="15">
        <f>IF(B471="","",TEXT(B471,"ddd"))</f>
        <v>0</v>
      </c>
      <c r="F471" s="15">
        <f>IF(E471="","",IFERROR(INDEX(Clients!$B$5:$B$504,MATCH(E471,Clients!$A$5:$A$504,0)),"Walk-in"))</f>
        <v>0</v>
      </c>
      <c r="H471" s="15">
        <f>IF(G471="","",IFERROR(INDEX(Services!$B$5:$B$204,MATCH(G471,Services!$A$5:$A$204,0)),"Not in Services"))</f>
        <v>0</v>
      </c>
      <c r="J471" s="15">
        <f>IF(I471="","",IFERROR(INDEX(Staff!$B$5:$B$44,MATCH(I471,Staff!$A$5:$A$44,0)),"Unassigned"))</f>
        <v>0</v>
      </c>
      <c r="S471" s="15">
        <f>IF(B471="","",TEXT(B471,"yyyy-mm"))</f>
        <v>0</v>
      </c>
      <c r="T471" s="25">
        <f>IF(B471="","",WEEKNUM(B471,2))</f>
        <v>0</v>
      </c>
      <c r="U471" s="25">
        <f>IF(B471="","",IF(K471&lt;&gt;"",K471,IFERROR(INDEX(Services!$E$5:$E$204,MATCH(G471,Services!$A$5:$A$204,0))*1,0)+IFERROR(INDEX(Services!$F$5:$F$204,MATCH(G471,Services!$A$5:$A$204,0))*1,0)))</f>
        <v>0</v>
      </c>
      <c r="V471" s="36">
        <f>IF(B471="","",IF(D471="","",D471+U471/1440))</f>
        <v>0</v>
      </c>
      <c r="W471" s="25">
        <f>IF(B471="","",IF(D471="","",HOUR(D471)))</f>
        <v>0</v>
      </c>
      <c r="X471" s="37">
        <f>IF(B471="","",ROUND(U471/60,2))</f>
        <v>0</v>
      </c>
      <c r="Y471" s="26">
        <f>IF(B471="","",IF(L471&lt;&gt;"",L471,IFERROR(INDEX(Services!$G$5:$G$204,MATCH(G471,Services!$A$5:$A$204,0))*1,0)))</f>
        <v>0</v>
      </c>
      <c r="Z471" s="26">
        <f>IF(B471="","",IF(O471&lt;&gt;"",O471,IF(Y471&gt;=DepositThreshold,ROUND(Y471*DepositPercent,2),0)))</f>
        <v>0</v>
      </c>
      <c r="AA471" s="26">
        <f>IF(B471="","",ROUND(SUMIFS(Payments!$G$5:$G$1204,Payments!$I$5:$I$1204,A471,Payments!$E$5:$E$1204,"Deposit"),2))</f>
        <v>0</v>
      </c>
      <c r="AB471" s="26">
        <f>IF(B471="","",ROUND(SUMIFS(Sales!$Y$5:$Y$1204,Sales!$C$5:$C$1204,A471),2))</f>
        <v>0</v>
      </c>
      <c r="AC471" s="38">
        <f>IF(B471="","",IF(M471="Completed","Yes",IF(M471="Cancelled","Yes",IF(M471="No show","Yes","No"))))</f>
        <v>0</v>
      </c>
      <c r="AD471" s="25">
        <f>IF(B471="","",IF(AE471="","",B471-AE471))</f>
        <v>0</v>
      </c>
      <c r="AF471" s="38">
        <f>IF(B471="","",IF(M471&lt;&gt;"Completed","",IF(E471="","No",IF(COUNTIFS(Appointments!$E$5:$E$1204,E471,Appointments!$B$5:$B$1204,"&gt;"&amp;B471,Appointments!$M$5:$M$1204,"&lt;&gt;Cancelled")&gt;0,"Yes","No"))))</f>
        <v>0</v>
      </c>
      <c r="AG471" s="38">
        <f>IF(B471="","",IF(I471="","",IF(D471="","",IF(COUNTIFS($I$5:$I$1204,I471,$B$5:$B$1204,B471,$D$5:$D$1204,"&lt;"&amp;V471,$V$5:$V$1204,"&gt;"&amp;D471,$M$5:$M$1204,"&lt;&gt;Cancelled")&gt;1,"Clash",""))))</f>
        <v>0</v>
      </c>
      <c r="AH471" s="39">
        <f>IF(B471="","",IF(AG471="Clash","Clash - stylist double booked",IF(I471="","Assign - no stylist yet",IF(G471="","Add - no service chosen",IF(M471="No show","No show - charge the fee?",IF(M471="Cancelled","",IF(IF(M471="Completed",AB471&lt;Y471-0.004,FALSE),"Unpaid - nothing rung up for this visit",IF(IF(B471&lt;TodayDate,M471="Booked",FALSE),"Overdue - past date, still only Booked",IF(IF(B471=TodayDate,TRUE,FALSE),"Today",IF(IF(Z471&gt;0,AA471&lt;Z471-0.004,FALSE),"Due - deposit not taken",IF(IF(B471&gt;TodayDate,B471&lt;=TodayDate+2,FALSE),"Confirm - coming up","OK")))))))))))</f>
        <v>0</v>
      </c>
    </row>
    <row r="472" spans="1:34">
      <c r="A472" s="28">
        <f>IF(B472="","",AppointmentPrefix&amp;TEXT(ROW()-4,"0000"))</f>
        <v>0</v>
      </c>
      <c r="C472" s="15">
        <f>IF(B472="","",TEXT(B472,"ddd"))</f>
        <v>0</v>
      </c>
      <c r="F472" s="15">
        <f>IF(E472="","",IFERROR(INDEX(Clients!$B$5:$B$504,MATCH(E472,Clients!$A$5:$A$504,0)),"Walk-in"))</f>
        <v>0</v>
      </c>
      <c r="H472" s="15">
        <f>IF(G472="","",IFERROR(INDEX(Services!$B$5:$B$204,MATCH(G472,Services!$A$5:$A$204,0)),"Not in Services"))</f>
        <v>0</v>
      </c>
      <c r="J472" s="15">
        <f>IF(I472="","",IFERROR(INDEX(Staff!$B$5:$B$44,MATCH(I472,Staff!$A$5:$A$44,0)),"Unassigned"))</f>
        <v>0</v>
      </c>
      <c r="S472" s="15">
        <f>IF(B472="","",TEXT(B472,"yyyy-mm"))</f>
        <v>0</v>
      </c>
      <c r="T472" s="25">
        <f>IF(B472="","",WEEKNUM(B472,2))</f>
        <v>0</v>
      </c>
      <c r="U472" s="25">
        <f>IF(B472="","",IF(K472&lt;&gt;"",K472,IFERROR(INDEX(Services!$E$5:$E$204,MATCH(G472,Services!$A$5:$A$204,0))*1,0)+IFERROR(INDEX(Services!$F$5:$F$204,MATCH(G472,Services!$A$5:$A$204,0))*1,0)))</f>
        <v>0</v>
      </c>
      <c r="V472" s="36">
        <f>IF(B472="","",IF(D472="","",D472+U472/1440))</f>
        <v>0</v>
      </c>
      <c r="W472" s="25">
        <f>IF(B472="","",IF(D472="","",HOUR(D472)))</f>
        <v>0</v>
      </c>
      <c r="X472" s="37">
        <f>IF(B472="","",ROUND(U472/60,2))</f>
        <v>0</v>
      </c>
      <c r="Y472" s="26">
        <f>IF(B472="","",IF(L472&lt;&gt;"",L472,IFERROR(INDEX(Services!$G$5:$G$204,MATCH(G472,Services!$A$5:$A$204,0))*1,0)))</f>
        <v>0</v>
      </c>
      <c r="Z472" s="26">
        <f>IF(B472="","",IF(O472&lt;&gt;"",O472,IF(Y472&gt;=DepositThreshold,ROUND(Y472*DepositPercent,2),0)))</f>
        <v>0</v>
      </c>
      <c r="AA472" s="26">
        <f>IF(B472="","",ROUND(SUMIFS(Payments!$G$5:$G$1204,Payments!$I$5:$I$1204,A472,Payments!$E$5:$E$1204,"Deposit"),2))</f>
        <v>0</v>
      </c>
      <c r="AB472" s="26">
        <f>IF(B472="","",ROUND(SUMIFS(Sales!$Y$5:$Y$1204,Sales!$C$5:$C$1204,A472),2))</f>
        <v>0</v>
      </c>
      <c r="AC472" s="38">
        <f>IF(B472="","",IF(M472="Completed","Yes",IF(M472="Cancelled","Yes",IF(M472="No show","Yes","No"))))</f>
        <v>0</v>
      </c>
      <c r="AD472" s="25">
        <f>IF(B472="","",IF(AE472="","",B472-AE472))</f>
        <v>0</v>
      </c>
      <c r="AF472" s="38">
        <f>IF(B472="","",IF(M472&lt;&gt;"Completed","",IF(E472="","No",IF(COUNTIFS(Appointments!$E$5:$E$1204,E472,Appointments!$B$5:$B$1204,"&gt;"&amp;B472,Appointments!$M$5:$M$1204,"&lt;&gt;Cancelled")&gt;0,"Yes","No"))))</f>
        <v>0</v>
      </c>
      <c r="AG472" s="38">
        <f>IF(B472="","",IF(I472="","",IF(D472="","",IF(COUNTIFS($I$5:$I$1204,I472,$B$5:$B$1204,B472,$D$5:$D$1204,"&lt;"&amp;V472,$V$5:$V$1204,"&gt;"&amp;D472,$M$5:$M$1204,"&lt;&gt;Cancelled")&gt;1,"Clash",""))))</f>
        <v>0</v>
      </c>
      <c r="AH472" s="39">
        <f>IF(B472="","",IF(AG472="Clash","Clash - stylist double booked",IF(I472="","Assign - no stylist yet",IF(G472="","Add - no service chosen",IF(M472="No show","No show - charge the fee?",IF(M472="Cancelled","",IF(IF(M472="Completed",AB472&lt;Y472-0.004,FALSE),"Unpaid - nothing rung up for this visit",IF(IF(B472&lt;TodayDate,M472="Booked",FALSE),"Overdue - past date, still only Booked",IF(IF(B472=TodayDate,TRUE,FALSE),"Today",IF(IF(Z472&gt;0,AA472&lt;Z472-0.004,FALSE),"Due - deposit not taken",IF(IF(B472&gt;TodayDate,B472&lt;=TodayDate+2,FALSE),"Confirm - coming up","OK")))))))))))</f>
        <v>0</v>
      </c>
    </row>
    <row r="473" spans="1:34">
      <c r="A473" s="28">
        <f>IF(B473="","",AppointmentPrefix&amp;TEXT(ROW()-4,"0000"))</f>
        <v>0</v>
      </c>
      <c r="C473" s="15">
        <f>IF(B473="","",TEXT(B473,"ddd"))</f>
        <v>0</v>
      </c>
      <c r="F473" s="15">
        <f>IF(E473="","",IFERROR(INDEX(Clients!$B$5:$B$504,MATCH(E473,Clients!$A$5:$A$504,0)),"Walk-in"))</f>
        <v>0</v>
      </c>
      <c r="H473" s="15">
        <f>IF(G473="","",IFERROR(INDEX(Services!$B$5:$B$204,MATCH(G473,Services!$A$5:$A$204,0)),"Not in Services"))</f>
        <v>0</v>
      </c>
      <c r="J473" s="15">
        <f>IF(I473="","",IFERROR(INDEX(Staff!$B$5:$B$44,MATCH(I473,Staff!$A$5:$A$44,0)),"Unassigned"))</f>
        <v>0</v>
      </c>
      <c r="S473" s="15">
        <f>IF(B473="","",TEXT(B473,"yyyy-mm"))</f>
        <v>0</v>
      </c>
      <c r="T473" s="25">
        <f>IF(B473="","",WEEKNUM(B473,2))</f>
        <v>0</v>
      </c>
      <c r="U473" s="25">
        <f>IF(B473="","",IF(K473&lt;&gt;"",K473,IFERROR(INDEX(Services!$E$5:$E$204,MATCH(G473,Services!$A$5:$A$204,0))*1,0)+IFERROR(INDEX(Services!$F$5:$F$204,MATCH(G473,Services!$A$5:$A$204,0))*1,0)))</f>
        <v>0</v>
      </c>
      <c r="V473" s="36">
        <f>IF(B473="","",IF(D473="","",D473+U473/1440))</f>
        <v>0</v>
      </c>
      <c r="W473" s="25">
        <f>IF(B473="","",IF(D473="","",HOUR(D473)))</f>
        <v>0</v>
      </c>
      <c r="X473" s="37">
        <f>IF(B473="","",ROUND(U473/60,2))</f>
        <v>0</v>
      </c>
      <c r="Y473" s="26">
        <f>IF(B473="","",IF(L473&lt;&gt;"",L473,IFERROR(INDEX(Services!$G$5:$G$204,MATCH(G473,Services!$A$5:$A$204,0))*1,0)))</f>
        <v>0</v>
      </c>
      <c r="Z473" s="26">
        <f>IF(B473="","",IF(O473&lt;&gt;"",O473,IF(Y473&gt;=DepositThreshold,ROUND(Y473*DepositPercent,2),0)))</f>
        <v>0</v>
      </c>
      <c r="AA473" s="26">
        <f>IF(B473="","",ROUND(SUMIFS(Payments!$G$5:$G$1204,Payments!$I$5:$I$1204,A473,Payments!$E$5:$E$1204,"Deposit"),2))</f>
        <v>0</v>
      </c>
      <c r="AB473" s="26">
        <f>IF(B473="","",ROUND(SUMIFS(Sales!$Y$5:$Y$1204,Sales!$C$5:$C$1204,A473),2))</f>
        <v>0</v>
      </c>
      <c r="AC473" s="38">
        <f>IF(B473="","",IF(M473="Completed","Yes",IF(M473="Cancelled","Yes",IF(M473="No show","Yes","No"))))</f>
        <v>0</v>
      </c>
      <c r="AD473" s="25">
        <f>IF(B473="","",IF(AE473="","",B473-AE473))</f>
        <v>0</v>
      </c>
      <c r="AF473" s="38">
        <f>IF(B473="","",IF(M473&lt;&gt;"Completed","",IF(E473="","No",IF(COUNTIFS(Appointments!$E$5:$E$1204,E473,Appointments!$B$5:$B$1204,"&gt;"&amp;B473,Appointments!$M$5:$M$1204,"&lt;&gt;Cancelled")&gt;0,"Yes","No"))))</f>
        <v>0</v>
      </c>
      <c r="AG473" s="38">
        <f>IF(B473="","",IF(I473="","",IF(D473="","",IF(COUNTIFS($I$5:$I$1204,I473,$B$5:$B$1204,B473,$D$5:$D$1204,"&lt;"&amp;V473,$V$5:$V$1204,"&gt;"&amp;D473,$M$5:$M$1204,"&lt;&gt;Cancelled")&gt;1,"Clash",""))))</f>
        <v>0</v>
      </c>
      <c r="AH473" s="39">
        <f>IF(B473="","",IF(AG473="Clash","Clash - stylist double booked",IF(I473="","Assign - no stylist yet",IF(G473="","Add - no service chosen",IF(M473="No show","No show - charge the fee?",IF(M473="Cancelled","",IF(IF(M473="Completed",AB473&lt;Y473-0.004,FALSE),"Unpaid - nothing rung up for this visit",IF(IF(B473&lt;TodayDate,M473="Booked",FALSE),"Overdue - past date, still only Booked",IF(IF(B473=TodayDate,TRUE,FALSE),"Today",IF(IF(Z473&gt;0,AA473&lt;Z473-0.004,FALSE),"Due - deposit not taken",IF(IF(B473&gt;TodayDate,B473&lt;=TodayDate+2,FALSE),"Confirm - coming up","OK")))))))))))</f>
        <v>0</v>
      </c>
    </row>
    <row r="474" spans="1:34">
      <c r="A474" s="28">
        <f>IF(B474="","",AppointmentPrefix&amp;TEXT(ROW()-4,"0000"))</f>
        <v>0</v>
      </c>
      <c r="C474" s="15">
        <f>IF(B474="","",TEXT(B474,"ddd"))</f>
        <v>0</v>
      </c>
      <c r="F474" s="15">
        <f>IF(E474="","",IFERROR(INDEX(Clients!$B$5:$B$504,MATCH(E474,Clients!$A$5:$A$504,0)),"Walk-in"))</f>
        <v>0</v>
      </c>
      <c r="H474" s="15">
        <f>IF(G474="","",IFERROR(INDEX(Services!$B$5:$B$204,MATCH(G474,Services!$A$5:$A$204,0)),"Not in Services"))</f>
        <v>0</v>
      </c>
      <c r="J474" s="15">
        <f>IF(I474="","",IFERROR(INDEX(Staff!$B$5:$B$44,MATCH(I474,Staff!$A$5:$A$44,0)),"Unassigned"))</f>
        <v>0</v>
      </c>
      <c r="S474" s="15">
        <f>IF(B474="","",TEXT(B474,"yyyy-mm"))</f>
        <v>0</v>
      </c>
      <c r="T474" s="25">
        <f>IF(B474="","",WEEKNUM(B474,2))</f>
        <v>0</v>
      </c>
      <c r="U474" s="25">
        <f>IF(B474="","",IF(K474&lt;&gt;"",K474,IFERROR(INDEX(Services!$E$5:$E$204,MATCH(G474,Services!$A$5:$A$204,0))*1,0)+IFERROR(INDEX(Services!$F$5:$F$204,MATCH(G474,Services!$A$5:$A$204,0))*1,0)))</f>
        <v>0</v>
      </c>
      <c r="V474" s="36">
        <f>IF(B474="","",IF(D474="","",D474+U474/1440))</f>
        <v>0</v>
      </c>
      <c r="W474" s="25">
        <f>IF(B474="","",IF(D474="","",HOUR(D474)))</f>
        <v>0</v>
      </c>
      <c r="X474" s="37">
        <f>IF(B474="","",ROUND(U474/60,2))</f>
        <v>0</v>
      </c>
      <c r="Y474" s="26">
        <f>IF(B474="","",IF(L474&lt;&gt;"",L474,IFERROR(INDEX(Services!$G$5:$G$204,MATCH(G474,Services!$A$5:$A$204,0))*1,0)))</f>
        <v>0</v>
      </c>
      <c r="Z474" s="26">
        <f>IF(B474="","",IF(O474&lt;&gt;"",O474,IF(Y474&gt;=DepositThreshold,ROUND(Y474*DepositPercent,2),0)))</f>
        <v>0</v>
      </c>
      <c r="AA474" s="26">
        <f>IF(B474="","",ROUND(SUMIFS(Payments!$G$5:$G$1204,Payments!$I$5:$I$1204,A474,Payments!$E$5:$E$1204,"Deposit"),2))</f>
        <v>0</v>
      </c>
      <c r="AB474" s="26">
        <f>IF(B474="","",ROUND(SUMIFS(Sales!$Y$5:$Y$1204,Sales!$C$5:$C$1204,A474),2))</f>
        <v>0</v>
      </c>
      <c r="AC474" s="38">
        <f>IF(B474="","",IF(M474="Completed","Yes",IF(M474="Cancelled","Yes",IF(M474="No show","Yes","No"))))</f>
        <v>0</v>
      </c>
      <c r="AD474" s="25">
        <f>IF(B474="","",IF(AE474="","",B474-AE474))</f>
        <v>0</v>
      </c>
      <c r="AF474" s="38">
        <f>IF(B474="","",IF(M474&lt;&gt;"Completed","",IF(E474="","No",IF(COUNTIFS(Appointments!$E$5:$E$1204,E474,Appointments!$B$5:$B$1204,"&gt;"&amp;B474,Appointments!$M$5:$M$1204,"&lt;&gt;Cancelled")&gt;0,"Yes","No"))))</f>
        <v>0</v>
      </c>
      <c r="AG474" s="38">
        <f>IF(B474="","",IF(I474="","",IF(D474="","",IF(COUNTIFS($I$5:$I$1204,I474,$B$5:$B$1204,B474,$D$5:$D$1204,"&lt;"&amp;V474,$V$5:$V$1204,"&gt;"&amp;D474,$M$5:$M$1204,"&lt;&gt;Cancelled")&gt;1,"Clash",""))))</f>
        <v>0</v>
      </c>
      <c r="AH474" s="39">
        <f>IF(B474="","",IF(AG474="Clash","Clash - stylist double booked",IF(I474="","Assign - no stylist yet",IF(G474="","Add - no service chosen",IF(M474="No show","No show - charge the fee?",IF(M474="Cancelled","",IF(IF(M474="Completed",AB474&lt;Y474-0.004,FALSE),"Unpaid - nothing rung up for this visit",IF(IF(B474&lt;TodayDate,M474="Booked",FALSE),"Overdue - past date, still only Booked",IF(IF(B474=TodayDate,TRUE,FALSE),"Today",IF(IF(Z474&gt;0,AA474&lt;Z474-0.004,FALSE),"Due - deposit not taken",IF(IF(B474&gt;TodayDate,B474&lt;=TodayDate+2,FALSE),"Confirm - coming up","OK")))))))))))</f>
        <v>0</v>
      </c>
    </row>
    <row r="475" spans="1:34">
      <c r="A475" s="28">
        <f>IF(B475="","",AppointmentPrefix&amp;TEXT(ROW()-4,"0000"))</f>
        <v>0</v>
      </c>
      <c r="C475" s="15">
        <f>IF(B475="","",TEXT(B475,"ddd"))</f>
        <v>0</v>
      </c>
      <c r="F475" s="15">
        <f>IF(E475="","",IFERROR(INDEX(Clients!$B$5:$B$504,MATCH(E475,Clients!$A$5:$A$504,0)),"Walk-in"))</f>
        <v>0</v>
      </c>
      <c r="H475" s="15">
        <f>IF(G475="","",IFERROR(INDEX(Services!$B$5:$B$204,MATCH(G475,Services!$A$5:$A$204,0)),"Not in Services"))</f>
        <v>0</v>
      </c>
      <c r="J475" s="15">
        <f>IF(I475="","",IFERROR(INDEX(Staff!$B$5:$B$44,MATCH(I475,Staff!$A$5:$A$44,0)),"Unassigned"))</f>
        <v>0</v>
      </c>
      <c r="S475" s="15">
        <f>IF(B475="","",TEXT(B475,"yyyy-mm"))</f>
        <v>0</v>
      </c>
      <c r="T475" s="25">
        <f>IF(B475="","",WEEKNUM(B475,2))</f>
        <v>0</v>
      </c>
      <c r="U475" s="25">
        <f>IF(B475="","",IF(K475&lt;&gt;"",K475,IFERROR(INDEX(Services!$E$5:$E$204,MATCH(G475,Services!$A$5:$A$204,0))*1,0)+IFERROR(INDEX(Services!$F$5:$F$204,MATCH(G475,Services!$A$5:$A$204,0))*1,0)))</f>
        <v>0</v>
      </c>
      <c r="V475" s="36">
        <f>IF(B475="","",IF(D475="","",D475+U475/1440))</f>
        <v>0</v>
      </c>
      <c r="W475" s="25">
        <f>IF(B475="","",IF(D475="","",HOUR(D475)))</f>
        <v>0</v>
      </c>
      <c r="X475" s="37">
        <f>IF(B475="","",ROUND(U475/60,2))</f>
        <v>0</v>
      </c>
      <c r="Y475" s="26">
        <f>IF(B475="","",IF(L475&lt;&gt;"",L475,IFERROR(INDEX(Services!$G$5:$G$204,MATCH(G475,Services!$A$5:$A$204,0))*1,0)))</f>
        <v>0</v>
      </c>
      <c r="Z475" s="26">
        <f>IF(B475="","",IF(O475&lt;&gt;"",O475,IF(Y475&gt;=DepositThreshold,ROUND(Y475*DepositPercent,2),0)))</f>
        <v>0</v>
      </c>
      <c r="AA475" s="26">
        <f>IF(B475="","",ROUND(SUMIFS(Payments!$G$5:$G$1204,Payments!$I$5:$I$1204,A475,Payments!$E$5:$E$1204,"Deposit"),2))</f>
        <v>0</v>
      </c>
      <c r="AB475" s="26">
        <f>IF(B475="","",ROUND(SUMIFS(Sales!$Y$5:$Y$1204,Sales!$C$5:$C$1204,A475),2))</f>
        <v>0</v>
      </c>
      <c r="AC475" s="38">
        <f>IF(B475="","",IF(M475="Completed","Yes",IF(M475="Cancelled","Yes",IF(M475="No show","Yes","No"))))</f>
        <v>0</v>
      </c>
      <c r="AD475" s="25">
        <f>IF(B475="","",IF(AE475="","",B475-AE475))</f>
        <v>0</v>
      </c>
      <c r="AF475" s="38">
        <f>IF(B475="","",IF(M475&lt;&gt;"Completed","",IF(E475="","No",IF(COUNTIFS(Appointments!$E$5:$E$1204,E475,Appointments!$B$5:$B$1204,"&gt;"&amp;B475,Appointments!$M$5:$M$1204,"&lt;&gt;Cancelled")&gt;0,"Yes","No"))))</f>
        <v>0</v>
      </c>
      <c r="AG475" s="38">
        <f>IF(B475="","",IF(I475="","",IF(D475="","",IF(COUNTIFS($I$5:$I$1204,I475,$B$5:$B$1204,B475,$D$5:$D$1204,"&lt;"&amp;V475,$V$5:$V$1204,"&gt;"&amp;D475,$M$5:$M$1204,"&lt;&gt;Cancelled")&gt;1,"Clash",""))))</f>
        <v>0</v>
      </c>
      <c r="AH475" s="39">
        <f>IF(B475="","",IF(AG475="Clash","Clash - stylist double booked",IF(I475="","Assign - no stylist yet",IF(G475="","Add - no service chosen",IF(M475="No show","No show - charge the fee?",IF(M475="Cancelled","",IF(IF(M475="Completed",AB475&lt;Y475-0.004,FALSE),"Unpaid - nothing rung up for this visit",IF(IF(B475&lt;TodayDate,M475="Booked",FALSE),"Overdue - past date, still only Booked",IF(IF(B475=TodayDate,TRUE,FALSE),"Today",IF(IF(Z475&gt;0,AA475&lt;Z475-0.004,FALSE),"Due - deposit not taken",IF(IF(B475&gt;TodayDate,B475&lt;=TodayDate+2,FALSE),"Confirm - coming up","OK")))))))))))</f>
        <v>0</v>
      </c>
    </row>
    <row r="476" spans="1:34">
      <c r="A476" s="28">
        <f>IF(B476="","",AppointmentPrefix&amp;TEXT(ROW()-4,"0000"))</f>
        <v>0</v>
      </c>
      <c r="C476" s="15">
        <f>IF(B476="","",TEXT(B476,"ddd"))</f>
        <v>0</v>
      </c>
      <c r="F476" s="15">
        <f>IF(E476="","",IFERROR(INDEX(Clients!$B$5:$B$504,MATCH(E476,Clients!$A$5:$A$504,0)),"Walk-in"))</f>
        <v>0</v>
      </c>
      <c r="H476" s="15">
        <f>IF(G476="","",IFERROR(INDEX(Services!$B$5:$B$204,MATCH(G476,Services!$A$5:$A$204,0)),"Not in Services"))</f>
        <v>0</v>
      </c>
      <c r="J476" s="15">
        <f>IF(I476="","",IFERROR(INDEX(Staff!$B$5:$B$44,MATCH(I476,Staff!$A$5:$A$44,0)),"Unassigned"))</f>
        <v>0</v>
      </c>
      <c r="S476" s="15">
        <f>IF(B476="","",TEXT(B476,"yyyy-mm"))</f>
        <v>0</v>
      </c>
      <c r="T476" s="25">
        <f>IF(B476="","",WEEKNUM(B476,2))</f>
        <v>0</v>
      </c>
      <c r="U476" s="25">
        <f>IF(B476="","",IF(K476&lt;&gt;"",K476,IFERROR(INDEX(Services!$E$5:$E$204,MATCH(G476,Services!$A$5:$A$204,0))*1,0)+IFERROR(INDEX(Services!$F$5:$F$204,MATCH(G476,Services!$A$5:$A$204,0))*1,0)))</f>
        <v>0</v>
      </c>
      <c r="V476" s="36">
        <f>IF(B476="","",IF(D476="","",D476+U476/1440))</f>
        <v>0</v>
      </c>
      <c r="W476" s="25">
        <f>IF(B476="","",IF(D476="","",HOUR(D476)))</f>
        <v>0</v>
      </c>
      <c r="X476" s="37">
        <f>IF(B476="","",ROUND(U476/60,2))</f>
        <v>0</v>
      </c>
      <c r="Y476" s="26">
        <f>IF(B476="","",IF(L476&lt;&gt;"",L476,IFERROR(INDEX(Services!$G$5:$G$204,MATCH(G476,Services!$A$5:$A$204,0))*1,0)))</f>
        <v>0</v>
      </c>
      <c r="Z476" s="26">
        <f>IF(B476="","",IF(O476&lt;&gt;"",O476,IF(Y476&gt;=DepositThreshold,ROUND(Y476*DepositPercent,2),0)))</f>
        <v>0</v>
      </c>
      <c r="AA476" s="26">
        <f>IF(B476="","",ROUND(SUMIFS(Payments!$G$5:$G$1204,Payments!$I$5:$I$1204,A476,Payments!$E$5:$E$1204,"Deposit"),2))</f>
        <v>0</v>
      </c>
      <c r="AB476" s="26">
        <f>IF(B476="","",ROUND(SUMIFS(Sales!$Y$5:$Y$1204,Sales!$C$5:$C$1204,A476),2))</f>
        <v>0</v>
      </c>
      <c r="AC476" s="38">
        <f>IF(B476="","",IF(M476="Completed","Yes",IF(M476="Cancelled","Yes",IF(M476="No show","Yes","No"))))</f>
        <v>0</v>
      </c>
      <c r="AD476" s="25">
        <f>IF(B476="","",IF(AE476="","",B476-AE476))</f>
        <v>0</v>
      </c>
      <c r="AF476" s="38">
        <f>IF(B476="","",IF(M476&lt;&gt;"Completed","",IF(E476="","No",IF(COUNTIFS(Appointments!$E$5:$E$1204,E476,Appointments!$B$5:$B$1204,"&gt;"&amp;B476,Appointments!$M$5:$M$1204,"&lt;&gt;Cancelled")&gt;0,"Yes","No"))))</f>
        <v>0</v>
      </c>
      <c r="AG476" s="38">
        <f>IF(B476="","",IF(I476="","",IF(D476="","",IF(COUNTIFS($I$5:$I$1204,I476,$B$5:$B$1204,B476,$D$5:$D$1204,"&lt;"&amp;V476,$V$5:$V$1204,"&gt;"&amp;D476,$M$5:$M$1204,"&lt;&gt;Cancelled")&gt;1,"Clash",""))))</f>
        <v>0</v>
      </c>
      <c r="AH476" s="39">
        <f>IF(B476="","",IF(AG476="Clash","Clash - stylist double booked",IF(I476="","Assign - no stylist yet",IF(G476="","Add - no service chosen",IF(M476="No show","No show - charge the fee?",IF(M476="Cancelled","",IF(IF(M476="Completed",AB476&lt;Y476-0.004,FALSE),"Unpaid - nothing rung up for this visit",IF(IF(B476&lt;TodayDate,M476="Booked",FALSE),"Overdue - past date, still only Booked",IF(IF(B476=TodayDate,TRUE,FALSE),"Today",IF(IF(Z476&gt;0,AA476&lt;Z476-0.004,FALSE),"Due - deposit not taken",IF(IF(B476&gt;TodayDate,B476&lt;=TodayDate+2,FALSE),"Confirm - coming up","OK")))))))))))</f>
        <v>0</v>
      </c>
    </row>
    <row r="477" spans="1:34">
      <c r="A477" s="28">
        <f>IF(B477="","",AppointmentPrefix&amp;TEXT(ROW()-4,"0000"))</f>
        <v>0</v>
      </c>
      <c r="C477" s="15">
        <f>IF(B477="","",TEXT(B477,"ddd"))</f>
        <v>0</v>
      </c>
      <c r="F477" s="15">
        <f>IF(E477="","",IFERROR(INDEX(Clients!$B$5:$B$504,MATCH(E477,Clients!$A$5:$A$504,0)),"Walk-in"))</f>
        <v>0</v>
      </c>
      <c r="H477" s="15">
        <f>IF(G477="","",IFERROR(INDEX(Services!$B$5:$B$204,MATCH(G477,Services!$A$5:$A$204,0)),"Not in Services"))</f>
        <v>0</v>
      </c>
      <c r="J477" s="15">
        <f>IF(I477="","",IFERROR(INDEX(Staff!$B$5:$B$44,MATCH(I477,Staff!$A$5:$A$44,0)),"Unassigned"))</f>
        <v>0</v>
      </c>
      <c r="S477" s="15">
        <f>IF(B477="","",TEXT(B477,"yyyy-mm"))</f>
        <v>0</v>
      </c>
      <c r="T477" s="25">
        <f>IF(B477="","",WEEKNUM(B477,2))</f>
        <v>0</v>
      </c>
      <c r="U477" s="25">
        <f>IF(B477="","",IF(K477&lt;&gt;"",K477,IFERROR(INDEX(Services!$E$5:$E$204,MATCH(G477,Services!$A$5:$A$204,0))*1,0)+IFERROR(INDEX(Services!$F$5:$F$204,MATCH(G477,Services!$A$5:$A$204,0))*1,0)))</f>
        <v>0</v>
      </c>
      <c r="V477" s="36">
        <f>IF(B477="","",IF(D477="","",D477+U477/1440))</f>
        <v>0</v>
      </c>
      <c r="W477" s="25">
        <f>IF(B477="","",IF(D477="","",HOUR(D477)))</f>
        <v>0</v>
      </c>
      <c r="X477" s="37">
        <f>IF(B477="","",ROUND(U477/60,2))</f>
        <v>0</v>
      </c>
      <c r="Y477" s="26">
        <f>IF(B477="","",IF(L477&lt;&gt;"",L477,IFERROR(INDEX(Services!$G$5:$G$204,MATCH(G477,Services!$A$5:$A$204,0))*1,0)))</f>
        <v>0</v>
      </c>
      <c r="Z477" s="26">
        <f>IF(B477="","",IF(O477&lt;&gt;"",O477,IF(Y477&gt;=DepositThreshold,ROUND(Y477*DepositPercent,2),0)))</f>
        <v>0</v>
      </c>
      <c r="AA477" s="26">
        <f>IF(B477="","",ROUND(SUMIFS(Payments!$G$5:$G$1204,Payments!$I$5:$I$1204,A477,Payments!$E$5:$E$1204,"Deposit"),2))</f>
        <v>0</v>
      </c>
      <c r="AB477" s="26">
        <f>IF(B477="","",ROUND(SUMIFS(Sales!$Y$5:$Y$1204,Sales!$C$5:$C$1204,A477),2))</f>
        <v>0</v>
      </c>
      <c r="AC477" s="38">
        <f>IF(B477="","",IF(M477="Completed","Yes",IF(M477="Cancelled","Yes",IF(M477="No show","Yes","No"))))</f>
        <v>0</v>
      </c>
      <c r="AD477" s="25">
        <f>IF(B477="","",IF(AE477="","",B477-AE477))</f>
        <v>0</v>
      </c>
      <c r="AF477" s="38">
        <f>IF(B477="","",IF(M477&lt;&gt;"Completed","",IF(E477="","No",IF(COUNTIFS(Appointments!$E$5:$E$1204,E477,Appointments!$B$5:$B$1204,"&gt;"&amp;B477,Appointments!$M$5:$M$1204,"&lt;&gt;Cancelled")&gt;0,"Yes","No"))))</f>
        <v>0</v>
      </c>
      <c r="AG477" s="38">
        <f>IF(B477="","",IF(I477="","",IF(D477="","",IF(COUNTIFS($I$5:$I$1204,I477,$B$5:$B$1204,B477,$D$5:$D$1204,"&lt;"&amp;V477,$V$5:$V$1204,"&gt;"&amp;D477,$M$5:$M$1204,"&lt;&gt;Cancelled")&gt;1,"Clash",""))))</f>
        <v>0</v>
      </c>
      <c r="AH477" s="39">
        <f>IF(B477="","",IF(AG477="Clash","Clash - stylist double booked",IF(I477="","Assign - no stylist yet",IF(G477="","Add - no service chosen",IF(M477="No show","No show - charge the fee?",IF(M477="Cancelled","",IF(IF(M477="Completed",AB477&lt;Y477-0.004,FALSE),"Unpaid - nothing rung up for this visit",IF(IF(B477&lt;TodayDate,M477="Booked",FALSE),"Overdue - past date, still only Booked",IF(IF(B477=TodayDate,TRUE,FALSE),"Today",IF(IF(Z477&gt;0,AA477&lt;Z477-0.004,FALSE),"Due - deposit not taken",IF(IF(B477&gt;TodayDate,B477&lt;=TodayDate+2,FALSE),"Confirm - coming up","OK")))))))))))</f>
        <v>0</v>
      </c>
    </row>
    <row r="478" spans="1:34">
      <c r="A478" s="28">
        <f>IF(B478="","",AppointmentPrefix&amp;TEXT(ROW()-4,"0000"))</f>
        <v>0</v>
      </c>
      <c r="C478" s="15">
        <f>IF(B478="","",TEXT(B478,"ddd"))</f>
        <v>0</v>
      </c>
      <c r="F478" s="15">
        <f>IF(E478="","",IFERROR(INDEX(Clients!$B$5:$B$504,MATCH(E478,Clients!$A$5:$A$504,0)),"Walk-in"))</f>
        <v>0</v>
      </c>
      <c r="H478" s="15">
        <f>IF(G478="","",IFERROR(INDEX(Services!$B$5:$B$204,MATCH(G478,Services!$A$5:$A$204,0)),"Not in Services"))</f>
        <v>0</v>
      </c>
      <c r="J478" s="15">
        <f>IF(I478="","",IFERROR(INDEX(Staff!$B$5:$B$44,MATCH(I478,Staff!$A$5:$A$44,0)),"Unassigned"))</f>
        <v>0</v>
      </c>
      <c r="S478" s="15">
        <f>IF(B478="","",TEXT(B478,"yyyy-mm"))</f>
        <v>0</v>
      </c>
      <c r="T478" s="25">
        <f>IF(B478="","",WEEKNUM(B478,2))</f>
        <v>0</v>
      </c>
      <c r="U478" s="25">
        <f>IF(B478="","",IF(K478&lt;&gt;"",K478,IFERROR(INDEX(Services!$E$5:$E$204,MATCH(G478,Services!$A$5:$A$204,0))*1,0)+IFERROR(INDEX(Services!$F$5:$F$204,MATCH(G478,Services!$A$5:$A$204,0))*1,0)))</f>
        <v>0</v>
      </c>
      <c r="V478" s="36">
        <f>IF(B478="","",IF(D478="","",D478+U478/1440))</f>
        <v>0</v>
      </c>
      <c r="W478" s="25">
        <f>IF(B478="","",IF(D478="","",HOUR(D478)))</f>
        <v>0</v>
      </c>
      <c r="X478" s="37">
        <f>IF(B478="","",ROUND(U478/60,2))</f>
        <v>0</v>
      </c>
      <c r="Y478" s="26">
        <f>IF(B478="","",IF(L478&lt;&gt;"",L478,IFERROR(INDEX(Services!$G$5:$G$204,MATCH(G478,Services!$A$5:$A$204,0))*1,0)))</f>
        <v>0</v>
      </c>
      <c r="Z478" s="26">
        <f>IF(B478="","",IF(O478&lt;&gt;"",O478,IF(Y478&gt;=DepositThreshold,ROUND(Y478*DepositPercent,2),0)))</f>
        <v>0</v>
      </c>
      <c r="AA478" s="26">
        <f>IF(B478="","",ROUND(SUMIFS(Payments!$G$5:$G$1204,Payments!$I$5:$I$1204,A478,Payments!$E$5:$E$1204,"Deposit"),2))</f>
        <v>0</v>
      </c>
      <c r="AB478" s="26">
        <f>IF(B478="","",ROUND(SUMIFS(Sales!$Y$5:$Y$1204,Sales!$C$5:$C$1204,A478),2))</f>
        <v>0</v>
      </c>
      <c r="AC478" s="38">
        <f>IF(B478="","",IF(M478="Completed","Yes",IF(M478="Cancelled","Yes",IF(M478="No show","Yes","No"))))</f>
        <v>0</v>
      </c>
      <c r="AD478" s="25">
        <f>IF(B478="","",IF(AE478="","",B478-AE478))</f>
        <v>0</v>
      </c>
      <c r="AF478" s="38">
        <f>IF(B478="","",IF(M478&lt;&gt;"Completed","",IF(E478="","No",IF(COUNTIFS(Appointments!$E$5:$E$1204,E478,Appointments!$B$5:$B$1204,"&gt;"&amp;B478,Appointments!$M$5:$M$1204,"&lt;&gt;Cancelled")&gt;0,"Yes","No"))))</f>
        <v>0</v>
      </c>
      <c r="AG478" s="38">
        <f>IF(B478="","",IF(I478="","",IF(D478="","",IF(COUNTIFS($I$5:$I$1204,I478,$B$5:$B$1204,B478,$D$5:$D$1204,"&lt;"&amp;V478,$V$5:$V$1204,"&gt;"&amp;D478,$M$5:$M$1204,"&lt;&gt;Cancelled")&gt;1,"Clash",""))))</f>
        <v>0</v>
      </c>
      <c r="AH478" s="39">
        <f>IF(B478="","",IF(AG478="Clash","Clash - stylist double booked",IF(I478="","Assign - no stylist yet",IF(G478="","Add - no service chosen",IF(M478="No show","No show - charge the fee?",IF(M478="Cancelled","",IF(IF(M478="Completed",AB478&lt;Y478-0.004,FALSE),"Unpaid - nothing rung up for this visit",IF(IF(B478&lt;TodayDate,M478="Booked",FALSE),"Overdue - past date, still only Booked",IF(IF(B478=TodayDate,TRUE,FALSE),"Today",IF(IF(Z478&gt;0,AA478&lt;Z478-0.004,FALSE),"Due - deposit not taken",IF(IF(B478&gt;TodayDate,B478&lt;=TodayDate+2,FALSE),"Confirm - coming up","OK")))))))))))</f>
        <v>0</v>
      </c>
    </row>
    <row r="479" spans="1:34">
      <c r="A479" s="28">
        <f>IF(B479="","",AppointmentPrefix&amp;TEXT(ROW()-4,"0000"))</f>
        <v>0</v>
      </c>
      <c r="C479" s="15">
        <f>IF(B479="","",TEXT(B479,"ddd"))</f>
        <v>0</v>
      </c>
      <c r="F479" s="15">
        <f>IF(E479="","",IFERROR(INDEX(Clients!$B$5:$B$504,MATCH(E479,Clients!$A$5:$A$504,0)),"Walk-in"))</f>
        <v>0</v>
      </c>
      <c r="H479" s="15">
        <f>IF(G479="","",IFERROR(INDEX(Services!$B$5:$B$204,MATCH(G479,Services!$A$5:$A$204,0)),"Not in Services"))</f>
        <v>0</v>
      </c>
      <c r="J479" s="15">
        <f>IF(I479="","",IFERROR(INDEX(Staff!$B$5:$B$44,MATCH(I479,Staff!$A$5:$A$44,0)),"Unassigned"))</f>
        <v>0</v>
      </c>
      <c r="S479" s="15">
        <f>IF(B479="","",TEXT(B479,"yyyy-mm"))</f>
        <v>0</v>
      </c>
      <c r="T479" s="25">
        <f>IF(B479="","",WEEKNUM(B479,2))</f>
        <v>0</v>
      </c>
      <c r="U479" s="25">
        <f>IF(B479="","",IF(K479&lt;&gt;"",K479,IFERROR(INDEX(Services!$E$5:$E$204,MATCH(G479,Services!$A$5:$A$204,0))*1,0)+IFERROR(INDEX(Services!$F$5:$F$204,MATCH(G479,Services!$A$5:$A$204,0))*1,0)))</f>
        <v>0</v>
      </c>
      <c r="V479" s="36">
        <f>IF(B479="","",IF(D479="","",D479+U479/1440))</f>
        <v>0</v>
      </c>
      <c r="W479" s="25">
        <f>IF(B479="","",IF(D479="","",HOUR(D479)))</f>
        <v>0</v>
      </c>
      <c r="X479" s="37">
        <f>IF(B479="","",ROUND(U479/60,2))</f>
        <v>0</v>
      </c>
      <c r="Y479" s="26">
        <f>IF(B479="","",IF(L479&lt;&gt;"",L479,IFERROR(INDEX(Services!$G$5:$G$204,MATCH(G479,Services!$A$5:$A$204,0))*1,0)))</f>
        <v>0</v>
      </c>
      <c r="Z479" s="26">
        <f>IF(B479="","",IF(O479&lt;&gt;"",O479,IF(Y479&gt;=DepositThreshold,ROUND(Y479*DepositPercent,2),0)))</f>
        <v>0</v>
      </c>
      <c r="AA479" s="26">
        <f>IF(B479="","",ROUND(SUMIFS(Payments!$G$5:$G$1204,Payments!$I$5:$I$1204,A479,Payments!$E$5:$E$1204,"Deposit"),2))</f>
        <v>0</v>
      </c>
      <c r="AB479" s="26">
        <f>IF(B479="","",ROUND(SUMIFS(Sales!$Y$5:$Y$1204,Sales!$C$5:$C$1204,A479),2))</f>
        <v>0</v>
      </c>
      <c r="AC479" s="38">
        <f>IF(B479="","",IF(M479="Completed","Yes",IF(M479="Cancelled","Yes",IF(M479="No show","Yes","No"))))</f>
        <v>0</v>
      </c>
      <c r="AD479" s="25">
        <f>IF(B479="","",IF(AE479="","",B479-AE479))</f>
        <v>0</v>
      </c>
      <c r="AF479" s="38">
        <f>IF(B479="","",IF(M479&lt;&gt;"Completed","",IF(E479="","No",IF(COUNTIFS(Appointments!$E$5:$E$1204,E479,Appointments!$B$5:$B$1204,"&gt;"&amp;B479,Appointments!$M$5:$M$1204,"&lt;&gt;Cancelled")&gt;0,"Yes","No"))))</f>
        <v>0</v>
      </c>
      <c r="AG479" s="38">
        <f>IF(B479="","",IF(I479="","",IF(D479="","",IF(COUNTIFS($I$5:$I$1204,I479,$B$5:$B$1204,B479,$D$5:$D$1204,"&lt;"&amp;V479,$V$5:$V$1204,"&gt;"&amp;D479,$M$5:$M$1204,"&lt;&gt;Cancelled")&gt;1,"Clash",""))))</f>
        <v>0</v>
      </c>
      <c r="AH479" s="39">
        <f>IF(B479="","",IF(AG479="Clash","Clash - stylist double booked",IF(I479="","Assign - no stylist yet",IF(G479="","Add - no service chosen",IF(M479="No show","No show - charge the fee?",IF(M479="Cancelled","",IF(IF(M479="Completed",AB479&lt;Y479-0.004,FALSE),"Unpaid - nothing rung up for this visit",IF(IF(B479&lt;TodayDate,M479="Booked",FALSE),"Overdue - past date, still only Booked",IF(IF(B479=TodayDate,TRUE,FALSE),"Today",IF(IF(Z479&gt;0,AA479&lt;Z479-0.004,FALSE),"Due - deposit not taken",IF(IF(B479&gt;TodayDate,B479&lt;=TodayDate+2,FALSE),"Confirm - coming up","OK")))))))))))</f>
        <v>0</v>
      </c>
    </row>
    <row r="480" spans="1:34">
      <c r="A480" s="28">
        <f>IF(B480="","",AppointmentPrefix&amp;TEXT(ROW()-4,"0000"))</f>
        <v>0</v>
      </c>
      <c r="C480" s="15">
        <f>IF(B480="","",TEXT(B480,"ddd"))</f>
        <v>0</v>
      </c>
      <c r="F480" s="15">
        <f>IF(E480="","",IFERROR(INDEX(Clients!$B$5:$B$504,MATCH(E480,Clients!$A$5:$A$504,0)),"Walk-in"))</f>
        <v>0</v>
      </c>
      <c r="H480" s="15">
        <f>IF(G480="","",IFERROR(INDEX(Services!$B$5:$B$204,MATCH(G480,Services!$A$5:$A$204,0)),"Not in Services"))</f>
        <v>0</v>
      </c>
      <c r="J480" s="15">
        <f>IF(I480="","",IFERROR(INDEX(Staff!$B$5:$B$44,MATCH(I480,Staff!$A$5:$A$44,0)),"Unassigned"))</f>
        <v>0</v>
      </c>
      <c r="S480" s="15">
        <f>IF(B480="","",TEXT(B480,"yyyy-mm"))</f>
        <v>0</v>
      </c>
      <c r="T480" s="25">
        <f>IF(B480="","",WEEKNUM(B480,2))</f>
        <v>0</v>
      </c>
      <c r="U480" s="25">
        <f>IF(B480="","",IF(K480&lt;&gt;"",K480,IFERROR(INDEX(Services!$E$5:$E$204,MATCH(G480,Services!$A$5:$A$204,0))*1,0)+IFERROR(INDEX(Services!$F$5:$F$204,MATCH(G480,Services!$A$5:$A$204,0))*1,0)))</f>
        <v>0</v>
      </c>
      <c r="V480" s="36">
        <f>IF(B480="","",IF(D480="","",D480+U480/1440))</f>
        <v>0</v>
      </c>
      <c r="W480" s="25">
        <f>IF(B480="","",IF(D480="","",HOUR(D480)))</f>
        <v>0</v>
      </c>
      <c r="X480" s="37">
        <f>IF(B480="","",ROUND(U480/60,2))</f>
        <v>0</v>
      </c>
      <c r="Y480" s="26">
        <f>IF(B480="","",IF(L480&lt;&gt;"",L480,IFERROR(INDEX(Services!$G$5:$G$204,MATCH(G480,Services!$A$5:$A$204,0))*1,0)))</f>
        <v>0</v>
      </c>
      <c r="Z480" s="26">
        <f>IF(B480="","",IF(O480&lt;&gt;"",O480,IF(Y480&gt;=DepositThreshold,ROUND(Y480*DepositPercent,2),0)))</f>
        <v>0</v>
      </c>
      <c r="AA480" s="26">
        <f>IF(B480="","",ROUND(SUMIFS(Payments!$G$5:$G$1204,Payments!$I$5:$I$1204,A480,Payments!$E$5:$E$1204,"Deposit"),2))</f>
        <v>0</v>
      </c>
      <c r="AB480" s="26">
        <f>IF(B480="","",ROUND(SUMIFS(Sales!$Y$5:$Y$1204,Sales!$C$5:$C$1204,A480),2))</f>
        <v>0</v>
      </c>
      <c r="AC480" s="38">
        <f>IF(B480="","",IF(M480="Completed","Yes",IF(M480="Cancelled","Yes",IF(M480="No show","Yes","No"))))</f>
        <v>0</v>
      </c>
      <c r="AD480" s="25">
        <f>IF(B480="","",IF(AE480="","",B480-AE480))</f>
        <v>0</v>
      </c>
      <c r="AF480" s="38">
        <f>IF(B480="","",IF(M480&lt;&gt;"Completed","",IF(E480="","No",IF(COUNTIFS(Appointments!$E$5:$E$1204,E480,Appointments!$B$5:$B$1204,"&gt;"&amp;B480,Appointments!$M$5:$M$1204,"&lt;&gt;Cancelled")&gt;0,"Yes","No"))))</f>
        <v>0</v>
      </c>
      <c r="AG480" s="38">
        <f>IF(B480="","",IF(I480="","",IF(D480="","",IF(COUNTIFS($I$5:$I$1204,I480,$B$5:$B$1204,B480,$D$5:$D$1204,"&lt;"&amp;V480,$V$5:$V$1204,"&gt;"&amp;D480,$M$5:$M$1204,"&lt;&gt;Cancelled")&gt;1,"Clash",""))))</f>
        <v>0</v>
      </c>
      <c r="AH480" s="39">
        <f>IF(B480="","",IF(AG480="Clash","Clash - stylist double booked",IF(I480="","Assign - no stylist yet",IF(G480="","Add - no service chosen",IF(M480="No show","No show - charge the fee?",IF(M480="Cancelled","",IF(IF(M480="Completed",AB480&lt;Y480-0.004,FALSE),"Unpaid - nothing rung up for this visit",IF(IF(B480&lt;TodayDate,M480="Booked",FALSE),"Overdue - past date, still only Booked",IF(IF(B480=TodayDate,TRUE,FALSE),"Today",IF(IF(Z480&gt;0,AA480&lt;Z480-0.004,FALSE),"Due - deposit not taken",IF(IF(B480&gt;TodayDate,B480&lt;=TodayDate+2,FALSE),"Confirm - coming up","OK")))))))))))</f>
        <v>0</v>
      </c>
    </row>
    <row r="481" spans="1:34">
      <c r="A481" s="28">
        <f>IF(B481="","",AppointmentPrefix&amp;TEXT(ROW()-4,"0000"))</f>
        <v>0</v>
      </c>
      <c r="C481" s="15">
        <f>IF(B481="","",TEXT(B481,"ddd"))</f>
        <v>0</v>
      </c>
      <c r="F481" s="15">
        <f>IF(E481="","",IFERROR(INDEX(Clients!$B$5:$B$504,MATCH(E481,Clients!$A$5:$A$504,0)),"Walk-in"))</f>
        <v>0</v>
      </c>
      <c r="H481" s="15">
        <f>IF(G481="","",IFERROR(INDEX(Services!$B$5:$B$204,MATCH(G481,Services!$A$5:$A$204,0)),"Not in Services"))</f>
        <v>0</v>
      </c>
      <c r="J481" s="15">
        <f>IF(I481="","",IFERROR(INDEX(Staff!$B$5:$B$44,MATCH(I481,Staff!$A$5:$A$44,0)),"Unassigned"))</f>
        <v>0</v>
      </c>
      <c r="S481" s="15">
        <f>IF(B481="","",TEXT(B481,"yyyy-mm"))</f>
        <v>0</v>
      </c>
      <c r="T481" s="25">
        <f>IF(B481="","",WEEKNUM(B481,2))</f>
        <v>0</v>
      </c>
      <c r="U481" s="25">
        <f>IF(B481="","",IF(K481&lt;&gt;"",K481,IFERROR(INDEX(Services!$E$5:$E$204,MATCH(G481,Services!$A$5:$A$204,0))*1,0)+IFERROR(INDEX(Services!$F$5:$F$204,MATCH(G481,Services!$A$5:$A$204,0))*1,0)))</f>
        <v>0</v>
      </c>
      <c r="V481" s="36">
        <f>IF(B481="","",IF(D481="","",D481+U481/1440))</f>
        <v>0</v>
      </c>
      <c r="W481" s="25">
        <f>IF(B481="","",IF(D481="","",HOUR(D481)))</f>
        <v>0</v>
      </c>
      <c r="X481" s="37">
        <f>IF(B481="","",ROUND(U481/60,2))</f>
        <v>0</v>
      </c>
      <c r="Y481" s="26">
        <f>IF(B481="","",IF(L481&lt;&gt;"",L481,IFERROR(INDEX(Services!$G$5:$G$204,MATCH(G481,Services!$A$5:$A$204,0))*1,0)))</f>
        <v>0</v>
      </c>
      <c r="Z481" s="26">
        <f>IF(B481="","",IF(O481&lt;&gt;"",O481,IF(Y481&gt;=DepositThreshold,ROUND(Y481*DepositPercent,2),0)))</f>
        <v>0</v>
      </c>
      <c r="AA481" s="26">
        <f>IF(B481="","",ROUND(SUMIFS(Payments!$G$5:$G$1204,Payments!$I$5:$I$1204,A481,Payments!$E$5:$E$1204,"Deposit"),2))</f>
        <v>0</v>
      </c>
      <c r="AB481" s="26">
        <f>IF(B481="","",ROUND(SUMIFS(Sales!$Y$5:$Y$1204,Sales!$C$5:$C$1204,A481),2))</f>
        <v>0</v>
      </c>
      <c r="AC481" s="38">
        <f>IF(B481="","",IF(M481="Completed","Yes",IF(M481="Cancelled","Yes",IF(M481="No show","Yes","No"))))</f>
        <v>0</v>
      </c>
      <c r="AD481" s="25">
        <f>IF(B481="","",IF(AE481="","",B481-AE481))</f>
        <v>0</v>
      </c>
      <c r="AF481" s="38">
        <f>IF(B481="","",IF(M481&lt;&gt;"Completed","",IF(E481="","No",IF(COUNTIFS(Appointments!$E$5:$E$1204,E481,Appointments!$B$5:$B$1204,"&gt;"&amp;B481,Appointments!$M$5:$M$1204,"&lt;&gt;Cancelled")&gt;0,"Yes","No"))))</f>
        <v>0</v>
      </c>
      <c r="AG481" s="38">
        <f>IF(B481="","",IF(I481="","",IF(D481="","",IF(COUNTIFS($I$5:$I$1204,I481,$B$5:$B$1204,B481,$D$5:$D$1204,"&lt;"&amp;V481,$V$5:$V$1204,"&gt;"&amp;D481,$M$5:$M$1204,"&lt;&gt;Cancelled")&gt;1,"Clash",""))))</f>
        <v>0</v>
      </c>
      <c r="AH481" s="39">
        <f>IF(B481="","",IF(AG481="Clash","Clash - stylist double booked",IF(I481="","Assign - no stylist yet",IF(G481="","Add - no service chosen",IF(M481="No show","No show - charge the fee?",IF(M481="Cancelled","",IF(IF(M481="Completed",AB481&lt;Y481-0.004,FALSE),"Unpaid - nothing rung up for this visit",IF(IF(B481&lt;TodayDate,M481="Booked",FALSE),"Overdue - past date, still only Booked",IF(IF(B481=TodayDate,TRUE,FALSE),"Today",IF(IF(Z481&gt;0,AA481&lt;Z481-0.004,FALSE),"Due - deposit not taken",IF(IF(B481&gt;TodayDate,B481&lt;=TodayDate+2,FALSE),"Confirm - coming up","OK")))))))))))</f>
        <v>0</v>
      </c>
    </row>
    <row r="482" spans="1:34">
      <c r="A482" s="28">
        <f>IF(B482="","",AppointmentPrefix&amp;TEXT(ROW()-4,"0000"))</f>
        <v>0</v>
      </c>
      <c r="C482" s="15">
        <f>IF(B482="","",TEXT(B482,"ddd"))</f>
        <v>0</v>
      </c>
      <c r="F482" s="15">
        <f>IF(E482="","",IFERROR(INDEX(Clients!$B$5:$B$504,MATCH(E482,Clients!$A$5:$A$504,0)),"Walk-in"))</f>
        <v>0</v>
      </c>
      <c r="H482" s="15">
        <f>IF(G482="","",IFERROR(INDEX(Services!$B$5:$B$204,MATCH(G482,Services!$A$5:$A$204,0)),"Not in Services"))</f>
        <v>0</v>
      </c>
      <c r="J482" s="15">
        <f>IF(I482="","",IFERROR(INDEX(Staff!$B$5:$B$44,MATCH(I482,Staff!$A$5:$A$44,0)),"Unassigned"))</f>
        <v>0</v>
      </c>
      <c r="S482" s="15">
        <f>IF(B482="","",TEXT(B482,"yyyy-mm"))</f>
        <v>0</v>
      </c>
      <c r="T482" s="25">
        <f>IF(B482="","",WEEKNUM(B482,2))</f>
        <v>0</v>
      </c>
      <c r="U482" s="25">
        <f>IF(B482="","",IF(K482&lt;&gt;"",K482,IFERROR(INDEX(Services!$E$5:$E$204,MATCH(G482,Services!$A$5:$A$204,0))*1,0)+IFERROR(INDEX(Services!$F$5:$F$204,MATCH(G482,Services!$A$5:$A$204,0))*1,0)))</f>
        <v>0</v>
      </c>
      <c r="V482" s="36">
        <f>IF(B482="","",IF(D482="","",D482+U482/1440))</f>
        <v>0</v>
      </c>
      <c r="W482" s="25">
        <f>IF(B482="","",IF(D482="","",HOUR(D482)))</f>
        <v>0</v>
      </c>
      <c r="X482" s="37">
        <f>IF(B482="","",ROUND(U482/60,2))</f>
        <v>0</v>
      </c>
      <c r="Y482" s="26">
        <f>IF(B482="","",IF(L482&lt;&gt;"",L482,IFERROR(INDEX(Services!$G$5:$G$204,MATCH(G482,Services!$A$5:$A$204,0))*1,0)))</f>
        <v>0</v>
      </c>
      <c r="Z482" s="26">
        <f>IF(B482="","",IF(O482&lt;&gt;"",O482,IF(Y482&gt;=DepositThreshold,ROUND(Y482*DepositPercent,2),0)))</f>
        <v>0</v>
      </c>
      <c r="AA482" s="26">
        <f>IF(B482="","",ROUND(SUMIFS(Payments!$G$5:$G$1204,Payments!$I$5:$I$1204,A482,Payments!$E$5:$E$1204,"Deposit"),2))</f>
        <v>0</v>
      </c>
      <c r="AB482" s="26">
        <f>IF(B482="","",ROUND(SUMIFS(Sales!$Y$5:$Y$1204,Sales!$C$5:$C$1204,A482),2))</f>
        <v>0</v>
      </c>
      <c r="AC482" s="38">
        <f>IF(B482="","",IF(M482="Completed","Yes",IF(M482="Cancelled","Yes",IF(M482="No show","Yes","No"))))</f>
        <v>0</v>
      </c>
      <c r="AD482" s="25">
        <f>IF(B482="","",IF(AE482="","",B482-AE482))</f>
        <v>0</v>
      </c>
      <c r="AF482" s="38">
        <f>IF(B482="","",IF(M482&lt;&gt;"Completed","",IF(E482="","No",IF(COUNTIFS(Appointments!$E$5:$E$1204,E482,Appointments!$B$5:$B$1204,"&gt;"&amp;B482,Appointments!$M$5:$M$1204,"&lt;&gt;Cancelled")&gt;0,"Yes","No"))))</f>
        <v>0</v>
      </c>
      <c r="AG482" s="38">
        <f>IF(B482="","",IF(I482="","",IF(D482="","",IF(COUNTIFS($I$5:$I$1204,I482,$B$5:$B$1204,B482,$D$5:$D$1204,"&lt;"&amp;V482,$V$5:$V$1204,"&gt;"&amp;D482,$M$5:$M$1204,"&lt;&gt;Cancelled")&gt;1,"Clash",""))))</f>
        <v>0</v>
      </c>
      <c r="AH482" s="39">
        <f>IF(B482="","",IF(AG482="Clash","Clash - stylist double booked",IF(I482="","Assign - no stylist yet",IF(G482="","Add - no service chosen",IF(M482="No show","No show - charge the fee?",IF(M482="Cancelled","",IF(IF(M482="Completed",AB482&lt;Y482-0.004,FALSE),"Unpaid - nothing rung up for this visit",IF(IF(B482&lt;TodayDate,M482="Booked",FALSE),"Overdue - past date, still only Booked",IF(IF(B482=TodayDate,TRUE,FALSE),"Today",IF(IF(Z482&gt;0,AA482&lt;Z482-0.004,FALSE),"Due - deposit not taken",IF(IF(B482&gt;TodayDate,B482&lt;=TodayDate+2,FALSE),"Confirm - coming up","OK")))))))))))</f>
        <v>0</v>
      </c>
    </row>
    <row r="483" spans="1:34">
      <c r="A483" s="28">
        <f>IF(B483="","",AppointmentPrefix&amp;TEXT(ROW()-4,"0000"))</f>
        <v>0</v>
      </c>
      <c r="C483" s="15">
        <f>IF(B483="","",TEXT(B483,"ddd"))</f>
        <v>0</v>
      </c>
      <c r="F483" s="15">
        <f>IF(E483="","",IFERROR(INDEX(Clients!$B$5:$B$504,MATCH(E483,Clients!$A$5:$A$504,0)),"Walk-in"))</f>
        <v>0</v>
      </c>
      <c r="H483" s="15">
        <f>IF(G483="","",IFERROR(INDEX(Services!$B$5:$B$204,MATCH(G483,Services!$A$5:$A$204,0)),"Not in Services"))</f>
        <v>0</v>
      </c>
      <c r="J483" s="15">
        <f>IF(I483="","",IFERROR(INDEX(Staff!$B$5:$B$44,MATCH(I483,Staff!$A$5:$A$44,0)),"Unassigned"))</f>
        <v>0</v>
      </c>
      <c r="S483" s="15">
        <f>IF(B483="","",TEXT(B483,"yyyy-mm"))</f>
        <v>0</v>
      </c>
      <c r="T483" s="25">
        <f>IF(B483="","",WEEKNUM(B483,2))</f>
        <v>0</v>
      </c>
      <c r="U483" s="25">
        <f>IF(B483="","",IF(K483&lt;&gt;"",K483,IFERROR(INDEX(Services!$E$5:$E$204,MATCH(G483,Services!$A$5:$A$204,0))*1,0)+IFERROR(INDEX(Services!$F$5:$F$204,MATCH(G483,Services!$A$5:$A$204,0))*1,0)))</f>
        <v>0</v>
      </c>
      <c r="V483" s="36">
        <f>IF(B483="","",IF(D483="","",D483+U483/1440))</f>
        <v>0</v>
      </c>
      <c r="W483" s="25">
        <f>IF(B483="","",IF(D483="","",HOUR(D483)))</f>
        <v>0</v>
      </c>
      <c r="X483" s="37">
        <f>IF(B483="","",ROUND(U483/60,2))</f>
        <v>0</v>
      </c>
      <c r="Y483" s="26">
        <f>IF(B483="","",IF(L483&lt;&gt;"",L483,IFERROR(INDEX(Services!$G$5:$G$204,MATCH(G483,Services!$A$5:$A$204,0))*1,0)))</f>
        <v>0</v>
      </c>
      <c r="Z483" s="26">
        <f>IF(B483="","",IF(O483&lt;&gt;"",O483,IF(Y483&gt;=DepositThreshold,ROUND(Y483*DepositPercent,2),0)))</f>
        <v>0</v>
      </c>
      <c r="AA483" s="26">
        <f>IF(B483="","",ROUND(SUMIFS(Payments!$G$5:$G$1204,Payments!$I$5:$I$1204,A483,Payments!$E$5:$E$1204,"Deposit"),2))</f>
        <v>0</v>
      </c>
      <c r="AB483" s="26">
        <f>IF(B483="","",ROUND(SUMIFS(Sales!$Y$5:$Y$1204,Sales!$C$5:$C$1204,A483),2))</f>
        <v>0</v>
      </c>
      <c r="AC483" s="38">
        <f>IF(B483="","",IF(M483="Completed","Yes",IF(M483="Cancelled","Yes",IF(M483="No show","Yes","No"))))</f>
        <v>0</v>
      </c>
      <c r="AD483" s="25">
        <f>IF(B483="","",IF(AE483="","",B483-AE483))</f>
        <v>0</v>
      </c>
      <c r="AF483" s="38">
        <f>IF(B483="","",IF(M483&lt;&gt;"Completed","",IF(E483="","No",IF(COUNTIFS(Appointments!$E$5:$E$1204,E483,Appointments!$B$5:$B$1204,"&gt;"&amp;B483,Appointments!$M$5:$M$1204,"&lt;&gt;Cancelled")&gt;0,"Yes","No"))))</f>
        <v>0</v>
      </c>
      <c r="AG483" s="38">
        <f>IF(B483="","",IF(I483="","",IF(D483="","",IF(COUNTIFS($I$5:$I$1204,I483,$B$5:$B$1204,B483,$D$5:$D$1204,"&lt;"&amp;V483,$V$5:$V$1204,"&gt;"&amp;D483,$M$5:$M$1204,"&lt;&gt;Cancelled")&gt;1,"Clash",""))))</f>
        <v>0</v>
      </c>
      <c r="AH483" s="39">
        <f>IF(B483="","",IF(AG483="Clash","Clash - stylist double booked",IF(I483="","Assign - no stylist yet",IF(G483="","Add - no service chosen",IF(M483="No show","No show - charge the fee?",IF(M483="Cancelled","",IF(IF(M483="Completed",AB483&lt;Y483-0.004,FALSE),"Unpaid - nothing rung up for this visit",IF(IF(B483&lt;TodayDate,M483="Booked",FALSE),"Overdue - past date, still only Booked",IF(IF(B483=TodayDate,TRUE,FALSE),"Today",IF(IF(Z483&gt;0,AA483&lt;Z483-0.004,FALSE),"Due - deposit not taken",IF(IF(B483&gt;TodayDate,B483&lt;=TodayDate+2,FALSE),"Confirm - coming up","OK")))))))))))</f>
        <v>0</v>
      </c>
    </row>
    <row r="484" spans="1:34">
      <c r="A484" s="28">
        <f>IF(B484="","",AppointmentPrefix&amp;TEXT(ROW()-4,"0000"))</f>
        <v>0</v>
      </c>
      <c r="C484" s="15">
        <f>IF(B484="","",TEXT(B484,"ddd"))</f>
        <v>0</v>
      </c>
      <c r="F484" s="15">
        <f>IF(E484="","",IFERROR(INDEX(Clients!$B$5:$B$504,MATCH(E484,Clients!$A$5:$A$504,0)),"Walk-in"))</f>
        <v>0</v>
      </c>
      <c r="H484" s="15">
        <f>IF(G484="","",IFERROR(INDEX(Services!$B$5:$B$204,MATCH(G484,Services!$A$5:$A$204,0)),"Not in Services"))</f>
        <v>0</v>
      </c>
      <c r="J484" s="15">
        <f>IF(I484="","",IFERROR(INDEX(Staff!$B$5:$B$44,MATCH(I484,Staff!$A$5:$A$44,0)),"Unassigned"))</f>
        <v>0</v>
      </c>
      <c r="S484" s="15">
        <f>IF(B484="","",TEXT(B484,"yyyy-mm"))</f>
        <v>0</v>
      </c>
      <c r="T484" s="25">
        <f>IF(B484="","",WEEKNUM(B484,2))</f>
        <v>0</v>
      </c>
      <c r="U484" s="25">
        <f>IF(B484="","",IF(K484&lt;&gt;"",K484,IFERROR(INDEX(Services!$E$5:$E$204,MATCH(G484,Services!$A$5:$A$204,0))*1,0)+IFERROR(INDEX(Services!$F$5:$F$204,MATCH(G484,Services!$A$5:$A$204,0))*1,0)))</f>
        <v>0</v>
      </c>
      <c r="V484" s="36">
        <f>IF(B484="","",IF(D484="","",D484+U484/1440))</f>
        <v>0</v>
      </c>
      <c r="W484" s="25">
        <f>IF(B484="","",IF(D484="","",HOUR(D484)))</f>
        <v>0</v>
      </c>
      <c r="X484" s="37">
        <f>IF(B484="","",ROUND(U484/60,2))</f>
        <v>0</v>
      </c>
      <c r="Y484" s="26">
        <f>IF(B484="","",IF(L484&lt;&gt;"",L484,IFERROR(INDEX(Services!$G$5:$G$204,MATCH(G484,Services!$A$5:$A$204,0))*1,0)))</f>
        <v>0</v>
      </c>
      <c r="Z484" s="26">
        <f>IF(B484="","",IF(O484&lt;&gt;"",O484,IF(Y484&gt;=DepositThreshold,ROUND(Y484*DepositPercent,2),0)))</f>
        <v>0</v>
      </c>
      <c r="AA484" s="26">
        <f>IF(B484="","",ROUND(SUMIFS(Payments!$G$5:$G$1204,Payments!$I$5:$I$1204,A484,Payments!$E$5:$E$1204,"Deposit"),2))</f>
        <v>0</v>
      </c>
      <c r="AB484" s="26">
        <f>IF(B484="","",ROUND(SUMIFS(Sales!$Y$5:$Y$1204,Sales!$C$5:$C$1204,A484),2))</f>
        <v>0</v>
      </c>
      <c r="AC484" s="38">
        <f>IF(B484="","",IF(M484="Completed","Yes",IF(M484="Cancelled","Yes",IF(M484="No show","Yes","No"))))</f>
        <v>0</v>
      </c>
      <c r="AD484" s="25">
        <f>IF(B484="","",IF(AE484="","",B484-AE484))</f>
        <v>0</v>
      </c>
      <c r="AF484" s="38">
        <f>IF(B484="","",IF(M484&lt;&gt;"Completed","",IF(E484="","No",IF(COUNTIFS(Appointments!$E$5:$E$1204,E484,Appointments!$B$5:$B$1204,"&gt;"&amp;B484,Appointments!$M$5:$M$1204,"&lt;&gt;Cancelled")&gt;0,"Yes","No"))))</f>
        <v>0</v>
      </c>
      <c r="AG484" s="38">
        <f>IF(B484="","",IF(I484="","",IF(D484="","",IF(COUNTIFS($I$5:$I$1204,I484,$B$5:$B$1204,B484,$D$5:$D$1204,"&lt;"&amp;V484,$V$5:$V$1204,"&gt;"&amp;D484,$M$5:$M$1204,"&lt;&gt;Cancelled")&gt;1,"Clash",""))))</f>
        <v>0</v>
      </c>
      <c r="AH484" s="39">
        <f>IF(B484="","",IF(AG484="Clash","Clash - stylist double booked",IF(I484="","Assign - no stylist yet",IF(G484="","Add - no service chosen",IF(M484="No show","No show - charge the fee?",IF(M484="Cancelled","",IF(IF(M484="Completed",AB484&lt;Y484-0.004,FALSE),"Unpaid - nothing rung up for this visit",IF(IF(B484&lt;TodayDate,M484="Booked",FALSE),"Overdue - past date, still only Booked",IF(IF(B484=TodayDate,TRUE,FALSE),"Today",IF(IF(Z484&gt;0,AA484&lt;Z484-0.004,FALSE),"Due - deposit not taken",IF(IF(B484&gt;TodayDate,B484&lt;=TodayDate+2,FALSE),"Confirm - coming up","OK")))))))))))</f>
        <v>0</v>
      </c>
    </row>
    <row r="485" spans="1:34">
      <c r="A485" s="28">
        <f>IF(B485="","",AppointmentPrefix&amp;TEXT(ROW()-4,"0000"))</f>
        <v>0</v>
      </c>
      <c r="C485" s="15">
        <f>IF(B485="","",TEXT(B485,"ddd"))</f>
        <v>0</v>
      </c>
      <c r="F485" s="15">
        <f>IF(E485="","",IFERROR(INDEX(Clients!$B$5:$B$504,MATCH(E485,Clients!$A$5:$A$504,0)),"Walk-in"))</f>
        <v>0</v>
      </c>
      <c r="H485" s="15">
        <f>IF(G485="","",IFERROR(INDEX(Services!$B$5:$B$204,MATCH(G485,Services!$A$5:$A$204,0)),"Not in Services"))</f>
        <v>0</v>
      </c>
      <c r="J485" s="15">
        <f>IF(I485="","",IFERROR(INDEX(Staff!$B$5:$B$44,MATCH(I485,Staff!$A$5:$A$44,0)),"Unassigned"))</f>
        <v>0</v>
      </c>
      <c r="S485" s="15">
        <f>IF(B485="","",TEXT(B485,"yyyy-mm"))</f>
        <v>0</v>
      </c>
      <c r="T485" s="25">
        <f>IF(B485="","",WEEKNUM(B485,2))</f>
        <v>0</v>
      </c>
      <c r="U485" s="25">
        <f>IF(B485="","",IF(K485&lt;&gt;"",K485,IFERROR(INDEX(Services!$E$5:$E$204,MATCH(G485,Services!$A$5:$A$204,0))*1,0)+IFERROR(INDEX(Services!$F$5:$F$204,MATCH(G485,Services!$A$5:$A$204,0))*1,0)))</f>
        <v>0</v>
      </c>
      <c r="V485" s="36">
        <f>IF(B485="","",IF(D485="","",D485+U485/1440))</f>
        <v>0</v>
      </c>
      <c r="W485" s="25">
        <f>IF(B485="","",IF(D485="","",HOUR(D485)))</f>
        <v>0</v>
      </c>
      <c r="X485" s="37">
        <f>IF(B485="","",ROUND(U485/60,2))</f>
        <v>0</v>
      </c>
      <c r="Y485" s="26">
        <f>IF(B485="","",IF(L485&lt;&gt;"",L485,IFERROR(INDEX(Services!$G$5:$G$204,MATCH(G485,Services!$A$5:$A$204,0))*1,0)))</f>
        <v>0</v>
      </c>
      <c r="Z485" s="26">
        <f>IF(B485="","",IF(O485&lt;&gt;"",O485,IF(Y485&gt;=DepositThreshold,ROUND(Y485*DepositPercent,2),0)))</f>
        <v>0</v>
      </c>
      <c r="AA485" s="26">
        <f>IF(B485="","",ROUND(SUMIFS(Payments!$G$5:$G$1204,Payments!$I$5:$I$1204,A485,Payments!$E$5:$E$1204,"Deposit"),2))</f>
        <v>0</v>
      </c>
      <c r="AB485" s="26">
        <f>IF(B485="","",ROUND(SUMIFS(Sales!$Y$5:$Y$1204,Sales!$C$5:$C$1204,A485),2))</f>
        <v>0</v>
      </c>
      <c r="AC485" s="38">
        <f>IF(B485="","",IF(M485="Completed","Yes",IF(M485="Cancelled","Yes",IF(M485="No show","Yes","No"))))</f>
        <v>0</v>
      </c>
      <c r="AD485" s="25">
        <f>IF(B485="","",IF(AE485="","",B485-AE485))</f>
        <v>0</v>
      </c>
      <c r="AF485" s="38">
        <f>IF(B485="","",IF(M485&lt;&gt;"Completed","",IF(E485="","No",IF(COUNTIFS(Appointments!$E$5:$E$1204,E485,Appointments!$B$5:$B$1204,"&gt;"&amp;B485,Appointments!$M$5:$M$1204,"&lt;&gt;Cancelled")&gt;0,"Yes","No"))))</f>
        <v>0</v>
      </c>
      <c r="AG485" s="38">
        <f>IF(B485="","",IF(I485="","",IF(D485="","",IF(COUNTIFS($I$5:$I$1204,I485,$B$5:$B$1204,B485,$D$5:$D$1204,"&lt;"&amp;V485,$V$5:$V$1204,"&gt;"&amp;D485,$M$5:$M$1204,"&lt;&gt;Cancelled")&gt;1,"Clash",""))))</f>
        <v>0</v>
      </c>
      <c r="AH485" s="39">
        <f>IF(B485="","",IF(AG485="Clash","Clash - stylist double booked",IF(I485="","Assign - no stylist yet",IF(G485="","Add - no service chosen",IF(M485="No show","No show - charge the fee?",IF(M485="Cancelled","",IF(IF(M485="Completed",AB485&lt;Y485-0.004,FALSE),"Unpaid - nothing rung up for this visit",IF(IF(B485&lt;TodayDate,M485="Booked",FALSE),"Overdue - past date, still only Booked",IF(IF(B485=TodayDate,TRUE,FALSE),"Today",IF(IF(Z485&gt;0,AA485&lt;Z485-0.004,FALSE),"Due - deposit not taken",IF(IF(B485&gt;TodayDate,B485&lt;=TodayDate+2,FALSE),"Confirm - coming up","OK")))))))))))</f>
        <v>0</v>
      </c>
    </row>
    <row r="486" spans="1:34">
      <c r="A486" s="28">
        <f>IF(B486="","",AppointmentPrefix&amp;TEXT(ROW()-4,"0000"))</f>
        <v>0</v>
      </c>
      <c r="C486" s="15">
        <f>IF(B486="","",TEXT(B486,"ddd"))</f>
        <v>0</v>
      </c>
      <c r="F486" s="15">
        <f>IF(E486="","",IFERROR(INDEX(Clients!$B$5:$B$504,MATCH(E486,Clients!$A$5:$A$504,0)),"Walk-in"))</f>
        <v>0</v>
      </c>
      <c r="H486" s="15">
        <f>IF(G486="","",IFERROR(INDEX(Services!$B$5:$B$204,MATCH(G486,Services!$A$5:$A$204,0)),"Not in Services"))</f>
        <v>0</v>
      </c>
      <c r="J486" s="15">
        <f>IF(I486="","",IFERROR(INDEX(Staff!$B$5:$B$44,MATCH(I486,Staff!$A$5:$A$44,0)),"Unassigned"))</f>
        <v>0</v>
      </c>
      <c r="S486" s="15">
        <f>IF(B486="","",TEXT(B486,"yyyy-mm"))</f>
        <v>0</v>
      </c>
      <c r="T486" s="25">
        <f>IF(B486="","",WEEKNUM(B486,2))</f>
        <v>0</v>
      </c>
      <c r="U486" s="25">
        <f>IF(B486="","",IF(K486&lt;&gt;"",K486,IFERROR(INDEX(Services!$E$5:$E$204,MATCH(G486,Services!$A$5:$A$204,0))*1,0)+IFERROR(INDEX(Services!$F$5:$F$204,MATCH(G486,Services!$A$5:$A$204,0))*1,0)))</f>
        <v>0</v>
      </c>
      <c r="V486" s="36">
        <f>IF(B486="","",IF(D486="","",D486+U486/1440))</f>
        <v>0</v>
      </c>
      <c r="W486" s="25">
        <f>IF(B486="","",IF(D486="","",HOUR(D486)))</f>
        <v>0</v>
      </c>
      <c r="X486" s="37">
        <f>IF(B486="","",ROUND(U486/60,2))</f>
        <v>0</v>
      </c>
      <c r="Y486" s="26">
        <f>IF(B486="","",IF(L486&lt;&gt;"",L486,IFERROR(INDEX(Services!$G$5:$G$204,MATCH(G486,Services!$A$5:$A$204,0))*1,0)))</f>
        <v>0</v>
      </c>
      <c r="Z486" s="26">
        <f>IF(B486="","",IF(O486&lt;&gt;"",O486,IF(Y486&gt;=DepositThreshold,ROUND(Y486*DepositPercent,2),0)))</f>
        <v>0</v>
      </c>
      <c r="AA486" s="26">
        <f>IF(B486="","",ROUND(SUMIFS(Payments!$G$5:$G$1204,Payments!$I$5:$I$1204,A486,Payments!$E$5:$E$1204,"Deposit"),2))</f>
        <v>0</v>
      </c>
      <c r="AB486" s="26">
        <f>IF(B486="","",ROUND(SUMIFS(Sales!$Y$5:$Y$1204,Sales!$C$5:$C$1204,A486),2))</f>
        <v>0</v>
      </c>
      <c r="AC486" s="38">
        <f>IF(B486="","",IF(M486="Completed","Yes",IF(M486="Cancelled","Yes",IF(M486="No show","Yes","No"))))</f>
        <v>0</v>
      </c>
      <c r="AD486" s="25">
        <f>IF(B486="","",IF(AE486="","",B486-AE486))</f>
        <v>0</v>
      </c>
      <c r="AF486" s="38">
        <f>IF(B486="","",IF(M486&lt;&gt;"Completed","",IF(E486="","No",IF(COUNTIFS(Appointments!$E$5:$E$1204,E486,Appointments!$B$5:$B$1204,"&gt;"&amp;B486,Appointments!$M$5:$M$1204,"&lt;&gt;Cancelled")&gt;0,"Yes","No"))))</f>
        <v>0</v>
      </c>
      <c r="AG486" s="38">
        <f>IF(B486="","",IF(I486="","",IF(D486="","",IF(COUNTIFS($I$5:$I$1204,I486,$B$5:$B$1204,B486,$D$5:$D$1204,"&lt;"&amp;V486,$V$5:$V$1204,"&gt;"&amp;D486,$M$5:$M$1204,"&lt;&gt;Cancelled")&gt;1,"Clash",""))))</f>
        <v>0</v>
      </c>
      <c r="AH486" s="39">
        <f>IF(B486="","",IF(AG486="Clash","Clash - stylist double booked",IF(I486="","Assign - no stylist yet",IF(G486="","Add - no service chosen",IF(M486="No show","No show - charge the fee?",IF(M486="Cancelled","",IF(IF(M486="Completed",AB486&lt;Y486-0.004,FALSE),"Unpaid - nothing rung up for this visit",IF(IF(B486&lt;TodayDate,M486="Booked",FALSE),"Overdue - past date, still only Booked",IF(IF(B486=TodayDate,TRUE,FALSE),"Today",IF(IF(Z486&gt;0,AA486&lt;Z486-0.004,FALSE),"Due - deposit not taken",IF(IF(B486&gt;TodayDate,B486&lt;=TodayDate+2,FALSE),"Confirm - coming up","OK")))))))))))</f>
        <v>0</v>
      </c>
    </row>
    <row r="487" spans="1:34">
      <c r="A487" s="28">
        <f>IF(B487="","",AppointmentPrefix&amp;TEXT(ROW()-4,"0000"))</f>
        <v>0</v>
      </c>
      <c r="C487" s="15">
        <f>IF(B487="","",TEXT(B487,"ddd"))</f>
        <v>0</v>
      </c>
      <c r="F487" s="15">
        <f>IF(E487="","",IFERROR(INDEX(Clients!$B$5:$B$504,MATCH(E487,Clients!$A$5:$A$504,0)),"Walk-in"))</f>
        <v>0</v>
      </c>
      <c r="H487" s="15">
        <f>IF(G487="","",IFERROR(INDEX(Services!$B$5:$B$204,MATCH(G487,Services!$A$5:$A$204,0)),"Not in Services"))</f>
        <v>0</v>
      </c>
      <c r="J487" s="15">
        <f>IF(I487="","",IFERROR(INDEX(Staff!$B$5:$B$44,MATCH(I487,Staff!$A$5:$A$44,0)),"Unassigned"))</f>
        <v>0</v>
      </c>
      <c r="S487" s="15">
        <f>IF(B487="","",TEXT(B487,"yyyy-mm"))</f>
        <v>0</v>
      </c>
      <c r="T487" s="25">
        <f>IF(B487="","",WEEKNUM(B487,2))</f>
        <v>0</v>
      </c>
      <c r="U487" s="25">
        <f>IF(B487="","",IF(K487&lt;&gt;"",K487,IFERROR(INDEX(Services!$E$5:$E$204,MATCH(G487,Services!$A$5:$A$204,0))*1,0)+IFERROR(INDEX(Services!$F$5:$F$204,MATCH(G487,Services!$A$5:$A$204,0))*1,0)))</f>
        <v>0</v>
      </c>
      <c r="V487" s="36">
        <f>IF(B487="","",IF(D487="","",D487+U487/1440))</f>
        <v>0</v>
      </c>
      <c r="W487" s="25">
        <f>IF(B487="","",IF(D487="","",HOUR(D487)))</f>
        <v>0</v>
      </c>
      <c r="X487" s="37">
        <f>IF(B487="","",ROUND(U487/60,2))</f>
        <v>0</v>
      </c>
      <c r="Y487" s="26">
        <f>IF(B487="","",IF(L487&lt;&gt;"",L487,IFERROR(INDEX(Services!$G$5:$G$204,MATCH(G487,Services!$A$5:$A$204,0))*1,0)))</f>
        <v>0</v>
      </c>
      <c r="Z487" s="26">
        <f>IF(B487="","",IF(O487&lt;&gt;"",O487,IF(Y487&gt;=DepositThreshold,ROUND(Y487*DepositPercent,2),0)))</f>
        <v>0</v>
      </c>
      <c r="AA487" s="26">
        <f>IF(B487="","",ROUND(SUMIFS(Payments!$G$5:$G$1204,Payments!$I$5:$I$1204,A487,Payments!$E$5:$E$1204,"Deposit"),2))</f>
        <v>0</v>
      </c>
      <c r="AB487" s="26">
        <f>IF(B487="","",ROUND(SUMIFS(Sales!$Y$5:$Y$1204,Sales!$C$5:$C$1204,A487),2))</f>
        <v>0</v>
      </c>
      <c r="AC487" s="38">
        <f>IF(B487="","",IF(M487="Completed","Yes",IF(M487="Cancelled","Yes",IF(M487="No show","Yes","No"))))</f>
        <v>0</v>
      </c>
      <c r="AD487" s="25">
        <f>IF(B487="","",IF(AE487="","",B487-AE487))</f>
        <v>0</v>
      </c>
      <c r="AF487" s="38">
        <f>IF(B487="","",IF(M487&lt;&gt;"Completed","",IF(E487="","No",IF(COUNTIFS(Appointments!$E$5:$E$1204,E487,Appointments!$B$5:$B$1204,"&gt;"&amp;B487,Appointments!$M$5:$M$1204,"&lt;&gt;Cancelled")&gt;0,"Yes","No"))))</f>
        <v>0</v>
      </c>
      <c r="AG487" s="38">
        <f>IF(B487="","",IF(I487="","",IF(D487="","",IF(COUNTIFS($I$5:$I$1204,I487,$B$5:$B$1204,B487,$D$5:$D$1204,"&lt;"&amp;V487,$V$5:$V$1204,"&gt;"&amp;D487,$M$5:$M$1204,"&lt;&gt;Cancelled")&gt;1,"Clash",""))))</f>
        <v>0</v>
      </c>
      <c r="AH487" s="39">
        <f>IF(B487="","",IF(AG487="Clash","Clash - stylist double booked",IF(I487="","Assign - no stylist yet",IF(G487="","Add - no service chosen",IF(M487="No show","No show - charge the fee?",IF(M487="Cancelled","",IF(IF(M487="Completed",AB487&lt;Y487-0.004,FALSE),"Unpaid - nothing rung up for this visit",IF(IF(B487&lt;TodayDate,M487="Booked",FALSE),"Overdue - past date, still only Booked",IF(IF(B487=TodayDate,TRUE,FALSE),"Today",IF(IF(Z487&gt;0,AA487&lt;Z487-0.004,FALSE),"Due - deposit not taken",IF(IF(B487&gt;TodayDate,B487&lt;=TodayDate+2,FALSE),"Confirm - coming up","OK")))))))))))</f>
        <v>0</v>
      </c>
    </row>
    <row r="488" spans="1:34">
      <c r="A488" s="28">
        <f>IF(B488="","",AppointmentPrefix&amp;TEXT(ROW()-4,"0000"))</f>
        <v>0</v>
      </c>
      <c r="C488" s="15">
        <f>IF(B488="","",TEXT(B488,"ddd"))</f>
        <v>0</v>
      </c>
      <c r="F488" s="15">
        <f>IF(E488="","",IFERROR(INDEX(Clients!$B$5:$B$504,MATCH(E488,Clients!$A$5:$A$504,0)),"Walk-in"))</f>
        <v>0</v>
      </c>
      <c r="H488" s="15">
        <f>IF(G488="","",IFERROR(INDEX(Services!$B$5:$B$204,MATCH(G488,Services!$A$5:$A$204,0)),"Not in Services"))</f>
        <v>0</v>
      </c>
      <c r="J488" s="15">
        <f>IF(I488="","",IFERROR(INDEX(Staff!$B$5:$B$44,MATCH(I488,Staff!$A$5:$A$44,0)),"Unassigned"))</f>
        <v>0</v>
      </c>
      <c r="S488" s="15">
        <f>IF(B488="","",TEXT(B488,"yyyy-mm"))</f>
        <v>0</v>
      </c>
      <c r="T488" s="25">
        <f>IF(B488="","",WEEKNUM(B488,2))</f>
        <v>0</v>
      </c>
      <c r="U488" s="25">
        <f>IF(B488="","",IF(K488&lt;&gt;"",K488,IFERROR(INDEX(Services!$E$5:$E$204,MATCH(G488,Services!$A$5:$A$204,0))*1,0)+IFERROR(INDEX(Services!$F$5:$F$204,MATCH(G488,Services!$A$5:$A$204,0))*1,0)))</f>
        <v>0</v>
      </c>
      <c r="V488" s="36">
        <f>IF(B488="","",IF(D488="","",D488+U488/1440))</f>
        <v>0</v>
      </c>
      <c r="W488" s="25">
        <f>IF(B488="","",IF(D488="","",HOUR(D488)))</f>
        <v>0</v>
      </c>
      <c r="X488" s="37">
        <f>IF(B488="","",ROUND(U488/60,2))</f>
        <v>0</v>
      </c>
      <c r="Y488" s="26">
        <f>IF(B488="","",IF(L488&lt;&gt;"",L488,IFERROR(INDEX(Services!$G$5:$G$204,MATCH(G488,Services!$A$5:$A$204,0))*1,0)))</f>
        <v>0</v>
      </c>
      <c r="Z488" s="26">
        <f>IF(B488="","",IF(O488&lt;&gt;"",O488,IF(Y488&gt;=DepositThreshold,ROUND(Y488*DepositPercent,2),0)))</f>
        <v>0</v>
      </c>
      <c r="AA488" s="26">
        <f>IF(B488="","",ROUND(SUMIFS(Payments!$G$5:$G$1204,Payments!$I$5:$I$1204,A488,Payments!$E$5:$E$1204,"Deposit"),2))</f>
        <v>0</v>
      </c>
      <c r="AB488" s="26">
        <f>IF(B488="","",ROUND(SUMIFS(Sales!$Y$5:$Y$1204,Sales!$C$5:$C$1204,A488),2))</f>
        <v>0</v>
      </c>
      <c r="AC488" s="38">
        <f>IF(B488="","",IF(M488="Completed","Yes",IF(M488="Cancelled","Yes",IF(M488="No show","Yes","No"))))</f>
        <v>0</v>
      </c>
      <c r="AD488" s="25">
        <f>IF(B488="","",IF(AE488="","",B488-AE488))</f>
        <v>0</v>
      </c>
      <c r="AF488" s="38">
        <f>IF(B488="","",IF(M488&lt;&gt;"Completed","",IF(E488="","No",IF(COUNTIFS(Appointments!$E$5:$E$1204,E488,Appointments!$B$5:$B$1204,"&gt;"&amp;B488,Appointments!$M$5:$M$1204,"&lt;&gt;Cancelled")&gt;0,"Yes","No"))))</f>
        <v>0</v>
      </c>
      <c r="AG488" s="38">
        <f>IF(B488="","",IF(I488="","",IF(D488="","",IF(COUNTIFS($I$5:$I$1204,I488,$B$5:$B$1204,B488,$D$5:$D$1204,"&lt;"&amp;V488,$V$5:$V$1204,"&gt;"&amp;D488,$M$5:$M$1204,"&lt;&gt;Cancelled")&gt;1,"Clash",""))))</f>
        <v>0</v>
      </c>
      <c r="AH488" s="39">
        <f>IF(B488="","",IF(AG488="Clash","Clash - stylist double booked",IF(I488="","Assign - no stylist yet",IF(G488="","Add - no service chosen",IF(M488="No show","No show - charge the fee?",IF(M488="Cancelled","",IF(IF(M488="Completed",AB488&lt;Y488-0.004,FALSE),"Unpaid - nothing rung up for this visit",IF(IF(B488&lt;TodayDate,M488="Booked",FALSE),"Overdue - past date, still only Booked",IF(IF(B488=TodayDate,TRUE,FALSE),"Today",IF(IF(Z488&gt;0,AA488&lt;Z488-0.004,FALSE),"Due - deposit not taken",IF(IF(B488&gt;TodayDate,B488&lt;=TodayDate+2,FALSE),"Confirm - coming up","OK")))))))))))</f>
        <v>0</v>
      </c>
    </row>
    <row r="489" spans="1:34">
      <c r="A489" s="28">
        <f>IF(B489="","",AppointmentPrefix&amp;TEXT(ROW()-4,"0000"))</f>
        <v>0</v>
      </c>
      <c r="C489" s="15">
        <f>IF(B489="","",TEXT(B489,"ddd"))</f>
        <v>0</v>
      </c>
      <c r="F489" s="15">
        <f>IF(E489="","",IFERROR(INDEX(Clients!$B$5:$B$504,MATCH(E489,Clients!$A$5:$A$504,0)),"Walk-in"))</f>
        <v>0</v>
      </c>
      <c r="H489" s="15">
        <f>IF(G489="","",IFERROR(INDEX(Services!$B$5:$B$204,MATCH(G489,Services!$A$5:$A$204,0)),"Not in Services"))</f>
        <v>0</v>
      </c>
      <c r="J489" s="15">
        <f>IF(I489="","",IFERROR(INDEX(Staff!$B$5:$B$44,MATCH(I489,Staff!$A$5:$A$44,0)),"Unassigned"))</f>
        <v>0</v>
      </c>
      <c r="S489" s="15">
        <f>IF(B489="","",TEXT(B489,"yyyy-mm"))</f>
        <v>0</v>
      </c>
      <c r="T489" s="25">
        <f>IF(B489="","",WEEKNUM(B489,2))</f>
        <v>0</v>
      </c>
      <c r="U489" s="25">
        <f>IF(B489="","",IF(K489&lt;&gt;"",K489,IFERROR(INDEX(Services!$E$5:$E$204,MATCH(G489,Services!$A$5:$A$204,0))*1,0)+IFERROR(INDEX(Services!$F$5:$F$204,MATCH(G489,Services!$A$5:$A$204,0))*1,0)))</f>
        <v>0</v>
      </c>
      <c r="V489" s="36">
        <f>IF(B489="","",IF(D489="","",D489+U489/1440))</f>
        <v>0</v>
      </c>
      <c r="W489" s="25">
        <f>IF(B489="","",IF(D489="","",HOUR(D489)))</f>
        <v>0</v>
      </c>
      <c r="X489" s="37">
        <f>IF(B489="","",ROUND(U489/60,2))</f>
        <v>0</v>
      </c>
      <c r="Y489" s="26">
        <f>IF(B489="","",IF(L489&lt;&gt;"",L489,IFERROR(INDEX(Services!$G$5:$G$204,MATCH(G489,Services!$A$5:$A$204,0))*1,0)))</f>
        <v>0</v>
      </c>
      <c r="Z489" s="26">
        <f>IF(B489="","",IF(O489&lt;&gt;"",O489,IF(Y489&gt;=DepositThreshold,ROUND(Y489*DepositPercent,2),0)))</f>
        <v>0</v>
      </c>
      <c r="AA489" s="26">
        <f>IF(B489="","",ROUND(SUMIFS(Payments!$G$5:$G$1204,Payments!$I$5:$I$1204,A489,Payments!$E$5:$E$1204,"Deposit"),2))</f>
        <v>0</v>
      </c>
      <c r="AB489" s="26">
        <f>IF(B489="","",ROUND(SUMIFS(Sales!$Y$5:$Y$1204,Sales!$C$5:$C$1204,A489),2))</f>
        <v>0</v>
      </c>
      <c r="AC489" s="38">
        <f>IF(B489="","",IF(M489="Completed","Yes",IF(M489="Cancelled","Yes",IF(M489="No show","Yes","No"))))</f>
        <v>0</v>
      </c>
      <c r="AD489" s="25">
        <f>IF(B489="","",IF(AE489="","",B489-AE489))</f>
        <v>0</v>
      </c>
      <c r="AF489" s="38">
        <f>IF(B489="","",IF(M489&lt;&gt;"Completed","",IF(E489="","No",IF(COUNTIFS(Appointments!$E$5:$E$1204,E489,Appointments!$B$5:$B$1204,"&gt;"&amp;B489,Appointments!$M$5:$M$1204,"&lt;&gt;Cancelled")&gt;0,"Yes","No"))))</f>
        <v>0</v>
      </c>
      <c r="AG489" s="38">
        <f>IF(B489="","",IF(I489="","",IF(D489="","",IF(COUNTIFS($I$5:$I$1204,I489,$B$5:$B$1204,B489,$D$5:$D$1204,"&lt;"&amp;V489,$V$5:$V$1204,"&gt;"&amp;D489,$M$5:$M$1204,"&lt;&gt;Cancelled")&gt;1,"Clash",""))))</f>
        <v>0</v>
      </c>
      <c r="AH489" s="39">
        <f>IF(B489="","",IF(AG489="Clash","Clash - stylist double booked",IF(I489="","Assign - no stylist yet",IF(G489="","Add - no service chosen",IF(M489="No show","No show - charge the fee?",IF(M489="Cancelled","",IF(IF(M489="Completed",AB489&lt;Y489-0.004,FALSE),"Unpaid - nothing rung up for this visit",IF(IF(B489&lt;TodayDate,M489="Booked",FALSE),"Overdue - past date, still only Booked",IF(IF(B489=TodayDate,TRUE,FALSE),"Today",IF(IF(Z489&gt;0,AA489&lt;Z489-0.004,FALSE),"Due - deposit not taken",IF(IF(B489&gt;TodayDate,B489&lt;=TodayDate+2,FALSE),"Confirm - coming up","OK")))))))))))</f>
        <v>0</v>
      </c>
    </row>
    <row r="490" spans="1:34">
      <c r="A490" s="28">
        <f>IF(B490="","",AppointmentPrefix&amp;TEXT(ROW()-4,"0000"))</f>
        <v>0</v>
      </c>
      <c r="C490" s="15">
        <f>IF(B490="","",TEXT(B490,"ddd"))</f>
        <v>0</v>
      </c>
      <c r="F490" s="15">
        <f>IF(E490="","",IFERROR(INDEX(Clients!$B$5:$B$504,MATCH(E490,Clients!$A$5:$A$504,0)),"Walk-in"))</f>
        <v>0</v>
      </c>
      <c r="H490" s="15">
        <f>IF(G490="","",IFERROR(INDEX(Services!$B$5:$B$204,MATCH(G490,Services!$A$5:$A$204,0)),"Not in Services"))</f>
        <v>0</v>
      </c>
      <c r="J490" s="15">
        <f>IF(I490="","",IFERROR(INDEX(Staff!$B$5:$B$44,MATCH(I490,Staff!$A$5:$A$44,0)),"Unassigned"))</f>
        <v>0</v>
      </c>
      <c r="S490" s="15">
        <f>IF(B490="","",TEXT(B490,"yyyy-mm"))</f>
        <v>0</v>
      </c>
      <c r="T490" s="25">
        <f>IF(B490="","",WEEKNUM(B490,2))</f>
        <v>0</v>
      </c>
      <c r="U490" s="25">
        <f>IF(B490="","",IF(K490&lt;&gt;"",K490,IFERROR(INDEX(Services!$E$5:$E$204,MATCH(G490,Services!$A$5:$A$204,0))*1,0)+IFERROR(INDEX(Services!$F$5:$F$204,MATCH(G490,Services!$A$5:$A$204,0))*1,0)))</f>
        <v>0</v>
      </c>
      <c r="V490" s="36">
        <f>IF(B490="","",IF(D490="","",D490+U490/1440))</f>
        <v>0</v>
      </c>
      <c r="W490" s="25">
        <f>IF(B490="","",IF(D490="","",HOUR(D490)))</f>
        <v>0</v>
      </c>
      <c r="X490" s="37">
        <f>IF(B490="","",ROUND(U490/60,2))</f>
        <v>0</v>
      </c>
      <c r="Y490" s="26">
        <f>IF(B490="","",IF(L490&lt;&gt;"",L490,IFERROR(INDEX(Services!$G$5:$G$204,MATCH(G490,Services!$A$5:$A$204,0))*1,0)))</f>
        <v>0</v>
      </c>
      <c r="Z490" s="26">
        <f>IF(B490="","",IF(O490&lt;&gt;"",O490,IF(Y490&gt;=DepositThreshold,ROUND(Y490*DepositPercent,2),0)))</f>
        <v>0</v>
      </c>
      <c r="AA490" s="26">
        <f>IF(B490="","",ROUND(SUMIFS(Payments!$G$5:$G$1204,Payments!$I$5:$I$1204,A490,Payments!$E$5:$E$1204,"Deposit"),2))</f>
        <v>0</v>
      </c>
      <c r="AB490" s="26">
        <f>IF(B490="","",ROUND(SUMIFS(Sales!$Y$5:$Y$1204,Sales!$C$5:$C$1204,A490),2))</f>
        <v>0</v>
      </c>
      <c r="AC490" s="38">
        <f>IF(B490="","",IF(M490="Completed","Yes",IF(M490="Cancelled","Yes",IF(M490="No show","Yes","No"))))</f>
        <v>0</v>
      </c>
      <c r="AD490" s="25">
        <f>IF(B490="","",IF(AE490="","",B490-AE490))</f>
        <v>0</v>
      </c>
      <c r="AF490" s="38">
        <f>IF(B490="","",IF(M490&lt;&gt;"Completed","",IF(E490="","No",IF(COUNTIFS(Appointments!$E$5:$E$1204,E490,Appointments!$B$5:$B$1204,"&gt;"&amp;B490,Appointments!$M$5:$M$1204,"&lt;&gt;Cancelled")&gt;0,"Yes","No"))))</f>
        <v>0</v>
      </c>
      <c r="AG490" s="38">
        <f>IF(B490="","",IF(I490="","",IF(D490="","",IF(COUNTIFS($I$5:$I$1204,I490,$B$5:$B$1204,B490,$D$5:$D$1204,"&lt;"&amp;V490,$V$5:$V$1204,"&gt;"&amp;D490,$M$5:$M$1204,"&lt;&gt;Cancelled")&gt;1,"Clash",""))))</f>
        <v>0</v>
      </c>
      <c r="AH490" s="39">
        <f>IF(B490="","",IF(AG490="Clash","Clash - stylist double booked",IF(I490="","Assign - no stylist yet",IF(G490="","Add - no service chosen",IF(M490="No show","No show - charge the fee?",IF(M490="Cancelled","",IF(IF(M490="Completed",AB490&lt;Y490-0.004,FALSE),"Unpaid - nothing rung up for this visit",IF(IF(B490&lt;TodayDate,M490="Booked",FALSE),"Overdue - past date, still only Booked",IF(IF(B490=TodayDate,TRUE,FALSE),"Today",IF(IF(Z490&gt;0,AA490&lt;Z490-0.004,FALSE),"Due - deposit not taken",IF(IF(B490&gt;TodayDate,B490&lt;=TodayDate+2,FALSE),"Confirm - coming up","OK")))))))))))</f>
        <v>0</v>
      </c>
    </row>
    <row r="491" spans="1:34">
      <c r="A491" s="28">
        <f>IF(B491="","",AppointmentPrefix&amp;TEXT(ROW()-4,"0000"))</f>
        <v>0</v>
      </c>
      <c r="C491" s="15">
        <f>IF(B491="","",TEXT(B491,"ddd"))</f>
        <v>0</v>
      </c>
      <c r="F491" s="15">
        <f>IF(E491="","",IFERROR(INDEX(Clients!$B$5:$B$504,MATCH(E491,Clients!$A$5:$A$504,0)),"Walk-in"))</f>
        <v>0</v>
      </c>
      <c r="H491" s="15">
        <f>IF(G491="","",IFERROR(INDEX(Services!$B$5:$B$204,MATCH(G491,Services!$A$5:$A$204,0)),"Not in Services"))</f>
        <v>0</v>
      </c>
      <c r="J491" s="15">
        <f>IF(I491="","",IFERROR(INDEX(Staff!$B$5:$B$44,MATCH(I491,Staff!$A$5:$A$44,0)),"Unassigned"))</f>
        <v>0</v>
      </c>
      <c r="S491" s="15">
        <f>IF(B491="","",TEXT(B491,"yyyy-mm"))</f>
        <v>0</v>
      </c>
      <c r="T491" s="25">
        <f>IF(B491="","",WEEKNUM(B491,2))</f>
        <v>0</v>
      </c>
      <c r="U491" s="25">
        <f>IF(B491="","",IF(K491&lt;&gt;"",K491,IFERROR(INDEX(Services!$E$5:$E$204,MATCH(G491,Services!$A$5:$A$204,0))*1,0)+IFERROR(INDEX(Services!$F$5:$F$204,MATCH(G491,Services!$A$5:$A$204,0))*1,0)))</f>
        <v>0</v>
      </c>
      <c r="V491" s="36">
        <f>IF(B491="","",IF(D491="","",D491+U491/1440))</f>
        <v>0</v>
      </c>
      <c r="W491" s="25">
        <f>IF(B491="","",IF(D491="","",HOUR(D491)))</f>
        <v>0</v>
      </c>
      <c r="X491" s="37">
        <f>IF(B491="","",ROUND(U491/60,2))</f>
        <v>0</v>
      </c>
      <c r="Y491" s="26">
        <f>IF(B491="","",IF(L491&lt;&gt;"",L491,IFERROR(INDEX(Services!$G$5:$G$204,MATCH(G491,Services!$A$5:$A$204,0))*1,0)))</f>
        <v>0</v>
      </c>
      <c r="Z491" s="26">
        <f>IF(B491="","",IF(O491&lt;&gt;"",O491,IF(Y491&gt;=DepositThreshold,ROUND(Y491*DepositPercent,2),0)))</f>
        <v>0</v>
      </c>
      <c r="AA491" s="26">
        <f>IF(B491="","",ROUND(SUMIFS(Payments!$G$5:$G$1204,Payments!$I$5:$I$1204,A491,Payments!$E$5:$E$1204,"Deposit"),2))</f>
        <v>0</v>
      </c>
      <c r="AB491" s="26">
        <f>IF(B491="","",ROUND(SUMIFS(Sales!$Y$5:$Y$1204,Sales!$C$5:$C$1204,A491),2))</f>
        <v>0</v>
      </c>
      <c r="AC491" s="38">
        <f>IF(B491="","",IF(M491="Completed","Yes",IF(M491="Cancelled","Yes",IF(M491="No show","Yes","No"))))</f>
        <v>0</v>
      </c>
      <c r="AD491" s="25">
        <f>IF(B491="","",IF(AE491="","",B491-AE491))</f>
        <v>0</v>
      </c>
      <c r="AF491" s="38">
        <f>IF(B491="","",IF(M491&lt;&gt;"Completed","",IF(E491="","No",IF(COUNTIFS(Appointments!$E$5:$E$1204,E491,Appointments!$B$5:$B$1204,"&gt;"&amp;B491,Appointments!$M$5:$M$1204,"&lt;&gt;Cancelled")&gt;0,"Yes","No"))))</f>
        <v>0</v>
      </c>
      <c r="AG491" s="38">
        <f>IF(B491="","",IF(I491="","",IF(D491="","",IF(COUNTIFS($I$5:$I$1204,I491,$B$5:$B$1204,B491,$D$5:$D$1204,"&lt;"&amp;V491,$V$5:$V$1204,"&gt;"&amp;D491,$M$5:$M$1204,"&lt;&gt;Cancelled")&gt;1,"Clash",""))))</f>
        <v>0</v>
      </c>
      <c r="AH491" s="39">
        <f>IF(B491="","",IF(AG491="Clash","Clash - stylist double booked",IF(I491="","Assign - no stylist yet",IF(G491="","Add - no service chosen",IF(M491="No show","No show - charge the fee?",IF(M491="Cancelled","",IF(IF(M491="Completed",AB491&lt;Y491-0.004,FALSE),"Unpaid - nothing rung up for this visit",IF(IF(B491&lt;TodayDate,M491="Booked",FALSE),"Overdue - past date, still only Booked",IF(IF(B491=TodayDate,TRUE,FALSE),"Today",IF(IF(Z491&gt;0,AA491&lt;Z491-0.004,FALSE),"Due - deposit not taken",IF(IF(B491&gt;TodayDate,B491&lt;=TodayDate+2,FALSE),"Confirm - coming up","OK")))))))))))</f>
        <v>0</v>
      </c>
    </row>
    <row r="492" spans="1:34">
      <c r="A492" s="28">
        <f>IF(B492="","",AppointmentPrefix&amp;TEXT(ROW()-4,"0000"))</f>
        <v>0</v>
      </c>
      <c r="C492" s="15">
        <f>IF(B492="","",TEXT(B492,"ddd"))</f>
        <v>0</v>
      </c>
      <c r="F492" s="15">
        <f>IF(E492="","",IFERROR(INDEX(Clients!$B$5:$B$504,MATCH(E492,Clients!$A$5:$A$504,0)),"Walk-in"))</f>
        <v>0</v>
      </c>
      <c r="H492" s="15">
        <f>IF(G492="","",IFERROR(INDEX(Services!$B$5:$B$204,MATCH(G492,Services!$A$5:$A$204,0)),"Not in Services"))</f>
        <v>0</v>
      </c>
      <c r="J492" s="15">
        <f>IF(I492="","",IFERROR(INDEX(Staff!$B$5:$B$44,MATCH(I492,Staff!$A$5:$A$44,0)),"Unassigned"))</f>
        <v>0</v>
      </c>
      <c r="S492" s="15">
        <f>IF(B492="","",TEXT(B492,"yyyy-mm"))</f>
        <v>0</v>
      </c>
      <c r="T492" s="25">
        <f>IF(B492="","",WEEKNUM(B492,2))</f>
        <v>0</v>
      </c>
      <c r="U492" s="25">
        <f>IF(B492="","",IF(K492&lt;&gt;"",K492,IFERROR(INDEX(Services!$E$5:$E$204,MATCH(G492,Services!$A$5:$A$204,0))*1,0)+IFERROR(INDEX(Services!$F$5:$F$204,MATCH(G492,Services!$A$5:$A$204,0))*1,0)))</f>
        <v>0</v>
      </c>
      <c r="V492" s="36">
        <f>IF(B492="","",IF(D492="","",D492+U492/1440))</f>
        <v>0</v>
      </c>
      <c r="W492" s="25">
        <f>IF(B492="","",IF(D492="","",HOUR(D492)))</f>
        <v>0</v>
      </c>
      <c r="X492" s="37">
        <f>IF(B492="","",ROUND(U492/60,2))</f>
        <v>0</v>
      </c>
      <c r="Y492" s="26">
        <f>IF(B492="","",IF(L492&lt;&gt;"",L492,IFERROR(INDEX(Services!$G$5:$G$204,MATCH(G492,Services!$A$5:$A$204,0))*1,0)))</f>
        <v>0</v>
      </c>
      <c r="Z492" s="26">
        <f>IF(B492="","",IF(O492&lt;&gt;"",O492,IF(Y492&gt;=DepositThreshold,ROUND(Y492*DepositPercent,2),0)))</f>
        <v>0</v>
      </c>
      <c r="AA492" s="26">
        <f>IF(B492="","",ROUND(SUMIFS(Payments!$G$5:$G$1204,Payments!$I$5:$I$1204,A492,Payments!$E$5:$E$1204,"Deposit"),2))</f>
        <v>0</v>
      </c>
      <c r="AB492" s="26">
        <f>IF(B492="","",ROUND(SUMIFS(Sales!$Y$5:$Y$1204,Sales!$C$5:$C$1204,A492),2))</f>
        <v>0</v>
      </c>
      <c r="AC492" s="38">
        <f>IF(B492="","",IF(M492="Completed","Yes",IF(M492="Cancelled","Yes",IF(M492="No show","Yes","No"))))</f>
        <v>0</v>
      </c>
      <c r="AD492" s="25">
        <f>IF(B492="","",IF(AE492="","",B492-AE492))</f>
        <v>0</v>
      </c>
      <c r="AF492" s="38">
        <f>IF(B492="","",IF(M492&lt;&gt;"Completed","",IF(E492="","No",IF(COUNTIFS(Appointments!$E$5:$E$1204,E492,Appointments!$B$5:$B$1204,"&gt;"&amp;B492,Appointments!$M$5:$M$1204,"&lt;&gt;Cancelled")&gt;0,"Yes","No"))))</f>
        <v>0</v>
      </c>
      <c r="AG492" s="38">
        <f>IF(B492="","",IF(I492="","",IF(D492="","",IF(COUNTIFS($I$5:$I$1204,I492,$B$5:$B$1204,B492,$D$5:$D$1204,"&lt;"&amp;V492,$V$5:$V$1204,"&gt;"&amp;D492,$M$5:$M$1204,"&lt;&gt;Cancelled")&gt;1,"Clash",""))))</f>
        <v>0</v>
      </c>
      <c r="AH492" s="39">
        <f>IF(B492="","",IF(AG492="Clash","Clash - stylist double booked",IF(I492="","Assign - no stylist yet",IF(G492="","Add - no service chosen",IF(M492="No show","No show - charge the fee?",IF(M492="Cancelled","",IF(IF(M492="Completed",AB492&lt;Y492-0.004,FALSE),"Unpaid - nothing rung up for this visit",IF(IF(B492&lt;TodayDate,M492="Booked",FALSE),"Overdue - past date, still only Booked",IF(IF(B492=TodayDate,TRUE,FALSE),"Today",IF(IF(Z492&gt;0,AA492&lt;Z492-0.004,FALSE),"Due - deposit not taken",IF(IF(B492&gt;TodayDate,B492&lt;=TodayDate+2,FALSE),"Confirm - coming up","OK")))))))))))</f>
        <v>0</v>
      </c>
    </row>
    <row r="493" spans="1:34">
      <c r="A493" s="28">
        <f>IF(B493="","",AppointmentPrefix&amp;TEXT(ROW()-4,"0000"))</f>
        <v>0</v>
      </c>
      <c r="C493" s="15">
        <f>IF(B493="","",TEXT(B493,"ddd"))</f>
        <v>0</v>
      </c>
      <c r="F493" s="15">
        <f>IF(E493="","",IFERROR(INDEX(Clients!$B$5:$B$504,MATCH(E493,Clients!$A$5:$A$504,0)),"Walk-in"))</f>
        <v>0</v>
      </c>
      <c r="H493" s="15">
        <f>IF(G493="","",IFERROR(INDEX(Services!$B$5:$B$204,MATCH(G493,Services!$A$5:$A$204,0)),"Not in Services"))</f>
        <v>0</v>
      </c>
      <c r="J493" s="15">
        <f>IF(I493="","",IFERROR(INDEX(Staff!$B$5:$B$44,MATCH(I493,Staff!$A$5:$A$44,0)),"Unassigned"))</f>
        <v>0</v>
      </c>
      <c r="S493" s="15">
        <f>IF(B493="","",TEXT(B493,"yyyy-mm"))</f>
        <v>0</v>
      </c>
      <c r="T493" s="25">
        <f>IF(B493="","",WEEKNUM(B493,2))</f>
        <v>0</v>
      </c>
      <c r="U493" s="25">
        <f>IF(B493="","",IF(K493&lt;&gt;"",K493,IFERROR(INDEX(Services!$E$5:$E$204,MATCH(G493,Services!$A$5:$A$204,0))*1,0)+IFERROR(INDEX(Services!$F$5:$F$204,MATCH(G493,Services!$A$5:$A$204,0))*1,0)))</f>
        <v>0</v>
      </c>
      <c r="V493" s="36">
        <f>IF(B493="","",IF(D493="","",D493+U493/1440))</f>
        <v>0</v>
      </c>
      <c r="W493" s="25">
        <f>IF(B493="","",IF(D493="","",HOUR(D493)))</f>
        <v>0</v>
      </c>
      <c r="X493" s="37">
        <f>IF(B493="","",ROUND(U493/60,2))</f>
        <v>0</v>
      </c>
      <c r="Y493" s="26">
        <f>IF(B493="","",IF(L493&lt;&gt;"",L493,IFERROR(INDEX(Services!$G$5:$G$204,MATCH(G493,Services!$A$5:$A$204,0))*1,0)))</f>
        <v>0</v>
      </c>
      <c r="Z493" s="26">
        <f>IF(B493="","",IF(O493&lt;&gt;"",O493,IF(Y493&gt;=DepositThreshold,ROUND(Y493*DepositPercent,2),0)))</f>
        <v>0</v>
      </c>
      <c r="AA493" s="26">
        <f>IF(B493="","",ROUND(SUMIFS(Payments!$G$5:$G$1204,Payments!$I$5:$I$1204,A493,Payments!$E$5:$E$1204,"Deposit"),2))</f>
        <v>0</v>
      </c>
      <c r="AB493" s="26">
        <f>IF(B493="","",ROUND(SUMIFS(Sales!$Y$5:$Y$1204,Sales!$C$5:$C$1204,A493),2))</f>
        <v>0</v>
      </c>
      <c r="AC493" s="38">
        <f>IF(B493="","",IF(M493="Completed","Yes",IF(M493="Cancelled","Yes",IF(M493="No show","Yes","No"))))</f>
        <v>0</v>
      </c>
      <c r="AD493" s="25">
        <f>IF(B493="","",IF(AE493="","",B493-AE493))</f>
        <v>0</v>
      </c>
      <c r="AF493" s="38">
        <f>IF(B493="","",IF(M493&lt;&gt;"Completed","",IF(E493="","No",IF(COUNTIFS(Appointments!$E$5:$E$1204,E493,Appointments!$B$5:$B$1204,"&gt;"&amp;B493,Appointments!$M$5:$M$1204,"&lt;&gt;Cancelled")&gt;0,"Yes","No"))))</f>
        <v>0</v>
      </c>
      <c r="AG493" s="38">
        <f>IF(B493="","",IF(I493="","",IF(D493="","",IF(COUNTIFS($I$5:$I$1204,I493,$B$5:$B$1204,B493,$D$5:$D$1204,"&lt;"&amp;V493,$V$5:$V$1204,"&gt;"&amp;D493,$M$5:$M$1204,"&lt;&gt;Cancelled")&gt;1,"Clash",""))))</f>
        <v>0</v>
      </c>
      <c r="AH493" s="39">
        <f>IF(B493="","",IF(AG493="Clash","Clash - stylist double booked",IF(I493="","Assign - no stylist yet",IF(G493="","Add - no service chosen",IF(M493="No show","No show - charge the fee?",IF(M493="Cancelled","",IF(IF(M493="Completed",AB493&lt;Y493-0.004,FALSE),"Unpaid - nothing rung up for this visit",IF(IF(B493&lt;TodayDate,M493="Booked",FALSE),"Overdue - past date, still only Booked",IF(IF(B493=TodayDate,TRUE,FALSE),"Today",IF(IF(Z493&gt;0,AA493&lt;Z493-0.004,FALSE),"Due - deposit not taken",IF(IF(B493&gt;TodayDate,B493&lt;=TodayDate+2,FALSE),"Confirm - coming up","OK")))))))))))</f>
        <v>0</v>
      </c>
    </row>
    <row r="494" spans="1:34">
      <c r="A494" s="28">
        <f>IF(B494="","",AppointmentPrefix&amp;TEXT(ROW()-4,"0000"))</f>
        <v>0</v>
      </c>
      <c r="C494" s="15">
        <f>IF(B494="","",TEXT(B494,"ddd"))</f>
        <v>0</v>
      </c>
      <c r="F494" s="15">
        <f>IF(E494="","",IFERROR(INDEX(Clients!$B$5:$B$504,MATCH(E494,Clients!$A$5:$A$504,0)),"Walk-in"))</f>
        <v>0</v>
      </c>
      <c r="H494" s="15">
        <f>IF(G494="","",IFERROR(INDEX(Services!$B$5:$B$204,MATCH(G494,Services!$A$5:$A$204,0)),"Not in Services"))</f>
        <v>0</v>
      </c>
      <c r="J494" s="15">
        <f>IF(I494="","",IFERROR(INDEX(Staff!$B$5:$B$44,MATCH(I494,Staff!$A$5:$A$44,0)),"Unassigned"))</f>
        <v>0</v>
      </c>
      <c r="S494" s="15">
        <f>IF(B494="","",TEXT(B494,"yyyy-mm"))</f>
        <v>0</v>
      </c>
      <c r="T494" s="25">
        <f>IF(B494="","",WEEKNUM(B494,2))</f>
        <v>0</v>
      </c>
      <c r="U494" s="25">
        <f>IF(B494="","",IF(K494&lt;&gt;"",K494,IFERROR(INDEX(Services!$E$5:$E$204,MATCH(G494,Services!$A$5:$A$204,0))*1,0)+IFERROR(INDEX(Services!$F$5:$F$204,MATCH(G494,Services!$A$5:$A$204,0))*1,0)))</f>
        <v>0</v>
      </c>
      <c r="V494" s="36">
        <f>IF(B494="","",IF(D494="","",D494+U494/1440))</f>
        <v>0</v>
      </c>
      <c r="W494" s="25">
        <f>IF(B494="","",IF(D494="","",HOUR(D494)))</f>
        <v>0</v>
      </c>
      <c r="X494" s="37">
        <f>IF(B494="","",ROUND(U494/60,2))</f>
        <v>0</v>
      </c>
      <c r="Y494" s="26">
        <f>IF(B494="","",IF(L494&lt;&gt;"",L494,IFERROR(INDEX(Services!$G$5:$G$204,MATCH(G494,Services!$A$5:$A$204,0))*1,0)))</f>
        <v>0</v>
      </c>
      <c r="Z494" s="26">
        <f>IF(B494="","",IF(O494&lt;&gt;"",O494,IF(Y494&gt;=DepositThreshold,ROUND(Y494*DepositPercent,2),0)))</f>
        <v>0</v>
      </c>
      <c r="AA494" s="26">
        <f>IF(B494="","",ROUND(SUMIFS(Payments!$G$5:$G$1204,Payments!$I$5:$I$1204,A494,Payments!$E$5:$E$1204,"Deposit"),2))</f>
        <v>0</v>
      </c>
      <c r="AB494" s="26">
        <f>IF(B494="","",ROUND(SUMIFS(Sales!$Y$5:$Y$1204,Sales!$C$5:$C$1204,A494),2))</f>
        <v>0</v>
      </c>
      <c r="AC494" s="38">
        <f>IF(B494="","",IF(M494="Completed","Yes",IF(M494="Cancelled","Yes",IF(M494="No show","Yes","No"))))</f>
        <v>0</v>
      </c>
      <c r="AD494" s="25">
        <f>IF(B494="","",IF(AE494="","",B494-AE494))</f>
        <v>0</v>
      </c>
      <c r="AF494" s="38">
        <f>IF(B494="","",IF(M494&lt;&gt;"Completed","",IF(E494="","No",IF(COUNTIFS(Appointments!$E$5:$E$1204,E494,Appointments!$B$5:$B$1204,"&gt;"&amp;B494,Appointments!$M$5:$M$1204,"&lt;&gt;Cancelled")&gt;0,"Yes","No"))))</f>
        <v>0</v>
      </c>
      <c r="AG494" s="38">
        <f>IF(B494="","",IF(I494="","",IF(D494="","",IF(COUNTIFS($I$5:$I$1204,I494,$B$5:$B$1204,B494,$D$5:$D$1204,"&lt;"&amp;V494,$V$5:$V$1204,"&gt;"&amp;D494,$M$5:$M$1204,"&lt;&gt;Cancelled")&gt;1,"Clash",""))))</f>
        <v>0</v>
      </c>
      <c r="AH494" s="39">
        <f>IF(B494="","",IF(AG494="Clash","Clash - stylist double booked",IF(I494="","Assign - no stylist yet",IF(G494="","Add - no service chosen",IF(M494="No show","No show - charge the fee?",IF(M494="Cancelled","",IF(IF(M494="Completed",AB494&lt;Y494-0.004,FALSE),"Unpaid - nothing rung up for this visit",IF(IF(B494&lt;TodayDate,M494="Booked",FALSE),"Overdue - past date, still only Booked",IF(IF(B494=TodayDate,TRUE,FALSE),"Today",IF(IF(Z494&gt;0,AA494&lt;Z494-0.004,FALSE),"Due - deposit not taken",IF(IF(B494&gt;TodayDate,B494&lt;=TodayDate+2,FALSE),"Confirm - coming up","OK")))))))))))</f>
        <v>0</v>
      </c>
    </row>
    <row r="495" spans="1:34">
      <c r="A495" s="28">
        <f>IF(B495="","",AppointmentPrefix&amp;TEXT(ROW()-4,"0000"))</f>
        <v>0</v>
      </c>
      <c r="C495" s="15">
        <f>IF(B495="","",TEXT(B495,"ddd"))</f>
        <v>0</v>
      </c>
      <c r="F495" s="15">
        <f>IF(E495="","",IFERROR(INDEX(Clients!$B$5:$B$504,MATCH(E495,Clients!$A$5:$A$504,0)),"Walk-in"))</f>
        <v>0</v>
      </c>
      <c r="H495" s="15">
        <f>IF(G495="","",IFERROR(INDEX(Services!$B$5:$B$204,MATCH(G495,Services!$A$5:$A$204,0)),"Not in Services"))</f>
        <v>0</v>
      </c>
      <c r="J495" s="15">
        <f>IF(I495="","",IFERROR(INDEX(Staff!$B$5:$B$44,MATCH(I495,Staff!$A$5:$A$44,0)),"Unassigned"))</f>
        <v>0</v>
      </c>
      <c r="S495" s="15">
        <f>IF(B495="","",TEXT(B495,"yyyy-mm"))</f>
        <v>0</v>
      </c>
      <c r="T495" s="25">
        <f>IF(B495="","",WEEKNUM(B495,2))</f>
        <v>0</v>
      </c>
      <c r="U495" s="25">
        <f>IF(B495="","",IF(K495&lt;&gt;"",K495,IFERROR(INDEX(Services!$E$5:$E$204,MATCH(G495,Services!$A$5:$A$204,0))*1,0)+IFERROR(INDEX(Services!$F$5:$F$204,MATCH(G495,Services!$A$5:$A$204,0))*1,0)))</f>
        <v>0</v>
      </c>
      <c r="V495" s="36">
        <f>IF(B495="","",IF(D495="","",D495+U495/1440))</f>
        <v>0</v>
      </c>
      <c r="W495" s="25">
        <f>IF(B495="","",IF(D495="","",HOUR(D495)))</f>
        <v>0</v>
      </c>
      <c r="X495" s="37">
        <f>IF(B495="","",ROUND(U495/60,2))</f>
        <v>0</v>
      </c>
      <c r="Y495" s="26">
        <f>IF(B495="","",IF(L495&lt;&gt;"",L495,IFERROR(INDEX(Services!$G$5:$G$204,MATCH(G495,Services!$A$5:$A$204,0))*1,0)))</f>
        <v>0</v>
      </c>
      <c r="Z495" s="26">
        <f>IF(B495="","",IF(O495&lt;&gt;"",O495,IF(Y495&gt;=DepositThreshold,ROUND(Y495*DepositPercent,2),0)))</f>
        <v>0</v>
      </c>
      <c r="AA495" s="26">
        <f>IF(B495="","",ROUND(SUMIFS(Payments!$G$5:$G$1204,Payments!$I$5:$I$1204,A495,Payments!$E$5:$E$1204,"Deposit"),2))</f>
        <v>0</v>
      </c>
      <c r="AB495" s="26">
        <f>IF(B495="","",ROUND(SUMIFS(Sales!$Y$5:$Y$1204,Sales!$C$5:$C$1204,A495),2))</f>
        <v>0</v>
      </c>
      <c r="AC495" s="38">
        <f>IF(B495="","",IF(M495="Completed","Yes",IF(M495="Cancelled","Yes",IF(M495="No show","Yes","No"))))</f>
        <v>0</v>
      </c>
      <c r="AD495" s="25">
        <f>IF(B495="","",IF(AE495="","",B495-AE495))</f>
        <v>0</v>
      </c>
      <c r="AF495" s="38">
        <f>IF(B495="","",IF(M495&lt;&gt;"Completed","",IF(E495="","No",IF(COUNTIFS(Appointments!$E$5:$E$1204,E495,Appointments!$B$5:$B$1204,"&gt;"&amp;B495,Appointments!$M$5:$M$1204,"&lt;&gt;Cancelled")&gt;0,"Yes","No"))))</f>
        <v>0</v>
      </c>
      <c r="AG495" s="38">
        <f>IF(B495="","",IF(I495="","",IF(D495="","",IF(COUNTIFS($I$5:$I$1204,I495,$B$5:$B$1204,B495,$D$5:$D$1204,"&lt;"&amp;V495,$V$5:$V$1204,"&gt;"&amp;D495,$M$5:$M$1204,"&lt;&gt;Cancelled")&gt;1,"Clash",""))))</f>
        <v>0</v>
      </c>
      <c r="AH495" s="39">
        <f>IF(B495="","",IF(AG495="Clash","Clash - stylist double booked",IF(I495="","Assign - no stylist yet",IF(G495="","Add - no service chosen",IF(M495="No show","No show - charge the fee?",IF(M495="Cancelled","",IF(IF(M495="Completed",AB495&lt;Y495-0.004,FALSE),"Unpaid - nothing rung up for this visit",IF(IF(B495&lt;TodayDate,M495="Booked",FALSE),"Overdue - past date, still only Booked",IF(IF(B495=TodayDate,TRUE,FALSE),"Today",IF(IF(Z495&gt;0,AA495&lt;Z495-0.004,FALSE),"Due - deposit not taken",IF(IF(B495&gt;TodayDate,B495&lt;=TodayDate+2,FALSE),"Confirm - coming up","OK")))))))))))</f>
        <v>0</v>
      </c>
    </row>
    <row r="496" spans="1:34">
      <c r="A496" s="28">
        <f>IF(B496="","",AppointmentPrefix&amp;TEXT(ROW()-4,"0000"))</f>
        <v>0</v>
      </c>
      <c r="C496" s="15">
        <f>IF(B496="","",TEXT(B496,"ddd"))</f>
        <v>0</v>
      </c>
      <c r="F496" s="15">
        <f>IF(E496="","",IFERROR(INDEX(Clients!$B$5:$B$504,MATCH(E496,Clients!$A$5:$A$504,0)),"Walk-in"))</f>
        <v>0</v>
      </c>
      <c r="H496" s="15">
        <f>IF(G496="","",IFERROR(INDEX(Services!$B$5:$B$204,MATCH(G496,Services!$A$5:$A$204,0)),"Not in Services"))</f>
        <v>0</v>
      </c>
      <c r="J496" s="15">
        <f>IF(I496="","",IFERROR(INDEX(Staff!$B$5:$B$44,MATCH(I496,Staff!$A$5:$A$44,0)),"Unassigned"))</f>
        <v>0</v>
      </c>
      <c r="S496" s="15">
        <f>IF(B496="","",TEXT(B496,"yyyy-mm"))</f>
        <v>0</v>
      </c>
      <c r="T496" s="25">
        <f>IF(B496="","",WEEKNUM(B496,2))</f>
        <v>0</v>
      </c>
      <c r="U496" s="25">
        <f>IF(B496="","",IF(K496&lt;&gt;"",K496,IFERROR(INDEX(Services!$E$5:$E$204,MATCH(G496,Services!$A$5:$A$204,0))*1,0)+IFERROR(INDEX(Services!$F$5:$F$204,MATCH(G496,Services!$A$5:$A$204,0))*1,0)))</f>
        <v>0</v>
      </c>
      <c r="V496" s="36">
        <f>IF(B496="","",IF(D496="","",D496+U496/1440))</f>
        <v>0</v>
      </c>
      <c r="W496" s="25">
        <f>IF(B496="","",IF(D496="","",HOUR(D496)))</f>
        <v>0</v>
      </c>
      <c r="X496" s="37">
        <f>IF(B496="","",ROUND(U496/60,2))</f>
        <v>0</v>
      </c>
      <c r="Y496" s="26">
        <f>IF(B496="","",IF(L496&lt;&gt;"",L496,IFERROR(INDEX(Services!$G$5:$G$204,MATCH(G496,Services!$A$5:$A$204,0))*1,0)))</f>
        <v>0</v>
      </c>
      <c r="Z496" s="26">
        <f>IF(B496="","",IF(O496&lt;&gt;"",O496,IF(Y496&gt;=DepositThreshold,ROUND(Y496*DepositPercent,2),0)))</f>
        <v>0</v>
      </c>
      <c r="AA496" s="26">
        <f>IF(B496="","",ROUND(SUMIFS(Payments!$G$5:$G$1204,Payments!$I$5:$I$1204,A496,Payments!$E$5:$E$1204,"Deposit"),2))</f>
        <v>0</v>
      </c>
      <c r="AB496" s="26">
        <f>IF(B496="","",ROUND(SUMIFS(Sales!$Y$5:$Y$1204,Sales!$C$5:$C$1204,A496),2))</f>
        <v>0</v>
      </c>
      <c r="AC496" s="38">
        <f>IF(B496="","",IF(M496="Completed","Yes",IF(M496="Cancelled","Yes",IF(M496="No show","Yes","No"))))</f>
        <v>0</v>
      </c>
      <c r="AD496" s="25">
        <f>IF(B496="","",IF(AE496="","",B496-AE496))</f>
        <v>0</v>
      </c>
      <c r="AF496" s="38">
        <f>IF(B496="","",IF(M496&lt;&gt;"Completed","",IF(E496="","No",IF(COUNTIFS(Appointments!$E$5:$E$1204,E496,Appointments!$B$5:$B$1204,"&gt;"&amp;B496,Appointments!$M$5:$M$1204,"&lt;&gt;Cancelled")&gt;0,"Yes","No"))))</f>
        <v>0</v>
      </c>
      <c r="AG496" s="38">
        <f>IF(B496="","",IF(I496="","",IF(D496="","",IF(COUNTIFS($I$5:$I$1204,I496,$B$5:$B$1204,B496,$D$5:$D$1204,"&lt;"&amp;V496,$V$5:$V$1204,"&gt;"&amp;D496,$M$5:$M$1204,"&lt;&gt;Cancelled")&gt;1,"Clash",""))))</f>
        <v>0</v>
      </c>
      <c r="AH496" s="39">
        <f>IF(B496="","",IF(AG496="Clash","Clash - stylist double booked",IF(I496="","Assign - no stylist yet",IF(G496="","Add - no service chosen",IF(M496="No show","No show - charge the fee?",IF(M496="Cancelled","",IF(IF(M496="Completed",AB496&lt;Y496-0.004,FALSE),"Unpaid - nothing rung up for this visit",IF(IF(B496&lt;TodayDate,M496="Booked",FALSE),"Overdue - past date, still only Booked",IF(IF(B496=TodayDate,TRUE,FALSE),"Today",IF(IF(Z496&gt;0,AA496&lt;Z496-0.004,FALSE),"Due - deposit not taken",IF(IF(B496&gt;TodayDate,B496&lt;=TodayDate+2,FALSE),"Confirm - coming up","OK")))))))))))</f>
        <v>0</v>
      </c>
    </row>
    <row r="497" spans="1:34">
      <c r="A497" s="28">
        <f>IF(B497="","",AppointmentPrefix&amp;TEXT(ROW()-4,"0000"))</f>
        <v>0</v>
      </c>
      <c r="C497" s="15">
        <f>IF(B497="","",TEXT(B497,"ddd"))</f>
        <v>0</v>
      </c>
      <c r="F497" s="15">
        <f>IF(E497="","",IFERROR(INDEX(Clients!$B$5:$B$504,MATCH(E497,Clients!$A$5:$A$504,0)),"Walk-in"))</f>
        <v>0</v>
      </c>
      <c r="H497" s="15">
        <f>IF(G497="","",IFERROR(INDEX(Services!$B$5:$B$204,MATCH(G497,Services!$A$5:$A$204,0)),"Not in Services"))</f>
        <v>0</v>
      </c>
      <c r="J497" s="15">
        <f>IF(I497="","",IFERROR(INDEX(Staff!$B$5:$B$44,MATCH(I497,Staff!$A$5:$A$44,0)),"Unassigned"))</f>
        <v>0</v>
      </c>
      <c r="S497" s="15">
        <f>IF(B497="","",TEXT(B497,"yyyy-mm"))</f>
        <v>0</v>
      </c>
      <c r="T497" s="25">
        <f>IF(B497="","",WEEKNUM(B497,2))</f>
        <v>0</v>
      </c>
      <c r="U497" s="25">
        <f>IF(B497="","",IF(K497&lt;&gt;"",K497,IFERROR(INDEX(Services!$E$5:$E$204,MATCH(G497,Services!$A$5:$A$204,0))*1,0)+IFERROR(INDEX(Services!$F$5:$F$204,MATCH(G497,Services!$A$5:$A$204,0))*1,0)))</f>
        <v>0</v>
      </c>
      <c r="V497" s="36">
        <f>IF(B497="","",IF(D497="","",D497+U497/1440))</f>
        <v>0</v>
      </c>
      <c r="W497" s="25">
        <f>IF(B497="","",IF(D497="","",HOUR(D497)))</f>
        <v>0</v>
      </c>
      <c r="X497" s="37">
        <f>IF(B497="","",ROUND(U497/60,2))</f>
        <v>0</v>
      </c>
      <c r="Y497" s="26">
        <f>IF(B497="","",IF(L497&lt;&gt;"",L497,IFERROR(INDEX(Services!$G$5:$G$204,MATCH(G497,Services!$A$5:$A$204,0))*1,0)))</f>
        <v>0</v>
      </c>
      <c r="Z497" s="26">
        <f>IF(B497="","",IF(O497&lt;&gt;"",O497,IF(Y497&gt;=DepositThreshold,ROUND(Y497*DepositPercent,2),0)))</f>
        <v>0</v>
      </c>
      <c r="AA497" s="26">
        <f>IF(B497="","",ROUND(SUMIFS(Payments!$G$5:$G$1204,Payments!$I$5:$I$1204,A497,Payments!$E$5:$E$1204,"Deposit"),2))</f>
        <v>0</v>
      </c>
      <c r="AB497" s="26">
        <f>IF(B497="","",ROUND(SUMIFS(Sales!$Y$5:$Y$1204,Sales!$C$5:$C$1204,A497),2))</f>
        <v>0</v>
      </c>
      <c r="AC497" s="38">
        <f>IF(B497="","",IF(M497="Completed","Yes",IF(M497="Cancelled","Yes",IF(M497="No show","Yes","No"))))</f>
        <v>0</v>
      </c>
      <c r="AD497" s="25">
        <f>IF(B497="","",IF(AE497="","",B497-AE497))</f>
        <v>0</v>
      </c>
      <c r="AF497" s="38">
        <f>IF(B497="","",IF(M497&lt;&gt;"Completed","",IF(E497="","No",IF(COUNTIFS(Appointments!$E$5:$E$1204,E497,Appointments!$B$5:$B$1204,"&gt;"&amp;B497,Appointments!$M$5:$M$1204,"&lt;&gt;Cancelled")&gt;0,"Yes","No"))))</f>
        <v>0</v>
      </c>
      <c r="AG497" s="38">
        <f>IF(B497="","",IF(I497="","",IF(D497="","",IF(COUNTIFS($I$5:$I$1204,I497,$B$5:$B$1204,B497,$D$5:$D$1204,"&lt;"&amp;V497,$V$5:$V$1204,"&gt;"&amp;D497,$M$5:$M$1204,"&lt;&gt;Cancelled")&gt;1,"Clash",""))))</f>
        <v>0</v>
      </c>
      <c r="AH497" s="39">
        <f>IF(B497="","",IF(AG497="Clash","Clash - stylist double booked",IF(I497="","Assign - no stylist yet",IF(G497="","Add - no service chosen",IF(M497="No show","No show - charge the fee?",IF(M497="Cancelled","",IF(IF(M497="Completed",AB497&lt;Y497-0.004,FALSE),"Unpaid - nothing rung up for this visit",IF(IF(B497&lt;TodayDate,M497="Booked",FALSE),"Overdue - past date, still only Booked",IF(IF(B497=TodayDate,TRUE,FALSE),"Today",IF(IF(Z497&gt;0,AA497&lt;Z497-0.004,FALSE),"Due - deposit not taken",IF(IF(B497&gt;TodayDate,B497&lt;=TodayDate+2,FALSE),"Confirm - coming up","OK")))))))))))</f>
        <v>0</v>
      </c>
    </row>
    <row r="498" spans="1:34">
      <c r="A498" s="28">
        <f>IF(B498="","",AppointmentPrefix&amp;TEXT(ROW()-4,"0000"))</f>
        <v>0</v>
      </c>
      <c r="C498" s="15">
        <f>IF(B498="","",TEXT(B498,"ddd"))</f>
        <v>0</v>
      </c>
      <c r="F498" s="15">
        <f>IF(E498="","",IFERROR(INDEX(Clients!$B$5:$B$504,MATCH(E498,Clients!$A$5:$A$504,0)),"Walk-in"))</f>
        <v>0</v>
      </c>
      <c r="H498" s="15">
        <f>IF(G498="","",IFERROR(INDEX(Services!$B$5:$B$204,MATCH(G498,Services!$A$5:$A$204,0)),"Not in Services"))</f>
        <v>0</v>
      </c>
      <c r="J498" s="15">
        <f>IF(I498="","",IFERROR(INDEX(Staff!$B$5:$B$44,MATCH(I498,Staff!$A$5:$A$44,0)),"Unassigned"))</f>
        <v>0</v>
      </c>
      <c r="S498" s="15">
        <f>IF(B498="","",TEXT(B498,"yyyy-mm"))</f>
        <v>0</v>
      </c>
      <c r="T498" s="25">
        <f>IF(B498="","",WEEKNUM(B498,2))</f>
        <v>0</v>
      </c>
      <c r="U498" s="25">
        <f>IF(B498="","",IF(K498&lt;&gt;"",K498,IFERROR(INDEX(Services!$E$5:$E$204,MATCH(G498,Services!$A$5:$A$204,0))*1,0)+IFERROR(INDEX(Services!$F$5:$F$204,MATCH(G498,Services!$A$5:$A$204,0))*1,0)))</f>
        <v>0</v>
      </c>
      <c r="V498" s="36">
        <f>IF(B498="","",IF(D498="","",D498+U498/1440))</f>
        <v>0</v>
      </c>
      <c r="W498" s="25">
        <f>IF(B498="","",IF(D498="","",HOUR(D498)))</f>
        <v>0</v>
      </c>
      <c r="X498" s="37">
        <f>IF(B498="","",ROUND(U498/60,2))</f>
        <v>0</v>
      </c>
      <c r="Y498" s="26">
        <f>IF(B498="","",IF(L498&lt;&gt;"",L498,IFERROR(INDEX(Services!$G$5:$G$204,MATCH(G498,Services!$A$5:$A$204,0))*1,0)))</f>
        <v>0</v>
      </c>
      <c r="Z498" s="26">
        <f>IF(B498="","",IF(O498&lt;&gt;"",O498,IF(Y498&gt;=DepositThreshold,ROUND(Y498*DepositPercent,2),0)))</f>
        <v>0</v>
      </c>
      <c r="AA498" s="26">
        <f>IF(B498="","",ROUND(SUMIFS(Payments!$G$5:$G$1204,Payments!$I$5:$I$1204,A498,Payments!$E$5:$E$1204,"Deposit"),2))</f>
        <v>0</v>
      </c>
      <c r="AB498" s="26">
        <f>IF(B498="","",ROUND(SUMIFS(Sales!$Y$5:$Y$1204,Sales!$C$5:$C$1204,A498),2))</f>
        <v>0</v>
      </c>
      <c r="AC498" s="38">
        <f>IF(B498="","",IF(M498="Completed","Yes",IF(M498="Cancelled","Yes",IF(M498="No show","Yes","No"))))</f>
        <v>0</v>
      </c>
      <c r="AD498" s="25">
        <f>IF(B498="","",IF(AE498="","",B498-AE498))</f>
        <v>0</v>
      </c>
      <c r="AF498" s="38">
        <f>IF(B498="","",IF(M498&lt;&gt;"Completed","",IF(E498="","No",IF(COUNTIFS(Appointments!$E$5:$E$1204,E498,Appointments!$B$5:$B$1204,"&gt;"&amp;B498,Appointments!$M$5:$M$1204,"&lt;&gt;Cancelled")&gt;0,"Yes","No"))))</f>
        <v>0</v>
      </c>
      <c r="AG498" s="38">
        <f>IF(B498="","",IF(I498="","",IF(D498="","",IF(COUNTIFS($I$5:$I$1204,I498,$B$5:$B$1204,B498,$D$5:$D$1204,"&lt;"&amp;V498,$V$5:$V$1204,"&gt;"&amp;D498,$M$5:$M$1204,"&lt;&gt;Cancelled")&gt;1,"Clash",""))))</f>
        <v>0</v>
      </c>
      <c r="AH498" s="39">
        <f>IF(B498="","",IF(AG498="Clash","Clash - stylist double booked",IF(I498="","Assign - no stylist yet",IF(G498="","Add - no service chosen",IF(M498="No show","No show - charge the fee?",IF(M498="Cancelled","",IF(IF(M498="Completed",AB498&lt;Y498-0.004,FALSE),"Unpaid - nothing rung up for this visit",IF(IF(B498&lt;TodayDate,M498="Booked",FALSE),"Overdue - past date, still only Booked",IF(IF(B498=TodayDate,TRUE,FALSE),"Today",IF(IF(Z498&gt;0,AA498&lt;Z498-0.004,FALSE),"Due - deposit not taken",IF(IF(B498&gt;TodayDate,B498&lt;=TodayDate+2,FALSE),"Confirm - coming up","OK")))))))))))</f>
        <v>0</v>
      </c>
    </row>
    <row r="499" spans="1:34">
      <c r="A499" s="28">
        <f>IF(B499="","",AppointmentPrefix&amp;TEXT(ROW()-4,"0000"))</f>
        <v>0</v>
      </c>
      <c r="C499" s="15">
        <f>IF(B499="","",TEXT(B499,"ddd"))</f>
        <v>0</v>
      </c>
      <c r="F499" s="15">
        <f>IF(E499="","",IFERROR(INDEX(Clients!$B$5:$B$504,MATCH(E499,Clients!$A$5:$A$504,0)),"Walk-in"))</f>
        <v>0</v>
      </c>
      <c r="H499" s="15">
        <f>IF(G499="","",IFERROR(INDEX(Services!$B$5:$B$204,MATCH(G499,Services!$A$5:$A$204,0)),"Not in Services"))</f>
        <v>0</v>
      </c>
      <c r="J499" s="15">
        <f>IF(I499="","",IFERROR(INDEX(Staff!$B$5:$B$44,MATCH(I499,Staff!$A$5:$A$44,0)),"Unassigned"))</f>
        <v>0</v>
      </c>
      <c r="S499" s="15">
        <f>IF(B499="","",TEXT(B499,"yyyy-mm"))</f>
        <v>0</v>
      </c>
      <c r="T499" s="25">
        <f>IF(B499="","",WEEKNUM(B499,2))</f>
        <v>0</v>
      </c>
      <c r="U499" s="25">
        <f>IF(B499="","",IF(K499&lt;&gt;"",K499,IFERROR(INDEX(Services!$E$5:$E$204,MATCH(G499,Services!$A$5:$A$204,0))*1,0)+IFERROR(INDEX(Services!$F$5:$F$204,MATCH(G499,Services!$A$5:$A$204,0))*1,0)))</f>
        <v>0</v>
      </c>
      <c r="V499" s="36">
        <f>IF(B499="","",IF(D499="","",D499+U499/1440))</f>
        <v>0</v>
      </c>
      <c r="W499" s="25">
        <f>IF(B499="","",IF(D499="","",HOUR(D499)))</f>
        <v>0</v>
      </c>
      <c r="X499" s="37">
        <f>IF(B499="","",ROUND(U499/60,2))</f>
        <v>0</v>
      </c>
      <c r="Y499" s="26">
        <f>IF(B499="","",IF(L499&lt;&gt;"",L499,IFERROR(INDEX(Services!$G$5:$G$204,MATCH(G499,Services!$A$5:$A$204,0))*1,0)))</f>
        <v>0</v>
      </c>
      <c r="Z499" s="26">
        <f>IF(B499="","",IF(O499&lt;&gt;"",O499,IF(Y499&gt;=DepositThreshold,ROUND(Y499*DepositPercent,2),0)))</f>
        <v>0</v>
      </c>
      <c r="AA499" s="26">
        <f>IF(B499="","",ROUND(SUMIFS(Payments!$G$5:$G$1204,Payments!$I$5:$I$1204,A499,Payments!$E$5:$E$1204,"Deposit"),2))</f>
        <v>0</v>
      </c>
      <c r="AB499" s="26">
        <f>IF(B499="","",ROUND(SUMIFS(Sales!$Y$5:$Y$1204,Sales!$C$5:$C$1204,A499),2))</f>
        <v>0</v>
      </c>
      <c r="AC499" s="38">
        <f>IF(B499="","",IF(M499="Completed","Yes",IF(M499="Cancelled","Yes",IF(M499="No show","Yes","No"))))</f>
        <v>0</v>
      </c>
      <c r="AD499" s="25">
        <f>IF(B499="","",IF(AE499="","",B499-AE499))</f>
        <v>0</v>
      </c>
      <c r="AF499" s="38">
        <f>IF(B499="","",IF(M499&lt;&gt;"Completed","",IF(E499="","No",IF(COUNTIFS(Appointments!$E$5:$E$1204,E499,Appointments!$B$5:$B$1204,"&gt;"&amp;B499,Appointments!$M$5:$M$1204,"&lt;&gt;Cancelled")&gt;0,"Yes","No"))))</f>
        <v>0</v>
      </c>
      <c r="AG499" s="38">
        <f>IF(B499="","",IF(I499="","",IF(D499="","",IF(COUNTIFS($I$5:$I$1204,I499,$B$5:$B$1204,B499,$D$5:$D$1204,"&lt;"&amp;V499,$V$5:$V$1204,"&gt;"&amp;D499,$M$5:$M$1204,"&lt;&gt;Cancelled")&gt;1,"Clash",""))))</f>
        <v>0</v>
      </c>
      <c r="AH499" s="39">
        <f>IF(B499="","",IF(AG499="Clash","Clash - stylist double booked",IF(I499="","Assign - no stylist yet",IF(G499="","Add - no service chosen",IF(M499="No show","No show - charge the fee?",IF(M499="Cancelled","",IF(IF(M499="Completed",AB499&lt;Y499-0.004,FALSE),"Unpaid - nothing rung up for this visit",IF(IF(B499&lt;TodayDate,M499="Booked",FALSE),"Overdue - past date, still only Booked",IF(IF(B499=TodayDate,TRUE,FALSE),"Today",IF(IF(Z499&gt;0,AA499&lt;Z499-0.004,FALSE),"Due - deposit not taken",IF(IF(B499&gt;TodayDate,B499&lt;=TodayDate+2,FALSE),"Confirm - coming up","OK")))))))))))</f>
        <v>0</v>
      </c>
    </row>
    <row r="500" spans="1:34">
      <c r="A500" s="28">
        <f>IF(B500="","",AppointmentPrefix&amp;TEXT(ROW()-4,"0000"))</f>
        <v>0</v>
      </c>
      <c r="C500" s="15">
        <f>IF(B500="","",TEXT(B500,"ddd"))</f>
        <v>0</v>
      </c>
      <c r="F500" s="15">
        <f>IF(E500="","",IFERROR(INDEX(Clients!$B$5:$B$504,MATCH(E500,Clients!$A$5:$A$504,0)),"Walk-in"))</f>
        <v>0</v>
      </c>
      <c r="H500" s="15">
        <f>IF(G500="","",IFERROR(INDEX(Services!$B$5:$B$204,MATCH(G500,Services!$A$5:$A$204,0)),"Not in Services"))</f>
        <v>0</v>
      </c>
      <c r="J500" s="15">
        <f>IF(I500="","",IFERROR(INDEX(Staff!$B$5:$B$44,MATCH(I500,Staff!$A$5:$A$44,0)),"Unassigned"))</f>
        <v>0</v>
      </c>
      <c r="S500" s="15">
        <f>IF(B500="","",TEXT(B500,"yyyy-mm"))</f>
        <v>0</v>
      </c>
      <c r="T500" s="25">
        <f>IF(B500="","",WEEKNUM(B500,2))</f>
        <v>0</v>
      </c>
      <c r="U500" s="25">
        <f>IF(B500="","",IF(K500&lt;&gt;"",K500,IFERROR(INDEX(Services!$E$5:$E$204,MATCH(G500,Services!$A$5:$A$204,0))*1,0)+IFERROR(INDEX(Services!$F$5:$F$204,MATCH(G500,Services!$A$5:$A$204,0))*1,0)))</f>
        <v>0</v>
      </c>
      <c r="V500" s="36">
        <f>IF(B500="","",IF(D500="","",D500+U500/1440))</f>
        <v>0</v>
      </c>
      <c r="W500" s="25">
        <f>IF(B500="","",IF(D500="","",HOUR(D500)))</f>
        <v>0</v>
      </c>
      <c r="X500" s="37">
        <f>IF(B500="","",ROUND(U500/60,2))</f>
        <v>0</v>
      </c>
      <c r="Y500" s="26">
        <f>IF(B500="","",IF(L500&lt;&gt;"",L500,IFERROR(INDEX(Services!$G$5:$G$204,MATCH(G500,Services!$A$5:$A$204,0))*1,0)))</f>
        <v>0</v>
      </c>
      <c r="Z500" s="26">
        <f>IF(B500="","",IF(O500&lt;&gt;"",O500,IF(Y500&gt;=DepositThreshold,ROUND(Y500*DepositPercent,2),0)))</f>
        <v>0</v>
      </c>
      <c r="AA500" s="26">
        <f>IF(B500="","",ROUND(SUMIFS(Payments!$G$5:$G$1204,Payments!$I$5:$I$1204,A500,Payments!$E$5:$E$1204,"Deposit"),2))</f>
        <v>0</v>
      </c>
      <c r="AB500" s="26">
        <f>IF(B500="","",ROUND(SUMIFS(Sales!$Y$5:$Y$1204,Sales!$C$5:$C$1204,A500),2))</f>
        <v>0</v>
      </c>
      <c r="AC500" s="38">
        <f>IF(B500="","",IF(M500="Completed","Yes",IF(M500="Cancelled","Yes",IF(M500="No show","Yes","No"))))</f>
        <v>0</v>
      </c>
      <c r="AD500" s="25">
        <f>IF(B500="","",IF(AE500="","",B500-AE500))</f>
        <v>0</v>
      </c>
      <c r="AF500" s="38">
        <f>IF(B500="","",IF(M500&lt;&gt;"Completed","",IF(E500="","No",IF(COUNTIFS(Appointments!$E$5:$E$1204,E500,Appointments!$B$5:$B$1204,"&gt;"&amp;B500,Appointments!$M$5:$M$1204,"&lt;&gt;Cancelled")&gt;0,"Yes","No"))))</f>
        <v>0</v>
      </c>
      <c r="AG500" s="38">
        <f>IF(B500="","",IF(I500="","",IF(D500="","",IF(COUNTIFS($I$5:$I$1204,I500,$B$5:$B$1204,B500,$D$5:$D$1204,"&lt;"&amp;V500,$V$5:$V$1204,"&gt;"&amp;D500,$M$5:$M$1204,"&lt;&gt;Cancelled")&gt;1,"Clash",""))))</f>
        <v>0</v>
      </c>
      <c r="AH500" s="39">
        <f>IF(B500="","",IF(AG500="Clash","Clash - stylist double booked",IF(I500="","Assign - no stylist yet",IF(G500="","Add - no service chosen",IF(M500="No show","No show - charge the fee?",IF(M500="Cancelled","",IF(IF(M500="Completed",AB500&lt;Y500-0.004,FALSE),"Unpaid - nothing rung up for this visit",IF(IF(B500&lt;TodayDate,M500="Booked",FALSE),"Overdue - past date, still only Booked",IF(IF(B500=TodayDate,TRUE,FALSE),"Today",IF(IF(Z500&gt;0,AA500&lt;Z500-0.004,FALSE),"Due - deposit not taken",IF(IF(B500&gt;TodayDate,B500&lt;=TodayDate+2,FALSE),"Confirm - coming up","OK")))))))))))</f>
        <v>0</v>
      </c>
    </row>
    <row r="501" spans="1:34">
      <c r="A501" s="28">
        <f>IF(B501="","",AppointmentPrefix&amp;TEXT(ROW()-4,"0000"))</f>
        <v>0</v>
      </c>
      <c r="C501" s="15">
        <f>IF(B501="","",TEXT(B501,"ddd"))</f>
        <v>0</v>
      </c>
      <c r="F501" s="15">
        <f>IF(E501="","",IFERROR(INDEX(Clients!$B$5:$B$504,MATCH(E501,Clients!$A$5:$A$504,0)),"Walk-in"))</f>
        <v>0</v>
      </c>
      <c r="H501" s="15">
        <f>IF(G501="","",IFERROR(INDEX(Services!$B$5:$B$204,MATCH(G501,Services!$A$5:$A$204,0)),"Not in Services"))</f>
        <v>0</v>
      </c>
      <c r="J501" s="15">
        <f>IF(I501="","",IFERROR(INDEX(Staff!$B$5:$B$44,MATCH(I501,Staff!$A$5:$A$44,0)),"Unassigned"))</f>
        <v>0</v>
      </c>
      <c r="S501" s="15">
        <f>IF(B501="","",TEXT(B501,"yyyy-mm"))</f>
        <v>0</v>
      </c>
      <c r="T501" s="25">
        <f>IF(B501="","",WEEKNUM(B501,2))</f>
        <v>0</v>
      </c>
      <c r="U501" s="25">
        <f>IF(B501="","",IF(K501&lt;&gt;"",K501,IFERROR(INDEX(Services!$E$5:$E$204,MATCH(G501,Services!$A$5:$A$204,0))*1,0)+IFERROR(INDEX(Services!$F$5:$F$204,MATCH(G501,Services!$A$5:$A$204,0))*1,0)))</f>
        <v>0</v>
      </c>
      <c r="V501" s="36">
        <f>IF(B501="","",IF(D501="","",D501+U501/1440))</f>
        <v>0</v>
      </c>
      <c r="W501" s="25">
        <f>IF(B501="","",IF(D501="","",HOUR(D501)))</f>
        <v>0</v>
      </c>
      <c r="X501" s="37">
        <f>IF(B501="","",ROUND(U501/60,2))</f>
        <v>0</v>
      </c>
      <c r="Y501" s="26">
        <f>IF(B501="","",IF(L501&lt;&gt;"",L501,IFERROR(INDEX(Services!$G$5:$G$204,MATCH(G501,Services!$A$5:$A$204,0))*1,0)))</f>
        <v>0</v>
      </c>
      <c r="Z501" s="26">
        <f>IF(B501="","",IF(O501&lt;&gt;"",O501,IF(Y501&gt;=DepositThreshold,ROUND(Y501*DepositPercent,2),0)))</f>
        <v>0</v>
      </c>
      <c r="AA501" s="26">
        <f>IF(B501="","",ROUND(SUMIFS(Payments!$G$5:$G$1204,Payments!$I$5:$I$1204,A501,Payments!$E$5:$E$1204,"Deposit"),2))</f>
        <v>0</v>
      </c>
      <c r="AB501" s="26">
        <f>IF(B501="","",ROUND(SUMIFS(Sales!$Y$5:$Y$1204,Sales!$C$5:$C$1204,A501),2))</f>
        <v>0</v>
      </c>
      <c r="AC501" s="38">
        <f>IF(B501="","",IF(M501="Completed","Yes",IF(M501="Cancelled","Yes",IF(M501="No show","Yes","No"))))</f>
        <v>0</v>
      </c>
      <c r="AD501" s="25">
        <f>IF(B501="","",IF(AE501="","",B501-AE501))</f>
        <v>0</v>
      </c>
      <c r="AF501" s="38">
        <f>IF(B501="","",IF(M501&lt;&gt;"Completed","",IF(E501="","No",IF(COUNTIFS(Appointments!$E$5:$E$1204,E501,Appointments!$B$5:$B$1204,"&gt;"&amp;B501,Appointments!$M$5:$M$1204,"&lt;&gt;Cancelled")&gt;0,"Yes","No"))))</f>
        <v>0</v>
      </c>
      <c r="AG501" s="38">
        <f>IF(B501="","",IF(I501="","",IF(D501="","",IF(COUNTIFS($I$5:$I$1204,I501,$B$5:$B$1204,B501,$D$5:$D$1204,"&lt;"&amp;V501,$V$5:$V$1204,"&gt;"&amp;D501,$M$5:$M$1204,"&lt;&gt;Cancelled")&gt;1,"Clash",""))))</f>
        <v>0</v>
      </c>
      <c r="AH501" s="39">
        <f>IF(B501="","",IF(AG501="Clash","Clash - stylist double booked",IF(I501="","Assign - no stylist yet",IF(G501="","Add - no service chosen",IF(M501="No show","No show - charge the fee?",IF(M501="Cancelled","",IF(IF(M501="Completed",AB501&lt;Y501-0.004,FALSE),"Unpaid - nothing rung up for this visit",IF(IF(B501&lt;TodayDate,M501="Booked",FALSE),"Overdue - past date, still only Booked",IF(IF(B501=TodayDate,TRUE,FALSE),"Today",IF(IF(Z501&gt;0,AA501&lt;Z501-0.004,FALSE),"Due - deposit not taken",IF(IF(B501&gt;TodayDate,B501&lt;=TodayDate+2,FALSE),"Confirm - coming up","OK")))))))))))</f>
        <v>0</v>
      </c>
    </row>
    <row r="502" spans="1:34">
      <c r="A502" s="28">
        <f>IF(B502="","",AppointmentPrefix&amp;TEXT(ROW()-4,"0000"))</f>
        <v>0</v>
      </c>
      <c r="C502" s="15">
        <f>IF(B502="","",TEXT(B502,"ddd"))</f>
        <v>0</v>
      </c>
      <c r="F502" s="15">
        <f>IF(E502="","",IFERROR(INDEX(Clients!$B$5:$B$504,MATCH(E502,Clients!$A$5:$A$504,0)),"Walk-in"))</f>
        <v>0</v>
      </c>
      <c r="H502" s="15">
        <f>IF(G502="","",IFERROR(INDEX(Services!$B$5:$B$204,MATCH(G502,Services!$A$5:$A$204,0)),"Not in Services"))</f>
        <v>0</v>
      </c>
      <c r="J502" s="15">
        <f>IF(I502="","",IFERROR(INDEX(Staff!$B$5:$B$44,MATCH(I502,Staff!$A$5:$A$44,0)),"Unassigned"))</f>
        <v>0</v>
      </c>
      <c r="S502" s="15">
        <f>IF(B502="","",TEXT(B502,"yyyy-mm"))</f>
        <v>0</v>
      </c>
      <c r="T502" s="25">
        <f>IF(B502="","",WEEKNUM(B502,2))</f>
        <v>0</v>
      </c>
      <c r="U502" s="25">
        <f>IF(B502="","",IF(K502&lt;&gt;"",K502,IFERROR(INDEX(Services!$E$5:$E$204,MATCH(G502,Services!$A$5:$A$204,0))*1,0)+IFERROR(INDEX(Services!$F$5:$F$204,MATCH(G502,Services!$A$5:$A$204,0))*1,0)))</f>
        <v>0</v>
      </c>
      <c r="V502" s="36">
        <f>IF(B502="","",IF(D502="","",D502+U502/1440))</f>
        <v>0</v>
      </c>
      <c r="W502" s="25">
        <f>IF(B502="","",IF(D502="","",HOUR(D502)))</f>
        <v>0</v>
      </c>
      <c r="X502" s="37">
        <f>IF(B502="","",ROUND(U502/60,2))</f>
        <v>0</v>
      </c>
      <c r="Y502" s="26">
        <f>IF(B502="","",IF(L502&lt;&gt;"",L502,IFERROR(INDEX(Services!$G$5:$G$204,MATCH(G502,Services!$A$5:$A$204,0))*1,0)))</f>
        <v>0</v>
      </c>
      <c r="Z502" s="26">
        <f>IF(B502="","",IF(O502&lt;&gt;"",O502,IF(Y502&gt;=DepositThreshold,ROUND(Y502*DepositPercent,2),0)))</f>
        <v>0</v>
      </c>
      <c r="AA502" s="26">
        <f>IF(B502="","",ROUND(SUMIFS(Payments!$G$5:$G$1204,Payments!$I$5:$I$1204,A502,Payments!$E$5:$E$1204,"Deposit"),2))</f>
        <v>0</v>
      </c>
      <c r="AB502" s="26">
        <f>IF(B502="","",ROUND(SUMIFS(Sales!$Y$5:$Y$1204,Sales!$C$5:$C$1204,A502),2))</f>
        <v>0</v>
      </c>
      <c r="AC502" s="38">
        <f>IF(B502="","",IF(M502="Completed","Yes",IF(M502="Cancelled","Yes",IF(M502="No show","Yes","No"))))</f>
        <v>0</v>
      </c>
      <c r="AD502" s="25">
        <f>IF(B502="","",IF(AE502="","",B502-AE502))</f>
        <v>0</v>
      </c>
      <c r="AF502" s="38">
        <f>IF(B502="","",IF(M502&lt;&gt;"Completed","",IF(E502="","No",IF(COUNTIFS(Appointments!$E$5:$E$1204,E502,Appointments!$B$5:$B$1204,"&gt;"&amp;B502,Appointments!$M$5:$M$1204,"&lt;&gt;Cancelled")&gt;0,"Yes","No"))))</f>
        <v>0</v>
      </c>
      <c r="AG502" s="38">
        <f>IF(B502="","",IF(I502="","",IF(D502="","",IF(COUNTIFS($I$5:$I$1204,I502,$B$5:$B$1204,B502,$D$5:$D$1204,"&lt;"&amp;V502,$V$5:$V$1204,"&gt;"&amp;D502,$M$5:$M$1204,"&lt;&gt;Cancelled")&gt;1,"Clash",""))))</f>
        <v>0</v>
      </c>
      <c r="AH502" s="39">
        <f>IF(B502="","",IF(AG502="Clash","Clash - stylist double booked",IF(I502="","Assign - no stylist yet",IF(G502="","Add - no service chosen",IF(M502="No show","No show - charge the fee?",IF(M502="Cancelled","",IF(IF(M502="Completed",AB502&lt;Y502-0.004,FALSE),"Unpaid - nothing rung up for this visit",IF(IF(B502&lt;TodayDate,M502="Booked",FALSE),"Overdue - past date, still only Booked",IF(IF(B502=TodayDate,TRUE,FALSE),"Today",IF(IF(Z502&gt;0,AA502&lt;Z502-0.004,FALSE),"Due - deposit not taken",IF(IF(B502&gt;TodayDate,B502&lt;=TodayDate+2,FALSE),"Confirm - coming up","OK")))))))))))</f>
        <v>0</v>
      </c>
    </row>
    <row r="503" spans="1:34">
      <c r="A503" s="28">
        <f>IF(B503="","",AppointmentPrefix&amp;TEXT(ROW()-4,"0000"))</f>
        <v>0</v>
      </c>
      <c r="C503" s="15">
        <f>IF(B503="","",TEXT(B503,"ddd"))</f>
        <v>0</v>
      </c>
      <c r="F503" s="15">
        <f>IF(E503="","",IFERROR(INDEX(Clients!$B$5:$B$504,MATCH(E503,Clients!$A$5:$A$504,0)),"Walk-in"))</f>
        <v>0</v>
      </c>
      <c r="H503" s="15">
        <f>IF(G503="","",IFERROR(INDEX(Services!$B$5:$B$204,MATCH(G503,Services!$A$5:$A$204,0)),"Not in Services"))</f>
        <v>0</v>
      </c>
      <c r="J503" s="15">
        <f>IF(I503="","",IFERROR(INDEX(Staff!$B$5:$B$44,MATCH(I503,Staff!$A$5:$A$44,0)),"Unassigned"))</f>
        <v>0</v>
      </c>
      <c r="S503" s="15">
        <f>IF(B503="","",TEXT(B503,"yyyy-mm"))</f>
        <v>0</v>
      </c>
      <c r="T503" s="25">
        <f>IF(B503="","",WEEKNUM(B503,2))</f>
        <v>0</v>
      </c>
      <c r="U503" s="25">
        <f>IF(B503="","",IF(K503&lt;&gt;"",K503,IFERROR(INDEX(Services!$E$5:$E$204,MATCH(G503,Services!$A$5:$A$204,0))*1,0)+IFERROR(INDEX(Services!$F$5:$F$204,MATCH(G503,Services!$A$5:$A$204,0))*1,0)))</f>
        <v>0</v>
      </c>
      <c r="V503" s="36">
        <f>IF(B503="","",IF(D503="","",D503+U503/1440))</f>
        <v>0</v>
      </c>
      <c r="W503" s="25">
        <f>IF(B503="","",IF(D503="","",HOUR(D503)))</f>
        <v>0</v>
      </c>
      <c r="X503" s="37">
        <f>IF(B503="","",ROUND(U503/60,2))</f>
        <v>0</v>
      </c>
      <c r="Y503" s="26">
        <f>IF(B503="","",IF(L503&lt;&gt;"",L503,IFERROR(INDEX(Services!$G$5:$G$204,MATCH(G503,Services!$A$5:$A$204,0))*1,0)))</f>
        <v>0</v>
      </c>
      <c r="Z503" s="26">
        <f>IF(B503="","",IF(O503&lt;&gt;"",O503,IF(Y503&gt;=DepositThreshold,ROUND(Y503*DepositPercent,2),0)))</f>
        <v>0</v>
      </c>
      <c r="AA503" s="26">
        <f>IF(B503="","",ROUND(SUMIFS(Payments!$G$5:$G$1204,Payments!$I$5:$I$1204,A503,Payments!$E$5:$E$1204,"Deposit"),2))</f>
        <v>0</v>
      </c>
      <c r="AB503" s="26">
        <f>IF(B503="","",ROUND(SUMIFS(Sales!$Y$5:$Y$1204,Sales!$C$5:$C$1204,A503),2))</f>
        <v>0</v>
      </c>
      <c r="AC503" s="38">
        <f>IF(B503="","",IF(M503="Completed","Yes",IF(M503="Cancelled","Yes",IF(M503="No show","Yes","No"))))</f>
        <v>0</v>
      </c>
      <c r="AD503" s="25">
        <f>IF(B503="","",IF(AE503="","",B503-AE503))</f>
        <v>0</v>
      </c>
      <c r="AF503" s="38">
        <f>IF(B503="","",IF(M503&lt;&gt;"Completed","",IF(E503="","No",IF(COUNTIFS(Appointments!$E$5:$E$1204,E503,Appointments!$B$5:$B$1204,"&gt;"&amp;B503,Appointments!$M$5:$M$1204,"&lt;&gt;Cancelled")&gt;0,"Yes","No"))))</f>
        <v>0</v>
      </c>
      <c r="AG503" s="38">
        <f>IF(B503="","",IF(I503="","",IF(D503="","",IF(COUNTIFS($I$5:$I$1204,I503,$B$5:$B$1204,B503,$D$5:$D$1204,"&lt;"&amp;V503,$V$5:$V$1204,"&gt;"&amp;D503,$M$5:$M$1204,"&lt;&gt;Cancelled")&gt;1,"Clash",""))))</f>
        <v>0</v>
      </c>
      <c r="AH503" s="39">
        <f>IF(B503="","",IF(AG503="Clash","Clash - stylist double booked",IF(I503="","Assign - no stylist yet",IF(G503="","Add - no service chosen",IF(M503="No show","No show - charge the fee?",IF(M503="Cancelled","",IF(IF(M503="Completed",AB503&lt;Y503-0.004,FALSE),"Unpaid - nothing rung up for this visit",IF(IF(B503&lt;TodayDate,M503="Booked",FALSE),"Overdue - past date, still only Booked",IF(IF(B503=TodayDate,TRUE,FALSE),"Today",IF(IF(Z503&gt;0,AA503&lt;Z503-0.004,FALSE),"Due - deposit not taken",IF(IF(B503&gt;TodayDate,B503&lt;=TodayDate+2,FALSE),"Confirm - coming up","OK")))))))))))</f>
        <v>0</v>
      </c>
    </row>
    <row r="504" spans="1:34">
      <c r="A504" s="28">
        <f>IF(B504="","",AppointmentPrefix&amp;TEXT(ROW()-4,"0000"))</f>
        <v>0</v>
      </c>
      <c r="C504" s="15">
        <f>IF(B504="","",TEXT(B504,"ddd"))</f>
        <v>0</v>
      </c>
      <c r="F504" s="15">
        <f>IF(E504="","",IFERROR(INDEX(Clients!$B$5:$B$504,MATCH(E504,Clients!$A$5:$A$504,0)),"Walk-in"))</f>
        <v>0</v>
      </c>
      <c r="H504" s="15">
        <f>IF(G504="","",IFERROR(INDEX(Services!$B$5:$B$204,MATCH(G504,Services!$A$5:$A$204,0)),"Not in Services"))</f>
        <v>0</v>
      </c>
      <c r="J504" s="15">
        <f>IF(I504="","",IFERROR(INDEX(Staff!$B$5:$B$44,MATCH(I504,Staff!$A$5:$A$44,0)),"Unassigned"))</f>
        <v>0</v>
      </c>
      <c r="S504" s="15">
        <f>IF(B504="","",TEXT(B504,"yyyy-mm"))</f>
        <v>0</v>
      </c>
      <c r="T504" s="25">
        <f>IF(B504="","",WEEKNUM(B504,2))</f>
        <v>0</v>
      </c>
      <c r="U504" s="25">
        <f>IF(B504="","",IF(K504&lt;&gt;"",K504,IFERROR(INDEX(Services!$E$5:$E$204,MATCH(G504,Services!$A$5:$A$204,0))*1,0)+IFERROR(INDEX(Services!$F$5:$F$204,MATCH(G504,Services!$A$5:$A$204,0))*1,0)))</f>
        <v>0</v>
      </c>
      <c r="V504" s="36">
        <f>IF(B504="","",IF(D504="","",D504+U504/1440))</f>
        <v>0</v>
      </c>
      <c r="W504" s="25">
        <f>IF(B504="","",IF(D504="","",HOUR(D504)))</f>
        <v>0</v>
      </c>
      <c r="X504" s="37">
        <f>IF(B504="","",ROUND(U504/60,2))</f>
        <v>0</v>
      </c>
      <c r="Y504" s="26">
        <f>IF(B504="","",IF(L504&lt;&gt;"",L504,IFERROR(INDEX(Services!$G$5:$G$204,MATCH(G504,Services!$A$5:$A$204,0))*1,0)))</f>
        <v>0</v>
      </c>
      <c r="Z504" s="26">
        <f>IF(B504="","",IF(O504&lt;&gt;"",O504,IF(Y504&gt;=DepositThreshold,ROUND(Y504*DepositPercent,2),0)))</f>
        <v>0</v>
      </c>
      <c r="AA504" s="26">
        <f>IF(B504="","",ROUND(SUMIFS(Payments!$G$5:$G$1204,Payments!$I$5:$I$1204,A504,Payments!$E$5:$E$1204,"Deposit"),2))</f>
        <v>0</v>
      </c>
      <c r="AB504" s="26">
        <f>IF(B504="","",ROUND(SUMIFS(Sales!$Y$5:$Y$1204,Sales!$C$5:$C$1204,A504),2))</f>
        <v>0</v>
      </c>
      <c r="AC504" s="38">
        <f>IF(B504="","",IF(M504="Completed","Yes",IF(M504="Cancelled","Yes",IF(M504="No show","Yes","No"))))</f>
        <v>0</v>
      </c>
      <c r="AD504" s="25">
        <f>IF(B504="","",IF(AE504="","",B504-AE504))</f>
        <v>0</v>
      </c>
      <c r="AF504" s="38">
        <f>IF(B504="","",IF(M504&lt;&gt;"Completed","",IF(E504="","No",IF(COUNTIFS(Appointments!$E$5:$E$1204,E504,Appointments!$B$5:$B$1204,"&gt;"&amp;B504,Appointments!$M$5:$M$1204,"&lt;&gt;Cancelled")&gt;0,"Yes","No"))))</f>
        <v>0</v>
      </c>
      <c r="AG504" s="38">
        <f>IF(B504="","",IF(I504="","",IF(D504="","",IF(COUNTIFS($I$5:$I$1204,I504,$B$5:$B$1204,B504,$D$5:$D$1204,"&lt;"&amp;V504,$V$5:$V$1204,"&gt;"&amp;D504,$M$5:$M$1204,"&lt;&gt;Cancelled")&gt;1,"Clash",""))))</f>
        <v>0</v>
      </c>
      <c r="AH504" s="39">
        <f>IF(B504="","",IF(AG504="Clash","Clash - stylist double booked",IF(I504="","Assign - no stylist yet",IF(G504="","Add - no service chosen",IF(M504="No show","No show - charge the fee?",IF(M504="Cancelled","",IF(IF(M504="Completed",AB504&lt;Y504-0.004,FALSE),"Unpaid - nothing rung up for this visit",IF(IF(B504&lt;TodayDate,M504="Booked",FALSE),"Overdue - past date, still only Booked",IF(IF(B504=TodayDate,TRUE,FALSE),"Today",IF(IF(Z504&gt;0,AA504&lt;Z504-0.004,FALSE),"Due - deposit not taken",IF(IF(B504&gt;TodayDate,B504&lt;=TodayDate+2,FALSE),"Confirm - coming up","OK")))))))))))</f>
        <v>0</v>
      </c>
    </row>
    <row r="505" spans="1:34">
      <c r="A505" s="28">
        <f>IF(B505="","",AppointmentPrefix&amp;TEXT(ROW()-4,"0000"))</f>
        <v>0</v>
      </c>
      <c r="C505" s="15">
        <f>IF(B505="","",TEXT(B505,"ddd"))</f>
        <v>0</v>
      </c>
      <c r="F505" s="15">
        <f>IF(E505="","",IFERROR(INDEX(Clients!$B$5:$B$504,MATCH(E505,Clients!$A$5:$A$504,0)),"Walk-in"))</f>
        <v>0</v>
      </c>
      <c r="H505" s="15">
        <f>IF(G505="","",IFERROR(INDEX(Services!$B$5:$B$204,MATCH(G505,Services!$A$5:$A$204,0)),"Not in Services"))</f>
        <v>0</v>
      </c>
      <c r="J505" s="15">
        <f>IF(I505="","",IFERROR(INDEX(Staff!$B$5:$B$44,MATCH(I505,Staff!$A$5:$A$44,0)),"Unassigned"))</f>
        <v>0</v>
      </c>
      <c r="S505" s="15">
        <f>IF(B505="","",TEXT(B505,"yyyy-mm"))</f>
        <v>0</v>
      </c>
      <c r="T505" s="25">
        <f>IF(B505="","",WEEKNUM(B505,2))</f>
        <v>0</v>
      </c>
      <c r="U505" s="25">
        <f>IF(B505="","",IF(K505&lt;&gt;"",K505,IFERROR(INDEX(Services!$E$5:$E$204,MATCH(G505,Services!$A$5:$A$204,0))*1,0)+IFERROR(INDEX(Services!$F$5:$F$204,MATCH(G505,Services!$A$5:$A$204,0))*1,0)))</f>
        <v>0</v>
      </c>
      <c r="V505" s="36">
        <f>IF(B505="","",IF(D505="","",D505+U505/1440))</f>
        <v>0</v>
      </c>
      <c r="W505" s="25">
        <f>IF(B505="","",IF(D505="","",HOUR(D505)))</f>
        <v>0</v>
      </c>
      <c r="X505" s="37">
        <f>IF(B505="","",ROUND(U505/60,2))</f>
        <v>0</v>
      </c>
      <c r="Y505" s="26">
        <f>IF(B505="","",IF(L505&lt;&gt;"",L505,IFERROR(INDEX(Services!$G$5:$G$204,MATCH(G505,Services!$A$5:$A$204,0))*1,0)))</f>
        <v>0</v>
      </c>
      <c r="Z505" s="26">
        <f>IF(B505="","",IF(O505&lt;&gt;"",O505,IF(Y505&gt;=DepositThreshold,ROUND(Y505*DepositPercent,2),0)))</f>
        <v>0</v>
      </c>
      <c r="AA505" s="26">
        <f>IF(B505="","",ROUND(SUMIFS(Payments!$G$5:$G$1204,Payments!$I$5:$I$1204,A505,Payments!$E$5:$E$1204,"Deposit"),2))</f>
        <v>0</v>
      </c>
      <c r="AB505" s="26">
        <f>IF(B505="","",ROUND(SUMIFS(Sales!$Y$5:$Y$1204,Sales!$C$5:$C$1204,A505),2))</f>
        <v>0</v>
      </c>
      <c r="AC505" s="38">
        <f>IF(B505="","",IF(M505="Completed","Yes",IF(M505="Cancelled","Yes",IF(M505="No show","Yes","No"))))</f>
        <v>0</v>
      </c>
      <c r="AD505" s="25">
        <f>IF(B505="","",IF(AE505="","",B505-AE505))</f>
        <v>0</v>
      </c>
      <c r="AF505" s="38">
        <f>IF(B505="","",IF(M505&lt;&gt;"Completed","",IF(E505="","No",IF(COUNTIFS(Appointments!$E$5:$E$1204,E505,Appointments!$B$5:$B$1204,"&gt;"&amp;B505,Appointments!$M$5:$M$1204,"&lt;&gt;Cancelled")&gt;0,"Yes","No"))))</f>
        <v>0</v>
      </c>
      <c r="AG505" s="38">
        <f>IF(B505="","",IF(I505="","",IF(D505="","",IF(COUNTIFS($I$5:$I$1204,I505,$B$5:$B$1204,B505,$D$5:$D$1204,"&lt;"&amp;V505,$V$5:$V$1204,"&gt;"&amp;D505,$M$5:$M$1204,"&lt;&gt;Cancelled")&gt;1,"Clash",""))))</f>
        <v>0</v>
      </c>
      <c r="AH505" s="39">
        <f>IF(B505="","",IF(AG505="Clash","Clash - stylist double booked",IF(I505="","Assign - no stylist yet",IF(G505="","Add - no service chosen",IF(M505="No show","No show - charge the fee?",IF(M505="Cancelled","",IF(IF(M505="Completed",AB505&lt;Y505-0.004,FALSE),"Unpaid - nothing rung up for this visit",IF(IF(B505&lt;TodayDate,M505="Booked",FALSE),"Overdue - past date, still only Booked",IF(IF(B505=TodayDate,TRUE,FALSE),"Today",IF(IF(Z505&gt;0,AA505&lt;Z505-0.004,FALSE),"Due - deposit not taken",IF(IF(B505&gt;TodayDate,B505&lt;=TodayDate+2,FALSE),"Confirm - coming up","OK")))))))))))</f>
        <v>0</v>
      </c>
    </row>
    <row r="506" spans="1:34">
      <c r="A506" s="28">
        <f>IF(B506="","",AppointmentPrefix&amp;TEXT(ROW()-4,"0000"))</f>
        <v>0</v>
      </c>
      <c r="C506" s="15">
        <f>IF(B506="","",TEXT(B506,"ddd"))</f>
        <v>0</v>
      </c>
      <c r="F506" s="15">
        <f>IF(E506="","",IFERROR(INDEX(Clients!$B$5:$B$504,MATCH(E506,Clients!$A$5:$A$504,0)),"Walk-in"))</f>
        <v>0</v>
      </c>
      <c r="H506" s="15">
        <f>IF(G506="","",IFERROR(INDEX(Services!$B$5:$B$204,MATCH(G506,Services!$A$5:$A$204,0)),"Not in Services"))</f>
        <v>0</v>
      </c>
      <c r="J506" s="15">
        <f>IF(I506="","",IFERROR(INDEX(Staff!$B$5:$B$44,MATCH(I506,Staff!$A$5:$A$44,0)),"Unassigned"))</f>
        <v>0</v>
      </c>
      <c r="S506" s="15">
        <f>IF(B506="","",TEXT(B506,"yyyy-mm"))</f>
        <v>0</v>
      </c>
      <c r="T506" s="25">
        <f>IF(B506="","",WEEKNUM(B506,2))</f>
        <v>0</v>
      </c>
      <c r="U506" s="25">
        <f>IF(B506="","",IF(K506&lt;&gt;"",K506,IFERROR(INDEX(Services!$E$5:$E$204,MATCH(G506,Services!$A$5:$A$204,0))*1,0)+IFERROR(INDEX(Services!$F$5:$F$204,MATCH(G506,Services!$A$5:$A$204,0))*1,0)))</f>
        <v>0</v>
      </c>
      <c r="V506" s="36">
        <f>IF(B506="","",IF(D506="","",D506+U506/1440))</f>
        <v>0</v>
      </c>
      <c r="W506" s="25">
        <f>IF(B506="","",IF(D506="","",HOUR(D506)))</f>
        <v>0</v>
      </c>
      <c r="X506" s="37">
        <f>IF(B506="","",ROUND(U506/60,2))</f>
        <v>0</v>
      </c>
      <c r="Y506" s="26">
        <f>IF(B506="","",IF(L506&lt;&gt;"",L506,IFERROR(INDEX(Services!$G$5:$G$204,MATCH(G506,Services!$A$5:$A$204,0))*1,0)))</f>
        <v>0</v>
      </c>
      <c r="Z506" s="26">
        <f>IF(B506="","",IF(O506&lt;&gt;"",O506,IF(Y506&gt;=DepositThreshold,ROUND(Y506*DepositPercent,2),0)))</f>
        <v>0</v>
      </c>
      <c r="AA506" s="26">
        <f>IF(B506="","",ROUND(SUMIFS(Payments!$G$5:$G$1204,Payments!$I$5:$I$1204,A506,Payments!$E$5:$E$1204,"Deposit"),2))</f>
        <v>0</v>
      </c>
      <c r="AB506" s="26">
        <f>IF(B506="","",ROUND(SUMIFS(Sales!$Y$5:$Y$1204,Sales!$C$5:$C$1204,A506),2))</f>
        <v>0</v>
      </c>
      <c r="AC506" s="38">
        <f>IF(B506="","",IF(M506="Completed","Yes",IF(M506="Cancelled","Yes",IF(M506="No show","Yes","No"))))</f>
        <v>0</v>
      </c>
      <c r="AD506" s="25">
        <f>IF(B506="","",IF(AE506="","",B506-AE506))</f>
        <v>0</v>
      </c>
      <c r="AF506" s="38">
        <f>IF(B506="","",IF(M506&lt;&gt;"Completed","",IF(E506="","No",IF(COUNTIFS(Appointments!$E$5:$E$1204,E506,Appointments!$B$5:$B$1204,"&gt;"&amp;B506,Appointments!$M$5:$M$1204,"&lt;&gt;Cancelled")&gt;0,"Yes","No"))))</f>
        <v>0</v>
      </c>
      <c r="AG506" s="38">
        <f>IF(B506="","",IF(I506="","",IF(D506="","",IF(COUNTIFS($I$5:$I$1204,I506,$B$5:$B$1204,B506,$D$5:$D$1204,"&lt;"&amp;V506,$V$5:$V$1204,"&gt;"&amp;D506,$M$5:$M$1204,"&lt;&gt;Cancelled")&gt;1,"Clash",""))))</f>
        <v>0</v>
      </c>
      <c r="AH506" s="39">
        <f>IF(B506="","",IF(AG506="Clash","Clash - stylist double booked",IF(I506="","Assign - no stylist yet",IF(G506="","Add - no service chosen",IF(M506="No show","No show - charge the fee?",IF(M506="Cancelled","",IF(IF(M506="Completed",AB506&lt;Y506-0.004,FALSE),"Unpaid - nothing rung up for this visit",IF(IF(B506&lt;TodayDate,M506="Booked",FALSE),"Overdue - past date, still only Booked",IF(IF(B506=TodayDate,TRUE,FALSE),"Today",IF(IF(Z506&gt;0,AA506&lt;Z506-0.004,FALSE),"Due - deposit not taken",IF(IF(B506&gt;TodayDate,B506&lt;=TodayDate+2,FALSE),"Confirm - coming up","OK")))))))))))</f>
        <v>0</v>
      </c>
    </row>
    <row r="507" spans="1:34">
      <c r="A507" s="28">
        <f>IF(B507="","",AppointmentPrefix&amp;TEXT(ROW()-4,"0000"))</f>
        <v>0</v>
      </c>
      <c r="C507" s="15">
        <f>IF(B507="","",TEXT(B507,"ddd"))</f>
        <v>0</v>
      </c>
      <c r="F507" s="15">
        <f>IF(E507="","",IFERROR(INDEX(Clients!$B$5:$B$504,MATCH(E507,Clients!$A$5:$A$504,0)),"Walk-in"))</f>
        <v>0</v>
      </c>
      <c r="H507" s="15">
        <f>IF(G507="","",IFERROR(INDEX(Services!$B$5:$B$204,MATCH(G507,Services!$A$5:$A$204,0)),"Not in Services"))</f>
        <v>0</v>
      </c>
      <c r="J507" s="15">
        <f>IF(I507="","",IFERROR(INDEX(Staff!$B$5:$B$44,MATCH(I507,Staff!$A$5:$A$44,0)),"Unassigned"))</f>
        <v>0</v>
      </c>
      <c r="S507" s="15">
        <f>IF(B507="","",TEXT(B507,"yyyy-mm"))</f>
        <v>0</v>
      </c>
      <c r="T507" s="25">
        <f>IF(B507="","",WEEKNUM(B507,2))</f>
        <v>0</v>
      </c>
      <c r="U507" s="25">
        <f>IF(B507="","",IF(K507&lt;&gt;"",K507,IFERROR(INDEX(Services!$E$5:$E$204,MATCH(G507,Services!$A$5:$A$204,0))*1,0)+IFERROR(INDEX(Services!$F$5:$F$204,MATCH(G507,Services!$A$5:$A$204,0))*1,0)))</f>
        <v>0</v>
      </c>
      <c r="V507" s="36">
        <f>IF(B507="","",IF(D507="","",D507+U507/1440))</f>
        <v>0</v>
      </c>
      <c r="W507" s="25">
        <f>IF(B507="","",IF(D507="","",HOUR(D507)))</f>
        <v>0</v>
      </c>
      <c r="X507" s="37">
        <f>IF(B507="","",ROUND(U507/60,2))</f>
        <v>0</v>
      </c>
      <c r="Y507" s="26">
        <f>IF(B507="","",IF(L507&lt;&gt;"",L507,IFERROR(INDEX(Services!$G$5:$G$204,MATCH(G507,Services!$A$5:$A$204,0))*1,0)))</f>
        <v>0</v>
      </c>
      <c r="Z507" s="26">
        <f>IF(B507="","",IF(O507&lt;&gt;"",O507,IF(Y507&gt;=DepositThreshold,ROUND(Y507*DepositPercent,2),0)))</f>
        <v>0</v>
      </c>
      <c r="AA507" s="26">
        <f>IF(B507="","",ROUND(SUMIFS(Payments!$G$5:$G$1204,Payments!$I$5:$I$1204,A507,Payments!$E$5:$E$1204,"Deposit"),2))</f>
        <v>0</v>
      </c>
      <c r="AB507" s="26">
        <f>IF(B507="","",ROUND(SUMIFS(Sales!$Y$5:$Y$1204,Sales!$C$5:$C$1204,A507),2))</f>
        <v>0</v>
      </c>
      <c r="AC507" s="38">
        <f>IF(B507="","",IF(M507="Completed","Yes",IF(M507="Cancelled","Yes",IF(M507="No show","Yes","No"))))</f>
        <v>0</v>
      </c>
      <c r="AD507" s="25">
        <f>IF(B507="","",IF(AE507="","",B507-AE507))</f>
        <v>0</v>
      </c>
      <c r="AF507" s="38">
        <f>IF(B507="","",IF(M507&lt;&gt;"Completed","",IF(E507="","No",IF(COUNTIFS(Appointments!$E$5:$E$1204,E507,Appointments!$B$5:$B$1204,"&gt;"&amp;B507,Appointments!$M$5:$M$1204,"&lt;&gt;Cancelled")&gt;0,"Yes","No"))))</f>
        <v>0</v>
      </c>
      <c r="AG507" s="38">
        <f>IF(B507="","",IF(I507="","",IF(D507="","",IF(COUNTIFS($I$5:$I$1204,I507,$B$5:$B$1204,B507,$D$5:$D$1204,"&lt;"&amp;V507,$V$5:$V$1204,"&gt;"&amp;D507,$M$5:$M$1204,"&lt;&gt;Cancelled")&gt;1,"Clash",""))))</f>
        <v>0</v>
      </c>
      <c r="AH507" s="39">
        <f>IF(B507="","",IF(AG507="Clash","Clash - stylist double booked",IF(I507="","Assign - no stylist yet",IF(G507="","Add - no service chosen",IF(M507="No show","No show - charge the fee?",IF(M507="Cancelled","",IF(IF(M507="Completed",AB507&lt;Y507-0.004,FALSE),"Unpaid - nothing rung up for this visit",IF(IF(B507&lt;TodayDate,M507="Booked",FALSE),"Overdue - past date, still only Booked",IF(IF(B507=TodayDate,TRUE,FALSE),"Today",IF(IF(Z507&gt;0,AA507&lt;Z507-0.004,FALSE),"Due - deposit not taken",IF(IF(B507&gt;TodayDate,B507&lt;=TodayDate+2,FALSE),"Confirm - coming up","OK")))))))))))</f>
        <v>0</v>
      </c>
    </row>
    <row r="508" spans="1:34">
      <c r="A508" s="28">
        <f>IF(B508="","",AppointmentPrefix&amp;TEXT(ROW()-4,"0000"))</f>
        <v>0</v>
      </c>
      <c r="C508" s="15">
        <f>IF(B508="","",TEXT(B508,"ddd"))</f>
        <v>0</v>
      </c>
      <c r="F508" s="15">
        <f>IF(E508="","",IFERROR(INDEX(Clients!$B$5:$B$504,MATCH(E508,Clients!$A$5:$A$504,0)),"Walk-in"))</f>
        <v>0</v>
      </c>
      <c r="H508" s="15">
        <f>IF(G508="","",IFERROR(INDEX(Services!$B$5:$B$204,MATCH(G508,Services!$A$5:$A$204,0)),"Not in Services"))</f>
        <v>0</v>
      </c>
      <c r="J508" s="15">
        <f>IF(I508="","",IFERROR(INDEX(Staff!$B$5:$B$44,MATCH(I508,Staff!$A$5:$A$44,0)),"Unassigned"))</f>
        <v>0</v>
      </c>
      <c r="S508" s="15">
        <f>IF(B508="","",TEXT(B508,"yyyy-mm"))</f>
        <v>0</v>
      </c>
      <c r="T508" s="25">
        <f>IF(B508="","",WEEKNUM(B508,2))</f>
        <v>0</v>
      </c>
      <c r="U508" s="25">
        <f>IF(B508="","",IF(K508&lt;&gt;"",K508,IFERROR(INDEX(Services!$E$5:$E$204,MATCH(G508,Services!$A$5:$A$204,0))*1,0)+IFERROR(INDEX(Services!$F$5:$F$204,MATCH(G508,Services!$A$5:$A$204,0))*1,0)))</f>
        <v>0</v>
      </c>
      <c r="V508" s="36">
        <f>IF(B508="","",IF(D508="","",D508+U508/1440))</f>
        <v>0</v>
      </c>
      <c r="W508" s="25">
        <f>IF(B508="","",IF(D508="","",HOUR(D508)))</f>
        <v>0</v>
      </c>
      <c r="X508" s="37">
        <f>IF(B508="","",ROUND(U508/60,2))</f>
        <v>0</v>
      </c>
      <c r="Y508" s="26">
        <f>IF(B508="","",IF(L508&lt;&gt;"",L508,IFERROR(INDEX(Services!$G$5:$G$204,MATCH(G508,Services!$A$5:$A$204,0))*1,0)))</f>
        <v>0</v>
      </c>
      <c r="Z508" s="26">
        <f>IF(B508="","",IF(O508&lt;&gt;"",O508,IF(Y508&gt;=DepositThreshold,ROUND(Y508*DepositPercent,2),0)))</f>
        <v>0</v>
      </c>
      <c r="AA508" s="26">
        <f>IF(B508="","",ROUND(SUMIFS(Payments!$G$5:$G$1204,Payments!$I$5:$I$1204,A508,Payments!$E$5:$E$1204,"Deposit"),2))</f>
        <v>0</v>
      </c>
      <c r="AB508" s="26">
        <f>IF(B508="","",ROUND(SUMIFS(Sales!$Y$5:$Y$1204,Sales!$C$5:$C$1204,A508),2))</f>
        <v>0</v>
      </c>
      <c r="AC508" s="38">
        <f>IF(B508="","",IF(M508="Completed","Yes",IF(M508="Cancelled","Yes",IF(M508="No show","Yes","No"))))</f>
        <v>0</v>
      </c>
      <c r="AD508" s="25">
        <f>IF(B508="","",IF(AE508="","",B508-AE508))</f>
        <v>0</v>
      </c>
      <c r="AF508" s="38">
        <f>IF(B508="","",IF(M508&lt;&gt;"Completed","",IF(E508="","No",IF(COUNTIFS(Appointments!$E$5:$E$1204,E508,Appointments!$B$5:$B$1204,"&gt;"&amp;B508,Appointments!$M$5:$M$1204,"&lt;&gt;Cancelled")&gt;0,"Yes","No"))))</f>
        <v>0</v>
      </c>
      <c r="AG508" s="38">
        <f>IF(B508="","",IF(I508="","",IF(D508="","",IF(COUNTIFS($I$5:$I$1204,I508,$B$5:$B$1204,B508,$D$5:$D$1204,"&lt;"&amp;V508,$V$5:$V$1204,"&gt;"&amp;D508,$M$5:$M$1204,"&lt;&gt;Cancelled")&gt;1,"Clash",""))))</f>
        <v>0</v>
      </c>
      <c r="AH508" s="39">
        <f>IF(B508="","",IF(AG508="Clash","Clash - stylist double booked",IF(I508="","Assign - no stylist yet",IF(G508="","Add - no service chosen",IF(M508="No show","No show - charge the fee?",IF(M508="Cancelled","",IF(IF(M508="Completed",AB508&lt;Y508-0.004,FALSE),"Unpaid - nothing rung up for this visit",IF(IF(B508&lt;TodayDate,M508="Booked",FALSE),"Overdue - past date, still only Booked",IF(IF(B508=TodayDate,TRUE,FALSE),"Today",IF(IF(Z508&gt;0,AA508&lt;Z508-0.004,FALSE),"Due - deposit not taken",IF(IF(B508&gt;TodayDate,B508&lt;=TodayDate+2,FALSE),"Confirm - coming up","OK")))))))))))</f>
        <v>0</v>
      </c>
    </row>
    <row r="509" spans="1:34">
      <c r="A509" s="28">
        <f>IF(B509="","",AppointmentPrefix&amp;TEXT(ROW()-4,"0000"))</f>
        <v>0</v>
      </c>
      <c r="C509" s="15">
        <f>IF(B509="","",TEXT(B509,"ddd"))</f>
        <v>0</v>
      </c>
      <c r="F509" s="15">
        <f>IF(E509="","",IFERROR(INDEX(Clients!$B$5:$B$504,MATCH(E509,Clients!$A$5:$A$504,0)),"Walk-in"))</f>
        <v>0</v>
      </c>
      <c r="H509" s="15">
        <f>IF(G509="","",IFERROR(INDEX(Services!$B$5:$B$204,MATCH(G509,Services!$A$5:$A$204,0)),"Not in Services"))</f>
        <v>0</v>
      </c>
      <c r="J509" s="15">
        <f>IF(I509="","",IFERROR(INDEX(Staff!$B$5:$B$44,MATCH(I509,Staff!$A$5:$A$44,0)),"Unassigned"))</f>
        <v>0</v>
      </c>
      <c r="S509" s="15">
        <f>IF(B509="","",TEXT(B509,"yyyy-mm"))</f>
        <v>0</v>
      </c>
      <c r="T509" s="25">
        <f>IF(B509="","",WEEKNUM(B509,2))</f>
        <v>0</v>
      </c>
      <c r="U509" s="25">
        <f>IF(B509="","",IF(K509&lt;&gt;"",K509,IFERROR(INDEX(Services!$E$5:$E$204,MATCH(G509,Services!$A$5:$A$204,0))*1,0)+IFERROR(INDEX(Services!$F$5:$F$204,MATCH(G509,Services!$A$5:$A$204,0))*1,0)))</f>
        <v>0</v>
      </c>
      <c r="V509" s="36">
        <f>IF(B509="","",IF(D509="","",D509+U509/1440))</f>
        <v>0</v>
      </c>
      <c r="W509" s="25">
        <f>IF(B509="","",IF(D509="","",HOUR(D509)))</f>
        <v>0</v>
      </c>
      <c r="X509" s="37">
        <f>IF(B509="","",ROUND(U509/60,2))</f>
        <v>0</v>
      </c>
      <c r="Y509" s="26">
        <f>IF(B509="","",IF(L509&lt;&gt;"",L509,IFERROR(INDEX(Services!$G$5:$G$204,MATCH(G509,Services!$A$5:$A$204,0))*1,0)))</f>
        <v>0</v>
      </c>
      <c r="Z509" s="26">
        <f>IF(B509="","",IF(O509&lt;&gt;"",O509,IF(Y509&gt;=DepositThreshold,ROUND(Y509*DepositPercent,2),0)))</f>
        <v>0</v>
      </c>
      <c r="AA509" s="26">
        <f>IF(B509="","",ROUND(SUMIFS(Payments!$G$5:$G$1204,Payments!$I$5:$I$1204,A509,Payments!$E$5:$E$1204,"Deposit"),2))</f>
        <v>0</v>
      </c>
      <c r="AB509" s="26">
        <f>IF(B509="","",ROUND(SUMIFS(Sales!$Y$5:$Y$1204,Sales!$C$5:$C$1204,A509),2))</f>
        <v>0</v>
      </c>
      <c r="AC509" s="38">
        <f>IF(B509="","",IF(M509="Completed","Yes",IF(M509="Cancelled","Yes",IF(M509="No show","Yes","No"))))</f>
        <v>0</v>
      </c>
      <c r="AD509" s="25">
        <f>IF(B509="","",IF(AE509="","",B509-AE509))</f>
        <v>0</v>
      </c>
      <c r="AF509" s="38">
        <f>IF(B509="","",IF(M509&lt;&gt;"Completed","",IF(E509="","No",IF(COUNTIFS(Appointments!$E$5:$E$1204,E509,Appointments!$B$5:$B$1204,"&gt;"&amp;B509,Appointments!$M$5:$M$1204,"&lt;&gt;Cancelled")&gt;0,"Yes","No"))))</f>
        <v>0</v>
      </c>
      <c r="AG509" s="38">
        <f>IF(B509="","",IF(I509="","",IF(D509="","",IF(COUNTIFS($I$5:$I$1204,I509,$B$5:$B$1204,B509,$D$5:$D$1204,"&lt;"&amp;V509,$V$5:$V$1204,"&gt;"&amp;D509,$M$5:$M$1204,"&lt;&gt;Cancelled")&gt;1,"Clash",""))))</f>
        <v>0</v>
      </c>
      <c r="AH509" s="39">
        <f>IF(B509="","",IF(AG509="Clash","Clash - stylist double booked",IF(I509="","Assign - no stylist yet",IF(G509="","Add - no service chosen",IF(M509="No show","No show - charge the fee?",IF(M509="Cancelled","",IF(IF(M509="Completed",AB509&lt;Y509-0.004,FALSE),"Unpaid - nothing rung up for this visit",IF(IF(B509&lt;TodayDate,M509="Booked",FALSE),"Overdue - past date, still only Booked",IF(IF(B509=TodayDate,TRUE,FALSE),"Today",IF(IF(Z509&gt;0,AA509&lt;Z509-0.004,FALSE),"Due - deposit not taken",IF(IF(B509&gt;TodayDate,B509&lt;=TodayDate+2,FALSE),"Confirm - coming up","OK")))))))))))</f>
        <v>0</v>
      </c>
    </row>
    <row r="510" spans="1:34">
      <c r="A510" s="28">
        <f>IF(B510="","",AppointmentPrefix&amp;TEXT(ROW()-4,"0000"))</f>
        <v>0</v>
      </c>
      <c r="C510" s="15">
        <f>IF(B510="","",TEXT(B510,"ddd"))</f>
        <v>0</v>
      </c>
      <c r="F510" s="15">
        <f>IF(E510="","",IFERROR(INDEX(Clients!$B$5:$B$504,MATCH(E510,Clients!$A$5:$A$504,0)),"Walk-in"))</f>
        <v>0</v>
      </c>
      <c r="H510" s="15">
        <f>IF(G510="","",IFERROR(INDEX(Services!$B$5:$B$204,MATCH(G510,Services!$A$5:$A$204,0)),"Not in Services"))</f>
        <v>0</v>
      </c>
      <c r="J510" s="15">
        <f>IF(I510="","",IFERROR(INDEX(Staff!$B$5:$B$44,MATCH(I510,Staff!$A$5:$A$44,0)),"Unassigned"))</f>
        <v>0</v>
      </c>
      <c r="S510" s="15">
        <f>IF(B510="","",TEXT(B510,"yyyy-mm"))</f>
        <v>0</v>
      </c>
      <c r="T510" s="25">
        <f>IF(B510="","",WEEKNUM(B510,2))</f>
        <v>0</v>
      </c>
      <c r="U510" s="25">
        <f>IF(B510="","",IF(K510&lt;&gt;"",K510,IFERROR(INDEX(Services!$E$5:$E$204,MATCH(G510,Services!$A$5:$A$204,0))*1,0)+IFERROR(INDEX(Services!$F$5:$F$204,MATCH(G510,Services!$A$5:$A$204,0))*1,0)))</f>
        <v>0</v>
      </c>
      <c r="V510" s="36">
        <f>IF(B510="","",IF(D510="","",D510+U510/1440))</f>
        <v>0</v>
      </c>
      <c r="W510" s="25">
        <f>IF(B510="","",IF(D510="","",HOUR(D510)))</f>
        <v>0</v>
      </c>
      <c r="X510" s="37">
        <f>IF(B510="","",ROUND(U510/60,2))</f>
        <v>0</v>
      </c>
      <c r="Y510" s="26">
        <f>IF(B510="","",IF(L510&lt;&gt;"",L510,IFERROR(INDEX(Services!$G$5:$G$204,MATCH(G510,Services!$A$5:$A$204,0))*1,0)))</f>
        <v>0</v>
      </c>
      <c r="Z510" s="26">
        <f>IF(B510="","",IF(O510&lt;&gt;"",O510,IF(Y510&gt;=DepositThreshold,ROUND(Y510*DepositPercent,2),0)))</f>
        <v>0</v>
      </c>
      <c r="AA510" s="26">
        <f>IF(B510="","",ROUND(SUMIFS(Payments!$G$5:$G$1204,Payments!$I$5:$I$1204,A510,Payments!$E$5:$E$1204,"Deposit"),2))</f>
        <v>0</v>
      </c>
      <c r="AB510" s="26">
        <f>IF(B510="","",ROUND(SUMIFS(Sales!$Y$5:$Y$1204,Sales!$C$5:$C$1204,A510),2))</f>
        <v>0</v>
      </c>
      <c r="AC510" s="38">
        <f>IF(B510="","",IF(M510="Completed","Yes",IF(M510="Cancelled","Yes",IF(M510="No show","Yes","No"))))</f>
        <v>0</v>
      </c>
      <c r="AD510" s="25">
        <f>IF(B510="","",IF(AE510="","",B510-AE510))</f>
        <v>0</v>
      </c>
      <c r="AF510" s="38">
        <f>IF(B510="","",IF(M510&lt;&gt;"Completed","",IF(E510="","No",IF(COUNTIFS(Appointments!$E$5:$E$1204,E510,Appointments!$B$5:$B$1204,"&gt;"&amp;B510,Appointments!$M$5:$M$1204,"&lt;&gt;Cancelled")&gt;0,"Yes","No"))))</f>
        <v>0</v>
      </c>
      <c r="AG510" s="38">
        <f>IF(B510="","",IF(I510="","",IF(D510="","",IF(COUNTIFS($I$5:$I$1204,I510,$B$5:$B$1204,B510,$D$5:$D$1204,"&lt;"&amp;V510,$V$5:$V$1204,"&gt;"&amp;D510,$M$5:$M$1204,"&lt;&gt;Cancelled")&gt;1,"Clash",""))))</f>
        <v>0</v>
      </c>
      <c r="AH510" s="39">
        <f>IF(B510="","",IF(AG510="Clash","Clash - stylist double booked",IF(I510="","Assign - no stylist yet",IF(G510="","Add - no service chosen",IF(M510="No show","No show - charge the fee?",IF(M510="Cancelled","",IF(IF(M510="Completed",AB510&lt;Y510-0.004,FALSE),"Unpaid - nothing rung up for this visit",IF(IF(B510&lt;TodayDate,M510="Booked",FALSE),"Overdue - past date, still only Booked",IF(IF(B510=TodayDate,TRUE,FALSE),"Today",IF(IF(Z510&gt;0,AA510&lt;Z510-0.004,FALSE),"Due - deposit not taken",IF(IF(B510&gt;TodayDate,B510&lt;=TodayDate+2,FALSE),"Confirm - coming up","OK")))))))))))</f>
        <v>0</v>
      </c>
    </row>
    <row r="511" spans="1:34">
      <c r="A511" s="28">
        <f>IF(B511="","",AppointmentPrefix&amp;TEXT(ROW()-4,"0000"))</f>
        <v>0</v>
      </c>
      <c r="C511" s="15">
        <f>IF(B511="","",TEXT(B511,"ddd"))</f>
        <v>0</v>
      </c>
      <c r="F511" s="15">
        <f>IF(E511="","",IFERROR(INDEX(Clients!$B$5:$B$504,MATCH(E511,Clients!$A$5:$A$504,0)),"Walk-in"))</f>
        <v>0</v>
      </c>
      <c r="H511" s="15">
        <f>IF(G511="","",IFERROR(INDEX(Services!$B$5:$B$204,MATCH(G511,Services!$A$5:$A$204,0)),"Not in Services"))</f>
        <v>0</v>
      </c>
      <c r="J511" s="15">
        <f>IF(I511="","",IFERROR(INDEX(Staff!$B$5:$B$44,MATCH(I511,Staff!$A$5:$A$44,0)),"Unassigned"))</f>
        <v>0</v>
      </c>
      <c r="S511" s="15">
        <f>IF(B511="","",TEXT(B511,"yyyy-mm"))</f>
        <v>0</v>
      </c>
      <c r="T511" s="25">
        <f>IF(B511="","",WEEKNUM(B511,2))</f>
        <v>0</v>
      </c>
      <c r="U511" s="25">
        <f>IF(B511="","",IF(K511&lt;&gt;"",K511,IFERROR(INDEX(Services!$E$5:$E$204,MATCH(G511,Services!$A$5:$A$204,0))*1,0)+IFERROR(INDEX(Services!$F$5:$F$204,MATCH(G511,Services!$A$5:$A$204,0))*1,0)))</f>
        <v>0</v>
      </c>
      <c r="V511" s="36">
        <f>IF(B511="","",IF(D511="","",D511+U511/1440))</f>
        <v>0</v>
      </c>
      <c r="W511" s="25">
        <f>IF(B511="","",IF(D511="","",HOUR(D511)))</f>
        <v>0</v>
      </c>
      <c r="X511" s="37">
        <f>IF(B511="","",ROUND(U511/60,2))</f>
        <v>0</v>
      </c>
      <c r="Y511" s="26">
        <f>IF(B511="","",IF(L511&lt;&gt;"",L511,IFERROR(INDEX(Services!$G$5:$G$204,MATCH(G511,Services!$A$5:$A$204,0))*1,0)))</f>
        <v>0</v>
      </c>
      <c r="Z511" s="26">
        <f>IF(B511="","",IF(O511&lt;&gt;"",O511,IF(Y511&gt;=DepositThreshold,ROUND(Y511*DepositPercent,2),0)))</f>
        <v>0</v>
      </c>
      <c r="AA511" s="26">
        <f>IF(B511="","",ROUND(SUMIFS(Payments!$G$5:$G$1204,Payments!$I$5:$I$1204,A511,Payments!$E$5:$E$1204,"Deposit"),2))</f>
        <v>0</v>
      </c>
      <c r="AB511" s="26">
        <f>IF(B511="","",ROUND(SUMIFS(Sales!$Y$5:$Y$1204,Sales!$C$5:$C$1204,A511),2))</f>
        <v>0</v>
      </c>
      <c r="AC511" s="38">
        <f>IF(B511="","",IF(M511="Completed","Yes",IF(M511="Cancelled","Yes",IF(M511="No show","Yes","No"))))</f>
        <v>0</v>
      </c>
      <c r="AD511" s="25">
        <f>IF(B511="","",IF(AE511="","",B511-AE511))</f>
        <v>0</v>
      </c>
      <c r="AF511" s="38">
        <f>IF(B511="","",IF(M511&lt;&gt;"Completed","",IF(E511="","No",IF(COUNTIFS(Appointments!$E$5:$E$1204,E511,Appointments!$B$5:$B$1204,"&gt;"&amp;B511,Appointments!$M$5:$M$1204,"&lt;&gt;Cancelled")&gt;0,"Yes","No"))))</f>
        <v>0</v>
      </c>
      <c r="AG511" s="38">
        <f>IF(B511="","",IF(I511="","",IF(D511="","",IF(COUNTIFS($I$5:$I$1204,I511,$B$5:$B$1204,B511,$D$5:$D$1204,"&lt;"&amp;V511,$V$5:$V$1204,"&gt;"&amp;D511,$M$5:$M$1204,"&lt;&gt;Cancelled")&gt;1,"Clash",""))))</f>
        <v>0</v>
      </c>
      <c r="AH511" s="39">
        <f>IF(B511="","",IF(AG511="Clash","Clash - stylist double booked",IF(I511="","Assign - no stylist yet",IF(G511="","Add - no service chosen",IF(M511="No show","No show - charge the fee?",IF(M511="Cancelled","",IF(IF(M511="Completed",AB511&lt;Y511-0.004,FALSE),"Unpaid - nothing rung up for this visit",IF(IF(B511&lt;TodayDate,M511="Booked",FALSE),"Overdue - past date, still only Booked",IF(IF(B511=TodayDate,TRUE,FALSE),"Today",IF(IF(Z511&gt;0,AA511&lt;Z511-0.004,FALSE),"Due - deposit not taken",IF(IF(B511&gt;TodayDate,B511&lt;=TodayDate+2,FALSE),"Confirm - coming up","OK")))))))))))</f>
        <v>0</v>
      </c>
    </row>
    <row r="512" spans="1:34">
      <c r="A512" s="28">
        <f>IF(B512="","",AppointmentPrefix&amp;TEXT(ROW()-4,"0000"))</f>
        <v>0</v>
      </c>
      <c r="C512" s="15">
        <f>IF(B512="","",TEXT(B512,"ddd"))</f>
        <v>0</v>
      </c>
      <c r="F512" s="15">
        <f>IF(E512="","",IFERROR(INDEX(Clients!$B$5:$B$504,MATCH(E512,Clients!$A$5:$A$504,0)),"Walk-in"))</f>
        <v>0</v>
      </c>
      <c r="H512" s="15">
        <f>IF(G512="","",IFERROR(INDEX(Services!$B$5:$B$204,MATCH(G512,Services!$A$5:$A$204,0)),"Not in Services"))</f>
        <v>0</v>
      </c>
      <c r="J512" s="15">
        <f>IF(I512="","",IFERROR(INDEX(Staff!$B$5:$B$44,MATCH(I512,Staff!$A$5:$A$44,0)),"Unassigned"))</f>
        <v>0</v>
      </c>
      <c r="S512" s="15">
        <f>IF(B512="","",TEXT(B512,"yyyy-mm"))</f>
        <v>0</v>
      </c>
      <c r="T512" s="25">
        <f>IF(B512="","",WEEKNUM(B512,2))</f>
        <v>0</v>
      </c>
      <c r="U512" s="25">
        <f>IF(B512="","",IF(K512&lt;&gt;"",K512,IFERROR(INDEX(Services!$E$5:$E$204,MATCH(G512,Services!$A$5:$A$204,0))*1,0)+IFERROR(INDEX(Services!$F$5:$F$204,MATCH(G512,Services!$A$5:$A$204,0))*1,0)))</f>
        <v>0</v>
      </c>
      <c r="V512" s="36">
        <f>IF(B512="","",IF(D512="","",D512+U512/1440))</f>
        <v>0</v>
      </c>
      <c r="W512" s="25">
        <f>IF(B512="","",IF(D512="","",HOUR(D512)))</f>
        <v>0</v>
      </c>
      <c r="X512" s="37">
        <f>IF(B512="","",ROUND(U512/60,2))</f>
        <v>0</v>
      </c>
      <c r="Y512" s="26">
        <f>IF(B512="","",IF(L512&lt;&gt;"",L512,IFERROR(INDEX(Services!$G$5:$G$204,MATCH(G512,Services!$A$5:$A$204,0))*1,0)))</f>
        <v>0</v>
      </c>
      <c r="Z512" s="26">
        <f>IF(B512="","",IF(O512&lt;&gt;"",O512,IF(Y512&gt;=DepositThreshold,ROUND(Y512*DepositPercent,2),0)))</f>
        <v>0</v>
      </c>
      <c r="AA512" s="26">
        <f>IF(B512="","",ROUND(SUMIFS(Payments!$G$5:$G$1204,Payments!$I$5:$I$1204,A512,Payments!$E$5:$E$1204,"Deposit"),2))</f>
        <v>0</v>
      </c>
      <c r="AB512" s="26">
        <f>IF(B512="","",ROUND(SUMIFS(Sales!$Y$5:$Y$1204,Sales!$C$5:$C$1204,A512),2))</f>
        <v>0</v>
      </c>
      <c r="AC512" s="38">
        <f>IF(B512="","",IF(M512="Completed","Yes",IF(M512="Cancelled","Yes",IF(M512="No show","Yes","No"))))</f>
        <v>0</v>
      </c>
      <c r="AD512" s="25">
        <f>IF(B512="","",IF(AE512="","",B512-AE512))</f>
        <v>0</v>
      </c>
      <c r="AF512" s="38">
        <f>IF(B512="","",IF(M512&lt;&gt;"Completed","",IF(E512="","No",IF(COUNTIFS(Appointments!$E$5:$E$1204,E512,Appointments!$B$5:$B$1204,"&gt;"&amp;B512,Appointments!$M$5:$M$1204,"&lt;&gt;Cancelled")&gt;0,"Yes","No"))))</f>
        <v>0</v>
      </c>
      <c r="AG512" s="38">
        <f>IF(B512="","",IF(I512="","",IF(D512="","",IF(COUNTIFS($I$5:$I$1204,I512,$B$5:$B$1204,B512,$D$5:$D$1204,"&lt;"&amp;V512,$V$5:$V$1204,"&gt;"&amp;D512,$M$5:$M$1204,"&lt;&gt;Cancelled")&gt;1,"Clash",""))))</f>
        <v>0</v>
      </c>
      <c r="AH512" s="39">
        <f>IF(B512="","",IF(AG512="Clash","Clash - stylist double booked",IF(I512="","Assign - no stylist yet",IF(G512="","Add - no service chosen",IF(M512="No show","No show - charge the fee?",IF(M512="Cancelled","",IF(IF(M512="Completed",AB512&lt;Y512-0.004,FALSE),"Unpaid - nothing rung up for this visit",IF(IF(B512&lt;TodayDate,M512="Booked",FALSE),"Overdue - past date, still only Booked",IF(IF(B512=TodayDate,TRUE,FALSE),"Today",IF(IF(Z512&gt;0,AA512&lt;Z512-0.004,FALSE),"Due - deposit not taken",IF(IF(B512&gt;TodayDate,B512&lt;=TodayDate+2,FALSE),"Confirm - coming up","OK")))))))))))</f>
        <v>0</v>
      </c>
    </row>
    <row r="513" spans="1:34">
      <c r="A513" s="28">
        <f>IF(B513="","",AppointmentPrefix&amp;TEXT(ROW()-4,"0000"))</f>
        <v>0</v>
      </c>
      <c r="C513" s="15">
        <f>IF(B513="","",TEXT(B513,"ddd"))</f>
        <v>0</v>
      </c>
      <c r="F513" s="15">
        <f>IF(E513="","",IFERROR(INDEX(Clients!$B$5:$B$504,MATCH(E513,Clients!$A$5:$A$504,0)),"Walk-in"))</f>
        <v>0</v>
      </c>
      <c r="H513" s="15">
        <f>IF(G513="","",IFERROR(INDEX(Services!$B$5:$B$204,MATCH(G513,Services!$A$5:$A$204,0)),"Not in Services"))</f>
        <v>0</v>
      </c>
      <c r="J513" s="15">
        <f>IF(I513="","",IFERROR(INDEX(Staff!$B$5:$B$44,MATCH(I513,Staff!$A$5:$A$44,0)),"Unassigned"))</f>
        <v>0</v>
      </c>
      <c r="S513" s="15">
        <f>IF(B513="","",TEXT(B513,"yyyy-mm"))</f>
        <v>0</v>
      </c>
      <c r="T513" s="25">
        <f>IF(B513="","",WEEKNUM(B513,2))</f>
        <v>0</v>
      </c>
      <c r="U513" s="25">
        <f>IF(B513="","",IF(K513&lt;&gt;"",K513,IFERROR(INDEX(Services!$E$5:$E$204,MATCH(G513,Services!$A$5:$A$204,0))*1,0)+IFERROR(INDEX(Services!$F$5:$F$204,MATCH(G513,Services!$A$5:$A$204,0))*1,0)))</f>
        <v>0</v>
      </c>
      <c r="V513" s="36">
        <f>IF(B513="","",IF(D513="","",D513+U513/1440))</f>
        <v>0</v>
      </c>
      <c r="W513" s="25">
        <f>IF(B513="","",IF(D513="","",HOUR(D513)))</f>
        <v>0</v>
      </c>
      <c r="X513" s="37">
        <f>IF(B513="","",ROUND(U513/60,2))</f>
        <v>0</v>
      </c>
      <c r="Y513" s="26">
        <f>IF(B513="","",IF(L513&lt;&gt;"",L513,IFERROR(INDEX(Services!$G$5:$G$204,MATCH(G513,Services!$A$5:$A$204,0))*1,0)))</f>
        <v>0</v>
      </c>
      <c r="Z513" s="26">
        <f>IF(B513="","",IF(O513&lt;&gt;"",O513,IF(Y513&gt;=DepositThreshold,ROUND(Y513*DepositPercent,2),0)))</f>
        <v>0</v>
      </c>
      <c r="AA513" s="26">
        <f>IF(B513="","",ROUND(SUMIFS(Payments!$G$5:$G$1204,Payments!$I$5:$I$1204,A513,Payments!$E$5:$E$1204,"Deposit"),2))</f>
        <v>0</v>
      </c>
      <c r="AB513" s="26">
        <f>IF(B513="","",ROUND(SUMIFS(Sales!$Y$5:$Y$1204,Sales!$C$5:$C$1204,A513),2))</f>
        <v>0</v>
      </c>
      <c r="AC513" s="38">
        <f>IF(B513="","",IF(M513="Completed","Yes",IF(M513="Cancelled","Yes",IF(M513="No show","Yes","No"))))</f>
        <v>0</v>
      </c>
      <c r="AD513" s="25">
        <f>IF(B513="","",IF(AE513="","",B513-AE513))</f>
        <v>0</v>
      </c>
      <c r="AF513" s="38">
        <f>IF(B513="","",IF(M513&lt;&gt;"Completed","",IF(E513="","No",IF(COUNTIFS(Appointments!$E$5:$E$1204,E513,Appointments!$B$5:$B$1204,"&gt;"&amp;B513,Appointments!$M$5:$M$1204,"&lt;&gt;Cancelled")&gt;0,"Yes","No"))))</f>
        <v>0</v>
      </c>
      <c r="AG513" s="38">
        <f>IF(B513="","",IF(I513="","",IF(D513="","",IF(COUNTIFS($I$5:$I$1204,I513,$B$5:$B$1204,B513,$D$5:$D$1204,"&lt;"&amp;V513,$V$5:$V$1204,"&gt;"&amp;D513,$M$5:$M$1204,"&lt;&gt;Cancelled")&gt;1,"Clash",""))))</f>
        <v>0</v>
      </c>
      <c r="AH513" s="39">
        <f>IF(B513="","",IF(AG513="Clash","Clash - stylist double booked",IF(I513="","Assign - no stylist yet",IF(G513="","Add - no service chosen",IF(M513="No show","No show - charge the fee?",IF(M513="Cancelled","",IF(IF(M513="Completed",AB513&lt;Y513-0.004,FALSE),"Unpaid - nothing rung up for this visit",IF(IF(B513&lt;TodayDate,M513="Booked",FALSE),"Overdue - past date, still only Booked",IF(IF(B513=TodayDate,TRUE,FALSE),"Today",IF(IF(Z513&gt;0,AA513&lt;Z513-0.004,FALSE),"Due - deposit not taken",IF(IF(B513&gt;TodayDate,B513&lt;=TodayDate+2,FALSE),"Confirm - coming up","OK")))))))))))</f>
        <v>0</v>
      </c>
    </row>
    <row r="514" spans="1:34">
      <c r="A514" s="28">
        <f>IF(B514="","",AppointmentPrefix&amp;TEXT(ROW()-4,"0000"))</f>
        <v>0</v>
      </c>
      <c r="C514" s="15">
        <f>IF(B514="","",TEXT(B514,"ddd"))</f>
        <v>0</v>
      </c>
      <c r="F514" s="15">
        <f>IF(E514="","",IFERROR(INDEX(Clients!$B$5:$B$504,MATCH(E514,Clients!$A$5:$A$504,0)),"Walk-in"))</f>
        <v>0</v>
      </c>
      <c r="H514" s="15">
        <f>IF(G514="","",IFERROR(INDEX(Services!$B$5:$B$204,MATCH(G514,Services!$A$5:$A$204,0)),"Not in Services"))</f>
        <v>0</v>
      </c>
      <c r="J514" s="15">
        <f>IF(I514="","",IFERROR(INDEX(Staff!$B$5:$B$44,MATCH(I514,Staff!$A$5:$A$44,0)),"Unassigned"))</f>
        <v>0</v>
      </c>
      <c r="S514" s="15">
        <f>IF(B514="","",TEXT(B514,"yyyy-mm"))</f>
        <v>0</v>
      </c>
      <c r="T514" s="25">
        <f>IF(B514="","",WEEKNUM(B514,2))</f>
        <v>0</v>
      </c>
      <c r="U514" s="25">
        <f>IF(B514="","",IF(K514&lt;&gt;"",K514,IFERROR(INDEX(Services!$E$5:$E$204,MATCH(G514,Services!$A$5:$A$204,0))*1,0)+IFERROR(INDEX(Services!$F$5:$F$204,MATCH(G514,Services!$A$5:$A$204,0))*1,0)))</f>
        <v>0</v>
      </c>
      <c r="V514" s="36">
        <f>IF(B514="","",IF(D514="","",D514+U514/1440))</f>
        <v>0</v>
      </c>
      <c r="W514" s="25">
        <f>IF(B514="","",IF(D514="","",HOUR(D514)))</f>
        <v>0</v>
      </c>
      <c r="X514" s="37">
        <f>IF(B514="","",ROUND(U514/60,2))</f>
        <v>0</v>
      </c>
      <c r="Y514" s="26">
        <f>IF(B514="","",IF(L514&lt;&gt;"",L514,IFERROR(INDEX(Services!$G$5:$G$204,MATCH(G514,Services!$A$5:$A$204,0))*1,0)))</f>
        <v>0</v>
      </c>
      <c r="Z514" s="26">
        <f>IF(B514="","",IF(O514&lt;&gt;"",O514,IF(Y514&gt;=DepositThreshold,ROUND(Y514*DepositPercent,2),0)))</f>
        <v>0</v>
      </c>
      <c r="AA514" s="26">
        <f>IF(B514="","",ROUND(SUMIFS(Payments!$G$5:$G$1204,Payments!$I$5:$I$1204,A514,Payments!$E$5:$E$1204,"Deposit"),2))</f>
        <v>0</v>
      </c>
      <c r="AB514" s="26">
        <f>IF(B514="","",ROUND(SUMIFS(Sales!$Y$5:$Y$1204,Sales!$C$5:$C$1204,A514),2))</f>
        <v>0</v>
      </c>
      <c r="AC514" s="38">
        <f>IF(B514="","",IF(M514="Completed","Yes",IF(M514="Cancelled","Yes",IF(M514="No show","Yes","No"))))</f>
        <v>0</v>
      </c>
      <c r="AD514" s="25">
        <f>IF(B514="","",IF(AE514="","",B514-AE514))</f>
        <v>0</v>
      </c>
      <c r="AF514" s="38">
        <f>IF(B514="","",IF(M514&lt;&gt;"Completed","",IF(E514="","No",IF(COUNTIFS(Appointments!$E$5:$E$1204,E514,Appointments!$B$5:$B$1204,"&gt;"&amp;B514,Appointments!$M$5:$M$1204,"&lt;&gt;Cancelled")&gt;0,"Yes","No"))))</f>
        <v>0</v>
      </c>
      <c r="AG514" s="38">
        <f>IF(B514="","",IF(I514="","",IF(D514="","",IF(COUNTIFS($I$5:$I$1204,I514,$B$5:$B$1204,B514,$D$5:$D$1204,"&lt;"&amp;V514,$V$5:$V$1204,"&gt;"&amp;D514,$M$5:$M$1204,"&lt;&gt;Cancelled")&gt;1,"Clash",""))))</f>
        <v>0</v>
      </c>
      <c r="AH514" s="39">
        <f>IF(B514="","",IF(AG514="Clash","Clash - stylist double booked",IF(I514="","Assign - no stylist yet",IF(G514="","Add - no service chosen",IF(M514="No show","No show - charge the fee?",IF(M514="Cancelled","",IF(IF(M514="Completed",AB514&lt;Y514-0.004,FALSE),"Unpaid - nothing rung up for this visit",IF(IF(B514&lt;TodayDate,M514="Booked",FALSE),"Overdue - past date, still only Booked",IF(IF(B514=TodayDate,TRUE,FALSE),"Today",IF(IF(Z514&gt;0,AA514&lt;Z514-0.004,FALSE),"Due - deposit not taken",IF(IF(B514&gt;TodayDate,B514&lt;=TodayDate+2,FALSE),"Confirm - coming up","OK")))))))))))</f>
        <v>0</v>
      </c>
    </row>
    <row r="515" spans="1:34">
      <c r="A515" s="28">
        <f>IF(B515="","",AppointmentPrefix&amp;TEXT(ROW()-4,"0000"))</f>
        <v>0</v>
      </c>
      <c r="C515" s="15">
        <f>IF(B515="","",TEXT(B515,"ddd"))</f>
        <v>0</v>
      </c>
      <c r="F515" s="15">
        <f>IF(E515="","",IFERROR(INDEX(Clients!$B$5:$B$504,MATCH(E515,Clients!$A$5:$A$504,0)),"Walk-in"))</f>
        <v>0</v>
      </c>
      <c r="H515" s="15">
        <f>IF(G515="","",IFERROR(INDEX(Services!$B$5:$B$204,MATCH(G515,Services!$A$5:$A$204,0)),"Not in Services"))</f>
        <v>0</v>
      </c>
      <c r="J515" s="15">
        <f>IF(I515="","",IFERROR(INDEX(Staff!$B$5:$B$44,MATCH(I515,Staff!$A$5:$A$44,0)),"Unassigned"))</f>
        <v>0</v>
      </c>
      <c r="S515" s="15">
        <f>IF(B515="","",TEXT(B515,"yyyy-mm"))</f>
        <v>0</v>
      </c>
      <c r="T515" s="25">
        <f>IF(B515="","",WEEKNUM(B515,2))</f>
        <v>0</v>
      </c>
      <c r="U515" s="25">
        <f>IF(B515="","",IF(K515&lt;&gt;"",K515,IFERROR(INDEX(Services!$E$5:$E$204,MATCH(G515,Services!$A$5:$A$204,0))*1,0)+IFERROR(INDEX(Services!$F$5:$F$204,MATCH(G515,Services!$A$5:$A$204,0))*1,0)))</f>
        <v>0</v>
      </c>
      <c r="V515" s="36">
        <f>IF(B515="","",IF(D515="","",D515+U515/1440))</f>
        <v>0</v>
      </c>
      <c r="W515" s="25">
        <f>IF(B515="","",IF(D515="","",HOUR(D515)))</f>
        <v>0</v>
      </c>
      <c r="X515" s="37">
        <f>IF(B515="","",ROUND(U515/60,2))</f>
        <v>0</v>
      </c>
      <c r="Y515" s="26">
        <f>IF(B515="","",IF(L515&lt;&gt;"",L515,IFERROR(INDEX(Services!$G$5:$G$204,MATCH(G515,Services!$A$5:$A$204,0))*1,0)))</f>
        <v>0</v>
      </c>
      <c r="Z515" s="26">
        <f>IF(B515="","",IF(O515&lt;&gt;"",O515,IF(Y515&gt;=DepositThreshold,ROUND(Y515*DepositPercent,2),0)))</f>
        <v>0</v>
      </c>
      <c r="AA515" s="26">
        <f>IF(B515="","",ROUND(SUMIFS(Payments!$G$5:$G$1204,Payments!$I$5:$I$1204,A515,Payments!$E$5:$E$1204,"Deposit"),2))</f>
        <v>0</v>
      </c>
      <c r="AB515" s="26">
        <f>IF(B515="","",ROUND(SUMIFS(Sales!$Y$5:$Y$1204,Sales!$C$5:$C$1204,A515),2))</f>
        <v>0</v>
      </c>
      <c r="AC515" s="38">
        <f>IF(B515="","",IF(M515="Completed","Yes",IF(M515="Cancelled","Yes",IF(M515="No show","Yes","No"))))</f>
        <v>0</v>
      </c>
      <c r="AD515" s="25">
        <f>IF(B515="","",IF(AE515="","",B515-AE515))</f>
        <v>0</v>
      </c>
      <c r="AF515" s="38">
        <f>IF(B515="","",IF(M515&lt;&gt;"Completed","",IF(E515="","No",IF(COUNTIFS(Appointments!$E$5:$E$1204,E515,Appointments!$B$5:$B$1204,"&gt;"&amp;B515,Appointments!$M$5:$M$1204,"&lt;&gt;Cancelled")&gt;0,"Yes","No"))))</f>
        <v>0</v>
      </c>
      <c r="AG515" s="38">
        <f>IF(B515="","",IF(I515="","",IF(D515="","",IF(COUNTIFS($I$5:$I$1204,I515,$B$5:$B$1204,B515,$D$5:$D$1204,"&lt;"&amp;V515,$V$5:$V$1204,"&gt;"&amp;D515,$M$5:$M$1204,"&lt;&gt;Cancelled")&gt;1,"Clash",""))))</f>
        <v>0</v>
      </c>
      <c r="AH515" s="39">
        <f>IF(B515="","",IF(AG515="Clash","Clash - stylist double booked",IF(I515="","Assign - no stylist yet",IF(G515="","Add - no service chosen",IF(M515="No show","No show - charge the fee?",IF(M515="Cancelled","",IF(IF(M515="Completed",AB515&lt;Y515-0.004,FALSE),"Unpaid - nothing rung up for this visit",IF(IF(B515&lt;TodayDate,M515="Booked",FALSE),"Overdue - past date, still only Booked",IF(IF(B515=TodayDate,TRUE,FALSE),"Today",IF(IF(Z515&gt;0,AA515&lt;Z515-0.004,FALSE),"Due - deposit not taken",IF(IF(B515&gt;TodayDate,B515&lt;=TodayDate+2,FALSE),"Confirm - coming up","OK")))))))))))</f>
        <v>0</v>
      </c>
    </row>
    <row r="516" spans="1:34">
      <c r="A516" s="28">
        <f>IF(B516="","",AppointmentPrefix&amp;TEXT(ROW()-4,"0000"))</f>
        <v>0</v>
      </c>
      <c r="C516" s="15">
        <f>IF(B516="","",TEXT(B516,"ddd"))</f>
        <v>0</v>
      </c>
      <c r="F516" s="15">
        <f>IF(E516="","",IFERROR(INDEX(Clients!$B$5:$B$504,MATCH(E516,Clients!$A$5:$A$504,0)),"Walk-in"))</f>
        <v>0</v>
      </c>
      <c r="H516" s="15">
        <f>IF(G516="","",IFERROR(INDEX(Services!$B$5:$B$204,MATCH(G516,Services!$A$5:$A$204,0)),"Not in Services"))</f>
        <v>0</v>
      </c>
      <c r="J516" s="15">
        <f>IF(I516="","",IFERROR(INDEX(Staff!$B$5:$B$44,MATCH(I516,Staff!$A$5:$A$44,0)),"Unassigned"))</f>
        <v>0</v>
      </c>
      <c r="S516" s="15">
        <f>IF(B516="","",TEXT(B516,"yyyy-mm"))</f>
        <v>0</v>
      </c>
      <c r="T516" s="25">
        <f>IF(B516="","",WEEKNUM(B516,2))</f>
        <v>0</v>
      </c>
      <c r="U516" s="25">
        <f>IF(B516="","",IF(K516&lt;&gt;"",K516,IFERROR(INDEX(Services!$E$5:$E$204,MATCH(G516,Services!$A$5:$A$204,0))*1,0)+IFERROR(INDEX(Services!$F$5:$F$204,MATCH(G516,Services!$A$5:$A$204,0))*1,0)))</f>
        <v>0</v>
      </c>
      <c r="V516" s="36">
        <f>IF(B516="","",IF(D516="","",D516+U516/1440))</f>
        <v>0</v>
      </c>
      <c r="W516" s="25">
        <f>IF(B516="","",IF(D516="","",HOUR(D516)))</f>
        <v>0</v>
      </c>
      <c r="X516" s="37">
        <f>IF(B516="","",ROUND(U516/60,2))</f>
        <v>0</v>
      </c>
      <c r="Y516" s="26">
        <f>IF(B516="","",IF(L516&lt;&gt;"",L516,IFERROR(INDEX(Services!$G$5:$G$204,MATCH(G516,Services!$A$5:$A$204,0))*1,0)))</f>
        <v>0</v>
      </c>
      <c r="Z516" s="26">
        <f>IF(B516="","",IF(O516&lt;&gt;"",O516,IF(Y516&gt;=DepositThreshold,ROUND(Y516*DepositPercent,2),0)))</f>
        <v>0</v>
      </c>
      <c r="AA516" s="26">
        <f>IF(B516="","",ROUND(SUMIFS(Payments!$G$5:$G$1204,Payments!$I$5:$I$1204,A516,Payments!$E$5:$E$1204,"Deposit"),2))</f>
        <v>0</v>
      </c>
      <c r="AB516" s="26">
        <f>IF(B516="","",ROUND(SUMIFS(Sales!$Y$5:$Y$1204,Sales!$C$5:$C$1204,A516),2))</f>
        <v>0</v>
      </c>
      <c r="AC516" s="38">
        <f>IF(B516="","",IF(M516="Completed","Yes",IF(M516="Cancelled","Yes",IF(M516="No show","Yes","No"))))</f>
        <v>0</v>
      </c>
      <c r="AD516" s="25">
        <f>IF(B516="","",IF(AE516="","",B516-AE516))</f>
        <v>0</v>
      </c>
      <c r="AF516" s="38">
        <f>IF(B516="","",IF(M516&lt;&gt;"Completed","",IF(E516="","No",IF(COUNTIFS(Appointments!$E$5:$E$1204,E516,Appointments!$B$5:$B$1204,"&gt;"&amp;B516,Appointments!$M$5:$M$1204,"&lt;&gt;Cancelled")&gt;0,"Yes","No"))))</f>
        <v>0</v>
      </c>
      <c r="AG516" s="38">
        <f>IF(B516="","",IF(I516="","",IF(D516="","",IF(COUNTIFS($I$5:$I$1204,I516,$B$5:$B$1204,B516,$D$5:$D$1204,"&lt;"&amp;V516,$V$5:$V$1204,"&gt;"&amp;D516,$M$5:$M$1204,"&lt;&gt;Cancelled")&gt;1,"Clash",""))))</f>
        <v>0</v>
      </c>
      <c r="AH516" s="39">
        <f>IF(B516="","",IF(AG516="Clash","Clash - stylist double booked",IF(I516="","Assign - no stylist yet",IF(G516="","Add - no service chosen",IF(M516="No show","No show - charge the fee?",IF(M516="Cancelled","",IF(IF(M516="Completed",AB516&lt;Y516-0.004,FALSE),"Unpaid - nothing rung up for this visit",IF(IF(B516&lt;TodayDate,M516="Booked",FALSE),"Overdue - past date, still only Booked",IF(IF(B516=TodayDate,TRUE,FALSE),"Today",IF(IF(Z516&gt;0,AA516&lt;Z516-0.004,FALSE),"Due - deposit not taken",IF(IF(B516&gt;TodayDate,B516&lt;=TodayDate+2,FALSE),"Confirm - coming up","OK")))))))))))</f>
        <v>0</v>
      </c>
    </row>
    <row r="517" spans="1:34">
      <c r="A517" s="28">
        <f>IF(B517="","",AppointmentPrefix&amp;TEXT(ROW()-4,"0000"))</f>
        <v>0</v>
      </c>
      <c r="C517" s="15">
        <f>IF(B517="","",TEXT(B517,"ddd"))</f>
        <v>0</v>
      </c>
      <c r="F517" s="15">
        <f>IF(E517="","",IFERROR(INDEX(Clients!$B$5:$B$504,MATCH(E517,Clients!$A$5:$A$504,0)),"Walk-in"))</f>
        <v>0</v>
      </c>
      <c r="H517" s="15">
        <f>IF(G517="","",IFERROR(INDEX(Services!$B$5:$B$204,MATCH(G517,Services!$A$5:$A$204,0)),"Not in Services"))</f>
        <v>0</v>
      </c>
      <c r="J517" s="15">
        <f>IF(I517="","",IFERROR(INDEX(Staff!$B$5:$B$44,MATCH(I517,Staff!$A$5:$A$44,0)),"Unassigned"))</f>
        <v>0</v>
      </c>
      <c r="S517" s="15">
        <f>IF(B517="","",TEXT(B517,"yyyy-mm"))</f>
        <v>0</v>
      </c>
      <c r="T517" s="25">
        <f>IF(B517="","",WEEKNUM(B517,2))</f>
        <v>0</v>
      </c>
      <c r="U517" s="25">
        <f>IF(B517="","",IF(K517&lt;&gt;"",K517,IFERROR(INDEX(Services!$E$5:$E$204,MATCH(G517,Services!$A$5:$A$204,0))*1,0)+IFERROR(INDEX(Services!$F$5:$F$204,MATCH(G517,Services!$A$5:$A$204,0))*1,0)))</f>
        <v>0</v>
      </c>
      <c r="V517" s="36">
        <f>IF(B517="","",IF(D517="","",D517+U517/1440))</f>
        <v>0</v>
      </c>
      <c r="W517" s="25">
        <f>IF(B517="","",IF(D517="","",HOUR(D517)))</f>
        <v>0</v>
      </c>
      <c r="X517" s="37">
        <f>IF(B517="","",ROUND(U517/60,2))</f>
        <v>0</v>
      </c>
      <c r="Y517" s="26">
        <f>IF(B517="","",IF(L517&lt;&gt;"",L517,IFERROR(INDEX(Services!$G$5:$G$204,MATCH(G517,Services!$A$5:$A$204,0))*1,0)))</f>
        <v>0</v>
      </c>
      <c r="Z517" s="26">
        <f>IF(B517="","",IF(O517&lt;&gt;"",O517,IF(Y517&gt;=DepositThreshold,ROUND(Y517*DepositPercent,2),0)))</f>
        <v>0</v>
      </c>
      <c r="AA517" s="26">
        <f>IF(B517="","",ROUND(SUMIFS(Payments!$G$5:$G$1204,Payments!$I$5:$I$1204,A517,Payments!$E$5:$E$1204,"Deposit"),2))</f>
        <v>0</v>
      </c>
      <c r="AB517" s="26">
        <f>IF(B517="","",ROUND(SUMIFS(Sales!$Y$5:$Y$1204,Sales!$C$5:$C$1204,A517),2))</f>
        <v>0</v>
      </c>
      <c r="AC517" s="38">
        <f>IF(B517="","",IF(M517="Completed","Yes",IF(M517="Cancelled","Yes",IF(M517="No show","Yes","No"))))</f>
        <v>0</v>
      </c>
      <c r="AD517" s="25">
        <f>IF(B517="","",IF(AE517="","",B517-AE517))</f>
        <v>0</v>
      </c>
      <c r="AF517" s="38">
        <f>IF(B517="","",IF(M517&lt;&gt;"Completed","",IF(E517="","No",IF(COUNTIFS(Appointments!$E$5:$E$1204,E517,Appointments!$B$5:$B$1204,"&gt;"&amp;B517,Appointments!$M$5:$M$1204,"&lt;&gt;Cancelled")&gt;0,"Yes","No"))))</f>
        <v>0</v>
      </c>
      <c r="AG517" s="38">
        <f>IF(B517="","",IF(I517="","",IF(D517="","",IF(COUNTIFS($I$5:$I$1204,I517,$B$5:$B$1204,B517,$D$5:$D$1204,"&lt;"&amp;V517,$V$5:$V$1204,"&gt;"&amp;D517,$M$5:$M$1204,"&lt;&gt;Cancelled")&gt;1,"Clash",""))))</f>
        <v>0</v>
      </c>
      <c r="AH517" s="39">
        <f>IF(B517="","",IF(AG517="Clash","Clash - stylist double booked",IF(I517="","Assign - no stylist yet",IF(G517="","Add - no service chosen",IF(M517="No show","No show - charge the fee?",IF(M517="Cancelled","",IF(IF(M517="Completed",AB517&lt;Y517-0.004,FALSE),"Unpaid - nothing rung up for this visit",IF(IF(B517&lt;TodayDate,M517="Booked",FALSE),"Overdue - past date, still only Booked",IF(IF(B517=TodayDate,TRUE,FALSE),"Today",IF(IF(Z517&gt;0,AA517&lt;Z517-0.004,FALSE),"Due - deposit not taken",IF(IF(B517&gt;TodayDate,B517&lt;=TodayDate+2,FALSE),"Confirm - coming up","OK")))))))))))</f>
        <v>0</v>
      </c>
    </row>
    <row r="518" spans="1:34">
      <c r="A518" s="28">
        <f>IF(B518="","",AppointmentPrefix&amp;TEXT(ROW()-4,"0000"))</f>
        <v>0</v>
      </c>
      <c r="C518" s="15">
        <f>IF(B518="","",TEXT(B518,"ddd"))</f>
        <v>0</v>
      </c>
      <c r="F518" s="15">
        <f>IF(E518="","",IFERROR(INDEX(Clients!$B$5:$B$504,MATCH(E518,Clients!$A$5:$A$504,0)),"Walk-in"))</f>
        <v>0</v>
      </c>
      <c r="H518" s="15">
        <f>IF(G518="","",IFERROR(INDEX(Services!$B$5:$B$204,MATCH(G518,Services!$A$5:$A$204,0)),"Not in Services"))</f>
        <v>0</v>
      </c>
      <c r="J518" s="15">
        <f>IF(I518="","",IFERROR(INDEX(Staff!$B$5:$B$44,MATCH(I518,Staff!$A$5:$A$44,0)),"Unassigned"))</f>
        <v>0</v>
      </c>
      <c r="S518" s="15">
        <f>IF(B518="","",TEXT(B518,"yyyy-mm"))</f>
        <v>0</v>
      </c>
      <c r="T518" s="25">
        <f>IF(B518="","",WEEKNUM(B518,2))</f>
        <v>0</v>
      </c>
      <c r="U518" s="25">
        <f>IF(B518="","",IF(K518&lt;&gt;"",K518,IFERROR(INDEX(Services!$E$5:$E$204,MATCH(G518,Services!$A$5:$A$204,0))*1,0)+IFERROR(INDEX(Services!$F$5:$F$204,MATCH(G518,Services!$A$5:$A$204,0))*1,0)))</f>
        <v>0</v>
      </c>
      <c r="V518" s="36">
        <f>IF(B518="","",IF(D518="","",D518+U518/1440))</f>
        <v>0</v>
      </c>
      <c r="W518" s="25">
        <f>IF(B518="","",IF(D518="","",HOUR(D518)))</f>
        <v>0</v>
      </c>
      <c r="X518" s="37">
        <f>IF(B518="","",ROUND(U518/60,2))</f>
        <v>0</v>
      </c>
      <c r="Y518" s="26">
        <f>IF(B518="","",IF(L518&lt;&gt;"",L518,IFERROR(INDEX(Services!$G$5:$G$204,MATCH(G518,Services!$A$5:$A$204,0))*1,0)))</f>
        <v>0</v>
      </c>
      <c r="Z518" s="26">
        <f>IF(B518="","",IF(O518&lt;&gt;"",O518,IF(Y518&gt;=DepositThreshold,ROUND(Y518*DepositPercent,2),0)))</f>
        <v>0</v>
      </c>
      <c r="AA518" s="26">
        <f>IF(B518="","",ROUND(SUMIFS(Payments!$G$5:$G$1204,Payments!$I$5:$I$1204,A518,Payments!$E$5:$E$1204,"Deposit"),2))</f>
        <v>0</v>
      </c>
      <c r="AB518" s="26">
        <f>IF(B518="","",ROUND(SUMIFS(Sales!$Y$5:$Y$1204,Sales!$C$5:$C$1204,A518),2))</f>
        <v>0</v>
      </c>
      <c r="AC518" s="38">
        <f>IF(B518="","",IF(M518="Completed","Yes",IF(M518="Cancelled","Yes",IF(M518="No show","Yes","No"))))</f>
        <v>0</v>
      </c>
      <c r="AD518" s="25">
        <f>IF(B518="","",IF(AE518="","",B518-AE518))</f>
        <v>0</v>
      </c>
      <c r="AF518" s="38">
        <f>IF(B518="","",IF(M518&lt;&gt;"Completed","",IF(E518="","No",IF(COUNTIFS(Appointments!$E$5:$E$1204,E518,Appointments!$B$5:$B$1204,"&gt;"&amp;B518,Appointments!$M$5:$M$1204,"&lt;&gt;Cancelled")&gt;0,"Yes","No"))))</f>
        <v>0</v>
      </c>
      <c r="AG518" s="38">
        <f>IF(B518="","",IF(I518="","",IF(D518="","",IF(COUNTIFS($I$5:$I$1204,I518,$B$5:$B$1204,B518,$D$5:$D$1204,"&lt;"&amp;V518,$V$5:$V$1204,"&gt;"&amp;D518,$M$5:$M$1204,"&lt;&gt;Cancelled")&gt;1,"Clash",""))))</f>
        <v>0</v>
      </c>
      <c r="AH518" s="39">
        <f>IF(B518="","",IF(AG518="Clash","Clash - stylist double booked",IF(I518="","Assign - no stylist yet",IF(G518="","Add - no service chosen",IF(M518="No show","No show - charge the fee?",IF(M518="Cancelled","",IF(IF(M518="Completed",AB518&lt;Y518-0.004,FALSE),"Unpaid - nothing rung up for this visit",IF(IF(B518&lt;TodayDate,M518="Booked",FALSE),"Overdue - past date, still only Booked",IF(IF(B518=TodayDate,TRUE,FALSE),"Today",IF(IF(Z518&gt;0,AA518&lt;Z518-0.004,FALSE),"Due - deposit not taken",IF(IF(B518&gt;TodayDate,B518&lt;=TodayDate+2,FALSE),"Confirm - coming up","OK")))))))))))</f>
        <v>0</v>
      </c>
    </row>
    <row r="519" spans="1:34">
      <c r="A519" s="28">
        <f>IF(B519="","",AppointmentPrefix&amp;TEXT(ROW()-4,"0000"))</f>
        <v>0</v>
      </c>
      <c r="C519" s="15">
        <f>IF(B519="","",TEXT(B519,"ddd"))</f>
        <v>0</v>
      </c>
      <c r="F519" s="15">
        <f>IF(E519="","",IFERROR(INDEX(Clients!$B$5:$B$504,MATCH(E519,Clients!$A$5:$A$504,0)),"Walk-in"))</f>
        <v>0</v>
      </c>
      <c r="H519" s="15">
        <f>IF(G519="","",IFERROR(INDEX(Services!$B$5:$B$204,MATCH(G519,Services!$A$5:$A$204,0)),"Not in Services"))</f>
        <v>0</v>
      </c>
      <c r="J519" s="15">
        <f>IF(I519="","",IFERROR(INDEX(Staff!$B$5:$B$44,MATCH(I519,Staff!$A$5:$A$44,0)),"Unassigned"))</f>
        <v>0</v>
      </c>
      <c r="S519" s="15">
        <f>IF(B519="","",TEXT(B519,"yyyy-mm"))</f>
        <v>0</v>
      </c>
      <c r="T519" s="25">
        <f>IF(B519="","",WEEKNUM(B519,2))</f>
        <v>0</v>
      </c>
      <c r="U519" s="25">
        <f>IF(B519="","",IF(K519&lt;&gt;"",K519,IFERROR(INDEX(Services!$E$5:$E$204,MATCH(G519,Services!$A$5:$A$204,0))*1,0)+IFERROR(INDEX(Services!$F$5:$F$204,MATCH(G519,Services!$A$5:$A$204,0))*1,0)))</f>
        <v>0</v>
      </c>
      <c r="V519" s="36">
        <f>IF(B519="","",IF(D519="","",D519+U519/1440))</f>
        <v>0</v>
      </c>
      <c r="W519" s="25">
        <f>IF(B519="","",IF(D519="","",HOUR(D519)))</f>
        <v>0</v>
      </c>
      <c r="X519" s="37">
        <f>IF(B519="","",ROUND(U519/60,2))</f>
        <v>0</v>
      </c>
      <c r="Y519" s="26">
        <f>IF(B519="","",IF(L519&lt;&gt;"",L519,IFERROR(INDEX(Services!$G$5:$G$204,MATCH(G519,Services!$A$5:$A$204,0))*1,0)))</f>
        <v>0</v>
      </c>
      <c r="Z519" s="26">
        <f>IF(B519="","",IF(O519&lt;&gt;"",O519,IF(Y519&gt;=DepositThreshold,ROUND(Y519*DepositPercent,2),0)))</f>
        <v>0</v>
      </c>
      <c r="AA519" s="26">
        <f>IF(B519="","",ROUND(SUMIFS(Payments!$G$5:$G$1204,Payments!$I$5:$I$1204,A519,Payments!$E$5:$E$1204,"Deposit"),2))</f>
        <v>0</v>
      </c>
      <c r="AB519" s="26">
        <f>IF(B519="","",ROUND(SUMIFS(Sales!$Y$5:$Y$1204,Sales!$C$5:$C$1204,A519),2))</f>
        <v>0</v>
      </c>
      <c r="AC519" s="38">
        <f>IF(B519="","",IF(M519="Completed","Yes",IF(M519="Cancelled","Yes",IF(M519="No show","Yes","No"))))</f>
        <v>0</v>
      </c>
      <c r="AD519" s="25">
        <f>IF(B519="","",IF(AE519="","",B519-AE519))</f>
        <v>0</v>
      </c>
      <c r="AF519" s="38">
        <f>IF(B519="","",IF(M519&lt;&gt;"Completed","",IF(E519="","No",IF(COUNTIFS(Appointments!$E$5:$E$1204,E519,Appointments!$B$5:$B$1204,"&gt;"&amp;B519,Appointments!$M$5:$M$1204,"&lt;&gt;Cancelled")&gt;0,"Yes","No"))))</f>
        <v>0</v>
      </c>
      <c r="AG519" s="38">
        <f>IF(B519="","",IF(I519="","",IF(D519="","",IF(COUNTIFS($I$5:$I$1204,I519,$B$5:$B$1204,B519,$D$5:$D$1204,"&lt;"&amp;V519,$V$5:$V$1204,"&gt;"&amp;D519,$M$5:$M$1204,"&lt;&gt;Cancelled")&gt;1,"Clash",""))))</f>
        <v>0</v>
      </c>
      <c r="AH519" s="39">
        <f>IF(B519="","",IF(AG519="Clash","Clash - stylist double booked",IF(I519="","Assign - no stylist yet",IF(G519="","Add - no service chosen",IF(M519="No show","No show - charge the fee?",IF(M519="Cancelled","",IF(IF(M519="Completed",AB519&lt;Y519-0.004,FALSE),"Unpaid - nothing rung up for this visit",IF(IF(B519&lt;TodayDate,M519="Booked",FALSE),"Overdue - past date, still only Booked",IF(IF(B519=TodayDate,TRUE,FALSE),"Today",IF(IF(Z519&gt;0,AA519&lt;Z519-0.004,FALSE),"Due - deposit not taken",IF(IF(B519&gt;TodayDate,B519&lt;=TodayDate+2,FALSE),"Confirm - coming up","OK")))))))))))</f>
        <v>0</v>
      </c>
    </row>
    <row r="520" spans="1:34">
      <c r="A520" s="28">
        <f>IF(B520="","",AppointmentPrefix&amp;TEXT(ROW()-4,"0000"))</f>
        <v>0</v>
      </c>
      <c r="C520" s="15">
        <f>IF(B520="","",TEXT(B520,"ddd"))</f>
        <v>0</v>
      </c>
      <c r="F520" s="15">
        <f>IF(E520="","",IFERROR(INDEX(Clients!$B$5:$B$504,MATCH(E520,Clients!$A$5:$A$504,0)),"Walk-in"))</f>
        <v>0</v>
      </c>
      <c r="H520" s="15">
        <f>IF(G520="","",IFERROR(INDEX(Services!$B$5:$B$204,MATCH(G520,Services!$A$5:$A$204,0)),"Not in Services"))</f>
        <v>0</v>
      </c>
      <c r="J520" s="15">
        <f>IF(I520="","",IFERROR(INDEX(Staff!$B$5:$B$44,MATCH(I520,Staff!$A$5:$A$44,0)),"Unassigned"))</f>
        <v>0</v>
      </c>
      <c r="S520" s="15">
        <f>IF(B520="","",TEXT(B520,"yyyy-mm"))</f>
        <v>0</v>
      </c>
      <c r="T520" s="25">
        <f>IF(B520="","",WEEKNUM(B520,2))</f>
        <v>0</v>
      </c>
      <c r="U520" s="25">
        <f>IF(B520="","",IF(K520&lt;&gt;"",K520,IFERROR(INDEX(Services!$E$5:$E$204,MATCH(G520,Services!$A$5:$A$204,0))*1,0)+IFERROR(INDEX(Services!$F$5:$F$204,MATCH(G520,Services!$A$5:$A$204,0))*1,0)))</f>
        <v>0</v>
      </c>
      <c r="V520" s="36">
        <f>IF(B520="","",IF(D520="","",D520+U520/1440))</f>
        <v>0</v>
      </c>
      <c r="W520" s="25">
        <f>IF(B520="","",IF(D520="","",HOUR(D520)))</f>
        <v>0</v>
      </c>
      <c r="X520" s="37">
        <f>IF(B520="","",ROUND(U520/60,2))</f>
        <v>0</v>
      </c>
      <c r="Y520" s="26">
        <f>IF(B520="","",IF(L520&lt;&gt;"",L520,IFERROR(INDEX(Services!$G$5:$G$204,MATCH(G520,Services!$A$5:$A$204,0))*1,0)))</f>
        <v>0</v>
      </c>
      <c r="Z520" s="26">
        <f>IF(B520="","",IF(O520&lt;&gt;"",O520,IF(Y520&gt;=DepositThreshold,ROUND(Y520*DepositPercent,2),0)))</f>
        <v>0</v>
      </c>
      <c r="AA520" s="26">
        <f>IF(B520="","",ROUND(SUMIFS(Payments!$G$5:$G$1204,Payments!$I$5:$I$1204,A520,Payments!$E$5:$E$1204,"Deposit"),2))</f>
        <v>0</v>
      </c>
      <c r="AB520" s="26">
        <f>IF(B520="","",ROUND(SUMIFS(Sales!$Y$5:$Y$1204,Sales!$C$5:$C$1204,A520),2))</f>
        <v>0</v>
      </c>
      <c r="AC520" s="38">
        <f>IF(B520="","",IF(M520="Completed","Yes",IF(M520="Cancelled","Yes",IF(M520="No show","Yes","No"))))</f>
        <v>0</v>
      </c>
      <c r="AD520" s="25">
        <f>IF(B520="","",IF(AE520="","",B520-AE520))</f>
        <v>0</v>
      </c>
      <c r="AF520" s="38">
        <f>IF(B520="","",IF(M520&lt;&gt;"Completed","",IF(E520="","No",IF(COUNTIFS(Appointments!$E$5:$E$1204,E520,Appointments!$B$5:$B$1204,"&gt;"&amp;B520,Appointments!$M$5:$M$1204,"&lt;&gt;Cancelled")&gt;0,"Yes","No"))))</f>
        <v>0</v>
      </c>
      <c r="AG520" s="38">
        <f>IF(B520="","",IF(I520="","",IF(D520="","",IF(COUNTIFS($I$5:$I$1204,I520,$B$5:$B$1204,B520,$D$5:$D$1204,"&lt;"&amp;V520,$V$5:$V$1204,"&gt;"&amp;D520,$M$5:$M$1204,"&lt;&gt;Cancelled")&gt;1,"Clash",""))))</f>
        <v>0</v>
      </c>
      <c r="AH520" s="39">
        <f>IF(B520="","",IF(AG520="Clash","Clash - stylist double booked",IF(I520="","Assign - no stylist yet",IF(G520="","Add - no service chosen",IF(M520="No show","No show - charge the fee?",IF(M520="Cancelled","",IF(IF(M520="Completed",AB520&lt;Y520-0.004,FALSE),"Unpaid - nothing rung up for this visit",IF(IF(B520&lt;TodayDate,M520="Booked",FALSE),"Overdue - past date, still only Booked",IF(IF(B520=TodayDate,TRUE,FALSE),"Today",IF(IF(Z520&gt;0,AA520&lt;Z520-0.004,FALSE),"Due - deposit not taken",IF(IF(B520&gt;TodayDate,B520&lt;=TodayDate+2,FALSE),"Confirm - coming up","OK")))))))))))</f>
        <v>0</v>
      </c>
    </row>
    <row r="521" spans="1:34">
      <c r="A521" s="28">
        <f>IF(B521="","",AppointmentPrefix&amp;TEXT(ROW()-4,"0000"))</f>
        <v>0</v>
      </c>
      <c r="C521" s="15">
        <f>IF(B521="","",TEXT(B521,"ddd"))</f>
        <v>0</v>
      </c>
      <c r="F521" s="15">
        <f>IF(E521="","",IFERROR(INDEX(Clients!$B$5:$B$504,MATCH(E521,Clients!$A$5:$A$504,0)),"Walk-in"))</f>
        <v>0</v>
      </c>
      <c r="H521" s="15">
        <f>IF(G521="","",IFERROR(INDEX(Services!$B$5:$B$204,MATCH(G521,Services!$A$5:$A$204,0)),"Not in Services"))</f>
        <v>0</v>
      </c>
      <c r="J521" s="15">
        <f>IF(I521="","",IFERROR(INDEX(Staff!$B$5:$B$44,MATCH(I521,Staff!$A$5:$A$44,0)),"Unassigned"))</f>
        <v>0</v>
      </c>
      <c r="S521" s="15">
        <f>IF(B521="","",TEXT(B521,"yyyy-mm"))</f>
        <v>0</v>
      </c>
      <c r="T521" s="25">
        <f>IF(B521="","",WEEKNUM(B521,2))</f>
        <v>0</v>
      </c>
      <c r="U521" s="25">
        <f>IF(B521="","",IF(K521&lt;&gt;"",K521,IFERROR(INDEX(Services!$E$5:$E$204,MATCH(G521,Services!$A$5:$A$204,0))*1,0)+IFERROR(INDEX(Services!$F$5:$F$204,MATCH(G521,Services!$A$5:$A$204,0))*1,0)))</f>
        <v>0</v>
      </c>
      <c r="V521" s="36">
        <f>IF(B521="","",IF(D521="","",D521+U521/1440))</f>
        <v>0</v>
      </c>
      <c r="W521" s="25">
        <f>IF(B521="","",IF(D521="","",HOUR(D521)))</f>
        <v>0</v>
      </c>
      <c r="X521" s="37">
        <f>IF(B521="","",ROUND(U521/60,2))</f>
        <v>0</v>
      </c>
      <c r="Y521" s="26">
        <f>IF(B521="","",IF(L521&lt;&gt;"",L521,IFERROR(INDEX(Services!$G$5:$G$204,MATCH(G521,Services!$A$5:$A$204,0))*1,0)))</f>
        <v>0</v>
      </c>
      <c r="Z521" s="26">
        <f>IF(B521="","",IF(O521&lt;&gt;"",O521,IF(Y521&gt;=DepositThreshold,ROUND(Y521*DepositPercent,2),0)))</f>
        <v>0</v>
      </c>
      <c r="AA521" s="26">
        <f>IF(B521="","",ROUND(SUMIFS(Payments!$G$5:$G$1204,Payments!$I$5:$I$1204,A521,Payments!$E$5:$E$1204,"Deposit"),2))</f>
        <v>0</v>
      </c>
      <c r="AB521" s="26">
        <f>IF(B521="","",ROUND(SUMIFS(Sales!$Y$5:$Y$1204,Sales!$C$5:$C$1204,A521),2))</f>
        <v>0</v>
      </c>
      <c r="AC521" s="38">
        <f>IF(B521="","",IF(M521="Completed","Yes",IF(M521="Cancelled","Yes",IF(M521="No show","Yes","No"))))</f>
        <v>0</v>
      </c>
      <c r="AD521" s="25">
        <f>IF(B521="","",IF(AE521="","",B521-AE521))</f>
        <v>0</v>
      </c>
      <c r="AF521" s="38">
        <f>IF(B521="","",IF(M521&lt;&gt;"Completed","",IF(E521="","No",IF(COUNTIFS(Appointments!$E$5:$E$1204,E521,Appointments!$B$5:$B$1204,"&gt;"&amp;B521,Appointments!$M$5:$M$1204,"&lt;&gt;Cancelled")&gt;0,"Yes","No"))))</f>
        <v>0</v>
      </c>
      <c r="AG521" s="38">
        <f>IF(B521="","",IF(I521="","",IF(D521="","",IF(COUNTIFS($I$5:$I$1204,I521,$B$5:$B$1204,B521,$D$5:$D$1204,"&lt;"&amp;V521,$V$5:$V$1204,"&gt;"&amp;D521,$M$5:$M$1204,"&lt;&gt;Cancelled")&gt;1,"Clash",""))))</f>
        <v>0</v>
      </c>
      <c r="AH521" s="39">
        <f>IF(B521="","",IF(AG521="Clash","Clash - stylist double booked",IF(I521="","Assign - no stylist yet",IF(G521="","Add - no service chosen",IF(M521="No show","No show - charge the fee?",IF(M521="Cancelled","",IF(IF(M521="Completed",AB521&lt;Y521-0.004,FALSE),"Unpaid - nothing rung up for this visit",IF(IF(B521&lt;TodayDate,M521="Booked",FALSE),"Overdue - past date, still only Booked",IF(IF(B521=TodayDate,TRUE,FALSE),"Today",IF(IF(Z521&gt;0,AA521&lt;Z521-0.004,FALSE),"Due - deposit not taken",IF(IF(B521&gt;TodayDate,B521&lt;=TodayDate+2,FALSE),"Confirm - coming up","OK")))))))))))</f>
        <v>0</v>
      </c>
    </row>
    <row r="522" spans="1:34">
      <c r="A522" s="28">
        <f>IF(B522="","",AppointmentPrefix&amp;TEXT(ROW()-4,"0000"))</f>
        <v>0</v>
      </c>
      <c r="C522" s="15">
        <f>IF(B522="","",TEXT(B522,"ddd"))</f>
        <v>0</v>
      </c>
      <c r="F522" s="15">
        <f>IF(E522="","",IFERROR(INDEX(Clients!$B$5:$B$504,MATCH(E522,Clients!$A$5:$A$504,0)),"Walk-in"))</f>
        <v>0</v>
      </c>
      <c r="H522" s="15">
        <f>IF(G522="","",IFERROR(INDEX(Services!$B$5:$B$204,MATCH(G522,Services!$A$5:$A$204,0)),"Not in Services"))</f>
        <v>0</v>
      </c>
      <c r="J522" s="15">
        <f>IF(I522="","",IFERROR(INDEX(Staff!$B$5:$B$44,MATCH(I522,Staff!$A$5:$A$44,0)),"Unassigned"))</f>
        <v>0</v>
      </c>
      <c r="S522" s="15">
        <f>IF(B522="","",TEXT(B522,"yyyy-mm"))</f>
        <v>0</v>
      </c>
      <c r="T522" s="25">
        <f>IF(B522="","",WEEKNUM(B522,2))</f>
        <v>0</v>
      </c>
      <c r="U522" s="25">
        <f>IF(B522="","",IF(K522&lt;&gt;"",K522,IFERROR(INDEX(Services!$E$5:$E$204,MATCH(G522,Services!$A$5:$A$204,0))*1,0)+IFERROR(INDEX(Services!$F$5:$F$204,MATCH(G522,Services!$A$5:$A$204,0))*1,0)))</f>
        <v>0</v>
      </c>
      <c r="V522" s="36">
        <f>IF(B522="","",IF(D522="","",D522+U522/1440))</f>
        <v>0</v>
      </c>
      <c r="W522" s="25">
        <f>IF(B522="","",IF(D522="","",HOUR(D522)))</f>
        <v>0</v>
      </c>
      <c r="X522" s="37">
        <f>IF(B522="","",ROUND(U522/60,2))</f>
        <v>0</v>
      </c>
      <c r="Y522" s="26">
        <f>IF(B522="","",IF(L522&lt;&gt;"",L522,IFERROR(INDEX(Services!$G$5:$G$204,MATCH(G522,Services!$A$5:$A$204,0))*1,0)))</f>
        <v>0</v>
      </c>
      <c r="Z522" s="26">
        <f>IF(B522="","",IF(O522&lt;&gt;"",O522,IF(Y522&gt;=DepositThreshold,ROUND(Y522*DepositPercent,2),0)))</f>
        <v>0</v>
      </c>
      <c r="AA522" s="26">
        <f>IF(B522="","",ROUND(SUMIFS(Payments!$G$5:$G$1204,Payments!$I$5:$I$1204,A522,Payments!$E$5:$E$1204,"Deposit"),2))</f>
        <v>0</v>
      </c>
      <c r="AB522" s="26">
        <f>IF(B522="","",ROUND(SUMIFS(Sales!$Y$5:$Y$1204,Sales!$C$5:$C$1204,A522),2))</f>
        <v>0</v>
      </c>
      <c r="AC522" s="38">
        <f>IF(B522="","",IF(M522="Completed","Yes",IF(M522="Cancelled","Yes",IF(M522="No show","Yes","No"))))</f>
        <v>0</v>
      </c>
      <c r="AD522" s="25">
        <f>IF(B522="","",IF(AE522="","",B522-AE522))</f>
        <v>0</v>
      </c>
      <c r="AF522" s="38">
        <f>IF(B522="","",IF(M522&lt;&gt;"Completed","",IF(E522="","No",IF(COUNTIFS(Appointments!$E$5:$E$1204,E522,Appointments!$B$5:$B$1204,"&gt;"&amp;B522,Appointments!$M$5:$M$1204,"&lt;&gt;Cancelled")&gt;0,"Yes","No"))))</f>
        <v>0</v>
      </c>
      <c r="AG522" s="38">
        <f>IF(B522="","",IF(I522="","",IF(D522="","",IF(COUNTIFS($I$5:$I$1204,I522,$B$5:$B$1204,B522,$D$5:$D$1204,"&lt;"&amp;V522,$V$5:$V$1204,"&gt;"&amp;D522,$M$5:$M$1204,"&lt;&gt;Cancelled")&gt;1,"Clash",""))))</f>
        <v>0</v>
      </c>
      <c r="AH522" s="39">
        <f>IF(B522="","",IF(AG522="Clash","Clash - stylist double booked",IF(I522="","Assign - no stylist yet",IF(G522="","Add - no service chosen",IF(M522="No show","No show - charge the fee?",IF(M522="Cancelled","",IF(IF(M522="Completed",AB522&lt;Y522-0.004,FALSE),"Unpaid - nothing rung up for this visit",IF(IF(B522&lt;TodayDate,M522="Booked",FALSE),"Overdue - past date, still only Booked",IF(IF(B522=TodayDate,TRUE,FALSE),"Today",IF(IF(Z522&gt;0,AA522&lt;Z522-0.004,FALSE),"Due - deposit not taken",IF(IF(B522&gt;TodayDate,B522&lt;=TodayDate+2,FALSE),"Confirm - coming up","OK")))))))))))</f>
        <v>0</v>
      </c>
    </row>
    <row r="523" spans="1:34">
      <c r="A523" s="28">
        <f>IF(B523="","",AppointmentPrefix&amp;TEXT(ROW()-4,"0000"))</f>
        <v>0</v>
      </c>
      <c r="C523" s="15">
        <f>IF(B523="","",TEXT(B523,"ddd"))</f>
        <v>0</v>
      </c>
      <c r="F523" s="15">
        <f>IF(E523="","",IFERROR(INDEX(Clients!$B$5:$B$504,MATCH(E523,Clients!$A$5:$A$504,0)),"Walk-in"))</f>
        <v>0</v>
      </c>
      <c r="H523" s="15">
        <f>IF(G523="","",IFERROR(INDEX(Services!$B$5:$B$204,MATCH(G523,Services!$A$5:$A$204,0)),"Not in Services"))</f>
        <v>0</v>
      </c>
      <c r="J523" s="15">
        <f>IF(I523="","",IFERROR(INDEX(Staff!$B$5:$B$44,MATCH(I523,Staff!$A$5:$A$44,0)),"Unassigned"))</f>
        <v>0</v>
      </c>
      <c r="S523" s="15">
        <f>IF(B523="","",TEXT(B523,"yyyy-mm"))</f>
        <v>0</v>
      </c>
      <c r="T523" s="25">
        <f>IF(B523="","",WEEKNUM(B523,2))</f>
        <v>0</v>
      </c>
      <c r="U523" s="25">
        <f>IF(B523="","",IF(K523&lt;&gt;"",K523,IFERROR(INDEX(Services!$E$5:$E$204,MATCH(G523,Services!$A$5:$A$204,0))*1,0)+IFERROR(INDEX(Services!$F$5:$F$204,MATCH(G523,Services!$A$5:$A$204,0))*1,0)))</f>
        <v>0</v>
      </c>
      <c r="V523" s="36">
        <f>IF(B523="","",IF(D523="","",D523+U523/1440))</f>
        <v>0</v>
      </c>
      <c r="W523" s="25">
        <f>IF(B523="","",IF(D523="","",HOUR(D523)))</f>
        <v>0</v>
      </c>
      <c r="X523" s="37">
        <f>IF(B523="","",ROUND(U523/60,2))</f>
        <v>0</v>
      </c>
      <c r="Y523" s="26">
        <f>IF(B523="","",IF(L523&lt;&gt;"",L523,IFERROR(INDEX(Services!$G$5:$G$204,MATCH(G523,Services!$A$5:$A$204,0))*1,0)))</f>
        <v>0</v>
      </c>
      <c r="Z523" s="26">
        <f>IF(B523="","",IF(O523&lt;&gt;"",O523,IF(Y523&gt;=DepositThreshold,ROUND(Y523*DepositPercent,2),0)))</f>
        <v>0</v>
      </c>
      <c r="AA523" s="26">
        <f>IF(B523="","",ROUND(SUMIFS(Payments!$G$5:$G$1204,Payments!$I$5:$I$1204,A523,Payments!$E$5:$E$1204,"Deposit"),2))</f>
        <v>0</v>
      </c>
      <c r="AB523" s="26">
        <f>IF(B523="","",ROUND(SUMIFS(Sales!$Y$5:$Y$1204,Sales!$C$5:$C$1204,A523),2))</f>
        <v>0</v>
      </c>
      <c r="AC523" s="38">
        <f>IF(B523="","",IF(M523="Completed","Yes",IF(M523="Cancelled","Yes",IF(M523="No show","Yes","No"))))</f>
        <v>0</v>
      </c>
      <c r="AD523" s="25">
        <f>IF(B523="","",IF(AE523="","",B523-AE523))</f>
        <v>0</v>
      </c>
      <c r="AF523" s="38">
        <f>IF(B523="","",IF(M523&lt;&gt;"Completed","",IF(E523="","No",IF(COUNTIFS(Appointments!$E$5:$E$1204,E523,Appointments!$B$5:$B$1204,"&gt;"&amp;B523,Appointments!$M$5:$M$1204,"&lt;&gt;Cancelled")&gt;0,"Yes","No"))))</f>
        <v>0</v>
      </c>
      <c r="AG523" s="38">
        <f>IF(B523="","",IF(I523="","",IF(D523="","",IF(COUNTIFS($I$5:$I$1204,I523,$B$5:$B$1204,B523,$D$5:$D$1204,"&lt;"&amp;V523,$V$5:$V$1204,"&gt;"&amp;D523,$M$5:$M$1204,"&lt;&gt;Cancelled")&gt;1,"Clash",""))))</f>
        <v>0</v>
      </c>
      <c r="AH523" s="39">
        <f>IF(B523="","",IF(AG523="Clash","Clash - stylist double booked",IF(I523="","Assign - no stylist yet",IF(G523="","Add - no service chosen",IF(M523="No show","No show - charge the fee?",IF(M523="Cancelled","",IF(IF(M523="Completed",AB523&lt;Y523-0.004,FALSE),"Unpaid - nothing rung up for this visit",IF(IF(B523&lt;TodayDate,M523="Booked",FALSE),"Overdue - past date, still only Booked",IF(IF(B523=TodayDate,TRUE,FALSE),"Today",IF(IF(Z523&gt;0,AA523&lt;Z523-0.004,FALSE),"Due - deposit not taken",IF(IF(B523&gt;TodayDate,B523&lt;=TodayDate+2,FALSE),"Confirm - coming up","OK")))))))))))</f>
        <v>0</v>
      </c>
    </row>
    <row r="524" spans="1:34">
      <c r="A524" s="28">
        <f>IF(B524="","",AppointmentPrefix&amp;TEXT(ROW()-4,"0000"))</f>
        <v>0</v>
      </c>
      <c r="C524" s="15">
        <f>IF(B524="","",TEXT(B524,"ddd"))</f>
        <v>0</v>
      </c>
      <c r="F524" s="15">
        <f>IF(E524="","",IFERROR(INDEX(Clients!$B$5:$B$504,MATCH(E524,Clients!$A$5:$A$504,0)),"Walk-in"))</f>
        <v>0</v>
      </c>
      <c r="H524" s="15">
        <f>IF(G524="","",IFERROR(INDEX(Services!$B$5:$B$204,MATCH(G524,Services!$A$5:$A$204,0)),"Not in Services"))</f>
        <v>0</v>
      </c>
      <c r="J524" s="15">
        <f>IF(I524="","",IFERROR(INDEX(Staff!$B$5:$B$44,MATCH(I524,Staff!$A$5:$A$44,0)),"Unassigned"))</f>
        <v>0</v>
      </c>
      <c r="S524" s="15">
        <f>IF(B524="","",TEXT(B524,"yyyy-mm"))</f>
        <v>0</v>
      </c>
      <c r="T524" s="25">
        <f>IF(B524="","",WEEKNUM(B524,2))</f>
        <v>0</v>
      </c>
      <c r="U524" s="25">
        <f>IF(B524="","",IF(K524&lt;&gt;"",K524,IFERROR(INDEX(Services!$E$5:$E$204,MATCH(G524,Services!$A$5:$A$204,0))*1,0)+IFERROR(INDEX(Services!$F$5:$F$204,MATCH(G524,Services!$A$5:$A$204,0))*1,0)))</f>
        <v>0</v>
      </c>
      <c r="V524" s="36">
        <f>IF(B524="","",IF(D524="","",D524+U524/1440))</f>
        <v>0</v>
      </c>
      <c r="W524" s="25">
        <f>IF(B524="","",IF(D524="","",HOUR(D524)))</f>
        <v>0</v>
      </c>
      <c r="X524" s="37">
        <f>IF(B524="","",ROUND(U524/60,2))</f>
        <v>0</v>
      </c>
      <c r="Y524" s="26">
        <f>IF(B524="","",IF(L524&lt;&gt;"",L524,IFERROR(INDEX(Services!$G$5:$G$204,MATCH(G524,Services!$A$5:$A$204,0))*1,0)))</f>
        <v>0</v>
      </c>
      <c r="Z524" s="26">
        <f>IF(B524="","",IF(O524&lt;&gt;"",O524,IF(Y524&gt;=DepositThreshold,ROUND(Y524*DepositPercent,2),0)))</f>
        <v>0</v>
      </c>
      <c r="AA524" s="26">
        <f>IF(B524="","",ROUND(SUMIFS(Payments!$G$5:$G$1204,Payments!$I$5:$I$1204,A524,Payments!$E$5:$E$1204,"Deposit"),2))</f>
        <v>0</v>
      </c>
      <c r="AB524" s="26">
        <f>IF(B524="","",ROUND(SUMIFS(Sales!$Y$5:$Y$1204,Sales!$C$5:$C$1204,A524),2))</f>
        <v>0</v>
      </c>
      <c r="AC524" s="38">
        <f>IF(B524="","",IF(M524="Completed","Yes",IF(M524="Cancelled","Yes",IF(M524="No show","Yes","No"))))</f>
        <v>0</v>
      </c>
      <c r="AD524" s="25">
        <f>IF(B524="","",IF(AE524="","",B524-AE524))</f>
        <v>0</v>
      </c>
      <c r="AF524" s="38">
        <f>IF(B524="","",IF(M524&lt;&gt;"Completed","",IF(E524="","No",IF(COUNTIFS(Appointments!$E$5:$E$1204,E524,Appointments!$B$5:$B$1204,"&gt;"&amp;B524,Appointments!$M$5:$M$1204,"&lt;&gt;Cancelled")&gt;0,"Yes","No"))))</f>
        <v>0</v>
      </c>
      <c r="AG524" s="38">
        <f>IF(B524="","",IF(I524="","",IF(D524="","",IF(COUNTIFS($I$5:$I$1204,I524,$B$5:$B$1204,B524,$D$5:$D$1204,"&lt;"&amp;V524,$V$5:$V$1204,"&gt;"&amp;D524,$M$5:$M$1204,"&lt;&gt;Cancelled")&gt;1,"Clash",""))))</f>
        <v>0</v>
      </c>
      <c r="AH524" s="39">
        <f>IF(B524="","",IF(AG524="Clash","Clash - stylist double booked",IF(I524="","Assign - no stylist yet",IF(G524="","Add - no service chosen",IF(M524="No show","No show - charge the fee?",IF(M524="Cancelled","",IF(IF(M524="Completed",AB524&lt;Y524-0.004,FALSE),"Unpaid - nothing rung up for this visit",IF(IF(B524&lt;TodayDate,M524="Booked",FALSE),"Overdue - past date, still only Booked",IF(IF(B524=TodayDate,TRUE,FALSE),"Today",IF(IF(Z524&gt;0,AA524&lt;Z524-0.004,FALSE),"Due - deposit not taken",IF(IF(B524&gt;TodayDate,B524&lt;=TodayDate+2,FALSE),"Confirm - coming up","OK")))))))))))</f>
        <v>0</v>
      </c>
    </row>
    <row r="525" spans="1:34">
      <c r="A525" s="28">
        <f>IF(B525="","",AppointmentPrefix&amp;TEXT(ROW()-4,"0000"))</f>
        <v>0</v>
      </c>
      <c r="C525" s="15">
        <f>IF(B525="","",TEXT(B525,"ddd"))</f>
        <v>0</v>
      </c>
      <c r="F525" s="15">
        <f>IF(E525="","",IFERROR(INDEX(Clients!$B$5:$B$504,MATCH(E525,Clients!$A$5:$A$504,0)),"Walk-in"))</f>
        <v>0</v>
      </c>
      <c r="H525" s="15">
        <f>IF(G525="","",IFERROR(INDEX(Services!$B$5:$B$204,MATCH(G525,Services!$A$5:$A$204,0)),"Not in Services"))</f>
        <v>0</v>
      </c>
      <c r="J525" s="15">
        <f>IF(I525="","",IFERROR(INDEX(Staff!$B$5:$B$44,MATCH(I525,Staff!$A$5:$A$44,0)),"Unassigned"))</f>
        <v>0</v>
      </c>
      <c r="S525" s="15">
        <f>IF(B525="","",TEXT(B525,"yyyy-mm"))</f>
        <v>0</v>
      </c>
      <c r="T525" s="25">
        <f>IF(B525="","",WEEKNUM(B525,2))</f>
        <v>0</v>
      </c>
      <c r="U525" s="25">
        <f>IF(B525="","",IF(K525&lt;&gt;"",K525,IFERROR(INDEX(Services!$E$5:$E$204,MATCH(G525,Services!$A$5:$A$204,0))*1,0)+IFERROR(INDEX(Services!$F$5:$F$204,MATCH(G525,Services!$A$5:$A$204,0))*1,0)))</f>
        <v>0</v>
      </c>
      <c r="V525" s="36">
        <f>IF(B525="","",IF(D525="","",D525+U525/1440))</f>
        <v>0</v>
      </c>
      <c r="W525" s="25">
        <f>IF(B525="","",IF(D525="","",HOUR(D525)))</f>
        <v>0</v>
      </c>
      <c r="X525" s="37">
        <f>IF(B525="","",ROUND(U525/60,2))</f>
        <v>0</v>
      </c>
      <c r="Y525" s="26">
        <f>IF(B525="","",IF(L525&lt;&gt;"",L525,IFERROR(INDEX(Services!$G$5:$G$204,MATCH(G525,Services!$A$5:$A$204,0))*1,0)))</f>
        <v>0</v>
      </c>
      <c r="Z525" s="26">
        <f>IF(B525="","",IF(O525&lt;&gt;"",O525,IF(Y525&gt;=DepositThreshold,ROUND(Y525*DepositPercent,2),0)))</f>
        <v>0</v>
      </c>
      <c r="AA525" s="26">
        <f>IF(B525="","",ROUND(SUMIFS(Payments!$G$5:$G$1204,Payments!$I$5:$I$1204,A525,Payments!$E$5:$E$1204,"Deposit"),2))</f>
        <v>0</v>
      </c>
      <c r="AB525" s="26">
        <f>IF(B525="","",ROUND(SUMIFS(Sales!$Y$5:$Y$1204,Sales!$C$5:$C$1204,A525),2))</f>
        <v>0</v>
      </c>
      <c r="AC525" s="38">
        <f>IF(B525="","",IF(M525="Completed","Yes",IF(M525="Cancelled","Yes",IF(M525="No show","Yes","No"))))</f>
        <v>0</v>
      </c>
      <c r="AD525" s="25">
        <f>IF(B525="","",IF(AE525="","",B525-AE525))</f>
        <v>0</v>
      </c>
      <c r="AF525" s="38">
        <f>IF(B525="","",IF(M525&lt;&gt;"Completed","",IF(E525="","No",IF(COUNTIFS(Appointments!$E$5:$E$1204,E525,Appointments!$B$5:$B$1204,"&gt;"&amp;B525,Appointments!$M$5:$M$1204,"&lt;&gt;Cancelled")&gt;0,"Yes","No"))))</f>
        <v>0</v>
      </c>
      <c r="AG525" s="38">
        <f>IF(B525="","",IF(I525="","",IF(D525="","",IF(COUNTIFS($I$5:$I$1204,I525,$B$5:$B$1204,B525,$D$5:$D$1204,"&lt;"&amp;V525,$V$5:$V$1204,"&gt;"&amp;D525,$M$5:$M$1204,"&lt;&gt;Cancelled")&gt;1,"Clash",""))))</f>
        <v>0</v>
      </c>
      <c r="AH525" s="39">
        <f>IF(B525="","",IF(AG525="Clash","Clash - stylist double booked",IF(I525="","Assign - no stylist yet",IF(G525="","Add - no service chosen",IF(M525="No show","No show - charge the fee?",IF(M525="Cancelled","",IF(IF(M525="Completed",AB525&lt;Y525-0.004,FALSE),"Unpaid - nothing rung up for this visit",IF(IF(B525&lt;TodayDate,M525="Booked",FALSE),"Overdue - past date, still only Booked",IF(IF(B525=TodayDate,TRUE,FALSE),"Today",IF(IF(Z525&gt;0,AA525&lt;Z525-0.004,FALSE),"Due - deposit not taken",IF(IF(B525&gt;TodayDate,B525&lt;=TodayDate+2,FALSE),"Confirm - coming up","OK")))))))))))</f>
        <v>0</v>
      </c>
    </row>
    <row r="526" spans="1:34">
      <c r="A526" s="28">
        <f>IF(B526="","",AppointmentPrefix&amp;TEXT(ROW()-4,"0000"))</f>
        <v>0</v>
      </c>
      <c r="C526" s="15">
        <f>IF(B526="","",TEXT(B526,"ddd"))</f>
        <v>0</v>
      </c>
      <c r="F526" s="15">
        <f>IF(E526="","",IFERROR(INDEX(Clients!$B$5:$B$504,MATCH(E526,Clients!$A$5:$A$504,0)),"Walk-in"))</f>
        <v>0</v>
      </c>
      <c r="H526" s="15">
        <f>IF(G526="","",IFERROR(INDEX(Services!$B$5:$B$204,MATCH(G526,Services!$A$5:$A$204,0)),"Not in Services"))</f>
        <v>0</v>
      </c>
      <c r="J526" s="15">
        <f>IF(I526="","",IFERROR(INDEX(Staff!$B$5:$B$44,MATCH(I526,Staff!$A$5:$A$44,0)),"Unassigned"))</f>
        <v>0</v>
      </c>
      <c r="S526" s="15">
        <f>IF(B526="","",TEXT(B526,"yyyy-mm"))</f>
        <v>0</v>
      </c>
      <c r="T526" s="25">
        <f>IF(B526="","",WEEKNUM(B526,2))</f>
        <v>0</v>
      </c>
      <c r="U526" s="25">
        <f>IF(B526="","",IF(K526&lt;&gt;"",K526,IFERROR(INDEX(Services!$E$5:$E$204,MATCH(G526,Services!$A$5:$A$204,0))*1,0)+IFERROR(INDEX(Services!$F$5:$F$204,MATCH(G526,Services!$A$5:$A$204,0))*1,0)))</f>
        <v>0</v>
      </c>
      <c r="V526" s="36">
        <f>IF(B526="","",IF(D526="","",D526+U526/1440))</f>
        <v>0</v>
      </c>
      <c r="W526" s="25">
        <f>IF(B526="","",IF(D526="","",HOUR(D526)))</f>
        <v>0</v>
      </c>
      <c r="X526" s="37">
        <f>IF(B526="","",ROUND(U526/60,2))</f>
        <v>0</v>
      </c>
      <c r="Y526" s="26">
        <f>IF(B526="","",IF(L526&lt;&gt;"",L526,IFERROR(INDEX(Services!$G$5:$G$204,MATCH(G526,Services!$A$5:$A$204,0))*1,0)))</f>
        <v>0</v>
      </c>
      <c r="Z526" s="26">
        <f>IF(B526="","",IF(O526&lt;&gt;"",O526,IF(Y526&gt;=DepositThreshold,ROUND(Y526*DepositPercent,2),0)))</f>
        <v>0</v>
      </c>
      <c r="AA526" s="26">
        <f>IF(B526="","",ROUND(SUMIFS(Payments!$G$5:$G$1204,Payments!$I$5:$I$1204,A526,Payments!$E$5:$E$1204,"Deposit"),2))</f>
        <v>0</v>
      </c>
      <c r="AB526" s="26">
        <f>IF(B526="","",ROUND(SUMIFS(Sales!$Y$5:$Y$1204,Sales!$C$5:$C$1204,A526),2))</f>
        <v>0</v>
      </c>
      <c r="AC526" s="38">
        <f>IF(B526="","",IF(M526="Completed","Yes",IF(M526="Cancelled","Yes",IF(M526="No show","Yes","No"))))</f>
        <v>0</v>
      </c>
      <c r="AD526" s="25">
        <f>IF(B526="","",IF(AE526="","",B526-AE526))</f>
        <v>0</v>
      </c>
      <c r="AF526" s="38">
        <f>IF(B526="","",IF(M526&lt;&gt;"Completed","",IF(E526="","No",IF(COUNTIFS(Appointments!$E$5:$E$1204,E526,Appointments!$B$5:$B$1204,"&gt;"&amp;B526,Appointments!$M$5:$M$1204,"&lt;&gt;Cancelled")&gt;0,"Yes","No"))))</f>
        <v>0</v>
      </c>
      <c r="AG526" s="38">
        <f>IF(B526="","",IF(I526="","",IF(D526="","",IF(COUNTIFS($I$5:$I$1204,I526,$B$5:$B$1204,B526,$D$5:$D$1204,"&lt;"&amp;V526,$V$5:$V$1204,"&gt;"&amp;D526,$M$5:$M$1204,"&lt;&gt;Cancelled")&gt;1,"Clash",""))))</f>
        <v>0</v>
      </c>
      <c r="AH526" s="39">
        <f>IF(B526="","",IF(AG526="Clash","Clash - stylist double booked",IF(I526="","Assign - no stylist yet",IF(G526="","Add - no service chosen",IF(M526="No show","No show - charge the fee?",IF(M526="Cancelled","",IF(IF(M526="Completed",AB526&lt;Y526-0.004,FALSE),"Unpaid - nothing rung up for this visit",IF(IF(B526&lt;TodayDate,M526="Booked",FALSE),"Overdue - past date, still only Booked",IF(IF(B526=TodayDate,TRUE,FALSE),"Today",IF(IF(Z526&gt;0,AA526&lt;Z526-0.004,FALSE),"Due - deposit not taken",IF(IF(B526&gt;TodayDate,B526&lt;=TodayDate+2,FALSE),"Confirm - coming up","OK")))))))))))</f>
        <v>0</v>
      </c>
    </row>
    <row r="527" spans="1:34">
      <c r="A527" s="28">
        <f>IF(B527="","",AppointmentPrefix&amp;TEXT(ROW()-4,"0000"))</f>
        <v>0</v>
      </c>
      <c r="C527" s="15">
        <f>IF(B527="","",TEXT(B527,"ddd"))</f>
        <v>0</v>
      </c>
      <c r="F527" s="15">
        <f>IF(E527="","",IFERROR(INDEX(Clients!$B$5:$B$504,MATCH(E527,Clients!$A$5:$A$504,0)),"Walk-in"))</f>
        <v>0</v>
      </c>
      <c r="H527" s="15">
        <f>IF(G527="","",IFERROR(INDEX(Services!$B$5:$B$204,MATCH(G527,Services!$A$5:$A$204,0)),"Not in Services"))</f>
        <v>0</v>
      </c>
      <c r="J527" s="15">
        <f>IF(I527="","",IFERROR(INDEX(Staff!$B$5:$B$44,MATCH(I527,Staff!$A$5:$A$44,0)),"Unassigned"))</f>
        <v>0</v>
      </c>
      <c r="S527" s="15">
        <f>IF(B527="","",TEXT(B527,"yyyy-mm"))</f>
        <v>0</v>
      </c>
      <c r="T527" s="25">
        <f>IF(B527="","",WEEKNUM(B527,2))</f>
        <v>0</v>
      </c>
      <c r="U527" s="25">
        <f>IF(B527="","",IF(K527&lt;&gt;"",K527,IFERROR(INDEX(Services!$E$5:$E$204,MATCH(G527,Services!$A$5:$A$204,0))*1,0)+IFERROR(INDEX(Services!$F$5:$F$204,MATCH(G527,Services!$A$5:$A$204,0))*1,0)))</f>
        <v>0</v>
      </c>
      <c r="V527" s="36">
        <f>IF(B527="","",IF(D527="","",D527+U527/1440))</f>
        <v>0</v>
      </c>
      <c r="W527" s="25">
        <f>IF(B527="","",IF(D527="","",HOUR(D527)))</f>
        <v>0</v>
      </c>
      <c r="X527" s="37">
        <f>IF(B527="","",ROUND(U527/60,2))</f>
        <v>0</v>
      </c>
      <c r="Y527" s="26">
        <f>IF(B527="","",IF(L527&lt;&gt;"",L527,IFERROR(INDEX(Services!$G$5:$G$204,MATCH(G527,Services!$A$5:$A$204,0))*1,0)))</f>
        <v>0</v>
      </c>
      <c r="Z527" s="26">
        <f>IF(B527="","",IF(O527&lt;&gt;"",O527,IF(Y527&gt;=DepositThreshold,ROUND(Y527*DepositPercent,2),0)))</f>
        <v>0</v>
      </c>
      <c r="AA527" s="26">
        <f>IF(B527="","",ROUND(SUMIFS(Payments!$G$5:$G$1204,Payments!$I$5:$I$1204,A527,Payments!$E$5:$E$1204,"Deposit"),2))</f>
        <v>0</v>
      </c>
      <c r="AB527" s="26">
        <f>IF(B527="","",ROUND(SUMIFS(Sales!$Y$5:$Y$1204,Sales!$C$5:$C$1204,A527),2))</f>
        <v>0</v>
      </c>
      <c r="AC527" s="38">
        <f>IF(B527="","",IF(M527="Completed","Yes",IF(M527="Cancelled","Yes",IF(M527="No show","Yes","No"))))</f>
        <v>0</v>
      </c>
      <c r="AD527" s="25">
        <f>IF(B527="","",IF(AE527="","",B527-AE527))</f>
        <v>0</v>
      </c>
      <c r="AF527" s="38">
        <f>IF(B527="","",IF(M527&lt;&gt;"Completed","",IF(E527="","No",IF(COUNTIFS(Appointments!$E$5:$E$1204,E527,Appointments!$B$5:$B$1204,"&gt;"&amp;B527,Appointments!$M$5:$M$1204,"&lt;&gt;Cancelled")&gt;0,"Yes","No"))))</f>
        <v>0</v>
      </c>
      <c r="AG527" s="38">
        <f>IF(B527="","",IF(I527="","",IF(D527="","",IF(COUNTIFS($I$5:$I$1204,I527,$B$5:$B$1204,B527,$D$5:$D$1204,"&lt;"&amp;V527,$V$5:$V$1204,"&gt;"&amp;D527,$M$5:$M$1204,"&lt;&gt;Cancelled")&gt;1,"Clash",""))))</f>
        <v>0</v>
      </c>
      <c r="AH527" s="39">
        <f>IF(B527="","",IF(AG527="Clash","Clash - stylist double booked",IF(I527="","Assign - no stylist yet",IF(G527="","Add - no service chosen",IF(M527="No show","No show - charge the fee?",IF(M527="Cancelled","",IF(IF(M527="Completed",AB527&lt;Y527-0.004,FALSE),"Unpaid - nothing rung up for this visit",IF(IF(B527&lt;TodayDate,M527="Booked",FALSE),"Overdue - past date, still only Booked",IF(IF(B527=TodayDate,TRUE,FALSE),"Today",IF(IF(Z527&gt;0,AA527&lt;Z527-0.004,FALSE),"Due - deposit not taken",IF(IF(B527&gt;TodayDate,B527&lt;=TodayDate+2,FALSE),"Confirm - coming up","OK")))))))))))</f>
        <v>0</v>
      </c>
    </row>
    <row r="528" spans="1:34">
      <c r="A528" s="28">
        <f>IF(B528="","",AppointmentPrefix&amp;TEXT(ROW()-4,"0000"))</f>
        <v>0</v>
      </c>
      <c r="C528" s="15">
        <f>IF(B528="","",TEXT(B528,"ddd"))</f>
        <v>0</v>
      </c>
      <c r="F528" s="15">
        <f>IF(E528="","",IFERROR(INDEX(Clients!$B$5:$B$504,MATCH(E528,Clients!$A$5:$A$504,0)),"Walk-in"))</f>
        <v>0</v>
      </c>
      <c r="H528" s="15">
        <f>IF(G528="","",IFERROR(INDEX(Services!$B$5:$B$204,MATCH(G528,Services!$A$5:$A$204,0)),"Not in Services"))</f>
        <v>0</v>
      </c>
      <c r="J528" s="15">
        <f>IF(I528="","",IFERROR(INDEX(Staff!$B$5:$B$44,MATCH(I528,Staff!$A$5:$A$44,0)),"Unassigned"))</f>
        <v>0</v>
      </c>
      <c r="S528" s="15">
        <f>IF(B528="","",TEXT(B528,"yyyy-mm"))</f>
        <v>0</v>
      </c>
      <c r="T528" s="25">
        <f>IF(B528="","",WEEKNUM(B528,2))</f>
        <v>0</v>
      </c>
      <c r="U528" s="25">
        <f>IF(B528="","",IF(K528&lt;&gt;"",K528,IFERROR(INDEX(Services!$E$5:$E$204,MATCH(G528,Services!$A$5:$A$204,0))*1,0)+IFERROR(INDEX(Services!$F$5:$F$204,MATCH(G528,Services!$A$5:$A$204,0))*1,0)))</f>
        <v>0</v>
      </c>
      <c r="V528" s="36">
        <f>IF(B528="","",IF(D528="","",D528+U528/1440))</f>
        <v>0</v>
      </c>
      <c r="W528" s="25">
        <f>IF(B528="","",IF(D528="","",HOUR(D528)))</f>
        <v>0</v>
      </c>
      <c r="X528" s="37">
        <f>IF(B528="","",ROUND(U528/60,2))</f>
        <v>0</v>
      </c>
      <c r="Y528" s="26">
        <f>IF(B528="","",IF(L528&lt;&gt;"",L528,IFERROR(INDEX(Services!$G$5:$G$204,MATCH(G528,Services!$A$5:$A$204,0))*1,0)))</f>
        <v>0</v>
      </c>
      <c r="Z528" s="26">
        <f>IF(B528="","",IF(O528&lt;&gt;"",O528,IF(Y528&gt;=DepositThreshold,ROUND(Y528*DepositPercent,2),0)))</f>
        <v>0</v>
      </c>
      <c r="AA528" s="26">
        <f>IF(B528="","",ROUND(SUMIFS(Payments!$G$5:$G$1204,Payments!$I$5:$I$1204,A528,Payments!$E$5:$E$1204,"Deposit"),2))</f>
        <v>0</v>
      </c>
      <c r="AB528" s="26">
        <f>IF(B528="","",ROUND(SUMIFS(Sales!$Y$5:$Y$1204,Sales!$C$5:$C$1204,A528),2))</f>
        <v>0</v>
      </c>
      <c r="AC528" s="38">
        <f>IF(B528="","",IF(M528="Completed","Yes",IF(M528="Cancelled","Yes",IF(M528="No show","Yes","No"))))</f>
        <v>0</v>
      </c>
      <c r="AD528" s="25">
        <f>IF(B528="","",IF(AE528="","",B528-AE528))</f>
        <v>0</v>
      </c>
      <c r="AF528" s="38">
        <f>IF(B528="","",IF(M528&lt;&gt;"Completed","",IF(E528="","No",IF(COUNTIFS(Appointments!$E$5:$E$1204,E528,Appointments!$B$5:$B$1204,"&gt;"&amp;B528,Appointments!$M$5:$M$1204,"&lt;&gt;Cancelled")&gt;0,"Yes","No"))))</f>
        <v>0</v>
      </c>
      <c r="AG528" s="38">
        <f>IF(B528="","",IF(I528="","",IF(D528="","",IF(COUNTIFS($I$5:$I$1204,I528,$B$5:$B$1204,B528,$D$5:$D$1204,"&lt;"&amp;V528,$V$5:$V$1204,"&gt;"&amp;D528,$M$5:$M$1204,"&lt;&gt;Cancelled")&gt;1,"Clash",""))))</f>
        <v>0</v>
      </c>
      <c r="AH528" s="39">
        <f>IF(B528="","",IF(AG528="Clash","Clash - stylist double booked",IF(I528="","Assign - no stylist yet",IF(G528="","Add - no service chosen",IF(M528="No show","No show - charge the fee?",IF(M528="Cancelled","",IF(IF(M528="Completed",AB528&lt;Y528-0.004,FALSE),"Unpaid - nothing rung up for this visit",IF(IF(B528&lt;TodayDate,M528="Booked",FALSE),"Overdue - past date, still only Booked",IF(IF(B528=TodayDate,TRUE,FALSE),"Today",IF(IF(Z528&gt;0,AA528&lt;Z528-0.004,FALSE),"Due - deposit not taken",IF(IF(B528&gt;TodayDate,B528&lt;=TodayDate+2,FALSE),"Confirm - coming up","OK")))))))))))</f>
        <v>0</v>
      </c>
    </row>
    <row r="529" spans="1:34">
      <c r="A529" s="28">
        <f>IF(B529="","",AppointmentPrefix&amp;TEXT(ROW()-4,"0000"))</f>
        <v>0</v>
      </c>
      <c r="C529" s="15">
        <f>IF(B529="","",TEXT(B529,"ddd"))</f>
        <v>0</v>
      </c>
      <c r="F529" s="15">
        <f>IF(E529="","",IFERROR(INDEX(Clients!$B$5:$B$504,MATCH(E529,Clients!$A$5:$A$504,0)),"Walk-in"))</f>
        <v>0</v>
      </c>
      <c r="H529" s="15">
        <f>IF(G529="","",IFERROR(INDEX(Services!$B$5:$B$204,MATCH(G529,Services!$A$5:$A$204,0)),"Not in Services"))</f>
        <v>0</v>
      </c>
      <c r="J529" s="15">
        <f>IF(I529="","",IFERROR(INDEX(Staff!$B$5:$B$44,MATCH(I529,Staff!$A$5:$A$44,0)),"Unassigned"))</f>
        <v>0</v>
      </c>
      <c r="S529" s="15">
        <f>IF(B529="","",TEXT(B529,"yyyy-mm"))</f>
        <v>0</v>
      </c>
      <c r="T529" s="25">
        <f>IF(B529="","",WEEKNUM(B529,2))</f>
        <v>0</v>
      </c>
      <c r="U529" s="25">
        <f>IF(B529="","",IF(K529&lt;&gt;"",K529,IFERROR(INDEX(Services!$E$5:$E$204,MATCH(G529,Services!$A$5:$A$204,0))*1,0)+IFERROR(INDEX(Services!$F$5:$F$204,MATCH(G529,Services!$A$5:$A$204,0))*1,0)))</f>
        <v>0</v>
      </c>
      <c r="V529" s="36">
        <f>IF(B529="","",IF(D529="","",D529+U529/1440))</f>
        <v>0</v>
      </c>
      <c r="W529" s="25">
        <f>IF(B529="","",IF(D529="","",HOUR(D529)))</f>
        <v>0</v>
      </c>
      <c r="X529" s="37">
        <f>IF(B529="","",ROUND(U529/60,2))</f>
        <v>0</v>
      </c>
      <c r="Y529" s="26">
        <f>IF(B529="","",IF(L529&lt;&gt;"",L529,IFERROR(INDEX(Services!$G$5:$G$204,MATCH(G529,Services!$A$5:$A$204,0))*1,0)))</f>
        <v>0</v>
      </c>
      <c r="Z529" s="26">
        <f>IF(B529="","",IF(O529&lt;&gt;"",O529,IF(Y529&gt;=DepositThreshold,ROUND(Y529*DepositPercent,2),0)))</f>
        <v>0</v>
      </c>
      <c r="AA529" s="26">
        <f>IF(B529="","",ROUND(SUMIFS(Payments!$G$5:$G$1204,Payments!$I$5:$I$1204,A529,Payments!$E$5:$E$1204,"Deposit"),2))</f>
        <v>0</v>
      </c>
      <c r="AB529" s="26">
        <f>IF(B529="","",ROUND(SUMIFS(Sales!$Y$5:$Y$1204,Sales!$C$5:$C$1204,A529),2))</f>
        <v>0</v>
      </c>
      <c r="AC529" s="38">
        <f>IF(B529="","",IF(M529="Completed","Yes",IF(M529="Cancelled","Yes",IF(M529="No show","Yes","No"))))</f>
        <v>0</v>
      </c>
      <c r="AD529" s="25">
        <f>IF(B529="","",IF(AE529="","",B529-AE529))</f>
        <v>0</v>
      </c>
      <c r="AF529" s="38">
        <f>IF(B529="","",IF(M529&lt;&gt;"Completed","",IF(E529="","No",IF(COUNTIFS(Appointments!$E$5:$E$1204,E529,Appointments!$B$5:$B$1204,"&gt;"&amp;B529,Appointments!$M$5:$M$1204,"&lt;&gt;Cancelled")&gt;0,"Yes","No"))))</f>
        <v>0</v>
      </c>
      <c r="AG529" s="38">
        <f>IF(B529="","",IF(I529="","",IF(D529="","",IF(COUNTIFS($I$5:$I$1204,I529,$B$5:$B$1204,B529,$D$5:$D$1204,"&lt;"&amp;V529,$V$5:$V$1204,"&gt;"&amp;D529,$M$5:$M$1204,"&lt;&gt;Cancelled")&gt;1,"Clash",""))))</f>
        <v>0</v>
      </c>
      <c r="AH529" s="39">
        <f>IF(B529="","",IF(AG529="Clash","Clash - stylist double booked",IF(I529="","Assign - no stylist yet",IF(G529="","Add - no service chosen",IF(M529="No show","No show - charge the fee?",IF(M529="Cancelled","",IF(IF(M529="Completed",AB529&lt;Y529-0.004,FALSE),"Unpaid - nothing rung up for this visit",IF(IF(B529&lt;TodayDate,M529="Booked",FALSE),"Overdue - past date, still only Booked",IF(IF(B529=TodayDate,TRUE,FALSE),"Today",IF(IF(Z529&gt;0,AA529&lt;Z529-0.004,FALSE),"Due - deposit not taken",IF(IF(B529&gt;TodayDate,B529&lt;=TodayDate+2,FALSE),"Confirm - coming up","OK")))))))))))</f>
        <v>0</v>
      </c>
    </row>
    <row r="530" spans="1:34">
      <c r="A530" s="28">
        <f>IF(B530="","",AppointmentPrefix&amp;TEXT(ROW()-4,"0000"))</f>
        <v>0</v>
      </c>
      <c r="C530" s="15">
        <f>IF(B530="","",TEXT(B530,"ddd"))</f>
        <v>0</v>
      </c>
      <c r="F530" s="15">
        <f>IF(E530="","",IFERROR(INDEX(Clients!$B$5:$B$504,MATCH(E530,Clients!$A$5:$A$504,0)),"Walk-in"))</f>
        <v>0</v>
      </c>
      <c r="H530" s="15">
        <f>IF(G530="","",IFERROR(INDEX(Services!$B$5:$B$204,MATCH(G530,Services!$A$5:$A$204,0)),"Not in Services"))</f>
        <v>0</v>
      </c>
      <c r="J530" s="15">
        <f>IF(I530="","",IFERROR(INDEX(Staff!$B$5:$B$44,MATCH(I530,Staff!$A$5:$A$44,0)),"Unassigned"))</f>
        <v>0</v>
      </c>
      <c r="S530" s="15">
        <f>IF(B530="","",TEXT(B530,"yyyy-mm"))</f>
        <v>0</v>
      </c>
      <c r="T530" s="25">
        <f>IF(B530="","",WEEKNUM(B530,2))</f>
        <v>0</v>
      </c>
      <c r="U530" s="25">
        <f>IF(B530="","",IF(K530&lt;&gt;"",K530,IFERROR(INDEX(Services!$E$5:$E$204,MATCH(G530,Services!$A$5:$A$204,0))*1,0)+IFERROR(INDEX(Services!$F$5:$F$204,MATCH(G530,Services!$A$5:$A$204,0))*1,0)))</f>
        <v>0</v>
      </c>
      <c r="V530" s="36">
        <f>IF(B530="","",IF(D530="","",D530+U530/1440))</f>
        <v>0</v>
      </c>
      <c r="W530" s="25">
        <f>IF(B530="","",IF(D530="","",HOUR(D530)))</f>
        <v>0</v>
      </c>
      <c r="X530" s="37">
        <f>IF(B530="","",ROUND(U530/60,2))</f>
        <v>0</v>
      </c>
      <c r="Y530" s="26">
        <f>IF(B530="","",IF(L530&lt;&gt;"",L530,IFERROR(INDEX(Services!$G$5:$G$204,MATCH(G530,Services!$A$5:$A$204,0))*1,0)))</f>
        <v>0</v>
      </c>
      <c r="Z530" s="26">
        <f>IF(B530="","",IF(O530&lt;&gt;"",O530,IF(Y530&gt;=DepositThreshold,ROUND(Y530*DepositPercent,2),0)))</f>
        <v>0</v>
      </c>
      <c r="AA530" s="26">
        <f>IF(B530="","",ROUND(SUMIFS(Payments!$G$5:$G$1204,Payments!$I$5:$I$1204,A530,Payments!$E$5:$E$1204,"Deposit"),2))</f>
        <v>0</v>
      </c>
      <c r="AB530" s="26">
        <f>IF(B530="","",ROUND(SUMIFS(Sales!$Y$5:$Y$1204,Sales!$C$5:$C$1204,A530),2))</f>
        <v>0</v>
      </c>
      <c r="AC530" s="38">
        <f>IF(B530="","",IF(M530="Completed","Yes",IF(M530="Cancelled","Yes",IF(M530="No show","Yes","No"))))</f>
        <v>0</v>
      </c>
      <c r="AD530" s="25">
        <f>IF(B530="","",IF(AE530="","",B530-AE530))</f>
        <v>0</v>
      </c>
      <c r="AF530" s="38">
        <f>IF(B530="","",IF(M530&lt;&gt;"Completed","",IF(E530="","No",IF(COUNTIFS(Appointments!$E$5:$E$1204,E530,Appointments!$B$5:$B$1204,"&gt;"&amp;B530,Appointments!$M$5:$M$1204,"&lt;&gt;Cancelled")&gt;0,"Yes","No"))))</f>
        <v>0</v>
      </c>
      <c r="AG530" s="38">
        <f>IF(B530="","",IF(I530="","",IF(D530="","",IF(COUNTIFS($I$5:$I$1204,I530,$B$5:$B$1204,B530,$D$5:$D$1204,"&lt;"&amp;V530,$V$5:$V$1204,"&gt;"&amp;D530,$M$5:$M$1204,"&lt;&gt;Cancelled")&gt;1,"Clash",""))))</f>
        <v>0</v>
      </c>
      <c r="AH530" s="39">
        <f>IF(B530="","",IF(AG530="Clash","Clash - stylist double booked",IF(I530="","Assign - no stylist yet",IF(G530="","Add - no service chosen",IF(M530="No show","No show - charge the fee?",IF(M530="Cancelled","",IF(IF(M530="Completed",AB530&lt;Y530-0.004,FALSE),"Unpaid - nothing rung up for this visit",IF(IF(B530&lt;TodayDate,M530="Booked",FALSE),"Overdue - past date, still only Booked",IF(IF(B530=TodayDate,TRUE,FALSE),"Today",IF(IF(Z530&gt;0,AA530&lt;Z530-0.004,FALSE),"Due - deposit not taken",IF(IF(B530&gt;TodayDate,B530&lt;=TodayDate+2,FALSE),"Confirm - coming up","OK")))))))))))</f>
        <v>0</v>
      </c>
    </row>
    <row r="531" spans="1:34">
      <c r="A531" s="28">
        <f>IF(B531="","",AppointmentPrefix&amp;TEXT(ROW()-4,"0000"))</f>
        <v>0</v>
      </c>
      <c r="C531" s="15">
        <f>IF(B531="","",TEXT(B531,"ddd"))</f>
        <v>0</v>
      </c>
      <c r="F531" s="15">
        <f>IF(E531="","",IFERROR(INDEX(Clients!$B$5:$B$504,MATCH(E531,Clients!$A$5:$A$504,0)),"Walk-in"))</f>
        <v>0</v>
      </c>
      <c r="H531" s="15">
        <f>IF(G531="","",IFERROR(INDEX(Services!$B$5:$B$204,MATCH(G531,Services!$A$5:$A$204,0)),"Not in Services"))</f>
        <v>0</v>
      </c>
      <c r="J531" s="15">
        <f>IF(I531="","",IFERROR(INDEX(Staff!$B$5:$B$44,MATCH(I531,Staff!$A$5:$A$44,0)),"Unassigned"))</f>
        <v>0</v>
      </c>
      <c r="S531" s="15">
        <f>IF(B531="","",TEXT(B531,"yyyy-mm"))</f>
        <v>0</v>
      </c>
      <c r="T531" s="25">
        <f>IF(B531="","",WEEKNUM(B531,2))</f>
        <v>0</v>
      </c>
      <c r="U531" s="25">
        <f>IF(B531="","",IF(K531&lt;&gt;"",K531,IFERROR(INDEX(Services!$E$5:$E$204,MATCH(G531,Services!$A$5:$A$204,0))*1,0)+IFERROR(INDEX(Services!$F$5:$F$204,MATCH(G531,Services!$A$5:$A$204,0))*1,0)))</f>
        <v>0</v>
      </c>
      <c r="V531" s="36">
        <f>IF(B531="","",IF(D531="","",D531+U531/1440))</f>
        <v>0</v>
      </c>
      <c r="W531" s="25">
        <f>IF(B531="","",IF(D531="","",HOUR(D531)))</f>
        <v>0</v>
      </c>
      <c r="X531" s="37">
        <f>IF(B531="","",ROUND(U531/60,2))</f>
        <v>0</v>
      </c>
      <c r="Y531" s="26">
        <f>IF(B531="","",IF(L531&lt;&gt;"",L531,IFERROR(INDEX(Services!$G$5:$G$204,MATCH(G531,Services!$A$5:$A$204,0))*1,0)))</f>
        <v>0</v>
      </c>
      <c r="Z531" s="26">
        <f>IF(B531="","",IF(O531&lt;&gt;"",O531,IF(Y531&gt;=DepositThreshold,ROUND(Y531*DepositPercent,2),0)))</f>
        <v>0</v>
      </c>
      <c r="AA531" s="26">
        <f>IF(B531="","",ROUND(SUMIFS(Payments!$G$5:$G$1204,Payments!$I$5:$I$1204,A531,Payments!$E$5:$E$1204,"Deposit"),2))</f>
        <v>0</v>
      </c>
      <c r="AB531" s="26">
        <f>IF(B531="","",ROUND(SUMIFS(Sales!$Y$5:$Y$1204,Sales!$C$5:$C$1204,A531),2))</f>
        <v>0</v>
      </c>
      <c r="AC531" s="38">
        <f>IF(B531="","",IF(M531="Completed","Yes",IF(M531="Cancelled","Yes",IF(M531="No show","Yes","No"))))</f>
        <v>0</v>
      </c>
      <c r="AD531" s="25">
        <f>IF(B531="","",IF(AE531="","",B531-AE531))</f>
        <v>0</v>
      </c>
      <c r="AF531" s="38">
        <f>IF(B531="","",IF(M531&lt;&gt;"Completed","",IF(E531="","No",IF(COUNTIFS(Appointments!$E$5:$E$1204,E531,Appointments!$B$5:$B$1204,"&gt;"&amp;B531,Appointments!$M$5:$M$1204,"&lt;&gt;Cancelled")&gt;0,"Yes","No"))))</f>
        <v>0</v>
      </c>
      <c r="AG531" s="38">
        <f>IF(B531="","",IF(I531="","",IF(D531="","",IF(COUNTIFS($I$5:$I$1204,I531,$B$5:$B$1204,B531,$D$5:$D$1204,"&lt;"&amp;V531,$V$5:$V$1204,"&gt;"&amp;D531,$M$5:$M$1204,"&lt;&gt;Cancelled")&gt;1,"Clash",""))))</f>
        <v>0</v>
      </c>
      <c r="AH531" s="39">
        <f>IF(B531="","",IF(AG531="Clash","Clash - stylist double booked",IF(I531="","Assign - no stylist yet",IF(G531="","Add - no service chosen",IF(M531="No show","No show - charge the fee?",IF(M531="Cancelled","",IF(IF(M531="Completed",AB531&lt;Y531-0.004,FALSE),"Unpaid - nothing rung up for this visit",IF(IF(B531&lt;TodayDate,M531="Booked",FALSE),"Overdue - past date, still only Booked",IF(IF(B531=TodayDate,TRUE,FALSE),"Today",IF(IF(Z531&gt;0,AA531&lt;Z531-0.004,FALSE),"Due - deposit not taken",IF(IF(B531&gt;TodayDate,B531&lt;=TodayDate+2,FALSE),"Confirm - coming up","OK")))))))))))</f>
        <v>0</v>
      </c>
    </row>
    <row r="532" spans="1:34">
      <c r="A532" s="28">
        <f>IF(B532="","",AppointmentPrefix&amp;TEXT(ROW()-4,"0000"))</f>
        <v>0</v>
      </c>
      <c r="C532" s="15">
        <f>IF(B532="","",TEXT(B532,"ddd"))</f>
        <v>0</v>
      </c>
      <c r="F532" s="15">
        <f>IF(E532="","",IFERROR(INDEX(Clients!$B$5:$B$504,MATCH(E532,Clients!$A$5:$A$504,0)),"Walk-in"))</f>
        <v>0</v>
      </c>
      <c r="H532" s="15">
        <f>IF(G532="","",IFERROR(INDEX(Services!$B$5:$B$204,MATCH(G532,Services!$A$5:$A$204,0)),"Not in Services"))</f>
        <v>0</v>
      </c>
      <c r="J532" s="15">
        <f>IF(I532="","",IFERROR(INDEX(Staff!$B$5:$B$44,MATCH(I532,Staff!$A$5:$A$44,0)),"Unassigned"))</f>
        <v>0</v>
      </c>
      <c r="S532" s="15">
        <f>IF(B532="","",TEXT(B532,"yyyy-mm"))</f>
        <v>0</v>
      </c>
      <c r="T532" s="25">
        <f>IF(B532="","",WEEKNUM(B532,2))</f>
        <v>0</v>
      </c>
      <c r="U532" s="25">
        <f>IF(B532="","",IF(K532&lt;&gt;"",K532,IFERROR(INDEX(Services!$E$5:$E$204,MATCH(G532,Services!$A$5:$A$204,0))*1,0)+IFERROR(INDEX(Services!$F$5:$F$204,MATCH(G532,Services!$A$5:$A$204,0))*1,0)))</f>
        <v>0</v>
      </c>
      <c r="V532" s="36">
        <f>IF(B532="","",IF(D532="","",D532+U532/1440))</f>
        <v>0</v>
      </c>
      <c r="W532" s="25">
        <f>IF(B532="","",IF(D532="","",HOUR(D532)))</f>
        <v>0</v>
      </c>
      <c r="X532" s="37">
        <f>IF(B532="","",ROUND(U532/60,2))</f>
        <v>0</v>
      </c>
      <c r="Y532" s="26">
        <f>IF(B532="","",IF(L532&lt;&gt;"",L532,IFERROR(INDEX(Services!$G$5:$G$204,MATCH(G532,Services!$A$5:$A$204,0))*1,0)))</f>
        <v>0</v>
      </c>
      <c r="Z532" s="26">
        <f>IF(B532="","",IF(O532&lt;&gt;"",O532,IF(Y532&gt;=DepositThreshold,ROUND(Y532*DepositPercent,2),0)))</f>
        <v>0</v>
      </c>
      <c r="AA532" s="26">
        <f>IF(B532="","",ROUND(SUMIFS(Payments!$G$5:$G$1204,Payments!$I$5:$I$1204,A532,Payments!$E$5:$E$1204,"Deposit"),2))</f>
        <v>0</v>
      </c>
      <c r="AB532" s="26">
        <f>IF(B532="","",ROUND(SUMIFS(Sales!$Y$5:$Y$1204,Sales!$C$5:$C$1204,A532),2))</f>
        <v>0</v>
      </c>
      <c r="AC532" s="38">
        <f>IF(B532="","",IF(M532="Completed","Yes",IF(M532="Cancelled","Yes",IF(M532="No show","Yes","No"))))</f>
        <v>0</v>
      </c>
      <c r="AD532" s="25">
        <f>IF(B532="","",IF(AE532="","",B532-AE532))</f>
        <v>0</v>
      </c>
      <c r="AF532" s="38">
        <f>IF(B532="","",IF(M532&lt;&gt;"Completed","",IF(E532="","No",IF(COUNTIFS(Appointments!$E$5:$E$1204,E532,Appointments!$B$5:$B$1204,"&gt;"&amp;B532,Appointments!$M$5:$M$1204,"&lt;&gt;Cancelled")&gt;0,"Yes","No"))))</f>
        <v>0</v>
      </c>
      <c r="AG532" s="38">
        <f>IF(B532="","",IF(I532="","",IF(D532="","",IF(COUNTIFS($I$5:$I$1204,I532,$B$5:$B$1204,B532,$D$5:$D$1204,"&lt;"&amp;V532,$V$5:$V$1204,"&gt;"&amp;D532,$M$5:$M$1204,"&lt;&gt;Cancelled")&gt;1,"Clash",""))))</f>
        <v>0</v>
      </c>
      <c r="AH532" s="39">
        <f>IF(B532="","",IF(AG532="Clash","Clash - stylist double booked",IF(I532="","Assign - no stylist yet",IF(G532="","Add - no service chosen",IF(M532="No show","No show - charge the fee?",IF(M532="Cancelled","",IF(IF(M532="Completed",AB532&lt;Y532-0.004,FALSE),"Unpaid - nothing rung up for this visit",IF(IF(B532&lt;TodayDate,M532="Booked",FALSE),"Overdue - past date, still only Booked",IF(IF(B532=TodayDate,TRUE,FALSE),"Today",IF(IF(Z532&gt;0,AA532&lt;Z532-0.004,FALSE),"Due - deposit not taken",IF(IF(B532&gt;TodayDate,B532&lt;=TodayDate+2,FALSE),"Confirm - coming up","OK")))))))))))</f>
        <v>0</v>
      </c>
    </row>
    <row r="533" spans="1:34">
      <c r="A533" s="28">
        <f>IF(B533="","",AppointmentPrefix&amp;TEXT(ROW()-4,"0000"))</f>
        <v>0</v>
      </c>
      <c r="C533" s="15">
        <f>IF(B533="","",TEXT(B533,"ddd"))</f>
        <v>0</v>
      </c>
      <c r="F533" s="15">
        <f>IF(E533="","",IFERROR(INDEX(Clients!$B$5:$B$504,MATCH(E533,Clients!$A$5:$A$504,0)),"Walk-in"))</f>
        <v>0</v>
      </c>
      <c r="H533" s="15">
        <f>IF(G533="","",IFERROR(INDEX(Services!$B$5:$B$204,MATCH(G533,Services!$A$5:$A$204,0)),"Not in Services"))</f>
        <v>0</v>
      </c>
      <c r="J533" s="15">
        <f>IF(I533="","",IFERROR(INDEX(Staff!$B$5:$B$44,MATCH(I533,Staff!$A$5:$A$44,0)),"Unassigned"))</f>
        <v>0</v>
      </c>
      <c r="S533" s="15">
        <f>IF(B533="","",TEXT(B533,"yyyy-mm"))</f>
        <v>0</v>
      </c>
      <c r="T533" s="25">
        <f>IF(B533="","",WEEKNUM(B533,2))</f>
        <v>0</v>
      </c>
      <c r="U533" s="25">
        <f>IF(B533="","",IF(K533&lt;&gt;"",K533,IFERROR(INDEX(Services!$E$5:$E$204,MATCH(G533,Services!$A$5:$A$204,0))*1,0)+IFERROR(INDEX(Services!$F$5:$F$204,MATCH(G533,Services!$A$5:$A$204,0))*1,0)))</f>
        <v>0</v>
      </c>
      <c r="V533" s="36">
        <f>IF(B533="","",IF(D533="","",D533+U533/1440))</f>
        <v>0</v>
      </c>
      <c r="W533" s="25">
        <f>IF(B533="","",IF(D533="","",HOUR(D533)))</f>
        <v>0</v>
      </c>
      <c r="X533" s="37">
        <f>IF(B533="","",ROUND(U533/60,2))</f>
        <v>0</v>
      </c>
      <c r="Y533" s="26">
        <f>IF(B533="","",IF(L533&lt;&gt;"",L533,IFERROR(INDEX(Services!$G$5:$G$204,MATCH(G533,Services!$A$5:$A$204,0))*1,0)))</f>
        <v>0</v>
      </c>
      <c r="Z533" s="26">
        <f>IF(B533="","",IF(O533&lt;&gt;"",O533,IF(Y533&gt;=DepositThreshold,ROUND(Y533*DepositPercent,2),0)))</f>
        <v>0</v>
      </c>
      <c r="AA533" s="26">
        <f>IF(B533="","",ROUND(SUMIFS(Payments!$G$5:$G$1204,Payments!$I$5:$I$1204,A533,Payments!$E$5:$E$1204,"Deposit"),2))</f>
        <v>0</v>
      </c>
      <c r="AB533" s="26">
        <f>IF(B533="","",ROUND(SUMIFS(Sales!$Y$5:$Y$1204,Sales!$C$5:$C$1204,A533),2))</f>
        <v>0</v>
      </c>
      <c r="AC533" s="38">
        <f>IF(B533="","",IF(M533="Completed","Yes",IF(M533="Cancelled","Yes",IF(M533="No show","Yes","No"))))</f>
        <v>0</v>
      </c>
      <c r="AD533" s="25">
        <f>IF(B533="","",IF(AE533="","",B533-AE533))</f>
        <v>0</v>
      </c>
      <c r="AF533" s="38">
        <f>IF(B533="","",IF(M533&lt;&gt;"Completed","",IF(E533="","No",IF(COUNTIFS(Appointments!$E$5:$E$1204,E533,Appointments!$B$5:$B$1204,"&gt;"&amp;B533,Appointments!$M$5:$M$1204,"&lt;&gt;Cancelled")&gt;0,"Yes","No"))))</f>
        <v>0</v>
      </c>
      <c r="AG533" s="38">
        <f>IF(B533="","",IF(I533="","",IF(D533="","",IF(COUNTIFS($I$5:$I$1204,I533,$B$5:$B$1204,B533,$D$5:$D$1204,"&lt;"&amp;V533,$V$5:$V$1204,"&gt;"&amp;D533,$M$5:$M$1204,"&lt;&gt;Cancelled")&gt;1,"Clash",""))))</f>
        <v>0</v>
      </c>
      <c r="AH533" s="39">
        <f>IF(B533="","",IF(AG533="Clash","Clash - stylist double booked",IF(I533="","Assign - no stylist yet",IF(G533="","Add - no service chosen",IF(M533="No show","No show - charge the fee?",IF(M533="Cancelled","",IF(IF(M533="Completed",AB533&lt;Y533-0.004,FALSE),"Unpaid - nothing rung up for this visit",IF(IF(B533&lt;TodayDate,M533="Booked",FALSE),"Overdue - past date, still only Booked",IF(IF(B533=TodayDate,TRUE,FALSE),"Today",IF(IF(Z533&gt;0,AA533&lt;Z533-0.004,FALSE),"Due - deposit not taken",IF(IF(B533&gt;TodayDate,B533&lt;=TodayDate+2,FALSE),"Confirm - coming up","OK")))))))))))</f>
        <v>0</v>
      </c>
    </row>
    <row r="534" spans="1:34">
      <c r="A534" s="28">
        <f>IF(B534="","",AppointmentPrefix&amp;TEXT(ROW()-4,"0000"))</f>
        <v>0</v>
      </c>
      <c r="C534" s="15">
        <f>IF(B534="","",TEXT(B534,"ddd"))</f>
        <v>0</v>
      </c>
      <c r="F534" s="15">
        <f>IF(E534="","",IFERROR(INDEX(Clients!$B$5:$B$504,MATCH(E534,Clients!$A$5:$A$504,0)),"Walk-in"))</f>
        <v>0</v>
      </c>
      <c r="H534" s="15">
        <f>IF(G534="","",IFERROR(INDEX(Services!$B$5:$B$204,MATCH(G534,Services!$A$5:$A$204,0)),"Not in Services"))</f>
        <v>0</v>
      </c>
      <c r="J534" s="15">
        <f>IF(I534="","",IFERROR(INDEX(Staff!$B$5:$B$44,MATCH(I534,Staff!$A$5:$A$44,0)),"Unassigned"))</f>
        <v>0</v>
      </c>
      <c r="S534" s="15">
        <f>IF(B534="","",TEXT(B534,"yyyy-mm"))</f>
        <v>0</v>
      </c>
      <c r="T534" s="25">
        <f>IF(B534="","",WEEKNUM(B534,2))</f>
        <v>0</v>
      </c>
      <c r="U534" s="25">
        <f>IF(B534="","",IF(K534&lt;&gt;"",K534,IFERROR(INDEX(Services!$E$5:$E$204,MATCH(G534,Services!$A$5:$A$204,0))*1,0)+IFERROR(INDEX(Services!$F$5:$F$204,MATCH(G534,Services!$A$5:$A$204,0))*1,0)))</f>
        <v>0</v>
      </c>
      <c r="V534" s="36">
        <f>IF(B534="","",IF(D534="","",D534+U534/1440))</f>
        <v>0</v>
      </c>
      <c r="W534" s="25">
        <f>IF(B534="","",IF(D534="","",HOUR(D534)))</f>
        <v>0</v>
      </c>
      <c r="X534" s="37">
        <f>IF(B534="","",ROUND(U534/60,2))</f>
        <v>0</v>
      </c>
      <c r="Y534" s="26">
        <f>IF(B534="","",IF(L534&lt;&gt;"",L534,IFERROR(INDEX(Services!$G$5:$G$204,MATCH(G534,Services!$A$5:$A$204,0))*1,0)))</f>
        <v>0</v>
      </c>
      <c r="Z534" s="26">
        <f>IF(B534="","",IF(O534&lt;&gt;"",O534,IF(Y534&gt;=DepositThreshold,ROUND(Y534*DepositPercent,2),0)))</f>
        <v>0</v>
      </c>
      <c r="AA534" s="26">
        <f>IF(B534="","",ROUND(SUMIFS(Payments!$G$5:$G$1204,Payments!$I$5:$I$1204,A534,Payments!$E$5:$E$1204,"Deposit"),2))</f>
        <v>0</v>
      </c>
      <c r="AB534" s="26">
        <f>IF(B534="","",ROUND(SUMIFS(Sales!$Y$5:$Y$1204,Sales!$C$5:$C$1204,A534),2))</f>
        <v>0</v>
      </c>
      <c r="AC534" s="38">
        <f>IF(B534="","",IF(M534="Completed","Yes",IF(M534="Cancelled","Yes",IF(M534="No show","Yes","No"))))</f>
        <v>0</v>
      </c>
      <c r="AD534" s="25">
        <f>IF(B534="","",IF(AE534="","",B534-AE534))</f>
        <v>0</v>
      </c>
      <c r="AF534" s="38">
        <f>IF(B534="","",IF(M534&lt;&gt;"Completed","",IF(E534="","No",IF(COUNTIFS(Appointments!$E$5:$E$1204,E534,Appointments!$B$5:$B$1204,"&gt;"&amp;B534,Appointments!$M$5:$M$1204,"&lt;&gt;Cancelled")&gt;0,"Yes","No"))))</f>
        <v>0</v>
      </c>
      <c r="AG534" s="38">
        <f>IF(B534="","",IF(I534="","",IF(D534="","",IF(COUNTIFS($I$5:$I$1204,I534,$B$5:$B$1204,B534,$D$5:$D$1204,"&lt;"&amp;V534,$V$5:$V$1204,"&gt;"&amp;D534,$M$5:$M$1204,"&lt;&gt;Cancelled")&gt;1,"Clash",""))))</f>
        <v>0</v>
      </c>
      <c r="AH534" s="39">
        <f>IF(B534="","",IF(AG534="Clash","Clash - stylist double booked",IF(I534="","Assign - no stylist yet",IF(G534="","Add - no service chosen",IF(M534="No show","No show - charge the fee?",IF(M534="Cancelled","",IF(IF(M534="Completed",AB534&lt;Y534-0.004,FALSE),"Unpaid - nothing rung up for this visit",IF(IF(B534&lt;TodayDate,M534="Booked",FALSE),"Overdue - past date, still only Booked",IF(IF(B534=TodayDate,TRUE,FALSE),"Today",IF(IF(Z534&gt;0,AA534&lt;Z534-0.004,FALSE),"Due - deposit not taken",IF(IF(B534&gt;TodayDate,B534&lt;=TodayDate+2,FALSE),"Confirm - coming up","OK")))))))))))</f>
        <v>0</v>
      </c>
    </row>
    <row r="535" spans="1:34">
      <c r="A535" s="28">
        <f>IF(B535="","",AppointmentPrefix&amp;TEXT(ROW()-4,"0000"))</f>
        <v>0</v>
      </c>
      <c r="C535" s="15">
        <f>IF(B535="","",TEXT(B535,"ddd"))</f>
        <v>0</v>
      </c>
      <c r="F535" s="15">
        <f>IF(E535="","",IFERROR(INDEX(Clients!$B$5:$B$504,MATCH(E535,Clients!$A$5:$A$504,0)),"Walk-in"))</f>
        <v>0</v>
      </c>
      <c r="H535" s="15">
        <f>IF(G535="","",IFERROR(INDEX(Services!$B$5:$B$204,MATCH(G535,Services!$A$5:$A$204,0)),"Not in Services"))</f>
        <v>0</v>
      </c>
      <c r="J535" s="15">
        <f>IF(I535="","",IFERROR(INDEX(Staff!$B$5:$B$44,MATCH(I535,Staff!$A$5:$A$44,0)),"Unassigned"))</f>
        <v>0</v>
      </c>
      <c r="S535" s="15">
        <f>IF(B535="","",TEXT(B535,"yyyy-mm"))</f>
        <v>0</v>
      </c>
      <c r="T535" s="25">
        <f>IF(B535="","",WEEKNUM(B535,2))</f>
        <v>0</v>
      </c>
      <c r="U535" s="25">
        <f>IF(B535="","",IF(K535&lt;&gt;"",K535,IFERROR(INDEX(Services!$E$5:$E$204,MATCH(G535,Services!$A$5:$A$204,0))*1,0)+IFERROR(INDEX(Services!$F$5:$F$204,MATCH(G535,Services!$A$5:$A$204,0))*1,0)))</f>
        <v>0</v>
      </c>
      <c r="V535" s="36">
        <f>IF(B535="","",IF(D535="","",D535+U535/1440))</f>
        <v>0</v>
      </c>
      <c r="W535" s="25">
        <f>IF(B535="","",IF(D535="","",HOUR(D535)))</f>
        <v>0</v>
      </c>
      <c r="X535" s="37">
        <f>IF(B535="","",ROUND(U535/60,2))</f>
        <v>0</v>
      </c>
      <c r="Y535" s="26">
        <f>IF(B535="","",IF(L535&lt;&gt;"",L535,IFERROR(INDEX(Services!$G$5:$G$204,MATCH(G535,Services!$A$5:$A$204,0))*1,0)))</f>
        <v>0</v>
      </c>
      <c r="Z535" s="26">
        <f>IF(B535="","",IF(O535&lt;&gt;"",O535,IF(Y535&gt;=DepositThreshold,ROUND(Y535*DepositPercent,2),0)))</f>
        <v>0</v>
      </c>
      <c r="AA535" s="26">
        <f>IF(B535="","",ROUND(SUMIFS(Payments!$G$5:$G$1204,Payments!$I$5:$I$1204,A535,Payments!$E$5:$E$1204,"Deposit"),2))</f>
        <v>0</v>
      </c>
      <c r="AB535" s="26">
        <f>IF(B535="","",ROUND(SUMIFS(Sales!$Y$5:$Y$1204,Sales!$C$5:$C$1204,A535),2))</f>
        <v>0</v>
      </c>
      <c r="AC535" s="38">
        <f>IF(B535="","",IF(M535="Completed","Yes",IF(M535="Cancelled","Yes",IF(M535="No show","Yes","No"))))</f>
        <v>0</v>
      </c>
      <c r="AD535" s="25">
        <f>IF(B535="","",IF(AE535="","",B535-AE535))</f>
        <v>0</v>
      </c>
      <c r="AF535" s="38">
        <f>IF(B535="","",IF(M535&lt;&gt;"Completed","",IF(E535="","No",IF(COUNTIFS(Appointments!$E$5:$E$1204,E535,Appointments!$B$5:$B$1204,"&gt;"&amp;B535,Appointments!$M$5:$M$1204,"&lt;&gt;Cancelled")&gt;0,"Yes","No"))))</f>
        <v>0</v>
      </c>
      <c r="AG535" s="38">
        <f>IF(B535="","",IF(I535="","",IF(D535="","",IF(COUNTIFS($I$5:$I$1204,I535,$B$5:$B$1204,B535,$D$5:$D$1204,"&lt;"&amp;V535,$V$5:$V$1204,"&gt;"&amp;D535,$M$5:$M$1204,"&lt;&gt;Cancelled")&gt;1,"Clash",""))))</f>
        <v>0</v>
      </c>
      <c r="AH535" s="39">
        <f>IF(B535="","",IF(AG535="Clash","Clash - stylist double booked",IF(I535="","Assign - no stylist yet",IF(G535="","Add - no service chosen",IF(M535="No show","No show - charge the fee?",IF(M535="Cancelled","",IF(IF(M535="Completed",AB535&lt;Y535-0.004,FALSE),"Unpaid - nothing rung up for this visit",IF(IF(B535&lt;TodayDate,M535="Booked",FALSE),"Overdue - past date, still only Booked",IF(IF(B535=TodayDate,TRUE,FALSE),"Today",IF(IF(Z535&gt;0,AA535&lt;Z535-0.004,FALSE),"Due - deposit not taken",IF(IF(B535&gt;TodayDate,B535&lt;=TodayDate+2,FALSE),"Confirm - coming up","OK")))))))))))</f>
        <v>0</v>
      </c>
    </row>
    <row r="536" spans="1:34">
      <c r="A536" s="28">
        <f>IF(B536="","",AppointmentPrefix&amp;TEXT(ROW()-4,"0000"))</f>
        <v>0</v>
      </c>
      <c r="C536" s="15">
        <f>IF(B536="","",TEXT(B536,"ddd"))</f>
        <v>0</v>
      </c>
      <c r="F536" s="15">
        <f>IF(E536="","",IFERROR(INDEX(Clients!$B$5:$B$504,MATCH(E536,Clients!$A$5:$A$504,0)),"Walk-in"))</f>
        <v>0</v>
      </c>
      <c r="H536" s="15">
        <f>IF(G536="","",IFERROR(INDEX(Services!$B$5:$B$204,MATCH(G536,Services!$A$5:$A$204,0)),"Not in Services"))</f>
        <v>0</v>
      </c>
      <c r="J536" s="15">
        <f>IF(I536="","",IFERROR(INDEX(Staff!$B$5:$B$44,MATCH(I536,Staff!$A$5:$A$44,0)),"Unassigned"))</f>
        <v>0</v>
      </c>
      <c r="S536" s="15">
        <f>IF(B536="","",TEXT(B536,"yyyy-mm"))</f>
        <v>0</v>
      </c>
      <c r="T536" s="25">
        <f>IF(B536="","",WEEKNUM(B536,2))</f>
        <v>0</v>
      </c>
      <c r="U536" s="25">
        <f>IF(B536="","",IF(K536&lt;&gt;"",K536,IFERROR(INDEX(Services!$E$5:$E$204,MATCH(G536,Services!$A$5:$A$204,0))*1,0)+IFERROR(INDEX(Services!$F$5:$F$204,MATCH(G536,Services!$A$5:$A$204,0))*1,0)))</f>
        <v>0</v>
      </c>
      <c r="V536" s="36">
        <f>IF(B536="","",IF(D536="","",D536+U536/1440))</f>
        <v>0</v>
      </c>
      <c r="W536" s="25">
        <f>IF(B536="","",IF(D536="","",HOUR(D536)))</f>
        <v>0</v>
      </c>
      <c r="X536" s="37">
        <f>IF(B536="","",ROUND(U536/60,2))</f>
        <v>0</v>
      </c>
      <c r="Y536" s="26">
        <f>IF(B536="","",IF(L536&lt;&gt;"",L536,IFERROR(INDEX(Services!$G$5:$G$204,MATCH(G536,Services!$A$5:$A$204,0))*1,0)))</f>
        <v>0</v>
      </c>
      <c r="Z536" s="26">
        <f>IF(B536="","",IF(O536&lt;&gt;"",O536,IF(Y536&gt;=DepositThreshold,ROUND(Y536*DepositPercent,2),0)))</f>
        <v>0</v>
      </c>
      <c r="AA536" s="26">
        <f>IF(B536="","",ROUND(SUMIFS(Payments!$G$5:$G$1204,Payments!$I$5:$I$1204,A536,Payments!$E$5:$E$1204,"Deposit"),2))</f>
        <v>0</v>
      </c>
      <c r="AB536" s="26">
        <f>IF(B536="","",ROUND(SUMIFS(Sales!$Y$5:$Y$1204,Sales!$C$5:$C$1204,A536),2))</f>
        <v>0</v>
      </c>
      <c r="AC536" s="38">
        <f>IF(B536="","",IF(M536="Completed","Yes",IF(M536="Cancelled","Yes",IF(M536="No show","Yes","No"))))</f>
        <v>0</v>
      </c>
      <c r="AD536" s="25">
        <f>IF(B536="","",IF(AE536="","",B536-AE536))</f>
        <v>0</v>
      </c>
      <c r="AF536" s="38">
        <f>IF(B536="","",IF(M536&lt;&gt;"Completed","",IF(E536="","No",IF(COUNTIFS(Appointments!$E$5:$E$1204,E536,Appointments!$B$5:$B$1204,"&gt;"&amp;B536,Appointments!$M$5:$M$1204,"&lt;&gt;Cancelled")&gt;0,"Yes","No"))))</f>
        <v>0</v>
      </c>
      <c r="AG536" s="38">
        <f>IF(B536="","",IF(I536="","",IF(D536="","",IF(COUNTIFS($I$5:$I$1204,I536,$B$5:$B$1204,B536,$D$5:$D$1204,"&lt;"&amp;V536,$V$5:$V$1204,"&gt;"&amp;D536,$M$5:$M$1204,"&lt;&gt;Cancelled")&gt;1,"Clash",""))))</f>
        <v>0</v>
      </c>
      <c r="AH536" s="39">
        <f>IF(B536="","",IF(AG536="Clash","Clash - stylist double booked",IF(I536="","Assign - no stylist yet",IF(G536="","Add - no service chosen",IF(M536="No show","No show - charge the fee?",IF(M536="Cancelled","",IF(IF(M536="Completed",AB536&lt;Y536-0.004,FALSE),"Unpaid - nothing rung up for this visit",IF(IF(B536&lt;TodayDate,M536="Booked",FALSE),"Overdue - past date, still only Booked",IF(IF(B536=TodayDate,TRUE,FALSE),"Today",IF(IF(Z536&gt;0,AA536&lt;Z536-0.004,FALSE),"Due - deposit not taken",IF(IF(B536&gt;TodayDate,B536&lt;=TodayDate+2,FALSE),"Confirm - coming up","OK")))))))))))</f>
        <v>0</v>
      </c>
    </row>
    <row r="537" spans="1:34">
      <c r="A537" s="28">
        <f>IF(B537="","",AppointmentPrefix&amp;TEXT(ROW()-4,"0000"))</f>
        <v>0</v>
      </c>
      <c r="C537" s="15">
        <f>IF(B537="","",TEXT(B537,"ddd"))</f>
        <v>0</v>
      </c>
      <c r="F537" s="15">
        <f>IF(E537="","",IFERROR(INDEX(Clients!$B$5:$B$504,MATCH(E537,Clients!$A$5:$A$504,0)),"Walk-in"))</f>
        <v>0</v>
      </c>
      <c r="H537" s="15">
        <f>IF(G537="","",IFERROR(INDEX(Services!$B$5:$B$204,MATCH(G537,Services!$A$5:$A$204,0)),"Not in Services"))</f>
        <v>0</v>
      </c>
      <c r="J537" s="15">
        <f>IF(I537="","",IFERROR(INDEX(Staff!$B$5:$B$44,MATCH(I537,Staff!$A$5:$A$44,0)),"Unassigned"))</f>
        <v>0</v>
      </c>
      <c r="S537" s="15">
        <f>IF(B537="","",TEXT(B537,"yyyy-mm"))</f>
        <v>0</v>
      </c>
      <c r="T537" s="25">
        <f>IF(B537="","",WEEKNUM(B537,2))</f>
        <v>0</v>
      </c>
      <c r="U537" s="25">
        <f>IF(B537="","",IF(K537&lt;&gt;"",K537,IFERROR(INDEX(Services!$E$5:$E$204,MATCH(G537,Services!$A$5:$A$204,0))*1,0)+IFERROR(INDEX(Services!$F$5:$F$204,MATCH(G537,Services!$A$5:$A$204,0))*1,0)))</f>
        <v>0</v>
      </c>
      <c r="V537" s="36">
        <f>IF(B537="","",IF(D537="","",D537+U537/1440))</f>
        <v>0</v>
      </c>
      <c r="W537" s="25">
        <f>IF(B537="","",IF(D537="","",HOUR(D537)))</f>
        <v>0</v>
      </c>
      <c r="X537" s="37">
        <f>IF(B537="","",ROUND(U537/60,2))</f>
        <v>0</v>
      </c>
      <c r="Y537" s="26">
        <f>IF(B537="","",IF(L537&lt;&gt;"",L537,IFERROR(INDEX(Services!$G$5:$G$204,MATCH(G537,Services!$A$5:$A$204,0))*1,0)))</f>
        <v>0</v>
      </c>
      <c r="Z537" s="26">
        <f>IF(B537="","",IF(O537&lt;&gt;"",O537,IF(Y537&gt;=DepositThreshold,ROUND(Y537*DepositPercent,2),0)))</f>
        <v>0</v>
      </c>
      <c r="AA537" s="26">
        <f>IF(B537="","",ROUND(SUMIFS(Payments!$G$5:$G$1204,Payments!$I$5:$I$1204,A537,Payments!$E$5:$E$1204,"Deposit"),2))</f>
        <v>0</v>
      </c>
      <c r="AB537" s="26">
        <f>IF(B537="","",ROUND(SUMIFS(Sales!$Y$5:$Y$1204,Sales!$C$5:$C$1204,A537),2))</f>
        <v>0</v>
      </c>
      <c r="AC537" s="38">
        <f>IF(B537="","",IF(M537="Completed","Yes",IF(M537="Cancelled","Yes",IF(M537="No show","Yes","No"))))</f>
        <v>0</v>
      </c>
      <c r="AD537" s="25">
        <f>IF(B537="","",IF(AE537="","",B537-AE537))</f>
        <v>0</v>
      </c>
      <c r="AF537" s="38">
        <f>IF(B537="","",IF(M537&lt;&gt;"Completed","",IF(E537="","No",IF(COUNTIFS(Appointments!$E$5:$E$1204,E537,Appointments!$B$5:$B$1204,"&gt;"&amp;B537,Appointments!$M$5:$M$1204,"&lt;&gt;Cancelled")&gt;0,"Yes","No"))))</f>
        <v>0</v>
      </c>
      <c r="AG537" s="38">
        <f>IF(B537="","",IF(I537="","",IF(D537="","",IF(COUNTIFS($I$5:$I$1204,I537,$B$5:$B$1204,B537,$D$5:$D$1204,"&lt;"&amp;V537,$V$5:$V$1204,"&gt;"&amp;D537,$M$5:$M$1204,"&lt;&gt;Cancelled")&gt;1,"Clash",""))))</f>
        <v>0</v>
      </c>
      <c r="AH537" s="39">
        <f>IF(B537="","",IF(AG537="Clash","Clash - stylist double booked",IF(I537="","Assign - no stylist yet",IF(G537="","Add - no service chosen",IF(M537="No show","No show - charge the fee?",IF(M537="Cancelled","",IF(IF(M537="Completed",AB537&lt;Y537-0.004,FALSE),"Unpaid - nothing rung up for this visit",IF(IF(B537&lt;TodayDate,M537="Booked",FALSE),"Overdue - past date, still only Booked",IF(IF(B537=TodayDate,TRUE,FALSE),"Today",IF(IF(Z537&gt;0,AA537&lt;Z537-0.004,FALSE),"Due - deposit not taken",IF(IF(B537&gt;TodayDate,B537&lt;=TodayDate+2,FALSE),"Confirm - coming up","OK")))))))))))</f>
        <v>0</v>
      </c>
    </row>
    <row r="538" spans="1:34">
      <c r="A538" s="28">
        <f>IF(B538="","",AppointmentPrefix&amp;TEXT(ROW()-4,"0000"))</f>
        <v>0</v>
      </c>
      <c r="C538" s="15">
        <f>IF(B538="","",TEXT(B538,"ddd"))</f>
        <v>0</v>
      </c>
      <c r="F538" s="15">
        <f>IF(E538="","",IFERROR(INDEX(Clients!$B$5:$B$504,MATCH(E538,Clients!$A$5:$A$504,0)),"Walk-in"))</f>
        <v>0</v>
      </c>
      <c r="H538" s="15">
        <f>IF(G538="","",IFERROR(INDEX(Services!$B$5:$B$204,MATCH(G538,Services!$A$5:$A$204,0)),"Not in Services"))</f>
        <v>0</v>
      </c>
      <c r="J538" s="15">
        <f>IF(I538="","",IFERROR(INDEX(Staff!$B$5:$B$44,MATCH(I538,Staff!$A$5:$A$44,0)),"Unassigned"))</f>
        <v>0</v>
      </c>
      <c r="S538" s="15">
        <f>IF(B538="","",TEXT(B538,"yyyy-mm"))</f>
        <v>0</v>
      </c>
      <c r="T538" s="25">
        <f>IF(B538="","",WEEKNUM(B538,2))</f>
        <v>0</v>
      </c>
      <c r="U538" s="25">
        <f>IF(B538="","",IF(K538&lt;&gt;"",K538,IFERROR(INDEX(Services!$E$5:$E$204,MATCH(G538,Services!$A$5:$A$204,0))*1,0)+IFERROR(INDEX(Services!$F$5:$F$204,MATCH(G538,Services!$A$5:$A$204,0))*1,0)))</f>
        <v>0</v>
      </c>
      <c r="V538" s="36">
        <f>IF(B538="","",IF(D538="","",D538+U538/1440))</f>
        <v>0</v>
      </c>
      <c r="W538" s="25">
        <f>IF(B538="","",IF(D538="","",HOUR(D538)))</f>
        <v>0</v>
      </c>
      <c r="X538" s="37">
        <f>IF(B538="","",ROUND(U538/60,2))</f>
        <v>0</v>
      </c>
      <c r="Y538" s="26">
        <f>IF(B538="","",IF(L538&lt;&gt;"",L538,IFERROR(INDEX(Services!$G$5:$G$204,MATCH(G538,Services!$A$5:$A$204,0))*1,0)))</f>
        <v>0</v>
      </c>
      <c r="Z538" s="26">
        <f>IF(B538="","",IF(O538&lt;&gt;"",O538,IF(Y538&gt;=DepositThreshold,ROUND(Y538*DepositPercent,2),0)))</f>
        <v>0</v>
      </c>
      <c r="AA538" s="26">
        <f>IF(B538="","",ROUND(SUMIFS(Payments!$G$5:$G$1204,Payments!$I$5:$I$1204,A538,Payments!$E$5:$E$1204,"Deposit"),2))</f>
        <v>0</v>
      </c>
      <c r="AB538" s="26">
        <f>IF(B538="","",ROUND(SUMIFS(Sales!$Y$5:$Y$1204,Sales!$C$5:$C$1204,A538),2))</f>
        <v>0</v>
      </c>
      <c r="AC538" s="38">
        <f>IF(B538="","",IF(M538="Completed","Yes",IF(M538="Cancelled","Yes",IF(M538="No show","Yes","No"))))</f>
        <v>0</v>
      </c>
      <c r="AD538" s="25">
        <f>IF(B538="","",IF(AE538="","",B538-AE538))</f>
        <v>0</v>
      </c>
      <c r="AF538" s="38">
        <f>IF(B538="","",IF(M538&lt;&gt;"Completed","",IF(E538="","No",IF(COUNTIFS(Appointments!$E$5:$E$1204,E538,Appointments!$B$5:$B$1204,"&gt;"&amp;B538,Appointments!$M$5:$M$1204,"&lt;&gt;Cancelled")&gt;0,"Yes","No"))))</f>
        <v>0</v>
      </c>
      <c r="AG538" s="38">
        <f>IF(B538="","",IF(I538="","",IF(D538="","",IF(COUNTIFS($I$5:$I$1204,I538,$B$5:$B$1204,B538,$D$5:$D$1204,"&lt;"&amp;V538,$V$5:$V$1204,"&gt;"&amp;D538,$M$5:$M$1204,"&lt;&gt;Cancelled")&gt;1,"Clash",""))))</f>
        <v>0</v>
      </c>
      <c r="AH538" s="39">
        <f>IF(B538="","",IF(AG538="Clash","Clash - stylist double booked",IF(I538="","Assign - no stylist yet",IF(G538="","Add - no service chosen",IF(M538="No show","No show - charge the fee?",IF(M538="Cancelled","",IF(IF(M538="Completed",AB538&lt;Y538-0.004,FALSE),"Unpaid - nothing rung up for this visit",IF(IF(B538&lt;TodayDate,M538="Booked",FALSE),"Overdue - past date, still only Booked",IF(IF(B538=TodayDate,TRUE,FALSE),"Today",IF(IF(Z538&gt;0,AA538&lt;Z538-0.004,FALSE),"Due - deposit not taken",IF(IF(B538&gt;TodayDate,B538&lt;=TodayDate+2,FALSE),"Confirm - coming up","OK")))))))))))</f>
        <v>0</v>
      </c>
    </row>
    <row r="539" spans="1:34">
      <c r="A539" s="28">
        <f>IF(B539="","",AppointmentPrefix&amp;TEXT(ROW()-4,"0000"))</f>
        <v>0</v>
      </c>
      <c r="C539" s="15">
        <f>IF(B539="","",TEXT(B539,"ddd"))</f>
        <v>0</v>
      </c>
      <c r="F539" s="15">
        <f>IF(E539="","",IFERROR(INDEX(Clients!$B$5:$B$504,MATCH(E539,Clients!$A$5:$A$504,0)),"Walk-in"))</f>
        <v>0</v>
      </c>
      <c r="H539" s="15">
        <f>IF(G539="","",IFERROR(INDEX(Services!$B$5:$B$204,MATCH(G539,Services!$A$5:$A$204,0)),"Not in Services"))</f>
        <v>0</v>
      </c>
      <c r="J539" s="15">
        <f>IF(I539="","",IFERROR(INDEX(Staff!$B$5:$B$44,MATCH(I539,Staff!$A$5:$A$44,0)),"Unassigned"))</f>
        <v>0</v>
      </c>
      <c r="S539" s="15">
        <f>IF(B539="","",TEXT(B539,"yyyy-mm"))</f>
        <v>0</v>
      </c>
      <c r="T539" s="25">
        <f>IF(B539="","",WEEKNUM(B539,2))</f>
        <v>0</v>
      </c>
      <c r="U539" s="25">
        <f>IF(B539="","",IF(K539&lt;&gt;"",K539,IFERROR(INDEX(Services!$E$5:$E$204,MATCH(G539,Services!$A$5:$A$204,0))*1,0)+IFERROR(INDEX(Services!$F$5:$F$204,MATCH(G539,Services!$A$5:$A$204,0))*1,0)))</f>
        <v>0</v>
      </c>
      <c r="V539" s="36">
        <f>IF(B539="","",IF(D539="","",D539+U539/1440))</f>
        <v>0</v>
      </c>
      <c r="W539" s="25">
        <f>IF(B539="","",IF(D539="","",HOUR(D539)))</f>
        <v>0</v>
      </c>
      <c r="X539" s="37">
        <f>IF(B539="","",ROUND(U539/60,2))</f>
        <v>0</v>
      </c>
      <c r="Y539" s="26">
        <f>IF(B539="","",IF(L539&lt;&gt;"",L539,IFERROR(INDEX(Services!$G$5:$G$204,MATCH(G539,Services!$A$5:$A$204,0))*1,0)))</f>
        <v>0</v>
      </c>
      <c r="Z539" s="26">
        <f>IF(B539="","",IF(O539&lt;&gt;"",O539,IF(Y539&gt;=DepositThreshold,ROUND(Y539*DepositPercent,2),0)))</f>
        <v>0</v>
      </c>
      <c r="AA539" s="26">
        <f>IF(B539="","",ROUND(SUMIFS(Payments!$G$5:$G$1204,Payments!$I$5:$I$1204,A539,Payments!$E$5:$E$1204,"Deposit"),2))</f>
        <v>0</v>
      </c>
      <c r="AB539" s="26">
        <f>IF(B539="","",ROUND(SUMIFS(Sales!$Y$5:$Y$1204,Sales!$C$5:$C$1204,A539),2))</f>
        <v>0</v>
      </c>
      <c r="AC539" s="38">
        <f>IF(B539="","",IF(M539="Completed","Yes",IF(M539="Cancelled","Yes",IF(M539="No show","Yes","No"))))</f>
        <v>0</v>
      </c>
      <c r="AD539" s="25">
        <f>IF(B539="","",IF(AE539="","",B539-AE539))</f>
        <v>0</v>
      </c>
      <c r="AF539" s="38">
        <f>IF(B539="","",IF(M539&lt;&gt;"Completed","",IF(E539="","No",IF(COUNTIFS(Appointments!$E$5:$E$1204,E539,Appointments!$B$5:$B$1204,"&gt;"&amp;B539,Appointments!$M$5:$M$1204,"&lt;&gt;Cancelled")&gt;0,"Yes","No"))))</f>
        <v>0</v>
      </c>
      <c r="AG539" s="38">
        <f>IF(B539="","",IF(I539="","",IF(D539="","",IF(COUNTIFS($I$5:$I$1204,I539,$B$5:$B$1204,B539,$D$5:$D$1204,"&lt;"&amp;V539,$V$5:$V$1204,"&gt;"&amp;D539,$M$5:$M$1204,"&lt;&gt;Cancelled")&gt;1,"Clash",""))))</f>
        <v>0</v>
      </c>
      <c r="AH539" s="39">
        <f>IF(B539="","",IF(AG539="Clash","Clash - stylist double booked",IF(I539="","Assign - no stylist yet",IF(G539="","Add - no service chosen",IF(M539="No show","No show - charge the fee?",IF(M539="Cancelled","",IF(IF(M539="Completed",AB539&lt;Y539-0.004,FALSE),"Unpaid - nothing rung up for this visit",IF(IF(B539&lt;TodayDate,M539="Booked",FALSE),"Overdue - past date, still only Booked",IF(IF(B539=TodayDate,TRUE,FALSE),"Today",IF(IF(Z539&gt;0,AA539&lt;Z539-0.004,FALSE),"Due - deposit not taken",IF(IF(B539&gt;TodayDate,B539&lt;=TodayDate+2,FALSE),"Confirm - coming up","OK")))))))))))</f>
        <v>0</v>
      </c>
    </row>
    <row r="540" spans="1:34">
      <c r="A540" s="28">
        <f>IF(B540="","",AppointmentPrefix&amp;TEXT(ROW()-4,"0000"))</f>
        <v>0</v>
      </c>
      <c r="C540" s="15">
        <f>IF(B540="","",TEXT(B540,"ddd"))</f>
        <v>0</v>
      </c>
      <c r="F540" s="15">
        <f>IF(E540="","",IFERROR(INDEX(Clients!$B$5:$B$504,MATCH(E540,Clients!$A$5:$A$504,0)),"Walk-in"))</f>
        <v>0</v>
      </c>
      <c r="H540" s="15">
        <f>IF(G540="","",IFERROR(INDEX(Services!$B$5:$B$204,MATCH(G540,Services!$A$5:$A$204,0)),"Not in Services"))</f>
        <v>0</v>
      </c>
      <c r="J540" s="15">
        <f>IF(I540="","",IFERROR(INDEX(Staff!$B$5:$B$44,MATCH(I540,Staff!$A$5:$A$44,0)),"Unassigned"))</f>
        <v>0</v>
      </c>
      <c r="S540" s="15">
        <f>IF(B540="","",TEXT(B540,"yyyy-mm"))</f>
        <v>0</v>
      </c>
      <c r="T540" s="25">
        <f>IF(B540="","",WEEKNUM(B540,2))</f>
        <v>0</v>
      </c>
      <c r="U540" s="25">
        <f>IF(B540="","",IF(K540&lt;&gt;"",K540,IFERROR(INDEX(Services!$E$5:$E$204,MATCH(G540,Services!$A$5:$A$204,0))*1,0)+IFERROR(INDEX(Services!$F$5:$F$204,MATCH(G540,Services!$A$5:$A$204,0))*1,0)))</f>
        <v>0</v>
      </c>
      <c r="V540" s="36">
        <f>IF(B540="","",IF(D540="","",D540+U540/1440))</f>
        <v>0</v>
      </c>
      <c r="W540" s="25">
        <f>IF(B540="","",IF(D540="","",HOUR(D540)))</f>
        <v>0</v>
      </c>
      <c r="X540" s="37">
        <f>IF(B540="","",ROUND(U540/60,2))</f>
        <v>0</v>
      </c>
      <c r="Y540" s="26">
        <f>IF(B540="","",IF(L540&lt;&gt;"",L540,IFERROR(INDEX(Services!$G$5:$G$204,MATCH(G540,Services!$A$5:$A$204,0))*1,0)))</f>
        <v>0</v>
      </c>
      <c r="Z540" s="26">
        <f>IF(B540="","",IF(O540&lt;&gt;"",O540,IF(Y540&gt;=DepositThreshold,ROUND(Y540*DepositPercent,2),0)))</f>
        <v>0</v>
      </c>
      <c r="AA540" s="26">
        <f>IF(B540="","",ROUND(SUMIFS(Payments!$G$5:$G$1204,Payments!$I$5:$I$1204,A540,Payments!$E$5:$E$1204,"Deposit"),2))</f>
        <v>0</v>
      </c>
      <c r="AB540" s="26">
        <f>IF(B540="","",ROUND(SUMIFS(Sales!$Y$5:$Y$1204,Sales!$C$5:$C$1204,A540),2))</f>
        <v>0</v>
      </c>
      <c r="AC540" s="38">
        <f>IF(B540="","",IF(M540="Completed","Yes",IF(M540="Cancelled","Yes",IF(M540="No show","Yes","No"))))</f>
        <v>0</v>
      </c>
      <c r="AD540" s="25">
        <f>IF(B540="","",IF(AE540="","",B540-AE540))</f>
        <v>0</v>
      </c>
      <c r="AF540" s="38">
        <f>IF(B540="","",IF(M540&lt;&gt;"Completed","",IF(E540="","No",IF(COUNTIFS(Appointments!$E$5:$E$1204,E540,Appointments!$B$5:$B$1204,"&gt;"&amp;B540,Appointments!$M$5:$M$1204,"&lt;&gt;Cancelled")&gt;0,"Yes","No"))))</f>
        <v>0</v>
      </c>
      <c r="AG540" s="38">
        <f>IF(B540="","",IF(I540="","",IF(D540="","",IF(COUNTIFS($I$5:$I$1204,I540,$B$5:$B$1204,B540,$D$5:$D$1204,"&lt;"&amp;V540,$V$5:$V$1204,"&gt;"&amp;D540,$M$5:$M$1204,"&lt;&gt;Cancelled")&gt;1,"Clash",""))))</f>
        <v>0</v>
      </c>
      <c r="AH540" s="39">
        <f>IF(B540="","",IF(AG540="Clash","Clash - stylist double booked",IF(I540="","Assign - no stylist yet",IF(G540="","Add - no service chosen",IF(M540="No show","No show - charge the fee?",IF(M540="Cancelled","",IF(IF(M540="Completed",AB540&lt;Y540-0.004,FALSE),"Unpaid - nothing rung up for this visit",IF(IF(B540&lt;TodayDate,M540="Booked",FALSE),"Overdue - past date, still only Booked",IF(IF(B540=TodayDate,TRUE,FALSE),"Today",IF(IF(Z540&gt;0,AA540&lt;Z540-0.004,FALSE),"Due - deposit not taken",IF(IF(B540&gt;TodayDate,B540&lt;=TodayDate+2,FALSE),"Confirm - coming up","OK")))))))))))</f>
        <v>0</v>
      </c>
    </row>
    <row r="541" spans="1:34">
      <c r="A541" s="28">
        <f>IF(B541="","",AppointmentPrefix&amp;TEXT(ROW()-4,"0000"))</f>
        <v>0</v>
      </c>
      <c r="C541" s="15">
        <f>IF(B541="","",TEXT(B541,"ddd"))</f>
        <v>0</v>
      </c>
      <c r="F541" s="15">
        <f>IF(E541="","",IFERROR(INDEX(Clients!$B$5:$B$504,MATCH(E541,Clients!$A$5:$A$504,0)),"Walk-in"))</f>
        <v>0</v>
      </c>
      <c r="H541" s="15">
        <f>IF(G541="","",IFERROR(INDEX(Services!$B$5:$B$204,MATCH(G541,Services!$A$5:$A$204,0)),"Not in Services"))</f>
        <v>0</v>
      </c>
      <c r="J541" s="15">
        <f>IF(I541="","",IFERROR(INDEX(Staff!$B$5:$B$44,MATCH(I541,Staff!$A$5:$A$44,0)),"Unassigned"))</f>
        <v>0</v>
      </c>
      <c r="S541" s="15">
        <f>IF(B541="","",TEXT(B541,"yyyy-mm"))</f>
        <v>0</v>
      </c>
      <c r="T541" s="25">
        <f>IF(B541="","",WEEKNUM(B541,2))</f>
        <v>0</v>
      </c>
      <c r="U541" s="25">
        <f>IF(B541="","",IF(K541&lt;&gt;"",K541,IFERROR(INDEX(Services!$E$5:$E$204,MATCH(G541,Services!$A$5:$A$204,0))*1,0)+IFERROR(INDEX(Services!$F$5:$F$204,MATCH(G541,Services!$A$5:$A$204,0))*1,0)))</f>
        <v>0</v>
      </c>
      <c r="V541" s="36">
        <f>IF(B541="","",IF(D541="","",D541+U541/1440))</f>
        <v>0</v>
      </c>
      <c r="W541" s="25">
        <f>IF(B541="","",IF(D541="","",HOUR(D541)))</f>
        <v>0</v>
      </c>
      <c r="X541" s="37">
        <f>IF(B541="","",ROUND(U541/60,2))</f>
        <v>0</v>
      </c>
      <c r="Y541" s="26">
        <f>IF(B541="","",IF(L541&lt;&gt;"",L541,IFERROR(INDEX(Services!$G$5:$G$204,MATCH(G541,Services!$A$5:$A$204,0))*1,0)))</f>
        <v>0</v>
      </c>
      <c r="Z541" s="26">
        <f>IF(B541="","",IF(O541&lt;&gt;"",O541,IF(Y541&gt;=DepositThreshold,ROUND(Y541*DepositPercent,2),0)))</f>
        <v>0</v>
      </c>
      <c r="AA541" s="26">
        <f>IF(B541="","",ROUND(SUMIFS(Payments!$G$5:$G$1204,Payments!$I$5:$I$1204,A541,Payments!$E$5:$E$1204,"Deposit"),2))</f>
        <v>0</v>
      </c>
      <c r="AB541" s="26">
        <f>IF(B541="","",ROUND(SUMIFS(Sales!$Y$5:$Y$1204,Sales!$C$5:$C$1204,A541),2))</f>
        <v>0</v>
      </c>
      <c r="AC541" s="38">
        <f>IF(B541="","",IF(M541="Completed","Yes",IF(M541="Cancelled","Yes",IF(M541="No show","Yes","No"))))</f>
        <v>0</v>
      </c>
      <c r="AD541" s="25">
        <f>IF(B541="","",IF(AE541="","",B541-AE541))</f>
        <v>0</v>
      </c>
      <c r="AF541" s="38">
        <f>IF(B541="","",IF(M541&lt;&gt;"Completed","",IF(E541="","No",IF(COUNTIFS(Appointments!$E$5:$E$1204,E541,Appointments!$B$5:$B$1204,"&gt;"&amp;B541,Appointments!$M$5:$M$1204,"&lt;&gt;Cancelled")&gt;0,"Yes","No"))))</f>
        <v>0</v>
      </c>
      <c r="AG541" s="38">
        <f>IF(B541="","",IF(I541="","",IF(D541="","",IF(COUNTIFS($I$5:$I$1204,I541,$B$5:$B$1204,B541,$D$5:$D$1204,"&lt;"&amp;V541,$V$5:$V$1204,"&gt;"&amp;D541,$M$5:$M$1204,"&lt;&gt;Cancelled")&gt;1,"Clash",""))))</f>
        <v>0</v>
      </c>
      <c r="AH541" s="39">
        <f>IF(B541="","",IF(AG541="Clash","Clash - stylist double booked",IF(I541="","Assign - no stylist yet",IF(G541="","Add - no service chosen",IF(M541="No show","No show - charge the fee?",IF(M541="Cancelled","",IF(IF(M541="Completed",AB541&lt;Y541-0.004,FALSE),"Unpaid - nothing rung up for this visit",IF(IF(B541&lt;TodayDate,M541="Booked",FALSE),"Overdue - past date, still only Booked",IF(IF(B541=TodayDate,TRUE,FALSE),"Today",IF(IF(Z541&gt;0,AA541&lt;Z541-0.004,FALSE),"Due - deposit not taken",IF(IF(B541&gt;TodayDate,B541&lt;=TodayDate+2,FALSE),"Confirm - coming up","OK")))))))))))</f>
        <v>0</v>
      </c>
    </row>
    <row r="542" spans="1:34">
      <c r="A542" s="28">
        <f>IF(B542="","",AppointmentPrefix&amp;TEXT(ROW()-4,"0000"))</f>
        <v>0</v>
      </c>
      <c r="C542" s="15">
        <f>IF(B542="","",TEXT(B542,"ddd"))</f>
        <v>0</v>
      </c>
      <c r="F542" s="15">
        <f>IF(E542="","",IFERROR(INDEX(Clients!$B$5:$B$504,MATCH(E542,Clients!$A$5:$A$504,0)),"Walk-in"))</f>
        <v>0</v>
      </c>
      <c r="H542" s="15">
        <f>IF(G542="","",IFERROR(INDEX(Services!$B$5:$B$204,MATCH(G542,Services!$A$5:$A$204,0)),"Not in Services"))</f>
        <v>0</v>
      </c>
      <c r="J542" s="15">
        <f>IF(I542="","",IFERROR(INDEX(Staff!$B$5:$B$44,MATCH(I542,Staff!$A$5:$A$44,0)),"Unassigned"))</f>
        <v>0</v>
      </c>
      <c r="S542" s="15">
        <f>IF(B542="","",TEXT(B542,"yyyy-mm"))</f>
        <v>0</v>
      </c>
      <c r="T542" s="25">
        <f>IF(B542="","",WEEKNUM(B542,2))</f>
        <v>0</v>
      </c>
      <c r="U542" s="25">
        <f>IF(B542="","",IF(K542&lt;&gt;"",K542,IFERROR(INDEX(Services!$E$5:$E$204,MATCH(G542,Services!$A$5:$A$204,0))*1,0)+IFERROR(INDEX(Services!$F$5:$F$204,MATCH(G542,Services!$A$5:$A$204,0))*1,0)))</f>
        <v>0</v>
      </c>
      <c r="V542" s="36">
        <f>IF(B542="","",IF(D542="","",D542+U542/1440))</f>
        <v>0</v>
      </c>
      <c r="W542" s="25">
        <f>IF(B542="","",IF(D542="","",HOUR(D542)))</f>
        <v>0</v>
      </c>
      <c r="X542" s="37">
        <f>IF(B542="","",ROUND(U542/60,2))</f>
        <v>0</v>
      </c>
      <c r="Y542" s="26">
        <f>IF(B542="","",IF(L542&lt;&gt;"",L542,IFERROR(INDEX(Services!$G$5:$G$204,MATCH(G542,Services!$A$5:$A$204,0))*1,0)))</f>
        <v>0</v>
      </c>
      <c r="Z542" s="26">
        <f>IF(B542="","",IF(O542&lt;&gt;"",O542,IF(Y542&gt;=DepositThreshold,ROUND(Y542*DepositPercent,2),0)))</f>
        <v>0</v>
      </c>
      <c r="AA542" s="26">
        <f>IF(B542="","",ROUND(SUMIFS(Payments!$G$5:$G$1204,Payments!$I$5:$I$1204,A542,Payments!$E$5:$E$1204,"Deposit"),2))</f>
        <v>0</v>
      </c>
      <c r="AB542" s="26">
        <f>IF(B542="","",ROUND(SUMIFS(Sales!$Y$5:$Y$1204,Sales!$C$5:$C$1204,A542),2))</f>
        <v>0</v>
      </c>
      <c r="AC542" s="38">
        <f>IF(B542="","",IF(M542="Completed","Yes",IF(M542="Cancelled","Yes",IF(M542="No show","Yes","No"))))</f>
        <v>0</v>
      </c>
      <c r="AD542" s="25">
        <f>IF(B542="","",IF(AE542="","",B542-AE542))</f>
        <v>0</v>
      </c>
      <c r="AF542" s="38">
        <f>IF(B542="","",IF(M542&lt;&gt;"Completed","",IF(E542="","No",IF(COUNTIFS(Appointments!$E$5:$E$1204,E542,Appointments!$B$5:$B$1204,"&gt;"&amp;B542,Appointments!$M$5:$M$1204,"&lt;&gt;Cancelled")&gt;0,"Yes","No"))))</f>
        <v>0</v>
      </c>
      <c r="AG542" s="38">
        <f>IF(B542="","",IF(I542="","",IF(D542="","",IF(COUNTIFS($I$5:$I$1204,I542,$B$5:$B$1204,B542,$D$5:$D$1204,"&lt;"&amp;V542,$V$5:$V$1204,"&gt;"&amp;D542,$M$5:$M$1204,"&lt;&gt;Cancelled")&gt;1,"Clash",""))))</f>
        <v>0</v>
      </c>
      <c r="AH542" s="39">
        <f>IF(B542="","",IF(AG542="Clash","Clash - stylist double booked",IF(I542="","Assign - no stylist yet",IF(G542="","Add - no service chosen",IF(M542="No show","No show - charge the fee?",IF(M542="Cancelled","",IF(IF(M542="Completed",AB542&lt;Y542-0.004,FALSE),"Unpaid - nothing rung up for this visit",IF(IF(B542&lt;TodayDate,M542="Booked",FALSE),"Overdue - past date, still only Booked",IF(IF(B542=TodayDate,TRUE,FALSE),"Today",IF(IF(Z542&gt;0,AA542&lt;Z542-0.004,FALSE),"Due - deposit not taken",IF(IF(B542&gt;TodayDate,B542&lt;=TodayDate+2,FALSE),"Confirm - coming up","OK")))))))))))</f>
        <v>0</v>
      </c>
    </row>
    <row r="543" spans="1:34">
      <c r="A543" s="28">
        <f>IF(B543="","",AppointmentPrefix&amp;TEXT(ROW()-4,"0000"))</f>
        <v>0</v>
      </c>
      <c r="C543" s="15">
        <f>IF(B543="","",TEXT(B543,"ddd"))</f>
        <v>0</v>
      </c>
      <c r="F543" s="15">
        <f>IF(E543="","",IFERROR(INDEX(Clients!$B$5:$B$504,MATCH(E543,Clients!$A$5:$A$504,0)),"Walk-in"))</f>
        <v>0</v>
      </c>
      <c r="H543" s="15">
        <f>IF(G543="","",IFERROR(INDEX(Services!$B$5:$B$204,MATCH(G543,Services!$A$5:$A$204,0)),"Not in Services"))</f>
        <v>0</v>
      </c>
      <c r="J543" s="15">
        <f>IF(I543="","",IFERROR(INDEX(Staff!$B$5:$B$44,MATCH(I543,Staff!$A$5:$A$44,0)),"Unassigned"))</f>
        <v>0</v>
      </c>
      <c r="S543" s="15">
        <f>IF(B543="","",TEXT(B543,"yyyy-mm"))</f>
        <v>0</v>
      </c>
      <c r="T543" s="25">
        <f>IF(B543="","",WEEKNUM(B543,2))</f>
        <v>0</v>
      </c>
      <c r="U543" s="25">
        <f>IF(B543="","",IF(K543&lt;&gt;"",K543,IFERROR(INDEX(Services!$E$5:$E$204,MATCH(G543,Services!$A$5:$A$204,0))*1,0)+IFERROR(INDEX(Services!$F$5:$F$204,MATCH(G543,Services!$A$5:$A$204,0))*1,0)))</f>
        <v>0</v>
      </c>
      <c r="V543" s="36">
        <f>IF(B543="","",IF(D543="","",D543+U543/1440))</f>
        <v>0</v>
      </c>
      <c r="W543" s="25">
        <f>IF(B543="","",IF(D543="","",HOUR(D543)))</f>
        <v>0</v>
      </c>
      <c r="X543" s="37">
        <f>IF(B543="","",ROUND(U543/60,2))</f>
        <v>0</v>
      </c>
      <c r="Y543" s="26">
        <f>IF(B543="","",IF(L543&lt;&gt;"",L543,IFERROR(INDEX(Services!$G$5:$G$204,MATCH(G543,Services!$A$5:$A$204,0))*1,0)))</f>
        <v>0</v>
      </c>
      <c r="Z543" s="26">
        <f>IF(B543="","",IF(O543&lt;&gt;"",O543,IF(Y543&gt;=DepositThreshold,ROUND(Y543*DepositPercent,2),0)))</f>
        <v>0</v>
      </c>
      <c r="AA543" s="26">
        <f>IF(B543="","",ROUND(SUMIFS(Payments!$G$5:$G$1204,Payments!$I$5:$I$1204,A543,Payments!$E$5:$E$1204,"Deposit"),2))</f>
        <v>0</v>
      </c>
      <c r="AB543" s="26">
        <f>IF(B543="","",ROUND(SUMIFS(Sales!$Y$5:$Y$1204,Sales!$C$5:$C$1204,A543),2))</f>
        <v>0</v>
      </c>
      <c r="AC543" s="38">
        <f>IF(B543="","",IF(M543="Completed","Yes",IF(M543="Cancelled","Yes",IF(M543="No show","Yes","No"))))</f>
        <v>0</v>
      </c>
      <c r="AD543" s="25">
        <f>IF(B543="","",IF(AE543="","",B543-AE543))</f>
        <v>0</v>
      </c>
      <c r="AF543" s="38">
        <f>IF(B543="","",IF(M543&lt;&gt;"Completed","",IF(E543="","No",IF(COUNTIFS(Appointments!$E$5:$E$1204,E543,Appointments!$B$5:$B$1204,"&gt;"&amp;B543,Appointments!$M$5:$M$1204,"&lt;&gt;Cancelled")&gt;0,"Yes","No"))))</f>
        <v>0</v>
      </c>
      <c r="AG543" s="38">
        <f>IF(B543="","",IF(I543="","",IF(D543="","",IF(COUNTIFS($I$5:$I$1204,I543,$B$5:$B$1204,B543,$D$5:$D$1204,"&lt;"&amp;V543,$V$5:$V$1204,"&gt;"&amp;D543,$M$5:$M$1204,"&lt;&gt;Cancelled")&gt;1,"Clash",""))))</f>
        <v>0</v>
      </c>
      <c r="AH543" s="39">
        <f>IF(B543="","",IF(AG543="Clash","Clash - stylist double booked",IF(I543="","Assign - no stylist yet",IF(G543="","Add - no service chosen",IF(M543="No show","No show - charge the fee?",IF(M543="Cancelled","",IF(IF(M543="Completed",AB543&lt;Y543-0.004,FALSE),"Unpaid - nothing rung up for this visit",IF(IF(B543&lt;TodayDate,M543="Booked",FALSE),"Overdue - past date, still only Booked",IF(IF(B543=TodayDate,TRUE,FALSE),"Today",IF(IF(Z543&gt;0,AA543&lt;Z543-0.004,FALSE),"Due - deposit not taken",IF(IF(B543&gt;TodayDate,B543&lt;=TodayDate+2,FALSE),"Confirm - coming up","OK")))))))))))</f>
        <v>0</v>
      </c>
    </row>
    <row r="544" spans="1:34">
      <c r="A544" s="28">
        <f>IF(B544="","",AppointmentPrefix&amp;TEXT(ROW()-4,"0000"))</f>
        <v>0</v>
      </c>
      <c r="C544" s="15">
        <f>IF(B544="","",TEXT(B544,"ddd"))</f>
        <v>0</v>
      </c>
      <c r="F544" s="15">
        <f>IF(E544="","",IFERROR(INDEX(Clients!$B$5:$B$504,MATCH(E544,Clients!$A$5:$A$504,0)),"Walk-in"))</f>
        <v>0</v>
      </c>
      <c r="H544" s="15">
        <f>IF(G544="","",IFERROR(INDEX(Services!$B$5:$B$204,MATCH(G544,Services!$A$5:$A$204,0)),"Not in Services"))</f>
        <v>0</v>
      </c>
      <c r="J544" s="15">
        <f>IF(I544="","",IFERROR(INDEX(Staff!$B$5:$B$44,MATCH(I544,Staff!$A$5:$A$44,0)),"Unassigned"))</f>
        <v>0</v>
      </c>
      <c r="S544" s="15">
        <f>IF(B544="","",TEXT(B544,"yyyy-mm"))</f>
        <v>0</v>
      </c>
      <c r="T544" s="25">
        <f>IF(B544="","",WEEKNUM(B544,2))</f>
        <v>0</v>
      </c>
      <c r="U544" s="25">
        <f>IF(B544="","",IF(K544&lt;&gt;"",K544,IFERROR(INDEX(Services!$E$5:$E$204,MATCH(G544,Services!$A$5:$A$204,0))*1,0)+IFERROR(INDEX(Services!$F$5:$F$204,MATCH(G544,Services!$A$5:$A$204,0))*1,0)))</f>
        <v>0</v>
      </c>
      <c r="V544" s="36">
        <f>IF(B544="","",IF(D544="","",D544+U544/1440))</f>
        <v>0</v>
      </c>
      <c r="W544" s="25">
        <f>IF(B544="","",IF(D544="","",HOUR(D544)))</f>
        <v>0</v>
      </c>
      <c r="X544" s="37">
        <f>IF(B544="","",ROUND(U544/60,2))</f>
        <v>0</v>
      </c>
      <c r="Y544" s="26">
        <f>IF(B544="","",IF(L544&lt;&gt;"",L544,IFERROR(INDEX(Services!$G$5:$G$204,MATCH(G544,Services!$A$5:$A$204,0))*1,0)))</f>
        <v>0</v>
      </c>
      <c r="Z544" s="26">
        <f>IF(B544="","",IF(O544&lt;&gt;"",O544,IF(Y544&gt;=DepositThreshold,ROUND(Y544*DepositPercent,2),0)))</f>
        <v>0</v>
      </c>
      <c r="AA544" s="26">
        <f>IF(B544="","",ROUND(SUMIFS(Payments!$G$5:$G$1204,Payments!$I$5:$I$1204,A544,Payments!$E$5:$E$1204,"Deposit"),2))</f>
        <v>0</v>
      </c>
      <c r="AB544" s="26">
        <f>IF(B544="","",ROUND(SUMIFS(Sales!$Y$5:$Y$1204,Sales!$C$5:$C$1204,A544),2))</f>
        <v>0</v>
      </c>
      <c r="AC544" s="38">
        <f>IF(B544="","",IF(M544="Completed","Yes",IF(M544="Cancelled","Yes",IF(M544="No show","Yes","No"))))</f>
        <v>0</v>
      </c>
      <c r="AD544" s="25">
        <f>IF(B544="","",IF(AE544="","",B544-AE544))</f>
        <v>0</v>
      </c>
      <c r="AF544" s="38">
        <f>IF(B544="","",IF(M544&lt;&gt;"Completed","",IF(E544="","No",IF(COUNTIFS(Appointments!$E$5:$E$1204,E544,Appointments!$B$5:$B$1204,"&gt;"&amp;B544,Appointments!$M$5:$M$1204,"&lt;&gt;Cancelled")&gt;0,"Yes","No"))))</f>
        <v>0</v>
      </c>
      <c r="AG544" s="38">
        <f>IF(B544="","",IF(I544="","",IF(D544="","",IF(COUNTIFS($I$5:$I$1204,I544,$B$5:$B$1204,B544,$D$5:$D$1204,"&lt;"&amp;V544,$V$5:$V$1204,"&gt;"&amp;D544,$M$5:$M$1204,"&lt;&gt;Cancelled")&gt;1,"Clash",""))))</f>
        <v>0</v>
      </c>
      <c r="AH544" s="39">
        <f>IF(B544="","",IF(AG544="Clash","Clash - stylist double booked",IF(I544="","Assign - no stylist yet",IF(G544="","Add - no service chosen",IF(M544="No show","No show - charge the fee?",IF(M544="Cancelled","",IF(IF(M544="Completed",AB544&lt;Y544-0.004,FALSE),"Unpaid - nothing rung up for this visit",IF(IF(B544&lt;TodayDate,M544="Booked",FALSE),"Overdue - past date, still only Booked",IF(IF(B544=TodayDate,TRUE,FALSE),"Today",IF(IF(Z544&gt;0,AA544&lt;Z544-0.004,FALSE),"Due - deposit not taken",IF(IF(B544&gt;TodayDate,B544&lt;=TodayDate+2,FALSE),"Confirm - coming up","OK")))))))))))</f>
        <v>0</v>
      </c>
    </row>
    <row r="545" spans="1:34">
      <c r="A545" s="28">
        <f>IF(B545="","",AppointmentPrefix&amp;TEXT(ROW()-4,"0000"))</f>
        <v>0</v>
      </c>
      <c r="C545" s="15">
        <f>IF(B545="","",TEXT(B545,"ddd"))</f>
        <v>0</v>
      </c>
      <c r="F545" s="15">
        <f>IF(E545="","",IFERROR(INDEX(Clients!$B$5:$B$504,MATCH(E545,Clients!$A$5:$A$504,0)),"Walk-in"))</f>
        <v>0</v>
      </c>
      <c r="H545" s="15">
        <f>IF(G545="","",IFERROR(INDEX(Services!$B$5:$B$204,MATCH(G545,Services!$A$5:$A$204,0)),"Not in Services"))</f>
        <v>0</v>
      </c>
      <c r="J545" s="15">
        <f>IF(I545="","",IFERROR(INDEX(Staff!$B$5:$B$44,MATCH(I545,Staff!$A$5:$A$44,0)),"Unassigned"))</f>
        <v>0</v>
      </c>
      <c r="S545" s="15">
        <f>IF(B545="","",TEXT(B545,"yyyy-mm"))</f>
        <v>0</v>
      </c>
      <c r="T545" s="25">
        <f>IF(B545="","",WEEKNUM(B545,2))</f>
        <v>0</v>
      </c>
      <c r="U545" s="25">
        <f>IF(B545="","",IF(K545&lt;&gt;"",K545,IFERROR(INDEX(Services!$E$5:$E$204,MATCH(G545,Services!$A$5:$A$204,0))*1,0)+IFERROR(INDEX(Services!$F$5:$F$204,MATCH(G545,Services!$A$5:$A$204,0))*1,0)))</f>
        <v>0</v>
      </c>
      <c r="V545" s="36">
        <f>IF(B545="","",IF(D545="","",D545+U545/1440))</f>
        <v>0</v>
      </c>
      <c r="W545" s="25">
        <f>IF(B545="","",IF(D545="","",HOUR(D545)))</f>
        <v>0</v>
      </c>
      <c r="X545" s="37">
        <f>IF(B545="","",ROUND(U545/60,2))</f>
        <v>0</v>
      </c>
      <c r="Y545" s="26">
        <f>IF(B545="","",IF(L545&lt;&gt;"",L545,IFERROR(INDEX(Services!$G$5:$G$204,MATCH(G545,Services!$A$5:$A$204,0))*1,0)))</f>
        <v>0</v>
      </c>
      <c r="Z545" s="26">
        <f>IF(B545="","",IF(O545&lt;&gt;"",O545,IF(Y545&gt;=DepositThreshold,ROUND(Y545*DepositPercent,2),0)))</f>
        <v>0</v>
      </c>
      <c r="AA545" s="26">
        <f>IF(B545="","",ROUND(SUMIFS(Payments!$G$5:$G$1204,Payments!$I$5:$I$1204,A545,Payments!$E$5:$E$1204,"Deposit"),2))</f>
        <v>0</v>
      </c>
      <c r="AB545" s="26">
        <f>IF(B545="","",ROUND(SUMIFS(Sales!$Y$5:$Y$1204,Sales!$C$5:$C$1204,A545),2))</f>
        <v>0</v>
      </c>
      <c r="AC545" s="38">
        <f>IF(B545="","",IF(M545="Completed","Yes",IF(M545="Cancelled","Yes",IF(M545="No show","Yes","No"))))</f>
        <v>0</v>
      </c>
      <c r="AD545" s="25">
        <f>IF(B545="","",IF(AE545="","",B545-AE545))</f>
        <v>0</v>
      </c>
      <c r="AF545" s="38">
        <f>IF(B545="","",IF(M545&lt;&gt;"Completed","",IF(E545="","No",IF(COUNTIFS(Appointments!$E$5:$E$1204,E545,Appointments!$B$5:$B$1204,"&gt;"&amp;B545,Appointments!$M$5:$M$1204,"&lt;&gt;Cancelled")&gt;0,"Yes","No"))))</f>
        <v>0</v>
      </c>
      <c r="AG545" s="38">
        <f>IF(B545="","",IF(I545="","",IF(D545="","",IF(COUNTIFS($I$5:$I$1204,I545,$B$5:$B$1204,B545,$D$5:$D$1204,"&lt;"&amp;V545,$V$5:$V$1204,"&gt;"&amp;D545,$M$5:$M$1204,"&lt;&gt;Cancelled")&gt;1,"Clash",""))))</f>
        <v>0</v>
      </c>
      <c r="AH545" s="39">
        <f>IF(B545="","",IF(AG545="Clash","Clash - stylist double booked",IF(I545="","Assign - no stylist yet",IF(G545="","Add - no service chosen",IF(M545="No show","No show - charge the fee?",IF(M545="Cancelled","",IF(IF(M545="Completed",AB545&lt;Y545-0.004,FALSE),"Unpaid - nothing rung up for this visit",IF(IF(B545&lt;TodayDate,M545="Booked",FALSE),"Overdue - past date, still only Booked",IF(IF(B545=TodayDate,TRUE,FALSE),"Today",IF(IF(Z545&gt;0,AA545&lt;Z545-0.004,FALSE),"Due - deposit not taken",IF(IF(B545&gt;TodayDate,B545&lt;=TodayDate+2,FALSE),"Confirm - coming up","OK")))))))))))</f>
        <v>0</v>
      </c>
    </row>
    <row r="546" spans="1:34">
      <c r="A546" s="28">
        <f>IF(B546="","",AppointmentPrefix&amp;TEXT(ROW()-4,"0000"))</f>
        <v>0</v>
      </c>
      <c r="C546" s="15">
        <f>IF(B546="","",TEXT(B546,"ddd"))</f>
        <v>0</v>
      </c>
      <c r="F546" s="15">
        <f>IF(E546="","",IFERROR(INDEX(Clients!$B$5:$B$504,MATCH(E546,Clients!$A$5:$A$504,0)),"Walk-in"))</f>
        <v>0</v>
      </c>
      <c r="H546" s="15">
        <f>IF(G546="","",IFERROR(INDEX(Services!$B$5:$B$204,MATCH(G546,Services!$A$5:$A$204,0)),"Not in Services"))</f>
        <v>0</v>
      </c>
      <c r="J546" s="15">
        <f>IF(I546="","",IFERROR(INDEX(Staff!$B$5:$B$44,MATCH(I546,Staff!$A$5:$A$44,0)),"Unassigned"))</f>
        <v>0</v>
      </c>
      <c r="S546" s="15">
        <f>IF(B546="","",TEXT(B546,"yyyy-mm"))</f>
        <v>0</v>
      </c>
      <c r="T546" s="25">
        <f>IF(B546="","",WEEKNUM(B546,2))</f>
        <v>0</v>
      </c>
      <c r="U546" s="25">
        <f>IF(B546="","",IF(K546&lt;&gt;"",K546,IFERROR(INDEX(Services!$E$5:$E$204,MATCH(G546,Services!$A$5:$A$204,0))*1,0)+IFERROR(INDEX(Services!$F$5:$F$204,MATCH(G546,Services!$A$5:$A$204,0))*1,0)))</f>
        <v>0</v>
      </c>
      <c r="V546" s="36">
        <f>IF(B546="","",IF(D546="","",D546+U546/1440))</f>
        <v>0</v>
      </c>
      <c r="W546" s="25">
        <f>IF(B546="","",IF(D546="","",HOUR(D546)))</f>
        <v>0</v>
      </c>
      <c r="X546" s="37">
        <f>IF(B546="","",ROUND(U546/60,2))</f>
        <v>0</v>
      </c>
      <c r="Y546" s="26">
        <f>IF(B546="","",IF(L546&lt;&gt;"",L546,IFERROR(INDEX(Services!$G$5:$G$204,MATCH(G546,Services!$A$5:$A$204,0))*1,0)))</f>
        <v>0</v>
      </c>
      <c r="Z546" s="26">
        <f>IF(B546="","",IF(O546&lt;&gt;"",O546,IF(Y546&gt;=DepositThreshold,ROUND(Y546*DepositPercent,2),0)))</f>
        <v>0</v>
      </c>
      <c r="AA546" s="26">
        <f>IF(B546="","",ROUND(SUMIFS(Payments!$G$5:$G$1204,Payments!$I$5:$I$1204,A546,Payments!$E$5:$E$1204,"Deposit"),2))</f>
        <v>0</v>
      </c>
      <c r="AB546" s="26">
        <f>IF(B546="","",ROUND(SUMIFS(Sales!$Y$5:$Y$1204,Sales!$C$5:$C$1204,A546),2))</f>
        <v>0</v>
      </c>
      <c r="AC546" s="38">
        <f>IF(B546="","",IF(M546="Completed","Yes",IF(M546="Cancelled","Yes",IF(M546="No show","Yes","No"))))</f>
        <v>0</v>
      </c>
      <c r="AD546" s="25">
        <f>IF(B546="","",IF(AE546="","",B546-AE546))</f>
        <v>0</v>
      </c>
      <c r="AF546" s="38">
        <f>IF(B546="","",IF(M546&lt;&gt;"Completed","",IF(E546="","No",IF(COUNTIFS(Appointments!$E$5:$E$1204,E546,Appointments!$B$5:$B$1204,"&gt;"&amp;B546,Appointments!$M$5:$M$1204,"&lt;&gt;Cancelled")&gt;0,"Yes","No"))))</f>
        <v>0</v>
      </c>
      <c r="AG546" s="38">
        <f>IF(B546="","",IF(I546="","",IF(D546="","",IF(COUNTIFS($I$5:$I$1204,I546,$B$5:$B$1204,B546,$D$5:$D$1204,"&lt;"&amp;V546,$V$5:$V$1204,"&gt;"&amp;D546,$M$5:$M$1204,"&lt;&gt;Cancelled")&gt;1,"Clash",""))))</f>
        <v>0</v>
      </c>
      <c r="AH546" s="39">
        <f>IF(B546="","",IF(AG546="Clash","Clash - stylist double booked",IF(I546="","Assign - no stylist yet",IF(G546="","Add - no service chosen",IF(M546="No show","No show - charge the fee?",IF(M546="Cancelled","",IF(IF(M546="Completed",AB546&lt;Y546-0.004,FALSE),"Unpaid - nothing rung up for this visit",IF(IF(B546&lt;TodayDate,M546="Booked",FALSE),"Overdue - past date, still only Booked",IF(IF(B546=TodayDate,TRUE,FALSE),"Today",IF(IF(Z546&gt;0,AA546&lt;Z546-0.004,FALSE),"Due - deposit not taken",IF(IF(B546&gt;TodayDate,B546&lt;=TodayDate+2,FALSE),"Confirm - coming up","OK")))))))))))</f>
        <v>0</v>
      </c>
    </row>
    <row r="547" spans="1:34">
      <c r="A547" s="28">
        <f>IF(B547="","",AppointmentPrefix&amp;TEXT(ROW()-4,"0000"))</f>
        <v>0</v>
      </c>
      <c r="C547" s="15">
        <f>IF(B547="","",TEXT(B547,"ddd"))</f>
        <v>0</v>
      </c>
      <c r="F547" s="15">
        <f>IF(E547="","",IFERROR(INDEX(Clients!$B$5:$B$504,MATCH(E547,Clients!$A$5:$A$504,0)),"Walk-in"))</f>
        <v>0</v>
      </c>
      <c r="H547" s="15">
        <f>IF(G547="","",IFERROR(INDEX(Services!$B$5:$B$204,MATCH(G547,Services!$A$5:$A$204,0)),"Not in Services"))</f>
        <v>0</v>
      </c>
      <c r="J547" s="15">
        <f>IF(I547="","",IFERROR(INDEX(Staff!$B$5:$B$44,MATCH(I547,Staff!$A$5:$A$44,0)),"Unassigned"))</f>
        <v>0</v>
      </c>
      <c r="S547" s="15">
        <f>IF(B547="","",TEXT(B547,"yyyy-mm"))</f>
        <v>0</v>
      </c>
      <c r="T547" s="25">
        <f>IF(B547="","",WEEKNUM(B547,2))</f>
        <v>0</v>
      </c>
      <c r="U547" s="25">
        <f>IF(B547="","",IF(K547&lt;&gt;"",K547,IFERROR(INDEX(Services!$E$5:$E$204,MATCH(G547,Services!$A$5:$A$204,0))*1,0)+IFERROR(INDEX(Services!$F$5:$F$204,MATCH(G547,Services!$A$5:$A$204,0))*1,0)))</f>
        <v>0</v>
      </c>
      <c r="V547" s="36">
        <f>IF(B547="","",IF(D547="","",D547+U547/1440))</f>
        <v>0</v>
      </c>
      <c r="W547" s="25">
        <f>IF(B547="","",IF(D547="","",HOUR(D547)))</f>
        <v>0</v>
      </c>
      <c r="X547" s="37">
        <f>IF(B547="","",ROUND(U547/60,2))</f>
        <v>0</v>
      </c>
      <c r="Y547" s="26">
        <f>IF(B547="","",IF(L547&lt;&gt;"",L547,IFERROR(INDEX(Services!$G$5:$G$204,MATCH(G547,Services!$A$5:$A$204,0))*1,0)))</f>
        <v>0</v>
      </c>
      <c r="Z547" s="26">
        <f>IF(B547="","",IF(O547&lt;&gt;"",O547,IF(Y547&gt;=DepositThreshold,ROUND(Y547*DepositPercent,2),0)))</f>
        <v>0</v>
      </c>
      <c r="AA547" s="26">
        <f>IF(B547="","",ROUND(SUMIFS(Payments!$G$5:$G$1204,Payments!$I$5:$I$1204,A547,Payments!$E$5:$E$1204,"Deposit"),2))</f>
        <v>0</v>
      </c>
      <c r="AB547" s="26">
        <f>IF(B547="","",ROUND(SUMIFS(Sales!$Y$5:$Y$1204,Sales!$C$5:$C$1204,A547),2))</f>
        <v>0</v>
      </c>
      <c r="AC547" s="38">
        <f>IF(B547="","",IF(M547="Completed","Yes",IF(M547="Cancelled","Yes",IF(M547="No show","Yes","No"))))</f>
        <v>0</v>
      </c>
      <c r="AD547" s="25">
        <f>IF(B547="","",IF(AE547="","",B547-AE547))</f>
        <v>0</v>
      </c>
      <c r="AF547" s="38">
        <f>IF(B547="","",IF(M547&lt;&gt;"Completed","",IF(E547="","No",IF(COUNTIFS(Appointments!$E$5:$E$1204,E547,Appointments!$B$5:$B$1204,"&gt;"&amp;B547,Appointments!$M$5:$M$1204,"&lt;&gt;Cancelled")&gt;0,"Yes","No"))))</f>
        <v>0</v>
      </c>
      <c r="AG547" s="38">
        <f>IF(B547="","",IF(I547="","",IF(D547="","",IF(COUNTIFS($I$5:$I$1204,I547,$B$5:$B$1204,B547,$D$5:$D$1204,"&lt;"&amp;V547,$V$5:$V$1204,"&gt;"&amp;D547,$M$5:$M$1204,"&lt;&gt;Cancelled")&gt;1,"Clash",""))))</f>
        <v>0</v>
      </c>
      <c r="AH547" s="39">
        <f>IF(B547="","",IF(AG547="Clash","Clash - stylist double booked",IF(I547="","Assign - no stylist yet",IF(G547="","Add - no service chosen",IF(M547="No show","No show - charge the fee?",IF(M547="Cancelled","",IF(IF(M547="Completed",AB547&lt;Y547-0.004,FALSE),"Unpaid - nothing rung up for this visit",IF(IF(B547&lt;TodayDate,M547="Booked",FALSE),"Overdue - past date, still only Booked",IF(IF(B547=TodayDate,TRUE,FALSE),"Today",IF(IF(Z547&gt;0,AA547&lt;Z547-0.004,FALSE),"Due - deposit not taken",IF(IF(B547&gt;TodayDate,B547&lt;=TodayDate+2,FALSE),"Confirm - coming up","OK")))))))))))</f>
        <v>0</v>
      </c>
    </row>
    <row r="548" spans="1:34">
      <c r="A548" s="28">
        <f>IF(B548="","",AppointmentPrefix&amp;TEXT(ROW()-4,"0000"))</f>
        <v>0</v>
      </c>
      <c r="C548" s="15">
        <f>IF(B548="","",TEXT(B548,"ddd"))</f>
        <v>0</v>
      </c>
      <c r="F548" s="15">
        <f>IF(E548="","",IFERROR(INDEX(Clients!$B$5:$B$504,MATCH(E548,Clients!$A$5:$A$504,0)),"Walk-in"))</f>
        <v>0</v>
      </c>
      <c r="H548" s="15">
        <f>IF(G548="","",IFERROR(INDEX(Services!$B$5:$B$204,MATCH(G548,Services!$A$5:$A$204,0)),"Not in Services"))</f>
        <v>0</v>
      </c>
      <c r="J548" s="15">
        <f>IF(I548="","",IFERROR(INDEX(Staff!$B$5:$B$44,MATCH(I548,Staff!$A$5:$A$44,0)),"Unassigned"))</f>
        <v>0</v>
      </c>
      <c r="S548" s="15">
        <f>IF(B548="","",TEXT(B548,"yyyy-mm"))</f>
        <v>0</v>
      </c>
      <c r="T548" s="25">
        <f>IF(B548="","",WEEKNUM(B548,2))</f>
        <v>0</v>
      </c>
      <c r="U548" s="25">
        <f>IF(B548="","",IF(K548&lt;&gt;"",K548,IFERROR(INDEX(Services!$E$5:$E$204,MATCH(G548,Services!$A$5:$A$204,0))*1,0)+IFERROR(INDEX(Services!$F$5:$F$204,MATCH(G548,Services!$A$5:$A$204,0))*1,0)))</f>
        <v>0</v>
      </c>
      <c r="V548" s="36">
        <f>IF(B548="","",IF(D548="","",D548+U548/1440))</f>
        <v>0</v>
      </c>
      <c r="W548" s="25">
        <f>IF(B548="","",IF(D548="","",HOUR(D548)))</f>
        <v>0</v>
      </c>
      <c r="X548" s="37">
        <f>IF(B548="","",ROUND(U548/60,2))</f>
        <v>0</v>
      </c>
      <c r="Y548" s="26">
        <f>IF(B548="","",IF(L548&lt;&gt;"",L548,IFERROR(INDEX(Services!$G$5:$G$204,MATCH(G548,Services!$A$5:$A$204,0))*1,0)))</f>
        <v>0</v>
      </c>
      <c r="Z548" s="26">
        <f>IF(B548="","",IF(O548&lt;&gt;"",O548,IF(Y548&gt;=DepositThreshold,ROUND(Y548*DepositPercent,2),0)))</f>
        <v>0</v>
      </c>
      <c r="AA548" s="26">
        <f>IF(B548="","",ROUND(SUMIFS(Payments!$G$5:$G$1204,Payments!$I$5:$I$1204,A548,Payments!$E$5:$E$1204,"Deposit"),2))</f>
        <v>0</v>
      </c>
      <c r="AB548" s="26">
        <f>IF(B548="","",ROUND(SUMIFS(Sales!$Y$5:$Y$1204,Sales!$C$5:$C$1204,A548),2))</f>
        <v>0</v>
      </c>
      <c r="AC548" s="38">
        <f>IF(B548="","",IF(M548="Completed","Yes",IF(M548="Cancelled","Yes",IF(M548="No show","Yes","No"))))</f>
        <v>0</v>
      </c>
      <c r="AD548" s="25">
        <f>IF(B548="","",IF(AE548="","",B548-AE548))</f>
        <v>0</v>
      </c>
      <c r="AF548" s="38">
        <f>IF(B548="","",IF(M548&lt;&gt;"Completed","",IF(E548="","No",IF(COUNTIFS(Appointments!$E$5:$E$1204,E548,Appointments!$B$5:$B$1204,"&gt;"&amp;B548,Appointments!$M$5:$M$1204,"&lt;&gt;Cancelled")&gt;0,"Yes","No"))))</f>
        <v>0</v>
      </c>
      <c r="AG548" s="38">
        <f>IF(B548="","",IF(I548="","",IF(D548="","",IF(COUNTIFS($I$5:$I$1204,I548,$B$5:$B$1204,B548,$D$5:$D$1204,"&lt;"&amp;V548,$V$5:$V$1204,"&gt;"&amp;D548,$M$5:$M$1204,"&lt;&gt;Cancelled")&gt;1,"Clash",""))))</f>
        <v>0</v>
      </c>
      <c r="AH548" s="39">
        <f>IF(B548="","",IF(AG548="Clash","Clash - stylist double booked",IF(I548="","Assign - no stylist yet",IF(G548="","Add - no service chosen",IF(M548="No show","No show - charge the fee?",IF(M548="Cancelled","",IF(IF(M548="Completed",AB548&lt;Y548-0.004,FALSE),"Unpaid - nothing rung up for this visit",IF(IF(B548&lt;TodayDate,M548="Booked",FALSE),"Overdue - past date, still only Booked",IF(IF(B548=TodayDate,TRUE,FALSE),"Today",IF(IF(Z548&gt;0,AA548&lt;Z548-0.004,FALSE),"Due - deposit not taken",IF(IF(B548&gt;TodayDate,B548&lt;=TodayDate+2,FALSE),"Confirm - coming up","OK")))))))))))</f>
        <v>0</v>
      </c>
    </row>
    <row r="549" spans="1:34">
      <c r="A549" s="28">
        <f>IF(B549="","",AppointmentPrefix&amp;TEXT(ROW()-4,"0000"))</f>
        <v>0</v>
      </c>
      <c r="C549" s="15">
        <f>IF(B549="","",TEXT(B549,"ddd"))</f>
        <v>0</v>
      </c>
      <c r="F549" s="15">
        <f>IF(E549="","",IFERROR(INDEX(Clients!$B$5:$B$504,MATCH(E549,Clients!$A$5:$A$504,0)),"Walk-in"))</f>
        <v>0</v>
      </c>
      <c r="H549" s="15">
        <f>IF(G549="","",IFERROR(INDEX(Services!$B$5:$B$204,MATCH(G549,Services!$A$5:$A$204,0)),"Not in Services"))</f>
        <v>0</v>
      </c>
      <c r="J549" s="15">
        <f>IF(I549="","",IFERROR(INDEX(Staff!$B$5:$B$44,MATCH(I549,Staff!$A$5:$A$44,0)),"Unassigned"))</f>
        <v>0</v>
      </c>
      <c r="S549" s="15">
        <f>IF(B549="","",TEXT(B549,"yyyy-mm"))</f>
        <v>0</v>
      </c>
      <c r="T549" s="25">
        <f>IF(B549="","",WEEKNUM(B549,2))</f>
        <v>0</v>
      </c>
      <c r="U549" s="25">
        <f>IF(B549="","",IF(K549&lt;&gt;"",K549,IFERROR(INDEX(Services!$E$5:$E$204,MATCH(G549,Services!$A$5:$A$204,0))*1,0)+IFERROR(INDEX(Services!$F$5:$F$204,MATCH(G549,Services!$A$5:$A$204,0))*1,0)))</f>
        <v>0</v>
      </c>
      <c r="V549" s="36">
        <f>IF(B549="","",IF(D549="","",D549+U549/1440))</f>
        <v>0</v>
      </c>
      <c r="W549" s="25">
        <f>IF(B549="","",IF(D549="","",HOUR(D549)))</f>
        <v>0</v>
      </c>
      <c r="X549" s="37">
        <f>IF(B549="","",ROUND(U549/60,2))</f>
        <v>0</v>
      </c>
      <c r="Y549" s="26">
        <f>IF(B549="","",IF(L549&lt;&gt;"",L549,IFERROR(INDEX(Services!$G$5:$G$204,MATCH(G549,Services!$A$5:$A$204,0))*1,0)))</f>
        <v>0</v>
      </c>
      <c r="Z549" s="26">
        <f>IF(B549="","",IF(O549&lt;&gt;"",O549,IF(Y549&gt;=DepositThreshold,ROUND(Y549*DepositPercent,2),0)))</f>
        <v>0</v>
      </c>
      <c r="AA549" s="26">
        <f>IF(B549="","",ROUND(SUMIFS(Payments!$G$5:$G$1204,Payments!$I$5:$I$1204,A549,Payments!$E$5:$E$1204,"Deposit"),2))</f>
        <v>0</v>
      </c>
      <c r="AB549" s="26">
        <f>IF(B549="","",ROUND(SUMIFS(Sales!$Y$5:$Y$1204,Sales!$C$5:$C$1204,A549),2))</f>
        <v>0</v>
      </c>
      <c r="AC549" s="38">
        <f>IF(B549="","",IF(M549="Completed","Yes",IF(M549="Cancelled","Yes",IF(M549="No show","Yes","No"))))</f>
        <v>0</v>
      </c>
      <c r="AD549" s="25">
        <f>IF(B549="","",IF(AE549="","",B549-AE549))</f>
        <v>0</v>
      </c>
      <c r="AF549" s="38">
        <f>IF(B549="","",IF(M549&lt;&gt;"Completed","",IF(E549="","No",IF(COUNTIFS(Appointments!$E$5:$E$1204,E549,Appointments!$B$5:$B$1204,"&gt;"&amp;B549,Appointments!$M$5:$M$1204,"&lt;&gt;Cancelled")&gt;0,"Yes","No"))))</f>
        <v>0</v>
      </c>
      <c r="AG549" s="38">
        <f>IF(B549="","",IF(I549="","",IF(D549="","",IF(COUNTIFS($I$5:$I$1204,I549,$B$5:$B$1204,B549,$D$5:$D$1204,"&lt;"&amp;V549,$V$5:$V$1204,"&gt;"&amp;D549,$M$5:$M$1204,"&lt;&gt;Cancelled")&gt;1,"Clash",""))))</f>
        <v>0</v>
      </c>
      <c r="AH549" s="39">
        <f>IF(B549="","",IF(AG549="Clash","Clash - stylist double booked",IF(I549="","Assign - no stylist yet",IF(G549="","Add - no service chosen",IF(M549="No show","No show - charge the fee?",IF(M549="Cancelled","",IF(IF(M549="Completed",AB549&lt;Y549-0.004,FALSE),"Unpaid - nothing rung up for this visit",IF(IF(B549&lt;TodayDate,M549="Booked",FALSE),"Overdue - past date, still only Booked",IF(IF(B549=TodayDate,TRUE,FALSE),"Today",IF(IF(Z549&gt;0,AA549&lt;Z549-0.004,FALSE),"Due - deposit not taken",IF(IF(B549&gt;TodayDate,B549&lt;=TodayDate+2,FALSE),"Confirm - coming up","OK")))))))))))</f>
        <v>0</v>
      </c>
    </row>
    <row r="550" spans="1:34">
      <c r="A550" s="28">
        <f>IF(B550="","",AppointmentPrefix&amp;TEXT(ROW()-4,"0000"))</f>
        <v>0</v>
      </c>
      <c r="C550" s="15">
        <f>IF(B550="","",TEXT(B550,"ddd"))</f>
        <v>0</v>
      </c>
      <c r="F550" s="15">
        <f>IF(E550="","",IFERROR(INDEX(Clients!$B$5:$B$504,MATCH(E550,Clients!$A$5:$A$504,0)),"Walk-in"))</f>
        <v>0</v>
      </c>
      <c r="H550" s="15">
        <f>IF(G550="","",IFERROR(INDEX(Services!$B$5:$B$204,MATCH(G550,Services!$A$5:$A$204,0)),"Not in Services"))</f>
        <v>0</v>
      </c>
      <c r="J550" s="15">
        <f>IF(I550="","",IFERROR(INDEX(Staff!$B$5:$B$44,MATCH(I550,Staff!$A$5:$A$44,0)),"Unassigned"))</f>
        <v>0</v>
      </c>
      <c r="S550" s="15">
        <f>IF(B550="","",TEXT(B550,"yyyy-mm"))</f>
        <v>0</v>
      </c>
      <c r="T550" s="25">
        <f>IF(B550="","",WEEKNUM(B550,2))</f>
        <v>0</v>
      </c>
      <c r="U550" s="25">
        <f>IF(B550="","",IF(K550&lt;&gt;"",K550,IFERROR(INDEX(Services!$E$5:$E$204,MATCH(G550,Services!$A$5:$A$204,0))*1,0)+IFERROR(INDEX(Services!$F$5:$F$204,MATCH(G550,Services!$A$5:$A$204,0))*1,0)))</f>
        <v>0</v>
      </c>
      <c r="V550" s="36">
        <f>IF(B550="","",IF(D550="","",D550+U550/1440))</f>
        <v>0</v>
      </c>
      <c r="W550" s="25">
        <f>IF(B550="","",IF(D550="","",HOUR(D550)))</f>
        <v>0</v>
      </c>
      <c r="X550" s="37">
        <f>IF(B550="","",ROUND(U550/60,2))</f>
        <v>0</v>
      </c>
      <c r="Y550" s="26">
        <f>IF(B550="","",IF(L550&lt;&gt;"",L550,IFERROR(INDEX(Services!$G$5:$G$204,MATCH(G550,Services!$A$5:$A$204,0))*1,0)))</f>
        <v>0</v>
      </c>
      <c r="Z550" s="26">
        <f>IF(B550="","",IF(O550&lt;&gt;"",O550,IF(Y550&gt;=DepositThreshold,ROUND(Y550*DepositPercent,2),0)))</f>
        <v>0</v>
      </c>
      <c r="AA550" s="26">
        <f>IF(B550="","",ROUND(SUMIFS(Payments!$G$5:$G$1204,Payments!$I$5:$I$1204,A550,Payments!$E$5:$E$1204,"Deposit"),2))</f>
        <v>0</v>
      </c>
      <c r="AB550" s="26">
        <f>IF(B550="","",ROUND(SUMIFS(Sales!$Y$5:$Y$1204,Sales!$C$5:$C$1204,A550),2))</f>
        <v>0</v>
      </c>
      <c r="AC550" s="38">
        <f>IF(B550="","",IF(M550="Completed","Yes",IF(M550="Cancelled","Yes",IF(M550="No show","Yes","No"))))</f>
        <v>0</v>
      </c>
      <c r="AD550" s="25">
        <f>IF(B550="","",IF(AE550="","",B550-AE550))</f>
        <v>0</v>
      </c>
      <c r="AF550" s="38">
        <f>IF(B550="","",IF(M550&lt;&gt;"Completed","",IF(E550="","No",IF(COUNTIFS(Appointments!$E$5:$E$1204,E550,Appointments!$B$5:$B$1204,"&gt;"&amp;B550,Appointments!$M$5:$M$1204,"&lt;&gt;Cancelled")&gt;0,"Yes","No"))))</f>
        <v>0</v>
      </c>
      <c r="AG550" s="38">
        <f>IF(B550="","",IF(I550="","",IF(D550="","",IF(COUNTIFS($I$5:$I$1204,I550,$B$5:$B$1204,B550,$D$5:$D$1204,"&lt;"&amp;V550,$V$5:$V$1204,"&gt;"&amp;D550,$M$5:$M$1204,"&lt;&gt;Cancelled")&gt;1,"Clash",""))))</f>
        <v>0</v>
      </c>
      <c r="AH550" s="39">
        <f>IF(B550="","",IF(AG550="Clash","Clash - stylist double booked",IF(I550="","Assign - no stylist yet",IF(G550="","Add - no service chosen",IF(M550="No show","No show - charge the fee?",IF(M550="Cancelled","",IF(IF(M550="Completed",AB550&lt;Y550-0.004,FALSE),"Unpaid - nothing rung up for this visit",IF(IF(B550&lt;TodayDate,M550="Booked",FALSE),"Overdue - past date, still only Booked",IF(IF(B550=TodayDate,TRUE,FALSE),"Today",IF(IF(Z550&gt;0,AA550&lt;Z550-0.004,FALSE),"Due - deposit not taken",IF(IF(B550&gt;TodayDate,B550&lt;=TodayDate+2,FALSE),"Confirm - coming up","OK")))))))))))</f>
        <v>0</v>
      </c>
    </row>
    <row r="551" spans="1:34">
      <c r="A551" s="28">
        <f>IF(B551="","",AppointmentPrefix&amp;TEXT(ROW()-4,"0000"))</f>
        <v>0</v>
      </c>
      <c r="C551" s="15">
        <f>IF(B551="","",TEXT(B551,"ddd"))</f>
        <v>0</v>
      </c>
      <c r="F551" s="15">
        <f>IF(E551="","",IFERROR(INDEX(Clients!$B$5:$B$504,MATCH(E551,Clients!$A$5:$A$504,0)),"Walk-in"))</f>
        <v>0</v>
      </c>
      <c r="H551" s="15">
        <f>IF(G551="","",IFERROR(INDEX(Services!$B$5:$B$204,MATCH(G551,Services!$A$5:$A$204,0)),"Not in Services"))</f>
        <v>0</v>
      </c>
      <c r="J551" s="15">
        <f>IF(I551="","",IFERROR(INDEX(Staff!$B$5:$B$44,MATCH(I551,Staff!$A$5:$A$44,0)),"Unassigned"))</f>
        <v>0</v>
      </c>
      <c r="S551" s="15">
        <f>IF(B551="","",TEXT(B551,"yyyy-mm"))</f>
        <v>0</v>
      </c>
      <c r="T551" s="25">
        <f>IF(B551="","",WEEKNUM(B551,2))</f>
        <v>0</v>
      </c>
      <c r="U551" s="25">
        <f>IF(B551="","",IF(K551&lt;&gt;"",K551,IFERROR(INDEX(Services!$E$5:$E$204,MATCH(G551,Services!$A$5:$A$204,0))*1,0)+IFERROR(INDEX(Services!$F$5:$F$204,MATCH(G551,Services!$A$5:$A$204,0))*1,0)))</f>
        <v>0</v>
      </c>
      <c r="V551" s="36">
        <f>IF(B551="","",IF(D551="","",D551+U551/1440))</f>
        <v>0</v>
      </c>
      <c r="W551" s="25">
        <f>IF(B551="","",IF(D551="","",HOUR(D551)))</f>
        <v>0</v>
      </c>
      <c r="X551" s="37">
        <f>IF(B551="","",ROUND(U551/60,2))</f>
        <v>0</v>
      </c>
      <c r="Y551" s="26">
        <f>IF(B551="","",IF(L551&lt;&gt;"",L551,IFERROR(INDEX(Services!$G$5:$G$204,MATCH(G551,Services!$A$5:$A$204,0))*1,0)))</f>
        <v>0</v>
      </c>
      <c r="Z551" s="26">
        <f>IF(B551="","",IF(O551&lt;&gt;"",O551,IF(Y551&gt;=DepositThreshold,ROUND(Y551*DepositPercent,2),0)))</f>
        <v>0</v>
      </c>
      <c r="AA551" s="26">
        <f>IF(B551="","",ROUND(SUMIFS(Payments!$G$5:$G$1204,Payments!$I$5:$I$1204,A551,Payments!$E$5:$E$1204,"Deposit"),2))</f>
        <v>0</v>
      </c>
      <c r="AB551" s="26">
        <f>IF(B551="","",ROUND(SUMIFS(Sales!$Y$5:$Y$1204,Sales!$C$5:$C$1204,A551),2))</f>
        <v>0</v>
      </c>
      <c r="AC551" s="38">
        <f>IF(B551="","",IF(M551="Completed","Yes",IF(M551="Cancelled","Yes",IF(M551="No show","Yes","No"))))</f>
        <v>0</v>
      </c>
      <c r="AD551" s="25">
        <f>IF(B551="","",IF(AE551="","",B551-AE551))</f>
        <v>0</v>
      </c>
      <c r="AF551" s="38">
        <f>IF(B551="","",IF(M551&lt;&gt;"Completed","",IF(E551="","No",IF(COUNTIFS(Appointments!$E$5:$E$1204,E551,Appointments!$B$5:$B$1204,"&gt;"&amp;B551,Appointments!$M$5:$M$1204,"&lt;&gt;Cancelled")&gt;0,"Yes","No"))))</f>
        <v>0</v>
      </c>
      <c r="AG551" s="38">
        <f>IF(B551="","",IF(I551="","",IF(D551="","",IF(COUNTIFS($I$5:$I$1204,I551,$B$5:$B$1204,B551,$D$5:$D$1204,"&lt;"&amp;V551,$V$5:$V$1204,"&gt;"&amp;D551,$M$5:$M$1204,"&lt;&gt;Cancelled")&gt;1,"Clash",""))))</f>
        <v>0</v>
      </c>
      <c r="AH551" s="39">
        <f>IF(B551="","",IF(AG551="Clash","Clash - stylist double booked",IF(I551="","Assign - no stylist yet",IF(G551="","Add - no service chosen",IF(M551="No show","No show - charge the fee?",IF(M551="Cancelled","",IF(IF(M551="Completed",AB551&lt;Y551-0.004,FALSE),"Unpaid - nothing rung up for this visit",IF(IF(B551&lt;TodayDate,M551="Booked",FALSE),"Overdue - past date, still only Booked",IF(IF(B551=TodayDate,TRUE,FALSE),"Today",IF(IF(Z551&gt;0,AA551&lt;Z551-0.004,FALSE),"Due - deposit not taken",IF(IF(B551&gt;TodayDate,B551&lt;=TodayDate+2,FALSE),"Confirm - coming up","OK")))))))))))</f>
        <v>0</v>
      </c>
    </row>
    <row r="552" spans="1:34">
      <c r="A552" s="28">
        <f>IF(B552="","",AppointmentPrefix&amp;TEXT(ROW()-4,"0000"))</f>
        <v>0</v>
      </c>
      <c r="C552" s="15">
        <f>IF(B552="","",TEXT(B552,"ddd"))</f>
        <v>0</v>
      </c>
      <c r="F552" s="15">
        <f>IF(E552="","",IFERROR(INDEX(Clients!$B$5:$B$504,MATCH(E552,Clients!$A$5:$A$504,0)),"Walk-in"))</f>
        <v>0</v>
      </c>
      <c r="H552" s="15">
        <f>IF(G552="","",IFERROR(INDEX(Services!$B$5:$B$204,MATCH(G552,Services!$A$5:$A$204,0)),"Not in Services"))</f>
        <v>0</v>
      </c>
      <c r="J552" s="15">
        <f>IF(I552="","",IFERROR(INDEX(Staff!$B$5:$B$44,MATCH(I552,Staff!$A$5:$A$44,0)),"Unassigned"))</f>
        <v>0</v>
      </c>
      <c r="S552" s="15">
        <f>IF(B552="","",TEXT(B552,"yyyy-mm"))</f>
        <v>0</v>
      </c>
      <c r="T552" s="25">
        <f>IF(B552="","",WEEKNUM(B552,2))</f>
        <v>0</v>
      </c>
      <c r="U552" s="25">
        <f>IF(B552="","",IF(K552&lt;&gt;"",K552,IFERROR(INDEX(Services!$E$5:$E$204,MATCH(G552,Services!$A$5:$A$204,0))*1,0)+IFERROR(INDEX(Services!$F$5:$F$204,MATCH(G552,Services!$A$5:$A$204,0))*1,0)))</f>
        <v>0</v>
      </c>
      <c r="V552" s="36">
        <f>IF(B552="","",IF(D552="","",D552+U552/1440))</f>
        <v>0</v>
      </c>
      <c r="W552" s="25">
        <f>IF(B552="","",IF(D552="","",HOUR(D552)))</f>
        <v>0</v>
      </c>
      <c r="X552" s="37">
        <f>IF(B552="","",ROUND(U552/60,2))</f>
        <v>0</v>
      </c>
      <c r="Y552" s="26">
        <f>IF(B552="","",IF(L552&lt;&gt;"",L552,IFERROR(INDEX(Services!$G$5:$G$204,MATCH(G552,Services!$A$5:$A$204,0))*1,0)))</f>
        <v>0</v>
      </c>
      <c r="Z552" s="26">
        <f>IF(B552="","",IF(O552&lt;&gt;"",O552,IF(Y552&gt;=DepositThreshold,ROUND(Y552*DepositPercent,2),0)))</f>
        <v>0</v>
      </c>
      <c r="AA552" s="26">
        <f>IF(B552="","",ROUND(SUMIFS(Payments!$G$5:$G$1204,Payments!$I$5:$I$1204,A552,Payments!$E$5:$E$1204,"Deposit"),2))</f>
        <v>0</v>
      </c>
      <c r="AB552" s="26">
        <f>IF(B552="","",ROUND(SUMIFS(Sales!$Y$5:$Y$1204,Sales!$C$5:$C$1204,A552),2))</f>
        <v>0</v>
      </c>
      <c r="AC552" s="38">
        <f>IF(B552="","",IF(M552="Completed","Yes",IF(M552="Cancelled","Yes",IF(M552="No show","Yes","No"))))</f>
        <v>0</v>
      </c>
      <c r="AD552" s="25">
        <f>IF(B552="","",IF(AE552="","",B552-AE552))</f>
        <v>0</v>
      </c>
      <c r="AF552" s="38">
        <f>IF(B552="","",IF(M552&lt;&gt;"Completed","",IF(E552="","No",IF(COUNTIFS(Appointments!$E$5:$E$1204,E552,Appointments!$B$5:$B$1204,"&gt;"&amp;B552,Appointments!$M$5:$M$1204,"&lt;&gt;Cancelled")&gt;0,"Yes","No"))))</f>
        <v>0</v>
      </c>
      <c r="AG552" s="38">
        <f>IF(B552="","",IF(I552="","",IF(D552="","",IF(COUNTIFS($I$5:$I$1204,I552,$B$5:$B$1204,B552,$D$5:$D$1204,"&lt;"&amp;V552,$V$5:$V$1204,"&gt;"&amp;D552,$M$5:$M$1204,"&lt;&gt;Cancelled")&gt;1,"Clash",""))))</f>
        <v>0</v>
      </c>
      <c r="AH552" s="39">
        <f>IF(B552="","",IF(AG552="Clash","Clash - stylist double booked",IF(I552="","Assign - no stylist yet",IF(G552="","Add - no service chosen",IF(M552="No show","No show - charge the fee?",IF(M552="Cancelled","",IF(IF(M552="Completed",AB552&lt;Y552-0.004,FALSE),"Unpaid - nothing rung up for this visit",IF(IF(B552&lt;TodayDate,M552="Booked",FALSE),"Overdue - past date, still only Booked",IF(IF(B552=TodayDate,TRUE,FALSE),"Today",IF(IF(Z552&gt;0,AA552&lt;Z552-0.004,FALSE),"Due - deposit not taken",IF(IF(B552&gt;TodayDate,B552&lt;=TodayDate+2,FALSE),"Confirm - coming up","OK")))))))))))</f>
        <v>0</v>
      </c>
    </row>
    <row r="553" spans="1:34">
      <c r="A553" s="28">
        <f>IF(B553="","",AppointmentPrefix&amp;TEXT(ROW()-4,"0000"))</f>
        <v>0</v>
      </c>
      <c r="C553" s="15">
        <f>IF(B553="","",TEXT(B553,"ddd"))</f>
        <v>0</v>
      </c>
      <c r="F553" s="15">
        <f>IF(E553="","",IFERROR(INDEX(Clients!$B$5:$B$504,MATCH(E553,Clients!$A$5:$A$504,0)),"Walk-in"))</f>
        <v>0</v>
      </c>
      <c r="H553" s="15">
        <f>IF(G553="","",IFERROR(INDEX(Services!$B$5:$B$204,MATCH(G553,Services!$A$5:$A$204,0)),"Not in Services"))</f>
        <v>0</v>
      </c>
      <c r="J553" s="15">
        <f>IF(I553="","",IFERROR(INDEX(Staff!$B$5:$B$44,MATCH(I553,Staff!$A$5:$A$44,0)),"Unassigned"))</f>
        <v>0</v>
      </c>
      <c r="S553" s="15">
        <f>IF(B553="","",TEXT(B553,"yyyy-mm"))</f>
        <v>0</v>
      </c>
      <c r="T553" s="25">
        <f>IF(B553="","",WEEKNUM(B553,2))</f>
        <v>0</v>
      </c>
      <c r="U553" s="25">
        <f>IF(B553="","",IF(K553&lt;&gt;"",K553,IFERROR(INDEX(Services!$E$5:$E$204,MATCH(G553,Services!$A$5:$A$204,0))*1,0)+IFERROR(INDEX(Services!$F$5:$F$204,MATCH(G553,Services!$A$5:$A$204,0))*1,0)))</f>
        <v>0</v>
      </c>
      <c r="V553" s="36">
        <f>IF(B553="","",IF(D553="","",D553+U553/1440))</f>
        <v>0</v>
      </c>
      <c r="W553" s="25">
        <f>IF(B553="","",IF(D553="","",HOUR(D553)))</f>
        <v>0</v>
      </c>
      <c r="X553" s="37">
        <f>IF(B553="","",ROUND(U553/60,2))</f>
        <v>0</v>
      </c>
      <c r="Y553" s="26">
        <f>IF(B553="","",IF(L553&lt;&gt;"",L553,IFERROR(INDEX(Services!$G$5:$G$204,MATCH(G553,Services!$A$5:$A$204,0))*1,0)))</f>
        <v>0</v>
      </c>
      <c r="Z553" s="26">
        <f>IF(B553="","",IF(O553&lt;&gt;"",O553,IF(Y553&gt;=DepositThreshold,ROUND(Y553*DepositPercent,2),0)))</f>
        <v>0</v>
      </c>
      <c r="AA553" s="26">
        <f>IF(B553="","",ROUND(SUMIFS(Payments!$G$5:$G$1204,Payments!$I$5:$I$1204,A553,Payments!$E$5:$E$1204,"Deposit"),2))</f>
        <v>0</v>
      </c>
      <c r="AB553" s="26">
        <f>IF(B553="","",ROUND(SUMIFS(Sales!$Y$5:$Y$1204,Sales!$C$5:$C$1204,A553),2))</f>
        <v>0</v>
      </c>
      <c r="AC553" s="38">
        <f>IF(B553="","",IF(M553="Completed","Yes",IF(M553="Cancelled","Yes",IF(M553="No show","Yes","No"))))</f>
        <v>0</v>
      </c>
      <c r="AD553" s="25">
        <f>IF(B553="","",IF(AE553="","",B553-AE553))</f>
        <v>0</v>
      </c>
      <c r="AF553" s="38">
        <f>IF(B553="","",IF(M553&lt;&gt;"Completed","",IF(E553="","No",IF(COUNTIFS(Appointments!$E$5:$E$1204,E553,Appointments!$B$5:$B$1204,"&gt;"&amp;B553,Appointments!$M$5:$M$1204,"&lt;&gt;Cancelled")&gt;0,"Yes","No"))))</f>
        <v>0</v>
      </c>
      <c r="AG553" s="38">
        <f>IF(B553="","",IF(I553="","",IF(D553="","",IF(COUNTIFS($I$5:$I$1204,I553,$B$5:$B$1204,B553,$D$5:$D$1204,"&lt;"&amp;V553,$V$5:$V$1204,"&gt;"&amp;D553,$M$5:$M$1204,"&lt;&gt;Cancelled")&gt;1,"Clash",""))))</f>
        <v>0</v>
      </c>
      <c r="AH553" s="39">
        <f>IF(B553="","",IF(AG553="Clash","Clash - stylist double booked",IF(I553="","Assign - no stylist yet",IF(G553="","Add - no service chosen",IF(M553="No show","No show - charge the fee?",IF(M553="Cancelled","",IF(IF(M553="Completed",AB553&lt;Y553-0.004,FALSE),"Unpaid - nothing rung up for this visit",IF(IF(B553&lt;TodayDate,M553="Booked",FALSE),"Overdue - past date, still only Booked",IF(IF(B553=TodayDate,TRUE,FALSE),"Today",IF(IF(Z553&gt;0,AA553&lt;Z553-0.004,FALSE),"Due - deposit not taken",IF(IF(B553&gt;TodayDate,B553&lt;=TodayDate+2,FALSE),"Confirm - coming up","OK")))))))))))</f>
        <v>0</v>
      </c>
    </row>
    <row r="554" spans="1:34">
      <c r="A554" s="28">
        <f>IF(B554="","",AppointmentPrefix&amp;TEXT(ROW()-4,"0000"))</f>
        <v>0</v>
      </c>
      <c r="C554" s="15">
        <f>IF(B554="","",TEXT(B554,"ddd"))</f>
        <v>0</v>
      </c>
      <c r="F554" s="15">
        <f>IF(E554="","",IFERROR(INDEX(Clients!$B$5:$B$504,MATCH(E554,Clients!$A$5:$A$504,0)),"Walk-in"))</f>
        <v>0</v>
      </c>
      <c r="H554" s="15">
        <f>IF(G554="","",IFERROR(INDEX(Services!$B$5:$B$204,MATCH(G554,Services!$A$5:$A$204,0)),"Not in Services"))</f>
        <v>0</v>
      </c>
      <c r="J554" s="15">
        <f>IF(I554="","",IFERROR(INDEX(Staff!$B$5:$B$44,MATCH(I554,Staff!$A$5:$A$44,0)),"Unassigned"))</f>
        <v>0</v>
      </c>
      <c r="S554" s="15">
        <f>IF(B554="","",TEXT(B554,"yyyy-mm"))</f>
        <v>0</v>
      </c>
      <c r="T554" s="25">
        <f>IF(B554="","",WEEKNUM(B554,2))</f>
        <v>0</v>
      </c>
      <c r="U554" s="25">
        <f>IF(B554="","",IF(K554&lt;&gt;"",K554,IFERROR(INDEX(Services!$E$5:$E$204,MATCH(G554,Services!$A$5:$A$204,0))*1,0)+IFERROR(INDEX(Services!$F$5:$F$204,MATCH(G554,Services!$A$5:$A$204,0))*1,0)))</f>
        <v>0</v>
      </c>
      <c r="V554" s="36">
        <f>IF(B554="","",IF(D554="","",D554+U554/1440))</f>
        <v>0</v>
      </c>
      <c r="W554" s="25">
        <f>IF(B554="","",IF(D554="","",HOUR(D554)))</f>
        <v>0</v>
      </c>
      <c r="X554" s="37">
        <f>IF(B554="","",ROUND(U554/60,2))</f>
        <v>0</v>
      </c>
      <c r="Y554" s="26">
        <f>IF(B554="","",IF(L554&lt;&gt;"",L554,IFERROR(INDEX(Services!$G$5:$G$204,MATCH(G554,Services!$A$5:$A$204,0))*1,0)))</f>
        <v>0</v>
      </c>
      <c r="Z554" s="26">
        <f>IF(B554="","",IF(O554&lt;&gt;"",O554,IF(Y554&gt;=DepositThreshold,ROUND(Y554*DepositPercent,2),0)))</f>
        <v>0</v>
      </c>
      <c r="AA554" s="26">
        <f>IF(B554="","",ROUND(SUMIFS(Payments!$G$5:$G$1204,Payments!$I$5:$I$1204,A554,Payments!$E$5:$E$1204,"Deposit"),2))</f>
        <v>0</v>
      </c>
      <c r="AB554" s="26">
        <f>IF(B554="","",ROUND(SUMIFS(Sales!$Y$5:$Y$1204,Sales!$C$5:$C$1204,A554),2))</f>
        <v>0</v>
      </c>
      <c r="AC554" s="38">
        <f>IF(B554="","",IF(M554="Completed","Yes",IF(M554="Cancelled","Yes",IF(M554="No show","Yes","No"))))</f>
        <v>0</v>
      </c>
      <c r="AD554" s="25">
        <f>IF(B554="","",IF(AE554="","",B554-AE554))</f>
        <v>0</v>
      </c>
      <c r="AF554" s="38">
        <f>IF(B554="","",IF(M554&lt;&gt;"Completed","",IF(E554="","No",IF(COUNTIFS(Appointments!$E$5:$E$1204,E554,Appointments!$B$5:$B$1204,"&gt;"&amp;B554,Appointments!$M$5:$M$1204,"&lt;&gt;Cancelled")&gt;0,"Yes","No"))))</f>
        <v>0</v>
      </c>
      <c r="AG554" s="38">
        <f>IF(B554="","",IF(I554="","",IF(D554="","",IF(COUNTIFS($I$5:$I$1204,I554,$B$5:$B$1204,B554,$D$5:$D$1204,"&lt;"&amp;V554,$V$5:$V$1204,"&gt;"&amp;D554,$M$5:$M$1204,"&lt;&gt;Cancelled")&gt;1,"Clash",""))))</f>
        <v>0</v>
      </c>
      <c r="AH554" s="39">
        <f>IF(B554="","",IF(AG554="Clash","Clash - stylist double booked",IF(I554="","Assign - no stylist yet",IF(G554="","Add - no service chosen",IF(M554="No show","No show - charge the fee?",IF(M554="Cancelled","",IF(IF(M554="Completed",AB554&lt;Y554-0.004,FALSE),"Unpaid - nothing rung up for this visit",IF(IF(B554&lt;TodayDate,M554="Booked",FALSE),"Overdue - past date, still only Booked",IF(IF(B554=TodayDate,TRUE,FALSE),"Today",IF(IF(Z554&gt;0,AA554&lt;Z554-0.004,FALSE),"Due - deposit not taken",IF(IF(B554&gt;TodayDate,B554&lt;=TodayDate+2,FALSE),"Confirm - coming up","OK")))))))))))</f>
        <v>0</v>
      </c>
    </row>
    <row r="555" spans="1:34">
      <c r="A555" s="28">
        <f>IF(B555="","",AppointmentPrefix&amp;TEXT(ROW()-4,"0000"))</f>
        <v>0</v>
      </c>
      <c r="C555" s="15">
        <f>IF(B555="","",TEXT(B555,"ddd"))</f>
        <v>0</v>
      </c>
      <c r="F555" s="15">
        <f>IF(E555="","",IFERROR(INDEX(Clients!$B$5:$B$504,MATCH(E555,Clients!$A$5:$A$504,0)),"Walk-in"))</f>
        <v>0</v>
      </c>
      <c r="H555" s="15">
        <f>IF(G555="","",IFERROR(INDEX(Services!$B$5:$B$204,MATCH(G555,Services!$A$5:$A$204,0)),"Not in Services"))</f>
        <v>0</v>
      </c>
      <c r="J555" s="15">
        <f>IF(I555="","",IFERROR(INDEX(Staff!$B$5:$B$44,MATCH(I555,Staff!$A$5:$A$44,0)),"Unassigned"))</f>
        <v>0</v>
      </c>
      <c r="S555" s="15">
        <f>IF(B555="","",TEXT(B555,"yyyy-mm"))</f>
        <v>0</v>
      </c>
      <c r="T555" s="25">
        <f>IF(B555="","",WEEKNUM(B555,2))</f>
        <v>0</v>
      </c>
      <c r="U555" s="25">
        <f>IF(B555="","",IF(K555&lt;&gt;"",K555,IFERROR(INDEX(Services!$E$5:$E$204,MATCH(G555,Services!$A$5:$A$204,0))*1,0)+IFERROR(INDEX(Services!$F$5:$F$204,MATCH(G555,Services!$A$5:$A$204,0))*1,0)))</f>
        <v>0</v>
      </c>
      <c r="V555" s="36">
        <f>IF(B555="","",IF(D555="","",D555+U555/1440))</f>
        <v>0</v>
      </c>
      <c r="W555" s="25">
        <f>IF(B555="","",IF(D555="","",HOUR(D555)))</f>
        <v>0</v>
      </c>
      <c r="X555" s="37">
        <f>IF(B555="","",ROUND(U555/60,2))</f>
        <v>0</v>
      </c>
      <c r="Y555" s="26">
        <f>IF(B555="","",IF(L555&lt;&gt;"",L555,IFERROR(INDEX(Services!$G$5:$G$204,MATCH(G555,Services!$A$5:$A$204,0))*1,0)))</f>
        <v>0</v>
      </c>
      <c r="Z555" s="26">
        <f>IF(B555="","",IF(O555&lt;&gt;"",O555,IF(Y555&gt;=DepositThreshold,ROUND(Y555*DepositPercent,2),0)))</f>
        <v>0</v>
      </c>
      <c r="AA555" s="26">
        <f>IF(B555="","",ROUND(SUMIFS(Payments!$G$5:$G$1204,Payments!$I$5:$I$1204,A555,Payments!$E$5:$E$1204,"Deposit"),2))</f>
        <v>0</v>
      </c>
      <c r="AB555" s="26">
        <f>IF(B555="","",ROUND(SUMIFS(Sales!$Y$5:$Y$1204,Sales!$C$5:$C$1204,A555),2))</f>
        <v>0</v>
      </c>
      <c r="AC555" s="38">
        <f>IF(B555="","",IF(M555="Completed","Yes",IF(M555="Cancelled","Yes",IF(M555="No show","Yes","No"))))</f>
        <v>0</v>
      </c>
      <c r="AD555" s="25">
        <f>IF(B555="","",IF(AE555="","",B555-AE555))</f>
        <v>0</v>
      </c>
      <c r="AF555" s="38">
        <f>IF(B555="","",IF(M555&lt;&gt;"Completed","",IF(E555="","No",IF(COUNTIFS(Appointments!$E$5:$E$1204,E555,Appointments!$B$5:$B$1204,"&gt;"&amp;B555,Appointments!$M$5:$M$1204,"&lt;&gt;Cancelled")&gt;0,"Yes","No"))))</f>
        <v>0</v>
      </c>
      <c r="AG555" s="38">
        <f>IF(B555="","",IF(I555="","",IF(D555="","",IF(COUNTIFS($I$5:$I$1204,I555,$B$5:$B$1204,B555,$D$5:$D$1204,"&lt;"&amp;V555,$V$5:$V$1204,"&gt;"&amp;D555,$M$5:$M$1204,"&lt;&gt;Cancelled")&gt;1,"Clash",""))))</f>
        <v>0</v>
      </c>
      <c r="AH555" s="39">
        <f>IF(B555="","",IF(AG555="Clash","Clash - stylist double booked",IF(I555="","Assign - no stylist yet",IF(G555="","Add - no service chosen",IF(M555="No show","No show - charge the fee?",IF(M555="Cancelled","",IF(IF(M555="Completed",AB555&lt;Y555-0.004,FALSE),"Unpaid - nothing rung up for this visit",IF(IF(B555&lt;TodayDate,M555="Booked",FALSE),"Overdue - past date, still only Booked",IF(IF(B555=TodayDate,TRUE,FALSE),"Today",IF(IF(Z555&gt;0,AA555&lt;Z555-0.004,FALSE),"Due - deposit not taken",IF(IF(B555&gt;TodayDate,B555&lt;=TodayDate+2,FALSE),"Confirm - coming up","OK")))))))))))</f>
        <v>0</v>
      </c>
    </row>
    <row r="556" spans="1:34">
      <c r="A556" s="28">
        <f>IF(B556="","",AppointmentPrefix&amp;TEXT(ROW()-4,"0000"))</f>
        <v>0</v>
      </c>
      <c r="C556" s="15">
        <f>IF(B556="","",TEXT(B556,"ddd"))</f>
        <v>0</v>
      </c>
      <c r="F556" s="15">
        <f>IF(E556="","",IFERROR(INDEX(Clients!$B$5:$B$504,MATCH(E556,Clients!$A$5:$A$504,0)),"Walk-in"))</f>
        <v>0</v>
      </c>
      <c r="H556" s="15">
        <f>IF(G556="","",IFERROR(INDEX(Services!$B$5:$B$204,MATCH(G556,Services!$A$5:$A$204,0)),"Not in Services"))</f>
        <v>0</v>
      </c>
      <c r="J556" s="15">
        <f>IF(I556="","",IFERROR(INDEX(Staff!$B$5:$B$44,MATCH(I556,Staff!$A$5:$A$44,0)),"Unassigned"))</f>
        <v>0</v>
      </c>
      <c r="S556" s="15">
        <f>IF(B556="","",TEXT(B556,"yyyy-mm"))</f>
        <v>0</v>
      </c>
      <c r="T556" s="25">
        <f>IF(B556="","",WEEKNUM(B556,2))</f>
        <v>0</v>
      </c>
      <c r="U556" s="25">
        <f>IF(B556="","",IF(K556&lt;&gt;"",K556,IFERROR(INDEX(Services!$E$5:$E$204,MATCH(G556,Services!$A$5:$A$204,0))*1,0)+IFERROR(INDEX(Services!$F$5:$F$204,MATCH(G556,Services!$A$5:$A$204,0))*1,0)))</f>
        <v>0</v>
      </c>
      <c r="V556" s="36">
        <f>IF(B556="","",IF(D556="","",D556+U556/1440))</f>
        <v>0</v>
      </c>
      <c r="W556" s="25">
        <f>IF(B556="","",IF(D556="","",HOUR(D556)))</f>
        <v>0</v>
      </c>
      <c r="X556" s="37">
        <f>IF(B556="","",ROUND(U556/60,2))</f>
        <v>0</v>
      </c>
      <c r="Y556" s="26">
        <f>IF(B556="","",IF(L556&lt;&gt;"",L556,IFERROR(INDEX(Services!$G$5:$G$204,MATCH(G556,Services!$A$5:$A$204,0))*1,0)))</f>
        <v>0</v>
      </c>
      <c r="Z556" s="26">
        <f>IF(B556="","",IF(O556&lt;&gt;"",O556,IF(Y556&gt;=DepositThreshold,ROUND(Y556*DepositPercent,2),0)))</f>
        <v>0</v>
      </c>
      <c r="AA556" s="26">
        <f>IF(B556="","",ROUND(SUMIFS(Payments!$G$5:$G$1204,Payments!$I$5:$I$1204,A556,Payments!$E$5:$E$1204,"Deposit"),2))</f>
        <v>0</v>
      </c>
      <c r="AB556" s="26">
        <f>IF(B556="","",ROUND(SUMIFS(Sales!$Y$5:$Y$1204,Sales!$C$5:$C$1204,A556),2))</f>
        <v>0</v>
      </c>
      <c r="AC556" s="38">
        <f>IF(B556="","",IF(M556="Completed","Yes",IF(M556="Cancelled","Yes",IF(M556="No show","Yes","No"))))</f>
        <v>0</v>
      </c>
      <c r="AD556" s="25">
        <f>IF(B556="","",IF(AE556="","",B556-AE556))</f>
        <v>0</v>
      </c>
      <c r="AF556" s="38">
        <f>IF(B556="","",IF(M556&lt;&gt;"Completed","",IF(E556="","No",IF(COUNTIFS(Appointments!$E$5:$E$1204,E556,Appointments!$B$5:$B$1204,"&gt;"&amp;B556,Appointments!$M$5:$M$1204,"&lt;&gt;Cancelled")&gt;0,"Yes","No"))))</f>
        <v>0</v>
      </c>
      <c r="AG556" s="38">
        <f>IF(B556="","",IF(I556="","",IF(D556="","",IF(COUNTIFS($I$5:$I$1204,I556,$B$5:$B$1204,B556,$D$5:$D$1204,"&lt;"&amp;V556,$V$5:$V$1204,"&gt;"&amp;D556,$M$5:$M$1204,"&lt;&gt;Cancelled")&gt;1,"Clash",""))))</f>
        <v>0</v>
      </c>
      <c r="AH556" s="39">
        <f>IF(B556="","",IF(AG556="Clash","Clash - stylist double booked",IF(I556="","Assign - no stylist yet",IF(G556="","Add - no service chosen",IF(M556="No show","No show - charge the fee?",IF(M556="Cancelled","",IF(IF(M556="Completed",AB556&lt;Y556-0.004,FALSE),"Unpaid - nothing rung up for this visit",IF(IF(B556&lt;TodayDate,M556="Booked",FALSE),"Overdue - past date, still only Booked",IF(IF(B556=TodayDate,TRUE,FALSE),"Today",IF(IF(Z556&gt;0,AA556&lt;Z556-0.004,FALSE),"Due - deposit not taken",IF(IF(B556&gt;TodayDate,B556&lt;=TodayDate+2,FALSE),"Confirm - coming up","OK")))))))))))</f>
        <v>0</v>
      </c>
    </row>
    <row r="557" spans="1:34">
      <c r="A557" s="28">
        <f>IF(B557="","",AppointmentPrefix&amp;TEXT(ROW()-4,"0000"))</f>
        <v>0</v>
      </c>
      <c r="C557" s="15">
        <f>IF(B557="","",TEXT(B557,"ddd"))</f>
        <v>0</v>
      </c>
      <c r="F557" s="15">
        <f>IF(E557="","",IFERROR(INDEX(Clients!$B$5:$B$504,MATCH(E557,Clients!$A$5:$A$504,0)),"Walk-in"))</f>
        <v>0</v>
      </c>
      <c r="H557" s="15">
        <f>IF(G557="","",IFERROR(INDEX(Services!$B$5:$B$204,MATCH(G557,Services!$A$5:$A$204,0)),"Not in Services"))</f>
        <v>0</v>
      </c>
      <c r="J557" s="15">
        <f>IF(I557="","",IFERROR(INDEX(Staff!$B$5:$B$44,MATCH(I557,Staff!$A$5:$A$44,0)),"Unassigned"))</f>
        <v>0</v>
      </c>
      <c r="S557" s="15">
        <f>IF(B557="","",TEXT(B557,"yyyy-mm"))</f>
        <v>0</v>
      </c>
      <c r="T557" s="25">
        <f>IF(B557="","",WEEKNUM(B557,2))</f>
        <v>0</v>
      </c>
      <c r="U557" s="25">
        <f>IF(B557="","",IF(K557&lt;&gt;"",K557,IFERROR(INDEX(Services!$E$5:$E$204,MATCH(G557,Services!$A$5:$A$204,0))*1,0)+IFERROR(INDEX(Services!$F$5:$F$204,MATCH(G557,Services!$A$5:$A$204,0))*1,0)))</f>
        <v>0</v>
      </c>
      <c r="V557" s="36">
        <f>IF(B557="","",IF(D557="","",D557+U557/1440))</f>
        <v>0</v>
      </c>
      <c r="W557" s="25">
        <f>IF(B557="","",IF(D557="","",HOUR(D557)))</f>
        <v>0</v>
      </c>
      <c r="X557" s="37">
        <f>IF(B557="","",ROUND(U557/60,2))</f>
        <v>0</v>
      </c>
      <c r="Y557" s="26">
        <f>IF(B557="","",IF(L557&lt;&gt;"",L557,IFERROR(INDEX(Services!$G$5:$G$204,MATCH(G557,Services!$A$5:$A$204,0))*1,0)))</f>
        <v>0</v>
      </c>
      <c r="Z557" s="26">
        <f>IF(B557="","",IF(O557&lt;&gt;"",O557,IF(Y557&gt;=DepositThreshold,ROUND(Y557*DepositPercent,2),0)))</f>
        <v>0</v>
      </c>
      <c r="AA557" s="26">
        <f>IF(B557="","",ROUND(SUMIFS(Payments!$G$5:$G$1204,Payments!$I$5:$I$1204,A557,Payments!$E$5:$E$1204,"Deposit"),2))</f>
        <v>0</v>
      </c>
      <c r="AB557" s="26">
        <f>IF(B557="","",ROUND(SUMIFS(Sales!$Y$5:$Y$1204,Sales!$C$5:$C$1204,A557),2))</f>
        <v>0</v>
      </c>
      <c r="AC557" s="38">
        <f>IF(B557="","",IF(M557="Completed","Yes",IF(M557="Cancelled","Yes",IF(M557="No show","Yes","No"))))</f>
        <v>0</v>
      </c>
      <c r="AD557" s="25">
        <f>IF(B557="","",IF(AE557="","",B557-AE557))</f>
        <v>0</v>
      </c>
      <c r="AF557" s="38">
        <f>IF(B557="","",IF(M557&lt;&gt;"Completed","",IF(E557="","No",IF(COUNTIFS(Appointments!$E$5:$E$1204,E557,Appointments!$B$5:$B$1204,"&gt;"&amp;B557,Appointments!$M$5:$M$1204,"&lt;&gt;Cancelled")&gt;0,"Yes","No"))))</f>
        <v>0</v>
      </c>
      <c r="AG557" s="38">
        <f>IF(B557="","",IF(I557="","",IF(D557="","",IF(COUNTIFS($I$5:$I$1204,I557,$B$5:$B$1204,B557,$D$5:$D$1204,"&lt;"&amp;V557,$V$5:$V$1204,"&gt;"&amp;D557,$M$5:$M$1204,"&lt;&gt;Cancelled")&gt;1,"Clash",""))))</f>
        <v>0</v>
      </c>
      <c r="AH557" s="39">
        <f>IF(B557="","",IF(AG557="Clash","Clash - stylist double booked",IF(I557="","Assign - no stylist yet",IF(G557="","Add - no service chosen",IF(M557="No show","No show - charge the fee?",IF(M557="Cancelled","",IF(IF(M557="Completed",AB557&lt;Y557-0.004,FALSE),"Unpaid - nothing rung up for this visit",IF(IF(B557&lt;TodayDate,M557="Booked",FALSE),"Overdue - past date, still only Booked",IF(IF(B557=TodayDate,TRUE,FALSE),"Today",IF(IF(Z557&gt;0,AA557&lt;Z557-0.004,FALSE),"Due - deposit not taken",IF(IF(B557&gt;TodayDate,B557&lt;=TodayDate+2,FALSE),"Confirm - coming up","OK")))))))))))</f>
        <v>0</v>
      </c>
    </row>
    <row r="558" spans="1:34">
      <c r="A558" s="28">
        <f>IF(B558="","",AppointmentPrefix&amp;TEXT(ROW()-4,"0000"))</f>
        <v>0</v>
      </c>
      <c r="C558" s="15">
        <f>IF(B558="","",TEXT(B558,"ddd"))</f>
        <v>0</v>
      </c>
      <c r="F558" s="15">
        <f>IF(E558="","",IFERROR(INDEX(Clients!$B$5:$B$504,MATCH(E558,Clients!$A$5:$A$504,0)),"Walk-in"))</f>
        <v>0</v>
      </c>
      <c r="H558" s="15">
        <f>IF(G558="","",IFERROR(INDEX(Services!$B$5:$B$204,MATCH(G558,Services!$A$5:$A$204,0)),"Not in Services"))</f>
        <v>0</v>
      </c>
      <c r="J558" s="15">
        <f>IF(I558="","",IFERROR(INDEX(Staff!$B$5:$B$44,MATCH(I558,Staff!$A$5:$A$44,0)),"Unassigned"))</f>
        <v>0</v>
      </c>
      <c r="S558" s="15">
        <f>IF(B558="","",TEXT(B558,"yyyy-mm"))</f>
        <v>0</v>
      </c>
      <c r="T558" s="25">
        <f>IF(B558="","",WEEKNUM(B558,2))</f>
        <v>0</v>
      </c>
      <c r="U558" s="25">
        <f>IF(B558="","",IF(K558&lt;&gt;"",K558,IFERROR(INDEX(Services!$E$5:$E$204,MATCH(G558,Services!$A$5:$A$204,0))*1,0)+IFERROR(INDEX(Services!$F$5:$F$204,MATCH(G558,Services!$A$5:$A$204,0))*1,0)))</f>
        <v>0</v>
      </c>
      <c r="V558" s="36">
        <f>IF(B558="","",IF(D558="","",D558+U558/1440))</f>
        <v>0</v>
      </c>
      <c r="W558" s="25">
        <f>IF(B558="","",IF(D558="","",HOUR(D558)))</f>
        <v>0</v>
      </c>
      <c r="X558" s="37">
        <f>IF(B558="","",ROUND(U558/60,2))</f>
        <v>0</v>
      </c>
      <c r="Y558" s="26">
        <f>IF(B558="","",IF(L558&lt;&gt;"",L558,IFERROR(INDEX(Services!$G$5:$G$204,MATCH(G558,Services!$A$5:$A$204,0))*1,0)))</f>
        <v>0</v>
      </c>
      <c r="Z558" s="26">
        <f>IF(B558="","",IF(O558&lt;&gt;"",O558,IF(Y558&gt;=DepositThreshold,ROUND(Y558*DepositPercent,2),0)))</f>
        <v>0</v>
      </c>
      <c r="AA558" s="26">
        <f>IF(B558="","",ROUND(SUMIFS(Payments!$G$5:$G$1204,Payments!$I$5:$I$1204,A558,Payments!$E$5:$E$1204,"Deposit"),2))</f>
        <v>0</v>
      </c>
      <c r="AB558" s="26">
        <f>IF(B558="","",ROUND(SUMIFS(Sales!$Y$5:$Y$1204,Sales!$C$5:$C$1204,A558),2))</f>
        <v>0</v>
      </c>
      <c r="AC558" s="38">
        <f>IF(B558="","",IF(M558="Completed","Yes",IF(M558="Cancelled","Yes",IF(M558="No show","Yes","No"))))</f>
        <v>0</v>
      </c>
      <c r="AD558" s="25">
        <f>IF(B558="","",IF(AE558="","",B558-AE558))</f>
        <v>0</v>
      </c>
      <c r="AF558" s="38">
        <f>IF(B558="","",IF(M558&lt;&gt;"Completed","",IF(E558="","No",IF(COUNTIFS(Appointments!$E$5:$E$1204,E558,Appointments!$B$5:$B$1204,"&gt;"&amp;B558,Appointments!$M$5:$M$1204,"&lt;&gt;Cancelled")&gt;0,"Yes","No"))))</f>
        <v>0</v>
      </c>
      <c r="AG558" s="38">
        <f>IF(B558="","",IF(I558="","",IF(D558="","",IF(COUNTIFS($I$5:$I$1204,I558,$B$5:$B$1204,B558,$D$5:$D$1204,"&lt;"&amp;V558,$V$5:$V$1204,"&gt;"&amp;D558,$M$5:$M$1204,"&lt;&gt;Cancelled")&gt;1,"Clash",""))))</f>
        <v>0</v>
      </c>
      <c r="AH558" s="39">
        <f>IF(B558="","",IF(AG558="Clash","Clash - stylist double booked",IF(I558="","Assign - no stylist yet",IF(G558="","Add - no service chosen",IF(M558="No show","No show - charge the fee?",IF(M558="Cancelled","",IF(IF(M558="Completed",AB558&lt;Y558-0.004,FALSE),"Unpaid - nothing rung up for this visit",IF(IF(B558&lt;TodayDate,M558="Booked",FALSE),"Overdue - past date, still only Booked",IF(IF(B558=TodayDate,TRUE,FALSE),"Today",IF(IF(Z558&gt;0,AA558&lt;Z558-0.004,FALSE),"Due - deposit not taken",IF(IF(B558&gt;TodayDate,B558&lt;=TodayDate+2,FALSE),"Confirm - coming up","OK")))))))))))</f>
        <v>0</v>
      </c>
    </row>
    <row r="559" spans="1:34">
      <c r="A559" s="28">
        <f>IF(B559="","",AppointmentPrefix&amp;TEXT(ROW()-4,"0000"))</f>
        <v>0</v>
      </c>
      <c r="C559" s="15">
        <f>IF(B559="","",TEXT(B559,"ddd"))</f>
        <v>0</v>
      </c>
      <c r="F559" s="15">
        <f>IF(E559="","",IFERROR(INDEX(Clients!$B$5:$B$504,MATCH(E559,Clients!$A$5:$A$504,0)),"Walk-in"))</f>
        <v>0</v>
      </c>
      <c r="H559" s="15">
        <f>IF(G559="","",IFERROR(INDEX(Services!$B$5:$B$204,MATCH(G559,Services!$A$5:$A$204,0)),"Not in Services"))</f>
        <v>0</v>
      </c>
      <c r="J559" s="15">
        <f>IF(I559="","",IFERROR(INDEX(Staff!$B$5:$B$44,MATCH(I559,Staff!$A$5:$A$44,0)),"Unassigned"))</f>
        <v>0</v>
      </c>
      <c r="S559" s="15">
        <f>IF(B559="","",TEXT(B559,"yyyy-mm"))</f>
        <v>0</v>
      </c>
      <c r="T559" s="25">
        <f>IF(B559="","",WEEKNUM(B559,2))</f>
        <v>0</v>
      </c>
      <c r="U559" s="25">
        <f>IF(B559="","",IF(K559&lt;&gt;"",K559,IFERROR(INDEX(Services!$E$5:$E$204,MATCH(G559,Services!$A$5:$A$204,0))*1,0)+IFERROR(INDEX(Services!$F$5:$F$204,MATCH(G559,Services!$A$5:$A$204,0))*1,0)))</f>
        <v>0</v>
      </c>
      <c r="V559" s="36">
        <f>IF(B559="","",IF(D559="","",D559+U559/1440))</f>
        <v>0</v>
      </c>
      <c r="W559" s="25">
        <f>IF(B559="","",IF(D559="","",HOUR(D559)))</f>
        <v>0</v>
      </c>
      <c r="X559" s="37">
        <f>IF(B559="","",ROUND(U559/60,2))</f>
        <v>0</v>
      </c>
      <c r="Y559" s="26">
        <f>IF(B559="","",IF(L559&lt;&gt;"",L559,IFERROR(INDEX(Services!$G$5:$G$204,MATCH(G559,Services!$A$5:$A$204,0))*1,0)))</f>
        <v>0</v>
      </c>
      <c r="Z559" s="26">
        <f>IF(B559="","",IF(O559&lt;&gt;"",O559,IF(Y559&gt;=DepositThreshold,ROUND(Y559*DepositPercent,2),0)))</f>
        <v>0</v>
      </c>
      <c r="AA559" s="26">
        <f>IF(B559="","",ROUND(SUMIFS(Payments!$G$5:$G$1204,Payments!$I$5:$I$1204,A559,Payments!$E$5:$E$1204,"Deposit"),2))</f>
        <v>0</v>
      </c>
      <c r="AB559" s="26">
        <f>IF(B559="","",ROUND(SUMIFS(Sales!$Y$5:$Y$1204,Sales!$C$5:$C$1204,A559),2))</f>
        <v>0</v>
      </c>
      <c r="AC559" s="38">
        <f>IF(B559="","",IF(M559="Completed","Yes",IF(M559="Cancelled","Yes",IF(M559="No show","Yes","No"))))</f>
        <v>0</v>
      </c>
      <c r="AD559" s="25">
        <f>IF(B559="","",IF(AE559="","",B559-AE559))</f>
        <v>0</v>
      </c>
      <c r="AF559" s="38">
        <f>IF(B559="","",IF(M559&lt;&gt;"Completed","",IF(E559="","No",IF(COUNTIFS(Appointments!$E$5:$E$1204,E559,Appointments!$B$5:$B$1204,"&gt;"&amp;B559,Appointments!$M$5:$M$1204,"&lt;&gt;Cancelled")&gt;0,"Yes","No"))))</f>
        <v>0</v>
      </c>
      <c r="AG559" s="38">
        <f>IF(B559="","",IF(I559="","",IF(D559="","",IF(COUNTIFS($I$5:$I$1204,I559,$B$5:$B$1204,B559,$D$5:$D$1204,"&lt;"&amp;V559,$V$5:$V$1204,"&gt;"&amp;D559,$M$5:$M$1204,"&lt;&gt;Cancelled")&gt;1,"Clash",""))))</f>
        <v>0</v>
      </c>
      <c r="AH559" s="39">
        <f>IF(B559="","",IF(AG559="Clash","Clash - stylist double booked",IF(I559="","Assign - no stylist yet",IF(G559="","Add - no service chosen",IF(M559="No show","No show - charge the fee?",IF(M559="Cancelled","",IF(IF(M559="Completed",AB559&lt;Y559-0.004,FALSE),"Unpaid - nothing rung up for this visit",IF(IF(B559&lt;TodayDate,M559="Booked",FALSE),"Overdue - past date, still only Booked",IF(IF(B559=TodayDate,TRUE,FALSE),"Today",IF(IF(Z559&gt;0,AA559&lt;Z559-0.004,FALSE),"Due - deposit not taken",IF(IF(B559&gt;TodayDate,B559&lt;=TodayDate+2,FALSE),"Confirm - coming up","OK")))))))))))</f>
        <v>0</v>
      </c>
    </row>
    <row r="560" spans="1:34">
      <c r="A560" s="28">
        <f>IF(B560="","",AppointmentPrefix&amp;TEXT(ROW()-4,"0000"))</f>
        <v>0</v>
      </c>
      <c r="C560" s="15">
        <f>IF(B560="","",TEXT(B560,"ddd"))</f>
        <v>0</v>
      </c>
      <c r="F560" s="15">
        <f>IF(E560="","",IFERROR(INDEX(Clients!$B$5:$B$504,MATCH(E560,Clients!$A$5:$A$504,0)),"Walk-in"))</f>
        <v>0</v>
      </c>
      <c r="H560" s="15">
        <f>IF(G560="","",IFERROR(INDEX(Services!$B$5:$B$204,MATCH(G560,Services!$A$5:$A$204,0)),"Not in Services"))</f>
        <v>0</v>
      </c>
      <c r="J560" s="15">
        <f>IF(I560="","",IFERROR(INDEX(Staff!$B$5:$B$44,MATCH(I560,Staff!$A$5:$A$44,0)),"Unassigned"))</f>
        <v>0</v>
      </c>
      <c r="S560" s="15">
        <f>IF(B560="","",TEXT(B560,"yyyy-mm"))</f>
        <v>0</v>
      </c>
      <c r="T560" s="25">
        <f>IF(B560="","",WEEKNUM(B560,2))</f>
        <v>0</v>
      </c>
      <c r="U560" s="25">
        <f>IF(B560="","",IF(K560&lt;&gt;"",K560,IFERROR(INDEX(Services!$E$5:$E$204,MATCH(G560,Services!$A$5:$A$204,0))*1,0)+IFERROR(INDEX(Services!$F$5:$F$204,MATCH(G560,Services!$A$5:$A$204,0))*1,0)))</f>
        <v>0</v>
      </c>
      <c r="V560" s="36">
        <f>IF(B560="","",IF(D560="","",D560+U560/1440))</f>
        <v>0</v>
      </c>
      <c r="W560" s="25">
        <f>IF(B560="","",IF(D560="","",HOUR(D560)))</f>
        <v>0</v>
      </c>
      <c r="X560" s="37">
        <f>IF(B560="","",ROUND(U560/60,2))</f>
        <v>0</v>
      </c>
      <c r="Y560" s="26">
        <f>IF(B560="","",IF(L560&lt;&gt;"",L560,IFERROR(INDEX(Services!$G$5:$G$204,MATCH(G560,Services!$A$5:$A$204,0))*1,0)))</f>
        <v>0</v>
      </c>
      <c r="Z560" s="26">
        <f>IF(B560="","",IF(O560&lt;&gt;"",O560,IF(Y560&gt;=DepositThreshold,ROUND(Y560*DepositPercent,2),0)))</f>
        <v>0</v>
      </c>
      <c r="AA560" s="26">
        <f>IF(B560="","",ROUND(SUMIFS(Payments!$G$5:$G$1204,Payments!$I$5:$I$1204,A560,Payments!$E$5:$E$1204,"Deposit"),2))</f>
        <v>0</v>
      </c>
      <c r="AB560" s="26">
        <f>IF(B560="","",ROUND(SUMIFS(Sales!$Y$5:$Y$1204,Sales!$C$5:$C$1204,A560),2))</f>
        <v>0</v>
      </c>
      <c r="AC560" s="38">
        <f>IF(B560="","",IF(M560="Completed","Yes",IF(M560="Cancelled","Yes",IF(M560="No show","Yes","No"))))</f>
        <v>0</v>
      </c>
      <c r="AD560" s="25">
        <f>IF(B560="","",IF(AE560="","",B560-AE560))</f>
        <v>0</v>
      </c>
      <c r="AF560" s="38">
        <f>IF(B560="","",IF(M560&lt;&gt;"Completed","",IF(E560="","No",IF(COUNTIFS(Appointments!$E$5:$E$1204,E560,Appointments!$B$5:$B$1204,"&gt;"&amp;B560,Appointments!$M$5:$M$1204,"&lt;&gt;Cancelled")&gt;0,"Yes","No"))))</f>
        <v>0</v>
      </c>
      <c r="AG560" s="38">
        <f>IF(B560="","",IF(I560="","",IF(D560="","",IF(COUNTIFS($I$5:$I$1204,I560,$B$5:$B$1204,B560,$D$5:$D$1204,"&lt;"&amp;V560,$V$5:$V$1204,"&gt;"&amp;D560,$M$5:$M$1204,"&lt;&gt;Cancelled")&gt;1,"Clash",""))))</f>
        <v>0</v>
      </c>
      <c r="AH560" s="39">
        <f>IF(B560="","",IF(AG560="Clash","Clash - stylist double booked",IF(I560="","Assign - no stylist yet",IF(G560="","Add - no service chosen",IF(M560="No show","No show - charge the fee?",IF(M560="Cancelled","",IF(IF(M560="Completed",AB560&lt;Y560-0.004,FALSE),"Unpaid - nothing rung up for this visit",IF(IF(B560&lt;TodayDate,M560="Booked",FALSE),"Overdue - past date, still only Booked",IF(IF(B560=TodayDate,TRUE,FALSE),"Today",IF(IF(Z560&gt;0,AA560&lt;Z560-0.004,FALSE),"Due - deposit not taken",IF(IF(B560&gt;TodayDate,B560&lt;=TodayDate+2,FALSE),"Confirm - coming up","OK")))))))))))</f>
        <v>0</v>
      </c>
    </row>
    <row r="561" spans="1:34">
      <c r="A561" s="28">
        <f>IF(B561="","",AppointmentPrefix&amp;TEXT(ROW()-4,"0000"))</f>
        <v>0</v>
      </c>
      <c r="C561" s="15">
        <f>IF(B561="","",TEXT(B561,"ddd"))</f>
        <v>0</v>
      </c>
      <c r="F561" s="15">
        <f>IF(E561="","",IFERROR(INDEX(Clients!$B$5:$B$504,MATCH(E561,Clients!$A$5:$A$504,0)),"Walk-in"))</f>
        <v>0</v>
      </c>
      <c r="H561" s="15">
        <f>IF(G561="","",IFERROR(INDEX(Services!$B$5:$B$204,MATCH(G561,Services!$A$5:$A$204,0)),"Not in Services"))</f>
        <v>0</v>
      </c>
      <c r="J561" s="15">
        <f>IF(I561="","",IFERROR(INDEX(Staff!$B$5:$B$44,MATCH(I561,Staff!$A$5:$A$44,0)),"Unassigned"))</f>
        <v>0</v>
      </c>
      <c r="S561" s="15">
        <f>IF(B561="","",TEXT(B561,"yyyy-mm"))</f>
        <v>0</v>
      </c>
      <c r="T561" s="25">
        <f>IF(B561="","",WEEKNUM(B561,2))</f>
        <v>0</v>
      </c>
      <c r="U561" s="25">
        <f>IF(B561="","",IF(K561&lt;&gt;"",K561,IFERROR(INDEX(Services!$E$5:$E$204,MATCH(G561,Services!$A$5:$A$204,0))*1,0)+IFERROR(INDEX(Services!$F$5:$F$204,MATCH(G561,Services!$A$5:$A$204,0))*1,0)))</f>
        <v>0</v>
      </c>
      <c r="V561" s="36">
        <f>IF(B561="","",IF(D561="","",D561+U561/1440))</f>
        <v>0</v>
      </c>
      <c r="W561" s="25">
        <f>IF(B561="","",IF(D561="","",HOUR(D561)))</f>
        <v>0</v>
      </c>
      <c r="X561" s="37">
        <f>IF(B561="","",ROUND(U561/60,2))</f>
        <v>0</v>
      </c>
      <c r="Y561" s="26">
        <f>IF(B561="","",IF(L561&lt;&gt;"",L561,IFERROR(INDEX(Services!$G$5:$G$204,MATCH(G561,Services!$A$5:$A$204,0))*1,0)))</f>
        <v>0</v>
      </c>
      <c r="Z561" s="26">
        <f>IF(B561="","",IF(O561&lt;&gt;"",O561,IF(Y561&gt;=DepositThreshold,ROUND(Y561*DepositPercent,2),0)))</f>
        <v>0</v>
      </c>
      <c r="AA561" s="26">
        <f>IF(B561="","",ROUND(SUMIFS(Payments!$G$5:$G$1204,Payments!$I$5:$I$1204,A561,Payments!$E$5:$E$1204,"Deposit"),2))</f>
        <v>0</v>
      </c>
      <c r="AB561" s="26">
        <f>IF(B561="","",ROUND(SUMIFS(Sales!$Y$5:$Y$1204,Sales!$C$5:$C$1204,A561),2))</f>
        <v>0</v>
      </c>
      <c r="AC561" s="38">
        <f>IF(B561="","",IF(M561="Completed","Yes",IF(M561="Cancelled","Yes",IF(M561="No show","Yes","No"))))</f>
        <v>0</v>
      </c>
      <c r="AD561" s="25">
        <f>IF(B561="","",IF(AE561="","",B561-AE561))</f>
        <v>0</v>
      </c>
      <c r="AF561" s="38">
        <f>IF(B561="","",IF(M561&lt;&gt;"Completed","",IF(E561="","No",IF(COUNTIFS(Appointments!$E$5:$E$1204,E561,Appointments!$B$5:$B$1204,"&gt;"&amp;B561,Appointments!$M$5:$M$1204,"&lt;&gt;Cancelled")&gt;0,"Yes","No"))))</f>
        <v>0</v>
      </c>
      <c r="AG561" s="38">
        <f>IF(B561="","",IF(I561="","",IF(D561="","",IF(COUNTIFS($I$5:$I$1204,I561,$B$5:$B$1204,B561,$D$5:$D$1204,"&lt;"&amp;V561,$V$5:$V$1204,"&gt;"&amp;D561,$M$5:$M$1204,"&lt;&gt;Cancelled")&gt;1,"Clash",""))))</f>
        <v>0</v>
      </c>
      <c r="AH561" s="39">
        <f>IF(B561="","",IF(AG561="Clash","Clash - stylist double booked",IF(I561="","Assign - no stylist yet",IF(G561="","Add - no service chosen",IF(M561="No show","No show - charge the fee?",IF(M561="Cancelled","",IF(IF(M561="Completed",AB561&lt;Y561-0.004,FALSE),"Unpaid - nothing rung up for this visit",IF(IF(B561&lt;TodayDate,M561="Booked",FALSE),"Overdue - past date, still only Booked",IF(IF(B561=TodayDate,TRUE,FALSE),"Today",IF(IF(Z561&gt;0,AA561&lt;Z561-0.004,FALSE),"Due - deposit not taken",IF(IF(B561&gt;TodayDate,B561&lt;=TodayDate+2,FALSE),"Confirm - coming up","OK")))))))))))</f>
        <v>0</v>
      </c>
    </row>
    <row r="562" spans="1:34">
      <c r="A562" s="28">
        <f>IF(B562="","",AppointmentPrefix&amp;TEXT(ROW()-4,"0000"))</f>
        <v>0</v>
      </c>
      <c r="C562" s="15">
        <f>IF(B562="","",TEXT(B562,"ddd"))</f>
        <v>0</v>
      </c>
      <c r="F562" s="15">
        <f>IF(E562="","",IFERROR(INDEX(Clients!$B$5:$B$504,MATCH(E562,Clients!$A$5:$A$504,0)),"Walk-in"))</f>
        <v>0</v>
      </c>
      <c r="H562" s="15">
        <f>IF(G562="","",IFERROR(INDEX(Services!$B$5:$B$204,MATCH(G562,Services!$A$5:$A$204,0)),"Not in Services"))</f>
        <v>0</v>
      </c>
      <c r="J562" s="15">
        <f>IF(I562="","",IFERROR(INDEX(Staff!$B$5:$B$44,MATCH(I562,Staff!$A$5:$A$44,0)),"Unassigned"))</f>
        <v>0</v>
      </c>
      <c r="S562" s="15">
        <f>IF(B562="","",TEXT(B562,"yyyy-mm"))</f>
        <v>0</v>
      </c>
      <c r="T562" s="25">
        <f>IF(B562="","",WEEKNUM(B562,2))</f>
        <v>0</v>
      </c>
      <c r="U562" s="25">
        <f>IF(B562="","",IF(K562&lt;&gt;"",K562,IFERROR(INDEX(Services!$E$5:$E$204,MATCH(G562,Services!$A$5:$A$204,0))*1,0)+IFERROR(INDEX(Services!$F$5:$F$204,MATCH(G562,Services!$A$5:$A$204,0))*1,0)))</f>
        <v>0</v>
      </c>
      <c r="V562" s="36">
        <f>IF(B562="","",IF(D562="","",D562+U562/1440))</f>
        <v>0</v>
      </c>
      <c r="W562" s="25">
        <f>IF(B562="","",IF(D562="","",HOUR(D562)))</f>
        <v>0</v>
      </c>
      <c r="X562" s="37">
        <f>IF(B562="","",ROUND(U562/60,2))</f>
        <v>0</v>
      </c>
      <c r="Y562" s="26">
        <f>IF(B562="","",IF(L562&lt;&gt;"",L562,IFERROR(INDEX(Services!$G$5:$G$204,MATCH(G562,Services!$A$5:$A$204,0))*1,0)))</f>
        <v>0</v>
      </c>
      <c r="Z562" s="26">
        <f>IF(B562="","",IF(O562&lt;&gt;"",O562,IF(Y562&gt;=DepositThreshold,ROUND(Y562*DepositPercent,2),0)))</f>
        <v>0</v>
      </c>
      <c r="AA562" s="26">
        <f>IF(B562="","",ROUND(SUMIFS(Payments!$G$5:$G$1204,Payments!$I$5:$I$1204,A562,Payments!$E$5:$E$1204,"Deposit"),2))</f>
        <v>0</v>
      </c>
      <c r="AB562" s="26">
        <f>IF(B562="","",ROUND(SUMIFS(Sales!$Y$5:$Y$1204,Sales!$C$5:$C$1204,A562),2))</f>
        <v>0</v>
      </c>
      <c r="AC562" s="38">
        <f>IF(B562="","",IF(M562="Completed","Yes",IF(M562="Cancelled","Yes",IF(M562="No show","Yes","No"))))</f>
        <v>0</v>
      </c>
      <c r="AD562" s="25">
        <f>IF(B562="","",IF(AE562="","",B562-AE562))</f>
        <v>0</v>
      </c>
      <c r="AF562" s="38">
        <f>IF(B562="","",IF(M562&lt;&gt;"Completed","",IF(E562="","No",IF(COUNTIFS(Appointments!$E$5:$E$1204,E562,Appointments!$B$5:$B$1204,"&gt;"&amp;B562,Appointments!$M$5:$M$1204,"&lt;&gt;Cancelled")&gt;0,"Yes","No"))))</f>
        <v>0</v>
      </c>
      <c r="AG562" s="38">
        <f>IF(B562="","",IF(I562="","",IF(D562="","",IF(COUNTIFS($I$5:$I$1204,I562,$B$5:$B$1204,B562,$D$5:$D$1204,"&lt;"&amp;V562,$V$5:$V$1204,"&gt;"&amp;D562,$M$5:$M$1204,"&lt;&gt;Cancelled")&gt;1,"Clash",""))))</f>
        <v>0</v>
      </c>
      <c r="AH562" s="39">
        <f>IF(B562="","",IF(AG562="Clash","Clash - stylist double booked",IF(I562="","Assign - no stylist yet",IF(G562="","Add - no service chosen",IF(M562="No show","No show - charge the fee?",IF(M562="Cancelled","",IF(IF(M562="Completed",AB562&lt;Y562-0.004,FALSE),"Unpaid - nothing rung up for this visit",IF(IF(B562&lt;TodayDate,M562="Booked",FALSE),"Overdue - past date, still only Booked",IF(IF(B562=TodayDate,TRUE,FALSE),"Today",IF(IF(Z562&gt;0,AA562&lt;Z562-0.004,FALSE),"Due - deposit not taken",IF(IF(B562&gt;TodayDate,B562&lt;=TodayDate+2,FALSE),"Confirm - coming up","OK")))))))))))</f>
        <v>0</v>
      </c>
    </row>
    <row r="563" spans="1:34">
      <c r="A563" s="28">
        <f>IF(B563="","",AppointmentPrefix&amp;TEXT(ROW()-4,"0000"))</f>
        <v>0</v>
      </c>
      <c r="C563" s="15">
        <f>IF(B563="","",TEXT(B563,"ddd"))</f>
        <v>0</v>
      </c>
      <c r="F563" s="15">
        <f>IF(E563="","",IFERROR(INDEX(Clients!$B$5:$B$504,MATCH(E563,Clients!$A$5:$A$504,0)),"Walk-in"))</f>
        <v>0</v>
      </c>
      <c r="H563" s="15">
        <f>IF(G563="","",IFERROR(INDEX(Services!$B$5:$B$204,MATCH(G563,Services!$A$5:$A$204,0)),"Not in Services"))</f>
        <v>0</v>
      </c>
      <c r="J563" s="15">
        <f>IF(I563="","",IFERROR(INDEX(Staff!$B$5:$B$44,MATCH(I563,Staff!$A$5:$A$44,0)),"Unassigned"))</f>
        <v>0</v>
      </c>
      <c r="S563" s="15">
        <f>IF(B563="","",TEXT(B563,"yyyy-mm"))</f>
        <v>0</v>
      </c>
      <c r="T563" s="25">
        <f>IF(B563="","",WEEKNUM(B563,2))</f>
        <v>0</v>
      </c>
      <c r="U563" s="25">
        <f>IF(B563="","",IF(K563&lt;&gt;"",K563,IFERROR(INDEX(Services!$E$5:$E$204,MATCH(G563,Services!$A$5:$A$204,0))*1,0)+IFERROR(INDEX(Services!$F$5:$F$204,MATCH(G563,Services!$A$5:$A$204,0))*1,0)))</f>
        <v>0</v>
      </c>
      <c r="V563" s="36">
        <f>IF(B563="","",IF(D563="","",D563+U563/1440))</f>
        <v>0</v>
      </c>
      <c r="W563" s="25">
        <f>IF(B563="","",IF(D563="","",HOUR(D563)))</f>
        <v>0</v>
      </c>
      <c r="X563" s="37">
        <f>IF(B563="","",ROUND(U563/60,2))</f>
        <v>0</v>
      </c>
      <c r="Y563" s="26">
        <f>IF(B563="","",IF(L563&lt;&gt;"",L563,IFERROR(INDEX(Services!$G$5:$G$204,MATCH(G563,Services!$A$5:$A$204,0))*1,0)))</f>
        <v>0</v>
      </c>
      <c r="Z563" s="26">
        <f>IF(B563="","",IF(O563&lt;&gt;"",O563,IF(Y563&gt;=DepositThreshold,ROUND(Y563*DepositPercent,2),0)))</f>
        <v>0</v>
      </c>
      <c r="AA563" s="26">
        <f>IF(B563="","",ROUND(SUMIFS(Payments!$G$5:$G$1204,Payments!$I$5:$I$1204,A563,Payments!$E$5:$E$1204,"Deposit"),2))</f>
        <v>0</v>
      </c>
      <c r="AB563" s="26">
        <f>IF(B563="","",ROUND(SUMIFS(Sales!$Y$5:$Y$1204,Sales!$C$5:$C$1204,A563),2))</f>
        <v>0</v>
      </c>
      <c r="AC563" s="38">
        <f>IF(B563="","",IF(M563="Completed","Yes",IF(M563="Cancelled","Yes",IF(M563="No show","Yes","No"))))</f>
        <v>0</v>
      </c>
      <c r="AD563" s="25">
        <f>IF(B563="","",IF(AE563="","",B563-AE563))</f>
        <v>0</v>
      </c>
      <c r="AF563" s="38">
        <f>IF(B563="","",IF(M563&lt;&gt;"Completed","",IF(E563="","No",IF(COUNTIFS(Appointments!$E$5:$E$1204,E563,Appointments!$B$5:$B$1204,"&gt;"&amp;B563,Appointments!$M$5:$M$1204,"&lt;&gt;Cancelled")&gt;0,"Yes","No"))))</f>
        <v>0</v>
      </c>
      <c r="AG563" s="38">
        <f>IF(B563="","",IF(I563="","",IF(D563="","",IF(COUNTIFS($I$5:$I$1204,I563,$B$5:$B$1204,B563,$D$5:$D$1204,"&lt;"&amp;V563,$V$5:$V$1204,"&gt;"&amp;D563,$M$5:$M$1204,"&lt;&gt;Cancelled")&gt;1,"Clash",""))))</f>
        <v>0</v>
      </c>
      <c r="AH563" s="39">
        <f>IF(B563="","",IF(AG563="Clash","Clash - stylist double booked",IF(I563="","Assign - no stylist yet",IF(G563="","Add - no service chosen",IF(M563="No show","No show - charge the fee?",IF(M563="Cancelled","",IF(IF(M563="Completed",AB563&lt;Y563-0.004,FALSE),"Unpaid - nothing rung up for this visit",IF(IF(B563&lt;TodayDate,M563="Booked",FALSE),"Overdue - past date, still only Booked",IF(IF(B563=TodayDate,TRUE,FALSE),"Today",IF(IF(Z563&gt;0,AA563&lt;Z563-0.004,FALSE),"Due - deposit not taken",IF(IF(B563&gt;TodayDate,B563&lt;=TodayDate+2,FALSE),"Confirm - coming up","OK")))))))))))</f>
        <v>0</v>
      </c>
    </row>
    <row r="564" spans="1:34">
      <c r="A564" s="28">
        <f>IF(B564="","",AppointmentPrefix&amp;TEXT(ROW()-4,"0000"))</f>
        <v>0</v>
      </c>
      <c r="C564" s="15">
        <f>IF(B564="","",TEXT(B564,"ddd"))</f>
        <v>0</v>
      </c>
      <c r="F564" s="15">
        <f>IF(E564="","",IFERROR(INDEX(Clients!$B$5:$B$504,MATCH(E564,Clients!$A$5:$A$504,0)),"Walk-in"))</f>
        <v>0</v>
      </c>
      <c r="H564" s="15">
        <f>IF(G564="","",IFERROR(INDEX(Services!$B$5:$B$204,MATCH(G564,Services!$A$5:$A$204,0)),"Not in Services"))</f>
        <v>0</v>
      </c>
      <c r="J564" s="15">
        <f>IF(I564="","",IFERROR(INDEX(Staff!$B$5:$B$44,MATCH(I564,Staff!$A$5:$A$44,0)),"Unassigned"))</f>
        <v>0</v>
      </c>
      <c r="S564" s="15">
        <f>IF(B564="","",TEXT(B564,"yyyy-mm"))</f>
        <v>0</v>
      </c>
      <c r="T564" s="25">
        <f>IF(B564="","",WEEKNUM(B564,2))</f>
        <v>0</v>
      </c>
      <c r="U564" s="25">
        <f>IF(B564="","",IF(K564&lt;&gt;"",K564,IFERROR(INDEX(Services!$E$5:$E$204,MATCH(G564,Services!$A$5:$A$204,0))*1,0)+IFERROR(INDEX(Services!$F$5:$F$204,MATCH(G564,Services!$A$5:$A$204,0))*1,0)))</f>
        <v>0</v>
      </c>
      <c r="V564" s="36">
        <f>IF(B564="","",IF(D564="","",D564+U564/1440))</f>
        <v>0</v>
      </c>
      <c r="W564" s="25">
        <f>IF(B564="","",IF(D564="","",HOUR(D564)))</f>
        <v>0</v>
      </c>
      <c r="X564" s="37">
        <f>IF(B564="","",ROUND(U564/60,2))</f>
        <v>0</v>
      </c>
      <c r="Y564" s="26">
        <f>IF(B564="","",IF(L564&lt;&gt;"",L564,IFERROR(INDEX(Services!$G$5:$G$204,MATCH(G564,Services!$A$5:$A$204,0))*1,0)))</f>
        <v>0</v>
      </c>
      <c r="Z564" s="26">
        <f>IF(B564="","",IF(O564&lt;&gt;"",O564,IF(Y564&gt;=DepositThreshold,ROUND(Y564*DepositPercent,2),0)))</f>
        <v>0</v>
      </c>
      <c r="AA564" s="26">
        <f>IF(B564="","",ROUND(SUMIFS(Payments!$G$5:$G$1204,Payments!$I$5:$I$1204,A564,Payments!$E$5:$E$1204,"Deposit"),2))</f>
        <v>0</v>
      </c>
      <c r="AB564" s="26">
        <f>IF(B564="","",ROUND(SUMIFS(Sales!$Y$5:$Y$1204,Sales!$C$5:$C$1204,A564),2))</f>
        <v>0</v>
      </c>
      <c r="AC564" s="38">
        <f>IF(B564="","",IF(M564="Completed","Yes",IF(M564="Cancelled","Yes",IF(M564="No show","Yes","No"))))</f>
        <v>0</v>
      </c>
      <c r="AD564" s="25">
        <f>IF(B564="","",IF(AE564="","",B564-AE564))</f>
        <v>0</v>
      </c>
      <c r="AF564" s="38">
        <f>IF(B564="","",IF(M564&lt;&gt;"Completed","",IF(E564="","No",IF(COUNTIFS(Appointments!$E$5:$E$1204,E564,Appointments!$B$5:$B$1204,"&gt;"&amp;B564,Appointments!$M$5:$M$1204,"&lt;&gt;Cancelled")&gt;0,"Yes","No"))))</f>
        <v>0</v>
      </c>
      <c r="AG564" s="38">
        <f>IF(B564="","",IF(I564="","",IF(D564="","",IF(COUNTIFS($I$5:$I$1204,I564,$B$5:$B$1204,B564,$D$5:$D$1204,"&lt;"&amp;V564,$V$5:$V$1204,"&gt;"&amp;D564,$M$5:$M$1204,"&lt;&gt;Cancelled")&gt;1,"Clash",""))))</f>
        <v>0</v>
      </c>
      <c r="AH564" s="39">
        <f>IF(B564="","",IF(AG564="Clash","Clash - stylist double booked",IF(I564="","Assign - no stylist yet",IF(G564="","Add - no service chosen",IF(M564="No show","No show - charge the fee?",IF(M564="Cancelled","",IF(IF(M564="Completed",AB564&lt;Y564-0.004,FALSE),"Unpaid - nothing rung up for this visit",IF(IF(B564&lt;TodayDate,M564="Booked",FALSE),"Overdue - past date, still only Booked",IF(IF(B564=TodayDate,TRUE,FALSE),"Today",IF(IF(Z564&gt;0,AA564&lt;Z564-0.004,FALSE),"Due - deposit not taken",IF(IF(B564&gt;TodayDate,B564&lt;=TodayDate+2,FALSE),"Confirm - coming up","OK")))))))))))</f>
        <v>0</v>
      </c>
    </row>
    <row r="565" spans="1:34">
      <c r="A565" s="28">
        <f>IF(B565="","",AppointmentPrefix&amp;TEXT(ROW()-4,"0000"))</f>
        <v>0</v>
      </c>
      <c r="C565" s="15">
        <f>IF(B565="","",TEXT(B565,"ddd"))</f>
        <v>0</v>
      </c>
      <c r="F565" s="15">
        <f>IF(E565="","",IFERROR(INDEX(Clients!$B$5:$B$504,MATCH(E565,Clients!$A$5:$A$504,0)),"Walk-in"))</f>
        <v>0</v>
      </c>
      <c r="H565" s="15">
        <f>IF(G565="","",IFERROR(INDEX(Services!$B$5:$B$204,MATCH(G565,Services!$A$5:$A$204,0)),"Not in Services"))</f>
        <v>0</v>
      </c>
      <c r="J565" s="15">
        <f>IF(I565="","",IFERROR(INDEX(Staff!$B$5:$B$44,MATCH(I565,Staff!$A$5:$A$44,0)),"Unassigned"))</f>
        <v>0</v>
      </c>
      <c r="S565" s="15">
        <f>IF(B565="","",TEXT(B565,"yyyy-mm"))</f>
        <v>0</v>
      </c>
      <c r="T565" s="25">
        <f>IF(B565="","",WEEKNUM(B565,2))</f>
        <v>0</v>
      </c>
      <c r="U565" s="25">
        <f>IF(B565="","",IF(K565&lt;&gt;"",K565,IFERROR(INDEX(Services!$E$5:$E$204,MATCH(G565,Services!$A$5:$A$204,0))*1,0)+IFERROR(INDEX(Services!$F$5:$F$204,MATCH(G565,Services!$A$5:$A$204,0))*1,0)))</f>
        <v>0</v>
      </c>
      <c r="V565" s="36">
        <f>IF(B565="","",IF(D565="","",D565+U565/1440))</f>
        <v>0</v>
      </c>
      <c r="W565" s="25">
        <f>IF(B565="","",IF(D565="","",HOUR(D565)))</f>
        <v>0</v>
      </c>
      <c r="X565" s="37">
        <f>IF(B565="","",ROUND(U565/60,2))</f>
        <v>0</v>
      </c>
      <c r="Y565" s="26">
        <f>IF(B565="","",IF(L565&lt;&gt;"",L565,IFERROR(INDEX(Services!$G$5:$G$204,MATCH(G565,Services!$A$5:$A$204,0))*1,0)))</f>
        <v>0</v>
      </c>
      <c r="Z565" s="26">
        <f>IF(B565="","",IF(O565&lt;&gt;"",O565,IF(Y565&gt;=DepositThreshold,ROUND(Y565*DepositPercent,2),0)))</f>
        <v>0</v>
      </c>
      <c r="AA565" s="26">
        <f>IF(B565="","",ROUND(SUMIFS(Payments!$G$5:$G$1204,Payments!$I$5:$I$1204,A565,Payments!$E$5:$E$1204,"Deposit"),2))</f>
        <v>0</v>
      </c>
      <c r="AB565" s="26">
        <f>IF(B565="","",ROUND(SUMIFS(Sales!$Y$5:$Y$1204,Sales!$C$5:$C$1204,A565),2))</f>
        <v>0</v>
      </c>
      <c r="AC565" s="38">
        <f>IF(B565="","",IF(M565="Completed","Yes",IF(M565="Cancelled","Yes",IF(M565="No show","Yes","No"))))</f>
        <v>0</v>
      </c>
      <c r="AD565" s="25">
        <f>IF(B565="","",IF(AE565="","",B565-AE565))</f>
        <v>0</v>
      </c>
      <c r="AF565" s="38">
        <f>IF(B565="","",IF(M565&lt;&gt;"Completed","",IF(E565="","No",IF(COUNTIFS(Appointments!$E$5:$E$1204,E565,Appointments!$B$5:$B$1204,"&gt;"&amp;B565,Appointments!$M$5:$M$1204,"&lt;&gt;Cancelled")&gt;0,"Yes","No"))))</f>
        <v>0</v>
      </c>
      <c r="AG565" s="38">
        <f>IF(B565="","",IF(I565="","",IF(D565="","",IF(COUNTIFS($I$5:$I$1204,I565,$B$5:$B$1204,B565,$D$5:$D$1204,"&lt;"&amp;V565,$V$5:$V$1204,"&gt;"&amp;D565,$M$5:$M$1204,"&lt;&gt;Cancelled")&gt;1,"Clash",""))))</f>
        <v>0</v>
      </c>
      <c r="AH565" s="39">
        <f>IF(B565="","",IF(AG565="Clash","Clash - stylist double booked",IF(I565="","Assign - no stylist yet",IF(G565="","Add - no service chosen",IF(M565="No show","No show - charge the fee?",IF(M565="Cancelled","",IF(IF(M565="Completed",AB565&lt;Y565-0.004,FALSE),"Unpaid - nothing rung up for this visit",IF(IF(B565&lt;TodayDate,M565="Booked",FALSE),"Overdue - past date, still only Booked",IF(IF(B565=TodayDate,TRUE,FALSE),"Today",IF(IF(Z565&gt;0,AA565&lt;Z565-0.004,FALSE),"Due - deposit not taken",IF(IF(B565&gt;TodayDate,B565&lt;=TodayDate+2,FALSE),"Confirm - coming up","OK")))))))))))</f>
        <v>0</v>
      </c>
    </row>
    <row r="566" spans="1:34">
      <c r="A566" s="28">
        <f>IF(B566="","",AppointmentPrefix&amp;TEXT(ROW()-4,"0000"))</f>
        <v>0</v>
      </c>
      <c r="C566" s="15">
        <f>IF(B566="","",TEXT(B566,"ddd"))</f>
        <v>0</v>
      </c>
      <c r="F566" s="15">
        <f>IF(E566="","",IFERROR(INDEX(Clients!$B$5:$B$504,MATCH(E566,Clients!$A$5:$A$504,0)),"Walk-in"))</f>
        <v>0</v>
      </c>
      <c r="H566" s="15">
        <f>IF(G566="","",IFERROR(INDEX(Services!$B$5:$B$204,MATCH(G566,Services!$A$5:$A$204,0)),"Not in Services"))</f>
        <v>0</v>
      </c>
      <c r="J566" s="15">
        <f>IF(I566="","",IFERROR(INDEX(Staff!$B$5:$B$44,MATCH(I566,Staff!$A$5:$A$44,0)),"Unassigned"))</f>
        <v>0</v>
      </c>
      <c r="S566" s="15">
        <f>IF(B566="","",TEXT(B566,"yyyy-mm"))</f>
        <v>0</v>
      </c>
      <c r="T566" s="25">
        <f>IF(B566="","",WEEKNUM(B566,2))</f>
        <v>0</v>
      </c>
      <c r="U566" s="25">
        <f>IF(B566="","",IF(K566&lt;&gt;"",K566,IFERROR(INDEX(Services!$E$5:$E$204,MATCH(G566,Services!$A$5:$A$204,0))*1,0)+IFERROR(INDEX(Services!$F$5:$F$204,MATCH(G566,Services!$A$5:$A$204,0))*1,0)))</f>
        <v>0</v>
      </c>
      <c r="V566" s="36">
        <f>IF(B566="","",IF(D566="","",D566+U566/1440))</f>
        <v>0</v>
      </c>
      <c r="W566" s="25">
        <f>IF(B566="","",IF(D566="","",HOUR(D566)))</f>
        <v>0</v>
      </c>
      <c r="X566" s="37">
        <f>IF(B566="","",ROUND(U566/60,2))</f>
        <v>0</v>
      </c>
      <c r="Y566" s="26">
        <f>IF(B566="","",IF(L566&lt;&gt;"",L566,IFERROR(INDEX(Services!$G$5:$G$204,MATCH(G566,Services!$A$5:$A$204,0))*1,0)))</f>
        <v>0</v>
      </c>
      <c r="Z566" s="26">
        <f>IF(B566="","",IF(O566&lt;&gt;"",O566,IF(Y566&gt;=DepositThreshold,ROUND(Y566*DepositPercent,2),0)))</f>
        <v>0</v>
      </c>
      <c r="AA566" s="26">
        <f>IF(B566="","",ROUND(SUMIFS(Payments!$G$5:$G$1204,Payments!$I$5:$I$1204,A566,Payments!$E$5:$E$1204,"Deposit"),2))</f>
        <v>0</v>
      </c>
      <c r="AB566" s="26">
        <f>IF(B566="","",ROUND(SUMIFS(Sales!$Y$5:$Y$1204,Sales!$C$5:$C$1204,A566),2))</f>
        <v>0</v>
      </c>
      <c r="AC566" s="38">
        <f>IF(B566="","",IF(M566="Completed","Yes",IF(M566="Cancelled","Yes",IF(M566="No show","Yes","No"))))</f>
        <v>0</v>
      </c>
      <c r="AD566" s="25">
        <f>IF(B566="","",IF(AE566="","",B566-AE566))</f>
        <v>0</v>
      </c>
      <c r="AF566" s="38">
        <f>IF(B566="","",IF(M566&lt;&gt;"Completed","",IF(E566="","No",IF(COUNTIFS(Appointments!$E$5:$E$1204,E566,Appointments!$B$5:$B$1204,"&gt;"&amp;B566,Appointments!$M$5:$M$1204,"&lt;&gt;Cancelled")&gt;0,"Yes","No"))))</f>
        <v>0</v>
      </c>
      <c r="AG566" s="38">
        <f>IF(B566="","",IF(I566="","",IF(D566="","",IF(COUNTIFS($I$5:$I$1204,I566,$B$5:$B$1204,B566,$D$5:$D$1204,"&lt;"&amp;V566,$V$5:$V$1204,"&gt;"&amp;D566,$M$5:$M$1204,"&lt;&gt;Cancelled")&gt;1,"Clash",""))))</f>
        <v>0</v>
      </c>
      <c r="AH566" s="39">
        <f>IF(B566="","",IF(AG566="Clash","Clash - stylist double booked",IF(I566="","Assign - no stylist yet",IF(G566="","Add - no service chosen",IF(M566="No show","No show - charge the fee?",IF(M566="Cancelled","",IF(IF(M566="Completed",AB566&lt;Y566-0.004,FALSE),"Unpaid - nothing rung up for this visit",IF(IF(B566&lt;TodayDate,M566="Booked",FALSE),"Overdue - past date, still only Booked",IF(IF(B566=TodayDate,TRUE,FALSE),"Today",IF(IF(Z566&gt;0,AA566&lt;Z566-0.004,FALSE),"Due - deposit not taken",IF(IF(B566&gt;TodayDate,B566&lt;=TodayDate+2,FALSE),"Confirm - coming up","OK")))))))))))</f>
        <v>0</v>
      </c>
    </row>
    <row r="567" spans="1:34">
      <c r="A567" s="28">
        <f>IF(B567="","",AppointmentPrefix&amp;TEXT(ROW()-4,"0000"))</f>
        <v>0</v>
      </c>
      <c r="C567" s="15">
        <f>IF(B567="","",TEXT(B567,"ddd"))</f>
        <v>0</v>
      </c>
      <c r="F567" s="15">
        <f>IF(E567="","",IFERROR(INDEX(Clients!$B$5:$B$504,MATCH(E567,Clients!$A$5:$A$504,0)),"Walk-in"))</f>
        <v>0</v>
      </c>
      <c r="H567" s="15">
        <f>IF(G567="","",IFERROR(INDEX(Services!$B$5:$B$204,MATCH(G567,Services!$A$5:$A$204,0)),"Not in Services"))</f>
        <v>0</v>
      </c>
      <c r="J567" s="15">
        <f>IF(I567="","",IFERROR(INDEX(Staff!$B$5:$B$44,MATCH(I567,Staff!$A$5:$A$44,0)),"Unassigned"))</f>
        <v>0</v>
      </c>
      <c r="S567" s="15">
        <f>IF(B567="","",TEXT(B567,"yyyy-mm"))</f>
        <v>0</v>
      </c>
      <c r="T567" s="25">
        <f>IF(B567="","",WEEKNUM(B567,2))</f>
        <v>0</v>
      </c>
      <c r="U567" s="25">
        <f>IF(B567="","",IF(K567&lt;&gt;"",K567,IFERROR(INDEX(Services!$E$5:$E$204,MATCH(G567,Services!$A$5:$A$204,0))*1,0)+IFERROR(INDEX(Services!$F$5:$F$204,MATCH(G567,Services!$A$5:$A$204,0))*1,0)))</f>
        <v>0</v>
      </c>
      <c r="V567" s="36">
        <f>IF(B567="","",IF(D567="","",D567+U567/1440))</f>
        <v>0</v>
      </c>
      <c r="W567" s="25">
        <f>IF(B567="","",IF(D567="","",HOUR(D567)))</f>
        <v>0</v>
      </c>
      <c r="X567" s="37">
        <f>IF(B567="","",ROUND(U567/60,2))</f>
        <v>0</v>
      </c>
      <c r="Y567" s="26">
        <f>IF(B567="","",IF(L567&lt;&gt;"",L567,IFERROR(INDEX(Services!$G$5:$G$204,MATCH(G567,Services!$A$5:$A$204,0))*1,0)))</f>
        <v>0</v>
      </c>
      <c r="Z567" s="26">
        <f>IF(B567="","",IF(O567&lt;&gt;"",O567,IF(Y567&gt;=DepositThreshold,ROUND(Y567*DepositPercent,2),0)))</f>
        <v>0</v>
      </c>
      <c r="AA567" s="26">
        <f>IF(B567="","",ROUND(SUMIFS(Payments!$G$5:$G$1204,Payments!$I$5:$I$1204,A567,Payments!$E$5:$E$1204,"Deposit"),2))</f>
        <v>0</v>
      </c>
      <c r="AB567" s="26">
        <f>IF(B567="","",ROUND(SUMIFS(Sales!$Y$5:$Y$1204,Sales!$C$5:$C$1204,A567),2))</f>
        <v>0</v>
      </c>
      <c r="AC567" s="38">
        <f>IF(B567="","",IF(M567="Completed","Yes",IF(M567="Cancelled","Yes",IF(M567="No show","Yes","No"))))</f>
        <v>0</v>
      </c>
      <c r="AD567" s="25">
        <f>IF(B567="","",IF(AE567="","",B567-AE567))</f>
        <v>0</v>
      </c>
      <c r="AF567" s="38">
        <f>IF(B567="","",IF(M567&lt;&gt;"Completed","",IF(E567="","No",IF(COUNTIFS(Appointments!$E$5:$E$1204,E567,Appointments!$B$5:$B$1204,"&gt;"&amp;B567,Appointments!$M$5:$M$1204,"&lt;&gt;Cancelled")&gt;0,"Yes","No"))))</f>
        <v>0</v>
      </c>
      <c r="AG567" s="38">
        <f>IF(B567="","",IF(I567="","",IF(D567="","",IF(COUNTIFS($I$5:$I$1204,I567,$B$5:$B$1204,B567,$D$5:$D$1204,"&lt;"&amp;V567,$V$5:$V$1204,"&gt;"&amp;D567,$M$5:$M$1204,"&lt;&gt;Cancelled")&gt;1,"Clash",""))))</f>
        <v>0</v>
      </c>
      <c r="AH567" s="39">
        <f>IF(B567="","",IF(AG567="Clash","Clash - stylist double booked",IF(I567="","Assign - no stylist yet",IF(G567="","Add - no service chosen",IF(M567="No show","No show - charge the fee?",IF(M567="Cancelled","",IF(IF(M567="Completed",AB567&lt;Y567-0.004,FALSE),"Unpaid - nothing rung up for this visit",IF(IF(B567&lt;TodayDate,M567="Booked",FALSE),"Overdue - past date, still only Booked",IF(IF(B567=TodayDate,TRUE,FALSE),"Today",IF(IF(Z567&gt;0,AA567&lt;Z567-0.004,FALSE),"Due - deposit not taken",IF(IF(B567&gt;TodayDate,B567&lt;=TodayDate+2,FALSE),"Confirm - coming up","OK")))))))))))</f>
        <v>0</v>
      </c>
    </row>
    <row r="568" spans="1:34">
      <c r="A568" s="28">
        <f>IF(B568="","",AppointmentPrefix&amp;TEXT(ROW()-4,"0000"))</f>
        <v>0</v>
      </c>
      <c r="C568" s="15">
        <f>IF(B568="","",TEXT(B568,"ddd"))</f>
        <v>0</v>
      </c>
      <c r="F568" s="15">
        <f>IF(E568="","",IFERROR(INDEX(Clients!$B$5:$B$504,MATCH(E568,Clients!$A$5:$A$504,0)),"Walk-in"))</f>
        <v>0</v>
      </c>
      <c r="H568" s="15">
        <f>IF(G568="","",IFERROR(INDEX(Services!$B$5:$B$204,MATCH(G568,Services!$A$5:$A$204,0)),"Not in Services"))</f>
        <v>0</v>
      </c>
      <c r="J568" s="15">
        <f>IF(I568="","",IFERROR(INDEX(Staff!$B$5:$B$44,MATCH(I568,Staff!$A$5:$A$44,0)),"Unassigned"))</f>
        <v>0</v>
      </c>
      <c r="S568" s="15">
        <f>IF(B568="","",TEXT(B568,"yyyy-mm"))</f>
        <v>0</v>
      </c>
      <c r="T568" s="25">
        <f>IF(B568="","",WEEKNUM(B568,2))</f>
        <v>0</v>
      </c>
      <c r="U568" s="25">
        <f>IF(B568="","",IF(K568&lt;&gt;"",K568,IFERROR(INDEX(Services!$E$5:$E$204,MATCH(G568,Services!$A$5:$A$204,0))*1,0)+IFERROR(INDEX(Services!$F$5:$F$204,MATCH(G568,Services!$A$5:$A$204,0))*1,0)))</f>
        <v>0</v>
      </c>
      <c r="V568" s="36">
        <f>IF(B568="","",IF(D568="","",D568+U568/1440))</f>
        <v>0</v>
      </c>
      <c r="W568" s="25">
        <f>IF(B568="","",IF(D568="","",HOUR(D568)))</f>
        <v>0</v>
      </c>
      <c r="X568" s="37">
        <f>IF(B568="","",ROUND(U568/60,2))</f>
        <v>0</v>
      </c>
      <c r="Y568" s="26">
        <f>IF(B568="","",IF(L568&lt;&gt;"",L568,IFERROR(INDEX(Services!$G$5:$G$204,MATCH(G568,Services!$A$5:$A$204,0))*1,0)))</f>
        <v>0</v>
      </c>
      <c r="Z568" s="26">
        <f>IF(B568="","",IF(O568&lt;&gt;"",O568,IF(Y568&gt;=DepositThreshold,ROUND(Y568*DepositPercent,2),0)))</f>
        <v>0</v>
      </c>
      <c r="AA568" s="26">
        <f>IF(B568="","",ROUND(SUMIFS(Payments!$G$5:$G$1204,Payments!$I$5:$I$1204,A568,Payments!$E$5:$E$1204,"Deposit"),2))</f>
        <v>0</v>
      </c>
      <c r="AB568" s="26">
        <f>IF(B568="","",ROUND(SUMIFS(Sales!$Y$5:$Y$1204,Sales!$C$5:$C$1204,A568),2))</f>
        <v>0</v>
      </c>
      <c r="AC568" s="38">
        <f>IF(B568="","",IF(M568="Completed","Yes",IF(M568="Cancelled","Yes",IF(M568="No show","Yes","No"))))</f>
        <v>0</v>
      </c>
      <c r="AD568" s="25">
        <f>IF(B568="","",IF(AE568="","",B568-AE568))</f>
        <v>0</v>
      </c>
      <c r="AF568" s="38">
        <f>IF(B568="","",IF(M568&lt;&gt;"Completed","",IF(E568="","No",IF(COUNTIFS(Appointments!$E$5:$E$1204,E568,Appointments!$B$5:$B$1204,"&gt;"&amp;B568,Appointments!$M$5:$M$1204,"&lt;&gt;Cancelled")&gt;0,"Yes","No"))))</f>
        <v>0</v>
      </c>
      <c r="AG568" s="38">
        <f>IF(B568="","",IF(I568="","",IF(D568="","",IF(COUNTIFS($I$5:$I$1204,I568,$B$5:$B$1204,B568,$D$5:$D$1204,"&lt;"&amp;V568,$V$5:$V$1204,"&gt;"&amp;D568,$M$5:$M$1204,"&lt;&gt;Cancelled")&gt;1,"Clash",""))))</f>
        <v>0</v>
      </c>
      <c r="AH568" s="39">
        <f>IF(B568="","",IF(AG568="Clash","Clash - stylist double booked",IF(I568="","Assign - no stylist yet",IF(G568="","Add - no service chosen",IF(M568="No show","No show - charge the fee?",IF(M568="Cancelled","",IF(IF(M568="Completed",AB568&lt;Y568-0.004,FALSE),"Unpaid - nothing rung up for this visit",IF(IF(B568&lt;TodayDate,M568="Booked",FALSE),"Overdue - past date, still only Booked",IF(IF(B568=TodayDate,TRUE,FALSE),"Today",IF(IF(Z568&gt;0,AA568&lt;Z568-0.004,FALSE),"Due - deposit not taken",IF(IF(B568&gt;TodayDate,B568&lt;=TodayDate+2,FALSE),"Confirm - coming up","OK")))))))))))</f>
        <v>0</v>
      </c>
    </row>
    <row r="569" spans="1:34">
      <c r="A569" s="28">
        <f>IF(B569="","",AppointmentPrefix&amp;TEXT(ROW()-4,"0000"))</f>
        <v>0</v>
      </c>
      <c r="C569" s="15">
        <f>IF(B569="","",TEXT(B569,"ddd"))</f>
        <v>0</v>
      </c>
      <c r="F569" s="15">
        <f>IF(E569="","",IFERROR(INDEX(Clients!$B$5:$B$504,MATCH(E569,Clients!$A$5:$A$504,0)),"Walk-in"))</f>
        <v>0</v>
      </c>
      <c r="H569" s="15">
        <f>IF(G569="","",IFERROR(INDEX(Services!$B$5:$B$204,MATCH(G569,Services!$A$5:$A$204,0)),"Not in Services"))</f>
        <v>0</v>
      </c>
      <c r="J569" s="15">
        <f>IF(I569="","",IFERROR(INDEX(Staff!$B$5:$B$44,MATCH(I569,Staff!$A$5:$A$44,0)),"Unassigned"))</f>
        <v>0</v>
      </c>
      <c r="S569" s="15">
        <f>IF(B569="","",TEXT(B569,"yyyy-mm"))</f>
        <v>0</v>
      </c>
      <c r="T569" s="25">
        <f>IF(B569="","",WEEKNUM(B569,2))</f>
        <v>0</v>
      </c>
      <c r="U569" s="25">
        <f>IF(B569="","",IF(K569&lt;&gt;"",K569,IFERROR(INDEX(Services!$E$5:$E$204,MATCH(G569,Services!$A$5:$A$204,0))*1,0)+IFERROR(INDEX(Services!$F$5:$F$204,MATCH(G569,Services!$A$5:$A$204,0))*1,0)))</f>
        <v>0</v>
      </c>
      <c r="V569" s="36">
        <f>IF(B569="","",IF(D569="","",D569+U569/1440))</f>
        <v>0</v>
      </c>
      <c r="W569" s="25">
        <f>IF(B569="","",IF(D569="","",HOUR(D569)))</f>
        <v>0</v>
      </c>
      <c r="X569" s="37">
        <f>IF(B569="","",ROUND(U569/60,2))</f>
        <v>0</v>
      </c>
      <c r="Y569" s="26">
        <f>IF(B569="","",IF(L569&lt;&gt;"",L569,IFERROR(INDEX(Services!$G$5:$G$204,MATCH(G569,Services!$A$5:$A$204,0))*1,0)))</f>
        <v>0</v>
      </c>
      <c r="Z569" s="26">
        <f>IF(B569="","",IF(O569&lt;&gt;"",O569,IF(Y569&gt;=DepositThreshold,ROUND(Y569*DepositPercent,2),0)))</f>
        <v>0</v>
      </c>
      <c r="AA569" s="26">
        <f>IF(B569="","",ROUND(SUMIFS(Payments!$G$5:$G$1204,Payments!$I$5:$I$1204,A569,Payments!$E$5:$E$1204,"Deposit"),2))</f>
        <v>0</v>
      </c>
      <c r="AB569" s="26">
        <f>IF(B569="","",ROUND(SUMIFS(Sales!$Y$5:$Y$1204,Sales!$C$5:$C$1204,A569),2))</f>
        <v>0</v>
      </c>
      <c r="AC569" s="38">
        <f>IF(B569="","",IF(M569="Completed","Yes",IF(M569="Cancelled","Yes",IF(M569="No show","Yes","No"))))</f>
        <v>0</v>
      </c>
      <c r="AD569" s="25">
        <f>IF(B569="","",IF(AE569="","",B569-AE569))</f>
        <v>0</v>
      </c>
      <c r="AF569" s="38">
        <f>IF(B569="","",IF(M569&lt;&gt;"Completed","",IF(E569="","No",IF(COUNTIFS(Appointments!$E$5:$E$1204,E569,Appointments!$B$5:$B$1204,"&gt;"&amp;B569,Appointments!$M$5:$M$1204,"&lt;&gt;Cancelled")&gt;0,"Yes","No"))))</f>
        <v>0</v>
      </c>
      <c r="AG569" s="38">
        <f>IF(B569="","",IF(I569="","",IF(D569="","",IF(COUNTIFS($I$5:$I$1204,I569,$B$5:$B$1204,B569,$D$5:$D$1204,"&lt;"&amp;V569,$V$5:$V$1204,"&gt;"&amp;D569,$M$5:$M$1204,"&lt;&gt;Cancelled")&gt;1,"Clash",""))))</f>
        <v>0</v>
      </c>
      <c r="AH569" s="39">
        <f>IF(B569="","",IF(AG569="Clash","Clash - stylist double booked",IF(I569="","Assign - no stylist yet",IF(G569="","Add - no service chosen",IF(M569="No show","No show - charge the fee?",IF(M569="Cancelled","",IF(IF(M569="Completed",AB569&lt;Y569-0.004,FALSE),"Unpaid - nothing rung up for this visit",IF(IF(B569&lt;TodayDate,M569="Booked",FALSE),"Overdue - past date, still only Booked",IF(IF(B569=TodayDate,TRUE,FALSE),"Today",IF(IF(Z569&gt;0,AA569&lt;Z569-0.004,FALSE),"Due - deposit not taken",IF(IF(B569&gt;TodayDate,B569&lt;=TodayDate+2,FALSE),"Confirm - coming up","OK")))))))))))</f>
        <v>0</v>
      </c>
    </row>
    <row r="570" spans="1:34">
      <c r="A570" s="28">
        <f>IF(B570="","",AppointmentPrefix&amp;TEXT(ROW()-4,"0000"))</f>
        <v>0</v>
      </c>
      <c r="C570" s="15">
        <f>IF(B570="","",TEXT(B570,"ddd"))</f>
        <v>0</v>
      </c>
      <c r="F570" s="15">
        <f>IF(E570="","",IFERROR(INDEX(Clients!$B$5:$B$504,MATCH(E570,Clients!$A$5:$A$504,0)),"Walk-in"))</f>
        <v>0</v>
      </c>
      <c r="H570" s="15">
        <f>IF(G570="","",IFERROR(INDEX(Services!$B$5:$B$204,MATCH(G570,Services!$A$5:$A$204,0)),"Not in Services"))</f>
        <v>0</v>
      </c>
      <c r="J570" s="15">
        <f>IF(I570="","",IFERROR(INDEX(Staff!$B$5:$B$44,MATCH(I570,Staff!$A$5:$A$44,0)),"Unassigned"))</f>
        <v>0</v>
      </c>
      <c r="S570" s="15">
        <f>IF(B570="","",TEXT(B570,"yyyy-mm"))</f>
        <v>0</v>
      </c>
      <c r="T570" s="25">
        <f>IF(B570="","",WEEKNUM(B570,2))</f>
        <v>0</v>
      </c>
      <c r="U570" s="25">
        <f>IF(B570="","",IF(K570&lt;&gt;"",K570,IFERROR(INDEX(Services!$E$5:$E$204,MATCH(G570,Services!$A$5:$A$204,0))*1,0)+IFERROR(INDEX(Services!$F$5:$F$204,MATCH(G570,Services!$A$5:$A$204,0))*1,0)))</f>
        <v>0</v>
      </c>
      <c r="V570" s="36">
        <f>IF(B570="","",IF(D570="","",D570+U570/1440))</f>
        <v>0</v>
      </c>
      <c r="W570" s="25">
        <f>IF(B570="","",IF(D570="","",HOUR(D570)))</f>
        <v>0</v>
      </c>
      <c r="X570" s="37">
        <f>IF(B570="","",ROUND(U570/60,2))</f>
        <v>0</v>
      </c>
      <c r="Y570" s="26">
        <f>IF(B570="","",IF(L570&lt;&gt;"",L570,IFERROR(INDEX(Services!$G$5:$G$204,MATCH(G570,Services!$A$5:$A$204,0))*1,0)))</f>
        <v>0</v>
      </c>
      <c r="Z570" s="26">
        <f>IF(B570="","",IF(O570&lt;&gt;"",O570,IF(Y570&gt;=DepositThreshold,ROUND(Y570*DepositPercent,2),0)))</f>
        <v>0</v>
      </c>
      <c r="AA570" s="26">
        <f>IF(B570="","",ROUND(SUMIFS(Payments!$G$5:$G$1204,Payments!$I$5:$I$1204,A570,Payments!$E$5:$E$1204,"Deposit"),2))</f>
        <v>0</v>
      </c>
      <c r="AB570" s="26">
        <f>IF(B570="","",ROUND(SUMIFS(Sales!$Y$5:$Y$1204,Sales!$C$5:$C$1204,A570),2))</f>
        <v>0</v>
      </c>
      <c r="AC570" s="38">
        <f>IF(B570="","",IF(M570="Completed","Yes",IF(M570="Cancelled","Yes",IF(M570="No show","Yes","No"))))</f>
        <v>0</v>
      </c>
      <c r="AD570" s="25">
        <f>IF(B570="","",IF(AE570="","",B570-AE570))</f>
        <v>0</v>
      </c>
      <c r="AF570" s="38">
        <f>IF(B570="","",IF(M570&lt;&gt;"Completed","",IF(E570="","No",IF(COUNTIFS(Appointments!$E$5:$E$1204,E570,Appointments!$B$5:$B$1204,"&gt;"&amp;B570,Appointments!$M$5:$M$1204,"&lt;&gt;Cancelled")&gt;0,"Yes","No"))))</f>
        <v>0</v>
      </c>
      <c r="AG570" s="38">
        <f>IF(B570="","",IF(I570="","",IF(D570="","",IF(COUNTIFS($I$5:$I$1204,I570,$B$5:$B$1204,B570,$D$5:$D$1204,"&lt;"&amp;V570,$V$5:$V$1204,"&gt;"&amp;D570,$M$5:$M$1204,"&lt;&gt;Cancelled")&gt;1,"Clash",""))))</f>
        <v>0</v>
      </c>
      <c r="AH570" s="39">
        <f>IF(B570="","",IF(AG570="Clash","Clash - stylist double booked",IF(I570="","Assign - no stylist yet",IF(G570="","Add - no service chosen",IF(M570="No show","No show - charge the fee?",IF(M570="Cancelled","",IF(IF(M570="Completed",AB570&lt;Y570-0.004,FALSE),"Unpaid - nothing rung up for this visit",IF(IF(B570&lt;TodayDate,M570="Booked",FALSE),"Overdue - past date, still only Booked",IF(IF(B570=TodayDate,TRUE,FALSE),"Today",IF(IF(Z570&gt;0,AA570&lt;Z570-0.004,FALSE),"Due - deposit not taken",IF(IF(B570&gt;TodayDate,B570&lt;=TodayDate+2,FALSE),"Confirm - coming up","OK")))))))))))</f>
        <v>0</v>
      </c>
    </row>
    <row r="571" spans="1:34">
      <c r="A571" s="28">
        <f>IF(B571="","",AppointmentPrefix&amp;TEXT(ROW()-4,"0000"))</f>
        <v>0</v>
      </c>
      <c r="C571" s="15">
        <f>IF(B571="","",TEXT(B571,"ddd"))</f>
        <v>0</v>
      </c>
      <c r="F571" s="15">
        <f>IF(E571="","",IFERROR(INDEX(Clients!$B$5:$B$504,MATCH(E571,Clients!$A$5:$A$504,0)),"Walk-in"))</f>
        <v>0</v>
      </c>
      <c r="H571" s="15">
        <f>IF(G571="","",IFERROR(INDEX(Services!$B$5:$B$204,MATCH(G571,Services!$A$5:$A$204,0)),"Not in Services"))</f>
        <v>0</v>
      </c>
      <c r="J571" s="15">
        <f>IF(I571="","",IFERROR(INDEX(Staff!$B$5:$B$44,MATCH(I571,Staff!$A$5:$A$44,0)),"Unassigned"))</f>
        <v>0</v>
      </c>
      <c r="S571" s="15">
        <f>IF(B571="","",TEXT(B571,"yyyy-mm"))</f>
        <v>0</v>
      </c>
      <c r="T571" s="25">
        <f>IF(B571="","",WEEKNUM(B571,2))</f>
        <v>0</v>
      </c>
      <c r="U571" s="25">
        <f>IF(B571="","",IF(K571&lt;&gt;"",K571,IFERROR(INDEX(Services!$E$5:$E$204,MATCH(G571,Services!$A$5:$A$204,0))*1,0)+IFERROR(INDEX(Services!$F$5:$F$204,MATCH(G571,Services!$A$5:$A$204,0))*1,0)))</f>
        <v>0</v>
      </c>
      <c r="V571" s="36">
        <f>IF(B571="","",IF(D571="","",D571+U571/1440))</f>
        <v>0</v>
      </c>
      <c r="W571" s="25">
        <f>IF(B571="","",IF(D571="","",HOUR(D571)))</f>
        <v>0</v>
      </c>
      <c r="X571" s="37">
        <f>IF(B571="","",ROUND(U571/60,2))</f>
        <v>0</v>
      </c>
      <c r="Y571" s="26">
        <f>IF(B571="","",IF(L571&lt;&gt;"",L571,IFERROR(INDEX(Services!$G$5:$G$204,MATCH(G571,Services!$A$5:$A$204,0))*1,0)))</f>
        <v>0</v>
      </c>
      <c r="Z571" s="26">
        <f>IF(B571="","",IF(O571&lt;&gt;"",O571,IF(Y571&gt;=DepositThreshold,ROUND(Y571*DepositPercent,2),0)))</f>
        <v>0</v>
      </c>
      <c r="AA571" s="26">
        <f>IF(B571="","",ROUND(SUMIFS(Payments!$G$5:$G$1204,Payments!$I$5:$I$1204,A571,Payments!$E$5:$E$1204,"Deposit"),2))</f>
        <v>0</v>
      </c>
      <c r="AB571" s="26">
        <f>IF(B571="","",ROUND(SUMIFS(Sales!$Y$5:$Y$1204,Sales!$C$5:$C$1204,A571),2))</f>
        <v>0</v>
      </c>
      <c r="AC571" s="38">
        <f>IF(B571="","",IF(M571="Completed","Yes",IF(M571="Cancelled","Yes",IF(M571="No show","Yes","No"))))</f>
        <v>0</v>
      </c>
      <c r="AD571" s="25">
        <f>IF(B571="","",IF(AE571="","",B571-AE571))</f>
        <v>0</v>
      </c>
      <c r="AF571" s="38">
        <f>IF(B571="","",IF(M571&lt;&gt;"Completed","",IF(E571="","No",IF(COUNTIFS(Appointments!$E$5:$E$1204,E571,Appointments!$B$5:$B$1204,"&gt;"&amp;B571,Appointments!$M$5:$M$1204,"&lt;&gt;Cancelled")&gt;0,"Yes","No"))))</f>
        <v>0</v>
      </c>
      <c r="AG571" s="38">
        <f>IF(B571="","",IF(I571="","",IF(D571="","",IF(COUNTIFS($I$5:$I$1204,I571,$B$5:$B$1204,B571,$D$5:$D$1204,"&lt;"&amp;V571,$V$5:$V$1204,"&gt;"&amp;D571,$M$5:$M$1204,"&lt;&gt;Cancelled")&gt;1,"Clash",""))))</f>
        <v>0</v>
      </c>
      <c r="AH571" s="39">
        <f>IF(B571="","",IF(AG571="Clash","Clash - stylist double booked",IF(I571="","Assign - no stylist yet",IF(G571="","Add - no service chosen",IF(M571="No show","No show - charge the fee?",IF(M571="Cancelled","",IF(IF(M571="Completed",AB571&lt;Y571-0.004,FALSE),"Unpaid - nothing rung up for this visit",IF(IF(B571&lt;TodayDate,M571="Booked",FALSE),"Overdue - past date, still only Booked",IF(IF(B571=TodayDate,TRUE,FALSE),"Today",IF(IF(Z571&gt;0,AA571&lt;Z571-0.004,FALSE),"Due - deposit not taken",IF(IF(B571&gt;TodayDate,B571&lt;=TodayDate+2,FALSE),"Confirm - coming up","OK")))))))))))</f>
        <v>0</v>
      </c>
    </row>
    <row r="572" spans="1:34">
      <c r="A572" s="28">
        <f>IF(B572="","",AppointmentPrefix&amp;TEXT(ROW()-4,"0000"))</f>
        <v>0</v>
      </c>
      <c r="C572" s="15">
        <f>IF(B572="","",TEXT(B572,"ddd"))</f>
        <v>0</v>
      </c>
      <c r="F572" s="15">
        <f>IF(E572="","",IFERROR(INDEX(Clients!$B$5:$B$504,MATCH(E572,Clients!$A$5:$A$504,0)),"Walk-in"))</f>
        <v>0</v>
      </c>
      <c r="H572" s="15">
        <f>IF(G572="","",IFERROR(INDEX(Services!$B$5:$B$204,MATCH(G572,Services!$A$5:$A$204,0)),"Not in Services"))</f>
        <v>0</v>
      </c>
      <c r="J572" s="15">
        <f>IF(I572="","",IFERROR(INDEX(Staff!$B$5:$B$44,MATCH(I572,Staff!$A$5:$A$44,0)),"Unassigned"))</f>
        <v>0</v>
      </c>
      <c r="S572" s="15">
        <f>IF(B572="","",TEXT(B572,"yyyy-mm"))</f>
        <v>0</v>
      </c>
      <c r="T572" s="25">
        <f>IF(B572="","",WEEKNUM(B572,2))</f>
        <v>0</v>
      </c>
      <c r="U572" s="25">
        <f>IF(B572="","",IF(K572&lt;&gt;"",K572,IFERROR(INDEX(Services!$E$5:$E$204,MATCH(G572,Services!$A$5:$A$204,0))*1,0)+IFERROR(INDEX(Services!$F$5:$F$204,MATCH(G572,Services!$A$5:$A$204,0))*1,0)))</f>
        <v>0</v>
      </c>
      <c r="V572" s="36">
        <f>IF(B572="","",IF(D572="","",D572+U572/1440))</f>
        <v>0</v>
      </c>
      <c r="W572" s="25">
        <f>IF(B572="","",IF(D572="","",HOUR(D572)))</f>
        <v>0</v>
      </c>
      <c r="X572" s="37">
        <f>IF(B572="","",ROUND(U572/60,2))</f>
        <v>0</v>
      </c>
      <c r="Y572" s="26">
        <f>IF(B572="","",IF(L572&lt;&gt;"",L572,IFERROR(INDEX(Services!$G$5:$G$204,MATCH(G572,Services!$A$5:$A$204,0))*1,0)))</f>
        <v>0</v>
      </c>
      <c r="Z572" s="26">
        <f>IF(B572="","",IF(O572&lt;&gt;"",O572,IF(Y572&gt;=DepositThreshold,ROUND(Y572*DepositPercent,2),0)))</f>
        <v>0</v>
      </c>
      <c r="AA572" s="26">
        <f>IF(B572="","",ROUND(SUMIFS(Payments!$G$5:$G$1204,Payments!$I$5:$I$1204,A572,Payments!$E$5:$E$1204,"Deposit"),2))</f>
        <v>0</v>
      </c>
      <c r="AB572" s="26">
        <f>IF(B572="","",ROUND(SUMIFS(Sales!$Y$5:$Y$1204,Sales!$C$5:$C$1204,A572),2))</f>
        <v>0</v>
      </c>
      <c r="AC572" s="38">
        <f>IF(B572="","",IF(M572="Completed","Yes",IF(M572="Cancelled","Yes",IF(M572="No show","Yes","No"))))</f>
        <v>0</v>
      </c>
      <c r="AD572" s="25">
        <f>IF(B572="","",IF(AE572="","",B572-AE572))</f>
        <v>0</v>
      </c>
      <c r="AF572" s="38">
        <f>IF(B572="","",IF(M572&lt;&gt;"Completed","",IF(E572="","No",IF(COUNTIFS(Appointments!$E$5:$E$1204,E572,Appointments!$B$5:$B$1204,"&gt;"&amp;B572,Appointments!$M$5:$M$1204,"&lt;&gt;Cancelled")&gt;0,"Yes","No"))))</f>
        <v>0</v>
      </c>
      <c r="AG572" s="38">
        <f>IF(B572="","",IF(I572="","",IF(D572="","",IF(COUNTIFS($I$5:$I$1204,I572,$B$5:$B$1204,B572,$D$5:$D$1204,"&lt;"&amp;V572,$V$5:$V$1204,"&gt;"&amp;D572,$M$5:$M$1204,"&lt;&gt;Cancelled")&gt;1,"Clash",""))))</f>
        <v>0</v>
      </c>
      <c r="AH572" s="39">
        <f>IF(B572="","",IF(AG572="Clash","Clash - stylist double booked",IF(I572="","Assign - no stylist yet",IF(G572="","Add - no service chosen",IF(M572="No show","No show - charge the fee?",IF(M572="Cancelled","",IF(IF(M572="Completed",AB572&lt;Y572-0.004,FALSE),"Unpaid - nothing rung up for this visit",IF(IF(B572&lt;TodayDate,M572="Booked",FALSE),"Overdue - past date, still only Booked",IF(IF(B572=TodayDate,TRUE,FALSE),"Today",IF(IF(Z572&gt;0,AA572&lt;Z572-0.004,FALSE),"Due - deposit not taken",IF(IF(B572&gt;TodayDate,B572&lt;=TodayDate+2,FALSE),"Confirm - coming up","OK")))))))))))</f>
        <v>0</v>
      </c>
    </row>
    <row r="573" spans="1:34">
      <c r="A573" s="28">
        <f>IF(B573="","",AppointmentPrefix&amp;TEXT(ROW()-4,"0000"))</f>
        <v>0</v>
      </c>
      <c r="C573" s="15">
        <f>IF(B573="","",TEXT(B573,"ddd"))</f>
        <v>0</v>
      </c>
      <c r="F573" s="15">
        <f>IF(E573="","",IFERROR(INDEX(Clients!$B$5:$B$504,MATCH(E573,Clients!$A$5:$A$504,0)),"Walk-in"))</f>
        <v>0</v>
      </c>
      <c r="H573" s="15">
        <f>IF(G573="","",IFERROR(INDEX(Services!$B$5:$B$204,MATCH(G573,Services!$A$5:$A$204,0)),"Not in Services"))</f>
        <v>0</v>
      </c>
      <c r="J573" s="15">
        <f>IF(I573="","",IFERROR(INDEX(Staff!$B$5:$B$44,MATCH(I573,Staff!$A$5:$A$44,0)),"Unassigned"))</f>
        <v>0</v>
      </c>
      <c r="S573" s="15">
        <f>IF(B573="","",TEXT(B573,"yyyy-mm"))</f>
        <v>0</v>
      </c>
      <c r="T573" s="25">
        <f>IF(B573="","",WEEKNUM(B573,2))</f>
        <v>0</v>
      </c>
      <c r="U573" s="25">
        <f>IF(B573="","",IF(K573&lt;&gt;"",K573,IFERROR(INDEX(Services!$E$5:$E$204,MATCH(G573,Services!$A$5:$A$204,0))*1,0)+IFERROR(INDEX(Services!$F$5:$F$204,MATCH(G573,Services!$A$5:$A$204,0))*1,0)))</f>
        <v>0</v>
      </c>
      <c r="V573" s="36">
        <f>IF(B573="","",IF(D573="","",D573+U573/1440))</f>
        <v>0</v>
      </c>
      <c r="W573" s="25">
        <f>IF(B573="","",IF(D573="","",HOUR(D573)))</f>
        <v>0</v>
      </c>
      <c r="X573" s="37">
        <f>IF(B573="","",ROUND(U573/60,2))</f>
        <v>0</v>
      </c>
      <c r="Y573" s="26">
        <f>IF(B573="","",IF(L573&lt;&gt;"",L573,IFERROR(INDEX(Services!$G$5:$G$204,MATCH(G573,Services!$A$5:$A$204,0))*1,0)))</f>
        <v>0</v>
      </c>
      <c r="Z573" s="26">
        <f>IF(B573="","",IF(O573&lt;&gt;"",O573,IF(Y573&gt;=DepositThreshold,ROUND(Y573*DepositPercent,2),0)))</f>
        <v>0</v>
      </c>
      <c r="AA573" s="26">
        <f>IF(B573="","",ROUND(SUMIFS(Payments!$G$5:$G$1204,Payments!$I$5:$I$1204,A573,Payments!$E$5:$E$1204,"Deposit"),2))</f>
        <v>0</v>
      </c>
      <c r="AB573" s="26">
        <f>IF(B573="","",ROUND(SUMIFS(Sales!$Y$5:$Y$1204,Sales!$C$5:$C$1204,A573),2))</f>
        <v>0</v>
      </c>
      <c r="AC573" s="38">
        <f>IF(B573="","",IF(M573="Completed","Yes",IF(M573="Cancelled","Yes",IF(M573="No show","Yes","No"))))</f>
        <v>0</v>
      </c>
      <c r="AD573" s="25">
        <f>IF(B573="","",IF(AE573="","",B573-AE573))</f>
        <v>0</v>
      </c>
      <c r="AF573" s="38">
        <f>IF(B573="","",IF(M573&lt;&gt;"Completed","",IF(E573="","No",IF(COUNTIFS(Appointments!$E$5:$E$1204,E573,Appointments!$B$5:$B$1204,"&gt;"&amp;B573,Appointments!$M$5:$M$1204,"&lt;&gt;Cancelled")&gt;0,"Yes","No"))))</f>
        <v>0</v>
      </c>
      <c r="AG573" s="38">
        <f>IF(B573="","",IF(I573="","",IF(D573="","",IF(COUNTIFS($I$5:$I$1204,I573,$B$5:$B$1204,B573,$D$5:$D$1204,"&lt;"&amp;V573,$V$5:$V$1204,"&gt;"&amp;D573,$M$5:$M$1204,"&lt;&gt;Cancelled")&gt;1,"Clash",""))))</f>
        <v>0</v>
      </c>
      <c r="AH573" s="39">
        <f>IF(B573="","",IF(AG573="Clash","Clash - stylist double booked",IF(I573="","Assign - no stylist yet",IF(G573="","Add - no service chosen",IF(M573="No show","No show - charge the fee?",IF(M573="Cancelled","",IF(IF(M573="Completed",AB573&lt;Y573-0.004,FALSE),"Unpaid - nothing rung up for this visit",IF(IF(B573&lt;TodayDate,M573="Booked",FALSE),"Overdue - past date, still only Booked",IF(IF(B573=TodayDate,TRUE,FALSE),"Today",IF(IF(Z573&gt;0,AA573&lt;Z573-0.004,FALSE),"Due - deposit not taken",IF(IF(B573&gt;TodayDate,B573&lt;=TodayDate+2,FALSE),"Confirm - coming up","OK")))))))))))</f>
        <v>0</v>
      </c>
    </row>
    <row r="574" spans="1:34">
      <c r="A574" s="28">
        <f>IF(B574="","",AppointmentPrefix&amp;TEXT(ROW()-4,"0000"))</f>
        <v>0</v>
      </c>
      <c r="C574" s="15">
        <f>IF(B574="","",TEXT(B574,"ddd"))</f>
        <v>0</v>
      </c>
      <c r="F574" s="15">
        <f>IF(E574="","",IFERROR(INDEX(Clients!$B$5:$B$504,MATCH(E574,Clients!$A$5:$A$504,0)),"Walk-in"))</f>
        <v>0</v>
      </c>
      <c r="H574" s="15">
        <f>IF(G574="","",IFERROR(INDEX(Services!$B$5:$B$204,MATCH(G574,Services!$A$5:$A$204,0)),"Not in Services"))</f>
        <v>0</v>
      </c>
      <c r="J574" s="15">
        <f>IF(I574="","",IFERROR(INDEX(Staff!$B$5:$B$44,MATCH(I574,Staff!$A$5:$A$44,0)),"Unassigned"))</f>
        <v>0</v>
      </c>
      <c r="S574" s="15">
        <f>IF(B574="","",TEXT(B574,"yyyy-mm"))</f>
        <v>0</v>
      </c>
      <c r="T574" s="25">
        <f>IF(B574="","",WEEKNUM(B574,2))</f>
        <v>0</v>
      </c>
      <c r="U574" s="25">
        <f>IF(B574="","",IF(K574&lt;&gt;"",K574,IFERROR(INDEX(Services!$E$5:$E$204,MATCH(G574,Services!$A$5:$A$204,0))*1,0)+IFERROR(INDEX(Services!$F$5:$F$204,MATCH(G574,Services!$A$5:$A$204,0))*1,0)))</f>
        <v>0</v>
      </c>
      <c r="V574" s="36">
        <f>IF(B574="","",IF(D574="","",D574+U574/1440))</f>
        <v>0</v>
      </c>
      <c r="W574" s="25">
        <f>IF(B574="","",IF(D574="","",HOUR(D574)))</f>
        <v>0</v>
      </c>
      <c r="X574" s="37">
        <f>IF(B574="","",ROUND(U574/60,2))</f>
        <v>0</v>
      </c>
      <c r="Y574" s="26">
        <f>IF(B574="","",IF(L574&lt;&gt;"",L574,IFERROR(INDEX(Services!$G$5:$G$204,MATCH(G574,Services!$A$5:$A$204,0))*1,0)))</f>
        <v>0</v>
      </c>
      <c r="Z574" s="26">
        <f>IF(B574="","",IF(O574&lt;&gt;"",O574,IF(Y574&gt;=DepositThreshold,ROUND(Y574*DepositPercent,2),0)))</f>
        <v>0</v>
      </c>
      <c r="AA574" s="26">
        <f>IF(B574="","",ROUND(SUMIFS(Payments!$G$5:$G$1204,Payments!$I$5:$I$1204,A574,Payments!$E$5:$E$1204,"Deposit"),2))</f>
        <v>0</v>
      </c>
      <c r="AB574" s="26">
        <f>IF(B574="","",ROUND(SUMIFS(Sales!$Y$5:$Y$1204,Sales!$C$5:$C$1204,A574),2))</f>
        <v>0</v>
      </c>
      <c r="AC574" s="38">
        <f>IF(B574="","",IF(M574="Completed","Yes",IF(M574="Cancelled","Yes",IF(M574="No show","Yes","No"))))</f>
        <v>0</v>
      </c>
      <c r="AD574" s="25">
        <f>IF(B574="","",IF(AE574="","",B574-AE574))</f>
        <v>0</v>
      </c>
      <c r="AF574" s="38">
        <f>IF(B574="","",IF(M574&lt;&gt;"Completed","",IF(E574="","No",IF(COUNTIFS(Appointments!$E$5:$E$1204,E574,Appointments!$B$5:$B$1204,"&gt;"&amp;B574,Appointments!$M$5:$M$1204,"&lt;&gt;Cancelled")&gt;0,"Yes","No"))))</f>
        <v>0</v>
      </c>
      <c r="AG574" s="38">
        <f>IF(B574="","",IF(I574="","",IF(D574="","",IF(COUNTIFS($I$5:$I$1204,I574,$B$5:$B$1204,B574,$D$5:$D$1204,"&lt;"&amp;V574,$V$5:$V$1204,"&gt;"&amp;D574,$M$5:$M$1204,"&lt;&gt;Cancelled")&gt;1,"Clash",""))))</f>
        <v>0</v>
      </c>
      <c r="AH574" s="39">
        <f>IF(B574="","",IF(AG574="Clash","Clash - stylist double booked",IF(I574="","Assign - no stylist yet",IF(G574="","Add - no service chosen",IF(M574="No show","No show - charge the fee?",IF(M574="Cancelled","",IF(IF(M574="Completed",AB574&lt;Y574-0.004,FALSE),"Unpaid - nothing rung up for this visit",IF(IF(B574&lt;TodayDate,M574="Booked",FALSE),"Overdue - past date, still only Booked",IF(IF(B574=TodayDate,TRUE,FALSE),"Today",IF(IF(Z574&gt;0,AA574&lt;Z574-0.004,FALSE),"Due - deposit not taken",IF(IF(B574&gt;TodayDate,B574&lt;=TodayDate+2,FALSE),"Confirm - coming up","OK")))))))))))</f>
        <v>0</v>
      </c>
    </row>
    <row r="575" spans="1:34">
      <c r="A575" s="28">
        <f>IF(B575="","",AppointmentPrefix&amp;TEXT(ROW()-4,"0000"))</f>
        <v>0</v>
      </c>
      <c r="C575" s="15">
        <f>IF(B575="","",TEXT(B575,"ddd"))</f>
        <v>0</v>
      </c>
      <c r="F575" s="15">
        <f>IF(E575="","",IFERROR(INDEX(Clients!$B$5:$B$504,MATCH(E575,Clients!$A$5:$A$504,0)),"Walk-in"))</f>
        <v>0</v>
      </c>
      <c r="H575" s="15">
        <f>IF(G575="","",IFERROR(INDEX(Services!$B$5:$B$204,MATCH(G575,Services!$A$5:$A$204,0)),"Not in Services"))</f>
        <v>0</v>
      </c>
      <c r="J575" s="15">
        <f>IF(I575="","",IFERROR(INDEX(Staff!$B$5:$B$44,MATCH(I575,Staff!$A$5:$A$44,0)),"Unassigned"))</f>
        <v>0</v>
      </c>
      <c r="S575" s="15">
        <f>IF(B575="","",TEXT(B575,"yyyy-mm"))</f>
        <v>0</v>
      </c>
      <c r="T575" s="25">
        <f>IF(B575="","",WEEKNUM(B575,2))</f>
        <v>0</v>
      </c>
      <c r="U575" s="25">
        <f>IF(B575="","",IF(K575&lt;&gt;"",K575,IFERROR(INDEX(Services!$E$5:$E$204,MATCH(G575,Services!$A$5:$A$204,0))*1,0)+IFERROR(INDEX(Services!$F$5:$F$204,MATCH(G575,Services!$A$5:$A$204,0))*1,0)))</f>
        <v>0</v>
      </c>
      <c r="V575" s="36">
        <f>IF(B575="","",IF(D575="","",D575+U575/1440))</f>
        <v>0</v>
      </c>
      <c r="W575" s="25">
        <f>IF(B575="","",IF(D575="","",HOUR(D575)))</f>
        <v>0</v>
      </c>
      <c r="X575" s="37">
        <f>IF(B575="","",ROUND(U575/60,2))</f>
        <v>0</v>
      </c>
      <c r="Y575" s="26">
        <f>IF(B575="","",IF(L575&lt;&gt;"",L575,IFERROR(INDEX(Services!$G$5:$G$204,MATCH(G575,Services!$A$5:$A$204,0))*1,0)))</f>
        <v>0</v>
      </c>
      <c r="Z575" s="26">
        <f>IF(B575="","",IF(O575&lt;&gt;"",O575,IF(Y575&gt;=DepositThreshold,ROUND(Y575*DepositPercent,2),0)))</f>
        <v>0</v>
      </c>
      <c r="AA575" s="26">
        <f>IF(B575="","",ROUND(SUMIFS(Payments!$G$5:$G$1204,Payments!$I$5:$I$1204,A575,Payments!$E$5:$E$1204,"Deposit"),2))</f>
        <v>0</v>
      </c>
      <c r="AB575" s="26">
        <f>IF(B575="","",ROUND(SUMIFS(Sales!$Y$5:$Y$1204,Sales!$C$5:$C$1204,A575),2))</f>
        <v>0</v>
      </c>
      <c r="AC575" s="38">
        <f>IF(B575="","",IF(M575="Completed","Yes",IF(M575="Cancelled","Yes",IF(M575="No show","Yes","No"))))</f>
        <v>0</v>
      </c>
      <c r="AD575" s="25">
        <f>IF(B575="","",IF(AE575="","",B575-AE575))</f>
        <v>0</v>
      </c>
      <c r="AF575" s="38">
        <f>IF(B575="","",IF(M575&lt;&gt;"Completed","",IF(E575="","No",IF(COUNTIFS(Appointments!$E$5:$E$1204,E575,Appointments!$B$5:$B$1204,"&gt;"&amp;B575,Appointments!$M$5:$M$1204,"&lt;&gt;Cancelled")&gt;0,"Yes","No"))))</f>
        <v>0</v>
      </c>
      <c r="AG575" s="38">
        <f>IF(B575="","",IF(I575="","",IF(D575="","",IF(COUNTIFS($I$5:$I$1204,I575,$B$5:$B$1204,B575,$D$5:$D$1204,"&lt;"&amp;V575,$V$5:$V$1204,"&gt;"&amp;D575,$M$5:$M$1204,"&lt;&gt;Cancelled")&gt;1,"Clash",""))))</f>
        <v>0</v>
      </c>
      <c r="AH575" s="39">
        <f>IF(B575="","",IF(AG575="Clash","Clash - stylist double booked",IF(I575="","Assign - no stylist yet",IF(G575="","Add - no service chosen",IF(M575="No show","No show - charge the fee?",IF(M575="Cancelled","",IF(IF(M575="Completed",AB575&lt;Y575-0.004,FALSE),"Unpaid - nothing rung up for this visit",IF(IF(B575&lt;TodayDate,M575="Booked",FALSE),"Overdue - past date, still only Booked",IF(IF(B575=TodayDate,TRUE,FALSE),"Today",IF(IF(Z575&gt;0,AA575&lt;Z575-0.004,FALSE),"Due - deposit not taken",IF(IF(B575&gt;TodayDate,B575&lt;=TodayDate+2,FALSE),"Confirm - coming up","OK")))))))))))</f>
        <v>0</v>
      </c>
    </row>
    <row r="576" spans="1:34">
      <c r="A576" s="28">
        <f>IF(B576="","",AppointmentPrefix&amp;TEXT(ROW()-4,"0000"))</f>
        <v>0</v>
      </c>
      <c r="C576" s="15">
        <f>IF(B576="","",TEXT(B576,"ddd"))</f>
        <v>0</v>
      </c>
      <c r="F576" s="15">
        <f>IF(E576="","",IFERROR(INDEX(Clients!$B$5:$B$504,MATCH(E576,Clients!$A$5:$A$504,0)),"Walk-in"))</f>
        <v>0</v>
      </c>
      <c r="H576" s="15">
        <f>IF(G576="","",IFERROR(INDEX(Services!$B$5:$B$204,MATCH(G576,Services!$A$5:$A$204,0)),"Not in Services"))</f>
        <v>0</v>
      </c>
      <c r="J576" s="15">
        <f>IF(I576="","",IFERROR(INDEX(Staff!$B$5:$B$44,MATCH(I576,Staff!$A$5:$A$44,0)),"Unassigned"))</f>
        <v>0</v>
      </c>
      <c r="S576" s="15">
        <f>IF(B576="","",TEXT(B576,"yyyy-mm"))</f>
        <v>0</v>
      </c>
      <c r="T576" s="25">
        <f>IF(B576="","",WEEKNUM(B576,2))</f>
        <v>0</v>
      </c>
      <c r="U576" s="25">
        <f>IF(B576="","",IF(K576&lt;&gt;"",K576,IFERROR(INDEX(Services!$E$5:$E$204,MATCH(G576,Services!$A$5:$A$204,0))*1,0)+IFERROR(INDEX(Services!$F$5:$F$204,MATCH(G576,Services!$A$5:$A$204,0))*1,0)))</f>
        <v>0</v>
      </c>
      <c r="V576" s="36">
        <f>IF(B576="","",IF(D576="","",D576+U576/1440))</f>
        <v>0</v>
      </c>
      <c r="W576" s="25">
        <f>IF(B576="","",IF(D576="","",HOUR(D576)))</f>
        <v>0</v>
      </c>
      <c r="X576" s="37">
        <f>IF(B576="","",ROUND(U576/60,2))</f>
        <v>0</v>
      </c>
      <c r="Y576" s="26">
        <f>IF(B576="","",IF(L576&lt;&gt;"",L576,IFERROR(INDEX(Services!$G$5:$G$204,MATCH(G576,Services!$A$5:$A$204,0))*1,0)))</f>
        <v>0</v>
      </c>
      <c r="Z576" s="26">
        <f>IF(B576="","",IF(O576&lt;&gt;"",O576,IF(Y576&gt;=DepositThreshold,ROUND(Y576*DepositPercent,2),0)))</f>
        <v>0</v>
      </c>
      <c r="AA576" s="26">
        <f>IF(B576="","",ROUND(SUMIFS(Payments!$G$5:$G$1204,Payments!$I$5:$I$1204,A576,Payments!$E$5:$E$1204,"Deposit"),2))</f>
        <v>0</v>
      </c>
      <c r="AB576" s="26">
        <f>IF(B576="","",ROUND(SUMIFS(Sales!$Y$5:$Y$1204,Sales!$C$5:$C$1204,A576),2))</f>
        <v>0</v>
      </c>
      <c r="AC576" s="38">
        <f>IF(B576="","",IF(M576="Completed","Yes",IF(M576="Cancelled","Yes",IF(M576="No show","Yes","No"))))</f>
        <v>0</v>
      </c>
      <c r="AD576" s="25">
        <f>IF(B576="","",IF(AE576="","",B576-AE576))</f>
        <v>0</v>
      </c>
      <c r="AF576" s="38">
        <f>IF(B576="","",IF(M576&lt;&gt;"Completed","",IF(E576="","No",IF(COUNTIFS(Appointments!$E$5:$E$1204,E576,Appointments!$B$5:$B$1204,"&gt;"&amp;B576,Appointments!$M$5:$M$1204,"&lt;&gt;Cancelled")&gt;0,"Yes","No"))))</f>
        <v>0</v>
      </c>
      <c r="AG576" s="38">
        <f>IF(B576="","",IF(I576="","",IF(D576="","",IF(COUNTIFS($I$5:$I$1204,I576,$B$5:$B$1204,B576,$D$5:$D$1204,"&lt;"&amp;V576,$V$5:$V$1204,"&gt;"&amp;D576,$M$5:$M$1204,"&lt;&gt;Cancelled")&gt;1,"Clash",""))))</f>
        <v>0</v>
      </c>
      <c r="AH576" s="39">
        <f>IF(B576="","",IF(AG576="Clash","Clash - stylist double booked",IF(I576="","Assign - no stylist yet",IF(G576="","Add - no service chosen",IF(M576="No show","No show - charge the fee?",IF(M576="Cancelled","",IF(IF(M576="Completed",AB576&lt;Y576-0.004,FALSE),"Unpaid - nothing rung up for this visit",IF(IF(B576&lt;TodayDate,M576="Booked",FALSE),"Overdue - past date, still only Booked",IF(IF(B576=TodayDate,TRUE,FALSE),"Today",IF(IF(Z576&gt;0,AA576&lt;Z576-0.004,FALSE),"Due - deposit not taken",IF(IF(B576&gt;TodayDate,B576&lt;=TodayDate+2,FALSE),"Confirm - coming up","OK")))))))))))</f>
        <v>0</v>
      </c>
    </row>
    <row r="577" spans="1:34">
      <c r="A577" s="28">
        <f>IF(B577="","",AppointmentPrefix&amp;TEXT(ROW()-4,"0000"))</f>
        <v>0</v>
      </c>
      <c r="C577" s="15">
        <f>IF(B577="","",TEXT(B577,"ddd"))</f>
        <v>0</v>
      </c>
      <c r="F577" s="15">
        <f>IF(E577="","",IFERROR(INDEX(Clients!$B$5:$B$504,MATCH(E577,Clients!$A$5:$A$504,0)),"Walk-in"))</f>
        <v>0</v>
      </c>
      <c r="H577" s="15">
        <f>IF(G577="","",IFERROR(INDEX(Services!$B$5:$B$204,MATCH(G577,Services!$A$5:$A$204,0)),"Not in Services"))</f>
        <v>0</v>
      </c>
      <c r="J577" s="15">
        <f>IF(I577="","",IFERROR(INDEX(Staff!$B$5:$B$44,MATCH(I577,Staff!$A$5:$A$44,0)),"Unassigned"))</f>
        <v>0</v>
      </c>
      <c r="S577" s="15">
        <f>IF(B577="","",TEXT(B577,"yyyy-mm"))</f>
        <v>0</v>
      </c>
      <c r="T577" s="25">
        <f>IF(B577="","",WEEKNUM(B577,2))</f>
        <v>0</v>
      </c>
      <c r="U577" s="25">
        <f>IF(B577="","",IF(K577&lt;&gt;"",K577,IFERROR(INDEX(Services!$E$5:$E$204,MATCH(G577,Services!$A$5:$A$204,0))*1,0)+IFERROR(INDEX(Services!$F$5:$F$204,MATCH(G577,Services!$A$5:$A$204,0))*1,0)))</f>
        <v>0</v>
      </c>
      <c r="V577" s="36">
        <f>IF(B577="","",IF(D577="","",D577+U577/1440))</f>
        <v>0</v>
      </c>
      <c r="W577" s="25">
        <f>IF(B577="","",IF(D577="","",HOUR(D577)))</f>
        <v>0</v>
      </c>
      <c r="X577" s="37">
        <f>IF(B577="","",ROUND(U577/60,2))</f>
        <v>0</v>
      </c>
      <c r="Y577" s="26">
        <f>IF(B577="","",IF(L577&lt;&gt;"",L577,IFERROR(INDEX(Services!$G$5:$G$204,MATCH(G577,Services!$A$5:$A$204,0))*1,0)))</f>
        <v>0</v>
      </c>
      <c r="Z577" s="26">
        <f>IF(B577="","",IF(O577&lt;&gt;"",O577,IF(Y577&gt;=DepositThreshold,ROUND(Y577*DepositPercent,2),0)))</f>
        <v>0</v>
      </c>
      <c r="AA577" s="26">
        <f>IF(B577="","",ROUND(SUMIFS(Payments!$G$5:$G$1204,Payments!$I$5:$I$1204,A577,Payments!$E$5:$E$1204,"Deposit"),2))</f>
        <v>0</v>
      </c>
      <c r="AB577" s="26">
        <f>IF(B577="","",ROUND(SUMIFS(Sales!$Y$5:$Y$1204,Sales!$C$5:$C$1204,A577),2))</f>
        <v>0</v>
      </c>
      <c r="AC577" s="38">
        <f>IF(B577="","",IF(M577="Completed","Yes",IF(M577="Cancelled","Yes",IF(M577="No show","Yes","No"))))</f>
        <v>0</v>
      </c>
      <c r="AD577" s="25">
        <f>IF(B577="","",IF(AE577="","",B577-AE577))</f>
        <v>0</v>
      </c>
      <c r="AF577" s="38">
        <f>IF(B577="","",IF(M577&lt;&gt;"Completed","",IF(E577="","No",IF(COUNTIFS(Appointments!$E$5:$E$1204,E577,Appointments!$B$5:$B$1204,"&gt;"&amp;B577,Appointments!$M$5:$M$1204,"&lt;&gt;Cancelled")&gt;0,"Yes","No"))))</f>
        <v>0</v>
      </c>
      <c r="AG577" s="38">
        <f>IF(B577="","",IF(I577="","",IF(D577="","",IF(COUNTIFS($I$5:$I$1204,I577,$B$5:$B$1204,B577,$D$5:$D$1204,"&lt;"&amp;V577,$V$5:$V$1204,"&gt;"&amp;D577,$M$5:$M$1204,"&lt;&gt;Cancelled")&gt;1,"Clash",""))))</f>
        <v>0</v>
      </c>
      <c r="AH577" s="39">
        <f>IF(B577="","",IF(AG577="Clash","Clash - stylist double booked",IF(I577="","Assign - no stylist yet",IF(G577="","Add - no service chosen",IF(M577="No show","No show - charge the fee?",IF(M577="Cancelled","",IF(IF(M577="Completed",AB577&lt;Y577-0.004,FALSE),"Unpaid - nothing rung up for this visit",IF(IF(B577&lt;TodayDate,M577="Booked",FALSE),"Overdue - past date, still only Booked",IF(IF(B577=TodayDate,TRUE,FALSE),"Today",IF(IF(Z577&gt;0,AA577&lt;Z577-0.004,FALSE),"Due - deposit not taken",IF(IF(B577&gt;TodayDate,B577&lt;=TodayDate+2,FALSE),"Confirm - coming up","OK")))))))))))</f>
        <v>0</v>
      </c>
    </row>
    <row r="578" spans="1:34">
      <c r="A578" s="28">
        <f>IF(B578="","",AppointmentPrefix&amp;TEXT(ROW()-4,"0000"))</f>
        <v>0</v>
      </c>
      <c r="C578" s="15">
        <f>IF(B578="","",TEXT(B578,"ddd"))</f>
        <v>0</v>
      </c>
      <c r="F578" s="15">
        <f>IF(E578="","",IFERROR(INDEX(Clients!$B$5:$B$504,MATCH(E578,Clients!$A$5:$A$504,0)),"Walk-in"))</f>
        <v>0</v>
      </c>
      <c r="H578" s="15">
        <f>IF(G578="","",IFERROR(INDEX(Services!$B$5:$B$204,MATCH(G578,Services!$A$5:$A$204,0)),"Not in Services"))</f>
        <v>0</v>
      </c>
      <c r="J578" s="15">
        <f>IF(I578="","",IFERROR(INDEX(Staff!$B$5:$B$44,MATCH(I578,Staff!$A$5:$A$44,0)),"Unassigned"))</f>
        <v>0</v>
      </c>
      <c r="S578" s="15">
        <f>IF(B578="","",TEXT(B578,"yyyy-mm"))</f>
        <v>0</v>
      </c>
      <c r="T578" s="25">
        <f>IF(B578="","",WEEKNUM(B578,2))</f>
        <v>0</v>
      </c>
      <c r="U578" s="25">
        <f>IF(B578="","",IF(K578&lt;&gt;"",K578,IFERROR(INDEX(Services!$E$5:$E$204,MATCH(G578,Services!$A$5:$A$204,0))*1,0)+IFERROR(INDEX(Services!$F$5:$F$204,MATCH(G578,Services!$A$5:$A$204,0))*1,0)))</f>
        <v>0</v>
      </c>
      <c r="V578" s="36">
        <f>IF(B578="","",IF(D578="","",D578+U578/1440))</f>
        <v>0</v>
      </c>
      <c r="W578" s="25">
        <f>IF(B578="","",IF(D578="","",HOUR(D578)))</f>
        <v>0</v>
      </c>
      <c r="X578" s="37">
        <f>IF(B578="","",ROUND(U578/60,2))</f>
        <v>0</v>
      </c>
      <c r="Y578" s="26">
        <f>IF(B578="","",IF(L578&lt;&gt;"",L578,IFERROR(INDEX(Services!$G$5:$G$204,MATCH(G578,Services!$A$5:$A$204,0))*1,0)))</f>
        <v>0</v>
      </c>
      <c r="Z578" s="26">
        <f>IF(B578="","",IF(O578&lt;&gt;"",O578,IF(Y578&gt;=DepositThreshold,ROUND(Y578*DepositPercent,2),0)))</f>
        <v>0</v>
      </c>
      <c r="AA578" s="26">
        <f>IF(B578="","",ROUND(SUMIFS(Payments!$G$5:$G$1204,Payments!$I$5:$I$1204,A578,Payments!$E$5:$E$1204,"Deposit"),2))</f>
        <v>0</v>
      </c>
      <c r="AB578" s="26">
        <f>IF(B578="","",ROUND(SUMIFS(Sales!$Y$5:$Y$1204,Sales!$C$5:$C$1204,A578),2))</f>
        <v>0</v>
      </c>
      <c r="AC578" s="38">
        <f>IF(B578="","",IF(M578="Completed","Yes",IF(M578="Cancelled","Yes",IF(M578="No show","Yes","No"))))</f>
        <v>0</v>
      </c>
      <c r="AD578" s="25">
        <f>IF(B578="","",IF(AE578="","",B578-AE578))</f>
        <v>0</v>
      </c>
      <c r="AF578" s="38">
        <f>IF(B578="","",IF(M578&lt;&gt;"Completed","",IF(E578="","No",IF(COUNTIFS(Appointments!$E$5:$E$1204,E578,Appointments!$B$5:$B$1204,"&gt;"&amp;B578,Appointments!$M$5:$M$1204,"&lt;&gt;Cancelled")&gt;0,"Yes","No"))))</f>
        <v>0</v>
      </c>
      <c r="AG578" s="38">
        <f>IF(B578="","",IF(I578="","",IF(D578="","",IF(COUNTIFS($I$5:$I$1204,I578,$B$5:$B$1204,B578,$D$5:$D$1204,"&lt;"&amp;V578,$V$5:$V$1204,"&gt;"&amp;D578,$M$5:$M$1204,"&lt;&gt;Cancelled")&gt;1,"Clash",""))))</f>
        <v>0</v>
      </c>
      <c r="AH578" s="39">
        <f>IF(B578="","",IF(AG578="Clash","Clash - stylist double booked",IF(I578="","Assign - no stylist yet",IF(G578="","Add - no service chosen",IF(M578="No show","No show - charge the fee?",IF(M578="Cancelled","",IF(IF(M578="Completed",AB578&lt;Y578-0.004,FALSE),"Unpaid - nothing rung up for this visit",IF(IF(B578&lt;TodayDate,M578="Booked",FALSE),"Overdue - past date, still only Booked",IF(IF(B578=TodayDate,TRUE,FALSE),"Today",IF(IF(Z578&gt;0,AA578&lt;Z578-0.004,FALSE),"Due - deposit not taken",IF(IF(B578&gt;TodayDate,B578&lt;=TodayDate+2,FALSE),"Confirm - coming up","OK")))))))))))</f>
        <v>0</v>
      </c>
    </row>
    <row r="579" spans="1:34">
      <c r="A579" s="28">
        <f>IF(B579="","",AppointmentPrefix&amp;TEXT(ROW()-4,"0000"))</f>
        <v>0</v>
      </c>
      <c r="C579" s="15">
        <f>IF(B579="","",TEXT(B579,"ddd"))</f>
        <v>0</v>
      </c>
      <c r="F579" s="15">
        <f>IF(E579="","",IFERROR(INDEX(Clients!$B$5:$B$504,MATCH(E579,Clients!$A$5:$A$504,0)),"Walk-in"))</f>
        <v>0</v>
      </c>
      <c r="H579" s="15">
        <f>IF(G579="","",IFERROR(INDEX(Services!$B$5:$B$204,MATCH(G579,Services!$A$5:$A$204,0)),"Not in Services"))</f>
        <v>0</v>
      </c>
      <c r="J579" s="15">
        <f>IF(I579="","",IFERROR(INDEX(Staff!$B$5:$B$44,MATCH(I579,Staff!$A$5:$A$44,0)),"Unassigned"))</f>
        <v>0</v>
      </c>
      <c r="S579" s="15">
        <f>IF(B579="","",TEXT(B579,"yyyy-mm"))</f>
        <v>0</v>
      </c>
      <c r="T579" s="25">
        <f>IF(B579="","",WEEKNUM(B579,2))</f>
        <v>0</v>
      </c>
      <c r="U579" s="25">
        <f>IF(B579="","",IF(K579&lt;&gt;"",K579,IFERROR(INDEX(Services!$E$5:$E$204,MATCH(G579,Services!$A$5:$A$204,0))*1,0)+IFERROR(INDEX(Services!$F$5:$F$204,MATCH(G579,Services!$A$5:$A$204,0))*1,0)))</f>
        <v>0</v>
      </c>
      <c r="V579" s="36">
        <f>IF(B579="","",IF(D579="","",D579+U579/1440))</f>
        <v>0</v>
      </c>
      <c r="W579" s="25">
        <f>IF(B579="","",IF(D579="","",HOUR(D579)))</f>
        <v>0</v>
      </c>
      <c r="X579" s="37">
        <f>IF(B579="","",ROUND(U579/60,2))</f>
        <v>0</v>
      </c>
      <c r="Y579" s="26">
        <f>IF(B579="","",IF(L579&lt;&gt;"",L579,IFERROR(INDEX(Services!$G$5:$G$204,MATCH(G579,Services!$A$5:$A$204,0))*1,0)))</f>
        <v>0</v>
      </c>
      <c r="Z579" s="26">
        <f>IF(B579="","",IF(O579&lt;&gt;"",O579,IF(Y579&gt;=DepositThreshold,ROUND(Y579*DepositPercent,2),0)))</f>
        <v>0</v>
      </c>
      <c r="AA579" s="26">
        <f>IF(B579="","",ROUND(SUMIFS(Payments!$G$5:$G$1204,Payments!$I$5:$I$1204,A579,Payments!$E$5:$E$1204,"Deposit"),2))</f>
        <v>0</v>
      </c>
      <c r="AB579" s="26">
        <f>IF(B579="","",ROUND(SUMIFS(Sales!$Y$5:$Y$1204,Sales!$C$5:$C$1204,A579),2))</f>
        <v>0</v>
      </c>
      <c r="AC579" s="38">
        <f>IF(B579="","",IF(M579="Completed","Yes",IF(M579="Cancelled","Yes",IF(M579="No show","Yes","No"))))</f>
        <v>0</v>
      </c>
      <c r="AD579" s="25">
        <f>IF(B579="","",IF(AE579="","",B579-AE579))</f>
        <v>0</v>
      </c>
      <c r="AF579" s="38">
        <f>IF(B579="","",IF(M579&lt;&gt;"Completed","",IF(E579="","No",IF(COUNTIFS(Appointments!$E$5:$E$1204,E579,Appointments!$B$5:$B$1204,"&gt;"&amp;B579,Appointments!$M$5:$M$1204,"&lt;&gt;Cancelled")&gt;0,"Yes","No"))))</f>
        <v>0</v>
      </c>
      <c r="AG579" s="38">
        <f>IF(B579="","",IF(I579="","",IF(D579="","",IF(COUNTIFS($I$5:$I$1204,I579,$B$5:$B$1204,B579,$D$5:$D$1204,"&lt;"&amp;V579,$V$5:$V$1204,"&gt;"&amp;D579,$M$5:$M$1204,"&lt;&gt;Cancelled")&gt;1,"Clash",""))))</f>
        <v>0</v>
      </c>
      <c r="AH579" s="39">
        <f>IF(B579="","",IF(AG579="Clash","Clash - stylist double booked",IF(I579="","Assign - no stylist yet",IF(G579="","Add - no service chosen",IF(M579="No show","No show - charge the fee?",IF(M579="Cancelled","",IF(IF(M579="Completed",AB579&lt;Y579-0.004,FALSE),"Unpaid - nothing rung up for this visit",IF(IF(B579&lt;TodayDate,M579="Booked",FALSE),"Overdue - past date, still only Booked",IF(IF(B579=TodayDate,TRUE,FALSE),"Today",IF(IF(Z579&gt;0,AA579&lt;Z579-0.004,FALSE),"Due - deposit not taken",IF(IF(B579&gt;TodayDate,B579&lt;=TodayDate+2,FALSE),"Confirm - coming up","OK")))))))))))</f>
        <v>0</v>
      </c>
    </row>
    <row r="580" spans="1:34">
      <c r="A580" s="28">
        <f>IF(B580="","",AppointmentPrefix&amp;TEXT(ROW()-4,"0000"))</f>
        <v>0</v>
      </c>
      <c r="C580" s="15">
        <f>IF(B580="","",TEXT(B580,"ddd"))</f>
        <v>0</v>
      </c>
      <c r="F580" s="15">
        <f>IF(E580="","",IFERROR(INDEX(Clients!$B$5:$B$504,MATCH(E580,Clients!$A$5:$A$504,0)),"Walk-in"))</f>
        <v>0</v>
      </c>
      <c r="H580" s="15">
        <f>IF(G580="","",IFERROR(INDEX(Services!$B$5:$B$204,MATCH(G580,Services!$A$5:$A$204,0)),"Not in Services"))</f>
        <v>0</v>
      </c>
      <c r="J580" s="15">
        <f>IF(I580="","",IFERROR(INDEX(Staff!$B$5:$B$44,MATCH(I580,Staff!$A$5:$A$44,0)),"Unassigned"))</f>
        <v>0</v>
      </c>
      <c r="S580" s="15">
        <f>IF(B580="","",TEXT(B580,"yyyy-mm"))</f>
        <v>0</v>
      </c>
      <c r="T580" s="25">
        <f>IF(B580="","",WEEKNUM(B580,2))</f>
        <v>0</v>
      </c>
      <c r="U580" s="25">
        <f>IF(B580="","",IF(K580&lt;&gt;"",K580,IFERROR(INDEX(Services!$E$5:$E$204,MATCH(G580,Services!$A$5:$A$204,0))*1,0)+IFERROR(INDEX(Services!$F$5:$F$204,MATCH(G580,Services!$A$5:$A$204,0))*1,0)))</f>
        <v>0</v>
      </c>
      <c r="V580" s="36">
        <f>IF(B580="","",IF(D580="","",D580+U580/1440))</f>
        <v>0</v>
      </c>
      <c r="W580" s="25">
        <f>IF(B580="","",IF(D580="","",HOUR(D580)))</f>
        <v>0</v>
      </c>
      <c r="X580" s="37">
        <f>IF(B580="","",ROUND(U580/60,2))</f>
        <v>0</v>
      </c>
      <c r="Y580" s="26">
        <f>IF(B580="","",IF(L580&lt;&gt;"",L580,IFERROR(INDEX(Services!$G$5:$G$204,MATCH(G580,Services!$A$5:$A$204,0))*1,0)))</f>
        <v>0</v>
      </c>
      <c r="Z580" s="26">
        <f>IF(B580="","",IF(O580&lt;&gt;"",O580,IF(Y580&gt;=DepositThreshold,ROUND(Y580*DepositPercent,2),0)))</f>
        <v>0</v>
      </c>
      <c r="AA580" s="26">
        <f>IF(B580="","",ROUND(SUMIFS(Payments!$G$5:$G$1204,Payments!$I$5:$I$1204,A580,Payments!$E$5:$E$1204,"Deposit"),2))</f>
        <v>0</v>
      </c>
      <c r="AB580" s="26">
        <f>IF(B580="","",ROUND(SUMIFS(Sales!$Y$5:$Y$1204,Sales!$C$5:$C$1204,A580),2))</f>
        <v>0</v>
      </c>
      <c r="AC580" s="38">
        <f>IF(B580="","",IF(M580="Completed","Yes",IF(M580="Cancelled","Yes",IF(M580="No show","Yes","No"))))</f>
        <v>0</v>
      </c>
      <c r="AD580" s="25">
        <f>IF(B580="","",IF(AE580="","",B580-AE580))</f>
        <v>0</v>
      </c>
      <c r="AF580" s="38">
        <f>IF(B580="","",IF(M580&lt;&gt;"Completed","",IF(E580="","No",IF(COUNTIFS(Appointments!$E$5:$E$1204,E580,Appointments!$B$5:$B$1204,"&gt;"&amp;B580,Appointments!$M$5:$M$1204,"&lt;&gt;Cancelled")&gt;0,"Yes","No"))))</f>
        <v>0</v>
      </c>
      <c r="AG580" s="38">
        <f>IF(B580="","",IF(I580="","",IF(D580="","",IF(COUNTIFS($I$5:$I$1204,I580,$B$5:$B$1204,B580,$D$5:$D$1204,"&lt;"&amp;V580,$V$5:$V$1204,"&gt;"&amp;D580,$M$5:$M$1204,"&lt;&gt;Cancelled")&gt;1,"Clash",""))))</f>
        <v>0</v>
      </c>
      <c r="AH580" s="39">
        <f>IF(B580="","",IF(AG580="Clash","Clash - stylist double booked",IF(I580="","Assign - no stylist yet",IF(G580="","Add - no service chosen",IF(M580="No show","No show - charge the fee?",IF(M580="Cancelled","",IF(IF(M580="Completed",AB580&lt;Y580-0.004,FALSE),"Unpaid - nothing rung up for this visit",IF(IF(B580&lt;TodayDate,M580="Booked",FALSE),"Overdue - past date, still only Booked",IF(IF(B580=TodayDate,TRUE,FALSE),"Today",IF(IF(Z580&gt;0,AA580&lt;Z580-0.004,FALSE),"Due - deposit not taken",IF(IF(B580&gt;TodayDate,B580&lt;=TodayDate+2,FALSE),"Confirm - coming up","OK")))))))))))</f>
        <v>0</v>
      </c>
    </row>
    <row r="581" spans="1:34">
      <c r="A581" s="28">
        <f>IF(B581="","",AppointmentPrefix&amp;TEXT(ROW()-4,"0000"))</f>
        <v>0</v>
      </c>
      <c r="C581" s="15">
        <f>IF(B581="","",TEXT(B581,"ddd"))</f>
        <v>0</v>
      </c>
      <c r="F581" s="15">
        <f>IF(E581="","",IFERROR(INDEX(Clients!$B$5:$B$504,MATCH(E581,Clients!$A$5:$A$504,0)),"Walk-in"))</f>
        <v>0</v>
      </c>
      <c r="H581" s="15">
        <f>IF(G581="","",IFERROR(INDEX(Services!$B$5:$B$204,MATCH(G581,Services!$A$5:$A$204,0)),"Not in Services"))</f>
        <v>0</v>
      </c>
      <c r="J581" s="15">
        <f>IF(I581="","",IFERROR(INDEX(Staff!$B$5:$B$44,MATCH(I581,Staff!$A$5:$A$44,0)),"Unassigned"))</f>
        <v>0</v>
      </c>
      <c r="S581" s="15">
        <f>IF(B581="","",TEXT(B581,"yyyy-mm"))</f>
        <v>0</v>
      </c>
      <c r="T581" s="25">
        <f>IF(B581="","",WEEKNUM(B581,2))</f>
        <v>0</v>
      </c>
      <c r="U581" s="25">
        <f>IF(B581="","",IF(K581&lt;&gt;"",K581,IFERROR(INDEX(Services!$E$5:$E$204,MATCH(G581,Services!$A$5:$A$204,0))*1,0)+IFERROR(INDEX(Services!$F$5:$F$204,MATCH(G581,Services!$A$5:$A$204,0))*1,0)))</f>
        <v>0</v>
      </c>
      <c r="V581" s="36">
        <f>IF(B581="","",IF(D581="","",D581+U581/1440))</f>
        <v>0</v>
      </c>
      <c r="W581" s="25">
        <f>IF(B581="","",IF(D581="","",HOUR(D581)))</f>
        <v>0</v>
      </c>
      <c r="X581" s="37">
        <f>IF(B581="","",ROUND(U581/60,2))</f>
        <v>0</v>
      </c>
      <c r="Y581" s="26">
        <f>IF(B581="","",IF(L581&lt;&gt;"",L581,IFERROR(INDEX(Services!$G$5:$G$204,MATCH(G581,Services!$A$5:$A$204,0))*1,0)))</f>
        <v>0</v>
      </c>
      <c r="Z581" s="26">
        <f>IF(B581="","",IF(O581&lt;&gt;"",O581,IF(Y581&gt;=DepositThreshold,ROUND(Y581*DepositPercent,2),0)))</f>
        <v>0</v>
      </c>
      <c r="AA581" s="26">
        <f>IF(B581="","",ROUND(SUMIFS(Payments!$G$5:$G$1204,Payments!$I$5:$I$1204,A581,Payments!$E$5:$E$1204,"Deposit"),2))</f>
        <v>0</v>
      </c>
      <c r="AB581" s="26">
        <f>IF(B581="","",ROUND(SUMIFS(Sales!$Y$5:$Y$1204,Sales!$C$5:$C$1204,A581),2))</f>
        <v>0</v>
      </c>
      <c r="AC581" s="38">
        <f>IF(B581="","",IF(M581="Completed","Yes",IF(M581="Cancelled","Yes",IF(M581="No show","Yes","No"))))</f>
        <v>0</v>
      </c>
      <c r="AD581" s="25">
        <f>IF(B581="","",IF(AE581="","",B581-AE581))</f>
        <v>0</v>
      </c>
      <c r="AF581" s="38">
        <f>IF(B581="","",IF(M581&lt;&gt;"Completed","",IF(E581="","No",IF(COUNTIFS(Appointments!$E$5:$E$1204,E581,Appointments!$B$5:$B$1204,"&gt;"&amp;B581,Appointments!$M$5:$M$1204,"&lt;&gt;Cancelled")&gt;0,"Yes","No"))))</f>
        <v>0</v>
      </c>
      <c r="AG581" s="38">
        <f>IF(B581="","",IF(I581="","",IF(D581="","",IF(COUNTIFS($I$5:$I$1204,I581,$B$5:$B$1204,B581,$D$5:$D$1204,"&lt;"&amp;V581,$V$5:$V$1204,"&gt;"&amp;D581,$M$5:$M$1204,"&lt;&gt;Cancelled")&gt;1,"Clash",""))))</f>
        <v>0</v>
      </c>
      <c r="AH581" s="39">
        <f>IF(B581="","",IF(AG581="Clash","Clash - stylist double booked",IF(I581="","Assign - no stylist yet",IF(G581="","Add - no service chosen",IF(M581="No show","No show - charge the fee?",IF(M581="Cancelled","",IF(IF(M581="Completed",AB581&lt;Y581-0.004,FALSE),"Unpaid - nothing rung up for this visit",IF(IF(B581&lt;TodayDate,M581="Booked",FALSE),"Overdue - past date, still only Booked",IF(IF(B581=TodayDate,TRUE,FALSE),"Today",IF(IF(Z581&gt;0,AA581&lt;Z581-0.004,FALSE),"Due - deposit not taken",IF(IF(B581&gt;TodayDate,B581&lt;=TodayDate+2,FALSE),"Confirm - coming up","OK")))))))))))</f>
        <v>0</v>
      </c>
    </row>
    <row r="582" spans="1:34">
      <c r="A582" s="28">
        <f>IF(B582="","",AppointmentPrefix&amp;TEXT(ROW()-4,"0000"))</f>
        <v>0</v>
      </c>
      <c r="C582" s="15">
        <f>IF(B582="","",TEXT(B582,"ddd"))</f>
        <v>0</v>
      </c>
      <c r="F582" s="15">
        <f>IF(E582="","",IFERROR(INDEX(Clients!$B$5:$B$504,MATCH(E582,Clients!$A$5:$A$504,0)),"Walk-in"))</f>
        <v>0</v>
      </c>
      <c r="H582" s="15">
        <f>IF(G582="","",IFERROR(INDEX(Services!$B$5:$B$204,MATCH(G582,Services!$A$5:$A$204,0)),"Not in Services"))</f>
        <v>0</v>
      </c>
      <c r="J582" s="15">
        <f>IF(I582="","",IFERROR(INDEX(Staff!$B$5:$B$44,MATCH(I582,Staff!$A$5:$A$44,0)),"Unassigned"))</f>
        <v>0</v>
      </c>
      <c r="S582" s="15">
        <f>IF(B582="","",TEXT(B582,"yyyy-mm"))</f>
        <v>0</v>
      </c>
      <c r="T582" s="25">
        <f>IF(B582="","",WEEKNUM(B582,2))</f>
        <v>0</v>
      </c>
      <c r="U582" s="25">
        <f>IF(B582="","",IF(K582&lt;&gt;"",K582,IFERROR(INDEX(Services!$E$5:$E$204,MATCH(G582,Services!$A$5:$A$204,0))*1,0)+IFERROR(INDEX(Services!$F$5:$F$204,MATCH(G582,Services!$A$5:$A$204,0))*1,0)))</f>
        <v>0</v>
      </c>
      <c r="V582" s="36">
        <f>IF(B582="","",IF(D582="","",D582+U582/1440))</f>
        <v>0</v>
      </c>
      <c r="W582" s="25">
        <f>IF(B582="","",IF(D582="","",HOUR(D582)))</f>
        <v>0</v>
      </c>
      <c r="X582" s="37">
        <f>IF(B582="","",ROUND(U582/60,2))</f>
        <v>0</v>
      </c>
      <c r="Y582" s="26">
        <f>IF(B582="","",IF(L582&lt;&gt;"",L582,IFERROR(INDEX(Services!$G$5:$G$204,MATCH(G582,Services!$A$5:$A$204,0))*1,0)))</f>
        <v>0</v>
      </c>
      <c r="Z582" s="26">
        <f>IF(B582="","",IF(O582&lt;&gt;"",O582,IF(Y582&gt;=DepositThreshold,ROUND(Y582*DepositPercent,2),0)))</f>
        <v>0</v>
      </c>
      <c r="AA582" s="26">
        <f>IF(B582="","",ROUND(SUMIFS(Payments!$G$5:$G$1204,Payments!$I$5:$I$1204,A582,Payments!$E$5:$E$1204,"Deposit"),2))</f>
        <v>0</v>
      </c>
      <c r="AB582" s="26">
        <f>IF(B582="","",ROUND(SUMIFS(Sales!$Y$5:$Y$1204,Sales!$C$5:$C$1204,A582),2))</f>
        <v>0</v>
      </c>
      <c r="AC582" s="38">
        <f>IF(B582="","",IF(M582="Completed","Yes",IF(M582="Cancelled","Yes",IF(M582="No show","Yes","No"))))</f>
        <v>0</v>
      </c>
      <c r="AD582" s="25">
        <f>IF(B582="","",IF(AE582="","",B582-AE582))</f>
        <v>0</v>
      </c>
      <c r="AF582" s="38">
        <f>IF(B582="","",IF(M582&lt;&gt;"Completed","",IF(E582="","No",IF(COUNTIFS(Appointments!$E$5:$E$1204,E582,Appointments!$B$5:$B$1204,"&gt;"&amp;B582,Appointments!$M$5:$M$1204,"&lt;&gt;Cancelled")&gt;0,"Yes","No"))))</f>
        <v>0</v>
      </c>
      <c r="AG582" s="38">
        <f>IF(B582="","",IF(I582="","",IF(D582="","",IF(COUNTIFS($I$5:$I$1204,I582,$B$5:$B$1204,B582,$D$5:$D$1204,"&lt;"&amp;V582,$V$5:$V$1204,"&gt;"&amp;D582,$M$5:$M$1204,"&lt;&gt;Cancelled")&gt;1,"Clash",""))))</f>
        <v>0</v>
      </c>
      <c r="AH582" s="39">
        <f>IF(B582="","",IF(AG582="Clash","Clash - stylist double booked",IF(I582="","Assign - no stylist yet",IF(G582="","Add - no service chosen",IF(M582="No show","No show - charge the fee?",IF(M582="Cancelled","",IF(IF(M582="Completed",AB582&lt;Y582-0.004,FALSE),"Unpaid - nothing rung up for this visit",IF(IF(B582&lt;TodayDate,M582="Booked",FALSE),"Overdue - past date, still only Booked",IF(IF(B582=TodayDate,TRUE,FALSE),"Today",IF(IF(Z582&gt;0,AA582&lt;Z582-0.004,FALSE),"Due - deposit not taken",IF(IF(B582&gt;TodayDate,B582&lt;=TodayDate+2,FALSE),"Confirm - coming up","OK")))))))))))</f>
        <v>0</v>
      </c>
    </row>
    <row r="583" spans="1:34">
      <c r="A583" s="28">
        <f>IF(B583="","",AppointmentPrefix&amp;TEXT(ROW()-4,"0000"))</f>
        <v>0</v>
      </c>
      <c r="C583" s="15">
        <f>IF(B583="","",TEXT(B583,"ddd"))</f>
        <v>0</v>
      </c>
      <c r="F583" s="15">
        <f>IF(E583="","",IFERROR(INDEX(Clients!$B$5:$B$504,MATCH(E583,Clients!$A$5:$A$504,0)),"Walk-in"))</f>
        <v>0</v>
      </c>
      <c r="H583" s="15">
        <f>IF(G583="","",IFERROR(INDEX(Services!$B$5:$B$204,MATCH(G583,Services!$A$5:$A$204,0)),"Not in Services"))</f>
        <v>0</v>
      </c>
      <c r="J583" s="15">
        <f>IF(I583="","",IFERROR(INDEX(Staff!$B$5:$B$44,MATCH(I583,Staff!$A$5:$A$44,0)),"Unassigned"))</f>
        <v>0</v>
      </c>
      <c r="S583" s="15">
        <f>IF(B583="","",TEXT(B583,"yyyy-mm"))</f>
        <v>0</v>
      </c>
      <c r="T583" s="25">
        <f>IF(B583="","",WEEKNUM(B583,2))</f>
        <v>0</v>
      </c>
      <c r="U583" s="25">
        <f>IF(B583="","",IF(K583&lt;&gt;"",K583,IFERROR(INDEX(Services!$E$5:$E$204,MATCH(G583,Services!$A$5:$A$204,0))*1,0)+IFERROR(INDEX(Services!$F$5:$F$204,MATCH(G583,Services!$A$5:$A$204,0))*1,0)))</f>
        <v>0</v>
      </c>
      <c r="V583" s="36">
        <f>IF(B583="","",IF(D583="","",D583+U583/1440))</f>
        <v>0</v>
      </c>
      <c r="W583" s="25">
        <f>IF(B583="","",IF(D583="","",HOUR(D583)))</f>
        <v>0</v>
      </c>
      <c r="X583" s="37">
        <f>IF(B583="","",ROUND(U583/60,2))</f>
        <v>0</v>
      </c>
      <c r="Y583" s="26">
        <f>IF(B583="","",IF(L583&lt;&gt;"",L583,IFERROR(INDEX(Services!$G$5:$G$204,MATCH(G583,Services!$A$5:$A$204,0))*1,0)))</f>
        <v>0</v>
      </c>
      <c r="Z583" s="26">
        <f>IF(B583="","",IF(O583&lt;&gt;"",O583,IF(Y583&gt;=DepositThreshold,ROUND(Y583*DepositPercent,2),0)))</f>
        <v>0</v>
      </c>
      <c r="AA583" s="26">
        <f>IF(B583="","",ROUND(SUMIFS(Payments!$G$5:$G$1204,Payments!$I$5:$I$1204,A583,Payments!$E$5:$E$1204,"Deposit"),2))</f>
        <v>0</v>
      </c>
      <c r="AB583" s="26">
        <f>IF(B583="","",ROUND(SUMIFS(Sales!$Y$5:$Y$1204,Sales!$C$5:$C$1204,A583),2))</f>
        <v>0</v>
      </c>
      <c r="AC583" s="38">
        <f>IF(B583="","",IF(M583="Completed","Yes",IF(M583="Cancelled","Yes",IF(M583="No show","Yes","No"))))</f>
        <v>0</v>
      </c>
      <c r="AD583" s="25">
        <f>IF(B583="","",IF(AE583="","",B583-AE583))</f>
        <v>0</v>
      </c>
      <c r="AF583" s="38">
        <f>IF(B583="","",IF(M583&lt;&gt;"Completed","",IF(E583="","No",IF(COUNTIFS(Appointments!$E$5:$E$1204,E583,Appointments!$B$5:$B$1204,"&gt;"&amp;B583,Appointments!$M$5:$M$1204,"&lt;&gt;Cancelled")&gt;0,"Yes","No"))))</f>
        <v>0</v>
      </c>
      <c r="AG583" s="38">
        <f>IF(B583="","",IF(I583="","",IF(D583="","",IF(COUNTIFS($I$5:$I$1204,I583,$B$5:$B$1204,B583,$D$5:$D$1204,"&lt;"&amp;V583,$V$5:$V$1204,"&gt;"&amp;D583,$M$5:$M$1204,"&lt;&gt;Cancelled")&gt;1,"Clash",""))))</f>
        <v>0</v>
      </c>
      <c r="AH583" s="39">
        <f>IF(B583="","",IF(AG583="Clash","Clash - stylist double booked",IF(I583="","Assign - no stylist yet",IF(G583="","Add - no service chosen",IF(M583="No show","No show - charge the fee?",IF(M583="Cancelled","",IF(IF(M583="Completed",AB583&lt;Y583-0.004,FALSE),"Unpaid - nothing rung up for this visit",IF(IF(B583&lt;TodayDate,M583="Booked",FALSE),"Overdue - past date, still only Booked",IF(IF(B583=TodayDate,TRUE,FALSE),"Today",IF(IF(Z583&gt;0,AA583&lt;Z583-0.004,FALSE),"Due - deposit not taken",IF(IF(B583&gt;TodayDate,B583&lt;=TodayDate+2,FALSE),"Confirm - coming up","OK")))))))))))</f>
        <v>0</v>
      </c>
    </row>
    <row r="584" spans="1:34">
      <c r="A584" s="28">
        <f>IF(B584="","",AppointmentPrefix&amp;TEXT(ROW()-4,"0000"))</f>
        <v>0</v>
      </c>
      <c r="C584" s="15">
        <f>IF(B584="","",TEXT(B584,"ddd"))</f>
        <v>0</v>
      </c>
      <c r="F584" s="15">
        <f>IF(E584="","",IFERROR(INDEX(Clients!$B$5:$B$504,MATCH(E584,Clients!$A$5:$A$504,0)),"Walk-in"))</f>
        <v>0</v>
      </c>
      <c r="H584" s="15">
        <f>IF(G584="","",IFERROR(INDEX(Services!$B$5:$B$204,MATCH(G584,Services!$A$5:$A$204,0)),"Not in Services"))</f>
        <v>0</v>
      </c>
      <c r="J584" s="15">
        <f>IF(I584="","",IFERROR(INDEX(Staff!$B$5:$B$44,MATCH(I584,Staff!$A$5:$A$44,0)),"Unassigned"))</f>
        <v>0</v>
      </c>
      <c r="S584" s="15">
        <f>IF(B584="","",TEXT(B584,"yyyy-mm"))</f>
        <v>0</v>
      </c>
      <c r="T584" s="25">
        <f>IF(B584="","",WEEKNUM(B584,2))</f>
        <v>0</v>
      </c>
      <c r="U584" s="25">
        <f>IF(B584="","",IF(K584&lt;&gt;"",K584,IFERROR(INDEX(Services!$E$5:$E$204,MATCH(G584,Services!$A$5:$A$204,0))*1,0)+IFERROR(INDEX(Services!$F$5:$F$204,MATCH(G584,Services!$A$5:$A$204,0))*1,0)))</f>
        <v>0</v>
      </c>
      <c r="V584" s="36">
        <f>IF(B584="","",IF(D584="","",D584+U584/1440))</f>
        <v>0</v>
      </c>
      <c r="W584" s="25">
        <f>IF(B584="","",IF(D584="","",HOUR(D584)))</f>
        <v>0</v>
      </c>
      <c r="X584" s="37">
        <f>IF(B584="","",ROUND(U584/60,2))</f>
        <v>0</v>
      </c>
      <c r="Y584" s="26">
        <f>IF(B584="","",IF(L584&lt;&gt;"",L584,IFERROR(INDEX(Services!$G$5:$G$204,MATCH(G584,Services!$A$5:$A$204,0))*1,0)))</f>
        <v>0</v>
      </c>
      <c r="Z584" s="26">
        <f>IF(B584="","",IF(O584&lt;&gt;"",O584,IF(Y584&gt;=DepositThreshold,ROUND(Y584*DepositPercent,2),0)))</f>
        <v>0</v>
      </c>
      <c r="AA584" s="26">
        <f>IF(B584="","",ROUND(SUMIFS(Payments!$G$5:$G$1204,Payments!$I$5:$I$1204,A584,Payments!$E$5:$E$1204,"Deposit"),2))</f>
        <v>0</v>
      </c>
      <c r="AB584" s="26">
        <f>IF(B584="","",ROUND(SUMIFS(Sales!$Y$5:$Y$1204,Sales!$C$5:$C$1204,A584),2))</f>
        <v>0</v>
      </c>
      <c r="AC584" s="38">
        <f>IF(B584="","",IF(M584="Completed","Yes",IF(M584="Cancelled","Yes",IF(M584="No show","Yes","No"))))</f>
        <v>0</v>
      </c>
      <c r="AD584" s="25">
        <f>IF(B584="","",IF(AE584="","",B584-AE584))</f>
        <v>0</v>
      </c>
      <c r="AF584" s="38">
        <f>IF(B584="","",IF(M584&lt;&gt;"Completed","",IF(E584="","No",IF(COUNTIFS(Appointments!$E$5:$E$1204,E584,Appointments!$B$5:$B$1204,"&gt;"&amp;B584,Appointments!$M$5:$M$1204,"&lt;&gt;Cancelled")&gt;0,"Yes","No"))))</f>
        <v>0</v>
      </c>
      <c r="AG584" s="38">
        <f>IF(B584="","",IF(I584="","",IF(D584="","",IF(COUNTIFS($I$5:$I$1204,I584,$B$5:$B$1204,B584,$D$5:$D$1204,"&lt;"&amp;V584,$V$5:$V$1204,"&gt;"&amp;D584,$M$5:$M$1204,"&lt;&gt;Cancelled")&gt;1,"Clash",""))))</f>
        <v>0</v>
      </c>
      <c r="AH584" s="39">
        <f>IF(B584="","",IF(AG584="Clash","Clash - stylist double booked",IF(I584="","Assign - no stylist yet",IF(G584="","Add - no service chosen",IF(M584="No show","No show - charge the fee?",IF(M584="Cancelled","",IF(IF(M584="Completed",AB584&lt;Y584-0.004,FALSE),"Unpaid - nothing rung up for this visit",IF(IF(B584&lt;TodayDate,M584="Booked",FALSE),"Overdue - past date, still only Booked",IF(IF(B584=TodayDate,TRUE,FALSE),"Today",IF(IF(Z584&gt;0,AA584&lt;Z584-0.004,FALSE),"Due - deposit not taken",IF(IF(B584&gt;TodayDate,B584&lt;=TodayDate+2,FALSE),"Confirm - coming up","OK")))))))))))</f>
        <v>0</v>
      </c>
    </row>
    <row r="585" spans="1:34">
      <c r="A585" s="28">
        <f>IF(B585="","",AppointmentPrefix&amp;TEXT(ROW()-4,"0000"))</f>
        <v>0</v>
      </c>
      <c r="C585" s="15">
        <f>IF(B585="","",TEXT(B585,"ddd"))</f>
        <v>0</v>
      </c>
      <c r="F585" s="15">
        <f>IF(E585="","",IFERROR(INDEX(Clients!$B$5:$B$504,MATCH(E585,Clients!$A$5:$A$504,0)),"Walk-in"))</f>
        <v>0</v>
      </c>
      <c r="H585" s="15">
        <f>IF(G585="","",IFERROR(INDEX(Services!$B$5:$B$204,MATCH(G585,Services!$A$5:$A$204,0)),"Not in Services"))</f>
        <v>0</v>
      </c>
      <c r="J585" s="15">
        <f>IF(I585="","",IFERROR(INDEX(Staff!$B$5:$B$44,MATCH(I585,Staff!$A$5:$A$44,0)),"Unassigned"))</f>
        <v>0</v>
      </c>
      <c r="S585" s="15">
        <f>IF(B585="","",TEXT(B585,"yyyy-mm"))</f>
        <v>0</v>
      </c>
      <c r="T585" s="25">
        <f>IF(B585="","",WEEKNUM(B585,2))</f>
        <v>0</v>
      </c>
      <c r="U585" s="25">
        <f>IF(B585="","",IF(K585&lt;&gt;"",K585,IFERROR(INDEX(Services!$E$5:$E$204,MATCH(G585,Services!$A$5:$A$204,0))*1,0)+IFERROR(INDEX(Services!$F$5:$F$204,MATCH(G585,Services!$A$5:$A$204,0))*1,0)))</f>
        <v>0</v>
      </c>
      <c r="V585" s="36">
        <f>IF(B585="","",IF(D585="","",D585+U585/1440))</f>
        <v>0</v>
      </c>
      <c r="W585" s="25">
        <f>IF(B585="","",IF(D585="","",HOUR(D585)))</f>
        <v>0</v>
      </c>
      <c r="X585" s="37">
        <f>IF(B585="","",ROUND(U585/60,2))</f>
        <v>0</v>
      </c>
      <c r="Y585" s="26">
        <f>IF(B585="","",IF(L585&lt;&gt;"",L585,IFERROR(INDEX(Services!$G$5:$G$204,MATCH(G585,Services!$A$5:$A$204,0))*1,0)))</f>
        <v>0</v>
      </c>
      <c r="Z585" s="26">
        <f>IF(B585="","",IF(O585&lt;&gt;"",O585,IF(Y585&gt;=DepositThreshold,ROUND(Y585*DepositPercent,2),0)))</f>
        <v>0</v>
      </c>
      <c r="AA585" s="26">
        <f>IF(B585="","",ROUND(SUMIFS(Payments!$G$5:$G$1204,Payments!$I$5:$I$1204,A585,Payments!$E$5:$E$1204,"Deposit"),2))</f>
        <v>0</v>
      </c>
      <c r="AB585" s="26">
        <f>IF(B585="","",ROUND(SUMIFS(Sales!$Y$5:$Y$1204,Sales!$C$5:$C$1204,A585),2))</f>
        <v>0</v>
      </c>
      <c r="AC585" s="38">
        <f>IF(B585="","",IF(M585="Completed","Yes",IF(M585="Cancelled","Yes",IF(M585="No show","Yes","No"))))</f>
        <v>0</v>
      </c>
      <c r="AD585" s="25">
        <f>IF(B585="","",IF(AE585="","",B585-AE585))</f>
        <v>0</v>
      </c>
      <c r="AF585" s="38">
        <f>IF(B585="","",IF(M585&lt;&gt;"Completed","",IF(E585="","No",IF(COUNTIFS(Appointments!$E$5:$E$1204,E585,Appointments!$B$5:$B$1204,"&gt;"&amp;B585,Appointments!$M$5:$M$1204,"&lt;&gt;Cancelled")&gt;0,"Yes","No"))))</f>
        <v>0</v>
      </c>
      <c r="AG585" s="38">
        <f>IF(B585="","",IF(I585="","",IF(D585="","",IF(COUNTIFS($I$5:$I$1204,I585,$B$5:$B$1204,B585,$D$5:$D$1204,"&lt;"&amp;V585,$V$5:$V$1204,"&gt;"&amp;D585,$M$5:$M$1204,"&lt;&gt;Cancelled")&gt;1,"Clash",""))))</f>
        <v>0</v>
      </c>
      <c r="AH585" s="39">
        <f>IF(B585="","",IF(AG585="Clash","Clash - stylist double booked",IF(I585="","Assign - no stylist yet",IF(G585="","Add - no service chosen",IF(M585="No show","No show - charge the fee?",IF(M585="Cancelled","",IF(IF(M585="Completed",AB585&lt;Y585-0.004,FALSE),"Unpaid - nothing rung up for this visit",IF(IF(B585&lt;TodayDate,M585="Booked",FALSE),"Overdue - past date, still only Booked",IF(IF(B585=TodayDate,TRUE,FALSE),"Today",IF(IF(Z585&gt;0,AA585&lt;Z585-0.004,FALSE),"Due - deposit not taken",IF(IF(B585&gt;TodayDate,B585&lt;=TodayDate+2,FALSE),"Confirm - coming up","OK")))))))))))</f>
        <v>0</v>
      </c>
    </row>
    <row r="586" spans="1:34">
      <c r="A586" s="28">
        <f>IF(B586="","",AppointmentPrefix&amp;TEXT(ROW()-4,"0000"))</f>
        <v>0</v>
      </c>
      <c r="C586" s="15">
        <f>IF(B586="","",TEXT(B586,"ddd"))</f>
        <v>0</v>
      </c>
      <c r="F586" s="15">
        <f>IF(E586="","",IFERROR(INDEX(Clients!$B$5:$B$504,MATCH(E586,Clients!$A$5:$A$504,0)),"Walk-in"))</f>
        <v>0</v>
      </c>
      <c r="H586" s="15">
        <f>IF(G586="","",IFERROR(INDEX(Services!$B$5:$B$204,MATCH(G586,Services!$A$5:$A$204,0)),"Not in Services"))</f>
        <v>0</v>
      </c>
      <c r="J586" s="15">
        <f>IF(I586="","",IFERROR(INDEX(Staff!$B$5:$B$44,MATCH(I586,Staff!$A$5:$A$44,0)),"Unassigned"))</f>
        <v>0</v>
      </c>
      <c r="S586" s="15">
        <f>IF(B586="","",TEXT(B586,"yyyy-mm"))</f>
        <v>0</v>
      </c>
      <c r="T586" s="25">
        <f>IF(B586="","",WEEKNUM(B586,2))</f>
        <v>0</v>
      </c>
      <c r="U586" s="25">
        <f>IF(B586="","",IF(K586&lt;&gt;"",K586,IFERROR(INDEX(Services!$E$5:$E$204,MATCH(G586,Services!$A$5:$A$204,0))*1,0)+IFERROR(INDEX(Services!$F$5:$F$204,MATCH(G586,Services!$A$5:$A$204,0))*1,0)))</f>
        <v>0</v>
      </c>
      <c r="V586" s="36">
        <f>IF(B586="","",IF(D586="","",D586+U586/1440))</f>
        <v>0</v>
      </c>
      <c r="W586" s="25">
        <f>IF(B586="","",IF(D586="","",HOUR(D586)))</f>
        <v>0</v>
      </c>
      <c r="X586" s="37">
        <f>IF(B586="","",ROUND(U586/60,2))</f>
        <v>0</v>
      </c>
      <c r="Y586" s="26">
        <f>IF(B586="","",IF(L586&lt;&gt;"",L586,IFERROR(INDEX(Services!$G$5:$G$204,MATCH(G586,Services!$A$5:$A$204,0))*1,0)))</f>
        <v>0</v>
      </c>
      <c r="Z586" s="26">
        <f>IF(B586="","",IF(O586&lt;&gt;"",O586,IF(Y586&gt;=DepositThreshold,ROUND(Y586*DepositPercent,2),0)))</f>
        <v>0</v>
      </c>
      <c r="AA586" s="26">
        <f>IF(B586="","",ROUND(SUMIFS(Payments!$G$5:$G$1204,Payments!$I$5:$I$1204,A586,Payments!$E$5:$E$1204,"Deposit"),2))</f>
        <v>0</v>
      </c>
      <c r="AB586" s="26">
        <f>IF(B586="","",ROUND(SUMIFS(Sales!$Y$5:$Y$1204,Sales!$C$5:$C$1204,A586),2))</f>
        <v>0</v>
      </c>
      <c r="AC586" s="38">
        <f>IF(B586="","",IF(M586="Completed","Yes",IF(M586="Cancelled","Yes",IF(M586="No show","Yes","No"))))</f>
        <v>0</v>
      </c>
      <c r="AD586" s="25">
        <f>IF(B586="","",IF(AE586="","",B586-AE586))</f>
        <v>0</v>
      </c>
      <c r="AF586" s="38">
        <f>IF(B586="","",IF(M586&lt;&gt;"Completed","",IF(E586="","No",IF(COUNTIFS(Appointments!$E$5:$E$1204,E586,Appointments!$B$5:$B$1204,"&gt;"&amp;B586,Appointments!$M$5:$M$1204,"&lt;&gt;Cancelled")&gt;0,"Yes","No"))))</f>
        <v>0</v>
      </c>
      <c r="AG586" s="38">
        <f>IF(B586="","",IF(I586="","",IF(D586="","",IF(COUNTIFS($I$5:$I$1204,I586,$B$5:$B$1204,B586,$D$5:$D$1204,"&lt;"&amp;V586,$V$5:$V$1204,"&gt;"&amp;D586,$M$5:$M$1204,"&lt;&gt;Cancelled")&gt;1,"Clash",""))))</f>
        <v>0</v>
      </c>
      <c r="AH586" s="39">
        <f>IF(B586="","",IF(AG586="Clash","Clash - stylist double booked",IF(I586="","Assign - no stylist yet",IF(G586="","Add - no service chosen",IF(M586="No show","No show - charge the fee?",IF(M586="Cancelled","",IF(IF(M586="Completed",AB586&lt;Y586-0.004,FALSE),"Unpaid - nothing rung up for this visit",IF(IF(B586&lt;TodayDate,M586="Booked",FALSE),"Overdue - past date, still only Booked",IF(IF(B586=TodayDate,TRUE,FALSE),"Today",IF(IF(Z586&gt;0,AA586&lt;Z586-0.004,FALSE),"Due - deposit not taken",IF(IF(B586&gt;TodayDate,B586&lt;=TodayDate+2,FALSE),"Confirm - coming up","OK")))))))))))</f>
        <v>0</v>
      </c>
    </row>
    <row r="587" spans="1:34">
      <c r="A587" s="28">
        <f>IF(B587="","",AppointmentPrefix&amp;TEXT(ROW()-4,"0000"))</f>
        <v>0</v>
      </c>
      <c r="C587" s="15">
        <f>IF(B587="","",TEXT(B587,"ddd"))</f>
        <v>0</v>
      </c>
      <c r="F587" s="15">
        <f>IF(E587="","",IFERROR(INDEX(Clients!$B$5:$B$504,MATCH(E587,Clients!$A$5:$A$504,0)),"Walk-in"))</f>
        <v>0</v>
      </c>
      <c r="H587" s="15">
        <f>IF(G587="","",IFERROR(INDEX(Services!$B$5:$B$204,MATCH(G587,Services!$A$5:$A$204,0)),"Not in Services"))</f>
        <v>0</v>
      </c>
      <c r="J587" s="15">
        <f>IF(I587="","",IFERROR(INDEX(Staff!$B$5:$B$44,MATCH(I587,Staff!$A$5:$A$44,0)),"Unassigned"))</f>
        <v>0</v>
      </c>
      <c r="S587" s="15">
        <f>IF(B587="","",TEXT(B587,"yyyy-mm"))</f>
        <v>0</v>
      </c>
      <c r="T587" s="25">
        <f>IF(B587="","",WEEKNUM(B587,2))</f>
        <v>0</v>
      </c>
      <c r="U587" s="25">
        <f>IF(B587="","",IF(K587&lt;&gt;"",K587,IFERROR(INDEX(Services!$E$5:$E$204,MATCH(G587,Services!$A$5:$A$204,0))*1,0)+IFERROR(INDEX(Services!$F$5:$F$204,MATCH(G587,Services!$A$5:$A$204,0))*1,0)))</f>
        <v>0</v>
      </c>
      <c r="V587" s="36">
        <f>IF(B587="","",IF(D587="","",D587+U587/1440))</f>
        <v>0</v>
      </c>
      <c r="W587" s="25">
        <f>IF(B587="","",IF(D587="","",HOUR(D587)))</f>
        <v>0</v>
      </c>
      <c r="X587" s="37">
        <f>IF(B587="","",ROUND(U587/60,2))</f>
        <v>0</v>
      </c>
      <c r="Y587" s="26">
        <f>IF(B587="","",IF(L587&lt;&gt;"",L587,IFERROR(INDEX(Services!$G$5:$G$204,MATCH(G587,Services!$A$5:$A$204,0))*1,0)))</f>
        <v>0</v>
      </c>
      <c r="Z587" s="26">
        <f>IF(B587="","",IF(O587&lt;&gt;"",O587,IF(Y587&gt;=DepositThreshold,ROUND(Y587*DepositPercent,2),0)))</f>
        <v>0</v>
      </c>
      <c r="AA587" s="26">
        <f>IF(B587="","",ROUND(SUMIFS(Payments!$G$5:$G$1204,Payments!$I$5:$I$1204,A587,Payments!$E$5:$E$1204,"Deposit"),2))</f>
        <v>0</v>
      </c>
      <c r="AB587" s="26">
        <f>IF(B587="","",ROUND(SUMIFS(Sales!$Y$5:$Y$1204,Sales!$C$5:$C$1204,A587),2))</f>
        <v>0</v>
      </c>
      <c r="AC587" s="38">
        <f>IF(B587="","",IF(M587="Completed","Yes",IF(M587="Cancelled","Yes",IF(M587="No show","Yes","No"))))</f>
        <v>0</v>
      </c>
      <c r="AD587" s="25">
        <f>IF(B587="","",IF(AE587="","",B587-AE587))</f>
        <v>0</v>
      </c>
      <c r="AF587" s="38">
        <f>IF(B587="","",IF(M587&lt;&gt;"Completed","",IF(E587="","No",IF(COUNTIFS(Appointments!$E$5:$E$1204,E587,Appointments!$B$5:$B$1204,"&gt;"&amp;B587,Appointments!$M$5:$M$1204,"&lt;&gt;Cancelled")&gt;0,"Yes","No"))))</f>
        <v>0</v>
      </c>
      <c r="AG587" s="38">
        <f>IF(B587="","",IF(I587="","",IF(D587="","",IF(COUNTIFS($I$5:$I$1204,I587,$B$5:$B$1204,B587,$D$5:$D$1204,"&lt;"&amp;V587,$V$5:$V$1204,"&gt;"&amp;D587,$M$5:$M$1204,"&lt;&gt;Cancelled")&gt;1,"Clash",""))))</f>
        <v>0</v>
      </c>
      <c r="AH587" s="39">
        <f>IF(B587="","",IF(AG587="Clash","Clash - stylist double booked",IF(I587="","Assign - no stylist yet",IF(G587="","Add - no service chosen",IF(M587="No show","No show - charge the fee?",IF(M587="Cancelled","",IF(IF(M587="Completed",AB587&lt;Y587-0.004,FALSE),"Unpaid - nothing rung up for this visit",IF(IF(B587&lt;TodayDate,M587="Booked",FALSE),"Overdue - past date, still only Booked",IF(IF(B587=TodayDate,TRUE,FALSE),"Today",IF(IF(Z587&gt;0,AA587&lt;Z587-0.004,FALSE),"Due - deposit not taken",IF(IF(B587&gt;TodayDate,B587&lt;=TodayDate+2,FALSE),"Confirm - coming up","OK")))))))))))</f>
        <v>0</v>
      </c>
    </row>
    <row r="588" spans="1:34">
      <c r="A588" s="28">
        <f>IF(B588="","",AppointmentPrefix&amp;TEXT(ROW()-4,"0000"))</f>
        <v>0</v>
      </c>
      <c r="C588" s="15">
        <f>IF(B588="","",TEXT(B588,"ddd"))</f>
        <v>0</v>
      </c>
      <c r="F588" s="15">
        <f>IF(E588="","",IFERROR(INDEX(Clients!$B$5:$B$504,MATCH(E588,Clients!$A$5:$A$504,0)),"Walk-in"))</f>
        <v>0</v>
      </c>
      <c r="H588" s="15">
        <f>IF(G588="","",IFERROR(INDEX(Services!$B$5:$B$204,MATCH(G588,Services!$A$5:$A$204,0)),"Not in Services"))</f>
        <v>0</v>
      </c>
      <c r="J588" s="15">
        <f>IF(I588="","",IFERROR(INDEX(Staff!$B$5:$B$44,MATCH(I588,Staff!$A$5:$A$44,0)),"Unassigned"))</f>
        <v>0</v>
      </c>
      <c r="S588" s="15">
        <f>IF(B588="","",TEXT(B588,"yyyy-mm"))</f>
        <v>0</v>
      </c>
      <c r="T588" s="25">
        <f>IF(B588="","",WEEKNUM(B588,2))</f>
        <v>0</v>
      </c>
      <c r="U588" s="25">
        <f>IF(B588="","",IF(K588&lt;&gt;"",K588,IFERROR(INDEX(Services!$E$5:$E$204,MATCH(G588,Services!$A$5:$A$204,0))*1,0)+IFERROR(INDEX(Services!$F$5:$F$204,MATCH(G588,Services!$A$5:$A$204,0))*1,0)))</f>
        <v>0</v>
      </c>
      <c r="V588" s="36">
        <f>IF(B588="","",IF(D588="","",D588+U588/1440))</f>
        <v>0</v>
      </c>
      <c r="W588" s="25">
        <f>IF(B588="","",IF(D588="","",HOUR(D588)))</f>
        <v>0</v>
      </c>
      <c r="X588" s="37">
        <f>IF(B588="","",ROUND(U588/60,2))</f>
        <v>0</v>
      </c>
      <c r="Y588" s="26">
        <f>IF(B588="","",IF(L588&lt;&gt;"",L588,IFERROR(INDEX(Services!$G$5:$G$204,MATCH(G588,Services!$A$5:$A$204,0))*1,0)))</f>
        <v>0</v>
      </c>
      <c r="Z588" s="26">
        <f>IF(B588="","",IF(O588&lt;&gt;"",O588,IF(Y588&gt;=DepositThreshold,ROUND(Y588*DepositPercent,2),0)))</f>
        <v>0</v>
      </c>
      <c r="AA588" s="26">
        <f>IF(B588="","",ROUND(SUMIFS(Payments!$G$5:$G$1204,Payments!$I$5:$I$1204,A588,Payments!$E$5:$E$1204,"Deposit"),2))</f>
        <v>0</v>
      </c>
      <c r="AB588" s="26">
        <f>IF(B588="","",ROUND(SUMIFS(Sales!$Y$5:$Y$1204,Sales!$C$5:$C$1204,A588),2))</f>
        <v>0</v>
      </c>
      <c r="AC588" s="38">
        <f>IF(B588="","",IF(M588="Completed","Yes",IF(M588="Cancelled","Yes",IF(M588="No show","Yes","No"))))</f>
        <v>0</v>
      </c>
      <c r="AD588" s="25">
        <f>IF(B588="","",IF(AE588="","",B588-AE588))</f>
        <v>0</v>
      </c>
      <c r="AF588" s="38">
        <f>IF(B588="","",IF(M588&lt;&gt;"Completed","",IF(E588="","No",IF(COUNTIFS(Appointments!$E$5:$E$1204,E588,Appointments!$B$5:$B$1204,"&gt;"&amp;B588,Appointments!$M$5:$M$1204,"&lt;&gt;Cancelled")&gt;0,"Yes","No"))))</f>
        <v>0</v>
      </c>
      <c r="AG588" s="38">
        <f>IF(B588="","",IF(I588="","",IF(D588="","",IF(COUNTIFS($I$5:$I$1204,I588,$B$5:$B$1204,B588,$D$5:$D$1204,"&lt;"&amp;V588,$V$5:$V$1204,"&gt;"&amp;D588,$M$5:$M$1204,"&lt;&gt;Cancelled")&gt;1,"Clash",""))))</f>
        <v>0</v>
      </c>
      <c r="AH588" s="39">
        <f>IF(B588="","",IF(AG588="Clash","Clash - stylist double booked",IF(I588="","Assign - no stylist yet",IF(G588="","Add - no service chosen",IF(M588="No show","No show - charge the fee?",IF(M588="Cancelled","",IF(IF(M588="Completed",AB588&lt;Y588-0.004,FALSE),"Unpaid - nothing rung up for this visit",IF(IF(B588&lt;TodayDate,M588="Booked",FALSE),"Overdue - past date, still only Booked",IF(IF(B588=TodayDate,TRUE,FALSE),"Today",IF(IF(Z588&gt;0,AA588&lt;Z588-0.004,FALSE),"Due - deposit not taken",IF(IF(B588&gt;TodayDate,B588&lt;=TodayDate+2,FALSE),"Confirm - coming up","OK")))))))))))</f>
        <v>0</v>
      </c>
    </row>
    <row r="589" spans="1:34">
      <c r="A589" s="28">
        <f>IF(B589="","",AppointmentPrefix&amp;TEXT(ROW()-4,"0000"))</f>
        <v>0</v>
      </c>
      <c r="C589" s="15">
        <f>IF(B589="","",TEXT(B589,"ddd"))</f>
        <v>0</v>
      </c>
      <c r="F589" s="15">
        <f>IF(E589="","",IFERROR(INDEX(Clients!$B$5:$B$504,MATCH(E589,Clients!$A$5:$A$504,0)),"Walk-in"))</f>
        <v>0</v>
      </c>
      <c r="H589" s="15">
        <f>IF(G589="","",IFERROR(INDEX(Services!$B$5:$B$204,MATCH(G589,Services!$A$5:$A$204,0)),"Not in Services"))</f>
        <v>0</v>
      </c>
      <c r="J589" s="15">
        <f>IF(I589="","",IFERROR(INDEX(Staff!$B$5:$B$44,MATCH(I589,Staff!$A$5:$A$44,0)),"Unassigned"))</f>
        <v>0</v>
      </c>
      <c r="S589" s="15">
        <f>IF(B589="","",TEXT(B589,"yyyy-mm"))</f>
        <v>0</v>
      </c>
      <c r="T589" s="25">
        <f>IF(B589="","",WEEKNUM(B589,2))</f>
        <v>0</v>
      </c>
      <c r="U589" s="25">
        <f>IF(B589="","",IF(K589&lt;&gt;"",K589,IFERROR(INDEX(Services!$E$5:$E$204,MATCH(G589,Services!$A$5:$A$204,0))*1,0)+IFERROR(INDEX(Services!$F$5:$F$204,MATCH(G589,Services!$A$5:$A$204,0))*1,0)))</f>
        <v>0</v>
      </c>
      <c r="V589" s="36">
        <f>IF(B589="","",IF(D589="","",D589+U589/1440))</f>
        <v>0</v>
      </c>
      <c r="W589" s="25">
        <f>IF(B589="","",IF(D589="","",HOUR(D589)))</f>
        <v>0</v>
      </c>
      <c r="X589" s="37">
        <f>IF(B589="","",ROUND(U589/60,2))</f>
        <v>0</v>
      </c>
      <c r="Y589" s="26">
        <f>IF(B589="","",IF(L589&lt;&gt;"",L589,IFERROR(INDEX(Services!$G$5:$G$204,MATCH(G589,Services!$A$5:$A$204,0))*1,0)))</f>
        <v>0</v>
      </c>
      <c r="Z589" s="26">
        <f>IF(B589="","",IF(O589&lt;&gt;"",O589,IF(Y589&gt;=DepositThreshold,ROUND(Y589*DepositPercent,2),0)))</f>
        <v>0</v>
      </c>
      <c r="AA589" s="26">
        <f>IF(B589="","",ROUND(SUMIFS(Payments!$G$5:$G$1204,Payments!$I$5:$I$1204,A589,Payments!$E$5:$E$1204,"Deposit"),2))</f>
        <v>0</v>
      </c>
      <c r="AB589" s="26">
        <f>IF(B589="","",ROUND(SUMIFS(Sales!$Y$5:$Y$1204,Sales!$C$5:$C$1204,A589),2))</f>
        <v>0</v>
      </c>
      <c r="AC589" s="38">
        <f>IF(B589="","",IF(M589="Completed","Yes",IF(M589="Cancelled","Yes",IF(M589="No show","Yes","No"))))</f>
        <v>0</v>
      </c>
      <c r="AD589" s="25">
        <f>IF(B589="","",IF(AE589="","",B589-AE589))</f>
        <v>0</v>
      </c>
      <c r="AF589" s="38">
        <f>IF(B589="","",IF(M589&lt;&gt;"Completed","",IF(E589="","No",IF(COUNTIFS(Appointments!$E$5:$E$1204,E589,Appointments!$B$5:$B$1204,"&gt;"&amp;B589,Appointments!$M$5:$M$1204,"&lt;&gt;Cancelled")&gt;0,"Yes","No"))))</f>
        <v>0</v>
      </c>
      <c r="AG589" s="38">
        <f>IF(B589="","",IF(I589="","",IF(D589="","",IF(COUNTIFS($I$5:$I$1204,I589,$B$5:$B$1204,B589,$D$5:$D$1204,"&lt;"&amp;V589,$V$5:$V$1204,"&gt;"&amp;D589,$M$5:$M$1204,"&lt;&gt;Cancelled")&gt;1,"Clash",""))))</f>
        <v>0</v>
      </c>
      <c r="AH589" s="39">
        <f>IF(B589="","",IF(AG589="Clash","Clash - stylist double booked",IF(I589="","Assign - no stylist yet",IF(G589="","Add - no service chosen",IF(M589="No show","No show - charge the fee?",IF(M589="Cancelled","",IF(IF(M589="Completed",AB589&lt;Y589-0.004,FALSE),"Unpaid - nothing rung up for this visit",IF(IF(B589&lt;TodayDate,M589="Booked",FALSE),"Overdue - past date, still only Booked",IF(IF(B589=TodayDate,TRUE,FALSE),"Today",IF(IF(Z589&gt;0,AA589&lt;Z589-0.004,FALSE),"Due - deposit not taken",IF(IF(B589&gt;TodayDate,B589&lt;=TodayDate+2,FALSE),"Confirm - coming up","OK")))))))))))</f>
        <v>0</v>
      </c>
    </row>
    <row r="590" spans="1:34">
      <c r="A590" s="28">
        <f>IF(B590="","",AppointmentPrefix&amp;TEXT(ROW()-4,"0000"))</f>
        <v>0</v>
      </c>
      <c r="C590" s="15">
        <f>IF(B590="","",TEXT(B590,"ddd"))</f>
        <v>0</v>
      </c>
      <c r="F590" s="15">
        <f>IF(E590="","",IFERROR(INDEX(Clients!$B$5:$B$504,MATCH(E590,Clients!$A$5:$A$504,0)),"Walk-in"))</f>
        <v>0</v>
      </c>
      <c r="H590" s="15">
        <f>IF(G590="","",IFERROR(INDEX(Services!$B$5:$B$204,MATCH(G590,Services!$A$5:$A$204,0)),"Not in Services"))</f>
        <v>0</v>
      </c>
      <c r="J590" s="15">
        <f>IF(I590="","",IFERROR(INDEX(Staff!$B$5:$B$44,MATCH(I590,Staff!$A$5:$A$44,0)),"Unassigned"))</f>
        <v>0</v>
      </c>
      <c r="S590" s="15">
        <f>IF(B590="","",TEXT(B590,"yyyy-mm"))</f>
        <v>0</v>
      </c>
      <c r="T590" s="25">
        <f>IF(B590="","",WEEKNUM(B590,2))</f>
        <v>0</v>
      </c>
      <c r="U590" s="25">
        <f>IF(B590="","",IF(K590&lt;&gt;"",K590,IFERROR(INDEX(Services!$E$5:$E$204,MATCH(G590,Services!$A$5:$A$204,0))*1,0)+IFERROR(INDEX(Services!$F$5:$F$204,MATCH(G590,Services!$A$5:$A$204,0))*1,0)))</f>
        <v>0</v>
      </c>
      <c r="V590" s="36">
        <f>IF(B590="","",IF(D590="","",D590+U590/1440))</f>
        <v>0</v>
      </c>
      <c r="W590" s="25">
        <f>IF(B590="","",IF(D590="","",HOUR(D590)))</f>
        <v>0</v>
      </c>
      <c r="X590" s="37">
        <f>IF(B590="","",ROUND(U590/60,2))</f>
        <v>0</v>
      </c>
      <c r="Y590" s="26">
        <f>IF(B590="","",IF(L590&lt;&gt;"",L590,IFERROR(INDEX(Services!$G$5:$G$204,MATCH(G590,Services!$A$5:$A$204,0))*1,0)))</f>
        <v>0</v>
      </c>
      <c r="Z590" s="26">
        <f>IF(B590="","",IF(O590&lt;&gt;"",O590,IF(Y590&gt;=DepositThreshold,ROUND(Y590*DepositPercent,2),0)))</f>
        <v>0</v>
      </c>
      <c r="AA590" s="26">
        <f>IF(B590="","",ROUND(SUMIFS(Payments!$G$5:$G$1204,Payments!$I$5:$I$1204,A590,Payments!$E$5:$E$1204,"Deposit"),2))</f>
        <v>0</v>
      </c>
      <c r="AB590" s="26">
        <f>IF(B590="","",ROUND(SUMIFS(Sales!$Y$5:$Y$1204,Sales!$C$5:$C$1204,A590),2))</f>
        <v>0</v>
      </c>
      <c r="AC590" s="38">
        <f>IF(B590="","",IF(M590="Completed","Yes",IF(M590="Cancelled","Yes",IF(M590="No show","Yes","No"))))</f>
        <v>0</v>
      </c>
      <c r="AD590" s="25">
        <f>IF(B590="","",IF(AE590="","",B590-AE590))</f>
        <v>0</v>
      </c>
      <c r="AF590" s="38">
        <f>IF(B590="","",IF(M590&lt;&gt;"Completed","",IF(E590="","No",IF(COUNTIFS(Appointments!$E$5:$E$1204,E590,Appointments!$B$5:$B$1204,"&gt;"&amp;B590,Appointments!$M$5:$M$1204,"&lt;&gt;Cancelled")&gt;0,"Yes","No"))))</f>
        <v>0</v>
      </c>
      <c r="AG590" s="38">
        <f>IF(B590="","",IF(I590="","",IF(D590="","",IF(COUNTIFS($I$5:$I$1204,I590,$B$5:$B$1204,B590,$D$5:$D$1204,"&lt;"&amp;V590,$V$5:$V$1204,"&gt;"&amp;D590,$M$5:$M$1204,"&lt;&gt;Cancelled")&gt;1,"Clash",""))))</f>
        <v>0</v>
      </c>
      <c r="AH590" s="39">
        <f>IF(B590="","",IF(AG590="Clash","Clash - stylist double booked",IF(I590="","Assign - no stylist yet",IF(G590="","Add - no service chosen",IF(M590="No show","No show - charge the fee?",IF(M590="Cancelled","",IF(IF(M590="Completed",AB590&lt;Y590-0.004,FALSE),"Unpaid - nothing rung up for this visit",IF(IF(B590&lt;TodayDate,M590="Booked",FALSE),"Overdue - past date, still only Booked",IF(IF(B590=TodayDate,TRUE,FALSE),"Today",IF(IF(Z590&gt;0,AA590&lt;Z590-0.004,FALSE),"Due - deposit not taken",IF(IF(B590&gt;TodayDate,B590&lt;=TodayDate+2,FALSE),"Confirm - coming up","OK")))))))))))</f>
        <v>0</v>
      </c>
    </row>
    <row r="591" spans="1:34">
      <c r="A591" s="28">
        <f>IF(B591="","",AppointmentPrefix&amp;TEXT(ROW()-4,"0000"))</f>
        <v>0</v>
      </c>
      <c r="C591" s="15">
        <f>IF(B591="","",TEXT(B591,"ddd"))</f>
        <v>0</v>
      </c>
      <c r="F591" s="15">
        <f>IF(E591="","",IFERROR(INDEX(Clients!$B$5:$B$504,MATCH(E591,Clients!$A$5:$A$504,0)),"Walk-in"))</f>
        <v>0</v>
      </c>
      <c r="H591" s="15">
        <f>IF(G591="","",IFERROR(INDEX(Services!$B$5:$B$204,MATCH(G591,Services!$A$5:$A$204,0)),"Not in Services"))</f>
        <v>0</v>
      </c>
      <c r="J591" s="15">
        <f>IF(I591="","",IFERROR(INDEX(Staff!$B$5:$B$44,MATCH(I591,Staff!$A$5:$A$44,0)),"Unassigned"))</f>
        <v>0</v>
      </c>
      <c r="S591" s="15">
        <f>IF(B591="","",TEXT(B591,"yyyy-mm"))</f>
        <v>0</v>
      </c>
      <c r="T591" s="25">
        <f>IF(B591="","",WEEKNUM(B591,2))</f>
        <v>0</v>
      </c>
      <c r="U591" s="25">
        <f>IF(B591="","",IF(K591&lt;&gt;"",K591,IFERROR(INDEX(Services!$E$5:$E$204,MATCH(G591,Services!$A$5:$A$204,0))*1,0)+IFERROR(INDEX(Services!$F$5:$F$204,MATCH(G591,Services!$A$5:$A$204,0))*1,0)))</f>
        <v>0</v>
      </c>
      <c r="V591" s="36">
        <f>IF(B591="","",IF(D591="","",D591+U591/1440))</f>
        <v>0</v>
      </c>
      <c r="W591" s="25">
        <f>IF(B591="","",IF(D591="","",HOUR(D591)))</f>
        <v>0</v>
      </c>
      <c r="X591" s="37">
        <f>IF(B591="","",ROUND(U591/60,2))</f>
        <v>0</v>
      </c>
      <c r="Y591" s="26">
        <f>IF(B591="","",IF(L591&lt;&gt;"",L591,IFERROR(INDEX(Services!$G$5:$G$204,MATCH(G591,Services!$A$5:$A$204,0))*1,0)))</f>
        <v>0</v>
      </c>
      <c r="Z591" s="26">
        <f>IF(B591="","",IF(O591&lt;&gt;"",O591,IF(Y591&gt;=DepositThreshold,ROUND(Y591*DepositPercent,2),0)))</f>
        <v>0</v>
      </c>
      <c r="AA591" s="26">
        <f>IF(B591="","",ROUND(SUMIFS(Payments!$G$5:$G$1204,Payments!$I$5:$I$1204,A591,Payments!$E$5:$E$1204,"Deposit"),2))</f>
        <v>0</v>
      </c>
      <c r="AB591" s="26">
        <f>IF(B591="","",ROUND(SUMIFS(Sales!$Y$5:$Y$1204,Sales!$C$5:$C$1204,A591),2))</f>
        <v>0</v>
      </c>
      <c r="AC591" s="38">
        <f>IF(B591="","",IF(M591="Completed","Yes",IF(M591="Cancelled","Yes",IF(M591="No show","Yes","No"))))</f>
        <v>0</v>
      </c>
      <c r="AD591" s="25">
        <f>IF(B591="","",IF(AE591="","",B591-AE591))</f>
        <v>0</v>
      </c>
      <c r="AF591" s="38">
        <f>IF(B591="","",IF(M591&lt;&gt;"Completed","",IF(E591="","No",IF(COUNTIFS(Appointments!$E$5:$E$1204,E591,Appointments!$B$5:$B$1204,"&gt;"&amp;B591,Appointments!$M$5:$M$1204,"&lt;&gt;Cancelled")&gt;0,"Yes","No"))))</f>
        <v>0</v>
      </c>
      <c r="AG591" s="38">
        <f>IF(B591="","",IF(I591="","",IF(D591="","",IF(COUNTIFS($I$5:$I$1204,I591,$B$5:$B$1204,B591,$D$5:$D$1204,"&lt;"&amp;V591,$V$5:$V$1204,"&gt;"&amp;D591,$M$5:$M$1204,"&lt;&gt;Cancelled")&gt;1,"Clash",""))))</f>
        <v>0</v>
      </c>
      <c r="AH591" s="39">
        <f>IF(B591="","",IF(AG591="Clash","Clash - stylist double booked",IF(I591="","Assign - no stylist yet",IF(G591="","Add - no service chosen",IF(M591="No show","No show - charge the fee?",IF(M591="Cancelled","",IF(IF(M591="Completed",AB591&lt;Y591-0.004,FALSE),"Unpaid - nothing rung up for this visit",IF(IF(B591&lt;TodayDate,M591="Booked",FALSE),"Overdue - past date, still only Booked",IF(IF(B591=TodayDate,TRUE,FALSE),"Today",IF(IF(Z591&gt;0,AA591&lt;Z591-0.004,FALSE),"Due - deposit not taken",IF(IF(B591&gt;TodayDate,B591&lt;=TodayDate+2,FALSE),"Confirm - coming up","OK")))))))))))</f>
        <v>0</v>
      </c>
    </row>
    <row r="592" spans="1:34">
      <c r="A592" s="28">
        <f>IF(B592="","",AppointmentPrefix&amp;TEXT(ROW()-4,"0000"))</f>
        <v>0</v>
      </c>
      <c r="C592" s="15">
        <f>IF(B592="","",TEXT(B592,"ddd"))</f>
        <v>0</v>
      </c>
      <c r="F592" s="15">
        <f>IF(E592="","",IFERROR(INDEX(Clients!$B$5:$B$504,MATCH(E592,Clients!$A$5:$A$504,0)),"Walk-in"))</f>
        <v>0</v>
      </c>
      <c r="H592" s="15">
        <f>IF(G592="","",IFERROR(INDEX(Services!$B$5:$B$204,MATCH(G592,Services!$A$5:$A$204,0)),"Not in Services"))</f>
        <v>0</v>
      </c>
      <c r="J592" s="15">
        <f>IF(I592="","",IFERROR(INDEX(Staff!$B$5:$B$44,MATCH(I592,Staff!$A$5:$A$44,0)),"Unassigned"))</f>
        <v>0</v>
      </c>
      <c r="S592" s="15">
        <f>IF(B592="","",TEXT(B592,"yyyy-mm"))</f>
        <v>0</v>
      </c>
      <c r="T592" s="25">
        <f>IF(B592="","",WEEKNUM(B592,2))</f>
        <v>0</v>
      </c>
      <c r="U592" s="25">
        <f>IF(B592="","",IF(K592&lt;&gt;"",K592,IFERROR(INDEX(Services!$E$5:$E$204,MATCH(G592,Services!$A$5:$A$204,0))*1,0)+IFERROR(INDEX(Services!$F$5:$F$204,MATCH(G592,Services!$A$5:$A$204,0))*1,0)))</f>
        <v>0</v>
      </c>
      <c r="V592" s="36">
        <f>IF(B592="","",IF(D592="","",D592+U592/1440))</f>
        <v>0</v>
      </c>
      <c r="W592" s="25">
        <f>IF(B592="","",IF(D592="","",HOUR(D592)))</f>
        <v>0</v>
      </c>
      <c r="X592" s="37">
        <f>IF(B592="","",ROUND(U592/60,2))</f>
        <v>0</v>
      </c>
      <c r="Y592" s="26">
        <f>IF(B592="","",IF(L592&lt;&gt;"",L592,IFERROR(INDEX(Services!$G$5:$G$204,MATCH(G592,Services!$A$5:$A$204,0))*1,0)))</f>
        <v>0</v>
      </c>
      <c r="Z592" s="26">
        <f>IF(B592="","",IF(O592&lt;&gt;"",O592,IF(Y592&gt;=DepositThreshold,ROUND(Y592*DepositPercent,2),0)))</f>
        <v>0</v>
      </c>
      <c r="AA592" s="26">
        <f>IF(B592="","",ROUND(SUMIFS(Payments!$G$5:$G$1204,Payments!$I$5:$I$1204,A592,Payments!$E$5:$E$1204,"Deposit"),2))</f>
        <v>0</v>
      </c>
      <c r="AB592" s="26">
        <f>IF(B592="","",ROUND(SUMIFS(Sales!$Y$5:$Y$1204,Sales!$C$5:$C$1204,A592),2))</f>
        <v>0</v>
      </c>
      <c r="AC592" s="38">
        <f>IF(B592="","",IF(M592="Completed","Yes",IF(M592="Cancelled","Yes",IF(M592="No show","Yes","No"))))</f>
        <v>0</v>
      </c>
      <c r="AD592" s="25">
        <f>IF(B592="","",IF(AE592="","",B592-AE592))</f>
        <v>0</v>
      </c>
      <c r="AF592" s="38">
        <f>IF(B592="","",IF(M592&lt;&gt;"Completed","",IF(E592="","No",IF(COUNTIFS(Appointments!$E$5:$E$1204,E592,Appointments!$B$5:$B$1204,"&gt;"&amp;B592,Appointments!$M$5:$M$1204,"&lt;&gt;Cancelled")&gt;0,"Yes","No"))))</f>
        <v>0</v>
      </c>
      <c r="AG592" s="38">
        <f>IF(B592="","",IF(I592="","",IF(D592="","",IF(COUNTIFS($I$5:$I$1204,I592,$B$5:$B$1204,B592,$D$5:$D$1204,"&lt;"&amp;V592,$V$5:$V$1204,"&gt;"&amp;D592,$M$5:$M$1204,"&lt;&gt;Cancelled")&gt;1,"Clash",""))))</f>
        <v>0</v>
      </c>
      <c r="AH592" s="39">
        <f>IF(B592="","",IF(AG592="Clash","Clash - stylist double booked",IF(I592="","Assign - no stylist yet",IF(G592="","Add - no service chosen",IF(M592="No show","No show - charge the fee?",IF(M592="Cancelled","",IF(IF(M592="Completed",AB592&lt;Y592-0.004,FALSE),"Unpaid - nothing rung up for this visit",IF(IF(B592&lt;TodayDate,M592="Booked",FALSE),"Overdue - past date, still only Booked",IF(IF(B592=TodayDate,TRUE,FALSE),"Today",IF(IF(Z592&gt;0,AA592&lt;Z592-0.004,FALSE),"Due - deposit not taken",IF(IF(B592&gt;TodayDate,B592&lt;=TodayDate+2,FALSE),"Confirm - coming up","OK")))))))))))</f>
        <v>0</v>
      </c>
    </row>
    <row r="593" spans="1:34">
      <c r="A593" s="28">
        <f>IF(B593="","",AppointmentPrefix&amp;TEXT(ROW()-4,"0000"))</f>
        <v>0</v>
      </c>
      <c r="C593" s="15">
        <f>IF(B593="","",TEXT(B593,"ddd"))</f>
        <v>0</v>
      </c>
      <c r="F593" s="15">
        <f>IF(E593="","",IFERROR(INDEX(Clients!$B$5:$B$504,MATCH(E593,Clients!$A$5:$A$504,0)),"Walk-in"))</f>
        <v>0</v>
      </c>
      <c r="H593" s="15">
        <f>IF(G593="","",IFERROR(INDEX(Services!$B$5:$B$204,MATCH(G593,Services!$A$5:$A$204,0)),"Not in Services"))</f>
        <v>0</v>
      </c>
      <c r="J593" s="15">
        <f>IF(I593="","",IFERROR(INDEX(Staff!$B$5:$B$44,MATCH(I593,Staff!$A$5:$A$44,0)),"Unassigned"))</f>
        <v>0</v>
      </c>
      <c r="S593" s="15">
        <f>IF(B593="","",TEXT(B593,"yyyy-mm"))</f>
        <v>0</v>
      </c>
      <c r="T593" s="25">
        <f>IF(B593="","",WEEKNUM(B593,2))</f>
        <v>0</v>
      </c>
      <c r="U593" s="25">
        <f>IF(B593="","",IF(K593&lt;&gt;"",K593,IFERROR(INDEX(Services!$E$5:$E$204,MATCH(G593,Services!$A$5:$A$204,0))*1,0)+IFERROR(INDEX(Services!$F$5:$F$204,MATCH(G593,Services!$A$5:$A$204,0))*1,0)))</f>
        <v>0</v>
      </c>
      <c r="V593" s="36">
        <f>IF(B593="","",IF(D593="","",D593+U593/1440))</f>
        <v>0</v>
      </c>
      <c r="W593" s="25">
        <f>IF(B593="","",IF(D593="","",HOUR(D593)))</f>
        <v>0</v>
      </c>
      <c r="X593" s="37">
        <f>IF(B593="","",ROUND(U593/60,2))</f>
        <v>0</v>
      </c>
      <c r="Y593" s="26">
        <f>IF(B593="","",IF(L593&lt;&gt;"",L593,IFERROR(INDEX(Services!$G$5:$G$204,MATCH(G593,Services!$A$5:$A$204,0))*1,0)))</f>
        <v>0</v>
      </c>
      <c r="Z593" s="26">
        <f>IF(B593="","",IF(O593&lt;&gt;"",O593,IF(Y593&gt;=DepositThreshold,ROUND(Y593*DepositPercent,2),0)))</f>
        <v>0</v>
      </c>
      <c r="AA593" s="26">
        <f>IF(B593="","",ROUND(SUMIFS(Payments!$G$5:$G$1204,Payments!$I$5:$I$1204,A593,Payments!$E$5:$E$1204,"Deposit"),2))</f>
        <v>0</v>
      </c>
      <c r="AB593" s="26">
        <f>IF(B593="","",ROUND(SUMIFS(Sales!$Y$5:$Y$1204,Sales!$C$5:$C$1204,A593),2))</f>
        <v>0</v>
      </c>
      <c r="AC593" s="38">
        <f>IF(B593="","",IF(M593="Completed","Yes",IF(M593="Cancelled","Yes",IF(M593="No show","Yes","No"))))</f>
        <v>0</v>
      </c>
      <c r="AD593" s="25">
        <f>IF(B593="","",IF(AE593="","",B593-AE593))</f>
        <v>0</v>
      </c>
      <c r="AF593" s="38">
        <f>IF(B593="","",IF(M593&lt;&gt;"Completed","",IF(E593="","No",IF(COUNTIFS(Appointments!$E$5:$E$1204,E593,Appointments!$B$5:$B$1204,"&gt;"&amp;B593,Appointments!$M$5:$M$1204,"&lt;&gt;Cancelled")&gt;0,"Yes","No"))))</f>
        <v>0</v>
      </c>
      <c r="AG593" s="38">
        <f>IF(B593="","",IF(I593="","",IF(D593="","",IF(COUNTIFS($I$5:$I$1204,I593,$B$5:$B$1204,B593,$D$5:$D$1204,"&lt;"&amp;V593,$V$5:$V$1204,"&gt;"&amp;D593,$M$5:$M$1204,"&lt;&gt;Cancelled")&gt;1,"Clash",""))))</f>
        <v>0</v>
      </c>
      <c r="AH593" s="39">
        <f>IF(B593="","",IF(AG593="Clash","Clash - stylist double booked",IF(I593="","Assign - no stylist yet",IF(G593="","Add - no service chosen",IF(M593="No show","No show - charge the fee?",IF(M593="Cancelled","",IF(IF(M593="Completed",AB593&lt;Y593-0.004,FALSE),"Unpaid - nothing rung up for this visit",IF(IF(B593&lt;TodayDate,M593="Booked",FALSE),"Overdue - past date, still only Booked",IF(IF(B593=TodayDate,TRUE,FALSE),"Today",IF(IF(Z593&gt;0,AA593&lt;Z593-0.004,FALSE),"Due - deposit not taken",IF(IF(B593&gt;TodayDate,B593&lt;=TodayDate+2,FALSE),"Confirm - coming up","OK")))))))))))</f>
        <v>0</v>
      </c>
    </row>
    <row r="594" spans="1:34">
      <c r="A594" s="28">
        <f>IF(B594="","",AppointmentPrefix&amp;TEXT(ROW()-4,"0000"))</f>
        <v>0</v>
      </c>
      <c r="C594" s="15">
        <f>IF(B594="","",TEXT(B594,"ddd"))</f>
        <v>0</v>
      </c>
      <c r="F594" s="15">
        <f>IF(E594="","",IFERROR(INDEX(Clients!$B$5:$B$504,MATCH(E594,Clients!$A$5:$A$504,0)),"Walk-in"))</f>
        <v>0</v>
      </c>
      <c r="H594" s="15">
        <f>IF(G594="","",IFERROR(INDEX(Services!$B$5:$B$204,MATCH(G594,Services!$A$5:$A$204,0)),"Not in Services"))</f>
        <v>0</v>
      </c>
      <c r="J594" s="15">
        <f>IF(I594="","",IFERROR(INDEX(Staff!$B$5:$B$44,MATCH(I594,Staff!$A$5:$A$44,0)),"Unassigned"))</f>
        <v>0</v>
      </c>
      <c r="S594" s="15">
        <f>IF(B594="","",TEXT(B594,"yyyy-mm"))</f>
        <v>0</v>
      </c>
      <c r="T594" s="25">
        <f>IF(B594="","",WEEKNUM(B594,2))</f>
        <v>0</v>
      </c>
      <c r="U594" s="25">
        <f>IF(B594="","",IF(K594&lt;&gt;"",K594,IFERROR(INDEX(Services!$E$5:$E$204,MATCH(G594,Services!$A$5:$A$204,0))*1,0)+IFERROR(INDEX(Services!$F$5:$F$204,MATCH(G594,Services!$A$5:$A$204,0))*1,0)))</f>
        <v>0</v>
      </c>
      <c r="V594" s="36">
        <f>IF(B594="","",IF(D594="","",D594+U594/1440))</f>
        <v>0</v>
      </c>
      <c r="W594" s="25">
        <f>IF(B594="","",IF(D594="","",HOUR(D594)))</f>
        <v>0</v>
      </c>
      <c r="X594" s="37">
        <f>IF(B594="","",ROUND(U594/60,2))</f>
        <v>0</v>
      </c>
      <c r="Y594" s="26">
        <f>IF(B594="","",IF(L594&lt;&gt;"",L594,IFERROR(INDEX(Services!$G$5:$G$204,MATCH(G594,Services!$A$5:$A$204,0))*1,0)))</f>
        <v>0</v>
      </c>
      <c r="Z594" s="26">
        <f>IF(B594="","",IF(O594&lt;&gt;"",O594,IF(Y594&gt;=DepositThreshold,ROUND(Y594*DepositPercent,2),0)))</f>
        <v>0</v>
      </c>
      <c r="AA594" s="26">
        <f>IF(B594="","",ROUND(SUMIFS(Payments!$G$5:$G$1204,Payments!$I$5:$I$1204,A594,Payments!$E$5:$E$1204,"Deposit"),2))</f>
        <v>0</v>
      </c>
      <c r="AB594" s="26">
        <f>IF(B594="","",ROUND(SUMIFS(Sales!$Y$5:$Y$1204,Sales!$C$5:$C$1204,A594),2))</f>
        <v>0</v>
      </c>
      <c r="AC594" s="38">
        <f>IF(B594="","",IF(M594="Completed","Yes",IF(M594="Cancelled","Yes",IF(M594="No show","Yes","No"))))</f>
        <v>0</v>
      </c>
      <c r="AD594" s="25">
        <f>IF(B594="","",IF(AE594="","",B594-AE594))</f>
        <v>0</v>
      </c>
      <c r="AF594" s="38">
        <f>IF(B594="","",IF(M594&lt;&gt;"Completed","",IF(E594="","No",IF(COUNTIFS(Appointments!$E$5:$E$1204,E594,Appointments!$B$5:$B$1204,"&gt;"&amp;B594,Appointments!$M$5:$M$1204,"&lt;&gt;Cancelled")&gt;0,"Yes","No"))))</f>
        <v>0</v>
      </c>
      <c r="AG594" s="38">
        <f>IF(B594="","",IF(I594="","",IF(D594="","",IF(COUNTIFS($I$5:$I$1204,I594,$B$5:$B$1204,B594,$D$5:$D$1204,"&lt;"&amp;V594,$V$5:$V$1204,"&gt;"&amp;D594,$M$5:$M$1204,"&lt;&gt;Cancelled")&gt;1,"Clash",""))))</f>
        <v>0</v>
      </c>
      <c r="AH594" s="39">
        <f>IF(B594="","",IF(AG594="Clash","Clash - stylist double booked",IF(I594="","Assign - no stylist yet",IF(G594="","Add - no service chosen",IF(M594="No show","No show - charge the fee?",IF(M594="Cancelled","",IF(IF(M594="Completed",AB594&lt;Y594-0.004,FALSE),"Unpaid - nothing rung up for this visit",IF(IF(B594&lt;TodayDate,M594="Booked",FALSE),"Overdue - past date, still only Booked",IF(IF(B594=TodayDate,TRUE,FALSE),"Today",IF(IF(Z594&gt;0,AA594&lt;Z594-0.004,FALSE),"Due - deposit not taken",IF(IF(B594&gt;TodayDate,B594&lt;=TodayDate+2,FALSE),"Confirm - coming up","OK")))))))))))</f>
        <v>0</v>
      </c>
    </row>
    <row r="595" spans="1:34">
      <c r="A595" s="28">
        <f>IF(B595="","",AppointmentPrefix&amp;TEXT(ROW()-4,"0000"))</f>
        <v>0</v>
      </c>
      <c r="C595" s="15">
        <f>IF(B595="","",TEXT(B595,"ddd"))</f>
        <v>0</v>
      </c>
      <c r="F595" s="15">
        <f>IF(E595="","",IFERROR(INDEX(Clients!$B$5:$B$504,MATCH(E595,Clients!$A$5:$A$504,0)),"Walk-in"))</f>
        <v>0</v>
      </c>
      <c r="H595" s="15">
        <f>IF(G595="","",IFERROR(INDEX(Services!$B$5:$B$204,MATCH(G595,Services!$A$5:$A$204,0)),"Not in Services"))</f>
        <v>0</v>
      </c>
      <c r="J595" s="15">
        <f>IF(I595="","",IFERROR(INDEX(Staff!$B$5:$B$44,MATCH(I595,Staff!$A$5:$A$44,0)),"Unassigned"))</f>
        <v>0</v>
      </c>
      <c r="S595" s="15">
        <f>IF(B595="","",TEXT(B595,"yyyy-mm"))</f>
        <v>0</v>
      </c>
      <c r="T595" s="25">
        <f>IF(B595="","",WEEKNUM(B595,2))</f>
        <v>0</v>
      </c>
      <c r="U595" s="25">
        <f>IF(B595="","",IF(K595&lt;&gt;"",K595,IFERROR(INDEX(Services!$E$5:$E$204,MATCH(G595,Services!$A$5:$A$204,0))*1,0)+IFERROR(INDEX(Services!$F$5:$F$204,MATCH(G595,Services!$A$5:$A$204,0))*1,0)))</f>
        <v>0</v>
      </c>
      <c r="V595" s="36">
        <f>IF(B595="","",IF(D595="","",D595+U595/1440))</f>
        <v>0</v>
      </c>
      <c r="W595" s="25">
        <f>IF(B595="","",IF(D595="","",HOUR(D595)))</f>
        <v>0</v>
      </c>
      <c r="X595" s="37">
        <f>IF(B595="","",ROUND(U595/60,2))</f>
        <v>0</v>
      </c>
      <c r="Y595" s="26">
        <f>IF(B595="","",IF(L595&lt;&gt;"",L595,IFERROR(INDEX(Services!$G$5:$G$204,MATCH(G595,Services!$A$5:$A$204,0))*1,0)))</f>
        <v>0</v>
      </c>
      <c r="Z595" s="26">
        <f>IF(B595="","",IF(O595&lt;&gt;"",O595,IF(Y595&gt;=DepositThreshold,ROUND(Y595*DepositPercent,2),0)))</f>
        <v>0</v>
      </c>
      <c r="AA595" s="26">
        <f>IF(B595="","",ROUND(SUMIFS(Payments!$G$5:$G$1204,Payments!$I$5:$I$1204,A595,Payments!$E$5:$E$1204,"Deposit"),2))</f>
        <v>0</v>
      </c>
      <c r="AB595" s="26">
        <f>IF(B595="","",ROUND(SUMIFS(Sales!$Y$5:$Y$1204,Sales!$C$5:$C$1204,A595),2))</f>
        <v>0</v>
      </c>
      <c r="AC595" s="38">
        <f>IF(B595="","",IF(M595="Completed","Yes",IF(M595="Cancelled","Yes",IF(M595="No show","Yes","No"))))</f>
        <v>0</v>
      </c>
      <c r="AD595" s="25">
        <f>IF(B595="","",IF(AE595="","",B595-AE595))</f>
        <v>0</v>
      </c>
      <c r="AF595" s="38">
        <f>IF(B595="","",IF(M595&lt;&gt;"Completed","",IF(E595="","No",IF(COUNTIFS(Appointments!$E$5:$E$1204,E595,Appointments!$B$5:$B$1204,"&gt;"&amp;B595,Appointments!$M$5:$M$1204,"&lt;&gt;Cancelled")&gt;0,"Yes","No"))))</f>
        <v>0</v>
      </c>
      <c r="AG595" s="38">
        <f>IF(B595="","",IF(I595="","",IF(D595="","",IF(COUNTIFS($I$5:$I$1204,I595,$B$5:$B$1204,B595,$D$5:$D$1204,"&lt;"&amp;V595,$V$5:$V$1204,"&gt;"&amp;D595,$M$5:$M$1204,"&lt;&gt;Cancelled")&gt;1,"Clash",""))))</f>
        <v>0</v>
      </c>
      <c r="AH595" s="39">
        <f>IF(B595="","",IF(AG595="Clash","Clash - stylist double booked",IF(I595="","Assign - no stylist yet",IF(G595="","Add - no service chosen",IF(M595="No show","No show - charge the fee?",IF(M595="Cancelled","",IF(IF(M595="Completed",AB595&lt;Y595-0.004,FALSE),"Unpaid - nothing rung up for this visit",IF(IF(B595&lt;TodayDate,M595="Booked",FALSE),"Overdue - past date, still only Booked",IF(IF(B595=TodayDate,TRUE,FALSE),"Today",IF(IF(Z595&gt;0,AA595&lt;Z595-0.004,FALSE),"Due - deposit not taken",IF(IF(B595&gt;TodayDate,B595&lt;=TodayDate+2,FALSE),"Confirm - coming up","OK")))))))))))</f>
        <v>0</v>
      </c>
    </row>
    <row r="596" spans="1:34">
      <c r="A596" s="28">
        <f>IF(B596="","",AppointmentPrefix&amp;TEXT(ROW()-4,"0000"))</f>
        <v>0</v>
      </c>
      <c r="C596" s="15">
        <f>IF(B596="","",TEXT(B596,"ddd"))</f>
        <v>0</v>
      </c>
      <c r="F596" s="15">
        <f>IF(E596="","",IFERROR(INDEX(Clients!$B$5:$B$504,MATCH(E596,Clients!$A$5:$A$504,0)),"Walk-in"))</f>
        <v>0</v>
      </c>
      <c r="H596" s="15">
        <f>IF(G596="","",IFERROR(INDEX(Services!$B$5:$B$204,MATCH(G596,Services!$A$5:$A$204,0)),"Not in Services"))</f>
        <v>0</v>
      </c>
      <c r="J596" s="15">
        <f>IF(I596="","",IFERROR(INDEX(Staff!$B$5:$B$44,MATCH(I596,Staff!$A$5:$A$44,0)),"Unassigned"))</f>
        <v>0</v>
      </c>
      <c r="S596" s="15">
        <f>IF(B596="","",TEXT(B596,"yyyy-mm"))</f>
        <v>0</v>
      </c>
      <c r="T596" s="25">
        <f>IF(B596="","",WEEKNUM(B596,2))</f>
        <v>0</v>
      </c>
      <c r="U596" s="25">
        <f>IF(B596="","",IF(K596&lt;&gt;"",K596,IFERROR(INDEX(Services!$E$5:$E$204,MATCH(G596,Services!$A$5:$A$204,0))*1,0)+IFERROR(INDEX(Services!$F$5:$F$204,MATCH(G596,Services!$A$5:$A$204,0))*1,0)))</f>
        <v>0</v>
      </c>
      <c r="V596" s="36">
        <f>IF(B596="","",IF(D596="","",D596+U596/1440))</f>
        <v>0</v>
      </c>
      <c r="W596" s="25">
        <f>IF(B596="","",IF(D596="","",HOUR(D596)))</f>
        <v>0</v>
      </c>
      <c r="X596" s="37">
        <f>IF(B596="","",ROUND(U596/60,2))</f>
        <v>0</v>
      </c>
      <c r="Y596" s="26">
        <f>IF(B596="","",IF(L596&lt;&gt;"",L596,IFERROR(INDEX(Services!$G$5:$G$204,MATCH(G596,Services!$A$5:$A$204,0))*1,0)))</f>
        <v>0</v>
      </c>
      <c r="Z596" s="26">
        <f>IF(B596="","",IF(O596&lt;&gt;"",O596,IF(Y596&gt;=DepositThreshold,ROUND(Y596*DepositPercent,2),0)))</f>
        <v>0</v>
      </c>
      <c r="AA596" s="26">
        <f>IF(B596="","",ROUND(SUMIFS(Payments!$G$5:$G$1204,Payments!$I$5:$I$1204,A596,Payments!$E$5:$E$1204,"Deposit"),2))</f>
        <v>0</v>
      </c>
      <c r="AB596" s="26">
        <f>IF(B596="","",ROUND(SUMIFS(Sales!$Y$5:$Y$1204,Sales!$C$5:$C$1204,A596),2))</f>
        <v>0</v>
      </c>
      <c r="AC596" s="38">
        <f>IF(B596="","",IF(M596="Completed","Yes",IF(M596="Cancelled","Yes",IF(M596="No show","Yes","No"))))</f>
        <v>0</v>
      </c>
      <c r="AD596" s="25">
        <f>IF(B596="","",IF(AE596="","",B596-AE596))</f>
        <v>0</v>
      </c>
      <c r="AF596" s="38">
        <f>IF(B596="","",IF(M596&lt;&gt;"Completed","",IF(E596="","No",IF(COUNTIFS(Appointments!$E$5:$E$1204,E596,Appointments!$B$5:$B$1204,"&gt;"&amp;B596,Appointments!$M$5:$M$1204,"&lt;&gt;Cancelled")&gt;0,"Yes","No"))))</f>
        <v>0</v>
      </c>
      <c r="AG596" s="38">
        <f>IF(B596="","",IF(I596="","",IF(D596="","",IF(COUNTIFS($I$5:$I$1204,I596,$B$5:$B$1204,B596,$D$5:$D$1204,"&lt;"&amp;V596,$V$5:$V$1204,"&gt;"&amp;D596,$M$5:$M$1204,"&lt;&gt;Cancelled")&gt;1,"Clash",""))))</f>
        <v>0</v>
      </c>
      <c r="AH596" s="39">
        <f>IF(B596="","",IF(AG596="Clash","Clash - stylist double booked",IF(I596="","Assign - no stylist yet",IF(G596="","Add - no service chosen",IF(M596="No show","No show - charge the fee?",IF(M596="Cancelled","",IF(IF(M596="Completed",AB596&lt;Y596-0.004,FALSE),"Unpaid - nothing rung up for this visit",IF(IF(B596&lt;TodayDate,M596="Booked",FALSE),"Overdue - past date, still only Booked",IF(IF(B596=TodayDate,TRUE,FALSE),"Today",IF(IF(Z596&gt;0,AA596&lt;Z596-0.004,FALSE),"Due - deposit not taken",IF(IF(B596&gt;TodayDate,B596&lt;=TodayDate+2,FALSE),"Confirm - coming up","OK")))))))))))</f>
        <v>0</v>
      </c>
    </row>
    <row r="597" spans="1:34">
      <c r="A597" s="28">
        <f>IF(B597="","",AppointmentPrefix&amp;TEXT(ROW()-4,"0000"))</f>
        <v>0</v>
      </c>
      <c r="C597" s="15">
        <f>IF(B597="","",TEXT(B597,"ddd"))</f>
        <v>0</v>
      </c>
      <c r="F597" s="15">
        <f>IF(E597="","",IFERROR(INDEX(Clients!$B$5:$B$504,MATCH(E597,Clients!$A$5:$A$504,0)),"Walk-in"))</f>
        <v>0</v>
      </c>
      <c r="H597" s="15">
        <f>IF(G597="","",IFERROR(INDEX(Services!$B$5:$B$204,MATCH(G597,Services!$A$5:$A$204,0)),"Not in Services"))</f>
        <v>0</v>
      </c>
      <c r="J597" s="15">
        <f>IF(I597="","",IFERROR(INDEX(Staff!$B$5:$B$44,MATCH(I597,Staff!$A$5:$A$44,0)),"Unassigned"))</f>
        <v>0</v>
      </c>
      <c r="S597" s="15">
        <f>IF(B597="","",TEXT(B597,"yyyy-mm"))</f>
        <v>0</v>
      </c>
      <c r="T597" s="25">
        <f>IF(B597="","",WEEKNUM(B597,2))</f>
        <v>0</v>
      </c>
      <c r="U597" s="25">
        <f>IF(B597="","",IF(K597&lt;&gt;"",K597,IFERROR(INDEX(Services!$E$5:$E$204,MATCH(G597,Services!$A$5:$A$204,0))*1,0)+IFERROR(INDEX(Services!$F$5:$F$204,MATCH(G597,Services!$A$5:$A$204,0))*1,0)))</f>
        <v>0</v>
      </c>
      <c r="V597" s="36">
        <f>IF(B597="","",IF(D597="","",D597+U597/1440))</f>
        <v>0</v>
      </c>
      <c r="W597" s="25">
        <f>IF(B597="","",IF(D597="","",HOUR(D597)))</f>
        <v>0</v>
      </c>
      <c r="X597" s="37">
        <f>IF(B597="","",ROUND(U597/60,2))</f>
        <v>0</v>
      </c>
      <c r="Y597" s="26">
        <f>IF(B597="","",IF(L597&lt;&gt;"",L597,IFERROR(INDEX(Services!$G$5:$G$204,MATCH(G597,Services!$A$5:$A$204,0))*1,0)))</f>
        <v>0</v>
      </c>
      <c r="Z597" s="26">
        <f>IF(B597="","",IF(O597&lt;&gt;"",O597,IF(Y597&gt;=DepositThreshold,ROUND(Y597*DepositPercent,2),0)))</f>
        <v>0</v>
      </c>
      <c r="AA597" s="26">
        <f>IF(B597="","",ROUND(SUMIFS(Payments!$G$5:$G$1204,Payments!$I$5:$I$1204,A597,Payments!$E$5:$E$1204,"Deposit"),2))</f>
        <v>0</v>
      </c>
      <c r="AB597" s="26">
        <f>IF(B597="","",ROUND(SUMIFS(Sales!$Y$5:$Y$1204,Sales!$C$5:$C$1204,A597),2))</f>
        <v>0</v>
      </c>
      <c r="AC597" s="38">
        <f>IF(B597="","",IF(M597="Completed","Yes",IF(M597="Cancelled","Yes",IF(M597="No show","Yes","No"))))</f>
        <v>0</v>
      </c>
      <c r="AD597" s="25">
        <f>IF(B597="","",IF(AE597="","",B597-AE597))</f>
        <v>0</v>
      </c>
      <c r="AF597" s="38">
        <f>IF(B597="","",IF(M597&lt;&gt;"Completed","",IF(E597="","No",IF(COUNTIFS(Appointments!$E$5:$E$1204,E597,Appointments!$B$5:$B$1204,"&gt;"&amp;B597,Appointments!$M$5:$M$1204,"&lt;&gt;Cancelled")&gt;0,"Yes","No"))))</f>
        <v>0</v>
      </c>
      <c r="AG597" s="38">
        <f>IF(B597="","",IF(I597="","",IF(D597="","",IF(COUNTIFS($I$5:$I$1204,I597,$B$5:$B$1204,B597,$D$5:$D$1204,"&lt;"&amp;V597,$V$5:$V$1204,"&gt;"&amp;D597,$M$5:$M$1204,"&lt;&gt;Cancelled")&gt;1,"Clash",""))))</f>
        <v>0</v>
      </c>
      <c r="AH597" s="39">
        <f>IF(B597="","",IF(AG597="Clash","Clash - stylist double booked",IF(I597="","Assign - no stylist yet",IF(G597="","Add - no service chosen",IF(M597="No show","No show - charge the fee?",IF(M597="Cancelled","",IF(IF(M597="Completed",AB597&lt;Y597-0.004,FALSE),"Unpaid - nothing rung up for this visit",IF(IF(B597&lt;TodayDate,M597="Booked",FALSE),"Overdue - past date, still only Booked",IF(IF(B597=TodayDate,TRUE,FALSE),"Today",IF(IF(Z597&gt;0,AA597&lt;Z597-0.004,FALSE),"Due - deposit not taken",IF(IF(B597&gt;TodayDate,B597&lt;=TodayDate+2,FALSE),"Confirm - coming up","OK")))))))))))</f>
        <v>0</v>
      </c>
    </row>
    <row r="598" spans="1:34">
      <c r="A598" s="28">
        <f>IF(B598="","",AppointmentPrefix&amp;TEXT(ROW()-4,"0000"))</f>
        <v>0</v>
      </c>
      <c r="C598" s="15">
        <f>IF(B598="","",TEXT(B598,"ddd"))</f>
        <v>0</v>
      </c>
      <c r="F598" s="15">
        <f>IF(E598="","",IFERROR(INDEX(Clients!$B$5:$B$504,MATCH(E598,Clients!$A$5:$A$504,0)),"Walk-in"))</f>
        <v>0</v>
      </c>
      <c r="H598" s="15">
        <f>IF(G598="","",IFERROR(INDEX(Services!$B$5:$B$204,MATCH(G598,Services!$A$5:$A$204,0)),"Not in Services"))</f>
        <v>0</v>
      </c>
      <c r="J598" s="15">
        <f>IF(I598="","",IFERROR(INDEX(Staff!$B$5:$B$44,MATCH(I598,Staff!$A$5:$A$44,0)),"Unassigned"))</f>
        <v>0</v>
      </c>
      <c r="S598" s="15">
        <f>IF(B598="","",TEXT(B598,"yyyy-mm"))</f>
        <v>0</v>
      </c>
      <c r="T598" s="25">
        <f>IF(B598="","",WEEKNUM(B598,2))</f>
        <v>0</v>
      </c>
      <c r="U598" s="25">
        <f>IF(B598="","",IF(K598&lt;&gt;"",K598,IFERROR(INDEX(Services!$E$5:$E$204,MATCH(G598,Services!$A$5:$A$204,0))*1,0)+IFERROR(INDEX(Services!$F$5:$F$204,MATCH(G598,Services!$A$5:$A$204,0))*1,0)))</f>
        <v>0</v>
      </c>
      <c r="V598" s="36">
        <f>IF(B598="","",IF(D598="","",D598+U598/1440))</f>
        <v>0</v>
      </c>
      <c r="W598" s="25">
        <f>IF(B598="","",IF(D598="","",HOUR(D598)))</f>
        <v>0</v>
      </c>
      <c r="X598" s="37">
        <f>IF(B598="","",ROUND(U598/60,2))</f>
        <v>0</v>
      </c>
      <c r="Y598" s="26">
        <f>IF(B598="","",IF(L598&lt;&gt;"",L598,IFERROR(INDEX(Services!$G$5:$G$204,MATCH(G598,Services!$A$5:$A$204,0))*1,0)))</f>
        <v>0</v>
      </c>
      <c r="Z598" s="26">
        <f>IF(B598="","",IF(O598&lt;&gt;"",O598,IF(Y598&gt;=DepositThreshold,ROUND(Y598*DepositPercent,2),0)))</f>
        <v>0</v>
      </c>
      <c r="AA598" s="26">
        <f>IF(B598="","",ROUND(SUMIFS(Payments!$G$5:$G$1204,Payments!$I$5:$I$1204,A598,Payments!$E$5:$E$1204,"Deposit"),2))</f>
        <v>0</v>
      </c>
      <c r="AB598" s="26">
        <f>IF(B598="","",ROUND(SUMIFS(Sales!$Y$5:$Y$1204,Sales!$C$5:$C$1204,A598),2))</f>
        <v>0</v>
      </c>
      <c r="AC598" s="38">
        <f>IF(B598="","",IF(M598="Completed","Yes",IF(M598="Cancelled","Yes",IF(M598="No show","Yes","No"))))</f>
        <v>0</v>
      </c>
      <c r="AD598" s="25">
        <f>IF(B598="","",IF(AE598="","",B598-AE598))</f>
        <v>0</v>
      </c>
      <c r="AF598" s="38">
        <f>IF(B598="","",IF(M598&lt;&gt;"Completed","",IF(E598="","No",IF(COUNTIFS(Appointments!$E$5:$E$1204,E598,Appointments!$B$5:$B$1204,"&gt;"&amp;B598,Appointments!$M$5:$M$1204,"&lt;&gt;Cancelled")&gt;0,"Yes","No"))))</f>
        <v>0</v>
      </c>
      <c r="AG598" s="38">
        <f>IF(B598="","",IF(I598="","",IF(D598="","",IF(COUNTIFS($I$5:$I$1204,I598,$B$5:$B$1204,B598,$D$5:$D$1204,"&lt;"&amp;V598,$V$5:$V$1204,"&gt;"&amp;D598,$M$5:$M$1204,"&lt;&gt;Cancelled")&gt;1,"Clash",""))))</f>
        <v>0</v>
      </c>
      <c r="AH598" s="39">
        <f>IF(B598="","",IF(AG598="Clash","Clash - stylist double booked",IF(I598="","Assign - no stylist yet",IF(G598="","Add - no service chosen",IF(M598="No show","No show - charge the fee?",IF(M598="Cancelled","",IF(IF(M598="Completed",AB598&lt;Y598-0.004,FALSE),"Unpaid - nothing rung up for this visit",IF(IF(B598&lt;TodayDate,M598="Booked",FALSE),"Overdue - past date, still only Booked",IF(IF(B598=TodayDate,TRUE,FALSE),"Today",IF(IF(Z598&gt;0,AA598&lt;Z598-0.004,FALSE),"Due - deposit not taken",IF(IF(B598&gt;TodayDate,B598&lt;=TodayDate+2,FALSE),"Confirm - coming up","OK")))))))))))</f>
        <v>0</v>
      </c>
    </row>
    <row r="599" spans="1:34">
      <c r="A599" s="28">
        <f>IF(B599="","",AppointmentPrefix&amp;TEXT(ROW()-4,"0000"))</f>
        <v>0</v>
      </c>
      <c r="C599" s="15">
        <f>IF(B599="","",TEXT(B599,"ddd"))</f>
        <v>0</v>
      </c>
      <c r="F599" s="15">
        <f>IF(E599="","",IFERROR(INDEX(Clients!$B$5:$B$504,MATCH(E599,Clients!$A$5:$A$504,0)),"Walk-in"))</f>
        <v>0</v>
      </c>
      <c r="H599" s="15">
        <f>IF(G599="","",IFERROR(INDEX(Services!$B$5:$B$204,MATCH(G599,Services!$A$5:$A$204,0)),"Not in Services"))</f>
        <v>0</v>
      </c>
      <c r="J599" s="15">
        <f>IF(I599="","",IFERROR(INDEX(Staff!$B$5:$B$44,MATCH(I599,Staff!$A$5:$A$44,0)),"Unassigned"))</f>
        <v>0</v>
      </c>
      <c r="S599" s="15">
        <f>IF(B599="","",TEXT(B599,"yyyy-mm"))</f>
        <v>0</v>
      </c>
      <c r="T599" s="25">
        <f>IF(B599="","",WEEKNUM(B599,2))</f>
        <v>0</v>
      </c>
      <c r="U599" s="25">
        <f>IF(B599="","",IF(K599&lt;&gt;"",K599,IFERROR(INDEX(Services!$E$5:$E$204,MATCH(G599,Services!$A$5:$A$204,0))*1,0)+IFERROR(INDEX(Services!$F$5:$F$204,MATCH(G599,Services!$A$5:$A$204,0))*1,0)))</f>
        <v>0</v>
      </c>
      <c r="V599" s="36">
        <f>IF(B599="","",IF(D599="","",D599+U599/1440))</f>
        <v>0</v>
      </c>
      <c r="W599" s="25">
        <f>IF(B599="","",IF(D599="","",HOUR(D599)))</f>
        <v>0</v>
      </c>
      <c r="X599" s="37">
        <f>IF(B599="","",ROUND(U599/60,2))</f>
        <v>0</v>
      </c>
      <c r="Y599" s="26">
        <f>IF(B599="","",IF(L599&lt;&gt;"",L599,IFERROR(INDEX(Services!$G$5:$G$204,MATCH(G599,Services!$A$5:$A$204,0))*1,0)))</f>
        <v>0</v>
      </c>
      <c r="Z599" s="26">
        <f>IF(B599="","",IF(O599&lt;&gt;"",O599,IF(Y599&gt;=DepositThreshold,ROUND(Y599*DepositPercent,2),0)))</f>
        <v>0</v>
      </c>
      <c r="AA599" s="26">
        <f>IF(B599="","",ROUND(SUMIFS(Payments!$G$5:$G$1204,Payments!$I$5:$I$1204,A599,Payments!$E$5:$E$1204,"Deposit"),2))</f>
        <v>0</v>
      </c>
      <c r="AB599" s="26">
        <f>IF(B599="","",ROUND(SUMIFS(Sales!$Y$5:$Y$1204,Sales!$C$5:$C$1204,A599),2))</f>
        <v>0</v>
      </c>
      <c r="AC599" s="38">
        <f>IF(B599="","",IF(M599="Completed","Yes",IF(M599="Cancelled","Yes",IF(M599="No show","Yes","No"))))</f>
        <v>0</v>
      </c>
      <c r="AD599" s="25">
        <f>IF(B599="","",IF(AE599="","",B599-AE599))</f>
        <v>0</v>
      </c>
      <c r="AF599" s="38">
        <f>IF(B599="","",IF(M599&lt;&gt;"Completed","",IF(E599="","No",IF(COUNTIFS(Appointments!$E$5:$E$1204,E599,Appointments!$B$5:$B$1204,"&gt;"&amp;B599,Appointments!$M$5:$M$1204,"&lt;&gt;Cancelled")&gt;0,"Yes","No"))))</f>
        <v>0</v>
      </c>
      <c r="AG599" s="38">
        <f>IF(B599="","",IF(I599="","",IF(D599="","",IF(COUNTIFS($I$5:$I$1204,I599,$B$5:$B$1204,B599,$D$5:$D$1204,"&lt;"&amp;V599,$V$5:$V$1204,"&gt;"&amp;D599,$M$5:$M$1204,"&lt;&gt;Cancelled")&gt;1,"Clash",""))))</f>
        <v>0</v>
      </c>
      <c r="AH599" s="39">
        <f>IF(B599="","",IF(AG599="Clash","Clash - stylist double booked",IF(I599="","Assign - no stylist yet",IF(G599="","Add - no service chosen",IF(M599="No show","No show - charge the fee?",IF(M599="Cancelled","",IF(IF(M599="Completed",AB599&lt;Y599-0.004,FALSE),"Unpaid - nothing rung up for this visit",IF(IF(B599&lt;TodayDate,M599="Booked",FALSE),"Overdue - past date, still only Booked",IF(IF(B599=TodayDate,TRUE,FALSE),"Today",IF(IF(Z599&gt;0,AA599&lt;Z599-0.004,FALSE),"Due - deposit not taken",IF(IF(B599&gt;TodayDate,B599&lt;=TodayDate+2,FALSE),"Confirm - coming up","OK")))))))))))</f>
        <v>0</v>
      </c>
    </row>
    <row r="600" spans="1:34">
      <c r="A600" s="28">
        <f>IF(B600="","",AppointmentPrefix&amp;TEXT(ROW()-4,"0000"))</f>
        <v>0</v>
      </c>
      <c r="C600" s="15">
        <f>IF(B600="","",TEXT(B600,"ddd"))</f>
        <v>0</v>
      </c>
      <c r="F600" s="15">
        <f>IF(E600="","",IFERROR(INDEX(Clients!$B$5:$B$504,MATCH(E600,Clients!$A$5:$A$504,0)),"Walk-in"))</f>
        <v>0</v>
      </c>
      <c r="H600" s="15">
        <f>IF(G600="","",IFERROR(INDEX(Services!$B$5:$B$204,MATCH(G600,Services!$A$5:$A$204,0)),"Not in Services"))</f>
        <v>0</v>
      </c>
      <c r="J600" s="15">
        <f>IF(I600="","",IFERROR(INDEX(Staff!$B$5:$B$44,MATCH(I600,Staff!$A$5:$A$44,0)),"Unassigned"))</f>
        <v>0</v>
      </c>
      <c r="S600" s="15">
        <f>IF(B600="","",TEXT(B600,"yyyy-mm"))</f>
        <v>0</v>
      </c>
      <c r="T600" s="25">
        <f>IF(B600="","",WEEKNUM(B600,2))</f>
        <v>0</v>
      </c>
      <c r="U600" s="25">
        <f>IF(B600="","",IF(K600&lt;&gt;"",K600,IFERROR(INDEX(Services!$E$5:$E$204,MATCH(G600,Services!$A$5:$A$204,0))*1,0)+IFERROR(INDEX(Services!$F$5:$F$204,MATCH(G600,Services!$A$5:$A$204,0))*1,0)))</f>
        <v>0</v>
      </c>
      <c r="V600" s="36">
        <f>IF(B600="","",IF(D600="","",D600+U600/1440))</f>
        <v>0</v>
      </c>
      <c r="W600" s="25">
        <f>IF(B600="","",IF(D600="","",HOUR(D600)))</f>
        <v>0</v>
      </c>
      <c r="X600" s="37">
        <f>IF(B600="","",ROUND(U600/60,2))</f>
        <v>0</v>
      </c>
      <c r="Y600" s="26">
        <f>IF(B600="","",IF(L600&lt;&gt;"",L600,IFERROR(INDEX(Services!$G$5:$G$204,MATCH(G600,Services!$A$5:$A$204,0))*1,0)))</f>
        <v>0</v>
      </c>
      <c r="Z600" s="26">
        <f>IF(B600="","",IF(O600&lt;&gt;"",O600,IF(Y600&gt;=DepositThreshold,ROUND(Y600*DepositPercent,2),0)))</f>
        <v>0</v>
      </c>
      <c r="AA600" s="26">
        <f>IF(B600="","",ROUND(SUMIFS(Payments!$G$5:$G$1204,Payments!$I$5:$I$1204,A600,Payments!$E$5:$E$1204,"Deposit"),2))</f>
        <v>0</v>
      </c>
      <c r="AB600" s="26">
        <f>IF(B600="","",ROUND(SUMIFS(Sales!$Y$5:$Y$1204,Sales!$C$5:$C$1204,A600),2))</f>
        <v>0</v>
      </c>
      <c r="AC600" s="38">
        <f>IF(B600="","",IF(M600="Completed","Yes",IF(M600="Cancelled","Yes",IF(M600="No show","Yes","No"))))</f>
        <v>0</v>
      </c>
      <c r="AD600" s="25">
        <f>IF(B600="","",IF(AE600="","",B600-AE600))</f>
        <v>0</v>
      </c>
      <c r="AF600" s="38">
        <f>IF(B600="","",IF(M600&lt;&gt;"Completed","",IF(E600="","No",IF(COUNTIFS(Appointments!$E$5:$E$1204,E600,Appointments!$B$5:$B$1204,"&gt;"&amp;B600,Appointments!$M$5:$M$1204,"&lt;&gt;Cancelled")&gt;0,"Yes","No"))))</f>
        <v>0</v>
      </c>
      <c r="AG600" s="38">
        <f>IF(B600="","",IF(I600="","",IF(D600="","",IF(COUNTIFS($I$5:$I$1204,I600,$B$5:$B$1204,B600,$D$5:$D$1204,"&lt;"&amp;V600,$V$5:$V$1204,"&gt;"&amp;D600,$M$5:$M$1204,"&lt;&gt;Cancelled")&gt;1,"Clash",""))))</f>
        <v>0</v>
      </c>
      <c r="AH600" s="39">
        <f>IF(B600="","",IF(AG600="Clash","Clash - stylist double booked",IF(I600="","Assign - no stylist yet",IF(G600="","Add - no service chosen",IF(M600="No show","No show - charge the fee?",IF(M600="Cancelled","",IF(IF(M600="Completed",AB600&lt;Y600-0.004,FALSE),"Unpaid - nothing rung up for this visit",IF(IF(B600&lt;TodayDate,M600="Booked",FALSE),"Overdue - past date, still only Booked",IF(IF(B600=TodayDate,TRUE,FALSE),"Today",IF(IF(Z600&gt;0,AA600&lt;Z600-0.004,FALSE),"Due - deposit not taken",IF(IF(B600&gt;TodayDate,B600&lt;=TodayDate+2,FALSE),"Confirm - coming up","OK")))))))))))</f>
        <v>0</v>
      </c>
    </row>
    <row r="601" spans="1:34">
      <c r="A601" s="28">
        <f>IF(B601="","",AppointmentPrefix&amp;TEXT(ROW()-4,"0000"))</f>
        <v>0</v>
      </c>
      <c r="C601" s="15">
        <f>IF(B601="","",TEXT(B601,"ddd"))</f>
        <v>0</v>
      </c>
      <c r="F601" s="15">
        <f>IF(E601="","",IFERROR(INDEX(Clients!$B$5:$B$504,MATCH(E601,Clients!$A$5:$A$504,0)),"Walk-in"))</f>
        <v>0</v>
      </c>
      <c r="H601" s="15">
        <f>IF(G601="","",IFERROR(INDEX(Services!$B$5:$B$204,MATCH(G601,Services!$A$5:$A$204,0)),"Not in Services"))</f>
        <v>0</v>
      </c>
      <c r="J601" s="15">
        <f>IF(I601="","",IFERROR(INDEX(Staff!$B$5:$B$44,MATCH(I601,Staff!$A$5:$A$44,0)),"Unassigned"))</f>
        <v>0</v>
      </c>
      <c r="S601" s="15">
        <f>IF(B601="","",TEXT(B601,"yyyy-mm"))</f>
        <v>0</v>
      </c>
      <c r="T601" s="25">
        <f>IF(B601="","",WEEKNUM(B601,2))</f>
        <v>0</v>
      </c>
      <c r="U601" s="25">
        <f>IF(B601="","",IF(K601&lt;&gt;"",K601,IFERROR(INDEX(Services!$E$5:$E$204,MATCH(G601,Services!$A$5:$A$204,0))*1,0)+IFERROR(INDEX(Services!$F$5:$F$204,MATCH(G601,Services!$A$5:$A$204,0))*1,0)))</f>
        <v>0</v>
      </c>
      <c r="V601" s="36">
        <f>IF(B601="","",IF(D601="","",D601+U601/1440))</f>
        <v>0</v>
      </c>
      <c r="W601" s="25">
        <f>IF(B601="","",IF(D601="","",HOUR(D601)))</f>
        <v>0</v>
      </c>
      <c r="X601" s="37">
        <f>IF(B601="","",ROUND(U601/60,2))</f>
        <v>0</v>
      </c>
      <c r="Y601" s="26">
        <f>IF(B601="","",IF(L601&lt;&gt;"",L601,IFERROR(INDEX(Services!$G$5:$G$204,MATCH(G601,Services!$A$5:$A$204,0))*1,0)))</f>
        <v>0</v>
      </c>
      <c r="Z601" s="26">
        <f>IF(B601="","",IF(O601&lt;&gt;"",O601,IF(Y601&gt;=DepositThreshold,ROUND(Y601*DepositPercent,2),0)))</f>
        <v>0</v>
      </c>
      <c r="AA601" s="26">
        <f>IF(B601="","",ROUND(SUMIFS(Payments!$G$5:$G$1204,Payments!$I$5:$I$1204,A601,Payments!$E$5:$E$1204,"Deposit"),2))</f>
        <v>0</v>
      </c>
      <c r="AB601" s="26">
        <f>IF(B601="","",ROUND(SUMIFS(Sales!$Y$5:$Y$1204,Sales!$C$5:$C$1204,A601),2))</f>
        <v>0</v>
      </c>
      <c r="AC601" s="38">
        <f>IF(B601="","",IF(M601="Completed","Yes",IF(M601="Cancelled","Yes",IF(M601="No show","Yes","No"))))</f>
        <v>0</v>
      </c>
      <c r="AD601" s="25">
        <f>IF(B601="","",IF(AE601="","",B601-AE601))</f>
        <v>0</v>
      </c>
      <c r="AF601" s="38">
        <f>IF(B601="","",IF(M601&lt;&gt;"Completed","",IF(E601="","No",IF(COUNTIFS(Appointments!$E$5:$E$1204,E601,Appointments!$B$5:$B$1204,"&gt;"&amp;B601,Appointments!$M$5:$M$1204,"&lt;&gt;Cancelled")&gt;0,"Yes","No"))))</f>
        <v>0</v>
      </c>
      <c r="AG601" s="38">
        <f>IF(B601="","",IF(I601="","",IF(D601="","",IF(COUNTIFS($I$5:$I$1204,I601,$B$5:$B$1204,B601,$D$5:$D$1204,"&lt;"&amp;V601,$V$5:$V$1204,"&gt;"&amp;D601,$M$5:$M$1204,"&lt;&gt;Cancelled")&gt;1,"Clash",""))))</f>
        <v>0</v>
      </c>
      <c r="AH601" s="39">
        <f>IF(B601="","",IF(AG601="Clash","Clash - stylist double booked",IF(I601="","Assign - no stylist yet",IF(G601="","Add - no service chosen",IF(M601="No show","No show - charge the fee?",IF(M601="Cancelled","",IF(IF(M601="Completed",AB601&lt;Y601-0.004,FALSE),"Unpaid - nothing rung up for this visit",IF(IF(B601&lt;TodayDate,M601="Booked",FALSE),"Overdue - past date, still only Booked",IF(IF(B601=TodayDate,TRUE,FALSE),"Today",IF(IF(Z601&gt;0,AA601&lt;Z601-0.004,FALSE),"Due - deposit not taken",IF(IF(B601&gt;TodayDate,B601&lt;=TodayDate+2,FALSE),"Confirm - coming up","OK")))))))))))</f>
        <v>0</v>
      </c>
    </row>
    <row r="602" spans="1:34">
      <c r="A602" s="28">
        <f>IF(B602="","",AppointmentPrefix&amp;TEXT(ROW()-4,"0000"))</f>
        <v>0</v>
      </c>
      <c r="C602" s="15">
        <f>IF(B602="","",TEXT(B602,"ddd"))</f>
        <v>0</v>
      </c>
      <c r="F602" s="15">
        <f>IF(E602="","",IFERROR(INDEX(Clients!$B$5:$B$504,MATCH(E602,Clients!$A$5:$A$504,0)),"Walk-in"))</f>
        <v>0</v>
      </c>
      <c r="H602" s="15">
        <f>IF(G602="","",IFERROR(INDEX(Services!$B$5:$B$204,MATCH(G602,Services!$A$5:$A$204,0)),"Not in Services"))</f>
        <v>0</v>
      </c>
      <c r="J602" s="15">
        <f>IF(I602="","",IFERROR(INDEX(Staff!$B$5:$B$44,MATCH(I602,Staff!$A$5:$A$44,0)),"Unassigned"))</f>
        <v>0</v>
      </c>
      <c r="S602" s="15">
        <f>IF(B602="","",TEXT(B602,"yyyy-mm"))</f>
        <v>0</v>
      </c>
      <c r="T602" s="25">
        <f>IF(B602="","",WEEKNUM(B602,2))</f>
        <v>0</v>
      </c>
      <c r="U602" s="25">
        <f>IF(B602="","",IF(K602&lt;&gt;"",K602,IFERROR(INDEX(Services!$E$5:$E$204,MATCH(G602,Services!$A$5:$A$204,0))*1,0)+IFERROR(INDEX(Services!$F$5:$F$204,MATCH(G602,Services!$A$5:$A$204,0))*1,0)))</f>
        <v>0</v>
      </c>
      <c r="V602" s="36">
        <f>IF(B602="","",IF(D602="","",D602+U602/1440))</f>
        <v>0</v>
      </c>
      <c r="W602" s="25">
        <f>IF(B602="","",IF(D602="","",HOUR(D602)))</f>
        <v>0</v>
      </c>
      <c r="X602" s="37">
        <f>IF(B602="","",ROUND(U602/60,2))</f>
        <v>0</v>
      </c>
      <c r="Y602" s="26">
        <f>IF(B602="","",IF(L602&lt;&gt;"",L602,IFERROR(INDEX(Services!$G$5:$G$204,MATCH(G602,Services!$A$5:$A$204,0))*1,0)))</f>
        <v>0</v>
      </c>
      <c r="Z602" s="26">
        <f>IF(B602="","",IF(O602&lt;&gt;"",O602,IF(Y602&gt;=DepositThreshold,ROUND(Y602*DepositPercent,2),0)))</f>
        <v>0</v>
      </c>
      <c r="AA602" s="26">
        <f>IF(B602="","",ROUND(SUMIFS(Payments!$G$5:$G$1204,Payments!$I$5:$I$1204,A602,Payments!$E$5:$E$1204,"Deposit"),2))</f>
        <v>0</v>
      </c>
      <c r="AB602" s="26">
        <f>IF(B602="","",ROUND(SUMIFS(Sales!$Y$5:$Y$1204,Sales!$C$5:$C$1204,A602),2))</f>
        <v>0</v>
      </c>
      <c r="AC602" s="38">
        <f>IF(B602="","",IF(M602="Completed","Yes",IF(M602="Cancelled","Yes",IF(M602="No show","Yes","No"))))</f>
        <v>0</v>
      </c>
      <c r="AD602" s="25">
        <f>IF(B602="","",IF(AE602="","",B602-AE602))</f>
        <v>0</v>
      </c>
      <c r="AF602" s="38">
        <f>IF(B602="","",IF(M602&lt;&gt;"Completed","",IF(E602="","No",IF(COUNTIFS(Appointments!$E$5:$E$1204,E602,Appointments!$B$5:$B$1204,"&gt;"&amp;B602,Appointments!$M$5:$M$1204,"&lt;&gt;Cancelled")&gt;0,"Yes","No"))))</f>
        <v>0</v>
      </c>
      <c r="AG602" s="38">
        <f>IF(B602="","",IF(I602="","",IF(D602="","",IF(COUNTIFS($I$5:$I$1204,I602,$B$5:$B$1204,B602,$D$5:$D$1204,"&lt;"&amp;V602,$V$5:$V$1204,"&gt;"&amp;D602,$M$5:$M$1204,"&lt;&gt;Cancelled")&gt;1,"Clash",""))))</f>
        <v>0</v>
      </c>
      <c r="AH602" s="39">
        <f>IF(B602="","",IF(AG602="Clash","Clash - stylist double booked",IF(I602="","Assign - no stylist yet",IF(G602="","Add - no service chosen",IF(M602="No show","No show - charge the fee?",IF(M602="Cancelled","",IF(IF(M602="Completed",AB602&lt;Y602-0.004,FALSE),"Unpaid - nothing rung up for this visit",IF(IF(B602&lt;TodayDate,M602="Booked",FALSE),"Overdue - past date, still only Booked",IF(IF(B602=TodayDate,TRUE,FALSE),"Today",IF(IF(Z602&gt;0,AA602&lt;Z602-0.004,FALSE),"Due - deposit not taken",IF(IF(B602&gt;TodayDate,B602&lt;=TodayDate+2,FALSE),"Confirm - coming up","OK")))))))))))</f>
        <v>0</v>
      </c>
    </row>
    <row r="603" spans="1:34">
      <c r="A603" s="28">
        <f>IF(B603="","",AppointmentPrefix&amp;TEXT(ROW()-4,"0000"))</f>
        <v>0</v>
      </c>
      <c r="C603" s="15">
        <f>IF(B603="","",TEXT(B603,"ddd"))</f>
        <v>0</v>
      </c>
      <c r="F603" s="15">
        <f>IF(E603="","",IFERROR(INDEX(Clients!$B$5:$B$504,MATCH(E603,Clients!$A$5:$A$504,0)),"Walk-in"))</f>
        <v>0</v>
      </c>
      <c r="H603" s="15">
        <f>IF(G603="","",IFERROR(INDEX(Services!$B$5:$B$204,MATCH(G603,Services!$A$5:$A$204,0)),"Not in Services"))</f>
        <v>0</v>
      </c>
      <c r="J603" s="15">
        <f>IF(I603="","",IFERROR(INDEX(Staff!$B$5:$B$44,MATCH(I603,Staff!$A$5:$A$44,0)),"Unassigned"))</f>
        <v>0</v>
      </c>
      <c r="S603" s="15">
        <f>IF(B603="","",TEXT(B603,"yyyy-mm"))</f>
        <v>0</v>
      </c>
      <c r="T603" s="25">
        <f>IF(B603="","",WEEKNUM(B603,2))</f>
        <v>0</v>
      </c>
      <c r="U603" s="25">
        <f>IF(B603="","",IF(K603&lt;&gt;"",K603,IFERROR(INDEX(Services!$E$5:$E$204,MATCH(G603,Services!$A$5:$A$204,0))*1,0)+IFERROR(INDEX(Services!$F$5:$F$204,MATCH(G603,Services!$A$5:$A$204,0))*1,0)))</f>
        <v>0</v>
      </c>
      <c r="V603" s="36">
        <f>IF(B603="","",IF(D603="","",D603+U603/1440))</f>
        <v>0</v>
      </c>
      <c r="W603" s="25">
        <f>IF(B603="","",IF(D603="","",HOUR(D603)))</f>
        <v>0</v>
      </c>
      <c r="X603" s="37">
        <f>IF(B603="","",ROUND(U603/60,2))</f>
        <v>0</v>
      </c>
      <c r="Y603" s="26">
        <f>IF(B603="","",IF(L603&lt;&gt;"",L603,IFERROR(INDEX(Services!$G$5:$G$204,MATCH(G603,Services!$A$5:$A$204,0))*1,0)))</f>
        <v>0</v>
      </c>
      <c r="Z603" s="26">
        <f>IF(B603="","",IF(O603&lt;&gt;"",O603,IF(Y603&gt;=DepositThreshold,ROUND(Y603*DepositPercent,2),0)))</f>
        <v>0</v>
      </c>
      <c r="AA603" s="26">
        <f>IF(B603="","",ROUND(SUMIFS(Payments!$G$5:$G$1204,Payments!$I$5:$I$1204,A603,Payments!$E$5:$E$1204,"Deposit"),2))</f>
        <v>0</v>
      </c>
      <c r="AB603" s="26">
        <f>IF(B603="","",ROUND(SUMIFS(Sales!$Y$5:$Y$1204,Sales!$C$5:$C$1204,A603),2))</f>
        <v>0</v>
      </c>
      <c r="AC603" s="38">
        <f>IF(B603="","",IF(M603="Completed","Yes",IF(M603="Cancelled","Yes",IF(M603="No show","Yes","No"))))</f>
        <v>0</v>
      </c>
      <c r="AD603" s="25">
        <f>IF(B603="","",IF(AE603="","",B603-AE603))</f>
        <v>0</v>
      </c>
      <c r="AF603" s="38">
        <f>IF(B603="","",IF(M603&lt;&gt;"Completed","",IF(E603="","No",IF(COUNTIFS(Appointments!$E$5:$E$1204,E603,Appointments!$B$5:$B$1204,"&gt;"&amp;B603,Appointments!$M$5:$M$1204,"&lt;&gt;Cancelled")&gt;0,"Yes","No"))))</f>
        <v>0</v>
      </c>
      <c r="AG603" s="38">
        <f>IF(B603="","",IF(I603="","",IF(D603="","",IF(COUNTIFS($I$5:$I$1204,I603,$B$5:$B$1204,B603,$D$5:$D$1204,"&lt;"&amp;V603,$V$5:$V$1204,"&gt;"&amp;D603,$M$5:$M$1204,"&lt;&gt;Cancelled")&gt;1,"Clash",""))))</f>
        <v>0</v>
      </c>
      <c r="AH603" s="39">
        <f>IF(B603="","",IF(AG603="Clash","Clash - stylist double booked",IF(I603="","Assign - no stylist yet",IF(G603="","Add - no service chosen",IF(M603="No show","No show - charge the fee?",IF(M603="Cancelled","",IF(IF(M603="Completed",AB603&lt;Y603-0.004,FALSE),"Unpaid - nothing rung up for this visit",IF(IF(B603&lt;TodayDate,M603="Booked",FALSE),"Overdue - past date, still only Booked",IF(IF(B603=TodayDate,TRUE,FALSE),"Today",IF(IF(Z603&gt;0,AA603&lt;Z603-0.004,FALSE),"Due - deposit not taken",IF(IF(B603&gt;TodayDate,B603&lt;=TodayDate+2,FALSE),"Confirm - coming up","OK")))))))))))</f>
        <v>0</v>
      </c>
    </row>
    <row r="604" spans="1:34">
      <c r="A604" s="28">
        <f>IF(B604="","",AppointmentPrefix&amp;TEXT(ROW()-4,"0000"))</f>
        <v>0</v>
      </c>
      <c r="C604" s="15">
        <f>IF(B604="","",TEXT(B604,"ddd"))</f>
        <v>0</v>
      </c>
      <c r="F604" s="15">
        <f>IF(E604="","",IFERROR(INDEX(Clients!$B$5:$B$504,MATCH(E604,Clients!$A$5:$A$504,0)),"Walk-in"))</f>
        <v>0</v>
      </c>
      <c r="H604" s="15">
        <f>IF(G604="","",IFERROR(INDEX(Services!$B$5:$B$204,MATCH(G604,Services!$A$5:$A$204,0)),"Not in Services"))</f>
        <v>0</v>
      </c>
      <c r="J604" s="15">
        <f>IF(I604="","",IFERROR(INDEX(Staff!$B$5:$B$44,MATCH(I604,Staff!$A$5:$A$44,0)),"Unassigned"))</f>
        <v>0</v>
      </c>
      <c r="S604" s="15">
        <f>IF(B604="","",TEXT(B604,"yyyy-mm"))</f>
        <v>0</v>
      </c>
      <c r="T604" s="25">
        <f>IF(B604="","",WEEKNUM(B604,2))</f>
        <v>0</v>
      </c>
      <c r="U604" s="25">
        <f>IF(B604="","",IF(K604&lt;&gt;"",K604,IFERROR(INDEX(Services!$E$5:$E$204,MATCH(G604,Services!$A$5:$A$204,0))*1,0)+IFERROR(INDEX(Services!$F$5:$F$204,MATCH(G604,Services!$A$5:$A$204,0))*1,0)))</f>
        <v>0</v>
      </c>
      <c r="V604" s="36">
        <f>IF(B604="","",IF(D604="","",D604+U604/1440))</f>
        <v>0</v>
      </c>
      <c r="W604" s="25">
        <f>IF(B604="","",IF(D604="","",HOUR(D604)))</f>
        <v>0</v>
      </c>
      <c r="X604" s="37">
        <f>IF(B604="","",ROUND(U604/60,2))</f>
        <v>0</v>
      </c>
      <c r="Y604" s="26">
        <f>IF(B604="","",IF(L604&lt;&gt;"",L604,IFERROR(INDEX(Services!$G$5:$G$204,MATCH(G604,Services!$A$5:$A$204,0))*1,0)))</f>
        <v>0</v>
      </c>
      <c r="Z604" s="26">
        <f>IF(B604="","",IF(O604&lt;&gt;"",O604,IF(Y604&gt;=DepositThreshold,ROUND(Y604*DepositPercent,2),0)))</f>
        <v>0</v>
      </c>
      <c r="AA604" s="26">
        <f>IF(B604="","",ROUND(SUMIFS(Payments!$G$5:$G$1204,Payments!$I$5:$I$1204,A604,Payments!$E$5:$E$1204,"Deposit"),2))</f>
        <v>0</v>
      </c>
      <c r="AB604" s="26">
        <f>IF(B604="","",ROUND(SUMIFS(Sales!$Y$5:$Y$1204,Sales!$C$5:$C$1204,A604),2))</f>
        <v>0</v>
      </c>
      <c r="AC604" s="38">
        <f>IF(B604="","",IF(M604="Completed","Yes",IF(M604="Cancelled","Yes",IF(M604="No show","Yes","No"))))</f>
        <v>0</v>
      </c>
      <c r="AD604" s="25">
        <f>IF(B604="","",IF(AE604="","",B604-AE604))</f>
        <v>0</v>
      </c>
      <c r="AF604" s="38">
        <f>IF(B604="","",IF(M604&lt;&gt;"Completed","",IF(E604="","No",IF(COUNTIFS(Appointments!$E$5:$E$1204,E604,Appointments!$B$5:$B$1204,"&gt;"&amp;B604,Appointments!$M$5:$M$1204,"&lt;&gt;Cancelled")&gt;0,"Yes","No"))))</f>
        <v>0</v>
      </c>
      <c r="AG604" s="38">
        <f>IF(B604="","",IF(I604="","",IF(D604="","",IF(COUNTIFS($I$5:$I$1204,I604,$B$5:$B$1204,B604,$D$5:$D$1204,"&lt;"&amp;V604,$V$5:$V$1204,"&gt;"&amp;D604,$M$5:$M$1204,"&lt;&gt;Cancelled")&gt;1,"Clash",""))))</f>
        <v>0</v>
      </c>
      <c r="AH604" s="39">
        <f>IF(B604="","",IF(AG604="Clash","Clash - stylist double booked",IF(I604="","Assign - no stylist yet",IF(G604="","Add - no service chosen",IF(M604="No show","No show - charge the fee?",IF(M604="Cancelled","",IF(IF(M604="Completed",AB604&lt;Y604-0.004,FALSE),"Unpaid - nothing rung up for this visit",IF(IF(B604&lt;TodayDate,M604="Booked",FALSE),"Overdue - past date, still only Booked",IF(IF(B604=TodayDate,TRUE,FALSE),"Today",IF(IF(Z604&gt;0,AA604&lt;Z604-0.004,FALSE),"Due - deposit not taken",IF(IF(B604&gt;TodayDate,B604&lt;=TodayDate+2,FALSE),"Confirm - coming up","OK")))))))))))</f>
        <v>0</v>
      </c>
    </row>
    <row r="605" spans="1:34">
      <c r="A605" s="28">
        <f>IF(B605="","",AppointmentPrefix&amp;TEXT(ROW()-4,"0000"))</f>
        <v>0</v>
      </c>
      <c r="C605" s="15">
        <f>IF(B605="","",TEXT(B605,"ddd"))</f>
        <v>0</v>
      </c>
      <c r="F605" s="15">
        <f>IF(E605="","",IFERROR(INDEX(Clients!$B$5:$B$504,MATCH(E605,Clients!$A$5:$A$504,0)),"Walk-in"))</f>
        <v>0</v>
      </c>
      <c r="H605" s="15">
        <f>IF(G605="","",IFERROR(INDEX(Services!$B$5:$B$204,MATCH(G605,Services!$A$5:$A$204,0)),"Not in Services"))</f>
        <v>0</v>
      </c>
      <c r="J605" s="15">
        <f>IF(I605="","",IFERROR(INDEX(Staff!$B$5:$B$44,MATCH(I605,Staff!$A$5:$A$44,0)),"Unassigned"))</f>
        <v>0</v>
      </c>
      <c r="S605" s="15">
        <f>IF(B605="","",TEXT(B605,"yyyy-mm"))</f>
        <v>0</v>
      </c>
      <c r="T605" s="25">
        <f>IF(B605="","",WEEKNUM(B605,2))</f>
        <v>0</v>
      </c>
      <c r="U605" s="25">
        <f>IF(B605="","",IF(K605&lt;&gt;"",K605,IFERROR(INDEX(Services!$E$5:$E$204,MATCH(G605,Services!$A$5:$A$204,0))*1,0)+IFERROR(INDEX(Services!$F$5:$F$204,MATCH(G605,Services!$A$5:$A$204,0))*1,0)))</f>
        <v>0</v>
      </c>
      <c r="V605" s="36">
        <f>IF(B605="","",IF(D605="","",D605+U605/1440))</f>
        <v>0</v>
      </c>
      <c r="W605" s="25">
        <f>IF(B605="","",IF(D605="","",HOUR(D605)))</f>
        <v>0</v>
      </c>
      <c r="X605" s="37">
        <f>IF(B605="","",ROUND(U605/60,2))</f>
        <v>0</v>
      </c>
      <c r="Y605" s="26">
        <f>IF(B605="","",IF(L605&lt;&gt;"",L605,IFERROR(INDEX(Services!$G$5:$G$204,MATCH(G605,Services!$A$5:$A$204,0))*1,0)))</f>
        <v>0</v>
      </c>
      <c r="Z605" s="26">
        <f>IF(B605="","",IF(O605&lt;&gt;"",O605,IF(Y605&gt;=DepositThreshold,ROUND(Y605*DepositPercent,2),0)))</f>
        <v>0</v>
      </c>
      <c r="AA605" s="26">
        <f>IF(B605="","",ROUND(SUMIFS(Payments!$G$5:$G$1204,Payments!$I$5:$I$1204,A605,Payments!$E$5:$E$1204,"Deposit"),2))</f>
        <v>0</v>
      </c>
      <c r="AB605" s="26">
        <f>IF(B605="","",ROUND(SUMIFS(Sales!$Y$5:$Y$1204,Sales!$C$5:$C$1204,A605),2))</f>
        <v>0</v>
      </c>
      <c r="AC605" s="38">
        <f>IF(B605="","",IF(M605="Completed","Yes",IF(M605="Cancelled","Yes",IF(M605="No show","Yes","No"))))</f>
        <v>0</v>
      </c>
      <c r="AD605" s="25">
        <f>IF(B605="","",IF(AE605="","",B605-AE605))</f>
        <v>0</v>
      </c>
      <c r="AF605" s="38">
        <f>IF(B605="","",IF(M605&lt;&gt;"Completed","",IF(E605="","No",IF(COUNTIFS(Appointments!$E$5:$E$1204,E605,Appointments!$B$5:$B$1204,"&gt;"&amp;B605,Appointments!$M$5:$M$1204,"&lt;&gt;Cancelled")&gt;0,"Yes","No"))))</f>
        <v>0</v>
      </c>
      <c r="AG605" s="38">
        <f>IF(B605="","",IF(I605="","",IF(D605="","",IF(COUNTIFS($I$5:$I$1204,I605,$B$5:$B$1204,B605,$D$5:$D$1204,"&lt;"&amp;V605,$V$5:$V$1204,"&gt;"&amp;D605,$M$5:$M$1204,"&lt;&gt;Cancelled")&gt;1,"Clash",""))))</f>
        <v>0</v>
      </c>
      <c r="AH605" s="39">
        <f>IF(B605="","",IF(AG605="Clash","Clash - stylist double booked",IF(I605="","Assign - no stylist yet",IF(G605="","Add - no service chosen",IF(M605="No show","No show - charge the fee?",IF(M605="Cancelled","",IF(IF(M605="Completed",AB605&lt;Y605-0.004,FALSE),"Unpaid - nothing rung up for this visit",IF(IF(B605&lt;TodayDate,M605="Booked",FALSE),"Overdue - past date, still only Booked",IF(IF(B605=TodayDate,TRUE,FALSE),"Today",IF(IF(Z605&gt;0,AA605&lt;Z605-0.004,FALSE),"Due - deposit not taken",IF(IF(B605&gt;TodayDate,B605&lt;=TodayDate+2,FALSE),"Confirm - coming up","OK")))))))))))</f>
        <v>0</v>
      </c>
    </row>
    <row r="606" spans="1:34">
      <c r="A606" s="28">
        <f>IF(B606="","",AppointmentPrefix&amp;TEXT(ROW()-4,"0000"))</f>
        <v>0</v>
      </c>
      <c r="C606" s="15">
        <f>IF(B606="","",TEXT(B606,"ddd"))</f>
        <v>0</v>
      </c>
      <c r="F606" s="15">
        <f>IF(E606="","",IFERROR(INDEX(Clients!$B$5:$B$504,MATCH(E606,Clients!$A$5:$A$504,0)),"Walk-in"))</f>
        <v>0</v>
      </c>
      <c r="H606" s="15">
        <f>IF(G606="","",IFERROR(INDEX(Services!$B$5:$B$204,MATCH(G606,Services!$A$5:$A$204,0)),"Not in Services"))</f>
        <v>0</v>
      </c>
      <c r="J606" s="15">
        <f>IF(I606="","",IFERROR(INDEX(Staff!$B$5:$B$44,MATCH(I606,Staff!$A$5:$A$44,0)),"Unassigned"))</f>
        <v>0</v>
      </c>
      <c r="S606" s="15">
        <f>IF(B606="","",TEXT(B606,"yyyy-mm"))</f>
        <v>0</v>
      </c>
      <c r="T606" s="25">
        <f>IF(B606="","",WEEKNUM(B606,2))</f>
        <v>0</v>
      </c>
      <c r="U606" s="25">
        <f>IF(B606="","",IF(K606&lt;&gt;"",K606,IFERROR(INDEX(Services!$E$5:$E$204,MATCH(G606,Services!$A$5:$A$204,0))*1,0)+IFERROR(INDEX(Services!$F$5:$F$204,MATCH(G606,Services!$A$5:$A$204,0))*1,0)))</f>
        <v>0</v>
      </c>
      <c r="V606" s="36">
        <f>IF(B606="","",IF(D606="","",D606+U606/1440))</f>
        <v>0</v>
      </c>
      <c r="W606" s="25">
        <f>IF(B606="","",IF(D606="","",HOUR(D606)))</f>
        <v>0</v>
      </c>
      <c r="X606" s="37">
        <f>IF(B606="","",ROUND(U606/60,2))</f>
        <v>0</v>
      </c>
      <c r="Y606" s="26">
        <f>IF(B606="","",IF(L606&lt;&gt;"",L606,IFERROR(INDEX(Services!$G$5:$G$204,MATCH(G606,Services!$A$5:$A$204,0))*1,0)))</f>
        <v>0</v>
      </c>
      <c r="Z606" s="26">
        <f>IF(B606="","",IF(O606&lt;&gt;"",O606,IF(Y606&gt;=DepositThreshold,ROUND(Y606*DepositPercent,2),0)))</f>
        <v>0</v>
      </c>
      <c r="AA606" s="26">
        <f>IF(B606="","",ROUND(SUMIFS(Payments!$G$5:$G$1204,Payments!$I$5:$I$1204,A606,Payments!$E$5:$E$1204,"Deposit"),2))</f>
        <v>0</v>
      </c>
      <c r="AB606" s="26">
        <f>IF(B606="","",ROUND(SUMIFS(Sales!$Y$5:$Y$1204,Sales!$C$5:$C$1204,A606),2))</f>
        <v>0</v>
      </c>
      <c r="AC606" s="38">
        <f>IF(B606="","",IF(M606="Completed","Yes",IF(M606="Cancelled","Yes",IF(M606="No show","Yes","No"))))</f>
        <v>0</v>
      </c>
      <c r="AD606" s="25">
        <f>IF(B606="","",IF(AE606="","",B606-AE606))</f>
        <v>0</v>
      </c>
      <c r="AF606" s="38">
        <f>IF(B606="","",IF(M606&lt;&gt;"Completed","",IF(E606="","No",IF(COUNTIFS(Appointments!$E$5:$E$1204,E606,Appointments!$B$5:$B$1204,"&gt;"&amp;B606,Appointments!$M$5:$M$1204,"&lt;&gt;Cancelled")&gt;0,"Yes","No"))))</f>
        <v>0</v>
      </c>
      <c r="AG606" s="38">
        <f>IF(B606="","",IF(I606="","",IF(D606="","",IF(COUNTIFS($I$5:$I$1204,I606,$B$5:$B$1204,B606,$D$5:$D$1204,"&lt;"&amp;V606,$V$5:$V$1204,"&gt;"&amp;D606,$M$5:$M$1204,"&lt;&gt;Cancelled")&gt;1,"Clash",""))))</f>
        <v>0</v>
      </c>
      <c r="AH606" s="39">
        <f>IF(B606="","",IF(AG606="Clash","Clash - stylist double booked",IF(I606="","Assign - no stylist yet",IF(G606="","Add - no service chosen",IF(M606="No show","No show - charge the fee?",IF(M606="Cancelled","",IF(IF(M606="Completed",AB606&lt;Y606-0.004,FALSE),"Unpaid - nothing rung up for this visit",IF(IF(B606&lt;TodayDate,M606="Booked",FALSE),"Overdue - past date, still only Booked",IF(IF(B606=TodayDate,TRUE,FALSE),"Today",IF(IF(Z606&gt;0,AA606&lt;Z606-0.004,FALSE),"Due - deposit not taken",IF(IF(B606&gt;TodayDate,B606&lt;=TodayDate+2,FALSE),"Confirm - coming up","OK")))))))))))</f>
        <v>0</v>
      </c>
    </row>
    <row r="607" spans="1:34">
      <c r="A607" s="28">
        <f>IF(B607="","",AppointmentPrefix&amp;TEXT(ROW()-4,"0000"))</f>
        <v>0</v>
      </c>
      <c r="C607" s="15">
        <f>IF(B607="","",TEXT(B607,"ddd"))</f>
        <v>0</v>
      </c>
      <c r="F607" s="15">
        <f>IF(E607="","",IFERROR(INDEX(Clients!$B$5:$B$504,MATCH(E607,Clients!$A$5:$A$504,0)),"Walk-in"))</f>
        <v>0</v>
      </c>
      <c r="H607" s="15">
        <f>IF(G607="","",IFERROR(INDEX(Services!$B$5:$B$204,MATCH(G607,Services!$A$5:$A$204,0)),"Not in Services"))</f>
        <v>0</v>
      </c>
      <c r="J607" s="15">
        <f>IF(I607="","",IFERROR(INDEX(Staff!$B$5:$B$44,MATCH(I607,Staff!$A$5:$A$44,0)),"Unassigned"))</f>
        <v>0</v>
      </c>
      <c r="S607" s="15">
        <f>IF(B607="","",TEXT(B607,"yyyy-mm"))</f>
        <v>0</v>
      </c>
      <c r="T607" s="25">
        <f>IF(B607="","",WEEKNUM(B607,2))</f>
        <v>0</v>
      </c>
      <c r="U607" s="25">
        <f>IF(B607="","",IF(K607&lt;&gt;"",K607,IFERROR(INDEX(Services!$E$5:$E$204,MATCH(G607,Services!$A$5:$A$204,0))*1,0)+IFERROR(INDEX(Services!$F$5:$F$204,MATCH(G607,Services!$A$5:$A$204,0))*1,0)))</f>
        <v>0</v>
      </c>
      <c r="V607" s="36">
        <f>IF(B607="","",IF(D607="","",D607+U607/1440))</f>
        <v>0</v>
      </c>
      <c r="W607" s="25">
        <f>IF(B607="","",IF(D607="","",HOUR(D607)))</f>
        <v>0</v>
      </c>
      <c r="X607" s="37">
        <f>IF(B607="","",ROUND(U607/60,2))</f>
        <v>0</v>
      </c>
      <c r="Y607" s="26">
        <f>IF(B607="","",IF(L607&lt;&gt;"",L607,IFERROR(INDEX(Services!$G$5:$G$204,MATCH(G607,Services!$A$5:$A$204,0))*1,0)))</f>
        <v>0</v>
      </c>
      <c r="Z607" s="26">
        <f>IF(B607="","",IF(O607&lt;&gt;"",O607,IF(Y607&gt;=DepositThreshold,ROUND(Y607*DepositPercent,2),0)))</f>
        <v>0</v>
      </c>
      <c r="AA607" s="26">
        <f>IF(B607="","",ROUND(SUMIFS(Payments!$G$5:$G$1204,Payments!$I$5:$I$1204,A607,Payments!$E$5:$E$1204,"Deposit"),2))</f>
        <v>0</v>
      </c>
      <c r="AB607" s="26">
        <f>IF(B607="","",ROUND(SUMIFS(Sales!$Y$5:$Y$1204,Sales!$C$5:$C$1204,A607),2))</f>
        <v>0</v>
      </c>
      <c r="AC607" s="38">
        <f>IF(B607="","",IF(M607="Completed","Yes",IF(M607="Cancelled","Yes",IF(M607="No show","Yes","No"))))</f>
        <v>0</v>
      </c>
      <c r="AD607" s="25">
        <f>IF(B607="","",IF(AE607="","",B607-AE607))</f>
        <v>0</v>
      </c>
      <c r="AF607" s="38">
        <f>IF(B607="","",IF(M607&lt;&gt;"Completed","",IF(E607="","No",IF(COUNTIFS(Appointments!$E$5:$E$1204,E607,Appointments!$B$5:$B$1204,"&gt;"&amp;B607,Appointments!$M$5:$M$1204,"&lt;&gt;Cancelled")&gt;0,"Yes","No"))))</f>
        <v>0</v>
      </c>
      <c r="AG607" s="38">
        <f>IF(B607="","",IF(I607="","",IF(D607="","",IF(COUNTIFS($I$5:$I$1204,I607,$B$5:$B$1204,B607,$D$5:$D$1204,"&lt;"&amp;V607,$V$5:$V$1204,"&gt;"&amp;D607,$M$5:$M$1204,"&lt;&gt;Cancelled")&gt;1,"Clash",""))))</f>
        <v>0</v>
      </c>
      <c r="AH607" s="39">
        <f>IF(B607="","",IF(AG607="Clash","Clash - stylist double booked",IF(I607="","Assign - no stylist yet",IF(G607="","Add - no service chosen",IF(M607="No show","No show - charge the fee?",IF(M607="Cancelled","",IF(IF(M607="Completed",AB607&lt;Y607-0.004,FALSE),"Unpaid - nothing rung up for this visit",IF(IF(B607&lt;TodayDate,M607="Booked",FALSE),"Overdue - past date, still only Booked",IF(IF(B607=TodayDate,TRUE,FALSE),"Today",IF(IF(Z607&gt;0,AA607&lt;Z607-0.004,FALSE),"Due - deposit not taken",IF(IF(B607&gt;TodayDate,B607&lt;=TodayDate+2,FALSE),"Confirm - coming up","OK")))))))))))</f>
        <v>0</v>
      </c>
    </row>
    <row r="608" spans="1:34">
      <c r="A608" s="28">
        <f>IF(B608="","",AppointmentPrefix&amp;TEXT(ROW()-4,"0000"))</f>
        <v>0</v>
      </c>
      <c r="C608" s="15">
        <f>IF(B608="","",TEXT(B608,"ddd"))</f>
        <v>0</v>
      </c>
      <c r="F608" s="15">
        <f>IF(E608="","",IFERROR(INDEX(Clients!$B$5:$B$504,MATCH(E608,Clients!$A$5:$A$504,0)),"Walk-in"))</f>
        <v>0</v>
      </c>
      <c r="H608" s="15">
        <f>IF(G608="","",IFERROR(INDEX(Services!$B$5:$B$204,MATCH(G608,Services!$A$5:$A$204,0)),"Not in Services"))</f>
        <v>0</v>
      </c>
      <c r="J608" s="15">
        <f>IF(I608="","",IFERROR(INDEX(Staff!$B$5:$B$44,MATCH(I608,Staff!$A$5:$A$44,0)),"Unassigned"))</f>
        <v>0</v>
      </c>
      <c r="S608" s="15">
        <f>IF(B608="","",TEXT(B608,"yyyy-mm"))</f>
        <v>0</v>
      </c>
      <c r="T608" s="25">
        <f>IF(B608="","",WEEKNUM(B608,2))</f>
        <v>0</v>
      </c>
      <c r="U608" s="25">
        <f>IF(B608="","",IF(K608&lt;&gt;"",K608,IFERROR(INDEX(Services!$E$5:$E$204,MATCH(G608,Services!$A$5:$A$204,0))*1,0)+IFERROR(INDEX(Services!$F$5:$F$204,MATCH(G608,Services!$A$5:$A$204,0))*1,0)))</f>
        <v>0</v>
      </c>
      <c r="V608" s="36">
        <f>IF(B608="","",IF(D608="","",D608+U608/1440))</f>
        <v>0</v>
      </c>
      <c r="W608" s="25">
        <f>IF(B608="","",IF(D608="","",HOUR(D608)))</f>
        <v>0</v>
      </c>
      <c r="X608" s="37">
        <f>IF(B608="","",ROUND(U608/60,2))</f>
        <v>0</v>
      </c>
      <c r="Y608" s="26">
        <f>IF(B608="","",IF(L608&lt;&gt;"",L608,IFERROR(INDEX(Services!$G$5:$G$204,MATCH(G608,Services!$A$5:$A$204,0))*1,0)))</f>
        <v>0</v>
      </c>
      <c r="Z608" s="26">
        <f>IF(B608="","",IF(O608&lt;&gt;"",O608,IF(Y608&gt;=DepositThreshold,ROUND(Y608*DepositPercent,2),0)))</f>
        <v>0</v>
      </c>
      <c r="AA608" s="26">
        <f>IF(B608="","",ROUND(SUMIFS(Payments!$G$5:$G$1204,Payments!$I$5:$I$1204,A608,Payments!$E$5:$E$1204,"Deposit"),2))</f>
        <v>0</v>
      </c>
      <c r="AB608" s="26">
        <f>IF(B608="","",ROUND(SUMIFS(Sales!$Y$5:$Y$1204,Sales!$C$5:$C$1204,A608),2))</f>
        <v>0</v>
      </c>
      <c r="AC608" s="38">
        <f>IF(B608="","",IF(M608="Completed","Yes",IF(M608="Cancelled","Yes",IF(M608="No show","Yes","No"))))</f>
        <v>0</v>
      </c>
      <c r="AD608" s="25">
        <f>IF(B608="","",IF(AE608="","",B608-AE608))</f>
        <v>0</v>
      </c>
      <c r="AF608" s="38">
        <f>IF(B608="","",IF(M608&lt;&gt;"Completed","",IF(E608="","No",IF(COUNTIFS(Appointments!$E$5:$E$1204,E608,Appointments!$B$5:$B$1204,"&gt;"&amp;B608,Appointments!$M$5:$M$1204,"&lt;&gt;Cancelled")&gt;0,"Yes","No"))))</f>
        <v>0</v>
      </c>
      <c r="AG608" s="38">
        <f>IF(B608="","",IF(I608="","",IF(D608="","",IF(COUNTIFS($I$5:$I$1204,I608,$B$5:$B$1204,B608,$D$5:$D$1204,"&lt;"&amp;V608,$V$5:$V$1204,"&gt;"&amp;D608,$M$5:$M$1204,"&lt;&gt;Cancelled")&gt;1,"Clash",""))))</f>
        <v>0</v>
      </c>
      <c r="AH608" s="39">
        <f>IF(B608="","",IF(AG608="Clash","Clash - stylist double booked",IF(I608="","Assign - no stylist yet",IF(G608="","Add - no service chosen",IF(M608="No show","No show - charge the fee?",IF(M608="Cancelled","",IF(IF(M608="Completed",AB608&lt;Y608-0.004,FALSE),"Unpaid - nothing rung up for this visit",IF(IF(B608&lt;TodayDate,M608="Booked",FALSE),"Overdue - past date, still only Booked",IF(IF(B608=TodayDate,TRUE,FALSE),"Today",IF(IF(Z608&gt;0,AA608&lt;Z608-0.004,FALSE),"Due - deposit not taken",IF(IF(B608&gt;TodayDate,B608&lt;=TodayDate+2,FALSE),"Confirm - coming up","OK")))))))))))</f>
        <v>0</v>
      </c>
    </row>
    <row r="609" spans="1:34">
      <c r="A609" s="28">
        <f>IF(B609="","",AppointmentPrefix&amp;TEXT(ROW()-4,"0000"))</f>
        <v>0</v>
      </c>
      <c r="C609" s="15">
        <f>IF(B609="","",TEXT(B609,"ddd"))</f>
        <v>0</v>
      </c>
      <c r="F609" s="15">
        <f>IF(E609="","",IFERROR(INDEX(Clients!$B$5:$B$504,MATCH(E609,Clients!$A$5:$A$504,0)),"Walk-in"))</f>
        <v>0</v>
      </c>
      <c r="H609" s="15">
        <f>IF(G609="","",IFERROR(INDEX(Services!$B$5:$B$204,MATCH(G609,Services!$A$5:$A$204,0)),"Not in Services"))</f>
        <v>0</v>
      </c>
      <c r="J609" s="15">
        <f>IF(I609="","",IFERROR(INDEX(Staff!$B$5:$B$44,MATCH(I609,Staff!$A$5:$A$44,0)),"Unassigned"))</f>
        <v>0</v>
      </c>
      <c r="S609" s="15">
        <f>IF(B609="","",TEXT(B609,"yyyy-mm"))</f>
        <v>0</v>
      </c>
      <c r="T609" s="25">
        <f>IF(B609="","",WEEKNUM(B609,2))</f>
        <v>0</v>
      </c>
      <c r="U609" s="25">
        <f>IF(B609="","",IF(K609&lt;&gt;"",K609,IFERROR(INDEX(Services!$E$5:$E$204,MATCH(G609,Services!$A$5:$A$204,0))*1,0)+IFERROR(INDEX(Services!$F$5:$F$204,MATCH(G609,Services!$A$5:$A$204,0))*1,0)))</f>
        <v>0</v>
      </c>
      <c r="V609" s="36">
        <f>IF(B609="","",IF(D609="","",D609+U609/1440))</f>
        <v>0</v>
      </c>
      <c r="W609" s="25">
        <f>IF(B609="","",IF(D609="","",HOUR(D609)))</f>
        <v>0</v>
      </c>
      <c r="X609" s="37">
        <f>IF(B609="","",ROUND(U609/60,2))</f>
        <v>0</v>
      </c>
      <c r="Y609" s="26">
        <f>IF(B609="","",IF(L609&lt;&gt;"",L609,IFERROR(INDEX(Services!$G$5:$G$204,MATCH(G609,Services!$A$5:$A$204,0))*1,0)))</f>
        <v>0</v>
      </c>
      <c r="Z609" s="26">
        <f>IF(B609="","",IF(O609&lt;&gt;"",O609,IF(Y609&gt;=DepositThreshold,ROUND(Y609*DepositPercent,2),0)))</f>
        <v>0</v>
      </c>
      <c r="AA609" s="26">
        <f>IF(B609="","",ROUND(SUMIFS(Payments!$G$5:$G$1204,Payments!$I$5:$I$1204,A609,Payments!$E$5:$E$1204,"Deposit"),2))</f>
        <v>0</v>
      </c>
      <c r="AB609" s="26">
        <f>IF(B609="","",ROUND(SUMIFS(Sales!$Y$5:$Y$1204,Sales!$C$5:$C$1204,A609),2))</f>
        <v>0</v>
      </c>
      <c r="AC609" s="38">
        <f>IF(B609="","",IF(M609="Completed","Yes",IF(M609="Cancelled","Yes",IF(M609="No show","Yes","No"))))</f>
        <v>0</v>
      </c>
      <c r="AD609" s="25">
        <f>IF(B609="","",IF(AE609="","",B609-AE609))</f>
        <v>0</v>
      </c>
      <c r="AF609" s="38">
        <f>IF(B609="","",IF(M609&lt;&gt;"Completed","",IF(E609="","No",IF(COUNTIFS(Appointments!$E$5:$E$1204,E609,Appointments!$B$5:$B$1204,"&gt;"&amp;B609,Appointments!$M$5:$M$1204,"&lt;&gt;Cancelled")&gt;0,"Yes","No"))))</f>
        <v>0</v>
      </c>
      <c r="AG609" s="38">
        <f>IF(B609="","",IF(I609="","",IF(D609="","",IF(COUNTIFS($I$5:$I$1204,I609,$B$5:$B$1204,B609,$D$5:$D$1204,"&lt;"&amp;V609,$V$5:$V$1204,"&gt;"&amp;D609,$M$5:$M$1204,"&lt;&gt;Cancelled")&gt;1,"Clash",""))))</f>
        <v>0</v>
      </c>
      <c r="AH609" s="39">
        <f>IF(B609="","",IF(AG609="Clash","Clash - stylist double booked",IF(I609="","Assign - no stylist yet",IF(G609="","Add - no service chosen",IF(M609="No show","No show - charge the fee?",IF(M609="Cancelled","",IF(IF(M609="Completed",AB609&lt;Y609-0.004,FALSE),"Unpaid - nothing rung up for this visit",IF(IF(B609&lt;TodayDate,M609="Booked",FALSE),"Overdue - past date, still only Booked",IF(IF(B609=TodayDate,TRUE,FALSE),"Today",IF(IF(Z609&gt;0,AA609&lt;Z609-0.004,FALSE),"Due - deposit not taken",IF(IF(B609&gt;TodayDate,B609&lt;=TodayDate+2,FALSE),"Confirm - coming up","OK")))))))))))</f>
        <v>0</v>
      </c>
    </row>
    <row r="610" spans="1:34">
      <c r="A610" s="28">
        <f>IF(B610="","",AppointmentPrefix&amp;TEXT(ROW()-4,"0000"))</f>
        <v>0</v>
      </c>
      <c r="C610" s="15">
        <f>IF(B610="","",TEXT(B610,"ddd"))</f>
        <v>0</v>
      </c>
      <c r="F610" s="15">
        <f>IF(E610="","",IFERROR(INDEX(Clients!$B$5:$B$504,MATCH(E610,Clients!$A$5:$A$504,0)),"Walk-in"))</f>
        <v>0</v>
      </c>
      <c r="H610" s="15">
        <f>IF(G610="","",IFERROR(INDEX(Services!$B$5:$B$204,MATCH(G610,Services!$A$5:$A$204,0)),"Not in Services"))</f>
        <v>0</v>
      </c>
      <c r="J610" s="15">
        <f>IF(I610="","",IFERROR(INDEX(Staff!$B$5:$B$44,MATCH(I610,Staff!$A$5:$A$44,0)),"Unassigned"))</f>
        <v>0</v>
      </c>
      <c r="S610" s="15">
        <f>IF(B610="","",TEXT(B610,"yyyy-mm"))</f>
        <v>0</v>
      </c>
      <c r="T610" s="25">
        <f>IF(B610="","",WEEKNUM(B610,2))</f>
        <v>0</v>
      </c>
      <c r="U610" s="25">
        <f>IF(B610="","",IF(K610&lt;&gt;"",K610,IFERROR(INDEX(Services!$E$5:$E$204,MATCH(G610,Services!$A$5:$A$204,0))*1,0)+IFERROR(INDEX(Services!$F$5:$F$204,MATCH(G610,Services!$A$5:$A$204,0))*1,0)))</f>
        <v>0</v>
      </c>
      <c r="V610" s="36">
        <f>IF(B610="","",IF(D610="","",D610+U610/1440))</f>
        <v>0</v>
      </c>
      <c r="W610" s="25">
        <f>IF(B610="","",IF(D610="","",HOUR(D610)))</f>
        <v>0</v>
      </c>
      <c r="X610" s="37">
        <f>IF(B610="","",ROUND(U610/60,2))</f>
        <v>0</v>
      </c>
      <c r="Y610" s="26">
        <f>IF(B610="","",IF(L610&lt;&gt;"",L610,IFERROR(INDEX(Services!$G$5:$G$204,MATCH(G610,Services!$A$5:$A$204,0))*1,0)))</f>
        <v>0</v>
      </c>
      <c r="Z610" s="26">
        <f>IF(B610="","",IF(O610&lt;&gt;"",O610,IF(Y610&gt;=DepositThreshold,ROUND(Y610*DepositPercent,2),0)))</f>
        <v>0</v>
      </c>
      <c r="AA610" s="26">
        <f>IF(B610="","",ROUND(SUMIFS(Payments!$G$5:$G$1204,Payments!$I$5:$I$1204,A610,Payments!$E$5:$E$1204,"Deposit"),2))</f>
        <v>0</v>
      </c>
      <c r="AB610" s="26">
        <f>IF(B610="","",ROUND(SUMIFS(Sales!$Y$5:$Y$1204,Sales!$C$5:$C$1204,A610),2))</f>
        <v>0</v>
      </c>
      <c r="AC610" s="38">
        <f>IF(B610="","",IF(M610="Completed","Yes",IF(M610="Cancelled","Yes",IF(M610="No show","Yes","No"))))</f>
        <v>0</v>
      </c>
      <c r="AD610" s="25">
        <f>IF(B610="","",IF(AE610="","",B610-AE610))</f>
        <v>0</v>
      </c>
      <c r="AF610" s="38">
        <f>IF(B610="","",IF(M610&lt;&gt;"Completed","",IF(E610="","No",IF(COUNTIFS(Appointments!$E$5:$E$1204,E610,Appointments!$B$5:$B$1204,"&gt;"&amp;B610,Appointments!$M$5:$M$1204,"&lt;&gt;Cancelled")&gt;0,"Yes","No"))))</f>
        <v>0</v>
      </c>
      <c r="AG610" s="38">
        <f>IF(B610="","",IF(I610="","",IF(D610="","",IF(COUNTIFS($I$5:$I$1204,I610,$B$5:$B$1204,B610,$D$5:$D$1204,"&lt;"&amp;V610,$V$5:$V$1204,"&gt;"&amp;D610,$M$5:$M$1204,"&lt;&gt;Cancelled")&gt;1,"Clash",""))))</f>
        <v>0</v>
      </c>
      <c r="AH610" s="39">
        <f>IF(B610="","",IF(AG610="Clash","Clash - stylist double booked",IF(I610="","Assign - no stylist yet",IF(G610="","Add - no service chosen",IF(M610="No show","No show - charge the fee?",IF(M610="Cancelled","",IF(IF(M610="Completed",AB610&lt;Y610-0.004,FALSE),"Unpaid - nothing rung up for this visit",IF(IF(B610&lt;TodayDate,M610="Booked",FALSE),"Overdue - past date, still only Booked",IF(IF(B610=TodayDate,TRUE,FALSE),"Today",IF(IF(Z610&gt;0,AA610&lt;Z610-0.004,FALSE),"Due - deposit not taken",IF(IF(B610&gt;TodayDate,B610&lt;=TodayDate+2,FALSE),"Confirm - coming up","OK")))))))))))</f>
        <v>0</v>
      </c>
    </row>
    <row r="611" spans="1:34">
      <c r="A611" s="28">
        <f>IF(B611="","",AppointmentPrefix&amp;TEXT(ROW()-4,"0000"))</f>
        <v>0</v>
      </c>
      <c r="C611" s="15">
        <f>IF(B611="","",TEXT(B611,"ddd"))</f>
        <v>0</v>
      </c>
      <c r="F611" s="15">
        <f>IF(E611="","",IFERROR(INDEX(Clients!$B$5:$B$504,MATCH(E611,Clients!$A$5:$A$504,0)),"Walk-in"))</f>
        <v>0</v>
      </c>
      <c r="H611" s="15">
        <f>IF(G611="","",IFERROR(INDEX(Services!$B$5:$B$204,MATCH(G611,Services!$A$5:$A$204,0)),"Not in Services"))</f>
        <v>0</v>
      </c>
      <c r="J611" s="15">
        <f>IF(I611="","",IFERROR(INDEX(Staff!$B$5:$B$44,MATCH(I611,Staff!$A$5:$A$44,0)),"Unassigned"))</f>
        <v>0</v>
      </c>
      <c r="S611" s="15">
        <f>IF(B611="","",TEXT(B611,"yyyy-mm"))</f>
        <v>0</v>
      </c>
      <c r="T611" s="25">
        <f>IF(B611="","",WEEKNUM(B611,2))</f>
        <v>0</v>
      </c>
      <c r="U611" s="25">
        <f>IF(B611="","",IF(K611&lt;&gt;"",K611,IFERROR(INDEX(Services!$E$5:$E$204,MATCH(G611,Services!$A$5:$A$204,0))*1,0)+IFERROR(INDEX(Services!$F$5:$F$204,MATCH(G611,Services!$A$5:$A$204,0))*1,0)))</f>
        <v>0</v>
      </c>
      <c r="V611" s="36">
        <f>IF(B611="","",IF(D611="","",D611+U611/1440))</f>
        <v>0</v>
      </c>
      <c r="W611" s="25">
        <f>IF(B611="","",IF(D611="","",HOUR(D611)))</f>
        <v>0</v>
      </c>
      <c r="X611" s="37">
        <f>IF(B611="","",ROUND(U611/60,2))</f>
        <v>0</v>
      </c>
      <c r="Y611" s="26">
        <f>IF(B611="","",IF(L611&lt;&gt;"",L611,IFERROR(INDEX(Services!$G$5:$G$204,MATCH(G611,Services!$A$5:$A$204,0))*1,0)))</f>
        <v>0</v>
      </c>
      <c r="Z611" s="26">
        <f>IF(B611="","",IF(O611&lt;&gt;"",O611,IF(Y611&gt;=DepositThreshold,ROUND(Y611*DepositPercent,2),0)))</f>
        <v>0</v>
      </c>
      <c r="AA611" s="26">
        <f>IF(B611="","",ROUND(SUMIFS(Payments!$G$5:$G$1204,Payments!$I$5:$I$1204,A611,Payments!$E$5:$E$1204,"Deposit"),2))</f>
        <v>0</v>
      </c>
      <c r="AB611" s="26">
        <f>IF(B611="","",ROUND(SUMIFS(Sales!$Y$5:$Y$1204,Sales!$C$5:$C$1204,A611),2))</f>
        <v>0</v>
      </c>
      <c r="AC611" s="38">
        <f>IF(B611="","",IF(M611="Completed","Yes",IF(M611="Cancelled","Yes",IF(M611="No show","Yes","No"))))</f>
        <v>0</v>
      </c>
      <c r="AD611" s="25">
        <f>IF(B611="","",IF(AE611="","",B611-AE611))</f>
        <v>0</v>
      </c>
      <c r="AF611" s="38">
        <f>IF(B611="","",IF(M611&lt;&gt;"Completed","",IF(E611="","No",IF(COUNTIFS(Appointments!$E$5:$E$1204,E611,Appointments!$B$5:$B$1204,"&gt;"&amp;B611,Appointments!$M$5:$M$1204,"&lt;&gt;Cancelled")&gt;0,"Yes","No"))))</f>
        <v>0</v>
      </c>
      <c r="AG611" s="38">
        <f>IF(B611="","",IF(I611="","",IF(D611="","",IF(COUNTIFS($I$5:$I$1204,I611,$B$5:$B$1204,B611,$D$5:$D$1204,"&lt;"&amp;V611,$V$5:$V$1204,"&gt;"&amp;D611,$M$5:$M$1204,"&lt;&gt;Cancelled")&gt;1,"Clash",""))))</f>
        <v>0</v>
      </c>
      <c r="AH611" s="39">
        <f>IF(B611="","",IF(AG611="Clash","Clash - stylist double booked",IF(I611="","Assign - no stylist yet",IF(G611="","Add - no service chosen",IF(M611="No show","No show - charge the fee?",IF(M611="Cancelled","",IF(IF(M611="Completed",AB611&lt;Y611-0.004,FALSE),"Unpaid - nothing rung up for this visit",IF(IF(B611&lt;TodayDate,M611="Booked",FALSE),"Overdue - past date, still only Booked",IF(IF(B611=TodayDate,TRUE,FALSE),"Today",IF(IF(Z611&gt;0,AA611&lt;Z611-0.004,FALSE),"Due - deposit not taken",IF(IF(B611&gt;TodayDate,B611&lt;=TodayDate+2,FALSE),"Confirm - coming up","OK")))))))))))</f>
        <v>0</v>
      </c>
    </row>
    <row r="612" spans="1:34">
      <c r="A612" s="28">
        <f>IF(B612="","",AppointmentPrefix&amp;TEXT(ROW()-4,"0000"))</f>
        <v>0</v>
      </c>
      <c r="C612" s="15">
        <f>IF(B612="","",TEXT(B612,"ddd"))</f>
        <v>0</v>
      </c>
      <c r="F612" s="15">
        <f>IF(E612="","",IFERROR(INDEX(Clients!$B$5:$B$504,MATCH(E612,Clients!$A$5:$A$504,0)),"Walk-in"))</f>
        <v>0</v>
      </c>
      <c r="H612" s="15">
        <f>IF(G612="","",IFERROR(INDEX(Services!$B$5:$B$204,MATCH(G612,Services!$A$5:$A$204,0)),"Not in Services"))</f>
        <v>0</v>
      </c>
      <c r="J612" s="15">
        <f>IF(I612="","",IFERROR(INDEX(Staff!$B$5:$B$44,MATCH(I612,Staff!$A$5:$A$44,0)),"Unassigned"))</f>
        <v>0</v>
      </c>
      <c r="S612" s="15">
        <f>IF(B612="","",TEXT(B612,"yyyy-mm"))</f>
        <v>0</v>
      </c>
      <c r="T612" s="25">
        <f>IF(B612="","",WEEKNUM(B612,2))</f>
        <v>0</v>
      </c>
      <c r="U612" s="25">
        <f>IF(B612="","",IF(K612&lt;&gt;"",K612,IFERROR(INDEX(Services!$E$5:$E$204,MATCH(G612,Services!$A$5:$A$204,0))*1,0)+IFERROR(INDEX(Services!$F$5:$F$204,MATCH(G612,Services!$A$5:$A$204,0))*1,0)))</f>
        <v>0</v>
      </c>
      <c r="V612" s="36">
        <f>IF(B612="","",IF(D612="","",D612+U612/1440))</f>
        <v>0</v>
      </c>
      <c r="W612" s="25">
        <f>IF(B612="","",IF(D612="","",HOUR(D612)))</f>
        <v>0</v>
      </c>
      <c r="X612" s="37">
        <f>IF(B612="","",ROUND(U612/60,2))</f>
        <v>0</v>
      </c>
      <c r="Y612" s="26">
        <f>IF(B612="","",IF(L612&lt;&gt;"",L612,IFERROR(INDEX(Services!$G$5:$G$204,MATCH(G612,Services!$A$5:$A$204,0))*1,0)))</f>
        <v>0</v>
      </c>
      <c r="Z612" s="26">
        <f>IF(B612="","",IF(O612&lt;&gt;"",O612,IF(Y612&gt;=DepositThreshold,ROUND(Y612*DepositPercent,2),0)))</f>
        <v>0</v>
      </c>
      <c r="AA612" s="26">
        <f>IF(B612="","",ROUND(SUMIFS(Payments!$G$5:$G$1204,Payments!$I$5:$I$1204,A612,Payments!$E$5:$E$1204,"Deposit"),2))</f>
        <v>0</v>
      </c>
      <c r="AB612" s="26">
        <f>IF(B612="","",ROUND(SUMIFS(Sales!$Y$5:$Y$1204,Sales!$C$5:$C$1204,A612),2))</f>
        <v>0</v>
      </c>
      <c r="AC612" s="38">
        <f>IF(B612="","",IF(M612="Completed","Yes",IF(M612="Cancelled","Yes",IF(M612="No show","Yes","No"))))</f>
        <v>0</v>
      </c>
      <c r="AD612" s="25">
        <f>IF(B612="","",IF(AE612="","",B612-AE612))</f>
        <v>0</v>
      </c>
      <c r="AF612" s="38">
        <f>IF(B612="","",IF(M612&lt;&gt;"Completed","",IF(E612="","No",IF(COUNTIFS(Appointments!$E$5:$E$1204,E612,Appointments!$B$5:$B$1204,"&gt;"&amp;B612,Appointments!$M$5:$M$1204,"&lt;&gt;Cancelled")&gt;0,"Yes","No"))))</f>
        <v>0</v>
      </c>
      <c r="AG612" s="38">
        <f>IF(B612="","",IF(I612="","",IF(D612="","",IF(COUNTIFS($I$5:$I$1204,I612,$B$5:$B$1204,B612,$D$5:$D$1204,"&lt;"&amp;V612,$V$5:$V$1204,"&gt;"&amp;D612,$M$5:$M$1204,"&lt;&gt;Cancelled")&gt;1,"Clash",""))))</f>
        <v>0</v>
      </c>
      <c r="AH612" s="39">
        <f>IF(B612="","",IF(AG612="Clash","Clash - stylist double booked",IF(I612="","Assign - no stylist yet",IF(G612="","Add - no service chosen",IF(M612="No show","No show - charge the fee?",IF(M612="Cancelled","",IF(IF(M612="Completed",AB612&lt;Y612-0.004,FALSE),"Unpaid - nothing rung up for this visit",IF(IF(B612&lt;TodayDate,M612="Booked",FALSE),"Overdue - past date, still only Booked",IF(IF(B612=TodayDate,TRUE,FALSE),"Today",IF(IF(Z612&gt;0,AA612&lt;Z612-0.004,FALSE),"Due - deposit not taken",IF(IF(B612&gt;TodayDate,B612&lt;=TodayDate+2,FALSE),"Confirm - coming up","OK")))))))))))</f>
        <v>0</v>
      </c>
    </row>
    <row r="613" spans="1:34">
      <c r="A613" s="28">
        <f>IF(B613="","",AppointmentPrefix&amp;TEXT(ROW()-4,"0000"))</f>
        <v>0</v>
      </c>
      <c r="C613" s="15">
        <f>IF(B613="","",TEXT(B613,"ddd"))</f>
        <v>0</v>
      </c>
      <c r="F613" s="15">
        <f>IF(E613="","",IFERROR(INDEX(Clients!$B$5:$B$504,MATCH(E613,Clients!$A$5:$A$504,0)),"Walk-in"))</f>
        <v>0</v>
      </c>
      <c r="H613" s="15">
        <f>IF(G613="","",IFERROR(INDEX(Services!$B$5:$B$204,MATCH(G613,Services!$A$5:$A$204,0)),"Not in Services"))</f>
        <v>0</v>
      </c>
      <c r="J613" s="15">
        <f>IF(I613="","",IFERROR(INDEX(Staff!$B$5:$B$44,MATCH(I613,Staff!$A$5:$A$44,0)),"Unassigned"))</f>
        <v>0</v>
      </c>
      <c r="S613" s="15">
        <f>IF(B613="","",TEXT(B613,"yyyy-mm"))</f>
        <v>0</v>
      </c>
      <c r="T613" s="25">
        <f>IF(B613="","",WEEKNUM(B613,2))</f>
        <v>0</v>
      </c>
      <c r="U613" s="25">
        <f>IF(B613="","",IF(K613&lt;&gt;"",K613,IFERROR(INDEX(Services!$E$5:$E$204,MATCH(G613,Services!$A$5:$A$204,0))*1,0)+IFERROR(INDEX(Services!$F$5:$F$204,MATCH(G613,Services!$A$5:$A$204,0))*1,0)))</f>
        <v>0</v>
      </c>
      <c r="V613" s="36">
        <f>IF(B613="","",IF(D613="","",D613+U613/1440))</f>
        <v>0</v>
      </c>
      <c r="W613" s="25">
        <f>IF(B613="","",IF(D613="","",HOUR(D613)))</f>
        <v>0</v>
      </c>
      <c r="X613" s="37">
        <f>IF(B613="","",ROUND(U613/60,2))</f>
        <v>0</v>
      </c>
      <c r="Y613" s="26">
        <f>IF(B613="","",IF(L613&lt;&gt;"",L613,IFERROR(INDEX(Services!$G$5:$G$204,MATCH(G613,Services!$A$5:$A$204,0))*1,0)))</f>
        <v>0</v>
      </c>
      <c r="Z613" s="26">
        <f>IF(B613="","",IF(O613&lt;&gt;"",O613,IF(Y613&gt;=DepositThreshold,ROUND(Y613*DepositPercent,2),0)))</f>
        <v>0</v>
      </c>
      <c r="AA613" s="26">
        <f>IF(B613="","",ROUND(SUMIFS(Payments!$G$5:$G$1204,Payments!$I$5:$I$1204,A613,Payments!$E$5:$E$1204,"Deposit"),2))</f>
        <v>0</v>
      </c>
      <c r="AB613" s="26">
        <f>IF(B613="","",ROUND(SUMIFS(Sales!$Y$5:$Y$1204,Sales!$C$5:$C$1204,A613),2))</f>
        <v>0</v>
      </c>
      <c r="AC613" s="38">
        <f>IF(B613="","",IF(M613="Completed","Yes",IF(M613="Cancelled","Yes",IF(M613="No show","Yes","No"))))</f>
        <v>0</v>
      </c>
      <c r="AD613" s="25">
        <f>IF(B613="","",IF(AE613="","",B613-AE613))</f>
        <v>0</v>
      </c>
      <c r="AF613" s="38">
        <f>IF(B613="","",IF(M613&lt;&gt;"Completed","",IF(E613="","No",IF(COUNTIFS(Appointments!$E$5:$E$1204,E613,Appointments!$B$5:$B$1204,"&gt;"&amp;B613,Appointments!$M$5:$M$1204,"&lt;&gt;Cancelled")&gt;0,"Yes","No"))))</f>
        <v>0</v>
      </c>
      <c r="AG613" s="38">
        <f>IF(B613="","",IF(I613="","",IF(D613="","",IF(COUNTIFS($I$5:$I$1204,I613,$B$5:$B$1204,B613,$D$5:$D$1204,"&lt;"&amp;V613,$V$5:$V$1204,"&gt;"&amp;D613,$M$5:$M$1204,"&lt;&gt;Cancelled")&gt;1,"Clash",""))))</f>
        <v>0</v>
      </c>
      <c r="AH613" s="39">
        <f>IF(B613="","",IF(AG613="Clash","Clash - stylist double booked",IF(I613="","Assign - no stylist yet",IF(G613="","Add - no service chosen",IF(M613="No show","No show - charge the fee?",IF(M613="Cancelled","",IF(IF(M613="Completed",AB613&lt;Y613-0.004,FALSE),"Unpaid - nothing rung up for this visit",IF(IF(B613&lt;TodayDate,M613="Booked",FALSE),"Overdue - past date, still only Booked",IF(IF(B613=TodayDate,TRUE,FALSE),"Today",IF(IF(Z613&gt;0,AA613&lt;Z613-0.004,FALSE),"Due - deposit not taken",IF(IF(B613&gt;TodayDate,B613&lt;=TodayDate+2,FALSE),"Confirm - coming up","OK")))))))))))</f>
        <v>0</v>
      </c>
    </row>
    <row r="614" spans="1:34">
      <c r="A614" s="28">
        <f>IF(B614="","",AppointmentPrefix&amp;TEXT(ROW()-4,"0000"))</f>
        <v>0</v>
      </c>
      <c r="C614" s="15">
        <f>IF(B614="","",TEXT(B614,"ddd"))</f>
        <v>0</v>
      </c>
      <c r="F614" s="15">
        <f>IF(E614="","",IFERROR(INDEX(Clients!$B$5:$B$504,MATCH(E614,Clients!$A$5:$A$504,0)),"Walk-in"))</f>
        <v>0</v>
      </c>
      <c r="H614" s="15">
        <f>IF(G614="","",IFERROR(INDEX(Services!$B$5:$B$204,MATCH(G614,Services!$A$5:$A$204,0)),"Not in Services"))</f>
        <v>0</v>
      </c>
      <c r="J614" s="15">
        <f>IF(I614="","",IFERROR(INDEX(Staff!$B$5:$B$44,MATCH(I614,Staff!$A$5:$A$44,0)),"Unassigned"))</f>
        <v>0</v>
      </c>
      <c r="S614" s="15">
        <f>IF(B614="","",TEXT(B614,"yyyy-mm"))</f>
        <v>0</v>
      </c>
      <c r="T614" s="25">
        <f>IF(B614="","",WEEKNUM(B614,2))</f>
        <v>0</v>
      </c>
      <c r="U614" s="25">
        <f>IF(B614="","",IF(K614&lt;&gt;"",K614,IFERROR(INDEX(Services!$E$5:$E$204,MATCH(G614,Services!$A$5:$A$204,0))*1,0)+IFERROR(INDEX(Services!$F$5:$F$204,MATCH(G614,Services!$A$5:$A$204,0))*1,0)))</f>
        <v>0</v>
      </c>
      <c r="V614" s="36">
        <f>IF(B614="","",IF(D614="","",D614+U614/1440))</f>
        <v>0</v>
      </c>
      <c r="W614" s="25">
        <f>IF(B614="","",IF(D614="","",HOUR(D614)))</f>
        <v>0</v>
      </c>
      <c r="X614" s="37">
        <f>IF(B614="","",ROUND(U614/60,2))</f>
        <v>0</v>
      </c>
      <c r="Y614" s="26">
        <f>IF(B614="","",IF(L614&lt;&gt;"",L614,IFERROR(INDEX(Services!$G$5:$G$204,MATCH(G614,Services!$A$5:$A$204,0))*1,0)))</f>
        <v>0</v>
      </c>
      <c r="Z614" s="26">
        <f>IF(B614="","",IF(O614&lt;&gt;"",O614,IF(Y614&gt;=DepositThreshold,ROUND(Y614*DepositPercent,2),0)))</f>
        <v>0</v>
      </c>
      <c r="AA614" s="26">
        <f>IF(B614="","",ROUND(SUMIFS(Payments!$G$5:$G$1204,Payments!$I$5:$I$1204,A614,Payments!$E$5:$E$1204,"Deposit"),2))</f>
        <v>0</v>
      </c>
      <c r="AB614" s="26">
        <f>IF(B614="","",ROUND(SUMIFS(Sales!$Y$5:$Y$1204,Sales!$C$5:$C$1204,A614),2))</f>
        <v>0</v>
      </c>
      <c r="AC614" s="38">
        <f>IF(B614="","",IF(M614="Completed","Yes",IF(M614="Cancelled","Yes",IF(M614="No show","Yes","No"))))</f>
        <v>0</v>
      </c>
      <c r="AD614" s="25">
        <f>IF(B614="","",IF(AE614="","",B614-AE614))</f>
        <v>0</v>
      </c>
      <c r="AF614" s="38">
        <f>IF(B614="","",IF(M614&lt;&gt;"Completed","",IF(E614="","No",IF(COUNTIFS(Appointments!$E$5:$E$1204,E614,Appointments!$B$5:$B$1204,"&gt;"&amp;B614,Appointments!$M$5:$M$1204,"&lt;&gt;Cancelled")&gt;0,"Yes","No"))))</f>
        <v>0</v>
      </c>
      <c r="AG614" s="38">
        <f>IF(B614="","",IF(I614="","",IF(D614="","",IF(COUNTIFS($I$5:$I$1204,I614,$B$5:$B$1204,B614,$D$5:$D$1204,"&lt;"&amp;V614,$V$5:$V$1204,"&gt;"&amp;D614,$M$5:$M$1204,"&lt;&gt;Cancelled")&gt;1,"Clash",""))))</f>
        <v>0</v>
      </c>
      <c r="AH614" s="39">
        <f>IF(B614="","",IF(AG614="Clash","Clash - stylist double booked",IF(I614="","Assign - no stylist yet",IF(G614="","Add - no service chosen",IF(M614="No show","No show - charge the fee?",IF(M614="Cancelled","",IF(IF(M614="Completed",AB614&lt;Y614-0.004,FALSE),"Unpaid - nothing rung up for this visit",IF(IF(B614&lt;TodayDate,M614="Booked",FALSE),"Overdue - past date, still only Booked",IF(IF(B614=TodayDate,TRUE,FALSE),"Today",IF(IF(Z614&gt;0,AA614&lt;Z614-0.004,FALSE),"Due - deposit not taken",IF(IF(B614&gt;TodayDate,B614&lt;=TodayDate+2,FALSE),"Confirm - coming up","OK")))))))))))</f>
        <v>0</v>
      </c>
    </row>
    <row r="615" spans="1:34">
      <c r="A615" s="28">
        <f>IF(B615="","",AppointmentPrefix&amp;TEXT(ROW()-4,"0000"))</f>
        <v>0</v>
      </c>
      <c r="C615" s="15">
        <f>IF(B615="","",TEXT(B615,"ddd"))</f>
        <v>0</v>
      </c>
      <c r="F615" s="15">
        <f>IF(E615="","",IFERROR(INDEX(Clients!$B$5:$B$504,MATCH(E615,Clients!$A$5:$A$504,0)),"Walk-in"))</f>
        <v>0</v>
      </c>
      <c r="H615" s="15">
        <f>IF(G615="","",IFERROR(INDEX(Services!$B$5:$B$204,MATCH(G615,Services!$A$5:$A$204,0)),"Not in Services"))</f>
        <v>0</v>
      </c>
      <c r="J615" s="15">
        <f>IF(I615="","",IFERROR(INDEX(Staff!$B$5:$B$44,MATCH(I615,Staff!$A$5:$A$44,0)),"Unassigned"))</f>
        <v>0</v>
      </c>
      <c r="S615" s="15">
        <f>IF(B615="","",TEXT(B615,"yyyy-mm"))</f>
        <v>0</v>
      </c>
      <c r="T615" s="25">
        <f>IF(B615="","",WEEKNUM(B615,2))</f>
        <v>0</v>
      </c>
      <c r="U615" s="25">
        <f>IF(B615="","",IF(K615&lt;&gt;"",K615,IFERROR(INDEX(Services!$E$5:$E$204,MATCH(G615,Services!$A$5:$A$204,0))*1,0)+IFERROR(INDEX(Services!$F$5:$F$204,MATCH(G615,Services!$A$5:$A$204,0))*1,0)))</f>
        <v>0</v>
      </c>
      <c r="V615" s="36">
        <f>IF(B615="","",IF(D615="","",D615+U615/1440))</f>
        <v>0</v>
      </c>
      <c r="W615" s="25">
        <f>IF(B615="","",IF(D615="","",HOUR(D615)))</f>
        <v>0</v>
      </c>
      <c r="X615" s="37">
        <f>IF(B615="","",ROUND(U615/60,2))</f>
        <v>0</v>
      </c>
      <c r="Y615" s="26">
        <f>IF(B615="","",IF(L615&lt;&gt;"",L615,IFERROR(INDEX(Services!$G$5:$G$204,MATCH(G615,Services!$A$5:$A$204,0))*1,0)))</f>
        <v>0</v>
      </c>
      <c r="Z615" s="26">
        <f>IF(B615="","",IF(O615&lt;&gt;"",O615,IF(Y615&gt;=DepositThreshold,ROUND(Y615*DepositPercent,2),0)))</f>
        <v>0</v>
      </c>
      <c r="AA615" s="26">
        <f>IF(B615="","",ROUND(SUMIFS(Payments!$G$5:$G$1204,Payments!$I$5:$I$1204,A615,Payments!$E$5:$E$1204,"Deposit"),2))</f>
        <v>0</v>
      </c>
      <c r="AB615" s="26">
        <f>IF(B615="","",ROUND(SUMIFS(Sales!$Y$5:$Y$1204,Sales!$C$5:$C$1204,A615),2))</f>
        <v>0</v>
      </c>
      <c r="AC615" s="38">
        <f>IF(B615="","",IF(M615="Completed","Yes",IF(M615="Cancelled","Yes",IF(M615="No show","Yes","No"))))</f>
        <v>0</v>
      </c>
      <c r="AD615" s="25">
        <f>IF(B615="","",IF(AE615="","",B615-AE615))</f>
        <v>0</v>
      </c>
      <c r="AF615" s="38">
        <f>IF(B615="","",IF(M615&lt;&gt;"Completed","",IF(E615="","No",IF(COUNTIFS(Appointments!$E$5:$E$1204,E615,Appointments!$B$5:$B$1204,"&gt;"&amp;B615,Appointments!$M$5:$M$1204,"&lt;&gt;Cancelled")&gt;0,"Yes","No"))))</f>
        <v>0</v>
      </c>
      <c r="AG615" s="38">
        <f>IF(B615="","",IF(I615="","",IF(D615="","",IF(COUNTIFS($I$5:$I$1204,I615,$B$5:$B$1204,B615,$D$5:$D$1204,"&lt;"&amp;V615,$V$5:$V$1204,"&gt;"&amp;D615,$M$5:$M$1204,"&lt;&gt;Cancelled")&gt;1,"Clash",""))))</f>
        <v>0</v>
      </c>
      <c r="AH615" s="39">
        <f>IF(B615="","",IF(AG615="Clash","Clash - stylist double booked",IF(I615="","Assign - no stylist yet",IF(G615="","Add - no service chosen",IF(M615="No show","No show - charge the fee?",IF(M615="Cancelled","",IF(IF(M615="Completed",AB615&lt;Y615-0.004,FALSE),"Unpaid - nothing rung up for this visit",IF(IF(B615&lt;TodayDate,M615="Booked",FALSE),"Overdue - past date, still only Booked",IF(IF(B615=TodayDate,TRUE,FALSE),"Today",IF(IF(Z615&gt;0,AA615&lt;Z615-0.004,FALSE),"Due - deposit not taken",IF(IF(B615&gt;TodayDate,B615&lt;=TodayDate+2,FALSE),"Confirm - coming up","OK")))))))))))</f>
        <v>0</v>
      </c>
    </row>
    <row r="616" spans="1:34">
      <c r="A616" s="28">
        <f>IF(B616="","",AppointmentPrefix&amp;TEXT(ROW()-4,"0000"))</f>
        <v>0</v>
      </c>
      <c r="C616" s="15">
        <f>IF(B616="","",TEXT(B616,"ddd"))</f>
        <v>0</v>
      </c>
      <c r="F616" s="15">
        <f>IF(E616="","",IFERROR(INDEX(Clients!$B$5:$B$504,MATCH(E616,Clients!$A$5:$A$504,0)),"Walk-in"))</f>
        <v>0</v>
      </c>
      <c r="H616" s="15">
        <f>IF(G616="","",IFERROR(INDEX(Services!$B$5:$B$204,MATCH(G616,Services!$A$5:$A$204,0)),"Not in Services"))</f>
        <v>0</v>
      </c>
      <c r="J616" s="15">
        <f>IF(I616="","",IFERROR(INDEX(Staff!$B$5:$B$44,MATCH(I616,Staff!$A$5:$A$44,0)),"Unassigned"))</f>
        <v>0</v>
      </c>
      <c r="S616" s="15">
        <f>IF(B616="","",TEXT(B616,"yyyy-mm"))</f>
        <v>0</v>
      </c>
      <c r="T616" s="25">
        <f>IF(B616="","",WEEKNUM(B616,2))</f>
        <v>0</v>
      </c>
      <c r="U616" s="25">
        <f>IF(B616="","",IF(K616&lt;&gt;"",K616,IFERROR(INDEX(Services!$E$5:$E$204,MATCH(G616,Services!$A$5:$A$204,0))*1,0)+IFERROR(INDEX(Services!$F$5:$F$204,MATCH(G616,Services!$A$5:$A$204,0))*1,0)))</f>
        <v>0</v>
      </c>
      <c r="V616" s="36">
        <f>IF(B616="","",IF(D616="","",D616+U616/1440))</f>
        <v>0</v>
      </c>
      <c r="W616" s="25">
        <f>IF(B616="","",IF(D616="","",HOUR(D616)))</f>
        <v>0</v>
      </c>
      <c r="X616" s="37">
        <f>IF(B616="","",ROUND(U616/60,2))</f>
        <v>0</v>
      </c>
      <c r="Y616" s="26">
        <f>IF(B616="","",IF(L616&lt;&gt;"",L616,IFERROR(INDEX(Services!$G$5:$G$204,MATCH(G616,Services!$A$5:$A$204,0))*1,0)))</f>
        <v>0</v>
      </c>
      <c r="Z616" s="26">
        <f>IF(B616="","",IF(O616&lt;&gt;"",O616,IF(Y616&gt;=DepositThreshold,ROUND(Y616*DepositPercent,2),0)))</f>
        <v>0</v>
      </c>
      <c r="AA616" s="26">
        <f>IF(B616="","",ROUND(SUMIFS(Payments!$G$5:$G$1204,Payments!$I$5:$I$1204,A616,Payments!$E$5:$E$1204,"Deposit"),2))</f>
        <v>0</v>
      </c>
      <c r="AB616" s="26">
        <f>IF(B616="","",ROUND(SUMIFS(Sales!$Y$5:$Y$1204,Sales!$C$5:$C$1204,A616),2))</f>
        <v>0</v>
      </c>
      <c r="AC616" s="38">
        <f>IF(B616="","",IF(M616="Completed","Yes",IF(M616="Cancelled","Yes",IF(M616="No show","Yes","No"))))</f>
        <v>0</v>
      </c>
      <c r="AD616" s="25">
        <f>IF(B616="","",IF(AE616="","",B616-AE616))</f>
        <v>0</v>
      </c>
      <c r="AF616" s="38">
        <f>IF(B616="","",IF(M616&lt;&gt;"Completed","",IF(E616="","No",IF(COUNTIFS(Appointments!$E$5:$E$1204,E616,Appointments!$B$5:$B$1204,"&gt;"&amp;B616,Appointments!$M$5:$M$1204,"&lt;&gt;Cancelled")&gt;0,"Yes","No"))))</f>
        <v>0</v>
      </c>
      <c r="AG616" s="38">
        <f>IF(B616="","",IF(I616="","",IF(D616="","",IF(COUNTIFS($I$5:$I$1204,I616,$B$5:$B$1204,B616,$D$5:$D$1204,"&lt;"&amp;V616,$V$5:$V$1204,"&gt;"&amp;D616,$M$5:$M$1204,"&lt;&gt;Cancelled")&gt;1,"Clash",""))))</f>
        <v>0</v>
      </c>
      <c r="AH616" s="39">
        <f>IF(B616="","",IF(AG616="Clash","Clash - stylist double booked",IF(I616="","Assign - no stylist yet",IF(G616="","Add - no service chosen",IF(M616="No show","No show - charge the fee?",IF(M616="Cancelled","",IF(IF(M616="Completed",AB616&lt;Y616-0.004,FALSE),"Unpaid - nothing rung up for this visit",IF(IF(B616&lt;TodayDate,M616="Booked",FALSE),"Overdue - past date, still only Booked",IF(IF(B616=TodayDate,TRUE,FALSE),"Today",IF(IF(Z616&gt;0,AA616&lt;Z616-0.004,FALSE),"Due - deposit not taken",IF(IF(B616&gt;TodayDate,B616&lt;=TodayDate+2,FALSE),"Confirm - coming up","OK")))))))))))</f>
        <v>0</v>
      </c>
    </row>
    <row r="617" spans="1:34">
      <c r="A617" s="28">
        <f>IF(B617="","",AppointmentPrefix&amp;TEXT(ROW()-4,"0000"))</f>
        <v>0</v>
      </c>
      <c r="C617" s="15">
        <f>IF(B617="","",TEXT(B617,"ddd"))</f>
        <v>0</v>
      </c>
      <c r="F617" s="15">
        <f>IF(E617="","",IFERROR(INDEX(Clients!$B$5:$B$504,MATCH(E617,Clients!$A$5:$A$504,0)),"Walk-in"))</f>
        <v>0</v>
      </c>
      <c r="H617" s="15">
        <f>IF(G617="","",IFERROR(INDEX(Services!$B$5:$B$204,MATCH(G617,Services!$A$5:$A$204,0)),"Not in Services"))</f>
        <v>0</v>
      </c>
      <c r="J617" s="15">
        <f>IF(I617="","",IFERROR(INDEX(Staff!$B$5:$B$44,MATCH(I617,Staff!$A$5:$A$44,0)),"Unassigned"))</f>
        <v>0</v>
      </c>
      <c r="S617" s="15">
        <f>IF(B617="","",TEXT(B617,"yyyy-mm"))</f>
        <v>0</v>
      </c>
      <c r="T617" s="25">
        <f>IF(B617="","",WEEKNUM(B617,2))</f>
        <v>0</v>
      </c>
      <c r="U617" s="25">
        <f>IF(B617="","",IF(K617&lt;&gt;"",K617,IFERROR(INDEX(Services!$E$5:$E$204,MATCH(G617,Services!$A$5:$A$204,0))*1,0)+IFERROR(INDEX(Services!$F$5:$F$204,MATCH(G617,Services!$A$5:$A$204,0))*1,0)))</f>
        <v>0</v>
      </c>
      <c r="V617" s="36">
        <f>IF(B617="","",IF(D617="","",D617+U617/1440))</f>
        <v>0</v>
      </c>
      <c r="W617" s="25">
        <f>IF(B617="","",IF(D617="","",HOUR(D617)))</f>
        <v>0</v>
      </c>
      <c r="X617" s="37">
        <f>IF(B617="","",ROUND(U617/60,2))</f>
        <v>0</v>
      </c>
      <c r="Y617" s="26">
        <f>IF(B617="","",IF(L617&lt;&gt;"",L617,IFERROR(INDEX(Services!$G$5:$G$204,MATCH(G617,Services!$A$5:$A$204,0))*1,0)))</f>
        <v>0</v>
      </c>
      <c r="Z617" s="26">
        <f>IF(B617="","",IF(O617&lt;&gt;"",O617,IF(Y617&gt;=DepositThreshold,ROUND(Y617*DepositPercent,2),0)))</f>
        <v>0</v>
      </c>
      <c r="AA617" s="26">
        <f>IF(B617="","",ROUND(SUMIFS(Payments!$G$5:$G$1204,Payments!$I$5:$I$1204,A617,Payments!$E$5:$E$1204,"Deposit"),2))</f>
        <v>0</v>
      </c>
      <c r="AB617" s="26">
        <f>IF(B617="","",ROUND(SUMIFS(Sales!$Y$5:$Y$1204,Sales!$C$5:$C$1204,A617),2))</f>
        <v>0</v>
      </c>
      <c r="AC617" s="38">
        <f>IF(B617="","",IF(M617="Completed","Yes",IF(M617="Cancelled","Yes",IF(M617="No show","Yes","No"))))</f>
        <v>0</v>
      </c>
      <c r="AD617" s="25">
        <f>IF(B617="","",IF(AE617="","",B617-AE617))</f>
        <v>0</v>
      </c>
      <c r="AF617" s="38">
        <f>IF(B617="","",IF(M617&lt;&gt;"Completed","",IF(E617="","No",IF(COUNTIFS(Appointments!$E$5:$E$1204,E617,Appointments!$B$5:$B$1204,"&gt;"&amp;B617,Appointments!$M$5:$M$1204,"&lt;&gt;Cancelled")&gt;0,"Yes","No"))))</f>
        <v>0</v>
      </c>
      <c r="AG617" s="38">
        <f>IF(B617="","",IF(I617="","",IF(D617="","",IF(COUNTIFS($I$5:$I$1204,I617,$B$5:$B$1204,B617,$D$5:$D$1204,"&lt;"&amp;V617,$V$5:$V$1204,"&gt;"&amp;D617,$M$5:$M$1204,"&lt;&gt;Cancelled")&gt;1,"Clash",""))))</f>
        <v>0</v>
      </c>
      <c r="AH617" s="39">
        <f>IF(B617="","",IF(AG617="Clash","Clash - stylist double booked",IF(I617="","Assign - no stylist yet",IF(G617="","Add - no service chosen",IF(M617="No show","No show - charge the fee?",IF(M617="Cancelled","",IF(IF(M617="Completed",AB617&lt;Y617-0.004,FALSE),"Unpaid - nothing rung up for this visit",IF(IF(B617&lt;TodayDate,M617="Booked",FALSE),"Overdue - past date, still only Booked",IF(IF(B617=TodayDate,TRUE,FALSE),"Today",IF(IF(Z617&gt;0,AA617&lt;Z617-0.004,FALSE),"Due - deposit not taken",IF(IF(B617&gt;TodayDate,B617&lt;=TodayDate+2,FALSE),"Confirm - coming up","OK")))))))))))</f>
        <v>0</v>
      </c>
    </row>
    <row r="618" spans="1:34">
      <c r="A618" s="28">
        <f>IF(B618="","",AppointmentPrefix&amp;TEXT(ROW()-4,"0000"))</f>
        <v>0</v>
      </c>
      <c r="C618" s="15">
        <f>IF(B618="","",TEXT(B618,"ddd"))</f>
        <v>0</v>
      </c>
      <c r="F618" s="15">
        <f>IF(E618="","",IFERROR(INDEX(Clients!$B$5:$B$504,MATCH(E618,Clients!$A$5:$A$504,0)),"Walk-in"))</f>
        <v>0</v>
      </c>
      <c r="H618" s="15">
        <f>IF(G618="","",IFERROR(INDEX(Services!$B$5:$B$204,MATCH(G618,Services!$A$5:$A$204,0)),"Not in Services"))</f>
        <v>0</v>
      </c>
      <c r="J618" s="15">
        <f>IF(I618="","",IFERROR(INDEX(Staff!$B$5:$B$44,MATCH(I618,Staff!$A$5:$A$44,0)),"Unassigned"))</f>
        <v>0</v>
      </c>
      <c r="S618" s="15">
        <f>IF(B618="","",TEXT(B618,"yyyy-mm"))</f>
        <v>0</v>
      </c>
      <c r="T618" s="25">
        <f>IF(B618="","",WEEKNUM(B618,2))</f>
        <v>0</v>
      </c>
      <c r="U618" s="25">
        <f>IF(B618="","",IF(K618&lt;&gt;"",K618,IFERROR(INDEX(Services!$E$5:$E$204,MATCH(G618,Services!$A$5:$A$204,0))*1,0)+IFERROR(INDEX(Services!$F$5:$F$204,MATCH(G618,Services!$A$5:$A$204,0))*1,0)))</f>
        <v>0</v>
      </c>
      <c r="V618" s="36">
        <f>IF(B618="","",IF(D618="","",D618+U618/1440))</f>
        <v>0</v>
      </c>
      <c r="W618" s="25">
        <f>IF(B618="","",IF(D618="","",HOUR(D618)))</f>
        <v>0</v>
      </c>
      <c r="X618" s="37">
        <f>IF(B618="","",ROUND(U618/60,2))</f>
        <v>0</v>
      </c>
      <c r="Y618" s="26">
        <f>IF(B618="","",IF(L618&lt;&gt;"",L618,IFERROR(INDEX(Services!$G$5:$G$204,MATCH(G618,Services!$A$5:$A$204,0))*1,0)))</f>
        <v>0</v>
      </c>
      <c r="Z618" s="26">
        <f>IF(B618="","",IF(O618&lt;&gt;"",O618,IF(Y618&gt;=DepositThreshold,ROUND(Y618*DepositPercent,2),0)))</f>
        <v>0</v>
      </c>
      <c r="AA618" s="26">
        <f>IF(B618="","",ROUND(SUMIFS(Payments!$G$5:$G$1204,Payments!$I$5:$I$1204,A618,Payments!$E$5:$E$1204,"Deposit"),2))</f>
        <v>0</v>
      </c>
      <c r="AB618" s="26">
        <f>IF(B618="","",ROUND(SUMIFS(Sales!$Y$5:$Y$1204,Sales!$C$5:$C$1204,A618),2))</f>
        <v>0</v>
      </c>
      <c r="AC618" s="38">
        <f>IF(B618="","",IF(M618="Completed","Yes",IF(M618="Cancelled","Yes",IF(M618="No show","Yes","No"))))</f>
        <v>0</v>
      </c>
      <c r="AD618" s="25">
        <f>IF(B618="","",IF(AE618="","",B618-AE618))</f>
        <v>0</v>
      </c>
      <c r="AF618" s="38">
        <f>IF(B618="","",IF(M618&lt;&gt;"Completed","",IF(E618="","No",IF(COUNTIFS(Appointments!$E$5:$E$1204,E618,Appointments!$B$5:$B$1204,"&gt;"&amp;B618,Appointments!$M$5:$M$1204,"&lt;&gt;Cancelled")&gt;0,"Yes","No"))))</f>
        <v>0</v>
      </c>
      <c r="AG618" s="38">
        <f>IF(B618="","",IF(I618="","",IF(D618="","",IF(COUNTIFS($I$5:$I$1204,I618,$B$5:$B$1204,B618,$D$5:$D$1204,"&lt;"&amp;V618,$V$5:$V$1204,"&gt;"&amp;D618,$M$5:$M$1204,"&lt;&gt;Cancelled")&gt;1,"Clash",""))))</f>
        <v>0</v>
      </c>
      <c r="AH618" s="39">
        <f>IF(B618="","",IF(AG618="Clash","Clash - stylist double booked",IF(I618="","Assign - no stylist yet",IF(G618="","Add - no service chosen",IF(M618="No show","No show - charge the fee?",IF(M618="Cancelled","",IF(IF(M618="Completed",AB618&lt;Y618-0.004,FALSE),"Unpaid - nothing rung up for this visit",IF(IF(B618&lt;TodayDate,M618="Booked",FALSE),"Overdue - past date, still only Booked",IF(IF(B618=TodayDate,TRUE,FALSE),"Today",IF(IF(Z618&gt;0,AA618&lt;Z618-0.004,FALSE),"Due - deposit not taken",IF(IF(B618&gt;TodayDate,B618&lt;=TodayDate+2,FALSE),"Confirm - coming up","OK")))))))))))</f>
        <v>0</v>
      </c>
    </row>
    <row r="619" spans="1:34">
      <c r="A619" s="28">
        <f>IF(B619="","",AppointmentPrefix&amp;TEXT(ROW()-4,"0000"))</f>
        <v>0</v>
      </c>
      <c r="C619" s="15">
        <f>IF(B619="","",TEXT(B619,"ddd"))</f>
        <v>0</v>
      </c>
      <c r="F619" s="15">
        <f>IF(E619="","",IFERROR(INDEX(Clients!$B$5:$B$504,MATCH(E619,Clients!$A$5:$A$504,0)),"Walk-in"))</f>
        <v>0</v>
      </c>
      <c r="H619" s="15">
        <f>IF(G619="","",IFERROR(INDEX(Services!$B$5:$B$204,MATCH(G619,Services!$A$5:$A$204,0)),"Not in Services"))</f>
        <v>0</v>
      </c>
      <c r="J619" s="15">
        <f>IF(I619="","",IFERROR(INDEX(Staff!$B$5:$B$44,MATCH(I619,Staff!$A$5:$A$44,0)),"Unassigned"))</f>
        <v>0</v>
      </c>
      <c r="S619" s="15">
        <f>IF(B619="","",TEXT(B619,"yyyy-mm"))</f>
        <v>0</v>
      </c>
      <c r="T619" s="25">
        <f>IF(B619="","",WEEKNUM(B619,2))</f>
        <v>0</v>
      </c>
      <c r="U619" s="25">
        <f>IF(B619="","",IF(K619&lt;&gt;"",K619,IFERROR(INDEX(Services!$E$5:$E$204,MATCH(G619,Services!$A$5:$A$204,0))*1,0)+IFERROR(INDEX(Services!$F$5:$F$204,MATCH(G619,Services!$A$5:$A$204,0))*1,0)))</f>
        <v>0</v>
      </c>
      <c r="V619" s="36">
        <f>IF(B619="","",IF(D619="","",D619+U619/1440))</f>
        <v>0</v>
      </c>
      <c r="W619" s="25">
        <f>IF(B619="","",IF(D619="","",HOUR(D619)))</f>
        <v>0</v>
      </c>
      <c r="X619" s="37">
        <f>IF(B619="","",ROUND(U619/60,2))</f>
        <v>0</v>
      </c>
      <c r="Y619" s="26">
        <f>IF(B619="","",IF(L619&lt;&gt;"",L619,IFERROR(INDEX(Services!$G$5:$G$204,MATCH(G619,Services!$A$5:$A$204,0))*1,0)))</f>
        <v>0</v>
      </c>
      <c r="Z619" s="26">
        <f>IF(B619="","",IF(O619&lt;&gt;"",O619,IF(Y619&gt;=DepositThreshold,ROUND(Y619*DepositPercent,2),0)))</f>
        <v>0</v>
      </c>
      <c r="AA619" s="26">
        <f>IF(B619="","",ROUND(SUMIFS(Payments!$G$5:$G$1204,Payments!$I$5:$I$1204,A619,Payments!$E$5:$E$1204,"Deposit"),2))</f>
        <v>0</v>
      </c>
      <c r="AB619" s="26">
        <f>IF(B619="","",ROUND(SUMIFS(Sales!$Y$5:$Y$1204,Sales!$C$5:$C$1204,A619),2))</f>
        <v>0</v>
      </c>
      <c r="AC619" s="38">
        <f>IF(B619="","",IF(M619="Completed","Yes",IF(M619="Cancelled","Yes",IF(M619="No show","Yes","No"))))</f>
        <v>0</v>
      </c>
      <c r="AD619" s="25">
        <f>IF(B619="","",IF(AE619="","",B619-AE619))</f>
        <v>0</v>
      </c>
      <c r="AF619" s="38">
        <f>IF(B619="","",IF(M619&lt;&gt;"Completed","",IF(E619="","No",IF(COUNTIFS(Appointments!$E$5:$E$1204,E619,Appointments!$B$5:$B$1204,"&gt;"&amp;B619,Appointments!$M$5:$M$1204,"&lt;&gt;Cancelled")&gt;0,"Yes","No"))))</f>
        <v>0</v>
      </c>
      <c r="AG619" s="38">
        <f>IF(B619="","",IF(I619="","",IF(D619="","",IF(COUNTIFS($I$5:$I$1204,I619,$B$5:$B$1204,B619,$D$5:$D$1204,"&lt;"&amp;V619,$V$5:$V$1204,"&gt;"&amp;D619,$M$5:$M$1204,"&lt;&gt;Cancelled")&gt;1,"Clash",""))))</f>
        <v>0</v>
      </c>
      <c r="AH619" s="39">
        <f>IF(B619="","",IF(AG619="Clash","Clash - stylist double booked",IF(I619="","Assign - no stylist yet",IF(G619="","Add - no service chosen",IF(M619="No show","No show - charge the fee?",IF(M619="Cancelled","",IF(IF(M619="Completed",AB619&lt;Y619-0.004,FALSE),"Unpaid - nothing rung up for this visit",IF(IF(B619&lt;TodayDate,M619="Booked",FALSE),"Overdue - past date, still only Booked",IF(IF(B619=TodayDate,TRUE,FALSE),"Today",IF(IF(Z619&gt;0,AA619&lt;Z619-0.004,FALSE),"Due - deposit not taken",IF(IF(B619&gt;TodayDate,B619&lt;=TodayDate+2,FALSE),"Confirm - coming up","OK")))))))))))</f>
        <v>0</v>
      </c>
    </row>
    <row r="620" spans="1:34">
      <c r="A620" s="28">
        <f>IF(B620="","",AppointmentPrefix&amp;TEXT(ROW()-4,"0000"))</f>
        <v>0</v>
      </c>
      <c r="C620" s="15">
        <f>IF(B620="","",TEXT(B620,"ddd"))</f>
        <v>0</v>
      </c>
      <c r="F620" s="15">
        <f>IF(E620="","",IFERROR(INDEX(Clients!$B$5:$B$504,MATCH(E620,Clients!$A$5:$A$504,0)),"Walk-in"))</f>
        <v>0</v>
      </c>
      <c r="H620" s="15">
        <f>IF(G620="","",IFERROR(INDEX(Services!$B$5:$B$204,MATCH(G620,Services!$A$5:$A$204,0)),"Not in Services"))</f>
        <v>0</v>
      </c>
      <c r="J620" s="15">
        <f>IF(I620="","",IFERROR(INDEX(Staff!$B$5:$B$44,MATCH(I620,Staff!$A$5:$A$44,0)),"Unassigned"))</f>
        <v>0</v>
      </c>
      <c r="S620" s="15">
        <f>IF(B620="","",TEXT(B620,"yyyy-mm"))</f>
        <v>0</v>
      </c>
      <c r="T620" s="25">
        <f>IF(B620="","",WEEKNUM(B620,2))</f>
        <v>0</v>
      </c>
      <c r="U620" s="25">
        <f>IF(B620="","",IF(K620&lt;&gt;"",K620,IFERROR(INDEX(Services!$E$5:$E$204,MATCH(G620,Services!$A$5:$A$204,0))*1,0)+IFERROR(INDEX(Services!$F$5:$F$204,MATCH(G620,Services!$A$5:$A$204,0))*1,0)))</f>
        <v>0</v>
      </c>
      <c r="V620" s="36">
        <f>IF(B620="","",IF(D620="","",D620+U620/1440))</f>
        <v>0</v>
      </c>
      <c r="W620" s="25">
        <f>IF(B620="","",IF(D620="","",HOUR(D620)))</f>
        <v>0</v>
      </c>
      <c r="X620" s="37">
        <f>IF(B620="","",ROUND(U620/60,2))</f>
        <v>0</v>
      </c>
      <c r="Y620" s="26">
        <f>IF(B620="","",IF(L620&lt;&gt;"",L620,IFERROR(INDEX(Services!$G$5:$G$204,MATCH(G620,Services!$A$5:$A$204,0))*1,0)))</f>
        <v>0</v>
      </c>
      <c r="Z620" s="26">
        <f>IF(B620="","",IF(O620&lt;&gt;"",O620,IF(Y620&gt;=DepositThreshold,ROUND(Y620*DepositPercent,2),0)))</f>
        <v>0</v>
      </c>
      <c r="AA620" s="26">
        <f>IF(B620="","",ROUND(SUMIFS(Payments!$G$5:$G$1204,Payments!$I$5:$I$1204,A620,Payments!$E$5:$E$1204,"Deposit"),2))</f>
        <v>0</v>
      </c>
      <c r="AB620" s="26">
        <f>IF(B620="","",ROUND(SUMIFS(Sales!$Y$5:$Y$1204,Sales!$C$5:$C$1204,A620),2))</f>
        <v>0</v>
      </c>
      <c r="AC620" s="38">
        <f>IF(B620="","",IF(M620="Completed","Yes",IF(M620="Cancelled","Yes",IF(M620="No show","Yes","No"))))</f>
        <v>0</v>
      </c>
      <c r="AD620" s="25">
        <f>IF(B620="","",IF(AE620="","",B620-AE620))</f>
        <v>0</v>
      </c>
      <c r="AF620" s="38">
        <f>IF(B620="","",IF(M620&lt;&gt;"Completed","",IF(E620="","No",IF(COUNTIFS(Appointments!$E$5:$E$1204,E620,Appointments!$B$5:$B$1204,"&gt;"&amp;B620,Appointments!$M$5:$M$1204,"&lt;&gt;Cancelled")&gt;0,"Yes","No"))))</f>
        <v>0</v>
      </c>
      <c r="AG620" s="38">
        <f>IF(B620="","",IF(I620="","",IF(D620="","",IF(COUNTIFS($I$5:$I$1204,I620,$B$5:$B$1204,B620,$D$5:$D$1204,"&lt;"&amp;V620,$V$5:$V$1204,"&gt;"&amp;D620,$M$5:$M$1204,"&lt;&gt;Cancelled")&gt;1,"Clash",""))))</f>
        <v>0</v>
      </c>
      <c r="AH620" s="39">
        <f>IF(B620="","",IF(AG620="Clash","Clash - stylist double booked",IF(I620="","Assign - no stylist yet",IF(G620="","Add - no service chosen",IF(M620="No show","No show - charge the fee?",IF(M620="Cancelled","",IF(IF(M620="Completed",AB620&lt;Y620-0.004,FALSE),"Unpaid - nothing rung up for this visit",IF(IF(B620&lt;TodayDate,M620="Booked",FALSE),"Overdue - past date, still only Booked",IF(IF(B620=TodayDate,TRUE,FALSE),"Today",IF(IF(Z620&gt;0,AA620&lt;Z620-0.004,FALSE),"Due - deposit not taken",IF(IF(B620&gt;TodayDate,B620&lt;=TodayDate+2,FALSE),"Confirm - coming up","OK")))))))))))</f>
        <v>0</v>
      </c>
    </row>
    <row r="621" spans="1:34">
      <c r="A621" s="28">
        <f>IF(B621="","",AppointmentPrefix&amp;TEXT(ROW()-4,"0000"))</f>
        <v>0</v>
      </c>
      <c r="C621" s="15">
        <f>IF(B621="","",TEXT(B621,"ddd"))</f>
        <v>0</v>
      </c>
      <c r="F621" s="15">
        <f>IF(E621="","",IFERROR(INDEX(Clients!$B$5:$B$504,MATCH(E621,Clients!$A$5:$A$504,0)),"Walk-in"))</f>
        <v>0</v>
      </c>
      <c r="H621" s="15">
        <f>IF(G621="","",IFERROR(INDEX(Services!$B$5:$B$204,MATCH(G621,Services!$A$5:$A$204,0)),"Not in Services"))</f>
        <v>0</v>
      </c>
      <c r="J621" s="15">
        <f>IF(I621="","",IFERROR(INDEX(Staff!$B$5:$B$44,MATCH(I621,Staff!$A$5:$A$44,0)),"Unassigned"))</f>
        <v>0</v>
      </c>
      <c r="S621" s="15">
        <f>IF(B621="","",TEXT(B621,"yyyy-mm"))</f>
        <v>0</v>
      </c>
      <c r="T621" s="25">
        <f>IF(B621="","",WEEKNUM(B621,2))</f>
        <v>0</v>
      </c>
      <c r="U621" s="25">
        <f>IF(B621="","",IF(K621&lt;&gt;"",K621,IFERROR(INDEX(Services!$E$5:$E$204,MATCH(G621,Services!$A$5:$A$204,0))*1,0)+IFERROR(INDEX(Services!$F$5:$F$204,MATCH(G621,Services!$A$5:$A$204,0))*1,0)))</f>
        <v>0</v>
      </c>
      <c r="V621" s="36">
        <f>IF(B621="","",IF(D621="","",D621+U621/1440))</f>
        <v>0</v>
      </c>
      <c r="W621" s="25">
        <f>IF(B621="","",IF(D621="","",HOUR(D621)))</f>
        <v>0</v>
      </c>
      <c r="X621" s="37">
        <f>IF(B621="","",ROUND(U621/60,2))</f>
        <v>0</v>
      </c>
      <c r="Y621" s="26">
        <f>IF(B621="","",IF(L621&lt;&gt;"",L621,IFERROR(INDEX(Services!$G$5:$G$204,MATCH(G621,Services!$A$5:$A$204,0))*1,0)))</f>
        <v>0</v>
      </c>
      <c r="Z621" s="26">
        <f>IF(B621="","",IF(O621&lt;&gt;"",O621,IF(Y621&gt;=DepositThreshold,ROUND(Y621*DepositPercent,2),0)))</f>
        <v>0</v>
      </c>
      <c r="AA621" s="26">
        <f>IF(B621="","",ROUND(SUMIFS(Payments!$G$5:$G$1204,Payments!$I$5:$I$1204,A621,Payments!$E$5:$E$1204,"Deposit"),2))</f>
        <v>0</v>
      </c>
      <c r="AB621" s="26">
        <f>IF(B621="","",ROUND(SUMIFS(Sales!$Y$5:$Y$1204,Sales!$C$5:$C$1204,A621),2))</f>
        <v>0</v>
      </c>
      <c r="AC621" s="38">
        <f>IF(B621="","",IF(M621="Completed","Yes",IF(M621="Cancelled","Yes",IF(M621="No show","Yes","No"))))</f>
        <v>0</v>
      </c>
      <c r="AD621" s="25">
        <f>IF(B621="","",IF(AE621="","",B621-AE621))</f>
        <v>0</v>
      </c>
      <c r="AF621" s="38">
        <f>IF(B621="","",IF(M621&lt;&gt;"Completed","",IF(E621="","No",IF(COUNTIFS(Appointments!$E$5:$E$1204,E621,Appointments!$B$5:$B$1204,"&gt;"&amp;B621,Appointments!$M$5:$M$1204,"&lt;&gt;Cancelled")&gt;0,"Yes","No"))))</f>
        <v>0</v>
      </c>
      <c r="AG621" s="38">
        <f>IF(B621="","",IF(I621="","",IF(D621="","",IF(COUNTIFS($I$5:$I$1204,I621,$B$5:$B$1204,B621,$D$5:$D$1204,"&lt;"&amp;V621,$V$5:$V$1204,"&gt;"&amp;D621,$M$5:$M$1204,"&lt;&gt;Cancelled")&gt;1,"Clash",""))))</f>
        <v>0</v>
      </c>
      <c r="AH621" s="39">
        <f>IF(B621="","",IF(AG621="Clash","Clash - stylist double booked",IF(I621="","Assign - no stylist yet",IF(G621="","Add - no service chosen",IF(M621="No show","No show - charge the fee?",IF(M621="Cancelled","",IF(IF(M621="Completed",AB621&lt;Y621-0.004,FALSE),"Unpaid - nothing rung up for this visit",IF(IF(B621&lt;TodayDate,M621="Booked",FALSE),"Overdue - past date, still only Booked",IF(IF(B621=TodayDate,TRUE,FALSE),"Today",IF(IF(Z621&gt;0,AA621&lt;Z621-0.004,FALSE),"Due - deposit not taken",IF(IF(B621&gt;TodayDate,B621&lt;=TodayDate+2,FALSE),"Confirm - coming up","OK")))))))))))</f>
        <v>0</v>
      </c>
    </row>
    <row r="622" spans="1:34">
      <c r="A622" s="28">
        <f>IF(B622="","",AppointmentPrefix&amp;TEXT(ROW()-4,"0000"))</f>
        <v>0</v>
      </c>
      <c r="C622" s="15">
        <f>IF(B622="","",TEXT(B622,"ddd"))</f>
        <v>0</v>
      </c>
      <c r="F622" s="15">
        <f>IF(E622="","",IFERROR(INDEX(Clients!$B$5:$B$504,MATCH(E622,Clients!$A$5:$A$504,0)),"Walk-in"))</f>
        <v>0</v>
      </c>
      <c r="H622" s="15">
        <f>IF(G622="","",IFERROR(INDEX(Services!$B$5:$B$204,MATCH(G622,Services!$A$5:$A$204,0)),"Not in Services"))</f>
        <v>0</v>
      </c>
      <c r="J622" s="15">
        <f>IF(I622="","",IFERROR(INDEX(Staff!$B$5:$B$44,MATCH(I622,Staff!$A$5:$A$44,0)),"Unassigned"))</f>
        <v>0</v>
      </c>
      <c r="S622" s="15">
        <f>IF(B622="","",TEXT(B622,"yyyy-mm"))</f>
        <v>0</v>
      </c>
      <c r="T622" s="25">
        <f>IF(B622="","",WEEKNUM(B622,2))</f>
        <v>0</v>
      </c>
      <c r="U622" s="25">
        <f>IF(B622="","",IF(K622&lt;&gt;"",K622,IFERROR(INDEX(Services!$E$5:$E$204,MATCH(G622,Services!$A$5:$A$204,0))*1,0)+IFERROR(INDEX(Services!$F$5:$F$204,MATCH(G622,Services!$A$5:$A$204,0))*1,0)))</f>
        <v>0</v>
      </c>
      <c r="V622" s="36">
        <f>IF(B622="","",IF(D622="","",D622+U622/1440))</f>
        <v>0</v>
      </c>
      <c r="W622" s="25">
        <f>IF(B622="","",IF(D622="","",HOUR(D622)))</f>
        <v>0</v>
      </c>
      <c r="X622" s="37">
        <f>IF(B622="","",ROUND(U622/60,2))</f>
        <v>0</v>
      </c>
      <c r="Y622" s="26">
        <f>IF(B622="","",IF(L622&lt;&gt;"",L622,IFERROR(INDEX(Services!$G$5:$G$204,MATCH(G622,Services!$A$5:$A$204,0))*1,0)))</f>
        <v>0</v>
      </c>
      <c r="Z622" s="26">
        <f>IF(B622="","",IF(O622&lt;&gt;"",O622,IF(Y622&gt;=DepositThreshold,ROUND(Y622*DepositPercent,2),0)))</f>
        <v>0</v>
      </c>
      <c r="AA622" s="26">
        <f>IF(B622="","",ROUND(SUMIFS(Payments!$G$5:$G$1204,Payments!$I$5:$I$1204,A622,Payments!$E$5:$E$1204,"Deposit"),2))</f>
        <v>0</v>
      </c>
      <c r="AB622" s="26">
        <f>IF(B622="","",ROUND(SUMIFS(Sales!$Y$5:$Y$1204,Sales!$C$5:$C$1204,A622),2))</f>
        <v>0</v>
      </c>
      <c r="AC622" s="38">
        <f>IF(B622="","",IF(M622="Completed","Yes",IF(M622="Cancelled","Yes",IF(M622="No show","Yes","No"))))</f>
        <v>0</v>
      </c>
      <c r="AD622" s="25">
        <f>IF(B622="","",IF(AE622="","",B622-AE622))</f>
        <v>0</v>
      </c>
      <c r="AF622" s="38">
        <f>IF(B622="","",IF(M622&lt;&gt;"Completed","",IF(E622="","No",IF(COUNTIFS(Appointments!$E$5:$E$1204,E622,Appointments!$B$5:$B$1204,"&gt;"&amp;B622,Appointments!$M$5:$M$1204,"&lt;&gt;Cancelled")&gt;0,"Yes","No"))))</f>
        <v>0</v>
      </c>
      <c r="AG622" s="38">
        <f>IF(B622="","",IF(I622="","",IF(D622="","",IF(COUNTIFS($I$5:$I$1204,I622,$B$5:$B$1204,B622,$D$5:$D$1204,"&lt;"&amp;V622,$V$5:$V$1204,"&gt;"&amp;D622,$M$5:$M$1204,"&lt;&gt;Cancelled")&gt;1,"Clash",""))))</f>
        <v>0</v>
      </c>
      <c r="AH622" s="39">
        <f>IF(B622="","",IF(AG622="Clash","Clash - stylist double booked",IF(I622="","Assign - no stylist yet",IF(G622="","Add - no service chosen",IF(M622="No show","No show - charge the fee?",IF(M622="Cancelled","",IF(IF(M622="Completed",AB622&lt;Y622-0.004,FALSE),"Unpaid - nothing rung up for this visit",IF(IF(B622&lt;TodayDate,M622="Booked",FALSE),"Overdue - past date, still only Booked",IF(IF(B622=TodayDate,TRUE,FALSE),"Today",IF(IF(Z622&gt;0,AA622&lt;Z622-0.004,FALSE),"Due - deposit not taken",IF(IF(B622&gt;TodayDate,B622&lt;=TodayDate+2,FALSE),"Confirm - coming up","OK")))))))))))</f>
        <v>0</v>
      </c>
    </row>
    <row r="623" spans="1:34">
      <c r="A623" s="28">
        <f>IF(B623="","",AppointmentPrefix&amp;TEXT(ROW()-4,"0000"))</f>
        <v>0</v>
      </c>
      <c r="C623" s="15">
        <f>IF(B623="","",TEXT(B623,"ddd"))</f>
        <v>0</v>
      </c>
      <c r="F623" s="15">
        <f>IF(E623="","",IFERROR(INDEX(Clients!$B$5:$B$504,MATCH(E623,Clients!$A$5:$A$504,0)),"Walk-in"))</f>
        <v>0</v>
      </c>
      <c r="H623" s="15">
        <f>IF(G623="","",IFERROR(INDEX(Services!$B$5:$B$204,MATCH(G623,Services!$A$5:$A$204,0)),"Not in Services"))</f>
        <v>0</v>
      </c>
      <c r="J623" s="15">
        <f>IF(I623="","",IFERROR(INDEX(Staff!$B$5:$B$44,MATCH(I623,Staff!$A$5:$A$44,0)),"Unassigned"))</f>
        <v>0</v>
      </c>
      <c r="S623" s="15">
        <f>IF(B623="","",TEXT(B623,"yyyy-mm"))</f>
        <v>0</v>
      </c>
      <c r="T623" s="25">
        <f>IF(B623="","",WEEKNUM(B623,2))</f>
        <v>0</v>
      </c>
      <c r="U623" s="25">
        <f>IF(B623="","",IF(K623&lt;&gt;"",K623,IFERROR(INDEX(Services!$E$5:$E$204,MATCH(G623,Services!$A$5:$A$204,0))*1,0)+IFERROR(INDEX(Services!$F$5:$F$204,MATCH(G623,Services!$A$5:$A$204,0))*1,0)))</f>
        <v>0</v>
      </c>
      <c r="V623" s="36">
        <f>IF(B623="","",IF(D623="","",D623+U623/1440))</f>
        <v>0</v>
      </c>
      <c r="W623" s="25">
        <f>IF(B623="","",IF(D623="","",HOUR(D623)))</f>
        <v>0</v>
      </c>
      <c r="X623" s="37">
        <f>IF(B623="","",ROUND(U623/60,2))</f>
        <v>0</v>
      </c>
      <c r="Y623" s="26">
        <f>IF(B623="","",IF(L623&lt;&gt;"",L623,IFERROR(INDEX(Services!$G$5:$G$204,MATCH(G623,Services!$A$5:$A$204,0))*1,0)))</f>
        <v>0</v>
      </c>
      <c r="Z623" s="26">
        <f>IF(B623="","",IF(O623&lt;&gt;"",O623,IF(Y623&gt;=DepositThreshold,ROUND(Y623*DepositPercent,2),0)))</f>
        <v>0</v>
      </c>
      <c r="AA623" s="26">
        <f>IF(B623="","",ROUND(SUMIFS(Payments!$G$5:$G$1204,Payments!$I$5:$I$1204,A623,Payments!$E$5:$E$1204,"Deposit"),2))</f>
        <v>0</v>
      </c>
      <c r="AB623" s="26">
        <f>IF(B623="","",ROUND(SUMIFS(Sales!$Y$5:$Y$1204,Sales!$C$5:$C$1204,A623),2))</f>
        <v>0</v>
      </c>
      <c r="AC623" s="38">
        <f>IF(B623="","",IF(M623="Completed","Yes",IF(M623="Cancelled","Yes",IF(M623="No show","Yes","No"))))</f>
        <v>0</v>
      </c>
      <c r="AD623" s="25">
        <f>IF(B623="","",IF(AE623="","",B623-AE623))</f>
        <v>0</v>
      </c>
      <c r="AF623" s="38">
        <f>IF(B623="","",IF(M623&lt;&gt;"Completed","",IF(E623="","No",IF(COUNTIFS(Appointments!$E$5:$E$1204,E623,Appointments!$B$5:$B$1204,"&gt;"&amp;B623,Appointments!$M$5:$M$1204,"&lt;&gt;Cancelled")&gt;0,"Yes","No"))))</f>
        <v>0</v>
      </c>
      <c r="AG623" s="38">
        <f>IF(B623="","",IF(I623="","",IF(D623="","",IF(COUNTIFS($I$5:$I$1204,I623,$B$5:$B$1204,B623,$D$5:$D$1204,"&lt;"&amp;V623,$V$5:$V$1204,"&gt;"&amp;D623,$M$5:$M$1204,"&lt;&gt;Cancelled")&gt;1,"Clash",""))))</f>
        <v>0</v>
      </c>
      <c r="AH623" s="39">
        <f>IF(B623="","",IF(AG623="Clash","Clash - stylist double booked",IF(I623="","Assign - no stylist yet",IF(G623="","Add - no service chosen",IF(M623="No show","No show - charge the fee?",IF(M623="Cancelled","",IF(IF(M623="Completed",AB623&lt;Y623-0.004,FALSE),"Unpaid - nothing rung up for this visit",IF(IF(B623&lt;TodayDate,M623="Booked",FALSE),"Overdue - past date, still only Booked",IF(IF(B623=TodayDate,TRUE,FALSE),"Today",IF(IF(Z623&gt;0,AA623&lt;Z623-0.004,FALSE),"Due - deposit not taken",IF(IF(B623&gt;TodayDate,B623&lt;=TodayDate+2,FALSE),"Confirm - coming up","OK")))))))))))</f>
        <v>0</v>
      </c>
    </row>
    <row r="624" spans="1:34">
      <c r="A624" s="28">
        <f>IF(B624="","",AppointmentPrefix&amp;TEXT(ROW()-4,"0000"))</f>
        <v>0</v>
      </c>
      <c r="C624" s="15">
        <f>IF(B624="","",TEXT(B624,"ddd"))</f>
        <v>0</v>
      </c>
      <c r="F624" s="15">
        <f>IF(E624="","",IFERROR(INDEX(Clients!$B$5:$B$504,MATCH(E624,Clients!$A$5:$A$504,0)),"Walk-in"))</f>
        <v>0</v>
      </c>
      <c r="H624" s="15">
        <f>IF(G624="","",IFERROR(INDEX(Services!$B$5:$B$204,MATCH(G624,Services!$A$5:$A$204,0)),"Not in Services"))</f>
        <v>0</v>
      </c>
      <c r="J624" s="15">
        <f>IF(I624="","",IFERROR(INDEX(Staff!$B$5:$B$44,MATCH(I624,Staff!$A$5:$A$44,0)),"Unassigned"))</f>
        <v>0</v>
      </c>
      <c r="S624" s="15">
        <f>IF(B624="","",TEXT(B624,"yyyy-mm"))</f>
        <v>0</v>
      </c>
      <c r="T624" s="25">
        <f>IF(B624="","",WEEKNUM(B624,2))</f>
        <v>0</v>
      </c>
      <c r="U624" s="25">
        <f>IF(B624="","",IF(K624&lt;&gt;"",K624,IFERROR(INDEX(Services!$E$5:$E$204,MATCH(G624,Services!$A$5:$A$204,0))*1,0)+IFERROR(INDEX(Services!$F$5:$F$204,MATCH(G624,Services!$A$5:$A$204,0))*1,0)))</f>
        <v>0</v>
      </c>
      <c r="V624" s="36">
        <f>IF(B624="","",IF(D624="","",D624+U624/1440))</f>
        <v>0</v>
      </c>
      <c r="W624" s="25">
        <f>IF(B624="","",IF(D624="","",HOUR(D624)))</f>
        <v>0</v>
      </c>
      <c r="X624" s="37">
        <f>IF(B624="","",ROUND(U624/60,2))</f>
        <v>0</v>
      </c>
      <c r="Y624" s="26">
        <f>IF(B624="","",IF(L624&lt;&gt;"",L624,IFERROR(INDEX(Services!$G$5:$G$204,MATCH(G624,Services!$A$5:$A$204,0))*1,0)))</f>
        <v>0</v>
      </c>
      <c r="Z624" s="26">
        <f>IF(B624="","",IF(O624&lt;&gt;"",O624,IF(Y624&gt;=DepositThreshold,ROUND(Y624*DepositPercent,2),0)))</f>
        <v>0</v>
      </c>
      <c r="AA624" s="26">
        <f>IF(B624="","",ROUND(SUMIFS(Payments!$G$5:$G$1204,Payments!$I$5:$I$1204,A624,Payments!$E$5:$E$1204,"Deposit"),2))</f>
        <v>0</v>
      </c>
      <c r="AB624" s="26">
        <f>IF(B624="","",ROUND(SUMIFS(Sales!$Y$5:$Y$1204,Sales!$C$5:$C$1204,A624),2))</f>
        <v>0</v>
      </c>
      <c r="AC624" s="38">
        <f>IF(B624="","",IF(M624="Completed","Yes",IF(M624="Cancelled","Yes",IF(M624="No show","Yes","No"))))</f>
        <v>0</v>
      </c>
      <c r="AD624" s="25">
        <f>IF(B624="","",IF(AE624="","",B624-AE624))</f>
        <v>0</v>
      </c>
      <c r="AF624" s="38">
        <f>IF(B624="","",IF(M624&lt;&gt;"Completed","",IF(E624="","No",IF(COUNTIFS(Appointments!$E$5:$E$1204,E624,Appointments!$B$5:$B$1204,"&gt;"&amp;B624,Appointments!$M$5:$M$1204,"&lt;&gt;Cancelled")&gt;0,"Yes","No"))))</f>
        <v>0</v>
      </c>
      <c r="AG624" s="38">
        <f>IF(B624="","",IF(I624="","",IF(D624="","",IF(COUNTIFS($I$5:$I$1204,I624,$B$5:$B$1204,B624,$D$5:$D$1204,"&lt;"&amp;V624,$V$5:$V$1204,"&gt;"&amp;D624,$M$5:$M$1204,"&lt;&gt;Cancelled")&gt;1,"Clash",""))))</f>
        <v>0</v>
      </c>
      <c r="AH624" s="39">
        <f>IF(B624="","",IF(AG624="Clash","Clash - stylist double booked",IF(I624="","Assign - no stylist yet",IF(G624="","Add - no service chosen",IF(M624="No show","No show - charge the fee?",IF(M624="Cancelled","",IF(IF(M624="Completed",AB624&lt;Y624-0.004,FALSE),"Unpaid - nothing rung up for this visit",IF(IF(B624&lt;TodayDate,M624="Booked",FALSE),"Overdue - past date, still only Booked",IF(IF(B624=TodayDate,TRUE,FALSE),"Today",IF(IF(Z624&gt;0,AA624&lt;Z624-0.004,FALSE),"Due - deposit not taken",IF(IF(B624&gt;TodayDate,B624&lt;=TodayDate+2,FALSE),"Confirm - coming up","OK")))))))))))</f>
        <v>0</v>
      </c>
    </row>
    <row r="625" spans="1:34">
      <c r="A625" s="28">
        <f>IF(B625="","",AppointmentPrefix&amp;TEXT(ROW()-4,"0000"))</f>
        <v>0</v>
      </c>
      <c r="C625" s="15">
        <f>IF(B625="","",TEXT(B625,"ddd"))</f>
        <v>0</v>
      </c>
      <c r="F625" s="15">
        <f>IF(E625="","",IFERROR(INDEX(Clients!$B$5:$B$504,MATCH(E625,Clients!$A$5:$A$504,0)),"Walk-in"))</f>
        <v>0</v>
      </c>
      <c r="H625" s="15">
        <f>IF(G625="","",IFERROR(INDEX(Services!$B$5:$B$204,MATCH(G625,Services!$A$5:$A$204,0)),"Not in Services"))</f>
        <v>0</v>
      </c>
      <c r="J625" s="15">
        <f>IF(I625="","",IFERROR(INDEX(Staff!$B$5:$B$44,MATCH(I625,Staff!$A$5:$A$44,0)),"Unassigned"))</f>
        <v>0</v>
      </c>
      <c r="S625" s="15">
        <f>IF(B625="","",TEXT(B625,"yyyy-mm"))</f>
        <v>0</v>
      </c>
      <c r="T625" s="25">
        <f>IF(B625="","",WEEKNUM(B625,2))</f>
        <v>0</v>
      </c>
      <c r="U625" s="25">
        <f>IF(B625="","",IF(K625&lt;&gt;"",K625,IFERROR(INDEX(Services!$E$5:$E$204,MATCH(G625,Services!$A$5:$A$204,0))*1,0)+IFERROR(INDEX(Services!$F$5:$F$204,MATCH(G625,Services!$A$5:$A$204,0))*1,0)))</f>
        <v>0</v>
      </c>
      <c r="V625" s="36">
        <f>IF(B625="","",IF(D625="","",D625+U625/1440))</f>
        <v>0</v>
      </c>
      <c r="W625" s="25">
        <f>IF(B625="","",IF(D625="","",HOUR(D625)))</f>
        <v>0</v>
      </c>
      <c r="X625" s="37">
        <f>IF(B625="","",ROUND(U625/60,2))</f>
        <v>0</v>
      </c>
      <c r="Y625" s="26">
        <f>IF(B625="","",IF(L625&lt;&gt;"",L625,IFERROR(INDEX(Services!$G$5:$G$204,MATCH(G625,Services!$A$5:$A$204,0))*1,0)))</f>
        <v>0</v>
      </c>
      <c r="Z625" s="26">
        <f>IF(B625="","",IF(O625&lt;&gt;"",O625,IF(Y625&gt;=DepositThreshold,ROUND(Y625*DepositPercent,2),0)))</f>
        <v>0</v>
      </c>
      <c r="AA625" s="26">
        <f>IF(B625="","",ROUND(SUMIFS(Payments!$G$5:$G$1204,Payments!$I$5:$I$1204,A625,Payments!$E$5:$E$1204,"Deposit"),2))</f>
        <v>0</v>
      </c>
      <c r="AB625" s="26">
        <f>IF(B625="","",ROUND(SUMIFS(Sales!$Y$5:$Y$1204,Sales!$C$5:$C$1204,A625),2))</f>
        <v>0</v>
      </c>
      <c r="AC625" s="38">
        <f>IF(B625="","",IF(M625="Completed","Yes",IF(M625="Cancelled","Yes",IF(M625="No show","Yes","No"))))</f>
        <v>0</v>
      </c>
      <c r="AD625" s="25">
        <f>IF(B625="","",IF(AE625="","",B625-AE625))</f>
        <v>0</v>
      </c>
      <c r="AF625" s="38">
        <f>IF(B625="","",IF(M625&lt;&gt;"Completed","",IF(E625="","No",IF(COUNTIFS(Appointments!$E$5:$E$1204,E625,Appointments!$B$5:$B$1204,"&gt;"&amp;B625,Appointments!$M$5:$M$1204,"&lt;&gt;Cancelled")&gt;0,"Yes","No"))))</f>
        <v>0</v>
      </c>
      <c r="AG625" s="38">
        <f>IF(B625="","",IF(I625="","",IF(D625="","",IF(COUNTIFS($I$5:$I$1204,I625,$B$5:$B$1204,B625,$D$5:$D$1204,"&lt;"&amp;V625,$V$5:$V$1204,"&gt;"&amp;D625,$M$5:$M$1204,"&lt;&gt;Cancelled")&gt;1,"Clash",""))))</f>
        <v>0</v>
      </c>
      <c r="AH625" s="39">
        <f>IF(B625="","",IF(AG625="Clash","Clash - stylist double booked",IF(I625="","Assign - no stylist yet",IF(G625="","Add - no service chosen",IF(M625="No show","No show - charge the fee?",IF(M625="Cancelled","",IF(IF(M625="Completed",AB625&lt;Y625-0.004,FALSE),"Unpaid - nothing rung up for this visit",IF(IF(B625&lt;TodayDate,M625="Booked",FALSE),"Overdue - past date, still only Booked",IF(IF(B625=TodayDate,TRUE,FALSE),"Today",IF(IF(Z625&gt;0,AA625&lt;Z625-0.004,FALSE),"Due - deposit not taken",IF(IF(B625&gt;TodayDate,B625&lt;=TodayDate+2,FALSE),"Confirm - coming up","OK")))))))))))</f>
        <v>0</v>
      </c>
    </row>
    <row r="626" spans="1:34">
      <c r="A626" s="28">
        <f>IF(B626="","",AppointmentPrefix&amp;TEXT(ROW()-4,"0000"))</f>
        <v>0</v>
      </c>
      <c r="C626" s="15">
        <f>IF(B626="","",TEXT(B626,"ddd"))</f>
        <v>0</v>
      </c>
      <c r="F626" s="15">
        <f>IF(E626="","",IFERROR(INDEX(Clients!$B$5:$B$504,MATCH(E626,Clients!$A$5:$A$504,0)),"Walk-in"))</f>
        <v>0</v>
      </c>
      <c r="H626" s="15">
        <f>IF(G626="","",IFERROR(INDEX(Services!$B$5:$B$204,MATCH(G626,Services!$A$5:$A$204,0)),"Not in Services"))</f>
        <v>0</v>
      </c>
      <c r="J626" s="15">
        <f>IF(I626="","",IFERROR(INDEX(Staff!$B$5:$B$44,MATCH(I626,Staff!$A$5:$A$44,0)),"Unassigned"))</f>
        <v>0</v>
      </c>
      <c r="S626" s="15">
        <f>IF(B626="","",TEXT(B626,"yyyy-mm"))</f>
        <v>0</v>
      </c>
      <c r="T626" s="25">
        <f>IF(B626="","",WEEKNUM(B626,2))</f>
        <v>0</v>
      </c>
      <c r="U626" s="25">
        <f>IF(B626="","",IF(K626&lt;&gt;"",K626,IFERROR(INDEX(Services!$E$5:$E$204,MATCH(G626,Services!$A$5:$A$204,0))*1,0)+IFERROR(INDEX(Services!$F$5:$F$204,MATCH(G626,Services!$A$5:$A$204,0))*1,0)))</f>
        <v>0</v>
      </c>
      <c r="V626" s="36">
        <f>IF(B626="","",IF(D626="","",D626+U626/1440))</f>
        <v>0</v>
      </c>
      <c r="W626" s="25">
        <f>IF(B626="","",IF(D626="","",HOUR(D626)))</f>
        <v>0</v>
      </c>
      <c r="X626" s="37">
        <f>IF(B626="","",ROUND(U626/60,2))</f>
        <v>0</v>
      </c>
      <c r="Y626" s="26">
        <f>IF(B626="","",IF(L626&lt;&gt;"",L626,IFERROR(INDEX(Services!$G$5:$G$204,MATCH(G626,Services!$A$5:$A$204,0))*1,0)))</f>
        <v>0</v>
      </c>
      <c r="Z626" s="26">
        <f>IF(B626="","",IF(O626&lt;&gt;"",O626,IF(Y626&gt;=DepositThreshold,ROUND(Y626*DepositPercent,2),0)))</f>
        <v>0</v>
      </c>
      <c r="AA626" s="26">
        <f>IF(B626="","",ROUND(SUMIFS(Payments!$G$5:$G$1204,Payments!$I$5:$I$1204,A626,Payments!$E$5:$E$1204,"Deposit"),2))</f>
        <v>0</v>
      </c>
      <c r="AB626" s="26">
        <f>IF(B626="","",ROUND(SUMIFS(Sales!$Y$5:$Y$1204,Sales!$C$5:$C$1204,A626),2))</f>
        <v>0</v>
      </c>
      <c r="AC626" s="38">
        <f>IF(B626="","",IF(M626="Completed","Yes",IF(M626="Cancelled","Yes",IF(M626="No show","Yes","No"))))</f>
        <v>0</v>
      </c>
      <c r="AD626" s="25">
        <f>IF(B626="","",IF(AE626="","",B626-AE626))</f>
        <v>0</v>
      </c>
      <c r="AF626" s="38">
        <f>IF(B626="","",IF(M626&lt;&gt;"Completed","",IF(E626="","No",IF(COUNTIFS(Appointments!$E$5:$E$1204,E626,Appointments!$B$5:$B$1204,"&gt;"&amp;B626,Appointments!$M$5:$M$1204,"&lt;&gt;Cancelled")&gt;0,"Yes","No"))))</f>
        <v>0</v>
      </c>
      <c r="AG626" s="38">
        <f>IF(B626="","",IF(I626="","",IF(D626="","",IF(COUNTIFS($I$5:$I$1204,I626,$B$5:$B$1204,B626,$D$5:$D$1204,"&lt;"&amp;V626,$V$5:$V$1204,"&gt;"&amp;D626,$M$5:$M$1204,"&lt;&gt;Cancelled")&gt;1,"Clash",""))))</f>
        <v>0</v>
      </c>
      <c r="AH626" s="39">
        <f>IF(B626="","",IF(AG626="Clash","Clash - stylist double booked",IF(I626="","Assign - no stylist yet",IF(G626="","Add - no service chosen",IF(M626="No show","No show - charge the fee?",IF(M626="Cancelled","",IF(IF(M626="Completed",AB626&lt;Y626-0.004,FALSE),"Unpaid - nothing rung up for this visit",IF(IF(B626&lt;TodayDate,M626="Booked",FALSE),"Overdue - past date, still only Booked",IF(IF(B626=TodayDate,TRUE,FALSE),"Today",IF(IF(Z626&gt;0,AA626&lt;Z626-0.004,FALSE),"Due - deposit not taken",IF(IF(B626&gt;TodayDate,B626&lt;=TodayDate+2,FALSE),"Confirm - coming up","OK")))))))))))</f>
        <v>0</v>
      </c>
    </row>
    <row r="627" spans="1:34">
      <c r="A627" s="28">
        <f>IF(B627="","",AppointmentPrefix&amp;TEXT(ROW()-4,"0000"))</f>
        <v>0</v>
      </c>
      <c r="C627" s="15">
        <f>IF(B627="","",TEXT(B627,"ddd"))</f>
        <v>0</v>
      </c>
      <c r="F627" s="15">
        <f>IF(E627="","",IFERROR(INDEX(Clients!$B$5:$B$504,MATCH(E627,Clients!$A$5:$A$504,0)),"Walk-in"))</f>
        <v>0</v>
      </c>
      <c r="H627" s="15">
        <f>IF(G627="","",IFERROR(INDEX(Services!$B$5:$B$204,MATCH(G627,Services!$A$5:$A$204,0)),"Not in Services"))</f>
        <v>0</v>
      </c>
      <c r="J627" s="15">
        <f>IF(I627="","",IFERROR(INDEX(Staff!$B$5:$B$44,MATCH(I627,Staff!$A$5:$A$44,0)),"Unassigned"))</f>
        <v>0</v>
      </c>
      <c r="S627" s="15">
        <f>IF(B627="","",TEXT(B627,"yyyy-mm"))</f>
        <v>0</v>
      </c>
      <c r="T627" s="25">
        <f>IF(B627="","",WEEKNUM(B627,2))</f>
        <v>0</v>
      </c>
      <c r="U627" s="25">
        <f>IF(B627="","",IF(K627&lt;&gt;"",K627,IFERROR(INDEX(Services!$E$5:$E$204,MATCH(G627,Services!$A$5:$A$204,0))*1,0)+IFERROR(INDEX(Services!$F$5:$F$204,MATCH(G627,Services!$A$5:$A$204,0))*1,0)))</f>
        <v>0</v>
      </c>
      <c r="V627" s="36">
        <f>IF(B627="","",IF(D627="","",D627+U627/1440))</f>
        <v>0</v>
      </c>
      <c r="W627" s="25">
        <f>IF(B627="","",IF(D627="","",HOUR(D627)))</f>
        <v>0</v>
      </c>
      <c r="X627" s="37">
        <f>IF(B627="","",ROUND(U627/60,2))</f>
        <v>0</v>
      </c>
      <c r="Y627" s="26">
        <f>IF(B627="","",IF(L627&lt;&gt;"",L627,IFERROR(INDEX(Services!$G$5:$G$204,MATCH(G627,Services!$A$5:$A$204,0))*1,0)))</f>
        <v>0</v>
      </c>
      <c r="Z627" s="26">
        <f>IF(B627="","",IF(O627&lt;&gt;"",O627,IF(Y627&gt;=DepositThreshold,ROUND(Y627*DepositPercent,2),0)))</f>
        <v>0</v>
      </c>
      <c r="AA627" s="26">
        <f>IF(B627="","",ROUND(SUMIFS(Payments!$G$5:$G$1204,Payments!$I$5:$I$1204,A627,Payments!$E$5:$E$1204,"Deposit"),2))</f>
        <v>0</v>
      </c>
      <c r="AB627" s="26">
        <f>IF(B627="","",ROUND(SUMIFS(Sales!$Y$5:$Y$1204,Sales!$C$5:$C$1204,A627),2))</f>
        <v>0</v>
      </c>
      <c r="AC627" s="38">
        <f>IF(B627="","",IF(M627="Completed","Yes",IF(M627="Cancelled","Yes",IF(M627="No show","Yes","No"))))</f>
        <v>0</v>
      </c>
      <c r="AD627" s="25">
        <f>IF(B627="","",IF(AE627="","",B627-AE627))</f>
        <v>0</v>
      </c>
      <c r="AF627" s="38">
        <f>IF(B627="","",IF(M627&lt;&gt;"Completed","",IF(E627="","No",IF(COUNTIFS(Appointments!$E$5:$E$1204,E627,Appointments!$B$5:$B$1204,"&gt;"&amp;B627,Appointments!$M$5:$M$1204,"&lt;&gt;Cancelled")&gt;0,"Yes","No"))))</f>
        <v>0</v>
      </c>
      <c r="AG627" s="38">
        <f>IF(B627="","",IF(I627="","",IF(D627="","",IF(COUNTIFS($I$5:$I$1204,I627,$B$5:$B$1204,B627,$D$5:$D$1204,"&lt;"&amp;V627,$V$5:$V$1204,"&gt;"&amp;D627,$M$5:$M$1204,"&lt;&gt;Cancelled")&gt;1,"Clash",""))))</f>
        <v>0</v>
      </c>
      <c r="AH627" s="39">
        <f>IF(B627="","",IF(AG627="Clash","Clash - stylist double booked",IF(I627="","Assign - no stylist yet",IF(G627="","Add - no service chosen",IF(M627="No show","No show - charge the fee?",IF(M627="Cancelled","",IF(IF(M627="Completed",AB627&lt;Y627-0.004,FALSE),"Unpaid - nothing rung up for this visit",IF(IF(B627&lt;TodayDate,M627="Booked",FALSE),"Overdue - past date, still only Booked",IF(IF(B627=TodayDate,TRUE,FALSE),"Today",IF(IF(Z627&gt;0,AA627&lt;Z627-0.004,FALSE),"Due - deposit not taken",IF(IF(B627&gt;TodayDate,B627&lt;=TodayDate+2,FALSE),"Confirm - coming up","OK")))))))))))</f>
        <v>0</v>
      </c>
    </row>
    <row r="628" spans="1:34">
      <c r="A628" s="28">
        <f>IF(B628="","",AppointmentPrefix&amp;TEXT(ROW()-4,"0000"))</f>
        <v>0</v>
      </c>
      <c r="C628" s="15">
        <f>IF(B628="","",TEXT(B628,"ddd"))</f>
        <v>0</v>
      </c>
      <c r="F628" s="15">
        <f>IF(E628="","",IFERROR(INDEX(Clients!$B$5:$B$504,MATCH(E628,Clients!$A$5:$A$504,0)),"Walk-in"))</f>
        <v>0</v>
      </c>
      <c r="H628" s="15">
        <f>IF(G628="","",IFERROR(INDEX(Services!$B$5:$B$204,MATCH(G628,Services!$A$5:$A$204,0)),"Not in Services"))</f>
        <v>0</v>
      </c>
      <c r="J628" s="15">
        <f>IF(I628="","",IFERROR(INDEX(Staff!$B$5:$B$44,MATCH(I628,Staff!$A$5:$A$44,0)),"Unassigned"))</f>
        <v>0</v>
      </c>
      <c r="S628" s="15">
        <f>IF(B628="","",TEXT(B628,"yyyy-mm"))</f>
        <v>0</v>
      </c>
      <c r="T628" s="25">
        <f>IF(B628="","",WEEKNUM(B628,2))</f>
        <v>0</v>
      </c>
      <c r="U628" s="25">
        <f>IF(B628="","",IF(K628&lt;&gt;"",K628,IFERROR(INDEX(Services!$E$5:$E$204,MATCH(G628,Services!$A$5:$A$204,0))*1,0)+IFERROR(INDEX(Services!$F$5:$F$204,MATCH(G628,Services!$A$5:$A$204,0))*1,0)))</f>
        <v>0</v>
      </c>
      <c r="V628" s="36">
        <f>IF(B628="","",IF(D628="","",D628+U628/1440))</f>
        <v>0</v>
      </c>
      <c r="W628" s="25">
        <f>IF(B628="","",IF(D628="","",HOUR(D628)))</f>
        <v>0</v>
      </c>
      <c r="X628" s="37">
        <f>IF(B628="","",ROUND(U628/60,2))</f>
        <v>0</v>
      </c>
      <c r="Y628" s="26">
        <f>IF(B628="","",IF(L628&lt;&gt;"",L628,IFERROR(INDEX(Services!$G$5:$G$204,MATCH(G628,Services!$A$5:$A$204,0))*1,0)))</f>
        <v>0</v>
      </c>
      <c r="Z628" s="26">
        <f>IF(B628="","",IF(O628&lt;&gt;"",O628,IF(Y628&gt;=DepositThreshold,ROUND(Y628*DepositPercent,2),0)))</f>
        <v>0</v>
      </c>
      <c r="AA628" s="26">
        <f>IF(B628="","",ROUND(SUMIFS(Payments!$G$5:$G$1204,Payments!$I$5:$I$1204,A628,Payments!$E$5:$E$1204,"Deposit"),2))</f>
        <v>0</v>
      </c>
      <c r="AB628" s="26">
        <f>IF(B628="","",ROUND(SUMIFS(Sales!$Y$5:$Y$1204,Sales!$C$5:$C$1204,A628),2))</f>
        <v>0</v>
      </c>
      <c r="AC628" s="38">
        <f>IF(B628="","",IF(M628="Completed","Yes",IF(M628="Cancelled","Yes",IF(M628="No show","Yes","No"))))</f>
        <v>0</v>
      </c>
      <c r="AD628" s="25">
        <f>IF(B628="","",IF(AE628="","",B628-AE628))</f>
        <v>0</v>
      </c>
      <c r="AF628" s="38">
        <f>IF(B628="","",IF(M628&lt;&gt;"Completed","",IF(E628="","No",IF(COUNTIFS(Appointments!$E$5:$E$1204,E628,Appointments!$B$5:$B$1204,"&gt;"&amp;B628,Appointments!$M$5:$M$1204,"&lt;&gt;Cancelled")&gt;0,"Yes","No"))))</f>
        <v>0</v>
      </c>
      <c r="AG628" s="38">
        <f>IF(B628="","",IF(I628="","",IF(D628="","",IF(COUNTIFS($I$5:$I$1204,I628,$B$5:$B$1204,B628,$D$5:$D$1204,"&lt;"&amp;V628,$V$5:$V$1204,"&gt;"&amp;D628,$M$5:$M$1204,"&lt;&gt;Cancelled")&gt;1,"Clash",""))))</f>
        <v>0</v>
      </c>
      <c r="AH628" s="39">
        <f>IF(B628="","",IF(AG628="Clash","Clash - stylist double booked",IF(I628="","Assign - no stylist yet",IF(G628="","Add - no service chosen",IF(M628="No show","No show - charge the fee?",IF(M628="Cancelled","",IF(IF(M628="Completed",AB628&lt;Y628-0.004,FALSE),"Unpaid - nothing rung up for this visit",IF(IF(B628&lt;TodayDate,M628="Booked",FALSE),"Overdue - past date, still only Booked",IF(IF(B628=TodayDate,TRUE,FALSE),"Today",IF(IF(Z628&gt;0,AA628&lt;Z628-0.004,FALSE),"Due - deposit not taken",IF(IF(B628&gt;TodayDate,B628&lt;=TodayDate+2,FALSE),"Confirm - coming up","OK")))))))))))</f>
        <v>0</v>
      </c>
    </row>
    <row r="629" spans="1:34">
      <c r="A629" s="28">
        <f>IF(B629="","",AppointmentPrefix&amp;TEXT(ROW()-4,"0000"))</f>
        <v>0</v>
      </c>
      <c r="C629" s="15">
        <f>IF(B629="","",TEXT(B629,"ddd"))</f>
        <v>0</v>
      </c>
      <c r="F629" s="15">
        <f>IF(E629="","",IFERROR(INDEX(Clients!$B$5:$B$504,MATCH(E629,Clients!$A$5:$A$504,0)),"Walk-in"))</f>
        <v>0</v>
      </c>
      <c r="H629" s="15">
        <f>IF(G629="","",IFERROR(INDEX(Services!$B$5:$B$204,MATCH(G629,Services!$A$5:$A$204,0)),"Not in Services"))</f>
        <v>0</v>
      </c>
      <c r="J629" s="15">
        <f>IF(I629="","",IFERROR(INDEX(Staff!$B$5:$B$44,MATCH(I629,Staff!$A$5:$A$44,0)),"Unassigned"))</f>
        <v>0</v>
      </c>
      <c r="S629" s="15">
        <f>IF(B629="","",TEXT(B629,"yyyy-mm"))</f>
        <v>0</v>
      </c>
      <c r="T629" s="25">
        <f>IF(B629="","",WEEKNUM(B629,2))</f>
        <v>0</v>
      </c>
      <c r="U629" s="25">
        <f>IF(B629="","",IF(K629&lt;&gt;"",K629,IFERROR(INDEX(Services!$E$5:$E$204,MATCH(G629,Services!$A$5:$A$204,0))*1,0)+IFERROR(INDEX(Services!$F$5:$F$204,MATCH(G629,Services!$A$5:$A$204,0))*1,0)))</f>
        <v>0</v>
      </c>
      <c r="V629" s="36">
        <f>IF(B629="","",IF(D629="","",D629+U629/1440))</f>
        <v>0</v>
      </c>
      <c r="W629" s="25">
        <f>IF(B629="","",IF(D629="","",HOUR(D629)))</f>
        <v>0</v>
      </c>
      <c r="X629" s="37">
        <f>IF(B629="","",ROUND(U629/60,2))</f>
        <v>0</v>
      </c>
      <c r="Y629" s="26">
        <f>IF(B629="","",IF(L629&lt;&gt;"",L629,IFERROR(INDEX(Services!$G$5:$G$204,MATCH(G629,Services!$A$5:$A$204,0))*1,0)))</f>
        <v>0</v>
      </c>
      <c r="Z629" s="26">
        <f>IF(B629="","",IF(O629&lt;&gt;"",O629,IF(Y629&gt;=DepositThreshold,ROUND(Y629*DepositPercent,2),0)))</f>
        <v>0</v>
      </c>
      <c r="AA629" s="26">
        <f>IF(B629="","",ROUND(SUMIFS(Payments!$G$5:$G$1204,Payments!$I$5:$I$1204,A629,Payments!$E$5:$E$1204,"Deposit"),2))</f>
        <v>0</v>
      </c>
      <c r="AB629" s="26">
        <f>IF(B629="","",ROUND(SUMIFS(Sales!$Y$5:$Y$1204,Sales!$C$5:$C$1204,A629),2))</f>
        <v>0</v>
      </c>
      <c r="AC629" s="38">
        <f>IF(B629="","",IF(M629="Completed","Yes",IF(M629="Cancelled","Yes",IF(M629="No show","Yes","No"))))</f>
        <v>0</v>
      </c>
      <c r="AD629" s="25">
        <f>IF(B629="","",IF(AE629="","",B629-AE629))</f>
        <v>0</v>
      </c>
      <c r="AF629" s="38">
        <f>IF(B629="","",IF(M629&lt;&gt;"Completed","",IF(E629="","No",IF(COUNTIFS(Appointments!$E$5:$E$1204,E629,Appointments!$B$5:$B$1204,"&gt;"&amp;B629,Appointments!$M$5:$M$1204,"&lt;&gt;Cancelled")&gt;0,"Yes","No"))))</f>
        <v>0</v>
      </c>
      <c r="AG629" s="38">
        <f>IF(B629="","",IF(I629="","",IF(D629="","",IF(COUNTIFS($I$5:$I$1204,I629,$B$5:$B$1204,B629,$D$5:$D$1204,"&lt;"&amp;V629,$V$5:$V$1204,"&gt;"&amp;D629,$M$5:$M$1204,"&lt;&gt;Cancelled")&gt;1,"Clash",""))))</f>
        <v>0</v>
      </c>
      <c r="AH629" s="39">
        <f>IF(B629="","",IF(AG629="Clash","Clash - stylist double booked",IF(I629="","Assign - no stylist yet",IF(G629="","Add - no service chosen",IF(M629="No show","No show - charge the fee?",IF(M629="Cancelled","",IF(IF(M629="Completed",AB629&lt;Y629-0.004,FALSE),"Unpaid - nothing rung up for this visit",IF(IF(B629&lt;TodayDate,M629="Booked",FALSE),"Overdue - past date, still only Booked",IF(IF(B629=TodayDate,TRUE,FALSE),"Today",IF(IF(Z629&gt;0,AA629&lt;Z629-0.004,FALSE),"Due - deposit not taken",IF(IF(B629&gt;TodayDate,B629&lt;=TodayDate+2,FALSE),"Confirm - coming up","OK")))))))))))</f>
        <v>0</v>
      </c>
    </row>
    <row r="630" spans="1:34">
      <c r="A630" s="28">
        <f>IF(B630="","",AppointmentPrefix&amp;TEXT(ROW()-4,"0000"))</f>
        <v>0</v>
      </c>
      <c r="C630" s="15">
        <f>IF(B630="","",TEXT(B630,"ddd"))</f>
        <v>0</v>
      </c>
      <c r="F630" s="15">
        <f>IF(E630="","",IFERROR(INDEX(Clients!$B$5:$B$504,MATCH(E630,Clients!$A$5:$A$504,0)),"Walk-in"))</f>
        <v>0</v>
      </c>
      <c r="H630" s="15">
        <f>IF(G630="","",IFERROR(INDEX(Services!$B$5:$B$204,MATCH(G630,Services!$A$5:$A$204,0)),"Not in Services"))</f>
        <v>0</v>
      </c>
      <c r="J630" s="15">
        <f>IF(I630="","",IFERROR(INDEX(Staff!$B$5:$B$44,MATCH(I630,Staff!$A$5:$A$44,0)),"Unassigned"))</f>
        <v>0</v>
      </c>
      <c r="S630" s="15">
        <f>IF(B630="","",TEXT(B630,"yyyy-mm"))</f>
        <v>0</v>
      </c>
      <c r="T630" s="25">
        <f>IF(B630="","",WEEKNUM(B630,2))</f>
        <v>0</v>
      </c>
      <c r="U630" s="25">
        <f>IF(B630="","",IF(K630&lt;&gt;"",K630,IFERROR(INDEX(Services!$E$5:$E$204,MATCH(G630,Services!$A$5:$A$204,0))*1,0)+IFERROR(INDEX(Services!$F$5:$F$204,MATCH(G630,Services!$A$5:$A$204,0))*1,0)))</f>
        <v>0</v>
      </c>
      <c r="V630" s="36">
        <f>IF(B630="","",IF(D630="","",D630+U630/1440))</f>
        <v>0</v>
      </c>
      <c r="W630" s="25">
        <f>IF(B630="","",IF(D630="","",HOUR(D630)))</f>
        <v>0</v>
      </c>
      <c r="X630" s="37">
        <f>IF(B630="","",ROUND(U630/60,2))</f>
        <v>0</v>
      </c>
      <c r="Y630" s="26">
        <f>IF(B630="","",IF(L630&lt;&gt;"",L630,IFERROR(INDEX(Services!$G$5:$G$204,MATCH(G630,Services!$A$5:$A$204,0))*1,0)))</f>
        <v>0</v>
      </c>
      <c r="Z630" s="26">
        <f>IF(B630="","",IF(O630&lt;&gt;"",O630,IF(Y630&gt;=DepositThreshold,ROUND(Y630*DepositPercent,2),0)))</f>
        <v>0</v>
      </c>
      <c r="AA630" s="26">
        <f>IF(B630="","",ROUND(SUMIFS(Payments!$G$5:$G$1204,Payments!$I$5:$I$1204,A630,Payments!$E$5:$E$1204,"Deposit"),2))</f>
        <v>0</v>
      </c>
      <c r="AB630" s="26">
        <f>IF(B630="","",ROUND(SUMIFS(Sales!$Y$5:$Y$1204,Sales!$C$5:$C$1204,A630),2))</f>
        <v>0</v>
      </c>
      <c r="AC630" s="38">
        <f>IF(B630="","",IF(M630="Completed","Yes",IF(M630="Cancelled","Yes",IF(M630="No show","Yes","No"))))</f>
        <v>0</v>
      </c>
      <c r="AD630" s="25">
        <f>IF(B630="","",IF(AE630="","",B630-AE630))</f>
        <v>0</v>
      </c>
      <c r="AF630" s="38">
        <f>IF(B630="","",IF(M630&lt;&gt;"Completed","",IF(E630="","No",IF(COUNTIFS(Appointments!$E$5:$E$1204,E630,Appointments!$B$5:$B$1204,"&gt;"&amp;B630,Appointments!$M$5:$M$1204,"&lt;&gt;Cancelled")&gt;0,"Yes","No"))))</f>
        <v>0</v>
      </c>
      <c r="AG630" s="38">
        <f>IF(B630="","",IF(I630="","",IF(D630="","",IF(COUNTIFS($I$5:$I$1204,I630,$B$5:$B$1204,B630,$D$5:$D$1204,"&lt;"&amp;V630,$V$5:$V$1204,"&gt;"&amp;D630,$M$5:$M$1204,"&lt;&gt;Cancelled")&gt;1,"Clash",""))))</f>
        <v>0</v>
      </c>
      <c r="AH630" s="39">
        <f>IF(B630="","",IF(AG630="Clash","Clash - stylist double booked",IF(I630="","Assign - no stylist yet",IF(G630="","Add - no service chosen",IF(M630="No show","No show - charge the fee?",IF(M630="Cancelled","",IF(IF(M630="Completed",AB630&lt;Y630-0.004,FALSE),"Unpaid - nothing rung up for this visit",IF(IF(B630&lt;TodayDate,M630="Booked",FALSE),"Overdue - past date, still only Booked",IF(IF(B630=TodayDate,TRUE,FALSE),"Today",IF(IF(Z630&gt;0,AA630&lt;Z630-0.004,FALSE),"Due - deposit not taken",IF(IF(B630&gt;TodayDate,B630&lt;=TodayDate+2,FALSE),"Confirm - coming up","OK")))))))))))</f>
        <v>0</v>
      </c>
    </row>
    <row r="631" spans="1:34">
      <c r="A631" s="28">
        <f>IF(B631="","",AppointmentPrefix&amp;TEXT(ROW()-4,"0000"))</f>
        <v>0</v>
      </c>
      <c r="C631" s="15">
        <f>IF(B631="","",TEXT(B631,"ddd"))</f>
        <v>0</v>
      </c>
      <c r="F631" s="15">
        <f>IF(E631="","",IFERROR(INDEX(Clients!$B$5:$B$504,MATCH(E631,Clients!$A$5:$A$504,0)),"Walk-in"))</f>
        <v>0</v>
      </c>
      <c r="H631" s="15">
        <f>IF(G631="","",IFERROR(INDEX(Services!$B$5:$B$204,MATCH(G631,Services!$A$5:$A$204,0)),"Not in Services"))</f>
        <v>0</v>
      </c>
      <c r="J631" s="15">
        <f>IF(I631="","",IFERROR(INDEX(Staff!$B$5:$B$44,MATCH(I631,Staff!$A$5:$A$44,0)),"Unassigned"))</f>
        <v>0</v>
      </c>
      <c r="S631" s="15">
        <f>IF(B631="","",TEXT(B631,"yyyy-mm"))</f>
        <v>0</v>
      </c>
      <c r="T631" s="25">
        <f>IF(B631="","",WEEKNUM(B631,2))</f>
        <v>0</v>
      </c>
      <c r="U631" s="25">
        <f>IF(B631="","",IF(K631&lt;&gt;"",K631,IFERROR(INDEX(Services!$E$5:$E$204,MATCH(G631,Services!$A$5:$A$204,0))*1,0)+IFERROR(INDEX(Services!$F$5:$F$204,MATCH(G631,Services!$A$5:$A$204,0))*1,0)))</f>
        <v>0</v>
      </c>
      <c r="V631" s="36">
        <f>IF(B631="","",IF(D631="","",D631+U631/1440))</f>
        <v>0</v>
      </c>
      <c r="W631" s="25">
        <f>IF(B631="","",IF(D631="","",HOUR(D631)))</f>
        <v>0</v>
      </c>
      <c r="X631" s="37">
        <f>IF(B631="","",ROUND(U631/60,2))</f>
        <v>0</v>
      </c>
      <c r="Y631" s="26">
        <f>IF(B631="","",IF(L631&lt;&gt;"",L631,IFERROR(INDEX(Services!$G$5:$G$204,MATCH(G631,Services!$A$5:$A$204,0))*1,0)))</f>
        <v>0</v>
      </c>
      <c r="Z631" s="26">
        <f>IF(B631="","",IF(O631&lt;&gt;"",O631,IF(Y631&gt;=DepositThreshold,ROUND(Y631*DepositPercent,2),0)))</f>
        <v>0</v>
      </c>
      <c r="AA631" s="26">
        <f>IF(B631="","",ROUND(SUMIFS(Payments!$G$5:$G$1204,Payments!$I$5:$I$1204,A631,Payments!$E$5:$E$1204,"Deposit"),2))</f>
        <v>0</v>
      </c>
      <c r="AB631" s="26">
        <f>IF(B631="","",ROUND(SUMIFS(Sales!$Y$5:$Y$1204,Sales!$C$5:$C$1204,A631),2))</f>
        <v>0</v>
      </c>
      <c r="AC631" s="38">
        <f>IF(B631="","",IF(M631="Completed","Yes",IF(M631="Cancelled","Yes",IF(M631="No show","Yes","No"))))</f>
        <v>0</v>
      </c>
      <c r="AD631" s="25">
        <f>IF(B631="","",IF(AE631="","",B631-AE631))</f>
        <v>0</v>
      </c>
      <c r="AF631" s="38">
        <f>IF(B631="","",IF(M631&lt;&gt;"Completed","",IF(E631="","No",IF(COUNTIFS(Appointments!$E$5:$E$1204,E631,Appointments!$B$5:$B$1204,"&gt;"&amp;B631,Appointments!$M$5:$M$1204,"&lt;&gt;Cancelled")&gt;0,"Yes","No"))))</f>
        <v>0</v>
      </c>
      <c r="AG631" s="38">
        <f>IF(B631="","",IF(I631="","",IF(D631="","",IF(COUNTIFS($I$5:$I$1204,I631,$B$5:$B$1204,B631,$D$5:$D$1204,"&lt;"&amp;V631,$V$5:$V$1204,"&gt;"&amp;D631,$M$5:$M$1204,"&lt;&gt;Cancelled")&gt;1,"Clash",""))))</f>
        <v>0</v>
      </c>
      <c r="AH631" s="39">
        <f>IF(B631="","",IF(AG631="Clash","Clash - stylist double booked",IF(I631="","Assign - no stylist yet",IF(G631="","Add - no service chosen",IF(M631="No show","No show - charge the fee?",IF(M631="Cancelled","",IF(IF(M631="Completed",AB631&lt;Y631-0.004,FALSE),"Unpaid - nothing rung up for this visit",IF(IF(B631&lt;TodayDate,M631="Booked",FALSE),"Overdue - past date, still only Booked",IF(IF(B631=TodayDate,TRUE,FALSE),"Today",IF(IF(Z631&gt;0,AA631&lt;Z631-0.004,FALSE),"Due - deposit not taken",IF(IF(B631&gt;TodayDate,B631&lt;=TodayDate+2,FALSE),"Confirm - coming up","OK")))))))))))</f>
        <v>0</v>
      </c>
    </row>
    <row r="632" spans="1:34">
      <c r="A632" s="28">
        <f>IF(B632="","",AppointmentPrefix&amp;TEXT(ROW()-4,"0000"))</f>
        <v>0</v>
      </c>
      <c r="C632" s="15">
        <f>IF(B632="","",TEXT(B632,"ddd"))</f>
        <v>0</v>
      </c>
      <c r="F632" s="15">
        <f>IF(E632="","",IFERROR(INDEX(Clients!$B$5:$B$504,MATCH(E632,Clients!$A$5:$A$504,0)),"Walk-in"))</f>
        <v>0</v>
      </c>
      <c r="H632" s="15">
        <f>IF(G632="","",IFERROR(INDEX(Services!$B$5:$B$204,MATCH(G632,Services!$A$5:$A$204,0)),"Not in Services"))</f>
        <v>0</v>
      </c>
      <c r="J632" s="15">
        <f>IF(I632="","",IFERROR(INDEX(Staff!$B$5:$B$44,MATCH(I632,Staff!$A$5:$A$44,0)),"Unassigned"))</f>
        <v>0</v>
      </c>
      <c r="S632" s="15">
        <f>IF(B632="","",TEXT(B632,"yyyy-mm"))</f>
        <v>0</v>
      </c>
      <c r="T632" s="25">
        <f>IF(B632="","",WEEKNUM(B632,2))</f>
        <v>0</v>
      </c>
      <c r="U632" s="25">
        <f>IF(B632="","",IF(K632&lt;&gt;"",K632,IFERROR(INDEX(Services!$E$5:$E$204,MATCH(G632,Services!$A$5:$A$204,0))*1,0)+IFERROR(INDEX(Services!$F$5:$F$204,MATCH(G632,Services!$A$5:$A$204,0))*1,0)))</f>
        <v>0</v>
      </c>
      <c r="V632" s="36">
        <f>IF(B632="","",IF(D632="","",D632+U632/1440))</f>
        <v>0</v>
      </c>
      <c r="W632" s="25">
        <f>IF(B632="","",IF(D632="","",HOUR(D632)))</f>
        <v>0</v>
      </c>
      <c r="X632" s="37">
        <f>IF(B632="","",ROUND(U632/60,2))</f>
        <v>0</v>
      </c>
      <c r="Y632" s="26">
        <f>IF(B632="","",IF(L632&lt;&gt;"",L632,IFERROR(INDEX(Services!$G$5:$G$204,MATCH(G632,Services!$A$5:$A$204,0))*1,0)))</f>
        <v>0</v>
      </c>
      <c r="Z632" s="26">
        <f>IF(B632="","",IF(O632&lt;&gt;"",O632,IF(Y632&gt;=DepositThreshold,ROUND(Y632*DepositPercent,2),0)))</f>
        <v>0</v>
      </c>
      <c r="AA632" s="26">
        <f>IF(B632="","",ROUND(SUMIFS(Payments!$G$5:$G$1204,Payments!$I$5:$I$1204,A632,Payments!$E$5:$E$1204,"Deposit"),2))</f>
        <v>0</v>
      </c>
      <c r="AB632" s="26">
        <f>IF(B632="","",ROUND(SUMIFS(Sales!$Y$5:$Y$1204,Sales!$C$5:$C$1204,A632),2))</f>
        <v>0</v>
      </c>
      <c r="AC632" s="38">
        <f>IF(B632="","",IF(M632="Completed","Yes",IF(M632="Cancelled","Yes",IF(M632="No show","Yes","No"))))</f>
        <v>0</v>
      </c>
      <c r="AD632" s="25">
        <f>IF(B632="","",IF(AE632="","",B632-AE632))</f>
        <v>0</v>
      </c>
      <c r="AF632" s="38">
        <f>IF(B632="","",IF(M632&lt;&gt;"Completed","",IF(E632="","No",IF(COUNTIFS(Appointments!$E$5:$E$1204,E632,Appointments!$B$5:$B$1204,"&gt;"&amp;B632,Appointments!$M$5:$M$1204,"&lt;&gt;Cancelled")&gt;0,"Yes","No"))))</f>
        <v>0</v>
      </c>
      <c r="AG632" s="38">
        <f>IF(B632="","",IF(I632="","",IF(D632="","",IF(COUNTIFS($I$5:$I$1204,I632,$B$5:$B$1204,B632,$D$5:$D$1204,"&lt;"&amp;V632,$V$5:$V$1204,"&gt;"&amp;D632,$M$5:$M$1204,"&lt;&gt;Cancelled")&gt;1,"Clash",""))))</f>
        <v>0</v>
      </c>
      <c r="AH632" s="39">
        <f>IF(B632="","",IF(AG632="Clash","Clash - stylist double booked",IF(I632="","Assign - no stylist yet",IF(G632="","Add - no service chosen",IF(M632="No show","No show - charge the fee?",IF(M632="Cancelled","",IF(IF(M632="Completed",AB632&lt;Y632-0.004,FALSE),"Unpaid - nothing rung up for this visit",IF(IF(B632&lt;TodayDate,M632="Booked",FALSE),"Overdue - past date, still only Booked",IF(IF(B632=TodayDate,TRUE,FALSE),"Today",IF(IF(Z632&gt;0,AA632&lt;Z632-0.004,FALSE),"Due - deposit not taken",IF(IF(B632&gt;TodayDate,B632&lt;=TodayDate+2,FALSE),"Confirm - coming up","OK")))))))))))</f>
        <v>0</v>
      </c>
    </row>
    <row r="633" spans="1:34">
      <c r="A633" s="28">
        <f>IF(B633="","",AppointmentPrefix&amp;TEXT(ROW()-4,"0000"))</f>
        <v>0</v>
      </c>
      <c r="C633" s="15">
        <f>IF(B633="","",TEXT(B633,"ddd"))</f>
        <v>0</v>
      </c>
      <c r="F633" s="15">
        <f>IF(E633="","",IFERROR(INDEX(Clients!$B$5:$B$504,MATCH(E633,Clients!$A$5:$A$504,0)),"Walk-in"))</f>
        <v>0</v>
      </c>
      <c r="H633" s="15">
        <f>IF(G633="","",IFERROR(INDEX(Services!$B$5:$B$204,MATCH(G633,Services!$A$5:$A$204,0)),"Not in Services"))</f>
        <v>0</v>
      </c>
      <c r="J633" s="15">
        <f>IF(I633="","",IFERROR(INDEX(Staff!$B$5:$B$44,MATCH(I633,Staff!$A$5:$A$44,0)),"Unassigned"))</f>
        <v>0</v>
      </c>
      <c r="S633" s="15">
        <f>IF(B633="","",TEXT(B633,"yyyy-mm"))</f>
        <v>0</v>
      </c>
      <c r="T633" s="25">
        <f>IF(B633="","",WEEKNUM(B633,2))</f>
        <v>0</v>
      </c>
      <c r="U633" s="25">
        <f>IF(B633="","",IF(K633&lt;&gt;"",K633,IFERROR(INDEX(Services!$E$5:$E$204,MATCH(G633,Services!$A$5:$A$204,0))*1,0)+IFERROR(INDEX(Services!$F$5:$F$204,MATCH(G633,Services!$A$5:$A$204,0))*1,0)))</f>
        <v>0</v>
      </c>
      <c r="V633" s="36">
        <f>IF(B633="","",IF(D633="","",D633+U633/1440))</f>
        <v>0</v>
      </c>
      <c r="W633" s="25">
        <f>IF(B633="","",IF(D633="","",HOUR(D633)))</f>
        <v>0</v>
      </c>
      <c r="X633" s="37">
        <f>IF(B633="","",ROUND(U633/60,2))</f>
        <v>0</v>
      </c>
      <c r="Y633" s="26">
        <f>IF(B633="","",IF(L633&lt;&gt;"",L633,IFERROR(INDEX(Services!$G$5:$G$204,MATCH(G633,Services!$A$5:$A$204,0))*1,0)))</f>
        <v>0</v>
      </c>
      <c r="Z633" s="26">
        <f>IF(B633="","",IF(O633&lt;&gt;"",O633,IF(Y633&gt;=DepositThreshold,ROUND(Y633*DepositPercent,2),0)))</f>
        <v>0</v>
      </c>
      <c r="AA633" s="26">
        <f>IF(B633="","",ROUND(SUMIFS(Payments!$G$5:$G$1204,Payments!$I$5:$I$1204,A633,Payments!$E$5:$E$1204,"Deposit"),2))</f>
        <v>0</v>
      </c>
      <c r="AB633" s="26">
        <f>IF(B633="","",ROUND(SUMIFS(Sales!$Y$5:$Y$1204,Sales!$C$5:$C$1204,A633),2))</f>
        <v>0</v>
      </c>
      <c r="AC633" s="38">
        <f>IF(B633="","",IF(M633="Completed","Yes",IF(M633="Cancelled","Yes",IF(M633="No show","Yes","No"))))</f>
        <v>0</v>
      </c>
      <c r="AD633" s="25">
        <f>IF(B633="","",IF(AE633="","",B633-AE633))</f>
        <v>0</v>
      </c>
      <c r="AF633" s="38">
        <f>IF(B633="","",IF(M633&lt;&gt;"Completed","",IF(E633="","No",IF(COUNTIFS(Appointments!$E$5:$E$1204,E633,Appointments!$B$5:$B$1204,"&gt;"&amp;B633,Appointments!$M$5:$M$1204,"&lt;&gt;Cancelled")&gt;0,"Yes","No"))))</f>
        <v>0</v>
      </c>
      <c r="AG633" s="38">
        <f>IF(B633="","",IF(I633="","",IF(D633="","",IF(COUNTIFS($I$5:$I$1204,I633,$B$5:$B$1204,B633,$D$5:$D$1204,"&lt;"&amp;V633,$V$5:$V$1204,"&gt;"&amp;D633,$M$5:$M$1204,"&lt;&gt;Cancelled")&gt;1,"Clash",""))))</f>
        <v>0</v>
      </c>
      <c r="AH633" s="39">
        <f>IF(B633="","",IF(AG633="Clash","Clash - stylist double booked",IF(I633="","Assign - no stylist yet",IF(G633="","Add - no service chosen",IF(M633="No show","No show - charge the fee?",IF(M633="Cancelled","",IF(IF(M633="Completed",AB633&lt;Y633-0.004,FALSE),"Unpaid - nothing rung up for this visit",IF(IF(B633&lt;TodayDate,M633="Booked",FALSE),"Overdue - past date, still only Booked",IF(IF(B633=TodayDate,TRUE,FALSE),"Today",IF(IF(Z633&gt;0,AA633&lt;Z633-0.004,FALSE),"Due - deposit not taken",IF(IF(B633&gt;TodayDate,B633&lt;=TodayDate+2,FALSE),"Confirm - coming up","OK")))))))))))</f>
        <v>0</v>
      </c>
    </row>
    <row r="634" spans="1:34">
      <c r="A634" s="28">
        <f>IF(B634="","",AppointmentPrefix&amp;TEXT(ROW()-4,"0000"))</f>
        <v>0</v>
      </c>
      <c r="C634" s="15">
        <f>IF(B634="","",TEXT(B634,"ddd"))</f>
        <v>0</v>
      </c>
      <c r="F634" s="15">
        <f>IF(E634="","",IFERROR(INDEX(Clients!$B$5:$B$504,MATCH(E634,Clients!$A$5:$A$504,0)),"Walk-in"))</f>
        <v>0</v>
      </c>
      <c r="H634" s="15">
        <f>IF(G634="","",IFERROR(INDEX(Services!$B$5:$B$204,MATCH(G634,Services!$A$5:$A$204,0)),"Not in Services"))</f>
        <v>0</v>
      </c>
      <c r="J634" s="15">
        <f>IF(I634="","",IFERROR(INDEX(Staff!$B$5:$B$44,MATCH(I634,Staff!$A$5:$A$44,0)),"Unassigned"))</f>
        <v>0</v>
      </c>
      <c r="S634" s="15">
        <f>IF(B634="","",TEXT(B634,"yyyy-mm"))</f>
        <v>0</v>
      </c>
      <c r="T634" s="25">
        <f>IF(B634="","",WEEKNUM(B634,2))</f>
        <v>0</v>
      </c>
      <c r="U634" s="25">
        <f>IF(B634="","",IF(K634&lt;&gt;"",K634,IFERROR(INDEX(Services!$E$5:$E$204,MATCH(G634,Services!$A$5:$A$204,0))*1,0)+IFERROR(INDEX(Services!$F$5:$F$204,MATCH(G634,Services!$A$5:$A$204,0))*1,0)))</f>
        <v>0</v>
      </c>
      <c r="V634" s="36">
        <f>IF(B634="","",IF(D634="","",D634+U634/1440))</f>
        <v>0</v>
      </c>
      <c r="W634" s="25">
        <f>IF(B634="","",IF(D634="","",HOUR(D634)))</f>
        <v>0</v>
      </c>
      <c r="X634" s="37">
        <f>IF(B634="","",ROUND(U634/60,2))</f>
        <v>0</v>
      </c>
      <c r="Y634" s="26">
        <f>IF(B634="","",IF(L634&lt;&gt;"",L634,IFERROR(INDEX(Services!$G$5:$G$204,MATCH(G634,Services!$A$5:$A$204,0))*1,0)))</f>
        <v>0</v>
      </c>
      <c r="Z634" s="26">
        <f>IF(B634="","",IF(O634&lt;&gt;"",O634,IF(Y634&gt;=DepositThreshold,ROUND(Y634*DepositPercent,2),0)))</f>
        <v>0</v>
      </c>
      <c r="AA634" s="26">
        <f>IF(B634="","",ROUND(SUMIFS(Payments!$G$5:$G$1204,Payments!$I$5:$I$1204,A634,Payments!$E$5:$E$1204,"Deposit"),2))</f>
        <v>0</v>
      </c>
      <c r="AB634" s="26">
        <f>IF(B634="","",ROUND(SUMIFS(Sales!$Y$5:$Y$1204,Sales!$C$5:$C$1204,A634),2))</f>
        <v>0</v>
      </c>
      <c r="AC634" s="38">
        <f>IF(B634="","",IF(M634="Completed","Yes",IF(M634="Cancelled","Yes",IF(M634="No show","Yes","No"))))</f>
        <v>0</v>
      </c>
      <c r="AD634" s="25">
        <f>IF(B634="","",IF(AE634="","",B634-AE634))</f>
        <v>0</v>
      </c>
      <c r="AF634" s="38">
        <f>IF(B634="","",IF(M634&lt;&gt;"Completed","",IF(E634="","No",IF(COUNTIFS(Appointments!$E$5:$E$1204,E634,Appointments!$B$5:$B$1204,"&gt;"&amp;B634,Appointments!$M$5:$M$1204,"&lt;&gt;Cancelled")&gt;0,"Yes","No"))))</f>
        <v>0</v>
      </c>
      <c r="AG634" s="38">
        <f>IF(B634="","",IF(I634="","",IF(D634="","",IF(COUNTIFS($I$5:$I$1204,I634,$B$5:$B$1204,B634,$D$5:$D$1204,"&lt;"&amp;V634,$V$5:$V$1204,"&gt;"&amp;D634,$M$5:$M$1204,"&lt;&gt;Cancelled")&gt;1,"Clash",""))))</f>
        <v>0</v>
      </c>
      <c r="AH634" s="39">
        <f>IF(B634="","",IF(AG634="Clash","Clash - stylist double booked",IF(I634="","Assign - no stylist yet",IF(G634="","Add - no service chosen",IF(M634="No show","No show - charge the fee?",IF(M634="Cancelled","",IF(IF(M634="Completed",AB634&lt;Y634-0.004,FALSE),"Unpaid - nothing rung up for this visit",IF(IF(B634&lt;TodayDate,M634="Booked",FALSE),"Overdue - past date, still only Booked",IF(IF(B634=TodayDate,TRUE,FALSE),"Today",IF(IF(Z634&gt;0,AA634&lt;Z634-0.004,FALSE),"Due - deposit not taken",IF(IF(B634&gt;TodayDate,B634&lt;=TodayDate+2,FALSE),"Confirm - coming up","OK")))))))))))</f>
        <v>0</v>
      </c>
    </row>
    <row r="635" spans="1:34">
      <c r="A635" s="28">
        <f>IF(B635="","",AppointmentPrefix&amp;TEXT(ROW()-4,"0000"))</f>
        <v>0</v>
      </c>
      <c r="C635" s="15">
        <f>IF(B635="","",TEXT(B635,"ddd"))</f>
        <v>0</v>
      </c>
      <c r="F635" s="15">
        <f>IF(E635="","",IFERROR(INDEX(Clients!$B$5:$B$504,MATCH(E635,Clients!$A$5:$A$504,0)),"Walk-in"))</f>
        <v>0</v>
      </c>
      <c r="H635" s="15">
        <f>IF(G635="","",IFERROR(INDEX(Services!$B$5:$B$204,MATCH(G635,Services!$A$5:$A$204,0)),"Not in Services"))</f>
        <v>0</v>
      </c>
      <c r="J635" s="15">
        <f>IF(I635="","",IFERROR(INDEX(Staff!$B$5:$B$44,MATCH(I635,Staff!$A$5:$A$44,0)),"Unassigned"))</f>
        <v>0</v>
      </c>
      <c r="S635" s="15">
        <f>IF(B635="","",TEXT(B635,"yyyy-mm"))</f>
        <v>0</v>
      </c>
      <c r="T635" s="25">
        <f>IF(B635="","",WEEKNUM(B635,2))</f>
        <v>0</v>
      </c>
      <c r="U635" s="25">
        <f>IF(B635="","",IF(K635&lt;&gt;"",K635,IFERROR(INDEX(Services!$E$5:$E$204,MATCH(G635,Services!$A$5:$A$204,0))*1,0)+IFERROR(INDEX(Services!$F$5:$F$204,MATCH(G635,Services!$A$5:$A$204,0))*1,0)))</f>
        <v>0</v>
      </c>
      <c r="V635" s="36">
        <f>IF(B635="","",IF(D635="","",D635+U635/1440))</f>
        <v>0</v>
      </c>
      <c r="W635" s="25">
        <f>IF(B635="","",IF(D635="","",HOUR(D635)))</f>
        <v>0</v>
      </c>
      <c r="X635" s="37">
        <f>IF(B635="","",ROUND(U635/60,2))</f>
        <v>0</v>
      </c>
      <c r="Y635" s="26">
        <f>IF(B635="","",IF(L635&lt;&gt;"",L635,IFERROR(INDEX(Services!$G$5:$G$204,MATCH(G635,Services!$A$5:$A$204,0))*1,0)))</f>
        <v>0</v>
      </c>
      <c r="Z635" s="26">
        <f>IF(B635="","",IF(O635&lt;&gt;"",O635,IF(Y635&gt;=DepositThreshold,ROUND(Y635*DepositPercent,2),0)))</f>
        <v>0</v>
      </c>
      <c r="AA635" s="26">
        <f>IF(B635="","",ROUND(SUMIFS(Payments!$G$5:$G$1204,Payments!$I$5:$I$1204,A635,Payments!$E$5:$E$1204,"Deposit"),2))</f>
        <v>0</v>
      </c>
      <c r="AB635" s="26">
        <f>IF(B635="","",ROUND(SUMIFS(Sales!$Y$5:$Y$1204,Sales!$C$5:$C$1204,A635),2))</f>
        <v>0</v>
      </c>
      <c r="AC635" s="38">
        <f>IF(B635="","",IF(M635="Completed","Yes",IF(M635="Cancelled","Yes",IF(M635="No show","Yes","No"))))</f>
        <v>0</v>
      </c>
      <c r="AD635" s="25">
        <f>IF(B635="","",IF(AE635="","",B635-AE635))</f>
        <v>0</v>
      </c>
      <c r="AF635" s="38">
        <f>IF(B635="","",IF(M635&lt;&gt;"Completed","",IF(E635="","No",IF(COUNTIFS(Appointments!$E$5:$E$1204,E635,Appointments!$B$5:$B$1204,"&gt;"&amp;B635,Appointments!$M$5:$M$1204,"&lt;&gt;Cancelled")&gt;0,"Yes","No"))))</f>
        <v>0</v>
      </c>
      <c r="AG635" s="38">
        <f>IF(B635="","",IF(I635="","",IF(D635="","",IF(COUNTIFS($I$5:$I$1204,I635,$B$5:$B$1204,B635,$D$5:$D$1204,"&lt;"&amp;V635,$V$5:$V$1204,"&gt;"&amp;D635,$M$5:$M$1204,"&lt;&gt;Cancelled")&gt;1,"Clash",""))))</f>
        <v>0</v>
      </c>
      <c r="AH635" s="39">
        <f>IF(B635="","",IF(AG635="Clash","Clash - stylist double booked",IF(I635="","Assign - no stylist yet",IF(G635="","Add - no service chosen",IF(M635="No show","No show - charge the fee?",IF(M635="Cancelled","",IF(IF(M635="Completed",AB635&lt;Y635-0.004,FALSE),"Unpaid - nothing rung up for this visit",IF(IF(B635&lt;TodayDate,M635="Booked",FALSE),"Overdue - past date, still only Booked",IF(IF(B635=TodayDate,TRUE,FALSE),"Today",IF(IF(Z635&gt;0,AA635&lt;Z635-0.004,FALSE),"Due - deposit not taken",IF(IF(B635&gt;TodayDate,B635&lt;=TodayDate+2,FALSE),"Confirm - coming up","OK")))))))))))</f>
        <v>0</v>
      </c>
    </row>
    <row r="636" spans="1:34">
      <c r="A636" s="28">
        <f>IF(B636="","",AppointmentPrefix&amp;TEXT(ROW()-4,"0000"))</f>
        <v>0</v>
      </c>
      <c r="C636" s="15">
        <f>IF(B636="","",TEXT(B636,"ddd"))</f>
        <v>0</v>
      </c>
      <c r="F636" s="15">
        <f>IF(E636="","",IFERROR(INDEX(Clients!$B$5:$B$504,MATCH(E636,Clients!$A$5:$A$504,0)),"Walk-in"))</f>
        <v>0</v>
      </c>
      <c r="H636" s="15">
        <f>IF(G636="","",IFERROR(INDEX(Services!$B$5:$B$204,MATCH(G636,Services!$A$5:$A$204,0)),"Not in Services"))</f>
        <v>0</v>
      </c>
      <c r="J636" s="15">
        <f>IF(I636="","",IFERROR(INDEX(Staff!$B$5:$B$44,MATCH(I636,Staff!$A$5:$A$44,0)),"Unassigned"))</f>
        <v>0</v>
      </c>
      <c r="S636" s="15">
        <f>IF(B636="","",TEXT(B636,"yyyy-mm"))</f>
        <v>0</v>
      </c>
      <c r="T636" s="25">
        <f>IF(B636="","",WEEKNUM(B636,2))</f>
        <v>0</v>
      </c>
      <c r="U636" s="25">
        <f>IF(B636="","",IF(K636&lt;&gt;"",K636,IFERROR(INDEX(Services!$E$5:$E$204,MATCH(G636,Services!$A$5:$A$204,0))*1,0)+IFERROR(INDEX(Services!$F$5:$F$204,MATCH(G636,Services!$A$5:$A$204,0))*1,0)))</f>
        <v>0</v>
      </c>
      <c r="V636" s="36">
        <f>IF(B636="","",IF(D636="","",D636+U636/1440))</f>
        <v>0</v>
      </c>
      <c r="W636" s="25">
        <f>IF(B636="","",IF(D636="","",HOUR(D636)))</f>
        <v>0</v>
      </c>
      <c r="X636" s="37">
        <f>IF(B636="","",ROUND(U636/60,2))</f>
        <v>0</v>
      </c>
      <c r="Y636" s="26">
        <f>IF(B636="","",IF(L636&lt;&gt;"",L636,IFERROR(INDEX(Services!$G$5:$G$204,MATCH(G636,Services!$A$5:$A$204,0))*1,0)))</f>
        <v>0</v>
      </c>
      <c r="Z636" s="26">
        <f>IF(B636="","",IF(O636&lt;&gt;"",O636,IF(Y636&gt;=DepositThreshold,ROUND(Y636*DepositPercent,2),0)))</f>
        <v>0</v>
      </c>
      <c r="AA636" s="26">
        <f>IF(B636="","",ROUND(SUMIFS(Payments!$G$5:$G$1204,Payments!$I$5:$I$1204,A636,Payments!$E$5:$E$1204,"Deposit"),2))</f>
        <v>0</v>
      </c>
      <c r="AB636" s="26">
        <f>IF(B636="","",ROUND(SUMIFS(Sales!$Y$5:$Y$1204,Sales!$C$5:$C$1204,A636),2))</f>
        <v>0</v>
      </c>
      <c r="AC636" s="38">
        <f>IF(B636="","",IF(M636="Completed","Yes",IF(M636="Cancelled","Yes",IF(M636="No show","Yes","No"))))</f>
        <v>0</v>
      </c>
      <c r="AD636" s="25">
        <f>IF(B636="","",IF(AE636="","",B636-AE636))</f>
        <v>0</v>
      </c>
      <c r="AF636" s="38">
        <f>IF(B636="","",IF(M636&lt;&gt;"Completed","",IF(E636="","No",IF(COUNTIFS(Appointments!$E$5:$E$1204,E636,Appointments!$B$5:$B$1204,"&gt;"&amp;B636,Appointments!$M$5:$M$1204,"&lt;&gt;Cancelled")&gt;0,"Yes","No"))))</f>
        <v>0</v>
      </c>
      <c r="AG636" s="38">
        <f>IF(B636="","",IF(I636="","",IF(D636="","",IF(COUNTIFS($I$5:$I$1204,I636,$B$5:$B$1204,B636,$D$5:$D$1204,"&lt;"&amp;V636,$V$5:$V$1204,"&gt;"&amp;D636,$M$5:$M$1204,"&lt;&gt;Cancelled")&gt;1,"Clash",""))))</f>
        <v>0</v>
      </c>
      <c r="AH636" s="39">
        <f>IF(B636="","",IF(AG636="Clash","Clash - stylist double booked",IF(I636="","Assign - no stylist yet",IF(G636="","Add - no service chosen",IF(M636="No show","No show - charge the fee?",IF(M636="Cancelled","",IF(IF(M636="Completed",AB636&lt;Y636-0.004,FALSE),"Unpaid - nothing rung up for this visit",IF(IF(B636&lt;TodayDate,M636="Booked",FALSE),"Overdue - past date, still only Booked",IF(IF(B636=TodayDate,TRUE,FALSE),"Today",IF(IF(Z636&gt;0,AA636&lt;Z636-0.004,FALSE),"Due - deposit not taken",IF(IF(B636&gt;TodayDate,B636&lt;=TodayDate+2,FALSE),"Confirm - coming up","OK")))))))))))</f>
        <v>0</v>
      </c>
    </row>
    <row r="637" spans="1:34">
      <c r="A637" s="28">
        <f>IF(B637="","",AppointmentPrefix&amp;TEXT(ROW()-4,"0000"))</f>
        <v>0</v>
      </c>
      <c r="C637" s="15">
        <f>IF(B637="","",TEXT(B637,"ddd"))</f>
        <v>0</v>
      </c>
      <c r="F637" s="15">
        <f>IF(E637="","",IFERROR(INDEX(Clients!$B$5:$B$504,MATCH(E637,Clients!$A$5:$A$504,0)),"Walk-in"))</f>
        <v>0</v>
      </c>
      <c r="H637" s="15">
        <f>IF(G637="","",IFERROR(INDEX(Services!$B$5:$B$204,MATCH(G637,Services!$A$5:$A$204,0)),"Not in Services"))</f>
        <v>0</v>
      </c>
      <c r="J637" s="15">
        <f>IF(I637="","",IFERROR(INDEX(Staff!$B$5:$B$44,MATCH(I637,Staff!$A$5:$A$44,0)),"Unassigned"))</f>
        <v>0</v>
      </c>
      <c r="S637" s="15">
        <f>IF(B637="","",TEXT(B637,"yyyy-mm"))</f>
        <v>0</v>
      </c>
      <c r="T637" s="25">
        <f>IF(B637="","",WEEKNUM(B637,2))</f>
        <v>0</v>
      </c>
      <c r="U637" s="25">
        <f>IF(B637="","",IF(K637&lt;&gt;"",K637,IFERROR(INDEX(Services!$E$5:$E$204,MATCH(G637,Services!$A$5:$A$204,0))*1,0)+IFERROR(INDEX(Services!$F$5:$F$204,MATCH(G637,Services!$A$5:$A$204,0))*1,0)))</f>
        <v>0</v>
      </c>
      <c r="V637" s="36">
        <f>IF(B637="","",IF(D637="","",D637+U637/1440))</f>
        <v>0</v>
      </c>
      <c r="W637" s="25">
        <f>IF(B637="","",IF(D637="","",HOUR(D637)))</f>
        <v>0</v>
      </c>
      <c r="X637" s="37">
        <f>IF(B637="","",ROUND(U637/60,2))</f>
        <v>0</v>
      </c>
      <c r="Y637" s="26">
        <f>IF(B637="","",IF(L637&lt;&gt;"",L637,IFERROR(INDEX(Services!$G$5:$G$204,MATCH(G637,Services!$A$5:$A$204,0))*1,0)))</f>
        <v>0</v>
      </c>
      <c r="Z637" s="26">
        <f>IF(B637="","",IF(O637&lt;&gt;"",O637,IF(Y637&gt;=DepositThreshold,ROUND(Y637*DepositPercent,2),0)))</f>
        <v>0</v>
      </c>
      <c r="AA637" s="26">
        <f>IF(B637="","",ROUND(SUMIFS(Payments!$G$5:$G$1204,Payments!$I$5:$I$1204,A637,Payments!$E$5:$E$1204,"Deposit"),2))</f>
        <v>0</v>
      </c>
      <c r="AB637" s="26">
        <f>IF(B637="","",ROUND(SUMIFS(Sales!$Y$5:$Y$1204,Sales!$C$5:$C$1204,A637),2))</f>
        <v>0</v>
      </c>
      <c r="AC637" s="38">
        <f>IF(B637="","",IF(M637="Completed","Yes",IF(M637="Cancelled","Yes",IF(M637="No show","Yes","No"))))</f>
        <v>0</v>
      </c>
      <c r="AD637" s="25">
        <f>IF(B637="","",IF(AE637="","",B637-AE637))</f>
        <v>0</v>
      </c>
      <c r="AF637" s="38">
        <f>IF(B637="","",IF(M637&lt;&gt;"Completed","",IF(E637="","No",IF(COUNTIFS(Appointments!$E$5:$E$1204,E637,Appointments!$B$5:$B$1204,"&gt;"&amp;B637,Appointments!$M$5:$M$1204,"&lt;&gt;Cancelled")&gt;0,"Yes","No"))))</f>
        <v>0</v>
      </c>
      <c r="AG637" s="38">
        <f>IF(B637="","",IF(I637="","",IF(D637="","",IF(COUNTIFS($I$5:$I$1204,I637,$B$5:$B$1204,B637,$D$5:$D$1204,"&lt;"&amp;V637,$V$5:$V$1204,"&gt;"&amp;D637,$M$5:$M$1204,"&lt;&gt;Cancelled")&gt;1,"Clash",""))))</f>
        <v>0</v>
      </c>
      <c r="AH637" s="39">
        <f>IF(B637="","",IF(AG637="Clash","Clash - stylist double booked",IF(I637="","Assign - no stylist yet",IF(G637="","Add - no service chosen",IF(M637="No show","No show - charge the fee?",IF(M637="Cancelled","",IF(IF(M637="Completed",AB637&lt;Y637-0.004,FALSE),"Unpaid - nothing rung up for this visit",IF(IF(B637&lt;TodayDate,M637="Booked",FALSE),"Overdue - past date, still only Booked",IF(IF(B637=TodayDate,TRUE,FALSE),"Today",IF(IF(Z637&gt;0,AA637&lt;Z637-0.004,FALSE),"Due - deposit not taken",IF(IF(B637&gt;TodayDate,B637&lt;=TodayDate+2,FALSE),"Confirm - coming up","OK")))))))))))</f>
        <v>0</v>
      </c>
    </row>
    <row r="638" spans="1:34">
      <c r="A638" s="28">
        <f>IF(B638="","",AppointmentPrefix&amp;TEXT(ROW()-4,"0000"))</f>
        <v>0</v>
      </c>
      <c r="C638" s="15">
        <f>IF(B638="","",TEXT(B638,"ddd"))</f>
        <v>0</v>
      </c>
      <c r="F638" s="15">
        <f>IF(E638="","",IFERROR(INDEX(Clients!$B$5:$B$504,MATCH(E638,Clients!$A$5:$A$504,0)),"Walk-in"))</f>
        <v>0</v>
      </c>
      <c r="H638" s="15">
        <f>IF(G638="","",IFERROR(INDEX(Services!$B$5:$B$204,MATCH(G638,Services!$A$5:$A$204,0)),"Not in Services"))</f>
        <v>0</v>
      </c>
      <c r="J638" s="15">
        <f>IF(I638="","",IFERROR(INDEX(Staff!$B$5:$B$44,MATCH(I638,Staff!$A$5:$A$44,0)),"Unassigned"))</f>
        <v>0</v>
      </c>
      <c r="S638" s="15">
        <f>IF(B638="","",TEXT(B638,"yyyy-mm"))</f>
        <v>0</v>
      </c>
      <c r="T638" s="25">
        <f>IF(B638="","",WEEKNUM(B638,2))</f>
        <v>0</v>
      </c>
      <c r="U638" s="25">
        <f>IF(B638="","",IF(K638&lt;&gt;"",K638,IFERROR(INDEX(Services!$E$5:$E$204,MATCH(G638,Services!$A$5:$A$204,0))*1,0)+IFERROR(INDEX(Services!$F$5:$F$204,MATCH(G638,Services!$A$5:$A$204,0))*1,0)))</f>
        <v>0</v>
      </c>
      <c r="V638" s="36">
        <f>IF(B638="","",IF(D638="","",D638+U638/1440))</f>
        <v>0</v>
      </c>
      <c r="W638" s="25">
        <f>IF(B638="","",IF(D638="","",HOUR(D638)))</f>
        <v>0</v>
      </c>
      <c r="X638" s="37">
        <f>IF(B638="","",ROUND(U638/60,2))</f>
        <v>0</v>
      </c>
      <c r="Y638" s="26">
        <f>IF(B638="","",IF(L638&lt;&gt;"",L638,IFERROR(INDEX(Services!$G$5:$G$204,MATCH(G638,Services!$A$5:$A$204,0))*1,0)))</f>
        <v>0</v>
      </c>
      <c r="Z638" s="26">
        <f>IF(B638="","",IF(O638&lt;&gt;"",O638,IF(Y638&gt;=DepositThreshold,ROUND(Y638*DepositPercent,2),0)))</f>
        <v>0</v>
      </c>
      <c r="AA638" s="26">
        <f>IF(B638="","",ROUND(SUMIFS(Payments!$G$5:$G$1204,Payments!$I$5:$I$1204,A638,Payments!$E$5:$E$1204,"Deposit"),2))</f>
        <v>0</v>
      </c>
      <c r="AB638" s="26">
        <f>IF(B638="","",ROUND(SUMIFS(Sales!$Y$5:$Y$1204,Sales!$C$5:$C$1204,A638),2))</f>
        <v>0</v>
      </c>
      <c r="AC638" s="38">
        <f>IF(B638="","",IF(M638="Completed","Yes",IF(M638="Cancelled","Yes",IF(M638="No show","Yes","No"))))</f>
        <v>0</v>
      </c>
      <c r="AD638" s="25">
        <f>IF(B638="","",IF(AE638="","",B638-AE638))</f>
        <v>0</v>
      </c>
      <c r="AF638" s="38">
        <f>IF(B638="","",IF(M638&lt;&gt;"Completed","",IF(E638="","No",IF(COUNTIFS(Appointments!$E$5:$E$1204,E638,Appointments!$B$5:$B$1204,"&gt;"&amp;B638,Appointments!$M$5:$M$1204,"&lt;&gt;Cancelled")&gt;0,"Yes","No"))))</f>
        <v>0</v>
      </c>
      <c r="AG638" s="38">
        <f>IF(B638="","",IF(I638="","",IF(D638="","",IF(COUNTIFS($I$5:$I$1204,I638,$B$5:$B$1204,B638,$D$5:$D$1204,"&lt;"&amp;V638,$V$5:$V$1204,"&gt;"&amp;D638,$M$5:$M$1204,"&lt;&gt;Cancelled")&gt;1,"Clash",""))))</f>
        <v>0</v>
      </c>
      <c r="AH638" s="39">
        <f>IF(B638="","",IF(AG638="Clash","Clash - stylist double booked",IF(I638="","Assign - no stylist yet",IF(G638="","Add - no service chosen",IF(M638="No show","No show - charge the fee?",IF(M638="Cancelled","",IF(IF(M638="Completed",AB638&lt;Y638-0.004,FALSE),"Unpaid - nothing rung up for this visit",IF(IF(B638&lt;TodayDate,M638="Booked",FALSE),"Overdue - past date, still only Booked",IF(IF(B638=TodayDate,TRUE,FALSE),"Today",IF(IF(Z638&gt;0,AA638&lt;Z638-0.004,FALSE),"Due - deposit not taken",IF(IF(B638&gt;TodayDate,B638&lt;=TodayDate+2,FALSE),"Confirm - coming up","OK")))))))))))</f>
        <v>0</v>
      </c>
    </row>
    <row r="639" spans="1:34">
      <c r="A639" s="28">
        <f>IF(B639="","",AppointmentPrefix&amp;TEXT(ROW()-4,"0000"))</f>
        <v>0</v>
      </c>
      <c r="C639" s="15">
        <f>IF(B639="","",TEXT(B639,"ddd"))</f>
        <v>0</v>
      </c>
      <c r="F639" s="15">
        <f>IF(E639="","",IFERROR(INDEX(Clients!$B$5:$B$504,MATCH(E639,Clients!$A$5:$A$504,0)),"Walk-in"))</f>
        <v>0</v>
      </c>
      <c r="H639" s="15">
        <f>IF(G639="","",IFERROR(INDEX(Services!$B$5:$B$204,MATCH(G639,Services!$A$5:$A$204,0)),"Not in Services"))</f>
        <v>0</v>
      </c>
      <c r="J639" s="15">
        <f>IF(I639="","",IFERROR(INDEX(Staff!$B$5:$B$44,MATCH(I639,Staff!$A$5:$A$44,0)),"Unassigned"))</f>
        <v>0</v>
      </c>
      <c r="S639" s="15">
        <f>IF(B639="","",TEXT(B639,"yyyy-mm"))</f>
        <v>0</v>
      </c>
      <c r="T639" s="25">
        <f>IF(B639="","",WEEKNUM(B639,2))</f>
        <v>0</v>
      </c>
      <c r="U639" s="25">
        <f>IF(B639="","",IF(K639&lt;&gt;"",K639,IFERROR(INDEX(Services!$E$5:$E$204,MATCH(G639,Services!$A$5:$A$204,0))*1,0)+IFERROR(INDEX(Services!$F$5:$F$204,MATCH(G639,Services!$A$5:$A$204,0))*1,0)))</f>
        <v>0</v>
      </c>
      <c r="V639" s="36">
        <f>IF(B639="","",IF(D639="","",D639+U639/1440))</f>
        <v>0</v>
      </c>
      <c r="W639" s="25">
        <f>IF(B639="","",IF(D639="","",HOUR(D639)))</f>
        <v>0</v>
      </c>
      <c r="X639" s="37">
        <f>IF(B639="","",ROUND(U639/60,2))</f>
        <v>0</v>
      </c>
      <c r="Y639" s="26">
        <f>IF(B639="","",IF(L639&lt;&gt;"",L639,IFERROR(INDEX(Services!$G$5:$G$204,MATCH(G639,Services!$A$5:$A$204,0))*1,0)))</f>
        <v>0</v>
      </c>
      <c r="Z639" s="26">
        <f>IF(B639="","",IF(O639&lt;&gt;"",O639,IF(Y639&gt;=DepositThreshold,ROUND(Y639*DepositPercent,2),0)))</f>
        <v>0</v>
      </c>
      <c r="AA639" s="26">
        <f>IF(B639="","",ROUND(SUMIFS(Payments!$G$5:$G$1204,Payments!$I$5:$I$1204,A639,Payments!$E$5:$E$1204,"Deposit"),2))</f>
        <v>0</v>
      </c>
      <c r="AB639" s="26">
        <f>IF(B639="","",ROUND(SUMIFS(Sales!$Y$5:$Y$1204,Sales!$C$5:$C$1204,A639),2))</f>
        <v>0</v>
      </c>
      <c r="AC639" s="38">
        <f>IF(B639="","",IF(M639="Completed","Yes",IF(M639="Cancelled","Yes",IF(M639="No show","Yes","No"))))</f>
        <v>0</v>
      </c>
      <c r="AD639" s="25">
        <f>IF(B639="","",IF(AE639="","",B639-AE639))</f>
        <v>0</v>
      </c>
      <c r="AF639" s="38">
        <f>IF(B639="","",IF(M639&lt;&gt;"Completed","",IF(E639="","No",IF(COUNTIFS(Appointments!$E$5:$E$1204,E639,Appointments!$B$5:$B$1204,"&gt;"&amp;B639,Appointments!$M$5:$M$1204,"&lt;&gt;Cancelled")&gt;0,"Yes","No"))))</f>
        <v>0</v>
      </c>
      <c r="AG639" s="38">
        <f>IF(B639="","",IF(I639="","",IF(D639="","",IF(COUNTIFS($I$5:$I$1204,I639,$B$5:$B$1204,B639,$D$5:$D$1204,"&lt;"&amp;V639,$V$5:$V$1204,"&gt;"&amp;D639,$M$5:$M$1204,"&lt;&gt;Cancelled")&gt;1,"Clash",""))))</f>
        <v>0</v>
      </c>
      <c r="AH639" s="39">
        <f>IF(B639="","",IF(AG639="Clash","Clash - stylist double booked",IF(I639="","Assign - no stylist yet",IF(G639="","Add - no service chosen",IF(M639="No show","No show - charge the fee?",IF(M639="Cancelled","",IF(IF(M639="Completed",AB639&lt;Y639-0.004,FALSE),"Unpaid - nothing rung up for this visit",IF(IF(B639&lt;TodayDate,M639="Booked",FALSE),"Overdue - past date, still only Booked",IF(IF(B639=TodayDate,TRUE,FALSE),"Today",IF(IF(Z639&gt;0,AA639&lt;Z639-0.004,FALSE),"Due - deposit not taken",IF(IF(B639&gt;TodayDate,B639&lt;=TodayDate+2,FALSE),"Confirm - coming up","OK")))))))))))</f>
        <v>0</v>
      </c>
    </row>
    <row r="640" spans="1:34">
      <c r="A640" s="28">
        <f>IF(B640="","",AppointmentPrefix&amp;TEXT(ROW()-4,"0000"))</f>
        <v>0</v>
      </c>
      <c r="C640" s="15">
        <f>IF(B640="","",TEXT(B640,"ddd"))</f>
        <v>0</v>
      </c>
      <c r="F640" s="15">
        <f>IF(E640="","",IFERROR(INDEX(Clients!$B$5:$B$504,MATCH(E640,Clients!$A$5:$A$504,0)),"Walk-in"))</f>
        <v>0</v>
      </c>
      <c r="H640" s="15">
        <f>IF(G640="","",IFERROR(INDEX(Services!$B$5:$B$204,MATCH(G640,Services!$A$5:$A$204,0)),"Not in Services"))</f>
        <v>0</v>
      </c>
      <c r="J640" s="15">
        <f>IF(I640="","",IFERROR(INDEX(Staff!$B$5:$B$44,MATCH(I640,Staff!$A$5:$A$44,0)),"Unassigned"))</f>
        <v>0</v>
      </c>
      <c r="S640" s="15">
        <f>IF(B640="","",TEXT(B640,"yyyy-mm"))</f>
        <v>0</v>
      </c>
      <c r="T640" s="25">
        <f>IF(B640="","",WEEKNUM(B640,2))</f>
        <v>0</v>
      </c>
      <c r="U640" s="25">
        <f>IF(B640="","",IF(K640&lt;&gt;"",K640,IFERROR(INDEX(Services!$E$5:$E$204,MATCH(G640,Services!$A$5:$A$204,0))*1,0)+IFERROR(INDEX(Services!$F$5:$F$204,MATCH(G640,Services!$A$5:$A$204,0))*1,0)))</f>
        <v>0</v>
      </c>
      <c r="V640" s="36">
        <f>IF(B640="","",IF(D640="","",D640+U640/1440))</f>
        <v>0</v>
      </c>
      <c r="W640" s="25">
        <f>IF(B640="","",IF(D640="","",HOUR(D640)))</f>
        <v>0</v>
      </c>
      <c r="X640" s="37">
        <f>IF(B640="","",ROUND(U640/60,2))</f>
        <v>0</v>
      </c>
      <c r="Y640" s="26">
        <f>IF(B640="","",IF(L640&lt;&gt;"",L640,IFERROR(INDEX(Services!$G$5:$G$204,MATCH(G640,Services!$A$5:$A$204,0))*1,0)))</f>
        <v>0</v>
      </c>
      <c r="Z640" s="26">
        <f>IF(B640="","",IF(O640&lt;&gt;"",O640,IF(Y640&gt;=DepositThreshold,ROUND(Y640*DepositPercent,2),0)))</f>
        <v>0</v>
      </c>
      <c r="AA640" s="26">
        <f>IF(B640="","",ROUND(SUMIFS(Payments!$G$5:$G$1204,Payments!$I$5:$I$1204,A640,Payments!$E$5:$E$1204,"Deposit"),2))</f>
        <v>0</v>
      </c>
      <c r="AB640" s="26">
        <f>IF(B640="","",ROUND(SUMIFS(Sales!$Y$5:$Y$1204,Sales!$C$5:$C$1204,A640),2))</f>
        <v>0</v>
      </c>
      <c r="AC640" s="38">
        <f>IF(B640="","",IF(M640="Completed","Yes",IF(M640="Cancelled","Yes",IF(M640="No show","Yes","No"))))</f>
        <v>0</v>
      </c>
      <c r="AD640" s="25">
        <f>IF(B640="","",IF(AE640="","",B640-AE640))</f>
        <v>0</v>
      </c>
      <c r="AF640" s="38">
        <f>IF(B640="","",IF(M640&lt;&gt;"Completed","",IF(E640="","No",IF(COUNTIFS(Appointments!$E$5:$E$1204,E640,Appointments!$B$5:$B$1204,"&gt;"&amp;B640,Appointments!$M$5:$M$1204,"&lt;&gt;Cancelled")&gt;0,"Yes","No"))))</f>
        <v>0</v>
      </c>
      <c r="AG640" s="38">
        <f>IF(B640="","",IF(I640="","",IF(D640="","",IF(COUNTIFS($I$5:$I$1204,I640,$B$5:$B$1204,B640,$D$5:$D$1204,"&lt;"&amp;V640,$V$5:$V$1204,"&gt;"&amp;D640,$M$5:$M$1204,"&lt;&gt;Cancelled")&gt;1,"Clash",""))))</f>
        <v>0</v>
      </c>
      <c r="AH640" s="39">
        <f>IF(B640="","",IF(AG640="Clash","Clash - stylist double booked",IF(I640="","Assign - no stylist yet",IF(G640="","Add - no service chosen",IF(M640="No show","No show - charge the fee?",IF(M640="Cancelled","",IF(IF(M640="Completed",AB640&lt;Y640-0.004,FALSE),"Unpaid - nothing rung up for this visit",IF(IF(B640&lt;TodayDate,M640="Booked",FALSE),"Overdue - past date, still only Booked",IF(IF(B640=TodayDate,TRUE,FALSE),"Today",IF(IF(Z640&gt;0,AA640&lt;Z640-0.004,FALSE),"Due - deposit not taken",IF(IF(B640&gt;TodayDate,B640&lt;=TodayDate+2,FALSE),"Confirm - coming up","OK")))))))))))</f>
        <v>0</v>
      </c>
    </row>
    <row r="641" spans="1:34">
      <c r="A641" s="28">
        <f>IF(B641="","",AppointmentPrefix&amp;TEXT(ROW()-4,"0000"))</f>
        <v>0</v>
      </c>
      <c r="C641" s="15">
        <f>IF(B641="","",TEXT(B641,"ddd"))</f>
        <v>0</v>
      </c>
      <c r="F641" s="15">
        <f>IF(E641="","",IFERROR(INDEX(Clients!$B$5:$B$504,MATCH(E641,Clients!$A$5:$A$504,0)),"Walk-in"))</f>
        <v>0</v>
      </c>
      <c r="H641" s="15">
        <f>IF(G641="","",IFERROR(INDEX(Services!$B$5:$B$204,MATCH(G641,Services!$A$5:$A$204,0)),"Not in Services"))</f>
        <v>0</v>
      </c>
      <c r="J641" s="15">
        <f>IF(I641="","",IFERROR(INDEX(Staff!$B$5:$B$44,MATCH(I641,Staff!$A$5:$A$44,0)),"Unassigned"))</f>
        <v>0</v>
      </c>
      <c r="S641" s="15">
        <f>IF(B641="","",TEXT(B641,"yyyy-mm"))</f>
        <v>0</v>
      </c>
      <c r="T641" s="25">
        <f>IF(B641="","",WEEKNUM(B641,2))</f>
        <v>0</v>
      </c>
      <c r="U641" s="25">
        <f>IF(B641="","",IF(K641&lt;&gt;"",K641,IFERROR(INDEX(Services!$E$5:$E$204,MATCH(G641,Services!$A$5:$A$204,0))*1,0)+IFERROR(INDEX(Services!$F$5:$F$204,MATCH(G641,Services!$A$5:$A$204,0))*1,0)))</f>
        <v>0</v>
      </c>
      <c r="V641" s="36">
        <f>IF(B641="","",IF(D641="","",D641+U641/1440))</f>
        <v>0</v>
      </c>
      <c r="W641" s="25">
        <f>IF(B641="","",IF(D641="","",HOUR(D641)))</f>
        <v>0</v>
      </c>
      <c r="X641" s="37">
        <f>IF(B641="","",ROUND(U641/60,2))</f>
        <v>0</v>
      </c>
      <c r="Y641" s="26">
        <f>IF(B641="","",IF(L641&lt;&gt;"",L641,IFERROR(INDEX(Services!$G$5:$G$204,MATCH(G641,Services!$A$5:$A$204,0))*1,0)))</f>
        <v>0</v>
      </c>
      <c r="Z641" s="26">
        <f>IF(B641="","",IF(O641&lt;&gt;"",O641,IF(Y641&gt;=DepositThreshold,ROUND(Y641*DepositPercent,2),0)))</f>
        <v>0</v>
      </c>
      <c r="AA641" s="26">
        <f>IF(B641="","",ROUND(SUMIFS(Payments!$G$5:$G$1204,Payments!$I$5:$I$1204,A641,Payments!$E$5:$E$1204,"Deposit"),2))</f>
        <v>0</v>
      </c>
      <c r="AB641" s="26">
        <f>IF(B641="","",ROUND(SUMIFS(Sales!$Y$5:$Y$1204,Sales!$C$5:$C$1204,A641),2))</f>
        <v>0</v>
      </c>
      <c r="AC641" s="38">
        <f>IF(B641="","",IF(M641="Completed","Yes",IF(M641="Cancelled","Yes",IF(M641="No show","Yes","No"))))</f>
        <v>0</v>
      </c>
      <c r="AD641" s="25">
        <f>IF(B641="","",IF(AE641="","",B641-AE641))</f>
        <v>0</v>
      </c>
      <c r="AF641" s="38">
        <f>IF(B641="","",IF(M641&lt;&gt;"Completed","",IF(E641="","No",IF(COUNTIFS(Appointments!$E$5:$E$1204,E641,Appointments!$B$5:$B$1204,"&gt;"&amp;B641,Appointments!$M$5:$M$1204,"&lt;&gt;Cancelled")&gt;0,"Yes","No"))))</f>
        <v>0</v>
      </c>
      <c r="AG641" s="38">
        <f>IF(B641="","",IF(I641="","",IF(D641="","",IF(COUNTIFS($I$5:$I$1204,I641,$B$5:$B$1204,B641,$D$5:$D$1204,"&lt;"&amp;V641,$V$5:$V$1204,"&gt;"&amp;D641,$M$5:$M$1204,"&lt;&gt;Cancelled")&gt;1,"Clash",""))))</f>
        <v>0</v>
      </c>
      <c r="AH641" s="39">
        <f>IF(B641="","",IF(AG641="Clash","Clash - stylist double booked",IF(I641="","Assign - no stylist yet",IF(G641="","Add - no service chosen",IF(M641="No show","No show - charge the fee?",IF(M641="Cancelled","",IF(IF(M641="Completed",AB641&lt;Y641-0.004,FALSE),"Unpaid - nothing rung up for this visit",IF(IF(B641&lt;TodayDate,M641="Booked",FALSE),"Overdue - past date, still only Booked",IF(IF(B641=TodayDate,TRUE,FALSE),"Today",IF(IF(Z641&gt;0,AA641&lt;Z641-0.004,FALSE),"Due - deposit not taken",IF(IF(B641&gt;TodayDate,B641&lt;=TodayDate+2,FALSE),"Confirm - coming up","OK")))))))))))</f>
        <v>0</v>
      </c>
    </row>
    <row r="642" spans="1:34">
      <c r="A642" s="28">
        <f>IF(B642="","",AppointmentPrefix&amp;TEXT(ROW()-4,"0000"))</f>
        <v>0</v>
      </c>
      <c r="C642" s="15">
        <f>IF(B642="","",TEXT(B642,"ddd"))</f>
        <v>0</v>
      </c>
      <c r="F642" s="15">
        <f>IF(E642="","",IFERROR(INDEX(Clients!$B$5:$B$504,MATCH(E642,Clients!$A$5:$A$504,0)),"Walk-in"))</f>
        <v>0</v>
      </c>
      <c r="H642" s="15">
        <f>IF(G642="","",IFERROR(INDEX(Services!$B$5:$B$204,MATCH(G642,Services!$A$5:$A$204,0)),"Not in Services"))</f>
        <v>0</v>
      </c>
      <c r="J642" s="15">
        <f>IF(I642="","",IFERROR(INDEX(Staff!$B$5:$B$44,MATCH(I642,Staff!$A$5:$A$44,0)),"Unassigned"))</f>
        <v>0</v>
      </c>
      <c r="S642" s="15">
        <f>IF(B642="","",TEXT(B642,"yyyy-mm"))</f>
        <v>0</v>
      </c>
      <c r="T642" s="25">
        <f>IF(B642="","",WEEKNUM(B642,2))</f>
        <v>0</v>
      </c>
      <c r="U642" s="25">
        <f>IF(B642="","",IF(K642&lt;&gt;"",K642,IFERROR(INDEX(Services!$E$5:$E$204,MATCH(G642,Services!$A$5:$A$204,0))*1,0)+IFERROR(INDEX(Services!$F$5:$F$204,MATCH(G642,Services!$A$5:$A$204,0))*1,0)))</f>
        <v>0</v>
      </c>
      <c r="V642" s="36">
        <f>IF(B642="","",IF(D642="","",D642+U642/1440))</f>
        <v>0</v>
      </c>
      <c r="W642" s="25">
        <f>IF(B642="","",IF(D642="","",HOUR(D642)))</f>
        <v>0</v>
      </c>
      <c r="X642" s="37">
        <f>IF(B642="","",ROUND(U642/60,2))</f>
        <v>0</v>
      </c>
      <c r="Y642" s="26">
        <f>IF(B642="","",IF(L642&lt;&gt;"",L642,IFERROR(INDEX(Services!$G$5:$G$204,MATCH(G642,Services!$A$5:$A$204,0))*1,0)))</f>
        <v>0</v>
      </c>
      <c r="Z642" s="26">
        <f>IF(B642="","",IF(O642&lt;&gt;"",O642,IF(Y642&gt;=DepositThreshold,ROUND(Y642*DepositPercent,2),0)))</f>
        <v>0</v>
      </c>
      <c r="AA642" s="26">
        <f>IF(B642="","",ROUND(SUMIFS(Payments!$G$5:$G$1204,Payments!$I$5:$I$1204,A642,Payments!$E$5:$E$1204,"Deposit"),2))</f>
        <v>0</v>
      </c>
      <c r="AB642" s="26">
        <f>IF(B642="","",ROUND(SUMIFS(Sales!$Y$5:$Y$1204,Sales!$C$5:$C$1204,A642),2))</f>
        <v>0</v>
      </c>
      <c r="AC642" s="38">
        <f>IF(B642="","",IF(M642="Completed","Yes",IF(M642="Cancelled","Yes",IF(M642="No show","Yes","No"))))</f>
        <v>0</v>
      </c>
      <c r="AD642" s="25">
        <f>IF(B642="","",IF(AE642="","",B642-AE642))</f>
        <v>0</v>
      </c>
      <c r="AF642" s="38">
        <f>IF(B642="","",IF(M642&lt;&gt;"Completed","",IF(E642="","No",IF(COUNTIFS(Appointments!$E$5:$E$1204,E642,Appointments!$B$5:$B$1204,"&gt;"&amp;B642,Appointments!$M$5:$M$1204,"&lt;&gt;Cancelled")&gt;0,"Yes","No"))))</f>
        <v>0</v>
      </c>
      <c r="AG642" s="38">
        <f>IF(B642="","",IF(I642="","",IF(D642="","",IF(COUNTIFS($I$5:$I$1204,I642,$B$5:$B$1204,B642,$D$5:$D$1204,"&lt;"&amp;V642,$V$5:$V$1204,"&gt;"&amp;D642,$M$5:$M$1204,"&lt;&gt;Cancelled")&gt;1,"Clash",""))))</f>
        <v>0</v>
      </c>
      <c r="AH642" s="39">
        <f>IF(B642="","",IF(AG642="Clash","Clash - stylist double booked",IF(I642="","Assign - no stylist yet",IF(G642="","Add - no service chosen",IF(M642="No show","No show - charge the fee?",IF(M642="Cancelled","",IF(IF(M642="Completed",AB642&lt;Y642-0.004,FALSE),"Unpaid - nothing rung up for this visit",IF(IF(B642&lt;TodayDate,M642="Booked",FALSE),"Overdue - past date, still only Booked",IF(IF(B642=TodayDate,TRUE,FALSE),"Today",IF(IF(Z642&gt;0,AA642&lt;Z642-0.004,FALSE),"Due - deposit not taken",IF(IF(B642&gt;TodayDate,B642&lt;=TodayDate+2,FALSE),"Confirm - coming up","OK")))))))))))</f>
        <v>0</v>
      </c>
    </row>
    <row r="643" spans="1:34">
      <c r="A643" s="28">
        <f>IF(B643="","",AppointmentPrefix&amp;TEXT(ROW()-4,"0000"))</f>
        <v>0</v>
      </c>
      <c r="C643" s="15">
        <f>IF(B643="","",TEXT(B643,"ddd"))</f>
        <v>0</v>
      </c>
      <c r="F643" s="15">
        <f>IF(E643="","",IFERROR(INDEX(Clients!$B$5:$B$504,MATCH(E643,Clients!$A$5:$A$504,0)),"Walk-in"))</f>
        <v>0</v>
      </c>
      <c r="H643" s="15">
        <f>IF(G643="","",IFERROR(INDEX(Services!$B$5:$B$204,MATCH(G643,Services!$A$5:$A$204,0)),"Not in Services"))</f>
        <v>0</v>
      </c>
      <c r="J643" s="15">
        <f>IF(I643="","",IFERROR(INDEX(Staff!$B$5:$B$44,MATCH(I643,Staff!$A$5:$A$44,0)),"Unassigned"))</f>
        <v>0</v>
      </c>
      <c r="S643" s="15">
        <f>IF(B643="","",TEXT(B643,"yyyy-mm"))</f>
        <v>0</v>
      </c>
      <c r="T643" s="25">
        <f>IF(B643="","",WEEKNUM(B643,2))</f>
        <v>0</v>
      </c>
      <c r="U643" s="25">
        <f>IF(B643="","",IF(K643&lt;&gt;"",K643,IFERROR(INDEX(Services!$E$5:$E$204,MATCH(G643,Services!$A$5:$A$204,0))*1,0)+IFERROR(INDEX(Services!$F$5:$F$204,MATCH(G643,Services!$A$5:$A$204,0))*1,0)))</f>
        <v>0</v>
      </c>
      <c r="V643" s="36">
        <f>IF(B643="","",IF(D643="","",D643+U643/1440))</f>
        <v>0</v>
      </c>
      <c r="W643" s="25">
        <f>IF(B643="","",IF(D643="","",HOUR(D643)))</f>
        <v>0</v>
      </c>
      <c r="X643" s="37">
        <f>IF(B643="","",ROUND(U643/60,2))</f>
        <v>0</v>
      </c>
      <c r="Y643" s="26">
        <f>IF(B643="","",IF(L643&lt;&gt;"",L643,IFERROR(INDEX(Services!$G$5:$G$204,MATCH(G643,Services!$A$5:$A$204,0))*1,0)))</f>
        <v>0</v>
      </c>
      <c r="Z643" s="26">
        <f>IF(B643="","",IF(O643&lt;&gt;"",O643,IF(Y643&gt;=DepositThreshold,ROUND(Y643*DepositPercent,2),0)))</f>
        <v>0</v>
      </c>
      <c r="AA643" s="26">
        <f>IF(B643="","",ROUND(SUMIFS(Payments!$G$5:$G$1204,Payments!$I$5:$I$1204,A643,Payments!$E$5:$E$1204,"Deposit"),2))</f>
        <v>0</v>
      </c>
      <c r="AB643" s="26">
        <f>IF(B643="","",ROUND(SUMIFS(Sales!$Y$5:$Y$1204,Sales!$C$5:$C$1204,A643),2))</f>
        <v>0</v>
      </c>
      <c r="AC643" s="38">
        <f>IF(B643="","",IF(M643="Completed","Yes",IF(M643="Cancelled","Yes",IF(M643="No show","Yes","No"))))</f>
        <v>0</v>
      </c>
      <c r="AD643" s="25">
        <f>IF(B643="","",IF(AE643="","",B643-AE643))</f>
        <v>0</v>
      </c>
      <c r="AF643" s="38">
        <f>IF(B643="","",IF(M643&lt;&gt;"Completed","",IF(E643="","No",IF(COUNTIFS(Appointments!$E$5:$E$1204,E643,Appointments!$B$5:$B$1204,"&gt;"&amp;B643,Appointments!$M$5:$M$1204,"&lt;&gt;Cancelled")&gt;0,"Yes","No"))))</f>
        <v>0</v>
      </c>
      <c r="AG643" s="38">
        <f>IF(B643="","",IF(I643="","",IF(D643="","",IF(COUNTIFS($I$5:$I$1204,I643,$B$5:$B$1204,B643,$D$5:$D$1204,"&lt;"&amp;V643,$V$5:$V$1204,"&gt;"&amp;D643,$M$5:$M$1204,"&lt;&gt;Cancelled")&gt;1,"Clash",""))))</f>
        <v>0</v>
      </c>
      <c r="AH643" s="39">
        <f>IF(B643="","",IF(AG643="Clash","Clash - stylist double booked",IF(I643="","Assign - no stylist yet",IF(G643="","Add - no service chosen",IF(M643="No show","No show - charge the fee?",IF(M643="Cancelled","",IF(IF(M643="Completed",AB643&lt;Y643-0.004,FALSE),"Unpaid - nothing rung up for this visit",IF(IF(B643&lt;TodayDate,M643="Booked",FALSE),"Overdue - past date, still only Booked",IF(IF(B643=TodayDate,TRUE,FALSE),"Today",IF(IF(Z643&gt;0,AA643&lt;Z643-0.004,FALSE),"Due - deposit not taken",IF(IF(B643&gt;TodayDate,B643&lt;=TodayDate+2,FALSE),"Confirm - coming up","OK")))))))))))</f>
        <v>0</v>
      </c>
    </row>
    <row r="644" spans="1:34">
      <c r="A644" s="28">
        <f>IF(B644="","",AppointmentPrefix&amp;TEXT(ROW()-4,"0000"))</f>
        <v>0</v>
      </c>
      <c r="C644" s="15">
        <f>IF(B644="","",TEXT(B644,"ddd"))</f>
        <v>0</v>
      </c>
      <c r="F644" s="15">
        <f>IF(E644="","",IFERROR(INDEX(Clients!$B$5:$B$504,MATCH(E644,Clients!$A$5:$A$504,0)),"Walk-in"))</f>
        <v>0</v>
      </c>
      <c r="H644" s="15">
        <f>IF(G644="","",IFERROR(INDEX(Services!$B$5:$B$204,MATCH(G644,Services!$A$5:$A$204,0)),"Not in Services"))</f>
        <v>0</v>
      </c>
      <c r="J644" s="15">
        <f>IF(I644="","",IFERROR(INDEX(Staff!$B$5:$B$44,MATCH(I644,Staff!$A$5:$A$44,0)),"Unassigned"))</f>
        <v>0</v>
      </c>
      <c r="S644" s="15">
        <f>IF(B644="","",TEXT(B644,"yyyy-mm"))</f>
        <v>0</v>
      </c>
      <c r="T644" s="25">
        <f>IF(B644="","",WEEKNUM(B644,2))</f>
        <v>0</v>
      </c>
      <c r="U644" s="25">
        <f>IF(B644="","",IF(K644&lt;&gt;"",K644,IFERROR(INDEX(Services!$E$5:$E$204,MATCH(G644,Services!$A$5:$A$204,0))*1,0)+IFERROR(INDEX(Services!$F$5:$F$204,MATCH(G644,Services!$A$5:$A$204,0))*1,0)))</f>
        <v>0</v>
      </c>
      <c r="V644" s="36">
        <f>IF(B644="","",IF(D644="","",D644+U644/1440))</f>
        <v>0</v>
      </c>
      <c r="W644" s="25">
        <f>IF(B644="","",IF(D644="","",HOUR(D644)))</f>
        <v>0</v>
      </c>
      <c r="X644" s="37">
        <f>IF(B644="","",ROUND(U644/60,2))</f>
        <v>0</v>
      </c>
      <c r="Y644" s="26">
        <f>IF(B644="","",IF(L644&lt;&gt;"",L644,IFERROR(INDEX(Services!$G$5:$G$204,MATCH(G644,Services!$A$5:$A$204,0))*1,0)))</f>
        <v>0</v>
      </c>
      <c r="Z644" s="26">
        <f>IF(B644="","",IF(O644&lt;&gt;"",O644,IF(Y644&gt;=DepositThreshold,ROUND(Y644*DepositPercent,2),0)))</f>
        <v>0</v>
      </c>
      <c r="AA644" s="26">
        <f>IF(B644="","",ROUND(SUMIFS(Payments!$G$5:$G$1204,Payments!$I$5:$I$1204,A644,Payments!$E$5:$E$1204,"Deposit"),2))</f>
        <v>0</v>
      </c>
      <c r="AB644" s="26">
        <f>IF(B644="","",ROUND(SUMIFS(Sales!$Y$5:$Y$1204,Sales!$C$5:$C$1204,A644),2))</f>
        <v>0</v>
      </c>
      <c r="AC644" s="38">
        <f>IF(B644="","",IF(M644="Completed","Yes",IF(M644="Cancelled","Yes",IF(M644="No show","Yes","No"))))</f>
        <v>0</v>
      </c>
      <c r="AD644" s="25">
        <f>IF(B644="","",IF(AE644="","",B644-AE644))</f>
        <v>0</v>
      </c>
      <c r="AF644" s="38">
        <f>IF(B644="","",IF(M644&lt;&gt;"Completed","",IF(E644="","No",IF(COUNTIFS(Appointments!$E$5:$E$1204,E644,Appointments!$B$5:$B$1204,"&gt;"&amp;B644,Appointments!$M$5:$M$1204,"&lt;&gt;Cancelled")&gt;0,"Yes","No"))))</f>
        <v>0</v>
      </c>
      <c r="AG644" s="38">
        <f>IF(B644="","",IF(I644="","",IF(D644="","",IF(COUNTIFS($I$5:$I$1204,I644,$B$5:$B$1204,B644,$D$5:$D$1204,"&lt;"&amp;V644,$V$5:$V$1204,"&gt;"&amp;D644,$M$5:$M$1204,"&lt;&gt;Cancelled")&gt;1,"Clash",""))))</f>
        <v>0</v>
      </c>
      <c r="AH644" s="39">
        <f>IF(B644="","",IF(AG644="Clash","Clash - stylist double booked",IF(I644="","Assign - no stylist yet",IF(G644="","Add - no service chosen",IF(M644="No show","No show - charge the fee?",IF(M644="Cancelled","",IF(IF(M644="Completed",AB644&lt;Y644-0.004,FALSE),"Unpaid - nothing rung up for this visit",IF(IF(B644&lt;TodayDate,M644="Booked",FALSE),"Overdue - past date, still only Booked",IF(IF(B644=TodayDate,TRUE,FALSE),"Today",IF(IF(Z644&gt;0,AA644&lt;Z644-0.004,FALSE),"Due - deposit not taken",IF(IF(B644&gt;TodayDate,B644&lt;=TodayDate+2,FALSE),"Confirm - coming up","OK")))))))))))</f>
        <v>0</v>
      </c>
    </row>
    <row r="645" spans="1:34">
      <c r="A645" s="28">
        <f>IF(B645="","",AppointmentPrefix&amp;TEXT(ROW()-4,"0000"))</f>
        <v>0</v>
      </c>
      <c r="C645" s="15">
        <f>IF(B645="","",TEXT(B645,"ddd"))</f>
        <v>0</v>
      </c>
      <c r="F645" s="15">
        <f>IF(E645="","",IFERROR(INDEX(Clients!$B$5:$B$504,MATCH(E645,Clients!$A$5:$A$504,0)),"Walk-in"))</f>
        <v>0</v>
      </c>
      <c r="H645" s="15">
        <f>IF(G645="","",IFERROR(INDEX(Services!$B$5:$B$204,MATCH(G645,Services!$A$5:$A$204,0)),"Not in Services"))</f>
        <v>0</v>
      </c>
      <c r="J645" s="15">
        <f>IF(I645="","",IFERROR(INDEX(Staff!$B$5:$B$44,MATCH(I645,Staff!$A$5:$A$44,0)),"Unassigned"))</f>
        <v>0</v>
      </c>
      <c r="S645" s="15">
        <f>IF(B645="","",TEXT(B645,"yyyy-mm"))</f>
        <v>0</v>
      </c>
      <c r="T645" s="25">
        <f>IF(B645="","",WEEKNUM(B645,2))</f>
        <v>0</v>
      </c>
      <c r="U645" s="25">
        <f>IF(B645="","",IF(K645&lt;&gt;"",K645,IFERROR(INDEX(Services!$E$5:$E$204,MATCH(G645,Services!$A$5:$A$204,0))*1,0)+IFERROR(INDEX(Services!$F$5:$F$204,MATCH(G645,Services!$A$5:$A$204,0))*1,0)))</f>
        <v>0</v>
      </c>
      <c r="V645" s="36">
        <f>IF(B645="","",IF(D645="","",D645+U645/1440))</f>
        <v>0</v>
      </c>
      <c r="W645" s="25">
        <f>IF(B645="","",IF(D645="","",HOUR(D645)))</f>
        <v>0</v>
      </c>
      <c r="X645" s="37">
        <f>IF(B645="","",ROUND(U645/60,2))</f>
        <v>0</v>
      </c>
      <c r="Y645" s="26">
        <f>IF(B645="","",IF(L645&lt;&gt;"",L645,IFERROR(INDEX(Services!$G$5:$G$204,MATCH(G645,Services!$A$5:$A$204,0))*1,0)))</f>
        <v>0</v>
      </c>
      <c r="Z645" s="26">
        <f>IF(B645="","",IF(O645&lt;&gt;"",O645,IF(Y645&gt;=DepositThreshold,ROUND(Y645*DepositPercent,2),0)))</f>
        <v>0</v>
      </c>
      <c r="AA645" s="26">
        <f>IF(B645="","",ROUND(SUMIFS(Payments!$G$5:$G$1204,Payments!$I$5:$I$1204,A645,Payments!$E$5:$E$1204,"Deposit"),2))</f>
        <v>0</v>
      </c>
      <c r="AB645" s="26">
        <f>IF(B645="","",ROUND(SUMIFS(Sales!$Y$5:$Y$1204,Sales!$C$5:$C$1204,A645),2))</f>
        <v>0</v>
      </c>
      <c r="AC645" s="38">
        <f>IF(B645="","",IF(M645="Completed","Yes",IF(M645="Cancelled","Yes",IF(M645="No show","Yes","No"))))</f>
        <v>0</v>
      </c>
      <c r="AD645" s="25">
        <f>IF(B645="","",IF(AE645="","",B645-AE645))</f>
        <v>0</v>
      </c>
      <c r="AF645" s="38">
        <f>IF(B645="","",IF(M645&lt;&gt;"Completed","",IF(E645="","No",IF(COUNTIFS(Appointments!$E$5:$E$1204,E645,Appointments!$B$5:$B$1204,"&gt;"&amp;B645,Appointments!$M$5:$M$1204,"&lt;&gt;Cancelled")&gt;0,"Yes","No"))))</f>
        <v>0</v>
      </c>
      <c r="AG645" s="38">
        <f>IF(B645="","",IF(I645="","",IF(D645="","",IF(COUNTIFS($I$5:$I$1204,I645,$B$5:$B$1204,B645,$D$5:$D$1204,"&lt;"&amp;V645,$V$5:$V$1204,"&gt;"&amp;D645,$M$5:$M$1204,"&lt;&gt;Cancelled")&gt;1,"Clash",""))))</f>
        <v>0</v>
      </c>
      <c r="AH645" s="39">
        <f>IF(B645="","",IF(AG645="Clash","Clash - stylist double booked",IF(I645="","Assign - no stylist yet",IF(G645="","Add - no service chosen",IF(M645="No show","No show - charge the fee?",IF(M645="Cancelled","",IF(IF(M645="Completed",AB645&lt;Y645-0.004,FALSE),"Unpaid - nothing rung up for this visit",IF(IF(B645&lt;TodayDate,M645="Booked",FALSE),"Overdue - past date, still only Booked",IF(IF(B645=TodayDate,TRUE,FALSE),"Today",IF(IF(Z645&gt;0,AA645&lt;Z645-0.004,FALSE),"Due - deposit not taken",IF(IF(B645&gt;TodayDate,B645&lt;=TodayDate+2,FALSE),"Confirm - coming up","OK")))))))))))</f>
        <v>0</v>
      </c>
    </row>
    <row r="646" spans="1:34">
      <c r="A646" s="28">
        <f>IF(B646="","",AppointmentPrefix&amp;TEXT(ROW()-4,"0000"))</f>
        <v>0</v>
      </c>
      <c r="C646" s="15">
        <f>IF(B646="","",TEXT(B646,"ddd"))</f>
        <v>0</v>
      </c>
      <c r="F646" s="15">
        <f>IF(E646="","",IFERROR(INDEX(Clients!$B$5:$B$504,MATCH(E646,Clients!$A$5:$A$504,0)),"Walk-in"))</f>
        <v>0</v>
      </c>
      <c r="H646" s="15">
        <f>IF(G646="","",IFERROR(INDEX(Services!$B$5:$B$204,MATCH(G646,Services!$A$5:$A$204,0)),"Not in Services"))</f>
        <v>0</v>
      </c>
      <c r="J646" s="15">
        <f>IF(I646="","",IFERROR(INDEX(Staff!$B$5:$B$44,MATCH(I646,Staff!$A$5:$A$44,0)),"Unassigned"))</f>
        <v>0</v>
      </c>
      <c r="S646" s="15">
        <f>IF(B646="","",TEXT(B646,"yyyy-mm"))</f>
        <v>0</v>
      </c>
      <c r="T646" s="25">
        <f>IF(B646="","",WEEKNUM(B646,2))</f>
        <v>0</v>
      </c>
      <c r="U646" s="25">
        <f>IF(B646="","",IF(K646&lt;&gt;"",K646,IFERROR(INDEX(Services!$E$5:$E$204,MATCH(G646,Services!$A$5:$A$204,0))*1,0)+IFERROR(INDEX(Services!$F$5:$F$204,MATCH(G646,Services!$A$5:$A$204,0))*1,0)))</f>
        <v>0</v>
      </c>
      <c r="V646" s="36">
        <f>IF(B646="","",IF(D646="","",D646+U646/1440))</f>
        <v>0</v>
      </c>
      <c r="W646" s="25">
        <f>IF(B646="","",IF(D646="","",HOUR(D646)))</f>
        <v>0</v>
      </c>
      <c r="X646" s="37">
        <f>IF(B646="","",ROUND(U646/60,2))</f>
        <v>0</v>
      </c>
      <c r="Y646" s="26">
        <f>IF(B646="","",IF(L646&lt;&gt;"",L646,IFERROR(INDEX(Services!$G$5:$G$204,MATCH(G646,Services!$A$5:$A$204,0))*1,0)))</f>
        <v>0</v>
      </c>
      <c r="Z646" s="26">
        <f>IF(B646="","",IF(O646&lt;&gt;"",O646,IF(Y646&gt;=DepositThreshold,ROUND(Y646*DepositPercent,2),0)))</f>
        <v>0</v>
      </c>
      <c r="AA646" s="26">
        <f>IF(B646="","",ROUND(SUMIFS(Payments!$G$5:$G$1204,Payments!$I$5:$I$1204,A646,Payments!$E$5:$E$1204,"Deposit"),2))</f>
        <v>0</v>
      </c>
      <c r="AB646" s="26">
        <f>IF(B646="","",ROUND(SUMIFS(Sales!$Y$5:$Y$1204,Sales!$C$5:$C$1204,A646),2))</f>
        <v>0</v>
      </c>
      <c r="AC646" s="38">
        <f>IF(B646="","",IF(M646="Completed","Yes",IF(M646="Cancelled","Yes",IF(M646="No show","Yes","No"))))</f>
        <v>0</v>
      </c>
      <c r="AD646" s="25">
        <f>IF(B646="","",IF(AE646="","",B646-AE646))</f>
        <v>0</v>
      </c>
      <c r="AF646" s="38">
        <f>IF(B646="","",IF(M646&lt;&gt;"Completed","",IF(E646="","No",IF(COUNTIFS(Appointments!$E$5:$E$1204,E646,Appointments!$B$5:$B$1204,"&gt;"&amp;B646,Appointments!$M$5:$M$1204,"&lt;&gt;Cancelled")&gt;0,"Yes","No"))))</f>
        <v>0</v>
      </c>
      <c r="AG646" s="38">
        <f>IF(B646="","",IF(I646="","",IF(D646="","",IF(COUNTIFS($I$5:$I$1204,I646,$B$5:$B$1204,B646,$D$5:$D$1204,"&lt;"&amp;V646,$V$5:$V$1204,"&gt;"&amp;D646,$M$5:$M$1204,"&lt;&gt;Cancelled")&gt;1,"Clash",""))))</f>
        <v>0</v>
      </c>
      <c r="AH646" s="39">
        <f>IF(B646="","",IF(AG646="Clash","Clash - stylist double booked",IF(I646="","Assign - no stylist yet",IF(G646="","Add - no service chosen",IF(M646="No show","No show - charge the fee?",IF(M646="Cancelled","",IF(IF(M646="Completed",AB646&lt;Y646-0.004,FALSE),"Unpaid - nothing rung up for this visit",IF(IF(B646&lt;TodayDate,M646="Booked",FALSE),"Overdue - past date, still only Booked",IF(IF(B646=TodayDate,TRUE,FALSE),"Today",IF(IF(Z646&gt;0,AA646&lt;Z646-0.004,FALSE),"Due - deposit not taken",IF(IF(B646&gt;TodayDate,B646&lt;=TodayDate+2,FALSE),"Confirm - coming up","OK")))))))))))</f>
        <v>0</v>
      </c>
    </row>
    <row r="647" spans="1:34">
      <c r="A647" s="28">
        <f>IF(B647="","",AppointmentPrefix&amp;TEXT(ROW()-4,"0000"))</f>
        <v>0</v>
      </c>
      <c r="C647" s="15">
        <f>IF(B647="","",TEXT(B647,"ddd"))</f>
        <v>0</v>
      </c>
      <c r="F647" s="15">
        <f>IF(E647="","",IFERROR(INDEX(Clients!$B$5:$B$504,MATCH(E647,Clients!$A$5:$A$504,0)),"Walk-in"))</f>
        <v>0</v>
      </c>
      <c r="H647" s="15">
        <f>IF(G647="","",IFERROR(INDEX(Services!$B$5:$B$204,MATCH(G647,Services!$A$5:$A$204,0)),"Not in Services"))</f>
        <v>0</v>
      </c>
      <c r="J647" s="15">
        <f>IF(I647="","",IFERROR(INDEX(Staff!$B$5:$B$44,MATCH(I647,Staff!$A$5:$A$44,0)),"Unassigned"))</f>
        <v>0</v>
      </c>
      <c r="S647" s="15">
        <f>IF(B647="","",TEXT(B647,"yyyy-mm"))</f>
        <v>0</v>
      </c>
      <c r="T647" s="25">
        <f>IF(B647="","",WEEKNUM(B647,2))</f>
        <v>0</v>
      </c>
      <c r="U647" s="25">
        <f>IF(B647="","",IF(K647&lt;&gt;"",K647,IFERROR(INDEX(Services!$E$5:$E$204,MATCH(G647,Services!$A$5:$A$204,0))*1,0)+IFERROR(INDEX(Services!$F$5:$F$204,MATCH(G647,Services!$A$5:$A$204,0))*1,0)))</f>
        <v>0</v>
      </c>
      <c r="V647" s="36">
        <f>IF(B647="","",IF(D647="","",D647+U647/1440))</f>
        <v>0</v>
      </c>
      <c r="W647" s="25">
        <f>IF(B647="","",IF(D647="","",HOUR(D647)))</f>
        <v>0</v>
      </c>
      <c r="X647" s="37">
        <f>IF(B647="","",ROUND(U647/60,2))</f>
        <v>0</v>
      </c>
      <c r="Y647" s="26">
        <f>IF(B647="","",IF(L647&lt;&gt;"",L647,IFERROR(INDEX(Services!$G$5:$G$204,MATCH(G647,Services!$A$5:$A$204,0))*1,0)))</f>
        <v>0</v>
      </c>
      <c r="Z647" s="26">
        <f>IF(B647="","",IF(O647&lt;&gt;"",O647,IF(Y647&gt;=DepositThreshold,ROUND(Y647*DepositPercent,2),0)))</f>
        <v>0</v>
      </c>
      <c r="AA647" s="26">
        <f>IF(B647="","",ROUND(SUMIFS(Payments!$G$5:$G$1204,Payments!$I$5:$I$1204,A647,Payments!$E$5:$E$1204,"Deposit"),2))</f>
        <v>0</v>
      </c>
      <c r="AB647" s="26">
        <f>IF(B647="","",ROUND(SUMIFS(Sales!$Y$5:$Y$1204,Sales!$C$5:$C$1204,A647),2))</f>
        <v>0</v>
      </c>
      <c r="AC647" s="38">
        <f>IF(B647="","",IF(M647="Completed","Yes",IF(M647="Cancelled","Yes",IF(M647="No show","Yes","No"))))</f>
        <v>0</v>
      </c>
      <c r="AD647" s="25">
        <f>IF(B647="","",IF(AE647="","",B647-AE647))</f>
        <v>0</v>
      </c>
      <c r="AF647" s="38">
        <f>IF(B647="","",IF(M647&lt;&gt;"Completed","",IF(E647="","No",IF(COUNTIFS(Appointments!$E$5:$E$1204,E647,Appointments!$B$5:$B$1204,"&gt;"&amp;B647,Appointments!$M$5:$M$1204,"&lt;&gt;Cancelled")&gt;0,"Yes","No"))))</f>
        <v>0</v>
      </c>
      <c r="AG647" s="38">
        <f>IF(B647="","",IF(I647="","",IF(D647="","",IF(COUNTIFS($I$5:$I$1204,I647,$B$5:$B$1204,B647,$D$5:$D$1204,"&lt;"&amp;V647,$V$5:$V$1204,"&gt;"&amp;D647,$M$5:$M$1204,"&lt;&gt;Cancelled")&gt;1,"Clash",""))))</f>
        <v>0</v>
      </c>
      <c r="AH647" s="39">
        <f>IF(B647="","",IF(AG647="Clash","Clash - stylist double booked",IF(I647="","Assign - no stylist yet",IF(G647="","Add - no service chosen",IF(M647="No show","No show - charge the fee?",IF(M647="Cancelled","",IF(IF(M647="Completed",AB647&lt;Y647-0.004,FALSE),"Unpaid - nothing rung up for this visit",IF(IF(B647&lt;TodayDate,M647="Booked",FALSE),"Overdue - past date, still only Booked",IF(IF(B647=TodayDate,TRUE,FALSE),"Today",IF(IF(Z647&gt;0,AA647&lt;Z647-0.004,FALSE),"Due - deposit not taken",IF(IF(B647&gt;TodayDate,B647&lt;=TodayDate+2,FALSE),"Confirm - coming up","OK")))))))))))</f>
        <v>0</v>
      </c>
    </row>
    <row r="648" spans="1:34">
      <c r="A648" s="28">
        <f>IF(B648="","",AppointmentPrefix&amp;TEXT(ROW()-4,"0000"))</f>
        <v>0</v>
      </c>
      <c r="C648" s="15">
        <f>IF(B648="","",TEXT(B648,"ddd"))</f>
        <v>0</v>
      </c>
      <c r="F648" s="15">
        <f>IF(E648="","",IFERROR(INDEX(Clients!$B$5:$B$504,MATCH(E648,Clients!$A$5:$A$504,0)),"Walk-in"))</f>
        <v>0</v>
      </c>
      <c r="H648" s="15">
        <f>IF(G648="","",IFERROR(INDEX(Services!$B$5:$B$204,MATCH(G648,Services!$A$5:$A$204,0)),"Not in Services"))</f>
        <v>0</v>
      </c>
      <c r="J648" s="15">
        <f>IF(I648="","",IFERROR(INDEX(Staff!$B$5:$B$44,MATCH(I648,Staff!$A$5:$A$44,0)),"Unassigned"))</f>
        <v>0</v>
      </c>
      <c r="S648" s="15">
        <f>IF(B648="","",TEXT(B648,"yyyy-mm"))</f>
        <v>0</v>
      </c>
      <c r="T648" s="25">
        <f>IF(B648="","",WEEKNUM(B648,2))</f>
        <v>0</v>
      </c>
      <c r="U648" s="25">
        <f>IF(B648="","",IF(K648&lt;&gt;"",K648,IFERROR(INDEX(Services!$E$5:$E$204,MATCH(G648,Services!$A$5:$A$204,0))*1,0)+IFERROR(INDEX(Services!$F$5:$F$204,MATCH(G648,Services!$A$5:$A$204,0))*1,0)))</f>
        <v>0</v>
      </c>
      <c r="V648" s="36">
        <f>IF(B648="","",IF(D648="","",D648+U648/1440))</f>
        <v>0</v>
      </c>
      <c r="W648" s="25">
        <f>IF(B648="","",IF(D648="","",HOUR(D648)))</f>
        <v>0</v>
      </c>
      <c r="X648" s="37">
        <f>IF(B648="","",ROUND(U648/60,2))</f>
        <v>0</v>
      </c>
      <c r="Y648" s="26">
        <f>IF(B648="","",IF(L648&lt;&gt;"",L648,IFERROR(INDEX(Services!$G$5:$G$204,MATCH(G648,Services!$A$5:$A$204,0))*1,0)))</f>
        <v>0</v>
      </c>
      <c r="Z648" s="26">
        <f>IF(B648="","",IF(O648&lt;&gt;"",O648,IF(Y648&gt;=DepositThreshold,ROUND(Y648*DepositPercent,2),0)))</f>
        <v>0</v>
      </c>
      <c r="AA648" s="26">
        <f>IF(B648="","",ROUND(SUMIFS(Payments!$G$5:$G$1204,Payments!$I$5:$I$1204,A648,Payments!$E$5:$E$1204,"Deposit"),2))</f>
        <v>0</v>
      </c>
      <c r="AB648" s="26">
        <f>IF(B648="","",ROUND(SUMIFS(Sales!$Y$5:$Y$1204,Sales!$C$5:$C$1204,A648),2))</f>
        <v>0</v>
      </c>
      <c r="AC648" s="38">
        <f>IF(B648="","",IF(M648="Completed","Yes",IF(M648="Cancelled","Yes",IF(M648="No show","Yes","No"))))</f>
        <v>0</v>
      </c>
      <c r="AD648" s="25">
        <f>IF(B648="","",IF(AE648="","",B648-AE648))</f>
        <v>0</v>
      </c>
      <c r="AF648" s="38">
        <f>IF(B648="","",IF(M648&lt;&gt;"Completed","",IF(E648="","No",IF(COUNTIFS(Appointments!$E$5:$E$1204,E648,Appointments!$B$5:$B$1204,"&gt;"&amp;B648,Appointments!$M$5:$M$1204,"&lt;&gt;Cancelled")&gt;0,"Yes","No"))))</f>
        <v>0</v>
      </c>
      <c r="AG648" s="38">
        <f>IF(B648="","",IF(I648="","",IF(D648="","",IF(COUNTIFS($I$5:$I$1204,I648,$B$5:$B$1204,B648,$D$5:$D$1204,"&lt;"&amp;V648,$V$5:$V$1204,"&gt;"&amp;D648,$M$5:$M$1204,"&lt;&gt;Cancelled")&gt;1,"Clash",""))))</f>
        <v>0</v>
      </c>
      <c r="AH648" s="39">
        <f>IF(B648="","",IF(AG648="Clash","Clash - stylist double booked",IF(I648="","Assign - no stylist yet",IF(G648="","Add - no service chosen",IF(M648="No show","No show - charge the fee?",IF(M648="Cancelled","",IF(IF(M648="Completed",AB648&lt;Y648-0.004,FALSE),"Unpaid - nothing rung up for this visit",IF(IF(B648&lt;TodayDate,M648="Booked",FALSE),"Overdue - past date, still only Booked",IF(IF(B648=TodayDate,TRUE,FALSE),"Today",IF(IF(Z648&gt;0,AA648&lt;Z648-0.004,FALSE),"Due - deposit not taken",IF(IF(B648&gt;TodayDate,B648&lt;=TodayDate+2,FALSE),"Confirm - coming up","OK")))))))))))</f>
        <v>0</v>
      </c>
    </row>
    <row r="649" spans="1:34">
      <c r="A649" s="28">
        <f>IF(B649="","",AppointmentPrefix&amp;TEXT(ROW()-4,"0000"))</f>
        <v>0</v>
      </c>
      <c r="C649" s="15">
        <f>IF(B649="","",TEXT(B649,"ddd"))</f>
        <v>0</v>
      </c>
      <c r="F649" s="15">
        <f>IF(E649="","",IFERROR(INDEX(Clients!$B$5:$B$504,MATCH(E649,Clients!$A$5:$A$504,0)),"Walk-in"))</f>
        <v>0</v>
      </c>
      <c r="H649" s="15">
        <f>IF(G649="","",IFERROR(INDEX(Services!$B$5:$B$204,MATCH(G649,Services!$A$5:$A$204,0)),"Not in Services"))</f>
        <v>0</v>
      </c>
      <c r="J649" s="15">
        <f>IF(I649="","",IFERROR(INDEX(Staff!$B$5:$B$44,MATCH(I649,Staff!$A$5:$A$44,0)),"Unassigned"))</f>
        <v>0</v>
      </c>
      <c r="S649" s="15">
        <f>IF(B649="","",TEXT(B649,"yyyy-mm"))</f>
        <v>0</v>
      </c>
      <c r="T649" s="25">
        <f>IF(B649="","",WEEKNUM(B649,2))</f>
        <v>0</v>
      </c>
      <c r="U649" s="25">
        <f>IF(B649="","",IF(K649&lt;&gt;"",K649,IFERROR(INDEX(Services!$E$5:$E$204,MATCH(G649,Services!$A$5:$A$204,0))*1,0)+IFERROR(INDEX(Services!$F$5:$F$204,MATCH(G649,Services!$A$5:$A$204,0))*1,0)))</f>
        <v>0</v>
      </c>
      <c r="V649" s="36">
        <f>IF(B649="","",IF(D649="","",D649+U649/1440))</f>
        <v>0</v>
      </c>
      <c r="W649" s="25">
        <f>IF(B649="","",IF(D649="","",HOUR(D649)))</f>
        <v>0</v>
      </c>
      <c r="X649" s="37">
        <f>IF(B649="","",ROUND(U649/60,2))</f>
        <v>0</v>
      </c>
      <c r="Y649" s="26">
        <f>IF(B649="","",IF(L649&lt;&gt;"",L649,IFERROR(INDEX(Services!$G$5:$G$204,MATCH(G649,Services!$A$5:$A$204,0))*1,0)))</f>
        <v>0</v>
      </c>
      <c r="Z649" s="26">
        <f>IF(B649="","",IF(O649&lt;&gt;"",O649,IF(Y649&gt;=DepositThreshold,ROUND(Y649*DepositPercent,2),0)))</f>
        <v>0</v>
      </c>
      <c r="AA649" s="26">
        <f>IF(B649="","",ROUND(SUMIFS(Payments!$G$5:$G$1204,Payments!$I$5:$I$1204,A649,Payments!$E$5:$E$1204,"Deposit"),2))</f>
        <v>0</v>
      </c>
      <c r="AB649" s="26">
        <f>IF(B649="","",ROUND(SUMIFS(Sales!$Y$5:$Y$1204,Sales!$C$5:$C$1204,A649),2))</f>
        <v>0</v>
      </c>
      <c r="AC649" s="38">
        <f>IF(B649="","",IF(M649="Completed","Yes",IF(M649="Cancelled","Yes",IF(M649="No show","Yes","No"))))</f>
        <v>0</v>
      </c>
      <c r="AD649" s="25">
        <f>IF(B649="","",IF(AE649="","",B649-AE649))</f>
        <v>0</v>
      </c>
      <c r="AF649" s="38">
        <f>IF(B649="","",IF(M649&lt;&gt;"Completed","",IF(E649="","No",IF(COUNTIFS(Appointments!$E$5:$E$1204,E649,Appointments!$B$5:$B$1204,"&gt;"&amp;B649,Appointments!$M$5:$M$1204,"&lt;&gt;Cancelled")&gt;0,"Yes","No"))))</f>
        <v>0</v>
      </c>
      <c r="AG649" s="38">
        <f>IF(B649="","",IF(I649="","",IF(D649="","",IF(COUNTIFS($I$5:$I$1204,I649,$B$5:$B$1204,B649,$D$5:$D$1204,"&lt;"&amp;V649,$V$5:$V$1204,"&gt;"&amp;D649,$M$5:$M$1204,"&lt;&gt;Cancelled")&gt;1,"Clash",""))))</f>
        <v>0</v>
      </c>
      <c r="AH649" s="39">
        <f>IF(B649="","",IF(AG649="Clash","Clash - stylist double booked",IF(I649="","Assign - no stylist yet",IF(G649="","Add - no service chosen",IF(M649="No show","No show - charge the fee?",IF(M649="Cancelled","",IF(IF(M649="Completed",AB649&lt;Y649-0.004,FALSE),"Unpaid - nothing rung up for this visit",IF(IF(B649&lt;TodayDate,M649="Booked",FALSE),"Overdue - past date, still only Booked",IF(IF(B649=TodayDate,TRUE,FALSE),"Today",IF(IF(Z649&gt;0,AA649&lt;Z649-0.004,FALSE),"Due - deposit not taken",IF(IF(B649&gt;TodayDate,B649&lt;=TodayDate+2,FALSE),"Confirm - coming up","OK")))))))))))</f>
        <v>0</v>
      </c>
    </row>
    <row r="650" spans="1:34">
      <c r="A650" s="28">
        <f>IF(B650="","",AppointmentPrefix&amp;TEXT(ROW()-4,"0000"))</f>
        <v>0</v>
      </c>
      <c r="C650" s="15">
        <f>IF(B650="","",TEXT(B650,"ddd"))</f>
        <v>0</v>
      </c>
      <c r="F650" s="15">
        <f>IF(E650="","",IFERROR(INDEX(Clients!$B$5:$B$504,MATCH(E650,Clients!$A$5:$A$504,0)),"Walk-in"))</f>
        <v>0</v>
      </c>
      <c r="H650" s="15">
        <f>IF(G650="","",IFERROR(INDEX(Services!$B$5:$B$204,MATCH(G650,Services!$A$5:$A$204,0)),"Not in Services"))</f>
        <v>0</v>
      </c>
      <c r="J650" s="15">
        <f>IF(I650="","",IFERROR(INDEX(Staff!$B$5:$B$44,MATCH(I650,Staff!$A$5:$A$44,0)),"Unassigned"))</f>
        <v>0</v>
      </c>
      <c r="S650" s="15">
        <f>IF(B650="","",TEXT(B650,"yyyy-mm"))</f>
        <v>0</v>
      </c>
      <c r="T650" s="25">
        <f>IF(B650="","",WEEKNUM(B650,2))</f>
        <v>0</v>
      </c>
      <c r="U650" s="25">
        <f>IF(B650="","",IF(K650&lt;&gt;"",K650,IFERROR(INDEX(Services!$E$5:$E$204,MATCH(G650,Services!$A$5:$A$204,0))*1,0)+IFERROR(INDEX(Services!$F$5:$F$204,MATCH(G650,Services!$A$5:$A$204,0))*1,0)))</f>
        <v>0</v>
      </c>
      <c r="V650" s="36">
        <f>IF(B650="","",IF(D650="","",D650+U650/1440))</f>
        <v>0</v>
      </c>
      <c r="W650" s="25">
        <f>IF(B650="","",IF(D650="","",HOUR(D650)))</f>
        <v>0</v>
      </c>
      <c r="X650" s="37">
        <f>IF(B650="","",ROUND(U650/60,2))</f>
        <v>0</v>
      </c>
      <c r="Y650" s="26">
        <f>IF(B650="","",IF(L650&lt;&gt;"",L650,IFERROR(INDEX(Services!$G$5:$G$204,MATCH(G650,Services!$A$5:$A$204,0))*1,0)))</f>
        <v>0</v>
      </c>
      <c r="Z650" s="26">
        <f>IF(B650="","",IF(O650&lt;&gt;"",O650,IF(Y650&gt;=DepositThreshold,ROUND(Y650*DepositPercent,2),0)))</f>
        <v>0</v>
      </c>
      <c r="AA650" s="26">
        <f>IF(B650="","",ROUND(SUMIFS(Payments!$G$5:$G$1204,Payments!$I$5:$I$1204,A650,Payments!$E$5:$E$1204,"Deposit"),2))</f>
        <v>0</v>
      </c>
      <c r="AB650" s="26">
        <f>IF(B650="","",ROUND(SUMIFS(Sales!$Y$5:$Y$1204,Sales!$C$5:$C$1204,A650),2))</f>
        <v>0</v>
      </c>
      <c r="AC650" s="38">
        <f>IF(B650="","",IF(M650="Completed","Yes",IF(M650="Cancelled","Yes",IF(M650="No show","Yes","No"))))</f>
        <v>0</v>
      </c>
      <c r="AD650" s="25">
        <f>IF(B650="","",IF(AE650="","",B650-AE650))</f>
        <v>0</v>
      </c>
      <c r="AF650" s="38">
        <f>IF(B650="","",IF(M650&lt;&gt;"Completed","",IF(E650="","No",IF(COUNTIFS(Appointments!$E$5:$E$1204,E650,Appointments!$B$5:$B$1204,"&gt;"&amp;B650,Appointments!$M$5:$M$1204,"&lt;&gt;Cancelled")&gt;0,"Yes","No"))))</f>
        <v>0</v>
      </c>
      <c r="AG650" s="38">
        <f>IF(B650="","",IF(I650="","",IF(D650="","",IF(COUNTIFS($I$5:$I$1204,I650,$B$5:$B$1204,B650,$D$5:$D$1204,"&lt;"&amp;V650,$V$5:$V$1204,"&gt;"&amp;D650,$M$5:$M$1204,"&lt;&gt;Cancelled")&gt;1,"Clash",""))))</f>
        <v>0</v>
      </c>
      <c r="AH650" s="39">
        <f>IF(B650="","",IF(AG650="Clash","Clash - stylist double booked",IF(I650="","Assign - no stylist yet",IF(G650="","Add - no service chosen",IF(M650="No show","No show - charge the fee?",IF(M650="Cancelled","",IF(IF(M650="Completed",AB650&lt;Y650-0.004,FALSE),"Unpaid - nothing rung up for this visit",IF(IF(B650&lt;TodayDate,M650="Booked",FALSE),"Overdue - past date, still only Booked",IF(IF(B650=TodayDate,TRUE,FALSE),"Today",IF(IF(Z650&gt;0,AA650&lt;Z650-0.004,FALSE),"Due - deposit not taken",IF(IF(B650&gt;TodayDate,B650&lt;=TodayDate+2,FALSE),"Confirm - coming up","OK")))))))))))</f>
        <v>0</v>
      </c>
    </row>
    <row r="651" spans="1:34">
      <c r="A651" s="28">
        <f>IF(B651="","",AppointmentPrefix&amp;TEXT(ROW()-4,"0000"))</f>
        <v>0</v>
      </c>
      <c r="C651" s="15">
        <f>IF(B651="","",TEXT(B651,"ddd"))</f>
        <v>0</v>
      </c>
      <c r="F651" s="15">
        <f>IF(E651="","",IFERROR(INDEX(Clients!$B$5:$B$504,MATCH(E651,Clients!$A$5:$A$504,0)),"Walk-in"))</f>
        <v>0</v>
      </c>
      <c r="H651" s="15">
        <f>IF(G651="","",IFERROR(INDEX(Services!$B$5:$B$204,MATCH(G651,Services!$A$5:$A$204,0)),"Not in Services"))</f>
        <v>0</v>
      </c>
      <c r="J651" s="15">
        <f>IF(I651="","",IFERROR(INDEX(Staff!$B$5:$B$44,MATCH(I651,Staff!$A$5:$A$44,0)),"Unassigned"))</f>
        <v>0</v>
      </c>
      <c r="S651" s="15">
        <f>IF(B651="","",TEXT(B651,"yyyy-mm"))</f>
        <v>0</v>
      </c>
      <c r="T651" s="25">
        <f>IF(B651="","",WEEKNUM(B651,2))</f>
        <v>0</v>
      </c>
      <c r="U651" s="25">
        <f>IF(B651="","",IF(K651&lt;&gt;"",K651,IFERROR(INDEX(Services!$E$5:$E$204,MATCH(G651,Services!$A$5:$A$204,0))*1,0)+IFERROR(INDEX(Services!$F$5:$F$204,MATCH(G651,Services!$A$5:$A$204,0))*1,0)))</f>
        <v>0</v>
      </c>
      <c r="V651" s="36">
        <f>IF(B651="","",IF(D651="","",D651+U651/1440))</f>
        <v>0</v>
      </c>
      <c r="W651" s="25">
        <f>IF(B651="","",IF(D651="","",HOUR(D651)))</f>
        <v>0</v>
      </c>
      <c r="X651" s="37">
        <f>IF(B651="","",ROUND(U651/60,2))</f>
        <v>0</v>
      </c>
      <c r="Y651" s="26">
        <f>IF(B651="","",IF(L651&lt;&gt;"",L651,IFERROR(INDEX(Services!$G$5:$G$204,MATCH(G651,Services!$A$5:$A$204,0))*1,0)))</f>
        <v>0</v>
      </c>
      <c r="Z651" s="26">
        <f>IF(B651="","",IF(O651&lt;&gt;"",O651,IF(Y651&gt;=DepositThreshold,ROUND(Y651*DepositPercent,2),0)))</f>
        <v>0</v>
      </c>
      <c r="AA651" s="26">
        <f>IF(B651="","",ROUND(SUMIFS(Payments!$G$5:$G$1204,Payments!$I$5:$I$1204,A651,Payments!$E$5:$E$1204,"Deposit"),2))</f>
        <v>0</v>
      </c>
      <c r="AB651" s="26">
        <f>IF(B651="","",ROUND(SUMIFS(Sales!$Y$5:$Y$1204,Sales!$C$5:$C$1204,A651),2))</f>
        <v>0</v>
      </c>
      <c r="AC651" s="38">
        <f>IF(B651="","",IF(M651="Completed","Yes",IF(M651="Cancelled","Yes",IF(M651="No show","Yes","No"))))</f>
        <v>0</v>
      </c>
      <c r="AD651" s="25">
        <f>IF(B651="","",IF(AE651="","",B651-AE651))</f>
        <v>0</v>
      </c>
      <c r="AF651" s="38">
        <f>IF(B651="","",IF(M651&lt;&gt;"Completed","",IF(E651="","No",IF(COUNTIFS(Appointments!$E$5:$E$1204,E651,Appointments!$B$5:$B$1204,"&gt;"&amp;B651,Appointments!$M$5:$M$1204,"&lt;&gt;Cancelled")&gt;0,"Yes","No"))))</f>
        <v>0</v>
      </c>
      <c r="AG651" s="38">
        <f>IF(B651="","",IF(I651="","",IF(D651="","",IF(COUNTIFS($I$5:$I$1204,I651,$B$5:$B$1204,B651,$D$5:$D$1204,"&lt;"&amp;V651,$V$5:$V$1204,"&gt;"&amp;D651,$M$5:$M$1204,"&lt;&gt;Cancelled")&gt;1,"Clash",""))))</f>
        <v>0</v>
      </c>
      <c r="AH651" s="39">
        <f>IF(B651="","",IF(AG651="Clash","Clash - stylist double booked",IF(I651="","Assign - no stylist yet",IF(G651="","Add - no service chosen",IF(M651="No show","No show - charge the fee?",IF(M651="Cancelled","",IF(IF(M651="Completed",AB651&lt;Y651-0.004,FALSE),"Unpaid - nothing rung up for this visit",IF(IF(B651&lt;TodayDate,M651="Booked",FALSE),"Overdue - past date, still only Booked",IF(IF(B651=TodayDate,TRUE,FALSE),"Today",IF(IF(Z651&gt;0,AA651&lt;Z651-0.004,FALSE),"Due - deposit not taken",IF(IF(B651&gt;TodayDate,B651&lt;=TodayDate+2,FALSE),"Confirm - coming up","OK")))))))))))</f>
        <v>0</v>
      </c>
    </row>
    <row r="652" spans="1:34">
      <c r="A652" s="28">
        <f>IF(B652="","",AppointmentPrefix&amp;TEXT(ROW()-4,"0000"))</f>
        <v>0</v>
      </c>
      <c r="C652" s="15">
        <f>IF(B652="","",TEXT(B652,"ddd"))</f>
        <v>0</v>
      </c>
      <c r="F652" s="15">
        <f>IF(E652="","",IFERROR(INDEX(Clients!$B$5:$B$504,MATCH(E652,Clients!$A$5:$A$504,0)),"Walk-in"))</f>
        <v>0</v>
      </c>
      <c r="H652" s="15">
        <f>IF(G652="","",IFERROR(INDEX(Services!$B$5:$B$204,MATCH(G652,Services!$A$5:$A$204,0)),"Not in Services"))</f>
        <v>0</v>
      </c>
      <c r="J652" s="15">
        <f>IF(I652="","",IFERROR(INDEX(Staff!$B$5:$B$44,MATCH(I652,Staff!$A$5:$A$44,0)),"Unassigned"))</f>
        <v>0</v>
      </c>
      <c r="S652" s="15">
        <f>IF(B652="","",TEXT(B652,"yyyy-mm"))</f>
        <v>0</v>
      </c>
      <c r="T652" s="25">
        <f>IF(B652="","",WEEKNUM(B652,2))</f>
        <v>0</v>
      </c>
      <c r="U652" s="25">
        <f>IF(B652="","",IF(K652&lt;&gt;"",K652,IFERROR(INDEX(Services!$E$5:$E$204,MATCH(G652,Services!$A$5:$A$204,0))*1,0)+IFERROR(INDEX(Services!$F$5:$F$204,MATCH(G652,Services!$A$5:$A$204,0))*1,0)))</f>
        <v>0</v>
      </c>
      <c r="V652" s="36">
        <f>IF(B652="","",IF(D652="","",D652+U652/1440))</f>
        <v>0</v>
      </c>
      <c r="W652" s="25">
        <f>IF(B652="","",IF(D652="","",HOUR(D652)))</f>
        <v>0</v>
      </c>
      <c r="X652" s="37">
        <f>IF(B652="","",ROUND(U652/60,2))</f>
        <v>0</v>
      </c>
      <c r="Y652" s="26">
        <f>IF(B652="","",IF(L652&lt;&gt;"",L652,IFERROR(INDEX(Services!$G$5:$G$204,MATCH(G652,Services!$A$5:$A$204,0))*1,0)))</f>
        <v>0</v>
      </c>
      <c r="Z652" s="26">
        <f>IF(B652="","",IF(O652&lt;&gt;"",O652,IF(Y652&gt;=DepositThreshold,ROUND(Y652*DepositPercent,2),0)))</f>
        <v>0</v>
      </c>
      <c r="AA652" s="26">
        <f>IF(B652="","",ROUND(SUMIFS(Payments!$G$5:$G$1204,Payments!$I$5:$I$1204,A652,Payments!$E$5:$E$1204,"Deposit"),2))</f>
        <v>0</v>
      </c>
      <c r="AB652" s="26">
        <f>IF(B652="","",ROUND(SUMIFS(Sales!$Y$5:$Y$1204,Sales!$C$5:$C$1204,A652),2))</f>
        <v>0</v>
      </c>
      <c r="AC652" s="38">
        <f>IF(B652="","",IF(M652="Completed","Yes",IF(M652="Cancelled","Yes",IF(M652="No show","Yes","No"))))</f>
        <v>0</v>
      </c>
      <c r="AD652" s="25">
        <f>IF(B652="","",IF(AE652="","",B652-AE652))</f>
        <v>0</v>
      </c>
      <c r="AF652" s="38">
        <f>IF(B652="","",IF(M652&lt;&gt;"Completed","",IF(E652="","No",IF(COUNTIFS(Appointments!$E$5:$E$1204,E652,Appointments!$B$5:$B$1204,"&gt;"&amp;B652,Appointments!$M$5:$M$1204,"&lt;&gt;Cancelled")&gt;0,"Yes","No"))))</f>
        <v>0</v>
      </c>
      <c r="AG652" s="38">
        <f>IF(B652="","",IF(I652="","",IF(D652="","",IF(COUNTIFS($I$5:$I$1204,I652,$B$5:$B$1204,B652,$D$5:$D$1204,"&lt;"&amp;V652,$V$5:$V$1204,"&gt;"&amp;D652,$M$5:$M$1204,"&lt;&gt;Cancelled")&gt;1,"Clash",""))))</f>
        <v>0</v>
      </c>
      <c r="AH652" s="39">
        <f>IF(B652="","",IF(AG652="Clash","Clash - stylist double booked",IF(I652="","Assign - no stylist yet",IF(G652="","Add - no service chosen",IF(M652="No show","No show - charge the fee?",IF(M652="Cancelled","",IF(IF(M652="Completed",AB652&lt;Y652-0.004,FALSE),"Unpaid - nothing rung up for this visit",IF(IF(B652&lt;TodayDate,M652="Booked",FALSE),"Overdue - past date, still only Booked",IF(IF(B652=TodayDate,TRUE,FALSE),"Today",IF(IF(Z652&gt;0,AA652&lt;Z652-0.004,FALSE),"Due - deposit not taken",IF(IF(B652&gt;TodayDate,B652&lt;=TodayDate+2,FALSE),"Confirm - coming up","OK")))))))))))</f>
        <v>0</v>
      </c>
    </row>
    <row r="653" spans="1:34">
      <c r="A653" s="28">
        <f>IF(B653="","",AppointmentPrefix&amp;TEXT(ROW()-4,"0000"))</f>
        <v>0</v>
      </c>
      <c r="C653" s="15">
        <f>IF(B653="","",TEXT(B653,"ddd"))</f>
        <v>0</v>
      </c>
      <c r="F653" s="15">
        <f>IF(E653="","",IFERROR(INDEX(Clients!$B$5:$B$504,MATCH(E653,Clients!$A$5:$A$504,0)),"Walk-in"))</f>
        <v>0</v>
      </c>
      <c r="H653" s="15">
        <f>IF(G653="","",IFERROR(INDEX(Services!$B$5:$B$204,MATCH(G653,Services!$A$5:$A$204,0)),"Not in Services"))</f>
        <v>0</v>
      </c>
      <c r="J653" s="15">
        <f>IF(I653="","",IFERROR(INDEX(Staff!$B$5:$B$44,MATCH(I653,Staff!$A$5:$A$44,0)),"Unassigned"))</f>
        <v>0</v>
      </c>
      <c r="S653" s="15">
        <f>IF(B653="","",TEXT(B653,"yyyy-mm"))</f>
        <v>0</v>
      </c>
      <c r="T653" s="25">
        <f>IF(B653="","",WEEKNUM(B653,2))</f>
        <v>0</v>
      </c>
      <c r="U653" s="25">
        <f>IF(B653="","",IF(K653&lt;&gt;"",K653,IFERROR(INDEX(Services!$E$5:$E$204,MATCH(G653,Services!$A$5:$A$204,0))*1,0)+IFERROR(INDEX(Services!$F$5:$F$204,MATCH(G653,Services!$A$5:$A$204,0))*1,0)))</f>
        <v>0</v>
      </c>
      <c r="V653" s="36">
        <f>IF(B653="","",IF(D653="","",D653+U653/1440))</f>
        <v>0</v>
      </c>
      <c r="W653" s="25">
        <f>IF(B653="","",IF(D653="","",HOUR(D653)))</f>
        <v>0</v>
      </c>
      <c r="X653" s="37">
        <f>IF(B653="","",ROUND(U653/60,2))</f>
        <v>0</v>
      </c>
      <c r="Y653" s="26">
        <f>IF(B653="","",IF(L653&lt;&gt;"",L653,IFERROR(INDEX(Services!$G$5:$G$204,MATCH(G653,Services!$A$5:$A$204,0))*1,0)))</f>
        <v>0</v>
      </c>
      <c r="Z653" s="26">
        <f>IF(B653="","",IF(O653&lt;&gt;"",O653,IF(Y653&gt;=DepositThreshold,ROUND(Y653*DepositPercent,2),0)))</f>
        <v>0</v>
      </c>
      <c r="AA653" s="26">
        <f>IF(B653="","",ROUND(SUMIFS(Payments!$G$5:$G$1204,Payments!$I$5:$I$1204,A653,Payments!$E$5:$E$1204,"Deposit"),2))</f>
        <v>0</v>
      </c>
      <c r="AB653" s="26">
        <f>IF(B653="","",ROUND(SUMIFS(Sales!$Y$5:$Y$1204,Sales!$C$5:$C$1204,A653),2))</f>
        <v>0</v>
      </c>
      <c r="AC653" s="38">
        <f>IF(B653="","",IF(M653="Completed","Yes",IF(M653="Cancelled","Yes",IF(M653="No show","Yes","No"))))</f>
        <v>0</v>
      </c>
      <c r="AD653" s="25">
        <f>IF(B653="","",IF(AE653="","",B653-AE653))</f>
        <v>0</v>
      </c>
      <c r="AF653" s="38">
        <f>IF(B653="","",IF(M653&lt;&gt;"Completed","",IF(E653="","No",IF(COUNTIFS(Appointments!$E$5:$E$1204,E653,Appointments!$B$5:$B$1204,"&gt;"&amp;B653,Appointments!$M$5:$M$1204,"&lt;&gt;Cancelled")&gt;0,"Yes","No"))))</f>
        <v>0</v>
      </c>
      <c r="AG653" s="38">
        <f>IF(B653="","",IF(I653="","",IF(D653="","",IF(COUNTIFS($I$5:$I$1204,I653,$B$5:$B$1204,B653,$D$5:$D$1204,"&lt;"&amp;V653,$V$5:$V$1204,"&gt;"&amp;D653,$M$5:$M$1204,"&lt;&gt;Cancelled")&gt;1,"Clash",""))))</f>
        <v>0</v>
      </c>
      <c r="AH653" s="39">
        <f>IF(B653="","",IF(AG653="Clash","Clash - stylist double booked",IF(I653="","Assign - no stylist yet",IF(G653="","Add - no service chosen",IF(M653="No show","No show - charge the fee?",IF(M653="Cancelled","",IF(IF(M653="Completed",AB653&lt;Y653-0.004,FALSE),"Unpaid - nothing rung up for this visit",IF(IF(B653&lt;TodayDate,M653="Booked",FALSE),"Overdue - past date, still only Booked",IF(IF(B653=TodayDate,TRUE,FALSE),"Today",IF(IF(Z653&gt;0,AA653&lt;Z653-0.004,FALSE),"Due - deposit not taken",IF(IF(B653&gt;TodayDate,B653&lt;=TodayDate+2,FALSE),"Confirm - coming up","OK")))))))))))</f>
        <v>0</v>
      </c>
    </row>
    <row r="654" spans="1:34">
      <c r="A654" s="28">
        <f>IF(B654="","",AppointmentPrefix&amp;TEXT(ROW()-4,"0000"))</f>
        <v>0</v>
      </c>
      <c r="C654" s="15">
        <f>IF(B654="","",TEXT(B654,"ddd"))</f>
        <v>0</v>
      </c>
      <c r="F654" s="15">
        <f>IF(E654="","",IFERROR(INDEX(Clients!$B$5:$B$504,MATCH(E654,Clients!$A$5:$A$504,0)),"Walk-in"))</f>
        <v>0</v>
      </c>
      <c r="H654" s="15">
        <f>IF(G654="","",IFERROR(INDEX(Services!$B$5:$B$204,MATCH(G654,Services!$A$5:$A$204,0)),"Not in Services"))</f>
        <v>0</v>
      </c>
      <c r="J654" s="15">
        <f>IF(I654="","",IFERROR(INDEX(Staff!$B$5:$B$44,MATCH(I654,Staff!$A$5:$A$44,0)),"Unassigned"))</f>
        <v>0</v>
      </c>
      <c r="S654" s="15">
        <f>IF(B654="","",TEXT(B654,"yyyy-mm"))</f>
        <v>0</v>
      </c>
      <c r="T654" s="25">
        <f>IF(B654="","",WEEKNUM(B654,2))</f>
        <v>0</v>
      </c>
      <c r="U654" s="25">
        <f>IF(B654="","",IF(K654&lt;&gt;"",K654,IFERROR(INDEX(Services!$E$5:$E$204,MATCH(G654,Services!$A$5:$A$204,0))*1,0)+IFERROR(INDEX(Services!$F$5:$F$204,MATCH(G654,Services!$A$5:$A$204,0))*1,0)))</f>
        <v>0</v>
      </c>
      <c r="V654" s="36">
        <f>IF(B654="","",IF(D654="","",D654+U654/1440))</f>
        <v>0</v>
      </c>
      <c r="W654" s="25">
        <f>IF(B654="","",IF(D654="","",HOUR(D654)))</f>
        <v>0</v>
      </c>
      <c r="X654" s="37">
        <f>IF(B654="","",ROUND(U654/60,2))</f>
        <v>0</v>
      </c>
      <c r="Y654" s="26">
        <f>IF(B654="","",IF(L654&lt;&gt;"",L654,IFERROR(INDEX(Services!$G$5:$G$204,MATCH(G654,Services!$A$5:$A$204,0))*1,0)))</f>
        <v>0</v>
      </c>
      <c r="Z654" s="26">
        <f>IF(B654="","",IF(O654&lt;&gt;"",O654,IF(Y654&gt;=DepositThreshold,ROUND(Y654*DepositPercent,2),0)))</f>
        <v>0</v>
      </c>
      <c r="AA654" s="26">
        <f>IF(B654="","",ROUND(SUMIFS(Payments!$G$5:$G$1204,Payments!$I$5:$I$1204,A654,Payments!$E$5:$E$1204,"Deposit"),2))</f>
        <v>0</v>
      </c>
      <c r="AB654" s="26">
        <f>IF(B654="","",ROUND(SUMIFS(Sales!$Y$5:$Y$1204,Sales!$C$5:$C$1204,A654),2))</f>
        <v>0</v>
      </c>
      <c r="AC654" s="38">
        <f>IF(B654="","",IF(M654="Completed","Yes",IF(M654="Cancelled","Yes",IF(M654="No show","Yes","No"))))</f>
        <v>0</v>
      </c>
      <c r="AD654" s="25">
        <f>IF(B654="","",IF(AE654="","",B654-AE654))</f>
        <v>0</v>
      </c>
      <c r="AF654" s="38">
        <f>IF(B654="","",IF(M654&lt;&gt;"Completed","",IF(E654="","No",IF(COUNTIFS(Appointments!$E$5:$E$1204,E654,Appointments!$B$5:$B$1204,"&gt;"&amp;B654,Appointments!$M$5:$M$1204,"&lt;&gt;Cancelled")&gt;0,"Yes","No"))))</f>
        <v>0</v>
      </c>
      <c r="AG654" s="38">
        <f>IF(B654="","",IF(I654="","",IF(D654="","",IF(COUNTIFS($I$5:$I$1204,I654,$B$5:$B$1204,B654,$D$5:$D$1204,"&lt;"&amp;V654,$V$5:$V$1204,"&gt;"&amp;D654,$M$5:$M$1204,"&lt;&gt;Cancelled")&gt;1,"Clash",""))))</f>
        <v>0</v>
      </c>
      <c r="AH654" s="39">
        <f>IF(B654="","",IF(AG654="Clash","Clash - stylist double booked",IF(I654="","Assign - no stylist yet",IF(G654="","Add - no service chosen",IF(M654="No show","No show - charge the fee?",IF(M654="Cancelled","",IF(IF(M654="Completed",AB654&lt;Y654-0.004,FALSE),"Unpaid - nothing rung up for this visit",IF(IF(B654&lt;TodayDate,M654="Booked",FALSE),"Overdue - past date, still only Booked",IF(IF(B654=TodayDate,TRUE,FALSE),"Today",IF(IF(Z654&gt;0,AA654&lt;Z654-0.004,FALSE),"Due - deposit not taken",IF(IF(B654&gt;TodayDate,B654&lt;=TodayDate+2,FALSE),"Confirm - coming up","OK")))))))))))</f>
        <v>0</v>
      </c>
    </row>
    <row r="655" spans="1:34">
      <c r="A655" s="28">
        <f>IF(B655="","",AppointmentPrefix&amp;TEXT(ROW()-4,"0000"))</f>
        <v>0</v>
      </c>
      <c r="C655" s="15">
        <f>IF(B655="","",TEXT(B655,"ddd"))</f>
        <v>0</v>
      </c>
      <c r="F655" s="15">
        <f>IF(E655="","",IFERROR(INDEX(Clients!$B$5:$B$504,MATCH(E655,Clients!$A$5:$A$504,0)),"Walk-in"))</f>
        <v>0</v>
      </c>
      <c r="H655" s="15">
        <f>IF(G655="","",IFERROR(INDEX(Services!$B$5:$B$204,MATCH(G655,Services!$A$5:$A$204,0)),"Not in Services"))</f>
        <v>0</v>
      </c>
      <c r="J655" s="15">
        <f>IF(I655="","",IFERROR(INDEX(Staff!$B$5:$B$44,MATCH(I655,Staff!$A$5:$A$44,0)),"Unassigned"))</f>
        <v>0</v>
      </c>
      <c r="S655" s="15">
        <f>IF(B655="","",TEXT(B655,"yyyy-mm"))</f>
        <v>0</v>
      </c>
      <c r="T655" s="25">
        <f>IF(B655="","",WEEKNUM(B655,2))</f>
        <v>0</v>
      </c>
      <c r="U655" s="25">
        <f>IF(B655="","",IF(K655&lt;&gt;"",K655,IFERROR(INDEX(Services!$E$5:$E$204,MATCH(G655,Services!$A$5:$A$204,0))*1,0)+IFERROR(INDEX(Services!$F$5:$F$204,MATCH(G655,Services!$A$5:$A$204,0))*1,0)))</f>
        <v>0</v>
      </c>
      <c r="V655" s="36">
        <f>IF(B655="","",IF(D655="","",D655+U655/1440))</f>
        <v>0</v>
      </c>
      <c r="W655" s="25">
        <f>IF(B655="","",IF(D655="","",HOUR(D655)))</f>
        <v>0</v>
      </c>
      <c r="X655" s="37">
        <f>IF(B655="","",ROUND(U655/60,2))</f>
        <v>0</v>
      </c>
      <c r="Y655" s="26">
        <f>IF(B655="","",IF(L655&lt;&gt;"",L655,IFERROR(INDEX(Services!$G$5:$G$204,MATCH(G655,Services!$A$5:$A$204,0))*1,0)))</f>
        <v>0</v>
      </c>
      <c r="Z655" s="26">
        <f>IF(B655="","",IF(O655&lt;&gt;"",O655,IF(Y655&gt;=DepositThreshold,ROUND(Y655*DepositPercent,2),0)))</f>
        <v>0</v>
      </c>
      <c r="AA655" s="26">
        <f>IF(B655="","",ROUND(SUMIFS(Payments!$G$5:$G$1204,Payments!$I$5:$I$1204,A655,Payments!$E$5:$E$1204,"Deposit"),2))</f>
        <v>0</v>
      </c>
      <c r="AB655" s="26">
        <f>IF(B655="","",ROUND(SUMIFS(Sales!$Y$5:$Y$1204,Sales!$C$5:$C$1204,A655),2))</f>
        <v>0</v>
      </c>
      <c r="AC655" s="38">
        <f>IF(B655="","",IF(M655="Completed","Yes",IF(M655="Cancelled","Yes",IF(M655="No show","Yes","No"))))</f>
        <v>0</v>
      </c>
      <c r="AD655" s="25">
        <f>IF(B655="","",IF(AE655="","",B655-AE655))</f>
        <v>0</v>
      </c>
      <c r="AF655" s="38">
        <f>IF(B655="","",IF(M655&lt;&gt;"Completed","",IF(E655="","No",IF(COUNTIFS(Appointments!$E$5:$E$1204,E655,Appointments!$B$5:$B$1204,"&gt;"&amp;B655,Appointments!$M$5:$M$1204,"&lt;&gt;Cancelled")&gt;0,"Yes","No"))))</f>
        <v>0</v>
      </c>
      <c r="AG655" s="38">
        <f>IF(B655="","",IF(I655="","",IF(D655="","",IF(COUNTIFS($I$5:$I$1204,I655,$B$5:$B$1204,B655,$D$5:$D$1204,"&lt;"&amp;V655,$V$5:$V$1204,"&gt;"&amp;D655,$M$5:$M$1204,"&lt;&gt;Cancelled")&gt;1,"Clash",""))))</f>
        <v>0</v>
      </c>
      <c r="AH655" s="39">
        <f>IF(B655="","",IF(AG655="Clash","Clash - stylist double booked",IF(I655="","Assign - no stylist yet",IF(G655="","Add - no service chosen",IF(M655="No show","No show - charge the fee?",IF(M655="Cancelled","",IF(IF(M655="Completed",AB655&lt;Y655-0.004,FALSE),"Unpaid - nothing rung up for this visit",IF(IF(B655&lt;TodayDate,M655="Booked",FALSE),"Overdue - past date, still only Booked",IF(IF(B655=TodayDate,TRUE,FALSE),"Today",IF(IF(Z655&gt;0,AA655&lt;Z655-0.004,FALSE),"Due - deposit not taken",IF(IF(B655&gt;TodayDate,B655&lt;=TodayDate+2,FALSE),"Confirm - coming up","OK")))))))))))</f>
        <v>0</v>
      </c>
    </row>
    <row r="656" spans="1:34">
      <c r="A656" s="28">
        <f>IF(B656="","",AppointmentPrefix&amp;TEXT(ROW()-4,"0000"))</f>
        <v>0</v>
      </c>
      <c r="C656" s="15">
        <f>IF(B656="","",TEXT(B656,"ddd"))</f>
        <v>0</v>
      </c>
      <c r="F656" s="15">
        <f>IF(E656="","",IFERROR(INDEX(Clients!$B$5:$B$504,MATCH(E656,Clients!$A$5:$A$504,0)),"Walk-in"))</f>
        <v>0</v>
      </c>
      <c r="H656" s="15">
        <f>IF(G656="","",IFERROR(INDEX(Services!$B$5:$B$204,MATCH(G656,Services!$A$5:$A$204,0)),"Not in Services"))</f>
        <v>0</v>
      </c>
      <c r="J656" s="15">
        <f>IF(I656="","",IFERROR(INDEX(Staff!$B$5:$B$44,MATCH(I656,Staff!$A$5:$A$44,0)),"Unassigned"))</f>
        <v>0</v>
      </c>
      <c r="S656" s="15">
        <f>IF(B656="","",TEXT(B656,"yyyy-mm"))</f>
        <v>0</v>
      </c>
      <c r="T656" s="25">
        <f>IF(B656="","",WEEKNUM(B656,2))</f>
        <v>0</v>
      </c>
      <c r="U656" s="25">
        <f>IF(B656="","",IF(K656&lt;&gt;"",K656,IFERROR(INDEX(Services!$E$5:$E$204,MATCH(G656,Services!$A$5:$A$204,0))*1,0)+IFERROR(INDEX(Services!$F$5:$F$204,MATCH(G656,Services!$A$5:$A$204,0))*1,0)))</f>
        <v>0</v>
      </c>
      <c r="V656" s="36">
        <f>IF(B656="","",IF(D656="","",D656+U656/1440))</f>
        <v>0</v>
      </c>
      <c r="W656" s="25">
        <f>IF(B656="","",IF(D656="","",HOUR(D656)))</f>
        <v>0</v>
      </c>
      <c r="X656" s="37">
        <f>IF(B656="","",ROUND(U656/60,2))</f>
        <v>0</v>
      </c>
      <c r="Y656" s="26">
        <f>IF(B656="","",IF(L656&lt;&gt;"",L656,IFERROR(INDEX(Services!$G$5:$G$204,MATCH(G656,Services!$A$5:$A$204,0))*1,0)))</f>
        <v>0</v>
      </c>
      <c r="Z656" s="26">
        <f>IF(B656="","",IF(O656&lt;&gt;"",O656,IF(Y656&gt;=DepositThreshold,ROUND(Y656*DepositPercent,2),0)))</f>
        <v>0</v>
      </c>
      <c r="AA656" s="26">
        <f>IF(B656="","",ROUND(SUMIFS(Payments!$G$5:$G$1204,Payments!$I$5:$I$1204,A656,Payments!$E$5:$E$1204,"Deposit"),2))</f>
        <v>0</v>
      </c>
      <c r="AB656" s="26">
        <f>IF(B656="","",ROUND(SUMIFS(Sales!$Y$5:$Y$1204,Sales!$C$5:$C$1204,A656),2))</f>
        <v>0</v>
      </c>
      <c r="AC656" s="38">
        <f>IF(B656="","",IF(M656="Completed","Yes",IF(M656="Cancelled","Yes",IF(M656="No show","Yes","No"))))</f>
        <v>0</v>
      </c>
      <c r="AD656" s="25">
        <f>IF(B656="","",IF(AE656="","",B656-AE656))</f>
        <v>0</v>
      </c>
      <c r="AF656" s="38">
        <f>IF(B656="","",IF(M656&lt;&gt;"Completed","",IF(E656="","No",IF(COUNTIFS(Appointments!$E$5:$E$1204,E656,Appointments!$B$5:$B$1204,"&gt;"&amp;B656,Appointments!$M$5:$M$1204,"&lt;&gt;Cancelled")&gt;0,"Yes","No"))))</f>
        <v>0</v>
      </c>
      <c r="AG656" s="38">
        <f>IF(B656="","",IF(I656="","",IF(D656="","",IF(COUNTIFS($I$5:$I$1204,I656,$B$5:$B$1204,B656,$D$5:$D$1204,"&lt;"&amp;V656,$V$5:$V$1204,"&gt;"&amp;D656,$M$5:$M$1204,"&lt;&gt;Cancelled")&gt;1,"Clash",""))))</f>
        <v>0</v>
      </c>
      <c r="AH656" s="39">
        <f>IF(B656="","",IF(AG656="Clash","Clash - stylist double booked",IF(I656="","Assign - no stylist yet",IF(G656="","Add - no service chosen",IF(M656="No show","No show - charge the fee?",IF(M656="Cancelled","",IF(IF(M656="Completed",AB656&lt;Y656-0.004,FALSE),"Unpaid - nothing rung up for this visit",IF(IF(B656&lt;TodayDate,M656="Booked",FALSE),"Overdue - past date, still only Booked",IF(IF(B656=TodayDate,TRUE,FALSE),"Today",IF(IF(Z656&gt;0,AA656&lt;Z656-0.004,FALSE),"Due - deposit not taken",IF(IF(B656&gt;TodayDate,B656&lt;=TodayDate+2,FALSE),"Confirm - coming up","OK")))))))))))</f>
        <v>0</v>
      </c>
    </row>
    <row r="657" spans="1:34">
      <c r="A657" s="28">
        <f>IF(B657="","",AppointmentPrefix&amp;TEXT(ROW()-4,"0000"))</f>
        <v>0</v>
      </c>
      <c r="C657" s="15">
        <f>IF(B657="","",TEXT(B657,"ddd"))</f>
        <v>0</v>
      </c>
      <c r="F657" s="15">
        <f>IF(E657="","",IFERROR(INDEX(Clients!$B$5:$B$504,MATCH(E657,Clients!$A$5:$A$504,0)),"Walk-in"))</f>
        <v>0</v>
      </c>
      <c r="H657" s="15">
        <f>IF(G657="","",IFERROR(INDEX(Services!$B$5:$B$204,MATCH(G657,Services!$A$5:$A$204,0)),"Not in Services"))</f>
        <v>0</v>
      </c>
      <c r="J657" s="15">
        <f>IF(I657="","",IFERROR(INDEX(Staff!$B$5:$B$44,MATCH(I657,Staff!$A$5:$A$44,0)),"Unassigned"))</f>
        <v>0</v>
      </c>
      <c r="S657" s="15">
        <f>IF(B657="","",TEXT(B657,"yyyy-mm"))</f>
        <v>0</v>
      </c>
      <c r="T657" s="25">
        <f>IF(B657="","",WEEKNUM(B657,2))</f>
        <v>0</v>
      </c>
      <c r="U657" s="25">
        <f>IF(B657="","",IF(K657&lt;&gt;"",K657,IFERROR(INDEX(Services!$E$5:$E$204,MATCH(G657,Services!$A$5:$A$204,0))*1,0)+IFERROR(INDEX(Services!$F$5:$F$204,MATCH(G657,Services!$A$5:$A$204,0))*1,0)))</f>
        <v>0</v>
      </c>
      <c r="V657" s="36">
        <f>IF(B657="","",IF(D657="","",D657+U657/1440))</f>
        <v>0</v>
      </c>
      <c r="W657" s="25">
        <f>IF(B657="","",IF(D657="","",HOUR(D657)))</f>
        <v>0</v>
      </c>
      <c r="X657" s="37">
        <f>IF(B657="","",ROUND(U657/60,2))</f>
        <v>0</v>
      </c>
      <c r="Y657" s="26">
        <f>IF(B657="","",IF(L657&lt;&gt;"",L657,IFERROR(INDEX(Services!$G$5:$G$204,MATCH(G657,Services!$A$5:$A$204,0))*1,0)))</f>
        <v>0</v>
      </c>
      <c r="Z657" s="26">
        <f>IF(B657="","",IF(O657&lt;&gt;"",O657,IF(Y657&gt;=DepositThreshold,ROUND(Y657*DepositPercent,2),0)))</f>
        <v>0</v>
      </c>
      <c r="AA657" s="26">
        <f>IF(B657="","",ROUND(SUMIFS(Payments!$G$5:$G$1204,Payments!$I$5:$I$1204,A657,Payments!$E$5:$E$1204,"Deposit"),2))</f>
        <v>0</v>
      </c>
      <c r="AB657" s="26">
        <f>IF(B657="","",ROUND(SUMIFS(Sales!$Y$5:$Y$1204,Sales!$C$5:$C$1204,A657),2))</f>
        <v>0</v>
      </c>
      <c r="AC657" s="38">
        <f>IF(B657="","",IF(M657="Completed","Yes",IF(M657="Cancelled","Yes",IF(M657="No show","Yes","No"))))</f>
        <v>0</v>
      </c>
      <c r="AD657" s="25">
        <f>IF(B657="","",IF(AE657="","",B657-AE657))</f>
        <v>0</v>
      </c>
      <c r="AF657" s="38">
        <f>IF(B657="","",IF(M657&lt;&gt;"Completed","",IF(E657="","No",IF(COUNTIFS(Appointments!$E$5:$E$1204,E657,Appointments!$B$5:$B$1204,"&gt;"&amp;B657,Appointments!$M$5:$M$1204,"&lt;&gt;Cancelled")&gt;0,"Yes","No"))))</f>
        <v>0</v>
      </c>
      <c r="AG657" s="38">
        <f>IF(B657="","",IF(I657="","",IF(D657="","",IF(COUNTIFS($I$5:$I$1204,I657,$B$5:$B$1204,B657,$D$5:$D$1204,"&lt;"&amp;V657,$V$5:$V$1204,"&gt;"&amp;D657,$M$5:$M$1204,"&lt;&gt;Cancelled")&gt;1,"Clash",""))))</f>
        <v>0</v>
      </c>
      <c r="AH657" s="39">
        <f>IF(B657="","",IF(AG657="Clash","Clash - stylist double booked",IF(I657="","Assign - no stylist yet",IF(G657="","Add - no service chosen",IF(M657="No show","No show - charge the fee?",IF(M657="Cancelled","",IF(IF(M657="Completed",AB657&lt;Y657-0.004,FALSE),"Unpaid - nothing rung up for this visit",IF(IF(B657&lt;TodayDate,M657="Booked",FALSE),"Overdue - past date, still only Booked",IF(IF(B657=TodayDate,TRUE,FALSE),"Today",IF(IF(Z657&gt;0,AA657&lt;Z657-0.004,FALSE),"Due - deposit not taken",IF(IF(B657&gt;TodayDate,B657&lt;=TodayDate+2,FALSE),"Confirm - coming up","OK")))))))))))</f>
        <v>0</v>
      </c>
    </row>
    <row r="658" spans="1:34">
      <c r="A658" s="28">
        <f>IF(B658="","",AppointmentPrefix&amp;TEXT(ROW()-4,"0000"))</f>
        <v>0</v>
      </c>
      <c r="C658" s="15">
        <f>IF(B658="","",TEXT(B658,"ddd"))</f>
        <v>0</v>
      </c>
      <c r="F658" s="15">
        <f>IF(E658="","",IFERROR(INDEX(Clients!$B$5:$B$504,MATCH(E658,Clients!$A$5:$A$504,0)),"Walk-in"))</f>
        <v>0</v>
      </c>
      <c r="H658" s="15">
        <f>IF(G658="","",IFERROR(INDEX(Services!$B$5:$B$204,MATCH(G658,Services!$A$5:$A$204,0)),"Not in Services"))</f>
        <v>0</v>
      </c>
      <c r="J658" s="15">
        <f>IF(I658="","",IFERROR(INDEX(Staff!$B$5:$B$44,MATCH(I658,Staff!$A$5:$A$44,0)),"Unassigned"))</f>
        <v>0</v>
      </c>
      <c r="S658" s="15">
        <f>IF(B658="","",TEXT(B658,"yyyy-mm"))</f>
        <v>0</v>
      </c>
      <c r="T658" s="25">
        <f>IF(B658="","",WEEKNUM(B658,2))</f>
        <v>0</v>
      </c>
      <c r="U658" s="25">
        <f>IF(B658="","",IF(K658&lt;&gt;"",K658,IFERROR(INDEX(Services!$E$5:$E$204,MATCH(G658,Services!$A$5:$A$204,0))*1,0)+IFERROR(INDEX(Services!$F$5:$F$204,MATCH(G658,Services!$A$5:$A$204,0))*1,0)))</f>
        <v>0</v>
      </c>
      <c r="V658" s="36">
        <f>IF(B658="","",IF(D658="","",D658+U658/1440))</f>
        <v>0</v>
      </c>
      <c r="W658" s="25">
        <f>IF(B658="","",IF(D658="","",HOUR(D658)))</f>
        <v>0</v>
      </c>
      <c r="X658" s="37">
        <f>IF(B658="","",ROUND(U658/60,2))</f>
        <v>0</v>
      </c>
      <c r="Y658" s="26">
        <f>IF(B658="","",IF(L658&lt;&gt;"",L658,IFERROR(INDEX(Services!$G$5:$G$204,MATCH(G658,Services!$A$5:$A$204,0))*1,0)))</f>
        <v>0</v>
      </c>
      <c r="Z658" s="26">
        <f>IF(B658="","",IF(O658&lt;&gt;"",O658,IF(Y658&gt;=DepositThreshold,ROUND(Y658*DepositPercent,2),0)))</f>
        <v>0</v>
      </c>
      <c r="AA658" s="26">
        <f>IF(B658="","",ROUND(SUMIFS(Payments!$G$5:$G$1204,Payments!$I$5:$I$1204,A658,Payments!$E$5:$E$1204,"Deposit"),2))</f>
        <v>0</v>
      </c>
      <c r="AB658" s="26">
        <f>IF(B658="","",ROUND(SUMIFS(Sales!$Y$5:$Y$1204,Sales!$C$5:$C$1204,A658),2))</f>
        <v>0</v>
      </c>
      <c r="AC658" s="38">
        <f>IF(B658="","",IF(M658="Completed","Yes",IF(M658="Cancelled","Yes",IF(M658="No show","Yes","No"))))</f>
        <v>0</v>
      </c>
      <c r="AD658" s="25">
        <f>IF(B658="","",IF(AE658="","",B658-AE658))</f>
        <v>0</v>
      </c>
      <c r="AF658" s="38">
        <f>IF(B658="","",IF(M658&lt;&gt;"Completed","",IF(E658="","No",IF(COUNTIFS(Appointments!$E$5:$E$1204,E658,Appointments!$B$5:$B$1204,"&gt;"&amp;B658,Appointments!$M$5:$M$1204,"&lt;&gt;Cancelled")&gt;0,"Yes","No"))))</f>
        <v>0</v>
      </c>
      <c r="AG658" s="38">
        <f>IF(B658="","",IF(I658="","",IF(D658="","",IF(COUNTIFS($I$5:$I$1204,I658,$B$5:$B$1204,B658,$D$5:$D$1204,"&lt;"&amp;V658,$V$5:$V$1204,"&gt;"&amp;D658,$M$5:$M$1204,"&lt;&gt;Cancelled")&gt;1,"Clash",""))))</f>
        <v>0</v>
      </c>
      <c r="AH658" s="39">
        <f>IF(B658="","",IF(AG658="Clash","Clash - stylist double booked",IF(I658="","Assign - no stylist yet",IF(G658="","Add - no service chosen",IF(M658="No show","No show - charge the fee?",IF(M658="Cancelled","",IF(IF(M658="Completed",AB658&lt;Y658-0.004,FALSE),"Unpaid - nothing rung up for this visit",IF(IF(B658&lt;TodayDate,M658="Booked",FALSE),"Overdue - past date, still only Booked",IF(IF(B658=TodayDate,TRUE,FALSE),"Today",IF(IF(Z658&gt;0,AA658&lt;Z658-0.004,FALSE),"Due - deposit not taken",IF(IF(B658&gt;TodayDate,B658&lt;=TodayDate+2,FALSE),"Confirm - coming up","OK")))))))))))</f>
        <v>0</v>
      </c>
    </row>
    <row r="659" spans="1:34">
      <c r="A659" s="28">
        <f>IF(B659="","",AppointmentPrefix&amp;TEXT(ROW()-4,"0000"))</f>
        <v>0</v>
      </c>
      <c r="C659" s="15">
        <f>IF(B659="","",TEXT(B659,"ddd"))</f>
        <v>0</v>
      </c>
      <c r="F659" s="15">
        <f>IF(E659="","",IFERROR(INDEX(Clients!$B$5:$B$504,MATCH(E659,Clients!$A$5:$A$504,0)),"Walk-in"))</f>
        <v>0</v>
      </c>
      <c r="H659" s="15">
        <f>IF(G659="","",IFERROR(INDEX(Services!$B$5:$B$204,MATCH(G659,Services!$A$5:$A$204,0)),"Not in Services"))</f>
        <v>0</v>
      </c>
      <c r="J659" s="15">
        <f>IF(I659="","",IFERROR(INDEX(Staff!$B$5:$B$44,MATCH(I659,Staff!$A$5:$A$44,0)),"Unassigned"))</f>
        <v>0</v>
      </c>
      <c r="S659" s="15">
        <f>IF(B659="","",TEXT(B659,"yyyy-mm"))</f>
        <v>0</v>
      </c>
      <c r="T659" s="25">
        <f>IF(B659="","",WEEKNUM(B659,2))</f>
        <v>0</v>
      </c>
      <c r="U659" s="25">
        <f>IF(B659="","",IF(K659&lt;&gt;"",K659,IFERROR(INDEX(Services!$E$5:$E$204,MATCH(G659,Services!$A$5:$A$204,0))*1,0)+IFERROR(INDEX(Services!$F$5:$F$204,MATCH(G659,Services!$A$5:$A$204,0))*1,0)))</f>
        <v>0</v>
      </c>
      <c r="V659" s="36">
        <f>IF(B659="","",IF(D659="","",D659+U659/1440))</f>
        <v>0</v>
      </c>
      <c r="W659" s="25">
        <f>IF(B659="","",IF(D659="","",HOUR(D659)))</f>
        <v>0</v>
      </c>
      <c r="X659" s="37">
        <f>IF(B659="","",ROUND(U659/60,2))</f>
        <v>0</v>
      </c>
      <c r="Y659" s="26">
        <f>IF(B659="","",IF(L659&lt;&gt;"",L659,IFERROR(INDEX(Services!$G$5:$G$204,MATCH(G659,Services!$A$5:$A$204,0))*1,0)))</f>
        <v>0</v>
      </c>
      <c r="Z659" s="26">
        <f>IF(B659="","",IF(O659&lt;&gt;"",O659,IF(Y659&gt;=DepositThreshold,ROUND(Y659*DepositPercent,2),0)))</f>
        <v>0</v>
      </c>
      <c r="AA659" s="26">
        <f>IF(B659="","",ROUND(SUMIFS(Payments!$G$5:$G$1204,Payments!$I$5:$I$1204,A659,Payments!$E$5:$E$1204,"Deposit"),2))</f>
        <v>0</v>
      </c>
      <c r="AB659" s="26">
        <f>IF(B659="","",ROUND(SUMIFS(Sales!$Y$5:$Y$1204,Sales!$C$5:$C$1204,A659),2))</f>
        <v>0</v>
      </c>
      <c r="AC659" s="38">
        <f>IF(B659="","",IF(M659="Completed","Yes",IF(M659="Cancelled","Yes",IF(M659="No show","Yes","No"))))</f>
        <v>0</v>
      </c>
      <c r="AD659" s="25">
        <f>IF(B659="","",IF(AE659="","",B659-AE659))</f>
        <v>0</v>
      </c>
      <c r="AF659" s="38">
        <f>IF(B659="","",IF(M659&lt;&gt;"Completed","",IF(E659="","No",IF(COUNTIFS(Appointments!$E$5:$E$1204,E659,Appointments!$B$5:$B$1204,"&gt;"&amp;B659,Appointments!$M$5:$M$1204,"&lt;&gt;Cancelled")&gt;0,"Yes","No"))))</f>
        <v>0</v>
      </c>
      <c r="AG659" s="38">
        <f>IF(B659="","",IF(I659="","",IF(D659="","",IF(COUNTIFS($I$5:$I$1204,I659,$B$5:$B$1204,B659,$D$5:$D$1204,"&lt;"&amp;V659,$V$5:$V$1204,"&gt;"&amp;D659,$M$5:$M$1204,"&lt;&gt;Cancelled")&gt;1,"Clash",""))))</f>
        <v>0</v>
      </c>
      <c r="AH659" s="39">
        <f>IF(B659="","",IF(AG659="Clash","Clash - stylist double booked",IF(I659="","Assign - no stylist yet",IF(G659="","Add - no service chosen",IF(M659="No show","No show - charge the fee?",IF(M659="Cancelled","",IF(IF(M659="Completed",AB659&lt;Y659-0.004,FALSE),"Unpaid - nothing rung up for this visit",IF(IF(B659&lt;TodayDate,M659="Booked",FALSE),"Overdue - past date, still only Booked",IF(IF(B659=TodayDate,TRUE,FALSE),"Today",IF(IF(Z659&gt;0,AA659&lt;Z659-0.004,FALSE),"Due - deposit not taken",IF(IF(B659&gt;TodayDate,B659&lt;=TodayDate+2,FALSE),"Confirm - coming up","OK")))))))))))</f>
        <v>0</v>
      </c>
    </row>
    <row r="660" spans="1:34">
      <c r="A660" s="28">
        <f>IF(B660="","",AppointmentPrefix&amp;TEXT(ROW()-4,"0000"))</f>
        <v>0</v>
      </c>
      <c r="C660" s="15">
        <f>IF(B660="","",TEXT(B660,"ddd"))</f>
        <v>0</v>
      </c>
      <c r="F660" s="15">
        <f>IF(E660="","",IFERROR(INDEX(Clients!$B$5:$B$504,MATCH(E660,Clients!$A$5:$A$504,0)),"Walk-in"))</f>
        <v>0</v>
      </c>
      <c r="H660" s="15">
        <f>IF(G660="","",IFERROR(INDEX(Services!$B$5:$B$204,MATCH(G660,Services!$A$5:$A$204,0)),"Not in Services"))</f>
        <v>0</v>
      </c>
      <c r="J660" s="15">
        <f>IF(I660="","",IFERROR(INDEX(Staff!$B$5:$B$44,MATCH(I660,Staff!$A$5:$A$44,0)),"Unassigned"))</f>
        <v>0</v>
      </c>
      <c r="S660" s="15">
        <f>IF(B660="","",TEXT(B660,"yyyy-mm"))</f>
        <v>0</v>
      </c>
      <c r="T660" s="25">
        <f>IF(B660="","",WEEKNUM(B660,2))</f>
        <v>0</v>
      </c>
      <c r="U660" s="25">
        <f>IF(B660="","",IF(K660&lt;&gt;"",K660,IFERROR(INDEX(Services!$E$5:$E$204,MATCH(G660,Services!$A$5:$A$204,0))*1,0)+IFERROR(INDEX(Services!$F$5:$F$204,MATCH(G660,Services!$A$5:$A$204,0))*1,0)))</f>
        <v>0</v>
      </c>
      <c r="V660" s="36">
        <f>IF(B660="","",IF(D660="","",D660+U660/1440))</f>
        <v>0</v>
      </c>
      <c r="W660" s="25">
        <f>IF(B660="","",IF(D660="","",HOUR(D660)))</f>
        <v>0</v>
      </c>
      <c r="X660" s="37">
        <f>IF(B660="","",ROUND(U660/60,2))</f>
        <v>0</v>
      </c>
      <c r="Y660" s="26">
        <f>IF(B660="","",IF(L660&lt;&gt;"",L660,IFERROR(INDEX(Services!$G$5:$G$204,MATCH(G660,Services!$A$5:$A$204,0))*1,0)))</f>
        <v>0</v>
      </c>
      <c r="Z660" s="26">
        <f>IF(B660="","",IF(O660&lt;&gt;"",O660,IF(Y660&gt;=DepositThreshold,ROUND(Y660*DepositPercent,2),0)))</f>
        <v>0</v>
      </c>
      <c r="AA660" s="26">
        <f>IF(B660="","",ROUND(SUMIFS(Payments!$G$5:$G$1204,Payments!$I$5:$I$1204,A660,Payments!$E$5:$E$1204,"Deposit"),2))</f>
        <v>0</v>
      </c>
      <c r="AB660" s="26">
        <f>IF(B660="","",ROUND(SUMIFS(Sales!$Y$5:$Y$1204,Sales!$C$5:$C$1204,A660),2))</f>
        <v>0</v>
      </c>
      <c r="AC660" s="38">
        <f>IF(B660="","",IF(M660="Completed","Yes",IF(M660="Cancelled","Yes",IF(M660="No show","Yes","No"))))</f>
        <v>0</v>
      </c>
      <c r="AD660" s="25">
        <f>IF(B660="","",IF(AE660="","",B660-AE660))</f>
        <v>0</v>
      </c>
      <c r="AF660" s="38">
        <f>IF(B660="","",IF(M660&lt;&gt;"Completed","",IF(E660="","No",IF(COUNTIFS(Appointments!$E$5:$E$1204,E660,Appointments!$B$5:$B$1204,"&gt;"&amp;B660,Appointments!$M$5:$M$1204,"&lt;&gt;Cancelled")&gt;0,"Yes","No"))))</f>
        <v>0</v>
      </c>
      <c r="AG660" s="38">
        <f>IF(B660="","",IF(I660="","",IF(D660="","",IF(COUNTIFS($I$5:$I$1204,I660,$B$5:$B$1204,B660,$D$5:$D$1204,"&lt;"&amp;V660,$V$5:$V$1204,"&gt;"&amp;D660,$M$5:$M$1204,"&lt;&gt;Cancelled")&gt;1,"Clash",""))))</f>
        <v>0</v>
      </c>
      <c r="AH660" s="39">
        <f>IF(B660="","",IF(AG660="Clash","Clash - stylist double booked",IF(I660="","Assign - no stylist yet",IF(G660="","Add - no service chosen",IF(M660="No show","No show - charge the fee?",IF(M660="Cancelled","",IF(IF(M660="Completed",AB660&lt;Y660-0.004,FALSE),"Unpaid - nothing rung up for this visit",IF(IF(B660&lt;TodayDate,M660="Booked",FALSE),"Overdue - past date, still only Booked",IF(IF(B660=TodayDate,TRUE,FALSE),"Today",IF(IF(Z660&gt;0,AA660&lt;Z660-0.004,FALSE),"Due - deposit not taken",IF(IF(B660&gt;TodayDate,B660&lt;=TodayDate+2,FALSE),"Confirm - coming up","OK")))))))))))</f>
        <v>0</v>
      </c>
    </row>
    <row r="661" spans="1:34">
      <c r="A661" s="28">
        <f>IF(B661="","",AppointmentPrefix&amp;TEXT(ROW()-4,"0000"))</f>
        <v>0</v>
      </c>
      <c r="C661" s="15">
        <f>IF(B661="","",TEXT(B661,"ddd"))</f>
        <v>0</v>
      </c>
      <c r="F661" s="15">
        <f>IF(E661="","",IFERROR(INDEX(Clients!$B$5:$B$504,MATCH(E661,Clients!$A$5:$A$504,0)),"Walk-in"))</f>
        <v>0</v>
      </c>
      <c r="H661" s="15">
        <f>IF(G661="","",IFERROR(INDEX(Services!$B$5:$B$204,MATCH(G661,Services!$A$5:$A$204,0)),"Not in Services"))</f>
        <v>0</v>
      </c>
      <c r="J661" s="15">
        <f>IF(I661="","",IFERROR(INDEX(Staff!$B$5:$B$44,MATCH(I661,Staff!$A$5:$A$44,0)),"Unassigned"))</f>
        <v>0</v>
      </c>
      <c r="S661" s="15">
        <f>IF(B661="","",TEXT(B661,"yyyy-mm"))</f>
        <v>0</v>
      </c>
      <c r="T661" s="25">
        <f>IF(B661="","",WEEKNUM(B661,2))</f>
        <v>0</v>
      </c>
      <c r="U661" s="25">
        <f>IF(B661="","",IF(K661&lt;&gt;"",K661,IFERROR(INDEX(Services!$E$5:$E$204,MATCH(G661,Services!$A$5:$A$204,0))*1,0)+IFERROR(INDEX(Services!$F$5:$F$204,MATCH(G661,Services!$A$5:$A$204,0))*1,0)))</f>
        <v>0</v>
      </c>
      <c r="V661" s="36">
        <f>IF(B661="","",IF(D661="","",D661+U661/1440))</f>
        <v>0</v>
      </c>
      <c r="W661" s="25">
        <f>IF(B661="","",IF(D661="","",HOUR(D661)))</f>
        <v>0</v>
      </c>
      <c r="X661" s="37">
        <f>IF(B661="","",ROUND(U661/60,2))</f>
        <v>0</v>
      </c>
      <c r="Y661" s="26">
        <f>IF(B661="","",IF(L661&lt;&gt;"",L661,IFERROR(INDEX(Services!$G$5:$G$204,MATCH(G661,Services!$A$5:$A$204,0))*1,0)))</f>
        <v>0</v>
      </c>
      <c r="Z661" s="26">
        <f>IF(B661="","",IF(O661&lt;&gt;"",O661,IF(Y661&gt;=DepositThreshold,ROUND(Y661*DepositPercent,2),0)))</f>
        <v>0</v>
      </c>
      <c r="AA661" s="26">
        <f>IF(B661="","",ROUND(SUMIFS(Payments!$G$5:$G$1204,Payments!$I$5:$I$1204,A661,Payments!$E$5:$E$1204,"Deposit"),2))</f>
        <v>0</v>
      </c>
      <c r="AB661" s="26">
        <f>IF(B661="","",ROUND(SUMIFS(Sales!$Y$5:$Y$1204,Sales!$C$5:$C$1204,A661),2))</f>
        <v>0</v>
      </c>
      <c r="AC661" s="38">
        <f>IF(B661="","",IF(M661="Completed","Yes",IF(M661="Cancelled","Yes",IF(M661="No show","Yes","No"))))</f>
        <v>0</v>
      </c>
      <c r="AD661" s="25">
        <f>IF(B661="","",IF(AE661="","",B661-AE661))</f>
        <v>0</v>
      </c>
      <c r="AF661" s="38">
        <f>IF(B661="","",IF(M661&lt;&gt;"Completed","",IF(E661="","No",IF(COUNTIFS(Appointments!$E$5:$E$1204,E661,Appointments!$B$5:$B$1204,"&gt;"&amp;B661,Appointments!$M$5:$M$1204,"&lt;&gt;Cancelled")&gt;0,"Yes","No"))))</f>
        <v>0</v>
      </c>
      <c r="AG661" s="38">
        <f>IF(B661="","",IF(I661="","",IF(D661="","",IF(COUNTIFS($I$5:$I$1204,I661,$B$5:$B$1204,B661,$D$5:$D$1204,"&lt;"&amp;V661,$V$5:$V$1204,"&gt;"&amp;D661,$M$5:$M$1204,"&lt;&gt;Cancelled")&gt;1,"Clash",""))))</f>
        <v>0</v>
      </c>
      <c r="AH661" s="39">
        <f>IF(B661="","",IF(AG661="Clash","Clash - stylist double booked",IF(I661="","Assign - no stylist yet",IF(G661="","Add - no service chosen",IF(M661="No show","No show - charge the fee?",IF(M661="Cancelled","",IF(IF(M661="Completed",AB661&lt;Y661-0.004,FALSE),"Unpaid - nothing rung up for this visit",IF(IF(B661&lt;TodayDate,M661="Booked",FALSE),"Overdue - past date, still only Booked",IF(IF(B661=TodayDate,TRUE,FALSE),"Today",IF(IF(Z661&gt;0,AA661&lt;Z661-0.004,FALSE),"Due - deposit not taken",IF(IF(B661&gt;TodayDate,B661&lt;=TodayDate+2,FALSE),"Confirm - coming up","OK")))))))))))</f>
        <v>0</v>
      </c>
    </row>
    <row r="662" spans="1:34">
      <c r="A662" s="28">
        <f>IF(B662="","",AppointmentPrefix&amp;TEXT(ROW()-4,"0000"))</f>
        <v>0</v>
      </c>
      <c r="C662" s="15">
        <f>IF(B662="","",TEXT(B662,"ddd"))</f>
        <v>0</v>
      </c>
      <c r="F662" s="15">
        <f>IF(E662="","",IFERROR(INDEX(Clients!$B$5:$B$504,MATCH(E662,Clients!$A$5:$A$504,0)),"Walk-in"))</f>
        <v>0</v>
      </c>
      <c r="H662" s="15">
        <f>IF(G662="","",IFERROR(INDEX(Services!$B$5:$B$204,MATCH(G662,Services!$A$5:$A$204,0)),"Not in Services"))</f>
        <v>0</v>
      </c>
      <c r="J662" s="15">
        <f>IF(I662="","",IFERROR(INDEX(Staff!$B$5:$B$44,MATCH(I662,Staff!$A$5:$A$44,0)),"Unassigned"))</f>
        <v>0</v>
      </c>
      <c r="S662" s="15">
        <f>IF(B662="","",TEXT(B662,"yyyy-mm"))</f>
        <v>0</v>
      </c>
      <c r="T662" s="25">
        <f>IF(B662="","",WEEKNUM(B662,2))</f>
        <v>0</v>
      </c>
      <c r="U662" s="25">
        <f>IF(B662="","",IF(K662&lt;&gt;"",K662,IFERROR(INDEX(Services!$E$5:$E$204,MATCH(G662,Services!$A$5:$A$204,0))*1,0)+IFERROR(INDEX(Services!$F$5:$F$204,MATCH(G662,Services!$A$5:$A$204,0))*1,0)))</f>
        <v>0</v>
      </c>
      <c r="V662" s="36">
        <f>IF(B662="","",IF(D662="","",D662+U662/1440))</f>
        <v>0</v>
      </c>
      <c r="W662" s="25">
        <f>IF(B662="","",IF(D662="","",HOUR(D662)))</f>
        <v>0</v>
      </c>
      <c r="X662" s="37">
        <f>IF(B662="","",ROUND(U662/60,2))</f>
        <v>0</v>
      </c>
      <c r="Y662" s="26">
        <f>IF(B662="","",IF(L662&lt;&gt;"",L662,IFERROR(INDEX(Services!$G$5:$G$204,MATCH(G662,Services!$A$5:$A$204,0))*1,0)))</f>
        <v>0</v>
      </c>
      <c r="Z662" s="26">
        <f>IF(B662="","",IF(O662&lt;&gt;"",O662,IF(Y662&gt;=DepositThreshold,ROUND(Y662*DepositPercent,2),0)))</f>
        <v>0</v>
      </c>
      <c r="AA662" s="26">
        <f>IF(B662="","",ROUND(SUMIFS(Payments!$G$5:$G$1204,Payments!$I$5:$I$1204,A662,Payments!$E$5:$E$1204,"Deposit"),2))</f>
        <v>0</v>
      </c>
      <c r="AB662" s="26">
        <f>IF(B662="","",ROUND(SUMIFS(Sales!$Y$5:$Y$1204,Sales!$C$5:$C$1204,A662),2))</f>
        <v>0</v>
      </c>
      <c r="AC662" s="38">
        <f>IF(B662="","",IF(M662="Completed","Yes",IF(M662="Cancelled","Yes",IF(M662="No show","Yes","No"))))</f>
        <v>0</v>
      </c>
      <c r="AD662" s="25">
        <f>IF(B662="","",IF(AE662="","",B662-AE662))</f>
        <v>0</v>
      </c>
      <c r="AF662" s="38">
        <f>IF(B662="","",IF(M662&lt;&gt;"Completed","",IF(E662="","No",IF(COUNTIFS(Appointments!$E$5:$E$1204,E662,Appointments!$B$5:$B$1204,"&gt;"&amp;B662,Appointments!$M$5:$M$1204,"&lt;&gt;Cancelled")&gt;0,"Yes","No"))))</f>
        <v>0</v>
      </c>
      <c r="AG662" s="38">
        <f>IF(B662="","",IF(I662="","",IF(D662="","",IF(COUNTIFS($I$5:$I$1204,I662,$B$5:$B$1204,B662,$D$5:$D$1204,"&lt;"&amp;V662,$V$5:$V$1204,"&gt;"&amp;D662,$M$5:$M$1204,"&lt;&gt;Cancelled")&gt;1,"Clash",""))))</f>
        <v>0</v>
      </c>
      <c r="AH662" s="39">
        <f>IF(B662="","",IF(AG662="Clash","Clash - stylist double booked",IF(I662="","Assign - no stylist yet",IF(G662="","Add - no service chosen",IF(M662="No show","No show - charge the fee?",IF(M662="Cancelled","",IF(IF(M662="Completed",AB662&lt;Y662-0.004,FALSE),"Unpaid - nothing rung up for this visit",IF(IF(B662&lt;TodayDate,M662="Booked",FALSE),"Overdue - past date, still only Booked",IF(IF(B662=TodayDate,TRUE,FALSE),"Today",IF(IF(Z662&gt;0,AA662&lt;Z662-0.004,FALSE),"Due - deposit not taken",IF(IF(B662&gt;TodayDate,B662&lt;=TodayDate+2,FALSE),"Confirm - coming up","OK")))))))))))</f>
        <v>0</v>
      </c>
    </row>
    <row r="663" spans="1:34">
      <c r="A663" s="28">
        <f>IF(B663="","",AppointmentPrefix&amp;TEXT(ROW()-4,"0000"))</f>
        <v>0</v>
      </c>
      <c r="C663" s="15">
        <f>IF(B663="","",TEXT(B663,"ddd"))</f>
        <v>0</v>
      </c>
      <c r="F663" s="15">
        <f>IF(E663="","",IFERROR(INDEX(Clients!$B$5:$B$504,MATCH(E663,Clients!$A$5:$A$504,0)),"Walk-in"))</f>
        <v>0</v>
      </c>
      <c r="H663" s="15">
        <f>IF(G663="","",IFERROR(INDEX(Services!$B$5:$B$204,MATCH(G663,Services!$A$5:$A$204,0)),"Not in Services"))</f>
        <v>0</v>
      </c>
      <c r="J663" s="15">
        <f>IF(I663="","",IFERROR(INDEX(Staff!$B$5:$B$44,MATCH(I663,Staff!$A$5:$A$44,0)),"Unassigned"))</f>
        <v>0</v>
      </c>
      <c r="S663" s="15">
        <f>IF(B663="","",TEXT(B663,"yyyy-mm"))</f>
        <v>0</v>
      </c>
      <c r="T663" s="25">
        <f>IF(B663="","",WEEKNUM(B663,2))</f>
        <v>0</v>
      </c>
      <c r="U663" s="25">
        <f>IF(B663="","",IF(K663&lt;&gt;"",K663,IFERROR(INDEX(Services!$E$5:$E$204,MATCH(G663,Services!$A$5:$A$204,0))*1,0)+IFERROR(INDEX(Services!$F$5:$F$204,MATCH(G663,Services!$A$5:$A$204,0))*1,0)))</f>
        <v>0</v>
      </c>
      <c r="V663" s="36">
        <f>IF(B663="","",IF(D663="","",D663+U663/1440))</f>
        <v>0</v>
      </c>
      <c r="W663" s="25">
        <f>IF(B663="","",IF(D663="","",HOUR(D663)))</f>
        <v>0</v>
      </c>
      <c r="X663" s="37">
        <f>IF(B663="","",ROUND(U663/60,2))</f>
        <v>0</v>
      </c>
      <c r="Y663" s="26">
        <f>IF(B663="","",IF(L663&lt;&gt;"",L663,IFERROR(INDEX(Services!$G$5:$G$204,MATCH(G663,Services!$A$5:$A$204,0))*1,0)))</f>
        <v>0</v>
      </c>
      <c r="Z663" s="26">
        <f>IF(B663="","",IF(O663&lt;&gt;"",O663,IF(Y663&gt;=DepositThreshold,ROUND(Y663*DepositPercent,2),0)))</f>
        <v>0</v>
      </c>
      <c r="AA663" s="26">
        <f>IF(B663="","",ROUND(SUMIFS(Payments!$G$5:$G$1204,Payments!$I$5:$I$1204,A663,Payments!$E$5:$E$1204,"Deposit"),2))</f>
        <v>0</v>
      </c>
      <c r="AB663" s="26">
        <f>IF(B663="","",ROUND(SUMIFS(Sales!$Y$5:$Y$1204,Sales!$C$5:$C$1204,A663),2))</f>
        <v>0</v>
      </c>
      <c r="AC663" s="38">
        <f>IF(B663="","",IF(M663="Completed","Yes",IF(M663="Cancelled","Yes",IF(M663="No show","Yes","No"))))</f>
        <v>0</v>
      </c>
      <c r="AD663" s="25">
        <f>IF(B663="","",IF(AE663="","",B663-AE663))</f>
        <v>0</v>
      </c>
      <c r="AF663" s="38">
        <f>IF(B663="","",IF(M663&lt;&gt;"Completed","",IF(E663="","No",IF(COUNTIFS(Appointments!$E$5:$E$1204,E663,Appointments!$B$5:$B$1204,"&gt;"&amp;B663,Appointments!$M$5:$M$1204,"&lt;&gt;Cancelled")&gt;0,"Yes","No"))))</f>
        <v>0</v>
      </c>
      <c r="AG663" s="38">
        <f>IF(B663="","",IF(I663="","",IF(D663="","",IF(COUNTIFS($I$5:$I$1204,I663,$B$5:$B$1204,B663,$D$5:$D$1204,"&lt;"&amp;V663,$V$5:$V$1204,"&gt;"&amp;D663,$M$5:$M$1204,"&lt;&gt;Cancelled")&gt;1,"Clash",""))))</f>
        <v>0</v>
      </c>
      <c r="AH663" s="39">
        <f>IF(B663="","",IF(AG663="Clash","Clash - stylist double booked",IF(I663="","Assign - no stylist yet",IF(G663="","Add - no service chosen",IF(M663="No show","No show - charge the fee?",IF(M663="Cancelled","",IF(IF(M663="Completed",AB663&lt;Y663-0.004,FALSE),"Unpaid - nothing rung up for this visit",IF(IF(B663&lt;TodayDate,M663="Booked",FALSE),"Overdue - past date, still only Booked",IF(IF(B663=TodayDate,TRUE,FALSE),"Today",IF(IF(Z663&gt;0,AA663&lt;Z663-0.004,FALSE),"Due - deposit not taken",IF(IF(B663&gt;TodayDate,B663&lt;=TodayDate+2,FALSE),"Confirm - coming up","OK")))))))))))</f>
        <v>0</v>
      </c>
    </row>
    <row r="664" spans="1:34">
      <c r="A664" s="28">
        <f>IF(B664="","",AppointmentPrefix&amp;TEXT(ROW()-4,"0000"))</f>
        <v>0</v>
      </c>
      <c r="C664" s="15">
        <f>IF(B664="","",TEXT(B664,"ddd"))</f>
        <v>0</v>
      </c>
      <c r="F664" s="15">
        <f>IF(E664="","",IFERROR(INDEX(Clients!$B$5:$B$504,MATCH(E664,Clients!$A$5:$A$504,0)),"Walk-in"))</f>
        <v>0</v>
      </c>
      <c r="H664" s="15">
        <f>IF(G664="","",IFERROR(INDEX(Services!$B$5:$B$204,MATCH(G664,Services!$A$5:$A$204,0)),"Not in Services"))</f>
        <v>0</v>
      </c>
      <c r="J664" s="15">
        <f>IF(I664="","",IFERROR(INDEX(Staff!$B$5:$B$44,MATCH(I664,Staff!$A$5:$A$44,0)),"Unassigned"))</f>
        <v>0</v>
      </c>
      <c r="S664" s="15">
        <f>IF(B664="","",TEXT(B664,"yyyy-mm"))</f>
        <v>0</v>
      </c>
      <c r="T664" s="25">
        <f>IF(B664="","",WEEKNUM(B664,2))</f>
        <v>0</v>
      </c>
      <c r="U664" s="25">
        <f>IF(B664="","",IF(K664&lt;&gt;"",K664,IFERROR(INDEX(Services!$E$5:$E$204,MATCH(G664,Services!$A$5:$A$204,0))*1,0)+IFERROR(INDEX(Services!$F$5:$F$204,MATCH(G664,Services!$A$5:$A$204,0))*1,0)))</f>
        <v>0</v>
      </c>
      <c r="V664" s="36">
        <f>IF(B664="","",IF(D664="","",D664+U664/1440))</f>
        <v>0</v>
      </c>
      <c r="W664" s="25">
        <f>IF(B664="","",IF(D664="","",HOUR(D664)))</f>
        <v>0</v>
      </c>
      <c r="X664" s="37">
        <f>IF(B664="","",ROUND(U664/60,2))</f>
        <v>0</v>
      </c>
      <c r="Y664" s="26">
        <f>IF(B664="","",IF(L664&lt;&gt;"",L664,IFERROR(INDEX(Services!$G$5:$G$204,MATCH(G664,Services!$A$5:$A$204,0))*1,0)))</f>
        <v>0</v>
      </c>
      <c r="Z664" s="26">
        <f>IF(B664="","",IF(O664&lt;&gt;"",O664,IF(Y664&gt;=DepositThreshold,ROUND(Y664*DepositPercent,2),0)))</f>
        <v>0</v>
      </c>
      <c r="AA664" s="26">
        <f>IF(B664="","",ROUND(SUMIFS(Payments!$G$5:$G$1204,Payments!$I$5:$I$1204,A664,Payments!$E$5:$E$1204,"Deposit"),2))</f>
        <v>0</v>
      </c>
      <c r="AB664" s="26">
        <f>IF(B664="","",ROUND(SUMIFS(Sales!$Y$5:$Y$1204,Sales!$C$5:$C$1204,A664),2))</f>
        <v>0</v>
      </c>
      <c r="AC664" s="38">
        <f>IF(B664="","",IF(M664="Completed","Yes",IF(M664="Cancelled","Yes",IF(M664="No show","Yes","No"))))</f>
        <v>0</v>
      </c>
      <c r="AD664" s="25">
        <f>IF(B664="","",IF(AE664="","",B664-AE664))</f>
        <v>0</v>
      </c>
      <c r="AF664" s="38">
        <f>IF(B664="","",IF(M664&lt;&gt;"Completed","",IF(E664="","No",IF(COUNTIFS(Appointments!$E$5:$E$1204,E664,Appointments!$B$5:$B$1204,"&gt;"&amp;B664,Appointments!$M$5:$M$1204,"&lt;&gt;Cancelled")&gt;0,"Yes","No"))))</f>
        <v>0</v>
      </c>
      <c r="AG664" s="38">
        <f>IF(B664="","",IF(I664="","",IF(D664="","",IF(COUNTIFS($I$5:$I$1204,I664,$B$5:$B$1204,B664,$D$5:$D$1204,"&lt;"&amp;V664,$V$5:$V$1204,"&gt;"&amp;D664,$M$5:$M$1204,"&lt;&gt;Cancelled")&gt;1,"Clash",""))))</f>
        <v>0</v>
      </c>
      <c r="AH664" s="39">
        <f>IF(B664="","",IF(AG664="Clash","Clash - stylist double booked",IF(I664="","Assign - no stylist yet",IF(G664="","Add - no service chosen",IF(M664="No show","No show - charge the fee?",IF(M664="Cancelled","",IF(IF(M664="Completed",AB664&lt;Y664-0.004,FALSE),"Unpaid - nothing rung up for this visit",IF(IF(B664&lt;TodayDate,M664="Booked",FALSE),"Overdue - past date, still only Booked",IF(IF(B664=TodayDate,TRUE,FALSE),"Today",IF(IF(Z664&gt;0,AA664&lt;Z664-0.004,FALSE),"Due - deposit not taken",IF(IF(B664&gt;TodayDate,B664&lt;=TodayDate+2,FALSE),"Confirm - coming up","OK")))))))))))</f>
        <v>0</v>
      </c>
    </row>
    <row r="665" spans="1:34">
      <c r="A665" s="28">
        <f>IF(B665="","",AppointmentPrefix&amp;TEXT(ROW()-4,"0000"))</f>
        <v>0</v>
      </c>
      <c r="C665" s="15">
        <f>IF(B665="","",TEXT(B665,"ddd"))</f>
        <v>0</v>
      </c>
      <c r="F665" s="15">
        <f>IF(E665="","",IFERROR(INDEX(Clients!$B$5:$B$504,MATCH(E665,Clients!$A$5:$A$504,0)),"Walk-in"))</f>
        <v>0</v>
      </c>
      <c r="H665" s="15">
        <f>IF(G665="","",IFERROR(INDEX(Services!$B$5:$B$204,MATCH(G665,Services!$A$5:$A$204,0)),"Not in Services"))</f>
        <v>0</v>
      </c>
      <c r="J665" s="15">
        <f>IF(I665="","",IFERROR(INDEX(Staff!$B$5:$B$44,MATCH(I665,Staff!$A$5:$A$44,0)),"Unassigned"))</f>
        <v>0</v>
      </c>
      <c r="S665" s="15">
        <f>IF(B665="","",TEXT(B665,"yyyy-mm"))</f>
        <v>0</v>
      </c>
      <c r="T665" s="25">
        <f>IF(B665="","",WEEKNUM(B665,2))</f>
        <v>0</v>
      </c>
      <c r="U665" s="25">
        <f>IF(B665="","",IF(K665&lt;&gt;"",K665,IFERROR(INDEX(Services!$E$5:$E$204,MATCH(G665,Services!$A$5:$A$204,0))*1,0)+IFERROR(INDEX(Services!$F$5:$F$204,MATCH(G665,Services!$A$5:$A$204,0))*1,0)))</f>
        <v>0</v>
      </c>
      <c r="V665" s="36">
        <f>IF(B665="","",IF(D665="","",D665+U665/1440))</f>
        <v>0</v>
      </c>
      <c r="W665" s="25">
        <f>IF(B665="","",IF(D665="","",HOUR(D665)))</f>
        <v>0</v>
      </c>
      <c r="X665" s="37">
        <f>IF(B665="","",ROUND(U665/60,2))</f>
        <v>0</v>
      </c>
      <c r="Y665" s="26">
        <f>IF(B665="","",IF(L665&lt;&gt;"",L665,IFERROR(INDEX(Services!$G$5:$G$204,MATCH(G665,Services!$A$5:$A$204,0))*1,0)))</f>
        <v>0</v>
      </c>
      <c r="Z665" s="26">
        <f>IF(B665="","",IF(O665&lt;&gt;"",O665,IF(Y665&gt;=DepositThreshold,ROUND(Y665*DepositPercent,2),0)))</f>
        <v>0</v>
      </c>
      <c r="AA665" s="26">
        <f>IF(B665="","",ROUND(SUMIFS(Payments!$G$5:$G$1204,Payments!$I$5:$I$1204,A665,Payments!$E$5:$E$1204,"Deposit"),2))</f>
        <v>0</v>
      </c>
      <c r="AB665" s="26">
        <f>IF(B665="","",ROUND(SUMIFS(Sales!$Y$5:$Y$1204,Sales!$C$5:$C$1204,A665),2))</f>
        <v>0</v>
      </c>
      <c r="AC665" s="38">
        <f>IF(B665="","",IF(M665="Completed","Yes",IF(M665="Cancelled","Yes",IF(M665="No show","Yes","No"))))</f>
        <v>0</v>
      </c>
      <c r="AD665" s="25">
        <f>IF(B665="","",IF(AE665="","",B665-AE665))</f>
        <v>0</v>
      </c>
      <c r="AF665" s="38">
        <f>IF(B665="","",IF(M665&lt;&gt;"Completed","",IF(E665="","No",IF(COUNTIFS(Appointments!$E$5:$E$1204,E665,Appointments!$B$5:$B$1204,"&gt;"&amp;B665,Appointments!$M$5:$M$1204,"&lt;&gt;Cancelled")&gt;0,"Yes","No"))))</f>
        <v>0</v>
      </c>
      <c r="AG665" s="38">
        <f>IF(B665="","",IF(I665="","",IF(D665="","",IF(COUNTIFS($I$5:$I$1204,I665,$B$5:$B$1204,B665,$D$5:$D$1204,"&lt;"&amp;V665,$V$5:$V$1204,"&gt;"&amp;D665,$M$5:$M$1204,"&lt;&gt;Cancelled")&gt;1,"Clash",""))))</f>
        <v>0</v>
      </c>
      <c r="AH665" s="39">
        <f>IF(B665="","",IF(AG665="Clash","Clash - stylist double booked",IF(I665="","Assign - no stylist yet",IF(G665="","Add - no service chosen",IF(M665="No show","No show - charge the fee?",IF(M665="Cancelled","",IF(IF(M665="Completed",AB665&lt;Y665-0.004,FALSE),"Unpaid - nothing rung up for this visit",IF(IF(B665&lt;TodayDate,M665="Booked",FALSE),"Overdue - past date, still only Booked",IF(IF(B665=TodayDate,TRUE,FALSE),"Today",IF(IF(Z665&gt;0,AA665&lt;Z665-0.004,FALSE),"Due - deposit not taken",IF(IF(B665&gt;TodayDate,B665&lt;=TodayDate+2,FALSE),"Confirm - coming up","OK")))))))))))</f>
        <v>0</v>
      </c>
    </row>
    <row r="666" spans="1:34">
      <c r="A666" s="28">
        <f>IF(B666="","",AppointmentPrefix&amp;TEXT(ROW()-4,"0000"))</f>
        <v>0</v>
      </c>
      <c r="C666" s="15">
        <f>IF(B666="","",TEXT(B666,"ddd"))</f>
        <v>0</v>
      </c>
      <c r="F666" s="15">
        <f>IF(E666="","",IFERROR(INDEX(Clients!$B$5:$B$504,MATCH(E666,Clients!$A$5:$A$504,0)),"Walk-in"))</f>
        <v>0</v>
      </c>
      <c r="H666" s="15">
        <f>IF(G666="","",IFERROR(INDEX(Services!$B$5:$B$204,MATCH(G666,Services!$A$5:$A$204,0)),"Not in Services"))</f>
        <v>0</v>
      </c>
      <c r="J666" s="15">
        <f>IF(I666="","",IFERROR(INDEX(Staff!$B$5:$B$44,MATCH(I666,Staff!$A$5:$A$44,0)),"Unassigned"))</f>
        <v>0</v>
      </c>
      <c r="S666" s="15">
        <f>IF(B666="","",TEXT(B666,"yyyy-mm"))</f>
        <v>0</v>
      </c>
      <c r="T666" s="25">
        <f>IF(B666="","",WEEKNUM(B666,2))</f>
        <v>0</v>
      </c>
      <c r="U666" s="25">
        <f>IF(B666="","",IF(K666&lt;&gt;"",K666,IFERROR(INDEX(Services!$E$5:$E$204,MATCH(G666,Services!$A$5:$A$204,0))*1,0)+IFERROR(INDEX(Services!$F$5:$F$204,MATCH(G666,Services!$A$5:$A$204,0))*1,0)))</f>
        <v>0</v>
      </c>
      <c r="V666" s="36">
        <f>IF(B666="","",IF(D666="","",D666+U666/1440))</f>
        <v>0</v>
      </c>
      <c r="W666" s="25">
        <f>IF(B666="","",IF(D666="","",HOUR(D666)))</f>
        <v>0</v>
      </c>
      <c r="X666" s="37">
        <f>IF(B666="","",ROUND(U666/60,2))</f>
        <v>0</v>
      </c>
      <c r="Y666" s="26">
        <f>IF(B666="","",IF(L666&lt;&gt;"",L666,IFERROR(INDEX(Services!$G$5:$G$204,MATCH(G666,Services!$A$5:$A$204,0))*1,0)))</f>
        <v>0</v>
      </c>
      <c r="Z666" s="26">
        <f>IF(B666="","",IF(O666&lt;&gt;"",O666,IF(Y666&gt;=DepositThreshold,ROUND(Y666*DepositPercent,2),0)))</f>
        <v>0</v>
      </c>
      <c r="AA666" s="26">
        <f>IF(B666="","",ROUND(SUMIFS(Payments!$G$5:$G$1204,Payments!$I$5:$I$1204,A666,Payments!$E$5:$E$1204,"Deposit"),2))</f>
        <v>0</v>
      </c>
      <c r="AB666" s="26">
        <f>IF(B666="","",ROUND(SUMIFS(Sales!$Y$5:$Y$1204,Sales!$C$5:$C$1204,A666),2))</f>
        <v>0</v>
      </c>
      <c r="AC666" s="38">
        <f>IF(B666="","",IF(M666="Completed","Yes",IF(M666="Cancelled","Yes",IF(M666="No show","Yes","No"))))</f>
        <v>0</v>
      </c>
      <c r="AD666" s="25">
        <f>IF(B666="","",IF(AE666="","",B666-AE666))</f>
        <v>0</v>
      </c>
      <c r="AF666" s="38">
        <f>IF(B666="","",IF(M666&lt;&gt;"Completed","",IF(E666="","No",IF(COUNTIFS(Appointments!$E$5:$E$1204,E666,Appointments!$B$5:$B$1204,"&gt;"&amp;B666,Appointments!$M$5:$M$1204,"&lt;&gt;Cancelled")&gt;0,"Yes","No"))))</f>
        <v>0</v>
      </c>
      <c r="AG666" s="38">
        <f>IF(B666="","",IF(I666="","",IF(D666="","",IF(COUNTIFS($I$5:$I$1204,I666,$B$5:$B$1204,B666,$D$5:$D$1204,"&lt;"&amp;V666,$V$5:$V$1204,"&gt;"&amp;D666,$M$5:$M$1204,"&lt;&gt;Cancelled")&gt;1,"Clash",""))))</f>
        <v>0</v>
      </c>
      <c r="AH666" s="39">
        <f>IF(B666="","",IF(AG666="Clash","Clash - stylist double booked",IF(I666="","Assign - no stylist yet",IF(G666="","Add - no service chosen",IF(M666="No show","No show - charge the fee?",IF(M666="Cancelled","",IF(IF(M666="Completed",AB666&lt;Y666-0.004,FALSE),"Unpaid - nothing rung up for this visit",IF(IF(B666&lt;TodayDate,M666="Booked",FALSE),"Overdue - past date, still only Booked",IF(IF(B666=TodayDate,TRUE,FALSE),"Today",IF(IF(Z666&gt;0,AA666&lt;Z666-0.004,FALSE),"Due - deposit not taken",IF(IF(B666&gt;TodayDate,B666&lt;=TodayDate+2,FALSE),"Confirm - coming up","OK")))))))))))</f>
        <v>0</v>
      </c>
    </row>
    <row r="667" spans="1:34">
      <c r="A667" s="28">
        <f>IF(B667="","",AppointmentPrefix&amp;TEXT(ROW()-4,"0000"))</f>
        <v>0</v>
      </c>
      <c r="C667" s="15">
        <f>IF(B667="","",TEXT(B667,"ddd"))</f>
        <v>0</v>
      </c>
      <c r="F667" s="15">
        <f>IF(E667="","",IFERROR(INDEX(Clients!$B$5:$B$504,MATCH(E667,Clients!$A$5:$A$504,0)),"Walk-in"))</f>
        <v>0</v>
      </c>
      <c r="H667" s="15">
        <f>IF(G667="","",IFERROR(INDEX(Services!$B$5:$B$204,MATCH(G667,Services!$A$5:$A$204,0)),"Not in Services"))</f>
        <v>0</v>
      </c>
      <c r="J667" s="15">
        <f>IF(I667="","",IFERROR(INDEX(Staff!$B$5:$B$44,MATCH(I667,Staff!$A$5:$A$44,0)),"Unassigned"))</f>
        <v>0</v>
      </c>
      <c r="S667" s="15">
        <f>IF(B667="","",TEXT(B667,"yyyy-mm"))</f>
        <v>0</v>
      </c>
      <c r="T667" s="25">
        <f>IF(B667="","",WEEKNUM(B667,2))</f>
        <v>0</v>
      </c>
      <c r="U667" s="25">
        <f>IF(B667="","",IF(K667&lt;&gt;"",K667,IFERROR(INDEX(Services!$E$5:$E$204,MATCH(G667,Services!$A$5:$A$204,0))*1,0)+IFERROR(INDEX(Services!$F$5:$F$204,MATCH(G667,Services!$A$5:$A$204,0))*1,0)))</f>
        <v>0</v>
      </c>
      <c r="V667" s="36">
        <f>IF(B667="","",IF(D667="","",D667+U667/1440))</f>
        <v>0</v>
      </c>
      <c r="W667" s="25">
        <f>IF(B667="","",IF(D667="","",HOUR(D667)))</f>
        <v>0</v>
      </c>
      <c r="X667" s="37">
        <f>IF(B667="","",ROUND(U667/60,2))</f>
        <v>0</v>
      </c>
      <c r="Y667" s="26">
        <f>IF(B667="","",IF(L667&lt;&gt;"",L667,IFERROR(INDEX(Services!$G$5:$G$204,MATCH(G667,Services!$A$5:$A$204,0))*1,0)))</f>
        <v>0</v>
      </c>
      <c r="Z667" s="26">
        <f>IF(B667="","",IF(O667&lt;&gt;"",O667,IF(Y667&gt;=DepositThreshold,ROUND(Y667*DepositPercent,2),0)))</f>
        <v>0</v>
      </c>
      <c r="AA667" s="26">
        <f>IF(B667="","",ROUND(SUMIFS(Payments!$G$5:$G$1204,Payments!$I$5:$I$1204,A667,Payments!$E$5:$E$1204,"Deposit"),2))</f>
        <v>0</v>
      </c>
      <c r="AB667" s="26">
        <f>IF(B667="","",ROUND(SUMIFS(Sales!$Y$5:$Y$1204,Sales!$C$5:$C$1204,A667),2))</f>
        <v>0</v>
      </c>
      <c r="AC667" s="38">
        <f>IF(B667="","",IF(M667="Completed","Yes",IF(M667="Cancelled","Yes",IF(M667="No show","Yes","No"))))</f>
        <v>0</v>
      </c>
      <c r="AD667" s="25">
        <f>IF(B667="","",IF(AE667="","",B667-AE667))</f>
        <v>0</v>
      </c>
      <c r="AF667" s="38">
        <f>IF(B667="","",IF(M667&lt;&gt;"Completed","",IF(E667="","No",IF(COUNTIFS(Appointments!$E$5:$E$1204,E667,Appointments!$B$5:$B$1204,"&gt;"&amp;B667,Appointments!$M$5:$M$1204,"&lt;&gt;Cancelled")&gt;0,"Yes","No"))))</f>
        <v>0</v>
      </c>
      <c r="AG667" s="38">
        <f>IF(B667="","",IF(I667="","",IF(D667="","",IF(COUNTIFS($I$5:$I$1204,I667,$B$5:$B$1204,B667,$D$5:$D$1204,"&lt;"&amp;V667,$V$5:$V$1204,"&gt;"&amp;D667,$M$5:$M$1204,"&lt;&gt;Cancelled")&gt;1,"Clash",""))))</f>
        <v>0</v>
      </c>
      <c r="AH667" s="39">
        <f>IF(B667="","",IF(AG667="Clash","Clash - stylist double booked",IF(I667="","Assign - no stylist yet",IF(G667="","Add - no service chosen",IF(M667="No show","No show - charge the fee?",IF(M667="Cancelled","",IF(IF(M667="Completed",AB667&lt;Y667-0.004,FALSE),"Unpaid - nothing rung up for this visit",IF(IF(B667&lt;TodayDate,M667="Booked",FALSE),"Overdue - past date, still only Booked",IF(IF(B667=TodayDate,TRUE,FALSE),"Today",IF(IF(Z667&gt;0,AA667&lt;Z667-0.004,FALSE),"Due - deposit not taken",IF(IF(B667&gt;TodayDate,B667&lt;=TodayDate+2,FALSE),"Confirm - coming up","OK")))))))))))</f>
        <v>0</v>
      </c>
    </row>
    <row r="668" spans="1:34">
      <c r="A668" s="28">
        <f>IF(B668="","",AppointmentPrefix&amp;TEXT(ROW()-4,"0000"))</f>
        <v>0</v>
      </c>
      <c r="C668" s="15">
        <f>IF(B668="","",TEXT(B668,"ddd"))</f>
        <v>0</v>
      </c>
      <c r="F668" s="15">
        <f>IF(E668="","",IFERROR(INDEX(Clients!$B$5:$B$504,MATCH(E668,Clients!$A$5:$A$504,0)),"Walk-in"))</f>
        <v>0</v>
      </c>
      <c r="H668" s="15">
        <f>IF(G668="","",IFERROR(INDEX(Services!$B$5:$B$204,MATCH(G668,Services!$A$5:$A$204,0)),"Not in Services"))</f>
        <v>0</v>
      </c>
      <c r="J668" s="15">
        <f>IF(I668="","",IFERROR(INDEX(Staff!$B$5:$B$44,MATCH(I668,Staff!$A$5:$A$44,0)),"Unassigned"))</f>
        <v>0</v>
      </c>
      <c r="S668" s="15">
        <f>IF(B668="","",TEXT(B668,"yyyy-mm"))</f>
        <v>0</v>
      </c>
      <c r="T668" s="25">
        <f>IF(B668="","",WEEKNUM(B668,2))</f>
        <v>0</v>
      </c>
      <c r="U668" s="25">
        <f>IF(B668="","",IF(K668&lt;&gt;"",K668,IFERROR(INDEX(Services!$E$5:$E$204,MATCH(G668,Services!$A$5:$A$204,0))*1,0)+IFERROR(INDEX(Services!$F$5:$F$204,MATCH(G668,Services!$A$5:$A$204,0))*1,0)))</f>
        <v>0</v>
      </c>
      <c r="V668" s="36">
        <f>IF(B668="","",IF(D668="","",D668+U668/1440))</f>
        <v>0</v>
      </c>
      <c r="W668" s="25">
        <f>IF(B668="","",IF(D668="","",HOUR(D668)))</f>
        <v>0</v>
      </c>
      <c r="X668" s="37">
        <f>IF(B668="","",ROUND(U668/60,2))</f>
        <v>0</v>
      </c>
      <c r="Y668" s="26">
        <f>IF(B668="","",IF(L668&lt;&gt;"",L668,IFERROR(INDEX(Services!$G$5:$G$204,MATCH(G668,Services!$A$5:$A$204,0))*1,0)))</f>
        <v>0</v>
      </c>
      <c r="Z668" s="26">
        <f>IF(B668="","",IF(O668&lt;&gt;"",O668,IF(Y668&gt;=DepositThreshold,ROUND(Y668*DepositPercent,2),0)))</f>
        <v>0</v>
      </c>
      <c r="AA668" s="26">
        <f>IF(B668="","",ROUND(SUMIFS(Payments!$G$5:$G$1204,Payments!$I$5:$I$1204,A668,Payments!$E$5:$E$1204,"Deposit"),2))</f>
        <v>0</v>
      </c>
      <c r="AB668" s="26">
        <f>IF(B668="","",ROUND(SUMIFS(Sales!$Y$5:$Y$1204,Sales!$C$5:$C$1204,A668),2))</f>
        <v>0</v>
      </c>
      <c r="AC668" s="38">
        <f>IF(B668="","",IF(M668="Completed","Yes",IF(M668="Cancelled","Yes",IF(M668="No show","Yes","No"))))</f>
        <v>0</v>
      </c>
      <c r="AD668" s="25">
        <f>IF(B668="","",IF(AE668="","",B668-AE668))</f>
        <v>0</v>
      </c>
      <c r="AF668" s="38">
        <f>IF(B668="","",IF(M668&lt;&gt;"Completed","",IF(E668="","No",IF(COUNTIFS(Appointments!$E$5:$E$1204,E668,Appointments!$B$5:$B$1204,"&gt;"&amp;B668,Appointments!$M$5:$M$1204,"&lt;&gt;Cancelled")&gt;0,"Yes","No"))))</f>
        <v>0</v>
      </c>
      <c r="AG668" s="38">
        <f>IF(B668="","",IF(I668="","",IF(D668="","",IF(COUNTIFS($I$5:$I$1204,I668,$B$5:$B$1204,B668,$D$5:$D$1204,"&lt;"&amp;V668,$V$5:$V$1204,"&gt;"&amp;D668,$M$5:$M$1204,"&lt;&gt;Cancelled")&gt;1,"Clash",""))))</f>
        <v>0</v>
      </c>
      <c r="AH668" s="39">
        <f>IF(B668="","",IF(AG668="Clash","Clash - stylist double booked",IF(I668="","Assign - no stylist yet",IF(G668="","Add - no service chosen",IF(M668="No show","No show - charge the fee?",IF(M668="Cancelled","",IF(IF(M668="Completed",AB668&lt;Y668-0.004,FALSE),"Unpaid - nothing rung up for this visit",IF(IF(B668&lt;TodayDate,M668="Booked",FALSE),"Overdue - past date, still only Booked",IF(IF(B668=TodayDate,TRUE,FALSE),"Today",IF(IF(Z668&gt;0,AA668&lt;Z668-0.004,FALSE),"Due - deposit not taken",IF(IF(B668&gt;TodayDate,B668&lt;=TodayDate+2,FALSE),"Confirm - coming up","OK")))))))))))</f>
        <v>0</v>
      </c>
    </row>
    <row r="669" spans="1:34">
      <c r="A669" s="28">
        <f>IF(B669="","",AppointmentPrefix&amp;TEXT(ROW()-4,"0000"))</f>
        <v>0</v>
      </c>
      <c r="C669" s="15">
        <f>IF(B669="","",TEXT(B669,"ddd"))</f>
        <v>0</v>
      </c>
      <c r="F669" s="15">
        <f>IF(E669="","",IFERROR(INDEX(Clients!$B$5:$B$504,MATCH(E669,Clients!$A$5:$A$504,0)),"Walk-in"))</f>
        <v>0</v>
      </c>
      <c r="H669" s="15">
        <f>IF(G669="","",IFERROR(INDEX(Services!$B$5:$B$204,MATCH(G669,Services!$A$5:$A$204,0)),"Not in Services"))</f>
        <v>0</v>
      </c>
      <c r="J669" s="15">
        <f>IF(I669="","",IFERROR(INDEX(Staff!$B$5:$B$44,MATCH(I669,Staff!$A$5:$A$44,0)),"Unassigned"))</f>
        <v>0</v>
      </c>
      <c r="S669" s="15">
        <f>IF(B669="","",TEXT(B669,"yyyy-mm"))</f>
        <v>0</v>
      </c>
      <c r="T669" s="25">
        <f>IF(B669="","",WEEKNUM(B669,2))</f>
        <v>0</v>
      </c>
      <c r="U669" s="25">
        <f>IF(B669="","",IF(K669&lt;&gt;"",K669,IFERROR(INDEX(Services!$E$5:$E$204,MATCH(G669,Services!$A$5:$A$204,0))*1,0)+IFERROR(INDEX(Services!$F$5:$F$204,MATCH(G669,Services!$A$5:$A$204,0))*1,0)))</f>
        <v>0</v>
      </c>
      <c r="V669" s="36">
        <f>IF(B669="","",IF(D669="","",D669+U669/1440))</f>
        <v>0</v>
      </c>
      <c r="W669" s="25">
        <f>IF(B669="","",IF(D669="","",HOUR(D669)))</f>
        <v>0</v>
      </c>
      <c r="X669" s="37">
        <f>IF(B669="","",ROUND(U669/60,2))</f>
        <v>0</v>
      </c>
      <c r="Y669" s="26">
        <f>IF(B669="","",IF(L669&lt;&gt;"",L669,IFERROR(INDEX(Services!$G$5:$G$204,MATCH(G669,Services!$A$5:$A$204,0))*1,0)))</f>
        <v>0</v>
      </c>
      <c r="Z669" s="26">
        <f>IF(B669="","",IF(O669&lt;&gt;"",O669,IF(Y669&gt;=DepositThreshold,ROUND(Y669*DepositPercent,2),0)))</f>
        <v>0</v>
      </c>
      <c r="AA669" s="26">
        <f>IF(B669="","",ROUND(SUMIFS(Payments!$G$5:$G$1204,Payments!$I$5:$I$1204,A669,Payments!$E$5:$E$1204,"Deposit"),2))</f>
        <v>0</v>
      </c>
      <c r="AB669" s="26">
        <f>IF(B669="","",ROUND(SUMIFS(Sales!$Y$5:$Y$1204,Sales!$C$5:$C$1204,A669),2))</f>
        <v>0</v>
      </c>
      <c r="AC669" s="38">
        <f>IF(B669="","",IF(M669="Completed","Yes",IF(M669="Cancelled","Yes",IF(M669="No show","Yes","No"))))</f>
        <v>0</v>
      </c>
      <c r="AD669" s="25">
        <f>IF(B669="","",IF(AE669="","",B669-AE669))</f>
        <v>0</v>
      </c>
      <c r="AF669" s="38">
        <f>IF(B669="","",IF(M669&lt;&gt;"Completed","",IF(E669="","No",IF(COUNTIFS(Appointments!$E$5:$E$1204,E669,Appointments!$B$5:$B$1204,"&gt;"&amp;B669,Appointments!$M$5:$M$1204,"&lt;&gt;Cancelled")&gt;0,"Yes","No"))))</f>
        <v>0</v>
      </c>
      <c r="AG669" s="38">
        <f>IF(B669="","",IF(I669="","",IF(D669="","",IF(COUNTIFS($I$5:$I$1204,I669,$B$5:$B$1204,B669,$D$5:$D$1204,"&lt;"&amp;V669,$V$5:$V$1204,"&gt;"&amp;D669,$M$5:$M$1204,"&lt;&gt;Cancelled")&gt;1,"Clash",""))))</f>
        <v>0</v>
      </c>
      <c r="AH669" s="39">
        <f>IF(B669="","",IF(AG669="Clash","Clash - stylist double booked",IF(I669="","Assign - no stylist yet",IF(G669="","Add - no service chosen",IF(M669="No show","No show - charge the fee?",IF(M669="Cancelled","",IF(IF(M669="Completed",AB669&lt;Y669-0.004,FALSE),"Unpaid - nothing rung up for this visit",IF(IF(B669&lt;TodayDate,M669="Booked",FALSE),"Overdue - past date, still only Booked",IF(IF(B669=TodayDate,TRUE,FALSE),"Today",IF(IF(Z669&gt;0,AA669&lt;Z669-0.004,FALSE),"Due - deposit not taken",IF(IF(B669&gt;TodayDate,B669&lt;=TodayDate+2,FALSE),"Confirm - coming up","OK")))))))))))</f>
        <v>0</v>
      </c>
    </row>
    <row r="670" spans="1:34">
      <c r="A670" s="28">
        <f>IF(B670="","",AppointmentPrefix&amp;TEXT(ROW()-4,"0000"))</f>
        <v>0</v>
      </c>
      <c r="C670" s="15">
        <f>IF(B670="","",TEXT(B670,"ddd"))</f>
        <v>0</v>
      </c>
      <c r="F670" s="15">
        <f>IF(E670="","",IFERROR(INDEX(Clients!$B$5:$B$504,MATCH(E670,Clients!$A$5:$A$504,0)),"Walk-in"))</f>
        <v>0</v>
      </c>
      <c r="H670" s="15">
        <f>IF(G670="","",IFERROR(INDEX(Services!$B$5:$B$204,MATCH(G670,Services!$A$5:$A$204,0)),"Not in Services"))</f>
        <v>0</v>
      </c>
      <c r="J670" s="15">
        <f>IF(I670="","",IFERROR(INDEX(Staff!$B$5:$B$44,MATCH(I670,Staff!$A$5:$A$44,0)),"Unassigned"))</f>
        <v>0</v>
      </c>
      <c r="S670" s="15">
        <f>IF(B670="","",TEXT(B670,"yyyy-mm"))</f>
        <v>0</v>
      </c>
      <c r="T670" s="25">
        <f>IF(B670="","",WEEKNUM(B670,2))</f>
        <v>0</v>
      </c>
      <c r="U670" s="25">
        <f>IF(B670="","",IF(K670&lt;&gt;"",K670,IFERROR(INDEX(Services!$E$5:$E$204,MATCH(G670,Services!$A$5:$A$204,0))*1,0)+IFERROR(INDEX(Services!$F$5:$F$204,MATCH(G670,Services!$A$5:$A$204,0))*1,0)))</f>
        <v>0</v>
      </c>
      <c r="V670" s="36">
        <f>IF(B670="","",IF(D670="","",D670+U670/1440))</f>
        <v>0</v>
      </c>
      <c r="W670" s="25">
        <f>IF(B670="","",IF(D670="","",HOUR(D670)))</f>
        <v>0</v>
      </c>
      <c r="X670" s="37">
        <f>IF(B670="","",ROUND(U670/60,2))</f>
        <v>0</v>
      </c>
      <c r="Y670" s="26">
        <f>IF(B670="","",IF(L670&lt;&gt;"",L670,IFERROR(INDEX(Services!$G$5:$G$204,MATCH(G670,Services!$A$5:$A$204,0))*1,0)))</f>
        <v>0</v>
      </c>
      <c r="Z670" s="26">
        <f>IF(B670="","",IF(O670&lt;&gt;"",O670,IF(Y670&gt;=DepositThreshold,ROUND(Y670*DepositPercent,2),0)))</f>
        <v>0</v>
      </c>
      <c r="AA670" s="26">
        <f>IF(B670="","",ROUND(SUMIFS(Payments!$G$5:$G$1204,Payments!$I$5:$I$1204,A670,Payments!$E$5:$E$1204,"Deposit"),2))</f>
        <v>0</v>
      </c>
      <c r="AB670" s="26">
        <f>IF(B670="","",ROUND(SUMIFS(Sales!$Y$5:$Y$1204,Sales!$C$5:$C$1204,A670),2))</f>
        <v>0</v>
      </c>
      <c r="AC670" s="38">
        <f>IF(B670="","",IF(M670="Completed","Yes",IF(M670="Cancelled","Yes",IF(M670="No show","Yes","No"))))</f>
        <v>0</v>
      </c>
      <c r="AD670" s="25">
        <f>IF(B670="","",IF(AE670="","",B670-AE670))</f>
        <v>0</v>
      </c>
      <c r="AF670" s="38">
        <f>IF(B670="","",IF(M670&lt;&gt;"Completed","",IF(E670="","No",IF(COUNTIFS(Appointments!$E$5:$E$1204,E670,Appointments!$B$5:$B$1204,"&gt;"&amp;B670,Appointments!$M$5:$M$1204,"&lt;&gt;Cancelled")&gt;0,"Yes","No"))))</f>
        <v>0</v>
      </c>
      <c r="AG670" s="38">
        <f>IF(B670="","",IF(I670="","",IF(D670="","",IF(COUNTIFS($I$5:$I$1204,I670,$B$5:$B$1204,B670,$D$5:$D$1204,"&lt;"&amp;V670,$V$5:$V$1204,"&gt;"&amp;D670,$M$5:$M$1204,"&lt;&gt;Cancelled")&gt;1,"Clash",""))))</f>
        <v>0</v>
      </c>
      <c r="AH670" s="39">
        <f>IF(B670="","",IF(AG670="Clash","Clash - stylist double booked",IF(I670="","Assign - no stylist yet",IF(G670="","Add - no service chosen",IF(M670="No show","No show - charge the fee?",IF(M670="Cancelled","",IF(IF(M670="Completed",AB670&lt;Y670-0.004,FALSE),"Unpaid - nothing rung up for this visit",IF(IF(B670&lt;TodayDate,M670="Booked",FALSE),"Overdue - past date, still only Booked",IF(IF(B670=TodayDate,TRUE,FALSE),"Today",IF(IF(Z670&gt;0,AA670&lt;Z670-0.004,FALSE),"Due - deposit not taken",IF(IF(B670&gt;TodayDate,B670&lt;=TodayDate+2,FALSE),"Confirm - coming up","OK")))))))))))</f>
        <v>0</v>
      </c>
    </row>
    <row r="671" spans="1:34">
      <c r="A671" s="28">
        <f>IF(B671="","",AppointmentPrefix&amp;TEXT(ROW()-4,"0000"))</f>
        <v>0</v>
      </c>
      <c r="C671" s="15">
        <f>IF(B671="","",TEXT(B671,"ddd"))</f>
        <v>0</v>
      </c>
      <c r="F671" s="15">
        <f>IF(E671="","",IFERROR(INDEX(Clients!$B$5:$B$504,MATCH(E671,Clients!$A$5:$A$504,0)),"Walk-in"))</f>
        <v>0</v>
      </c>
      <c r="H671" s="15">
        <f>IF(G671="","",IFERROR(INDEX(Services!$B$5:$B$204,MATCH(G671,Services!$A$5:$A$204,0)),"Not in Services"))</f>
        <v>0</v>
      </c>
      <c r="J671" s="15">
        <f>IF(I671="","",IFERROR(INDEX(Staff!$B$5:$B$44,MATCH(I671,Staff!$A$5:$A$44,0)),"Unassigned"))</f>
        <v>0</v>
      </c>
      <c r="S671" s="15">
        <f>IF(B671="","",TEXT(B671,"yyyy-mm"))</f>
        <v>0</v>
      </c>
      <c r="T671" s="25">
        <f>IF(B671="","",WEEKNUM(B671,2))</f>
        <v>0</v>
      </c>
      <c r="U671" s="25">
        <f>IF(B671="","",IF(K671&lt;&gt;"",K671,IFERROR(INDEX(Services!$E$5:$E$204,MATCH(G671,Services!$A$5:$A$204,0))*1,0)+IFERROR(INDEX(Services!$F$5:$F$204,MATCH(G671,Services!$A$5:$A$204,0))*1,0)))</f>
        <v>0</v>
      </c>
      <c r="V671" s="36">
        <f>IF(B671="","",IF(D671="","",D671+U671/1440))</f>
        <v>0</v>
      </c>
      <c r="W671" s="25">
        <f>IF(B671="","",IF(D671="","",HOUR(D671)))</f>
        <v>0</v>
      </c>
      <c r="X671" s="37">
        <f>IF(B671="","",ROUND(U671/60,2))</f>
        <v>0</v>
      </c>
      <c r="Y671" s="26">
        <f>IF(B671="","",IF(L671&lt;&gt;"",L671,IFERROR(INDEX(Services!$G$5:$G$204,MATCH(G671,Services!$A$5:$A$204,0))*1,0)))</f>
        <v>0</v>
      </c>
      <c r="Z671" s="26">
        <f>IF(B671="","",IF(O671&lt;&gt;"",O671,IF(Y671&gt;=DepositThreshold,ROUND(Y671*DepositPercent,2),0)))</f>
        <v>0</v>
      </c>
      <c r="AA671" s="26">
        <f>IF(B671="","",ROUND(SUMIFS(Payments!$G$5:$G$1204,Payments!$I$5:$I$1204,A671,Payments!$E$5:$E$1204,"Deposit"),2))</f>
        <v>0</v>
      </c>
      <c r="AB671" s="26">
        <f>IF(B671="","",ROUND(SUMIFS(Sales!$Y$5:$Y$1204,Sales!$C$5:$C$1204,A671),2))</f>
        <v>0</v>
      </c>
      <c r="AC671" s="38">
        <f>IF(B671="","",IF(M671="Completed","Yes",IF(M671="Cancelled","Yes",IF(M671="No show","Yes","No"))))</f>
        <v>0</v>
      </c>
      <c r="AD671" s="25">
        <f>IF(B671="","",IF(AE671="","",B671-AE671))</f>
        <v>0</v>
      </c>
      <c r="AF671" s="38">
        <f>IF(B671="","",IF(M671&lt;&gt;"Completed","",IF(E671="","No",IF(COUNTIFS(Appointments!$E$5:$E$1204,E671,Appointments!$B$5:$B$1204,"&gt;"&amp;B671,Appointments!$M$5:$M$1204,"&lt;&gt;Cancelled")&gt;0,"Yes","No"))))</f>
        <v>0</v>
      </c>
      <c r="AG671" s="38">
        <f>IF(B671="","",IF(I671="","",IF(D671="","",IF(COUNTIFS($I$5:$I$1204,I671,$B$5:$B$1204,B671,$D$5:$D$1204,"&lt;"&amp;V671,$V$5:$V$1204,"&gt;"&amp;D671,$M$5:$M$1204,"&lt;&gt;Cancelled")&gt;1,"Clash",""))))</f>
        <v>0</v>
      </c>
      <c r="AH671" s="39">
        <f>IF(B671="","",IF(AG671="Clash","Clash - stylist double booked",IF(I671="","Assign - no stylist yet",IF(G671="","Add - no service chosen",IF(M671="No show","No show - charge the fee?",IF(M671="Cancelled","",IF(IF(M671="Completed",AB671&lt;Y671-0.004,FALSE),"Unpaid - nothing rung up for this visit",IF(IF(B671&lt;TodayDate,M671="Booked",FALSE),"Overdue - past date, still only Booked",IF(IF(B671=TodayDate,TRUE,FALSE),"Today",IF(IF(Z671&gt;0,AA671&lt;Z671-0.004,FALSE),"Due - deposit not taken",IF(IF(B671&gt;TodayDate,B671&lt;=TodayDate+2,FALSE),"Confirm - coming up","OK")))))))))))</f>
        <v>0</v>
      </c>
    </row>
    <row r="672" spans="1:34">
      <c r="A672" s="28">
        <f>IF(B672="","",AppointmentPrefix&amp;TEXT(ROW()-4,"0000"))</f>
        <v>0</v>
      </c>
      <c r="C672" s="15">
        <f>IF(B672="","",TEXT(B672,"ddd"))</f>
        <v>0</v>
      </c>
      <c r="F672" s="15">
        <f>IF(E672="","",IFERROR(INDEX(Clients!$B$5:$B$504,MATCH(E672,Clients!$A$5:$A$504,0)),"Walk-in"))</f>
        <v>0</v>
      </c>
      <c r="H672" s="15">
        <f>IF(G672="","",IFERROR(INDEX(Services!$B$5:$B$204,MATCH(G672,Services!$A$5:$A$204,0)),"Not in Services"))</f>
        <v>0</v>
      </c>
      <c r="J672" s="15">
        <f>IF(I672="","",IFERROR(INDEX(Staff!$B$5:$B$44,MATCH(I672,Staff!$A$5:$A$44,0)),"Unassigned"))</f>
        <v>0</v>
      </c>
      <c r="S672" s="15">
        <f>IF(B672="","",TEXT(B672,"yyyy-mm"))</f>
        <v>0</v>
      </c>
      <c r="T672" s="25">
        <f>IF(B672="","",WEEKNUM(B672,2))</f>
        <v>0</v>
      </c>
      <c r="U672" s="25">
        <f>IF(B672="","",IF(K672&lt;&gt;"",K672,IFERROR(INDEX(Services!$E$5:$E$204,MATCH(G672,Services!$A$5:$A$204,0))*1,0)+IFERROR(INDEX(Services!$F$5:$F$204,MATCH(G672,Services!$A$5:$A$204,0))*1,0)))</f>
        <v>0</v>
      </c>
      <c r="V672" s="36">
        <f>IF(B672="","",IF(D672="","",D672+U672/1440))</f>
        <v>0</v>
      </c>
      <c r="W672" s="25">
        <f>IF(B672="","",IF(D672="","",HOUR(D672)))</f>
        <v>0</v>
      </c>
      <c r="X672" s="37">
        <f>IF(B672="","",ROUND(U672/60,2))</f>
        <v>0</v>
      </c>
      <c r="Y672" s="26">
        <f>IF(B672="","",IF(L672&lt;&gt;"",L672,IFERROR(INDEX(Services!$G$5:$G$204,MATCH(G672,Services!$A$5:$A$204,0))*1,0)))</f>
        <v>0</v>
      </c>
      <c r="Z672" s="26">
        <f>IF(B672="","",IF(O672&lt;&gt;"",O672,IF(Y672&gt;=DepositThreshold,ROUND(Y672*DepositPercent,2),0)))</f>
        <v>0</v>
      </c>
      <c r="AA672" s="26">
        <f>IF(B672="","",ROUND(SUMIFS(Payments!$G$5:$G$1204,Payments!$I$5:$I$1204,A672,Payments!$E$5:$E$1204,"Deposit"),2))</f>
        <v>0</v>
      </c>
      <c r="AB672" s="26">
        <f>IF(B672="","",ROUND(SUMIFS(Sales!$Y$5:$Y$1204,Sales!$C$5:$C$1204,A672),2))</f>
        <v>0</v>
      </c>
      <c r="AC672" s="38">
        <f>IF(B672="","",IF(M672="Completed","Yes",IF(M672="Cancelled","Yes",IF(M672="No show","Yes","No"))))</f>
        <v>0</v>
      </c>
      <c r="AD672" s="25">
        <f>IF(B672="","",IF(AE672="","",B672-AE672))</f>
        <v>0</v>
      </c>
      <c r="AF672" s="38">
        <f>IF(B672="","",IF(M672&lt;&gt;"Completed","",IF(E672="","No",IF(COUNTIFS(Appointments!$E$5:$E$1204,E672,Appointments!$B$5:$B$1204,"&gt;"&amp;B672,Appointments!$M$5:$M$1204,"&lt;&gt;Cancelled")&gt;0,"Yes","No"))))</f>
        <v>0</v>
      </c>
      <c r="AG672" s="38">
        <f>IF(B672="","",IF(I672="","",IF(D672="","",IF(COUNTIFS($I$5:$I$1204,I672,$B$5:$B$1204,B672,$D$5:$D$1204,"&lt;"&amp;V672,$V$5:$V$1204,"&gt;"&amp;D672,$M$5:$M$1204,"&lt;&gt;Cancelled")&gt;1,"Clash",""))))</f>
        <v>0</v>
      </c>
      <c r="AH672" s="39">
        <f>IF(B672="","",IF(AG672="Clash","Clash - stylist double booked",IF(I672="","Assign - no stylist yet",IF(G672="","Add - no service chosen",IF(M672="No show","No show - charge the fee?",IF(M672="Cancelled","",IF(IF(M672="Completed",AB672&lt;Y672-0.004,FALSE),"Unpaid - nothing rung up for this visit",IF(IF(B672&lt;TodayDate,M672="Booked",FALSE),"Overdue - past date, still only Booked",IF(IF(B672=TodayDate,TRUE,FALSE),"Today",IF(IF(Z672&gt;0,AA672&lt;Z672-0.004,FALSE),"Due - deposit not taken",IF(IF(B672&gt;TodayDate,B672&lt;=TodayDate+2,FALSE),"Confirm - coming up","OK")))))))))))</f>
        <v>0</v>
      </c>
    </row>
    <row r="673" spans="1:34">
      <c r="A673" s="28">
        <f>IF(B673="","",AppointmentPrefix&amp;TEXT(ROW()-4,"0000"))</f>
        <v>0</v>
      </c>
      <c r="C673" s="15">
        <f>IF(B673="","",TEXT(B673,"ddd"))</f>
        <v>0</v>
      </c>
      <c r="F673" s="15">
        <f>IF(E673="","",IFERROR(INDEX(Clients!$B$5:$B$504,MATCH(E673,Clients!$A$5:$A$504,0)),"Walk-in"))</f>
        <v>0</v>
      </c>
      <c r="H673" s="15">
        <f>IF(G673="","",IFERROR(INDEX(Services!$B$5:$B$204,MATCH(G673,Services!$A$5:$A$204,0)),"Not in Services"))</f>
        <v>0</v>
      </c>
      <c r="J673" s="15">
        <f>IF(I673="","",IFERROR(INDEX(Staff!$B$5:$B$44,MATCH(I673,Staff!$A$5:$A$44,0)),"Unassigned"))</f>
        <v>0</v>
      </c>
      <c r="S673" s="15">
        <f>IF(B673="","",TEXT(B673,"yyyy-mm"))</f>
        <v>0</v>
      </c>
      <c r="T673" s="25">
        <f>IF(B673="","",WEEKNUM(B673,2))</f>
        <v>0</v>
      </c>
      <c r="U673" s="25">
        <f>IF(B673="","",IF(K673&lt;&gt;"",K673,IFERROR(INDEX(Services!$E$5:$E$204,MATCH(G673,Services!$A$5:$A$204,0))*1,0)+IFERROR(INDEX(Services!$F$5:$F$204,MATCH(G673,Services!$A$5:$A$204,0))*1,0)))</f>
        <v>0</v>
      </c>
      <c r="V673" s="36">
        <f>IF(B673="","",IF(D673="","",D673+U673/1440))</f>
        <v>0</v>
      </c>
      <c r="W673" s="25">
        <f>IF(B673="","",IF(D673="","",HOUR(D673)))</f>
        <v>0</v>
      </c>
      <c r="X673" s="37">
        <f>IF(B673="","",ROUND(U673/60,2))</f>
        <v>0</v>
      </c>
      <c r="Y673" s="26">
        <f>IF(B673="","",IF(L673&lt;&gt;"",L673,IFERROR(INDEX(Services!$G$5:$G$204,MATCH(G673,Services!$A$5:$A$204,0))*1,0)))</f>
        <v>0</v>
      </c>
      <c r="Z673" s="26">
        <f>IF(B673="","",IF(O673&lt;&gt;"",O673,IF(Y673&gt;=DepositThreshold,ROUND(Y673*DepositPercent,2),0)))</f>
        <v>0</v>
      </c>
      <c r="AA673" s="26">
        <f>IF(B673="","",ROUND(SUMIFS(Payments!$G$5:$G$1204,Payments!$I$5:$I$1204,A673,Payments!$E$5:$E$1204,"Deposit"),2))</f>
        <v>0</v>
      </c>
      <c r="AB673" s="26">
        <f>IF(B673="","",ROUND(SUMIFS(Sales!$Y$5:$Y$1204,Sales!$C$5:$C$1204,A673),2))</f>
        <v>0</v>
      </c>
      <c r="AC673" s="38">
        <f>IF(B673="","",IF(M673="Completed","Yes",IF(M673="Cancelled","Yes",IF(M673="No show","Yes","No"))))</f>
        <v>0</v>
      </c>
      <c r="AD673" s="25">
        <f>IF(B673="","",IF(AE673="","",B673-AE673))</f>
        <v>0</v>
      </c>
      <c r="AF673" s="38">
        <f>IF(B673="","",IF(M673&lt;&gt;"Completed","",IF(E673="","No",IF(COUNTIFS(Appointments!$E$5:$E$1204,E673,Appointments!$B$5:$B$1204,"&gt;"&amp;B673,Appointments!$M$5:$M$1204,"&lt;&gt;Cancelled")&gt;0,"Yes","No"))))</f>
        <v>0</v>
      </c>
      <c r="AG673" s="38">
        <f>IF(B673="","",IF(I673="","",IF(D673="","",IF(COUNTIFS($I$5:$I$1204,I673,$B$5:$B$1204,B673,$D$5:$D$1204,"&lt;"&amp;V673,$V$5:$V$1204,"&gt;"&amp;D673,$M$5:$M$1204,"&lt;&gt;Cancelled")&gt;1,"Clash",""))))</f>
        <v>0</v>
      </c>
      <c r="AH673" s="39">
        <f>IF(B673="","",IF(AG673="Clash","Clash - stylist double booked",IF(I673="","Assign - no stylist yet",IF(G673="","Add - no service chosen",IF(M673="No show","No show - charge the fee?",IF(M673="Cancelled","",IF(IF(M673="Completed",AB673&lt;Y673-0.004,FALSE),"Unpaid - nothing rung up for this visit",IF(IF(B673&lt;TodayDate,M673="Booked",FALSE),"Overdue - past date, still only Booked",IF(IF(B673=TodayDate,TRUE,FALSE),"Today",IF(IF(Z673&gt;0,AA673&lt;Z673-0.004,FALSE),"Due - deposit not taken",IF(IF(B673&gt;TodayDate,B673&lt;=TodayDate+2,FALSE),"Confirm - coming up","OK")))))))))))</f>
        <v>0</v>
      </c>
    </row>
    <row r="674" spans="1:34">
      <c r="A674" s="28">
        <f>IF(B674="","",AppointmentPrefix&amp;TEXT(ROW()-4,"0000"))</f>
        <v>0</v>
      </c>
      <c r="C674" s="15">
        <f>IF(B674="","",TEXT(B674,"ddd"))</f>
        <v>0</v>
      </c>
      <c r="F674" s="15">
        <f>IF(E674="","",IFERROR(INDEX(Clients!$B$5:$B$504,MATCH(E674,Clients!$A$5:$A$504,0)),"Walk-in"))</f>
        <v>0</v>
      </c>
      <c r="H674" s="15">
        <f>IF(G674="","",IFERROR(INDEX(Services!$B$5:$B$204,MATCH(G674,Services!$A$5:$A$204,0)),"Not in Services"))</f>
        <v>0</v>
      </c>
      <c r="J674" s="15">
        <f>IF(I674="","",IFERROR(INDEX(Staff!$B$5:$B$44,MATCH(I674,Staff!$A$5:$A$44,0)),"Unassigned"))</f>
        <v>0</v>
      </c>
      <c r="S674" s="15">
        <f>IF(B674="","",TEXT(B674,"yyyy-mm"))</f>
        <v>0</v>
      </c>
      <c r="T674" s="25">
        <f>IF(B674="","",WEEKNUM(B674,2))</f>
        <v>0</v>
      </c>
      <c r="U674" s="25">
        <f>IF(B674="","",IF(K674&lt;&gt;"",K674,IFERROR(INDEX(Services!$E$5:$E$204,MATCH(G674,Services!$A$5:$A$204,0))*1,0)+IFERROR(INDEX(Services!$F$5:$F$204,MATCH(G674,Services!$A$5:$A$204,0))*1,0)))</f>
        <v>0</v>
      </c>
      <c r="V674" s="36">
        <f>IF(B674="","",IF(D674="","",D674+U674/1440))</f>
        <v>0</v>
      </c>
      <c r="W674" s="25">
        <f>IF(B674="","",IF(D674="","",HOUR(D674)))</f>
        <v>0</v>
      </c>
      <c r="X674" s="37">
        <f>IF(B674="","",ROUND(U674/60,2))</f>
        <v>0</v>
      </c>
      <c r="Y674" s="26">
        <f>IF(B674="","",IF(L674&lt;&gt;"",L674,IFERROR(INDEX(Services!$G$5:$G$204,MATCH(G674,Services!$A$5:$A$204,0))*1,0)))</f>
        <v>0</v>
      </c>
      <c r="Z674" s="26">
        <f>IF(B674="","",IF(O674&lt;&gt;"",O674,IF(Y674&gt;=DepositThreshold,ROUND(Y674*DepositPercent,2),0)))</f>
        <v>0</v>
      </c>
      <c r="AA674" s="26">
        <f>IF(B674="","",ROUND(SUMIFS(Payments!$G$5:$G$1204,Payments!$I$5:$I$1204,A674,Payments!$E$5:$E$1204,"Deposit"),2))</f>
        <v>0</v>
      </c>
      <c r="AB674" s="26">
        <f>IF(B674="","",ROUND(SUMIFS(Sales!$Y$5:$Y$1204,Sales!$C$5:$C$1204,A674),2))</f>
        <v>0</v>
      </c>
      <c r="AC674" s="38">
        <f>IF(B674="","",IF(M674="Completed","Yes",IF(M674="Cancelled","Yes",IF(M674="No show","Yes","No"))))</f>
        <v>0</v>
      </c>
      <c r="AD674" s="25">
        <f>IF(B674="","",IF(AE674="","",B674-AE674))</f>
        <v>0</v>
      </c>
      <c r="AF674" s="38">
        <f>IF(B674="","",IF(M674&lt;&gt;"Completed","",IF(E674="","No",IF(COUNTIFS(Appointments!$E$5:$E$1204,E674,Appointments!$B$5:$B$1204,"&gt;"&amp;B674,Appointments!$M$5:$M$1204,"&lt;&gt;Cancelled")&gt;0,"Yes","No"))))</f>
        <v>0</v>
      </c>
      <c r="AG674" s="38">
        <f>IF(B674="","",IF(I674="","",IF(D674="","",IF(COUNTIFS($I$5:$I$1204,I674,$B$5:$B$1204,B674,$D$5:$D$1204,"&lt;"&amp;V674,$V$5:$V$1204,"&gt;"&amp;D674,$M$5:$M$1204,"&lt;&gt;Cancelled")&gt;1,"Clash",""))))</f>
        <v>0</v>
      </c>
      <c r="AH674" s="39">
        <f>IF(B674="","",IF(AG674="Clash","Clash - stylist double booked",IF(I674="","Assign - no stylist yet",IF(G674="","Add - no service chosen",IF(M674="No show","No show - charge the fee?",IF(M674="Cancelled","",IF(IF(M674="Completed",AB674&lt;Y674-0.004,FALSE),"Unpaid - nothing rung up for this visit",IF(IF(B674&lt;TodayDate,M674="Booked",FALSE),"Overdue - past date, still only Booked",IF(IF(B674=TodayDate,TRUE,FALSE),"Today",IF(IF(Z674&gt;0,AA674&lt;Z674-0.004,FALSE),"Due - deposit not taken",IF(IF(B674&gt;TodayDate,B674&lt;=TodayDate+2,FALSE),"Confirm - coming up","OK")))))))))))</f>
        <v>0</v>
      </c>
    </row>
    <row r="675" spans="1:34">
      <c r="A675" s="28">
        <f>IF(B675="","",AppointmentPrefix&amp;TEXT(ROW()-4,"0000"))</f>
        <v>0</v>
      </c>
      <c r="C675" s="15">
        <f>IF(B675="","",TEXT(B675,"ddd"))</f>
        <v>0</v>
      </c>
      <c r="F675" s="15">
        <f>IF(E675="","",IFERROR(INDEX(Clients!$B$5:$B$504,MATCH(E675,Clients!$A$5:$A$504,0)),"Walk-in"))</f>
        <v>0</v>
      </c>
      <c r="H675" s="15">
        <f>IF(G675="","",IFERROR(INDEX(Services!$B$5:$B$204,MATCH(G675,Services!$A$5:$A$204,0)),"Not in Services"))</f>
        <v>0</v>
      </c>
      <c r="J675" s="15">
        <f>IF(I675="","",IFERROR(INDEX(Staff!$B$5:$B$44,MATCH(I675,Staff!$A$5:$A$44,0)),"Unassigned"))</f>
        <v>0</v>
      </c>
      <c r="S675" s="15">
        <f>IF(B675="","",TEXT(B675,"yyyy-mm"))</f>
        <v>0</v>
      </c>
      <c r="T675" s="25">
        <f>IF(B675="","",WEEKNUM(B675,2))</f>
        <v>0</v>
      </c>
      <c r="U675" s="25">
        <f>IF(B675="","",IF(K675&lt;&gt;"",K675,IFERROR(INDEX(Services!$E$5:$E$204,MATCH(G675,Services!$A$5:$A$204,0))*1,0)+IFERROR(INDEX(Services!$F$5:$F$204,MATCH(G675,Services!$A$5:$A$204,0))*1,0)))</f>
        <v>0</v>
      </c>
      <c r="V675" s="36">
        <f>IF(B675="","",IF(D675="","",D675+U675/1440))</f>
        <v>0</v>
      </c>
      <c r="W675" s="25">
        <f>IF(B675="","",IF(D675="","",HOUR(D675)))</f>
        <v>0</v>
      </c>
      <c r="X675" s="37">
        <f>IF(B675="","",ROUND(U675/60,2))</f>
        <v>0</v>
      </c>
      <c r="Y675" s="26">
        <f>IF(B675="","",IF(L675&lt;&gt;"",L675,IFERROR(INDEX(Services!$G$5:$G$204,MATCH(G675,Services!$A$5:$A$204,0))*1,0)))</f>
        <v>0</v>
      </c>
      <c r="Z675" s="26">
        <f>IF(B675="","",IF(O675&lt;&gt;"",O675,IF(Y675&gt;=DepositThreshold,ROUND(Y675*DepositPercent,2),0)))</f>
        <v>0</v>
      </c>
      <c r="AA675" s="26">
        <f>IF(B675="","",ROUND(SUMIFS(Payments!$G$5:$G$1204,Payments!$I$5:$I$1204,A675,Payments!$E$5:$E$1204,"Deposit"),2))</f>
        <v>0</v>
      </c>
      <c r="AB675" s="26">
        <f>IF(B675="","",ROUND(SUMIFS(Sales!$Y$5:$Y$1204,Sales!$C$5:$C$1204,A675),2))</f>
        <v>0</v>
      </c>
      <c r="AC675" s="38">
        <f>IF(B675="","",IF(M675="Completed","Yes",IF(M675="Cancelled","Yes",IF(M675="No show","Yes","No"))))</f>
        <v>0</v>
      </c>
      <c r="AD675" s="25">
        <f>IF(B675="","",IF(AE675="","",B675-AE675))</f>
        <v>0</v>
      </c>
      <c r="AF675" s="38">
        <f>IF(B675="","",IF(M675&lt;&gt;"Completed","",IF(E675="","No",IF(COUNTIFS(Appointments!$E$5:$E$1204,E675,Appointments!$B$5:$B$1204,"&gt;"&amp;B675,Appointments!$M$5:$M$1204,"&lt;&gt;Cancelled")&gt;0,"Yes","No"))))</f>
        <v>0</v>
      </c>
      <c r="AG675" s="38">
        <f>IF(B675="","",IF(I675="","",IF(D675="","",IF(COUNTIFS($I$5:$I$1204,I675,$B$5:$B$1204,B675,$D$5:$D$1204,"&lt;"&amp;V675,$V$5:$V$1204,"&gt;"&amp;D675,$M$5:$M$1204,"&lt;&gt;Cancelled")&gt;1,"Clash",""))))</f>
        <v>0</v>
      </c>
      <c r="AH675" s="39">
        <f>IF(B675="","",IF(AG675="Clash","Clash - stylist double booked",IF(I675="","Assign - no stylist yet",IF(G675="","Add - no service chosen",IF(M675="No show","No show - charge the fee?",IF(M675="Cancelled","",IF(IF(M675="Completed",AB675&lt;Y675-0.004,FALSE),"Unpaid - nothing rung up for this visit",IF(IF(B675&lt;TodayDate,M675="Booked",FALSE),"Overdue - past date, still only Booked",IF(IF(B675=TodayDate,TRUE,FALSE),"Today",IF(IF(Z675&gt;0,AA675&lt;Z675-0.004,FALSE),"Due - deposit not taken",IF(IF(B675&gt;TodayDate,B675&lt;=TodayDate+2,FALSE),"Confirm - coming up","OK")))))))))))</f>
        <v>0</v>
      </c>
    </row>
    <row r="676" spans="1:34">
      <c r="A676" s="28">
        <f>IF(B676="","",AppointmentPrefix&amp;TEXT(ROW()-4,"0000"))</f>
        <v>0</v>
      </c>
      <c r="C676" s="15">
        <f>IF(B676="","",TEXT(B676,"ddd"))</f>
        <v>0</v>
      </c>
      <c r="F676" s="15">
        <f>IF(E676="","",IFERROR(INDEX(Clients!$B$5:$B$504,MATCH(E676,Clients!$A$5:$A$504,0)),"Walk-in"))</f>
        <v>0</v>
      </c>
      <c r="H676" s="15">
        <f>IF(G676="","",IFERROR(INDEX(Services!$B$5:$B$204,MATCH(G676,Services!$A$5:$A$204,0)),"Not in Services"))</f>
        <v>0</v>
      </c>
      <c r="J676" s="15">
        <f>IF(I676="","",IFERROR(INDEX(Staff!$B$5:$B$44,MATCH(I676,Staff!$A$5:$A$44,0)),"Unassigned"))</f>
        <v>0</v>
      </c>
      <c r="S676" s="15">
        <f>IF(B676="","",TEXT(B676,"yyyy-mm"))</f>
        <v>0</v>
      </c>
      <c r="T676" s="25">
        <f>IF(B676="","",WEEKNUM(B676,2))</f>
        <v>0</v>
      </c>
      <c r="U676" s="25">
        <f>IF(B676="","",IF(K676&lt;&gt;"",K676,IFERROR(INDEX(Services!$E$5:$E$204,MATCH(G676,Services!$A$5:$A$204,0))*1,0)+IFERROR(INDEX(Services!$F$5:$F$204,MATCH(G676,Services!$A$5:$A$204,0))*1,0)))</f>
        <v>0</v>
      </c>
      <c r="V676" s="36">
        <f>IF(B676="","",IF(D676="","",D676+U676/1440))</f>
        <v>0</v>
      </c>
      <c r="W676" s="25">
        <f>IF(B676="","",IF(D676="","",HOUR(D676)))</f>
        <v>0</v>
      </c>
      <c r="X676" s="37">
        <f>IF(B676="","",ROUND(U676/60,2))</f>
        <v>0</v>
      </c>
      <c r="Y676" s="26">
        <f>IF(B676="","",IF(L676&lt;&gt;"",L676,IFERROR(INDEX(Services!$G$5:$G$204,MATCH(G676,Services!$A$5:$A$204,0))*1,0)))</f>
        <v>0</v>
      </c>
      <c r="Z676" s="26">
        <f>IF(B676="","",IF(O676&lt;&gt;"",O676,IF(Y676&gt;=DepositThreshold,ROUND(Y676*DepositPercent,2),0)))</f>
        <v>0</v>
      </c>
      <c r="AA676" s="26">
        <f>IF(B676="","",ROUND(SUMIFS(Payments!$G$5:$G$1204,Payments!$I$5:$I$1204,A676,Payments!$E$5:$E$1204,"Deposit"),2))</f>
        <v>0</v>
      </c>
      <c r="AB676" s="26">
        <f>IF(B676="","",ROUND(SUMIFS(Sales!$Y$5:$Y$1204,Sales!$C$5:$C$1204,A676),2))</f>
        <v>0</v>
      </c>
      <c r="AC676" s="38">
        <f>IF(B676="","",IF(M676="Completed","Yes",IF(M676="Cancelled","Yes",IF(M676="No show","Yes","No"))))</f>
        <v>0</v>
      </c>
      <c r="AD676" s="25">
        <f>IF(B676="","",IF(AE676="","",B676-AE676))</f>
        <v>0</v>
      </c>
      <c r="AF676" s="38">
        <f>IF(B676="","",IF(M676&lt;&gt;"Completed","",IF(E676="","No",IF(COUNTIFS(Appointments!$E$5:$E$1204,E676,Appointments!$B$5:$B$1204,"&gt;"&amp;B676,Appointments!$M$5:$M$1204,"&lt;&gt;Cancelled")&gt;0,"Yes","No"))))</f>
        <v>0</v>
      </c>
      <c r="AG676" s="38">
        <f>IF(B676="","",IF(I676="","",IF(D676="","",IF(COUNTIFS($I$5:$I$1204,I676,$B$5:$B$1204,B676,$D$5:$D$1204,"&lt;"&amp;V676,$V$5:$V$1204,"&gt;"&amp;D676,$M$5:$M$1204,"&lt;&gt;Cancelled")&gt;1,"Clash",""))))</f>
        <v>0</v>
      </c>
      <c r="AH676" s="39">
        <f>IF(B676="","",IF(AG676="Clash","Clash - stylist double booked",IF(I676="","Assign - no stylist yet",IF(G676="","Add - no service chosen",IF(M676="No show","No show - charge the fee?",IF(M676="Cancelled","",IF(IF(M676="Completed",AB676&lt;Y676-0.004,FALSE),"Unpaid - nothing rung up for this visit",IF(IF(B676&lt;TodayDate,M676="Booked",FALSE),"Overdue - past date, still only Booked",IF(IF(B676=TodayDate,TRUE,FALSE),"Today",IF(IF(Z676&gt;0,AA676&lt;Z676-0.004,FALSE),"Due - deposit not taken",IF(IF(B676&gt;TodayDate,B676&lt;=TodayDate+2,FALSE),"Confirm - coming up","OK")))))))))))</f>
        <v>0</v>
      </c>
    </row>
    <row r="677" spans="1:34">
      <c r="A677" s="28">
        <f>IF(B677="","",AppointmentPrefix&amp;TEXT(ROW()-4,"0000"))</f>
        <v>0</v>
      </c>
      <c r="C677" s="15">
        <f>IF(B677="","",TEXT(B677,"ddd"))</f>
        <v>0</v>
      </c>
      <c r="F677" s="15">
        <f>IF(E677="","",IFERROR(INDEX(Clients!$B$5:$B$504,MATCH(E677,Clients!$A$5:$A$504,0)),"Walk-in"))</f>
        <v>0</v>
      </c>
      <c r="H677" s="15">
        <f>IF(G677="","",IFERROR(INDEX(Services!$B$5:$B$204,MATCH(G677,Services!$A$5:$A$204,0)),"Not in Services"))</f>
        <v>0</v>
      </c>
      <c r="J677" s="15">
        <f>IF(I677="","",IFERROR(INDEX(Staff!$B$5:$B$44,MATCH(I677,Staff!$A$5:$A$44,0)),"Unassigned"))</f>
        <v>0</v>
      </c>
      <c r="S677" s="15">
        <f>IF(B677="","",TEXT(B677,"yyyy-mm"))</f>
        <v>0</v>
      </c>
      <c r="T677" s="25">
        <f>IF(B677="","",WEEKNUM(B677,2))</f>
        <v>0</v>
      </c>
      <c r="U677" s="25">
        <f>IF(B677="","",IF(K677&lt;&gt;"",K677,IFERROR(INDEX(Services!$E$5:$E$204,MATCH(G677,Services!$A$5:$A$204,0))*1,0)+IFERROR(INDEX(Services!$F$5:$F$204,MATCH(G677,Services!$A$5:$A$204,0))*1,0)))</f>
        <v>0</v>
      </c>
      <c r="V677" s="36">
        <f>IF(B677="","",IF(D677="","",D677+U677/1440))</f>
        <v>0</v>
      </c>
      <c r="W677" s="25">
        <f>IF(B677="","",IF(D677="","",HOUR(D677)))</f>
        <v>0</v>
      </c>
      <c r="X677" s="37">
        <f>IF(B677="","",ROUND(U677/60,2))</f>
        <v>0</v>
      </c>
      <c r="Y677" s="26">
        <f>IF(B677="","",IF(L677&lt;&gt;"",L677,IFERROR(INDEX(Services!$G$5:$G$204,MATCH(G677,Services!$A$5:$A$204,0))*1,0)))</f>
        <v>0</v>
      </c>
      <c r="Z677" s="26">
        <f>IF(B677="","",IF(O677&lt;&gt;"",O677,IF(Y677&gt;=DepositThreshold,ROUND(Y677*DepositPercent,2),0)))</f>
        <v>0</v>
      </c>
      <c r="AA677" s="26">
        <f>IF(B677="","",ROUND(SUMIFS(Payments!$G$5:$G$1204,Payments!$I$5:$I$1204,A677,Payments!$E$5:$E$1204,"Deposit"),2))</f>
        <v>0</v>
      </c>
      <c r="AB677" s="26">
        <f>IF(B677="","",ROUND(SUMIFS(Sales!$Y$5:$Y$1204,Sales!$C$5:$C$1204,A677),2))</f>
        <v>0</v>
      </c>
      <c r="AC677" s="38">
        <f>IF(B677="","",IF(M677="Completed","Yes",IF(M677="Cancelled","Yes",IF(M677="No show","Yes","No"))))</f>
        <v>0</v>
      </c>
      <c r="AD677" s="25">
        <f>IF(B677="","",IF(AE677="","",B677-AE677))</f>
        <v>0</v>
      </c>
      <c r="AF677" s="38">
        <f>IF(B677="","",IF(M677&lt;&gt;"Completed","",IF(E677="","No",IF(COUNTIFS(Appointments!$E$5:$E$1204,E677,Appointments!$B$5:$B$1204,"&gt;"&amp;B677,Appointments!$M$5:$M$1204,"&lt;&gt;Cancelled")&gt;0,"Yes","No"))))</f>
        <v>0</v>
      </c>
      <c r="AG677" s="38">
        <f>IF(B677="","",IF(I677="","",IF(D677="","",IF(COUNTIFS($I$5:$I$1204,I677,$B$5:$B$1204,B677,$D$5:$D$1204,"&lt;"&amp;V677,$V$5:$V$1204,"&gt;"&amp;D677,$M$5:$M$1204,"&lt;&gt;Cancelled")&gt;1,"Clash",""))))</f>
        <v>0</v>
      </c>
      <c r="AH677" s="39">
        <f>IF(B677="","",IF(AG677="Clash","Clash - stylist double booked",IF(I677="","Assign - no stylist yet",IF(G677="","Add - no service chosen",IF(M677="No show","No show - charge the fee?",IF(M677="Cancelled","",IF(IF(M677="Completed",AB677&lt;Y677-0.004,FALSE),"Unpaid - nothing rung up for this visit",IF(IF(B677&lt;TodayDate,M677="Booked",FALSE),"Overdue - past date, still only Booked",IF(IF(B677=TodayDate,TRUE,FALSE),"Today",IF(IF(Z677&gt;0,AA677&lt;Z677-0.004,FALSE),"Due - deposit not taken",IF(IF(B677&gt;TodayDate,B677&lt;=TodayDate+2,FALSE),"Confirm - coming up","OK")))))))))))</f>
        <v>0</v>
      </c>
    </row>
    <row r="678" spans="1:34">
      <c r="A678" s="28">
        <f>IF(B678="","",AppointmentPrefix&amp;TEXT(ROW()-4,"0000"))</f>
        <v>0</v>
      </c>
      <c r="C678" s="15">
        <f>IF(B678="","",TEXT(B678,"ddd"))</f>
        <v>0</v>
      </c>
      <c r="F678" s="15">
        <f>IF(E678="","",IFERROR(INDEX(Clients!$B$5:$B$504,MATCH(E678,Clients!$A$5:$A$504,0)),"Walk-in"))</f>
        <v>0</v>
      </c>
      <c r="H678" s="15">
        <f>IF(G678="","",IFERROR(INDEX(Services!$B$5:$B$204,MATCH(G678,Services!$A$5:$A$204,0)),"Not in Services"))</f>
        <v>0</v>
      </c>
      <c r="J678" s="15">
        <f>IF(I678="","",IFERROR(INDEX(Staff!$B$5:$B$44,MATCH(I678,Staff!$A$5:$A$44,0)),"Unassigned"))</f>
        <v>0</v>
      </c>
      <c r="S678" s="15">
        <f>IF(B678="","",TEXT(B678,"yyyy-mm"))</f>
        <v>0</v>
      </c>
      <c r="T678" s="25">
        <f>IF(B678="","",WEEKNUM(B678,2))</f>
        <v>0</v>
      </c>
      <c r="U678" s="25">
        <f>IF(B678="","",IF(K678&lt;&gt;"",K678,IFERROR(INDEX(Services!$E$5:$E$204,MATCH(G678,Services!$A$5:$A$204,0))*1,0)+IFERROR(INDEX(Services!$F$5:$F$204,MATCH(G678,Services!$A$5:$A$204,0))*1,0)))</f>
        <v>0</v>
      </c>
      <c r="V678" s="36">
        <f>IF(B678="","",IF(D678="","",D678+U678/1440))</f>
        <v>0</v>
      </c>
      <c r="W678" s="25">
        <f>IF(B678="","",IF(D678="","",HOUR(D678)))</f>
        <v>0</v>
      </c>
      <c r="X678" s="37">
        <f>IF(B678="","",ROUND(U678/60,2))</f>
        <v>0</v>
      </c>
      <c r="Y678" s="26">
        <f>IF(B678="","",IF(L678&lt;&gt;"",L678,IFERROR(INDEX(Services!$G$5:$G$204,MATCH(G678,Services!$A$5:$A$204,0))*1,0)))</f>
        <v>0</v>
      </c>
      <c r="Z678" s="26">
        <f>IF(B678="","",IF(O678&lt;&gt;"",O678,IF(Y678&gt;=DepositThreshold,ROUND(Y678*DepositPercent,2),0)))</f>
        <v>0</v>
      </c>
      <c r="AA678" s="26">
        <f>IF(B678="","",ROUND(SUMIFS(Payments!$G$5:$G$1204,Payments!$I$5:$I$1204,A678,Payments!$E$5:$E$1204,"Deposit"),2))</f>
        <v>0</v>
      </c>
      <c r="AB678" s="26">
        <f>IF(B678="","",ROUND(SUMIFS(Sales!$Y$5:$Y$1204,Sales!$C$5:$C$1204,A678),2))</f>
        <v>0</v>
      </c>
      <c r="AC678" s="38">
        <f>IF(B678="","",IF(M678="Completed","Yes",IF(M678="Cancelled","Yes",IF(M678="No show","Yes","No"))))</f>
        <v>0</v>
      </c>
      <c r="AD678" s="25">
        <f>IF(B678="","",IF(AE678="","",B678-AE678))</f>
        <v>0</v>
      </c>
      <c r="AF678" s="38">
        <f>IF(B678="","",IF(M678&lt;&gt;"Completed","",IF(E678="","No",IF(COUNTIFS(Appointments!$E$5:$E$1204,E678,Appointments!$B$5:$B$1204,"&gt;"&amp;B678,Appointments!$M$5:$M$1204,"&lt;&gt;Cancelled")&gt;0,"Yes","No"))))</f>
        <v>0</v>
      </c>
      <c r="AG678" s="38">
        <f>IF(B678="","",IF(I678="","",IF(D678="","",IF(COUNTIFS($I$5:$I$1204,I678,$B$5:$B$1204,B678,$D$5:$D$1204,"&lt;"&amp;V678,$V$5:$V$1204,"&gt;"&amp;D678,$M$5:$M$1204,"&lt;&gt;Cancelled")&gt;1,"Clash",""))))</f>
        <v>0</v>
      </c>
      <c r="AH678" s="39">
        <f>IF(B678="","",IF(AG678="Clash","Clash - stylist double booked",IF(I678="","Assign - no stylist yet",IF(G678="","Add - no service chosen",IF(M678="No show","No show - charge the fee?",IF(M678="Cancelled","",IF(IF(M678="Completed",AB678&lt;Y678-0.004,FALSE),"Unpaid - nothing rung up for this visit",IF(IF(B678&lt;TodayDate,M678="Booked",FALSE),"Overdue - past date, still only Booked",IF(IF(B678=TodayDate,TRUE,FALSE),"Today",IF(IF(Z678&gt;0,AA678&lt;Z678-0.004,FALSE),"Due - deposit not taken",IF(IF(B678&gt;TodayDate,B678&lt;=TodayDate+2,FALSE),"Confirm - coming up","OK")))))))))))</f>
        <v>0</v>
      </c>
    </row>
    <row r="679" spans="1:34">
      <c r="A679" s="28">
        <f>IF(B679="","",AppointmentPrefix&amp;TEXT(ROW()-4,"0000"))</f>
        <v>0</v>
      </c>
      <c r="C679" s="15">
        <f>IF(B679="","",TEXT(B679,"ddd"))</f>
        <v>0</v>
      </c>
      <c r="F679" s="15">
        <f>IF(E679="","",IFERROR(INDEX(Clients!$B$5:$B$504,MATCH(E679,Clients!$A$5:$A$504,0)),"Walk-in"))</f>
        <v>0</v>
      </c>
      <c r="H679" s="15">
        <f>IF(G679="","",IFERROR(INDEX(Services!$B$5:$B$204,MATCH(G679,Services!$A$5:$A$204,0)),"Not in Services"))</f>
        <v>0</v>
      </c>
      <c r="J679" s="15">
        <f>IF(I679="","",IFERROR(INDEX(Staff!$B$5:$B$44,MATCH(I679,Staff!$A$5:$A$44,0)),"Unassigned"))</f>
        <v>0</v>
      </c>
      <c r="S679" s="15">
        <f>IF(B679="","",TEXT(B679,"yyyy-mm"))</f>
        <v>0</v>
      </c>
      <c r="T679" s="25">
        <f>IF(B679="","",WEEKNUM(B679,2))</f>
        <v>0</v>
      </c>
      <c r="U679" s="25">
        <f>IF(B679="","",IF(K679&lt;&gt;"",K679,IFERROR(INDEX(Services!$E$5:$E$204,MATCH(G679,Services!$A$5:$A$204,0))*1,0)+IFERROR(INDEX(Services!$F$5:$F$204,MATCH(G679,Services!$A$5:$A$204,0))*1,0)))</f>
        <v>0</v>
      </c>
      <c r="V679" s="36">
        <f>IF(B679="","",IF(D679="","",D679+U679/1440))</f>
        <v>0</v>
      </c>
      <c r="W679" s="25">
        <f>IF(B679="","",IF(D679="","",HOUR(D679)))</f>
        <v>0</v>
      </c>
      <c r="X679" s="37">
        <f>IF(B679="","",ROUND(U679/60,2))</f>
        <v>0</v>
      </c>
      <c r="Y679" s="26">
        <f>IF(B679="","",IF(L679&lt;&gt;"",L679,IFERROR(INDEX(Services!$G$5:$G$204,MATCH(G679,Services!$A$5:$A$204,0))*1,0)))</f>
        <v>0</v>
      </c>
      <c r="Z679" s="26">
        <f>IF(B679="","",IF(O679&lt;&gt;"",O679,IF(Y679&gt;=DepositThreshold,ROUND(Y679*DepositPercent,2),0)))</f>
        <v>0</v>
      </c>
      <c r="AA679" s="26">
        <f>IF(B679="","",ROUND(SUMIFS(Payments!$G$5:$G$1204,Payments!$I$5:$I$1204,A679,Payments!$E$5:$E$1204,"Deposit"),2))</f>
        <v>0</v>
      </c>
      <c r="AB679" s="26">
        <f>IF(B679="","",ROUND(SUMIFS(Sales!$Y$5:$Y$1204,Sales!$C$5:$C$1204,A679),2))</f>
        <v>0</v>
      </c>
      <c r="AC679" s="38">
        <f>IF(B679="","",IF(M679="Completed","Yes",IF(M679="Cancelled","Yes",IF(M679="No show","Yes","No"))))</f>
        <v>0</v>
      </c>
      <c r="AD679" s="25">
        <f>IF(B679="","",IF(AE679="","",B679-AE679))</f>
        <v>0</v>
      </c>
      <c r="AF679" s="38">
        <f>IF(B679="","",IF(M679&lt;&gt;"Completed","",IF(E679="","No",IF(COUNTIFS(Appointments!$E$5:$E$1204,E679,Appointments!$B$5:$B$1204,"&gt;"&amp;B679,Appointments!$M$5:$M$1204,"&lt;&gt;Cancelled")&gt;0,"Yes","No"))))</f>
        <v>0</v>
      </c>
      <c r="AG679" s="38">
        <f>IF(B679="","",IF(I679="","",IF(D679="","",IF(COUNTIFS($I$5:$I$1204,I679,$B$5:$B$1204,B679,$D$5:$D$1204,"&lt;"&amp;V679,$V$5:$V$1204,"&gt;"&amp;D679,$M$5:$M$1204,"&lt;&gt;Cancelled")&gt;1,"Clash",""))))</f>
        <v>0</v>
      </c>
      <c r="AH679" s="39">
        <f>IF(B679="","",IF(AG679="Clash","Clash - stylist double booked",IF(I679="","Assign - no stylist yet",IF(G679="","Add - no service chosen",IF(M679="No show","No show - charge the fee?",IF(M679="Cancelled","",IF(IF(M679="Completed",AB679&lt;Y679-0.004,FALSE),"Unpaid - nothing rung up for this visit",IF(IF(B679&lt;TodayDate,M679="Booked",FALSE),"Overdue - past date, still only Booked",IF(IF(B679=TodayDate,TRUE,FALSE),"Today",IF(IF(Z679&gt;0,AA679&lt;Z679-0.004,FALSE),"Due - deposit not taken",IF(IF(B679&gt;TodayDate,B679&lt;=TodayDate+2,FALSE),"Confirm - coming up","OK")))))))))))</f>
        <v>0</v>
      </c>
    </row>
    <row r="680" spans="1:34">
      <c r="A680" s="28">
        <f>IF(B680="","",AppointmentPrefix&amp;TEXT(ROW()-4,"0000"))</f>
        <v>0</v>
      </c>
      <c r="C680" s="15">
        <f>IF(B680="","",TEXT(B680,"ddd"))</f>
        <v>0</v>
      </c>
      <c r="F680" s="15">
        <f>IF(E680="","",IFERROR(INDEX(Clients!$B$5:$B$504,MATCH(E680,Clients!$A$5:$A$504,0)),"Walk-in"))</f>
        <v>0</v>
      </c>
      <c r="H680" s="15">
        <f>IF(G680="","",IFERROR(INDEX(Services!$B$5:$B$204,MATCH(G680,Services!$A$5:$A$204,0)),"Not in Services"))</f>
        <v>0</v>
      </c>
      <c r="J680" s="15">
        <f>IF(I680="","",IFERROR(INDEX(Staff!$B$5:$B$44,MATCH(I680,Staff!$A$5:$A$44,0)),"Unassigned"))</f>
        <v>0</v>
      </c>
      <c r="S680" s="15">
        <f>IF(B680="","",TEXT(B680,"yyyy-mm"))</f>
        <v>0</v>
      </c>
      <c r="T680" s="25">
        <f>IF(B680="","",WEEKNUM(B680,2))</f>
        <v>0</v>
      </c>
      <c r="U680" s="25">
        <f>IF(B680="","",IF(K680&lt;&gt;"",K680,IFERROR(INDEX(Services!$E$5:$E$204,MATCH(G680,Services!$A$5:$A$204,0))*1,0)+IFERROR(INDEX(Services!$F$5:$F$204,MATCH(G680,Services!$A$5:$A$204,0))*1,0)))</f>
        <v>0</v>
      </c>
      <c r="V680" s="36">
        <f>IF(B680="","",IF(D680="","",D680+U680/1440))</f>
        <v>0</v>
      </c>
      <c r="W680" s="25">
        <f>IF(B680="","",IF(D680="","",HOUR(D680)))</f>
        <v>0</v>
      </c>
      <c r="X680" s="37">
        <f>IF(B680="","",ROUND(U680/60,2))</f>
        <v>0</v>
      </c>
      <c r="Y680" s="26">
        <f>IF(B680="","",IF(L680&lt;&gt;"",L680,IFERROR(INDEX(Services!$G$5:$G$204,MATCH(G680,Services!$A$5:$A$204,0))*1,0)))</f>
        <v>0</v>
      </c>
      <c r="Z680" s="26">
        <f>IF(B680="","",IF(O680&lt;&gt;"",O680,IF(Y680&gt;=DepositThreshold,ROUND(Y680*DepositPercent,2),0)))</f>
        <v>0</v>
      </c>
      <c r="AA680" s="26">
        <f>IF(B680="","",ROUND(SUMIFS(Payments!$G$5:$G$1204,Payments!$I$5:$I$1204,A680,Payments!$E$5:$E$1204,"Deposit"),2))</f>
        <v>0</v>
      </c>
      <c r="AB680" s="26">
        <f>IF(B680="","",ROUND(SUMIFS(Sales!$Y$5:$Y$1204,Sales!$C$5:$C$1204,A680),2))</f>
        <v>0</v>
      </c>
      <c r="AC680" s="38">
        <f>IF(B680="","",IF(M680="Completed","Yes",IF(M680="Cancelled","Yes",IF(M680="No show","Yes","No"))))</f>
        <v>0</v>
      </c>
      <c r="AD680" s="25">
        <f>IF(B680="","",IF(AE680="","",B680-AE680))</f>
        <v>0</v>
      </c>
      <c r="AF680" s="38">
        <f>IF(B680="","",IF(M680&lt;&gt;"Completed","",IF(E680="","No",IF(COUNTIFS(Appointments!$E$5:$E$1204,E680,Appointments!$B$5:$B$1204,"&gt;"&amp;B680,Appointments!$M$5:$M$1204,"&lt;&gt;Cancelled")&gt;0,"Yes","No"))))</f>
        <v>0</v>
      </c>
      <c r="AG680" s="38">
        <f>IF(B680="","",IF(I680="","",IF(D680="","",IF(COUNTIFS($I$5:$I$1204,I680,$B$5:$B$1204,B680,$D$5:$D$1204,"&lt;"&amp;V680,$V$5:$V$1204,"&gt;"&amp;D680,$M$5:$M$1204,"&lt;&gt;Cancelled")&gt;1,"Clash",""))))</f>
        <v>0</v>
      </c>
      <c r="AH680" s="39">
        <f>IF(B680="","",IF(AG680="Clash","Clash - stylist double booked",IF(I680="","Assign - no stylist yet",IF(G680="","Add - no service chosen",IF(M680="No show","No show - charge the fee?",IF(M680="Cancelled","",IF(IF(M680="Completed",AB680&lt;Y680-0.004,FALSE),"Unpaid - nothing rung up for this visit",IF(IF(B680&lt;TodayDate,M680="Booked",FALSE),"Overdue - past date, still only Booked",IF(IF(B680=TodayDate,TRUE,FALSE),"Today",IF(IF(Z680&gt;0,AA680&lt;Z680-0.004,FALSE),"Due - deposit not taken",IF(IF(B680&gt;TodayDate,B680&lt;=TodayDate+2,FALSE),"Confirm - coming up","OK")))))))))))</f>
        <v>0</v>
      </c>
    </row>
    <row r="681" spans="1:34">
      <c r="A681" s="28">
        <f>IF(B681="","",AppointmentPrefix&amp;TEXT(ROW()-4,"0000"))</f>
        <v>0</v>
      </c>
      <c r="C681" s="15">
        <f>IF(B681="","",TEXT(B681,"ddd"))</f>
        <v>0</v>
      </c>
      <c r="F681" s="15">
        <f>IF(E681="","",IFERROR(INDEX(Clients!$B$5:$B$504,MATCH(E681,Clients!$A$5:$A$504,0)),"Walk-in"))</f>
        <v>0</v>
      </c>
      <c r="H681" s="15">
        <f>IF(G681="","",IFERROR(INDEX(Services!$B$5:$B$204,MATCH(G681,Services!$A$5:$A$204,0)),"Not in Services"))</f>
        <v>0</v>
      </c>
      <c r="J681" s="15">
        <f>IF(I681="","",IFERROR(INDEX(Staff!$B$5:$B$44,MATCH(I681,Staff!$A$5:$A$44,0)),"Unassigned"))</f>
        <v>0</v>
      </c>
      <c r="S681" s="15">
        <f>IF(B681="","",TEXT(B681,"yyyy-mm"))</f>
        <v>0</v>
      </c>
      <c r="T681" s="25">
        <f>IF(B681="","",WEEKNUM(B681,2))</f>
        <v>0</v>
      </c>
      <c r="U681" s="25">
        <f>IF(B681="","",IF(K681&lt;&gt;"",K681,IFERROR(INDEX(Services!$E$5:$E$204,MATCH(G681,Services!$A$5:$A$204,0))*1,0)+IFERROR(INDEX(Services!$F$5:$F$204,MATCH(G681,Services!$A$5:$A$204,0))*1,0)))</f>
        <v>0</v>
      </c>
      <c r="V681" s="36">
        <f>IF(B681="","",IF(D681="","",D681+U681/1440))</f>
        <v>0</v>
      </c>
      <c r="W681" s="25">
        <f>IF(B681="","",IF(D681="","",HOUR(D681)))</f>
        <v>0</v>
      </c>
      <c r="X681" s="37">
        <f>IF(B681="","",ROUND(U681/60,2))</f>
        <v>0</v>
      </c>
      <c r="Y681" s="26">
        <f>IF(B681="","",IF(L681&lt;&gt;"",L681,IFERROR(INDEX(Services!$G$5:$G$204,MATCH(G681,Services!$A$5:$A$204,0))*1,0)))</f>
        <v>0</v>
      </c>
      <c r="Z681" s="26">
        <f>IF(B681="","",IF(O681&lt;&gt;"",O681,IF(Y681&gt;=DepositThreshold,ROUND(Y681*DepositPercent,2),0)))</f>
        <v>0</v>
      </c>
      <c r="AA681" s="26">
        <f>IF(B681="","",ROUND(SUMIFS(Payments!$G$5:$G$1204,Payments!$I$5:$I$1204,A681,Payments!$E$5:$E$1204,"Deposit"),2))</f>
        <v>0</v>
      </c>
      <c r="AB681" s="26">
        <f>IF(B681="","",ROUND(SUMIFS(Sales!$Y$5:$Y$1204,Sales!$C$5:$C$1204,A681),2))</f>
        <v>0</v>
      </c>
      <c r="AC681" s="38">
        <f>IF(B681="","",IF(M681="Completed","Yes",IF(M681="Cancelled","Yes",IF(M681="No show","Yes","No"))))</f>
        <v>0</v>
      </c>
      <c r="AD681" s="25">
        <f>IF(B681="","",IF(AE681="","",B681-AE681))</f>
        <v>0</v>
      </c>
      <c r="AF681" s="38">
        <f>IF(B681="","",IF(M681&lt;&gt;"Completed","",IF(E681="","No",IF(COUNTIFS(Appointments!$E$5:$E$1204,E681,Appointments!$B$5:$B$1204,"&gt;"&amp;B681,Appointments!$M$5:$M$1204,"&lt;&gt;Cancelled")&gt;0,"Yes","No"))))</f>
        <v>0</v>
      </c>
      <c r="AG681" s="38">
        <f>IF(B681="","",IF(I681="","",IF(D681="","",IF(COUNTIFS($I$5:$I$1204,I681,$B$5:$B$1204,B681,$D$5:$D$1204,"&lt;"&amp;V681,$V$5:$V$1204,"&gt;"&amp;D681,$M$5:$M$1204,"&lt;&gt;Cancelled")&gt;1,"Clash",""))))</f>
        <v>0</v>
      </c>
      <c r="AH681" s="39">
        <f>IF(B681="","",IF(AG681="Clash","Clash - stylist double booked",IF(I681="","Assign - no stylist yet",IF(G681="","Add - no service chosen",IF(M681="No show","No show - charge the fee?",IF(M681="Cancelled","",IF(IF(M681="Completed",AB681&lt;Y681-0.004,FALSE),"Unpaid - nothing rung up for this visit",IF(IF(B681&lt;TodayDate,M681="Booked",FALSE),"Overdue - past date, still only Booked",IF(IF(B681=TodayDate,TRUE,FALSE),"Today",IF(IF(Z681&gt;0,AA681&lt;Z681-0.004,FALSE),"Due - deposit not taken",IF(IF(B681&gt;TodayDate,B681&lt;=TodayDate+2,FALSE),"Confirm - coming up","OK")))))))))))</f>
        <v>0</v>
      </c>
    </row>
    <row r="682" spans="1:34">
      <c r="A682" s="28">
        <f>IF(B682="","",AppointmentPrefix&amp;TEXT(ROW()-4,"0000"))</f>
        <v>0</v>
      </c>
      <c r="C682" s="15">
        <f>IF(B682="","",TEXT(B682,"ddd"))</f>
        <v>0</v>
      </c>
      <c r="F682" s="15">
        <f>IF(E682="","",IFERROR(INDEX(Clients!$B$5:$B$504,MATCH(E682,Clients!$A$5:$A$504,0)),"Walk-in"))</f>
        <v>0</v>
      </c>
      <c r="H682" s="15">
        <f>IF(G682="","",IFERROR(INDEX(Services!$B$5:$B$204,MATCH(G682,Services!$A$5:$A$204,0)),"Not in Services"))</f>
        <v>0</v>
      </c>
      <c r="J682" s="15">
        <f>IF(I682="","",IFERROR(INDEX(Staff!$B$5:$B$44,MATCH(I682,Staff!$A$5:$A$44,0)),"Unassigned"))</f>
        <v>0</v>
      </c>
      <c r="S682" s="15">
        <f>IF(B682="","",TEXT(B682,"yyyy-mm"))</f>
        <v>0</v>
      </c>
      <c r="T682" s="25">
        <f>IF(B682="","",WEEKNUM(B682,2))</f>
        <v>0</v>
      </c>
      <c r="U682" s="25">
        <f>IF(B682="","",IF(K682&lt;&gt;"",K682,IFERROR(INDEX(Services!$E$5:$E$204,MATCH(G682,Services!$A$5:$A$204,0))*1,0)+IFERROR(INDEX(Services!$F$5:$F$204,MATCH(G682,Services!$A$5:$A$204,0))*1,0)))</f>
        <v>0</v>
      </c>
      <c r="V682" s="36">
        <f>IF(B682="","",IF(D682="","",D682+U682/1440))</f>
        <v>0</v>
      </c>
      <c r="W682" s="25">
        <f>IF(B682="","",IF(D682="","",HOUR(D682)))</f>
        <v>0</v>
      </c>
      <c r="X682" s="37">
        <f>IF(B682="","",ROUND(U682/60,2))</f>
        <v>0</v>
      </c>
      <c r="Y682" s="26">
        <f>IF(B682="","",IF(L682&lt;&gt;"",L682,IFERROR(INDEX(Services!$G$5:$G$204,MATCH(G682,Services!$A$5:$A$204,0))*1,0)))</f>
        <v>0</v>
      </c>
      <c r="Z682" s="26">
        <f>IF(B682="","",IF(O682&lt;&gt;"",O682,IF(Y682&gt;=DepositThreshold,ROUND(Y682*DepositPercent,2),0)))</f>
        <v>0</v>
      </c>
      <c r="AA682" s="26">
        <f>IF(B682="","",ROUND(SUMIFS(Payments!$G$5:$G$1204,Payments!$I$5:$I$1204,A682,Payments!$E$5:$E$1204,"Deposit"),2))</f>
        <v>0</v>
      </c>
      <c r="AB682" s="26">
        <f>IF(B682="","",ROUND(SUMIFS(Sales!$Y$5:$Y$1204,Sales!$C$5:$C$1204,A682),2))</f>
        <v>0</v>
      </c>
      <c r="AC682" s="38">
        <f>IF(B682="","",IF(M682="Completed","Yes",IF(M682="Cancelled","Yes",IF(M682="No show","Yes","No"))))</f>
        <v>0</v>
      </c>
      <c r="AD682" s="25">
        <f>IF(B682="","",IF(AE682="","",B682-AE682))</f>
        <v>0</v>
      </c>
      <c r="AF682" s="38">
        <f>IF(B682="","",IF(M682&lt;&gt;"Completed","",IF(E682="","No",IF(COUNTIFS(Appointments!$E$5:$E$1204,E682,Appointments!$B$5:$B$1204,"&gt;"&amp;B682,Appointments!$M$5:$M$1204,"&lt;&gt;Cancelled")&gt;0,"Yes","No"))))</f>
        <v>0</v>
      </c>
      <c r="AG682" s="38">
        <f>IF(B682="","",IF(I682="","",IF(D682="","",IF(COUNTIFS($I$5:$I$1204,I682,$B$5:$B$1204,B682,$D$5:$D$1204,"&lt;"&amp;V682,$V$5:$V$1204,"&gt;"&amp;D682,$M$5:$M$1204,"&lt;&gt;Cancelled")&gt;1,"Clash",""))))</f>
        <v>0</v>
      </c>
      <c r="AH682" s="39">
        <f>IF(B682="","",IF(AG682="Clash","Clash - stylist double booked",IF(I682="","Assign - no stylist yet",IF(G682="","Add - no service chosen",IF(M682="No show","No show - charge the fee?",IF(M682="Cancelled","",IF(IF(M682="Completed",AB682&lt;Y682-0.004,FALSE),"Unpaid - nothing rung up for this visit",IF(IF(B682&lt;TodayDate,M682="Booked",FALSE),"Overdue - past date, still only Booked",IF(IF(B682=TodayDate,TRUE,FALSE),"Today",IF(IF(Z682&gt;0,AA682&lt;Z682-0.004,FALSE),"Due - deposit not taken",IF(IF(B682&gt;TodayDate,B682&lt;=TodayDate+2,FALSE),"Confirm - coming up","OK")))))))))))</f>
        <v>0</v>
      </c>
    </row>
    <row r="683" spans="1:34">
      <c r="A683" s="28">
        <f>IF(B683="","",AppointmentPrefix&amp;TEXT(ROW()-4,"0000"))</f>
        <v>0</v>
      </c>
      <c r="C683" s="15">
        <f>IF(B683="","",TEXT(B683,"ddd"))</f>
        <v>0</v>
      </c>
      <c r="F683" s="15">
        <f>IF(E683="","",IFERROR(INDEX(Clients!$B$5:$B$504,MATCH(E683,Clients!$A$5:$A$504,0)),"Walk-in"))</f>
        <v>0</v>
      </c>
      <c r="H683" s="15">
        <f>IF(G683="","",IFERROR(INDEX(Services!$B$5:$B$204,MATCH(G683,Services!$A$5:$A$204,0)),"Not in Services"))</f>
        <v>0</v>
      </c>
      <c r="J683" s="15">
        <f>IF(I683="","",IFERROR(INDEX(Staff!$B$5:$B$44,MATCH(I683,Staff!$A$5:$A$44,0)),"Unassigned"))</f>
        <v>0</v>
      </c>
      <c r="S683" s="15">
        <f>IF(B683="","",TEXT(B683,"yyyy-mm"))</f>
        <v>0</v>
      </c>
      <c r="T683" s="25">
        <f>IF(B683="","",WEEKNUM(B683,2))</f>
        <v>0</v>
      </c>
      <c r="U683" s="25">
        <f>IF(B683="","",IF(K683&lt;&gt;"",K683,IFERROR(INDEX(Services!$E$5:$E$204,MATCH(G683,Services!$A$5:$A$204,0))*1,0)+IFERROR(INDEX(Services!$F$5:$F$204,MATCH(G683,Services!$A$5:$A$204,0))*1,0)))</f>
        <v>0</v>
      </c>
      <c r="V683" s="36">
        <f>IF(B683="","",IF(D683="","",D683+U683/1440))</f>
        <v>0</v>
      </c>
      <c r="W683" s="25">
        <f>IF(B683="","",IF(D683="","",HOUR(D683)))</f>
        <v>0</v>
      </c>
      <c r="X683" s="37">
        <f>IF(B683="","",ROUND(U683/60,2))</f>
        <v>0</v>
      </c>
      <c r="Y683" s="26">
        <f>IF(B683="","",IF(L683&lt;&gt;"",L683,IFERROR(INDEX(Services!$G$5:$G$204,MATCH(G683,Services!$A$5:$A$204,0))*1,0)))</f>
        <v>0</v>
      </c>
      <c r="Z683" s="26">
        <f>IF(B683="","",IF(O683&lt;&gt;"",O683,IF(Y683&gt;=DepositThreshold,ROUND(Y683*DepositPercent,2),0)))</f>
        <v>0</v>
      </c>
      <c r="AA683" s="26">
        <f>IF(B683="","",ROUND(SUMIFS(Payments!$G$5:$G$1204,Payments!$I$5:$I$1204,A683,Payments!$E$5:$E$1204,"Deposit"),2))</f>
        <v>0</v>
      </c>
      <c r="AB683" s="26">
        <f>IF(B683="","",ROUND(SUMIFS(Sales!$Y$5:$Y$1204,Sales!$C$5:$C$1204,A683),2))</f>
        <v>0</v>
      </c>
      <c r="AC683" s="38">
        <f>IF(B683="","",IF(M683="Completed","Yes",IF(M683="Cancelled","Yes",IF(M683="No show","Yes","No"))))</f>
        <v>0</v>
      </c>
      <c r="AD683" s="25">
        <f>IF(B683="","",IF(AE683="","",B683-AE683))</f>
        <v>0</v>
      </c>
      <c r="AF683" s="38">
        <f>IF(B683="","",IF(M683&lt;&gt;"Completed","",IF(E683="","No",IF(COUNTIFS(Appointments!$E$5:$E$1204,E683,Appointments!$B$5:$B$1204,"&gt;"&amp;B683,Appointments!$M$5:$M$1204,"&lt;&gt;Cancelled")&gt;0,"Yes","No"))))</f>
        <v>0</v>
      </c>
      <c r="AG683" s="38">
        <f>IF(B683="","",IF(I683="","",IF(D683="","",IF(COUNTIFS($I$5:$I$1204,I683,$B$5:$B$1204,B683,$D$5:$D$1204,"&lt;"&amp;V683,$V$5:$V$1204,"&gt;"&amp;D683,$M$5:$M$1204,"&lt;&gt;Cancelled")&gt;1,"Clash",""))))</f>
        <v>0</v>
      </c>
      <c r="AH683" s="39">
        <f>IF(B683="","",IF(AG683="Clash","Clash - stylist double booked",IF(I683="","Assign - no stylist yet",IF(G683="","Add - no service chosen",IF(M683="No show","No show - charge the fee?",IF(M683="Cancelled","",IF(IF(M683="Completed",AB683&lt;Y683-0.004,FALSE),"Unpaid - nothing rung up for this visit",IF(IF(B683&lt;TodayDate,M683="Booked",FALSE),"Overdue - past date, still only Booked",IF(IF(B683=TodayDate,TRUE,FALSE),"Today",IF(IF(Z683&gt;0,AA683&lt;Z683-0.004,FALSE),"Due - deposit not taken",IF(IF(B683&gt;TodayDate,B683&lt;=TodayDate+2,FALSE),"Confirm - coming up","OK")))))))))))</f>
        <v>0</v>
      </c>
    </row>
    <row r="684" spans="1:34">
      <c r="A684" s="28">
        <f>IF(B684="","",AppointmentPrefix&amp;TEXT(ROW()-4,"0000"))</f>
        <v>0</v>
      </c>
      <c r="C684" s="15">
        <f>IF(B684="","",TEXT(B684,"ddd"))</f>
        <v>0</v>
      </c>
      <c r="F684" s="15">
        <f>IF(E684="","",IFERROR(INDEX(Clients!$B$5:$B$504,MATCH(E684,Clients!$A$5:$A$504,0)),"Walk-in"))</f>
        <v>0</v>
      </c>
      <c r="H684" s="15">
        <f>IF(G684="","",IFERROR(INDEX(Services!$B$5:$B$204,MATCH(G684,Services!$A$5:$A$204,0)),"Not in Services"))</f>
        <v>0</v>
      </c>
      <c r="J684" s="15">
        <f>IF(I684="","",IFERROR(INDEX(Staff!$B$5:$B$44,MATCH(I684,Staff!$A$5:$A$44,0)),"Unassigned"))</f>
        <v>0</v>
      </c>
      <c r="S684" s="15">
        <f>IF(B684="","",TEXT(B684,"yyyy-mm"))</f>
        <v>0</v>
      </c>
      <c r="T684" s="25">
        <f>IF(B684="","",WEEKNUM(B684,2))</f>
        <v>0</v>
      </c>
      <c r="U684" s="25">
        <f>IF(B684="","",IF(K684&lt;&gt;"",K684,IFERROR(INDEX(Services!$E$5:$E$204,MATCH(G684,Services!$A$5:$A$204,0))*1,0)+IFERROR(INDEX(Services!$F$5:$F$204,MATCH(G684,Services!$A$5:$A$204,0))*1,0)))</f>
        <v>0</v>
      </c>
      <c r="V684" s="36">
        <f>IF(B684="","",IF(D684="","",D684+U684/1440))</f>
        <v>0</v>
      </c>
      <c r="W684" s="25">
        <f>IF(B684="","",IF(D684="","",HOUR(D684)))</f>
        <v>0</v>
      </c>
      <c r="X684" s="37">
        <f>IF(B684="","",ROUND(U684/60,2))</f>
        <v>0</v>
      </c>
      <c r="Y684" s="26">
        <f>IF(B684="","",IF(L684&lt;&gt;"",L684,IFERROR(INDEX(Services!$G$5:$G$204,MATCH(G684,Services!$A$5:$A$204,0))*1,0)))</f>
        <v>0</v>
      </c>
      <c r="Z684" s="26">
        <f>IF(B684="","",IF(O684&lt;&gt;"",O684,IF(Y684&gt;=DepositThreshold,ROUND(Y684*DepositPercent,2),0)))</f>
        <v>0</v>
      </c>
      <c r="AA684" s="26">
        <f>IF(B684="","",ROUND(SUMIFS(Payments!$G$5:$G$1204,Payments!$I$5:$I$1204,A684,Payments!$E$5:$E$1204,"Deposit"),2))</f>
        <v>0</v>
      </c>
      <c r="AB684" s="26">
        <f>IF(B684="","",ROUND(SUMIFS(Sales!$Y$5:$Y$1204,Sales!$C$5:$C$1204,A684),2))</f>
        <v>0</v>
      </c>
      <c r="AC684" s="38">
        <f>IF(B684="","",IF(M684="Completed","Yes",IF(M684="Cancelled","Yes",IF(M684="No show","Yes","No"))))</f>
        <v>0</v>
      </c>
      <c r="AD684" s="25">
        <f>IF(B684="","",IF(AE684="","",B684-AE684))</f>
        <v>0</v>
      </c>
      <c r="AF684" s="38">
        <f>IF(B684="","",IF(M684&lt;&gt;"Completed","",IF(E684="","No",IF(COUNTIFS(Appointments!$E$5:$E$1204,E684,Appointments!$B$5:$B$1204,"&gt;"&amp;B684,Appointments!$M$5:$M$1204,"&lt;&gt;Cancelled")&gt;0,"Yes","No"))))</f>
        <v>0</v>
      </c>
      <c r="AG684" s="38">
        <f>IF(B684="","",IF(I684="","",IF(D684="","",IF(COUNTIFS($I$5:$I$1204,I684,$B$5:$B$1204,B684,$D$5:$D$1204,"&lt;"&amp;V684,$V$5:$V$1204,"&gt;"&amp;D684,$M$5:$M$1204,"&lt;&gt;Cancelled")&gt;1,"Clash",""))))</f>
        <v>0</v>
      </c>
      <c r="AH684" s="39">
        <f>IF(B684="","",IF(AG684="Clash","Clash - stylist double booked",IF(I684="","Assign - no stylist yet",IF(G684="","Add - no service chosen",IF(M684="No show","No show - charge the fee?",IF(M684="Cancelled","",IF(IF(M684="Completed",AB684&lt;Y684-0.004,FALSE),"Unpaid - nothing rung up for this visit",IF(IF(B684&lt;TodayDate,M684="Booked",FALSE),"Overdue - past date, still only Booked",IF(IF(B684=TodayDate,TRUE,FALSE),"Today",IF(IF(Z684&gt;0,AA684&lt;Z684-0.004,FALSE),"Due - deposit not taken",IF(IF(B684&gt;TodayDate,B684&lt;=TodayDate+2,FALSE),"Confirm - coming up","OK")))))))))))</f>
        <v>0</v>
      </c>
    </row>
    <row r="685" spans="1:34">
      <c r="A685" s="28">
        <f>IF(B685="","",AppointmentPrefix&amp;TEXT(ROW()-4,"0000"))</f>
        <v>0</v>
      </c>
      <c r="C685" s="15">
        <f>IF(B685="","",TEXT(B685,"ddd"))</f>
        <v>0</v>
      </c>
      <c r="F685" s="15">
        <f>IF(E685="","",IFERROR(INDEX(Clients!$B$5:$B$504,MATCH(E685,Clients!$A$5:$A$504,0)),"Walk-in"))</f>
        <v>0</v>
      </c>
      <c r="H685" s="15">
        <f>IF(G685="","",IFERROR(INDEX(Services!$B$5:$B$204,MATCH(G685,Services!$A$5:$A$204,0)),"Not in Services"))</f>
        <v>0</v>
      </c>
      <c r="J685" s="15">
        <f>IF(I685="","",IFERROR(INDEX(Staff!$B$5:$B$44,MATCH(I685,Staff!$A$5:$A$44,0)),"Unassigned"))</f>
        <v>0</v>
      </c>
      <c r="S685" s="15">
        <f>IF(B685="","",TEXT(B685,"yyyy-mm"))</f>
        <v>0</v>
      </c>
      <c r="T685" s="25">
        <f>IF(B685="","",WEEKNUM(B685,2))</f>
        <v>0</v>
      </c>
      <c r="U685" s="25">
        <f>IF(B685="","",IF(K685&lt;&gt;"",K685,IFERROR(INDEX(Services!$E$5:$E$204,MATCH(G685,Services!$A$5:$A$204,0))*1,0)+IFERROR(INDEX(Services!$F$5:$F$204,MATCH(G685,Services!$A$5:$A$204,0))*1,0)))</f>
        <v>0</v>
      </c>
      <c r="V685" s="36">
        <f>IF(B685="","",IF(D685="","",D685+U685/1440))</f>
        <v>0</v>
      </c>
      <c r="W685" s="25">
        <f>IF(B685="","",IF(D685="","",HOUR(D685)))</f>
        <v>0</v>
      </c>
      <c r="X685" s="37">
        <f>IF(B685="","",ROUND(U685/60,2))</f>
        <v>0</v>
      </c>
      <c r="Y685" s="26">
        <f>IF(B685="","",IF(L685&lt;&gt;"",L685,IFERROR(INDEX(Services!$G$5:$G$204,MATCH(G685,Services!$A$5:$A$204,0))*1,0)))</f>
        <v>0</v>
      </c>
      <c r="Z685" s="26">
        <f>IF(B685="","",IF(O685&lt;&gt;"",O685,IF(Y685&gt;=DepositThreshold,ROUND(Y685*DepositPercent,2),0)))</f>
        <v>0</v>
      </c>
      <c r="AA685" s="26">
        <f>IF(B685="","",ROUND(SUMIFS(Payments!$G$5:$G$1204,Payments!$I$5:$I$1204,A685,Payments!$E$5:$E$1204,"Deposit"),2))</f>
        <v>0</v>
      </c>
      <c r="AB685" s="26">
        <f>IF(B685="","",ROUND(SUMIFS(Sales!$Y$5:$Y$1204,Sales!$C$5:$C$1204,A685),2))</f>
        <v>0</v>
      </c>
      <c r="AC685" s="38">
        <f>IF(B685="","",IF(M685="Completed","Yes",IF(M685="Cancelled","Yes",IF(M685="No show","Yes","No"))))</f>
        <v>0</v>
      </c>
      <c r="AD685" s="25">
        <f>IF(B685="","",IF(AE685="","",B685-AE685))</f>
        <v>0</v>
      </c>
      <c r="AF685" s="38">
        <f>IF(B685="","",IF(M685&lt;&gt;"Completed","",IF(E685="","No",IF(COUNTIFS(Appointments!$E$5:$E$1204,E685,Appointments!$B$5:$B$1204,"&gt;"&amp;B685,Appointments!$M$5:$M$1204,"&lt;&gt;Cancelled")&gt;0,"Yes","No"))))</f>
        <v>0</v>
      </c>
      <c r="AG685" s="38">
        <f>IF(B685="","",IF(I685="","",IF(D685="","",IF(COUNTIFS($I$5:$I$1204,I685,$B$5:$B$1204,B685,$D$5:$D$1204,"&lt;"&amp;V685,$V$5:$V$1204,"&gt;"&amp;D685,$M$5:$M$1204,"&lt;&gt;Cancelled")&gt;1,"Clash",""))))</f>
        <v>0</v>
      </c>
      <c r="AH685" s="39">
        <f>IF(B685="","",IF(AG685="Clash","Clash - stylist double booked",IF(I685="","Assign - no stylist yet",IF(G685="","Add - no service chosen",IF(M685="No show","No show - charge the fee?",IF(M685="Cancelled","",IF(IF(M685="Completed",AB685&lt;Y685-0.004,FALSE),"Unpaid - nothing rung up for this visit",IF(IF(B685&lt;TodayDate,M685="Booked",FALSE),"Overdue - past date, still only Booked",IF(IF(B685=TodayDate,TRUE,FALSE),"Today",IF(IF(Z685&gt;0,AA685&lt;Z685-0.004,FALSE),"Due - deposit not taken",IF(IF(B685&gt;TodayDate,B685&lt;=TodayDate+2,FALSE),"Confirm - coming up","OK")))))))))))</f>
        <v>0</v>
      </c>
    </row>
    <row r="686" spans="1:34">
      <c r="A686" s="28">
        <f>IF(B686="","",AppointmentPrefix&amp;TEXT(ROW()-4,"0000"))</f>
        <v>0</v>
      </c>
      <c r="C686" s="15">
        <f>IF(B686="","",TEXT(B686,"ddd"))</f>
        <v>0</v>
      </c>
      <c r="F686" s="15">
        <f>IF(E686="","",IFERROR(INDEX(Clients!$B$5:$B$504,MATCH(E686,Clients!$A$5:$A$504,0)),"Walk-in"))</f>
        <v>0</v>
      </c>
      <c r="H686" s="15">
        <f>IF(G686="","",IFERROR(INDEX(Services!$B$5:$B$204,MATCH(G686,Services!$A$5:$A$204,0)),"Not in Services"))</f>
        <v>0</v>
      </c>
      <c r="J686" s="15">
        <f>IF(I686="","",IFERROR(INDEX(Staff!$B$5:$B$44,MATCH(I686,Staff!$A$5:$A$44,0)),"Unassigned"))</f>
        <v>0</v>
      </c>
      <c r="S686" s="15">
        <f>IF(B686="","",TEXT(B686,"yyyy-mm"))</f>
        <v>0</v>
      </c>
      <c r="T686" s="25">
        <f>IF(B686="","",WEEKNUM(B686,2))</f>
        <v>0</v>
      </c>
      <c r="U686" s="25">
        <f>IF(B686="","",IF(K686&lt;&gt;"",K686,IFERROR(INDEX(Services!$E$5:$E$204,MATCH(G686,Services!$A$5:$A$204,0))*1,0)+IFERROR(INDEX(Services!$F$5:$F$204,MATCH(G686,Services!$A$5:$A$204,0))*1,0)))</f>
        <v>0</v>
      </c>
      <c r="V686" s="36">
        <f>IF(B686="","",IF(D686="","",D686+U686/1440))</f>
        <v>0</v>
      </c>
      <c r="W686" s="25">
        <f>IF(B686="","",IF(D686="","",HOUR(D686)))</f>
        <v>0</v>
      </c>
      <c r="X686" s="37">
        <f>IF(B686="","",ROUND(U686/60,2))</f>
        <v>0</v>
      </c>
      <c r="Y686" s="26">
        <f>IF(B686="","",IF(L686&lt;&gt;"",L686,IFERROR(INDEX(Services!$G$5:$G$204,MATCH(G686,Services!$A$5:$A$204,0))*1,0)))</f>
        <v>0</v>
      </c>
      <c r="Z686" s="26">
        <f>IF(B686="","",IF(O686&lt;&gt;"",O686,IF(Y686&gt;=DepositThreshold,ROUND(Y686*DepositPercent,2),0)))</f>
        <v>0</v>
      </c>
      <c r="AA686" s="26">
        <f>IF(B686="","",ROUND(SUMIFS(Payments!$G$5:$G$1204,Payments!$I$5:$I$1204,A686,Payments!$E$5:$E$1204,"Deposit"),2))</f>
        <v>0</v>
      </c>
      <c r="AB686" s="26">
        <f>IF(B686="","",ROUND(SUMIFS(Sales!$Y$5:$Y$1204,Sales!$C$5:$C$1204,A686),2))</f>
        <v>0</v>
      </c>
      <c r="AC686" s="38">
        <f>IF(B686="","",IF(M686="Completed","Yes",IF(M686="Cancelled","Yes",IF(M686="No show","Yes","No"))))</f>
        <v>0</v>
      </c>
      <c r="AD686" s="25">
        <f>IF(B686="","",IF(AE686="","",B686-AE686))</f>
        <v>0</v>
      </c>
      <c r="AF686" s="38">
        <f>IF(B686="","",IF(M686&lt;&gt;"Completed","",IF(E686="","No",IF(COUNTIFS(Appointments!$E$5:$E$1204,E686,Appointments!$B$5:$B$1204,"&gt;"&amp;B686,Appointments!$M$5:$M$1204,"&lt;&gt;Cancelled")&gt;0,"Yes","No"))))</f>
        <v>0</v>
      </c>
      <c r="AG686" s="38">
        <f>IF(B686="","",IF(I686="","",IF(D686="","",IF(COUNTIFS($I$5:$I$1204,I686,$B$5:$B$1204,B686,$D$5:$D$1204,"&lt;"&amp;V686,$V$5:$V$1204,"&gt;"&amp;D686,$M$5:$M$1204,"&lt;&gt;Cancelled")&gt;1,"Clash",""))))</f>
        <v>0</v>
      </c>
      <c r="AH686" s="39">
        <f>IF(B686="","",IF(AG686="Clash","Clash - stylist double booked",IF(I686="","Assign - no stylist yet",IF(G686="","Add - no service chosen",IF(M686="No show","No show - charge the fee?",IF(M686="Cancelled","",IF(IF(M686="Completed",AB686&lt;Y686-0.004,FALSE),"Unpaid - nothing rung up for this visit",IF(IF(B686&lt;TodayDate,M686="Booked",FALSE),"Overdue - past date, still only Booked",IF(IF(B686=TodayDate,TRUE,FALSE),"Today",IF(IF(Z686&gt;0,AA686&lt;Z686-0.004,FALSE),"Due - deposit not taken",IF(IF(B686&gt;TodayDate,B686&lt;=TodayDate+2,FALSE),"Confirm - coming up","OK")))))))))))</f>
        <v>0</v>
      </c>
    </row>
    <row r="687" spans="1:34">
      <c r="A687" s="28">
        <f>IF(B687="","",AppointmentPrefix&amp;TEXT(ROW()-4,"0000"))</f>
        <v>0</v>
      </c>
      <c r="C687" s="15">
        <f>IF(B687="","",TEXT(B687,"ddd"))</f>
        <v>0</v>
      </c>
      <c r="F687" s="15">
        <f>IF(E687="","",IFERROR(INDEX(Clients!$B$5:$B$504,MATCH(E687,Clients!$A$5:$A$504,0)),"Walk-in"))</f>
        <v>0</v>
      </c>
      <c r="H687" s="15">
        <f>IF(G687="","",IFERROR(INDEX(Services!$B$5:$B$204,MATCH(G687,Services!$A$5:$A$204,0)),"Not in Services"))</f>
        <v>0</v>
      </c>
      <c r="J687" s="15">
        <f>IF(I687="","",IFERROR(INDEX(Staff!$B$5:$B$44,MATCH(I687,Staff!$A$5:$A$44,0)),"Unassigned"))</f>
        <v>0</v>
      </c>
      <c r="S687" s="15">
        <f>IF(B687="","",TEXT(B687,"yyyy-mm"))</f>
        <v>0</v>
      </c>
      <c r="T687" s="25">
        <f>IF(B687="","",WEEKNUM(B687,2))</f>
        <v>0</v>
      </c>
      <c r="U687" s="25">
        <f>IF(B687="","",IF(K687&lt;&gt;"",K687,IFERROR(INDEX(Services!$E$5:$E$204,MATCH(G687,Services!$A$5:$A$204,0))*1,0)+IFERROR(INDEX(Services!$F$5:$F$204,MATCH(G687,Services!$A$5:$A$204,0))*1,0)))</f>
        <v>0</v>
      </c>
      <c r="V687" s="36">
        <f>IF(B687="","",IF(D687="","",D687+U687/1440))</f>
        <v>0</v>
      </c>
      <c r="W687" s="25">
        <f>IF(B687="","",IF(D687="","",HOUR(D687)))</f>
        <v>0</v>
      </c>
      <c r="X687" s="37">
        <f>IF(B687="","",ROUND(U687/60,2))</f>
        <v>0</v>
      </c>
      <c r="Y687" s="26">
        <f>IF(B687="","",IF(L687&lt;&gt;"",L687,IFERROR(INDEX(Services!$G$5:$G$204,MATCH(G687,Services!$A$5:$A$204,0))*1,0)))</f>
        <v>0</v>
      </c>
      <c r="Z687" s="26">
        <f>IF(B687="","",IF(O687&lt;&gt;"",O687,IF(Y687&gt;=DepositThreshold,ROUND(Y687*DepositPercent,2),0)))</f>
        <v>0</v>
      </c>
      <c r="AA687" s="26">
        <f>IF(B687="","",ROUND(SUMIFS(Payments!$G$5:$G$1204,Payments!$I$5:$I$1204,A687,Payments!$E$5:$E$1204,"Deposit"),2))</f>
        <v>0</v>
      </c>
      <c r="AB687" s="26">
        <f>IF(B687="","",ROUND(SUMIFS(Sales!$Y$5:$Y$1204,Sales!$C$5:$C$1204,A687),2))</f>
        <v>0</v>
      </c>
      <c r="AC687" s="38">
        <f>IF(B687="","",IF(M687="Completed","Yes",IF(M687="Cancelled","Yes",IF(M687="No show","Yes","No"))))</f>
        <v>0</v>
      </c>
      <c r="AD687" s="25">
        <f>IF(B687="","",IF(AE687="","",B687-AE687))</f>
        <v>0</v>
      </c>
      <c r="AF687" s="38">
        <f>IF(B687="","",IF(M687&lt;&gt;"Completed","",IF(E687="","No",IF(COUNTIFS(Appointments!$E$5:$E$1204,E687,Appointments!$B$5:$B$1204,"&gt;"&amp;B687,Appointments!$M$5:$M$1204,"&lt;&gt;Cancelled")&gt;0,"Yes","No"))))</f>
        <v>0</v>
      </c>
      <c r="AG687" s="38">
        <f>IF(B687="","",IF(I687="","",IF(D687="","",IF(COUNTIFS($I$5:$I$1204,I687,$B$5:$B$1204,B687,$D$5:$D$1204,"&lt;"&amp;V687,$V$5:$V$1204,"&gt;"&amp;D687,$M$5:$M$1204,"&lt;&gt;Cancelled")&gt;1,"Clash",""))))</f>
        <v>0</v>
      </c>
      <c r="AH687" s="39">
        <f>IF(B687="","",IF(AG687="Clash","Clash - stylist double booked",IF(I687="","Assign - no stylist yet",IF(G687="","Add - no service chosen",IF(M687="No show","No show - charge the fee?",IF(M687="Cancelled","",IF(IF(M687="Completed",AB687&lt;Y687-0.004,FALSE),"Unpaid - nothing rung up for this visit",IF(IF(B687&lt;TodayDate,M687="Booked",FALSE),"Overdue - past date, still only Booked",IF(IF(B687=TodayDate,TRUE,FALSE),"Today",IF(IF(Z687&gt;0,AA687&lt;Z687-0.004,FALSE),"Due - deposit not taken",IF(IF(B687&gt;TodayDate,B687&lt;=TodayDate+2,FALSE),"Confirm - coming up","OK")))))))))))</f>
        <v>0</v>
      </c>
    </row>
    <row r="688" spans="1:34">
      <c r="A688" s="28">
        <f>IF(B688="","",AppointmentPrefix&amp;TEXT(ROW()-4,"0000"))</f>
        <v>0</v>
      </c>
      <c r="C688" s="15">
        <f>IF(B688="","",TEXT(B688,"ddd"))</f>
        <v>0</v>
      </c>
      <c r="F688" s="15">
        <f>IF(E688="","",IFERROR(INDEX(Clients!$B$5:$B$504,MATCH(E688,Clients!$A$5:$A$504,0)),"Walk-in"))</f>
        <v>0</v>
      </c>
      <c r="H688" s="15">
        <f>IF(G688="","",IFERROR(INDEX(Services!$B$5:$B$204,MATCH(G688,Services!$A$5:$A$204,0)),"Not in Services"))</f>
        <v>0</v>
      </c>
      <c r="J688" s="15">
        <f>IF(I688="","",IFERROR(INDEX(Staff!$B$5:$B$44,MATCH(I688,Staff!$A$5:$A$44,0)),"Unassigned"))</f>
        <v>0</v>
      </c>
      <c r="S688" s="15">
        <f>IF(B688="","",TEXT(B688,"yyyy-mm"))</f>
        <v>0</v>
      </c>
      <c r="T688" s="25">
        <f>IF(B688="","",WEEKNUM(B688,2))</f>
        <v>0</v>
      </c>
      <c r="U688" s="25">
        <f>IF(B688="","",IF(K688&lt;&gt;"",K688,IFERROR(INDEX(Services!$E$5:$E$204,MATCH(G688,Services!$A$5:$A$204,0))*1,0)+IFERROR(INDEX(Services!$F$5:$F$204,MATCH(G688,Services!$A$5:$A$204,0))*1,0)))</f>
        <v>0</v>
      </c>
      <c r="V688" s="36">
        <f>IF(B688="","",IF(D688="","",D688+U688/1440))</f>
        <v>0</v>
      </c>
      <c r="W688" s="25">
        <f>IF(B688="","",IF(D688="","",HOUR(D688)))</f>
        <v>0</v>
      </c>
      <c r="X688" s="37">
        <f>IF(B688="","",ROUND(U688/60,2))</f>
        <v>0</v>
      </c>
      <c r="Y688" s="26">
        <f>IF(B688="","",IF(L688&lt;&gt;"",L688,IFERROR(INDEX(Services!$G$5:$G$204,MATCH(G688,Services!$A$5:$A$204,0))*1,0)))</f>
        <v>0</v>
      </c>
      <c r="Z688" s="26">
        <f>IF(B688="","",IF(O688&lt;&gt;"",O688,IF(Y688&gt;=DepositThreshold,ROUND(Y688*DepositPercent,2),0)))</f>
        <v>0</v>
      </c>
      <c r="AA688" s="26">
        <f>IF(B688="","",ROUND(SUMIFS(Payments!$G$5:$G$1204,Payments!$I$5:$I$1204,A688,Payments!$E$5:$E$1204,"Deposit"),2))</f>
        <v>0</v>
      </c>
      <c r="AB688" s="26">
        <f>IF(B688="","",ROUND(SUMIFS(Sales!$Y$5:$Y$1204,Sales!$C$5:$C$1204,A688),2))</f>
        <v>0</v>
      </c>
      <c r="AC688" s="38">
        <f>IF(B688="","",IF(M688="Completed","Yes",IF(M688="Cancelled","Yes",IF(M688="No show","Yes","No"))))</f>
        <v>0</v>
      </c>
      <c r="AD688" s="25">
        <f>IF(B688="","",IF(AE688="","",B688-AE688))</f>
        <v>0</v>
      </c>
      <c r="AF688" s="38">
        <f>IF(B688="","",IF(M688&lt;&gt;"Completed","",IF(E688="","No",IF(COUNTIFS(Appointments!$E$5:$E$1204,E688,Appointments!$B$5:$B$1204,"&gt;"&amp;B688,Appointments!$M$5:$M$1204,"&lt;&gt;Cancelled")&gt;0,"Yes","No"))))</f>
        <v>0</v>
      </c>
      <c r="AG688" s="38">
        <f>IF(B688="","",IF(I688="","",IF(D688="","",IF(COUNTIFS($I$5:$I$1204,I688,$B$5:$B$1204,B688,$D$5:$D$1204,"&lt;"&amp;V688,$V$5:$V$1204,"&gt;"&amp;D688,$M$5:$M$1204,"&lt;&gt;Cancelled")&gt;1,"Clash",""))))</f>
        <v>0</v>
      </c>
      <c r="AH688" s="39">
        <f>IF(B688="","",IF(AG688="Clash","Clash - stylist double booked",IF(I688="","Assign - no stylist yet",IF(G688="","Add - no service chosen",IF(M688="No show","No show - charge the fee?",IF(M688="Cancelled","",IF(IF(M688="Completed",AB688&lt;Y688-0.004,FALSE),"Unpaid - nothing rung up for this visit",IF(IF(B688&lt;TodayDate,M688="Booked",FALSE),"Overdue - past date, still only Booked",IF(IF(B688=TodayDate,TRUE,FALSE),"Today",IF(IF(Z688&gt;0,AA688&lt;Z688-0.004,FALSE),"Due - deposit not taken",IF(IF(B688&gt;TodayDate,B688&lt;=TodayDate+2,FALSE),"Confirm - coming up","OK")))))))))))</f>
        <v>0</v>
      </c>
    </row>
    <row r="689" spans="1:34">
      <c r="A689" s="28">
        <f>IF(B689="","",AppointmentPrefix&amp;TEXT(ROW()-4,"0000"))</f>
        <v>0</v>
      </c>
      <c r="C689" s="15">
        <f>IF(B689="","",TEXT(B689,"ddd"))</f>
        <v>0</v>
      </c>
      <c r="F689" s="15">
        <f>IF(E689="","",IFERROR(INDEX(Clients!$B$5:$B$504,MATCH(E689,Clients!$A$5:$A$504,0)),"Walk-in"))</f>
        <v>0</v>
      </c>
      <c r="H689" s="15">
        <f>IF(G689="","",IFERROR(INDEX(Services!$B$5:$B$204,MATCH(G689,Services!$A$5:$A$204,0)),"Not in Services"))</f>
        <v>0</v>
      </c>
      <c r="J689" s="15">
        <f>IF(I689="","",IFERROR(INDEX(Staff!$B$5:$B$44,MATCH(I689,Staff!$A$5:$A$44,0)),"Unassigned"))</f>
        <v>0</v>
      </c>
      <c r="S689" s="15">
        <f>IF(B689="","",TEXT(B689,"yyyy-mm"))</f>
        <v>0</v>
      </c>
      <c r="T689" s="25">
        <f>IF(B689="","",WEEKNUM(B689,2))</f>
        <v>0</v>
      </c>
      <c r="U689" s="25">
        <f>IF(B689="","",IF(K689&lt;&gt;"",K689,IFERROR(INDEX(Services!$E$5:$E$204,MATCH(G689,Services!$A$5:$A$204,0))*1,0)+IFERROR(INDEX(Services!$F$5:$F$204,MATCH(G689,Services!$A$5:$A$204,0))*1,0)))</f>
        <v>0</v>
      </c>
      <c r="V689" s="36">
        <f>IF(B689="","",IF(D689="","",D689+U689/1440))</f>
        <v>0</v>
      </c>
      <c r="W689" s="25">
        <f>IF(B689="","",IF(D689="","",HOUR(D689)))</f>
        <v>0</v>
      </c>
      <c r="X689" s="37">
        <f>IF(B689="","",ROUND(U689/60,2))</f>
        <v>0</v>
      </c>
      <c r="Y689" s="26">
        <f>IF(B689="","",IF(L689&lt;&gt;"",L689,IFERROR(INDEX(Services!$G$5:$G$204,MATCH(G689,Services!$A$5:$A$204,0))*1,0)))</f>
        <v>0</v>
      </c>
      <c r="Z689" s="26">
        <f>IF(B689="","",IF(O689&lt;&gt;"",O689,IF(Y689&gt;=DepositThreshold,ROUND(Y689*DepositPercent,2),0)))</f>
        <v>0</v>
      </c>
      <c r="AA689" s="26">
        <f>IF(B689="","",ROUND(SUMIFS(Payments!$G$5:$G$1204,Payments!$I$5:$I$1204,A689,Payments!$E$5:$E$1204,"Deposit"),2))</f>
        <v>0</v>
      </c>
      <c r="AB689" s="26">
        <f>IF(B689="","",ROUND(SUMIFS(Sales!$Y$5:$Y$1204,Sales!$C$5:$C$1204,A689),2))</f>
        <v>0</v>
      </c>
      <c r="AC689" s="38">
        <f>IF(B689="","",IF(M689="Completed","Yes",IF(M689="Cancelled","Yes",IF(M689="No show","Yes","No"))))</f>
        <v>0</v>
      </c>
      <c r="AD689" s="25">
        <f>IF(B689="","",IF(AE689="","",B689-AE689))</f>
        <v>0</v>
      </c>
      <c r="AF689" s="38">
        <f>IF(B689="","",IF(M689&lt;&gt;"Completed","",IF(E689="","No",IF(COUNTIFS(Appointments!$E$5:$E$1204,E689,Appointments!$B$5:$B$1204,"&gt;"&amp;B689,Appointments!$M$5:$M$1204,"&lt;&gt;Cancelled")&gt;0,"Yes","No"))))</f>
        <v>0</v>
      </c>
      <c r="AG689" s="38">
        <f>IF(B689="","",IF(I689="","",IF(D689="","",IF(COUNTIFS($I$5:$I$1204,I689,$B$5:$B$1204,B689,$D$5:$D$1204,"&lt;"&amp;V689,$V$5:$V$1204,"&gt;"&amp;D689,$M$5:$M$1204,"&lt;&gt;Cancelled")&gt;1,"Clash",""))))</f>
        <v>0</v>
      </c>
      <c r="AH689" s="39">
        <f>IF(B689="","",IF(AG689="Clash","Clash - stylist double booked",IF(I689="","Assign - no stylist yet",IF(G689="","Add - no service chosen",IF(M689="No show","No show - charge the fee?",IF(M689="Cancelled","",IF(IF(M689="Completed",AB689&lt;Y689-0.004,FALSE),"Unpaid - nothing rung up for this visit",IF(IF(B689&lt;TodayDate,M689="Booked",FALSE),"Overdue - past date, still only Booked",IF(IF(B689=TodayDate,TRUE,FALSE),"Today",IF(IF(Z689&gt;0,AA689&lt;Z689-0.004,FALSE),"Due - deposit not taken",IF(IF(B689&gt;TodayDate,B689&lt;=TodayDate+2,FALSE),"Confirm - coming up","OK")))))))))))</f>
        <v>0</v>
      </c>
    </row>
    <row r="690" spans="1:34">
      <c r="A690" s="28">
        <f>IF(B690="","",AppointmentPrefix&amp;TEXT(ROW()-4,"0000"))</f>
        <v>0</v>
      </c>
      <c r="C690" s="15">
        <f>IF(B690="","",TEXT(B690,"ddd"))</f>
        <v>0</v>
      </c>
      <c r="F690" s="15">
        <f>IF(E690="","",IFERROR(INDEX(Clients!$B$5:$B$504,MATCH(E690,Clients!$A$5:$A$504,0)),"Walk-in"))</f>
        <v>0</v>
      </c>
      <c r="H690" s="15">
        <f>IF(G690="","",IFERROR(INDEX(Services!$B$5:$B$204,MATCH(G690,Services!$A$5:$A$204,0)),"Not in Services"))</f>
        <v>0</v>
      </c>
      <c r="J690" s="15">
        <f>IF(I690="","",IFERROR(INDEX(Staff!$B$5:$B$44,MATCH(I690,Staff!$A$5:$A$44,0)),"Unassigned"))</f>
        <v>0</v>
      </c>
      <c r="S690" s="15">
        <f>IF(B690="","",TEXT(B690,"yyyy-mm"))</f>
        <v>0</v>
      </c>
      <c r="T690" s="25">
        <f>IF(B690="","",WEEKNUM(B690,2))</f>
        <v>0</v>
      </c>
      <c r="U690" s="25">
        <f>IF(B690="","",IF(K690&lt;&gt;"",K690,IFERROR(INDEX(Services!$E$5:$E$204,MATCH(G690,Services!$A$5:$A$204,0))*1,0)+IFERROR(INDEX(Services!$F$5:$F$204,MATCH(G690,Services!$A$5:$A$204,0))*1,0)))</f>
        <v>0</v>
      </c>
      <c r="V690" s="36">
        <f>IF(B690="","",IF(D690="","",D690+U690/1440))</f>
        <v>0</v>
      </c>
      <c r="W690" s="25">
        <f>IF(B690="","",IF(D690="","",HOUR(D690)))</f>
        <v>0</v>
      </c>
      <c r="X690" s="37">
        <f>IF(B690="","",ROUND(U690/60,2))</f>
        <v>0</v>
      </c>
      <c r="Y690" s="26">
        <f>IF(B690="","",IF(L690&lt;&gt;"",L690,IFERROR(INDEX(Services!$G$5:$G$204,MATCH(G690,Services!$A$5:$A$204,0))*1,0)))</f>
        <v>0</v>
      </c>
      <c r="Z690" s="26">
        <f>IF(B690="","",IF(O690&lt;&gt;"",O690,IF(Y690&gt;=DepositThreshold,ROUND(Y690*DepositPercent,2),0)))</f>
        <v>0</v>
      </c>
      <c r="AA690" s="26">
        <f>IF(B690="","",ROUND(SUMIFS(Payments!$G$5:$G$1204,Payments!$I$5:$I$1204,A690,Payments!$E$5:$E$1204,"Deposit"),2))</f>
        <v>0</v>
      </c>
      <c r="AB690" s="26">
        <f>IF(B690="","",ROUND(SUMIFS(Sales!$Y$5:$Y$1204,Sales!$C$5:$C$1204,A690),2))</f>
        <v>0</v>
      </c>
      <c r="AC690" s="38">
        <f>IF(B690="","",IF(M690="Completed","Yes",IF(M690="Cancelled","Yes",IF(M690="No show","Yes","No"))))</f>
        <v>0</v>
      </c>
      <c r="AD690" s="25">
        <f>IF(B690="","",IF(AE690="","",B690-AE690))</f>
        <v>0</v>
      </c>
      <c r="AF690" s="38">
        <f>IF(B690="","",IF(M690&lt;&gt;"Completed","",IF(E690="","No",IF(COUNTIFS(Appointments!$E$5:$E$1204,E690,Appointments!$B$5:$B$1204,"&gt;"&amp;B690,Appointments!$M$5:$M$1204,"&lt;&gt;Cancelled")&gt;0,"Yes","No"))))</f>
        <v>0</v>
      </c>
      <c r="AG690" s="38">
        <f>IF(B690="","",IF(I690="","",IF(D690="","",IF(COUNTIFS($I$5:$I$1204,I690,$B$5:$B$1204,B690,$D$5:$D$1204,"&lt;"&amp;V690,$V$5:$V$1204,"&gt;"&amp;D690,$M$5:$M$1204,"&lt;&gt;Cancelled")&gt;1,"Clash",""))))</f>
        <v>0</v>
      </c>
      <c r="AH690" s="39">
        <f>IF(B690="","",IF(AG690="Clash","Clash - stylist double booked",IF(I690="","Assign - no stylist yet",IF(G690="","Add - no service chosen",IF(M690="No show","No show - charge the fee?",IF(M690="Cancelled","",IF(IF(M690="Completed",AB690&lt;Y690-0.004,FALSE),"Unpaid - nothing rung up for this visit",IF(IF(B690&lt;TodayDate,M690="Booked",FALSE),"Overdue - past date, still only Booked",IF(IF(B690=TodayDate,TRUE,FALSE),"Today",IF(IF(Z690&gt;0,AA690&lt;Z690-0.004,FALSE),"Due - deposit not taken",IF(IF(B690&gt;TodayDate,B690&lt;=TodayDate+2,FALSE),"Confirm - coming up","OK")))))))))))</f>
        <v>0</v>
      </c>
    </row>
    <row r="691" spans="1:34">
      <c r="A691" s="28">
        <f>IF(B691="","",AppointmentPrefix&amp;TEXT(ROW()-4,"0000"))</f>
        <v>0</v>
      </c>
      <c r="C691" s="15">
        <f>IF(B691="","",TEXT(B691,"ddd"))</f>
        <v>0</v>
      </c>
      <c r="F691" s="15">
        <f>IF(E691="","",IFERROR(INDEX(Clients!$B$5:$B$504,MATCH(E691,Clients!$A$5:$A$504,0)),"Walk-in"))</f>
        <v>0</v>
      </c>
      <c r="H691" s="15">
        <f>IF(G691="","",IFERROR(INDEX(Services!$B$5:$B$204,MATCH(G691,Services!$A$5:$A$204,0)),"Not in Services"))</f>
        <v>0</v>
      </c>
      <c r="J691" s="15">
        <f>IF(I691="","",IFERROR(INDEX(Staff!$B$5:$B$44,MATCH(I691,Staff!$A$5:$A$44,0)),"Unassigned"))</f>
        <v>0</v>
      </c>
      <c r="S691" s="15">
        <f>IF(B691="","",TEXT(B691,"yyyy-mm"))</f>
        <v>0</v>
      </c>
      <c r="T691" s="25">
        <f>IF(B691="","",WEEKNUM(B691,2))</f>
        <v>0</v>
      </c>
      <c r="U691" s="25">
        <f>IF(B691="","",IF(K691&lt;&gt;"",K691,IFERROR(INDEX(Services!$E$5:$E$204,MATCH(G691,Services!$A$5:$A$204,0))*1,0)+IFERROR(INDEX(Services!$F$5:$F$204,MATCH(G691,Services!$A$5:$A$204,0))*1,0)))</f>
        <v>0</v>
      </c>
      <c r="V691" s="36">
        <f>IF(B691="","",IF(D691="","",D691+U691/1440))</f>
        <v>0</v>
      </c>
      <c r="W691" s="25">
        <f>IF(B691="","",IF(D691="","",HOUR(D691)))</f>
        <v>0</v>
      </c>
      <c r="X691" s="37">
        <f>IF(B691="","",ROUND(U691/60,2))</f>
        <v>0</v>
      </c>
      <c r="Y691" s="26">
        <f>IF(B691="","",IF(L691&lt;&gt;"",L691,IFERROR(INDEX(Services!$G$5:$G$204,MATCH(G691,Services!$A$5:$A$204,0))*1,0)))</f>
        <v>0</v>
      </c>
      <c r="Z691" s="26">
        <f>IF(B691="","",IF(O691&lt;&gt;"",O691,IF(Y691&gt;=DepositThreshold,ROUND(Y691*DepositPercent,2),0)))</f>
        <v>0</v>
      </c>
      <c r="AA691" s="26">
        <f>IF(B691="","",ROUND(SUMIFS(Payments!$G$5:$G$1204,Payments!$I$5:$I$1204,A691,Payments!$E$5:$E$1204,"Deposit"),2))</f>
        <v>0</v>
      </c>
      <c r="AB691" s="26">
        <f>IF(B691="","",ROUND(SUMIFS(Sales!$Y$5:$Y$1204,Sales!$C$5:$C$1204,A691),2))</f>
        <v>0</v>
      </c>
      <c r="AC691" s="38">
        <f>IF(B691="","",IF(M691="Completed","Yes",IF(M691="Cancelled","Yes",IF(M691="No show","Yes","No"))))</f>
        <v>0</v>
      </c>
      <c r="AD691" s="25">
        <f>IF(B691="","",IF(AE691="","",B691-AE691))</f>
        <v>0</v>
      </c>
      <c r="AF691" s="38">
        <f>IF(B691="","",IF(M691&lt;&gt;"Completed","",IF(E691="","No",IF(COUNTIFS(Appointments!$E$5:$E$1204,E691,Appointments!$B$5:$B$1204,"&gt;"&amp;B691,Appointments!$M$5:$M$1204,"&lt;&gt;Cancelled")&gt;0,"Yes","No"))))</f>
        <v>0</v>
      </c>
      <c r="AG691" s="38">
        <f>IF(B691="","",IF(I691="","",IF(D691="","",IF(COUNTIFS($I$5:$I$1204,I691,$B$5:$B$1204,B691,$D$5:$D$1204,"&lt;"&amp;V691,$V$5:$V$1204,"&gt;"&amp;D691,$M$5:$M$1204,"&lt;&gt;Cancelled")&gt;1,"Clash",""))))</f>
        <v>0</v>
      </c>
      <c r="AH691" s="39">
        <f>IF(B691="","",IF(AG691="Clash","Clash - stylist double booked",IF(I691="","Assign - no stylist yet",IF(G691="","Add - no service chosen",IF(M691="No show","No show - charge the fee?",IF(M691="Cancelled","",IF(IF(M691="Completed",AB691&lt;Y691-0.004,FALSE),"Unpaid - nothing rung up for this visit",IF(IF(B691&lt;TodayDate,M691="Booked",FALSE),"Overdue - past date, still only Booked",IF(IF(B691=TodayDate,TRUE,FALSE),"Today",IF(IF(Z691&gt;0,AA691&lt;Z691-0.004,FALSE),"Due - deposit not taken",IF(IF(B691&gt;TodayDate,B691&lt;=TodayDate+2,FALSE),"Confirm - coming up","OK")))))))))))</f>
        <v>0</v>
      </c>
    </row>
    <row r="692" spans="1:34">
      <c r="A692" s="28">
        <f>IF(B692="","",AppointmentPrefix&amp;TEXT(ROW()-4,"0000"))</f>
        <v>0</v>
      </c>
      <c r="C692" s="15">
        <f>IF(B692="","",TEXT(B692,"ddd"))</f>
        <v>0</v>
      </c>
      <c r="F692" s="15">
        <f>IF(E692="","",IFERROR(INDEX(Clients!$B$5:$B$504,MATCH(E692,Clients!$A$5:$A$504,0)),"Walk-in"))</f>
        <v>0</v>
      </c>
      <c r="H692" s="15">
        <f>IF(G692="","",IFERROR(INDEX(Services!$B$5:$B$204,MATCH(G692,Services!$A$5:$A$204,0)),"Not in Services"))</f>
        <v>0</v>
      </c>
      <c r="J692" s="15">
        <f>IF(I692="","",IFERROR(INDEX(Staff!$B$5:$B$44,MATCH(I692,Staff!$A$5:$A$44,0)),"Unassigned"))</f>
        <v>0</v>
      </c>
      <c r="S692" s="15">
        <f>IF(B692="","",TEXT(B692,"yyyy-mm"))</f>
        <v>0</v>
      </c>
      <c r="T692" s="25">
        <f>IF(B692="","",WEEKNUM(B692,2))</f>
        <v>0</v>
      </c>
      <c r="U692" s="25">
        <f>IF(B692="","",IF(K692&lt;&gt;"",K692,IFERROR(INDEX(Services!$E$5:$E$204,MATCH(G692,Services!$A$5:$A$204,0))*1,0)+IFERROR(INDEX(Services!$F$5:$F$204,MATCH(G692,Services!$A$5:$A$204,0))*1,0)))</f>
        <v>0</v>
      </c>
      <c r="V692" s="36">
        <f>IF(B692="","",IF(D692="","",D692+U692/1440))</f>
        <v>0</v>
      </c>
      <c r="W692" s="25">
        <f>IF(B692="","",IF(D692="","",HOUR(D692)))</f>
        <v>0</v>
      </c>
      <c r="X692" s="37">
        <f>IF(B692="","",ROUND(U692/60,2))</f>
        <v>0</v>
      </c>
      <c r="Y692" s="26">
        <f>IF(B692="","",IF(L692&lt;&gt;"",L692,IFERROR(INDEX(Services!$G$5:$G$204,MATCH(G692,Services!$A$5:$A$204,0))*1,0)))</f>
        <v>0</v>
      </c>
      <c r="Z692" s="26">
        <f>IF(B692="","",IF(O692&lt;&gt;"",O692,IF(Y692&gt;=DepositThreshold,ROUND(Y692*DepositPercent,2),0)))</f>
        <v>0</v>
      </c>
      <c r="AA692" s="26">
        <f>IF(B692="","",ROUND(SUMIFS(Payments!$G$5:$G$1204,Payments!$I$5:$I$1204,A692,Payments!$E$5:$E$1204,"Deposit"),2))</f>
        <v>0</v>
      </c>
      <c r="AB692" s="26">
        <f>IF(B692="","",ROUND(SUMIFS(Sales!$Y$5:$Y$1204,Sales!$C$5:$C$1204,A692),2))</f>
        <v>0</v>
      </c>
      <c r="AC692" s="38">
        <f>IF(B692="","",IF(M692="Completed","Yes",IF(M692="Cancelled","Yes",IF(M692="No show","Yes","No"))))</f>
        <v>0</v>
      </c>
      <c r="AD692" s="25">
        <f>IF(B692="","",IF(AE692="","",B692-AE692))</f>
        <v>0</v>
      </c>
      <c r="AF692" s="38">
        <f>IF(B692="","",IF(M692&lt;&gt;"Completed","",IF(E692="","No",IF(COUNTIFS(Appointments!$E$5:$E$1204,E692,Appointments!$B$5:$B$1204,"&gt;"&amp;B692,Appointments!$M$5:$M$1204,"&lt;&gt;Cancelled")&gt;0,"Yes","No"))))</f>
        <v>0</v>
      </c>
      <c r="AG692" s="38">
        <f>IF(B692="","",IF(I692="","",IF(D692="","",IF(COUNTIFS($I$5:$I$1204,I692,$B$5:$B$1204,B692,$D$5:$D$1204,"&lt;"&amp;V692,$V$5:$V$1204,"&gt;"&amp;D692,$M$5:$M$1204,"&lt;&gt;Cancelled")&gt;1,"Clash",""))))</f>
        <v>0</v>
      </c>
      <c r="AH692" s="39">
        <f>IF(B692="","",IF(AG692="Clash","Clash - stylist double booked",IF(I692="","Assign - no stylist yet",IF(G692="","Add - no service chosen",IF(M692="No show","No show - charge the fee?",IF(M692="Cancelled","",IF(IF(M692="Completed",AB692&lt;Y692-0.004,FALSE),"Unpaid - nothing rung up for this visit",IF(IF(B692&lt;TodayDate,M692="Booked",FALSE),"Overdue - past date, still only Booked",IF(IF(B692=TodayDate,TRUE,FALSE),"Today",IF(IF(Z692&gt;0,AA692&lt;Z692-0.004,FALSE),"Due - deposit not taken",IF(IF(B692&gt;TodayDate,B692&lt;=TodayDate+2,FALSE),"Confirm - coming up","OK")))))))))))</f>
        <v>0</v>
      </c>
    </row>
    <row r="693" spans="1:34">
      <c r="A693" s="28">
        <f>IF(B693="","",AppointmentPrefix&amp;TEXT(ROW()-4,"0000"))</f>
        <v>0</v>
      </c>
      <c r="C693" s="15">
        <f>IF(B693="","",TEXT(B693,"ddd"))</f>
        <v>0</v>
      </c>
      <c r="F693" s="15">
        <f>IF(E693="","",IFERROR(INDEX(Clients!$B$5:$B$504,MATCH(E693,Clients!$A$5:$A$504,0)),"Walk-in"))</f>
        <v>0</v>
      </c>
      <c r="H693" s="15">
        <f>IF(G693="","",IFERROR(INDEX(Services!$B$5:$B$204,MATCH(G693,Services!$A$5:$A$204,0)),"Not in Services"))</f>
        <v>0</v>
      </c>
      <c r="J693" s="15">
        <f>IF(I693="","",IFERROR(INDEX(Staff!$B$5:$B$44,MATCH(I693,Staff!$A$5:$A$44,0)),"Unassigned"))</f>
        <v>0</v>
      </c>
      <c r="S693" s="15">
        <f>IF(B693="","",TEXT(B693,"yyyy-mm"))</f>
        <v>0</v>
      </c>
      <c r="T693" s="25">
        <f>IF(B693="","",WEEKNUM(B693,2))</f>
        <v>0</v>
      </c>
      <c r="U693" s="25">
        <f>IF(B693="","",IF(K693&lt;&gt;"",K693,IFERROR(INDEX(Services!$E$5:$E$204,MATCH(G693,Services!$A$5:$A$204,0))*1,0)+IFERROR(INDEX(Services!$F$5:$F$204,MATCH(G693,Services!$A$5:$A$204,0))*1,0)))</f>
        <v>0</v>
      </c>
      <c r="V693" s="36">
        <f>IF(B693="","",IF(D693="","",D693+U693/1440))</f>
        <v>0</v>
      </c>
      <c r="W693" s="25">
        <f>IF(B693="","",IF(D693="","",HOUR(D693)))</f>
        <v>0</v>
      </c>
      <c r="X693" s="37">
        <f>IF(B693="","",ROUND(U693/60,2))</f>
        <v>0</v>
      </c>
      <c r="Y693" s="26">
        <f>IF(B693="","",IF(L693&lt;&gt;"",L693,IFERROR(INDEX(Services!$G$5:$G$204,MATCH(G693,Services!$A$5:$A$204,0))*1,0)))</f>
        <v>0</v>
      </c>
      <c r="Z693" s="26">
        <f>IF(B693="","",IF(O693&lt;&gt;"",O693,IF(Y693&gt;=DepositThreshold,ROUND(Y693*DepositPercent,2),0)))</f>
        <v>0</v>
      </c>
      <c r="AA693" s="26">
        <f>IF(B693="","",ROUND(SUMIFS(Payments!$G$5:$G$1204,Payments!$I$5:$I$1204,A693,Payments!$E$5:$E$1204,"Deposit"),2))</f>
        <v>0</v>
      </c>
      <c r="AB693" s="26">
        <f>IF(B693="","",ROUND(SUMIFS(Sales!$Y$5:$Y$1204,Sales!$C$5:$C$1204,A693),2))</f>
        <v>0</v>
      </c>
      <c r="AC693" s="38">
        <f>IF(B693="","",IF(M693="Completed","Yes",IF(M693="Cancelled","Yes",IF(M693="No show","Yes","No"))))</f>
        <v>0</v>
      </c>
      <c r="AD693" s="25">
        <f>IF(B693="","",IF(AE693="","",B693-AE693))</f>
        <v>0</v>
      </c>
      <c r="AF693" s="38">
        <f>IF(B693="","",IF(M693&lt;&gt;"Completed","",IF(E693="","No",IF(COUNTIFS(Appointments!$E$5:$E$1204,E693,Appointments!$B$5:$B$1204,"&gt;"&amp;B693,Appointments!$M$5:$M$1204,"&lt;&gt;Cancelled")&gt;0,"Yes","No"))))</f>
        <v>0</v>
      </c>
      <c r="AG693" s="38">
        <f>IF(B693="","",IF(I693="","",IF(D693="","",IF(COUNTIFS($I$5:$I$1204,I693,$B$5:$B$1204,B693,$D$5:$D$1204,"&lt;"&amp;V693,$V$5:$V$1204,"&gt;"&amp;D693,$M$5:$M$1204,"&lt;&gt;Cancelled")&gt;1,"Clash",""))))</f>
        <v>0</v>
      </c>
      <c r="AH693" s="39">
        <f>IF(B693="","",IF(AG693="Clash","Clash - stylist double booked",IF(I693="","Assign - no stylist yet",IF(G693="","Add - no service chosen",IF(M693="No show","No show - charge the fee?",IF(M693="Cancelled","",IF(IF(M693="Completed",AB693&lt;Y693-0.004,FALSE),"Unpaid - nothing rung up for this visit",IF(IF(B693&lt;TodayDate,M693="Booked",FALSE),"Overdue - past date, still only Booked",IF(IF(B693=TodayDate,TRUE,FALSE),"Today",IF(IF(Z693&gt;0,AA693&lt;Z693-0.004,FALSE),"Due - deposit not taken",IF(IF(B693&gt;TodayDate,B693&lt;=TodayDate+2,FALSE),"Confirm - coming up","OK")))))))))))</f>
        <v>0</v>
      </c>
    </row>
    <row r="694" spans="1:34">
      <c r="A694" s="28">
        <f>IF(B694="","",AppointmentPrefix&amp;TEXT(ROW()-4,"0000"))</f>
        <v>0</v>
      </c>
      <c r="C694" s="15">
        <f>IF(B694="","",TEXT(B694,"ddd"))</f>
        <v>0</v>
      </c>
      <c r="F694" s="15">
        <f>IF(E694="","",IFERROR(INDEX(Clients!$B$5:$B$504,MATCH(E694,Clients!$A$5:$A$504,0)),"Walk-in"))</f>
        <v>0</v>
      </c>
      <c r="H694" s="15">
        <f>IF(G694="","",IFERROR(INDEX(Services!$B$5:$B$204,MATCH(G694,Services!$A$5:$A$204,0)),"Not in Services"))</f>
        <v>0</v>
      </c>
      <c r="J694" s="15">
        <f>IF(I694="","",IFERROR(INDEX(Staff!$B$5:$B$44,MATCH(I694,Staff!$A$5:$A$44,0)),"Unassigned"))</f>
        <v>0</v>
      </c>
      <c r="S694" s="15">
        <f>IF(B694="","",TEXT(B694,"yyyy-mm"))</f>
        <v>0</v>
      </c>
      <c r="T694" s="25">
        <f>IF(B694="","",WEEKNUM(B694,2))</f>
        <v>0</v>
      </c>
      <c r="U694" s="25">
        <f>IF(B694="","",IF(K694&lt;&gt;"",K694,IFERROR(INDEX(Services!$E$5:$E$204,MATCH(G694,Services!$A$5:$A$204,0))*1,0)+IFERROR(INDEX(Services!$F$5:$F$204,MATCH(G694,Services!$A$5:$A$204,0))*1,0)))</f>
        <v>0</v>
      </c>
      <c r="V694" s="36">
        <f>IF(B694="","",IF(D694="","",D694+U694/1440))</f>
        <v>0</v>
      </c>
      <c r="W694" s="25">
        <f>IF(B694="","",IF(D694="","",HOUR(D694)))</f>
        <v>0</v>
      </c>
      <c r="X694" s="37">
        <f>IF(B694="","",ROUND(U694/60,2))</f>
        <v>0</v>
      </c>
      <c r="Y694" s="26">
        <f>IF(B694="","",IF(L694&lt;&gt;"",L694,IFERROR(INDEX(Services!$G$5:$G$204,MATCH(G694,Services!$A$5:$A$204,0))*1,0)))</f>
        <v>0</v>
      </c>
      <c r="Z694" s="26">
        <f>IF(B694="","",IF(O694&lt;&gt;"",O694,IF(Y694&gt;=DepositThreshold,ROUND(Y694*DepositPercent,2),0)))</f>
        <v>0</v>
      </c>
      <c r="AA694" s="26">
        <f>IF(B694="","",ROUND(SUMIFS(Payments!$G$5:$G$1204,Payments!$I$5:$I$1204,A694,Payments!$E$5:$E$1204,"Deposit"),2))</f>
        <v>0</v>
      </c>
      <c r="AB694" s="26">
        <f>IF(B694="","",ROUND(SUMIFS(Sales!$Y$5:$Y$1204,Sales!$C$5:$C$1204,A694),2))</f>
        <v>0</v>
      </c>
      <c r="AC694" s="38">
        <f>IF(B694="","",IF(M694="Completed","Yes",IF(M694="Cancelled","Yes",IF(M694="No show","Yes","No"))))</f>
        <v>0</v>
      </c>
      <c r="AD694" s="25">
        <f>IF(B694="","",IF(AE694="","",B694-AE694))</f>
        <v>0</v>
      </c>
      <c r="AF694" s="38">
        <f>IF(B694="","",IF(M694&lt;&gt;"Completed","",IF(E694="","No",IF(COUNTIFS(Appointments!$E$5:$E$1204,E694,Appointments!$B$5:$B$1204,"&gt;"&amp;B694,Appointments!$M$5:$M$1204,"&lt;&gt;Cancelled")&gt;0,"Yes","No"))))</f>
        <v>0</v>
      </c>
      <c r="AG694" s="38">
        <f>IF(B694="","",IF(I694="","",IF(D694="","",IF(COUNTIFS($I$5:$I$1204,I694,$B$5:$B$1204,B694,$D$5:$D$1204,"&lt;"&amp;V694,$V$5:$V$1204,"&gt;"&amp;D694,$M$5:$M$1204,"&lt;&gt;Cancelled")&gt;1,"Clash",""))))</f>
        <v>0</v>
      </c>
      <c r="AH694" s="39">
        <f>IF(B694="","",IF(AG694="Clash","Clash - stylist double booked",IF(I694="","Assign - no stylist yet",IF(G694="","Add - no service chosen",IF(M694="No show","No show - charge the fee?",IF(M694="Cancelled","",IF(IF(M694="Completed",AB694&lt;Y694-0.004,FALSE),"Unpaid - nothing rung up for this visit",IF(IF(B694&lt;TodayDate,M694="Booked",FALSE),"Overdue - past date, still only Booked",IF(IF(B694=TodayDate,TRUE,FALSE),"Today",IF(IF(Z694&gt;0,AA694&lt;Z694-0.004,FALSE),"Due - deposit not taken",IF(IF(B694&gt;TodayDate,B694&lt;=TodayDate+2,FALSE),"Confirm - coming up","OK")))))))))))</f>
        <v>0</v>
      </c>
    </row>
    <row r="695" spans="1:34">
      <c r="A695" s="28">
        <f>IF(B695="","",AppointmentPrefix&amp;TEXT(ROW()-4,"0000"))</f>
        <v>0</v>
      </c>
      <c r="C695" s="15">
        <f>IF(B695="","",TEXT(B695,"ddd"))</f>
        <v>0</v>
      </c>
      <c r="F695" s="15">
        <f>IF(E695="","",IFERROR(INDEX(Clients!$B$5:$B$504,MATCH(E695,Clients!$A$5:$A$504,0)),"Walk-in"))</f>
        <v>0</v>
      </c>
      <c r="H695" s="15">
        <f>IF(G695="","",IFERROR(INDEX(Services!$B$5:$B$204,MATCH(G695,Services!$A$5:$A$204,0)),"Not in Services"))</f>
        <v>0</v>
      </c>
      <c r="J695" s="15">
        <f>IF(I695="","",IFERROR(INDEX(Staff!$B$5:$B$44,MATCH(I695,Staff!$A$5:$A$44,0)),"Unassigned"))</f>
        <v>0</v>
      </c>
      <c r="S695" s="15">
        <f>IF(B695="","",TEXT(B695,"yyyy-mm"))</f>
        <v>0</v>
      </c>
      <c r="T695" s="25">
        <f>IF(B695="","",WEEKNUM(B695,2))</f>
        <v>0</v>
      </c>
      <c r="U695" s="25">
        <f>IF(B695="","",IF(K695&lt;&gt;"",K695,IFERROR(INDEX(Services!$E$5:$E$204,MATCH(G695,Services!$A$5:$A$204,0))*1,0)+IFERROR(INDEX(Services!$F$5:$F$204,MATCH(G695,Services!$A$5:$A$204,0))*1,0)))</f>
        <v>0</v>
      </c>
      <c r="V695" s="36">
        <f>IF(B695="","",IF(D695="","",D695+U695/1440))</f>
        <v>0</v>
      </c>
      <c r="W695" s="25">
        <f>IF(B695="","",IF(D695="","",HOUR(D695)))</f>
        <v>0</v>
      </c>
      <c r="X695" s="37">
        <f>IF(B695="","",ROUND(U695/60,2))</f>
        <v>0</v>
      </c>
      <c r="Y695" s="26">
        <f>IF(B695="","",IF(L695&lt;&gt;"",L695,IFERROR(INDEX(Services!$G$5:$G$204,MATCH(G695,Services!$A$5:$A$204,0))*1,0)))</f>
        <v>0</v>
      </c>
      <c r="Z695" s="26">
        <f>IF(B695="","",IF(O695&lt;&gt;"",O695,IF(Y695&gt;=DepositThreshold,ROUND(Y695*DepositPercent,2),0)))</f>
        <v>0</v>
      </c>
      <c r="AA695" s="26">
        <f>IF(B695="","",ROUND(SUMIFS(Payments!$G$5:$G$1204,Payments!$I$5:$I$1204,A695,Payments!$E$5:$E$1204,"Deposit"),2))</f>
        <v>0</v>
      </c>
      <c r="AB695" s="26">
        <f>IF(B695="","",ROUND(SUMIFS(Sales!$Y$5:$Y$1204,Sales!$C$5:$C$1204,A695),2))</f>
        <v>0</v>
      </c>
      <c r="AC695" s="38">
        <f>IF(B695="","",IF(M695="Completed","Yes",IF(M695="Cancelled","Yes",IF(M695="No show","Yes","No"))))</f>
        <v>0</v>
      </c>
      <c r="AD695" s="25">
        <f>IF(B695="","",IF(AE695="","",B695-AE695))</f>
        <v>0</v>
      </c>
      <c r="AF695" s="38">
        <f>IF(B695="","",IF(M695&lt;&gt;"Completed","",IF(E695="","No",IF(COUNTIFS(Appointments!$E$5:$E$1204,E695,Appointments!$B$5:$B$1204,"&gt;"&amp;B695,Appointments!$M$5:$M$1204,"&lt;&gt;Cancelled")&gt;0,"Yes","No"))))</f>
        <v>0</v>
      </c>
      <c r="AG695" s="38">
        <f>IF(B695="","",IF(I695="","",IF(D695="","",IF(COUNTIFS($I$5:$I$1204,I695,$B$5:$B$1204,B695,$D$5:$D$1204,"&lt;"&amp;V695,$V$5:$V$1204,"&gt;"&amp;D695,$M$5:$M$1204,"&lt;&gt;Cancelled")&gt;1,"Clash",""))))</f>
        <v>0</v>
      </c>
      <c r="AH695" s="39">
        <f>IF(B695="","",IF(AG695="Clash","Clash - stylist double booked",IF(I695="","Assign - no stylist yet",IF(G695="","Add - no service chosen",IF(M695="No show","No show - charge the fee?",IF(M695="Cancelled","",IF(IF(M695="Completed",AB695&lt;Y695-0.004,FALSE),"Unpaid - nothing rung up for this visit",IF(IF(B695&lt;TodayDate,M695="Booked",FALSE),"Overdue - past date, still only Booked",IF(IF(B695=TodayDate,TRUE,FALSE),"Today",IF(IF(Z695&gt;0,AA695&lt;Z695-0.004,FALSE),"Due - deposit not taken",IF(IF(B695&gt;TodayDate,B695&lt;=TodayDate+2,FALSE),"Confirm - coming up","OK")))))))))))</f>
        <v>0</v>
      </c>
    </row>
    <row r="696" spans="1:34">
      <c r="A696" s="28">
        <f>IF(B696="","",AppointmentPrefix&amp;TEXT(ROW()-4,"0000"))</f>
        <v>0</v>
      </c>
      <c r="C696" s="15">
        <f>IF(B696="","",TEXT(B696,"ddd"))</f>
        <v>0</v>
      </c>
      <c r="F696" s="15">
        <f>IF(E696="","",IFERROR(INDEX(Clients!$B$5:$B$504,MATCH(E696,Clients!$A$5:$A$504,0)),"Walk-in"))</f>
        <v>0</v>
      </c>
      <c r="H696" s="15">
        <f>IF(G696="","",IFERROR(INDEX(Services!$B$5:$B$204,MATCH(G696,Services!$A$5:$A$204,0)),"Not in Services"))</f>
        <v>0</v>
      </c>
      <c r="J696" s="15">
        <f>IF(I696="","",IFERROR(INDEX(Staff!$B$5:$B$44,MATCH(I696,Staff!$A$5:$A$44,0)),"Unassigned"))</f>
        <v>0</v>
      </c>
      <c r="S696" s="15">
        <f>IF(B696="","",TEXT(B696,"yyyy-mm"))</f>
        <v>0</v>
      </c>
      <c r="T696" s="25">
        <f>IF(B696="","",WEEKNUM(B696,2))</f>
        <v>0</v>
      </c>
      <c r="U696" s="25">
        <f>IF(B696="","",IF(K696&lt;&gt;"",K696,IFERROR(INDEX(Services!$E$5:$E$204,MATCH(G696,Services!$A$5:$A$204,0))*1,0)+IFERROR(INDEX(Services!$F$5:$F$204,MATCH(G696,Services!$A$5:$A$204,0))*1,0)))</f>
        <v>0</v>
      </c>
      <c r="V696" s="36">
        <f>IF(B696="","",IF(D696="","",D696+U696/1440))</f>
        <v>0</v>
      </c>
      <c r="W696" s="25">
        <f>IF(B696="","",IF(D696="","",HOUR(D696)))</f>
        <v>0</v>
      </c>
      <c r="X696" s="37">
        <f>IF(B696="","",ROUND(U696/60,2))</f>
        <v>0</v>
      </c>
      <c r="Y696" s="26">
        <f>IF(B696="","",IF(L696&lt;&gt;"",L696,IFERROR(INDEX(Services!$G$5:$G$204,MATCH(G696,Services!$A$5:$A$204,0))*1,0)))</f>
        <v>0</v>
      </c>
      <c r="Z696" s="26">
        <f>IF(B696="","",IF(O696&lt;&gt;"",O696,IF(Y696&gt;=DepositThreshold,ROUND(Y696*DepositPercent,2),0)))</f>
        <v>0</v>
      </c>
      <c r="AA696" s="26">
        <f>IF(B696="","",ROUND(SUMIFS(Payments!$G$5:$G$1204,Payments!$I$5:$I$1204,A696,Payments!$E$5:$E$1204,"Deposit"),2))</f>
        <v>0</v>
      </c>
      <c r="AB696" s="26">
        <f>IF(B696="","",ROUND(SUMIFS(Sales!$Y$5:$Y$1204,Sales!$C$5:$C$1204,A696),2))</f>
        <v>0</v>
      </c>
      <c r="AC696" s="38">
        <f>IF(B696="","",IF(M696="Completed","Yes",IF(M696="Cancelled","Yes",IF(M696="No show","Yes","No"))))</f>
        <v>0</v>
      </c>
      <c r="AD696" s="25">
        <f>IF(B696="","",IF(AE696="","",B696-AE696))</f>
        <v>0</v>
      </c>
      <c r="AF696" s="38">
        <f>IF(B696="","",IF(M696&lt;&gt;"Completed","",IF(E696="","No",IF(COUNTIFS(Appointments!$E$5:$E$1204,E696,Appointments!$B$5:$B$1204,"&gt;"&amp;B696,Appointments!$M$5:$M$1204,"&lt;&gt;Cancelled")&gt;0,"Yes","No"))))</f>
        <v>0</v>
      </c>
      <c r="AG696" s="38">
        <f>IF(B696="","",IF(I696="","",IF(D696="","",IF(COUNTIFS($I$5:$I$1204,I696,$B$5:$B$1204,B696,$D$5:$D$1204,"&lt;"&amp;V696,$V$5:$V$1204,"&gt;"&amp;D696,$M$5:$M$1204,"&lt;&gt;Cancelled")&gt;1,"Clash",""))))</f>
        <v>0</v>
      </c>
      <c r="AH696" s="39">
        <f>IF(B696="","",IF(AG696="Clash","Clash - stylist double booked",IF(I696="","Assign - no stylist yet",IF(G696="","Add - no service chosen",IF(M696="No show","No show - charge the fee?",IF(M696="Cancelled","",IF(IF(M696="Completed",AB696&lt;Y696-0.004,FALSE),"Unpaid - nothing rung up for this visit",IF(IF(B696&lt;TodayDate,M696="Booked",FALSE),"Overdue - past date, still only Booked",IF(IF(B696=TodayDate,TRUE,FALSE),"Today",IF(IF(Z696&gt;0,AA696&lt;Z696-0.004,FALSE),"Due - deposit not taken",IF(IF(B696&gt;TodayDate,B696&lt;=TodayDate+2,FALSE),"Confirm - coming up","OK")))))))))))</f>
        <v>0</v>
      </c>
    </row>
    <row r="697" spans="1:34">
      <c r="A697" s="28">
        <f>IF(B697="","",AppointmentPrefix&amp;TEXT(ROW()-4,"0000"))</f>
        <v>0</v>
      </c>
      <c r="C697" s="15">
        <f>IF(B697="","",TEXT(B697,"ddd"))</f>
        <v>0</v>
      </c>
      <c r="F697" s="15">
        <f>IF(E697="","",IFERROR(INDEX(Clients!$B$5:$B$504,MATCH(E697,Clients!$A$5:$A$504,0)),"Walk-in"))</f>
        <v>0</v>
      </c>
      <c r="H697" s="15">
        <f>IF(G697="","",IFERROR(INDEX(Services!$B$5:$B$204,MATCH(G697,Services!$A$5:$A$204,0)),"Not in Services"))</f>
        <v>0</v>
      </c>
      <c r="J697" s="15">
        <f>IF(I697="","",IFERROR(INDEX(Staff!$B$5:$B$44,MATCH(I697,Staff!$A$5:$A$44,0)),"Unassigned"))</f>
        <v>0</v>
      </c>
      <c r="S697" s="15">
        <f>IF(B697="","",TEXT(B697,"yyyy-mm"))</f>
        <v>0</v>
      </c>
      <c r="T697" s="25">
        <f>IF(B697="","",WEEKNUM(B697,2))</f>
        <v>0</v>
      </c>
      <c r="U697" s="25">
        <f>IF(B697="","",IF(K697&lt;&gt;"",K697,IFERROR(INDEX(Services!$E$5:$E$204,MATCH(G697,Services!$A$5:$A$204,0))*1,0)+IFERROR(INDEX(Services!$F$5:$F$204,MATCH(G697,Services!$A$5:$A$204,0))*1,0)))</f>
        <v>0</v>
      </c>
      <c r="V697" s="36">
        <f>IF(B697="","",IF(D697="","",D697+U697/1440))</f>
        <v>0</v>
      </c>
      <c r="W697" s="25">
        <f>IF(B697="","",IF(D697="","",HOUR(D697)))</f>
        <v>0</v>
      </c>
      <c r="X697" s="37">
        <f>IF(B697="","",ROUND(U697/60,2))</f>
        <v>0</v>
      </c>
      <c r="Y697" s="26">
        <f>IF(B697="","",IF(L697&lt;&gt;"",L697,IFERROR(INDEX(Services!$G$5:$G$204,MATCH(G697,Services!$A$5:$A$204,0))*1,0)))</f>
        <v>0</v>
      </c>
      <c r="Z697" s="26">
        <f>IF(B697="","",IF(O697&lt;&gt;"",O697,IF(Y697&gt;=DepositThreshold,ROUND(Y697*DepositPercent,2),0)))</f>
        <v>0</v>
      </c>
      <c r="AA697" s="26">
        <f>IF(B697="","",ROUND(SUMIFS(Payments!$G$5:$G$1204,Payments!$I$5:$I$1204,A697,Payments!$E$5:$E$1204,"Deposit"),2))</f>
        <v>0</v>
      </c>
      <c r="AB697" s="26">
        <f>IF(B697="","",ROUND(SUMIFS(Sales!$Y$5:$Y$1204,Sales!$C$5:$C$1204,A697),2))</f>
        <v>0</v>
      </c>
      <c r="AC697" s="38">
        <f>IF(B697="","",IF(M697="Completed","Yes",IF(M697="Cancelled","Yes",IF(M697="No show","Yes","No"))))</f>
        <v>0</v>
      </c>
      <c r="AD697" s="25">
        <f>IF(B697="","",IF(AE697="","",B697-AE697))</f>
        <v>0</v>
      </c>
      <c r="AF697" s="38">
        <f>IF(B697="","",IF(M697&lt;&gt;"Completed","",IF(E697="","No",IF(COUNTIFS(Appointments!$E$5:$E$1204,E697,Appointments!$B$5:$B$1204,"&gt;"&amp;B697,Appointments!$M$5:$M$1204,"&lt;&gt;Cancelled")&gt;0,"Yes","No"))))</f>
        <v>0</v>
      </c>
      <c r="AG697" s="38">
        <f>IF(B697="","",IF(I697="","",IF(D697="","",IF(COUNTIFS($I$5:$I$1204,I697,$B$5:$B$1204,B697,$D$5:$D$1204,"&lt;"&amp;V697,$V$5:$V$1204,"&gt;"&amp;D697,$M$5:$M$1204,"&lt;&gt;Cancelled")&gt;1,"Clash",""))))</f>
        <v>0</v>
      </c>
      <c r="AH697" s="39">
        <f>IF(B697="","",IF(AG697="Clash","Clash - stylist double booked",IF(I697="","Assign - no stylist yet",IF(G697="","Add - no service chosen",IF(M697="No show","No show - charge the fee?",IF(M697="Cancelled","",IF(IF(M697="Completed",AB697&lt;Y697-0.004,FALSE),"Unpaid - nothing rung up for this visit",IF(IF(B697&lt;TodayDate,M697="Booked",FALSE),"Overdue - past date, still only Booked",IF(IF(B697=TodayDate,TRUE,FALSE),"Today",IF(IF(Z697&gt;0,AA697&lt;Z697-0.004,FALSE),"Due - deposit not taken",IF(IF(B697&gt;TodayDate,B697&lt;=TodayDate+2,FALSE),"Confirm - coming up","OK")))))))))))</f>
        <v>0</v>
      </c>
    </row>
    <row r="698" spans="1:34">
      <c r="A698" s="28">
        <f>IF(B698="","",AppointmentPrefix&amp;TEXT(ROW()-4,"0000"))</f>
        <v>0</v>
      </c>
      <c r="C698" s="15">
        <f>IF(B698="","",TEXT(B698,"ddd"))</f>
        <v>0</v>
      </c>
      <c r="F698" s="15">
        <f>IF(E698="","",IFERROR(INDEX(Clients!$B$5:$B$504,MATCH(E698,Clients!$A$5:$A$504,0)),"Walk-in"))</f>
        <v>0</v>
      </c>
      <c r="H698" s="15">
        <f>IF(G698="","",IFERROR(INDEX(Services!$B$5:$B$204,MATCH(G698,Services!$A$5:$A$204,0)),"Not in Services"))</f>
        <v>0</v>
      </c>
      <c r="J698" s="15">
        <f>IF(I698="","",IFERROR(INDEX(Staff!$B$5:$B$44,MATCH(I698,Staff!$A$5:$A$44,0)),"Unassigned"))</f>
        <v>0</v>
      </c>
      <c r="S698" s="15">
        <f>IF(B698="","",TEXT(B698,"yyyy-mm"))</f>
        <v>0</v>
      </c>
      <c r="T698" s="25">
        <f>IF(B698="","",WEEKNUM(B698,2))</f>
        <v>0</v>
      </c>
      <c r="U698" s="25">
        <f>IF(B698="","",IF(K698&lt;&gt;"",K698,IFERROR(INDEX(Services!$E$5:$E$204,MATCH(G698,Services!$A$5:$A$204,0))*1,0)+IFERROR(INDEX(Services!$F$5:$F$204,MATCH(G698,Services!$A$5:$A$204,0))*1,0)))</f>
        <v>0</v>
      </c>
      <c r="V698" s="36">
        <f>IF(B698="","",IF(D698="","",D698+U698/1440))</f>
        <v>0</v>
      </c>
      <c r="W698" s="25">
        <f>IF(B698="","",IF(D698="","",HOUR(D698)))</f>
        <v>0</v>
      </c>
      <c r="X698" s="37">
        <f>IF(B698="","",ROUND(U698/60,2))</f>
        <v>0</v>
      </c>
      <c r="Y698" s="26">
        <f>IF(B698="","",IF(L698&lt;&gt;"",L698,IFERROR(INDEX(Services!$G$5:$G$204,MATCH(G698,Services!$A$5:$A$204,0))*1,0)))</f>
        <v>0</v>
      </c>
      <c r="Z698" s="26">
        <f>IF(B698="","",IF(O698&lt;&gt;"",O698,IF(Y698&gt;=DepositThreshold,ROUND(Y698*DepositPercent,2),0)))</f>
        <v>0</v>
      </c>
      <c r="AA698" s="26">
        <f>IF(B698="","",ROUND(SUMIFS(Payments!$G$5:$G$1204,Payments!$I$5:$I$1204,A698,Payments!$E$5:$E$1204,"Deposit"),2))</f>
        <v>0</v>
      </c>
      <c r="AB698" s="26">
        <f>IF(B698="","",ROUND(SUMIFS(Sales!$Y$5:$Y$1204,Sales!$C$5:$C$1204,A698),2))</f>
        <v>0</v>
      </c>
      <c r="AC698" s="38">
        <f>IF(B698="","",IF(M698="Completed","Yes",IF(M698="Cancelled","Yes",IF(M698="No show","Yes","No"))))</f>
        <v>0</v>
      </c>
      <c r="AD698" s="25">
        <f>IF(B698="","",IF(AE698="","",B698-AE698))</f>
        <v>0</v>
      </c>
      <c r="AF698" s="38">
        <f>IF(B698="","",IF(M698&lt;&gt;"Completed","",IF(E698="","No",IF(COUNTIFS(Appointments!$E$5:$E$1204,E698,Appointments!$B$5:$B$1204,"&gt;"&amp;B698,Appointments!$M$5:$M$1204,"&lt;&gt;Cancelled")&gt;0,"Yes","No"))))</f>
        <v>0</v>
      </c>
      <c r="AG698" s="38">
        <f>IF(B698="","",IF(I698="","",IF(D698="","",IF(COUNTIFS($I$5:$I$1204,I698,$B$5:$B$1204,B698,$D$5:$D$1204,"&lt;"&amp;V698,$V$5:$V$1204,"&gt;"&amp;D698,$M$5:$M$1204,"&lt;&gt;Cancelled")&gt;1,"Clash",""))))</f>
        <v>0</v>
      </c>
      <c r="AH698" s="39">
        <f>IF(B698="","",IF(AG698="Clash","Clash - stylist double booked",IF(I698="","Assign - no stylist yet",IF(G698="","Add - no service chosen",IF(M698="No show","No show - charge the fee?",IF(M698="Cancelled","",IF(IF(M698="Completed",AB698&lt;Y698-0.004,FALSE),"Unpaid - nothing rung up for this visit",IF(IF(B698&lt;TodayDate,M698="Booked",FALSE),"Overdue - past date, still only Booked",IF(IF(B698=TodayDate,TRUE,FALSE),"Today",IF(IF(Z698&gt;0,AA698&lt;Z698-0.004,FALSE),"Due - deposit not taken",IF(IF(B698&gt;TodayDate,B698&lt;=TodayDate+2,FALSE),"Confirm - coming up","OK")))))))))))</f>
        <v>0</v>
      </c>
    </row>
    <row r="699" spans="1:34">
      <c r="A699" s="28">
        <f>IF(B699="","",AppointmentPrefix&amp;TEXT(ROW()-4,"0000"))</f>
        <v>0</v>
      </c>
      <c r="C699" s="15">
        <f>IF(B699="","",TEXT(B699,"ddd"))</f>
        <v>0</v>
      </c>
      <c r="F699" s="15">
        <f>IF(E699="","",IFERROR(INDEX(Clients!$B$5:$B$504,MATCH(E699,Clients!$A$5:$A$504,0)),"Walk-in"))</f>
        <v>0</v>
      </c>
      <c r="H699" s="15">
        <f>IF(G699="","",IFERROR(INDEX(Services!$B$5:$B$204,MATCH(G699,Services!$A$5:$A$204,0)),"Not in Services"))</f>
        <v>0</v>
      </c>
      <c r="J699" s="15">
        <f>IF(I699="","",IFERROR(INDEX(Staff!$B$5:$B$44,MATCH(I699,Staff!$A$5:$A$44,0)),"Unassigned"))</f>
        <v>0</v>
      </c>
      <c r="S699" s="15">
        <f>IF(B699="","",TEXT(B699,"yyyy-mm"))</f>
        <v>0</v>
      </c>
      <c r="T699" s="25">
        <f>IF(B699="","",WEEKNUM(B699,2))</f>
        <v>0</v>
      </c>
      <c r="U699" s="25">
        <f>IF(B699="","",IF(K699&lt;&gt;"",K699,IFERROR(INDEX(Services!$E$5:$E$204,MATCH(G699,Services!$A$5:$A$204,0))*1,0)+IFERROR(INDEX(Services!$F$5:$F$204,MATCH(G699,Services!$A$5:$A$204,0))*1,0)))</f>
        <v>0</v>
      </c>
      <c r="V699" s="36">
        <f>IF(B699="","",IF(D699="","",D699+U699/1440))</f>
        <v>0</v>
      </c>
      <c r="W699" s="25">
        <f>IF(B699="","",IF(D699="","",HOUR(D699)))</f>
        <v>0</v>
      </c>
      <c r="X699" s="37">
        <f>IF(B699="","",ROUND(U699/60,2))</f>
        <v>0</v>
      </c>
      <c r="Y699" s="26">
        <f>IF(B699="","",IF(L699&lt;&gt;"",L699,IFERROR(INDEX(Services!$G$5:$G$204,MATCH(G699,Services!$A$5:$A$204,0))*1,0)))</f>
        <v>0</v>
      </c>
      <c r="Z699" s="26">
        <f>IF(B699="","",IF(O699&lt;&gt;"",O699,IF(Y699&gt;=DepositThreshold,ROUND(Y699*DepositPercent,2),0)))</f>
        <v>0</v>
      </c>
      <c r="AA699" s="26">
        <f>IF(B699="","",ROUND(SUMIFS(Payments!$G$5:$G$1204,Payments!$I$5:$I$1204,A699,Payments!$E$5:$E$1204,"Deposit"),2))</f>
        <v>0</v>
      </c>
      <c r="AB699" s="26">
        <f>IF(B699="","",ROUND(SUMIFS(Sales!$Y$5:$Y$1204,Sales!$C$5:$C$1204,A699),2))</f>
        <v>0</v>
      </c>
      <c r="AC699" s="38">
        <f>IF(B699="","",IF(M699="Completed","Yes",IF(M699="Cancelled","Yes",IF(M699="No show","Yes","No"))))</f>
        <v>0</v>
      </c>
      <c r="AD699" s="25">
        <f>IF(B699="","",IF(AE699="","",B699-AE699))</f>
        <v>0</v>
      </c>
      <c r="AF699" s="38">
        <f>IF(B699="","",IF(M699&lt;&gt;"Completed","",IF(E699="","No",IF(COUNTIFS(Appointments!$E$5:$E$1204,E699,Appointments!$B$5:$B$1204,"&gt;"&amp;B699,Appointments!$M$5:$M$1204,"&lt;&gt;Cancelled")&gt;0,"Yes","No"))))</f>
        <v>0</v>
      </c>
      <c r="AG699" s="38">
        <f>IF(B699="","",IF(I699="","",IF(D699="","",IF(COUNTIFS($I$5:$I$1204,I699,$B$5:$B$1204,B699,$D$5:$D$1204,"&lt;"&amp;V699,$V$5:$V$1204,"&gt;"&amp;D699,$M$5:$M$1204,"&lt;&gt;Cancelled")&gt;1,"Clash",""))))</f>
        <v>0</v>
      </c>
      <c r="AH699" s="39">
        <f>IF(B699="","",IF(AG699="Clash","Clash - stylist double booked",IF(I699="","Assign - no stylist yet",IF(G699="","Add - no service chosen",IF(M699="No show","No show - charge the fee?",IF(M699="Cancelled","",IF(IF(M699="Completed",AB699&lt;Y699-0.004,FALSE),"Unpaid - nothing rung up for this visit",IF(IF(B699&lt;TodayDate,M699="Booked",FALSE),"Overdue - past date, still only Booked",IF(IF(B699=TodayDate,TRUE,FALSE),"Today",IF(IF(Z699&gt;0,AA699&lt;Z699-0.004,FALSE),"Due - deposit not taken",IF(IF(B699&gt;TodayDate,B699&lt;=TodayDate+2,FALSE),"Confirm - coming up","OK")))))))))))</f>
        <v>0</v>
      </c>
    </row>
    <row r="700" spans="1:34">
      <c r="A700" s="28">
        <f>IF(B700="","",AppointmentPrefix&amp;TEXT(ROW()-4,"0000"))</f>
        <v>0</v>
      </c>
      <c r="C700" s="15">
        <f>IF(B700="","",TEXT(B700,"ddd"))</f>
        <v>0</v>
      </c>
      <c r="F700" s="15">
        <f>IF(E700="","",IFERROR(INDEX(Clients!$B$5:$B$504,MATCH(E700,Clients!$A$5:$A$504,0)),"Walk-in"))</f>
        <v>0</v>
      </c>
      <c r="H700" s="15">
        <f>IF(G700="","",IFERROR(INDEX(Services!$B$5:$B$204,MATCH(G700,Services!$A$5:$A$204,0)),"Not in Services"))</f>
        <v>0</v>
      </c>
      <c r="J700" s="15">
        <f>IF(I700="","",IFERROR(INDEX(Staff!$B$5:$B$44,MATCH(I700,Staff!$A$5:$A$44,0)),"Unassigned"))</f>
        <v>0</v>
      </c>
      <c r="S700" s="15">
        <f>IF(B700="","",TEXT(B700,"yyyy-mm"))</f>
        <v>0</v>
      </c>
      <c r="T700" s="25">
        <f>IF(B700="","",WEEKNUM(B700,2))</f>
        <v>0</v>
      </c>
      <c r="U700" s="25">
        <f>IF(B700="","",IF(K700&lt;&gt;"",K700,IFERROR(INDEX(Services!$E$5:$E$204,MATCH(G700,Services!$A$5:$A$204,0))*1,0)+IFERROR(INDEX(Services!$F$5:$F$204,MATCH(G700,Services!$A$5:$A$204,0))*1,0)))</f>
        <v>0</v>
      </c>
      <c r="V700" s="36">
        <f>IF(B700="","",IF(D700="","",D700+U700/1440))</f>
        <v>0</v>
      </c>
      <c r="W700" s="25">
        <f>IF(B700="","",IF(D700="","",HOUR(D700)))</f>
        <v>0</v>
      </c>
      <c r="X700" s="37">
        <f>IF(B700="","",ROUND(U700/60,2))</f>
        <v>0</v>
      </c>
      <c r="Y700" s="26">
        <f>IF(B700="","",IF(L700&lt;&gt;"",L700,IFERROR(INDEX(Services!$G$5:$G$204,MATCH(G700,Services!$A$5:$A$204,0))*1,0)))</f>
        <v>0</v>
      </c>
      <c r="Z700" s="26">
        <f>IF(B700="","",IF(O700&lt;&gt;"",O700,IF(Y700&gt;=DepositThreshold,ROUND(Y700*DepositPercent,2),0)))</f>
        <v>0</v>
      </c>
      <c r="AA700" s="26">
        <f>IF(B700="","",ROUND(SUMIFS(Payments!$G$5:$G$1204,Payments!$I$5:$I$1204,A700,Payments!$E$5:$E$1204,"Deposit"),2))</f>
        <v>0</v>
      </c>
      <c r="AB700" s="26">
        <f>IF(B700="","",ROUND(SUMIFS(Sales!$Y$5:$Y$1204,Sales!$C$5:$C$1204,A700),2))</f>
        <v>0</v>
      </c>
      <c r="AC700" s="38">
        <f>IF(B700="","",IF(M700="Completed","Yes",IF(M700="Cancelled","Yes",IF(M700="No show","Yes","No"))))</f>
        <v>0</v>
      </c>
      <c r="AD700" s="25">
        <f>IF(B700="","",IF(AE700="","",B700-AE700))</f>
        <v>0</v>
      </c>
      <c r="AF700" s="38">
        <f>IF(B700="","",IF(M700&lt;&gt;"Completed","",IF(E700="","No",IF(COUNTIFS(Appointments!$E$5:$E$1204,E700,Appointments!$B$5:$B$1204,"&gt;"&amp;B700,Appointments!$M$5:$M$1204,"&lt;&gt;Cancelled")&gt;0,"Yes","No"))))</f>
        <v>0</v>
      </c>
      <c r="AG700" s="38">
        <f>IF(B700="","",IF(I700="","",IF(D700="","",IF(COUNTIFS($I$5:$I$1204,I700,$B$5:$B$1204,B700,$D$5:$D$1204,"&lt;"&amp;V700,$V$5:$V$1204,"&gt;"&amp;D700,$M$5:$M$1204,"&lt;&gt;Cancelled")&gt;1,"Clash",""))))</f>
        <v>0</v>
      </c>
      <c r="AH700" s="39">
        <f>IF(B700="","",IF(AG700="Clash","Clash - stylist double booked",IF(I700="","Assign - no stylist yet",IF(G700="","Add - no service chosen",IF(M700="No show","No show - charge the fee?",IF(M700="Cancelled","",IF(IF(M700="Completed",AB700&lt;Y700-0.004,FALSE),"Unpaid - nothing rung up for this visit",IF(IF(B700&lt;TodayDate,M700="Booked",FALSE),"Overdue - past date, still only Booked",IF(IF(B700=TodayDate,TRUE,FALSE),"Today",IF(IF(Z700&gt;0,AA700&lt;Z700-0.004,FALSE),"Due - deposit not taken",IF(IF(B700&gt;TodayDate,B700&lt;=TodayDate+2,FALSE),"Confirm - coming up","OK")))))))))))</f>
        <v>0</v>
      </c>
    </row>
    <row r="701" spans="1:34">
      <c r="A701" s="28">
        <f>IF(B701="","",AppointmentPrefix&amp;TEXT(ROW()-4,"0000"))</f>
        <v>0</v>
      </c>
      <c r="C701" s="15">
        <f>IF(B701="","",TEXT(B701,"ddd"))</f>
        <v>0</v>
      </c>
      <c r="F701" s="15">
        <f>IF(E701="","",IFERROR(INDEX(Clients!$B$5:$B$504,MATCH(E701,Clients!$A$5:$A$504,0)),"Walk-in"))</f>
        <v>0</v>
      </c>
      <c r="H701" s="15">
        <f>IF(G701="","",IFERROR(INDEX(Services!$B$5:$B$204,MATCH(G701,Services!$A$5:$A$204,0)),"Not in Services"))</f>
        <v>0</v>
      </c>
      <c r="J701" s="15">
        <f>IF(I701="","",IFERROR(INDEX(Staff!$B$5:$B$44,MATCH(I701,Staff!$A$5:$A$44,0)),"Unassigned"))</f>
        <v>0</v>
      </c>
      <c r="S701" s="15">
        <f>IF(B701="","",TEXT(B701,"yyyy-mm"))</f>
        <v>0</v>
      </c>
      <c r="T701" s="25">
        <f>IF(B701="","",WEEKNUM(B701,2))</f>
        <v>0</v>
      </c>
      <c r="U701" s="25">
        <f>IF(B701="","",IF(K701&lt;&gt;"",K701,IFERROR(INDEX(Services!$E$5:$E$204,MATCH(G701,Services!$A$5:$A$204,0))*1,0)+IFERROR(INDEX(Services!$F$5:$F$204,MATCH(G701,Services!$A$5:$A$204,0))*1,0)))</f>
        <v>0</v>
      </c>
      <c r="V701" s="36">
        <f>IF(B701="","",IF(D701="","",D701+U701/1440))</f>
        <v>0</v>
      </c>
      <c r="W701" s="25">
        <f>IF(B701="","",IF(D701="","",HOUR(D701)))</f>
        <v>0</v>
      </c>
      <c r="X701" s="37">
        <f>IF(B701="","",ROUND(U701/60,2))</f>
        <v>0</v>
      </c>
      <c r="Y701" s="26">
        <f>IF(B701="","",IF(L701&lt;&gt;"",L701,IFERROR(INDEX(Services!$G$5:$G$204,MATCH(G701,Services!$A$5:$A$204,0))*1,0)))</f>
        <v>0</v>
      </c>
      <c r="Z701" s="26">
        <f>IF(B701="","",IF(O701&lt;&gt;"",O701,IF(Y701&gt;=DepositThreshold,ROUND(Y701*DepositPercent,2),0)))</f>
        <v>0</v>
      </c>
      <c r="AA701" s="26">
        <f>IF(B701="","",ROUND(SUMIFS(Payments!$G$5:$G$1204,Payments!$I$5:$I$1204,A701,Payments!$E$5:$E$1204,"Deposit"),2))</f>
        <v>0</v>
      </c>
      <c r="AB701" s="26">
        <f>IF(B701="","",ROUND(SUMIFS(Sales!$Y$5:$Y$1204,Sales!$C$5:$C$1204,A701),2))</f>
        <v>0</v>
      </c>
      <c r="AC701" s="38">
        <f>IF(B701="","",IF(M701="Completed","Yes",IF(M701="Cancelled","Yes",IF(M701="No show","Yes","No"))))</f>
        <v>0</v>
      </c>
      <c r="AD701" s="25">
        <f>IF(B701="","",IF(AE701="","",B701-AE701))</f>
        <v>0</v>
      </c>
      <c r="AF701" s="38">
        <f>IF(B701="","",IF(M701&lt;&gt;"Completed","",IF(E701="","No",IF(COUNTIFS(Appointments!$E$5:$E$1204,E701,Appointments!$B$5:$B$1204,"&gt;"&amp;B701,Appointments!$M$5:$M$1204,"&lt;&gt;Cancelled")&gt;0,"Yes","No"))))</f>
        <v>0</v>
      </c>
      <c r="AG701" s="38">
        <f>IF(B701="","",IF(I701="","",IF(D701="","",IF(COUNTIFS($I$5:$I$1204,I701,$B$5:$B$1204,B701,$D$5:$D$1204,"&lt;"&amp;V701,$V$5:$V$1204,"&gt;"&amp;D701,$M$5:$M$1204,"&lt;&gt;Cancelled")&gt;1,"Clash",""))))</f>
        <v>0</v>
      </c>
      <c r="AH701" s="39">
        <f>IF(B701="","",IF(AG701="Clash","Clash - stylist double booked",IF(I701="","Assign - no stylist yet",IF(G701="","Add - no service chosen",IF(M701="No show","No show - charge the fee?",IF(M701="Cancelled","",IF(IF(M701="Completed",AB701&lt;Y701-0.004,FALSE),"Unpaid - nothing rung up for this visit",IF(IF(B701&lt;TodayDate,M701="Booked",FALSE),"Overdue - past date, still only Booked",IF(IF(B701=TodayDate,TRUE,FALSE),"Today",IF(IF(Z701&gt;0,AA701&lt;Z701-0.004,FALSE),"Due - deposit not taken",IF(IF(B701&gt;TodayDate,B701&lt;=TodayDate+2,FALSE),"Confirm - coming up","OK")))))))))))</f>
        <v>0</v>
      </c>
    </row>
    <row r="702" spans="1:34">
      <c r="A702" s="28">
        <f>IF(B702="","",AppointmentPrefix&amp;TEXT(ROW()-4,"0000"))</f>
        <v>0</v>
      </c>
      <c r="C702" s="15">
        <f>IF(B702="","",TEXT(B702,"ddd"))</f>
        <v>0</v>
      </c>
      <c r="F702" s="15">
        <f>IF(E702="","",IFERROR(INDEX(Clients!$B$5:$B$504,MATCH(E702,Clients!$A$5:$A$504,0)),"Walk-in"))</f>
        <v>0</v>
      </c>
      <c r="H702" s="15">
        <f>IF(G702="","",IFERROR(INDEX(Services!$B$5:$B$204,MATCH(G702,Services!$A$5:$A$204,0)),"Not in Services"))</f>
        <v>0</v>
      </c>
      <c r="J702" s="15">
        <f>IF(I702="","",IFERROR(INDEX(Staff!$B$5:$B$44,MATCH(I702,Staff!$A$5:$A$44,0)),"Unassigned"))</f>
        <v>0</v>
      </c>
      <c r="S702" s="15">
        <f>IF(B702="","",TEXT(B702,"yyyy-mm"))</f>
        <v>0</v>
      </c>
      <c r="T702" s="25">
        <f>IF(B702="","",WEEKNUM(B702,2))</f>
        <v>0</v>
      </c>
      <c r="U702" s="25">
        <f>IF(B702="","",IF(K702&lt;&gt;"",K702,IFERROR(INDEX(Services!$E$5:$E$204,MATCH(G702,Services!$A$5:$A$204,0))*1,0)+IFERROR(INDEX(Services!$F$5:$F$204,MATCH(G702,Services!$A$5:$A$204,0))*1,0)))</f>
        <v>0</v>
      </c>
      <c r="V702" s="36">
        <f>IF(B702="","",IF(D702="","",D702+U702/1440))</f>
        <v>0</v>
      </c>
      <c r="W702" s="25">
        <f>IF(B702="","",IF(D702="","",HOUR(D702)))</f>
        <v>0</v>
      </c>
      <c r="X702" s="37">
        <f>IF(B702="","",ROUND(U702/60,2))</f>
        <v>0</v>
      </c>
      <c r="Y702" s="26">
        <f>IF(B702="","",IF(L702&lt;&gt;"",L702,IFERROR(INDEX(Services!$G$5:$G$204,MATCH(G702,Services!$A$5:$A$204,0))*1,0)))</f>
        <v>0</v>
      </c>
      <c r="Z702" s="26">
        <f>IF(B702="","",IF(O702&lt;&gt;"",O702,IF(Y702&gt;=DepositThreshold,ROUND(Y702*DepositPercent,2),0)))</f>
        <v>0</v>
      </c>
      <c r="AA702" s="26">
        <f>IF(B702="","",ROUND(SUMIFS(Payments!$G$5:$G$1204,Payments!$I$5:$I$1204,A702,Payments!$E$5:$E$1204,"Deposit"),2))</f>
        <v>0</v>
      </c>
      <c r="AB702" s="26">
        <f>IF(B702="","",ROUND(SUMIFS(Sales!$Y$5:$Y$1204,Sales!$C$5:$C$1204,A702),2))</f>
        <v>0</v>
      </c>
      <c r="AC702" s="38">
        <f>IF(B702="","",IF(M702="Completed","Yes",IF(M702="Cancelled","Yes",IF(M702="No show","Yes","No"))))</f>
        <v>0</v>
      </c>
      <c r="AD702" s="25">
        <f>IF(B702="","",IF(AE702="","",B702-AE702))</f>
        <v>0</v>
      </c>
      <c r="AF702" s="38">
        <f>IF(B702="","",IF(M702&lt;&gt;"Completed","",IF(E702="","No",IF(COUNTIFS(Appointments!$E$5:$E$1204,E702,Appointments!$B$5:$B$1204,"&gt;"&amp;B702,Appointments!$M$5:$M$1204,"&lt;&gt;Cancelled")&gt;0,"Yes","No"))))</f>
        <v>0</v>
      </c>
      <c r="AG702" s="38">
        <f>IF(B702="","",IF(I702="","",IF(D702="","",IF(COUNTIFS($I$5:$I$1204,I702,$B$5:$B$1204,B702,$D$5:$D$1204,"&lt;"&amp;V702,$V$5:$V$1204,"&gt;"&amp;D702,$M$5:$M$1204,"&lt;&gt;Cancelled")&gt;1,"Clash",""))))</f>
        <v>0</v>
      </c>
      <c r="AH702" s="39">
        <f>IF(B702="","",IF(AG702="Clash","Clash - stylist double booked",IF(I702="","Assign - no stylist yet",IF(G702="","Add - no service chosen",IF(M702="No show","No show - charge the fee?",IF(M702="Cancelled","",IF(IF(M702="Completed",AB702&lt;Y702-0.004,FALSE),"Unpaid - nothing rung up for this visit",IF(IF(B702&lt;TodayDate,M702="Booked",FALSE),"Overdue - past date, still only Booked",IF(IF(B702=TodayDate,TRUE,FALSE),"Today",IF(IF(Z702&gt;0,AA702&lt;Z702-0.004,FALSE),"Due - deposit not taken",IF(IF(B702&gt;TodayDate,B702&lt;=TodayDate+2,FALSE),"Confirm - coming up","OK")))))))))))</f>
        <v>0</v>
      </c>
    </row>
    <row r="703" spans="1:34">
      <c r="A703" s="28">
        <f>IF(B703="","",AppointmentPrefix&amp;TEXT(ROW()-4,"0000"))</f>
        <v>0</v>
      </c>
      <c r="C703" s="15">
        <f>IF(B703="","",TEXT(B703,"ddd"))</f>
        <v>0</v>
      </c>
      <c r="F703" s="15">
        <f>IF(E703="","",IFERROR(INDEX(Clients!$B$5:$B$504,MATCH(E703,Clients!$A$5:$A$504,0)),"Walk-in"))</f>
        <v>0</v>
      </c>
      <c r="H703" s="15">
        <f>IF(G703="","",IFERROR(INDEX(Services!$B$5:$B$204,MATCH(G703,Services!$A$5:$A$204,0)),"Not in Services"))</f>
        <v>0</v>
      </c>
      <c r="J703" s="15">
        <f>IF(I703="","",IFERROR(INDEX(Staff!$B$5:$B$44,MATCH(I703,Staff!$A$5:$A$44,0)),"Unassigned"))</f>
        <v>0</v>
      </c>
      <c r="S703" s="15">
        <f>IF(B703="","",TEXT(B703,"yyyy-mm"))</f>
        <v>0</v>
      </c>
      <c r="T703" s="25">
        <f>IF(B703="","",WEEKNUM(B703,2))</f>
        <v>0</v>
      </c>
      <c r="U703" s="25">
        <f>IF(B703="","",IF(K703&lt;&gt;"",K703,IFERROR(INDEX(Services!$E$5:$E$204,MATCH(G703,Services!$A$5:$A$204,0))*1,0)+IFERROR(INDEX(Services!$F$5:$F$204,MATCH(G703,Services!$A$5:$A$204,0))*1,0)))</f>
        <v>0</v>
      </c>
      <c r="V703" s="36">
        <f>IF(B703="","",IF(D703="","",D703+U703/1440))</f>
        <v>0</v>
      </c>
      <c r="W703" s="25">
        <f>IF(B703="","",IF(D703="","",HOUR(D703)))</f>
        <v>0</v>
      </c>
      <c r="X703" s="37">
        <f>IF(B703="","",ROUND(U703/60,2))</f>
        <v>0</v>
      </c>
      <c r="Y703" s="26">
        <f>IF(B703="","",IF(L703&lt;&gt;"",L703,IFERROR(INDEX(Services!$G$5:$G$204,MATCH(G703,Services!$A$5:$A$204,0))*1,0)))</f>
        <v>0</v>
      </c>
      <c r="Z703" s="26">
        <f>IF(B703="","",IF(O703&lt;&gt;"",O703,IF(Y703&gt;=DepositThreshold,ROUND(Y703*DepositPercent,2),0)))</f>
        <v>0</v>
      </c>
      <c r="AA703" s="26">
        <f>IF(B703="","",ROUND(SUMIFS(Payments!$G$5:$G$1204,Payments!$I$5:$I$1204,A703,Payments!$E$5:$E$1204,"Deposit"),2))</f>
        <v>0</v>
      </c>
      <c r="AB703" s="26">
        <f>IF(B703="","",ROUND(SUMIFS(Sales!$Y$5:$Y$1204,Sales!$C$5:$C$1204,A703),2))</f>
        <v>0</v>
      </c>
      <c r="AC703" s="38">
        <f>IF(B703="","",IF(M703="Completed","Yes",IF(M703="Cancelled","Yes",IF(M703="No show","Yes","No"))))</f>
        <v>0</v>
      </c>
      <c r="AD703" s="25">
        <f>IF(B703="","",IF(AE703="","",B703-AE703))</f>
        <v>0</v>
      </c>
      <c r="AF703" s="38">
        <f>IF(B703="","",IF(M703&lt;&gt;"Completed","",IF(E703="","No",IF(COUNTIFS(Appointments!$E$5:$E$1204,E703,Appointments!$B$5:$B$1204,"&gt;"&amp;B703,Appointments!$M$5:$M$1204,"&lt;&gt;Cancelled")&gt;0,"Yes","No"))))</f>
        <v>0</v>
      </c>
      <c r="AG703" s="38">
        <f>IF(B703="","",IF(I703="","",IF(D703="","",IF(COUNTIFS($I$5:$I$1204,I703,$B$5:$B$1204,B703,$D$5:$D$1204,"&lt;"&amp;V703,$V$5:$V$1204,"&gt;"&amp;D703,$M$5:$M$1204,"&lt;&gt;Cancelled")&gt;1,"Clash",""))))</f>
        <v>0</v>
      </c>
      <c r="AH703" s="39">
        <f>IF(B703="","",IF(AG703="Clash","Clash - stylist double booked",IF(I703="","Assign - no stylist yet",IF(G703="","Add - no service chosen",IF(M703="No show","No show - charge the fee?",IF(M703="Cancelled","",IF(IF(M703="Completed",AB703&lt;Y703-0.004,FALSE),"Unpaid - nothing rung up for this visit",IF(IF(B703&lt;TodayDate,M703="Booked",FALSE),"Overdue - past date, still only Booked",IF(IF(B703=TodayDate,TRUE,FALSE),"Today",IF(IF(Z703&gt;0,AA703&lt;Z703-0.004,FALSE),"Due - deposit not taken",IF(IF(B703&gt;TodayDate,B703&lt;=TodayDate+2,FALSE),"Confirm - coming up","OK")))))))))))</f>
        <v>0</v>
      </c>
    </row>
    <row r="704" spans="1:34">
      <c r="A704" s="28">
        <f>IF(B704="","",AppointmentPrefix&amp;TEXT(ROW()-4,"0000"))</f>
        <v>0</v>
      </c>
      <c r="C704" s="15">
        <f>IF(B704="","",TEXT(B704,"ddd"))</f>
        <v>0</v>
      </c>
      <c r="F704" s="15">
        <f>IF(E704="","",IFERROR(INDEX(Clients!$B$5:$B$504,MATCH(E704,Clients!$A$5:$A$504,0)),"Walk-in"))</f>
        <v>0</v>
      </c>
      <c r="H704" s="15">
        <f>IF(G704="","",IFERROR(INDEX(Services!$B$5:$B$204,MATCH(G704,Services!$A$5:$A$204,0)),"Not in Services"))</f>
        <v>0</v>
      </c>
      <c r="J704" s="15">
        <f>IF(I704="","",IFERROR(INDEX(Staff!$B$5:$B$44,MATCH(I704,Staff!$A$5:$A$44,0)),"Unassigned"))</f>
        <v>0</v>
      </c>
      <c r="S704" s="15">
        <f>IF(B704="","",TEXT(B704,"yyyy-mm"))</f>
        <v>0</v>
      </c>
      <c r="T704" s="25">
        <f>IF(B704="","",WEEKNUM(B704,2))</f>
        <v>0</v>
      </c>
      <c r="U704" s="25">
        <f>IF(B704="","",IF(K704&lt;&gt;"",K704,IFERROR(INDEX(Services!$E$5:$E$204,MATCH(G704,Services!$A$5:$A$204,0))*1,0)+IFERROR(INDEX(Services!$F$5:$F$204,MATCH(G704,Services!$A$5:$A$204,0))*1,0)))</f>
        <v>0</v>
      </c>
      <c r="V704" s="36">
        <f>IF(B704="","",IF(D704="","",D704+U704/1440))</f>
        <v>0</v>
      </c>
      <c r="W704" s="25">
        <f>IF(B704="","",IF(D704="","",HOUR(D704)))</f>
        <v>0</v>
      </c>
      <c r="X704" s="37">
        <f>IF(B704="","",ROUND(U704/60,2))</f>
        <v>0</v>
      </c>
      <c r="Y704" s="26">
        <f>IF(B704="","",IF(L704&lt;&gt;"",L704,IFERROR(INDEX(Services!$G$5:$G$204,MATCH(G704,Services!$A$5:$A$204,0))*1,0)))</f>
        <v>0</v>
      </c>
      <c r="Z704" s="26">
        <f>IF(B704="","",IF(O704&lt;&gt;"",O704,IF(Y704&gt;=DepositThreshold,ROUND(Y704*DepositPercent,2),0)))</f>
        <v>0</v>
      </c>
      <c r="AA704" s="26">
        <f>IF(B704="","",ROUND(SUMIFS(Payments!$G$5:$G$1204,Payments!$I$5:$I$1204,A704,Payments!$E$5:$E$1204,"Deposit"),2))</f>
        <v>0</v>
      </c>
      <c r="AB704" s="26">
        <f>IF(B704="","",ROUND(SUMIFS(Sales!$Y$5:$Y$1204,Sales!$C$5:$C$1204,A704),2))</f>
        <v>0</v>
      </c>
      <c r="AC704" s="38">
        <f>IF(B704="","",IF(M704="Completed","Yes",IF(M704="Cancelled","Yes",IF(M704="No show","Yes","No"))))</f>
        <v>0</v>
      </c>
      <c r="AD704" s="25">
        <f>IF(B704="","",IF(AE704="","",B704-AE704))</f>
        <v>0</v>
      </c>
      <c r="AF704" s="38">
        <f>IF(B704="","",IF(M704&lt;&gt;"Completed","",IF(E704="","No",IF(COUNTIFS(Appointments!$E$5:$E$1204,E704,Appointments!$B$5:$B$1204,"&gt;"&amp;B704,Appointments!$M$5:$M$1204,"&lt;&gt;Cancelled")&gt;0,"Yes","No"))))</f>
        <v>0</v>
      </c>
      <c r="AG704" s="38">
        <f>IF(B704="","",IF(I704="","",IF(D704="","",IF(COUNTIFS($I$5:$I$1204,I704,$B$5:$B$1204,B704,$D$5:$D$1204,"&lt;"&amp;V704,$V$5:$V$1204,"&gt;"&amp;D704,$M$5:$M$1204,"&lt;&gt;Cancelled")&gt;1,"Clash",""))))</f>
        <v>0</v>
      </c>
      <c r="AH704" s="39">
        <f>IF(B704="","",IF(AG704="Clash","Clash - stylist double booked",IF(I704="","Assign - no stylist yet",IF(G704="","Add - no service chosen",IF(M704="No show","No show - charge the fee?",IF(M704="Cancelled","",IF(IF(M704="Completed",AB704&lt;Y704-0.004,FALSE),"Unpaid - nothing rung up for this visit",IF(IF(B704&lt;TodayDate,M704="Booked",FALSE),"Overdue - past date, still only Booked",IF(IF(B704=TodayDate,TRUE,FALSE),"Today",IF(IF(Z704&gt;0,AA704&lt;Z704-0.004,FALSE),"Due - deposit not taken",IF(IF(B704&gt;TodayDate,B704&lt;=TodayDate+2,FALSE),"Confirm - coming up","OK")))))))))))</f>
        <v>0</v>
      </c>
    </row>
    <row r="705" spans="1:34">
      <c r="A705" s="28">
        <f>IF(B705="","",AppointmentPrefix&amp;TEXT(ROW()-4,"0000"))</f>
        <v>0</v>
      </c>
      <c r="C705" s="15">
        <f>IF(B705="","",TEXT(B705,"ddd"))</f>
        <v>0</v>
      </c>
      <c r="F705" s="15">
        <f>IF(E705="","",IFERROR(INDEX(Clients!$B$5:$B$504,MATCH(E705,Clients!$A$5:$A$504,0)),"Walk-in"))</f>
        <v>0</v>
      </c>
      <c r="H705" s="15">
        <f>IF(G705="","",IFERROR(INDEX(Services!$B$5:$B$204,MATCH(G705,Services!$A$5:$A$204,0)),"Not in Services"))</f>
        <v>0</v>
      </c>
      <c r="J705" s="15">
        <f>IF(I705="","",IFERROR(INDEX(Staff!$B$5:$B$44,MATCH(I705,Staff!$A$5:$A$44,0)),"Unassigned"))</f>
        <v>0</v>
      </c>
      <c r="S705" s="15">
        <f>IF(B705="","",TEXT(B705,"yyyy-mm"))</f>
        <v>0</v>
      </c>
      <c r="T705" s="25">
        <f>IF(B705="","",WEEKNUM(B705,2))</f>
        <v>0</v>
      </c>
      <c r="U705" s="25">
        <f>IF(B705="","",IF(K705&lt;&gt;"",K705,IFERROR(INDEX(Services!$E$5:$E$204,MATCH(G705,Services!$A$5:$A$204,0))*1,0)+IFERROR(INDEX(Services!$F$5:$F$204,MATCH(G705,Services!$A$5:$A$204,0))*1,0)))</f>
        <v>0</v>
      </c>
      <c r="V705" s="36">
        <f>IF(B705="","",IF(D705="","",D705+U705/1440))</f>
        <v>0</v>
      </c>
      <c r="W705" s="25">
        <f>IF(B705="","",IF(D705="","",HOUR(D705)))</f>
        <v>0</v>
      </c>
      <c r="X705" s="37">
        <f>IF(B705="","",ROUND(U705/60,2))</f>
        <v>0</v>
      </c>
      <c r="Y705" s="26">
        <f>IF(B705="","",IF(L705&lt;&gt;"",L705,IFERROR(INDEX(Services!$G$5:$G$204,MATCH(G705,Services!$A$5:$A$204,0))*1,0)))</f>
        <v>0</v>
      </c>
      <c r="Z705" s="26">
        <f>IF(B705="","",IF(O705&lt;&gt;"",O705,IF(Y705&gt;=DepositThreshold,ROUND(Y705*DepositPercent,2),0)))</f>
        <v>0</v>
      </c>
      <c r="AA705" s="26">
        <f>IF(B705="","",ROUND(SUMIFS(Payments!$G$5:$G$1204,Payments!$I$5:$I$1204,A705,Payments!$E$5:$E$1204,"Deposit"),2))</f>
        <v>0</v>
      </c>
      <c r="AB705" s="26">
        <f>IF(B705="","",ROUND(SUMIFS(Sales!$Y$5:$Y$1204,Sales!$C$5:$C$1204,A705),2))</f>
        <v>0</v>
      </c>
      <c r="AC705" s="38">
        <f>IF(B705="","",IF(M705="Completed","Yes",IF(M705="Cancelled","Yes",IF(M705="No show","Yes","No"))))</f>
        <v>0</v>
      </c>
      <c r="AD705" s="25">
        <f>IF(B705="","",IF(AE705="","",B705-AE705))</f>
        <v>0</v>
      </c>
      <c r="AF705" s="38">
        <f>IF(B705="","",IF(M705&lt;&gt;"Completed","",IF(E705="","No",IF(COUNTIFS(Appointments!$E$5:$E$1204,E705,Appointments!$B$5:$B$1204,"&gt;"&amp;B705,Appointments!$M$5:$M$1204,"&lt;&gt;Cancelled")&gt;0,"Yes","No"))))</f>
        <v>0</v>
      </c>
      <c r="AG705" s="38">
        <f>IF(B705="","",IF(I705="","",IF(D705="","",IF(COUNTIFS($I$5:$I$1204,I705,$B$5:$B$1204,B705,$D$5:$D$1204,"&lt;"&amp;V705,$V$5:$V$1204,"&gt;"&amp;D705,$M$5:$M$1204,"&lt;&gt;Cancelled")&gt;1,"Clash",""))))</f>
        <v>0</v>
      </c>
      <c r="AH705" s="39">
        <f>IF(B705="","",IF(AG705="Clash","Clash - stylist double booked",IF(I705="","Assign - no stylist yet",IF(G705="","Add - no service chosen",IF(M705="No show","No show - charge the fee?",IF(M705="Cancelled","",IF(IF(M705="Completed",AB705&lt;Y705-0.004,FALSE),"Unpaid - nothing rung up for this visit",IF(IF(B705&lt;TodayDate,M705="Booked",FALSE),"Overdue - past date, still only Booked",IF(IF(B705=TodayDate,TRUE,FALSE),"Today",IF(IF(Z705&gt;0,AA705&lt;Z705-0.004,FALSE),"Due - deposit not taken",IF(IF(B705&gt;TodayDate,B705&lt;=TodayDate+2,FALSE),"Confirm - coming up","OK")))))))))))</f>
        <v>0</v>
      </c>
    </row>
    <row r="706" spans="1:34">
      <c r="A706" s="28">
        <f>IF(B706="","",AppointmentPrefix&amp;TEXT(ROW()-4,"0000"))</f>
        <v>0</v>
      </c>
      <c r="C706" s="15">
        <f>IF(B706="","",TEXT(B706,"ddd"))</f>
        <v>0</v>
      </c>
      <c r="F706" s="15">
        <f>IF(E706="","",IFERROR(INDEX(Clients!$B$5:$B$504,MATCH(E706,Clients!$A$5:$A$504,0)),"Walk-in"))</f>
        <v>0</v>
      </c>
      <c r="H706" s="15">
        <f>IF(G706="","",IFERROR(INDEX(Services!$B$5:$B$204,MATCH(G706,Services!$A$5:$A$204,0)),"Not in Services"))</f>
        <v>0</v>
      </c>
      <c r="J706" s="15">
        <f>IF(I706="","",IFERROR(INDEX(Staff!$B$5:$B$44,MATCH(I706,Staff!$A$5:$A$44,0)),"Unassigned"))</f>
        <v>0</v>
      </c>
      <c r="S706" s="15">
        <f>IF(B706="","",TEXT(B706,"yyyy-mm"))</f>
        <v>0</v>
      </c>
      <c r="T706" s="25">
        <f>IF(B706="","",WEEKNUM(B706,2))</f>
        <v>0</v>
      </c>
      <c r="U706" s="25">
        <f>IF(B706="","",IF(K706&lt;&gt;"",K706,IFERROR(INDEX(Services!$E$5:$E$204,MATCH(G706,Services!$A$5:$A$204,0))*1,0)+IFERROR(INDEX(Services!$F$5:$F$204,MATCH(G706,Services!$A$5:$A$204,0))*1,0)))</f>
        <v>0</v>
      </c>
      <c r="V706" s="36">
        <f>IF(B706="","",IF(D706="","",D706+U706/1440))</f>
        <v>0</v>
      </c>
      <c r="W706" s="25">
        <f>IF(B706="","",IF(D706="","",HOUR(D706)))</f>
        <v>0</v>
      </c>
      <c r="X706" s="37">
        <f>IF(B706="","",ROUND(U706/60,2))</f>
        <v>0</v>
      </c>
      <c r="Y706" s="26">
        <f>IF(B706="","",IF(L706&lt;&gt;"",L706,IFERROR(INDEX(Services!$G$5:$G$204,MATCH(G706,Services!$A$5:$A$204,0))*1,0)))</f>
        <v>0</v>
      </c>
      <c r="Z706" s="26">
        <f>IF(B706="","",IF(O706&lt;&gt;"",O706,IF(Y706&gt;=DepositThreshold,ROUND(Y706*DepositPercent,2),0)))</f>
        <v>0</v>
      </c>
      <c r="AA706" s="26">
        <f>IF(B706="","",ROUND(SUMIFS(Payments!$G$5:$G$1204,Payments!$I$5:$I$1204,A706,Payments!$E$5:$E$1204,"Deposit"),2))</f>
        <v>0</v>
      </c>
      <c r="AB706" s="26">
        <f>IF(B706="","",ROUND(SUMIFS(Sales!$Y$5:$Y$1204,Sales!$C$5:$C$1204,A706),2))</f>
        <v>0</v>
      </c>
      <c r="AC706" s="38">
        <f>IF(B706="","",IF(M706="Completed","Yes",IF(M706="Cancelled","Yes",IF(M706="No show","Yes","No"))))</f>
        <v>0</v>
      </c>
      <c r="AD706" s="25">
        <f>IF(B706="","",IF(AE706="","",B706-AE706))</f>
        <v>0</v>
      </c>
      <c r="AF706" s="38">
        <f>IF(B706="","",IF(M706&lt;&gt;"Completed","",IF(E706="","No",IF(COUNTIFS(Appointments!$E$5:$E$1204,E706,Appointments!$B$5:$B$1204,"&gt;"&amp;B706,Appointments!$M$5:$M$1204,"&lt;&gt;Cancelled")&gt;0,"Yes","No"))))</f>
        <v>0</v>
      </c>
      <c r="AG706" s="38">
        <f>IF(B706="","",IF(I706="","",IF(D706="","",IF(COUNTIFS($I$5:$I$1204,I706,$B$5:$B$1204,B706,$D$5:$D$1204,"&lt;"&amp;V706,$V$5:$V$1204,"&gt;"&amp;D706,$M$5:$M$1204,"&lt;&gt;Cancelled")&gt;1,"Clash",""))))</f>
        <v>0</v>
      </c>
      <c r="AH706" s="39">
        <f>IF(B706="","",IF(AG706="Clash","Clash - stylist double booked",IF(I706="","Assign - no stylist yet",IF(G706="","Add - no service chosen",IF(M706="No show","No show - charge the fee?",IF(M706="Cancelled","",IF(IF(M706="Completed",AB706&lt;Y706-0.004,FALSE),"Unpaid - nothing rung up for this visit",IF(IF(B706&lt;TodayDate,M706="Booked",FALSE),"Overdue - past date, still only Booked",IF(IF(B706=TodayDate,TRUE,FALSE),"Today",IF(IF(Z706&gt;0,AA706&lt;Z706-0.004,FALSE),"Due - deposit not taken",IF(IF(B706&gt;TodayDate,B706&lt;=TodayDate+2,FALSE),"Confirm - coming up","OK")))))))))))</f>
        <v>0</v>
      </c>
    </row>
    <row r="707" spans="1:34">
      <c r="A707" s="28">
        <f>IF(B707="","",AppointmentPrefix&amp;TEXT(ROW()-4,"0000"))</f>
        <v>0</v>
      </c>
      <c r="C707" s="15">
        <f>IF(B707="","",TEXT(B707,"ddd"))</f>
        <v>0</v>
      </c>
      <c r="F707" s="15">
        <f>IF(E707="","",IFERROR(INDEX(Clients!$B$5:$B$504,MATCH(E707,Clients!$A$5:$A$504,0)),"Walk-in"))</f>
        <v>0</v>
      </c>
      <c r="H707" s="15">
        <f>IF(G707="","",IFERROR(INDEX(Services!$B$5:$B$204,MATCH(G707,Services!$A$5:$A$204,0)),"Not in Services"))</f>
        <v>0</v>
      </c>
      <c r="J707" s="15">
        <f>IF(I707="","",IFERROR(INDEX(Staff!$B$5:$B$44,MATCH(I707,Staff!$A$5:$A$44,0)),"Unassigned"))</f>
        <v>0</v>
      </c>
      <c r="S707" s="15">
        <f>IF(B707="","",TEXT(B707,"yyyy-mm"))</f>
        <v>0</v>
      </c>
      <c r="T707" s="25">
        <f>IF(B707="","",WEEKNUM(B707,2))</f>
        <v>0</v>
      </c>
      <c r="U707" s="25">
        <f>IF(B707="","",IF(K707&lt;&gt;"",K707,IFERROR(INDEX(Services!$E$5:$E$204,MATCH(G707,Services!$A$5:$A$204,0))*1,0)+IFERROR(INDEX(Services!$F$5:$F$204,MATCH(G707,Services!$A$5:$A$204,0))*1,0)))</f>
        <v>0</v>
      </c>
      <c r="V707" s="36">
        <f>IF(B707="","",IF(D707="","",D707+U707/1440))</f>
        <v>0</v>
      </c>
      <c r="W707" s="25">
        <f>IF(B707="","",IF(D707="","",HOUR(D707)))</f>
        <v>0</v>
      </c>
      <c r="X707" s="37">
        <f>IF(B707="","",ROUND(U707/60,2))</f>
        <v>0</v>
      </c>
      <c r="Y707" s="26">
        <f>IF(B707="","",IF(L707&lt;&gt;"",L707,IFERROR(INDEX(Services!$G$5:$G$204,MATCH(G707,Services!$A$5:$A$204,0))*1,0)))</f>
        <v>0</v>
      </c>
      <c r="Z707" s="26">
        <f>IF(B707="","",IF(O707&lt;&gt;"",O707,IF(Y707&gt;=DepositThreshold,ROUND(Y707*DepositPercent,2),0)))</f>
        <v>0</v>
      </c>
      <c r="AA707" s="26">
        <f>IF(B707="","",ROUND(SUMIFS(Payments!$G$5:$G$1204,Payments!$I$5:$I$1204,A707,Payments!$E$5:$E$1204,"Deposit"),2))</f>
        <v>0</v>
      </c>
      <c r="AB707" s="26">
        <f>IF(B707="","",ROUND(SUMIFS(Sales!$Y$5:$Y$1204,Sales!$C$5:$C$1204,A707),2))</f>
        <v>0</v>
      </c>
      <c r="AC707" s="38">
        <f>IF(B707="","",IF(M707="Completed","Yes",IF(M707="Cancelled","Yes",IF(M707="No show","Yes","No"))))</f>
        <v>0</v>
      </c>
      <c r="AD707" s="25">
        <f>IF(B707="","",IF(AE707="","",B707-AE707))</f>
        <v>0</v>
      </c>
      <c r="AF707" s="38">
        <f>IF(B707="","",IF(M707&lt;&gt;"Completed","",IF(E707="","No",IF(COUNTIFS(Appointments!$E$5:$E$1204,E707,Appointments!$B$5:$B$1204,"&gt;"&amp;B707,Appointments!$M$5:$M$1204,"&lt;&gt;Cancelled")&gt;0,"Yes","No"))))</f>
        <v>0</v>
      </c>
      <c r="AG707" s="38">
        <f>IF(B707="","",IF(I707="","",IF(D707="","",IF(COUNTIFS($I$5:$I$1204,I707,$B$5:$B$1204,B707,$D$5:$D$1204,"&lt;"&amp;V707,$V$5:$V$1204,"&gt;"&amp;D707,$M$5:$M$1204,"&lt;&gt;Cancelled")&gt;1,"Clash",""))))</f>
        <v>0</v>
      </c>
      <c r="AH707" s="39">
        <f>IF(B707="","",IF(AG707="Clash","Clash - stylist double booked",IF(I707="","Assign - no stylist yet",IF(G707="","Add - no service chosen",IF(M707="No show","No show - charge the fee?",IF(M707="Cancelled","",IF(IF(M707="Completed",AB707&lt;Y707-0.004,FALSE),"Unpaid - nothing rung up for this visit",IF(IF(B707&lt;TodayDate,M707="Booked",FALSE),"Overdue - past date, still only Booked",IF(IF(B707=TodayDate,TRUE,FALSE),"Today",IF(IF(Z707&gt;0,AA707&lt;Z707-0.004,FALSE),"Due - deposit not taken",IF(IF(B707&gt;TodayDate,B707&lt;=TodayDate+2,FALSE),"Confirm - coming up","OK")))))))))))</f>
        <v>0</v>
      </c>
    </row>
    <row r="708" spans="1:34">
      <c r="A708" s="28">
        <f>IF(B708="","",AppointmentPrefix&amp;TEXT(ROW()-4,"0000"))</f>
        <v>0</v>
      </c>
      <c r="C708" s="15">
        <f>IF(B708="","",TEXT(B708,"ddd"))</f>
        <v>0</v>
      </c>
      <c r="F708" s="15">
        <f>IF(E708="","",IFERROR(INDEX(Clients!$B$5:$B$504,MATCH(E708,Clients!$A$5:$A$504,0)),"Walk-in"))</f>
        <v>0</v>
      </c>
      <c r="H708" s="15">
        <f>IF(G708="","",IFERROR(INDEX(Services!$B$5:$B$204,MATCH(G708,Services!$A$5:$A$204,0)),"Not in Services"))</f>
        <v>0</v>
      </c>
      <c r="J708" s="15">
        <f>IF(I708="","",IFERROR(INDEX(Staff!$B$5:$B$44,MATCH(I708,Staff!$A$5:$A$44,0)),"Unassigned"))</f>
        <v>0</v>
      </c>
      <c r="S708" s="15">
        <f>IF(B708="","",TEXT(B708,"yyyy-mm"))</f>
        <v>0</v>
      </c>
      <c r="T708" s="25">
        <f>IF(B708="","",WEEKNUM(B708,2))</f>
        <v>0</v>
      </c>
      <c r="U708" s="25">
        <f>IF(B708="","",IF(K708&lt;&gt;"",K708,IFERROR(INDEX(Services!$E$5:$E$204,MATCH(G708,Services!$A$5:$A$204,0))*1,0)+IFERROR(INDEX(Services!$F$5:$F$204,MATCH(G708,Services!$A$5:$A$204,0))*1,0)))</f>
        <v>0</v>
      </c>
      <c r="V708" s="36">
        <f>IF(B708="","",IF(D708="","",D708+U708/1440))</f>
        <v>0</v>
      </c>
      <c r="W708" s="25">
        <f>IF(B708="","",IF(D708="","",HOUR(D708)))</f>
        <v>0</v>
      </c>
      <c r="X708" s="37">
        <f>IF(B708="","",ROUND(U708/60,2))</f>
        <v>0</v>
      </c>
      <c r="Y708" s="26">
        <f>IF(B708="","",IF(L708&lt;&gt;"",L708,IFERROR(INDEX(Services!$G$5:$G$204,MATCH(G708,Services!$A$5:$A$204,0))*1,0)))</f>
        <v>0</v>
      </c>
      <c r="Z708" s="26">
        <f>IF(B708="","",IF(O708&lt;&gt;"",O708,IF(Y708&gt;=DepositThreshold,ROUND(Y708*DepositPercent,2),0)))</f>
        <v>0</v>
      </c>
      <c r="AA708" s="26">
        <f>IF(B708="","",ROUND(SUMIFS(Payments!$G$5:$G$1204,Payments!$I$5:$I$1204,A708,Payments!$E$5:$E$1204,"Deposit"),2))</f>
        <v>0</v>
      </c>
      <c r="AB708" s="26">
        <f>IF(B708="","",ROUND(SUMIFS(Sales!$Y$5:$Y$1204,Sales!$C$5:$C$1204,A708),2))</f>
        <v>0</v>
      </c>
      <c r="AC708" s="38">
        <f>IF(B708="","",IF(M708="Completed","Yes",IF(M708="Cancelled","Yes",IF(M708="No show","Yes","No"))))</f>
        <v>0</v>
      </c>
      <c r="AD708" s="25">
        <f>IF(B708="","",IF(AE708="","",B708-AE708))</f>
        <v>0</v>
      </c>
      <c r="AF708" s="38">
        <f>IF(B708="","",IF(M708&lt;&gt;"Completed","",IF(E708="","No",IF(COUNTIFS(Appointments!$E$5:$E$1204,E708,Appointments!$B$5:$B$1204,"&gt;"&amp;B708,Appointments!$M$5:$M$1204,"&lt;&gt;Cancelled")&gt;0,"Yes","No"))))</f>
        <v>0</v>
      </c>
      <c r="AG708" s="38">
        <f>IF(B708="","",IF(I708="","",IF(D708="","",IF(COUNTIFS($I$5:$I$1204,I708,$B$5:$B$1204,B708,$D$5:$D$1204,"&lt;"&amp;V708,$V$5:$V$1204,"&gt;"&amp;D708,$M$5:$M$1204,"&lt;&gt;Cancelled")&gt;1,"Clash",""))))</f>
        <v>0</v>
      </c>
      <c r="AH708" s="39">
        <f>IF(B708="","",IF(AG708="Clash","Clash - stylist double booked",IF(I708="","Assign - no stylist yet",IF(G708="","Add - no service chosen",IF(M708="No show","No show - charge the fee?",IF(M708="Cancelled","",IF(IF(M708="Completed",AB708&lt;Y708-0.004,FALSE),"Unpaid - nothing rung up for this visit",IF(IF(B708&lt;TodayDate,M708="Booked",FALSE),"Overdue - past date, still only Booked",IF(IF(B708=TodayDate,TRUE,FALSE),"Today",IF(IF(Z708&gt;0,AA708&lt;Z708-0.004,FALSE),"Due - deposit not taken",IF(IF(B708&gt;TodayDate,B708&lt;=TodayDate+2,FALSE),"Confirm - coming up","OK")))))))))))</f>
        <v>0</v>
      </c>
    </row>
    <row r="709" spans="1:34">
      <c r="A709" s="28">
        <f>IF(B709="","",AppointmentPrefix&amp;TEXT(ROW()-4,"0000"))</f>
        <v>0</v>
      </c>
      <c r="C709" s="15">
        <f>IF(B709="","",TEXT(B709,"ddd"))</f>
        <v>0</v>
      </c>
      <c r="F709" s="15">
        <f>IF(E709="","",IFERROR(INDEX(Clients!$B$5:$B$504,MATCH(E709,Clients!$A$5:$A$504,0)),"Walk-in"))</f>
        <v>0</v>
      </c>
      <c r="H709" s="15">
        <f>IF(G709="","",IFERROR(INDEX(Services!$B$5:$B$204,MATCH(G709,Services!$A$5:$A$204,0)),"Not in Services"))</f>
        <v>0</v>
      </c>
      <c r="J709" s="15">
        <f>IF(I709="","",IFERROR(INDEX(Staff!$B$5:$B$44,MATCH(I709,Staff!$A$5:$A$44,0)),"Unassigned"))</f>
        <v>0</v>
      </c>
      <c r="S709" s="15">
        <f>IF(B709="","",TEXT(B709,"yyyy-mm"))</f>
        <v>0</v>
      </c>
      <c r="T709" s="25">
        <f>IF(B709="","",WEEKNUM(B709,2))</f>
        <v>0</v>
      </c>
      <c r="U709" s="25">
        <f>IF(B709="","",IF(K709&lt;&gt;"",K709,IFERROR(INDEX(Services!$E$5:$E$204,MATCH(G709,Services!$A$5:$A$204,0))*1,0)+IFERROR(INDEX(Services!$F$5:$F$204,MATCH(G709,Services!$A$5:$A$204,0))*1,0)))</f>
        <v>0</v>
      </c>
      <c r="V709" s="36">
        <f>IF(B709="","",IF(D709="","",D709+U709/1440))</f>
        <v>0</v>
      </c>
      <c r="W709" s="25">
        <f>IF(B709="","",IF(D709="","",HOUR(D709)))</f>
        <v>0</v>
      </c>
      <c r="X709" s="37">
        <f>IF(B709="","",ROUND(U709/60,2))</f>
        <v>0</v>
      </c>
      <c r="Y709" s="26">
        <f>IF(B709="","",IF(L709&lt;&gt;"",L709,IFERROR(INDEX(Services!$G$5:$G$204,MATCH(G709,Services!$A$5:$A$204,0))*1,0)))</f>
        <v>0</v>
      </c>
      <c r="Z709" s="26">
        <f>IF(B709="","",IF(O709&lt;&gt;"",O709,IF(Y709&gt;=DepositThreshold,ROUND(Y709*DepositPercent,2),0)))</f>
        <v>0</v>
      </c>
      <c r="AA709" s="26">
        <f>IF(B709="","",ROUND(SUMIFS(Payments!$G$5:$G$1204,Payments!$I$5:$I$1204,A709,Payments!$E$5:$E$1204,"Deposit"),2))</f>
        <v>0</v>
      </c>
      <c r="AB709" s="26">
        <f>IF(B709="","",ROUND(SUMIFS(Sales!$Y$5:$Y$1204,Sales!$C$5:$C$1204,A709),2))</f>
        <v>0</v>
      </c>
      <c r="AC709" s="38">
        <f>IF(B709="","",IF(M709="Completed","Yes",IF(M709="Cancelled","Yes",IF(M709="No show","Yes","No"))))</f>
        <v>0</v>
      </c>
      <c r="AD709" s="25">
        <f>IF(B709="","",IF(AE709="","",B709-AE709))</f>
        <v>0</v>
      </c>
      <c r="AF709" s="38">
        <f>IF(B709="","",IF(M709&lt;&gt;"Completed","",IF(E709="","No",IF(COUNTIFS(Appointments!$E$5:$E$1204,E709,Appointments!$B$5:$B$1204,"&gt;"&amp;B709,Appointments!$M$5:$M$1204,"&lt;&gt;Cancelled")&gt;0,"Yes","No"))))</f>
        <v>0</v>
      </c>
      <c r="AG709" s="38">
        <f>IF(B709="","",IF(I709="","",IF(D709="","",IF(COUNTIFS($I$5:$I$1204,I709,$B$5:$B$1204,B709,$D$5:$D$1204,"&lt;"&amp;V709,$V$5:$V$1204,"&gt;"&amp;D709,$M$5:$M$1204,"&lt;&gt;Cancelled")&gt;1,"Clash",""))))</f>
        <v>0</v>
      </c>
      <c r="AH709" s="39">
        <f>IF(B709="","",IF(AG709="Clash","Clash - stylist double booked",IF(I709="","Assign - no stylist yet",IF(G709="","Add - no service chosen",IF(M709="No show","No show - charge the fee?",IF(M709="Cancelled","",IF(IF(M709="Completed",AB709&lt;Y709-0.004,FALSE),"Unpaid - nothing rung up for this visit",IF(IF(B709&lt;TodayDate,M709="Booked",FALSE),"Overdue - past date, still only Booked",IF(IF(B709=TodayDate,TRUE,FALSE),"Today",IF(IF(Z709&gt;0,AA709&lt;Z709-0.004,FALSE),"Due - deposit not taken",IF(IF(B709&gt;TodayDate,B709&lt;=TodayDate+2,FALSE),"Confirm - coming up","OK")))))))))))</f>
        <v>0</v>
      </c>
    </row>
    <row r="710" spans="1:34">
      <c r="A710" s="28">
        <f>IF(B710="","",AppointmentPrefix&amp;TEXT(ROW()-4,"0000"))</f>
        <v>0</v>
      </c>
      <c r="C710" s="15">
        <f>IF(B710="","",TEXT(B710,"ddd"))</f>
        <v>0</v>
      </c>
      <c r="F710" s="15">
        <f>IF(E710="","",IFERROR(INDEX(Clients!$B$5:$B$504,MATCH(E710,Clients!$A$5:$A$504,0)),"Walk-in"))</f>
        <v>0</v>
      </c>
      <c r="H710" s="15">
        <f>IF(G710="","",IFERROR(INDEX(Services!$B$5:$B$204,MATCH(G710,Services!$A$5:$A$204,0)),"Not in Services"))</f>
        <v>0</v>
      </c>
      <c r="J710" s="15">
        <f>IF(I710="","",IFERROR(INDEX(Staff!$B$5:$B$44,MATCH(I710,Staff!$A$5:$A$44,0)),"Unassigned"))</f>
        <v>0</v>
      </c>
      <c r="S710" s="15">
        <f>IF(B710="","",TEXT(B710,"yyyy-mm"))</f>
        <v>0</v>
      </c>
      <c r="T710" s="25">
        <f>IF(B710="","",WEEKNUM(B710,2))</f>
        <v>0</v>
      </c>
      <c r="U710" s="25">
        <f>IF(B710="","",IF(K710&lt;&gt;"",K710,IFERROR(INDEX(Services!$E$5:$E$204,MATCH(G710,Services!$A$5:$A$204,0))*1,0)+IFERROR(INDEX(Services!$F$5:$F$204,MATCH(G710,Services!$A$5:$A$204,0))*1,0)))</f>
        <v>0</v>
      </c>
      <c r="V710" s="36">
        <f>IF(B710="","",IF(D710="","",D710+U710/1440))</f>
        <v>0</v>
      </c>
      <c r="W710" s="25">
        <f>IF(B710="","",IF(D710="","",HOUR(D710)))</f>
        <v>0</v>
      </c>
      <c r="X710" s="37">
        <f>IF(B710="","",ROUND(U710/60,2))</f>
        <v>0</v>
      </c>
      <c r="Y710" s="26">
        <f>IF(B710="","",IF(L710&lt;&gt;"",L710,IFERROR(INDEX(Services!$G$5:$G$204,MATCH(G710,Services!$A$5:$A$204,0))*1,0)))</f>
        <v>0</v>
      </c>
      <c r="Z710" s="26">
        <f>IF(B710="","",IF(O710&lt;&gt;"",O710,IF(Y710&gt;=DepositThreshold,ROUND(Y710*DepositPercent,2),0)))</f>
        <v>0</v>
      </c>
      <c r="AA710" s="26">
        <f>IF(B710="","",ROUND(SUMIFS(Payments!$G$5:$G$1204,Payments!$I$5:$I$1204,A710,Payments!$E$5:$E$1204,"Deposit"),2))</f>
        <v>0</v>
      </c>
      <c r="AB710" s="26">
        <f>IF(B710="","",ROUND(SUMIFS(Sales!$Y$5:$Y$1204,Sales!$C$5:$C$1204,A710),2))</f>
        <v>0</v>
      </c>
      <c r="AC710" s="38">
        <f>IF(B710="","",IF(M710="Completed","Yes",IF(M710="Cancelled","Yes",IF(M710="No show","Yes","No"))))</f>
        <v>0</v>
      </c>
      <c r="AD710" s="25">
        <f>IF(B710="","",IF(AE710="","",B710-AE710))</f>
        <v>0</v>
      </c>
      <c r="AF710" s="38">
        <f>IF(B710="","",IF(M710&lt;&gt;"Completed","",IF(E710="","No",IF(COUNTIFS(Appointments!$E$5:$E$1204,E710,Appointments!$B$5:$B$1204,"&gt;"&amp;B710,Appointments!$M$5:$M$1204,"&lt;&gt;Cancelled")&gt;0,"Yes","No"))))</f>
        <v>0</v>
      </c>
      <c r="AG710" s="38">
        <f>IF(B710="","",IF(I710="","",IF(D710="","",IF(COUNTIFS($I$5:$I$1204,I710,$B$5:$B$1204,B710,$D$5:$D$1204,"&lt;"&amp;V710,$V$5:$V$1204,"&gt;"&amp;D710,$M$5:$M$1204,"&lt;&gt;Cancelled")&gt;1,"Clash",""))))</f>
        <v>0</v>
      </c>
      <c r="AH710" s="39">
        <f>IF(B710="","",IF(AG710="Clash","Clash - stylist double booked",IF(I710="","Assign - no stylist yet",IF(G710="","Add - no service chosen",IF(M710="No show","No show - charge the fee?",IF(M710="Cancelled","",IF(IF(M710="Completed",AB710&lt;Y710-0.004,FALSE),"Unpaid - nothing rung up for this visit",IF(IF(B710&lt;TodayDate,M710="Booked",FALSE),"Overdue - past date, still only Booked",IF(IF(B710=TodayDate,TRUE,FALSE),"Today",IF(IF(Z710&gt;0,AA710&lt;Z710-0.004,FALSE),"Due - deposit not taken",IF(IF(B710&gt;TodayDate,B710&lt;=TodayDate+2,FALSE),"Confirm - coming up","OK")))))))))))</f>
        <v>0</v>
      </c>
    </row>
    <row r="711" spans="1:34">
      <c r="A711" s="28">
        <f>IF(B711="","",AppointmentPrefix&amp;TEXT(ROW()-4,"0000"))</f>
        <v>0</v>
      </c>
      <c r="C711" s="15">
        <f>IF(B711="","",TEXT(B711,"ddd"))</f>
        <v>0</v>
      </c>
      <c r="F711" s="15">
        <f>IF(E711="","",IFERROR(INDEX(Clients!$B$5:$B$504,MATCH(E711,Clients!$A$5:$A$504,0)),"Walk-in"))</f>
        <v>0</v>
      </c>
      <c r="H711" s="15">
        <f>IF(G711="","",IFERROR(INDEX(Services!$B$5:$B$204,MATCH(G711,Services!$A$5:$A$204,0)),"Not in Services"))</f>
        <v>0</v>
      </c>
      <c r="J711" s="15">
        <f>IF(I711="","",IFERROR(INDEX(Staff!$B$5:$B$44,MATCH(I711,Staff!$A$5:$A$44,0)),"Unassigned"))</f>
        <v>0</v>
      </c>
      <c r="S711" s="15">
        <f>IF(B711="","",TEXT(B711,"yyyy-mm"))</f>
        <v>0</v>
      </c>
      <c r="T711" s="25">
        <f>IF(B711="","",WEEKNUM(B711,2))</f>
        <v>0</v>
      </c>
      <c r="U711" s="25">
        <f>IF(B711="","",IF(K711&lt;&gt;"",K711,IFERROR(INDEX(Services!$E$5:$E$204,MATCH(G711,Services!$A$5:$A$204,0))*1,0)+IFERROR(INDEX(Services!$F$5:$F$204,MATCH(G711,Services!$A$5:$A$204,0))*1,0)))</f>
        <v>0</v>
      </c>
      <c r="V711" s="36">
        <f>IF(B711="","",IF(D711="","",D711+U711/1440))</f>
        <v>0</v>
      </c>
      <c r="W711" s="25">
        <f>IF(B711="","",IF(D711="","",HOUR(D711)))</f>
        <v>0</v>
      </c>
      <c r="X711" s="37">
        <f>IF(B711="","",ROUND(U711/60,2))</f>
        <v>0</v>
      </c>
      <c r="Y711" s="26">
        <f>IF(B711="","",IF(L711&lt;&gt;"",L711,IFERROR(INDEX(Services!$G$5:$G$204,MATCH(G711,Services!$A$5:$A$204,0))*1,0)))</f>
        <v>0</v>
      </c>
      <c r="Z711" s="26">
        <f>IF(B711="","",IF(O711&lt;&gt;"",O711,IF(Y711&gt;=DepositThreshold,ROUND(Y711*DepositPercent,2),0)))</f>
        <v>0</v>
      </c>
      <c r="AA711" s="26">
        <f>IF(B711="","",ROUND(SUMIFS(Payments!$G$5:$G$1204,Payments!$I$5:$I$1204,A711,Payments!$E$5:$E$1204,"Deposit"),2))</f>
        <v>0</v>
      </c>
      <c r="AB711" s="26">
        <f>IF(B711="","",ROUND(SUMIFS(Sales!$Y$5:$Y$1204,Sales!$C$5:$C$1204,A711),2))</f>
        <v>0</v>
      </c>
      <c r="AC711" s="38">
        <f>IF(B711="","",IF(M711="Completed","Yes",IF(M711="Cancelled","Yes",IF(M711="No show","Yes","No"))))</f>
        <v>0</v>
      </c>
      <c r="AD711" s="25">
        <f>IF(B711="","",IF(AE711="","",B711-AE711))</f>
        <v>0</v>
      </c>
      <c r="AF711" s="38">
        <f>IF(B711="","",IF(M711&lt;&gt;"Completed","",IF(E711="","No",IF(COUNTIFS(Appointments!$E$5:$E$1204,E711,Appointments!$B$5:$B$1204,"&gt;"&amp;B711,Appointments!$M$5:$M$1204,"&lt;&gt;Cancelled")&gt;0,"Yes","No"))))</f>
        <v>0</v>
      </c>
      <c r="AG711" s="38">
        <f>IF(B711="","",IF(I711="","",IF(D711="","",IF(COUNTIFS($I$5:$I$1204,I711,$B$5:$B$1204,B711,$D$5:$D$1204,"&lt;"&amp;V711,$V$5:$V$1204,"&gt;"&amp;D711,$M$5:$M$1204,"&lt;&gt;Cancelled")&gt;1,"Clash",""))))</f>
        <v>0</v>
      </c>
      <c r="AH711" s="39">
        <f>IF(B711="","",IF(AG711="Clash","Clash - stylist double booked",IF(I711="","Assign - no stylist yet",IF(G711="","Add - no service chosen",IF(M711="No show","No show - charge the fee?",IF(M711="Cancelled","",IF(IF(M711="Completed",AB711&lt;Y711-0.004,FALSE),"Unpaid - nothing rung up for this visit",IF(IF(B711&lt;TodayDate,M711="Booked",FALSE),"Overdue - past date, still only Booked",IF(IF(B711=TodayDate,TRUE,FALSE),"Today",IF(IF(Z711&gt;0,AA711&lt;Z711-0.004,FALSE),"Due - deposit not taken",IF(IF(B711&gt;TodayDate,B711&lt;=TodayDate+2,FALSE),"Confirm - coming up","OK")))))))))))</f>
        <v>0</v>
      </c>
    </row>
    <row r="712" spans="1:34">
      <c r="A712" s="28">
        <f>IF(B712="","",AppointmentPrefix&amp;TEXT(ROW()-4,"0000"))</f>
        <v>0</v>
      </c>
      <c r="C712" s="15">
        <f>IF(B712="","",TEXT(B712,"ddd"))</f>
        <v>0</v>
      </c>
      <c r="F712" s="15">
        <f>IF(E712="","",IFERROR(INDEX(Clients!$B$5:$B$504,MATCH(E712,Clients!$A$5:$A$504,0)),"Walk-in"))</f>
        <v>0</v>
      </c>
      <c r="H712" s="15">
        <f>IF(G712="","",IFERROR(INDEX(Services!$B$5:$B$204,MATCH(G712,Services!$A$5:$A$204,0)),"Not in Services"))</f>
        <v>0</v>
      </c>
      <c r="J712" s="15">
        <f>IF(I712="","",IFERROR(INDEX(Staff!$B$5:$B$44,MATCH(I712,Staff!$A$5:$A$44,0)),"Unassigned"))</f>
        <v>0</v>
      </c>
      <c r="S712" s="15">
        <f>IF(B712="","",TEXT(B712,"yyyy-mm"))</f>
        <v>0</v>
      </c>
      <c r="T712" s="25">
        <f>IF(B712="","",WEEKNUM(B712,2))</f>
        <v>0</v>
      </c>
      <c r="U712" s="25">
        <f>IF(B712="","",IF(K712&lt;&gt;"",K712,IFERROR(INDEX(Services!$E$5:$E$204,MATCH(G712,Services!$A$5:$A$204,0))*1,0)+IFERROR(INDEX(Services!$F$5:$F$204,MATCH(G712,Services!$A$5:$A$204,0))*1,0)))</f>
        <v>0</v>
      </c>
      <c r="V712" s="36">
        <f>IF(B712="","",IF(D712="","",D712+U712/1440))</f>
        <v>0</v>
      </c>
      <c r="W712" s="25">
        <f>IF(B712="","",IF(D712="","",HOUR(D712)))</f>
        <v>0</v>
      </c>
      <c r="X712" s="37">
        <f>IF(B712="","",ROUND(U712/60,2))</f>
        <v>0</v>
      </c>
      <c r="Y712" s="26">
        <f>IF(B712="","",IF(L712&lt;&gt;"",L712,IFERROR(INDEX(Services!$G$5:$G$204,MATCH(G712,Services!$A$5:$A$204,0))*1,0)))</f>
        <v>0</v>
      </c>
      <c r="Z712" s="26">
        <f>IF(B712="","",IF(O712&lt;&gt;"",O712,IF(Y712&gt;=DepositThreshold,ROUND(Y712*DepositPercent,2),0)))</f>
        <v>0</v>
      </c>
      <c r="AA712" s="26">
        <f>IF(B712="","",ROUND(SUMIFS(Payments!$G$5:$G$1204,Payments!$I$5:$I$1204,A712,Payments!$E$5:$E$1204,"Deposit"),2))</f>
        <v>0</v>
      </c>
      <c r="AB712" s="26">
        <f>IF(B712="","",ROUND(SUMIFS(Sales!$Y$5:$Y$1204,Sales!$C$5:$C$1204,A712),2))</f>
        <v>0</v>
      </c>
      <c r="AC712" s="38">
        <f>IF(B712="","",IF(M712="Completed","Yes",IF(M712="Cancelled","Yes",IF(M712="No show","Yes","No"))))</f>
        <v>0</v>
      </c>
      <c r="AD712" s="25">
        <f>IF(B712="","",IF(AE712="","",B712-AE712))</f>
        <v>0</v>
      </c>
      <c r="AF712" s="38">
        <f>IF(B712="","",IF(M712&lt;&gt;"Completed","",IF(E712="","No",IF(COUNTIFS(Appointments!$E$5:$E$1204,E712,Appointments!$B$5:$B$1204,"&gt;"&amp;B712,Appointments!$M$5:$M$1204,"&lt;&gt;Cancelled")&gt;0,"Yes","No"))))</f>
        <v>0</v>
      </c>
      <c r="AG712" s="38">
        <f>IF(B712="","",IF(I712="","",IF(D712="","",IF(COUNTIFS($I$5:$I$1204,I712,$B$5:$B$1204,B712,$D$5:$D$1204,"&lt;"&amp;V712,$V$5:$V$1204,"&gt;"&amp;D712,$M$5:$M$1204,"&lt;&gt;Cancelled")&gt;1,"Clash",""))))</f>
        <v>0</v>
      </c>
      <c r="AH712" s="39">
        <f>IF(B712="","",IF(AG712="Clash","Clash - stylist double booked",IF(I712="","Assign - no stylist yet",IF(G712="","Add - no service chosen",IF(M712="No show","No show - charge the fee?",IF(M712="Cancelled","",IF(IF(M712="Completed",AB712&lt;Y712-0.004,FALSE),"Unpaid - nothing rung up for this visit",IF(IF(B712&lt;TodayDate,M712="Booked",FALSE),"Overdue - past date, still only Booked",IF(IF(B712=TodayDate,TRUE,FALSE),"Today",IF(IF(Z712&gt;0,AA712&lt;Z712-0.004,FALSE),"Due - deposit not taken",IF(IF(B712&gt;TodayDate,B712&lt;=TodayDate+2,FALSE),"Confirm - coming up","OK")))))))))))</f>
        <v>0</v>
      </c>
    </row>
    <row r="713" spans="1:34">
      <c r="A713" s="28">
        <f>IF(B713="","",AppointmentPrefix&amp;TEXT(ROW()-4,"0000"))</f>
        <v>0</v>
      </c>
      <c r="C713" s="15">
        <f>IF(B713="","",TEXT(B713,"ddd"))</f>
        <v>0</v>
      </c>
      <c r="F713" s="15">
        <f>IF(E713="","",IFERROR(INDEX(Clients!$B$5:$B$504,MATCH(E713,Clients!$A$5:$A$504,0)),"Walk-in"))</f>
        <v>0</v>
      </c>
      <c r="H713" s="15">
        <f>IF(G713="","",IFERROR(INDEX(Services!$B$5:$B$204,MATCH(G713,Services!$A$5:$A$204,0)),"Not in Services"))</f>
        <v>0</v>
      </c>
      <c r="J713" s="15">
        <f>IF(I713="","",IFERROR(INDEX(Staff!$B$5:$B$44,MATCH(I713,Staff!$A$5:$A$44,0)),"Unassigned"))</f>
        <v>0</v>
      </c>
      <c r="S713" s="15">
        <f>IF(B713="","",TEXT(B713,"yyyy-mm"))</f>
        <v>0</v>
      </c>
      <c r="T713" s="25">
        <f>IF(B713="","",WEEKNUM(B713,2))</f>
        <v>0</v>
      </c>
      <c r="U713" s="25">
        <f>IF(B713="","",IF(K713&lt;&gt;"",K713,IFERROR(INDEX(Services!$E$5:$E$204,MATCH(G713,Services!$A$5:$A$204,0))*1,0)+IFERROR(INDEX(Services!$F$5:$F$204,MATCH(G713,Services!$A$5:$A$204,0))*1,0)))</f>
        <v>0</v>
      </c>
      <c r="V713" s="36">
        <f>IF(B713="","",IF(D713="","",D713+U713/1440))</f>
        <v>0</v>
      </c>
      <c r="W713" s="25">
        <f>IF(B713="","",IF(D713="","",HOUR(D713)))</f>
        <v>0</v>
      </c>
      <c r="X713" s="37">
        <f>IF(B713="","",ROUND(U713/60,2))</f>
        <v>0</v>
      </c>
      <c r="Y713" s="26">
        <f>IF(B713="","",IF(L713&lt;&gt;"",L713,IFERROR(INDEX(Services!$G$5:$G$204,MATCH(G713,Services!$A$5:$A$204,0))*1,0)))</f>
        <v>0</v>
      </c>
      <c r="Z713" s="26">
        <f>IF(B713="","",IF(O713&lt;&gt;"",O713,IF(Y713&gt;=DepositThreshold,ROUND(Y713*DepositPercent,2),0)))</f>
        <v>0</v>
      </c>
      <c r="AA713" s="26">
        <f>IF(B713="","",ROUND(SUMIFS(Payments!$G$5:$G$1204,Payments!$I$5:$I$1204,A713,Payments!$E$5:$E$1204,"Deposit"),2))</f>
        <v>0</v>
      </c>
      <c r="AB713" s="26">
        <f>IF(B713="","",ROUND(SUMIFS(Sales!$Y$5:$Y$1204,Sales!$C$5:$C$1204,A713),2))</f>
        <v>0</v>
      </c>
      <c r="AC713" s="38">
        <f>IF(B713="","",IF(M713="Completed","Yes",IF(M713="Cancelled","Yes",IF(M713="No show","Yes","No"))))</f>
        <v>0</v>
      </c>
      <c r="AD713" s="25">
        <f>IF(B713="","",IF(AE713="","",B713-AE713))</f>
        <v>0</v>
      </c>
      <c r="AF713" s="38">
        <f>IF(B713="","",IF(M713&lt;&gt;"Completed","",IF(E713="","No",IF(COUNTIFS(Appointments!$E$5:$E$1204,E713,Appointments!$B$5:$B$1204,"&gt;"&amp;B713,Appointments!$M$5:$M$1204,"&lt;&gt;Cancelled")&gt;0,"Yes","No"))))</f>
        <v>0</v>
      </c>
      <c r="AG713" s="38">
        <f>IF(B713="","",IF(I713="","",IF(D713="","",IF(COUNTIFS($I$5:$I$1204,I713,$B$5:$B$1204,B713,$D$5:$D$1204,"&lt;"&amp;V713,$V$5:$V$1204,"&gt;"&amp;D713,$M$5:$M$1204,"&lt;&gt;Cancelled")&gt;1,"Clash",""))))</f>
        <v>0</v>
      </c>
      <c r="AH713" s="39">
        <f>IF(B713="","",IF(AG713="Clash","Clash - stylist double booked",IF(I713="","Assign - no stylist yet",IF(G713="","Add - no service chosen",IF(M713="No show","No show - charge the fee?",IF(M713="Cancelled","",IF(IF(M713="Completed",AB713&lt;Y713-0.004,FALSE),"Unpaid - nothing rung up for this visit",IF(IF(B713&lt;TodayDate,M713="Booked",FALSE),"Overdue - past date, still only Booked",IF(IF(B713=TodayDate,TRUE,FALSE),"Today",IF(IF(Z713&gt;0,AA713&lt;Z713-0.004,FALSE),"Due - deposit not taken",IF(IF(B713&gt;TodayDate,B713&lt;=TodayDate+2,FALSE),"Confirm - coming up","OK")))))))))))</f>
        <v>0</v>
      </c>
    </row>
    <row r="714" spans="1:34">
      <c r="A714" s="28">
        <f>IF(B714="","",AppointmentPrefix&amp;TEXT(ROW()-4,"0000"))</f>
        <v>0</v>
      </c>
      <c r="C714" s="15">
        <f>IF(B714="","",TEXT(B714,"ddd"))</f>
        <v>0</v>
      </c>
      <c r="F714" s="15">
        <f>IF(E714="","",IFERROR(INDEX(Clients!$B$5:$B$504,MATCH(E714,Clients!$A$5:$A$504,0)),"Walk-in"))</f>
        <v>0</v>
      </c>
      <c r="H714" s="15">
        <f>IF(G714="","",IFERROR(INDEX(Services!$B$5:$B$204,MATCH(G714,Services!$A$5:$A$204,0)),"Not in Services"))</f>
        <v>0</v>
      </c>
      <c r="J714" s="15">
        <f>IF(I714="","",IFERROR(INDEX(Staff!$B$5:$B$44,MATCH(I714,Staff!$A$5:$A$44,0)),"Unassigned"))</f>
        <v>0</v>
      </c>
      <c r="S714" s="15">
        <f>IF(B714="","",TEXT(B714,"yyyy-mm"))</f>
        <v>0</v>
      </c>
      <c r="T714" s="25">
        <f>IF(B714="","",WEEKNUM(B714,2))</f>
        <v>0</v>
      </c>
      <c r="U714" s="25">
        <f>IF(B714="","",IF(K714&lt;&gt;"",K714,IFERROR(INDEX(Services!$E$5:$E$204,MATCH(G714,Services!$A$5:$A$204,0))*1,0)+IFERROR(INDEX(Services!$F$5:$F$204,MATCH(G714,Services!$A$5:$A$204,0))*1,0)))</f>
        <v>0</v>
      </c>
      <c r="V714" s="36">
        <f>IF(B714="","",IF(D714="","",D714+U714/1440))</f>
        <v>0</v>
      </c>
      <c r="W714" s="25">
        <f>IF(B714="","",IF(D714="","",HOUR(D714)))</f>
        <v>0</v>
      </c>
      <c r="X714" s="37">
        <f>IF(B714="","",ROUND(U714/60,2))</f>
        <v>0</v>
      </c>
      <c r="Y714" s="26">
        <f>IF(B714="","",IF(L714&lt;&gt;"",L714,IFERROR(INDEX(Services!$G$5:$G$204,MATCH(G714,Services!$A$5:$A$204,0))*1,0)))</f>
        <v>0</v>
      </c>
      <c r="Z714" s="26">
        <f>IF(B714="","",IF(O714&lt;&gt;"",O714,IF(Y714&gt;=DepositThreshold,ROUND(Y714*DepositPercent,2),0)))</f>
        <v>0</v>
      </c>
      <c r="AA714" s="26">
        <f>IF(B714="","",ROUND(SUMIFS(Payments!$G$5:$G$1204,Payments!$I$5:$I$1204,A714,Payments!$E$5:$E$1204,"Deposit"),2))</f>
        <v>0</v>
      </c>
      <c r="AB714" s="26">
        <f>IF(B714="","",ROUND(SUMIFS(Sales!$Y$5:$Y$1204,Sales!$C$5:$C$1204,A714),2))</f>
        <v>0</v>
      </c>
      <c r="AC714" s="38">
        <f>IF(B714="","",IF(M714="Completed","Yes",IF(M714="Cancelled","Yes",IF(M714="No show","Yes","No"))))</f>
        <v>0</v>
      </c>
      <c r="AD714" s="25">
        <f>IF(B714="","",IF(AE714="","",B714-AE714))</f>
        <v>0</v>
      </c>
      <c r="AF714" s="38">
        <f>IF(B714="","",IF(M714&lt;&gt;"Completed","",IF(E714="","No",IF(COUNTIFS(Appointments!$E$5:$E$1204,E714,Appointments!$B$5:$B$1204,"&gt;"&amp;B714,Appointments!$M$5:$M$1204,"&lt;&gt;Cancelled")&gt;0,"Yes","No"))))</f>
        <v>0</v>
      </c>
      <c r="AG714" s="38">
        <f>IF(B714="","",IF(I714="","",IF(D714="","",IF(COUNTIFS($I$5:$I$1204,I714,$B$5:$B$1204,B714,$D$5:$D$1204,"&lt;"&amp;V714,$V$5:$V$1204,"&gt;"&amp;D714,$M$5:$M$1204,"&lt;&gt;Cancelled")&gt;1,"Clash",""))))</f>
        <v>0</v>
      </c>
      <c r="AH714" s="39">
        <f>IF(B714="","",IF(AG714="Clash","Clash - stylist double booked",IF(I714="","Assign - no stylist yet",IF(G714="","Add - no service chosen",IF(M714="No show","No show - charge the fee?",IF(M714="Cancelled","",IF(IF(M714="Completed",AB714&lt;Y714-0.004,FALSE),"Unpaid - nothing rung up for this visit",IF(IF(B714&lt;TodayDate,M714="Booked",FALSE),"Overdue - past date, still only Booked",IF(IF(B714=TodayDate,TRUE,FALSE),"Today",IF(IF(Z714&gt;0,AA714&lt;Z714-0.004,FALSE),"Due - deposit not taken",IF(IF(B714&gt;TodayDate,B714&lt;=TodayDate+2,FALSE),"Confirm - coming up","OK")))))))))))</f>
        <v>0</v>
      </c>
    </row>
    <row r="715" spans="1:34">
      <c r="A715" s="28">
        <f>IF(B715="","",AppointmentPrefix&amp;TEXT(ROW()-4,"0000"))</f>
        <v>0</v>
      </c>
      <c r="C715" s="15">
        <f>IF(B715="","",TEXT(B715,"ddd"))</f>
        <v>0</v>
      </c>
      <c r="F715" s="15">
        <f>IF(E715="","",IFERROR(INDEX(Clients!$B$5:$B$504,MATCH(E715,Clients!$A$5:$A$504,0)),"Walk-in"))</f>
        <v>0</v>
      </c>
      <c r="H715" s="15">
        <f>IF(G715="","",IFERROR(INDEX(Services!$B$5:$B$204,MATCH(G715,Services!$A$5:$A$204,0)),"Not in Services"))</f>
        <v>0</v>
      </c>
      <c r="J715" s="15">
        <f>IF(I715="","",IFERROR(INDEX(Staff!$B$5:$B$44,MATCH(I715,Staff!$A$5:$A$44,0)),"Unassigned"))</f>
        <v>0</v>
      </c>
      <c r="S715" s="15">
        <f>IF(B715="","",TEXT(B715,"yyyy-mm"))</f>
        <v>0</v>
      </c>
      <c r="T715" s="25">
        <f>IF(B715="","",WEEKNUM(B715,2))</f>
        <v>0</v>
      </c>
      <c r="U715" s="25">
        <f>IF(B715="","",IF(K715&lt;&gt;"",K715,IFERROR(INDEX(Services!$E$5:$E$204,MATCH(G715,Services!$A$5:$A$204,0))*1,0)+IFERROR(INDEX(Services!$F$5:$F$204,MATCH(G715,Services!$A$5:$A$204,0))*1,0)))</f>
        <v>0</v>
      </c>
      <c r="V715" s="36">
        <f>IF(B715="","",IF(D715="","",D715+U715/1440))</f>
        <v>0</v>
      </c>
      <c r="W715" s="25">
        <f>IF(B715="","",IF(D715="","",HOUR(D715)))</f>
        <v>0</v>
      </c>
      <c r="X715" s="37">
        <f>IF(B715="","",ROUND(U715/60,2))</f>
        <v>0</v>
      </c>
      <c r="Y715" s="26">
        <f>IF(B715="","",IF(L715&lt;&gt;"",L715,IFERROR(INDEX(Services!$G$5:$G$204,MATCH(G715,Services!$A$5:$A$204,0))*1,0)))</f>
        <v>0</v>
      </c>
      <c r="Z715" s="26">
        <f>IF(B715="","",IF(O715&lt;&gt;"",O715,IF(Y715&gt;=DepositThreshold,ROUND(Y715*DepositPercent,2),0)))</f>
        <v>0</v>
      </c>
      <c r="AA715" s="26">
        <f>IF(B715="","",ROUND(SUMIFS(Payments!$G$5:$G$1204,Payments!$I$5:$I$1204,A715,Payments!$E$5:$E$1204,"Deposit"),2))</f>
        <v>0</v>
      </c>
      <c r="AB715" s="26">
        <f>IF(B715="","",ROUND(SUMIFS(Sales!$Y$5:$Y$1204,Sales!$C$5:$C$1204,A715),2))</f>
        <v>0</v>
      </c>
      <c r="AC715" s="38">
        <f>IF(B715="","",IF(M715="Completed","Yes",IF(M715="Cancelled","Yes",IF(M715="No show","Yes","No"))))</f>
        <v>0</v>
      </c>
      <c r="AD715" s="25">
        <f>IF(B715="","",IF(AE715="","",B715-AE715))</f>
        <v>0</v>
      </c>
      <c r="AF715" s="38">
        <f>IF(B715="","",IF(M715&lt;&gt;"Completed","",IF(E715="","No",IF(COUNTIFS(Appointments!$E$5:$E$1204,E715,Appointments!$B$5:$B$1204,"&gt;"&amp;B715,Appointments!$M$5:$M$1204,"&lt;&gt;Cancelled")&gt;0,"Yes","No"))))</f>
        <v>0</v>
      </c>
      <c r="AG715" s="38">
        <f>IF(B715="","",IF(I715="","",IF(D715="","",IF(COUNTIFS($I$5:$I$1204,I715,$B$5:$B$1204,B715,$D$5:$D$1204,"&lt;"&amp;V715,$V$5:$V$1204,"&gt;"&amp;D715,$M$5:$M$1204,"&lt;&gt;Cancelled")&gt;1,"Clash",""))))</f>
        <v>0</v>
      </c>
      <c r="AH715" s="39">
        <f>IF(B715="","",IF(AG715="Clash","Clash - stylist double booked",IF(I715="","Assign - no stylist yet",IF(G715="","Add - no service chosen",IF(M715="No show","No show - charge the fee?",IF(M715="Cancelled","",IF(IF(M715="Completed",AB715&lt;Y715-0.004,FALSE),"Unpaid - nothing rung up for this visit",IF(IF(B715&lt;TodayDate,M715="Booked",FALSE),"Overdue - past date, still only Booked",IF(IF(B715=TodayDate,TRUE,FALSE),"Today",IF(IF(Z715&gt;0,AA715&lt;Z715-0.004,FALSE),"Due - deposit not taken",IF(IF(B715&gt;TodayDate,B715&lt;=TodayDate+2,FALSE),"Confirm - coming up","OK")))))))))))</f>
        <v>0</v>
      </c>
    </row>
    <row r="716" spans="1:34">
      <c r="A716" s="28">
        <f>IF(B716="","",AppointmentPrefix&amp;TEXT(ROW()-4,"0000"))</f>
        <v>0</v>
      </c>
      <c r="C716" s="15">
        <f>IF(B716="","",TEXT(B716,"ddd"))</f>
        <v>0</v>
      </c>
      <c r="F716" s="15">
        <f>IF(E716="","",IFERROR(INDEX(Clients!$B$5:$B$504,MATCH(E716,Clients!$A$5:$A$504,0)),"Walk-in"))</f>
        <v>0</v>
      </c>
      <c r="H716" s="15">
        <f>IF(G716="","",IFERROR(INDEX(Services!$B$5:$B$204,MATCH(G716,Services!$A$5:$A$204,0)),"Not in Services"))</f>
        <v>0</v>
      </c>
      <c r="J716" s="15">
        <f>IF(I716="","",IFERROR(INDEX(Staff!$B$5:$B$44,MATCH(I716,Staff!$A$5:$A$44,0)),"Unassigned"))</f>
        <v>0</v>
      </c>
      <c r="S716" s="15">
        <f>IF(B716="","",TEXT(B716,"yyyy-mm"))</f>
        <v>0</v>
      </c>
      <c r="T716" s="25">
        <f>IF(B716="","",WEEKNUM(B716,2))</f>
        <v>0</v>
      </c>
      <c r="U716" s="25">
        <f>IF(B716="","",IF(K716&lt;&gt;"",K716,IFERROR(INDEX(Services!$E$5:$E$204,MATCH(G716,Services!$A$5:$A$204,0))*1,0)+IFERROR(INDEX(Services!$F$5:$F$204,MATCH(G716,Services!$A$5:$A$204,0))*1,0)))</f>
        <v>0</v>
      </c>
      <c r="V716" s="36">
        <f>IF(B716="","",IF(D716="","",D716+U716/1440))</f>
        <v>0</v>
      </c>
      <c r="W716" s="25">
        <f>IF(B716="","",IF(D716="","",HOUR(D716)))</f>
        <v>0</v>
      </c>
      <c r="X716" s="37">
        <f>IF(B716="","",ROUND(U716/60,2))</f>
        <v>0</v>
      </c>
      <c r="Y716" s="26">
        <f>IF(B716="","",IF(L716&lt;&gt;"",L716,IFERROR(INDEX(Services!$G$5:$G$204,MATCH(G716,Services!$A$5:$A$204,0))*1,0)))</f>
        <v>0</v>
      </c>
      <c r="Z716" s="26">
        <f>IF(B716="","",IF(O716&lt;&gt;"",O716,IF(Y716&gt;=DepositThreshold,ROUND(Y716*DepositPercent,2),0)))</f>
        <v>0</v>
      </c>
      <c r="AA716" s="26">
        <f>IF(B716="","",ROUND(SUMIFS(Payments!$G$5:$G$1204,Payments!$I$5:$I$1204,A716,Payments!$E$5:$E$1204,"Deposit"),2))</f>
        <v>0</v>
      </c>
      <c r="AB716" s="26">
        <f>IF(B716="","",ROUND(SUMIFS(Sales!$Y$5:$Y$1204,Sales!$C$5:$C$1204,A716),2))</f>
        <v>0</v>
      </c>
      <c r="AC716" s="38">
        <f>IF(B716="","",IF(M716="Completed","Yes",IF(M716="Cancelled","Yes",IF(M716="No show","Yes","No"))))</f>
        <v>0</v>
      </c>
      <c r="AD716" s="25">
        <f>IF(B716="","",IF(AE716="","",B716-AE716))</f>
        <v>0</v>
      </c>
      <c r="AF716" s="38">
        <f>IF(B716="","",IF(M716&lt;&gt;"Completed","",IF(E716="","No",IF(COUNTIFS(Appointments!$E$5:$E$1204,E716,Appointments!$B$5:$B$1204,"&gt;"&amp;B716,Appointments!$M$5:$M$1204,"&lt;&gt;Cancelled")&gt;0,"Yes","No"))))</f>
        <v>0</v>
      </c>
      <c r="AG716" s="38">
        <f>IF(B716="","",IF(I716="","",IF(D716="","",IF(COUNTIFS($I$5:$I$1204,I716,$B$5:$B$1204,B716,$D$5:$D$1204,"&lt;"&amp;V716,$V$5:$V$1204,"&gt;"&amp;D716,$M$5:$M$1204,"&lt;&gt;Cancelled")&gt;1,"Clash",""))))</f>
        <v>0</v>
      </c>
      <c r="AH716" s="39">
        <f>IF(B716="","",IF(AG716="Clash","Clash - stylist double booked",IF(I716="","Assign - no stylist yet",IF(G716="","Add - no service chosen",IF(M716="No show","No show - charge the fee?",IF(M716="Cancelled","",IF(IF(M716="Completed",AB716&lt;Y716-0.004,FALSE),"Unpaid - nothing rung up for this visit",IF(IF(B716&lt;TodayDate,M716="Booked",FALSE),"Overdue - past date, still only Booked",IF(IF(B716=TodayDate,TRUE,FALSE),"Today",IF(IF(Z716&gt;0,AA716&lt;Z716-0.004,FALSE),"Due - deposit not taken",IF(IF(B716&gt;TodayDate,B716&lt;=TodayDate+2,FALSE),"Confirm - coming up","OK")))))))))))</f>
        <v>0</v>
      </c>
    </row>
    <row r="717" spans="1:34">
      <c r="A717" s="28">
        <f>IF(B717="","",AppointmentPrefix&amp;TEXT(ROW()-4,"0000"))</f>
        <v>0</v>
      </c>
      <c r="C717" s="15">
        <f>IF(B717="","",TEXT(B717,"ddd"))</f>
        <v>0</v>
      </c>
      <c r="F717" s="15">
        <f>IF(E717="","",IFERROR(INDEX(Clients!$B$5:$B$504,MATCH(E717,Clients!$A$5:$A$504,0)),"Walk-in"))</f>
        <v>0</v>
      </c>
      <c r="H717" s="15">
        <f>IF(G717="","",IFERROR(INDEX(Services!$B$5:$B$204,MATCH(G717,Services!$A$5:$A$204,0)),"Not in Services"))</f>
        <v>0</v>
      </c>
      <c r="J717" s="15">
        <f>IF(I717="","",IFERROR(INDEX(Staff!$B$5:$B$44,MATCH(I717,Staff!$A$5:$A$44,0)),"Unassigned"))</f>
        <v>0</v>
      </c>
      <c r="S717" s="15">
        <f>IF(B717="","",TEXT(B717,"yyyy-mm"))</f>
        <v>0</v>
      </c>
      <c r="T717" s="25">
        <f>IF(B717="","",WEEKNUM(B717,2))</f>
        <v>0</v>
      </c>
      <c r="U717" s="25">
        <f>IF(B717="","",IF(K717&lt;&gt;"",K717,IFERROR(INDEX(Services!$E$5:$E$204,MATCH(G717,Services!$A$5:$A$204,0))*1,0)+IFERROR(INDEX(Services!$F$5:$F$204,MATCH(G717,Services!$A$5:$A$204,0))*1,0)))</f>
        <v>0</v>
      </c>
      <c r="V717" s="36">
        <f>IF(B717="","",IF(D717="","",D717+U717/1440))</f>
        <v>0</v>
      </c>
      <c r="W717" s="25">
        <f>IF(B717="","",IF(D717="","",HOUR(D717)))</f>
        <v>0</v>
      </c>
      <c r="X717" s="37">
        <f>IF(B717="","",ROUND(U717/60,2))</f>
        <v>0</v>
      </c>
      <c r="Y717" s="26">
        <f>IF(B717="","",IF(L717&lt;&gt;"",L717,IFERROR(INDEX(Services!$G$5:$G$204,MATCH(G717,Services!$A$5:$A$204,0))*1,0)))</f>
        <v>0</v>
      </c>
      <c r="Z717" s="26">
        <f>IF(B717="","",IF(O717&lt;&gt;"",O717,IF(Y717&gt;=DepositThreshold,ROUND(Y717*DepositPercent,2),0)))</f>
        <v>0</v>
      </c>
      <c r="AA717" s="26">
        <f>IF(B717="","",ROUND(SUMIFS(Payments!$G$5:$G$1204,Payments!$I$5:$I$1204,A717,Payments!$E$5:$E$1204,"Deposit"),2))</f>
        <v>0</v>
      </c>
      <c r="AB717" s="26">
        <f>IF(B717="","",ROUND(SUMIFS(Sales!$Y$5:$Y$1204,Sales!$C$5:$C$1204,A717),2))</f>
        <v>0</v>
      </c>
      <c r="AC717" s="38">
        <f>IF(B717="","",IF(M717="Completed","Yes",IF(M717="Cancelled","Yes",IF(M717="No show","Yes","No"))))</f>
        <v>0</v>
      </c>
      <c r="AD717" s="25">
        <f>IF(B717="","",IF(AE717="","",B717-AE717))</f>
        <v>0</v>
      </c>
      <c r="AF717" s="38">
        <f>IF(B717="","",IF(M717&lt;&gt;"Completed","",IF(E717="","No",IF(COUNTIFS(Appointments!$E$5:$E$1204,E717,Appointments!$B$5:$B$1204,"&gt;"&amp;B717,Appointments!$M$5:$M$1204,"&lt;&gt;Cancelled")&gt;0,"Yes","No"))))</f>
        <v>0</v>
      </c>
      <c r="AG717" s="38">
        <f>IF(B717="","",IF(I717="","",IF(D717="","",IF(COUNTIFS($I$5:$I$1204,I717,$B$5:$B$1204,B717,$D$5:$D$1204,"&lt;"&amp;V717,$V$5:$V$1204,"&gt;"&amp;D717,$M$5:$M$1204,"&lt;&gt;Cancelled")&gt;1,"Clash",""))))</f>
        <v>0</v>
      </c>
      <c r="AH717" s="39">
        <f>IF(B717="","",IF(AG717="Clash","Clash - stylist double booked",IF(I717="","Assign - no stylist yet",IF(G717="","Add - no service chosen",IF(M717="No show","No show - charge the fee?",IF(M717="Cancelled","",IF(IF(M717="Completed",AB717&lt;Y717-0.004,FALSE),"Unpaid - nothing rung up for this visit",IF(IF(B717&lt;TodayDate,M717="Booked",FALSE),"Overdue - past date, still only Booked",IF(IF(B717=TodayDate,TRUE,FALSE),"Today",IF(IF(Z717&gt;0,AA717&lt;Z717-0.004,FALSE),"Due - deposit not taken",IF(IF(B717&gt;TodayDate,B717&lt;=TodayDate+2,FALSE),"Confirm - coming up","OK")))))))))))</f>
        <v>0</v>
      </c>
    </row>
    <row r="718" spans="1:34">
      <c r="A718" s="28">
        <f>IF(B718="","",AppointmentPrefix&amp;TEXT(ROW()-4,"0000"))</f>
        <v>0</v>
      </c>
      <c r="C718" s="15">
        <f>IF(B718="","",TEXT(B718,"ddd"))</f>
        <v>0</v>
      </c>
      <c r="F718" s="15">
        <f>IF(E718="","",IFERROR(INDEX(Clients!$B$5:$B$504,MATCH(E718,Clients!$A$5:$A$504,0)),"Walk-in"))</f>
        <v>0</v>
      </c>
      <c r="H718" s="15">
        <f>IF(G718="","",IFERROR(INDEX(Services!$B$5:$B$204,MATCH(G718,Services!$A$5:$A$204,0)),"Not in Services"))</f>
        <v>0</v>
      </c>
      <c r="J718" s="15">
        <f>IF(I718="","",IFERROR(INDEX(Staff!$B$5:$B$44,MATCH(I718,Staff!$A$5:$A$44,0)),"Unassigned"))</f>
        <v>0</v>
      </c>
      <c r="S718" s="15">
        <f>IF(B718="","",TEXT(B718,"yyyy-mm"))</f>
        <v>0</v>
      </c>
      <c r="T718" s="25">
        <f>IF(B718="","",WEEKNUM(B718,2))</f>
        <v>0</v>
      </c>
      <c r="U718" s="25">
        <f>IF(B718="","",IF(K718&lt;&gt;"",K718,IFERROR(INDEX(Services!$E$5:$E$204,MATCH(G718,Services!$A$5:$A$204,0))*1,0)+IFERROR(INDEX(Services!$F$5:$F$204,MATCH(G718,Services!$A$5:$A$204,0))*1,0)))</f>
        <v>0</v>
      </c>
      <c r="V718" s="36">
        <f>IF(B718="","",IF(D718="","",D718+U718/1440))</f>
        <v>0</v>
      </c>
      <c r="W718" s="25">
        <f>IF(B718="","",IF(D718="","",HOUR(D718)))</f>
        <v>0</v>
      </c>
      <c r="X718" s="37">
        <f>IF(B718="","",ROUND(U718/60,2))</f>
        <v>0</v>
      </c>
      <c r="Y718" s="26">
        <f>IF(B718="","",IF(L718&lt;&gt;"",L718,IFERROR(INDEX(Services!$G$5:$G$204,MATCH(G718,Services!$A$5:$A$204,0))*1,0)))</f>
        <v>0</v>
      </c>
      <c r="Z718" s="26">
        <f>IF(B718="","",IF(O718&lt;&gt;"",O718,IF(Y718&gt;=DepositThreshold,ROUND(Y718*DepositPercent,2),0)))</f>
        <v>0</v>
      </c>
      <c r="AA718" s="26">
        <f>IF(B718="","",ROUND(SUMIFS(Payments!$G$5:$G$1204,Payments!$I$5:$I$1204,A718,Payments!$E$5:$E$1204,"Deposit"),2))</f>
        <v>0</v>
      </c>
      <c r="AB718" s="26">
        <f>IF(B718="","",ROUND(SUMIFS(Sales!$Y$5:$Y$1204,Sales!$C$5:$C$1204,A718),2))</f>
        <v>0</v>
      </c>
      <c r="AC718" s="38">
        <f>IF(B718="","",IF(M718="Completed","Yes",IF(M718="Cancelled","Yes",IF(M718="No show","Yes","No"))))</f>
        <v>0</v>
      </c>
      <c r="AD718" s="25">
        <f>IF(B718="","",IF(AE718="","",B718-AE718))</f>
        <v>0</v>
      </c>
      <c r="AF718" s="38">
        <f>IF(B718="","",IF(M718&lt;&gt;"Completed","",IF(E718="","No",IF(COUNTIFS(Appointments!$E$5:$E$1204,E718,Appointments!$B$5:$B$1204,"&gt;"&amp;B718,Appointments!$M$5:$M$1204,"&lt;&gt;Cancelled")&gt;0,"Yes","No"))))</f>
        <v>0</v>
      </c>
      <c r="AG718" s="38">
        <f>IF(B718="","",IF(I718="","",IF(D718="","",IF(COUNTIFS($I$5:$I$1204,I718,$B$5:$B$1204,B718,$D$5:$D$1204,"&lt;"&amp;V718,$V$5:$V$1204,"&gt;"&amp;D718,$M$5:$M$1204,"&lt;&gt;Cancelled")&gt;1,"Clash",""))))</f>
        <v>0</v>
      </c>
      <c r="AH718" s="39">
        <f>IF(B718="","",IF(AG718="Clash","Clash - stylist double booked",IF(I718="","Assign - no stylist yet",IF(G718="","Add - no service chosen",IF(M718="No show","No show - charge the fee?",IF(M718="Cancelled","",IF(IF(M718="Completed",AB718&lt;Y718-0.004,FALSE),"Unpaid - nothing rung up for this visit",IF(IF(B718&lt;TodayDate,M718="Booked",FALSE),"Overdue - past date, still only Booked",IF(IF(B718=TodayDate,TRUE,FALSE),"Today",IF(IF(Z718&gt;0,AA718&lt;Z718-0.004,FALSE),"Due - deposit not taken",IF(IF(B718&gt;TodayDate,B718&lt;=TodayDate+2,FALSE),"Confirm - coming up","OK")))))))))))</f>
        <v>0</v>
      </c>
    </row>
    <row r="719" spans="1:34">
      <c r="A719" s="28">
        <f>IF(B719="","",AppointmentPrefix&amp;TEXT(ROW()-4,"0000"))</f>
        <v>0</v>
      </c>
      <c r="C719" s="15">
        <f>IF(B719="","",TEXT(B719,"ddd"))</f>
        <v>0</v>
      </c>
      <c r="F719" s="15">
        <f>IF(E719="","",IFERROR(INDEX(Clients!$B$5:$B$504,MATCH(E719,Clients!$A$5:$A$504,0)),"Walk-in"))</f>
        <v>0</v>
      </c>
      <c r="H719" s="15">
        <f>IF(G719="","",IFERROR(INDEX(Services!$B$5:$B$204,MATCH(G719,Services!$A$5:$A$204,0)),"Not in Services"))</f>
        <v>0</v>
      </c>
      <c r="J719" s="15">
        <f>IF(I719="","",IFERROR(INDEX(Staff!$B$5:$B$44,MATCH(I719,Staff!$A$5:$A$44,0)),"Unassigned"))</f>
        <v>0</v>
      </c>
      <c r="S719" s="15">
        <f>IF(B719="","",TEXT(B719,"yyyy-mm"))</f>
        <v>0</v>
      </c>
      <c r="T719" s="25">
        <f>IF(B719="","",WEEKNUM(B719,2))</f>
        <v>0</v>
      </c>
      <c r="U719" s="25">
        <f>IF(B719="","",IF(K719&lt;&gt;"",K719,IFERROR(INDEX(Services!$E$5:$E$204,MATCH(G719,Services!$A$5:$A$204,0))*1,0)+IFERROR(INDEX(Services!$F$5:$F$204,MATCH(G719,Services!$A$5:$A$204,0))*1,0)))</f>
        <v>0</v>
      </c>
      <c r="V719" s="36">
        <f>IF(B719="","",IF(D719="","",D719+U719/1440))</f>
        <v>0</v>
      </c>
      <c r="W719" s="25">
        <f>IF(B719="","",IF(D719="","",HOUR(D719)))</f>
        <v>0</v>
      </c>
      <c r="X719" s="37">
        <f>IF(B719="","",ROUND(U719/60,2))</f>
        <v>0</v>
      </c>
      <c r="Y719" s="26">
        <f>IF(B719="","",IF(L719&lt;&gt;"",L719,IFERROR(INDEX(Services!$G$5:$G$204,MATCH(G719,Services!$A$5:$A$204,0))*1,0)))</f>
        <v>0</v>
      </c>
      <c r="Z719" s="26">
        <f>IF(B719="","",IF(O719&lt;&gt;"",O719,IF(Y719&gt;=DepositThreshold,ROUND(Y719*DepositPercent,2),0)))</f>
        <v>0</v>
      </c>
      <c r="AA719" s="26">
        <f>IF(B719="","",ROUND(SUMIFS(Payments!$G$5:$G$1204,Payments!$I$5:$I$1204,A719,Payments!$E$5:$E$1204,"Deposit"),2))</f>
        <v>0</v>
      </c>
      <c r="AB719" s="26">
        <f>IF(B719="","",ROUND(SUMIFS(Sales!$Y$5:$Y$1204,Sales!$C$5:$C$1204,A719),2))</f>
        <v>0</v>
      </c>
      <c r="AC719" s="38">
        <f>IF(B719="","",IF(M719="Completed","Yes",IF(M719="Cancelled","Yes",IF(M719="No show","Yes","No"))))</f>
        <v>0</v>
      </c>
      <c r="AD719" s="25">
        <f>IF(B719="","",IF(AE719="","",B719-AE719))</f>
        <v>0</v>
      </c>
      <c r="AF719" s="38">
        <f>IF(B719="","",IF(M719&lt;&gt;"Completed","",IF(E719="","No",IF(COUNTIFS(Appointments!$E$5:$E$1204,E719,Appointments!$B$5:$B$1204,"&gt;"&amp;B719,Appointments!$M$5:$M$1204,"&lt;&gt;Cancelled")&gt;0,"Yes","No"))))</f>
        <v>0</v>
      </c>
      <c r="AG719" s="38">
        <f>IF(B719="","",IF(I719="","",IF(D719="","",IF(COUNTIFS($I$5:$I$1204,I719,$B$5:$B$1204,B719,$D$5:$D$1204,"&lt;"&amp;V719,$V$5:$V$1204,"&gt;"&amp;D719,$M$5:$M$1204,"&lt;&gt;Cancelled")&gt;1,"Clash",""))))</f>
        <v>0</v>
      </c>
      <c r="AH719" s="39">
        <f>IF(B719="","",IF(AG719="Clash","Clash - stylist double booked",IF(I719="","Assign - no stylist yet",IF(G719="","Add - no service chosen",IF(M719="No show","No show - charge the fee?",IF(M719="Cancelled","",IF(IF(M719="Completed",AB719&lt;Y719-0.004,FALSE),"Unpaid - nothing rung up for this visit",IF(IF(B719&lt;TodayDate,M719="Booked",FALSE),"Overdue - past date, still only Booked",IF(IF(B719=TodayDate,TRUE,FALSE),"Today",IF(IF(Z719&gt;0,AA719&lt;Z719-0.004,FALSE),"Due - deposit not taken",IF(IF(B719&gt;TodayDate,B719&lt;=TodayDate+2,FALSE),"Confirm - coming up","OK")))))))))))</f>
        <v>0</v>
      </c>
    </row>
    <row r="720" spans="1:34">
      <c r="A720" s="28">
        <f>IF(B720="","",AppointmentPrefix&amp;TEXT(ROW()-4,"0000"))</f>
        <v>0</v>
      </c>
      <c r="C720" s="15">
        <f>IF(B720="","",TEXT(B720,"ddd"))</f>
        <v>0</v>
      </c>
      <c r="F720" s="15">
        <f>IF(E720="","",IFERROR(INDEX(Clients!$B$5:$B$504,MATCH(E720,Clients!$A$5:$A$504,0)),"Walk-in"))</f>
        <v>0</v>
      </c>
      <c r="H720" s="15">
        <f>IF(G720="","",IFERROR(INDEX(Services!$B$5:$B$204,MATCH(G720,Services!$A$5:$A$204,0)),"Not in Services"))</f>
        <v>0</v>
      </c>
      <c r="J720" s="15">
        <f>IF(I720="","",IFERROR(INDEX(Staff!$B$5:$B$44,MATCH(I720,Staff!$A$5:$A$44,0)),"Unassigned"))</f>
        <v>0</v>
      </c>
      <c r="S720" s="15">
        <f>IF(B720="","",TEXT(B720,"yyyy-mm"))</f>
        <v>0</v>
      </c>
      <c r="T720" s="25">
        <f>IF(B720="","",WEEKNUM(B720,2))</f>
        <v>0</v>
      </c>
      <c r="U720" s="25">
        <f>IF(B720="","",IF(K720&lt;&gt;"",K720,IFERROR(INDEX(Services!$E$5:$E$204,MATCH(G720,Services!$A$5:$A$204,0))*1,0)+IFERROR(INDEX(Services!$F$5:$F$204,MATCH(G720,Services!$A$5:$A$204,0))*1,0)))</f>
        <v>0</v>
      </c>
      <c r="V720" s="36">
        <f>IF(B720="","",IF(D720="","",D720+U720/1440))</f>
        <v>0</v>
      </c>
      <c r="W720" s="25">
        <f>IF(B720="","",IF(D720="","",HOUR(D720)))</f>
        <v>0</v>
      </c>
      <c r="X720" s="37">
        <f>IF(B720="","",ROUND(U720/60,2))</f>
        <v>0</v>
      </c>
      <c r="Y720" s="26">
        <f>IF(B720="","",IF(L720&lt;&gt;"",L720,IFERROR(INDEX(Services!$G$5:$G$204,MATCH(G720,Services!$A$5:$A$204,0))*1,0)))</f>
        <v>0</v>
      </c>
      <c r="Z720" s="26">
        <f>IF(B720="","",IF(O720&lt;&gt;"",O720,IF(Y720&gt;=DepositThreshold,ROUND(Y720*DepositPercent,2),0)))</f>
        <v>0</v>
      </c>
      <c r="AA720" s="26">
        <f>IF(B720="","",ROUND(SUMIFS(Payments!$G$5:$G$1204,Payments!$I$5:$I$1204,A720,Payments!$E$5:$E$1204,"Deposit"),2))</f>
        <v>0</v>
      </c>
      <c r="AB720" s="26">
        <f>IF(B720="","",ROUND(SUMIFS(Sales!$Y$5:$Y$1204,Sales!$C$5:$C$1204,A720),2))</f>
        <v>0</v>
      </c>
      <c r="AC720" s="38">
        <f>IF(B720="","",IF(M720="Completed","Yes",IF(M720="Cancelled","Yes",IF(M720="No show","Yes","No"))))</f>
        <v>0</v>
      </c>
      <c r="AD720" s="25">
        <f>IF(B720="","",IF(AE720="","",B720-AE720))</f>
        <v>0</v>
      </c>
      <c r="AF720" s="38">
        <f>IF(B720="","",IF(M720&lt;&gt;"Completed","",IF(E720="","No",IF(COUNTIFS(Appointments!$E$5:$E$1204,E720,Appointments!$B$5:$B$1204,"&gt;"&amp;B720,Appointments!$M$5:$M$1204,"&lt;&gt;Cancelled")&gt;0,"Yes","No"))))</f>
        <v>0</v>
      </c>
      <c r="AG720" s="38">
        <f>IF(B720="","",IF(I720="","",IF(D720="","",IF(COUNTIFS($I$5:$I$1204,I720,$B$5:$B$1204,B720,$D$5:$D$1204,"&lt;"&amp;V720,$V$5:$V$1204,"&gt;"&amp;D720,$M$5:$M$1204,"&lt;&gt;Cancelled")&gt;1,"Clash",""))))</f>
        <v>0</v>
      </c>
      <c r="AH720" s="39">
        <f>IF(B720="","",IF(AG720="Clash","Clash - stylist double booked",IF(I720="","Assign - no stylist yet",IF(G720="","Add - no service chosen",IF(M720="No show","No show - charge the fee?",IF(M720="Cancelled","",IF(IF(M720="Completed",AB720&lt;Y720-0.004,FALSE),"Unpaid - nothing rung up for this visit",IF(IF(B720&lt;TodayDate,M720="Booked",FALSE),"Overdue - past date, still only Booked",IF(IF(B720=TodayDate,TRUE,FALSE),"Today",IF(IF(Z720&gt;0,AA720&lt;Z720-0.004,FALSE),"Due - deposit not taken",IF(IF(B720&gt;TodayDate,B720&lt;=TodayDate+2,FALSE),"Confirm - coming up","OK")))))))))))</f>
        <v>0</v>
      </c>
    </row>
    <row r="721" spans="1:34">
      <c r="A721" s="28">
        <f>IF(B721="","",AppointmentPrefix&amp;TEXT(ROW()-4,"0000"))</f>
        <v>0</v>
      </c>
      <c r="C721" s="15">
        <f>IF(B721="","",TEXT(B721,"ddd"))</f>
        <v>0</v>
      </c>
      <c r="F721" s="15">
        <f>IF(E721="","",IFERROR(INDEX(Clients!$B$5:$B$504,MATCH(E721,Clients!$A$5:$A$504,0)),"Walk-in"))</f>
        <v>0</v>
      </c>
      <c r="H721" s="15">
        <f>IF(G721="","",IFERROR(INDEX(Services!$B$5:$B$204,MATCH(G721,Services!$A$5:$A$204,0)),"Not in Services"))</f>
        <v>0</v>
      </c>
      <c r="J721" s="15">
        <f>IF(I721="","",IFERROR(INDEX(Staff!$B$5:$B$44,MATCH(I721,Staff!$A$5:$A$44,0)),"Unassigned"))</f>
        <v>0</v>
      </c>
      <c r="S721" s="15">
        <f>IF(B721="","",TEXT(B721,"yyyy-mm"))</f>
        <v>0</v>
      </c>
      <c r="T721" s="25">
        <f>IF(B721="","",WEEKNUM(B721,2))</f>
        <v>0</v>
      </c>
      <c r="U721" s="25">
        <f>IF(B721="","",IF(K721&lt;&gt;"",K721,IFERROR(INDEX(Services!$E$5:$E$204,MATCH(G721,Services!$A$5:$A$204,0))*1,0)+IFERROR(INDEX(Services!$F$5:$F$204,MATCH(G721,Services!$A$5:$A$204,0))*1,0)))</f>
        <v>0</v>
      </c>
      <c r="V721" s="36">
        <f>IF(B721="","",IF(D721="","",D721+U721/1440))</f>
        <v>0</v>
      </c>
      <c r="W721" s="25">
        <f>IF(B721="","",IF(D721="","",HOUR(D721)))</f>
        <v>0</v>
      </c>
      <c r="X721" s="37">
        <f>IF(B721="","",ROUND(U721/60,2))</f>
        <v>0</v>
      </c>
      <c r="Y721" s="26">
        <f>IF(B721="","",IF(L721&lt;&gt;"",L721,IFERROR(INDEX(Services!$G$5:$G$204,MATCH(G721,Services!$A$5:$A$204,0))*1,0)))</f>
        <v>0</v>
      </c>
      <c r="Z721" s="26">
        <f>IF(B721="","",IF(O721&lt;&gt;"",O721,IF(Y721&gt;=DepositThreshold,ROUND(Y721*DepositPercent,2),0)))</f>
        <v>0</v>
      </c>
      <c r="AA721" s="26">
        <f>IF(B721="","",ROUND(SUMIFS(Payments!$G$5:$G$1204,Payments!$I$5:$I$1204,A721,Payments!$E$5:$E$1204,"Deposit"),2))</f>
        <v>0</v>
      </c>
      <c r="AB721" s="26">
        <f>IF(B721="","",ROUND(SUMIFS(Sales!$Y$5:$Y$1204,Sales!$C$5:$C$1204,A721),2))</f>
        <v>0</v>
      </c>
      <c r="AC721" s="38">
        <f>IF(B721="","",IF(M721="Completed","Yes",IF(M721="Cancelled","Yes",IF(M721="No show","Yes","No"))))</f>
        <v>0</v>
      </c>
      <c r="AD721" s="25">
        <f>IF(B721="","",IF(AE721="","",B721-AE721))</f>
        <v>0</v>
      </c>
      <c r="AF721" s="38">
        <f>IF(B721="","",IF(M721&lt;&gt;"Completed","",IF(E721="","No",IF(COUNTIFS(Appointments!$E$5:$E$1204,E721,Appointments!$B$5:$B$1204,"&gt;"&amp;B721,Appointments!$M$5:$M$1204,"&lt;&gt;Cancelled")&gt;0,"Yes","No"))))</f>
        <v>0</v>
      </c>
      <c r="AG721" s="38">
        <f>IF(B721="","",IF(I721="","",IF(D721="","",IF(COUNTIFS($I$5:$I$1204,I721,$B$5:$B$1204,B721,$D$5:$D$1204,"&lt;"&amp;V721,$V$5:$V$1204,"&gt;"&amp;D721,$M$5:$M$1204,"&lt;&gt;Cancelled")&gt;1,"Clash",""))))</f>
        <v>0</v>
      </c>
      <c r="AH721" s="39">
        <f>IF(B721="","",IF(AG721="Clash","Clash - stylist double booked",IF(I721="","Assign - no stylist yet",IF(G721="","Add - no service chosen",IF(M721="No show","No show - charge the fee?",IF(M721="Cancelled","",IF(IF(M721="Completed",AB721&lt;Y721-0.004,FALSE),"Unpaid - nothing rung up for this visit",IF(IF(B721&lt;TodayDate,M721="Booked",FALSE),"Overdue - past date, still only Booked",IF(IF(B721=TodayDate,TRUE,FALSE),"Today",IF(IF(Z721&gt;0,AA721&lt;Z721-0.004,FALSE),"Due - deposit not taken",IF(IF(B721&gt;TodayDate,B721&lt;=TodayDate+2,FALSE),"Confirm - coming up","OK")))))))))))</f>
        <v>0</v>
      </c>
    </row>
    <row r="722" spans="1:34">
      <c r="A722" s="28">
        <f>IF(B722="","",AppointmentPrefix&amp;TEXT(ROW()-4,"0000"))</f>
        <v>0</v>
      </c>
      <c r="C722" s="15">
        <f>IF(B722="","",TEXT(B722,"ddd"))</f>
        <v>0</v>
      </c>
      <c r="F722" s="15">
        <f>IF(E722="","",IFERROR(INDEX(Clients!$B$5:$B$504,MATCH(E722,Clients!$A$5:$A$504,0)),"Walk-in"))</f>
        <v>0</v>
      </c>
      <c r="H722" s="15">
        <f>IF(G722="","",IFERROR(INDEX(Services!$B$5:$B$204,MATCH(G722,Services!$A$5:$A$204,0)),"Not in Services"))</f>
        <v>0</v>
      </c>
      <c r="J722" s="15">
        <f>IF(I722="","",IFERROR(INDEX(Staff!$B$5:$B$44,MATCH(I722,Staff!$A$5:$A$44,0)),"Unassigned"))</f>
        <v>0</v>
      </c>
      <c r="S722" s="15">
        <f>IF(B722="","",TEXT(B722,"yyyy-mm"))</f>
        <v>0</v>
      </c>
      <c r="T722" s="25">
        <f>IF(B722="","",WEEKNUM(B722,2))</f>
        <v>0</v>
      </c>
      <c r="U722" s="25">
        <f>IF(B722="","",IF(K722&lt;&gt;"",K722,IFERROR(INDEX(Services!$E$5:$E$204,MATCH(G722,Services!$A$5:$A$204,0))*1,0)+IFERROR(INDEX(Services!$F$5:$F$204,MATCH(G722,Services!$A$5:$A$204,0))*1,0)))</f>
        <v>0</v>
      </c>
      <c r="V722" s="36">
        <f>IF(B722="","",IF(D722="","",D722+U722/1440))</f>
        <v>0</v>
      </c>
      <c r="W722" s="25">
        <f>IF(B722="","",IF(D722="","",HOUR(D722)))</f>
        <v>0</v>
      </c>
      <c r="X722" s="37">
        <f>IF(B722="","",ROUND(U722/60,2))</f>
        <v>0</v>
      </c>
      <c r="Y722" s="26">
        <f>IF(B722="","",IF(L722&lt;&gt;"",L722,IFERROR(INDEX(Services!$G$5:$G$204,MATCH(G722,Services!$A$5:$A$204,0))*1,0)))</f>
        <v>0</v>
      </c>
      <c r="Z722" s="26">
        <f>IF(B722="","",IF(O722&lt;&gt;"",O722,IF(Y722&gt;=DepositThreshold,ROUND(Y722*DepositPercent,2),0)))</f>
        <v>0</v>
      </c>
      <c r="AA722" s="26">
        <f>IF(B722="","",ROUND(SUMIFS(Payments!$G$5:$G$1204,Payments!$I$5:$I$1204,A722,Payments!$E$5:$E$1204,"Deposit"),2))</f>
        <v>0</v>
      </c>
      <c r="AB722" s="26">
        <f>IF(B722="","",ROUND(SUMIFS(Sales!$Y$5:$Y$1204,Sales!$C$5:$C$1204,A722),2))</f>
        <v>0</v>
      </c>
      <c r="AC722" s="38">
        <f>IF(B722="","",IF(M722="Completed","Yes",IF(M722="Cancelled","Yes",IF(M722="No show","Yes","No"))))</f>
        <v>0</v>
      </c>
      <c r="AD722" s="25">
        <f>IF(B722="","",IF(AE722="","",B722-AE722))</f>
        <v>0</v>
      </c>
      <c r="AF722" s="38">
        <f>IF(B722="","",IF(M722&lt;&gt;"Completed","",IF(E722="","No",IF(COUNTIFS(Appointments!$E$5:$E$1204,E722,Appointments!$B$5:$B$1204,"&gt;"&amp;B722,Appointments!$M$5:$M$1204,"&lt;&gt;Cancelled")&gt;0,"Yes","No"))))</f>
        <v>0</v>
      </c>
      <c r="AG722" s="38">
        <f>IF(B722="","",IF(I722="","",IF(D722="","",IF(COUNTIFS($I$5:$I$1204,I722,$B$5:$B$1204,B722,$D$5:$D$1204,"&lt;"&amp;V722,$V$5:$V$1204,"&gt;"&amp;D722,$M$5:$M$1204,"&lt;&gt;Cancelled")&gt;1,"Clash",""))))</f>
        <v>0</v>
      </c>
      <c r="AH722" s="39">
        <f>IF(B722="","",IF(AG722="Clash","Clash - stylist double booked",IF(I722="","Assign - no stylist yet",IF(G722="","Add - no service chosen",IF(M722="No show","No show - charge the fee?",IF(M722="Cancelled","",IF(IF(M722="Completed",AB722&lt;Y722-0.004,FALSE),"Unpaid - nothing rung up for this visit",IF(IF(B722&lt;TodayDate,M722="Booked",FALSE),"Overdue - past date, still only Booked",IF(IF(B722=TodayDate,TRUE,FALSE),"Today",IF(IF(Z722&gt;0,AA722&lt;Z722-0.004,FALSE),"Due - deposit not taken",IF(IF(B722&gt;TodayDate,B722&lt;=TodayDate+2,FALSE),"Confirm - coming up","OK")))))))))))</f>
        <v>0</v>
      </c>
    </row>
    <row r="723" spans="1:34">
      <c r="A723" s="28">
        <f>IF(B723="","",AppointmentPrefix&amp;TEXT(ROW()-4,"0000"))</f>
        <v>0</v>
      </c>
      <c r="C723" s="15">
        <f>IF(B723="","",TEXT(B723,"ddd"))</f>
        <v>0</v>
      </c>
      <c r="F723" s="15">
        <f>IF(E723="","",IFERROR(INDEX(Clients!$B$5:$B$504,MATCH(E723,Clients!$A$5:$A$504,0)),"Walk-in"))</f>
        <v>0</v>
      </c>
      <c r="H723" s="15">
        <f>IF(G723="","",IFERROR(INDEX(Services!$B$5:$B$204,MATCH(G723,Services!$A$5:$A$204,0)),"Not in Services"))</f>
        <v>0</v>
      </c>
      <c r="J723" s="15">
        <f>IF(I723="","",IFERROR(INDEX(Staff!$B$5:$B$44,MATCH(I723,Staff!$A$5:$A$44,0)),"Unassigned"))</f>
        <v>0</v>
      </c>
      <c r="S723" s="15">
        <f>IF(B723="","",TEXT(B723,"yyyy-mm"))</f>
        <v>0</v>
      </c>
      <c r="T723" s="25">
        <f>IF(B723="","",WEEKNUM(B723,2))</f>
        <v>0</v>
      </c>
      <c r="U723" s="25">
        <f>IF(B723="","",IF(K723&lt;&gt;"",K723,IFERROR(INDEX(Services!$E$5:$E$204,MATCH(G723,Services!$A$5:$A$204,0))*1,0)+IFERROR(INDEX(Services!$F$5:$F$204,MATCH(G723,Services!$A$5:$A$204,0))*1,0)))</f>
        <v>0</v>
      </c>
      <c r="V723" s="36">
        <f>IF(B723="","",IF(D723="","",D723+U723/1440))</f>
        <v>0</v>
      </c>
      <c r="W723" s="25">
        <f>IF(B723="","",IF(D723="","",HOUR(D723)))</f>
        <v>0</v>
      </c>
      <c r="X723" s="37">
        <f>IF(B723="","",ROUND(U723/60,2))</f>
        <v>0</v>
      </c>
      <c r="Y723" s="26">
        <f>IF(B723="","",IF(L723&lt;&gt;"",L723,IFERROR(INDEX(Services!$G$5:$G$204,MATCH(G723,Services!$A$5:$A$204,0))*1,0)))</f>
        <v>0</v>
      </c>
      <c r="Z723" s="26">
        <f>IF(B723="","",IF(O723&lt;&gt;"",O723,IF(Y723&gt;=DepositThreshold,ROUND(Y723*DepositPercent,2),0)))</f>
        <v>0</v>
      </c>
      <c r="AA723" s="26">
        <f>IF(B723="","",ROUND(SUMIFS(Payments!$G$5:$G$1204,Payments!$I$5:$I$1204,A723,Payments!$E$5:$E$1204,"Deposit"),2))</f>
        <v>0</v>
      </c>
      <c r="AB723" s="26">
        <f>IF(B723="","",ROUND(SUMIFS(Sales!$Y$5:$Y$1204,Sales!$C$5:$C$1204,A723),2))</f>
        <v>0</v>
      </c>
      <c r="AC723" s="38">
        <f>IF(B723="","",IF(M723="Completed","Yes",IF(M723="Cancelled","Yes",IF(M723="No show","Yes","No"))))</f>
        <v>0</v>
      </c>
      <c r="AD723" s="25">
        <f>IF(B723="","",IF(AE723="","",B723-AE723))</f>
        <v>0</v>
      </c>
      <c r="AF723" s="38">
        <f>IF(B723="","",IF(M723&lt;&gt;"Completed","",IF(E723="","No",IF(COUNTIFS(Appointments!$E$5:$E$1204,E723,Appointments!$B$5:$B$1204,"&gt;"&amp;B723,Appointments!$M$5:$M$1204,"&lt;&gt;Cancelled")&gt;0,"Yes","No"))))</f>
        <v>0</v>
      </c>
      <c r="AG723" s="38">
        <f>IF(B723="","",IF(I723="","",IF(D723="","",IF(COUNTIFS($I$5:$I$1204,I723,$B$5:$B$1204,B723,$D$5:$D$1204,"&lt;"&amp;V723,$V$5:$V$1204,"&gt;"&amp;D723,$M$5:$M$1204,"&lt;&gt;Cancelled")&gt;1,"Clash",""))))</f>
        <v>0</v>
      </c>
      <c r="AH723" s="39">
        <f>IF(B723="","",IF(AG723="Clash","Clash - stylist double booked",IF(I723="","Assign - no stylist yet",IF(G723="","Add - no service chosen",IF(M723="No show","No show - charge the fee?",IF(M723="Cancelled","",IF(IF(M723="Completed",AB723&lt;Y723-0.004,FALSE),"Unpaid - nothing rung up for this visit",IF(IF(B723&lt;TodayDate,M723="Booked",FALSE),"Overdue - past date, still only Booked",IF(IF(B723=TodayDate,TRUE,FALSE),"Today",IF(IF(Z723&gt;0,AA723&lt;Z723-0.004,FALSE),"Due - deposit not taken",IF(IF(B723&gt;TodayDate,B723&lt;=TodayDate+2,FALSE),"Confirm - coming up","OK")))))))))))</f>
        <v>0</v>
      </c>
    </row>
    <row r="724" spans="1:34">
      <c r="A724" s="28">
        <f>IF(B724="","",AppointmentPrefix&amp;TEXT(ROW()-4,"0000"))</f>
        <v>0</v>
      </c>
      <c r="C724" s="15">
        <f>IF(B724="","",TEXT(B724,"ddd"))</f>
        <v>0</v>
      </c>
      <c r="F724" s="15">
        <f>IF(E724="","",IFERROR(INDEX(Clients!$B$5:$B$504,MATCH(E724,Clients!$A$5:$A$504,0)),"Walk-in"))</f>
        <v>0</v>
      </c>
      <c r="H724" s="15">
        <f>IF(G724="","",IFERROR(INDEX(Services!$B$5:$B$204,MATCH(G724,Services!$A$5:$A$204,0)),"Not in Services"))</f>
        <v>0</v>
      </c>
      <c r="J724" s="15">
        <f>IF(I724="","",IFERROR(INDEX(Staff!$B$5:$B$44,MATCH(I724,Staff!$A$5:$A$44,0)),"Unassigned"))</f>
        <v>0</v>
      </c>
      <c r="S724" s="15">
        <f>IF(B724="","",TEXT(B724,"yyyy-mm"))</f>
        <v>0</v>
      </c>
      <c r="T724" s="25">
        <f>IF(B724="","",WEEKNUM(B724,2))</f>
        <v>0</v>
      </c>
      <c r="U724" s="25">
        <f>IF(B724="","",IF(K724&lt;&gt;"",K724,IFERROR(INDEX(Services!$E$5:$E$204,MATCH(G724,Services!$A$5:$A$204,0))*1,0)+IFERROR(INDEX(Services!$F$5:$F$204,MATCH(G724,Services!$A$5:$A$204,0))*1,0)))</f>
        <v>0</v>
      </c>
      <c r="V724" s="36">
        <f>IF(B724="","",IF(D724="","",D724+U724/1440))</f>
        <v>0</v>
      </c>
      <c r="W724" s="25">
        <f>IF(B724="","",IF(D724="","",HOUR(D724)))</f>
        <v>0</v>
      </c>
      <c r="X724" s="37">
        <f>IF(B724="","",ROUND(U724/60,2))</f>
        <v>0</v>
      </c>
      <c r="Y724" s="26">
        <f>IF(B724="","",IF(L724&lt;&gt;"",L724,IFERROR(INDEX(Services!$G$5:$G$204,MATCH(G724,Services!$A$5:$A$204,0))*1,0)))</f>
        <v>0</v>
      </c>
      <c r="Z724" s="26">
        <f>IF(B724="","",IF(O724&lt;&gt;"",O724,IF(Y724&gt;=DepositThreshold,ROUND(Y724*DepositPercent,2),0)))</f>
        <v>0</v>
      </c>
      <c r="AA724" s="26">
        <f>IF(B724="","",ROUND(SUMIFS(Payments!$G$5:$G$1204,Payments!$I$5:$I$1204,A724,Payments!$E$5:$E$1204,"Deposit"),2))</f>
        <v>0</v>
      </c>
      <c r="AB724" s="26">
        <f>IF(B724="","",ROUND(SUMIFS(Sales!$Y$5:$Y$1204,Sales!$C$5:$C$1204,A724),2))</f>
        <v>0</v>
      </c>
      <c r="AC724" s="38">
        <f>IF(B724="","",IF(M724="Completed","Yes",IF(M724="Cancelled","Yes",IF(M724="No show","Yes","No"))))</f>
        <v>0</v>
      </c>
      <c r="AD724" s="25">
        <f>IF(B724="","",IF(AE724="","",B724-AE724))</f>
        <v>0</v>
      </c>
      <c r="AF724" s="38">
        <f>IF(B724="","",IF(M724&lt;&gt;"Completed","",IF(E724="","No",IF(COUNTIFS(Appointments!$E$5:$E$1204,E724,Appointments!$B$5:$B$1204,"&gt;"&amp;B724,Appointments!$M$5:$M$1204,"&lt;&gt;Cancelled")&gt;0,"Yes","No"))))</f>
        <v>0</v>
      </c>
      <c r="AG724" s="38">
        <f>IF(B724="","",IF(I724="","",IF(D724="","",IF(COUNTIFS($I$5:$I$1204,I724,$B$5:$B$1204,B724,$D$5:$D$1204,"&lt;"&amp;V724,$V$5:$V$1204,"&gt;"&amp;D724,$M$5:$M$1204,"&lt;&gt;Cancelled")&gt;1,"Clash",""))))</f>
        <v>0</v>
      </c>
      <c r="AH724" s="39">
        <f>IF(B724="","",IF(AG724="Clash","Clash - stylist double booked",IF(I724="","Assign - no stylist yet",IF(G724="","Add - no service chosen",IF(M724="No show","No show - charge the fee?",IF(M724="Cancelled","",IF(IF(M724="Completed",AB724&lt;Y724-0.004,FALSE),"Unpaid - nothing rung up for this visit",IF(IF(B724&lt;TodayDate,M724="Booked",FALSE),"Overdue - past date, still only Booked",IF(IF(B724=TodayDate,TRUE,FALSE),"Today",IF(IF(Z724&gt;0,AA724&lt;Z724-0.004,FALSE),"Due - deposit not taken",IF(IF(B724&gt;TodayDate,B724&lt;=TodayDate+2,FALSE),"Confirm - coming up","OK")))))))))))</f>
        <v>0</v>
      </c>
    </row>
    <row r="725" spans="1:34">
      <c r="A725" s="28">
        <f>IF(B725="","",AppointmentPrefix&amp;TEXT(ROW()-4,"0000"))</f>
        <v>0</v>
      </c>
      <c r="C725" s="15">
        <f>IF(B725="","",TEXT(B725,"ddd"))</f>
        <v>0</v>
      </c>
      <c r="F725" s="15">
        <f>IF(E725="","",IFERROR(INDEX(Clients!$B$5:$B$504,MATCH(E725,Clients!$A$5:$A$504,0)),"Walk-in"))</f>
        <v>0</v>
      </c>
      <c r="H725" s="15">
        <f>IF(G725="","",IFERROR(INDEX(Services!$B$5:$B$204,MATCH(G725,Services!$A$5:$A$204,0)),"Not in Services"))</f>
        <v>0</v>
      </c>
      <c r="J725" s="15">
        <f>IF(I725="","",IFERROR(INDEX(Staff!$B$5:$B$44,MATCH(I725,Staff!$A$5:$A$44,0)),"Unassigned"))</f>
        <v>0</v>
      </c>
      <c r="S725" s="15">
        <f>IF(B725="","",TEXT(B725,"yyyy-mm"))</f>
        <v>0</v>
      </c>
      <c r="T725" s="25">
        <f>IF(B725="","",WEEKNUM(B725,2))</f>
        <v>0</v>
      </c>
      <c r="U725" s="25">
        <f>IF(B725="","",IF(K725&lt;&gt;"",K725,IFERROR(INDEX(Services!$E$5:$E$204,MATCH(G725,Services!$A$5:$A$204,0))*1,0)+IFERROR(INDEX(Services!$F$5:$F$204,MATCH(G725,Services!$A$5:$A$204,0))*1,0)))</f>
        <v>0</v>
      </c>
      <c r="V725" s="36">
        <f>IF(B725="","",IF(D725="","",D725+U725/1440))</f>
        <v>0</v>
      </c>
      <c r="W725" s="25">
        <f>IF(B725="","",IF(D725="","",HOUR(D725)))</f>
        <v>0</v>
      </c>
      <c r="X725" s="37">
        <f>IF(B725="","",ROUND(U725/60,2))</f>
        <v>0</v>
      </c>
      <c r="Y725" s="26">
        <f>IF(B725="","",IF(L725&lt;&gt;"",L725,IFERROR(INDEX(Services!$G$5:$G$204,MATCH(G725,Services!$A$5:$A$204,0))*1,0)))</f>
        <v>0</v>
      </c>
      <c r="Z725" s="26">
        <f>IF(B725="","",IF(O725&lt;&gt;"",O725,IF(Y725&gt;=DepositThreshold,ROUND(Y725*DepositPercent,2),0)))</f>
        <v>0</v>
      </c>
      <c r="AA725" s="26">
        <f>IF(B725="","",ROUND(SUMIFS(Payments!$G$5:$G$1204,Payments!$I$5:$I$1204,A725,Payments!$E$5:$E$1204,"Deposit"),2))</f>
        <v>0</v>
      </c>
      <c r="AB725" s="26">
        <f>IF(B725="","",ROUND(SUMIFS(Sales!$Y$5:$Y$1204,Sales!$C$5:$C$1204,A725),2))</f>
        <v>0</v>
      </c>
      <c r="AC725" s="38">
        <f>IF(B725="","",IF(M725="Completed","Yes",IF(M725="Cancelled","Yes",IF(M725="No show","Yes","No"))))</f>
        <v>0</v>
      </c>
      <c r="AD725" s="25">
        <f>IF(B725="","",IF(AE725="","",B725-AE725))</f>
        <v>0</v>
      </c>
      <c r="AF725" s="38">
        <f>IF(B725="","",IF(M725&lt;&gt;"Completed","",IF(E725="","No",IF(COUNTIFS(Appointments!$E$5:$E$1204,E725,Appointments!$B$5:$B$1204,"&gt;"&amp;B725,Appointments!$M$5:$M$1204,"&lt;&gt;Cancelled")&gt;0,"Yes","No"))))</f>
        <v>0</v>
      </c>
      <c r="AG725" s="38">
        <f>IF(B725="","",IF(I725="","",IF(D725="","",IF(COUNTIFS($I$5:$I$1204,I725,$B$5:$B$1204,B725,$D$5:$D$1204,"&lt;"&amp;V725,$V$5:$V$1204,"&gt;"&amp;D725,$M$5:$M$1204,"&lt;&gt;Cancelled")&gt;1,"Clash",""))))</f>
        <v>0</v>
      </c>
      <c r="AH725" s="39">
        <f>IF(B725="","",IF(AG725="Clash","Clash - stylist double booked",IF(I725="","Assign - no stylist yet",IF(G725="","Add - no service chosen",IF(M725="No show","No show - charge the fee?",IF(M725="Cancelled","",IF(IF(M725="Completed",AB725&lt;Y725-0.004,FALSE),"Unpaid - nothing rung up for this visit",IF(IF(B725&lt;TodayDate,M725="Booked",FALSE),"Overdue - past date, still only Booked",IF(IF(B725=TodayDate,TRUE,FALSE),"Today",IF(IF(Z725&gt;0,AA725&lt;Z725-0.004,FALSE),"Due - deposit not taken",IF(IF(B725&gt;TodayDate,B725&lt;=TodayDate+2,FALSE),"Confirm - coming up","OK")))))))))))</f>
        <v>0</v>
      </c>
    </row>
    <row r="726" spans="1:34">
      <c r="A726" s="28">
        <f>IF(B726="","",AppointmentPrefix&amp;TEXT(ROW()-4,"0000"))</f>
        <v>0</v>
      </c>
      <c r="C726" s="15">
        <f>IF(B726="","",TEXT(B726,"ddd"))</f>
        <v>0</v>
      </c>
      <c r="F726" s="15">
        <f>IF(E726="","",IFERROR(INDEX(Clients!$B$5:$B$504,MATCH(E726,Clients!$A$5:$A$504,0)),"Walk-in"))</f>
        <v>0</v>
      </c>
      <c r="H726" s="15">
        <f>IF(G726="","",IFERROR(INDEX(Services!$B$5:$B$204,MATCH(G726,Services!$A$5:$A$204,0)),"Not in Services"))</f>
        <v>0</v>
      </c>
      <c r="J726" s="15">
        <f>IF(I726="","",IFERROR(INDEX(Staff!$B$5:$B$44,MATCH(I726,Staff!$A$5:$A$44,0)),"Unassigned"))</f>
        <v>0</v>
      </c>
      <c r="S726" s="15">
        <f>IF(B726="","",TEXT(B726,"yyyy-mm"))</f>
        <v>0</v>
      </c>
      <c r="T726" s="25">
        <f>IF(B726="","",WEEKNUM(B726,2))</f>
        <v>0</v>
      </c>
      <c r="U726" s="25">
        <f>IF(B726="","",IF(K726&lt;&gt;"",K726,IFERROR(INDEX(Services!$E$5:$E$204,MATCH(G726,Services!$A$5:$A$204,0))*1,0)+IFERROR(INDEX(Services!$F$5:$F$204,MATCH(G726,Services!$A$5:$A$204,0))*1,0)))</f>
        <v>0</v>
      </c>
      <c r="V726" s="36">
        <f>IF(B726="","",IF(D726="","",D726+U726/1440))</f>
        <v>0</v>
      </c>
      <c r="W726" s="25">
        <f>IF(B726="","",IF(D726="","",HOUR(D726)))</f>
        <v>0</v>
      </c>
      <c r="X726" s="37">
        <f>IF(B726="","",ROUND(U726/60,2))</f>
        <v>0</v>
      </c>
      <c r="Y726" s="26">
        <f>IF(B726="","",IF(L726&lt;&gt;"",L726,IFERROR(INDEX(Services!$G$5:$G$204,MATCH(G726,Services!$A$5:$A$204,0))*1,0)))</f>
        <v>0</v>
      </c>
      <c r="Z726" s="26">
        <f>IF(B726="","",IF(O726&lt;&gt;"",O726,IF(Y726&gt;=DepositThreshold,ROUND(Y726*DepositPercent,2),0)))</f>
        <v>0</v>
      </c>
      <c r="AA726" s="26">
        <f>IF(B726="","",ROUND(SUMIFS(Payments!$G$5:$G$1204,Payments!$I$5:$I$1204,A726,Payments!$E$5:$E$1204,"Deposit"),2))</f>
        <v>0</v>
      </c>
      <c r="AB726" s="26">
        <f>IF(B726="","",ROUND(SUMIFS(Sales!$Y$5:$Y$1204,Sales!$C$5:$C$1204,A726),2))</f>
        <v>0</v>
      </c>
      <c r="AC726" s="38">
        <f>IF(B726="","",IF(M726="Completed","Yes",IF(M726="Cancelled","Yes",IF(M726="No show","Yes","No"))))</f>
        <v>0</v>
      </c>
      <c r="AD726" s="25">
        <f>IF(B726="","",IF(AE726="","",B726-AE726))</f>
        <v>0</v>
      </c>
      <c r="AF726" s="38">
        <f>IF(B726="","",IF(M726&lt;&gt;"Completed","",IF(E726="","No",IF(COUNTIFS(Appointments!$E$5:$E$1204,E726,Appointments!$B$5:$B$1204,"&gt;"&amp;B726,Appointments!$M$5:$M$1204,"&lt;&gt;Cancelled")&gt;0,"Yes","No"))))</f>
        <v>0</v>
      </c>
      <c r="AG726" s="38">
        <f>IF(B726="","",IF(I726="","",IF(D726="","",IF(COUNTIFS($I$5:$I$1204,I726,$B$5:$B$1204,B726,$D$5:$D$1204,"&lt;"&amp;V726,$V$5:$V$1204,"&gt;"&amp;D726,$M$5:$M$1204,"&lt;&gt;Cancelled")&gt;1,"Clash",""))))</f>
        <v>0</v>
      </c>
      <c r="AH726" s="39">
        <f>IF(B726="","",IF(AG726="Clash","Clash - stylist double booked",IF(I726="","Assign - no stylist yet",IF(G726="","Add - no service chosen",IF(M726="No show","No show - charge the fee?",IF(M726="Cancelled","",IF(IF(M726="Completed",AB726&lt;Y726-0.004,FALSE),"Unpaid - nothing rung up for this visit",IF(IF(B726&lt;TodayDate,M726="Booked",FALSE),"Overdue - past date, still only Booked",IF(IF(B726=TodayDate,TRUE,FALSE),"Today",IF(IF(Z726&gt;0,AA726&lt;Z726-0.004,FALSE),"Due - deposit not taken",IF(IF(B726&gt;TodayDate,B726&lt;=TodayDate+2,FALSE),"Confirm - coming up","OK")))))))))))</f>
        <v>0</v>
      </c>
    </row>
    <row r="727" spans="1:34">
      <c r="A727" s="28">
        <f>IF(B727="","",AppointmentPrefix&amp;TEXT(ROW()-4,"0000"))</f>
        <v>0</v>
      </c>
      <c r="C727" s="15">
        <f>IF(B727="","",TEXT(B727,"ddd"))</f>
        <v>0</v>
      </c>
      <c r="F727" s="15">
        <f>IF(E727="","",IFERROR(INDEX(Clients!$B$5:$B$504,MATCH(E727,Clients!$A$5:$A$504,0)),"Walk-in"))</f>
        <v>0</v>
      </c>
      <c r="H727" s="15">
        <f>IF(G727="","",IFERROR(INDEX(Services!$B$5:$B$204,MATCH(G727,Services!$A$5:$A$204,0)),"Not in Services"))</f>
        <v>0</v>
      </c>
      <c r="J727" s="15">
        <f>IF(I727="","",IFERROR(INDEX(Staff!$B$5:$B$44,MATCH(I727,Staff!$A$5:$A$44,0)),"Unassigned"))</f>
        <v>0</v>
      </c>
      <c r="S727" s="15">
        <f>IF(B727="","",TEXT(B727,"yyyy-mm"))</f>
        <v>0</v>
      </c>
      <c r="T727" s="25">
        <f>IF(B727="","",WEEKNUM(B727,2))</f>
        <v>0</v>
      </c>
      <c r="U727" s="25">
        <f>IF(B727="","",IF(K727&lt;&gt;"",K727,IFERROR(INDEX(Services!$E$5:$E$204,MATCH(G727,Services!$A$5:$A$204,0))*1,0)+IFERROR(INDEX(Services!$F$5:$F$204,MATCH(G727,Services!$A$5:$A$204,0))*1,0)))</f>
        <v>0</v>
      </c>
      <c r="V727" s="36">
        <f>IF(B727="","",IF(D727="","",D727+U727/1440))</f>
        <v>0</v>
      </c>
      <c r="W727" s="25">
        <f>IF(B727="","",IF(D727="","",HOUR(D727)))</f>
        <v>0</v>
      </c>
      <c r="X727" s="37">
        <f>IF(B727="","",ROUND(U727/60,2))</f>
        <v>0</v>
      </c>
      <c r="Y727" s="26">
        <f>IF(B727="","",IF(L727&lt;&gt;"",L727,IFERROR(INDEX(Services!$G$5:$G$204,MATCH(G727,Services!$A$5:$A$204,0))*1,0)))</f>
        <v>0</v>
      </c>
      <c r="Z727" s="26">
        <f>IF(B727="","",IF(O727&lt;&gt;"",O727,IF(Y727&gt;=DepositThreshold,ROUND(Y727*DepositPercent,2),0)))</f>
        <v>0</v>
      </c>
      <c r="AA727" s="26">
        <f>IF(B727="","",ROUND(SUMIFS(Payments!$G$5:$G$1204,Payments!$I$5:$I$1204,A727,Payments!$E$5:$E$1204,"Deposit"),2))</f>
        <v>0</v>
      </c>
      <c r="AB727" s="26">
        <f>IF(B727="","",ROUND(SUMIFS(Sales!$Y$5:$Y$1204,Sales!$C$5:$C$1204,A727),2))</f>
        <v>0</v>
      </c>
      <c r="AC727" s="38">
        <f>IF(B727="","",IF(M727="Completed","Yes",IF(M727="Cancelled","Yes",IF(M727="No show","Yes","No"))))</f>
        <v>0</v>
      </c>
      <c r="AD727" s="25">
        <f>IF(B727="","",IF(AE727="","",B727-AE727))</f>
        <v>0</v>
      </c>
      <c r="AF727" s="38">
        <f>IF(B727="","",IF(M727&lt;&gt;"Completed","",IF(E727="","No",IF(COUNTIFS(Appointments!$E$5:$E$1204,E727,Appointments!$B$5:$B$1204,"&gt;"&amp;B727,Appointments!$M$5:$M$1204,"&lt;&gt;Cancelled")&gt;0,"Yes","No"))))</f>
        <v>0</v>
      </c>
      <c r="AG727" s="38">
        <f>IF(B727="","",IF(I727="","",IF(D727="","",IF(COUNTIFS($I$5:$I$1204,I727,$B$5:$B$1204,B727,$D$5:$D$1204,"&lt;"&amp;V727,$V$5:$V$1204,"&gt;"&amp;D727,$M$5:$M$1204,"&lt;&gt;Cancelled")&gt;1,"Clash",""))))</f>
        <v>0</v>
      </c>
      <c r="AH727" s="39">
        <f>IF(B727="","",IF(AG727="Clash","Clash - stylist double booked",IF(I727="","Assign - no stylist yet",IF(G727="","Add - no service chosen",IF(M727="No show","No show - charge the fee?",IF(M727="Cancelled","",IF(IF(M727="Completed",AB727&lt;Y727-0.004,FALSE),"Unpaid - nothing rung up for this visit",IF(IF(B727&lt;TodayDate,M727="Booked",FALSE),"Overdue - past date, still only Booked",IF(IF(B727=TodayDate,TRUE,FALSE),"Today",IF(IF(Z727&gt;0,AA727&lt;Z727-0.004,FALSE),"Due - deposit not taken",IF(IF(B727&gt;TodayDate,B727&lt;=TodayDate+2,FALSE),"Confirm - coming up","OK")))))))))))</f>
        <v>0</v>
      </c>
    </row>
    <row r="728" spans="1:34">
      <c r="A728" s="28">
        <f>IF(B728="","",AppointmentPrefix&amp;TEXT(ROW()-4,"0000"))</f>
        <v>0</v>
      </c>
      <c r="C728" s="15">
        <f>IF(B728="","",TEXT(B728,"ddd"))</f>
        <v>0</v>
      </c>
      <c r="F728" s="15">
        <f>IF(E728="","",IFERROR(INDEX(Clients!$B$5:$B$504,MATCH(E728,Clients!$A$5:$A$504,0)),"Walk-in"))</f>
        <v>0</v>
      </c>
      <c r="H728" s="15">
        <f>IF(G728="","",IFERROR(INDEX(Services!$B$5:$B$204,MATCH(G728,Services!$A$5:$A$204,0)),"Not in Services"))</f>
        <v>0</v>
      </c>
      <c r="J728" s="15">
        <f>IF(I728="","",IFERROR(INDEX(Staff!$B$5:$B$44,MATCH(I728,Staff!$A$5:$A$44,0)),"Unassigned"))</f>
        <v>0</v>
      </c>
      <c r="S728" s="15">
        <f>IF(B728="","",TEXT(B728,"yyyy-mm"))</f>
        <v>0</v>
      </c>
      <c r="T728" s="25">
        <f>IF(B728="","",WEEKNUM(B728,2))</f>
        <v>0</v>
      </c>
      <c r="U728" s="25">
        <f>IF(B728="","",IF(K728&lt;&gt;"",K728,IFERROR(INDEX(Services!$E$5:$E$204,MATCH(G728,Services!$A$5:$A$204,0))*1,0)+IFERROR(INDEX(Services!$F$5:$F$204,MATCH(G728,Services!$A$5:$A$204,0))*1,0)))</f>
        <v>0</v>
      </c>
      <c r="V728" s="36">
        <f>IF(B728="","",IF(D728="","",D728+U728/1440))</f>
        <v>0</v>
      </c>
      <c r="W728" s="25">
        <f>IF(B728="","",IF(D728="","",HOUR(D728)))</f>
        <v>0</v>
      </c>
      <c r="X728" s="37">
        <f>IF(B728="","",ROUND(U728/60,2))</f>
        <v>0</v>
      </c>
      <c r="Y728" s="26">
        <f>IF(B728="","",IF(L728&lt;&gt;"",L728,IFERROR(INDEX(Services!$G$5:$G$204,MATCH(G728,Services!$A$5:$A$204,0))*1,0)))</f>
        <v>0</v>
      </c>
      <c r="Z728" s="26">
        <f>IF(B728="","",IF(O728&lt;&gt;"",O728,IF(Y728&gt;=DepositThreshold,ROUND(Y728*DepositPercent,2),0)))</f>
        <v>0</v>
      </c>
      <c r="AA728" s="26">
        <f>IF(B728="","",ROUND(SUMIFS(Payments!$G$5:$G$1204,Payments!$I$5:$I$1204,A728,Payments!$E$5:$E$1204,"Deposit"),2))</f>
        <v>0</v>
      </c>
      <c r="AB728" s="26">
        <f>IF(B728="","",ROUND(SUMIFS(Sales!$Y$5:$Y$1204,Sales!$C$5:$C$1204,A728),2))</f>
        <v>0</v>
      </c>
      <c r="AC728" s="38">
        <f>IF(B728="","",IF(M728="Completed","Yes",IF(M728="Cancelled","Yes",IF(M728="No show","Yes","No"))))</f>
        <v>0</v>
      </c>
      <c r="AD728" s="25">
        <f>IF(B728="","",IF(AE728="","",B728-AE728))</f>
        <v>0</v>
      </c>
      <c r="AF728" s="38">
        <f>IF(B728="","",IF(M728&lt;&gt;"Completed","",IF(E728="","No",IF(COUNTIFS(Appointments!$E$5:$E$1204,E728,Appointments!$B$5:$B$1204,"&gt;"&amp;B728,Appointments!$M$5:$M$1204,"&lt;&gt;Cancelled")&gt;0,"Yes","No"))))</f>
        <v>0</v>
      </c>
      <c r="AG728" s="38">
        <f>IF(B728="","",IF(I728="","",IF(D728="","",IF(COUNTIFS($I$5:$I$1204,I728,$B$5:$B$1204,B728,$D$5:$D$1204,"&lt;"&amp;V728,$V$5:$V$1204,"&gt;"&amp;D728,$M$5:$M$1204,"&lt;&gt;Cancelled")&gt;1,"Clash",""))))</f>
        <v>0</v>
      </c>
      <c r="AH728" s="39">
        <f>IF(B728="","",IF(AG728="Clash","Clash - stylist double booked",IF(I728="","Assign - no stylist yet",IF(G728="","Add - no service chosen",IF(M728="No show","No show - charge the fee?",IF(M728="Cancelled","",IF(IF(M728="Completed",AB728&lt;Y728-0.004,FALSE),"Unpaid - nothing rung up for this visit",IF(IF(B728&lt;TodayDate,M728="Booked",FALSE),"Overdue - past date, still only Booked",IF(IF(B728=TodayDate,TRUE,FALSE),"Today",IF(IF(Z728&gt;0,AA728&lt;Z728-0.004,FALSE),"Due - deposit not taken",IF(IF(B728&gt;TodayDate,B728&lt;=TodayDate+2,FALSE),"Confirm - coming up","OK")))))))))))</f>
        <v>0</v>
      </c>
    </row>
    <row r="729" spans="1:34">
      <c r="A729" s="28">
        <f>IF(B729="","",AppointmentPrefix&amp;TEXT(ROW()-4,"0000"))</f>
        <v>0</v>
      </c>
      <c r="C729" s="15">
        <f>IF(B729="","",TEXT(B729,"ddd"))</f>
        <v>0</v>
      </c>
      <c r="F729" s="15">
        <f>IF(E729="","",IFERROR(INDEX(Clients!$B$5:$B$504,MATCH(E729,Clients!$A$5:$A$504,0)),"Walk-in"))</f>
        <v>0</v>
      </c>
      <c r="H729" s="15">
        <f>IF(G729="","",IFERROR(INDEX(Services!$B$5:$B$204,MATCH(G729,Services!$A$5:$A$204,0)),"Not in Services"))</f>
        <v>0</v>
      </c>
      <c r="J729" s="15">
        <f>IF(I729="","",IFERROR(INDEX(Staff!$B$5:$B$44,MATCH(I729,Staff!$A$5:$A$44,0)),"Unassigned"))</f>
        <v>0</v>
      </c>
      <c r="S729" s="15">
        <f>IF(B729="","",TEXT(B729,"yyyy-mm"))</f>
        <v>0</v>
      </c>
      <c r="T729" s="25">
        <f>IF(B729="","",WEEKNUM(B729,2))</f>
        <v>0</v>
      </c>
      <c r="U729" s="25">
        <f>IF(B729="","",IF(K729&lt;&gt;"",K729,IFERROR(INDEX(Services!$E$5:$E$204,MATCH(G729,Services!$A$5:$A$204,0))*1,0)+IFERROR(INDEX(Services!$F$5:$F$204,MATCH(G729,Services!$A$5:$A$204,0))*1,0)))</f>
        <v>0</v>
      </c>
      <c r="V729" s="36">
        <f>IF(B729="","",IF(D729="","",D729+U729/1440))</f>
        <v>0</v>
      </c>
      <c r="W729" s="25">
        <f>IF(B729="","",IF(D729="","",HOUR(D729)))</f>
        <v>0</v>
      </c>
      <c r="X729" s="37">
        <f>IF(B729="","",ROUND(U729/60,2))</f>
        <v>0</v>
      </c>
      <c r="Y729" s="26">
        <f>IF(B729="","",IF(L729&lt;&gt;"",L729,IFERROR(INDEX(Services!$G$5:$G$204,MATCH(G729,Services!$A$5:$A$204,0))*1,0)))</f>
        <v>0</v>
      </c>
      <c r="Z729" s="26">
        <f>IF(B729="","",IF(O729&lt;&gt;"",O729,IF(Y729&gt;=DepositThreshold,ROUND(Y729*DepositPercent,2),0)))</f>
        <v>0</v>
      </c>
      <c r="AA729" s="26">
        <f>IF(B729="","",ROUND(SUMIFS(Payments!$G$5:$G$1204,Payments!$I$5:$I$1204,A729,Payments!$E$5:$E$1204,"Deposit"),2))</f>
        <v>0</v>
      </c>
      <c r="AB729" s="26">
        <f>IF(B729="","",ROUND(SUMIFS(Sales!$Y$5:$Y$1204,Sales!$C$5:$C$1204,A729),2))</f>
        <v>0</v>
      </c>
      <c r="AC729" s="38">
        <f>IF(B729="","",IF(M729="Completed","Yes",IF(M729="Cancelled","Yes",IF(M729="No show","Yes","No"))))</f>
        <v>0</v>
      </c>
      <c r="AD729" s="25">
        <f>IF(B729="","",IF(AE729="","",B729-AE729))</f>
        <v>0</v>
      </c>
      <c r="AF729" s="38">
        <f>IF(B729="","",IF(M729&lt;&gt;"Completed","",IF(E729="","No",IF(COUNTIFS(Appointments!$E$5:$E$1204,E729,Appointments!$B$5:$B$1204,"&gt;"&amp;B729,Appointments!$M$5:$M$1204,"&lt;&gt;Cancelled")&gt;0,"Yes","No"))))</f>
        <v>0</v>
      </c>
      <c r="AG729" s="38">
        <f>IF(B729="","",IF(I729="","",IF(D729="","",IF(COUNTIFS($I$5:$I$1204,I729,$B$5:$B$1204,B729,$D$5:$D$1204,"&lt;"&amp;V729,$V$5:$V$1204,"&gt;"&amp;D729,$M$5:$M$1204,"&lt;&gt;Cancelled")&gt;1,"Clash",""))))</f>
        <v>0</v>
      </c>
      <c r="AH729" s="39">
        <f>IF(B729="","",IF(AG729="Clash","Clash - stylist double booked",IF(I729="","Assign - no stylist yet",IF(G729="","Add - no service chosen",IF(M729="No show","No show - charge the fee?",IF(M729="Cancelled","",IF(IF(M729="Completed",AB729&lt;Y729-0.004,FALSE),"Unpaid - nothing rung up for this visit",IF(IF(B729&lt;TodayDate,M729="Booked",FALSE),"Overdue - past date, still only Booked",IF(IF(B729=TodayDate,TRUE,FALSE),"Today",IF(IF(Z729&gt;0,AA729&lt;Z729-0.004,FALSE),"Due - deposit not taken",IF(IF(B729&gt;TodayDate,B729&lt;=TodayDate+2,FALSE),"Confirm - coming up","OK")))))))))))</f>
        <v>0</v>
      </c>
    </row>
    <row r="730" spans="1:34">
      <c r="A730" s="28">
        <f>IF(B730="","",AppointmentPrefix&amp;TEXT(ROW()-4,"0000"))</f>
        <v>0</v>
      </c>
      <c r="C730" s="15">
        <f>IF(B730="","",TEXT(B730,"ddd"))</f>
        <v>0</v>
      </c>
      <c r="F730" s="15">
        <f>IF(E730="","",IFERROR(INDEX(Clients!$B$5:$B$504,MATCH(E730,Clients!$A$5:$A$504,0)),"Walk-in"))</f>
        <v>0</v>
      </c>
      <c r="H730" s="15">
        <f>IF(G730="","",IFERROR(INDEX(Services!$B$5:$B$204,MATCH(G730,Services!$A$5:$A$204,0)),"Not in Services"))</f>
        <v>0</v>
      </c>
      <c r="J730" s="15">
        <f>IF(I730="","",IFERROR(INDEX(Staff!$B$5:$B$44,MATCH(I730,Staff!$A$5:$A$44,0)),"Unassigned"))</f>
        <v>0</v>
      </c>
      <c r="S730" s="15">
        <f>IF(B730="","",TEXT(B730,"yyyy-mm"))</f>
        <v>0</v>
      </c>
      <c r="T730" s="25">
        <f>IF(B730="","",WEEKNUM(B730,2))</f>
        <v>0</v>
      </c>
      <c r="U730" s="25">
        <f>IF(B730="","",IF(K730&lt;&gt;"",K730,IFERROR(INDEX(Services!$E$5:$E$204,MATCH(G730,Services!$A$5:$A$204,0))*1,0)+IFERROR(INDEX(Services!$F$5:$F$204,MATCH(G730,Services!$A$5:$A$204,0))*1,0)))</f>
        <v>0</v>
      </c>
      <c r="V730" s="36">
        <f>IF(B730="","",IF(D730="","",D730+U730/1440))</f>
        <v>0</v>
      </c>
      <c r="W730" s="25">
        <f>IF(B730="","",IF(D730="","",HOUR(D730)))</f>
        <v>0</v>
      </c>
      <c r="X730" s="37">
        <f>IF(B730="","",ROUND(U730/60,2))</f>
        <v>0</v>
      </c>
      <c r="Y730" s="26">
        <f>IF(B730="","",IF(L730&lt;&gt;"",L730,IFERROR(INDEX(Services!$G$5:$G$204,MATCH(G730,Services!$A$5:$A$204,0))*1,0)))</f>
        <v>0</v>
      </c>
      <c r="Z730" s="26">
        <f>IF(B730="","",IF(O730&lt;&gt;"",O730,IF(Y730&gt;=DepositThreshold,ROUND(Y730*DepositPercent,2),0)))</f>
        <v>0</v>
      </c>
      <c r="AA730" s="26">
        <f>IF(B730="","",ROUND(SUMIFS(Payments!$G$5:$G$1204,Payments!$I$5:$I$1204,A730,Payments!$E$5:$E$1204,"Deposit"),2))</f>
        <v>0</v>
      </c>
      <c r="AB730" s="26">
        <f>IF(B730="","",ROUND(SUMIFS(Sales!$Y$5:$Y$1204,Sales!$C$5:$C$1204,A730),2))</f>
        <v>0</v>
      </c>
      <c r="AC730" s="38">
        <f>IF(B730="","",IF(M730="Completed","Yes",IF(M730="Cancelled","Yes",IF(M730="No show","Yes","No"))))</f>
        <v>0</v>
      </c>
      <c r="AD730" s="25">
        <f>IF(B730="","",IF(AE730="","",B730-AE730))</f>
        <v>0</v>
      </c>
      <c r="AF730" s="38">
        <f>IF(B730="","",IF(M730&lt;&gt;"Completed","",IF(E730="","No",IF(COUNTIFS(Appointments!$E$5:$E$1204,E730,Appointments!$B$5:$B$1204,"&gt;"&amp;B730,Appointments!$M$5:$M$1204,"&lt;&gt;Cancelled")&gt;0,"Yes","No"))))</f>
        <v>0</v>
      </c>
      <c r="AG730" s="38">
        <f>IF(B730="","",IF(I730="","",IF(D730="","",IF(COUNTIFS($I$5:$I$1204,I730,$B$5:$B$1204,B730,$D$5:$D$1204,"&lt;"&amp;V730,$V$5:$V$1204,"&gt;"&amp;D730,$M$5:$M$1204,"&lt;&gt;Cancelled")&gt;1,"Clash",""))))</f>
        <v>0</v>
      </c>
      <c r="AH730" s="39">
        <f>IF(B730="","",IF(AG730="Clash","Clash - stylist double booked",IF(I730="","Assign - no stylist yet",IF(G730="","Add - no service chosen",IF(M730="No show","No show - charge the fee?",IF(M730="Cancelled","",IF(IF(M730="Completed",AB730&lt;Y730-0.004,FALSE),"Unpaid - nothing rung up for this visit",IF(IF(B730&lt;TodayDate,M730="Booked",FALSE),"Overdue - past date, still only Booked",IF(IF(B730=TodayDate,TRUE,FALSE),"Today",IF(IF(Z730&gt;0,AA730&lt;Z730-0.004,FALSE),"Due - deposit not taken",IF(IF(B730&gt;TodayDate,B730&lt;=TodayDate+2,FALSE),"Confirm - coming up","OK")))))))))))</f>
        <v>0</v>
      </c>
    </row>
    <row r="731" spans="1:34">
      <c r="A731" s="28">
        <f>IF(B731="","",AppointmentPrefix&amp;TEXT(ROW()-4,"0000"))</f>
        <v>0</v>
      </c>
      <c r="C731" s="15">
        <f>IF(B731="","",TEXT(B731,"ddd"))</f>
        <v>0</v>
      </c>
      <c r="F731" s="15">
        <f>IF(E731="","",IFERROR(INDEX(Clients!$B$5:$B$504,MATCH(E731,Clients!$A$5:$A$504,0)),"Walk-in"))</f>
        <v>0</v>
      </c>
      <c r="H731" s="15">
        <f>IF(G731="","",IFERROR(INDEX(Services!$B$5:$B$204,MATCH(G731,Services!$A$5:$A$204,0)),"Not in Services"))</f>
        <v>0</v>
      </c>
      <c r="J731" s="15">
        <f>IF(I731="","",IFERROR(INDEX(Staff!$B$5:$B$44,MATCH(I731,Staff!$A$5:$A$44,0)),"Unassigned"))</f>
        <v>0</v>
      </c>
      <c r="S731" s="15">
        <f>IF(B731="","",TEXT(B731,"yyyy-mm"))</f>
        <v>0</v>
      </c>
      <c r="T731" s="25">
        <f>IF(B731="","",WEEKNUM(B731,2))</f>
        <v>0</v>
      </c>
      <c r="U731" s="25">
        <f>IF(B731="","",IF(K731&lt;&gt;"",K731,IFERROR(INDEX(Services!$E$5:$E$204,MATCH(G731,Services!$A$5:$A$204,0))*1,0)+IFERROR(INDEX(Services!$F$5:$F$204,MATCH(G731,Services!$A$5:$A$204,0))*1,0)))</f>
        <v>0</v>
      </c>
      <c r="V731" s="36">
        <f>IF(B731="","",IF(D731="","",D731+U731/1440))</f>
        <v>0</v>
      </c>
      <c r="W731" s="25">
        <f>IF(B731="","",IF(D731="","",HOUR(D731)))</f>
        <v>0</v>
      </c>
      <c r="X731" s="37">
        <f>IF(B731="","",ROUND(U731/60,2))</f>
        <v>0</v>
      </c>
      <c r="Y731" s="26">
        <f>IF(B731="","",IF(L731&lt;&gt;"",L731,IFERROR(INDEX(Services!$G$5:$G$204,MATCH(G731,Services!$A$5:$A$204,0))*1,0)))</f>
        <v>0</v>
      </c>
      <c r="Z731" s="26">
        <f>IF(B731="","",IF(O731&lt;&gt;"",O731,IF(Y731&gt;=DepositThreshold,ROUND(Y731*DepositPercent,2),0)))</f>
        <v>0</v>
      </c>
      <c r="AA731" s="26">
        <f>IF(B731="","",ROUND(SUMIFS(Payments!$G$5:$G$1204,Payments!$I$5:$I$1204,A731,Payments!$E$5:$E$1204,"Deposit"),2))</f>
        <v>0</v>
      </c>
      <c r="AB731" s="26">
        <f>IF(B731="","",ROUND(SUMIFS(Sales!$Y$5:$Y$1204,Sales!$C$5:$C$1204,A731),2))</f>
        <v>0</v>
      </c>
      <c r="AC731" s="38">
        <f>IF(B731="","",IF(M731="Completed","Yes",IF(M731="Cancelled","Yes",IF(M731="No show","Yes","No"))))</f>
        <v>0</v>
      </c>
      <c r="AD731" s="25">
        <f>IF(B731="","",IF(AE731="","",B731-AE731))</f>
        <v>0</v>
      </c>
      <c r="AF731" s="38">
        <f>IF(B731="","",IF(M731&lt;&gt;"Completed","",IF(E731="","No",IF(COUNTIFS(Appointments!$E$5:$E$1204,E731,Appointments!$B$5:$B$1204,"&gt;"&amp;B731,Appointments!$M$5:$M$1204,"&lt;&gt;Cancelled")&gt;0,"Yes","No"))))</f>
        <v>0</v>
      </c>
      <c r="AG731" s="38">
        <f>IF(B731="","",IF(I731="","",IF(D731="","",IF(COUNTIFS($I$5:$I$1204,I731,$B$5:$B$1204,B731,$D$5:$D$1204,"&lt;"&amp;V731,$V$5:$V$1204,"&gt;"&amp;D731,$M$5:$M$1204,"&lt;&gt;Cancelled")&gt;1,"Clash",""))))</f>
        <v>0</v>
      </c>
      <c r="AH731" s="39">
        <f>IF(B731="","",IF(AG731="Clash","Clash - stylist double booked",IF(I731="","Assign - no stylist yet",IF(G731="","Add - no service chosen",IF(M731="No show","No show - charge the fee?",IF(M731="Cancelled","",IF(IF(M731="Completed",AB731&lt;Y731-0.004,FALSE),"Unpaid - nothing rung up for this visit",IF(IF(B731&lt;TodayDate,M731="Booked",FALSE),"Overdue - past date, still only Booked",IF(IF(B731=TodayDate,TRUE,FALSE),"Today",IF(IF(Z731&gt;0,AA731&lt;Z731-0.004,FALSE),"Due - deposit not taken",IF(IF(B731&gt;TodayDate,B731&lt;=TodayDate+2,FALSE),"Confirm - coming up","OK")))))))))))</f>
        <v>0</v>
      </c>
    </row>
    <row r="732" spans="1:34">
      <c r="A732" s="28">
        <f>IF(B732="","",AppointmentPrefix&amp;TEXT(ROW()-4,"0000"))</f>
        <v>0</v>
      </c>
      <c r="C732" s="15">
        <f>IF(B732="","",TEXT(B732,"ddd"))</f>
        <v>0</v>
      </c>
      <c r="F732" s="15">
        <f>IF(E732="","",IFERROR(INDEX(Clients!$B$5:$B$504,MATCH(E732,Clients!$A$5:$A$504,0)),"Walk-in"))</f>
        <v>0</v>
      </c>
      <c r="H732" s="15">
        <f>IF(G732="","",IFERROR(INDEX(Services!$B$5:$B$204,MATCH(G732,Services!$A$5:$A$204,0)),"Not in Services"))</f>
        <v>0</v>
      </c>
      <c r="J732" s="15">
        <f>IF(I732="","",IFERROR(INDEX(Staff!$B$5:$B$44,MATCH(I732,Staff!$A$5:$A$44,0)),"Unassigned"))</f>
        <v>0</v>
      </c>
      <c r="S732" s="15">
        <f>IF(B732="","",TEXT(B732,"yyyy-mm"))</f>
        <v>0</v>
      </c>
      <c r="T732" s="25">
        <f>IF(B732="","",WEEKNUM(B732,2))</f>
        <v>0</v>
      </c>
      <c r="U732" s="25">
        <f>IF(B732="","",IF(K732&lt;&gt;"",K732,IFERROR(INDEX(Services!$E$5:$E$204,MATCH(G732,Services!$A$5:$A$204,0))*1,0)+IFERROR(INDEX(Services!$F$5:$F$204,MATCH(G732,Services!$A$5:$A$204,0))*1,0)))</f>
        <v>0</v>
      </c>
      <c r="V732" s="36">
        <f>IF(B732="","",IF(D732="","",D732+U732/1440))</f>
        <v>0</v>
      </c>
      <c r="W732" s="25">
        <f>IF(B732="","",IF(D732="","",HOUR(D732)))</f>
        <v>0</v>
      </c>
      <c r="X732" s="37">
        <f>IF(B732="","",ROUND(U732/60,2))</f>
        <v>0</v>
      </c>
      <c r="Y732" s="26">
        <f>IF(B732="","",IF(L732&lt;&gt;"",L732,IFERROR(INDEX(Services!$G$5:$G$204,MATCH(G732,Services!$A$5:$A$204,0))*1,0)))</f>
        <v>0</v>
      </c>
      <c r="Z732" s="26">
        <f>IF(B732="","",IF(O732&lt;&gt;"",O732,IF(Y732&gt;=DepositThreshold,ROUND(Y732*DepositPercent,2),0)))</f>
        <v>0</v>
      </c>
      <c r="AA732" s="26">
        <f>IF(B732="","",ROUND(SUMIFS(Payments!$G$5:$G$1204,Payments!$I$5:$I$1204,A732,Payments!$E$5:$E$1204,"Deposit"),2))</f>
        <v>0</v>
      </c>
      <c r="AB732" s="26">
        <f>IF(B732="","",ROUND(SUMIFS(Sales!$Y$5:$Y$1204,Sales!$C$5:$C$1204,A732),2))</f>
        <v>0</v>
      </c>
      <c r="AC732" s="38">
        <f>IF(B732="","",IF(M732="Completed","Yes",IF(M732="Cancelled","Yes",IF(M732="No show","Yes","No"))))</f>
        <v>0</v>
      </c>
      <c r="AD732" s="25">
        <f>IF(B732="","",IF(AE732="","",B732-AE732))</f>
        <v>0</v>
      </c>
      <c r="AF732" s="38">
        <f>IF(B732="","",IF(M732&lt;&gt;"Completed","",IF(E732="","No",IF(COUNTIFS(Appointments!$E$5:$E$1204,E732,Appointments!$B$5:$B$1204,"&gt;"&amp;B732,Appointments!$M$5:$M$1204,"&lt;&gt;Cancelled")&gt;0,"Yes","No"))))</f>
        <v>0</v>
      </c>
      <c r="AG732" s="38">
        <f>IF(B732="","",IF(I732="","",IF(D732="","",IF(COUNTIFS($I$5:$I$1204,I732,$B$5:$B$1204,B732,$D$5:$D$1204,"&lt;"&amp;V732,$V$5:$V$1204,"&gt;"&amp;D732,$M$5:$M$1204,"&lt;&gt;Cancelled")&gt;1,"Clash",""))))</f>
        <v>0</v>
      </c>
      <c r="AH732" s="39">
        <f>IF(B732="","",IF(AG732="Clash","Clash - stylist double booked",IF(I732="","Assign - no stylist yet",IF(G732="","Add - no service chosen",IF(M732="No show","No show - charge the fee?",IF(M732="Cancelled","",IF(IF(M732="Completed",AB732&lt;Y732-0.004,FALSE),"Unpaid - nothing rung up for this visit",IF(IF(B732&lt;TodayDate,M732="Booked",FALSE),"Overdue - past date, still only Booked",IF(IF(B732=TodayDate,TRUE,FALSE),"Today",IF(IF(Z732&gt;0,AA732&lt;Z732-0.004,FALSE),"Due - deposit not taken",IF(IF(B732&gt;TodayDate,B732&lt;=TodayDate+2,FALSE),"Confirm - coming up","OK")))))))))))</f>
        <v>0</v>
      </c>
    </row>
    <row r="733" spans="1:34">
      <c r="A733" s="28">
        <f>IF(B733="","",AppointmentPrefix&amp;TEXT(ROW()-4,"0000"))</f>
        <v>0</v>
      </c>
      <c r="C733" s="15">
        <f>IF(B733="","",TEXT(B733,"ddd"))</f>
        <v>0</v>
      </c>
      <c r="F733" s="15">
        <f>IF(E733="","",IFERROR(INDEX(Clients!$B$5:$B$504,MATCH(E733,Clients!$A$5:$A$504,0)),"Walk-in"))</f>
        <v>0</v>
      </c>
      <c r="H733" s="15">
        <f>IF(G733="","",IFERROR(INDEX(Services!$B$5:$B$204,MATCH(G733,Services!$A$5:$A$204,0)),"Not in Services"))</f>
        <v>0</v>
      </c>
      <c r="J733" s="15">
        <f>IF(I733="","",IFERROR(INDEX(Staff!$B$5:$B$44,MATCH(I733,Staff!$A$5:$A$44,0)),"Unassigned"))</f>
        <v>0</v>
      </c>
      <c r="S733" s="15">
        <f>IF(B733="","",TEXT(B733,"yyyy-mm"))</f>
        <v>0</v>
      </c>
      <c r="T733" s="25">
        <f>IF(B733="","",WEEKNUM(B733,2))</f>
        <v>0</v>
      </c>
      <c r="U733" s="25">
        <f>IF(B733="","",IF(K733&lt;&gt;"",K733,IFERROR(INDEX(Services!$E$5:$E$204,MATCH(G733,Services!$A$5:$A$204,0))*1,0)+IFERROR(INDEX(Services!$F$5:$F$204,MATCH(G733,Services!$A$5:$A$204,0))*1,0)))</f>
        <v>0</v>
      </c>
      <c r="V733" s="36">
        <f>IF(B733="","",IF(D733="","",D733+U733/1440))</f>
        <v>0</v>
      </c>
      <c r="W733" s="25">
        <f>IF(B733="","",IF(D733="","",HOUR(D733)))</f>
        <v>0</v>
      </c>
      <c r="X733" s="37">
        <f>IF(B733="","",ROUND(U733/60,2))</f>
        <v>0</v>
      </c>
      <c r="Y733" s="26">
        <f>IF(B733="","",IF(L733&lt;&gt;"",L733,IFERROR(INDEX(Services!$G$5:$G$204,MATCH(G733,Services!$A$5:$A$204,0))*1,0)))</f>
        <v>0</v>
      </c>
      <c r="Z733" s="26">
        <f>IF(B733="","",IF(O733&lt;&gt;"",O733,IF(Y733&gt;=DepositThreshold,ROUND(Y733*DepositPercent,2),0)))</f>
        <v>0</v>
      </c>
      <c r="AA733" s="26">
        <f>IF(B733="","",ROUND(SUMIFS(Payments!$G$5:$G$1204,Payments!$I$5:$I$1204,A733,Payments!$E$5:$E$1204,"Deposit"),2))</f>
        <v>0</v>
      </c>
      <c r="AB733" s="26">
        <f>IF(B733="","",ROUND(SUMIFS(Sales!$Y$5:$Y$1204,Sales!$C$5:$C$1204,A733),2))</f>
        <v>0</v>
      </c>
      <c r="AC733" s="38">
        <f>IF(B733="","",IF(M733="Completed","Yes",IF(M733="Cancelled","Yes",IF(M733="No show","Yes","No"))))</f>
        <v>0</v>
      </c>
      <c r="AD733" s="25">
        <f>IF(B733="","",IF(AE733="","",B733-AE733))</f>
        <v>0</v>
      </c>
      <c r="AF733" s="38">
        <f>IF(B733="","",IF(M733&lt;&gt;"Completed","",IF(E733="","No",IF(COUNTIFS(Appointments!$E$5:$E$1204,E733,Appointments!$B$5:$B$1204,"&gt;"&amp;B733,Appointments!$M$5:$M$1204,"&lt;&gt;Cancelled")&gt;0,"Yes","No"))))</f>
        <v>0</v>
      </c>
      <c r="AG733" s="38">
        <f>IF(B733="","",IF(I733="","",IF(D733="","",IF(COUNTIFS($I$5:$I$1204,I733,$B$5:$B$1204,B733,$D$5:$D$1204,"&lt;"&amp;V733,$V$5:$V$1204,"&gt;"&amp;D733,$M$5:$M$1204,"&lt;&gt;Cancelled")&gt;1,"Clash",""))))</f>
        <v>0</v>
      </c>
      <c r="AH733" s="39">
        <f>IF(B733="","",IF(AG733="Clash","Clash - stylist double booked",IF(I733="","Assign - no stylist yet",IF(G733="","Add - no service chosen",IF(M733="No show","No show - charge the fee?",IF(M733="Cancelled","",IF(IF(M733="Completed",AB733&lt;Y733-0.004,FALSE),"Unpaid - nothing rung up for this visit",IF(IF(B733&lt;TodayDate,M733="Booked",FALSE),"Overdue - past date, still only Booked",IF(IF(B733=TodayDate,TRUE,FALSE),"Today",IF(IF(Z733&gt;0,AA733&lt;Z733-0.004,FALSE),"Due - deposit not taken",IF(IF(B733&gt;TodayDate,B733&lt;=TodayDate+2,FALSE),"Confirm - coming up","OK")))))))))))</f>
        <v>0</v>
      </c>
    </row>
    <row r="734" spans="1:34">
      <c r="A734" s="28">
        <f>IF(B734="","",AppointmentPrefix&amp;TEXT(ROW()-4,"0000"))</f>
        <v>0</v>
      </c>
      <c r="C734" s="15">
        <f>IF(B734="","",TEXT(B734,"ddd"))</f>
        <v>0</v>
      </c>
      <c r="F734" s="15">
        <f>IF(E734="","",IFERROR(INDEX(Clients!$B$5:$B$504,MATCH(E734,Clients!$A$5:$A$504,0)),"Walk-in"))</f>
        <v>0</v>
      </c>
      <c r="H734" s="15">
        <f>IF(G734="","",IFERROR(INDEX(Services!$B$5:$B$204,MATCH(G734,Services!$A$5:$A$204,0)),"Not in Services"))</f>
        <v>0</v>
      </c>
      <c r="J734" s="15">
        <f>IF(I734="","",IFERROR(INDEX(Staff!$B$5:$B$44,MATCH(I734,Staff!$A$5:$A$44,0)),"Unassigned"))</f>
        <v>0</v>
      </c>
      <c r="S734" s="15">
        <f>IF(B734="","",TEXT(B734,"yyyy-mm"))</f>
        <v>0</v>
      </c>
      <c r="T734" s="25">
        <f>IF(B734="","",WEEKNUM(B734,2))</f>
        <v>0</v>
      </c>
      <c r="U734" s="25">
        <f>IF(B734="","",IF(K734&lt;&gt;"",K734,IFERROR(INDEX(Services!$E$5:$E$204,MATCH(G734,Services!$A$5:$A$204,0))*1,0)+IFERROR(INDEX(Services!$F$5:$F$204,MATCH(G734,Services!$A$5:$A$204,0))*1,0)))</f>
        <v>0</v>
      </c>
      <c r="V734" s="36">
        <f>IF(B734="","",IF(D734="","",D734+U734/1440))</f>
        <v>0</v>
      </c>
      <c r="W734" s="25">
        <f>IF(B734="","",IF(D734="","",HOUR(D734)))</f>
        <v>0</v>
      </c>
      <c r="X734" s="37">
        <f>IF(B734="","",ROUND(U734/60,2))</f>
        <v>0</v>
      </c>
      <c r="Y734" s="26">
        <f>IF(B734="","",IF(L734&lt;&gt;"",L734,IFERROR(INDEX(Services!$G$5:$G$204,MATCH(G734,Services!$A$5:$A$204,0))*1,0)))</f>
        <v>0</v>
      </c>
      <c r="Z734" s="26">
        <f>IF(B734="","",IF(O734&lt;&gt;"",O734,IF(Y734&gt;=DepositThreshold,ROUND(Y734*DepositPercent,2),0)))</f>
        <v>0</v>
      </c>
      <c r="AA734" s="26">
        <f>IF(B734="","",ROUND(SUMIFS(Payments!$G$5:$G$1204,Payments!$I$5:$I$1204,A734,Payments!$E$5:$E$1204,"Deposit"),2))</f>
        <v>0</v>
      </c>
      <c r="AB734" s="26">
        <f>IF(B734="","",ROUND(SUMIFS(Sales!$Y$5:$Y$1204,Sales!$C$5:$C$1204,A734),2))</f>
        <v>0</v>
      </c>
      <c r="AC734" s="38">
        <f>IF(B734="","",IF(M734="Completed","Yes",IF(M734="Cancelled","Yes",IF(M734="No show","Yes","No"))))</f>
        <v>0</v>
      </c>
      <c r="AD734" s="25">
        <f>IF(B734="","",IF(AE734="","",B734-AE734))</f>
        <v>0</v>
      </c>
      <c r="AF734" s="38">
        <f>IF(B734="","",IF(M734&lt;&gt;"Completed","",IF(E734="","No",IF(COUNTIFS(Appointments!$E$5:$E$1204,E734,Appointments!$B$5:$B$1204,"&gt;"&amp;B734,Appointments!$M$5:$M$1204,"&lt;&gt;Cancelled")&gt;0,"Yes","No"))))</f>
        <v>0</v>
      </c>
      <c r="AG734" s="38">
        <f>IF(B734="","",IF(I734="","",IF(D734="","",IF(COUNTIFS($I$5:$I$1204,I734,$B$5:$B$1204,B734,$D$5:$D$1204,"&lt;"&amp;V734,$V$5:$V$1204,"&gt;"&amp;D734,$M$5:$M$1204,"&lt;&gt;Cancelled")&gt;1,"Clash",""))))</f>
        <v>0</v>
      </c>
      <c r="AH734" s="39">
        <f>IF(B734="","",IF(AG734="Clash","Clash - stylist double booked",IF(I734="","Assign - no stylist yet",IF(G734="","Add - no service chosen",IF(M734="No show","No show - charge the fee?",IF(M734="Cancelled","",IF(IF(M734="Completed",AB734&lt;Y734-0.004,FALSE),"Unpaid - nothing rung up for this visit",IF(IF(B734&lt;TodayDate,M734="Booked",FALSE),"Overdue - past date, still only Booked",IF(IF(B734=TodayDate,TRUE,FALSE),"Today",IF(IF(Z734&gt;0,AA734&lt;Z734-0.004,FALSE),"Due - deposit not taken",IF(IF(B734&gt;TodayDate,B734&lt;=TodayDate+2,FALSE),"Confirm - coming up","OK")))))))))))</f>
        <v>0</v>
      </c>
    </row>
    <row r="735" spans="1:34">
      <c r="A735" s="28">
        <f>IF(B735="","",AppointmentPrefix&amp;TEXT(ROW()-4,"0000"))</f>
        <v>0</v>
      </c>
      <c r="C735" s="15">
        <f>IF(B735="","",TEXT(B735,"ddd"))</f>
        <v>0</v>
      </c>
      <c r="F735" s="15">
        <f>IF(E735="","",IFERROR(INDEX(Clients!$B$5:$B$504,MATCH(E735,Clients!$A$5:$A$504,0)),"Walk-in"))</f>
        <v>0</v>
      </c>
      <c r="H735" s="15">
        <f>IF(G735="","",IFERROR(INDEX(Services!$B$5:$B$204,MATCH(G735,Services!$A$5:$A$204,0)),"Not in Services"))</f>
        <v>0</v>
      </c>
      <c r="J735" s="15">
        <f>IF(I735="","",IFERROR(INDEX(Staff!$B$5:$B$44,MATCH(I735,Staff!$A$5:$A$44,0)),"Unassigned"))</f>
        <v>0</v>
      </c>
      <c r="S735" s="15">
        <f>IF(B735="","",TEXT(B735,"yyyy-mm"))</f>
        <v>0</v>
      </c>
      <c r="T735" s="25">
        <f>IF(B735="","",WEEKNUM(B735,2))</f>
        <v>0</v>
      </c>
      <c r="U735" s="25">
        <f>IF(B735="","",IF(K735&lt;&gt;"",K735,IFERROR(INDEX(Services!$E$5:$E$204,MATCH(G735,Services!$A$5:$A$204,0))*1,0)+IFERROR(INDEX(Services!$F$5:$F$204,MATCH(G735,Services!$A$5:$A$204,0))*1,0)))</f>
        <v>0</v>
      </c>
      <c r="V735" s="36">
        <f>IF(B735="","",IF(D735="","",D735+U735/1440))</f>
        <v>0</v>
      </c>
      <c r="W735" s="25">
        <f>IF(B735="","",IF(D735="","",HOUR(D735)))</f>
        <v>0</v>
      </c>
      <c r="X735" s="37">
        <f>IF(B735="","",ROUND(U735/60,2))</f>
        <v>0</v>
      </c>
      <c r="Y735" s="26">
        <f>IF(B735="","",IF(L735&lt;&gt;"",L735,IFERROR(INDEX(Services!$G$5:$G$204,MATCH(G735,Services!$A$5:$A$204,0))*1,0)))</f>
        <v>0</v>
      </c>
      <c r="Z735" s="26">
        <f>IF(B735="","",IF(O735&lt;&gt;"",O735,IF(Y735&gt;=DepositThreshold,ROUND(Y735*DepositPercent,2),0)))</f>
        <v>0</v>
      </c>
      <c r="AA735" s="26">
        <f>IF(B735="","",ROUND(SUMIFS(Payments!$G$5:$G$1204,Payments!$I$5:$I$1204,A735,Payments!$E$5:$E$1204,"Deposit"),2))</f>
        <v>0</v>
      </c>
      <c r="AB735" s="26">
        <f>IF(B735="","",ROUND(SUMIFS(Sales!$Y$5:$Y$1204,Sales!$C$5:$C$1204,A735),2))</f>
        <v>0</v>
      </c>
      <c r="AC735" s="38">
        <f>IF(B735="","",IF(M735="Completed","Yes",IF(M735="Cancelled","Yes",IF(M735="No show","Yes","No"))))</f>
        <v>0</v>
      </c>
      <c r="AD735" s="25">
        <f>IF(B735="","",IF(AE735="","",B735-AE735))</f>
        <v>0</v>
      </c>
      <c r="AF735" s="38">
        <f>IF(B735="","",IF(M735&lt;&gt;"Completed","",IF(E735="","No",IF(COUNTIFS(Appointments!$E$5:$E$1204,E735,Appointments!$B$5:$B$1204,"&gt;"&amp;B735,Appointments!$M$5:$M$1204,"&lt;&gt;Cancelled")&gt;0,"Yes","No"))))</f>
        <v>0</v>
      </c>
      <c r="AG735" s="38">
        <f>IF(B735="","",IF(I735="","",IF(D735="","",IF(COUNTIFS($I$5:$I$1204,I735,$B$5:$B$1204,B735,$D$5:$D$1204,"&lt;"&amp;V735,$V$5:$V$1204,"&gt;"&amp;D735,$M$5:$M$1204,"&lt;&gt;Cancelled")&gt;1,"Clash",""))))</f>
        <v>0</v>
      </c>
      <c r="AH735" s="39">
        <f>IF(B735="","",IF(AG735="Clash","Clash - stylist double booked",IF(I735="","Assign - no stylist yet",IF(G735="","Add - no service chosen",IF(M735="No show","No show - charge the fee?",IF(M735="Cancelled","",IF(IF(M735="Completed",AB735&lt;Y735-0.004,FALSE),"Unpaid - nothing rung up for this visit",IF(IF(B735&lt;TodayDate,M735="Booked",FALSE),"Overdue - past date, still only Booked",IF(IF(B735=TodayDate,TRUE,FALSE),"Today",IF(IF(Z735&gt;0,AA735&lt;Z735-0.004,FALSE),"Due - deposit not taken",IF(IF(B735&gt;TodayDate,B735&lt;=TodayDate+2,FALSE),"Confirm - coming up","OK")))))))))))</f>
        <v>0</v>
      </c>
    </row>
    <row r="736" spans="1:34">
      <c r="A736" s="28">
        <f>IF(B736="","",AppointmentPrefix&amp;TEXT(ROW()-4,"0000"))</f>
        <v>0</v>
      </c>
      <c r="C736" s="15">
        <f>IF(B736="","",TEXT(B736,"ddd"))</f>
        <v>0</v>
      </c>
      <c r="F736" s="15">
        <f>IF(E736="","",IFERROR(INDEX(Clients!$B$5:$B$504,MATCH(E736,Clients!$A$5:$A$504,0)),"Walk-in"))</f>
        <v>0</v>
      </c>
      <c r="H736" s="15">
        <f>IF(G736="","",IFERROR(INDEX(Services!$B$5:$B$204,MATCH(G736,Services!$A$5:$A$204,0)),"Not in Services"))</f>
        <v>0</v>
      </c>
      <c r="J736" s="15">
        <f>IF(I736="","",IFERROR(INDEX(Staff!$B$5:$B$44,MATCH(I736,Staff!$A$5:$A$44,0)),"Unassigned"))</f>
        <v>0</v>
      </c>
      <c r="S736" s="15">
        <f>IF(B736="","",TEXT(B736,"yyyy-mm"))</f>
        <v>0</v>
      </c>
      <c r="T736" s="25">
        <f>IF(B736="","",WEEKNUM(B736,2))</f>
        <v>0</v>
      </c>
      <c r="U736" s="25">
        <f>IF(B736="","",IF(K736&lt;&gt;"",K736,IFERROR(INDEX(Services!$E$5:$E$204,MATCH(G736,Services!$A$5:$A$204,0))*1,0)+IFERROR(INDEX(Services!$F$5:$F$204,MATCH(G736,Services!$A$5:$A$204,0))*1,0)))</f>
        <v>0</v>
      </c>
      <c r="V736" s="36">
        <f>IF(B736="","",IF(D736="","",D736+U736/1440))</f>
        <v>0</v>
      </c>
      <c r="W736" s="25">
        <f>IF(B736="","",IF(D736="","",HOUR(D736)))</f>
        <v>0</v>
      </c>
      <c r="X736" s="37">
        <f>IF(B736="","",ROUND(U736/60,2))</f>
        <v>0</v>
      </c>
      <c r="Y736" s="26">
        <f>IF(B736="","",IF(L736&lt;&gt;"",L736,IFERROR(INDEX(Services!$G$5:$G$204,MATCH(G736,Services!$A$5:$A$204,0))*1,0)))</f>
        <v>0</v>
      </c>
      <c r="Z736" s="26">
        <f>IF(B736="","",IF(O736&lt;&gt;"",O736,IF(Y736&gt;=DepositThreshold,ROUND(Y736*DepositPercent,2),0)))</f>
        <v>0</v>
      </c>
      <c r="AA736" s="26">
        <f>IF(B736="","",ROUND(SUMIFS(Payments!$G$5:$G$1204,Payments!$I$5:$I$1204,A736,Payments!$E$5:$E$1204,"Deposit"),2))</f>
        <v>0</v>
      </c>
      <c r="AB736" s="26">
        <f>IF(B736="","",ROUND(SUMIFS(Sales!$Y$5:$Y$1204,Sales!$C$5:$C$1204,A736),2))</f>
        <v>0</v>
      </c>
      <c r="AC736" s="38">
        <f>IF(B736="","",IF(M736="Completed","Yes",IF(M736="Cancelled","Yes",IF(M736="No show","Yes","No"))))</f>
        <v>0</v>
      </c>
      <c r="AD736" s="25">
        <f>IF(B736="","",IF(AE736="","",B736-AE736))</f>
        <v>0</v>
      </c>
      <c r="AF736" s="38">
        <f>IF(B736="","",IF(M736&lt;&gt;"Completed","",IF(E736="","No",IF(COUNTIFS(Appointments!$E$5:$E$1204,E736,Appointments!$B$5:$B$1204,"&gt;"&amp;B736,Appointments!$M$5:$M$1204,"&lt;&gt;Cancelled")&gt;0,"Yes","No"))))</f>
        <v>0</v>
      </c>
      <c r="AG736" s="38">
        <f>IF(B736="","",IF(I736="","",IF(D736="","",IF(COUNTIFS($I$5:$I$1204,I736,$B$5:$B$1204,B736,$D$5:$D$1204,"&lt;"&amp;V736,$V$5:$V$1204,"&gt;"&amp;D736,$M$5:$M$1204,"&lt;&gt;Cancelled")&gt;1,"Clash",""))))</f>
        <v>0</v>
      </c>
      <c r="AH736" s="39">
        <f>IF(B736="","",IF(AG736="Clash","Clash - stylist double booked",IF(I736="","Assign - no stylist yet",IF(G736="","Add - no service chosen",IF(M736="No show","No show - charge the fee?",IF(M736="Cancelled","",IF(IF(M736="Completed",AB736&lt;Y736-0.004,FALSE),"Unpaid - nothing rung up for this visit",IF(IF(B736&lt;TodayDate,M736="Booked",FALSE),"Overdue - past date, still only Booked",IF(IF(B736=TodayDate,TRUE,FALSE),"Today",IF(IF(Z736&gt;0,AA736&lt;Z736-0.004,FALSE),"Due - deposit not taken",IF(IF(B736&gt;TodayDate,B736&lt;=TodayDate+2,FALSE),"Confirm - coming up","OK")))))))))))</f>
        <v>0</v>
      </c>
    </row>
    <row r="737" spans="1:34">
      <c r="A737" s="28">
        <f>IF(B737="","",AppointmentPrefix&amp;TEXT(ROW()-4,"0000"))</f>
        <v>0</v>
      </c>
      <c r="C737" s="15">
        <f>IF(B737="","",TEXT(B737,"ddd"))</f>
        <v>0</v>
      </c>
      <c r="F737" s="15">
        <f>IF(E737="","",IFERROR(INDEX(Clients!$B$5:$B$504,MATCH(E737,Clients!$A$5:$A$504,0)),"Walk-in"))</f>
        <v>0</v>
      </c>
      <c r="H737" s="15">
        <f>IF(G737="","",IFERROR(INDEX(Services!$B$5:$B$204,MATCH(G737,Services!$A$5:$A$204,0)),"Not in Services"))</f>
        <v>0</v>
      </c>
      <c r="J737" s="15">
        <f>IF(I737="","",IFERROR(INDEX(Staff!$B$5:$B$44,MATCH(I737,Staff!$A$5:$A$44,0)),"Unassigned"))</f>
        <v>0</v>
      </c>
      <c r="S737" s="15">
        <f>IF(B737="","",TEXT(B737,"yyyy-mm"))</f>
        <v>0</v>
      </c>
      <c r="T737" s="25">
        <f>IF(B737="","",WEEKNUM(B737,2))</f>
        <v>0</v>
      </c>
      <c r="U737" s="25">
        <f>IF(B737="","",IF(K737&lt;&gt;"",K737,IFERROR(INDEX(Services!$E$5:$E$204,MATCH(G737,Services!$A$5:$A$204,0))*1,0)+IFERROR(INDEX(Services!$F$5:$F$204,MATCH(G737,Services!$A$5:$A$204,0))*1,0)))</f>
        <v>0</v>
      </c>
      <c r="V737" s="36">
        <f>IF(B737="","",IF(D737="","",D737+U737/1440))</f>
        <v>0</v>
      </c>
      <c r="W737" s="25">
        <f>IF(B737="","",IF(D737="","",HOUR(D737)))</f>
        <v>0</v>
      </c>
      <c r="X737" s="37">
        <f>IF(B737="","",ROUND(U737/60,2))</f>
        <v>0</v>
      </c>
      <c r="Y737" s="26">
        <f>IF(B737="","",IF(L737&lt;&gt;"",L737,IFERROR(INDEX(Services!$G$5:$G$204,MATCH(G737,Services!$A$5:$A$204,0))*1,0)))</f>
        <v>0</v>
      </c>
      <c r="Z737" s="26">
        <f>IF(B737="","",IF(O737&lt;&gt;"",O737,IF(Y737&gt;=DepositThreshold,ROUND(Y737*DepositPercent,2),0)))</f>
        <v>0</v>
      </c>
      <c r="AA737" s="26">
        <f>IF(B737="","",ROUND(SUMIFS(Payments!$G$5:$G$1204,Payments!$I$5:$I$1204,A737,Payments!$E$5:$E$1204,"Deposit"),2))</f>
        <v>0</v>
      </c>
      <c r="AB737" s="26">
        <f>IF(B737="","",ROUND(SUMIFS(Sales!$Y$5:$Y$1204,Sales!$C$5:$C$1204,A737),2))</f>
        <v>0</v>
      </c>
      <c r="AC737" s="38">
        <f>IF(B737="","",IF(M737="Completed","Yes",IF(M737="Cancelled","Yes",IF(M737="No show","Yes","No"))))</f>
        <v>0</v>
      </c>
      <c r="AD737" s="25">
        <f>IF(B737="","",IF(AE737="","",B737-AE737))</f>
        <v>0</v>
      </c>
      <c r="AF737" s="38">
        <f>IF(B737="","",IF(M737&lt;&gt;"Completed","",IF(E737="","No",IF(COUNTIFS(Appointments!$E$5:$E$1204,E737,Appointments!$B$5:$B$1204,"&gt;"&amp;B737,Appointments!$M$5:$M$1204,"&lt;&gt;Cancelled")&gt;0,"Yes","No"))))</f>
        <v>0</v>
      </c>
      <c r="AG737" s="38">
        <f>IF(B737="","",IF(I737="","",IF(D737="","",IF(COUNTIFS($I$5:$I$1204,I737,$B$5:$B$1204,B737,$D$5:$D$1204,"&lt;"&amp;V737,$V$5:$V$1204,"&gt;"&amp;D737,$M$5:$M$1204,"&lt;&gt;Cancelled")&gt;1,"Clash",""))))</f>
        <v>0</v>
      </c>
      <c r="AH737" s="39">
        <f>IF(B737="","",IF(AG737="Clash","Clash - stylist double booked",IF(I737="","Assign - no stylist yet",IF(G737="","Add - no service chosen",IF(M737="No show","No show - charge the fee?",IF(M737="Cancelled","",IF(IF(M737="Completed",AB737&lt;Y737-0.004,FALSE),"Unpaid - nothing rung up for this visit",IF(IF(B737&lt;TodayDate,M737="Booked",FALSE),"Overdue - past date, still only Booked",IF(IF(B737=TodayDate,TRUE,FALSE),"Today",IF(IF(Z737&gt;0,AA737&lt;Z737-0.004,FALSE),"Due - deposit not taken",IF(IF(B737&gt;TodayDate,B737&lt;=TodayDate+2,FALSE),"Confirm - coming up","OK")))))))))))</f>
        <v>0</v>
      </c>
    </row>
    <row r="738" spans="1:34">
      <c r="A738" s="28">
        <f>IF(B738="","",AppointmentPrefix&amp;TEXT(ROW()-4,"0000"))</f>
        <v>0</v>
      </c>
      <c r="C738" s="15">
        <f>IF(B738="","",TEXT(B738,"ddd"))</f>
        <v>0</v>
      </c>
      <c r="F738" s="15">
        <f>IF(E738="","",IFERROR(INDEX(Clients!$B$5:$B$504,MATCH(E738,Clients!$A$5:$A$504,0)),"Walk-in"))</f>
        <v>0</v>
      </c>
      <c r="H738" s="15">
        <f>IF(G738="","",IFERROR(INDEX(Services!$B$5:$B$204,MATCH(G738,Services!$A$5:$A$204,0)),"Not in Services"))</f>
        <v>0</v>
      </c>
      <c r="J738" s="15">
        <f>IF(I738="","",IFERROR(INDEX(Staff!$B$5:$B$44,MATCH(I738,Staff!$A$5:$A$44,0)),"Unassigned"))</f>
        <v>0</v>
      </c>
      <c r="S738" s="15">
        <f>IF(B738="","",TEXT(B738,"yyyy-mm"))</f>
        <v>0</v>
      </c>
      <c r="T738" s="25">
        <f>IF(B738="","",WEEKNUM(B738,2))</f>
        <v>0</v>
      </c>
      <c r="U738" s="25">
        <f>IF(B738="","",IF(K738&lt;&gt;"",K738,IFERROR(INDEX(Services!$E$5:$E$204,MATCH(G738,Services!$A$5:$A$204,0))*1,0)+IFERROR(INDEX(Services!$F$5:$F$204,MATCH(G738,Services!$A$5:$A$204,0))*1,0)))</f>
        <v>0</v>
      </c>
      <c r="V738" s="36">
        <f>IF(B738="","",IF(D738="","",D738+U738/1440))</f>
        <v>0</v>
      </c>
      <c r="W738" s="25">
        <f>IF(B738="","",IF(D738="","",HOUR(D738)))</f>
        <v>0</v>
      </c>
      <c r="X738" s="37">
        <f>IF(B738="","",ROUND(U738/60,2))</f>
        <v>0</v>
      </c>
      <c r="Y738" s="26">
        <f>IF(B738="","",IF(L738&lt;&gt;"",L738,IFERROR(INDEX(Services!$G$5:$G$204,MATCH(G738,Services!$A$5:$A$204,0))*1,0)))</f>
        <v>0</v>
      </c>
      <c r="Z738" s="26">
        <f>IF(B738="","",IF(O738&lt;&gt;"",O738,IF(Y738&gt;=DepositThreshold,ROUND(Y738*DepositPercent,2),0)))</f>
        <v>0</v>
      </c>
      <c r="AA738" s="26">
        <f>IF(B738="","",ROUND(SUMIFS(Payments!$G$5:$G$1204,Payments!$I$5:$I$1204,A738,Payments!$E$5:$E$1204,"Deposit"),2))</f>
        <v>0</v>
      </c>
      <c r="AB738" s="26">
        <f>IF(B738="","",ROUND(SUMIFS(Sales!$Y$5:$Y$1204,Sales!$C$5:$C$1204,A738),2))</f>
        <v>0</v>
      </c>
      <c r="AC738" s="38">
        <f>IF(B738="","",IF(M738="Completed","Yes",IF(M738="Cancelled","Yes",IF(M738="No show","Yes","No"))))</f>
        <v>0</v>
      </c>
      <c r="AD738" s="25">
        <f>IF(B738="","",IF(AE738="","",B738-AE738))</f>
        <v>0</v>
      </c>
      <c r="AF738" s="38">
        <f>IF(B738="","",IF(M738&lt;&gt;"Completed","",IF(E738="","No",IF(COUNTIFS(Appointments!$E$5:$E$1204,E738,Appointments!$B$5:$B$1204,"&gt;"&amp;B738,Appointments!$M$5:$M$1204,"&lt;&gt;Cancelled")&gt;0,"Yes","No"))))</f>
        <v>0</v>
      </c>
      <c r="AG738" s="38">
        <f>IF(B738="","",IF(I738="","",IF(D738="","",IF(COUNTIFS($I$5:$I$1204,I738,$B$5:$B$1204,B738,$D$5:$D$1204,"&lt;"&amp;V738,$V$5:$V$1204,"&gt;"&amp;D738,$M$5:$M$1204,"&lt;&gt;Cancelled")&gt;1,"Clash",""))))</f>
        <v>0</v>
      </c>
      <c r="AH738" s="39">
        <f>IF(B738="","",IF(AG738="Clash","Clash - stylist double booked",IF(I738="","Assign - no stylist yet",IF(G738="","Add - no service chosen",IF(M738="No show","No show - charge the fee?",IF(M738="Cancelled","",IF(IF(M738="Completed",AB738&lt;Y738-0.004,FALSE),"Unpaid - nothing rung up for this visit",IF(IF(B738&lt;TodayDate,M738="Booked",FALSE),"Overdue - past date, still only Booked",IF(IF(B738=TodayDate,TRUE,FALSE),"Today",IF(IF(Z738&gt;0,AA738&lt;Z738-0.004,FALSE),"Due - deposit not taken",IF(IF(B738&gt;TodayDate,B738&lt;=TodayDate+2,FALSE),"Confirm - coming up","OK")))))))))))</f>
        <v>0</v>
      </c>
    </row>
    <row r="739" spans="1:34">
      <c r="A739" s="28">
        <f>IF(B739="","",AppointmentPrefix&amp;TEXT(ROW()-4,"0000"))</f>
        <v>0</v>
      </c>
      <c r="C739" s="15">
        <f>IF(B739="","",TEXT(B739,"ddd"))</f>
        <v>0</v>
      </c>
      <c r="F739" s="15">
        <f>IF(E739="","",IFERROR(INDEX(Clients!$B$5:$B$504,MATCH(E739,Clients!$A$5:$A$504,0)),"Walk-in"))</f>
        <v>0</v>
      </c>
      <c r="H739" s="15">
        <f>IF(G739="","",IFERROR(INDEX(Services!$B$5:$B$204,MATCH(G739,Services!$A$5:$A$204,0)),"Not in Services"))</f>
        <v>0</v>
      </c>
      <c r="J739" s="15">
        <f>IF(I739="","",IFERROR(INDEX(Staff!$B$5:$B$44,MATCH(I739,Staff!$A$5:$A$44,0)),"Unassigned"))</f>
        <v>0</v>
      </c>
      <c r="S739" s="15">
        <f>IF(B739="","",TEXT(B739,"yyyy-mm"))</f>
        <v>0</v>
      </c>
      <c r="T739" s="25">
        <f>IF(B739="","",WEEKNUM(B739,2))</f>
        <v>0</v>
      </c>
      <c r="U739" s="25">
        <f>IF(B739="","",IF(K739&lt;&gt;"",K739,IFERROR(INDEX(Services!$E$5:$E$204,MATCH(G739,Services!$A$5:$A$204,0))*1,0)+IFERROR(INDEX(Services!$F$5:$F$204,MATCH(G739,Services!$A$5:$A$204,0))*1,0)))</f>
        <v>0</v>
      </c>
      <c r="V739" s="36">
        <f>IF(B739="","",IF(D739="","",D739+U739/1440))</f>
        <v>0</v>
      </c>
      <c r="W739" s="25">
        <f>IF(B739="","",IF(D739="","",HOUR(D739)))</f>
        <v>0</v>
      </c>
      <c r="X739" s="37">
        <f>IF(B739="","",ROUND(U739/60,2))</f>
        <v>0</v>
      </c>
      <c r="Y739" s="26">
        <f>IF(B739="","",IF(L739&lt;&gt;"",L739,IFERROR(INDEX(Services!$G$5:$G$204,MATCH(G739,Services!$A$5:$A$204,0))*1,0)))</f>
        <v>0</v>
      </c>
      <c r="Z739" s="26">
        <f>IF(B739="","",IF(O739&lt;&gt;"",O739,IF(Y739&gt;=DepositThreshold,ROUND(Y739*DepositPercent,2),0)))</f>
        <v>0</v>
      </c>
      <c r="AA739" s="26">
        <f>IF(B739="","",ROUND(SUMIFS(Payments!$G$5:$G$1204,Payments!$I$5:$I$1204,A739,Payments!$E$5:$E$1204,"Deposit"),2))</f>
        <v>0</v>
      </c>
      <c r="AB739" s="26">
        <f>IF(B739="","",ROUND(SUMIFS(Sales!$Y$5:$Y$1204,Sales!$C$5:$C$1204,A739),2))</f>
        <v>0</v>
      </c>
      <c r="AC739" s="38">
        <f>IF(B739="","",IF(M739="Completed","Yes",IF(M739="Cancelled","Yes",IF(M739="No show","Yes","No"))))</f>
        <v>0</v>
      </c>
      <c r="AD739" s="25">
        <f>IF(B739="","",IF(AE739="","",B739-AE739))</f>
        <v>0</v>
      </c>
      <c r="AF739" s="38">
        <f>IF(B739="","",IF(M739&lt;&gt;"Completed","",IF(E739="","No",IF(COUNTIFS(Appointments!$E$5:$E$1204,E739,Appointments!$B$5:$B$1204,"&gt;"&amp;B739,Appointments!$M$5:$M$1204,"&lt;&gt;Cancelled")&gt;0,"Yes","No"))))</f>
        <v>0</v>
      </c>
      <c r="AG739" s="38">
        <f>IF(B739="","",IF(I739="","",IF(D739="","",IF(COUNTIFS($I$5:$I$1204,I739,$B$5:$B$1204,B739,$D$5:$D$1204,"&lt;"&amp;V739,$V$5:$V$1204,"&gt;"&amp;D739,$M$5:$M$1204,"&lt;&gt;Cancelled")&gt;1,"Clash",""))))</f>
        <v>0</v>
      </c>
      <c r="AH739" s="39">
        <f>IF(B739="","",IF(AG739="Clash","Clash - stylist double booked",IF(I739="","Assign - no stylist yet",IF(G739="","Add - no service chosen",IF(M739="No show","No show - charge the fee?",IF(M739="Cancelled","",IF(IF(M739="Completed",AB739&lt;Y739-0.004,FALSE),"Unpaid - nothing rung up for this visit",IF(IF(B739&lt;TodayDate,M739="Booked",FALSE),"Overdue - past date, still only Booked",IF(IF(B739=TodayDate,TRUE,FALSE),"Today",IF(IF(Z739&gt;0,AA739&lt;Z739-0.004,FALSE),"Due - deposit not taken",IF(IF(B739&gt;TodayDate,B739&lt;=TodayDate+2,FALSE),"Confirm - coming up","OK")))))))))))</f>
        <v>0</v>
      </c>
    </row>
    <row r="740" spans="1:34">
      <c r="A740" s="28">
        <f>IF(B740="","",AppointmentPrefix&amp;TEXT(ROW()-4,"0000"))</f>
        <v>0</v>
      </c>
      <c r="C740" s="15">
        <f>IF(B740="","",TEXT(B740,"ddd"))</f>
        <v>0</v>
      </c>
      <c r="F740" s="15">
        <f>IF(E740="","",IFERROR(INDEX(Clients!$B$5:$B$504,MATCH(E740,Clients!$A$5:$A$504,0)),"Walk-in"))</f>
        <v>0</v>
      </c>
      <c r="H740" s="15">
        <f>IF(G740="","",IFERROR(INDEX(Services!$B$5:$B$204,MATCH(G740,Services!$A$5:$A$204,0)),"Not in Services"))</f>
        <v>0</v>
      </c>
      <c r="J740" s="15">
        <f>IF(I740="","",IFERROR(INDEX(Staff!$B$5:$B$44,MATCH(I740,Staff!$A$5:$A$44,0)),"Unassigned"))</f>
        <v>0</v>
      </c>
      <c r="S740" s="15">
        <f>IF(B740="","",TEXT(B740,"yyyy-mm"))</f>
        <v>0</v>
      </c>
      <c r="T740" s="25">
        <f>IF(B740="","",WEEKNUM(B740,2))</f>
        <v>0</v>
      </c>
      <c r="U740" s="25">
        <f>IF(B740="","",IF(K740&lt;&gt;"",K740,IFERROR(INDEX(Services!$E$5:$E$204,MATCH(G740,Services!$A$5:$A$204,0))*1,0)+IFERROR(INDEX(Services!$F$5:$F$204,MATCH(G740,Services!$A$5:$A$204,0))*1,0)))</f>
        <v>0</v>
      </c>
      <c r="V740" s="36">
        <f>IF(B740="","",IF(D740="","",D740+U740/1440))</f>
        <v>0</v>
      </c>
      <c r="W740" s="25">
        <f>IF(B740="","",IF(D740="","",HOUR(D740)))</f>
        <v>0</v>
      </c>
      <c r="X740" s="37">
        <f>IF(B740="","",ROUND(U740/60,2))</f>
        <v>0</v>
      </c>
      <c r="Y740" s="26">
        <f>IF(B740="","",IF(L740&lt;&gt;"",L740,IFERROR(INDEX(Services!$G$5:$G$204,MATCH(G740,Services!$A$5:$A$204,0))*1,0)))</f>
        <v>0</v>
      </c>
      <c r="Z740" s="26">
        <f>IF(B740="","",IF(O740&lt;&gt;"",O740,IF(Y740&gt;=DepositThreshold,ROUND(Y740*DepositPercent,2),0)))</f>
        <v>0</v>
      </c>
      <c r="AA740" s="26">
        <f>IF(B740="","",ROUND(SUMIFS(Payments!$G$5:$G$1204,Payments!$I$5:$I$1204,A740,Payments!$E$5:$E$1204,"Deposit"),2))</f>
        <v>0</v>
      </c>
      <c r="AB740" s="26">
        <f>IF(B740="","",ROUND(SUMIFS(Sales!$Y$5:$Y$1204,Sales!$C$5:$C$1204,A740),2))</f>
        <v>0</v>
      </c>
      <c r="AC740" s="38">
        <f>IF(B740="","",IF(M740="Completed","Yes",IF(M740="Cancelled","Yes",IF(M740="No show","Yes","No"))))</f>
        <v>0</v>
      </c>
      <c r="AD740" s="25">
        <f>IF(B740="","",IF(AE740="","",B740-AE740))</f>
        <v>0</v>
      </c>
      <c r="AF740" s="38">
        <f>IF(B740="","",IF(M740&lt;&gt;"Completed","",IF(E740="","No",IF(COUNTIFS(Appointments!$E$5:$E$1204,E740,Appointments!$B$5:$B$1204,"&gt;"&amp;B740,Appointments!$M$5:$M$1204,"&lt;&gt;Cancelled")&gt;0,"Yes","No"))))</f>
        <v>0</v>
      </c>
      <c r="AG740" s="38">
        <f>IF(B740="","",IF(I740="","",IF(D740="","",IF(COUNTIFS($I$5:$I$1204,I740,$B$5:$B$1204,B740,$D$5:$D$1204,"&lt;"&amp;V740,$V$5:$V$1204,"&gt;"&amp;D740,$M$5:$M$1204,"&lt;&gt;Cancelled")&gt;1,"Clash",""))))</f>
        <v>0</v>
      </c>
      <c r="AH740" s="39">
        <f>IF(B740="","",IF(AG740="Clash","Clash - stylist double booked",IF(I740="","Assign - no stylist yet",IF(G740="","Add - no service chosen",IF(M740="No show","No show - charge the fee?",IF(M740="Cancelled","",IF(IF(M740="Completed",AB740&lt;Y740-0.004,FALSE),"Unpaid - nothing rung up for this visit",IF(IF(B740&lt;TodayDate,M740="Booked",FALSE),"Overdue - past date, still only Booked",IF(IF(B740=TodayDate,TRUE,FALSE),"Today",IF(IF(Z740&gt;0,AA740&lt;Z740-0.004,FALSE),"Due - deposit not taken",IF(IF(B740&gt;TodayDate,B740&lt;=TodayDate+2,FALSE),"Confirm - coming up","OK")))))))))))</f>
        <v>0</v>
      </c>
    </row>
    <row r="741" spans="1:34">
      <c r="A741" s="28">
        <f>IF(B741="","",AppointmentPrefix&amp;TEXT(ROW()-4,"0000"))</f>
        <v>0</v>
      </c>
      <c r="C741" s="15">
        <f>IF(B741="","",TEXT(B741,"ddd"))</f>
        <v>0</v>
      </c>
      <c r="F741" s="15">
        <f>IF(E741="","",IFERROR(INDEX(Clients!$B$5:$B$504,MATCH(E741,Clients!$A$5:$A$504,0)),"Walk-in"))</f>
        <v>0</v>
      </c>
      <c r="H741" s="15">
        <f>IF(G741="","",IFERROR(INDEX(Services!$B$5:$B$204,MATCH(G741,Services!$A$5:$A$204,0)),"Not in Services"))</f>
        <v>0</v>
      </c>
      <c r="J741" s="15">
        <f>IF(I741="","",IFERROR(INDEX(Staff!$B$5:$B$44,MATCH(I741,Staff!$A$5:$A$44,0)),"Unassigned"))</f>
        <v>0</v>
      </c>
      <c r="S741" s="15">
        <f>IF(B741="","",TEXT(B741,"yyyy-mm"))</f>
        <v>0</v>
      </c>
      <c r="T741" s="25">
        <f>IF(B741="","",WEEKNUM(B741,2))</f>
        <v>0</v>
      </c>
      <c r="U741" s="25">
        <f>IF(B741="","",IF(K741&lt;&gt;"",K741,IFERROR(INDEX(Services!$E$5:$E$204,MATCH(G741,Services!$A$5:$A$204,0))*1,0)+IFERROR(INDEX(Services!$F$5:$F$204,MATCH(G741,Services!$A$5:$A$204,0))*1,0)))</f>
        <v>0</v>
      </c>
      <c r="V741" s="36">
        <f>IF(B741="","",IF(D741="","",D741+U741/1440))</f>
        <v>0</v>
      </c>
      <c r="W741" s="25">
        <f>IF(B741="","",IF(D741="","",HOUR(D741)))</f>
        <v>0</v>
      </c>
      <c r="X741" s="37">
        <f>IF(B741="","",ROUND(U741/60,2))</f>
        <v>0</v>
      </c>
      <c r="Y741" s="26">
        <f>IF(B741="","",IF(L741&lt;&gt;"",L741,IFERROR(INDEX(Services!$G$5:$G$204,MATCH(G741,Services!$A$5:$A$204,0))*1,0)))</f>
        <v>0</v>
      </c>
      <c r="Z741" s="26">
        <f>IF(B741="","",IF(O741&lt;&gt;"",O741,IF(Y741&gt;=DepositThreshold,ROUND(Y741*DepositPercent,2),0)))</f>
        <v>0</v>
      </c>
      <c r="AA741" s="26">
        <f>IF(B741="","",ROUND(SUMIFS(Payments!$G$5:$G$1204,Payments!$I$5:$I$1204,A741,Payments!$E$5:$E$1204,"Deposit"),2))</f>
        <v>0</v>
      </c>
      <c r="AB741" s="26">
        <f>IF(B741="","",ROUND(SUMIFS(Sales!$Y$5:$Y$1204,Sales!$C$5:$C$1204,A741),2))</f>
        <v>0</v>
      </c>
      <c r="AC741" s="38">
        <f>IF(B741="","",IF(M741="Completed","Yes",IF(M741="Cancelled","Yes",IF(M741="No show","Yes","No"))))</f>
        <v>0</v>
      </c>
      <c r="AD741" s="25">
        <f>IF(B741="","",IF(AE741="","",B741-AE741))</f>
        <v>0</v>
      </c>
      <c r="AF741" s="38">
        <f>IF(B741="","",IF(M741&lt;&gt;"Completed","",IF(E741="","No",IF(COUNTIFS(Appointments!$E$5:$E$1204,E741,Appointments!$B$5:$B$1204,"&gt;"&amp;B741,Appointments!$M$5:$M$1204,"&lt;&gt;Cancelled")&gt;0,"Yes","No"))))</f>
        <v>0</v>
      </c>
      <c r="AG741" s="38">
        <f>IF(B741="","",IF(I741="","",IF(D741="","",IF(COUNTIFS($I$5:$I$1204,I741,$B$5:$B$1204,B741,$D$5:$D$1204,"&lt;"&amp;V741,$V$5:$V$1204,"&gt;"&amp;D741,$M$5:$M$1204,"&lt;&gt;Cancelled")&gt;1,"Clash",""))))</f>
        <v>0</v>
      </c>
      <c r="AH741" s="39">
        <f>IF(B741="","",IF(AG741="Clash","Clash - stylist double booked",IF(I741="","Assign - no stylist yet",IF(G741="","Add - no service chosen",IF(M741="No show","No show - charge the fee?",IF(M741="Cancelled","",IF(IF(M741="Completed",AB741&lt;Y741-0.004,FALSE),"Unpaid - nothing rung up for this visit",IF(IF(B741&lt;TodayDate,M741="Booked",FALSE),"Overdue - past date, still only Booked",IF(IF(B741=TodayDate,TRUE,FALSE),"Today",IF(IF(Z741&gt;0,AA741&lt;Z741-0.004,FALSE),"Due - deposit not taken",IF(IF(B741&gt;TodayDate,B741&lt;=TodayDate+2,FALSE),"Confirm - coming up","OK")))))))))))</f>
        <v>0</v>
      </c>
    </row>
    <row r="742" spans="1:34">
      <c r="A742" s="28">
        <f>IF(B742="","",AppointmentPrefix&amp;TEXT(ROW()-4,"0000"))</f>
        <v>0</v>
      </c>
      <c r="C742" s="15">
        <f>IF(B742="","",TEXT(B742,"ddd"))</f>
        <v>0</v>
      </c>
      <c r="F742" s="15">
        <f>IF(E742="","",IFERROR(INDEX(Clients!$B$5:$B$504,MATCH(E742,Clients!$A$5:$A$504,0)),"Walk-in"))</f>
        <v>0</v>
      </c>
      <c r="H742" s="15">
        <f>IF(G742="","",IFERROR(INDEX(Services!$B$5:$B$204,MATCH(G742,Services!$A$5:$A$204,0)),"Not in Services"))</f>
        <v>0</v>
      </c>
      <c r="J742" s="15">
        <f>IF(I742="","",IFERROR(INDEX(Staff!$B$5:$B$44,MATCH(I742,Staff!$A$5:$A$44,0)),"Unassigned"))</f>
        <v>0</v>
      </c>
      <c r="S742" s="15">
        <f>IF(B742="","",TEXT(B742,"yyyy-mm"))</f>
        <v>0</v>
      </c>
      <c r="T742" s="25">
        <f>IF(B742="","",WEEKNUM(B742,2))</f>
        <v>0</v>
      </c>
      <c r="U742" s="25">
        <f>IF(B742="","",IF(K742&lt;&gt;"",K742,IFERROR(INDEX(Services!$E$5:$E$204,MATCH(G742,Services!$A$5:$A$204,0))*1,0)+IFERROR(INDEX(Services!$F$5:$F$204,MATCH(G742,Services!$A$5:$A$204,0))*1,0)))</f>
        <v>0</v>
      </c>
      <c r="V742" s="36">
        <f>IF(B742="","",IF(D742="","",D742+U742/1440))</f>
        <v>0</v>
      </c>
      <c r="W742" s="25">
        <f>IF(B742="","",IF(D742="","",HOUR(D742)))</f>
        <v>0</v>
      </c>
      <c r="X742" s="37">
        <f>IF(B742="","",ROUND(U742/60,2))</f>
        <v>0</v>
      </c>
      <c r="Y742" s="26">
        <f>IF(B742="","",IF(L742&lt;&gt;"",L742,IFERROR(INDEX(Services!$G$5:$G$204,MATCH(G742,Services!$A$5:$A$204,0))*1,0)))</f>
        <v>0</v>
      </c>
      <c r="Z742" s="26">
        <f>IF(B742="","",IF(O742&lt;&gt;"",O742,IF(Y742&gt;=DepositThreshold,ROUND(Y742*DepositPercent,2),0)))</f>
        <v>0</v>
      </c>
      <c r="AA742" s="26">
        <f>IF(B742="","",ROUND(SUMIFS(Payments!$G$5:$G$1204,Payments!$I$5:$I$1204,A742,Payments!$E$5:$E$1204,"Deposit"),2))</f>
        <v>0</v>
      </c>
      <c r="AB742" s="26">
        <f>IF(B742="","",ROUND(SUMIFS(Sales!$Y$5:$Y$1204,Sales!$C$5:$C$1204,A742),2))</f>
        <v>0</v>
      </c>
      <c r="AC742" s="38">
        <f>IF(B742="","",IF(M742="Completed","Yes",IF(M742="Cancelled","Yes",IF(M742="No show","Yes","No"))))</f>
        <v>0</v>
      </c>
      <c r="AD742" s="25">
        <f>IF(B742="","",IF(AE742="","",B742-AE742))</f>
        <v>0</v>
      </c>
      <c r="AF742" s="38">
        <f>IF(B742="","",IF(M742&lt;&gt;"Completed","",IF(E742="","No",IF(COUNTIFS(Appointments!$E$5:$E$1204,E742,Appointments!$B$5:$B$1204,"&gt;"&amp;B742,Appointments!$M$5:$M$1204,"&lt;&gt;Cancelled")&gt;0,"Yes","No"))))</f>
        <v>0</v>
      </c>
      <c r="AG742" s="38">
        <f>IF(B742="","",IF(I742="","",IF(D742="","",IF(COUNTIFS($I$5:$I$1204,I742,$B$5:$B$1204,B742,$D$5:$D$1204,"&lt;"&amp;V742,$V$5:$V$1204,"&gt;"&amp;D742,$M$5:$M$1204,"&lt;&gt;Cancelled")&gt;1,"Clash",""))))</f>
        <v>0</v>
      </c>
      <c r="AH742" s="39">
        <f>IF(B742="","",IF(AG742="Clash","Clash - stylist double booked",IF(I742="","Assign - no stylist yet",IF(G742="","Add - no service chosen",IF(M742="No show","No show - charge the fee?",IF(M742="Cancelled","",IF(IF(M742="Completed",AB742&lt;Y742-0.004,FALSE),"Unpaid - nothing rung up for this visit",IF(IF(B742&lt;TodayDate,M742="Booked",FALSE),"Overdue - past date, still only Booked",IF(IF(B742=TodayDate,TRUE,FALSE),"Today",IF(IF(Z742&gt;0,AA742&lt;Z742-0.004,FALSE),"Due - deposit not taken",IF(IF(B742&gt;TodayDate,B742&lt;=TodayDate+2,FALSE),"Confirm - coming up","OK")))))))))))</f>
        <v>0</v>
      </c>
    </row>
    <row r="743" spans="1:34">
      <c r="A743" s="28">
        <f>IF(B743="","",AppointmentPrefix&amp;TEXT(ROW()-4,"0000"))</f>
        <v>0</v>
      </c>
      <c r="C743" s="15">
        <f>IF(B743="","",TEXT(B743,"ddd"))</f>
        <v>0</v>
      </c>
      <c r="F743" s="15">
        <f>IF(E743="","",IFERROR(INDEX(Clients!$B$5:$B$504,MATCH(E743,Clients!$A$5:$A$504,0)),"Walk-in"))</f>
        <v>0</v>
      </c>
      <c r="H743" s="15">
        <f>IF(G743="","",IFERROR(INDEX(Services!$B$5:$B$204,MATCH(G743,Services!$A$5:$A$204,0)),"Not in Services"))</f>
        <v>0</v>
      </c>
      <c r="J743" s="15">
        <f>IF(I743="","",IFERROR(INDEX(Staff!$B$5:$B$44,MATCH(I743,Staff!$A$5:$A$44,0)),"Unassigned"))</f>
        <v>0</v>
      </c>
      <c r="S743" s="15">
        <f>IF(B743="","",TEXT(B743,"yyyy-mm"))</f>
        <v>0</v>
      </c>
      <c r="T743" s="25">
        <f>IF(B743="","",WEEKNUM(B743,2))</f>
        <v>0</v>
      </c>
      <c r="U743" s="25">
        <f>IF(B743="","",IF(K743&lt;&gt;"",K743,IFERROR(INDEX(Services!$E$5:$E$204,MATCH(G743,Services!$A$5:$A$204,0))*1,0)+IFERROR(INDEX(Services!$F$5:$F$204,MATCH(G743,Services!$A$5:$A$204,0))*1,0)))</f>
        <v>0</v>
      </c>
      <c r="V743" s="36">
        <f>IF(B743="","",IF(D743="","",D743+U743/1440))</f>
        <v>0</v>
      </c>
      <c r="W743" s="25">
        <f>IF(B743="","",IF(D743="","",HOUR(D743)))</f>
        <v>0</v>
      </c>
      <c r="X743" s="37">
        <f>IF(B743="","",ROUND(U743/60,2))</f>
        <v>0</v>
      </c>
      <c r="Y743" s="26">
        <f>IF(B743="","",IF(L743&lt;&gt;"",L743,IFERROR(INDEX(Services!$G$5:$G$204,MATCH(G743,Services!$A$5:$A$204,0))*1,0)))</f>
        <v>0</v>
      </c>
      <c r="Z743" s="26">
        <f>IF(B743="","",IF(O743&lt;&gt;"",O743,IF(Y743&gt;=DepositThreshold,ROUND(Y743*DepositPercent,2),0)))</f>
        <v>0</v>
      </c>
      <c r="AA743" s="26">
        <f>IF(B743="","",ROUND(SUMIFS(Payments!$G$5:$G$1204,Payments!$I$5:$I$1204,A743,Payments!$E$5:$E$1204,"Deposit"),2))</f>
        <v>0</v>
      </c>
      <c r="AB743" s="26">
        <f>IF(B743="","",ROUND(SUMIFS(Sales!$Y$5:$Y$1204,Sales!$C$5:$C$1204,A743),2))</f>
        <v>0</v>
      </c>
      <c r="AC743" s="38">
        <f>IF(B743="","",IF(M743="Completed","Yes",IF(M743="Cancelled","Yes",IF(M743="No show","Yes","No"))))</f>
        <v>0</v>
      </c>
      <c r="AD743" s="25">
        <f>IF(B743="","",IF(AE743="","",B743-AE743))</f>
        <v>0</v>
      </c>
      <c r="AF743" s="38">
        <f>IF(B743="","",IF(M743&lt;&gt;"Completed","",IF(E743="","No",IF(COUNTIFS(Appointments!$E$5:$E$1204,E743,Appointments!$B$5:$B$1204,"&gt;"&amp;B743,Appointments!$M$5:$M$1204,"&lt;&gt;Cancelled")&gt;0,"Yes","No"))))</f>
        <v>0</v>
      </c>
      <c r="AG743" s="38">
        <f>IF(B743="","",IF(I743="","",IF(D743="","",IF(COUNTIFS($I$5:$I$1204,I743,$B$5:$B$1204,B743,$D$5:$D$1204,"&lt;"&amp;V743,$V$5:$V$1204,"&gt;"&amp;D743,$M$5:$M$1204,"&lt;&gt;Cancelled")&gt;1,"Clash",""))))</f>
        <v>0</v>
      </c>
      <c r="AH743" s="39">
        <f>IF(B743="","",IF(AG743="Clash","Clash - stylist double booked",IF(I743="","Assign - no stylist yet",IF(G743="","Add - no service chosen",IF(M743="No show","No show - charge the fee?",IF(M743="Cancelled","",IF(IF(M743="Completed",AB743&lt;Y743-0.004,FALSE),"Unpaid - nothing rung up for this visit",IF(IF(B743&lt;TodayDate,M743="Booked",FALSE),"Overdue - past date, still only Booked",IF(IF(B743=TodayDate,TRUE,FALSE),"Today",IF(IF(Z743&gt;0,AA743&lt;Z743-0.004,FALSE),"Due - deposit not taken",IF(IF(B743&gt;TodayDate,B743&lt;=TodayDate+2,FALSE),"Confirm - coming up","OK")))))))))))</f>
        <v>0</v>
      </c>
    </row>
    <row r="744" spans="1:34">
      <c r="A744" s="28">
        <f>IF(B744="","",AppointmentPrefix&amp;TEXT(ROW()-4,"0000"))</f>
        <v>0</v>
      </c>
      <c r="C744" s="15">
        <f>IF(B744="","",TEXT(B744,"ddd"))</f>
        <v>0</v>
      </c>
      <c r="F744" s="15">
        <f>IF(E744="","",IFERROR(INDEX(Clients!$B$5:$B$504,MATCH(E744,Clients!$A$5:$A$504,0)),"Walk-in"))</f>
        <v>0</v>
      </c>
      <c r="H744" s="15">
        <f>IF(G744="","",IFERROR(INDEX(Services!$B$5:$B$204,MATCH(G744,Services!$A$5:$A$204,0)),"Not in Services"))</f>
        <v>0</v>
      </c>
      <c r="J744" s="15">
        <f>IF(I744="","",IFERROR(INDEX(Staff!$B$5:$B$44,MATCH(I744,Staff!$A$5:$A$44,0)),"Unassigned"))</f>
        <v>0</v>
      </c>
      <c r="S744" s="15">
        <f>IF(B744="","",TEXT(B744,"yyyy-mm"))</f>
        <v>0</v>
      </c>
      <c r="T744" s="25">
        <f>IF(B744="","",WEEKNUM(B744,2))</f>
        <v>0</v>
      </c>
      <c r="U744" s="25">
        <f>IF(B744="","",IF(K744&lt;&gt;"",K744,IFERROR(INDEX(Services!$E$5:$E$204,MATCH(G744,Services!$A$5:$A$204,0))*1,0)+IFERROR(INDEX(Services!$F$5:$F$204,MATCH(G744,Services!$A$5:$A$204,0))*1,0)))</f>
        <v>0</v>
      </c>
      <c r="V744" s="36">
        <f>IF(B744="","",IF(D744="","",D744+U744/1440))</f>
        <v>0</v>
      </c>
      <c r="W744" s="25">
        <f>IF(B744="","",IF(D744="","",HOUR(D744)))</f>
        <v>0</v>
      </c>
      <c r="X744" s="37">
        <f>IF(B744="","",ROUND(U744/60,2))</f>
        <v>0</v>
      </c>
      <c r="Y744" s="26">
        <f>IF(B744="","",IF(L744&lt;&gt;"",L744,IFERROR(INDEX(Services!$G$5:$G$204,MATCH(G744,Services!$A$5:$A$204,0))*1,0)))</f>
        <v>0</v>
      </c>
      <c r="Z744" s="26">
        <f>IF(B744="","",IF(O744&lt;&gt;"",O744,IF(Y744&gt;=DepositThreshold,ROUND(Y744*DepositPercent,2),0)))</f>
        <v>0</v>
      </c>
      <c r="AA744" s="26">
        <f>IF(B744="","",ROUND(SUMIFS(Payments!$G$5:$G$1204,Payments!$I$5:$I$1204,A744,Payments!$E$5:$E$1204,"Deposit"),2))</f>
        <v>0</v>
      </c>
      <c r="AB744" s="26">
        <f>IF(B744="","",ROUND(SUMIFS(Sales!$Y$5:$Y$1204,Sales!$C$5:$C$1204,A744),2))</f>
        <v>0</v>
      </c>
      <c r="AC744" s="38">
        <f>IF(B744="","",IF(M744="Completed","Yes",IF(M744="Cancelled","Yes",IF(M744="No show","Yes","No"))))</f>
        <v>0</v>
      </c>
      <c r="AD744" s="25">
        <f>IF(B744="","",IF(AE744="","",B744-AE744))</f>
        <v>0</v>
      </c>
      <c r="AF744" s="38">
        <f>IF(B744="","",IF(M744&lt;&gt;"Completed","",IF(E744="","No",IF(COUNTIFS(Appointments!$E$5:$E$1204,E744,Appointments!$B$5:$B$1204,"&gt;"&amp;B744,Appointments!$M$5:$M$1204,"&lt;&gt;Cancelled")&gt;0,"Yes","No"))))</f>
        <v>0</v>
      </c>
      <c r="AG744" s="38">
        <f>IF(B744="","",IF(I744="","",IF(D744="","",IF(COUNTIFS($I$5:$I$1204,I744,$B$5:$B$1204,B744,$D$5:$D$1204,"&lt;"&amp;V744,$V$5:$V$1204,"&gt;"&amp;D744,$M$5:$M$1204,"&lt;&gt;Cancelled")&gt;1,"Clash",""))))</f>
        <v>0</v>
      </c>
      <c r="AH744" s="39">
        <f>IF(B744="","",IF(AG744="Clash","Clash - stylist double booked",IF(I744="","Assign - no stylist yet",IF(G744="","Add - no service chosen",IF(M744="No show","No show - charge the fee?",IF(M744="Cancelled","",IF(IF(M744="Completed",AB744&lt;Y744-0.004,FALSE),"Unpaid - nothing rung up for this visit",IF(IF(B744&lt;TodayDate,M744="Booked",FALSE),"Overdue - past date, still only Booked",IF(IF(B744=TodayDate,TRUE,FALSE),"Today",IF(IF(Z744&gt;0,AA744&lt;Z744-0.004,FALSE),"Due - deposit not taken",IF(IF(B744&gt;TodayDate,B744&lt;=TodayDate+2,FALSE),"Confirm - coming up","OK")))))))))))</f>
        <v>0</v>
      </c>
    </row>
    <row r="745" spans="1:34">
      <c r="A745" s="28">
        <f>IF(B745="","",AppointmentPrefix&amp;TEXT(ROW()-4,"0000"))</f>
        <v>0</v>
      </c>
      <c r="C745" s="15">
        <f>IF(B745="","",TEXT(B745,"ddd"))</f>
        <v>0</v>
      </c>
      <c r="F745" s="15">
        <f>IF(E745="","",IFERROR(INDEX(Clients!$B$5:$B$504,MATCH(E745,Clients!$A$5:$A$504,0)),"Walk-in"))</f>
        <v>0</v>
      </c>
      <c r="H745" s="15">
        <f>IF(G745="","",IFERROR(INDEX(Services!$B$5:$B$204,MATCH(G745,Services!$A$5:$A$204,0)),"Not in Services"))</f>
        <v>0</v>
      </c>
      <c r="J745" s="15">
        <f>IF(I745="","",IFERROR(INDEX(Staff!$B$5:$B$44,MATCH(I745,Staff!$A$5:$A$44,0)),"Unassigned"))</f>
        <v>0</v>
      </c>
      <c r="S745" s="15">
        <f>IF(B745="","",TEXT(B745,"yyyy-mm"))</f>
        <v>0</v>
      </c>
      <c r="T745" s="25">
        <f>IF(B745="","",WEEKNUM(B745,2))</f>
        <v>0</v>
      </c>
      <c r="U745" s="25">
        <f>IF(B745="","",IF(K745&lt;&gt;"",K745,IFERROR(INDEX(Services!$E$5:$E$204,MATCH(G745,Services!$A$5:$A$204,0))*1,0)+IFERROR(INDEX(Services!$F$5:$F$204,MATCH(G745,Services!$A$5:$A$204,0))*1,0)))</f>
        <v>0</v>
      </c>
      <c r="V745" s="36">
        <f>IF(B745="","",IF(D745="","",D745+U745/1440))</f>
        <v>0</v>
      </c>
      <c r="W745" s="25">
        <f>IF(B745="","",IF(D745="","",HOUR(D745)))</f>
        <v>0</v>
      </c>
      <c r="X745" s="37">
        <f>IF(B745="","",ROUND(U745/60,2))</f>
        <v>0</v>
      </c>
      <c r="Y745" s="26">
        <f>IF(B745="","",IF(L745&lt;&gt;"",L745,IFERROR(INDEX(Services!$G$5:$G$204,MATCH(G745,Services!$A$5:$A$204,0))*1,0)))</f>
        <v>0</v>
      </c>
      <c r="Z745" s="26">
        <f>IF(B745="","",IF(O745&lt;&gt;"",O745,IF(Y745&gt;=DepositThreshold,ROUND(Y745*DepositPercent,2),0)))</f>
        <v>0</v>
      </c>
      <c r="AA745" s="26">
        <f>IF(B745="","",ROUND(SUMIFS(Payments!$G$5:$G$1204,Payments!$I$5:$I$1204,A745,Payments!$E$5:$E$1204,"Deposit"),2))</f>
        <v>0</v>
      </c>
      <c r="AB745" s="26">
        <f>IF(B745="","",ROUND(SUMIFS(Sales!$Y$5:$Y$1204,Sales!$C$5:$C$1204,A745),2))</f>
        <v>0</v>
      </c>
      <c r="AC745" s="38">
        <f>IF(B745="","",IF(M745="Completed","Yes",IF(M745="Cancelled","Yes",IF(M745="No show","Yes","No"))))</f>
        <v>0</v>
      </c>
      <c r="AD745" s="25">
        <f>IF(B745="","",IF(AE745="","",B745-AE745))</f>
        <v>0</v>
      </c>
      <c r="AF745" s="38">
        <f>IF(B745="","",IF(M745&lt;&gt;"Completed","",IF(E745="","No",IF(COUNTIFS(Appointments!$E$5:$E$1204,E745,Appointments!$B$5:$B$1204,"&gt;"&amp;B745,Appointments!$M$5:$M$1204,"&lt;&gt;Cancelled")&gt;0,"Yes","No"))))</f>
        <v>0</v>
      </c>
      <c r="AG745" s="38">
        <f>IF(B745="","",IF(I745="","",IF(D745="","",IF(COUNTIFS($I$5:$I$1204,I745,$B$5:$B$1204,B745,$D$5:$D$1204,"&lt;"&amp;V745,$V$5:$V$1204,"&gt;"&amp;D745,$M$5:$M$1204,"&lt;&gt;Cancelled")&gt;1,"Clash",""))))</f>
        <v>0</v>
      </c>
      <c r="AH745" s="39">
        <f>IF(B745="","",IF(AG745="Clash","Clash - stylist double booked",IF(I745="","Assign - no stylist yet",IF(G745="","Add - no service chosen",IF(M745="No show","No show - charge the fee?",IF(M745="Cancelled","",IF(IF(M745="Completed",AB745&lt;Y745-0.004,FALSE),"Unpaid - nothing rung up for this visit",IF(IF(B745&lt;TodayDate,M745="Booked",FALSE),"Overdue - past date, still only Booked",IF(IF(B745=TodayDate,TRUE,FALSE),"Today",IF(IF(Z745&gt;0,AA745&lt;Z745-0.004,FALSE),"Due - deposit not taken",IF(IF(B745&gt;TodayDate,B745&lt;=TodayDate+2,FALSE),"Confirm - coming up","OK")))))))))))</f>
        <v>0</v>
      </c>
    </row>
    <row r="746" spans="1:34">
      <c r="A746" s="28">
        <f>IF(B746="","",AppointmentPrefix&amp;TEXT(ROW()-4,"0000"))</f>
        <v>0</v>
      </c>
      <c r="C746" s="15">
        <f>IF(B746="","",TEXT(B746,"ddd"))</f>
        <v>0</v>
      </c>
      <c r="F746" s="15">
        <f>IF(E746="","",IFERROR(INDEX(Clients!$B$5:$B$504,MATCH(E746,Clients!$A$5:$A$504,0)),"Walk-in"))</f>
        <v>0</v>
      </c>
      <c r="H746" s="15">
        <f>IF(G746="","",IFERROR(INDEX(Services!$B$5:$B$204,MATCH(G746,Services!$A$5:$A$204,0)),"Not in Services"))</f>
        <v>0</v>
      </c>
      <c r="J746" s="15">
        <f>IF(I746="","",IFERROR(INDEX(Staff!$B$5:$B$44,MATCH(I746,Staff!$A$5:$A$44,0)),"Unassigned"))</f>
        <v>0</v>
      </c>
      <c r="S746" s="15">
        <f>IF(B746="","",TEXT(B746,"yyyy-mm"))</f>
        <v>0</v>
      </c>
      <c r="T746" s="25">
        <f>IF(B746="","",WEEKNUM(B746,2))</f>
        <v>0</v>
      </c>
      <c r="U746" s="25">
        <f>IF(B746="","",IF(K746&lt;&gt;"",K746,IFERROR(INDEX(Services!$E$5:$E$204,MATCH(G746,Services!$A$5:$A$204,0))*1,0)+IFERROR(INDEX(Services!$F$5:$F$204,MATCH(G746,Services!$A$5:$A$204,0))*1,0)))</f>
        <v>0</v>
      </c>
      <c r="V746" s="36">
        <f>IF(B746="","",IF(D746="","",D746+U746/1440))</f>
        <v>0</v>
      </c>
      <c r="W746" s="25">
        <f>IF(B746="","",IF(D746="","",HOUR(D746)))</f>
        <v>0</v>
      </c>
      <c r="X746" s="37">
        <f>IF(B746="","",ROUND(U746/60,2))</f>
        <v>0</v>
      </c>
      <c r="Y746" s="26">
        <f>IF(B746="","",IF(L746&lt;&gt;"",L746,IFERROR(INDEX(Services!$G$5:$G$204,MATCH(G746,Services!$A$5:$A$204,0))*1,0)))</f>
        <v>0</v>
      </c>
      <c r="Z746" s="26">
        <f>IF(B746="","",IF(O746&lt;&gt;"",O746,IF(Y746&gt;=DepositThreshold,ROUND(Y746*DepositPercent,2),0)))</f>
        <v>0</v>
      </c>
      <c r="AA746" s="26">
        <f>IF(B746="","",ROUND(SUMIFS(Payments!$G$5:$G$1204,Payments!$I$5:$I$1204,A746,Payments!$E$5:$E$1204,"Deposit"),2))</f>
        <v>0</v>
      </c>
      <c r="AB746" s="26">
        <f>IF(B746="","",ROUND(SUMIFS(Sales!$Y$5:$Y$1204,Sales!$C$5:$C$1204,A746),2))</f>
        <v>0</v>
      </c>
      <c r="AC746" s="38">
        <f>IF(B746="","",IF(M746="Completed","Yes",IF(M746="Cancelled","Yes",IF(M746="No show","Yes","No"))))</f>
        <v>0</v>
      </c>
      <c r="AD746" s="25">
        <f>IF(B746="","",IF(AE746="","",B746-AE746))</f>
        <v>0</v>
      </c>
      <c r="AF746" s="38">
        <f>IF(B746="","",IF(M746&lt;&gt;"Completed","",IF(E746="","No",IF(COUNTIFS(Appointments!$E$5:$E$1204,E746,Appointments!$B$5:$B$1204,"&gt;"&amp;B746,Appointments!$M$5:$M$1204,"&lt;&gt;Cancelled")&gt;0,"Yes","No"))))</f>
        <v>0</v>
      </c>
      <c r="AG746" s="38">
        <f>IF(B746="","",IF(I746="","",IF(D746="","",IF(COUNTIFS($I$5:$I$1204,I746,$B$5:$B$1204,B746,$D$5:$D$1204,"&lt;"&amp;V746,$V$5:$V$1204,"&gt;"&amp;D746,$M$5:$M$1204,"&lt;&gt;Cancelled")&gt;1,"Clash",""))))</f>
        <v>0</v>
      </c>
      <c r="AH746" s="39">
        <f>IF(B746="","",IF(AG746="Clash","Clash - stylist double booked",IF(I746="","Assign - no stylist yet",IF(G746="","Add - no service chosen",IF(M746="No show","No show - charge the fee?",IF(M746="Cancelled","",IF(IF(M746="Completed",AB746&lt;Y746-0.004,FALSE),"Unpaid - nothing rung up for this visit",IF(IF(B746&lt;TodayDate,M746="Booked",FALSE),"Overdue - past date, still only Booked",IF(IF(B746=TodayDate,TRUE,FALSE),"Today",IF(IF(Z746&gt;0,AA746&lt;Z746-0.004,FALSE),"Due - deposit not taken",IF(IF(B746&gt;TodayDate,B746&lt;=TodayDate+2,FALSE),"Confirm - coming up","OK")))))))))))</f>
        <v>0</v>
      </c>
    </row>
    <row r="747" spans="1:34">
      <c r="A747" s="28">
        <f>IF(B747="","",AppointmentPrefix&amp;TEXT(ROW()-4,"0000"))</f>
        <v>0</v>
      </c>
      <c r="C747" s="15">
        <f>IF(B747="","",TEXT(B747,"ddd"))</f>
        <v>0</v>
      </c>
      <c r="F747" s="15">
        <f>IF(E747="","",IFERROR(INDEX(Clients!$B$5:$B$504,MATCH(E747,Clients!$A$5:$A$504,0)),"Walk-in"))</f>
        <v>0</v>
      </c>
      <c r="H747" s="15">
        <f>IF(G747="","",IFERROR(INDEX(Services!$B$5:$B$204,MATCH(G747,Services!$A$5:$A$204,0)),"Not in Services"))</f>
        <v>0</v>
      </c>
      <c r="J747" s="15">
        <f>IF(I747="","",IFERROR(INDEX(Staff!$B$5:$B$44,MATCH(I747,Staff!$A$5:$A$44,0)),"Unassigned"))</f>
        <v>0</v>
      </c>
      <c r="S747" s="15">
        <f>IF(B747="","",TEXT(B747,"yyyy-mm"))</f>
        <v>0</v>
      </c>
      <c r="T747" s="25">
        <f>IF(B747="","",WEEKNUM(B747,2))</f>
        <v>0</v>
      </c>
      <c r="U747" s="25">
        <f>IF(B747="","",IF(K747&lt;&gt;"",K747,IFERROR(INDEX(Services!$E$5:$E$204,MATCH(G747,Services!$A$5:$A$204,0))*1,0)+IFERROR(INDEX(Services!$F$5:$F$204,MATCH(G747,Services!$A$5:$A$204,0))*1,0)))</f>
        <v>0</v>
      </c>
      <c r="V747" s="36">
        <f>IF(B747="","",IF(D747="","",D747+U747/1440))</f>
        <v>0</v>
      </c>
      <c r="W747" s="25">
        <f>IF(B747="","",IF(D747="","",HOUR(D747)))</f>
        <v>0</v>
      </c>
      <c r="X747" s="37">
        <f>IF(B747="","",ROUND(U747/60,2))</f>
        <v>0</v>
      </c>
      <c r="Y747" s="26">
        <f>IF(B747="","",IF(L747&lt;&gt;"",L747,IFERROR(INDEX(Services!$G$5:$G$204,MATCH(G747,Services!$A$5:$A$204,0))*1,0)))</f>
        <v>0</v>
      </c>
      <c r="Z747" s="26">
        <f>IF(B747="","",IF(O747&lt;&gt;"",O747,IF(Y747&gt;=DepositThreshold,ROUND(Y747*DepositPercent,2),0)))</f>
        <v>0</v>
      </c>
      <c r="AA747" s="26">
        <f>IF(B747="","",ROUND(SUMIFS(Payments!$G$5:$G$1204,Payments!$I$5:$I$1204,A747,Payments!$E$5:$E$1204,"Deposit"),2))</f>
        <v>0</v>
      </c>
      <c r="AB747" s="26">
        <f>IF(B747="","",ROUND(SUMIFS(Sales!$Y$5:$Y$1204,Sales!$C$5:$C$1204,A747),2))</f>
        <v>0</v>
      </c>
      <c r="AC747" s="38">
        <f>IF(B747="","",IF(M747="Completed","Yes",IF(M747="Cancelled","Yes",IF(M747="No show","Yes","No"))))</f>
        <v>0</v>
      </c>
      <c r="AD747" s="25">
        <f>IF(B747="","",IF(AE747="","",B747-AE747))</f>
        <v>0</v>
      </c>
      <c r="AF747" s="38">
        <f>IF(B747="","",IF(M747&lt;&gt;"Completed","",IF(E747="","No",IF(COUNTIFS(Appointments!$E$5:$E$1204,E747,Appointments!$B$5:$B$1204,"&gt;"&amp;B747,Appointments!$M$5:$M$1204,"&lt;&gt;Cancelled")&gt;0,"Yes","No"))))</f>
        <v>0</v>
      </c>
      <c r="AG747" s="38">
        <f>IF(B747="","",IF(I747="","",IF(D747="","",IF(COUNTIFS($I$5:$I$1204,I747,$B$5:$B$1204,B747,$D$5:$D$1204,"&lt;"&amp;V747,$V$5:$V$1204,"&gt;"&amp;D747,$M$5:$M$1204,"&lt;&gt;Cancelled")&gt;1,"Clash",""))))</f>
        <v>0</v>
      </c>
      <c r="AH747" s="39">
        <f>IF(B747="","",IF(AG747="Clash","Clash - stylist double booked",IF(I747="","Assign - no stylist yet",IF(G747="","Add - no service chosen",IF(M747="No show","No show - charge the fee?",IF(M747="Cancelled","",IF(IF(M747="Completed",AB747&lt;Y747-0.004,FALSE),"Unpaid - nothing rung up for this visit",IF(IF(B747&lt;TodayDate,M747="Booked",FALSE),"Overdue - past date, still only Booked",IF(IF(B747=TodayDate,TRUE,FALSE),"Today",IF(IF(Z747&gt;0,AA747&lt;Z747-0.004,FALSE),"Due - deposit not taken",IF(IF(B747&gt;TodayDate,B747&lt;=TodayDate+2,FALSE),"Confirm - coming up","OK")))))))))))</f>
        <v>0</v>
      </c>
    </row>
    <row r="748" spans="1:34">
      <c r="A748" s="28">
        <f>IF(B748="","",AppointmentPrefix&amp;TEXT(ROW()-4,"0000"))</f>
        <v>0</v>
      </c>
      <c r="C748" s="15">
        <f>IF(B748="","",TEXT(B748,"ddd"))</f>
        <v>0</v>
      </c>
      <c r="F748" s="15">
        <f>IF(E748="","",IFERROR(INDEX(Clients!$B$5:$B$504,MATCH(E748,Clients!$A$5:$A$504,0)),"Walk-in"))</f>
        <v>0</v>
      </c>
      <c r="H748" s="15">
        <f>IF(G748="","",IFERROR(INDEX(Services!$B$5:$B$204,MATCH(G748,Services!$A$5:$A$204,0)),"Not in Services"))</f>
        <v>0</v>
      </c>
      <c r="J748" s="15">
        <f>IF(I748="","",IFERROR(INDEX(Staff!$B$5:$B$44,MATCH(I748,Staff!$A$5:$A$44,0)),"Unassigned"))</f>
        <v>0</v>
      </c>
      <c r="S748" s="15">
        <f>IF(B748="","",TEXT(B748,"yyyy-mm"))</f>
        <v>0</v>
      </c>
      <c r="T748" s="25">
        <f>IF(B748="","",WEEKNUM(B748,2))</f>
        <v>0</v>
      </c>
      <c r="U748" s="25">
        <f>IF(B748="","",IF(K748&lt;&gt;"",K748,IFERROR(INDEX(Services!$E$5:$E$204,MATCH(G748,Services!$A$5:$A$204,0))*1,0)+IFERROR(INDEX(Services!$F$5:$F$204,MATCH(G748,Services!$A$5:$A$204,0))*1,0)))</f>
        <v>0</v>
      </c>
      <c r="V748" s="36">
        <f>IF(B748="","",IF(D748="","",D748+U748/1440))</f>
        <v>0</v>
      </c>
      <c r="W748" s="25">
        <f>IF(B748="","",IF(D748="","",HOUR(D748)))</f>
        <v>0</v>
      </c>
      <c r="X748" s="37">
        <f>IF(B748="","",ROUND(U748/60,2))</f>
        <v>0</v>
      </c>
      <c r="Y748" s="26">
        <f>IF(B748="","",IF(L748&lt;&gt;"",L748,IFERROR(INDEX(Services!$G$5:$G$204,MATCH(G748,Services!$A$5:$A$204,0))*1,0)))</f>
        <v>0</v>
      </c>
      <c r="Z748" s="26">
        <f>IF(B748="","",IF(O748&lt;&gt;"",O748,IF(Y748&gt;=DepositThreshold,ROUND(Y748*DepositPercent,2),0)))</f>
        <v>0</v>
      </c>
      <c r="AA748" s="26">
        <f>IF(B748="","",ROUND(SUMIFS(Payments!$G$5:$G$1204,Payments!$I$5:$I$1204,A748,Payments!$E$5:$E$1204,"Deposit"),2))</f>
        <v>0</v>
      </c>
      <c r="AB748" s="26">
        <f>IF(B748="","",ROUND(SUMIFS(Sales!$Y$5:$Y$1204,Sales!$C$5:$C$1204,A748),2))</f>
        <v>0</v>
      </c>
      <c r="AC748" s="38">
        <f>IF(B748="","",IF(M748="Completed","Yes",IF(M748="Cancelled","Yes",IF(M748="No show","Yes","No"))))</f>
        <v>0</v>
      </c>
      <c r="AD748" s="25">
        <f>IF(B748="","",IF(AE748="","",B748-AE748))</f>
        <v>0</v>
      </c>
      <c r="AF748" s="38">
        <f>IF(B748="","",IF(M748&lt;&gt;"Completed","",IF(E748="","No",IF(COUNTIFS(Appointments!$E$5:$E$1204,E748,Appointments!$B$5:$B$1204,"&gt;"&amp;B748,Appointments!$M$5:$M$1204,"&lt;&gt;Cancelled")&gt;0,"Yes","No"))))</f>
        <v>0</v>
      </c>
      <c r="AG748" s="38">
        <f>IF(B748="","",IF(I748="","",IF(D748="","",IF(COUNTIFS($I$5:$I$1204,I748,$B$5:$B$1204,B748,$D$5:$D$1204,"&lt;"&amp;V748,$V$5:$V$1204,"&gt;"&amp;D748,$M$5:$M$1204,"&lt;&gt;Cancelled")&gt;1,"Clash",""))))</f>
        <v>0</v>
      </c>
      <c r="AH748" s="39">
        <f>IF(B748="","",IF(AG748="Clash","Clash - stylist double booked",IF(I748="","Assign - no stylist yet",IF(G748="","Add - no service chosen",IF(M748="No show","No show - charge the fee?",IF(M748="Cancelled","",IF(IF(M748="Completed",AB748&lt;Y748-0.004,FALSE),"Unpaid - nothing rung up for this visit",IF(IF(B748&lt;TodayDate,M748="Booked",FALSE),"Overdue - past date, still only Booked",IF(IF(B748=TodayDate,TRUE,FALSE),"Today",IF(IF(Z748&gt;0,AA748&lt;Z748-0.004,FALSE),"Due - deposit not taken",IF(IF(B748&gt;TodayDate,B748&lt;=TodayDate+2,FALSE),"Confirm - coming up","OK")))))))))))</f>
        <v>0</v>
      </c>
    </row>
    <row r="749" spans="1:34">
      <c r="A749" s="28">
        <f>IF(B749="","",AppointmentPrefix&amp;TEXT(ROW()-4,"0000"))</f>
        <v>0</v>
      </c>
      <c r="C749" s="15">
        <f>IF(B749="","",TEXT(B749,"ddd"))</f>
        <v>0</v>
      </c>
      <c r="F749" s="15">
        <f>IF(E749="","",IFERROR(INDEX(Clients!$B$5:$B$504,MATCH(E749,Clients!$A$5:$A$504,0)),"Walk-in"))</f>
        <v>0</v>
      </c>
      <c r="H749" s="15">
        <f>IF(G749="","",IFERROR(INDEX(Services!$B$5:$B$204,MATCH(G749,Services!$A$5:$A$204,0)),"Not in Services"))</f>
        <v>0</v>
      </c>
      <c r="J749" s="15">
        <f>IF(I749="","",IFERROR(INDEX(Staff!$B$5:$B$44,MATCH(I749,Staff!$A$5:$A$44,0)),"Unassigned"))</f>
        <v>0</v>
      </c>
      <c r="S749" s="15">
        <f>IF(B749="","",TEXT(B749,"yyyy-mm"))</f>
        <v>0</v>
      </c>
      <c r="T749" s="25">
        <f>IF(B749="","",WEEKNUM(B749,2))</f>
        <v>0</v>
      </c>
      <c r="U749" s="25">
        <f>IF(B749="","",IF(K749&lt;&gt;"",K749,IFERROR(INDEX(Services!$E$5:$E$204,MATCH(G749,Services!$A$5:$A$204,0))*1,0)+IFERROR(INDEX(Services!$F$5:$F$204,MATCH(G749,Services!$A$5:$A$204,0))*1,0)))</f>
        <v>0</v>
      </c>
      <c r="V749" s="36">
        <f>IF(B749="","",IF(D749="","",D749+U749/1440))</f>
        <v>0</v>
      </c>
      <c r="W749" s="25">
        <f>IF(B749="","",IF(D749="","",HOUR(D749)))</f>
        <v>0</v>
      </c>
      <c r="X749" s="37">
        <f>IF(B749="","",ROUND(U749/60,2))</f>
        <v>0</v>
      </c>
      <c r="Y749" s="26">
        <f>IF(B749="","",IF(L749&lt;&gt;"",L749,IFERROR(INDEX(Services!$G$5:$G$204,MATCH(G749,Services!$A$5:$A$204,0))*1,0)))</f>
        <v>0</v>
      </c>
      <c r="Z749" s="26">
        <f>IF(B749="","",IF(O749&lt;&gt;"",O749,IF(Y749&gt;=DepositThreshold,ROUND(Y749*DepositPercent,2),0)))</f>
        <v>0</v>
      </c>
      <c r="AA749" s="26">
        <f>IF(B749="","",ROUND(SUMIFS(Payments!$G$5:$G$1204,Payments!$I$5:$I$1204,A749,Payments!$E$5:$E$1204,"Deposit"),2))</f>
        <v>0</v>
      </c>
      <c r="AB749" s="26">
        <f>IF(B749="","",ROUND(SUMIFS(Sales!$Y$5:$Y$1204,Sales!$C$5:$C$1204,A749),2))</f>
        <v>0</v>
      </c>
      <c r="AC749" s="38">
        <f>IF(B749="","",IF(M749="Completed","Yes",IF(M749="Cancelled","Yes",IF(M749="No show","Yes","No"))))</f>
        <v>0</v>
      </c>
      <c r="AD749" s="25">
        <f>IF(B749="","",IF(AE749="","",B749-AE749))</f>
        <v>0</v>
      </c>
      <c r="AF749" s="38">
        <f>IF(B749="","",IF(M749&lt;&gt;"Completed","",IF(E749="","No",IF(COUNTIFS(Appointments!$E$5:$E$1204,E749,Appointments!$B$5:$B$1204,"&gt;"&amp;B749,Appointments!$M$5:$M$1204,"&lt;&gt;Cancelled")&gt;0,"Yes","No"))))</f>
        <v>0</v>
      </c>
      <c r="AG749" s="38">
        <f>IF(B749="","",IF(I749="","",IF(D749="","",IF(COUNTIFS($I$5:$I$1204,I749,$B$5:$B$1204,B749,$D$5:$D$1204,"&lt;"&amp;V749,$V$5:$V$1204,"&gt;"&amp;D749,$M$5:$M$1204,"&lt;&gt;Cancelled")&gt;1,"Clash",""))))</f>
        <v>0</v>
      </c>
      <c r="AH749" s="39">
        <f>IF(B749="","",IF(AG749="Clash","Clash - stylist double booked",IF(I749="","Assign - no stylist yet",IF(G749="","Add - no service chosen",IF(M749="No show","No show - charge the fee?",IF(M749="Cancelled","",IF(IF(M749="Completed",AB749&lt;Y749-0.004,FALSE),"Unpaid - nothing rung up for this visit",IF(IF(B749&lt;TodayDate,M749="Booked",FALSE),"Overdue - past date, still only Booked",IF(IF(B749=TodayDate,TRUE,FALSE),"Today",IF(IF(Z749&gt;0,AA749&lt;Z749-0.004,FALSE),"Due - deposit not taken",IF(IF(B749&gt;TodayDate,B749&lt;=TodayDate+2,FALSE),"Confirm - coming up","OK")))))))))))</f>
        <v>0</v>
      </c>
    </row>
    <row r="750" spans="1:34">
      <c r="A750" s="28">
        <f>IF(B750="","",AppointmentPrefix&amp;TEXT(ROW()-4,"0000"))</f>
        <v>0</v>
      </c>
      <c r="C750" s="15">
        <f>IF(B750="","",TEXT(B750,"ddd"))</f>
        <v>0</v>
      </c>
      <c r="F750" s="15">
        <f>IF(E750="","",IFERROR(INDEX(Clients!$B$5:$B$504,MATCH(E750,Clients!$A$5:$A$504,0)),"Walk-in"))</f>
        <v>0</v>
      </c>
      <c r="H750" s="15">
        <f>IF(G750="","",IFERROR(INDEX(Services!$B$5:$B$204,MATCH(G750,Services!$A$5:$A$204,0)),"Not in Services"))</f>
        <v>0</v>
      </c>
      <c r="J750" s="15">
        <f>IF(I750="","",IFERROR(INDEX(Staff!$B$5:$B$44,MATCH(I750,Staff!$A$5:$A$44,0)),"Unassigned"))</f>
        <v>0</v>
      </c>
      <c r="S750" s="15">
        <f>IF(B750="","",TEXT(B750,"yyyy-mm"))</f>
        <v>0</v>
      </c>
      <c r="T750" s="25">
        <f>IF(B750="","",WEEKNUM(B750,2))</f>
        <v>0</v>
      </c>
      <c r="U750" s="25">
        <f>IF(B750="","",IF(K750&lt;&gt;"",K750,IFERROR(INDEX(Services!$E$5:$E$204,MATCH(G750,Services!$A$5:$A$204,0))*1,0)+IFERROR(INDEX(Services!$F$5:$F$204,MATCH(G750,Services!$A$5:$A$204,0))*1,0)))</f>
        <v>0</v>
      </c>
      <c r="V750" s="36">
        <f>IF(B750="","",IF(D750="","",D750+U750/1440))</f>
        <v>0</v>
      </c>
      <c r="W750" s="25">
        <f>IF(B750="","",IF(D750="","",HOUR(D750)))</f>
        <v>0</v>
      </c>
      <c r="X750" s="37">
        <f>IF(B750="","",ROUND(U750/60,2))</f>
        <v>0</v>
      </c>
      <c r="Y750" s="26">
        <f>IF(B750="","",IF(L750&lt;&gt;"",L750,IFERROR(INDEX(Services!$G$5:$G$204,MATCH(G750,Services!$A$5:$A$204,0))*1,0)))</f>
        <v>0</v>
      </c>
      <c r="Z750" s="26">
        <f>IF(B750="","",IF(O750&lt;&gt;"",O750,IF(Y750&gt;=DepositThreshold,ROUND(Y750*DepositPercent,2),0)))</f>
        <v>0</v>
      </c>
      <c r="AA750" s="26">
        <f>IF(B750="","",ROUND(SUMIFS(Payments!$G$5:$G$1204,Payments!$I$5:$I$1204,A750,Payments!$E$5:$E$1204,"Deposit"),2))</f>
        <v>0</v>
      </c>
      <c r="AB750" s="26">
        <f>IF(B750="","",ROUND(SUMIFS(Sales!$Y$5:$Y$1204,Sales!$C$5:$C$1204,A750),2))</f>
        <v>0</v>
      </c>
      <c r="AC750" s="38">
        <f>IF(B750="","",IF(M750="Completed","Yes",IF(M750="Cancelled","Yes",IF(M750="No show","Yes","No"))))</f>
        <v>0</v>
      </c>
      <c r="AD750" s="25">
        <f>IF(B750="","",IF(AE750="","",B750-AE750))</f>
        <v>0</v>
      </c>
      <c r="AF750" s="38">
        <f>IF(B750="","",IF(M750&lt;&gt;"Completed","",IF(E750="","No",IF(COUNTIFS(Appointments!$E$5:$E$1204,E750,Appointments!$B$5:$B$1204,"&gt;"&amp;B750,Appointments!$M$5:$M$1204,"&lt;&gt;Cancelled")&gt;0,"Yes","No"))))</f>
        <v>0</v>
      </c>
      <c r="AG750" s="38">
        <f>IF(B750="","",IF(I750="","",IF(D750="","",IF(COUNTIFS($I$5:$I$1204,I750,$B$5:$B$1204,B750,$D$5:$D$1204,"&lt;"&amp;V750,$V$5:$V$1204,"&gt;"&amp;D750,$M$5:$M$1204,"&lt;&gt;Cancelled")&gt;1,"Clash",""))))</f>
        <v>0</v>
      </c>
      <c r="AH750" s="39">
        <f>IF(B750="","",IF(AG750="Clash","Clash - stylist double booked",IF(I750="","Assign - no stylist yet",IF(G750="","Add - no service chosen",IF(M750="No show","No show - charge the fee?",IF(M750="Cancelled","",IF(IF(M750="Completed",AB750&lt;Y750-0.004,FALSE),"Unpaid - nothing rung up for this visit",IF(IF(B750&lt;TodayDate,M750="Booked",FALSE),"Overdue - past date, still only Booked",IF(IF(B750=TodayDate,TRUE,FALSE),"Today",IF(IF(Z750&gt;0,AA750&lt;Z750-0.004,FALSE),"Due - deposit not taken",IF(IF(B750&gt;TodayDate,B750&lt;=TodayDate+2,FALSE),"Confirm - coming up","OK")))))))))))</f>
        <v>0</v>
      </c>
    </row>
    <row r="751" spans="1:34">
      <c r="A751" s="28">
        <f>IF(B751="","",AppointmentPrefix&amp;TEXT(ROW()-4,"0000"))</f>
        <v>0</v>
      </c>
      <c r="C751" s="15">
        <f>IF(B751="","",TEXT(B751,"ddd"))</f>
        <v>0</v>
      </c>
      <c r="F751" s="15">
        <f>IF(E751="","",IFERROR(INDEX(Clients!$B$5:$B$504,MATCH(E751,Clients!$A$5:$A$504,0)),"Walk-in"))</f>
        <v>0</v>
      </c>
      <c r="H751" s="15">
        <f>IF(G751="","",IFERROR(INDEX(Services!$B$5:$B$204,MATCH(G751,Services!$A$5:$A$204,0)),"Not in Services"))</f>
        <v>0</v>
      </c>
      <c r="J751" s="15">
        <f>IF(I751="","",IFERROR(INDEX(Staff!$B$5:$B$44,MATCH(I751,Staff!$A$5:$A$44,0)),"Unassigned"))</f>
        <v>0</v>
      </c>
      <c r="S751" s="15">
        <f>IF(B751="","",TEXT(B751,"yyyy-mm"))</f>
        <v>0</v>
      </c>
      <c r="T751" s="25">
        <f>IF(B751="","",WEEKNUM(B751,2))</f>
        <v>0</v>
      </c>
      <c r="U751" s="25">
        <f>IF(B751="","",IF(K751&lt;&gt;"",K751,IFERROR(INDEX(Services!$E$5:$E$204,MATCH(G751,Services!$A$5:$A$204,0))*1,0)+IFERROR(INDEX(Services!$F$5:$F$204,MATCH(G751,Services!$A$5:$A$204,0))*1,0)))</f>
        <v>0</v>
      </c>
      <c r="V751" s="36">
        <f>IF(B751="","",IF(D751="","",D751+U751/1440))</f>
        <v>0</v>
      </c>
      <c r="W751" s="25">
        <f>IF(B751="","",IF(D751="","",HOUR(D751)))</f>
        <v>0</v>
      </c>
      <c r="X751" s="37">
        <f>IF(B751="","",ROUND(U751/60,2))</f>
        <v>0</v>
      </c>
      <c r="Y751" s="26">
        <f>IF(B751="","",IF(L751&lt;&gt;"",L751,IFERROR(INDEX(Services!$G$5:$G$204,MATCH(G751,Services!$A$5:$A$204,0))*1,0)))</f>
        <v>0</v>
      </c>
      <c r="Z751" s="26">
        <f>IF(B751="","",IF(O751&lt;&gt;"",O751,IF(Y751&gt;=DepositThreshold,ROUND(Y751*DepositPercent,2),0)))</f>
        <v>0</v>
      </c>
      <c r="AA751" s="26">
        <f>IF(B751="","",ROUND(SUMIFS(Payments!$G$5:$G$1204,Payments!$I$5:$I$1204,A751,Payments!$E$5:$E$1204,"Deposit"),2))</f>
        <v>0</v>
      </c>
      <c r="AB751" s="26">
        <f>IF(B751="","",ROUND(SUMIFS(Sales!$Y$5:$Y$1204,Sales!$C$5:$C$1204,A751),2))</f>
        <v>0</v>
      </c>
      <c r="AC751" s="38">
        <f>IF(B751="","",IF(M751="Completed","Yes",IF(M751="Cancelled","Yes",IF(M751="No show","Yes","No"))))</f>
        <v>0</v>
      </c>
      <c r="AD751" s="25">
        <f>IF(B751="","",IF(AE751="","",B751-AE751))</f>
        <v>0</v>
      </c>
      <c r="AF751" s="38">
        <f>IF(B751="","",IF(M751&lt;&gt;"Completed","",IF(E751="","No",IF(COUNTIFS(Appointments!$E$5:$E$1204,E751,Appointments!$B$5:$B$1204,"&gt;"&amp;B751,Appointments!$M$5:$M$1204,"&lt;&gt;Cancelled")&gt;0,"Yes","No"))))</f>
        <v>0</v>
      </c>
      <c r="AG751" s="38">
        <f>IF(B751="","",IF(I751="","",IF(D751="","",IF(COUNTIFS($I$5:$I$1204,I751,$B$5:$B$1204,B751,$D$5:$D$1204,"&lt;"&amp;V751,$V$5:$V$1204,"&gt;"&amp;D751,$M$5:$M$1204,"&lt;&gt;Cancelled")&gt;1,"Clash",""))))</f>
        <v>0</v>
      </c>
      <c r="AH751" s="39">
        <f>IF(B751="","",IF(AG751="Clash","Clash - stylist double booked",IF(I751="","Assign - no stylist yet",IF(G751="","Add - no service chosen",IF(M751="No show","No show - charge the fee?",IF(M751="Cancelled","",IF(IF(M751="Completed",AB751&lt;Y751-0.004,FALSE),"Unpaid - nothing rung up for this visit",IF(IF(B751&lt;TodayDate,M751="Booked",FALSE),"Overdue - past date, still only Booked",IF(IF(B751=TodayDate,TRUE,FALSE),"Today",IF(IF(Z751&gt;0,AA751&lt;Z751-0.004,FALSE),"Due - deposit not taken",IF(IF(B751&gt;TodayDate,B751&lt;=TodayDate+2,FALSE),"Confirm - coming up","OK")))))))))))</f>
        <v>0</v>
      </c>
    </row>
    <row r="752" spans="1:34">
      <c r="A752" s="28">
        <f>IF(B752="","",AppointmentPrefix&amp;TEXT(ROW()-4,"0000"))</f>
        <v>0</v>
      </c>
      <c r="C752" s="15">
        <f>IF(B752="","",TEXT(B752,"ddd"))</f>
        <v>0</v>
      </c>
      <c r="F752" s="15">
        <f>IF(E752="","",IFERROR(INDEX(Clients!$B$5:$B$504,MATCH(E752,Clients!$A$5:$A$504,0)),"Walk-in"))</f>
        <v>0</v>
      </c>
      <c r="H752" s="15">
        <f>IF(G752="","",IFERROR(INDEX(Services!$B$5:$B$204,MATCH(G752,Services!$A$5:$A$204,0)),"Not in Services"))</f>
        <v>0</v>
      </c>
      <c r="J752" s="15">
        <f>IF(I752="","",IFERROR(INDEX(Staff!$B$5:$B$44,MATCH(I752,Staff!$A$5:$A$44,0)),"Unassigned"))</f>
        <v>0</v>
      </c>
      <c r="S752" s="15">
        <f>IF(B752="","",TEXT(B752,"yyyy-mm"))</f>
        <v>0</v>
      </c>
      <c r="T752" s="25">
        <f>IF(B752="","",WEEKNUM(B752,2))</f>
        <v>0</v>
      </c>
      <c r="U752" s="25">
        <f>IF(B752="","",IF(K752&lt;&gt;"",K752,IFERROR(INDEX(Services!$E$5:$E$204,MATCH(G752,Services!$A$5:$A$204,0))*1,0)+IFERROR(INDEX(Services!$F$5:$F$204,MATCH(G752,Services!$A$5:$A$204,0))*1,0)))</f>
        <v>0</v>
      </c>
      <c r="V752" s="36">
        <f>IF(B752="","",IF(D752="","",D752+U752/1440))</f>
        <v>0</v>
      </c>
      <c r="W752" s="25">
        <f>IF(B752="","",IF(D752="","",HOUR(D752)))</f>
        <v>0</v>
      </c>
      <c r="X752" s="37">
        <f>IF(B752="","",ROUND(U752/60,2))</f>
        <v>0</v>
      </c>
      <c r="Y752" s="26">
        <f>IF(B752="","",IF(L752&lt;&gt;"",L752,IFERROR(INDEX(Services!$G$5:$G$204,MATCH(G752,Services!$A$5:$A$204,0))*1,0)))</f>
        <v>0</v>
      </c>
      <c r="Z752" s="26">
        <f>IF(B752="","",IF(O752&lt;&gt;"",O752,IF(Y752&gt;=DepositThreshold,ROUND(Y752*DepositPercent,2),0)))</f>
        <v>0</v>
      </c>
      <c r="AA752" s="26">
        <f>IF(B752="","",ROUND(SUMIFS(Payments!$G$5:$G$1204,Payments!$I$5:$I$1204,A752,Payments!$E$5:$E$1204,"Deposit"),2))</f>
        <v>0</v>
      </c>
      <c r="AB752" s="26">
        <f>IF(B752="","",ROUND(SUMIFS(Sales!$Y$5:$Y$1204,Sales!$C$5:$C$1204,A752),2))</f>
        <v>0</v>
      </c>
      <c r="AC752" s="38">
        <f>IF(B752="","",IF(M752="Completed","Yes",IF(M752="Cancelled","Yes",IF(M752="No show","Yes","No"))))</f>
        <v>0</v>
      </c>
      <c r="AD752" s="25">
        <f>IF(B752="","",IF(AE752="","",B752-AE752))</f>
        <v>0</v>
      </c>
      <c r="AF752" s="38">
        <f>IF(B752="","",IF(M752&lt;&gt;"Completed","",IF(E752="","No",IF(COUNTIFS(Appointments!$E$5:$E$1204,E752,Appointments!$B$5:$B$1204,"&gt;"&amp;B752,Appointments!$M$5:$M$1204,"&lt;&gt;Cancelled")&gt;0,"Yes","No"))))</f>
        <v>0</v>
      </c>
      <c r="AG752" s="38">
        <f>IF(B752="","",IF(I752="","",IF(D752="","",IF(COUNTIFS($I$5:$I$1204,I752,$B$5:$B$1204,B752,$D$5:$D$1204,"&lt;"&amp;V752,$V$5:$V$1204,"&gt;"&amp;D752,$M$5:$M$1204,"&lt;&gt;Cancelled")&gt;1,"Clash",""))))</f>
        <v>0</v>
      </c>
      <c r="AH752" s="39">
        <f>IF(B752="","",IF(AG752="Clash","Clash - stylist double booked",IF(I752="","Assign - no stylist yet",IF(G752="","Add - no service chosen",IF(M752="No show","No show - charge the fee?",IF(M752="Cancelled","",IF(IF(M752="Completed",AB752&lt;Y752-0.004,FALSE),"Unpaid - nothing rung up for this visit",IF(IF(B752&lt;TodayDate,M752="Booked",FALSE),"Overdue - past date, still only Booked",IF(IF(B752=TodayDate,TRUE,FALSE),"Today",IF(IF(Z752&gt;0,AA752&lt;Z752-0.004,FALSE),"Due - deposit not taken",IF(IF(B752&gt;TodayDate,B752&lt;=TodayDate+2,FALSE),"Confirm - coming up","OK")))))))))))</f>
        <v>0</v>
      </c>
    </row>
    <row r="753" spans="1:34">
      <c r="A753" s="28">
        <f>IF(B753="","",AppointmentPrefix&amp;TEXT(ROW()-4,"0000"))</f>
        <v>0</v>
      </c>
      <c r="C753" s="15">
        <f>IF(B753="","",TEXT(B753,"ddd"))</f>
        <v>0</v>
      </c>
      <c r="F753" s="15">
        <f>IF(E753="","",IFERROR(INDEX(Clients!$B$5:$B$504,MATCH(E753,Clients!$A$5:$A$504,0)),"Walk-in"))</f>
        <v>0</v>
      </c>
      <c r="H753" s="15">
        <f>IF(G753="","",IFERROR(INDEX(Services!$B$5:$B$204,MATCH(G753,Services!$A$5:$A$204,0)),"Not in Services"))</f>
        <v>0</v>
      </c>
      <c r="J753" s="15">
        <f>IF(I753="","",IFERROR(INDEX(Staff!$B$5:$B$44,MATCH(I753,Staff!$A$5:$A$44,0)),"Unassigned"))</f>
        <v>0</v>
      </c>
      <c r="S753" s="15">
        <f>IF(B753="","",TEXT(B753,"yyyy-mm"))</f>
        <v>0</v>
      </c>
      <c r="T753" s="25">
        <f>IF(B753="","",WEEKNUM(B753,2))</f>
        <v>0</v>
      </c>
      <c r="U753" s="25">
        <f>IF(B753="","",IF(K753&lt;&gt;"",K753,IFERROR(INDEX(Services!$E$5:$E$204,MATCH(G753,Services!$A$5:$A$204,0))*1,0)+IFERROR(INDEX(Services!$F$5:$F$204,MATCH(G753,Services!$A$5:$A$204,0))*1,0)))</f>
        <v>0</v>
      </c>
      <c r="V753" s="36">
        <f>IF(B753="","",IF(D753="","",D753+U753/1440))</f>
        <v>0</v>
      </c>
      <c r="W753" s="25">
        <f>IF(B753="","",IF(D753="","",HOUR(D753)))</f>
        <v>0</v>
      </c>
      <c r="X753" s="37">
        <f>IF(B753="","",ROUND(U753/60,2))</f>
        <v>0</v>
      </c>
      <c r="Y753" s="26">
        <f>IF(B753="","",IF(L753&lt;&gt;"",L753,IFERROR(INDEX(Services!$G$5:$G$204,MATCH(G753,Services!$A$5:$A$204,0))*1,0)))</f>
        <v>0</v>
      </c>
      <c r="Z753" s="26">
        <f>IF(B753="","",IF(O753&lt;&gt;"",O753,IF(Y753&gt;=DepositThreshold,ROUND(Y753*DepositPercent,2),0)))</f>
        <v>0</v>
      </c>
      <c r="AA753" s="26">
        <f>IF(B753="","",ROUND(SUMIFS(Payments!$G$5:$G$1204,Payments!$I$5:$I$1204,A753,Payments!$E$5:$E$1204,"Deposit"),2))</f>
        <v>0</v>
      </c>
      <c r="AB753" s="26">
        <f>IF(B753="","",ROUND(SUMIFS(Sales!$Y$5:$Y$1204,Sales!$C$5:$C$1204,A753),2))</f>
        <v>0</v>
      </c>
      <c r="AC753" s="38">
        <f>IF(B753="","",IF(M753="Completed","Yes",IF(M753="Cancelled","Yes",IF(M753="No show","Yes","No"))))</f>
        <v>0</v>
      </c>
      <c r="AD753" s="25">
        <f>IF(B753="","",IF(AE753="","",B753-AE753))</f>
        <v>0</v>
      </c>
      <c r="AF753" s="38">
        <f>IF(B753="","",IF(M753&lt;&gt;"Completed","",IF(E753="","No",IF(COUNTIFS(Appointments!$E$5:$E$1204,E753,Appointments!$B$5:$B$1204,"&gt;"&amp;B753,Appointments!$M$5:$M$1204,"&lt;&gt;Cancelled")&gt;0,"Yes","No"))))</f>
        <v>0</v>
      </c>
      <c r="AG753" s="38">
        <f>IF(B753="","",IF(I753="","",IF(D753="","",IF(COUNTIFS($I$5:$I$1204,I753,$B$5:$B$1204,B753,$D$5:$D$1204,"&lt;"&amp;V753,$V$5:$V$1204,"&gt;"&amp;D753,$M$5:$M$1204,"&lt;&gt;Cancelled")&gt;1,"Clash",""))))</f>
        <v>0</v>
      </c>
      <c r="AH753" s="39">
        <f>IF(B753="","",IF(AG753="Clash","Clash - stylist double booked",IF(I753="","Assign - no stylist yet",IF(G753="","Add - no service chosen",IF(M753="No show","No show - charge the fee?",IF(M753="Cancelled","",IF(IF(M753="Completed",AB753&lt;Y753-0.004,FALSE),"Unpaid - nothing rung up for this visit",IF(IF(B753&lt;TodayDate,M753="Booked",FALSE),"Overdue - past date, still only Booked",IF(IF(B753=TodayDate,TRUE,FALSE),"Today",IF(IF(Z753&gt;0,AA753&lt;Z753-0.004,FALSE),"Due - deposit not taken",IF(IF(B753&gt;TodayDate,B753&lt;=TodayDate+2,FALSE),"Confirm - coming up","OK")))))))))))</f>
        <v>0</v>
      </c>
    </row>
    <row r="754" spans="1:34">
      <c r="A754" s="28">
        <f>IF(B754="","",AppointmentPrefix&amp;TEXT(ROW()-4,"0000"))</f>
        <v>0</v>
      </c>
      <c r="C754" s="15">
        <f>IF(B754="","",TEXT(B754,"ddd"))</f>
        <v>0</v>
      </c>
      <c r="F754" s="15">
        <f>IF(E754="","",IFERROR(INDEX(Clients!$B$5:$B$504,MATCH(E754,Clients!$A$5:$A$504,0)),"Walk-in"))</f>
        <v>0</v>
      </c>
      <c r="H754" s="15">
        <f>IF(G754="","",IFERROR(INDEX(Services!$B$5:$B$204,MATCH(G754,Services!$A$5:$A$204,0)),"Not in Services"))</f>
        <v>0</v>
      </c>
      <c r="J754" s="15">
        <f>IF(I754="","",IFERROR(INDEX(Staff!$B$5:$B$44,MATCH(I754,Staff!$A$5:$A$44,0)),"Unassigned"))</f>
        <v>0</v>
      </c>
      <c r="S754" s="15">
        <f>IF(B754="","",TEXT(B754,"yyyy-mm"))</f>
        <v>0</v>
      </c>
      <c r="T754" s="25">
        <f>IF(B754="","",WEEKNUM(B754,2))</f>
        <v>0</v>
      </c>
      <c r="U754" s="25">
        <f>IF(B754="","",IF(K754&lt;&gt;"",K754,IFERROR(INDEX(Services!$E$5:$E$204,MATCH(G754,Services!$A$5:$A$204,0))*1,0)+IFERROR(INDEX(Services!$F$5:$F$204,MATCH(G754,Services!$A$5:$A$204,0))*1,0)))</f>
        <v>0</v>
      </c>
      <c r="V754" s="36">
        <f>IF(B754="","",IF(D754="","",D754+U754/1440))</f>
        <v>0</v>
      </c>
      <c r="W754" s="25">
        <f>IF(B754="","",IF(D754="","",HOUR(D754)))</f>
        <v>0</v>
      </c>
      <c r="X754" s="37">
        <f>IF(B754="","",ROUND(U754/60,2))</f>
        <v>0</v>
      </c>
      <c r="Y754" s="26">
        <f>IF(B754="","",IF(L754&lt;&gt;"",L754,IFERROR(INDEX(Services!$G$5:$G$204,MATCH(G754,Services!$A$5:$A$204,0))*1,0)))</f>
        <v>0</v>
      </c>
      <c r="Z754" s="26">
        <f>IF(B754="","",IF(O754&lt;&gt;"",O754,IF(Y754&gt;=DepositThreshold,ROUND(Y754*DepositPercent,2),0)))</f>
        <v>0</v>
      </c>
      <c r="AA754" s="26">
        <f>IF(B754="","",ROUND(SUMIFS(Payments!$G$5:$G$1204,Payments!$I$5:$I$1204,A754,Payments!$E$5:$E$1204,"Deposit"),2))</f>
        <v>0</v>
      </c>
      <c r="AB754" s="26">
        <f>IF(B754="","",ROUND(SUMIFS(Sales!$Y$5:$Y$1204,Sales!$C$5:$C$1204,A754),2))</f>
        <v>0</v>
      </c>
      <c r="AC754" s="38">
        <f>IF(B754="","",IF(M754="Completed","Yes",IF(M754="Cancelled","Yes",IF(M754="No show","Yes","No"))))</f>
        <v>0</v>
      </c>
      <c r="AD754" s="25">
        <f>IF(B754="","",IF(AE754="","",B754-AE754))</f>
        <v>0</v>
      </c>
      <c r="AF754" s="38">
        <f>IF(B754="","",IF(M754&lt;&gt;"Completed","",IF(E754="","No",IF(COUNTIFS(Appointments!$E$5:$E$1204,E754,Appointments!$B$5:$B$1204,"&gt;"&amp;B754,Appointments!$M$5:$M$1204,"&lt;&gt;Cancelled")&gt;0,"Yes","No"))))</f>
        <v>0</v>
      </c>
      <c r="AG754" s="38">
        <f>IF(B754="","",IF(I754="","",IF(D754="","",IF(COUNTIFS($I$5:$I$1204,I754,$B$5:$B$1204,B754,$D$5:$D$1204,"&lt;"&amp;V754,$V$5:$V$1204,"&gt;"&amp;D754,$M$5:$M$1204,"&lt;&gt;Cancelled")&gt;1,"Clash",""))))</f>
        <v>0</v>
      </c>
      <c r="AH754" s="39">
        <f>IF(B754="","",IF(AG754="Clash","Clash - stylist double booked",IF(I754="","Assign - no stylist yet",IF(G754="","Add - no service chosen",IF(M754="No show","No show - charge the fee?",IF(M754="Cancelled","",IF(IF(M754="Completed",AB754&lt;Y754-0.004,FALSE),"Unpaid - nothing rung up for this visit",IF(IF(B754&lt;TodayDate,M754="Booked",FALSE),"Overdue - past date, still only Booked",IF(IF(B754=TodayDate,TRUE,FALSE),"Today",IF(IF(Z754&gt;0,AA754&lt;Z754-0.004,FALSE),"Due - deposit not taken",IF(IF(B754&gt;TodayDate,B754&lt;=TodayDate+2,FALSE),"Confirm - coming up","OK")))))))))))</f>
        <v>0</v>
      </c>
    </row>
    <row r="755" spans="1:34">
      <c r="A755" s="28">
        <f>IF(B755="","",AppointmentPrefix&amp;TEXT(ROW()-4,"0000"))</f>
        <v>0</v>
      </c>
      <c r="C755" s="15">
        <f>IF(B755="","",TEXT(B755,"ddd"))</f>
        <v>0</v>
      </c>
      <c r="F755" s="15">
        <f>IF(E755="","",IFERROR(INDEX(Clients!$B$5:$B$504,MATCH(E755,Clients!$A$5:$A$504,0)),"Walk-in"))</f>
        <v>0</v>
      </c>
      <c r="H755" s="15">
        <f>IF(G755="","",IFERROR(INDEX(Services!$B$5:$B$204,MATCH(G755,Services!$A$5:$A$204,0)),"Not in Services"))</f>
        <v>0</v>
      </c>
      <c r="J755" s="15">
        <f>IF(I755="","",IFERROR(INDEX(Staff!$B$5:$B$44,MATCH(I755,Staff!$A$5:$A$44,0)),"Unassigned"))</f>
        <v>0</v>
      </c>
      <c r="S755" s="15">
        <f>IF(B755="","",TEXT(B755,"yyyy-mm"))</f>
        <v>0</v>
      </c>
      <c r="T755" s="25">
        <f>IF(B755="","",WEEKNUM(B755,2))</f>
        <v>0</v>
      </c>
      <c r="U755" s="25">
        <f>IF(B755="","",IF(K755&lt;&gt;"",K755,IFERROR(INDEX(Services!$E$5:$E$204,MATCH(G755,Services!$A$5:$A$204,0))*1,0)+IFERROR(INDEX(Services!$F$5:$F$204,MATCH(G755,Services!$A$5:$A$204,0))*1,0)))</f>
        <v>0</v>
      </c>
      <c r="V755" s="36">
        <f>IF(B755="","",IF(D755="","",D755+U755/1440))</f>
        <v>0</v>
      </c>
      <c r="W755" s="25">
        <f>IF(B755="","",IF(D755="","",HOUR(D755)))</f>
        <v>0</v>
      </c>
      <c r="X755" s="37">
        <f>IF(B755="","",ROUND(U755/60,2))</f>
        <v>0</v>
      </c>
      <c r="Y755" s="26">
        <f>IF(B755="","",IF(L755&lt;&gt;"",L755,IFERROR(INDEX(Services!$G$5:$G$204,MATCH(G755,Services!$A$5:$A$204,0))*1,0)))</f>
        <v>0</v>
      </c>
      <c r="Z755" s="26">
        <f>IF(B755="","",IF(O755&lt;&gt;"",O755,IF(Y755&gt;=DepositThreshold,ROUND(Y755*DepositPercent,2),0)))</f>
        <v>0</v>
      </c>
      <c r="AA755" s="26">
        <f>IF(B755="","",ROUND(SUMIFS(Payments!$G$5:$G$1204,Payments!$I$5:$I$1204,A755,Payments!$E$5:$E$1204,"Deposit"),2))</f>
        <v>0</v>
      </c>
      <c r="AB755" s="26">
        <f>IF(B755="","",ROUND(SUMIFS(Sales!$Y$5:$Y$1204,Sales!$C$5:$C$1204,A755),2))</f>
        <v>0</v>
      </c>
      <c r="AC755" s="38">
        <f>IF(B755="","",IF(M755="Completed","Yes",IF(M755="Cancelled","Yes",IF(M755="No show","Yes","No"))))</f>
        <v>0</v>
      </c>
      <c r="AD755" s="25">
        <f>IF(B755="","",IF(AE755="","",B755-AE755))</f>
        <v>0</v>
      </c>
      <c r="AF755" s="38">
        <f>IF(B755="","",IF(M755&lt;&gt;"Completed","",IF(E755="","No",IF(COUNTIFS(Appointments!$E$5:$E$1204,E755,Appointments!$B$5:$B$1204,"&gt;"&amp;B755,Appointments!$M$5:$M$1204,"&lt;&gt;Cancelled")&gt;0,"Yes","No"))))</f>
        <v>0</v>
      </c>
      <c r="AG755" s="38">
        <f>IF(B755="","",IF(I755="","",IF(D755="","",IF(COUNTIFS($I$5:$I$1204,I755,$B$5:$B$1204,B755,$D$5:$D$1204,"&lt;"&amp;V755,$V$5:$V$1204,"&gt;"&amp;D755,$M$5:$M$1204,"&lt;&gt;Cancelled")&gt;1,"Clash",""))))</f>
        <v>0</v>
      </c>
      <c r="AH755" s="39">
        <f>IF(B755="","",IF(AG755="Clash","Clash - stylist double booked",IF(I755="","Assign - no stylist yet",IF(G755="","Add - no service chosen",IF(M755="No show","No show - charge the fee?",IF(M755="Cancelled","",IF(IF(M755="Completed",AB755&lt;Y755-0.004,FALSE),"Unpaid - nothing rung up for this visit",IF(IF(B755&lt;TodayDate,M755="Booked",FALSE),"Overdue - past date, still only Booked",IF(IF(B755=TodayDate,TRUE,FALSE),"Today",IF(IF(Z755&gt;0,AA755&lt;Z755-0.004,FALSE),"Due - deposit not taken",IF(IF(B755&gt;TodayDate,B755&lt;=TodayDate+2,FALSE),"Confirm - coming up","OK")))))))))))</f>
        <v>0</v>
      </c>
    </row>
    <row r="756" spans="1:34">
      <c r="A756" s="28">
        <f>IF(B756="","",AppointmentPrefix&amp;TEXT(ROW()-4,"0000"))</f>
        <v>0</v>
      </c>
      <c r="C756" s="15">
        <f>IF(B756="","",TEXT(B756,"ddd"))</f>
        <v>0</v>
      </c>
      <c r="F756" s="15">
        <f>IF(E756="","",IFERROR(INDEX(Clients!$B$5:$B$504,MATCH(E756,Clients!$A$5:$A$504,0)),"Walk-in"))</f>
        <v>0</v>
      </c>
      <c r="H756" s="15">
        <f>IF(G756="","",IFERROR(INDEX(Services!$B$5:$B$204,MATCH(G756,Services!$A$5:$A$204,0)),"Not in Services"))</f>
        <v>0</v>
      </c>
      <c r="J756" s="15">
        <f>IF(I756="","",IFERROR(INDEX(Staff!$B$5:$B$44,MATCH(I756,Staff!$A$5:$A$44,0)),"Unassigned"))</f>
        <v>0</v>
      </c>
      <c r="S756" s="15">
        <f>IF(B756="","",TEXT(B756,"yyyy-mm"))</f>
        <v>0</v>
      </c>
      <c r="T756" s="25">
        <f>IF(B756="","",WEEKNUM(B756,2))</f>
        <v>0</v>
      </c>
      <c r="U756" s="25">
        <f>IF(B756="","",IF(K756&lt;&gt;"",K756,IFERROR(INDEX(Services!$E$5:$E$204,MATCH(G756,Services!$A$5:$A$204,0))*1,0)+IFERROR(INDEX(Services!$F$5:$F$204,MATCH(G756,Services!$A$5:$A$204,0))*1,0)))</f>
        <v>0</v>
      </c>
      <c r="V756" s="36">
        <f>IF(B756="","",IF(D756="","",D756+U756/1440))</f>
        <v>0</v>
      </c>
      <c r="W756" s="25">
        <f>IF(B756="","",IF(D756="","",HOUR(D756)))</f>
        <v>0</v>
      </c>
      <c r="X756" s="37">
        <f>IF(B756="","",ROUND(U756/60,2))</f>
        <v>0</v>
      </c>
      <c r="Y756" s="26">
        <f>IF(B756="","",IF(L756&lt;&gt;"",L756,IFERROR(INDEX(Services!$G$5:$G$204,MATCH(G756,Services!$A$5:$A$204,0))*1,0)))</f>
        <v>0</v>
      </c>
      <c r="Z756" s="26">
        <f>IF(B756="","",IF(O756&lt;&gt;"",O756,IF(Y756&gt;=DepositThreshold,ROUND(Y756*DepositPercent,2),0)))</f>
        <v>0</v>
      </c>
      <c r="AA756" s="26">
        <f>IF(B756="","",ROUND(SUMIFS(Payments!$G$5:$G$1204,Payments!$I$5:$I$1204,A756,Payments!$E$5:$E$1204,"Deposit"),2))</f>
        <v>0</v>
      </c>
      <c r="AB756" s="26">
        <f>IF(B756="","",ROUND(SUMIFS(Sales!$Y$5:$Y$1204,Sales!$C$5:$C$1204,A756),2))</f>
        <v>0</v>
      </c>
      <c r="AC756" s="38">
        <f>IF(B756="","",IF(M756="Completed","Yes",IF(M756="Cancelled","Yes",IF(M756="No show","Yes","No"))))</f>
        <v>0</v>
      </c>
      <c r="AD756" s="25">
        <f>IF(B756="","",IF(AE756="","",B756-AE756))</f>
        <v>0</v>
      </c>
      <c r="AF756" s="38">
        <f>IF(B756="","",IF(M756&lt;&gt;"Completed","",IF(E756="","No",IF(COUNTIFS(Appointments!$E$5:$E$1204,E756,Appointments!$B$5:$B$1204,"&gt;"&amp;B756,Appointments!$M$5:$M$1204,"&lt;&gt;Cancelled")&gt;0,"Yes","No"))))</f>
        <v>0</v>
      </c>
      <c r="AG756" s="38">
        <f>IF(B756="","",IF(I756="","",IF(D756="","",IF(COUNTIFS($I$5:$I$1204,I756,$B$5:$B$1204,B756,$D$5:$D$1204,"&lt;"&amp;V756,$V$5:$V$1204,"&gt;"&amp;D756,$M$5:$M$1204,"&lt;&gt;Cancelled")&gt;1,"Clash",""))))</f>
        <v>0</v>
      </c>
      <c r="AH756" s="39">
        <f>IF(B756="","",IF(AG756="Clash","Clash - stylist double booked",IF(I756="","Assign - no stylist yet",IF(G756="","Add - no service chosen",IF(M756="No show","No show - charge the fee?",IF(M756="Cancelled","",IF(IF(M756="Completed",AB756&lt;Y756-0.004,FALSE),"Unpaid - nothing rung up for this visit",IF(IF(B756&lt;TodayDate,M756="Booked",FALSE),"Overdue - past date, still only Booked",IF(IF(B756=TodayDate,TRUE,FALSE),"Today",IF(IF(Z756&gt;0,AA756&lt;Z756-0.004,FALSE),"Due - deposit not taken",IF(IF(B756&gt;TodayDate,B756&lt;=TodayDate+2,FALSE),"Confirm - coming up","OK")))))))))))</f>
        <v>0</v>
      </c>
    </row>
    <row r="757" spans="1:34">
      <c r="A757" s="28">
        <f>IF(B757="","",AppointmentPrefix&amp;TEXT(ROW()-4,"0000"))</f>
        <v>0</v>
      </c>
      <c r="C757" s="15">
        <f>IF(B757="","",TEXT(B757,"ddd"))</f>
        <v>0</v>
      </c>
      <c r="F757" s="15">
        <f>IF(E757="","",IFERROR(INDEX(Clients!$B$5:$B$504,MATCH(E757,Clients!$A$5:$A$504,0)),"Walk-in"))</f>
        <v>0</v>
      </c>
      <c r="H757" s="15">
        <f>IF(G757="","",IFERROR(INDEX(Services!$B$5:$B$204,MATCH(G757,Services!$A$5:$A$204,0)),"Not in Services"))</f>
        <v>0</v>
      </c>
      <c r="J757" s="15">
        <f>IF(I757="","",IFERROR(INDEX(Staff!$B$5:$B$44,MATCH(I757,Staff!$A$5:$A$44,0)),"Unassigned"))</f>
        <v>0</v>
      </c>
      <c r="S757" s="15">
        <f>IF(B757="","",TEXT(B757,"yyyy-mm"))</f>
        <v>0</v>
      </c>
      <c r="T757" s="25">
        <f>IF(B757="","",WEEKNUM(B757,2))</f>
        <v>0</v>
      </c>
      <c r="U757" s="25">
        <f>IF(B757="","",IF(K757&lt;&gt;"",K757,IFERROR(INDEX(Services!$E$5:$E$204,MATCH(G757,Services!$A$5:$A$204,0))*1,0)+IFERROR(INDEX(Services!$F$5:$F$204,MATCH(G757,Services!$A$5:$A$204,0))*1,0)))</f>
        <v>0</v>
      </c>
      <c r="V757" s="36">
        <f>IF(B757="","",IF(D757="","",D757+U757/1440))</f>
        <v>0</v>
      </c>
      <c r="W757" s="25">
        <f>IF(B757="","",IF(D757="","",HOUR(D757)))</f>
        <v>0</v>
      </c>
      <c r="X757" s="37">
        <f>IF(B757="","",ROUND(U757/60,2))</f>
        <v>0</v>
      </c>
      <c r="Y757" s="26">
        <f>IF(B757="","",IF(L757&lt;&gt;"",L757,IFERROR(INDEX(Services!$G$5:$G$204,MATCH(G757,Services!$A$5:$A$204,0))*1,0)))</f>
        <v>0</v>
      </c>
      <c r="Z757" s="26">
        <f>IF(B757="","",IF(O757&lt;&gt;"",O757,IF(Y757&gt;=DepositThreshold,ROUND(Y757*DepositPercent,2),0)))</f>
        <v>0</v>
      </c>
      <c r="AA757" s="26">
        <f>IF(B757="","",ROUND(SUMIFS(Payments!$G$5:$G$1204,Payments!$I$5:$I$1204,A757,Payments!$E$5:$E$1204,"Deposit"),2))</f>
        <v>0</v>
      </c>
      <c r="AB757" s="26">
        <f>IF(B757="","",ROUND(SUMIFS(Sales!$Y$5:$Y$1204,Sales!$C$5:$C$1204,A757),2))</f>
        <v>0</v>
      </c>
      <c r="AC757" s="38">
        <f>IF(B757="","",IF(M757="Completed","Yes",IF(M757="Cancelled","Yes",IF(M757="No show","Yes","No"))))</f>
        <v>0</v>
      </c>
      <c r="AD757" s="25">
        <f>IF(B757="","",IF(AE757="","",B757-AE757))</f>
        <v>0</v>
      </c>
      <c r="AF757" s="38">
        <f>IF(B757="","",IF(M757&lt;&gt;"Completed","",IF(E757="","No",IF(COUNTIFS(Appointments!$E$5:$E$1204,E757,Appointments!$B$5:$B$1204,"&gt;"&amp;B757,Appointments!$M$5:$M$1204,"&lt;&gt;Cancelled")&gt;0,"Yes","No"))))</f>
        <v>0</v>
      </c>
      <c r="AG757" s="38">
        <f>IF(B757="","",IF(I757="","",IF(D757="","",IF(COUNTIFS($I$5:$I$1204,I757,$B$5:$B$1204,B757,$D$5:$D$1204,"&lt;"&amp;V757,$V$5:$V$1204,"&gt;"&amp;D757,$M$5:$M$1204,"&lt;&gt;Cancelled")&gt;1,"Clash",""))))</f>
        <v>0</v>
      </c>
      <c r="AH757" s="39">
        <f>IF(B757="","",IF(AG757="Clash","Clash - stylist double booked",IF(I757="","Assign - no stylist yet",IF(G757="","Add - no service chosen",IF(M757="No show","No show - charge the fee?",IF(M757="Cancelled","",IF(IF(M757="Completed",AB757&lt;Y757-0.004,FALSE),"Unpaid - nothing rung up for this visit",IF(IF(B757&lt;TodayDate,M757="Booked",FALSE),"Overdue - past date, still only Booked",IF(IF(B757=TodayDate,TRUE,FALSE),"Today",IF(IF(Z757&gt;0,AA757&lt;Z757-0.004,FALSE),"Due - deposit not taken",IF(IF(B757&gt;TodayDate,B757&lt;=TodayDate+2,FALSE),"Confirm - coming up","OK")))))))))))</f>
        <v>0</v>
      </c>
    </row>
    <row r="758" spans="1:34">
      <c r="A758" s="28">
        <f>IF(B758="","",AppointmentPrefix&amp;TEXT(ROW()-4,"0000"))</f>
        <v>0</v>
      </c>
      <c r="C758" s="15">
        <f>IF(B758="","",TEXT(B758,"ddd"))</f>
        <v>0</v>
      </c>
      <c r="F758" s="15">
        <f>IF(E758="","",IFERROR(INDEX(Clients!$B$5:$B$504,MATCH(E758,Clients!$A$5:$A$504,0)),"Walk-in"))</f>
        <v>0</v>
      </c>
      <c r="H758" s="15">
        <f>IF(G758="","",IFERROR(INDEX(Services!$B$5:$B$204,MATCH(G758,Services!$A$5:$A$204,0)),"Not in Services"))</f>
        <v>0</v>
      </c>
      <c r="J758" s="15">
        <f>IF(I758="","",IFERROR(INDEX(Staff!$B$5:$B$44,MATCH(I758,Staff!$A$5:$A$44,0)),"Unassigned"))</f>
        <v>0</v>
      </c>
      <c r="S758" s="15">
        <f>IF(B758="","",TEXT(B758,"yyyy-mm"))</f>
        <v>0</v>
      </c>
      <c r="T758" s="25">
        <f>IF(B758="","",WEEKNUM(B758,2))</f>
        <v>0</v>
      </c>
      <c r="U758" s="25">
        <f>IF(B758="","",IF(K758&lt;&gt;"",K758,IFERROR(INDEX(Services!$E$5:$E$204,MATCH(G758,Services!$A$5:$A$204,0))*1,0)+IFERROR(INDEX(Services!$F$5:$F$204,MATCH(G758,Services!$A$5:$A$204,0))*1,0)))</f>
        <v>0</v>
      </c>
      <c r="V758" s="36">
        <f>IF(B758="","",IF(D758="","",D758+U758/1440))</f>
        <v>0</v>
      </c>
      <c r="W758" s="25">
        <f>IF(B758="","",IF(D758="","",HOUR(D758)))</f>
        <v>0</v>
      </c>
      <c r="X758" s="37">
        <f>IF(B758="","",ROUND(U758/60,2))</f>
        <v>0</v>
      </c>
      <c r="Y758" s="26">
        <f>IF(B758="","",IF(L758&lt;&gt;"",L758,IFERROR(INDEX(Services!$G$5:$G$204,MATCH(G758,Services!$A$5:$A$204,0))*1,0)))</f>
        <v>0</v>
      </c>
      <c r="Z758" s="26">
        <f>IF(B758="","",IF(O758&lt;&gt;"",O758,IF(Y758&gt;=DepositThreshold,ROUND(Y758*DepositPercent,2),0)))</f>
        <v>0</v>
      </c>
      <c r="AA758" s="26">
        <f>IF(B758="","",ROUND(SUMIFS(Payments!$G$5:$G$1204,Payments!$I$5:$I$1204,A758,Payments!$E$5:$E$1204,"Deposit"),2))</f>
        <v>0</v>
      </c>
      <c r="AB758" s="26">
        <f>IF(B758="","",ROUND(SUMIFS(Sales!$Y$5:$Y$1204,Sales!$C$5:$C$1204,A758),2))</f>
        <v>0</v>
      </c>
      <c r="AC758" s="38">
        <f>IF(B758="","",IF(M758="Completed","Yes",IF(M758="Cancelled","Yes",IF(M758="No show","Yes","No"))))</f>
        <v>0</v>
      </c>
      <c r="AD758" s="25">
        <f>IF(B758="","",IF(AE758="","",B758-AE758))</f>
        <v>0</v>
      </c>
      <c r="AF758" s="38">
        <f>IF(B758="","",IF(M758&lt;&gt;"Completed","",IF(E758="","No",IF(COUNTIFS(Appointments!$E$5:$E$1204,E758,Appointments!$B$5:$B$1204,"&gt;"&amp;B758,Appointments!$M$5:$M$1204,"&lt;&gt;Cancelled")&gt;0,"Yes","No"))))</f>
        <v>0</v>
      </c>
      <c r="AG758" s="38">
        <f>IF(B758="","",IF(I758="","",IF(D758="","",IF(COUNTIFS($I$5:$I$1204,I758,$B$5:$B$1204,B758,$D$5:$D$1204,"&lt;"&amp;V758,$V$5:$V$1204,"&gt;"&amp;D758,$M$5:$M$1204,"&lt;&gt;Cancelled")&gt;1,"Clash",""))))</f>
        <v>0</v>
      </c>
      <c r="AH758" s="39">
        <f>IF(B758="","",IF(AG758="Clash","Clash - stylist double booked",IF(I758="","Assign - no stylist yet",IF(G758="","Add - no service chosen",IF(M758="No show","No show - charge the fee?",IF(M758="Cancelled","",IF(IF(M758="Completed",AB758&lt;Y758-0.004,FALSE),"Unpaid - nothing rung up for this visit",IF(IF(B758&lt;TodayDate,M758="Booked",FALSE),"Overdue - past date, still only Booked",IF(IF(B758=TodayDate,TRUE,FALSE),"Today",IF(IF(Z758&gt;0,AA758&lt;Z758-0.004,FALSE),"Due - deposit not taken",IF(IF(B758&gt;TodayDate,B758&lt;=TodayDate+2,FALSE),"Confirm - coming up","OK")))))))))))</f>
        <v>0</v>
      </c>
    </row>
    <row r="759" spans="1:34">
      <c r="A759" s="28">
        <f>IF(B759="","",AppointmentPrefix&amp;TEXT(ROW()-4,"0000"))</f>
        <v>0</v>
      </c>
      <c r="C759" s="15">
        <f>IF(B759="","",TEXT(B759,"ddd"))</f>
        <v>0</v>
      </c>
      <c r="F759" s="15">
        <f>IF(E759="","",IFERROR(INDEX(Clients!$B$5:$B$504,MATCH(E759,Clients!$A$5:$A$504,0)),"Walk-in"))</f>
        <v>0</v>
      </c>
      <c r="H759" s="15">
        <f>IF(G759="","",IFERROR(INDEX(Services!$B$5:$B$204,MATCH(G759,Services!$A$5:$A$204,0)),"Not in Services"))</f>
        <v>0</v>
      </c>
      <c r="J759" s="15">
        <f>IF(I759="","",IFERROR(INDEX(Staff!$B$5:$B$44,MATCH(I759,Staff!$A$5:$A$44,0)),"Unassigned"))</f>
        <v>0</v>
      </c>
      <c r="S759" s="15">
        <f>IF(B759="","",TEXT(B759,"yyyy-mm"))</f>
        <v>0</v>
      </c>
      <c r="T759" s="25">
        <f>IF(B759="","",WEEKNUM(B759,2))</f>
        <v>0</v>
      </c>
      <c r="U759" s="25">
        <f>IF(B759="","",IF(K759&lt;&gt;"",K759,IFERROR(INDEX(Services!$E$5:$E$204,MATCH(G759,Services!$A$5:$A$204,0))*1,0)+IFERROR(INDEX(Services!$F$5:$F$204,MATCH(G759,Services!$A$5:$A$204,0))*1,0)))</f>
        <v>0</v>
      </c>
      <c r="V759" s="36">
        <f>IF(B759="","",IF(D759="","",D759+U759/1440))</f>
        <v>0</v>
      </c>
      <c r="W759" s="25">
        <f>IF(B759="","",IF(D759="","",HOUR(D759)))</f>
        <v>0</v>
      </c>
      <c r="X759" s="37">
        <f>IF(B759="","",ROUND(U759/60,2))</f>
        <v>0</v>
      </c>
      <c r="Y759" s="26">
        <f>IF(B759="","",IF(L759&lt;&gt;"",L759,IFERROR(INDEX(Services!$G$5:$G$204,MATCH(G759,Services!$A$5:$A$204,0))*1,0)))</f>
        <v>0</v>
      </c>
      <c r="Z759" s="26">
        <f>IF(B759="","",IF(O759&lt;&gt;"",O759,IF(Y759&gt;=DepositThreshold,ROUND(Y759*DepositPercent,2),0)))</f>
        <v>0</v>
      </c>
      <c r="AA759" s="26">
        <f>IF(B759="","",ROUND(SUMIFS(Payments!$G$5:$G$1204,Payments!$I$5:$I$1204,A759,Payments!$E$5:$E$1204,"Deposit"),2))</f>
        <v>0</v>
      </c>
      <c r="AB759" s="26">
        <f>IF(B759="","",ROUND(SUMIFS(Sales!$Y$5:$Y$1204,Sales!$C$5:$C$1204,A759),2))</f>
        <v>0</v>
      </c>
      <c r="AC759" s="38">
        <f>IF(B759="","",IF(M759="Completed","Yes",IF(M759="Cancelled","Yes",IF(M759="No show","Yes","No"))))</f>
        <v>0</v>
      </c>
      <c r="AD759" s="25">
        <f>IF(B759="","",IF(AE759="","",B759-AE759))</f>
        <v>0</v>
      </c>
      <c r="AF759" s="38">
        <f>IF(B759="","",IF(M759&lt;&gt;"Completed","",IF(E759="","No",IF(COUNTIFS(Appointments!$E$5:$E$1204,E759,Appointments!$B$5:$B$1204,"&gt;"&amp;B759,Appointments!$M$5:$M$1204,"&lt;&gt;Cancelled")&gt;0,"Yes","No"))))</f>
        <v>0</v>
      </c>
      <c r="AG759" s="38">
        <f>IF(B759="","",IF(I759="","",IF(D759="","",IF(COUNTIFS($I$5:$I$1204,I759,$B$5:$B$1204,B759,$D$5:$D$1204,"&lt;"&amp;V759,$V$5:$V$1204,"&gt;"&amp;D759,$M$5:$M$1204,"&lt;&gt;Cancelled")&gt;1,"Clash",""))))</f>
        <v>0</v>
      </c>
      <c r="AH759" s="39">
        <f>IF(B759="","",IF(AG759="Clash","Clash - stylist double booked",IF(I759="","Assign - no stylist yet",IF(G759="","Add - no service chosen",IF(M759="No show","No show - charge the fee?",IF(M759="Cancelled","",IF(IF(M759="Completed",AB759&lt;Y759-0.004,FALSE),"Unpaid - nothing rung up for this visit",IF(IF(B759&lt;TodayDate,M759="Booked",FALSE),"Overdue - past date, still only Booked",IF(IF(B759=TodayDate,TRUE,FALSE),"Today",IF(IF(Z759&gt;0,AA759&lt;Z759-0.004,FALSE),"Due - deposit not taken",IF(IF(B759&gt;TodayDate,B759&lt;=TodayDate+2,FALSE),"Confirm - coming up","OK")))))))))))</f>
        <v>0</v>
      </c>
    </row>
    <row r="760" spans="1:34">
      <c r="A760" s="28">
        <f>IF(B760="","",AppointmentPrefix&amp;TEXT(ROW()-4,"0000"))</f>
        <v>0</v>
      </c>
      <c r="C760" s="15">
        <f>IF(B760="","",TEXT(B760,"ddd"))</f>
        <v>0</v>
      </c>
      <c r="F760" s="15">
        <f>IF(E760="","",IFERROR(INDEX(Clients!$B$5:$B$504,MATCH(E760,Clients!$A$5:$A$504,0)),"Walk-in"))</f>
        <v>0</v>
      </c>
      <c r="H760" s="15">
        <f>IF(G760="","",IFERROR(INDEX(Services!$B$5:$B$204,MATCH(G760,Services!$A$5:$A$204,0)),"Not in Services"))</f>
        <v>0</v>
      </c>
      <c r="J760" s="15">
        <f>IF(I760="","",IFERROR(INDEX(Staff!$B$5:$B$44,MATCH(I760,Staff!$A$5:$A$44,0)),"Unassigned"))</f>
        <v>0</v>
      </c>
      <c r="S760" s="15">
        <f>IF(B760="","",TEXT(B760,"yyyy-mm"))</f>
        <v>0</v>
      </c>
      <c r="T760" s="25">
        <f>IF(B760="","",WEEKNUM(B760,2))</f>
        <v>0</v>
      </c>
      <c r="U760" s="25">
        <f>IF(B760="","",IF(K760&lt;&gt;"",K760,IFERROR(INDEX(Services!$E$5:$E$204,MATCH(G760,Services!$A$5:$A$204,0))*1,0)+IFERROR(INDEX(Services!$F$5:$F$204,MATCH(G760,Services!$A$5:$A$204,0))*1,0)))</f>
        <v>0</v>
      </c>
      <c r="V760" s="36">
        <f>IF(B760="","",IF(D760="","",D760+U760/1440))</f>
        <v>0</v>
      </c>
      <c r="W760" s="25">
        <f>IF(B760="","",IF(D760="","",HOUR(D760)))</f>
        <v>0</v>
      </c>
      <c r="X760" s="37">
        <f>IF(B760="","",ROUND(U760/60,2))</f>
        <v>0</v>
      </c>
      <c r="Y760" s="26">
        <f>IF(B760="","",IF(L760&lt;&gt;"",L760,IFERROR(INDEX(Services!$G$5:$G$204,MATCH(G760,Services!$A$5:$A$204,0))*1,0)))</f>
        <v>0</v>
      </c>
      <c r="Z760" s="26">
        <f>IF(B760="","",IF(O760&lt;&gt;"",O760,IF(Y760&gt;=DepositThreshold,ROUND(Y760*DepositPercent,2),0)))</f>
        <v>0</v>
      </c>
      <c r="AA760" s="26">
        <f>IF(B760="","",ROUND(SUMIFS(Payments!$G$5:$G$1204,Payments!$I$5:$I$1204,A760,Payments!$E$5:$E$1204,"Deposit"),2))</f>
        <v>0</v>
      </c>
      <c r="AB760" s="26">
        <f>IF(B760="","",ROUND(SUMIFS(Sales!$Y$5:$Y$1204,Sales!$C$5:$C$1204,A760),2))</f>
        <v>0</v>
      </c>
      <c r="AC760" s="38">
        <f>IF(B760="","",IF(M760="Completed","Yes",IF(M760="Cancelled","Yes",IF(M760="No show","Yes","No"))))</f>
        <v>0</v>
      </c>
      <c r="AD760" s="25">
        <f>IF(B760="","",IF(AE760="","",B760-AE760))</f>
        <v>0</v>
      </c>
      <c r="AF760" s="38">
        <f>IF(B760="","",IF(M760&lt;&gt;"Completed","",IF(E760="","No",IF(COUNTIFS(Appointments!$E$5:$E$1204,E760,Appointments!$B$5:$B$1204,"&gt;"&amp;B760,Appointments!$M$5:$M$1204,"&lt;&gt;Cancelled")&gt;0,"Yes","No"))))</f>
        <v>0</v>
      </c>
      <c r="AG760" s="38">
        <f>IF(B760="","",IF(I760="","",IF(D760="","",IF(COUNTIFS($I$5:$I$1204,I760,$B$5:$B$1204,B760,$D$5:$D$1204,"&lt;"&amp;V760,$V$5:$V$1204,"&gt;"&amp;D760,$M$5:$M$1204,"&lt;&gt;Cancelled")&gt;1,"Clash",""))))</f>
        <v>0</v>
      </c>
      <c r="AH760" s="39">
        <f>IF(B760="","",IF(AG760="Clash","Clash - stylist double booked",IF(I760="","Assign - no stylist yet",IF(G760="","Add - no service chosen",IF(M760="No show","No show - charge the fee?",IF(M760="Cancelled","",IF(IF(M760="Completed",AB760&lt;Y760-0.004,FALSE),"Unpaid - nothing rung up for this visit",IF(IF(B760&lt;TodayDate,M760="Booked",FALSE),"Overdue - past date, still only Booked",IF(IF(B760=TodayDate,TRUE,FALSE),"Today",IF(IF(Z760&gt;0,AA760&lt;Z760-0.004,FALSE),"Due - deposit not taken",IF(IF(B760&gt;TodayDate,B760&lt;=TodayDate+2,FALSE),"Confirm - coming up","OK")))))))))))</f>
        <v>0</v>
      </c>
    </row>
    <row r="761" spans="1:34">
      <c r="A761" s="28">
        <f>IF(B761="","",AppointmentPrefix&amp;TEXT(ROW()-4,"0000"))</f>
        <v>0</v>
      </c>
      <c r="C761" s="15">
        <f>IF(B761="","",TEXT(B761,"ddd"))</f>
        <v>0</v>
      </c>
      <c r="F761" s="15">
        <f>IF(E761="","",IFERROR(INDEX(Clients!$B$5:$B$504,MATCH(E761,Clients!$A$5:$A$504,0)),"Walk-in"))</f>
        <v>0</v>
      </c>
      <c r="H761" s="15">
        <f>IF(G761="","",IFERROR(INDEX(Services!$B$5:$B$204,MATCH(G761,Services!$A$5:$A$204,0)),"Not in Services"))</f>
        <v>0</v>
      </c>
      <c r="J761" s="15">
        <f>IF(I761="","",IFERROR(INDEX(Staff!$B$5:$B$44,MATCH(I761,Staff!$A$5:$A$44,0)),"Unassigned"))</f>
        <v>0</v>
      </c>
      <c r="S761" s="15">
        <f>IF(B761="","",TEXT(B761,"yyyy-mm"))</f>
        <v>0</v>
      </c>
      <c r="T761" s="25">
        <f>IF(B761="","",WEEKNUM(B761,2))</f>
        <v>0</v>
      </c>
      <c r="U761" s="25">
        <f>IF(B761="","",IF(K761&lt;&gt;"",K761,IFERROR(INDEX(Services!$E$5:$E$204,MATCH(G761,Services!$A$5:$A$204,0))*1,0)+IFERROR(INDEX(Services!$F$5:$F$204,MATCH(G761,Services!$A$5:$A$204,0))*1,0)))</f>
        <v>0</v>
      </c>
      <c r="V761" s="36">
        <f>IF(B761="","",IF(D761="","",D761+U761/1440))</f>
        <v>0</v>
      </c>
      <c r="W761" s="25">
        <f>IF(B761="","",IF(D761="","",HOUR(D761)))</f>
        <v>0</v>
      </c>
      <c r="X761" s="37">
        <f>IF(B761="","",ROUND(U761/60,2))</f>
        <v>0</v>
      </c>
      <c r="Y761" s="26">
        <f>IF(B761="","",IF(L761&lt;&gt;"",L761,IFERROR(INDEX(Services!$G$5:$G$204,MATCH(G761,Services!$A$5:$A$204,0))*1,0)))</f>
        <v>0</v>
      </c>
      <c r="Z761" s="26">
        <f>IF(B761="","",IF(O761&lt;&gt;"",O761,IF(Y761&gt;=DepositThreshold,ROUND(Y761*DepositPercent,2),0)))</f>
        <v>0</v>
      </c>
      <c r="AA761" s="26">
        <f>IF(B761="","",ROUND(SUMIFS(Payments!$G$5:$G$1204,Payments!$I$5:$I$1204,A761,Payments!$E$5:$E$1204,"Deposit"),2))</f>
        <v>0</v>
      </c>
      <c r="AB761" s="26">
        <f>IF(B761="","",ROUND(SUMIFS(Sales!$Y$5:$Y$1204,Sales!$C$5:$C$1204,A761),2))</f>
        <v>0</v>
      </c>
      <c r="AC761" s="38">
        <f>IF(B761="","",IF(M761="Completed","Yes",IF(M761="Cancelled","Yes",IF(M761="No show","Yes","No"))))</f>
        <v>0</v>
      </c>
      <c r="AD761" s="25">
        <f>IF(B761="","",IF(AE761="","",B761-AE761))</f>
        <v>0</v>
      </c>
      <c r="AF761" s="38">
        <f>IF(B761="","",IF(M761&lt;&gt;"Completed","",IF(E761="","No",IF(COUNTIFS(Appointments!$E$5:$E$1204,E761,Appointments!$B$5:$B$1204,"&gt;"&amp;B761,Appointments!$M$5:$M$1204,"&lt;&gt;Cancelled")&gt;0,"Yes","No"))))</f>
        <v>0</v>
      </c>
      <c r="AG761" s="38">
        <f>IF(B761="","",IF(I761="","",IF(D761="","",IF(COUNTIFS($I$5:$I$1204,I761,$B$5:$B$1204,B761,$D$5:$D$1204,"&lt;"&amp;V761,$V$5:$V$1204,"&gt;"&amp;D761,$M$5:$M$1204,"&lt;&gt;Cancelled")&gt;1,"Clash",""))))</f>
        <v>0</v>
      </c>
      <c r="AH761" s="39">
        <f>IF(B761="","",IF(AG761="Clash","Clash - stylist double booked",IF(I761="","Assign - no stylist yet",IF(G761="","Add - no service chosen",IF(M761="No show","No show - charge the fee?",IF(M761="Cancelled","",IF(IF(M761="Completed",AB761&lt;Y761-0.004,FALSE),"Unpaid - nothing rung up for this visit",IF(IF(B761&lt;TodayDate,M761="Booked",FALSE),"Overdue - past date, still only Booked",IF(IF(B761=TodayDate,TRUE,FALSE),"Today",IF(IF(Z761&gt;0,AA761&lt;Z761-0.004,FALSE),"Due - deposit not taken",IF(IF(B761&gt;TodayDate,B761&lt;=TodayDate+2,FALSE),"Confirm - coming up","OK")))))))))))</f>
        <v>0</v>
      </c>
    </row>
    <row r="762" spans="1:34">
      <c r="A762" s="28">
        <f>IF(B762="","",AppointmentPrefix&amp;TEXT(ROW()-4,"0000"))</f>
        <v>0</v>
      </c>
      <c r="C762" s="15">
        <f>IF(B762="","",TEXT(B762,"ddd"))</f>
        <v>0</v>
      </c>
      <c r="F762" s="15">
        <f>IF(E762="","",IFERROR(INDEX(Clients!$B$5:$B$504,MATCH(E762,Clients!$A$5:$A$504,0)),"Walk-in"))</f>
        <v>0</v>
      </c>
      <c r="H762" s="15">
        <f>IF(G762="","",IFERROR(INDEX(Services!$B$5:$B$204,MATCH(G762,Services!$A$5:$A$204,0)),"Not in Services"))</f>
        <v>0</v>
      </c>
      <c r="J762" s="15">
        <f>IF(I762="","",IFERROR(INDEX(Staff!$B$5:$B$44,MATCH(I762,Staff!$A$5:$A$44,0)),"Unassigned"))</f>
        <v>0</v>
      </c>
      <c r="S762" s="15">
        <f>IF(B762="","",TEXT(B762,"yyyy-mm"))</f>
        <v>0</v>
      </c>
      <c r="T762" s="25">
        <f>IF(B762="","",WEEKNUM(B762,2))</f>
        <v>0</v>
      </c>
      <c r="U762" s="25">
        <f>IF(B762="","",IF(K762&lt;&gt;"",K762,IFERROR(INDEX(Services!$E$5:$E$204,MATCH(G762,Services!$A$5:$A$204,0))*1,0)+IFERROR(INDEX(Services!$F$5:$F$204,MATCH(G762,Services!$A$5:$A$204,0))*1,0)))</f>
        <v>0</v>
      </c>
      <c r="V762" s="36">
        <f>IF(B762="","",IF(D762="","",D762+U762/1440))</f>
        <v>0</v>
      </c>
      <c r="W762" s="25">
        <f>IF(B762="","",IF(D762="","",HOUR(D762)))</f>
        <v>0</v>
      </c>
      <c r="X762" s="37">
        <f>IF(B762="","",ROUND(U762/60,2))</f>
        <v>0</v>
      </c>
      <c r="Y762" s="26">
        <f>IF(B762="","",IF(L762&lt;&gt;"",L762,IFERROR(INDEX(Services!$G$5:$G$204,MATCH(G762,Services!$A$5:$A$204,0))*1,0)))</f>
        <v>0</v>
      </c>
      <c r="Z762" s="26">
        <f>IF(B762="","",IF(O762&lt;&gt;"",O762,IF(Y762&gt;=DepositThreshold,ROUND(Y762*DepositPercent,2),0)))</f>
        <v>0</v>
      </c>
      <c r="AA762" s="26">
        <f>IF(B762="","",ROUND(SUMIFS(Payments!$G$5:$G$1204,Payments!$I$5:$I$1204,A762,Payments!$E$5:$E$1204,"Deposit"),2))</f>
        <v>0</v>
      </c>
      <c r="AB762" s="26">
        <f>IF(B762="","",ROUND(SUMIFS(Sales!$Y$5:$Y$1204,Sales!$C$5:$C$1204,A762),2))</f>
        <v>0</v>
      </c>
      <c r="AC762" s="38">
        <f>IF(B762="","",IF(M762="Completed","Yes",IF(M762="Cancelled","Yes",IF(M762="No show","Yes","No"))))</f>
        <v>0</v>
      </c>
      <c r="AD762" s="25">
        <f>IF(B762="","",IF(AE762="","",B762-AE762))</f>
        <v>0</v>
      </c>
      <c r="AF762" s="38">
        <f>IF(B762="","",IF(M762&lt;&gt;"Completed","",IF(E762="","No",IF(COUNTIFS(Appointments!$E$5:$E$1204,E762,Appointments!$B$5:$B$1204,"&gt;"&amp;B762,Appointments!$M$5:$M$1204,"&lt;&gt;Cancelled")&gt;0,"Yes","No"))))</f>
        <v>0</v>
      </c>
      <c r="AG762" s="38">
        <f>IF(B762="","",IF(I762="","",IF(D762="","",IF(COUNTIFS($I$5:$I$1204,I762,$B$5:$B$1204,B762,$D$5:$D$1204,"&lt;"&amp;V762,$V$5:$V$1204,"&gt;"&amp;D762,$M$5:$M$1204,"&lt;&gt;Cancelled")&gt;1,"Clash",""))))</f>
        <v>0</v>
      </c>
      <c r="AH762" s="39">
        <f>IF(B762="","",IF(AG762="Clash","Clash - stylist double booked",IF(I762="","Assign - no stylist yet",IF(G762="","Add - no service chosen",IF(M762="No show","No show - charge the fee?",IF(M762="Cancelled","",IF(IF(M762="Completed",AB762&lt;Y762-0.004,FALSE),"Unpaid - nothing rung up for this visit",IF(IF(B762&lt;TodayDate,M762="Booked",FALSE),"Overdue - past date, still only Booked",IF(IF(B762=TodayDate,TRUE,FALSE),"Today",IF(IF(Z762&gt;0,AA762&lt;Z762-0.004,FALSE),"Due - deposit not taken",IF(IF(B762&gt;TodayDate,B762&lt;=TodayDate+2,FALSE),"Confirm - coming up","OK")))))))))))</f>
        <v>0</v>
      </c>
    </row>
    <row r="763" spans="1:34">
      <c r="A763" s="28">
        <f>IF(B763="","",AppointmentPrefix&amp;TEXT(ROW()-4,"0000"))</f>
        <v>0</v>
      </c>
      <c r="C763" s="15">
        <f>IF(B763="","",TEXT(B763,"ddd"))</f>
        <v>0</v>
      </c>
      <c r="F763" s="15">
        <f>IF(E763="","",IFERROR(INDEX(Clients!$B$5:$B$504,MATCH(E763,Clients!$A$5:$A$504,0)),"Walk-in"))</f>
        <v>0</v>
      </c>
      <c r="H763" s="15">
        <f>IF(G763="","",IFERROR(INDEX(Services!$B$5:$B$204,MATCH(G763,Services!$A$5:$A$204,0)),"Not in Services"))</f>
        <v>0</v>
      </c>
      <c r="J763" s="15">
        <f>IF(I763="","",IFERROR(INDEX(Staff!$B$5:$B$44,MATCH(I763,Staff!$A$5:$A$44,0)),"Unassigned"))</f>
        <v>0</v>
      </c>
      <c r="S763" s="15">
        <f>IF(B763="","",TEXT(B763,"yyyy-mm"))</f>
        <v>0</v>
      </c>
      <c r="T763" s="25">
        <f>IF(B763="","",WEEKNUM(B763,2))</f>
        <v>0</v>
      </c>
      <c r="U763" s="25">
        <f>IF(B763="","",IF(K763&lt;&gt;"",K763,IFERROR(INDEX(Services!$E$5:$E$204,MATCH(G763,Services!$A$5:$A$204,0))*1,0)+IFERROR(INDEX(Services!$F$5:$F$204,MATCH(G763,Services!$A$5:$A$204,0))*1,0)))</f>
        <v>0</v>
      </c>
      <c r="V763" s="36">
        <f>IF(B763="","",IF(D763="","",D763+U763/1440))</f>
        <v>0</v>
      </c>
      <c r="W763" s="25">
        <f>IF(B763="","",IF(D763="","",HOUR(D763)))</f>
        <v>0</v>
      </c>
      <c r="X763" s="37">
        <f>IF(B763="","",ROUND(U763/60,2))</f>
        <v>0</v>
      </c>
      <c r="Y763" s="26">
        <f>IF(B763="","",IF(L763&lt;&gt;"",L763,IFERROR(INDEX(Services!$G$5:$G$204,MATCH(G763,Services!$A$5:$A$204,0))*1,0)))</f>
        <v>0</v>
      </c>
      <c r="Z763" s="26">
        <f>IF(B763="","",IF(O763&lt;&gt;"",O763,IF(Y763&gt;=DepositThreshold,ROUND(Y763*DepositPercent,2),0)))</f>
        <v>0</v>
      </c>
      <c r="AA763" s="26">
        <f>IF(B763="","",ROUND(SUMIFS(Payments!$G$5:$G$1204,Payments!$I$5:$I$1204,A763,Payments!$E$5:$E$1204,"Deposit"),2))</f>
        <v>0</v>
      </c>
      <c r="AB763" s="26">
        <f>IF(B763="","",ROUND(SUMIFS(Sales!$Y$5:$Y$1204,Sales!$C$5:$C$1204,A763),2))</f>
        <v>0</v>
      </c>
      <c r="AC763" s="38">
        <f>IF(B763="","",IF(M763="Completed","Yes",IF(M763="Cancelled","Yes",IF(M763="No show","Yes","No"))))</f>
        <v>0</v>
      </c>
      <c r="AD763" s="25">
        <f>IF(B763="","",IF(AE763="","",B763-AE763))</f>
        <v>0</v>
      </c>
      <c r="AF763" s="38">
        <f>IF(B763="","",IF(M763&lt;&gt;"Completed","",IF(E763="","No",IF(COUNTIFS(Appointments!$E$5:$E$1204,E763,Appointments!$B$5:$B$1204,"&gt;"&amp;B763,Appointments!$M$5:$M$1204,"&lt;&gt;Cancelled")&gt;0,"Yes","No"))))</f>
        <v>0</v>
      </c>
      <c r="AG763" s="38">
        <f>IF(B763="","",IF(I763="","",IF(D763="","",IF(COUNTIFS($I$5:$I$1204,I763,$B$5:$B$1204,B763,$D$5:$D$1204,"&lt;"&amp;V763,$V$5:$V$1204,"&gt;"&amp;D763,$M$5:$M$1204,"&lt;&gt;Cancelled")&gt;1,"Clash",""))))</f>
        <v>0</v>
      </c>
      <c r="AH763" s="39">
        <f>IF(B763="","",IF(AG763="Clash","Clash - stylist double booked",IF(I763="","Assign - no stylist yet",IF(G763="","Add - no service chosen",IF(M763="No show","No show - charge the fee?",IF(M763="Cancelled","",IF(IF(M763="Completed",AB763&lt;Y763-0.004,FALSE),"Unpaid - nothing rung up for this visit",IF(IF(B763&lt;TodayDate,M763="Booked",FALSE),"Overdue - past date, still only Booked",IF(IF(B763=TodayDate,TRUE,FALSE),"Today",IF(IF(Z763&gt;0,AA763&lt;Z763-0.004,FALSE),"Due - deposit not taken",IF(IF(B763&gt;TodayDate,B763&lt;=TodayDate+2,FALSE),"Confirm - coming up","OK")))))))))))</f>
        <v>0</v>
      </c>
    </row>
    <row r="764" spans="1:34">
      <c r="A764" s="28">
        <f>IF(B764="","",AppointmentPrefix&amp;TEXT(ROW()-4,"0000"))</f>
        <v>0</v>
      </c>
      <c r="C764" s="15">
        <f>IF(B764="","",TEXT(B764,"ddd"))</f>
        <v>0</v>
      </c>
      <c r="F764" s="15">
        <f>IF(E764="","",IFERROR(INDEX(Clients!$B$5:$B$504,MATCH(E764,Clients!$A$5:$A$504,0)),"Walk-in"))</f>
        <v>0</v>
      </c>
      <c r="H764" s="15">
        <f>IF(G764="","",IFERROR(INDEX(Services!$B$5:$B$204,MATCH(G764,Services!$A$5:$A$204,0)),"Not in Services"))</f>
        <v>0</v>
      </c>
      <c r="J764" s="15">
        <f>IF(I764="","",IFERROR(INDEX(Staff!$B$5:$B$44,MATCH(I764,Staff!$A$5:$A$44,0)),"Unassigned"))</f>
        <v>0</v>
      </c>
      <c r="S764" s="15">
        <f>IF(B764="","",TEXT(B764,"yyyy-mm"))</f>
        <v>0</v>
      </c>
      <c r="T764" s="25">
        <f>IF(B764="","",WEEKNUM(B764,2))</f>
        <v>0</v>
      </c>
      <c r="U764" s="25">
        <f>IF(B764="","",IF(K764&lt;&gt;"",K764,IFERROR(INDEX(Services!$E$5:$E$204,MATCH(G764,Services!$A$5:$A$204,0))*1,0)+IFERROR(INDEX(Services!$F$5:$F$204,MATCH(G764,Services!$A$5:$A$204,0))*1,0)))</f>
        <v>0</v>
      </c>
      <c r="V764" s="36">
        <f>IF(B764="","",IF(D764="","",D764+U764/1440))</f>
        <v>0</v>
      </c>
      <c r="W764" s="25">
        <f>IF(B764="","",IF(D764="","",HOUR(D764)))</f>
        <v>0</v>
      </c>
      <c r="X764" s="37">
        <f>IF(B764="","",ROUND(U764/60,2))</f>
        <v>0</v>
      </c>
      <c r="Y764" s="26">
        <f>IF(B764="","",IF(L764&lt;&gt;"",L764,IFERROR(INDEX(Services!$G$5:$G$204,MATCH(G764,Services!$A$5:$A$204,0))*1,0)))</f>
        <v>0</v>
      </c>
      <c r="Z764" s="26">
        <f>IF(B764="","",IF(O764&lt;&gt;"",O764,IF(Y764&gt;=DepositThreshold,ROUND(Y764*DepositPercent,2),0)))</f>
        <v>0</v>
      </c>
      <c r="AA764" s="26">
        <f>IF(B764="","",ROUND(SUMIFS(Payments!$G$5:$G$1204,Payments!$I$5:$I$1204,A764,Payments!$E$5:$E$1204,"Deposit"),2))</f>
        <v>0</v>
      </c>
      <c r="AB764" s="26">
        <f>IF(B764="","",ROUND(SUMIFS(Sales!$Y$5:$Y$1204,Sales!$C$5:$C$1204,A764),2))</f>
        <v>0</v>
      </c>
      <c r="AC764" s="38">
        <f>IF(B764="","",IF(M764="Completed","Yes",IF(M764="Cancelled","Yes",IF(M764="No show","Yes","No"))))</f>
        <v>0</v>
      </c>
      <c r="AD764" s="25">
        <f>IF(B764="","",IF(AE764="","",B764-AE764))</f>
        <v>0</v>
      </c>
      <c r="AF764" s="38">
        <f>IF(B764="","",IF(M764&lt;&gt;"Completed","",IF(E764="","No",IF(COUNTIFS(Appointments!$E$5:$E$1204,E764,Appointments!$B$5:$B$1204,"&gt;"&amp;B764,Appointments!$M$5:$M$1204,"&lt;&gt;Cancelled")&gt;0,"Yes","No"))))</f>
        <v>0</v>
      </c>
      <c r="AG764" s="38">
        <f>IF(B764="","",IF(I764="","",IF(D764="","",IF(COUNTIFS($I$5:$I$1204,I764,$B$5:$B$1204,B764,$D$5:$D$1204,"&lt;"&amp;V764,$V$5:$V$1204,"&gt;"&amp;D764,$M$5:$M$1204,"&lt;&gt;Cancelled")&gt;1,"Clash",""))))</f>
        <v>0</v>
      </c>
      <c r="AH764" s="39">
        <f>IF(B764="","",IF(AG764="Clash","Clash - stylist double booked",IF(I764="","Assign - no stylist yet",IF(G764="","Add - no service chosen",IF(M764="No show","No show - charge the fee?",IF(M764="Cancelled","",IF(IF(M764="Completed",AB764&lt;Y764-0.004,FALSE),"Unpaid - nothing rung up for this visit",IF(IF(B764&lt;TodayDate,M764="Booked",FALSE),"Overdue - past date, still only Booked",IF(IF(B764=TodayDate,TRUE,FALSE),"Today",IF(IF(Z764&gt;0,AA764&lt;Z764-0.004,FALSE),"Due - deposit not taken",IF(IF(B764&gt;TodayDate,B764&lt;=TodayDate+2,FALSE),"Confirm - coming up","OK")))))))))))</f>
        <v>0</v>
      </c>
    </row>
    <row r="765" spans="1:34">
      <c r="A765" s="28">
        <f>IF(B765="","",AppointmentPrefix&amp;TEXT(ROW()-4,"0000"))</f>
        <v>0</v>
      </c>
      <c r="C765" s="15">
        <f>IF(B765="","",TEXT(B765,"ddd"))</f>
        <v>0</v>
      </c>
      <c r="F765" s="15">
        <f>IF(E765="","",IFERROR(INDEX(Clients!$B$5:$B$504,MATCH(E765,Clients!$A$5:$A$504,0)),"Walk-in"))</f>
        <v>0</v>
      </c>
      <c r="H765" s="15">
        <f>IF(G765="","",IFERROR(INDEX(Services!$B$5:$B$204,MATCH(G765,Services!$A$5:$A$204,0)),"Not in Services"))</f>
        <v>0</v>
      </c>
      <c r="J765" s="15">
        <f>IF(I765="","",IFERROR(INDEX(Staff!$B$5:$B$44,MATCH(I765,Staff!$A$5:$A$44,0)),"Unassigned"))</f>
        <v>0</v>
      </c>
      <c r="S765" s="15">
        <f>IF(B765="","",TEXT(B765,"yyyy-mm"))</f>
        <v>0</v>
      </c>
      <c r="T765" s="25">
        <f>IF(B765="","",WEEKNUM(B765,2))</f>
        <v>0</v>
      </c>
      <c r="U765" s="25">
        <f>IF(B765="","",IF(K765&lt;&gt;"",K765,IFERROR(INDEX(Services!$E$5:$E$204,MATCH(G765,Services!$A$5:$A$204,0))*1,0)+IFERROR(INDEX(Services!$F$5:$F$204,MATCH(G765,Services!$A$5:$A$204,0))*1,0)))</f>
        <v>0</v>
      </c>
      <c r="V765" s="36">
        <f>IF(B765="","",IF(D765="","",D765+U765/1440))</f>
        <v>0</v>
      </c>
      <c r="W765" s="25">
        <f>IF(B765="","",IF(D765="","",HOUR(D765)))</f>
        <v>0</v>
      </c>
      <c r="X765" s="37">
        <f>IF(B765="","",ROUND(U765/60,2))</f>
        <v>0</v>
      </c>
      <c r="Y765" s="26">
        <f>IF(B765="","",IF(L765&lt;&gt;"",L765,IFERROR(INDEX(Services!$G$5:$G$204,MATCH(G765,Services!$A$5:$A$204,0))*1,0)))</f>
        <v>0</v>
      </c>
      <c r="Z765" s="26">
        <f>IF(B765="","",IF(O765&lt;&gt;"",O765,IF(Y765&gt;=DepositThreshold,ROUND(Y765*DepositPercent,2),0)))</f>
        <v>0</v>
      </c>
      <c r="AA765" s="26">
        <f>IF(B765="","",ROUND(SUMIFS(Payments!$G$5:$G$1204,Payments!$I$5:$I$1204,A765,Payments!$E$5:$E$1204,"Deposit"),2))</f>
        <v>0</v>
      </c>
      <c r="AB765" s="26">
        <f>IF(B765="","",ROUND(SUMIFS(Sales!$Y$5:$Y$1204,Sales!$C$5:$C$1204,A765),2))</f>
        <v>0</v>
      </c>
      <c r="AC765" s="38">
        <f>IF(B765="","",IF(M765="Completed","Yes",IF(M765="Cancelled","Yes",IF(M765="No show","Yes","No"))))</f>
        <v>0</v>
      </c>
      <c r="AD765" s="25">
        <f>IF(B765="","",IF(AE765="","",B765-AE765))</f>
        <v>0</v>
      </c>
      <c r="AF765" s="38">
        <f>IF(B765="","",IF(M765&lt;&gt;"Completed","",IF(E765="","No",IF(COUNTIFS(Appointments!$E$5:$E$1204,E765,Appointments!$B$5:$B$1204,"&gt;"&amp;B765,Appointments!$M$5:$M$1204,"&lt;&gt;Cancelled")&gt;0,"Yes","No"))))</f>
        <v>0</v>
      </c>
      <c r="AG765" s="38">
        <f>IF(B765="","",IF(I765="","",IF(D765="","",IF(COUNTIFS($I$5:$I$1204,I765,$B$5:$B$1204,B765,$D$5:$D$1204,"&lt;"&amp;V765,$V$5:$V$1204,"&gt;"&amp;D765,$M$5:$M$1204,"&lt;&gt;Cancelled")&gt;1,"Clash",""))))</f>
        <v>0</v>
      </c>
      <c r="AH765" s="39">
        <f>IF(B765="","",IF(AG765="Clash","Clash - stylist double booked",IF(I765="","Assign - no stylist yet",IF(G765="","Add - no service chosen",IF(M765="No show","No show - charge the fee?",IF(M765="Cancelled","",IF(IF(M765="Completed",AB765&lt;Y765-0.004,FALSE),"Unpaid - nothing rung up for this visit",IF(IF(B765&lt;TodayDate,M765="Booked",FALSE),"Overdue - past date, still only Booked",IF(IF(B765=TodayDate,TRUE,FALSE),"Today",IF(IF(Z765&gt;0,AA765&lt;Z765-0.004,FALSE),"Due - deposit not taken",IF(IF(B765&gt;TodayDate,B765&lt;=TodayDate+2,FALSE),"Confirm - coming up","OK")))))))))))</f>
        <v>0</v>
      </c>
    </row>
    <row r="766" spans="1:34">
      <c r="A766" s="28">
        <f>IF(B766="","",AppointmentPrefix&amp;TEXT(ROW()-4,"0000"))</f>
        <v>0</v>
      </c>
      <c r="C766" s="15">
        <f>IF(B766="","",TEXT(B766,"ddd"))</f>
        <v>0</v>
      </c>
      <c r="F766" s="15">
        <f>IF(E766="","",IFERROR(INDEX(Clients!$B$5:$B$504,MATCH(E766,Clients!$A$5:$A$504,0)),"Walk-in"))</f>
        <v>0</v>
      </c>
      <c r="H766" s="15">
        <f>IF(G766="","",IFERROR(INDEX(Services!$B$5:$B$204,MATCH(G766,Services!$A$5:$A$204,0)),"Not in Services"))</f>
        <v>0</v>
      </c>
      <c r="J766" s="15">
        <f>IF(I766="","",IFERROR(INDEX(Staff!$B$5:$B$44,MATCH(I766,Staff!$A$5:$A$44,0)),"Unassigned"))</f>
        <v>0</v>
      </c>
      <c r="S766" s="15">
        <f>IF(B766="","",TEXT(B766,"yyyy-mm"))</f>
        <v>0</v>
      </c>
      <c r="T766" s="25">
        <f>IF(B766="","",WEEKNUM(B766,2))</f>
        <v>0</v>
      </c>
      <c r="U766" s="25">
        <f>IF(B766="","",IF(K766&lt;&gt;"",K766,IFERROR(INDEX(Services!$E$5:$E$204,MATCH(G766,Services!$A$5:$A$204,0))*1,0)+IFERROR(INDEX(Services!$F$5:$F$204,MATCH(G766,Services!$A$5:$A$204,0))*1,0)))</f>
        <v>0</v>
      </c>
      <c r="V766" s="36">
        <f>IF(B766="","",IF(D766="","",D766+U766/1440))</f>
        <v>0</v>
      </c>
      <c r="W766" s="25">
        <f>IF(B766="","",IF(D766="","",HOUR(D766)))</f>
        <v>0</v>
      </c>
      <c r="X766" s="37">
        <f>IF(B766="","",ROUND(U766/60,2))</f>
        <v>0</v>
      </c>
      <c r="Y766" s="26">
        <f>IF(B766="","",IF(L766&lt;&gt;"",L766,IFERROR(INDEX(Services!$G$5:$G$204,MATCH(G766,Services!$A$5:$A$204,0))*1,0)))</f>
        <v>0</v>
      </c>
      <c r="Z766" s="26">
        <f>IF(B766="","",IF(O766&lt;&gt;"",O766,IF(Y766&gt;=DepositThreshold,ROUND(Y766*DepositPercent,2),0)))</f>
        <v>0</v>
      </c>
      <c r="AA766" s="26">
        <f>IF(B766="","",ROUND(SUMIFS(Payments!$G$5:$G$1204,Payments!$I$5:$I$1204,A766,Payments!$E$5:$E$1204,"Deposit"),2))</f>
        <v>0</v>
      </c>
      <c r="AB766" s="26">
        <f>IF(B766="","",ROUND(SUMIFS(Sales!$Y$5:$Y$1204,Sales!$C$5:$C$1204,A766),2))</f>
        <v>0</v>
      </c>
      <c r="AC766" s="38">
        <f>IF(B766="","",IF(M766="Completed","Yes",IF(M766="Cancelled","Yes",IF(M766="No show","Yes","No"))))</f>
        <v>0</v>
      </c>
      <c r="AD766" s="25">
        <f>IF(B766="","",IF(AE766="","",B766-AE766))</f>
        <v>0</v>
      </c>
      <c r="AF766" s="38">
        <f>IF(B766="","",IF(M766&lt;&gt;"Completed","",IF(E766="","No",IF(COUNTIFS(Appointments!$E$5:$E$1204,E766,Appointments!$B$5:$B$1204,"&gt;"&amp;B766,Appointments!$M$5:$M$1204,"&lt;&gt;Cancelled")&gt;0,"Yes","No"))))</f>
        <v>0</v>
      </c>
      <c r="AG766" s="38">
        <f>IF(B766="","",IF(I766="","",IF(D766="","",IF(COUNTIFS($I$5:$I$1204,I766,$B$5:$B$1204,B766,$D$5:$D$1204,"&lt;"&amp;V766,$V$5:$V$1204,"&gt;"&amp;D766,$M$5:$M$1204,"&lt;&gt;Cancelled")&gt;1,"Clash",""))))</f>
        <v>0</v>
      </c>
      <c r="AH766" s="39">
        <f>IF(B766="","",IF(AG766="Clash","Clash - stylist double booked",IF(I766="","Assign - no stylist yet",IF(G766="","Add - no service chosen",IF(M766="No show","No show - charge the fee?",IF(M766="Cancelled","",IF(IF(M766="Completed",AB766&lt;Y766-0.004,FALSE),"Unpaid - nothing rung up for this visit",IF(IF(B766&lt;TodayDate,M766="Booked",FALSE),"Overdue - past date, still only Booked",IF(IF(B766=TodayDate,TRUE,FALSE),"Today",IF(IF(Z766&gt;0,AA766&lt;Z766-0.004,FALSE),"Due - deposit not taken",IF(IF(B766&gt;TodayDate,B766&lt;=TodayDate+2,FALSE),"Confirm - coming up","OK")))))))))))</f>
        <v>0</v>
      </c>
    </row>
    <row r="767" spans="1:34">
      <c r="A767" s="28">
        <f>IF(B767="","",AppointmentPrefix&amp;TEXT(ROW()-4,"0000"))</f>
        <v>0</v>
      </c>
      <c r="C767" s="15">
        <f>IF(B767="","",TEXT(B767,"ddd"))</f>
        <v>0</v>
      </c>
      <c r="F767" s="15">
        <f>IF(E767="","",IFERROR(INDEX(Clients!$B$5:$B$504,MATCH(E767,Clients!$A$5:$A$504,0)),"Walk-in"))</f>
        <v>0</v>
      </c>
      <c r="H767" s="15">
        <f>IF(G767="","",IFERROR(INDEX(Services!$B$5:$B$204,MATCH(G767,Services!$A$5:$A$204,0)),"Not in Services"))</f>
        <v>0</v>
      </c>
      <c r="J767" s="15">
        <f>IF(I767="","",IFERROR(INDEX(Staff!$B$5:$B$44,MATCH(I767,Staff!$A$5:$A$44,0)),"Unassigned"))</f>
        <v>0</v>
      </c>
      <c r="S767" s="15">
        <f>IF(B767="","",TEXT(B767,"yyyy-mm"))</f>
        <v>0</v>
      </c>
      <c r="T767" s="25">
        <f>IF(B767="","",WEEKNUM(B767,2))</f>
        <v>0</v>
      </c>
      <c r="U767" s="25">
        <f>IF(B767="","",IF(K767&lt;&gt;"",K767,IFERROR(INDEX(Services!$E$5:$E$204,MATCH(G767,Services!$A$5:$A$204,0))*1,0)+IFERROR(INDEX(Services!$F$5:$F$204,MATCH(G767,Services!$A$5:$A$204,0))*1,0)))</f>
        <v>0</v>
      </c>
      <c r="V767" s="36">
        <f>IF(B767="","",IF(D767="","",D767+U767/1440))</f>
        <v>0</v>
      </c>
      <c r="W767" s="25">
        <f>IF(B767="","",IF(D767="","",HOUR(D767)))</f>
        <v>0</v>
      </c>
      <c r="X767" s="37">
        <f>IF(B767="","",ROUND(U767/60,2))</f>
        <v>0</v>
      </c>
      <c r="Y767" s="26">
        <f>IF(B767="","",IF(L767&lt;&gt;"",L767,IFERROR(INDEX(Services!$G$5:$G$204,MATCH(G767,Services!$A$5:$A$204,0))*1,0)))</f>
        <v>0</v>
      </c>
      <c r="Z767" s="26">
        <f>IF(B767="","",IF(O767&lt;&gt;"",O767,IF(Y767&gt;=DepositThreshold,ROUND(Y767*DepositPercent,2),0)))</f>
        <v>0</v>
      </c>
      <c r="AA767" s="26">
        <f>IF(B767="","",ROUND(SUMIFS(Payments!$G$5:$G$1204,Payments!$I$5:$I$1204,A767,Payments!$E$5:$E$1204,"Deposit"),2))</f>
        <v>0</v>
      </c>
      <c r="AB767" s="26">
        <f>IF(B767="","",ROUND(SUMIFS(Sales!$Y$5:$Y$1204,Sales!$C$5:$C$1204,A767),2))</f>
        <v>0</v>
      </c>
      <c r="AC767" s="38">
        <f>IF(B767="","",IF(M767="Completed","Yes",IF(M767="Cancelled","Yes",IF(M767="No show","Yes","No"))))</f>
        <v>0</v>
      </c>
      <c r="AD767" s="25">
        <f>IF(B767="","",IF(AE767="","",B767-AE767))</f>
        <v>0</v>
      </c>
      <c r="AF767" s="38">
        <f>IF(B767="","",IF(M767&lt;&gt;"Completed","",IF(E767="","No",IF(COUNTIFS(Appointments!$E$5:$E$1204,E767,Appointments!$B$5:$B$1204,"&gt;"&amp;B767,Appointments!$M$5:$M$1204,"&lt;&gt;Cancelled")&gt;0,"Yes","No"))))</f>
        <v>0</v>
      </c>
      <c r="AG767" s="38">
        <f>IF(B767="","",IF(I767="","",IF(D767="","",IF(COUNTIFS($I$5:$I$1204,I767,$B$5:$B$1204,B767,$D$5:$D$1204,"&lt;"&amp;V767,$V$5:$V$1204,"&gt;"&amp;D767,$M$5:$M$1204,"&lt;&gt;Cancelled")&gt;1,"Clash",""))))</f>
        <v>0</v>
      </c>
      <c r="AH767" s="39">
        <f>IF(B767="","",IF(AG767="Clash","Clash - stylist double booked",IF(I767="","Assign - no stylist yet",IF(G767="","Add - no service chosen",IF(M767="No show","No show - charge the fee?",IF(M767="Cancelled","",IF(IF(M767="Completed",AB767&lt;Y767-0.004,FALSE),"Unpaid - nothing rung up for this visit",IF(IF(B767&lt;TodayDate,M767="Booked",FALSE),"Overdue - past date, still only Booked",IF(IF(B767=TodayDate,TRUE,FALSE),"Today",IF(IF(Z767&gt;0,AA767&lt;Z767-0.004,FALSE),"Due - deposit not taken",IF(IF(B767&gt;TodayDate,B767&lt;=TodayDate+2,FALSE),"Confirm - coming up","OK")))))))))))</f>
        <v>0</v>
      </c>
    </row>
    <row r="768" spans="1:34">
      <c r="A768" s="28">
        <f>IF(B768="","",AppointmentPrefix&amp;TEXT(ROW()-4,"0000"))</f>
        <v>0</v>
      </c>
      <c r="C768" s="15">
        <f>IF(B768="","",TEXT(B768,"ddd"))</f>
        <v>0</v>
      </c>
      <c r="F768" s="15">
        <f>IF(E768="","",IFERROR(INDEX(Clients!$B$5:$B$504,MATCH(E768,Clients!$A$5:$A$504,0)),"Walk-in"))</f>
        <v>0</v>
      </c>
      <c r="H768" s="15">
        <f>IF(G768="","",IFERROR(INDEX(Services!$B$5:$B$204,MATCH(G768,Services!$A$5:$A$204,0)),"Not in Services"))</f>
        <v>0</v>
      </c>
      <c r="J768" s="15">
        <f>IF(I768="","",IFERROR(INDEX(Staff!$B$5:$B$44,MATCH(I768,Staff!$A$5:$A$44,0)),"Unassigned"))</f>
        <v>0</v>
      </c>
      <c r="S768" s="15">
        <f>IF(B768="","",TEXT(B768,"yyyy-mm"))</f>
        <v>0</v>
      </c>
      <c r="T768" s="25">
        <f>IF(B768="","",WEEKNUM(B768,2))</f>
        <v>0</v>
      </c>
      <c r="U768" s="25">
        <f>IF(B768="","",IF(K768&lt;&gt;"",K768,IFERROR(INDEX(Services!$E$5:$E$204,MATCH(G768,Services!$A$5:$A$204,0))*1,0)+IFERROR(INDEX(Services!$F$5:$F$204,MATCH(G768,Services!$A$5:$A$204,0))*1,0)))</f>
        <v>0</v>
      </c>
      <c r="V768" s="36">
        <f>IF(B768="","",IF(D768="","",D768+U768/1440))</f>
        <v>0</v>
      </c>
      <c r="W768" s="25">
        <f>IF(B768="","",IF(D768="","",HOUR(D768)))</f>
        <v>0</v>
      </c>
      <c r="X768" s="37">
        <f>IF(B768="","",ROUND(U768/60,2))</f>
        <v>0</v>
      </c>
      <c r="Y768" s="26">
        <f>IF(B768="","",IF(L768&lt;&gt;"",L768,IFERROR(INDEX(Services!$G$5:$G$204,MATCH(G768,Services!$A$5:$A$204,0))*1,0)))</f>
        <v>0</v>
      </c>
      <c r="Z768" s="26">
        <f>IF(B768="","",IF(O768&lt;&gt;"",O768,IF(Y768&gt;=DepositThreshold,ROUND(Y768*DepositPercent,2),0)))</f>
        <v>0</v>
      </c>
      <c r="AA768" s="26">
        <f>IF(B768="","",ROUND(SUMIFS(Payments!$G$5:$G$1204,Payments!$I$5:$I$1204,A768,Payments!$E$5:$E$1204,"Deposit"),2))</f>
        <v>0</v>
      </c>
      <c r="AB768" s="26">
        <f>IF(B768="","",ROUND(SUMIFS(Sales!$Y$5:$Y$1204,Sales!$C$5:$C$1204,A768),2))</f>
        <v>0</v>
      </c>
      <c r="AC768" s="38">
        <f>IF(B768="","",IF(M768="Completed","Yes",IF(M768="Cancelled","Yes",IF(M768="No show","Yes","No"))))</f>
        <v>0</v>
      </c>
      <c r="AD768" s="25">
        <f>IF(B768="","",IF(AE768="","",B768-AE768))</f>
        <v>0</v>
      </c>
      <c r="AF768" s="38">
        <f>IF(B768="","",IF(M768&lt;&gt;"Completed","",IF(E768="","No",IF(COUNTIFS(Appointments!$E$5:$E$1204,E768,Appointments!$B$5:$B$1204,"&gt;"&amp;B768,Appointments!$M$5:$M$1204,"&lt;&gt;Cancelled")&gt;0,"Yes","No"))))</f>
        <v>0</v>
      </c>
      <c r="AG768" s="38">
        <f>IF(B768="","",IF(I768="","",IF(D768="","",IF(COUNTIFS($I$5:$I$1204,I768,$B$5:$B$1204,B768,$D$5:$D$1204,"&lt;"&amp;V768,$V$5:$V$1204,"&gt;"&amp;D768,$M$5:$M$1204,"&lt;&gt;Cancelled")&gt;1,"Clash",""))))</f>
        <v>0</v>
      </c>
      <c r="AH768" s="39">
        <f>IF(B768="","",IF(AG768="Clash","Clash - stylist double booked",IF(I768="","Assign - no stylist yet",IF(G768="","Add - no service chosen",IF(M768="No show","No show - charge the fee?",IF(M768="Cancelled","",IF(IF(M768="Completed",AB768&lt;Y768-0.004,FALSE),"Unpaid - nothing rung up for this visit",IF(IF(B768&lt;TodayDate,M768="Booked",FALSE),"Overdue - past date, still only Booked",IF(IF(B768=TodayDate,TRUE,FALSE),"Today",IF(IF(Z768&gt;0,AA768&lt;Z768-0.004,FALSE),"Due - deposit not taken",IF(IF(B768&gt;TodayDate,B768&lt;=TodayDate+2,FALSE),"Confirm - coming up","OK")))))))))))</f>
        <v>0</v>
      </c>
    </row>
    <row r="769" spans="1:34">
      <c r="A769" s="28">
        <f>IF(B769="","",AppointmentPrefix&amp;TEXT(ROW()-4,"0000"))</f>
        <v>0</v>
      </c>
      <c r="C769" s="15">
        <f>IF(B769="","",TEXT(B769,"ddd"))</f>
        <v>0</v>
      </c>
      <c r="F769" s="15">
        <f>IF(E769="","",IFERROR(INDEX(Clients!$B$5:$B$504,MATCH(E769,Clients!$A$5:$A$504,0)),"Walk-in"))</f>
        <v>0</v>
      </c>
      <c r="H769" s="15">
        <f>IF(G769="","",IFERROR(INDEX(Services!$B$5:$B$204,MATCH(G769,Services!$A$5:$A$204,0)),"Not in Services"))</f>
        <v>0</v>
      </c>
      <c r="J769" s="15">
        <f>IF(I769="","",IFERROR(INDEX(Staff!$B$5:$B$44,MATCH(I769,Staff!$A$5:$A$44,0)),"Unassigned"))</f>
        <v>0</v>
      </c>
      <c r="S769" s="15">
        <f>IF(B769="","",TEXT(B769,"yyyy-mm"))</f>
        <v>0</v>
      </c>
      <c r="T769" s="25">
        <f>IF(B769="","",WEEKNUM(B769,2))</f>
        <v>0</v>
      </c>
      <c r="U769" s="25">
        <f>IF(B769="","",IF(K769&lt;&gt;"",K769,IFERROR(INDEX(Services!$E$5:$E$204,MATCH(G769,Services!$A$5:$A$204,0))*1,0)+IFERROR(INDEX(Services!$F$5:$F$204,MATCH(G769,Services!$A$5:$A$204,0))*1,0)))</f>
        <v>0</v>
      </c>
      <c r="V769" s="36">
        <f>IF(B769="","",IF(D769="","",D769+U769/1440))</f>
        <v>0</v>
      </c>
      <c r="W769" s="25">
        <f>IF(B769="","",IF(D769="","",HOUR(D769)))</f>
        <v>0</v>
      </c>
      <c r="X769" s="37">
        <f>IF(B769="","",ROUND(U769/60,2))</f>
        <v>0</v>
      </c>
      <c r="Y769" s="26">
        <f>IF(B769="","",IF(L769&lt;&gt;"",L769,IFERROR(INDEX(Services!$G$5:$G$204,MATCH(G769,Services!$A$5:$A$204,0))*1,0)))</f>
        <v>0</v>
      </c>
      <c r="Z769" s="26">
        <f>IF(B769="","",IF(O769&lt;&gt;"",O769,IF(Y769&gt;=DepositThreshold,ROUND(Y769*DepositPercent,2),0)))</f>
        <v>0</v>
      </c>
      <c r="AA769" s="26">
        <f>IF(B769="","",ROUND(SUMIFS(Payments!$G$5:$G$1204,Payments!$I$5:$I$1204,A769,Payments!$E$5:$E$1204,"Deposit"),2))</f>
        <v>0</v>
      </c>
      <c r="AB769" s="26">
        <f>IF(B769="","",ROUND(SUMIFS(Sales!$Y$5:$Y$1204,Sales!$C$5:$C$1204,A769),2))</f>
        <v>0</v>
      </c>
      <c r="AC769" s="38">
        <f>IF(B769="","",IF(M769="Completed","Yes",IF(M769="Cancelled","Yes",IF(M769="No show","Yes","No"))))</f>
        <v>0</v>
      </c>
      <c r="AD769" s="25">
        <f>IF(B769="","",IF(AE769="","",B769-AE769))</f>
        <v>0</v>
      </c>
      <c r="AF769" s="38">
        <f>IF(B769="","",IF(M769&lt;&gt;"Completed","",IF(E769="","No",IF(COUNTIFS(Appointments!$E$5:$E$1204,E769,Appointments!$B$5:$B$1204,"&gt;"&amp;B769,Appointments!$M$5:$M$1204,"&lt;&gt;Cancelled")&gt;0,"Yes","No"))))</f>
        <v>0</v>
      </c>
      <c r="AG769" s="38">
        <f>IF(B769="","",IF(I769="","",IF(D769="","",IF(COUNTIFS($I$5:$I$1204,I769,$B$5:$B$1204,B769,$D$5:$D$1204,"&lt;"&amp;V769,$V$5:$V$1204,"&gt;"&amp;D769,$M$5:$M$1204,"&lt;&gt;Cancelled")&gt;1,"Clash",""))))</f>
        <v>0</v>
      </c>
      <c r="AH769" s="39">
        <f>IF(B769="","",IF(AG769="Clash","Clash - stylist double booked",IF(I769="","Assign - no stylist yet",IF(G769="","Add - no service chosen",IF(M769="No show","No show - charge the fee?",IF(M769="Cancelled","",IF(IF(M769="Completed",AB769&lt;Y769-0.004,FALSE),"Unpaid - nothing rung up for this visit",IF(IF(B769&lt;TodayDate,M769="Booked",FALSE),"Overdue - past date, still only Booked",IF(IF(B769=TodayDate,TRUE,FALSE),"Today",IF(IF(Z769&gt;0,AA769&lt;Z769-0.004,FALSE),"Due - deposit not taken",IF(IF(B769&gt;TodayDate,B769&lt;=TodayDate+2,FALSE),"Confirm - coming up","OK")))))))))))</f>
        <v>0</v>
      </c>
    </row>
    <row r="770" spans="1:34">
      <c r="A770" s="28">
        <f>IF(B770="","",AppointmentPrefix&amp;TEXT(ROW()-4,"0000"))</f>
        <v>0</v>
      </c>
      <c r="C770" s="15">
        <f>IF(B770="","",TEXT(B770,"ddd"))</f>
        <v>0</v>
      </c>
      <c r="F770" s="15">
        <f>IF(E770="","",IFERROR(INDEX(Clients!$B$5:$B$504,MATCH(E770,Clients!$A$5:$A$504,0)),"Walk-in"))</f>
        <v>0</v>
      </c>
      <c r="H770" s="15">
        <f>IF(G770="","",IFERROR(INDEX(Services!$B$5:$B$204,MATCH(G770,Services!$A$5:$A$204,0)),"Not in Services"))</f>
        <v>0</v>
      </c>
      <c r="J770" s="15">
        <f>IF(I770="","",IFERROR(INDEX(Staff!$B$5:$B$44,MATCH(I770,Staff!$A$5:$A$44,0)),"Unassigned"))</f>
        <v>0</v>
      </c>
      <c r="S770" s="15">
        <f>IF(B770="","",TEXT(B770,"yyyy-mm"))</f>
        <v>0</v>
      </c>
      <c r="T770" s="25">
        <f>IF(B770="","",WEEKNUM(B770,2))</f>
        <v>0</v>
      </c>
      <c r="U770" s="25">
        <f>IF(B770="","",IF(K770&lt;&gt;"",K770,IFERROR(INDEX(Services!$E$5:$E$204,MATCH(G770,Services!$A$5:$A$204,0))*1,0)+IFERROR(INDEX(Services!$F$5:$F$204,MATCH(G770,Services!$A$5:$A$204,0))*1,0)))</f>
        <v>0</v>
      </c>
      <c r="V770" s="36">
        <f>IF(B770="","",IF(D770="","",D770+U770/1440))</f>
        <v>0</v>
      </c>
      <c r="W770" s="25">
        <f>IF(B770="","",IF(D770="","",HOUR(D770)))</f>
        <v>0</v>
      </c>
      <c r="X770" s="37">
        <f>IF(B770="","",ROUND(U770/60,2))</f>
        <v>0</v>
      </c>
      <c r="Y770" s="26">
        <f>IF(B770="","",IF(L770&lt;&gt;"",L770,IFERROR(INDEX(Services!$G$5:$G$204,MATCH(G770,Services!$A$5:$A$204,0))*1,0)))</f>
        <v>0</v>
      </c>
      <c r="Z770" s="26">
        <f>IF(B770="","",IF(O770&lt;&gt;"",O770,IF(Y770&gt;=DepositThreshold,ROUND(Y770*DepositPercent,2),0)))</f>
        <v>0</v>
      </c>
      <c r="AA770" s="26">
        <f>IF(B770="","",ROUND(SUMIFS(Payments!$G$5:$G$1204,Payments!$I$5:$I$1204,A770,Payments!$E$5:$E$1204,"Deposit"),2))</f>
        <v>0</v>
      </c>
      <c r="AB770" s="26">
        <f>IF(B770="","",ROUND(SUMIFS(Sales!$Y$5:$Y$1204,Sales!$C$5:$C$1204,A770),2))</f>
        <v>0</v>
      </c>
      <c r="AC770" s="38">
        <f>IF(B770="","",IF(M770="Completed","Yes",IF(M770="Cancelled","Yes",IF(M770="No show","Yes","No"))))</f>
        <v>0</v>
      </c>
      <c r="AD770" s="25">
        <f>IF(B770="","",IF(AE770="","",B770-AE770))</f>
        <v>0</v>
      </c>
      <c r="AF770" s="38">
        <f>IF(B770="","",IF(M770&lt;&gt;"Completed","",IF(E770="","No",IF(COUNTIFS(Appointments!$E$5:$E$1204,E770,Appointments!$B$5:$B$1204,"&gt;"&amp;B770,Appointments!$M$5:$M$1204,"&lt;&gt;Cancelled")&gt;0,"Yes","No"))))</f>
        <v>0</v>
      </c>
      <c r="AG770" s="38">
        <f>IF(B770="","",IF(I770="","",IF(D770="","",IF(COUNTIFS($I$5:$I$1204,I770,$B$5:$B$1204,B770,$D$5:$D$1204,"&lt;"&amp;V770,$V$5:$V$1204,"&gt;"&amp;D770,$M$5:$M$1204,"&lt;&gt;Cancelled")&gt;1,"Clash",""))))</f>
        <v>0</v>
      </c>
      <c r="AH770" s="39">
        <f>IF(B770="","",IF(AG770="Clash","Clash - stylist double booked",IF(I770="","Assign - no stylist yet",IF(G770="","Add - no service chosen",IF(M770="No show","No show - charge the fee?",IF(M770="Cancelled","",IF(IF(M770="Completed",AB770&lt;Y770-0.004,FALSE),"Unpaid - nothing rung up for this visit",IF(IF(B770&lt;TodayDate,M770="Booked",FALSE),"Overdue - past date, still only Booked",IF(IF(B770=TodayDate,TRUE,FALSE),"Today",IF(IF(Z770&gt;0,AA770&lt;Z770-0.004,FALSE),"Due - deposit not taken",IF(IF(B770&gt;TodayDate,B770&lt;=TodayDate+2,FALSE),"Confirm - coming up","OK")))))))))))</f>
        <v>0</v>
      </c>
    </row>
    <row r="771" spans="1:34">
      <c r="A771" s="28">
        <f>IF(B771="","",AppointmentPrefix&amp;TEXT(ROW()-4,"0000"))</f>
        <v>0</v>
      </c>
      <c r="C771" s="15">
        <f>IF(B771="","",TEXT(B771,"ddd"))</f>
        <v>0</v>
      </c>
      <c r="F771" s="15">
        <f>IF(E771="","",IFERROR(INDEX(Clients!$B$5:$B$504,MATCH(E771,Clients!$A$5:$A$504,0)),"Walk-in"))</f>
        <v>0</v>
      </c>
      <c r="H771" s="15">
        <f>IF(G771="","",IFERROR(INDEX(Services!$B$5:$B$204,MATCH(G771,Services!$A$5:$A$204,0)),"Not in Services"))</f>
        <v>0</v>
      </c>
      <c r="J771" s="15">
        <f>IF(I771="","",IFERROR(INDEX(Staff!$B$5:$B$44,MATCH(I771,Staff!$A$5:$A$44,0)),"Unassigned"))</f>
        <v>0</v>
      </c>
      <c r="S771" s="15">
        <f>IF(B771="","",TEXT(B771,"yyyy-mm"))</f>
        <v>0</v>
      </c>
      <c r="T771" s="25">
        <f>IF(B771="","",WEEKNUM(B771,2))</f>
        <v>0</v>
      </c>
      <c r="U771" s="25">
        <f>IF(B771="","",IF(K771&lt;&gt;"",K771,IFERROR(INDEX(Services!$E$5:$E$204,MATCH(G771,Services!$A$5:$A$204,0))*1,0)+IFERROR(INDEX(Services!$F$5:$F$204,MATCH(G771,Services!$A$5:$A$204,0))*1,0)))</f>
        <v>0</v>
      </c>
      <c r="V771" s="36">
        <f>IF(B771="","",IF(D771="","",D771+U771/1440))</f>
        <v>0</v>
      </c>
      <c r="W771" s="25">
        <f>IF(B771="","",IF(D771="","",HOUR(D771)))</f>
        <v>0</v>
      </c>
      <c r="X771" s="37">
        <f>IF(B771="","",ROUND(U771/60,2))</f>
        <v>0</v>
      </c>
      <c r="Y771" s="26">
        <f>IF(B771="","",IF(L771&lt;&gt;"",L771,IFERROR(INDEX(Services!$G$5:$G$204,MATCH(G771,Services!$A$5:$A$204,0))*1,0)))</f>
        <v>0</v>
      </c>
      <c r="Z771" s="26">
        <f>IF(B771="","",IF(O771&lt;&gt;"",O771,IF(Y771&gt;=DepositThreshold,ROUND(Y771*DepositPercent,2),0)))</f>
        <v>0</v>
      </c>
      <c r="AA771" s="26">
        <f>IF(B771="","",ROUND(SUMIFS(Payments!$G$5:$G$1204,Payments!$I$5:$I$1204,A771,Payments!$E$5:$E$1204,"Deposit"),2))</f>
        <v>0</v>
      </c>
      <c r="AB771" s="26">
        <f>IF(B771="","",ROUND(SUMIFS(Sales!$Y$5:$Y$1204,Sales!$C$5:$C$1204,A771),2))</f>
        <v>0</v>
      </c>
      <c r="AC771" s="38">
        <f>IF(B771="","",IF(M771="Completed","Yes",IF(M771="Cancelled","Yes",IF(M771="No show","Yes","No"))))</f>
        <v>0</v>
      </c>
      <c r="AD771" s="25">
        <f>IF(B771="","",IF(AE771="","",B771-AE771))</f>
        <v>0</v>
      </c>
      <c r="AF771" s="38">
        <f>IF(B771="","",IF(M771&lt;&gt;"Completed","",IF(E771="","No",IF(COUNTIFS(Appointments!$E$5:$E$1204,E771,Appointments!$B$5:$B$1204,"&gt;"&amp;B771,Appointments!$M$5:$M$1204,"&lt;&gt;Cancelled")&gt;0,"Yes","No"))))</f>
        <v>0</v>
      </c>
      <c r="AG771" s="38">
        <f>IF(B771="","",IF(I771="","",IF(D771="","",IF(COUNTIFS($I$5:$I$1204,I771,$B$5:$B$1204,B771,$D$5:$D$1204,"&lt;"&amp;V771,$V$5:$V$1204,"&gt;"&amp;D771,$M$5:$M$1204,"&lt;&gt;Cancelled")&gt;1,"Clash",""))))</f>
        <v>0</v>
      </c>
      <c r="AH771" s="39">
        <f>IF(B771="","",IF(AG771="Clash","Clash - stylist double booked",IF(I771="","Assign - no stylist yet",IF(G771="","Add - no service chosen",IF(M771="No show","No show - charge the fee?",IF(M771="Cancelled","",IF(IF(M771="Completed",AB771&lt;Y771-0.004,FALSE),"Unpaid - nothing rung up for this visit",IF(IF(B771&lt;TodayDate,M771="Booked",FALSE),"Overdue - past date, still only Booked",IF(IF(B771=TodayDate,TRUE,FALSE),"Today",IF(IF(Z771&gt;0,AA771&lt;Z771-0.004,FALSE),"Due - deposit not taken",IF(IF(B771&gt;TodayDate,B771&lt;=TodayDate+2,FALSE),"Confirm - coming up","OK")))))))))))</f>
        <v>0</v>
      </c>
    </row>
    <row r="772" spans="1:34">
      <c r="A772" s="28">
        <f>IF(B772="","",AppointmentPrefix&amp;TEXT(ROW()-4,"0000"))</f>
        <v>0</v>
      </c>
      <c r="C772" s="15">
        <f>IF(B772="","",TEXT(B772,"ddd"))</f>
        <v>0</v>
      </c>
      <c r="F772" s="15">
        <f>IF(E772="","",IFERROR(INDEX(Clients!$B$5:$B$504,MATCH(E772,Clients!$A$5:$A$504,0)),"Walk-in"))</f>
        <v>0</v>
      </c>
      <c r="H772" s="15">
        <f>IF(G772="","",IFERROR(INDEX(Services!$B$5:$B$204,MATCH(G772,Services!$A$5:$A$204,0)),"Not in Services"))</f>
        <v>0</v>
      </c>
      <c r="J772" s="15">
        <f>IF(I772="","",IFERROR(INDEX(Staff!$B$5:$B$44,MATCH(I772,Staff!$A$5:$A$44,0)),"Unassigned"))</f>
        <v>0</v>
      </c>
      <c r="S772" s="15">
        <f>IF(B772="","",TEXT(B772,"yyyy-mm"))</f>
        <v>0</v>
      </c>
      <c r="T772" s="25">
        <f>IF(B772="","",WEEKNUM(B772,2))</f>
        <v>0</v>
      </c>
      <c r="U772" s="25">
        <f>IF(B772="","",IF(K772&lt;&gt;"",K772,IFERROR(INDEX(Services!$E$5:$E$204,MATCH(G772,Services!$A$5:$A$204,0))*1,0)+IFERROR(INDEX(Services!$F$5:$F$204,MATCH(G772,Services!$A$5:$A$204,0))*1,0)))</f>
        <v>0</v>
      </c>
      <c r="V772" s="36">
        <f>IF(B772="","",IF(D772="","",D772+U772/1440))</f>
        <v>0</v>
      </c>
      <c r="W772" s="25">
        <f>IF(B772="","",IF(D772="","",HOUR(D772)))</f>
        <v>0</v>
      </c>
      <c r="X772" s="37">
        <f>IF(B772="","",ROUND(U772/60,2))</f>
        <v>0</v>
      </c>
      <c r="Y772" s="26">
        <f>IF(B772="","",IF(L772&lt;&gt;"",L772,IFERROR(INDEX(Services!$G$5:$G$204,MATCH(G772,Services!$A$5:$A$204,0))*1,0)))</f>
        <v>0</v>
      </c>
      <c r="Z772" s="26">
        <f>IF(B772="","",IF(O772&lt;&gt;"",O772,IF(Y772&gt;=DepositThreshold,ROUND(Y772*DepositPercent,2),0)))</f>
        <v>0</v>
      </c>
      <c r="AA772" s="26">
        <f>IF(B772="","",ROUND(SUMIFS(Payments!$G$5:$G$1204,Payments!$I$5:$I$1204,A772,Payments!$E$5:$E$1204,"Deposit"),2))</f>
        <v>0</v>
      </c>
      <c r="AB772" s="26">
        <f>IF(B772="","",ROUND(SUMIFS(Sales!$Y$5:$Y$1204,Sales!$C$5:$C$1204,A772),2))</f>
        <v>0</v>
      </c>
      <c r="AC772" s="38">
        <f>IF(B772="","",IF(M772="Completed","Yes",IF(M772="Cancelled","Yes",IF(M772="No show","Yes","No"))))</f>
        <v>0</v>
      </c>
      <c r="AD772" s="25">
        <f>IF(B772="","",IF(AE772="","",B772-AE772))</f>
        <v>0</v>
      </c>
      <c r="AF772" s="38">
        <f>IF(B772="","",IF(M772&lt;&gt;"Completed","",IF(E772="","No",IF(COUNTIFS(Appointments!$E$5:$E$1204,E772,Appointments!$B$5:$B$1204,"&gt;"&amp;B772,Appointments!$M$5:$M$1204,"&lt;&gt;Cancelled")&gt;0,"Yes","No"))))</f>
        <v>0</v>
      </c>
      <c r="AG772" s="38">
        <f>IF(B772="","",IF(I772="","",IF(D772="","",IF(COUNTIFS($I$5:$I$1204,I772,$B$5:$B$1204,B772,$D$5:$D$1204,"&lt;"&amp;V772,$V$5:$V$1204,"&gt;"&amp;D772,$M$5:$M$1204,"&lt;&gt;Cancelled")&gt;1,"Clash",""))))</f>
        <v>0</v>
      </c>
      <c r="AH772" s="39">
        <f>IF(B772="","",IF(AG772="Clash","Clash - stylist double booked",IF(I772="","Assign - no stylist yet",IF(G772="","Add - no service chosen",IF(M772="No show","No show - charge the fee?",IF(M772="Cancelled","",IF(IF(M772="Completed",AB772&lt;Y772-0.004,FALSE),"Unpaid - nothing rung up for this visit",IF(IF(B772&lt;TodayDate,M772="Booked",FALSE),"Overdue - past date, still only Booked",IF(IF(B772=TodayDate,TRUE,FALSE),"Today",IF(IF(Z772&gt;0,AA772&lt;Z772-0.004,FALSE),"Due - deposit not taken",IF(IF(B772&gt;TodayDate,B772&lt;=TodayDate+2,FALSE),"Confirm - coming up","OK")))))))))))</f>
        <v>0</v>
      </c>
    </row>
    <row r="773" spans="1:34">
      <c r="A773" s="28">
        <f>IF(B773="","",AppointmentPrefix&amp;TEXT(ROW()-4,"0000"))</f>
        <v>0</v>
      </c>
      <c r="C773" s="15">
        <f>IF(B773="","",TEXT(B773,"ddd"))</f>
        <v>0</v>
      </c>
      <c r="F773" s="15">
        <f>IF(E773="","",IFERROR(INDEX(Clients!$B$5:$B$504,MATCH(E773,Clients!$A$5:$A$504,0)),"Walk-in"))</f>
        <v>0</v>
      </c>
      <c r="H773" s="15">
        <f>IF(G773="","",IFERROR(INDEX(Services!$B$5:$B$204,MATCH(G773,Services!$A$5:$A$204,0)),"Not in Services"))</f>
        <v>0</v>
      </c>
      <c r="J773" s="15">
        <f>IF(I773="","",IFERROR(INDEX(Staff!$B$5:$B$44,MATCH(I773,Staff!$A$5:$A$44,0)),"Unassigned"))</f>
        <v>0</v>
      </c>
      <c r="S773" s="15">
        <f>IF(B773="","",TEXT(B773,"yyyy-mm"))</f>
        <v>0</v>
      </c>
      <c r="T773" s="25">
        <f>IF(B773="","",WEEKNUM(B773,2))</f>
        <v>0</v>
      </c>
      <c r="U773" s="25">
        <f>IF(B773="","",IF(K773&lt;&gt;"",K773,IFERROR(INDEX(Services!$E$5:$E$204,MATCH(G773,Services!$A$5:$A$204,0))*1,0)+IFERROR(INDEX(Services!$F$5:$F$204,MATCH(G773,Services!$A$5:$A$204,0))*1,0)))</f>
        <v>0</v>
      </c>
      <c r="V773" s="36">
        <f>IF(B773="","",IF(D773="","",D773+U773/1440))</f>
        <v>0</v>
      </c>
      <c r="W773" s="25">
        <f>IF(B773="","",IF(D773="","",HOUR(D773)))</f>
        <v>0</v>
      </c>
      <c r="X773" s="37">
        <f>IF(B773="","",ROUND(U773/60,2))</f>
        <v>0</v>
      </c>
      <c r="Y773" s="26">
        <f>IF(B773="","",IF(L773&lt;&gt;"",L773,IFERROR(INDEX(Services!$G$5:$G$204,MATCH(G773,Services!$A$5:$A$204,0))*1,0)))</f>
        <v>0</v>
      </c>
      <c r="Z773" s="26">
        <f>IF(B773="","",IF(O773&lt;&gt;"",O773,IF(Y773&gt;=DepositThreshold,ROUND(Y773*DepositPercent,2),0)))</f>
        <v>0</v>
      </c>
      <c r="AA773" s="26">
        <f>IF(B773="","",ROUND(SUMIFS(Payments!$G$5:$G$1204,Payments!$I$5:$I$1204,A773,Payments!$E$5:$E$1204,"Deposit"),2))</f>
        <v>0</v>
      </c>
      <c r="AB773" s="26">
        <f>IF(B773="","",ROUND(SUMIFS(Sales!$Y$5:$Y$1204,Sales!$C$5:$C$1204,A773),2))</f>
        <v>0</v>
      </c>
      <c r="AC773" s="38">
        <f>IF(B773="","",IF(M773="Completed","Yes",IF(M773="Cancelled","Yes",IF(M773="No show","Yes","No"))))</f>
        <v>0</v>
      </c>
      <c r="AD773" s="25">
        <f>IF(B773="","",IF(AE773="","",B773-AE773))</f>
        <v>0</v>
      </c>
      <c r="AF773" s="38">
        <f>IF(B773="","",IF(M773&lt;&gt;"Completed","",IF(E773="","No",IF(COUNTIFS(Appointments!$E$5:$E$1204,E773,Appointments!$B$5:$B$1204,"&gt;"&amp;B773,Appointments!$M$5:$M$1204,"&lt;&gt;Cancelled")&gt;0,"Yes","No"))))</f>
        <v>0</v>
      </c>
      <c r="AG773" s="38">
        <f>IF(B773="","",IF(I773="","",IF(D773="","",IF(COUNTIFS($I$5:$I$1204,I773,$B$5:$B$1204,B773,$D$5:$D$1204,"&lt;"&amp;V773,$V$5:$V$1204,"&gt;"&amp;D773,$M$5:$M$1204,"&lt;&gt;Cancelled")&gt;1,"Clash",""))))</f>
        <v>0</v>
      </c>
      <c r="AH773" s="39">
        <f>IF(B773="","",IF(AG773="Clash","Clash - stylist double booked",IF(I773="","Assign - no stylist yet",IF(G773="","Add - no service chosen",IF(M773="No show","No show - charge the fee?",IF(M773="Cancelled","",IF(IF(M773="Completed",AB773&lt;Y773-0.004,FALSE),"Unpaid - nothing rung up for this visit",IF(IF(B773&lt;TodayDate,M773="Booked",FALSE),"Overdue - past date, still only Booked",IF(IF(B773=TodayDate,TRUE,FALSE),"Today",IF(IF(Z773&gt;0,AA773&lt;Z773-0.004,FALSE),"Due - deposit not taken",IF(IF(B773&gt;TodayDate,B773&lt;=TodayDate+2,FALSE),"Confirm - coming up","OK")))))))))))</f>
        <v>0</v>
      </c>
    </row>
    <row r="774" spans="1:34">
      <c r="A774" s="28">
        <f>IF(B774="","",AppointmentPrefix&amp;TEXT(ROW()-4,"0000"))</f>
        <v>0</v>
      </c>
      <c r="C774" s="15">
        <f>IF(B774="","",TEXT(B774,"ddd"))</f>
        <v>0</v>
      </c>
      <c r="F774" s="15">
        <f>IF(E774="","",IFERROR(INDEX(Clients!$B$5:$B$504,MATCH(E774,Clients!$A$5:$A$504,0)),"Walk-in"))</f>
        <v>0</v>
      </c>
      <c r="H774" s="15">
        <f>IF(G774="","",IFERROR(INDEX(Services!$B$5:$B$204,MATCH(G774,Services!$A$5:$A$204,0)),"Not in Services"))</f>
        <v>0</v>
      </c>
      <c r="J774" s="15">
        <f>IF(I774="","",IFERROR(INDEX(Staff!$B$5:$B$44,MATCH(I774,Staff!$A$5:$A$44,0)),"Unassigned"))</f>
        <v>0</v>
      </c>
      <c r="S774" s="15">
        <f>IF(B774="","",TEXT(B774,"yyyy-mm"))</f>
        <v>0</v>
      </c>
      <c r="T774" s="25">
        <f>IF(B774="","",WEEKNUM(B774,2))</f>
        <v>0</v>
      </c>
      <c r="U774" s="25">
        <f>IF(B774="","",IF(K774&lt;&gt;"",K774,IFERROR(INDEX(Services!$E$5:$E$204,MATCH(G774,Services!$A$5:$A$204,0))*1,0)+IFERROR(INDEX(Services!$F$5:$F$204,MATCH(G774,Services!$A$5:$A$204,0))*1,0)))</f>
        <v>0</v>
      </c>
      <c r="V774" s="36">
        <f>IF(B774="","",IF(D774="","",D774+U774/1440))</f>
        <v>0</v>
      </c>
      <c r="W774" s="25">
        <f>IF(B774="","",IF(D774="","",HOUR(D774)))</f>
        <v>0</v>
      </c>
      <c r="X774" s="37">
        <f>IF(B774="","",ROUND(U774/60,2))</f>
        <v>0</v>
      </c>
      <c r="Y774" s="26">
        <f>IF(B774="","",IF(L774&lt;&gt;"",L774,IFERROR(INDEX(Services!$G$5:$G$204,MATCH(G774,Services!$A$5:$A$204,0))*1,0)))</f>
        <v>0</v>
      </c>
      <c r="Z774" s="26">
        <f>IF(B774="","",IF(O774&lt;&gt;"",O774,IF(Y774&gt;=DepositThreshold,ROUND(Y774*DepositPercent,2),0)))</f>
        <v>0</v>
      </c>
      <c r="AA774" s="26">
        <f>IF(B774="","",ROUND(SUMIFS(Payments!$G$5:$G$1204,Payments!$I$5:$I$1204,A774,Payments!$E$5:$E$1204,"Deposit"),2))</f>
        <v>0</v>
      </c>
      <c r="AB774" s="26">
        <f>IF(B774="","",ROUND(SUMIFS(Sales!$Y$5:$Y$1204,Sales!$C$5:$C$1204,A774),2))</f>
        <v>0</v>
      </c>
      <c r="AC774" s="38">
        <f>IF(B774="","",IF(M774="Completed","Yes",IF(M774="Cancelled","Yes",IF(M774="No show","Yes","No"))))</f>
        <v>0</v>
      </c>
      <c r="AD774" s="25">
        <f>IF(B774="","",IF(AE774="","",B774-AE774))</f>
        <v>0</v>
      </c>
      <c r="AF774" s="38">
        <f>IF(B774="","",IF(M774&lt;&gt;"Completed","",IF(E774="","No",IF(COUNTIFS(Appointments!$E$5:$E$1204,E774,Appointments!$B$5:$B$1204,"&gt;"&amp;B774,Appointments!$M$5:$M$1204,"&lt;&gt;Cancelled")&gt;0,"Yes","No"))))</f>
        <v>0</v>
      </c>
      <c r="AG774" s="38">
        <f>IF(B774="","",IF(I774="","",IF(D774="","",IF(COUNTIFS($I$5:$I$1204,I774,$B$5:$B$1204,B774,$D$5:$D$1204,"&lt;"&amp;V774,$V$5:$V$1204,"&gt;"&amp;D774,$M$5:$M$1204,"&lt;&gt;Cancelled")&gt;1,"Clash",""))))</f>
        <v>0</v>
      </c>
      <c r="AH774" s="39">
        <f>IF(B774="","",IF(AG774="Clash","Clash - stylist double booked",IF(I774="","Assign - no stylist yet",IF(G774="","Add - no service chosen",IF(M774="No show","No show - charge the fee?",IF(M774="Cancelled","",IF(IF(M774="Completed",AB774&lt;Y774-0.004,FALSE),"Unpaid - nothing rung up for this visit",IF(IF(B774&lt;TodayDate,M774="Booked",FALSE),"Overdue - past date, still only Booked",IF(IF(B774=TodayDate,TRUE,FALSE),"Today",IF(IF(Z774&gt;0,AA774&lt;Z774-0.004,FALSE),"Due - deposit not taken",IF(IF(B774&gt;TodayDate,B774&lt;=TodayDate+2,FALSE),"Confirm - coming up","OK")))))))))))</f>
        <v>0</v>
      </c>
    </row>
    <row r="775" spans="1:34">
      <c r="A775" s="28">
        <f>IF(B775="","",AppointmentPrefix&amp;TEXT(ROW()-4,"0000"))</f>
        <v>0</v>
      </c>
      <c r="C775" s="15">
        <f>IF(B775="","",TEXT(B775,"ddd"))</f>
        <v>0</v>
      </c>
      <c r="F775" s="15">
        <f>IF(E775="","",IFERROR(INDEX(Clients!$B$5:$B$504,MATCH(E775,Clients!$A$5:$A$504,0)),"Walk-in"))</f>
        <v>0</v>
      </c>
      <c r="H775" s="15">
        <f>IF(G775="","",IFERROR(INDEX(Services!$B$5:$B$204,MATCH(G775,Services!$A$5:$A$204,0)),"Not in Services"))</f>
        <v>0</v>
      </c>
      <c r="J775" s="15">
        <f>IF(I775="","",IFERROR(INDEX(Staff!$B$5:$B$44,MATCH(I775,Staff!$A$5:$A$44,0)),"Unassigned"))</f>
        <v>0</v>
      </c>
      <c r="S775" s="15">
        <f>IF(B775="","",TEXT(B775,"yyyy-mm"))</f>
        <v>0</v>
      </c>
      <c r="T775" s="25">
        <f>IF(B775="","",WEEKNUM(B775,2))</f>
        <v>0</v>
      </c>
      <c r="U775" s="25">
        <f>IF(B775="","",IF(K775&lt;&gt;"",K775,IFERROR(INDEX(Services!$E$5:$E$204,MATCH(G775,Services!$A$5:$A$204,0))*1,0)+IFERROR(INDEX(Services!$F$5:$F$204,MATCH(G775,Services!$A$5:$A$204,0))*1,0)))</f>
        <v>0</v>
      </c>
      <c r="V775" s="36">
        <f>IF(B775="","",IF(D775="","",D775+U775/1440))</f>
        <v>0</v>
      </c>
      <c r="W775" s="25">
        <f>IF(B775="","",IF(D775="","",HOUR(D775)))</f>
        <v>0</v>
      </c>
      <c r="X775" s="37">
        <f>IF(B775="","",ROUND(U775/60,2))</f>
        <v>0</v>
      </c>
      <c r="Y775" s="26">
        <f>IF(B775="","",IF(L775&lt;&gt;"",L775,IFERROR(INDEX(Services!$G$5:$G$204,MATCH(G775,Services!$A$5:$A$204,0))*1,0)))</f>
        <v>0</v>
      </c>
      <c r="Z775" s="26">
        <f>IF(B775="","",IF(O775&lt;&gt;"",O775,IF(Y775&gt;=DepositThreshold,ROUND(Y775*DepositPercent,2),0)))</f>
        <v>0</v>
      </c>
      <c r="AA775" s="26">
        <f>IF(B775="","",ROUND(SUMIFS(Payments!$G$5:$G$1204,Payments!$I$5:$I$1204,A775,Payments!$E$5:$E$1204,"Deposit"),2))</f>
        <v>0</v>
      </c>
      <c r="AB775" s="26">
        <f>IF(B775="","",ROUND(SUMIFS(Sales!$Y$5:$Y$1204,Sales!$C$5:$C$1204,A775),2))</f>
        <v>0</v>
      </c>
      <c r="AC775" s="38">
        <f>IF(B775="","",IF(M775="Completed","Yes",IF(M775="Cancelled","Yes",IF(M775="No show","Yes","No"))))</f>
        <v>0</v>
      </c>
      <c r="AD775" s="25">
        <f>IF(B775="","",IF(AE775="","",B775-AE775))</f>
        <v>0</v>
      </c>
      <c r="AF775" s="38">
        <f>IF(B775="","",IF(M775&lt;&gt;"Completed","",IF(E775="","No",IF(COUNTIFS(Appointments!$E$5:$E$1204,E775,Appointments!$B$5:$B$1204,"&gt;"&amp;B775,Appointments!$M$5:$M$1204,"&lt;&gt;Cancelled")&gt;0,"Yes","No"))))</f>
        <v>0</v>
      </c>
      <c r="AG775" s="38">
        <f>IF(B775="","",IF(I775="","",IF(D775="","",IF(COUNTIFS($I$5:$I$1204,I775,$B$5:$B$1204,B775,$D$5:$D$1204,"&lt;"&amp;V775,$V$5:$V$1204,"&gt;"&amp;D775,$M$5:$M$1204,"&lt;&gt;Cancelled")&gt;1,"Clash",""))))</f>
        <v>0</v>
      </c>
      <c r="AH775" s="39">
        <f>IF(B775="","",IF(AG775="Clash","Clash - stylist double booked",IF(I775="","Assign - no stylist yet",IF(G775="","Add - no service chosen",IF(M775="No show","No show - charge the fee?",IF(M775="Cancelled","",IF(IF(M775="Completed",AB775&lt;Y775-0.004,FALSE),"Unpaid - nothing rung up for this visit",IF(IF(B775&lt;TodayDate,M775="Booked",FALSE),"Overdue - past date, still only Booked",IF(IF(B775=TodayDate,TRUE,FALSE),"Today",IF(IF(Z775&gt;0,AA775&lt;Z775-0.004,FALSE),"Due - deposit not taken",IF(IF(B775&gt;TodayDate,B775&lt;=TodayDate+2,FALSE),"Confirm - coming up","OK")))))))))))</f>
        <v>0</v>
      </c>
    </row>
    <row r="776" spans="1:34">
      <c r="A776" s="28">
        <f>IF(B776="","",AppointmentPrefix&amp;TEXT(ROW()-4,"0000"))</f>
        <v>0</v>
      </c>
      <c r="C776" s="15">
        <f>IF(B776="","",TEXT(B776,"ddd"))</f>
        <v>0</v>
      </c>
      <c r="F776" s="15">
        <f>IF(E776="","",IFERROR(INDEX(Clients!$B$5:$B$504,MATCH(E776,Clients!$A$5:$A$504,0)),"Walk-in"))</f>
        <v>0</v>
      </c>
      <c r="H776" s="15">
        <f>IF(G776="","",IFERROR(INDEX(Services!$B$5:$B$204,MATCH(G776,Services!$A$5:$A$204,0)),"Not in Services"))</f>
        <v>0</v>
      </c>
      <c r="J776" s="15">
        <f>IF(I776="","",IFERROR(INDEX(Staff!$B$5:$B$44,MATCH(I776,Staff!$A$5:$A$44,0)),"Unassigned"))</f>
        <v>0</v>
      </c>
      <c r="S776" s="15">
        <f>IF(B776="","",TEXT(B776,"yyyy-mm"))</f>
        <v>0</v>
      </c>
      <c r="T776" s="25">
        <f>IF(B776="","",WEEKNUM(B776,2))</f>
        <v>0</v>
      </c>
      <c r="U776" s="25">
        <f>IF(B776="","",IF(K776&lt;&gt;"",K776,IFERROR(INDEX(Services!$E$5:$E$204,MATCH(G776,Services!$A$5:$A$204,0))*1,0)+IFERROR(INDEX(Services!$F$5:$F$204,MATCH(G776,Services!$A$5:$A$204,0))*1,0)))</f>
        <v>0</v>
      </c>
      <c r="V776" s="36">
        <f>IF(B776="","",IF(D776="","",D776+U776/1440))</f>
        <v>0</v>
      </c>
      <c r="W776" s="25">
        <f>IF(B776="","",IF(D776="","",HOUR(D776)))</f>
        <v>0</v>
      </c>
      <c r="X776" s="37">
        <f>IF(B776="","",ROUND(U776/60,2))</f>
        <v>0</v>
      </c>
      <c r="Y776" s="26">
        <f>IF(B776="","",IF(L776&lt;&gt;"",L776,IFERROR(INDEX(Services!$G$5:$G$204,MATCH(G776,Services!$A$5:$A$204,0))*1,0)))</f>
        <v>0</v>
      </c>
      <c r="Z776" s="26">
        <f>IF(B776="","",IF(O776&lt;&gt;"",O776,IF(Y776&gt;=DepositThreshold,ROUND(Y776*DepositPercent,2),0)))</f>
        <v>0</v>
      </c>
      <c r="AA776" s="26">
        <f>IF(B776="","",ROUND(SUMIFS(Payments!$G$5:$G$1204,Payments!$I$5:$I$1204,A776,Payments!$E$5:$E$1204,"Deposit"),2))</f>
        <v>0</v>
      </c>
      <c r="AB776" s="26">
        <f>IF(B776="","",ROUND(SUMIFS(Sales!$Y$5:$Y$1204,Sales!$C$5:$C$1204,A776),2))</f>
        <v>0</v>
      </c>
      <c r="AC776" s="38">
        <f>IF(B776="","",IF(M776="Completed","Yes",IF(M776="Cancelled","Yes",IF(M776="No show","Yes","No"))))</f>
        <v>0</v>
      </c>
      <c r="AD776" s="25">
        <f>IF(B776="","",IF(AE776="","",B776-AE776))</f>
        <v>0</v>
      </c>
      <c r="AF776" s="38">
        <f>IF(B776="","",IF(M776&lt;&gt;"Completed","",IF(E776="","No",IF(COUNTIFS(Appointments!$E$5:$E$1204,E776,Appointments!$B$5:$B$1204,"&gt;"&amp;B776,Appointments!$M$5:$M$1204,"&lt;&gt;Cancelled")&gt;0,"Yes","No"))))</f>
        <v>0</v>
      </c>
      <c r="AG776" s="38">
        <f>IF(B776="","",IF(I776="","",IF(D776="","",IF(COUNTIFS($I$5:$I$1204,I776,$B$5:$B$1204,B776,$D$5:$D$1204,"&lt;"&amp;V776,$V$5:$V$1204,"&gt;"&amp;D776,$M$5:$M$1204,"&lt;&gt;Cancelled")&gt;1,"Clash",""))))</f>
        <v>0</v>
      </c>
      <c r="AH776" s="39">
        <f>IF(B776="","",IF(AG776="Clash","Clash - stylist double booked",IF(I776="","Assign - no stylist yet",IF(G776="","Add - no service chosen",IF(M776="No show","No show - charge the fee?",IF(M776="Cancelled","",IF(IF(M776="Completed",AB776&lt;Y776-0.004,FALSE),"Unpaid - nothing rung up for this visit",IF(IF(B776&lt;TodayDate,M776="Booked",FALSE),"Overdue - past date, still only Booked",IF(IF(B776=TodayDate,TRUE,FALSE),"Today",IF(IF(Z776&gt;0,AA776&lt;Z776-0.004,FALSE),"Due - deposit not taken",IF(IF(B776&gt;TodayDate,B776&lt;=TodayDate+2,FALSE),"Confirm - coming up","OK")))))))))))</f>
        <v>0</v>
      </c>
    </row>
    <row r="777" spans="1:34">
      <c r="A777" s="28">
        <f>IF(B777="","",AppointmentPrefix&amp;TEXT(ROW()-4,"0000"))</f>
        <v>0</v>
      </c>
      <c r="C777" s="15">
        <f>IF(B777="","",TEXT(B777,"ddd"))</f>
        <v>0</v>
      </c>
      <c r="F777" s="15">
        <f>IF(E777="","",IFERROR(INDEX(Clients!$B$5:$B$504,MATCH(E777,Clients!$A$5:$A$504,0)),"Walk-in"))</f>
        <v>0</v>
      </c>
      <c r="H777" s="15">
        <f>IF(G777="","",IFERROR(INDEX(Services!$B$5:$B$204,MATCH(G777,Services!$A$5:$A$204,0)),"Not in Services"))</f>
        <v>0</v>
      </c>
      <c r="J777" s="15">
        <f>IF(I777="","",IFERROR(INDEX(Staff!$B$5:$B$44,MATCH(I777,Staff!$A$5:$A$44,0)),"Unassigned"))</f>
        <v>0</v>
      </c>
      <c r="S777" s="15">
        <f>IF(B777="","",TEXT(B777,"yyyy-mm"))</f>
        <v>0</v>
      </c>
      <c r="T777" s="25">
        <f>IF(B777="","",WEEKNUM(B777,2))</f>
        <v>0</v>
      </c>
      <c r="U777" s="25">
        <f>IF(B777="","",IF(K777&lt;&gt;"",K777,IFERROR(INDEX(Services!$E$5:$E$204,MATCH(G777,Services!$A$5:$A$204,0))*1,0)+IFERROR(INDEX(Services!$F$5:$F$204,MATCH(G777,Services!$A$5:$A$204,0))*1,0)))</f>
        <v>0</v>
      </c>
      <c r="V777" s="36">
        <f>IF(B777="","",IF(D777="","",D777+U777/1440))</f>
        <v>0</v>
      </c>
      <c r="W777" s="25">
        <f>IF(B777="","",IF(D777="","",HOUR(D777)))</f>
        <v>0</v>
      </c>
      <c r="X777" s="37">
        <f>IF(B777="","",ROUND(U777/60,2))</f>
        <v>0</v>
      </c>
      <c r="Y777" s="26">
        <f>IF(B777="","",IF(L777&lt;&gt;"",L777,IFERROR(INDEX(Services!$G$5:$G$204,MATCH(G777,Services!$A$5:$A$204,0))*1,0)))</f>
        <v>0</v>
      </c>
      <c r="Z777" s="26">
        <f>IF(B777="","",IF(O777&lt;&gt;"",O777,IF(Y777&gt;=DepositThreshold,ROUND(Y777*DepositPercent,2),0)))</f>
        <v>0</v>
      </c>
      <c r="AA777" s="26">
        <f>IF(B777="","",ROUND(SUMIFS(Payments!$G$5:$G$1204,Payments!$I$5:$I$1204,A777,Payments!$E$5:$E$1204,"Deposit"),2))</f>
        <v>0</v>
      </c>
      <c r="AB777" s="26">
        <f>IF(B777="","",ROUND(SUMIFS(Sales!$Y$5:$Y$1204,Sales!$C$5:$C$1204,A777),2))</f>
        <v>0</v>
      </c>
      <c r="AC777" s="38">
        <f>IF(B777="","",IF(M777="Completed","Yes",IF(M777="Cancelled","Yes",IF(M777="No show","Yes","No"))))</f>
        <v>0</v>
      </c>
      <c r="AD777" s="25">
        <f>IF(B777="","",IF(AE777="","",B777-AE777))</f>
        <v>0</v>
      </c>
      <c r="AF777" s="38">
        <f>IF(B777="","",IF(M777&lt;&gt;"Completed","",IF(E777="","No",IF(COUNTIFS(Appointments!$E$5:$E$1204,E777,Appointments!$B$5:$B$1204,"&gt;"&amp;B777,Appointments!$M$5:$M$1204,"&lt;&gt;Cancelled")&gt;0,"Yes","No"))))</f>
        <v>0</v>
      </c>
      <c r="AG777" s="38">
        <f>IF(B777="","",IF(I777="","",IF(D777="","",IF(COUNTIFS($I$5:$I$1204,I777,$B$5:$B$1204,B777,$D$5:$D$1204,"&lt;"&amp;V777,$V$5:$V$1204,"&gt;"&amp;D777,$M$5:$M$1204,"&lt;&gt;Cancelled")&gt;1,"Clash",""))))</f>
        <v>0</v>
      </c>
      <c r="AH777" s="39">
        <f>IF(B777="","",IF(AG777="Clash","Clash - stylist double booked",IF(I777="","Assign - no stylist yet",IF(G777="","Add - no service chosen",IF(M777="No show","No show - charge the fee?",IF(M777="Cancelled","",IF(IF(M777="Completed",AB777&lt;Y777-0.004,FALSE),"Unpaid - nothing rung up for this visit",IF(IF(B777&lt;TodayDate,M777="Booked",FALSE),"Overdue - past date, still only Booked",IF(IF(B777=TodayDate,TRUE,FALSE),"Today",IF(IF(Z777&gt;0,AA777&lt;Z777-0.004,FALSE),"Due - deposit not taken",IF(IF(B777&gt;TodayDate,B777&lt;=TodayDate+2,FALSE),"Confirm - coming up","OK")))))))))))</f>
        <v>0</v>
      </c>
    </row>
    <row r="778" spans="1:34">
      <c r="A778" s="28">
        <f>IF(B778="","",AppointmentPrefix&amp;TEXT(ROW()-4,"0000"))</f>
        <v>0</v>
      </c>
      <c r="C778" s="15">
        <f>IF(B778="","",TEXT(B778,"ddd"))</f>
        <v>0</v>
      </c>
      <c r="F778" s="15">
        <f>IF(E778="","",IFERROR(INDEX(Clients!$B$5:$B$504,MATCH(E778,Clients!$A$5:$A$504,0)),"Walk-in"))</f>
        <v>0</v>
      </c>
      <c r="H778" s="15">
        <f>IF(G778="","",IFERROR(INDEX(Services!$B$5:$B$204,MATCH(G778,Services!$A$5:$A$204,0)),"Not in Services"))</f>
        <v>0</v>
      </c>
      <c r="J778" s="15">
        <f>IF(I778="","",IFERROR(INDEX(Staff!$B$5:$B$44,MATCH(I778,Staff!$A$5:$A$44,0)),"Unassigned"))</f>
        <v>0</v>
      </c>
      <c r="S778" s="15">
        <f>IF(B778="","",TEXT(B778,"yyyy-mm"))</f>
        <v>0</v>
      </c>
      <c r="T778" s="25">
        <f>IF(B778="","",WEEKNUM(B778,2))</f>
        <v>0</v>
      </c>
      <c r="U778" s="25">
        <f>IF(B778="","",IF(K778&lt;&gt;"",K778,IFERROR(INDEX(Services!$E$5:$E$204,MATCH(G778,Services!$A$5:$A$204,0))*1,0)+IFERROR(INDEX(Services!$F$5:$F$204,MATCH(G778,Services!$A$5:$A$204,0))*1,0)))</f>
        <v>0</v>
      </c>
      <c r="V778" s="36">
        <f>IF(B778="","",IF(D778="","",D778+U778/1440))</f>
        <v>0</v>
      </c>
      <c r="W778" s="25">
        <f>IF(B778="","",IF(D778="","",HOUR(D778)))</f>
        <v>0</v>
      </c>
      <c r="X778" s="37">
        <f>IF(B778="","",ROUND(U778/60,2))</f>
        <v>0</v>
      </c>
      <c r="Y778" s="26">
        <f>IF(B778="","",IF(L778&lt;&gt;"",L778,IFERROR(INDEX(Services!$G$5:$G$204,MATCH(G778,Services!$A$5:$A$204,0))*1,0)))</f>
        <v>0</v>
      </c>
      <c r="Z778" s="26">
        <f>IF(B778="","",IF(O778&lt;&gt;"",O778,IF(Y778&gt;=DepositThreshold,ROUND(Y778*DepositPercent,2),0)))</f>
        <v>0</v>
      </c>
      <c r="AA778" s="26">
        <f>IF(B778="","",ROUND(SUMIFS(Payments!$G$5:$G$1204,Payments!$I$5:$I$1204,A778,Payments!$E$5:$E$1204,"Deposit"),2))</f>
        <v>0</v>
      </c>
      <c r="AB778" s="26">
        <f>IF(B778="","",ROUND(SUMIFS(Sales!$Y$5:$Y$1204,Sales!$C$5:$C$1204,A778),2))</f>
        <v>0</v>
      </c>
      <c r="AC778" s="38">
        <f>IF(B778="","",IF(M778="Completed","Yes",IF(M778="Cancelled","Yes",IF(M778="No show","Yes","No"))))</f>
        <v>0</v>
      </c>
      <c r="AD778" s="25">
        <f>IF(B778="","",IF(AE778="","",B778-AE778))</f>
        <v>0</v>
      </c>
      <c r="AF778" s="38">
        <f>IF(B778="","",IF(M778&lt;&gt;"Completed","",IF(E778="","No",IF(COUNTIFS(Appointments!$E$5:$E$1204,E778,Appointments!$B$5:$B$1204,"&gt;"&amp;B778,Appointments!$M$5:$M$1204,"&lt;&gt;Cancelled")&gt;0,"Yes","No"))))</f>
        <v>0</v>
      </c>
      <c r="AG778" s="38">
        <f>IF(B778="","",IF(I778="","",IF(D778="","",IF(COUNTIFS($I$5:$I$1204,I778,$B$5:$B$1204,B778,$D$5:$D$1204,"&lt;"&amp;V778,$V$5:$V$1204,"&gt;"&amp;D778,$M$5:$M$1204,"&lt;&gt;Cancelled")&gt;1,"Clash",""))))</f>
        <v>0</v>
      </c>
      <c r="AH778" s="39">
        <f>IF(B778="","",IF(AG778="Clash","Clash - stylist double booked",IF(I778="","Assign - no stylist yet",IF(G778="","Add - no service chosen",IF(M778="No show","No show - charge the fee?",IF(M778="Cancelled","",IF(IF(M778="Completed",AB778&lt;Y778-0.004,FALSE),"Unpaid - nothing rung up for this visit",IF(IF(B778&lt;TodayDate,M778="Booked",FALSE),"Overdue - past date, still only Booked",IF(IF(B778=TodayDate,TRUE,FALSE),"Today",IF(IF(Z778&gt;0,AA778&lt;Z778-0.004,FALSE),"Due - deposit not taken",IF(IF(B778&gt;TodayDate,B778&lt;=TodayDate+2,FALSE),"Confirm - coming up","OK")))))))))))</f>
        <v>0</v>
      </c>
    </row>
    <row r="779" spans="1:34">
      <c r="A779" s="28">
        <f>IF(B779="","",AppointmentPrefix&amp;TEXT(ROW()-4,"0000"))</f>
        <v>0</v>
      </c>
      <c r="C779" s="15">
        <f>IF(B779="","",TEXT(B779,"ddd"))</f>
        <v>0</v>
      </c>
      <c r="F779" s="15">
        <f>IF(E779="","",IFERROR(INDEX(Clients!$B$5:$B$504,MATCH(E779,Clients!$A$5:$A$504,0)),"Walk-in"))</f>
        <v>0</v>
      </c>
      <c r="H779" s="15">
        <f>IF(G779="","",IFERROR(INDEX(Services!$B$5:$B$204,MATCH(G779,Services!$A$5:$A$204,0)),"Not in Services"))</f>
        <v>0</v>
      </c>
      <c r="J779" s="15">
        <f>IF(I779="","",IFERROR(INDEX(Staff!$B$5:$B$44,MATCH(I779,Staff!$A$5:$A$44,0)),"Unassigned"))</f>
        <v>0</v>
      </c>
      <c r="S779" s="15">
        <f>IF(B779="","",TEXT(B779,"yyyy-mm"))</f>
        <v>0</v>
      </c>
      <c r="T779" s="25">
        <f>IF(B779="","",WEEKNUM(B779,2))</f>
        <v>0</v>
      </c>
      <c r="U779" s="25">
        <f>IF(B779="","",IF(K779&lt;&gt;"",K779,IFERROR(INDEX(Services!$E$5:$E$204,MATCH(G779,Services!$A$5:$A$204,0))*1,0)+IFERROR(INDEX(Services!$F$5:$F$204,MATCH(G779,Services!$A$5:$A$204,0))*1,0)))</f>
        <v>0</v>
      </c>
      <c r="V779" s="36">
        <f>IF(B779="","",IF(D779="","",D779+U779/1440))</f>
        <v>0</v>
      </c>
      <c r="W779" s="25">
        <f>IF(B779="","",IF(D779="","",HOUR(D779)))</f>
        <v>0</v>
      </c>
      <c r="X779" s="37">
        <f>IF(B779="","",ROUND(U779/60,2))</f>
        <v>0</v>
      </c>
      <c r="Y779" s="26">
        <f>IF(B779="","",IF(L779&lt;&gt;"",L779,IFERROR(INDEX(Services!$G$5:$G$204,MATCH(G779,Services!$A$5:$A$204,0))*1,0)))</f>
        <v>0</v>
      </c>
      <c r="Z779" s="26">
        <f>IF(B779="","",IF(O779&lt;&gt;"",O779,IF(Y779&gt;=DepositThreshold,ROUND(Y779*DepositPercent,2),0)))</f>
        <v>0</v>
      </c>
      <c r="AA779" s="26">
        <f>IF(B779="","",ROUND(SUMIFS(Payments!$G$5:$G$1204,Payments!$I$5:$I$1204,A779,Payments!$E$5:$E$1204,"Deposit"),2))</f>
        <v>0</v>
      </c>
      <c r="AB779" s="26">
        <f>IF(B779="","",ROUND(SUMIFS(Sales!$Y$5:$Y$1204,Sales!$C$5:$C$1204,A779),2))</f>
        <v>0</v>
      </c>
      <c r="AC779" s="38">
        <f>IF(B779="","",IF(M779="Completed","Yes",IF(M779="Cancelled","Yes",IF(M779="No show","Yes","No"))))</f>
        <v>0</v>
      </c>
      <c r="AD779" s="25">
        <f>IF(B779="","",IF(AE779="","",B779-AE779))</f>
        <v>0</v>
      </c>
      <c r="AF779" s="38">
        <f>IF(B779="","",IF(M779&lt;&gt;"Completed","",IF(E779="","No",IF(COUNTIFS(Appointments!$E$5:$E$1204,E779,Appointments!$B$5:$B$1204,"&gt;"&amp;B779,Appointments!$M$5:$M$1204,"&lt;&gt;Cancelled")&gt;0,"Yes","No"))))</f>
        <v>0</v>
      </c>
      <c r="AG779" s="38">
        <f>IF(B779="","",IF(I779="","",IF(D779="","",IF(COUNTIFS($I$5:$I$1204,I779,$B$5:$B$1204,B779,$D$5:$D$1204,"&lt;"&amp;V779,$V$5:$V$1204,"&gt;"&amp;D779,$M$5:$M$1204,"&lt;&gt;Cancelled")&gt;1,"Clash",""))))</f>
        <v>0</v>
      </c>
      <c r="AH779" s="39">
        <f>IF(B779="","",IF(AG779="Clash","Clash - stylist double booked",IF(I779="","Assign - no stylist yet",IF(G779="","Add - no service chosen",IF(M779="No show","No show - charge the fee?",IF(M779="Cancelled","",IF(IF(M779="Completed",AB779&lt;Y779-0.004,FALSE),"Unpaid - nothing rung up for this visit",IF(IF(B779&lt;TodayDate,M779="Booked",FALSE),"Overdue - past date, still only Booked",IF(IF(B779=TodayDate,TRUE,FALSE),"Today",IF(IF(Z779&gt;0,AA779&lt;Z779-0.004,FALSE),"Due - deposit not taken",IF(IF(B779&gt;TodayDate,B779&lt;=TodayDate+2,FALSE),"Confirm - coming up","OK")))))))))))</f>
        <v>0</v>
      </c>
    </row>
    <row r="780" spans="1:34">
      <c r="A780" s="28">
        <f>IF(B780="","",AppointmentPrefix&amp;TEXT(ROW()-4,"0000"))</f>
        <v>0</v>
      </c>
      <c r="C780" s="15">
        <f>IF(B780="","",TEXT(B780,"ddd"))</f>
        <v>0</v>
      </c>
      <c r="F780" s="15">
        <f>IF(E780="","",IFERROR(INDEX(Clients!$B$5:$B$504,MATCH(E780,Clients!$A$5:$A$504,0)),"Walk-in"))</f>
        <v>0</v>
      </c>
      <c r="H780" s="15">
        <f>IF(G780="","",IFERROR(INDEX(Services!$B$5:$B$204,MATCH(G780,Services!$A$5:$A$204,0)),"Not in Services"))</f>
        <v>0</v>
      </c>
      <c r="J780" s="15">
        <f>IF(I780="","",IFERROR(INDEX(Staff!$B$5:$B$44,MATCH(I780,Staff!$A$5:$A$44,0)),"Unassigned"))</f>
        <v>0</v>
      </c>
      <c r="S780" s="15">
        <f>IF(B780="","",TEXT(B780,"yyyy-mm"))</f>
        <v>0</v>
      </c>
      <c r="T780" s="25">
        <f>IF(B780="","",WEEKNUM(B780,2))</f>
        <v>0</v>
      </c>
      <c r="U780" s="25">
        <f>IF(B780="","",IF(K780&lt;&gt;"",K780,IFERROR(INDEX(Services!$E$5:$E$204,MATCH(G780,Services!$A$5:$A$204,0))*1,0)+IFERROR(INDEX(Services!$F$5:$F$204,MATCH(G780,Services!$A$5:$A$204,0))*1,0)))</f>
        <v>0</v>
      </c>
      <c r="V780" s="36">
        <f>IF(B780="","",IF(D780="","",D780+U780/1440))</f>
        <v>0</v>
      </c>
      <c r="W780" s="25">
        <f>IF(B780="","",IF(D780="","",HOUR(D780)))</f>
        <v>0</v>
      </c>
      <c r="X780" s="37">
        <f>IF(B780="","",ROUND(U780/60,2))</f>
        <v>0</v>
      </c>
      <c r="Y780" s="26">
        <f>IF(B780="","",IF(L780&lt;&gt;"",L780,IFERROR(INDEX(Services!$G$5:$G$204,MATCH(G780,Services!$A$5:$A$204,0))*1,0)))</f>
        <v>0</v>
      </c>
      <c r="Z780" s="26">
        <f>IF(B780="","",IF(O780&lt;&gt;"",O780,IF(Y780&gt;=DepositThreshold,ROUND(Y780*DepositPercent,2),0)))</f>
        <v>0</v>
      </c>
      <c r="AA780" s="26">
        <f>IF(B780="","",ROUND(SUMIFS(Payments!$G$5:$G$1204,Payments!$I$5:$I$1204,A780,Payments!$E$5:$E$1204,"Deposit"),2))</f>
        <v>0</v>
      </c>
      <c r="AB780" s="26">
        <f>IF(B780="","",ROUND(SUMIFS(Sales!$Y$5:$Y$1204,Sales!$C$5:$C$1204,A780),2))</f>
        <v>0</v>
      </c>
      <c r="AC780" s="38">
        <f>IF(B780="","",IF(M780="Completed","Yes",IF(M780="Cancelled","Yes",IF(M780="No show","Yes","No"))))</f>
        <v>0</v>
      </c>
      <c r="AD780" s="25">
        <f>IF(B780="","",IF(AE780="","",B780-AE780))</f>
        <v>0</v>
      </c>
      <c r="AF780" s="38">
        <f>IF(B780="","",IF(M780&lt;&gt;"Completed","",IF(E780="","No",IF(COUNTIFS(Appointments!$E$5:$E$1204,E780,Appointments!$B$5:$B$1204,"&gt;"&amp;B780,Appointments!$M$5:$M$1204,"&lt;&gt;Cancelled")&gt;0,"Yes","No"))))</f>
        <v>0</v>
      </c>
      <c r="AG780" s="38">
        <f>IF(B780="","",IF(I780="","",IF(D780="","",IF(COUNTIFS($I$5:$I$1204,I780,$B$5:$B$1204,B780,$D$5:$D$1204,"&lt;"&amp;V780,$V$5:$V$1204,"&gt;"&amp;D780,$M$5:$M$1204,"&lt;&gt;Cancelled")&gt;1,"Clash",""))))</f>
        <v>0</v>
      </c>
      <c r="AH780" s="39">
        <f>IF(B780="","",IF(AG780="Clash","Clash - stylist double booked",IF(I780="","Assign - no stylist yet",IF(G780="","Add - no service chosen",IF(M780="No show","No show - charge the fee?",IF(M780="Cancelled","",IF(IF(M780="Completed",AB780&lt;Y780-0.004,FALSE),"Unpaid - nothing rung up for this visit",IF(IF(B780&lt;TodayDate,M780="Booked",FALSE),"Overdue - past date, still only Booked",IF(IF(B780=TodayDate,TRUE,FALSE),"Today",IF(IF(Z780&gt;0,AA780&lt;Z780-0.004,FALSE),"Due - deposit not taken",IF(IF(B780&gt;TodayDate,B780&lt;=TodayDate+2,FALSE),"Confirm - coming up","OK")))))))))))</f>
        <v>0</v>
      </c>
    </row>
    <row r="781" spans="1:34">
      <c r="A781" s="28">
        <f>IF(B781="","",AppointmentPrefix&amp;TEXT(ROW()-4,"0000"))</f>
        <v>0</v>
      </c>
      <c r="C781" s="15">
        <f>IF(B781="","",TEXT(B781,"ddd"))</f>
        <v>0</v>
      </c>
      <c r="F781" s="15">
        <f>IF(E781="","",IFERROR(INDEX(Clients!$B$5:$B$504,MATCH(E781,Clients!$A$5:$A$504,0)),"Walk-in"))</f>
        <v>0</v>
      </c>
      <c r="H781" s="15">
        <f>IF(G781="","",IFERROR(INDEX(Services!$B$5:$B$204,MATCH(G781,Services!$A$5:$A$204,0)),"Not in Services"))</f>
        <v>0</v>
      </c>
      <c r="J781" s="15">
        <f>IF(I781="","",IFERROR(INDEX(Staff!$B$5:$B$44,MATCH(I781,Staff!$A$5:$A$44,0)),"Unassigned"))</f>
        <v>0</v>
      </c>
      <c r="S781" s="15">
        <f>IF(B781="","",TEXT(B781,"yyyy-mm"))</f>
        <v>0</v>
      </c>
      <c r="T781" s="25">
        <f>IF(B781="","",WEEKNUM(B781,2))</f>
        <v>0</v>
      </c>
      <c r="U781" s="25">
        <f>IF(B781="","",IF(K781&lt;&gt;"",K781,IFERROR(INDEX(Services!$E$5:$E$204,MATCH(G781,Services!$A$5:$A$204,0))*1,0)+IFERROR(INDEX(Services!$F$5:$F$204,MATCH(G781,Services!$A$5:$A$204,0))*1,0)))</f>
        <v>0</v>
      </c>
      <c r="V781" s="36">
        <f>IF(B781="","",IF(D781="","",D781+U781/1440))</f>
        <v>0</v>
      </c>
      <c r="W781" s="25">
        <f>IF(B781="","",IF(D781="","",HOUR(D781)))</f>
        <v>0</v>
      </c>
      <c r="X781" s="37">
        <f>IF(B781="","",ROUND(U781/60,2))</f>
        <v>0</v>
      </c>
      <c r="Y781" s="26">
        <f>IF(B781="","",IF(L781&lt;&gt;"",L781,IFERROR(INDEX(Services!$G$5:$G$204,MATCH(G781,Services!$A$5:$A$204,0))*1,0)))</f>
        <v>0</v>
      </c>
      <c r="Z781" s="26">
        <f>IF(B781="","",IF(O781&lt;&gt;"",O781,IF(Y781&gt;=DepositThreshold,ROUND(Y781*DepositPercent,2),0)))</f>
        <v>0</v>
      </c>
      <c r="AA781" s="26">
        <f>IF(B781="","",ROUND(SUMIFS(Payments!$G$5:$G$1204,Payments!$I$5:$I$1204,A781,Payments!$E$5:$E$1204,"Deposit"),2))</f>
        <v>0</v>
      </c>
      <c r="AB781" s="26">
        <f>IF(B781="","",ROUND(SUMIFS(Sales!$Y$5:$Y$1204,Sales!$C$5:$C$1204,A781),2))</f>
        <v>0</v>
      </c>
      <c r="AC781" s="38">
        <f>IF(B781="","",IF(M781="Completed","Yes",IF(M781="Cancelled","Yes",IF(M781="No show","Yes","No"))))</f>
        <v>0</v>
      </c>
      <c r="AD781" s="25">
        <f>IF(B781="","",IF(AE781="","",B781-AE781))</f>
        <v>0</v>
      </c>
      <c r="AF781" s="38">
        <f>IF(B781="","",IF(M781&lt;&gt;"Completed","",IF(E781="","No",IF(COUNTIFS(Appointments!$E$5:$E$1204,E781,Appointments!$B$5:$B$1204,"&gt;"&amp;B781,Appointments!$M$5:$M$1204,"&lt;&gt;Cancelled")&gt;0,"Yes","No"))))</f>
        <v>0</v>
      </c>
      <c r="AG781" s="38">
        <f>IF(B781="","",IF(I781="","",IF(D781="","",IF(COUNTIFS($I$5:$I$1204,I781,$B$5:$B$1204,B781,$D$5:$D$1204,"&lt;"&amp;V781,$V$5:$V$1204,"&gt;"&amp;D781,$M$5:$M$1204,"&lt;&gt;Cancelled")&gt;1,"Clash",""))))</f>
        <v>0</v>
      </c>
      <c r="AH781" s="39">
        <f>IF(B781="","",IF(AG781="Clash","Clash - stylist double booked",IF(I781="","Assign - no stylist yet",IF(G781="","Add - no service chosen",IF(M781="No show","No show - charge the fee?",IF(M781="Cancelled","",IF(IF(M781="Completed",AB781&lt;Y781-0.004,FALSE),"Unpaid - nothing rung up for this visit",IF(IF(B781&lt;TodayDate,M781="Booked",FALSE),"Overdue - past date, still only Booked",IF(IF(B781=TodayDate,TRUE,FALSE),"Today",IF(IF(Z781&gt;0,AA781&lt;Z781-0.004,FALSE),"Due - deposit not taken",IF(IF(B781&gt;TodayDate,B781&lt;=TodayDate+2,FALSE),"Confirm - coming up","OK")))))))))))</f>
        <v>0</v>
      </c>
    </row>
    <row r="782" spans="1:34">
      <c r="A782" s="28">
        <f>IF(B782="","",AppointmentPrefix&amp;TEXT(ROW()-4,"0000"))</f>
        <v>0</v>
      </c>
      <c r="C782" s="15">
        <f>IF(B782="","",TEXT(B782,"ddd"))</f>
        <v>0</v>
      </c>
      <c r="F782" s="15">
        <f>IF(E782="","",IFERROR(INDEX(Clients!$B$5:$B$504,MATCH(E782,Clients!$A$5:$A$504,0)),"Walk-in"))</f>
        <v>0</v>
      </c>
      <c r="H782" s="15">
        <f>IF(G782="","",IFERROR(INDEX(Services!$B$5:$B$204,MATCH(G782,Services!$A$5:$A$204,0)),"Not in Services"))</f>
        <v>0</v>
      </c>
      <c r="J782" s="15">
        <f>IF(I782="","",IFERROR(INDEX(Staff!$B$5:$B$44,MATCH(I782,Staff!$A$5:$A$44,0)),"Unassigned"))</f>
        <v>0</v>
      </c>
      <c r="S782" s="15">
        <f>IF(B782="","",TEXT(B782,"yyyy-mm"))</f>
        <v>0</v>
      </c>
      <c r="T782" s="25">
        <f>IF(B782="","",WEEKNUM(B782,2))</f>
        <v>0</v>
      </c>
      <c r="U782" s="25">
        <f>IF(B782="","",IF(K782&lt;&gt;"",K782,IFERROR(INDEX(Services!$E$5:$E$204,MATCH(G782,Services!$A$5:$A$204,0))*1,0)+IFERROR(INDEX(Services!$F$5:$F$204,MATCH(G782,Services!$A$5:$A$204,0))*1,0)))</f>
        <v>0</v>
      </c>
      <c r="V782" s="36">
        <f>IF(B782="","",IF(D782="","",D782+U782/1440))</f>
        <v>0</v>
      </c>
      <c r="W782" s="25">
        <f>IF(B782="","",IF(D782="","",HOUR(D782)))</f>
        <v>0</v>
      </c>
      <c r="X782" s="37">
        <f>IF(B782="","",ROUND(U782/60,2))</f>
        <v>0</v>
      </c>
      <c r="Y782" s="26">
        <f>IF(B782="","",IF(L782&lt;&gt;"",L782,IFERROR(INDEX(Services!$G$5:$G$204,MATCH(G782,Services!$A$5:$A$204,0))*1,0)))</f>
        <v>0</v>
      </c>
      <c r="Z782" s="26">
        <f>IF(B782="","",IF(O782&lt;&gt;"",O782,IF(Y782&gt;=DepositThreshold,ROUND(Y782*DepositPercent,2),0)))</f>
        <v>0</v>
      </c>
      <c r="AA782" s="26">
        <f>IF(B782="","",ROUND(SUMIFS(Payments!$G$5:$G$1204,Payments!$I$5:$I$1204,A782,Payments!$E$5:$E$1204,"Deposit"),2))</f>
        <v>0</v>
      </c>
      <c r="AB782" s="26">
        <f>IF(B782="","",ROUND(SUMIFS(Sales!$Y$5:$Y$1204,Sales!$C$5:$C$1204,A782),2))</f>
        <v>0</v>
      </c>
      <c r="AC782" s="38">
        <f>IF(B782="","",IF(M782="Completed","Yes",IF(M782="Cancelled","Yes",IF(M782="No show","Yes","No"))))</f>
        <v>0</v>
      </c>
      <c r="AD782" s="25">
        <f>IF(B782="","",IF(AE782="","",B782-AE782))</f>
        <v>0</v>
      </c>
      <c r="AF782" s="38">
        <f>IF(B782="","",IF(M782&lt;&gt;"Completed","",IF(E782="","No",IF(COUNTIFS(Appointments!$E$5:$E$1204,E782,Appointments!$B$5:$B$1204,"&gt;"&amp;B782,Appointments!$M$5:$M$1204,"&lt;&gt;Cancelled")&gt;0,"Yes","No"))))</f>
        <v>0</v>
      </c>
      <c r="AG782" s="38">
        <f>IF(B782="","",IF(I782="","",IF(D782="","",IF(COUNTIFS($I$5:$I$1204,I782,$B$5:$B$1204,B782,$D$5:$D$1204,"&lt;"&amp;V782,$V$5:$V$1204,"&gt;"&amp;D782,$M$5:$M$1204,"&lt;&gt;Cancelled")&gt;1,"Clash",""))))</f>
        <v>0</v>
      </c>
      <c r="AH782" s="39">
        <f>IF(B782="","",IF(AG782="Clash","Clash - stylist double booked",IF(I782="","Assign - no stylist yet",IF(G782="","Add - no service chosen",IF(M782="No show","No show - charge the fee?",IF(M782="Cancelled","",IF(IF(M782="Completed",AB782&lt;Y782-0.004,FALSE),"Unpaid - nothing rung up for this visit",IF(IF(B782&lt;TodayDate,M782="Booked",FALSE),"Overdue - past date, still only Booked",IF(IF(B782=TodayDate,TRUE,FALSE),"Today",IF(IF(Z782&gt;0,AA782&lt;Z782-0.004,FALSE),"Due - deposit not taken",IF(IF(B782&gt;TodayDate,B782&lt;=TodayDate+2,FALSE),"Confirm - coming up","OK")))))))))))</f>
        <v>0</v>
      </c>
    </row>
    <row r="783" spans="1:34">
      <c r="A783" s="28">
        <f>IF(B783="","",AppointmentPrefix&amp;TEXT(ROW()-4,"0000"))</f>
        <v>0</v>
      </c>
      <c r="C783" s="15">
        <f>IF(B783="","",TEXT(B783,"ddd"))</f>
        <v>0</v>
      </c>
      <c r="F783" s="15">
        <f>IF(E783="","",IFERROR(INDEX(Clients!$B$5:$B$504,MATCH(E783,Clients!$A$5:$A$504,0)),"Walk-in"))</f>
        <v>0</v>
      </c>
      <c r="H783" s="15">
        <f>IF(G783="","",IFERROR(INDEX(Services!$B$5:$B$204,MATCH(G783,Services!$A$5:$A$204,0)),"Not in Services"))</f>
        <v>0</v>
      </c>
      <c r="J783" s="15">
        <f>IF(I783="","",IFERROR(INDEX(Staff!$B$5:$B$44,MATCH(I783,Staff!$A$5:$A$44,0)),"Unassigned"))</f>
        <v>0</v>
      </c>
      <c r="S783" s="15">
        <f>IF(B783="","",TEXT(B783,"yyyy-mm"))</f>
        <v>0</v>
      </c>
      <c r="T783" s="25">
        <f>IF(B783="","",WEEKNUM(B783,2))</f>
        <v>0</v>
      </c>
      <c r="U783" s="25">
        <f>IF(B783="","",IF(K783&lt;&gt;"",K783,IFERROR(INDEX(Services!$E$5:$E$204,MATCH(G783,Services!$A$5:$A$204,0))*1,0)+IFERROR(INDEX(Services!$F$5:$F$204,MATCH(G783,Services!$A$5:$A$204,0))*1,0)))</f>
        <v>0</v>
      </c>
      <c r="V783" s="36">
        <f>IF(B783="","",IF(D783="","",D783+U783/1440))</f>
        <v>0</v>
      </c>
      <c r="W783" s="25">
        <f>IF(B783="","",IF(D783="","",HOUR(D783)))</f>
        <v>0</v>
      </c>
      <c r="X783" s="37">
        <f>IF(B783="","",ROUND(U783/60,2))</f>
        <v>0</v>
      </c>
      <c r="Y783" s="26">
        <f>IF(B783="","",IF(L783&lt;&gt;"",L783,IFERROR(INDEX(Services!$G$5:$G$204,MATCH(G783,Services!$A$5:$A$204,0))*1,0)))</f>
        <v>0</v>
      </c>
      <c r="Z783" s="26">
        <f>IF(B783="","",IF(O783&lt;&gt;"",O783,IF(Y783&gt;=DepositThreshold,ROUND(Y783*DepositPercent,2),0)))</f>
        <v>0</v>
      </c>
      <c r="AA783" s="26">
        <f>IF(B783="","",ROUND(SUMIFS(Payments!$G$5:$G$1204,Payments!$I$5:$I$1204,A783,Payments!$E$5:$E$1204,"Deposit"),2))</f>
        <v>0</v>
      </c>
      <c r="AB783" s="26">
        <f>IF(B783="","",ROUND(SUMIFS(Sales!$Y$5:$Y$1204,Sales!$C$5:$C$1204,A783),2))</f>
        <v>0</v>
      </c>
      <c r="AC783" s="38">
        <f>IF(B783="","",IF(M783="Completed","Yes",IF(M783="Cancelled","Yes",IF(M783="No show","Yes","No"))))</f>
        <v>0</v>
      </c>
      <c r="AD783" s="25">
        <f>IF(B783="","",IF(AE783="","",B783-AE783))</f>
        <v>0</v>
      </c>
      <c r="AF783" s="38">
        <f>IF(B783="","",IF(M783&lt;&gt;"Completed","",IF(E783="","No",IF(COUNTIFS(Appointments!$E$5:$E$1204,E783,Appointments!$B$5:$B$1204,"&gt;"&amp;B783,Appointments!$M$5:$M$1204,"&lt;&gt;Cancelled")&gt;0,"Yes","No"))))</f>
        <v>0</v>
      </c>
      <c r="AG783" s="38">
        <f>IF(B783="","",IF(I783="","",IF(D783="","",IF(COUNTIFS($I$5:$I$1204,I783,$B$5:$B$1204,B783,$D$5:$D$1204,"&lt;"&amp;V783,$V$5:$V$1204,"&gt;"&amp;D783,$M$5:$M$1204,"&lt;&gt;Cancelled")&gt;1,"Clash",""))))</f>
        <v>0</v>
      </c>
      <c r="AH783" s="39">
        <f>IF(B783="","",IF(AG783="Clash","Clash - stylist double booked",IF(I783="","Assign - no stylist yet",IF(G783="","Add - no service chosen",IF(M783="No show","No show - charge the fee?",IF(M783="Cancelled","",IF(IF(M783="Completed",AB783&lt;Y783-0.004,FALSE),"Unpaid - nothing rung up for this visit",IF(IF(B783&lt;TodayDate,M783="Booked",FALSE),"Overdue - past date, still only Booked",IF(IF(B783=TodayDate,TRUE,FALSE),"Today",IF(IF(Z783&gt;0,AA783&lt;Z783-0.004,FALSE),"Due - deposit not taken",IF(IF(B783&gt;TodayDate,B783&lt;=TodayDate+2,FALSE),"Confirm - coming up","OK")))))))))))</f>
        <v>0</v>
      </c>
    </row>
    <row r="784" spans="1:34">
      <c r="A784" s="28">
        <f>IF(B784="","",AppointmentPrefix&amp;TEXT(ROW()-4,"0000"))</f>
        <v>0</v>
      </c>
      <c r="C784" s="15">
        <f>IF(B784="","",TEXT(B784,"ddd"))</f>
        <v>0</v>
      </c>
      <c r="F784" s="15">
        <f>IF(E784="","",IFERROR(INDEX(Clients!$B$5:$B$504,MATCH(E784,Clients!$A$5:$A$504,0)),"Walk-in"))</f>
        <v>0</v>
      </c>
      <c r="H784" s="15">
        <f>IF(G784="","",IFERROR(INDEX(Services!$B$5:$B$204,MATCH(G784,Services!$A$5:$A$204,0)),"Not in Services"))</f>
        <v>0</v>
      </c>
      <c r="J784" s="15">
        <f>IF(I784="","",IFERROR(INDEX(Staff!$B$5:$B$44,MATCH(I784,Staff!$A$5:$A$44,0)),"Unassigned"))</f>
        <v>0</v>
      </c>
      <c r="S784" s="15">
        <f>IF(B784="","",TEXT(B784,"yyyy-mm"))</f>
        <v>0</v>
      </c>
      <c r="T784" s="25">
        <f>IF(B784="","",WEEKNUM(B784,2))</f>
        <v>0</v>
      </c>
      <c r="U784" s="25">
        <f>IF(B784="","",IF(K784&lt;&gt;"",K784,IFERROR(INDEX(Services!$E$5:$E$204,MATCH(G784,Services!$A$5:$A$204,0))*1,0)+IFERROR(INDEX(Services!$F$5:$F$204,MATCH(G784,Services!$A$5:$A$204,0))*1,0)))</f>
        <v>0</v>
      </c>
      <c r="V784" s="36">
        <f>IF(B784="","",IF(D784="","",D784+U784/1440))</f>
        <v>0</v>
      </c>
      <c r="W784" s="25">
        <f>IF(B784="","",IF(D784="","",HOUR(D784)))</f>
        <v>0</v>
      </c>
      <c r="X784" s="37">
        <f>IF(B784="","",ROUND(U784/60,2))</f>
        <v>0</v>
      </c>
      <c r="Y784" s="26">
        <f>IF(B784="","",IF(L784&lt;&gt;"",L784,IFERROR(INDEX(Services!$G$5:$G$204,MATCH(G784,Services!$A$5:$A$204,0))*1,0)))</f>
        <v>0</v>
      </c>
      <c r="Z784" s="26">
        <f>IF(B784="","",IF(O784&lt;&gt;"",O784,IF(Y784&gt;=DepositThreshold,ROUND(Y784*DepositPercent,2),0)))</f>
        <v>0</v>
      </c>
      <c r="AA784" s="26">
        <f>IF(B784="","",ROUND(SUMIFS(Payments!$G$5:$G$1204,Payments!$I$5:$I$1204,A784,Payments!$E$5:$E$1204,"Deposit"),2))</f>
        <v>0</v>
      </c>
      <c r="AB784" s="26">
        <f>IF(B784="","",ROUND(SUMIFS(Sales!$Y$5:$Y$1204,Sales!$C$5:$C$1204,A784),2))</f>
        <v>0</v>
      </c>
      <c r="AC784" s="38">
        <f>IF(B784="","",IF(M784="Completed","Yes",IF(M784="Cancelled","Yes",IF(M784="No show","Yes","No"))))</f>
        <v>0</v>
      </c>
      <c r="AD784" s="25">
        <f>IF(B784="","",IF(AE784="","",B784-AE784))</f>
        <v>0</v>
      </c>
      <c r="AF784" s="38">
        <f>IF(B784="","",IF(M784&lt;&gt;"Completed","",IF(E784="","No",IF(COUNTIFS(Appointments!$E$5:$E$1204,E784,Appointments!$B$5:$B$1204,"&gt;"&amp;B784,Appointments!$M$5:$M$1204,"&lt;&gt;Cancelled")&gt;0,"Yes","No"))))</f>
        <v>0</v>
      </c>
      <c r="AG784" s="38">
        <f>IF(B784="","",IF(I784="","",IF(D784="","",IF(COUNTIFS($I$5:$I$1204,I784,$B$5:$B$1204,B784,$D$5:$D$1204,"&lt;"&amp;V784,$V$5:$V$1204,"&gt;"&amp;D784,$M$5:$M$1204,"&lt;&gt;Cancelled")&gt;1,"Clash",""))))</f>
        <v>0</v>
      </c>
      <c r="AH784" s="39">
        <f>IF(B784="","",IF(AG784="Clash","Clash - stylist double booked",IF(I784="","Assign - no stylist yet",IF(G784="","Add - no service chosen",IF(M784="No show","No show - charge the fee?",IF(M784="Cancelled","",IF(IF(M784="Completed",AB784&lt;Y784-0.004,FALSE),"Unpaid - nothing rung up for this visit",IF(IF(B784&lt;TodayDate,M784="Booked",FALSE),"Overdue - past date, still only Booked",IF(IF(B784=TodayDate,TRUE,FALSE),"Today",IF(IF(Z784&gt;0,AA784&lt;Z784-0.004,FALSE),"Due - deposit not taken",IF(IF(B784&gt;TodayDate,B784&lt;=TodayDate+2,FALSE),"Confirm - coming up","OK")))))))))))</f>
        <v>0</v>
      </c>
    </row>
    <row r="785" spans="1:34">
      <c r="A785" s="28">
        <f>IF(B785="","",AppointmentPrefix&amp;TEXT(ROW()-4,"0000"))</f>
        <v>0</v>
      </c>
      <c r="C785" s="15">
        <f>IF(B785="","",TEXT(B785,"ddd"))</f>
        <v>0</v>
      </c>
      <c r="F785" s="15">
        <f>IF(E785="","",IFERROR(INDEX(Clients!$B$5:$B$504,MATCH(E785,Clients!$A$5:$A$504,0)),"Walk-in"))</f>
        <v>0</v>
      </c>
      <c r="H785" s="15">
        <f>IF(G785="","",IFERROR(INDEX(Services!$B$5:$B$204,MATCH(G785,Services!$A$5:$A$204,0)),"Not in Services"))</f>
        <v>0</v>
      </c>
      <c r="J785" s="15">
        <f>IF(I785="","",IFERROR(INDEX(Staff!$B$5:$B$44,MATCH(I785,Staff!$A$5:$A$44,0)),"Unassigned"))</f>
        <v>0</v>
      </c>
      <c r="S785" s="15">
        <f>IF(B785="","",TEXT(B785,"yyyy-mm"))</f>
        <v>0</v>
      </c>
      <c r="T785" s="25">
        <f>IF(B785="","",WEEKNUM(B785,2))</f>
        <v>0</v>
      </c>
      <c r="U785" s="25">
        <f>IF(B785="","",IF(K785&lt;&gt;"",K785,IFERROR(INDEX(Services!$E$5:$E$204,MATCH(G785,Services!$A$5:$A$204,0))*1,0)+IFERROR(INDEX(Services!$F$5:$F$204,MATCH(G785,Services!$A$5:$A$204,0))*1,0)))</f>
        <v>0</v>
      </c>
      <c r="V785" s="36">
        <f>IF(B785="","",IF(D785="","",D785+U785/1440))</f>
        <v>0</v>
      </c>
      <c r="W785" s="25">
        <f>IF(B785="","",IF(D785="","",HOUR(D785)))</f>
        <v>0</v>
      </c>
      <c r="X785" s="37">
        <f>IF(B785="","",ROUND(U785/60,2))</f>
        <v>0</v>
      </c>
      <c r="Y785" s="26">
        <f>IF(B785="","",IF(L785&lt;&gt;"",L785,IFERROR(INDEX(Services!$G$5:$G$204,MATCH(G785,Services!$A$5:$A$204,0))*1,0)))</f>
        <v>0</v>
      </c>
      <c r="Z785" s="26">
        <f>IF(B785="","",IF(O785&lt;&gt;"",O785,IF(Y785&gt;=DepositThreshold,ROUND(Y785*DepositPercent,2),0)))</f>
        <v>0</v>
      </c>
      <c r="AA785" s="26">
        <f>IF(B785="","",ROUND(SUMIFS(Payments!$G$5:$G$1204,Payments!$I$5:$I$1204,A785,Payments!$E$5:$E$1204,"Deposit"),2))</f>
        <v>0</v>
      </c>
      <c r="AB785" s="26">
        <f>IF(B785="","",ROUND(SUMIFS(Sales!$Y$5:$Y$1204,Sales!$C$5:$C$1204,A785),2))</f>
        <v>0</v>
      </c>
      <c r="AC785" s="38">
        <f>IF(B785="","",IF(M785="Completed","Yes",IF(M785="Cancelled","Yes",IF(M785="No show","Yes","No"))))</f>
        <v>0</v>
      </c>
      <c r="AD785" s="25">
        <f>IF(B785="","",IF(AE785="","",B785-AE785))</f>
        <v>0</v>
      </c>
      <c r="AF785" s="38">
        <f>IF(B785="","",IF(M785&lt;&gt;"Completed","",IF(E785="","No",IF(COUNTIFS(Appointments!$E$5:$E$1204,E785,Appointments!$B$5:$B$1204,"&gt;"&amp;B785,Appointments!$M$5:$M$1204,"&lt;&gt;Cancelled")&gt;0,"Yes","No"))))</f>
        <v>0</v>
      </c>
      <c r="AG785" s="38">
        <f>IF(B785="","",IF(I785="","",IF(D785="","",IF(COUNTIFS($I$5:$I$1204,I785,$B$5:$B$1204,B785,$D$5:$D$1204,"&lt;"&amp;V785,$V$5:$V$1204,"&gt;"&amp;D785,$M$5:$M$1204,"&lt;&gt;Cancelled")&gt;1,"Clash",""))))</f>
        <v>0</v>
      </c>
      <c r="AH785" s="39">
        <f>IF(B785="","",IF(AG785="Clash","Clash - stylist double booked",IF(I785="","Assign - no stylist yet",IF(G785="","Add - no service chosen",IF(M785="No show","No show - charge the fee?",IF(M785="Cancelled","",IF(IF(M785="Completed",AB785&lt;Y785-0.004,FALSE),"Unpaid - nothing rung up for this visit",IF(IF(B785&lt;TodayDate,M785="Booked",FALSE),"Overdue - past date, still only Booked",IF(IF(B785=TodayDate,TRUE,FALSE),"Today",IF(IF(Z785&gt;0,AA785&lt;Z785-0.004,FALSE),"Due - deposit not taken",IF(IF(B785&gt;TodayDate,B785&lt;=TodayDate+2,FALSE),"Confirm - coming up","OK")))))))))))</f>
        <v>0</v>
      </c>
    </row>
    <row r="786" spans="1:34">
      <c r="A786" s="28">
        <f>IF(B786="","",AppointmentPrefix&amp;TEXT(ROW()-4,"0000"))</f>
        <v>0</v>
      </c>
      <c r="C786" s="15">
        <f>IF(B786="","",TEXT(B786,"ddd"))</f>
        <v>0</v>
      </c>
      <c r="F786" s="15">
        <f>IF(E786="","",IFERROR(INDEX(Clients!$B$5:$B$504,MATCH(E786,Clients!$A$5:$A$504,0)),"Walk-in"))</f>
        <v>0</v>
      </c>
      <c r="H786" s="15">
        <f>IF(G786="","",IFERROR(INDEX(Services!$B$5:$B$204,MATCH(G786,Services!$A$5:$A$204,0)),"Not in Services"))</f>
        <v>0</v>
      </c>
      <c r="J786" s="15">
        <f>IF(I786="","",IFERROR(INDEX(Staff!$B$5:$B$44,MATCH(I786,Staff!$A$5:$A$44,0)),"Unassigned"))</f>
        <v>0</v>
      </c>
      <c r="S786" s="15">
        <f>IF(B786="","",TEXT(B786,"yyyy-mm"))</f>
        <v>0</v>
      </c>
      <c r="T786" s="25">
        <f>IF(B786="","",WEEKNUM(B786,2))</f>
        <v>0</v>
      </c>
      <c r="U786" s="25">
        <f>IF(B786="","",IF(K786&lt;&gt;"",K786,IFERROR(INDEX(Services!$E$5:$E$204,MATCH(G786,Services!$A$5:$A$204,0))*1,0)+IFERROR(INDEX(Services!$F$5:$F$204,MATCH(G786,Services!$A$5:$A$204,0))*1,0)))</f>
        <v>0</v>
      </c>
      <c r="V786" s="36">
        <f>IF(B786="","",IF(D786="","",D786+U786/1440))</f>
        <v>0</v>
      </c>
      <c r="W786" s="25">
        <f>IF(B786="","",IF(D786="","",HOUR(D786)))</f>
        <v>0</v>
      </c>
      <c r="X786" s="37">
        <f>IF(B786="","",ROUND(U786/60,2))</f>
        <v>0</v>
      </c>
      <c r="Y786" s="26">
        <f>IF(B786="","",IF(L786&lt;&gt;"",L786,IFERROR(INDEX(Services!$G$5:$G$204,MATCH(G786,Services!$A$5:$A$204,0))*1,0)))</f>
        <v>0</v>
      </c>
      <c r="Z786" s="26">
        <f>IF(B786="","",IF(O786&lt;&gt;"",O786,IF(Y786&gt;=DepositThreshold,ROUND(Y786*DepositPercent,2),0)))</f>
        <v>0</v>
      </c>
      <c r="AA786" s="26">
        <f>IF(B786="","",ROUND(SUMIFS(Payments!$G$5:$G$1204,Payments!$I$5:$I$1204,A786,Payments!$E$5:$E$1204,"Deposit"),2))</f>
        <v>0</v>
      </c>
      <c r="AB786" s="26">
        <f>IF(B786="","",ROUND(SUMIFS(Sales!$Y$5:$Y$1204,Sales!$C$5:$C$1204,A786),2))</f>
        <v>0</v>
      </c>
      <c r="AC786" s="38">
        <f>IF(B786="","",IF(M786="Completed","Yes",IF(M786="Cancelled","Yes",IF(M786="No show","Yes","No"))))</f>
        <v>0</v>
      </c>
      <c r="AD786" s="25">
        <f>IF(B786="","",IF(AE786="","",B786-AE786))</f>
        <v>0</v>
      </c>
      <c r="AF786" s="38">
        <f>IF(B786="","",IF(M786&lt;&gt;"Completed","",IF(E786="","No",IF(COUNTIFS(Appointments!$E$5:$E$1204,E786,Appointments!$B$5:$B$1204,"&gt;"&amp;B786,Appointments!$M$5:$M$1204,"&lt;&gt;Cancelled")&gt;0,"Yes","No"))))</f>
        <v>0</v>
      </c>
      <c r="AG786" s="38">
        <f>IF(B786="","",IF(I786="","",IF(D786="","",IF(COUNTIFS($I$5:$I$1204,I786,$B$5:$B$1204,B786,$D$5:$D$1204,"&lt;"&amp;V786,$V$5:$V$1204,"&gt;"&amp;D786,$M$5:$M$1204,"&lt;&gt;Cancelled")&gt;1,"Clash",""))))</f>
        <v>0</v>
      </c>
      <c r="AH786" s="39">
        <f>IF(B786="","",IF(AG786="Clash","Clash - stylist double booked",IF(I786="","Assign - no stylist yet",IF(G786="","Add - no service chosen",IF(M786="No show","No show - charge the fee?",IF(M786="Cancelled","",IF(IF(M786="Completed",AB786&lt;Y786-0.004,FALSE),"Unpaid - nothing rung up for this visit",IF(IF(B786&lt;TodayDate,M786="Booked",FALSE),"Overdue - past date, still only Booked",IF(IF(B786=TodayDate,TRUE,FALSE),"Today",IF(IF(Z786&gt;0,AA786&lt;Z786-0.004,FALSE),"Due - deposit not taken",IF(IF(B786&gt;TodayDate,B786&lt;=TodayDate+2,FALSE),"Confirm - coming up","OK")))))))))))</f>
        <v>0</v>
      </c>
    </row>
    <row r="787" spans="1:34">
      <c r="A787" s="28">
        <f>IF(B787="","",AppointmentPrefix&amp;TEXT(ROW()-4,"0000"))</f>
        <v>0</v>
      </c>
      <c r="C787" s="15">
        <f>IF(B787="","",TEXT(B787,"ddd"))</f>
        <v>0</v>
      </c>
      <c r="F787" s="15">
        <f>IF(E787="","",IFERROR(INDEX(Clients!$B$5:$B$504,MATCH(E787,Clients!$A$5:$A$504,0)),"Walk-in"))</f>
        <v>0</v>
      </c>
      <c r="H787" s="15">
        <f>IF(G787="","",IFERROR(INDEX(Services!$B$5:$B$204,MATCH(G787,Services!$A$5:$A$204,0)),"Not in Services"))</f>
        <v>0</v>
      </c>
      <c r="J787" s="15">
        <f>IF(I787="","",IFERROR(INDEX(Staff!$B$5:$B$44,MATCH(I787,Staff!$A$5:$A$44,0)),"Unassigned"))</f>
        <v>0</v>
      </c>
      <c r="S787" s="15">
        <f>IF(B787="","",TEXT(B787,"yyyy-mm"))</f>
        <v>0</v>
      </c>
      <c r="T787" s="25">
        <f>IF(B787="","",WEEKNUM(B787,2))</f>
        <v>0</v>
      </c>
      <c r="U787" s="25">
        <f>IF(B787="","",IF(K787&lt;&gt;"",K787,IFERROR(INDEX(Services!$E$5:$E$204,MATCH(G787,Services!$A$5:$A$204,0))*1,0)+IFERROR(INDEX(Services!$F$5:$F$204,MATCH(G787,Services!$A$5:$A$204,0))*1,0)))</f>
        <v>0</v>
      </c>
      <c r="V787" s="36">
        <f>IF(B787="","",IF(D787="","",D787+U787/1440))</f>
        <v>0</v>
      </c>
      <c r="W787" s="25">
        <f>IF(B787="","",IF(D787="","",HOUR(D787)))</f>
        <v>0</v>
      </c>
      <c r="X787" s="37">
        <f>IF(B787="","",ROUND(U787/60,2))</f>
        <v>0</v>
      </c>
      <c r="Y787" s="26">
        <f>IF(B787="","",IF(L787&lt;&gt;"",L787,IFERROR(INDEX(Services!$G$5:$G$204,MATCH(G787,Services!$A$5:$A$204,0))*1,0)))</f>
        <v>0</v>
      </c>
      <c r="Z787" s="26">
        <f>IF(B787="","",IF(O787&lt;&gt;"",O787,IF(Y787&gt;=DepositThreshold,ROUND(Y787*DepositPercent,2),0)))</f>
        <v>0</v>
      </c>
      <c r="AA787" s="26">
        <f>IF(B787="","",ROUND(SUMIFS(Payments!$G$5:$G$1204,Payments!$I$5:$I$1204,A787,Payments!$E$5:$E$1204,"Deposit"),2))</f>
        <v>0</v>
      </c>
      <c r="AB787" s="26">
        <f>IF(B787="","",ROUND(SUMIFS(Sales!$Y$5:$Y$1204,Sales!$C$5:$C$1204,A787),2))</f>
        <v>0</v>
      </c>
      <c r="AC787" s="38">
        <f>IF(B787="","",IF(M787="Completed","Yes",IF(M787="Cancelled","Yes",IF(M787="No show","Yes","No"))))</f>
        <v>0</v>
      </c>
      <c r="AD787" s="25">
        <f>IF(B787="","",IF(AE787="","",B787-AE787))</f>
        <v>0</v>
      </c>
      <c r="AF787" s="38">
        <f>IF(B787="","",IF(M787&lt;&gt;"Completed","",IF(E787="","No",IF(COUNTIFS(Appointments!$E$5:$E$1204,E787,Appointments!$B$5:$B$1204,"&gt;"&amp;B787,Appointments!$M$5:$M$1204,"&lt;&gt;Cancelled")&gt;0,"Yes","No"))))</f>
        <v>0</v>
      </c>
      <c r="AG787" s="38">
        <f>IF(B787="","",IF(I787="","",IF(D787="","",IF(COUNTIFS($I$5:$I$1204,I787,$B$5:$B$1204,B787,$D$5:$D$1204,"&lt;"&amp;V787,$V$5:$V$1204,"&gt;"&amp;D787,$M$5:$M$1204,"&lt;&gt;Cancelled")&gt;1,"Clash",""))))</f>
        <v>0</v>
      </c>
      <c r="AH787" s="39">
        <f>IF(B787="","",IF(AG787="Clash","Clash - stylist double booked",IF(I787="","Assign - no stylist yet",IF(G787="","Add - no service chosen",IF(M787="No show","No show - charge the fee?",IF(M787="Cancelled","",IF(IF(M787="Completed",AB787&lt;Y787-0.004,FALSE),"Unpaid - nothing rung up for this visit",IF(IF(B787&lt;TodayDate,M787="Booked",FALSE),"Overdue - past date, still only Booked",IF(IF(B787=TodayDate,TRUE,FALSE),"Today",IF(IF(Z787&gt;0,AA787&lt;Z787-0.004,FALSE),"Due - deposit not taken",IF(IF(B787&gt;TodayDate,B787&lt;=TodayDate+2,FALSE),"Confirm - coming up","OK")))))))))))</f>
        <v>0</v>
      </c>
    </row>
    <row r="788" spans="1:34">
      <c r="A788" s="28">
        <f>IF(B788="","",AppointmentPrefix&amp;TEXT(ROW()-4,"0000"))</f>
        <v>0</v>
      </c>
      <c r="C788" s="15">
        <f>IF(B788="","",TEXT(B788,"ddd"))</f>
        <v>0</v>
      </c>
      <c r="F788" s="15">
        <f>IF(E788="","",IFERROR(INDEX(Clients!$B$5:$B$504,MATCH(E788,Clients!$A$5:$A$504,0)),"Walk-in"))</f>
        <v>0</v>
      </c>
      <c r="H788" s="15">
        <f>IF(G788="","",IFERROR(INDEX(Services!$B$5:$B$204,MATCH(G788,Services!$A$5:$A$204,0)),"Not in Services"))</f>
        <v>0</v>
      </c>
      <c r="J788" s="15">
        <f>IF(I788="","",IFERROR(INDEX(Staff!$B$5:$B$44,MATCH(I788,Staff!$A$5:$A$44,0)),"Unassigned"))</f>
        <v>0</v>
      </c>
      <c r="S788" s="15">
        <f>IF(B788="","",TEXT(B788,"yyyy-mm"))</f>
        <v>0</v>
      </c>
      <c r="T788" s="25">
        <f>IF(B788="","",WEEKNUM(B788,2))</f>
        <v>0</v>
      </c>
      <c r="U788" s="25">
        <f>IF(B788="","",IF(K788&lt;&gt;"",K788,IFERROR(INDEX(Services!$E$5:$E$204,MATCH(G788,Services!$A$5:$A$204,0))*1,0)+IFERROR(INDEX(Services!$F$5:$F$204,MATCH(G788,Services!$A$5:$A$204,0))*1,0)))</f>
        <v>0</v>
      </c>
      <c r="V788" s="36">
        <f>IF(B788="","",IF(D788="","",D788+U788/1440))</f>
        <v>0</v>
      </c>
      <c r="W788" s="25">
        <f>IF(B788="","",IF(D788="","",HOUR(D788)))</f>
        <v>0</v>
      </c>
      <c r="X788" s="37">
        <f>IF(B788="","",ROUND(U788/60,2))</f>
        <v>0</v>
      </c>
      <c r="Y788" s="26">
        <f>IF(B788="","",IF(L788&lt;&gt;"",L788,IFERROR(INDEX(Services!$G$5:$G$204,MATCH(G788,Services!$A$5:$A$204,0))*1,0)))</f>
        <v>0</v>
      </c>
      <c r="Z788" s="26">
        <f>IF(B788="","",IF(O788&lt;&gt;"",O788,IF(Y788&gt;=DepositThreshold,ROUND(Y788*DepositPercent,2),0)))</f>
        <v>0</v>
      </c>
      <c r="AA788" s="26">
        <f>IF(B788="","",ROUND(SUMIFS(Payments!$G$5:$G$1204,Payments!$I$5:$I$1204,A788,Payments!$E$5:$E$1204,"Deposit"),2))</f>
        <v>0</v>
      </c>
      <c r="AB788" s="26">
        <f>IF(B788="","",ROUND(SUMIFS(Sales!$Y$5:$Y$1204,Sales!$C$5:$C$1204,A788),2))</f>
        <v>0</v>
      </c>
      <c r="AC788" s="38">
        <f>IF(B788="","",IF(M788="Completed","Yes",IF(M788="Cancelled","Yes",IF(M788="No show","Yes","No"))))</f>
        <v>0</v>
      </c>
      <c r="AD788" s="25">
        <f>IF(B788="","",IF(AE788="","",B788-AE788))</f>
        <v>0</v>
      </c>
      <c r="AF788" s="38">
        <f>IF(B788="","",IF(M788&lt;&gt;"Completed","",IF(E788="","No",IF(COUNTIFS(Appointments!$E$5:$E$1204,E788,Appointments!$B$5:$B$1204,"&gt;"&amp;B788,Appointments!$M$5:$M$1204,"&lt;&gt;Cancelled")&gt;0,"Yes","No"))))</f>
        <v>0</v>
      </c>
      <c r="AG788" s="38">
        <f>IF(B788="","",IF(I788="","",IF(D788="","",IF(COUNTIFS($I$5:$I$1204,I788,$B$5:$B$1204,B788,$D$5:$D$1204,"&lt;"&amp;V788,$V$5:$V$1204,"&gt;"&amp;D788,$M$5:$M$1204,"&lt;&gt;Cancelled")&gt;1,"Clash",""))))</f>
        <v>0</v>
      </c>
      <c r="AH788" s="39">
        <f>IF(B788="","",IF(AG788="Clash","Clash - stylist double booked",IF(I788="","Assign - no stylist yet",IF(G788="","Add - no service chosen",IF(M788="No show","No show - charge the fee?",IF(M788="Cancelled","",IF(IF(M788="Completed",AB788&lt;Y788-0.004,FALSE),"Unpaid - nothing rung up for this visit",IF(IF(B788&lt;TodayDate,M788="Booked",FALSE),"Overdue - past date, still only Booked",IF(IF(B788=TodayDate,TRUE,FALSE),"Today",IF(IF(Z788&gt;0,AA788&lt;Z788-0.004,FALSE),"Due - deposit not taken",IF(IF(B788&gt;TodayDate,B788&lt;=TodayDate+2,FALSE),"Confirm - coming up","OK")))))))))))</f>
        <v>0</v>
      </c>
    </row>
    <row r="789" spans="1:34">
      <c r="A789" s="28">
        <f>IF(B789="","",AppointmentPrefix&amp;TEXT(ROW()-4,"0000"))</f>
        <v>0</v>
      </c>
      <c r="C789" s="15">
        <f>IF(B789="","",TEXT(B789,"ddd"))</f>
        <v>0</v>
      </c>
      <c r="F789" s="15">
        <f>IF(E789="","",IFERROR(INDEX(Clients!$B$5:$B$504,MATCH(E789,Clients!$A$5:$A$504,0)),"Walk-in"))</f>
        <v>0</v>
      </c>
      <c r="H789" s="15">
        <f>IF(G789="","",IFERROR(INDEX(Services!$B$5:$B$204,MATCH(G789,Services!$A$5:$A$204,0)),"Not in Services"))</f>
        <v>0</v>
      </c>
      <c r="J789" s="15">
        <f>IF(I789="","",IFERROR(INDEX(Staff!$B$5:$B$44,MATCH(I789,Staff!$A$5:$A$44,0)),"Unassigned"))</f>
        <v>0</v>
      </c>
      <c r="S789" s="15">
        <f>IF(B789="","",TEXT(B789,"yyyy-mm"))</f>
        <v>0</v>
      </c>
      <c r="T789" s="25">
        <f>IF(B789="","",WEEKNUM(B789,2))</f>
        <v>0</v>
      </c>
      <c r="U789" s="25">
        <f>IF(B789="","",IF(K789&lt;&gt;"",K789,IFERROR(INDEX(Services!$E$5:$E$204,MATCH(G789,Services!$A$5:$A$204,0))*1,0)+IFERROR(INDEX(Services!$F$5:$F$204,MATCH(G789,Services!$A$5:$A$204,0))*1,0)))</f>
        <v>0</v>
      </c>
      <c r="V789" s="36">
        <f>IF(B789="","",IF(D789="","",D789+U789/1440))</f>
        <v>0</v>
      </c>
      <c r="W789" s="25">
        <f>IF(B789="","",IF(D789="","",HOUR(D789)))</f>
        <v>0</v>
      </c>
      <c r="X789" s="37">
        <f>IF(B789="","",ROUND(U789/60,2))</f>
        <v>0</v>
      </c>
      <c r="Y789" s="26">
        <f>IF(B789="","",IF(L789&lt;&gt;"",L789,IFERROR(INDEX(Services!$G$5:$G$204,MATCH(G789,Services!$A$5:$A$204,0))*1,0)))</f>
        <v>0</v>
      </c>
      <c r="Z789" s="26">
        <f>IF(B789="","",IF(O789&lt;&gt;"",O789,IF(Y789&gt;=DepositThreshold,ROUND(Y789*DepositPercent,2),0)))</f>
        <v>0</v>
      </c>
      <c r="AA789" s="26">
        <f>IF(B789="","",ROUND(SUMIFS(Payments!$G$5:$G$1204,Payments!$I$5:$I$1204,A789,Payments!$E$5:$E$1204,"Deposit"),2))</f>
        <v>0</v>
      </c>
      <c r="AB789" s="26">
        <f>IF(B789="","",ROUND(SUMIFS(Sales!$Y$5:$Y$1204,Sales!$C$5:$C$1204,A789),2))</f>
        <v>0</v>
      </c>
      <c r="AC789" s="38">
        <f>IF(B789="","",IF(M789="Completed","Yes",IF(M789="Cancelled","Yes",IF(M789="No show","Yes","No"))))</f>
        <v>0</v>
      </c>
      <c r="AD789" s="25">
        <f>IF(B789="","",IF(AE789="","",B789-AE789))</f>
        <v>0</v>
      </c>
      <c r="AF789" s="38">
        <f>IF(B789="","",IF(M789&lt;&gt;"Completed","",IF(E789="","No",IF(COUNTIFS(Appointments!$E$5:$E$1204,E789,Appointments!$B$5:$B$1204,"&gt;"&amp;B789,Appointments!$M$5:$M$1204,"&lt;&gt;Cancelled")&gt;0,"Yes","No"))))</f>
        <v>0</v>
      </c>
      <c r="AG789" s="38">
        <f>IF(B789="","",IF(I789="","",IF(D789="","",IF(COUNTIFS($I$5:$I$1204,I789,$B$5:$B$1204,B789,$D$5:$D$1204,"&lt;"&amp;V789,$V$5:$V$1204,"&gt;"&amp;D789,$M$5:$M$1204,"&lt;&gt;Cancelled")&gt;1,"Clash",""))))</f>
        <v>0</v>
      </c>
      <c r="AH789" s="39">
        <f>IF(B789="","",IF(AG789="Clash","Clash - stylist double booked",IF(I789="","Assign - no stylist yet",IF(G789="","Add - no service chosen",IF(M789="No show","No show - charge the fee?",IF(M789="Cancelled","",IF(IF(M789="Completed",AB789&lt;Y789-0.004,FALSE),"Unpaid - nothing rung up for this visit",IF(IF(B789&lt;TodayDate,M789="Booked",FALSE),"Overdue - past date, still only Booked",IF(IF(B789=TodayDate,TRUE,FALSE),"Today",IF(IF(Z789&gt;0,AA789&lt;Z789-0.004,FALSE),"Due - deposit not taken",IF(IF(B789&gt;TodayDate,B789&lt;=TodayDate+2,FALSE),"Confirm - coming up","OK")))))))))))</f>
        <v>0</v>
      </c>
    </row>
    <row r="790" spans="1:34">
      <c r="A790" s="28">
        <f>IF(B790="","",AppointmentPrefix&amp;TEXT(ROW()-4,"0000"))</f>
        <v>0</v>
      </c>
      <c r="C790" s="15">
        <f>IF(B790="","",TEXT(B790,"ddd"))</f>
        <v>0</v>
      </c>
      <c r="F790" s="15">
        <f>IF(E790="","",IFERROR(INDEX(Clients!$B$5:$B$504,MATCH(E790,Clients!$A$5:$A$504,0)),"Walk-in"))</f>
        <v>0</v>
      </c>
      <c r="H790" s="15">
        <f>IF(G790="","",IFERROR(INDEX(Services!$B$5:$B$204,MATCH(G790,Services!$A$5:$A$204,0)),"Not in Services"))</f>
        <v>0</v>
      </c>
      <c r="J790" s="15">
        <f>IF(I790="","",IFERROR(INDEX(Staff!$B$5:$B$44,MATCH(I790,Staff!$A$5:$A$44,0)),"Unassigned"))</f>
        <v>0</v>
      </c>
      <c r="S790" s="15">
        <f>IF(B790="","",TEXT(B790,"yyyy-mm"))</f>
        <v>0</v>
      </c>
      <c r="T790" s="25">
        <f>IF(B790="","",WEEKNUM(B790,2))</f>
        <v>0</v>
      </c>
      <c r="U790" s="25">
        <f>IF(B790="","",IF(K790&lt;&gt;"",K790,IFERROR(INDEX(Services!$E$5:$E$204,MATCH(G790,Services!$A$5:$A$204,0))*1,0)+IFERROR(INDEX(Services!$F$5:$F$204,MATCH(G790,Services!$A$5:$A$204,0))*1,0)))</f>
        <v>0</v>
      </c>
      <c r="V790" s="36">
        <f>IF(B790="","",IF(D790="","",D790+U790/1440))</f>
        <v>0</v>
      </c>
      <c r="W790" s="25">
        <f>IF(B790="","",IF(D790="","",HOUR(D790)))</f>
        <v>0</v>
      </c>
      <c r="X790" s="37">
        <f>IF(B790="","",ROUND(U790/60,2))</f>
        <v>0</v>
      </c>
      <c r="Y790" s="26">
        <f>IF(B790="","",IF(L790&lt;&gt;"",L790,IFERROR(INDEX(Services!$G$5:$G$204,MATCH(G790,Services!$A$5:$A$204,0))*1,0)))</f>
        <v>0</v>
      </c>
      <c r="Z790" s="26">
        <f>IF(B790="","",IF(O790&lt;&gt;"",O790,IF(Y790&gt;=DepositThreshold,ROUND(Y790*DepositPercent,2),0)))</f>
        <v>0</v>
      </c>
      <c r="AA790" s="26">
        <f>IF(B790="","",ROUND(SUMIFS(Payments!$G$5:$G$1204,Payments!$I$5:$I$1204,A790,Payments!$E$5:$E$1204,"Deposit"),2))</f>
        <v>0</v>
      </c>
      <c r="AB790" s="26">
        <f>IF(B790="","",ROUND(SUMIFS(Sales!$Y$5:$Y$1204,Sales!$C$5:$C$1204,A790),2))</f>
        <v>0</v>
      </c>
      <c r="AC790" s="38">
        <f>IF(B790="","",IF(M790="Completed","Yes",IF(M790="Cancelled","Yes",IF(M790="No show","Yes","No"))))</f>
        <v>0</v>
      </c>
      <c r="AD790" s="25">
        <f>IF(B790="","",IF(AE790="","",B790-AE790))</f>
        <v>0</v>
      </c>
      <c r="AF790" s="38">
        <f>IF(B790="","",IF(M790&lt;&gt;"Completed","",IF(E790="","No",IF(COUNTIFS(Appointments!$E$5:$E$1204,E790,Appointments!$B$5:$B$1204,"&gt;"&amp;B790,Appointments!$M$5:$M$1204,"&lt;&gt;Cancelled")&gt;0,"Yes","No"))))</f>
        <v>0</v>
      </c>
      <c r="AG790" s="38">
        <f>IF(B790="","",IF(I790="","",IF(D790="","",IF(COUNTIFS($I$5:$I$1204,I790,$B$5:$B$1204,B790,$D$5:$D$1204,"&lt;"&amp;V790,$V$5:$V$1204,"&gt;"&amp;D790,$M$5:$M$1204,"&lt;&gt;Cancelled")&gt;1,"Clash",""))))</f>
        <v>0</v>
      </c>
      <c r="AH790" s="39">
        <f>IF(B790="","",IF(AG790="Clash","Clash - stylist double booked",IF(I790="","Assign - no stylist yet",IF(G790="","Add - no service chosen",IF(M790="No show","No show - charge the fee?",IF(M790="Cancelled","",IF(IF(M790="Completed",AB790&lt;Y790-0.004,FALSE),"Unpaid - nothing rung up for this visit",IF(IF(B790&lt;TodayDate,M790="Booked",FALSE),"Overdue - past date, still only Booked",IF(IF(B790=TodayDate,TRUE,FALSE),"Today",IF(IF(Z790&gt;0,AA790&lt;Z790-0.004,FALSE),"Due - deposit not taken",IF(IF(B790&gt;TodayDate,B790&lt;=TodayDate+2,FALSE),"Confirm - coming up","OK")))))))))))</f>
        <v>0</v>
      </c>
    </row>
    <row r="791" spans="1:34">
      <c r="A791" s="28">
        <f>IF(B791="","",AppointmentPrefix&amp;TEXT(ROW()-4,"0000"))</f>
        <v>0</v>
      </c>
      <c r="C791" s="15">
        <f>IF(B791="","",TEXT(B791,"ddd"))</f>
        <v>0</v>
      </c>
      <c r="F791" s="15">
        <f>IF(E791="","",IFERROR(INDEX(Clients!$B$5:$B$504,MATCH(E791,Clients!$A$5:$A$504,0)),"Walk-in"))</f>
        <v>0</v>
      </c>
      <c r="H791" s="15">
        <f>IF(G791="","",IFERROR(INDEX(Services!$B$5:$B$204,MATCH(G791,Services!$A$5:$A$204,0)),"Not in Services"))</f>
        <v>0</v>
      </c>
      <c r="J791" s="15">
        <f>IF(I791="","",IFERROR(INDEX(Staff!$B$5:$B$44,MATCH(I791,Staff!$A$5:$A$44,0)),"Unassigned"))</f>
        <v>0</v>
      </c>
      <c r="S791" s="15">
        <f>IF(B791="","",TEXT(B791,"yyyy-mm"))</f>
        <v>0</v>
      </c>
      <c r="T791" s="25">
        <f>IF(B791="","",WEEKNUM(B791,2))</f>
        <v>0</v>
      </c>
      <c r="U791" s="25">
        <f>IF(B791="","",IF(K791&lt;&gt;"",K791,IFERROR(INDEX(Services!$E$5:$E$204,MATCH(G791,Services!$A$5:$A$204,0))*1,0)+IFERROR(INDEX(Services!$F$5:$F$204,MATCH(G791,Services!$A$5:$A$204,0))*1,0)))</f>
        <v>0</v>
      </c>
      <c r="V791" s="36">
        <f>IF(B791="","",IF(D791="","",D791+U791/1440))</f>
        <v>0</v>
      </c>
      <c r="W791" s="25">
        <f>IF(B791="","",IF(D791="","",HOUR(D791)))</f>
        <v>0</v>
      </c>
      <c r="X791" s="37">
        <f>IF(B791="","",ROUND(U791/60,2))</f>
        <v>0</v>
      </c>
      <c r="Y791" s="26">
        <f>IF(B791="","",IF(L791&lt;&gt;"",L791,IFERROR(INDEX(Services!$G$5:$G$204,MATCH(G791,Services!$A$5:$A$204,0))*1,0)))</f>
        <v>0</v>
      </c>
      <c r="Z791" s="26">
        <f>IF(B791="","",IF(O791&lt;&gt;"",O791,IF(Y791&gt;=DepositThreshold,ROUND(Y791*DepositPercent,2),0)))</f>
        <v>0</v>
      </c>
      <c r="AA791" s="26">
        <f>IF(B791="","",ROUND(SUMIFS(Payments!$G$5:$G$1204,Payments!$I$5:$I$1204,A791,Payments!$E$5:$E$1204,"Deposit"),2))</f>
        <v>0</v>
      </c>
      <c r="AB791" s="26">
        <f>IF(B791="","",ROUND(SUMIFS(Sales!$Y$5:$Y$1204,Sales!$C$5:$C$1204,A791),2))</f>
        <v>0</v>
      </c>
      <c r="AC791" s="38">
        <f>IF(B791="","",IF(M791="Completed","Yes",IF(M791="Cancelled","Yes",IF(M791="No show","Yes","No"))))</f>
        <v>0</v>
      </c>
      <c r="AD791" s="25">
        <f>IF(B791="","",IF(AE791="","",B791-AE791))</f>
        <v>0</v>
      </c>
      <c r="AF791" s="38">
        <f>IF(B791="","",IF(M791&lt;&gt;"Completed","",IF(E791="","No",IF(COUNTIFS(Appointments!$E$5:$E$1204,E791,Appointments!$B$5:$B$1204,"&gt;"&amp;B791,Appointments!$M$5:$M$1204,"&lt;&gt;Cancelled")&gt;0,"Yes","No"))))</f>
        <v>0</v>
      </c>
      <c r="AG791" s="38">
        <f>IF(B791="","",IF(I791="","",IF(D791="","",IF(COUNTIFS($I$5:$I$1204,I791,$B$5:$B$1204,B791,$D$5:$D$1204,"&lt;"&amp;V791,$V$5:$V$1204,"&gt;"&amp;D791,$M$5:$M$1204,"&lt;&gt;Cancelled")&gt;1,"Clash",""))))</f>
        <v>0</v>
      </c>
      <c r="AH791" s="39">
        <f>IF(B791="","",IF(AG791="Clash","Clash - stylist double booked",IF(I791="","Assign - no stylist yet",IF(G791="","Add - no service chosen",IF(M791="No show","No show - charge the fee?",IF(M791="Cancelled","",IF(IF(M791="Completed",AB791&lt;Y791-0.004,FALSE),"Unpaid - nothing rung up for this visit",IF(IF(B791&lt;TodayDate,M791="Booked",FALSE),"Overdue - past date, still only Booked",IF(IF(B791=TodayDate,TRUE,FALSE),"Today",IF(IF(Z791&gt;0,AA791&lt;Z791-0.004,FALSE),"Due - deposit not taken",IF(IF(B791&gt;TodayDate,B791&lt;=TodayDate+2,FALSE),"Confirm - coming up","OK")))))))))))</f>
        <v>0</v>
      </c>
    </row>
    <row r="792" spans="1:34">
      <c r="A792" s="28">
        <f>IF(B792="","",AppointmentPrefix&amp;TEXT(ROW()-4,"0000"))</f>
        <v>0</v>
      </c>
      <c r="C792" s="15">
        <f>IF(B792="","",TEXT(B792,"ddd"))</f>
        <v>0</v>
      </c>
      <c r="F792" s="15">
        <f>IF(E792="","",IFERROR(INDEX(Clients!$B$5:$B$504,MATCH(E792,Clients!$A$5:$A$504,0)),"Walk-in"))</f>
        <v>0</v>
      </c>
      <c r="H792" s="15">
        <f>IF(G792="","",IFERROR(INDEX(Services!$B$5:$B$204,MATCH(G792,Services!$A$5:$A$204,0)),"Not in Services"))</f>
        <v>0</v>
      </c>
      <c r="J792" s="15">
        <f>IF(I792="","",IFERROR(INDEX(Staff!$B$5:$B$44,MATCH(I792,Staff!$A$5:$A$44,0)),"Unassigned"))</f>
        <v>0</v>
      </c>
      <c r="S792" s="15">
        <f>IF(B792="","",TEXT(B792,"yyyy-mm"))</f>
        <v>0</v>
      </c>
      <c r="T792" s="25">
        <f>IF(B792="","",WEEKNUM(B792,2))</f>
        <v>0</v>
      </c>
      <c r="U792" s="25">
        <f>IF(B792="","",IF(K792&lt;&gt;"",K792,IFERROR(INDEX(Services!$E$5:$E$204,MATCH(G792,Services!$A$5:$A$204,0))*1,0)+IFERROR(INDEX(Services!$F$5:$F$204,MATCH(G792,Services!$A$5:$A$204,0))*1,0)))</f>
        <v>0</v>
      </c>
      <c r="V792" s="36">
        <f>IF(B792="","",IF(D792="","",D792+U792/1440))</f>
        <v>0</v>
      </c>
      <c r="W792" s="25">
        <f>IF(B792="","",IF(D792="","",HOUR(D792)))</f>
        <v>0</v>
      </c>
      <c r="X792" s="37">
        <f>IF(B792="","",ROUND(U792/60,2))</f>
        <v>0</v>
      </c>
      <c r="Y792" s="26">
        <f>IF(B792="","",IF(L792&lt;&gt;"",L792,IFERROR(INDEX(Services!$G$5:$G$204,MATCH(G792,Services!$A$5:$A$204,0))*1,0)))</f>
        <v>0</v>
      </c>
      <c r="Z792" s="26">
        <f>IF(B792="","",IF(O792&lt;&gt;"",O792,IF(Y792&gt;=DepositThreshold,ROUND(Y792*DepositPercent,2),0)))</f>
        <v>0</v>
      </c>
      <c r="AA792" s="26">
        <f>IF(B792="","",ROUND(SUMIFS(Payments!$G$5:$G$1204,Payments!$I$5:$I$1204,A792,Payments!$E$5:$E$1204,"Deposit"),2))</f>
        <v>0</v>
      </c>
      <c r="AB792" s="26">
        <f>IF(B792="","",ROUND(SUMIFS(Sales!$Y$5:$Y$1204,Sales!$C$5:$C$1204,A792),2))</f>
        <v>0</v>
      </c>
      <c r="AC792" s="38">
        <f>IF(B792="","",IF(M792="Completed","Yes",IF(M792="Cancelled","Yes",IF(M792="No show","Yes","No"))))</f>
        <v>0</v>
      </c>
      <c r="AD792" s="25">
        <f>IF(B792="","",IF(AE792="","",B792-AE792))</f>
        <v>0</v>
      </c>
      <c r="AF792" s="38">
        <f>IF(B792="","",IF(M792&lt;&gt;"Completed","",IF(E792="","No",IF(COUNTIFS(Appointments!$E$5:$E$1204,E792,Appointments!$B$5:$B$1204,"&gt;"&amp;B792,Appointments!$M$5:$M$1204,"&lt;&gt;Cancelled")&gt;0,"Yes","No"))))</f>
        <v>0</v>
      </c>
      <c r="AG792" s="38">
        <f>IF(B792="","",IF(I792="","",IF(D792="","",IF(COUNTIFS($I$5:$I$1204,I792,$B$5:$B$1204,B792,$D$5:$D$1204,"&lt;"&amp;V792,$V$5:$V$1204,"&gt;"&amp;D792,$M$5:$M$1204,"&lt;&gt;Cancelled")&gt;1,"Clash",""))))</f>
        <v>0</v>
      </c>
      <c r="AH792" s="39">
        <f>IF(B792="","",IF(AG792="Clash","Clash - stylist double booked",IF(I792="","Assign - no stylist yet",IF(G792="","Add - no service chosen",IF(M792="No show","No show - charge the fee?",IF(M792="Cancelled","",IF(IF(M792="Completed",AB792&lt;Y792-0.004,FALSE),"Unpaid - nothing rung up for this visit",IF(IF(B792&lt;TodayDate,M792="Booked",FALSE),"Overdue - past date, still only Booked",IF(IF(B792=TodayDate,TRUE,FALSE),"Today",IF(IF(Z792&gt;0,AA792&lt;Z792-0.004,FALSE),"Due - deposit not taken",IF(IF(B792&gt;TodayDate,B792&lt;=TodayDate+2,FALSE),"Confirm - coming up","OK")))))))))))</f>
        <v>0</v>
      </c>
    </row>
    <row r="793" spans="1:34">
      <c r="A793" s="28">
        <f>IF(B793="","",AppointmentPrefix&amp;TEXT(ROW()-4,"0000"))</f>
        <v>0</v>
      </c>
      <c r="C793" s="15">
        <f>IF(B793="","",TEXT(B793,"ddd"))</f>
        <v>0</v>
      </c>
      <c r="F793" s="15">
        <f>IF(E793="","",IFERROR(INDEX(Clients!$B$5:$B$504,MATCH(E793,Clients!$A$5:$A$504,0)),"Walk-in"))</f>
        <v>0</v>
      </c>
      <c r="H793" s="15">
        <f>IF(G793="","",IFERROR(INDEX(Services!$B$5:$B$204,MATCH(G793,Services!$A$5:$A$204,0)),"Not in Services"))</f>
        <v>0</v>
      </c>
      <c r="J793" s="15">
        <f>IF(I793="","",IFERROR(INDEX(Staff!$B$5:$B$44,MATCH(I793,Staff!$A$5:$A$44,0)),"Unassigned"))</f>
        <v>0</v>
      </c>
      <c r="S793" s="15">
        <f>IF(B793="","",TEXT(B793,"yyyy-mm"))</f>
        <v>0</v>
      </c>
      <c r="T793" s="25">
        <f>IF(B793="","",WEEKNUM(B793,2))</f>
        <v>0</v>
      </c>
      <c r="U793" s="25">
        <f>IF(B793="","",IF(K793&lt;&gt;"",K793,IFERROR(INDEX(Services!$E$5:$E$204,MATCH(G793,Services!$A$5:$A$204,0))*1,0)+IFERROR(INDEX(Services!$F$5:$F$204,MATCH(G793,Services!$A$5:$A$204,0))*1,0)))</f>
        <v>0</v>
      </c>
      <c r="V793" s="36">
        <f>IF(B793="","",IF(D793="","",D793+U793/1440))</f>
        <v>0</v>
      </c>
      <c r="W793" s="25">
        <f>IF(B793="","",IF(D793="","",HOUR(D793)))</f>
        <v>0</v>
      </c>
      <c r="X793" s="37">
        <f>IF(B793="","",ROUND(U793/60,2))</f>
        <v>0</v>
      </c>
      <c r="Y793" s="26">
        <f>IF(B793="","",IF(L793&lt;&gt;"",L793,IFERROR(INDEX(Services!$G$5:$G$204,MATCH(G793,Services!$A$5:$A$204,0))*1,0)))</f>
        <v>0</v>
      </c>
      <c r="Z793" s="26">
        <f>IF(B793="","",IF(O793&lt;&gt;"",O793,IF(Y793&gt;=DepositThreshold,ROUND(Y793*DepositPercent,2),0)))</f>
        <v>0</v>
      </c>
      <c r="AA793" s="26">
        <f>IF(B793="","",ROUND(SUMIFS(Payments!$G$5:$G$1204,Payments!$I$5:$I$1204,A793,Payments!$E$5:$E$1204,"Deposit"),2))</f>
        <v>0</v>
      </c>
      <c r="AB793" s="26">
        <f>IF(B793="","",ROUND(SUMIFS(Sales!$Y$5:$Y$1204,Sales!$C$5:$C$1204,A793),2))</f>
        <v>0</v>
      </c>
      <c r="AC793" s="38">
        <f>IF(B793="","",IF(M793="Completed","Yes",IF(M793="Cancelled","Yes",IF(M793="No show","Yes","No"))))</f>
        <v>0</v>
      </c>
      <c r="AD793" s="25">
        <f>IF(B793="","",IF(AE793="","",B793-AE793))</f>
        <v>0</v>
      </c>
      <c r="AF793" s="38">
        <f>IF(B793="","",IF(M793&lt;&gt;"Completed","",IF(E793="","No",IF(COUNTIFS(Appointments!$E$5:$E$1204,E793,Appointments!$B$5:$B$1204,"&gt;"&amp;B793,Appointments!$M$5:$M$1204,"&lt;&gt;Cancelled")&gt;0,"Yes","No"))))</f>
        <v>0</v>
      </c>
      <c r="AG793" s="38">
        <f>IF(B793="","",IF(I793="","",IF(D793="","",IF(COUNTIFS($I$5:$I$1204,I793,$B$5:$B$1204,B793,$D$5:$D$1204,"&lt;"&amp;V793,$V$5:$V$1204,"&gt;"&amp;D793,$M$5:$M$1204,"&lt;&gt;Cancelled")&gt;1,"Clash",""))))</f>
        <v>0</v>
      </c>
      <c r="AH793" s="39">
        <f>IF(B793="","",IF(AG793="Clash","Clash - stylist double booked",IF(I793="","Assign - no stylist yet",IF(G793="","Add - no service chosen",IF(M793="No show","No show - charge the fee?",IF(M793="Cancelled","",IF(IF(M793="Completed",AB793&lt;Y793-0.004,FALSE),"Unpaid - nothing rung up for this visit",IF(IF(B793&lt;TodayDate,M793="Booked",FALSE),"Overdue - past date, still only Booked",IF(IF(B793=TodayDate,TRUE,FALSE),"Today",IF(IF(Z793&gt;0,AA793&lt;Z793-0.004,FALSE),"Due - deposit not taken",IF(IF(B793&gt;TodayDate,B793&lt;=TodayDate+2,FALSE),"Confirm - coming up","OK")))))))))))</f>
        <v>0</v>
      </c>
    </row>
    <row r="794" spans="1:34">
      <c r="A794" s="28">
        <f>IF(B794="","",AppointmentPrefix&amp;TEXT(ROW()-4,"0000"))</f>
        <v>0</v>
      </c>
      <c r="C794" s="15">
        <f>IF(B794="","",TEXT(B794,"ddd"))</f>
        <v>0</v>
      </c>
      <c r="F794" s="15">
        <f>IF(E794="","",IFERROR(INDEX(Clients!$B$5:$B$504,MATCH(E794,Clients!$A$5:$A$504,0)),"Walk-in"))</f>
        <v>0</v>
      </c>
      <c r="H794" s="15">
        <f>IF(G794="","",IFERROR(INDEX(Services!$B$5:$B$204,MATCH(G794,Services!$A$5:$A$204,0)),"Not in Services"))</f>
        <v>0</v>
      </c>
      <c r="J794" s="15">
        <f>IF(I794="","",IFERROR(INDEX(Staff!$B$5:$B$44,MATCH(I794,Staff!$A$5:$A$44,0)),"Unassigned"))</f>
        <v>0</v>
      </c>
      <c r="S794" s="15">
        <f>IF(B794="","",TEXT(B794,"yyyy-mm"))</f>
        <v>0</v>
      </c>
      <c r="T794" s="25">
        <f>IF(B794="","",WEEKNUM(B794,2))</f>
        <v>0</v>
      </c>
      <c r="U794" s="25">
        <f>IF(B794="","",IF(K794&lt;&gt;"",K794,IFERROR(INDEX(Services!$E$5:$E$204,MATCH(G794,Services!$A$5:$A$204,0))*1,0)+IFERROR(INDEX(Services!$F$5:$F$204,MATCH(G794,Services!$A$5:$A$204,0))*1,0)))</f>
        <v>0</v>
      </c>
      <c r="V794" s="36">
        <f>IF(B794="","",IF(D794="","",D794+U794/1440))</f>
        <v>0</v>
      </c>
      <c r="W794" s="25">
        <f>IF(B794="","",IF(D794="","",HOUR(D794)))</f>
        <v>0</v>
      </c>
      <c r="X794" s="37">
        <f>IF(B794="","",ROUND(U794/60,2))</f>
        <v>0</v>
      </c>
      <c r="Y794" s="26">
        <f>IF(B794="","",IF(L794&lt;&gt;"",L794,IFERROR(INDEX(Services!$G$5:$G$204,MATCH(G794,Services!$A$5:$A$204,0))*1,0)))</f>
        <v>0</v>
      </c>
      <c r="Z794" s="26">
        <f>IF(B794="","",IF(O794&lt;&gt;"",O794,IF(Y794&gt;=DepositThreshold,ROUND(Y794*DepositPercent,2),0)))</f>
        <v>0</v>
      </c>
      <c r="AA794" s="26">
        <f>IF(B794="","",ROUND(SUMIFS(Payments!$G$5:$G$1204,Payments!$I$5:$I$1204,A794,Payments!$E$5:$E$1204,"Deposit"),2))</f>
        <v>0</v>
      </c>
      <c r="AB794" s="26">
        <f>IF(B794="","",ROUND(SUMIFS(Sales!$Y$5:$Y$1204,Sales!$C$5:$C$1204,A794),2))</f>
        <v>0</v>
      </c>
      <c r="AC794" s="38">
        <f>IF(B794="","",IF(M794="Completed","Yes",IF(M794="Cancelled","Yes",IF(M794="No show","Yes","No"))))</f>
        <v>0</v>
      </c>
      <c r="AD794" s="25">
        <f>IF(B794="","",IF(AE794="","",B794-AE794))</f>
        <v>0</v>
      </c>
      <c r="AF794" s="38">
        <f>IF(B794="","",IF(M794&lt;&gt;"Completed","",IF(E794="","No",IF(COUNTIFS(Appointments!$E$5:$E$1204,E794,Appointments!$B$5:$B$1204,"&gt;"&amp;B794,Appointments!$M$5:$M$1204,"&lt;&gt;Cancelled")&gt;0,"Yes","No"))))</f>
        <v>0</v>
      </c>
      <c r="AG794" s="38">
        <f>IF(B794="","",IF(I794="","",IF(D794="","",IF(COUNTIFS($I$5:$I$1204,I794,$B$5:$B$1204,B794,$D$5:$D$1204,"&lt;"&amp;V794,$V$5:$V$1204,"&gt;"&amp;D794,$M$5:$M$1204,"&lt;&gt;Cancelled")&gt;1,"Clash",""))))</f>
        <v>0</v>
      </c>
      <c r="AH794" s="39">
        <f>IF(B794="","",IF(AG794="Clash","Clash - stylist double booked",IF(I794="","Assign - no stylist yet",IF(G794="","Add - no service chosen",IF(M794="No show","No show - charge the fee?",IF(M794="Cancelled","",IF(IF(M794="Completed",AB794&lt;Y794-0.004,FALSE),"Unpaid - nothing rung up for this visit",IF(IF(B794&lt;TodayDate,M794="Booked",FALSE),"Overdue - past date, still only Booked",IF(IF(B794=TodayDate,TRUE,FALSE),"Today",IF(IF(Z794&gt;0,AA794&lt;Z794-0.004,FALSE),"Due - deposit not taken",IF(IF(B794&gt;TodayDate,B794&lt;=TodayDate+2,FALSE),"Confirm - coming up","OK")))))))))))</f>
        <v>0</v>
      </c>
    </row>
    <row r="795" spans="1:34">
      <c r="A795" s="28">
        <f>IF(B795="","",AppointmentPrefix&amp;TEXT(ROW()-4,"0000"))</f>
        <v>0</v>
      </c>
      <c r="C795" s="15">
        <f>IF(B795="","",TEXT(B795,"ddd"))</f>
        <v>0</v>
      </c>
      <c r="F795" s="15">
        <f>IF(E795="","",IFERROR(INDEX(Clients!$B$5:$B$504,MATCH(E795,Clients!$A$5:$A$504,0)),"Walk-in"))</f>
        <v>0</v>
      </c>
      <c r="H795" s="15">
        <f>IF(G795="","",IFERROR(INDEX(Services!$B$5:$B$204,MATCH(G795,Services!$A$5:$A$204,0)),"Not in Services"))</f>
        <v>0</v>
      </c>
      <c r="J795" s="15">
        <f>IF(I795="","",IFERROR(INDEX(Staff!$B$5:$B$44,MATCH(I795,Staff!$A$5:$A$44,0)),"Unassigned"))</f>
        <v>0</v>
      </c>
      <c r="S795" s="15">
        <f>IF(B795="","",TEXT(B795,"yyyy-mm"))</f>
        <v>0</v>
      </c>
      <c r="T795" s="25">
        <f>IF(B795="","",WEEKNUM(B795,2))</f>
        <v>0</v>
      </c>
      <c r="U795" s="25">
        <f>IF(B795="","",IF(K795&lt;&gt;"",K795,IFERROR(INDEX(Services!$E$5:$E$204,MATCH(G795,Services!$A$5:$A$204,0))*1,0)+IFERROR(INDEX(Services!$F$5:$F$204,MATCH(G795,Services!$A$5:$A$204,0))*1,0)))</f>
        <v>0</v>
      </c>
      <c r="V795" s="36">
        <f>IF(B795="","",IF(D795="","",D795+U795/1440))</f>
        <v>0</v>
      </c>
      <c r="W795" s="25">
        <f>IF(B795="","",IF(D795="","",HOUR(D795)))</f>
        <v>0</v>
      </c>
      <c r="X795" s="37">
        <f>IF(B795="","",ROUND(U795/60,2))</f>
        <v>0</v>
      </c>
      <c r="Y795" s="26">
        <f>IF(B795="","",IF(L795&lt;&gt;"",L795,IFERROR(INDEX(Services!$G$5:$G$204,MATCH(G795,Services!$A$5:$A$204,0))*1,0)))</f>
        <v>0</v>
      </c>
      <c r="Z795" s="26">
        <f>IF(B795="","",IF(O795&lt;&gt;"",O795,IF(Y795&gt;=DepositThreshold,ROUND(Y795*DepositPercent,2),0)))</f>
        <v>0</v>
      </c>
      <c r="AA795" s="26">
        <f>IF(B795="","",ROUND(SUMIFS(Payments!$G$5:$G$1204,Payments!$I$5:$I$1204,A795,Payments!$E$5:$E$1204,"Deposit"),2))</f>
        <v>0</v>
      </c>
      <c r="AB795" s="26">
        <f>IF(B795="","",ROUND(SUMIFS(Sales!$Y$5:$Y$1204,Sales!$C$5:$C$1204,A795),2))</f>
        <v>0</v>
      </c>
      <c r="AC795" s="38">
        <f>IF(B795="","",IF(M795="Completed","Yes",IF(M795="Cancelled","Yes",IF(M795="No show","Yes","No"))))</f>
        <v>0</v>
      </c>
      <c r="AD795" s="25">
        <f>IF(B795="","",IF(AE795="","",B795-AE795))</f>
        <v>0</v>
      </c>
      <c r="AF795" s="38">
        <f>IF(B795="","",IF(M795&lt;&gt;"Completed","",IF(E795="","No",IF(COUNTIFS(Appointments!$E$5:$E$1204,E795,Appointments!$B$5:$B$1204,"&gt;"&amp;B795,Appointments!$M$5:$M$1204,"&lt;&gt;Cancelled")&gt;0,"Yes","No"))))</f>
        <v>0</v>
      </c>
      <c r="AG795" s="38">
        <f>IF(B795="","",IF(I795="","",IF(D795="","",IF(COUNTIFS($I$5:$I$1204,I795,$B$5:$B$1204,B795,$D$5:$D$1204,"&lt;"&amp;V795,$V$5:$V$1204,"&gt;"&amp;D795,$M$5:$M$1204,"&lt;&gt;Cancelled")&gt;1,"Clash",""))))</f>
        <v>0</v>
      </c>
      <c r="AH795" s="39">
        <f>IF(B795="","",IF(AG795="Clash","Clash - stylist double booked",IF(I795="","Assign - no stylist yet",IF(G795="","Add - no service chosen",IF(M795="No show","No show - charge the fee?",IF(M795="Cancelled","",IF(IF(M795="Completed",AB795&lt;Y795-0.004,FALSE),"Unpaid - nothing rung up for this visit",IF(IF(B795&lt;TodayDate,M795="Booked",FALSE),"Overdue - past date, still only Booked",IF(IF(B795=TodayDate,TRUE,FALSE),"Today",IF(IF(Z795&gt;0,AA795&lt;Z795-0.004,FALSE),"Due - deposit not taken",IF(IF(B795&gt;TodayDate,B795&lt;=TodayDate+2,FALSE),"Confirm - coming up","OK")))))))))))</f>
        <v>0</v>
      </c>
    </row>
    <row r="796" spans="1:34">
      <c r="A796" s="28">
        <f>IF(B796="","",AppointmentPrefix&amp;TEXT(ROW()-4,"0000"))</f>
        <v>0</v>
      </c>
      <c r="C796" s="15">
        <f>IF(B796="","",TEXT(B796,"ddd"))</f>
        <v>0</v>
      </c>
      <c r="F796" s="15">
        <f>IF(E796="","",IFERROR(INDEX(Clients!$B$5:$B$504,MATCH(E796,Clients!$A$5:$A$504,0)),"Walk-in"))</f>
        <v>0</v>
      </c>
      <c r="H796" s="15">
        <f>IF(G796="","",IFERROR(INDEX(Services!$B$5:$B$204,MATCH(G796,Services!$A$5:$A$204,0)),"Not in Services"))</f>
        <v>0</v>
      </c>
      <c r="J796" s="15">
        <f>IF(I796="","",IFERROR(INDEX(Staff!$B$5:$B$44,MATCH(I796,Staff!$A$5:$A$44,0)),"Unassigned"))</f>
        <v>0</v>
      </c>
      <c r="S796" s="15">
        <f>IF(B796="","",TEXT(B796,"yyyy-mm"))</f>
        <v>0</v>
      </c>
      <c r="T796" s="25">
        <f>IF(B796="","",WEEKNUM(B796,2))</f>
        <v>0</v>
      </c>
      <c r="U796" s="25">
        <f>IF(B796="","",IF(K796&lt;&gt;"",K796,IFERROR(INDEX(Services!$E$5:$E$204,MATCH(G796,Services!$A$5:$A$204,0))*1,0)+IFERROR(INDEX(Services!$F$5:$F$204,MATCH(G796,Services!$A$5:$A$204,0))*1,0)))</f>
        <v>0</v>
      </c>
      <c r="V796" s="36">
        <f>IF(B796="","",IF(D796="","",D796+U796/1440))</f>
        <v>0</v>
      </c>
      <c r="W796" s="25">
        <f>IF(B796="","",IF(D796="","",HOUR(D796)))</f>
        <v>0</v>
      </c>
      <c r="X796" s="37">
        <f>IF(B796="","",ROUND(U796/60,2))</f>
        <v>0</v>
      </c>
      <c r="Y796" s="26">
        <f>IF(B796="","",IF(L796&lt;&gt;"",L796,IFERROR(INDEX(Services!$G$5:$G$204,MATCH(G796,Services!$A$5:$A$204,0))*1,0)))</f>
        <v>0</v>
      </c>
      <c r="Z796" s="26">
        <f>IF(B796="","",IF(O796&lt;&gt;"",O796,IF(Y796&gt;=DepositThreshold,ROUND(Y796*DepositPercent,2),0)))</f>
        <v>0</v>
      </c>
      <c r="AA796" s="26">
        <f>IF(B796="","",ROUND(SUMIFS(Payments!$G$5:$G$1204,Payments!$I$5:$I$1204,A796,Payments!$E$5:$E$1204,"Deposit"),2))</f>
        <v>0</v>
      </c>
      <c r="AB796" s="26">
        <f>IF(B796="","",ROUND(SUMIFS(Sales!$Y$5:$Y$1204,Sales!$C$5:$C$1204,A796),2))</f>
        <v>0</v>
      </c>
      <c r="AC796" s="38">
        <f>IF(B796="","",IF(M796="Completed","Yes",IF(M796="Cancelled","Yes",IF(M796="No show","Yes","No"))))</f>
        <v>0</v>
      </c>
      <c r="AD796" s="25">
        <f>IF(B796="","",IF(AE796="","",B796-AE796))</f>
        <v>0</v>
      </c>
      <c r="AF796" s="38">
        <f>IF(B796="","",IF(M796&lt;&gt;"Completed","",IF(E796="","No",IF(COUNTIFS(Appointments!$E$5:$E$1204,E796,Appointments!$B$5:$B$1204,"&gt;"&amp;B796,Appointments!$M$5:$M$1204,"&lt;&gt;Cancelled")&gt;0,"Yes","No"))))</f>
        <v>0</v>
      </c>
      <c r="AG796" s="38">
        <f>IF(B796="","",IF(I796="","",IF(D796="","",IF(COUNTIFS($I$5:$I$1204,I796,$B$5:$B$1204,B796,$D$5:$D$1204,"&lt;"&amp;V796,$V$5:$V$1204,"&gt;"&amp;D796,$M$5:$M$1204,"&lt;&gt;Cancelled")&gt;1,"Clash",""))))</f>
        <v>0</v>
      </c>
      <c r="AH796" s="39">
        <f>IF(B796="","",IF(AG796="Clash","Clash - stylist double booked",IF(I796="","Assign - no stylist yet",IF(G796="","Add - no service chosen",IF(M796="No show","No show - charge the fee?",IF(M796="Cancelled","",IF(IF(M796="Completed",AB796&lt;Y796-0.004,FALSE),"Unpaid - nothing rung up for this visit",IF(IF(B796&lt;TodayDate,M796="Booked",FALSE),"Overdue - past date, still only Booked",IF(IF(B796=TodayDate,TRUE,FALSE),"Today",IF(IF(Z796&gt;0,AA796&lt;Z796-0.004,FALSE),"Due - deposit not taken",IF(IF(B796&gt;TodayDate,B796&lt;=TodayDate+2,FALSE),"Confirm - coming up","OK")))))))))))</f>
        <v>0</v>
      </c>
    </row>
    <row r="797" spans="1:34">
      <c r="A797" s="28">
        <f>IF(B797="","",AppointmentPrefix&amp;TEXT(ROW()-4,"0000"))</f>
        <v>0</v>
      </c>
      <c r="C797" s="15">
        <f>IF(B797="","",TEXT(B797,"ddd"))</f>
        <v>0</v>
      </c>
      <c r="F797" s="15">
        <f>IF(E797="","",IFERROR(INDEX(Clients!$B$5:$B$504,MATCH(E797,Clients!$A$5:$A$504,0)),"Walk-in"))</f>
        <v>0</v>
      </c>
      <c r="H797" s="15">
        <f>IF(G797="","",IFERROR(INDEX(Services!$B$5:$B$204,MATCH(G797,Services!$A$5:$A$204,0)),"Not in Services"))</f>
        <v>0</v>
      </c>
      <c r="J797" s="15">
        <f>IF(I797="","",IFERROR(INDEX(Staff!$B$5:$B$44,MATCH(I797,Staff!$A$5:$A$44,0)),"Unassigned"))</f>
        <v>0</v>
      </c>
      <c r="S797" s="15">
        <f>IF(B797="","",TEXT(B797,"yyyy-mm"))</f>
        <v>0</v>
      </c>
      <c r="T797" s="25">
        <f>IF(B797="","",WEEKNUM(B797,2))</f>
        <v>0</v>
      </c>
      <c r="U797" s="25">
        <f>IF(B797="","",IF(K797&lt;&gt;"",K797,IFERROR(INDEX(Services!$E$5:$E$204,MATCH(G797,Services!$A$5:$A$204,0))*1,0)+IFERROR(INDEX(Services!$F$5:$F$204,MATCH(G797,Services!$A$5:$A$204,0))*1,0)))</f>
        <v>0</v>
      </c>
      <c r="V797" s="36">
        <f>IF(B797="","",IF(D797="","",D797+U797/1440))</f>
        <v>0</v>
      </c>
      <c r="W797" s="25">
        <f>IF(B797="","",IF(D797="","",HOUR(D797)))</f>
        <v>0</v>
      </c>
      <c r="X797" s="37">
        <f>IF(B797="","",ROUND(U797/60,2))</f>
        <v>0</v>
      </c>
      <c r="Y797" s="26">
        <f>IF(B797="","",IF(L797&lt;&gt;"",L797,IFERROR(INDEX(Services!$G$5:$G$204,MATCH(G797,Services!$A$5:$A$204,0))*1,0)))</f>
        <v>0</v>
      </c>
      <c r="Z797" s="26">
        <f>IF(B797="","",IF(O797&lt;&gt;"",O797,IF(Y797&gt;=DepositThreshold,ROUND(Y797*DepositPercent,2),0)))</f>
        <v>0</v>
      </c>
      <c r="AA797" s="26">
        <f>IF(B797="","",ROUND(SUMIFS(Payments!$G$5:$G$1204,Payments!$I$5:$I$1204,A797,Payments!$E$5:$E$1204,"Deposit"),2))</f>
        <v>0</v>
      </c>
      <c r="AB797" s="26">
        <f>IF(B797="","",ROUND(SUMIFS(Sales!$Y$5:$Y$1204,Sales!$C$5:$C$1204,A797),2))</f>
        <v>0</v>
      </c>
      <c r="AC797" s="38">
        <f>IF(B797="","",IF(M797="Completed","Yes",IF(M797="Cancelled","Yes",IF(M797="No show","Yes","No"))))</f>
        <v>0</v>
      </c>
      <c r="AD797" s="25">
        <f>IF(B797="","",IF(AE797="","",B797-AE797))</f>
        <v>0</v>
      </c>
      <c r="AF797" s="38">
        <f>IF(B797="","",IF(M797&lt;&gt;"Completed","",IF(E797="","No",IF(COUNTIFS(Appointments!$E$5:$E$1204,E797,Appointments!$B$5:$B$1204,"&gt;"&amp;B797,Appointments!$M$5:$M$1204,"&lt;&gt;Cancelled")&gt;0,"Yes","No"))))</f>
        <v>0</v>
      </c>
      <c r="AG797" s="38">
        <f>IF(B797="","",IF(I797="","",IF(D797="","",IF(COUNTIFS($I$5:$I$1204,I797,$B$5:$B$1204,B797,$D$5:$D$1204,"&lt;"&amp;V797,$V$5:$V$1204,"&gt;"&amp;D797,$M$5:$M$1204,"&lt;&gt;Cancelled")&gt;1,"Clash",""))))</f>
        <v>0</v>
      </c>
      <c r="AH797" s="39">
        <f>IF(B797="","",IF(AG797="Clash","Clash - stylist double booked",IF(I797="","Assign - no stylist yet",IF(G797="","Add - no service chosen",IF(M797="No show","No show - charge the fee?",IF(M797="Cancelled","",IF(IF(M797="Completed",AB797&lt;Y797-0.004,FALSE),"Unpaid - nothing rung up for this visit",IF(IF(B797&lt;TodayDate,M797="Booked",FALSE),"Overdue - past date, still only Booked",IF(IF(B797=TodayDate,TRUE,FALSE),"Today",IF(IF(Z797&gt;0,AA797&lt;Z797-0.004,FALSE),"Due - deposit not taken",IF(IF(B797&gt;TodayDate,B797&lt;=TodayDate+2,FALSE),"Confirm - coming up","OK")))))))))))</f>
        <v>0</v>
      </c>
    </row>
    <row r="798" spans="1:34">
      <c r="A798" s="28">
        <f>IF(B798="","",AppointmentPrefix&amp;TEXT(ROW()-4,"0000"))</f>
        <v>0</v>
      </c>
      <c r="C798" s="15">
        <f>IF(B798="","",TEXT(B798,"ddd"))</f>
        <v>0</v>
      </c>
      <c r="F798" s="15">
        <f>IF(E798="","",IFERROR(INDEX(Clients!$B$5:$B$504,MATCH(E798,Clients!$A$5:$A$504,0)),"Walk-in"))</f>
        <v>0</v>
      </c>
      <c r="H798" s="15">
        <f>IF(G798="","",IFERROR(INDEX(Services!$B$5:$B$204,MATCH(G798,Services!$A$5:$A$204,0)),"Not in Services"))</f>
        <v>0</v>
      </c>
      <c r="J798" s="15">
        <f>IF(I798="","",IFERROR(INDEX(Staff!$B$5:$B$44,MATCH(I798,Staff!$A$5:$A$44,0)),"Unassigned"))</f>
        <v>0</v>
      </c>
      <c r="S798" s="15">
        <f>IF(B798="","",TEXT(B798,"yyyy-mm"))</f>
        <v>0</v>
      </c>
      <c r="T798" s="25">
        <f>IF(B798="","",WEEKNUM(B798,2))</f>
        <v>0</v>
      </c>
      <c r="U798" s="25">
        <f>IF(B798="","",IF(K798&lt;&gt;"",K798,IFERROR(INDEX(Services!$E$5:$E$204,MATCH(G798,Services!$A$5:$A$204,0))*1,0)+IFERROR(INDEX(Services!$F$5:$F$204,MATCH(G798,Services!$A$5:$A$204,0))*1,0)))</f>
        <v>0</v>
      </c>
      <c r="V798" s="36">
        <f>IF(B798="","",IF(D798="","",D798+U798/1440))</f>
        <v>0</v>
      </c>
      <c r="W798" s="25">
        <f>IF(B798="","",IF(D798="","",HOUR(D798)))</f>
        <v>0</v>
      </c>
      <c r="X798" s="37">
        <f>IF(B798="","",ROUND(U798/60,2))</f>
        <v>0</v>
      </c>
      <c r="Y798" s="26">
        <f>IF(B798="","",IF(L798&lt;&gt;"",L798,IFERROR(INDEX(Services!$G$5:$G$204,MATCH(G798,Services!$A$5:$A$204,0))*1,0)))</f>
        <v>0</v>
      </c>
      <c r="Z798" s="26">
        <f>IF(B798="","",IF(O798&lt;&gt;"",O798,IF(Y798&gt;=DepositThreshold,ROUND(Y798*DepositPercent,2),0)))</f>
        <v>0</v>
      </c>
      <c r="AA798" s="26">
        <f>IF(B798="","",ROUND(SUMIFS(Payments!$G$5:$G$1204,Payments!$I$5:$I$1204,A798,Payments!$E$5:$E$1204,"Deposit"),2))</f>
        <v>0</v>
      </c>
      <c r="AB798" s="26">
        <f>IF(B798="","",ROUND(SUMIFS(Sales!$Y$5:$Y$1204,Sales!$C$5:$C$1204,A798),2))</f>
        <v>0</v>
      </c>
      <c r="AC798" s="38">
        <f>IF(B798="","",IF(M798="Completed","Yes",IF(M798="Cancelled","Yes",IF(M798="No show","Yes","No"))))</f>
        <v>0</v>
      </c>
      <c r="AD798" s="25">
        <f>IF(B798="","",IF(AE798="","",B798-AE798))</f>
        <v>0</v>
      </c>
      <c r="AF798" s="38">
        <f>IF(B798="","",IF(M798&lt;&gt;"Completed","",IF(E798="","No",IF(COUNTIFS(Appointments!$E$5:$E$1204,E798,Appointments!$B$5:$B$1204,"&gt;"&amp;B798,Appointments!$M$5:$M$1204,"&lt;&gt;Cancelled")&gt;0,"Yes","No"))))</f>
        <v>0</v>
      </c>
      <c r="AG798" s="38">
        <f>IF(B798="","",IF(I798="","",IF(D798="","",IF(COUNTIFS($I$5:$I$1204,I798,$B$5:$B$1204,B798,$D$5:$D$1204,"&lt;"&amp;V798,$V$5:$V$1204,"&gt;"&amp;D798,$M$5:$M$1204,"&lt;&gt;Cancelled")&gt;1,"Clash",""))))</f>
        <v>0</v>
      </c>
      <c r="AH798" s="39">
        <f>IF(B798="","",IF(AG798="Clash","Clash - stylist double booked",IF(I798="","Assign - no stylist yet",IF(G798="","Add - no service chosen",IF(M798="No show","No show - charge the fee?",IF(M798="Cancelled","",IF(IF(M798="Completed",AB798&lt;Y798-0.004,FALSE),"Unpaid - nothing rung up for this visit",IF(IF(B798&lt;TodayDate,M798="Booked",FALSE),"Overdue - past date, still only Booked",IF(IF(B798=TodayDate,TRUE,FALSE),"Today",IF(IF(Z798&gt;0,AA798&lt;Z798-0.004,FALSE),"Due - deposit not taken",IF(IF(B798&gt;TodayDate,B798&lt;=TodayDate+2,FALSE),"Confirm - coming up","OK")))))))))))</f>
        <v>0</v>
      </c>
    </row>
    <row r="799" spans="1:34">
      <c r="A799" s="28">
        <f>IF(B799="","",AppointmentPrefix&amp;TEXT(ROW()-4,"0000"))</f>
        <v>0</v>
      </c>
      <c r="C799" s="15">
        <f>IF(B799="","",TEXT(B799,"ddd"))</f>
        <v>0</v>
      </c>
      <c r="F799" s="15">
        <f>IF(E799="","",IFERROR(INDEX(Clients!$B$5:$B$504,MATCH(E799,Clients!$A$5:$A$504,0)),"Walk-in"))</f>
        <v>0</v>
      </c>
      <c r="H799" s="15">
        <f>IF(G799="","",IFERROR(INDEX(Services!$B$5:$B$204,MATCH(G799,Services!$A$5:$A$204,0)),"Not in Services"))</f>
        <v>0</v>
      </c>
      <c r="J799" s="15">
        <f>IF(I799="","",IFERROR(INDEX(Staff!$B$5:$B$44,MATCH(I799,Staff!$A$5:$A$44,0)),"Unassigned"))</f>
        <v>0</v>
      </c>
      <c r="S799" s="15">
        <f>IF(B799="","",TEXT(B799,"yyyy-mm"))</f>
        <v>0</v>
      </c>
      <c r="T799" s="25">
        <f>IF(B799="","",WEEKNUM(B799,2))</f>
        <v>0</v>
      </c>
      <c r="U799" s="25">
        <f>IF(B799="","",IF(K799&lt;&gt;"",K799,IFERROR(INDEX(Services!$E$5:$E$204,MATCH(G799,Services!$A$5:$A$204,0))*1,0)+IFERROR(INDEX(Services!$F$5:$F$204,MATCH(G799,Services!$A$5:$A$204,0))*1,0)))</f>
        <v>0</v>
      </c>
      <c r="V799" s="36">
        <f>IF(B799="","",IF(D799="","",D799+U799/1440))</f>
        <v>0</v>
      </c>
      <c r="W799" s="25">
        <f>IF(B799="","",IF(D799="","",HOUR(D799)))</f>
        <v>0</v>
      </c>
      <c r="X799" s="37">
        <f>IF(B799="","",ROUND(U799/60,2))</f>
        <v>0</v>
      </c>
      <c r="Y799" s="26">
        <f>IF(B799="","",IF(L799&lt;&gt;"",L799,IFERROR(INDEX(Services!$G$5:$G$204,MATCH(G799,Services!$A$5:$A$204,0))*1,0)))</f>
        <v>0</v>
      </c>
      <c r="Z799" s="26">
        <f>IF(B799="","",IF(O799&lt;&gt;"",O799,IF(Y799&gt;=DepositThreshold,ROUND(Y799*DepositPercent,2),0)))</f>
        <v>0</v>
      </c>
      <c r="AA799" s="26">
        <f>IF(B799="","",ROUND(SUMIFS(Payments!$G$5:$G$1204,Payments!$I$5:$I$1204,A799,Payments!$E$5:$E$1204,"Deposit"),2))</f>
        <v>0</v>
      </c>
      <c r="AB799" s="26">
        <f>IF(B799="","",ROUND(SUMIFS(Sales!$Y$5:$Y$1204,Sales!$C$5:$C$1204,A799),2))</f>
        <v>0</v>
      </c>
      <c r="AC799" s="38">
        <f>IF(B799="","",IF(M799="Completed","Yes",IF(M799="Cancelled","Yes",IF(M799="No show","Yes","No"))))</f>
        <v>0</v>
      </c>
      <c r="AD799" s="25">
        <f>IF(B799="","",IF(AE799="","",B799-AE799))</f>
        <v>0</v>
      </c>
      <c r="AF799" s="38">
        <f>IF(B799="","",IF(M799&lt;&gt;"Completed","",IF(E799="","No",IF(COUNTIFS(Appointments!$E$5:$E$1204,E799,Appointments!$B$5:$B$1204,"&gt;"&amp;B799,Appointments!$M$5:$M$1204,"&lt;&gt;Cancelled")&gt;0,"Yes","No"))))</f>
        <v>0</v>
      </c>
      <c r="AG799" s="38">
        <f>IF(B799="","",IF(I799="","",IF(D799="","",IF(COUNTIFS($I$5:$I$1204,I799,$B$5:$B$1204,B799,$D$5:$D$1204,"&lt;"&amp;V799,$V$5:$V$1204,"&gt;"&amp;D799,$M$5:$M$1204,"&lt;&gt;Cancelled")&gt;1,"Clash",""))))</f>
        <v>0</v>
      </c>
      <c r="AH799" s="39">
        <f>IF(B799="","",IF(AG799="Clash","Clash - stylist double booked",IF(I799="","Assign - no stylist yet",IF(G799="","Add - no service chosen",IF(M799="No show","No show - charge the fee?",IF(M799="Cancelled","",IF(IF(M799="Completed",AB799&lt;Y799-0.004,FALSE),"Unpaid - nothing rung up for this visit",IF(IF(B799&lt;TodayDate,M799="Booked",FALSE),"Overdue - past date, still only Booked",IF(IF(B799=TodayDate,TRUE,FALSE),"Today",IF(IF(Z799&gt;0,AA799&lt;Z799-0.004,FALSE),"Due - deposit not taken",IF(IF(B799&gt;TodayDate,B799&lt;=TodayDate+2,FALSE),"Confirm - coming up","OK")))))))))))</f>
        <v>0</v>
      </c>
    </row>
    <row r="800" spans="1:34">
      <c r="A800" s="28">
        <f>IF(B800="","",AppointmentPrefix&amp;TEXT(ROW()-4,"0000"))</f>
        <v>0</v>
      </c>
      <c r="C800" s="15">
        <f>IF(B800="","",TEXT(B800,"ddd"))</f>
        <v>0</v>
      </c>
      <c r="F800" s="15">
        <f>IF(E800="","",IFERROR(INDEX(Clients!$B$5:$B$504,MATCH(E800,Clients!$A$5:$A$504,0)),"Walk-in"))</f>
        <v>0</v>
      </c>
      <c r="H800" s="15">
        <f>IF(G800="","",IFERROR(INDEX(Services!$B$5:$B$204,MATCH(G800,Services!$A$5:$A$204,0)),"Not in Services"))</f>
        <v>0</v>
      </c>
      <c r="J800" s="15">
        <f>IF(I800="","",IFERROR(INDEX(Staff!$B$5:$B$44,MATCH(I800,Staff!$A$5:$A$44,0)),"Unassigned"))</f>
        <v>0</v>
      </c>
      <c r="S800" s="15">
        <f>IF(B800="","",TEXT(B800,"yyyy-mm"))</f>
        <v>0</v>
      </c>
      <c r="T800" s="25">
        <f>IF(B800="","",WEEKNUM(B800,2))</f>
        <v>0</v>
      </c>
      <c r="U800" s="25">
        <f>IF(B800="","",IF(K800&lt;&gt;"",K800,IFERROR(INDEX(Services!$E$5:$E$204,MATCH(G800,Services!$A$5:$A$204,0))*1,0)+IFERROR(INDEX(Services!$F$5:$F$204,MATCH(G800,Services!$A$5:$A$204,0))*1,0)))</f>
        <v>0</v>
      </c>
      <c r="V800" s="36">
        <f>IF(B800="","",IF(D800="","",D800+U800/1440))</f>
        <v>0</v>
      </c>
      <c r="W800" s="25">
        <f>IF(B800="","",IF(D800="","",HOUR(D800)))</f>
        <v>0</v>
      </c>
      <c r="X800" s="37">
        <f>IF(B800="","",ROUND(U800/60,2))</f>
        <v>0</v>
      </c>
      <c r="Y800" s="26">
        <f>IF(B800="","",IF(L800&lt;&gt;"",L800,IFERROR(INDEX(Services!$G$5:$G$204,MATCH(G800,Services!$A$5:$A$204,0))*1,0)))</f>
        <v>0</v>
      </c>
      <c r="Z800" s="26">
        <f>IF(B800="","",IF(O800&lt;&gt;"",O800,IF(Y800&gt;=DepositThreshold,ROUND(Y800*DepositPercent,2),0)))</f>
        <v>0</v>
      </c>
      <c r="AA800" s="26">
        <f>IF(B800="","",ROUND(SUMIFS(Payments!$G$5:$G$1204,Payments!$I$5:$I$1204,A800,Payments!$E$5:$E$1204,"Deposit"),2))</f>
        <v>0</v>
      </c>
      <c r="AB800" s="26">
        <f>IF(B800="","",ROUND(SUMIFS(Sales!$Y$5:$Y$1204,Sales!$C$5:$C$1204,A800),2))</f>
        <v>0</v>
      </c>
      <c r="AC800" s="38">
        <f>IF(B800="","",IF(M800="Completed","Yes",IF(M800="Cancelled","Yes",IF(M800="No show","Yes","No"))))</f>
        <v>0</v>
      </c>
      <c r="AD800" s="25">
        <f>IF(B800="","",IF(AE800="","",B800-AE800))</f>
        <v>0</v>
      </c>
      <c r="AF800" s="38">
        <f>IF(B800="","",IF(M800&lt;&gt;"Completed","",IF(E800="","No",IF(COUNTIFS(Appointments!$E$5:$E$1204,E800,Appointments!$B$5:$B$1204,"&gt;"&amp;B800,Appointments!$M$5:$M$1204,"&lt;&gt;Cancelled")&gt;0,"Yes","No"))))</f>
        <v>0</v>
      </c>
      <c r="AG800" s="38">
        <f>IF(B800="","",IF(I800="","",IF(D800="","",IF(COUNTIFS($I$5:$I$1204,I800,$B$5:$B$1204,B800,$D$5:$D$1204,"&lt;"&amp;V800,$V$5:$V$1204,"&gt;"&amp;D800,$M$5:$M$1204,"&lt;&gt;Cancelled")&gt;1,"Clash",""))))</f>
        <v>0</v>
      </c>
      <c r="AH800" s="39">
        <f>IF(B800="","",IF(AG800="Clash","Clash - stylist double booked",IF(I800="","Assign - no stylist yet",IF(G800="","Add - no service chosen",IF(M800="No show","No show - charge the fee?",IF(M800="Cancelled","",IF(IF(M800="Completed",AB800&lt;Y800-0.004,FALSE),"Unpaid - nothing rung up for this visit",IF(IF(B800&lt;TodayDate,M800="Booked",FALSE),"Overdue - past date, still only Booked",IF(IF(B800=TodayDate,TRUE,FALSE),"Today",IF(IF(Z800&gt;0,AA800&lt;Z800-0.004,FALSE),"Due - deposit not taken",IF(IF(B800&gt;TodayDate,B800&lt;=TodayDate+2,FALSE),"Confirm - coming up","OK")))))))))))</f>
        <v>0</v>
      </c>
    </row>
    <row r="801" spans="1:34">
      <c r="A801" s="28">
        <f>IF(B801="","",AppointmentPrefix&amp;TEXT(ROW()-4,"0000"))</f>
        <v>0</v>
      </c>
      <c r="C801" s="15">
        <f>IF(B801="","",TEXT(B801,"ddd"))</f>
        <v>0</v>
      </c>
      <c r="F801" s="15">
        <f>IF(E801="","",IFERROR(INDEX(Clients!$B$5:$B$504,MATCH(E801,Clients!$A$5:$A$504,0)),"Walk-in"))</f>
        <v>0</v>
      </c>
      <c r="H801" s="15">
        <f>IF(G801="","",IFERROR(INDEX(Services!$B$5:$B$204,MATCH(G801,Services!$A$5:$A$204,0)),"Not in Services"))</f>
        <v>0</v>
      </c>
      <c r="J801" s="15">
        <f>IF(I801="","",IFERROR(INDEX(Staff!$B$5:$B$44,MATCH(I801,Staff!$A$5:$A$44,0)),"Unassigned"))</f>
        <v>0</v>
      </c>
      <c r="S801" s="15">
        <f>IF(B801="","",TEXT(B801,"yyyy-mm"))</f>
        <v>0</v>
      </c>
      <c r="T801" s="25">
        <f>IF(B801="","",WEEKNUM(B801,2))</f>
        <v>0</v>
      </c>
      <c r="U801" s="25">
        <f>IF(B801="","",IF(K801&lt;&gt;"",K801,IFERROR(INDEX(Services!$E$5:$E$204,MATCH(G801,Services!$A$5:$A$204,0))*1,0)+IFERROR(INDEX(Services!$F$5:$F$204,MATCH(G801,Services!$A$5:$A$204,0))*1,0)))</f>
        <v>0</v>
      </c>
      <c r="V801" s="36">
        <f>IF(B801="","",IF(D801="","",D801+U801/1440))</f>
        <v>0</v>
      </c>
      <c r="W801" s="25">
        <f>IF(B801="","",IF(D801="","",HOUR(D801)))</f>
        <v>0</v>
      </c>
      <c r="X801" s="37">
        <f>IF(B801="","",ROUND(U801/60,2))</f>
        <v>0</v>
      </c>
      <c r="Y801" s="26">
        <f>IF(B801="","",IF(L801&lt;&gt;"",L801,IFERROR(INDEX(Services!$G$5:$G$204,MATCH(G801,Services!$A$5:$A$204,0))*1,0)))</f>
        <v>0</v>
      </c>
      <c r="Z801" s="26">
        <f>IF(B801="","",IF(O801&lt;&gt;"",O801,IF(Y801&gt;=DepositThreshold,ROUND(Y801*DepositPercent,2),0)))</f>
        <v>0</v>
      </c>
      <c r="AA801" s="26">
        <f>IF(B801="","",ROUND(SUMIFS(Payments!$G$5:$G$1204,Payments!$I$5:$I$1204,A801,Payments!$E$5:$E$1204,"Deposit"),2))</f>
        <v>0</v>
      </c>
      <c r="AB801" s="26">
        <f>IF(B801="","",ROUND(SUMIFS(Sales!$Y$5:$Y$1204,Sales!$C$5:$C$1204,A801),2))</f>
        <v>0</v>
      </c>
      <c r="AC801" s="38">
        <f>IF(B801="","",IF(M801="Completed","Yes",IF(M801="Cancelled","Yes",IF(M801="No show","Yes","No"))))</f>
        <v>0</v>
      </c>
      <c r="AD801" s="25">
        <f>IF(B801="","",IF(AE801="","",B801-AE801))</f>
        <v>0</v>
      </c>
      <c r="AF801" s="38">
        <f>IF(B801="","",IF(M801&lt;&gt;"Completed","",IF(E801="","No",IF(COUNTIFS(Appointments!$E$5:$E$1204,E801,Appointments!$B$5:$B$1204,"&gt;"&amp;B801,Appointments!$M$5:$M$1204,"&lt;&gt;Cancelled")&gt;0,"Yes","No"))))</f>
        <v>0</v>
      </c>
      <c r="AG801" s="38">
        <f>IF(B801="","",IF(I801="","",IF(D801="","",IF(COUNTIFS($I$5:$I$1204,I801,$B$5:$B$1204,B801,$D$5:$D$1204,"&lt;"&amp;V801,$V$5:$V$1204,"&gt;"&amp;D801,$M$5:$M$1204,"&lt;&gt;Cancelled")&gt;1,"Clash",""))))</f>
        <v>0</v>
      </c>
      <c r="AH801" s="39">
        <f>IF(B801="","",IF(AG801="Clash","Clash - stylist double booked",IF(I801="","Assign - no stylist yet",IF(G801="","Add - no service chosen",IF(M801="No show","No show - charge the fee?",IF(M801="Cancelled","",IF(IF(M801="Completed",AB801&lt;Y801-0.004,FALSE),"Unpaid - nothing rung up for this visit",IF(IF(B801&lt;TodayDate,M801="Booked",FALSE),"Overdue - past date, still only Booked",IF(IF(B801=TodayDate,TRUE,FALSE),"Today",IF(IF(Z801&gt;0,AA801&lt;Z801-0.004,FALSE),"Due - deposit not taken",IF(IF(B801&gt;TodayDate,B801&lt;=TodayDate+2,FALSE),"Confirm - coming up","OK")))))))))))</f>
        <v>0</v>
      </c>
    </row>
    <row r="802" spans="1:34">
      <c r="A802" s="28">
        <f>IF(B802="","",AppointmentPrefix&amp;TEXT(ROW()-4,"0000"))</f>
        <v>0</v>
      </c>
      <c r="C802" s="15">
        <f>IF(B802="","",TEXT(B802,"ddd"))</f>
        <v>0</v>
      </c>
      <c r="F802" s="15">
        <f>IF(E802="","",IFERROR(INDEX(Clients!$B$5:$B$504,MATCH(E802,Clients!$A$5:$A$504,0)),"Walk-in"))</f>
        <v>0</v>
      </c>
      <c r="H802" s="15">
        <f>IF(G802="","",IFERROR(INDEX(Services!$B$5:$B$204,MATCH(G802,Services!$A$5:$A$204,0)),"Not in Services"))</f>
        <v>0</v>
      </c>
      <c r="J802" s="15">
        <f>IF(I802="","",IFERROR(INDEX(Staff!$B$5:$B$44,MATCH(I802,Staff!$A$5:$A$44,0)),"Unassigned"))</f>
        <v>0</v>
      </c>
      <c r="S802" s="15">
        <f>IF(B802="","",TEXT(B802,"yyyy-mm"))</f>
        <v>0</v>
      </c>
      <c r="T802" s="25">
        <f>IF(B802="","",WEEKNUM(B802,2))</f>
        <v>0</v>
      </c>
      <c r="U802" s="25">
        <f>IF(B802="","",IF(K802&lt;&gt;"",K802,IFERROR(INDEX(Services!$E$5:$E$204,MATCH(G802,Services!$A$5:$A$204,0))*1,0)+IFERROR(INDEX(Services!$F$5:$F$204,MATCH(G802,Services!$A$5:$A$204,0))*1,0)))</f>
        <v>0</v>
      </c>
      <c r="V802" s="36">
        <f>IF(B802="","",IF(D802="","",D802+U802/1440))</f>
        <v>0</v>
      </c>
      <c r="W802" s="25">
        <f>IF(B802="","",IF(D802="","",HOUR(D802)))</f>
        <v>0</v>
      </c>
      <c r="X802" s="37">
        <f>IF(B802="","",ROUND(U802/60,2))</f>
        <v>0</v>
      </c>
      <c r="Y802" s="26">
        <f>IF(B802="","",IF(L802&lt;&gt;"",L802,IFERROR(INDEX(Services!$G$5:$G$204,MATCH(G802,Services!$A$5:$A$204,0))*1,0)))</f>
        <v>0</v>
      </c>
      <c r="Z802" s="26">
        <f>IF(B802="","",IF(O802&lt;&gt;"",O802,IF(Y802&gt;=DepositThreshold,ROUND(Y802*DepositPercent,2),0)))</f>
        <v>0</v>
      </c>
      <c r="AA802" s="26">
        <f>IF(B802="","",ROUND(SUMIFS(Payments!$G$5:$G$1204,Payments!$I$5:$I$1204,A802,Payments!$E$5:$E$1204,"Deposit"),2))</f>
        <v>0</v>
      </c>
      <c r="AB802" s="26">
        <f>IF(B802="","",ROUND(SUMIFS(Sales!$Y$5:$Y$1204,Sales!$C$5:$C$1204,A802),2))</f>
        <v>0</v>
      </c>
      <c r="AC802" s="38">
        <f>IF(B802="","",IF(M802="Completed","Yes",IF(M802="Cancelled","Yes",IF(M802="No show","Yes","No"))))</f>
        <v>0</v>
      </c>
      <c r="AD802" s="25">
        <f>IF(B802="","",IF(AE802="","",B802-AE802))</f>
        <v>0</v>
      </c>
      <c r="AF802" s="38">
        <f>IF(B802="","",IF(M802&lt;&gt;"Completed","",IF(E802="","No",IF(COUNTIFS(Appointments!$E$5:$E$1204,E802,Appointments!$B$5:$B$1204,"&gt;"&amp;B802,Appointments!$M$5:$M$1204,"&lt;&gt;Cancelled")&gt;0,"Yes","No"))))</f>
        <v>0</v>
      </c>
      <c r="AG802" s="38">
        <f>IF(B802="","",IF(I802="","",IF(D802="","",IF(COUNTIFS($I$5:$I$1204,I802,$B$5:$B$1204,B802,$D$5:$D$1204,"&lt;"&amp;V802,$V$5:$V$1204,"&gt;"&amp;D802,$M$5:$M$1204,"&lt;&gt;Cancelled")&gt;1,"Clash",""))))</f>
        <v>0</v>
      </c>
      <c r="AH802" s="39">
        <f>IF(B802="","",IF(AG802="Clash","Clash - stylist double booked",IF(I802="","Assign - no stylist yet",IF(G802="","Add - no service chosen",IF(M802="No show","No show - charge the fee?",IF(M802="Cancelled","",IF(IF(M802="Completed",AB802&lt;Y802-0.004,FALSE),"Unpaid - nothing rung up for this visit",IF(IF(B802&lt;TodayDate,M802="Booked",FALSE),"Overdue - past date, still only Booked",IF(IF(B802=TodayDate,TRUE,FALSE),"Today",IF(IF(Z802&gt;0,AA802&lt;Z802-0.004,FALSE),"Due - deposit not taken",IF(IF(B802&gt;TodayDate,B802&lt;=TodayDate+2,FALSE),"Confirm - coming up","OK")))))))))))</f>
        <v>0</v>
      </c>
    </row>
    <row r="803" spans="1:34">
      <c r="A803" s="28">
        <f>IF(B803="","",AppointmentPrefix&amp;TEXT(ROW()-4,"0000"))</f>
        <v>0</v>
      </c>
      <c r="C803" s="15">
        <f>IF(B803="","",TEXT(B803,"ddd"))</f>
        <v>0</v>
      </c>
      <c r="F803" s="15">
        <f>IF(E803="","",IFERROR(INDEX(Clients!$B$5:$B$504,MATCH(E803,Clients!$A$5:$A$504,0)),"Walk-in"))</f>
        <v>0</v>
      </c>
      <c r="H803" s="15">
        <f>IF(G803="","",IFERROR(INDEX(Services!$B$5:$B$204,MATCH(G803,Services!$A$5:$A$204,0)),"Not in Services"))</f>
        <v>0</v>
      </c>
      <c r="J803" s="15">
        <f>IF(I803="","",IFERROR(INDEX(Staff!$B$5:$B$44,MATCH(I803,Staff!$A$5:$A$44,0)),"Unassigned"))</f>
        <v>0</v>
      </c>
      <c r="S803" s="15">
        <f>IF(B803="","",TEXT(B803,"yyyy-mm"))</f>
        <v>0</v>
      </c>
      <c r="T803" s="25">
        <f>IF(B803="","",WEEKNUM(B803,2))</f>
        <v>0</v>
      </c>
      <c r="U803" s="25">
        <f>IF(B803="","",IF(K803&lt;&gt;"",K803,IFERROR(INDEX(Services!$E$5:$E$204,MATCH(G803,Services!$A$5:$A$204,0))*1,0)+IFERROR(INDEX(Services!$F$5:$F$204,MATCH(G803,Services!$A$5:$A$204,0))*1,0)))</f>
        <v>0</v>
      </c>
      <c r="V803" s="36">
        <f>IF(B803="","",IF(D803="","",D803+U803/1440))</f>
        <v>0</v>
      </c>
      <c r="W803" s="25">
        <f>IF(B803="","",IF(D803="","",HOUR(D803)))</f>
        <v>0</v>
      </c>
      <c r="X803" s="37">
        <f>IF(B803="","",ROUND(U803/60,2))</f>
        <v>0</v>
      </c>
      <c r="Y803" s="26">
        <f>IF(B803="","",IF(L803&lt;&gt;"",L803,IFERROR(INDEX(Services!$G$5:$G$204,MATCH(G803,Services!$A$5:$A$204,0))*1,0)))</f>
        <v>0</v>
      </c>
      <c r="Z803" s="26">
        <f>IF(B803="","",IF(O803&lt;&gt;"",O803,IF(Y803&gt;=DepositThreshold,ROUND(Y803*DepositPercent,2),0)))</f>
        <v>0</v>
      </c>
      <c r="AA803" s="26">
        <f>IF(B803="","",ROUND(SUMIFS(Payments!$G$5:$G$1204,Payments!$I$5:$I$1204,A803,Payments!$E$5:$E$1204,"Deposit"),2))</f>
        <v>0</v>
      </c>
      <c r="AB803" s="26">
        <f>IF(B803="","",ROUND(SUMIFS(Sales!$Y$5:$Y$1204,Sales!$C$5:$C$1204,A803),2))</f>
        <v>0</v>
      </c>
      <c r="AC803" s="38">
        <f>IF(B803="","",IF(M803="Completed","Yes",IF(M803="Cancelled","Yes",IF(M803="No show","Yes","No"))))</f>
        <v>0</v>
      </c>
      <c r="AD803" s="25">
        <f>IF(B803="","",IF(AE803="","",B803-AE803))</f>
        <v>0</v>
      </c>
      <c r="AF803" s="38">
        <f>IF(B803="","",IF(M803&lt;&gt;"Completed","",IF(E803="","No",IF(COUNTIFS(Appointments!$E$5:$E$1204,E803,Appointments!$B$5:$B$1204,"&gt;"&amp;B803,Appointments!$M$5:$M$1204,"&lt;&gt;Cancelled")&gt;0,"Yes","No"))))</f>
        <v>0</v>
      </c>
      <c r="AG803" s="38">
        <f>IF(B803="","",IF(I803="","",IF(D803="","",IF(COUNTIFS($I$5:$I$1204,I803,$B$5:$B$1204,B803,$D$5:$D$1204,"&lt;"&amp;V803,$V$5:$V$1204,"&gt;"&amp;D803,$M$5:$M$1204,"&lt;&gt;Cancelled")&gt;1,"Clash",""))))</f>
        <v>0</v>
      </c>
      <c r="AH803" s="39">
        <f>IF(B803="","",IF(AG803="Clash","Clash - stylist double booked",IF(I803="","Assign - no stylist yet",IF(G803="","Add - no service chosen",IF(M803="No show","No show - charge the fee?",IF(M803="Cancelled","",IF(IF(M803="Completed",AB803&lt;Y803-0.004,FALSE),"Unpaid - nothing rung up for this visit",IF(IF(B803&lt;TodayDate,M803="Booked",FALSE),"Overdue - past date, still only Booked",IF(IF(B803=TodayDate,TRUE,FALSE),"Today",IF(IF(Z803&gt;0,AA803&lt;Z803-0.004,FALSE),"Due - deposit not taken",IF(IF(B803&gt;TodayDate,B803&lt;=TodayDate+2,FALSE),"Confirm - coming up","OK")))))))))))</f>
        <v>0</v>
      </c>
    </row>
    <row r="804" spans="1:34">
      <c r="A804" s="28">
        <f>IF(B804="","",AppointmentPrefix&amp;TEXT(ROW()-4,"0000"))</f>
        <v>0</v>
      </c>
      <c r="C804" s="15">
        <f>IF(B804="","",TEXT(B804,"ddd"))</f>
        <v>0</v>
      </c>
      <c r="F804" s="15">
        <f>IF(E804="","",IFERROR(INDEX(Clients!$B$5:$B$504,MATCH(E804,Clients!$A$5:$A$504,0)),"Walk-in"))</f>
        <v>0</v>
      </c>
      <c r="H804" s="15">
        <f>IF(G804="","",IFERROR(INDEX(Services!$B$5:$B$204,MATCH(G804,Services!$A$5:$A$204,0)),"Not in Services"))</f>
        <v>0</v>
      </c>
      <c r="J804" s="15">
        <f>IF(I804="","",IFERROR(INDEX(Staff!$B$5:$B$44,MATCH(I804,Staff!$A$5:$A$44,0)),"Unassigned"))</f>
        <v>0</v>
      </c>
      <c r="S804" s="15">
        <f>IF(B804="","",TEXT(B804,"yyyy-mm"))</f>
        <v>0</v>
      </c>
      <c r="T804" s="25">
        <f>IF(B804="","",WEEKNUM(B804,2))</f>
        <v>0</v>
      </c>
      <c r="U804" s="25">
        <f>IF(B804="","",IF(K804&lt;&gt;"",K804,IFERROR(INDEX(Services!$E$5:$E$204,MATCH(G804,Services!$A$5:$A$204,0))*1,0)+IFERROR(INDEX(Services!$F$5:$F$204,MATCH(G804,Services!$A$5:$A$204,0))*1,0)))</f>
        <v>0</v>
      </c>
      <c r="V804" s="36">
        <f>IF(B804="","",IF(D804="","",D804+U804/1440))</f>
        <v>0</v>
      </c>
      <c r="W804" s="25">
        <f>IF(B804="","",IF(D804="","",HOUR(D804)))</f>
        <v>0</v>
      </c>
      <c r="X804" s="37">
        <f>IF(B804="","",ROUND(U804/60,2))</f>
        <v>0</v>
      </c>
      <c r="Y804" s="26">
        <f>IF(B804="","",IF(L804&lt;&gt;"",L804,IFERROR(INDEX(Services!$G$5:$G$204,MATCH(G804,Services!$A$5:$A$204,0))*1,0)))</f>
        <v>0</v>
      </c>
      <c r="Z804" s="26">
        <f>IF(B804="","",IF(O804&lt;&gt;"",O804,IF(Y804&gt;=DepositThreshold,ROUND(Y804*DepositPercent,2),0)))</f>
        <v>0</v>
      </c>
      <c r="AA804" s="26">
        <f>IF(B804="","",ROUND(SUMIFS(Payments!$G$5:$G$1204,Payments!$I$5:$I$1204,A804,Payments!$E$5:$E$1204,"Deposit"),2))</f>
        <v>0</v>
      </c>
      <c r="AB804" s="26">
        <f>IF(B804="","",ROUND(SUMIFS(Sales!$Y$5:$Y$1204,Sales!$C$5:$C$1204,A804),2))</f>
        <v>0</v>
      </c>
      <c r="AC804" s="38">
        <f>IF(B804="","",IF(M804="Completed","Yes",IF(M804="Cancelled","Yes",IF(M804="No show","Yes","No"))))</f>
        <v>0</v>
      </c>
      <c r="AD804" s="25">
        <f>IF(B804="","",IF(AE804="","",B804-AE804))</f>
        <v>0</v>
      </c>
      <c r="AF804" s="38">
        <f>IF(B804="","",IF(M804&lt;&gt;"Completed","",IF(E804="","No",IF(COUNTIFS(Appointments!$E$5:$E$1204,E804,Appointments!$B$5:$B$1204,"&gt;"&amp;B804,Appointments!$M$5:$M$1204,"&lt;&gt;Cancelled")&gt;0,"Yes","No"))))</f>
        <v>0</v>
      </c>
      <c r="AG804" s="38">
        <f>IF(B804="","",IF(I804="","",IF(D804="","",IF(COUNTIFS($I$5:$I$1204,I804,$B$5:$B$1204,B804,$D$5:$D$1204,"&lt;"&amp;V804,$V$5:$V$1204,"&gt;"&amp;D804,$M$5:$M$1204,"&lt;&gt;Cancelled")&gt;1,"Clash",""))))</f>
        <v>0</v>
      </c>
      <c r="AH804" s="39">
        <f>IF(B804="","",IF(AG804="Clash","Clash - stylist double booked",IF(I804="","Assign - no stylist yet",IF(G804="","Add - no service chosen",IF(M804="No show","No show - charge the fee?",IF(M804="Cancelled","",IF(IF(M804="Completed",AB804&lt;Y804-0.004,FALSE),"Unpaid - nothing rung up for this visit",IF(IF(B804&lt;TodayDate,M804="Booked",FALSE),"Overdue - past date, still only Booked",IF(IF(B804=TodayDate,TRUE,FALSE),"Today",IF(IF(Z804&gt;0,AA804&lt;Z804-0.004,FALSE),"Due - deposit not taken",IF(IF(B804&gt;TodayDate,B804&lt;=TodayDate+2,FALSE),"Confirm - coming up","OK")))))))))))</f>
        <v>0</v>
      </c>
    </row>
    <row r="805" spans="1:34">
      <c r="A805" s="28">
        <f>IF(B805="","",AppointmentPrefix&amp;TEXT(ROW()-4,"0000"))</f>
        <v>0</v>
      </c>
      <c r="C805" s="15">
        <f>IF(B805="","",TEXT(B805,"ddd"))</f>
        <v>0</v>
      </c>
      <c r="F805" s="15">
        <f>IF(E805="","",IFERROR(INDEX(Clients!$B$5:$B$504,MATCH(E805,Clients!$A$5:$A$504,0)),"Walk-in"))</f>
        <v>0</v>
      </c>
      <c r="H805" s="15">
        <f>IF(G805="","",IFERROR(INDEX(Services!$B$5:$B$204,MATCH(G805,Services!$A$5:$A$204,0)),"Not in Services"))</f>
        <v>0</v>
      </c>
      <c r="J805" s="15">
        <f>IF(I805="","",IFERROR(INDEX(Staff!$B$5:$B$44,MATCH(I805,Staff!$A$5:$A$44,0)),"Unassigned"))</f>
        <v>0</v>
      </c>
      <c r="S805" s="15">
        <f>IF(B805="","",TEXT(B805,"yyyy-mm"))</f>
        <v>0</v>
      </c>
      <c r="T805" s="25">
        <f>IF(B805="","",WEEKNUM(B805,2))</f>
        <v>0</v>
      </c>
      <c r="U805" s="25">
        <f>IF(B805="","",IF(K805&lt;&gt;"",K805,IFERROR(INDEX(Services!$E$5:$E$204,MATCH(G805,Services!$A$5:$A$204,0))*1,0)+IFERROR(INDEX(Services!$F$5:$F$204,MATCH(G805,Services!$A$5:$A$204,0))*1,0)))</f>
        <v>0</v>
      </c>
      <c r="V805" s="36">
        <f>IF(B805="","",IF(D805="","",D805+U805/1440))</f>
        <v>0</v>
      </c>
      <c r="W805" s="25">
        <f>IF(B805="","",IF(D805="","",HOUR(D805)))</f>
        <v>0</v>
      </c>
      <c r="X805" s="37">
        <f>IF(B805="","",ROUND(U805/60,2))</f>
        <v>0</v>
      </c>
      <c r="Y805" s="26">
        <f>IF(B805="","",IF(L805&lt;&gt;"",L805,IFERROR(INDEX(Services!$G$5:$G$204,MATCH(G805,Services!$A$5:$A$204,0))*1,0)))</f>
        <v>0</v>
      </c>
      <c r="Z805" s="26">
        <f>IF(B805="","",IF(O805&lt;&gt;"",O805,IF(Y805&gt;=DepositThreshold,ROUND(Y805*DepositPercent,2),0)))</f>
        <v>0</v>
      </c>
      <c r="AA805" s="26">
        <f>IF(B805="","",ROUND(SUMIFS(Payments!$G$5:$G$1204,Payments!$I$5:$I$1204,A805,Payments!$E$5:$E$1204,"Deposit"),2))</f>
        <v>0</v>
      </c>
      <c r="AB805" s="26">
        <f>IF(B805="","",ROUND(SUMIFS(Sales!$Y$5:$Y$1204,Sales!$C$5:$C$1204,A805),2))</f>
        <v>0</v>
      </c>
      <c r="AC805" s="38">
        <f>IF(B805="","",IF(M805="Completed","Yes",IF(M805="Cancelled","Yes",IF(M805="No show","Yes","No"))))</f>
        <v>0</v>
      </c>
      <c r="AD805" s="25">
        <f>IF(B805="","",IF(AE805="","",B805-AE805))</f>
        <v>0</v>
      </c>
      <c r="AF805" s="38">
        <f>IF(B805="","",IF(M805&lt;&gt;"Completed","",IF(E805="","No",IF(COUNTIFS(Appointments!$E$5:$E$1204,E805,Appointments!$B$5:$B$1204,"&gt;"&amp;B805,Appointments!$M$5:$M$1204,"&lt;&gt;Cancelled")&gt;0,"Yes","No"))))</f>
        <v>0</v>
      </c>
      <c r="AG805" s="38">
        <f>IF(B805="","",IF(I805="","",IF(D805="","",IF(COUNTIFS($I$5:$I$1204,I805,$B$5:$B$1204,B805,$D$5:$D$1204,"&lt;"&amp;V805,$V$5:$V$1204,"&gt;"&amp;D805,$M$5:$M$1204,"&lt;&gt;Cancelled")&gt;1,"Clash",""))))</f>
        <v>0</v>
      </c>
      <c r="AH805" s="39">
        <f>IF(B805="","",IF(AG805="Clash","Clash - stylist double booked",IF(I805="","Assign - no stylist yet",IF(G805="","Add - no service chosen",IF(M805="No show","No show - charge the fee?",IF(M805="Cancelled","",IF(IF(M805="Completed",AB805&lt;Y805-0.004,FALSE),"Unpaid - nothing rung up for this visit",IF(IF(B805&lt;TodayDate,M805="Booked",FALSE),"Overdue - past date, still only Booked",IF(IF(B805=TodayDate,TRUE,FALSE),"Today",IF(IF(Z805&gt;0,AA805&lt;Z805-0.004,FALSE),"Due - deposit not taken",IF(IF(B805&gt;TodayDate,B805&lt;=TodayDate+2,FALSE),"Confirm - coming up","OK")))))))))))</f>
        <v>0</v>
      </c>
    </row>
    <row r="806" spans="1:34">
      <c r="A806" s="28">
        <f>IF(B806="","",AppointmentPrefix&amp;TEXT(ROW()-4,"0000"))</f>
        <v>0</v>
      </c>
      <c r="C806" s="15">
        <f>IF(B806="","",TEXT(B806,"ddd"))</f>
        <v>0</v>
      </c>
      <c r="F806" s="15">
        <f>IF(E806="","",IFERROR(INDEX(Clients!$B$5:$B$504,MATCH(E806,Clients!$A$5:$A$504,0)),"Walk-in"))</f>
        <v>0</v>
      </c>
      <c r="H806" s="15">
        <f>IF(G806="","",IFERROR(INDEX(Services!$B$5:$B$204,MATCH(G806,Services!$A$5:$A$204,0)),"Not in Services"))</f>
        <v>0</v>
      </c>
      <c r="J806" s="15">
        <f>IF(I806="","",IFERROR(INDEX(Staff!$B$5:$B$44,MATCH(I806,Staff!$A$5:$A$44,0)),"Unassigned"))</f>
        <v>0</v>
      </c>
      <c r="S806" s="15">
        <f>IF(B806="","",TEXT(B806,"yyyy-mm"))</f>
        <v>0</v>
      </c>
      <c r="T806" s="25">
        <f>IF(B806="","",WEEKNUM(B806,2))</f>
        <v>0</v>
      </c>
      <c r="U806" s="25">
        <f>IF(B806="","",IF(K806&lt;&gt;"",K806,IFERROR(INDEX(Services!$E$5:$E$204,MATCH(G806,Services!$A$5:$A$204,0))*1,0)+IFERROR(INDEX(Services!$F$5:$F$204,MATCH(G806,Services!$A$5:$A$204,0))*1,0)))</f>
        <v>0</v>
      </c>
      <c r="V806" s="36">
        <f>IF(B806="","",IF(D806="","",D806+U806/1440))</f>
        <v>0</v>
      </c>
      <c r="W806" s="25">
        <f>IF(B806="","",IF(D806="","",HOUR(D806)))</f>
        <v>0</v>
      </c>
      <c r="X806" s="37">
        <f>IF(B806="","",ROUND(U806/60,2))</f>
        <v>0</v>
      </c>
      <c r="Y806" s="26">
        <f>IF(B806="","",IF(L806&lt;&gt;"",L806,IFERROR(INDEX(Services!$G$5:$G$204,MATCH(G806,Services!$A$5:$A$204,0))*1,0)))</f>
        <v>0</v>
      </c>
      <c r="Z806" s="26">
        <f>IF(B806="","",IF(O806&lt;&gt;"",O806,IF(Y806&gt;=DepositThreshold,ROUND(Y806*DepositPercent,2),0)))</f>
        <v>0</v>
      </c>
      <c r="AA806" s="26">
        <f>IF(B806="","",ROUND(SUMIFS(Payments!$G$5:$G$1204,Payments!$I$5:$I$1204,A806,Payments!$E$5:$E$1204,"Deposit"),2))</f>
        <v>0</v>
      </c>
      <c r="AB806" s="26">
        <f>IF(B806="","",ROUND(SUMIFS(Sales!$Y$5:$Y$1204,Sales!$C$5:$C$1204,A806),2))</f>
        <v>0</v>
      </c>
      <c r="AC806" s="38">
        <f>IF(B806="","",IF(M806="Completed","Yes",IF(M806="Cancelled","Yes",IF(M806="No show","Yes","No"))))</f>
        <v>0</v>
      </c>
      <c r="AD806" s="25">
        <f>IF(B806="","",IF(AE806="","",B806-AE806))</f>
        <v>0</v>
      </c>
      <c r="AF806" s="38">
        <f>IF(B806="","",IF(M806&lt;&gt;"Completed","",IF(E806="","No",IF(COUNTIFS(Appointments!$E$5:$E$1204,E806,Appointments!$B$5:$B$1204,"&gt;"&amp;B806,Appointments!$M$5:$M$1204,"&lt;&gt;Cancelled")&gt;0,"Yes","No"))))</f>
        <v>0</v>
      </c>
      <c r="AG806" s="38">
        <f>IF(B806="","",IF(I806="","",IF(D806="","",IF(COUNTIFS($I$5:$I$1204,I806,$B$5:$B$1204,B806,$D$5:$D$1204,"&lt;"&amp;V806,$V$5:$V$1204,"&gt;"&amp;D806,$M$5:$M$1204,"&lt;&gt;Cancelled")&gt;1,"Clash",""))))</f>
        <v>0</v>
      </c>
      <c r="AH806" s="39">
        <f>IF(B806="","",IF(AG806="Clash","Clash - stylist double booked",IF(I806="","Assign - no stylist yet",IF(G806="","Add - no service chosen",IF(M806="No show","No show - charge the fee?",IF(M806="Cancelled","",IF(IF(M806="Completed",AB806&lt;Y806-0.004,FALSE),"Unpaid - nothing rung up for this visit",IF(IF(B806&lt;TodayDate,M806="Booked",FALSE),"Overdue - past date, still only Booked",IF(IF(B806=TodayDate,TRUE,FALSE),"Today",IF(IF(Z806&gt;0,AA806&lt;Z806-0.004,FALSE),"Due - deposit not taken",IF(IF(B806&gt;TodayDate,B806&lt;=TodayDate+2,FALSE),"Confirm - coming up","OK")))))))))))</f>
        <v>0</v>
      </c>
    </row>
    <row r="807" spans="1:34">
      <c r="A807" s="28">
        <f>IF(B807="","",AppointmentPrefix&amp;TEXT(ROW()-4,"0000"))</f>
        <v>0</v>
      </c>
      <c r="C807" s="15">
        <f>IF(B807="","",TEXT(B807,"ddd"))</f>
        <v>0</v>
      </c>
      <c r="F807" s="15">
        <f>IF(E807="","",IFERROR(INDEX(Clients!$B$5:$B$504,MATCH(E807,Clients!$A$5:$A$504,0)),"Walk-in"))</f>
        <v>0</v>
      </c>
      <c r="H807" s="15">
        <f>IF(G807="","",IFERROR(INDEX(Services!$B$5:$B$204,MATCH(G807,Services!$A$5:$A$204,0)),"Not in Services"))</f>
        <v>0</v>
      </c>
      <c r="J807" s="15">
        <f>IF(I807="","",IFERROR(INDEX(Staff!$B$5:$B$44,MATCH(I807,Staff!$A$5:$A$44,0)),"Unassigned"))</f>
        <v>0</v>
      </c>
      <c r="S807" s="15">
        <f>IF(B807="","",TEXT(B807,"yyyy-mm"))</f>
        <v>0</v>
      </c>
      <c r="T807" s="25">
        <f>IF(B807="","",WEEKNUM(B807,2))</f>
        <v>0</v>
      </c>
      <c r="U807" s="25">
        <f>IF(B807="","",IF(K807&lt;&gt;"",K807,IFERROR(INDEX(Services!$E$5:$E$204,MATCH(G807,Services!$A$5:$A$204,0))*1,0)+IFERROR(INDEX(Services!$F$5:$F$204,MATCH(G807,Services!$A$5:$A$204,0))*1,0)))</f>
        <v>0</v>
      </c>
      <c r="V807" s="36">
        <f>IF(B807="","",IF(D807="","",D807+U807/1440))</f>
        <v>0</v>
      </c>
      <c r="W807" s="25">
        <f>IF(B807="","",IF(D807="","",HOUR(D807)))</f>
        <v>0</v>
      </c>
      <c r="X807" s="37">
        <f>IF(B807="","",ROUND(U807/60,2))</f>
        <v>0</v>
      </c>
      <c r="Y807" s="26">
        <f>IF(B807="","",IF(L807&lt;&gt;"",L807,IFERROR(INDEX(Services!$G$5:$G$204,MATCH(G807,Services!$A$5:$A$204,0))*1,0)))</f>
        <v>0</v>
      </c>
      <c r="Z807" s="26">
        <f>IF(B807="","",IF(O807&lt;&gt;"",O807,IF(Y807&gt;=DepositThreshold,ROUND(Y807*DepositPercent,2),0)))</f>
        <v>0</v>
      </c>
      <c r="AA807" s="26">
        <f>IF(B807="","",ROUND(SUMIFS(Payments!$G$5:$G$1204,Payments!$I$5:$I$1204,A807,Payments!$E$5:$E$1204,"Deposit"),2))</f>
        <v>0</v>
      </c>
      <c r="AB807" s="26">
        <f>IF(B807="","",ROUND(SUMIFS(Sales!$Y$5:$Y$1204,Sales!$C$5:$C$1204,A807),2))</f>
        <v>0</v>
      </c>
      <c r="AC807" s="38">
        <f>IF(B807="","",IF(M807="Completed","Yes",IF(M807="Cancelled","Yes",IF(M807="No show","Yes","No"))))</f>
        <v>0</v>
      </c>
      <c r="AD807" s="25">
        <f>IF(B807="","",IF(AE807="","",B807-AE807))</f>
        <v>0</v>
      </c>
      <c r="AF807" s="38">
        <f>IF(B807="","",IF(M807&lt;&gt;"Completed","",IF(E807="","No",IF(COUNTIFS(Appointments!$E$5:$E$1204,E807,Appointments!$B$5:$B$1204,"&gt;"&amp;B807,Appointments!$M$5:$M$1204,"&lt;&gt;Cancelled")&gt;0,"Yes","No"))))</f>
        <v>0</v>
      </c>
      <c r="AG807" s="38">
        <f>IF(B807="","",IF(I807="","",IF(D807="","",IF(COUNTIFS($I$5:$I$1204,I807,$B$5:$B$1204,B807,$D$5:$D$1204,"&lt;"&amp;V807,$V$5:$V$1204,"&gt;"&amp;D807,$M$5:$M$1204,"&lt;&gt;Cancelled")&gt;1,"Clash",""))))</f>
        <v>0</v>
      </c>
      <c r="AH807" s="39">
        <f>IF(B807="","",IF(AG807="Clash","Clash - stylist double booked",IF(I807="","Assign - no stylist yet",IF(G807="","Add - no service chosen",IF(M807="No show","No show - charge the fee?",IF(M807="Cancelled","",IF(IF(M807="Completed",AB807&lt;Y807-0.004,FALSE),"Unpaid - nothing rung up for this visit",IF(IF(B807&lt;TodayDate,M807="Booked",FALSE),"Overdue - past date, still only Booked",IF(IF(B807=TodayDate,TRUE,FALSE),"Today",IF(IF(Z807&gt;0,AA807&lt;Z807-0.004,FALSE),"Due - deposit not taken",IF(IF(B807&gt;TodayDate,B807&lt;=TodayDate+2,FALSE),"Confirm - coming up","OK")))))))))))</f>
        <v>0</v>
      </c>
    </row>
    <row r="808" spans="1:34">
      <c r="A808" s="28">
        <f>IF(B808="","",AppointmentPrefix&amp;TEXT(ROW()-4,"0000"))</f>
        <v>0</v>
      </c>
      <c r="C808" s="15">
        <f>IF(B808="","",TEXT(B808,"ddd"))</f>
        <v>0</v>
      </c>
      <c r="F808" s="15">
        <f>IF(E808="","",IFERROR(INDEX(Clients!$B$5:$B$504,MATCH(E808,Clients!$A$5:$A$504,0)),"Walk-in"))</f>
        <v>0</v>
      </c>
      <c r="H808" s="15">
        <f>IF(G808="","",IFERROR(INDEX(Services!$B$5:$B$204,MATCH(G808,Services!$A$5:$A$204,0)),"Not in Services"))</f>
        <v>0</v>
      </c>
      <c r="J808" s="15">
        <f>IF(I808="","",IFERROR(INDEX(Staff!$B$5:$B$44,MATCH(I808,Staff!$A$5:$A$44,0)),"Unassigned"))</f>
        <v>0</v>
      </c>
      <c r="S808" s="15">
        <f>IF(B808="","",TEXT(B808,"yyyy-mm"))</f>
        <v>0</v>
      </c>
      <c r="T808" s="25">
        <f>IF(B808="","",WEEKNUM(B808,2))</f>
        <v>0</v>
      </c>
      <c r="U808" s="25">
        <f>IF(B808="","",IF(K808&lt;&gt;"",K808,IFERROR(INDEX(Services!$E$5:$E$204,MATCH(G808,Services!$A$5:$A$204,0))*1,0)+IFERROR(INDEX(Services!$F$5:$F$204,MATCH(G808,Services!$A$5:$A$204,0))*1,0)))</f>
        <v>0</v>
      </c>
      <c r="V808" s="36">
        <f>IF(B808="","",IF(D808="","",D808+U808/1440))</f>
        <v>0</v>
      </c>
      <c r="W808" s="25">
        <f>IF(B808="","",IF(D808="","",HOUR(D808)))</f>
        <v>0</v>
      </c>
      <c r="X808" s="37">
        <f>IF(B808="","",ROUND(U808/60,2))</f>
        <v>0</v>
      </c>
      <c r="Y808" s="26">
        <f>IF(B808="","",IF(L808&lt;&gt;"",L808,IFERROR(INDEX(Services!$G$5:$G$204,MATCH(G808,Services!$A$5:$A$204,0))*1,0)))</f>
        <v>0</v>
      </c>
      <c r="Z808" s="26">
        <f>IF(B808="","",IF(O808&lt;&gt;"",O808,IF(Y808&gt;=DepositThreshold,ROUND(Y808*DepositPercent,2),0)))</f>
        <v>0</v>
      </c>
      <c r="AA808" s="26">
        <f>IF(B808="","",ROUND(SUMIFS(Payments!$G$5:$G$1204,Payments!$I$5:$I$1204,A808,Payments!$E$5:$E$1204,"Deposit"),2))</f>
        <v>0</v>
      </c>
      <c r="AB808" s="26">
        <f>IF(B808="","",ROUND(SUMIFS(Sales!$Y$5:$Y$1204,Sales!$C$5:$C$1204,A808),2))</f>
        <v>0</v>
      </c>
      <c r="AC808" s="38">
        <f>IF(B808="","",IF(M808="Completed","Yes",IF(M808="Cancelled","Yes",IF(M808="No show","Yes","No"))))</f>
        <v>0</v>
      </c>
      <c r="AD808" s="25">
        <f>IF(B808="","",IF(AE808="","",B808-AE808))</f>
        <v>0</v>
      </c>
      <c r="AF808" s="38">
        <f>IF(B808="","",IF(M808&lt;&gt;"Completed","",IF(E808="","No",IF(COUNTIFS(Appointments!$E$5:$E$1204,E808,Appointments!$B$5:$B$1204,"&gt;"&amp;B808,Appointments!$M$5:$M$1204,"&lt;&gt;Cancelled")&gt;0,"Yes","No"))))</f>
        <v>0</v>
      </c>
      <c r="AG808" s="38">
        <f>IF(B808="","",IF(I808="","",IF(D808="","",IF(COUNTIFS($I$5:$I$1204,I808,$B$5:$B$1204,B808,$D$5:$D$1204,"&lt;"&amp;V808,$V$5:$V$1204,"&gt;"&amp;D808,$M$5:$M$1204,"&lt;&gt;Cancelled")&gt;1,"Clash",""))))</f>
        <v>0</v>
      </c>
      <c r="AH808" s="39">
        <f>IF(B808="","",IF(AG808="Clash","Clash - stylist double booked",IF(I808="","Assign - no stylist yet",IF(G808="","Add - no service chosen",IF(M808="No show","No show - charge the fee?",IF(M808="Cancelled","",IF(IF(M808="Completed",AB808&lt;Y808-0.004,FALSE),"Unpaid - nothing rung up for this visit",IF(IF(B808&lt;TodayDate,M808="Booked",FALSE),"Overdue - past date, still only Booked",IF(IF(B808=TodayDate,TRUE,FALSE),"Today",IF(IF(Z808&gt;0,AA808&lt;Z808-0.004,FALSE),"Due - deposit not taken",IF(IF(B808&gt;TodayDate,B808&lt;=TodayDate+2,FALSE),"Confirm - coming up","OK")))))))))))</f>
        <v>0</v>
      </c>
    </row>
    <row r="809" spans="1:34">
      <c r="A809" s="28">
        <f>IF(B809="","",AppointmentPrefix&amp;TEXT(ROW()-4,"0000"))</f>
        <v>0</v>
      </c>
      <c r="C809" s="15">
        <f>IF(B809="","",TEXT(B809,"ddd"))</f>
        <v>0</v>
      </c>
      <c r="F809" s="15">
        <f>IF(E809="","",IFERROR(INDEX(Clients!$B$5:$B$504,MATCH(E809,Clients!$A$5:$A$504,0)),"Walk-in"))</f>
        <v>0</v>
      </c>
      <c r="H809" s="15">
        <f>IF(G809="","",IFERROR(INDEX(Services!$B$5:$B$204,MATCH(G809,Services!$A$5:$A$204,0)),"Not in Services"))</f>
        <v>0</v>
      </c>
      <c r="J809" s="15">
        <f>IF(I809="","",IFERROR(INDEX(Staff!$B$5:$B$44,MATCH(I809,Staff!$A$5:$A$44,0)),"Unassigned"))</f>
        <v>0</v>
      </c>
      <c r="S809" s="15">
        <f>IF(B809="","",TEXT(B809,"yyyy-mm"))</f>
        <v>0</v>
      </c>
      <c r="T809" s="25">
        <f>IF(B809="","",WEEKNUM(B809,2))</f>
        <v>0</v>
      </c>
      <c r="U809" s="25">
        <f>IF(B809="","",IF(K809&lt;&gt;"",K809,IFERROR(INDEX(Services!$E$5:$E$204,MATCH(G809,Services!$A$5:$A$204,0))*1,0)+IFERROR(INDEX(Services!$F$5:$F$204,MATCH(G809,Services!$A$5:$A$204,0))*1,0)))</f>
        <v>0</v>
      </c>
      <c r="V809" s="36">
        <f>IF(B809="","",IF(D809="","",D809+U809/1440))</f>
        <v>0</v>
      </c>
      <c r="W809" s="25">
        <f>IF(B809="","",IF(D809="","",HOUR(D809)))</f>
        <v>0</v>
      </c>
      <c r="X809" s="37">
        <f>IF(B809="","",ROUND(U809/60,2))</f>
        <v>0</v>
      </c>
      <c r="Y809" s="26">
        <f>IF(B809="","",IF(L809&lt;&gt;"",L809,IFERROR(INDEX(Services!$G$5:$G$204,MATCH(G809,Services!$A$5:$A$204,0))*1,0)))</f>
        <v>0</v>
      </c>
      <c r="Z809" s="26">
        <f>IF(B809="","",IF(O809&lt;&gt;"",O809,IF(Y809&gt;=DepositThreshold,ROUND(Y809*DepositPercent,2),0)))</f>
        <v>0</v>
      </c>
      <c r="AA809" s="26">
        <f>IF(B809="","",ROUND(SUMIFS(Payments!$G$5:$G$1204,Payments!$I$5:$I$1204,A809,Payments!$E$5:$E$1204,"Deposit"),2))</f>
        <v>0</v>
      </c>
      <c r="AB809" s="26">
        <f>IF(B809="","",ROUND(SUMIFS(Sales!$Y$5:$Y$1204,Sales!$C$5:$C$1204,A809),2))</f>
        <v>0</v>
      </c>
      <c r="AC809" s="38">
        <f>IF(B809="","",IF(M809="Completed","Yes",IF(M809="Cancelled","Yes",IF(M809="No show","Yes","No"))))</f>
        <v>0</v>
      </c>
      <c r="AD809" s="25">
        <f>IF(B809="","",IF(AE809="","",B809-AE809))</f>
        <v>0</v>
      </c>
      <c r="AF809" s="38">
        <f>IF(B809="","",IF(M809&lt;&gt;"Completed","",IF(E809="","No",IF(COUNTIFS(Appointments!$E$5:$E$1204,E809,Appointments!$B$5:$B$1204,"&gt;"&amp;B809,Appointments!$M$5:$M$1204,"&lt;&gt;Cancelled")&gt;0,"Yes","No"))))</f>
        <v>0</v>
      </c>
      <c r="AG809" s="38">
        <f>IF(B809="","",IF(I809="","",IF(D809="","",IF(COUNTIFS($I$5:$I$1204,I809,$B$5:$B$1204,B809,$D$5:$D$1204,"&lt;"&amp;V809,$V$5:$V$1204,"&gt;"&amp;D809,$M$5:$M$1204,"&lt;&gt;Cancelled")&gt;1,"Clash",""))))</f>
        <v>0</v>
      </c>
      <c r="AH809" s="39">
        <f>IF(B809="","",IF(AG809="Clash","Clash - stylist double booked",IF(I809="","Assign - no stylist yet",IF(G809="","Add - no service chosen",IF(M809="No show","No show - charge the fee?",IF(M809="Cancelled","",IF(IF(M809="Completed",AB809&lt;Y809-0.004,FALSE),"Unpaid - nothing rung up for this visit",IF(IF(B809&lt;TodayDate,M809="Booked",FALSE),"Overdue - past date, still only Booked",IF(IF(B809=TodayDate,TRUE,FALSE),"Today",IF(IF(Z809&gt;0,AA809&lt;Z809-0.004,FALSE),"Due - deposit not taken",IF(IF(B809&gt;TodayDate,B809&lt;=TodayDate+2,FALSE),"Confirm - coming up","OK")))))))))))</f>
        <v>0</v>
      </c>
    </row>
    <row r="810" spans="1:34">
      <c r="A810" s="28">
        <f>IF(B810="","",AppointmentPrefix&amp;TEXT(ROW()-4,"0000"))</f>
        <v>0</v>
      </c>
      <c r="C810" s="15">
        <f>IF(B810="","",TEXT(B810,"ddd"))</f>
        <v>0</v>
      </c>
      <c r="F810" s="15">
        <f>IF(E810="","",IFERROR(INDEX(Clients!$B$5:$B$504,MATCH(E810,Clients!$A$5:$A$504,0)),"Walk-in"))</f>
        <v>0</v>
      </c>
      <c r="H810" s="15">
        <f>IF(G810="","",IFERROR(INDEX(Services!$B$5:$B$204,MATCH(G810,Services!$A$5:$A$204,0)),"Not in Services"))</f>
        <v>0</v>
      </c>
      <c r="J810" s="15">
        <f>IF(I810="","",IFERROR(INDEX(Staff!$B$5:$B$44,MATCH(I810,Staff!$A$5:$A$44,0)),"Unassigned"))</f>
        <v>0</v>
      </c>
      <c r="S810" s="15">
        <f>IF(B810="","",TEXT(B810,"yyyy-mm"))</f>
        <v>0</v>
      </c>
      <c r="T810" s="25">
        <f>IF(B810="","",WEEKNUM(B810,2))</f>
        <v>0</v>
      </c>
      <c r="U810" s="25">
        <f>IF(B810="","",IF(K810&lt;&gt;"",K810,IFERROR(INDEX(Services!$E$5:$E$204,MATCH(G810,Services!$A$5:$A$204,0))*1,0)+IFERROR(INDEX(Services!$F$5:$F$204,MATCH(G810,Services!$A$5:$A$204,0))*1,0)))</f>
        <v>0</v>
      </c>
      <c r="V810" s="36">
        <f>IF(B810="","",IF(D810="","",D810+U810/1440))</f>
        <v>0</v>
      </c>
      <c r="W810" s="25">
        <f>IF(B810="","",IF(D810="","",HOUR(D810)))</f>
        <v>0</v>
      </c>
      <c r="X810" s="37">
        <f>IF(B810="","",ROUND(U810/60,2))</f>
        <v>0</v>
      </c>
      <c r="Y810" s="26">
        <f>IF(B810="","",IF(L810&lt;&gt;"",L810,IFERROR(INDEX(Services!$G$5:$G$204,MATCH(G810,Services!$A$5:$A$204,0))*1,0)))</f>
        <v>0</v>
      </c>
      <c r="Z810" s="26">
        <f>IF(B810="","",IF(O810&lt;&gt;"",O810,IF(Y810&gt;=DepositThreshold,ROUND(Y810*DepositPercent,2),0)))</f>
        <v>0</v>
      </c>
      <c r="AA810" s="26">
        <f>IF(B810="","",ROUND(SUMIFS(Payments!$G$5:$G$1204,Payments!$I$5:$I$1204,A810,Payments!$E$5:$E$1204,"Deposit"),2))</f>
        <v>0</v>
      </c>
      <c r="AB810" s="26">
        <f>IF(B810="","",ROUND(SUMIFS(Sales!$Y$5:$Y$1204,Sales!$C$5:$C$1204,A810),2))</f>
        <v>0</v>
      </c>
      <c r="AC810" s="38">
        <f>IF(B810="","",IF(M810="Completed","Yes",IF(M810="Cancelled","Yes",IF(M810="No show","Yes","No"))))</f>
        <v>0</v>
      </c>
      <c r="AD810" s="25">
        <f>IF(B810="","",IF(AE810="","",B810-AE810))</f>
        <v>0</v>
      </c>
      <c r="AF810" s="38">
        <f>IF(B810="","",IF(M810&lt;&gt;"Completed","",IF(E810="","No",IF(COUNTIFS(Appointments!$E$5:$E$1204,E810,Appointments!$B$5:$B$1204,"&gt;"&amp;B810,Appointments!$M$5:$M$1204,"&lt;&gt;Cancelled")&gt;0,"Yes","No"))))</f>
        <v>0</v>
      </c>
      <c r="AG810" s="38">
        <f>IF(B810="","",IF(I810="","",IF(D810="","",IF(COUNTIFS($I$5:$I$1204,I810,$B$5:$B$1204,B810,$D$5:$D$1204,"&lt;"&amp;V810,$V$5:$V$1204,"&gt;"&amp;D810,$M$5:$M$1204,"&lt;&gt;Cancelled")&gt;1,"Clash",""))))</f>
        <v>0</v>
      </c>
      <c r="AH810" s="39">
        <f>IF(B810="","",IF(AG810="Clash","Clash - stylist double booked",IF(I810="","Assign - no stylist yet",IF(G810="","Add - no service chosen",IF(M810="No show","No show - charge the fee?",IF(M810="Cancelled","",IF(IF(M810="Completed",AB810&lt;Y810-0.004,FALSE),"Unpaid - nothing rung up for this visit",IF(IF(B810&lt;TodayDate,M810="Booked",FALSE),"Overdue - past date, still only Booked",IF(IF(B810=TodayDate,TRUE,FALSE),"Today",IF(IF(Z810&gt;0,AA810&lt;Z810-0.004,FALSE),"Due - deposit not taken",IF(IF(B810&gt;TodayDate,B810&lt;=TodayDate+2,FALSE),"Confirm - coming up","OK")))))))))))</f>
        <v>0</v>
      </c>
    </row>
    <row r="811" spans="1:34">
      <c r="A811" s="28">
        <f>IF(B811="","",AppointmentPrefix&amp;TEXT(ROW()-4,"0000"))</f>
        <v>0</v>
      </c>
      <c r="C811" s="15">
        <f>IF(B811="","",TEXT(B811,"ddd"))</f>
        <v>0</v>
      </c>
      <c r="F811" s="15">
        <f>IF(E811="","",IFERROR(INDEX(Clients!$B$5:$B$504,MATCH(E811,Clients!$A$5:$A$504,0)),"Walk-in"))</f>
        <v>0</v>
      </c>
      <c r="H811" s="15">
        <f>IF(G811="","",IFERROR(INDEX(Services!$B$5:$B$204,MATCH(G811,Services!$A$5:$A$204,0)),"Not in Services"))</f>
        <v>0</v>
      </c>
      <c r="J811" s="15">
        <f>IF(I811="","",IFERROR(INDEX(Staff!$B$5:$B$44,MATCH(I811,Staff!$A$5:$A$44,0)),"Unassigned"))</f>
        <v>0</v>
      </c>
      <c r="S811" s="15">
        <f>IF(B811="","",TEXT(B811,"yyyy-mm"))</f>
        <v>0</v>
      </c>
      <c r="T811" s="25">
        <f>IF(B811="","",WEEKNUM(B811,2))</f>
        <v>0</v>
      </c>
      <c r="U811" s="25">
        <f>IF(B811="","",IF(K811&lt;&gt;"",K811,IFERROR(INDEX(Services!$E$5:$E$204,MATCH(G811,Services!$A$5:$A$204,0))*1,0)+IFERROR(INDEX(Services!$F$5:$F$204,MATCH(G811,Services!$A$5:$A$204,0))*1,0)))</f>
        <v>0</v>
      </c>
      <c r="V811" s="36">
        <f>IF(B811="","",IF(D811="","",D811+U811/1440))</f>
        <v>0</v>
      </c>
      <c r="W811" s="25">
        <f>IF(B811="","",IF(D811="","",HOUR(D811)))</f>
        <v>0</v>
      </c>
      <c r="X811" s="37">
        <f>IF(B811="","",ROUND(U811/60,2))</f>
        <v>0</v>
      </c>
      <c r="Y811" s="26">
        <f>IF(B811="","",IF(L811&lt;&gt;"",L811,IFERROR(INDEX(Services!$G$5:$G$204,MATCH(G811,Services!$A$5:$A$204,0))*1,0)))</f>
        <v>0</v>
      </c>
      <c r="Z811" s="26">
        <f>IF(B811="","",IF(O811&lt;&gt;"",O811,IF(Y811&gt;=DepositThreshold,ROUND(Y811*DepositPercent,2),0)))</f>
        <v>0</v>
      </c>
      <c r="AA811" s="26">
        <f>IF(B811="","",ROUND(SUMIFS(Payments!$G$5:$G$1204,Payments!$I$5:$I$1204,A811,Payments!$E$5:$E$1204,"Deposit"),2))</f>
        <v>0</v>
      </c>
      <c r="AB811" s="26">
        <f>IF(B811="","",ROUND(SUMIFS(Sales!$Y$5:$Y$1204,Sales!$C$5:$C$1204,A811),2))</f>
        <v>0</v>
      </c>
      <c r="AC811" s="38">
        <f>IF(B811="","",IF(M811="Completed","Yes",IF(M811="Cancelled","Yes",IF(M811="No show","Yes","No"))))</f>
        <v>0</v>
      </c>
      <c r="AD811" s="25">
        <f>IF(B811="","",IF(AE811="","",B811-AE811))</f>
        <v>0</v>
      </c>
      <c r="AF811" s="38">
        <f>IF(B811="","",IF(M811&lt;&gt;"Completed","",IF(E811="","No",IF(COUNTIFS(Appointments!$E$5:$E$1204,E811,Appointments!$B$5:$B$1204,"&gt;"&amp;B811,Appointments!$M$5:$M$1204,"&lt;&gt;Cancelled")&gt;0,"Yes","No"))))</f>
        <v>0</v>
      </c>
      <c r="AG811" s="38">
        <f>IF(B811="","",IF(I811="","",IF(D811="","",IF(COUNTIFS($I$5:$I$1204,I811,$B$5:$B$1204,B811,$D$5:$D$1204,"&lt;"&amp;V811,$V$5:$V$1204,"&gt;"&amp;D811,$M$5:$M$1204,"&lt;&gt;Cancelled")&gt;1,"Clash",""))))</f>
        <v>0</v>
      </c>
      <c r="AH811" s="39">
        <f>IF(B811="","",IF(AG811="Clash","Clash - stylist double booked",IF(I811="","Assign - no stylist yet",IF(G811="","Add - no service chosen",IF(M811="No show","No show - charge the fee?",IF(M811="Cancelled","",IF(IF(M811="Completed",AB811&lt;Y811-0.004,FALSE),"Unpaid - nothing rung up for this visit",IF(IF(B811&lt;TodayDate,M811="Booked",FALSE),"Overdue - past date, still only Booked",IF(IF(B811=TodayDate,TRUE,FALSE),"Today",IF(IF(Z811&gt;0,AA811&lt;Z811-0.004,FALSE),"Due - deposit not taken",IF(IF(B811&gt;TodayDate,B811&lt;=TodayDate+2,FALSE),"Confirm - coming up","OK")))))))))))</f>
        <v>0</v>
      </c>
    </row>
    <row r="812" spans="1:34">
      <c r="A812" s="28">
        <f>IF(B812="","",AppointmentPrefix&amp;TEXT(ROW()-4,"0000"))</f>
        <v>0</v>
      </c>
      <c r="C812" s="15">
        <f>IF(B812="","",TEXT(B812,"ddd"))</f>
        <v>0</v>
      </c>
      <c r="F812" s="15">
        <f>IF(E812="","",IFERROR(INDEX(Clients!$B$5:$B$504,MATCH(E812,Clients!$A$5:$A$504,0)),"Walk-in"))</f>
        <v>0</v>
      </c>
      <c r="H812" s="15">
        <f>IF(G812="","",IFERROR(INDEX(Services!$B$5:$B$204,MATCH(G812,Services!$A$5:$A$204,0)),"Not in Services"))</f>
        <v>0</v>
      </c>
      <c r="J812" s="15">
        <f>IF(I812="","",IFERROR(INDEX(Staff!$B$5:$B$44,MATCH(I812,Staff!$A$5:$A$44,0)),"Unassigned"))</f>
        <v>0</v>
      </c>
      <c r="S812" s="15">
        <f>IF(B812="","",TEXT(B812,"yyyy-mm"))</f>
        <v>0</v>
      </c>
      <c r="T812" s="25">
        <f>IF(B812="","",WEEKNUM(B812,2))</f>
        <v>0</v>
      </c>
      <c r="U812" s="25">
        <f>IF(B812="","",IF(K812&lt;&gt;"",K812,IFERROR(INDEX(Services!$E$5:$E$204,MATCH(G812,Services!$A$5:$A$204,0))*1,0)+IFERROR(INDEX(Services!$F$5:$F$204,MATCH(G812,Services!$A$5:$A$204,0))*1,0)))</f>
        <v>0</v>
      </c>
      <c r="V812" s="36">
        <f>IF(B812="","",IF(D812="","",D812+U812/1440))</f>
        <v>0</v>
      </c>
      <c r="W812" s="25">
        <f>IF(B812="","",IF(D812="","",HOUR(D812)))</f>
        <v>0</v>
      </c>
      <c r="X812" s="37">
        <f>IF(B812="","",ROUND(U812/60,2))</f>
        <v>0</v>
      </c>
      <c r="Y812" s="26">
        <f>IF(B812="","",IF(L812&lt;&gt;"",L812,IFERROR(INDEX(Services!$G$5:$G$204,MATCH(G812,Services!$A$5:$A$204,0))*1,0)))</f>
        <v>0</v>
      </c>
      <c r="Z812" s="26">
        <f>IF(B812="","",IF(O812&lt;&gt;"",O812,IF(Y812&gt;=DepositThreshold,ROUND(Y812*DepositPercent,2),0)))</f>
        <v>0</v>
      </c>
      <c r="AA812" s="26">
        <f>IF(B812="","",ROUND(SUMIFS(Payments!$G$5:$G$1204,Payments!$I$5:$I$1204,A812,Payments!$E$5:$E$1204,"Deposit"),2))</f>
        <v>0</v>
      </c>
      <c r="AB812" s="26">
        <f>IF(B812="","",ROUND(SUMIFS(Sales!$Y$5:$Y$1204,Sales!$C$5:$C$1204,A812),2))</f>
        <v>0</v>
      </c>
      <c r="AC812" s="38">
        <f>IF(B812="","",IF(M812="Completed","Yes",IF(M812="Cancelled","Yes",IF(M812="No show","Yes","No"))))</f>
        <v>0</v>
      </c>
      <c r="AD812" s="25">
        <f>IF(B812="","",IF(AE812="","",B812-AE812))</f>
        <v>0</v>
      </c>
      <c r="AF812" s="38">
        <f>IF(B812="","",IF(M812&lt;&gt;"Completed","",IF(E812="","No",IF(COUNTIFS(Appointments!$E$5:$E$1204,E812,Appointments!$B$5:$B$1204,"&gt;"&amp;B812,Appointments!$M$5:$M$1204,"&lt;&gt;Cancelled")&gt;0,"Yes","No"))))</f>
        <v>0</v>
      </c>
      <c r="AG812" s="38">
        <f>IF(B812="","",IF(I812="","",IF(D812="","",IF(COUNTIFS($I$5:$I$1204,I812,$B$5:$B$1204,B812,$D$5:$D$1204,"&lt;"&amp;V812,$V$5:$V$1204,"&gt;"&amp;D812,$M$5:$M$1204,"&lt;&gt;Cancelled")&gt;1,"Clash",""))))</f>
        <v>0</v>
      </c>
      <c r="AH812" s="39">
        <f>IF(B812="","",IF(AG812="Clash","Clash - stylist double booked",IF(I812="","Assign - no stylist yet",IF(G812="","Add - no service chosen",IF(M812="No show","No show - charge the fee?",IF(M812="Cancelled","",IF(IF(M812="Completed",AB812&lt;Y812-0.004,FALSE),"Unpaid - nothing rung up for this visit",IF(IF(B812&lt;TodayDate,M812="Booked",FALSE),"Overdue - past date, still only Booked",IF(IF(B812=TodayDate,TRUE,FALSE),"Today",IF(IF(Z812&gt;0,AA812&lt;Z812-0.004,FALSE),"Due - deposit not taken",IF(IF(B812&gt;TodayDate,B812&lt;=TodayDate+2,FALSE),"Confirm - coming up","OK")))))))))))</f>
        <v>0</v>
      </c>
    </row>
    <row r="813" spans="1:34">
      <c r="A813" s="28">
        <f>IF(B813="","",AppointmentPrefix&amp;TEXT(ROW()-4,"0000"))</f>
        <v>0</v>
      </c>
      <c r="C813" s="15">
        <f>IF(B813="","",TEXT(B813,"ddd"))</f>
        <v>0</v>
      </c>
      <c r="F813" s="15">
        <f>IF(E813="","",IFERROR(INDEX(Clients!$B$5:$B$504,MATCH(E813,Clients!$A$5:$A$504,0)),"Walk-in"))</f>
        <v>0</v>
      </c>
      <c r="H813" s="15">
        <f>IF(G813="","",IFERROR(INDEX(Services!$B$5:$B$204,MATCH(G813,Services!$A$5:$A$204,0)),"Not in Services"))</f>
        <v>0</v>
      </c>
      <c r="J813" s="15">
        <f>IF(I813="","",IFERROR(INDEX(Staff!$B$5:$B$44,MATCH(I813,Staff!$A$5:$A$44,0)),"Unassigned"))</f>
        <v>0</v>
      </c>
      <c r="S813" s="15">
        <f>IF(B813="","",TEXT(B813,"yyyy-mm"))</f>
        <v>0</v>
      </c>
      <c r="T813" s="25">
        <f>IF(B813="","",WEEKNUM(B813,2))</f>
        <v>0</v>
      </c>
      <c r="U813" s="25">
        <f>IF(B813="","",IF(K813&lt;&gt;"",K813,IFERROR(INDEX(Services!$E$5:$E$204,MATCH(G813,Services!$A$5:$A$204,0))*1,0)+IFERROR(INDEX(Services!$F$5:$F$204,MATCH(G813,Services!$A$5:$A$204,0))*1,0)))</f>
        <v>0</v>
      </c>
      <c r="V813" s="36">
        <f>IF(B813="","",IF(D813="","",D813+U813/1440))</f>
        <v>0</v>
      </c>
      <c r="W813" s="25">
        <f>IF(B813="","",IF(D813="","",HOUR(D813)))</f>
        <v>0</v>
      </c>
      <c r="X813" s="37">
        <f>IF(B813="","",ROUND(U813/60,2))</f>
        <v>0</v>
      </c>
      <c r="Y813" s="26">
        <f>IF(B813="","",IF(L813&lt;&gt;"",L813,IFERROR(INDEX(Services!$G$5:$G$204,MATCH(G813,Services!$A$5:$A$204,0))*1,0)))</f>
        <v>0</v>
      </c>
      <c r="Z813" s="26">
        <f>IF(B813="","",IF(O813&lt;&gt;"",O813,IF(Y813&gt;=DepositThreshold,ROUND(Y813*DepositPercent,2),0)))</f>
        <v>0</v>
      </c>
      <c r="AA813" s="26">
        <f>IF(B813="","",ROUND(SUMIFS(Payments!$G$5:$G$1204,Payments!$I$5:$I$1204,A813,Payments!$E$5:$E$1204,"Deposit"),2))</f>
        <v>0</v>
      </c>
      <c r="AB813" s="26">
        <f>IF(B813="","",ROUND(SUMIFS(Sales!$Y$5:$Y$1204,Sales!$C$5:$C$1204,A813),2))</f>
        <v>0</v>
      </c>
      <c r="AC813" s="38">
        <f>IF(B813="","",IF(M813="Completed","Yes",IF(M813="Cancelled","Yes",IF(M813="No show","Yes","No"))))</f>
        <v>0</v>
      </c>
      <c r="AD813" s="25">
        <f>IF(B813="","",IF(AE813="","",B813-AE813))</f>
        <v>0</v>
      </c>
      <c r="AF813" s="38">
        <f>IF(B813="","",IF(M813&lt;&gt;"Completed","",IF(E813="","No",IF(COUNTIFS(Appointments!$E$5:$E$1204,E813,Appointments!$B$5:$B$1204,"&gt;"&amp;B813,Appointments!$M$5:$M$1204,"&lt;&gt;Cancelled")&gt;0,"Yes","No"))))</f>
        <v>0</v>
      </c>
      <c r="AG813" s="38">
        <f>IF(B813="","",IF(I813="","",IF(D813="","",IF(COUNTIFS($I$5:$I$1204,I813,$B$5:$B$1204,B813,$D$5:$D$1204,"&lt;"&amp;V813,$V$5:$V$1204,"&gt;"&amp;D813,$M$5:$M$1204,"&lt;&gt;Cancelled")&gt;1,"Clash",""))))</f>
        <v>0</v>
      </c>
      <c r="AH813" s="39">
        <f>IF(B813="","",IF(AG813="Clash","Clash - stylist double booked",IF(I813="","Assign - no stylist yet",IF(G813="","Add - no service chosen",IF(M813="No show","No show - charge the fee?",IF(M813="Cancelled","",IF(IF(M813="Completed",AB813&lt;Y813-0.004,FALSE),"Unpaid - nothing rung up for this visit",IF(IF(B813&lt;TodayDate,M813="Booked",FALSE),"Overdue - past date, still only Booked",IF(IF(B813=TodayDate,TRUE,FALSE),"Today",IF(IF(Z813&gt;0,AA813&lt;Z813-0.004,FALSE),"Due - deposit not taken",IF(IF(B813&gt;TodayDate,B813&lt;=TodayDate+2,FALSE),"Confirm - coming up","OK")))))))))))</f>
        <v>0</v>
      </c>
    </row>
    <row r="814" spans="1:34">
      <c r="A814" s="28">
        <f>IF(B814="","",AppointmentPrefix&amp;TEXT(ROW()-4,"0000"))</f>
        <v>0</v>
      </c>
      <c r="C814" s="15">
        <f>IF(B814="","",TEXT(B814,"ddd"))</f>
        <v>0</v>
      </c>
      <c r="F814" s="15">
        <f>IF(E814="","",IFERROR(INDEX(Clients!$B$5:$B$504,MATCH(E814,Clients!$A$5:$A$504,0)),"Walk-in"))</f>
        <v>0</v>
      </c>
      <c r="H814" s="15">
        <f>IF(G814="","",IFERROR(INDEX(Services!$B$5:$B$204,MATCH(G814,Services!$A$5:$A$204,0)),"Not in Services"))</f>
        <v>0</v>
      </c>
      <c r="J814" s="15">
        <f>IF(I814="","",IFERROR(INDEX(Staff!$B$5:$B$44,MATCH(I814,Staff!$A$5:$A$44,0)),"Unassigned"))</f>
        <v>0</v>
      </c>
      <c r="S814" s="15">
        <f>IF(B814="","",TEXT(B814,"yyyy-mm"))</f>
        <v>0</v>
      </c>
      <c r="T814" s="25">
        <f>IF(B814="","",WEEKNUM(B814,2))</f>
        <v>0</v>
      </c>
      <c r="U814" s="25">
        <f>IF(B814="","",IF(K814&lt;&gt;"",K814,IFERROR(INDEX(Services!$E$5:$E$204,MATCH(G814,Services!$A$5:$A$204,0))*1,0)+IFERROR(INDEX(Services!$F$5:$F$204,MATCH(G814,Services!$A$5:$A$204,0))*1,0)))</f>
        <v>0</v>
      </c>
      <c r="V814" s="36">
        <f>IF(B814="","",IF(D814="","",D814+U814/1440))</f>
        <v>0</v>
      </c>
      <c r="W814" s="25">
        <f>IF(B814="","",IF(D814="","",HOUR(D814)))</f>
        <v>0</v>
      </c>
      <c r="X814" s="37">
        <f>IF(B814="","",ROUND(U814/60,2))</f>
        <v>0</v>
      </c>
      <c r="Y814" s="26">
        <f>IF(B814="","",IF(L814&lt;&gt;"",L814,IFERROR(INDEX(Services!$G$5:$G$204,MATCH(G814,Services!$A$5:$A$204,0))*1,0)))</f>
        <v>0</v>
      </c>
      <c r="Z814" s="26">
        <f>IF(B814="","",IF(O814&lt;&gt;"",O814,IF(Y814&gt;=DepositThreshold,ROUND(Y814*DepositPercent,2),0)))</f>
        <v>0</v>
      </c>
      <c r="AA814" s="26">
        <f>IF(B814="","",ROUND(SUMIFS(Payments!$G$5:$G$1204,Payments!$I$5:$I$1204,A814,Payments!$E$5:$E$1204,"Deposit"),2))</f>
        <v>0</v>
      </c>
      <c r="AB814" s="26">
        <f>IF(B814="","",ROUND(SUMIFS(Sales!$Y$5:$Y$1204,Sales!$C$5:$C$1204,A814),2))</f>
        <v>0</v>
      </c>
      <c r="AC814" s="38">
        <f>IF(B814="","",IF(M814="Completed","Yes",IF(M814="Cancelled","Yes",IF(M814="No show","Yes","No"))))</f>
        <v>0</v>
      </c>
      <c r="AD814" s="25">
        <f>IF(B814="","",IF(AE814="","",B814-AE814))</f>
        <v>0</v>
      </c>
      <c r="AF814" s="38">
        <f>IF(B814="","",IF(M814&lt;&gt;"Completed","",IF(E814="","No",IF(COUNTIFS(Appointments!$E$5:$E$1204,E814,Appointments!$B$5:$B$1204,"&gt;"&amp;B814,Appointments!$M$5:$M$1204,"&lt;&gt;Cancelled")&gt;0,"Yes","No"))))</f>
        <v>0</v>
      </c>
      <c r="AG814" s="38">
        <f>IF(B814="","",IF(I814="","",IF(D814="","",IF(COUNTIFS($I$5:$I$1204,I814,$B$5:$B$1204,B814,$D$5:$D$1204,"&lt;"&amp;V814,$V$5:$V$1204,"&gt;"&amp;D814,$M$5:$M$1204,"&lt;&gt;Cancelled")&gt;1,"Clash",""))))</f>
        <v>0</v>
      </c>
      <c r="AH814" s="39">
        <f>IF(B814="","",IF(AG814="Clash","Clash - stylist double booked",IF(I814="","Assign - no stylist yet",IF(G814="","Add - no service chosen",IF(M814="No show","No show - charge the fee?",IF(M814="Cancelled","",IF(IF(M814="Completed",AB814&lt;Y814-0.004,FALSE),"Unpaid - nothing rung up for this visit",IF(IF(B814&lt;TodayDate,M814="Booked",FALSE),"Overdue - past date, still only Booked",IF(IF(B814=TodayDate,TRUE,FALSE),"Today",IF(IF(Z814&gt;0,AA814&lt;Z814-0.004,FALSE),"Due - deposit not taken",IF(IF(B814&gt;TodayDate,B814&lt;=TodayDate+2,FALSE),"Confirm - coming up","OK")))))))))))</f>
        <v>0</v>
      </c>
    </row>
    <row r="815" spans="1:34">
      <c r="A815" s="28">
        <f>IF(B815="","",AppointmentPrefix&amp;TEXT(ROW()-4,"0000"))</f>
        <v>0</v>
      </c>
      <c r="C815" s="15">
        <f>IF(B815="","",TEXT(B815,"ddd"))</f>
        <v>0</v>
      </c>
      <c r="F815" s="15">
        <f>IF(E815="","",IFERROR(INDEX(Clients!$B$5:$B$504,MATCH(E815,Clients!$A$5:$A$504,0)),"Walk-in"))</f>
        <v>0</v>
      </c>
      <c r="H815" s="15">
        <f>IF(G815="","",IFERROR(INDEX(Services!$B$5:$B$204,MATCH(G815,Services!$A$5:$A$204,0)),"Not in Services"))</f>
        <v>0</v>
      </c>
      <c r="J815" s="15">
        <f>IF(I815="","",IFERROR(INDEX(Staff!$B$5:$B$44,MATCH(I815,Staff!$A$5:$A$44,0)),"Unassigned"))</f>
        <v>0</v>
      </c>
      <c r="S815" s="15">
        <f>IF(B815="","",TEXT(B815,"yyyy-mm"))</f>
        <v>0</v>
      </c>
      <c r="T815" s="25">
        <f>IF(B815="","",WEEKNUM(B815,2))</f>
        <v>0</v>
      </c>
      <c r="U815" s="25">
        <f>IF(B815="","",IF(K815&lt;&gt;"",K815,IFERROR(INDEX(Services!$E$5:$E$204,MATCH(G815,Services!$A$5:$A$204,0))*1,0)+IFERROR(INDEX(Services!$F$5:$F$204,MATCH(G815,Services!$A$5:$A$204,0))*1,0)))</f>
        <v>0</v>
      </c>
      <c r="V815" s="36">
        <f>IF(B815="","",IF(D815="","",D815+U815/1440))</f>
        <v>0</v>
      </c>
      <c r="W815" s="25">
        <f>IF(B815="","",IF(D815="","",HOUR(D815)))</f>
        <v>0</v>
      </c>
      <c r="X815" s="37">
        <f>IF(B815="","",ROUND(U815/60,2))</f>
        <v>0</v>
      </c>
      <c r="Y815" s="26">
        <f>IF(B815="","",IF(L815&lt;&gt;"",L815,IFERROR(INDEX(Services!$G$5:$G$204,MATCH(G815,Services!$A$5:$A$204,0))*1,0)))</f>
        <v>0</v>
      </c>
      <c r="Z815" s="26">
        <f>IF(B815="","",IF(O815&lt;&gt;"",O815,IF(Y815&gt;=DepositThreshold,ROUND(Y815*DepositPercent,2),0)))</f>
        <v>0</v>
      </c>
      <c r="AA815" s="26">
        <f>IF(B815="","",ROUND(SUMIFS(Payments!$G$5:$G$1204,Payments!$I$5:$I$1204,A815,Payments!$E$5:$E$1204,"Deposit"),2))</f>
        <v>0</v>
      </c>
      <c r="AB815" s="26">
        <f>IF(B815="","",ROUND(SUMIFS(Sales!$Y$5:$Y$1204,Sales!$C$5:$C$1204,A815),2))</f>
        <v>0</v>
      </c>
      <c r="AC815" s="38">
        <f>IF(B815="","",IF(M815="Completed","Yes",IF(M815="Cancelled","Yes",IF(M815="No show","Yes","No"))))</f>
        <v>0</v>
      </c>
      <c r="AD815" s="25">
        <f>IF(B815="","",IF(AE815="","",B815-AE815))</f>
        <v>0</v>
      </c>
      <c r="AF815" s="38">
        <f>IF(B815="","",IF(M815&lt;&gt;"Completed","",IF(E815="","No",IF(COUNTIFS(Appointments!$E$5:$E$1204,E815,Appointments!$B$5:$B$1204,"&gt;"&amp;B815,Appointments!$M$5:$M$1204,"&lt;&gt;Cancelled")&gt;0,"Yes","No"))))</f>
        <v>0</v>
      </c>
      <c r="AG815" s="38">
        <f>IF(B815="","",IF(I815="","",IF(D815="","",IF(COUNTIFS($I$5:$I$1204,I815,$B$5:$B$1204,B815,$D$5:$D$1204,"&lt;"&amp;V815,$V$5:$V$1204,"&gt;"&amp;D815,$M$5:$M$1204,"&lt;&gt;Cancelled")&gt;1,"Clash",""))))</f>
        <v>0</v>
      </c>
      <c r="AH815" s="39">
        <f>IF(B815="","",IF(AG815="Clash","Clash - stylist double booked",IF(I815="","Assign - no stylist yet",IF(G815="","Add - no service chosen",IF(M815="No show","No show - charge the fee?",IF(M815="Cancelled","",IF(IF(M815="Completed",AB815&lt;Y815-0.004,FALSE),"Unpaid - nothing rung up for this visit",IF(IF(B815&lt;TodayDate,M815="Booked",FALSE),"Overdue - past date, still only Booked",IF(IF(B815=TodayDate,TRUE,FALSE),"Today",IF(IF(Z815&gt;0,AA815&lt;Z815-0.004,FALSE),"Due - deposit not taken",IF(IF(B815&gt;TodayDate,B815&lt;=TodayDate+2,FALSE),"Confirm - coming up","OK")))))))))))</f>
        <v>0</v>
      </c>
    </row>
    <row r="816" spans="1:34">
      <c r="A816" s="28">
        <f>IF(B816="","",AppointmentPrefix&amp;TEXT(ROW()-4,"0000"))</f>
        <v>0</v>
      </c>
      <c r="C816" s="15">
        <f>IF(B816="","",TEXT(B816,"ddd"))</f>
        <v>0</v>
      </c>
      <c r="F816" s="15">
        <f>IF(E816="","",IFERROR(INDEX(Clients!$B$5:$B$504,MATCH(E816,Clients!$A$5:$A$504,0)),"Walk-in"))</f>
        <v>0</v>
      </c>
      <c r="H816" s="15">
        <f>IF(G816="","",IFERROR(INDEX(Services!$B$5:$B$204,MATCH(G816,Services!$A$5:$A$204,0)),"Not in Services"))</f>
        <v>0</v>
      </c>
      <c r="J816" s="15">
        <f>IF(I816="","",IFERROR(INDEX(Staff!$B$5:$B$44,MATCH(I816,Staff!$A$5:$A$44,0)),"Unassigned"))</f>
        <v>0</v>
      </c>
      <c r="S816" s="15">
        <f>IF(B816="","",TEXT(B816,"yyyy-mm"))</f>
        <v>0</v>
      </c>
      <c r="T816" s="25">
        <f>IF(B816="","",WEEKNUM(B816,2))</f>
        <v>0</v>
      </c>
      <c r="U816" s="25">
        <f>IF(B816="","",IF(K816&lt;&gt;"",K816,IFERROR(INDEX(Services!$E$5:$E$204,MATCH(G816,Services!$A$5:$A$204,0))*1,0)+IFERROR(INDEX(Services!$F$5:$F$204,MATCH(G816,Services!$A$5:$A$204,0))*1,0)))</f>
        <v>0</v>
      </c>
      <c r="V816" s="36">
        <f>IF(B816="","",IF(D816="","",D816+U816/1440))</f>
        <v>0</v>
      </c>
      <c r="W816" s="25">
        <f>IF(B816="","",IF(D816="","",HOUR(D816)))</f>
        <v>0</v>
      </c>
      <c r="X816" s="37">
        <f>IF(B816="","",ROUND(U816/60,2))</f>
        <v>0</v>
      </c>
      <c r="Y816" s="26">
        <f>IF(B816="","",IF(L816&lt;&gt;"",L816,IFERROR(INDEX(Services!$G$5:$G$204,MATCH(G816,Services!$A$5:$A$204,0))*1,0)))</f>
        <v>0</v>
      </c>
      <c r="Z816" s="26">
        <f>IF(B816="","",IF(O816&lt;&gt;"",O816,IF(Y816&gt;=DepositThreshold,ROUND(Y816*DepositPercent,2),0)))</f>
        <v>0</v>
      </c>
      <c r="AA816" s="26">
        <f>IF(B816="","",ROUND(SUMIFS(Payments!$G$5:$G$1204,Payments!$I$5:$I$1204,A816,Payments!$E$5:$E$1204,"Deposit"),2))</f>
        <v>0</v>
      </c>
      <c r="AB816" s="26">
        <f>IF(B816="","",ROUND(SUMIFS(Sales!$Y$5:$Y$1204,Sales!$C$5:$C$1204,A816),2))</f>
        <v>0</v>
      </c>
      <c r="AC816" s="38">
        <f>IF(B816="","",IF(M816="Completed","Yes",IF(M816="Cancelled","Yes",IF(M816="No show","Yes","No"))))</f>
        <v>0</v>
      </c>
      <c r="AD816" s="25">
        <f>IF(B816="","",IF(AE816="","",B816-AE816))</f>
        <v>0</v>
      </c>
      <c r="AF816" s="38">
        <f>IF(B816="","",IF(M816&lt;&gt;"Completed","",IF(E816="","No",IF(COUNTIFS(Appointments!$E$5:$E$1204,E816,Appointments!$B$5:$B$1204,"&gt;"&amp;B816,Appointments!$M$5:$M$1204,"&lt;&gt;Cancelled")&gt;0,"Yes","No"))))</f>
        <v>0</v>
      </c>
      <c r="AG816" s="38">
        <f>IF(B816="","",IF(I816="","",IF(D816="","",IF(COUNTIFS($I$5:$I$1204,I816,$B$5:$B$1204,B816,$D$5:$D$1204,"&lt;"&amp;V816,$V$5:$V$1204,"&gt;"&amp;D816,$M$5:$M$1204,"&lt;&gt;Cancelled")&gt;1,"Clash",""))))</f>
        <v>0</v>
      </c>
      <c r="AH816" s="39">
        <f>IF(B816="","",IF(AG816="Clash","Clash - stylist double booked",IF(I816="","Assign - no stylist yet",IF(G816="","Add - no service chosen",IF(M816="No show","No show - charge the fee?",IF(M816="Cancelled","",IF(IF(M816="Completed",AB816&lt;Y816-0.004,FALSE),"Unpaid - nothing rung up for this visit",IF(IF(B816&lt;TodayDate,M816="Booked",FALSE),"Overdue - past date, still only Booked",IF(IF(B816=TodayDate,TRUE,FALSE),"Today",IF(IF(Z816&gt;0,AA816&lt;Z816-0.004,FALSE),"Due - deposit not taken",IF(IF(B816&gt;TodayDate,B816&lt;=TodayDate+2,FALSE),"Confirm - coming up","OK")))))))))))</f>
        <v>0</v>
      </c>
    </row>
    <row r="817" spans="1:34">
      <c r="A817" s="28">
        <f>IF(B817="","",AppointmentPrefix&amp;TEXT(ROW()-4,"0000"))</f>
        <v>0</v>
      </c>
      <c r="C817" s="15">
        <f>IF(B817="","",TEXT(B817,"ddd"))</f>
        <v>0</v>
      </c>
      <c r="F817" s="15">
        <f>IF(E817="","",IFERROR(INDEX(Clients!$B$5:$B$504,MATCH(E817,Clients!$A$5:$A$504,0)),"Walk-in"))</f>
        <v>0</v>
      </c>
      <c r="H817" s="15">
        <f>IF(G817="","",IFERROR(INDEX(Services!$B$5:$B$204,MATCH(G817,Services!$A$5:$A$204,0)),"Not in Services"))</f>
        <v>0</v>
      </c>
      <c r="J817" s="15">
        <f>IF(I817="","",IFERROR(INDEX(Staff!$B$5:$B$44,MATCH(I817,Staff!$A$5:$A$44,0)),"Unassigned"))</f>
        <v>0</v>
      </c>
      <c r="S817" s="15">
        <f>IF(B817="","",TEXT(B817,"yyyy-mm"))</f>
        <v>0</v>
      </c>
      <c r="T817" s="25">
        <f>IF(B817="","",WEEKNUM(B817,2))</f>
        <v>0</v>
      </c>
      <c r="U817" s="25">
        <f>IF(B817="","",IF(K817&lt;&gt;"",K817,IFERROR(INDEX(Services!$E$5:$E$204,MATCH(G817,Services!$A$5:$A$204,0))*1,0)+IFERROR(INDEX(Services!$F$5:$F$204,MATCH(G817,Services!$A$5:$A$204,0))*1,0)))</f>
        <v>0</v>
      </c>
      <c r="V817" s="36">
        <f>IF(B817="","",IF(D817="","",D817+U817/1440))</f>
        <v>0</v>
      </c>
      <c r="W817" s="25">
        <f>IF(B817="","",IF(D817="","",HOUR(D817)))</f>
        <v>0</v>
      </c>
      <c r="X817" s="37">
        <f>IF(B817="","",ROUND(U817/60,2))</f>
        <v>0</v>
      </c>
      <c r="Y817" s="26">
        <f>IF(B817="","",IF(L817&lt;&gt;"",L817,IFERROR(INDEX(Services!$G$5:$G$204,MATCH(G817,Services!$A$5:$A$204,0))*1,0)))</f>
        <v>0</v>
      </c>
      <c r="Z817" s="26">
        <f>IF(B817="","",IF(O817&lt;&gt;"",O817,IF(Y817&gt;=DepositThreshold,ROUND(Y817*DepositPercent,2),0)))</f>
        <v>0</v>
      </c>
      <c r="AA817" s="26">
        <f>IF(B817="","",ROUND(SUMIFS(Payments!$G$5:$G$1204,Payments!$I$5:$I$1204,A817,Payments!$E$5:$E$1204,"Deposit"),2))</f>
        <v>0</v>
      </c>
      <c r="AB817" s="26">
        <f>IF(B817="","",ROUND(SUMIFS(Sales!$Y$5:$Y$1204,Sales!$C$5:$C$1204,A817),2))</f>
        <v>0</v>
      </c>
      <c r="AC817" s="38">
        <f>IF(B817="","",IF(M817="Completed","Yes",IF(M817="Cancelled","Yes",IF(M817="No show","Yes","No"))))</f>
        <v>0</v>
      </c>
      <c r="AD817" s="25">
        <f>IF(B817="","",IF(AE817="","",B817-AE817))</f>
        <v>0</v>
      </c>
      <c r="AF817" s="38">
        <f>IF(B817="","",IF(M817&lt;&gt;"Completed","",IF(E817="","No",IF(COUNTIFS(Appointments!$E$5:$E$1204,E817,Appointments!$B$5:$B$1204,"&gt;"&amp;B817,Appointments!$M$5:$M$1204,"&lt;&gt;Cancelled")&gt;0,"Yes","No"))))</f>
        <v>0</v>
      </c>
      <c r="AG817" s="38">
        <f>IF(B817="","",IF(I817="","",IF(D817="","",IF(COUNTIFS($I$5:$I$1204,I817,$B$5:$B$1204,B817,$D$5:$D$1204,"&lt;"&amp;V817,$V$5:$V$1204,"&gt;"&amp;D817,$M$5:$M$1204,"&lt;&gt;Cancelled")&gt;1,"Clash",""))))</f>
        <v>0</v>
      </c>
      <c r="AH817" s="39">
        <f>IF(B817="","",IF(AG817="Clash","Clash - stylist double booked",IF(I817="","Assign - no stylist yet",IF(G817="","Add - no service chosen",IF(M817="No show","No show - charge the fee?",IF(M817="Cancelled","",IF(IF(M817="Completed",AB817&lt;Y817-0.004,FALSE),"Unpaid - nothing rung up for this visit",IF(IF(B817&lt;TodayDate,M817="Booked",FALSE),"Overdue - past date, still only Booked",IF(IF(B817=TodayDate,TRUE,FALSE),"Today",IF(IF(Z817&gt;0,AA817&lt;Z817-0.004,FALSE),"Due - deposit not taken",IF(IF(B817&gt;TodayDate,B817&lt;=TodayDate+2,FALSE),"Confirm - coming up","OK")))))))))))</f>
        <v>0</v>
      </c>
    </row>
    <row r="818" spans="1:34">
      <c r="A818" s="28">
        <f>IF(B818="","",AppointmentPrefix&amp;TEXT(ROW()-4,"0000"))</f>
        <v>0</v>
      </c>
      <c r="C818" s="15">
        <f>IF(B818="","",TEXT(B818,"ddd"))</f>
        <v>0</v>
      </c>
      <c r="F818" s="15">
        <f>IF(E818="","",IFERROR(INDEX(Clients!$B$5:$B$504,MATCH(E818,Clients!$A$5:$A$504,0)),"Walk-in"))</f>
        <v>0</v>
      </c>
      <c r="H818" s="15">
        <f>IF(G818="","",IFERROR(INDEX(Services!$B$5:$B$204,MATCH(G818,Services!$A$5:$A$204,0)),"Not in Services"))</f>
        <v>0</v>
      </c>
      <c r="J818" s="15">
        <f>IF(I818="","",IFERROR(INDEX(Staff!$B$5:$B$44,MATCH(I818,Staff!$A$5:$A$44,0)),"Unassigned"))</f>
        <v>0</v>
      </c>
      <c r="S818" s="15">
        <f>IF(B818="","",TEXT(B818,"yyyy-mm"))</f>
        <v>0</v>
      </c>
      <c r="T818" s="25">
        <f>IF(B818="","",WEEKNUM(B818,2))</f>
        <v>0</v>
      </c>
      <c r="U818" s="25">
        <f>IF(B818="","",IF(K818&lt;&gt;"",K818,IFERROR(INDEX(Services!$E$5:$E$204,MATCH(G818,Services!$A$5:$A$204,0))*1,0)+IFERROR(INDEX(Services!$F$5:$F$204,MATCH(G818,Services!$A$5:$A$204,0))*1,0)))</f>
        <v>0</v>
      </c>
      <c r="V818" s="36">
        <f>IF(B818="","",IF(D818="","",D818+U818/1440))</f>
        <v>0</v>
      </c>
      <c r="W818" s="25">
        <f>IF(B818="","",IF(D818="","",HOUR(D818)))</f>
        <v>0</v>
      </c>
      <c r="X818" s="37">
        <f>IF(B818="","",ROUND(U818/60,2))</f>
        <v>0</v>
      </c>
      <c r="Y818" s="26">
        <f>IF(B818="","",IF(L818&lt;&gt;"",L818,IFERROR(INDEX(Services!$G$5:$G$204,MATCH(G818,Services!$A$5:$A$204,0))*1,0)))</f>
        <v>0</v>
      </c>
      <c r="Z818" s="26">
        <f>IF(B818="","",IF(O818&lt;&gt;"",O818,IF(Y818&gt;=DepositThreshold,ROUND(Y818*DepositPercent,2),0)))</f>
        <v>0</v>
      </c>
      <c r="AA818" s="26">
        <f>IF(B818="","",ROUND(SUMIFS(Payments!$G$5:$G$1204,Payments!$I$5:$I$1204,A818,Payments!$E$5:$E$1204,"Deposit"),2))</f>
        <v>0</v>
      </c>
      <c r="AB818" s="26">
        <f>IF(B818="","",ROUND(SUMIFS(Sales!$Y$5:$Y$1204,Sales!$C$5:$C$1204,A818),2))</f>
        <v>0</v>
      </c>
      <c r="AC818" s="38">
        <f>IF(B818="","",IF(M818="Completed","Yes",IF(M818="Cancelled","Yes",IF(M818="No show","Yes","No"))))</f>
        <v>0</v>
      </c>
      <c r="AD818" s="25">
        <f>IF(B818="","",IF(AE818="","",B818-AE818))</f>
        <v>0</v>
      </c>
      <c r="AF818" s="38">
        <f>IF(B818="","",IF(M818&lt;&gt;"Completed","",IF(E818="","No",IF(COUNTIFS(Appointments!$E$5:$E$1204,E818,Appointments!$B$5:$B$1204,"&gt;"&amp;B818,Appointments!$M$5:$M$1204,"&lt;&gt;Cancelled")&gt;0,"Yes","No"))))</f>
        <v>0</v>
      </c>
      <c r="AG818" s="38">
        <f>IF(B818="","",IF(I818="","",IF(D818="","",IF(COUNTIFS($I$5:$I$1204,I818,$B$5:$B$1204,B818,$D$5:$D$1204,"&lt;"&amp;V818,$V$5:$V$1204,"&gt;"&amp;D818,$M$5:$M$1204,"&lt;&gt;Cancelled")&gt;1,"Clash",""))))</f>
        <v>0</v>
      </c>
      <c r="AH818" s="39">
        <f>IF(B818="","",IF(AG818="Clash","Clash - stylist double booked",IF(I818="","Assign - no stylist yet",IF(G818="","Add - no service chosen",IF(M818="No show","No show - charge the fee?",IF(M818="Cancelled","",IF(IF(M818="Completed",AB818&lt;Y818-0.004,FALSE),"Unpaid - nothing rung up for this visit",IF(IF(B818&lt;TodayDate,M818="Booked",FALSE),"Overdue - past date, still only Booked",IF(IF(B818=TodayDate,TRUE,FALSE),"Today",IF(IF(Z818&gt;0,AA818&lt;Z818-0.004,FALSE),"Due - deposit not taken",IF(IF(B818&gt;TodayDate,B818&lt;=TodayDate+2,FALSE),"Confirm - coming up","OK")))))))))))</f>
        <v>0</v>
      </c>
    </row>
    <row r="819" spans="1:34">
      <c r="A819" s="28">
        <f>IF(B819="","",AppointmentPrefix&amp;TEXT(ROW()-4,"0000"))</f>
        <v>0</v>
      </c>
      <c r="C819" s="15">
        <f>IF(B819="","",TEXT(B819,"ddd"))</f>
        <v>0</v>
      </c>
      <c r="F819" s="15">
        <f>IF(E819="","",IFERROR(INDEX(Clients!$B$5:$B$504,MATCH(E819,Clients!$A$5:$A$504,0)),"Walk-in"))</f>
        <v>0</v>
      </c>
      <c r="H819" s="15">
        <f>IF(G819="","",IFERROR(INDEX(Services!$B$5:$B$204,MATCH(G819,Services!$A$5:$A$204,0)),"Not in Services"))</f>
        <v>0</v>
      </c>
      <c r="J819" s="15">
        <f>IF(I819="","",IFERROR(INDEX(Staff!$B$5:$B$44,MATCH(I819,Staff!$A$5:$A$44,0)),"Unassigned"))</f>
        <v>0</v>
      </c>
      <c r="S819" s="15">
        <f>IF(B819="","",TEXT(B819,"yyyy-mm"))</f>
        <v>0</v>
      </c>
      <c r="T819" s="25">
        <f>IF(B819="","",WEEKNUM(B819,2))</f>
        <v>0</v>
      </c>
      <c r="U819" s="25">
        <f>IF(B819="","",IF(K819&lt;&gt;"",K819,IFERROR(INDEX(Services!$E$5:$E$204,MATCH(G819,Services!$A$5:$A$204,0))*1,0)+IFERROR(INDEX(Services!$F$5:$F$204,MATCH(G819,Services!$A$5:$A$204,0))*1,0)))</f>
        <v>0</v>
      </c>
      <c r="V819" s="36">
        <f>IF(B819="","",IF(D819="","",D819+U819/1440))</f>
        <v>0</v>
      </c>
      <c r="W819" s="25">
        <f>IF(B819="","",IF(D819="","",HOUR(D819)))</f>
        <v>0</v>
      </c>
      <c r="X819" s="37">
        <f>IF(B819="","",ROUND(U819/60,2))</f>
        <v>0</v>
      </c>
      <c r="Y819" s="26">
        <f>IF(B819="","",IF(L819&lt;&gt;"",L819,IFERROR(INDEX(Services!$G$5:$G$204,MATCH(G819,Services!$A$5:$A$204,0))*1,0)))</f>
        <v>0</v>
      </c>
      <c r="Z819" s="26">
        <f>IF(B819="","",IF(O819&lt;&gt;"",O819,IF(Y819&gt;=DepositThreshold,ROUND(Y819*DepositPercent,2),0)))</f>
        <v>0</v>
      </c>
      <c r="AA819" s="26">
        <f>IF(B819="","",ROUND(SUMIFS(Payments!$G$5:$G$1204,Payments!$I$5:$I$1204,A819,Payments!$E$5:$E$1204,"Deposit"),2))</f>
        <v>0</v>
      </c>
      <c r="AB819" s="26">
        <f>IF(B819="","",ROUND(SUMIFS(Sales!$Y$5:$Y$1204,Sales!$C$5:$C$1204,A819),2))</f>
        <v>0</v>
      </c>
      <c r="AC819" s="38">
        <f>IF(B819="","",IF(M819="Completed","Yes",IF(M819="Cancelled","Yes",IF(M819="No show","Yes","No"))))</f>
        <v>0</v>
      </c>
      <c r="AD819" s="25">
        <f>IF(B819="","",IF(AE819="","",B819-AE819))</f>
        <v>0</v>
      </c>
      <c r="AF819" s="38">
        <f>IF(B819="","",IF(M819&lt;&gt;"Completed","",IF(E819="","No",IF(COUNTIFS(Appointments!$E$5:$E$1204,E819,Appointments!$B$5:$B$1204,"&gt;"&amp;B819,Appointments!$M$5:$M$1204,"&lt;&gt;Cancelled")&gt;0,"Yes","No"))))</f>
        <v>0</v>
      </c>
      <c r="AG819" s="38">
        <f>IF(B819="","",IF(I819="","",IF(D819="","",IF(COUNTIFS($I$5:$I$1204,I819,$B$5:$B$1204,B819,$D$5:$D$1204,"&lt;"&amp;V819,$V$5:$V$1204,"&gt;"&amp;D819,$M$5:$M$1204,"&lt;&gt;Cancelled")&gt;1,"Clash",""))))</f>
        <v>0</v>
      </c>
      <c r="AH819" s="39">
        <f>IF(B819="","",IF(AG819="Clash","Clash - stylist double booked",IF(I819="","Assign - no stylist yet",IF(G819="","Add - no service chosen",IF(M819="No show","No show - charge the fee?",IF(M819="Cancelled","",IF(IF(M819="Completed",AB819&lt;Y819-0.004,FALSE),"Unpaid - nothing rung up for this visit",IF(IF(B819&lt;TodayDate,M819="Booked",FALSE),"Overdue - past date, still only Booked",IF(IF(B819=TodayDate,TRUE,FALSE),"Today",IF(IF(Z819&gt;0,AA819&lt;Z819-0.004,FALSE),"Due - deposit not taken",IF(IF(B819&gt;TodayDate,B819&lt;=TodayDate+2,FALSE),"Confirm - coming up","OK")))))))))))</f>
        <v>0</v>
      </c>
    </row>
    <row r="820" spans="1:34">
      <c r="A820" s="28">
        <f>IF(B820="","",AppointmentPrefix&amp;TEXT(ROW()-4,"0000"))</f>
        <v>0</v>
      </c>
      <c r="C820" s="15">
        <f>IF(B820="","",TEXT(B820,"ddd"))</f>
        <v>0</v>
      </c>
      <c r="F820" s="15">
        <f>IF(E820="","",IFERROR(INDEX(Clients!$B$5:$B$504,MATCH(E820,Clients!$A$5:$A$504,0)),"Walk-in"))</f>
        <v>0</v>
      </c>
      <c r="H820" s="15">
        <f>IF(G820="","",IFERROR(INDEX(Services!$B$5:$B$204,MATCH(G820,Services!$A$5:$A$204,0)),"Not in Services"))</f>
        <v>0</v>
      </c>
      <c r="J820" s="15">
        <f>IF(I820="","",IFERROR(INDEX(Staff!$B$5:$B$44,MATCH(I820,Staff!$A$5:$A$44,0)),"Unassigned"))</f>
        <v>0</v>
      </c>
      <c r="S820" s="15">
        <f>IF(B820="","",TEXT(B820,"yyyy-mm"))</f>
        <v>0</v>
      </c>
      <c r="T820" s="25">
        <f>IF(B820="","",WEEKNUM(B820,2))</f>
        <v>0</v>
      </c>
      <c r="U820" s="25">
        <f>IF(B820="","",IF(K820&lt;&gt;"",K820,IFERROR(INDEX(Services!$E$5:$E$204,MATCH(G820,Services!$A$5:$A$204,0))*1,0)+IFERROR(INDEX(Services!$F$5:$F$204,MATCH(G820,Services!$A$5:$A$204,0))*1,0)))</f>
        <v>0</v>
      </c>
      <c r="V820" s="36">
        <f>IF(B820="","",IF(D820="","",D820+U820/1440))</f>
        <v>0</v>
      </c>
      <c r="W820" s="25">
        <f>IF(B820="","",IF(D820="","",HOUR(D820)))</f>
        <v>0</v>
      </c>
      <c r="X820" s="37">
        <f>IF(B820="","",ROUND(U820/60,2))</f>
        <v>0</v>
      </c>
      <c r="Y820" s="26">
        <f>IF(B820="","",IF(L820&lt;&gt;"",L820,IFERROR(INDEX(Services!$G$5:$G$204,MATCH(G820,Services!$A$5:$A$204,0))*1,0)))</f>
        <v>0</v>
      </c>
      <c r="Z820" s="26">
        <f>IF(B820="","",IF(O820&lt;&gt;"",O820,IF(Y820&gt;=DepositThreshold,ROUND(Y820*DepositPercent,2),0)))</f>
        <v>0</v>
      </c>
      <c r="AA820" s="26">
        <f>IF(B820="","",ROUND(SUMIFS(Payments!$G$5:$G$1204,Payments!$I$5:$I$1204,A820,Payments!$E$5:$E$1204,"Deposit"),2))</f>
        <v>0</v>
      </c>
      <c r="AB820" s="26">
        <f>IF(B820="","",ROUND(SUMIFS(Sales!$Y$5:$Y$1204,Sales!$C$5:$C$1204,A820),2))</f>
        <v>0</v>
      </c>
      <c r="AC820" s="38">
        <f>IF(B820="","",IF(M820="Completed","Yes",IF(M820="Cancelled","Yes",IF(M820="No show","Yes","No"))))</f>
        <v>0</v>
      </c>
      <c r="AD820" s="25">
        <f>IF(B820="","",IF(AE820="","",B820-AE820))</f>
        <v>0</v>
      </c>
      <c r="AF820" s="38">
        <f>IF(B820="","",IF(M820&lt;&gt;"Completed","",IF(E820="","No",IF(COUNTIFS(Appointments!$E$5:$E$1204,E820,Appointments!$B$5:$B$1204,"&gt;"&amp;B820,Appointments!$M$5:$M$1204,"&lt;&gt;Cancelled")&gt;0,"Yes","No"))))</f>
        <v>0</v>
      </c>
      <c r="AG820" s="38">
        <f>IF(B820="","",IF(I820="","",IF(D820="","",IF(COUNTIFS($I$5:$I$1204,I820,$B$5:$B$1204,B820,$D$5:$D$1204,"&lt;"&amp;V820,$V$5:$V$1204,"&gt;"&amp;D820,$M$5:$M$1204,"&lt;&gt;Cancelled")&gt;1,"Clash",""))))</f>
        <v>0</v>
      </c>
      <c r="AH820" s="39">
        <f>IF(B820="","",IF(AG820="Clash","Clash - stylist double booked",IF(I820="","Assign - no stylist yet",IF(G820="","Add - no service chosen",IF(M820="No show","No show - charge the fee?",IF(M820="Cancelled","",IF(IF(M820="Completed",AB820&lt;Y820-0.004,FALSE),"Unpaid - nothing rung up for this visit",IF(IF(B820&lt;TodayDate,M820="Booked",FALSE),"Overdue - past date, still only Booked",IF(IF(B820=TodayDate,TRUE,FALSE),"Today",IF(IF(Z820&gt;0,AA820&lt;Z820-0.004,FALSE),"Due - deposit not taken",IF(IF(B820&gt;TodayDate,B820&lt;=TodayDate+2,FALSE),"Confirm - coming up","OK")))))))))))</f>
        <v>0</v>
      </c>
    </row>
    <row r="821" spans="1:34">
      <c r="A821" s="28">
        <f>IF(B821="","",AppointmentPrefix&amp;TEXT(ROW()-4,"0000"))</f>
        <v>0</v>
      </c>
      <c r="C821" s="15">
        <f>IF(B821="","",TEXT(B821,"ddd"))</f>
        <v>0</v>
      </c>
      <c r="F821" s="15">
        <f>IF(E821="","",IFERROR(INDEX(Clients!$B$5:$B$504,MATCH(E821,Clients!$A$5:$A$504,0)),"Walk-in"))</f>
        <v>0</v>
      </c>
      <c r="H821" s="15">
        <f>IF(G821="","",IFERROR(INDEX(Services!$B$5:$B$204,MATCH(G821,Services!$A$5:$A$204,0)),"Not in Services"))</f>
        <v>0</v>
      </c>
      <c r="J821" s="15">
        <f>IF(I821="","",IFERROR(INDEX(Staff!$B$5:$B$44,MATCH(I821,Staff!$A$5:$A$44,0)),"Unassigned"))</f>
        <v>0</v>
      </c>
      <c r="S821" s="15">
        <f>IF(B821="","",TEXT(B821,"yyyy-mm"))</f>
        <v>0</v>
      </c>
      <c r="T821" s="25">
        <f>IF(B821="","",WEEKNUM(B821,2))</f>
        <v>0</v>
      </c>
      <c r="U821" s="25">
        <f>IF(B821="","",IF(K821&lt;&gt;"",K821,IFERROR(INDEX(Services!$E$5:$E$204,MATCH(G821,Services!$A$5:$A$204,0))*1,0)+IFERROR(INDEX(Services!$F$5:$F$204,MATCH(G821,Services!$A$5:$A$204,0))*1,0)))</f>
        <v>0</v>
      </c>
      <c r="V821" s="36">
        <f>IF(B821="","",IF(D821="","",D821+U821/1440))</f>
        <v>0</v>
      </c>
      <c r="W821" s="25">
        <f>IF(B821="","",IF(D821="","",HOUR(D821)))</f>
        <v>0</v>
      </c>
      <c r="X821" s="37">
        <f>IF(B821="","",ROUND(U821/60,2))</f>
        <v>0</v>
      </c>
      <c r="Y821" s="26">
        <f>IF(B821="","",IF(L821&lt;&gt;"",L821,IFERROR(INDEX(Services!$G$5:$G$204,MATCH(G821,Services!$A$5:$A$204,0))*1,0)))</f>
        <v>0</v>
      </c>
      <c r="Z821" s="26">
        <f>IF(B821="","",IF(O821&lt;&gt;"",O821,IF(Y821&gt;=DepositThreshold,ROUND(Y821*DepositPercent,2),0)))</f>
        <v>0</v>
      </c>
      <c r="AA821" s="26">
        <f>IF(B821="","",ROUND(SUMIFS(Payments!$G$5:$G$1204,Payments!$I$5:$I$1204,A821,Payments!$E$5:$E$1204,"Deposit"),2))</f>
        <v>0</v>
      </c>
      <c r="AB821" s="26">
        <f>IF(B821="","",ROUND(SUMIFS(Sales!$Y$5:$Y$1204,Sales!$C$5:$C$1204,A821),2))</f>
        <v>0</v>
      </c>
      <c r="AC821" s="38">
        <f>IF(B821="","",IF(M821="Completed","Yes",IF(M821="Cancelled","Yes",IF(M821="No show","Yes","No"))))</f>
        <v>0</v>
      </c>
      <c r="AD821" s="25">
        <f>IF(B821="","",IF(AE821="","",B821-AE821))</f>
        <v>0</v>
      </c>
      <c r="AF821" s="38">
        <f>IF(B821="","",IF(M821&lt;&gt;"Completed","",IF(E821="","No",IF(COUNTIFS(Appointments!$E$5:$E$1204,E821,Appointments!$B$5:$B$1204,"&gt;"&amp;B821,Appointments!$M$5:$M$1204,"&lt;&gt;Cancelled")&gt;0,"Yes","No"))))</f>
        <v>0</v>
      </c>
      <c r="AG821" s="38">
        <f>IF(B821="","",IF(I821="","",IF(D821="","",IF(COUNTIFS($I$5:$I$1204,I821,$B$5:$B$1204,B821,$D$5:$D$1204,"&lt;"&amp;V821,$V$5:$V$1204,"&gt;"&amp;D821,$M$5:$M$1204,"&lt;&gt;Cancelled")&gt;1,"Clash",""))))</f>
        <v>0</v>
      </c>
      <c r="AH821" s="39">
        <f>IF(B821="","",IF(AG821="Clash","Clash - stylist double booked",IF(I821="","Assign - no stylist yet",IF(G821="","Add - no service chosen",IF(M821="No show","No show - charge the fee?",IF(M821="Cancelled","",IF(IF(M821="Completed",AB821&lt;Y821-0.004,FALSE),"Unpaid - nothing rung up for this visit",IF(IF(B821&lt;TodayDate,M821="Booked",FALSE),"Overdue - past date, still only Booked",IF(IF(B821=TodayDate,TRUE,FALSE),"Today",IF(IF(Z821&gt;0,AA821&lt;Z821-0.004,FALSE),"Due - deposit not taken",IF(IF(B821&gt;TodayDate,B821&lt;=TodayDate+2,FALSE),"Confirm - coming up","OK")))))))))))</f>
        <v>0</v>
      </c>
    </row>
    <row r="822" spans="1:34">
      <c r="A822" s="28">
        <f>IF(B822="","",AppointmentPrefix&amp;TEXT(ROW()-4,"0000"))</f>
        <v>0</v>
      </c>
      <c r="C822" s="15">
        <f>IF(B822="","",TEXT(B822,"ddd"))</f>
        <v>0</v>
      </c>
      <c r="F822" s="15">
        <f>IF(E822="","",IFERROR(INDEX(Clients!$B$5:$B$504,MATCH(E822,Clients!$A$5:$A$504,0)),"Walk-in"))</f>
        <v>0</v>
      </c>
      <c r="H822" s="15">
        <f>IF(G822="","",IFERROR(INDEX(Services!$B$5:$B$204,MATCH(G822,Services!$A$5:$A$204,0)),"Not in Services"))</f>
        <v>0</v>
      </c>
      <c r="J822" s="15">
        <f>IF(I822="","",IFERROR(INDEX(Staff!$B$5:$B$44,MATCH(I822,Staff!$A$5:$A$44,0)),"Unassigned"))</f>
        <v>0</v>
      </c>
      <c r="S822" s="15">
        <f>IF(B822="","",TEXT(B822,"yyyy-mm"))</f>
        <v>0</v>
      </c>
      <c r="T822" s="25">
        <f>IF(B822="","",WEEKNUM(B822,2))</f>
        <v>0</v>
      </c>
      <c r="U822" s="25">
        <f>IF(B822="","",IF(K822&lt;&gt;"",K822,IFERROR(INDEX(Services!$E$5:$E$204,MATCH(G822,Services!$A$5:$A$204,0))*1,0)+IFERROR(INDEX(Services!$F$5:$F$204,MATCH(G822,Services!$A$5:$A$204,0))*1,0)))</f>
        <v>0</v>
      </c>
      <c r="V822" s="36">
        <f>IF(B822="","",IF(D822="","",D822+U822/1440))</f>
        <v>0</v>
      </c>
      <c r="W822" s="25">
        <f>IF(B822="","",IF(D822="","",HOUR(D822)))</f>
        <v>0</v>
      </c>
      <c r="X822" s="37">
        <f>IF(B822="","",ROUND(U822/60,2))</f>
        <v>0</v>
      </c>
      <c r="Y822" s="26">
        <f>IF(B822="","",IF(L822&lt;&gt;"",L822,IFERROR(INDEX(Services!$G$5:$G$204,MATCH(G822,Services!$A$5:$A$204,0))*1,0)))</f>
        <v>0</v>
      </c>
      <c r="Z822" s="26">
        <f>IF(B822="","",IF(O822&lt;&gt;"",O822,IF(Y822&gt;=DepositThreshold,ROUND(Y822*DepositPercent,2),0)))</f>
        <v>0</v>
      </c>
      <c r="AA822" s="26">
        <f>IF(B822="","",ROUND(SUMIFS(Payments!$G$5:$G$1204,Payments!$I$5:$I$1204,A822,Payments!$E$5:$E$1204,"Deposit"),2))</f>
        <v>0</v>
      </c>
      <c r="AB822" s="26">
        <f>IF(B822="","",ROUND(SUMIFS(Sales!$Y$5:$Y$1204,Sales!$C$5:$C$1204,A822),2))</f>
        <v>0</v>
      </c>
      <c r="AC822" s="38">
        <f>IF(B822="","",IF(M822="Completed","Yes",IF(M822="Cancelled","Yes",IF(M822="No show","Yes","No"))))</f>
        <v>0</v>
      </c>
      <c r="AD822" s="25">
        <f>IF(B822="","",IF(AE822="","",B822-AE822))</f>
        <v>0</v>
      </c>
      <c r="AF822" s="38">
        <f>IF(B822="","",IF(M822&lt;&gt;"Completed","",IF(E822="","No",IF(COUNTIFS(Appointments!$E$5:$E$1204,E822,Appointments!$B$5:$B$1204,"&gt;"&amp;B822,Appointments!$M$5:$M$1204,"&lt;&gt;Cancelled")&gt;0,"Yes","No"))))</f>
        <v>0</v>
      </c>
      <c r="AG822" s="38">
        <f>IF(B822="","",IF(I822="","",IF(D822="","",IF(COUNTIFS($I$5:$I$1204,I822,$B$5:$B$1204,B822,$D$5:$D$1204,"&lt;"&amp;V822,$V$5:$V$1204,"&gt;"&amp;D822,$M$5:$M$1204,"&lt;&gt;Cancelled")&gt;1,"Clash",""))))</f>
        <v>0</v>
      </c>
      <c r="AH822" s="39">
        <f>IF(B822="","",IF(AG822="Clash","Clash - stylist double booked",IF(I822="","Assign - no stylist yet",IF(G822="","Add - no service chosen",IF(M822="No show","No show - charge the fee?",IF(M822="Cancelled","",IF(IF(M822="Completed",AB822&lt;Y822-0.004,FALSE),"Unpaid - nothing rung up for this visit",IF(IF(B822&lt;TodayDate,M822="Booked",FALSE),"Overdue - past date, still only Booked",IF(IF(B822=TodayDate,TRUE,FALSE),"Today",IF(IF(Z822&gt;0,AA822&lt;Z822-0.004,FALSE),"Due - deposit not taken",IF(IF(B822&gt;TodayDate,B822&lt;=TodayDate+2,FALSE),"Confirm - coming up","OK")))))))))))</f>
        <v>0</v>
      </c>
    </row>
    <row r="823" spans="1:34">
      <c r="A823" s="28">
        <f>IF(B823="","",AppointmentPrefix&amp;TEXT(ROW()-4,"0000"))</f>
        <v>0</v>
      </c>
      <c r="C823" s="15">
        <f>IF(B823="","",TEXT(B823,"ddd"))</f>
        <v>0</v>
      </c>
      <c r="F823" s="15">
        <f>IF(E823="","",IFERROR(INDEX(Clients!$B$5:$B$504,MATCH(E823,Clients!$A$5:$A$504,0)),"Walk-in"))</f>
        <v>0</v>
      </c>
      <c r="H823" s="15">
        <f>IF(G823="","",IFERROR(INDEX(Services!$B$5:$B$204,MATCH(G823,Services!$A$5:$A$204,0)),"Not in Services"))</f>
        <v>0</v>
      </c>
      <c r="J823" s="15">
        <f>IF(I823="","",IFERROR(INDEX(Staff!$B$5:$B$44,MATCH(I823,Staff!$A$5:$A$44,0)),"Unassigned"))</f>
        <v>0</v>
      </c>
      <c r="S823" s="15">
        <f>IF(B823="","",TEXT(B823,"yyyy-mm"))</f>
        <v>0</v>
      </c>
      <c r="T823" s="25">
        <f>IF(B823="","",WEEKNUM(B823,2))</f>
        <v>0</v>
      </c>
      <c r="U823" s="25">
        <f>IF(B823="","",IF(K823&lt;&gt;"",K823,IFERROR(INDEX(Services!$E$5:$E$204,MATCH(G823,Services!$A$5:$A$204,0))*1,0)+IFERROR(INDEX(Services!$F$5:$F$204,MATCH(G823,Services!$A$5:$A$204,0))*1,0)))</f>
        <v>0</v>
      </c>
      <c r="V823" s="36">
        <f>IF(B823="","",IF(D823="","",D823+U823/1440))</f>
        <v>0</v>
      </c>
      <c r="W823" s="25">
        <f>IF(B823="","",IF(D823="","",HOUR(D823)))</f>
        <v>0</v>
      </c>
      <c r="X823" s="37">
        <f>IF(B823="","",ROUND(U823/60,2))</f>
        <v>0</v>
      </c>
      <c r="Y823" s="26">
        <f>IF(B823="","",IF(L823&lt;&gt;"",L823,IFERROR(INDEX(Services!$G$5:$G$204,MATCH(G823,Services!$A$5:$A$204,0))*1,0)))</f>
        <v>0</v>
      </c>
      <c r="Z823" s="26">
        <f>IF(B823="","",IF(O823&lt;&gt;"",O823,IF(Y823&gt;=DepositThreshold,ROUND(Y823*DepositPercent,2),0)))</f>
        <v>0</v>
      </c>
      <c r="AA823" s="26">
        <f>IF(B823="","",ROUND(SUMIFS(Payments!$G$5:$G$1204,Payments!$I$5:$I$1204,A823,Payments!$E$5:$E$1204,"Deposit"),2))</f>
        <v>0</v>
      </c>
      <c r="AB823" s="26">
        <f>IF(B823="","",ROUND(SUMIFS(Sales!$Y$5:$Y$1204,Sales!$C$5:$C$1204,A823),2))</f>
        <v>0</v>
      </c>
      <c r="AC823" s="38">
        <f>IF(B823="","",IF(M823="Completed","Yes",IF(M823="Cancelled","Yes",IF(M823="No show","Yes","No"))))</f>
        <v>0</v>
      </c>
      <c r="AD823" s="25">
        <f>IF(B823="","",IF(AE823="","",B823-AE823))</f>
        <v>0</v>
      </c>
      <c r="AF823" s="38">
        <f>IF(B823="","",IF(M823&lt;&gt;"Completed","",IF(E823="","No",IF(COUNTIFS(Appointments!$E$5:$E$1204,E823,Appointments!$B$5:$B$1204,"&gt;"&amp;B823,Appointments!$M$5:$M$1204,"&lt;&gt;Cancelled")&gt;0,"Yes","No"))))</f>
        <v>0</v>
      </c>
      <c r="AG823" s="38">
        <f>IF(B823="","",IF(I823="","",IF(D823="","",IF(COUNTIFS($I$5:$I$1204,I823,$B$5:$B$1204,B823,$D$5:$D$1204,"&lt;"&amp;V823,$V$5:$V$1204,"&gt;"&amp;D823,$M$5:$M$1204,"&lt;&gt;Cancelled")&gt;1,"Clash",""))))</f>
        <v>0</v>
      </c>
      <c r="AH823" s="39">
        <f>IF(B823="","",IF(AG823="Clash","Clash - stylist double booked",IF(I823="","Assign - no stylist yet",IF(G823="","Add - no service chosen",IF(M823="No show","No show - charge the fee?",IF(M823="Cancelled","",IF(IF(M823="Completed",AB823&lt;Y823-0.004,FALSE),"Unpaid - nothing rung up for this visit",IF(IF(B823&lt;TodayDate,M823="Booked",FALSE),"Overdue - past date, still only Booked",IF(IF(B823=TodayDate,TRUE,FALSE),"Today",IF(IF(Z823&gt;0,AA823&lt;Z823-0.004,FALSE),"Due - deposit not taken",IF(IF(B823&gt;TodayDate,B823&lt;=TodayDate+2,FALSE),"Confirm - coming up","OK")))))))))))</f>
        <v>0</v>
      </c>
    </row>
    <row r="824" spans="1:34">
      <c r="A824" s="28">
        <f>IF(B824="","",AppointmentPrefix&amp;TEXT(ROW()-4,"0000"))</f>
        <v>0</v>
      </c>
      <c r="C824" s="15">
        <f>IF(B824="","",TEXT(B824,"ddd"))</f>
        <v>0</v>
      </c>
      <c r="F824" s="15">
        <f>IF(E824="","",IFERROR(INDEX(Clients!$B$5:$B$504,MATCH(E824,Clients!$A$5:$A$504,0)),"Walk-in"))</f>
        <v>0</v>
      </c>
      <c r="H824" s="15">
        <f>IF(G824="","",IFERROR(INDEX(Services!$B$5:$B$204,MATCH(G824,Services!$A$5:$A$204,0)),"Not in Services"))</f>
        <v>0</v>
      </c>
      <c r="J824" s="15">
        <f>IF(I824="","",IFERROR(INDEX(Staff!$B$5:$B$44,MATCH(I824,Staff!$A$5:$A$44,0)),"Unassigned"))</f>
        <v>0</v>
      </c>
      <c r="S824" s="15">
        <f>IF(B824="","",TEXT(B824,"yyyy-mm"))</f>
        <v>0</v>
      </c>
      <c r="T824" s="25">
        <f>IF(B824="","",WEEKNUM(B824,2))</f>
        <v>0</v>
      </c>
      <c r="U824" s="25">
        <f>IF(B824="","",IF(K824&lt;&gt;"",K824,IFERROR(INDEX(Services!$E$5:$E$204,MATCH(G824,Services!$A$5:$A$204,0))*1,0)+IFERROR(INDEX(Services!$F$5:$F$204,MATCH(G824,Services!$A$5:$A$204,0))*1,0)))</f>
        <v>0</v>
      </c>
      <c r="V824" s="36">
        <f>IF(B824="","",IF(D824="","",D824+U824/1440))</f>
        <v>0</v>
      </c>
      <c r="W824" s="25">
        <f>IF(B824="","",IF(D824="","",HOUR(D824)))</f>
        <v>0</v>
      </c>
      <c r="X824" s="37">
        <f>IF(B824="","",ROUND(U824/60,2))</f>
        <v>0</v>
      </c>
      <c r="Y824" s="26">
        <f>IF(B824="","",IF(L824&lt;&gt;"",L824,IFERROR(INDEX(Services!$G$5:$G$204,MATCH(G824,Services!$A$5:$A$204,0))*1,0)))</f>
        <v>0</v>
      </c>
      <c r="Z824" s="26">
        <f>IF(B824="","",IF(O824&lt;&gt;"",O824,IF(Y824&gt;=DepositThreshold,ROUND(Y824*DepositPercent,2),0)))</f>
        <v>0</v>
      </c>
      <c r="AA824" s="26">
        <f>IF(B824="","",ROUND(SUMIFS(Payments!$G$5:$G$1204,Payments!$I$5:$I$1204,A824,Payments!$E$5:$E$1204,"Deposit"),2))</f>
        <v>0</v>
      </c>
      <c r="AB824" s="26">
        <f>IF(B824="","",ROUND(SUMIFS(Sales!$Y$5:$Y$1204,Sales!$C$5:$C$1204,A824),2))</f>
        <v>0</v>
      </c>
      <c r="AC824" s="38">
        <f>IF(B824="","",IF(M824="Completed","Yes",IF(M824="Cancelled","Yes",IF(M824="No show","Yes","No"))))</f>
        <v>0</v>
      </c>
      <c r="AD824" s="25">
        <f>IF(B824="","",IF(AE824="","",B824-AE824))</f>
        <v>0</v>
      </c>
      <c r="AF824" s="38">
        <f>IF(B824="","",IF(M824&lt;&gt;"Completed","",IF(E824="","No",IF(COUNTIFS(Appointments!$E$5:$E$1204,E824,Appointments!$B$5:$B$1204,"&gt;"&amp;B824,Appointments!$M$5:$M$1204,"&lt;&gt;Cancelled")&gt;0,"Yes","No"))))</f>
        <v>0</v>
      </c>
      <c r="AG824" s="38">
        <f>IF(B824="","",IF(I824="","",IF(D824="","",IF(COUNTIFS($I$5:$I$1204,I824,$B$5:$B$1204,B824,$D$5:$D$1204,"&lt;"&amp;V824,$V$5:$V$1204,"&gt;"&amp;D824,$M$5:$M$1204,"&lt;&gt;Cancelled")&gt;1,"Clash",""))))</f>
        <v>0</v>
      </c>
      <c r="AH824" s="39">
        <f>IF(B824="","",IF(AG824="Clash","Clash - stylist double booked",IF(I824="","Assign - no stylist yet",IF(G824="","Add - no service chosen",IF(M824="No show","No show - charge the fee?",IF(M824="Cancelled","",IF(IF(M824="Completed",AB824&lt;Y824-0.004,FALSE),"Unpaid - nothing rung up for this visit",IF(IF(B824&lt;TodayDate,M824="Booked",FALSE),"Overdue - past date, still only Booked",IF(IF(B824=TodayDate,TRUE,FALSE),"Today",IF(IF(Z824&gt;0,AA824&lt;Z824-0.004,FALSE),"Due - deposit not taken",IF(IF(B824&gt;TodayDate,B824&lt;=TodayDate+2,FALSE),"Confirm - coming up","OK")))))))))))</f>
        <v>0</v>
      </c>
    </row>
    <row r="825" spans="1:34">
      <c r="A825" s="28">
        <f>IF(B825="","",AppointmentPrefix&amp;TEXT(ROW()-4,"0000"))</f>
        <v>0</v>
      </c>
      <c r="C825" s="15">
        <f>IF(B825="","",TEXT(B825,"ddd"))</f>
        <v>0</v>
      </c>
      <c r="F825" s="15">
        <f>IF(E825="","",IFERROR(INDEX(Clients!$B$5:$B$504,MATCH(E825,Clients!$A$5:$A$504,0)),"Walk-in"))</f>
        <v>0</v>
      </c>
      <c r="H825" s="15">
        <f>IF(G825="","",IFERROR(INDEX(Services!$B$5:$B$204,MATCH(G825,Services!$A$5:$A$204,0)),"Not in Services"))</f>
        <v>0</v>
      </c>
      <c r="J825" s="15">
        <f>IF(I825="","",IFERROR(INDEX(Staff!$B$5:$B$44,MATCH(I825,Staff!$A$5:$A$44,0)),"Unassigned"))</f>
        <v>0</v>
      </c>
      <c r="S825" s="15">
        <f>IF(B825="","",TEXT(B825,"yyyy-mm"))</f>
        <v>0</v>
      </c>
      <c r="T825" s="25">
        <f>IF(B825="","",WEEKNUM(B825,2))</f>
        <v>0</v>
      </c>
      <c r="U825" s="25">
        <f>IF(B825="","",IF(K825&lt;&gt;"",K825,IFERROR(INDEX(Services!$E$5:$E$204,MATCH(G825,Services!$A$5:$A$204,0))*1,0)+IFERROR(INDEX(Services!$F$5:$F$204,MATCH(G825,Services!$A$5:$A$204,0))*1,0)))</f>
        <v>0</v>
      </c>
      <c r="V825" s="36">
        <f>IF(B825="","",IF(D825="","",D825+U825/1440))</f>
        <v>0</v>
      </c>
      <c r="W825" s="25">
        <f>IF(B825="","",IF(D825="","",HOUR(D825)))</f>
        <v>0</v>
      </c>
      <c r="X825" s="37">
        <f>IF(B825="","",ROUND(U825/60,2))</f>
        <v>0</v>
      </c>
      <c r="Y825" s="26">
        <f>IF(B825="","",IF(L825&lt;&gt;"",L825,IFERROR(INDEX(Services!$G$5:$G$204,MATCH(G825,Services!$A$5:$A$204,0))*1,0)))</f>
        <v>0</v>
      </c>
      <c r="Z825" s="26">
        <f>IF(B825="","",IF(O825&lt;&gt;"",O825,IF(Y825&gt;=DepositThreshold,ROUND(Y825*DepositPercent,2),0)))</f>
        <v>0</v>
      </c>
      <c r="AA825" s="26">
        <f>IF(B825="","",ROUND(SUMIFS(Payments!$G$5:$G$1204,Payments!$I$5:$I$1204,A825,Payments!$E$5:$E$1204,"Deposit"),2))</f>
        <v>0</v>
      </c>
      <c r="AB825" s="26">
        <f>IF(B825="","",ROUND(SUMIFS(Sales!$Y$5:$Y$1204,Sales!$C$5:$C$1204,A825),2))</f>
        <v>0</v>
      </c>
      <c r="AC825" s="38">
        <f>IF(B825="","",IF(M825="Completed","Yes",IF(M825="Cancelled","Yes",IF(M825="No show","Yes","No"))))</f>
        <v>0</v>
      </c>
      <c r="AD825" s="25">
        <f>IF(B825="","",IF(AE825="","",B825-AE825))</f>
        <v>0</v>
      </c>
      <c r="AF825" s="38">
        <f>IF(B825="","",IF(M825&lt;&gt;"Completed","",IF(E825="","No",IF(COUNTIFS(Appointments!$E$5:$E$1204,E825,Appointments!$B$5:$B$1204,"&gt;"&amp;B825,Appointments!$M$5:$M$1204,"&lt;&gt;Cancelled")&gt;0,"Yes","No"))))</f>
        <v>0</v>
      </c>
      <c r="AG825" s="38">
        <f>IF(B825="","",IF(I825="","",IF(D825="","",IF(COUNTIFS($I$5:$I$1204,I825,$B$5:$B$1204,B825,$D$5:$D$1204,"&lt;"&amp;V825,$V$5:$V$1204,"&gt;"&amp;D825,$M$5:$M$1204,"&lt;&gt;Cancelled")&gt;1,"Clash",""))))</f>
        <v>0</v>
      </c>
      <c r="AH825" s="39">
        <f>IF(B825="","",IF(AG825="Clash","Clash - stylist double booked",IF(I825="","Assign - no stylist yet",IF(G825="","Add - no service chosen",IF(M825="No show","No show - charge the fee?",IF(M825="Cancelled","",IF(IF(M825="Completed",AB825&lt;Y825-0.004,FALSE),"Unpaid - nothing rung up for this visit",IF(IF(B825&lt;TodayDate,M825="Booked",FALSE),"Overdue - past date, still only Booked",IF(IF(B825=TodayDate,TRUE,FALSE),"Today",IF(IF(Z825&gt;0,AA825&lt;Z825-0.004,FALSE),"Due - deposit not taken",IF(IF(B825&gt;TodayDate,B825&lt;=TodayDate+2,FALSE),"Confirm - coming up","OK")))))))))))</f>
        <v>0</v>
      </c>
    </row>
    <row r="826" spans="1:34">
      <c r="A826" s="28">
        <f>IF(B826="","",AppointmentPrefix&amp;TEXT(ROW()-4,"0000"))</f>
        <v>0</v>
      </c>
      <c r="C826" s="15">
        <f>IF(B826="","",TEXT(B826,"ddd"))</f>
        <v>0</v>
      </c>
      <c r="F826" s="15">
        <f>IF(E826="","",IFERROR(INDEX(Clients!$B$5:$B$504,MATCH(E826,Clients!$A$5:$A$504,0)),"Walk-in"))</f>
        <v>0</v>
      </c>
      <c r="H826" s="15">
        <f>IF(G826="","",IFERROR(INDEX(Services!$B$5:$B$204,MATCH(G826,Services!$A$5:$A$204,0)),"Not in Services"))</f>
        <v>0</v>
      </c>
      <c r="J826" s="15">
        <f>IF(I826="","",IFERROR(INDEX(Staff!$B$5:$B$44,MATCH(I826,Staff!$A$5:$A$44,0)),"Unassigned"))</f>
        <v>0</v>
      </c>
      <c r="S826" s="15">
        <f>IF(B826="","",TEXT(B826,"yyyy-mm"))</f>
        <v>0</v>
      </c>
      <c r="T826" s="25">
        <f>IF(B826="","",WEEKNUM(B826,2))</f>
        <v>0</v>
      </c>
      <c r="U826" s="25">
        <f>IF(B826="","",IF(K826&lt;&gt;"",K826,IFERROR(INDEX(Services!$E$5:$E$204,MATCH(G826,Services!$A$5:$A$204,0))*1,0)+IFERROR(INDEX(Services!$F$5:$F$204,MATCH(G826,Services!$A$5:$A$204,0))*1,0)))</f>
        <v>0</v>
      </c>
      <c r="V826" s="36">
        <f>IF(B826="","",IF(D826="","",D826+U826/1440))</f>
        <v>0</v>
      </c>
      <c r="W826" s="25">
        <f>IF(B826="","",IF(D826="","",HOUR(D826)))</f>
        <v>0</v>
      </c>
      <c r="X826" s="37">
        <f>IF(B826="","",ROUND(U826/60,2))</f>
        <v>0</v>
      </c>
      <c r="Y826" s="26">
        <f>IF(B826="","",IF(L826&lt;&gt;"",L826,IFERROR(INDEX(Services!$G$5:$G$204,MATCH(G826,Services!$A$5:$A$204,0))*1,0)))</f>
        <v>0</v>
      </c>
      <c r="Z826" s="26">
        <f>IF(B826="","",IF(O826&lt;&gt;"",O826,IF(Y826&gt;=DepositThreshold,ROUND(Y826*DepositPercent,2),0)))</f>
        <v>0</v>
      </c>
      <c r="AA826" s="26">
        <f>IF(B826="","",ROUND(SUMIFS(Payments!$G$5:$G$1204,Payments!$I$5:$I$1204,A826,Payments!$E$5:$E$1204,"Deposit"),2))</f>
        <v>0</v>
      </c>
      <c r="AB826" s="26">
        <f>IF(B826="","",ROUND(SUMIFS(Sales!$Y$5:$Y$1204,Sales!$C$5:$C$1204,A826),2))</f>
        <v>0</v>
      </c>
      <c r="AC826" s="38">
        <f>IF(B826="","",IF(M826="Completed","Yes",IF(M826="Cancelled","Yes",IF(M826="No show","Yes","No"))))</f>
        <v>0</v>
      </c>
      <c r="AD826" s="25">
        <f>IF(B826="","",IF(AE826="","",B826-AE826))</f>
        <v>0</v>
      </c>
      <c r="AF826" s="38">
        <f>IF(B826="","",IF(M826&lt;&gt;"Completed","",IF(E826="","No",IF(COUNTIFS(Appointments!$E$5:$E$1204,E826,Appointments!$B$5:$B$1204,"&gt;"&amp;B826,Appointments!$M$5:$M$1204,"&lt;&gt;Cancelled")&gt;0,"Yes","No"))))</f>
        <v>0</v>
      </c>
      <c r="AG826" s="38">
        <f>IF(B826="","",IF(I826="","",IF(D826="","",IF(COUNTIFS($I$5:$I$1204,I826,$B$5:$B$1204,B826,$D$5:$D$1204,"&lt;"&amp;V826,$V$5:$V$1204,"&gt;"&amp;D826,$M$5:$M$1204,"&lt;&gt;Cancelled")&gt;1,"Clash",""))))</f>
        <v>0</v>
      </c>
      <c r="AH826" s="39">
        <f>IF(B826="","",IF(AG826="Clash","Clash - stylist double booked",IF(I826="","Assign - no stylist yet",IF(G826="","Add - no service chosen",IF(M826="No show","No show - charge the fee?",IF(M826="Cancelled","",IF(IF(M826="Completed",AB826&lt;Y826-0.004,FALSE),"Unpaid - nothing rung up for this visit",IF(IF(B826&lt;TodayDate,M826="Booked",FALSE),"Overdue - past date, still only Booked",IF(IF(B826=TodayDate,TRUE,FALSE),"Today",IF(IF(Z826&gt;0,AA826&lt;Z826-0.004,FALSE),"Due - deposit not taken",IF(IF(B826&gt;TodayDate,B826&lt;=TodayDate+2,FALSE),"Confirm - coming up","OK")))))))))))</f>
        <v>0</v>
      </c>
    </row>
    <row r="827" spans="1:34">
      <c r="A827" s="28">
        <f>IF(B827="","",AppointmentPrefix&amp;TEXT(ROW()-4,"0000"))</f>
        <v>0</v>
      </c>
      <c r="C827" s="15">
        <f>IF(B827="","",TEXT(B827,"ddd"))</f>
        <v>0</v>
      </c>
      <c r="F827" s="15">
        <f>IF(E827="","",IFERROR(INDEX(Clients!$B$5:$B$504,MATCH(E827,Clients!$A$5:$A$504,0)),"Walk-in"))</f>
        <v>0</v>
      </c>
      <c r="H827" s="15">
        <f>IF(G827="","",IFERROR(INDEX(Services!$B$5:$B$204,MATCH(G827,Services!$A$5:$A$204,0)),"Not in Services"))</f>
        <v>0</v>
      </c>
      <c r="J827" s="15">
        <f>IF(I827="","",IFERROR(INDEX(Staff!$B$5:$B$44,MATCH(I827,Staff!$A$5:$A$44,0)),"Unassigned"))</f>
        <v>0</v>
      </c>
      <c r="S827" s="15">
        <f>IF(B827="","",TEXT(B827,"yyyy-mm"))</f>
        <v>0</v>
      </c>
      <c r="T827" s="25">
        <f>IF(B827="","",WEEKNUM(B827,2))</f>
        <v>0</v>
      </c>
      <c r="U827" s="25">
        <f>IF(B827="","",IF(K827&lt;&gt;"",K827,IFERROR(INDEX(Services!$E$5:$E$204,MATCH(G827,Services!$A$5:$A$204,0))*1,0)+IFERROR(INDEX(Services!$F$5:$F$204,MATCH(G827,Services!$A$5:$A$204,0))*1,0)))</f>
        <v>0</v>
      </c>
      <c r="V827" s="36">
        <f>IF(B827="","",IF(D827="","",D827+U827/1440))</f>
        <v>0</v>
      </c>
      <c r="W827" s="25">
        <f>IF(B827="","",IF(D827="","",HOUR(D827)))</f>
        <v>0</v>
      </c>
      <c r="X827" s="37">
        <f>IF(B827="","",ROUND(U827/60,2))</f>
        <v>0</v>
      </c>
      <c r="Y827" s="26">
        <f>IF(B827="","",IF(L827&lt;&gt;"",L827,IFERROR(INDEX(Services!$G$5:$G$204,MATCH(G827,Services!$A$5:$A$204,0))*1,0)))</f>
        <v>0</v>
      </c>
      <c r="Z827" s="26">
        <f>IF(B827="","",IF(O827&lt;&gt;"",O827,IF(Y827&gt;=DepositThreshold,ROUND(Y827*DepositPercent,2),0)))</f>
        <v>0</v>
      </c>
      <c r="AA827" s="26">
        <f>IF(B827="","",ROUND(SUMIFS(Payments!$G$5:$G$1204,Payments!$I$5:$I$1204,A827,Payments!$E$5:$E$1204,"Deposit"),2))</f>
        <v>0</v>
      </c>
      <c r="AB827" s="26">
        <f>IF(B827="","",ROUND(SUMIFS(Sales!$Y$5:$Y$1204,Sales!$C$5:$C$1204,A827),2))</f>
        <v>0</v>
      </c>
      <c r="AC827" s="38">
        <f>IF(B827="","",IF(M827="Completed","Yes",IF(M827="Cancelled","Yes",IF(M827="No show","Yes","No"))))</f>
        <v>0</v>
      </c>
      <c r="AD827" s="25">
        <f>IF(B827="","",IF(AE827="","",B827-AE827))</f>
        <v>0</v>
      </c>
      <c r="AF827" s="38">
        <f>IF(B827="","",IF(M827&lt;&gt;"Completed","",IF(E827="","No",IF(COUNTIFS(Appointments!$E$5:$E$1204,E827,Appointments!$B$5:$B$1204,"&gt;"&amp;B827,Appointments!$M$5:$M$1204,"&lt;&gt;Cancelled")&gt;0,"Yes","No"))))</f>
        <v>0</v>
      </c>
      <c r="AG827" s="38">
        <f>IF(B827="","",IF(I827="","",IF(D827="","",IF(COUNTIFS($I$5:$I$1204,I827,$B$5:$B$1204,B827,$D$5:$D$1204,"&lt;"&amp;V827,$V$5:$V$1204,"&gt;"&amp;D827,$M$5:$M$1204,"&lt;&gt;Cancelled")&gt;1,"Clash",""))))</f>
        <v>0</v>
      </c>
      <c r="AH827" s="39">
        <f>IF(B827="","",IF(AG827="Clash","Clash - stylist double booked",IF(I827="","Assign - no stylist yet",IF(G827="","Add - no service chosen",IF(M827="No show","No show - charge the fee?",IF(M827="Cancelled","",IF(IF(M827="Completed",AB827&lt;Y827-0.004,FALSE),"Unpaid - nothing rung up for this visit",IF(IF(B827&lt;TodayDate,M827="Booked",FALSE),"Overdue - past date, still only Booked",IF(IF(B827=TodayDate,TRUE,FALSE),"Today",IF(IF(Z827&gt;0,AA827&lt;Z827-0.004,FALSE),"Due - deposit not taken",IF(IF(B827&gt;TodayDate,B827&lt;=TodayDate+2,FALSE),"Confirm - coming up","OK")))))))))))</f>
        <v>0</v>
      </c>
    </row>
    <row r="828" spans="1:34">
      <c r="A828" s="28">
        <f>IF(B828="","",AppointmentPrefix&amp;TEXT(ROW()-4,"0000"))</f>
        <v>0</v>
      </c>
      <c r="C828" s="15">
        <f>IF(B828="","",TEXT(B828,"ddd"))</f>
        <v>0</v>
      </c>
      <c r="F828" s="15">
        <f>IF(E828="","",IFERROR(INDEX(Clients!$B$5:$B$504,MATCH(E828,Clients!$A$5:$A$504,0)),"Walk-in"))</f>
        <v>0</v>
      </c>
      <c r="H828" s="15">
        <f>IF(G828="","",IFERROR(INDEX(Services!$B$5:$B$204,MATCH(G828,Services!$A$5:$A$204,0)),"Not in Services"))</f>
        <v>0</v>
      </c>
      <c r="J828" s="15">
        <f>IF(I828="","",IFERROR(INDEX(Staff!$B$5:$B$44,MATCH(I828,Staff!$A$5:$A$44,0)),"Unassigned"))</f>
        <v>0</v>
      </c>
      <c r="S828" s="15">
        <f>IF(B828="","",TEXT(B828,"yyyy-mm"))</f>
        <v>0</v>
      </c>
      <c r="T828" s="25">
        <f>IF(B828="","",WEEKNUM(B828,2))</f>
        <v>0</v>
      </c>
      <c r="U828" s="25">
        <f>IF(B828="","",IF(K828&lt;&gt;"",K828,IFERROR(INDEX(Services!$E$5:$E$204,MATCH(G828,Services!$A$5:$A$204,0))*1,0)+IFERROR(INDEX(Services!$F$5:$F$204,MATCH(G828,Services!$A$5:$A$204,0))*1,0)))</f>
        <v>0</v>
      </c>
      <c r="V828" s="36">
        <f>IF(B828="","",IF(D828="","",D828+U828/1440))</f>
        <v>0</v>
      </c>
      <c r="W828" s="25">
        <f>IF(B828="","",IF(D828="","",HOUR(D828)))</f>
        <v>0</v>
      </c>
      <c r="X828" s="37">
        <f>IF(B828="","",ROUND(U828/60,2))</f>
        <v>0</v>
      </c>
      <c r="Y828" s="26">
        <f>IF(B828="","",IF(L828&lt;&gt;"",L828,IFERROR(INDEX(Services!$G$5:$G$204,MATCH(G828,Services!$A$5:$A$204,0))*1,0)))</f>
        <v>0</v>
      </c>
      <c r="Z828" s="26">
        <f>IF(B828="","",IF(O828&lt;&gt;"",O828,IF(Y828&gt;=DepositThreshold,ROUND(Y828*DepositPercent,2),0)))</f>
        <v>0</v>
      </c>
      <c r="AA828" s="26">
        <f>IF(B828="","",ROUND(SUMIFS(Payments!$G$5:$G$1204,Payments!$I$5:$I$1204,A828,Payments!$E$5:$E$1204,"Deposit"),2))</f>
        <v>0</v>
      </c>
      <c r="AB828" s="26">
        <f>IF(B828="","",ROUND(SUMIFS(Sales!$Y$5:$Y$1204,Sales!$C$5:$C$1204,A828),2))</f>
        <v>0</v>
      </c>
      <c r="AC828" s="38">
        <f>IF(B828="","",IF(M828="Completed","Yes",IF(M828="Cancelled","Yes",IF(M828="No show","Yes","No"))))</f>
        <v>0</v>
      </c>
      <c r="AD828" s="25">
        <f>IF(B828="","",IF(AE828="","",B828-AE828))</f>
        <v>0</v>
      </c>
      <c r="AF828" s="38">
        <f>IF(B828="","",IF(M828&lt;&gt;"Completed","",IF(E828="","No",IF(COUNTIFS(Appointments!$E$5:$E$1204,E828,Appointments!$B$5:$B$1204,"&gt;"&amp;B828,Appointments!$M$5:$M$1204,"&lt;&gt;Cancelled")&gt;0,"Yes","No"))))</f>
        <v>0</v>
      </c>
      <c r="AG828" s="38">
        <f>IF(B828="","",IF(I828="","",IF(D828="","",IF(COUNTIFS($I$5:$I$1204,I828,$B$5:$B$1204,B828,$D$5:$D$1204,"&lt;"&amp;V828,$V$5:$V$1204,"&gt;"&amp;D828,$M$5:$M$1204,"&lt;&gt;Cancelled")&gt;1,"Clash",""))))</f>
        <v>0</v>
      </c>
      <c r="AH828" s="39">
        <f>IF(B828="","",IF(AG828="Clash","Clash - stylist double booked",IF(I828="","Assign - no stylist yet",IF(G828="","Add - no service chosen",IF(M828="No show","No show - charge the fee?",IF(M828="Cancelled","",IF(IF(M828="Completed",AB828&lt;Y828-0.004,FALSE),"Unpaid - nothing rung up for this visit",IF(IF(B828&lt;TodayDate,M828="Booked",FALSE),"Overdue - past date, still only Booked",IF(IF(B828=TodayDate,TRUE,FALSE),"Today",IF(IF(Z828&gt;0,AA828&lt;Z828-0.004,FALSE),"Due - deposit not taken",IF(IF(B828&gt;TodayDate,B828&lt;=TodayDate+2,FALSE),"Confirm - coming up","OK")))))))))))</f>
        <v>0</v>
      </c>
    </row>
    <row r="829" spans="1:34">
      <c r="A829" s="28">
        <f>IF(B829="","",AppointmentPrefix&amp;TEXT(ROW()-4,"0000"))</f>
        <v>0</v>
      </c>
      <c r="C829" s="15">
        <f>IF(B829="","",TEXT(B829,"ddd"))</f>
        <v>0</v>
      </c>
      <c r="F829" s="15">
        <f>IF(E829="","",IFERROR(INDEX(Clients!$B$5:$B$504,MATCH(E829,Clients!$A$5:$A$504,0)),"Walk-in"))</f>
        <v>0</v>
      </c>
      <c r="H829" s="15">
        <f>IF(G829="","",IFERROR(INDEX(Services!$B$5:$B$204,MATCH(G829,Services!$A$5:$A$204,0)),"Not in Services"))</f>
        <v>0</v>
      </c>
      <c r="J829" s="15">
        <f>IF(I829="","",IFERROR(INDEX(Staff!$B$5:$B$44,MATCH(I829,Staff!$A$5:$A$44,0)),"Unassigned"))</f>
        <v>0</v>
      </c>
      <c r="S829" s="15">
        <f>IF(B829="","",TEXT(B829,"yyyy-mm"))</f>
        <v>0</v>
      </c>
      <c r="T829" s="25">
        <f>IF(B829="","",WEEKNUM(B829,2))</f>
        <v>0</v>
      </c>
      <c r="U829" s="25">
        <f>IF(B829="","",IF(K829&lt;&gt;"",K829,IFERROR(INDEX(Services!$E$5:$E$204,MATCH(G829,Services!$A$5:$A$204,0))*1,0)+IFERROR(INDEX(Services!$F$5:$F$204,MATCH(G829,Services!$A$5:$A$204,0))*1,0)))</f>
        <v>0</v>
      </c>
      <c r="V829" s="36">
        <f>IF(B829="","",IF(D829="","",D829+U829/1440))</f>
        <v>0</v>
      </c>
      <c r="W829" s="25">
        <f>IF(B829="","",IF(D829="","",HOUR(D829)))</f>
        <v>0</v>
      </c>
      <c r="X829" s="37">
        <f>IF(B829="","",ROUND(U829/60,2))</f>
        <v>0</v>
      </c>
      <c r="Y829" s="26">
        <f>IF(B829="","",IF(L829&lt;&gt;"",L829,IFERROR(INDEX(Services!$G$5:$G$204,MATCH(G829,Services!$A$5:$A$204,0))*1,0)))</f>
        <v>0</v>
      </c>
      <c r="Z829" s="26">
        <f>IF(B829="","",IF(O829&lt;&gt;"",O829,IF(Y829&gt;=DepositThreshold,ROUND(Y829*DepositPercent,2),0)))</f>
        <v>0</v>
      </c>
      <c r="AA829" s="26">
        <f>IF(B829="","",ROUND(SUMIFS(Payments!$G$5:$G$1204,Payments!$I$5:$I$1204,A829,Payments!$E$5:$E$1204,"Deposit"),2))</f>
        <v>0</v>
      </c>
      <c r="AB829" s="26">
        <f>IF(B829="","",ROUND(SUMIFS(Sales!$Y$5:$Y$1204,Sales!$C$5:$C$1204,A829),2))</f>
        <v>0</v>
      </c>
      <c r="AC829" s="38">
        <f>IF(B829="","",IF(M829="Completed","Yes",IF(M829="Cancelled","Yes",IF(M829="No show","Yes","No"))))</f>
        <v>0</v>
      </c>
      <c r="AD829" s="25">
        <f>IF(B829="","",IF(AE829="","",B829-AE829))</f>
        <v>0</v>
      </c>
      <c r="AF829" s="38">
        <f>IF(B829="","",IF(M829&lt;&gt;"Completed","",IF(E829="","No",IF(COUNTIFS(Appointments!$E$5:$E$1204,E829,Appointments!$B$5:$B$1204,"&gt;"&amp;B829,Appointments!$M$5:$M$1204,"&lt;&gt;Cancelled")&gt;0,"Yes","No"))))</f>
        <v>0</v>
      </c>
      <c r="AG829" s="38">
        <f>IF(B829="","",IF(I829="","",IF(D829="","",IF(COUNTIFS($I$5:$I$1204,I829,$B$5:$B$1204,B829,$D$5:$D$1204,"&lt;"&amp;V829,$V$5:$V$1204,"&gt;"&amp;D829,$M$5:$M$1204,"&lt;&gt;Cancelled")&gt;1,"Clash",""))))</f>
        <v>0</v>
      </c>
      <c r="AH829" s="39">
        <f>IF(B829="","",IF(AG829="Clash","Clash - stylist double booked",IF(I829="","Assign - no stylist yet",IF(G829="","Add - no service chosen",IF(M829="No show","No show - charge the fee?",IF(M829="Cancelled","",IF(IF(M829="Completed",AB829&lt;Y829-0.004,FALSE),"Unpaid - nothing rung up for this visit",IF(IF(B829&lt;TodayDate,M829="Booked",FALSE),"Overdue - past date, still only Booked",IF(IF(B829=TodayDate,TRUE,FALSE),"Today",IF(IF(Z829&gt;0,AA829&lt;Z829-0.004,FALSE),"Due - deposit not taken",IF(IF(B829&gt;TodayDate,B829&lt;=TodayDate+2,FALSE),"Confirm - coming up","OK")))))))))))</f>
        <v>0</v>
      </c>
    </row>
    <row r="830" spans="1:34">
      <c r="A830" s="28">
        <f>IF(B830="","",AppointmentPrefix&amp;TEXT(ROW()-4,"0000"))</f>
        <v>0</v>
      </c>
      <c r="C830" s="15">
        <f>IF(B830="","",TEXT(B830,"ddd"))</f>
        <v>0</v>
      </c>
      <c r="F830" s="15">
        <f>IF(E830="","",IFERROR(INDEX(Clients!$B$5:$B$504,MATCH(E830,Clients!$A$5:$A$504,0)),"Walk-in"))</f>
        <v>0</v>
      </c>
      <c r="H830" s="15">
        <f>IF(G830="","",IFERROR(INDEX(Services!$B$5:$B$204,MATCH(G830,Services!$A$5:$A$204,0)),"Not in Services"))</f>
        <v>0</v>
      </c>
      <c r="J830" s="15">
        <f>IF(I830="","",IFERROR(INDEX(Staff!$B$5:$B$44,MATCH(I830,Staff!$A$5:$A$44,0)),"Unassigned"))</f>
        <v>0</v>
      </c>
      <c r="S830" s="15">
        <f>IF(B830="","",TEXT(B830,"yyyy-mm"))</f>
        <v>0</v>
      </c>
      <c r="T830" s="25">
        <f>IF(B830="","",WEEKNUM(B830,2))</f>
        <v>0</v>
      </c>
      <c r="U830" s="25">
        <f>IF(B830="","",IF(K830&lt;&gt;"",K830,IFERROR(INDEX(Services!$E$5:$E$204,MATCH(G830,Services!$A$5:$A$204,0))*1,0)+IFERROR(INDEX(Services!$F$5:$F$204,MATCH(G830,Services!$A$5:$A$204,0))*1,0)))</f>
        <v>0</v>
      </c>
      <c r="V830" s="36">
        <f>IF(B830="","",IF(D830="","",D830+U830/1440))</f>
        <v>0</v>
      </c>
      <c r="W830" s="25">
        <f>IF(B830="","",IF(D830="","",HOUR(D830)))</f>
        <v>0</v>
      </c>
      <c r="X830" s="37">
        <f>IF(B830="","",ROUND(U830/60,2))</f>
        <v>0</v>
      </c>
      <c r="Y830" s="26">
        <f>IF(B830="","",IF(L830&lt;&gt;"",L830,IFERROR(INDEX(Services!$G$5:$G$204,MATCH(G830,Services!$A$5:$A$204,0))*1,0)))</f>
        <v>0</v>
      </c>
      <c r="Z830" s="26">
        <f>IF(B830="","",IF(O830&lt;&gt;"",O830,IF(Y830&gt;=DepositThreshold,ROUND(Y830*DepositPercent,2),0)))</f>
        <v>0</v>
      </c>
      <c r="AA830" s="26">
        <f>IF(B830="","",ROUND(SUMIFS(Payments!$G$5:$G$1204,Payments!$I$5:$I$1204,A830,Payments!$E$5:$E$1204,"Deposit"),2))</f>
        <v>0</v>
      </c>
      <c r="AB830" s="26">
        <f>IF(B830="","",ROUND(SUMIFS(Sales!$Y$5:$Y$1204,Sales!$C$5:$C$1204,A830),2))</f>
        <v>0</v>
      </c>
      <c r="AC830" s="38">
        <f>IF(B830="","",IF(M830="Completed","Yes",IF(M830="Cancelled","Yes",IF(M830="No show","Yes","No"))))</f>
        <v>0</v>
      </c>
      <c r="AD830" s="25">
        <f>IF(B830="","",IF(AE830="","",B830-AE830))</f>
        <v>0</v>
      </c>
      <c r="AF830" s="38">
        <f>IF(B830="","",IF(M830&lt;&gt;"Completed","",IF(E830="","No",IF(COUNTIFS(Appointments!$E$5:$E$1204,E830,Appointments!$B$5:$B$1204,"&gt;"&amp;B830,Appointments!$M$5:$M$1204,"&lt;&gt;Cancelled")&gt;0,"Yes","No"))))</f>
        <v>0</v>
      </c>
      <c r="AG830" s="38">
        <f>IF(B830="","",IF(I830="","",IF(D830="","",IF(COUNTIFS($I$5:$I$1204,I830,$B$5:$B$1204,B830,$D$5:$D$1204,"&lt;"&amp;V830,$V$5:$V$1204,"&gt;"&amp;D830,$M$5:$M$1204,"&lt;&gt;Cancelled")&gt;1,"Clash",""))))</f>
        <v>0</v>
      </c>
      <c r="AH830" s="39">
        <f>IF(B830="","",IF(AG830="Clash","Clash - stylist double booked",IF(I830="","Assign - no stylist yet",IF(G830="","Add - no service chosen",IF(M830="No show","No show - charge the fee?",IF(M830="Cancelled","",IF(IF(M830="Completed",AB830&lt;Y830-0.004,FALSE),"Unpaid - nothing rung up for this visit",IF(IF(B830&lt;TodayDate,M830="Booked",FALSE),"Overdue - past date, still only Booked",IF(IF(B830=TodayDate,TRUE,FALSE),"Today",IF(IF(Z830&gt;0,AA830&lt;Z830-0.004,FALSE),"Due - deposit not taken",IF(IF(B830&gt;TodayDate,B830&lt;=TodayDate+2,FALSE),"Confirm - coming up","OK")))))))))))</f>
        <v>0</v>
      </c>
    </row>
    <row r="831" spans="1:34">
      <c r="A831" s="28">
        <f>IF(B831="","",AppointmentPrefix&amp;TEXT(ROW()-4,"0000"))</f>
        <v>0</v>
      </c>
      <c r="C831" s="15">
        <f>IF(B831="","",TEXT(B831,"ddd"))</f>
        <v>0</v>
      </c>
      <c r="F831" s="15">
        <f>IF(E831="","",IFERROR(INDEX(Clients!$B$5:$B$504,MATCH(E831,Clients!$A$5:$A$504,0)),"Walk-in"))</f>
        <v>0</v>
      </c>
      <c r="H831" s="15">
        <f>IF(G831="","",IFERROR(INDEX(Services!$B$5:$B$204,MATCH(G831,Services!$A$5:$A$204,0)),"Not in Services"))</f>
        <v>0</v>
      </c>
      <c r="J831" s="15">
        <f>IF(I831="","",IFERROR(INDEX(Staff!$B$5:$B$44,MATCH(I831,Staff!$A$5:$A$44,0)),"Unassigned"))</f>
        <v>0</v>
      </c>
      <c r="S831" s="15">
        <f>IF(B831="","",TEXT(B831,"yyyy-mm"))</f>
        <v>0</v>
      </c>
      <c r="T831" s="25">
        <f>IF(B831="","",WEEKNUM(B831,2))</f>
        <v>0</v>
      </c>
      <c r="U831" s="25">
        <f>IF(B831="","",IF(K831&lt;&gt;"",K831,IFERROR(INDEX(Services!$E$5:$E$204,MATCH(G831,Services!$A$5:$A$204,0))*1,0)+IFERROR(INDEX(Services!$F$5:$F$204,MATCH(G831,Services!$A$5:$A$204,0))*1,0)))</f>
        <v>0</v>
      </c>
      <c r="V831" s="36">
        <f>IF(B831="","",IF(D831="","",D831+U831/1440))</f>
        <v>0</v>
      </c>
      <c r="W831" s="25">
        <f>IF(B831="","",IF(D831="","",HOUR(D831)))</f>
        <v>0</v>
      </c>
      <c r="X831" s="37">
        <f>IF(B831="","",ROUND(U831/60,2))</f>
        <v>0</v>
      </c>
      <c r="Y831" s="26">
        <f>IF(B831="","",IF(L831&lt;&gt;"",L831,IFERROR(INDEX(Services!$G$5:$G$204,MATCH(G831,Services!$A$5:$A$204,0))*1,0)))</f>
        <v>0</v>
      </c>
      <c r="Z831" s="26">
        <f>IF(B831="","",IF(O831&lt;&gt;"",O831,IF(Y831&gt;=DepositThreshold,ROUND(Y831*DepositPercent,2),0)))</f>
        <v>0</v>
      </c>
      <c r="AA831" s="26">
        <f>IF(B831="","",ROUND(SUMIFS(Payments!$G$5:$G$1204,Payments!$I$5:$I$1204,A831,Payments!$E$5:$E$1204,"Deposit"),2))</f>
        <v>0</v>
      </c>
      <c r="AB831" s="26">
        <f>IF(B831="","",ROUND(SUMIFS(Sales!$Y$5:$Y$1204,Sales!$C$5:$C$1204,A831),2))</f>
        <v>0</v>
      </c>
      <c r="AC831" s="38">
        <f>IF(B831="","",IF(M831="Completed","Yes",IF(M831="Cancelled","Yes",IF(M831="No show","Yes","No"))))</f>
        <v>0</v>
      </c>
      <c r="AD831" s="25">
        <f>IF(B831="","",IF(AE831="","",B831-AE831))</f>
        <v>0</v>
      </c>
      <c r="AF831" s="38">
        <f>IF(B831="","",IF(M831&lt;&gt;"Completed","",IF(E831="","No",IF(COUNTIFS(Appointments!$E$5:$E$1204,E831,Appointments!$B$5:$B$1204,"&gt;"&amp;B831,Appointments!$M$5:$M$1204,"&lt;&gt;Cancelled")&gt;0,"Yes","No"))))</f>
        <v>0</v>
      </c>
      <c r="AG831" s="38">
        <f>IF(B831="","",IF(I831="","",IF(D831="","",IF(COUNTIFS($I$5:$I$1204,I831,$B$5:$B$1204,B831,$D$5:$D$1204,"&lt;"&amp;V831,$V$5:$V$1204,"&gt;"&amp;D831,$M$5:$M$1204,"&lt;&gt;Cancelled")&gt;1,"Clash",""))))</f>
        <v>0</v>
      </c>
      <c r="AH831" s="39">
        <f>IF(B831="","",IF(AG831="Clash","Clash - stylist double booked",IF(I831="","Assign - no stylist yet",IF(G831="","Add - no service chosen",IF(M831="No show","No show - charge the fee?",IF(M831="Cancelled","",IF(IF(M831="Completed",AB831&lt;Y831-0.004,FALSE),"Unpaid - nothing rung up for this visit",IF(IF(B831&lt;TodayDate,M831="Booked",FALSE),"Overdue - past date, still only Booked",IF(IF(B831=TodayDate,TRUE,FALSE),"Today",IF(IF(Z831&gt;0,AA831&lt;Z831-0.004,FALSE),"Due - deposit not taken",IF(IF(B831&gt;TodayDate,B831&lt;=TodayDate+2,FALSE),"Confirm - coming up","OK")))))))))))</f>
        <v>0</v>
      </c>
    </row>
    <row r="832" spans="1:34">
      <c r="A832" s="28">
        <f>IF(B832="","",AppointmentPrefix&amp;TEXT(ROW()-4,"0000"))</f>
        <v>0</v>
      </c>
      <c r="C832" s="15">
        <f>IF(B832="","",TEXT(B832,"ddd"))</f>
        <v>0</v>
      </c>
      <c r="F832" s="15">
        <f>IF(E832="","",IFERROR(INDEX(Clients!$B$5:$B$504,MATCH(E832,Clients!$A$5:$A$504,0)),"Walk-in"))</f>
        <v>0</v>
      </c>
      <c r="H832" s="15">
        <f>IF(G832="","",IFERROR(INDEX(Services!$B$5:$B$204,MATCH(G832,Services!$A$5:$A$204,0)),"Not in Services"))</f>
        <v>0</v>
      </c>
      <c r="J832" s="15">
        <f>IF(I832="","",IFERROR(INDEX(Staff!$B$5:$B$44,MATCH(I832,Staff!$A$5:$A$44,0)),"Unassigned"))</f>
        <v>0</v>
      </c>
      <c r="S832" s="15">
        <f>IF(B832="","",TEXT(B832,"yyyy-mm"))</f>
        <v>0</v>
      </c>
      <c r="T832" s="25">
        <f>IF(B832="","",WEEKNUM(B832,2))</f>
        <v>0</v>
      </c>
      <c r="U832" s="25">
        <f>IF(B832="","",IF(K832&lt;&gt;"",K832,IFERROR(INDEX(Services!$E$5:$E$204,MATCH(G832,Services!$A$5:$A$204,0))*1,0)+IFERROR(INDEX(Services!$F$5:$F$204,MATCH(G832,Services!$A$5:$A$204,0))*1,0)))</f>
        <v>0</v>
      </c>
      <c r="V832" s="36">
        <f>IF(B832="","",IF(D832="","",D832+U832/1440))</f>
        <v>0</v>
      </c>
      <c r="W832" s="25">
        <f>IF(B832="","",IF(D832="","",HOUR(D832)))</f>
        <v>0</v>
      </c>
      <c r="X832" s="37">
        <f>IF(B832="","",ROUND(U832/60,2))</f>
        <v>0</v>
      </c>
      <c r="Y832" s="26">
        <f>IF(B832="","",IF(L832&lt;&gt;"",L832,IFERROR(INDEX(Services!$G$5:$G$204,MATCH(G832,Services!$A$5:$A$204,0))*1,0)))</f>
        <v>0</v>
      </c>
      <c r="Z832" s="26">
        <f>IF(B832="","",IF(O832&lt;&gt;"",O832,IF(Y832&gt;=DepositThreshold,ROUND(Y832*DepositPercent,2),0)))</f>
        <v>0</v>
      </c>
      <c r="AA832" s="26">
        <f>IF(B832="","",ROUND(SUMIFS(Payments!$G$5:$G$1204,Payments!$I$5:$I$1204,A832,Payments!$E$5:$E$1204,"Deposit"),2))</f>
        <v>0</v>
      </c>
      <c r="AB832" s="26">
        <f>IF(B832="","",ROUND(SUMIFS(Sales!$Y$5:$Y$1204,Sales!$C$5:$C$1204,A832),2))</f>
        <v>0</v>
      </c>
      <c r="AC832" s="38">
        <f>IF(B832="","",IF(M832="Completed","Yes",IF(M832="Cancelled","Yes",IF(M832="No show","Yes","No"))))</f>
        <v>0</v>
      </c>
      <c r="AD832" s="25">
        <f>IF(B832="","",IF(AE832="","",B832-AE832))</f>
        <v>0</v>
      </c>
      <c r="AF832" s="38">
        <f>IF(B832="","",IF(M832&lt;&gt;"Completed","",IF(E832="","No",IF(COUNTIFS(Appointments!$E$5:$E$1204,E832,Appointments!$B$5:$B$1204,"&gt;"&amp;B832,Appointments!$M$5:$M$1204,"&lt;&gt;Cancelled")&gt;0,"Yes","No"))))</f>
        <v>0</v>
      </c>
      <c r="AG832" s="38">
        <f>IF(B832="","",IF(I832="","",IF(D832="","",IF(COUNTIFS($I$5:$I$1204,I832,$B$5:$B$1204,B832,$D$5:$D$1204,"&lt;"&amp;V832,$V$5:$V$1204,"&gt;"&amp;D832,$M$5:$M$1204,"&lt;&gt;Cancelled")&gt;1,"Clash",""))))</f>
        <v>0</v>
      </c>
      <c r="AH832" s="39">
        <f>IF(B832="","",IF(AG832="Clash","Clash - stylist double booked",IF(I832="","Assign - no stylist yet",IF(G832="","Add - no service chosen",IF(M832="No show","No show - charge the fee?",IF(M832="Cancelled","",IF(IF(M832="Completed",AB832&lt;Y832-0.004,FALSE),"Unpaid - nothing rung up for this visit",IF(IF(B832&lt;TodayDate,M832="Booked",FALSE),"Overdue - past date, still only Booked",IF(IF(B832=TodayDate,TRUE,FALSE),"Today",IF(IF(Z832&gt;0,AA832&lt;Z832-0.004,FALSE),"Due - deposit not taken",IF(IF(B832&gt;TodayDate,B832&lt;=TodayDate+2,FALSE),"Confirm - coming up","OK")))))))))))</f>
        <v>0</v>
      </c>
    </row>
    <row r="833" spans="1:34">
      <c r="A833" s="28">
        <f>IF(B833="","",AppointmentPrefix&amp;TEXT(ROW()-4,"0000"))</f>
        <v>0</v>
      </c>
      <c r="C833" s="15">
        <f>IF(B833="","",TEXT(B833,"ddd"))</f>
        <v>0</v>
      </c>
      <c r="F833" s="15">
        <f>IF(E833="","",IFERROR(INDEX(Clients!$B$5:$B$504,MATCH(E833,Clients!$A$5:$A$504,0)),"Walk-in"))</f>
        <v>0</v>
      </c>
      <c r="H833" s="15">
        <f>IF(G833="","",IFERROR(INDEX(Services!$B$5:$B$204,MATCH(G833,Services!$A$5:$A$204,0)),"Not in Services"))</f>
        <v>0</v>
      </c>
      <c r="J833" s="15">
        <f>IF(I833="","",IFERROR(INDEX(Staff!$B$5:$B$44,MATCH(I833,Staff!$A$5:$A$44,0)),"Unassigned"))</f>
        <v>0</v>
      </c>
      <c r="S833" s="15">
        <f>IF(B833="","",TEXT(B833,"yyyy-mm"))</f>
        <v>0</v>
      </c>
      <c r="T833" s="25">
        <f>IF(B833="","",WEEKNUM(B833,2))</f>
        <v>0</v>
      </c>
      <c r="U833" s="25">
        <f>IF(B833="","",IF(K833&lt;&gt;"",K833,IFERROR(INDEX(Services!$E$5:$E$204,MATCH(G833,Services!$A$5:$A$204,0))*1,0)+IFERROR(INDEX(Services!$F$5:$F$204,MATCH(G833,Services!$A$5:$A$204,0))*1,0)))</f>
        <v>0</v>
      </c>
      <c r="V833" s="36">
        <f>IF(B833="","",IF(D833="","",D833+U833/1440))</f>
        <v>0</v>
      </c>
      <c r="W833" s="25">
        <f>IF(B833="","",IF(D833="","",HOUR(D833)))</f>
        <v>0</v>
      </c>
      <c r="X833" s="37">
        <f>IF(B833="","",ROUND(U833/60,2))</f>
        <v>0</v>
      </c>
      <c r="Y833" s="26">
        <f>IF(B833="","",IF(L833&lt;&gt;"",L833,IFERROR(INDEX(Services!$G$5:$G$204,MATCH(G833,Services!$A$5:$A$204,0))*1,0)))</f>
        <v>0</v>
      </c>
      <c r="Z833" s="26">
        <f>IF(B833="","",IF(O833&lt;&gt;"",O833,IF(Y833&gt;=DepositThreshold,ROUND(Y833*DepositPercent,2),0)))</f>
        <v>0</v>
      </c>
      <c r="AA833" s="26">
        <f>IF(B833="","",ROUND(SUMIFS(Payments!$G$5:$G$1204,Payments!$I$5:$I$1204,A833,Payments!$E$5:$E$1204,"Deposit"),2))</f>
        <v>0</v>
      </c>
      <c r="AB833" s="26">
        <f>IF(B833="","",ROUND(SUMIFS(Sales!$Y$5:$Y$1204,Sales!$C$5:$C$1204,A833),2))</f>
        <v>0</v>
      </c>
      <c r="AC833" s="38">
        <f>IF(B833="","",IF(M833="Completed","Yes",IF(M833="Cancelled","Yes",IF(M833="No show","Yes","No"))))</f>
        <v>0</v>
      </c>
      <c r="AD833" s="25">
        <f>IF(B833="","",IF(AE833="","",B833-AE833))</f>
        <v>0</v>
      </c>
      <c r="AF833" s="38">
        <f>IF(B833="","",IF(M833&lt;&gt;"Completed","",IF(E833="","No",IF(COUNTIFS(Appointments!$E$5:$E$1204,E833,Appointments!$B$5:$B$1204,"&gt;"&amp;B833,Appointments!$M$5:$M$1204,"&lt;&gt;Cancelled")&gt;0,"Yes","No"))))</f>
        <v>0</v>
      </c>
      <c r="AG833" s="38">
        <f>IF(B833="","",IF(I833="","",IF(D833="","",IF(COUNTIFS($I$5:$I$1204,I833,$B$5:$B$1204,B833,$D$5:$D$1204,"&lt;"&amp;V833,$V$5:$V$1204,"&gt;"&amp;D833,$M$5:$M$1204,"&lt;&gt;Cancelled")&gt;1,"Clash",""))))</f>
        <v>0</v>
      </c>
      <c r="AH833" s="39">
        <f>IF(B833="","",IF(AG833="Clash","Clash - stylist double booked",IF(I833="","Assign - no stylist yet",IF(G833="","Add - no service chosen",IF(M833="No show","No show - charge the fee?",IF(M833="Cancelled","",IF(IF(M833="Completed",AB833&lt;Y833-0.004,FALSE),"Unpaid - nothing rung up for this visit",IF(IF(B833&lt;TodayDate,M833="Booked",FALSE),"Overdue - past date, still only Booked",IF(IF(B833=TodayDate,TRUE,FALSE),"Today",IF(IF(Z833&gt;0,AA833&lt;Z833-0.004,FALSE),"Due - deposit not taken",IF(IF(B833&gt;TodayDate,B833&lt;=TodayDate+2,FALSE),"Confirm - coming up","OK")))))))))))</f>
        <v>0</v>
      </c>
    </row>
    <row r="834" spans="1:34">
      <c r="A834" s="28">
        <f>IF(B834="","",AppointmentPrefix&amp;TEXT(ROW()-4,"0000"))</f>
        <v>0</v>
      </c>
      <c r="C834" s="15">
        <f>IF(B834="","",TEXT(B834,"ddd"))</f>
        <v>0</v>
      </c>
      <c r="F834" s="15">
        <f>IF(E834="","",IFERROR(INDEX(Clients!$B$5:$B$504,MATCH(E834,Clients!$A$5:$A$504,0)),"Walk-in"))</f>
        <v>0</v>
      </c>
      <c r="H834" s="15">
        <f>IF(G834="","",IFERROR(INDEX(Services!$B$5:$B$204,MATCH(G834,Services!$A$5:$A$204,0)),"Not in Services"))</f>
        <v>0</v>
      </c>
      <c r="J834" s="15">
        <f>IF(I834="","",IFERROR(INDEX(Staff!$B$5:$B$44,MATCH(I834,Staff!$A$5:$A$44,0)),"Unassigned"))</f>
        <v>0</v>
      </c>
      <c r="S834" s="15">
        <f>IF(B834="","",TEXT(B834,"yyyy-mm"))</f>
        <v>0</v>
      </c>
      <c r="T834" s="25">
        <f>IF(B834="","",WEEKNUM(B834,2))</f>
        <v>0</v>
      </c>
      <c r="U834" s="25">
        <f>IF(B834="","",IF(K834&lt;&gt;"",K834,IFERROR(INDEX(Services!$E$5:$E$204,MATCH(G834,Services!$A$5:$A$204,0))*1,0)+IFERROR(INDEX(Services!$F$5:$F$204,MATCH(G834,Services!$A$5:$A$204,0))*1,0)))</f>
        <v>0</v>
      </c>
      <c r="V834" s="36">
        <f>IF(B834="","",IF(D834="","",D834+U834/1440))</f>
        <v>0</v>
      </c>
      <c r="W834" s="25">
        <f>IF(B834="","",IF(D834="","",HOUR(D834)))</f>
        <v>0</v>
      </c>
      <c r="X834" s="37">
        <f>IF(B834="","",ROUND(U834/60,2))</f>
        <v>0</v>
      </c>
      <c r="Y834" s="26">
        <f>IF(B834="","",IF(L834&lt;&gt;"",L834,IFERROR(INDEX(Services!$G$5:$G$204,MATCH(G834,Services!$A$5:$A$204,0))*1,0)))</f>
        <v>0</v>
      </c>
      <c r="Z834" s="26">
        <f>IF(B834="","",IF(O834&lt;&gt;"",O834,IF(Y834&gt;=DepositThreshold,ROUND(Y834*DepositPercent,2),0)))</f>
        <v>0</v>
      </c>
      <c r="AA834" s="26">
        <f>IF(B834="","",ROUND(SUMIFS(Payments!$G$5:$G$1204,Payments!$I$5:$I$1204,A834,Payments!$E$5:$E$1204,"Deposit"),2))</f>
        <v>0</v>
      </c>
      <c r="AB834" s="26">
        <f>IF(B834="","",ROUND(SUMIFS(Sales!$Y$5:$Y$1204,Sales!$C$5:$C$1204,A834),2))</f>
        <v>0</v>
      </c>
      <c r="AC834" s="38">
        <f>IF(B834="","",IF(M834="Completed","Yes",IF(M834="Cancelled","Yes",IF(M834="No show","Yes","No"))))</f>
        <v>0</v>
      </c>
      <c r="AD834" s="25">
        <f>IF(B834="","",IF(AE834="","",B834-AE834))</f>
        <v>0</v>
      </c>
      <c r="AF834" s="38">
        <f>IF(B834="","",IF(M834&lt;&gt;"Completed","",IF(E834="","No",IF(COUNTIFS(Appointments!$E$5:$E$1204,E834,Appointments!$B$5:$B$1204,"&gt;"&amp;B834,Appointments!$M$5:$M$1204,"&lt;&gt;Cancelled")&gt;0,"Yes","No"))))</f>
        <v>0</v>
      </c>
      <c r="AG834" s="38">
        <f>IF(B834="","",IF(I834="","",IF(D834="","",IF(COUNTIFS($I$5:$I$1204,I834,$B$5:$B$1204,B834,$D$5:$D$1204,"&lt;"&amp;V834,$V$5:$V$1204,"&gt;"&amp;D834,$M$5:$M$1204,"&lt;&gt;Cancelled")&gt;1,"Clash",""))))</f>
        <v>0</v>
      </c>
      <c r="AH834" s="39">
        <f>IF(B834="","",IF(AG834="Clash","Clash - stylist double booked",IF(I834="","Assign - no stylist yet",IF(G834="","Add - no service chosen",IF(M834="No show","No show - charge the fee?",IF(M834="Cancelled","",IF(IF(M834="Completed",AB834&lt;Y834-0.004,FALSE),"Unpaid - nothing rung up for this visit",IF(IF(B834&lt;TodayDate,M834="Booked",FALSE),"Overdue - past date, still only Booked",IF(IF(B834=TodayDate,TRUE,FALSE),"Today",IF(IF(Z834&gt;0,AA834&lt;Z834-0.004,FALSE),"Due - deposit not taken",IF(IF(B834&gt;TodayDate,B834&lt;=TodayDate+2,FALSE),"Confirm - coming up","OK")))))))))))</f>
        <v>0</v>
      </c>
    </row>
    <row r="835" spans="1:34">
      <c r="A835" s="28">
        <f>IF(B835="","",AppointmentPrefix&amp;TEXT(ROW()-4,"0000"))</f>
        <v>0</v>
      </c>
      <c r="C835" s="15">
        <f>IF(B835="","",TEXT(B835,"ddd"))</f>
        <v>0</v>
      </c>
      <c r="F835" s="15">
        <f>IF(E835="","",IFERROR(INDEX(Clients!$B$5:$B$504,MATCH(E835,Clients!$A$5:$A$504,0)),"Walk-in"))</f>
        <v>0</v>
      </c>
      <c r="H835" s="15">
        <f>IF(G835="","",IFERROR(INDEX(Services!$B$5:$B$204,MATCH(G835,Services!$A$5:$A$204,0)),"Not in Services"))</f>
        <v>0</v>
      </c>
      <c r="J835" s="15">
        <f>IF(I835="","",IFERROR(INDEX(Staff!$B$5:$B$44,MATCH(I835,Staff!$A$5:$A$44,0)),"Unassigned"))</f>
        <v>0</v>
      </c>
      <c r="S835" s="15">
        <f>IF(B835="","",TEXT(B835,"yyyy-mm"))</f>
        <v>0</v>
      </c>
      <c r="T835" s="25">
        <f>IF(B835="","",WEEKNUM(B835,2))</f>
        <v>0</v>
      </c>
      <c r="U835" s="25">
        <f>IF(B835="","",IF(K835&lt;&gt;"",K835,IFERROR(INDEX(Services!$E$5:$E$204,MATCH(G835,Services!$A$5:$A$204,0))*1,0)+IFERROR(INDEX(Services!$F$5:$F$204,MATCH(G835,Services!$A$5:$A$204,0))*1,0)))</f>
        <v>0</v>
      </c>
      <c r="V835" s="36">
        <f>IF(B835="","",IF(D835="","",D835+U835/1440))</f>
        <v>0</v>
      </c>
      <c r="W835" s="25">
        <f>IF(B835="","",IF(D835="","",HOUR(D835)))</f>
        <v>0</v>
      </c>
      <c r="X835" s="37">
        <f>IF(B835="","",ROUND(U835/60,2))</f>
        <v>0</v>
      </c>
      <c r="Y835" s="26">
        <f>IF(B835="","",IF(L835&lt;&gt;"",L835,IFERROR(INDEX(Services!$G$5:$G$204,MATCH(G835,Services!$A$5:$A$204,0))*1,0)))</f>
        <v>0</v>
      </c>
      <c r="Z835" s="26">
        <f>IF(B835="","",IF(O835&lt;&gt;"",O835,IF(Y835&gt;=DepositThreshold,ROUND(Y835*DepositPercent,2),0)))</f>
        <v>0</v>
      </c>
      <c r="AA835" s="26">
        <f>IF(B835="","",ROUND(SUMIFS(Payments!$G$5:$G$1204,Payments!$I$5:$I$1204,A835,Payments!$E$5:$E$1204,"Deposit"),2))</f>
        <v>0</v>
      </c>
      <c r="AB835" s="26">
        <f>IF(B835="","",ROUND(SUMIFS(Sales!$Y$5:$Y$1204,Sales!$C$5:$C$1204,A835),2))</f>
        <v>0</v>
      </c>
      <c r="AC835" s="38">
        <f>IF(B835="","",IF(M835="Completed","Yes",IF(M835="Cancelled","Yes",IF(M835="No show","Yes","No"))))</f>
        <v>0</v>
      </c>
      <c r="AD835" s="25">
        <f>IF(B835="","",IF(AE835="","",B835-AE835))</f>
        <v>0</v>
      </c>
      <c r="AF835" s="38">
        <f>IF(B835="","",IF(M835&lt;&gt;"Completed","",IF(E835="","No",IF(COUNTIFS(Appointments!$E$5:$E$1204,E835,Appointments!$B$5:$B$1204,"&gt;"&amp;B835,Appointments!$M$5:$M$1204,"&lt;&gt;Cancelled")&gt;0,"Yes","No"))))</f>
        <v>0</v>
      </c>
      <c r="AG835" s="38">
        <f>IF(B835="","",IF(I835="","",IF(D835="","",IF(COUNTIFS($I$5:$I$1204,I835,$B$5:$B$1204,B835,$D$5:$D$1204,"&lt;"&amp;V835,$V$5:$V$1204,"&gt;"&amp;D835,$M$5:$M$1204,"&lt;&gt;Cancelled")&gt;1,"Clash",""))))</f>
        <v>0</v>
      </c>
      <c r="AH835" s="39">
        <f>IF(B835="","",IF(AG835="Clash","Clash - stylist double booked",IF(I835="","Assign - no stylist yet",IF(G835="","Add - no service chosen",IF(M835="No show","No show - charge the fee?",IF(M835="Cancelled","",IF(IF(M835="Completed",AB835&lt;Y835-0.004,FALSE),"Unpaid - nothing rung up for this visit",IF(IF(B835&lt;TodayDate,M835="Booked",FALSE),"Overdue - past date, still only Booked",IF(IF(B835=TodayDate,TRUE,FALSE),"Today",IF(IF(Z835&gt;0,AA835&lt;Z835-0.004,FALSE),"Due - deposit not taken",IF(IF(B835&gt;TodayDate,B835&lt;=TodayDate+2,FALSE),"Confirm - coming up","OK")))))))))))</f>
        <v>0</v>
      </c>
    </row>
    <row r="836" spans="1:34">
      <c r="A836" s="28">
        <f>IF(B836="","",AppointmentPrefix&amp;TEXT(ROW()-4,"0000"))</f>
        <v>0</v>
      </c>
      <c r="C836" s="15">
        <f>IF(B836="","",TEXT(B836,"ddd"))</f>
        <v>0</v>
      </c>
      <c r="F836" s="15">
        <f>IF(E836="","",IFERROR(INDEX(Clients!$B$5:$B$504,MATCH(E836,Clients!$A$5:$A$504,0)),"Walk-in"))</f>
        <v>0</v>
      </c>
      <c r="H836" s="15">
        <f>IF(G836="","",IFERROR(INDEX(Services!$B$5:$B$204,MATCH(G836,Services!$A$5:$A$204,0)),"Not in Services"))</f>
        <v>0</v>
      </c>
      <c r="J836" s="15">
        <f>IF(I836="","",IFERROR(INDEX(Staff!$B$5:$B$44,MATCH(I836,Staff!$A$5:$A$44,0)),"Unassigned"))</f>
        <v>0</v>
      </c>
      <c r="S836" s="15">
        <f>IF(B836="","",TEXT(B836,"yyyy-mm"))</f>
        <v>0</v>
      </c>
      <c r="T836" s="25">
        <f>IF(B836="","",WEEKNUM(B836,2))</f>
        <v>0</v>
      </c>
      <c r="U836" s="25">
        <f>IF(B836="","",IF(K836&lt;&gt;"",K836,IFERROR(INDEX(Services!$E$5:$E$204,MATCH(G836,Services!$A$5:$A$204,0))*1,0)+IFERROR(INDEX(Services!$F$5:$F$204,MATCH(G836,Services!$A$5:$A$204,0))*1,0)))</f>
        <v>0</v>
      </c>
      <c r="V836" s="36">
        <f>IF(B836="","",IF(D836="","",D836+U836/1440))</f>
        <v>0</v>
      </c>
      <c r="W836" s="25">
        <f>IF(B836="","",IF(D836="","",HOUR(D836)))</f>
        <v>0</v>
      </c>
      <c r="X836" s="37">
        <f>IF(B836="","",ROUND(U836/60,2))</f>
        <v>0</v>
      </c>
      <c r="Y836" s="26">
        <f>IF(B836="","",IF(L836&lt;&gt;"",L836,IFERROR(INDEX(Services!$G$5:$G$204,MATCH(G836,Services!$A$5:$A$204,0))*1,0)))</f>
        <v>0</v>
      </c>
      <c r="Z836" s="26">
        <f>IF(B836="","",IF(O836&lt;&gt;"",O836,IF(Y836&gt;=DepositThreshold,ROUND(Y836*DepositPercent,2),0)))</f>
        <v>0</v>
      </c>
      <c r="AA836" s="26">
        <f>IF(B836="","",ROUND(SUMIFS(Payments!$G$5:$G$1204,Payments!$I$5:$I$1204,A836,Payments!$E$5:$E$1204,"Deposit"),2))</f>
        <v>0</v>
      </c>
      <c r="AB836" s="26">
        <f>IF(B836="","",ROUND(SUMIFS(Sales!$Y$5:$Y$1204,Sales!$C$5:$C$1204,A836),2))</f>
        <v>0</v>
      </c>
      <c r="AC836" s="38">
        <f>IF(B836="","",IF(M836="Completed","Yes",IF(M836="Cancelled","Yes",IF(M836="No show","Yes","No"))))</f>
        <v>0</v>
      </c>
      <c r="AD836" s="25">
        <f>IF(B836="","",IF(AE836="","",B836-AE836))</f>
        <v>0</v>
      </c>
      <c r="AF836" s="38">
        <f>IF(B836="","",IF(M836&lt;&gt;"Completed","",IF(E836="","No",IF(COUNTIFS(Appointments!$E$5:$E$1204,E836,Appointments!$B$5:$B$1204,"&gt;"&amp;B836,Appointments!$M$5:$M$1204,"&lt;&gt;Cancelled")&gt;0,"Yes","No"))))</f>
        <v>0</v>
      </c>
      <c r="AG836" s="38">
        <f>IF(B836="","",IF(I836="","",IF(D836="","",IF(COUNTIFS($I$5:$I$1204,I836,$B$5:$B$1204,B836,$D$5:$D$1204,"&lt;"&amp;V836,$V$5:$V$1204,"&gt;"&amp;D836,$M$5:$M$1204,"&lt;&gt;Cancelled")&gt;1,"Clash",""))))</f>
        <v>0</v>
      </c>
      <c r="AH836" s="39">
        <f>IF(B836="","",IF(AG836="Clash","Clash - stylist double booked",IF(I836="","Assign - no stylist yet",IF(G836="","Add - no service chosen",IF(M836="No show","No show - charge the fee?",IF(M836="Cancelled","",IF(IF(M836="Completed",AB836&lt;Y836-0.004,FALSE),"Unpaid - nothing rung up for this visit",IF(IF(B836&lt;TodayDate,M836="Booked",FALSE),"Overdue - past date, still only Booked",IF(IF(B836=TodayDate,TRUE,FALSE),"Today",IF(IF(Z836&gt;0,AA836&lt;Z836-0.004,FALSE),"Due - deposit not taken",IF(IF(B836&gt;TodayDate,B836&lt;=TodayDate+2,FALSE),"Confirm - coming up","OK")))))))))))</f>
        <v>0</v>
      </c>
    </row>
    <row r="837" spans="1:34">
      <c r="A837" s="28">
        <f>IF(B837="","",AppointmentPrefix&amp;TEXT(ROW()-4,"0000"))</f>
        <v>0</v>
      </c>
      <c r="C837" s="15">
        <f>IF(B837="","",TEXT(B837,"ddd"))</f>
        <v>0</v>
      </c>
      <c r="F837" s="15">
        <f>IF(E837="","",IFERROR(INDEX(Clients!$B$5:$B$504,MATCH(E837,Clients!$A$5:$A$504,0)),"Walk-in"))</f>
        <v>0</v>
      </c>
      <c r="H837" s="15">
        <f>IF(G837="","",IFERROR(INDEX(Services!$B$5:$B$204,MATCH(G837,Services!$A$5:$A$204,0)),"Not in Services"))</f>
        <v>0</v>
      </c>
      <c r="J837" s="15">
        <f>IF(I837="","",IFERROR(INDEX(Staff!$B$5:$B$44,MATCH(I837,Staff!$A$5:$A$44,0)),"Unassigned"))</f>
        <v>0</v>
      </c>
      <c r="S837" s="15">
        <f>IF(B837="","",TEXT(B837,"yyyy-mm"))</f>
        <v>0</v>
      </c>
      <c r="T837" s="25">
        <f>IF(B837="","",WEEKNUM(B837,2))</f>
        <v>0</v>
      </c>
      <c r="U837" s="25">
        <f>IF(B837="","",IF(K837&lt;&gt;"",K837,IFERROR(INDEX(Services!$E$5:$E$204,MATCH(G837,Services!$A$5:$A$204,0))*1,0)+IFERROR(INDEX(Services!$F$5:$F$204,MATCH(G837,Services!$A$5:$A$204,0))*1,0)))</f>
        <v>0</v>
      </c>
      <c r="V837" s="36">
        <f>IF(B837="","",IF(D837="","",D837+U837/1440))</f>
        <v>0</v>
      </c>
      <c r="W837" s="25">
        <f>IF(B837="","",IF(D837="","",HOUR(D837)))</f>
        <v>0</v>
      </c>
      <c r="X837" s="37">
        <f>IF(B837="","",ROUND(U837/60,2))</f>
        <v>0</v>
      </c>
      <c r="Y837" s="26">
        <f>IF(B837="","",IF(L837&lt;&gt;"",L837,IFERROR(INDEX(Services!$G$5:$G$204,MATCH(G837,Services!$A$5:$A$204,0))*1,0)))</f>
        <v>0</v>
      </c>
      <c r="Z837" s="26">
        <f>IF(B837="","",IF(O837&lt;&gt;"",O837,IF(Y837&gt;=DepositThreshold,ROUND(Y837*DepositPercent,2),0)))</f>
        <v>0</v>
      </c>
      <c r="AA837" s="26">
        <f>IF(B837="","",ROUND(SUMIFS(Payments!$G$5:$G$1204,Payments!$I$5:$I$1204,A837,Payments!$E$5:$E$1204,"Deposit"),2))</f>
        <v>0</v>
      </c>
      <c r="AB837" s="26">
        <f>IF(B837="","",ROUND(SUMIFS(Sales!$Y$5:$Y$1204,Sales!$C$5:$C$1204,A837),2))</f>
        <v>0</v>
      </c>
      <c r="AC837" s="38">
        <f>IF(B837="","",IF(M837="Completed","Yes",IF(M837="Cancelled","Yes",IF(M837="No show","Yes","No"))))</f>
        <v>0</v>
      </c>
      <c r="AD837" s="25">
        <f>IF(B837="","",IF(AE837="","",B837-AE837))</f>
        <v>0</v>
      </c>
      <c r="AF837" s="38">
        <f>IF(B837="","",IF(M837&lt;&gt;"Completed","",IF(E837="","No",IF(COUNTIFS(Appointments!$E$5:$E$1204,E837,Appointments!$B$5:$B$1204,"&gt;"&amp;B837,Appointments!$M$5:$M$1204,"&lt;&gt;Cancelled")&gt;0,"Yes","No"))))</f>
        <v>0</v>
      </c>
      <c r="AG837" s="38">
        <f>IF(B837="","",IF(I837="","",IF(D837="","",IF(COUNTIFS($I$5:$I$1204,I837,$B$5:$B$1204,B837,$D$5:$D$1204,"&lt;"&amp;V837,$V$5:$V$1204,"&gt;"&amp;D837,$M$5:$M$1204,"&lt;&gt;Cancelled")&gt;1,"Clash",""))))</f>
        <v>0</v>
      </c>
      <c r="AH837" s="39">
        <f>IF(B837="","",IF(AG837="Clash","Clash - stylist double booked",IF(I837="","Assign - no stylist yet",IF(G837="","Add - no service chosen",IF(M837="No show","No show - charge the fee?",IF(M837="Cancelled","",IF(IF(M837="Completed",AB837&lt;Y837-0.004,FALSE),"Unpaid - nothing rung up for this visit",IF(IF(B837&lt;TodayDate,M837="Booked",FALSE),"Overdue - past date, still only Booked",IF(IF(B837=TodayDate,TRUE,FALSE),"Today",IF(IF(Z837&gt;0,AA837&lt;Z837-0.004,FALSE),"Due - deposit not taken",IF(IF(B837&gt;TodayDate,B837&lt;=TodayDate+2,FALSE),"Confirm - coming up","OK")))))))))))</f>
        <v>0</v>
      </c>
    </row>
    <row r="838" spans="1:34">
      <c r="A838" s="28">
        <f>IF(B838="","",AppointmentPrefix&amp;TEXT(ROW()-4,"0000"))</f>
        <v>0</v>
      </c>
      <c r="C838" s="15">
        <f>IF(B838="","",TEXT(B838,"ddd"))</f>
        <v>0</v>
      </c>
      <c r="F838" s="15">
        <f>IF(E838="","",IFERROR(INDEX(Clients!$B$5:$B$504,MATCH(E838,Clients!$A$5:$A$504,0)),"Walk-in"))</f>
        <v>0</v>
      </c>
      <c r="H838" s="15">
        <f>IF(G838="","",IFERROR(INDEX(Services!$B$5:$B$204,MATCH(G838,Services!$A$5:$A$204,0)),"Not in Services"))</f>
        <v>0</v>
      </c>
      <c r="J838" s="15">
        <f>IF(I838="","",IFERROR(INDEX(Staff!$B$5:$B$44,MATCH(I838,Staff!$A$5:$A$44,0)),"Unassigned"))</f>
        <v>0</v>
      </c>
      <c r="S838" s="15">
        <f>IF(B838="","",TEXT(B838,"yyyy-mm"))</f>
        <v>0</v>
      </c>
      <c r="T838" s="25">
        <f>IF(B838="","",WEEKNUM(B838,2))</f>
        <v>0</v>
      </c>
      <c r="U838" s="25">
        <f>IF(B838="","",IF(K838&lt;&gt;"",K838,IFERROR(INDEX(Services!$E$5:$E$204,MATCH(G838,Services!$A$5:$A$204,0))*1,0)+IFERROR(INDEX(Services!$F$5:$F$204,MATCH(G838,Services!$A$5:$A$204,0))*1,0)))</f>
        <v>0</v>
      </c>
      <c r="V838" s="36">
        <f>IF(B838="","",IF(D838="","",D838+U838/1440))</f>
        <v>0</v>
      </c>
      <c r="W838" s="25">
        <f>IF(B838="","",IF(D838="","",HOUR(D838)))</f>
        <v>0</v>
      </c>
      <c r="X838" s="37">
        <f>IF(B838="","",ROUND(U838/60,2))</f>
        <v>0</v>
      </c>
      <c r="Y838" s="26">
        <f>IF(B838="","",IF(L838&lt;&gt;"",L838,IFERROR(INDEX(Services!$G$5:$G$204,MATCH(G838,Services!$A$5:$A$204,0))*1,0)))</f>
        <v>0</v>
      </c>
      <c r="Z838" s="26">
        <f>IF(B838="","",IF(O838&lt;&gt;"",O838,IF(Y838&gt;=DepositThreshold,ROUND(Y838*DepositPercent,2),0)))</f>
        <v>0</v>
      </c>
      <c r="AA838" s="26">
        <f>IF(B838="","",ROUND(SUMIFS(Payments!$G$5:$G$1204,Payments!$I$5:$I$1204,A838,Payments!$E$5:$E$1204,"Deposit"),2))</f>
        <v>0</v>
      </c>
      <c r="AB838" s="26">
        <f>IF(B838="","",ROUND(SUMIFS(Sales!$Y$5:$Y$1204,Sales!$C$5:$C$1204,A838),2))</f>
        <v>0</v>
      </c>
      <c r="AC838" s="38">
        <f>IF(B838="","",IF(M838="Completed","Yes",IF(M838="Cancelled","Yes",IF(M838="No show","Yes","No"))))</f>
        <v>0</v>
      </c>
      <c r="AD838" s="25">
        <f>IF(B838="","",IF(AE838="","",B838-AE838))</f>
        <v>0</v>
      </c>
      <c r="AF838" s="38">
        <f>IF(B838="","",IF(M838&lt;&gt;"Completed","",IF(E838="","No",IF(COUNTIFS(Appointments!$E$5:$E$1204,E838,Appointments!$B$5:$B$1204,"&gt;"&amp;B838,Appointments!$M$5:$M$1204,"&lt;&gt;Cancelled")&gt;0,"Yes","No"))))</f>
        <v>0</v>
      </c>
      <c r="AG838" s="38">
        <f>IF(B838="","",IF(I838="","",IF(D838="","",IF(COUNTIFS($I$5:$I$1204,I838,$B$5:$B$1204,B838,$D$5:$D$1204,"&lt;"&amp;V838,$V$5:$V$1204,"&gt;"&amp;D838,$M$5:$M$1204,"&lt;&gt;Cancelled")&gt;1,"Clash",""))))</f>
        <v>0</v>
      </c>
      <c r="AH838" s="39">
        <f>IF(B838="","",IF(AG838="Clash","Clash - stylist double booked",IF(I838="","Assign - no stylist yet",IF(G838="","Add - no service chosen",IF(M838="No show","No show - charge the fee?",IF(M838="Cancelled","",IF(IF(M838="Completed",AB838&lt;Y838-0.004,FALSE),"Unpaid - nothing rung up for this visit",IF(IF(B838&lt;TodayDate,M838="Booked",FALSE),"Overdue - past date, still only Booked",IF(IF(B838=TodayDate,TRUE,FALSE),"Today",IF(IF(Z838&gt;0,AA838&lt;Z838-0.004,FALSE),"Due - deposit not taken",IF(IF(B838&gt;TodayDate,B838&lt;=TodayDate+2,FALSE),"Confirm - coming up","OK")))))))))))</f>
        <v>0</v>
      </c>
    </row>
    <row r="839" spans="1:34">
      <c r="A839" s="28">
        <f>IF(B839="","",AppointmentPrefix&amp;TEXT(ROW()-4,"0000"))</f>
        <v>0</v>
      </c>
      <c r="C839" s="15">
        <f>IF(B839="","",TEXT(B839,"ddd"))</f>
        <v>0</v>
      </c>
      <c r="F839" s="15">
        <f>IF(E839="","",IFERROR(INDEX(Clients!$B$5:$B$504,MATCH(E839,Clients!$A$5:$A$504,0)),"Walk-in"))</f>
        <v>0</v>
      </c>
      <c r="H839" s="15">
        <f>IF(G839="","",IFERROR(INDEX(Services!$B$5:$B$204,MATCH(G839,Services!$A$5:$A$204,0)),"Not in Services"))</f>
        <v>0</v>
      </c>
      <c r="J839" s="15">
        <f>IF(I839="","",IFERROR(INDEX(Staff!$B$5:$B$44,MATCH(I839,Staff!$A$5:$A$44,0)),"Unassigned"))</f>
        <v>0</v>
      </c>
      <c r="S839" s="15">
        <f>IF(B839="","",TEXT(B839,"yyyy-mm"))</f>
        <v>0</v>
      </c>
      <c r="T839" s="25">
        <f>IF(B839="","",WEEKNUM(B839,2))</f>
        <v>0</v>
      </c>
      <c r="U839" s="25">
        <f>IF(B839="","",IF(K839&lt;&gt;"",K839,IFERROR(INDEX(Services!$E$5:$E$204,MATCH(G839,Services!$A$5:$A$204,0))*1,0)+IFERROR(INDEX(Services!$F$5:$F$204,MATCH(G839,Services!$A$5:$A$204,0))*1,0)))</f>
        <v>0</v>
      </c>
      <c r="V839" s="36">
        <f>IF(B839="","",IF(D839="","",D839+U839/1440))</f>
        <v>0</v>
      </c>
      <c r="W839" s="25">
        <f>IF(B839="","",IF(D839="","",HOUR(D839)))</f>
        <v>0</v>
      </c>
      <c r="X839" s="37">
        <f>IF(B839="","",ROUND(U839/60,2))</f>
        <v>0</v>
      </c>
      <c r="Y839" s="26">
        <f>IF(B839="","",IF(L839&lt;&gt;"",L839,IFERROR(INDEX(Services!$G$5:$G$204,MATCH(G839,Services!$A$5:$A$204,0))*1,0)))</f>
        <v>0</v>
      </c>
      <c r="Z839" s="26">
        <f>IF(B839="","",IF(O839&lt;&gt;"",O839,IF(Y839&gt;=DepositThreshold,ROUND(Y839*DepositPercent,2),0)))</f>
        <v>0</v>
      </c>
      <c r="AA839" s="26">
        <f>IF(B839="","",ROUND(SUMIFS(Payments!$G$5:$G$1204,Payments!$I$5:$I$1204,A839,Payments!$E$5:$E$1204,"Deposit"),2))</f>
        <v>0</v>
      </c>
      <c r="AB839" s="26">
        <f>IF(B839="","",ROUND(SUMIFS(Sales!$Y$5:$Y$1204,Sales!$C$5:$C$1204,A839),2))</f>
        <v>0</v>
      </c>
      <c r="AC839" s="38">
        <f>IF(B839="","",IF(M839="Completed","Yes",IF(M839="Cancelled","Yes",IF(M839="No show","Yes","No"))))</f>
        <v>0</v>
      </c>
      <c r="AD839" s="25">
        <f>IF(B839="","",IF(AE839="","",B839-AE839))</f>
        <v>0</v>
      </c>
      <c r="AF839" s="38">
        <f>IF(B839="","",IF(M839&lt;&gt;"Completed","",IF(E839="","No",IF(COUNTIFS(Appointments!$E$5:$E$1204,E839,Appointments!$B$5:$B$1204,"&gt;"&amp;B839,Appointments!$M$5:$M$1204,"&lt;&gt;Cancelled")&gt;0,"Yes","No"))))</f>
        <v>0</v>
      </c>
      <c r="AG839" s="38">
        <f>IF(B839="","",IF(I839="","",IF(D839="","",IF(COUNTIFS($I$5:$I$1204,I839,$B$5:$B$1204,B839,$D$5:$D$1204,"&lt;"&amp;V839,$V$5:$V$1204,"&gt;"&amp;D839,$M$5:$M$1204,"&lt;&gt;Cancelled")&gt;1,"Clash",""))))</f>
        <v>0</v>
      </c>
      <c r="AH839" s="39">
        <f>IF(B839="","",IF(AG839="Clash","Clash - stylist double booked",IF(I839="","Assign - no stylist yet",IF(G839="","Add - no service chosen",IF(M839="No show","No show - charge the fee?",IF(M839="Cancelled","",IF(IF(M839="Completed",AB839&lt;Y839-0.004,FALSE),"Unpaid - nothing rung up for this visit",IF(IF(B839&lt;TodayDate,M839="Booked",FALSE),"Overdue - past date, still only Booked",IF(IF(B839=TodayDate,TRUE,FALSE),"Today",IF(IF(Z839&gt;0,AA839&lt;Z839-0.004,FALSE),"Due - deposit not taken",IF(IF(B839&gt;TodayDate,B839&lt;=TodayDate+2,FALSE),"Confirm - coming up","OK")))))))))))</f>
        <v>0</v>
      </c>
    </row>
    <row r="840" spans="1:34">
      <c r="A840" s="28">
        <f>IF(B840="","",AppointmentPrefix&amp;TEXT(ROW()-4,"0000"))</f>
        <v>0</v>
      </c>
      <c r="C840" s="15">
        <f>IF(B840="","",TEXT(B840,"ddd"))</f>
        <v>0</v>
      </c>
      <c r="F840" s="15">
        <f>IF(E840="","",IFERROR(INDEX(Clients!$B$5:$B$504,MATCH(E840,Clients!$A$5:$A$504,0)),"Walk-in"))</f>
        <v>0</v>
      </c>
      <c r="H840" s="15">
        <f>IF(G840="","",IFERROR(INDEX(Services!$B$5:$B$204,MATCH(G840,Services!$A$5:$A$204,0)),"Not in Services"))</f>
        <v>0</v>
      </c>
      <c r="J840" s="15">
        <f>IF(I840="","",IFERROR(INDEX(Staff!$B$5:$B$44,MATCH(I840,Staff!$A$5:$A$44,0)),"Unassigned"))</f>
        <v>0</v>
      </c>
      <c r="S840" s="15">
        <f>IF(B840="","",TEXT(B840,"yyyy-mm"))</f>
        <v>0</v>
      </c>
      <c r="T840" s="25">
        <f>IF(B840="","",WEEKNUM(B840,2))</f>
        <v>0</v>
      </c>
      <c r="U840" s="25">
        <f>IF(B840="","",IF(K840&lt;&gt;"",K840,IFERROR(INDEX(Services!$E$5:$E$204,MATCH(G840,Services!$A$5:$A$204,0))*1,0)+IFERROR(INDEX(Services!$F$5:$F$204,MATCH(G840,Services!$A$5:$A$204,0))*1,0)))</f>
        <v>0</v>
      </c>
      <c r="V840" s="36">
        <f>IF(B840="","",IF(D840="","",D840+U840/1440))</f>
        <v>0</v>
      </c>
      <c r="W840" s="25">
        <f>IF(B840="","",IF(D840="","",HOUR(D840)))</f>
        <v>0</v>
      </c>
      <c r="X840" s="37">
        <f>IF(B840="","",ROUND(U840/60,2))</f>
        <v>0</v>
      </c>
      <c r="Y840" s="26">
        <f>IF(B840="","",IF(L840&lt;&gt;"",L840,IFERROR(INDEX(Services!$G$5:$G$204,MATCH(G840,Services!$A$5:$A$204,0))*1,0)))</f>
        <v>0</v>
      </c>
      <c r="Z840" s="26">
        <f>IF(B840="","",IF(O840&lt;&gt;"",O840,IF(Y840&gt;=DepositThreshold,ROUND(Y840*DepositPercent,2),0)))</f>
        <v>0</v>
      </c>
      <c r="AA840" s="26">
        <f>IF(B840="","",ROUND(SUMIFS(Payments!$G$5:$G$1204,Payments!$I$5:$I$1204,A840,Payments!$E$5:$E$1204,"Deposit"),2))</f>
        <v>0</v>
      </c>
      <c r="AB840" s="26">
        <f>IF(B840="","",ROUND(SUMIFS(Sales!$Y$5:$Y$1204,Sales!$C$5:$C$1204,A840),2))</f>
        <v>0</v>
      </c>
      <c r="AC840" s="38">
        <f>IF(B840="","",IF(M840="Completed","Yes",IF(M840="Cancelled","Yes",IF(M840="No show","Yes","No"))))</f>
        <v>0</v>
      </c>
      <c r="AD840" s="25">
        <f>IF(B840="","",IF(AE840="","",B840-AE840))</f>
        <v>0</v>
      </c>
      <c r="AF840" s="38">
        <f>IF(B840="","",IF(M840&lt;&gt;"Completed","",IF(E840="","No",IF(COUNTIFS(Appointments!$E$5:$E$1204,E840,Appointments!$B$5:$B$1204,"&gt;"&amp;B840,Appointments!$M$5:$M$1204,"&lt;&gt;Cancelled")&gt;0,"Yes","No"))))</f>
        <v>0</v>
      </c>
      <c r="AG840" s="38">
        <f>IF(B840="","",IF(I840="","",IF(D840="","",IF(COUNTIFS($I$5:$I$1204,I840,$B$5:$B$1204,B840,$D$5:$D$1204,"&lt;"&amp;V840,$V$5:$V$1204,"&gt;"&amp;D840,$M$5:$M$1204,"&lt;&gt;Cancelled")&gt;1,"Clash",""))))</f>
        <v>0</v>
      </c>
      <c r="AH840" s="39">
        <f>IF(B840="","",IF(AG840="Clash","Clash - stylist double booked",IF(I840="","Assign - no stylist yet",IF(G840="","Add - no service chosen",IF(M840="No show","No show - charge the fee?",IF(M840="Cancelled","",IF(IF(M840="Completed",AB840&lt;Y840-0.004,FALSE),"Unpaid - nothing rung up for this visit",IF(IF(B840&lt;TodayDate,M840="Booked",FALSE),"Overdue - past date, still only Booked",IF(IF(B840=TodayDate,TRUE,FALSE),"Today",IF(IF(Z840&gt;0,AA840&lt;Z840-0.004,FALSE),"Due - deposit not taken",IF(IF(B840&gt;TodayDate,B840&lt;=TodayDate+2,FALSE),"Confirm - coming up","OK")))))))))))</f>
        <v>0</v>
      </c>
    </row>
    <row r="841" spans="1:34">
      <c r="A841" s="28">
        <f>IF(B841="","",AppointmentPrefix&amp;TEXT(ROW()-4,"0000"))</f>
        <v>0</v>
      </c>
      <c r="C841" s="15">
        <f>IF(B841="","",TEXT(B841,"ddd"))</f>
        <v>0</v>
      </c>
      <c r="F841" s="15">
        <f>IF(E841="","",IFERROR(INDEX(Clients!$B$5:$B$504,MATCH(E841,Clients!$A$5:$A$504,0)),"Walk-in"))</f>
        <v>0</v>
      </c>
      <c r="H841" s="15">
        <f>IF(G841="","",IFERROR(INDEX(Services!$B$5:$B$204,MATCH(G841,Services!$A$5:$A$204,0)),"Not in Services"))</f>
        <v>0</v>
      </c>
      <c r="J841" s="15">
        <f>IF(I841="","",IFERROR(INDEX(Staff!$B$5:$B$44,MATCH(I841,Staff!$A$5:$A$44,0)),"Unassigned"))</f>
        <v>0</v>
      </c>
      <c r="S841" s="15">
        <f>IF(B841="","",TEXT(B841,"yyyy-mm"))</f>
        <v>0</v>
      </c>
      <c r="T841" s="25">
        <f>IF(B841="","",WEEKNUM(B841,2))</f>
        <v>0</v>
      </c>
      <c r="U841" s="25">
        <f>IF(B841="","",IF(K841&lt;&gt;"",K841,IFERROR(INDEX(Services!$E$5:$E$204,MATCH(G841,Services!$A$5:$A$204,0))*1,0)+IFERROR(INDEX(Services!$F$5:$F$204,MATCH(G841,Services!$A$5:$A$204,0))*1,0)))</f>
        <v>0</v>
      </c>
      <c r="V841" s="36">
        <f>IF(B841="","",IF(D841="","",D841+U841/1440))</f>
        <v>0</v>
      </c>
      <c r="W841" s="25">
        <f>IF(B841="","",IF(D841="","",HOUR(D841)))</f>
        <v>0</v>
      </c>
      <c r="X841" s="37">
        <f>IF(B841="","",ROUND(U841/60,2))</f>
        <v>0</v>
      </c>
      <c r="Y841" s="26">
        <f>IF(B841="","",IF(L841&lt;&gt;"",L841,IFERROR(INDEX(Services!$G$5:$G$204,MATCH(G841,Services!$A$5:$A$204,0))*1,0)))</f>
        <v>0</v>
      </c>
      <c r="Z841" s="26">
        <f>IF(B841="","",IF(O841&lt;&gt;"",O841,IF(Y841&gt;=DepositThreshold,ROUND(Y841*DepositPercent,2),0)))</f>
        <v>0</v>
      </c>
      <c r="AA841" s="26">
        <f>IF(B841="","",ROUND(SUMIFS(Payments!$G$5:$G$1204,Payments!$I$5:$I$1204,A841,Payments!$E$5:$E$1204,"Deposit"),2))</f>
        <v>0</v>
      </c>
      <c r="AB841" s="26">
        <f>IF(B841="","",ROUND(SUMIFS(Sales!$Y$5:$Y$1204,Sales!$C$5:$C$1204,A841),2))</f>
        <v>0</v>
      </c>
      <c r="AC841" s="38">
        <f>IF(B841="","",IF(M841="Completed","Yes",IF(M841="Cancelled","Yes",IF(M841="No show","Yes","No"))))</f>
        <v>0</v>
      </c>
      <c r="AD841" s="25">
        <f>IF(B841="","",IF(AE841="","",B841-AE841))</f>
        <v>0</v>
      </c>
      <c r="AF841" s="38">
        <f>IF(B841="","",IF(M841&lt;&gt;"Completed","",IF(E841="","No",IF(COUNTIFS(Appointments!$E$5:$E$1204,E841,Appointments!$B$5:$B$1204,"&gt;"&amp;B841,Appointments!$M$5:$M$1204,"&lt;&gt;Cancelled")&gt;0,"Yes","No"))))</f>
        <v>0</v>
      </c>
      <c r="AG841" s="38">
        <f>IF(B841="","",IF(I841="","",IF(D841="","",IF(COUNTIFS($I$5:$I$1204,I841,$B$5:$B$1204,B841,$D$5:$D$1204,"&lt;"&amp;V841,$V$5:$V$1204,"&gt;"&amp;D841,$M$5:$M$1204,"&lt;&gt;Cancelled")&gt;1,"Clash",""))))</f>
        <v>0</v>
      </c>
      <c r="AH841" s="39">
        <f>IF(B841="","",IF(AG841="Clash","Clash - stylist double booked",IF(I841="","Assign - no stylist yet",IF(G841="","Add - no service chosen",IF(M841="No show","No show - charge the fee?",IF(M841="Cancelled","",IF(IF(M841="Completed",AB841&lt;Y841-0.004,FALSE),"Unpaid - nothing rung up for this visit",IF(IF(B841&lt;TodayDate,M841="Booked",FALSE),"Overdue - past date, still only Booked",IF(IF(B841=TodayDate,TRUE,FALSE),"Today",IF(IF(Z841&gt;0,AA841&lt;Z841-0.004,FALSE),"Due - deposit not taken",IF(IF(B841&gt;TodayDate,B841&lt;=TodayDate+2,FALSE),"Confirm - coming up","OK")))))))))))</f>
        <v>0</v>
      </c>
    </row>
    <row r="842" spans="1:34">
      <c r="A842" s="28">
        <f>IF(B842="","",AppointmentPrefix&amp;TEXT(ROW()-4,"0000"))</f>
        <v>0</v>
      </c>
      <c r="C842" s="15">
        <f>IF(B842="","",TEXT(B842,"ddd"))</f>
        <v>0</v>
      </c>
      <c r="F842" s="15">
        <f>IF(E842="","",IFERROR(INDEX(Clients!$B$5:$B$504,MATCH(E842,Clients!$A$5:$A$504,0)),"Walk-in"))</f>
        <v>0</v>
      </c>
      <c r="H842" s="15">
        <f>IF(G842="","",IFERROR(INDEX(Services!$B$5:$B$204,MATCH(G842,Services!$A$5:$A$204,0)),"Not in Services"))</f>
        <v>0</v>
      </c>
      <c r="J842" s="15">
        <f>IF(I842="","",IFERROR(INDEX(Staff!$B$5:$B$44,MATCH(I842,Staff!$A$5:$A$44,0)),"Unassigned"))</f>
        <v>0</v>
      </c>
      <c r="S842" s="15">
        <f>IF(B842="","",TEXT(B842,"yyyy-mm"))</f>
        <v>0</v>
      </c>
      <c r="T842" s="25">
        <f>IF(B842="","",WEEKNUM(B842,2))</f>
        <v>0</v>
      </c>
      <c r="U842" s="25">
        <f>IF(B842="","",IF(K842&lt;&gt;"",K842,IFERROR(INDEX(Services!$E$5:$E$204,MATCH(G842,Services!$A$5:$A$204,0))*1,0)+IFERROR(INDEX(Services!$F$5:$F$204,MATCH(G842,Services!$A$5:$A$204,0))*1,0)))</f>
        <v>0</v>
      </c>
      <c r="V842" s="36">
        <f>IF(B842="","",IF(D842="","",D842+U842/1440))</f>
        <v>0</v>
      </c>
      <c r="W842" s="25">
        <f>IF(B842="","",IF(D842="","",HOUR(D842)))</f>
        <v>0</v>
      </c>
      <c r="X842" s="37">
        <f>IF(B842="","",ROUND(U842/60,2))</f>
        <v>0</v>
      </c>
      <c r="Y842" s="26">
        <f>IF(B842="","",IF(L842&lt;&gt;"",L842,IFERROR(INDEX(Services!$G$5:$G$204,MATCH(G842,Services!$A$5:$A$204,0))*1,0)))</f>
        <v>0</v>
      </c>
      <c r="Z842" s="26">
        <f>IF(B842="","",IF(O842&lt;&gt;"",O842,IF(Y842&gt;=DepositThreshold,ROUND(Y842*DepositPercent,2),0)))</f>
        <v>0</v>
      </c>
      <c r="AA842" s="26">
        <f>IF(B842="","",ROUND(SUMIFS(Payments!$G$5:$G$1204,Payments!$I$5:$I$1204,A842,Payments!$E$5:$E$1204,"Deposit"),2))</f>
        <v>0</v>
      </c>
      <c r="AB842" s="26">
        <f>IF(B842="","",ROUND(SUMIFS(Sales!$Y$5:$Y$1204,Sales!$C$5:$C$1204,A842),2))</f>
        <v>0</v>
      </c>
      <c r="AC842" s="38">
        <f>IF(B842="","",IF(M842="Completed","Yes",IF(M842="Cancelled","Yes",IF(M842="No show","Yes","No"))))</f>
        <v>0</v>
      </c>
      <c r="AD842" s="25">
        <f>IF(B842="","",IF(AE842="","",B842-AE842))</f>
        <v>0</v>
      </c>
      <c r="AF842" s="38">
        <f>IF(B842="","",IF(M842&lt;&gt;"Completed","",IF(E842="","No",IF(COUNTIFS(Appointments!$E$5:$E$1204,E842,Appointments!$B$5:$B$1204,"&gt;"&amp;B842,Appointments!$M$5:$M$1204,"&lt;&gt;Cancelled")&gt;0,"Yes","No"))))</f>
        <v>0</v>
      </c>
      <c r="AG842" s="38">
        <f>IF(B842="","",IF(I842="","",IF(D842="","",IF(COUNTIFS($I$5:$I$1204,I842,$B$5:$B$1204,B842,$D$5:$D$1204,"&lt;"&amp;V842,$V$5:$V$1204,"&gt;"&amp;D842,$M$5:$M$1204,"&lt;&gt;Cancelled")&gt;1,"Clash",""))))</f>
        <v>0</v>
      </c>
      <c r="AH842" s="39">
        <f>IF(B842="","",IF(AG842="Clash","Clash - stylist double booked",IF(I842="","Assign - no stylist yet",IF(G842="","Add - no service chosen",IF(M842="No show","No show - charge the fee?",IF(M842="Cancelled","",IF(IF(M842="Completed",AB842&lt;Y842-0.004,FALSE),"Unpaid - nothing rung up for this visit",IF(IF(B842&lt;TodayDate,M842="Booked",FALSE),"Overdue - past date, still only Booked",IF(IF(B842=TodayDate,TRUE,FALSE),"Today",IF(IF(Z842&gt;0,AA842&lt;Z842-0.004,FALSE),"Due - deposit not taken",IF(IF(B842&gt;TodayDate,B842&lt;=TodayDate+2,FALSE),"Confirm - coming up","OK")))))))))))</f>
        <v>0</v>
      </c>
    </row>
    <row r="843" spans="1:34">
      <c r="A843" s="28">
        <f>IF(B843="","",AppointmentPrefix&amp;TEXT(ROW()-4,"0000"))</f>
        <v>0</v>
      </c>
      <c r="C843" s="15">
        <f>IF(B843="","",TEXT(B843,"ddd"))</f>
        <v>0</v>
      </c>
      <c r="F843" s="15">
        <f>IF(E843="","",IFERROR(INDEX(Clients!$B$5:$B$504,MATCH(E843,Clients!$A$5:$A$504,0)),"Walk-in"))</f>
        <v>0</v>
      </c>
      <c r="H843" s="15">
        <f>IF(G843="","",IFERROR(INDEX(Services!$B$5:$B$204,MATCH(G843,Services!$A$5:$A$204,0)),"Not in Services"))</f>
        <v>0</v>
      </c>
      <c r="J843" s="15">
        <f>IF(I843="","",IFERROR(INDEX(Staff!$B$5:$B$44,MATCH(I843,Staff!$A$5:$A$44,0)),"Unassigned"))</f>
        <v>0</v>
      </c>
      <c r="S843" s="15">
        <f>IF(B843="","",TEXT(B843,"yyyy-mm"))</f>
        <v>0</v>
      </c>
      <c r="T843" s="25">
        <f>IF(B843="","",WEEKNUM(B843,2))</f>
        <v>0</v>
      </c>
      <c r="U843" s="25">
        <f>IF(B843="","",IF(K843&lt;&gt;"",K843,IFERROR(INDEX(Services!$E$5:$E$204,MATCH(G843,Services!$A$5:$A$204,0))*1,0)+IFERROR(INDEX(Services!$F$5:$F$204,MATCH(G843,Services!$A$5:$A$204,0))*1,0)))</f>
        <v>0</v>
      </c>
      <c r="V843" s="36">
        <f>IF(B843="","",IF(D843="","",D843+U843/1440))</f>
        <v>0</v>
      </c>
      <c r="W843" s="25">
        <f>IF(B843="","",IF(D843="","",HOUR(D843)))</f>
        <v>0</v>
      </c>
      <c r="X843" s="37">
        <f>IF(B843="","",ROUND(U843/60,2))</f>
        <v>0</v>
      </c>
      <c r="Y843" s="26">
        <f>IF(B843="","",IF(L843&lt;&gt;"",L843,IFERROR(INDEX(Services!$G$5:$G$204,MATCH(G843,Services!$A$5:$A$204,0))*1,0)))</f>
        <v>0</v>
      </c>
      <c r="Z843" s="26">
        <f>IF(B843="","",IF(O843&lt;&gt;"",O843,IF(Y843&gt;=DepositThreshold,ROUND(Y843*DepositPercent,2),0)))</f>
        <v>0</v>
      </c>
      <c r="AA843" s="26">
        <f>IF(B843="","",ROUND(SUMIFS(Payments!$G$5:$G$1204,Payments!$I$5:$I$1204,A843,Payments!$E$5:$E$1204,"Deposit"),2))</f>
        <v>0</v>
      </c>
      <c r="AB843" s="26">
        <f>IF(B843="","",ROUND(SUMIFS(Sales!$Y$5:$Y$1204,Sales!$C$5:$C$1204,A843),2))</f>
        <v>0</v>
      </c>
      <c r="AC843" s="38">
        <f>IF(B843="","",IF(M843="Completed","Yes",IF(M843="Cancelled","Yes",IF(M843="No show","Yes","No"))))</f>
        <v>0</v>
      </c>
      <c r="AD843" s="25">
        <f>IF(B843="","",IF(AE843="","",B843-AE843))</f>
        <v>0</v>
      </c>
      <c r="AF843" s="38">
        <f>IF(B843="","",IF(M843&lt;&gt;"Completed","",IF(E843="","No",IF(COUNTIFS(Appointments!$E$5:$E$1204,E843,Appointments!$B$5:$B$1204,"&gt;"&amp;B843,Appointments!$M$5:$M$1204,"&lt;&gt;Cancelled")&gt;0,"Yes","No"))))</f>
        <v>0</v>
      </c>
      <c r="AG843" s="38">
        <f>IF(B843="","",IF(I843="","",IF(D843="","",IF(COUNTIFS($I$5:$I$1204,I843,$B$5:$B$1204,B843,$D$5:$D$1204,"&lt;"&amp;V843,$V$5:$V$1204,"&gt;"&amp;D843,$M$5:$M$1204,"&lt;&gt;Cancelled")&gt;1,"Clash",""))))</f>
        <v>0</v>
      </c>
      <c r="AH843" s="39">
        <f>IF(B843="","",IF(AG843="Clash","Clash - stylist double booked",IF(I843="","Assign - no stylist yet",IF(G843="","Add - no service chosen",IF(M843="No show","No show - charge the fee?",IF(M843="Cancelled","",IF(IF(M843="Completed",AB843&lt;Y843-0.004,FALSE),"Unpaid - nothing rung up for this visit",IF(IF(B843&lt;TodayDate,M843="Booked",FALSE),"Overdue - past date, still only Booked",IF(IF(B843=TodayDate,TRUE,FALSE),"Today",IF(IF(Z843&gt;0,AA843&lt;Z843-0.004,FALSE),"Due - deposit not taken",IF(IF(B843&gt;TodayDate,B843&lt;=TodayDate+2,FALSE),"Confirm - coming up","OK")))))))))))</f>
        <v>0</v>
      </c>
    </row>
    <row r="844" spans="1:34">
      <c r="A844" s="28">
        <f>IF(B844="","",AppointmentPrefix&amp;TEXT(ROW()-4,"0000"))</f>
        <v>0</v>
      </c>
      <c r="C844" s="15">
        <f>IF(B844="","",TEXT(B844,"ddd"))</f>
        <v>0</v>
      </c>
      <c r="F844" s="15">
        <f>IF(E844="","",IFERROR(INDEX(Clients!$B$5:$B$504,MATCH(E844,Clients!$A$5:$A$504,0)),"Walk-in"))</f>
        <v>0</v>
      </c>
      <c r="H844" s="15">
        <f>IF(G844="","",IFERROR(INDEX(Services!$B$5:$B$204,MATCH(G844,Services!$A$5:$A$204,0)),"Not in Services"))</f>
        <v>0</v>
      </c>
      <c r="J844" s="15">
        <f>IF(I844="","",IFERROR(INDEX(Staff!$B$5:$B$44,MATCH(I844,Staff!$A$5:$A$44,0)),"Unassigned"))</f>
        <v>0</v>
      </c>
      <c r="S844" s="15">
        <f>IF(B844="","",TEXT(B844,"yyyy-mm"))</f>
        <v>0</v>
      </c>
      <c r="T844" s="25">
        <f>IF(B844="","",WEEKNUM(B844,2))</f>
        <v>0</v>
      </c>
      <c r="U844" s="25">
        <f>IF(B844="","",IF(K844&lt;&gt;"",K844,IFERROR(INDEX(Services!$E$5:$E$204,MATCH(G844,Services!$A$5:$A$204,0))*1,0)+IFERROR(INDEX(Services!$F$5:$F$204,MATCH(G844,Services!$A$5:$A$204,0))*1,0)))</f>
        <v>0</v>
      </c>
      <c r="V844" s="36">
        <f>IF(B844="","",IF(D844="","",D844+U844/1440))</f>
        <v>0</v>
      </c>
      <c r="W844" s="25">
        <f>IF(B844="","",IF(D844="","",HOUR(D844)))</f>
        <v>0</v>
      </c>
      <c r="X844" s="37">
        <f>IF(B844="","",ROUND(U844/60,2))</f>
        <v>0</v>
      </c>
      <c r="Y844" s="26">
        <f>IF(B844="","",IF(L844&lt;&gt;"",L844,IFERROR(INDEX(Services!$G$5:$G$204,MATCH(G844,Services!$A$5:$A$204,0))*1,0)))</f>
        <v>0</v>
      </c>
      <c r="Z844" s="26">
        <f>IF(B844="","",IF(O844&lt;&gt;"",O844,IF(Y844&gt;=DepositThreshold,ROUND(Y844*DepositPercent,2),0)))</f>
        <v>0</v>
      </c>
      <c r="AA844" s="26">
        <f>IF(B844="","",ROUND(SUMIFS(Payments!$G$5:$G$1204,Payments!$I$5:$I$1204,A844,Payments!$E$5:$E$1204,"Deposit"),2))</f>
        <v>0</v>
      </c>
      <c r="AB844" s="26">
        <f>IF(B844="","",ROUND(SUMIFS(Sales!$Y$5:$Y$1204,Sales!$C$5:$C$1204,A844),2))</f>
        <v>0</v>
      </c>
      <c r="AC844" s="38">
        <f>IF(B844="","",IF(M844="Completed","Yes",IF(M844="Cancelled","Yes",IF(M844="No show","Yes","No"))))</f>
        <v>0</v>
      </c>
      <c r="AD844" s="25">
        <f>IF(B844="","",IF(AE844="","",B844-AE844))</f>
        <v>0</v>
      </c>
      <c r="AF844" s="38">
        <f>IF(B844="","",IF(M844&lt;&gt;"Completed","",IF(E844="","No",IF(COUNTIFS(Appointments!$E$5:$E$1204,E844,Appointments!$B$5:$B$1204,"&gt;"&amp;B844,Appointments!$M$5:$M$1204,"&lt;&gt;Cancelled")&gt;0,"Yes","No"))))</f>
        <v>0</v>
      </c>
      <c r="AG844" s="38">
        <f>IF(B844="","",IF(I844="","",IF(D844="","",IF(COUNTIFS($I$5:$I$1204,I844,$B$5:$B$1204,B844,$D$5:$D$1204,"&lt;"&amp;V844,$V$5:$V$1204,"&gt;"&amp;D844,$M$5:$M$1204,"&lt;&gt;Cancelled")&gt;1,"Clash",""))))</f>
        <v>0</v>
      </c>
      <c r="AH844" s="39">
        <f>IF(B844="","",IF(AG844="Clash","Clash - stylist double booked",IF(I844="","Assign - no stylist yet",IF(G844="","Add - no service chosen",IF(M844="No show","No show - charge the fee?",IF(M844="Cancelled","",IF(IF(M844="Completed",AB844&lt;Y844-0.004,FALSE),"Unpaid - nothing rung up for this visit",IF(IF(B844&lt;TodayDate,M844="Booked",FALSE),"Overdue - past date, still only Booked",IF(IF(B844=TodayDate,TRUE,FALSE),"Today",IF(IF(Z844&gt;0,AA844&lt;Z844-0.004,FALSE),"Due - deposit not taken",IF(IF(B844&gt;TodayDate,B844&lt;=TodayDate+2,FALSE),"Confirm - coming up","OK")))))))))))</f>
        <v>0</v>
      </c>
    </row>
    <row r="845" spans="1:34">
      <c r="A845" s="28">
        <f>IF(B845="","",AppointmentPrefix&amp;TEXT(ROW()-4,"0000"))</f>
        <v>0</v>
      </c>
      <c r="C845" s="15">
        <f>IF(B845="","",TEXT(B845,"ddd"))</f>
        <v>0</v>
      </c>
      <c r="F845" s="15">
        <f>IF(E845="","",IFERROR(INDEX(Clients!$B$5:$B$504,MATCH(E845,Clients!$A$5:$A$504,0)),"Walk-in"))</f>
        <v>0</v>
      </c>
      <c r="H845" s="15">
        <f>IF(G845="","",IFERROR(INDEX(Services!$B$5:$B$204,MATCH(G845,Services!$A$5:$A$204,0)),"Not in Services"))</f>
        <v>0</v>
      </c>
      <c r="J845" s="15">
        <f>IF(I845="","",IFERROR(INDEX(Staff!$B$5:$B$44,MATCH(I845,Staff!$A$5:$A$44,0)),"Unassigned"))</f>
        <v>0</v>
      </c>
      <c r="S845" s="15">
        <f>IF(B845="","",TEXT(B845,"yyyy-mm"))</f>
        <v>0</v>
      </c>
      <c r="T845" s="25">
        <f>IF(B845="","",WEEKNUM(B845,2))</f>
        <v>0</v>
      </c>
      <c r="U845" s="25">
        <f>IF(B845="","",IF(K845&lt;&gt;"",K845,IFERROR(INDEX(Services!$E$5:$E$204,MATCH(G845,Services!$A$5:$A$204,0))*1,0)+IFERROR(INDEX(Services!$F$5:$F$204,MATCH(G845,Services!$A$5:$A$204,0))*1,0)))</f>
        <v>0</v>
      </c>
      <c r="V845" s="36">
        <f>IF(B845="","",IF(D845="","",D845+U845/1440))</f>
        <v>0</v>
      </c>
      <c r="W845" s="25">
        <f>IF(B845="","",IF(D845="","",HOUR(D845)))</f>
        <v>0</v>
      </c>
      <c r="X845" s="37">
        <f>IF(B845="","",ROUND(U845/60,2))</f>
        <v>0</v>
      </c>
      <c r="Y845" s="26">
        <f>IF(B845="","",IF(L845&lt;&gt;"",L845,IFERROR(INDEX(Services!$G$5:$G$204,MATCH(G845,Services!$A$5:$A$204,0))*1,0)))</f>
        <v>0</v>
      </c>
      <c r="Z845" s="26">
        <f>IF(B845="","",IF(O845&lt;&gt;"",O845,IF(Y845&gt;=DepositThreshold,ROUND(Y845*DepositPercent,2),0)))</f>
        <v>0</v>
      </c>
      <c r="AA845" s="26">
        <f>IF(B845="","",ROUND(SUMIFS(Payments!$G$5:$G$1204,Payments!$I$5:$I$1204,A845,Payments!$E$5:$E$1204,"Deposit"),2))</f>
        <v>0</v>
      </c>
      <c r="AB845" s="26">
        <f>IF(B845="","",ROUND(SUMIFS(Sales!$Y$5:$Y$1204,Sales!$C$5:$C$1204,A845),2))</f>
        <v>0</v>
      </c>
      <c r="AC845" s="38">
        <f>IF(B845="","",IF(M845="Completed","Yes",IF(M845="Cancelled","Yes",IF(M845="No show","Yes","No"))))</f>
        <v>0</v>
      </c>
      <c r="AD845" s="25">
        <f>IF(B845="","",IF(AE845="","",B845-AE845))</f>
        <v>0</v>
      </c>
      <c r="AF845" s="38">
        <f>IF(B845="","",IF(M845&lt;&gt;"Completed","",IF(E845="","No",IF(COUNTIFS(Appointments!$E$5:$E$1204,E845,Appointments!$B$5:$B$1204,"&gt;"&amp;B845,Appointments!$M$5:$M$1204,"&lt;&gt;Cancelled")&gt;0,"Yes","No"))))</f>
        <v>0</v>
      </c>
      <c r="AG845" s="38">
        <f>IF(B845="","",IF(I845="","",IF(D845="","",IF(COUNTIFS($I$5:$I$1204,I845,$B$5:$B$1204,B845,$D$5:$D$1204,"&lt;"&amp;V845,$V$5:$V$1204,"&gt;"&amp;D845,$M$5:$M$1204,"&lt;&gt;Cancelled")&gt;1,"Clash",""))))</f>
        <v>0</v>
      </c>
      <c r="AH845" s="39">
        <f>IF(B845="","",IF(AG845="Clash","Clash - stylist double booked",IF(I845="","Assign - no stylist yet",IF(G845="","Add - no service chosen",IF(M845="No show","No show - charge the fee?",IF(M845="Cancelled","",IF(IF(M845="Completed",AB845&lt;Y845-0.004,FALSE),"Unpaid - nothing rung up for this visit",IF(IF(B845&lt;TodayDate,M845="Booked",FALSE),"Overdue - past date, still only Booked",IF(IF(B845=TodayDate,TRUE,FALSE),"Today",IF(IF(Z845&gt;0,AA845&lt;Z845-0.004,FALSE),"Due - deposit not taken",IF(IF(B845&gt;TodayDate,B845&lt;=TodayDate+2,FALSE),"Confirm - coming up","OK")))))))))))</f>
        <v>0</v>
      </c>
    </row>
    <row r="846" spans="1:34">
      <c r="A846" s="28">
        <f>IF(B846="","",AppointmentPrefix&amp;TEXT(ROW()-4,"0000"))</f>
        <v>0</v>
      </c>
      <c r="C846" s="15">
        <f>IF(B846="","",TEXT(B846,"ddd"))</f>
        <v>0</v>
      </c>
      <c r="F846" s="15">
        <f>IF(E846="","",IFERROR(INDEX(Clients!$B$5:$B$504,MATCH(E846,Clients!$A$5:$A$504,0)),"Walk-in"))</f>
        <v>0</v>
      </c>
      <c r="H846" s="15">
        <f>IF(G846="","",IFERROR(INDEX(Services!$B$5:$B$204,MATCH(G846,Services!$A$5:$A$204,0)),"Not in Services"))</f>
        <v>0</v>
      </c>
      <c r="J846" s="15">
        <f>IF(I846="","",IFERROR(INDEX(Staff!$B$5:$B$44,MATCH(I846,Staff!$A$5:$A$44,0)),"Unassigned"))</f>
        <v>0</v>
      </c>
      <c r="S846" s="15">
        <f>IF(B846="","",TEXT(B846,"yyyy-mm"))</f>
        <v>0</v>
      </c>
      <c r="T846" s="25">
        <f>IF(B846="","",WEEKNUM(B846,2))</f>
        <v>0</v>
      </c>
      <c r="U846" s="25">
        <f>IF(B846="","",IF(K846&lt;&gt;"",K846,IFERROR(INDEX(Services!$E$5:$E$204,MATCH(G846,Services!$A$5:$A$204,0))*1,0)+IFERROR(INDEX(Services!$F$5:$F$204,MATCH(G846,Services!$A$5:$A$204,0))*1,0)))</f>
        <v>0</v>
      </c>
      <c r="V846" s="36">
        <f>IF(B846="","",IF(D846="","",D846+U846/1440))</f>
        <v>0</v>
      </c>
      <c r="W846" s="25">
        <f>IF(B846="","",IF(D846="","",HOUR(D846)))</f>
        <v>0</v>
      </c>
      <c r="X846" s="37">
        <f>IF(B846="","",ROUND(U846/60,2))</f>
        <v>0</v>
      </c>
      <c r="Y846" s="26">
        <f>IF(B846="","",IF(L846&lt;&gt;"",L846,IFERROR(INDEX(Services!$G$5:$G$204,MATCH(G846,Services!$A$5:$A$204,0))*1,0)))</f>
        <v>0</v>
      </c>
      <c r="Z846" s="26">
        <f>IF(B846="","",IF(O846&lt;&gt;"",O846,IF(Y846&gt;=DepositThreshold,ROUND(Y846*DepositPercent,2),0)))</f>
        <v>0</v>
      </c>
      <c r="AA846" s="26">
        <f>IF(B846="","",ROUND(SUMIFS(Payments!$G$5:$G$1204,Payments!$I$5:$I$1204,A846,Payments!$E$5:$E$1204,"Deposit"),2))</f>
        <v>0</v>
      </c>
      <c r="AB846" s="26">
        <f>IF(B846="","",ROUND(SUMIFS(Sales!$Y$5:$Y$1204,Sales!$C$5:$C$1204,A846),2))</f>
        <v>0</v>
      </c>
      <c r="AC846" s="38">
        <f>IF(B846="","",IF(M846="Completed","Yes",IF(M846="Cancelled","Yes",IF(M846="No show","Yes","No"))))</f>
        <v>0</v>
      </c>
      <c r="AD846" s="25">
        <f>IF(B846="","",IF(AE846="","",B846-AE846))</f>
        <v>0</v>
      </c>
      <c r="AF846" s="38">
        <f>IF(B846="","",IF(M846&lt;&gt;"Completed","",IF(E846="","No",IF(COUNTIFS(Appointments!$E$5:$E$1204,E846,Appointments!$B$5:$B$1204,"&gt;"&amp;B846,Appointments!$M$5:$M$1204,"&lt;&gt;Cancelled")&gt;0,"Yes","No"))))</f>
        <v>0</v>
      </c>
      <c r="AG846" s="38">
        <f>IF(B846="","",IF(I846="","",IF(D846="","",IF(COUNTIFS($I$5:$I$1204,I846,$B$5:$B$1204,B846,$D$5:$D$1204,"&lt;"&amp;V846,$V$5:$V$1204,"&gt;"&amp;D846,$M$5:$M$1204,"&lt;&gt;Cancelled")&gt;1,"Clash",""))))</f>
        <v>0</v>
      </c>
      <c r="AH846" s="39">
        <f>IF(B846="","",IF(AG846="Clash","Clash - stylist double booked",IF(I846="","Assign - no stylist yet",IF(G846="","Add - no service chosen",IF(M846="No show","No show - charge the fee?",IF(M846="Cancelled","",IF(IF(M846="Completed",AB846&lt;Y846-0.004,FALSE),"Unpaid - nothing rung up for this visit",IF(IF(B846&lt;TodayDate,M846="Booked",FALSE),"Overdue - past date, still only Booked",IF(IF(B846=TodayDate,TRUE,FALSE),"Today",IF(IF(Z846&gt;0,AA846&lt;Z846-0.004,FALSE),"Due - deposit not taken",IF(IF(B846&gt;TodayDate,B846&lt;=TodayDate+2,FALSE),"Confirm - coming up","OK")))))))))))</f>
        <v>0</v>
      </c>
    </row>
    <row r="847" spans="1:34">
      <c r="A847" s="28">
        <f>IF(B847="","",AppointmentPrefix&amp;TEXT(ROW()-4,"0000"))</f>
        <v>0</v>
      </c>
      <c r="C847" s="15">
        <f>IF(B847="","",TEXT(B847,"ddd"))</f>
        <v>0</v>
      </c>
      <c r="F847" s="15">
        <f>IF(E847="","",IFERROR(INDEX(Clients!$B$5:$B$504,MATCH(E847,Clients!$A$5:$A$504,0)),"Walk-in"))</f>
        <v>0</v>
      </c>
      <c r="H847" s="15">
        <f>IF(G847="","",IFERROR(INDEX(Services!$B$5:$B$204,MATCH(G847,Services!$A$5:$A$204,0)),"Not in Services"))</f>
        <v>0</v>
      </c>
      <c r="J847" s="15">
        <f>IF(I847="","",IFERROR(INDEX(Staff!$B$5:$B$44,MATCH(I847,Staff!$A$5:$A$44,0)),"Unassigned"))</f>
        <v>0</v>
      </c>
      <c r="S847" s="15">
        <f>IF(B847="","",TEXT(B847,"yyyy-mm"))</f>
        <v>0</v>
      </c>
      <c r="T847" s="25">
        <f>IF(B847="","",WEEKNUM(B847,2))</f>
        <v>0</v>
      </c>
      <c r="U847" s="25">
        <f>IF(B847="","",IF(K847&lt;&gt;"",K847,IFERROR(INDEX(Services!$E$5:$E$204,MATCH(G847,Services!$A$5:$A$204,0))*1,0)+IFERROR(INDEX(Services!$F$5:$F$204,MATCH(G847,Services!$A$5:$A$204,0))*1,0)))</f>
        <v>0</v>
      </c>
      <c r="V847" s="36">
        <f>IF(B847="","",IF(D847="","",D847+U847/1440))</f>
        <v>0</v>
      </c>
      <c r="W847" s="25">
        <f>IF(B847="","",IF(D847="","",HOUR(D847)))</f>
        <v>0</v>
      </c>
      <c r="X847" s="37">
        <f>IF(B847="","",ROUND(U847/60,2))</f>
        <v>0</v>
      </c>
      <c r="Y847" s="26">
        <f>IF(B847="","",IF(L847&lt;&gt;"",L847,IFERROR(INDEX(Services!$G$5:$G$204,MATCH(G847,Services!$A$5:$A$204,0))*1,0)))</f>
        <v>0</v>
      </c>
      <c r="Z847" s="26">
        <f>IF(B847="","",IF(O847&lt;&gt;"",O847,IF(Y847&gt;=DepositThreshold,ROUND(Y847*DepositPercent,2),0)))</f>
        <v>0</v>
      </c>
      <c r="AA847" s="26">
        <f>IF(B847="","",ROUND(SUMIFS(Payments!$G$5:$G$1204,Payments!$I$5:$I$1204,A847,Payments!$E$5:$E$1204,"Deposit"),2))</f>
        <v>0</v>
      </c>
      <c r="AB847" s="26">
        <f>IF(B847="","",ROUND(SUMIFS(Sales!$Y$5:$Y$1204,Sales!$C$5:$C$1204,A847),2))</f>
        <v>0</v>
      </c>
      <c r="AC847" s="38">
        <f>IF(B847="","",IF(M847="Completed","Yes",IF(M847="Cancelled","Yes",IF(M847="No show","Yes","No"))))</f>
        <v>0</v>
      </c>
      <c r="AD847" s="25">
        <f>IF(B847="","",IF(AE847="","",B847-AE847))</f>
        <v>0</v>
      </c>
      <c r="AF847" s="38">
        <f>IF(B847="","",IF(M847&lt;&gt;"Completed","",IF(E847="","No",IF(COUNTIFS(Appointments!$E$5:$E$1204,E847,Appointments!$B$5:$B$1204,"&gt;"&amp;B847,Appointments!$M$5:$M$1204,"&lt;&gt;Cancelled")&gt;0,"Yes","No"))))</f>
        <v>0</v>
      </c>
      <c r="AG847" s="38">
        <f>IF(B847="","",IF(I847="","",IF(D847="","",IF(COUNTIFS($I$5:$I$1204,I847,$B$5:$B$1204,B847,$D$5:$D$1204,"&lt;"&amp;V847,$V$5:$V$1204,"&gt;"&amp;D847,$M$5:$M$1204,"&lt;&gt;Cancelled")&gt;1,"Clash",""))))</f>
        <v>0</v>
      </c>
      <c r="AH847" s="39">
        <f>IF(B847="","",IF(AG847="Clash","Clash - stylist double booked",IF(I847="","Assign - no stylist yet",IF(G847="","Add - no service chosen",IF(M847="No show","No show - charge the fee?",IF(M847="Cancelled","",IF(IF(M847="Completed",AB847&lt;Y847-0.004,FALSE),"Unpaid - nothing rung up for this visit",IF(IF(B847&lt;TodayDate,M847="Booked",FALSE),"Overdue - past date, still only Booked",IF(IF(B847=TodayDate,TRUE,FALSE),"Today",IF(IF(Z847&gt;0,AA847&lt;Z847-0.004,FALSE),"Due - deposit not taken",IF(IF(B847&gt;TodayDate,B847&lt;=TodayDate+2,FALSE),"Confirm - coming up","OK")))))))))))</f>
        <v>0</v>
      </c>
    </row>
    <row r="848" spans="1:34">
      <c r="A848" s="28">
        <f>IF(B848="","",AppointmentPrefix&amp;TEXT(ROW()-4,"0000"))</f>
        <v>0</v>
      </c>
      <c r="C848" s="15">
        <f>IF(B848="","",TEXT(B848,"ddd"))</f>
        <v>0</v>
      </c>
      <c r="F848" s="15">
        <f>IF(E848="","",IFERROR(INDEX(Clients!$B$5:$B$504,MATCH(E848,Clients!$A$5:$A$504,0)),"Walk-in"))</f>
        <v>0</v>
      </c>
      <c r="H848" s="15">
        <f>IF(G848="","",IFERROR(INDEX(Services!$B$5:$B$204,MATCH(G848,Services!$A$5:$A$204,0)),"Not in Services"))</f>
        <v>0</v>
      </c>
      <c r="J848" s="15">
        <f>IF(I848="","",IFERROR(INDEX(Staff!$B$5:$B$44,MATCH(I848,Staff!$A$5:$A$44,0)),"Unassigned"))</f>
        <v>0</v>
      </c>
      <c r="S848" s="15">
        <f>IF(B848="","",TEXT(B848,"yyyy-mm"))</f>
        <v>0</v>
      </c>
      <c r="T848" s="25">
        <f>IF(B848="","",WEEKNUM(B848,2))</f>
        <v>0</v>
      </c>
      <c r="U848" s="25">
        <f>IF(B848="","",IF(K848&lt;&gt;"",K848,IFERROR(INDEX(Services!$E$5:$E$204,MATCH(G848,Services!$A$5:$A$204,0))*1,0)+IFERROR(INDEX(Services!$F$5:$F$204,MATCH(G848,Services!$A$5:$A$204,0))*1,0)))</f>
        <v>0</v>
      </c>
      <c r="V848" s="36">
        <f>IF(B848="","",IF(D848="","",D848+U848/1440))</f>
        <v>0</v>
      </c>
      <c r="W848" s="25">
        <f>IF(B848="","",IF(D848="","",HOUR(D848)))</f>
        <v>0</v>
      </c>
      <c r="X848" s="37">
        <f>IF(B848="","",ROUND(U848/60,2))</f>
        <v>0</v>
      </c>
      <c r="Y848" s="26">
        <f>IF(B848="","",IF(L848&lt;&gt;"",L848,IFERROR(INDEX(Services!$G$5:$G$204,MATCH(G848,Services!$A$5:$A$204,0))*1,0)))</f>
        <v>0</v>
      </c>
      <c r="Z848" s="26">
        <f>IF(B848="","",IF(O848&lt;&gt;"",O848,IF(Y848&gt;=DepositThreshold,ROUND(Y848*DepositPercent,2),0)))</f>
        <v>0</v>
      </c>
      <c r="AA848" s="26">
        <f>IF(B848="","",ROUND(SUMIFS(Payments!$G$5:$G$1204,Payments!$I$5:$I$1204,A848,Payments!$E$5:$E$1204,"Deposit"),2))</f>
        <v>0</v>
      </c>
      <c r="AB848" s="26">
        <f>IF(B848="","",ROUND(SUMIFS(Sales!$Y$5:$Y$1204,Sales!$C$5:$C$1204,A848),2))</f>
        <v>0</v>
      </c>
      <c r="AC848" s="38">
        <f>IF(B848="","",IF(M848="Completed","Yes",IF(M848="Cancelled","Yes",IF(M848="No show","Yes","No"))))</f>
        <v>0</v>
      </c>
      <c r="AD848" s="25">
        <f>IF(B848="","",IF(AE848="","",B848-AE848))</f>
        <v>0</v>
      </c>
      <c r="AF848" s="38">
        <f>IF(B848="","",IF(M848&lt;&gt;"Completed","",IF(E848="","No",IF(COUNTIFS(Appointments!$E$5:$E$1204,E848,Appointments!$B$5:$B$1204,"&gt;"&amp;B848,Appointments!$M$5:$M$1204,"&lt;&gt;Cancelled")&gt;0,"Yes","No"))))</f>
        <v>0</v>
      </c>
      <c r="AG848" s="38">
        <f>IF(B848="","",IF(I848="","",IF(D848="","",IF(COUNTIFS($I$5:$I$1204,I848,$B$5:$B$1204,B848,$D$5:$D$1204,"&lt;"&amp;V848,$V$5:$V$1204,"&gt;"&amp;D848,$M$5:$M$1204,"&lt;&gt;Cancelled")&gt;1,"Clash",""))))</f>
        <v>0</v>
      </c>
      <c r="AH848" s="39">
        <f>IF(B848="","",IF(AG848="Clash","Clash - stylist double booked",IF(I848="","Assign - no stylist yet",IF(G848="","Add - no service chosen",IF(M848="No show","No show - charge the fee?",IF(M848="Cancelled","",IF(IF(M848="Completed",AB848&lt;Y848-0.004,FALSE),"Unpaid - nothing rung up for this visit",IF(IF(B848&lt;TodayDate,M848="Booked",FALSE),"Overdue - past date, still only Booked",IF(IF(B848=TodayDate,TRUE,FALSE),"Today",IF(IF(Z848&gt;0,AA848&lt;Z848-0.004,FALSE),"Due - deposit not taken",IF(IF(B848&gt;TodayDate,B848&lt;=TodayDate+2,FALSE),"Confirm - coming up","OK")))))))))))</f>
        <v>0</v>
      </c>
    </row>
    <row r="849" spans="1:34">
      <c r="A849" s="28">
        <f>IF(B849="","",AppointmentPrefix&amp;TEXT(ROW()-4,"0000"))</f>
        <v>0</v>
      </c>
      <c r="C849" s="15">
        <f>IF(B849="","",TEXT(B849,"ddd"))</f>
        <v>0</v>
      </c>
      <c r="F849" s="15">
        <f>IF(E849="","",IFERROR(INDEX(Clients!$B$5:$B$504,MATCH(E849,Clients!$A$5:$A$504,0)),"Walk-in"))</f>
        <v>0</v>
      </c>
      <c r="H849" s="15">
        <f>IF(G849="","",IFERROR(INDEX(Services!$B$5:$B$204,MATCH(G849,Services!$A$5:$A$204,0)),"Not in Services"))</f>
        <v>0</v>
      </c>
      <c r="J849" s="15">
        <f>IF(I849="","",IFERROR(INDEX(Staff!$B$5:$B$44,MATCH(I849,Staff!$A$5:$A$44,0)),"Unassigned"))</f>
        <v>0</v>
      </c>
      <c r="S849" s="15">
        <f>IF(B849="","",TEXT(B849,"yyyy-mm"))</f>
        <v>0</v>
      </c>
      <c r="T849" s="25">
        <f>IF(B849="","",WEEKNUM(B849,2))</f>
        <v>0</v>
      </c>
      <c r="U849" s="25">
        <f>IF(B849="","",IF(K849&lt;&gt;"",K849,IFERROR(INDEX(Services!$E$5:$E$204,MATCH(G849,Services!$A$5:$A$204,0))*1,0)+IFERROR(INDEX(Services!$F$5:$F$204,MATCH(G849,Services!$A$5:$A$204,0))*1,0)))</f>
        <v>0</v>
      </c>
      <c r="V849" s="36">
        <f>IF(B849="","",IF(D849="","",D849+U849/1440))</f>
        <v>0</v>
      </c>
      <c r="W849" s="25">
        <f>IF(B849="","",IF(D849="","",HOUR(D849)))</f>
        <v>0</v>
      </c>
      <c r="X849" s="37">
        <f>IF(B849="","",ROUND(U849/60,2))</f>
        <v>0</v>
      </c>
      <c r="Y849" s="26">
        <f>IF(B849="","",IF(L849&lt;&gt;"",L849,IFERROR(INDEX(Services!$G$5:$G$204,MATCH(G849,Services!$A$5:$A$204,0))*1,0)))</f>
        <v>0</v>
      </c>
      <c r="Z849" s="26">
        <f>IF(B849="","",IF(O849&lt;&gt;"",O849,IF(Y849&gt;=DepositThreshold,ROUND(Y849*DepositPercent,2),0)))</f>
        <v>0</v>
      </c>
      <c r="AA849" s="26">
        <f>IF(B849="","",ROUND(SUMIFS(Payments!$G$5:$G$1204,Payments!$I$5:$I$1204,A849,Payments!$E$5:$E$1204,"Deposit"),2))</f>
        <v>0</v>
      </c>
      <c r="AB849" s="26">
        <f>IF(B849="","",ROUND(SUMIFS(Sales!$Y$5:$Y$1204,Sales!$C$5:$C$1204,A849),2))</f>
        <v>0</v>
      </c>
      <c r="AC849" s="38">
        <f>IF(B849="","",IF(M849="Completed","Yes",IF(M849="Cancelled","Yes",IF(M849="No show","Yes","No"))))</f>
        <v>0</v>
      </c>
      <c r="AD849" s="25">
        <f>IF(B849="","",IF(AE849="","",B849-AE849))</f>
        <v>0</v>
      </c>
      <c r="AF849" s="38">
        <f>IF(B849="","",IF(M849&lt;&gt;"Completed","",IF(E849="","No",IF(COUNTIFS(Appointments!$E$5:$E$1204,E849,Appointments!$B$5:$B$1204,"&gt;"&amp;B849,Appointments!$M$5:$M$1204,"&lt;&gt;Cancelled")&gt;0,"Yes","No"))))</f>
        <v>0</v>
      </c>
      <c r="AG849" s="38">
        <f>IF(B849="","",IF(I849="","",IF(D849="","",IF(COUNTIFS($I$5:$I$1204,I849,$B$5:$B$1204,B849,$D$5:$D$1204,"&lt;"&amp;V849,$V$5:$V$1204,"&gt;"&amp;D849,$M$5:$M$1204,"&lt;&gt;Cancelled")&gt;1,"Clash",""))))</f>
        <v>0</v>
      </c>
      <c r="AH849" s="39">
        <f>IF(B849="","",IF(AG849="Clash","Clash - stylist double booked",IF(I849="","Assign - no stylist yet",IF(G849="","Add - no service chosen",IF(M849="No show","No show - charge the fee?",IF(M849="Cancelled","",IF(IF(M849="Completed",AB849&lt;Y849-0.004,FALSE),"Unpaid - nothing rung up for this visit",IF(IF(B849&lt;TodayDate,M849="Booked",FALSE),"Overdue - past date, still only Booked",IF(IF(B849=TodayDate,TRUE,FALSE),"Today",IF(IF(Z849&gt;0,AA849&lt;Z849-0.004,FALSE),"Due - deposit not taken",IF(IF(B849&gt;TodayDate,B849&lt;=TodayDate+2,FALSE),"Confirm - coming up","OK")))))))))))</f>
        <v>0</v>
      </c>
    </row>
    <row r="850" spans="1:34">
      <c r="A850" s="28">
        <f>IF(B850="","",AppointmentPrefix&amp;TEXT(ROW()-4,"0000"))</f>
        <v>0</v>
      </c>
      <c r="C850" s="15">
        <f>IF(B850="","",TEXT(B850,"ddd"))</f>
        <v>0</v>
      </c>
      <c r="F850" s="15">
        <f>IF(E850="","",IFERROR(INDEX(Clients!$B$5:$B$504,MATCH(E850,Clients!$A$5:$A$504,0)),"Walk-in"))</f>
        <v>0</v>
      </c>
      <c r="H850" s="15">
        <f>IF(G850="","",IFERROR(INDEX(Services!$B$5:$B$204,MATCH(G850,Services!$A$5:$A$204,0)),"Not in Services"))</f>
        <v>0</v>
      </c>
      <c r="J850" s="15">
        <f>IF(I850="","",IFERROR(INDEX(Staff!$B$5:$B$44,MATCH(I850,Staff!$A$5:$A$44,0)),"Unassigned"))</f>
        <v>0</v>
      </c>
      <c r="S850" s="15">
        <f>IF(B850="","",TEXT(B850,"yyyy-mm"))</f>
        <v>0</v>
      </c>
      <c r="T850" s="25">
        <f>IF(B850="","",WEEKNUM(B850,2))</f>
        <v>0</v>
      </c>
      <c r="U850" s="25">
        <f>IF(B850="","",IF(K850&lt;&gt;"",K850,IFERROR(INDEX(Services!$E$5:$E$204,MATCH(G850,Services!$A$5:$A$204,0))*1,0)+IFERROR(INDEX(Services!$F$5:$F$204,MATCH(G850,Services!$A$5:$A$204,0))*1,0)))</f>
        <v>0</v>
      </c>
      <c r="V850" s="36">
        <f>IF(B850="","",IF(D850="","",D850+U850/1440))</f>
        <v>0</v>
      </c>
      <c r="W850" s="25">
        <f>IF(B850="","",IF(D850="","",HOUR(D850)))</f>
        <v>0</v>
      </c>
      <c r="X850" s="37">
        <f>IF(B850="","",ROUND(U850/60,2))</f>
        <v>0</v>
      </c>
      <c r="Y850" s="26">
        <f>IF(B850="","",IF(L850&lt;&gt;"",L850,IFERROR(INDEX(Services!$G$5:$G$204,MATCH(G850,Services!$A$5:$A$204,0))*1,0)))</f>
        <v>0</v>
      </c>
      <c r="Z850" s="26">
        <f>IF(B850="","",IF(O850&lt;&gt;"",O850,IF(Y850&gt;=DepositThreshold,ROUND(Y850*DepositPercent,2),0)))</f>
        <v>0</v>
      </c>
      <c r="AA850" s="26">
        <f>IF(B850="","",ROUND(SUMIFS(Payments!$G$5:$G$1204,Payments!$I$5:$I$1204,A850,Payments!$E$5:$E$1204,"Deposit"),2))</f>
        <v>0</v>
      </c>
      <c r="AB850" s="26">
        <f>IF(B850="","",ROUND(SUMIFS(Sales!$Y$5:$Y$1204,Sales!$C$5:$C$1204,A850),2))</f>
        <v>0</v>
      </c>
      <c r="AC850" s="38">
        <f>IF(B850="","",IF(M850="Completed","Yes",IF(M850="Cancelled","Yes",IF(M850="No show","Yes","No"))))</f>
        <v>0</v>
      </c>
      <c r="AD850" s="25">
        <f>IF(B850="","",IF(AE850="","",B850-AE850))</f>
        <v>0</v>
      </c>
      <c r="AF850" s="38">
        <f>IF(B850="","",IF(M850&lt;&gt;"Completed","",IF(E850="","No",IF(COUNTIFS(Appointments!$E$5:$E$1204,E850,Appointments!$B$5:$B$1204,"&gt;"&amp;B850,Appointments!$M$5:$M$1204,"&lt;&gt;Cancelled")&gt;0,"Yes","No"))))</f>
        <v>0</v>
      </c>
      <c r="AG850" s="38">
        <f>IF(B850="","",IF(I850="","",IF(D850="","",IF(COUNTIFS($I$5:$I$1204,I850,$B$5:$B$1204,B850,$D$5:$D$1204,"&lt;"&amp;V850,$V$5:$V$1204,"&gt;"&amp;D850,$M$5:$M$1204,"&lt;&gt;Cancelled")&gt;1,"Clash",""))))</f>
        <v>0</v>
      </c>
      <c r="AH850" s="39">
        <f>IF(B850="","",IF(AG850="Clash","Clash - stylist double booked",IF(I850="","Assign - no stylist yet",IF(G850="","Add - no service chosen",IF(M850="No show","No show - charge the fee?",IF(M850="Cancelled","",IF(IF(M850="Completed",AB850&lt;Y850-0.004,FALSE),"Unpaid - nothing rung up for this visit",IF(IF(B850&lt;TodayDate,M850="Booked",FALSE),"Overdue - past date, still only Booked",IF(IF(B850=TodayDate,TRUE,FALSE),"Today",IF(IF(Z850&gt;0,AA850&lt;Z850-0.004,FALSE),"Due - deposit not taken",IF(IF(B850&gt;TodayDate,B850&lt;=TodayDate+2,FALSE),"Confirm - coming up","OK")))))))))))</f>
        <v>0</v>
      </c>
    </row>
    <row r="851" spans="1:34">
      <c r="A851" s="28">
        <f>IF(B851="","",AppointmentPrefix&amp;TEXT(ROW()-4,"0000"))</f>
        <v>0</v>
      </c>
      <c r="C851" s="15">
        <f>IF(B851="","",TEXT(B851,"ddd"))</f>
        <v>0</v>
      </c>
      <c r="F851" s="15">
        <f>IF(E851="","",IFERROR(INDEX(Clients!$B$5:$B$504,MATCH(E851,Clients!$A$5:$A$504,0)),"Walk-in"))</f>
        <v>0</v>
      </c>
      <c r="H851" s="15">
        <f>IF(G851="","",IFERROR(INDEX(Services!$B$5:$B$204,MATCH(G851,Services!$A$5:$A$204,0)),"Not in Services"))</f>
        <v>0</v>
      </c>
      <c r="J851" s="15">
        <f>IF(I851="","",IFERROR(INDEX(Staff!$B$5:$B$44,MATCH(I851,Staff!$A$5:$A$44,0)),"Unassigned"))</f>
        <v>0</v>
      </c>
      <c r="S851" s="15">
        <f>IF(B851="","",TEXT(B851,"yyyy-mm"))</f>
        <v>0</v>
      </c>
      <c r="T851" s="25">
        <f>IF(B851="","",WEEKNUM(B851,2))</f>
        <v>0</v>
      </c>
      <c r="U851" s="25">
        <f>IF(B851="","",IF(K851&lt;&gt;"",K851,IFERROR(INDEX(Services!$E$5:$E$204,MATCH(G851,Services!$A$5:$A$204,0))*1,0)+IFERROR(INDEX(Services!$F$5:$F$204,MATCH(G851,Services!$A$5:$A$204,0))*1,0)))</f>
        <v>0</v>
      </c>
      <c r="V851" s="36">
        <f>IF(B851="","",IF(D851="","",D851+U851/1440))</f>
        <v>0</v>
      </c>
      <c r="W851" s="25">
        <f>IF(B851="","",IF(D851="","",HOUR(D851)))</f>
        <v>0</v>
      </c>
      <c r="X851" s="37">
        <f>IF(B851="","",ROUND(U851/60,2))</f>
        <v>0</v>
      </c>
      <c r="Y851" s="26">
        <f>IF(B851="","",IF(L851&lt;&gt;"",L851,IFERROR(INDEX(Services!$G$5:$G$204,MATCH(G851,Services!$A$5:$A$204,0))*1,0)))</f>
        <v>0</v>
      </c>
      <c r="Z851" s="26">
        <f>IF(B851="","",IF(O851&lt;&gt;"",O851,IF(Y851&gt;=DepositThreshold,ROUND(Y851*DepositPercent,2),0)))</f>
        <v>0</v>
      </c>
      <c r="AA851" s="26">
        <f>IF(B851="","",ROUND(SUMIFS(Payments!$G$5:$G$1204,Payments!$I$5:$I$1204,A851,Payments!$E$5:$E$1204,"Deposit"),2))</f>
        <v>0</v>
      </c>
      <c r="AB851" s="26">
        <f>IF(B851="","",ROUND(SUMIFS(Sales!$Y$5:$Y$1204,Sales!$C$5:$C$1204,A851),2))</f>
        <v>0</v>
      </c>
      <c r="AC851" s="38">
        <f>IF(B851="","",IF(M851="Completed","Yes",IF(M851="Cancelled","Yes",IF(M851="No show","Yes","No"))))</f>
        <v>0</v>
      </c>
      <c r="AD851" s="25">
        <f>IF(B851="","",IF(AE851="","",B851-AE851))</f>
        <v>0</v>
      </c>
      <c r="AF851" s="38">
        <f>IF(B851="","",IF(M851&lt;&gt;"Completed","",IF(E851="","No",IF(COUNTIFS(Appointments!$E$5:$E$1204,E851,Appointments!$B$5:$B$1204,"&gt;"&amp;B851,Appointments!$M$5:$M$1204,"&lt;&gt;Cancelled")&gt;0,"Yes","No"))))</f>
        <v>0</v>
      </c>
      <c r="AG851" s="38">
        <f>IF(B851="","",IF(I851="","",IF(D851="","",IF(COUNTIFS($I$5:$I$1204,I851,$B$5:$B$1204,B851,$D$5:$D$1204,"&lt;"&amp;V851,$V$5:$V$1204,"&gt;"&amp;D851,$M$5:$M$1204,"&lt;&gt;Cancelled")&gt;1,"Clash",""))))</f>
        <v>0</v>
      </c>
      <c r="AH851" s="39">
        <f>IF(B851="","",IF(AG851="Clash","Clash - stylist double booked",IF(I851="","Assign - no stylist yet",IF(G851="","Add - no service chosen",IF(M851="No show","No show - charge the fee?",IF(M851="Cancelled","",IF(IF(M851="Completed",AB851&lt;Y851-0.004,FALSE),"Unpaid - nothing rung up for this visit",IF(IF(B851&lt;TodayDate,M851="Booked",FALSE),"Overdue - past date, still only Booked",IF(IF(B851=TodayDate,TRUE,FALSE),"Today",IF(IF(Z851&gt;0,AA851&lt;Z851-0.004,FALSE),"Due - deposit not taken",IF(IF(B851&gt;TodayDate,B851&lt;=TodayDate+2,FALSE),"Confirm - coming up","OK")))))))))))</f>
        <v>0</v>
      </c>
    </row>
    <row r="852" spans="1:34">
      <c r="A852" s="28">
        <f>IF(B852="","",AppointmentPrefix&amp;TEXT(ROW()-4,"0000"))</f>
        <v>0</v>
      </c>
      <c r="C852" s="15">
        <f>IF(B852="","",TEXT(B852,"ddd"))</f>
        <v>0</v>
      </c>
      <c r="F852" s="15">
        <f>IF(E852="","",IFERROR(INDEX(Clients!$B$5:$B$504,MATCH(E852,Clients!$A$5:$A$504,0)),"Walk-in"))</f>
        <v>0</v>
      </c>
      <c r="H852" s="15">
        <f>IF(G852="","",IFERROR(INDEX(Services!$B$5:$B$204,MATCH(G852,Services!$A$5:$A$204,0)),"Not in Services"))</f>
        <v>0</v>
      </c>
      <c r="J852" s="15">
        <f>IF(I852="","",IFERROR(INDEX(Staff!$B$5:$B$44,MATCH(I852,Staff!$A$5:$A$44,0)),"Unassigned"))</f>
        <v>0</v>
      </c>
      <c r="S852" s="15">
        <f>IF(B852="","",TEXT(B852,"yyyy-mm"))</f>
        <v>0</v>
      </c>
      <c r="T852" s="25">
        <f>IF(B852="","",WEEKNUM(B852,2))</f>
        <v>0</v>
      </c>
      <c r="U852" s="25">
        <f>IF(B852="","",IF(K852&lt;&gt;"",K852,IFERROR(INDEX(Services!$E$5:$E$204,MATCH(G852,Services!$A$5:$A$204,0))*1,0)+IFERROR(INDEX(Services!$F$5:$F$204,MATCH(G852,Services!$A$5:$A$204,0))*1,0)))</f>
        <v>0</v>
      </c>
      <c r="V852" s="36">
        <f>IF(B852="","",IF(D852="","",D852+U852/1440))</f>
        <v>0</v>
      </c>
      <c r="W852" s="25">
        <f>IF(B852="","",IF(D852="","",HOUR(D852)))</f>
        <v>0</v>
      </c>
      <c r="X852" s="37">
        <f>IF(B852="","",ROUND(U852/60,2))</f>
        <v>0</v>
      </c>
      <c r="Y852" s="26">
        <f>IF(B852="","",IF(L852&lt;&gt;"",L852,IFERROR(INDEX(Services!$G$5:$G$204,MATCH(G852,Services!$A$5:$A$204,0))*1,0)))</f>
        <v>0</v>
      </c>
      <c r="Z852" s="26">
        <f>IF(B852="","",IF(O852&lt;&gt;"",O852,IF(Y852&gt;=DepositThreshold,ROUND(Y852*DepositPercent,2),0)))</f>
        <v>0</v>
      </c>
      <c r="AA852" s="26">
        <f>IF(B852="","",ROUND(SUMIFS(Payments!$G$5:$G$1204,Payments!$I$5:$I$1204,A852,Payments!$E$5:$E$1204,"Deposit"),2))</f>
        <v>0</v>
      </c>
      <c r="AB852" s="26">
        <f>IF(B852="","",ROUND(SUMIFS(Sales!$Y$5:$Y$1204,Sales!$C$5:$C$1204,A852),2))</f>
        <v>0</v>
      </c>
      <c r="AC852" s="38">
        <f>IF(B852="","",IF(M852="Completed","Yes",IF(M852="Cancelled","Yes",IF(M852="No show","Yes","No"))))</f>
        <v>0</v>
      </c>
      <c r="AD852" s="25">
        <f>IF(B852="","",IF(AE852="","",B852-AE852))</f>
        <v>0</v>
      </c>
      <c r="AF852" s="38">
        <f>IF(B852="","",IF(M852&lt;&gt;"Completed","",IF(E852="","No",IF(COUNTIFS(Appointments!$E$5:$E$1204,E852,Appointments!$B$5:$B$1204,"&gt;"&amp;B852,Appointments!$M$5:$M$1204,"&lt;&gt;Cancelled")&gt;0,"Yes","No"))))</f>
        <v>0</v>
      </c>
      <c r="AG852" s="38">
        <f>IF(B852="","",IF(I852="","",IF(D852="","",IF(COUNTIFS($I$5:$I$1204,I852,$B$5:$B$1204,B852,$D$5:$D$1204,"&lt;"&amp;V852,$V$5:$V$1204,"&gt;"&amp;D852,$M$5:$M$1204,"&lt;&gt;Cancelled")&gt;1,"Clash",""))))</f>
        <v>0</v>
      </c>
      <c r="AH852" s="39">
        <f>IF(B852="","",IF(AG852="Clash","Clash - stylist double booked",IF(I852="","Assign - no stylist yet",IF(G852="","Add - no service chosen",IF(M852="No show","No show - charge the fee?",IF(M852="Cancelled","",IF(IF(M852="Completed",AB852&lt;Y852-0.004,FALSE),"Unpaid - nothing rung up for this visit",IF(IF(B852&lt;TodayDate,M852="Booked",FALSE),"Overdue - past date, still only Booked",IF(IF(B852=TodayDate,TRUE,FALSE),"Today",IF(IF(Z852&gt;0,AA852&lt;Z852-0.004,FALSE),"Due - deposit not taken",IF(IF(B852&gt;TodayDate,B852&lt;=TodayDate+2,FALSE),"Confirm - coming up","OK")))))))))))</f>
        <v>0</v>
      </c>
    </row>
    <row r="853" spans="1:34">
      <c r="A853" s="28">
        <f>IF(B853="","",AppointmentPrefix&amp;TEXT(ROW()-4,"0000"))</f>
        <v>0</v>
      </c>
      <c r="C853" s="15">
        <f>IF(B853="","",TEXT(B853,"ddd"))</f>
        <v>0</v>
      </c>
      <c r="F853" s="15">
        <f>IF(E853="","",IFERROR(INDEX(Clients!$B$5:$B$504,MATCH(E853,Clients!$A$5:$A$504,0)),"Walk-in"))</f>
        <v>0</v>
      </c>
      <c r="H853" s="15">
        <f>IF(G853="","",IFERROR(INDEX(Services!$B$5:$B$204,MATCH(G853,Services!$A$5:$A$204,0)),"Not in Services"))</f>
        <v>0</v>
      </c>
      <c r="J853" s="15">
        <f>IF(I853="","",IFERROR(INDEX(Staff!$B$5:$B$44,MATCH(I853,Staff!$A$5:$A$44,0)),"Unassigned"))</f>
        <v>0</v>
      </c>
      <c r="S853" s="15">
        <f>IF(B853="","",TEXT(B853,"yyyy-mm"))</f>
        <v>0</v>
      </c>
      <c r="T853" s="25">
        <f>IF(B853="","",WEEKNUM(B853,2))</f>
        <v>0</v>
      </c>
      <c r="U853" s="25">
        <f>IF(B853="","",IF(K853&lt;&gt;"",K853,IFERROR(INDEX(Services!$E$5:$E$204,MATCH(G853,Services!$A$5:$A$204,0))*1,0)+IFERROR(INDEX(Services!$F$5:$F$204,MATCH(G853,Services!$A$5:$A$204,0))*1,0)))</f>
        <v>0</v>
      </c>
      <c r="V853" s="36">
        <f>IF(B853="","",IF(D853="","",D853+U853/1440))</f>
        <v>0</v>
      </c>
      <c r="W853" s="25">
        <f>IF(B853="","",IF(D853="","",HOUR(D853)))</f>
        <v>0</v>
      </c>
      <c r="X853" s="37">
        <f>IF(B853="","",ROUND(U853/60,2))</f>
        <v>0</v>
      </c>
      <c r="Y853" s="26">
        <f>IF(B853="","",IF(L853&lt;&gt;"",L853,IFERROR(INDEX(Services!$G$5:$G$204,MATCH(G853,Services!$A$5:$A$204,0))*1,0)))</f>
        <v>0</v>
      </c>
      <c r="Z853" s="26">
        <f>IF(B853="","",IF(O853&lt;&gt;"",O853,IF(Y853&gt;=DepositThreshold,ROUND(Y853*DepositPercent,2),0)))</f>
        <v>0</v>
      </c>
      <c r="AA853" s="26">
        <f>IF(B853="","",ROUND(SUMIFS(Payments!$G$5:$G$1204,Payments!$I$5:$I$1204,A853,Payments!$E$5:$E$1204,"Deposit"),2))</f>
        <v>0</v>
      </c>
      <c r="AB853" s="26">
        <f>IF(B853="","",ROUND(SUMIFS(Sales!$Y$5:$Y$1204,Sales!$C$5:$C$1204,A853),2))</f>
        <v>0</v>
      </c>
      <c r="AC853" s="38">
        <f>IF(B853="","",IF(M853="Completed","Yes",IF(M853="Cancelled","Yes",IF(M853="No show","Yes","No"))))</f>
        <v>0</v>
      </c>
      <c r="AD853" s="25">
        <f>IF(B853="","",IF(AE853="","",B853-AE853))</f>
        <v>0</v>
      </c>
      <c r="AF853" s="38">
        <f>IF(B853="","",IF(M853&lt;&gt;"Completed","",IF(E853="","No",IF(COUNTIFS(Appointments!$E$5:$E$1204,E853,Appointments!$B$5:$B$1204,"&gt;"&amp;B853,Appointments!$M$5:$M$1204,"&lt;&gt;Cancelled")&gt;0,"Yes","No"))))</f>
        <v>0</v>
      </c>
      <c r="AG853" s="38">
        <f>IF(B853="","",IF(I853="","",IF(D853="","",IF(COUNTIFS($I$5:$I$1204,I853,$B$5:$B$1204,B853,$D$5:$D$1204,"&lt;"&amp;V853,$V$5:$V$1204,"&gt;"&amp;D853,$M$5:$M$1204,"&lt;&gt;Cancelled")&gt;1,"Clash",""))))</f>
        <v>0</v>
      </c>
      <c r="AH853" s="39">
        <f>IF(B853="","",IF(AG853="Clash","Clash - stylist double booked",IF(I853="","Assign - no stylist yet",IF(G853="","Add - no service chosen",IF(M853="No show","No show - charge the fee?",IF(M853="Cancelled","",IF(IF(M853="Completed",AB853&lt;Y853-0.004,FALSE),"Unpaid - nothing rung up for this visit",IF(IF(B853&lt;TodayDate,M853="Booked",FALSE),"Overdue - past date, still only Booked",IF(IF(B853=TodayDate,TRUE,FALSE),"Today",IF(IF(Z853&gt;0,AA853&lt;Z853-0.004,FALSE),"Due - deposit not taken",IF(IF(B853&gt;TodayDate,B853&lt;=TodayDate+2,FALSE),"Confirm - coming up","OK")))))))))))</f>
        <v>0</v>
      </c>
    </row>
    <row r="854" spans="1:34">
      <c r="A854" s="28">
        <f>IF(B854="","",AppointmentPrefix&amp;TEXT(ROW()-4,"0000"))</f>
        <v>0</v>
      </c>
      <c r="C854" s="15">
        <f>IF(B854="","",TEXT(B854,"ddd"))</f>
        <v>0</v>
      </c>
      <c r="F854" s="15">
        <f>IF(E854="","",IFERROR(INDEX(Clients!$B$5:$B$504,MATCH(E854,Clients!$A$5:$A$504,0)),"Walk-in"))</f>
        <v>0</v>
      </c>
      <c r="H854" s="15">
        <f>IF(G854="","",IFERROR(INDEX(Services!$B$5:$B$204,MATCH(G854,Services!$A$5:$A$204,0)),"Not in Services"))</f>
        <v>0</v>
      </c>
      <c r="J854" s="15">
        <f>IF(I854="","",IFERROR(INDEX(Staff!$B$5:$B$44,MATCH(I854,Staff!$A$5:$A$44,0)),"Unassigned"))</f>
        <v>0</v>
      </c>
      <c r="S854" s="15">
        <f>IF(B854="","",TEXT(B854,"yyyy-mm"))</f>
        <v>0</v>
      </c>
      <c r="T854" s="25">
        <f>IF(B854="","",WEEKNUM(B854,2))</f>
        <v>0</v>
      </c>
      <c r="U854" s="25">
        <f>IF(B854="","",IF(K854&lt;&gt;"",K854,IFERROR(INDEX(Services!$E$5:$E$204,MATCH(G854,Services!$A$5:$A$204,0))*1,0)+IFERROR(INDEX(Services!$F$5:$F$204,MATCH(G854,Services!$A$5:$A$204,0))*1,0)))</f>
        <v>0</v>
      </c>
      <c r="V854" s="36">
        <f>IF(B854="","",IF(D854="","",D854+U854/1440))</f>
        <v>0</v>
      </c>
      <c r="W854" s="25">
        <f>IF(B854="","",IF(D854="","",HOUR(D854)))</f>
        <v>0</v>
      </c>
      <c r="X854" s="37">
        <f>IF(B854="","",ROUND(U854/60,2))</f>
        <v>0</v>
      </c>
      <c r="Y854" s="26">
        <f>IF(B854="","",IF(L854&lt;&gt;"",L854,IFERROR(INDEX(Services!$G$5:$G$204,MATCH(G854,Services!$A$5:$A$204,0))*1,0)))</f>
        <v>0</v>
      </c>
      <c r="Z854" s="26">
        <f>IF(B854="","",IF(O854&lt;&gt;"",O854,IF(Y854&gt;=DepositThreshold,ROUND(Y854*DepositPercent,2),0)))</f>
        <v>0</v>
      </c>
      <c r="AA854" s="26">
        <f>IF(B854="","",ROUND(SUMIFS(Payments!$G$5:$G$1204,Payments!$I$5:$I$1204,A854,Payments!$E$5:$E$1204,"Deposit"),2))</f>
        <v>0</v>
      </c>
      <c r="AB854" s="26">
        <f>IF(B854="","",ROUND(SUMIFS(Sales!$Y$5:$Y$1204,Sales!$C$5:$C$1204,A854),2))</f>
        <v>0</v>
      </c>
      <c r="AC854" s="38">
        <f>IF(B854="","",IF(M854="Completed","Yes",IF(M854="Cancelled","Yes",IF(M854="No show","Yes","No"))))</f>
        <v>0</v>
      </c>
      <c r="AD854" s="25">
        <f>IF(B854="","",IF(AE854="","",B854-AE854))</f>
        <v>0</v>
      </c>
      <c r="AF854" s="38">
        <f>IF(B854="","",IF(M854&lt;&gt;"Completed","",IF(E854="","No",IF(COUNTIFS(Appointments!$E$5:$E$1204,E854,Appointments!$B$5:$B$1204,"&gt;"&amp;B854,Appointments!$M$5:$M$1204,"&lt;&gt;Cancelled")&gt;0,"Yes","No"))))</f>
        <v>0</v>
      </c>
      <c r="AG854" s="38">
        <f>IF(B854="","",IF(I854="","",IF(D854="","",IF(COUNTIFS($I$5:$I$1204,I854,$B$5:$B$1204,B854,$D$5:$D$1204,"&lt;"&amp;V854,$V$5:$V$1204,"&gt;"&amp;D854,$M$5:$M$1204,"&lt;&gt;Cancelled")&gt;1,"Clash",""))))</f>
        <v>0</v>
      </c>
      <c r="AH854" s="39">
        <f>IF(B854="","",IF(AG854="Clash","Clash - stylist double booked",IF(I854="","Assign - no stylist yet",IF(G854="","Add - no service chosen",IF(M854="No show","No show - charge the fee?",IF(M854="Cancelled","",IF(IF(M854="Completed",AB854&lt;Y854-0.004,FALSE),"Unpaid - nothing rung up for this visit",IF(IF(B854&lt;TodayDate,M854="Booked",FALSE),"Overdue - past date, still only Booked",IF(IF(B854=TodayDate,TRUE,FALSE),"Today",IF(IF(Z854&gt;0,AA854&lt;Z854-0.004,FALSE),"Due - deposit not taken",IF(IF(B854&gt;TodayDate,B854&lt;=TodayDate+2,FALSE),"Confirm - coming up","OK")))))))))))</f>
        <v>0</v>
      </c>
    </row>
    <row r="855" spans="1:34">
      <c r="A855" s="28">
        <f>IF(B855="","",AppointmentPrefix&amp;TEXT(ROW()-4,"0000"))</f>
        <v>0</v>
      </c>
      <c r="C855" s="15">
        <f>IF(B855="","",TEXT(B855,"ddd"))</f>
        <v>0</v>
      </c>
      <c r="F855" s="15">
        <f>IF(E855="","",IFERROR(INDEX(Clients!$B$5:$B$504,MATCH(E855,Clients!$A$5:$A$504,0)),"Walk-in"))</f>
        <v>0</v>
      </c>
      <c r="H855" s="15">
        <f>IF(G855="","",IFERROR(INDEX(Services!$B$5:$B$204,MATCH(G855,Services!$A$5:$A$204,0)),"Not in Services"))</f>
        <v>0</v>
      </c>
      <c r="J855" s="15">
        <f>IF(I855="","",IFERROR(INDEX(Staff!$B$5:$B$44,MATCH(I855,Staff!$A$5:$A$44,0)),"Unassigned"))</f>
        <v>0</v>
      </c>
      <c r="S855" s="15">
        <f>IF(B855="","",TEXT(B855,"yyyy-mm"))</f>
        <v>0</v>
      </c>
      <c r="T855" s="25">
        <f>IF(B855="","",WEEKNUM(B855,2))</f>
        <v>0</v>
      </c>
      <c r="U855" s="25">
        <f>IF(B855="","",IF(K855&lt;&gt;"",K855,IFERROR(INDEX(Services!$E$5:$E$204,MATCH(G855,Services!$A$5:$A$204,0))*1,0)+IFERROR(INDEX(Services!$F$5:$F$204,MATCH(G855,Services!$A$5:$A$204,0))*1,0)))</f>
        <v>0</v>
      </c>
      <c r="V855" s="36">
        <f>IF(B855="","",IF(D855="","",D855+U855/1440))</f>
        <v>0</v>
      </c>
      <c r="W855" s="25">
        <f>IF(B855="","",IF(D855="","",HOUR(D855)))</f>
        <v>0</v>
      </c>
      <c r="X855" s="37">
        <f>IF(B855="","",ROUND(U855/60,2))</f>
        <v>0</v>
      </c>
      <c r="Y855" s="26">
        <f>IF(B855="","",IF(L855&lt;&gt;"",L855,IFERROR(INDEX(Services!$G$5:$G$204,MATCH(G855,Services!$A$5:$A$204,0))*1,0)))</f>
        <v>0</v>
      </c>
      <c r="Z855" s="26">
        <f>IF(B855="","",IF(O855&lt;&gt;"",O855,IF(Y855&gt;=DepositThreshold,ROUND(Y855*DepositPercent,2),0)))</f>
        <v>0</v>
      </c>
      <c r="AA855" s="26">
        <f>IF(B855="","",ROUND(SUMIFS(Payments!$G$5:$G$1204,Payments!$I$5:$I$1204,A855,Payments!$E$5:$E$1204,"Deposit"),2))</f>
        <v>0</v>
      </c>
      <c r="AB855" s="26">
        <f>IF(B855="","",ROUND(SUMIFS(Sales!$Y$5:$Y$1204,Sales!$C$5:$C$1204,A855),2))</f>
        <v>0</v>
      </c>
      <c r="AC855" s="38">
        <f>IF(B855="","",IF(M855="Completed","Yes",IF(M855="Cancelled","Yes",IF(M855="No show","Yes","No"))))</f>
        <v>0</v>
      </c>
      <c r="AD855" s="25">
        <f>IF(B855="","",IF(AE855="","",B855-AE855))</f>
        <v>0</v>
      </c>
      <c r="AF855" s="38">
        <f>IF(B855="","",IF(M855&lt;&gt;"Completed","",IF(E855="","No",IF(COUNTIFS(Appointments!$E$5:$E$1204,E855,Appointments!$B$5:$B$1204,"&gt;"&amp;B855,Appointments!$M$5:$M$1204,"&lt;&gt;Cancelled")&gt;0,"Yes","No"))))</f>
        <v>0</v>
      </c>
      <c r="AG855" s="38">
        <f>IF(B855="","",IF(I855="","",IF(D855="","",IF(COUNTIFS($I$5:$I$1204,I855,$B$5:$B$1204,B855,$D$5:$D$1204,"&lt;"&amp;V855,$V$5:$V$1204,"&gt;"&amp;D855,$M$5:$M$1204,"&lt;&gt;Cancelled")&gt;1,"Clash",""))))</f>
        <v>0</v>
      </c>
      <c r="AH855" s="39">
        <f>IF(B855="","",IF(AG855="Clash","Clash - stylist double booked",IF(I855="","Assign - no stylist yet",IF(G855="","Add - no service chosen",IF(M855="No show","No show - charge the fee?",IF(M855="Cancelled","",IF(IF(M855="Completed",AB855&lt;Y855-0.004,FALSE),"Unpaid - nothing rung up for this visit",IF(IF(B855&lt;TodayDate,M855="Booked",FALSE),"Overdue - past date, still only Booked",IF(IF(B855=TodayDate,TRUE,FALSE),"Today",IF(IF(Z855&gt;0,AA855&lt;Z855-0.004,FALSE),"Due - deposit not taken",IF(IF(B855&gt;TodayDate,B855&lt;=TodayDate+2,FALSE),"Confirm - coming up","OK")))))))))))</f>
        <v>0</v>
      </c>
    </row>
    <row r="856" spans="1:34">
      <c r="A856" s="28">
        <f>IF(B856="","",AppointmentPrefix&amp;TEXT(ROW()-4,"0000"))</f>
        <v>0</v>
      </c>
      <c r="C856" s="15">
        <f>IF(B856="","",TEXT(B856,"ddd"))</f>
        <v>0</v>
      </c>
      <c r="F856" s="15">
        <f>IF(E856="","",IFERROR(INDEX(Clients!$B$5:$B$504,MATCH(E856,Clients!$A$5:$A$504,0)),"Walk-in"))</f>
        <v>0</v>
      </c>
      <c r="H856" s="15">
        <f>IF(G856="","",IFERROR(INDEX(Services!$B$5:$B$204,MATCH(G856,Services!$A$5:$A$204,0)),"Not in Services"))</f>
        <v>0</v>
      </c>
      <c r="J856" s="15">
        <f>IF(I856="","",IFERROR(INDEX(Staff!$B$5:$B$44,MATCH(I856,Staff!$A$5:$A$44,0)),"Unassigned"))</f>
        <v>0</v>
      </c>
      <c r="S856" s="15">
        <f>IF(B856="","",TEXT(B856,"yyyy-mm"))</f>
        <v>0</v>
      </c>
      <c r="T856" s="25">
        <f>IF(B856="","",WEEKNUM(B856,2))</f>
        <v>0</v>
      </c>
      <c r="U856" s="25">
        <f>IF(B856="","",IF(K856&lt;&gt;"",K856,IFERROR(INDEX(Services!$E$5:$E$204,MATCH(G856,Services!$A$5:$A$204,0))*1,0)+IFERROR(INDEX(Services!$F$5:$F$204,MATCH(G856,Services!$A$5:$A$204,0))*1,0)))</f>
        <v>0</v>
      </c>
      <c r="V856" s="36">
        <f>IF(B856="","",IF(D856="","",D856+U856/1440))</f>
        <v>0</v>
      </c>
      <c r="W856" s="25">
        <f>IF(B856="","",IF(D856="","",HOUR(D856)))</f>
        <v>0</v>
      </c>
      <c r="X856" s="37">
        <f>IF(B856="","",ROUND(U856/60,2))</f>
        <v>0</v>
      </c>
      <c r="Y856" s="26">
        <f>IF(B856="","",IF(L856&lt;&gt;"",L856,IFERROR(INDEX(Services!$G$5:$G$204,MATCH(G856,Services!$A$5:$A$204,0))*1,0)))</f>
        <v>0</v>
      </c>
      <c r="Z856" s="26">
        <f>IF(B856="","",IF(O856&lt;&gt;"",O856,IF(Y856&gt;=DepositThreshold,ROUND(Y856*DepositPercent,2),0)))</f>
        <v>0</v>
      </c>
      <c r="AA856" s="26">
        <f>IF(B856="","",ROUND(SUMIFS(Payments!$G$5:$G$1204,Payments!$I$5:$I$1204,A856,Payments!$E$5:$E$1204,"Deposit"),2))</f>
        <v>0</v>
      </c>
      <c r="AB856" s="26">
        <f>IF(B856="","",ROUND(SUMIFS(Sales!$Y$5:$Y$1204,Sales!$C$5:$C$1204,A856),2))</f>
        <v>0</v>
      </c>
      <c r="AC856" s="38">
        <f>IF(B856="","",IF(M856="Completed","Yes",IF(M856="Cancelled","Yes",IF(M856="No show","Yes","No"))))</f>
        <v>0</v>
      </c>
      <c r="AD856" s="25">
        <f>IF(B856="","",IF(AE856="","",B856-AE856))</f>
        <v>0</v>
      </c>
      <c r="AF856" s="38">
        <f>IF(B856="","",IF(M856&lt;&gt;"Completed","",IF(E856="","No",IF(COUNTIFS(Appointments!$E$5:$E$1204,E856,Appointments!$B$5:$B$1204,"&gt;"&amp;B856,Appointments!$M$5:$M$1204,"&lt;&gt;Cancelled")&gt;0,"Yes","No"))))</f>
        <v>0</v>
      </c>
      <c r="AG856" s="38">
        <f>IF(B856="","",IF(I856="","",IF(D856="","",IF(COUNTIFS($I$5:$I$1204,I856,$B$5:$B$1204,B856,$D$5:$D$1204,"&lt;"&amp;V856,$V$5:$V$1204,"&gt;"&amp;D856,$M$5:$M$1204,"&lt;&gt;Cancelled")&gt;1,"Clash",""))))</f>
        <v>0</v>
      </c>
      <c r="AH856" s="39">
        <f>IF(B856="","",IF(AG856="Clash","Clash - stylist double booked",IF(I856="","Assign - no stylist yet",IF(G856="","Add - no service chosen",IF(M856="No show","No show - charge the fee?",IF(M856="Cancelled","",IF(IF(M856="Completed",AB856&lt;Y856-0.004,FALSE),"Unpaid - nothing rung up for this visit",IF(IF(B856&lt;TodayDate,M856="Booked",FALSE),"Overdue - past date, still only Booked",IF(IF(B856=TodayDate,TRUE,FALSE),"Today",IF(IF(Z856&gt;0,AA856&lt;Z856-0.004,FALSE),"Due - deposit not taken",IF(IF(B856&gt;TodayDate,B856&lt;=TodayDate+2,FALSE),"Confirm - coming up","OK")))))))))))</f>
        <v>0</v>
      </c>
    </row>
    <row r="857" spans="1:34">
      <c r="A857" s="28">
        <f>IF(B857="","",AppointmentPrefix&amp;TEXT(ROW()-4,"0000"))</f>
        <v>0</v>
      </c>
      <c r="C857" s="15">
        <f>IF(B857="","",TEXT(B857,"ddd"))</f>
        <v>0</v>
      </c>
      <c r="F857" s="15">
        <f>IF(E857="","",IFERROR(INDEX(Clients!$B$5:$B$504,MATCH(E857,Clients!$A$5:$A$504,0)),"Walk-in"))</f>
        <v>0</v>
      </c>
      <c r="H857" s="15">
        <f>IF(G857="","",IFERROR(INDEX(Services!$B$5:$B$204,MATCH(G857,Services!$A$5:$A$204,0)),"Not in Services"))</f>
        <v>0</v>
      </c>
      <c r="J857" s="15">
        <f>IF(I857="","",IFERROR(INDEX(Staff!$B$5:$B$44,MATCH(I857,Staff!$A$5:$A$44,0)),"Unassigned"))</f>
        <v>0</v>
      </c>
      <c r="S857" s="15">
        <f>IF(B857="","",TEXT(B857,"yyyy-mm"))</f>
        <v>0</v>
      </c>
      <c r="T857" s="25">
        <f>IF(B857="","",WEEKNUM(B857,2))</f>
        <v>0</v>
      </c>
      <c r="U857" s="25">
        <f>IF(B857="","",IF(K857&lt;&gt;"",K857,IFERROR(INDEX(Services!$E$5:$E$204,MATCH(G857,Services!$A$5:$A$204,0))*1,0)+IFERROR(INDEX(Services!$F$5:$F$204,MATCH(G857,Services!$A$5:$A$204,0))*1,0)))</f>
        <v>0</v>
      </c>
      <c r="V857" s="36">
        <f>IF(B857="","",IF(D857="","",D857+U857/1440))</f>
        <v>0</v>
      </c>
      <c r="W857" s="25">
        <f>IF(B857="","",IF(D857="","",HOUR(D857)))</f>
        <v>0</v>
      </c>
      <c r="X857" s="37">
        <f>IF(B857="","",ROUND(U857/60,2))</f>
        <v>0</v>
      </c>
      <c r="Y857" s="26">
        <f>IF(B857="","",IF(L857&lt;&gt;"",L857,IFERROR(INDEX(Services!$G$5:$G$204,MATCH(G857,Services!$A$5:$A$204,0))*1,0)))</f>
        <v>0</v>
      </c>
      <c r="Z857" s="26">
        <f>IF(B857="","",IF(O857&lt;&gt;"",O857,IF(Y857&gt;=DepositThreshold,ROUND(Y857*DepositPercent,2),0)))</f>
        <v>0</v>
      </c>
      <c r="AA857" s="26">
        <f>IF(B857="","",ROUND(SUMIFS(Payments!$G$5:$G$1204,Payments!$I$5:$I$1204,A857,Payments!$E$5:$E$1204,"Deposit"),2))</f>
        <v>0</v>
      </c>
      <c r="AB857" s="26">
        <f>IF(B857="","",ROUND(SUMIFS(Sales!$Y$5:$Y$1204,Sales!$C$5:$C$1204,A857),2))</f>
        <v>0</v>
      </c>
      <c r="AC857" s="38">
        <f>IF(B857="","",IF(M857="Completed","Yes",IF(M857="Cancelled","Yes",IF(M857="No show","Yes","No"))))</f>
        <v>0</v>
      </c>
      <c r="AD857" s="25">
        <f>IF(B857="","",IF(AE857="","",B857-AE857))</f>
        <v>0</v>
      </c>
      <c r="AF857" s="38">
        <f>IF(B857="","",IF(M857&lt;&gt;"Completed","",IF(E857="","No",IF(COUNTIFS(Appointments!$E$5:$E$1204,E857,Appointments!$B$5:$B$1204,"&gt;"&amp;B857,Appointments!$M$5:$M$1204,"&lt;&gt;Cancelled")&gt;0,"Yes","No"))))</f>
        <v>0</v>
      </c>
      <c r="AG857" s="38">
        <f>IF(B857="","",IF(I857="","",IF(D857="","",IF(COUNTIFS($I$5:$I$1204,I857,$B$5:$B$1204,B857,$D$5:$D$1204,"&lt;"&amp;V857,$V$5:$V$1204,"&gt;"&amp;D857,$M$5:$M$1204,"&lt;&gt;Cancelled")&gt;1,"Clash",""))))</f>
        <v>0</v>
      </c>
      <c r="AH857" s="39">
        <f>IF(B857="","",IF(AG857="Clash","Clash - stylist double booked",IF(I857="","Assign - no stylist yet",IF(G857="","Add - no service chosen",IF(M857="No show","No show - charge the fee?",IF(M857="Cancelled","",IF(IF(M857="Completed",AB857&lt;Y857-0.004,FALSE),"Unpaid - nothing rung up for this visit",IF(IF(B857&lt;TodayDate,M857="Booked",FALSE),"Overdue - past date, still only Booked",IF(IF(B857=TodayDate,TRUE,FALSE),"Today",IF(IF(Z857&gt;0,AA857&lt;Z857-0.004,FALSE),"Due - deposit not taken",IF(IF(B857&gt;TodayDate,B857&lt;=TodayDate+2,FALSE),"Confirm - coming up","OK")))))))))))</f>
        <v>0</v>
      </c>
    </row>
    <row r="858" spans="1:34">
      <c r="A858" s="28">
        <f>IF(B858="","",AppointmentPrefix&amp;TEXT(ROW()-4,"0000"))</f>
        <v>0</v>
      </c>
      <c r="C858" s="15">
        <f>IF(B858="","",TEXT(B858,"ddd"))</f>
        <v>0</v>
      </c>
      <c r="F858" s="15">
        <f>IF(E858="","",IFERROR(INDEX(Clients!$B$5:$B$504,MATCH(E858,Clients!$A$5:$A$504,0)),"Walk-in"))</f>
        <v>0</v>
      </c>
      <c r="H858" s="15">
        <f>IF(G858="","",IFERROR(INDEX(Services!$B$5:$B$204,MATCH(G858,Services!$A$5:$A$204,0)),"Not in Services"))</f>
        <v>0</v>
      </c>
      <c r="J858" s="15">
        <f>IF(I858="","",IFERROR(INDEX(Staff!$B$5:$B$44,MATCH(I858,Staff!$A$5:$A$44,0)),"Unassigned"))</f>
        <v>0</v>
      </c>
      <c r="S858" s="15">
        <f>IF(B858="","",TEXT(B858,"yyyy-mm"))</f>
        <v>0</v>
      </c>
      <c r="T858" s="25">
        <f>IF(B858="","",WEEKNUM(B858,2))</f>
        <v>0</v>
      </c>
      <c r="U858" s="25">
        <f>IF(B858="","",IF(K858&lt;&gt;"",K858,IFERROR(INDEX(Services!$E$5:$E$204,MATCH(G858,Services!$A$5:$A$204,0))*1,0)+IFERROR(INDEX(Services!$F$5:$F$204,MATCH(G858,Services!$A$5:$A$204,0))*1,0)))</f>
        <v>0</v>
      </c>
      <c r="V858" s="36">
        <f>IF(B858="","",IF(D858="","",D858+U858/1440))</f>
        <v>0</v>
      </c>
      <c r="W858" s="25">
        <f>IF(B858="","",IF(D858="","",HOUR(D858)))</f>
        <v>0</v>
      </c>
      <c r="X858" s="37">
        <f>IF(B858="","",ROUND(U858/60,2))</f>
        <v>0</v>
      </c>
      <c r="Y858" s="26">
        <f>IF(B858="","",IF(L858&lt;&gt;"",L858,IFERROR(INDEX(Services!$G$5:$G$204,MATCH(G858,Services!$A$5:$A$204,0))*1,0)))</f>
        <v>0</v>
      </c>
      <c r="Z858" s="26">
        <f>IF(B858="","",IF(O858&lt;&gt;"",O858,IF(Y858&gt;=DepositThreshold,ROUND(Y858*DepositPercent,2),0)))</f>
        <v>0</v>
      </c>
      <c r="AA858" s="26">
        <f>IF(B858="","",ROUND(SUMIFS(Payments!$G$5:$G$1204,Payments!$I$5:$I$1204,A858,Payments!$E$5:$E$1204,"Deposit"),2))</f>
        <v>0</v>
      </c>
      <c r="AB858" s="26">
        <f>IF(B858="","",ROUND(SUMIFS(Sales!$Y$5:$Y$1204,Sales!$C$5:$C$1204,A858),2))</f>
        <v>0</v>
      </c>
      <c r="AC858" s="38">
        <f>IF(B858="","",IF(M858="Completed","Yes",IF(M858="Cancelled","Yes",IF(M858="No show","Yes","No"))))</f>
        <v>0</v>
      </c>
      <c r="AD858" s="25">
        <f>IF(B858="","",IF(AE858="","",B858-AE858))</f>
        <v>0</v>
      </c>
      <c r="AF858" s="38">
        <f>IF(B858="","",IF(M858&lt;&gt;"Completed","",IF(E858="","No",IF(COUNTIFS(Appointments!$E$5:$E$1204,E858,Appointments!$B$5:$B$1204,"&gt;"&amp;B858,Appointments!$M$5:$M$1204,"&lt;&gt;Cancelled")&gt;0,"Yes","No"))))</f>
        <v>0</v>
      </c>
      <c r="AG858" s="38">
        <f>IF(B858="","",IF(I858="","",IF(D858="","",IF(COUNTIFS($I$5:$I$1204,I858,$B$5:$B$1204,B858,$D$5:$D$1204,"&lt;"&amp;V858,$V$5:$V$1204,"&gt;"&amp;D858,$M$5:$M$1204,"&lt;&gt;Cancelled")&gt;1,"Clash",""))))</f>
        <v>0</v>
      </c>
      <c r="AH858" s="39">
        <f>IF(B858="","",IF(AG858="Clash","Clash - stylist double booked",IF(I858="","Assign - no stylist yet",IF(G858="","Add - no service chosen",IF(M858="No show","No show - charge the fee?",IF(M858="Cancelled","",IF(IF(M858="Completed",AB858&lt;Y858-0.004,FALSE),"Unpaid - nothing rung up for this visit",IF(IF(B858&lt;TodayDate,M858="Booked",FALSE),"Overdue - past date, still only Booked",IF(IF(B858=TodayDate,TRUE,FALSE),"Today",IF(IF(Z858&gt;0,AA858&lt;Z858-0.004,FALSE),"Due - deposit not taken",IF(IF(B858&gt;TodayDate,B858&lt;=TodayDate+2,FALSE),"Confirm - coming up","OK")))))))))))</f>
        <v>0</v>
      </c>
    </row>
    <row r="859" spans="1:34">
      <c r="A859" s="28">
        <f>IF(B859="","",AppointmentPrefix&amp;TEXT(ROW()-4,"0000"))</f>
        <v>0</v>
      </c>
      <c r="C859" s="15">
        <f>IF(B859="","",TEXT(B859,"ddd"))</f>
        <v>0</v>
      </c>
      <c r="F859" s="15">
        <f>IF(E859="","",IFERROR(INDEX(Clients!$B$5:$B$504,MATCH(E859,Clients!$A$5:$A$504,0)),"Walk-in"))</f>
        <v>0</v>
      </c>
      <c r="H859" s="15">
        <f>IF(G859="","",IFERROR(INDEX(Services!$B$5:$B$204,MATCH(G859,Services!$A$5:$A$204,0)),"Not in Services"))</f>
        <v>0</v>
      </c>
      <c r="J859" s="15">
        <f>IF(I859="","",IFERROR(INDEX(Staff!$B$5:$B$44,MATCH(I859,Staff!$A$5:$A$44,0)),"Unassigned"))</f>
        <v>0</v>
      </c>
      <c r="S859" s="15">
        <f>IF(B859="","",TEXT(B859,"yyyy-mm"))</f>
        <v>0</v>
      </c>
      <c r="T859" s="25">
        <f>IF(B859="","",WEEKNUM(B859,2))</f>
        <v>0</v>
      </c>
      <c r="U859" s="25">
        <f>IF(B859="","",IF(K859&lt;&gt;"",K859,IFERROR(INDEX(Services!$E$5:$E$204,MATCH(G859,Services!$A$5:$A$204,0))*1,0)+IFERROR(INDEX(Services!$F$5:$F$204,MATCH(G859,Services!$A$5:$A$204,0))*1,0)))</f>
        <v>0</v>
      </c>
      <c r="V859" s="36">
        <f>IF(B859="","",IF(D859="","",D859+U859/1440))</f>
        <v>0</v>
      </c>
      <c r="W859" s="25">
        <f>IF(B859="","",IF(D859="","",HOUR(D859)))</f>
        <v>0</v>
      </c>
      <c r="X859" s="37">
        <f>IF(B859="","",ROUND(U859/60,2))</f>
        <v>0</v>
      </c>
      <c r="Y859" s="26">
        <f>IF(B859="","",IF(L859&lt;&gt;"",L859,IFERROR(INDEX(Services!$G$5:$G$204,MATCH(G859,Services!$A$5:$A$204,0))*1,0)))</f>
        <v>0</v>
      </c>
      <c r="Z859" s="26">
        <f>IF(B859="","",IF(O859&lt;&gt;"",O859,IF(Y859&gt;=DepositThreshold,ROUND(Y859*DepositPercent,2),0)))</f>
        <v>0</v>
      </c>
      <c r="AA859" s="26">
        <f>IF(B859="","",ROUND(SUMIFS(Payments!$G$5:$G$1204,Payments!$I$5:$I$1204,A859,Payments!$E$5:$E$1204,"Deposit"),2))</f>
        <v>0</v>
      </c>
      <c r="AB859" s="26">
        <f>IF(B859="","",ROUND(SUMIFS(Sales!$Y$5:$Y$1204,Sales!$C$5:$C$1204,A859),2))</f>
        <v>0</v>
      </c>
      <c r="AC859" s="38">
        <f>IF(B859="","",IF(M859="Completed","Yes",IF(M859="Cancelled","Yes",IF(M859="No show","Yes","No"))))</f>
        <v>0</v>
      </c>
      <c r="AD859" s="25">
        <f>IF(B859="","",IF(AE859="","",B859-AE859))</f>
        <v>0</v>
      </c>
      <c r="AF859" s="38">
        <f>IF(B859="","",IF(M859&lt;&gt;"Completed","",IF(E859="","No",IF(COUNTIFS(Appointments!$E$5:$E$1204,E859,Appointments!$B$5:$B$1204,"&gt;"&amp;B859,Appointments!$M$5:$M$1204,"&lt;&gt;Cancelled")&gt;0,"Yes","No"))))</f>
        <v>0</v>
      </c>
      <c r="AG859" s="38">
        <f>IF(B859="","",IF(I859="","",IF(D859="","",IF(COUNTIFS($I$5:$I$1204,I859,$B$5:$B$1204,B859,$D$5:$D$1204,"&lt;"&amp;V859,$V$5:$V$1204,"&gt;"&amp;D859,$M$5:$M$1204,"&lt;&gt;Cancelled")&gt;1,"Clash",""))))</f>
        <v>0</v>
      </c>
      <c r="AH859" s="39">
        <f>IF(B859="","",IF(AG859="Clash","Clash - stylist double booked",IF(I859="","Assign - no stylist yet",IF(G859="","Add - no service chosen",IF(M859="No show","No show - charge the fee?",IF(M859="Cancelled","",IF(IF(M859="Completed",AB859&lt;Y859-0.004,FALSE),"Unpaid - nothing rung up for this visit",IF(IF(B859&lt;TodayDate,M859="Booked",FALSE),"Overdue - past date, still only Booked",IF(IF(B859=TodayDate,TRUE,FALSE),"Today",IF(IF(Z859&gt;0,AA859&lt;Z859-0.004,FALSE),"Due - deposit not taken",IF(IF(B859&gt;TodayDate,B859&lt;=TodayDate+2,FALSE),"Confirm - coming up","OK")))))))))))</f>
        <v>0</v>
      </c>
    </row>
    <row r="860" spans="1:34">
      <c r="A860" s="28">
        <f>IF(B860="","",AppointmentPrefix&amp;TEXT(ROW()-4,"0000"))</f>
        <v>0</v>
      </c>
      <c r="C860" s="15">
        <f>IF(B860="","",TEXT(B860,"ddd"))</f>
        <v>0</v>
      </c>
      <c r="F860" s="15">
        <f>IF(E860="","",IFERROR(INDEX(Clients!$B$5:$B$504,MATCH(E860,Clients!$A$5:$A$504,0)),"Walk-in"))</f>
        <v>0</v>
      </c>
      <c r="H860" s="15">
        <f>IF(G860="","",IFERROR(INDEX(Services!$B$5:$B$204,MATCH(G860,Services!$A$5:$A$204,0)),"Not in Services"))</f>
        <v>0</v>
      </c>
      <c r="J860" s="15">
        <f>IF(I860="","",IFERROR(INDEX(Staff!$B$5:$B$44,MATCH(I860,Staff!$A$5:$A$44,0)),"Unassigned"))</f>
        <v>0</v>
      </c>
      <c r="S860" s="15">
        <f>IF(B860="","",TEXT(B860,"yyyy-mm"))</f>
        <v>0</v>
      </c>
      <c r="T860" s="25">
        <f>IF(B860="","",WEEKNUM(B860,2))</f>
        <v>0</v>
      </c>
      <c r="U860" s="25">
        <f>IF(B860="","",IF(K860&lt;&gt;"",K860,IFERROR(INDEX(Services!$E$5:$E$204,MATCH(G860,Services!$A$5:$A$204,0))*1,0)+IFERROR(INDEX(Services!$F$5:$F$204,MATCH(G860,Services!$A$5:$A$204,0))*1,0)))</f>
        <v>0</v>
      </c>
      <c r="V860" s="36">
        <f>IF(B860="","",IF(D860="","",D860+U860/1440))</f>
        <v>0</v>
      </c>
      <c r="W860" s="25">
        <f>IF(B860="","",IF(D860="","",HOUR(D860)))</f>
        <v>0</v>
      </c>
      <c r="X860" s="37">
        <f>IF(B860="","",ROUND(U860/60,2))</f>
        <v>0</v>
      </c>
      <c r="Y860" s="26">
        <f>IF(B860="","",IF(L860&lt;&gt;"",L860,IFERROR(INDEX(Services!$G$5:$G$204,MATCH(G860,Services!$A$5:$A$204,0))*1,0)))</f>
        <v>0</v>
      </c>
      <c r="Z860" s="26">
        <f>IF(B860="","",IF(O860&lt;&gt;"",O860,IF(Y860&gt;=DepositThreshold,ROUND(Y860*DepositPercent,2),0)))</f>
        <v>0</v>
      </c>
      <c r="AA860" s="26">
        <f>IF(B860="","",ROUND(SUMIFS(Payments!$G$5:$G$1204,Payments!$I$5:$I$1204,A860,Payments!$E$5:$E$1204,"Deposit"),2))</f>
        <v>0</v>
      </c>
      <c r="AB860" s="26">
        <f>IF(B860="","",ROUND(SUMIFS(Sales!$Y$5:$Y$1204,Sales!$C$5:$C$1204,A860),2))</f>
        <v>0</v>
      </c>
      <c r="AC860" s="38">
        <f>IF(B860="","",IF(M860="Completed","Yes",IF(M860="Cancelled","Yes",IF(M860="No show","Yes","No"))))</f>
        <v>0</v>
      </c>
      <c r="AD860" s="25">
        <f>IF(B860="","",IF(AE860="","",B860-AE860))</f>
        <v>0</v>
      </c>
      <c r="AF860" s="38">
        <f>IF(B860="","",IF(M860&lt;&gt;"Completed","",IF(E860="","No",IF(COUNTIFS(Appointments!$E$5:$E$1204,E860,Appointments!$B$5:$B$1204,"&gt;"&amp;B860,Appointments!$M$5:$M$1204,"&lt;&gt;Cancelled")&gt;0,"Yes","No"))))</f>
        <v>0</v>
      </c>
      <c r="AG860" s="38">
        <f>IF(B860="","",IF(I860="","",IF(D860="","",IF(COUNTIFS($I$5:$I$1204,I860,$B$5:$B$1204,B860,$D$5:$D$1204,"&lt;"&amp;V860,$V$5:$V$1204,"&gt;"&amp;D860,$M$5:$M$1204,"&lt;&gt;Cancelled")&gt;1,"Clash",""))))</f>
        <v>0</v>
      </c>
      <c r="AH860" s="39">
        <f>IF(B860="","",IF(AG860="Clash","Clash - stylist double booked",IF(I860="","Assign - no stylist yet",IF(G860="","Add - no service chosen",IF(M860="No show","No show - charge the fee?",IF(M860="Cancelled","",IF(IF(M860="Completed",AB860&lt;Y860-0.004,FALSE),"Unpaid - nothing rung up for this visit",IF(IF(B860&lt;TodayDate,M860="Booked",FALSE),"Overdue - past date, still only Booked",IF(IF(B860=TodayDate,TRUE,FALSE),"Today",IF(IF(Z860&gt;0,AA860&lt;Z860-0.004,FALSE),"Due - deposit not taken",IF(IF(B860&gt;TodayDate,B860&lt;=TodayDate+2,FALSE),"Confirm - coming up","OK")))))))))))</f>
        <v>0</v>
      </c>
    </row>
    <row r="861" spans="1:34">
      <c r="A861" s="28">
        <f>IF(B861="","",AppointmentPrefix&amp;TEXT(ROW()-4,"0000"))</f>
        <v>0</v>
      </c>
      <c r="C861" s="15">
        <f>IF(B861="","",TEXT(B861,"ddd"))</f>
        <v>0</v>
      </c>
      <c r="F861" s="15">
        <f>IF(E861="","",IFERROR(INDEX(Clients!$B$5:$B$504,MATCH(E861,Clients!$A$5:$A$504,0)),"Walk-in"))</f>
        <v>0</v>
      </c>
      <c r="H861" s="15">
        <f>IF(G861="","",IFERROR(INDEX(Services!$B$5:$B$204,MATCH(G861,Services!$A$5:$A$204,0)),"Not in Services"))</f>
        <v>0</v>
      </c>
      <c r="J861" s="15">
        <f>IF(I861="","",IFERROR(INDEX(Staff!$B$5:$B$44,MATCH(I861,Staff!$A$5:$A$44,0)),"Unassigned"))</f>
        <v>0</v>
      </c>
      <c r="S861" s="15">
        <f>IF(B861="","",TEXT(B861,"yyyy-mm"))</f>
        <v>0</v>
      </c>
      <c r="T861" s="25">
        <f>IF(B861="","",WEEKNUM(B861,2))</f>
        <v>0</v>
      </c>
      <c r="U861" s="25">
        <f>IF(B861="","",IF(K861&lt;&gt;"",K861,IFERROR(INDEX(Services!$E$5:$E$204,MATCH(G861,Services!$A$5:$A$204,0))*1,0)+IFERROR(INDEX(Services!$F$5:$F$204,MATCH(G861,Services!$A$5:$A$204,0))*1,0)))</f>
        <v>0</v>
      </c>
      <c r="V861" s="36">
        <f>IF(B861="","",IF(D861="","",D861+U861/1440))</f>
        <v>0</v>
      </c>
      <c r="W861" s="25">
        <f>IF(B861="","",IF(D861="","",HOUR(D861)))</f>
        <v>0</v>
      </c>
      <c r="X861" s="37">
        <f>IF(B861="","",ROUND(U861/60,2))</f>
        <v>0</v>
      </c>
      <c r="Y861" s="26">
        <f>IF(B861="","",IF(L861&lt;&gt;"",L861,IFERROR(INDEX(Services!$G$5:$G$204,MATCH(G861,Services!$A$5:$A$204,0))*1,0)))</f>
        <v>0</v>
      </c>
      <c r="Z861" s="26">
        <f>IF(B861="","",IF(O861&lt;&gt;"",O861,IF(Y861&gt;=DepositThreshold,ROUND(Y861*DepositPercent,2),0)))</f>
        <v>0</v>
      </c>
      <c r="AA861" s="26">
        <f>IF(B861="","",ROUND(SUMIFS(Payments!$G$5:$G$1204,Payments!$I$5:$I$1204,A861,Payments!$E$5:$E$1204,"Deposit"),2))</f>
        <v>0</v>
      </c>
      <c r="AB861" s="26">
        <f>IF(B861="","",ROUND(SUMIFS(Sales!$Y$5:$Y$1204,Sales!$C$5:$C$1204,A861),2))</f>
        <v>0</v>
      </c>
      <c r="AC861" s="38">
        <f>IF(B861="","",IF(M861="Completed","Yes",IF(M861="Cancelled","Yes",IF(M861="No show","Yes","No"))))</f>
        <v>0</v>
      </c>
      <c r="AD861" s="25">
        <f>IF(B861="","",IF(AE861="","",B861-AE861))</f>
        <v>0</v>
      </c>
      <c r="AF861" s="38">
        <f>IF(B861="","",IF(M861&lt;&gt;"Completed","",IF(E861="","No",IF(COUNTIFS(Appointments!$E$5:$E$1204,E861,Appointments!$B$5:$B$1204,"&gt;"&amp;B861,Appointments!$M$5:$M$1204,"&lt;&gt;Cancelled")&gt;0,"Yes","No"))))</f>
        <v>0</v>
      </c>
      <c r="AG861" s="38">
        <f>IF(B861="","",IF(I861="","",IF(D861="","",IF(COUNTIFS($I$5:$I$1204,I861,$B$5:$B$1204,B861,$D$5:$D$1204,"&lt;"&amp;V861,$V$5:$V$1204,"&gt;"&amp;D861,$M$5:$M$1204,"&lt;&gt;Cancelled")&gt;1,"Clash",""))))</f>
        <v>0</v>
      </c>
      <c r="AH861" s="39">
        <f>IF(B861="","",IF(AG861="Clash","Clash - stylist double booked",IF(I861="","Assign - no stylist yet",IF(G861="","Add - no service chosen",IF(M861="No show","No show - charge the fee?",IF(M861="Cancelled","",IF(IF(M861="Completed",AB861&lt;Y861-0.004,FALSE),"Unpaid - nothing rung up for this visit",IF(IF(B861&lt;TodayDate,M861="Booked",FALSE),"Overdue - past date, still only Booked",IF(IF(B861=TodayDate,TRUE,FALSE),"Today",IF(IF(Z861&gt;0,AA861&lt;Z861-0.004,FALSE),"Due - deposit not taken",IF(IF(B861&gt;TodayDate,B861&lt;=TodayDate+2,FALSE),"Confirm - coming up","OK")))))))))))</f>
        <v>0</v>
      </c>
    </row>
    <row r="862" spans="1:34">
      <c r="A862" s="28">
        <f>IF(B862="","",AppointmentPrefix&amp;TEXT(ROW()-4,"0000"))</f>
        <v>0</v>
      </c>
      <c r="C862" s="15">
        <f>IF(B862="","",TEXT(B862,"ddd"))</f>
        <v>0</v>
      </c>
      <c r="F862" s="15">
        <f>IF(E862="","",IFERROR(INDEX(Clients!$B$5:$B$504,MATCH(E862,Clients!$A$5:$A$504,0)),"Walk-in"))</f>
        <v>0</v>
      </c>
      <c r="H862" s="15">
        <f>IF(G862="","",IFERROR(INDEX(Services!$B$5:$B$204,MATCH(G862,Services!$A$5:$A$204,0)),"Not in Services"))</f>
        <v>0</v>
      </c>
      <c r="J862" s="15">
        <f>IF(I862="","",IFERROR(INDEX(Staff!$B$5:$B$44,MATCH(I862,Staff!$A$5:$A$44,0)),"Unassigned"))</f>
        <v>0</v>
      </c>
      <c r="S862" s="15">
        <f>IF(B862="","",TEXT(B862,"yyyy-mm"))</f>
        <v>0</v>
      </c>
      <c r="T862" s="25">
        <f>IF(B862="","",WEEKNUM(B862,2))</f>
        <v>0</v>
      </c>
      <c r="U862" s="25">
        <f>IF(B862="","",IF(K862&lt;&gt;"",K862,IFERROR(INDEX(Services!$E$5:$E$204,MATCH(G862,Services!$A$5:$A$204,0))*1,0)+IFERROR(INDEX(Services!$F$5:$F$204,MATCH(G862,Services!$A$5:$A$204,0))*1,0)))</f>
        <v>0</v>
      </c>
      <c r="V862" s="36">
        <f>IF(B862="","",IF(D862="","",D862+U862/1440))</f>
        <v>0</v>
      </c>
      <c r="W862" s="25">
        <f>IF(B862="","",IF(D862="","",HOUR(D862)))</f>
        <v>0</v>
      </c>
      <c r="X862" s="37">
        <f>IF(B862="","",ROUND(U862/60,2))</f>
        <v>0</v>
      </c>
      <c r="Y862" s="26">
        <f>IF(B862="","",IF(L862&lt;&gt;"",L862,IFERROR(INDEX(Services!$G$5:$G$204,MATCH(G862,Services!$A$5:$A$204,0))*1,0)))</f>
        <v>0</v>
      </c>
      <c r="Z862" s="26">
        <f>IF(B862="","",IF(O862&lt;&gt;"",O862,IF(Y862&gt;=DepositThreshold,ROUND(Y862*DepositPercent,2),0)))</f>
        <v>0</v>
      </c>
      <c r="AA862" s="26">
        <f>IF(B862="","",ROUND(SUMIFS(Payments!$G$5:$G$1204,Payments!$I$5:$I$1204,A862,Payments!$E$5:$E$1204,"Deposit"),2))</f>
        <v>0</v>
      </c>
      <c r="AB862" s="26">
        <f>IF(B862="","",ROUND(SUMIFS(Sales!$Y$5:$Y$1204,Sales!$C$5:$C$1204,A862),2))</f>
        <v>0</v>
      </c>
      <c r="AC862" s="38">
        <f>IF(B862="","",IF(M862="Completed","Yes",IF(M862="Cancelled","Yes",IF(M862="No show","Yes","No"))))</f>
        <v>0</v>
      </c>
      <c r="AD862" s="25">
        <f>IF(B862="","",IF(AE862="","",B862-AE862))</f>
        <v>0</v>
      </c>
      <c r="AF862" s="38">
        <f>IF(B862="","",IF(M862&lt;&gt;"Completed","",IF(E862="","No",IF(COUNTIFS(Appointments!$E$5:$E$1204,E862,Appointments!$B$5:$B$1204,"&gt;"&amp;B862,Appointments!$M$5:$M$1204,"&lt;&gt;Cancelled")&gt;0,"Yes","No"))))</f>
        <v>0</v>
      </c>
      <c r="AG862" s="38">
        <f>IF(B862="","",IF(I862="","",IF(D862="","",IF(COUNTIFS($I$5:$I$1204,I862,$B$5:$B$1204,B862,$D$5:$D$1204,"&lt;"&amp;V862,$V$5:$V$1204,"&gt;"&amp;D862,$M$5:$M$1204,"&lt;&gt;Cancelled")&gt;1,"Clash",""))))</f>
        <v>0</v>
      </c>
      <c r="AH862" s="39">
        <f>IF(B862="","",IF(AG862="Clash","Clash - stylist double booked",IF(I862="","Assign - no stylist yet",IF(G862="","Add - no service chosen",IF(M862="No show","No show - charge the fee?",IF(M862="Cancelled","",IF(IF(M862="Completed",AB862&lt;Y862-0.004,FALSE),"Unpaid - nothing rung up for this visit",IF(IF(B862&lt;TodayDate,M862="Booked",FALSE),"Overdue - past date, still only Booked",IF(IF(B862=TodayDate,TRUE,FALSE),"Today",IF(IF(Z862&gt;0,AA862&lt;Z862-0.004,FALSE),"Due - deposit not taken",IF(IF(B862&gt;TodayDate,B862&lt;=TodayDate+2,FALSE),"Confirm - coming up","OK")))))))))))</f>
        <v>0</v>
      </c>
    </row>
    <row r="863" spans="1:34">
      <c r="A863" s="28">
        <f>IF(B863="","",AppointmentPrefix&amp;TEXT(ROW()-4,"0000"))</f>
        <v>0</v>
      </c>
      <c r="C863" s="15">
        <f>IF(B863="","",TEXT(B863,"ddd"))</f>
        <v>0</v>
      </c>
      <c r="F863" s="15">
        <f>IF(E863="","",IFERROR(INDEX(Clients!$B$5:$B$504,MATCH(E863,Clients!$A$5:$A$504,0)),"Walk-in"))</f>
        <v>0</v>
      </c>
      <c r="H863" s="15">
        <f>IF(G863="","",IFERROR(INDEX(Services!$B$5:$B$204,MATCH(G863,Services!$A$5:$A$204,0)),"Not in Services"))</f>
        <v>0</v>
      </c>
      <c r="J863" s="15">
        <f>IF(I863="","",IFERROR(INDEX(Staff!$B$5:$B$44,MATCH(I863,Staff!$A$5:$A$44,0)),"Unassigned"))</f>
        <v>0</v>
      </c>
      <c r="S863" s="15">
        <f>IF(B863="","",TEXT(B863,"yyyy-mm"))</f>
        <v>0</v>
      </c>
      <c r="T863" s="25">
        <f>IF(B863="","",WEEKNUM(B863,2))</f>
        <v>0</v>
      </c>
      <c r="U863" s="25">
        <f>IF(B863="","",IF(K863&lt;&gt;"",K863,IFERROR(INDEX(Services!$E$5:$E$204,MATCH(G863,Services!$A$5:$A$204,0))*1,0)+IFERROR(INDEX(Services!$F$5:$F$204,MATCH(G863,Services!$A$5:$A$204,0))*1,0)))</f>
        <v>0</v>
      </c>
      <c r="V863" s="36">
        <f>IF(B863="","",IF(D863="","",D863+U863/1440))</f>
        <v>0</v>
      </c>
      <c r="W863" s="25">
        <f>IF(B863="","",IF(D863="","",HOUR(D863)))</f>
        <v>0</v>
      </c>
      <c r="X863" s="37">
        <f>IF(B863="","",ROUND(U863/60,2))</f>
        <v>0</v>
      </c>
      <c r="Y863" s="26">
        <f>IF(B863="","",IF(L863&lt;&gt;"",L863,IFERROR(INDEX(Services!$G$5:$G$204,MATCH(G863,Services!$A$5:$A$204,0))*1,0)))</f>
        <v>0</v>
      </c>
      <c r="Z863" s="26">
        <f>IF(B863="","",IF(O863&lt;&gt;"",O863,IF(Y863&gt;=DepositThreshold,ROUND(Y863*DepositPercent,2),0)))</f>
        <v>0</v>
      </c>
      <c r="AA863" s="26">
        <f>IF(B863="","",ROUND(SUMIFS(Payments!$G$5:$G$1204,Payments!$I$5:$I$1204,A863,Payments!$E$5:$E$1204,"Deposit"),2))</f>
        <v>0</v>
      </c>
      <c r="AB863" s="26">
        <f>IF(B863="","",ROUND(SUMIFS(Sales!$Y$5:$Y$1204,Sales!$C$5:$C$1204,A863),2))</f>
        <v>0</v>
      </c>
      <c r="AC863" s="38">
        <f>IF(B863="","",IF(M863="Completed","Yes",IF(M863="Cancelled","Yes",IF(M863="No show","Yes","No"))))</f>
        <v>0</v>
      </c>
      <c r="AD863" s="25">
        <f>IF(B863="","",IF(AE863="","",B863-AE863))</f>
        <v>0</v>
      </c>
      <c r="AF863" s="38">
        <f>IF(B863="","",IF(M863&lt;&gt;"Completed","",IF(E863="","No",IF(COUNTIFS(Appointments!$E$5:$E$1204,E863,Appointments!$B$5:$B$1204,"&gt;"&amp;B863,Appointments!$M$5:$M$1204,"&lt;&gt;Cancelled")&gt;0,"Yes","No"))))</f>
        <v>0</v>
      </c>
      <c r="AG863" s="38">
        <f>IF(B863="","",IF(I863="","",IF(D863="","",IF(COUNTIFS($I$5:$I$1204,I863,$B$5:$B$1204,B863,$D$5:$D$1204,"&lt;"&amp;V863,$V$5:$V$1204,"&gt;"&amp;D863,$M$5:$M$1204,"&lt;&gt;Cancelled")&gt;1,"Clash",""))))</f>
        <v>0</v>
      </c>
      <c r="AH863" s="39">
        <f>IF(B863="","",IF(AG863="Clash","Clash - stylist double booked",IF(I863="","Assign - no stylist yet",IF(G863="","Add - no service chosen",IF(M863="No show","No show - charge the fee?",IF(M863="Cancelled","",IF(IF(M863="Completed",AB863&lt;Y863-0.004,FALSE),"Unpaid - nothing rung up for this visit",IF(IF(B863&lt;TodayDate,M863="Booked",FALSE),"Overdue - past date, still only Booked",IF(IF(B863=TodayDate,TRUE,FALSE),"Today",IF(IF(Z863&gt;0,AA863&lt;Z863-0.004,FALSE),"Due - deposit not taken",IF(IF(B863&gt;TodayDate,B863&lt;=TodayDate+2,FALSE),"Confirm - coming up","OK")))))))))))</f>
        <v>0</v>
      </c>
    </row>
    <row r="864" spans="1:34">
      <c r="A864" s="28">
        <f>IF(B864="","",AppointmentPrefix&amp;TEXT(ROW()-4,"0000"))</f>
        <v>0</v>
      </c>
      <c r="C864" s="15">
        <f>IF(B864="","",TEXT(B864,"ddd"))</f>
        <v>0</v>
      </c>
      <c r="F864" s="15">
        <f>IF(E864="","",IFERROR(INDEX(Clients!$B$5:$B$504,MATCH(E864,Clients!$A$5:$A$504,0)),"Walk-in"))</f>
        <v>0</v>
      </c>
      <c r="H864" s="15">
        <f>IF(G864="","",IFERROR(INDEX(Services!$B$5:$B$204,MATCH(G864,Services!$A$5:$A$204,0)),"Not in Services"))</f>
        <v>0</v>
      </c>
      <c r="J864" s="15">
        <f>IF(I864="","",IFERROR(INDEX(Staff!$B$5:$B$44,MATCH(I864,Staff!$A$5:$A$44,0)),"Unassigned"))</f>
        <v>0</v>
      </c>
      <c r="S864" s="15">
        <f>IF(B864="","",TEXT(B864,"yyyy-mm"))</f>
        <v>0</v>
      </c>
      <c r="T864" s="25">
        <f>IF(B864="","",WEEKNUM(B864,2))</f>
        <v>0</v>
      </c>
      <c r="U864" s="25">
        <f>IF(B864="","",IF(K864&lt;&gt;"",K864,IFERROR(INDEX(Services!$E$5:$E$204,MATCH(G864,Services!$A$5:$A$204,0))*1,0)+IFERROR(INDEX(Services!$F$5:$F$204,MATCH(G864,Services!$A$5:$A$204,0))*1,0)))</f>
        <v>0</v>
      </c>
      <c r="V864" s="36">
        <f>IF(B864="","",IF(D864="","",D864+U864/1440))</f>
        <v>0</v>
      </c>
      <c r="W864" s="25">
        <f>IF(B864="","",IF(D864="","",HOUR(D864)))</f>
        <v>0</v>
      </c>
      <c r="X864" s="37">
        <f>IF(B864="","",ROUND(U864/60,2))</f>
        <v>0</v>
      </c>
      <c r="Y864" s="26">
        <f>IF(B864="","",IF(L864&lt;&gt;"",L864,IFERROR(INDEX(Services!$G$5:$G$204,MATCH(G864,Services!$A$5:$A$204,0))*1,0)))</f>
        <v>0</v>
      </c>
      <c r="Z864" s="26">
        <f>IF(B864="","",IF(O864&lt;&gt;"",O864,IF(Y864&gt;=DepositThreshold,ROUND(Y864*DepositPercent,2),0)))</f>
        <v>0</v>
      </c>
      <c r="AA864" s="26">
        <f>IF(B864="","",ROUND(SUMIFS(Payments!$G$5:$G$1204,Payments!$I$5:$I$1204,A864,Payments!$E$5:$E$1204,"Deposit"),2))</f>
        <v>0</v>
      </c>
      <c r="AB864" s="26">
        <f>IF(B864="","",ROUND(SUMIFS(Sales!$Y$5:$Y$1204,Sales!$C$5:$C$1204,A864),2))</f>
        <v>0</v>
      </c>
      <c r="AC864" s="38">
        <f>IF(B864="","",IF(M864="Completed","Yes",IF(M864="Cancelled","Yes",IF(M864="No show","Yes","No"))))</f>
        <v>0</v>
      </c>
      <c r="AD864" s="25">
        <f>IF(B864="","",IF(AE864="","",B864-AE864))</f>
        <v>0</v>
      </c>
      <c r="AF864" s="38">
        <f>IF(B864="","",IF(M864&lt;&gt;"Completed","",IF(E864="","No",IF(COUNTIFS(Appointments!$E$5:$E$1204,E864,Appointments!$B$5:$B$1204,"&gt;"&amp;B864,Appointments!$M$5:$M$1204,"&lt;&gt;Cancelled")&gt;0,"Yes","No"))))</f>
        <v>0</v>
      </c>
      <c r="AG864" s="38">
        <f>IF(B864="","",IF(I864="","",IF(D864="","",IF(COUNTIFS($I$5:$I$1204,I864,$B$5:$B$1204,B864,$D$5:$D$1204,"&lt;"&amp;V864,$V$5:$V$1204,"&gt;"&amp;D864,$M$5:$M$1204,"&lt;&gt;Cancelled")&gt;1,"Clash",""))))</f>
        <v>0</v>
      </c>
      <c r="AH864" s="39">
        <f>IF(B864="","",IF(AG864="Clash","Clash - stylist double booked",IF(I864="","Assign - no stylist yet",IF(G864="","Add - no service chosen",IF(M864="No show","No show - charge the fee?",IF(M864="Cancelled","",IF(IF(M864="Completed",AB864&lt;Y864-0.004,FALSE),"Unpaid - nothing rung up for this visit",IF(IF(B864&lt;TodayDate,M864="Booked",FALSE),"Overdue - past date, still only Booked",IF(IF(B864=TodayDate,TRUE,FALSE),"Today",IF(IF(Z864&gt;0,AA864&lt;Z864-0.004,FALSE),"Due - deposit not taken",IF(IF(B864&gt;TodayDate,B864&lt;=TodayDate+2,FALSE),"Confirm - coming up","OK")))))))))))</f>
        <v>0</v>
      </c>
    </row>
    <row r="865" spans="1:34">
      <c r="A865" s="28">
        <f>IF(B865="","",AppointmentPrefix&amp;TEXT(ROW()-4,"0000"))</f>
        <v>0</v>
      </c>
      <c r="C865" s="15">
        <f>IF(B865="","",TEXT(B865,"ddd"))</f>
        <v>0</v>
      </c>
      <c r="F865" s="15">
        <f>IF(E865="","",IFERROR(INDEX(Clients!$B$5:$B$504,MATCH(E865,Clients!$A$5:$A$504,0)),"Walk-in"))</f>
        <v>0</v>
      </c>
      <c r="H865" s="15">
        <f>IF(G865="","",IFERROR(INDEX(Services!$B$5:$B$204,MATCH(G865,Services!$A$5:$A$204,0)),"Not in Services"))</f>
        <v>0</v>
      </c>
      <c r="J865" s="15">
        <f>IF(I865="","",IFERROR(INDEX(Staff!$B$5:$B$44,MATCH(I865,Staff!$A$5:$A$44,0)),"Unassigned"))</f>
        <v>0</v>
      </c>
      <c r="S865" s="15">
        <f>IF(B865="","",TEXT(B865,"yyyy-mm"))</f>
        <v>0</v>
      </c>
      <c r="T865" s="25">
        <f>IF(B865="","",WEEKNUM(B865,2))</f>
        <v>0</v>
      </c>
      <c r="U865" s="25">
        <f>IF(B865="","",IF(K865&lt;&gt;"",K865,IFERROR(INDEX(Services!$E$5:$E$204,MATCH(G865,Services!$A$5:$A$204,0))*1,0)+IFERROR(INDEX(Services!$F$5:$F$204,MATCH(G865,Services!$A$5:$A$204,0))*1,0)))</f>
        <v>0</v>
      </c>
      <c r="V865" s="36">
        <f>IF(B865="","",IF(D865="","",D865+U865/1440))</f>
        <v>0</v>
      </c>
      <c r="W865" s="25">
        <f>IF(B865="","",IF(D865="","",HOUR(D865)))</f>
        <v>0</v>
      </c>
      <c r="X865" s="37">
        <f>IF(B865="","",ROUND(U865/60,2))</f>
        <v>0</v>
      </c>
      <c r="Y865" s="26">
        <f>IF(B865="","",IF(L865&lt;&gt;"",L865,IFERROR(INDEX(Services!$G$5:$G$204,MATCH(G865,Services!$A$5:$A$204,0))*1,0)))</f>
        <v>0</v>
      </c>
      <c r="Z865" s="26">
        <f>IF(B865="","",IF(O865&lt;&gt;"",O865,IF(Y865&gt;=DepositThreshold,ROUND(Y865*DepositPercent,2),0)))</f>
        <v>0</v>
      </c>
      <c r="AA865" s="26">
        <f>IF(B865="","",ROUND(SUMIFS(Payments!$G$5:$G$1204,Payments!$I$5:$I$1204,A865,Payments!$E$5:$E$1204,"Deposit"),2))</f>
        <v>0</v>
      </c>
      <c r="AB865" s="26">
        <f>IF(B865="","",ROUND(SUMIFS(Sales!$Y$5:$Y$1204,Sales!$C$5:$C$1204,A865),2))</f>
        <v>0</v>
      </c>
      <c r="AC865" s="38">
        <f>IF(B865="","",IF(M865="Completed","Yes",IF(M865="Cancelled","Yes",IF(M865="No show","Yes","No"))))</f>
        <v>0</v>
      </c>
      <c r="AD865" s="25">
        <f>IF(B865="","",IF(AE865="","",B865-AE865))</f>
        <v>0</v>
      </c>
      <c r="AF865" s="38">
        <f>IF(B865="","",IF(M865&lt;&gt;"Completed","",IF(E865="","No",IF(COUNTIFS(Appointments!$E$5:$E$1204,E865,Appointments!$B$5:$B$1204,"&gt;"&amp;B865,Appointments!$M$5:$M$1204,"&lt;&gt;Cancelled")&gt;0,"Yes","No"))))</f>
        <v>0</v>
      </c>
      <c r="AG865" s="38">
        <f>IF(B865="","",IF(I865="","",IF(D865="","",IF(COUNTIFS($I$5:$I$1204,I865,$B$5:$B$1204,B865,$D$5:$D$1204,"&lt;"&amp;V865,$V$5:$V$1204,"&gt;"&amp;D865,$M$5:$M$1204,"&lt;&gt;Cancelled")&gt;1,"Clash",""))))</f>
        <v>0</v>
      </c>
      <c r="AH865" s="39">
        <f>IF(B865="","",IF(AG865="Clash","Clash - stylist double booked",IF(I865="","Assign - no stylist yet",IF(G865="","Add - no service chosen",IF(M865="No show","No show - charge the fee?",IF(M865="Cancelled","",IF(IF(M865="Completed",AB865&lt;Y865-0.004,FALSE),"Unpaid - nothing rung up for this visit",IF(IF(B865&lt;TodayDate,M865="Booked",FALSE),"Overdue - past date, still only Booked",IF(IF(B865=TodayDate,TRUE,FALSE),"Today",IF(IF(Z865&gt;0,AA865&lt;Z865-0.004,FALSE),"Due - deposit not taken",IF(IF(B865&gt;TodayDate,B865&lt;=TodayDate+2,FALSE),"Confirm - coming up","OK")))))))))))</f>
        <v>0</v>
      </c>
    </row>
    <row r="866" spans="1:34">
      <c r="A866" s="28">
        <f>IF(B866="","",AppointmentPrefix&amp;TEXT(ROW()-4,"0000"))</f>
        <v>0</v>
      </c>
      <c r="C866" s="15">
        <f>IF(B866="","",TEXT(B866,"ddd"))</f>
        <v>0</v>
      </c>
      <c r="F866" s="15">
        <f>IF(E866="","",IFERROR(INDEX(Clients!$B$5:$B$504,MATCH(E866,Clients!$A$5:$A$504,0)),"Walk-in"))</f>
        <v>0</v>
      </c>
      <c r="H866" s="15">
        <f>IF(G866="","",IFERROR(INDEX(Services!$B$5:$B$204,MATCH(G866,Services!$A$5:$A$204,0)),"Not in Services"))</f>
        <v>0</v>
      </c>
      <c r="J866" s="15">
        <f>IF(I866="","",IFERROR(INDEX(Staff!$B$5:$B$44,MATCH(I866,Staff!$A$5:$A$44,0)),"Unassigned"))</f>
        <v>0</v>
      </c>
      <c r="S866" s="15">
        <f>IF(B866="","",TEXT(B866,"yyyy-mm"))</f>
        <v>0</v>
      </c>
      <c r="T866" s="25">
        <f>IF(B866="","",WEEKNUM(B866,2))</f>
        <v>0</v>
      </c>
      <c r="U866" s="25">
        <f>IF(B866="","",IF(K866&lt;&gt;"",K866,IFERROR(INDEX(Services!$E$5:$E$204,MATCH(G866,Services!$A$5:$A$204,0))*1,0)+IFERROR(INDEX(Services!$F$5:$F$204,MATCH(G866,Services!$A$5:$A$204,0))*1,0)))</f>
        <v>0</v>
      </c>
      <c r="V866" s="36">
        <f>IF(B866="","",IF(D866="","",D866+U866/1440))</f>
        <v>0</v>
      </c>
      <c r="W866" s="25">
        <f>IF(B866="","",IF(D866="","",HOUR(D866)))</f>
        <v>0</v>
      </c>
      <c r="X866" s="37">
        <f>IF(B866="","",ROUND(U866/60,2))</f>
        <v>0</v>
      </c>
      <c r="Y866" s="26">
        <f>IF(B866="","",IF(L866&lt;&gt;"",L866,IFERROR(INDEX(Services!$G$5:$G$204,MATCH(G866,Services!$A$5:$A$204,0))*1,0)))</f>
        <v>0</v>
      </c>
      <c r="Z866" s="26">
        <f>IF(B866="","",IF(O866&lt;&gt;"",O866,IF(Y866&gt;=DepositThreshold,ROUND(Y866*DepositPercent,2),0)))</f>
        <v>0</v>
      </c>
      <c r="AA866" s="26">
        <f>IF(B866="","",ROUND(SUMIFS(Payments!$G$5:$G$1204,Payments!$I$5:$I$1204,A866,Payments!$E$5:$E$1204,"Deposit"),2))</f>
        <v>0</v>
      </c>
      <c r="AB866" s="26">
        <f>IF(B866="","",ROUND(SUMIFS(Sales!$Y$5:$Y$1204,Sales!$C$5:$C$1204,A866),2))</f>
        <v>0</v>
      </c>
      <c r="AC866" s="38">
        <f>IF(B866="","",IF(M866="Completed","Yes",IF(M866="Cancelled","Yes",IF(M866="No show","Yes","No"))))</f>
        <v>0</v>
      </c>
      <c r="AD866" s="25">
        <f>IF(B866="","",IF(AE866="","",B866-AE866))</f>
        <v>0</v>
      </c>
      <c r="AF866" s="38">
        <f>IF(B866="","",IF(M866&lt;&gt;"Completed","",IF(E866="","No",IF(COUNTIFS(Appointments!$E$5:$E$1204,E866,Appointments!$B$5:$B$1204,"&gt;"&amp;B866,Appointments!$M$5:$M$1204,"&lt;&gt;Cancelled")&gt;0,"Yes","No"))))</f>
        <v>0</v>
      </c>
      <c r="AG866" s="38">
        <f>IF(B866="","",IF(I866="","",IF(D866="","",IF(COUNTIFS($I$5:$I$1204,I866,$B$5:$B$1204,B866,$D$5:$D$1204,"&lt;"&amp;V866,$V$5:$V$1204,"&gt;"&amp;D866,$M$5:$M$1204,"&lt;&gt;Cancelled")&gt;1,"Clash",""))))</f>
        <v>0</v>
      </c>
      <c r="AH866" s="39">
        <f>IF(B866="","",IF(AG866="Clash","Clash - stylist double booked",IF(I866="","Assign - no stylist yet",IF(G866="","Add - no service chosen",IF(M866="No show","No show - charge the fee?",IF(M866="Cancelled","",IF(IF(M866="Completed",AB866&lt;Y866-0.004,FALSE),"Unpaid - nothing rung up for this visit",IF(IF(B866&lt;TodayDate,M866="Booked",FALSE),"Overdue - past date, still only Booked",IF(IF(B866=TodayDate,TRUE,FALSE),"Today",IF(IF(Z866&gt;0,AA866&lt;Z866-0.004,FALSE),"Due - deposit not taken",IF(IF(B866&gt;TodayDate,B866&lt;=TodayDate+2,FALSE),"Confirm - coming up","OK")))))))))))</f>
        <v>0</v>
      </c>
    </row>
    <row r="867" spans="1:34">
      <c r="A867" s="28">
        <f>IF(B867="","",AppointmentPrefix&amp;TEXT(ROW()-4,"0000"))</f>
        <v>0</v>
      </c>
      <c r="C867" s="15">
        <f>IF(B867="","",TEXT(B867,"ddd"))</f>
        <v>0</v>
      </c>
      <c r="F867" s="15">
        <f>IF(E867="","",IFERROR(INDEX(Clients!$B$5:$B$504,MATCH(E867,Clients!$A$5:$A$504,0)),"Walk-in"))</f>
        <v>0</v>
      </c>
      <c r="H867" s="15">
        <f>IF(G867="","",IFERROR(INDEX(Services!$B$5:$B$204,MATCH(G867,Services!$A$5:$A$204,0)),"Not in Services"))</f>
        <v>0</v>
      </c>
      <c r="J867" s="15">
        <f>IF(I867="","",IFERROR(INDEX(Staff!$B$5:$B$44,MATCH(I867,Staff!$A$5:$A$44,0)),"Unassigned"))</f>
        <v>0</v>
      </c>
      <c r="S867" s="15">
        <f>IF(B867="","",TEXT(B867,"yyyy-mm"))</f>
        <v>0</v>
      </c>
      <c r="T867" s="25">
        <f>IF(B867="","",WEEKNUM(B867,2))</f>
        <v>0</v>
      </c>
      <c r="U867" s="25">
        <f>IF(B867="","",IF(K867&lt;&gt;"",K867,IFERROR(INDEX(Services!$E$5:$E$204,MATCH(G867,Services!$A$5:$A$204,0))*1,0)+IFERROR(INDEX(Services!$F$5:$F$204,MATCH(G867,Services!$A$5:$A$204,0))*1,0)))</f>
        <v>0</v>
      </c>
      <c r="V867" s="36">
        <f>IF(B867="","",IF(D867="","",D867+U867/1440))</f>
        <v>0</v>
      </c>
      <c r="W867" s="25">
        <f>IF(B867="","",IF(D867="","",HOUR(D867)))</f>
        <v>0</v>
      </c>
      <c r="X867" s="37">
        <f>IF(B867="","",ROUND(U867/60,2))</f>
        <v>0</v>
      </c>
      <c r="Y867" s="26">
        <f>IF(B867="","",IF(L867&lt;&gt;"",L867,IFERROR(INDEX(Services!$G$5:$G$204,MATCH(G867,Services!$A$5:$A$204,0))*1,0)))</f>
        <v>0</v>
      </c>
      <c r="Z867" s="26">
        <f>IF(B867="","",IF(O867&lt;&gt;"",O867,IF(Y867&gt;=DepositThreshold,ROUND(Y867*DepositPercent,2),0)))</f>
        <v>0</v>
      </c>
      <c r="AA867" s="26">
        <f>IF(B867="","",ROUND(SUMIFS(Payments!$G$5:$G$1204,Payments!$I$5:$I$1204,A867,Payments!$E$5:$E$1204,"Deposit"),2))</f>
        <v>0</v>
      </c>
      <c r="AB867" s="26">
        <f>IF(B867="","",ROUND(SUMIFS(Sales!$Y$5:$Y$1204,Sales!$C$5:$C$1204,A867),2))</f>
        <v>0</v>
      </c>
      <c r="AC867" s="38">
        <f>IF(B867="","",IF(M867="Completed","Yes",IF(M867="Cancelled","Yes",IF(M867="No show","Yes","No"))))</f>
        <v>0</v>
      </c>
      <c r="AD867" s="25">
        <f>IF(B867="","",IF(AE867="","",B867-AE867))</f>
        <v>0</v>
      </c>
      <c r="AF867" s="38">
        <f>IF(B867="","",IF(M867&lt;&gt;"Completed","",IF(E867="","No",IF(COUNTIFS(Appointments!$E$5:$E$1204,E867,Appointments!$B$5:$B$1204,"&gt;"&amp;B867,Appointments!$M$5:$M$1204,"&lt;&gt;Cancelled")&gt;0,"Yes","No"))))</f>
        <v>0</v>
      </c>
      <c r="AG867" s="38">
        <f>IF(B867="","",IF(I867="","",IF(D867="","",IF(COUNTIFS($I$5:$I$1204,I867,$B$5:$B$1204,B867,$D$5:$D$1204,"&lt;"&amp;V867,$V$5:$V$1204,"&gt;"&amp;D867,$M$5:$M$1204,"&lt;&gt;Cancelled")&gt;1,"Clash",""))))</f>
        <v>0</v>
      </c>
      <c r="AH867" s="39">
        <f>IF(B867="","",IF(AG867="Clash","Clash - stylist double booked",IF(I867="","Assign - no stylist yet",IF(G867="","Add - no service chosen",IF(M867="No show","No show - charge the fee?",IF(M867="Cancelled","",IF(IF(M867="Completed",AB867&lt;Y867-0.004,FALSE),"Unpaid - nothing rung up for this visit",IF(IF(B867&lt;TodayDate,M867="Booked",FALSE),"Overdue - past date, still only Booked",IF(IF(B867=TodayDate,TRUE,FALSE),"Today",IF(IF(Z867&gt;0,AA867&lt;Z867-0.004,FALSE),"Due - deposit not taken",IF(IF(B867&gt;TodayDate,B867&lt;=TodayDate+2,FALSE),"Confirm - coming up","OK")))))))))))</f>
        <v>0</v>
      </c>
    </row>
    <row r="868" spans="1:34">
      <c r="A868" s="28">
        <f>IF(B868="","",AppointmentPrefix&amp;TEXT(ROW()-4,"0000"))</f>
        <v>0</v>
      </c>
      <c r="C868" s="15">
        <f>IF(B868="","",TEXT(B868,"ddd"))</f>
        <v>0</v>
      </c>
      <c r="F868" s="15">
        <f>IF(E868="","",IFERROR(INDEX(Clients!$B$5:$B$504,MATCH(E868,Clients!$A$5:$A$504,0)),"Walk-in"))</f>
        <v>0</v>
      </c>
      <c r="H868" s="15">
        <f>IF(G868="","",IFERROR(INDEX(Services!$B$5:$B$204,MATCH(G868,Services!$A$5:$A$204,0)),"Not in Services"))</f>
        <v>0</v>
      </c>
      <c r="J868" s="15">
        <f>IF(I868="","",IFERROR(INDEX(Staff!$B$5:$B$44,MATCH(I868,Staff!$A$5:$A$44,0)),"Unassigned"))</f>
        <v>0</v>
      </c>
      <c r="S868" s="15">
        <f>IF(B868="","",TEXT(B868,"yyyy-mm"))</f>
        <v>0</v>
      </c>
      <c r="T868" s="25">
        <f>IF(B868="","",WEEKNUM(B868,2))</f>
        <v>0</v>
      </c>
      <c r="U868" s="25">
        <f>IF(B868="","",IF(K868&lt;&gt;"",K868,IFERROR(INDEX(Services!$E$5:$E$204,MATCH(G868,Services!$A$5:$A$204,0))*1,0)+IFERROR(INDEX(Services!$F$5:$F$204,MATCH(G868,Services!$A$5:$A$204,0))*1,0)))</f>
        <v>0</v>
      </c>
      <c r="V868" s="36">
        <f>IF(B868="","",IF(D868="","",D868+U868/1440))</f>
        <v>0</v>
      </c>
      <c r="W868" s="25">
        <f>IF(B868="","",IF(D868="","",HOUR(D868)))</f>
        <v>0</v>
      </c>
      <c r="X868" s="37">
        <f>IF(B868="","",ROUND(U868/60,2))</f>
        <v>0</v>
      </c>
      <c r="Y868" s="26">
        <f>IF(B868="","",IF(L868&lt;&gt;"",L868,IFERROR(INDEX(Services!$G$5:$G$204,MATCH(G868,Services!$A$5:$A$204,0))*1,0)))</f>
        <v>0</v>
      </c>
      <c r="Z868" s="26">
        <f>IF(B868="","",IF(O868&lt;&gt;"",O868,IF(Y868&gt;=DepositThreshold,ROUND(Y868*DepositPercent,2),0)))</f>
        <v>0</v>
      </c>
      <c r="AA868" s="26">
        <f>IF(B868="","",ROUND(SUMIFS(Payments!$G$5:$G$1204,Payments!$I$5:$I$1204,A868,Payments!$E$5:$E$1204,"Deposit"),2))</f>
        <v>0</v>
      </c>
      <c r="AB868" s="26">
        <f>IF(B868="","",ROUND(SUMIFS(Sales!$Y$5:$Y$1204,Sales!$C$5:$C$1204,A868),2))</f>
        <v>0</v>
      </c>
      <c r="AC868" s="38">
        <f>IF(B868="","",IF(M868="Completed","Yes",IF(M868="Cancelled","Yes",IF(M868="No show","Yes","No"))))</f>
        <v>0</v>
      </c>
      <c r="AD868" s="25">
        <f>IF(B868="","",IF(AE868="","",B868-AE868))</f>
        <v>0</v>
      </c>
      <c r="AF868" s="38">
        <f>IF(B868="","",IF(M868&lt;&gt;"Completed","",IF(E868="","No",IF(COUNTIFS(Appointments!$E$5:$E$1204,E868,Appointments!$B$5:$B$1204,"&gt;"&amp;B868,Appointments!$M$5:$M$1204,"&lt;&gt;Cancelled")&gt;0,"Yes","No"))))</f>
        <v>0</v>
      </c>
      <c r="AG868" s="38">
        <f>IF(B868="","",IF(I868="","",IF(D868="","",IF(COUNTIFS($I$5:$I$1204,I868,$B$5:$B$1204,B868,$D$5:$D$1204,"&lt;"&amp;V868,$V$5:$V$1204,"&gt;"&amp;D868,$M$5:$M$1204,"&lt;&gt;Cancelled")&gt;1,"Clash",""))))</f>
        <v>0</v>
      </c>
      <c r="AH868" s="39">
        <f>IF(B868="","",IF(AG868="Clash","Clash - stylist double booked",IF(I868="","Assign - no stylist yet",IF(G868="","Add - no service chosen",IF(M868="No show","No show - charge the fee?",IF(M868="Cancelled","",IF(IF(M868="Completed",AB868&lt;Y868-0.004,FALSE),"Unpaid - nothing rung up for this visit",IF(IF(B868&lt;TodayDate,M868="Booked",FALSE),"Overdue - past date, still only Booked",IF(IF(B868=TodayDate,TRUE,FALSE),"Today",IF(IF(Z868&gt;0,AA868&lt;Z868-0.004,FALSE),"Due - deposit not taken",IF(IF(B868&gt;TodayDate,B868&lt;=TodayDate+2,FALSE),"Confirm - coming up","OK")))))))))))</f>
        <v>0</v>
      </c>
    </row>
    <row r="869" spans="1:34">
      <c r="A869" s="28">
        <f>IF(B869="","",AppointmentPrefix&amp;TEXT(ROW()-4,"0000"))</f>
        <v>0</v>
      </c>
      <c r="C869" s="15">
        <f>IF(B869="","",TEXT(B869,"ddd"))</f>
        <v>0</v>
      </c>
      <c r="F869" s="15">
        <f>IF(E869="","",IFERROR(INDEX(Clients!$B$5:$B$504,MATCH(E869,Clients!$A$5:$A$504,0)),"Walk-in"))</f>
        <v>0</v>
      </c>
      <c r="H869" s="15">
        <f>IF(G869="","",IFERROR(INDEX(Services!$B$5:$B$204,MATCH(G869,Services!$A$5:$A$204,0)),"Not in Services"))</f>
        <v>0</v>
      </c>
      <c r="J869" s="15">
        <f>IF(I869="","",IFERROR(INDEX(Staff!$B$5:$B$44,MATCH(I869,Staff!$A$5:$A$44,0)),"Unassigned"))</f>
        <v>0</v>
      </c>
      <c r="S869" s="15">
        <f>IF(B869="","",TEXT(B869,"yyyy-mm"))</f>
        <v>0</v>
      </c>
      <c r="T869" s="25">
        <f>IF(B869="","",WEEKNUM(B869,2))</f>
        <v>0</v>
      </c>
      <c r="U869" s="25">
        <f>IF(B869="","",IF(K869&lt;&gt;"",K869,IFERROR(INDEX(Services!$E$5:$E$204,MATCH(G869,Services!$A$5:$A$204,0))*1,0)+IFERROR(INDEX(Services!$F$5:$F$204,MATCH(G869,Services!$A$5:$A$204,0))*1,0)))</f>
        <v>0</v>
      </c>
      <c r="V869" s="36">
        <f>IF(B869="","",IF(D869="","",D869+U869/1440))</f>
        <v>0</v>
      </c>
      <c r="W869" s="25">
        <f>IF(B869="","",IF(D869="","",HOUR(D869)))</f>
        <v>0</v>
      </c>
      <c r="X869" s="37">
        <f>IF(B869="","",ROUND(U869/60,2))</f>
        <v>0</v>
      </c>
      <c r="Y869" s="26">
        <f>IF(B869="","",IF(L869&lt;&gt;"",L869,IFERROR(INDEX(Services!$G$5:$G$204,MATCH(G869,Services!$A$5:$A$204,0))*1,0)))</f>
        <v>0</v>
      </c>
      <c r="Z869" s="26">
        <f>IF(B869="","",IF(O869&lt;&gt;"",O869,IF(Y869&gt;=DepositThreshold,ROUND(Y869*DepositPercent,2),0)))</f>
        <v>0</v>
      </c>
      <c r="AA869" s="26">
        <f>IF(B869="","",ROUND(SUMIFS(Payments!$G$5:$G$1204,Payments!$I$5:$I$1204,A869,Payments!$E$5:$E$1204,"Deposit"),2))</f>
        <v>0</v>
      </c>
      <c r="AB869" s="26">
        <f>IF(B869="","",ROUND(SUMIFS(Sales!$Y$5:$Y$1204,Sales!$C$5:$C$1204,A869),2))</f>
        <v>0</v>
      </c>
      <c r="AC869" s="38">
        <f>IF(B869="","",IF(M869="Completed","Yes",IF(M869="Cancelled","Yes",IF(M869="No show","Yes","No"))))</f>
        <v>0</v>
      </c>
      <c r="AD869" s="25">
        <f>IF(B869="","",IF(AE869="","",B869-AE869))</f>
        <v>0</v>
      </c>
      <c r="AF869" s="38">
        <f>IF(B869="","",IF(M869&lt;&gt;"Completed","",IF(E869="","No",IF(COUNTIFS(Appointments!$E$5:$E$1204,E869,Appointments!$B$5:$B$1204,"&gt;"&amp;B869,Appointments!$M$5:$M$1204,"&lt;&gt;Cancelled")&gt;0,"Yes","No"))))</f>
        <v>0</v>
      </c>
      <c r="AG869" s="38">
        <f>IF(B869="","",IF(I869="","",IF(D869="","",IF(COUNTIFS($I$5:$I$1204,I869,$B$5:$B$1204,B869,$D$5:$D$1204,"&lt;"&amp;V869,$V$5:$V$1204,"&gt;"&amp;D869,$M$5:$M$1204,"&lt;&gt;Cancelled")&gt;1,"Clash",""))))</f>
        <v>0</v>
      </c>
      <c r="AH869" s="39">
        <f>IF(B869="","",IF(AG869="Clash","Clash - stylist double booked",IF(I869="","Assign - no stylist yet",IF(G869="","Add - no service chosen",IF(M869="No show","No show - charge the fee?",IF(M869="Cancelled","",IF(IF(M869="Completed",AB869&lt;Y869-0.004,FALSE),"Unpaid - nothing rung up for this visit",IF(IF(B869&lt;TodayDate,M869="Booked",FALSE),"Overdue - past date, still only Booked",IF(IF(B869=TodayDate,TRUE,FALSE),"Today",IF(IF(Z869&gt;0,AA869&lt;Z869-0.004,FALSE),"Due - deposit not taken",IF(IF(B869&gt;TodayDate,B869&lt;=TodayDate+2,FALSE),"Confirm - coming up","OK")))))))))))</f>
        <v>0</v>
      </c>
    </row>
    <row r="870" spans="1:34">
      <c r="A870" s="28">
        <f>IF(B870="","",AppointmentPrefix&amp;TEXT(ROW()-4,"0000"))</f>
        <v>0</v>
      </c>
      <c r="C870" s="15">
        <f>IF(B870="","",TEXT(B870,"ddd"))</f>
        <v>0</v>
      </c>
      <c r="F870" s="15">
        <f>IF(E870="","",IFERROR(INDEX(Clients!$B$5:$B$504,MATCH(E870,Clients!$A$5:$A$504,0)),"Walk-in"))</f>
        <v>0</v>
      </c>
      <c r="H870" s="15">
        <f>IF(G870="","",IFERROR(INDEX(Services!$B$5:$B$204,MATCH(G870,Services!$A$5:$A$204,0)),"Not in Services"))</f>
        <v>0</v>
      </c>
      <c r="J870" s="15">
        <f>IF(I870="","",IFERROR(INDEX(Staff!$B$5:$B$44,MATCH(I870,Staff!$A$5:$A$44,0)),"Unassigned"))</f>
        <v>0</v>
      </c>
      <c r="S870" s="15">
        <f>IF(B870="","",TEXT(B870,"yyyy-mm"))</f>
        <v>0</v>
      </c>
      <c r="T870" s="25">
        <f>IF(B870="","",WEEKNUM(B870,2))</f>
        <v>0</v>
      </c>
      <c r="U870" s="25">
        <f>IF(B870="","",IF(K870&lt;&gt;"",K870,IFERROR(INDEX(Services!$E$5:$E$204,MATCH(G870,Services!$A$5:$A$204,0))*1,0)+IFERROR(INDEX(Services!$F$5:$F$204,MATCH(G870,Services!$A$5:$A$204,0))*1,0)))</f>
        <v>0</v>
      </c>
      <c r="V870" s="36">
        <f>IF(B870="","",IF(D870="","",D870+U870/1440))</f>
        <v>0</v>
      </c>
      <c r="W870" s="25">
        <f>IF(B870="","",IF(D870="","",HOUR(D870)))</f>
        <v>0</v>
      </c>
      <c r="X870" s="37">
        <f>IF(B870="","",ROUND(U870/60,2))</f>
        <v>0</v>
      </c>
      <c r="Y870" s="26">
        <f>IF(B870="","",IF(L870&lt;&gt;"",L870,IFERROR(INDEX(Services!$G$5:$G$204,MATCH(G870,Services!$A$5:$A$204,0))*1,0)))</f>
        <v>0</v>
      </c>
      <c r="Z870" s="26">
        <f>IF(B870="","",IF(O870&lt;&gt;"",O870,IF(Y870&gt;=DepositThreshold,ROUND(Y870*DepositPercent,2),0)))</f>
        <v>0</v>
      </c>
      <c r="AA870" s="26">
        <f>IF(B870="","",ROUND(SUMIFS(Payments!$G$5:$G$1204,Payments!$I$5:$I$1204,A870,Payments!$E$5:$E$1204,"Deposit"),2))</f>
        <v>0</v>
      </c>
      <c r="AB870" s="26">
        <f>IF(B870="","",ROUND(SUMIFS(Sales!$Y$5:$Y$1204,Sales!$C$5:$C$1204,A870),2))</f>
        <v>0</v>
      </c>
      <c r="AC870" s="38">
        <f>IF(B870="","",IF(M870="Completed","Yes",IF(M870="Cancelled","Yes",IF(M870="No show","Yes","No"))))</f>
        <v>0</v>
      </c>
      <c r="AD870" s="25">
        <f>IF(B870="","",IF(AE870="","",B870-AE870))</f>
        <v>0</v>
      </c>
      <c r="AF870" s="38">
        <f>IF(B870="","",IF(M870&lt;&gt;"Completed","",IF(E870="","No",IF(COUNTIFS(Appointments!$E$5:$E$1204,E870,Appointments!$B$5:$B$1204,"&gt;"&amp;B870,Appointments!$M$5:$M$1204,"&lt;&gt;Cancelled")&gt;0,"Yes","No"))))</f>
        <v>0</v>
      </c>
      <c r="AG870" s="38">
        <f>IF(B870="","",IF(I870="","",IF(D870="","",IF(COUNTIFS($I$5:$I$1204,I870,$B$5:$B$1204,B870,$D$5:$D$1204,"&lt;"&amp;V870,$V$5:$V$1204,"&gt;"&amp;D870,$M$5:$M$1204,"&lt;&gt;Cancelled")&gt;1,"Clash",""))))</f>
        <v>0</v>
      </c>
      <c r="AH870" s="39">
        <f>IF(B870="","",IF(AG870="Clash","Clash - stylist double booked",IF(I870="","Assign - no stylist yet",IF(G870="","Add - no service chosen",IF(M870="No show","No show - charge the fee?",IF(M870="Cancelled","",IF(IF(M870="Completed",AB870&lt;Y870-0.004,FALSE),"Unpaid - nothing rung up for this visit",IF(IF(B870&lt;TodayDate,M870="Booked",FALSE),"Overdue - past date, still only Booked",IF(IF(B870=TodayDate,TRUE,FALSE),"Today",IF(IF(Z870&gt;0,AA870&lt;Z870-0.004,FALSE),"Due - deposit not taken",IF(IF(B870&gt;TodayDate,B870&lt;=TodayDate+2,FALSE),"Confirm - coming up","OK")))))))))))</f>
        <v>0</v>
      </c>
    </row>
    <row r="871" spans="1:34">
      <c r="A871" s="28">
        <f>IF(B871="","",AppointmentPrefix&amp;TEXT(ROW()-4,"0000"))</f>
        <v>0</v>
      </c>
      <c r="C871" s="15">
        <f>IF(B871="","",TEXT(B871,"ddd"))</f>
        <v>0</v>
      </c>
      <c r="F871" s="15">
        <f>IF(E871="","",IFERROR(INDEX(Clients!$B$5:$B$504,MATCH(E871,Clients!$A$5:$A$504,0)),"Walk-in"))</f>
        <v>0</v>
      </c>
      <c r="H871" s="15">
        <f>IF(G871="","",IFERROR(INDEX(Services!$B$5:$B$204,MATCH(G871,Services!$A$5:$A$204,0)),"Not in Services"))</f>
        <v>0</v>
      </c>
      <c r="J871" s="15">
        <f>IF(I871="","",IFERROR(INDEX(Staff!$B$5:$B$44,MATCH(I871,Staff!$A$5:$A$44,0)),"Unassigned"))</f>
        <v>0</v>
      </c>
      <c r="S871" s="15">
        <f>IF(B871="","",TEXT(B871,"yyyy-mm"))</f>
        <v>0</v>
      </c>
      <c r="T871" s="25">
        <f>IF(B871="","",WEEKNUM(B871,2))</f>
        <v>0</v>
      </c>
      <c r="U871" s="25">
        <f>IF(B871="","",IF(K871&lt;&gt;"",K871,IFERROR(INDEX(Services!$E$5:$E$204,MATCH(G871,Services!$A$5:$A$204,0))*1,0)+IFERROR(INDEX(Services!$F$5:$F$204,MATCH(G871,Services!$A$5:$A$204,0))*1,0)))</f>
        <v>0</v>
      </c>
      <c r="V871" s="36">
        <f>IF(B871="","",IF(D871="","",D871+U871/1440))</f>
        <v>0</v>
      </c>
      <c r="W871" s="25">
        <f>IF(B871="","",IF(D871="","",HOUR(D871)))</f>
        <v>0</v>
      </c>
      <c r="X871" s="37">
        <f>IF(B871="","",ROUND(U871/60,2))</f>
        <v>0</v>
      </c>
      <c r="Y871" s="26">
        <f>IF(B871="","",IF(L871&lt;&gt;"",L871,IFERROR(INDEX(Services!$G$5:$G$204,MATCH(G871,Services!$A$5:$A$204,0))*1,0)))</f>
        <v>0</v>
      </c>
      <c r="Z871" s="26">
        <f>IF(B871="","",IF(O871&lt;&gt;"",O871,IF(Y871&gt;=DepositThreshold,ROUND(Y871*DepositPercent,2),0)))</f>
        <v>0</v>
      </c>
      <c r="AA871" s="26">
        <f>IF(B871="","",ROUND(SUMIFS(Payments!$G$5:$G$1204,Payments!$I$5:$I$1204,A871,Payments!$E$5:$E$1204,"Deposit"),2))</f>
        <v>0</v>
      </c>
      <c r="AB871" s="26">
        <f>IF(B871="","",ROUND(SUMIFS(Sales!$Y$5:$Y$1204,Sales!$C$5:$C$1204,A871),2))</f>
        <v>0</v>
      </c>
      <c r="AC871" s="38">
        <f>IF(B871="","",IF(M871="Completed","Yes",IF(M871="Cancelled","Yes",IF(M871="No show","Yes","No"))))</f>
        <v>0</v>
      </c>
      <c r="AD871" s="25">
        <f>IF(B871="","",IF(AE871="","",B871-AE871))</f>
        <v>0</v>
      </c>
      <c r="AF871" s="38">
        <f>IF(B871="","",IF(M871&lt;&gt;"Completed","",IF(E871="","No",IF(COUNTIFS(Appointments!$E$5:$E$1204,E871,Appointments!$B$5:$B$1204,"&gt;"&amp;B871,Appointments!$M$5:$M$1204,"&lt;&gt;Cancelled")&gt;0,"Yes","No"))))</f>
        <v>0</v>
      </c>
      <c r="AG871" s="38">
        <f>IF(B871="","",IF(I871="","",IF(D871="","",IF(COUNTIFS($I$5:$I$1204,I871,$B$5:$B$1204,B871,$D$5:$D$1204,"&lt;"&amp;V871,$V$5:$V$1204,"&gt;"&amp;D871,$M$5:$M$1204,"&lt;&gt;Cancelled")&gt;1,"Clash",""))))</f>
        <v>0</v>
      </c>
      <c r="AH871" s="39">
        <f>IF(B871="","",IF(AG871="Clash","Clash - stylist double booked",IF(I871="","Assign - no stylist yet",IF(G871="","Add - no service chosen",IF(M871="No show","No show - charge the fee?",IF(M871="Cancelled","",IF(IF(M871="Completed",AB871&lt;Y871-0.004,FALSE),"Unpaid - nothing rung up for this visit",IF(IF(B871&lt;TodayDate,M871="Booked",FALSE),"Overdue - past date, still only Booked",IF(IF(B871=TodayDate,TRUE,FALSE),"Today",IF(IF(Z871&gt;0,AA871&lt;Z871-0.004,FALSE),"Due - deposit not taken",IF(IF(B871&gt;TodayDate,B871&lt;=TodayDate+2,FALSE),"Confirm - coming up","OK")))))))))))</f>
        <v>0</v>
      </c>
    </row>
    <row r="872" spans="1:34">
      <c r="A872" s="28">
        <f>IF(B872="","",AppointmentPrefix&amp;TEXT(ROW()-4,"0000"))</f>
        <v>0</v>
      </c>
      <c r="C872" s="15">
        <f>IF(B872="","",TEXT(B872,"ddd"))</f>
        <v>0</v>
      </c>
      <c r="F872" s="15">
        <f>IF(E872="","",IFERROR(INDEX(Clients!$B$5:$B$504,MATCH(E872,Clients!$A$5:$A$504,0)),"Walk-in"))</f>
        <v>0</v>
      </c>
      <c r="H872" s="15">
        <f>IF(G872="","",IFERROR(INDEX(Services!$B$5:$B$204,MATCH(G872,Services!$A$5:$A$204,0)),"Not in Services"))</f>
        <v>0</v>
      </c>
      <c r="J872" s="15">
        <f>IF(I872="","",IFERROR(INDEX(Staff!$B$5:$B$44,MATCH(I872,Staff!$A$5:$A$44,0)),"Unassigned"))</f>
        <v>0</v>
      </c>
      <c r="S872" s="15">
        <f>IF(B872="","",TEXT(B872,"yyyy-mm"))</f>
        <v>0</v>
      </c>
      <c r="T872" s="25">
        <f>IF(B872="","",WEEKNUM(B872,2))</f>
        <v>0</v>
      </c>
      <c r="U872" s="25">
        <f>IF(B872="","",IF(K872&lt;&gt;"",K872,IFERROR(INDEX(Services!$E$5:$E$204,MATCH(G872,Services!$A$5:$A$204,0))*1,0)+IFERROR(INDEX(Services!$F$5:$F$204,MATCH(G872,Services!$A$5:$A$204,0))*1,0)))</f>
        <v>0</v>
      </c>
      <c r="V872" s="36">
        <f>IF(B872="","",IF(D872="","",D872+U872/1440))</f>
        <v>0</v>
      </c>
      <c r="W872" s="25">
        <f>IF(B872="","",IF(D872="","",HOUR(D872)))</f>
        <v>0</v>
      </c>
      <c r="X872" s="37">
        <f>IF(B872="","",ROUND(U872/60,2))</f>
        <v>0</v>
      </c>
      <c r="Y872" s="26">
        <f>IF(B872="","",IF(L872&lt;&gt;"",L872,IFERROR(INDEX(Services!$G$5:$G$204,MATCH(G872,Services!$A$5:$A$204,0))*1,0)))</f>
        <v>0</v>
      </c>
      <c r="Z872" s="26">
        <f>IF(B872="","",IF(O872&lt;&gt;"",O872,IF(Y872&gt;=DepositThreshold,ROUND(Y872*DepositPercent,2),0)))</f>
        <v>0</v>
      </c>
      <c r="AA872" s="26">
        <f>IF(B872="","",ROUND(SUMIFS(Payments!$G$5:$G$1204,Payments!$I$5:$I$1204,A872,Payments!$E$5:$E$1204,"Deposit"),2))</f>
        <v>0</v>
      </c>
      <c r="AB872" s="26">
        <f>IF(B872="","",ROUND(SUMIFS(Sales!$Y$5:$Y$1204,Sales!$C$5:$C$1204,A872),2))</f>
        <v>0</v>
      </c>
      <c r="AC872" s="38">
        <f>IF(B872="","",IF(M872="Completed","Yes",IF(M872="Cancelled","Yes",IF(M872="No show","Yes","No"))))</f>
        <v>0</v>
      </c>
      <c r="AD872" s="25">
        <f>IF(B872="","",IF(AE872="","",B872-AE872))</f>
        <v>0</v>
      </c>
      <c r="AF872" s="38">
        <f>IF(B872="","",IF(M872&lt;&gt;"Completed","",IF(E872="","No",IF(COUNTIFS(Appointments!$E$5:$E$1204,E872,Appointments!$B$5:$B$1204,"&gt;"&amp;B872,Appointments!$M$5:$M$1204,"&lt;&gt;Cancelled")&gt;0,"Yes","No"))))</f>
        <v>0</v>
      </c>
      <c r="AG872" s="38">
        <f>IF(B872="","",IF(I872="","",IF(D872="","",IF(COUNTIFS($I$5:$I$1204,I872,$B$5:$B$1204,B872,$D$5:$D$1204,"&lt;"&amp;V872,$V$5:$V$1204,"&gt;"&amp;D872,$M$5:$M$1204,"&lt;&gt;Cancelled")&gt;1,"Clash",""))))</f>
        <v>0</v>
      </c>
      <c r="AH872" s="39">
        <f>IF(B872="","",IF(AG872="Clash","Clash - stylist double booked",IF(I872="","Assign - no stylist yet",IF(G872="","Add - no service chosen",IF(M872="No show","No show - charge the fee?",IF(M872="Cancelled","",IF(IF(M872="Completed",AB872&lt;Y872-0.004,FALSE),"Unpaid - nothing rung up for this visit",IF(IF(B872&lt;TodayDate,M872="Booked",FALSE),"Overdue - past date, still only Booked",IF(IF(B872=TodayDate,TRUE,FALSE),"Today",IF(IF(Z872&gt;0,AA872&lt;Z872-0.004,FALSE),"Due - deposit not taken",IF(IF(B872&gt;TodayDate,B872&lt;=TodayDate+2,FALSE),"Confirm - coming up","OK")))))))))))</f>
        <v>0</v>
      </c>
    </row>
    <row r="873" spans="1:34">
      <c r="A873" s="28">
        <f>IF(B873="","",AppointmentPrefix&amp;TEXT(ROW()-4,"0000"))</f>
        <v>0</v>
      </c>
      <c r="C873" s="15">
        <f>IF(B873="","",TEXT(B873,"ddd"))</f>
        <v>0</v>
      </c>
      <c r="F873" s="15">
        <f>IF(E873="","",IFERROR(INDEX(Clients!$B$5:$B$504,MATCH(E873,Clients!$A$5:$A$504,0)),"Walk-in"))</f>
        <v>0</v>
      </c>
      <c r="H873" s="15">
        <f>IF(G873="","",IFERROR(INDEX(Services!$B$5:$B$204,MATCH(G873,Services!$A$5:$A$204,0)),"Not in Services"))</f>
        <v>0</v>
      </c>
      <c r="J873" s="15">
        <f>IF(I873="","",IFERROR(INDEX(Staff!$B$5:$B$44,MATCH(I873,Staff!$A$5:$A$44,0)),"Unassigned"))</f>
        <v>0</v>
      </c>
      <c r="S873" s="15">
        <f>IF(B873="","",TEXT(B873,"yyyy-mm"))</f>
        <v>0</v>
      </c>
      <c r="T873" s="25">
        <f>IF(B873="","",WEEKNUM(B873,2))</f>
        <v>0</v>
      </c>
      <c r="U873" s="25">
        <f>IF(B873="","",IF(K873&lt;&gt;"",K873,IFERROR(INDEX(Services!$E$5:$E$204,MATCH(G873,Services!$A$5:$A$204,0))*1,0)+IFERROR(INDEX(Services!$F$5:$F$204,MATCH(G873,Services!$A$5:$A$204,0))*1,0)))</f>
        <v>0</v>
      </c>
      <c r="V873" s="36">
        <f>IF(B873="","",IF(D873="","",D873+U873/1440))</f>
        <v>0</v>
      </c>
      <c r="W873" s="25">
        <f>IF(B873="","",IF(D873="","",HOUR(D873)))</f>
        <v>0</v>
      </c>
      <c r="X873" s="37">
        <f>IF(B873="","",ROUND(U873/60,2))</f>
        <v>0</v>
      </c>
      <c r="Y873" s="26">
        <f>IF(B873="","",IF(L873&lt;&gt;"",L873,IFERROR(INDEX(Services!$G$5:$G$204,MATCH(G873,Services!$A$5:$A$204,0))*1,0)))</f>
        <v>0</v>
      </c>
      <c r="Z873" s="26">
        <f>IF(B873="","",IF(O873&lt;&gt;"",O873,IF(Y873&gt;=DepositThreshold,ROUND(Y873*DepositPercent,2),0)))</f>
        <v>0</v>
      </c>
      <c r="AA873" s="26">
        <f>IF(B873="","",ROUND(SUMIFS(Payments!$G$5:$G$1204,Payments!$I$5:$I$1204,A873,Payments!$E$5:$E$1204,"Deposit"),2))</f>
        <v>0</v>
      </c>
      <c r="AB873" s="26">
        <f>IF(B873="","",ROUND(SUMIFS(Sales!$Y$5:$Y$1204,Sales!$C$5:$C$1204,A873),2))</f>
        <v>0</v>
      </c>
      <c r="AC873" s="38">
        <f>IF(B873="","",IF(M873="Completed","Yes",IF(M873="Cancelled","Yes",IF(M873="No show","Yes","No"))))</f>
        <v>0</v>
      </c>
      <c r="AD873" s="25">
        <f>IF(B873="","",IF(AE873="","",B873-AE873))</f>
        <v>0</v>
      </c>
      <c r="AF873" s="38">
        <f>IF(B873="","",IF(M873&lt;&gt;"Completed","",IF(E873="","No",IF(COUNTIFS(Appointments!$E$5:$E$1204,E873,Appointments!$B$5:$B$1204,"&gt;"&amp;B873,Appointments!$M$5:$M$1204,"&lt;&gt;Cancelled")&gt;0,"Yes","No"))))</f>
        <v>0</v>
      </c>
      <c r="AG873" s="38">
        <f>IF(B873="","",IF(I873="","",IF(D873="","",IF(COUNTIFS($I$5:$I$1204,I873,$B$5:$B$1204,B873,$D$5:$D$1204,"&lt;"&amp;V873,$V$5:$V$1204,"&gt;"&amp;D873,$M$5:$M$1204,"&lt;&gt;Cancelled")&gt;1,"Clash",""))))</f>
        <v>0</v>
      </c>
      <c r="AH873" s="39">
        <f>IF(B873="","",IF(AG873="Clash","Clash - stylist double booked",IF(I873="","Assign - no stylist yet",IF(G873="","Add - no service chosen",IF(M873="No show","No show - charge the fee?",IF(M873="Cancelled","",IF(IF(M873="Completed",AB873&lt;Y873-0.004,FALSE),"Unpaid - nothing rung up for this visit",IF(IF(B873&lt;TodayDate,M873="Booked",FALSE),"Overdue - past date, still only Booked",IF(IF(B873=TodayDate,TRUE,FALSE),"Today",IF(IF(Z873&gt;0,AA873&lt;Z873-0.004,FALSE),"Due - deposit not taken",IF(IF(B873&gt;TodayDate,B873&lt;=TodayDate+2,FALSE),"Confirm - coming up","OK")))))))))))</f>
        <v>0</v>
      </c>
    </row>
    <row r="874" spans="1:34">
      <c r="A874" s="28">
        <f>IF(B874="","",AppointmentPrefix&amp;TEXT(ROW()-4,"0000"))</f>
        <v>0</v>
      </c>
      <c r="C874" s="15">
        <f>IF(B874="","",TEXT(B874,"ddd"))</f>
        <v>0</v>
      </c>
      <c r="F874" s="15">
        <f>IF(E874="","",IFERROR(INDEX(Clients!$B$5:$B$504,MATCH(E874,Clients!$A$5:$A$504,0)),"Walk-in"))</f>
        <v>0</v>
      </c>
      <c r="H874" s="15">
        <f>IF(G874="","",IFERROR(INDEX(Services!$B$5:$B$204,MATCH(G874,Services!$A$5:$A$204,0)),"Not in Services"))</f>
        <v>0</v>
      </c>
      <c r="J874" s="15">
        <f>IF(I874="","",IFERROR(INDEX(Staff!$B$5:$B$44,MATCH(I874,Staff!$A$5:$A$44,0)),"Unassigned"))</f>
        <v>0</v>
      </c>
      <c r="S874" s="15">
        <f>IF(B874="","",TEXT(B874,"yyyy-mm"))</f>
        <v>0</v>
      </c>
      <c r="T874" s="25">
        <f>IF(B874="","",WEEKNUM(B874,2))</f>
        <v>0</v>
      </c>
      <c r="U874" s="25">
        <f>IF(B874="","",IF(K874&lt;&gt;"",K874,IFERROR(INDEX(Services!$E$5:$E$204,MATCH(G874,Services!$A$5:$A$204,0))*1,0)+IFERROR(INDEX(Services!$F$5:$F$204,MATCH(G874,Services!$A$5:$A$204,0))*1,0)))</f>
        <v>0</v>
      </c>
      <c r="V874" s="36">
        <f>IF(B874="","",IF(D874="","",D874+U874/1440))</f>
        <v>0</v>
      </c>
      <c r="W874" s="25">
        <f>IF(B874="","",IF(D874="","",HOUR(D874)))</f>
        <v>0</v>
      </c>
      <c r="X874" s="37">
        <f>IF(B874="","",ROUND(U874/60,2))</f>
        <v>0</v>
      </c>
      <c r="Y874" s="26">
        <f>IF(B874="","",IF(L874&lt;&gt;"",L874,IFERROR(INDEX(Services!$G$5:$G$204,MATCH(G874,Services!$A$5:$A$204,0))*1,0)))</f>
        <v>0</v>
      </c>
      <c r="Z874" s="26">
        <f>IF(B874="","",IF(O874&lt;&gt;"",O874,IF(Y874&gt;=DepositThreshold,ROUND(Y874*DepositPercent,2),0)))</f>
        <v>0</v>
      </c>
      <c r="AA874" s="26">
        <f>IF(B874="","",ROUND(SUMIFS(Payments!$G$5:$G$1204,Payments!$I$5:$I$1204,A874,Payments!$E$5:$E$1204,"Deposit"),2))</f>
        <v>0</v>
      </c>
      <c r="AB874" s="26">
        <f>IF(B874="","",ROUND(SUMIFS(Sales!$Y$5:$Y$1204,Sales!$C$5:$C$1204,A874),2))</f>
        <v>0</v>
      </c>
      <c r="AC874" s="38">
        <f>IF(B874="","",IF(M874="Completed","Yes",IF(M874="Cancelled","Yes",IF(M874="No show","Yes","No"))))</f>
        <v>0</v>
      </c>
      <c r="AD874" s="25">
        <f>IF(B874="","",IF(AE874="","",B874-AE874))</f>
        <v>0</v>
      </c>
      <c r="AF874" s="38">
        <f>IF(B874="","",IF(M874&lt;&gt;"Completed","",IF(E874="","No",IF(COUNTIFS(Appointments!$E$5:$E$1204,E874,Appointments!$B$5:$B$1204,"&gt;"&amp;B874,Appointments!$M$5:$M$1204,"&lt;&gt;Cancelled")&gt;0,"Yes","No"))))</f>
        <v>0</v>
      </c>
      <c r="AG874" s="38">
        <f>IF(B874="","",IF(I874="","",IF(D874="","",IF(COUNTIFS($I$5:$I$1204,I874,$B$5:$B$1204,B874,$D$5:$D$1204,"&lt;"&amp;V874,$V$5:$V$1204,"&gt;"&amp;D874,$M$5:$M$1204,"&lt;&gt;Cancelled")&gt;1,"Clash",""))))</f>
        <v>0</v>
      </c>
      <c r="AH874" s="39">
        <f>IF(B874="","",IF(AG874="Clash","Clash - stylist double booked",IF(I874="","Assign - no stylist yet",IF(G874="","Add - no service chosen",IF(M874="No show","No show - charge the fee?",IF(M874="Cancelled","",IF(IF(M874="Completed",AB874&lt;Y874-0.004,FALSE),"Unpaid - nothing rung up for this visit",IF(IF(B874&lt;TodayDate,M874="Booked",FALSE),"Overdue - past date, still only Booked",IF(IF(B874=TodayDate,TRUE,FALSE),"Today",IF(IF(Z874&gt;0,AA874&lt;Z874-0.004,FALSE),"Due - deposit not taken",IF(IF(B874&gt;TodayDate,B874&lt;=TodayDate+2,FALSE),"Confirm - coming up","OK")))))))))))</f>
        <v>0</v>
      </c>
    </row>
    <row r="875" spans="1:34">
      <c r="A875" s="28">
        <f>IF(B875="","",AppointmentPrefix&amp;TEXT(ROW()-4,"0000"))</f>
        <v>0</v>
      </c>
      <c r="C875" s="15">
        <f>IF(B875="","",TEXT(B875,"ddd"))</f>
        <v>0</v>
      </c>
      <c r="F875" s="15">
        <f>IF(E875="","",IFERROR(INDEX(Clients!$B$5:$B$504,MATCH(E875,Clients!$A$5:$A$504,0)),"Walk-in"))</f>
        <v>0</v>
      </c>
      <c r="H875" s="15">
        <f>IF(G875="","",IFERROR(INDEX(Services!$B$5:$B$204,MATCH(G875,Services!$A$5:$A$204,0)),"Not in Services"))</f>
        <v>0</v>
      </c>
      <c r="J875" s="15">
        <f>IF(I875="","",IFERROR(INDEX(Staff!$B$5:$B$44,MATCH(I875,Staff!$A$5:$A$44,0)),"Unassigned"))</f>
        <v>0</v>
      </c>
      <c r="S875" s="15">
        <f>IF(B875="","",TEXT(B875,"yyyy-mm"))</f>
        <v>0</v>
      </c>
      <c r="T875" s="25">
        <f>IF(B875="","",WEEKNUM(B875,2))</f>
        <v>0</v>
      </c>
      <c r="U875" s="25">
        <f>IF(B875="","",IF(K875&lt;&gt;"",K875,IFERROR(INDEX(Services!$E$5:$E$204,MATCH(G875,Services!$A$5:$A$204,0))*1,0)+IFERROR(INDEX(Services!$F$5:$F$204,MATCH(G875,Services!$A$5:$A$204,0))*1,0)))</f>
        <v>0</v>
      </c>
      <c r="V875" s="36">
        <f>IF(B875="","",IF(D875="","",D875+U875/1440))</f>
        <v>0</v>
      </c>
      <c r="W875" s="25">
        <f>IF(B875="","",IF(D875="","",HOUR(D875)))</f>
        <v>0</v>
      </c>
      <c r="X875" s="37">
        <f>IF(B875="","",ROUND(U875/60,2))</f>
        <v>0</v>
      </c>
      <c r="Y875" s="26">
        <f>IF(B875="","",IF(L875&lt;&gt;"",L875,IFERROR(INDEX(Services!$G$5:$G$204,MATCH(G875,Services!$A$5:$A$204,0))*1,0)))</f>
        <v>0</v>
      </c>
      <c r="Z875" s="26">
        <f>IF(B875="","",IF(O875&lt;&gt;"",O875,IF(Y875&gt;=DepositThreshold,ROUND(Y875*DepositPercent,2),0)))</f>
        <v>0</v>
      </c>
      <c r="AA875" s="26">
        <f>IF(B875="","",ROUND(SUMIFS(Payments!$G$5:$G$1204,Payments!$I$5:$I$1204,A875,Payments!$E$5:$E$1204,"Deposit"),2))</f>
        <v>0</v>
      </c>
      <c r="AB875" s="26">
        <f>IF(B875="","",ROUND(SUMIFS(Sales!$Y$5:$Y$1204,Sales!$C$5:$C$1204,A875),2))</f>
        <v>0</v>
      </c>
      <c r="AC875" s="38">
        <f>IF(B875="","",IF(M875="Completed","Yes",IF(M875="Cancelled","Yes",IF(M875="No show","Yes","No"))))</f>
        <v>0</v>
      </c>
      <c r="AD875" s="25">
        <f>IF(B875="","",IF(AE875="","",B875-AE875))</f>
        <v>0</v>
      </c>
      <c r="AF875" s="38">
        <f>IF(B875="","",IF(M875&lt;&gt;"Completed","",IF(E875="","No",IF(COUNTIFS(Appointments!$E$5:$E$1204,E875,Appointments!$B$5:$B$1204,"&gt;"&amp;B875,Appointments!$M$5:$M$1204,"&lt;&gt;Cancelled")&gt;0,"Yes","No"))))</f>
        <v>0</v>
      </c>
      <c r="AG875" s="38">
        <f>IF(B875="","",IF(I875="","",IF(D875="","",IF(COUNTIFS($I$5:$I$1204,I875,$B$5:$B$1204,B875,$D$5:$D$1204,"&lt;"&amp;V875,$V$5:$V$1204,"&gt;"&amp;D875,$M$5:$M$1204,"&lt;&gt;Cancelled")&gt;1,"Clash",""))))</f>
        <v>0</v>
      </c>
      <c r="AH875" s="39">
        <f>IF(B875="","",IF(AG875="Clash","Clash - stylist double booked",IF(I875="","Assign - no stylist yet",IF(G875="","Add - no service chosen",IF(M875="No show","No show - charge the fee?",IF(M875="Cancelled","",IF(IF(M875="Completed",AB875&lt;Y875-0.004,FALSE),"Unpaid - nothing rung up for this visit",IF(IF(B875&lt;TodayDate,M875="Booked",FALSE),"Overdue - past date, still only Booked",IF(IF(B875=TodayDate,TRUE,FALSE),"Today",IF(IF(Z875&gt;0,AA875&lt;Z875-0.004,FALSE),"Due - deposit not taken",IF(IF(B875&gt;TodayDate,B875&lt;=TodayDate+2,FALSE),"Confirm - coming up","OK")))))))))))</f>
        <v>0</v>
      </c>
    </row>
    <row r="876" spans="1:34">
      <c r="A876" s="28">
        <f>IF(B876="","",AppointmentPrefix&amp;TEXT(ROW()-4,"0000"))</f>
        <v>0</v>
      </c>
      <c r="C876" s="15">
        <f>IF(B876="","",TEXT(B876,"ddd"))</f>
        <v>0</v>
      </c>
      <c r="F876" s="15">
        <f>IF(E876="","",IFERROR(INDEX(Clients!$B$5:$B$504,MATCH(E876,Clients!$A$5:$A$504,0)),"Walk-in"))</f>
        <v>0</v>
      </c>
      <c r="H876" s="15">
        <f>IF(G876="","",IFERROR(INDEX(Services!$B$5:$B$204,MATCH(G876,Services!$A$5:$A$204,0)),"Not in Services"))</f>
        <v>0</v>
      </c>
      <c r="J876" s="15">
        <f>IF(I876="","",IFERROR(INDEX(Staff!$B$5:$B$44,MATCH(I876,Staff!$A$5:$A$44,0)),"Unassigned"))</f>
        <v>0</v>
      </c>
      <c r="S876" s="15">
        <f>IF(B876="","",TEXT(B876,"yyyy-mm"))</f>
        <v>0</v>
      </c>
      <c r="T876" s="25">
        <f>IF(B876="","",WEEKNUM(B876,2))</f>
        <v>0</v>
      </c>
      <c r="U876" s="25">
        <f>IF(B876="","",IF(K876&lt;&gt;"",K876,IFERROR(INDEX(Services!$E$5:$E$204,MATCH(G876,Services!$A$5:$A$204,0))*1,0)+IFERROR(INDEX(Services!$F$5:$F$204,MATCH(G876,Services!$A$5:$A$204,0))*1,0)))</f>
        <v>0</v>
      </c>
      <c r="V876" s="36">
        <f>IF(B876="","",IF(D876="","",D876+U876/1440))</f>
        <v>0</v>
      </c>
      <c r="W876" s="25">
        <f>IF(B876="","",IF(D876="","",HOUR(D876)))</f>
        <v>0</v>
      </c>
      <c r="X876" s="37">
        <f>IF(B876="","",ROUND(U876/60,2))</f>
        <v>0</v>
      </c>
      <c r="Y876" s="26">
        <f>IF(B876="","",IF(L876&lt;&gt;"",L876,IFERROR(INDEX(Services!$G$5:$G$204,MATCH(G876,Services!$A$5:$A$204,0))*1,0)))</f>
        <v>0</v>
      </c>
      <c r="Z876" s="26">
        <f>IF(B876="","",IF(O876&lt;&gt;"",O876,IF(Y876&gt;=DepositThreshold,ROUND(Y876*DepositPercent,2),0)))</f>
        <v>0</v>
      </c>
      <c r="AA876" s="26">
        <f>IF(B876="","",ROUND(SUMIFS(Payments!$G$5:$G$1204,Payments!$I$5:$I$1204,A876,Payments!$E$5:$E$1204,"Deposit"),2))</f>
        <v>0</v>
      </c>
      <c r="AB876" s="26">
        <f>IF(B876="","",ROUND(SUMIFS(Sales!$Y$5:$Y$1204,Sales!$C$5:$C$1204,A876),2))</f>
        <v>0</v>
      </c>
      <c r="AC876" s="38">
        <f>IF(B876="","",IF(M876="Completed","Yes",IF(M876="Cancelled","Yes",IF(M876="No show","Yes","No"))))</f>
        <v>0</v>
      </c>
      <c r="AD876" s="25">
        <f>IF(B876="","",IF(AE876="","",B876-AE876))</f>
        <v>0</v>
      </c>
      <c r="AF876" s="38">
        <f>IF(B876="","",IF(M876&lt;&gt;"Completed","",IF(E876="","No",IF(COUNTIFS(Appointments!$E$5:$E$1204,E876,Appointments!$B$5:$B$1204,"&gt;"&amp;B876,Appointments!$M$5:$M$1204,"&lt;&gt;Cancelled")&gt;0,"Yes","No"))))</f>
        <v>0</v>
      </c>
      <c r="AG876" s="38">
        <f>IF(B876="","",IF(I876="","",IF(D876="","",IF(COUNTIFS($I$5:$I$1204,I876,$B$5:$B$1204,B876,$D$5:$D$1204,"&lt;"&amp;V876,$V$5:$V$1204,"&gt;"&amp;D876,$M$5:$M$1204,"&lt;&gt;Cancelled")&gt;1,"Clash",""))))</f>
        <v>0</v>
      </c>
      <c r="AH876" s="39">
        <f>IF(B876="","",IF(AG876="Clash","Clash - stylist double booked",IF(I876="","Assign - no stylist yet",IF(G876="","Add - no service chosen",IF(M876="No show","No show - charge the fee?",IF(M876="Cancelled","",IF(IF(M876="Completed",AB876&lt;Y876-0.004,FALSE),"Unpaid - nothing rung up for this visit",IF(IF(B876&lt;TodayDate,M876="Booked",FALSE),"Overdue - past date, still only Booked",IF(IF(B876=TodayDate,TRUE,FALSE),"Today",IF(IF(Z876&gt;0,AA876&lt;Z876-0.004,FALSE),"Due - deposit not taken",IF(IF(B876&gt;TodayDate,B876&lt;=TodayDate+2,FALSE),"Confirm - coming up","OK")))))))))))</f>
        <v>0</v>
      </c>
    </row>
    <row r="877" spans="1:34">
      <c r="A877" s="28">
        <f>IF(B877="","",AppointmentPrefix&amp;TEXT(ROW()-4,"0000"))</f>
        <v>0</v>
      </c>
      <c r="C877" s="15">
        <f>IF(B877="","",TEXT(B877,"ddd"))</f>
        <v>0</v>
      </c>
      <c r="F877" s="15">
        <f>IF(E877="","",IFERROR(INDEX(Clients!$B$5:$B$504,MATCH(E877,Clients!$A$5:$A$504,0)),"Walk-in"))</f>
        <v>0</v>
      </c>
      <c r="H877" s="15">
        <f>IF(G877="","",IFERROR(INDEX(Services!$B$5:$B$204,MATCH(G877,Services!$A$5:$A$204,0)),"Not in Services"))</f>
        <v>0</v>
      </c>
      <c r="J877" s="15">
        <f>IF(I877="","",IFERROR(INDEX(Staff!$B$5:$B$44,MATCH(I877,Staff!$A$5:$A$44,0)),"Unassigned"))</f>
        <v>0</v>
      </c>
      <c r="S877" s="15">
        <f>IF(B877="","",TEXT(B877,"yyyy-mm"))</f>
        <v>0</v>
      </c>
      <c r="T877" s="25">
        <f>IF(B877="","",WEEKNUM(B877,2))</f>
        <v>0</v>
      </c>
      <c r="U877" s="25">
        <f>IF(B877="","",IF(K877&lt;&gt;"",K877,IFERROR(INDEX(Services!$E$5:$E$204,MATCH(G877,Services!$A$5:$A$204,0))*1,0)+IFERROR(INDEX(Services!$F$5:$F$204,MATCH(G877,Services!$A$5:$A$204,0))*1,0)))</f>
        <v>0</v>
      </c>
      <c r="V877" s="36">
        <f>IF(B877="","",IF(D877="","",D877+U877/1440))</f>
        <v>0</v>
      </c>
      <c r="W877" s="25">
        <f>IF(B877="","",IF(D877="","",HOUR(D877)))</f>
        <v>0</v>
      </c>
      <c r="X877" s="37">
        <f>IF(B877="","",ROUND(U877/60,2))</f>
        <v>0</v>
      </c>
      <c r="Y877" s="26">
        <f>IF(B877="","",IF(L877&lt;&gt;"",L877,IFERROR(INDEX(Services!$G$5:$G$204,MATCH(G877,Services!$A$5:$A$204,0))*1,0)))</f>
        <v>0</v>
      </c>
      <c r="Z877" s="26">
        <f>IF(B877="","",IF(O877&lt;&gt;"",O877,IF(Y877&gt;=DepositThreshold,ROUND(Y877*DepositPercent,2),0)))</f>
        <v>0</v>
      </c>
      <c r="AA877" s="26">
        <f>IF(B877="","",ROUND(SUMIFS(Payments!$G$5:$G$1204,Payments!$I$5:$I$1204,A877,Payments!$E$5:$E$1204,"Deposit"),2))</f>
        <v>0</v>
      </c>
      <c r="AB877" s="26">
        <f>IF(B877="","",ROUND(SUMIFS(Sales!$Y$5:$Y$1204,Sales!$C$5:$C$1204,A877),2))</f>
        <v>0</v>
      </c>
      <c r="AC877" s="38">
        <f>IF(B877="","",IF(M877="Completed","Yes",IF(M877="Cancelled","Yes",IF(M877="No show","Yes","No"))))</f>
        <v>0</v>
      </c>
      <c r="AD877" s="25">
        <f>IF(B877="","",IF(AE877="","",B877-AE877))</f>
        <v>0</v>
      </c>
      <c r="AF877" s="38">
        <f>IF(B877="","",IF(M877&lt;&gt;"Completed","",IF(E877="","No",IF(COUNTIFS(Appointments!$E$5:$E$1204,E877,Appointments!$B$5:$B$1204,"&gt;"&amp;B877,Appointments!$M$5:$M$1204,"&lt;&gt;Cancelled")&gt;0,"Yes","No"))))</f>
        <v>0</v>
      </c>
      <c r="AG877" s="38">
        <f>IF(B877="","",IF(I877="","",IF(D877="","",IF(COUNTIFS($I$5:$I$1204,I877,$B$5:$B$1204,B877,$D$5:$D$1204,"&lt;"&amp;V877,$V$5:$V$1204,"&gt;"&amp;D877,$M$5:$M$1204,"&lt;&gt;Cancelled")&gt;1,"Clash",""))))</f>
        <v>0</v>
      </c>
      <c r="AH877" s="39">
        <f>IF(B877="","",IF(AG877="Clash","Clash - stylist double booked",IF(I877="","Assign - no stylist yet",IF(G877="","Add - no service chosen",IF(M877="No show","No show - charge the fee?",IF(M877="Cancelled","",IF(IF(M877="Completed",AB877&lt;Y877-0.004,FALSE),"Unpaid - nothing rung up for this visit",IF(IF(B877&lt;TodayDate,M877="Booked",FALSE),"Overdue - past date, still only Booked",IF(IF(B877=TodayDate,TRUE,FALSE),"Today",IF(IF(Z877&gt;0,AA877&lt;Z877-0.004,FALSE),"Due - deposit not taken",IF(IF(B877&gt;TodayDate,B877&lt;=TodayDate+2,FALSE),"Confirm - coming up","OK")))))))))))</f>
        <v>0</v>
      </c>
    </row>
    <row r="878" spans="1:34">
      <c r="A878" s="28">
        <f>IF(B878="","",AppointmentPrefix&amp;TEXT(ROW()-4,"0000"))</f>
        <v>0</v>
      </c>
      <c r="C878" s="15">
        <f>IF(B878="","",TEXT(B878,"ddd"))</f>
        <v>0</v>
      </c>
      <c r="F878" s="15">
        <f>IF(E878="","",IFERROR(INDEX(Clients!$B$5:$B$504,MATCH(E878,Clients!$A$5:$A$504,0)),"Walk-in"))</f>
        <v>0</v>
      </c>
      <c r="H878" s="15">
        <f>IF(G878="","",IFERROR(INDEX(Services!$B$5:$B$204,MATCH(G878,Services!$A$5:$A$204,0)),"Not in Services"))</f>
        <v>0</v>
      </c>
      <c r="J878" s="15">
        <f>IF(I878="","",IFERROR(INDEX(Staff!$B$5:$B$44,MATCH(I878,Staff!$A$5:$A$44,0)),"Unassigned"))</f>
        <v>0</v>
      </c>
      <c r="S878" s="15">
        <f>IF(B878="","",TEXT(B878,"yyyy-mm"))</f>
        <v>0</v>
      </c>
      <c r="T878" s="25">
        <f>IF(B878="","",WEEKNUM(B878,2))</f>
        <v>0</v>
      </c>
      <c r="U878" s="25">
        <f>IF(B878="","",IF(K878&lt;&gt;"",K878,IFERROR(INDEX(Services!$E$5:$E$204,MATCH(G878,Services!$A$5:$A$204,0))*1,0)+IFERROR(INDEX(Services!$F$5:$F$204,MATCH(G878,Services!$A$5:$A$204,0))*1,0)))</f>
        <v>0</v>
      </c>
      <c r="V878" s="36">
        <f>IF(B878="","",IF(D878="","",D878+U878/1440))</f>
        <v>0</v>
      </c>
      <c r="W878" s="25">
        <f>IF(B878="","",IF(D878="","",HOUR(D878)))</f>
        <v>0</v>
      </c>
      <c r="X878" s="37">
        <f>IF(B878="","",ROUND(U878/60,2))</f>
        <v>0</v>
      </c>
      <c r="Y878" s="26">
        <f>IF(B878="","",IF(L878&lt;&gt;"",L878,IFERROR(INDEX(Services!$G$5:$G$204,MATCH(G878,Services!$A$5:$A$204,0))*1,0)))</f>
        <v>0</v>
      </c>
      <c r="Z878" s="26">
        <f>IF(B878="","",IF(O878&lt;&gt;"",O878,IF(Y878&gt;=DepositThreshold,ROUND(Y878*DepositPercent,2),0)))</f>
        <v>0</v>
      </c>
      <c r="AA878" s="26">
        <f>IF(B878="","",ROUND(SUMIFS(Payments!$G$5:$G$1204,Payments!$I$5:$I$1204,A878,Payments!$E$5:$E$1204,"Deposit"),2))</f>
        <v>0</v>
      </c>
      <c r="AB878" s="26">
        <f>IF(B878="","",ROUND(SUMIFS(Sales!$Y$5:$Y$1204,Sales!$C$5:$C$1204,A878),2))</f>
        <v>0</v>
      </c>
      <c r="AC878" s="38">
        <f>IF(B878="","",IF(M878="Completed","Yes",IF(M878="Cancelled","Yes",IF(M878="No show","Yes","No"))))</f>
        <v>0</v>
      </c>
      <c r="AD878" s="25">
        <f>IF(B878="","",IF(AE878="","",B878-AE878))</f>
        <v>0</v>
      </c>
      <c r="AF878" s="38">
        <f>IF(B878="","",IF(M878&lt;&gt;"Completed","",IF(E878="","No",IF(COUNTIFS(Appointments!$E$5:$E$1204,E878,Appointments!$B$5:$B$1204,"&gt;"&amp;B878,Appointments!$M$5:$M$1204,"&lt;&gt;Cancelled")&gt;0,"Yes","No"))))</f>
        <v>0</v>
      </c>
      <c r="AG878" s="38">
        <f>IF(B878="","",IF(I878="","",IF(D878="","",IF(COUNTIFS($I$5:$I$1204,I878,$B$5:$B$1204,B878,$D$5:$D$1204,"&lt;"&amp;V878,$V$5:$V$1204,"&gt;"&amp;D878,$M$5:$M$1204,"&lt;&gt;Cancelled")&gt;1,"Clash",""))))</f>
        <v>0</v>
      </c>
      <c r="AH878" s="39">
        <f>IF(B878="","",IF(AG878="Clash","Clash - stylist double booked",IF(I878="","Assign - no stylist yet",IF(G878="","Add - no service chosen",IF(M878="No show","No show - charge the fee?",IF(M878="Cancelled","",IF(IF(M878="Completed",AB878&lt;Y878-0.004,FALSE),"Unpaid - nothing rung up for this visit",IF(IF(B878&lt;TodayDate,M878="Booked",FALSE),"Overdue - past date, still only Booked",IF(IF(B878=TodayDate,TRUE,FALSE),"Today",IF(IF(Z878&gt;0,AA878&lt;Z878-0.004,FALSE),"Due - deposit not taken",IF(IF(B878&gt;TodayDate,B878&lt;=TodayDate+2,FALSE),"Confirm - coming up","OK")))))))))))</f>
        <v>0</v>
      </c>
    </row>
    <row r="879" spans="1:34">
      <c r="A879" s="28">
        <f>IF(B879="","",AppointmentPrefix&amp;TEXT(ROW()-4,"0000"))</f>
        <v>0</v>
      </c>
      <c r="C879" s="15">
        <f>IF(B879="","",TEXT(B879,"ddd"))</f>
        <v>0</v>
      </c>
      <c r="F879" s="15">
        <f>IF(E879="","",IFERROR(INDEX(Clients!$B$5:$B$504,MATCH(E879,Clients!$A$5:$A$504,0)),"Walk-in"))</f>
        <v>0</v>
      </c>
      <c r="H879" s="15">
        <f>IF(G879="","",IFERROR(INDEX(Services!$B$5:$B$204,MATCH(G879,Services!$A$5:$A$204,0)),"Not in Services"))</f>
        <v>0</v>
      </c>
      <c r="J879" s="15">
        <f>IF(I879="","",IFERROR(INDEX(Staff!$B$5:$B$44,MATCH(I879,Staff!$A$5:$A$44,0)),"Unassigned"))</f>
        <v>0</v>
      </c>
      <c r="S879" s="15">
        <f>IF(B879="","",TEXT(B879,"yyyy-mm"))</f>
        <v>0</v>
      </c>
      <c r="T879" s="25">
        <f>IF(B879="","",WEEKNUM(B879,2))</f>
        <v>0</v>
      </c>
      <c r="U879" s="25">
        <f>IF(B879="","",IF(K879&lt;&gt;"",K879,IFERROR(INDEX(Services!$E$5:$E$204,MATCH(G879,Services!$A$5:$A$204,0))*1,0)+IFERROR(INDEX(Services!$F$5:$F$204,MATCH(G879,Services!$A$5:$A$204,0))*1,0)))</f>
        <v>0</v>
      </c>
      <c r="V879" s="36">
        <f>IF(B879="","",IF(D879="","",D879+U879/1440))</f>
        <v>0</v>
      </c>
      <c r="W879" s="25">
        <f>IF(B879="","",IF(D879="","",HOUR(D879)))</f>
        <v>0</v>
      </c>
      <c r="X879" s="37">
        <f>IF(B879="","",ROUND(U879/60,2))</f>
        <v>0</v>
      </c>
      <c r="Y879" s="26">
        <f>IF(B879="","",IF(L879&lt;&gt;"",L879,IFERROR(INDEX(Services!$G$5:$G$204,MATCH(G879,Services!$A$5:$A$204,0))*1,0)))</f>
        <v>0</v>
      </c>
      <c r="Z879" s="26">
        <f>IF(B879="","",IF(O879&lt;&gt;"",O879,IF(Y879&gt;=DepositThreshold,ROUND(Y879*DepositPercent,2),0)))</f>
        <v>0</v>
      </c>
      <c r="AA879" s="26">
        <f>IF(B879="","",ROUND(SUMIFS(Payments!$G$5:$G$1204,Payments!$I$5:$I$1204,A879,Payments!$E$5:$E$1204,"Deposit"),2))</f>
        <v>0</v>
      </c>
      <c r="AB879" s="26">
        <f>IF(B879="","",ROUND(SUMIFS(Sales!$Y$5:$Y$1204,Sales!$C$5:$C$1204,A879),2))</f>
        <v>0</v>
      </c>
      <c r="AC879" s="38">
        <f>IF(B879="","",IF(M879="Completed","Yes",IF(M879="Cancelled","Yes",IF(M879="No show","Yes","No"))))</f>
        <v>0</v>
      </c>
      <c r="AD879" s="25">
        <f>IF(B879="","",IF(AE879="","",B879-AE879))</f>
        <v>0</v>
      </c>
      <c r="AF879" s="38">
        <f>IF(B879="","",IF(M879&lt;&gt;"Completed","",IF(E879="","No",IF(COUNTIFS(Appointments!$E$5:$E$1204,E879,Appointments!$B$5:$B$1204,"&gt;"&amp;B879,Appointments!$M$5:$M$1204,"&lt;&gt;Cancelled")&gt;0,"Yes","No"))))</f>
        <v>0</v>
      </c>
      <c r="AG879" s="38">
        <f>IF(B879="","",IF(I879="","",IF(D879="","",IF(COUNTIFS($I$5:$I$1204,I879,$B$5:$B$1204,B879,$D$5:$D$1204,"&lt;"&amp;V879,$V$5:$V$1204,"&gt;"&amp;D879,$M$5:$M$1204,"&lt;&gt;Cancelled")&gt;1,"Clash",""))))</f>
        <v>0</v>
      </c>
      <c r="AH879" s="39">
        <f>IF(B879="","",IF(AG879="Clash","Clash - stylist double booked",IF(I879="","Assign - no stylist yet",IF(G879="","Add - no service chosen",IF(M879="No show","No show - charge the fee?",IF(M879="Cancelled","",IF(IF(M879="Completed",AB879&lt;Y879-0.004,FALSE),"Unpaid - nothing rung up for this visit",IF(IF(B879&lt;TodayDate,M879="Booked",FALSE),"Overdue - past date, still only Booked",IF(IF(B879=TodayDate,TRUE,FALSE),"Today",IF(IF(Z879&gt;0,AA879&lt;Z879-0.004,FALSE),"Due - deposit not taken",IF(IF(B879&gt;TodayDate,B879&lt;=TodayDate+2,FALSE),"Confirm - coming up","OK")))))))))))</f>
        <v>0</v>
      </c>
    </row>
    <row r="880" spans="1:34">
      <c r="A880" s="28">
        <f>IF(B880="","",AppointmentPrefix&amp;TEXT(ROW()-4,"0000"))</f>
        <v>0</v>
      </c>
      <c r="C880" s="15">
        <f>IF(B880="","",TEXT(B880,"ddd"))</f>
        <v>0</v>
      </c>
      <c r="F880" s="15">
        <f>IF(E880="","",IFERROR(INDEX(Clients!$B$5:$B$504,MATCH(E880,Clients!$A$5:$A$504,0)),"Walk-in"))</f>
        <v>0</v>
      </c>
      <c r="H880" s="15">
        <f>IF(G880="","",IFERROR(INDEX(Services!$B$5:$B$204,MATCH(G880,Services!$A$5:$A$204,0)),"Not in Services"))</f>
        <v>0</v>
      </c>
      <c r="J880" s="15">
        <f>IF(I880="","",IFERROR(INDEX(Staff!$B$5:$B$44,MATCH(I880,Staff!$A$5:$A$44,0)),"Unassigned"))</f>
        <v>0</v>
      </c>
      <c r="S880" s="15">
        <f>IF(B880="","",TEXT(B880,"yyyy-mm"))</f>
        <v>0</v>
      </c>
      <c r="T880" s="25">
        <f>IF(B880="","",WEEKNUM(B880,2))</f>
        <v>0</v>
      </c>
      <c r="U880" s="25">
        <f>IF(B880="","",IF(K880&lt;&gt;"",K880,IFERROR(INDEX(Services!$E$5:$E$204,MATCH(G880,Services!$A$5:$A$204,0))*1,0)+IFERROR(INDEX(Services!$F$5:$F$204,MATCH(G880,Services!$A$5:$A$204,0))*1,0)))</f>
        <v>0</v>
      </c>
      <c r="V880" s="36">
        <f>IF(B880="","",IF(D880="","",D880+U880/1440))</f>
        <v>0</v>
      </c>
      <c r="W880" s="25">
        <f>IF(B880="","",IF(D880="","",HOUR(D880)))</f>
        <v>0</v>
      </c>
      <c r="X880" s="37">
        <f>IF(B880="","",ROUND(U880/60,2))</f>
        <v>0</v>
      </c>
      <c r="Y880" s="26">
        <f>IF(B880="","",IF(L880&lt;&gt;"",L880,IFERROR(INDEX(Services!$G$5:$G$204,MATCH(G880,Services!$A$5:$A$204,0))*1,0)))</f>
        <v>0</v>
      </c>
      <c r="Z880" s="26">
        <f>IF(B880="","",IF(O880&lt;&gt;"",O880,IF(Y880&gt;=DepositThreshold,ROUND(Y880*DepositPercent,2),0)))</f>
        <v>0</v>
      </c>
      <c r="AA880" s="26">
        <f>IF(B880="","",ROUND(SUMIFS(Payments!$G$5:$G$1204,Payments!$I$5:$I$1204,A880,Payments!$E$5:$E$1204,"Deposit"),2))</f>
        <v>0</v>
      </c>
      <c r="AB880" s="26">
        <f>IF(B880="","",ROUND(SUMIFS(Sales!$Y$5:$Y$1204,Sales!$C$5:$C$1204,A880),2))</f>
        <v>0</v>
      </c>
      <c r="AC880" s="38">
        <f>IF(B880="","",IF(M880="Completed","Yes",IF(M880="Cancelled","Yes",IF(M880="No show","Yes","No"))))</f>
        <v>0</v>
      </c>
      <c r="AD880" s="25">
        <f>IF(B880="","",IF(AE880="","",B880-AE880))</f>
        <v>0</v>
      </c>
      <c r="AF880" s="38">
        <f>IF(B880="","",IF(M880&lt;&gt;"Completed","",IF(E880="","No",IF(COUNTIFS(Appointments!$E$5:$E$1204,E880,Appointments!$B$5:$B$1204,"&gt;"&amp;B880,Appointments!$M$5:$M$1204,"&lt;&gt;Cancelled")&gt;0,"Yes","No"))))</f>
        <v>0</v>
      </c>
      <c r="AG880" s="38">
        <f>IF(B880="","",IF(I880="","",IF(D880="","",IF(COUNTIFS($I$5:$I$1204,I880,$B$5:$B$1204,B880,$D$5:$D$1204,"&lt;"&amp;V880,$V$5:$V$1204,"&gt;"&amp;D880,$M$5:$M$1204,"&lt;&gt;Cancelled")&gt;1,"Clash",""))))</f>
        <v>0</v>
      </c>
      <c r="AH880" s="39">
        <f>IF(B880="","",IF(AG880="Clash","Clash - stylist double booked",IF(I880="","Assign - no stylist yet",IF(G880="","Add - no service chosen",IF(M880="No show","No show - charge the fee?",IF(M880="Cancelled","",IF(IF(M880="Completed",AB880&lt;Y880-0.004,FALSE),"Unpaid - nothing rung up for this visit",IF(IF(B880&lt;TodayDate,M880="Booked",FALSE),"Overdue - past date, still only Booked",IF(IF(B880=TodayDate,TRUE,FALSE),"Today",IF(IF(Z880&gt;0,AA880&lt;Z880-0.004,FALSE),"Due - deposit not taken",IF(IF(B880&gt;TodayDate,B880&lt;=TodayDate+2,FALSE),"Confirm - coming up","OK")))))))))))</f>
        <v>0</v>
      </c>
    </row>
    <row r="881" spans="1:34">
      <c r="A881" s="28">
        <f>IF(B881="","",AppointmentPrefix&amp;TEXT(ROW()-4,"0000"))</f>
        <v>0</v>
      </c>
      <c r="C881" s="15">
        <f>IF(B881="","",TEXT(B881,"ddd"))</f>
        <v>0</v>
      </c>
      <c r="F881" s="15">
        <f>IF(E881="","",IFERROR(INDEX(Clients!$B$5:$B$504,MATCH(E881,Clients!$A$5:$A$504,0)),"Walk-in"))</f>
        <v>0</v>
      </c>
      <c r="H881" s="15">
        <f>IF(G881="","",IFERROR(INDEX(Services!$B$5:$B$204,MATCH(G881,Services!$A$5:$A$204,0)),"Not in Services"))</f>
        <v>0</v>
      </c>
      <c r="J881" s="15">
        <f>IF(I881="","",IFERROR(INDEX(Staff!$B$5:$B$44,MATCH(I881,Staff!$A$5:$A$44,0)),"Unassigned"))</f>
        <v>0</v>
      </c>
      <c r="S881" s="15">
        <f>IF(B881="","",TEXT(B881,"yyyy-mm"))</f>
        <v>0</v>
      </c>
      <c r="T881" s="25">
        <f>IF(B881="","",WEEKNUM(B881,2))</f>
        <v>0</v>
      </c>
      <c r="U881" s="25">
        <f>IF(B881="","",IF(K881&lt;&gt;"",K881,IFERROR(INDEX(Services!$E$5:$E$204,MATCH(G881,Services!$A$5:$A$204,0))*1,0)+IFERROR(INDEX(Services!$F$5:$F$204,MATCH(G881,Services!$A$5:$A$204,0))*1,0)))</f>
        <v>0</v>
      </c>
      <c r="V881" s="36">
        <f>IF(B881="","",IF(D881="","",D881+U881/1440))</f>
        <v>0</v>
      </c>
      <c r="W881" s="25">
        <f>IF(B881="","",IF(D881="","",HOUR(D881)))</f>
        <v>0</v>
      </c>
      <c r="X881" s="37">
        <f>IF(B881="","",ROUND(U881/60,2))</f>
        <v>0</v>
      </c>
      <c r="Y881" s="26">
        <f>IF(B881="","",IF(L881&lt;&gt;"",L881,IFERROR(INDEX(Services!$G$5:$G$204,MATCH(G881,Services!$A$5:$A$204,0))*1,0)))</f>
        <v>0</v>
      </c>
      <c r="Z881" s="26">
        <f>IF(B881="","",IF(O881&lt;&gt;"",O881,IF(Y881&gt;=DepositThreshold,ROUND(Y881*DepositPercent,2),0)))</f>
        <v>0</v>
      </c>
      <c r="AA881" s="26">
        <f>IF(B881="","",ROUND(SUMIFS(Payments!$G$5:$G$1204,Payments!$I$5:$I$1204,A881,Payments!$E$5:$E$1204,"Deposit"),2))</f>
        <v>0</v>
      </c>
      <c r="AB881" s="26">
        <f>IF(B881="","",ROUND(SUMIFS(Sales!$Y$5:$Y$1204,Sales!$C$5:$C$1204,A881),2))</f>
        <v>0</v>
      </c>
      <c r="AC881" s="38">
        <f>IF(B881="","",IF(M881="Completed","Yes",IF(M881="Cancelled","Yes",IF(M881="No show","Yes","No"))))</f>
        <v>0</v>
      </c>
      <c r="AD881" s="25">
        <f>IF(B881="","",IF(AE881="","",B881-AE881))</f>
        <v>0</v>
      </c>
      <c r="AF881" s="38">
        <f>IF(B881="","",IF(M881&lt;&gt;"Completed","",IF(E881="","No",IF(COUNTIFS(Appointments!$E$5:$E$1204,E881,Appointments!$B$5:$B$1204,"&gt;"&amp;B881,Appointments!$M$5:$M$1204,"&lt;&gt;Cancelled")&gt;0,"Yes","No"))))</f>
        <v>0</v>
      </c>
      <c r="AG881" s="38">
        <f>IF(B881="","",IF(I881="","",IF(D881="","",IF(COUNTIFS($I$5:$I$1204,I881,$B$5:$B$1204,B881,$D$5:$D$1204,"&lt;"&amp;V881,$V$5:$V$1204,"&gt;"&amp;D881,$M$5:$M$1204,"&lt;&gt;Cancelled")&gt;1,"Clash",""))))</f>
        <v>0</v>
      </c>
      <c r="AH881" s="39">
        <f>IF(B881="","",IF(AG881="Clash","Clash - stylist double booked",IF(I881="","Assign - no stylist yet",IF(G881="","Add - no service chosen",IF(M881="No show","No show - charge the fee?",IF(M881="Cancelled","",IF(IF(M881="Completed",AB881&lt;Y881-0.004,FALSE),"Unpaid - nothing rung up for this visit",IF(IF(B881&lt;TodayDate,M881="Booked",FALSE),"Overdue - past date, still only Booked",IF(IF(B881=TodayDate,TRUE,FALSE),"Today",IF(IF(Z881&gt;0,AA881&lt;Z881-0.004,FALSE),"Due - deposit not taken",IF(IF(B881&gt;TodayDate,B881&lt;=TodayDate+2,FALSE),"Confirm - coming up","OK")))))))))))</f>
        <v>0</v>
      </c>
    </row>
    <row r="882" spans="1:34">
      <c r="A882" s="28">
        <f>IF(B882="","",AppointmentPrefix&amp;TEXT(ROW()-4,"0000"))</f>
        <v>0</v>
      </c>
      <c r="C882" s="15">
        <f>IF(B882="","",TEXT(B882,"ddd"))</f>
        <v>0</v>
      </c>
      <c r="F882" s="15">
        <f>IF(E882="","",IFERROR(INDEX(Clients!$B$5:$B$504,MATCH(E882,Clients!$A$5:$A$504,0)),"Walk-in"))</f>
        <v>0</v>
      </c>
      <c r="H882" s="15">
        <f>IF(G882="","",IFERROR(INDEX(Services!$B$5:$B$204,MATCH(G882,Services!$A$5:$A$204,0)),"Not in Services"))</f>
        <v>0</v>
      </c>
      <c r="J882" s="15">
        <f>IF(I882="","",IFERROR(INDEX(Staff!$B$5:$B$44,MATCH(I882,Staff!$A$5:$A$44,0)),"Unassigned"))</f>
        <v>0</v>
      </c>
      <c r="S882" s="15">
        <f>IF(B882="","",TEXT(B882,"yyyy-mm"))</f>
        <v>0</v>
      </c>
      <c r="T882" s="25">
        <f>IF(B882="","",WEEKNUM(B882,2))</f>
        <v>0</v>
      </c>
      <c r="U882" s="25">
        <f>IF(B882="","",IF(K882&lt;&gt;"",K882,IFERROR(INDEX(Services!$E$5:$E$204,MATCH(G882,Services!$A$5:$A$204,0))*1,0)+IFERROR(INDEX(Services!$F$5:$F$204,MATCH(G882,Services!$A$5:$A$204,0))*1,0)))</f>
        <v>0</v>
      </c>
      <c r="V882" s="36">
        <f>IF(B882="","",IF(D882="","",D882+U882/1440))</f>
        <v>0</v>
      </c>
      <c r="W882" s="25">
        <f>IF(B882="","",IF(D882="","",HOUR(D882)))</f>
        <v>0</v>
      </c>
      <c r="X882" s="37">
        <f>IF(B882="","",ROUND(U882/60,2))</f>
        <v>0</v>
      </c>
      <c r="Y882" s="26">
        <f>IF(B882="","",IF(L882&lt;&gt;"",L882,IFERROR(INDEX(Services!$G$5:$G$204,MATCH(G882,Services!$A$5:$A$204,0))*1,0)))</f>
        <v>0</v>
      </c>
      <c r="Z882" s="26">
        <f>IF(B882="","",IF(O882&lt;&gt;"",O882,IF(Y882&gt;=DepositThreshold,ROUND(Y882*DepositPercent,2),0)))</f>
        <v>0</v>
      </c>
      <c r="AA882" s="26">
        <f>IF(B882="","",ROUND(SUMIFS(Payments!$G$5:$G$1204,Payments!$I$5:$I$1204,A882,Payments!$E$5:$E$1204,"Deposit"),2))</f>
        <v>0</v>
      </c>
      <c r="AB882" s="26">
        <f>IF(B882="","",ROUND(SUMIFS(Sales!$Y$5:$Y$1204,Sales!$C$5:$C$1204,A882),2))</f>
        <v>0</v>
      </c>
      <c r="AC882" s="38">
        <f>IF(B882="","",IF(M882="Completed","Yes",IF(M882="Cancelled","Yes",IF(M882="No show","Yes","No"))))</f>
        <v>0</v>
      </c>
      <c r="AD882" s="25">
        <f>IF(B882="","",IF(AE882="","",B882-AE882))</f>
        <v>0</v>
      </c>
      <c r="AF882" s="38">
        <f>IF(B882="","",IF(M882&lt;&gt;"Completed","",IF(E882="","No",IF(COUNTIFS(Appointments!$E$5:$E$1204,E882,Appointments!$B$5:$B$1204,"&gt;"&amp;B882,Appointments!$M$5:$M$1204,"&lt;&gt;Cancelled")&gt;0,"Yes","No"))))</f>
        <v>0</v>
      </c>
      <c r="AG882" s="38">
        <f>IF(B882="","",IF(I882="","",IF(D882="","",IF(COUNTIFS($I$5:$I$1204,I882,$B$5:$B$1204,B882,$D$5:$D$1204,"&lt;"&amp;V882,$V$5:$V$1204,"&gt;"&amp;D882,$M$5:$M$1204,"&lt;&gt;Cancelled")&gt;1,"Clash",""))))</f>
        <v>0</v>
      </c>
      <c r="AH882" s="39">
        <f>IF(B882="","",IF(AG882="Clash","Clash - stylist double booked",IF(I882="","Assign - no stylist yet",IF(G882="","Add - no service chosen",IF(M882="No show","No show - charge the fee?",IF(M882="Cancelled","",IF(IF(M882="Completed",AB882&lt;Y882-0.004,FALSE),"Unpaid - nothing rung up for this visit",IF(IF(B882&lt;TodayDate,M882="Booked",FALSE),"Overdue - past date, still only Booked",IF(IF(B882=TodayDate,TRUE,FALSE),"Today",IF(IF(Z882&gt;0,AA882&lt;Z882-0.004,FALSE),"Due - deposit not taken",IF(IF(B882&gt;TodayDate,B882&lt;=TodayDate+2,FALSE),"Confirm - coming up","OK")))))))))))</f>
        <v>0</v>
      </c>
    </row>
    <row r="883" spans="1:34">
      <c r="A883" s="28">
        <f>IF(B883="","",AppointmentPrefix&amp;TEXT(ROW()-4,"0000"))</f>
        <v>0</v>
      </c>
      <c r="C883" s="15">
        <f>IF(B883="","",TEXT(B883,"ddd"))</f>
        <v>0</v>
      </c>
      <c r="F883" s="15">
        <f>IF(E883="","",IFERROR(INDEX(Clients!$B$5:$B$504,MATCH(E883,Clients!$A$5:$A$504,0)),"Walk-in"))</f>
        <v>0</v>
      </c>
      <c r="H883" s="15">
        <f>IF(G883="","",IFERROR(INDEX(Services!$B$5:$B$204,MATCH(G883,Services!$A$5:$A$204,0)),"Not in Services"))</f>
        <v>0</v>
      </c>
      <c r="J883" s="15">
        <f>IF(I883="","",IFERROR(INDEX(Staff!$B$5:$B$44,MATCH(I883,Staff!$A$5:$A$44,0)),"Unassigned"))</f>
        <v>0</v>
      </c>
      <c r="S883" s="15">
        <f>IF(B883="","",TEXT(B883,"yyyy-mm"))</f>
        <v>0</v>
      </c>
      <c r="T883" s="25">
        <f>IF(B883="","",WEEKNUM(B883,2))</f>
        <v>0</v>
      </c>
      <c r="U883" s="25">
        <f>IF(B883="","",IF(K883&lt;&gt;"",K883,IFERROR(INDEX(Services!$E$5:$E$204,MATCH(G883,Services!$A$5:$A$204,0))*1,0)+IFERROR(INDEX(Services!$F$5:$F$204,MATCH(G883,Services!$A$5:$A$204,0))*1,0)))</f>
        <v>0</v>
      </c>
      <c r="V883" s="36">
        <f>IF(B883="","",IF(D883="","",D883+U883/1440))</f>
        <v>0</v>
      </c>
      <c r="W883" s="25">
        <f>IF(B883="","",IF(D883="","",HOUR(D883)))</f>
        <v>0</v>
      </c>
      <c r="X883" s="37">
        <f>IF(B883="","",ROUND(U883/60,2))</f>
        <v>0</v>
      </c>
      <c r="Y883" s="26">
        <f>IF(B883="","",IF(L883&lt;&gt;"",L883,IFERROR(INDEX(Services!$G$5:$G$204,MATCH(G883,Services!$A$5:$A$204,0))*1,0)))</f>
        <v>0</v>
      </c>
      <c r="Z883" s="26">
        <f>IF(B883="","",IF(O883&lt;&gt;"",O883,IF(Y883&gt;=DepositThreshold,ROUND(Y883*DepositPercent,2),0)))</f>
        <v>0</v>
      </c>
      <c r="AA883" s="26">
        <f>IF(B883="","",ROUND(SUMIFS(Payments!$G$5:$G$1204,Payments!$I$5:$I$1204,A883,Payments!$E$5:$E$1204,"Deposit"),2))</f>
        <v>0</v>
      </c>
      <c r="AB883" s="26">
        <f>IF(B883="","",ROUND(SUMIFS(Sales!$Y$5:$Y$1204,Sales!$C$5:$C$1204,A883),2))</f>
        <v>0</v>
      </c>
      <c r="AC883" s="38">
        <f>IF(B883="","",IF(M883="Completed","Yes",IF(M883="Cancelled","Yes",IF(M883="No show","Yes","No"))))</f>
        <v>0</v>
      </c>
      <c r="AD883" s="25">
        <f>IF(B883="","",IF(AE883="","",B883-AE883))</f>
        <v>0</v>
      </c>
      <c r="AF883" s="38">
        <f>IF(B883="","",IF(M883&lt;&gt;"Completed","",IF(E883="","No",IF(COUNTIFS(Appointments!$E$5:$E$1204,E883,Appointments!$B$5:$B$1204,"&gt;"&amp;B883,Appointments!$M$5:$M$1204,"&lt;&gt;Cancelled")&gt;0,"Yes","No"))))</f>
        <v>0</v>
      </c>
      <c r="AG883" s="38">
        <f>IF(B883="","",IF(I883="","",IF(D883="","",IF(COUNTIFS($I$5:$I$1204,I883,$B$5:$B$1204,B883,$D$5:$D$1204,"&lt;"&amp;V883,$V$5:$V$1204,"&gt;"&amp;D883,$M$5:$M$1204,"&lt;&gt;Cancelled")&gt;1,"Clash",""))))</f>
        <v>0</v>
      </c>
      <c r="AH883" s="39">
        <f>IF(B883="","",IF(AG883="Clash","Clash - stylist double booked",IF(I883="","Assign - no stylist yet",IF(G883="","Add - no service chosen",IF(M883="No show","No show - charge the fee?",IF(M883="Cancelled","",IF(IF(M883="Completed",AB883&lt;Y883-0.004,FALSE),"Unpaid - nothing rung up for this visit",IF(IF(B883&lt;TodayDate,M883="Booked",FALSE),"Overdue - past date, still only Booked",IF(IF(B883=TodayDate,TRUE,FALSE),"Today",IF(IF(Z883&gt;0,AA883&lt;Z883-0.004,FALSE),"Due - deposit not taken",IF(IF(B883&gt;TodayDate,B883&lt;=TodayDate+2,FALSE),"Confirm - coming up","OK")))))))))))</f>
        <v>0</v>
      </c>
    </row>
    <row r="884" spans="1:34">
      <c r="A884" s="28">
        <f>IF(B884="","",AppointmentPrefix&amp;TEXT(ROW()-4,"0000"))</f>
        <v>0</v>
      </c>
      <c r="C884" s="15">
        <f>IF(B884="","",TEXT(B884,"ddd"))</f>
        <v>0</v>
      </c>
      <c r="F884" s="15">
        <f>IF(E884="","",IFERROR(INDEX(Clients!$B$5:$B$504,MATCH(E884,Clients!$A$5:$A$504,0)),"Walk-in"))</f>
        <v>0</v>
      </c>
      <c r="H884" s="15">
        <f>IF(G884="","",IFERROR(INDEX(Services!$B$5:$B$204,MATCH(G884,Services!$A$5:$A$204,0)),"Not in Services"))</f>
        <v>0</v>
      </c>
      <c r="J884" s="15">
        <f>IF(I884="","",IFERROR(INDEX(Staff!$B$5:$B$44,MATCH(I884,Staff!$A$5:$A$44,0)),"Unassigned"))</f>
        <v>0</v>
      </c>
      <c r="S884" s="15">
        <f>IF(B884="","",TEXT(B884,"yyyy-mm"))</f>
        <v>0</v>
      </c>
      <c r="T884" s="25">
        <f>IF(B884="","",WEEKNUM(B884,2))</f>
        <v>0</v>
      </c>
      <c r="U884" s="25">
        <f>IF(B884="","",IF(K884&lt;&gt;"",K884,IFERROR(INDEX(Services!$E$5:$E$204,MATCH(G884,Services!$A$5:$A$204,0))*1,0)+IFERROR(INDEX(Services!$F$5:$F$204,MATCH(G884,Services!$A$5:$A$204,0))*1,0)))</f>
        <v>0</v>
      </c>
      <c r="V884" s="36">
        <f>IF(B884="","",IF(D884="","",D884+U884/1440))</f>
        <v>0</v>
      </c>
      <c r="W884" s="25">
        <f>IF(B884="","",IF(D884="","",HOUR(D884)))</f>
        <v>0</v>
      </c>
      <c r="X884" s="37">
        <f>IF(B884="","",ROUND(U884/60,2))</f>
        <v>0</v>
      </c>
      <c r="Y884" s="26">
        <f>IF(B884="","",IF(L884&lt;&gt;"",L884,IFERROR(INDEX(Services!$G$5:$G$204,MATCH(G884,Services!$A$5:$A$204,0))*1,0)))</f>
        <v>0</v>
      </c>
      <c r="Z884" s="26">
        <f>IF(B884="","",IF(O884&lt;&gt;"",O884,IF(Y884&gt;=DepositThreshold,ROUND(Y884*DepositPercent,2),0)))</f>
        <v>0</v>
      </c>
      <c r="AA884" s="26">
        <f>IF(B884="","",ROUND(SUMIFS(Payments!$G$5:$G$1204,Payments!$I$5:$I$1204,A884,Payments!$E$5:$E$1204,"Deposit"),2))</f>
        <v>0</v>
      </c>
      <c r="AB884" s="26">
        <f>IF(B884="","",ROUND(SUMIFS(Sales!$Y$5:$Y$1204,Sales!$C$5:$C$1204,A884),2))</f>
        <v>0</v>
      </c>
      <c r="AC884" s="38">
        <f>IF(B884="","",IF(M884="Completed","Yes",IF(M884="Cancelled","Yes",IF(M884="No show","Yes","No"))))</f>
        <v>0</v>
      </c>
      <c r="AD884" s="25">
        <f>IF(B884="","",IF(AE884="","",B884-AE884))</f>
        <v>0</v>
      </c>
      <c r="AF884" s="38">
        <f>IF(B884="","",IF(M884&lt;&gt;"Completed","",IF(E884="","No",IF(COUNTIFS(Appointments!$E$5:$E$1204,E884,Appointments!$B$5:$B$1204,"&gt;"&amp;B884,Appointments!$M$5:$M$1204,"&lt;&gt;Cancelled")&gt;0,"Yes","No"))))</f>
        <v>0</v>
      </c>
      <c r="AG884" s="38">
        <f>IF(B884="","",IF(I884="","",IF(D884="","",IF(COUNTIFS($I$5:$I$1204,I884,$B$5:$B$1204,B884,$D$5:$D$1204,"&lt;"&amp;V884,$V$5:$V$1204,"&gt;"&amp;D884,$M$5:$M$1204,"&lt;&gt;Cancelled")&gt;1,"Clash",""))))</f>
        <v>0</v>
      </c>
      <c r="AH884" s="39">
        <f>IF(B884="","",IF(AG884="Clash","Clash - stylist double booked",IF(I884="","Assign - no stylist yet",IF(G884="","Add - no service chosen",IF(M884="No show","No show - charge the fee?",IF(M884="Cancelled","",IF(IF(M884="Completed",AB884&lt;Y884-0.004,FALSE),"Unpaid - nothing rung up for this visit",IF(IF(B884&lt;TodayDate,M884="Booked",FALSE),"Overdue - past date, still only Booked",IF(IF(B884=TodayDate,TRUE,FALSE),"Today",IF(IF(Z884&gt;0,AA884&lt;Z884-0.004,FALSE),"Due - deposit not taken",IF(IF(B884&gt;TodayDate,B884&lt;=TodayDate+2,FALSE),"Confirm - coming up","OK")))))))))))</f>
        <v>0</v>
      </c>
    </row>
    <row r="885" spans="1:34">
      <c r="A885" s="28">
        <f>IF(B885="","",AppointmentPrefix&amp;TEXT(ROW()-4,"0000"))</f>
        <v>0</v>
      </c>
      <c r="C885" s="15">
        <f>IF(B885="","",TEXT(B885,"ddd"))</f>
        <v>0</v>
      </c>
      <c r="F885" s="15">
        <f>IF(E885="","",IFERROR(INDEX(Clients!$B$5:$B$504,MATCH(E885,Clients!$A$5:$A$504,0)),"Walk-in"))</f>
        <v>0</v>
      </c>
      <c r="H885" s="15">
        <f>IF(G885="","",IFERROR(INDEX(Services!$B$5:$B$204,MATCH(G885,Services!$A$5:$A$204,0)),"Not in Services"))</f>
        <v>0</v>
      </c>
      <c r="J885" s="15">
        <f>IF(I885="","",IFERROR(INDEX(Staff!$B$5:$B$44,MATCH(I885,Staff!$A$5:$A$44,0)),"Unassigned"))</f>
        <v>0</v>
      </c>
      <c r="S885" s="15">
        <f>IF(B885="","",TEXT(B885,"yyyy-mm"))</f>
        <v>0</v>
      </c>
      <c r="T885" s="25">
        <f>IF(B885="","",WEEKNUM(B885,2))</f>
        <v>0</v>
      </c>
      <c r="U885" s="25">
        <f>IF(B885="","",IF(K885&lt;&gt;"",K885,IFERROR(INDEX(Services!$E$5:$E$204,MATCH(G885,Services!$A$5:$A$204,0))*1,0)+IFERROR(INDEX(Services!$F$5:$F$204,MATCH(G885,Services!$A$5:$A$204,0))*1,0)))</f>
        <v>0</v>
      </c>
      <c r="V885" s="36">
        <f>IF(B885="","",IF(D885="","",D885+U885/1440))</f>
        <v>0</v>
      </c>
      <c r="W885" s="25">
        <f>IF(B885="","",IF(D885="","",HOUR(D885)))</f>
        <v>0</v>
      </c>
      <c r="X885" s="37">
        <f>IF(B885="","",ROUND(U885/60,2))</f>
        <v>0</v>
      </c>
      <c r="Y885" s="26">
        <f>IF(B885="","",IF(L885&lt;&gt;"",L885,IFERROR(INDEX(Services!$G$5:$G$204,MATCH(G885,Services!$A$5:$A$204,0))*1,0)))</f>
        <v>0</v>
      </c>
      <c r="Z885" s="26">
        <f>IF(B885="","",IF(O885&lt;&gt;"",O885,IF(Y885&gt;=DepositThreshold,ROUND(Y885*DepositPercent,2),0)))</f>
        <v>0</v>
      </c>
      <c r="AA885" s="26">
        <f>IF(B885="","",ROUND(SUMIFS(Payments!$G$5:$G$1204,Payments!$I$5:$I$1204,A885,Payments!$E$5:$E$1204,"Deposit"),2))</f>
        <v>0</v>
      </c>
      <c r="AB885" s="26">
        <f>IF(B885="","",ROUND(SUMIFS(Sales!$Y$5:$Y$1204,Sales!$C$5:$C$1204,A885),2))</f>
        <v>0</v>
      </c>
      <c r="AC885" s="38">
        <f>IF(B885="","",IF(M885="Completed","Yes",IF(M885="Cancelled","Yes",IF(M885="No show","Yes","No"))))</f>
        <v>0</v>
      </c>
      <c r="AD885" s="25">
        <f>IF(B885="","",IF(AE885="","",B885-AE885))</f>
        <v>0</v>
      </c>
      <c r="AF885" s="38">
        <f>IF(B885="","",IF(M885&lt;&gt;"Completed","",IF(E885="","No",IF(COUNTIFS(Appointments!$E$5:$E$1204,E885,Appointments!$B$5:$B$1204,"&gt;"&amp;B885,Appointments!$M$5:$M$1204,"&lt;&gt;Cancelled")&gt;0,"Yes","No"))))</f>
        <v>0</v>
      </c>
      <c r="AG885" s="38">
        <f>IF(B885="","",IF(I885="","",IF(D885="","",IF(COUNTIFS($I$5:$I$1204,I885,$B$5:$B$1204,B885,$D$5:$D$1204,"&lt;"&amp;V885,$V$5:$V$1204,"&gt;"&amp;D885,$M$5:$M$1204,"&lt;&gt;Cancelled")&gt;1,"Clash",""))))</f>
        <v>0</v>
      </c>
      <c r="AH885" s="39">
        <f>IF(B885="","",IF(AG885="Clash","Clash - stylist double booked",IF(I885="","Assign - no stylist yet",IF(G885="","Add - no service chosen",IF(M885="No show","No show - charge the fee?",IF(M885="Cancelled","",IF(IF(M885="Completed",AB885&lt;Y885-0.004,FALSE),"Unpaid - nothing rung up for this visit",IF(IF(B885&lt;TodayDate,M885="Booked",FALSE),"Overdue - past date, still only Booked",IF(IF(B885=TodayDate,TRUE,FALSE),"Today",IF(IF(Z885&gt;0,AA885&lt;Z885-0.004,FALSE),"Due - deposit not taken",IF(IF(B885&gt;TodayDate,B885&lt;=TodayDate+2,FALSE),"Confirm - coming up","OK")))))))))))</f>
        <v>0</v>
      </c>
    </row>
    <row r="886" spans="1:34">
      <c r="A886" s="28">
        <f>IF(B886="","",AppointmentPrefix&amp;TEXT(ROW()-4,"0000"))</f>
        <v>0</v>
      </c>
      <c r="C886" s="15">
        <f>IF(B886="","",TEXT(B886,"ddd"))</f>
        <v>0</v>
      </c>
      <c r="F886" s="15">
        <f>IF(E886="","",IFERROR(INDEX(Clients!$B$5:$B$504,MATCH(E886,Clients!$A$5:$A$504,0)),"Walk-in"))</f>
        <v>0</v>
      </c>
      <c r="H886" s="15">
        <f>IF(G886="","",IFERROR(INDEX(Services!$B$5:$B$204,MATCH(G886,Services!$A$5:$A$204,0)),"Not in Services"))</f>
        <v>0</v>
      </c>
      <c r="J886" s="15">
        <f>IF(I886="","",IFERROR(INDEX(Staff!$B$5:$B$44,MATCH(I886,Staff!$A$5:$A$44,0)),"Unassigned"))</f>
        <v>0</v>
      </c>
      <c r="S886" s="15">
        <f>IF(B886="","",TEXT(B886,"yyyy-mm"))</f>
        <v>0</v>
      </c>
      <c r="T886" s="25">
        <f>IF(B886="","",WEEKNUM(B886,2))</f>
        <v>0</v>
      </c>
      <c r="U886" s="25">
        <f>IF(B886="","",IF(K886&lt;&gt;"",K886,IFERROR(INDEX(Services!$E$5:$E$204,MATCH(G886,Services!$A$5:$A$204,0))*1,0)+IFERROR(INDEX(Services!$F$5:$F$204,MATCH(G886,Services!$A$5:$A$204,0))*1,0)))</f>
        <v>0</v>
      </c>
      <c r="V886" s="36">
        <f>IF(B886="","",IF(D886="","",D886+U886/1440))</f>
        <v>0</v>
      </c>
      <c r="W886" s="25">
        <f>IF(B886="","",IF(D886="","",HOUR(D886)))</f>
        <v>0</v>
      </c>
      <c r="X886" s="37">
        <f>IF(B886="","",ROUND(U886/60,2))</f>
        <v>0</v>
      </c>
      <c r="Y886" s="26">
        <f>IF(B886="","",IF(L886&lt;&gt;"",L886,IFERROR(INDEX(Services!$G$5:$G$204,MATCH(G886,Services!$A$5:$A$204,0))*1,0)))</f>
        <v>0</v>
      </c>
      <c r="Z886" s="26">
        <f>IF(B886="","",IF(O886&lt;&gt;"",O886,IF(Y886&gt;=DepositThreshold,ROUND(Y886*DepositPercent,2),0)))</f>
        <v>0</v>
      </c>
      <c r="AA886" s="26">
        <f>IF(B886="","",ROUND(SUMIFS(Payments!$G$5:$G$1204,Payments!$I$5:$I$1204,A886,Payments!$E$5:$E$1204,"Deposit"),2))</f>
        <v>0</v>
      </c>
      <c r="AB886" s="26">
        <f>IF(B886="","",ROUND(SUMIFS(Sales!$Y$5:$Y$1204,Sales!$C$5:$C$1204,A886),2))</f>
        <v>0</v>
      </c>
      <c r="AC886" s="38">
        <f>IF(B886="","",IF(M886="Completed","Yes",IF(M886="Cancelled","Yes",IF(M886="No show","Yes","No"))))</f>
        <v>0</v>
      </c>
      <c r="AD886" s="25">
        <f>IF(B886="","",IF(AE886="","",B886-AE886))</f>
        <v>0</v>
      </c>
      <c r="AF886" s="38">
        <f>IF(B886="","",IF(M886&lt;&gt;"Completed","",IF(E886="","No",IF(COUNTIFS(Appointments!$E$5:$E$1204,E886,Appointments!$B$5:$B$1204,"&gt;"&amp;B886,Appointments!$M$5:$M$1204,"&lt;&gt;Cancelled")&gt;0,"Yes","No"))))</f>
        <v>0</v>
      </c>
      <c r="AG886" s="38">
        <f>IF(B886="","",IF(I886="","",IF(D886="","",IF(COUNTIFS($I$5:$I$1204,I886,$B$5:$B$1204,B886,$D$5:$D$1204,"&lt;"&amp;V886,$V$5:$V$1204,"&gt;"&amp;D886,$M$5:$M$1204,"&lt;&gt;Cancelled")&gt;1,"Clash",""))))</f>
        <v>0</v>
      </c>
      <c r="AH886" s="39">
        <f>IF(B886="","",IF(AG886="Clash","Clash - stylist double booked",IF(I886="","Assign - no stylist yet",IF(G886="","Add - no service chosen",IF(M886="No show","No show - charge the fee?",IF(M886="Cancelled","",IF(IF(M886="Completed",AB886&lt;Y886-0.004,FALSE),"Unpaid - nothing rung up for this visit",IF(IF(B886&lt;TodayDate,M886="Booked",FALSE),"Overdue - past date, still only Booked",IF(IF(B886=TodayDate,TRUE,FALSE),"Today",IF(IF(Z886&gt;0,AA886&lt;Z886-0.004,FALSE),"Due - deposit not taken",IF(IF(B886&gt;TodayDate,B886&lt;=TodayDate+2,FALSE),"Confirm - coming up","OK")))))))))))</f>
        <v>0</v>
      </c>
    </row>
    <row r="887" spans="1:34">
      <c r="A887" s="28">
        <f>IF(B887="","",AppointmentPrefix&amp;TEXT(ROW()-4,"0000"))</f>
        <v>0</v>
      </c>
      <c r="C887" s="15">
        <f>IF(B887="","",TEXT(B887,"ddd"))</f>
        <v>0</v>
      </c>
      <c r="F887" s="15">
        <f>IF(E887="","",IFERROR(INDEX(Clients!$B$5:$B$504,MATCH(E887,Clients!$A$5:$A$504,0)),"Walk-in"))</f>
        <v>0</v>
      </c>
      <c r="H887" s="15">
        <f>IF(G887="","",IFERROR(INDEX(Services!$B$5:$B$204,MATCH(G887,Services!$A$5:$A$204,0)),"Not in Services"))</f>
        <v>0</v>
      </c>
      <c r="J887" s="15">
        <f>IF(I887="","",IFERROR(INDEX(Staff!$B$5:$B$44,MATCH(I887,Staff!$A$5:$A$44,0)),"Unassigned"))</f>
        <v>0</v>
      </c>
      <c r="S887" s="15">
        <f>IF(B887="","",TEXT(B887,"yyyy-mm"))</f>
        <v>0</v>
      </c>
      <c r="T887" s="25">
        <f>IF(B887="","",WEEKNUM(B887,2))</f>
        <v>0</v>
      </c>
      <c r="U887" s="25">
        <f>IF(B887="","",IF(K887&lt;&gt;"",K887,IFERROR(INDEX(Services!$E$5:$E$204,MATCH(G887,Services!$A$5:$A$204,0))*1,0)+IFERROR(INDEX(Services!$F$5:$F$204,MATCH(G887,Services!$A$5:$A$204,0))*1,0)))</f>
        <v>0</v>
      </c>
      <c r="V887" s="36">
        <f>IF(B887="","",IF(D887="","",D887+U887/1440))</f>
        <v>0</v>
      </c>
      <c r="W887" s="25">
        <f>IF(B887="","",IF(D887="","",HOUR(D887)))</f>
        <v>0</v>
      </c>
      <c r="X887" s="37">
        <f>IF(B887="","",ROUND(U887/60,2))</f>
        <v>0</v>
      </c>
      <c r="Y887" s="26">
        <f>IF(B887="","",IF(L887&lt;&gt;"",L887,IFERROR(INDEX(Services!$G$5:$G$204,MATCH(G887,Services!$A$5:$A$204,0))*1,0)))</f>
        <v>0</v>
      </c>
      <c r="Z887" s="26">
        <f>IF(B887="","",IF(O887&lt;&gt;"",O887,IF(Y887&gt;=DepositThreshold,ROUND(Y887*DepositPercent,2),0)))</f>
        <v>0</v>
      </c>
      <c r="AA887" s="26">
        <f>IF(B887="","",ROUND(SUMIFS(Payments!$G$5:$G$1204,Payments!$I$5:$I$1204,A887,Payments!$E$5:$E$1204,"Deposit"),2))</f>
        <v>0</v>
      </c>
      <c r="AB887" s="26">
        <f>IF(B887="","",ROUND(SUMIFS(Sales!$Y$5:$Y$1204,Sales!$C$5:$C$1204,A887),2))</f>
        <v>0</v>
      </c>
      <c r="AC887" s="38">
        <f>IF(B887="","",IF(M887="Completed","Yes",IF(M887="Cancelled","Yes",IF(M887="No show","Yes","No"))))</f>
        <v>0</v>
      </c>
      <c r="AD887" s="25">
        <f>IF(B887="","",IF(AE887="","",B887-AE887))</f>
        <v>0</v>
      </c>
      <c r="AF887" s="38">
        <f>IF(B887="","",IF(M887&lt;&gt;"Completed","",IF(E887="","No",IF(COUNTIFS(Appointments!$E$5:$E$1204,E887,Appointments!$B$5:$B$1204,"&gt;"&amp;B887,Appointments!$M$5:$M$1204,"&lt;&gt;Cancelled")&gt;0,"Yes","No"))))</f>
        <v>0</v>
      </c>
      <c r="AG887" s="38">
        <f>IF(B887="","",IF(I887="","",IF(D887="","",IF(COUNTIFS($I$5:$I$1204,I887,$B$5:$B$1204,B887,$D$5:$D$1204,"&lt;"&amp;V887,$V$5:$V$1204,"&gt;"&amp;D887,$M$5:$M$1204,"&lt;&gt;Cancelled")&gt;1,"Clash",""))))</f>
        <v>0</v>
      </c>
      <c r="AH887" s="39">
        <f>IF(B887="","",IF(AG887="Clash","Clash - stylist double booked",IF(I887="","Assign - no stylist yet",IF(G887="","Add - no service chosen",IF(M887="No show","No show - charge the fee?",IF(M887="Cancelled","",IF(IF(M887="Completed",AB887&lt;Y887-0.004,FALSE),"Unpaid - nothing rung up for this visit",IF(IF(B887&lt;TodayDate,M887="Booked",FALSE),"Overdue - past date, still only Booked",IF(IF(B887=TodayDate,TRUE,FALSE),"Today",IF(IF(Z887&gt;0,AA887&lt;Z887-0.004,FALSE),"Due - deposit not taken",IF(IF(B887&gt;TodayDate,B887&lt;=TodayDate+2,FALSE),"Confirm - coming up","OK")))))))))))</f>
        <v>0</v>
      </c>
    </row>
    <row r="888" spans="1:34">
      <c r="A888" s="28">
        <f>IF(B888="","",AppointmentPrefix&amp;TEXT(ROW()-4,"0000"))</f>
        <v>0</v>
      </c>
      <c r="C888" s="15">
        <f>IF(B888="","",TEXT(B888,"ddd"))</f>
        <v>0</v>
      </c>
      <c r="F888" s="15">
        <f>IF(E888="","",IFERROR(INDEX(Clients!$B$5:$B$504,MATCH(E888,Clients!$A$5:$A$504,0)),"Walk-in"))</f>
        <v>0</v>
      </c>
      <c r="H888" s="15">
        <f>IF(G888="","",IFERROR(INDEX(Services!$B$5:$B$204,MATCH(G888,Services!$A$5:$A$204,0)),"Not in Services"))</f>
        <v>0</v>
      </c>
      <c r="J888" s="15">
        <f>IF(I888="","",IFERROR(INDEX(Staff!$B$5:$B$44,MATCH(I888,Staff!$A$5:$A$44,0)),"Unassigned"))</f>
        <v>0</v>
      </c>
      <c r="S888" s="15">
        <f>IF(B888="","",TEXT(B888,"yyyy-mm"))</f>
        <v>0</v>
      </c>
      <c r="T888" s="25">
        <f>IF(B888="","",WEEKNUM(B888,2))</f>
        <v>0</v>
      </c>
      <c r="U888" s="25">
        <f>IF(B888="","",IF(K888&lt;&gt;"",K888,IFERROR(INDEX(Services!$E$5:$E$204,MATCH(G888,Services!$A$5:$A$204,0))*1,0)+IFERROR(INDEX(Services!$F$5:$F$204,MATCH(G888,Services!$A$5:$A$204,0))*1,0)))</f>
        <v>0</v>
      </c>
      <c r="V888" s="36">
        <f>IF(B888="","",IF(D888="","",D888+U888/1440))</f>
        <v>0</v>
      </c>
      <c r="W888" s="25">
        <f>IF(B888="","",IF(D888="","",HOUR(D888)))</f>
        <v>0</v>
      </c>
      <c r="X888" s="37">
        <f>IF(B888="","",ROUND(U888/60,2))</f>
        <v>0</v>
      </c>
      <c r="Y888" s="26">
        <f>IF(B888="","",IF(L888&lt;&gt;"",L888,IFERROR(INDEX(Services!$G$5:$G$204,MATCH(G888,Services!$A$5:$A$204,0))*1,0)))</f>
        <v>0</v>
      </c>
      <c r="Z888" s="26">
        <f>IF(B888="","",IF(O888&lt;&gt;"",O888,IF(Y888&gt;=DepositThreshold,ROUND(Y888*DepositPercent,2),0)))</f>
        <v>0</v>
      </c>
      <c r="AA888" s="26">
        <f>IF(B888="","",ROUND(SUMIFS(Payments!$G$5:$G$1204,Payments!$I$5:$I$1204,A888,Payments!$E$5:$E$1204,"Deposit"),2))</f>
        <v>0</v>
      </c>
      <c r="AB888" s="26">
        <f>IF(B888="","",ROUND(SUMIFS(Sales!$Y$5:$Y$1204,Sales!$C$5:$C$1204,A888),2))</f>
        <v>0</v>
      </c>
      <c r="AC888" s="38">
        <f>IF(B888="","",IF(M888="Completed","Yes",IF(M888="Cancelled","Yes",IF(M888="No show","Yes","No"))))</f>
        <v>0</v>
      </c>
      <c r="AD888" s="25">
        <f>IF(B888="","",IF(AE888="","",B888-AE888))</f>
        <v>0</v>
      </c>
      <c r="AF888" s="38">
        <f>IF(B888="","",IF(M888&lt;&gt;"Completed","",IF(E888="","No",IF(COUNTIFS(Appointments!$E$5:$E$1204,E888,Appointments!$B$5:$B$1204,"&gt;"&amp;B888,Appointments!$M$5:$M$1204,"&lt;&gt;Cancelled")&gt;0,"Yes","No"))))</f>
        <v>0</v>
      </c>
      <c r="AG888" s="38">
        <f>IF(B888="","",IF(I888="","",IF(D888="","",IF(COUNTIFS($I$5:$I$1204,I888,$B$5:$B$1204,B888,$D$5:$D$1204,"&lt;"&amp;V888,$V$5:$V$1204,"&gt;"&amp;D888,$M$5:$M$1204,"&lt;&gt;Cancelled")&gt;1,"Clash",""))))</f>
        <v>0</v>
      </c>
      <c r="AH888" s="39">
        <f>IF(B888="","",IF(AG888="Clash","Clash - stylist double booked",IF(I888="","Assign - no stylist yet",IF(G888="","Add - no service chosen",IF(M888="No show","No show - charge the fee?",IF(M888="Cancelled","",IF(IF(M888="Completed",AB888&lt;Y888-0.004,FALSE),"Unpaid - nothing rung up for this visit",IF(IF(B888&lt;TodayDate,M888="Booked",FALSE),"Overdue - past date, still only Booked",IF(IF(B888=TodayDate,TRUE,FALSE),"Today",IF(IF(Z888&gt;0,AA888&lt;Z888-0.004,FALSE),"Due - deposit not taken",IF(IF(B888&gt;TodayDate,B888&lt;=TodayDate+2,FALSE),"Confirm - coming up","OK")))))))))))</f>
        <v>0</v>
      </c>
    </row>
    <row r="889" spans="1:34">
      <c r="A889" s="28">
        <f>IF(B889="","",AppointmentPrefix&amp;TEXT(ROW()-4,"0000"))</f>
        <v>0</v>
      </c>
      <c r="C889" s="15">
        <f>IF(B889="","",TEXT(B889,"ddd"))</f>
        <v>0</v>
      </c>
      <c r="F889" s="15">
        <f>IF(E889="","",IFERROR(INDEX(Clients!$B$5:$B$504,MATCH(E889,Clients!$A$5:$A$504,0)),"Walk-in"))</f>
        <v>0</v>
      </c>
      <c r="H889" s="15">
        <f>IF(G889="","",IFERROR(INDEX(Services!$B$5:$B$204,MATCH(G889,Services!$A$5:$A$204,0)),"Not in Services"))</f>
        <v>0</v>
      </c>
      <c r="J889" s="15">
        <f>IF(I889="","",IFERROR(INDEX(Staff!$B$5:$B$44,MATCH(I889,Staff!$A$5:$A$44,0)),"Unassigned"))</f>
        <v>0</v>
      </c>
      <c r="S889" s="15">
        <f>IF(B889="","",TEXT(B889,"yyyy-mm"))</f>
        <v>0</v>
      </c>
      <c r="T889" s="25">
        <f>IF(B889="","",WEEKNUM(B889,2))</f>
        <v>0</v>
      </c>
      <c r="U889" s="25">
        <f>IF(B889="","",IF(K889&lt;&gt;"",K889,IFERROR(INDEX(Services!$E$5:$E$204,MATCH(G889,Services!$A$5:$A$204,0))*1,0)+IFERROR(INDEX(Services!$F$5:$F$204,MATCH(G889,Services!$A$5:$A$204,0))*1,0)))</f>
        <v>0</v>
      </c>
      <c r="V889" s="36">
        <f>IF(B889="","",IF(D889="","",D889+U889/1440))</f>
        <v>0</v>
      </c>
      <c r="W889" s="25">
        <f>IF(B889="","",IF(D889="","",HOUR(D889)))</f>
        <v>0</v>
      </c>
      <c r="X889" s="37">
        <f>IF(B889="","",ROUND(U889/60,2))</f>
        <v>0</v>
      </c>
      <c r="Y889" s="26">
        <f>IF(B889="","",IF(L889&lt;&gt;"",L889,IFERROR(INDEX(Services!$G$5:$G$204,MATCH(G889,Services!$A$5:$A$204,0))*1,0)))</f>
        <v>0</v>
      </c>
      <c r="Z889" s="26">
        <f>IF(B889="","",IF(O889&lt;&gt;"",O889,IF(Y889&gt;=DepositThreshold,ROUND(Y889*DepositPercent,2),0)))</f>
        <v>0</v>
      </c>
      <c r="AA889" s="26">
        <f>IF(B889="","",ROUND(SUMIFS(Payments!$G$5:$G$1204,Payments!$I$5:$I$1204,A889,Payments!$E$5:$E$1204,"Deposit"),2))</f>
        <v>0</v>
      </c>
      <c r="AB889" s="26">
        <f>IF(B889="","",ROUND(SUMIFS(Sales!$Y$5:$Y$1204,Sales!$C$5:$C$1204,A889),2))</f>
        <v>0</v>
      </c>
      <c r="AC889" s="38">
        <f>IF(B889="","",IF(M889="Completed","Yes",IF(M889="Cancelled","Yes",IF(M889="No show","Yes","No"))))</f>
        <v>0</v>
      </c>
      <c r="AD889" s="25">
        <f>IF(B889="","",IF(AE889="","",B889-AE889))</f>
        <v>0</v>
      </c>
      <c r="AF889" s="38">
        <f>IF(B889="","",IF(M889&lt;&gt;"Completed","",IF(E889="","No",IF(COUNTIFS(Appointments!$E$5:$E$1204,E889,Appointments!$B$5:$B$1204,"&gt;"&amp;B889,Appointments!$M$5:$M$1204,"&lt;&gt;Cancelled")&gt;0,"Yes","No"))))</f>
        <v>0</v>
      </c>
      <c r="AG889" s="38">
        <f>IF(B889="","",IF(I889="","",IF(D889="","",IF(COUNTIFS($I$5:$I$1204,I889,$B$5:$B$1204,B889,$D$5:$D$1204,"&lt;"&amp;V889,$V$5:$V$1204,"&gt;"&amp;D889,$M$5:$M$1204,"&lt;&gt;Cancelled")&gt;1,"Clash",""))))</f>
        <v>0</v>
      </c>
      <c r="AH889" s="39">
        <f>IF(B889="","",IF(AG889="Clash","Clash - stylist double booked",IF(I889="","Assign - no stylist yet",IF(G889="","Add - no service chosen",IF(M889="No show","No show - charge the fee?",IF(M889="Cancelled","",IF(IF(M889="Completed",AB889&lt;Y889-0.004,FALSE),"Unpaid - nothing rung up for this visit",IF(IF(B889&lt;TodayDate,M889="Booked",FALSE),"Overdue - past date, still only Booked",IF(IF(B889=TodayDate,TRUE,FALSE),"Today",IF(IF(Z889&gt;0,AA889&lt;Z889-0.004,FALSE),"Due - deposit not taken",IF(IF(B889&gt;TodayDate,B889&lt;=TodayDate+2,FALSE),"Confirm - coming up","OK")))))))))))</f>
        <v>0</v>
      </c>
    </row>
    <row r="890" spans="1:34">
      <c r="A890" s="28">
        <f>IF(B890="","",AppointmentPrefix&amp;TEXT(ROW()-4,"0000"))</f>
        <v>0</v>
      </c>
      <c r="C890" s="15">
        <f>IF(B890="","",TEXT(B890,"ddd"))</f>
        <v>0</v>
      </c>
      <c r="F890" s="15">
        <f>IF(E890="","",IFERROR(INDEX(Clients!$B$5:$B$504,MATCH(E890,Clients!$A$5:$A$504,0)),"Walk-in"))</f>
        <v>0</v>
      </c>
      <c r="H890" s="15">
        <f>IF(G890="","",IFERROR(INDEX(Services!$B$5:$B$204,MATCH(G890,Services!$A$5:$A$204,0)),"Not in Services"))</f>
        <v>0</v>
      </c>
      <c r="J890" s="15">
        <f>IF(I890="","",IFERROR(INDEX(Staff!$B$5:$B$44,MATCH(I890,Staff!$A$5:$A$44,0)),"Unassigned"))</f>
        <v>0</v>
      </c>
      <c r="S890" s="15">
        <f>IF(B890="","",TEXT(B890,"yyyy-mm"))</f>
        <v>0</v>
      </c>
      <c r="T890" s="25">
        <f>IF(B890="","",WEEKNUM(B890,2))</f>
        <v>0</v>
      </c>
      <c r="U890" s="25">
        <f>IF(B890="","",IF(K890&lt;&gt;"",K890,IFERROR(INDEX(Services!$E$5:$E$204,MATCH(G890,Services!$A$5:$A$204,0))*1,0)+IFERROR(INDEX(Services!$F$5:$F$204,MATCH(G890,Services!$A$5:$A$204,0))*1,0)))</f>
        <v>0</v>
      </c>
      <c r="V890" s="36">
        <f>IF(B890="","",IF(D890="","",D890+U890/1440))</f>
        <v>0</v>
      </c>
      <c r="W890" s="25">
        <f>IF(B890="","",IF(D890="","",HOUR(D890)))</f>
        <v>0</v>
      </c>
      <c r="X890" s="37">
        <f>IF(B890="","",ROUND(U890/60,2))</f>
        <v>0</v>
      </c>
      <c r="Y890" s="26">
        <f>IF(B890="","",IF(L890&lt;&gt;"",L890,IFERROR(INDEX(Services!$G$5:$G$204,MATCH(G890,Services!$A$5:$A$204,0))*1,0)))</f>
        <v>0</v>
      </c>
      <c r="Z890" s="26">
        <f>IF(B890="","",IF(O890&lt;&gt;"",O890,IF(Y890&gt;=DepositThreshold,ROUND(Y890*DepositPercent,2),0)))</f>
        <v>0</v>
      </c>
      <c r="AA890" s="26">
        <f>IF(B890="","",ROUND(SUMIFS(Payments!$G$5:$G$1204,Payments!$I$5:$I$1204,A890,Payments!$E$5:$E$1204,"Deposit"),2))</f>
        <v>0</v>
      </c>
      <c r="AB890" s="26">
        <f>IF(B890="","",ROUND(SUMIFS(Sales!$Y$5:$Y$1204,Sales!$C$5:$C$1204,A890),2))</f>
        <v>0</v>
      </c>
      <c r="AC890" s="38">
        <f>IF(B890="","",IF(M890="Completed","Yes",IF(M890="Cancelled","Yes",IF(M890="No show","Yes","No"))))</f>
        <v>0</v>
      </c>
      <c r="AD890" s="25">
        <f>IF(B890="","",IF(AE890="","",B890-AE890))</f>
        <v>0</v>
      </c>
      <c r="AF890" s="38">
        <f>IF(B890="","",IF(M890&lt;&gt;"Completed","",IF(E890="","No",IF(COUNTIFS(Appointments!$E$5:$E$1204,E890,Appointments!$B$5:$B$1204,"&gt;"&amp;B890,Appointments!$M$5:$M$1204,"&lt;&gt;Cancelled")&gt;0,"Yes","No"))))</f>
        <v>0</v>
      </c>
      <c r="AG890" s="38">
        <f>IF(B890="","",IF(I890="","",IF(D890="","",IF(COUNTIFS($I$5:$I$1204,I890,$B$5:$B$1204,B890,$D$5:$D$1204,"&lt;"&amp;V890,$V$5:$V$1204,"&gt;"&amp;D890,$M$5:$M$1204,"&lt;&gt;Cancelled")&gt;1,"Clash",""))))</f>
        <v>0</v>
      </c>
      <c r="AH890" s="39">
        <f>IF(B890="","",IF(AG890="Clash","Clash - stylist double booked",IF(I890="","Assign - no stylist yet",IF(G890="","Add - no service chosen",IF(M890="No show","No show - charge the fee?",IF(M890="Cancelled","",IF(IF(M890="Completed",AB890&lt;Y890-0.004,FALSE),"Unpaid - nothing rung up for this visit",IF(IF(B890&lt;TodayDate,M890="Booked",FALSE),"Overdue - past date, still only Booked",IF(IF(B890=TodayDate,TRUE,FALSE),"Today",IF(IF(Z890&gt;0,AA890&lt;Z890-0.004,FALSE),"Due - deposit not taken",IF(IF(B890&gt;TodayDate,B890&lt;=TodayDate+2,FALSE),"Confirm - coming up","OK")))))))))))</f>
        <v>0</v>
      </c>
    </row>
    <row r="891" spans="1:34">
      <c r="A891" s="28">
        <f>IF(B891="","",AppointmentPrefix&amp;TEXT(ROW()-4,"0000"))</f>
        <v>0</v>
      </c>
      <c r="C891" s="15">
        <f>IF(B891="","",TEXT(B891,"ddd"))</f>
        <v>0</v>
      </c>
      <c r="F891" s="15">
        <f>IF(E891="","",IFERROR(INDEX(Clients!$B$5:$B$504,MATCH(E891,Clients!$A$5:$A$504,0)),"Walk-in"))</f>
        <v>0</v>
      </c>
      <c r="H891" s="15">
        <f>IF(G891="","",IFERROR(INDEX(Services!$B$5:$B$204,MATCH(G891,Services!$A$5:$A$204,0)),"Not in Services"))</f>
        <v>0</v>
      </c>
      <c r="J891" s="15">
        <f>IF(I891="","",IFERROR(INDEX(Staff!$B$5:$B$44,MATCH(I891,Staff!$A$5:$A$44,0)),"Unassigned"))</f>
        <v>0</v>
      </c>
      <c r="S891" s="15">
        <f>IF(B891="","",TEXT(B891,"yyyy-mm"))</f>
        <v>0</v>
      </c>
      <c r="T891" s="25">
        <f>IF(B891="","",WEEKNUM(B891,2))</f>
        <v>0</v>
      </c>
      <c r="U891" s="25">
        <f>IF(B891="","",IF(K891&lt;&gt;"",K891,IFERROR(INDEX(Services!$E$5:$E$204,MATCH(G891,Services!$A$5:$A$204,0))*1,0)+IFERROR(INDEX(Services!$F$5:$F$204,MATCH(G891,Services!$A$5:$A$204,0))*1,0)))</f>
        <v>0</v>
      </c>
      <c r="V891" s="36">
        <f>IF(B891="","",IF(D891="","",D891+U891/1440))</f>
        <v>0</v>
      </c>
      <c r="W891" s="25">
        <f>IF(B891="","",IF(D891="","",HOUR(D891)))</f>
        <v>0</v>
      </c>
      <c r="X891" s="37">
        <f>IF(B891="","",ROUND(U891/60,2))</f>
        <v>0</v>
      </c>
      <c r="Y891" s="26">
        <f>IF(B891="","",IF(L891&lt;&gt;"",L891,IFERROR(INDEX(Services!$G$5:$G$204,MATCH(G891,Services!$A$5:$A$204,0))*1,0)))</f>
        <v>0</v>
      </c>
      <c r="Z891" s="26">
        <f>IF(B891="","",IF(O891&lt;&gt;"",O891,IF(Y891&gt;=DepositThreshold,ROUND(Y891*DepositPercent,2),0)))</f>
        <v>0</v>
      </c>
      <c r="AA891" s="26">
        <f>IF(B891="","",ROUND(SUMIFS(Payments!$G$5:$G$1204,Payments!$I$5:$I$1204,A891,Payments!$E$5:$E$1204,"Deposit"),2))</f>
        <v>0</v>
      </c>
      <c r="AB891" s="26">
        <f>IF(B891="","",ROUND(SUMIFS(Sales!$Y$5:$Y$1204,Sales!$C$5:$C$1204,A891),2))</f>
        <v>0</v>
      </c>
      <c r="AC891" s="38">
        <f>IF(B891="","",IF(M891="Completed","Yes",IF(M891="Cancelled","Yes",IF(M891="No show","Yes","No"))))</f>
        <v>0</v>
      </c>
      <c r="AD891" s="25">
        <f>IF(B891="","",IF(AE891="","",B891-AE891))</f>
        <v>0</v>
      </c>
      <c r="AF891" s="38">
        <f>IF(B891="","",IF(M891&lt;&gt;"Completed","",IF(E891="","No",IF(COUNTIFS(Appointments!$E$5:$E$1204,E891,Appointments!$B$5:$B$1204,"&gt;"&amp;B891,Appointments!$M$5:$M$1204,"&lt;&gt;Cancelled")&gt;0,"Yes","No"))))</f>
        <v>0</v>
      </c>
      <c r="AG891" s="38">
        <f>IF(B891="","",IF(I891="","",IF(D891="","",IF(COUNTIFS($I$5:$I$1204,I891,$B$5:$B$1204,B891,$D$5:$D$1204,"&lt;"&amp;V891,$V$5:$V$1204,"&gt;"&amp;D891,$M$5:$M$1204,"&lt;&gt;Cancelled")&gt;1,"Clash",""))))</f>
        <v>0</v>
      </c>
      <c r="AH891" s="39">
        <f>IF(B891="","",IF(AG891="Clash","Clash - stylist double booked",IF(I891="","Assign - no stylist yet",IF(G891="","Add - no service chosen",IF(M891="No show","No show - charge the fee?",IF(M891="Cancelled","",IF(IF(M891="Completed",AB891&lt;Y891-0.004,FALSE),"Unpaid - nothing rung up for this visit",IF(IF(B891&lt;TodayDate,M891="Booked",FALSE),"Overdue - past date, still only Booked",IF(IF(B891=TodayDate,TRUE,FALSE),"Today",IF(IF(Z891&gt;0,AA891&lt;Z891-0.004,FALSE),"Due - deposit not taken",IF(IF(B891&gt;TodayDate,B891&lt;=TodayDate+2,FALSE),"Confirm - coming up","OK")))))))))))</f>
        <v>0</v>
      </c>
    </row>
    <row r="892" spans="1:34">
      <c r="A892" s="28">
        <f>IF(B892="","",AppointmentPrefix&amp;TEXT(ROW()-4,"0000"))</f>
        <v>0</v>
      </c>
      <c r="C892" s="15">
        <f>IF(B892="","",TEXT(B892,"ddd"))</f>
        <v>0</v>
      </c>
      <c r="F892" s="15">
        <f>IF(E892="","",IFERROR(INDEX(Clients!$B$5:$B$504,MATCH(E892,Clients!$A$5:$A$504,0)),"Walk-in"))</f>
        <v>0</v>
      </c>
      <c r="H892" s="15">
        <f>IF(G892="","",IFERROR(INDEX(Services!$B$5:$B$204,MATCH(G892,Services!$A$5:$A$204,0)),"Not in Services"))</f>
        <v>0</v>
      </c>
      <c r="J892" s="15">
        <f>IF(I892="","",IFERROR(INDEX(Staff!$B$5:$B$44,MATCH(I892,Staff!$A$5:$A$44,0)),"Unassigned"))</f>
        <v>0</v>
      </c>
      <c r="S892" s="15">
        <f>IF(B892="","",TEXT(B892,"yyyy-mm"))</f>
        <v>0</v>
      </c>
      <c r="T892" s="25">
        <f>IF(B892="","",WEEKNUM(B892,2))</f>
        <v>0</v>
      </c>
      <c r="U892" s="25">
        <f>IF(B892="","",IF(K892&lt;&gt;"",K892,IFERROR(INDEX(Services!$E$5:$E$204,MATCH(G892,Services!$A$5:$A$204,0))*1,0)+IFERROR(INDEX(Services!$F$5:$F$204,MATCH(G892,Services!$A$5:$A$204,0))*1,0)))</f>
        <v>0</v>
      </c>
      <c r="V892" s="36">
        <f>IF(B892="","",IF(D892="","",D892+U892/1440))</f>
        <v>0</v>
      </c>
      <c r="W892" s="25">
        <f>IF(B892="","",IF(D892="","",HOUR(D892)))</f>
        <v>0</v>
      </c>
      <c r="X892" s="37">
        <f>IF(B892="","",ROUND(U892/60,2))</f>
        <v>0</v>
      </c>
      <c r="Y892" s="26">
        <f>IF(B892="","",IF(L892&lt;&gt;"",L892,IFERROR(INDEX(Services!$G$5:$G$204,MATCH(G892,Services!$A$5:$A$204,0))*1,0)))</f>
        <v>0</v>
      </c>
      <c r="Z892" s="26">
        <f>IF(B892="","",IF(O892&lt;&gt;"",O892,IF(Y892&gt;=DepositThreshold,ROUND(Y892*DepositPercent,2),0)))</f>
        <v>0</v>
      </c>
      <c r="AA892" s="26">
        <f>IF(B892="","",ROUND(SUMIFS(Payments!$G$5:$G$1204,Payments!$I$5:$I$1204,A892,Payments!$E$5:$E$1204,"Deposit"),2))</f>
        <v>0</v>
      </c>
      <c r="AB892" s="26">
        <f>IF(B892="","",ROUND(SUMIFS(Sales!$Y$5:$Y$1204,Sales!$C$5:$C$1204,A892),2))</f>
        <v>0</v>
      </c>
      <c r="AC892" s="38">
        <f>IF(B892="","",IF(M892="Completed","Yes",IF(M892="Cancelled","Yes",IF(M892="No show","Yes","No"))))</f>
        <v>0</v>
      </c>
      <c r="AD892" s="25">
        <f>IF(B892="","",IF(AE892="","",B892-AE892))</f>
        <v>0</v>
      </c>
      <c r="AF892" s="38">
        <f>IF(B892="","",IF(M892&lt;&gt;"Completed","",IF(E892="","No",IF(COUNTIFS(Appointments!$E$5:$E$1204,E892,Appointments!$B$5:$B$1204,"&gt;"&amp;B892,Appointments!$M$5:$M$1204,"&lt;&gt;Cancelled")&gt;0,"Yes","No"))))</f>
        <v>0</v>
      </c>
      <c r="AG892" s="38">
        <f>IF(B892="","",IF(I892="","",IF(D892="","",IF(COUNTIFS($I$5:$I$1204,I892,$B$5:$B$1204,B892,$D$5:$D$1204,"&lt;"&amp;V892,$V$5:$V$1204,"&gt;"&amp;D892,$M$5:$M$1204,"&lt;&gt;Cancelled")&gt;1,"Clash",""))))</f>
        <v>0</v>
      </c>
      <c r="AH892" s="39">
        <f>IF(B892="","",IF(AG892="Clash","Clash - stylist double booked",IF(I892="","Assign - no stylist yet",IF(G892="","Add - no service chosen",IF(M892="No show","No show - charge the fee?",IF(M892="Cancelled","",IF(IF(M892="Completed",AB892&lt;Y892-0.004,FALSE),"Unpaid - nothing rung up for this visit",IF(IF(B892&lt;TodayDate,M892="Booked",FALSE),"Overdue - past date, still only Booked",IF(IF(B892=TodayDate,TRUE,FALSE),"Today",IF(IF(Z892&gt;0,AA892&lt;Z892-0.004,FALSE),"Due - deposit not taken",IF(IF(B892&gt;TodayDate,B892&lt;=TodayDate+2,FALSE),"Confirm - coming up","OK")))))))))))</f>
        <v>0</v>
      </c>
    </row>
    <row r="893" spans="1:34">
      <c r="A893" s="28">
        <f>IF(B893="","",AppointmentPrefix&amp;TEXT(ROW()-4,"0000"))</f>
        <v>0</v>
      </c>
      <c r="C893" s="15">
        <f>IF(B893="","",TEXT(B893,"ddd"))</f>
        <v>0</v>
      </c>
      <c r="F893" s="15">
        <f>IF(E893="","",IFERROR(INDEX(Clients!$B$5:$B$504,MATCH(E893,Clients!$A$5:$A$504,0)),"Walk-in"))</f>
        <v>0</v>
      </c>
      <c r="H893" s="15">
        <f>IF(G893="","",IFERROR(INDEX(Services!$B$5:$B$204,MATCH(G893,Services!$A$5:$A$204,0)),"Not in Services"))</f>
        <v>0</v>
      </c>
      <c r="J893" s="15">
        <f>IF(I893="","",IFERROR(INDEX(Staff!$B$5:$B$44,MATCH(I893,Staff!$A$5:$A$44,0)),"Unassigned"))</f>
        <v>0</v>
      </c>
      <c r="S893" s="15">
        <f>IF(B893="","",TEXT(B893,"yyyy-mm"))</f>
        <v>0</v>
      </c>
      <c r="T893" s="25">
        <f>IF(B893="","",WEEKNUM(B893,2))</f>
        <v>0</v>
      </c>
      <c r="U893" s="25">
        <f>IF(B893="","",IF(K893&lt;&gt;"",K893,IFERROR(INDEX(Services!$E$5:$E$204,MATCH(G893,Services!$A$5:$A$204,0))*1,0)+IFERROR(INDEX(Services!$F$5:$F$204,MATCH(G893,Services!$A$5:$A$204,0))*1,0)))</f>
        <v>0</v>
      </c>
      <c r="V893" s="36">
        <f>IF(B893="","",IF(D893="","",D893+U893/1440))</f>
        <v>0</v>
      </c>
      <c r="W893" s="25">
        <f>IF(B893="","",IF(D893="","",HOUR(D893)))</f>
        <v>0</v>
      </c>
      <c r="X893" s="37">
        <f>IF(B893="","",ROUND(U893/60,2))</f>
        <v>0</v>
      </c>
      <c r="Y893" s="26">
        <f>IF(B893="","",IF(L893&lt;&gt;"",L893,IFERROR(INDEX(Services!$G$5:$G$204,MATCH(G893,Services!$A$5:$A$204,0))*1,0)))</f>
        <v>0</v>
      </c>
      <c r="Z893" s="26">
        <f>IF(B893="","",IF(O893&lt;&gt;"",O893,IF(Y893&gt;=DepositThreshold,ROUND(Y893*DepositPercent,2),0)))</f>
        <v>0</v>
      </c>
      <c r="AA893" s="26">
        <f>IF(B893="","",ROUND(SUMIFS(Payments!$G$5:$G$1204,Payments!$I$5:$I$1204,A893,Payments!$E$5:$E$1204,"Deposit"),2))</f>
        <v>0</v>
      </c>
      <c r="AB893" s="26">
        <f>IF(B893="","",ROUND(SUMIFS(Sales!$Y$5:$Y$1204,Sales!$C$5:$C$1204,A893),2))</f>
        <v>0</v>
      </c>
      <c r="AC893" s="38">
        <f>IF(B893="","",IF(M893="Completed","Yes",IF(M893="Cancelled","Yes",IF(M893="No show","Yes","No"))))</f>
        <v>0</v>
      </c>
      <c r="AD893" s="25">
        <f>IF(B893="","",IF(AE893="","",B893-AE893))</f>
        <v>0</v>
      </c>
      <c r="AF893" s="38">
        <f>IF(B893="","",IF(M893&lt;&gt;"Completed","",IF(E893="","No",IF(COUNTIFS(Appointments!$E$5:$E$1204,E893,Appointments!$B$5:$B$1204,"&gt;"&amp;B893,Appointments!$M$5:$M$1204,"&lt;&gt;Cancelled")&gt;0,"Yes","No"))))</f>
        <v>0</v>
      </c>
      <c r="AG893" s="38">
        <f>IF(B893="","",IF(I893="","",IF(D893="","",IF(COUNTIFS($I$5:$I$1204,I893,$B$5:$B$1204,B893,$D$5:$D$1204,"&lt;"&amp;V893,$V$5:$V$1204,"&gt;"&amp;D893,$M$5:$M$1204,"&lt;&gt;Cancelled")&gt;1,"Clash",""))))</f>
        <v>0</v>
      </c>
      <c r="AH893" s="39">
        <f>IF(B893="","",IF(AG893="Clash","Clash - stylist double booked",IF(I893="","Assign - no stylist yet",IF(G893="","Add - no service chosen",IF(M893="No show","No show - charge the fee?",IF(M893="Cancelled","",IF(IF(M893="Completed",AB893&lt;Y893-0.004,FALSE),"Unpaid - nothing rung up for this visit",IF(IF(B893&lt;TodayDate,M893="Booked",FALSE),"Overdue - past date, still only Booked",IF(IF(B893=TodayDate,TRUE,FALSE),"Today",IF(IF(Z893&gt;0,AA893&lt;Z893-0.004,FALSE),"Due - deposit not taken",IF(IF(B893&gt;TodayDate,B893&lt;=TodayDate+2,FALSE),"Confirm - coming up","OK")))))))))))</f>
        <v>0</v>
      </c>
    </row>
    <row r="894" spans="1:34">
      <c r="A894" s="28">
        <f>IF(B894="","",AppointmentPrefix&amp;TEXT(ROW()-4,"0000"))</f>
        <v>0</v>
      </c>
      <c r="C894" s="15">
        <f>IF(B894="","",TEXT(B894,"ddd"))</f>
        <v>0</v>
      </c>
      <c r="F894" s="15">
        <f>IF(E894="","",IFERROR(INDEX(Clients!$B$5:$B$504,MATCH(E894,Clients!$A$5:$A$504,0)),"Walk-in"))</f>
        <v>0</v>
      </c>
      <c r="H894" s="15">
        <f>IF(G894="","",IFERROR(INDEX(Services!$B$5:$B$204,MATCH(G894,Services!$A$5:$A$204,0)),"Not in Services"))</f>
        <v>0</v>
      </c>
      <c r="J894" s="15">
        <f>IF(I894="","",IFERROR(INDEX(Staff!$B$5:$B$44,MATCH(I894,Staff!$A$5:$A$44,0)),"Unassigned"))</f>
        <v>0</v>
      </c>
      <c r="S894" s="15">
        <f>IF(B894="","",TEXT(B894,"yyyy-mm"))</f>
        <v>0</v>
      </c>
      <c r="T894" s="25">
        <f>IF(B894="","",WEEKNUM(B894,2))</f>
        <v>0</v>
      </c>
      <c r="U894" s="25">
        <f>IF(B894="","",IF(K894&lt;&gt;"",K894,IFERROR(INDEX(Services!$E$5:$E$204,MATCH(G894,Services!$A$5:$A$204,0))*1,0)+IFERROR(INDEX(Services!$F$5:$F$204,MATCH(G894,Services!$A$5:$A$204,0))*1,0)))</f>
        <v>0</v>
      </c>
      <c r="V894" s="36">
        <f>IF(B894="","",IF(D894="","",D894+U894/1440))</f>
        <v>0</v>
      </c>
      <c r="W894" s="25">
        <f>IF(B894="","",IF(D894="","",HOUR(D894)))</f>
        <v>0</v>
      </c>
      <c r="X894" s="37">
        <f>IF(B894="","",ROUND(U894/60,2))</f>
        <v>0</v>
      </c>
      <c r="Y894" s="26">
        <f>IF(B894="","",IF(L894&lt;&gt;"",L894,IFERROR(INDEX(Services!$G$5:$G$204,MATCH(G894,Services!$A$5:$A$204,0))*1,0)))</f>
        <v>0</v>
      </c>
      <c r="Z894" s="26">
        <f>IF(B894="","",IF(O894&lt;&gt;"",O894,IF(Y894&gt;=DepositThreshold,ROUND(Y894*DepositPercent,2),0)))</f>
        <v>0</v>
      </c>
      <c r="AA894" s="26">
        <f>IF(B894="","",ROUND(SUMIFS(Payments!$G$5:$G$1204,Payments!$I$5:$I$1204,A894,Payments!$E$5:$E$1204,"Deposit"),2))</f>
        <v>0</v>
      </c>
      <c r="AB894" s="26">
        <f>IF(B894="","",ROUND(SUMIFS(Sales!$Y$5:$Y$1204,Sales!$C$5:$C$1204,A894),2))</f>
        <v>0</v>
      </c>
      <c r="AC894" s="38">
        <f>IF(B894="","",IF(M894="Completed","Yes",IF(M894="Cancelled","Yes",IF(M894="No show","Yes","No"))))</f>
        <v>0</v>
      </c>
      <c r="AD894" s="25">
        <f>IF(B894="","",IF(AE894="","",B894-AE894))</f>
        <v>0</v>
      </c>
      <c r="AF894" s="38">
        <f>IF(B894="","",IF(M894&lt;&gt;"Completed","",IF(E894="","No",IF(COUNTIFS(Appointments!$E$5:$E$1204,E894,Appointments!$B$5:$B$1204,"&gt;"&amp;B894,Appointments!$M$5:$M$1204,"&lt;&gt;Cancelled")&gt;0,"Yes","No"))))</f>
        <v>0</v>
      </c>
      <c r="AG894" s="38">
        <f>IF(B894="","",IF(I894="","",IF(D894="","",IF(COUNTIFS($I$5:$I$1204,I894,$B$5:$B$1204,B894,$D$5:$D$1204,"&lt;"&amp;V894,$V$5:$V$1204,"&gt;"&amp;D894,$M$5:$M$1204,"&lt;&gt;Cancelled")&gt;1,"Clash",""))))</f>
        <v>0</v>
      </c>
      <c r="AH894" s="39">
        <f>IF(B894="","",IF(AG894="Clash","Clash - stylist double booked",IF(I894="","Assign - no stylist yet",IF(G894="","Add - no service chosen",IF(M894="No show","No show - charge the fee?",IF(M894="Cancelled","",IF(IF(M894="Completed",AB894&lt;Y894-0.004,FALSE),"Unpaid - nothing rung up for this visit",IF(IF(B894&lt;TodayDate,M894="Booked",FALSE),"Overdue - past date, still only Booked",IF(IF(B894=TodayDate,TRUE,FALSE),"Today",IF(IF(Z894&gt;0,AA894&lt;Z894-0.004,FALSE),"Due - deposit not taken",IF(IF(B894&gt;TodayDate,B894&lt;=TodayDate+2,FALSE),"Confirm - coming up","OK")))))))))))</f>
        <v>0</v>
      </c>
    </row>
    <row r="895" spans="1:34">
      <c r="A895" s="28">
        <f>IF(B895="","",AppointmentPrefix&amp;TEXT(ROW()-4,"0000"))</f>
        <v>0</v>
      </c>
      <c r="C895" s="15">
        <f>IF(B895="","",TEXT(B895,"ddd"))</f>
        <v>0</v>
      </c>
      <c r="F895" s="15">
        <f>IF(E895="","",IFERROR(INDEX(Clients!$B$5:$B$504,MATCH(E895,Clients!$A$5:$A$504,0)),"Walk-in"))</f>
        <v>0</v>
      </c>
      <c r="H895" s="15">
        <f>IF(G895="","",IFERROR(INDEX(Services!$B$5:$B$204,MATCH(G895,Services!$A$5:$A$204,0)),"Not in Services"))</f>
        <v>0</v>
      </c>
      <c r="J895" s="15">
        <f>IF(I895="","",IFERROR(INDEX(Staff!$B$5:$B$44,MATCH(I895,Staff!$A$5:$A$44,0)),"Unassigned"))</f>
        <v>0</v>
      </c>
      <c r="S895" s="15">
        <f>IF(B895="","",TEXT(B895,"yyyy-mm"))</f>
        <v>0</v>
      </c>
      <c r="T895" s="25">
        <f>IF(B895="","",WEEKNUM(B895,2))</f>
        <v>0</v>
      </c>
      <c r="U895" s="25">
        <f>IF(B895="","",IF(K895&lt;&gt;"",K895,IFERROR(INDEX(Services!$E$5:$E$204,MATCH(G895,Services!$A$5:$A$204,0))*1,0)+IFERROR(INDEX(Services!$F$5:$F$204,MATCH(G895,Services!$A$5:$A$204,0))*1,0)))</f>
        <v>0</v>
      </c>
      <c r="V895" s="36">
        <f>IF(B895="","",IF(D895="","",D895+U895/1440))</f>
        <v>0</v>
      </c>
      <c r="W895" s="25">
        <f>IF(B895="","",IF(D895="","",HOUR(D895)))</f>
        <v>0</v>
      </c>
      <c r="X895" s="37">
        <f>IF(B895="","",ROUND(U895/60,2))</f>
        <v>0</v>
      </c>
      <c r="Y895" s="26">
        <f>IF(B895="","",IF(L895&lt;&gt;"",L895,IFERROR(INDEX(Services!$G$5:$G$204,MATCH(G895,Services!$A$5:$A$204,0))*1,0)))</f>
        <v>0</v>
      </c>
      <c r="Z895" s="26">
        <f>IF(B895="","",IF(O895&lt;&gt;"",O895,IF(Y895&gt;=DepositThreshold,ROUND(Y895*DepositPercent,2),0)))</f>
        <v>0</v>
      </c>
      <c r="AA895" s="26">
        <f>IF(B895="","",ROUND(SUMIFS(Payments!$G$5:$G$1204,Payments!$I$5:$I$1204,A895,Payments!$E$5:$E$1204,"Deposit"),2))</f>
        <v>0</v>
      </c>
      <c r="AB895" s="26">
        <f>IF(B895="","",ROUND(SUMIFS(Sales!$Y$5:$Y$1204,Sales!$C$5:$C$1204,A895),2))</f>
        <v>0</v>
      </c>
      <c r="AC895" s="38">
        <f>IF(B895="","",IF(M895="Completed","Yes",IF(M895="Cancelled","Yes",IF(M895="No show","Yes","No"))))</f>
        <v>0</v>
      </c>
      <c r="AD895" s="25">
        <f>IF(B895="","",IF(AE895="","",B895-AE895))</f>
        <v>0</v>
      </c>
      <c r="AF895" s="38">
        <f>IF(B895="","",IF(M895&lt;&gt;"Completed","",IF(E895="","No",IF(COUNTIFS(Appointments!$E$5:$E$1204,E895,Appointments!$B$5:$B$1204,"&gt;"&amp;B895,Appointments!$M$5:$M$1204,"&lt;&gt;Cancelled")&gt;0,"Yes","No"))))</f>
        <v>0</v>
      </c>
      <c r="AG895" s="38">
        <f>IF(B895="","",IF(I895="","",IF(D895="","",IF(COUNTIFS($I$5:$I$1204,I895,$B$5:$B$1204,B895,$D$5:$D$1204,"&lt;"&amp;V895,$V$5:$V$1204,"&gt;"&amp;D895,$M$5:$M$1204,"&lt;&gt;Cancelled")&gt;1,"Clash",""))))</f>
        <v>0</v>
      </c>
      <c r="AH895" s="39">
        <f>IF(B895="","",IF(AG895="Clash","Clash - stylist double booked",IF(I895="","Assign - no stylist yet",IF(G895="","Add - no service chosen",IF(M895="No show","No show - charge the fee?",IF(M895="Cancelled","",IF(IF(M895="Completed",AB895&lt;Y895-0.004,FALSE),"Unpaid - nothing rung up for this visit",IF(IF(B895&lt;TodayDate,M895="Booked",FALSE),"Overdue - past date, still only Booked",IF(IF(B895=TodayDate,TRUE,FALSE),"Today",IF(IF(Z895&gt;0,AA895&lt;Z895-0.004,FALSE),"Due - deposit not taken",IF(IF(B895&gt;TodayDate,B895&lt;=TodayDate+2,FALSE),"Confirm - coming up","OK")))))))))))</f>
        <v>0</v>
      </c>
    </row>
    <row r="896" spans="1:34">
      <c r="A896" s="28">
        <f>IF(B896="","",AppointmentPrefix&amp;TEXT(ROW()-4,"0000"))</f>
        <v>0</v>
      </c>
      <c r="C896" s="15">
        <f>IF(B896="","",TEXT(B896,"ddd"))</f>
        <v>0</v>
      </c>
      <c r="F896" s="15">
        <f>IF(E896="","",IFERROR(INDEX(Clients!$B$5:$B$504,MATCH(E896,Clients!$A$5:$A$504,0)),"Walk-in"))</f>
        <v>0</v>
      </c>
      <c r="H896" s="15">
        <f>IF(G896="","",IFERROR(INDEX(Services!$B$5:$B$204,MATCH(G896,Services!$A$5:$A$204,0)),"Not in Services"))</f>
        <v>0</v>
      </c>
      <c r="J896" s="15">
        <f>IF(I896="","",IFERROR(INDEX(Staff!$B$5:$B$44,MATCH(I896,Staff!$A$5:$A$44,0)),"Unassigned"))</f>
        <v>0</v>
      </c>
      <c r="S896" s="15">
        <f>IF(B896="","",TEXT(B896,"yyyy-mm"))</f>
        <v>0</v>
      </c>
      <c r="T896" s="25">
        <f>IF(B896="","",WEEKNUM(B896,2))</f>
        <v>0</v>
      </c>
      <c r="U896" s="25">
        <f>IF(B896="","",IF(K896&lt;&gt;"",K896,IFERROR(INDEX(Services!$E$5:$E$204,MATCH(G896,Services!$A$5:$A$204,0))*1,0)+IFERROR(INDEX(Services!$F$5:$F$204,MATCH(G896,Services!$A$5:$A$204,0))*1,0)))</f>
        <v>0</v>
      </c>
      <c r="V896" s="36">
        <f>IF(B896="","",IF(D896="","",D896+U896/1440))</f>
        <v>0</v>
      </c>
      <c r="W896" s="25">
        <f>IF(B896="","",IF(D896="","",HOUR(D896)))</f>
        <v>0</v>
      </c>
      <c r="X896" s="37">
        <f>IF(B896="","",ROUND(U896/60,2))</f>
        <v>0</v>
      </c>
      <c r="Y896" s="26">
        <f>IF(B896="","",IF(L896&lt;&gt;"",L896,IFERROR(INDEX(Services!$G$5:$G$204,MATCH(G896,Services!$A$5:$A$204,0))*1,0)))</f>
        <v>0</v>
      </c>
      <c r="Z896" s="26">
        <f>IF(B896="","",IF(O896&lt;&gt;"",O896,IF(Y896&gt;=DepositThreshold,ROUND(Y896*DepositPercent,2),0)))</f>
        <v>0</v>
      </c>
      <c r="AA896" s="26">
        <f>IF(B896="","",ROUND(SUMIFS(Payments!$G$5:$G$1204,Payments!$I$5:$I$1204,A896,Payments!$E$5:$E$1204,"Deposit"),2))</f>
        <v>0</v>
      </c>
      <c r="AB896" s="26">
        <f>IF(B896="","",ROUND(SUMIFS(Sales!$Y$5:$Y$1204,Sales!$C$5:$C$1204,A896),2))</f>
        <v>0</v>
      </c>
      <c r="AC896" s="38">
        <f>IF(B896="","",IF(M896="Completed","Yes",IF(M896="Cancelled","Yes",IF(M896="No show","Yes","No"))))</f>
        <v>0</v>
      </c>
      <c r="AD896" s="25">
        <f>IF(B896="","",IF(AE896="","",B896-AE896))</f>
        <v>0</v>
      </c>
      <c r="AF896" s="38">
        <f>IF(B896="","",IF(M896&lt;&gt;"Completed","",IF(E896="","No",IF(COUNTIFS(Appointments!$E$5:$E$1204,E896,Appointments!$B$5:$B$1204,"&gt;"&amp;B896,Appointments!$M$5:$M$1204,"&lt;&gt;Cancelled")&gt;0,"Yes","No"))))</f>
        <v>0</v>
      </c>
      <c r="AG896" s="38">
        <f>IF(B896="","",IF(I896="","",IF(D896="","",IF(COUNTIFS($I$5:$I$1204,I896,$B$5:$B$1204,B896,$D$5:$D$1204,"&lt;"&amp;V896,$V$5:$V$1204,"&gt;"&amp;D896,$M$5:$M$1204,"&lt;&gt;Cancelled")&gt;1,"Clash",""))))</f>
        <v>0</v>
      </c>
      <c r="AH896" s="39">
        <f>IF(B896="","",IF(AG896="Clash","Clash - stylist double booked",IF(I896="","Assign - no stylist yet",IF(G896="","Add - no service chosen",IF(M896="No show","No show - charge the fee?",IF(M896="Cancelled","",IF(IF(M896="Completed",AB896&lt;Y896-0.004,FALSE),"Unpaid - nothing rung up for this visit",IF(IF(B896&lt;TodayDate,M896="Booked",FALSE),"Overdue - past date, still only Booked",IF(IF(B896=TodayDate,TRUE,FALSE),"Today",IF(IF(Z896&gt;0,AA896&lt;Z896-0.004,FALSE),"Due - deposit not taken",IF(IF(B896&gt;TodayDate,B896&lt;=TodayDate+2,FALSE),"Confirm - coming up","OK")))))))))))</f>
        <v>0</v>
      </c>
    </row>
    <row r="897" spans="1:34">
      <c r="A897" s="28">
        <f>IF(B897="","",AppointmentPrefix&amp;TEXT(ROW()-4,"0000"))</f>
        <v>0</v>
      </c>
      <c r="C897" s="15">
        <f>IF(B897="","",TEXT(B897,"ddd"))</f>
        <v>0</v>
      </c>
      <c r="F897" s="15">
        <f>IF(E897="","",IFERROR(INDEX(Clients!$B$5:$B$504,MATCH(E897,Clients!$A$5:$A$504,0)),"Walk-in"))</f>
        <v>0</v>
      </c>
      <c r="H897" s="15">
        <f>IF(G897="","",IFERROR(INDEX(Services!$B$5:$B$204,MATCH(G897,Services!$A$5:$A$204,0)),"Not in Services"))</f>
        <v>0</v>
      </c>
      <c r="J897" s="15">
        <f>IF(I897="","",IFERROR(INDEX(Staff!$B$5:$B$44,MATCH(I897,Staff!$A$5:$A$44,0)),"Unassigned"))</f>
        <v>0</v>
      </c>
      <c r="S897" s="15">
        <f>IF(B897="","",TEXT(B897,"yyyy-mm"))</f>
        <v>0</v>
      </c>
      <c r="T897" s="25">
        <f>IF(B897="","",WEEKNUM(B897,2))</f>
        <v>0</v>
      </c>
      <c r="U897" s="25">
        <f>IF(B897="","",IF(K897&lt;&gt;"",K897,IFERROR(INDEX(Services!$E$5:$E$204,MATCH(G897,Services!$A$5:$A$204,0))*1,0)+IFERROR(INDEX(Services!$F$5:$F$204,MATCH(G897,Services!$A$5:$A$204,0))*1,0)))</f>
        <v>0</v>
      </c>
      <c r="V897" s="36">
        <f>IF(B897="","",IF(D897="","",D897+U897/1440))</f>
        <v>0</v>
      </c>
      <c r="W897" s="25">
        <f>IF(B897="","",IF(D897="","",HOUR(D897)))</f>
        <v>0</v>
      </c>
      <c r="X897" s="37">
        <f>IF(B897="","",ROUND(U897/60,2))</f>
        <v>0</v>
      </c>
      <c r="Y897" s="26">
        <f>IF(B897="","",IF(L897&lt;&gt;"",L897,IFERROR(INDEX(Services!$G$5:$G$204,MATCH(G897,Services!$A$5:$A$204,0))*1,0)))</f>
        <v>0</v>
      </c>
      <c r="Z897" s="26">
        <f>IF(B897="","",IF(O897&lt;&gt;"",O897,IF(Y897&gt;=DepositThreshold,ROUND(Y897*DepositPercent,2),0)))</f>
        <v>0</v>
      </c>
      <c r="AA897" s="26">
        <f>IF(B897="","",ROUND(SUMIFS(Payments!$G$5:$G$1204,Payments!$I$5:$I$1204,A897,Payments!$E$5:$E$1204,"Deposit"),2))</f>
        <v>0</v>
      </c>
      <c r="AB897" s="26">
        <f>IF(B897="","",ROUND(SUMIFS(Sales!$Y$5:$Y$1204,Sales!$C$5:$C$1204,A897),2))</f>
        <v>0</v>
      </c>
      <c r="AC897" s="38">
        <f>IF(B897="","",IF(M897="Completed","Yes",IF(M897="Cancelled","Yes",IF(M897="No show","Yes","No"))))</f>
        <v>0</v>
      </c>
      <c r="AD897" s="25">
        <f>IF(B897="","",IF(AE897="","",B897-AE897))</f>
        <v>0</v>
      </c>
      <c r="AF897" s="38">
        <f>IF(B897="","",IF(M897&lt;&gt;"Completed","",IF(E897="","No",IF(COUNTIFS(Appointments!$E$5:$E$1204,E897,Appointments!$B$5:$B$1204,"&gt;"&amp;B897,Appointments!$M$5:$M$1204,"&lt;&gt;Cancelled")&gt;0,"Yes","No"))))</f>
        <v>0</v>
      </c>
      <c r="AG897" s="38">
        <f>IF(B897="","",IF(I897="","",IF(D897="","",IF(COUNTIFS($I$5:$I$1204,I897,$B$5:$B$1204,B897,$D$5:$D$1204,"&lt;"&amp;V897,$V$5:$V$1204,"&gt;"&amp;D897,$M$5:$M$1204,"&lt;&gt;Cancelled")&gt;1,"Clash",""))))</f>
        <v>0</v>
      </c>
      <c r="AH897" s="39">
        <f>IF(B897="","",IF(AG897="Clash","Clash - stylist double booked",IF(I897="","Assign - no stylist yet",IF(G897="","Add - no service chosen",IF(M897="No show","No show - charge the fee?",IF(M897="Cancelled","",IF(IF(M897="Completed",AB897&lt;Y897-0.004,FALSE),"Unpaid - nothing rung up for this visit",IF(IF(B897&lt;TodayDate,M897="Booked",FALSE),"Overdue - past date, still only Booked",IF(IF(B897=TodayDate,TRUE,FALSE),"Today",IF(IF(Z897&gt;0,AA897&lt;Z897-0.004,FALSE),"Due - deposit not taken",IF(IF(B897&gt;TodayDate,B897&lt;=TodayDate+2,FALSE),"Confirm - coming up","OK")))))))))))</f>
        <v>0</v>
      </c>
    </row>
    <row r="898" spans="1:34">
      <c r="A898" s="28">
        <f>IF(B898="","",AppointmentPrefix&amp;TEXT(ROW()-4,"0000"))</f>
        <v>0</v>
      </c>
      <c r="C898" s="15">
        <f>IF(B898="","",TEXT(B898,"ddd"))</f>
        <v>0</v>
      </c>
      <c r="F898" s="15">
        <f>IF(E898="","",IFERROR(INDEX(Clients!$B$5:$B$504,MATCH(E898,Clients!$A$5:$A$504,0)),"Walk-in"))</f>
        <v>0</v>
      </c>
      <c r="H898" s="15">
        <f>IF(G898="","",IFERROR(INDEX(Services!$B$5:$B$204,MATCH(G898,Services!$A$5:$A$204,0)),"Not in Services"))</f>
        <v>0</v>
      </c>
      <c r="J898" s="15">
        <f>IF(I898="","",IFERROR(INDEX(Staff!$B$5:$B$44,MATCH(I898,Staff!$A$5:$A$44,0)),"Unassigned"))</f>
        <v>0</v>
      </c>
      <c r="S898" s="15">
        <f>IF(B898="","",TEXT(B898,"yyyy-mm"))</f>
        <v>0</v>
      </c>
      <c r="T898" s="25">
        <f>IF(B898="","",WEEKNUM(B898,2))</f>
        <v>0</v>
      </c>
      <c r="U898" s="25">
        <f>IF(B898="","",IF(K898&lt;&gt;"",K898,IFERROR(INDEX(Services!$E$5:$E$204,MATCH(G898,Services!$A$5:$A$204,0))*1,0)+IFERROR(INDEX(Services!$F$5:$F$204,MATCH(G898,Services!$A$5:$A$204,0))*1,0)))</f>
        <v>0</v>
      </c>
      <c r="V898" s="36">
        <f>IF(B898="","",IF(D898="","",D898+U898/1440))</f>
        <v>0</v>
      </c>
      <c r="W898" s="25">
        <f>IF(B898="","",IF(D898="","",HOUR(D898)))</f>
        <v>0</v>
      </c>
      <c r="X898" s="37">
        <f>IF(B898="","",ROUND(U898/60,2))</f>
        <v>0</v>
      </c>
      <c r="Y898" s="26">
        <f>IF(B898="","",IF(L898&lt;&gt;"",L898,IFERROR(INDEX(Services!$G$5:$G$204,MATCH(G898,Services!$A$5:$A$204,0))*1,0)))</f>
        <v>0</v>
      </c>
      <c r="Z898" s="26">
        <f>IF(B898="","",IF(O898&lt;&gt;"",O898,IF(Y898&gt;=DepositThreshold,ROUND(Y898*DepositPercent,2),0)))</f>
        <v>0</v>
      </c>
      <c r="AA898" s="26">
        <f>IF(B898="","",ROUND(SUMIFS(Payments!$G$5:$G$1204,Payments!$I$5:$I$1204,A898,Payments!$E$5:$E$1204,"Deposit"),2))</f>
        <v>0</v>
      </c>
      <c r="AB898" s="26">
        <f>IF(B898="","",ROUND(SUMIFS(Sales!$Y$5:$Y$1204,Sales!$C$5:$C$1204,A898),2))</f>
        <v>0</v>
      </c>
      <c r="AC898" s="38">
        <f>IF(B898="","",IF(M898="Completed","Yes",IF(M898="Cancelled","Yes",IF(M898="No show","Yes","No"))))</f>
        <v>0</v>
      </c>
      <c r="AD898" s="25">
        <f>IF(B898="","",IF(AE898="","",B898-AE898))</f>
        <v>0</v>
      </c>
      <c r="AF898" s="38">
        <f>IF(B898="","",IF(M898&lt;&gt;"Completed","",IF(E898="","No",IF(COUNTIFS(Appointments!$E$5:$E$1204,E898,Appointments!$B$5:$B$1204,"&gt;"&amp;B898,Appointments!$M$5:$M$1204,"&lt;&gt;Cancelled")&gt;0,"Yes","No"))))</f>
        <v>0</v>
      </c>
      <c r="AG898" s="38">
        <f>IF(B898="","",IF(I898="","",IF(D898="","",IF(COUNTIFS($I$5:$I$1204,I898,$B$5:$B$1204,B898,$D$5:$D$1204,"&lt;"&amp;V898,$V$5:$V$1204,"&gt;"&amp;D898,$M$5:$M$1204,"&lt;&gt;Cancelled")&gt;1,"Clash",""))))</f>
        <v>0</v>
      </c>
      <c r="AH898" s="39">
        <f>IF(B898="","",IF(AG898="Clash","Clash - stylist double booked",IF(I898="","Assign - no stylist yet",IF(G898="","Add - no service chosen",IF(M898="No show","No show - charge the fee?",IF(M898="Cancelled","",IF(IF(M898="Completed",AB898&lt;Y898-0.004,FALSE),"Unpaid - nothing rung up for this visit",IF(IF(B898&lt;TodayDate,M898="Booked",FALSE),"Overdue - past date, still only Booked",IF(IF(B898=TodayDate,TRUE,FALSE),"Today",IF(IF(Z898&gt;0,AA898&lt;Z898-0.004,FALSE),"Due - deposit not taken",IF(IF(B898&gt;TodayDate,B898&lt;=TodayDate+2,FALSE),"Confirm - coming up","OK")))))))))))</f>
        <v>0</v>
      </c>
    </row>
    <row r="899" spans="1:34">
      <c r="A899" s="28">
        <f>IF(B899="","",AppointmentPrefix&amp;TEXT(ROW()-4,"0000"))</f>
        <v>0</v>
      </c>
      <c r="C899" s="15">
        <f>IF(B899="","",TEXT(B899,"ddd"))</f>
        <v>0</v>
      </c>
      <c r="F899" s="15">
        <f>IF(E899="","",IFERROR(INDEX(Clients!$B$5:$B$504,MATCH(E899,Clients!$A$5:$A$504,0)),"Walk-in"))</f>
        <v>0</v>
      </c>
      <c r="H899" s="15">
        <f>IF(G899="","",IFERROR(INDEX(Services!$B$5:$B$204,MATCH(G899,Services!$A$5:$A$204,0)),"Not in Services"))</f>
        <v>0</v>
      </c>
      <c r="J899" s="15">
        <f>IF(I899="","",IFERROR(INDEX(Staff!$B$5:$B$44,MATCH(I899,Staff!$A$5:$A$44,0)),"Unassigned"))</f>
        <v>0</v>
      </c>
      <c r="S899" s="15">
        <f>IF(B899="","",TEXT(B899,"yyyy-mm"))</f>
        <v>0</v>
      </c>
      <c r="T899" s="25">
        <f>IF(B899="","",WEEKNUM(B899,2))</f>
        <v>0</v>
      </c>
      <c r="U899" s="25">
        <f>IF(B899="","",IF(K899&lt;&gt;"",K899,IFERROR(INDEX(Services!$E$5:$E$204,MATCH(G899,Services!$A$5:$A$204,0))*1,0)+IFERROR(INDEX(Services!$F$5:$F$204,MATCH(G899,Services!$A$5:$A$204,0))*1,0)))</f>
        <v>0</v>
      </c>
      <c r="V899" s="36">
        <f>IF(B899="","",IF(D899="","",D899+U899/1440))</f>
        <v>0</v>
      </c>
      <c r="W899" s="25">
        <f>IF(B899="","",IF(D899="","",HOUR(D899)))</f>
        <v>0</v>
      </c>
      <c r="X899" s="37">
        <f>IF(B899="","",ROUND(U899/60,2))</f>
        <v>0</v>
      </c>
      <c r="Y899" s="26">
        <f>IF(B899="","",IF(L899&lt;&gt;"",L899,IFERROR(INDEX(Services!$G$5:$G$204,MATCH(G899,Services!$A$5:$A$204,0))*1,0)))</f>
        <v>0</v>
      </c>
      <c r="Z899" s="26">
        <f>IF(B899="","",IF(O899&lt;&gt;"",O899,IF(Y899&gt;=DepositThreshold,ROUND(Y899*DepositPercent,2),0)))</f>
        <v>0</v>
      </c>
      <c r="AA899" s="26">
        <f>IF(B899="","",ROUND(SUMIFS(Payments!$G$5:$G$1204,Payments!$I$5:$I$1204,A899,Payments!$E$5:$E$1204,"Deposit"),2))</f>
        <v>0</v>
      </c>
      <c r="AB899" s="26">
        <f>IF(B899="","",ROUND(SUMIFS(Sales!$Y$5:$Y$1204,Sales!$C$5:$C$1204,A899),2))</f>
        <v>0</v>
      </c>
      <c r="AC899" s="38">
        <f>IF(B899="","",IF(M899="Completed","Yes",IF(M899="Cancelled","Yes",IF(M899="No show","Yes","No"))))</f>
        <v>0</v>
      </c>
      <c r="AD899" s="25">
        <f>IF(B899="","",IF(AE899="","",B899-AE899))</f>
        <v>0</v>
      </c>
      <c r="AF899" s="38">
        <f>IF(B899="","",IF(M899&lt;&gt;"Completed","",IF(E899="","No",IF(COUNTIFS(Appointments!$E$5:$E$1204,E899,Appointments!$B$5:$B$1204,"&gt;"&amp;B899,Appointments!$M$5:$M$1204,"&lt;&gt;Cancelled")&gt;0,"Yes","No"))))</f>
        <v>0</v>
      </c>
      <c r="AG899" s="38">
        <f>IF(B899="","",IF(I899="","",IF(D899="","",IF(COUNTIFS($I$5:$I$1204,I899,$B$5:$B$1204,B899,$D$5:$D$1204,"&lt;"&amp;V899,$V$5:$V$1204,"&gt;"&amp;D899,$M$5:$M$1204,"&lt;&gt;Cancelled")&gt;1,"Clash",""))))</f>
        <v>0</v>
      </c>
      <c r="AH899" s="39">
        <f>IF(B899="","",IF(AG899="Clash","Clash - stylist double booked",IF(I899="","Assign - no stylist yet",IF(G899="","Add - no service chosen",IF(M899="No show","No show - charge the fee?",IF(M899="Cancelled","",IF(IF(M899="Completed",AB899&lt;Y899-0.004,FALSE),"Unpaid - nothing rung up for this visit",IF(IF(B899&lt;TodayDate,M899="Booked",FALSE),"Overdue - past date, still only Booked",IF(IF(B899=TodayDate,TRUE,FALSE),"Today",IF(IF(Z899&gt;0,AA899&lt;Z899-0.004,FALSE),"Due - deposit not taken",IF(IF(B899&gt;TodayDate,B899&lt;=TodayDate+2,FALSE),"Confirm - coming up","OK")))))))))))</f>
        <v>0</v>
      </c>
    </row>
    <row r="900" spans="1:34">
      <c r="A900" s="28">
        <f>IF(B900="","",AppointmentPrefix&amp;TEXT(ROW()-4,"0000"))</f>
        <v>0</v>
      </c>
      <c r="C900" s="15">
        <f>IF(B900="","",TEXT(B900,"ddd"))</f>
        <v>0</v>
      </c>
      <c r="F900" s="15">
        <f>IF(E900="","",IFERROR(INDEX(Clients!$B$5:$B$504,MATCH(E900,Clients!$A$5:$A$504,0)),"Walk-in"))</f>
        <v>0</v>
      </c>
      <c r="H900" s="15">
        <f>IF(G900="","",IFERROR(INDEX(Services!$B$5:$B$204,MATCH(G900,Services!$A$5:$A$204,0)),"Not in Services"))</f>
        <v>0</v>
      </c>
      <c r="J900" s="15">
        <f>IF(I900="","",IFERROR(INDEX(Staff!$B$5:$B$44,MATCH(I900,Staff!$A$5:$A$44,0)),"Unassigned"))</f>
        <v>0</v>
      </c>
      <c r="S900" s="15">
        <f>IF(B900="","",TEXT(B900,"yyyy-mm"))</f>
        <v>0</v>
      </c>
      <c r="T900" s="25">
        <f>IF(B900="","",WEEKNUM(B900,2))</f>
        <v>0</v>
      </c>
      <c r="U900" s="25">
        <f>IF(B900="","",IF(K900&lt;&gt;"",K900,IFERROR(INDEX(Services!$E$5:$E$204,MATCH(G900,Services!$A$5:$A$204,0))*1,0)+IFERROR(INDEX(Services!$F$5:$F$204,MATCH(G900,Services!$A$5:$A$204,0))*1,0)))</f>
        <v>0</v>
      </c>
      <c r="V900" s="36">
        <f>IF(B900="","",IF(D900="","",D900+U900/1440))</f>
        <v>0</v>
      </c>
      <c r="W900" s="25">
        <f>IF(B900="","",IF(D900="","",HOUR(D900)))</f>
        <v>0</v>
      </c>
      <c r="X900" s="37">
        <f>IF(B900="","",ROUND(U900/60,2))</f>
        <v>0</v>
      </c>
      <c r="Y900" s="26">
        <f>IF(B900="","",IF(L900&lt;&gt;"",L900,IFERROR(INDEX(Services!$G$5:$G$204,MATCH(G900,Services!$A$5:$A$204,0))*1,0)))</f>
        <v>0</v>
      </c>
      <c r="Z900" s="26">
        <f>IF(B900="","",IF(O900&lt;&gt;"",O900,IF(Y900&gt;=DepositThreshold,ROUND(Y900*DepositPercent,2),0)))</f>
        <v>0</v>
      </c>
      <c r="AA900" s="26">
        <f>IF(B900="","",ROUND(SUMIFS(Payments!$G$5:$G$1204,Payments!$I$5:$I$1204,A900,Payments!$E$5:$E$1204,"Deposit"),2))</f>
        <v>0</v>
      </c>
      <c r="AB900" s="26">
        <f>IF(B900="","",ROUND(SUMIFS(Sales!$Y$5:$Y$1204,Sales!$C$5:$C$1204,A900),2))</f>
        <v>0</v>
      </c>
      <c r="AC900" s="38">
        <f>IF(B900="","",IF(M900="Completed","Yes",IF(M900="Cancelled","Yes",IF(M900="No show","Yes","No"))))</f>
        <v>0</v>
      </c>
      <c r="AD900" s="25">
        <f>IF(B900="","",IF(AE900="","",B900-AE900))</f>
        <v>0</v>
      </c>
      <c r="AF900" s="38">
        <f>IF(B900="","",IF(M900&lt;&gt;"Completed","",IF(E900="","No",IF(COUNTIFS(Appointments!$E$5:$E$1204,E900,Appointments!$B$5:$B$1204,"&gt;"&amp;B900,Appointments!$M$5:$M$1204,"&lt;&gt;Cancelled")&gt;0,"Yes","No"))))</f>
        <v>0</v>
      </c>
      <c r="AG900" s="38">
        <f>IF(B900="","",IF(I900="","",IF(D900="","",IF(COUNTIFS($I$5:$I$1204,I900,$B$5:$B$1204,B900,$D$5:$D$1204,"&lt;"&amp;V900,$V$5:$V$1204,"&gt;"&amp;D900,$M$5:$M$1204,"&lt;&gt;Cancelled")&gt;1,"Clash",""))))</f>
        <v>0</v>
      </c>
      <c r="AH900" s="39">
        <f>IF(B900="","",IF(AG900="Clash","Clash - stylist double booked",IF(I900="","Assign - no stylist yet",IF(G900="","Add - no service chosen",IF(M900="No show","No show - charge the fee?",IF(M900="Cancelled","",IF(IF(M900="Completed",AB900&lt;Y900-0.004,FALSE),"Unpaid - nothing rung up for this visit",IF(IF(B900&lt;TodayDate,M900="Booked",FALSE),"Overdue - past date, still only Booked",IF(IF(B900=TodayDate,TRUE,FALSE),"Today",IF(IF(Z900&gt;0,AA900&lt;Z900-0.004,FALSE),"Due - deposit not taken",IF(IF(B900&gt;TodayDate,B900&lt;=TodayDate+2,FALSE),"Confirm - coming up","OK")))))))))))</f>
        <v>0</v>
      </c>
    </row>
    <row r="901" spans="1:34">
      <c r="A901" s="28">
        <f>IF(B901="","",AppointmentPrefix&amp;TEXT(ROW()-4,"0000"))</f>
        <v>0</v>
      </c>
      <c r="C901" s="15">
        <f>IF(B901="","",TEXT(B901,"ddd"))</f>
        <v>0</v>
      </c>
      <c r="F901" s="15">
        <f>IF(E901="","",IFERROR(INDEX(Clients!$B$5:$B$504,MATCH(E901,Clients!$A$5:$A$504,0)),"Walk-in"))</f>
        <v>0</v>
      </c>
      <c r="H901" s="15">
        <f>IF(G901="","",IFERROR(INDEX(Services!$B$5:$B$204,MATCH(G901,Services!$A$5:$A$204,0)),"Not in Services"))</f>
        <v>0</v>
      </c>
      <c r="J901" s="15">
        <f>IF(I901="","",IFERROR(INDEX(Staff!$B$5:$B$44,MATCH(I901,Staff!$A$5:$A$44,0)),"Unassigned"))</f>
        <v>0</v>
      </c>
      <c r="S901" s="15">
        <f>IF(B901="","",TEXT(B901,"yyyy-mm"))</f>
        <v>0</v>
      </c>
      <c r="T901" s="25">
        <f>IF(B901="","",WEEKNUM(B901,2))</f>
        <v>0</v>
      </c>
      <c r="U901" s="25">
        <f>IF(B901="","",IF(K901&lt;&gt;"",K901,IFERROR(INDEX(Services!$E$5:$E$204,MATCH(G901,Services!$A$5:$A$204,0))*1,0)+IFERROR(INDEX(Services!$F$5:$F$204,MATCH(G901,Services!$A$5:$A$204,0))*1,0)))</f>
        <v>0</v>
      </c>
      <c r="V901" s="36">
        <f>IF(B901="","",IF(D901="","",D901+U901/1440))</f>
        <v>0</v>
      </c>
      <c r="W901" s="25">
        <f>IF(B901="","",IF(D901="","",HOUR(D901)))</f>
        <v>0</v>
      </c>
      <c r="X901" s="37">
        <f>IF(B901="","",ROUND(U901/60,2))</f>
        <v>0</v>
      </c>
      <c r="Y901" s="26">
        <f>IF(B901="","",IF(L901&lt;&gt;"",L901,IFERROR(INDEX(Services!$G$5:$G$204,MATCH(G901,Services!$A$5:$A$204,0))*1,0)))</f>
        <v>0</v>
      </c>
      <c r="Z901" s="26">
        <f>IF(B901="","",IF(O901&lt;&gt;"",O901,IF(Y901&gt;=DepositThreshold,ROUND(Y901*DepositPercent,2),0)))</f>
        <v>0</v>
      </c>
      <c r="AA901" s="26">
        <f>IF(B901="","",ROUND(SUMIFS(Payments!$G$5:$G$1204,Payments!$I$5:$I$1204,A901,Payments!$E$5:$E$1204,"Deposit"),2))</f>
        <v>0</v>
      </c>
      <c r="AB901" s="26">
        <f>IF(B901="","",ROUND(SUMIFS(Sales!$Y$5:$Y$1204,Sales!$C$5:$C$1204,A901),2))</f>
        <v>0</v>
      </c>
      <c r="AC901" s="38">
        <f>IF(B901="","",IF(M901="Completed","Yes",IF(M901="Cancelled","Yes",IF(M901="No show","Yes","No"))))</f>
        <v>0</v>
      </c>
      <c r="AD901" s="25">
        <f>IF(B901="","",IF(AE901="","",B901-AE901))</f>
        <v>0</v>
      </c>
      <c r="AF901" s="38">
        <f>IF(B901="","",IF(M901&lt;&gt;"Completed","",IF(E901="","No",IF(COUNTIFS(Appointments!$E$5:$E$1204,E901,Appointments!$B$5:$B$1204,"&gt;"&amp;B901,Appointments!$M$5:$M$1204,"&lt;&gt;Cancelled")&gt;0,"Yes","No"))))</f>
        <v>0</v>
      </c>
      <c r="AG901" s="38">
        <f>IF(B901="","",IF(I901="","",IF(D901="","",IF(COUNTIFS($I$5:$I$1204,I901,$B$5:$B$1204,B901,$D$5:$D$1204,"&lt;"&amp;V901,$V$5:$V$1204,"&gt;"&amp;D901,$M$5:$M$1204,"&lt;&gt;Cancelled")&gt;1,"Clash",""))))</f>
        <v>0</v>
      </c>
      <c r="AH901" s="39">
        <f>IF(B901="","",IF(AG901="Clash","Clash - stylist double booked",IF(I901="","Assign - no stylist yet",IF(G901="","Add - no service chosen",IF(M901="No show","No show - charge the fee?",IF(M901="Cancelled","",IF(IF(M901="Completed",AB901&lt;Y901-0.004,FALSE),"Unpaid - nothing rung up for this visit",IF(IF(B901&lt;TodayDate,M901="Booked",FALSE),"Overdue - past date, still only Booked",IF(IF(B901=TodayDate,TRUE,FALSE),"Today",IF(IF(Z901&gt;0,AA901&lt;Z901-0.004,FALSE),"Due - deposit not taken",IF(IF(B901&gt;TodayDate,B901&lt;=TodayDate+2,FALSE),"Confirm - coming up","OK")))))))))))</f>
        <v>0</v>
      </c>
    </row>
    <row r="902" spans="1:34">
      <c r="A902" s="28">
        <f>IF(B902="","",AppointmentPrefix&amp;TEXT(ROW()-4,"0000"))</f>
        <v>0</v>
      </c>
      <c r="C902" s="15">
        <f>IF(B902="","",TEXT(B902,"ddd"))</f>
        <v>0</v>
      </c>
      <c r="F902" s="15">
        <f>IF(E902="","",IFERROR(INDEX(Clients!$B$5:$B$504,MATCH(E902,Clients!$A$5:$A$504,0)),"Walk-in"))</f>
        <v>0</v>
      </c>
      <c r="H902" s="15">
        <f>IF(G902="","",IFERROR(INDEX(Services!$B$5:$B$204,MATCH(G902,Services!$A$5:$A$204,0)),"Not in Services"))</f>
        <v>0</v>
      </c>
      <c r="J902" s="15">
        <f>IF(I902="","",IFERROR(INDEX(Staff!$B$5:$B$44,MATCH(I902,Staff!$A$5:$A$44,0)),"Unassigned"))</f>
        <v>0</v>
      </c>
      <c r="S902" s="15">
        <f>IF(B902="","",TEXT(B902,"yyyy-mm"))</f>
        <v>0</v>
      </c>
      <c r="T902" s="25">
        <f>IF(B902="","",WEEKNUM(B902,2))</f>
        <v>0</v>
      </c>
      <c r="U902" s="25">
        <f>IF(B902="","",IF(K902&lt;&gt;"",K902,IFERROR(INDEX(Services!$E$5:$E$204,MATCH(G902,Services!$A$5:$A$204,0))*1,0)+IFERROR(INDEX(Services!$F$5:$F$204,MATCH(G902,Services!$A$5:$A$204,0))*1,0)))</f>
        <v>0</v>
      </c>
      <c r="V902" s="36">
        <f>IF(B902="","",IF(D902="","",D902+U902/1440))</f>
        <v>0</v>
      </c>
      <c r="W902" s="25">
        <f>IF(B902="","",IF(D902="","",HOUR(D902)))</f>
        <v>0</v>
      </c>
      <c r="X902" s="37">
        <f>IF(B902="","",ROUND(U902/60,2))</f>
        <v>0</v>
      </c>
      <c r="Y902" s="26">
        <f>IF(B902="","",IF(L902&lt;&gt;"",L902,IFERROR(INDEX(Services!$G$5:$G$204,MATCH(G902,Services!$A$5:$A$204,0))*1,0)))</f>
        <v>0</v>
      </c>
      <c r="Z902" s="26">
        <f>IF(B902="","",IF(O902&lt;&gt;"",O902,IF(Y902&gt;=DepositThreshold,ROUND(Y902*DepositPercent,2),0)))</f>
        <v>0</v>
      </c>
      <c r="AA902" s="26">
        <f>IF(B902="","",ROUND(SUMIFS(Payments!$G$5:$G$1204,Payments!$I$5:$I$1204,A902,Payments!$E$5:$E$1204,"Deposit"),2))</f>
        <v>0</v>
      </c>
      <c r="AB902" s="26">
        <f>IF(B902="","",ROUND(SUMIFS(Sales!$Y$5:$Y$1204,Sales!$C$5:$C$1204,A902),2))</f>
        <v>0</v>
      </c>
      <c r="AC902" s="38">
        <f>IF(B902="","",IF(M902="Completed","Yes",IF(M902="Cancelled","Yes",IF(M902="No show","Yes","No"))))</f>
        <v>0</v>
      </c>
      <c r="AD902" s="25">
        <f>IF(B902="","",IF(AE902="","",B902-AE902))</f>
        <v>0</v>
      </c>
      <c r="AF902" s="38">
        <f>IF(B902="","",IF(M902&lt;&gt;"Completed","",IF(E902="","No",IF(COUNTIFS(Appointments!$E$5:$E$1204,E902,Appointments!$B$5:$B$1204,"&gt;"&amp;B902,Appointments!$M$5:$M$1204,"&lt;&gt;Cancelled")&gt;0,"Yes","No"))))</f>
        <v>0</v>
      </c>
      <c r="AG902" s="38">
        <f>IF(B902="","",IF(I902="","",IF(D902="","",IF(COUNTIFS($I$5:$I$1204,I902,$B$5:$B$1204,B902,$D$5:$D$1204,"&lt;"&amp;V902,$V$5:$V$1204,"&gt;"&amp;D902,$M$5:$M$1204,"&lt;&gt;Cancelled")&gt;1,"Clash",""))))</f>
        <v>0</v>
      </c>
      <c r="AH902" s="39">
        <f>IF(B902="","",IF(AG902="Clash","Clash - stylist double booked",IF(I902="","Assign - no stylist yet",IF(G902="","Add - no service chosen",IF(M902="No show","No show - charge the fee?",IF(M902="Cancelled","",IF(IF(M902="Completed",AB902&lt;Y902-0.004,FALSE),"Unpaid - nothing rung up for this visit",IF(IF(B902&lt;TodayDate,M902="Booked",FALSE),"Overdue - past date, still only Booked",IF(IF(B902=TodayDate,TRUE,FALSE),"Today",IF(IF(Z902&gt;0,AA902&lt;Z902-0.004,FALSE),"Due - deposit not taken",IF(IF(B902&gt;TodayDate,B902&lt;=TodayDate+2,FALSE),"Confirm - coming up","OK")))))))))))</f>
        <v>0</v>
      </c>
    </row>
    <row r="903" spans="1:34">
      <c r="A903" s="28">
        <f>IF(B903="","",AppointmentPrefix&amp;TEXT(ROW()-4,"0000"))</f>
        <v>0</v>
      </c>
      <c r="C903" s="15">
        <f>IF(B903="","",TEXT(B903,"ddd"))</f>
        <v>0</v>
      </c>
      <c r="F903" s="15">
        <f>IF(E903="","",IFERROR(INDEX(Clients!$B$5:$B$504,MATCH(E903,Clients!$A$5:$A$504,0)),"Walk-in"))</f>
        <v>0</v>
      </c>
      <c r="H903" s="15">
        <f>IF(G903="","",IFERROR(INDEX(Services!$B$5:$B$204,MATCH(G903,Services!$A$5:$A$204,0)),"Not in Services"))</f>
        <v>0</v>
      </c>
      <c r="J903" s="15">
        <f>IF(I903="","",IFERROR(INDEX(Staff!$B$5:$B$44,MATCH(I903,Staff!$A$5:$A$44,0)),"Unassigned"))</f>
        <v>0</v>
      </c>
      <c r="S903" s="15">
        <f>IF(B903="","",TEXT(B903,"yyyy-mm"))</f>
        <v>0</v>
      </c>
      <c r="T903" s="25">
        <f>IF(B903="","",WEEKNUM(B903,2))</f>
        <v>0</v>
      </c>
      <c r="U903" s="25">
        <f>IF(B903="","",IF(K903&lt;&gt;"",K903,IFERROR(INDEX(Services!$E$5:$E$204,MATCH(G903,Services!$A$5:$A$204,0))*1,0)+IFERROR(INDEX(Services!$F$5:$F$204,MATCH(G903,Services!$A$5:$A$204,0))*1,0)))</f>
        <v>0</v>
      </c>
      <c r="V903" s="36">
        <f>IF(B903="","",IF(D903="","",D903+U903/1440))</f>
        <v>0</v>
      </c>
      <c r="W903" s="25">
        <f>IF(B903="","",IF(D903="","",HOUR(D903)))</f>
        <v>0</v>
      </c>
      <c r="X903" s="37">
        <f>IF(B903="","",ROUND(U903/60,2))</f>
        <v>0</v>
      </c>
      <c r="Y903" s="26">
        <f>IF(B903="","",IF(L903&lt;&gt;"",L903,IFERROR(INDEX(Services!$G$5:$G$204,MATCH(G903,Services!$A$5:$A$204,0))*1,0)))</f>
        <v>0</v>
      </c>
      <c r="Z903" s="26">
        <f>IF(B903="","",IF(O903&lt;&gt;"",O903,IF(Y903&gt;=DepositThreshold,ROUND(Y903*DepositPercent,2),0)))</f>
        <v>0</v>
      </c>
      <c r="AA903" s="26">
        <f>IF(B903="","",ROUND(SUMIFS(Payments!$G$5:$G$1204,Payments!$I$5:$I$1204,A903,Payments!$E$5:$E$1204,"Deposit"),2))</f>
        <v>0</v>
      </c>
      <c r="AB903" s="26">
        <f>IF(B903="","",ROUND(SUMIFS(Sales!$Y$5:$Y$1204,Sales!$C$5:$C$1204,A903),2))</f>
        <v>0</v>
      </c>
      <c r="AC903" s="38">
        <f>IF(B903="","",IF(M903="Completed","Yes",IF(M903="Cancelled","Yes",IF(M903="No show","Yes","No"))))</f>
        <v>0</v>
      </c>
      <c r="AD903" s="25">
        <f>IF(B903="","",IF(AE903="","",B903-AE903))</f>
        <v>0</v>
      </c>
      <c r="AF903" s="38">
        <f>IF(B903="","",IF(M903&lt;&gt;"Completed","",IF(E903="","No",IF(COUNTIFS(Appointments!$E$5:$E$1204,E903,Appointments!$B$5:$B$1204,"&gt;"&amp;B903,Appointments!$M$5:$M$1204,"&lt;&gt;Cancelled")&gt;0,"Yes","No"))))</f>
        <v>0</v>
      </c>
      <c r="AG903" s="38">
        <f>IF(B903="","",IF(I903="","",IF(D903="","",IF(COUNTIFS($I$5:$I$1204,I903,$B$5:$B$1204,B903,$D$5:$D$1204,"&lt;"&amp;V903,$V$5:$V$1204,"&gt;"&amp;D903,$M$5:$M$1204,"&lt;&gt;Cancelled")&gt;1,"Clash",""))))</f>
        <v>0</v>
      </c>
      <c r="AH903" s="39">
        <f>IF(B903="","",IF(AG903="Clash","Clash - stylist double booked",IF(I903="","Assign - no stylist yet",IF(G903="","Add - no service chosen",IF(M903="No show","No show - charge the fee?",IF(M903="Cancelled","",IF(IF(M903="Completed",AB903&lt;Y903-0.004,FALSE),"Unpaid - nothing rung up for this visit",IF(IF(B903&lt;TodayDate,M903="Booked",FALSE),"Overdue - past date, still only Booked",IF(IF(B903=TodayDate,TRUE,FALSE),"Today",IF(IF(Z903&gt;0,AA903&lt;Z903-0.004,FALSE),"Due - deposit not taken",IF(IF(B903&gt;TodayDate,B903&lt;=TodayDate+2,FALSE),"Confirm - coming up","OK")))))))))))</f>
        <v>0</v>
      </c>
    </row>
    <row r="904" spans="1:34">
      <c r="A904" s="28">
        <f>IF(B904="","",AppointmentPrefix&amp;TEXT(ROW()-4,"0000"))</f>
        <v>0</v>
      </c>
      <c r="C904" s="15">
        <f>IF(B904="","",TEXT(B904,"ddd"))</f>
        <v>0</v>
      </c>
      <c r="F904" s="15">
        <f>IF(E904="","",IFERROR(INDEX(Clients!$B$5:$B$504,MATCH(E904,Clients!$A$5:$A$504,0)),"Walk-in"))</f>
        <v>0</v>
      </c>
      <c r="H904" s="15">
        <f>IF(G904="","",IFERROR(INDEX(Services!$B$5:$B$204,MATCH(G904,Services!$A$5:$A$204,0)),"Not in Services"))</f>
        <v>0</v>
      </c>
      <c r="J904" s="15">
        <f>IF(I904="","",IFERROR(INDEX(Staff!$B$5:$B$44,MATCH(I904,Staff!$A$5:$A$44,0)),"Unassigned"))</f>
        <v>0</v>
      </c>
      <c r="S904" s="15">
        <f>IF(B904="","",TEXT(B904,"yyyy-mm"))</f>
        <v>0</v>
      </c>
      <c r="T904" s="25">
        <f>IF(B904="","",WEEKNUM(B904,2))</f>
        <v>0</v>
      </c>
      <c r="U904" s="25">
        <f>IF(B904="","",IF(K904&lt;&gt;"",K904,IFERROR(INDEX(Services!$E$5:$E$204,MATCH(G904,Services!$A$5:$A$204,0))*1,0)+IFERROR(INDEX(Services!$F$5:$F$204,MATCH(G904,Services!$A$5:$A$204,0))*1,0)))</f>
        <v>0</v>
      </c>
      <c r="V904" s="36">
        <f>IF(B904="","",IF(D904="","",D904+U904/1440))</f>
        <v>0</v>
      </c>
      <c r="W904" s="25">
        <f>IF(B904="","",IF(D904="","",HOUR(D904)))</f>
        <v>0</v>
      </c>
      <c r="X904" s="37">
        <f>IF(B904="","",ROUND(U904/60,2))</f>
        <v>0</v>
      </c>
      <c r="Y904" s="26">
        <f>IF(B904="","",IF(L904&lt;&gt;"",L904,IFERROR(INDEX(Services!$G$5:$G$204,MATCH(G904,Services!$A$5:$A$204,0))*1,0)))</f>
        <v>0</v>
      </c>
      <c r="Z904" s="26">
        <f>IF(B904="","",IF(O904&lt;&gt;"",O904,IF(Y904&gt;=DepositThreshold,ROUND(Y904*DepositPercent,2),0)))</f>
        <v>0</v>
      </c>
      <c r="AA904" s="26">
        <f>IF(B904="","",ROUND(SUMIFS(Payments!$G$5:$G$1204,Payments!$I$5:$I$1204,A904,Payments!$E$5:$E$1204,"Deposit"),2))</f>
        <v>0</v>
      </c>
      <c r="AB904" s="26">
        <f>IF(B904="","",ROUND(SUMIFS(Sales!$Y$5:$Y$1204,Sales!$C$5:$C$1204,A904),2))</f>
        <v>0</v>
      </c>
      <c r="AC904" s="38">
        <f>IF(B904="","",IF(M904="Completed","Yes",IF(M904="Cancelled","Yes",IF(M904="No show","Yes","No"))))</f>
        <v>0</v>
      </c>
      <c r="AD904" s="25">
        <f>IF(B904="","",IF(AE904="","",B904-AE904))</f>
        <v>0</v>
      </c>
      <c r="AF904" s="38">
        <f>IF(B904="","",IF(M904&lt;&gt;"Completed","",IF(E904="","No",IF(COUNTIFS(Appointments!$E$5:$E$1204,E904,Appointments!$B$5:$B$1204,"&gt;"&amp;B904,Appointments!$M$5:$M$1204,"&lt;&gt;Cancelled")&gt;0,"Yes","No"))))</f>
        <v>0</v>
      </c>
      <c r="AG904" s="38">
        <f>IF(B904="","",IF(I904="","",IF(D904="","",IF(COUNTIFS($I$5:$I$1204,I904,$B$5:$B$1204,B904,$D$5:$D$1204,"&lt;"&amp;V904,$V$5:$V$1204,"&gt;"&amp;D904,$M$5:$M$1204,"&lt;&gt;Cancelled")&gt;1,"Clash",""))))</f>
        <v>0</v>
      </c>
      <c r="AH904" s="39">
        <f>IF(B904="","",IF(AG904="Clash","Clash - stylist double booked",IF(I904="","Assign - no stylist yet",IF(G904="","Add - no service chosen",IF(M904="No show","No show - charge the fee?",IF(M904="Cancelled","",IF(IF(M904="Completed",AB904&lt;Y904-0.004,FALSE),"Unpaid - nothing rung up for this visit",IF(IF(B904&lt;TodayDate,M904="Booked",FALSE),"Overdue - past date, still only Booked",IF(IF(B904=TodayDate,TRUE,FALSE),"Today",IF(IF(Z904&gt;0,AA904&lt;Z904-0.004,FALSE),"Due - deposit not taken",IF(IF(B904&gt;TodayDate,B904&lt;=TodayDate+2,FALSE),"Confirm - coming up","OK")))))))))))</f>
        <v>0</v>
      </c>
    </row>
    <row r="905" spans="1:34">
      <c r="A905" s="28">
        <f>IF(B905="","",AppointmentPrefix&amp;TEXT(ROW()-4,"0000"))</f>
        <v>0</v>
      </c>
      <c r="C905" s="15">
        <f>IF(B905="","",TEXT(B905,"ddd"))</f>
        <v>0</v>
      </c>
      <c r="F905" s="15">
        <f>IF(E905="","",IFERROR(INDEX(Clients!$B$5:$B$504,MATCH(E905,Clients!$A$5:$A$504,0)),"Walk-in"))</f>
        <v>0</v>
      </c>
      <c r="H905" s="15">
        <f>IF(G905="","",IFERROR(INDEX(Services!$B$5:$B$204,MATCH(G905,Services!$A$5:$A$204,0)),"Not in Services"))</f>
        <v>0</v>
      </c>
      <c r="J905" s="15">
        <f>IF(I905="","",IFERROR(INDEX(Staff!$B$5:$B$44,MATCH(I905,Staff!$A$5:$A$44,0)),"Unassigned"))</f>
        <v>0</v>
      </c>
      <c r="S905" s="15">
        <f>IF(B905="","",TEXT(B905,"yyyy-mm"))</f>
        <v>0</v>
      </c>
      <c r="T905" s="25">
        <f>IF(B905="","",WEEKNUM(B905,2))</f>
        <v>0</v>
      </c>
      <c r="U905" s="25">
        <f>IF(B905="","",IF(K905&lt;&gt;"",K905,IFERROR(INDEX(Services!$E$5:$E$204,MATCH(G905,Services!$A$5:$A$204,0))*1,0)+IFERROR(INDEX(Services!$F$5:$F$204,MATCH(G905,Services!$A$5:$A$204,0))*1,0)))</f>
        <v>0</v>
      </c>
      <c r="V905" s="36">
        <f>IF(B905="","",IF(D905="","",D905+U905/1440))</f>
        <v>0</v>
      </c>
      <c r="W905" s="25">
        <f>IF(B905="","",IF(D905="","",HOUR(D905)))</f>
        <v>0</v>
      </c>
      <c r="X905" s="37">
        <f>IF(B905="","",ROUND(U905/60,2))</f>
        <v>0</v>
      </c>
      <c r="Y905" s="26">
        <f>IF(B905="","",IF(L905&lt;&gt;"",L905,IFERROR(INDEX(Services!$G$5:$G$204,MATCH(G905,Services!$A$5:$A$204,0))*1,0)))</f>
        <v>0</v>
      </c>
      <c r="Z905" s="26">
        <f>IF(B905="","",IF(O905&lt;&gt;"",O905,IF(Y905&gt;=DepositThreshold,ROUND(Y905*DepositPercent,2),0)))</f>
        <v>0</v>
      </c>
      <c r="AA905" s="26">
        <f>IF(B905="","",ROUND(SUMIFS(Payments!$G$5:$G$1204,Payments!$I$5:$I$1204,A905,Payments!$E$5:$E$1204,"Deposit"),2))</f>
        <v>0</v>
      </c>
      <c r="AB905" s="26">
        <f>IF(B905="","",ROUND(SUMIFS(Sales!$Y$5:$Y$1204,Sales!$C$5:$C$1204,A905),2))</f>
        <v>0</v>
      </c>
      <c r="AC905" s="38">
        <f>IF(B905="","",IF(M905="Completed","Yes",IF(M905="Cancelled","Yes",IF(M905="No show","Yes","No"))))</f>
        <v>0</v>
      </c>
      <c r="AD905" s="25">
        <f>IF(B905="","",IF(AE905="","",B905-AE905))</f>
        <v>0</v>
      </c>
      <c r="AF905" s="38">
        <f>IF(B905="","",IF(M905&lt;&gt;"Completed","",IF(E905="","No",IF(COUNTIFS(Appointments!$E$5:$E$1204,E905,Appointments!$B$5:$B$1204,"&gt;"&amp;B905,Appointments!$M$5:$M$1204,"&lt;&gt;Cancelled")&gt;0,"Yes","No"))))</f>
        <v>0</v>
      </c>
      <c r="AG905" s="38">
        <f>IF(B905="","",IF(I905="","",IF(D905="","",IF(COUNTIFS($I$5:$I$1204,I905,$B$5:$B$1204,B905,$D$5:$D$1204,"&lt;"&amp;V905,$V$5:$V$1204,"&gt;"&amp;D905,$M$5:$M$1204,"&lt;&gt;Cancelled")&gt;1,"Clash",""))))</f>
        <v>0</v>
      </c>
      <c r="AH905" s="39">
        <f>IF(B905="","",IF(AG905="Clash","Clash - stylist double booked",IF(I905="","Assign - no stylist yet",IF(G905="","Add - no service chosen",IF(M905="No show","No show - charge the fee?",IF(M905="Cancelled","",IF(IF(M905="Completed",AB905&lt;Y905-0.004,FALSE),"Unpaid - nothing rung up for this visit",IF(IF(B905&lt;TodayDate,M905="Booked",FALSE),"Overdue - past date, still only Booked",IF(IF(B905=TodayDate,TRUE,FALSE),"Today",IF(IF(Z905&gt;0,AA905&lt;Z905-0.004,FALSE),"Due - deposit not taken",IF(IF(B905&gt;TodayDate,B905&lt;=TodayDate+2,FALSE),"Confirm - coming up","OK")))))))))))</f>
        <v>0</v>
      </c>
    </row>
    <row r="906" spans="1:34">
      <c r="A906" s="28">
        <f>IF(B906="","",AppointmentPrefix&amp;TEXT(ROW()-4,"0000"))</f>
        <v>0</v>
      </c>
      <c r="C906" s="15">
        <f>IF(B906="","",TEXT(B906,"ddd"))</f>
        <v>0</v>
      </c>
      <c r="F906" s="15">
        <f>IF(E906="","",IFERROR(INDEX(Clients!$B$5:$B$504,MATCH(E906,Clients!$A$5:$A$504,0)),"Walk-in"))</f>
        <v>0</v>
      </c>
      <c r="H906" s="15">
        <f>IF(G906="","",IFERROR(INDEX(Services!$B$5:$B$204,MATCH(G906,Services!$A$5:$A$204,0)),"Not in Services"))</f>
        <v>0</v>
      </c>
      <c r="J906" s="15">
        <f>IF(I906="","",IFERROR(INDEX(Staff!$B$5:$B$44,MATCH(I906,Staff!$A$5:$A$44,0)),"Unassigned"))</f>
        <v>0</v>
      </c>
      <c r="S906" s="15">
        <f>IF(B906="","",TEXT(B906,"yyyy-mm"))</f>
        <v>0</v>
      </c>
      <c r="T906" s="25">
        <f>IF(B906="","",WEEKNUM(B906,2))</f>
        <v>0</v>
      </c>
      <c r="U906" s="25">
        <f>IF(B906="","",IF(K906&lt;&gt;"",K906,IFERROR(INDEX(Services!$E$5:$E$204,MATCH(G906,Services!$A$5:$A$204,0))*1,0)+IFERROR(INDEX(Services!$F$5:$F$204,MATCH(G906,Services!$A$5:$A$204,0))*1,0)))</f>
        <v>0</v>
      </c>
      <c r="V906" s="36">
        <f>IF(B906="","",IF(D906="","",D906+U906/1440))</f>
        <v>0</v>
      </c>
      <c r="W906" s="25">
        <f>IF(B906="","",IF(D906="","",HOUR(D906)))</f>
        <v>0</v>
      </c>
      <c r="X906" s="37">
        <f>IF(B906="","",ROUND(U906/60,2))</f>
        <v>0</v>
      </c>
      <c r="Y906" s="26">
        <f>IF(B906="","",IF(L906&lt;&gt;"",L906,IFERROR(INDEX(Services!$G$5:$G$204,MATCH(G906,Services!$A$5:$A$204,0))*1,0)))</f>
        <v>0</v>
      </c>
      <c r="Z906" s="26">
        <f>IF(B906="","",IF(O906&lt;&gt;"",O906,IF(Y906&gt;=DepositThreshold,ROUND(Y906*DepositPercent,2),0)))</f>
        <v>0</v>
      </c>
      <c r="AA906" s="26">
        <f>IF(B906="","",ROUND(SUMIFS(Payments!$G$5:$G$1204,Payments!$I$5:$I$1204,A906,Payments!$E$5:$E$1204,"Deposit"),2))</f>
        <v>0</v>
      </c>
      <c r="AB906" s="26">
        <f>IF(B906="","",ROUND(SUMIFS(Sales!$Y$5:$Y$1204,Sales!$C$5:$C$1204,A906),2))</f>
        <v>0</v>
      </c>
      <c r="AC906" s="38">
        <f>IF(B906="","",IF(M906="Completed","Yes",IF(M906="Cancelled","Yes",IF(M906="No show","Yes","No"))))</f>
        <v>0</v>
      </c>
      <c r="AD906" s="25">
        <f>IF(B906="","",IF(AE906="","",B906-AE906))</f>
        <v>0</v>
      </c>
      <c r="AF906" s="38">
        <f>IF(B906="","",IF(M906&lt;&gt;"Completed","",IF(E906="","No",IF(COUNTIFS(Appointments!$E$5:$E$1204,E906,Appointments!$B$5:$B$1204,"&gt;"&amp;B906,Appointments!$M$5:$M$1204,"&lt;&gt;Cancelled")&gt;0,"Yes","No"))))</f>
        <v>0</v>
      </c>
      <c r="AG906" s="38">
        <f>IF(B906="","",IF(I906="","",IF(D906="","",IF(COUNTIFS($I$5:$I$1204,I906,$B$5:$B$1204,B906,$D$5:$D$1204,"&lt;"&amp;V906,$V$5:$V$1204,"&gt;"&amp;D906,$M$5:$M$1204,"&lt;&gt;Cancelled")&gt;1,"Clash",""))))</f>
        <v>0</v>
      </c>
      <c r="AH906" s="39">
        <f>IF(B906="","",IF(AG906="Clash","Clash - stylist double booked",IF(I906="","Assign - no stylist yet",IF(G906="","Add - no service chosen",IF(M906="No show","No show - charge the fee?",IF(M906="Cancelled","",IF(IF(M906="Completed",AB906&lt;Y906-0.004,FALSE),"Unpaid - nothing rung up for this visit",IF(IF(B906&lt;TodayDate,M906="Booked",FALSE),"Overdue - past date, still only Booked",IF(IF(B906=TodayDate,TRUE,FALSE),"Today",IF(IF(Z906&gt;0,AA906&lt;Z906-0.004,FALSE),"Due - deposit not taken",IF(IF(B906&gt;TodayDate,B906&lt;=TodayDate+2,FALSE),"Confirm - coming up","OK")))))))))))</f>
        <v>0</v>
      </c>
    </row>
    <row r="907" spans="1:34">
      <c r="A907" s="28">
        <f>IF(B907="","",AppointmentPrefix&amp;TEXT(ROW()-4,"0000"))</f>
        <v>0</v>
      </c>
      <c r="C907" s="15">
        <f>IF(B907="","",TEXT(B907,"ddd"))</f>
        <v>0</v>
      </c>
      <c r="F907" s="15">
        <f>IF(E907="","",IFERROR(INDEX(Clients!$B$5:$B$504,MATCH(E907,Clients!$A$5:$A$504,0)),"Walk-in"))</f>
        <v>0</v>
      </c>
      <c r="H907" s="15">
        <f>IF(G907="","",IFERROR(INDEX(Services!$B$5:$B$204,MATCH(G907,Services!$A$5:$A$204,0)),"Not in Services"))</f>
        <v>0</v>
      </c>
      <c r="J907" s="15">
        <f>IF(I907="","",IFERROR(INDEX(Staff!$B$5:$B$44,MATCH(I907,Staff!$A$5:$A$44,0)),"Unassigned"))</f>
        <v>0</v>
      </c>
      <c r="S907" s="15">
        <f>IF(B907="","",TEXT(B907,"yyyy-mm"))</f>
        <v>0</v>
      </c>
      <c r="T907" s="25">
        <f>IF(B907="","",WEEKNUM(B907,2))</f>
        <v>0</v>
      </c>
      <c r="U907" s="25">
        <f>IF(B907="","",IF(K907&lt;&gt;"",K907,IFERROR(INDEX(Services!$E$5:$E$204,MATCH(G907,Services!$A$5:$A$204,0))*1,0)+IFERROR(INDEX(Services!$F$5:$F$204,MATCH(G907,Services!$A$5:$A$204,0))*1,0)))</f>
        <v>0</v>
      </c>
      <c r="V907" s="36">
        <f>IF(B907="","",IF(D907="","",D907+U907/1440))</f>
        <v>0</v>
      </c>
      <c r="W907" s="25">
        <f>IF(B907="","",IF(D907="","",HOUR(D907)))</f>
        <v>0</v>
      </c>
      <c r="X907" s="37">
        <f>IF(B907="","",ROUND(U907/60,2))</f>
        <v>0</v>
      </c>
      <c r="Y907" s="26">
        <f>IF(B907="","",IF(L907&lt;&gt;"",L907,IFERROR(INDEX(Services!$G$5:$G$204,MATCH(G907,Services!$A$5:$A$204,0))*1,0)))</f>
        <v>0</v>
      </c>
      <c r="Z907" s="26">
        <f>IF(B907="","",IF(O907&lt;&gt;"",O907,IF(Y907&gt;=DepositThreshold,ROUND(Y907*DepositPercent,2),0)))</f>
        <v>0</v>
      </c>
      <c r="AA907" s="26">
        <f>IF(B907="","",ROUND(SUMIFS(Payments!$G$5:$G$1204,Payments!$I$5:$I$1204,A907,Payments!$E$5:$E$1204,"Deposit"),2))</f>
        <v>0</v>
      </c>
      <c r="AB907" s="26">
        <f>IF(B907="","",ROUND(SUMIFS(Sales!$Y$5:$Y$1204,Sales!$C$5:$C$1204,A907),2))</f>
        <v>0</v>
      </c>
      <c r="AC907" s="38">
        <f>IF(B907="","",IF(M907="Completed","Yes",IF(M907="Cancelled","Yes",IF(M907="No show","Yes","No"))))</f>
        <v>0</v>
      </c>
      <c r="AD907" s="25">
        <f>IF(B907="","",IF(AE907="","",B907-AE907))</f>
        <v>0</v>
      </c>
      <c r="AF907" s="38">
        <f>IF(B907="","",IF(M907&lt;&gt;"Completed","",IF(E907="","No",IF(COUNTIFS(Appointments!$E$5:$E$1204,E907,Appointments!$B$5:$B$1204,"&gt;"&amp;B907,Appointments!$M$5:$M$1204,"&lt;&gt;Cancelled")&gt;0,"Yes","No"))))</f>
        <v>0</v>
      </c>
      <c r="AG907" s="38">
        <f>IF(B907="","",IF(I907="","",IF(D907="","",IF(COUNTIFS($I$5:$I$1204,I907,$B$5:$B$1204,B907,$D$5:$D$1204,"&lt;"&amp;V907,$V$5:$V$1204,"&gt;"&amp;D907,$M$5:$M$1204,"&lt;&gt;Cancelled")&gt;1,"Clash",""))))</f>
        <v>0</v>
      </c>
      <c r="AH907" s="39">
        <f>IF(B907="","",IF(AG907="Clash","Clash - stylist double booked",IF(I907="","Assign - no stylist yet",IF(G907="","Add - no service chosen",IF(M907="No show","No show - charge the fee?",IF(M907="Cancelled","",IF(IF(M907="Completed",AB907&lt;Y907-0.004,FALSE),"Unpaid - nothing rung up for this visit",IF(IF(B907&lt;TodayDate,M907="Booked",FALSE),"Overdue - past date, still only Booked",IF(IF(B907=TodayDate,TRUE,FALSE),"Today",IF(IF(Z907&gt;0,AA907&lt;Z907-0.004,FALSE),"Due - deposit not taken",IF(IF(B907&gt;TodayDate,B907&lt;=TodayDate+2,FALSE),"Confirm - coming up","OK")))))))))))</f>
        <v>0</v>
      </c>
    </row>
    <row r="908" spans="1:34">
      <c r="A908" s="28">
        <f>IF(B908="","",AppointmentPrefix&amp;TEXT(ROW()-4,"0000"))</f>
        <v>0</v>
      </c>
      <c r="C908" s="15">
        <f>IF(B908="","",TEXT(B908,"ddd"))</f>
        <v>0</v>
      </c>
      <c r="F908" s="15">
        <f>IF(E908="","",IFERROR(INDEX(Clients!$B$5:$B$504,MATCH(E908,Clients!$A$5:$A$504,0)),"Walk-in"))</f>
        <v>0</v>
      </c>
      <c r="H908" s="15">
        <f>IF(G908="","",IFERROR(INDEX(Services!$B$5:$B$204,MATCH(G908,Services!$A$5:$A$204,0)),"Not in Services"))</f>
        <v>0</v>
      </c>
      <c r="J908" s="15">
        <f>IF(I908="","",IFERROR(INDEX(Staff!$B$5:$B$44,MATCH(I908,Staff!$A$5:$A$44,0)),"Unassigned"))</f>
        <v>0</v>
      </c>
      <c r="S908" s="15">
        <f>IF(B908="","",TEXT(B908,"yyyy-mm"))</f>
        <v>0</v>
      </c>
      <c r="T908" s="25">
        <f>IF(B908="","",WEEKNUM(B908,2))</f>
        <v>0</v>
      </c>
      <c r="U908" s="25">
        <f>IF(B908="","",IF(K908&lt;&gt;"",K908,IFERROR(INDEX(Services!$E$5:$E$204,MATCH(G908,Services!$A$5:$A$204,0))*1,0)+IFERROR(INDEX(Services!$F$5:$F$204,MATCH(G908,Services!$A$5:$A$204,0))*1,0)))</f>
        <v>0</v>
      </c>
      <c r="V908" s="36">
        <f>IF(B908="","",IF(D908="","",D908+U908/1440))</f>
        <v>0</v>
      </c>
      <c r="W908" s="25">
        <f>IF(B908="","",IF(D908="","",HOUR(D908)))</f>
        <v>0</v>
      </c>
      <c r="X908" s="37">
        <f>IF(B908="","",ROUND(U908/60,2))</f>
        <v>0</v>
      </c>
      <c r="Y908" s="26">
        <f>IF(B908="","",IF(L908&lt;&gt;"",L908,IFERROR(INDEX(Services!$G$5:$G$204,MATCH(G908,Services!$A$5:$A$204,0))*1,0)))</f>
        <v>0</v>
      </c>
      <c r="Z908" s="26">
        <f>IF(B908="","",IF(O908&lt;&gt;"",O908,IF(Y908&gt;=DepositThreshold,ROUND(Y908*DepositPercent,2),0)))</f>
        <v>0</v>
      </c>
      <c r="AA908" s="26">
        <f>IF(B908="","",ROUND(SUMIFS(Payments!$G$5:$G$1204,Payments!$I$5:$I$1204,A908,Payments!$E$5:$E$1204,"Deposit"),2))</f>
        <v>0</v>
      </c>
      <c r="AB908" s="26">
        <f>IF(B908="","",ROUND(SUMIFS(Sales!$Y$5:$Y$1204,Sales!$C$5:$C$1204,A908),2))</f>
        <v>0</v>
      </c>
      <c r="AC908" s="38">
        <f>IF(B908="","",IF(M908="Completed","Yes",IF(M908="Cancelled","Yes",IF(M908="No show","Yes","No"))))</f>
        <v>0</v>
      </c>
      <c r="AD908" s="25">
        <f>IF(B908="","",IF(AE908="","",B908-AE908))</f>
        <v>0</v>
      </c>
      <c r="AF908" s="38">
        <f>IF(B908="","",IF(M908&lt;&gt;"Completed","",IF(E908="","No",IF(COUNTIFS(Appointments!$E$5:$E$1204,E908,Appointments!$B$5:$B$1204,"&gt;"&amp;B908,Appointments!$M$5:$M$1204,"&lt;&gt;Cancelled")&gt;0,"Yes","No"))))</f>
        <v>0</v>
      </c>
      <c r="AG908" s="38">
        <f>IF(B908="","",IF(I908="","",IF(D908="","",IF(COUNTIFS($I$5:$I$1204,I908,$B$5:$B$1204,B908,$D$5:$D$1204,"&lt;"&amp;V908,$V$5:$V$1204,"&gt;"&amp;D908,$M$5:$M$1204,"&lt;&gt;Cancelled")&gt;1,"Clash",""))))</f>
        <v>0</v>
      </c>
      <c r="AH908" s="39">
        <f>IF(B908="","",IF(AG908="Clash","Clash - stylist double booked",IF(I908="","Assign - no stylist yet",IF(G908="","Add - no service chosen",IF(M908="No show","No show - charge the fee?",IF(M908="Cancelled","",IF(IF(M908="Completed",AB908&lt;Y908-0.004,FALSE),"Unpaid - nothing rung up for this visit",IF(IF(B908&lt;TodayDate,M908="Booked",FALSE),"Overdue - past date, still only Booked",IF(IF(B908=TodayDate,TRUE,FALSE),"Today",IF(IF(Z908&gt;0,AA908&lt;Z908-0.004,FALSE),"Due - deposit not taken",IF(IF(B908&gt;TodayDate,B908&lt;=TodayDate+2,FALSE),"Confirm - coming up","OK")))))))))))</f>
        <v>0</v>
      </c>
    </row>
    <row r="909" spans="1:34">
      <c r="A909" s="28">
        <f>IF(B909="","",AppointmentPrefix&amp;TEXT(ROW()-4,"0000"))</f>
        <v>0</v>
      </c>
      <c r="C909" s="15">
        <f>IF(B909="","",TEXT(B909,"ddd"))</f>
        <v>0</v>
      </c>
      <c r="F909" s="15">
        <f>IF(E909="","",IFERROR(INDEX(Clients!$B$5:$B$504,MATCH(E909,Clients!$A$5:$A$504,0)),"Walk-in"))</f>
        <v>0</v>
      </c>
      <c r="H909" s="15">
        <f>IF(G909="","",IFERROR(INDEX(Services!$B$5:$B$204,MATCH(G909,Services!$A$5:$A$204,0)),"Not in Services"))</f>
        <v>0</v>
      </c>
      <c r="J909" s="15">
        <f>IF(I909="","",IFERROR(INDEX(Staff!$B$5:$B$44,MATCH(I909,Staff!$A$5:$A$44,0)),"Unassigned"))</f>
        <v>0</v>
      </c>
      <c r="S909" s="15">
        <f>IF(B909="","",TEXT(B909,"yyyy-mm"))</f>
        <v>0</v>
      </c>
      <c r="T909" s="25">
        <f>IF(B909="","",WEEKNUM(B909,2))</f>
        <v>0</v>
      </c>
      <c r="U909" s="25">
        <f>IF(B909="","",IF(K909&lt;&gt;"",K909,IFERROR(INDEX(Services!$E$5:$E$204,MATCH(G909,Services!$A$5:$A$204,0))*1,0)+IFERROR(INDEX(Services!$F$5:$F$204,MATCH(G909,Services!$A$5:$A$204,0))*1,0)))</f>
        <v>0</v>
      </c>
      <c r="V909" s="36">
        <f>IF(B909="","",IF(D909="","",D909+U909/1440))</f>
        <v>0</v>
      </c>
      <c r="W909" s="25">
        <f>IF(B909="","",IF(D909="","",HOUR(D909)))</f>
        <v>0</v>
      </c>
      <c r="X909" s="37">
        <f>IF(B909="","",ROUND(U909/60,2))</f>
        <v>0</v>
      </c>
      <c r="Y909" s="26">
        <f>IF(B909="","",IF(L909&lt;&gt;"",L909,IFERROR(INDEX(Services!$G$5:$G$204,MATCH(G909,Services!$A$5:$A$204,0))*1,0)))</f>
        <v>0</v>
      </c>
      <c r="Z909" s="26">
        <f>IF(B909="","",IF(O909&lt;&gt;"",O909,IF(Y909&gt;=DepositThreshold,ROUND(Y909*DepositPercent,2),0)))</f>
        <v>0</v>
      </c>
      <c r="AA909" s="26">
        <f>IF(B909="","",ROUND(SUMIFS(Payments!$G$5:$G$1204,Payments!$I$5:$I$1204,A909,Payments!$E$5:$E$1204,"Deposit"),2))</f>
        <v>0</v>
      </c>
      <c r="AB909" s="26">
        <f>IF(B909="","",ROUND(SUMIFS(Sales!$Y$5:$Y$1204,Sales!$C$5:$C$1204,A909),2))</f>
        <v>0</v>
      </c>
      <c r="AC909" s="38">
        <f>IF(B909="","",IF(M909="Completed","Yes",IF(M909="Cancelled","Yes",IF(M909="No show","Yes","No"))))</f>
        <v>0</v>
      </c>
      <c r="AD909" s="25">
        <f>IF(B909="","",IF(AE909="","",B909-AE909))</f>
        <v>0</v>
      </c>
      <c r="AF909" s="38">
        <f>IF(B909="","",IF(M909&lt;&gt;"Completed","",IF(E909="","No",IF(COUNTIFS(Appointments!$E$5:$E$1204,E909,Appointments!$B$5:$B$1204,"&gt;"&amp;B909,Appointments!$M$5:$M$1204,"&lt;&gt;Cancelled")&gt;0,"Yes","No"))))</f>
        <v>0</v>
      </c>
      <c r="AG909" s="38">
        <f>IF(B909="","",IF(I909="","",IF(D909="","",IF(COUNTIFS($I$5:$I$1204,I909,$B$5:$B$1204,B909,$D$5:$D$1204,"&lt;"&amp;V909,$V$5:$V$1204,"&gt;"&amp;D909,$M$5:$M$1204,"&lt;&gt;Cancelled")&gt;1,"Clash",""))))</f>
        <v>0</v>
      </c>
      <c r="AH909" s="39">
        <f>IF(B909="","",IF(AG909="Clash","Clash - stylist double booked",IF(I909="","Assign - no stylist yet",IF(G909="","Add - no service chosen",IF(M909="No show","No show - charge the fee?",IF(M909="Cancelled","",IF(IF(M909="Completed",AB909&lt;Y909-0.004,FALSE),"Unpaid - nothing rung up for this visit",IF(IF(B909&lt;TodayDate,M909="Booked",FALSE),"Overdue - past date, still only Booked",IF(IF(B909=TodayDate,TRUE,FALSE),"Today",IF(IF(Z909&gt;0,AA909&lt;Z909-0.004,FALSE),"Due - deposit not taken",IF(IF(B909&gt;TodayDate,B909&lt;=TodayDate+2,FALSE),"Confirm - coming up","OK")))))))))))</f>
        <v>0</v>
      </c>
    </row>
    <row r="910" spans="1:34">
      <c r="A910" s="28">
        <f>IF(B910="","",AppointmentPrefix&amp;TEXT(ROW()-4,"0000"))</f>
        <v>0</v>
      </c>
      <c r="C910" s="15">
        <f>IF(B910="","",TEXT(B910,"ddd"))</f>
        <v>0</v>
      </c>
      <c r="F910" s="15">
        <f>IF(E910="","",IFERROR(INDEX(Clients!$B$5:$B$504,MATCH(E910,Clients!$A$5:$A$504,0)),"Walk-in"))</f>
        <v>0</v>
      </c>
      <c r="H910" s="15">
        <f>IF(G910="","",IFERROR(INDEX(Services!$B$5:$B$204,MATCH(G910,Services!$A$5:$A$204,0)),"Not in Services"))</f>
        <v>0</v>
      </c>
      <c r="J910" s="15">
        <f>IF(I910="","",IFERROR(INDEX(Staff!$B$5:$B$44,MATCH(I910,Staff!$A$5:$A$44,0)),"Unassigned"))</f>
        <v>0</v>
      </c>
      <c r="S910" s="15">
        <f>IF(B910="","",TEXT(B910,"yyyy-mm"))</f>
        <v>0</v>
      </c>
      <c r="T910" s="25">
        <f>IF(B910="","",WEEKNUM(B910,2))</f>
        <v>0</v>
      </c>
      <c r="U910" s="25">
        <f>IF(B910="","",IF(K910&lt;&gt;"",K910,IFERROR(INDEX(Services!$E$5:$E$204,MATCH(G910,Services!$A$5:$A$204,0))*1,0)+IFERROR(INDEX(Services!$F$5:$F$204,MATCH(G910,Services!$A$5:$A$204,0))*1,0)))</f>
        <v>0</v>
      </c>
      <c r="V910" s="36">
        <f>IF(B910="","",IF(D910="","",D910+U910/1440))</f>
        <v>0</v>
      </c>
      <c r="W910" s="25">
        <f>IF(B910="","",IF(D910="","",HOUR(D910)))</f>
        <v>0</v>
      </c>
      <c r="X910" s="37">
        <f>IF(B910="","",ROUND(U910/60,2))</f>
        <v>0</v>
      </c>
      <c r="Y910" s="26">
        <f>IF(B910="","",IF(L910&lt;&gt;"",L910,IFERROR(INDEX(Services!$G$5:$G$204,MATCH(G910,Services!$A$5:$A$204,0))*1,0)))</f>
        <v>0</v>
      </c>
      <c r="Z910" s="26">
        <f>IF(B910="","",IF(O910&lt;&gt;"",O910,IF(Y910&gt;=DepositThreshold,ROUND(Y910*DepositPercent,2),0)))</f>
        <v>0</v>
      </c>
      <c r="AA910" s="26">
        <f>IF(B910="","",ROUND(SUMIFS(Payments!$G$5:$G$1204,Payments!$I$5:$I$1204,A910,Payments!$E$5:$E$1204,"Deposit"),2))</f>
        <v>0</v>
      </c>
      <c r="AB910" s="26">
        <f>IF(B910="","",ROUND(SUMIFS(Sales!$Y$5:$Y$1204,Sales!$C$5:$C$1204,A910),2))</f>
        <v>0</v>
      </c>
      <c r="AC910" s="38">
        <f>IF(B910="","",IF(M910="Completed","Yes",IF(M910="Cancelled","Yes",IF(M910="No show","Yes","No"))))</f>
        <v>0</v>
      </c>
      <c r="AD910" s="25">
        <f>IF(B910="","",IF(AE910="","",B910-AE910))</f>
        <v>0</v>
      </c>
      <c r="AF910" s="38">
        <f>IF(B910="","",IF(M910&lt;&gt;"Completed","",IF(E910="","No",IF(COUNTIFS(Appointments!$E$5:$E$1204,E910,Appointments!$B$5:$B$1204,"&gt;"&amp;B910,Appointments!$M$5:$M$1204,"&lt;&gt;Cancelled")&gt;0,"Yes","No"))))</f>
        <v>0</v>
      </c>
      <c r="AG910" s="38">
        <f>IF(B910="","",IF(I910="","",IF(D910="","",IF(COUNTIFS($I$5:$I$1204,I910,$B$5:$B$1204,B910,$D$5:$D$1204,"&lt;"&amp;V910,$V$5:$V$1204,"&gt;"&amp;D910,$M$5:$M$1204,"&lt;&gt;Cancelled")&gt;1,"Clash",""))))</f>
        <v>0</v>
      </c>
      <c r="AH910" s="39">
        <f>IF(B910="","",IF(AG910="Clash","Clash - stylist double booked",IF(I910="","Assign - no stylist yet",IF(G910="","Add - no service chosen",IF(M910="No show","No show - charge the fee?",IF(M910="Cancelled","",IF(IF(M910="Completed",AB910&lt;Y910-0.004,FALSE),"Unpaid - nothing rung up for this visit",IF(IF(B910&lt;TodayDate,M910="Booked",FALSE),"Overdue - past date, still only Booked",IF(IF(B910=TodayDate,TRUE,FALSE),"Today",IF(IF(Z910&gt;0,AA910&lt;Z910-0.004,FALSE),"Due - deposit not taken",IF(IF(B910&gt;TodayDate,B910&lt;=TodayDate+2,FALSE),"Confirm - coming up","OK")))))))))))</f>
        <v>0</v>
      </c>
    </row>
    <row r="911" spans="1:34">
      <c r="A911" s="28">
        <f>IF(B911="","",AppointmentPrefix&amp;TEXT(ROW()-4,"0000"))</f>
        <v>0</v>
      </c>
      <c r="C911" s="15">
        <f>IF(B911="","",TEXT(B911,"ddd"))</f>
        <v>0</v>
      </c>
      <c r="F911" s="15">
        <f>IF(E911="","",IFERROR(INDEX(Clients!$B$5:$B$504,MATCH(E911,Clients!$A$5:$A$504,0)),"Walk-in"))</f>
        <v>0</v>
      </c>
      <c r="H911" s="15">
        <f>IF(G911="","",IFERROR(INDEX(Services!$B$5:$B$204,MATCH(G911,Services!$A$5:$A$204,0)),"Not in Services"))</f>
        <v>0</v>
      </c>
      <c r="J911" s="15">
        <f>IF(I911="","",IFERROR(INDEX(Staff!$B$5:$B$44,MATCH(I911,Staff!$A$5:$A$44,0)),"Unassigned"))</f>
        <v>0</v>
      </c>
      <c r="S911" s="15">
        <f>IF(B911="","",TEXT(B911,"yyyy-mm"))</f>
        <v>0</v>
      </c>
      <c r="T911" s="25">
        <f>IF(B911="","",WEEKNUM(B911,2))</f>
        <v>0</v>
      </c>
      <c r="U911" s="25">
        <f>IF(B911="","",IF(K911&lt;&gt;"",K911,IFERROR(INDEX(Services!$E$5:$E$204,MATCH(G911,Services!$A$5:$A$204,0))*1,0)+IFERROR(INDEX(Services!$F$5:$F$204,MATCH(G911,Services!$A$5:$A$204,0))*1,0)))</f>
        <v>0</v>
      </c>
      <c r="V911" s="36">
        <f>IF(B911="","",IF(D911="","",D911+U911/1440))</f>
        <v>0</v>
      </c>
      <c r="W911" s="25">
        <f>IF(B911="","",IF(D911="","",HOUR(D911)))</f>
        <v>0</v>
      </c>
      <c r="X911" s="37">
        <f>IF(B911="","",ROUND(U911/60,2))</f>
        <v>0</v>
      </c>
      <c r="Y911" s="26">
        <f>IF(B911="","",IF(L911&lt;&gt;"",L911,IFERROR(INDEX(Services!$G$5:$G$204,MATCH(G911,Services!$A$5:$A$204,0))*1,0)))</f>
        <v>0</v>
      </c>
      <c r="Z911" s="26">
        <f>IF(B911="","",IF(O911&lt;&gt;"",O911,IF(Y911&gt;=DepositThreshold,ROUND(Y911*DepositPercent,2),0)))</f>
        <v>0</v>
      </c>
      <c r="AA911" s="26">
        <f>IF(B911="","",ROUND(SUMIFS(Payments!$G$5:$G$1204,Payments!$I$5:$I$1204,A911,Payments!$E$5:$E$1204,"Deposit"),2))</f>
        <v>0</v>
      </c>
      <c r="AB911" s="26">
        <f>IF(B911="","",ROUND(SUMIFS(Sales!$Y$5:$Y$1204,Sales!$C$5:$C$1204,A911),2))</f>
        <v>0</v>
      </c>
      <c r="AC911" s="38">
        <f>IF(B911="","",IF(M911="Completed","Yes",IF(M911="Cancelled","Yes",IF(M911="No show","Yes","No"))))</f>
        <v>0</v>
      </c>
      <c r="AD911" s="25">
        <f>IF(B911="","",IF(AE911="","",B911-AE911))</f>
        <v>0</v>
      </c>
      <c r="AF911" s="38">
        <f>IF(B911="","",IF(M911&lt;&gt;"Completed","",IF(E911="","No",IF(COUNTIFS(Appointments!$E$5:$E$1204,E911,Appointments!$B$5:$B$1204,"&gt;"&amp;B911,Appointments!$M$5:$M$1204,"&lt;&gt;Cancelled")&gt;0,"Yes","No"))))</f>
        <v>0</v>
      </c>
      <c r="AG911" s="38">
        <f>IF(B911="","",IF(I911="","",IF(D911="","",IF(COUNTIFS($I$5:$I$1204,I911,$B$5:$B$1204,B911,$D$5:$D$1204,"&lt;"&amp;V911,$V$5:$V$1204,"&gt;"&amp;D911,$M$5:$M$1204,"&lt;&gt;Cancelled")&gt;1,"Clash",""))))</f>
        <v>0</v>
      </c>
      <c r="AH911" s="39">
        <f>IF(B911="","",IF(AG911="Clash","Clash - stylist double booked",IF(I911="","Assign - no stylist yet",IF(G911="","Add - no service chosen",IF(M911="No show","No show - charge the fee?",IF(M911="Cancelled","",IF(IF(M911="Completed",AB911&lt;Y911-0.004,FALSE),"Unpaid - nothing rung up for this visit",IF(IF(B911&lt;TodayDate,M911="Booked",FALSE),"Overdue - past date, still only Booked",IF(IF(B911=TodayDate,TRUE,FALSE),"Today",IF(IF(Z911&gt;0,AA911&lt;Z911-0.004,FALSE),"Due - deposit not taken",IF(IF(B911&gt;TodayDate,B911&lt;=TodayDate+2,FALSE),"Confirm - coming up","OK")))))))))))</f>
        <v>0</v>
      </c>
    </row>
    <row r="912" spans="1:34">
      <c r="A912" s="28">
        <f>IF(B912="","",AppointmentPrefix&amp;TEXT(ROW()-4,"0000"))</f>
        <v>0</v>
      </c>
      <c r="C912" s="15">
        <f>IF(B912="","",TEXT(B912,"ddd"))</f>
        <v>0</v>
      </c>
      <c r="F912" s="15">
        <f>IF(E912="","",IFERROR(INDEX(Clients!$B$5:$B$504,MATCH(E912,Clients!$A$5:$A$504,0)),"Walk-in"))</f>
        <v>0</v>
      </c>
      <c r="H912" s="15">
        <f>IF(G912="","",IFERROR(INDEX(Services!$B$5:$B$204,MATCH(G912,Services!$A$5:$A$204,0)),"Not in Services"))</f>
        <v>0</v>
      </c>
      <c r="J912" s="15">
        <f>IF(I912="","",IFERROR(INDEX(Staff!$B$5:$B$44,MATCH(I912,Staff!$A$5:$A$44,0)),"Unassigned"))</f>
        <v>0</v>
      </c>
      <c r="S912" s="15">
        <f>IF(B912="","",TEXT(B912,"yyyy-mm"))</f>
        <v>0</v>
      </c>
      <c r="T912" s="25">
        <f>IF(B912="","",WEEKNUM(B912,2))</f>
        <v>0</v>
      </c>
      <c r="U912" s="25">
        <f>IF(B912="","",IF(K912&lt;&gt;"",K912,IFERROR(INDEX(Services!$E$5:$E$204,MATCH(G912,Services!$A$5:$A$204,0))*1,0)+IFERROR(INDEX(Services!$F$5:$F$204,MATCH(G912,Services!$A$5:$A$204,0))*1,0)))</f>
        <v>0</v>
      </c>
      <c r="V912" s="36">
        <f>IF(B912="","",IF(D912="","",D912+U912/1440))</f>
        <v>0</v>
      </c>
      <c r="W912" s="25">
        <f>IF(B912="","",IF(D912="","",HOUR(D912)))</f>
        <v>0</v>
      </c>
      <c r="X912" s="37">
        <f>IF(B912="","",ROUND(U912/60,2))</f>
        <v>0</v>
      </c>
      <c r="Y912" s="26">
        <f>IF(B912="","",IF(L912&lt;&gt;"",L912,IFERROR(INDEX(Services!$G$5:$G$204,MATCH(G912,Services!$A$5:$A$204,0))*1,0)))</f>
        <v>0</v>
      </c>
      <c r="Z912" s="26">
        <f>IF(B912="","",IF(O912&lt;&gt;"",O912,IF(Y912&gt;=DepositThreshold,ROUND(Y912*DepositPercent,2),0)))</f>
        <v>0</v>
      </c>
      <c r="AA912" s="26">
        <f>IF(B912="","",ROUND(SUMIFS(Payments!$G$5:$G$1204,Payments!$I$5:$I$1204,A912,Payments!$E$5:$E$1204,"Deposit"),2))</f>
        <v>0</v>
      </c>
      <c r="AB912" s="26">
        <f>IF(B912="","",ROUND(SUMIFS(Sales!$Y$5:$Y$1204,Sales!$C$5:$C$1204,A912),2))</f>
        <v>0</v>
      </c>
      <c r="AC912" s="38">
        <f>IF(B912="","",IF(M912="Completed","Yes",IF(M912="Cancelled","Yes",IF(M912="No show","Yes","No"))))</f>
        <v>0</v>
      </c>
      <c r="AD912" s="25">
        <f>IF(B912="","",IF(AE912="","",B912-AE912))</f>
        <v>0</v>
      </c>
      <c r="AF912" s="38">
        <f>IF(B912="","",IF(M912&lt;&gt;"Completed","",IF(E912="","No",IF(COUNTIFS(Appointments!$E$5:$E$1204,E912,Appointments!$B$5:$B$1204,"&gt;"&amp;B912,Appointments!$M$5:$M$1204,"&lt;&gt;Cancelled")&gt;0,"Yes","No"))))</f>
        <v>0</v>
      </c>
      <c r="AG912" s="38">
        <f>IF(B912="","",IF(I912="","",IF(D912="","",IF(COUNTIFS($I$5:$I$1204,I912,$B$5:$B$1204,B912,$D$5:$D$1204,"&lt;"&amp;V912,$V$5:$V$1204,"&gt;"&amp;D912,$M$5:$M$1204,"&lt;&gt;Cancelled")&gt;1,"Clash",""))))</f>
        <v>0</v>
      </c>
      <c r="AH912" s="39">
        <f>IF(B912="","",IF(AG912="Clash","Clash - stylist double booked",IF(I912="","Assign - no stylist yet",IF(G912="","Add - no service chosen",IF(M912="No show","No show - charge the fee?",IF(M912="Cancelled","",IF(IF(M912="Completed",AB912&lt;Y912-0.004,FALSE),"Unpaid - nothing rung up for this visit",IF(IF(B912&lt;TodayDate,M912="Booked",FALSE),"Overdue - past date, still only Booked",IF(IF(B912=TodayDate,TRUE,FALSE),"Today",IF(IF(Z912&gt;0,AA912&lt;Z912-0.004,FALSE),"Due - deposit not taken",IF(IF(B912&gt;TodayDate,B912&lt;=TodayDate+2,FALSE),"Confirm - coming up","OK")))))))))))</f>
        <v>0</v>
      </c>
    </row>
    <row r="913" spans="1:34">
      <c r="A913" s="28">
        <f>IF(B913="","",AppointmentPrefix&amp;TEXT(ROW()-4,"0000"))</f>
        <v>0</v>
      </c>
      <c r="C913" s="15">
        <f>IF(B913="","",TEXT(B913,"ddd"))</f>
        <v>0</v>
      </c>
      <c r="F913" s="15">
        <f>IF(E913="","",IFERROR(INDEX(Clients!$B$5:$B$504,MATCH(E913,Clients!$A$5:$A$504,0)),"Walk-in"))</f>
        <v>0</v>
      </c>
      <c r="H913" s="15">
        <f>IF(G913="","",IFERROR(INDEX(Services!$B$5:$B$204,MATCH(G913,Services!$A$5:$A$204,0)),"Not in Services"))</f>
        <v>0</v>
      </c>
      <c r="J913" s="15">
        <f>IF(I913="","",IFERROR(INDEX(Staff!$B$5:$B$44,MATCH(I913,Staff!$A$5:$A$44,0)),"Unassigned"))</f>
        <v>0</v>
      </c>
      <c r="S913" s="15">
        <f>IF(B913="","",TEXT(B913,"yyyy-mm"))</f>
        <v>0</v>
      </c>
      <c r="T913" s="25">
        <f>IF(B913="","",WEEKNUM(B913,2))</f>
        <v>0</v>
      </c>
      <c r="U913" s="25">
        <f>IF(B913="","",IF(K913&lt;&gt;"",K913,IFERROR(INDEX(Services!$E$5:$E$204,MATCH(G913,Services!$A$5:$A$204,0))*1,0)+IFERROR(INDEX(Services!$F$5:$F$204,MATCH(G913,Services!$A$5:$A$204,0))*1,0)))</f>
        <v>0</v>
      </c>
      <c r="V913" s="36">
        <f>IF(B913="","",IF(D913="","",D913+U913/1440))</f>
        <v>0</v>
      </c>
      <c r="W913" s="25">
        <f>IF(B913="","",IF(D913="","",HOUR(D913)))</f>
        <v>0</v>
      </c>
      <c r="X913" s="37">
        <f>IF(B913="","",ROUND(U913/60,2))</f>
        <v>0</v>
      </c>
      <c r="Y913" s="26">
        <f>IF(B913="","",IF(L913&lt;&gt;"",L913,IFERROR(INDEX(Services!$G$5:$G$204,MATCH(G913,Services!$A$5:$A$204,0))*1,0)))</f>
        <v>0</v>
      </c>
      <c r="Z913" s="26">
        <f>IF(B913="","",IF(O913&lt;&gt;"",O913,IF(Y913&gt;=DepositThreshold,ROUND(Y913*DepositPercent,2),0)))</f>
        <v>0</v>
      </c>
      <c r="AA913" s="26">
        <f>IF(B913="","",ROUND(SUMIFS(Payments!$G$5:$G$1204,Payments!$I$5:$I$1204,A913,Payments!$E$5:$E$1204,"Deposit"),2))</f>
        <v>0</v>
      </c>
      <c r="AB913" s="26">
        <f>IF(B913="","",ROUND(SUMIFS(Sales!$Y$5:$Y$1204,Sales!$C$5:$C$1204,A913),2))</f>
        <v>0</v>
      </c>
      <c r="AC913" s="38">
        <f>IF(B913="","",IF(M913="Completed","Yes",IF(M913="Cancelled","Yes",IF(M913="No show","Yes","No"))))</f>
        <v>0</v>
      </c>
      <c r="AD913" s="25">
        <f>IF(B913="","",IF(AE913="","",B913-AE913))</f>
        <v>0</v>
      </c>
      <c r="AF913" s="38">
        <f>IF(B913="","",IF(M913&lt;&gt;"Completed","",IF(E913="","No",IF(COUNTIFS(Appointments!$E$5:$E$1204,E913,Appointments!$B$5:$B$1204,"&gt;"&amp;B913,Appointments!$M$5:$M$1204,"&lt;&gt;Cancelled")&gt;0,"Yes","No"))))</f>
        <v>0</v>
      </c>
      <c r="AG913" s="38">
        <f>IF(B913="","",IF(I913="","",IF(D913="","",IF(COUNTIFS($I$5:$I$1204,I913,$B$5:$B$1204,B913,$D$5:$D$1204,"&lt;"&amp;V913,$V$5:$V$1204,"&gt;"&amp;D913,$M$5:$M$1204,"&lt;&gt;Cancelled")&gt;1,"Clash",""))))</f>
        <v>0</v>
      </c>
      <c r="AH913" s="39">
        <f>IF(B913="","",IF(AG913="Clash","Clash - stylist double booked",IF(I913="","Assign - no stylist yet",IF(G913="","Add - no service chosen",IF(M913="No show","No show - charge the fee?",IF(M913="Cancelled","",IF(IF(M913="Completed",AB913&lt;Y913-0.004,FALSE),"Unpaid - nothing rung up for this visit",IF(IF(B913&lt;TodayDate,M913="Booked",FALSE),"Overdue - past date, still only Booked",IF(IF(B913=TodayDate,TRUE,FALSE),"Today",IF(IF(Z913&gt;0,AA913&lt;Z913-0.004,FALSE),"Due - deposit not taken",IF(IF(B913&gt;TodayDate,B913&lt;=TodayDate+2,FALSE),"Confirm - coming up","OK")))))))))))</f>
        <v>0</v>
      </c>
    </row>
    <row r="914" spans="1:34">
      <c r="A914" s="28">
        <f>IF(B914="","",AppointmentPrefix&amp;TEXT(ROW()-4,"0000"))</f>
        <v>0</v>
      </c>
      <c r="C914" s="15">
        <f>IF(B914="","",TEXT(B914,"ddd"))</f>
        <v>0</v>
      </c>
      <c r="F914" s="15">
        <f>IF(E914="","",IFERROR(INDEX(Clients!$B$5:$B$504,MATCH(E914,Clients!$A$5:$A$504,0)),"Walk-in"))</f>
        <v>0</v>
      </c>
      <c r="H914" s="15">
        <f>IF(G914="","",IFERROR(INDEX(Services!$B$5:$B$204,MATCH(G914,Services!$A$5:$A$204,0)),"Not in Services"))</f>
        <v>0</v>
      </c>
      <c r="J914" s="15">
        <f>IF(I914="","",IFERROR(INDEX(Staff!$B$5:$B$44,MATCH(I914,Staff!$A$5:$A$44,0)),"Unassigned"))</f>
        <v>0</v>
      </c>
      <c r="S914" s="15">
        <f>IF(B914="","",TEXT(B914,"yyyy-mm"))</f>
        <v>0</v>
      </c>
      <c r="T914" s="25">
        <f>IF(B914="","",WEEKNUM(B914,2))</f>
        <v>0</v>
      </c>
      <c r="U914" s="25">
        <f>IF(B914="","",IF(K914&lt;&gt;"",K914,IFERROR(INDEX(Services!$E$5:$E$204,MATCH(G914,Services!$A$5:$A$204,0))*1,0)+IFERROR(INDEX(Services!$F$5:$F$204,MATCH(G914,Services!$A$5:$A$204,0))*1,0)))</f>
        <v>0</v>
      </c>
      <c r="V914" s="36">
        <f>IF(B914="","",IF(D914="","",D914+U914/1440))</f>
        <v>0</v>
      </c>
      <c r="W914" s="25">
        <f>IF(B914="","",IF(D914="","",HOUR(D914)))</f>
        <v>0</v>
      </c>
      <c r="X914" s="37">
        <f>IF(B914="","",ROUND(U914/60,2))</f>
        <v>0</v>
      </c>
      <c r="Y914" s="26">
        <f>IF(B914="","",IF(L914&lt;&gt;"",L914,IFERROR(INDEX(Services!$G$5:$G$204,MATCH(G914,Services!$A$5:$A$204,0))*1,0)))</f>
        <v>0</v>
      </c>
      <c r="Z914" s="26">
        <f>IF(B914="","",IF(O914&lt;&gt;"",O914,IF(Y914&gt;=DepositThreshold,ROUND(Y914*DepositPercent,2),0)))</f>
        <v>0</v>
      </c>
      <c r="AA914" s="26">
        <f>IF(B914="","",ROUND(SUMIFS(Payments!$G$5:$G$1204,Payments!$I$5:$I$1204,A914,Payments!$E$5:$E$1204,"Deposit"),2))</f>
        <v>0</v>
      </c>
      <c r="AB914" s="26">
        <f>IF(B914="","",ROUND(SUMIFS(Sales!$Y$5:$Y$1204,Sales!$C$5:$C$1204,A914),2))</f>
        <v>0</v>
      </c>
      <c r="AC914" s="38">
        <f>IF(B914="","",IF(M914="Completed","Yes",IF(M914="Cancelled","Yes",IF(M914="No show","Yes","No"))))</f>
        <v>0</v>
      </c>
      <c r="AD914" s="25">
        <f>IF(B914="","",IF(AE914="","",B914-AE914))</f>
        <v>0</v>
      </c>
      <c r="AF914" s="38">
        <f>IF(B914="","",IF(M914&lt;&gt;"Completed","",IF(E914="","No",IF(COUNTIFS(Appointments!$E$5:$E$1204,E914,Appointments!$B$5:$B$1204,"&gt;"&amp;B914,Appointments!$M$5:$M$1204,"&lt;&gt;Cancelled")&gt;0,"Yes","No"))))</f>
        <v>0</v>
      </c>
      <c r="AG914" s="38">
        <f>IF(B914="","",IF(I914="","",IF(D914="","",IF(COUNTIFS($I$5:$I$1204,I914,$B$5:$B$1204,B914,$D$5:$D$1204,"&lt;"&amp;V914,$V$5:$V$1204,"&gt;"&amp;D914,$M$5:$M$1204,"&lt;&gt;Cancelled")&gt;1,"Clash",""))))</f>
        <v>0</v>
      </c>
      <c r="AH914" s="39">
        <f>IF(B914="","",IF(AG914="Clash","Clash - stylist double booked",IF(I914="","Assign - no stylist yet",IF(G914="","Add - no service chosen",IF(M914="No show","No show - charge the fee?",IF(M914="Cancelled","",IF(IF(M914="Completed",AB914&lt;Y914-0.004,FALSE),"Unpaid - nothing rung up for this visit",IF(IF(B914&lt;TodayDate,M914="Booked",FALSE),"Overdue - past date, still only Booked",IF(IF(B914=TodayDate,TRUE,FALSE),"Today",IF(IF(Z914&gt;0,AA914&lt;Z914-0.004,FALSE),"Due - deposit not taken",IF(IF(B914&gt;TodayDate,B914&lt;=TodayDate+2,FALSE),"Confirm - coming up","OK")))))))))))</f>
        <v>0</v>
      </c>
    </row>
    <row r="915" spans="1:34">
      <c r="A915" s="28">
        <f>IF(B915="","",AppointmentPrefix&amp;TEXT(ROW()-4,"0000"))</f>
        <v>0</v>
      </c>
      <c r="C915" s="15">
        <f>IF(B915="","",TEXT(B915,"ddd"))</f>
        <v>0</v>
      </c>
      <c r="F915" s="15">
        <f>IF(E915="","",IFERROR(INDEX(Clients!$B$5:$B$504,MATCH(E915,Clients!$A$5:$A$504,0)),"Walk-in"))</f>
        <v>0</v>
      </c>
      <c r="H915" s="15">
        <f>IF(G915="","",IFERROR(INDEX(Services!$B$5:$B$204,MATCH(G915,Services!$A$5:$A$204,0)),"Not in Services"))</f>
        <v>0</v>
      </c>
      <c r="J915" s="15">
        <f>IF(I915="","",IFERROR(INDEX(Staff!$B$5:$B$44,MATCH(I915,Staff!$A$5:$A$44,0)),"Unassigned"))</f>
        <v>0</v>
      </c>
      <c r="S915" s="15">
        <f>IF(B915="","",TEXT(B915,"yyyy-mm"))</f>
        <v>0</v>
      </c>
      <c r="T915" s="25">
        <f>IF(B915="","",WEEKNUM(B915,2))</f>
        <v>0</v>
      </c>
      <c r="U915" s="25">
        <f>IF(B915="","",IF(K915&lt;&gt;"",K915,IFERROR(INDEX(Services!$E$5:$E$204,MATCH(G915,Services!$A$5:$A$204,0))*1,0)+IFERROR(INDEX(Services!$F$5:$F$204,MATCH(G915,Services!$A$5:$A$204,0))*1,0)))</f>
        <v>0</v>
      </c>
      <c r="V915" s="36">
        <f>IF(B915="","",IF(D915="","",D915+U915/1440))</f>
        <v>0</v>
      </c>
      <c r="W915" s="25">
        <f>IF(B915="","",IF(D915="","",HOUR(D915)))</f>
        <v>0</v>
      </c>
      <c r="X915" s="37">
        <f>IF(B915="","",ROUND(U915/60,2))</f>
        <v>0</v>
      </c>
      <c r="Y915" s="26">
        <f>IF(B915="","",IF(L915&lt;&gt;"",L915,IFERROR(INDEX(Services!$G$5:$G$204,MATCH(G915,Services!$A$5:$A$204,0))*1,0)))</f>
        <v>0</v>
      </c>
      <c r="Z915" s="26">
        <f>IF(B915="","",IF(O915&lt;&gt;"",O915,IF(Y915&gt;=DepositThreshold,ROUND(Y915*DepositPercent,2),0)))</f>
        <v>0</v>
      </c>
      <c r="AA915" s="26">
        <f>IF(B915="","",ROUND(SUMIFS(Payments!$G$5:$G$1204,Payments!$I$5:$I$1204,A915,Payments!$E$5:$E$1204,"Deposit"),2))</f>
        <v>0</v>
      </c>
      <c r="AB915" s="26">
        <f>IF(B915="","",ROUND(SUMIFS(Sales!$Y$5:$Y$1204,Sales!$C$5:$C$1204,A915),2))</f>
        <v>0</v>
      </c>
      <c r="AC915" s="38">
        <f>IF(B915="","",IF(M915="Completed","Yes",IF(M915="Cancelled","Yes",IF(M915="No show","Yes","No"))))</f>
        <v>0</v>
      </c>
      <c r="AD915" s="25">
        <f>IF(B915="","",IF(AE915="","",B915-AE915))</f>
        <v>0</v>
      </c>
      <c r="AF915" s="38">
        <f>IF(B915="","",IF(M915&lt;&gt;"Completed","",IF(E915="","No",IF(COUNTIFS(Appointments!$E$5:$E$1204,E915,Appointments!$B$5:$B$1204,"&gt;"&amp;B915,Appointments!$M$5:$M$1204,"&lt;&gt;Cancelled")&gt;0,"Yes","No"))))</f>
        <v>0</v>
      </c>
      <c r="AG915" s="38">
        <f>IF(B915="","",IF(I915="","",IF(D915="","",IF(COUNTIFS($I$5:$I$1204,I915,$B$5:$B$1204,B915,$D$5:$D$1204,"&lt;"&amp;V915,$V$5:$V$1204,"&gt;"&amp;D915,$M$5:$M$1204,"&lt;&gt;Cancelled")&gt;1,"Clash",""))))</f>
        <v>0</v>
      </c>
      <c r="AH915" s="39">
        <f>IF(B915="","",IF(AG915="Clash","Clash - stylist double booked",IF(I915="","Assign - no stylist yet",IF(G915="","Add - no service chosen",IF(M915="No show","No show - charge the fee?",IF(M915="Cancelled","",IF(IF(M915="Completed",AB915&lt;Y915-0.004,FALSE),"Unpaid - nothing rung up for this visit",IF(IF(B915&lt;TodayDate,M915="Booked",FALSE),"Overdue - past date, still only Booked",IF(IF(B915=TodayDate,TRUE,FALSE),"Today",IF(IF(Z915&gt;0,AA915&lt;Z915-0.004,FALSE),"Due - deposit not taken",IF(IF(B915&gt;TodayDate,B915&lt;=TodayDate+2,FALSE),"Confirm - coming up","OK")))))))))))</f>
        <v>0</v>
      </c>
    </row>
    <row r="916" spans="1:34">
      <c r="A916" s="28">
        <f>IF(B916="","",AppointmentPrefix&amp;TEXT(ROW()-4,"0000"))</f>
        <v>0</v>
      </c>
      <c r="C916" s="15">
        <f>IF(B916="","",TEXT(B916,"ddd"))</f>
        <v>0</v>
      </c>
      <c r="F916" s="15">
        <f>IF(E916="","",IFERROR(INDEX(Clients!$B$5:$B$504,MATCH(E916,Clients!$A$5:$A$504,0)),"Walk-in"))</f>
        <v>0</v>
      </c>
      <c r="H916" s="15">
        <f>IF(G916="","",IFERROR(INDEX(Services!$B$5:$B$204,MATCH(G916,Services!$A$5:$A$204,0)),"Not in Services"))</f>
        <v>0</v>
      </c>
      <c r="J916" s="15">
        <f>IF(I916="","",IFERROR(INDEX(Staff!$B$5:$B$44,MATCH(I916,Staff!$A$5:$A$44,0)),"Unassigned"))</f>
        <v>0</v>
      </c>
      <c r="S916" s="15">
        <f>IF(B916="","",TEXT(B916,"yyyy-mm"))</f>
        <v>0</v>
      </c>
      <c r="T916" s="25">
        <f>IF(B916="","",WEEKNUM(B916,2))</f>
        <v>0</v>
      </c>
      <c r="U916" s="25">
        <f>IF(B916="","",IF(K916&lt;&gt;"",K916,IFERROR(INDEX(Services!$E$5:$E$204,MATCH(G916,Services!$A$5:$A$204,0))*1,0)+IFERROR(INDEX(Services!$F$5:$F$204,MATCH(G916,Services!$A$5:$A$204,0))*1,0)))</f>
        <v>0</v>
      </c>
      <c r="V916" s="36">
        <f>IF(B916="","",IF(D916="","",D916+U916/1440))</f>
        <v>0</v>
      </c>
      <c r="W916" s="25">
        <f>IF(B916="","",IF(D916="","",HOUR(D916)))</f>
        <v>0</v>
      </c>
      <c r="X916" s="37">
        <f>IF(B916="","",ROUND(U916/60,2))</f>
        <v>0</v>
      </c>
      <c r="Y916" s="26">
        <f>IF(B916="","",IF(L916&lt;&gt;"",L916,IFERROR(INDEX(Services!$G$5:$G$204,MATCH(G916,Services!$A$5:$A$204,0))*1,0)))</f>
        <v>0</v>
      </c>
      <c r="Z916" s="26">
        <f>IF(B916="","",IF(O916&lt;&gt;"",O916,IF(Y916&gt;=DepositThreshold,ROUND(Y916*DepositPercent,2),0)))</f>
        <v>0</v>
      </c>
      <c r="AA916" s="26">
        <f>IF(B916="","",ROUND(SUMIFS(Payments!$G$5:$G$1204,Payments!$I$5:$I$1204,A916,Payments!$E$5:$E$1204,"Deposit"),2))</f>
        <v>0</v>
      </c>
      <c r="AB916" s="26">
        <f>IF(B916="","",ROUND(SUMIFS(Sales!$Y$5:$Y$1204,Sales!$C$5:$C$1204,A916),2))</f>
        <v>0</v>
      </c>
      <c r="AC916" s="38">
        <f>IF(B916="","",IF(M916="Completed","Yes",IF(M916="Cancelled","Yes",IF(M916="No show","Yes","No"))))</f>
        <v>0</v>
      </c>
      <c r="AD916" s="25">
        <f>IF(B916="","",IF(AE916="","",B916-AE916))</f>
        <v>0</v>
      </c>
      <c r="AF916" s="38">
        <f>IF(B916="","",IF(M916&lt;&gt;"Completed","",IF(E916="","No",IF(COUNTIFS(Appointments!$E$5:$E$1204,E916,Appointments!$B$5:$B$1204,"&gt;"&amp;B916,Appointments!$M$5:$M$1204,"&lt;&gt;Cancelled")&gt;0,"Yes","No"))))</f>
        <v>0</v>
      </c>
      <c r="AG916" s="38">
        <f>IF(B916="","",IF(I916="","",IF(D916="","",IF(COUNTIFS($I$5:$I$1204,I916,$B$5:$B$1204,B916,$D$5:$D$1204,"&lt;"&amp;V916,$V$5:$V$1204,"&gt;"&amp;D916,$M$5:$M$1204,"&lt;&gt;Cancelled")&gt;1,"Clash",""))))</f>
        <v>0</v>
      </c>
      <c r="AH916" s="39">
        <f>IF(B916="","",IF(AG916="Clash","Clash - stylist double booked",IF(I916="","Assign - no stylist yet",IF(G916="","Add - no service chosen",IF(M916="No show","No show - charge the fee?",IF(M916="Cancelled","",IF(IF(M916="Completed",AB916&lt;Y916-0.004,FALSE),"Unpaid - nothing rung up for this visit",IF(IF(B916&lt;TodayDate,M916="Booked",FALSE),"Overdue - past date, still only Booked",IF(IF(B916=TodayDate,TRUE,FALSE),"Today",IF(IF(Z916&gt;0,AA916&lt;Z916-0.004,FALSE),"Due - deposit not taken",IF(IF(B916&gt;TodayDate,B916&lt;=TodayDate+2,FALSE),"Confirm - coming up","OK")))))))))))</f>
        <v>0</v>
      </c>
    </row>
    <row r="917" spans="1:34">
      <c r="A917" s="28">
        <f>IF(B917="","",AppointmentPrefix&amp;TEXT(ROW()-4,"0000"))</f>
        <v>0</v>
      </c>
      <c r="C917" s="15">
        <f>IF(B917="","",TEXT(B917,"ddd"))</f>
        <v>0</v>
      </c>
      <c r="F917" s="15">
        <f>IF(E917="","",IFERROR(INDEX(Clients!$B$5:$B$504,MATCH(E917,Clients!$A$5:$A$504,0)),"Walk-in"))</f>
        <v>0</v>
      </c>
      <c r="H917" s="15">
        <f>IF(G917="","",IFERROR(INDEX(Services!$B$5:$B$204,MATCH(G917,Services!$A$5:$A$204,0)),"Not in Services"))</f>
        <v>0</v>
      </c>
      <c r="J917" s="15">
        <f>IF(I917="","",IFERROR(INDEX(Staff!$B$5:$B$44,MATCH(I917,Staff!$A$5:$A$44,0)),"Unassigned"))</f>
        <v>0</v>
      </c>
      <c r="S917" s="15">
        <f>IF(B917="","",TEXT(B917,"yyyy-mm"))</f>
        <v>0</v>
      </c>
      <c r="T917" s="25">
        <f>IF(B917="","",WEEKNUM(B917,2))</f>
        <v>0</v>
      </c>
      <c r="U917" s="25">
        <f>IF(B917="","",IF(K917&lt;&gt;"",K917,IFERROR(INDEX(Services!$E$5:$E$204,MATCH(G917,Services!$A$5:$A$204,0))*1,0)+IFERROR(INDEX(Services!$F$5:$F$204,MATCH(G917,Services!$A$5:$A$204,0))*1,0)))</f>
        <v>0</v>
      </c>
      <c r="V917" s="36">
        <f>IF(B917="","",IF(D917="","",D917+U917/1440))</f>
        <v>0</v>
      </c>
      <c r="W917" s="25">
        <f>IF(B917="","",IF(D917="","",HOUR(D917)))</f>
        <v>0</v>
      </c>
      <c r="X917" s="37">
        <f>IF(B917="","",ROUND(U917/60,2))</f>
        <v>0</v>
      </c>
      <c r="Y917" s="26">
        <f>IF(B917="","",IF(L917&lt;&gt;"",L917,IFERROR(INDEX(Services!$G$5:$G$204,MATCH(G917,Services!$A$5:$A$204,0))*1,0)))</f>
        <v>0</v>
      </c>
      <c r="Z917" s="26">
        <f>IF(B917="","",IF(O917&lt;&gt;"",O917,IF(Y917&gt;=DepositThreshold,ROUND(Y917*DepositPercent,2),0)))</f>
        <v>0</v>
      </c>
      <c r="AA917" s="26">
        <f>IF(B917="","",ROUND(SUMIFS(Payments!$G$5:$G$1204,Payments!$I$5:$I$1204,A917,Payments!$E$5:$E$1204,"Deposit"),2))</f>
        <v>0</v>
      </c>
      <c r="AB917" s="26">
        <f>IF(B917="","",ROUND(SUMIFS(Sales!$Y$5:$Y$1204,Sales!$C$5:$C$1204,A917),2))</f>
        <v>0</v>
      </c>
      <c r="AC917" s="38">
        <f>IF(B917="","",IF(M917="Completed","Yes",IF(M917="Cancelled","Yes",IF(M917="No show","Yes","No"))))</f>
        <v>0</v>
      </c>
      <c r="AD917" s="25">
        <f>IF(B917="","",IF(AE917="","",B917-AE917))</f>
        <v>0</v>
      </c>
      <c r="AF917" s="38">
        <f>IF(B917="","",IF(M917&lt;&gt;"Completed","",IF(E917="","No",IF(COUNTIFS(Appointments!$E$5:$E$1204,E917,Appointments!$B$5:$B$1204,"&gt;"&amp;B917,Appointments!$M$5:$M$1204,"&lt;&gt;Cancelled")&gt;0,"Yes","No"))))</f>
        <v>0</v>
      </c>
      <c r="AG917" s="38">
        <f>IF(B917="","",IF(I917="","",IF(D917="","",IF(COUNTIFS($I$5:$I$1204,I917,$B$5:$B$1204,B917,$D$5:$D$1204,"&lt;"&amp;V917,$V$5:$V$1204,"&gt;"&amp;D917,$M$5:$M$1204,"&lt;&gt;Cancelled")&gt;1,"Clash",""))))</f>
        <v>0</v>
      </c>
      <c r="AH917" s="39">
        <f>IF(B917="","",IF(AG917="Clash","Clash - stylist double booked",IF(I917="","Assign - no stylist yet",IF(G917="","Add - no service chosen",IF(M917="No show","No show - charge the fee?",IF(M917="Cancelled","",IF(IF(M917="Completed",AB917&lt;Y917-0.004,FALSE),"Unpaid - nothing rung up for this visit",IF(IF(B917&lt;TodayDate,M917="Booked",FALSE),"Overdue - past date, still only Booked",IF(IF(B917=TodayDate,TRUE,FALSE),"Today",IF(IF(Z917&gt;0,AA917&lt;Z917-0.004,FALSE),"Due - deposit not taken",IF(IF(B917&gt;TodayDate,B917&lt;=TodayDate+2,FALSE),"Confirm - coming up","OK")))))))))))</f>
        <v>0</v>
      </c>
    </row>
    <row r="918" spans="1:34">
      <c r="A918" s="28">
        <f>IF(B918="","",AppointmentPrefix&amp;TEXT(ROW()-4,"0000"))</f>
        <v>0</v>
      </c>
      <c r="C918" s="15">
        <f>IF(B918="","",TEXT(B918,"ddd"))</f>
        <v>0</v>
      </c>
      <c r="F918" s="15">
        <f>IF(E918="","",IFERROR(INDEX(Clients!$B$5:$B$504,MATCH(E918,Clients!$A$5:$A$504,0)),"Walk-in"))</f>
        <v>0</v>
      </c>
      <c r="H918" s="15">
        <f>IF(G918="","",IFERROR(INDEX(Services!$B$5:$B$204,MATCH(G918,Services!$A$5:$A$204,0)),"Not in Services"))</f>
        <v>0</v>
      </c>
      <c r="J918" s="15">
        <f>IF(I918="","",IFERROR(INDEX(Staff!$B$5:$B$44,MATCH(I918,Staff!$A$5:$A$44,0)),"Unassigned"))</f>
        <v>0</v>
      </c>
      <c r="S918" s="15">
        <f>IF(B918="","",TEXT(B918,"yyyy-mm"))</f>
        <v>0</v>
      </c>
      <c r="T918" s="25">
        <f>IF(B918="","",WEEKNUM(B918,2))</f>
        <v>0</v>
      </c>
      <c r="U918" s="25">
        <f>IF(B918="","",IF(K918&lt;&gt;"",K918,IFERROR(INDEX(Services!$E$5:$E$204,MATCH(G918,Services!$A$5:$A$204,0))*1,0)+IFERROR(INDEX(Services!$F$5:$F$204,MATCH(G918,Services!$A$5:$A$204,0))*1,0)))</f>
        <v>0</v>
      </c>
      <c r="V918" s="36">
        <f>IF(B918="","",IF(D918="","",D918+U918/1440))</f>
        <v>0</v>
      </c>
      <c r="W918" s="25">
        <f>IF(B918="","",IF(D918="","",HOUR(D918)))</f>
        <v>0</v>
      </c>
      <c r="X918" s="37">
        <f>IF(B918="","",ROUND(U918/60,2))</f>
        <v>0</v>
      </c>
      <c r="Y918" s="26">
        <f>IF(B918="","",IF(L918&lt;&gt;"",L918,IFERROR(INDEX(Services!$G$5:$G$204,MATCH(G918,Services!$A$5:$A$204,0))*1,0)))</f>
        <v>0</v>
      </c>
      <c r="Z918" s="26">
        <f>IF(B918="","",IF(O918&lt;&gt;"",O918,IF(Y918&gt;=DepositThreshold,ROUND(Y918*DepositPercent,2),0)))</f>
        <v>0</v>
      </c>
      <c r="AA918" s="26">
        <f>IF(B918="","",ROUND(SUMIFS(Payments!$G$5:$G$1204,Payments!$I$5:$I$1204,A918,Payments!$E$5:$E$1204,"Deposit"),2))</f>
        <v>0</v>
      </c>
      <c r="AB918" s="26">
        <f>IF(B918="","",ROUND(SUMIFS(Sales!$Y$5:$Y$1204,Sales!$C$5:$C$1204,A918),2))</f>
        <v>0</v>
      </c>
      <c r="AC918" s="38">
        <f>IF(B918="","",IF(M918="Completed","Yes",IF(M918="Cancelled","Yes",IF(M918="No show","Yes","No"))))</f>
        <v>0</v>
      </c>
      <c r="AD918" s="25">
        <f>IF(B918="","",IF(AE918="","",B918-AE918))</f>
        <v>0</v>
      </c>
      <c r="AF918" s="38">
        <f>IF(B918="","",IF(M918&lt;&gt;"Completed","",IF(E918="","No",IF(COUNTIFS(Appointments!$E$5:$E$1204,E918,Appointments!$B$5:$B$1204,"&gt;"&amp;B918,Appointments!$M$5:$M$1204,"&lt;&gt;Cancelled")&gt;0,"Yes","No"))))</f>
        <v>0</v>
      </c>
      <c r="AG918" s="38">
        <f>IF(B918="","",IF(I918="","",IF(D918="","",IF(COUNTIFS($I$5:$I$1204,I918,$B$5:$B$1204,B918,$D$5:$D$1204,"&lt;"&amp;V918,$V$5:$V$1204,"&gt;"&amp;D918,$M$5:$M$1204,"&lt;&gt;Cancelled")&gt;1,"Clash",""))))</f>
        <v>0</v>
      </c>
      <c r="AH918" s="39">
        <f>IF(B918="","",IF(AG918="Clash","Clash - stylist double booked",IF(I918="","Assign - no stylist yet",IF(G918="","Add - no service chosen",IF(M918="No show","No show - charge the fee?",IF(M918="Cancelled","",IF(IF(M918="Completed",AB918&lt;Y918-0.004,FALSE),"Unpaid - nothing rung up for this visit",IF(IF(B918&lt;TodayDate,M918="Booked",FALSE),"Overdue - past date, still only Booked",IF(IF(B918=TodayDate,TRUE,FALSE),"Today",IF(IF(Z918&gt;0,AA918&lt;Z918-0.004,FALSE),"Due - deposit not taken",IF(IF(B918&gt;TodayDate,B918&lt;=TodayDate+2,FALSE),"Confirm - coming up","OK")))))))))))</f>
        <v>0</v>
      </c>
    </row>
    <row r="919" spans="1:34">
      <c r="A919" s="28">
        <f>IF(B919="","",AppointmentPrefix&amp;TEXT(ROW()-4,"0000"))</f>
        <v>0</v>
      </c>
      <c r="C919" s="15">
        <f>IF(B919="","",TEXT(B919,"ddd"))</f>
        <v>0</v>
      </c>
      <c r="F919" s="15">
        <f>IF(E919="","",IFERROR(INDEX(Clients!$B$5:$B$504,MATCH(E919,Clients!$A$5:$A$504,0)),"Walk-in"))</f>
        <v>0</v>
      </c>
      <c r="H919" s="15">
        <f>IF(G919="","",IFERROR(INDEX(Services!$B$5:$B$204,MATCH(G919,Services!$A$5:$A$204,0)),"Not in Services"))</f>
        <v>0</v>
      </c>
      <c r="J919" s="15">
        <f>IF(I919="","",IFERROR(INDEX(Staff!$B$5:$B$44,MATCH(I919,Staff!$A$5:$A$44,0)),"Unassigned"))</f>
        <v>0</v>
      </c>
      <c r="S919" s="15">
        <f>IF(B919="","",TEXT(B919,"yyyy-mm"))</f>
        <v>0</v>
      </c>
      <c r="T919" s="25">
        <f>IF(B919="","",WEEKNUM(B919,2))</f>
        <v>0</v>
      </c>
      <c r="U919" s="25">
        <f>IF(B919="","",IF(K919&lt;&gt;"",K919,IFERROR(INDEX(Services!$E$5:$E$204,MATCH(G919,Services!$A$5:$A$204,0))*1,0)+IFERROR(INDEX(Services!$F$5:$F$204,MATCH(G919,Services!$A$5:$A$204,0))*1,0)))</f>
        <v>0</v>
      </c>
      <c r="V919" s="36">
        <f>IF(B919="","",IF(D919="","",D919+U919/1440))</f>
        <v>0</v>
      </c>
      <c r="W919" s="25">
        <f>IF(B919="","",IF(D919="","",HOUR(D919)))</f>
        <v>0</v>
      </c>
      <c r="X919" s="37">
        <f>IF(B919="","",ROUND(U919/60,2))</f>
        <v>0</v>
      </c>
      <c r="Y919" s="26">
        <f>IF(B919="","",IF(L919&lt;&gt;"",L919,IFERROR(INDEX(Services!$G$5:$G$204,MATCH(G919,Services!$A$5:$A$204,0))*1,0)))</f>
        <v>0</v>
      </c>
      <c r="Z919" s="26">
        <f>IF(B919="","",IF(O919&lt;&gt;"",O919,IF(Y919&gt;=DepositThreshold,ROUND(Y919*DepositPercent,2),0)))</f>
        <v>0</v>
      </c>
      <c r="AA919" s="26">
        <f>IF(B919="","",ROUND(SUMIFS(Payments!$G$5:$G$1204,Payments!$I$5:$I$1204,A919,Payments!$E$5:$E$1204,"Deposit"),2))</f>
        <v>0</v>
      </c>
      <c r="AB919" s="26">
        <f>IF(B919="","",ROUND(SUMIFS(Sales!$Y$5:$Y$1204,Sales!$C$5:$C$1204,A919),2))</f>
        <v>0</v>
      </c>
      <c r="AC919" s="38">
        <f>IF(B919="","",IF(M919="Completed","Yes",IF(M919="Cancelled","Yes",IF(M919="No show","Yes","No"))))</f>
        <v>0</v>
      </c>
      <c r="AD919" s="25">
        <f>IF(B919="","",IF(AE919="","",B919-AE919))</f>
        <v>0</v>
      </c>
      <c r="AF919" s="38">
        <f>IF(B919="","",IF(M919&lt;&gt;"Completed","",IF(E919="","No",IF(COUNTIFS(Appointments!$E$5:$E$1204,E919,Appointments!$B$5:$B$1204,"&gt;"&amp;B919,Appointments!$M$5:$M$1204,"&lt;&gt;Cancelled")&gt;0,"Yes","No"))))</f>
        <v>0</v>
      </c>
      <c r="AG919" s="38">
        <f>IF(B919="","",IF(I919="","",IF(D919="","",IF(COUNTIFS($I$5:$I$1204,I919,$B$5:$B$1204,B919,$D$5:$D$1204,"&lt;"&amp;V919,$V$5:$V$1204,"&gt;"&amp;D919,$M$5:$M$1204,"&lt;&gt;Cancelled")&gt;1,"Clash",""))))</f>
        <v>0</v>
      </c>
      <c r="AH919" s="39">
        <f>IF(B919="","",IF(AG919="Clash","Clash - stylist double booked",IF(I919="","Assign - no stylist yet",IF(G919="","Add - no service chosen",IF(M919="No show","No show - charge the fee?",IF(M919="Cancelled","",IF(IF(M919="Completed",AB919&lt;Y919-0.004,FALSE),"Unpaid - nothing rung up for this visit",IF(IF(B919&lt;TodayDate,M919="Booked",FALSE),"Overdue - past date, still only Booked",IF(IF(B919=TodayDate,TRUE,FALSE),"Today",IF(IF(Z919&gt;0,AA919&lt;Z919-0.004,FALSE),"Due - deposit not taken",IF(IF(B919&gt;TodayDate,B919&lt;=TodayDate+2,FALSE),"Confirm - coming up","OK")))))))))))</f>
        <v>0</v>
      </c>
    </row>
    <row r="920" spans="1:34">
      <c r="A920" s="28">
        <f>IF(B920="","",AppointmentPrefix&amp;TEXT(ROW()-4,"0000"))</f>
        <v>0</v>
      </c>
      <c r="C920" s="15">
        <f>IF(B920="","",TEXT(B920,"ddd"))</f>
        <v>0</v>
      </c>
      <c r="F920" s="15">
        <f>IF(E920="","",IFERROR(INDEX(Clients!$B$5:$B$504,MATCH(E920,Clients!$A$5:$A$504,0)),"Walk-in"))</f>
        <v>0</v>
      </c>
      <c r="H920" s="15">
        <f>IF(G920="","",IFERROR(INDEX(Services!$B$5:$B$204,MATCH(G920,Services!$A$5:$A$204,0)),"Not in Services"))</f>
        <v>0</v>
      </c>
      <c r="J920" s="15">
        <f>IF(I920="","",IFERROR(INDEX(Staff!$B$5:$B$44,MATCH(I920,Staff!$A$5:$A$44,0)),"Unassigned"))</f>
        <v>0</v>
      </c>
      <c r="S920" s="15">
        <f>IF(B920="","",TEXT(B920,"yyyy-mm"))</f>
        <v>0</v>
      </c>
      <c r="T920" s="25">
        <f>IF(B920="","",WEEKNUM(B920,2))</f>
        <v>0</v>
      </c>
      <c r="U920" s="25">
        <f>IF(B920="","",IF(K920&lt;&gt;"",K920,IFERROR(INDEX(Services!$E$5:$E$204,MATCH(G920,Services!$A$5:$A$204,0))*1,0)+IFERROR(INDEX(Services!$F$5:$F$204,MATCH(G920,Services!$A$5:$A$204,0))*1,0)))</f>
        <v>0</v>
      </c>
      <c r="V920" s="36">
        <f>IF(B920="","",IF(D920="","",D920+U920/1440))</f>
        <v>0</v>
      </c>
      <c r="W920" s="25">
        <f>IF(B920="","",IF(D920="","",HOUR(D920)))</f>
        <v>0</v>
      </c>
      <c r="X920" s="37">
        <f>IF(B920="","",ROUND(U920/60,2))</f>
        <v>0</v>
      </c>
      <c r="Y920" s="26">
        <f>IF(B920="","",IF(L920&lt;&gt;"",L920,IFERROR(INDEX(Services!$G$5:$G$204,MATCH(G920,Services!$A$5:$A$204,0))*1,0)))</f>
        <v>0</v>
      </c>
      <c r="Z920" s="26">
        <f>IF(B920="","",IF(O920&lt;&gt;"",O920,IF(Y920&gt;=DepositThreshold,ROUND(Y920*DepositPercent,2),0)))</f>
        <v>0</v>
      </c>
      <c r="AA920" s="26">
        <f>IF(B920="","",ROUND(SUMIFS(Payments!$G$5:$G$1204,Payments!$I$5:$I$1204,A920,Payments!$E$5:$E$1204,"Deposit"),2))</f>
        <v>0</v>
      </c>
      <c r="AB920" s="26">
        <f>IF(B920="","",ROUND(SUMIFS(Sales!$Y$5:$Y$1204,Sales!$C$5:$C$1204,A920),2))</f>
        <v>0</v>
      </c>
      <c r="AC920" s="38">
        <f>IF(B920="","",IF(M920="Completed","Yes",IF(M920="Cancelled","Yes",IF(M920="No show","Yes","No"))))</f>
        <v>0</v>
      </c>
      <c r="AD920" s="25">
        <f>IF(B920="","",IF(AE920="","",B920-AE920))</f>
        <v>0</v>
      </c>
      <c r="AF920" s="38">
        <f>IF(B920="","",IF(M920&lt;&gt;"Completed","",IF(E920="","No",IF(COUNTIFS(Appointments!$E$5:$E$1204,E920,Appointments!$B$5:$B$1204,"&gt;"&amp;B920,Appointments!$M$5:$M$1204,"&lt;&gt;Cancelled")&gt;0,"Yes","No"))))</f>
        <v>0</v>
      </c>
      <c r="AG920" s="38">
        <f>IF(B920="","",IF(I920="","",IF(D920="","",IF(COUNTIFS($I$5:$I$1204,I920,$B$5:$B$1204,B920,$D$5:$D$1204,"&lt;"&amp;V920,$V$5:$V$1204,"&gt;"&amp;D920,$M$5:$M$1204,"&lt;&gt;Cancelled")&gt;1,"Clash",""))))</f>
        <v>0</v>
      </c>
      <c r="AH920" s="39">
        <f>IF(B920="","",IF(AG920="Clash","Clash - stylist double booked",IF(I920="","Assign - no stylist yet",IF(G920="","Add - no service chosen",IF(M920="No show","No show - charge the fee?",IF(M920="Cancelled","",IF(IF(M920="Completed",AB920&lt;Y920-0.004,FALSE),"Unpaid - nothing rung up for this visit",IF(IF(B920&lt;TodayDate,M920="Booked",FALSE),"Overdue - past date, still only Booked",IF(IF(B920=TodayDate,TRUE,FALSE),"Today",IF(IF(Z920&gt;0,AA920&lt;Z920-0.004,FALSE),"Due - deposit not taken",IF(IF(B920&gt;TodayDate,B920&lt;=TodayDate+2,FALSE),"Confirm - coming up","OK")))))))))))</f>
        <v>0</v>
      </c>
    </row>
    <row r="921" spans="1:34">
      <c r="A921" s="28">
        <f>IF(B921="","",AppointmentPrefix&amp;TEXT(ROW()-4,"0000"))</f>
        <v>0</v>
      </c>
      <c r="C921" s="15">
        <f>IF(B921="","",TEXT(B921,"ddd"))</f>
        <v>0</v>
      </c>
      <c r="F921" s="15">
        <f>IF(E921="","",IFERROR(INDEX(Clients!$B$5:$B$504,MATCH(E921,Clients!$A$5:$A$504,0)),"Walk-in"))</f>
        <v>0</v>
      </c>
      <c r="H921" s="15">
        <f>IF(G921="","",IFERROR(INDEX(Services!$B$5:$B$204,MATCH(G921,Services!$A$5:$A$204,0)),"Not in Services"))</f>
        <v>0</v>
      </c>
      <c r="J921" s="15">
        <f>IF(I921="","",IFERROR(INDEX(Staff!$B$5:$B$44,MATCH(I921,Staff!$A$5:$A$44,0)),"Unassigned"))</f>
        <v>0</v>
      </c>
      <c r="S921" s="15">
        <f>IF(B921="","",TEXT(B921,"yyyy-mm"))</f>
        <v>0</v>
      </c>
      <c r="T921" s="25">
        <f>IF(B921="","",WEEKNUM(B921,2))</f>
        <v>0</v>
      </c>
      <c r="U921" s="25">
        <f>IF(B921="","",IF(K921&lt;&gt;"",K921,IFERROR(INDEX(Services!$E$5:$E$204,MATCH(G921,Services!$A$5:$A$204,0))*1,0)+IFERROR(INDEX(Services!$F$5:$F$204,MATCH(G921,Services!$A$5:$A$204,0))*1,0)))</f>
        <v>0</v>
      </c>
      <c r="V921" s="36">
        <f>IF(B921="","",IF(D921="","",D921+U921/1440))</f>
        <v>0</v>
      </c>
      <c r="W921" s="25">
        <f>IF(B921="","",IF(D921="","",HOUR(D921)))</f>
        <v>0</v>
      </c>
      <c r="X921" s="37">
        <f>IF(B921="","",ROUND(U921/60,2))</f>
        <v>0</v>
      </c>
      <c r="Y921" s="26">
        <f>IF(B921="","",IF(L921&lt;&gt;"",L921,IFERROR(INDEX(Services!$G$5:$G$204,MATCH(G921,Services!$A$5:$A$204,0))*1,0)))</f>
        <v>0</v>
      </c>
      <c r="Z921" s="26">
        <f>IF(B921="","",IF(O921&lt;&gt;"",O921,IF(Y921&gt;=DepositThreshold,ROUND(Y921*DepositPercent,2),0)))</f>
        <v>0</v>
      </c>
      <c r="AA921" s="26">
        <f>IF(B921="","",ROUND(SUMIFS(Payments!$G$5:$G$1204,Payments!$I$5:$I$1204,A921,Payments!$E$5:$E$1204,"Deposit"),2))</f>
        <v>0</v>
      </c>
      <c r="AB921" s="26">
        <f>IF(B921="","",ROUND(SUMIFS(Sales!$Y$5:$Y$1204,Sales!$C$5:$C$1204,A921),2))</f>
        <v>0</v>
      </c>
      <c r="AC921" s="38">
        <f>IF(B921="","",IF(M921="Completed","Yes",IF(M921="Cancelled","Yes",IF(M921="No show","Yes","No"))))</f>
        <v>0</v>
      </c>
      <c r="AD921" s="25">
        <f>IF(B921="","",IF(AE921="","",B921-AE921))</f>
        <v>0</v>
      </c>
      <c r="AF921" s="38">
        <f>IF(B921="","",IF(M921&lt;&gt;"Completed","",IF(E921="","No",IF(COUNTIFS(Appointments!$E$5:$E$1204,E921,Appointments!$B$5:$B$1204,"&gt;"&amp;B921,Appointments!$M$5:$M$1204,"&lt;&gt;Cancelled")&gt;0,"Yes","No"))))</f>
        <v>0</v>
      </c>
      <c r="AG921" s="38">
        <f>IF(B921="","",IF(I921="","",IF(D921="","",IF(COUNTIFS($I$5:$I$1204,I921,$B$5:$B$1204,B921,$D$5:$D$1204,"&lt;"&amp;V921,$V$5:$V$1204,"&gt;"&amp;D921,$M$5:$M$1204,"&lt;&gt;Cancelled")&gt;1,"Clash",""))))</f>
        <v>0</v>
      </c>
      <c r="AH921" s="39">
        <f>IF(B921="","",IF(AG921="Clash","Clash - stylist double booked",IF(I921="","Assign - no stylist yet",IF(G921="","Add - no service chosen",IF(M921="No show","No show - charge the fee?",IF(M921="Cancelled","",IF(IF(M921="Completed",AB921&lt;Y921-0.004,FALSE),"Unpaid - nothing rung up for this visit",IF(IF(B921&lt;TodayDate,M921="Booked",FALSE),"Overdue - past date, still only Booked",IF(IF(B921=TodayDate,TRUE,FALSE),"Today",IF(IF(Z921&gt;0,AA921&lt;Z921-0.004,FALSE),"Due - deposit not taken",IF(IF(B921&gt;TodayDate,B921&lt;=TodayDate+2,FALSE),"Confirm - coming up","OK")))))))))))</f>
        <v>0</v>
      </c>
    </row>
    <row r="922" spans="1:34">
      <c r="A922" s="28">
        <f>IF(B922="","",AppointmentPrefix&amp;TEXT(ROW()-4,"0000"))</f>
        <v>0</v>
      </c>
      <c r="C922" s="15">
        <f>IF(B922="","",TEXT(B922,"ddd"))</f>
        <v>0</v>
      </c>
      <c r="F922" s="15">
        <f>IF(E922="","",IFERROR(INDEX(Clients!$B$5:$B$504,MATCH(E922,Clients!$A$5:$A$504,0)),"Walk-in"))</f>
        <v>0</v>
      </c>
      <c r="H922" s="15">
        <f>IF(G922="","",IFERROR(INDEX(Services!$B$5:$B$204,MATCH(G922,Services!$A$5:$A$204,0)),"Not in Services"))</f>
        <v>0</v>
      </c>
      <c r="J922" s="15">
        <f>IF(I922="","",IFERROR(INDEX(Staff!$B$5:$B$44,MATCH(I922,Staff!$A$5:$A$44,0)),"Unassigned"))</f>
        <v>0</v>
      </c>
      <c r="S922" s="15">
        <f>IF(B922="","",TEXT(B922,"yyyy-mm"))</f>
        <v>0</v>
      </c>
      <c r="T922" s="25">
        <f>IF(B922="","",WEEKNUM(B922,2))</f>
        <v>0</v>
      </c>
      <c r="U922" s="25">
        <f>IF(B922="","",IF(K922&lt;&gt;"",K922,IFERROR(INDEX(Services!$E$5:$E$204,MATCH(G922,Services!$A$5:$A$204,0))*1,0)+IFERROR(INDEX(Services!$F$5:$F$204,MATCH(G922,Services!$A$5:$A$204,0))*1,0)))</f>
        <v>0</v>
      </c>
      <c r="V922" s="36">
        <f>IF(B922="","",IF(D922="","",D922+U922/1440))</f>
        <v>0</v>
      </c>
      <c r="W922" s="25">
        <f>IF(B922="","",IF(D922="","",HOUR(D922)))</f>
        <v>0</v>
      </c>
      <c r="X922" s="37">
        <f>IF(B922="","",ROUND(U922/60,2))</f>
        <v>0</v>
      </c>
      <c r="Y922" s="26">
        <f>IF(B922="","",IF(L922&lt;&gt;"",L922,IFERROR(INDEX(Services!$G$5:$G$204,MATCH(G922,Services!$A$5:$A$204,0))*1,0)))</f>
        <v>0</v>
      </c>
      <c r="Z922" s="26">
        <f>IF(B922="","",IF(O922&lt;&gt;"",O922,IF(Y922&gt;=DepositThreshold,ROUND(Y922*DepositPercent,2),0)))</f>
        <v>0</v>
      </c>
      <c r="AA922" s="26">
        <f>IF(B922="","",ROUND(SUMIFS(Payments!$G$5:$G$1204,Payments!$I$5:$I$1204,A922,Payments!$E$5:$E$1204,"Deposit"),2))</f>
        <v>0</v>
      </c>
      <c r="AB922" s="26">
        <f>IF(B922="","",ROUND(SUMIFS(Sales!$Y$5:$Y$1204,Sales!$C$5:$C$1204,A922),2))</f>
        <v>0</v>
      </c>
      <c r="AC922" s="38">
        <f>IF(B922="","",IF(M922="Completed","Yes",IF(M922="Cancelled","Yes",IF(M922="No show","Yes","No"))))</f>
        <v>0</v>
      </c>
      <c r="AD922" s="25">
        <f>IF(B922="","",IF(AE922="","",B922-AE922))</f>
        <v>0</v>
      </c>
      <c r="AF922" s="38">
        <f>IF(B922="","",IF(M922&lt;&gt;"Completed","",IF(E922="","No",IF(COUNTIFS(Appointments!$E$5:$E$1204,E922,Appointments!$B$5:$B$1204,"&gt;"&amp;B922,Appointments!$M$5:$M$1204,"&lt;&gt;Cancelled")&gt;0,"Yes","No"))))</f>
        <v>0</v>
      </c>
      <c r="AG922" s="38">
        <f>IF(B922="","",IF(I922="","",IF(D922="","",IF(COUNTIFS($I$5:$I$1204,I922,$B$5:$B$1204,B922,$D$5:$D$1204,"&lt;"&amp;V922,$V$5:$V$1204,"&gt;"&amp;D922,$M$5:$M$1204,"&lt;&gt;Cancelled")&gt;1,"Clash",""))))</f>
        <v>0</v>
      </c>
      <c r="AH922" s="39">
        <f>IF(B922="","",IF(AG922="Clash","Clash - stylist double booked",IF(I922="","Assign - no stylist yet",IF(G922="","Add - no service chosen",IF(M922="No show","No show - charge the fee?",IF(M922="Cancelled","",IF(IF(M922="Completed",AB922&lt;Y922-0.004,FALSE),"Unpaid - nothing rung up for this visit",IF(IF(B922&lt;TodayDate,M922="Booked",FALSE),"Overdue - past date, still only Booked",IF(IF(B922=TodayDate,TRUE,FALSE),"Today",IF(IF(Z922&gt;0,AA922&lt;Z922-0.004,FALSE),"Due - deposit not taken",IF(IF(B922&gt;TodayDate,B922&lt;=TodayDate+2,FALSE),"Confirm - coming up","OK")))))))))))</f>
        <v>0</v>
      </c>
    </row>
    <row r="923" spans="1:34">
      <c r="A923" s="28">
        <f>IF(B923="","",AppointmentPrefix&amp;TEXT(ROW()-4,"0000"))</f>
        <v>0</v>
      </c>
      <c r="C923" s="15">
        <f>IF(B923="","",TEXT(B923,"ddd"))</f>
        <v>0</v>
      </c>
      <c r="F923" s="15">
        <f>IF(E923="","",IFERROR(INDEX(Clients!$B$5:$B$504,MATCH(E923,Clients!$A$5:$A$504,0)),"Walk-in"))</f>
        <v>0</v>
      </c>
      <c r="H923" s="15">
        <f>IF(G923="","",IFERROR(INDEX(Services!$B$5:$B$204,MATCH(G923,Services!$A$5:$A$204,0)),"Not in Services"))</f>
        <v>0</v>
      </c>
      <c r="J923" s="15">
        <f>IF(I923="","",IFERROR(INDEX(Staff!$B$5:$B$44,MATCH(I923,Staff!$A$5:$A$44,0)),"Unassigned"))</f>
        <v>0</v>
      </c>
      <c r="S923" s="15">
        <f>IF(B923="","",TEXT(B923,"yyyy-mm"))</f>
        <v>0</v>
      </c>
      <c r="T923" s="25">
        <f>IF(B923="","",WEEKNUM(B923,2))</f>
        <v>0</v>
      </c>
      <c r="U923" s="25">
        <f>IF(B923="","",IF(K923&lt;&gt;"",K923,IFERROR(INDEX(Services!$E$5:$E$204,MATCH(G923,Services!$A$5:$A$204,0))*1,0)+IFERROR(INDEX(Services!$F$5:$F$204,MATCH(G923,Services!$A$5:$A$204,0))*1,0)))</f>
        <v>0</v>
      </c>
      <c r="V923" s="36">
        <f>IF(B923="","",IF(D923="","",D923+U923/1440))</f>
        <v>0</v>
      </c>
      <c r="W923" s="25">
        <f>IF(B923="","",IF(D923="","",HOUR(D923)))</f>
        <v>0</v>
      </c>
      <c r="X923" s="37">
        <f>IF(B923="","",ROUND(U923/60,2))</f>
        <v>0</v>
      </c>
      <c r="Y923" s="26">
        <f>IF(B923="","",IF(L923&lt;&gt;"",L923,IFERROR(INDEX(Services!$G$5:$G$204,MATCH(G923,Services!$A$5:$A$204,0))*1,0)))</f>
        <v>0</v>
      </c>
      <c r="Z923" s="26">
        <f>IF(B923="","",IF(O923&lt;&gt;"",O923,IF(Y923&gt;=DepositThreshold,ROUND(Y923*DepositPercent,2),0)))</f>
        <v>0</v>
      </c>
      <c r="AA923" s="26">
        <f>IF(B923="","",ROUND(SUMIFS(Payments!$G$5:$G$1204,Payments!$I$5:$I$1204,A923,Payments!$E$5:$E$1204,"Deposit"),2))</f>
        <v>0</v>
      </c>
      <c r="AB923" s="26">
        <f>IF(B923="","",ROUND(SUMIFS(Sales!$Y$5:$Y$1204,Sales!$C$5:$C$1204,A923),2))</f>
        <v>0</v>
      </c>
      <c r="AC923" s="38">
        <f>IF(B923="","",IF(M923="Completed","Yes",IF(M923="Cancelled","Yes",IF(M923="No show","Yes","No"))))</f>
        <v>0</v>
      </c>
      <c r="AD923" s="25">
        <f>IF(B923="","",IF(AE923="","",B923-AE923))</f>
        <v>0</v>
      </c>
      <c r="AF923" s="38">
        <f>IF(B923="","",IF(M923&lt;&gt;"Completed","",IF(E923="","No",IF(COUNTIFS(Appointments!$E$5:$E$1204,E923,Appointments!$B$5:$B$1204,"&gt;"&amp;B923,Appointments!$M$5:$M$1204,"&lt;&gt;Cancelled")&gt;0,"Yes","No"))))</f>
        <v>0</v>
      </c>
      <c r="AG923" s="38">
        <f>IF(B923="","",IF(I923="","",IF(D923="","",IF(COUNTIFS($I$5:$I$1204,I923,$B$5:$B$1204,B923,$D$5:$D$1204,"&lt;"&amp;V923,$V$5:$V$1204,"&gt;"&amp;D923,$M$5:$M$1204,"&lt;&gt;Cancelled")&gt;1,"Clash",""))))</f>
        <v>0</v>
      </c>
      <c r="AH923" s="39">
        <f>IF(B923="","",IF(AG923="Clash","Clash - stylist double booked",IF(I923="","Assign - no stylist yet",IF(G923="","Add - no service chosen",IF(M923="No show","No show - charge the fee?",IF(M923="Cancelled","",IF(IF(M923="Completed",AB923&lt;Y923-0.004,FALSE),"Unpaid - nothing rung up for this visit",IF(IF(B923&lt;TodayDate,M923="Booked",FALSE),"Overdue - past date, still only Booked",IF(IF(B923=TodayDate,TRUE,FALSE),"Today",IF(IF(Z923&gt;0,AA923&lt;Z923-0.004,FALSE),"Due - deposit not taken",IF(IF(B923&gt;TodayDate,B923&lt;=TodayDate+2,FALSE),"Confirm - coming up","OK")))))))))))</f>
        <v>0</v>
      </c>
    </row>
    <row r="924" spans="1:34">
      <c r="A924" s="28">
        <f>IF(B924="","",AppointmentPrefix&amp;TEXT(ROW()-4,"0000"))</f>
        <v>0</v>
      </c>
      <c r="C924" s="15">
        <f>IF(B924="","",TEXT(B924,"ddd"))</f>
        <v>0</v>
      </c>
      <c r="F924" s="15">
        <f>IF(E924="","",IFERROR(INDEX(Clients!$B$5:$B$504,MATCH(E924,Clients!$A$5:$A$504,0)),"Walk-in"))</f>
        <v>0</v>
      </c>
      <c r="H924" s="15">
        <f>IF(G924="","",IFERROR(INDEX(Services!$B$5:$B$204,MATCH(G924,Services!$A$5:$A$204,0)),"Not in Services"))</f>
        <v>0</v>
      </c>
      <c r="J924" s="15">
        <f>IF(I924="","",IFERROR(INDEX(Staff!$B$5:$B$44,MATCH(I924,Staff!$A$5:$A$44,0)),"Unassigned"))</f>
        <v>0</v>
      </c>
      <c r="S924" s="15">
        <f>IF(B924="","",TEXT(B924,"yyyy-mm"))</f>
        <v>0</v>
      </c>
      <c r="T924" s="25">
        <f>IF(B924="","",WEEKNUM(B924,2))</f>
        <v>0</v>
      </c>
      <c r="U924" s="25">
        <f>IF(B924="","",IF(K924&lt;&gt;"",K924,IFERROR(INDEX(Services!$E$5:$E$204,MATCH(G924,Services!$A$5:$A$204,0))*1,0)+IFERROR(INDEX(Services!$F$5:$F$204,MATCH(G924,Services!$A$5:$A$204,0))*1,0)))</f>
        <v>0</v>
      </c>
      <c r="V924" s="36">
        <f>IF(B924="","",IF(D924="","",D924+U924/1440))</f>
        <v>0</v>
      </c>
      <c r="W924" s="25">
        <f>IF(B924="","",IF(D924="","",HOUR(D924)))</f>
        <v>0</v>
      </c>
      <c r="X924" s="37">
        <f>IF(B924="","",ROUND(U924/60,2))</f>
        <v>0</v>
      </c>
      <c r="Y924" s="26">
        <f>IF(B924="","",IF(L924&lt;&gt;"",L924,IFERROR(INDEX(Services!$G$5:$G$204,MATCH(G924,Services!$A$5:$A$204,0))*1,0)))</f>
        <v>0</v>
      </c>
      <c r="Z924" s="26">
        <f>IF(B924="","",IF(O924&lt;&gt;"",O924,IF(Y924&gt;=DepositThreshold,ROUND(Y924*DepositPercent,2),0)))</f>
        <v>0</v>
      </c>
      <c r="AA924" s="26">
        <f>IF(B924="","",ROUND(SUMIFS(Payments!$G$5:$G$1204,Payments!$I$5:$I$1204,A924,Payments!$E$5:$E$1204,"Deposit"),2))</f>
        <v>0</v>
      </c>
      <c r="AB924" s="26">
        <f>IF(B924="","",ROUND(SUMIFS(Sales!$Y$5:$Y$1204,Sales!$C$5:$C$1204,A924),2))</f>
        <v>0</v>
      </c>
      <c r="AC924" s="38">
        <f>IF(B924="","",IF(M924="Completed","Yes",IF(M924="Cancelled","Yes",IF(M924="No show","Yes","No"))))</f>
        <v>0</v>
      </c>
      <c r="AD924" s="25">
        <f>IF(B924="","",IF(AE924="","",B924-AE924))</f>
        <v>0</v>
      </c>
      <c r="AF924" s="38">
        <f>IF(B924="","",IF(M924&lt;&gt;"Completed","",IF(E924="","No",IF(COUNTIFS(Appointments!$E$5:$E$1204,E924,Appointments!$B$5:$B$1204,"&gt;"&amp;B924,Appointments!$M$5:$M$1204,"&lt;&gt;Cancelled")&gt;0,"Yes","No"))))</f>
        <v>0</v>
      </c>
      <c r="AG924" s="38">
        <f>IF(B924="","",IF(I924="","",IF(D924="","",IF(COUNTIFS($I$5:$I$1204,I924,$B$5:$B$1204,B924,$D$5:$D$1204,"&lt;"&amp;V924,$V$5:$V$1204,"&gt;"&amp;D924,$M$5:$M$1204,"&lt;&gt;Cancelled")&gt;1,"Clash",""))))</f>
        <v>0</v>
      </c>
      <c r="AH924" s="39">
        <f>IF(B924="","",IF(AG924="Clash","Clash - stylist double booked",IF(I924="","Assign - no stylist yet",IF(G924="","Add - no service chosen",IF(M924="No show","No show - charge the fee?",IF(M924="Cancelled","",IF(IF(M924="Completed",AB924&lt;Y924-0.004,FALSE),"Unpaid - nothing rung up for this visit",IF(IF(B924&lt;TodayDate,M924="Booked",FALSE),"Overdue - past date, still only Booked",IF(IF(B924=TodayDate,TRUE,FALSE),"Today",IF(IF(Z924&gt;0,AA924&lt;Z924-0.004,FALSE),"Due - deposit not taken",IF(IF(B924&gt;TodayDate,B924&lt;=TodayDate+2,FALSE),"Confirm - coming up","OK")))))))))))</f>
        <v>0</v>
      </c>
    </row>
    <row r="925" spans="1:34">
      <c r="A925" s="28">
        <f>IF(B925="","",AppointmentPrefix&amp;TEXT(ROW()-4,"0000"))</f>
        <v>0</v>
      </c>
      <c r="C925" s="15">
        <f>IF(B925="","",TEXT(B925,"ddd"))</f>
        <v>0</v>
      </c>
      <c r="F925" s="15">
        <f>IF(E925="","",IFERROR(INDEX(Clients!$B$5:$B$504,MATCH(E925,Clients!$A$5:$A$504,0)),"Walk-in"))</f>
        <v>0</v>
      </c>
      <c r="H925" s="15">
        <f>IF(G925="","",IFERROR(INDEX(Services!$B$5:$B$204,MATCH(G925,Services!$A$5:$A$204,0)),"Not in Services"))</f>
        <v>0</v>
      </c>
      <c r="J925" s="15">
        <f>IF(I925="","",IFERROR(INDEX(Staff!$B$5:$B$44,MATCH(I925,Staff!$A$5:$A$44,0)),"Unassigned"))</f>
        <v>0</v>
      </c>
      <c r="S925" s="15">
        <f>IF(B925="","",TEXT(B925,"yyyy-mm"))</f>
        <v>0</v>
      </c>
      <c r="T925" s="25">
        <f>IF(B925="","",WEEKNUM(B925,2))</f>
        <v>0</v>
      </c>
      <c r="U925" s="25">
        <f>IF(B925="","",IF(K925&lt;&gt;"",K925,IFERROR(INDEX(Services!$E$5:$E$204,MATCH(G925,Services!$A$5:$A$204,0))*1,0)+IFERROR(INDEX(Services!$F$5:$F$204,MATCH(G925,Services!$A$5:$A$204,0))*1,0)))</f>
        <v>0</v>
      </c>
      <c r="V925" s="36">
        <f>IF(B925="","",IF(D925="","",D925+U925/1440))</f>
        <v>0</v>
      </c>
      <c r="W925" s="25">
        <f>IF(B925="","",IF(D925="","",HOUR(D925)))</f>
        <v>0</v>
      </c>
      <c r="X925" s="37">
        <f>IF(B925="","",ROUND(U925/60,2))</f>
        <v>0</v>
      </c>
      <c r="Y925" s="26">
        <f>IF(B925="","",IF(L925&lt;&gt;"",L925,IFERROR(INDEX(Services!$G$5:$G$204,MATCH(G925,Services!$A$5:$A$204,0))*1,0)))</f>
        <v>0</v>
      </c>
      <c r="Z925" s="26">
        <f>IF(B925="","",IF(O925&lt;&gt;"",O925,IF(Y925&gt;=DepositThreshold,ROUND(Y925*DepositPercent,2),0)))</f>
        <v>0</v>
      </c>
      <c r="AA925" s="26">
        <f>IF(B925="","",ROUND(SUMIFS(Payments!$G$5:$G$1204,Payments!$I$5:$I$1204,A925,Payments!$E$5:$E$1204,"Deposit"),2))</f>
        <v>0</v>
      </c>
      <c r="AB925" s="26">
        <f>IF(B925="","",ROUND(SUMIFS(Sales!$Y$5:$Y$1204,Sales!$C$5:$C$1204,A925),2))</f>
        <v>0</v>
      </c>
      <c r="AC925" s="38">
        <f>IF(B925="","",IF(M925="Completed","Yes",IF(M925="Cancelled","Yes",IF(M925="No show","Yes","No"))))</f>
        <v>0</v>
      </c>
      <c r="AD925" s="25">
        <f>IF(B925="","",IF(AE925="","",B925-AE925))</f>
        <v>0</v>
      </c>
      <c r="AF925" s="38">
        <f>IF(B925="","",IF(M925&lt;&gt;"Completed","",IF(E925="","No",IF(COUNTIFS(Appointments!$E$5:$E$1204,E925,Appointments!$B$5:$B$1204,"&gt;"&amp;B925,Appointments!$M$5:$M$1204,"&lt;&gt;Cancelled")&gt;0,"Yes","No"))))</f>
        <v>0</v>
      </c>
      <c r="AG925" s="38">
        <f>IF(B925="","",IF(I925="","",IF(D925="","",IF(COUNTIFS($I$5:$I$1204,I925,$B$5:$B$1204,B925,$D$5:$D$1204,"&lt;"&amp;V925,$V$5:$V$1204,"&gt;"&amp;D925,$M$5:$M$1204,"&lt;&gt;Cancelled")&gt;1,"Clash",""))))</f>
        <v>0</v>
      </c>
      <c r="AH925" s="39">
        <f>IF(B925="","",IF(AG925="Clash","Clash - stylist double booked",IF(I925="","Assign - no stylist yet",IF(G925="","Add - no service chosen",IF(M925="No show","No show - charge the fee?",IF(M925="Cancelled","",IF(IF(M925="Completed",AB925&lt;Y925-0.004,FALSE),"Unpaid - nothing rung up for this visit",IF(IF(B925&lt;TodayDate,M925="Booked",FALSE),"Overdue - past date, still only Booked",IF(IF(B925=TodayDate,TRUE,FALSE),"Today",IF(IF(Z925&gt;0,AA925&lt;Z925-0.004,FALSE),"Due - deposit not taken",IF(IF(B925&gt;TodayDate,B925&lt;=TodayDate+2,FALSE),"Confirm - coming up","OK")))))))))))</f>
        <v>0</v>
      </c>
    </row>
    <row r="926" spans="1:34">
      <c r="A926" s="28">
        <f>IF(B926="","",AppointmentPrefix&amp;TEXT(ROW()-4,"0000"))</f>
        <v>0</v>
      </c>
      <c r="C926" s="15">
        <f>IF(B926="","",TEXT(B926,"ddd"))</f>
        <v>0</v>
      </c>
      <c r="F926" s="15">
        <f>IF(E926="","",IFERROR(INDEX(Clients!$B$5:$B$504,MATCH(E926,Clients!$A$5:$A$504,0)),"Walk-in"))</f>
        <v>0</v>
      </c>
      <c r="H926" s="15">
        <f>IF(G926="","",IFERROR(INDEX(Services!$B$5:$B$204,MATCH(G926,Services!$A$5:$A$204,0)),"Not in Services"))</f>
        <v>0</v>
      </c>
      <c r="J926" s="15">
        <f>IF(I926="","",IFERROR(INDEX(Staff!$B$5:$B$44,MATCH(I926,Staff!$A$5:$A$44,0)),"Unassigned"))</f>
        <v>0</v>
      </c>
      <c r="S926" s="15">
        <f>IF(B926="","",TEXT(B926,"yyyy-mm"))</f>
        <v>0</v>
      </c>
      <c r="T926" s="25">
        <f>IF(B926="","",WEEKNUM(B926,2))</f>
        <v>0</v>
      </c>
      <c r="U926" s="25">
        <f>IF(B926="","",IF(K926&lt;&gt;"",K926,IFERROR(INDEX(Services!$E$5:$E$204,MATCH(G926,Services!$A$5:$A$204,0))*1,0)+IFERROR(INDEX(Services!$F$5:$F$204,MATCH(G926,Services!$A$5:$A$204,0))*1,0)))</f>
        <v>0</v>
      </c>
      <c r="V926" s="36">
        <f>IF(B926="","",IF(D926="","",D926+U926/1440))</f>
        <v>0</v>
      </c>
      <c r="W926" s="25">
        <f>IF(B926="","",IF(D926="","",HOUR(D926)))</f>
        <v>0</v>
      </c>
      <c r="X926" s="37">
        <f>IF(B926="","",ROUND(U926/60,2))</f>
        <v>0</v>
      </c>
      <c r="Y926" s="26">
        <f>IF(B926="","",IF(L926&lt;&gt;"",L926,IFERROR(INDEX(Services!$G$5:$G$204,MATCH(G926,Services!$A$5:$A$204,0))*1,0)))</f>
        <v>0</v>
      </c>
      <c r="Z926" s="26">
        <f>IF(B926="","",IF(O926&lt;&gt;"",O926,IF(Y926&gt;=DepositThreshold,ROUND(Y926*DepositPercent,2),0)))</f>
        <v>0</v>
      </c>
      <c r="AA926" s="26">
        <f>IF(B926="","",ROUND(SUMIFS(Payments!$G$5:$G$1204,Payments!$I$5:$I$1204,A926,Payments!$E$5:$E$1204,"Deposit"),2))</f>
        <v>0</v>
      </c>
      <c r="AB926" s="26">
        <f>IF(B926="","",ROUND(SUMIFS(Sales!$Y$5:$Y$1204,Sales!$C$5:$C$1204,A926),2))</f>
        <v>0</v>
      </c>
      <c r="AC926" s="38">
        <f>IF(B926="","",IF(M926="Completed","Yes",IF(M926="Cancelled","Yes",IF(M926="No show","Yes","No"))))</f>
        <v>0</v>
      </c>
      <c r="AD926" s="25">
        <f>IF(B926="","",IF(AE926="","",B926-AE926))</f>
        <v>0</v>
      </c>
      <c r="AF926" s="38">
        <f>IF(B926="","",IF(M926&lt;&gt;"Completed","",IF(E926="","No",IF(COUNTIFS(Appointments!$E$5:$E$1204,E926,Appointments!$B$5:$B$1204,"&gt;"&amp;B926,Appointments!$M$5:$M$1204,"&lt;&gt;Cancelled")&gt;0,"Yes","No"))))</f>
        <v>0</v>
      </c>
      <c r="AG926" s="38">
        <f>IF(B926="","",IF(I926="","",IF(D926="","",IF(COUNTIFS($I$5:$I$1204,I926,$B$5:$B$1204,B926,$D$5:$D$1204,"&lt;"&amp;V926,$V$5:$V$1204,"&gt;"&amp;D926,$M$5:$M$1204,"&lt;&gt;Cancelled")&gt;1,"Clash",""))))</f>
        <v>0</v>
      </c>
      <c r="AH926" s="39">
        <f>IF(B926="","",IF(AG926="Clash","Clash - stylist double booked",IF(I926="","Assign - no stylist yet",IF(G926="","Add - no service chosen",IF(M926="No show","No show - charge the fee?",IF(M926="Cancelled","",IF(IF(M926="Completed",AB926&lt;Y926-0.004,FALSE),"Unpaid - nothing rung up for this visit",IF(IF(B926&lt;TodayDate,M926="Booked",FALSE),"Overdue - past date, still only Booked",IF(IF(B926=TodayDate,TRUE,FALSE),"Today",IF(IF(Z926&gt;0,AA926&lt;Z926-0.004,FALSE),"Due - deposit not taken",IF(IF(B926&gt;TodayDate,B926&lt;=TodayDate+2,FALSE),"Confirm - coming up","OK")))))))))))</f>
        <v>0</v>
      </c>
    </row>
    <row r="927" spans="1:34">
      <c r="A927" s="28">
        <f>IF(B927="","",AppointmentPrefix&amp;TEXT(ROW()-4,"0000"))</f>
        <v>0</v>
      </c>
      <c r="C927" s="15">
        <f>IF(B927="","",TEXT(B927,"ddd"))</f>
        <v>0</v>
      </c>
      <c r="F927" s="15">
        <f>IF(E927="","",IFERROR(INDEX(Clients!$B$5:$B$504,MATCH(E927,Clients!$A$5:$A$504,0)),"Walk-in"))</f>
        <v>0</v>
      </c>
      <c r="H927" s="15">
        <f>IF(G927="","",IFERROR(INDEX(Services!$B$5:$B$204,MATCH(G927,Services!$A$5:$A$204,0)),"Not in Services"))</f>
        <v>0</v>
      </c>
      <c r="J927" s="15">
        <f>IF(I927="","",IFERROR(INDEX(Staff!$B$5:$B$44,MATCH(I927,Staff!$A$5:$A$44,0)),"Unassigned"))</f>
        <v>0</v>
      </c>
      <c r="S927" s="15">
        <f>IF(B927="","",TEXT(B927,"yyyy-mm"))</f>
        <v>0</v>
      </c>
      <c r="T927" s="25">
        <f>IF(B927="","",WEEKNUM(B927,2))</f>
        <v>0</v>
      </c>
      <c r="U927" s="25">
        <f>IF(B927="","",IF(K927&lt;&gt;"",K927,IFERROR(INDEX(Services!$E$5:$E$204,MATCH(G927,Services!$A$5:$A$204,0))*1,0)+IFERROR(INDEX(Services!$F$5:$F$204,MATCH(G927,Services!$A$5:$A$204,0))*1,0)))</f>
        <v>0</v>
      </c>
      <c r="V927" s="36">
        <f>IF(B927="","",IF(D927="","",D927+U927/1440))</f>
        <v>0</v>
      </c>
      <c r="W927" s="25">
        <f>IF(B927="","",IF(D927="","",HOUR(D927)))</f>
        <v>0</v>
      </c>
      <c r="X927" s="37">
        <f>IF(B927="","",ROUND(U927/60,2))</f>
        <v>0</v>
      </c>
      <c r="Y927" s="26">
        <f>IF(B927="","",IF(L927&lt;&gt;"",L927,IFERROR(INDEX(Services!$G$5:$G$204,MATCH(G927,Services!$A$5:$A$204,0))*1,0)))</f>
        <v>0</v>
      </c>
      <c r="Z927" s="26">
        <f>IF(B927="","",IF(O927&lt;&gt;"",O927,IF(Y927&gt;=DepositThreshold,ROUND(Y927*DepositPercent,2),0)))</f>
        <v>0</v>
      </c>
      <c r="AA927" s="26">
        <f>IF(B927="","",ROUND(SUMIFS(Payments!$G$5:$G$1204,Payments!$I$5:$I$1204,A927,Payments!$E$5:$E$1204,"Deposit"),2))</f>
        <v>0</v>
      </c>
      <c r="AB927" s="26">
        <f>IF(B927="","",ROUND(SUMIFS(Sales!$Y$5:$Y$1204,Sales!$C$5:$C$1204,A927),2))</f>
        <v>0</v>
      </c>
      <c r="AC927" s="38">
        <f>IF(B927="","",IF(M927="Completed","Yes",IF(M927="Cancelled","Yes",IF(M927="No show","Yes","No"))))</f>
        <v>0</v>
      </c>
      <c r="AD927" s="25">
        <f>IF(B927="","",IF(AE927="","",B927-AE927))</f>
        <v>0</v>
      </c>
      <c r="AF927" s="38">
        <f>IF(B927="","",IF(M927&lt;&gt;"Completed","",IF(E927="","No",IF(COUNTIFS(Appointments!$E$5:$E$1204,E927,Appointments!$B$5:$B$1204,"&gt;"&amp;B927,Appointments!$M$5:$M$1204,"&lt;&gt;Cancelled")&gt;0,"Yes","No"))))</f>
        <v>0</v>
      </c>
      <c r="AG927" s="38">
        <f>IF(B927="","",IF(I927="","",IF(D927="","",IF(COUNTIFS($I$5:$I$1204,I927,$B$5:$B$1204,B927,$D$5:$D$1204,"&lt;"&amp;V927,$V$5:$V$1204,"&gt;"&amp;D927,$M$5:$M$1204,"&lt;&gt;Cancelled")&gt;1,"Clash",""))))</f>
        <v>0</v>
      </c>
      <c r="AH927" s="39">
        <f>IF(B927="","",IF(AG927="Clash","Clash - stylist double booked",IF(I927="","Assign - no stylist yet",IF(G927="","Add - no service chosen",IF(M927="No show","No show - charge the fee?",IF(M927="Cancelled","",IF(IF(M927="Completed",AB927&lt;Y927-0.004,FALSE),"Unpaid - nothing rung up for this visit",IF(IF(B927&lt;TodayDate,M927="Booked",FALSE),"Overdue - past date, still only Booked",IF(IF(B927=TodayDate,TRUE,FALSE),"Today",IF(IF(Z927&gt;0,AA927&lt;Z927-0.004,FALSE),"Due - deposit not taken",IF(IF(B927&gt;TodayDate,B927&lt;=TodayDate+2,FALSE),"Confirm - coming up","OK")))))))))))</f>
        <v>0</v>
      </c>
    </row>
    <row r="928" spans="1:34">
      <c r="A928" s="28">
        <f>IF(B928="","",AppointmentPrefix&amp;TEXT(ROW()-4,"0000"))</f>
        <v>0</v>
      </c>
      <c r="C928" s="15">
        <f>IF(B928="","",TEXT(B928,"ddd"))</f>
        <v>0</v>
      </c>
      <c r="F928" s="15">
        <f>IF(E928="","",IFERROR(INDEX(Clients!$B$5:$B$504,MATCH(E928,Clients!$A$5:$A$504,0)),"Walk-in"))</f>
        <v>0</v>
      </c>
      <c r="H928" s="15">
        <f>IF(G928="","",IFERROR(INDEX(Services!$B$5:$B$204,MATCH(G928,Services!$A$5:$A$204,0)),"Not in Services"))</f>
        <v>0</v>
      </c>
      <c r="J928" s="15">
        <f>IF(I928="","",IFERROR(INDEX(Staff!$B$5:$B$44,MATCH(I928,Staff!$A$5:$A$44,0)),"Unassigned"))</f>
        <v>0</v>
      </c>
      <c r="S928" s="15">
        <f>IF(B928="","",TEXT(B928,"yyyy-mm"))</f>
        <v>0</v>
      </c>
      <c r="T928" s="25">
        <f>IF(B928="","",WEEKNUM(B928,2))</f>
        <v>0</v>
      </c>
      <c r="U928" s="25">
        <f>IF(B928="","",IF(K928&lt;&gt;"",K928,IFERROR(INDEX(Services!$E$5:$E$204,MATCH(G928,Services!$A$5:$A$204,0))*1,0)+IFERROR(INDEX(Services!$F$5:$F$204,MATCH(G928,Services!$A$5:$A$204,0))*1,0)))</f>
        <v>0</v>
      </c>
      <c r="V928" s="36">
        <f>IF(B928="","",IF(D928="","",D928+U928/1440))</f>
        <v>0</v>
      </c>
      <c r="W928" s="25">
        <f>IF(B928="","",IF(D928="","",HOUR(D928)))</f>
        <v>0</v>
      </c>
      <c r="X928" s="37">
        <f>IF(B928="","",ROUND(U928/60,2))</f>
        <v>0</v>
      </c>
      <c r="Y928" s="26">
        <f>IF(B928="","",IF(L928&lt;&gt;"",L928,IFERROR(INDEX(Services!$G$5:$G$204,MATCH(G928,Services!$A$5:$A$204,0))*1,0)))</f>
        <v>0</v>
      </c>
      <c r="Z928" s="26">
        <f>IF(B928="","",IF(O928&lt;&gt;"",O928,IF(Y928&gt;=DepositThreshold,ROUND(Y928*DepositPercent,2),0)))</f>
        <v>0</v>
      </c>
      <c r="AA928" s="26">
        <f>IF(B928="","",ROUND(SUMIFS(Payments!$G$5:$G$1204,Payments!$I$5:$I$1204,A928,Payments!$E$5:$E$1204,"Deposit"),2))</f>
        <v>0</v>
      </c>
      <c r="AB928" s="26">
        <f>IF(B928="","",ROUND(SUMIFS(Sales!$Y$5:$Y$1204,Sales!$C$5:$C$1204,A928),2))</f>
        <v>0</v>
      </c>
      <c r="AC928" s="38">
        <f>IF(B928="","",IF(M928="Completed","Yes",IF(M928="Cancelled","Yes",IF(M928="No show","Yes","No"))))</f>
        <v>0</v>
      </c>
      <c r="AD928" s="25">
        <f>IF(B928="","",IF(AE928="","",B928-AE928))</f>
        <v>0</v>
      </c>
      <c r="AF928" s="38">
        <f>IF(B928="","",IF(M928&lt;&gt;"Completed","",IF(E928="","No",IF(COUNTIFS(Appointments!$E$5:$E$1204,E928,Appointments!$B$5:$B$1204,"&gt;"&amp;B928,Appointments!$M$5:$M$1204,"&lt;&gt;Cancelled")&gt;0,"Yes","No"))))</f>
        <v>0</v>
      </c>
      <c r="AG928" s="38">
        <f>IF(B928="","",IF(I928="","",IF(D928="","",IF(COUNTIFS($I$5:$I$1204,I928,$B$5:$B$1204,B928,$D$5:$D$1204,"&lt;"&amp;V928,$V$5:$V$1204,"&gt;"&amp;D928,$M$5:$M$1204,"&lt;&gt;Cancelled")&gt;1,"Clash",""))))</f>
        <v>0</v>
      </c>
      <c r="AH928" s="39">
        <f>IF(B928="","",IF(AG928="Clash","Clash - stylist double booked",IF(I928="","Assign - no stylist yet",IF(G928="","Add - no service chosen",IF(M928="No show","No show - charge the fee?",IF(M928="Cancelled","",IF(IF(M928="Completed",AB928&lt;Y928-0.004,FALSE),"Unpaid - nothing rung up for this visit",IF(IF(B928&lt;TodayDate,M928="Booked",FALSE),"Overdue - past date, still only Booked",IF(IF(B928=TodayDate,TRUE,FALSE),"Today",IF(IF(Z928&gt;0,AA928&lt;Z928-0.004,FALSE),"Due - deposit not taken",IF(IF(B928&gt;TodayDate,B928&lt;=TodayDate+2,FALSE),"Confirm - coming up","OK")))))))))))</f>
        <v>0</v>
      </c>
    </row>
    <row r="929" spans="1:34">
      <c r="A929" s="28">
        <f>IF(B929="","",AppointmentPrefix&amp;TEXT(ROW()-4,"0000"))</f>
        <v>0</v>
      </c>
      <c r="C929" s="15">
        <f>IF(B929="","",TEXT(B929,"ddd"))</f>
        <v>0</v>
      </c>
      <c r="F929" s="15">
        <f>IF(E929="","",IFERROR(INDEX(Clients!$B$5:$B$504,MATCH(E929,Clients!$A$5:$A$504,0)),"Walk-in"))</f>
        <v>0</v>
      </c>
      <c r="H929" s="15">
        <f>IF(G929="","",IFERROR(INDEX(Services!$B$5:$B$204,MATCH(G929,Services!$A$5:$A$204,0)),"Not in Services"))</f>
        <v>0</v>
      </c>
      <c r="J929" s="15">
        <f>IF(I929="","",IFERROR(INDEX(Staff!$B$5:$B$44,MATCH(I929,Staff!$A$5:$A$44,0)),"Unassigned"))</f>
        <v>0</v>
      </c>
      <c r="S929" s="15">
        <f>IF(B929="","",TEXT(B929,"yyyy-mm"))</f>
        <v>0</v>
      </c>
      <c r="T929" s="25">
        <f>IF(B929="","",WEEKNUM(B929,2))</f>
        <v>0</v>
      </c>
      <c r="U929" s="25">
        <f>IF(B929="","",IF(K929&lt;&gt;"",K929,IFERROR(INDEX(Services!$E$5:$E$204,MATCH(G929,Services!$A$5:$A$204,0))*1,0)+IFERROR(INDEX(Services!$F$5:$F$204,MATCH(G929,Services!$A$5:$A$204,0))*1,0)))</f>
        <v>0</v>
      </c>
      <c r="V929" s="36">
        <f>IF(B929="","",IF(D929="","",D929+U929/1440))</f>
        <v>0</v>
      </c>
      <c r="W929" s="25">
        <f>IF(B929="","",IF(D929="","",HOUR(D929)))</f>
        <v>0</v>
      </c>
      <c r="X929" s="37">
        <f>IF(B929="","",ROUND(U929/60,2))</f>
        <v>0</v>
      </c>
      <c r="Y929" s="26">
        <f>IF(B929="","",IF(L929&lt;&gt;"",L929,IFERROR(INDEX(Services!$G$5:$G$204,MATCH(G929,Services!$A$5:$A$204,0))*1,0)))</f>
        <v>0</v>
      </c>
      <c r="Z929" s="26">
        <f>IF(B929="","",IF(O929&lt;&gt;"",O929,IF(Y929&gt;=DepositThreshold,ROUND(Y929*DepositPercent,2),0)))</f>
        <v>0</v>
      </c>
      <c r="AA929" s="26">
        <f>IF(B929="","",ROUND(SUMIFS(Payments!$G$5:$G$1204,Payments!$I$5:$I$1204,A929,Payments!$E$5:$E$1204,"Deposit"),2))</f>
        <v>0</v>
      </c>
      <c r="AB929" s="26">
        <f>IF(B929="","",ROUND(SUMIFS(Sales!$Y$5:$Y$1204,Sales!$C$5:$C$1204,A929),2))</f>
        <v>0</v>
      </c>
      <c r="AC929" s="38">
        <f>IF(B929="","",IF(M929="Completed","Yes",IF(M929="Cancelled","Yes",IF(M929="No show","Yes","No"))))</f>
        <v>0</v>
      </c>
      <c r="AD929" s="25">
        <f>IF(B929="","",IF(AE929="","",B929-AE929))</f>
        <v>0</v>
      </c>
      <c r="AF929" s="38">
        <f>IF(B929="","",IF(M929&lt;&gt;"Completed","",IF(E929="","No",IF(COUNTIFS(Appointments!$E$5:$E$1204,E929,Appointments!$B$5:$B$1204,"&gt;"&amp;B929,Appointments!$M$5:$M$1204,"&lt;&gt;Cancelled")&gt;0,"Yes","No"))))</f>
        <v>0</v>
      </c>
      <c r="AG929" s="38">
        <f>IF(B929="","",IF(I929="","",IF(D929="","",IF(COUNTIFS($I$5:$I$1204,I929,$B$5:$B$1204,B929,$D$5:$D$1204,"&lt;"&amp;V929,$V$5:$V$1204,"&gt;"&amp;D929,$M$5:$M$1204,"&lt;&gt;Cancelled")&gt;1,"Clash",""))))</f>
        <v>0</v>
      </c>
      <c r="AH929" s="39">
        <f>IF(B929="","",IF(AG929="Clash","Clash - stylist double booked",IF(I929="","Assign - no stylist yet",IF(G929="","Add - no service chosen",IF(M929="No show","No show - charge the fee?",IF(M929="Cancelled","",IF(IF(M929="Completed",AB929&lt;Y929-0.004,FALSE),"Unpaid - nothing rung up for this visit",IF(IF(B929&lt;TodayDate,M929="Booked",FALSE),"Overdue - past date, still only Booked",IF(IF(B929=TodayDate,TRUE,FALSE),"Today",IF(IF(Z929&gt;0,AA929&lt;Z929-0.004,FALSE),"Due - deposit not taken",IF(IF(B929&gt;TodayDate,B929&lt;=TodayDate+2,FALSE),"Confirm - coming up","OK")))))))))))</f>
        <v>0</v>
      </c>
    </row>
    <row r="930" spans="1:34">
      <c r="A930" s="28">
        <f>IF(B930="","",AppointmentPrefix&amp;TEXT(ROW()-4,"0000"))</f>
        <v>0</v>
      </c>
      <c r="C930" s="15">
        <f>IF(B930="","",TEXT(B930,"ddd"))</f>
        <v>0</v>
      </c>
      <c r="F930" s="15">
        <f>IF(E930="","",IFERROR(INDEX(Clients!$B$5:$B$504,MATCH(E930,Clients!$A$5:$A$504,0)),"Walk-in"))</f>
        <v>0</v>
      </c>
      <c r="H930" s="15">
        <f>IF(G930="","",IFERROR(INDEX(Services!$B$5:$B$204,MATCH(G930,Services!$A$5:$A$204,0)),"Not in Services"))</f>
        <v>0</v>
      </c>
      <c r="J930" s="15">
        <f>IF(I930="","",IFERROR(INDEX(Staff!$B$5:$B$44,MATCH(I930,Staff!$A$5:$A$44,0)),"Unassigned"))</f>
        <v>0</v>
      </c>
      <c r="S930" s="15">
        <f>IF(B930="","",TEXT(B930,"yyyy-mm"))</f>
        <v>0</v>
      </c>
      <c r="T930" s="25">
        <f>IF(B930="","",WEEKNUM(B930,2))</f>
        <v>0</v>
      </c>
      <c r="U930" s="25">
        <f>IF(B930="","",IF(K930&lt;&gt;"",K930,IFERROR(INDEX(Services!$E$5:$E$204,MATCH(G930,Services!$A$5:$A$204,0))*1,0)+IFERROR(INDEX(Services!$F$5:$F$204,MATCH(G930,Services!$A$5:$A$204,0))*1,0)))</f>
        <v>0</v>
      </c>
      <c r="V930" s="36">
        <f>IF(B930="","",IF(D930="","",D930+U930/1440))</f>
        <v>0</v>
      </c>
      <c r="W930" s="25">
        <f>IF(B930="","",IF(D930="","",HOUR(D930)))</f>
        <v>0</v>
      </c>
      <c r="X930" s="37">
        <f>IF(B930="","",ROUND(U930/60,2))</f>
        <v>0</v>
      </c>
      <c r="Y930" s="26">
        <f>IF(B930="","",IF(L930&lt;&gt;"",L930,IFERROR(INDEX(Services!$G$5:$G$204,MATCH(G930,Services!$A$5:$A$204,0))*1,0)))</f>
        <v>0</v>
      </c>
      <c r="Z930" s="26">
        <f>IF(B930="","",IF(O930&lt;&gt;"",O930,IF(Y930&gt;=DepositThreshold,ROUND(Y930*DepositPercent,2),0)))</f>
        <v>0</v>
      </c>
      <c r="AA930" s="26">
        <f>IF(B930="","",ROUND(SUMIFS(Payments!$G$5:$G$1204,Payments!$I$5:$I$1204,A930,Payments!$E$5:$E$1204,"Deposit"),2))</f>
        <v>0</v>
      </c>
      <c r="AB930" s="26">
        <f>IF(B930="","",ROUND(SUMIFS(Sales!$Y$5:$Y$1204,Sales!$C$5:$C$1204,A930),2))</f>
        <v>0</v>
      </c>
      <c r="AC930" s="38">
        <f>IF(B930="","",IF(M930="Completed","Yes",IF(M930="Cancelled","Yes",IF(M930="No show","Yes","No"))))</f>
        <v>0</v>
      </c>
      <c r="AD930" s="25">
        <f>IF(B930="","",IF(AE930="","",B930-AE930))</f>
        <v>0</v>
      </c>
      <c r="AF930" s="38">
        <f>IF(B930="","",IF(M930&lt;&gt;"Completed","",IF(E930="","No",IF(COUNTIFS(Appointments!$E$5:$E$1204,E930,Appointments!$B$5:$B$1204,"&gt;"&amp;B930,Appointments!$M$5:$M$1204,"&lt;&gt;Cancelled")&gt;0,"Yes","No"))))</f>
        <v>0</v>
      </c>
      <c r="AG930" s="38">
        <f>IF(B930="","",IF(I930="","",IF(D930="","",IF(COUNTIFS($I$5:$I$1204,I930,$B$5:$B$1204,B930,$D$5:$D$1204,"&lt;"&amp;V930,$V$5:$V$1204,"&gt;"&amp;D930,$M$5:$M$1204,"&lt;&gt;Cancelled")&gt;1,"Clash",""))))</f>
        <v>0</v>
      </c>
      <c r="AH930" s="39">
        <f>IF(B930="","",IF(AG930="Clash","Clash - stylist double booked",IF(I930="","Assign - no stylist yet",IF(G930="","Add - no service chosen",IF(M930="No show","No show - charge the fee?",IF(M930="Cancelled","",IF(IF(M930="Completed",AB930&lt;Y930-0.004,FALSE),"Unpaid - nothing rung up for this visit",IF(IF(B930&lt;TodayDate,M930="Booked",FALSE),"Overdue - past date, still only Booked",IF(IF(B930=TodayDate,TRUE,FALSE),"Today",IF(IF(Z930&gt;0,AA930&lt;Z930-0.004,FALSE),"Due - deposit not taken",IF(IF(B930&gt;TodayDate,B930&lt;=TodayDate+2,FALSE),"Confirm - coming up","OK")))))))))))</f>
        <v>0</v>
      </c>
    </row>
    <row r="931" spans="1:34">
      <c r="A931" s="28">
        <f>IF(B931="","",AppointmentPrefix&amp;TEXT(ROW()-4,"0000"))</f>
        <v>0</v>
      </c>
      <c r="C931" s="15">
        <f>IF(B931="","",TEXT(B931,"ddd"))</f>
        <v>0</v>
      </c>
      <c r="F931" s="15">
        <f>IF(E931="","",IFERROR(INDEX(Clients!$B$5:$B$504,MATCH(E931,Clients!$A$5:$A$504,0)),"Walk-in"))</f>
        <v>0</v>
      </c>
      <c r="H931" s="15">
        <f>IF(G931="","",IFERROR(INDEX(Services!$B$5:$B$204,MATCH(G931,Services!$A$5:$A$204,0)),"Not in Services"))</f>
        <v>0</v>
      </c>
      <c r="J931" s="15">
        <f>IF(I931="","",IFERROR(INDEX(Staff!$B$5:$B$44,MATCH(I931,Staff!$A$5:$A$44,0)),"Unassigned"))</f>
        <v>0</v>
      </c>
      <c r="S931" s="15">
        <f>IF(B931="","",TEXT(B931,"yyyy-mm"))</f>
        <v>0</v>
      </c>
      <c r="T931" s="25">
        <f>IF(B931="","",WEEKNUM(B931,2))</f>
        <v>0</v>
      </c>
      <c r="U931" s="25">
        <f>IF(B931="","",IF(K931&lt;&gt;"",K931,IFERROR(INDEX(Services!$E$5:$E$204,MATCH(G931,Services!$A$5:$A$204,0))*1,0)+IFERROR(INDEX(Services!$F$5:$F$204,MATCH(G931,Services!$A$5:$A$204,0))*1,0)))</f>
        <v>0</v>
      </c>
      <c r="V931" s="36">
        <f>IF(B931="","",IF(D931="","",D931+U931/1440))</f>
        <v>0</v>
      </c>
      <c r="W931" s="25">
        <f>IF(B931="","",IF(D931="","",HOUR(D931)))</f>
        <v>0</v>
      </c>
      <c r="X931" s="37">
        <f>IF(B931="","",ROUND(U931/60,2))</f>
        <v>0</v>
      </c>
      <c r="Y931" s="26">
        <f>IF(B931="","",IF(L931&lt;&gt;"",L931,IFERROR(INDEX(Services!$G$5:$G$204,MATCH(G931,Services!$A$5:$A$204,0))*1,0)))</f>
        <v>0</v>
      </c>
      <c r="Z931" s="26">
        <f>IF(B931="","",IF(O931&lt;&gt;"",O931,IF(Y931&gt;=DepositThreshold,ROUND(Y931*DepositPercent,2),0)))</f>
        <v>0</v>
      </c>
      <c r="AA931" s="26">
        <f>IF(B931="","",ROUND(SUMIFS(Payments!$G$5:$G$1204,Payments!$I$5:$I$1204,A931,Payments!$E$5:$E$1204,"Deposit"),2))</f>
        <v>0</v>
      </c>
      <c r="AB931" s="26">
        <f>IF(B931="","",ROUND(SUMIFS(Sales!$Y$5:$Y$1204,Sales!$C$5:$C$1204,A931),2))</f>
        <v>0</v>
      </c>
      <c r="AC931" s="38">
        <f>IF(B931="","",IF(M931="Completed","Yes",IF(M931="Cancelled","Yes",IF(M931="No show","Yes","No"))))</f>
        <v>0</v>
      </c>
      <c r="AD931" s="25">
        <f>IF(B931="","",IF(AE931="","",B931-AE931))</f>
        <v>0</v>
      </c>
      <c r="AF931" s="38">
        <f>IF(B931="","",IF(M931&lt;&gt;"Completed","",IF(E931="","No",IF(COUNTIFS(Appointments!$E$5:$E$1204,E931,Appointments!$B$5:$B$1204,"&gt;"&amp;B931,Appointments!$M$5:$M$1204,"&lt;&gt;Cancelled")&gt;0,"Yes","No"))))</f>
        <v>0</v>
      </c>
      <c r="AG931" s="38">
        <f>IF(B931="","",IF(I931="","",IF(D931="","",IF(COUNTIFS($I$5:$I$1204,I931,$B$5:$B$1204,B931,$D$5:$D$1204,"&lt;"&amp;V931,$V$5:$V$1204,"&gt;"&amp;D931,$M$5:$M$1204,"&lt;&gt;Cancelled")&gt;1,"Clash",""))))</f>
        <v>0</v>
      </c>
      <c r="AH931" s="39">
        <f>IF(B931="","",IF(AG931="Clash","Clash - stylist double booked",IF(I931="","Assign - no stylist yet",IF(G931="","Add - no service chosen",IF(M931="No show","No show - charge the fee?",IF(M931="Cancelled","",IF(IF(M931="Completed",AB931&lt;Y931-0.004,FALSE),"Unpaid - nothing rung up for this visit",IF(IF(B931&lt;TodayDate,M931="Booked",FALSE),"Overdue - past date, still only Booked",IF(IF(B931=TodayDate,TRUE,FALSE),"Today",IF(IF(Z931&gt;0,AA931&lt;Z931-0.004,FALSE),"Due - deposit not taken",IF(IF(B931&gt;TodayDate,B931&lt;=TodayDate+2,FALSE),"Confirm - coming up","OK")))))))))))</f>
        <v>0</v>
      </c>
    </row>
    <row r="932" spans="1:34">
      <c r="A932" s="28">
        <f>IF(B932="","",AppointmentPrefix&amp;TEXT(ROW()-4,"0000"))</f>
        <v>0</v>
      </c>
      <c r="C932" s="15">
        <f>IF(B932="","",TEXT(B932,"ddd"))</f>
        <v>0</v>
      </c>
      <c r="F932" s="15">
        <f>IF(E932="","",IFERROR(INDEX(Clients!$B$5:$B$504,MATCH(E932,Clients!$A$5:$A$504,0)),"Walk-in"))</f>
        <v>0</v>
      </c>
      <c r="H932" s="15">
        <f>IF(G932="","",IFERROR(INDEX(Services!$B$5:$B$204,MATCH(G932,Services!$A$5:$A$204,0)),"Not in Services"))</f>
        <v>0</v>
      </c>
      <c r="J932" s="15">
        <f>IF(I932="","",IFERROR(INDEX(Staff!$B$5:$B$44,MATCH(I932,Staff!$A$5:$A$44,0)),"Unassigned"))</f>
        <v>0</v>
      </c>
      <c r="S932" s="15">
        <f>IF(B932="","",TEXT(B932,"yyyy-mm"))</f>
        <v>0</v>
      </c>
      <c r="T932" s="25">
        <f>IF(B932="","",WEEKNUM(B932,2))</f>
        <v>0</v>
      </c>
      <c r="U932" s="25">
        <f>IF(B932="","",IF(K932&lt;&gt;"",K932,IFERROR(INDEX(Services!$E$5:$E$204,MATCH(G932,Services!$A$5:$A$204,0))*1,0)+IFERROR(INDEX(Services!$F$5:$F$204,MATCH(G932,Services!$A$5:$A$204,0))*1,0)))</f>
        <v>0</v>
      </c>
      <c r="V932" s="36">
        <f>IF(B932="","",IF(D932="","",D932+U932/1440))</f>
        <v>0</v>
      </c>
      <c r="W932" s="25">
        <f>IF(B932="","",IF(D932="","",HOUR(D932)))</f>
        <v>0</v>
      </c>
      <c r="X932" s="37">
        <f>IF(B932="","",ROUND(U932/60,2))</f>
        <v>0</v>
      </c>
      <c r="Y932" s="26">
        <f>IF(B932="","",IF(L932&lt;&gt;"",L932,IFERROR(INDEX(Services!$G$5:$G$204,MATCH(G932,Services!$A$5:$A$204,0))*1,0)))</f>
        <v>0</v>
      </c>
      <c r="Z932" s="26">
        <f>IF(B932="","",IF(O932&lt;&gt;"",O932,IF(Y932&gt;=DepositThreshold,ROUND(Y932*DepositPercent,2),0)))</f>
        <v>0</v>
      </c>
      <c r="AA932" s="26">
        <f>IF(B932="","",ROUND(SUMIFS(Payments!$G$5:$G$1204,Payments!$I$5:$I$1204,A932,Payments!$E$5:$E$1204,"Deposit"),2))</f>
        <v>0</v>
      </c>
      <c r="AB932" s="26">
        <f>IF(B932="","",ROUND(SUMIFS(Sales!$Y$5:$Y$1204,Sales!$C$5:$C$1204,A932),2))</f>
        <v>0</v>
      </c>
      <c r="AC932" s="38">
        <f>IF(B932="","",IF(M932="Completed","Yes",IF(M932="Cancelled","Yes",IF(M932="No show","Yes","No"))))</f>
        <v>0</v>
      </c>
      <c r="AD932" s="25">
        <f>IF(B932="","",IF(AE932="","",B932-AE932))</f>
        <v>0</v>
      </c>
      <c r="AF932" s="38">
        <f>IF(B932="","",IF(M932&lt;&gt;"Completed","",IF(E932="","No",IF(COUNTIFS(Appointments!$E$5:$E$1204,E932,Appointments!$B$5:$B$1204,"&gt;"&amp;B932,Appointments!$M$5:$M$1204,"&lt;&gt;Cancelled")&gt;0,"Yes","No"))))</f>
        <v>0</v>
      </c>
      <c r="AG932" s="38">
        <f>IF(B932="","",IF(I932="","",IF(D932="","",IF(COUNTIFS($I$5:$I$1204,I932,$B$5:$B$1204,B932,$D$5:$D$1204,"&lt;"&amp;V932,$V$5:$V$1204,"&gt;"&amp;D932,$M$5:$M$1204,"&lt;&gt;Cancelled")&gt;1,"Clash",""))))</f>
        <v>0</v>
      </c>
      <c r="AH932" s="39">
        <f>IF(B932="","",IF(AG932="Clash","Clash - stylist double booked",IF(I932="","Assign - no stylist yet",IF(G932="","Add - no service chosen",IF(M932="No show","No show - charge the fee?",IF(M932="Cancelled","",IF(IF(M932="Completed",AB932&lt;Y932-0.004,FALSE),"Unpaid - nothing rung up for this visit",IF(IF(B932&lt;TodayDate,M932="Booked",FALSE),"Overdue - past date, still only Booked",IF(IF(B932=TodayDate,TRUE,FALSE),"Today",IF(IF(Z932&gt;0,AA932&lt;Z932-0.004,FALSE),"Due - deposit not taken",IF(IF(B932&gt;TodayDate,B932&lt;=TodayDate+2,FALSE),"Confirm - coming up","OK")))))))))))</f>
        <v>0</v>
      </c>
    </row>
    <row r="933" spans="1:34">
      <c r="A933" s="28">
        <f>IF(B933="","",AppointmentPrefix&amp;TEXT(ROW()-4,"0000"))</f>
        <v>0</v>
      </c>
      <c r="C933" s="15">
        <f>IF(B933="","",TEXT(B933,"ddd"))</f>
        <v>0</v>
      </c>
      <c r="F933" s="15">
        <f>IF(E933="","",IFERROR(INDEX(Clients!$B$5:$B$504,MATCH(E933,Clients!$A$5:$A$504,0)),"Walk-in"))</f>
        <v>0</v>
      </c>
      <c r="H933" s="15">
        <f>IF(G933="","",IFERROR(INDEX(Services!$B$5:$B$204,MATCH(G933,Services!$A$5:$A$204,0)),"Not in Services"))</f>
        <v>0</v>
      </c>
      <c r="J933" s="15">
        <f>IF(I933="","",IFERROR(INDEX(Staff!$B$5:$B$44,MATCH(I933,Staff!$A$5:$A$44,0)),"Unassigned"))</f>
        <v>0</v>
      </c>
      <c r="S933" s="15">
        <f>IF(B933="","",TEXT(B933,"yyyy-mm"))</f>
        <v>0</v>
      </c>
      <c r="T933" s="25">
        <f>IF(B933="","",WEEKNUM(B933,2))</f>
        <v>0</v>
      </c>
      <c r="U933" s="25">
        <f>IF(B933="","",IF(K933&lt;&gt;"",K933,IFERROR(INDEX(Services!$E$5:$E$204,MATCH(G933,Services!$A$5:$A$204,0))*1,0)+IFERROR(INDEX(Services!$F$5:$F$204,MATCH(G933,Services!$A$5:$A$204,0))*1,0)))</f>
        <v>0</v>
      </c>
      <c r="V933" s="36">
        <f>IF(B933="","",IF(D933="","",D933+U933/1440))</f>
        <v>0</v>
      </c>
      <c r="W933" s="25">
        <f>IF(B933="","",IF(D933="","",HOUR(D933)))</f>
        <v>0</v>
      </c>
      <c r="X933" s="37">
        <f>IF(B933="","",ROUND(U933/60,2))</f>
        <v>0</v>
      </c>
      <c r="Y933" s="26">
        <f>IF(B933="","",IF(L933&lt;&gt;"",L933,IFERROR(INDEX(Services!$G$5:$G$204,MATCH(G933,Services!$A$5:$A$204,0))*1,0)))</f>
        <v>0</v>
      </c>
      <c r="Z933" s="26">
        <f>IF(B933="","",IF(O933&lt;&gt;"",O933,IF(Y933&gt;=DepositThreshold,ROUND(Y933*DepositPercent,2),0)))</f>
        <v>0</v>
      </c>
      <c r="AA933" s="26">
        <f>IF(B933="","",ROUND(SUMIFS(Payments!$G$5:$G$1204,Payments!$I$5:$I$1204,A933,Payments!$E$5:$E$1204,"Deposit"),2))</f>
        <v>0</v>
      </c>
      <c r="AB933" s="26">
        <f>IF(B933="","",ROUND(SUMIFS(Sales!$Y$5:$Y$1204,Sales!$C$5:$C$1204,A933),2))</f>
        <v>0</v>
      </c>
      <c r="AC933" s="38">
        <f>IF(B933="","",IF(M933="Completed","Yes",IF(M933="Cancelled","Yes",IF(M933="No show","Yes","No"))))</f>
        <v>0</v>
      </c>
      <c r="AD933" s="25">
        <f>IF(B933="","",IF(AE933="","",B933-AE933))</f>
        <v>0</v>
      </c>
      <c r="AF933" s="38">
        <f>IF(B933="","",IF(M933&lt;&gt;"Completed","",IF(E933="","No",IF(COUNTIFS(Appointments!$E$5:$E$1204,E933,Appointments!$B$5:$B$1204,"&gt;"&amp;B933,Appointments!$M$5:$M$1204,"&lt;&gt;Cancelled")&gt;0,"Yes","No"))))</f>
        <v>0</v>
      </c>
      <c r="AG933" s="38">
        <f>IF(B933="","",IF(I933="","",IF(D933="","",IF(COUNTIFS($I$5:$I$1204,I933,$B$5:$B$1204,B933,$D$5:$D$1204,"&lt;"&amp;V933,$V$5:$V$1204,"&gt;"&amp;D933,$M$5:$M$1204,"&lt;&gt;Cancelled")&gt;1,"Clash",""))))</f>
        <v>0</v>
      </c>
      <c r="AH933" s="39">
        <f>IF(B933="","",IF(AG933="Clash","Clash - stylist double booked",IF(I933="","Assign - no stylist yet",IF(G933="","Add - no service chosen",IF(M933="No show","No show - charge the fee?",IF(M933="Cancelled","",IF(IF(M933="Completed",AB933&lt;Y933-0.004,FALSE),"Unpaid - nothing rung up for this visit",IF(IF(B933&lt;TodayDate,M933="Booked",FALSE),"Overdue - past date, still only Booked",IF(IF(B933=TodayDate,TRUE,FALSE),"Today",IF(IF(Z933&gt;0,AA933&lt;Z933-0.004,FALSE),"Due - deposit not taken",IF(IF(B933&gt;TodayDate,B933&lt;=TodayDate+2,FALSE),"Confirm - coming up","OK")))))))))))</f>
        <v>0</v>
      </c>
    </row>
    <row r="934" spans="1:34">
      <c r="A934" s="28">
        <f>IF(B934="","",AppointmentPrefix&amp;TEXT(ROW()-4,"0000"))</f>
        <v>0</v>
      </c>
      <c r="C934" s="15">
        <f>IF(B934="","",TEXT(B934,"ddd"))</f>
        <v>0</v>
      </c>
      <c r="F934" s="15">
        <f>IF(E934="","",IFERROR(INDEX(Clients!$B$5:$B$504,MATCH(E934,Clients!$A$5:$A$504,0)),"Walk-in"))</f>
        <v>0</v>
      </c>
      <c r="H934" s="15">
        <f>IF(G934="","",IFERROR(INDEX(Services!$B$5:$B$204,MATCH(G934,Services!$A$5:$A$204,0)),"Not in Services"))</f>
        <v>0</v>
      </c>
      <c r="J934" s="15">
        <f>IF(I934="","",IFERROR(INDEX(Staff!$B$5:$B$44,MATCH(I934,Staff!$A$5:$A$44,0)),"Unassigned"))</f>
        <v>0</v>
      </c>
      <c r="S934" s="15">
        <f>IF(B934="","",TEXT(B934,"yyyy-mm"))</f>
        <v>0</v>
      </c>
      <c r="T934" s="25">
        <f>IF(B934="","",WEEKNUM(B934,2))</f>
        <v>0</v>
      </c>
      <c r="U934" s="25">
        <f>IF(B934="","",IF(K934&lt;&gt;"",K934,IFERROR(INDEX(Services!$E$5:$E$204,MATCH(G934,Services!$A$5:$A$204,0))*1,0)+IFERROR(INDEX(Services!$F$5:$F$204,MATCH(G934,Services!$A$5:$A$204,0))*1,0)))</f>
        <v>0</v>
      </c>
      <c r="V934" s="36">
        <f>IF(B934="","",IF(D934="","",D934+U934/1440))</f>
        <v>0</v>
      </c>
      <c r="W934" s="25">
        <f>IF(B934="","",IF(D934="","",HOUR(D934)))</f>
        <v>0</v>
      </c>
      <c r="X934" s="37">
        <f>IF(B934="","",ROUND(U934/60,2))</f>
        <v>0</v>
      </c>
      <c r="Y934" s="26">
        <f>IF(B934="","",IF(L934&lt;&gt;"",L934,IFERROR(INDEX(Services!$G$5:$G$204,MATCH(G934,Services!$A$5:$A$204,0))*1,0)))</f>
        <v>0</v>
      </c>
      <c r="Z934" s="26">
        <f>IF(B934="","",IF(O934&lt;&gt;"",O934,IF(Y934&gt;=DepositThreshold,ROUND(Y934*DepositPercent,2),0)))</f>
        <v>0</v>
      </c>
      <c r="AA934" s="26">
        <f>IF(B934="","",ROUND(SUMIFS(Payments!$G$5:$G$1204,Payments!$I$5:$I$1204,A934,Payments!$E$5:$E$1204,"Deposit"),2))</f>
        <v>0</v>
      </c>
      <c r="AB934" s="26">
        <f>IF(B934="","",ROUND(SUMIFS(Sales!$Y$5:$Y$1204,Sales!$C$5:$C$1204,A934),2))</f>
        <v>0</v>
      </c>
      <c r="AC934" s="38">
        <f>IF(B934="","",IF(M934="Completed","Yes",IF(M934="Cancelled","Yes",IF(M934="No show","Yes","No"))))</f>
        <v>0</v>
      </c>
      <c r="AD934" s="25">
        <f>IF(B934="","",IF(AE934="","",B934-AE934))</f>
        <v>0</v>
      </c>
      <c r="AF934" s="38">
        <f>IF(B934="","",IF(M934&lt;&gt;"Completed","",IF(E934="","No",IF(COUNTIFS(Appointments!$E$5:$E$1204,E934,Appointments!$B$5:$B$1204,"&gt;"&amp;B934,Appointments!$M$5:$M$1204,"&lt;&gt;Cancelled")&gt;0,"Yes","No"))))</f>
        <v>0</v>
      </c>
      <c r="AG934" s="38">
        <f>IF(B934="","",IF(I934="","",IF(D934="","",IF(COUNTIFS($I$5:$I$1204,I934,$B$5:$B$1204,B934,$D$5:$D$1204,"&lt;"&amp;V934,$V$5:$V$1204,"&gt;"&amp;D934,$M$5:$M$1204,"&lt;&gt;Cancelled")&gt;1,"Clash",""))))</f>
        <v>0</v>
      </c>
      <c r="AH934" s="39">
        <f>IF(B934="","",IF(AG934="Clash","Clash - stylist double booked",IF(I934="","Assign - no stylist yet",IF(G934="","Add - no service chosen",IF(M934="No show","No show - charge the fee?",IF(M934="Cancelled","",IF(IF(M934="Completed",AB934&lt;Y934-0.004,FALSE),"Unpaid - nothing rung up for this visit",IF(IF(B934&lt;TodayDate,M934="Booked",FALSE),"Overdue - past date, still only Booked",IF(IF(B934=TodayDate,TRUE,FALSE),"Today",IF(IF(Z934&gt;0,AA934&lt;Z934-0.004,FALSE),"Due - deposit not taken",IF(IF(B934&gt;TodayDate,B934&lt;=TodayDate+2,FALSE),"Confirm - coming up","OK")))))))))))</f>
        <v>0</v>
      </c>
    </row>
    <row r="935" spans="1:34">
      <c r="A935" s="28">
        <f>IF(B935="","",AppointmentPrefix&amp;TEXT(ROW()-4,"0000"))</f>
        <v>0</v>
      </c>
      <c r="C935" s="15">
        <f>IF(B935="","",TEXT(B935,"ddd"))</f>
        <v>0</v>
      </c>
      <c r="F935" s="15">
        <f>IF(E935="","",IFERROR(INDEX(Clients!$B$5:$B$504,MATCH(E935,Clients!$A$5:$A$504,0)),"Walk-in"))</f>
        <v>0</v>
      </c>
      <c r="H935" s="15">
        <f>IF(G935="","",IFERROR(INDEX(Services!$B$5:$B$204,MATCH(G935,Services!$A$5:$A$204,0)),"Not in Services"))</f>
        <v>0</v>
      </c>
      <c r="J935" s="15">
        <f>IF(I935="","",IFERROR(INDEX(Staff!$B$5:$B$44,MATCH(I935,Staff!$A$5:$A$44,0)),"Unassigned"))</f>
        <v>0</v>
      </c>
      <c r="S935" s="15">
        <f>IF(B935="","",TEXT(B935,"yyyy-mm"))</f>
        <v>0</v>
      </c>
      <c r="T935" s="25">
        <f>IF(B935="","",WEEKNUM(B935,2))</f>
        <v>0</v>
      </c>
      <c r="U935" s="25">
        <f>IF(B935="","",IF(K935&lt;&gt;"",K935,IFERROR(INDEX(Services!$E$5:$E$204,MATCH(G935,Services!$A$5:$A$204,0))*1,0)+IFERROR(INDEX(Services!$F$5:$F$204,MATCH(G935,Services!$A$5:$A$204,0))*1,0)))</f>
        <v>0</v>
      </c>
      <c r="V935" s="36">
        <f>IF(B935="","",IF(D935="","",D935+U935/1440))</f>
        <v>0</v>
      </c>
      <c r="W935" s="25">
        <f>IF(B935="","",IF(D935="","",HOUR(D935)))</f>
        <v>0</v>
      </c>
      <c r="X935" s="37">
        <f>IF(B935="","",ROUND(U935/60,2))</f>
        <v>0</v>
      </c>
      <c r="Y935" s="26">
        <f>IF(B935="","",IF(L935&lt;&gt;"",L935,IFERROR(INDEX(Services!$G$5:$G$204,MATCH(G935,Services!$A$5:$A$204,0))*1,0)))</f>
        <v>0</v>
      </c>
      <c r="Z935" s="26">
        <f>IF(B935="","",IF(O935&lt;&gt;"",O935,IF(Y935&gt;=DepositThreshold,ROUND(Y935*DepositPercent,2),0)))</f>
        <v>0</v>
      </c>
      <c r="AA935" s="26">
        <f>IF(B935="","",ROUND(SUMIFS(Payments!$G$5:$G$1204,Payments!$I$5:$I$1204,A935,Payments!$E$5:$E$1204,"Deposit"),2))</f>
        <v>0</v>
      </c>
      <c r="AB935" s="26">
        <f>IF(B935="","",ROUND(SUMIFS(Sales!$Y$5:$Y$1204,Sales!$C$5:$C$1204,A935),2))</f>
        <v>0</v>
      </c>
      <c r="AC935" s="38">
        <f>IF(B935="","",IF(M935="Completed","Yes",IF(M935="Cancelled","Yes",IF(M935="No show","Yes","No"))))</f>
        <v>0</v>
      </c>
      <c r="AD935" s="25">
        <f>IF(B935="","",IF(AE935="","",B935-AE935))</f>
        <v>0</v>
      </c>
      <c r="AF935" s="38">
        <f>IF(B935="","",IF(M935&lt;&gt;"Completed","",IF(E935="","No",IF(COUNTIFS(Appointments!$E$5:$E$1204,E935,Appointments!$B$5:$B$1204,"&gt;"&amp;B935,Appointments!$M$5:$M$1204,"&lt;&gt;Cancelled")&gt;0,"Yes","No"))))</f>
        <v>0</v>
      </c>
      <c r="AG935" s="38">
        <f>IF(B935="","",IF(I935="","",IF(D935="","",IF(COUNTIFS($I$5:$I$1204,I935,$B$5:$B$1204,B935,$D$5:$D$1204,"&lt;"&amp;V935,$V$5:$V$1204,"&gt;"&amp;D935,$M$5:$M$1204,"&lt;&gt;Cancelled")&gt;1,"Clash",""))))</f>
        <v>0</v>
      </c>
      <c r="AH935" s="39">
        <f>IF(B935="","",IF(AG935="Clash","Clash - stylist double booked",IF(I935="","Assign - no stylist yet",IF(G935="","Add - no service chosen",IF(M935="No show","No show - charge the fee?",IF(M935="Cancelled","",IF(IF(M935="Completed",AB935&lt;Y935-0.004,FALSE),"Unpaid - nothing rung up for this visit",IF(IF(B935&lt;TodayDate,M935="Booked",FALSE),"Overdue - past date, still only Booked",IF(IF(B935=TodayDate,TRUE,FALSE),"Today",IF(IF(Z935&gt;0,AA935&lt;Z935-0.004,FALSE),"Due - deposit not taken",IF(IF(B935&gt;TodayDate,B935&lt;=TodayDate+2,FALSE),"Confirm - coming up","OK")))))))))))</f>
        <v>0</v>
      </c>
    </row>
    <row r="936" spans="1:34">
      <c r="A936" s="28">
        <f>IF(B936="","",AppointmentPrefix&amp;TEXT(ROW()-4,"0000"))</f>
        <v>0</v>
      </c>
      <c r="C936" s="15">
        <f>IF(B936="","",TEXT(B936,"ddd"))</f>
        <v>0</v>
      </c>
      <c r="F936" s="15">
        <f>IF(E936="","",IFERROR(INDEX(Clients!$B$5:$B$504,MATCH(E936,Clients!$A$5:$A$504,0)),"Walk-in"))</f>
        <v>0</v>
      </c>
      <c r="H936" s="15">
        <f>IF(G936="","",IFERROR(INDEX(Services!$B$5:$B$204,MATCH(G936,Services!$A$5:$A$204,0)),"Not in Services"))</f>
        <v>0</v>
      </c>
      <c r="J936" s="15">
        <f>IF(I936="","",IFERROR(INDEX(Staff!$B$5:$B$44,MATCH(I936,Staff!$A$5:$A$44,0)),"Unassigned"))</f>
        <v>0</v>
      </c>
      <c r="S936" s="15">
        <f>IF(B936="","",TEXT(B936,"yyyy-mm"))</f>
        <v>0</v>
      </c>
      <c r="T936" s="25">
        <f>IF(B936="","",WEEKNUM(B936,2))</f>
        <v>0</v>
      </c>
      <c r="U936" s="25">
        <f>IF(B936="","",IF(K936&lt;&gt;"",K936,IFERROR(INDEX(Services!$E$5:$E$204,MATCH(G936,Services!$A$5:$A$204,0))*1,0)+IFERROR(INDEX(Services!$F$5:$F$204,MATCH(G936,Services!$A$5:$A$204,0))*1,0)))</f>
        <v>0</v>
      </c>
      <c r="V936" s="36">
        <f>IF(B936="","",IF(D936="","",D936+U936/1440))</f>
        <v>0</v>
      </c>
      <c r="W936" s="25">
        <f>IF(B936="","",IF(D936="","",HOUR(D936)))</f>
        <v>0</v>
      </c>
      <c r="X936" s="37">
        <f>IF(B936="","",ROUND(U936/60,2))</f>
        <v>0</v>
      </c>
      <c r="Y936" s="26">
        <f>IF(B936="","",IF(L936&lt;&gt;"",L936,IFERROR(INDEX(Services!$G$5:$G$204,MATCH(G936,Services!$A$5:$A$204,0))*1,0)))</f>
        <v>0</v>
      </c>
      <c r="Z936" s="26">
        <f>IF(B936="","",IF(O936&lt;&gt;"",O936,IF(Y936&gt;=DepositThreshold,ROUND(Y936*DepositPercent,2),0)))</f>
        <v>0</v>
      </c>
      <c r="AA936" s="26">
        <f>IF(B936="","",ROUND(SUMIFS(Payments!$G$5:$G$1204,Payments!$I$5:$I$1204,A936,Payments!$E$5:$E$1204,"Deposit"),2))</f>
        <v>0</v>
      </c>
      <c r="AB936" s="26">
        <f>IF(B936="","",ROUND(SUMIFS(Sales!$Y$5:$Y$1204,Sales!$C$5:$C$1204,A936),2))</f>
        <v>0</v>
      </c>
      <c r="AC936" s="38">
        <f>IF(B936="","",IF(M936="Completed","Yes",IF(M936="Cancelled","Yes",IF(M936="No show","Yes","No"))))</f>
        <v>0</v>
      </c>
      <c r="AD936" s="25">
        <f>IF(B936="","",IF(AE936="","",B936-AE936))</f>
        <v>0</v>
      </c>
      <c r="AF936" s="38">
        <f>IF(B936="","",IF(M936&lt;&gt;"Completed","",IF(E936="","No",IF(COUNTIFS(Appointments!$E$5:$E$1204,E936,Appointments!$B$5:$B$1204,"&gt;"&amp;B936,Appointments!$M$5:$M$1204,"&lt;&gt;Cancelled")&gt;0,"Yes","No"))))</f>
        <v>0</v>
      </c>
      <c r="AG936" s="38">
        <f>IF(B936="","",IF(I936="","",IF(D936="","",IF(COUNTIFS($I$5:$I$1204,I936,$B$5:$B$1204,B936,$D$5:$D$1204,"&lt;"&amp;V936,$V$5:$V$1204,"&gt;"&amp;D936,$M$5:$M$1204,"&lt;&gt;Cancelled")&gt;1,"Clash",""))))</f>
        <v>0</v>
      </c>
      <c r="AH936" s="39">
        <f>IF(B936="","",IF(AG936="Clash","Clash - stylist double booked",IF(I936="","Assign - no stylist yet",IF(G936="","Add - no service chosen",IF(M936="No show","No show - charge the fee?",IF(M936="Cancelled","",IF(IF(M936="Completed",AB936&lt;Y936-0.004,FALSE),"Unpaid - nothing rung up for this visit",IF(IF(B936&lt;TodayDate,M936="Booked",FALSE),"Overdue - past date, still only Booked",IF(IF(B936=TodayDate,TRUE,FALSE),"Today",IF(IF(Z936&gt;0,AA936&lt;Z936-0.004,FALSE),"Due - deposit not taken",IF(IF(B936&gt;TodayDate,B936&lt;=TodayDate+2,FALSE),"Confirm - coming up","OK")))))))))))</f>
        <v>0</v>
      </c>
    </row>
    <row r="937" spans="1:34">
      <c r="A937" s="28">
        <f>IF(B937="","",AppointmentPrefix&amp;TEXT(ROW()-4,"0000"))</f>
        <v>0</v>
      </c>
      <c r="C937" s="15">
        <f>IF(B937="","",TEXT(B937,"ddd"))</f>
        <v>0</v>
      </c>
      <c r="F937" s="15">
        <f>IF(E937="","",IFERROR(INDEX(Clients!$B$5:$B$504,MATCH(E937,Clients!$A$5:$A$504,0)),"Walk-in"))</f>
        <v>0</v>
      </c>
      <c r="H937" s="15">
        <f>IF(G937="","",IFERROR(INDEX(Services!$B$5:$B$204,MATCH(G937,Services!$A$5:$A$204,0)),"Not in Services"))</f>
        <v>0</v>
      </c>
      <c r="J937" s="15">
        <f>IF(I937="","",IFERROR(INDEX(Staff!$B$5:$B$44,MATCH(I937,Staff!$A$5:$A$44,0)),"Unassigned"))</f>
        <v>0</v>
      </c>
      <c r="S937" s="15">
        <f>IF(B937="","",TEXT(B937,"yyyy-mm"))</f>
        <v>0</v>
      </c>
      <c r="T937" s="25">
        <f>IF(B937="","",WEEKNUM(B937,2))</f>
        <v>0</v>
      </c>
      <c r="U937" s="25">
        <f>IF(B937="","",IF(K937&lt;&gt;"",K937,IFERROR(INDEX(Services!$E$5:$E$204,MATCH(G937,Services!$A$5:$A$204,0))*1,0)+IFERROR(INDEX(Services!$F$5:$F$204,MATCH(G937,Services!$A$5:$A$204,0))*1,0)))</f>
        <v>0</v>
      </c>
      <c r="V937" s="36">
        <f>IF(B937="","",IF(D937="","",D937+U937/1440))</f>
        <v>0</v>
      </c>
      <c r="W937" s="25">
        <f>IF(B937="","",IF(D937="","",HOUR(D937)))</f>
        <v>0</v>
      </c>
      <c r="X937" s="37">
        <f>IF(B937="","",ROUND(U937/60,2))</f>
        <v>0</v>
      </c>
      <c r="Y937" s="26">
        <f>IF(B937="","",IF(L937&lt;&gt;"",L937,IFERROR(INDEX(Services!$G$5:$G$204,MATCH(G937,Services!$A$5:$A$204,0))*1,0)))</f>
        <v>0</v>
      </c>
      <c r="Z937" s="26">
        <f>IF(B937="","",IF(O937&lt;&gt;"",O937,IF(Y937&gt;=DepositThreshold,ROUND(Y937*DepositPercent,2),0)))</f>
        <v>0</v>
      </c>
      <c r="AA937" s="26">
        <f>IF(B937="","",ROUND(SUMIFS(Payments!$G$5:$G$1204,Payments!$I$5:$I$1204,A937,Payments!$E$5:$E$1204,"Deposit"),2))</f>
        <v>0</v>
      </c>
      <c r="AB937" s="26">
        <f>IF(B937="","",ROUND(SUMIFS(Sales!$Y$5:$Y$1204,Sales!$C$5:$C$1204,A937),2))</f>
        <v>0</v>
      </c>
      <c r="AC937" s="38">
        <f>IF(B937="","",IF(M937="Completed","Yes",IF(M937="Cancelled","Yes",IF(M937="No show","Yes","No"))))</f>
        <v>0</v>
      </c>
      <c r="AD937" s="25">
        <f>IF(B937="","",IF(AE937="","",B937-AE937))</f>
        <v>0</v>
      </c>
      <c r="AF937" s="38">
        <f>IF(B937="","",IF(M937&lt;&gt;"Completed","",IF(E937="","No",IF(COUNTIFS(Appointments!$E$5:$E$1204,E937,Appointments!$B$5:$B$1204,"&gt;"&amp;B937,Appointments!$M$5:$M$1204,"&lt;&gt;Cancelled")&gt;0,"Yes","No"))))</f>
        <v>0</v>
      </c>
      <c r="AG937" s="38">
        <f>IF(B937="","",IF(I937="","",IF(D937="","",IF(COUNTIFS($I$5:$I$1204,I937,$B$5:$B$1204,B937,$D$5:$D$1204,"&lt;"&amp;V937,$V$5:$V$1204,"&gt;"&amp;D937,$M$5:$M$1204,"&lt;&gt;Cancelled")&gt;1,"Clash",""))))</f>
        <v>0</v>
      </c>
      <c r="AH937" s="39">
        <f>IF(B937="","",IF(AG937="Clash","Clash - stylist double booked",IF(I937="","Assign - no stylist yet",IF(G937="","Add - no service chosen",IF(M937="No show","No show - charge the fee?",IF(M937="Cancelled","",IF(IF(M937="Completed",AB937&lt;Y937-0.004,FALSE),"Unpaid - nothing rung up for this visit",IF(IF(B937&lt;TodayDate,M937="Booked",FALSE),"Overdue - past date, still only Booked",IF(IF(B937=TodayDate,TRUE,FALSE),"Today",IF(IF(Z937&gt;0,AA937&lt;Z937-0.004,FALSE),"Due - deposit not taken",IF(IF(B937&gt;TodayDate,B937&lt;=TodayDate+2,FALSE),"Confirm - coming up","OK")))))))))))</f>
        <v>0</v>
      </c>
    </row>
    <row r="938" spans="1:34">
      <c r="A938" s="28">
        <f>IF(B938="","",AppointmentPrefix&amp;TEXT(ROW()-4,"0000"))</f>
        <v>0</v>
      </c>
      <c r="C938" s="15">
        <f>IF(B938="","",TEXT(B938,"ddd"))</f>
        <v>0</v>
      </c>
      <c r="F938" s="15">
        <f>IF(E938="","",IFERROR(INDEX(Clients!$B$5:$B$504,MATCH(E938,Clients!$A$5:$A$504,0)),"Walk-in"))</f>
        <v>0</v>
      </c>
      <c r="H938" s="15">
        <f>IF(G938="","",IFERROR(INDEX(Services!$B$5:$B$204,MATCH(G938,Services!$A$5:$A$204,0)),"Not in Services"))</f>
        <v>0</v>
      </c>
      <c r="J938" s="15">
        <f>IF(I938="","",IFERROR(INDEX(Staff!$B$5:$B$44,MATCH(I938,Staff!$A$5:$A$44,0)),"Unassigned"))</f>
        <v>0</v>
      </c>
      <c r="S938" s="15">
        <f>IF(B938="","",TEXT(B938,"yyyy-mm"))</f>
        <v>0</v>
      </c>
      <c r="T938" s="25">
        <f>IF(B938="","",WEEKNUM(B938,2))</f>
        <v>0</v>
      </c>
      <c r="U938" s="25">
        <f>IF(B938="","",IF(K938&lt;&gt;"",K938,IFERROR(INDEX(Services!$E$5:$E$204,MATCH(G938,Services!$A$5:$A$204,0))*1,0)+IFERROR(INDEX(Services!$F$5:$F$204,MATCH(G938,Services!$A$5:$A$204,0))*1,0)))</f>
        <v>0</v>
      </c>
      <c r="V938" s="36">
        <f>IF(B938="","",IF(D938="","",D938+U938/1440))</f>
        <v>0</v>
      </c>
      <c r="W938" s="25">
        <f>IF(B938="","",IF(D938="","",HOUR(D938)))</f>
        <v>0</v>
      </c>
      <c r="X938" s="37">
        <f>IF(B938="","",ROUND(U938/60,2))</f>
        <v>0</v>
      </c>
      <c r="Y938" s="26">
        <f>IF(B938="","",IF(L938&lt;&gt;"",L938,IFERROR(INDEX(Services!$G$5:$G$204,MATCH(G938,Services!$A$5:$A$204,0))*1,0)))</f>
        <v>0</v>
      </c>
      <c r="Z938" s="26">
        <f>IF(B938="","",IF(O938&lt;&gt;"",O938,IF(Y938&gt;=DepositThreshold,ROUND(Y938*DepositPercent,2),0)))</f>
        <v>0</v>
      </c>
      <c r="AA938" s="26">
        <f>IF(B938="","",ROUND(SUMIFS(Payments!$G$5:$G$1204,Payments!$I$5:$I$1204,A938,Payments!$E$5:$E$1204,"Deposit"),2))</f>
        <v>0</v>
      </c>
      <c r="AB938" s="26">
        <f>IF(B938="","",ROUND(SUMIFS(Sales!$Y$5:$Y$1204,Sales!$C$5:$C$1204,A938),2))</f>
        <v>0</v>
      </c>
      <c r="AC938" s="38">
        <f>IF(B938="","",IF(M938="Completed","Yes",IF(M938="Cancelled","Yes",IF(M938="No show","Yes","No"))))</f>
        <v>0</v>
      </c>
      <c r="AD938" s="25">
        <f>IF(B938="","",IF(AE938="","",B938-AE938))</f>
        <v>0</v>
      </c>
      <c r="AF938" s="38">
        <f>IF(B938="","",IF(M938&lt;&gt;"Completed","",IF(E938="","No",IF(COUNTIFS(Appointments!$E$5:$E$1204,E938,Appointments!$B$5:$B$1204,"&gt;"&amp;B938,Appointments!$M$5:$M$1204,"&lt;&gt;Cancelled")&gt;0,"Yes","No"))))</f>
        <v>0</v>
      </c>
      <c r="AG938" s="38">
        <f>IF(B938="","",IF(I938="","",IF(D938="","",IF(COUNTIFS($I$5:$I$1204,I938,$B$5:$B$1204,B938,$D$5:$D$1204,"&lt;"&amp;V938,$V$5:$V$1204,"&gt;"&amp;D938,$M$5:$M$1204,"&lt;&gt;Cancelled")&gt;1,"Clash",""))))</f>
        <v>0</v>
      </c>
      <c r="AH938" s="39">
        <f>IF(B938="","",IF(AG938="Clash","Clash - stylist double booked",IF(I938="","Assign - no stylist yet",IF(G938="","Add - no service chosen",IF(M938="No show","No show - charge the fee?",IF(M938="Cancelled","",IF(IF(M938="Completed",AB938&lt;Y938-0.004,FALSE),"Unpaid - nothing rung up for this visit",IF(IF(B938&lt;TodayDate,M938="Booked",FALSE),"Overdue - past date, still only Booked",IF(IF(B938=TodayDate,TRUE,FALSE),"Today",IF(IF(Z938&gt;0,AA938&lt;Z938-0.004,FALSE),"Due - deposit not taken",IF(IF(B938&gt;TodayDate,B938&lt;=TodayDate+2,FALSE),"Confirm - coming up","OK")))))))))))</f>
        <v>0</v>
      </c>
    </row>
    <row r="939" spans="1:34">
      <c r="A939" s="28">
        <f>IF(B939="","",AppointmentPrefix&amp;TEXT(ROW()-4,"0000"))</f>
        <v>0</v>
      </c>
      <c r="C939" s="15">
        <f>IF(B939="","",TEXT(B939,"ddd"))</f>
        <v>0</v>
      </c>
      <c r="F939" s="15">
        <f>IF(E939="","",IFERROR(INDEX(Clients!$B$5:$B$504,MATCH(E939,Clients!$A$5:$A$504,0)),"Walk-in"))</f>
        <v>0</v>
      </c>
      <c r="H939" s="15">
        <f>IF(G939="","",IFERROR(INDEX(Services!$B$5:$B$204,MATCH(G939,Services!$A$5:$A$204,0)),"Not in Services"))</f>
        <v>0</v>
      </c>
      <c r="J939" s="15">
        <f>IF(I939="","",IFERROR(INDEX(Staff!$B$5:$B$44,MATCH(I939,Staff!$A$5:$A$44,0)),"Unassigned"))</f>
        <v>0</v>
      </c>
      <c r="S939" s="15">
        <f>IF(B939="","",TEXT(B939,"yyyy-mm"))</f>
        <v>0</v>
      </c>
      <c r="T939" s="25">
        <f>IF(B939="","",WEEKNUM(B939,2))</f>
        <v>0</v>
      </c>
      <c r="U939" s="25">
        <f>IF(B939="","",IF(K939&lt;&gt;"",K939,IFERROR(INDEX(Services!$E$5:$E$204,MATCH(G939,Services!$A$5:$A$204,0))*1,0)+IFERROR(INDEX(Services!$F$5:$F$204,MATCH(G939,Services!$A$5:$A$204,0))*1,0)))</f>
        <v>0</v>
      </c>
      <c r="V939" s="36">
        <f>IF(B939="","",IF(D939="","",D939+U939/1440))</f>
        <v>0</v>
      </c>
      <c r="W939" s="25">
        <f>IF(B939="","",IF(D939="","",HOUR(D939)))</f>
        <v>0</v>
      </c>
      <c r="X939" s="37">
        <f>IF(B939="","",ROUND(U939/60,2))</f>
        <v>0</v>
      </c>
      <c r="Y939" s="26">
        <f>IF(B939="","",IF(L939&lt;&gt;"",L939,IFERROR(INDEX(Services!$G$5:$G$204,MATCH(G939,Services!$A$5:$A$204,0))*1,0)))</f>
        <v>0</v>
      </c>
      <c r="Z939" s="26">
        <f>IF(B939="","",IF(O939&lt;&gt;"",O939,IF(Y939&gt;=DepositThreshold,ROUND(Y939*DepositPercent,2),0)))</f>
        <v>0</v>
      </c>
      <c r="AA939" s="26">
        <f>IF(B939="","",ROUND(SUMIFS(Payments!$G$5:$G$1204,Payments!$I$5:$I$1204,A939,Payments!$E$5:$E$1204,"Deposit"),2))</f>
        <v>0</v>
      </c>
      <c r="AB939" s="26">
        <f>IF(B939="","",ROUND(SUMIFS(Sales!$Y$5:$Y$1204,Sales!$C$5:$C$1204,A939),2))</f>
        <v>0</v>
      </c>
      <c r="AC939" s="38">
        <f>IF(B939="","",IF(M939="Completed","Yes",IF(M939="Cancelled","Yes",IF(M939="No show","Yes","No"))))</f>
        <v>0</v>
      </c>
      <c r="AD939" s="25">
        <f>IF(B939="","",IF(AE939="","",B939-AE939))</f>
        <v>0</v>
      </c>
      <c r="AF939" s="38">
        <f>IF(B939="","",IF(M939&lt;&gt;"Completed","",IF(E939="","No",IF(COUNTIFS(Appointments!$E$5:$E$1204,E939,Appointments!$B$5:$B$1204,"&gt;"&amp;B939,Appointments!$M$5:$M$1204,"&lt;&gt;Cancelled")&gt;0,"Yes","No"))))</f>
        <v>0</v>
      </c>
      <c r="AG939" s="38">
        <f>IF(B939="","",IF(I939="","",IF(D939="","",IF(COUNTIFS($I$5:$I$1204,I939,$B$5:$B$1204,B939,$D$5:$D$1204,"&lt;"&amp;V939,$V$5:$V$1204,"&gt;"&amp;D939,$M$5:$M$1204,"&lt;&gt;Cancelled")&gt;1,"Clash",""))))</f>
        <v>0</v>
      </c>
      <c r="AH939" s="39">
        <f>IF(B939="","",IF(AG939="Clash","Clash - stylist double booked",IF(I939="","Assign - no stylist yet",IF(G939="","Add - no service chosen",IF(M939="No show","No show - charge the fee?",IF(M939="Cancelled","",IF(IF(M939="Completed",AB939&lt;Y939-0.004,FALSE),"Unpaid - nothing rung up for this visit",IF(IF(B939&lt;TodayDate,M939="Booked",FALSE),"Overdue - past date, still only Booked",IF(IF(B939=TodayDate,TRUE,FALSE),"Today",IF(IF(Z939&gt;0,AA939&lt;Z939-0.004,FALSE),"Due - deposit not taken",IF(IF(B939&gt;TodayDate,B939&lt;=TodayDate+2,FALSE),"Confirm - coming up","OK")))))))))))</f>
        <v>0</v>
      </c>
    </row>
    <row r="940" spans="1:34">
      <c r="A940" s="28">
        <f>IF(B940="","",AppointmentPrefix&amp;TEXT(ROW()-4,"0000"))</f>
        <v>0</v>
      </c>
      <c r="C940" s="15">
        <f>IF(B940="","",TEXT(B940,"ddd"))</f>
        <v>0</v>
      </c>
      <c r="F940" s="15">
        <f>IF(E940="","",IFERROR(INDEX(Clients!$B$5:$B$504,MATCH(E940,Clients!$A$5:$A$504,0)),"Walk-in"))</f>
        <v>0</v>
      </c>
      <c r="H940" s="15">
        <f>IF(G940="","",IFERROR(INDEX(Services!$B$5:$B$204,MATCH(G940,Services!$A$5:$A$204,0)),"Not in Services"))</f>
        <v>0</v>
      </c>
      <c r="J940" s="15">
        <f>IF(I940="","",IFERROR(INDEX(Staff!$B$5:$B$44,MATCH(I940,Staff!$A$5:$A$44,0)),"Unassigned"))</f>
        <v>0</v>
      </c>
      <c r="S940" s="15">
        <f>IF(B940="","",TEXT(B940,"yyyy-mm"))</f>
        <v>0</v>
      </c>
      <c r="T940" s="25">
        <f>IF(B940="","",WEEKNUM(B940,2))</f>
        <v>0</v>
      </c>
      <c r="U940" s="25">
        <f>IF(B940="","",IF(K940&lt;&gt;"",K940,IFERROR(INDEX(Services!$E$5:$E$204,MATCH(G940,Services!$A$5:$A$204,0))*1,0)+IFERROR(INDEX(Services!$F$5:$F$204,MATCH(G940,Services!$A$5:$A$204,0))*1,0)))</f>
        <v>0</v>
      </c>
      <c r="V940" s="36">
        <f>IF(B940="","",IF(D940="","",D940+U940/1440))</f>
        <v>0</v>
      </c>
      <c r="W940" s="25">
        <f>IF(B940="","",IF(D940="","",HOUR(D940)))</f>
        <v>0</v>
      </c>
      <c r="X940" s="37">
        <f>IF(B940="","",ROUND(U940/60,2))</f>
        <v>0</v>
      </c>
      <c r="Y940" s="26">
        <f>IF(B940="","",IF(L940&lt;&gt;"",L940,IFERROR(INDEX(Services!$G$5:$G$204,MATCH(G940,Services!$A$5:$A$204,0))*1,0)))</f>
        <v>0</v>
      </c>
      <c r="Z940" s="26">
        <f>IF(B940="","",IF(O940&lt;&gt;"",O940,IF(Y940&gt;=DepositThreshold,ROUND(Y940*DepositPercent,2),0)))</f>
        <v>0</v>
      </c>
      <c r="AA940" s="26">
        <f>IF(B940="","",ROUND(SUMIFS(Payments!$G$5:$G$1204,Payments!$I$5:$I$1204,A940,Payments!$E$5:$E$1204,"Deposit"),2))</f>
        <v>0</v>
      </c>
      <c r="AB940" s="26">
        <f>IF(B940="","",ROUND(SUMIFS(Sales!$Y$5:$Y$1204,Sales!$C$5:$C$1204,A940),2))</f>
        <v>0</v>
      </c>
      <c r="AC940" s="38">
        <f>IF(B940="","",IF(M940="Completed","Yes",IF(M940="Cancelled","Yes",IF(M940="No show","Yes","No"))))</f>
        <v>0</v>
      </c>
      <c r="AD940" s="25">
        <f>IF(B940="","",IF(AE940="","",B940-AE940))</f>
        <v>0</v>
      </c>
      <c r="AF940" s="38">
        <f>IF(B940="","",IF(M940&lt;&gt;"Completed","",IF(E940="","No",IF(COUNTIFS(Appointments!$E$5:$E$1204,E940,Appointments!$B$5:$B$1204,"&gt;"&amp;B940,Appointments!$M$5:$M$1204,"&lt;&gt;Cancelled")&gt;0,"Yes","No"))))</f>
        <v>0</v>
      </c>
      <c r="AG940" s="38">
        <f>IF(B940="","",IF(I940="","",IF(D940="","",IF(COUNTIFS($I$5:$I$1204,I940,$B$5:$B$1204,B940,$D$5:$D$1204,"&lt;"&amp;V940,$V$5:$V$1204,"&gt;"&amp;D940,$M$5:$M$1204,"&lt;&gt;Cancelled")&gt;1,"Clash",""))))</f>
        <v>0</v>
      </c>
      <c r="AH940" s="39">
        <f>IF(B940="","",IF(AG940="Clash","Clash - stylist double booked",IF(I940="","Assign - no stylist yet",IF(G940="","Add - no service chosen",IF(M940="No show","No show - charge the fee?",IF(M940="Cancelled","",IF(IF(M940="Completed",AB940&lt;Y940-0.004,FALSE),"Unpaid - nothing rung up for this visit",IF(IF(B940&lt;TodayDate,M940="Booked",FALSE),"Overdue - past date, still only Booked",IF(IF(B940=TodayDate,TRUE,FALSE),"Today",IF(IF(Z940&gt;0,AA940&lt;Z940-0.004,FALSE),"Due - deposit not taken",IF(IF(B940&gt;TodayDate,B940&lt;=TodayDate+2,FALSE),"Confirm - coming up","OK")))))))))))</f>
        <v>0</v>
      </c>
    </row>
    <row r="941" spans="1:34">
      <c r="A941" s="28">
        <f>IF(B941="","",AppointmentPrefix&amp;TEXT(ROW()-4,"0000"))</f>
        <v>0</v>
      </c>
      <c r="C941" s="15">
        <f>IF(B941="","",TEXT(B941,"ddd"))</f>
        <v>0</v>
      </c>
      <c r="F941" s="15">
        <f>IF(E941="","",IFERROR(INDEX(Clients!$B$5:$B$504,MATCH(E941,Clients!$A$5:$A$504,0)),"Walk-in"))</f>
        <v>0</v>
      </c>
      <c r="H941" s="15">
        <f>IF(G941="","",IFERROR(INDEX(Services!$B$5:$B$204,MATCH(G941,Services!$A$5:$A$204,0)),"Not in Services"))</f>
        <v>0</v>
      </c>
      <c r="J941" s="15">
        <f>IF(I941="","",IFERROR(INDEX(Staff!$B$5:$B$44,MATCH(I941,Staff!$A$5:$A$44,0)),"Unassigned"))</f>
        <v>0</v>
      </c>
      <c r="S941" s="15">
        <f>IF(B941="","",TEXT(B941,"yyyy-mm"))</f>
        <v>0</v>
      </c>
      <c r="T941" s="25">
        <f>IF(B941="","",WEEKNUM(B941,2))</f>
        <v>0</v>
      </c>
      <c r="U941" s="25">
        <f>IF(B941="","",IF(K941&lt;&gt;"",K941,IFERROR(INDEX(Services!$E$5:$E$204,MATCH(G941,Services!$A$5:$A$204,0))*1,0)+IFERROR(INDEX(Services!$F$5:$F$204,MATCH(G941,Services!$A$5:$A$204,0))*1,0)))</f>
        <v>0</v>
      </c>
      <c r="V941" s="36">
        <f>IF(B941="","",IF(D941="","",D941+U941/1440))</f>
        <v>0</v>
      </c>
      <c r="W941" s="25">
        <f>IF(B941="","",IF(D941="","",HOUR(D941)))</f>
        <v>0</v>
      </c>
      <c r="X941" s="37">
        <f>IF(B941="","",ROUND(U941/60,2))</f>
        <v>0</v>
      </c>
      <c r="Y941" s="26">
        <f>IF(B941="","",IF(L941&lt;&gt;"",L941,IFERROR(INDEX(Services!$G$5:$G$204,MATCH(G941,Services!$A$5:$A$204,0))*1,0)))</f>
        <v>0</v>
      </c>
      <c r="Z941" s="26">
        <f>IF(B941="","",IF(O941&lt;&gt;"",O941,IF(Y941&gt;=DepositThreshold,ROUND(Y941*DepositPercent,2),0)))</f>
        <v>0</v>
      </c>
      <c r="AA941" s="26">
        <f>IF(B941="","",ROUND(SUMIFS(Payments!$G$5:$G$1204,Payments!$I$5:$I$1204,A941,Payments!$E$5:$E$1204,"Deposit"),2))</f>
        <v>0</v>
      </c>
      <c r="AB941" s="26">
        <f>IF(B941="","",ROUND(SUMIFS(Sales!$Y$5:$Y$1204,Sales!$C$5:$C$1204,A941),2))</f>
        <v>0</v>
      </c>
      <c r="AC941" s="38">
        <f>IF(B941="","",IF(M941="Completed","Yes",IF(M941="Cancelled","Yes",IF(M941="No show","Yes","No"))))</f>
        <v>0</v>
      </c>
      <c r="AD941" s="25">
        <f>IF(B941="","",IF(AE941="","",B941-AE941))</f>
        <v>0</v>
      </c>
      <c r="AF941" s="38">
        <f>IF(B941="","",IF(M941&lt;&gt;"Completed","",IF(E941="","No",IF(COUNTIFS(Appointments!$E$5:$E$1204,E941,Appointments!$B$5:$B$1204,"&gt;"&amp;B941,Appointments!$M$5:$M$1204,"&lt;&gt;Cancelled")&gt;0,"Yes","No"))))</f>
        <v>0</v>
      </c>
      <c r="AG941" s="38">
        <f>IF(B941="","",IF(I941="","",IF(D941="","",IF(COUNTIFS($I$5:$I$1204,I941,$B$5:$B$1204,B941,$D$5:$D$1204,"&lt;"&amp;V941,$V$5:$V$1204,"&gt;"&amp;D941,$M$5:$M$1204,"&lt;&gt;Cancelled")&gt;1,"Clash",""))))</f>
        <v>0</v>
      </c>
      <c r="AH941" s="39">
        <f>IF(B941="","",IF(AG941="Clash","Clash - stylist double booked",IF(I941="","Assign - no stylist yet",IF(G941="","Add - no service chosen",IF(M941="No show","No show - charge the fee?",IF(M941="Cancelled","",IF(IF(M941="Completed",AB941&lt;Y941-0.004,FALSE),"Unpaid - nothing rung up for this visit",IF(IF(B941&lt;TodayDate,M941="Booked",FALSE),"Overdue - past date, still only Booked",IF(IF(B941=TodayDate,TRUE,FALSE),"Today",IF(IF(Z941&gt;0,AA941&lt;Z941-0.004,FALSE),"Due - deposit not taken",IF(IF(B941&gt;TodayDate,B941&lt;=TodayDate+2,FALSE),"Confirm - coming up","OK")))))))))))</f>
        <v>0</v>
      </c>
    </row>
    <row r="942" spans="1:34">
      <c r="A942" s="28">
        <f>IF(B942="","",AppointmentPrefix&amp;TEXT(ROW()-4,"0000"))</f>
        <v>0</v>
      </c>
      <c r="C942" s="15">
        <f>IF(B942="","",TEXT(B942,"ddd"))</f>
        <v>0</v>
      </c>
      <c r="F942" s="15">
        <f>IF(E942="","",IFERROR(INDEX(Clients!$B$5:$B$504,MATCH(E942,Clients!$A$5:$A$504,0)),"Walk-in"))</f>
        <v>0</v>
      </c>
      <c r="H942" s="15">
        <f>IF(G942="","",IFERROR(INDEX(Services!$B$5:$B$204,MATCH(G942,Services!$A$5:$A$204,0)),"Not in Services"))</f>
        <v>0</v>
      </c>
      <c r="J942" s="15">
        <f>IF(I942="","",IFERROR(INDEX(Staff!$B$5:$B$44,MATCH(I942,Staff!$A$5:$A$44,0)),"Unassigned"))</f>
        <v>0</v>
      </c>
      <c r="S942" s="15">
        <f>IF(B942="","",TEXT(B942,"yyyy-mm"))</f>
        <v>0</v>
      </c>
      <c r="T942" s="25">
        <f>IF(B942="","",WEEKNUM(B942,2))</f>
        <v>0</v>
      </c>
      <c r="U942" s="25">
        <f>IF(B942="","",IF(K942&lt;&gt;"",K942,IFERROR(INDEX(Services!$E$5:$E$204,MATCH(G942,Services!$A$5:$A$204,0))*1,0)+IFERROR(INDEX(Services!$F$5:$F$204,MATCH(G942,Services!$A$5:$A$204,0))*1,0)))</f>
        <v>0</v>
      </c>
      <c r="V942" s="36">
        <f>IF(B942="","",IF(D942="","",D942+U942/1440))</f>
        <v>0</v>
      </c>
      <c r="W942" s="25">
        <f>IF(B942="","",IF(D942="","",HOUR(D942)))</f>
        <v>0</v>
      </c>
      <c r="X942" s="37">
        <f>IF(B942="","",ROUND(U942/60,2))</f>
        <v>0</v>
      </c>
      <c r="Y942" s="26">
        <f>IF(B942="","",IF(L942&lt;&gt;"",L942,IFERROR(INDEX(Services!$G$5:$G$204,MATCH(G942,Services!$A$5:$A$204,0))*1,0)))</f>
        <v>0</v>
      </c>
      <c r="Z942" s="26">
        <f>IF(B942="","",IF(O942&lt;&gt;"",O942,IF(Y942&gt;=DepositThreshold,ROUND(Y942*DepositPercent,2),0)))</f>
        <v>0</v>
      </c>
      <c r="AA942" s="26">
        <f>IF(B942="","",ROUND(SUMIFS(Payments!$G$5:$G$1204,Payments!$I$5:$I$1204,A942,Payments!$E$5:$E$1204,"Deposit"),2))</f>
        <v>0</v>
      </c>
      <c r="AB942" s="26">
        <f>IF(B942="","",ROUND(SUMIFS(Sales!$Y$5:$Y$1204,Sales!$C$5:$C$1204,A942),2))</f>
        <v>0</v>
      </c>
      <c r="AC942" s="38">
        <f>IF(B942="","",IF(M942="Completed","Yes",IF(M942="Cancelled","Yes",IF(M942="No show","Yes","No"))))</f>
        <v>0</v>
      </c>
      <c r="AD942" s="25">
        <f>IF(B942="","",IF(AE942="","",B942-AE942))</f>
        <v>0</v>
      </c>
      <c r="AF942" s="38">
        <f>IF(B942="","",IF(M942&lt;&gt;"Completed","",IF(E942="","No",IF(COUNTIFS(Appointments!$E$5:$E$1204,E942,Appointments!$B$5:$B$1204,"&gt;"&amp;B942,Appointments!$M$5:$M$1204,"&lt;&gt;Cancelled")&gt;0,"Yes","No"))))</f>
        <v>0</v>
      </c>
      <c r="AG942" s="38">
        <f>IF(B942="","",IF(I942="","",IF(D942="","",IF(COUNTIFS($I$5:$I$1204,I942,$B$5:$B$1204,B942,$D$5:$D$1204,"&lt;"&amp;V942,$V$5:$V$1204,"&gt;"&amp;D942,$M$5:$M$1204,"&lt;&gt;Cancelled")&gt;1,"Clash",""))))</f>
        <v>0</v>
      </c>
      <c r="AH942" s="39">
        <f>IF(B942="","",IF(AG942="Clash","Clash - stylist double booked",IF(I942="","Assign - no stylist yet",IF(G942="","Add - no service chosen",IF(M942="No show","No show - charge the fee?",IF(M942="Cancelled","",IF(IF(M942="Completed",AB942&lt;Y942-0.004,FALSE),"Unpaid - nothing rung up for this visit",IF(IF(B942&lt;TodayDate,M942="Booked",FALSE),"Overdue - past date, still only Booked",IF(IF(B942=TodayDate,TRUE,FALSE),"Today",IF(IF(Z942&gt;0,AA942&lt;Z942-0.004,FALSE),"Due - deposit not taken",IF(IF(B942&gt;TodayDate,B942&lt;=TodayDate+2,FALSE),"Confirm - coming up","OK")))))))))))</f>
        <v>0</v>
      </c>
    </row>
    <row r="943" spans="1:34">
      <c r="A943" s="28">
        <f>IF(B943="","",AppointmentPrefix&amp;TEXT(ROW()-4,"0000"))</f>
        <v>0</v>
      </c>
      <c r="C943" s="15">
        <f>IF(B943="","",TEXT(B943,"ddd"))</f>
        <v>0</v>
      </c>
      <c r="F943" s="15">
        <f>IF(E943="","",IFERROR(INDEX(Clients!$B$5:$B$504,MATCH(E943,Clients!$A$5:$A$504,0)),"Walk-in"))</f>
        <v>0</v>
      </c>
      <c r="H943" s="15">
        <f>IF(G943="","",IFERROR(INDEX(Services!$B$5:$B$204,MATCH(G943,Services!$A$5:$A$204,0)),"Not in Services"))</f>
        <v>0</v>
      </c>
      <c r="J943" s="15">
        <f>IF(I943="","",IFERROR(INDEX(Staff!$B$5:$B$44,MATCH(I943,Staff!$A$5:$A$44,0)),"Unassigned"))</f>
        <v>0</v>
      </c>
      <c r="S943" s="15">
        <f>IF(B943="","",TEXT(B943,"yyyy-mm"))</f>
        <v>0</v>
      </c>
      <c r="T943" s="25">
        <f>IF(B943="","",WEEKNUM(B943,2))</f>
        <v>0</v>
      </c>
      <c r="U943" s="25">
        <f>IF(B943="","",IF(K943&lt;&gt;"",K943,IFERROR(INDEX(Services!$E$5:$E$204,MATCH(G943,Services!$A$5:$A$204,0))*1,0)+IFERROR(INDEX(Services!$F$5:$F$204,MATCH(G943,Services!$A$5:$A$204,0))*1,0)))</f>
        <v>0</v>
      </c>
      <c r="V943" s="36">
        <f>IF(B943="","",IF(D943="","",D943+U943/1440))</f>
        <v>0</v>
      </c>
      <c r="W943" s="25">
        <f>IF(B943="","",IF(D943="","",HOUR(D943)))</f>
        <v>0</v>
      </c>
      <c r="X943" s="37">
        <f>IF(B943="","",ROUND(U943/60,2))</f>
        <v>0</v>
      </c>
      <c r="Y943" s="26">
        <f>IF(B943="","",IF(L943&lt;&gt;"",L943,IFERROR(INDEX(Services!$G$5:$G$204,MATCH(G943,Services!$A$5:$A$204,0))*1,0)))</f>
        <v>0</v>
      </c>
      <c r="Z943" s="26">
        <f>IF(B943="","",IF(O943&lt;&gt;"",O943,IF(Y943&gt;=DepositThreshold,ROUND(Y943*DepositPercent,2),0)))</f>
        <v>0</v>
      </c>
      <c r="AA943" s="26">
        <f>IF(B943="","",ROUND(SUMIFS(Payments!$G$5:$G$1204,Payments!$I$5:$I$1204,A943,Payments!$E$5:$E$1204,"Deposit"),2))</f>
        <v>0</v>
      </c>
      <c r="AB943" s="26">
        <f>IF(B943="","",ROUND(SUMIFS(Sales!$Y$5:$Y$1204,Sales!$C$5:$C$1204,A943),2))</f>
        <v>0</v>
      </c>
      <c r="AC943" s="38">
        <f>IF(B943="","",IF(M943="Completed","Yes",IF(M943="Cancelled","Yes",IF(M943="No show","Yes","No"))))</f>
        <v>0</v>
      </c>
      <c r="AD943" s="25">
        <f>IF(B943="","",IF(AE943="","",B943-AE943))</f>
        <v>0</v>
      </c>
      <c r="AF943" s="38">
        <f>IF(B943="","",IF(M943&lt;&gt;"Completed","",IF(E943="","No",IF(COUNTIFS(Appointments!$E$5:$E$1204,E943,Appointments!$B$5:$B$1204,"&gt;"&amp;B943,Appointments!$M$5:$M$1204,"&lt;&gt;Cancelled")&gt;0,"Yes","No"))))</f>
        <v>0</v>
      </c>
      <c r="AG943" s="38">
        <f>IF(B943="","",IF(I943="","",IF(D943="","",IF(COUNTIFS($I$5:$I$1204,I943,$B$5:$B$1204,B943,$D$5:$D$1204,"&lt;"&amp;V943,$V$5:$V$1204,"&gt;"&amp;D943,$M$5:$M$1204,"&lt;&gt;Cancelled")&gt;1,"Clash",""))))</f>
        <v>0</v>
      </c>
      <c r="AH943" s="39">
        <f>IF(B943="","",IF(AG943="Clash","Clash - stylist double booked",IF(I943="","Assign - no stylist yet",IF(G943="","Add - no service chosen",IF(M943="No show","No show - charge the fee?",IF(M943="Cancelled","",IF(IF(M943="Completed",AB943&lt;Y943-0.004,FALSE),"Unpaid - nothing rung up for this visit",IF(IF(B943&lt;TodayDate,M943="Booked",FALSE),"Overdue - past date, still only Booked",IF(IF(B943=TodayDate,TRUE,FALSE),"Today",IF(IF(Z943&gt;0,AA943&lt;Z943-0.004,FALSE),"Due - deposit not taken",IF(IF(B943&gt;TodayDate,B943&lt;=TodayDate+2,FALSE),"Confirm - coming up","OK")))))))))))</f>
        <v>0</v>
      </c>
    </row>
    <row r="944" spans="1:34">
      <c r="A944" s="28">
        <f>IF(B944="","",AppointmentPrefix&amp;TEXT(ROW()-4,"0000"))</f>
        <v>0</v>
      </c>
      <c r="C944" s="15">
        <f>IF(B944="","",TEXT(B944,"ddd"))</f>
        <v>0</v>
      </c>
      <c r="F944" s="15">
        <f>IF(E944="","",IFERROR(INDEX(Clients!$B$5:$B$504,MATCH(E944,Clients!$A$5:$A$504,0)),"Walk-in"))</f>
        <v>0</v>
      </c>
      <c r="H944" s="15">
        <f>IF(G944="","",IFERROR(INDEX(Services!$B$5:$B$204,MATCH(G944,Services!$A$5:$A$204,0)),"Not in Services"))</f>
        <v>0</v>
      </c>
      <c r="J944" s="15">
        <f>IF(I944="","",IFERROR(INDEX(Staff!$B$5:$B$44,MATCH(I944,Staff!$A$5:$A$44,0)),"Unassigned"))</f>
        <v>0</v>
      </c>
      <c r="S944" s="15">
        <f>IF(B944="","",TEXT(B944,"yyyy-mm"))</f>
        <v>0</v>
      </c>
      <c r="T944" s="25">
        <f>IF(B944="","",WEEKNUM(B944,2))</f>
        <v>0</v>
      </c>
      <c r="U944" s="25">
        <f>IF(B944="","",IF(K944&lt;&gt;"",K944,IFERROR(INDEX(Services!$E$5:$E$204,MATCH(G944,Services!$A$5:$A$204,0))*1,0)+IFERROR(INDEX(Services!$F$5:$F$204,MATCH(G944,Services!$A$5:$A$204,0))*1,0)))</f>
        <v>0</v>
      </c>
      <c r="V944" s="36">
        <f>IF(B944="","",IF(D944="","",D944+U944/1440))</f>
        <v>0</v>
      </c>
      <c r="W944" s="25">
        <f>IF(B944="","",IF(D944="","",HOUR(D944)))</f>
        <v>0</v>
      </c>
      <c r="X944" s="37">
        <f>IF(B944="","",ROUND(U944/60,2))</f>
        <v>0</v>
      </c>
      <c r="Y944" s="26">
        <f>IF(B944="","",IF(L944&lt;&gt;"",L944,IFERROR(INDEX(Services!$G$5:$G$204,MATCH(G944,Services!$A$5:$A$204,0))*1,0)))</f>
        <v>0</v>
      </c>
      <c r="Z944" s="26">
        <f>IF(B944="","",IF(O944&lt;&gt;"",O944,IF(Y944&gt;=DepositThreshold,ROUND(Y944*DepositPercent,2),0)))</f>
        <v>0</v>
      </c>
      <c r="AA944" s="26">
        <f>IF(B944="","",ROUND(SUMIFS(Payments!$G$5:$G$1204,Payments!$I$5:$I$1204,A944,Payments!$E$5:$E$1204,"Deposit"),2))</f>
        <v>0</v>
      </c>
      <c r="AB944" s="26">
        <f>IF(B944="","",ROUND(SUMIFS(Sales!$Y$5:$Y$1204,Sales!$C$5:$C$1204,A944),2))</f>
        <v>0</v>
      </c>
      <c r="AC944" s="38">
        <f>IF(B944="","",IF(M944="Completed","Yes",IF(M944="Cancelled","Yes",IF(M944="No show","Yes","No"))))</f>
        <v>0</v>
      </c>
      <c r="AD944" s="25">
        <f>IF(B944="","",IF(AE944="","",B944-AE944))</f>
        <v>0</v>
      </c>
      <c r="AF944" s="38">
        <f>IF(B944="","",IF(M944&lt;&gt;"Completed","",IF(E944="","No",IF(COUNTIFS(Appointments!$E$5:$E$1204,E944,Appointments!$B$5:$B$1204,"&gt;"&amp;B944,Appointments!$M$5:$M$1204,"&lt;&gt;Cancelled")&gt;0,"Yes","No"))))</f>
        <v>0</v>
      </c>
      <c r="AG944" s="38">
        <f>IF(B944="","",IF(I944="","",IF(D944="","",IF(COUNTIFS($I$5:$I$1204,I944,$B$5:$B$1204,B944,$D$5:$D$1204,"&lt;"&amp;V944,$V$5:$V$1204,"&gt;"&amp;D944,$M$5:$M$1204,"&lt;&gt;Cancelled")&gt;1,"Clash",""))))</f>
        <v>0</v>
      </c>
      <c r="AH944" s="39">
        <f>IF(B944="","",IF(AG944="Clash","Clash - stylist double booked",IF(I944="","Assign - no stylist yet",IF(G944="","Add - no service chosen",IF(M944="No show","No show - charge the fee?",IF(M944="Cancelled","",IF(IF(M944="Completed",AB944&lt;Y944-0.004,FALSE),"Unpaid - nothing rung up for this visit",IF(IF(B944&lt;TodayDate,M944="Booked",FALSE),"Overdue - past date, still only Booked",IF(IF(B944=TodayDate,TRUE,FALSE),"Today",IF(IF(Z944&gt;0,AA944&lt;Z944-0.004,FALSE),"Due - deposit not taken",IF(IF(B944&gt;TodayDate,B944&lt;=TodayDate+2,FALSE),"Confirm - coming up","OK")))))))))))</f>
        <v>0</v>
      </c>
    </row>
    <row r="945" spans="1:34">
      <c r="A945" s="28">
        <f>IF(B945="","",AppointmentPrefix&amp;TEXT(ROW()-4,"0000"))</f>
        <v>0</v>
      </c>
      <c r="C945" s="15">
        <f>IF(B945="","",TEXT(B945,"ddd"))</f>
        <v>0</v>
      </c>
      <c r="F945" s="15">
        <f>IF(E945="","",IFERROR(INDEX(Clients!$B$5:$B$504,MATCH(E945,Clients!$A$5:$A$504,0)),"Walk-in"))</f>
        <v>0</v>
      </c>
      <c r="H945" s="15">
        <f>IF(G945="","",IFERROR(INDEX(Services!$B$5:$B$204,MATCH(G945,Services!$A$5:$A$204,0)),"Not in Services"))</f>
        <v>0</v>
      </c>
      <c r="J945" s="15">
        <f>IF(I945="","",IFERROR(INDEX(Staff!$B$5:$B$44,MATCH(I945,Staff!$A$5:$A$44,0)),"Unassigned"))</f>
        <v>0</v>
      </c>
      <c r="S945" s="15">
        <f>IF(B945="","",TEXT(B945,"yyyy-mm"))</f>
        <v>0</v>
      </c>
      <c r="T945" s="25">
        <f>IF(B945="","",WEEKNUM(B945,2))</f>
        <v>0</v>
      </c>
      <c r="U945" s="25">
        <f>IF(B945="","",IF(K945&lt;&gt;"",K945,IFERROR(INDEX(Services!$E$5:$E$204,MATCH(G945,Services!$A$5:$A$204,0))*1,0)+IFERROR(INDEX(Services!$F$5:$F$204,MATCH(G945,Services!$A$5:$A$204,0))*1,0)))</f>
        <v>0</v>
      </c>
      <c r="V945" s="36">
        <f>IF(B945="","",IF(D945="","",D945+U945/1440))</f>
        <v>0</v>
      </c>
      <c r="W945" s="25">
        <f>IF(B945="","",IF(D945="","",HOUR(D945)))</f>
        <v>0</v>
      </c>
      <c r="X945" s="37">
        <f>IF(B945="","",ROUND(U945/60,2))</f>
        <v>0</v>
      </c>
      <c r="Y945" s="26">
        <f>IF(B945="","",IF(L945&lt;&gt;"",L945,IFERROR(INDEX(Services!$G$5:$G$204,MATCH(G945,Services!$A$5:$A$204,0))*1,0)))</f>
        <v>0</v>
      </c>
      <c r="Z945" s="26">
        <f>IF(B945="","",IF(O945&lt;&gt;"",O945,IF(Y945&gt;=DepositThreshold,ROUND(Y945*DepositPercent,2),0)))</f>
        <v>0</v>
      </c>
      <c r="AA945" s="26">
        <f>IF(B945="","",ROUND(SUMIFS(Payments!$G$5:$G$1204,Payments!$I$5:$I$1204,A945,Payments!$E$5:$E$1204,"Deposit"),2))</f>
        <v>0</v>
      </c>
      <c r="AB945" s="26">
        <f>IF(B945="","",ROUND(SUMIFS(Sales!$Y$5:$Y$1204,Sales!$C$5:$C$1204,A945),2))</f>
        <v>0</v>
      </c>
      <c r="AC945" s="38">
        <f>IF(B945="","",IF(M945="Completed","Yes",IF(M945="Cancelled","Yes",IF(M945="No show","Yes","No"))))</f>
        <v>0</v>
      </c>
      <c r="AD945" s="25">
        <f>IF(B945="","",IF(AE945="","",B945-AE945))</f>
        <v>0</v>
      </c>
      <c r="AF945" s="38">
        <f>IF(B945="","",IF(M945&lt;&gt;"Completed","",IF(E945="","No",IF(COUNTIFS(Appointments!$E$5:$E$1204,E945,Appointments!$B$5:$B$1204,"&gt;"&amp;B945,Appointments!$M$5:$M$1204,"&lt;&gt;Cancelled")&gt;0,"Yes","No"))))</f>
        <v>0</v>
      </c>
      <c r="AG945" s="38">
        <f>IF(B945="","",IF(I945="","",IF(D945="","",IF(COUNTIFS($I$5:$I$1204,I945,$B$5:$B$1204,B945,$D$5:$D$1204,"&lt;"&amp;V945,$V$5:$V$1204,"&gt;"&amp;D945,$M$5:$M$1204,"&lt;&gt;Cancelled")&gt;1,"Clash",""))))</f>
        <v>0</v>
      </c>
      <c r="AH945" s="39">
        <f>IF(B945="","",IF(AG945="Clash","Clash - stylist double booked",IF(I945="","Assign - no stylist yet",IF(G945="","Add - no service chosen",IF(M945="No show","No show - charge the fee?",IF(M945="Cancelled","",IF(IF(M945="Completed",AB945&lt;Y945-0.004,FALSE),"Unpaid - nothing rung up for this visit",IF(IF(B945&lt;TodayDate,M945="Booked",FALSE),"Overdue - past date, still only Booked",IF(IF(B945=TodayDate,TRUE,FALSE),"Today",IF(IF(Z945&gt;0,AA945&lt;Z945-0.004,FALSE),"Due - deposit not taken",IF(IF(B945&gt;TodayDate,B945&lt;=TodayDate+2,FALSE),"Confirm - coming up","OK")))))))))))</f>
        <v>0</v>
      </c>
    </row>
    <row r="946" spans="1:34">
      <c r="A946" s="28">
        <f>IF(B946="","",AppointmentPrefix&amp;TEXT(ROW()-4,"0000"))</f>
        <v>0</v>
      </c>
      <c r="C946" s="15">
        <f>IF(B946="","",TEXT(B946,"ddd"))</f>
        <v>0</v>
      </c>
      <c r="F946" s="15">
        <f>IF(E946="","",IFERROR(INDEX(Clients!$B$5:$B$504,MATCH(E946,Clients!$A$5:$A$504,0)),"Walk-in"))</f>
        <v>0</v>
      </c>
      <c r="H946" s="15">
        <f>IF(G946="","",IFERROR(INDEX(Services!$B$5:$B$204,MATCH(G946,Services!$A$5:$A$204,0)),"Not in Services"))</f>
        <v>0</v>
      </c>
      <c r="J946" s="15">
        <f>IF(I946="","",IFERROR(INDEX(Staff!$B$5:$B$44,MATCH(I946,Staff!$A$5:$A$44,0)),"Unassigned"))</f>
        <v>0</v>
      </c>
      <c r="S946" s="15">
        <f>IF(B946="","",TEXT(B946,"yyyy-mm"))</f>
        <v>0</v>
      </c>
      <c r="T946" s="25">
        <f>IF(B946="","",WEEKNUM(B946,2))</f>
        <v>0</v>
      </c>
      <c r="U946" s="25">
        <f>IF(B946="","",IF(K946&lt;&gt;"",K946,IFERROR(INDEX(Services!$E$5:$E$204,MATCH(G946,Services!$A$5:$A$204,0))*1,0)+IFERROR(INDEX(Services!$F$5:$F$204,MATCH(G946,Services!$A$5:$A$204,0))*1,0)))</f>
        <v>0</v>
      </c>
      <c r="V946" s="36">
        <f>IF(B946="","",IF(D946="","",D946+U946/1440))</f>
        <v>0</v>
      </c>
      <c r="W946" s="25">
        <f>IF(B946="","",IF(D946="","",HOUR(D946)))</f>
        <v>0</v>
      </c>
      <c r="X946" s="37">
        <f>IF(B946="","",ROUND(U946/60,2))</f>
        <v>0</v>
      </c>
      <c r="Y946" s="26">
        <f>IF(B946="","",IF(L946&lt;&gt;"",L946,IFERROR(INDEX(Services!$G$5:$G$204,MATCH(G946,Services!$A$5:$A$204,0))*1,0)))</f>
        <v>0</v>
      </c>
      <c r="Z946" s="26">
        <f>IF(B946="","",IF(O946&lt;&gt;"",O946,IF(Y946&gt;=DepositThreshold,ROUND(Y946*DepositPercent,2),0)))</f>
        <v>0</v>
      </c>
      <c r="AA946" s="26">
        <f>IF(B946="","",ROUND(SUMIFS(Payments!$G$5:$G$1204,Payments!$I$5:$I$1204,A946,Payments!$E$5:$E$1204,"Deposit"),2))</f>
        <v>0</v>
      </c>
      <c r="AB946" s="26">
        <f>IF(B946="","",ROUND(SUMIFS(Sales!$Y$5:$Y$1204,Sales!$C$5:$C$1204,A946),2))</f>
        <v>0</v>
      </c>
      <c r="AC946" s="38">
        <f>IF(B946="","",IF(M946="Completed","Yes",IF(M946="Cancelled","Yes",IF(M946="No show","Yes","No"))))</f>
        <v>0</v>
      </c>
      <c r="AD946" s="25">
        <f>IF(B946="","",IF(AE946="","",B946-AE946))</f>
        <v>0</v>
      </c>
      <c r="AF946" s="38">
        <f>IF(B946="","",IF(M946&lt;&gt;"Completed","",IF(E946="","No",IF(COUNTIFS(Appointments!$E$5:$E$1204,E946,Appointments!$B$5:$B$1204,"&gt;"&amp;B946,Appointments!$M$5:$M$1204,"&lt;&gt;Cancelled")&gt;0,"Yes","No"))))</f>
        <v>0</v>
      </c>
      <c r="AG946" s="38">
        <f>IF(B946="","",IF(I946="","",IF(D946="","",IF(COUNTIFS($I$5:$I$1204,I946,$B$5:$B$1204,B946,$D$5:$D$1204,"&lt;"&amp;V946,$V$5:$V$1204,"&gt;"&amp;D946,$M$5:$M$1204,"&lt;&gt;Cancelled")&gt;1,"Clash",""))))</f>
        <v>0</v>
      </c>
      <c r="AH946" s="39">
        <f>IF(B946="","",IF(AG946="Clash","Clash - stylist double booked",IF(I946="","Assign - no stylist yet",IF(G946="","Add - no service chosen",IF(M946="No show","No show - charge the fee?",IF(M946="Cancelled","",IF(IF(M946="Completed",AB946&lt;Y946-0.004,FALSE),"Unpaid - nothing rung up for this visit",IF(IF(B946&lt;TodayDate,M946="Booked",FALSE),"Overdue - past date, still only Booked",IF(IF(B946=TodayDate,TRUE,FALSE),"Today",IF(IF(Z946&gt;0,AA946&lt;Z946-0.004,FALSE),"Due - deposit not taken",IF(IF(B946&gt;TodayDate,B946&lt;=TodayDate+2,FALSE),"Confirm - coming up","OK")))))))))))</f>
        <v>0</v>
      </c>
    </row>
    <row r="947" spans="1:34">
      <c r="A947" s="28">
        <f>IF(B947="","",AppointmentPrefix&amp;TEXT(ROW()-4,"0000"))</f>
        <v>0</v>
      </c>
      <c r="C947" s="15">
        <f>IF(B947="","",TEXT(B947,"ddd"))</f>
        <v>0</v>
      </c>
      <c r="F947" s="15">
        <f>IF(E947="","",IFERROR(INDEX(Clients!$B$5:$B$504,MATCH(E947,Clients!$A$5:$A$504,0)),"Walk-in"))</f>
        <v>0</v>
      </c>
      <c r="H947" s="15">
        <f>IF(G947="","",IFERROR(INDEX(Services!$B$5:$B$204,MATCH(G947,Services!$A$5:$A$204,0)),"Not in Services"))</f>
        <v>0</v>
      </c>
      <c r="J947" s="15">
        <f>IF(I947="","",IFERROR(INDEX(Staff!$B$5:$B$44,MATCH(I947,Staff!$A$5:$A$44,0)),"Unassigned"))</f>
        <v>0</v>
      </c>
      <c r="S947" s="15">
        <f>IF(B947="","",TEXT(B947,"yyyy-mm"))</f>
        <v>0</v>
      </c>
      <c r="T947" s="25">
        <f>IF(B947="","",WEEKNUM(B947,2))</f>
        <v>0</v>
      </c>
      <c r="U947" s="25">
        <f>IF(B947="","",IF(K947&lt;&gt;"",K947,IFERROR(INDEX(Services!$E$5:$E$204,MATCH(G947,Services!$A$5:$A$204,0))*1,0)+IFERROR(INDEX(Services!$F$5:$F$204,MATCH(G947,Services!$A$5:$A$204,0))*1,0)))</f>
        <v>0</v>
      </c>
      <c r="V947" s="36">
        <f>IF(B947="","",IF(D947="","",D947+U947/1440))</f>
        <v>0</v>
      </c>
      <c r="W947" s="25">
        <f>IF(B947="","",IF(D947="","",HOUR(D947)))</f>
        <v>0</v>
      </c>
      <c r="X947" s="37">
        <f>IF(B947="","",ROUND(U947/60,2))</f>
        <v>0</v>
      </c>
      <c r="Y947" s="26">
        <f>IF(B947="","",IF(L947&lt;&gt;"",L947,IFERROR(INDEX(Services!$G$5:$G$204,MATCH(G947,Services!$A$5:$A$204,0))*1,0)))</f>
        <v>0</v>
      </c>
      <c r="Z947" s="26">
        <f>IF(B947="","",IF(O947&lt;&gt;"",O947,IF(Y947&gt;=DepositThreshold,ROUND(Y947*DepositPercent,2),0)))</f>
        <v>0</v>
      </c>
      <c r="AA947" s="26">
        <f>IF(B947="","",ROUND(SUMIFS(Payments!$G$5:$G$1204,Payments!$I$5:$I$1204,A947,Payments!$E$5:$E$1204,"Deposit"),2))</f>
        <v>0</v>
      </c>
      <c r="AB947" s="26">
        <f>IF(B947="","",ROUND(SUMIFS(Sales!$Y$5:$Y$1204,Sales!$C$5:$C$1204,A947),2))</f>
        <v>0</v>
      </c>
      <c r="AC947" s="38">
        <f>IF(B947="","",IF(M947="Completed","Yes",IF(M947="Cancelled","Yes",IF(M947="No show","Yes","No"))))</f>
        <v>0</v>
      </c>
      <c r="AD947" s="25">
        <f>IF(B947="","",IF(AE947="","",B947-AE947))</f>
        <v>0</v>
      </c>
      <c r="AF947" s="38">
        <f>IF(B947="","",IF(M947&lt;&gt;"Completed","",IF(E947="","No",IF(COUNTIFS(Appointments!$E$5:$E$1204,E947,Appointments!$B$5:$B$1204,"&gt;"&amp;B947,Appointments!$M$5:$M$1204,"&lt;&gt;Cancelled")&gt;0,"Yes","No"))))</f>
        <v>0</v>
      </c>
      <c r="AG947" s="38">
        <f>IF(B947="","",IF(I947="","",IF(D947="","",IF(COUNTIFS($I$5:$I$1204,I947,$B$5:$B$1204,B947,$D$5:$D$1204,"&lt;"&amp;V947,$V$5:$V$1204,"&gt;"&amp;D947,$M$5:$M$1204,"&lt;&gt;Cancelled")&gt;1,"Clash",""))))</f>
        <v>0</v>
      </c>
      <c r="AH947" s="39">
        <f>IF(B947="","",IF(AG947="Clash","Clash - stylist double booked",IF(I947="","Assign - no stylist yet",IF(G947="","Add - no service chosen",IF(M947="No show","No show - charge the fee?",IF(M947="Cancelled","",IF(IF(M947="Completed",AB947&lt;Y947-0.004,FALSE),"Unpaid - nothing rung up for this visit",IF(IF(B947&lt;TodayDate,M947="Booked",FALSE),"Overdue - past date, still only Booked",IF(IF(B947=TodayDate,TRUE,FALSE),"Today",IF(IF(Z947&gt;0,AA947&lt;Z947-0.004,FALSE),"Due - deposit not taken",IF(IF(B947&gt;TodayDate,B947&lt;=TodayDate+2,FALSE),"Confirm - coming up","OK")))))))))))</f>
        <v>0</v>
      </c>
    </row>
    <row r="948" spans="1:34">
      <c r="A948" s="28">
        <f>IF(B948="","",AppointmentPrefix&amp;TEXT(ROW()-4,"0000"))</f>
        <v>0</v>
      </c>
      <c r="C948" s="15">
        <f>IF(B948="","",TEXT(B948,"ddd"))</f>
        <v>0</v>
      </c>
      <c r="F948" s="15">
        <f>IF(E948="","",IFERROR(INDEX(Clients!$B$5:$B$504,MATCH(E948,Clients!$A$5:$A$504,0)),"Walk-in"))</f>
        <v>0</v>
      </c>
      <c r="H948" s="15">
        <f>IF(G948="","",IFERROR(INDEX(Services!$B$5:$B$204,MATCH(G948,Services!$A$5:$A$204,0)),"Not in Services"))</f>
        <v>0</v>
      </c>
      <c r="J948" s="15">
        <f>IF(I948="","",IFERROR(INDEX(Staff!$B$5:$B$44,MATCH(I948,Staff!$A$5:$A$44,0)),"Unassigned"))</f>
        <v>0</v>
      </c>
      <c r="S948" s="15">
        <f>IF(B948="","",TEXT(B948,"yyyy-mm"))</f>
        <v>0</v>
      </c>
      <c r="T948" s="25">
        <f>IF(B948="","",WEEKNUM(B948,2))</f>
        <v>0</v>
      </c>
      <c r="U948" s="25">
        <f>IF(B948="","",IF(K948&lt;&gt;"",K948,IFERROR(INDEX(Services!$E$5:$E$204,MATCH(G948,Services!$A$5:$A$204,0))*1,0)+IFERROR(INDEX(Services!$F$5:$F$204,MATCH(G948,Services!$A$5:$A$204,0))*1,0)))</f>
        <v>0</v>
      </c>
      <c r="V948" s="36">
        <f>IF(B948="","",IF(D948="","",D948+U948/1440))</f>
        <v>0</v>
      </c>
      <c r="W948" s="25">
        <f>IF(B948="","",IF(D948="","",HOUR(D948)))</f>
        <v>0</v>
      </c>
      <c r="X948" s="37">
        <f>IF(B948="","",ROUND(U948/60,2))</f>
        <v>0</v>
      </c>
      <c r="Y948" s="26">
        <f>IF(B948="","",IF(L948&lt;&gt;"",L948,IFERROR(INDEX(Services!$G$5:$G$204,MATCH(G948,Services!$A$5:$A$204,0))*1,0)))</f>
        <v>0</v>
      </c>
      <c r="Z948" s="26">
        <f>IF(B948="","",IF(O948&lt;&gt;"",O948,IF(Y948&gt;=DepositThreshold,ROUND(Y948*DepositPercent,2),0)))</f>
        <v>0</v>
      </c>
      <c r="AA948" s="26">
        <f>IF(B948="","",ROUND(SUMIFS(Payments!$G$5:$G$1204,Payments!$I$5:$I$1204,A948,Payments!$E$5:$E$1204,"Deposit"),2))</f>
        <v>0</v>
      </c>
      <c r="AB948" s="26">
        <f>IF(B948="","",ROUND(SUMIFS(Sales!$Y$5:$Y$1204,Sales!$C$5:$C$1204,A948),2))</f>
        <v>0</v>
      </c>
      <c r="AC948" s="38">
        <f>IF(B948="","",IF(M948="Completed","Yes",IF(M948="Cancelled","Yes",IF(M948="No show","Yes","No"))))</f>
        <v>0</v>
      </c>
      <c r="AD948" s="25">
        <f>IF(B948="","",IF(AE948="","",B948-AE948))</f>
        <v>0</v>
      </c>
      <c r="AF948" s="38">
        <f>IF(B948="","",IF(M948&lt;&gt;"Completed","",IF(E948="","No",IF(COUNTIFS(Appointments!$E$5:$E$1204,E948,Appointments!$B$5:$B$1204,"&gt;"&amp;B948,Appointments!$M$5:$M$1204,"&lt;&gt;Cancelled")&gt;0,"Yes","No"))))</f>
        <v>0</v>
      </c>
      <c r="AG948" s="38">
        <f>IF(B948="","",IF(I948="","",IF(D948="","",IF(COUNTIFS($I$5:$I$1204,I948,$B$5:$B$1204,B948,$D$5:$D$1204,"&lt;"&amp;V948,$V$5:$V$1204,"&gt;"&amp;D948,$M$5:$M$1204,"&lt;&gt;Cancelled")&gt;1,"Clash",""))))</f>
        <v>0</v>
      </c>
      <c r="AH948" s="39">
        <f>IF(B948="","",IF(AG948="Clash","Clash - stylist double booked",IF(I948="","Assign - no stylist yet",IF(G948="","Add - no service chosen",IF(M948="No show","No show - charge the fee?",IF(M948="Cancelled","",IF(IF(M948="Completed",AB948&lt;Y948-0.004,FALSE),"Unpaid - nothing rung up for this visit",IF(IF(B948&lt;TodayDate,M948="Booked",FALSE),"Overdue - past date, still only Booked",IF(IF(B948=TodayDate,TRUE,FALSE),"Today",IF(IF(Z948&gt;0,AA948&lt;Z948-0.004,FALSE),"Due - deposit not taken",IF(IF(B948&gt;TodayDate,B948&lt;=TodayDate+2,FALSE),"Confirm - coming up","OK")))))))))))</f>
        <v>0</v>
      </c>
    </row>
    <row r="949" spans="1:34">
      <c r="A949" s="28">
        <f>IF(B949="","",AppointmentPrefix&amp;TEXT(ROW()-4,"0000"))</f>
        <v>0</v>
      </c>
      <c r="C949" s="15">
        <f>IF(B949="","",TEXT(B949,"ddd"))</f>
        <v>0</v>
      </c>
      <c r="F949" s="15">
        <f>IF(E949="","",IFERROR(INDEX(Clients!$B$5:$B$504,MATCH(E949,Clients!$A$5:$A$504,0)),"Walk-in"))</f>
        <v>0</v>
      </c>
      <c r="H949" s="15">
        <f>IF(G949="","",IFERROR(INDEX(Services!$B$5:$B$204,MATCH(G949,Services!$A$5:$A$204,0)),"Not in Services"))</f>
        <v>0</v>
      </c>
      <c r="J949" s="15">
        <f>IF(I949="","",IFERROR(INDEX(Staff!$B$5:$B$44,MATCH(I949,Staff!$A$5:$A$44,0)),"Unassigned"))</f>
        <v>0</v>
      </c>
      <c r="S949" s="15">
        <f>IF(B949="","",TEXT(B949,"yyyy-mm"))</f>
        <v>0</v>
      </c>
      <c r="T949" s="25">
        <f>IF(B949="","",WEEKNUM(B949,2))</f>
        <v>0</v>
      </c>
      <c r="U949" s="25">
        <f>IF(B949="","",IF(K949&lt;&gt;"",K949,IFERROR(INDEX(Services!$E$5:$E$204,MATCH(G949,Services!$A$5:$A$204,0))*1,0)+IFERROR(INDEX(Services!$F$5:$F$204,MATCH(G949,Services!$A$5:$A$204,0))*1,0)))</f>
        <v>0</v>
      </c>
      <c r="V949" s="36">
        <f>IF(B949="","",IF(D949="","",D949+U949/1440))</f>
        <v>0</v>
      </c>
      <c r="W949" s="25">
        <f>IF(B949="","",IF(D949="","",HOUR(D949)))</f>
        <v>0</v>
      </c>
      <c r="X949" s="37">
        <f>IF(B949="","",ROUND(U949/60,2))</f>
        <v>0</v>
      </c>
      <c r="Y949" s="26">
        <f>IF(B949="","",IF(L949&lt;&gt;"",L949,IFERROR(INDEX(Services!$G$5:$G$204,MATCH(G949,Services!$A$5:$A$204,0))*1,0)))</f>
        <v>0</v>
      </c>
      <c r="Z949" s="26">
        <f>IF(B949="","",IF(O949&lt;&gt;"",O949,IF(Y949&gt;=DepositThreshold,ROUND(Y949*DepositPercent,2),0)))</f>
        <v>0</v>
      </c>
      <c r="AA949" s="26">
        <f>IF(B949="","",ROUND(SUMIFS(Payments!$G$5:$G$1204,Payments!$I$5:$I$1204,A949,Payments!$E$5:$E$1204,"Deposit"),2))</f>
        <v>0</v>
      </c>
      <c r="AB949" s="26">
        <f>IF(B949="","",ROUND(SUMIFS(Sales!$Y$5:$Y$1204,Sales!$C$5:$C$1204,A949),2))</f>
        <v>0</v>
      </c>
      <c r="AC949" s="38">
        <f>IF(B949="","",IF(M949="Completed","Yes",IF(M949="Cancelled","Yes",IF(M949="No show","Yes","No"))))</f>
        <v>0</v>
      </c>
      <c r="AD949" s="25">
        <f>IF(B949="","",IF(AE949="","",B949-AE949))</f>
        <v>0</v>
      </c>
      <c r="AF949" s="38">
        <f>IF(B949="","",IF(M949&lt;&gt;"Completed","",IF(E949="","No",IF(COUNTIFS(Appointments!$E$5:$E$1204,E949,Appointments!$B$5:$B$1204,"&gt;"&amp;B949,Appointments!$M$5:$M$1204,"&lt;&gt;Cancelled")&gt;0,"Yes","No"))))</f>
        <v>0</v>
      </c>
      <c r="AG949" s="38">
        <f>IF(B949="","",IF(I949="","",IF(D949="","",IF(COUNTIFS($I$5:$I$1204,I949,$B$5:$B$1204,B949,$D$5:$D$1204,"&lt;"&amp;V949,$V$5:$V$1204,"&gt;"&amp;D949,$M$5:$M$1204,"&lt;&gt;Cancelled")&gt;1,"Clash",""))))</f>
        <v>0</v>
      </c>
      <c r="AH949" s="39">
        <f>IF(B949="","",IF(AG949="Clash","Clash - stylist double booked",IF(I949="","Assign - no stylist yet",IF(G949="","Add - no service chosen",IF(M949="No show","No show - charge the fee?",IF(M949="Cancelled","",IF(IF(M949="Completed",AB949&lt;Y949-0.004,FALSE),"Unpaid - nothing rung up for this visit",IF(IF(B949&lt;TodayDate,M949="Booked",FALSE),"Overdue - past date, still only Booked",IF(IF(B949=TodayDate,TRUE,FALSE),"Today",IF(IF(Z949&gt;0,AA949&lt;Z949-0.004,FALSE),"Due - deposit not taken",IF(IF(B949&gt;TodayDate,B949&lt;=TodayDate+2,FALSE),"Confirm - coming up","OK")))))))))))</f>
        <v>0</v>
      </c>
    </row>
    <row r="950" spans="1:34">
      <c r="A950" s="28">
        <f>IF(B950="","",AppointmentPrefix&amp;TEXT(ROW()-4,"0000"))</f>
        <v>0</v>
      </c>
      <c r="C950" s="15">
        <f>IF(B950="","",TEXT(B950,"ddd"))</f>
        <v>0</v>
      </c>
      <c r="F950" s="15">
        <f>IF(E950="","",IFERROR(INDEX(Clients!$B$5:$B$504,MATCH(E950,Clients!$A$5:$A$504,0)),"Walk-in"))</f>
        <v>0</v>
      </c>
      <c r="H950" s="15">
        <f>IF(G950="","",IFERROR(INDEX(Services!$B$5:$B$204,MATCH(G950,Services!$A$5:$A$204,0)),"Not in Services"))</f>
        <v>0</v>
      </c>
      <c r="J950" s="15">
        <f>IF(I950="","",IFERROR(INDEX(Staff!$B$5:$B$44,MATCH(I950,Staff!$A$5:$A$44,0)),"Unassigned"))</f>
        <v>0</v>
      </c>
      <c r="S950" s="15">
        <f>IF(B950="","",TEXT(B950,"yyyy-mm"))</f>
        <v>0</v>
      </c>
      <c r="T950" s="25">
        <f>IF(B950="","",WEEKNUM(B950,2))</f>
        <v>0</v>
      </c>
      <c r="U950" s="25">
        <f>IF(B950="","",IF(K950&lt;&gt;"",K950,IFERROR(INDEX(Services!$E$5:$E$204,MATCH(G950,Services!$A$5:$A$204,0))*1,0)+IFERROR(INDEX(Services!$F$5:$F$204,MATCH(G950,Services!$A$5:$A$204,0))*1,0)))</f>
        <v>0</v>
      </c>
      <c r="V950" s="36">
        <f>IF(B950="","",IF(D950="","",D950+U950/1440))</f>
        <v>0</v>
      </c>
      <c r="W950" s="25">
        <f>IF(B950="","",IF(D950="","",HOUR(D950)))</f>
        <v>0</v>
      </c>
      <c r="X950" s="37">
        <f>IF(B950="","",ROUND(U950/60,2))</f>
        <v>0</v>
      </c>
      <c r="Y950" s="26">
        <f>IF(B950="","",IF(L950&lt;&gt;"",L950,IFERROR(INDEX(Services!$G$5:$G$204,MATCH(G950,Services!$A$5:$A$204,0))*1,0)))</f>
        <v>0</v>
      </c>
      <c r="Z950" s="26">
        <f>IF(B950="","",IF(O950&lt;&gt;"",O950,IF(Y950&gt;=DepositThreshold,ROUND(Y950*DepositPercent,2),0)))</f>
        <v>0</v>
      </c>
      <c r="AA950" s="26">
        <f>IF(B950="","",ROUND(SUMIFS(Payments!$G$5:$G$1204,Payments!$I$5:$I$1204,A950,Payments!$E$5:$E$1204,"Deposit"),2))</f>
        <v>0</v>
      </c>
      <c r="AB950" s="26">
        <f>IF(B950="","",ROUND(SUMIFS(Sales!$Y$5:$Y$1204,Sales!$C$5:$C$1204,A950),2))</f>
        <v>0</v>
      </c>
      <c r="AC950" s="38">
        <f>IF(B950="","",IF(M950="Completed","Yes",IF(M950="Cancelled","Yes",IF(M950="No show","Yes","No"))))</f>
        <v>0</v>
      </c>
      <c r="AD950" s="25">
        <f>IF(B950="","",IF(AE950="","",B950-AE950))</f>
        <v>0</v>
      </c>
      <c r="AF950" s="38">
        <f>IF(B950="","",IF(M950&lt;&gt;"Completed","",IF(E950="","No",IF(COUNTIFS(Appointments!$E$5:$E$1204,E950,Appointments!$B$5:$B$1204,"&gt;"&amp;B950,Appointments!$M$5:$M$1204,"&lt;&gt;Cancelled")&gt;0,"Yes","No"))))</f>
        <v>0</v>
      </c>
      <c r="AG950" s="38">
        <f>IF(B950="","",IF(I950="","",IF(D950="","",IF(COUNTIFS($I$5:$I$1204,I950,$B$5:$B$1204,B950,$D$5:$D$1204,"&lt;"&amp;V950,$V$5:$V$1204,"&gt;"&amp;D950,$M$5:$M$1204,"&lt;&gt;Cancelled")&gt;1,"Clash",""))))</f>
        <v>0</v>
      </c>
      <c r="AH950" s="39">
        <f>IF(B950="","",IF(AG950="Clash","Clash - stylist double booked",IF(I950="","Assign - no stylist yet",IF(G950="","Add - no service chosen",IF(M950="No show","No show - charge the fee?",IF(M950="Cancelled","",IF(IF(M950="Completed",AB950&lt;Y950-0.004,FALSE),"Unpaid - nothing rung up for this visit",IF(IF(B950&lt;TodayDate,M950="Booked",FALSE),"Overdue - past date, still only Booked",IF(IF(B950=TodayDate,TRUE,FALSE),"Today",IF(IF(Z950&gt;0,AA950&lt;Z950-0.004,FALSE),"Due - deposit not taken",IF(IF(B950&gt;TodayDate,B950&lt;=TodayDate+2,FALSE),"Confirm - coming up","OK")))))))))))</f>
        <v>0</v>
      </c>
    </row>
    <row r="951" spans="1:34">
      <c r="A951" s="28">
        <f>IF(B951="","",AppointmentPrefix&amp;TEXT(ROW()-4,"0000"))</f>
        <v>0</v>
      </c>
      <c r="C951" s="15">
        <f>IF(B951="","",TEXT(B951,"ddd"))</f>
        <v>0</v>
      </c>
      <c r="F951" s="15">
        <f>IF(E951="","",IFERROR(INDEX(Clients!$B$5:$B$504,MATCH(E951,Clients!$A$5:$A$504,0)),"Walk-in"))</f>
        <v>0</v>
      </c>
      <c r="H951" s="15">
        <f>IF(G951="","",IFERROR(INDEX(Services!$B$5:$B$204,MATCH(G951,Services!$A$5:$A$204,0)),"Not in Services"))</f>
        <v>0</v>
      </c>
      <c r="J951" s="15">
        <f>IF(I951="","",IFERROR(INDEX(Staff!$B$5:$B$44,MATCH(I951,Staff!$A$5:$A$44,0)),"Unassigned"))</f>
        <v>0</v>
      </c>
      <c r="S951" s="15">
        <f>IF(B951="","",TEXT(B951,"yyyy-mm"))</f>
        <v>0</v>
      </c>
      <c r="T951" s="25">
        <f>IF(B951="","",WEEKNUM(B951,2))</f>
        <v>0</v>
      </c>
      <c r="U951" s="25">
        <f>IF(B951="","",IF(K951&lt;&gt;"",K951,IFERROR(INDEX(Services!$E$5:$E$204,MATCH(G951,Services!$A$5:$A$204,0))*1,0)+IFERROR(INDEX(Services!$F$5:$F$204,MATCH(G951,Services!$A$5:$A$204,0))*1,0)))</f>
        <v>0</v>
      </c>
      <c r="V951" s="36">
        <f>IF(B951="","",IF(D951="","",D951+U951/1440))</f>
        <v>0</v>
      </c>
      <c r="W951" s="25">
        <f>IF(B951="","",IF(D951="","",HOUR(D951)))</f>
        <v>0</v>
      </c>
      <c r="X951" s="37">
        <f>IF(B951="","",ROUND(U951/60,2))</f>
        <v>0</v>
      </c>
      <c r="Y951" s="26">
        <f>IF(B951="","",IF(L951&lt;&gt;"",L951,IFERROR(INDEX(Services!$G$5:$G$204,MATCH(G951,Services!$A$5:$A$204,0))*1,0)))</f>
        <v>0</v>
      </c>
      <c r="Z951" s="26">
        <f>IF(B951="","",IF(O951&lt;&gt;"",O951,IF(Y951&gt;=DepositThreshold,ROUND(Y951*DepositPercent,2),0)))</f>
        <v>0</v>
      </c>
      <c r="AA951" s="26">
        <f>IF(B951="","",ROUND(SUMIFS(Payments!$G$5:$G$1204,Payments!$I$5:$I$1204,A951,Payments!$E$5:$E$1204,"Deposit"),2))</f>
        <v>0</v>
      </c>
      <c r="AB951" s="26">
        <f>IF(B951="","",ROUND(SUMIFS(Sales!$Y$5:$Y$1204,Sales!$C$5:$C$1204,A951),2))</f>
        <v>0</v>
      </c>
      <c r="AC951" s="38">
        <f>IF(B951="","",IF(M951="Completed","Yes",IF(M951="Cancelled","Yes",IF(M951="No show","Yes","No"))))</f>
        <v>0</v>
      </c>
      <c r="AD951" s="25">
        <f>IF(B951="","",IF(AE951="","",B951-AE951))</f>
        <v>0</v>
      </c>
      <c r="AF951" s="38">
        <f>IF(B951="","",IF(M951&lt;&gt;"Completed","",IF(E951="","No",IF(COUNTIFS(Appointments!$E$5:$E$1204,E951,Appointments!$B$5:$B$1204,"&gt;"&amp;B951,Appointments!$M$5:$M$1204,"&lt;&gt;Cancelled")&gt;0,"Yes","No"))))</f>
        <v>0</v>
      </c>
      <c r="AG951" s="38">
        <f>IF(B951="","",IF(I951="","",IF(D951="","",IF(COUNTIFS($I$5:$I$1204,I951,$B$5:$B$1204,B951,$D$5:$D$1204,"&lt;"&amp;V951,$V$5:$V$1204,"&gt;"&amp;D951,$M$5:$M$1204,"&lt;&gt;Cancelled")&gt;1,"Clash",""))))</f>
        <v>0</v>
      </c>
      <c r="AH951" s="39">
        <f>IF(B951="","",IF(AG951="Clash","Clash - stylist double booked",IF(I951="","Assign - no stylist yet",IF(G951="","Add - no service chosen",IF(M951="No show","No show - charge the fee?",IF(M951="Cancelled","",IF(IF(M951="Completed",AB951&lt;Y951-0.004,FALSE),"Unpaid - nothing rung up for this visit",IF(IF(B951&lt;TodayDate,M951="Booked",FALSE),"Overdue - past date, still only Booked",IF(IF(B951=TodayDate,TRUE,FALSE),"Today",IF(IF(Z951&gt;0,AA951&lt;Z951-0.004,FALSE),"Due - deposit not taken",IF(IF(B951&gt;TodayDate,B951&lt;=TodayDate+2,FALSE),"Confirm - coming up","OK")))))))))))</f>
        <v>0</v>
      </c>
    </row>
    <row r="952" spans="1:34">
      <c r="A952" s="28">
        <f>IF(B952="","",AppointmentPrefix&amp;TEXT(ROW()-4,"0000"))</f>
        <v>0</v>
      </c>
      <c r="C952" s="15">
        <f>IF(B952="","",TEXT(B952,"ddd"))</f>
        <v>0</v>
      </c>
      <c r="F952" s="15">
        <f>IF(E952="","",IFERROR(INDEX(Clients!$B$5:$B$504,MATCH(E952,Clients!$A$5:$A$504,0)),"Walk-in"))</f>
        <v>0</v>
      </c>
      <c r="H952" s="15">
        <f>IF(G952="","",IFERROR(INDEX(Services!$B$5:$B$204,MATCH(G952,Services!$A$5:$A$204,0)),"Not in Services"))</f>
        <v>0</v>
      </c>
      <c r="J952" s="15">
        <f>IF(I952="","",IFERROR(INDEX(Staff!$B$5:$B$44,MATCH(I952,Staff!$A$5:$A$44,0)),"Unassigned"))</f>
        <v>0</v>
      </c>
      <c r="S952" s="15">
        <f>IF(B952="","",TEXT(B952,"yyyy-mm"))</f>
        <v>0</v>
      </c>
      <c r="T952" s="25">
        <f>IF(B952="","",WEEKNUM(B952,2))</f>
        <v>0</v>
      </c>
      <c r="U952" s="25">
        <f>IF(B952="","",IF(K952&lt;&gt;"",K952,IFERROR(INDEX(Services!$E$5:$E$204,MATCH(G952,Services!$A$5:$A$204,0))*1,0)+IFERROR(INDEX(Services!$F$5:$F$204,MATCH(G952,Services!$A$5:$A$204,0))*1,0)))</f>
        <v>0</v>
      </c>
      <c r="V952" s="36">
        <f>IF(B952="","",IF(D952="","",D952+U952/1440))</f>
        <v>0</v>
      </c>
      <c r="W952" s="25">
        <f>IF(B952="","",IF(D952="","",HOUR(D952)))</f>
        <v>0</v>
      </c>
      <c r="X952" s="37">
        <f>IF(B952="","",ROUND(U952/60,2))</f>
        <v>0</v>
      </c>
      <c r="Y952" s="26">
        <f>IF(B952="","",IF(L952&lt;&gt;"",L952,IFERROR(INDEX(Services!$G$5:$G$204,MATCH(G952,Services!$A$5:$A$204,0))*1,0)))</f>
        <v>0</v>
      </c>
      <c r="Z952" s="26">
        <f>IF(B952="","",IF(O952&lt;&gt;"",O952,IF(Y952&gt;=DepositThreshold,ROUND(Y952*DepositPercent,2),0)))</f>
        <v>0</v>
      </c>
      <c r="AA952" s="26">
        <f>IF(B952="","",ROUND(SUMIFS(Payments!$G$5:$G$1204,Payments!$I$5:$I$1204,A952,Payments!$E$5:$E$1204,"Deposit"),2))</f>
        <v>0</v>
      </c>
      <c r="AB952" s="26">
        <f>IF(B952="","",ROUND(SUMIFS(Sales!$Y$5:$Y$1204,Sales!$C$5:$C$1204,A952),2))</f>
        <v>0</v>
      </c>
      <c r="AC952" s="38">
        <f>IF(B952="","",IF(M952="Completed","Yes",IF(M952="Cancelled","Yes",IF(M952="No show","Yes","No"))))</f>
        <v>0</v>
      </c>
      <c r="AD952" s="25">
        <f>IF(B952="","",IF(AE952="","",B952-AE952))</f>
        <v>0</v>
      </c>
      <c r="AF952" s="38">
        <f>IF(B952="","",IF(M952&lt;&gt;"Completed","",IF(E952="","No",IF(COUNTIFS(Appointments!$E$5:$E$1204,E952,Appointments!$B$5:$B$1204,"&gt;"&amp;B952,Appointments!$M$5:$M$1204,"&lt;&gt;Cancelled")&gt;0,"Yes","No"))))</f>
        <v>0</v>
      </c>
      <c r="AG952" s="38">
        <f>IF(B952="","",IF(I952="","",IF(D952="","",IF(COUNTIFS($I$5:$I$1204,I952,$B$5:$B$1204,B952,$D$5:$D$1204,"&lt;"&amp;V952,$V$5:$V$1204,"&gt;"&amp;D952,$M$5:$M$1204,"&lt;&gt;Cancelled")&gt;1,"Clash",""))))</f>
        <v>0</v>
      </c>
      <c r="AH952" s="39">
        <f>IF(B952="","",IF(AG952="Clash","Clash - stylist double booked",IF(I952="","Assign - no stylist yet",IF(G952="","Add - no service chosen",IF(M952="No show","No show - charge the fee?",IF(M952="Cancelled","",IF(IF(M952="Completed",AB952&lt;Y952-0.004,FALSE),"Unpaid - nothing rung up for this visit",IF(IF(B952&lt;TodayDate,M952="Booked",FALSE),"Overdue - past date, still only Booked",IF(IF(B952=TodayDate,TRUE,FALSE),"Today",IF(IF(Z952&gt;0,AA952&lt;Z952-0.004,FALSE),"Due - deposit not taken",IF(IF(B952&gt;TodayDate,B952&lt;=TodayDate+2,FALSE),"Confirm - coming up","OK")))))))))))</f>
        <v>0</v>
      </c>
    </row>
    <row r="953" spans="1:34">
      <c r="A953" s="28">
        <f>IF(B953="","",AppointmentPrefix&amp;TEXT(ROW()-4,"0000"))</f>
        <v>0</v>
      </c>
      <c r="C953" s="15">
        <f>IF(B953="","",TEXT(B953,"ddd"))</f>
        <v>0</v>
      </c>
      <c r="F953" s="15">
        <f>IF(E953="","",IFERROR(INDEX(Clients!$B$5:$B$504,MATCH(E953,Clients!$A$5:$A$504,0)),"Walk-in"))</f>
        <v>0</v>
      </c>
      <c r="H953" s="15">
        <f>IF(G953="","",IFERROR(INDEX(Services!$B$5:$B$204,MATCH(G953,Services!$A$5:$A$204,0)),"Not in Services"))</f>
        <v>0</v>
      </c>
      <c r="J953" s="15">
        <f>IF(I953="","",IFERROR(INDEX(Staff!$B$5:$B$44,MATCH(I953,Staff!$A$5:$A$44,0)),"Unassigned"))</f>
        <v>0</v>
      </c>
      <c r="S953" s="15">
        <f>IF(B953="","",TEXT(B953,"yyyy-mm"))</f>
        <v>0</v>
      </c>
      <c r="T953" s="25">
        <f>IF(B953="","",WEEKNUM(B953,2))</f>
        <v>0</v>
      </c>
      <c r="U953" s="25">
        <f>IF(B953="","",IF(K953&lt;&gt;"",K953,IFERROR(INDEX(Services!$E$5:$E$204,MATCH(G953,Services!$A$5:$A$204,0))*1,0)+IFERROR(INDEX(Services!$F$5:$F$204,MATCH(G953,Services!$A$5:$A$204,0))*1,0)))</f>
        <v>0</v>
      </c>
      <c r="V953" s="36">
        <f>IF(B953="","",IF(D953="","",D953+U953/1440))</f>
        <v>0</v>
      </c>
      <c r="W953" s="25">
        <f>IF(B953="","",IF(D953="","",HOUR(D953)))</f>
        <v>0</v>
      </c>
      <c r="X953" s="37">
        <f>IF(B953="","",ROUND(U953/60,2))</f>
        <v>0</v>
      </c>
      <c r="Y953" s="26">
        <f>IF(B953="","",IF(L953&lt;&gt;"",L953,IFERROR(INDEX(Services!$G$5:$G$204,MATCH(G953,Services!$A$5:$A$204,0))*1,0)))</f>
        <v>0</v>
      </c>
      <c r="Z953" s="26">
        <f>IF(B953="","",IF(O953&lt;&gt;"",O953,IF(Y953&gt;=DepositThreshold,ROUND(Y953*DepositPercent,2),0)))</f>
        <v>0</v>
      </c>
      <c r="AA953" s="26">
        <f>IF(B953="","",ROUND(SUMIFS(Payments!$G$5:$G$1204,Payments!$I$5:$I$1204,A953,Payments!$E$5:$E$1204,"Deposit"),2))</f>
        <v>0</v>
      </c>
      <c r="AB953" s="26">
        <f>IF(B953="","",ROUND(SUMIFS(Sales!$Y$5:$Y$1204,Sales!$C$5:$C$1204,A953),2))</f>
        <v>0</v>
      </c>
      <c r="AC953" s="38">
        <f>IF(B953="","",IF(M953="Completed","Yes",IF(M953="Cancelled","Yes",IF(M953="No show","Yes","No"))))</f>
        <v>0</v>
      </c>
      <c r="AD953" s="25">
        <f>IF(B953="","",IF(AE953="","",B953-AE953))</f>
        <v>0</v>
      </c>
      <c r="AF953" s="38">
        <f>IF(B953="","",IF(M953&lt;&gt;"Completed","",IF(E953="","No",IF(COUNTIFS(Appointments!$E$5:$E$1204,E953,Appointments!$B$5:$B$1204,"&gt;"&amp;B953,Appointments!$M$5:$M$1204,"&lt;&gt;Cancelled")&gt;0,"Yes","No"))))</f>
        <v>0</v>
      </c>
      <c r="AG953" s="38">
        <f>IF(B953="","",IF(I953="","",IF(D953="","",IF(COUNTIFS($I$5:$I$1204,I953,$B$5:$B$1204,B953,$D$5:$D$1204,"&lt;"&amp;V953,$V$5:$V$1204,"&gt;"&amp;D953,$M$5:$M$1204,"&lt;&gt;Cancelled")&gt;1,"Clash",""))))</f>
        <v>0</v>
      </c>
      <c r="AH953" s="39">
        <f>IF(B953="","",IF(AG953="Clash","Clash - stylist double booked",IF(I953="","Assign - no stylist yet",IF(G953="","Add - no service chosen",IF(M953="No show","No show - charge the fee?",IF(M953="Cancelled","",IF(IF(M953="Completed",AB953&lt;Y953-0.004,FALSE),"Unpaid - nothing rung up for this visit",IF(IF(B953&lt;TodayDate,M953="Booked",FALSE),"Overdue - past date, still only Booked",IF(IF(B953=TodayDate,TRUE,FALSE),"Today",IF(IF(Z953&gt;0,AA953&lt;Z953-0.004,FALSE),"Due - deposit not taken",IF(IF(B953&gt;TodayDate,B953&lt;=TodayDate+2,FALSE),"Confirm - coming up","OK")))))))))))</f>
        <v>0</v>
      </c>
    </row>
    <row r="954" spans="1:34">
      <c r="A954" s="28">
        <f>IF(B954="","",AppointmentPrefix&amp;TEXT(ROW()-4,"0000"))</f>
        <v>0</v>
      </c>
      <c r="C954" s="15">
        <f>IF(B954="","",TEXT(B954,"ddd"))</f>
        <v>0</v>
      </c>
      <c r="F954" s="15">
        <f>IF(E954="","",IFERROR(INDEX(Clients!$B$5:$B$504,MATCH(E954,Clients!$A$5:$A$504,0)),"Walk-in"))</f>
        <v>0</v>
      </c>
      <c r="H954" s="15">
        <f>IF(G954="","",IFERROR(INDEX(Services!$B$5:$B$204,MATCH(G954,Services!$A$5:$A$204,0)),"Not in Services"))</f>
        <v>0</v>
      </c>
      <c r="J954" s="15">
        <f>IF(I954="","",IFERROR(INDEX(Staff!$B$5:$B$44,MATCH(I954,Staff!$A$5:$A$44,0)),"Unassigned"))</f>
        <v>0</v>
      </c>
      <c r="S954" s="15">
        <f>IF(B954="","",TEXT(B954,"yyyy-mm"))</f>
        <v>0</v>
      </c>
      <c r="T954" s="25">
        <f>IF(B954="","",WEEKNUM(B954,2))</f>
        <v>0</v>
      </c>
      <c r="U954" s="25">
        <f>IF(B954="","",IF(K954&lt;&gt;"",K954,IFERROR(INDEX(Services!$E$5:$E$204,MATCH(G954,Services!$A$5:$A$204,0))*1,0)+IFERROR(INDEX(Services!$F$5:$F$204,MATCH(G954,Services!$A$5:$A$204,0))*1,0)))</f>
        <v>0</v>
      </c>
      <c r="V954" s="36">
        <f>IF(B954="","",IF(D954="","",D954+U954/1440))</f>
        <v>0</v>
      </c>
      <c r="W954" s="25">
        <f>IF(B954="","",IF(D954="","",HOUR(D954)))</f>
        <v>0</v>
      </c>
      <c r="X954" s="37">
        <f>IF(B954="","",ROUND(U954/60,2))</f>
        <v>0</v>
      </c>
      <c r="Y954" s="26">
        <f>IF(B954="","",IF(L954&lt;&gt;"",L954,IFERROR(INDEX(Services!$G$5:$G$204,MATCH(G954,Services!$A$5:$A$204,0))*1,0)))</f>
        <v>0</v>
      </c>
      <c r="Z954" s="26">
        <f>IF(B954="","",IF(O954&lt;&gt;"",O954,IF(Y954&gt;=DepositThreshold,ROUND(Y954*DepositPercent,2),0)))</f>
        <v>0</v>
      </c>
      <c r="AA954" s="26">
        <f>IF(B954="","",ROUND(SUMIFS(Payments!$G$5:$G$1204,Payments!$I$5:$I$1204,A954,Payments!$E$5:$E$1204,"Deposit"),2))</f>
        <v>0</v>
      </c>
      <c r="AB954" s="26">
        <f>IF(B954="","",ROUND(SUMIFS(Sales!$Y$5:$Y$1204,Sales!$C$5:$C$1204,A954),2))</f>
        <v>0</v>
      </c>
      <c r="AC954" s="38">
        <f>IF(B954="","",IF(M954="Completed","Yes",IF(M954="Cancelled","Yes",IF(M954="No show","Yes","No"))))</f>
        <v>0</v>
      </c>
      <c r="AD954" s="25">
        <f>IF(B954="","",IF(AE954="","",B954-AE954))</f>
        <v>0</v>
      </c>
      <c r="AF954" s="38">
        <f>IF(B954="","",IF(M954&lt;&gt;"Completed","",IF(E954="","No",IF(COUNTIFS(Appointments!$E$5:$E$1204,E954,Appointments!$B$5:$B$1204,"&gt;"&amp;B954,Appointments!$M$5:$M$1204,"&lt;&gt;Cancelled")&gt;0,"Yes","No"))))</f>
        <v>0</v>
      </c>
      <c r="AG954" s="38">
        <f>IF(B954="","",IF(I954="","",IF(D954="","",IF(COUNTIFS($I$5:$I$1204,I954,$B$5:$B$1204,B954,$D$5:$D$1204,"&lt;"&amp;V954,$V$5:$V$1204,"&gt;"&amp;D954,$M$5:$M$1204,"&lt;&gt;Cancelled")&gt;1,"Clash",""))))</f>
        <v>0</v>
      </c>
      <c r="AH954" s="39">
        <f>IF(B954="","",IF(AG954="Clash","Clash - stylist double booked",IF(I954="","Assign - no stylist yet",IF(G954="","Add - no service chosen",IF(M954="No show","No show - charge the fee?",IF(M954="Cancelled","",IF(IF(M954="Completed",AB954&lt;Y954-0.004,FALSE),"Unpaid - nothing rung up for this visit",IF(IF(B954&lt;TodayDate,M954="Booked",FALSE),"Overdue - past date, still only Booked",IF(IF(B954=TodayDate,TRUE,FALSE),"Today",IF(IF(Z954&gt;0,AA954&lt;Z954-0.004,FALSE),"Due - deposit not taken",IF(IF(B954&gt;TodayDate,B954&lt;=TodayDate+2,FALSE),"Confirm - coming up","OK")))))))))))</f>
        <v>0</v>
      </c>
    </row>
    <row r="955" spans="1:34">
      <c r="A955" s="28">
        <f>IF(B955="","",AppointmentPrefix&amp;TEXT(ROW()-4,"0000"))</f>
        <v>0</v>
      </c>
      <c r="C955" s="15">
        <f>IF(B955="","",TEXT(B955,"ddd"))</f>
        <v>0</v>
      </c>
      <c r="F955" s="15">
        <f>IF(E955="","",IFERROR(INDEX(Clients!$B$5:$B$504,MATCH(E955,Clients!$A$5:$A$504,0)),"Walk-in"))</f>
        <v>0</v>
      </c>
      <c r="H955" s="15">
        <f>IF(G955="","",IFERROR(INDEX(Services!$B$5:$B$204,MATCH(G955,Services!$A$5:$A$204,0)),"Not in Services"))</f>
        <v>0</v>
      </c>
      <c r="J955" s="15">
        <f>IF(I955="","",IFERROR(INDEX(Staff!$B$5:$B$44,MATCH(I955,Staff!$A$5:$A$44,0)),"Unassigned"))</f>
        <v>0</v>
      </c>
      <c r="S955" s="15">
        <f>IF(B955="","",TEXT(B955,"yyyy-mm"))</f>
        <v>0</v>
      </c>
      <c r="T955" s="25">
        <f>IF(B955="","",WEEKNUM(B955,2))</f>
        <v>0</v>
      </c>
      <c r="U955" s="25">
        <f>IF(B955="","",IF(K955&lt;&gt;"",K955,IFERROR(INDEX(Services!$E$5:$E$204,MATCH(G955,Services!$A$5:$A$204,0))*1,0)+IFERROR(INDEX(Services!$F$5:$F$204,MATCH(G955,Services!$A$5:$A$204,0))*1,0)))</f>
        <v>0</v>
      </c>
      <c r="V955" s="36">
        <f>IF(B955="","",IF(D955="","",D955+U955/1440))</f>
        <v>0</v>
      </c>
      <c r="W955" s="25">
        <f>IF(B955="","",IF(D955="","",HOUR(D955)))</f>
        <v>0</v>
      </c>
      <c r="X955" s="37">
        <f>IF(B955="","",ROUND(U955/60,2))</f>
        <v>0</v>
      </c>
      <c r="Y955" s="26">
        <f>IF(B955="","",IF(L955&lt;&gt;"",L955,IFERROR(INDEX(Services!$G$5:$G$204,MATCH(G955,Services!$A$5:$A$204,0))*1,0)))</f>
        <v>0</v>
      </c>
      <c r="Z955" s="26">
        <f>IF(B955="","",IF(O955&lt;&gt;"",O955,IF(Y955&gt;=DepositThreshold,ROUND(Y955*DepositPercent,2),0)))</f>
        <v>0</v>
      </c>
      <c r="AA955" s="26">
        <f>IF(B955="","",ROUND(SUMIFS(Payments!$G$5:$G$1204,Payments!$I$5:$I$1204,A955,Payments!$E$5:$E$1204,"Deposit"),2))</f>
        <v>0</v>
      </c>
      <c r="AB955" s="26">
        <f>IF(B955="","",ROUND(SUMIFS(Sales!$Y$5:$Y$1204,Sales!$C$5:$C$1204,A955),2))</f>
        <v>0</v>
      </c>
      <c r="AC955" s="38">
        <f>IF(B955="","",IF(M955="Completed","Yes",IF(M955="Cancelled","Yes",IF(M955="No show","Yes","No"))))</f>
        <v>0</v>
      </c>
      <c r="AD955" s="25">
        <f>IF(B955="","",IF(AE955="","",B955-AE955))</f>
        <v>0</v>
      </c>
      <c r="AF955" s="38">
        <f>IF(B955="","",IF(M955&lt;&gt;"Completed","",IF(E955="","No",IF(COUNTIFS(Appointments!$E$5:$E$1204,E955,Appointments!$B$5:$B$1204,"&gt;"&amp;B955,Appointments!$M$5:$M$1204,"&lt;&gt;Cancelled")&gt;0,"Yes","No"))))</f>
        <v>0</v>
      </c>
      <c r="AG955" s="38">
        <f>IF(B955="","",IF(I955="","",IF(D955="","",IF(COUNTIFS($I$5:$I$1204,I955,$B$5:$B$1204,B955,$D$5:$D$1204,"&lt;"&amp;V955,$V$5:$V$1204,"&gt;"&amp;D955,$M$5:$M$1204,"&lt;&gt;Cancelled")&gt;1,"Clash",""))))</f>
        <v>0</v>
      </c>
      <c r="AH955" s="39">
        <f>IF(B955="","",IF(AG955="Clash","Clash - stylist double booked",IF(I955="","Assign - no stylist yet",IF(G955="","Add - no service chosen",IF(M955="No show","No show - charge the fee?",IF(M955="Cancelled","",IF(IF(M955="Completed",AB955&lt;Y955-0.004,FALSE),"Unpaid - nothing rung up for this visit",IF(IF(B955&lt;TodayDate,M955="Booked",FALSE),"Overdue - past date, still only Booked",IF(IF(B955=TodayDate,TRUE,FALSE),"Today",IF(IF(Z955&gt;0,AA955&lt;Z955-0.004,FALSE),"Due - deposit not taken",IF(IF(B955&gt;TodayDate,B955&lt;=TodayDate+2,FALSE),"Confirm - coming up","OK")))))))))))</f>
        <v>0</v>
      </c>
    </row>
    <row r="956" spans="1:34">
      <c r="A956" s="28">
        <f>IF(B956="","",AppointmentPrefix&amp;TEXT(ROW()-4,"0000"))</f>
        <v>0</v>
      </c>
      <c r="C956" s="15">
        <f>IF(B956="","",TEXT(B956,"ddd"))</f>
        <v>0</v>
      </c>
      <c r="F956" s="15">
        <f>IF(E956="","",IFERROR(INDEX(Clients!$B$5:$B$504,MATCH(E956,Clients!$A$5:$A$504,0)),"Walk-in"))</f>
        <v>0</v>
      </c>
      <c r="H956" s="15">
        <f>IF(G956="","",IFERROR(INDEX(Services!$B$5:$B$204,MATCH(G956,Services!$A$5:$A$204,0)),"Not in Services"))</f>
        <v>0</v>
      </c>
      <c r="J956" s="15">
        <f>IF(I956="","",IFERROR(INDEX(Staff!$B$5:$B$44,MATCH(I956,Staff!$A$5:$A$44,0)),"Unassigned"))</f>
        <v>0</v>
      </c>
      <c r="S956" s="15">
        <f>IF(B956="","",TEXT(B956,"yyyy-mm"))</f>
        <v>0</v>
      </c>
      <c r="T956" s="25">
        <f>IF(B956="","",WEEKNUM(B956,2))</f>
        <v>0</v>
      </c>
      <c r="U956" s="25">
        <f>IF(B956="","",IF(K956&lt;&gt;"",K956,IFERROR(INDEX(Services!$E$5:$E$204,MATCH(G956,Services!$A$5:$A$204,0))*1,0)+IFERROR(INDEX(Services!$F$5:$F$204,MATCH(G956,Services!$A$5:$A$204,0))*1,0)))</f>
        <v>0</v>
      </c>
      <c r="V956" s="36">
        <f>IF(B956="","",IF(D956="","",D956+U956/1440))</f>
        <v>0</v>
      </c>
      <c r="W956" s="25">
        <f>IF(B956="","",IF(D956="","",HOUR(D956)))</f>
        <v>0</v>
      </c>
      <c r="X956" s="37">
        <f>IF(B956="","",ROUND(U956/60,2))</f>
        <v>0</v>
      </c>
      <c r="Y956" s="26">
        <f>IF(B956="","",IF(L956&lt;&gt;"",L956,IFERROR(INDEX(Services!$G$5:$G$204,MATCH(G956,Services!$A$5:$A$204,0))*1,0)))</f>
        <v>0</v>
      </c>
      <c r="Z956" s="26">
        <f>IF(B956="","",IF(O956&lt;&gt;"",O956,IF(Y956&gt;=DepositThreshold,ROUND(Y956*DepositPercent,2),0)))</f>
        <v>0</v>
      </c>
      <c r="AA956" s="26">
        <f>IF(B956="","",ROUND(SUMIFS(Payments!$G$5:$G$1204,Payments!$I$5:$I$1204,A956,Payments!$E$5:$E$1204,"Deposit"),2))</f>
        <v>0</v>
      </c>
      <c r="AB956" s="26">
        <f>IF(B956="","",ROUND(SUMIFS(Sales!$Y$5:$Y$1204,Sales!$C$5:$C$1204,A956),2))</f>
        <v>0</v>
      </c>
      <c r="AC956" s="38">
        <f>IF(B956="","",IF(M956="Completed","Yes",IF(M956="Cancelled","Yes",IF(M956="No show","Yes","No"))))</f>
        <v>0</v>
      </c>
      <c r="AD956" s="25">
        <f>IF(B956="","",IF(AE956="","",B956-AE956))</f>
        <v>0</v>
      </c>
      <c r="AF956" s="38">
        <f>IF(B956="","",IF(M956&lt;&gt;"Completed","",IF(E956="","No",IF(COUNTIFS(Appointments!$E$5:$E$1204,E956,Appointments!$B$5:$B$1204,"&gt;"&amp;B956,Appointments!$M$5:$M$1204,"&lt;&gt;Cancelled")&gt;0,"Yes","No"))))</f>
        <v>0</v>
      </c>
      <c r="AG956" s="38">
        <f>IF(B956="","",IF(I956="","",IF(D956="","",IF(COUNTIFS($I$5:$I$1204,I956,$B$5:$B$1204,B956,$D$5:$D$1204,"&lt;"&amp;V956,$V$5:$V$1204,"&gt;"&amp;D956,$M$5:$M$1204,"&lt;&gt;Cancelled")&gt;1,"Clash",""))))</f>
        <v>0</v>
      </c>
      <c r="AH956" s="39">
        <f>IF(B956="","",IF(AG956="Clash","Clash - stylist double booked",IF(I956="","Assign - no stylist yet",IF(G956="","Add - no service chosen",IF(M956="No show","No show - charge the fee?",IF(M956="Cancelled","",IF(IF(M956="Completed",AB956&lt;Y956-0.004,FALSE),"Unpaid - nothing rung up for this visit",IF(IF(B956&lt;TodayDate,M956="Booked",FALSE),"Overdue - past date, still only Booked",IF(IF(B956=TodayDate,TRUE,FALSE),"Today",IF(IF(Z956&gt;0,AA956&lt;Z956-0.004,FALSE),"Due - deposit not taken",IF(IF(B956&gt;TodayDate,B956&lt;=TodayDate+2,FALSE),"Confirm - coming up","OK")))))))))))</f>
        <v>0</v>
      </c>
    </row>
    <row r="957" spans="1:34">
      <c r="A957" s="28">
        <f>IF(B957="","",AppointmentPrefix&amp;TEXT(ROW()-4,"0000"))</f>
        <v>0</v>
      </c>
      <c r="C957" s="15">
        <f>IF(B957="","",TEXT(B957,"ddd"))</f>
        <v>0</v>
      </c>
      <c r="F957" s="15">
        <f>IF(E957="","",IFERROR(INDEX(Clients!$B$5:$B$504,MATCH(E957,Clients!$A$5:$A$504,0)),"Walk-in"))</f>
        <v>0</v>
      </c>
      <c r="H957" s="15">
        <f>IF(G957="","",IFERROR(INDEX(Services!$B$5:$B$204,MATCH(G957,Services!$A$5:$A$204,0)),"Not in Services"))</f>
        <v>0</v>
      </c>
      <c r="J957" s="15">
        <f>IF(I957="","",IFERROR(INDEX(Staff!$B$5:$B$44,MATCH(I957,Staff!$A$5:$A$44,0)),"Unassigned"))</f>
        <v>0</v>
      </c>
      <c r="S957" s="15">
        <f>IF(B957="","",TEXT(B957,"yyyy-mm"))</f>
        <v>0</v>
      </c>
      <c r="T957" s="25">
        <f>IF(B957="","",WEEKNUM(B957,2))</f>
        <v>0</v>
      </c>
      <c r="U957" s="25">
        <f>IF(B957="","",IF(K957&lt;&gt;"",K957,IFERROR(INDEX(Services!$E$5:$E$204,MATCH(G957,Services!$A$5:$A$204,0))*1,0)+IFERROR(INDEX(Services!$F$5:$F$204,MATCH(G957,Services!$A$5:$A$204,0))*1,0)))</f>
        <v>0</v>
      </c>
      <c r="V957" s="36">
        <f>IF(B957="","",IF(D957="","",D957+U957/1440))</f>
        <v>0</v>
      </c>
      <c r="W957" s="25">
        <f>IF(B957="","",IF(D957="","",HOUR(D957)))</f>
        <v>0</v>
      </c>
      <c r="X957" s="37">
        <f>IF(B957="","",ROUND(U957/60,2))</f>
        <v>0</v>
      </c>
      <c r="Y957" s="26">
        <f>IF(B957="","",IF(L957&lt;&gt;"",L957,IFERROR(INDEX(Services!$G$5:$G$204,MATCH(G957,Services!$A$5:$A$204,0))*1,0)))</f>
        <v>0</v>
      </c>
      <c r="Z957" s="26">
        <f>IF(B957="","",IF(O957&lt;&gt;"",O957,IF(Y957&gt;=DepositThreshold,ROUND(Y957*DepositPercent,2),0)))</f>
        <v>0</v>
      </c>
      <c r="AA957" s="26">
        <f>IF(B957="","",ROUND(SUMIFS(Payments!$G$5:$G$1204,Payments!$I$5:$I$1204,A957,Payments!$E$5:$E$1204,"Deposit"),2))</f>
        <v>0</v>
      </c>
      <c r="AB957" s="26">
        <f>IF(B957="","",ROUND(SUMIFS(Sales!$Y$5:$Y$1204,Sales!$C$5:$C$1204,A957),2))</f>
        <v>0</v>
      </c>
      <c r="AC957" s="38">
        <f>IF(B957="","",IF(M957="Completed","Yes",IF(M957="Cancelled","Yes",IF(M957="No show","Yes","No"))))</f>
        <v>0</v>
      </c>
      <c r="AD957" s="25">
        <f>IF(B957="","",IF(AE957="","",B957-AE957))</f>
        <v>0</v>
      </c>
      <c r="AF957" s="38">
        <f>IF(B957="","",IF(M957&lt;&gt;"Completed","",IF(E957="","No",IF(COUNTIFS(Appointments!$E$5:$E$1204,E957,Appointments!$B$5:$B$1204,"&gt;"&amp;B957,Appointments!$M$5:$M$1204,"&lt;&gt;Cancelled")&gt;0,"Yes","No"))))</f>
        <v>0</v>
      </c>
      <c r="AG957" s="38">
        <f>IF(B957="","",IF(I957="","",IF(D957="","",IF(COUNTIFS($I$5:$I$1204,I957,$B$5:$B$1204,B957,$D$5:$D$1204,"&lt;"&amp;V957,$V$5:$V$1204,"&gt;"&amp;D957,$M$5:$M$1204,"&lt;&gt;Cancelled")&gt;1,"Clash",""))))</f>
        <v>0</v>
      </c>
      <c r="AH957" s="39">
        <f>IF(B957="","",IF(AG957="Clash","Clash - stylist double booked",IF(I957="","Assign - no stylist yet",IF(G957="","Add - no service chosen",IF(M957="No show","No show - charge the fee?",IF(M957="Cancelled","",IF(IF(M957="Completed",AB957&lt;Y957-0.004,FALSE),"Unpaid - nothing rung up for this visit",IF(IF(B957&lt;TodayDate,M957="Booked",FALSE),"Overdue - past date, still only Booked",IF(IF(B957=TodayDate,TRUE,FALSE),"Today",IF(IF(Z957&gt;0,AA957&lt;Z957-0.004,FALSE),"Due - deposit not taken",IF(IF(B957&gt;TodayDate,B957&lt;=TodayDate+2,FALSE),"Confirm - coming up","OK")))))))))))</f>
        <v>0</v>
      </c>
    </row>
    <row r="958" spans="1:34">
      <c r="A958" s="28">
        <f>IF(B958="","",AppointmentPrefix&amp;TEXT(ROW()-4,"0000"))</f>
        <v>0</v>
      </c>
      <c r="C958" s="15">
        <f>IF(B958="","",TEXT(B958,"ddd"))</f>
        <v>0</v>
      </c>
      <c r="F958" s="15">
        <f>IF(E958="","",IFERROR(INDEX(Clients!$B$5:$B$504,MATCH(E958,Clients!$A$5:$A$504,0)),"Walk-in"))</f>
        <v>0</v>
      </c>
      <c r="H958" s="15">
        <f>IF(G958="","",IFERROR(INDEX(Services!$B$5:$B$204,MATCH(G958,Services!$A$5:$A$204,0)),"Not in Services"))</f>
        <v>0</v>
      </c>
      <c r="J958" s="15">
        <f>IF(I958="","",IFERROR(INDEX(Staff!$B$5:$B$44,MATCH(I958,Staff!$A$5:$A$44,0)),"Unassigned"))</f>
        <v>0</v>
      </c>
      <c r="S958" s="15">
        <f>IF(B958="","",TEXT(B958,"yyyy-mm"))</f>
        <v>0</v>
      </c>
      <c r="T958" s="25">
        <f>IF(B958="","",WEEKNUM(B958,2))</f>
        <v>0</v>
      </c>
      <c r="U958" s="25">
        <f>IF(B958="","",IF(K958&lt;&gt;"",K958,IFERROR(INDEX(Services!$E$5:$E$204,MATCH(G958,Services!$A$5:$A$204,0))*1,0)+IFERROR(INDEX(Services!$F$5:$F$204,MATCH(G958,Services!$A$5:$A$204,0))*1,0)))</f>
        <v>0</v>
      </c>
      <c r="V958" s="36">
        <f>IF(B958="","",IF(D958="","",D958+U958/1440))</f>
        <v>0</v>
      </c>
      <c r="W958" s="25">
        <f>IF(B958="","",IF(D958="","",HOUR(D958)))</f>
        <v>0</v>
      </c>
      <c r="X958" s="37">
        <f>IF(B958="","",ROUND(U958/60,2))</f>
        <v>0</v>
      </c>
      <c r="Y958" s="26">
        <f>IF(B958="","",IF(L958&lt;&gt;"",L958,IFERROR(INDEX(Services!$G$5:$G$204,MATCH(G958,Services!$A$5:$A$204,0))*1,0)))</f>
        <v>0</v>
      </c>
      <c r="Z958" s="26">
        <f>IF(B958="","",IF(O958&lt;&gt;"",O958,IF(Y958&gt;=DepositThreshold,ROUND(Y958*DepositPercent,2),0)))</f>
        <v>0</v>
      </c>
      <c r="AA958" s="26">
        <f>IF(B958="","",ROUND(SUMIFS(Payments!$G$5:$G$1204,Payments!$I$5:$I$1204,A958,Payments!$E$5:$E$1204,"Deposit"),2))</f>
        <v>0</v>
      </c>
      <c r="AB958" s="26">
        <f>IF(B958="","",ROUND(SUMIFS(Sales!$Y$5:$Y$1204,Sales!$C$5:$C$1204,A958),2))</f>
        <v>0</v>
      </c>
      <c r="AC958" s="38">
        <f>IF(B958="","",IF(M958="Completed","Yes",IF(M958="Cancelled","Yes",IF(M958="No show","Yes","No"))))</f>
        <v>0</v>
      </c>
      <c r="AD958" s="25">
        <f>IF(B958="","",IF(AE958="","",B958-AE958))</f>
        <v>0</v>
      </c>
      <c r="AF958" s="38">
        <f>IF(B958="","",IF(M958&lt;&gt;"Completed","",IF(E958="","No",IF(COUNTIFS(Appointments!$E$5:$E$1204,E958,Appointments!$B$5:$B$1204,"&gt;"&amp;B958,Appointments!$M$5:$M$1204,"&lt;&gt;Cancelled")&gt;0,"Yes","No"))))</f>
        <v>0</v>
      </c>
      <c r="AG958" s="38">
        <f>IF(B958="","",IF(I958="","",IF(D958="","",IF(COUNTIFS($I$5:$I$1204,I958,$B$5:$B$1204,B958,$D$5:$D$1204,"&lt;"&amp;V958,$V$5:$V$1204,"&gt;"&amp;D958,$M$5:$M$1204,"&lt;&gt;Cancelled")&gt;1,"Clash",""))))</f>
        <v>0</v>
      </c>
      <c r="AH958" s="39">
        <f>IF(B958="","",IF(AG958="Clash","Clash - stylist double booked",IF(I958="","Assign - no stylist yet",IF(G958="","Add - no service chosen",IF(M958="No show","No show - charge the fee?",IF(M958="Cancelled","",IF(IF(M958="Completed",AB958&lt;Y958-0.004,FALSE),"Unpaid - nothing rung up for this visit",IF(IF(B958&lt;TodayDate,M958="Booked",FALSE),"Overdue - past date, still only Booked",IF(IF(B958=TodayDate,TRUE,FALSE),"Today",IF(IF(Z958&gt;0,AA958&lt;Z958-0.004,FALSE),"Due - deposit not taken",IF(IF(B958&gt;TodayDate,B958&lt;=TodayDate+2,FALSE),"Confirm - coming up","OK")))))))))))</f>
        <v>0</v>
      </c>
    </row>
    <row r="959" spans="1:34">
      <c r="A959" s="28">
        <f>IF(B959="","",AppointmentPrefix&amp;TEXT(ROW()-4,"0000"))</f>
        <v>0</v>
      </c>
      <c r="C959" s="15">
        <f>IF(B959="","",TEXT(B959,"ddd"))</f>
        <v>0</v>
      </c>
      <c r="F959" s="15">
        <f>IF(E959="","",IFERROR(INDEX(Clients!$B$5:$B$504,MATCH(E959,Clients!$A$5:$A$504,0)),"Walk-in"))</f>
        <v>0</v>
      </c>
      <c r="H959" s="15">
        <f>IF(G959="","",IFERROR(INDEX(Services!$B$5:$B$204,MATCH(G959,Services!$A$5:$A$204,0)),"Not in Services"))</f>
        <v>0</v>
      </c>
      <c r="J959" s="15">
        <f>IF(I959="","",IFERROR(INDEX(Staff!$B$5:$B$44,MATCH(I959,Staff!$A$5:$A$44,0)),"Unassigned"))</f>
        <v>0</v>
      </c>
      <c r="S959" s="15">
        <f>IF(B959="","",TEXT(B959,"yyyy-mm"))</f>
        <v>0</v>
      </c>
      <c r="T959" s="25">
        <f>IF(B959="","",WEEKNUM(B959,2))</f>
        <v>0</v>
      </c>
      <c r="U959" s="25">
        <f>IF(B959="","",IF(K959&lt;&gt;"",K959,IFERROR(INDEX(Services!$E$5:$E$204,MATCH(G959,Services!$A$5:$A$204,0))*1,0)+IFERROR(INDEX(Services!$F$5:$F$204,MATCH(G959,Services!$A$5:$A$204,0))*1,0)))</f>
        <v>0</v>
      </c>
      <c r="V959" s="36">
        <f>IF(B959="","",IF(D959="","",D959+U959/1440))</f>
        <v>0</v>
      </c>
      <c r="W959" s="25">
        <f>IF(B959="","",IF(D959="","",HOUR(D959)))</f>
        <v>0</v>
      </c>
      <c r="X959" s="37">
        <f>IF(B959="","",ROUND(U959/60,2))</f>
        <v>0</v>
      </c>
      <c r="Y959" s="26">
        <f>IF(B959="","",IF(L959&lt;&gt;"",L959,IFERROR(INDEX(Services!$G$5:$G$204,MATCH(G959,Services!$A$5:$A$204,0))*1,0)))</f>
        <v>0</v>
      </c>
      <c r="Z959" s="26">
        <f>IF(B959="","",IF(O959&lt;&gt;"",O959,IF(Y959&gt;=DepositThreshold,ROUND(Y959*DepositPercent,2),0)))</f>
        <v>0</v>
      </c>
      <c r="AA959" s="26">
        <f>IF(B959="","",ROUND(SUMIFS(Payments!$G$5:$G$1204,Payments!$I$5:$I$1204,A959,Payments!$E$5:$E$1204,"Deposit"),2))</f>
        <v>0</v>
      </c>
      <c r="AB959" s="26">
        <f>IF(B959="","",ROUND(SUMIFS(Sales!$Y$5:$Y$1204,Sales!$C$5:$C$1204,A959),2))</f>
        <v>0</v>
      </c>
      <c r="AC959" s="38">
        <f>IF(B959="","",IF(M959="Completed","Yes",IF(M959="Cancelled","Yes",IF(M959="No show","Yes","No"))))</f>
        <v>0</v>
      </c>
      <c r="AD959" s="25">
        <f>IF(B959="","",IF(AE959="","",B959-AE959))</f>
        <v>0</v>
      </c>
      <c r="AF959" s="38">
        <f>IF(B959="","",IF(M959&lt;&gt;"Completed","",IF(E959="","No",IF(COUNTIFS(Appointments!$E$5:$E$1204,E959,Appointments!$B$5:$B$1204,"&gt;"&amp;B959,Appointments!$M$5:$M$1204,"&lt;&gt;Cancelled")&gt;0,"Yes","No"))))</f>
        <v>0</v>
      </c>
      <c r="AG959" s="38">
        <f>IF(B959="","",IF(I959="","",IF(D959="","",IF(COUNTIFS($I$5:$I$1204,I959,$B$5:$B$1204,B959,$D$5:$D$1204,"&lt;"&amp;V959,$V$5:$V$1204,"&gt;"&amp;D959,$M$5:$M$1204,"&lt;&gt;Cancelled")&gt;1,"Clash",""))))</f>
        <v>0</v>
      </c>
      <c r="AH959" s="39">
        <f>IF(B959="","",IF(AG959="Clash","Clash - stylist double booked",IF(I959="","Assign - no stylist yet",IF(G959="","Add - no service chosen",IF(M959="No show","No show - charge the fee?",IF(M959="Cancelled","",IF(IF(M959="Completed",AB959&lt;Y959-0.004,FALSE),"Unpaid - nothing rung up for this visit",IF(IF(B959&lt;TodayDate,M959="Booked",FALSE),"Overdue - past date, still only Booked",IF(IF(B959=TodayDate,TRUE,FALSE),"Today",IF(IF(Z959&gt;0,AA959&lt;Z959-0.004,FALSE),"Due - deposit not taken",IF(IF(B959&gt;TodayDate,B959&lt;=TodayDate+2,FALSE),"Confirm - coming up","OK")))))))))))</f>
        <v>0</v>
      </c>
    </row>
    <row r="960" spans="1:34">
      <c r="A960" s="28">
        <f>IF(B960="","",AppointmentPrefix&amp;TEXT(ROW()-4,"0000"))</f>
        <v>0</v>
      </c>
      <c r="C960" s="15">
        <f>IF(B960="","",TEXT(B960,"ddd"))</f>
        <v>0</v>
      </c>
      <c r="F960" s="15">
        <f>IF(E960="","",IFERROR(INDEX(Clients!$B$5:$B$504,MATCH(E960,Clients!$A$5:$A$504,0)),"Walk-in"))</f>
        <v>0</v>
      </c>
      <c r="H960" s="15">
        <f>IF(G960="","",IFERROR(INDEX(Services!$B$5:$B$204,MATCH(G960,Services!$A$5:$A$204,0)),"Not in Services"))</f>
        <v>0</v>
      </c>
      <c r="J960" s="15">
        <f>IF(I960="","",IFERROR(INDEX(Staff!$B$5:$B$44,MATCH(I960,Staff!$A$5:$A$44,0)),"Unassigned"))</f>
        <v>0</v>
      </c>
      <c r="S960" s="15">
        <f>IF(B960="","",TEXT(B960,"yyyy-mm"))</f>
        <v>0</v>
      </c>
      <c r="T960" s="25">
        <f>IF(B960="","",WEEKNUM(B960,2))</f>
        <v>0</v>
      </c>
      <c r="U960" s="25">
        <f>IF(B960="","",IF(K960&lt;&gt;"",K960,IFERROR(INDEX(Services!$E$5:$E$204,MATCH(G960,Services!$A$5:$A$204,0))*1,0)+IFERROR(INDEX(Services!$F$5:$F$204,MATCH(G960,Services!$A$5:$A$204,0))*1,0)))</f>
        <v>0</v>
      </c>
      <c r="V960" s="36">
        <f>IF(B960="","",IF(D960="","",D960+U960/1440))</f>
        <v>0</v>
      </c>
      <c r="W960" s="25">
        <f>IF(B960="","",IF(D960="","",HOUR(D960)))</f>
        <v>0</v>
      </c>
      <c r="X960" s="37">
        <f>IF(B960="","",ROUND(U960/60,2))</f>
        <v>0</v>
      </c>
      <c r="Y960" s="26">
        <f>IF(B960="","",IF(L960&lt;&gt;"",L960,IFERROR(INDEX(Services!$G$5:$G$204,MATCH(G960,Services!$A$5:$A$204,0))*1,0)))</f>
        <v>0</v>
      </c>
      <c r="Z960" s="26">
        <f>IF(B960="","",IF(O960&lt;&gt;"",O960,IF(Y960&gt;=DepositThreshold,ROUND(Y960*DepositPercent,2),0)))</f>
        <v>0</v>
      </c>
      <c r="AA960" s="26">
        <f>IF(B960="","",ROUND(SUMIFS(Payments!$G$5:$G$1204,Payments!$I$5:$I$1204,A960,Payments!$E$5:$E$1204,"Deposit"),2))</f>
        <v>0</v>
      </c>
      <c r="AB960" s="26">
        <f>IF(B960="","",ROUND(SUMIFS(Sales!$Y$5:$Y$1204,Sales!$C$5:$C$1204,A960),2))</f>
        <v>0</v>
      </c>
      <c r="AC960" s="38">
        <f>IF(B960="","",IF(M960="Completed","Yes",IF(M960="Cancelled","Yes",IF(M960="No show","Yes","No"))))</f>
        <v>0</v>
      </c>
      <c r="AD960" s="25">
        <f>IF(B960="","",IF(AE960="","",B960-AE960))</f>
        <v>0</v>
      </c>
      <c r="AF960" s="38">
        <f>IF(B960="","",IF(M960&lt;&gt;"Completed","",IF(E960="","No",IF(COUNTIFS(Appointments!$E$5:$E$1204,E960,Appointments!$B$5:$B$1204,"&gt;"&amp;B960,Appointments!$M$5:$M$1204,"&lt;&gt;Cancelled")&gt;0,"Yes","No"))))</f>
        <v>0</v>
      </c>
      <c r="AG960" s="38">
        <f>IF(B960="","",IF(I960="","",IF(D960="","",IF(COUNTIFS($I$5:$I$1204,I960,$B$5:$B$1204,B960,$D$5:$D$1204,"&lt;"&amp;V960,$V$5:$V$1204,"&gt;"&amp;D960,$M$5:$M$1204,"&lt;&gt;Cancelled")&gt;1,"Clash",""))))</f>
        <v>0</v>
      </c>
      <c r="AH960" s="39">
        <f>IF(B960="","",IF(AG960="Clash","Clash - stylist double booked",IF(I960="","Assign - no stylist yet",IF(G960="","Add - no service chosen",IF(M960="No show","No show - charge the fee?",IF(M960="Cancelled","",IF(IF(M960="Completed",AB960&lt;Y960-0.004,FALSE),"Unpaid - nothing rung up for this visit",IF(IF(B960&lt;TodayDate,M960="Booked",FALSE),"Overdue - past date, still only Booked",IF(IF(B960=TodayDate,TRUE,FALSE),"Today",IF(IF(Z960&gt;0,AA960&lt;Z960-0.004,FALSE),"Due - deposit not taken",IF(IF(B960&gt;TodayDate,B960&lt;=TodayDate+2,FALSE),"Confirm - coming up","OK")))))))))))</f>
        <v>0</v>
      </c>
    </row>
    <row r="961" spans="1:34">
      <c r="A961" s="28">
        <f>IF(B961="","",AppointmentPrefix&amp;TEXT(ROW()-4,"0000"))</f>
        <v>0</v>
      </c>
      <c r="C961" s="15">
        <f>IF(B961="","",TEXT(B961,"ddd"))</f>
        <v>0</v>
      </c>
      <c r="F961" s="15">
        <f>IF(E961="","",IFERROR(INDEX(Clients!$B$5:$B$504,MATCH(E961,Clients!$A$5:$A$504,0)),"Walk-in"))</f>
        <v>0</v>
      </c>
      <c r="H961" s="15">
        <f>IF(G961="","",IFERROR(INDEX(Services!$B$5:$B$204,MATCH(G961,Services!$A$5:$A$204,0)),"Not in Services"))</f>
        <v>0</v>
      </c>
      <c r="J961" s="15">
        <f>IF(I961="","",IFERROR(INDEX(Staff!$B$5:$B$44,MATCH(I961,Staff!$A$5:$A$44,0)),"Unassigned"))</f>
        <v>0</v>
      </c>
      <c r="S961" s="15">
        <f>IF(B961="","",TEXT(B961,"yyyy-mm"))</f>
        <v>0</v>
      </c>
      <c r="T961" s="25">
        <f>IF(B961="","",WEEKNUM(B961,2))</f>
        <v>0</v>
      </c>
      <c r="U961" s="25">
        <f>IF(B961="","",IF(K961&lt;&gt;"",K961,IFERROR(INDEX(Services!$E$5:$E$204,MATCH(G961,Services!$A$5:$A$204,0))*1,0)+IFERROR(INDEX(Services!$F$5:$F$204,MATCH(G961,Services!$A$5:$A$204,0))*1,0)))</f>
        <v>0</v>
      </c>
      <c r="V961" s="36">
        <f>IF(B961="","",IF(D961="","",D961+U961/1440))</f>
        <v>0</v>
      </c>
      <c r="W961" s="25">
        <f>IF(B961="","",IF(D961="","",HOUR(D961)))</f>
        <v>0</v>
      </c>
      <c r="X961" s="37">
        <f>IF(B961="","",ROUND(U961/60,2))</f>
        <v>0</v>
      </c>
      <c r="Y961" s="26">
        <f>IF(B961="","",IF(L961&lt;&gt;"",L961,IFERROR(INDEX(Services!$G$5:$G$204,MATCH(G961,Services!$A$5:$A$204,0))*1,0)))</f>
        <v>0</v>
      </c>
      <c r="Z961" s="26">
        <f>IF(B961="","",IF(O961&lt;&gt;"",O961,IF(Y961&gt;=DepositThreshold,ROUND(Y961*DepositPercent,2),0)))</f>
        <v>0</v>
      </c>
      <c r="AA961" s="26">
        <f>IF(B961="","",ROUND(SUMIFS(Payments!$G$5:$G$1204,Payments!$I$5:$I$1204,A961,Payments!$E$5:$E$1204,"Deposit"),2))</f>
        <v>0</v>
      </c>
      <c r="AB961" s="26">
        <f>IF(B961="","",ROUND(SUMIFS(Sales!$Y$5:$Y$1204,Sales!$C$5:$C$1204,A961),2))</f>
        <v>0</v>
      </c>
      <c r="AC961" s="38">
        <f>IF(B961="","",IF(M961="Completed","Yes",IF(M961="Cancelled","Yes",IF(M961="No show","Yes","No"))))</f>
        <v>0</v>
      </c>
      <c r="AD961" s="25">
        <f>IF(B961="","",IF(AE961="","",B961-AE961))</f>
        <v>0</v>
      </c>
      <c r="AF961" s="38">
        <f>IF(B961="","",IF(M961&lt;&gt;"Completed","",IF(E961="","No",IF(COUNTIFS(Appointments!$E$5:$E$1204,E961,Appointments!$B$5:$B$1204,"&gt;"&amp;B961,Appointments!$M$5:$M$1204,"&lt;&gt;Cancelled")&gt;0,"Yes","No"))))</f>
        <v>0</v>
      </c>
      <c r="AG961" s="38">
        <f>IF(B961="","",IF(I961="","",IF(D961="","",IF(COUNTIFS($I$5:$I$1204,I961,$B$5:$B$1204,B961,$D$5:$D$1204,"&lt;"&amp;V961,$V$5:$V$1204,"&gt;"&amp;D961,$M$5:$M$1204,"&lt;&gt;Cancelled")&gt;1,"Clash",""))))</f>
        <v>0</v>
      </c>
      <c r="AH961" s="39">
        <f>IF(B961="","",IF(AG961="Clash","Clash - stylist double booked",IF(I961="","Assign - no stylist yet",IF(G961="","Add - no service chosen",IF(M961="No show","No show - charge the fee?",IF(M961="Cancelled","",IF(IF(M961="Completed",AB961&lt;Y961-0.004,FALSE),"Unpaid - nothing rung up for this visit",IF(IF(B961&lt;TodayDate,M961="Booked",FALSE),"Overdue - past date, still only Booked",IF(IF(B961=TodayDate,TRUE,FALSE),"Today",IF(IF(Z961&gt;0,AA961&lt;Z961-0.004,FALSE),"Due - deposit not taken",IF(IF(B961&gt;TodayDate,B961&lt;=TodayDate+2,FALSE),"Confirm - coming up","OK")))))))))))</f>
        <v>0</v>
      </c>
    </row>
    <row r="962" spans="1:34">
      <c r="A962" s="28">
        <f>IF(B962="","",AppointmentPrefix&amp;TEXT(ROW()-4,"0000"))</f>
        <v>0</v>
      </c>
      <c r="C962" s="15">
        <f>IF(B962="","",TEXT(B962,"ddd"))</f>
        <v>0</v>
      </c>
      <c r="F962" s="15">
        <f>IF(E962="","",IFERROR(INDEX(Clients!$B$5:$B$504,MATCH(E962,Clients!$A$5:$A$504,0)),"Walk-in"))</f>
        <v>0</v>
      </c>
      <c r="H962" s="15">
        <f>IF(G962="","",IFERROR(INDEX(Services!$B$5:$B$204,MATCH(G962,Services!$A$5:$A$204,0)),"Not in Services"))</f>
        <v>0</v>
      </c>
      <c r="J962" s="15">
        <f>IF(I962="","",IFERROR(INDEX(Staff!$B$5:$B$44,MATCH(I962,Staff!$A$5:$A$44,0)),"Unassigned"))</f>
        <v>0</v>
      </c>
      <c r="S962" s="15">
        <f>IF(B962="","",TEXT(B962,"yyyy-mm"))</f>
        <v>0</v>
      </c>
      <c r="T962" s="25">
        <f>IF(B962="","",WEEKNUM(B962,2))</f>
        <v>0</v>
      </c>
      <c r="U962" s="25">
        <f>IF(B962="","",IF(K962&lt;&gt;"",K962,IFERROR(INDEX(Services!$E$5:$E$204,MATCH(G962,Services!$A$5:$A$204,0))*1,0)+IFERROR(INDEX(Services!$F$5:$F$204,MATCH(G962,Services!$A$5:$A$204,0))*1,0)))</f>
        <v>0</v>
      </c>
      <c r="V962" s="36">
        <f>IF(B962="","",IF(D962="","",D962+U962/1440))</f>
        <v>0</v>
      </c>
      <c r="W962" s="25">
        <f>IF(B962="","",IF(D962="","",HOUR(D962)))</f>
        <v>0</v>
      </c>
      <c r="X962" s="37">
        <f>IF(B962="","",ROUND(U962/60,2))</f>
        <v>0</v>
      </c>
      <c r="Y962" s="26">
        <f>IF(B962="","",IF(L962&lt;&gt;"",L962,IFERROR(INDEX(Services!$G$5:$G$204,MATCH(G962,Services!$A$5:$A$204,0))*1,0)))</f>
        <v>0</v>
      </c>
      <c r="Z962" s="26">
        <f>IF(B962="","",IF(O962&lt;&gt;"",O962,IF(Y962&gt;=DepositThreshold,ROUND(Y962*DepositPercent,2),0)))</f>
        <v>0</v>
      </c>
      <c r="AA962" s="26">
        <f>IF(B962="","",ROUND(SUMIFS(Payments!$G$5:$G$1204,Payments!$I$5:$I$1204,A962,Payments!$E$5:$E$1204,"Deposit"),2))</f>
        <v>0</v>
      </c>
      <c r="AB962" s="26">
        <f>IF(B962="","",ROUND(SUMIFS(Sales!$Y$5:$Y$1204,Sales!$C$5:$C$1204,A962),2))</f>
        <v>0</v>
      </c>
      <c r="AC962" s="38">
        <f>IF(B962="","",IF(M962="Completed","Yes",IF(M962="Cancelled","Yes",IF(M962="No show","Yes","No"))))</f>
        <v>0</v>
      </c>
      <c r="AD962" s="25">
        <f>IF(B962="","",IF(AE962="","",B962-AE962))</f>
        <v>0</v>
      </c>
      <c r="AF962" s="38">
        <f>IF(B962="","",IF(M962&lt;&gt;"Completed","",IF(E962="","No",IF(COUNTIFS(Appointments!$E$5:$E$1204,E962,Appointments!$B$5:$B$1204,"&gt;"&amp;B962,Appointments!$M$5:$M$1204,"&lt;&gt;Cancelled")&gt;0,"Yes","No"))))</f>
        <v>0</v>
      </c>
      <c r="AG962" s="38">
        <f>IF(B962="","",IF(I962="","",IF(D962="","",IF(COUNTIFS($I$5:$I$1204,I962,$B$5:$B$1204,B962,$D$5:$D$1204,"&lt;"&amp;V962,$V$5:$V$1204,"&gt;"&amp;D962,$M$5:$M$1204,"&lt;&gt;Cancelled")&gt;1,"Clash",""))))</f>
        <v>0</v>
      </c>
      <c r="AH962" s="39">
        <f>IF(B962="","",IF(AG962="Clash","Clash - stylist double booked",IF(I962="","Assign - no stylist yet",IF(G962="","Add - no service chosen",IF(M962="No show","No show - charge the fee?",IF(M962="Cancelled","",IF(IF(M962="Completed",AB962&lt;Y962-0.004,FALSE),"Unpaid - nothing rung up for this visit",IF(IF(B962&lt;TodayDate,M962="Booked",FALSE),"Overdue - past date, still only Booked",IF(IF(B962=TodayDate,TRUE,FALSE),"Today",IF(IF(Z962&gt;0,AA962&lt;Z962-0.004,FALSE),"Due - deposit not taken",IF(IF(B962&gt;TodayDate,B962&lt;=TodayDate+2,FALSE),"Confirm - coming up","OK")))))))))))</f>
        <v>0</v>
      </c>
    </row>
    <row r="963" spans="1:34">
      <c r="A963" s="28">
        <f>IF(B963="","",AppointmentPrefix&amp;TEXT(ROW()-4,"0000"))</f>
        <v>0</v>
      </c>
      <c r="C963" s="15">
        <f>IF(B963="","",TEXT(B963,"ddd"))</f>
        <v>0</v>
      </c>
      <c r="F963" s="15">
        <f>IF(E963="","",IFERROR(INDEX(Clients!$B$5:$B$504,MATCH(E963,Clients!$A$5:$A$504,0)),"Walk-in"))</f>
        <v>0</v>
      </c>
      <c r="H963" s="15">
        <f>IF(G963="","",IFERROR(INDEX(Services!$B$5:$B$204,MATCH(G963,Services!$A$5:$A$204,0)),"Not in Services"))</f>
        <v>0</v>
      </c>
      <c r="J963" s="15">
        <f>IF(I963="","",IFERROR(INDEX(Staff!$B$5:$B$44,MATCH(I963,Staff!$A$5:$A$44,0)),"Unassigned"))</f>
        <v>0</v>
      </c>
      <c r="S963" s="15">
        <f>IF(B963="","",TEXT(B963,"yyyy-mm"))</f>
        <v>0</v>
      </c>
      <c r="T963" s="25">
        <f>IF(B963="","",WEEKNUM(B963,2))</f>
        <v>0</v>
      </c>
      <c r="U963" s="25">
        <f>IF(B963="","",IF(K963&lt;&gt;"",K963,IFERROR(INDEX(Services!$E$5:$E$204,MATCH(G963,Services!$A$5:$A$204,0))*1,0)+IFERROR(INDEX(Services!$F$5:$F$204,MATCH(G963,Services!$A$5:$A$204,0))*1,0)))</f>
        <v>0</v>
      </c>
      <c r="V963" s="36">
        <f>IF(B963="","",IF(D963="","",D963+U963/1440))</f>
        <v>0</v>
      </c>
      <c r="W963" s="25">
        <f>IF(B963="","",IF(D963="","",HOUR(D963)))</f>
        <v>0</v>
      </c>
      <c r="X963" s="37">
        <f>IF(B963="","",ROUND(U963/60,2))</f>
        <v>0</v>
      </c>
      <c r="Y963" s="26">
        <f>IF(B963="","",IF(L963&lt;&gt;"",L963,IFERROR(INDEX(Services!$G$5:$G$204,MATCH(G963,Services!$A$5:$A$204,0))*1,0)))</f>
        <v>0</v>
      </c>
      <c r="Z963" s="26">
        <f>IF(B963="","",IF(O963&lt;&gt;"",O963,IF(Y963&gt;=DepositThreshold,ROUND(Y963*DepositPercent,2),0)))</f>
        <v>0</v>
      </c>
      <c r="AA963" s="26">
        <f>IF(B963="","",ROUND(SUMIFS(Payments!$G$5:$G$1204,Payments!$I$5:$I$1204,A963,Payments!$E$5:$E$1204,"Deposit"),2))</f>
        <v>0</v>
      </c>
      <c r="AB963" s="26">
        <f>IF(B963="","",ROUND(SUMIFS(Sales!$Y$5:$Y$1204,Sales!$C$5:$C$1204,A963),2))</f>
        <v>0</v>
      </c>
      <c r="AC963" s="38">
        <f>IF(B963="","",IF(M963="Completed","Yes",IF(M963="Cancelled","Yes",IF(M963="No show","Yes","No"))))</f>
        <v>0</v>
      </c>
      <c r="AD963" s="25">
        <f>IF(B963="","",IF(AE963="","",B963-AE963))</f>
        <v>0</v>
      </c>
      <c r="AF963" s="38">
        <f>IF(B963="","",IF(M963&lt;&gt;"Completed","",IF(E963="","No",IF(COUNTIFS(Appointments!$E$5:$E$1204,E963,Appointments!$B$5:$B$1204,"&gt;"&amp;B963,Appointments!$M$5:$M$1204,"&lt;&gt;Cancelled")&gt;0,"Yes","No"))))</f>
        <v>0</v>
      </c>
      <c r="AG963" s="38">
        <f>IF(B963="","",IF(I963="","",IF(D963="","",IF(COUNTIFS($I$5:$I$1204,I963,$B$5:$B$1204,B963,$D$5:$D$1204,"&lt;"&amp;V963,$V$5:$V$1204,"&gt;"&amp;D963,$M$5:$M$1204,"&lt;&gt;Cancelled")&gt;1,"Clash",""))))</f>
        <v>0</v>
      </c>
      <c r="AH963" s="39">
        <f>IF(B963="","",IF(AG963="Clash","Clash - stylist double booked",IF(I963="","Assign - no stylist yet",IF(G963="","Add - no service chosen",IF(M963="No show","No show - charge the fee?",IF(M963="Cancelled","",IF(IF(M963="Completed",AB963&lt;Y963-0.004,FALSE),"Unpaid - nothing rung up for this visit",IF(IF(B963&lt;TodayDate,M963="Booked",FALSE),"Overdue - past date, still only Booked",IF(IF(B963=TodayDate,TRUE,FALSE),"Today",IF(IF(Z963&gt;0,AA963&lt;Z963-0.004,FALSE),"Due - deposit not taken",IF(IF(B963&gt;TodayDate,B963&lt;=TodayDate+2,FALSE),"Confirm - coming up","OK")))))))))))</f>
        <v>0</v>
      </c>
    </row>
    <row r="964" spans="1:34">
      <c r="A964" s="28">
        <f>IF(B964="","",AppointmentPrefix&amp;TEXT(ROW()-4,"0000"))</f>
        <v>0</v>
      </c>
      <c r="C964" s="15">
        <f>IF(B964="","",TEXT(B964,"ddd"))</f>
        <v>0</v>
      </c>
      <c r="F964" s="15">
        <f>IF(E964="","",IFERROR(INDEX(Clients!$B$5:$B$504,MATCH(E964,Clients!$A$5:$A$504,0)),"Walk-in"))</f>
        <v>0</v>
      </c>
      <c r="H964" s="15">
        <f>IF(G964="","",IFERROR(INDEX(Services!$B$5:$B$204,MATCH(G964,Services!$A$5:$A$204,0)),"Not in Services"))</f>
        <v>0</v>
      </c>
      <c r="J964" s="15">
        <f>IF(I964="","",IFERROR(INDEX(Staff!$B$5:$B$44,MATCH(I964,Staff!$A$5:$A$44,0)),"Unassigned"))</f>
        <v>0</v>
      </c>
      <c r="S964" s="15">
        <f>IF(B964="","",TEXT(B964,"yyyy-mm"))</f>
        <v>0</v>
      </c>
      <c r="T964" s="25">
        <f>IF(B964="","",WEEKNUM(B964,2))</f>
        <v>0</v>
      </c>
      <c r="U964" s="25">
        <f>IF(B964="","",IF(K964&lt;&gt;"",K964,IFERROR(INDEX(Services!$E$5:$E$204,MATCH(G964,Services!$A$5:$A$204,0))*1,0)+IFERROR(INDEX(Services!$F$5:$F$204,MATCH(G964,Services!$A$5:$A$204,0))*1,0)))</f>
        <v>0</v>
      </c>
      <c r="V964" s="36">
        <f>IF(B964="","",IF(D964="","",D964+U964/1440))</f>
        <v>0</v>
      </c>
      <c r="W964" s="25">
        <f>IF(B964="","",IF(D964="","",HOUR(D964)))</f>
        <v>0</v>
      </c>
      <c r="X964" s="37">
        <f>IF(B964="","",ROUND(U964/60,2))</f>
        <v>0</v>
      </c>
      <c r="Y964" s="26">
        <f>IF(B964="","",IF(L964&lt;&gt;"",L964,IFERROR(INDEX(Services!$G$5:$G$204,MATCH(G964,Services!$A$5:$A$204,0))*1,0)))</f>
        <v>0</v>
      </c>
      <c r="Z964" s="26">
        <f>IF(B964="","",IF(O964&lt;&gt;"",O964,IF(Y964&gt;=DepositThreshold,ROUND(Y964*DepositPercent,2),0)))</f>
        <v>0</v>
      </c>
      <c r="AA964" s="26">
        <f>IF(B964="","",ROUND(SUMIFS(Payments!$G$5:$G$1204,Payments!$I$5:$I$1204,A964,Payments!$E$5:$E$1204,"Deposit"),2))</f>
        <v>0</v>
      </c>
      <c r="AB964" s="26">
        <f>IF(B964="","",ROUND(SUMIFS(Sales!$Y$5:$Y$1204,Sales!$C$5:$C$1204,A964),2))</f>
        <v>0</v>
      </c>
      <c r="AC964" s="38">
        <f>IF(B964="","",IF(M964="Completed","Yes",IF(M964="Cancelled","Yes",IF(M964="No show","Yes","No"))))</f>
        <v>0</v>
      </c>
      <c r="AD964" s="25">
        <f>IF(B964="","",IF(AE964="","",B964-AE964))</f>
        <v>0</v>
      </c>
      <c r="AF964" s="38">
        <f>IF(B964="","",IF(M964&lt;&gt;"Completed","",IF(E964="","No",IF(COUNTIFS(Appointments!$E$5:$E$1204,E964,Appointments!$B$5:$B$1204,"&gt;"&amp;B964,Appointments!$M$5:$M$1204,"&lt;&gt;Cancelled")&gt;0,"Yes","No"))))</f>
        <v>0</v>
      </c>
      <c r="AG964" s="38">
        <f>IF(B964="","",IF(I964="","",IF(D964="","",IF(COUNTIFS($I$5:$I$1204,I964,$B$5:$B$1204,B964,$D$5:$D$1204,"&lt;"&amp;V964,$V$5:$V$1204,"&gt;"&amp;D964,$M$5:$M$1204,"&lt;&gt;Cancelled")&gt;1,"Clash",""))))</f>
        <v>0</v>
      </c>
      <c r="AH964" s="39">
        <f>IF(B964="","",IF(AG964="Clash","Clash - stylist double booked",IF(I964="","Assign - no stylist yet",IF(G964="","Add - no service chosen",IF(M964="No show","No show - charge the fee?",IF(M964="Cancelled","",IF(IF(M964="Completed",AB964&lt;Y964-0.004,FALSE),"Unpaid - nothing rung up for this visit",IF(IF(B964&lt;TodayDate,M964="Booked",FALSE),"Overdue - past date, still only Booked",IF(IF(B964=TodayDate,TRUE,FALSE),"Today",IF(IF(Z964&gt;0,AA964&lt;Z964-0.004,FALSE),"Due - deposit not taken",IF(IF(B964&gt;TodayDate,B964&lt;=TodayDate+2,FALSE),"Confirm - coming up","OK")))))))))))</f>
        <v>0</v>
      </c>
    </row>
    <row r="965" spans="1:34">
      <c r="A965" s="28">
        <f>IF(B965="","",AppointmentPrefix&amp;TEXT(ROW()-4,"0000"))</f>
        <v>0</v>
      </c>
      <c r="C965" s="15">
        <f>IF(B965="","",TEXT(B965,"ddd"))</f>
        <v>0</v>
      </c>
      <c r="F965" s="15">
        <f>IF(E965="","",IFERROR(INDEX(Clients!$B$5:$B$504,MATCH(E965,Clients!$A$5:$A$504,0)),"Walk-in"))</f>
        <v>0</v>
      </c>
      <c r="H965" s="15">
        <f>IF(G965="","",IFERROR(INDEX(Services!$B$5:$B$204,MATCH(G965,Services!$A$5:$A$204,0)),"Not in Services"))</f>
        <v>0</v>
      </c>
      <c r="J965" s="15">
        <f>IF(I965="","",IFERROR(INDEX(Staff!$B$5:$B$44,MATCH(I965,Staff!$A$5:$A$44,0)),"Unassigned"))</f>
        <v>0</v>
      </c>
      <c r="S965" s="15">
        <f>IF(B965="","",TEXT(B965,"yyyy-mm"))</f>
        <v>0</v>
      </c>
      <c r="T965" s="25">
        <f>IF(B965="","",WEEKNUM(B965,2))</f>
        <v>0</v>
      </c>
      <c r="U965" s="25">
        <f>IF(B965="","",IF(K965&lt;&gt;"",K965,IFERROR(INDEX(Services!$E$5:$E$204,MATCH(G965,Services!$A$5:$A$204,0))*1,0)+IFERROR(INDEX(Services!$F$5:$F$204,MATCH(G965,Services!$A$5:$A$204,0))*1,0)))</f>
        <v>0</v>
      </c>
      <c r="V965" s="36">
        <f>IF(B965="","",IF(D965="","",D965+U965/1440))</f>
        <v>0</v>
      </c>
      <c r="W965" s="25">
        <f>IF(B965="","",IF(D965="","",HOUR(D965)))</f>
        <v>0</v>
      </c>
      <c r="X965" s="37">
        <f>IF(B965="","",ROUND(U965/60,2))</f>
        <v>0</v>
      </c>
      <c r="Y965" s="26">
        <f>IF(B965="","",IF(L965&lt;&gt;"",L965,IFERROR(INDEX(Services!$G$5:$G$204,MATCH(G965,Services!$A$5:$A$204,0))*1,0)))</f>
        <v>0</v>
      </c>
      <c r="Z965" s="26">
        <f>IF(B965="","",IF(O965&lt;&gt;"",O965,IF(Y965&gt;=DepositThreshold,ROUND(Y965*DepositPercent,2),0)))</f>
        <v>0</v>
      </c>
      <c r="AA965" s="26">
        <f>IF(B965="","",ROUND(SUMIFS(Payments!$G$5:$G$1204,Payments!$I$5:$I$1204,A965,Payments!$E$5:$E$1204,"Deposit"),2))</f>
        <v>0</v>
      </c>
      <c r="AB965" s="26">
        <f>IF(B965="","",ROUND(SUMIFS(Sales!$Y$5:$Y$1204,Sales!$C$5:$C$1204,A965),2))</f>
        <v>0</v>
      </c>
      <c r="AC965" s="38">
        <f>IF(B965="","",IF(M965="Completed","Yes",IF(M965="Cancelled","Yes",IF(M965="No show","Yes","No"))))</f>
        <v>0</v>
      </c>
      <c r="AD965" s="25">
        <f>IF(B965="","",IF(AE965="","",B965-AE965))</f>
        <v>0</v>
      </c>
      <c r="AF965" s="38">
        <f>IF(B965="","",IF(M965&lt;&gt;"Completed","",IF(E965="","No",IF(COUNTIFS(Appointments!$E$5:$E$1204,E965,Appointments!$B$5:$B$1204,"&gt;"&amp;B965,Appointments!$M$5:$M$1204,"&lt;&gt;Cancelled")&gt;0,"Yes","No"))))</f>
        <v>0</v>
      </c>
      <c r="AG965" s="38">
        <f>IF(B965="","",IF(I965="","",IF(D965="","",IF(COUNTIFS($I$5:$I$1204,I965,$B$5:$B$1204,B965,$D$5:$D$1204,"&lt;"&amp;V965,$V$5:$V$1204,"&gt;"&amp;D965,$M$5:$M$1204,"&lt;&gt;Cancelled")&gt;1,"Clash",""))))</f>
        <v>0</v>
      </c>
      <c r="AH965" s="39">
        <f>IF(B965="","",IF(AG965="Clash","Clash - stylist double booked",IF(I965="","Assign - no stylist yet",IF(G965="","Add - no service chosen",IF(M965="No show","No show - charge the fee?",IF(M965="Cancelled","",IF(IF(M965="Completed",AB965&lt;Y965-0.004,FALSE),"Unpaid - nothing rung up for this visit",IF(IF(B965&lt;TodayDate,M965="Booked",FALSE),"Overdue - past date, still only Booked",IF(IF(B965=TodayDate,TRUE,FALSE),"Today",IF(IF(Z965&gt;0,AA965&lt;Z965-0.004,FALSE),"Due - deposit not taken",IF(IF(B965&gt;TodayDate,B965&lt;=TodayDate+2,FALSE),"Confirm - coming up","OK")))))))))))</f>
        <v>0</v>
      </c>
    </row>
    <row r="966" spans="1:34">
      <c r="A966" s="28">
        <f>IF(B966="","",AppointmentPrefix&amp;TEXT(ROW()-4,"0000"))</f>
        <v>0</v>
      </c>
      <c r="C966" s="15">
        <f>IF(B966="","",TEXT(B966,"ddd"))</f>
        <v>0</v>
      </c>
      <c r="F966" s="15">
        <f>IF(E966="","",IFERROR(INDEX(Clients!$B$5:$B$504,MATCH(E966,Clients!$A$5:$A$504,0)),"Walk-in"))</f>
        <v>0</v>
      </c>
      <c r="H966" s="15">
        <f>IF(G966="","",IFERROR(INDEX(Services!$B$5:$B$204,MATCH(G966,Services!$A$5:$A$204,0)),"Not in Services"))</f>
        <v>0</v>
      </c>
      <c r="J966" s="15">
        <f>IF(I966="","",IFERROR(INDEX(Staff!$B$5:$B$44,MATCH(I966,Staff!$A$5:$A$44,0)),"Unassigned"))</f>
        <v>0</v>
      </c>
      <c r="S966" s="15">
        <f>IF(B966="","",TEXT(B966,"yyyy-mm"))</f>
        <v>0</v>
      </c>
      <c r="T966" s="25">
        <f>IF(B966="","",WEEKNUM(B966,2))</f>
        <v>0</v>
      </c>
      <c r="U966" s="25">
        <f>IF(B966="","",IF(K966&lt;&gt;"",K966,IFERROR(INDEX(Services!$E$5:$E$204,MATCH(G966,Services!$A$5:$A$204,0))*1,0)+IFERROR(INDEX(Services!$F$5:$F$204,MATCH(G966,Services!$A$5:$A$204,0))*1,0)))</f>
        <v>0</v>
      </c>
      <c r="V966" s="36">
        <f>IF(B966="","",IF(D966="","",D966+U966/1440))</f>
        <v>0</v>
      </c>
      <c r="W966" s="25">
        <f>IF(B966="","",IF(D966="","",HOUR(D966)))</f>
        <v>0</v>
      </c>
      <c r="X966" s="37">
        <f>IF(B966="","",ROUND(U966/60,2))</f>
        <v>0</v>
      </c>
      <c r="Y966" s="26">
        <f>IF(B966="","",IF(L966&lt;&gt;"",L966,IFERROR(INDEX(Services!$G$5:$G$204,MATCH(G966,Services!$A$5:$A$204,0))*1,0)))</f>
        <v>0</v>
      </c>
      <c r="Z966" s="26">
        <f>IF(B966="","",IF(O966&lt;&gt;"",O966,IF(Y966&gt;=DepositThreshold,ROUND(Y966*DepositPercent,2),0)))</f>
        <v>0</v>
      </c>
      <c r="AA966" s="26">
        <f>IF(B966="","",ROUND(SUMIFS(Payments!$G$5:$G$1204,Payments!$I$5:$I$1204,A966,Payments!$E$5:$E$1204,"Deposit"),2))</f>
        <v>0</v>
      </c>
      <c r="AB966" s="26">
        <f>IF(B966="","",ROUND(SUMIFS(Sales!$Y$5:$Y$1204,Sales!$C$5:$C$1204,A966),2))</f>
        <v>0</v>
      </c>
      <c r="AC966" s="38">
        <f>IF(B966="","",IF(M966="Completed","Yes",IF(M966="Cancelled","Yes",IF(M966="No show","Yes","No"))))</f>
        <v>0</v>
      </c>
      <c r="AD966" s="25">
        <f>IF(B966="","",IF(AE966="","",B966-AE966))</f>
        <v>0</v>
      </c>
      <c r="AF966" s="38">
        <f>IF(B966="","",IF(M966&lt;&gt;"Completed","",IF(E966="","No",IF(COUNTIFS(Appointments!$E$5:$E$1204,E966,Appointments!$B$5:$B$1204,"&gt;"&amp;B966,Appointments!$M$5:$M$1204,"&lt;&gt;Cancelled")&gt;0,"Yes","No"))))</f>
        <v>0</v>
      </c>
      <c r="AG966" s="38">
        <f>IF(B966="","",IF(I966="","",IF(D966="","",IF(COUNTIFS($I$5:$I$1204,I966,$B$5:$B$1204,B966,$D$5:$D$1204,"&lt;"&amp;V966,$V$5:$V$1204,"&gt;"&amp;D966,$M$5:$M$1204,"&lt;&gt;Cancelled")&gt;1,"Clash",""))))</f>
        <v>0</v>
      </c>
      <c r="AH966" s="39">
        <f>IF(B966="","",IF(AG966="Clash","Clash - stylist double booked",IF(I966="","Assign - no stylist yet",IF(G966="","Add - no service chosen",IF(M966="No show","No show - charge the fee?",IF(M966="Cancelled","",IF(IF(M966="Completed",AB966&lt;Y966-0.004,FALSE),"Unpaid - nothing rung up for this visit",IF(IF(B966&lt;TodayDate,M966="Booked",FALSE),"Overdue - past date, still only Booked",IF(IF(B966=TodayDate,TRUE,FALSE),"Today",IF(IF(Z966&gt;0,AA966&lt;Z966-0.004,FALSE),"Due - deposit not taken",IF(IF(B966&gt;TodayDate,B966&lt;=TodayDate+2,FALSE),"Confirm - coming up","OK")))))))))))</f>
        <v>0</v>
      </c>
    </row>
    <row r="967" spans="1:34">
      <c r="A967" s="28">
        <f>IF(B967="","",AppointmentPrefix&amp;TEXT(ROW()-4,"0000"))</f>
        <v>0</v>
      </c>
      <c r="C967" s="15">
        <f>IF(B967="","",TEXT(B967,"ddd"))</f>
        <v>0</v>
      </c>
      <c r="F967" s="15">
        <f>IF(E967="","",IFERROR(INDEX(Clients!$B$5:$B$504,MATCH(E967,Clients!$A$5:$A$504,0)),"Walk-in"))</f>
        <v>0</v>
      </c>
      <c r="H967" s="15">
        <f>IF(G967="","",IFERROR(INDEX(Services!$B$5:$B$204,MATCH(G967,Services!$A$5:$A$204,0)),"Not in Services"))</f>
        <v>0</v>
      </c>
      <c r="J967" s="15">
        <f>IF(I967="","",IFERROR(INDEX(Staff!$B$5:$B$44,MATCH(I967,Staff!$A$5:$A$44,0)),"Unassigned"))</f>
        <v>0</v>
      </c>
      <c r="S967" s="15">
        <f>IF(B967="","",TEXT(B967,"yyyy-mm"))</f>
        <v>0</v>
      </c>
      <c r="T967" s="25">
        <f>IF(B967="","",WEEKNUM(B967,2))</f>
        <v>0</v>
      </c>
      <c r="U967" s="25">
        <f>IF(B967="","",IF(K967&lt;&gt;"",K967,IFERROR(INDEX(Services!$E$5:$E$204,MATCH(G967,Services!$A$5:$A$204,0))*1,0)+IFERROR(INDEX(Services!$F$5:$F$204,MATCH(G967,Services!$A$5:$A$204,0))*1,0)))</f>
        <v>0</v>
      </c>
      <c r="V967" s="36">
        <f>IF(B967="","",IF(D967="","",D967+U967/1440))</f>
        <v>0</v>
      </c>
      <c r="W967" s="25">
        <f>IF(B967="","",IF(D967="","",HOUR(D967)))</f>
        <v>0</v>
      </c>
      <c r="X967" s="37">
        <f>IF(B967="","",ROUND(U967/60,2))</f>
        <v>0</v>
      </c>
      <c r="Y967" s="26">
        <f>IF(B967="","",IF(L967&lt;&gt;"",L967,IFERROR(INDEX(Services!$G$5:$G$204,MATCH(G967,Services!$A$5:$A$204,0))*1,0)))</f>
        <v>0</v>
      </c>
      <c r="Z967" s="26">
        <f>IF(B967="","",IF(O967&lt;&gt;"",O967,IF(Y967&gt;=DepositThreshold,ROUND(Y967*DepositPercent,2),0)))</f>
        <v>0</v>
      </c>
      <c r="AA967" s="26">
        <f>IF(B967="","",ROUND(SUMIFS(Payments!$G$5:$G$1204,Payments!$I$5:$I$1204,A967,Payments!$E$5:$E$1204,"Deposit"),2))</f>
        <v>0</v>
      </c>
      <c r="AB967" s="26">
        <f>IF(B967="","",ROUND(SUMIFS(Sales!$Y$5:$Y$1204,Sales!$C$5:$C$1204,A967),2))</f>
        <v>0</v>
      </c>
      <c r="AC967" s="38">
        <f>IF(B967="","",IF(M967="Completed","Yes",IF(M967="Cancelled","Yes",IF(M967="No show","Yes","No"))))</f>
        <v>0</v>
      </c>
      <c r="AD967" s="25">
        <f>IF(B967="","",IF(AE967="","",B967-AE967))</f>
        <v>0</v>
      </c>
      <c r="AF967" s="38">
        <f>IF(B967="","",IF(M967&lt;&gt;"Completed","",IF(E967="","No",IF(COUNTIFS(Appointments!$E$5:$E$1204,E967,Appointments!$B$5:$B$1204,"&gt;"&amp;B967,Appointments!$M$5:$M$1204,"&lt;&gt;Cancelled")&gt;0,"Yes","No"))))</f>
        <v>0</v>
      </c>
      <c r="AG967" s="38">
        <f>IF(B967="","",IF(I967="","",IF(D967="","",IF(COUNTIFS($I$5:$I$1204,I967,$B$5:$B$1204,B967,$D$5:$D$1204,"&lt;"&amp;V967,$V$5:$V$1204,"&gt;"&amp;D967,$M$5:$M$1204,"&lt;&gt;Cancelled")&gt;1,"Clash",""))))</f>
        <v>0</v>
      </c>
      <c r="AH967" s="39">
        <f>IF(B967="","",IF(AG967="Clash","Clash - stylist double booked",IF(I967="","Assign - no stylist yet",IF(G967="","Add - no service chosen",IF(M967="No show","No show - charge the fee?",IF(M967="Cancelled","",IF(IF(M967="Completed",AB967&lt;Y967-0.004,FALSE),"Unpaid - nothing rung up for this visit",IF(IF(B967&lt;TodayDate,M967="Booked",FALSE),"Overdue - past date, still only Booked",IF(IF(B967=TodayDate,TRUE,FALSE),"Today",IF(IF(Z967&gt;0,AA967&lt;Z967-0.004,FALSE),"Due - deposit not taken",IF(IF(B967&gt;TodayDate,B967&lt;=TodayDate+2,FALSE),"Confirm - coming up","OK")))))))))))</f>
        <v>0</v>
      </c>
    </row>
    <row r="968" spans="1:34">
      <c r="A968" s="28">
        <f>IF(B968="","",AppointmentPrefix&amp;TEXT(ROW()-4,"0000"))</f>
        <v>0</v>
      </c>
      <c r="C968" s="15">
        <f>IF(B968="","",TEXT(B968,"ddd"))</f>
        <v>0</v>
      </c>
      <c r="F968" s="15">
        <f>IF(E968="","",IFERROR(INDEX(Clients!$B$5:$B$504,MATCH(E968,Clients!$A$5:$A$504,0)),"Walk-in"))</f>
        <v>0</v>
      </c>
      <c r="H968" s="15">
        <f>IF(G968="","",IFERROR(INDEX(Services!$B$5:$B$204,MATCH(G968,Services!$A$5:$A$204,0)),"Not in Services"))</f>
        <v>0</v>
      </c>
      <c r="J968" s="15">
        <f>IF(I968="","",IFERROR(INDEX(Staff!$B$5:$B$44,MATCH(I968,Staff!$A$5:$A$44,0)),"Unassigned"))</f>
        <v>0</v>
      </c>
      <c r="S968" s="15">
        <f>IF(B968="","",TEXT(B968,"yyyy-mm"))</f>
        <v>0</v>
      </c>
      <c r="T968" s="25">
        <f>IF(B968="","",WEEKNUM(B968,2))</f>
        <v>0</v>
      </c>
      <c r="U968" s="25">
        <f>IF(B968="","",IF(K968&lt;&gt;"",K968,IFERROR(INDEX(Services!$E$5:$E$204,MATCH(G968,Services!$A$5:$A$204,0))*1,0)+IFERROR(INDEX(Services!$F$5:$F$204,MATCH(G968,Services!$A$5:$A$204,0))*1,0)))</f>
        <v>0</v>
      </c>
      <c r="V968" s="36">
        <f>IF(B968="","",IF(D968="","",D968+U968/1440))</f>
        <v>0</v>
      </c>
      <c r="W968" s="25">
        <f>IF(B968="","",IF(D968="","",HOUR(D968)))</f>
        <v>0</v>
      </c>
      <c r="X968" s="37">
        <f>IF(B968="","",ROUND(U968/60,2))</f>
        <v>0</v>
      </c>
      <c r="Y968" s="26">
        <f>IF(B968="","",IF(L968&lt;&gt;"",L968,IFERROR(INDEX(Services!$G$5:$G$204,MATCH(G968,Services!$A$5:$A$204,0))*1,0)))</f>
        <v>0</v>
      </c>
      <c r="Z968" s="26">
        <f>IF(B968="","",IF(O968&lt;&gt;"",O968,IF(Y968&gt;=DepositThreshold,ROUND(Y968*DepositPercent,2),0)))</f>
        <v>0</v>
      </c>
      <c r="AA968" s="26">
        <f>IF(B968="","",ROUND(SUMIFS(Payments!$G$5:$G$1204,Payments!$I$5:$I$1204,A968,Payments!$E$5:$E$1204,"Deposit"),2))</f>
        <v>0</v>
      </c>
      <c r="AB968" s="26">
        <f>IF(B968="","",ROUND(SUMIFS(Sales!$Y$5:$Y$1204,Sales!$C$5:$C$1204,A968),2))</f>
        <v>0</v>
      </c>
      <c r="AC968" s="38">
        <f>IF(B968="","",IF(M968="Completed","Yes",IF(M968="Cancelled","Yes",IF(M968="No show","Yes","No"))))</f>
        <v>0</v>
      </c>
      <c r="AD968" s="25">
        <f>IF(B968="","",IF(AE968="","",B968-AE968))</f>
        <v>0</v>
      </c>
      <c r="AF968" s="38">
        <f>IF(B968="","",IF(M968&lt;&gt;"Completed","",IF(E968="","No",IF(COUNTIFS(Appointments!$E$5:$E$1204,E968,Appointments!$B$5:$B$1204,"&gt;"&amp;B968,Appointments!$M$5:$M$1204,"&lt;&gt;Cancelled")&gt;0,"Yes","No"))))</f>
        <v>0</v>
      </c>
      <c r="AG968" s="38">
        <f>IF(B968="","",IF(I968="","",IF(D968="","",IF(COUNTIFS($I$5:$I$1204,I968,$B$5:$B$1204,B968,$D$5:$D$1204,"&lt;"&amp;V968,$V$5:$V$1204,"&gt;"&amp;D968,$M$5:$M$1204,"&lt;&gt;Cancelled")&gt;1,"Clash",""))))</f>
        <v>0</v>
      </c>
      <c r="AH968" s="39">
        <f>IF(B968="","",IF(AG968="Clash","Clash - stylist double booked",IF(I968="","Assign - no stylist yet",IF(G968="","Add - no service chosen",IF(M968="No show","No show - charge the fee?",IF(M968="Cancelled","",IF(IF(M968="Completed",AB968&lt;Y968-0.004,FALSE),"Unpaid - nothing rung up for this visit",IF(IF(B968&lt;TodayDate,M968="Booked",FALSE),"Overdue - past date, still only Booked",IF(IF(B968=TodayDate,TRUE,FALSE),"Today",IF(IF(Z968&gt;0,AA968&lt;Z968-0.004,FALSE),"Due - deposit not taken",IF(IF(B968&gt;TodayDate,B968&lt;=TodayDate+2,FALSE),"Confirm - coming up","OK")))))))))))</f>
        <v>0</v>
      </c>
    </row>
    <row r="969" spans="1:34">
      <c r="A969" s="28">
        <f>IF(B969="","",AppointmentPrefix&amp;TEXT(ROW()-4,"0000"))</f>
        <v>0</v>
      </c>
      <c r="C969" s="15">
        <f>IF(B969="","",TEXT(B969,"ddd"))</f>
        <v>0</v>
      </c>
      <c r="F969" s="15">
        <f>IF(E969="","",IFERROR(INDEX(Clients!$B$5:$B$504,MATCH(E969,Clients!$A$5:$A$504,0)),"Walk-in"))</f>
        <v>0</v>
      </c>
      <c r="H969" s="15">
        <f>IF(G969="","",IFERROR(INDEX(Services!$B$5:$B$204,MATCH(G969,Services!$A$5:$A$204,0)),"Not in Services"))</f>
        <v>0</v>
      </c>
      <c r="J969" s="15">
        <f>IF(I969="","",IFERROR(INDEX(Staff!$B$5:$B$44,MATCH(I969,Staff!$A$5:$A$44,0)),"Unassigned"))</f>
        <v>0</v>
      </c>
      <c r="S969" s="15">
        <f>IF(B969="","",TEXT(B969,"yyyy-mm"))</f>
        <v>0</v>
      </c>
      <c r="T969" s="25">
        <f>IF(B969="","",WEEKNUM(B969,2))</f>
        <v>0</v>
      </c>
      <c r="U969" s="25">
        <f>IF(B969="","",IF(K969&lt;&gt;"",K969,IFERROR(INDEX(Services!$E$5:$E$204,MATCH(G969,Services!$A$5:$A$204,0))*1,0)+IFERROR(INDEX(Services!$F$5:$F$204,MATCH(G969,Services!$A$5:$A$204,0))*1,0)))</f>
        <v>0</v>
      </c>
      <c r="V969" s="36">
        <f>IF(B969="","",IF(D969="","",D969+U969/1440))</f>
        <v>0</v>
      </c>
      <c r="W969" s="25">
        <f>IF(B969="","",IF(D969="","",HOUR(D969)))</f>
        <v>0</v>
      </c>
      <c r="X969" s="37">
        <f>IF(B969="","",ROUND(U969/60,2))</f>
        <v>0</v>
      </c>
      <c r="Y969" s="26">
        <f>IF(B969="","",IF(L969&lt;&gt;"",L969,IFERROR(INDEX(Services!$G$5:$G$204,MATCH(G969,Services!$A$5:$A$204,0))*1,0)))</f>
        <v>0</v>
      </c>
      <c r="Z969" s="26">
        <f>IF(B969="","",IF(O969&lt;&gt;"",O969,IF(Y969&gt;=DepositThreshold,ROUND(Y969*DepositPercent,2),0)))</f>
        <v>0</v>
      </c>
      <c r="AA969" s="26">
        <f>IF(B969="","",ROUND(SUMIFS(Payments!$G$5:$G$1204,Payments!$I$5:$I$1204,A969,Payments!$E$5:$E$1204,"Deposit"),2))</f>
        <v>0</v>
      </c>
      <c r="AB969" s="26">
        <f>IF(B969="","",ROUND(SUMIFS(Sales!$Y$5:$Y$1204,Sales!$C$5:$C$1204,A969),2))</f>
        <v>0</v>
      </c>
      <c r="AC969" s="38">
        <f>IF(B969="","",IF(M969="Completed","Yes",IF(M969="Cancelled","Yes",IF(M969="No show","Yes","No"))))</f>
        <v>0</v>
      </c>
      <c r="AD969" s="25">
        <f>IF(B969="","",IF(AE969="","",B969-AE969))</f>
        <v>0</v>
      </c>
      <c r="AF969" s="38">
        <f>IF(B969="","",IF(M969&lt;&gt;"Completed","",IF(E969="","No",IF(COUNTIFS(Appointments!$E$5:$E$1204,E969,Appointments!$B$5:$B$1204,"&gt;"&amp;B969,Appointments!$M$5:$M$1204,"&lt;&gt;Cancelled")&gt;0,"Yes","No"))))</f>
        <v>0</v>
      </c>
      <c r="AG969" s="38">
        <f>IF(B969="","",IF(I969="","",IF(D969="","",IF(COUNTIFS($I$5:$I$1204,I969,$B$5:$B$1204,B969,$D$5:$D$1204,"&lt;"&amp;V969,$V$5:$V$1204,"&gt;"&amp;D969,$M$5:$M$1204,"&lt;&gt;Cancelled")&gt;1,"Clash",""))))</f>
        <v>0</v>
      </c>
      <c r="AH969" s="39">
        <f>IF(B969="","",IF(AG969="Clash","Clash - stylist double booked",IF(I969="","Assign - no stylist yet",IF(G969="","Add - no service chosen",IF(M969="No show","No show - charge the fee?",IF(M969="Cancelled","",IF(IF(M969="Completed",AB969&lt;Y969-0.004,FALSE),"Unpaid - nothing rung up for this visit",IF(IF(B969&lt;TodayDate,M969="Booked",FALSE),"Overdue - past date, still only Booked",IF(IF(B969=TodayDate,TRUE,FALSE),"Today",IF(IF(Z969&gt;0,AA969&lt;Z969-0.004,FALSE),"Due - deposit not taken",IF(IF(B969&gt;TodayDate,B969&lt;=TodayDate+2,FALSE),"Confirm - coming up","OK")))))))))))</f>
        <v>0</v>
      </c>
    </row>
    <row r="970" spans="1:34">
      <c r="A970" s="28">
        <f>IF(B970="","",AppointmentPrefix&amp;TEXT(ROW()-4,"0000"))</f>
        <v>0</v>
      </c>
      <c r="C970" s="15">
        <f>IF(B970="","",TEXT(B970,"ddd"))</f>
        <v>0</v>
      </c>
      <c r="F970" s="15">
        <f>IF(E970="","",IFERROR(INDEX(Clients!$B$5:$B$504,MATCH(E970,Clients!$A$5:$A$504,0)),"Walk-in"))</f>
        <v>0</v>
      </c>
      <c r="H970" s="15">
        <f>IF(G970="","",IFERROR(INDEX(Services!$B$5:$B$204,MATCH(G970,Services!$A$5:$A$204,0)),"Not in Services"))</f>
        <v>0</v>
      </c>
      <c r="J970" s="15">
        <f>IF(I970="","",IFERROR(INDEX(Staff!$B$5:$B$44,MATCH(I970,Staff!$A$5:$A$44,0)),"Unassigned"))</f>
        <v>0</v>
      </c>
      <c r="S970" s="15">
        <f>IF(B970="","",TEXT(B970,"yyyy-mm"))</f>
        <v>0</v>
      </c>
      <c r="T970" s="25">
        <f>IF(B970="","",WEEKNUM(B970,2))</f>
        <v>0</v>
      </c>
      <c r="U970" s="25">
        <f>IF(B970="","",IF(K970&lt;&gt;"",K970,IFERROR(INDEX(Services!$E$5:$E$204,MATCH(G970,Services!$A$5:$A$204,0))*1,0)+IFERROR(INDEX(Services!$F$5:$F$204,MATCH(G970,Services!$A$5:$A$204,0))*1,0)))</f>
        <v>0</v>
      </c>
      <c r="V970" s="36">
        <f>IF(B970="","",IF(D970="","",D970+U970/1440))</f>
        <v>0</v>
      </c>
      <c r="W970" s="25">
        <f>IF(B970="","",IF(D970="","",HOUR(D970)))</f>
        <v>0</v>
      </c>
      <c r="X970" s="37">
        <f>IF(B970="","",ROUND(U970/60,2))</f>
        <v>0</v>
      </c>
      <c r="Y970" s="26">
        <f>IF(B970="","",IF(L970&lt;&gt;"",L970,IFERROR(INDEX(Services!$G$5:$G$204,MATCH(G970,Services!$A$5:$A$204,0))*1,0)))</f>
        <v>0</v>
      </c>
      <c r="Z970" s="26">
        <f>IF(B970="","",IF(O970&lt;&gt;"",O970,IF(Y970&gt;=DepositThreshold,ROUND(Y970*DepositPercent,2),0)))</f>
        <v>0</v>
      </c>
      <c r="AA970" s="26">
        <f>IF(B970="","",ROUND(SUMIFS(Payments!$G$5:$G$1204,Payments!$I$5:$I$1204,A970,Payments!$E$5:$E$1204,"Deposit"),2))</f>
        <v>0</v>
      </c>
      <c r="AB970" s="26">
        <f>IF(B970="","",ROUND(SUMIFS(Sales!$Y$5:$Y$1204,Sales!$C$5:$C$1204,A970),2))</f>
        <v>0</v>
      </c>
      <c r="AC970" s="38">
        <f>IF(B970="","",IF(M970="Completed","Yes",IF(M970="Cancelled","Yes",IF(M970="No show","Yes","No"))))</f>
        <v>0</v>
      </c>
      <c r="AD970" s="25">
        <f>IF(B970="","",IF(AE970="","",B970-AE970))</f>
        <v>0</v>
      </c>
      <c r="AF970" s="38">
        <f>IF(B970="","",IF(M970&lt;&gt;"Completed","",IF(E970="","No",IF(COUNTIFS(Appointments!$E$5:$E$1204,E970,Appointments!$B$5:$B$1204,"&gt;"&amp;B970,Appointments!$M$5:$M$1204,"&lt;&gt;Cancelled")&gt;0,"Yes","No"))))</f>
        <v>0</v>
      </c>
      <c r="AG970" s="38">
        <f>IF(B970="","",IF(I970="","",IF(D970="","",IF(COUNTIFS($I$5:$I$1204,I970,$B$5:$B$1204,B970,$D$5:$D$1204,"&lt;"&amp;V970,$V$5:$V$1204,"&gt;"&amp;D970,$M$5:$M$1204,"&lt;&gt;Cancelled")&gt;1,"Clash",""))))</f>
        <v>0</v>
      </c>
      <c r="AH970" s="39">
        <f>IF(B970="","",IF(AG970="Clash","Clash - stylist double booked",IF(I970="","Assign - no stylist yet",IF(G970="","Add - no service chosen",IF(M970="No show","No show - charge the fee?",IF(M970="Cancelled","",IF(IF(M970="Completed",AB970&lt;Y970-0.004,FALSE),"Unpaid - nothing rung up for this visit",IF(IF(B970&lt;TodayDate,M970="Booked",FALSE),"Overdue - past date, still only Booked",IF(IF(B970=TodayDate,TRUE,FALSE),"Today",IF(IF(Z970&gt;0,AA970&lt;Z970-0.004,FALSE),"Due - deposit not taken",IF(IF(B970&gt;TodayDate,B970&lt;=TodayDate+2,FALSE),"Confirm - coming up","OK")))))))))))</f>
        <v>0</v>
      </c>
    </row>
    <row r="971" spans="1:34">
      <c r="A971" s="28">
        <f>IF(B971="","",AppointmentPrefix&amp;TEXT(ROW()-4,"0000"))</f>
        <v>0</v>
      </c>
      <c r="C971" s="15">
        <f>IF(B971="","",TEXT(B971,"ddd"))</f>
        <v>0</v>
      </c>
      <c r="F971" s="15">
        <f>IF(E971="","",IFERROR(INDEX(Clients!$B$5:$B$504,MATCH(E971,Clients!$A$5:$A$504,0)),"Walk-in"))</f>
        <v>0</v>
      </c>
      <c r="H971" s="15">
        <f>IF(G971="","",IFERROR(INDEX(Services!$B$5:$B$204,MATCH(G971,Services!$A$5:$A$204,0)),"Not in Services"))</f>
        <v>0</v>
      </c>
      <c r="J971" s="15">
        <f>IF(I971="","",IFERROR(INDEX(Staff!$B$5:$B$44,MATCH(I971,Staff!$A$5:$A$44,0)),"Unassigned"))</f>
        <v>0</v>
      </c>
      <c r="S971" s="15">
        <f>IF(B971="","",TEXT(B971,"yyyy-mm"))</f>
        <v>0</v>
      </c>
      <c r="T971" s="25">
        <f>IF(B971="","",WEEKNUM(B971,2))</f>
        <v>0</v>
      </c>
      <c r="U971" s="25">
        <f>IF(B971="","",IF(K971&lt;&gt;"",K971,IFERROR(INDEX(Services!$E$5:$E$204,MATCH(G971,Services!$A$5:$A$204,0))*1,0)+IFERROR(INDEX(Services!$F$5:$F$204,MATCH(G971,Services!$A$5:$A$204,0))*1,0)))</f>
        <v>0</v>
      </c>
      <c r="V971" s="36">
        <f>IF(B971="","",IF(D971="","",D971+U971/1440))</f>
        <v>0</v>
      </c>
      <c r="W971" s="25">
        <f>IF(B971="","",IF(D971="","",HOUR(D971)))</f>
        <v>0</v>
      </c>
      <c r="X971" s="37">
        <f>IF(B971="","",ROUND(U971/60,2))</f>
        <v>0</v>
      </c>
      <c r="Y971" s="26">
        <f>IF(B971="","",IF(L971&lt;&gt;"",L971,IFERROR(INDEX(Services!$G$5:$G$204,MATCH(G971,Services!$A$5:$A$204,0))*1,0)))</f>
        <v>0</v>
      </c>
      <c r="Z971" s="26">
        <f>IF(B971="","",IF(O971&lt;&gt;"",O971,IF(Y971&gt;=DepositThreshold,ROUND(Y971*DepositPercent,2),0)))</f>
        <v>0</v>
      </c>
      <c r="AA971" s="26">
        <f>IF(B971="","",ROUND(SUMIFS(Payments!$G$5:$G$1204,Payments!$I$5:$I$1204,A971,Payments!$E$5:$E$1204,"Deposit"),2))</f>
        <v>0</v>
      </c>
      <c r="AB971" s="26">
        <f>IF(B971="","",ROUND(SUMIFS(Sales!$Y$5:$Y$1204,Sales!$C$5:$C$1204,A971),2))</f>
        <v>0</v>
      </c>
      <c r="AC971" s="38">
        <f>IF(B971="","",IF(M971="Completed","Yes",IF(M971="Cancelled","Yes",IF(M971="No show","Yes","No"))))</f>
        <v>0</v>
      </c>
      <c r="AD971" s="25">
        <f>IF(B971="","",IF(AE971="","",B971-AE971))</f>
        <v>0</v>
      </c>
      <c r="AF971" s="38">
        <f>IF(B971="","",IF(M971&lt;&gt;"Completed","",IF(E971="","No",IF(COUNTIFS(Appointments!$E$5:$E$1204,E971,Appointments!$B$5:$B$1204,"&gt;"&amp;B971,Appointments!$M$5:$M$1204,"&lt;&gt;Cancelled")&gt;0,"Yes","No"))))</f>
        <v>0</v>
      </c>
      <c r="AG971" s="38">
        <f>IF(B971="","",IF(I971="","",IF(D971="","",IF(COUNTIFS($I$5:$I$1204,I971,$B$5:$B$1204,B971,$D$5:$D$1204,"&lt;"&amp;V971,$V$5:$V$1204,"&gt;"&amp;D971,$M$5:$M$1204,"&lt;&gt;Cancelled")&gt;1,"Clash",""))))</f>
        <v>0</v>
      </c>
      <c r="AH971" s="39">
        <f>IF(B971="","",IF(AG971="Clash","Clash - stylist double booked",IF(I971="","Assign - no stylist yet",IF(G971="","Add - no service chosen",IF(M971="No show","No show - charge the fee?",IF(M971="Cancelled","",IF(IF(M971="Completed",AB971&lt;Y971-0.004,FALSE),"Unpaid - nothing rung up for this visit",IF(IF(B971&lt;TodayDate,M971="Booked",FALSE),"Overdue - past date, still only Booked",IF(IF(B971=TodayDate,TRUE,FALSE),"Today",IF(IF(Z971&gt;0,AA971&lt;Z971-0.004,FALSE),"Due - deposit not taken",IF(IF(B971&gt;TodayDate,B971&lt;=TodayDate+2,FALSE),"Confirm - coming up","OK")))))))))))</f>
        <v>0</v>
      </c>
    </row>
    <row r="972" spans="1:34">
      <c r="A972" s="28">
        <f>IF(B972="","",AppointmentPrefix&amp;TEXT(ROW()-4,"0000"))</f>
        <v>0</v>
      </c>
      <c r="C972" s="15">
        <f>IF(B972="","",TEXT(B972,"ddd"))</f>
        <v>0</v>
      </c>
      <c r="F972" s="15">
        <f>IF(E972="","",IFERROR(INDEX(Clients!$B$5:$B$504,MATCH(E972,Clients!$A$5:$A$504,0)),"Walk-in"))</f>
        <v>0</v>
      </c>
      <c r="H972" s="15">
        <f>IF(G972="","",IFERROR(INDEX(Services!$B$5:$B$204,MATCH(G972,Services!$A$5:$A$204,0)),"Not in Services"))</f>
        <v>0</v>
      </c>
      <c r="J972" s="15">
        <f>IF(I972="","",IFERROR(INDEX(Staff!$B$5:$B$44,MATCH(I972,Staff!$A$5:$A$44,0)),"Unassigned"))</f>
        <v>0</v>
      </c>
      <c r="S972" s="15">
        <f>IF(B972="","",TEXT(B972,"yyyy-mm"))</f>
        <v>0</v>
      </c>
      <c r="T972" s="25">
        <f>IF(B972="","",WEEKNUM(B972,2))</f>
        <v>0</v>
      </c>
      <c r="U972" s="25">
        <f>IF(B972="","",IF(K972&lt;&gt;"",K972,IFERROR(INDEX(Services!$E$5:$E$204,MATCH(G972,Services!$A$5:$A$204,0))*1,0)+IFERROR(INDEX(Services!$F$5:$F$204,MATCH(G972,Services!$A$5:$A$204,0))*1,0)))</f>
        <v>0</v>
      </c>
      <c r="V972" s="36">
        <f>IF(B972="","",IF(D972="","",D972+U972/1440))</f>
        <v>0</v>
      </c>
      <c r="W972" s="25">
        <f>IF(B972="","",IF(D972="","",HOUR(D972)))</f>
        <v>0</v>
      </c>
      <c r="X972" s="37">
        <f>IF(B972="","",ROUND(U972/60,2))</f>
        <v>0</v>
      </c>
      <c r="Y972" s="26">
        <f>IF(B972="","",IF(L972&lt;&gt;"",L972,IFERROR(INDEX(Services!$G$5:$G$204,MATCH(G972,Services!$A$5:$A$204,0))*1,0)))</f>
        <v>0</v>
      </c>
      <c r="Z972" s="26">
        <f>IF(B972="","",IF(O972&lt;&gt;"",O972,IF(Y972&gt;=DepositThreshold,ROUND(Y972*DepositPercent,2),0)))</f>
        <v>0</v>
      </c>
      <c r="AA972" s="26">
        <f>IF(B972="","",ROUND(SUMIFS(Payments!$G$5:$G$1204,Payments!$I$5:$I$1204,A972,Payments!$E$5:$E$1204,"Deposit"),2))</f>
        <v>0</v>
      </c>
      <c r="AB972" s="26">
        <f>IF(B972="","",ROUND(SUMIFS(Sales!$Y$5:$Y$1204,Sales!$C$5:$C$1204,A972),2))</f>
        <v>0</v>
      </c>
      <c r="AC972" s="38">
        <f>IF(B972="","",IF(M972="Completed","Yes",IF(M972="Cancelled","Yes",IF(M972="No show","Yes","No"))))</f>
        <v>0</v>
      </c>
      <c r="AD972" s="25">
        <f>IF(B972="","",IF(AE972="","",B972-AE972))</f>
        <v>0</v>
      </c>
      <c r="AF972" s="38">
        <f>IF(B972="","",IF(M972&lt;&gt;"Completed","",IF(E972="","No",IF(COUNTIFS(Appointments!$E$5:$E$1204,E972,Appointments!$B$5:$B$1204,"&gt;"&amp;B972,Appointments!$M$5:$M$1204,"&lt;&gt;Cancelled")&gt;0,"Yes","No"))))</f>
        <v>0</v>
      </c>
      <c r="AG972" s="38">
        <f>IF(B972="","",IF(I972="","",IF(D972="","",IF(COUNTIFS($I$5:$I$1204,I972,$B$5:$B$1204,B972,$D$5:$D$1204,"&lt;"&amp;V972,$V$5:$V$1204,"&gt;"&amp;D972,$M$5:$M$1204,"&lt;&gt;Cancelled")&gt;1,"Clash",""))))</f>
        <v>0</v>
      </c>
      <c r="AH972" s="39">
        <f>IF(B972="","",IF(AG972="Clash","Clash - stylist double booked",IF(I972="","Assign - no stylist yet",IF(G972="","Add - no service chosen",IF(M972="No show","No show - charge the fee?",IF(M972="Cancelled","",IF(IF(M972="Completed",AB972&lt;Y972-0.004,FALSE),"Unpaid - nothing rung up for this visit",IF(IF(B972&lt;TodayDate,M972="Booked",FALSE),"Overdue - past date, still only Booked",IF(IF(B972=TodayDate,TRUE,FALSE),"Today",IF(IF(Z972&gt;0,AA972&lt;Z972-0.004,FALSE),"Due - deposit not taken",IF(IF(B972&gt;TodayDate,B972&lt;=TodayDate+2,FALSE),"Confirm - coming up","OK")))))))))))</f>
        <v>0</v>
      </c>
    </row>
    <row r="973" spans="1:34">
      <c r="A973" s="28">
        <f>IF(B973="","",AppointmentPrefix&amp;TEXT(ROW()-4,"0000"))</f>
        <v>0</v>
      </c>
      <c r="C973" s="15">
        <f>IF(B973="","",TEXT(B973,"ddd"))</f>
        <v>0</v>
      </c>
      <c r="F973" s="15">
        <f>IF(E973="","",IFERROR(INDEX(Clients!$B$5:$B$504,MATCH(E973,Clients!$A$5:$A$504,0)),"Walk-in"))</f>
        <v>0</v>
      </c>
      <c r="H973" s="15">
        <f>IF(G973="","",IFERROR(INDEX(Services!$B$5:$B$204,MATCH(G973,Services!$A$5:$A$204,0)),"Not in Services"))</f>
        <v>0</v>
      </c>
      <c r="J973" s="15">
        <f>IF(I973="","",IFERROR(INDEX(Staff!$B$5:$B$44,MATCH(I973,Staff!$A$5:$A$44,0)),"Unassigned"))</f>
        <v>0</v>
      </c>
      <c r="S973" s="15">
        <f>IF(B973="","",TEXT(B973,"yyyy-mm"))</f>
        <v>0</v>
      </c>
      <c r="T973" s="25">
        <f>IF(B973="","",WEEKNUM(B973,2))</f>
        <v>0</v>
      </c>
      <c r="U973" s="25">
        <f>IF(B973="","",IF(K973&lt;&gt;"",K973,IFERROR(INDEX(Services!$E$5:$E$204,MATCH(G973,Services!$A$5:$A$204,0))*1,0)+IFERROR(INDEX(Services!$F$5:$F$204,MATCH(G973,Services!$A$5:$A$204,0))*1,0)))</f>
        <v>0</v>
      </c>
      <c r="V973" s="36">
        <f>IF(B973="","",IF(D973="","",D973+U973/1440))</f>
        <v>0</v>
      </c>
      <c r="W973" s="25">
        <f>IF(B973="","",IF(D973="","",HOUR(D973)))</f>
        <v>0</v>
      </c>
      <c r="X973" s="37">
        <f>IF(B973="","",ROUND(U973/60,2))</f>
        <v>0</v>
      </c>
      <c r="Y973" s="26">
        <f>IF(B973="","",IF(L973&lt;&gt;"",L973,IFERROR(INDEX(Services!$G$5:$G$204,MATCH(G973,Services!$A$5:$A$204,0))*1,0)))</f>
        <v>0</v>
      </c>
      <c r="Z973" s="26">
        <f>IF(B973="","",IF(O973&lt;&gt;"",O973,IF(Y973&gt;=DepositThreshold,ROUND(Y973*DepositPercent,2),0)))</f>
        <v>0</v>
      </c>
      <c r="AA973" s="26">
        <f>IF(B973="","",ROUND(SUMIFS(Payments!$G$5:$G$1204,Payments!$I$5:$I$1204,A973,Payments!$E$5:$E$1204,"Deposit"),2))</f>
        <v>0</v>
      </c>
      <c r="AB973" s="26">
        <f>IF(B973="","",ROUND(SUMIFS(Sales!$Y$5:$Y$1204,Sales!$C$5:$C$1204,A973),2))</f>
        <v>0</v>
      </c>
      <c r="AC973" s="38">
        <f>IF(B973="","",IF(M973="Completed","Yes",IF(M973="Cancelled","Yes",IF(M973="No show","Yes","No"))))</f>
        <v>0</v>
      </c>
      <c r="AD973" s="25">
        <f>IF(B973="","",IF(AE973="","",B973-AE973))</f>
        <v>0</v>
      </c>
      <c r="AF973" s="38">
        <f>IF(B973="","",IF(M973&lt;&gt;"Completed","",IF(E973="","No",IF(COUNTIFS(Appointments!$E$5:$E$1204,E973,Appointments!$B$5:$B$1204,"&gt;"&amp;B973,Appointments!$M$5:$M$1204,"&lt;&gt;Cancelled")&gt;0,"Yes","No"))))</f>
        <v>0</v>
      </c>
      <c r="AG973" s="38">
        <f>IF(B973="","",IF(I973="","",IF(D973="","",IF(COUNTIFS($I$5:$I$1204,I973,$B$5:$B$1204,B973,$D$5:$D$1204,"&lt;"&amp;V973,$V$5:$V$1204,"&gt;"&amp;D973,$M$5:$M$1204,"&lt;&gt;Cancelled")&gt;1,"Clash",""))))</f>
        <v>0</v>
      </c>
      <c r="AH973" s="39">
        <f>IF(B973="","",IF(AG973="Clash","Clash - stylist double booked",IF(I973="","Assign - no stylist yet",IF(G973="","Add - no service chosen",IF(M973="No show","No show - charge the fee?",IF(M973="Cancelled","",IF(IF(M973="Completed",AB973&lt;Y973-0.004,FALSE),"Unpaid - nothing rung up for this visit",IF(IF(B973&lt;TodayDate,M973="Booked",FALSE),"Overdue - past date, still only Booked",IF(IF(B973=TodayDate,TRUE,FALSE),"Today",IF(IF(Z973&gt;0,AA973&lt;Z973-0.004,FALSE),"Due - deposit not taken",IF(IF(B973&gt;TodayDate,B973&lt;=TodayDate+2,FALSE),"Confirm - coming up","OK")))))))))))</f>
        <v>0</v>
      </c>
    </row>
    <row r="974" spans="1:34">
      <c r="A974" s="28">
        <f>IF(B974="","",AppointmentPrefix&amp;TEXT(ROW()-4,"0000"))</f>
        <v>0</v>
      </c>
      <c r="C974" s="15">
        <f>IF(B974="","",TEXT(B974,"ddd"))</f>
        <v>0</v>
      </c>
      <c r="F974" s="15">
        <f>IF(E974="","",IFERROR(INDEX(Clients!$B$5:$B$504,MATCH(E974,Clients!$A$5:$A$504,0)),"Walk-in"))</f>
        <v>0</v>
      </c>
      <c r="H974" s="15">
        <f>IF(G974="","",IFERROR(INDEX(Services!$B$5:$B$204,MATCH(G974,Services!$A$5:$A$204,0)),"Not in Services"))</f>
        <v>0</v>
      </c>
      <c r="J974" s="15">
        <f>IF(I974="","",IFERROR(INDEX(Staff!$B$5:$B$44,MATCH(I974,Staff!$A$5:$A$44,0)),"Unassigned"))</f>
        <v>0</v>
      </c>
      <c r="S974" s="15">
        <f>IF(B974="","",TEXT(B974,"yyyy-mm"))</f>
        <v>0</v>
      </c>
      <c r="T974" s="25">
        <f>IF(B974="","",WEEKNUM(B974,2))</f>
        <v>0</v>
      </c>
      <c r="U974" s="25">
        <f>IF(B974="","",IF(K974&lt;&gt;"",K974,IFERROR(INDEX(Services!$E$5:$E$204,MATCH(G974,Services!$A$5:$A$204,0))*1,0)+IFERROR(INDEX(Services!$F$5:$F$204,MATCH(G974,Services!$A$5:$A$204,0))*1,0)))</f>
        <v>0</v>
      </c>
      <c r="V974" s="36">
        <f>IF(B974="","",IF(D974="","",D974+U974/1440))</f>
        <v>0</v>
      </c>
      <c r="W974" s="25">
        <f>IF(B974="","",IF(D974="","",HOUR(D974)))</f>
        <v>0</v>
      </c>
      <c r="X974" s="37">
        <f>IF(B974="","",ROUND(U974/60,2))</f>
        <v>0</v>
      </c>
      <c r="Y974" s="26">
        <f>IF(B974="","",IF(L974&lt;&gt;"",L974,IFERROR(INDEX(Services!$G$5:$G$204,MATCH(G974,Services!$A$5:$A$204,0))*1,0)))</f>
        <v>0</v>
      </c>
      <c r="Z974" s="26">
        <f>IF(B974="","",IF(O974&lt;&gt;"",O974,IF(Y974&gt;=DepositThreshold,ROUND(Y974*DepositPercent,2),0)))</f>
        <v>0</v>
      </c>
      <c r="AA974" s="26">
        <f>IF(B974="","",ROUND(SUMIFS(Payments!$G$5:$G$1204,Payments!$I$5:$I$1204,A974,Payments!$E$5:$E$1204,"Deposit"),2))</f>
        <v>0</v>
      </c>
      <c r="AB974" s="26">
        <f>IF(B974="","",ROUND(SUMIFS(Sales!$Y$5:$Y$1204,Sales!$C$5:$C$1204,A974),2))</f>
        <v>0</v>
      </c>
      <c r="AC974" s="38">
        <f>IF(B974="","",IF(M974="Completed","Yes",IF(M974="Cancelled","Yes",IF(M974="No show","Yes","No"))))</f>
        <v>0</v>
      </c>
      <c r="AD974" s="25">
        <f>IF(B974="","",IF(AE974="","",B974-AE974))</f>
        <v>0</v>
      </c>
      <c r="AF974" s="38">
        <f>IF(B974="","",IF(M974&lt;&gt;"Completed","",IF(E974="","No",IF(COUNTIFS(Appointments!$E$5:$E$1204,E974,Appointments!$B$5:$B$1204,"&gt;"&amp;B974,Appointments!$M$5:$M$1204,"&lt;&gt;Cancelled")&gt;0,"Yes","No"))))</f>
        <v>0</v>
      </c>
      <c r="AG974" s="38">
        <f>IF(B974="","",IF(I974="","",IF(D974="","",IF(COUNTIFS($I$5:$I$1204,I974,$B$5:$B$1204,B974,$D$5:$D$1204,"&lt;"&amp;V974,$V$5:$V$1204,"&gt;"&amp;D974,$M$5:$M$1204,"&lt;&gt;Cancelled")&gt;1,"Clash",""))))</f>
        <v>0</v>
      </c>
      <c r="AH974" s="39">
        <f>IF(B974="","",IF(AG974="Clash","Clash - stylist double booked",IF(I974="","Assign - no stylist yet",IF(G974="","Add - no service chosen",IF(M974="No show","No show - charge the fee?",IF(M974="Cancelled","",IF(IF(M974="Completed",AB974&lt;Y974-0.004,FALSE),"Unpaid - nothing rung up for this visit",IF(IF(B974&lt;TodayDate,M974="Booked",FALSE),"Overdue - past date, still only Booked",IF(IF(B974=TodayDate,TRUE,FALSE),"Today",IF(IF(Z974&gt;0,AA974&lt;Z974-0.004,FALSE),"Due - deposit not taken",IF(IF(B974&gt;TodayDate,B974&lt;=TodayDate+2,FALSE),"Confirm - coming up","OK")))))))))))</f>
        <v>0</v>
      </c>
    </row>
    <row r="975" spans="1:34">
      <c r="A975" s="28">
        <f>IF(B975="","",AppointmentPrefix&amp;TEXT(ROW()-4,"0000"))</f>
        <v>0</v>
      </c>
      <c r="C975" s="15">
        <f>IF(B975="","",TEXT(B975,"ddd"))</f>
        <v>0</v>
      </c>
      <c r="F975" s="15">
        <f>IF(E975="","",IFERROR(INDEX(Clients!$B$5:$B$504,MATCH(E975,Clients!$A$5:$A$504,0)),"Walk-in"))</f>
        <v>0</v>
      </c>
      <c r="H975" s="15">
        <f>IF(G975="","",IFERROR(INDEX(Services!$B$5:$B$204,MATCH(G975,Services!$A$5:$A$204,0)),"Not in Services"))</f>
        <v>0</v>
      </c>
      <c r="J975" s="15">
        <f>IF(I975="","",IFERROR(INDEX(Staff!$B$5:$B$44,MATCH(I975,Staff!$A$5:$A$44,0)),"Unassigned"))</f>
        <v>0</v>
      </c>
      <c r="S975" s="15">
        <f>IF(B975="","",TEXT(B975,"yyyy-mm"))</f>
        <v>0</v>
      </c>
      <c r="T975" s="25">
        <f>IF(B975="","",WEEKNUM(B975,2))</f>
        <v>0</v>
      </c>
      <c r="U975" s="25">
        <f>IF(B975="","",IF(K975&lt;&gt;"",K975,IFERROR(INDEX(Services!$E$5:$E$204,MATCH(G975,Services!$A$5:$A$204,0))*1,0)+IFERROR(INDEX(Services!$F$5:$F$204,MATCH(G975,Services!$A$5:$A$204,0))*1,0)))</f>
        <v>0</v>
      </c>
      <c r="V975" s="36">
        <f>IF(B975="","",IF(D975="","",D975+U975/1440))</f>
        <v>0</v>
      </c>
      <c r="W975" s="25">
        <f>IF(B975="","",IF(D975="","",HOUR(D975)))</f>
        <v>0</v>
      </c>
      <c r="X975" s="37">
        <f>IF(B975="","",ROUND(U975/60,2))</f>
        <v>0</v>
      </c>
      <c r="Y975" s="26">
        <f>IF(B975="","",IF(L975&lt;&gt;"",L975,IFERROR(INDEX(Services!$G$5:$G$204,MATCH(G975,Services!$A$5:$A$204,0))*1,0)))</f>
        <v>0</v>
      </c>
      <c r="Z975" s="26">
        <f>IF(B975="","",IF(O975&lt;&gt;"",O975,IF(Y975&gt;=DepositThreshold,ROUND(Y975*DepositPercent,2),0)))</f>
        <v>0</v>
      </c>
      <c r="AA975" s="26">
        <f>IF(B975="","",ROUND(SUMIFS(Payments!$G$5:$G$1204,Payments!$I$5:$I$1204,A975,Payments!$E$5:$E$1204,"Deposit"),2))</f>
        <v>0</v>
      </c>
      <c r="AB975" s="26">
        <f>IF(B975="","",ROUND(SUMIFS(Sales!$Y$5:$Y$1204,Sales!$C$5:$C$1204,A975),2))</f>
        <v>0</v>
      </c>
      <c r="AC975" s="38">
        <f>IF(B975="","",IF(M975="Completed","Yes",IF(M975="Cancelled","Yes",IF(M975="No show","Yes","No"))))</f>
        <v>0</v>
      </c>
      <c r="AD975" s="25">
        <f>IF(B975="","",IF(AE975="","",B975-AE975))</f>
        <v>0</v>
      </c>
      <c r="AF975" s="38">
        <f>IF(B975="","",IF(M975&lt;&gt;"Completed","",IF(E975="","No",IF(COUNTIFS(Appointments!$E$5:$E$1204,E975,Appointments!$B$5:$B$1204,"&gt;"&amp;B975,Appointments!$M$5:$M$1204,"&lt;&gt;Cancelled")&gt;0,"Yes","No"))))</f>
        <v>0</v>
      </c>
      <c r="AG975" s="38">
        <f>IF(B975="","",IF(I975="","",IF(D975="","",IF(COUNTIFS($I$5:$I$1204,I975,$B$5:$B$1204,B975,$D$5:$D$1204,"&lt;"&amp;V975,$V$5:$V$1204,"&gt;"&amp;D975,$M$5:$M$1204,"&lt;&gt;Cancelled")&gt;1,"Clash",""))))</f>
        <v>0</v>
      </c>
      <c r="AH975" s="39">
        <f>IF(B975="","",IF(AG975="Clash","Clash - stylist double booked",IF(I975="","Assign - no stylist yet",IF(G975="","Add - no service chosen",IF(M975="No show","No show - charge the fee?",IF(M975="Cancelled","",IF(IF(M975="Completed",AB975&lt;Y975-0.004,FALSE),"Unpaid - nothing rung up for this visit",IF(IF(B975&lt;TodayDate,M975="Booked",FALSE),"Overdue - past date, still only Booked",IF(IF(B975=TodayDate,TRUE,FALSE),"Today",IF(IF(Z975&gt;0,AA975&lt;Z975-0.004,FALSE),"Due - deposit not taken",IF(IF(B975&gt;TodayDate,B975&lt;=TodayDate+2,FALSE),"Confirm - coming up","OK")))))))))))</f>
        <v>0</v>
      </c>
    </row>
    <row r="976" spans="1:34">
      <c r="A976" s="28">
        <f>IF(B976="","",AppointmentPrefix&amp;TEXT(ROW()-4,"0000"))</f>
        <v>0</v>
      </c>
      <c r="C976" s="15">
        <f>IF(B976="","",TEXT(B976,"ddd"))</f>
        <v>0</v>
      </c>
      <c r="F976" s="15">
        <f>IF(E976="","",IFERROR(INDEX(Clients!$B$5:$B$504,MATCH(E976,Clients!$A$5:$A$504,0)),"Walk-in"))</f>
        <v>0</v>
      </c>
      <c r="H976" s="15">
        <f>IF(G976="","",IFERROR(INDEX(Services!$B$5:$B$204,MATCH(G976,Services!$A$5:$A$204,0)),"Not in Services"))</f>
        <v>0</v>
      </c>
      <c r="J976" s="15">
        <f>IF(I976="","",IFERROR(INDEX(Staff!$B$5:$B$44,MATCH(I976,Staff!$A$5:$A$44,0)),"Unassigned"))</f>
        <v>0</v>
      </c>
      <c r="S976" s="15">
        <f>IF(B976="","",TEXT(B976,"yyyy-mm"))</f>
        <v>0</v>
      </c>
      <c r="T976" s="25">
        <f>IF(B976="","",WEEKNUM(B976,2))</f>
        <v>0</v>
      </c>
      <c r="U976" s="25">
        <f>IF(B976="","",IF(K976&lt;&gt;"",K976,IFERROR(INDEX(Services!$E$5:$E$204,MATCH(G976,Services!$A$5:$A$204,0))*1,0)+IFERROR(INDEX(Services!$F$5:$F$204,MATCH(G976,Services!$A$5:$A$204,0))*1,0)))</f>
        <v>0</v>
      </c>
      <c r="V976" s="36">
        <f>IF(B976="","",IF(D976="","",D976+U976/1440))</f>
        <v>0</v>
      </c>
      <c r="W976" s="25">
        <f>IF(B976="","",IF(D976="","",HOUR(D976)))</f>
        <v>0</v>
      </c>
      <c r="X976" s="37">
        <f>IF(B976="","",ROUND(U976/60,2))</f>
        <v>0</v>
      </c>
      <c r="Y976" s="26">
        <f>IF(B976="","",IF(L976&lt;&gt;"",L976,IFERROR(INDEX(Services!$G$5:$G$204,MATCH(G976,Services!$A$5:$A$204,0))*1,0)))</f>
        <v>0</v>
      </c>
      <c r="Z976" s="26">
        <f>IF(B976="","",IF(O976&lt;&gt;"",O976,IF(Y976&gt;=DepositThreshold,ROUND(Y976*DepositPercent,2),0)))</f>
        <v>0</v>
      </c>
      <c r="AA976" s="26">
        <f>IF(B976="","",ROUND(SUMIFS(Payments!$G$5:$G$1204,Payments!$I$5:$I$1204,A976,Payments!$E$5:$E$1204,"Deposit"),2))</f>
        <v>0</v>
      </c>
      <c r="AB976" s="26">
        <f>IF(B976="","",ROUND(SUMIFS(Sales!$Y$5:$Y$1204,Sales!$C$5:$C$1204,A976),2))</f>
        <v>0</v>
      </c>
      <c r="AC976" s="38">
        <f>IF(B976="","",IF(M976="Completed","Yes",IF(M976="Cancelled","Yes",IF(M976="No show","Yes","No"))))</f>
        <v>0</v>
      </c>
      <c r="AD976" s="25">
        <f>IF(B976="","",IF(AE976="","",B976-AE976))</f>
        <v>0</v>
      </c>
      <c r="AF976" s="38">
        <f>IF(B976="","",IF(M976&lt;&gt;"Completed","",IF(E976="","No",IF(COUNTIFS(Appointments!$E$5:$E$1204,E976,Appointments!$B$5:$B$1204,"&gt;"&amp;B976,Appointments!$M$5:$M$1204,"&lt;&gt;Cancelled")&gt;0,"Yes","No"))))</f>
        <v>0</v>
      </c>
      <c r="AG976" s="38">
        <f>IF(B976="","",IF(I976="","",IF(D976="","",IF(COUNTIFS($I$5:$I$1204,I976,$B$5:$B$1204,B976,$D$5:$D$1204,"&lt;"&amp;V976,$V$5:$V$1204,"&gt;"&amp;D976,$M$5:$M$1204,"&lt;&gt;Cancelled")&gt;1,"Clash",""))))</f>
        <v>0</v>
      </c>
      <c r="AH976" s="39">
        <f>IF(B976="","",IF(AG976="Clash","Clash - stylist double booked",IF(I976="","Assign - no stylist yet",IF(G976="","Add - no service chosen",IF(M976="No show","No show - charge the fee?",IF(M976="Cancelled","",IF(IF(M976="Completed",AB976&lt;Y976-0.004,FALSE),"Unpaid - nothing rung up for this visit",IF(IF(B976&lt;TodayDate,M976="Booked",FALSE),"Overdue - past date, still only Booked",IF(IF(B976=TodayDate,TRUE,FALSE),"Today",IF(IF(Z976&gt;0,AA976&lt;Z976-0.004,FALSE),"Due - deposit not taken",IF(IF(B976&gt;TodayDate,B976&lt;=TodayDate+2,FALSE),"Confirm - coming up","OK")))))))))))</f>
        <v>0</v>
      </c>
    </row>
    <row r="977" spans="1:34">
      <c r="A977" s="28">
        <f>IF(B977="","",AppointmentPrefix&amp;TEXT(ROW()-4,"0000"))</f>
        <v>0</v>
      </c>
      <c r="C977" s="15">
        <f>IF(B977="","",TEXT(B977,"ddd"))</f>
        <v>0</v>
      </c>
      <c r="F977" s="15">
        <f>IF(E977="","",IFERROR(INDEX(Clients!$B$5:$B$504,MATCH(E977,Clients!$A$5:$A$504,0)),"Walk-in"))</f>
        <v>0</v>
      </c>
      <c r="H977" s="15">
        <f>IF(G977="","",IFERROR(INDEX(Services!$B$5:$B$204,MATCH(G977,Services!$A$5:$A$204,0)),"Not in Services"))</f>
        <v>0</v>
      </c>
      <c r="J977" s="15">
        <f>IF(I977="","",IFERROR(INDEX(Staff!$B$5:$B$44,MATCH(I977,Staff!$A$5:$A$44,0)),"Unassigned"))</f>
        <v>0</v>
      </c>
      <c r="S977" s="15">
        <f>IF(B977="","",TEXT(B977,"yyyy-mm"))</f>
        <v>0</v>
      </c>
      <c r="T977" s="25">
        <f>IF(B977="","",WEEKNUM(B977,2))</f>
        <v>0</v>
      </c>
      <c r="U977" s="25">
        <f>IF(B977="","",IF(K977&lt;&gt;"",K977,IFERROR(INDEX(Services!$E$5:$E$204,MATCH(G977,Services!$A$5:$A$204,0))*1,0)+IFERROR(INDEX(Services!$F$5:$F$204,MATCH(G977,Services!$A$5:$A$204,0))*1,0)))</f>
        <v>0</v>
      </c>
      <c r="V977" s="36">
        <f>IF(B977="","",IF(D977="","",D977+U977/1440))</f>
        <v>0</v>
      </c>
      <c r="W977" s="25">
        <f>IF(B977="","",IF(D977="","",HOUR(D977)))</f>
        <v>0</v>
      </c>
      <c r="X977" s="37">
        <f>IF(B977="","",ROUND(U977/60,2))</f>
        <v>0</v>
      </c>
      <c r="Y977" s="26">
        <f>IF(B977="","",IF(L977&lt;&gt;"",L977,IFERROR(INDEX(Services!$G$5:$G$204,MATCH(G977,Services!$A$5:$A$204,0))*1,0)))</f>
        <v>0</v>
      </c>
      <c r="Z977" s="26">
        <f>IF(B977="","",IF(O977&lt;&gt;"",O977,IF(Y977&gt;=DepositThreshold,ROUND(Y977*DepositPercent,2),0)))</f>
        <v>0</v>
      </c>
      <c r="AA977" s="26">
        <f>IF(B977="","",ROUND(SUMIFS(Payments!$G$5:$G$1204,Payments!$I$5:$I$1204,A977,Payments!$E$5:$E$1204,"Deposit"),2))</f>
        <v>0</v>
      </c>
      <c r="AB977" s="26">
        <f>IF(B977="","",ROUND(SUMIFS(Sales!$Y$5:$Y$1204,Sales!$C$5:$C$1204,A977),2))</f>
        <v>0</v>
      </c>
      <c r="AC977" s="38">
        <f>IF(B977="","",IF(M977="Completed","Yes",IF(M977="Cancelled","Yes",IF(M977="No show","Yes","No"))))</f>
        <v>0</v>
      </c>
      <c r="AD977" s="25">
        <f>IF(B977="","",IF(AE977="","",B977-AE977))</f>
        <v>0</v>
      </c>
      <c r="AF977" s="38">
        <f>IF(B977="","",IF(M977&lt;&gt;"Completed","",IF(E977="","No",IF(COUNTIFS(Appointments!$E$5:$E$1204,E977,Appointments!$B$5:$B$1204,"&gt;"&amp;B977,Appointments!$M$5:$M$1204,"&lt;&gt;Cancelled")&gt;0,"Yes","No"))))</f>
        <v>0</v>
      </c>
      <c r="AG977" s="38">
        <f>IF(B977="","",IF(I977="","",IF(D977="","",IF(COUNTIFS($I$5:$I$1204,I977,$B$5:$B$1204,B977,$D$5:$D$1204,"&lt;"&amp;V977,$V$5:$V$1204,"&gt;"&amp;D977,$M$5:$M$1204,"&lt;&gt;Cancelled")&gt;1,"Clash",""))))</f>
        <v>0</v>
      </c>
      <c r="AH977" s="39">
        <f>IF(B977="","",IF(AG977="Clash","Clash - stylist double booked",IF(I977="","Assign - no stylist yet",IF(G977="","Add - no service chosen",IF(M977="No show","No show - charge the fee?",IF(M977="Cancelled","",IF(IF(M977="Completed",AB977&lt;Y977-0.004,FALSE),"Unpaid - nothing rung up for this visit",IF(IF(B977&lt;TodayDate,M977="Booked",FALSE),"Overdue - past date, still only Booked",IF(IF(B977=TodayDate,TRUE,FALSE),"Today",IF(IF(Z977&gt;0,AA977&lt;Z977-0.004,FALSE),"Due - deposit not taken",IF(IF(B977&gt;TodayDate,B977&lt;=TodayDate+2,FALSE),"Confirm - coming up","OK")))))))))))</f>
        <v>0</v>
      </c>
    </row>
    <row r="978" spans="1:34">
      <c r="A978" s="28">
        <f>IF(B978="","",AppointmentPrefix&amp;TEXT(ROW()-4,"0000"))</f>
        <v>0</v>
      </c>
      <c r="C978" s="15">
        <f>IF(B978="","",TEXT(B978,"ddd"))</f>
        <v>0</v>
      </c>
      <c r="F978" s="15">
        <f>IF(E978="","",IFERROR(INDEX(Clients!$B$5:$B$504,MATCH(E978,Clients!$A$5:$A$504,0)),"Walk-in"))</f>
        <v>0</v>
      </c>
      <c r="H978" s="15">
        <f>IF(G978="","",IFERROR(INDEX(Services!$B$5:$B$204,MATCH(G978,Services!$A$5:$A$204,0)),"Not in Services"))</f>
        <v>0</v>
      </c>
      <c r="J978" s="15">
        <f>IF(I978="","",IFERROR(INDEX(Staff!$B$5:$B$44,MATCH(I978,Staff!$A$5:$A$44,0)),"Unassigned"))</f>
        <v>0</v>
      </c>
      <c r="S978" s="15">
        <f>IF(B978="","",TEXT(B978,"yyyy-mm"))</f>
        <v>0</v>
      </c>
      <c r="T978" s="25">
        <f>IF(B978="","",WEEKNUM(B978,2))</f>
        <v>0</v>
      </c>
      <c r="U978" s="25">
        <f>IF(B978="","",IF(K978&lt;&gt;"",K978,IFERROR(INDEX(Services!$E$5:$E$204,MATCH(G978,Services!$A$5:$A$204,0))*1,0)+IFERROR(INDEX(Services!$F$5:$F$204,MATCH(G978,Services!$A$5:$A$204,0))*1,0)))</f>
        <v>0</v>
      </c>
      <c r="V978" s="36">
        <f>IF(B978="","",IF(D978="","",D978+U978/1440))</f>
        <v>0</v>
      </c>
      <c r="W978" s="25">
        <f>IF(B978="","",IF(D978="","",HOUR(D978)))</f>
        <v>0</v>
      </c>
      <c r="X978" s="37">
        <f>IF(B978="","",ROUND(U978/60,2))</f>
        <v>0</v>
      </c>
      <c r="Y978" s="26">
        <f>IF(B978="","",IF(L978&lt;&gt;"",L978,IFERROR(INDEX(Services!$G$5:$G$204,MATCH(G978,Services!$A$5:$A$204,0))*1,0)))</f>
        <v>0</v>
      </c>
      <c r="Z978" s="26">
        <f>IF(B978="","",IF(O978&lt;&gt;"",O978,IF(Y978&gt;=DepositThreshold,ROUND(Y978*DepositPercent,2),0)))</f>
        <v>0</v>
      </c>
      <c r="AA978" s="26">
        <f>IF(B978="","",ROUND(SUMIFS(Payments!$G$5:$G$1204,Payments!$I$5:$I$1204,A978,Payments!$E$5:$E$1204,"Deposit"),2))</f>
        <v>0</v>
      </c>
      <c r="AB978" s="26">
        <f>IF(B978="","",ROUND(SUMIFS(Sales!$Y$5:$Y$1204,Sales!$C$5:$C$1204,A978),2))</f>
        <v>0</v>
      </c>
      <c r="AC978" s="38">
        <f>IF(B978="","",IF(M978="Completed","Yes",IF(M978="Cancelled","Yes",IF(M978="No show","Yes","No"))))</f>
        <v>0</v>
      </c>
      <c r="AD978" s="25">
        <f>IF(B978="","",IF(AE978="","",B978-AE978))</f>
        <v>0</v>
      </c>
      <c r="AF978" s="38">
        <f>IF(B978="","",IF(M978&lt;&gt;"Completed","",IF(E978="","No",IF(COUNTIFS(Appointments!$E$5:$E$1204,E978,Appointments!$B$5:$B$1204,"&gt;"&amp;B978,Appointments!$M$5:$M$1204,"&lt;&gt;Cancelled")&gt;0,"Yes","No"))))</f>
        <v>0</v>
      </c>
      <c r="AG978" s="38">
        <f>IF(B978="","",IF(I978="","",IF(D978="","",IF(COUNTIFS($I$5:$I$1204,I978,$B$5:$B$1204,B978,$D$5:$D$1204,"&lt;"&amp;V978,$V$5:$V$1204,"&gt;"&amp;D978,$M$5:$M$1204,"&lt;&gt;Cancelled")&gt;1,"Clash",""))))</f>
        <v>0</v>
      </c>
      <c r="AH978" s="39">
        <f>IF(B978="","",IF(AG978="Clash","Clash - stylist double booked",IF(I978="","Assign - no stylist yet",IF(G978="","Add - no service chosen",IF(M978="No show","No show - charge the fee?",IF(M978="Cancelled","",IF(IF(M978="Completed",AB978&lt;Y978-0.004,FALSE),"Unpaid - nothing rung up for this visit",IF(IF(B978&lt;TodayDate,M978="Booked",FALSE),"Overdue - past date, still only Booked",IF(IF(B978=TodayDate,TRUE,FALSE),"Today",IF(IF(Z978&gt;0,AA978&lt;Z978-0.004,FALSE),"Due - deposit not taken",IF(IF(B978&gt;TodayDate,B978&lt;=TodayDate+2,FALSE),"Confirm - coming up","OK")))))))))))</f>
        <v>0</v>
      </c>
    </row>
    <row r="979" spans="1:34">
      <c r="A979" s="28">
        <f>IF(B979="","",AppointmentPrefix&amp;TEXT(ROW()-4,"0000"))</f>
        <v>0</v>
      </c>
      <c r="C979" s="15">
        <f>IF(B979="","",TEXT(B979,"ddd"))</f>
        <v>0</v>
      </c>
      <c r="F979" s="15">
        <f>IF(E979="","",IFERROR(INDEX(Clients!$B$5:$B$504,MATCH(E979,Clients!$A$5:$A$504,0)),"Walk-in"))</f>
        <v>0</v>
      </c>
      <c r="H979" s="15">
        <f>IF(G979="","",IFERROR(INDEX(Services!$B$5:$B$204,MATCH(G979,Services!$A$5:$A$204,0)),"Not in Services"))</f>
        <v>0</v>
      </c>
      <c r="J979" s="15">
        <f>IF(I979="","",IFERROR(INDEX(Staff!$B$5:$B$44,MATCH(I979,Staff!$A$5:$A$44,0)),"Unassigned"))</f>
        <v>0</v>
      </c>
      <c r="S979" s="15">
        <f>IF(B979="","",TEXT(B979,"yyyy-mm"))</f>
        <v>0</v>
      </c>
      <c r="T979" s="25">
        <f>IF(B979="","",WEEKNUM(B979,2))</f>
        <v>0</v>
      </c>
      <c r="U979" s="25">
        <f>IF(B979="","",IF(K979&lt;&gt;"",K979,IFERROR(INDEX(Services!$E$5:$E$204,MATCH(G979,Services!$A$5:$A$204,0))*1,0)+IFERROR(INDEX(Services!$F$5:$F$204,MATCH(G979,Services!$A$5:$A$204,0))*1,0)))</f>
        <v>0</v>
      </c>
      <c r="V979" s="36">
        <f>IF(B979="","",IF(D979="","",D979+U979/1440))</f>
        <v>0</v>
      </c>
      <c r="W979" s="25">
        <f>IF(B979="","",IF(D979="","",HOUR(D979)))</f>
        <v>0</v>
      </c>
      <c r="X979" s="37">
        <f>IF(B979="","",ROUND(U979/60,2))</f>
        <v>0</v>
      </c>
      <c r="Y979" s="26">
        <f>IF(B979="","",IF(L979&lt;&gt;"",L979,IFERROR(INDEX(Services!$G$5:$G$204,MATCH(G979,Services!$A$5:$A$204,0))*1,0)))</f>
        <v>0</v>
      </c>
      <c r="Z979" s="26">
        <f>IF(B979="","",IF(O979&lt;&gt;"",O979,IF(Y979&gt;=DepositThreshold,ROUND(Y979*DepositPercent,2),0)))</f>
        <v>0</v>
      </c>
      <c r="AA979" s="26">
        <f>IF(B979="","",ROUND(SUMIFS(Payments!$G$5:$G$1204,Payments!$I$5:$I$1204,A979,Payments!$E$5:$E$1204,"Deposit"),2))</f>
        <v>0</v>
      </c>
      <c r="AB979" s="26">
        <f>IF(B979="","",ROUND(SUMIFS(Sales!$Y$5:$Y$1204,Sales!$C$5:$C$1204,A979),2))</f>
        <v>0</v>
      </c>
      <c r="AC979" s="38">
        <f>IF(B979="","",IF(M979="Completed","Yes",IF(M979="Cancelled","Yes",IF(M979="No show","Yes","No"))))</f>
        <v>0</v>
      </c>
      <c r="AD979" s="25">
        <f>IF(B979="","",IF(AE979="","",B979-AE979))</f>
        <v>0</v>
      </c>
      <c r="AF979" s="38">
        <f>IF(B979="","",IF(M979&lt;&gt;"Completed","",IF(E979="","No",IF(COUNTIFS(Appointments!$E$5:$E$1204,E979,Appointments!$B$5:$B$1204,"&gt;"&amp;B979,Appointments!$M$5:$M$1204,"&lt;&gt;Cancelled")&gt;0,"Yes","No"))))</f>
        <v>0</v>
      </c>
      <c r="AG979" s="38">
        <f>IF(B979="","",IF(I979="","",IF(D979="","",IF(COUNTIFS($I$5:$I$1204,I979,$B$5:$B$1204,B979,$D$5:$D$1204,"&lt;"&amp;V979,$V$5:$V$1204,"&gt;"&amp;D979,$M$5:$M$1204,"&lt;&gt;Cancelled")&gt;1,"Clash",""))))</f>
        <v>0</v>
      </c>
      <c r="AH979" s="39">
        <f>IF(B979="","",IF(AG979="Clash","Clash - stylist double booked",IF(I979="","Assign - no stylist yet",IF(G979="","Add - no service chosen",IF(M979="No show","No show - charge the fee?",IF(M979="Cancelled","",IF(IF(M979="Completed",AB979&lt;Y979-0.004,FALSE),"Unpaid - nothing rung up for this visit",IF(IF(B979&lt;TodayDate,M979="Booked",FALSE),"Overdue - past date, still only Booked",IF(IF(B979=TodayDate,TRUE,FALSE),"Today",IF(IF(Z979&gt;0,AA979&lt;Z979-0.004,FALSE),"Due - deposit not taken",IF(IF(B979&gt;TodayDate,B979&lt;=TodayDate+2,FALSE),"Confirm - coming up","OK")))))))))))</f>
        <v>0</v>
      </c>
    </row>
    <row r="980" spans="1:34">
      <c r="A980" s="28">
        <f>IF(B980="","",AppointmentPrefix&amp;TEXT(ROW()-4,"0000"))</f>
        <v>0</v>
      </c>
      <c r="C980" s="15">
        <f>IF(B980="","",TEXT(B980,"ddd"))</f>
        <v>0</v>
      </c>
      <c r="F980" s="15">
        <f>IF(E980="","",IFERROR(INDEX(Clients!$B$5:$B$504,MATCH(E980,Clients!$A$5:$A$504,0)),"Walk-in"))</f>
        <v>0</v>
      </c>
      <c r="H980" s="15">
        <f>IF(G980="","",IFERROR(INDEX(Services!$B$5:$B$204,MATCH(G980,Services!$A$5:$A$204,0)),"Not in Services"))</f>
        <v>0</v>
      </c>
      <c r="J980" s="15">
        <f>IF(I980="","",IFERROR(INDEX(Staff!$B$5:$B$44,MATCH(I980,Staff!$A$5:$A$44,0)),"Unassigned"))</f>
        <v>0</v>
      </c>
      <c r="S980" s="15">
        <f>IF(B980="","",TEXT(B980,"yyyy-mm"))</f>
        <v>0</v>
      </c>
      <c r="T980" s="25">
        <f>IF(B980="","",WEEKNUM(B980,2))</f>
        <v>0</v>
      </c>
      <c r="U980" s="25">
        <f>IF(B980="","",IF(K980&lt;&gt;"",K980,IFERROR(INDEX(Services!$E$5:$E$204,MATCH(G980,Services!$A$5:$A$204,0))*1,0)+IFERROR(INDEX(Services!$F$5:$F$204,MATCH(G980,Services!$A$5:$A$204,0))*1,0)))</f>
        <v>0</v>
      </c>
      <c r="V980" s="36">
        <f>IF(B980="","",IF(D980="","",D980+U980/1440))</f>
        <v>0</v>
      </c>
      <c r="W980" s="25">
        <f>IF(B980="","",IF(D980="","",HOUR(D980)))</f>
        <v>0</v>
      </c>
      <c r="X980" s="37">
        <f>IF(B980="","",ROUND(U980/60,2))</f>
        <v>0</v>
      </c>
      <c r="Y980" s="26">
        <f>IF(B980="","",IF(L980&lt;&gt;"",L980,IFERROR(INDEX(Services!$G$5:$G$204,MATCH(G980,Services!$A$5:$A$204,0))*1,0)))</f>
        <v>0</v>
      </c>
      <c r="Z980" s="26">
        <f>IF(B980="","",IF(O980&lt;&gt;"",O980,IF(Y980&gt;=DepositThreshold,ROUND(Y980*DepositPercent,2),0)))</f>
        <v>0</v>
      </c>
      <c r="AA980" s="26">
        <f>IF(B980="","",ROUND(SUMIFS(Payments!$G$5:$G$1204,Payments!$I$5:$I$1204,A980,Payments!$E$5:$E$1204,"Deposit"),2))</f>
        <v>0</v>
      </c>
      <c r="AB980" s="26">
        <f>IF(B980="","",ROUND(SUMIFS(Sales!$Y$5:$Y$1204,Sales!$C$5:$C$1204,A980),2))</f>
        <v>0</v>
      </c>
      <c r="AC980" s="38">
        <f>IF(B980="","",IF(M980="Completed","Yes",IF(M980="Cancelled","Yes",IF(M980="No show","Yes","No"))))</f>
        <v>0</v>
      </c>
      <c r="AD980" s="25">
        <f>IF(B980="","",IF(AE980="","",B980-AE980))</f>
        <v>0</v>
      </c>
      <c r="AF980" s="38">
        <f>IF(B980="","",IF(M980&lt;&gt;"Completed","",IF(E980="","No",IF(COUNTIFS(Appointments!$E$5:$E$1204,E980,Appointments!$B$5:$B$1204,"&gt;"&amp;B980,Appointments!$M$5:$M$1204,"&lt;&gt;Cancelled")&gt;0,"Yes","No"))))</f>
        <v>0</v>
      </c>
      <c r="AG980" s="38">
        <f>IF(B980="","",IF(I980="","",IF(D980="","",IF(COUNTIFS($I$5:$I$1204,I980,$B$5:$B$1204,B980,$D$5:$D$1204,"&lt;"&amp;V980,$V$5:$V$1204,"&gt;"&amp;D980,$M$5:$M$1204,"&lt;&gt;Cancelled")&gt;1,"Clash",""))))</f>
        <v>0</v>
      </c>
      <c r="AH980" s="39">
        <f>IF(B980="","",IF(AG980="Clash","Clash - stylist double booked",IF(I980="","Assign - no stylist yet",IF(G980="","Add - no service chosen",IF(M980="No show","No show - charge the fee?",IF(M980="Cancelled","",IF(IF(M980="Completed",AB980&lt;Y980-0.004,FALSE),"Unpaid - nothing rung up for this visit",IF(IF(B980&lt;TodayDate,M980="Booked",FALSE),"Overdue - past date, still only Booked",IF(IF(B980=TodayDate,TRUE,FALSE),"Today",IF(IF(Z980&gt;0,AA980&lt;Z980-0.004,FALSE),"Due - deposit not taken",IF(IF(B980&gt;TodayDate,B980&lt;=TodayDate+2,FALSE),"Confirm - coming up","OK")))))))))))</f>
        <v>0</v>
      </c>
    </row>
    <row r="981" spans="1:34">
      <c r="A981" s="28">
        <f>IF(B981="","",AppointmentPrefix&amp;TEXT(ROW()-4,"0000"))</f>
        <v>0</v>
      </c>
      <c r="C981" s="15">
        <f>IF(B981="","",TEXT(B981,"ddd"))</f>
        <v>0</v>
      </c>
      <c r="F981" s="15">
        <f>IF(E981="","",IFERROR(INDEX(Clients!$B$5:$B$504,MATCH(E981,Clients!$A$5:$A$504,0)),"Walk-in"))</f>
        <v>0</v>
      </c>
      <c r="H981" s="15">
        <f>IF(G981="","",IFERROR(INDEX(Services!$B$5:$B$204,MATCH(G981,Services!$A$5:$A$204,0)),"Not in Services"))</f>
        <v>0</v>
      </c>
      <c r="J981" s="15">
        <f>IF(I981="","",IFERROR(INDEX(Staff!$B$5:$B$44,MATCH(I981,Staff!$A$5:$A$44,0)),"Unassigned"))</f>
        <v>0</v>
      </c>
      <c r="S981" s="15">
        <f>IF(B981="","",TEXT(B981,"yyyy-mm"))</f>
        <v>0</v>
      </c>
      <c r="T981" s="25">
        <f>IF(B981="","",WEEKNUM(B981,2))</f>
        <v>0</v>
      </c>
      <c r="U981" s="25">
        <f>IF(B981="","",IF(K981&lt;&gt;"",K981,IFERROR(INDEX(Services!$E$5:$E$204,MATCH(G981,Services!$A$5:$A$204,0))*1,0)+IFERROR(INDEX(Services!$F$5:$F$204,MATCH(G981,Services!$A$5:$A$204,0))*1,0)))</f>
        <v>0</v>
      </c>
      <c r="V981" s="36">
        <f>IF(B981="","",IF(D981="","",D981+U981/1440))</f>
        <v>0</v>
      </c>
      <c r="W981" s="25">
        <f>IF(B981="","",IF(D981="","",HOUR(D981)))</f>
        <v>0</v>
      </c>
      <c r="X981" s="37">
        <f>IF(B981="","",ROUND(U981/60,2))</f>
        <v>0</v>
      </c>
      <c r="Y981" s="26">
        <f>IF(B981="","",IF(L981&lt;&gt;"",L981,IFERROR(INDEX(Services!$G$5:$G$204,MATCH(G981,Services!$A$5:$A$204,0))*1,0)))</f>
        <v>0</v>
      </c>
      <c r="Z981" s="26">
        <f>IF(B981="","",IF(O981&lt;&gt;"",O981,IF(Y981&gt;=DepositThreshold,ROUND(Y981*DepositPercent,2),0)))</f>
        <v>0</v>
      </c>
      <c r="AA981" s="26">
        <f>IF(B981="","",ROUND(SUMIFS(Payments!$G$5:$G$1204,Payments!$I$5:$I$1204,A981,Payments!$E$5:$E$1204,"Deposit"),2))</f>
        <v>0</v>
      </c>
      <c r="AB981" s="26">
        <f>IF(B981="","",ROUND(SUMIFS(Sales!$Y$5:$Y$1204,Sales!$C$5:$C$1204,A981),2))</f>
        <v>0</v>
      </c>
      <c r="AC981" s="38">
        <f>IF(B981="","",IF(M981="Completed","Yes",IF(M981="Cancelled","Yes",IF(M981="No show","Yes","No"))))</f>
        <v>0</v>
      </c>
      <c r="AD981" s="25">
        <f>IF(B981="","",IF(AE981="","",B981-AE981))</f>
        <v>0</v>
      </c>
      <c r="AF981" s="38">
        <f>IF(B981="","",IF(M981&lt;&gt;"Completed","",IF(E981="","No",IF(COUNTIFS(Appointments!$E$5:$E$1204,E981,Appointments!$B$5:$B$1204,"&gt;"&amp;B981,Appointments!$M$5:$M$1204,"&lt;&gt;Cancelled")&gt;0,"Yes","No"))))</f>
        <v>0</v>
      </c>
      <c r="AG981" s="38">
        <f>IF(B981="","",IF(I981="","",IF(D981="","",IF(COUNTIFS($I$5:$I$1204,I981,$B$5:$B$1204,B981,$D$5:$D$1204,"&lt;"&amp;V981,$V$5:$V$1204,"&gt;"&amp;D981,$M$5:$M$1204,"&lt;&gt;Cancelled")&gt;1,"Clash",""))))</f>
        <v>0</v>
      </c>
      <c r="AH981" s="39">
        <f>IF(B981="","",IF(AG981="Clash","Clash - stylist double booked",IF(I981="","Assign - no stylist yet",IF(G981="","Add - no service chosen",IF(M981="No show","No show - charge the fee?",IF(M981="Cancelled","",IF(IF(M981="Completed",AB981&lt;Y981-0.004,FALSE),"Unpaid - nothing rung up for this visit",IF(IF(B981&lt;TodayDate,M981="Booked",FALSE),"Overdue - past date, still only Booked",IF(IF(B981=TodayDate,TRUE,FALSE),"Today",IF(IF(Z981&gt;0,AA981&lt;Z981-0.004,FALSE),"Due - deposit not taken",IF(IF(B981&gt;TodayDate,B981&lt;=TodayDate+2,FALSE),"Confirm - coming up","OK")))))))))))</f>
        <v>0</v>
      </c>
    </row>
    <row r="982" spans="1:34">
      <c r="A982" s="28">
        <f>IF(B982="","",AppointmentPrefix&amp;TEXT(ROW()-4,"0000"))</f>
        <v>0</v>
      </c>
      <c r="C982" s="15">
        <f>IF(B982="","",TEXT(B982,"ddd"))</f>
        <v>0</v>
      </c>
      <c r="F982" s="15">
        <f>IF(E982="","",IFERROR(INDEX(Clients!$B$5:$B$504,MATCH(E982,Clients!$A$5:$A$504,0)),"Walk-in"))</f>
        <v>0</v>
      </c>
      <c r="H982" s="15">
        <f>IF(G982="","",IFERROR(INDEX(Services!$B$5:$B$204,MATCH(G982,Services!$A$5:$A$204,0)),"Not in Services"))</f>
        <v>0</v>
      </c>
      <c r="J982" s="15">
        <f>IF(I982="","",IFERROR(INDEX(Staff!$B$5:$B$44,MATCH(I982,Staff!$A$5:$A$44,0)),"Unassigned"))</f>
        <v>0</v>
      </c>
      <c r="S982" s="15">
        <f>IF(B982="","",TEXT(B982,"yyyy-mm"))</f>
        <v>0</v>
      </c>
      <c r="T982" s="25">
        <f>IF(B982="","",WEEKNUM(B982,2))</f>
        <v>0</v>
      </c>
      <c r="U982" s="25">
        <f>IF(B982="","",IF(K982&lt;&gt;"",K982,IFERROR(INDEX(Services!$E$5:$E$204,MATCH(G982,Services!$A$5:$A$204,0))*1,0)+IFERROR(INDEX(Services!$F$5:$F$204,MATCH(G982,Services!$A$5:$A$204,0))*1,0)))</f>
        <v>0</v>
      </c>
      <c r="V982" s="36">
        <f>IF(B982="","",IF(D982="","",D982+U982/1440))</f>
        <v>0</v>
      </c>
      <c r="W982" s="25">
        <f>IF(B982="","",IF(D982="","",HOUR(D982)))</f>
        <v>0</v>
      </c>
      <c r="X982" s="37">
        <f>IF(B982="","",ROUND(U982/60,2))</f>
        <v>0</v>
      </c>
      <c r="Y982" s="26">
        <f>IF(B982="","",IF(L982&lt;&gt;"",L982,IFERROR(INDEX(Services!$G$5:$G$204,MATCH(G982,Services!$A$5:$A$204,0))*1,0)))</f>
        <v>0</v>
      </c>
      <c r="Z982" s="26">
        <f>IF(B982="","",IF(O982&lt;&gt;"",O982,IF(Y982&gt;=DepositThreshold,ROUND(Y982*DepositPercent,2),0)))</f>
        <v>0</v>
      </c>
      <c r="AA982" s="26">
        <f>IF(B982="","",ROUND(SUMIFS(Payments!$G$5:$G$1204,Payments!$I$5:$I$1204,A982,Payments!$E$5:$E$1204,"Deposit"),2))</f>
        <v>0</v>
      </c>
      <c r="AB982" s="26">
        <f>IF(B982="","",ROUND(SUMIFS(Sales!$Y$5:$Y$1204,Sales!$C$5:$C$1204,A982),2))</f>
        <v>0</v>
      </c>
      <c r="AC982" s="38">
        <f>IF(B982="","",IF(M982="Completed","Yes",IF(M982="Cancelled","Yes",IF(M982="No show","Yes","No"))))</f>
        <v>0</v>
      </c>
      <c r="AD982" s="25">
        <f>IF(B982="","",IF(AE982="","",B982-AE982))</f>
        <v>0</v>
      </c>
      <c r="AF982" s="38">
        <f>IF(B982="","",IF(M982&lt;&gt;"Completed","",IF(E982="","No",IF(COUNTIFS(Appointments!$E$5:$E$1204,E982,Appointments!$B$5:$B$1204,"&gt;"&amp;B982,Appointments!$M$5:$M$1204,"&lt;&gt;Cancelled")&gt;0,"Yes","No"))))</f>
        <v>0</v>
      </c>
      <c r="AG982" s="38">
        <f>IF(B982="","",IF(I982="","",IF(D982="","",IF(COUNTIFS($I$5:$I$1204,I982,$B$5:$B$1204,B982,$D$5:$D$1204,"&lt;"&amp;V982,$V$5:$V$1204,"&gt;"&amp;D982,$M$5:$M$1204,"&lt;&gt;Cancelled")&gt;1,"Clash",""))))</f>
        <v>0</v>
      </c>
      <c r="AH982" s="39">
        <f>IF(B982="","",IF(AG982="Clash","Clash - stylist double booked",IF(I982="","Assign - no stylist yet",IF(G982="","Add - no service chosen",IF(M982="No show","No show - charge the fee?",IF(M982="Cancelled","",IF(IF(M982="Completed",AB982&lt;Y982-0.004,FALSE),"Unpaid - nothing rung up for this visit",IF(IF(B982&lt;TodayDate,M982="Booked",FALSE),"Overdue - past date, still only Booked",IF(IF(B982=TodayDate,TRUE,FALSE),"Today",IF(IF(Z982&gt;0,AA982&lt;Z982-0.004,FALSE),"Due - deposit not taken",IF(IF(B982&gt;TodayDate,B982&lt;=TodayDate+2,FALSE),"Confirm - coming up","OK")))))))))))</f>
        <v>0</v>
      </c>
    </row>
    <row r="983" spans="1:34">
      <c r="A983" s="28">
        <f>IF(B983="","",AppointmentPrefix&amp;TEXT(ROW()-4,"0000"))</f>
        <v>0</v>
      </c>
      <c r="C983" s="15">
        <f>IF(B983="","",TEXT(B983,"ddd"))</f>
        <v>0</v>
      </c>
      <c r="F983" s="15">
        <f>IF(E983="","",IFERROR(INDEX(Clients!$B$5:$B$504,MATCH(E983,Clients!$A$5:$A$504,0)),"Walk-in"))</f>
        <v>0</v>
      </c>
      <c r="H983" s="15">
        <f>IF(G983="","",IFERROR(INDEX(Services!$B$5:$B$204,MATCH(G983,Services!$A$5:$A$204,0)),"Not in Services"))</f>
        <v>0</v>
      </c>
      <c r="J983" s="15">
        <f>IF(I983="","",IFERROR(INDEX(Staff!$B$5:$B$44,MATCH(I983,Staff!$A$5:$A$44,0)),"Unassigned"))</f>
        <v>0</v>
      </c>
      <c r="S983" s="15">
        <f>IF(B983="","",TEXT(B983,"yyyy-mm"))</f>
        <v>0</v>
      </c>
      <c r="T983" s="25">
        <f>IF(B983="","",WEEKNUM(B983,2))</f>
        <v>0</v>
      </c>
      <c r="U983" s="25">
        <f>IF(B983="","",IF(K983&lt;&gt;"",K983,IFERROR(INDEX(Services!$E$5:$E$204,MATCH(G983,Services!$A$5:$A$204,0))*1,0)+IFERROR(INDEX(Services!$F$5:$F$204,MATCH(G983,Services!$A$5:$A$204,0))*1,0)))</f>
        <v>0</v>
      </c>
      <c r="V983" s="36">
        <f>IF(B983="","",IF(D983="","",D983+U983/1440))</f>
        <v>0</v>
      </c>
      <c r="W983" s="25">
        <f>IF(B983="","",IF(D983="","",HOUR(D983)))</f>
        <v>0</v>
      </c>
      <c r="X983" s="37">
        <f>IF(B983="","",ROUND(U983/60,2))</f>
        <v>0</v>
      </c>
      <c r="Y983" s="26">
        <f>IF(B983="","",IF(L983&lt;&gt;"",L983,IFERROR(INDEX(Services!$G$5:$G$204,MATCH(G983,Services!$A$5:$A$204,0))*1,0)))</f>
        <v>0</v>
      </c>
      <c r="Z983" s="26">
        <f>IF(B983="","",IF(O983&lt;&gt;"",O983,IF(Y983&gt;=DepositThreshold,ROUND(Y983*DepositPercent,2),0)))</f>
        <v>0</v>
      </c>
      <c r="AA983" s="26">
        <f>IF(B983="","",ROUND(SUMIFS(Payments!$G$5:$G$1204,Payments!$I$5:$I$1204,A983,Payments!$E$5:$E$1204,"Deposit"),2))</f>
        <v>0</v>
      </c>
      <c r="AB983" s="26">
        <f>IF(B983="","",ROUND(SUMIFS(Sales!$Y$5:$Y$1204,Sales!$C$5:$C$1204,A983),2))</f>
        <v>0</v>
      </c>
      <c r="AC983" s="38">
        <f>IF(B983="","",IF(M983="Completed","Yes",IF(M983="Cancelled","Yes",IF(M983="No show","Yes","No"))))</f>
        <v>0</v>
      </c>
      <c r="AD983" s="25">
        <f>IF(B983="","",IF(AE983="","",B983-AE983))</f>
        <v>0</v>
      </c>
      <c r="AF983" s="38">
        <f>IF(B983="","",IF(M983&lt;&gt;"Completed","",IF(E983="","No",IF(COUNTIFS(Appointments!$E$5:$E$1204,E983,Appointments!$B$5:$B$1204,"&gt;"&amp;B983,Appointments!$M$5:$M$1204,"&lt;&gt;Cancelled")&gt;0,"Yes","No"))))</f>
        <v>0</v>
      </c>
      <c r="AG983" s="38">
        <f>IF(B983="","",IF(I983="","",IF(D983="","",IF(COUNTIFS($I$5:$I$1204,I983,$B$5:$B$1204,B983,$D$5:$D$1204,"&lt;"&amp;V983,$V$5:$V$1204,"&gt;"&amp;D983,$M$5:$M$1204,"&lt;&gt;Cancelled")&gt;1,"Clash",""))))</f>
        <v>0</v>
      </c>
      <c r="AH983" s="39">
        <f>IF(B983="","",IF(AG983="Clash","Clash - stylist double booked",IF(I983="","Assign - no stylist yet",IF(G983="","Add - no service chosen",IF(M983="No show","No show - charge the fee?",IF(M983="Cancelled","",IF(IF(M983="Completed",AB983&lt;Y983-0.004,FALSE),"Unpaid - nothing rung up for this visit",IF(IF(B983&lt;TodayDate,M983="Booked",FALSE),"Overdue - past date, still only Booked",IF(IF(B983=TodayDate,TRUE,FALSE),"Today",IF(IF(Z983&gt;0,AA983&lt;Z983-0.004,FALSE),"Due - deposit not taken",IF(IF(B983&gt;TodayDate,B983&lt;=TodayDate+2,FALSE),"Confirm - coming up","OK")))))))))))</f>
        <v>0</v>
      </c>
    </row>
    <row r="984" spans="1:34">
      <c r="A984" s="28">
        <f>IF(B984="","",AppointmentPrefix&amp;TEXT(ROW()-4,"0000"))</f>
        <v>0</v>
      </c>
      <c r="C984" s="15">
        <f>IF(B984="","",TEXT(B984,"ddd"))</f>
        <v>0</v>
      </c>
      <c r="F984" s="15">
        <f>IF(E984="","",IFERROR(INDEX(Clients!$B$5:$B$504,MATCH(E984,Clients!$A$5:$A$504,0)),"Walk-in"))</f>
        <v>0</v>
      </c>
      <c r="H984" s="15">
        <f>IF(G984="","",IFERROR(INDEX(Services!$B$5:$B$204,MATCH(G984,Services!$A$5:$A$204,0)),"Not in Services"))</f>
        <v>0</v>
      </c>
      <c r="J984" s="15">
        <f>IF(I984="","",IFERROR(INDEX(Staff!$B$5:$B$44,MATCH(I984,Staff!$A$5:$A$44,0)),"Unassigned"))</f>
        <v>0</v>
      </c>
      <c r="S984" s="15">
        <f>IF(B984="","",TEXT(B984,"yyyy-mm"))</f>
        <v>0</v>
      </c>
      <c r="T984" s="25">
        <f>IF(B984="","",WEEKNUM(B984,2))</f>
        <v>0</v>
      </c>
      <c r="U984" s="25">
        <f>IF(B984="","",IF(K984&lt;&gt;"",K984,IFERROR(INDEX(Services!$E$5:$E$204,MATCH(G984,Services!$A$5:$A$204,0))*1,0)+IFERROR(INDEX(Services!$F$5:$F$204,MATCH(G984,Services!$A$5:$A$204,0))*1,0)))</f>
        <v>0</v>
      </c>
      <c r="V984" s="36">
        <f>IF(B984="","",IF(D984="","",D984+U984/1440))</f>
        <v>0</v>
      </c>
      <c r="W984" s="25">
        <f>IF(B984="","",IF(D984="","",HOUR(D984)))</f>
        <v>0</v>
      </c>
      <c r="X984" s="37">
        <f>IF(B984="","",ROUND(U984/60,2))</f>
        <v>0</v>
      </c>
      <c r="Y984" s="26">
        <f>IF(B984="","",IF(L984&lt;&gt;"",L984,IFERROR(INDEX(Services!$G$5:$G$204,MATCH(G984,Services!$A$5:$A$204,0))*1,0)))</f>
        <v>0</v>
      </c>
      <c r="Z984" s="26">
        <f>IF(B984="","",IF(O984&lt;&gt;"",O984,IF(Y984&gt;=DepositThreshold,ROUND(Y984*DepositPercent,2),0)))</f>
        <v>0</v>
      </c>
      <c r="AA984" s="26">
        <f>IF(B984="","",ROUND(SUMIFS(Payments!$G$5:$G$1204,Payments!$I$5:$I$1204,A984,Payments!$E$5:$E$1204,"Deposit"),2))</f>
        <v>0</v>
      </c>
      <c r="AB984" s="26">
        <f>IF(B984="","",ROUND(SUMIFS(Sales!$Y$5:$Y$1204,Sales!$C$5:$C$1204,A984),2))</f>
        <v>0</v>
      </c>
      <c r="AC984" s="38">
        <f>IF(B984="","",IF(M984="Completed","Yes",IF(M984="Cancelled","Yes",IF(M984="No show","Yes","No"))))</f>
        <v>0</v>
      </c>
      <c r="AD984" s="25">
        <f>IF(B984="","",IF(AE984="","",B984-AE984))</f>
        <v>0</v>
      </c>
      <c r="AF984" s="38">
        <f>IF(B984="","",IF(M984&lt;&gt;"Completed","",IF(E984="","No",IF(COUNTIFS(Appointments!$E$5:$E$1204,E984,Appointments!$B$5:$B$1204,"&gt;"&amp;B984,Appointments!$M$5:$M$1204,"&lt;&gt;Cancelled")&gt;0,"Yes","No"))))</f>
        <v>0</v>
      </c>
      <c r="AG984" s="38">
        <f>IF(B984="","",IF(I984="","",IF(D984="","",IF(COUNTIFS($I$5:$I$1204,I984,$B$5:$B$1204,B984,$D$5:$D$1204,"&lt;"&amp;V984,$V$5:$V$1204,"&gt;"&amp;D984,$M$5:$M$1204,"&lt;&gt;Cancelled")&gt;1,"Clash",""))))</f>
        <v>0</v>
      </c>
      <c r="AH984" s="39">
        <f>IF(B984="","",IF(AG984="Clash","Clash - stylist double booked",IF(I984="","Assign - no stylist yet",IF(G984="","Add - no service chosen",IF(M984="No show","No show - charge the fee?",IF(M984="Cancelled","",IF(IF(M984="Completed",AB984&lt;Y984-0.004,FALSE),"Unpaid - nothing rung up for this visit",IF(IF(B984&lt;TodayDate,M984="Booked",FALSE),"Overdue - past date, still only Booked",IF(IF(B984=TodayDate,TRUE,FALSE),"Today",IF(IF(Z984&gt;0,AA984&lt;Z984-0.004,FALSE),"Due - deposit not taken",IF(IF(B984&gt;TodayDate,B984&lt;=TodayDate+2,FALSE),"Confirm - coming up","OK")))))))))))</f>
        <v>0</v>
      </c>
    </row>
    <row r="985" spans="1:34">
      <c r="A985" s="28">
        <f>IF(B985="","",AppointmentPrefix&amp;TEXT(ROW()-4,"0000"))</f>
        <v>0</v>
      </c>
      <c r="C985" s="15">
        <f>IF(B985="","",TEXT(B985,"ddd"))</f>
        <v>0</v>
      </c>
      <c r="F985" s="15">
        <f>IF(E985="","",IFERROR(INDEX(Clients!$B$5:$B$504,MATCH(E985,Clients!$A$5:$A$504,0)),"Walk-in"))</f>
        <v>0</v>
      </c>
      <c r="H985" s="15">
        <f>IF(G985="","",IFERROR(INDEX(Services!$B$5:$B$204,MATCH(G985,Services!$A$5:$A$204,0)),"Not in Services"))</f>
        <v>0</v>
      </c>
      <c r="J985" s="15">
        <f>IF(I985="","",IFERROR(INDEX(Staff!$B$5:$B$44,MATCH(I985,Staff!$A$5:$A$44,0)),"Unassigned"))</f>
        <v>0</v>
      </c>
      <c r="S985" s="15">
        <f>IF(B985="","",TEXT(B985,"yyyy-mm"))</f>
        <v>0</v>
      </c>
      <c r="T985" s="25">
        <f>IF(B985="","",WEEKNUM(B985,2))</f>
        <v>0</v>
      </c>
      <c r="U985" s="25">
        <f>IF(B985="","",IF(K985&lt;&gt;"",K985,IFERROR(INDEX(Services!$E$5:$E$204,MATCH(G985,Services!$A$5:$A$204,0))*1,0)+IFERROR(INDEX(Services!$F$5:$F$204,MATCH(G985,Services!$A$5:$A$204,0))*1,0)))</f>
        <v>0</v>
      </c>
      <c r="V985" s="36">
        <f>IF(B985="","",IF(D985="","",D985+U985/1440))</f>
        <v>0</v>
      </c>
      <c r="W985" s="25">
        <f>IF(B985="","",IF(D985="","",HOUR(D985)))</f>
        <v>0</v>
      </c>
      <c r="X985" s="37">
        <f>IF(B985="","",ROUND(U985/60,2))</f>
        <v>0</v>
      </c>
      <c r="Y985" s="26">
        <f>IF(B985="","",IF(L985&lt;&gt;"",L985,IFERROR(INDEX(Services!$G$5:$G$204,MATCH(G985,Services!$A$5:$A$204,0))*1,0)))</f>
        <v>0</v>
      </c>
      <c r="Z985" s="26">
        <f>IF(B985="","",IF(O985&lt;&gt;"",O985,IF(Y985&gt;=DepositThreshold,ROUND(Y985*DepositPercent,2),0)))</f>
        <v>0</v>
      </c>
      <c r="AA985" s="26">
        <f>IF(B985="","",ROUND(SUMIFS(Payments!$G$5:$G$1204,Payments!$I$5:$I$1204,A985,Payments!$E$5:$E$1204,"Deposit"),2))</f>
        <v>0</v>
      </c>
      <c r="AB985" s="26">
        <f>IF(B985="","",ROUND(SUMIFS(Sales!$Y$5:$Y$1204,Sales!$C$5:$C$1204,A985),2))</f>
        <v>0</v>
      </c>
      <c r="AC985" s="38">
        <f>IF(B985="","",IF(M985="Completed","Yes",IF(M985="Cancelled","Yes",IF(M985="No show","Yes","No"))))</f>
        <v>0</v>
      </c>
      <c r="AD985" s="25">
        <f>IF(B985="","",IF(AE985="","",B985-AE985))</f>
        <v>0</v>
      </c>
      <c r="AF985" s="38">
        <f>IF(B985="","",IF(M985&lt;&gt;"Completed","",IF(E985="","No",IF(COUNTIFS(Appointments!$E$5:$E$1204,E985,Appointments!$B$5:$B$1204,"&gt;"&amp;B985,Appointments!$M$5:$M$1204,"&lt;&gt;Cancelled")&gt;0,"Yes","No"))))</f>
        <v>0</v>
      </c>
      <c r="AG985" s="38">
        <f>IF(B985="","",IF(I985="","",IF(D985="","",IF(COUNTIFS($I$5:$I$1204,I985,$B$5:$B$1204,B985,$D$5:$D$1204,"&lt;"&amp;V985,$V$5:$V$1204,"&gt;"&amp;D985,$M$5:$M$1204,"&lt;&gt;Cancelled")&gt;1,"Clash",""))))</f>
        <v>0</v>
      </c>
      <c r="AH985" s="39">
        <f>IF(B985="","",IF(AG985="Clash","Clash - stylist double booked",IF(I985="","Assign - no stylist yet",IF(G985="","Add - no service chosen",IF(M985="No show","No show - charge the fee?",IF(M985="Cancelled","",IF(IF(M985="Completed",AB985&lt;Y985-0.004,FALSE),"Unpaid - nothing rung up for this visit",IF(IF(B985&lt;TodayDate,M985="Booked",FALSE),"Overdue - past date, still only Booked",IF(IF(B985=TodayDate,TRUE,FALSE),"Today",IF(IF(Z985&gt;0,AA985&lt;Z985-0.004,FALSE),"Due - deposit not taken",IF(IF(B985&gt;TodayDate,B985&lt;=TodayDate+2,FALSE),"Confirm - coming up","OK")))))))))))</f>
        <v>0</v>
      </c>
    </row>
    <row r="986" spans="1:34">
      <c r="A986" s="28">
        <f>IF(B986="","",AppointmentPrefix&amp;TEXT(ROW()-4,"0000"))</f>
        <v>0</v>
      </c>
      <c r="C986" s="15">
        <f>IF(B986="","",TEXT(B986,"ddd"))</f>
        <v>0</v>
      </c>
      <c r="F986" s="15">
        <f>IF(E986="","",IFERROR(INDEX(Clients!$B$5:$B$504,MATCH(E986,Clients!$A$5:$A$504,0)),"Walk-in"))</f>
        <v>0</v>
      </c>
      <c r="H986" s="15">
        <f>IF(G986="","",IFERROR(INDEX(Services!$B$5:$B$204,MATCH(G986,Services!$A$5:$A$204,0)),"Not in Services"))</f>
        <v>0</v>
      </c>
      <c r="J986" s="15">
        <f>IF(I986="","",IFERROR(INDEX(Staff!$B$5:$B$44,MATCH(I986,Staff!$A$5:$A$44,0)),"Unassigned"))</f>
        <v>0</v>
      </c>
      <c r="S986" s="15">
        <f>IF(B986="","",TEXT(B986,"yyyy-mm"))</f>
        <v>0</v>
      </c>
      <c r="T986" s="25">
        <f>IF(B986="","",WEEKNUM(B986,2))</f>
        <v>0</v>
      </c>
      <c r="U986" s="25">
        <f>IF(B986="","",IF(K986&lt;&gt;"",K986,IFERROR(INDEX(Services!$E$5:$E$204,MATCH(G986,Services!$A$5:$A$204,0))*1,0)+IFERROR(INDEX(Services!$F$5:$F$204,MATCH(G986,Services!$A$5:$A$204,0))*1,0)))</f>
        <v>0</v>
      </c>
      <c r="V986" s="36">
        <f>IF(B986="","",IF(D986="","",D986+U986/1440))</f>
        <v>0</v>
      </c>
      <c r="W986" s="25">
        <f>IF(B986="","",IF(D986="","",HOUR(D986)))</f>
        <v>0</v>
      </c>
      <c r="X986" s="37">
        <f>IF(B986="","",ROUND(U986/60,2))</f>
        <v>0</v>
      </c>
      <c r="Y986" s="26">
        <f>IF(B986="","",IF(L986&lt;&gt;"",L986,IFERROR(INDEX(Services!$G$5:$G$204,MATCH(G986,Services!$A$5:$A$204,0))*1,0)))</f>
        <v>0</v>
      </c>
      <c r="Z986" s="26">
        <f>IF(B986="","",IF(O986&lt;&gt;"",O986,IF(Y986&gt;=DepositThreshold,ROUND(Y986*DepositPercent,2),0)))</f>
        <v>0</v>
      </c>
      <c r="AA986" s="26">
        <f>IF(B986="","",ROUND(SUMIFS(Payments!$G$5:$G$1204,Payments!$I$5:$I$1204,A986,Payments!$E$5:$E$1204,"Deposit"),2))</f>
        <v>0</v>
      </c>
      <c r="AB986" s="26">
        <f>IF(B986="","",ROUND(SUMIFS(Sales!$Y$5:$Y$1204,Sales!$C$5:$C$1204,A986),2))</f>
        <v>0</v>
      </c>
      <c r="AC986" s="38">
        <f>IF(B986="","",IF(M986="Completed","Yes",IF(M986="Cancelled","Yes",IF(M986="No show","Yes","No"))))</f>
        <v>0</v>
      </c>
      <c r="AD986" s="25">
        <f>IF(B986="","",IF(AE986="","",B986-AE986))</f>
        <v>0</v>
      </c>
      <c r="AF986" s="38">
        <f>IF(B986="","",IF(M986&lt;&gt;"Completed","",IF(E986="","No",IF(COUNTIFS(Appointments!$E$5:$E$1204,E986,Appointments!$B$5:$B$1204,"&gt;"&amp;B986,Appointments!$M$5:$M$1204,"&lt;&gt;Cancelled")&gt;0,"Yes","No"))))</f>
        <v>0</v>
      </c>
      <c r="AG986" s="38">
        <f>IF(B986="","",IF(I986="","",IF(D986="","",IF(COUNTIFS($I$5:$I$1204,I986,$B$5:$B$1204,B986,$D$5:$D$1204,"&lt;"&amp;V986,$V$5:$V$1204,"&gt;"&amp;D986,$M$5:$M$1204,"&lt;&gt;Cancelled")&gt;1,"Clash",""))))</f>
        <v>0</v>
      </c>
      <c r="AH986" s="39">
        <f>IF(B986="","",IF(AG986="Clash","Clash - stylist double booked",IF(I986="","Assign - no stylist yet",IF(G986="","Add - no service chosen",IF(M986="No show","No show - charge the fee?",IF(M986="Cancelled","",IF(IF(M986="Completed",AB986&lt;Y986-0.004,FALSE),"Unpaid - nothing rung up for this visit",IF(IF(B986&lt;TodayDate,M986="Booked",FALSE),"Overdue - past date, still only Booked",IF(IF(B986=TodayDate,TRUE,FALSE),"Today",IF(IF(Z986&gt;0,AA986&lt;Z986-0.004,FALSE),"Due - deposit not taken",IF(IF(B986&gt;TodayDate,B986&lt;=TodayDate+2,FALSE),"Confirm - coming up","OK")))))))))))</f>
        <v>0</v>
      </c>
    </row>
    <row r="987" spans="1:34">
      <c r="A987" s="28">
        <f>IF(B987="","",AppointmentPrefix&amp;TEXT(ROW()-4,"0000"))</f>
        <v>0</v>
      </c>
      <c r="C987" s="15">
        <f>IF(B987="","",TEXT(B987,"ddd"))</f>
        <v>0</v>
      </c>
      <c r="F987" s="15">
        <f>IF(E987="","",IFERROR(INDEX(Clients!$B$5:$B$504,MATCH(E987,Clients!$A$5:$A$504,0)),"Walk-in"))</f>
        <v>0</v>
      </c>
      <c r="H987" s="15">
        <f>IF(G987="","",IFERROR(INDEX(Services!$B$5:$B$204,MATCH(G987,Services!$A$5:$A$204,0)),"Not in Services"))</f>
        <v>0</v>
      </c>
      <c r="J987" s="15">
        <f>IF(I987="","",IFERROR(INDEX(Staff!$B$5:$B$44,MATCH(I987,Staff!$A$5:$A$44,0)),"Unassigned"))</f>
        <v>0</v>
      </c>
      <c r="S987" s="15">
        <f>IF(B987="","",TEXT(B987,"yyyy-mm"))</f>
        <v>0</v>
      </c>
      <c r="T987" s="25">
        <f>IF(B987="","",WEEKNUM(B987,2))</f>
        <v>0</v>
      </c>
      <c r="U987" s="25">
        <f>IF(B987="","",IF(K987&lt;&gt;"",K987,IFERROR(INDEX(Services!$E$5:$E$204,MATCH(G987,Services!$A$5:$A$204,0))*1,0)+IFERROR(INDEX(Services!$F$5:$F$204,MATCH(G987,Services!$A$5:$A$204,0))*1,0)))</f>
        <v>0</v>
      </c>
      <c r="V987" s="36">
        <f>IF(B987="","",IF(D987="","",D987+U987/1440))</f>
        <v>0</v>
      </c>
      <c r="W987" s="25">
        <f>IF(B987="","",IF(D987="","",HOUR(D987)))</f>
        <v>0</v>
      </c>
      <c r="X987" s="37">
        <f>IF(B987="","",ROUND(U987/60,2))</f>
        <v>0</v>
      </c>
      <c r="Y987" s="26">
        <f>IF(B987="","",IF(L987&lt;&gt;"",L987,IFERROR(INDEX(Services!$G$5:$G$204,MATCH(G987,Services!$A$5:$A$204,0))*1,0)))</f>
        <v>0</v>
      </c>
      <c r="Z987" s="26">
        <f>IF(B987="","",IF(O987&lt;&gt;"",O987,IF(Y987&gt;=DepositThreshold,ROUND(Y987*DepositPercent,2),0)))</f>
        <v>0</v>
      </c>
      <c r="AA987" s="26">
        <f>IF(B987="","",ROUND(SUMIFS(Payments!$G$5:$G$1204,Payments!$I$5:$I$1204,A987,Payments!$E$5:$E$1204,"Deposit"),2))</f>
        <v>0</v>
      </c>
      <c r="AB987" s="26">
        <f>IF(B987="","",ROUND(SUMIFS(Sales!$Y$5:$Y$1204,Sales!$C$5:$C$1204,A987),2))</f>
        <v>0</v>
      </c>
      <c r="AC987" s="38">
        <f>IF(B987="","",IF(M987="Completed","Yes",IF(M987="Cancelled","Yes",IF(M987="No show","Yes","No"))))</f>
        <v>0</v>
      </c>
      <c r="AD987" s="25">
        <f>IF(B987="","",IF(AE987="","",B987-AE987))</f>
        <v>0</v>
      </c>
      <c r="AF987" s="38">
        <f>IF(B987="","",IF(M987&lt;&gt;"Completed","",IF(E987="","No",IF(COUNTIFS(Appointments!$E$5:$E$1204,E987,Appointments!$B$5:$B$1204,"&gt;"&amp;B987,Appointments!$M$5:$M$1204,"&lt;&gt;Cancelled")&gt;0,"Yes","No"))))</f>
        <v>0</v>
      </c>
      <c r="AG987" s="38">
        <f>IF(B987="","",IF(I987="","",IF(D987="","",IF(COUNTIFS($I$5:$I$1204,I987,$B$5:$B$1204,B987,$D$5:$D$1204,"&lt;"&amp;V987,$V$5:$V$1204,"&gt;"&amp;D987,$M$5:$M$1204,"&lt;&gt;Cancelled")&gt;1,"Clash",""))))</f>
        <v>0</v>
      </c>
      <c r="AH987" s="39">
        <f>IF(B987="","",IF(AG987="Clash","Clash - stylist double booked",IF(I987="","Assign - no stylist yet",IF(G987="","Add - no service chosen",IF(M987="No show","No show - charge the fee?",IF(M987="Cancelled","",IF(IF(M987="Completed",AB987&lt;Y987-0.004,FALSE),"Unpaid - nothing rung up for this visit",IF(IF(B987&lt;TodayDate,M987="Booked",FALSE),"Overdue - past date, still only Booked",IF(IF(B987=TodayDate,TRUE,FALSE),"Today",IF(IF(Z987&gt;0,AA987&lt;Z987-0.004,FALSE),"Due - deposit not taken",IF(IF(B987&gt;TodayDate,B987&lt;=TodayDate+2,FALSE),"Confirm - coming up","OK")))))))))))</f>
        <v>0</v>
      </c>
    </row>
    <row r="988" spans="1:34">
      <c r="A988" s="28">
        <f>IF(B988="","",AppointmentPrefix&amp;TEXT(ROW()-4,"0000"))</f>
        <v>0</v>
      </c>
      <c r="C988" s="15">
        <f>IF(B988="","",TEXT(B988,"ddd"))</f>
        <v>0</v>
      </c>
      <c r="F988" s="15">
        <f>IF(E988="","",IFERROR(INDEX(Clients!$B$5:$B$504,MATCH(E988,Clients!$A$5:$A$504,0)),"Walk-in"))</f>
        <v>0</v>
      </c>
      <c r="H988" s="15">
        <f>IF(G988="","",IFERROR(INDEX(Services!$B$5:$B$204,MATCH(G988,Services!$A$5:$A$204,0)),"Not in Services"))</f>
        <v>0</v>
      </c>
      <c r="J988" s="15">
        <f>IF(I988="","",IFERROR(INDEX(Staff!$B$5:$B$44,MATCH(I988,Staff!$A$5:$A$44,0)),"Unassigned"))</f>
        <v>0</v>
      </c>
      <c r="S988" s="15">
        <f>IF(B988="","",TEXT(B988,"yyyy-mm"))</f>
        <v>0</v>
      </c>
      <c r="T988" s="25">
        <f>IF(B988="","",WEEKNUM(B988,2))</f>
        <v>0</v>
      </c>
      <c r="U988" s="25">
        <f>IF(B988="","",IF(K988&lt;&gt;"",K988,IFERROR(INDEX(Services!$E$5:$E$204,MATCH(G988,Services!$A$5:$A$204,0))*1,0)+IFERROR(INDEX(Services!$F$5:$F$204,MATCH(G988,Services!$A$5:$A$204,0))*1,0)))</f>
        <v>0</v>
      </c>
      <c r="V988" s="36">
        <f>IF(B988="","",IF(D988="","",D988+U988/1440))</f>
        <v>0</v>
      </c>
      <c r="W988" s="25">
        <f>IF(B988="","",IF(D988="","",HOUR(D988)))</f>
        <v>0</v>
      </c>
      <c r="X988" s="37">
        <f>IF(B988="","",ROUND(U988/60,2))</f>
        <v>0</v>
      </c>
      <c r="Y988" s="26">
        <f>IF(B988="","",IF(L988&lt;&gt;"",L988,IFERROR(INDEX(Services!$G$5:$G$204,MATCH(G988,Services!$A$5:$A$204,0))*1,0)))</f>
        <v>0</v>
      </c>
      <c r="Z988" s="26">
        <f>IF(B988="","",IF(O988&lt;&gt;"",O988,IF(Y988&gt;=DepositThreshold,ROUND(Y988*DepositPercent,2),0)))</f>
        <v>0</v>
      </c>
      <c r="AA988" s="26">
        <f>IF(B988="","",ROUND(SUMIFS(Payments!$G$5:$G$1204,Payments!$I$5:$I$1204,A988,Payments!$E$5:$E$1204,"Deposit"),2))</f>
        <v>0</v>
      </c>
      <c r="AB988" s="26">
        <f>IF(B988="","",ROUND(SUMIFS(Sales!$Y$5:$Y$1204,Sales!$C$5:$C$1204,A988),2))</f>
        <v>0</v>
      </c>
      <c r="AC988" s="38">
        <f>IF(B988="","",IF(M988="Completed","Yes",IF(M988="Cancelled","Yes",IF(M988="No show","Yes","No"))))</f>
        <v>0</v>
      </c>
      <c r="AD988" s="25">
        <f>IF(B988="","",IF(AE988="","",B988-AE988))</f>
        <v>0</v>
      </c>
      <c r="AF988" s="38">
        <f>IF(B988="","",IF(M988&lt;&gt;"Completed","",IF(E988="","No",IF(COUNTIFS(Appointments!$E$5:$E$1204,E988,Appointments!$B$5:$B$1204,"&gt;"&amp;B988,Appointments!$M$5:$M$1204,"&lt;&gt;Cancelled")&gt;0,"Yes","No"))))</f>
        <v>0</v>
      </c>
      <c r="AG988" s="38">
        <f>IF(B988="","",IF(I988="","",IF(D988="","",IF(COUNTIFS($I$5:$I$1204,I988,$B$5:$B$1204,B988,$D$5:$D$1204,"&lt;"&amp;V988,$V$5:$V$1204,"&gt;"&amp;D988,$M$5:$M$1204,"&lt;&gt;Cancelled")&gt;1,"Clash",""))))</f>
        <v>0</v>
      </c>
      <c r="AH988" s="39">
        <f>IF(B988="","",IF(AG988="Clash","Clash - stylist double booked",IF(I988="","Assign - no stylist yet",IF(G988="","Add - no service chosen",IF(M988="No show","No show - charge the fee?",IF(M988="Cancelled","",IF(IF(M988="Completed",AB988&lt;Y988-0.004,FALSE),"Unpaid - nothing rung up for this visit",IF(IF(B988&lt;TodayDate,M988="Booked",FALSE),"Overdue - past date, still only Booked",IF(IF(B988=TodayDate,TRUE,FALSE),"Today",IF(IF(Z988&gt;0,AA988&lt;Z988-0.004,FALSE),"Due - deposit not taken",IF(IF(B988&gt;TodayDate,B988&lt;=TodayDate+2,FALSE),"Confirm - coming up","OK")))))))))))</f>
        <v>0</v>
      </c>
    </row>
    <row r="989" spans="1:34">
      <c r="A989" s="28">
        <f>IF(B989="","",AppointmentPrefix&amp;TEXT(ROW()-4,"0000"))</f>
        <v>0</v>
      </c>
      <c r="C989" s="15">
        <f>IF(B989="","",TEXT(B989,"ddd"))</f>
        <v>0</v>
      </c>
      <c r="F989" s="15">
        <f>IF(E989="","",IFERROR(INDEX(Clients!$B$5:$B$504,MATCH(E989,Clients!$A$5:$A$504,0)),"Walk-in"))</f>
        <v>0</v>
      </c>
      <c r="H989" s="15">
        <f>IF(G989="","",IFERROR(INDEX(Services!$B$5:$B$204,MATCH(G989,Services!$A$5:$A$204,0)),"Not in Services"))</f>
        <v>0</v>
      </c>
      <c r="J989" s="15">
        <f>IF(I989="","",IFERROR(INDEX(Staff!$B$5:$B$44,MATCH(I989,Staff!$A$5:$A$44,0)),"Unassigned"))</f>
        <v>0</v>
      </c>
      <c r="S989" s="15">
        <f>IF(B989="","",TEXT(B989,"yyyy-mm"))</f>
        <v>0</v>
      </c>
      <c r="T989" s="25">
        <f>IF(B989="","",WEEKNUM(B989,2))</f>
        <v>0</v>
      </c>
      <c r="U989" s="25">
        <f>IF(B989="","",IF(K989&lt;&gt;"",K989,IFERROR(INDEX(Services!$E$5:$E$204,MATCH(G989,Services!$A$5:$A$204,0))*1,0)+IFERROR(INDEX(Services!$F$5:$F$204,MATCH(G989,Services!$A$5:$A$204,0))*1,0)))</f>
        <v>0</v>
      </c>
      <c r="V989" s="36">
        <f>IF(B989="","",IF(D989="","",D989+U989/1440))</f>
        <v>0</v>
      </c>
      <c r="W989" s="25">
        <f>IF(B989="","",IF(D989="","",HOUR(D989)))</f>
        <v>0</v>
      </c>
      <c r="X989" s="37">
        <f>IF(B989="","",ROUND(U989/60,2))</f>
        <v>0</v>
      </c>
      <c r="Y989" s="26">
        <f>IF(B989="","",IF(L989&lt;&gt;"",L989,IFERROR(INDEX(Services!$G$5:$G$204,MATCH(G989,Services!$A$5:$A$204,0))*1,0)))</f>
        <v>0</v>
      </c>
      <c r="Z989" s="26">
        <f>IF(B989="","",IF(O989&lt;&gt;"",O989,IF(Y989&gt;=DepositThreshold,ROUND(Y989*DepositPercent,2),0)))</f>
        <v>0</v>
      </c>
      <c r="AA989" s="26">
        <f>IF(B989="","",ROUND(SUMIFS(Payments!$G$5:$G$1204,Payments!$I$5:$I$1204,A989,Payments!$E$5:$E$1204,"Deposit"),2))</f>
        <v>0</v>
      </c>
      <c r="AB989" s="26">
        <f>IF(B989="","",ROUND(SUMIFS(Sales!$Y$5:$Y$1204,Sales!$C$5:$C$1204,A989),2))</f>
        <v>0</v>
      </c>
      <c r="AC989" s="38">
        <f>IF(B989="","",IF(M989="Completed","Yes",IF(M989="Cancelled","Yes",IF(M989="No show","Yes","No"))))</f>
        <v>0</v>
      </c>
      <c r="AD989" s="25">
        <f>IF(B989="","",IF(AE989="","",B989-AE989))</f>
        <v>0</v>
      </c>
      <c r="AF989" s="38">
        <f>IF(B989="","",IF(M989&lt;&gt;"Completed","",IF(E989="","No",IF(COUNTIFS(Appointments!$E$5:$E$1204,E989,Appointments!$B$5:$B$1204,"&gt;"&amp;B989,Appointments!$M$5:$M$1204,"&lt;&gt;Cancelled")&gt;0,"Yes","No"))))</f>
        <v>0</v>
      </c>
      <c r="AG989" s="38">
        <f>IF(B989="","",IF(I989="","",IF(D989="","",IF(COUNTIFS($I$5:$I$1204,I989,$B$5:$B$1204,B989,$D$5:$D$1204,"&lt;"&amp;V989,$V$5:$V$1204,"&gt;"&amp;D989,$M$5:$M$1204,"&lt;&gt;Cancelled")&gt;1,"Clash",""))))</f>
        <v>0</v>
      </c>
      <c r="AH989" s="39">
        <f>IF(B989="","",IF(AG989="Clash","Clash - stylist double booked",IF(I989="","Assign - no stylist yet",IF(G989="","Add - no service chosen",IF(M989="No show","No show - charge the fee?",IF(M989="Cancelled","",IF(IF(M989="Completed",AB989&lt;Y989-0.004,FALSE),"Unpaid - nothing rung up for this visit",IF(IF(B989&lt;TodayDate,M989="Booked",FALSE),"Overdue - past date, still only Booked",IF(IF(B989=TodayDate,TRUE,FALSE),"Today",IF(IF(Z989&gt;0,AA989&lt;Z989-0.004,FALSE),"Due - deposit not taken",IF(IF(B989&gt;TodayDate,B989&lt;=TodayDate+2,FALSE),"Confirm - coming up","OK")))))))))))</f>
        <v>0</v>
      </c>
    </row>
    <row r="990" spans="1:34">
      <c r="A990" s="28">
        <f>IF(B990="","",AppointmentPrefix&amp;TEXT(ROW()-4,"0000"))</f>
        <v>0</v>
      </c>
      <c r="C990" s="15">
        <f>IF(B990="","",TEXT(B990,"ddd"))</f>
        <v>0</v>
      </c>
      <c r="F990" s="15">
        <f>IF(E990="","",IFERROR(INDEX(Clients!$B$5:$B$504,MATCH(E990,Clients!$A$5:$A$504,0)),"Walk-in"))</f>
        <v>0</v>
      </c>
      <c r="H990" s="15">
        <f>IF(G990="","",IFERROR(INDEX(Services!$B$5:$B$204,MATCH(G990,Services!$A$5:$A$204,0)),"Not in Services"))</f>
        <v>0</v>
      </c>
      <c r="J990" s="15">
        <f>IF(I990="","",IFERROR(INDEX(Staff!$B$5:$B$44,MATCH(I990,Staff!$A$5:$A$44,0)),"Unassigned"))</f>
        <v>0</v>
      </c>
      <c r="S990" s="15">
        <f>IF(B990="","",TEXT(B990,"yyyy-mm"))</f>
        <v>0</v>
      </c>
      <c r="T990" s="25">
        <f>IF(B990="","",WEEKNUM(B990,2))</f>
        <v>0</v>
      </c>
      <c r="U990" s="25">
        <f>IF(B990="","",IF(K990&lt;&gt;"",K990,IFERROR(INDEX(Services!$E$5:$E$204,MATCH(G990,Services!$A$5:$A$204,0))*1,0)+IFERROR(INDEX(Services!$F$5:$F$204,MATCH(G990,Services!$A$5:$A$204,0))*1,0)))</f>
        <v>0</v>
      </c>
      <c r="V990" s="36">
        <f>IF(B990="","",IF(D990="","",D990+U990/1440))</f>
        <v>0</v>
      </c>
      <c r="W990" s="25">
        <f>IF(B990="","",IF(D990="","",HOUR(D990)))</f>
        <v>0</v>
      </c>
      <c r="X990" s="37">
        <f>IF(B990="","",ROUND(U990/60,2))</f>
        <v>0</v>
      </c>
      <c r="Y990" s="26">
        <f>IF(B990="","",IF(L990&lt;&gt;"",L990,IFERROR(INDEX(Services!$G$5:$G$204,MATCH(G990,Services!$A$5:$A$204,0))*1,0)))</f>
        <v>0</v>
      </c>
      <c r="Z990" s="26">
        <f>IF(B990="","",IF(O990&lt;&gt;"",O990,IF(Y990&gt;=DepositThreshold,ROUND(Y990*DepositPercent,2),0)))</f>
        <v>0</v>
      </c>
      <c r="AA990" s="26">
        <f>IF(B990="","",ROUND(SUMIFS(Payments!$G$5:$G$1204,Payments!$I$5:$I$1204,A990,Payments!$E$5:$E$1204,"Deposit"),2))</f>
        <v>0</v>
      </c>
      <c r="AB990" s="26">
        <f>IF(B990="","",ROUND(SUMIFS(Sales!$Y$5:$Y$1204,Sales!$C$5:$C$1204,A990),2))</f>
        <v>0</v>
      </c>
      <c r="AC990" s="38">
        <f>IF(B990="","",IF(M990="Completed","Yes",IF(M990="Cancelled","Yes",IF(M990="No show","Yes","No"))))</f>
        <v>0</v>
      </c>
      <c r="AD990" s="25">
        <f>IF(B990="","",IF(AE990="","",B990-AE990))</f>
        <v>0</v>
      </c>
      <c r="AF990" s="38">
        <f>IF(B990="","",IF(M990&lt;&gt;"Completed","",IF(E990="","No",IF(COUNTIFS(Appointments!$E$5:$E$1204,E990,Appointments!$B$5:$B$1204,"&gt;"&amp;B990,Appointments!$M$5:$M$1204,"&lt;&gt;Cancelled")&gt;0,"Yes","No"))))</f>
        <v>0</v>
      </c>
      <c r="AG990" s="38">
        <f>IF(B990="","",IF(I990="","",IF(D990="","",IF(COUNTIFS($I$5:$I$1204,I990,$B$5:$B$1204,B990,$D$5:$D$1204,"&lt;"&amp;V990,$V$5:$V$1204,"&gt;"&amp;D990,$M$5:$M$1204,"&lt;&gt;Cancelled")&gt;1,"Clash",""))))</f>
        <v>0</v>
      </c>
      <c r="AH990" s="39">
        <f>IF(B990="","",IF(AG990="Clash","Clash - stylist double booked",IF(I990="","Assign - no stylist yet",IF(G990="","Add - no service chosen",IF(M990="No show","No show - charge the fee?",IF(M990="Cancelled","",IF(IF(M990="Completed",AB990&lt;Y990-0.004,FALSE),"Unpaid - nothing rung up for this visit",IF(IF(B990&lt;TodayDate,M990="Booked",FALSE),"Overdue - past date, still only Booked",IF(IF(B990=TodayDate,TRUE,FALSE),"Today",IF(IF(Z990&gt;0,AA990&lt;Z990-0.004,FALSE),"Due - deposit not taken",IF(IF(B990&gt;TodayDate,B990&lt;=TodayDate+2,FALSE),"Confirm - coming up","OK")))))))))))</f>
        <v>0</v>
      </c>
    </row>
    <row r="991" spans="1:34">
      <c r="A991" s="28">
        <f>IF(B991="","",AppointmentPrefix&amp;TEXT(ROW()-4,"0000"))</f>
        <v>0</v>
      </c>
      <c r="C991" s="15">
        <f>IF(B991="","",TEXT(B991,"ddd"))</f>
        <v>0</v>
      </c>
      <c r="F991" s="15">
        <f>IF(E991="","",IFERROR(INDEX(Clients!$B$5:$B$504,MATCH(E991,Clients!$A$5:$A$504,0)),"Walk-in"))</f>
        <v>0</v>
      </c>
      <c r="H991" s="15">
        <f>IF(G991="","",IFERROR(INDEX(Services!$B$5:$B$204,MATCH(G991,Services!$A$5:$A$204,0)),"Not in Services"))</f>
        <v>0</v>
      </c>
      <c r="J991" s="15">
        <f>IF(I991="","",IFERROR(INDEX(Staff!$B$5:$B$44,MATCH(I991,Staff!$A$5:$A$44,0)),"Unassigned"))</f>
        <v>0</v>
      </c>
      <c r="S991" s="15">
        <f>IF(B991="","",TEXT(B991,"yyyy-mm"))</f>
        <v>0</v>
      </c>
      <c r="T991" s="25">
        <f>IF(B991="","",WEEKNUM(B991,2))</f>
        <v>0</v>
      </c>
      <c r="U991" s="25">
        <f>IF(B991="","",IF(K991&lt;&gt;"",K991,IFERROR(INDEX(Services!$E$5:$E$204,MATCH(G991,Services!$A$5:$A$204,0))*1,0)+IFERROR(INDEX(Services!$F$5:$F$204,MATCH(G991,Services!$A$5:$A$204,0))*1,0)))</f>
        <v>0</v>
      </c>
      <c r="V991" s="36">
        <f>IF(B991="","",IF(D991="","",D991+U991/1440))</f>
        <v>0</v>
      </c>
      <c r="W991" s="25">
        <f>IF(B991="","",IF(D991="","",HOUR(D991)))</f>
        <v>0</v>
      </c>
      <c r="X991" s="37">
        <f>IF(B991="","",ROUND(U991/60,2))</f>
        <v>0</v>
      </c>
      <c r="Y991" s="26">
        <f>IF(B991="","",IF(L991&lt;&gt;"",L991,IFERROR(INDEX(Services!$G$5:$G$204,MATCH(G991,Services!$A$5:$A$204,0))*1,0)))</f>
        <v>0</v>
      </c>
      <c r="Z991" s="26">
        <f>IF(B991="","",IF(O991&lt;&gt;"",O991,IF(Y991&gt;=DepositThreshold,ROUND(Y991*DepositPercent,2),0)))</f>
        <v>0</v>
      </c>
      <c r="AA991" s="26">
        <f>IF(B991="","",ROUND(SUMIFS(Payments!$G$5:$G$1204,Payments!$I$5:$I$1204,A991,Payments!$E$5:$E$1204,"Deposit"),2))</f>
        <v>0</v>
      </c>
      <c r="AB991" s="26">
        <f>IF(B991="","",ROUND(SUMIFS(Sales!$Y$5:$Y$1204,Sales!$C$5:$C$1204,A991),2))</f>
        <v>0</v>
      </c>
      <c r="AC991" s="38">
        <f>IF(B991="","",IF(M991="Completed","Yes",IF(M991="Cancelled","Yes",IF(M991="No show","Yes","No"))))</f>
        <v>0</v>
      </c>
      <c r="AD991" s="25">
        <f>IF(B991="","",IF(AE991="","",B991-AE991))</f>
        <v>0</v>
      </c>
      <c r="AF991" s="38">
        <f>IF(B991="","",IF(M991&lt;&gt;"Completed","",IF(E991="","No",IF(COUNTIFS(Appointments!$E$5:$E$1204,E991,Appointments!$B$5:$B$1204,"&gt;"&amp;B991,Appointments!$M$5:$M$1204,"&lt;&gt;Cancelled")&gt;0,"Yes","No"))))</f>
        <v>0</v>
      </c>
      <c r="AG991" s="38">
        <f>IF(B991="","",IF(I991="","",IF(D991="","",IF(COUNTIFS($I$5:$I$1204,I991,$B$5:$B$1204,B991,$D$5:$D$1204,"&lt;"&amp;V991,$V$5:$V$1204,"&gt;"&amp;D991,$M$5:$M$1204,"&lt;&gt;Cancelled")&gt;1,"Clash",""))))</f>
        <v>0</v>
      </c>
      <c r="AH991" s="39">
        <f>IF(B991="","",IF(AG991="Clash","Clash - stylist double booked",IF(I991="","Assign - no stylist yet",IF(G991="","Add - no service chosen",IF(M991="No show","No show - charge the fee?",IF(M991="Cancelled","",IF(IF(M991="Completed",AB991&lt;Y991-0.004,FALSE),"Unpaid - nothing rung up for this visit",IF(IF(B991&lt;TodayDate,M991="Booked",FALSE),"Overdue - past date, still only Booked",IF(IF(B991=TodayDate,TRUE,FALSE),"Today",IF(IF(Z991&gt;0,AA991&lt;Z991-0.004,FALSE),"Due - deposit not taken",IF(IF(B991&gt;TodayDate,B991&lt;=TodayDate+2,FALSE),"Confirm - coming up","OK")))))))))))</f>
        <v>0</v>
      </c>
    </row>
    <row r="992" spans="1:34">
      <c r="A992" s="28">
        <f>IF(B992="","",AppointmentPrefix&amp;TEXT(ROW()-4,"0000"))</f>
        <v>0</v>
      </c>
      <c r="C992" s="15">
        <f>IF(B992="","",TEXT(B992,"ddd"))</f>
        <v>0</v>
      </c>
      <c r="F992" s="15">
        <f>IF(E992="","",IFERROR(INDEX(Clients!$B$5:$B$504,MATCH(E992,Clients!$A$5:$A$504,0)),"Walk-in"))</f>
        <v>0</v>
      </c>
      <c r="H992" s="15">
        <f>IF(G992="","",IFERROR(INDEX(Services!$B$5:$B$204,MATCH(G992,Services!$A$5:$A$204,0)),"Not in Services"))</f>
        <v>0</v>
      </c>
      <c r="J992" s="15">
        <f>IF(I992="","",IFERROR(INDEX(Staff!$B$5:$B$44,MATCH(I992,Staff!$A$5:$A$44,0)),"Unassigned"))</f>
        <v>0</v>
      </c>
      <c r="S992" s="15">
        <f>IF(B992="","",TEXT(B992,"yyyy-mm"))</f>
        <v>0</v>
      </c>
      <c r="T992" s="25">
        <f>IF(B992="","",WEEKNUM(B992,2))</f>
        <v>0</v>
      </c>
      <c r="U992" s="25">
        <f>IF(B992="","",IF(K992&lt;&gt;"",K992,IFERROR(INDEX(Services!$E$5:$E$204,MATCH(G992,Services!$A$5:$A$204,0))*1,0)+IFERROR(INDEX(Services!$F$5:$F$204,MATCH(G992,Services!$A$5:$A$204,0))*1,0)))</f>
        <v>0</v>
      </c>
      <c r="V992" s="36">
        <f>IF(B992="","",IF(D992="","",D992+U992/1440))</f>
        <v>0</v>
      </c>
      <c r="W992" s="25">
        <f>IF(B992="","",IF(D992="","",HOUR(D992)))</f>
        <v>0</v>
      </c>
      <c r="X992" s="37">
        <f>IF(B992="","",ROUND(U992/60,2))</f>
        <v>0</v>
      </c>
      <c r="Y992" s="26">
        <f>IF(B992="","",IF(L992&lt;&gt;"",L992,IFERROR(INDEX(Services!$G$5:$G$204,MATCH(G992,Services!$A$5:$A$204,0))*1,0)))</f>
        <v>0</v>
      </c>
      <c r="Z992" s="26">
        <f>IF(B992="","",IF(O992&lt;&gt;"",O992,IF(Y992&gt;=DepositThreshold,ROUND(Y992*DepositPercent,2),0)))</f>
        <v>0</v>
      </c>
      <c r="AA992" s="26">
        <f>IF(B992="","",ROUND(SUMIFS(Payments!$G$5:$G$1204,Payments!$I$5:$I$1204,A992,Payments!$E$5:$E$1204,"Deposit"),2))</f>
        <v>0</v>
      </c>
      <c r="AB992" s="26">
        <f>IF(B992="","",ROUND(SUMIFS(Sales!$Y$5:$Y$1204,Sales!$C$5:$C$1204,A992),2))</f>
        <v>0</v>
      </c>
      <c r="AC992" s="38">
        <f>IF(B992="","",IF(M992="Completed","Yes",IF(M992="Cancelled","Yes",IF(M992="No show","Yes","No"))))</f>
        <v>0</v>
      </c>
      <c r="AD992" s="25">
        <f>IF(B992="","",IF(AE992="","",B992-AE992))</f>
        <v>0</v>
      </c>
      <c r="AF992" s="38">
        <f>IF(B992="","",IF(M992&lt;&gt;"Completed","",IF(E992="","No",IF(COUNTIFS(Appointments!$E$5:$E$1204,E992,Appointments!$B$5:$B$1204,"&gt;"&amp;B992,Appointments!$M$5:$M$1204,"&lt;&gt;Cancelled")&gt;0,"Yes","No"))))</f>
        <v>0</v>
      </c>
      <c r="AG992" s="38">
        <f>IF(B992="","",IF(I992="","",IF(D992="","",IF(COUNTIFS($I$5:$I$1204,I992,$B$5:$B$1204,B992,$D$5:$D$1204,"&lt;"&amp;V992,$V$5:$V$1204,"&gt;"&amp;D992,$M$5:$M$1204,"&lt;&gt;Cancelled")&gt;1,"Clash",""))))</f>
        <v>0</v>
      </c>
      <c r="AH992" s="39">
        <f>IF(B992="","",IF(AG992="Clash","Clash - stylist double booked",IF(I992="","Assign - no stylist yet",IF(G992="","Add - no service chosen",IF(M992="No show","No show - charge the fee?",IF(M992="Cancelled","",IF(IF(M992="Completed",AB992&lt;Y992-0.004,FALSE),"Unpaid - nothing rung up for this visit",IF(IF(B992&lt;TodayDate,M992="Booked",FALSE),"Overdue - past date, still only Booked",IF(IF(B992=TodayDate,TRUE,FALSE),"Today",IF(IF(Z992&gt;0,AA992&lt;Z992-0.004,FALSE),"Due - deposit not taken",IF(IF(B992&gt;TodayDate,B992&lt;=TodayDate+2,FALSE),"Confirm - coming up","OK")))))))))))</f>
        <v>0</v>
      </c>
    </row>
    <row r="993" spans="1:34">
      <c r="A993" s="28">
        <f>IF(B993="","",AppointmentPrefix&amp;TEXT(ROW()-4,"0000"))</f>
        <v>0</v>
      </c>
      <c r="C993" s="15">
        <f>IF(B993="","",TEXT(B993,"ddd"))</f>
        <v>0</v>
      </c>
      <c r="F993" s="15">
        <f>IF(E993="","",IFERROR(INDEX(Clients!$B$5:$B$504,MATCH(E993,Clients!$A$5:$A$504,0)),"Walk-in"))</f>
        <v>0</v>
      </c>
      <c r="H993" s="15">
        <f>IF(G993="","",IFERROR(INDEX(Services!$B$5:$B$204,MATCH(G993,Services!$A$5:$A$204,0)),"Not in Services"))</f>
        <v>0</v>
      </c>
      <c r="J993" s="15">
        <f>IF(I993="","",IFERROR(INDEX(Staff!$B$5:$B$44,MATCH(I993,Staff!$A$5:$A$44,0)),"Unassigned"))</f>
        <v>0</v>
      </c>
      <c r="S993" s="15">
        <f>IF(B993="","",TEXT(B993,"yyyy-mm"))</f>
        <v>0</v>
      </c>
      <c r="T993" s="25">
        <f>IF(B993="","",WEEKNUM(B993,2))</f>
        <v>0</v>
      </c>
      <c r="U993" s="25">
        <f>IF(B993="","",IF(K993&lt;&gt;"",K993,IFERROR(INDEX(Services!$E$5:$E$204,MATCH(G993,Services!$A$5:$A$204,0))*1,0)+IFERROR(INDEX(Services!$F$5:$F$204,MATCH(G993,Services!$A$5:$A$204,0))*1,0)))</f>
        <v>0</v>
      </c>
      <c r="V993" s="36">
        <f>IF(B993="","",IF(D993="","",D993+U993/1440))</f>
        <v>0</v>
      </c>
      <c r="W993" s="25">
        <f>IF(B993="","",IF(D993="","",HOUR(D993)))</f>
        <v>0</v>
      </c>
      <c r="X993" s="37">
        <f>IF(B993="","",ROUND(U993/60,2))</f>
        <v>0</v>
      </c>
      <c r="Y993" s="26">
        <f>IF(B993="","",IF(L993&lt;&gt;"",L993,IFERROR(INDEX(Services!$G$5:$G$204,MATCH(G993,Services!$A$5:$A$204,0))*1,0)))</f>
        <v>0</v>
      </c>
      <c r="Z993" s="26">
        <f>IF(B993="","",IF(O993&lt;&gt;"",O993,IF(Y993&gt;=DepositThreshold,ROUND(Y993*DepositPercent,2),0)))</f>
        <v>0</v>
      </c>
      <c r="AA993" s="26">
        <f>IF(B993="","",ROUND(SUMIFS(Payments!$G$5:$G$1204,Payments!$I$5:$I$1204,A993,Payments!$E$5:$E$1204,"Deposit"),2))</f>
        <v>0</v>
      </c>
      <c r="AB993" s="26">
        <f>IF(B993="","",ROUND(SUMIFS(Sales!$Y$5:$Y$1204,Sales!$C$5:$C$1204,A993),2))</f>
        <v>0</v>
      </c>
      <c r="AC993" s="38">
        <f>IF(B993="","",IF(M993="Completed","Yes",IF(M993="Cancelled","Yes",IF(M993="No show","Yes","No"))))</f>
        <v>0</v>
      </c>
      <c r="AD993" s="25">
        <f>IF(B993="","",IF(AE993="","",B993-AE993))</f>
        <v>0</v>
      </c>
      <c r="AF993" s="38">
        <f>IF(B993="","",IF(M993&lt;&gt;"Completed","",IF(E993="","No",IF(COUNTIFS(Appointments!$E$5:$E$1204,E993,Appointments!$B$5:$B$1204,"&gt;"&amp;B993,Appointments!$M$5:$M$1204,"&lt;&gt;Cancelled")&gt;0,"Yes","No"))))</f>
        <v>0</v>
      </c>
      <c r="AG993" s="38">
        <f>IF(B993="","",IF(I993="","",IF(D993="","",IF(COUNTIFS($I$5:$I$1204,I993,$B$5:$B$1204,B993,$D$5:$D$1204,"&lt;"&amp;V993,$V$5:$V$1204,"&gt;"&amp;D993,$M$5:$M$1204,"&lt;&gt;Cancelled")&gt;1,"Clash",""))))</f>
        <v>0</v>
      </c>
      <c r="AH993" s="39">
        <f>IF(B993="","",IF(AG993="Clash","Clash - stylist double booked",IF(I993="","Assign - no stylist yet",IF(G993="","Add - no service chosen",IF(M993="No show","No show - charge the fee?",IF(M993="Cancelled","",IF(IF(M993="Completed",AB993&lt;Y993-0.004,FALSE),"Unpaid - nothing rung up for this visit",IF(IF(B993&lt;TodayDate,M993="Booked",FALSE),"Overdue - past date, still only Booked",IF(IF(B993=TodayDate,TRUE,FALSE),"Today",IF(IF(Z993&gt;0,AA993&lt;Z993-0.004,FALSE),"Due - deposit not taken",IF(IF(B993&gt;TodayDate,B993&lt;=TodayDate+2,FALSE),"Confirm - coming up","OK")))))))))))</f>
        <v>0</v>
      </c>
    </row>
    <row r="994" spans="1:34">
      <c r="A994" s="28">
        <f>IF(B994="","",AppointmentPrefix&amp;TEXT(ROW()-4,"0000"))</f>
        <v>0</v>
      </c>
      <c r="C994" s="15">
        <f>IF(B994="","",TEXT(B994,"ddd"))</f>
        <v>0</v>
      </c>
      <c r="F994" s="15">
        <f>IF(E994="","",IFERROR(INDEX(Clients!$B$5:$B$504,MATCH(E994,Clients!$A$5:$A$504,0)),"Walk-in"))</f>
        <v>0</v>
      </c>
      <c r="H994" s="15">
        <f>IF(G994="","",IFERROR(INDEX(Services!$B$5:$B$204,MATCH(G994,Services!$A$5:$A$204,0)),"Not in Services"))</f>
        <v>0</v>
      </c>
      <c r="J994" s="15">
        <f>IF(I994="","",IFERROR(INDEX(Staff!$B$5:$B$44,MATCH(I994,Staff!$A$5:$A$44,0)),"Unassigned"))</f>
        <v>0</v>
      </c>
      <c r="S994" s="15">
        <f>IF(B994="","",TEXT(B994,"yyyy-mm"))</f>
        <v>0</v>
      </c>
      <c r="T994" s="25">
        <f>IF(B994="","",WEEKNUM(B994,2))</f>
        <v>0</v>
      </c>
      <c r="U994" s="25">
        <f>IF(B994="","",IF(K994&lt;&gt;"",K994,IFERROR(INDEX(Services!$E$5:$E$204,MATCH(G994,Services!$A$5:$A$204,0))*1,0)+IFERROR(INDEX(Services!$F$5:$F$204,MATCH(G994,Services!$A$5:$A$204,0))*1,0)))</f>
        <v>0</v>
      </c>
      <c r="V994" s="36">
        <f>IF(B994="","",IF(D994="","",D994+U994/1440))</f>
        <v>0</v>
      </c>
      <c r="W994" s="25">
        <f>IF(B994="","",IF(D994="","",HOUR(D994)))</f>
        <v>0</v>
      </c>
      <c r="X994" s="37">
        <f>IF(B994="","",ROUND(U994/60,2))</f>
        <v>0</v>
      </c>
      <c r="Y994" s="26">
        <f>IF(B994="","",IF(L994&lt;&gt;"",L994,IFERROR(INDEX(Services!$G$5:$G$204,MATCH(G994,Services!$A$5:$A$204,0))*1,0)))</f>
        <v>0</v>
      </c>
      <c r="Z994" s="26">
        <f>IF(B994="","",IF(O994&lt;&gt;"",O994,IF(Y994&gt;=DepositThreshold,ROUND(Y994*DepositPercent,2),0)))</f>
        <v>0</v>
      </c>
      <c r="AA994" s="26">
        <f>IF(B994="","",ROUND(SUMIFS(Payments!$G$5:$G$1204,Payments!$I$5:$I$1204,A994,Payments!$E$5:$E$1204,"Deposit"),2))</f>
        <v>0</v>
      </c>
      <c r="AB994" s="26">
        <f>IF(B994="","",ROUND(SUMIFS(Sales!$Y$5:$Y$1204,Sales!$C$5:$C$1204,A994),2))</f>
        <v>0</v>
      </c>
      <c r="AC994" s="38">
        <f>IF(B994="","",IF(M994="Completed","Yes",IF(M994="Cancelled","Yes",IF(M994="No show","Yes","No"))))</f>
        <v>0</v>
      </c>
      <c r="AD994" s="25">
        <f>IF(B994="","",IF(AE994="","",B994-AE994))</f>
        <v>0</v>
      </c>
      <c r="AF994" s="38">
        <f>IF(B994="","",IF(M994&lt;&gt;"Completed","",IF(E994="","No",IF(COUNTIFS(Appointments!$E$5:$E$1204,E994,Appointments!$B$5:$B$1204,"&gt;"&amp;B994,Appointments!$M$5:$M$1204,"&lt;&gt;Cancelled")&gt;0,"Yes","No"))))</f>
        <v>0</v>
      </c>
      <c r="AG994" s="38">
        <f>IF(B994="","",IF(I994="","",IF(D994="","",IF(COUNTIFS($I$5:$I$1204,I994,$B$5:$B$1204,B994,$D$5:$D$1204,"&lt;"&amp;V994,$V$5:$V$1204,"&gt;"&amp;D994,$M$5:$M$1204,"&lt;&gt;Cancelled")&gt;1,"Clash",""))))</f>
        <v>0</v>
      </c>
      <c r="AH994" s="39">
        <f>IF(B994="","",IF(AG994="Clash","Clash - stylist double booked",IF(I994="","Assign - no stylist yet",IF(G994="","Add - no service chosen",IF(M994="No show","No show - charge the fee?",IF(M994="Cancelled","",IF(IF(M994="Completed",AB994&lt;Y994-0.004,FALSE),"Unpaid - nothing rung up for this visit",IF(IF(B994&lt;TodayDate,M994="Booked",FALSE),"Overdue - past date, still only Booked",IF(IF(B994=TodayDate,TRUE,FALSE),"Today",IF(IF(Z994&gt;0,AA994&lt;Z994-0.004,FALSE),"Due - deposit not taken",IF(IF(B994&gt;TodayDate,B994&lt;=TodayDate+2,FALSE),"Confirm - coming up","OK")))))))))))</f>
        <v>0</v>
      </c>
    </row>
    <row r="995" spans="1:34">
      <c r="A995" s="28">
        <f>IF(B995="","",AppointmentPrefix&amp;TEXT(ROW()-4,"0000"))</f>
        <v>0</v>
      </c>
      <c r="C995" s="15">
        <f>IF(B995="","",TEXT(B995,"ddd"))</f>
        <v>0</v>
      </c>
      <c r="F995" s="15">
        <f>IF(E995="","",IFERROR(INDEX(Clients!$B$5:$B$504,MATCH(E995,Clients!$A$5:$A$504,0)),"Walk-in"))</f>
        <v>0</v>
      </c>
      <c r="H995" s="15">
        <f>IF(G995="","",IFERROR(INDEX(Services!$B$5:$B$204,MATCH(G995,Services!$A$5:$A$204,0)),"Not in Services"))</f>
        <v>0</v>
      </c>
      <c r="J995" s="15">
        <f>IF(I995="","",IFERROR(INDEX(Staff!$B$5:$B$44,MATCH(I995,Staff!$A$5:$A$44,0)),"Unassigned"))</f>
        <v>0</v>
      </c>
      <c r="S995" s="15">
        <f>IF(B995="","",TEXT(B995,"yyyy-mm"))</f>
        <v>0</v>
      </c>
      <c r="T995" s="25">
        <f>IF(B995="","",WEEKNUM(B995,2))</f>
        <v>0</v>
      </c>
      <c r="U995" s="25">
        <f>IF(B995="","",IF(K995&lt;&gt;"",K995,IFERROR(INDEX(Services!$E$5:$E$204,MATCH(G995,Services!$A$5:$A$204,0))*1,0)+IFERROR(INDEX(Services!$F$5:$F$204,MATCH(G995,Services!$A$5:$A$204,0))*1,0)))</f>
        <v>0</v>
      </c>
      <c r="V995" s="36">
        <f>IF(B995="","",IF(D995="","",D995+U995/1440))</f>
        <v>0</v>
      </c>
      <c r="W995" s="25">
        <f>IF(B995="","",IF(D995="","",HOUR(D995)))</f>
        <v>0</v>
      </c>
      <c r="X995" s="37">
        <f>IF(B995="","",ROUND(U995/60,2))</f>
        <v>0</v>
      </c>
      <c r="Y995" s="26">
        <f>IF(B995="","",IF(L995&lt;&gt;"",L995,IFERROR(INDEX(Services!$G$5:$G$204,MATCH(G995,Services!$A$5:$A$204,0))*1,0)))</f>
        <v>0</v>
      </c>
      <c r="Z995" s="26">
        <f>IF(B995="","",IF(O995&lt;&gt;"",O995,IF(Y995&gt;=DepositThreshold,ROUND(Y995*DepositPercent,2),0)))</f>
        <v>0</v>
      </c>
      <c r="AA995" s="26">
        <f>IF(B995="","",ROUND(SUMIFS(Payments!$G$5:$G$1204,Payments!$I$5:$I$1204,A995,Payments!$E$5:$E$1204,"Deposit"),2))</f>
        <v>0</v>
      </c>
      <c r="AB995" s="26">
        <f>IF(B995="","",ROUND(SUMIFS(Sales!$Y$5:$Y$1204,Sales!$C$5:$C$1204,A995),2))</f>
        <v>0</v>
      </c>
      <c r="AC995" s="38">
        <f>IF(B995="","",IF(M995="Completed","Yes",IF(M995="Cancelled","Yes",IF(M995="No show","Yes","No"))))</f>
        <v>0</v>
      </c>
      <c r="AD995" s="25">
        <f>IF(B995="","",IF(AE995="","",B995-AE995))</f>
        <v>0</v>
      </c>
      <c r="AF995" s="38">
        <f>IF(B995="","",IF(M995&lt;&gt;"Completed","",IF(E995="","No",IF(COUNTIFS(Appointments!$E$5:$E$1204,E995,Appointments!$B$5:$B$1204,"&gt;"&amp;B995,Appointments!$M$5:$M$1204,"&lt;&gt;Cancelled")&gt;0,"Yes","No"))))</f>
        <v>0</v>
      </c>
      <c r="AG995" s="38">
        <f>IF(B995="","",IF(I995="","",IF(D995="","",IF(COUNTIFS($I$5:$I$1204,I995,$B$5:$B$1204,B995,$D$5:$D$1204,"&lt;"&amp;V995,$V$5:$V$1204,"&gt;"&amp;D995,$M$5:$M$1204,"&lt;&gt;Cancelled")&gt;1,"Clash",""))))</f>
        <v>0</v>
      </c>
      <c r="AH995" s="39">
        <f>IF(B995="","",IF(AG995="Clash","Clash - stylist double booked",IF(I995="","Assign - no stylist yet",IF(G995="","Add - no service chosen",IF(M995="No show","No show - charge the fee?",IF(M995="Cancelled","",IF(IF(M995="Completed",AB995&lt;Y995-0.004,FALSE),"Unpaid - nothing rung up for this visit",IF(IF(B995&lt;TodayDate,M995="Booked",FALSE),"Overdue - past date, still only Booked",IF(IF(B995=TodayDate,TRUE,FALSE),"Today",IF(IF(Z995&gt;0,AA995&lt;Z995-0.004,FALSE),"Due - deposit not taken",IF(IF(B995&gt;TodayDate,B995&lt;=TodayDate+2,FALSE),"Confirm - coming up","OK")))))))))))</f>
        <v>0</v>
      </c>
    </row>
    <row r="996" spans="1:34">
      <c r="A996" s="28">
        <f>IF(B996="","",AppointmentPrefix&amp;TEXT(ROW()-4,"0000"))</f>
        <v>0</v>
      </c>
      <c r="C996" s="15">
        <f>IF(B996="","",TEXT(B996,"ddd"))</f>
        <v>0</v>
      </c>
      <c r="F996" s="15">
        <f>IF(E996="","",IFERROR(INDEX(Clients!$B$5:$B$504,MATCH(E996,Clients!$A$5:$A$504,0)),"Walk-in"))</f>
        <v>0</v>
      </c>
      <c r="H996" s="15">
        <f>IF(G996="","",IFERROR(INDEX(Services!$B$5:$B$204,MATCH(G996,Services!$A$5:$A$204,0)),"Not in Services"))</f>
        <v>0</v>
      </c>
      <c r="J996" s="15">
        <f>IF(I996="","",IFERROR(INDEX(Staff!$B$5:$B$44,MATCH(I996,Staff!$A$5:$A$44,0)),"Unassigned"))</f>
        <v>0</v>
      </c>
      <c r="S996" s="15">
        <f>IF(B996="","",TEXT(B996,"yyyy-mm"))</f>
        <v>0</v>
      </c>
      <c r="T996" s="25">
        <f>IF(B996="","",WEEKNUM(B996,2))</f>
        <v>0</v>
      </c>
      <c r="U996" s="25">
        <f>IF(B996="","",IF(K996&lt;&gt;"",K996,IFERROR(INDEX(Services!$E$5:$E$204,MATCH(G996,Services!$A$5:$A$204,0))*1,0)+IFERROR(INDEX(Services!$F$5:$F$204,MATCH(G996,Services!$A$5:$A$204,0))*1,0)))</f>
        <v>0</v>
      </c>
      <c r="V996" s="36">
        <f>IF(B996="","",IF(D996="","",D996+U996/1440))</f>
        <v>0</v>
      </c>
      <c r="W996" s="25">
        <f>IF(B996="","",IF(D996="","",HOUR(D996)))</f>
        <v>0</v>
      </c>
      <c r="X996" s="37">
        <f>IF(B996="","",ROUND(U996/60,2))</f>
        <v>0</v>
      </c>
      <c r="Y996" s="26">
        <f>IF(B996="","",IF(L996&lt;&gt;"",L996,IFERROR(INDEX(Services!$G$5:$G$204,MATCH(G996,Services!$A$5:$A$204,0))*1,0)))</f>
        <v>0</v>
      </c>
      <c r="Z996" s="26">
        <f>IF(B996="","",IF(O996&lt;&gt;"",O996,IF(Y996&gt;=DepositThreshold,ROUND(Y996*DepositPercent,2),0)))</f>
        <v>0</v>
      </c>
      <c r="AA996" s="26">
        <f>IF(B996="","",ROUND(SUMIFS(Payments!$G$5:$G$1204,Payments!$I$5:$I$1204,A996,Payments!$E$5:$E$1204,"Deposit"),2))</f>
        <v>0</v>
      </c>
      <c r="AB996" s="26">
        <f>IF(B996="","",ROUND(SUMIFS(Sales!$Y$5:$Y$1204,Sales!$C$5:$C$1204,A996),2))</f>
        <v>0</v>
      </c>
      <c r="AC996" s="38">
        <f>IF(B996="","",IF(M996="Completed","Yes",IF(M996="Cancelled","Yes",IF(M996="No show","Yes","No"))))</f>
        <v>0</v>
      </c>
      <c r="AD996" s="25">
        <f>IF(B996="","",IF(AE996="","",B996-AE996))</f>
        <v>0</v>
      </c>
      <c r="AF996" s="38">
        <f>IF(B996="","",IF(M996&lt;&gt;"Completed","",IF(E996="","No",IF(COUNTIFS(Appointments!$E$5:$E$1204,E996,Appointments!$B$5:$B$1204,"&gt;"&amp;B996,Appointments!$M$5:$M$1204,"&lt;&gt;Cancelled")&gt;0,"Yes","No"))))</f>
        <v>0</v>
      </c>
      <c r="AG996" s="38">
        <f>IF(B996="","",IF(I996="","",IF(D996="","",IF(COUNTIFS($I$5:$I$1204,I996,$B$5:$B$1204,B996,$D$5:$D$1204,"&lt;"&amp;V996,$V$5:$V$1204,"&gt;"&amp;D996,$M$5:$M$1204,"&lt;&gt;Cancelled")&gt;1,"Clash",""))))</f>
        <v>0</v>
      </c>
      <c r="AH996" s="39">
        <f>IF(B996="","",IF(AG996="Clash","Clash - stylist double booked",IF(I996="","Assign - no stylist yet",IF(G996="","Add - no service chosen",IF(M996="No show","No show - charge the fee?",IF(M996="Cancelled","",IF(IF(M996="Completed",AB996&lt;Y996-0.004,FALSE),"Unpaid - nothing rung up for this visit",IF(IF(B996&lt;TodayDate,M996="Booked",FALSE),"Overdue - past date, still only Booked",IF(IF(B996=TodayDate,TRUE,FALSE),"Today",IF(IF(Z996&gt;0,AA996&lt;Z996-0.004,FALSE),"Due - deposit not taken",IF(IF(B996&gt;TodayDate,B996&lt;=TodayDate+2,FALSE),"Confirm - coming up","OK")))))))))))</f>
        <v>0</v>
      </c>
    </row>
    <row r="997" spans="1:34">
      <c r="A997" s="28">
        <f>IF(B997="","",AppointmentPrefix&amp;TEXT(ROW()-4,"0000"))</f>
        <v>0</v>
      </c>
      <c r="C997" s="15">
        <f>IF(B997="","",TEXT(B997,"ddd"))</f>
        <v>0</v>
      </c>
      <c r="F997" s="15">
        <f>IF(E997="","",IFERROR(INDEX(Clients!$B$5:$B$504,MATCH(E997,Clients!$A$5:$A$504,0)),"Walk-in"))</f>
        <v>0</v>
      </c>
      <c r="H997" s="15">
        <f>IF(G997="","",IFERROR(INDEX(Services!$B$5:$B$204,MATCH(G997,Services!$A$5:$A$204,0)),"Not in Services"))</f>
        <v>0</v>
      </c>
      <c r="J997" s="15">
        <f>IF(I997="","",IFERROR(INDEX(Staff!$B$5:$B$44,MATCH(I997,Staff!$A$5:$A$44,0)),"Unassigned"))</f>
        <v>0</v>
      </c>
      <c r="S997" s="15">
        <f>IF(B997="","",TEXT(B997,"yyyy-mm"))</f>
        <v>0</v>
      </c>
      <c r="T997" s="25">
        <f>IF(B997="","",WEEKNUM(B997,2))</f>
        <v>0</v>
      </c>
      <c r="U997" s="25">
        <f>IF(B997="","",IF(K997&lt;&gt;"",K997,IFERROR(INDEX(Services!$E$5:$E$204,MATCH(G997,Services!$A$5:$A$204,0))*1,0)+IFERROR(INDEX(Services!$F$5:$F$204,MATCH(G997,Services!$A$5:$A$204,0))*1,0)))</f>
        <v>0</v>
      </c>
      <c r="V997" s="36">
        <f>IF(B997="","",IF(D997="","",D997+U997/1440))</f>
        <v>0</v>
      </c>
      <c r="W997" s="25">
        <f>IF(B997="","",IF(D997="","",HOUR(D997)))</f>
        <v>0</v>
      </c>
      <c r="X997" s="37">
        <f>IF(B997="","",ROUND(U997/60,2))</f>
        <v>0</v>
      </c>
      <c r="Y997" s="26">
        <f>IF(B997="","",IF(L997&lt;&gt;"",L997,IFERROR(INDEX(Services!$G$5:$G$204,MATCH(G997,Services!$A$5:$A$204,0))*1,0)))</f>
        <v>0</v>
      </c>
      <c r="Z997" s="26">
        <f>IF(B997="","",IF(O997&lt;&gt;"",O997,IF(Y997&gt;=DepositThreshold,ROUND(Y997*DepositPercent,2),0)))</f>
        <v>0</v>
      </c>
      <c r="AA997" s="26">
        <f>IF(B997="","",ROUND(SUMIFS(Payments!$G$5:$G$1204,Payments!$I$5:$I$1204,A997,Payments!$E$5:$E$1204,"Deposit"),2))</f>
        <v>0</v>
      </c>
      <c r="AB997" s="26">
        <f>IF(B997="","",ROUND(SUMIFS(Sales!$Y$5:$Y$1204,Sales!$C$5:$C$1204,A997),2))</f>
        <v>0</v>
      </c>
      <c r="AC997" s="38">
        <f>IF(B997="","",IF(M997="Completed","Yes",IF(M997="Cancelled","Yes",IF(M997="No show","Yes","No"))))</f>
        <v>0</v>
      </c>
      <c r="AD997" s="25">
        <f>IF(B997="","",IF(AE997="","",B997-AE997))</f>
        <v>0</v>
      </c>
      <c r="AF997" s="38">
        <f>IF(B997="","",IF(M997&lt;&gt;"Completed","",IF(E997="","No",IF(COUNTIFS(Appointments!$E$5:$E$1204,E997,Appointments!$B$5:$B$1204,"&gt;"&amp;B997,Appointments!$M$5:$M$1204,"&lt;&gt;Cancelled")&gt;0,"Yes","No"))))</f>
        <v>0</v>
      </c>
      <c r="AG997" s="38">
        <f>IF(B997="","",IF(I997="","",IF(D997="","",IF(COUNTIFS($I$5:$I$1204,I997,$B$5:$B$1204,B997,$D$5:$D$1204,"&lt;"&amp;V997,$V$5:$V$1204,"&gt;"&amp;D997,$M$5:$M$1204,"&lt;&gt;Cancelled")&gt;1,"Clash",""))))</f>
        <v>0</v>
      </c>
      <c r="AH997" s="39">
        <f>IF(B997="","",IF(AG997="Clash","Clash - stylist double booked",IF(I997="","Assign - no stylist yet",IF(G997="","Add - no service chosen",IF(M997="No show","No show - charge the fee?",IF(M997="Cancelled","",IF(IF(M997="Completed",AB997&lt;Y997-0.004,FALSE),"Unpaid - nothing rung up for this visit",IF(IF(B997&lt;TodayDate,M997="Booked",FALSE),"Overdue - past date, still only Booked",IF(IF(B997=TodayDate,TRUE,FALSE),"Today",IF(IF(Z997&gt;0,AA997&lt;Z997-0.004,FALSE),"Due - deposit not taken",IF(IF(B997&gt;TodayDate,B997&lt;=TodayDate+2,FALSE),"Confirm - coming up","OK")))))))))))</f>
        <v>0</v>
      </c>
    </row>
    <row r="998" spans="1:34">
      <c r="A998" s="28">
        <f>IF(B998="","",AppointmentPrefix&amp;TEXT(ROW()-4,"0000"))</f>
        <v>0</v>
      </c>
      <c r="C998" s="15">
        <f>IF(B998="","",TEXT(B998,"ddd"))</f>
        <v>0</v>
      </c>
      <c r="F998" s="15">
        <f>IF(E998="","",IFERROR(INDEX(Clients!$B$5:$B$504,MATCH(E998,Clients!$A$5:$A$504,0)),"Walk-in"))</f>
        <v>0</v>
      </c>
      <c r="H998" s="15">
        <f>IF(G998="","",IFERROR(INDEX(Services!$B$5:$B$204,MATCH(G998,Services!$A$5:$A$204,0)),"Not in Services"))</f>
        <v>0</v>
      </c>
      <c r="J998" s="15">
        <f>IF(I998="","",IFERROR(INDEX(Staff!$B$5:$B$44,MATCH(I998,Staff!$A$5:$A$44,0)),"Unassigned"))</f>
        <v>0</v>
      </c>
      <c r="S998" s="15">
        <f>IF(B998="","",TEXT(B998,"yyyy-mm"))</f>
        <v>0</v>
      </c>
      <c r="T998" s="25">
        <f>IF(B998="","",WEEKNUM(B998,2))</f>
        <v>0</v>
      </c>
      <c r="U998" s="25">
        <f>IF(B998="","",IF(K998&lt;&gt;"",K998,IFERROR(INDEX(Services!$E$5:$E$204,MATCH(G998,Services!$A$5:$A$204,0))*1,0)+IFERROR(INDEX(Services!$F$5:$F$204,MATCH(G998,Services!$A$5:$A$204,0))*1,0)))</f>
        <v>0</v>
      </c>
      <c r="V998" s="36">
        <f>IF(B998="","",IF(D998="","",D998+U998/1440))</f>
        <v>0</v>
      </c>
      <c r="W998" s="25">
        <f>IF(B998="","",IF(D998="","",HOUR(D998)))</f>
        <v>0</v>
      </c>
      <c r="X998" s="37">
        <f>IF(B998="","",ROUND(U998/60,2))</f>
        <v>0</v>
      </c>
      <c r="Y998" s="26">
        <f>IF(B998="","",IF(L998&lt;&gt;"",L998,IFERROR(INDEX(Services!$G$5:$G$204,MATCH(G998,Services!$A$5:$A$204,0))*1,0)))</f>
        <v>0</v>
      </c>
      <c r="Z998" s="26">
        <f>IF(B998="","",IF(O998&lt;&gt;"",O998,IF(Y998&gt;=DepositThreshold,ROUND(Y998*DepositPercent,2),0)))</f>
        <v>0</v>
      </c>
      <c r="AA998" s="26">
        <f>IF(B998="","",ROUND(SUMIFS(Payments!$G$5:$G$1204,Payments!$I$5:$I$1204,A998,Payments!$E$5:$E$1204,"Deposit"),2))</f>
        <v>0</v>
      </c>
      <c r="AB998" s="26">
        <f>IF(B998="","",ROUND(SUMIFS(Sales!$Y$5:$Y$1204,Sales!$C$5:$C$1204,A998),2))</f>
        <v>0</v>
      </c>
      <c r="AC998" s="38">
        <f>IF(B998="","",IF(M998="Completed","Yes",IF(M998="Cancelled","Yes",IF(M998="No show","Yes","No"))))</f>
        <v>0</v>
      </c>
      <c r="AD998" s="25">
        <f>IF(B998="","",IF(AE998="","",B998-AE998))</f>
        <v>0</v>
      </c>
      <c r="AF998" s="38">
        <f>IF(B998="","",IF(M998&lt;&gt;"Completed","",IF(E998="","No",IF(COUNTIFS(Appointments!$E$5:$E$1204,E998,Appointments!$B$5:$B$1204,"&gt;"&amp;B998,Appointments!$M$5:$M$1204,"&lt;&gt;Cancelled")&gt;0,"Yes","No"))))</f>
        <v>0</v>
      </c>
      <c r="AG998" s="38">
        <f>IF(B998="","",IF(I998="","",IF(D998="","",IF(COUNTIFS($I$5:$I$1204,I998,$B$5:$B$1204,B998,$D$5:$D$1204,"&lt;"&amp;V998,$V$5:$V$1204,"&gt;"&amp;D998,$M$5:$M$1204,"&lt;&gt;Cancelled")&gt;1,"Clash",""))))</f>
        <v>0</v>
      </c>
      <c r="AH998" s="39">
        <f>IF(B998="","",IF(AG998="Clash","Clash - stylist double booked",IF(I998="","Assign - no stylist yet",IF(G998="","Add - no service chosen",IF(M998="No show","No show - charge the fee?",IF(M998="Cancelled","",IF(IF(M998="Completed",AB998&lt;Y998-0.004,FALSE),"Unpaid - nothing rung up for this visit",IF(IF(B998&lt;TodayDate,M998="Booked",FALSE),"Overdue - past date, still only Booked",IF(IF(B998=TodayDate,TRUE,FALSE),"Today",IF(IF(Z998&gt;0,AA998&lt;Z998-0.004,FALSE),"Due - deposit not taken",IF(IF(B998&gt;TodayDate,B998&lt;=TodayDate+2,FALSE),"Confirm - coming up","OK")))))))))))</f>
        <v>0</v>
      </c>
    </row>
    <row r="999" spans="1:34">
      <c r="A999" s="28">
        <f>IF(B999="","",AppointmentPrefix&amp;TEXT(ROW()-4,"0000"))</f>
        <v>0</v>
      </c>
      <c r="C999" s="15">
        <f>IF(B999="","",TEXT(B999,"ddd"))</f>
        <v>0</v>
      </c>
      <c r="F999" s="15">
        <f>IF(E999="","",IFERROR(INDEX(Clients!$B$5:$B$504,MATCH(E999,Clients!$A$5:$A$504,0)),"Walk-in"))</f>
        <v>0</v>
      </c>
      <c r="H999" s="15">
        <f>IF(G999="","",IFERROR(INDEX(Services!$B$5:$B$204,MATCH(G999,Services!$A$5:$A$204,0)),"Not in Services"))</f>
        <v>0</v>
      </c>
      <c r="J999" s="15">
        <f>IF(I999="","",IFERROR(INDEX(Staff!$B$5:$B$44,MATCH(I999,Staff!$A$5:$A$44,0)),"Unassigned"))</f>
        <v>0</v>
      </c>
      <c r="S999" s="15">
        <f>IF(B999="","",TEXT(B999,"yyyy-mm"))</f>
        <v>0</v>
      </c>
      <c r="T999" s="25">
        <f>IF(B999="","",WEEKNUM(B999,2))</f>
        <v>0</v>
      </c>
      <c r="U999" s="25">
        <f>IF(B999="","",IF(K999&lt;&gt;"",K999,IFERROR(INDEX(Services!$E$5:$E$204,MATCH(G999,Services!$A$5:$A$204,0))*1,0)+IFERROR(INDEX(Services!$F$5:$F$204,MATCH(G999,Services!$A$5:$A$204,0))*1,0)))</f>
        <v>0</v>
      </c>
      <c r="V999" s="36">
        <f>IF(B999="","",IF(D999="","",D999+U999/1440))</f>
        <v>0</v>
      </c>
      <c r="W999" s="25">
        <f>IF(B999="","",IF(D999="","",HOUR(D999)))</f>
        <v>0</v>
      </c>
      <c r="X999" s="37">
        <f>IF(B999="","",ROUND(U999/60,2))</f>
        <v>0</v>
      </c>
      <c r="Y999" s="26">
        <f>IF(B999="","",IF(L999&lt;&gt;"",L999,IFERROR(INDEX(Services!$G$5:$G$204,MATCH(G999,Services!$A$5:$A$204,0))*1,0)))</f>
        <v>0</v>
      </c>
      <c r="Z999" s="26">
        <f>IF(B999="","",IF(O999&lt;&gt;"",O999,IF(Y999&gt;=DepositThreshold,ROUND(Y999*DepositPercent,2),0)))</f>
        <v>0</v>
      </c>
      <c r="AA999" s="26">
        <f>IF(B999="","",ROUND(SUMIFS(Payments!$G$5:$G$1204,Payments!$I$5:$I$1204,A999,Payments!$E$5:$E$1204,"Deposit"),2))</f>
        <v>0</v>
      </c>
      <c r="AB999" s="26">
        <f>IF(B999="","",ROUND(SUMIFS(Sales!$Y$5:$Y$1204,Sales!$C$5:$C$1204,A999),2))</f>
        <v>0</v>
      </c>
      <c r="AC999" s="38">
        <f>IF(B999="","",IF(M999="Completed","Yes",IF(M999="Cancelled","Yes",IF(M999="No show","Yes","No"))))</f>
        <v>0</v>
      </c>
      <c r="AD999" s="25">
        <f>IF(B999="","",IF(AE999="","",B999-AE999))</f>
        <v>0</v>
      </c>
      <c r="AF999" s="38">
        <f>IF(B999="","",IF(M999&lt;&gt;"Completed","",IF(E999="","No",IF(COUNTIFS(Appointments!$E$5:$E$1204,E999,Appointments!$B$5:$B$1204,"&gt;"&amp;B999,Appointments!$M$5:$M$1204,"&lt;&gt;Cancelled")&gt;0,"Yes","No"))))</f>
        <v>0</v>
      </c>
      <c r="AG999" s="38">
        <f>IF(B999="","",IF(I999="","",IF(D999="","",IF(COUNTIFS($I$5:$I$1204,I999,$B$5:$B$1204,B999,$D$5:$D$1204,"&lt;"&amp;V999,$V$5:$V$1204,"&gt;"&amp;D999,$M$5:$M$1204,"&lt;&gt;Cancelled")&gt;1,"Clash",""))))</f>
        <v>0</v>
      </c>
      <c r="AH999" s="39">
        <f>IF(B999="","",IF(AG999="Clash","Clash - stylist double booked",IF(I999="","Assign - no stylist yet",IF(G999="","Add - no service chosen",IF(M999="No show","No show - charge the fee?",IF(M999="Cancelled","",IF(IF(M999="Completed",AB999&lt;Y999-0.004,FALSE),"Unpaid - nothing rung up for this visit",IF(IF(B999&lt;TodayDate,M999="Booked",FALSE),"Overdue - past date, still only Booked",IF(IF(B999=TodayDate,TRUE,FALSE),"Today",IF(IF(Z999&gt;0,AA999&lt;Z999-0.004,FALSE),"Due - deposit not taken",IF(IF(B999&gt;TodayDate,B999&lt;=TodayDate+2,FALSE),"Confirm - coming up","OK")))))))))))</f>
        <v>0</v>
      </c>
    </row>
    <row r="1000" spans="1:34">
      <c r="A1000" s="28">
        <f>IF(B1000="","",AppointmentPrefix&amp;TEXT(ROW()-4,"0000"))</f>
        <v>0</v>
      </c>
      <c r="C1000" s="15">
        <f>IF(B1000="","",TEXT(B1000,"ddd"))</f>
        <v>0</v>
      </c>
      <c r="F1000" s="15">
        <f>IF(E1000="","",IFERROR(INDEX(Clients!$B$5:$B$504,MATCH(E1000,Clients!$A$5:$A$504,0)),"Walk-in"))</f>
        <v>0</v>
      </c>
      <c r="H1000" s="15">
        <f>IF(G1000="","",IFERROR(INDEX(Services!$B$5:$B$204,MATCH(G1000,Services!$A$5:$A$204,0)),"Not in Services"))</f>
        <v>0</v>
      </c>
      <c r="J1000" s="15">
        <f>IF(I1000="","",IFERROR(INDEX(Staff!$B$5:$B$44,MATCH(I1000,Staff!$A$5:$A$44,0)),"Unassigned"))</f>
        <v>0</v>
      </c>
      <c r="S1000" s="15">
        <f>IF(B1000="","",TEXT(B1000,"yyyy-mm"))</f>
        <v>0</v>
      </c>
      <c r="T1000" s="25">
        <f>IF(B1000="","",WEEKNUM(B1000,2))</f>
        <v>0</v>
      </c>
      <c r="U1000" s="25">
        <f>IF(B1000="","",IF(K1000&lt;&gt;"",K1000,IFERROR(INDEX(Services!$E$5:$E$204,MATCH(G1000,Services!$A$5:$A$204,0))*1,0)+IFERROR(INDEX(Services!$F$5:$F$204,MATCH(G1000,Services!$A$5:$A$204,0))*1,0)))</f>
        <v>0</v>
      </c>
      <c r="V1000" s="36">
        <f>IF(B1000="","",IF(D1000="","",D1000+U1000/1440))</f>
        <v>0</v>
      </c>
      <c r="W1000" s="25">
        <f>IF(B1000="","",IF(D1000="","",HOUR(D1000)))</f>
        <v>0</v>
      </c>
      <c r="X1000" s="37">
        <f>IF(B1000="","",ROUND(U1000/60,2))</f>
        <v>0</v>
      </c>
      <c r="Y1000" s="26">
        <f>IF(B1000="","",IF(L1000&lt;&gt;"",L1000,IFERROR(INDEX(Services!$G$5:$G$204,MATCH(G1000,Services!$A$5:$A$204,0))*1,0)))</f>
        <v>0</v>
      </c>
      <c r="Z1000" s="26">
        <f>IF(B1000="","",IF(O1000&lt;&gt;"",O1000,IF(Y1000&gt;=DepositThreshold,ROUND(Y1000*DepositPercent,2),0)))</f>
        <v>0</v>
      </c>
      <c r="AA1000" s="26">
        <f>IF(B1000="","",ROUND(SUMIFS(Payments!$G$5:$G$1204,Payments!$I$5:$I$1204,A1000,Payments!$E$5:$E$1204,"Deposit"),2))</f>
        <v>0</v>
      </c>
      <c r="AB1000" s="26">
        <f>IF(B1000="","",ROUND(SUMIFS(Sales!$Y$5:$Y$1204,Sales!$C$5:$C$1204,A1000),2))</f>
        <v>0</v>
      </c>
      <c r="AC1000" s="38">
        <f>IF(B1000="","",IF(M1000="Completed","Yes",IF(M1000="Cancelled","Yes",IF(M1000="No show","Yes","No"))))</f>
        <v>0</v>
      </c>
      <c r="AD1000" s="25">
        <f>IF(B1000="","",IF(AE1000="","",B1000-AE1000))</f>
        <v>0</v>
      </c>
      <c r="AF1000" s="38">
        <f>IF(B1000="","",IF(M1000&lt;&gt;"Completed","",IF(E1000="","No",IF(COUNTIFS(Appointments!$E$5:$E$1204,E1000,Appointments!$B$5:$B$1204,"&gt;"&amp;B1000,Appointments!$M$5:$M$1204,"&lt;&gt;Cancelled")&gt;0,"Yes","No"))))</f>
        <v>0</v>
      </c>
      <c r="AG1000" s="38">
        <f>IF(B1000="","",IF(I1000="","",IF(D1000="","",IF(COUNTIFS($I$5:$I$1204,I1000,$B$5:$B$1204,B1000,$D$5:$D$1204,"&lt;"&amp;V1000,$V$5:$V$1204,"&gt;"&amp;D1000,$M$5:$M$1204,"&lt;&gt;Cancelled")&gt;1,"Clash",""))))</f>
        <v>0</v>
      </c>
      <c r="AH1000" s="39">
        <f>IF(B1000="","",IF(AG1000="Clash","Clash - stylist double booked",IF(I1000="","Assign - no stylist yet",IF(G1000="","Add - no service chosen",IF(M1000="No show","No show - charge the fee?",IF(M1000="Cancelled","",IF(IF(M1000="Completed",AB1000&lt;Y1000-0.004,FALSE),"Unpaid - nothing rung up for this visit",IF(IF(B1000&lt;TodayDate,M1000="Booked",FALSE),"Overdue - past date, still only Booked",IF(IF(B1000=TodayDate,TRUE,FALSE),"Today",IF(IF(Z1000&gt;0,AA1000&lt;Z1000-0.004,FALSE),"Due - deposit not taken",IF(IF(B1000&gt;TodayDate,B1000&lt;=TodayDate+2,FALSE),"Confirm - coming up","OK")))))))))))</f>
        <v>0</v>
      </c>
    </row>
    <row r="1001" spans="1:34">
      <c r="A1001" s="28">
        <f>IF(B1001="","",AppointmentPrefix&amp;TEXT(ROW()-4,"0000"))</f>
        <v>0</v>
      </c>
      <c r="C1001" s="15">
        <f>IF(B1001="","",TEXT(B1001,"ddd"))</f>
        <v>0</v>
      </c>
      <c r="F1001" s="15">
        <f>IF(E1001="","",IFERROR(INDEX(Clients!$B$5:$B$504,MATCH(E1001,Clients!$A$5:$A$504,0)),"Walk-in"))</f>
        <v>0</v>
      </c>
      <c r="H1001" s="15">
        <f>IF(G1001="","",IFERROR(INDEX(Services!$B$5:$B$204,MATCH(G1001,Services!$A$5:$A$204,0)),"Not in Services"))</f>
        <v>0</v>
      </c>
      <c r="J1001" s="15">
        <f>IF(I1001="","",IFERROR(INDEX(Staff!$B$5:$B$44,MATCH(I1001,Staff!$A$5:$A$44,0)),"Unassigned"))</f>
        <v>0</v>
      </c>
      <c r="S1001" s="15">
        <f>IF(B1001="","",TEXT(B1001,"yyyy-mm"))</f>
        <v>0</v>
      </c>
      <c r="T1001" s="25">
        <f>IF(B1001="","",WEEKNUM(B1001,2))</f>
        <v>0</v>
      </c>
      <c r="U1001" s="25">
        <f>IF(B1001="","",IF(K1001&lt;&gt;"",K1001,IFERROR(INDEX(Services!$E$5:$E$204,MATCH(G1001,Services!$A$5:$A$204,0))*1,0)+IFERROR(INDEX(Services!$F$5:$F$204,MATCH(G1001,Services!$A$5:$A$204,0))*1,0)))</f>
        <v>0</v>
      </c>
      <c r="V1001" s="36">
        <f>IF(B1001="","",IF(D1001="","",D1001+U1001/1440))</f>
        <v>0</v>
      </c>
      <c r="W1001" s="25">
        <f>IF(B1001="","",IF(D1001="","",HOUR(D1001)))</f>
        <v>0</v>
      </c>
      <c r="X1001" s="37">
        <f>IF(B1001="","",ROUND(U1001/60,2))</f>
        <v>0</v>
      </c>
      <c r="Y1001" s="26">
        <f>IF(B1001="","",IF(L1001&lt;&gt;"",L1001,IFERROR(INDEX(Services!$G$5:$G$204,MATCH(G1001,Services!$A$5:$A$204,0))*1,0)))</f>
        <v>0</v>
      </c>
      <c r="Z1001" s="26">
        <f>IF(B1001="","",IF(O1001&lt;&gt;"",O1001,IF(Y1001&gt;=DepositThreshold,ROUND(Y1001*DepositPercent,2),0)))</f>
        <v>0</v>
      </c>
      <c r="AA1001" s="26">
        <f>IF(B1001="","",ROUND(SUMIFS(Payments!$G$5:$G$1204,Payments!$I$5:$I$1204,A1001,Payments!$E$5:$E$1204,"Deposit"),2))</f>
        <v>0</v>
      </c>
      <c r="AB1001" s="26">
        <f>IF(B1001="","",ROUND(SUMIFS(Sales!$Y$5:$Y$1204,Sales!$C$5:$C$1204,A1001),2))</f>
        <v>0</v>
      </c>
      <c r="AC1001" s="38">
        <f>IF(B1001="","",IF(M1001="Completed","Yes",IF(M1001="Cancelled","Yes",IF(M1001="No show","Yes","No"))))</f>
        <v>0</v>
      </c>
      <c r="AD1001" s="25">
        <f>IF(B1001="","",IF(AE1001="","",B1001-AE1001))</f>
        <v>0</v>
      </c>
      <c r="AF1001" s="38">
        <f>IF(B1001="","",IF(M1001&lt;&gt;"Completed","",IF(E1001="","No",IF(COUNTIFS(Appointments!$E$5:$E$1204,E1001,Appointments!$B$5:$B$1204,"&gt;"&amp;B1001,Appointments!$M$5:$M$1204,"&lt;&gt;Cancelled")&gt;0,"Yes","No"))))</f>
        <v>0</v>
      </c>
      <c r="AG1001" s="38">
        <f>IF(B1001="","",IF(I1001="","",IF(D1001="","",IF(COUNTIFS($I$5:$I$1204,I1001,$B$5:$B$1204,B1001,$D$5:$D$1204,"&lt;"&amp;V1001,$V$5:$V$1204,"&gt;"&amp;D1001,$M$5:$M$1204,"&lt;&gt;Cancelled")&gt;1,"Clash",""))))</f>
        <v>0</v>
      </c>
      <c r="AH1001" s="39">
        <f>IF(B1001="","",IF(AG1001="Clash","Clash - stylist double booked",IF(I1001="","Assign - no stylist yet",IF(G1001="","Add - no service chosen",IF(M1001="No show","No show - charge the fee?",IF(M1001="Cancelled","",IF(IF(M1001="Completed",AB1001&lt;Y1001-0.004,FALSE),"Unpaid - nothing rung up for this visit",IF(IF(B1001&lt;TodayDate,M1001="Booked",FALSE),"Overdue - past date, still only Booked",IF(IF(B1001=TodayDate,TRUE,FALSE),"Today",IF(IF(Z1001&gt;0,AA1001&lt;Z1001-0.004,FALSE),"Due - deposit not taken",IF(IF(B1001&gt;TodayDate,B1001&lt;=TodayDate+2,FALSE),"Confirm - coming up","OK")))))))))))</f>
        <v>0</v>
      </c>
    </row>
    <row r="1002" spans="1:34">
      <c r="A1002" s="28">
        <f>IF(B1002="","",AppointmentPrefix&amp;TEXT(ROW()-4,"0000"))</f>
        <v>0</v>
      </c>
      <c r="C1002" s="15">
        <f>IF(B1002="","",TEXT(B1002,"ddd"))</f>
        <v>0</v>
      </c>
      <c r="F1002" s="15">
        <f>IF(E1002="","",IFERROR(INDEX(Clients!$B$5:$B$504,MATCH(E1002,Clients!$A$5:$A$504,0)),"Walk-in"))</f>
        <v>0</v>
      </c>
      <c r="H1002" s="15">
        <f>IF(G1002="","",IFERROR(INDEX(Services!$B$5:$B$204,MATCH(G1002,Services!$A$5:$A$204,0)),"Not in Services"))</f>
        <v>0</v>
      </c>
      <c r="J1002" s="15">
        <f>IF(I1002="","",IFERROR(INDEX(Staff!$B$5:$B$44,MATCH(I1002,Staff!$A$5:$A$44,0)),"Unassigned"))</f>
        <v>0</v>
      </c>
      <c r="S1002" s="15">
        <f>IF(B1002="","",TEXT(B1002,"yyyy-mm"))</f>
        <v>0</v>
      </c>
      <c r="T1002" s="25">
        <f>IF(B1002="","",WEEKNUM(B1002,2))</f>
        <v>0</v>
      </c>
      <c r="U1002" s="25">
        <f>IF(B1002="","",IF(K1002&lt;&gt;"",K1002,IFERROR(INDEX(Services!$E$5:$E$204,MATCH(G1002,Services!$A$5:$A$204,0))*1,0)+IFERROR(INDEX(Services!$F$5:$F$204,MATCH(G1002,Services!$A$5:$A$204,0))*1,0)))</f>
        <v>0</v>
      </c>
      <c r="V1002" s="36">
        <f>IF(B1002="","",IF(D1002="","",D1002+U1002/1440))</f>
        <v>0</v>
      </c>
      <c r="W1002" s="25">
        <f>IF(B1002="","",IF(D1002="","",HOUR(D1002)))</f>
        <v>0</v>
      </c>
      <c r="X1002" s="37">
        <f>IF(B1002="","",ROUND(U1002/60,2))</f>
        <v>0</v>
      </c>
      <c r="Y1002" s="26">
        <f>IF(B1002="","",IF(L1002&lt;&gt;"",L1002,IFERROR(INDEX(Services!$G$5:$G$204,MATCH(G1002,Services!$A$5:$A$204,0))*1,0)))</f>
        <v>0</v>
      </c>
      <c r="Z1002" s="26">
        <f>IF(B1002="","",IF(O1002&lt;&gt;"",O1002,IF(Y1002&gt;=DepositThreshold,ROUND(Y1002*DepositPercent,2),0)))</f>
        <v>0</v>
      </c>
      <c r="AA1002" s="26">
        <f>IF(B1002="","",ROUND(SUMIFS(Payments!$G$5:$G$1204,Payments!$I$5:$I$1204,A1002,Payments!$E$5:$E$1204,"Deposit"),2))</f>
        <v>0</v>
      </c>
      <c r="AB1002" s="26">
        <f>IF(B1002="","",ROUND(SUMIFS(Sales!$Y$5:$Y$1204,Sales!$C$5:$C$1204,A1002),2))</f>
        <v>0</v>
      </c>
      <c r="AC1002" s="38">
        <f>IF(B1002="","",IF(M1002="Completed","Yes",IF(M1002="Cancelled","Yes",IF(M1002="No show","Yes","No"))))</f>
        <v>0</v>
      </c>
      <c r="AD1002" s="25">
        <f>IF(B1002="","",IF(AE1002="","",B1002-AE1002))</f>
        <v>0</v>
      </c>
      <c r="AF1002" s="38">
        <f>IF(B1002="","",IF(M1002&lt;&gt;"Completed","",IF(E1002="","No",IF(COUNTIFS(Appointments!$E$5:$E$1204,E1002,Appointments!$B$5:$B$1204,"&gt;"&amp;B1002,Appointments!$M$5:$M$1204,"&lt;&gt;Cancelled")&gt;0,"Yes","No"))))</f>
        <v>0</v>
      </c>
      <c r="AG1002" s="38">
        <f>IF(B1002="","",IF(I1002="","",IF(D1002="","",IF(COUNTIFS($I$5:$I$1204,I1002,$B$5:$B$1204,B1002,$D$5:$D$1204,"&lt;"&amp;V1002,$V$5:$V$1204,"&gt;"&amp;D1002,$M$5:$M$1204,"&lt;&gt;Cancelled")&gt;1,"Clash",""))))</f>
        <v>0</v>
      </c>
      <c r="AH1002" s="39">
        <f>IF(B1002="","",IF(AG1002="Clash","Clash - stylist double booked",IF(I1002="","Assign - no stylist yet",IF(G1002="","Add - no service chosen",IF(M1002="No show","No show - charge the fee?",IF(M1002="Cancelled","",IF(IF(M1002="Completed",AB1002&lt;Y1002-0.004,FALSE),"Unpaid - nothing rung up for this visit",IF(IF(B1002&lt;TodayDate,M1002="Booked",FALSE),"Overdue - past date, still only Booked",IF(IF(B1002=TodayDate,TRUE,FALSE),"Today",IF(IF(Z1002&gt;0,AA1002&lt;Z1002-0.004,FALSE),"Due - deposit not taken",IF(IF(B1002&gt;TodayDate,B1002&lt;=TodayDate+2,FALSE),"Confirm - coming up","OK")))))))))))</f>
        <v>0</v>
      </c>
    </row>
    <row r="1003" spans="1:34">
      <c r="A1003" s="28">
        <f>IF(B1003="","",AppointmentPrefix&amp;TEXT(ROW()-4,"0000"))</f>
        <v>0</v>
      </c>
      <c r="C1003" s="15">
        <f>IF(B1003="","",TEXT(B1003,"ddd"))</f>
        <v>0</v>
      </c>
      <c r="F1003" s="15">
        <f>IF(E1003="","",IFERROR(INDEX(Clients!$B$5:$B$504,MATCH(E1003,Clients!$A$5:$A$504,0)),"Walk-in"))</f>
        <v>0</v>
      </c>
      <c r="H1003" s="15">
        <f>IF(G1003="","",IFERROR(INDEX(Services!$B$5:$B$204,MATCH(G1003,Services!$A$5:$A$204,0)),"Not in Services"))</f>
        <v>0</v>
      </c>
      <c r="J1003" s="15">
        <f>IF(I1003="","",IFERROR(INDEX(Staff!$B$5:$B$44,MATCH(I1003,Staff!$A$5:$A$44,0)),"Unassigned"))</f>
        <v>0</v>
      </c>
      <c r="S1003" s="15">
        <f>IF(B1003="","",TEXT(B1003,"yyyy-mm"))</f>
        <v>0</v>
      </c>
      <c r="T1003" s="25">
        <f>IF(B1003="","",WEEKNUM(B1003,2))</f>
        <v>0</v>
      </c>
      <c r="U1003" s="25">
        <f>IF(B1003="","",IF(K1003&lt;&gt;"",K1003,IFERROR(INDEX(Services!$E$5:$E$204,MATCH(G1003,Services!$A$5:$A$204,0))*1,0)+IFERROR(INDEX(Services!$F$5:$F$204,MATCH(G1003,Services!$A$5:$A$204,0))*1,0)))</f>
        <v>0</v>
      </c>
      <c r="V1003" s="36">
        <f>IF(B1003="","",IF(D1003="","",D1003+U1003/1440))</f>
        <v>0</v>
      </c>
      <c r="W1003" s="25">
        <f>IF(B1003="","",IF(D1003="","",HOUR(D1003)))</f>
        <v>0</v>
      </c>
      <c r="X1003" s="37">
        <f>IF(B1003="","",ROUND(U1003/60,2))</f>
        <v>0</v>
      </c>
      <c r="Y1003" s="26">
        <f>IF(B1003="","",IF(L1003&lt;&gt;"",L1003,IFERROR(INDEX(Services!$G$5:$G$204,MATCH(G1003,Services!$A$5:$A$204,0))*1,0)))</f>
        <v>0</v>
      </c>
      <c r="Z1003" s="26">
        <f>IF(B1003="","",IF(O1003&lt;&gt;"",O1003,IF(Y1003&gt;=DepositThreshold,ROUND(Y1003*DepositPercent,2),0)))</f>
        <v>0</v>
      </c>
      <c r="AA1003" s="26">
        <f>IF(B1003="","",ROUND(SUMIFS(Payments!$G$5:$G$1204,Payments!$I$5:$I$1204,A1003,Payments!$E$5:$E$1204,"Deposit"),2))</f>
        <v>0</v>
      </c>
      <c r="AB1003" s="26">
        <f>IF(B1003="","",ROUND(SUMIFS(Sales!$Y$5:$Y$1204,Sales!$C$5:$C$1204,A1003),2))</f>
        <v>0</v>
      </c>
      <c r="AC1003" s="38">
        <f>IF(B1003="","",IF(M1003="Completed","Yes",IF(M1003="Cancelled","Yes",IF(M1003="No show","Yes","No"))))</f>
        <v>0</v>
      </c>
      <c r="AD1003" s="25">
        <f>IF(B1003="","",IF(AE1003="","",B1003-AE1003))</f>
        <v>0</v>
      </c>
      <c r="AF1003" s="38">
        <f>IF(B1003="","",IF(M1003&lt;&gt;"Completed","",IF(E1003="","No",IF(COUNTIFS(Appointments!$E$5:$E$1204,E1003,Appointments!$B$5:$B$1204,"&gt;"&amp;B1003,Appointments!$M$5:$M$1204,"&lt;&gt;Cancelled")&gt;0,"Yes","No"))))</f>
        <v>0</v>
      </c>
      <c r="AG1003" s="38">
        <f>IF(B1003="","",IF(I1003="","",IF(D1003="","",IF(COUNTIFS($I$5:$I$1204,I1003,$B$5:$B$1204,B1003,$D$5:$D$1204,"&lt;"&amp;V1003,$V$5:$V$1204,"&gt;"&amp;D1003,$M$5:$M$1204,"&lt;&gt;Cancelled")&gt;1,"Clash",""))))</f>
        <v>0</v>
      </c>
      <c r="AH1003" s="39">
        <f>IF(B1003="","",IF(AG1003="Clash","Clash - stylist double booked",IF(I1003="","Assign - no stylist yet",IF(G1003="","Add - no service chosen",IF(M1003="No show","No show - charge the fee?",IF(M1003="Cancelled","",IF(IF(M1003="Completed",AB1003&lt;Y1003-0.004,FALSE),"Unpaid - nothing rung up for this visit",IF(IF(B1003&lt;TodayDate,M1003="Booked",FALSE),"Overdue - past date, still only Booked",IF(IF(B1003=TodayDate,TRUE,FALSE),"Today",IF(IF(Z1003&gt;0,AA1003&lt;Z1003-0.004,FALSE),"Due - deposit not taken",IF(IF(B1003&gt;TodayDate,B1003&lt;=TodayDate+2,FALSE),"Confirm - coming up","OK")))))))))))</f>
        <v>0</v>
      </c>
    </row>
    <row r="1004" spans="1:34">
      <c r="A1004" s="28">
        <f>IF(B1004="","",AppointmentPrefix&amp;TEXT(ROW()-4,"0000"))</f>
        <v>0</v>
      </c>
      <c r="C1004" s="15">
        <f>IF(B1004="","",TEXT(B1004,"ddd"))</f>
        <v>0</v>
      </c>
      <c r="F1004" s="15">
        <f>IF(E1004="","",IFERROR(INDEX(Clients!$B$5:$B$504,MATCH(E1004,Clients!$A$5:$A$504,0)),"Walk-in"))</f>
        <v>0</v>
      </c>
      <c r="H1004" s="15">
        <f>IF(G1004="","",IFERROR(INDEX(Services!$B$5:$B$204,MATCH(G1004,Services!$A$5:$A$204,0)),"Not in Services"))</f>
        <v>0</v>
      </c>
      <c r="J1004" s="15">
        <f>IF(I1004="","",IFERROR(INDEX(Staff!$B$5:$B$44,MATCH(I1004,Staff!$A$5:$A$44,0)),"Unassigned"))</f>
        <v>0</v>
      </c>
      <c r="S1004" s="15">
        <f>IF(B1004="","",TEXT(B1004,"yyyy-mm"))</f>
        <v>0</v>
      </c>
      <c r="T1004" s="25">
        <f>IF(B1004="","",WEEKNUM(B1004,2))</f>
        <v>0</v>
      </c>
      <c r="U1004" s="25">
        <f>IF(B1004="","",IF(K1004&lt;&gt;"",K1004,IFERROR(INDEX(Services!$E$5:$E$204,MATCH(G1004,Services!$A$5:$A$204,0))*1,0)+IFERROR(INDEX(Services!$F$5:$F$204,MATCH(G1004,Services!$A$5:$A$204,0))*1,0)))</f>
        <v>0</v>
      </c>
      <c r="V1004" s="36">
        <f>IF(B1004="","",IF(D1004="","",D1004+U1004/1440))</f>
        <v>0</v>
      </c>
      <c r="W1004" s="25">
        <f>IF(B1004="","",IF(D1004="","",HOUR(D1004)))</f>
        <v>0</v>
      </c>
      <c r="X1004" s="37">
        <f>IF(B1004="","",ROUND(U1004/60,2))</f>
        <v>0</v>
      </c>
      <c r="Y1004" s="26">
        <f>IF(B1004="","",IF(L1004&lt;&gt;"",L1004,IFERROR(INDEX(Services!$G$5:$G$204,MATCH(G1004,Services!$A$5:$A$204,0))*1,0)))</f>
        <v>0</v>
      </c>
      <c r="Z1004" s="26">
        <f>IF(B1004="","",IF(O1004&lt;&gt;"",O1004,IF(Y1004&gt;=DepositThreshold,ROUND(Y1004*DepositPercent,2),0)))</f>
        <v>0</v>
      </c>
      <c r="AA1004" s="26">
        <f>IF(B1004="","",ROUND(SUMIFS(Payments!$G$5:$G$1204,Payments!$I$5:$I$1204,A1004,Payments!$E$5:$E$1204,"Deposit"),2))</f>
        <v>0</v>
      </c>
      <c r="AB1004" s="26">
        <f>IF(B1004="","",ROUND(SUMIFS(Sales!$Y$5:$Y$1204,Sales!$C$5:$C$1204,A1004),2))</f>
        <v>0</v>
      </c>
      <c r="AC1004" s="38">
        <f>IF(B1004="","",IF(M1004="Completed","Yes",IF(M1004="Cancelled","Yes",IF(M1004="No show","Yes","No"))))</f>
        <v>0</v>
      </c>
      <c r="AD1004" s="25">
        <f>IF(B1004="","",IF(AE1004="","",B1004-AE1004))</f>
        <v>0</v>
      </c>
      <c r="AF1004" s="38">
        <f>IF(B1004="","",IF(M1004&lt;&gt;"Completed","",IF(E1004="","No",IF(COUNTIFS(Appointments!$E$5:$E$1204,E1004,Appointments!$B$5:$B$1204,"&gt;"&amp;B1004,Appointments!$M$5:$M$1204,"&lt;&gt;Cancelled")&gt;0,"Yes","No"))))</f>
        <v>0</v>
      </c>
      <c r="AG1004" s="38">
        <f>IF(B1004="","",IF(I1004="","",IF(D1004="","",IF(COUNTIFS($I$5:$I$1204,I1004,$B$5:$B$1204,B1004,$D$5:$D$1204,"&lt;"&amp;V1004,$V$5:$V$1204,"&gt;"&amp;D1004,$M$5:$M$1204,"&lt;&gt;Cancelled")&gt;1,"Clash",""))))</f>
        <v>0</v>
      </c>
      <c r="AH1004" s="39">
        <f>IF(B1004="","",IF(AG1004="Clash","Clash - stylist double booked",IF(I1004="","Assign - no stylist yet",IF(G1004="","Add - no service chosen",IF(M1004="No show","No show - charge the fee?",IF(M1004="Cancelled","",IF(IF(M1004="Completed",AB1004&lt;Y1004-0.004,FALSE),"Unpaid - nothing rung up for this visit",IF(IF(B1004&lt;TodayDate,M1004="Booked",FALSE),"Overdue - past date, still only Booked",IF(IF(B1004=TodayDate,TRUE,FALSE),"Today",IF(IF(Z1004&gt;0,AA1004&lt;Z1004-0.004,FALSE),"Due - deposit not taken",IF(IF(B1004&gt;TodayDate,B1004&lt;=TodayDate+2,FALSE),"Confirm - coming up","OK")))))))))))</f>
        <v>0</v>
      </c>
    </row>
    <row r="1005" spans="1:34">
      <c r="A1005" s="28">
        <f>IF(B1005="","",AppointmentPrefix&amp;TEXT(ROW()-4,"0000"))</f>
        <v>0</v>
      </c>
      <c r="C1005" s="15">
        <f>IF(B1005="","",TEXT(B1005,"ddd"))</f>
        <v>0</v>
      </c>
      <c r="F1005" s="15">
        <f>IF(E1005="","",IFERROR(INDEX(Clients!$B$5:$B$504,MATCH(E1005,Clients!$A$5:$A$504,0)),"Walk-in"))</f>
        <v>0</v>
      </c>
      <c r="H1005" s="15">
        <f>IF(G1005="","",IFERROR(INDEX(Services!$B$5:$B$204,MATCH(G1005,Services!$A$5:$A$204,0)),"Not in Services"))</f>
        <v>0</v>
      </c>
      <c r="J1005" s="15">
        <f>IF(I1005="","",IFERROR(INDEX(Staff!$B$5:$B$44,MATCH(I1005,Staff!$A$5:$A$44,0)),"Unassigned"))</f>
        <v>0</v>
      </c>
      <c r="S1005" s="15">
        <f>IF(B1005="","",TEXT(B1005,"yyyy-mm"))</f>
        <v>0</v>
      </c>
      <c r="T1005" s="25">
        <f>IF(B1005="","",WEEKNUM(B1005,2))</f>
        <v>0</v>
      </c>
      <c r="U1005" s="25">
        <f>IF(B1005="","",IF(K1005&lt;&gt;"",K1005,IFERROR(INDEX(Services!$E$5:$E$204,MATCH(G1005,Services!$A$5:$A$204,0))*1,0)+IFERROR(INDEX(Services!$F$5:$F$204,MATCH(G1005,Services!$A$5:$A$204,0))*1,0)))</f>
        <v>0</v>
      </c>
      <c r="V1005" s="36">
        <f>IF(B1005="","",IF(D1005="","",D1005+U1005/1440))</f>
        <v>0</v>
      </c>
      <c r="W1005" s="25">
        <f>IF(B1005="","",IF(D1005="","",HOUR(D1005)))</f>
        <v>0</v>
      </c>
      <c r="X1005" s="37">
        <f>IF(B1005="","",ROUND(U1005/60,2))</f>
        <v>0</v>
      </c>
      <c r="Y1005" s="26">
        <f>IF(B1005="","",IF(L1005&lt;&gt;"",L1005,IFERROR(INDEX(Services!$G$5:$G$204,MATCH(G1005,Services!$A$5:$A$204,0))*1,0)))</f>
        <v>0</v>
      </c>
      <c r="Z1005" s="26">
        <f>IF(B1005="","",IF(O1005&lt;&gt;"",O1005,IF(Y1005&gt;=DepositThreshold,ROUND(Y1005*DepositPercent,2),0)))</f>
        <v>0</v>
      </c>
      <c r="AA1005" s="26">
        <f>IF(B1005="","",ROUND(SUMIFS(Payments!$G$5:$G$1204,Payments!$I$5:$I$1204,A1005,Payments!$E$5:$E$1204,"Deposit"),2))</f>
        <v>0</v>
      </c>
      <c r="AB1005" s="26">
        <f>IF(B1005="","",ROUND(SUMIFS(Sales!$Y$5:$Y$1204,Sales!$C$5:$C$1204,A1005),2))</f>
        <v>0</v>
      </c>
      <c r="AC1005" s="38">
        <f>IF(B1005="","",IF(M1005="Completed","Yes",IF(M1005="Cancelled","Yes",IF(M1005="No show","Yes","No"))))</f>
        <v>0</v>
      </c>
      <c r="AD1005" s="25">
        <f>IF(B1005="","",IF(AE1005="","",B1005-AE1005))</f>
        <v>0</v>
      </c>
      <c r="AF1005" s="38">
        <f>IF(B1005="","",IF(M1005&lt;&gt;"Completed","",IF(E1005="","No",IF(COUNTIFS(Appointments!$E$5:$E$1204,E1005,Appointments!$B$5:$B$1204,"&gt;"&amp;B1005,Appointments!$M$5:$M$1204,"&lt;&gt;Cancelled")&gt;0,"Yes","No"))))</f>
        <v>0</v>
      </c>
      <c r="AG1005" s="38">
        <f>IF(B1005="","",IF(I1005="","",IF(D1005="","",IF(COUNTIFS($I$5:$I$1204,I1005,$B$5:$B$1204,B1005,$D$5:$D$1204,"&lt;"&amp;V1005,$V$5:$V$1204,"&gt;"&amp;D1005,$M$5:$M$1204,"&lt;&gt;Cancelled")&gt;1,"Clash",""))))</f>
        <v>0</v>
      </c>
      <c r="AH1005" s="39">
        <f>IF(B1005="","",IF(AG1005="Clash","Clash - stylist double booked",IF(I1005="","Assign - no stylist yet",IF(G1005="","Add - no service chosen",IF(M1005="No show","No show - charge the fee?",IF(M1005="Cancelled","",IF(IF(M1005="Completed",AB1005&lt;Y1005-0.004,FALSE),"Unpaid - nothing rung up for this visit",IF(IF(B1005&lt;TodayDate,M1005="Booked",FALSE),"Overdue - past date, still only Booked",IF(IF(B1005=TodayDate,TRUE,FALSE),"Today",IF(IF(Z1005&gt;0,AA1005&lt;Z1005-0.004,FALSE),"Due - deposit not taken",IF(IF(B1005&gt;TodayDate,B1005&lt;=TodayDate+2,FALSE),"Confirm - coming up","OK")))))))))))</f>
        <v>0</v>
      </c>
    </row>
    <row r="1006" spans="1:34">
      <c r="A1006" s="28">
        <f>IF(B1006="","",AppointmentPrefix&amp;TEXT(ROW()-4,"0000"))</f>
        <v>0</v>
      </c>
      <c r="C1006" s="15">
        <f>IF(B1006="","",TEXT(B1006,"ddd"))</f>
        <v>0</v>
      </c>
      <c r="F1006" s="15">
        <f>IF(E1006="","",IFERROR(INDEX(Clients!$B$5:$B$504,MATCH(E1006,Clients!$A$5:$A$504,0)),"Walk-in"))</f>
        <v>0</v>
      </c>
      <c r="H1006" s="15">
        <f>IF(G1006="","",IFERROR(INDEX(Services!$B$5:$B$204,MATCH(G1006,Services!$A$5:$A$204,0)),"Not in Services"))</f>
        <v>0</v>
      </c>
      <c r="J1006" s="15">
        <f>IF(I1006="","",IFERROR(INDEX(Staff!$B$5:$B$44,MATCH(I1006,Staff!$A$5:$A$44,0)),"Unassigned"))</f>
        <v>0</v>
      </c>
      <c r="S1006" s="15">
        <f>IF(B1006="","",TEXT(B1006,"yyyy-mm"))</f>
        <v>0</v>
      </c>
      <c r="T1006" s="25">
        <f>IF(B1006="","",WEEKNUM(B1006,2))</f>
        <v>0</v>
      </c>
      <c r="U1006" s="25">
        <f>IF(B1006="","",IF(K1006&lt;&gt;"",K1006,IFERROR(INDEX(Services!$E$5:$E$204,MATCH(G1006,Services!$A$5:$A$204,0))*1,0)+IFERROR(INDEX(Services!$F$5:$F$204,MATCH(G1006,Services!$A$5:$A$204,0))*1,0)))</f>
        <v>0</v>
      </c>
      <c r="V1006" s="36">
        <f>IF(B1006="","",IF(D1006="","",D1006+U1006/1440))</f>
        <v>0</v>
      </c>
      <c r="W1006" s="25">
        <f>IF(B1006="","",IF(D1006="","",HOUR(D1006)))</f>
        <v>0</v>
      </c>
      <c r="X1006" s="37">
        <f>IF(B1006="","",ROUND(U1006/60,2))</f>
        <v>0</v>
      </c>
      <c r="Y1006" s="26">
        <f>IF(B1006="","",IF(L1006&lt;&gt;"",L1006,IFERROR(INDEX(Services!$G$5:$G$204,MATCH(G1006,Services!$A$5:$A$204,0))*1,0)))</f>
        <v>0</v>
      </c>
      <c r="Z1006" s="26">
        <f>IF(B1006="","",IF(O1006&lt;&gt;"",O1006,IF(Y1006&gt;=DepositThreshold,ROUND(Y1006*DepositPercent,2),0)))</f>
        <v>0</v>
      </c>
      <c r="AA1006" s="26">
        <f>IF(B1006="","",ROUND(SUMIFS(Payments!$G$5:$G$1204,Payments!$I$5:$I$1204,A1006,Payments!$E$5:$E$1204,"Deposit"),2))</f>
        <v>0</v>
      </c>
      <c r="AB1006" s="26">
        <f>IF(B1006="","",ROUND(SUMIFS(Sales!$Y$5:$Y$1204,Sales!$C$5:$C$1204,A1006),2))</f>
        <v>0</v>
      </c>
      <c r="AC1006" s="38">
        <f>IF(B1006="","",IF(M1006="Completed","Yes",IF(M1006="Cancelled","Yes",IF(M1006="No show","Yes","No"))))</f>
        <v>0</v>
      </c>
      <c r="AD1006" s="25">
        <f>IF(B1006="","",IF(AE1006="","",B1006-AE1006))</f>
        <v>0</v>
      </c>
      <c r="AF1006" s="38">
        <f>IF(B1006="","",IF(M1006&lt;&gt;"Completed","",IF(E1006="","No",IF(COUNTIFS(Appointments!$E$5:$E$1204,E1006,Appointments!$B$5:$B$1204,"&gt;"&amp;B1006,Appointments!$M$5:$M$1204,"&lt;&gt;Cancelled")&gt;0,"Yes","No"))))</f>
        <v>0</v>
      </c>
      <c r="AG1006" s="38">
        <f>IF(B1006="","",IF(I1006="","",IF(D1006="","",IF(COUNTIFS($I$5:$I$1204,I1006,$B$5:$B$1204,B1006,$D$5:$D$1204,"&lt;"&amp;V1006,$V$5:$V$1204,"&gt;"&amp;D1006,$M$5:$M$1204,"&lt;&gt;Cancelled")&gt;1,"Clash",""))))</f>
        <v>0</v>
      </c>
      <c r="AH1006" s="39">
        <f>IF(B1006="","",IF(AG1006="Clash","Clash - stylist double booked",IF(I1006="","Assign - no stylist yet",IF(G1006="","Add - no service chosen",IF(M1006="No show","No show - charge the fee?",IF(M1006="Cancelled","",IF(IF(M1006="Completed",AB1006&lt;Y1006-0.004,FALSE),"Unpaid - nothing rung up for this visit",IF(IF(B1006&lt;TodayDate,M1006="Booked",FALSE),"Overdue - past date, still only Booked",IF(IF(B1006=TodayDate,TRUE,FALSE),"Today",IF(IF(Z1006&gt;0,AA1006&lt;Z1006-0.004,FALSE),"Due - deposit not taken",IF(IF(B1006&gt;TodayDate,B1006&lt;=TodayDate+2,FALSE),"Confirm - coming up","OK")))))))))))</f>
        <v>0</v>
      </c>
    </row>
    <row r="1007" spans="1:34">
      <c r="A1007" s="28">
        <f>IF(B1007="","",AppointmentPrefix&amp;TEXT(ROW()-4,"0000"))</f>
        <v>0</v>
      </c>
      <c r="C1007" s="15">
        <f>IF(B1007="","",TEXT(B1007,"ddd"))</f>
        <v>0</v>
      </c>
      <c r="F1007" s="15">
        <f>IF(E1007="","",IFERROR(INDEX(Clients!$B$5:$B$504,MATCH(E1007,Clients!$A$5:$A$504,0)),"Walk-in"))</f>
        <v>0</v>
      </c>
      <c r="H1007" s="15">
        <f>IF(G1007="","",IFERROR(INDEX(Services!$B$5:$B$204,MATCH(G1007,Services!$A$5:$A$204,0)),"Not in Services"))</f>
        <v>0</v>
      </c>
      <c r="J1007" s="15">
        <f>IF(I1007="","",IFERROR(INDEX(Staff!$B$5:$B$44,MATCH(I1007,Staff!$A$5:$A$44,0)),"Unassigned"))</f>
        <v>0</v>
      </c>
      <c r="S1007" s="15">
        <f>IF(B1007="","",TEXT(B1007,"yyyy-mm"))</f>
        <v>0</v>
      </c>
      <c r="T1007" s="25">
        <f>IF(B1007="","",WEEKNUM(B1007,2))</f>
        <v>0</v>
      </c>
      <c r="U1007" s="25">
        <f>IF(B1007="","",IF(K1007&lt;&gt;"",K1007,IFERROR(INDEX(Services!$E$5:$E$204,MATCH(G1007,Services!$A$5:$A$204,0))*1,0)+IFERROR(INDEX(Services!$F$5:$F$204,MATCH(G1007,Services!$A$5:$A$204,0))*1,0)))</f>
        <v>0</v>
      </c>
      <c r="V1007" s="36">
        <f>IF(B1007="","",IF(D1007="","",D1007+U1007/1440))</f>
        <v>0</v>
      </c>
      <c r="W1007" s="25">
        <f>IF(B1007="","",IF(D1007="","",HOUR(D1007)))</f>
        <v>0</v>
      </c>
      <c r="X1007" s="37">
        <f>IF(B1007="","",ROUND(U1007/60,2))</f>
        <v>0</v>
      </c>
      <c r="Y1007" s="26">
        <f>IF(B1007="","",IF(L1007&lt;&gt;"",L1007,IFERROR(INDEX(Services!$G$5:$G$204,MATCH(G1007,Services!$A$5:$A$204,0))*1,0)))</f>
        <v>0</v>
      </c>
      <c r="Z1007" s="26">
        <f>IF(B1007="","",IF(O1007&lt;&gt;"",O1007,IF(Y1007&gt;=DepositThreshold,ROUND(Y1007*DepositPercent,2),0)))</f>
        <v>0</v>
      </c>
      <c r="AA1007" s="26">
        <f>IF(B1007="","",ROUND(SUMIFS(Payments!$G$5:$G$1204,Payments!$I$5:$I$1204,A1007,Payments!$E$5:$E$1204,"Deposit"),2))</f>
        <v>0</v>
      </c>
      <c r="AB1007" s="26">
        <f>IF(B1007="","",ROUND(SUMIFS(Sales!$Y$5:$Y$1204,Sales!$C$5:$C$1204,A1007),2))</f>
        <v>0</v>
      </c>
      <c r="AC1007" s="38">
        <f>IF(B1007="","",IF(M1007="Completed","Yes",IF(M1007="Cancelled","Yes",IF(M1007="No show","Yes","No"))))</f>
        <v>0</v>
      </c>
      <c r="AD1007" s="25">
        <f>IF(B1007="","",IF(AE1007="","",B1007-AE1007))</f>
        <v>0</v>
      </c>
      <c r="AF1007" s="38">
        <f>IF(B1007="","",IF(M1007&lt;&gt;"Completed","",IF(E1007="","No",IF(COUNTIFS(Appointments!$E$5:$E$1204,E1007,Appointments!$B$5:$B$1204,"&gt;"&amp;B1007,Appointments!$M$5:$M$1204,"&lt;&gt;Cancelled")&gt;0,"Yes","No"))))</f>
        <v>0</v>
      </c>
      <c r="AG1007" s="38">
        <f>IF(B1007="","",IF(I1007="","",IF(D1007="","",IF(COUNTIFS($I$5:$I$1204,I1007,$B$5:$B$1204,B1007,$D$5:$D$1204,"&lt;"&amp;V1007,$V$5:$V$1204,"&gt;"&amp;D1007,$M$5:$M$1204,"&lt;&gt;Cancelled")&gt;1,"Clash",""))))</f>
        <v>0</v>
      </c>
      <c r="AH1007" s="39">
        <f>IF(B1007="","",IF(AG1007="Clash","Clash - stylist double booked",IF(I1007="","Assign - no stylist yet",IF(G1007="","Add - no service chosen",IF(M1007="No show","No show - charge the fee?",IF(M1007="Cancelled","",IF(IF(M1007="Completed",AB1007&lt;Y1007-0.004,FALSE),"Unpaid - nothing rung up for this visit",IF(IF(B1007&lt;TodayDate,M1007="Booked",FALSE),"Overdue - past date, still only Booked",IF(IF(B1007=TodayDate,TRUE,FALSE),"Today",IF(IF(Z1007&gt;0,AA1007&lt;Z1007-0.004,FALSE),"Due - deposit not taken",IF(IF(B1007&gt;TodayDate,B1007&lt;=TodayDate+2,FALSE),"Confirm - coming up","OK")))))))))))</f>
        <v>0</v>
      </c>
    </row>
    <row r="1008" spans="1:34">
      <c r="A1008" s="28">
        <f>IF(B1008="","",AppointmentPrefix&amp;TEXT(ROW()-4,"0000"))</f>
        <v>0</v>
      </c>
      <c r="C1008" s="15">
        <f>IF(B1008="","",TEXT(B1008,"ddd"))</f>
        <v>0</v>
      </c>
      <c r="F1008" s="15">
        <f>IF(E1008="","",IFERROR(INDEX(Clients!$B$5:$B$504,MATCH(E1008,Clients!$A$5:$A$504,0)),"Walk-in"))</f>
        <v>0</v>
      </c>
      <c r="H1008" s="15">
        <f>IF(G1008="","",IFERROR(INDEX(Services!$B$5:$B$204,MATCH(G1008,Services!$A$5:$A$204,0)),"Not in Services"))</f>
        <v>0</v>
      </c>
      <c r="J1008" s="15">
        <f>IF(I1008="","",IFERROR(INDEX(Staff!$B$5:$B$44,MATCH(I1008,Staff!$A$5:$A$44,0)),"Unassigned"))</f>
        <v>0</v>
      </c>
      <c r="S1008" s="15">
        <f>IF(B1008="","",TEXT(B1008,"yyyy-mm"))</f>
        <v>0</v>
      </c>
      <c r="T1008" s="25">
        <f>IF(B1008="","",WEEKNUM(B1008,2))</f>
        <v>0</v>
      </c>
      <c r="U1008" s="25">
        <f>IF(B1008="","",IF(K1008&lt;&gt;"",K1008,IFERROR(INDEX(Services!$E$5:$E$204,MATCH(G1008,Services!$A$5:$A$204,0))*1,0)+IFERROR(INDEX(Services!$F$5:$F$204,MATCH(G1008,Services!$A$5:$A$204,0))*1,0)))</f>
        <v>0</v>
      </c>
      <c r="V1008" s="36">
        <f>IF(B1008="","",IF(D1008="","",D1008+U1008/1440))</f>
        <v>0</v>
      </c>
      <c r="W1008" s="25">
        <f>IF(B1008="","",IF(D1008="","",HOUR(D1008)))</f>
        <v>0</v>
      </c>
      <c r="X1008" s="37">
        <f>IF(B1008="","",ROUND(U1008/60,2))</f>
        <v>0</v>
      </c>
      <c r="Y1008" s="26">
        <f>IF(B1008="","",IF(L1008&lt;&gt;"",L1008,IFERROR(INDEX(Services!$G$5:$G$204,MATCH(G1008,Services!$A$5:$A$204,0))*1,0)))</f>
        <v>0</v>
      </c>
      <c r="Z1008" s="26">
        <f>IF(B1008="","",IF(O1008&lt;&gt;"",O1008,IF(Y1008&gt;=DepositThreshold,ROUND(Y1008*DepositPercent,2),0)))</f>
        <v>0</v>
      </c>
      <c r="AA1008" s="26">
        <f>IF(B1008="","",ROUND(SUMIFS(Payments!$G$5:$G$1204,Payments!$I$5:$I$1204,A1008,Payments!$E$5:$E$1204,"Deposit"),2))</f>
        <v>0</v>
      </c>
      <c r="AB1008" s="26">
        <f>IF(B1008="","",ROUND(SUMIFS(Sales!$Y$5:$Y$1204,Sales!$C$5:$C$1204,A1008),2))</f>
        <v>0</v>
      </c>
      <c r="AC1008" s="38">
        <f>IF(B1008="","",IF(M1008="Completed","Yes",IF(M1008="Cancelled","Yes",IF(M1008="No show","Yes","No"))))</f>
        <v>0</v>
      </c>
      <c r="AD1008" s="25">
        <f>IF(B1008="","",IF(AE1008="","",B1008-AE1008))</f>
        <v>0</v>
      </c>
      <c r="AF1008" s="38">
        <f>IF(B1008="","",IF(M1008&lt;&gt;"Completed","",IF(E1008="","No",IF(COUNTIFS(Appointments!$E$5:$E$1204,E1008,Appointments!$B$5:$B$1204,"&gt;"&amp;B1008,Appointments!$M$5:$M$1204,"&lt;&gt;Cancelled")&gt;0,"Yes","No"))))</f>
        <v>0</v>
      </c>
      <c r="AG1008" s="38">
        <f>IF(B1008="","",IF(I1008="","",IF(D1008="","",IF(COUNTIFS($I$5:$I$1204,I1008,$B$5:$B$1204,B1008,$D$5:$D$1204,"&lt;"&amp;V1008,$V$5:$V$1204,"&gt;"&amp;D1008,$M$5:$M$1204,"&lt;&gt;Cancelled")&gt;1,"Clash",""))))</f>
        <v>0</v>
      </c>
      <c r="AH1008" s="39">
        <f>IF(B1008="","",IF(AG1008="Clash","Clash - stylist double booked",IF(I1008="","Assign - no stylist yet",IF(G1008="","Add - no service chosen",IF(M1008="No show","No show - charge the fee?",IF(M1008="Cancelled","",IF(IF(M1008="Completed",AB1008&lt;Y1008-0.004,FALSE),"Unpaid - nothing rung up for this visit",IF(IF(B1008&lt;TodayDate,M1008="Booked",FALSE),"Overdue - past date, still only Booked",IF(IF(B1008=TodayDate,TRUE,FALSE),"Today",IF(IF(Z1008&gt;0,AA1008&lt;Z1008-0.004,FALSE),"Due - deposit not taken",IF(IF(B1008&gt;TodayDate,B1008&lt;=TodayDate+2,FALSE),"Confirm - coming up","OK")))))))))))</f>
        <v>0</v>
      </c>
    </row>
    <row r="1009" spans="1:34">
      <c r="A1009" s="28">
        <f>IF(B1009="","",AppointmentPrefix&amp;TEXT(ROW()-4,"0000"))</f>
        <v>0</v>
      </c>
      <c r="C1009" s="15">
        <f>IF(B1009="","",TEXT(B1009,"ddd"))</f>
        <v>0</v>
      </c>
      <c r="F1009" s="15">
        <f>IF(E1009="","",IFERROR(INDEX(Clients!$B$5:$B$504,MATCH(E1009,Clients!$A$5:$A$504,0)),"Walk-in"))</f>
        <v>0</v>
      </c>
      <c r="H1009" s="15">
        <f>IF(G1009="","",IFERROR(INDEX(Services!$B$5:$B$204,MATCH(G1009,Services!$A$5:$A$204,0)),"Not in Services"))</f>
        <v>0</v>
      </c>
      <c r="J1009" s="15">
        <f>IF(I1009="","",IFERROR(INDEX(Staff!$B$5:$B$44,MATCH(I1009,Staff!$A$5:$A$44,0)),"Unassigned"))</f>
        <v>0</v>
      </c>
      <c r="S1009" s="15">
        <f>IF(B1009="","",TEXT(B1009,"yyyy-mm"))</f>
        <v>0</v>
      </c>
      <c r="T1009" s="25">
        <f>IF(B1009="","",WEEKNUM(B1009,2))</f>
        <v>0</v>
      </c>
      <c r="U1009" s="25">
        <f>IF(B1009="","",IF(K1009&lt;&gt;"",K1009,IFERROR(INDEX(Services!$E$5:$E$204,MATCH(G1009,Services!$A$5:$A$204,0))*1,0)+IFERROR(INDEX(Services!$F$5:$F$204,MATCH(G1009,Services!$A$5:$A$204,0))*1,0)))</f>
        <v>0</v>
      </c>
      <c r="V1009" s="36">
        <f>IF(B1009="","",IF(D1009="","",D1009+U1009/1440))</f>
        <v>0</v>
      </c>
      <c r="W1009" s="25">
        <f>IF(B1009="","",IF(D1009="","",HOUR(D1009)))</f>
        <v>0</v>
      </c>
      <c r="X1009" s="37">
        <f>IF(B1009="","",ROUND(U1009/60,2))</f>
        <v>0</v>
      </c>
      <c r="Y1009" s="26">
        <f>IF(B1009="","",IF(L1009&lt;&gt;"",L1009,IFERROR(INDEX(Services!$G$5:$G$204,MATCH(G1009,Services!$A$5:$A$204,0))*1,0)))</f>
        <v>0</v>
      </c>
      <c r="Z1009" s="26">
        <f>IF(B1009="","",IF(O1009&lt;&gt;"",O1009,IF(Y1009&gt;=DepositThreshold,ROUND(Y1009*DepositPercent,2),0)))</f>
        <v>0</v>
      </c>
      <c r="AA1009" s="26">
        <f>IF(B1009="","",ROUND(SUMIFS(Payments!$G$5:$G$1204,Payments!$I$5:$I$1204,A1009,Payments!$E$5:$E$1204,"Deposit"),2))</f>
        <v>0</v>
      </c>
      <c r="AB1009" s="26">
        <f>IF(B1009="","",ROUND(SUMIFS(Sales!$Y$5:$Y$1204,Sales!$C$5:$C$1204,A1009),2))</f>
        <v>0</v>
      </c>
      <c r="AC1009" s="38">
        <f>IF(B1009="","",IF(M1009="Completed","Yes",IF(M1009="Cancelled","Yes",IF(M1009="No show","Yes","No"))))</f>
        <v>0</v>
      </c>
      <c r="AD1009" s="25">
        <f>IF(B1009="","",IF(AE1009="","",B1009-AE1009))</f>
        <v>0</v>
      </c>
      <c r="AF1009" s="38">
        <f>IF(B1009="","",IF(M1009&lt;&gt;"Completed","",IF(E1009="","No",IF(COUNTIFS(Appointments!$E$5:$E$1204,E1009,Appointments!$B$5:$B$1204,"&gt;"&amp;B1009,Appointments!$M$5:$M$1204,"&lt;&gt;Cancelled")&gt;0,"Yes","No"))))</f>
        <v>0</v>
      </c>
      <c r="AG1009" s="38">
        <f>IF(B1009="","",IF(I1009="","",IF(D1009="","",IF(COUNTIFS($I$5:$I$1204,I1009,$B$5:$B$1204,B1009,$D$5:$D$1204,"&lt;"&amp;V1009,$V$5:$V$1204,"&gt;"&amp;D1009,$M$5:$M$1204,"&lt;&gt;Cancelled")&gt;1,"Clash",""))))</f>
        <v>0</v>
      </c>
      <c r="AH1009" s="39">
        <f>IF(B1009="","",IF(AG1009="Clash","Clash - stylist double booked",IF(I1009="","Assign - no stylist yet",IF(G1009="","Add - no service chosen",IF(M1009="No show","No show - charge the fee?",IF(M1009="Cancelled","",IF(IF(M1009="Completed",AB1009&lt;Y1009-0.004,FALSE),"Unpaid - nothing rung up for this visit",IF(IF(B1009&lt;TodayDate,M1009="Booked",FALSE),"Overdue - past date, still only Booked",IF(IF(B1009=TodayDate,TRUE,FALSE),"Today",IF(IF(Z1009&gt;0,AA1009&lt;Z1009-0.004,FALSE),"Due - deposit not taken",IF(IF(B1009&gt;TodayDate,B1009&lt;=TodayDate+2,FALSE),"Confirm - coming up","OK")))))))))))</f>
        <v>0</v>
      </c>
    </row>
    <row r="1010" spans="1:34">
      <c r="A1010" s="28">
        <f>IF(B1010="","",AppointmentPrefix&amp;TEXT(ROW()-4,"0000"))</f>
        <v>0</v>
      </c>
      <c r="C1010" s="15">
        <f>IF(B1010="","",TEXT(B1010,"ddd"))</f>
        <v>0</v>
      </c>
      <c r="F1010" s="15">
        <f>IF(E1010="","",IFERROR(INDEX(Clients!$B$5:$B$504,MATCH(E1010,Clients!$A$5:$A$504,0)),"Walk-in"))</f>
        <v>0</v>
      </c>
      <c r="H1010" s="15">
        <f>IF(G1010="","",IFERROR(INDEX(Services!$B$5:$B$204,MATCH(G1010,Services!$A$5:$A$204,0)),"Not in Services"))</f>
        <v>0</v>
      </c>
      <c r="J1010" s="15">
        <f>IF(I1010="","",IFERROR(INDEX(Staff!$B$5:$B$44,MATCH(I1010,Staff!$A$5:$A$44,0)),"Unassigned"))</f>
        <v>0</v>
      </c>
      <c r="S1010" s="15">
        <f>IF(B1010="","",TEXT(B1010,"yyyy-mm"))</f>
        <v>0</v>
      </c>
      <c r="T1010" s="25">
        <f>IF(B1010="","",WEEKNUM(B1010,2))</f>
        <v>0</v>
      </c>
      <c r="U1010" s="25">
        <f>IF(B1010="","",IF(K1010&lt;&gt;"",K1010,IFERROR(INDEX(Services!$E$5:$E$204,MATCH(G1010,Services!$A$5:$A$204,0))*1,0)+IFERROR(INDEX(Services!$F$5:$F$204,MATCH(G1010,Services!$A$5:$A$204,0))*1,0)))</f>
        <v>0</v>
      </c>
      <c r="V1010" s="36">
        <f>IF(B1010="","",IF(D1010="","",D1010+U1010/1440))</f>
        <v>0</v>
      </c>
      <c r="W1010" s="25">
        <f>IF(B1010="","",IF(D1010="","",HOUR(D1010)))</f>
        <v>0</v>
      </c>
      <c r="X1010" s="37">
        <f>IF(B1010="","",ROUND(U1010/60,2))</f>
        <v>0</v>
      </c>
      <c r="Y1010" s="26">
        <f>IF(B1010="","",IF(L1010&lt;&gt;"",L1010,IFERROR(INDEX(Services!$G$5:$G$204,MATCH(G1010,Services!$A$5:$A$204,0))*1,0)))</f>
        <v>0</v>
      </c>
      <c r="Z1010" s="26">
        <f>IF(B1010="","",IF(O1010&lt;&gt;"",O1010,IF(Y1010&gt;=DepositThreshold,ROUND(Y1010*DepositPercent,2),0)))</f>
        <v>0</v>
      </c>
      <c r="AA1010" s="26">
        <f>IF(B1010="","",ROUND(SUMIFS(Payments!$G$5:$G$1204,Payments!$I$5:$I$1204,A1010,Payments!$E$5:$E$1204,"Deposit"),2))</f>
        <v>0</v>
      </c>
      <c r="AB1010" s="26">
        <f>IF(B1010="","",ROUND(SUMIFS(Sales!$Y$5:$Y$1204,Sales!$C$5:$C$1204,A1010),2))</f>
        <v>0</v>
      </c>
      <c r="AC1010" s="38">
        <f>IF(B1010="","",IF(M1010="Completed","Yes",IF(M1010="Cancelled","Yes",IF(M1010="No show","Yes","No"))))</f>
        <v>0</v>
      </c>
      <c r="AD1010" s="25">
        <f>IF(B1010="","",IF(AE1010="","",B1010-AE1010))</f>
        <v>0</v>
      </c>
      <c r="AF1010" s="38">
        <f>IF(B1010="","",IF(M1010&lt;&gt;"Completed","",IF(E1010="","No",IF(COUNTIFS(Appointments!$E$5:$E$1204,E1010,Appointments!$B$5:$B$1204,"&gt;"&amp;B1010,Appointments!$M$5:$M$1204,"&lt;&gt;Cancelled")&gt;0,"Yes","No"))))</f>
        <v>0</v>
      </c>
      <c r="AG1010" s="38">
        <f>IF(B1010="","",IF(I1010="","",IF(D1010="","",IF(COUNTIFS($I$5:$I$1204,I1010,$B$5:$B$1204,B1010,$D$5:$D$1204,"&lt;"&amp;V1010,$V$5:$V$1204,"&gt;"&amp;D1010,$M$5:$M$1204,"&lt;&gt;Cancelled")&gt;1,"Clash",""))))</f>
        <v>0</v>
      </c>
      <c r="AH1010" s="39">
        <f>IF(B1010="","",IF(AG1010="Clash","Clash - stylist double booked",IF(I1010="","Assign - no stylist yet",IF(G1010="","Add - no service chosen",IF(M1010="No show","No show - charge the fee?",IF(M1010="Cancelled","",IF(IF(M1010="Completed",AB1010&lt;Y1010-0.004,FALSE),"Unpaid - nothing rung up for this visit",IF(IF(B1010&lt;TodayDate,M1010="Booked",FALSE),"Overdue - past date, still only Booked",IF(IF(B1010=TodayDate,TRUE,FALSE),"Today",IF(IF(Z1010&gt;0,AA1010&lt;Z1010-0.004,FALSE),"Due - deposit not taken",IF(IF(B1010&gt;TodayDate,B1010&lt;=TodayDate+2,FALSE),"Confirm - coming up","OK")))))))))))</f>
        <v>0</v>
      </c>
    </row>
    <row r="1011" spans="1:34">
      <c r="A1011" s="28">
        <f>IF(B1011="","",AppointmentPrefix&amp;TEXT(ROW()-4,"0000"))</f>
        <v>0</v>
      </c>
      <c r="C1011" s="15">
        <f>IF(B1011="","",TEXT(B1011,"ddd"))</f>
        <v>0</v>
      </c>
      <c r="F1011" s="15">
        <f>IF(E1011="","",IFERROR(INDEX(Clients!$B$5:$B$504,MATCH(E1011,Clients!$A$5:$A$504,0)),"Walk-in"))</f>
        <v>0</v>
      </c>
      <c r="H1011" s="15">
        <f>IF(G1011="","",IFERROR(INDEX(Services!$B$5:$B$204,MATCH(G1011,Services!$A$5:$A$204,0)),"Not in Services"))</f>
        <v>0</v>
      </c>
      <c r="J1011" s="15">
        <f>IF(I1011="","",IFERROR(INDEX(Staff!$B$5:$B$44,MATCH(I1011,Staff!$A$5:$A$44,0)),"Unassigned"))</f>
        <v>0</v>
      </c>
      <c r="S1011" s="15">
        <f>IF(B1011="","",TEXT(B1011,"yyyy-mm"))</f>
        <v>0</v>
      </c>
      <c r="T1011" s="25">
        <f>IF(B1011="","",WEEKNUM(B1011,2))</f>
        <v>0</v>
      </c>
      <c r="U1011" s="25">
        <f>IF(B1011="","",IF(K1011&lt;&gt;"",K1011,IFERROR(INDEX(Services!$E$5:$E$204,MATCH(G1011,Services!$A$5:$A$204,0))*1,0)+IFERROR(INDEX(Services!$F$5:$F$204,MATCH(G1011,Services!$A$5:$A$204,0))*1,0)))</f>
        <v>0</v>
      </c>
      <c r="V1011" s="36">
        <f>IF(B1011="","",IF(D1011="","",D1011+U1011/1440))</f>
        <v>0</v>
      </c>
      <c r="W1011" s="25">
        <f>IF(B1011="","",IF(D1011="","",HOUR(D1011)))</f>
        <v>0</v>
      </c>
      <c r="X1011" s="37">
        <f>IF(B1011="","",ROUND(U1011/60,2))</f>
        <v>0</v>
      </c>
      <c r="Y1011" s="26">
        <f>IF(B1011="","",IF(L1011&lt;&gt;"",L1011,IFERROR(INDEX(Services!$G$5:$G$204,MATCH(G1011,Services!$A$5:$A$204,0))*1,0)))</f>
        <v>0</v>
      </c>
      <c r="Z1011" s="26">
        <f>IF(B1011="","",IF(O1011&lt;&gt;"",O1011,IF(Y1011&gt;=DepositThreshold,ROUND(Y1011*DepositPercent,2),0)))</f>
        <v>0</v>
      </c>
      <c r="AA1011" s="26">
        <f>IF(B1011="","",ROUND(SUMIFS(Payments!$G$5:$G$1204,Payments!$I$5:$I$1204,A1011,Payments!$E$5:$E$1204,"Deposit"),2))</f>
        <v>0</v>
      </c>
      <c r="AB1011" s="26">
        <f>IF(B1011="","",ROUND(SUMIFS(Sales!$Y$5:$Y$1204,Sales!$C$5:$C$1204,A1011),2))</f>
        <v>0</v>
      </c>
      <c r="AC1011" s="38">
        <f>IF(B1011="","",IF(M1011="Completed","Yes",IF(M1011="Cancelled","Yes",IF(M1011="No show","Yes","No"))))</f>
        <v>0</v>
      </c>
      <c r="AD1011" s="25">
        <f>IF(B1011="","",IF(AE1011="","",B1011-AE1011))</f>
        <v>0</v>
      </c>
      <c r="AF1011" s="38">
        <f>IF(B1011="","",IF(M1011&lt;&gt;"Completed","",IF(E1011="","No",IF(COUNTIFS(Appointments!$E$5:$E$1204,E1011,Appointments!$B$5:$B$1204,"&gt;"&amp;B1011,Appointments!$M$5:$M$1204,"&lt;&gt;Cancelled")&gt;0,"Yes","No"))))</f>
        <v>0</v>
      </c>
      <c r="AG1011" s="38">
        <f>IF(B1011="","",IF(I1011="","",IF(D1011="","",IF(COUNTIFS($I$5:$I$1204,I1011,$B$5:$B$1204,B1011,$D$5:$D$1204,"&lt;"&amp;V1011,$V$5:$V$1204,"&gt;"&amp;D1011,$M$5:$M$1204,"&lt;&gt;Cancelled")&gt;1,"Clash",""))))</f>
        <v>0</v>
      </c>
      <c r="AH1011" s="39">
        <f>IF(B1011="","",IF(AG1011="Clash","Clash - stylist double booked",IF(I1011="","Assign - no stylist yet",IF(G1011="","Add - no service chosen",IF(M1011="No show","No show - charge the fee?",IF(M1011="Cancelled","",IF(IF(M1011="Completed",AB1011&lt;Y1011-0.004,FALSE),"Unpaid - nothing rung up for this visit",IF(IF(B1011&lt;TodayDate,M1011="Booked",FALSE),"Overdue - past date, still only Booked",IF(IF(B1011=TodayDate,TRUE,FALSE),"Today",IF(IF(Z1011&gt;0,AA1011&lt;Z1011-0.004,FALSE),"Due - deposit not taken",IF(IF(B1011&gt;TodayDate,B1011&lt;=TodayDate+2,FALSE),"Confirm - coming up","OK")))))))))))</f>
        <v>0</v>
      </c>
    </row>
    <row r="1012" spans="1:34">
      <c r="A1012" s="28">
        <f>IF(B1012="","",AppointmentPrefix&amp;TEXT(ROW()-4,"0000"))</f>
        <v>0</v>
      </c>
      <c r="C1012" s="15">
        <f>IF(B1012="","",TEXT(B1012,"ddd"))</f>
        <v>0</v>
      </c>
      <c r="F1012" s="15">
        <f>IF(E1012="","",IFERROR(INDEX(Clients!$B$5:$B$504,MATCH(E1012,Clients!$A$5:$A$504,0)),"Walk-in"))</f>
        <v>0</v>
      </c>
      <c r="H1012" s="15">
        <f>IF(G1012="","",IFERROR(INDEX(Services!$B$5:$B$204,MATCH(G1012,Services!$A$5:$A$204,0)),"Not in Services"))</f>
        <v>0</v>
      </c>
      <c r="J1012" s="15">
        <f>IF(I1012="","",IFERROR(INDEX(Staff!$B$5:$B$44,MATCH(I1012,Staff!$A$5:$A$44,0)),"Unassigned"))</f>
        <v>0</v>
      </c>
      <c r="S1012" s="15">
        <f>IF(B1012="","",TEXT(B1012,"yyyy-mm"))</f>
        <v>0</v>
      </c>
      <c r="T1012" s="25">
        <f>IF(B1012="","",WEEKNUM(B1012,2))</f>
        <v>0</v>
      </c>
      <c r="U1012" s="25">
        <f>IF(B1012="","",IF(K1012&lt;&gt;"",K1012,IFERROR(INDEX(Services!$E$5:$E$204,MATCH(G1012,Services!$A$5:$A$204,0))*1,0)+IFERROR(INDEX(Services!$F$5:$F$204,MATCH(G1012,Services!$A$5:$A$204,0))*1,0)))</f>
        <v>0</v>
      </c>
      <c r="V1012" s="36">
        <f>IF(B1012="","",IF(D1012="","",D1012+U1012/1440))</f>
        <v>0</v>
      </c>
      <c r="W1012" s="25">
        <f>IF(B1012="","",IF(D1012="","",HOUR(D1012)))</f>
        <v>0</v>
      </c>
      <c r="X1012" s="37">
        <f>IF(B1012="","",ROUND(U1012/60,2))</f>
        <v>0</v>
      </c>
      <c r="Y1012" s="26">
        <f>IF(B1012="","",IF(L1012&lt;&gt;"",L1012,IFERROR(INDEX(Services!$G$5:$G$204,MATCH(G1012,Services!$A$5:$A$204,0))*1,0)))</f>
        <v>0</v>
      </c>
      <c r="Z1012" s="26">
        <f>IF(B1012="","",IF(O1012&lt;&gt;"",O1012,IF(Y1012&gt;=DepositThreshold,ROUND(Y1012*DepositPercent,2),0)))</f>
        <v>0</v>
      </c>
      <c r="AA1012" s="26">
        <f>IF(B1012="","",ROUND(SUMIFS(Payments!$G$5:$G$1204,Payments!$I$5:$I$1204,A1012,Payments!$E$5:$E$1204,"Deposit"),2))</f>
        <v>0</v>
      </c>
      <c r="AB1012" s="26">
        <f>IF(B1012="","",ROUND(SUMIFS(Sales!$Y$5:$Y$1204,Sales!$C$5:$C$1204,A1012),2))</f>
        <v>0</v>
      </c>
      <c r="AC1012" s="38">
        <f>IF(B1012="","",IF(M1012="Completed","Yes",IF(M1012="Cancelled","Yes",IF(M1012="No show","Yes","No"))))</f>
        <v>0</v>
      </c>
      <c r="AD1012" s="25">
        <f>IF(B1012="","",IF(AE1012="","",B1012-AE1012))</f>
        <v>0</v>
      </c>
      <c r="AF1012" s="38">
        <f>IF(B1012="","",IF(M1012&lt;&gt;"Completed","",IF(E1012="","No",IF(COUNTIFS(Appointments!$E$5:$E$1204,E1012,Appointments!$B$5:$B$1204,"&gt;"&amp;B1012,Appointments!$M$5:$M$1204,"&lt;&gt;Cancelled")&gt;0,"Yes","No"))))</f>
        <v>0</v>
      </c>
      <c r="AG1012" s="38">
        <f>IF(B1012="","",IF(I1012="","",IF(D1012="","",IF(COUNTIFS($I$5:$I$1204,I1012,$B$5:$B$1204,B1012,$D$5:$D$1204,"&lt;"&amp;V1012,$V$5:$V$1204,"&gt;"&amp;D1012,$M$5:$M$1204,"&lt;&gt;Cancelled")&gt;1,"Clash",""))))</f>
        <v>0</v>
      </c>
      <c r="AH1012" s="39">
        <f>IF(B1012="","",IF(AG1012="Clash","Clash - stylist double booked",IF(I1012="","Assign - no stylist yet",IF(G1012="","Add - no service chosen",IF(M1012="No show","No show - charge the fee?",IF(M1012="Cancelled","",IF(IF(M1012="Completed",AB1012&lt;Y1012-0.004,FALSE),"Unpaid - nothing rung up for this visit",IF(IF(B1012&lt;TodayDate,M1012="Booked",FALSE),"Overdue - past date, still only Booked",IF(IF(B1012=TodayDate,TRUE,FALSE),"Today",IF(IF(Z1012&gt;0,AA1012&lt;Z1012-0.004,FALSE),"Due - deposit not taken",IF(IF(B1012&gt;TodayDate,B1012&lt;=TodayDate+2,FALSE),"Confirm - coming up","OK")))))))))))</f>
        <v>0</v>
      </c>
    </row>
    <row r="1013" spans="1:34">
      <c r="A1013" s="28">
        <f>IF(B1013="","",AppointmentPrefix&amp;TEXT(ROW()-4,"0000"))</f>
        <v>0</v>
      </c>
      <c r="C1013" s="15">
        <f>IF(B1013="","",TEXT(B1013,"ddd"))</f>
        <v>0</v>
      </c>
      <c r="F1013" s="15">
        <f>IF(E1013="","",IFERROR(INDEX(Clients!$B$5:$B$504,MATCH(E1013,Clients!$A$5:$A$504,0)),"Walk-in"))</f>
        <v>0</v>
      </c>
      <c r="H1013" s="15">
        <f>IF(G1013="","",IFERROR(INDEX(Services!$B$5:$B$204,MATCH(G1013,Services!$A$5:$A$204,0)),"Not in Services"))</f>
        <v>0</v>
      </c>
      <c r="J1013" s="15">
        <f>IF(I1013="","",IFERROR(INDEX(Staff!$B$5:$B$44,MATCH(I1013,Staff!$A$5:$A$44,0)),"Unassigned"))</f>
        <v>0</v>
      </c>
      <c r="S1013" s="15">
        <f>IF(B1013="","",TEXT(B1013,"yyyy-mm"))</f>
        <v>0</v>
      </c>
      <c r="T1013" s="25">
        <f>IF(B1013="","",WEEKNUM(B1013,2))</f>
        <v>0</v>
      </c>
      <c r="U1013" s="25">
        <f>IF(B1013="","",IF(K1013&lt;&gt;"",K1013,IFERROR(INDEX(Services!$E$5:$E$204,MATCH(G1013,Services!$A$5:$A$204,0))*1,0)+IFERROR(INDEX(Services!$F$5:$F$204,MATCH(G1013,Services!$A$5:$A$204,0))*1,0)))</f>
        <v>0</v>
      </c>
      <c r="V1013" s="36">
        <f>IF(B1013="","",IF(D1013="","",D1013+U1013/1440))</f>
        <v>0</v>
      </c>
      <c r="W1013" s="25">
        <f>IF(B1013="","",IF(D1013="","",HOUR(D1013)))</f>
        <v>0</v>
      </c>
      <c r="X1013" s="37">
        <f>IF(B1013="","",ROUND(U1013/60,2))</f>
        <v>0</v>
      </c>
      <c r="Y1013" s="26">
        <f>IF(B1013="","",IF(L1013&lt;&gt;"",L1013,IFERROR(INDEX(Services!$G$5:$G$204,MATCH(G1013,Services!$A$5:$A$204,0))*1,0)))</f>
        <v>0</v>
      </c>
      <c r="Z1013" s="26">
        <f>IF(B1013="","",IF(O1013&lt;&gt;"",O1013,IF(Y1013&gt;=DepositThreshold,ROUND(Y1013*DepositPercent,2),0)))</f>
        <v>0</v>
      </c>
      <c r="AA1013" s="26">
        <f>IF(B1013="","",ROUND(SUMIFS(Payments!$G$5:$G$1204,Payments!$I$5:$I$1204,A1013,Payments!$E$5:$E$1204,"Deposit"),2))</f>
        <v>0</v>
      </c>
      <c r="AB1013" s="26">
        <f>IF(B1013="","",ROUND(SUMIFS(Sales!$Y$5:$Y$1204,Sales!$C$5:$C$1204,A1013),2))</f>
        <v>0</v>
      </c>
      <c r="AC1013" s="38">
        <f>IF(B1013="","",IF(M1013="Completed","Yes",IF(M1013="Cancelled","Yes",IF(M1013="No show","Yes","No"))))</f>
        <v>0</v>
      </c>
      <c r="AD1013" s="25">
        <f>IF(B1013="","",IF(AE1013="","",B1013-AE1013))</f>
        <v>0</v>
      </c>
      <c r="AF1013" s="38">
        <f>IF(B1013="","",IF(M1013&lt;&gt;"Completed","",IF(E1013="","No",IF(COUNTIFS(Appointments!$E$5:$E$1204,E1013,Appointments!$B$5:$B$1204,"&gt;"&amp;B1013,Appointments!$M$5:$M$1204,"&lt;&gt;Cancelled")&gt;0,"Yes","No"))))</f>
        <v>0</v>
      </c>
      <c r="AG1013" s="38">
        <f>IF(B1013="","",IF(I1013="","",IF(D1013="","",IF(COUNTIFS($I$5:$I$1204,I1013,$B$5:$B$1204,B1013,$D$5:$D$1204,"&lt;"&amp;V1013,$V$5:$V$1204,"&gt;"&amp;D1013,$M$5:$M$1204,"&lt;&gt;Cancelled")&gt;1,"Clash",""))))</f>
        <v>0</v>
      </c>
      <c r="AH1013" s="39">
        <f>IF(B1013="","",IF(AG1013="Clash","Clash - stylist double booked",IF(I1013="","Assign - no stylist yet",IF(G1013="","Add - no service chosen",IF(M1013="No show","No show - charge the fee?",IF(M1013="Cancelled","",IF(IF(M1013="Completed",AB1013&lt;Y1013-0.004,FALSE),"Unpaid - nothing rung up for this visit",IF(IF(B1013&lt;TodayDate,M1013="Booked",FALSE),"Overdue - past date, still only Booked",IF(IF(B1013=TodayDate,TRUE,FALSE),"Today",IF(IF(Z1013&gt;0,AA1013&lt;Z1013-0.004,FALSE),"Due - deposit not taken",IF(IF(B1013&gt;TodayDate,B1013&lt;=TodayDate+2,FALSE),"Confirm - coming up","OK")))))))))))</f>
        <v>0</v>
      </c>
    </row>
    <row r="1014" spans="1:34">
      <c r="A1014" s="28">
        <f>IF(B1014="","",AppointmentPrefix&amp;TEXT(ROW()-4,"0000"))</f>
        <v>0</v>
      </c>
      <c r="C1014" s="15">
        <f>IF(B1014="","",TEXT(B1014,"ddd"))</f>
        <v>0</v>
      </c>
      <c r="F1014" s="15">
        <f>IF(E1014="","",IFERROR(INDEX(Clients!$B$5:$B$504,MATCH(E1014,Clients!$A$5:$A$504,0)),"Walk-in"))</f>
        <v>0</v>
      </c>
      <c r="H1014" s="15">
        <f>IF(G1014="","",IFERROR(INDEX(Services!$B$5:$B$204,MATCH(G1014,Services!$A$5:$A$204,0)),"Not in Services"))</f>
        <v>0</v>
      </c>
      <c r="J1014" s="15">
        <f>IF(I1014="","",IFERROR(INDEX(Staff!$B$5:$B$44,MATCH(I1014,Staff!$A$5:$A$44,0)),"Unassigned"))</f>
        <v>0</v>
      </c>
      <c r="S1014" s="15">
        <f>IF(B1014="","",TEXT(B1014,"yyyy-mm"))</f>
        <v>0</v>
      </c>
      <c r="T1014" s="25">
        <f>IF(B1014="","",WEEKNUM(B1014,2))</f>
        <v>0</v>
      </c>
      <c r="U1014" s="25">
        <f>IF(B1014="","",IF(K1014&lt;&gt;"",K1014,IFERROR(INDEX(Services!$E$5:$E$204,MATCH(G1014,Services!$A$5:$A$204,0))*1,0)+IFERROR(INDEX(Services!$F$5:$F$204,MATCH(G1014,Services!$A$5:$A$204,0))*1,0)))</f>
        <v>0</v>
      </c>
      <c r="V1014" s="36">
        <f>IF(B1014="","",IF(D1014="","",D1014+U1014/1440))</f>
        <v>0</v>
      </c>
      <c r="W1014" s="25">
        <f>IF(B1014="","",IF(D1014="","",HOUR(D1014)))</f>
        <v>0</v>
      </c>
      <c r="X1014" s="37">
        <f>IF(B1014="","",ROUND(U1014/60,2))</f>
        <v>0</v>
      </c>
      <c r="Y1014" s="26">
        <f>IF(B1014="","",IF(L1014&lt;&gt;"",L1014,IFERROR(INDEX(Services!$G$5:$G$204,MATCH(G1014,Services!$A$5:$A$204,0))*1,0)))</f>
        <v>0</v>
      </c>
      <c r="Z1014" s="26">
        <f>IF(B1014="","",IF(O1014&lt;&gt;"",O1014,IF(Y1014&gt;=DepositThreshold,ROUND(Y1014*DepositPercent,2),0)))</f>
        <v>0</v>
      </c>
      <c r="AA1014" s="26">
        <f>IF(B1014="","",ROUND(SUMIFS(Payments!$G$5:$G$1204,Payments!$I$5:$I$1204,A1014,Payments!$E$5:$E$1204,"Deposit"),2))</f>
        <v>0</v>
      </c>
      <c r="AB1014" s="26">
        <f>IF(B1014="","",ROUND(SUMIFS(Sales!$Y$5:$Y$1204,Sales!$C$5:$C$1204,A1014),2))</f>
        <v>0</v>
      </c>
      <c r="AC1014" s="38">
        <f>IF(B1014="","",IF(M1014="Completed","Yes",IF(M1014="Cancelled","Yes",IF(M1014="No show","Yes","No"))))</f>
        <v>0</v>
      </c>
      <c r="AD1014" s="25">
        <f>IF(B1014="","",IF(AE1014="","",B1014-AE1014))</f>
        <v>0</v>
      </c>
      <c r="AF1014" s="38">
        <f>IF(B1014="","",IF(M1014&lt;&gt;"Completed","",IF(E1014="","No",IF(COUNTIFS(Appointments!$E$5:$E$1204,E1014,Appointments!$B$5:$B$1204,"&gt;"&amp;B1014,Appointments!$M$5:$M$1204,"&lt;&gt;Cancelled")&gt;0,"Yes","No"))))</f>
        <v>0</v>
      </c>
      <c r="AG1014" s="38">
        <f>IF(B1014="","",IF(I1014="","",IF(D1014="","",IF(COUNTIFS($I$5:$I$1204,I1014,$B$5:$B$1204,B1014,$D$5:$D$1204,"&lt;"&amp;V1014,$V$5:$V$1204,"&gt;"&amp;D1014,$M$5:$M$1204,"&lt;&gt;Cancelled")&gt;1,"Clash",""))))</f>
        <v>0</v>
      </c>
      <c r="AH1014" s="39">
        <f>IF(B1014="","",IF(AG1014="Clash","Clash - stylist double booked",IF(I1014="","Assign - no stylist yet",IF(G1014="","Add - no service chosen",IF(M1014="No show","No show - charge the fee?",IF(M1014="Cancelled","",IF(IF(M1014="Completed",AB1014&lt;Y1014-0.004,FALSE),"Unpaid - nothing rung up for this visit",IF(IF(B1014&lt;TodayDate,M1014="Booked",FALSE),"Overdue - past date, still only Booked",IF(IF(B1014=TodayDate,TRUE,FALSE),"Today",IF(IF(Z1014&gt;0,AA1014&lt;Z1014-0.004,FALSE),"Due - deposit not taken",IF(IF(B1014&gt;TodayDate,B1014&lt;=TodayDate+2,FALSE),"Confirm - coming up","OK")))))))))))</f>
        <v>0</v>
      </c>
    </row>
    <row r="1015" spans="1:34">
      <c r="A1015" s="28">
        <f>IF(B1015="","",AppointmentPrefix&amp;TEXT(ROW()-4,"0000"))</f>
        <v>0</v>
      </c>
      <c r="C1015" s="15">
        <f>IF(B1015="","",TEXT(B1015,"ddd"))</f>
        <v>0</v>
      </c>
      <c r="F1015" s="15">
        <f>IF(E1015="","",IFERROR(INDEX(Clients!$B$5:$B$504,MATCH(E1015,Clients!$A$5:$A$504,0)),"Walk-in"))</f>
        <v>0</v>
      </c>
      <c r="H1015" s="15">
        <f>IF(G1015="","",IFERROR(INDEX(Services!$B$5:$B$204,MATCH(G1015,Services!$A$5:$A$204,0)),"Not in Services"))</f>
        <v>0</v>
      </c>
      <c r="J1015" s="15">
        <f>IF(I1015="","",IFERROR(INDEX(Staff!$B$5:$B$44,MATCH(I1015,Staff!$A$5:$A$44,0)),"Unassigned"))</f>
        <v>0</v>
      </c>
      <c r="S1015" s="15">
        <f>IF(B1015="","",TEXT(B1015,"yyyy-mm"))</f>
        <v>0</v>
      </c>
      <c r="T1015" s="25">
        <f>IF(B1015="","",WEEKNUM(B1015,2))</f>
        <v>0</v>
      </c>
      <c r="U1015" s="25">
        <f>IF(B1015="","",IF(K1015&lt;&gt;"",K1015,IFERROR(INDEX(Services!$E$5:$E$204,MATCH(G1015,Services!$A$5:$A$204,0))*1,0)+IFERROR(INDEX(Services!$F$5:$F$204,MATCH(G1015,Services!$A$5:$A$204,0))*1,0)))</f>
        <v>0</v>
      </c>
      <c r="V1015" s="36">
        <f>IF(B1015="","",IF(D1015="","",D1015+U1015/1440))</f>
        <v>0</v>
      </c>
      <c r="W1015" s="25">
        <f>IF(B1015="","",IF(D1015="","",HOUR(D1015)))</f>
        <v>0</v>
      </c>
      <c r="X1015" s="37">
        <f>IF(B1015="","",ROUND(U1015/60,2))</f>
        <v>0</v>
      </c>
      <c r="Y1015" s="26">
        <f>IF(B1015="","",IF(L1015&lt;&gt;"",L1015,IFERROR(INDEX(Services!$G$5:$G$204,MATCH(G1015,Services!$A$5:$A$204,0))*1,0)))</f>
        <v>0</v>
      </c>
      <c r="Z1015" s="26">
        <f>IF(B1015="","",IF(O1015&lt;&gt;"",O1015,IF(Y1015&gt;=DepositThreshold,ROUND(Y1015*DepositPercent,2),0)))</f>
        <v>0</v>
      </c>
      <c r="AA1015" s="26">
        <f>IF(B1015="","",ROUND(SUMIFS(Payments!$G$5:$G$1204,Payments!$I$5:$I$1204,A1015,Payments!$E$5:$E$1204,"Deposit"),2))</f>
        <v>0</v>
      </c>
      <c r="AB1015" s="26">
        <f>IF(B1015="","",ROUND(SUMIFS(Sales!$Y$5:$Y$1204,Sales!$C$5:$C$1204,A1015),2))</f>
        <v>0</v>
      </c>
      <c r="AC1015" s="38">
        <f>IF(B1015="","",IF(M1015="Completed","Yes",IF(M1015="Cancelled","Yes",IF(M1015="No show","Yes","No"))))</f>
        <v>0</v>
      </c>
      <c r="AD1015" s="25">
        <f>IF(B1015="","",IF(AE1015="","",B1015-AE1015))</f>
        <v>0</v>
      </c>
      <c r="AF1015" s="38">
        <f>IF(B1015="","",IF(M1015&lt;&gt;"Completed","",IF(E1015="","No",IF(COUNTIFS(Appointments!$E$5:$E$1204,E1015,Appointments!$B$5:$B$1204,"&gt;"&amp;B1015,Appointments!$M$5:$M$1204,"&lt;&gt;Cancelled")&gt;0,"Yes","No"))))</f>
        <v>0</v>
      </c>
      <c r="AG1015" s="38">
        <f>IF(B1015="","",IF(I1015="","",IF(D1015="","",IF(COUNTIFS($I$5:$I$1204,I1015,$B$5:$B$1204,B1015,$D$5:$D$1204,"&lt;"&amp;V1015,$V$5:$V$1204,"&gt;"&amp;D1015,$M$5:$M$1204,"&lt;&gt;Cancelled")&gt;1,"Clash",""))))</f>
        <v>0</v>
      </c>
      <c r="AH1015" s="39">
        <f>IF(B1015="","",IF(AG1015="Clash","Clash - stylist double booked",IF(I1015="","Assign - no stylist yet",IF(G1015="","Add - no service chosen",IF(M1015="No show","No show - charge the fee?",IF(M1015="Cancelled","",IF(IF(M1015="Completed",AB1015&lt;Y1015-0.004,FALSE),"Unpaid - nothing rung up for this visit",IF(IF(B1015&lt;TodayDate,M1015="Booked",FALSE),"Overdue - past date, still only Booked",IF(IF(B1015=TodayDate,TRUE,FALSE),"Today",IF(IF(Z1015&gt;0,AA1015&lt;Z1015-0.004,FALSE),"Due - deposit not taken",IF(IF(B1015&gt;TodayDate,B1015&lt;=TodayDate+2,FALSE),"Confirm - coming up","OK")))))))))))</f>
        <v>0</v>
      </c>
    </row>
    <row r="1016" spans="1:34">
      <c r="A1016" s="28">
        <f>IF(B1016="","",AppointmentPrefix&amp;TEXT(ROW()-4,"0000"))</f>
        <v>0</v>
      </c>
      <c r="C1016" s="15">
        <f>IF(B1016="","",TEXT(B1016,"ddd"))</f>
        <v>0</v>
      </c>
      <c r="F1016" s="15">
        <f>IF(E1016="","",IFERROR(INDEX(Clients!$B$5:$B$504,MATCH(E1016,Clients!$A$5:$A$504,0)),"Walk-in"))</f>
        <v>0</v>
      </c>
      <c r="H1016" s="15">
        <f>IF(G1016="","",IFERROR(INDEX(Services!$B$5:$B$204,MATCH(G1016,Services!$A$5:$A$204,0)),"Not in Services"))</f>
        <v>0</v>
      </c>
      <c r="J1016" s="15">
        <f>IF(I1016="","",IFERROR(INDEX(Staff!$B$5:$B$44,MATCH(I1016,Staff!$A$5:$A$44,0)),"Unassigned"))</f>
        <v>0</v>
      </c>
      <c r="S1016" s="15">
        <f>IF(B1016="","",TEXT(B1016,"yyyy-mm"))</f>
        <v>0</v>
      </c>
      <c r="T1016" s="25">
        <f>IF(B1016="","",WEEKNUM(B1016,2))</f>
        <v>0</v>
      </c>
      <c r="U1016" s="25">
        <f>IF(B1016="","",IF(K1016&lt;&gt;"",K1016,IFERROR(INDEX(Services!$E$5:$E$204,MATCH(G1016,Services!$A$5:$A$204,0))*1,0)+IFERROR(INDEX(Services!$F$5:$F$204,MATCH(G1016,Services!$A$5:$A$204,0))*1,0)))</f>
        <v>0</v>
      </c>
      <c r="V1016" s="36">
        <f>IF(B1016="","",IF(D1016="","",D1016+U1016/1440))</f>
        <v>0</v>
      </c>
      <c r="W1016" s="25">
        <f>IF(B1016="","",IF(D1016="","",HOUR(D1016)))</f>
        <v>0</v>
      </c>
      <c r="X1016" s="37">
        <f>IF(B1016="","",ROUND(U1016/60,2))</f>
        <v>0</v>
      </c>
      <c r="Y1016" s="26">
        <f>IF(B1016="","",IF(L1016&lt;&gt;"",L1016,IFERROR(INDEX(Services!$G$5:$G$204,MATCH(G1016,Services!$A$5:$A$204,0))*1,0)))</f>
        <v>0</v>
      </c>
      <c r="Z1016" s="26">
        <f>IF(B1016="","",IF(O1016&lt;&gt;"",O1016,IF(Y1016&gt;=DepositThreshold,ROUND(Y1016*DepositPercent,2),0)))</f>
        <v>0</v>
      </c>
      <c r="AA1016" s="26">
        <f>IF(B1016="","",ROUND(SUMIFS(Payments!$G$5:$G$1204,Payments!$I$5:$I$1204,A1016,Payments!$E$5:$E$1204,"Deposit"),2))</f>
        <v>0</v>
      </c>
      <c r="AB1016" s="26">
        <f>IF(B1016="","",ROUND(SUMIFS(Sales!$Y$5:$Y$1204,Sales!$C$5:$C$1204,A1016),2))</f>
        <v>0</v>
      </c>
      <c r="AC1016" s="38">
        <f>IF(B1016="","",IF(M1016="Completed","Yes",IF(M1016="Cancelled","Yes",IF(M1016="No show","Yes","No"))))</f>
        <v>0</v>
      </c>
      <c r="AD1016" s="25">
        <f>IF(B1016="","",IF(AE1016="","",B1016-AE1016))</f>
        <v>0</v>
      </c>
      <c r="AF1016" s="38">
        <f>IF(B1016="","",IF(M1016&lt;&gt;"Completed","",IF(E1016="","No",IF(COUNTIFS(Appointments!$E$5:$E$1204,E1016,Appointments!$B$5:$B$1204,"&gt;"&amp;B1016,Appointments!$M$5:$M$1204,"&lt;&gt;Cancelled")&gt;0,"Yes","No"))))</f>
        <v>0</v>
      </c>
      <c r="AG1016" s="38">
        <f>IF(B1016="","",IF(I1016="","",IF(D1016="","",IF(COUNTIFS($I$5:$I$1204,I1016,$B$5:$B$1204,B1016,$D$5:$D$1204,"&lt;"&amp;V1016,$V$5:$V$1204,"&gt;"&amp;D1016,$M$5:$M$1204,"&lt;&gt;Cancelled")&gt;1,"Clash",""))))</f>
        <v>0</v>
      </c>
      <c r="AH1016" s="39">
        <f>IF(B1016="","",IF(AG1016="Clash","Clash - stylist double booked",IF(I1016="","Assign - no stylist yet",IF(G1016="","Add - no service chosen",IF(M1016="No show","No show - charge the fee?",IF(M1016="Cancelled","",IF(IF(M1016="Completed",AB1016&lt;Y1016-0.004,FALSE),"Unpaid - nothing rung up for this visit",IF(IF(B1016&lt;TodayDate,M1016="Booked",FALSE),"Overdue - past date, still only Booked",IF(IF(B1016=TodayDate,TRUE,FALSE),"Today",IF(IF(Z1016&gt;0,AA1016&lt;Z1016-0.004,FALSE),"Due - deposit not taken",IF(IF(B1016&gt;TodayDate,B1016&lt;=TodayDate+2,FALSE),"Confirm - coming up","OK")))))))))))</f>
        <v>0</v>
      </c>
    </row>
    <row r="1017" spans="1:34">
      <c r="A1017" s="28">
        <f>IF(B1017="","",AppointmentPrefix&amp;TEXT(ROW()-4,"0000"))</f>
        <v>0</v>
      </c>
      <c r="C1017" s="15">
        <f>IF(B1017="","",TEXT(B1017,"ddd"))</f>
        <v>0</v>
      </c>
      <c r="F1017" s="15">
        <f>IF(E1017="","",IFERROR(INDEX(Clients!$B$5:$B$504,MATCH(E1017,Clients!$A$5:$A$504,0)),"Walk-in"))</f>
        <v>0</v>
      </c>
      <c r="H1017" s="15">
        <f>IF(G1017="","",IFERROR(INDEX(Services!$B$5:$B$204,MATCH(G1017,Services!$A$5:$A$204,0)),"Not in Services"))</f>
        <v>0</v>
      </c>
      <c r="J1017" s="15">
        <f>IF(I1017="","",IFERROR(INDEX(Staff!$B$5:$B$44,MATCH(I1017,Staff!$A$5:$A$44,0)),"Unassigned"))</f>
        <v>0</v>
      </c>
      <c r="S1017" s="15">
        <f>IF(B1017="","",TEXT(B1017,"yyyy-mm"))</f>
        <v>0</v>
      </c>
      <c r="T1017" s="25">
        <f>IF(B1017="","",WEEKNUM(B1017,2))</f>
        <v>0</v>
      </c>
      <c r="U1017" s="25">
        <f>IF(B1017="","",IF(K1017&lt;&gt;"",K1017,IFERROR(INDEX(Services!$E$5:$E$204,MATCH(G1017,Services!$A$5:$A$204,0))*1,0)+IFERROR(INDEX(Services!$F$5:$F$204,MATCH(G1017,Services!$A$5:$A$204,0))*1,0)))</f>
        <v>0</v>
      </c>
      <c r="V1017" s="36">
        <f>IF(B1017="","",IF(D1017="","",D1017+U1017/1440))</f>
        <v>0</v>
      </c>
      <c r="W1017" s="25">
        <f>IF(B1017="","",IF(D1017="","",HOUR(D1017)))</f>
        <v>0</v>
      </c>
      <c r="X1017" s="37">
        <f>IF(B1017="","",ROUND(U1017/60,2))</f>
        <v>0</v>
      </c>
      <c r="Y1017" s="26">
        <f>IF(B1017="","",IF(L1017&lt;&gt;"",L1017,IFERROR(INDEX(Services!$G$5:$G$204,MATCH(G1017,Services!$A$5:$A$204,0))*1,0)))</f>
        <v>0</v>
      </c>
      <c r="Z1017" s="26">
        <f>IF(B1017="","",IF(O1017&lt;&gt;"",O1017,IF(Y1017&gt;=DepositThreshold,ROUND(Y1017*DepositPercent,2),0)))</f>
        <v>0</v>
      </c>
      <c r="AA1017" s="26">
        <f>IF(B1017="","",ROUND(SUMIFS(Payments!$G$5:$G$1204,Payments!$I$5:$I$1204,A1017,Payments!$E$5:$E$1204,"Deposit"),2))</f>
        <v>0</v>
      </c>
      <c r="AB1017" s="26">
        <f>IF(B1017="","",ROUND(SUMIFS(Sales!$Y$5:$Y$1204,Sales!$C$5:$C$1204,A1017),2))</f>
        <v>0</v>
      </c>
      <c r="AC1017" s="38">
        <f>IF(B1017="","",IF(M1017="Completed","Yes",IF(M1017="Cancelled","Yes",IF(M1017="No show","Yes","No"))))</f>
        <v>0</v>
      </c>
      <c r="AD1017" s="25">
        <f>IF(B1017="","",IF(AE1017="","",B1017-AE1017))</f>
        <v>0</v>
      </c>
      <c r="AF1017" s="38">
        <f>IF(B1017="","",IF(M1017&lt;&gt;"Completed","",IF(E1017="","No",IF(COUNTIFS(Appointments!$E$5:$E$1204,E1017,Appointments!$B$5:$B$1204,"&gt;"&amp;B1017,Appointments!$M$5:$M$1204,"&lt;&gt;Cancelled")&gt;0,"Yes","No"))))</f>
        <v>0</v>
      </c>
      <c r="AG1017" s="38">
        <f>IF(B1017="","",IF(I1017="","",IF(D1017="","",IF(COUNTIFS($I$5:$I$1204,I1017,$B$5:$B$1204,B1017,$D$5:$D$1204,"&lt;"&amp;V1017,$V$5:$V$1204,"&gt;"&amp;D1017,$M$5:$M$1204,"&lt;&gt;Cancelled")&gt;1,"Clash",""))))</f>
        <v>0</v>
      </c>
      <c r="AH1017" s="39">
        <f>IF(B1017="","",IF(AG1017="Clash","Clash - stylist double booked",IF(I1017="","Assign - no stylist yet",IF(G1017="","Add - no service chosen",IF(M1017="No show","No show - charge the fee?",IF(M1017="Cancelled","",IF(IF(M1017="Completed",AB1017&lt;Y1017-0.004,FALSE),"Unpaid - nothing rung up for this visit",IF(IF(B1017&lt;TodayDate,M1017="Booked",FALSE),"Overdue - past date, still only Booked",IF(IF(B1017=TodayDate,TRUE,FALSE),"Today",IF(IF(Z1017&gt;0,AA1017&lt;Z1017-0.004,FALSE),"Due - deposit not taken",IF(IF(B1017&gt;TodayDate,B1017&lt;=TodayDate+2,FALSE),"Confirm - coming up","OK")))))))))))</f>
        <v>0</v>
      </c>
    </row>
    <row r="1018" spans="1:34">
      <c r="A1018" s="28">
        <f>IF(B1018="","",AppointmentPrefix&amp;TEXT(ROW()-4,"0000"))</f>
        <v>0</v>
      </c>
      <c r="C1018" s="15">
        <f>IF(B1018="","",TEXT(B1018,"ddd"))</f>
        <v>0</v>
      </c>
      <c r="F1018" s="15">
        <f>IF(E1018="","",IFERROR(INDEX(Clients!$B$5:$B$504,MATCH(E1018,Clients!$A$5:$A$504,0)),"Walk-in"))</f>
        <v>0</v>
      </c>
      <c r="H1018" s="15">
        <f>IF(G1018="","",IFERROR(INDEX(Services!$B$5:$B$204,MATCH(G1018,Services!$A$5:$A$204,0)),"Not in Services"))</f>
        <v>0</v>
      </c>
      <c r="J1018" s="15">
        <f>IF(I1018="","",IFERROR(INDEX(Staff!$B$5:$B$44,MATCH(I1018,Staff!$A$5:$A$44,0)),"Unassigned"))</f>
        <v>0</v>
      </c>
      <c r="S1018" s="15">
        <f>IF(B1018="","",TEXT(B1018,"yyyy-mm"))</f>
        <v>0</v>
      </c>
      <c r="T1018" s="25">
        <f>IF(B1018="","",WEEKNUM(B1018,2))</f>
        <v>0</v>
      </c>
      <c r="U1018" s="25">
        <f>IF(B1018="","",IF(K1018&lt;&gt;"",K1018,IFERROR(INDEX(Services!$E$5:$E$204,MATCH(G1018,Services!$A$5:$A$204,0))*1,0)+IFERROR(INDEX(Services!$F$5:$F$204,MATCH(G1018,Services!$A$5:$A$204,0))*1,0)))</f>
        <v>0</v>
      </c>
      <c r="V1018" s="36">
        <f>IF(B1018="","",IF(D1018="","",D1018+U1018/1440))</f>
        <v>0</v>
      </c>
      <c r="W1018" s="25">
        <f>IF(B1018="","",IF(D1018="","",HOUR(D1018)))</f>
        <v>0</v>
      </c>
      <c r="X1018" s="37">
        <f>IF(B1018="","",ROUND(U1018/60,2))</f>
        <v>0</v>
      </c>
      <c r="Y1018" s="26">
        <f>IF(B1018="","",IF(L1018&lt;&gt;"",L1018,IFERROR(INDEX(Services!$G$5:$G$204,MATCH(G1018,Services!$A$5:$A$204,0))*1,0)))</f>
        <v>0</v>
      </c>
      <c r="Z1018" s="26">
        <f>IF(B1018="","",IF(O1018&lt;&gt;"",O1018,IF(Y1018&gt;=DepositThreshold,ROUND(Y1018*DepositPercent,2),0)))</f>
        <v>0</v>
      </c>
      <c r="AA1018" s="26">
        <f>IF(B1018="","",ROUND(SUMIFS(Payments!$G$5:$G$1204,Payments!$I$5:$I$1204,A1018,Payments!$E$5:$E$1204,"Deposit"),2))</f>
        <v>0</v>
      </c>
      <c r="AB1018" s="26">
        <f>IF(B1018="","",ROUND(SUMIFS(Sales!$Y$5:$Y$1204,Sales!$C$5:$C$1204,A1018),2))</f>
        <v>0</v>
      </c>
      <c r="AC1018" s="38">
        <f>IF(B1018="","",IF(M1018="Completed","Yes",IF(M1018="Cancelled","Yes",IF(M1018="No show","Yes","No"))))</f>
        <v>0</v>
      </c>
      <c r="AD1018" s="25">
        <f>IF(B1018="","",IF(AE1018="","",B1018-AE1018))</f>
        <v>0</v>
      </c>
      <c r="AF1018" s="38">
        <f>IF(B1018="","",IF(M1018&lt;&gt;"Completed","",IF(E1018="","No",IF(COUNTIFS(Appointments!$E$5:$E$1204,E1018,Appointments!$B$5:$B$1204,"&gt;"&amp;B1018,Appointments!$M$5:$M$1204,"&lt;&gt;Cancelled")&gt;0,"Yes","No"))))</f>
        <v>0</v>
      </c>
      <c r="AG1018" s="38">
        <f>IF(B1018="","",IF(I1018="","",IF(D1018="","",IF(COUNTIFS($I$5:$I$1204,I1018,$B$5:$B$1204,B1018,$D$5:$D$1204,"&lt;"&amp;V1018,$V$5:$V$1204,"&gt;"&amp;D1018,$M$5:$M$1204,"&lt;&gt;Cancelled")&gt;1,"Clash",""))))</f>
        <v>0</v>
      </c>
      <c r="AH1018" s="39">
        <f>IF(B1018="","",IF(AG1018="Clash","Clash - stylist double booked",IF(I1018="","Assign - no stylist yet",IF(G1018="","Add - no service chosen",IF(M1018="No show","No show - charge the fee?",IF(M1018="Cancelled","",IF(IF(M1018="Completed",AB1018&lt;Y1018-0.004,FALSE),"Unpaid - nothing rung up for this visit",IF(IF(B1018&lt;TodayDate,M1018="Booked",FALSE),"Overdue - past date, still only Booked",IF(IF(B1018=TodayDate,TRUE,FALSE),"Today",IF(IF(Z1018&gt;0,AA1018&lt;Z1018-0.004,FALSE),"Due - deposit not taken",IF(IF(B1018&gt;TodayDate,B1018&lt;=TodayDate+2,FALSE),"Confirm - coming up","OK")))))))))))</f>
        <v>0</v>
      </c>
    </row>
    <row r="1019" spans="1:34">
      <c r="A1019" s="28">
        <f>IF(B1019="","",AppointmentPrefix&amp;TEXT(ROW()-4,"0000"))</f>
        <v>0</v>
      </c>
      <c r="C1019" s="15">
        <f>IF(B1019="","",TEXT(B1019,"ddd"))</f>
        <v>0</v>
      </c>
      <c r="F1019" s="15">
        <f>IF(E1019="","",IFERROR(INDEX(Clients!$B$5:$B$504,MATCH(E1019,Clients!$A$5:$A$504,0)),"Walk-in"))</f>
        <v>0</v>
      </c>
      <c r="H1019" s="15">
        <f>IF(G1019="","",IFERROR(INDEX(Services!$B$5:$B$204,MATCH(G1019,Services!$A$5:$A$204,0)),"Not in Services"))</f>
        <v>0</v>
      </c>
      <c r="J1019" s="15">
        <f>IF(I1019="","",IFERROR(INDEX(Staff!$B$5:$B$44,MATCH(I1019,Staff!$A$5:$A$44,0)),"Unassigned"))</f>
        <v>0</v>
      </c>
      <c r="S1019" s="15">
        <f>IF(B1019="","",TEXT(B1019,"yyyy-mm"))</f>
        <v>0</v>
      </c>
      <c r="T1019" s="25">
        <f>IF(B1019="","",WEEKNUM(B1019,2))</f>
        <v>0</v>
      </c>
      <c r="U1019" s="25">
        <f>IF(B1019="","",IF(K1019&lt;&gt;"",K1019,IFERROR(INDEX(Services!$E$5:$E$204,MATCH(G1019,Services!$A$5:$A$204,0))*1,0)+IFERROR(INDEX(Services!$F$5:$F$204,MATCH(G1019,Services!$A$5:$A$204,0))*1,0)))</f>
        <v>0</v>
      </c>
      <c r="V1019" s="36">
        <f>IF(B1019="","",IF(D1019="","",D1019+U1019/1440))</f>
        <v>0</v>
      </c>
      <c r="W1019" s="25">
        <f>IF(B1019="","",IF(D1019="","",HOUR(D1019)))</f>
        <v>0</v>
      </c>
      <c r="X1019" s="37">
        <f>IF(B1019="","",ROUND(U1019/60,2))</f>
        <v>0</v>
      </c>
      <c r="Y1019" s="26">
        <f>IF(B1019="","",IF(L1019&lt;&gt;"",L1019,IFERROR(INDEX(Services!$G$5:$G$204,MATCH(G1019,Services!$A$5:$A$204,0))*1,0)))</f>
        <v>0</v>
      </c>
      <c r="Z1019" s="26">
        <f>IF(B1019="","",IF(O1019&lt;&gt;"",O1019,IF(Y1019&gt;=DepositThreshold,ROUND(Y1019*DepositPercent,2),0)))</f>
        <v>0</v>
      </c>
      <c r="AA1019" s="26">
        <f>IF(B1019="","",ROUND(SUMIFS(Payments!$G$5:$G$1204,Payments!$I$5:$I$1204,A1019,Payments!$E$5:$E$1204,"Deposit"),2))</f>
        <v>0</v>
      </c>
      <c r="AB1019" s="26">
        <f>IF(B1019="","",ROUND(SUMIFS(Sales!$Y$5:$Y$1204,Sales!$C$5:$C$1204,A1019),2))</f>
        <v>0</v>
      </c>
      <c r="AC1019" s="38">
        <f>IF(B1019="","",IF(M1019="Completed","Yes",IF(M1019="Cancelled","Yes",IF(M1019="No show","Yes","No"))))</f>
        <v>0</v>
      </c>
      <c r="AD1019" s="25">
        <f>IF(B1019="","",IF(AE1019="","",B1019-AE1019))</f>
        <v>0</v>
      </c>
      <c r="AF1019" s="38">
        <f>IF(B1019="","",IF(M1019&lt;&gt;"Completed","",IF(E1019="","No",IF(COUNTIFS(Appointments!$E$5:$E$1204,E1019,Appointments!$B$5:$B$1204,"&gt;"&amp;B1019,Appointments!$M$5:$M$1204,"&lt;&gt;Cancelled")&gt;0,"Yes","No"))))</f>
        <v>0</v>
      </c>
      <c r="AG1019" s="38">
        <f>IF(B1019="","",IF(I1019="","",IF(D1019="","",IF(COUNTIFS($I$5:$I$1204,I1019,$B$5:$B$1204,B1019,$D$5:$D$1204,"&lt;"&amp;V1019,$V$5:$V$1204,"&gt;"&amp;D1019,$M$5:$M$1204,"&lt;&gt;Cancelled")&gt;1,"Clash",""))))</f>
        <v>0</v>
      </c>
      <c r="AH1019" s="39">
        <f>IF(B1019="","",IF(AG1019="Clash","Clash - stylist double booked",IF(I1019="","Assign - no stylist yet",IF(G1019="","Add - no service chosen",IF(M1019="No show","No show - charge the fee?",IF(M1019="Cancelled","",IF(IF(M1019="Completed",AB1019&lt;Y1019-0.004,FALSE),"Unpaid - nothing rung up for this visit",IF(IF(B1019&lt;TodayDate,M1019="Booked",FALSE),"Overdue - past date, still only Booked",IF(IF(B1019=TodayDate,TRUE,FALSE),"Today",IF(IF(Z1019&gt;0,AA1019&lt;Z1019-0.004,FALSE),"Due - deposit not taken",IF(IF(B1019&gt;TodayDate,B1019&lt;=TodayDate+2,FALSE),"Confirm - coming up","OK")))))))))))</f>
        <v>0</v>
      </c>
    </row>
    <row r="1020" spans="1:34">
      <c r="A1020" s="28">
        <f>IF(B1020="","",AppointmentPrefix&amp;TEXT(ROW()-4,"0000"))</f>
        <v>0</v>
      </c>
      <c r="C1020" s="15">
        <f>IF(B1020="","",TEXT(B1020,"ddd"))</f>
        <v>0</v>
      </c>
      <c r="F1020" s="15">
        <f>IF(E1020="","",IFERROR(INDEX(Clients!$B$5:$B$504,MATCH(E1020,Clients!$A$5:$A$504,0)),"Walk-in"))</f>
        <v>0</v>
      </c>
      <c r="H1020" s="15">
        <f>IF(G1020="","",IFERROR(INDEX(Services!$B$5:$B$204,MATCH(G1020,Services!$A$5:$A$204,0)),"Not in Services"))</f>
        <v>0</v>
      </c>
      <c r="J1020" s="15">
        <f>IF(I1020="","",IFERROR(INDEX(Staff!$B$5:$B$44,MATCH(I1020,Staff!$A$5:$A$44,0)),"Unassigned"))</f>
        <v>0</v>
      </c>
      <c r="S1020" s="15">
        <f>IF(B1020="","",TEXT(B1020,"yyyy-mm"))</f>
        <v>0</v>
      </c>
      <c r="T1020" s="25">
        <f>IF(B1020="","",WEEKNUM(B1020,2))</f>
        <v>0</v>
      </c>
      <c r="U1020" s="25">
        <f>IF(B1020="","",IF(K1020&lt;&gt;"",K1020,IFERROR(INDEX(Services!$E$5:$E$204,MATCH(G1020,Services!$A$5:$A$204,0))*1,0)+IFERROR(INDEX(Services!$F$5:$F$204,MATCH(G1020,Services!$A$5:$A$204,0))*1,0)))</f>
        <v>0</v>
      </c>
      <c r="V1020" s="36">
        <f>IF(B1020="","",IF(D1020="","",D1020+U1020/1440))</f>
        <v>0</v>
      </c>
      <c r="W1020" s="25">
        <f>IF(B1020="","",IF(D1020="","",HOUR(D1020)))</f>
        <v>0</v>
      </c>
      <c r="X1020" s="37">
        <f>IF(B1020="","",ROUND(U1020/60,2))</f>
        <v>0</v>
      </c>
      <c r="Y1020" s="26">
        <f>IF(B1020="","",IF(L1020&lt;&gt;"",L1020,IFERROR(INDEX(Services!$G$5:$G$204,MATCH(G1020,Services!$A$5:$A$204,0))*1,0)))</f>
        <v>0</v>
      </c>
      <c r="Z1020" s="26">
        <f>IF(B1020="","",IF(O1020&lt;&gt;"",O1020,IF(Y1020&gt;=DepositThreshold,ROUND(Y1020*DepositPercent,2),0)))</f>
        <v>0</v>
      </c>
      <c r="AA1020" s="26">
        <f>IF(B1020="","",ROUND(SUMIFS(Payments!$G$5:$G$1204,Payments!$I$5:$I$1204,A1020,Payments!$E$5:$E$1204,"Deposit"),2))</f>
        <v>0</v>
      </c>
      <c r="AB1020" s="26">
        <f>IF(B1020="","",ROUND(SUMIFS(Sales!$Y$5:$Y$1204,Sales!$C$5:$C$1204,A1020),2))</f>
        <v>0</v>
      </c>
      <c r="AC1020" s="38">
        <f>IF(B1020="","",IF(M1020="Completed","Yes",IF(M1020="Cancelled","Yes",IF(M1020="No show","Yes","No"))))</f>
        <v>0</v>
      </c>
      <c r="AD1020" s="25">
        <f>IF(B1020="","",IF(AE1020="","",B1020-AE1020))</f>
        <v>0</v>
      </c>
      <c r="AF1020" s="38">
        <f>IF(B1020="","",IF(M1020&lt;&gt;"Completed","",IF(E1020="","No",IF(COUNTIFS(Appointments!$E$5:$E$1204,E1020,Appointments!$B$5:$B$1204,"&gt;"&amp;B1020,Appointments!$M$5:$M$1204,"&lt;&gt;Cancelled")&gt;0,"Yes","No"))))</f>
        <v>0</v>
      </c>
      <c r="AG1020" s="38">
        <f>IF(B1020="","",IF(I1020="","",IF(D1020="","",IF(COUNTIFS($I$5:$I$1204,I1020,$B$5:$B$1204,B1020,$D$5:$D$1204,"&lt;"&amp;V1020,$V$5:$V$1204,"&gt;"&amp;D1020,$M$5:$M$1204,"&lt;&gt;Cancelled")&gt;1,"Clash",""))))</f>
        <v>0</v>
      </c>
      <c r="AH1020" s="39">
        <f>IF(B1020="","",IF(AG1020="Clash","Clash - stylist double booked",IF(I1020="","Assign - no stylist yet",IF(G1020="","Add - no service chosen",IF(M1020="No show","No show - charge the fee?",IF(M1020="Cancelled","",IF(IF(M1020="Completed",AB1020&lt;Y1020-0.004,FALSE),"Unpaid - nothing rung up for this visit",IF(IF(B1020&lt;TodayDate,M1020="Booked",FALSE),"Overdue - past date, still only Booked",IF(IF(B1020=TodayDate,TRUE,FALSE),"Today",IF(IF(Z1020&gt;0,AA1020&lt;Z1020-0.004,FALSE),"Due - deposit not taken",IF(IF(B1020&gt;TodayDate,B1020&lt;=TodayDate+2,FALSE),"Confirm - coming up","OK")))))))))))</f>
        <v>0</v>
      </c>
    </row>
    <row r="1021" spans="1:34">
      <c r="A1021" s="28">
        <f>IF(B1021="","",AppointmentPrefix&amp;TEXT(ROW()-4,"0000"))</f>
        <v>0</v>
      </c>
      <c r="C1021" s="15">
        <f>IF(B1021="","",TEXT(B1021,"ddd"))</f>
        <v>0</v>
      </c>
      <c r="F1021" s="15">
        <f>IF(E1021="","",IFERROR(INDEX(Clients!$B$5:$B$504,MATCH(E1021,Clients!$A$5:$A$504,0)),"Walk-in"))</f>
        <v>0</v>
      </c>
      <c r="H1021" s="15">
        <f>IF(G1021="","",IFERROR(INDEX(Services!$B$5:$B$204,MATCH(G1021,Services!$A$5:$A$204,0)),"Not in Services"))</f>
        <v>0</v>
      </c>
      <c r="J1021" s="15">
        <f>IF(I1021="","",IFERROR(INDEX(Staff!$B$5:$B$44,MATCH(I1021,Staff!$A$5:$A$44,0)),"Unassigned"))</f>
        <v>0</v>
      </c>
      <c r="S1021" s="15">
        <f>IF(B1021="","",TEXT(B1021,"yyyy-mm"))</f>
        <v>0</v>
      </c>
      <c r="T1021" s="25">
        <f>IF(B1021="","",WEEKNUM(B1021,2))</f>
        <v>0</v>
      </c>
      <c r="U1021" s="25">
        <f>IF(B1021="","",IF(K1021&lt;&gt;"",K1021,IFERROR(INDEX(Services!$E$5:$E$204,MATCH(G1021,Services!$A$5:$A$204,0))*1,0)+IFERROR(INDEX(Services!$F$5:$F$204,MATCH(G1021,Services!$A$5:$A$204,0))*1,0)))</f>
        <v>0</v>
      </c>
      <c r="V1021" s="36">
        <f>IF(B1021="","",IF(D1021="","",D1021+U1021/1440))</f>
        <v>0</v>
      </c>
      <c r="W1021" s="25">
        <f>IF(B1021="","",IF(D1021="","",HOUR(D1021)))</f>
        <v>0</v>
      </c>
      <c r="X1021" s="37">
        <f>IF(B1021="","",ROUND(U1021/60,2))</f>
        <v>0</v>
      </c>
      <c r="Y1021" s="26">
        <f>IF(B1021="","",IF(L1021&lt;&gt;"",L1021,IFERROR(INDEX(Services!$G$5:$G$204,MATCH(G1021,Services!$A$5:$A$204,0))*1,0)))</f>
        <v>0</v>
      </c>
      <c r="Z1021" s="26">
        <f>IF(B1021="","",IF(O1021&lt;&gt;"",O1021,IF(Y1021&gt;=DepositThreshold,ROUND(Y1021*DepositPercent,2),0)))</f>
        <v>0</v>
      </c>
      <c r="AA1021" s="26">
        <f>IF(B1021="","",ROUND(SUMIFS(Payments!$G$5:$G$1204,Payments!$I$5:$I$1204,A1021,Payments!$E$5:$E$1204,"Deposit"),2))</f>
        <v>0</v>
      </c>
      <c r="AB1021" s="26">
        <f>IF(B1021="","",ROUND(SUMIFS(Sales!$Y$5:$Y$1204,Sales!$C$5:$C$1204,A1021),2))</f>
        <v>0</v>
      </c>
      <c r="AC1021" s="38">
        <f>IF(B1021="","",IF(M1021="Completed","Yes",IF(M1021="Cancelled","Yes",IF(M1021="No show","Yes","No"))))</f>
        <v>0</v>
      </c>
      <c r="AD1021" s="25">
        <f>IF(B1021="","",IF(AE1021="","",B1021-AE1021))</f>
        <v>0</v>
      </c>
      <c r="AF1021" s="38">
        <f>IF(B1021="","",IF(M1021&lt;&gt;"Completed","",IF(E1021="","No",IF(COUNTIFS(Appointments!$E$5:$E$1204,E1021,Appointments!$B$5:$B$1204,"&gt;"&amp;B1021,Appointments!$M$5:$M$1204,"&lt;&gt;Cancelled")&gt;0,"Yes","No"))))</f>
        <v>0</v>
      </c>
      <c r="AG1021" s="38">
        <f>IF(B1021="","",IF(I1021="","",IF(D1021="","",IF(COUNTIFS($I$5:$I$1204,I1021,$B$5:$B$1204,B1021,$D$5:$D$1204,"&lt;"&amp;V1021,$V$5:$V$1204,"&gt;"&amp;D1021,$M$5:$M$1204,"&lt;&gt;Cancelled")&gt;1,"Clash",""))))</f>
        <v>0</v>
      </c>
      <c r="AH1021" s="39">
        <f>IF(B1021="","",IF(AG1021="Clash","Clash - stylist double booked",IF(I1021="","Assign - no stylist yet",IF(G1021="","Add - no service chosen",IF(M1021="No show","No show - charge the fee?",IF(M1021="Cancelled","",IF(IF(M1021="Completed",AB1021&lt;Y1021-0.004,FALSE),"Unpaid - nothing rung up for this visit",IF(IF(B1021&lt;TodayDate,M1021="Booked",FALSE),"Overdue - past date, still only Booked",IF(IF(B1021=TodayDate,TRUE,FALSE),"Today",IF(IF(Z1021&gt;0,AA1021&lt;Z1021-0.004,FALSE),"Due - deposit not taken",IF(IF(B1021&gt;TodayDate,B1021&lt;=TodayDate+2,FALSE),"Confirm - coming up","OK")))))))))))</f>
        <v>0</v>
      </c>
    </row>
    <row r="1022" spans="1:34">
      <c r="A1022" s="28">
        <f>IF(B1022="","",AppointmentPrefix&amp;TEXT(ROW()-4,"0000"))</f>
        <v>0</v>
      </c>
      <c r="C1022" s="15">
        <f>IF(B1022="","",TEXT(B1022,"ddd"))</f>
        <v>0</v>
      </c>
      <c r="F1022" s="15">
        <f>IF(E1022="","",IFERROR(INDEX(Clients!$B$5:$B$504,MATCH(E1022,Clients!$A$5:$A$504,0)),"Walk-in"))</f>
        <v>0</v>
      </c>
      <c r="H1022" s="15">
        <f>IF(G1022="","",IFERROR(INDEX(Services!$B$5:$B$204,MATCH(G1022,Services!$A$5:$A$204,0)),"Not in Services"))</f>
        <v>0</v>
      </c>
      <c r="J1022" s="15">
        <f>IF(I1022="","",IFERROR(INDEX(Staff!$B$5:$B$44,MATCH(I1022,Staff!$A$5:$A$44,0)),"Unassigned"))</f>
        <v>0</v>
      </c>
      <c r="S1022" s="15">
        <f>IF(B1022="","",TEXT(B1022,"yyyy-mm"))</f>
        <v>0</v>
      </c>
      <c r="T1022" s="25">
        <f>IF(B1022="","",WEEKNUM(B1022,2))</f>
        <v>0</v>
      </c>
      <c r="U1022" s="25">
        <f>IF(B1022="","",IF(K1022&lt;&gt;"",K1022,IFERROR(INDEX(Services!$E$5:$E$204,MATCH(G1022,Services!$A$5:$A$204,0))*1,0)+IFERROR(INDEX(Services!$F$5:$F$204,MATCH(G1022,Services!$A$5:$A$204,0))*1,0)))</f>
        <v>0</v>
      </c>
      <c r="V1022" s="36">
        <f>IF(B1022="","",IF(D1022="","",D1022+U1022/1440))</f>
        <v>0</v>
      </c>
      <c r="W1022" s="25">
        <f>IF(B1022="","",IF(D1022="","",HOUR(D1022)))</f>
        <v>0</v>
      </c>
      <c r="X1022" s="37">
        <f>IF(B1022="","",ROUND(U1022/60,2))</f>
        <v>0</v>
      </c>
      <c r="Y1022" s="26">
        <f>IF(B1022="","",IF(L1022&lt;&gt;"",L1022,IFERROR(INDEX(Services!$G$5:$G$204,MATCH(G1022,Services!$A$5:$A$204,0))*1,0)))</f>
        <v>0</v>
      </c>
      <c r="Z1022" s="26">
        <f>IF(B1022="","",IF(O1022&lt;&gt;"",O1022,IF(Y1022&gt;=DepositThreshold,ROUND(Y1022*DepositPercent,2),0)))</f>
        <v>0</v>
      </c>
      <c r="AA1022" s="26">
        <f>IF(B1022="","",ROUND(SUMIFS(Payments!$G$5:$G$1204,Payments!$I$5:$I$1204,A1022,Payments!$E$5:$E$1204,"Deposit"),2))</f>
        <v>0</v>
      </c>
      <c r="AB1022" s="26">
        <f>IF(B1022="","",ROUND(SUMIFS(Sales!$Y$5:$Y$1204,Sales!$C$5:$C$1204,A1022),2))</f>
        <v>0</v>
      </c>
      <c r="AC1022" s="38">
        <f>IF(B1022="","",IF(M1022="Completed","Yes",IF(M1022="Cancelled","Yes",IF(M1022="No show","Yes","No"))))</f>
        <v>0</v>
      </c>
      <c r="AD1022" s="25">
        <f>IF(B1022="","",IF(AE1022="","",B1022-AE1022))</f>
        <v>0</v>
      </c>
      <c r="AF1022" s="38">
        <f>IF(B1022="","",IF(M1022&lt;&gt;"Completed","",IF(E1022="","No",IF(COUNTIFS(Appointments!$E$5:$E$1204,E1022,Appointments!$B$5:$B$1204,"&gt;"&amp;B1022,Appointments!$M$5:$M$1204,"&lt;&gt;Cancelled")&gt;0,"Yes","No"))))</f>
        <v>0</v>
      </c>
      <c r="AG1022" s="38">
        <f>IF(B1022="","",IF(I1022="","",IF(D1022="","",IF(COUNTIFS($I$5:$I$1204,I1022,$B$5:$B$1204,B1022,$D$5:$D$1204,"&lt;"&amp;V1022,$V$5:$V$1204,"&gt;"&amp;D1022,$M$5:$M$1204,"&lt;&gt;Cancelled")&gt;1,"Clash",""))))</f>
        <v>0</v>
      </c>
      <c r="AH1022" s="39">
        <f>IF(B1022="","",IF(AG1022="Clash","Clash - stylist double booked",IF(I1022="","Assign - no stylist yet",IF(G1022="","Add - no service chosen",IF(M1022="No show","No show - charge the fee?",IF(M1022="Cancelled","",IF(IF(M1022="Completed",AB1022&lt;Y1022-0.004,FALSE),"Unpaid - nothing rung up for this visit",IF(IF(B1022&lt;TodayDate,M1022="Booked",FALSE),"Overdue - past date, still only Booked",IF(IF(B1022=TodayDate,TRUE,FALSE),"Today",IF(IF(Z1022&gt;0,AA1022&lt;Z1022-0.004,FALSE),"Due - deposit not taken",IF(IF(B1022&gt;TodayDate,B1022&lt;=TodayDate+2,FALSE),"Confirm - coming up","OK")))))))))))</f>
        <v>0</v>
      </c>
    </row>
    <row r="1023" spans="1:34">
      <c r="A1023" s="28">
        <f>IF(B1023="","",AppointmentPrefix&amp;TEXT(ROW()-4,"0000"))</f>
        <v>0</v>
      </c>
      <c r="C1023" s="15">
        <f>IF(B1023="","",TEXT(B1023,"ddd"))</f>
        <v>0</v>
      </c>
      <c r="F1023" s="15">
        <f>IF(E1023="","",IFERROR(INDEX(Clients!$B$5:$B$504,MATCH(E1023,Clients!$A$5:$A$504,0)),"Walk-in"))</f>
        <v>0</v>
      </c>
      <c r="H1023" s="15">
        <f>IF(G1023="","",IFERROR(INDEX(Services!$B$5:$B$204,MATCH(G1023,Services!$A$5:$A$204,0)),"Not in Services"))</f>
        <v>0</v>
      </c>
      <c r="J1023" s="15">
        <f>IF(I1023="","",IFERROR(INDEX(Staff!$B$5:$B$44,MATCH(I1023,Staff!$A$5:$A$44,0)),"Unassigned"))</f>
        <v>0</v>
      </c>
      <c r="S1023" s="15">
        <f>IF(B1023="","",TEXT(B1023,"yyyy-mm"))</f>
        <v>0</v>
      </c>
      <c r="T1023" s="25">
        <f>IF(B1023="","",WEEKNUM(B1023,2))</f>
        <v>0</v>
      </c>
      <c r="U1023" s="25">
        <f>IF(B1023="","",IF(K1023&lt;&gt;"",K1023,IFERROR(INDEX(Services!$E$5:$E$204,MATCH(G1023,Services!$A$5:$A$204,0))*1,0)+IFERROR(INDEX(Services!$F$5:$F$204,MATCH(G1023,Services!$A$5:$A$204,0))*1,0)))</f>
        <v>0</v>
      </c>
      <c r="V1023" s="36">
        <f>IF(B1023="","",IF(D1023="","",D1023+U1023/1440))</f>
        <v>0</v>
      </c>
      <c r="W1023" s="25">
        <f>IF(B1023="","",IF(D1023="","",HOUR(D1023)))</f>
        <v>0</v>
      </c>
      <c r="X1023" s="37">
        <f>IF(B1023="","",ROUND(U1023/60,2))</f>
        <v>0</v>
      </c>
      <c r="Y1023" s="26">
        <f>IF(B1023="","",IF(L1023&lt;&gt;"",L1023,IFERROR(INDEX(Services!$G$5:$G$204,MATCH(G1023,Services!$A$5:$A$204,0))*1,0)))</f>
        <v>0</v>
      </c>
      <c r="Z1023" s="26">
        <f>IF(B1023="","",IF(O1023&lt;&gt;"",O1023,IF(Y1023&gt;=DepositThreshold,ROUND(Y1023*DepositPercent,2),0)))</f>
        <v>0</v>
      </c>
      <c r="AA1023" s="26">
        <f>IF(B1023="","",ROUND(SUMIFS(Payments!$G$5:$G$1204,Payments!$I$5:$I$1204,A1023,Payments!$E$5:$E$1204,"Deposit"),2))</f>
        <v>0</v>
      </c>
      <c r="AB1023" s="26">
        <f>IF(B1023="","",ROUND(SUMIFS(Sales!$Y$5:$Y$1204,Sales!$C$5:$C$1204,A1023),2))</f>
        <v>0</v>
      </c>
      <c r="AC1023" s="38">
        <f>IF(B1023="","",IF(M1023="Completed","Yes",IF(M1023="Cancelled","Yes",IF(M1023="No show","Yes","No"))))</f>
        <v>0</v>
      </c>
      <c r="AD1023" s="25">
        <f>IF(B1023="","",IF(AE1023="","",B1023-AE1023))</f>
        <v>0</v>
      </c>
      <c r="AF1023" s="38">
        <f>IF(B1023="","",IF(M1023&lt;&gt;"Completed","",IF(E1023="","No",IF(COUNTIFS(Appointments!$E$5:$E$1204,E1023,Appointments!$B$5:$B$1204,"&gt;"&amp;B1023,Appointments!$M$5:$M$1204,"&lt;&gt;Cancelled")&gt;0,"Yes","No"))))</f>
        <v>0</v>
      </c>
      <c r="AG1023" s="38">
        <f>IF(B1023="","",IF(I1023="","",IF(D1023="","",IF(COUNTIFS($I$5:$I$1204,I1023,$B$5:$B$1204,B1023,$D$5:$D$1204,"&lt;"&amp;V1023,$V$5:$V$1204,"&gt;"&amp;D1023,$M$5:$M$1204,"&lt;&gt;Cancelled")&gt;1,"Clash",""))))</f>
        <v>0</v>
      </c>
      <c r="AH1023" s="39">
        <f>IF(B1023="","",IF(AG1023="Clash","Clash - stylist double booked",IF(I1023="","Assign - no stylist yet",IF(G1023="","Add - no service chosen",IF(M1023="No show","No show - charge the fee?",IF(M1023="Cancelled","",IF(IF(M1023="Completed",AB1023&lt;Y1023-0.004,FALSE),"Unpaid - nothing rung up for this visit",IF(IF(B1023&lt;TodayDate,M1023="Booked",FALSE),"Overdue - past date, still only Booked",IF(IF(B1023=TodayDate,TRUE,FALSE),"Today",IF(IF(Z1023&gt;0,AA1023&lt;Z1023-0.004,FALSE),"Due - deposit not taken",IF(IF(B1023&gt;TodayDate,B1023&lt;=TodayDate+2,FALSE),"Confirm - coming up","OK")))))))))))</f>
        <v>0</v>
      </c>
    </row>
    <row r="1024" spans="1:34">
      <c r="A1024" s="28">
        <f>IF(B1024="","",AppointmentPrefix&amp;TEXT(ROW()-4,"0000"))</f>
        <v>0</v>
      </c>
      <c r="C1024" s="15">
        <f>IF(B1024="","",TEXT(B1024,"ddd"))</f>
        <v>0</v>
      </c>
      <c r="F1024" s="15">
        <f>IF(E1024="","",IFERROR(INDEX(Clients!$B$5:$B$504,MATCH(E1024,Clients!$A$5:$A$504,0)),"Walk-in"))</f>
        <v>0</v>
      </c>
      <c r="H1024" s="15">
        <f>IF(G1024="","",IFERROR(INDEX(Services!$B$5:$B$204,MATCH(G1024,Services!$A$5:$A$204,0)),"Not in Services"))</f>
        <v>0</v>
      </c>
      <c r="J1024" s="15">
        <f>IF(I1024="","",IFERROR(INDEX(Staff!$B$5:$B$44,MATCH(I1024,Staff!$A$5:$A$44,0)),"Unassigned"))</f>
        <v>0</v>
      </c>
      <c r="S1024" s="15">
        <f>IF(B1024="","",TEXT(B1024,"yyyy-mm"))</f>
        <v>0</v>
      </c>
      <c r="T1024" s="25">
        <f>IF(B1024="","",WEEKNUM(B1024,2))</f>
        <v>0</v>
      </c>
      <c r="U1024" s="25">
        <f>IF(B1024="","",IF(K1024&lt;&gt;"",K1024,IFERROR(INDEX(Services!$E$5:$E$204,MATCH(G1024,Services!$A$5:$A$204,0))*1,0)+IFERROR(INDEX(Services!$F$5:$F$204,MATCH(G1024,Services!$A$5:$A$204,0))*1,0)))</f>
        <v>0</v>
      </c>
      <c r="V1024" s="36">
        <f>IF(B1024="","",IF(D1024="","",D1024+U1024/1440))</f>
        <v>0</v>
      </c>
      <c r="W1024" s="25">
        <f>IF(B1024="","",IF(D1024="","",HOUR(D1024)))</f>
        <v>0</v>
      </c>
      <c r="X1024" s="37">
        <f>IF(B1024="","",ROUND(U1024/60,2))</f>
        <v>0</v>
      </c>
      <c r="Y1024" s="26">
        <f>IF(B1024="","",IF(L1024&lt;&gt;"",L1024,IFERROR(INDEX(Services!$G$5:$G$204,MATCH(G1024,Services!$A$5:$A$204,0))*1,0)))</f>
        <v>0</v>
      </c>
      <c r="Z1024" s="26">
        <f>IF(B1024="","",IF(O1024&lt;&gt;"",O1024,IF(Y1024&gt;=DepositThreshold,ROUND(Y1024*DepositPercent,2),0)))</f>
        <v>0</v>
      </c>
      <c r="AA1024" s="26">
        <f>IF(B1024="","",ROUND(SUMIFS(Payments!$G$5:$G$1204,Payments!$I$5:$I$1204,A1024,Payments!$E$5:$E$1204,"Deposit"),2))</f>
        <v>0</v>
      </c>
      <c r="AB1024" s="26">
        <f>IF(B1024="","",ROUND(SUMIFS(Sales!$Y$5:$Y$1204,Sales!$C$5:$C$1204,A1024),2))</f>
        <v>0</v>
      </c>
      <c r="AC1024" s="38">
        <f>IF(B1024="","",IF(M1024="Completed","Yes",IF(M1024="Cancelled","Yes",IF(M1024="No show","Yes","No"))))</f>
        <v>0</v>
      </c>
      <c r="AD1024" s="25">
        <f>IF(B1024="","",IF(AE1024="","",B1024-AE1024))</f>
        <v>0</v>
      </c>
      <c r="AF1024" s="38">
        <f>IF(B1024="","",IF(M1024&lt;&gt;"Completed","",IF(E1024="","No",IF(COUNTIFS(Appointments!$E$5:$E$1204,E1024,Appointments!$B$5:$B$1204,"&gt;"&amp;B1024,Appointments!$M$5:$M$1204,"&lt;&gt;Cancelled")&gt;0,"Yes","No"))))</f>
        <v>0</v>
      </c>
      <c r="AG1024" s="38">
        <f>IF(B1024="","",IF(I1024="","",IF(D1024="","",IF(COUNTIFS($I$5:$I$1204,I1024,$B$5:$B$1204,B1024,$D$5:$D$1204,"&lt;"&amp;V1024,$V$5:$V$1204,"&gt;"&amp;D1024,$M$5:$M$1204,"&lt;&gt;Cancelled")&gt;1,"Clash",""))))</f>
        <v>0</v>
      </c>
      <c r="AH1024" s="39">
        <f>IF(B1024="","",IF(AG1024="Clash","Clash - stylist double booked",IF(I1024="","Assign - no stylist yet",IF(G1024="","Add - no service chosen",IF(M1024="No show","No show - charge the fee?",IF(M1024="Cancelled","",IF(IF(M1024="Completed",AB1024&lt;Y1024-0.004,FALSE),"Unpaid - nothing rung up for this visit",IF(IF(B1024&lt;TodayDate,M1024="Booked",FALSE),"Overdue - past date, still only Booked",IF(IF(B1024=TodayDate,TRUE,FALSE),"Today",IF(IF(Z1024&gt;0,AA1024&lt;Z1024-0.004,FALSE),"Due - deposit not taken",IF(IF(B1024&gt;TodayDate,B1024&lt;=TodayDate+2,FALSE),"Confirm - coming up","OK")))))))))))</f>
        <v>0</v>
      </c>
    </row>
    <row r="1025" spans="1:34">
      <c r="A1025" s="28">
        <f>IF(B1025="","",AppointmentPrefix&amp;TEXT(ROW()-4,"0000"))</f>
        <v>0</v>
      </c>
      <c r="C1025" s="15">
        <f>IF(B1025="","",TEXT(B1025,"ddd"))</f>
        <v>0</v>
      </c>
      <c r="F1025" s="15">
        <f>IF(E1025="","",IFERROR(INDEX(Clients!$B$5:$B$504,MATCH(E1025,Clients!$A$5:$A$504,0)),"Walk-in"))</f>
        <v>0</v>
      </c>
      <c r="H1025" s="15">
        <f>IF(G1025="","",IFERROR(INDEX(Services!$B$5:$B$204,MATCH(G1025,Services!$A$5:$A$204,0)),"Not in Services"))</f>
        <v>0</v>
      </c>
      <c r="J1025" s="15">
        <f>IF(I1025="","",IFERROR(INDEX(Staff!$B$5:$B$44,MATCH(I1025,Staff!$A$5:$A$44,0)),"Unassigned"))</f>
        <v>0</v>
      </c>
      <c r="S1025" s="15">
        <f>IF(B1025="","",TEXT(B1025,"yyyy-mm"))</f>
        <v>0</v>
      </c>
      <c r="T1025" s="25">
        <f>IF(B1025="","",WEEKNUM(B1025,2))</f>
        <v>0</v>
      </c>
      <c r="U1025" s="25">
        <f>IF(B1025="","",IF(K1025&lt;&gt;"",K1025,IFERROR(INDEX(Services!$E$5:$E$204,MATCH(G1025,Services!$A$5:$A$204,0))*1,0)+IFERROR(INDEX(Services!$F$5:$F$204,MATCH(G1025,Services!$A$5:$A$204,0))*1,0)))</f>
        <v>0</v>
      </c>
      <c r="V1025" s="36">
        <f>IF(B1025="","",IF(D1025="","",D1025+U1025/1440))</f>
        <v>0</v>
      </c>
      <c r="W1025" s="25">
        <f>IF(B1025="","",IF(D1025="","",HOUR(D1025)))</f>
        <v>0</v>
      </c>
      <c r="X1025" s="37">
        <f>IF(B1025="","",ROUND(U1025/60,2))</f>
        <v>0</v>
      </c>
      <c r="Y1025" s="26">
        <f>IF(B1025="","",IF(L1025&lt;&gt;"",L1025,IFERROR(INDEX(Services!$G$5:$G$204,MATCH(G1025,Services!$A$5:$A$204,0))*1,0)))</f>
        <v>0</v>
      </c>
      <c r="Z1025" s="26">
        <f>IF(B1025="","",IF(O1025&lt;&gt;"",O1025,IF(Y1025&gt;=DepositThreshold,ROUND(Y1025*DepositPercent,2),0)))</f>
        <v>0</v>
      </c>
      <c r="AA1025" s="26">
        <f>IF(B1025="","",ROUND(SUMIFS(Payments!$G$5:$G$1204,Payments!$I$5:$I$1204,A1025,Payments!$E$5:$E$1204,"Deposit"),2))</f>
        <v>0</v>
      </c>
      <c r="AB1025" s="26">
        <f>IF(B1025="","",ROUND(SUMIFS(Sales!$Y$5:$Y$1204,Sales!$C$5:$C$1204,A1025),2))</f>
        <v>0</v>
      </c>
      <c r="AC1025" s="38">
        <f>IF(B1025="","",IF(M1025="Completed","Yes",IF(M1025="Cancelled","Yes",IF(M1025="No show","Yes","No"))))</f>
        <v>0</v>
      </c>
      <c r="AD1025" s="25">
        <f>IF(B1025="","",IF(AE1025="","",B1025-AE1025))</f>
        <v>0</v>
      </c>
      <c r="AF1025" s="38">
        <f>IF(B1025="","",IF(M1025&lt;&gt;"Completed","",IF(E1025="","No",IF(COUNTIFS(Appointments!$E$5:$E$1204,E1025,Appointments!$B$5:$B$1204,"&gt;"&amp;B1025,Appointments!$M$5:$M$1204,"&lt;&gt;Cancelled")&gt;0,"Yes","No"))))</f>
        <v>0</v>
      </c>
      <c r="AG1025" s="38">
        <f>IF(B1025="","",IF(I1025="","",IF(D1025="","",IF(COUNTIFS($I$5:$I$1204,I1025,$B$5:$B$1204,B1025,$D$5:$D$1204,"&lt;"&amp;V1025,$V$5:$V$1204,"&gt;"&amp;D1025,$M$5:$M$1204,"&lt;&gt;Cancelled")&gt;1,"Clash",""))))</f>
        <v>0</v>
      </c>
      <c r="AH1025" s="39">
        <f>IF(B1025="","",IF(AG1025="Clash","Clash - stylist double booked",IF(I1025="","Assign - no stylist yet",IF(G1025="","Add - no service chosen",IF(M1025="No show","No show - charge the fee?",IF(M1025="Cancelled","",IF(IF(M1025="Completed",AB1025&lt;Y1025-0.004,FALSE),"Unpaid - nothing rung up for this visit",IF(IF(B1025&lt;TodayDate,M1025="Booked",FALSE),"Overdue - past date, still only Booked",IF(IF(B1025=TodayDate,TRUE,FALSE),"Today",IF(IF(Z1025&gt;0,AA1025&lt;Z1025-0.004,FALSE),"Due - deposit not taken",IF(IF(B1025&gt;TodayDate,B1025&lt;=TodayDate+2,FALSE),"Confirm - coming up","OK")))))))))))</f>
        <v>0</v>
      </c>
    </row>
    <row r="1026" spans="1:34">
      <c r="A1026" s="28">
        <f>IF(B1026="","",AppointmentPrefix&amp;TEXT(ROW()-4,"0000"))</f>
        <v>0</v>
      </c>
      <c r="C1026" s="15">
        <f>IF(B1026="","",TEXT(B1026,"ddd"))</f>
        <v>0</v>
      </c>
      <c r="F1026" s="15">
        <f>IF(E1026="","",IFERROR(INDEX(Clients!$B$5:$B$504,MATCH(E1026,Clients!$A$5:$A$504,0)),"Walk-in"))</f>
        <v>0</v>
      </c>
      <c r="H1026" s="15">
        <f>IF(G1026="","",IFERROR(INDEX(Services!$B$5:$B$204,MATCH(G1026,Services!$A$5:$A$204,0)),"Not in Services"))</f>
        <v>0</v>
      </c>
      <c r="J1026" s="15">
        <f>IF(I1026="","",IFERROR(INDEX(Staff!$B$5:$B$44,MATCH(I1026,Staff!$A$5:$A$44,0)),"Unassigned"))</f>
        <v>0</v>
      </c>
      <c r="S1026" s="15">
        <f>IF(B1026="","",TEXT(B1026,"yyyy-mm"))</f>
        <v>0</v>
      </c>
      <c r="T1026" s="25">
        <f>IF(B1026="","",WEEKNUM(B1026,2))</f>
        <v>0</v>
      </c>
      <c r="U1026" s="25">
        <f>IF(B1026="","",IF(K1026&lt;&gt;"",K1026,IFERROR(INDEX(Services!$E$5:$E$204,MATCH(G1026,Services!$A$5:$A$204,0))*1,0)+IFERROR(INDEX(Services!$F$5:$F$204,MATCH(G1026,Services!$A$5:$A$204,0))*1,0)))</f>
        <v>0</v>
      </c>
      <c r="V1026" s="36">
        <f>IF(B1026="","",IF(D1026="","",D1026+U1026/1440))</f>
        <v>0</v>
      </c>
      <c r="W1026" s="25">
        <f>IF(B1026="","",IF(D1026="","",HOUR(D1026)))</f>
        <v>0</v>
      </c>
      <c r="X1026" s="37">
        <f>IF(B1026="","",ROUND(U1026/60,2))</f>
        <v>0</v>
      </c>
      <c r="Y1026" s="26">
        <f>IF(B1026="","",IF(L1026&lt;&gt;"",L1026,IFERROR(INDEX(Services!$G$5:$G$204,MATCH(G1026,Services!$A$5:$A$204,0))*1,0)))</f>
        <v>0</v>
      </c>
      <c r="Z1026" s="26">
        <f>IF(B1026="","",IF(O1026&lt;&gt;"",O1026,IF(Y1026&gt;=DepositThreshold,ROUND(Y1026*DepositPercent,2),0)))</f>
        <v>0</v>
      </c>
      <c r="AA1026" s="26">
        <f>IF(B1026="","",ROUND(SUMIFS(Payments!$G$5:$G$1204,Payments!$I$5:$I$1204,A1026,Payments!$E$5:$E$1204,"Deposit"),2))</f>
        <v>0</v>
      </c>
      <c r="AB1026" s="26">
        <f>IF(B1026="","",ROUND(SUMIFS(Sales!$Y$5:$Y$1204,Sales!$C$5:$C$1204,A1026),2))</f>
        <v>0</v>
      </c>
      <c r="AC1026" s="38">
        <f>IF(B1026="","",IF(M1026="Completed","Yes",IF(M1026="Cancelled","Yes",IF(M1026="No show","Yes","No"))))</f>
        <v>0</v>
      </c>
      <c r="AD1026" s="25">
        <f>IF(B1026="","",IF(AE1026="","",B1026-AE1026))</f>
        <v>0</v>
      </c>
      <c r="AF1026" s="38">
        <f>IF(B1026="","",IF(M1026&lt;&gt;"Completed","",IF(E1026="","No",IF(COUNTIFS(Appointments!$E$5:$E$1204,E1026,Appointments!$B$5:$B$1204,"&gt;"&amp;B1026,Appointments!$M$5:$M$1204,"&lt;&gt;Cancelled")&gt;0,"Yes","No"))))</f>
        <v>0</v>
      </c>
      <c r="AG1026" s="38">
        <f>IF(B1026="","",IF(I1026="","",IF(D1026="","",IF(COUNTIFS($I$5:$I$1204,I1026,$B$5:$B$1204,B1026,$D$5:$D$1204,"&lt;"&amp;V1026,$V$5:$V$1204,"&gt;"&amp;D1026,$M$5:$M$1204,"&lt;&gt;Cancelled")&gt;1,"Clash",""))))</f>
        <v>0</v>
      </c>
      <c r="AH1026" s="39">
        <f>IF(B1026="","",IF(AG1026="Clash","Clash - stylist double booked",IF(I1026="","Assign - no stylist yet",IF(G1026="","Add - no service chosen",IF(M1026="No show","No show - charge the fee?",IF(M1026="Cancelled","",IF(IF(M1026="Completed",AB1026&lt;Y1026-0.004,FALSE),"Unpaid - nothing rung up for this visit",IF(IF(B1026&lt;TodayDate,M1026="Booked",FALSE),"Overdue - past date, still only Booked",IF(IF(B1026=TodayDate,TRUE,FALSE),"Today",IF(IF(Z1026&gt;0,AA1026&lt;Z1026-0.004,FALSE),"Due - deposit not taken",IF(IF(B1026&gt;TodayDate,B1026&lt;=TodayDate+2,FALSE),"Confirm - coming up","OK")))))))))))</f>
        <v>0</v>
      </c>
    </row>
    <row r="1027" spans="1:34">
      <c r="A1027" s="28">
        <f>IF(B1027="","",AppointmentPrefix&amp;TEXT(ROW()-4,"0000"))</f>
        <v>0</v>
      </c>
      <c r="C1027" s="15">
        <f>IF(B1027="","",TEXT(B1027,"ddd"))</f>
        <v>0</v>
      </c>
      <c r="F1027" s="15">
        <f>IF(E1027="","",IFERROR(INDEX(Clients!$B$5:$B$504,MATCH(E1027,Clients!$A$5:$A$504,0)),"Walk-in"))</f>
        <v>0</v>
      </c>
      <c r="H1027" s="15">
        <f>IF(G1027="","",IFERROR(INDEX(Services!$B$5:$B$204,MATCH(G1027,Services!$A$5:$A$204,0)),"Not in Services"))</f>
        <v>0</v>
      </c>
      <c r="J1027" s="15">
        <f>IF(I1027="","",IFERROR(INDEX(Staff!$B$5:$B$44,MATCH(I1027,Staff!$A$5:$A$44,0)),"Unassigned"))</f>
        <v>0</v>
      </c>
      <c r="S1027" s="15">
        <f>IF(B1027="","",TEXT(B1027,"yyyy-mm"))</f>
        <v>0</v>
      </c>
      <c r="T1027" s="25">
        <f>IF(B1027="","",WEEKNUM(B1027,2))</f>
        <v>0</v>
      </c>
      <c r="U1027" s="25">
        <f>IF(B1027="","",IF(K1027&lt;&gt;"",K1027,IFERROR(INDEX(Services!$E$5:$E$204,MATCH(G1027,Services!$A$5:$A$204,0))*1,0)+IFERROR(INDEX(Services!$F$5:$F$204,MATCH(G1027,Services!$A$5:$A$204,0))*1,0)))</f>
        <v>0</v>
      </c>
      <c r="V1027" s="36">
        <f>IF(B1027="","",IF(D1027="","",D1027+U1027/1440))</f>
        <v>0</v>
      </c>
      <c r="W1027" s="25">
        <f>IF(B1027="","",IF(D1027="","",HOUR(D1027)))</f>
        <v>0</v>
      </c>
      <c r="X1027" s="37">
        <f>IF(B1027="","",ROUND(U1027/60,2))</f>
        <v>0</v>
      </c>
      <c r="Y1027" s="26">
        <f>IF(B1027="","",IF(L1027&lt;&gt;"",L1027,IFERROR(INDEX(Services!$G$5:$G$204,MATCH(G1027,Services!$A$5:$A$204,0))*1,0)))</f>
        <v>0</v>
      </c>
      <c r="Z1027" s="26">
        <f>IF(B1027="","",IF(O1027&lt;&gt;"",O1027,IF(Y1027&gt;=DepositThreshold,ROUND(Y1027*DepositPercent,2),0)))</f>
        <v>0</v>
      </c>
      <c r="AA1027" s="26">
        <f>IF(B1027="","",ROUND(SUMIFS(Payments!$G$5:$G$1204,Payments!$I$5:$I$1204,A1027,Payments!$E$5:$E$1204,"Deposit"),2))</f>
        <v>0</v>
      </c>
      <c r="AB1027" s="26">
        <f>IF(B1027="","",ROUND(SUMIFS(Sales!$Y$5:$Y$1204,Sales!$C$5:$C$1204,A1027),2))</f>
        <v>0</v>
      </c>
      <c r="AC1027" s="38">
        <f>IF(B1027="","",IF(M1027="Completed","Yes",IF(M1027="Cancelled","Yes",IF(M1027="No show","Yes","No"))))</f>
        <v>0</v>
      </c>
      <c r="AD1027" s="25">
        <f>IF(B1027="","",IF(AE1027="","",B1027-AE1027))</f>
        <v>0</v>
      </c>
      <c r="AF1027" s="38">
        <f>IF(B1027="","",IF(M1027&lt;&gt;"Completed","",IF(E1027="","No",IF(COUNTIFS(Appointments!$E$5:$E$1204,E1027,Appointments!$B$5:$B$1204,"&gt;"&amp;B1027,Appointments!$M$5:$M$1204,"&lt;&gt;Cancelled")&gt;0,"Yes","No"))))</f>
        <v>0</v>
      </c>
      <c r="AG1027" s="38">
        <f>IF(B1027="","",IF(I1027="","",IF(D1027="","",IF(COUNTIFS($I$5:$I$1204,I1027,$B$5:$B$1204,B1027,$D$5:$D$1204,"&lt;"&amp;V1027,$V$5:$V$1204,"&gt;"&amp;D1027,$M$5:$M$1204,"&lt;&gt;Cancelled")&gt;1,"Clash",""))))</f>
        <v>0</v>
      </c>
      <c r="AH1027" s="39">
        <f>IF(B1027="","",IF(AG1027="Clash","Clash - stylist double booked",IF(I1027="","Assign - no stylist yet",IF(G1027="","Add - no service chosen",IF(M1027="No show","No show - charge the fee?",IF(M1027="Cancelled","",IF(IF(M1027="Completed",AB1027&lt;Y1027-0.004,FALSE),"Unpaid - nothing rung up for this visit",IF(IF(B1027&lt;TodayDate,M1027="Booked",FALSE),"Overdue - past date, still only Booked",IF(IF(B1027=TodayDate,TRUE,FALSE),"Today",IF(IF(Z1027&gt;0,AA1027&lt;Z1027-0.004,FALSE),"Due - deposit not taken",IF(IF(B1027&gt;TodayDate,B1027&lt;=TodayDate+2,FALSE),"Confirm - coming up","OK")))))))))))</f>
        <v>0</v>
      </c>
    </row>
    <row r="1028" spans="1:34">
      <c r="A1028" s="28">
        <f>IF(B1028="","",AppointmentPrefix&amp;TEXT(ROW()-4,"0000"))</f>
        <v>0</v>
      </c>
      <c r="C1028" s="15">
        <f>IF(B1028="","",TEXT(B1028,"ddd"))</f>
        <v>0</v>
      </c>
      <c r="F1028" s="15">
        <f>IF(E1028="","",IFERROR(INDEX(Clients!$B$5:$B$504,MATCH(E1028,Clients!$A$5:$A$504,0)),"Walk-in"))</f>
        <v>0</v>
      </c>
      <c r="H1028" s="15">
        <f>IF(G1028="","",IFERROR(INDEX(Services!$B$5:$B$204,MATCH(G1028,Services!$A$5:$A$204,0)),"Not in Services"))</f>
        <v>0</v>
      </c>
      <c r="J1028" s="15">
        <f>IF(I1028="","",IFERROR(INDEX(Staff!$B$5:$B$44,MATCH(I1028,Staff!$A$5:$A$44,0)),"Unassigned"))</f>
        <v>0</v>
      </c>
      <c r="S1028" s="15">
        <f>IF(B1028="","",TEXT(B1028,"yyyy-mm"))</f>
        <v>0</v>
      </c>
      <c r="T1028" s="25">
        <f>IF(B1028="","",WEEKNUM(B1028,2))</f>
        <v>0</v>
      </c>
      <c r="U1028" s="25">
        <f>IF(B1028="","",IF(K1028&lt;&gt;"",K1028,IFERROR(INDEX(Services!$E$5:$E$204,MATCH(G1028,Services!$A$5:$A$204,0))*1,0)+IFERROR(INDEX(Services!$F$5:$F$204,MATCH(G1028,Services!$A$5:$A$204,0))*1,0)))</f>
        <v>0</v>
      </c>
      <c r="V1028" s="36">
        <f>IF(B1028="","",IF(D1028="","",D1028+U1028/1440))</f>
        <v>0</v>
      </c>
      <c r="W1028" s="25">
        <f>IF(B1028="","",IF(D1028="","",HOUR(D1028)))</f>
        <v>0</v>
      </c>
      <c r="X1028" s="37">
        <f>IF(B1028="","",ROUND(U1028/60,2))</f>
        <v>0</v>
      </c>
      <c r="Y1028" s="26">
        <f>IF(B1028="","",IF(L1028&lt;&gt;"",L1028,IFERROR(INDEX(Services!$G$5:$G$204,MATCH(G1028,Services!$A$5:$A$204,0))*1,0)))</f>
        <v>0</v>
      </c>
      <c r="Z1028" s="26">
        <f>IF(B1028="","",IF(O1028&lt;&gt;"",O1028,IF(Y1028&gt;=DepositThreshold,ROUND(Y1028*DepositPercent,2),0)))</f>
        <v>0</v>
      </c>
      <c r="AA1028" s="26">
        <f>IF(B1028="","",ROUND(SUMIFS(Payments!$G$5:$G$1204,Payments!$I$5:$I$1204,A1028,Payments!$E$5:$E$1204,"Deposit"),2))</f>
        <v>0</v>
      </c>
      <c r="AB1028" s="26">
        <f>IF(B1028="","",ROUND(SUMIFS(Sales!$Y$5:$Y$1204,Sales!$C$5:$C$1204,A1028),2))</f>
        <v>0</v>
      </c>
      <c r="AC1028" s="38">
        <f>IF(B1028="","",IF(M1028="Completed","Yes",IF(M1028="Cancelled","Yes",IF(M1028="No show","Yes","No"))))</f>
        <v>0</v>
      </c>
      <c r="AD1028" s="25">
        <f>IF(B1028="","",IF(AE1028="","",B1028-AE1028))</f>
        <v>0</v>
      </c>
      <c r="AF1028" s="38">
        <f>IF(B1028="","",IF(M1028&lt;&gt;"Completed","",IF(E1028="","No",IF(COUNTIFS(Appointments!$E$5:$E$1204,E1028,Appointments!$B$5:$B$1204,"&gt;"&amp;B1028,Appointments!$M$5:$M$1204,"&lt;&gt;Cancelled")&gt;0,"Yes","No"))))</f>
        <v>0</v>
      </c>
      <c r="AG1028" s="38">
        <f>IF(B1028="","",IF(I1028="","",IF(D1028="","",IF(COUNTIFS($I$5:$I$1204,I1028,$B$5:$B$1204,B1028,$D$5:$D$1204,"&lt;"&amp;V1028,$V$5:$V$1204,"&gt;"&amp;D1028,$M$5:$M$1204,"&lt;&gt;Cancelled")&gt;1,"Clash",""))))</f>
        <v>0</v>
      </c>
      <c r="AH1028" s="39">
        <f>IF(B1028="","",IF(AG1028="Clash","Clash - stylist double booked",IF(I1028="","Assign - no stylist yet",IF(G1028="","Add - no service chosen",IF(M1028="No show","No show - charge the fee?",IF(M1028="Cancelled","",IF(IF(M1028="Completed",AB1028&lt;Y1028-0.004,FALSE),"Unpaid - nothing rung up for this visit",IF(IF(B1028&lt;TodayDate,M1028="Booked",FALSE),"Overdue - past date, still only Booked",IF(IF(B1028=TodayDate,TRUE,FALSE),"Today",IF(IF(Z1028&gt;0,AA1028&lt;Z1028-0.004,FALSE),"Due - deposit not taken",IF(IF(B1028&gt;TodayDate,B1028&lt;=TodayDate+2,FALSE),"Confirm - coming up","OK")))))))))))</f>
        <v>0</v>
      </c>
    </row>
    <row r="1029" spans="1:34">
      <c r="A1029" s="28">
        <f>IF(B1029="","",AppointmentPrefix&amp;TEXT(ROW()-4,"0000"))</f>
        <v>0</v>
      </c>
      <c r="C1029" s="15">
        <f>IF(B1029="","",TEXT(B1029,"ddd"))</f>
        <v>0</v>
      </c>
      <c r="F1029" s="15">
        <f>IF(E1029="","",IFERROR(INDEX(Clients!$B$5:$B$504,MATCH(E1029,Clients!$A$5:$A$504,0)),"Walk-in"))</f>
        <v>0</v>
      </c>
      <c r="H1029" s="15">
        <f>IF(G1029="","",IFERROR(INDEX(Services!$B$5:$B$204,MATCH(G1029,Services!$A$5:$A$204,0)),"Not in Services"))</f>
        <v>0</v>
      </c>
      <c r="J1029" s="15">
        <f>IF(I1029="","",IFERROR(INDEX(Staff!$B$5:$B$44,MATCH(I1029,Staff!$A$5:$A$44,0)),"Unassigned"))</f>
        <v>0</v>
      </c>
      <c r="S1029" s="15">
        <f>IF(B1029="","",TEXT(B1029,"yyyy-mm"))</f>
        <v>0</v>
      </c>
      <c r="T1029" s="25">
        <f>IF(B1029="","",WEEKNUM(B1029,2))</f>
        <v>0</v>
      </c>
      <c r="U1029" s="25">
        <f>IF(B1029="","",IF(K1029&lt;&gt;"",K1029,IFERROR(INDEX(Services!$E$5:$E$204,MATCH(G1029,Services!$A$5:$A$204,0))*1,0)+IFERROR(INDEX(Services!$F$5:$F$204,MATCH(G1029,Services!$A$5:$A$204,0))*1,0)))</f>
        <v>0</v>
      </c>
      <c r="V1029" s="36">
        <f>IF(B1029="","",IF(D1029="","",D1029+U1029/1440))</f>
        <v>0</v>
      </c>
      <c r="W1029" s="25">
        <f>IF(B1029="","",IF(D1029="","",HOUR(D1029)))</f>
        <v>0</v>
      </c>
      <c r="X1029" s="37">
        <f>IF(B1029="","",ROUND(U1029/60,2))</f>
        <v>0</v>
      </c>
      <c r="Y1029" s="26">
        <f>IF(B1029="","",IF(L1029&lt;&gt;"",L1029,IFERROR(INDEX(Services!$G$5:$G$204,MATCH(G1029,Services!$A$5:$A$204,0))*1,0)))</f>
        <v>0</v>
      </c>
      <c r="Z1029" s="26">
        <f>IF(B1029="","",IF(O1029&lt;&gt;"",O1029,IF(Y1029&gt;=DepositThreshold,ROUND(Y1029*DepositPercent,2),0)))</f>
        <v>0</v>
      </c>
      <c r="AA1029" s="26">
        <f>IF(B1029="","",ROUND(SUMIFS(Payments!$G$5:$G$1204,Payments!$I$5:$I$1204,A1029,Payments!$E$5:$E$1204,"Deposit"),2))</f>
        <v>0</v>
      </c>
      <c r="AB1029" s="26">
        <f>IF(B1029="","",ROUND(SUMIFS(Sales!$Y$5:$Y$1204,Sales!$C$5:$C$1204,A1029),2))</f>
        <v>0</v>
      </c>
      <c r="AC1029" s="38">
        <f>IF(B1029="","",IF(M1029="Completed","Yes",IF(M1029="Cancelled","Yes",IF(M1029="No show","Yes","No"))))</f>
        <v>0</v>
      </c>
      <c r="AD1029" s="25">
        <f>IF(B1029="","",IF(AE1029="","",B1029-AE1029))</f>
        <v>0</v>
      </c>
      <c r="AF1029" s="38">
        <f>IF(B1029="","",IF(M1029&lt;&gt;"Completed","",IF(E1029="","No",IF(COUNTIFS(Appointments!$E$5:$E$1204,E1029,Appointments!$B$5:$B$1204,"&gt;"&amp;B1029,Appointments!$M$5:$M$1204,"&lt;&gt;Cancelled")&gt;0,"Yes","No"))))</f>
        <v>0</v>
      </c>
      <c r="AG1029" s="38">
        <f>IF(B1029="","",IF(I1029="","",IF(D1029="","",IF(COUNTIFS($I$5:$I$1204,I1029,$B$5:$B$1204,B1029,$D$5:$D$1204,"&lt;"&amp;V1029,$V$5:$V$1204,"&gt;"&amp;D1029,$M$5:$M$1204,"&lt;&gt;Cancelled")&gt;1,"Clash",""))))</f>
        <v>0</v>
      </c>
      <c r="AH1029" s="39">
        <f>IF(B1029="","",IF(AG1029="Clash","Clash - stylist double booked",IF(I1029="","Assign - no stylist yet",IF(G1029="","Add - no service chosen",IF(M1029="No show","No show - charge the fee?",IF(M1029="Cancelled","",IF(IF(M1029="Completed",AB1029&lt;Y1029-0.004,FALSE),"Unpaid - nothing rung up for this visit",IF(IF(B1029&lt;TodayDate,M1029="Booked",FALSE),"Overdue - past date, still only Booked",IF(IF(B1029=TodayDate,TRUE,FALSE),"Today",IF(IF(Z1029&gt;0,AA1029&lt;Z1029-0.004,FALSE),"Due - deposit not taken",IF(IF(B1029&gt;TodayDate,B1029&lt;=TodayDate+2,FALSE),"Confirm - coming up","OK")))))))))))</f>
        <v>0</v>
      </c>
    </row>
    <row r="1030" spans="1:34">
      <c r="A1030" s="28">
        <f>IF(B1030="","",AppointmentPrefix&amp;TEXT(ROW()-4,"0000"))</f>
        <v>0</v>
      </c>
      <c r="C1030" s="15">
        <f>IF(B1030="","",TEXT(B1030,"ddd"))</f>
        <v>0</v>
      </c>
      <c r="F1030" s="15">
        <f>IF(E1030="","",IFERROR(INDEX(Clients!$B$5:$B$504,MATCH(E1030,Clients!$A$5:$A$504,0)),"Walk-in"))</f>
        <v>0</v>
      </c>
      <c r="H1030" s="15">
        <f>IF(G1030="","",IFERROR(INDEX(Services!$B$5:$B$204,MATCH(G1030,Services!$A$5:$A$204,0)),"Not in Services"))</f>
        <v>0</v>
      </c>
      <c r="J1030" s="15">
        <f>IF(I1030="","",IFERROR(INDEX(Staff!$B$5:$B$44,MATCH(I1030,Staff!$A$5:$A$44,0)),"Unassigned"))</f>
        <v>0</v>
      </c>
      <c r="S1030" s="15">
        <f>IF(B1030="","",TEXT(B1030,"yyyy-mm"))</f>
        <v>0</v>
      </c>
      <c r="T1030" s="25">
        <f>IF(B1030="","",WEEKNUM(B1030,2))</f>
        <v>0</v>
      </c>
      <c r="U1030" s="25">
        <f>IF(B1030="","",IF(K1030&lt;&gt;"",K1030,IFERROR(INDEX(Services!$E$5:$E$204,MATCH(G1030,Services!$A$5:$A$204,0))*1,0)+IFERROR(INDEX(Services!$F$5:$F$204,MATCH(G1030,Services!$A$5:$A$204,0))*1,0)))</f>
        <v>0</v>
      </c>
      <c r="V1030" s="36">
        <f>IF(B1030="","",IF(D1030="","",D1030+U1030/1440))</f>
        <v>0</v>
      </c>
      <c r="W1030" s="25">
        <f>IF(B1030="","",IF(D1030="","",HOUR(D1030)))</f>
        <v>0</v>
      </c>
      <c r="X1030" s="37">
        <f>IF(B1030="","",ROUND(U1030/60,2))</f>
        <v>0</v>
      </c>
      <c r="Y1030" s="26">
        <f>IF(B1030="","",IF(L1030&lt;&gt;"",L1030,IFERROR(INDEX(Services!$G$5:$G$204,MATCH(G1030,Services!$A$5:$A$204,0))*1,0)))</f>
        <v>0</v>
      </c>
      <c r="Z1030" s="26">
        <f>IF(B1030="","",IF(O1030&lt;&gt;"",O1030,IF(Y1030&gt;=DepositThreshold,ROUND(Y1030*DepositPercent,2),0)))</f>
        <v>0</v>
      </c>
      <c r="AA1030" s="26">
        <f>IF(B1030="","",ROUND(SUMIFS(Payments!$G$5:$G$1204,Payments!$I$5:$I$1204,A1030,Payments!$E$5:$E$1204,"Deposit"),2))</f>
        <v>0</v>
      </c>
      <c r="AB1030" s="26">
        <f>IF(B1030="","",ROUND(SUMIFS(Sales!$Y$5:$Y$1204,Sales!$C$5:$C$1204,A1030),2))</f>
        <v>0</v>
      </c>
      <c r="AC1030" s="38">
        <f>IF(B1030="","",IF(M1030="Completed","Yes",IF(M1030="Cancelled","Yes",IF(M1030="No show","Yes","No"))))</f>
        <v>0</v>
      </c>
      <c r="AD1030" s="25">
        <f>IF(B1030="","",IF(AE1030="","",B1030-AE1030))</f>
        <v>0</v>
      </c>
      <c r="AF1030" s="38">
        <f>IF(B1030="","",IF(M1030&lt;&gt;"Completed","",IF(E1030="","No",IF(COUNTIFS(Appointments!$E$5:$E$1204,E1030,Appointments!$B$5:$B$1204,"&gt;"&amp;B1030,Appointments!$M$5:$M$1204,"&lt;&gt;Cancelled")&gt;0,"Yes","No"))))</f>
        <v>0</v>
      </c>
      <c r="AG1030" s="38">
        <f>IF(B1030="","",IF(I1030="","",IF(D1030="","",IF(COUNTIFS($I$5:$I$1204,I1030,$B$5:$B$1204,B1030,$D$5:$D$1204,"&lt;"&amp;V1030,$V$5:$V$1204,"&gt;"&amp;D1030,$M$5:$M$1204,"&lt;&gt;Cancelled")&gt;1,"Clash",""))))</f>
        <v>0</v>
      </c>
      <c r="AH1030" s="39">
        <f>IF(B1030="","",IF(AG1030="Clash","Clash - stylist double booked",IF(I1030="","Assign - no stylist yet",IF(G1030="","Add - no service chosen",IF(M1030="No show","No show - charge the fee?",IF(M1030="Cancelled","",IF(IF(M1030="Completed",AB1030&lt;Y1030-0.004,FALSE),"Unpaid - nothing rung up for this visit",IF(IF(B1030&lt;TodayDate,M1030="Booked",FALSE),"Overdue - past date, still only Booked",IF(IF(B1030=TodayDate,TRUE,FALSE),"Today",IF(IF(Z1030&gt;0,AA1030&lt;Z1030-0.004,FALSE),"Due - deposit not taken",IF(IF(B1030&gt;TodayDate,B1030&lt;=TodayDate+2,FALSE),"Confirm - coming up","OK")))))))))))</f>
        <v>0</v>
      </c>
    </row>
    <row r="1031" spans="1:34">
      <c r="A1031" s="28">
        <f>IF(B1031="","",AppointmentPrefix&amp;TEXT(ROW()-4,"0000"))</f>
        <v>0</v>
      </c>
      <c r="C1031" s="15">
        <f>IF(B1031="","",TEXT(B1031,"ddd"))</f>
        <v>0</v>
      </c>
      <c r="F1031" s="15">
        <f>IF(E1031="","",IFERROR(INDEX(Clients!$B$5:$B$504,MATCH(E1031,Clients!$A$5:$A$504,0)),"Walk-in"))</f>
        <v>0</v>
      </c>
      <c r="H1031" s="15">
        <f>IF(G1031="","",IFERROR(INDEX(Services!$B$5:$B$204,MATCH(G1031,Services!$A$5:$A$204,0)),"Not in Services"))</f>
        <v>0</v>
      </c>
      <c r="J1031" s="15">
        <f>IF(I1031="","",IFERROR(INDEX(Staff!$B$5:$B$44,MATCH(I1031,Staff!$A$5:$A$44,0)),"Unassigned"))</f>
        <v>0</v>
      </c>
      <c r="S1031" s="15">
        <f>IF(B1031="","",TEXT(B1031,"yyyy-mm"))</f>
        <v>0</v>
      </c>
      <c r="T1031" s="25">
        <f>IF(B1031="","",WEEKNUM(B1031,2))</f>
        <v>0</v>
      </c>
      <c r="U1031" s="25">
        <f>IF(B1031="","",IF(K1031&lt;&gt;"",K1031,IFERROR(INDEX(Services!$E$5:$E$204,MATCH(G1031,Services!$A$5:$A$204,0))*1,0)+IFERROR(INDEX(Services!$F$5:$F$204,MATCH(G1031,Services!$A$5:$A$204,0))*1,0)))</f>
        <v>0</v>
      </c>
      <c r="V1031" s="36">
        <f>IF(B1031="","",IF(D1031="","",D1031+U1031/1440))</f>
        <v>0</v>
      </c>
      <c r="W1031" s="25">
        <f>IF(B1031="","",IF(D1031="","",HOUR(D1031)))</f>
        <v>0</v>
      </c>
      <c r="X1031" s="37">
        <f>IF(B1031="","",ROUND(U1031/60,2))</f>
        <v>0</v>
      </c>
      <c r="Y1031" s="26">
        <f>IF(B1031="","",IF(L1031&lt;&gt;"",L1031,IFERROR(INDEX(Services!$G$5:$G$204,MATCH(G1031,Services!$A$5:$A$204,0))*1,0)))</f>
        <v>0</v>
      </c>
      <c r="Z1031" s="26">
        <f>IF(B1031="","",IF(O1031&lt;&gt;"",O1031,IF(Y1031&gt;=DepositThreshold,ROUND(Y1031*DepositPercent,2),0)))</f>
        <v>0</v>
      </c>
      <c r="AA1031" s="26">
        <f>IF(B1031="","",ROUND(SUMIFS(Payments!$G$5:$G$1204,Payments!$I$5:$I$1204,A1031,Payments!$E$5:$E$1204,"Deposit"),2))</f>
        <v>0</v>
      </c>
      <c r="AB1031" s="26">
        <f>IF(B1031="","",ROUND(SUMIFS(Sales!$Y$5:$Y$1204,Sales!$C$5:$C$1204,A1031),2))</f>
        <v>0</v>
      </c>
      <c r="AC1031" s="38">
        <f>IF(B1031="","",IF(M1031="Completed","Yes",IF(M1031="Cancelled","Yes",IF(M1031="No show","Yes","No"))))</f>
        <v>0</v>
      </c>
      <c r="AD1031" s="25">
        <f>IF(B1031="","",IF(AE1031="","",B1031-AE1031))</f>
        <v>0</v>
      </c>
      <c r="AF1031" s="38">
        <f>IF(B1031="","",IF(M1031&lt;&gt;"Completed","",IF(E1031="","No",IF(COUNTIFS(Appointments!$E$5:$E$1204,E1031,Appointments!$B$5:$B$1204,"&gt;"&amp;B1031,Appointments!$M$5:$M$1204,"&lt;&gt;Cancelled")&gt;0,"Yes","No"))))</f>
        <v>0</v>
      </c>
      <c r="AG1031" s="38">
        <f>IF(B1031="","",IF(I1031="","",IF(D1031="","",IF(COUNTIFS($I$5:$I$1204,I1031,$B$5:$B$1204,B1031,$D$5:$D$1204,"&lt;"&amp;V1031,$V$5:$V$1204,"&gt;"&amp;D1031,$M$5:$M$1204,"&lt;&gt;Cancelled")&gt;1,"Clash",""))))</f>
        <v>0</v>
      </c>
      <c r="AH1031" s="39">
        <f>IF(B1031="","",IF(AG1031="Clash","Clash - stylist double booked",IF(I1031="","Assign - no stylist yet",IF(G1031="","Add - no service chosen",IF(M1031="No show","No show - charge the fee?",IF(M1031="Cancelled","",IF(IF(M1031="Completed",AB1031&lt;Y1031-0.004,FALSE),"Unpaid - nothing rung up for this visit",IF(IF(B1031&lt;TodayDate,M1031="Booked",FALSE),"Overdue - past date, still only Booked",IF(IF(B1031=TodayDate,TRUE,FALSE),"Today",IF(IF(Z1031&gt;0,AA1031&lt;Z1031-0.004,FALSE),"Due - deposit not taken",IF(IF(B1031&gt;TodayDate,B1031&lt;=TodayDate+2,FALSE),"Confirm - coming up","OK")))))))))))</f>
        <v>0</v>
      </c>
    </row>
    <row r="1032" spans="1:34">
      <c r="A1032" s="28">
        <f>IF(B1032="","",AppointmentPrefix&amp;TEXT(ROW()-4,"0000"))</f>
        <v>0</v>
      </c>
      <c r="C1032" s="15">
        <f>IF(B1032="","",TEXT(B1032,"ddd"))</f>
        <v>0</v>
      </c>
      <c r="F1032" s="15">
        <f>IF(E1032="","",IFERROR(INDEX(Clients!$B$5:$B$504,MATCH(E1032,Clients!$A$5:$A$504,0)),"Walk-in"))</f>
        <v>0</v>
      </c>
      <c r="H1032" s="15">
        <f>IF(G1032="","",IFERROR(INDEX(Services!$B$5:$B$204,MATCH(G1032,Services!$A$5:$A$204,0)),"Not in Services"))</f>
        <v>0</v>
      </c>
      <c r="J1032" s="15">
        <f>IF(I1032="","",IFERROR(INDEX(Staff!$B$5:$B$44,MATCH(I1032,Staff!$A$5:$A$44,0)),"Unassigned"))</f>
        <v>0</v>
      </c>
      <c r="S1032" s="15">
        <f>IF(B1032="","",TEXT(B1032,"yyyy-mm"))</f>
        <v>0</v>
      </c>
      <c r="T1032" s="25">
        <f>IF(B1032="","",WEEKNUM(B1032,2))</f>
        <v>0</v>
      </c>
      <c r="U1032" s="25">
        <f>IF(B1032="","",IF(K1032&lt;&gt;"",K1032,IFERROR(INDEX(Services!$E$5:$E$204,MATCH(G1032,Services!$A$5:$A$204,0))*1,0)+IFERROR(INDEX(Services!$F$5:$F$204,MATCH(G1032,Services!$A$5:$A$204,0))*1,0)))</f>
        <v>0</v>
      </c>
      <c r="V1032" s="36">
        <f>IF(B1032="","",IF(D1032="","",D1032+U1032/1440))</f>
        <v>0</v>
      </c>
      <c r="W1032" s="25">
        <f>IF(B1032="","",IF(D1032="","",HOUR(D1032)))</f>
        <v>0</v>
      </c>
      <c r="X1032" s="37">
        <f>IF(B1032="","",ROUND(U1032/60,2))</f>
        <v>0</v>
      </c>
      <c r="Y1032" s="26">
        <f>IF(B1032="","",IF(L1032&lt;&gt;"",L1032,IFERROR(INDEX(Services!$G$5:$G$204,MATCH(G1032,Services!$A$5:$A$204,0))*1,0)))</f>
        <v>0</v>
      </c>
      <c r="Z1032" s="26">
        <f>IF(B1032="","",IF(O1032&lt;&gt;"",O1032,IF(Y1032&gt;=DepositThreshold,ROUND(Y1032*DepositPercent,2),0)))</f>
        <v>0</v>
      </c>
      <c r="AA1032" s="26">
        <f>IF(B1032="","",ROUND(SUMIFS(Payments!$G$5:$G$1204,Payments!$I$5:$I$1204,A1032,Payments!$E$5:$E$1204,"Deposit"),2))</f>
        <v>0</v>
      </c>
      <c r="AB1032" s="26">
        <f>IF(B1032="","",ROUND(SUMIFS(Sales!$Y$5:$Y$1204,Sales!$C$5:$C$1204,A1032),2))</f>
        <v>0</v>
      </c>
      <c r="AC1032" s="38">
        <f>IF(B1032="","",IF(M1032="Completed","Yes",IF(M1032="Cancelled","Yes",IF(M1032="No show","Yes","No"))))</f>
        <v>0</v>
      </c>
      <c r="AD1032" s="25">
        <f>IF(B1032="","",IF(AE1032="","",B1032-AE1032))</f>
        <v>0</v>
      </c>
      <c r="AF1032" s="38">
        <f>IF(B1032="","",IF(M1032&lt;&gt;"Completed","",IF(E1032="","No",IF(COUNTIFS(Appointments!$E$5:$E$1204,E1032,Appointments!$B$5:$B$1204,"&gt;"&amp;B1032,Appointments!$M$5:$M$1204,"&lt;&gt;Cancelled")&gt;0,"Yes","No"))))</f>
        <v>0</v>
      </c>
      <c r="AG1032" s="38">
        <f>IF(B1032="","",IF(I1032="","",IF(D1032="","",IF(COUNTIFS($I$5:$I$1204,I1032,$B$5:$B$1204,B1032,$D$5:$D$1204,"&lt;"&amp;V1032,$V$5:$V$1204,"&gt;"&amp;D1032,$M$5:$M$1204,"&lt;&gt;Cancelled")&gt;1,"Clash",""))))</f>
        <v>0</v>
      </c>
      <c r="AH1032" s="39">
        <f>IF(B1032="","",IF(AG1032="Clash","Clash - stylist double booked",IF(I1032="","Assign - no stylist yet",IF(G1032="","Add - no service chosen",IF(M1032="No show","No show - charge the fee?",IF(M1032="Cancelled","",IF(IF(M1032="Completed",AB1032&lt;Y1032-0.004,FALSE),"Unpaid - nothing rung up for this visit",IF(IF(B1032&lt;TodayDate,M1032="Booked",FALSE),"Overdue - past date, still only Booked",IF(IF(B1032=TodayDate,TRUE,FALSE),"Today",IF(IF(Z1032&gt;0,AA1032&lt;Z1032-0.004,FALSE),"Due - deposit not taken",IF(IF(B1032&gt;TodayDate,B1032&lt;=TodayDate+2,FALSE),"Confirm - coming up","OK")))))))))))</f>
        <v>0</v>
      </c>
    </row>
    <row r="1033" spans="1:34">
      <c r="A1033" s="28">
        <f>IF(B1033="","",AppointmentPrefix&amp;TEXT(ROW()-4,"0000"))</f>
        <v>0</v>
      </c>
      <c r="C1033" s="15">
        <f>IF(B1033="","",TEXT(B1033,"ddd"))</f>
        <v>0</v>
      </c>
      <c r="F1033" s="15">
        <f>IF(E1033="","",IFERROR(INDEX(Clients!$B$5:$B$504,MATCH(E1033,Clients!$A$5:$A$504,0)),"Walk-in"))</f>
        <v>0</v>
      </c>
      <c r="H1033" s="15">
        <f>IF(G1033="","",IFERROR(INDEX(Services!$B$5:$B$204,MATCH(G1033,Services!$A$5:$A$204,0)),"Not in Services"))</f>
        <v>0</v>
      </c>
      <c r="J1033" s="15">
        <f>IF(I1033="","",IFERROR(INDEX(Staff!$B$5:$B$44,MATCH(I1033,Staff!$A$5:$A$44,0)),"Unassigned"))</f>
        <v>0</v>
      </c>
      <c r="S1033" s="15">
        <f>IF(B1033="","",TEXT(B1033,"yyyy-mm"))</f>
        <v>0</v>
      </c>
      <c r="T1033" s="25">
        <f>IF(B1033="","",WEEKNUM(B1033,2))</f>
        <v>0</v>
      </c>
      <c r="U1033" s="25">
        <f>IF(B1033="","",IF(K1033&lt;&gt;"",K1033,IFERROR(INDEX(Services!$E$5:$E$204,MATCH(G1033,Services!$A$5:$A$204,0))*1,0)+IFERROR(INDEX(Services!$F$5:$F$204,MATCH(G1033,Services!$A$5:$A$204,0))*1,0)))</f>
        <v>0</v>
      </c>
      <c r="V1033" s="36">
        <f>IF(B1033="","",IF(D1033="","",D1033+U1033/1440))</f>
        <v>0</v>
      </c>
      <c r="W1033" s="25">
        <f>IF(B1033="","",IF(D1033="","",HOUR(D1033)))</f>
        <v>0</v>
      </c>
      <c r="X1033" s="37">
        <f>IF(B1033="","",ROUND(U1033/60,2))</f>
        <v>0</v>
      </c>
      <c r="Y1033" s="26">
        <f>IF(B1033="","",IF(L1033&lt;&gt;"",L1033,IFERROR(INDEX(Services!$G$5:$G$204,MATCH(G1033,Services!$A$5:$A$204,0))*1,0)))</f>
        <v>0</v>
      </c>
      <c r="Z1033" s="26">
        <f>IF(B1033="","",IF(O1033&lt;&gt;"",O1033,IF(Y1033&gt;=DepositThreshold,ROUND(Y1033*DepositPercent,2),0)))</f>
        <v>0</v>
      </c>
      <c r="AA1033" s="26">
        <f>IF(B1033="","",ROUND(SUMIFS(Payments!$G$5:$G$1204,Payments!$I$5:$I$1204,A1033,Payments!$E$5:$E$1204,"Deposit"),2))</f>
        <v>0</v>
      </c>
      <c r="AB1033" s="26">
        <f>IF(B1033="","",ROUND(SUMIFS(Sales!$Y$5:$Y$1204,Sales!$C$5:$C$1204,A1033),2))</f>
        <v>0</v>
      </c>
      <c r="AC1033" s="38">
        <f>IF(B1033="","",IF(M1033="Completed","Yes",IF(M1033="Cancelled","Yes",IF(M1033="No show","Yes","No"))))</f>
        <v>0</v>
      </c>
      <c r="AD1033" s="25">
        <f>IF(B1033="","",IF(AE1033="","",B1033-AE1033))</f>
        <v>0</v>
      </c>
      <c r="AF1033" s="38">
        <f>IF(B1033="","",IF(M1033&lt;&gt;"Completed","",IF(E1033="","No",IF(COUNTIFS(Appointments!$E$5:$E$1204,E1033,Appointments!$B$5:$B$1204,"&gt;"&amp;B1033,Appointments!$M$5:$M$1204,"&lt;&gt;Cancelled")&gt;0,"Yes","No"))))</f>
        <v>0</v>
      </c>
      <c r="AG1033" s="38">
        <f>IF(B1033="","",IF(I1033="","",IF(D1033="","",IF(COUNTIFS($I$5:$I$1204,I1033,$B$5:$B$1204,B1033,$D$5:$D$1204,"&lt;"&amp;V1033,$V$5:$V$1204,"&gt;"&amp;D1033,$M$5:$M$1204,"&lt;&gt;Cancelled")&gt;1,"Clash",""))))</f>
        <v>0</v>
      </c>
      <c r="AH1033" s="39">
        <f>IF(B1033="","",IF(AG1033="Clash","Clash - stylist double booked",IF(I1033="","Assign - no stylist yet",IF(G1033="","Add - no service chosen",IF(M1033="No show","No show - charge the fee?",IF(M1033="Cancelled","",IF(IF(M1033="Completed",AB1033&lt;Y1033-0.004,FALSE),"Unpaid - nothing rung up for this visit",IF(IF(B1033&lt;TodayDate,M1033="Booked",FALSE),"Overdue - past date, still only Booked",IF(IF(B1033=TodayDate,TRUE,FALSE),"Today",IF(IF(Z1033&gt;0,AA1033&lt;Z1033-0.004,FALSE),"Due - deposit not taken",IF(IF(B1033&gt;TodayDate,B1033&lt;=TodayDate+2,FALSE),"Confirm - coming up","OK")))))))))))</f>
        <v>0</v>
      </c>
    </row>
    <row r="1034" spans="1:34">
      <c r="A1034" s="28">
        <f>IF(B1034="","",AppointmentPrefix&amp;TEXT(ROW()-4,"0000"))</f>
        <v>0</v>
      </c>
      <c r="C1034" s="15">
        <f>IF(B1034="","",TEXT(B1034,"ddd"))</f>
        <v>0</v>
      </c>
      <c r="F1034" s="15">
        <f>IF(E1034="","",IFERROR(INDEX(Clients!$B$5:$B$504,MATCH(E1034,Clients!$A$5:$A$504,0)),"Walk-in"))</f>
        <v>0</v>
      </c>
      <c r="H1034" s="15">
        <f>IF(G1034="","",IFERROR(INDEX(Services!$B$5:$B$204,MATCH(G1034,Services!$A$5:$A$204,0)),"Not in Services"))</f>
        <v>0</v>
      </c>
      <c r="J1034" s="15">
        <f>IF(I1034="","",IFERROR(INDEX(Staff!$B$5:$B$44,MATCH(I1034,Staff!$A$5:$A$44,0)),"Unassigned"))</f>
        <v>0</v>
      </c>
      <c r="S1034" s="15">
        <f>IF(B1034="","",TEXT(B1034,"yyyy-mm"))</f>
        <v>0</v>
      </c>
      <c r="T1034" s="25">
        <f>IF(B1034="","",WEEKNUM(B1034,2))</f>
        <v>0</v>
      </c>
      <c r="U1034" s="25">
        <f>IF(B1034="","",IF(K1034&lt;&gt;"",K1034,IFERROR(INDEX(Services!$E$5:$E$204,MATCH(G1034,Services!$A$5:$A$204,0))*1,0)+IFERROR(INDEX(Services!$F$5:$F$204,MATCH(G1034,Services!$A$5:$A$204,0))*1,0)))</f>
        <v>0</v>
      </c>
      <c r="V1034" s="36">
        <f>IF(B1034="","",IF(D1034="","",D1034+U1034/1440))</f>
        <v>0</v>
      </c>
      <c r="W1034" s="25">
        <f>IF(B1034="","",IF(D1034="","",HOUR(D1034)))</f>
        <v>0</v>
      </c>
      <c r="X1034" s="37">
        <f>IF(B1034="","",ROUND(U1034/60,2))</f>
        <v>0</v>
      </c>
      <c r="Y1034" s="26">
        <f>IF(B1034="","",IF(L1034&lt;&gt;"",L1034,IFERROR(INDEX(Services!$G$5:$G$204,MATCH(G1034,Services!$A$5:$A$204,0))*1,0)))</f>
        <v>0</v>
      </c>
      <c r="Z1034" s="26">
        <f>IF(B1034="","",IF(O1034&lt;&gt;"",O1034,IF(Y1034&gt;=DepositThreshold,ROUND(Y1034*DepositPercent,2),0)))</f>
        <v>0</v>
      </c>
      <c r="AA1034" s="26">
        <f>IF(B1034="","",ROUND(SUMIFS(Payments!$G$5:$G$1204,Payments!$I$5:$I$1204,A1034,Payments!$E$5:$E$1204,"Deposit"),2))</f>
        <v>0</v>
      </c>
      <c r="AB1034" s="26">
        <f>IF(B1034="","",ROUND(SUMIFS(Sales!$Y$5:$Y$1204,Sales!$C$5:$C$1204,A1034),2))</f>
        <v>0</v>
      </c>
      <c r="AC1034" s="38">
        <f>IF(B1034="","",IF(M1034="Completed","Yes",IF(M1034="Cancelled","Yes",IF(M1034="No show","Yes","No"))))</f>
        <v>0</v>
      </c>
      <c r="AD1034" s="25">
        <f>IF(B1034="","",IF(AE1034="","",B1034-AE1034))</f>
        <v>0</v>
      </c>
      <c r="AF1034" s="38">
        <f>IF(B1034="","",IF(M1034&lt;&gt;"Completed","",IF(E1034="","No",IF(COUNTIFS(Appointments!$E$5:$E$1204,E1034,Appointments!$B$5:$B$1204,"&gt;"&amp;B1034,Appointments!$M$5:$M$1204,"&lt;&gt;Cancelled")&gt;0,"Yes","No"))))</f>
        <v>0</v>
      </c>
      <c r="AG1034" s="38">
        <f>IF(B1034="","",IF(I1034="","",IF(D1034="","",IF(COUNTIFS($I$5:$I$1204,I1034,$B$5:$B$1204,B1034,$D$5:$D$1204,"&lt;"&amp;V1034,$V$5:$V$1204,"&gt;"&amp;D1034,$M$5:$M$1204,"&lt;&gt;Cancelled")&gt;1,"Clash",""))))</f>
        <v>0</v>
      </c>
      <c r="AH1034" s="39">
        <f>IF(B1034="","",IF(AG1034="Clash","Clash - stylist double booked",IF(I1034="","Assign - no stylist yet",IF(G1034="","Add - no service chosen",IF(M1034="No show","No show - charge the fee?",IF(M1034="Cancelled","",IF(IF(M1034="Completed",AB1034&lt;Y1034-0.004,FALSE),"Unpaid - nothing rung up for this visit",IF(IF(B1034&lt;TodayDate,M1034="Booked",FALSE),"Overdue - past date, still only Booked",IF(IF(B1034=TodayDate,TRUE,FALSE),"Today",IF(IF(Z1034&gt;0,AA1034&lt;Z1034-0.004,FALSE),"Due - deposit not taken",IF(IF(B1034&gt;TodayDate,B1034&lt;=TodayDate+2,FALSE),"Confirm - coming up","OK")))))))))))</f>
        <v>0</v>
      </c>
    </row>
    <row r="1035" spans="1:34">
      <c r="A1035" s="28">
        <f>IF(B1035="","",AppointmentPrefix&amp;TEXT(ROW()-4,"0000"))</f>
        <v>0</v>
      </c>
      <c r="C1035" s="15">
        <f>IF(B1035="","",TEXT(B1035,"ddd"))</f>
        <v>0</v>
      </c>
      <c r="F1035" s="15">
        <f>IF(E1035="","",IFERROR(INDEX(Clients!$B$5:$B$504,MATCH(E1035,Clients!$A$5:$A$504,0)),"Walk-in"))</f>
        <v>0</v>
      </c>
      <c r="H1035" s="15">
        <f>IF(G1035="","",IFERROR(INDEX(Services!$B$5:$B$204,MATCH(G1035,Services!$A$5:$A$204,0)),"Not in Services"))</f>
        <v>0</v>
      </c>
      <c r="J1035" s="15">
        <f>IF(I1035="","",IFERROR(INDEX(Staff!$B$5:$B$44,MATCH(I1035,Staff!$A$5:$A$44,0)),"Unassigned"))</f>
        <v>0</v>
      </c>
      <c r="S1035" s="15">
        <f>IF(B1035="","",TEXT(B1035,"yyyy-mm"))</f>
        <v>0</v>
      </c>
      <c r="T1035" s="25">
        <f>IF(B1035="","",WEEKNUM(B1035,2))</f>
        <v>0</v>
      </c>
      <c r="U1035" s="25">
        <f>IF(B1035="","",IF(K1035&lt;&gt;"",K1035,IFERROR(INDEX(Services!$E$5:$E$204,MATCH(G1035,Services!$A$5:$A$204,0))*1,0)+IFERROR(INDEX(Services!$F$5:$F$204,MATCH(G1035,Services!$A$5:$A$204,0))*1,0)))</f>
        <v>0</v>
      </c>
      <c r="V1035" s="36">
        <f>IF(B1035="","",IF(D1035="","",D1035+U1035/1440))</f>
        <v>0</v>
      </c>
      <c r="W1035" s="25">
        <f>IF(B1035="","",IF(D1035="","",HOUR(D1035)))</f>
        <v>0</v>
      </c>
      <c r="X1035" s="37">
        <f>IF(B1035="","",ROUND(U1035/60,2))</f>
        <v>0</v>
      </c>
      <c r="Y1035" s="26">
        <f>IF(B1035="","",IF(L1035&lt;&gt;"",L1035,IFERROR(INDEX(Services!$G$5:$G$204,MATCH(G1035,Services!$A$5:$A$204,0))*1,0)))</f>
        <v>0</v>
      </c>
      <c r="Z1035" s="26">
        <f>IF(B1035="","",IF(O1035&lt;&gt;"",O1035,IF(Y1035&gt;=DepositThreshold,ROUND(Y1035*DepositPercent,2),0)))</f>
        <v>0</v>
      </c>
      <c r="AA1035" s="26">
        <f>IF(B1035="","",ROUND(SUMIFS(Payments!$G$5:$G$1204,Payments!$I$5:$I$1204,A1035,Payments!$E$5:$E$1204,"Deposit"),2))</f>
        <v>0</v>
      </c>
      <c r="AB1035" s="26">
        <f>IF(B1035="","",ROUND(SUMIFS(Sales!$Y$5:$Y$1204,Sales!$C$5:$C$1204,A1035),2))</f>
        <v>0</v>
      </c>
      <c r="AC1035" s="38">
        <f>IF(B1035="","",IF(M1035="Completed","Yes",IF(M1035="Cancelled","Yes",IF(M1035="No show","Yes","No"))))</f>
        <v>0</v>
      </c>
      <c r="AD1035" s="25">
        <f>IF(B1035="","",IF(AE1035="","",B1035-AE1035))</f>
        <v>0</v>
      </c>
      <c r="AF1035" s="38">
        <f>IF(B1035="","",IF(M1035&lt;&gt;"Completed","",IF(E1035="","No",IF(COUNTIFS(Appointments!$E$5:$E$1204,E1035,Appointments!$B$5:$B$1204,"&gt;"&amp;B1035,Appointments!$M$5:$M$1204,"&lt;&gt;Cancelled")&gt;0,"Yes","No"))))</f>
        <v>0</v>
      </c>
      <c r="AG1035" s="38">
        <f>IF(B1035="","",IF(I1035="","",IF(D1035="","",IF(COUNTIFS($I$5:$I$1204,I1035,$B$5:$B$1204,B1035,$D$5:$D$1204,"&lt;"&amp;V1035,$V$5:$V$1204,"&gt;"&amp;D1035,$M$5:$M$1204,"&lt;&gt;Cancelled")&gt;1,"Clash",""))))</f>
        <v>0</v>
      </c>
      <c r="AH1035" s="39">
        <f>IF(B1035="","",IF(AG1035="Clash","Clash - stylist double booked",IF(I1035="","Assign - no stylist yet",IF(G1035="","Add - no service chosen",IF(M1035="No show","No show - charge the fee?",IF(M1035="Cancelled","",IF(IF(M1035="Completed",AB1035&lt;Y1035-0.004,FALSE),"Unpaid - nothing rung up for this visit",IF(IF(B1035&lt;TodayDate,M1035="Booked",FALSE),"Overdue - past date, still only Booked",IF(IF(B1035=TodayDate,TRUE,FALSE),"Today",IF(IF(Z1035&gt;0,AA1035&lt;Z1035-0.004,FALSE),"Due - deposit not taken",IF(IF(B1035&gt;TodayDate,B1035&lt;=TodayDate+2,FALSE),"Confirm - coming up","OK")))))))))))</f>
        <v>0</v>
      </c>
    </row>
    <row r="1036" spans="1:34">
      <c r="A1036" s="28">
        <f>IF(B1036="","",AppointmentPrefix&amp;TEXT(ROW()-4,"0000"))</f>
        <v>0</v>
      </c>
      <c r="C1036" s="15">
        <f>IF(B1036="","",TEXT(B1036,"ddd"))</f>
        <v>0</v>
      </c>
      <c r="F1036" s="15">
        <f>IF(E1036="","",IFERROR(INDEX(Clients!$B$5:$B$504,MATCH(E1036,Clients!$A$5:$A$504,0)),"Walk-in"))</f>
        <v>0</v>
      </c>
      <c r="H1036" s="15">
        <f>IF(G1036="","",IFERROR(INDEX(Services!$B$5:$B$204,MATCH(G1036,Services!$A$5:$A$204,0)),"Not in Services"))</f>
        <v>0</v>
      </c>
      <c r="J1036" s="15">
        <f>IF(I1036="","",IFERROR(INDEX(Staff!$B$5:$B$44,MATCH(I1036,Staff!$A$5:$A$44,0)),"Unassigned"))</f>
        <v>0</v>
      </c>
      <c r="S1036" s="15">
        <f>IF(B1036="","",TEXT(B1036,"yyyy-mm"))</f>
        <v>0</v>
      </c>
      <c r="T1036" s="25">
        <f>IF(B1036="","",WEEKNUM(B1036,2))</f>
        <v>0</v>
      </c>
      <c r="U1036" s="25">
        <f>IF(B1036="","",IF(K1036&lt;&gt;"",K1036,IFERROR(INDEX(Services!$E$5:$E$204,MATCH(G1036,Services!$A$5:$A$204,0))*1,0)+IFERROR(INDEX(Services!$F$5:$F$204,MATCH(G1036,Services!$A$5:$A$204,0))*1,0)))</f>
        <v>0</v>
      </c>
      <c r="V1036" s="36">
        <f>IF(B1036="","",IF(D1036="","",D1036+U1036/1440))</f>
        <v>0</v>
      </c>
      <c r="W1036" s="25">
        <f>IF(B1036="","",IF(D1036="","",HOUR(D1036)))</f>
        <v>0</v>
      </c>
      <c r="X1036" s="37">
        <f>IF(B1036="","",ROUND(U1036/60,2))</f>
        <v>0</v>
      </c>
      <c r="Y1036" s="26">
        <f>IF(B1036="","",IF(L1036&lt;&gt;"",L1036,IFERROR(INDEX(Services!$G$5:$G$204,MATCH(G1036,Services!$A$5:$A$204,0))*1,0)))</f>
        <v>0</v>
      </c>
      <c r="Z1036" s="26">
        <f>IF(B1036="","",IF(O1036&lt;&gt;"",O1036,IF(Y1036&gt;=DepositThreshold,ROUND(Y1036*DepositPercent,2),0)))</f>
        <v>0</v>
      </c>
      <c r="AA1036" s="26">
        <f>IF(B1036="","",ROUND(SUMIFS(Payments!$G$5:$G$1204,Payments!$I$5:$I$1204,A1036,Payments!$E$5:$E$1204,"Deposit"),2))</f>
        <v>0</v>
      </c>
      <c r="AB1036" s="26">
        <f>IF(B1036="","",ROUND(SUMIFS(Sales!$Y$5:$Y$1204,Sales!$C$5:$C$1204,A1036),2))</f>
        <v>0</v>
      </c>
      <c r="AC1036" s="38">
        <f>IF(B1036="","",IF(M1036="Completed","Yes",IF(M1036="Cancelled","Yes",IF(M1036="No show","Yes","No"))))</f>
        <v>0</v>
      </c>
      <c r="AD1036" s="25">
        <f>IF(B1036="","",IF(AE1036="","",B1036-AE1036))</f>
        <v>0</v>
      </c>
      <c r="AF1036" s="38">
        <f>IF(B1036="","",IF(M1036&lt;&gt;"Completed","",IF(E1036="","No",IF(COUNTIFS(Appointments!$E$5:$E$1204,E1036,Appointments!$B$5:$B$1204,"&gt;"&amp;B1036,Appointments!$M$5:$M$1204,"&lt;&gt;Cancelled")&gt;0,"Yes","No"))))</f>
        <v>0</v>
      </c>
      <c r="AG1036" s="38">
        <f>IF(B1036="","",IF(I1036="","",IF(D1036="","",IF(COUNTIFS($I$5:$I$1204,I1036,$B$5:$B$1204,B1036,$D$5:$D$1204,"&lt;"&amp;V1036,$V$5:$V$1204,"&gt;"&amp;D1036,$M$5:$M$1204,"&lt;&gt;Cancelled")&gt;1,"Clash",""))))</f>
        <v>0</v>
      </c>
      <c r="AH1036" s="39">
        <f>IF(B1036="","",IF(AG1036="Clash","Clash - stylist double booked",IF(I1036="","Assign - no stylist yet",IF(G1036="","Add - no service chosen",IF(M1036="No show","No show - charge the fee?",IF(M1036="Cancelled","",IF(IF(M1036="Completed",AB1036&lt;Y1036-0.004,FALSE),"Unpaid - nothing rung up for this visit",IF(IF(B1036&lt;TodayDate,M1036="Booked",FALSE),"Overdue - past date, still only Booked",IF(IF(B1036=TodayDate,TRUE,FALSE),"Today",IF(IF(Z1036&gt;0,AA1036&lt;Z1036-0.004,FALSE),"Due - deposit not taken",IF(IF(B1036&gt;TodayDate,B1036&lt;=TodayDate+2,FALSE),"Confirm - coming up","OK")))))))))))</f>
        <v>0</v>
      </c>
    </row>
    <row r="1037" spans="1:34">
      <c r="A1037" s="28">
        <f>IF(B1037="","",AppointmentPrefix&amp;TEXT(ROW()-4,"0000"))</f>
        <v>0</v>
      </c>
      <c r="C1037" s="15">
        <f>IF(B1037="","",TEXT(B1037,"ddd"))</f>
        <v>0</v>
      </c>
      <c r="F1037" s="15">
        <f>IF(E1037="","",IFERROR(INDEX(Clients!$B$5:$B$504,MATCH(E1037,Clients!$A$5:$A$504,0)),"Walk-in"))</f>
        <v>0</v>
      </c>
      <c r="H1037" s="15">
        <f>IF(G1037="","",IFERROR(INDEX(Services!$B$5:$B$204,MATCH(G1037,Services!$A$5:$A$204,0)),"Not in Services"))</f>
        <v>0</v>
      </c>
      <c r="J1037" s="15">
        <f>IF(I1037="","",IFERROR(INDEX(Staff!$B$5:$B$44,MATCH(I1037,Staff!$A$5:$A$44,0)),"Unassigned"))</f>
        <v>0</v>
      </c>
      <c r="S1037" s="15">
        <f>IF(B1037="","",TEXT(B1037,"yyyy-mm"))</f>
        <v>0</v>
      </c>
      <c r="T1037" s="25">
        <f>IF(B1037="","",WEEKNUM(B1037,2))</f>
        <v>0</v>
      </c>
      <c r="U1037" s="25">
        <f>IF(B1037="","",IF(K1037&lt;&gt;"",K1037,IFERROR(INDEX(Services!$E$5:$E$204,MATCH(G1037,Services!$A$5:$A$204,0))*1,0)+IFERROR(INDEX(Services!$F$5:$F$204,MATCH(G1037,Services!$A$5:$A$204,0))*1,0)))</f>
        <v>0</v>
      </c>
      <c r="V1037" s="36">
        <f>IF(B1037="","",IF(D1037="","",D1037+U1037/1440))</f>
        <v>0</v>
      </c>
      <c r="W1037" s="25">
        <f>IF(B1037="","",IF(D1037="","",HOUR(D1037)))</f>
        <v>0</v>
      </c>
      <c r="X1037" s="37">
        <f>IF(B1037="","",ROUND(U1037/60,2))</f>
        <v>0</v>
      </c>
      <c r="Y1037" s="26">
        <f>IF(B1037="","",IF(L1037&lt;&gt;"",L1037,IFERROR(INDEX(Services!$G$5:$G$204,MATCH(G1037,Services!$A$5:$A$204,0))*1,0)))</f>
        <v>0</v>
      </c>
      <c r="Z1037" s="26">
        <f>IF(B1037="","",IF(O1037&lt;&gt;"",O1037,IF(Y1037&gt;=DepositThreshold,ROUND(Y1037*DepositPercent,2),0)))</f>
        <v>0</v>
      </c>
      <c r="AA1037" s="26">
        <f>IF(B1037="","",ROUND(SUMIFS(Payments!$G$5:$G$1204,Payments!$I$5:$I$1204,A1037,Payments!$E$5:$E$1204,"Deposit"),2))</f>
        <v>0</v>
      </c>
      <c r="AB1037" s="26">
        <f>IF(B1037="","",ROUND(SUMIFS(Sales!$Y$5:$Y$1204,Sales!$C$5:$C$1204,A1037),2))</f>
        <v>0</v>
      </c>
      <c r="AC1037" s="38">
        <f>IF(B1037="","",IF(M1037="Completed","Yes",IF(M1037="Cancelled","Yes",IF(M1037="No show","Yes","No"))))</f>
        <v>0</v>
      </c>
      <c r="AD1037" s="25">
        <f>IF(B1037="","",IF(AE1037="","",B1037-AE1037))</f>
        <v>0</v>
      </c>
      <c r="AF1037" s="38">
        <f>IF(B1037="","",IF(M1037&lt;&gt;"Completed","",IF(E1037="","No",IF(COUNTIFS(Appointments!$E$5:$E$1204,E1037,Appointments!$B$5:$B$1204,"&gt;"&amp;B1037,Appointments!$M$5:$M$1204,"&lt;&gt;Cancelled")&gt;0,"Yes","No"))))</f>
        <v>0</v>
      </c>
      <c r="AG1037" s="38">
        <f>IF(B1037="","",IF(I1037="","",IF(D1037="","",IF(COUNTIFS($I$5:$I$1204,I1037,$B$5:$B$1204,B1037,$D$5:$D$1204,"&lt;"&amp;V1037,$V$5:$V$1204,"&gt;"&amp;D1037,$M$5:$M$1204,"&lt;&gt;Cancelled")&gt;1,"Clash",""))))</f>
        <v>0</v>
      </c>
      <c r="AH1037" s="39">
        <f>IF(B1037="","",IF(AG1037="Clash","Clash - stylist double booked",IF(I1037="","Assign - no stylist yet",IF(G1037="","Add - no service chosen",IF(M1037="No show","No show - charge the fee?",IF(M1037="Cancelled","",IF(IF(M1037="Completed",AB1037&lt;Y1037-0.004,FALSE),"Unpaid - nothing rung up for this visit",IF(IF(B1037&lt;TodayDate,M1037="Booked",FALSE),"Overdue - past date, still only Booked",IF(IF(B1037=TodayDate,TRUE,FALSE),"Today",IF(IF(Z1037&gt;0,AA1037&lt;Z1037-0.004,FALSE),"Due - deposit not taken",IF(IF(B1037&gt;TodayDate,B1037&lt;=TodayDate+2,FALSE),"Confirm - coming up","OK")))))))))))</f>
        <v>0</v>
      </c>
    </row>
    <row r="1038" spans="1:34">
      <c r="A1038" s="28">
        <f>IF(B1038="","",AppointmentPrefix&amp;TEXT(ROW()-4,"0000"))</f>
        <v>0</v>
      </c>
      <c r="C1038" s="15">
        <f>IF(B1038="","",TEXT(B1038,"ddd"))</f>
        <v>0</v>
      </c>
      <c r="F1038" s="15">
        <f>IF(E1038="","",IFERROR(INDEX(Clients!$B$5:$B$504,MATCH(E1038,Clients!$A$5:$A$504,0)),"Walk-in"))</f>
        <v>0</v>
      </c>
      <c r="H1038" s="15">
        <f>IF(G1038="","",IFERROR(INDEX(Services!$B$5:$B$204,MATCH(G1038,Services!$A$5:$A$204,0)),"Not in Services"))</f>
        <v>0</v>
      </c>
      <c r="J1038" s="15">
        <f>IF(I1038="","",IFERROR(INDEX(Staff!$B$5:$B$44,MATCH(I1038,Staff!$A$5:$A$44,0)),"Unassigned"))</f>
        <v>0</v>
      </c>
      <c r="S1038" s="15">
        <f>IF(B1038="","",TEXT(B1038,"yyyy-mm"))</f>
        <v>0</v>
      </c>
      <c r="T1038" s="25">
        <f>IF(B1038="","",WEEKNUM(B1038,2))</f>
        <v>0</v>
      </c>
      <c r="U1038" s="25">
        <f>IF(B1038="","",IF(K1038&lt;&gt;"",K1038,IFERROR(INDEX(Services!$E$5:$E$204,MATCH(G1038,Services!$A$5:$A$204,0))*1,0)+IFERROR(INDEX(Services!$F$5:$F$204,MATCH(G1038,Services!$A$5:$A$204,0))*1,0)))</f>
        <v>0</v>
      </c>
      <c r="V1038" s="36">
        <f>IF(B1038="","",IF(D1038="","",D1038+U1038/1440))</f>
        <v>0</v>
      </c>
      <c r="W1038" s="25">
        <f>IF(B1038="","",IF(D1038="","",HOUR(D1038)))</f>
        <v>0</v>
      </c>
      <c r="X1038" s="37">
        <f>IF(B1038="","",ROUND(U1038/60,2))</f>
        <v>0</v>
      </c>
      <c r="Y1038" s="26">
        <f>IF(B1038="","",IF(L1038&lt;&gt;"",L1038,IFERROR(INDEX(Services!$G$5:$G$204,MATCH(G1038,Services!$A$5:$A$204,0))*1,0)))</f>
        <v>0</v>
      </c>
      <c r="Z1038" s="26">
        <f>IF(B1038="","",IF(O1038&lt;&gt;"",O1038,IF(Y1038&gt;=DepositThreshold,ROUND(Y1038*DepositPercent,2),0)))</f>
        <v>0</v>
      </c>
      <c r="AA1038" s="26">
        <f>IF(B1038="","",ROUND(SUMIFS(Payments!$G$5:$G$1204,Payments!$I$5:$I$1204,A1038,Payments!$E$5:$E$1204,"Deposit"),2))</f>
        <v>0</v>
      </c>
      <c r="AB1038" s="26">
        <f>IF(B1038="","",ROUND(SUMIFS(Sales!$Y$5:$Y$1204,Sales!$C$5:$C$1204,A1038),2))</f>
        <v>0</v>
      </c>
      <c r="AC1038" s="38">
        <f>IF(B1038="","",IF(M1038="Completed","Yes",IF(M1038="Cancelled","Yes",IF(M1038="No show","Yes","No"))))</f>
        <v>0</v>
      </c>
      <c r="AD1038" s="25">
        <f>IF(B1038="","",IF(AE1038="","",B1038-AE1038))</f>
        <v>0</v>
      </c>
      <c r="AF1038" s="38">
        <f>IF(B1038="","",IF(M1038&lt;&gt;"Completed","",IF(E1038="","No",IF(COUNTIFS(Appointments!$E$5:$E$1204,E1038,Appointments!$B$5:$B$1204,"&gt;"&amp;B1038,Appointments!$M$5:$M$1204,"&lt;&gt;Cancelled")&gt;0,"Yes","No"))))</f>
        <v>0</v>
      </c>
      <c r="AG1038" s="38">
        <f>IF(B1038="","",IF(I1038="","",IF(D1038="","",IF(COUNTIFS($I$5:$I$1204,I1038,$B$5:$B$1204,B1038,$D$5:$D$1204,"&lt;"&amp;V1038,$V$5:$V$1204,"&gt;"&amp;D1038,$M$5:$M$1204,"&lt;&gt;Cancelled")&gt;1,"Clash",""))))</f>
        <v>0</v>
      </c>
      <c r="AH1038" s="39">
        <f>IF(B1038="","",IF(AG1038="Clash","Clash - stylist double booked",IF(I1038="","Assign - no stylist yet",IF(G1038="","Add - no service chosen",IF(M1038="No show","No show - charge the fee?",IF(M1038="Cancelled","",IF(IF(M1038="Completed",AB1038&lt;Y1038-0.004,FALSE),"Unpaid - nothing rung up for this visit",IF(IF(B1038&lt;TodayDate,M1038="Booked",FALSE),"Overdue - past date, still only Booked",IF(IF(B1038=TodayDate,TRUE,FALSE),"Today",IF(IF(Z1038&gt;0,AA1038&lt;Z1038-0.004,FALSE),"Due - deposit not taken",IF(IF(B1038&gt;TodayDate,B1038&lt;=TodayDate+2,FALSE),"Confirm - coming up","OK")))))))))))</f>
        <v>0</v>
      </c>
    </row>
    <row r="1039" spans="1:34">
      <c r="A1039" s="28">
        <f>IF(B1039="","",AppointmentPrefix&amp;TEXT(ROW()-4,"0000"))</f>
        <v>0</v>
      </c>
      <c r="C1039" s="15">
        <f>IF(B1039="","",TEXT(B1039,"ddd"))</f>
        <v>0</v>
      </c>
      <c r="F1039" s="15">
        <f>IF(E1039="","",IFERROR(INDEX(Clients!$B$5:$B$504,MATCH(E1039,Clients!$A$5:$A$504,0)),"Walk-in"))</f>
        <v>0</v>
      </c>
      <c r="H1039" s="15">
        <f>IF(G1039="","",IFERROR(INDEX(Services!$B$5:$B$204,MATCH(G1039,Services!$A$5:$A$204,0)),"Not in Services"))</f>
        <v>0</v>
      </c>
      <c r="J1039" s="15">
        <f>IF(I1039="","",IFERROR(INDEX(Staff!$B$5:$B$44,MATCH(I1039,Staff!$A$5:$A$44,0)),"Unassigned"))</f>
        <v>0</v>
      </c>
      <c r="S1039" s="15">
        <f>IF(B1039="","",TEXT(B1039,"yyyy-mm"))</f>
        <v>0</v>
      </c>
      <c r="T1039" s="25">
        <f>IF(B1039="","",WEEKNUM(B1039,2))</f>
        <v>0</v>
      </c>
      <c r="U1039" s="25">
        <f>IF(B1039="","",IF(K1039&lt;&gt;"",K1039,IFERROR(INDEX(Services!$E$5:$E$204,MATCH(G1039,Services!$A$5:$A$204,0))*1,0)+IFERROR(INDEX(Services!$F$5:$F$204,MATCH(G1039,Services!$A$5:$A$204,0))*1,0)))</f>
        <v>0</v>
      </c>
      <c r="V1039" s="36">
        <f>IF(B1039="","",IF(D1039="","",D1039+U1039/1440))</f>
        <v>0</v>
      </c>
      <c r="W1039" s="25">
        <f>IF(B1039="","",IF(D1039="","",HOUR(D1039)))</f>
        <v>0</v>
      </c>
      <c r="X1039" s="37">
        <f>IF(B1039="","",ROUND(U1039/60,2))</f>
        <v>0</v>
      </c>
      <c r="Y1039" s="26">
        <f>IF(B1039="","",IF(L1039&lt;&gt;"",L1039,IFERROR(INDEX(Services!$G$5:$G$204,MATCH(G1039,Services!$A$5:$A$204,0))*1,0)))</f>
        <v>0</v>
      </c>
      <c r="Z1039" s="26">
        <f>IF(B1039="","",IF(O1039&lt;&gt;"",O1039,IF(Y1039&gt;=DepositThreshold,ROUND(Y1039*DepositPercent,2),0)))</f>
        <v>0</v>
      </c>
      <c r="AA1039" s="26">
        <f>IF(B1039="","",ROUND(SUMIFS(Payments!$G$5:$G$1204,Payments!$I$5:$I$1204,A1039,Payments!$E$5:$E$1204,"Deposit"),2))</f>
        <v>0</v>
      </c>
      <c r="AB1039" s="26">
        <f>IF(B1039="","",ROUND(SUMIFS(Sales!$Y$5:$Y$1204,Sales!$C$5:$C$1204,A1039),2))</f>
        <v>0</v>
      </c>
      <c r="AC1039" s="38">
        <f>IF(B1039="","",IF(M1039="Completed","Yes",IF(M1039="Cancelled","Yes",IF(M1039="No show","Yes","No"))))</f>
        <v>0</v>
      </c>
      <c r="AD1039" s="25">
        <f>IF(B1039="","",IF(AE1039="","",B1039-AE1039))</f>
        <v>0</v>
      </c>
      <c r="AF1039" s="38">
        <f>IF(B1039="","",IF(M1039&lt;&gt;"Completed","",IF(E1039="","No",IF(COUNTIFS(Appointments!$E$5:$E$1204,E1039,Appointments!$B$5:$B$1204,"&gt;"&amp;B1039,Appointments!$M$5:$M$1204,"&lt;&gt;Cancelled")&gt;0,"Yes","No"))))</f>
        <v>0</v>
      </c>
      <c r="AG1039" s="38">
        <f>IF(B1039="","",IF(I1039="","",IF(D1039="","",IF(COUNTIFS($I$5:$I$1204,I1039,$B$5:$B$1204,B1039,$D$5:$D$1204,"&lt;"&amp;V1039,$V$5:$V$1204,"&gt;"&amp;D1039,$M$5:$M$1204,"&lt;&gt;Cancelled")&gt;1,"Clash",""))))</f>
        <v>0</v>
      </c>
      <c r="AH1039" s="39">
        <f>IF(B1039="","",IF(AG1039="Clash","Clash - stylist double booked",IF(I1039="","Assign - no stylist yet",IF(G1039="","Add - no service chosen",IF(M1039="No show","No show - charge the fee?",IF(M1039="Cancelled","",IF(IF(M1039="Completed",AB1039&lt;Y1039-0.004,FALSE),"Unpaid - nothing rung up for this visit",IF(IF(B1039&lt;TodayDate,M1039="Booked",FALSE),"Overdue - past date, still only Booked",IF(IF(B1039=TodayDate,TRUE,FALSE),"Today",IF(IF(Z1039&gt;0,AA1039&lt;Z1039-0.004,FALSE),"Due - deposit not taken",IF(IF(B1039&gt;TodayDate,B1039&lt;=TodayDate+2,FALSE),"Confirm - coming up","OK")))))))))))</f>
        <v>0</v>
      </c>
    </row>
    <row r="1040" spans="1:34">
      <c r="A1040" s="28">
        <f>IF(B1040="","",AppointmentPrefix&amp;TEXT(ROW()-4,"0000"))</f>
        <v>0</v>
      </c>
      <c r="C1040" s="15">
        <f>IF(B1040="","",TEXT(B1040,"ddd"))</f>
        <v>0</v>
      </c>
      <c r="F1040" s="15">
        <f>IF(E1040="","",IFERROR(INDEX(Clients!$B$5:$B$504,MATCH(E1040,Clients!$A$5:$A$504,0)),"Walk-in"))</f>
        <v>0</v>
      </c>
      <c r="H1040" s="15">
        <f>IF(G1040="","",IFERROR(INDEX(Services!$B$5:$B$204,MATCH(G1040,Services!$A$5:$A$204,0)),"Not in Services"))</f>
        <v>0</v>
      </c>
      <c r="J1040" s="15">
        <f>IF(I1040="","",IFERROR(INDEX(Staff!$B$5:$B$44,MATCH(I1040,Staff!$A$5:$A$44,0)),"Unassigned"))</f>
        <v>0</v>
      </c>
      <c r="S1040" s="15">
        <f>IF(B1040="","",TEXT(B1040,"yyyy-mm"))</f>
        <v>0</v>
      </c>
      <c r="T1040" s="25">
        <f>IF(B1040="","",WEEKNUM(B1040,2))</f>
        <v>0</v>
      </c>
      <c r="U1040" s="25">
        <f>IF(B1040="","",IF(K1040&lt;&gt;"",K1040,IFERROR(INDEX(Services!$E$5:$E$204,MATCH(G1040,Services!$A$5:$A$204,0))*1,0)+IFERROR(INDEX(Services!$F$5:$F$204,MATCH(G1040,Services!$A$5:$A$204,0))*1,0)))</f>
        <v>0</v>
      </c>
      <c r="V1040" s="36">
        <f>IF(B1040="","",IF(D1040="","",D1040+U1040/1440))</f>
        <v>0</v>
      </c>
      <c r="W1040" s="25">
        <f>IF(B1040="","",IF(D1040="","",HOUR(D1040)))</f>
        <v>0</v>
      </c>
      <c r="X1040" s="37">
        <f>IF(B1040="","",ROUND(U1040/60,2))</f>
        <v>0</v>
      </c>
      <c r="Y1040" s="26">
        <f>IF(B1040="","",IF(L1040&lt;&gt;"",L1040,IFERROR(INDEX(Services!$G$5:$G$204,MATCH(G1040,Services!$A$5:$A$204,0))*1,0)))</f>
        <v>0</v>
      </c>
      <c r="Z1040" s="26">
        <f>IF(B1040="","",IF(O1040&lt;&gt;"",O1040,IF(Y1040&gt;=DepositThreshold,ROUND(Y1040*DepositPercent,2),0)))</f>
        <v>0</v>
      </c>
      <c r="AA1040" s="26">
        <f>IF(B1040="","",ROUND(SUMIFS(Payments!$G$5:$G$1204,Payments!$I$5:$I$1204,A1040,Payments!$E$5:$E$1204,"Deposit"),2))</f>
        <v>0</v>
      </c>
      <c r="AB1040" s="26">
        <f>IF(B1040="","",ROUND(SUMIFS(Sales!$Y$5:$Y$1204,Sales!$C$5:$C$1204,A1040),2))</f>
        <v>0</v>
      </c>
      <c r="AC1040" s="38">
        <f>IF(B1040="","",IF(M1040="Completed","Yes",IF(M1040="Cancelled","Yes",IF(M1040="No show","Yes","No"))))</f>
        <v>0</v>
      </c>
      <c r="AD1040" s="25">
        <f>IF(B1040="","",IF(AE1040="","",B1040-AE1040))</f>
        <v>0</v>
      </c>
      <c r="AF1040" s="38">
        <f>IF(B1040="","",IF(M1040&lt;&gt;"Completed","",IF(E1040="","No",IF(COUNTIFS(Appointments!$E$5:$E$1204,E1040,Appointments!$B$5:$B$1204,"&gt;"&amp;B1040,Appointments!$M$5:$M$1204,"&lt;&gt;Cancelled")&gt;0,"Yes","No"))))</f>
        <v>0</v>
      </c>
      <c r="AG1040" s="38">
        <f>IF(B1040="","",IF(I1040="","",IF(D1040="","",IF(COUNTIFS($I$5:$I$1204,I1040,$B$5:$B$1204,B1040,$D$5:$D$1204,"&lt;"&amp;V1040,$V$5:$V$1204,"&gt;"&amp;D1040,$M$5:$M$1204,"&lt;&gt;Cancelled")&gt;1,"Clash",""))))</f>
        <v>0</v>
      </c>
      <c r="AH1040" s="39">
        <f>IF(B1040="","",IF(AG1040="Clash","Clash - stylist double booked",IF(I1040="","Assign - no stylist yet",IF(G1040="","Add - no service chosen",IF(M1040="No show","No show - charge the fee?",IF(M1040="Cancelled","",IF(IF(M1040="Completed",AB1040&lt;Y1040-0.004,FALSE),"Unpaid - nothing rung up for this visit",IF(IF(B1040&lt;TodayDate,M1040="Booked",FALSE),"Overdue - past date, still only Booked",IF(IF(B1040=TodayDate,TRUE,FALSE),"Today",IF(IF(Z1040&gt;0,AA1040&lt;Z1040-0.004,FALSE),"Due - deposit not taken",IF(IF(B1040&gt;TodayDate,B1040&lt;=TodayDate+2,FALSE),"Confirm - coming up","OK")))))))))))</f>
        <v>0</v>
      </c>
    </row>
    <row r="1041" spans="1:34">
      <c r="A1041" s="28">
        <f>IF(B1041="","",AppointmentPrefix&amp;TEXT(ROW()-4,"0000"))</f>
        <v>0</v>
      </c>
      <c r="C1041" s="15">
        <f>IF(B1041="","",TEXT(B1041,"ddd"))</f>
        <v>0</v>
      </c>
      <c r="F1041" s="15">
        <f>IF(E1041="","",IFERROR(INDEX(Clients!$B$5:$B$504,MATCH(E1041,Clients!$A$5:$A$504,0)),"Walk-in"))</f>
        <v>0</v>
      </c>
      <c r="H1041" s="15">
        <f>IF(G1041="","",IFERROR(INDEX(Services!$B$5:$B$204,MATCH(G1041,Services!$A$5:$A$204,0)),"Not in Services"))</f>
        <v>0</v>
      </c>
      <c r="J1041" s="15">
        <f>IF(I1041="","",IFERROR(INDEX(Staff!$B$5:$B$44,MATCH(I1041,Staff!$A$5:$A$44,0)),"Unassigned"))</f>
        <v>0</v>
      </c>
      <c r="S1041" s="15">
        <f>IF(B1041="","",TEXT(B1041,"yyyy-mm"))</f>
        <v>0</v>
      </c>
      <c r="T1041" s="25">
        <f>IF(B1041="","",WEEKNUM(B1041,2))</f>
        <v>0</v>
      </c>
      <c r="U1041" s="25">
        <f>IF(B1041="","",IF(K1041&lt;&gt;"",K1041,IFERROR(INDEX(Services!$E$5:$E$204,MATCH(G1041,Services!$A$5:$A$204,0))*1,0)+IFERROR(INDEX(Services!$F$5:$F$204,MATCH(G1041,Services!$A$5:$A$204,0))*1,0)))</f>
        <v>0</v>
      </c>
      <c r="V1041" s="36">
        <f>IF(B1041="","",IF(D1041="","",D1041+U1041/1440))</f>
        <v>0</v>
      </c>
      <c r="W1041" s="25">
        <f>IF(B1041="","",IF(D1041="","",HOUR(D1041)))</f>
        <v>0</v>
      </c>
      <c r="X1041" s="37">
        <f>IF(B1041="","",ROUND(U1041/60,2))</f>
        <v>0</v>
      </c>
      <c r="Y1041" s="26">
        <f>IF(B1041="","",IF(L1041&lt;&gt;"",L1041,IFERROR(INDEX(Services!$G$5:$G$204,MATCH(G1041,Services!$A$5:$A$204,0))*1,0)))</f>
        <v>0</v>
      </c>
      <c r="Z1041" s="26">
        <f>IF(B1041="","",IF(O1041&lt;&gt;"",O1041,IF(Y1041&gt;=DepositThreshold,ROUND(Y1041*DepositPercent,2),0)))</f>
        <v>0</v>
      </c>
      <c r="AA1041" s="26">
        <f>IF(B1041="","",ROUND(SUMIFS(Payments!$G$5:$G$1204,Payments!$I$5:$I$1204,A1041,Payments!$E$5:$E$1204,"Deposit"),2))</f>
        <v>0</v>
      </c>
      <c r="AB1041" s="26">
        <f>IF(B1041="","",ROUND(SUMIFS(Sales!$Y$5:$Y$1204,Sales!$C$5:$C$1204,A1041),2))</f>
        <v>0</v>
      </c>
      <c r="AC1041" s="38">
        <f>IF(B1041="","",IF(M1041="Completed","Yes",IF(M1041="Cancelled","Yes",IF(M1041="No show","Yes","No"))))</f>
        <v>0</v>
      </c>
      <c r="AD1041" s="25">
        <f>IF(B1041="","",IF(AE1041="","",B1041-AE1041))</f>
        <v>0</v>
      </c>
      <c r="AF1041" s="38">
        <f>IF(B1041="","",IF(M1041&lt;&gt;"Completed","",IF(E1041="","No",IF(COUNTIFS(Appointments!$E$5:$E$1204,E1041,Appointments!$B$5:$B$1204,"&gt;"&amp;B1041,Appointments!$M$5:$M$1204,"&lt;&gt;Cancelled")&gt;0,"Yes","No"))))</f>
        <v>0</v>
      </c>
      <c r="AG1041" s="38">
        <f>IF(B1041="","",IF(I1041="","",IF(D1041="","",IF(COUNTIFS($I$5:$I$1204,I1041,$B$5:$B$1204,B1041,$D$5:$D$1204,"&lt;"&amp;V1041,$V$5:$V$1204,"&gt;"&amp;D1041,$M$5:$M$1204,"&lt;&gt;Cancelled")&gt;1,"Clash",""))))</f>
        <v>0</v>
      </c>
      <c r="AH1041" s="39">
        <f>IF(B1041="","",IF(AG1041="Clash","Clash - stylist double booked",IF(I1041="","Assign - no stylist yet",IF(G1041="","Add - no service chosen",IF(M1041="No show","No show - charge the fee?",IF(M1041="Cancelled","",IF(IF(M1041="Completed",AB1041&lt;Y1041-0.004,FALSE),"Unpaid - nothing rung up for this visit",IF(IF(B1041&lt;TodayDate,M1041="Booked",FALSE),"Overdue - past date, still only Booked",IF(IF(B1041=TodayDate,TRUE,FALSE),"Today",IF(IF(Z1041&gt;0,AA1041&lt;Z1041-0.004,FALSE),"Due - deposit not taken",IF(IF(B1041&gt;TodayDate,B1041&lt;=TodayDate+2,FALSE),"Confirm - coming up","OK")))))))))))</f>
        <v>0</v>
      </c>
    </row>
    <row r="1042" spans="1:34">
      <c r="A1042" s="28">
        <f>IF(B1042="","",AppointmentPrefix&amp;TEXT(ROW()-4,"0000"))</f>
        <v>0</v>
      </c>
      <c r="C1042" s="15">
        <f>IF(B1042="","",TEXT(B1042,"ddd"))</f>
        <v>0</v>
      </c>
      <c r="F1042" s="15">
        <f>IF(E1042="","",IFERROR(INDEX(Clients!$B$5:$B$504,MATCH(E1042,Clients!$A$5:$A$504,0)),"Walk-in"))</f>
        <v>0</v>
      </c>
      <c r="H1042" s="15">
        <f>IF(G1042="","",IFERROR(INDEX(Services!$B$5:$B$204,MATCH(G1042,Services!$A$5:$A$204,0)),"Not in Services"))</f>
        <v>0</v>
      </c>
      <c r="J1042" s="15">
        <f>IF(I1042="","",IFERROR(INDEX(Staff!$B$5:$B$44,MATCH(I1042,Staff!$A$5:$A$44,0)),"Unassigned"))</f>
        <v>0</v>
      </c>
      <c r="S1042" s="15">
        <f>IF(B1042="","",TEXT(B1042,"yyyy-mm"))</f>
        <v>0</v>
      </c>
      <c r="T1042" s="25">
        <f>IF(B1042="","",WEEKNUM(B1042,2))</f>
        <v>0</v>
      </c>
      <c r="U1042" s="25">
        <f>IF(B1042="","",IF(K1042&lt;&gt;"",K1042,IFERROR(INDEX(Services!$E$5:$E$204,MATCH(G1042,Services!$A$5:$A$204,0))*1,0)+IFERROR(INDEX(Services!$F$5:$F$204,MATCH(G1042,Services!$A$5:$A$204,0))*1,0)))</f>
        <v>0</v>
      </c>
      <c r="V1042" s="36">
        <f>IF(B1042="","",IF(D1042="","",D1042+U1042/1440))</f>
        <v>0</v>
      </c>
      <c r="W1042" s="25">
        <f>IF(B1042="","",IF(D1042="","",HOUR(D1042)))</f>
        <v>0</v>
      </c>
      <c r="X1042" s="37">
        <f>IF(B1042="","",ROUND(U1042/60,2))</f>
        <v>0</v>
      </c>
      <c r="Y1042" s="26">
        <f>IF(B1042="","",IF(L1042&lt;&gt;"",L1042,IFERROR(INDEX(Services!$G$5:$G$204,MATCH(G1042,Services!$A$5:$A$204,0))*1,0)))</f>
        <v>0</v>
      </c>
      <c r="Z1042" s="26">
        <f>IF(B1042="","",IF(O1042&lt;&gt;"",O1042,IF(Y1042&gt;=DepositThreshold,ROUND(Y1042*DepositPercent,2),0)))</f>
        <v>0</v>
      </c>
      <c r="AA1042" s="26">
        <f>IF(B1042="","",ROUND(SUMIFS(Payments!$G$5:$G$1204,Payments!$I$5:$I$1204,A1042,Payments!$E$5:$E$1204,"Deposit"),2))</f>
        <v>0</v>
      </c>
      <c r="AB1042" s="26">
        <f>IF(B1042="","",ROUND(SUMIFS(Sales!$Y$5:$Y$1204,Sales!$C$5:$C$1204,A1042),2))</f>
        <v>0</v>
      </c>
      <c r="AC1042" s="38">
        <f>IF(B1042="","",IF(M1042="Completed","Yes",IF(M1042="Cancelled","Yes",IF(M1042="No show","Yes","No"))))</f>
        <v>0</v>
      </c>
      <c r="AD1042" s="25">
        <f>IF(B1042="","",IF(AE1042="","",B1042-AE1042))</f>
        <v>0</v>
      </c>
      <c r="AF1042" s="38">
        <f>IF(B1042="","",IF(M1042&lt;&gt;"Completed","",IF(E1042="","No",IF(COUNTIFS(Appointments!$E$5:$E$1204,E1042,Appointments!$B$5:$B$1204,"&gt;"&amp;B1042,Appointments!$M$5:$M$1204,"&lt;&gt;Cancelled")&gt;0,"Yes","No"))))</f>
        <v>0</v>
      </c>
      <c r="AG1042" s="38">
        <f>IF(B1042="","",IF(I1042="","",IF(D1042="","",IF(COUNTIFS($I$5:$I$1204,I1042,$B$5:$B$1204,B1042,$D$5:$D$1204,"&lt;"&amp;V1042,$V$5:$V$1204,"&gt;"&amp;D1042,$M$5:$M$1204,"&lt;&gt;Cancelled")&gt;1,"Clash",""))))</f>
        <v>0</v>
      </c>
      <c r="AH1042" s="39">
        <f>IF(B1042="","",IF(AG1042="Clash","Clash - stylist double booked",IF(I1042="","Assign - no stylist yet",IF(G1042="","Add - no service chosen",IF(M1042="No show","No show - charge the fee?",IF(M1042="Cancelled","",IF(IF(M1042="Completed",AB1042&lt;Y1042-0.004,FALSE),"Unpaid - nothing rung up for this visit",IF(IF(B1042&lt;TodayDate,M1042="Booked",FALSE),"Overdue - past date, still only Booked",IF(IF(B1042=TodayDate,TRUE,FALSE),"Today",IF(IF(Z1042&gt;0,AA1042&lt;Z1042-0.004,FALSE),"Due - deposit not taken",IF(IF(B1042&gt;TodayDate,B1042&lt;=TodayDate+2,FALSE),"Confirm - coming up","OK")))))))))))</f>
        <v>0</v>
      </c>
    </row>
    <row r="1043" spans="1:34">
      <c r="A1043" s="28">
        <f>IF(B1043="","",AppointmentPrefix&amp;TEXT(ROW()-4,"0000"))</f>
        <v>0</v>
      </c>
      <c r="C1043" s="15">
        <f>IF(B1043="","",TEXT(B1043,"ddd"))</f>
        <v>0</v>
      </c>
      <c r="F1043" s="15">
        <f>IF(E1043="","",IFERROR(INDEX(Clients!$B$5:$B$504,MATCH(E1043,Clients!$A$5:$A$504,0)),"Walk-in"))</f>
        <v>0</v>
      </c>
      <c r="H1043" s="15">
        <f>IF(G1043="","",IFERROR(INDEX(Services!$B$5:$B$204,MATCH(G1043,Services!$A$5:$A$204,0)),"Not in Services"))</f>
        <v>0</v>
      </c>
      <c r="J1043" s="15">
        <f>IF(I1043="","",IFERROR(INDEX(Staff!$B$5:$B$44,MATCH(I1043,Staff!$A$5:$A$44,0)),"Unassigned"))</f>
        <v>0</v>
      </c>
      <c r="S1043" s="15">
        <f>IF(B1043="","",TEXT(B1043,"yyyy-mm"))</f>
        <v>0</v>
      </c>
      <c r="T1043" s="25">
        <f>IF(B1043="","",WEEKNUM(B1043,2))</f>
        <v>0</v>
      </c>
      <c r="U1043" s="25">
        <f>IF(B1043="","",IF(K1043&lt;&gt;"",K1043,IFERROR(INDEX(Services!$E$5:$E$204,MATCH(G1043,Services!$A$5:$A$204,0))*1,0)+IFERROR(INDEX(Services!$F$5:$F$204,MATCH(G1043,Services!$A$5:$A$204,0))*1,0)))</f>
        <v>0</v>
      </c>
      <c r="V1043" s="36">
        <f>IF(B1043="","",IF(D1043="","",D1043+U1043/1440))</f>
        <v>0</v>
      </c>
      <c r="W1043" s="25">
        <f>IF(B1043="","",IF(D1043="","",HOUR(D1043)))</f>
        <v>0</v>
      </c>
      <c r="X1043" s="37">
        <f>IF(B1043="","",ROUND(U1043/60,2))</f>
        <v>0</v>
      </c>
      <c r="Y1043" s="26">
        <f>IF(B1043="","",IF(L1043&lt;&gt;"",L1043,IFERROR(INDEX(Services!$G$5:$G$204,MATCH(G1043,Services!$A$5:$A$204,0))*1,0)))</f>
        <v>0</v>
      </c>
      <c r="Z1043" s="26">
        <f>IF(B1043="","",IF(O1043&lt;&gt;"",O1043,IF(Y1043&gt;=DepositThreshold,ROUND(Y1043*DepositPercent,2),0)))</f>
        <v>0</v>
      </c>
      <c r="AA1043" s="26">
        <f>IF(B1043="","",ROUND(SUMIFS(Payments!$G$5:$G$1204,Payments!$I$5:$I$1204,A1043,Payments!$E$5:$E$1204,"Deposit"),2))</f>
        <v>0</v>
      </c>
      <c r="AB1043" s="26">
        <f>IF(B1043="","",ROUND(SUMIFS(Sales!$Y$5:$Y$1204,Sales!$C$5:$C$1204,A1043),2))</f>
        <v>0</v>
      </c>
      <c r="AC1043" s="38">
        <f>IF(B1043="","",IF(M1043="Completed","Yes",IF(M1043="Cancelled","Yes",IF(M1043="No show","Yes","No"))))</f>
        <v>0</v>
      </c>
      <c r="AD1043" s="25">
        <f>IF(B1043="","",IF(AE1043="","",B1043-AE1043))</f>
        <v>0</v>
      </c>
      <c r="AF1043" s="38">
        <f>IF(B1043="","",IF(M1043&lt;&gt;"Completed","",IF(E1043="","No",IF(COUNTIFS(Appointments!$E$5:$E$1204,E1043,Appointments!$B$5:$B$1204,"&gt;"&amp;B1043,Appointments!$M$5:$M$1204,"&lt;&gt;Cancelled")&gt;0,"Yes","No"))))</f>
        <v>0</v>
      </c>
      <c r="AG1043" s="38">
        <f>IF(B1043="","",IF(I1043="","",IF(D1043="","",IF(COUNTIFS($I$5:$I$1204,I1043,$B$5:$B$1204,B1043,$D$5:$D$1204,"&lt;"&amp;V1043,$V$5:$V$1204,"&gt;"&amp;D1043,$M$5:$M$1204,"&lt;&gt;Cancelled")&gt;1,"Clash",""))))</f>
        <v>0</v>
      </c>
      <c r="AH1043" s="39">
        <f>IF(B1043="","",IF(AG1043="Clash","Clash - stylist double booked",IF(I1043="","Assign - no stylist yet",IF(G1043="","Add - no service chosen",IF(M1043="No show","No show - charge the fee?",IF(M1043="Cancelled","",IF(IF(M1043="Completed",AB1043&lt;Y1043-0.004,FALSE),"Unpaid - nothing rung up for this visit",IF(IF(B1043&lt;TodayDate,M1043="Booked",FALSE),"Overdue - past date, still only Booked",IF(IF(B1043=TodayDate,TRUE,FALSE),"Today",IF(IF(Z1043&gt;0,AA1043&lt;Z1043-0.004,FALSE),"Due - deposit not taken",IF(IF(B1043&gt;TodayDate,B1043&lt;=TodayDate+2,FALSE),"Confirm - coming up","OK")))))))))))</f>
        <v>0</v>
      </c>
    </row>
    <row r="1044" spans="1:34">
      <c r="A1044" s="28">
        <f>IF(B1044="","",AppointmentPrefix&amp;TEXT(ROW()-4,"0000"))</f>
        <v>0</v>
      </c>
      <c r="C1044" s="15">
        <f>IF(B1044="","",TEXT(B1044,"ddd"))</f>
        <v>0</v>
      </c>
      <c r="F1044" s="15">
        <f>IF(E1044="","",IFERROR(INDEX(Clients!$B$5:$B$504,MATCH(E1044,Clients!$A$5:$A$504,0)),"Walk-in"))</f>
        <v>0</v>
      </c>
      <c r="H1044" s="15">
        <f>IF(G1044="","",IFERROR(INDEX(Services!$B$5:$B$204,MATCH(G1044,Services!$A$5:$A$204,0)),"Not in Services"))</f>
        <v>0</v>
      </c>
      <c r="J1044" s="15">
        <f>IF(I1044="","",IFERROR(INDEX(Staff!$B$5:$B$44,MATCH(I1044,Staff!$A$5:$A$44,0)),"Unassigned"))</f>
        <v>0</v>
      </c>
      <c r="S1044" s="15">
        <f>IF(B1044="","",TEXT(B1044,"yyyy-mm"))</f>
        <v>0</v>
      </c>
      <c r="T1044" s="25">
        <f>IF(B1044="","",WEEKNUM(B1044,2))</f>
        <v>0</v>
      </c>
      <c r="U1044" s="25">
        <f>IF(B1044="","",IF(K1044&lt;&gt;"",K1044,IFERROR(INDEX(Services!$E$5:$E$204,MATCH(G1044,Services!$A$5:$A$204,0))*1,0)+IFERROR(INDEX(Services!$F$5:$F$204,MATCH(G1044,Services!$A$5:$A$204,0))*1,0)))</f>
        <v>0</v>
      </c>
      <c r="V1044" s="36">
        <f>IF(B1044="","",IF(D1044="","",D1044+U1044/1440))</f>
        <v>0</v>
      </c>
      <c r="W1044" s="25">
        <f>IF(B1044="","",IF(D1044="","",HOUR(D1044)))</f>
        <v>0</v>
      </c>
      <c r="X1044" s="37">
        <f>IF(B1044="","",ROUND(U1044/60,2))</f>
        <v>0</v>
      </c>
      <c r="Y1044" s="26">
        <f>IF(B1044="","",IF(L1044&lt;&gt;"",L1044,IFERROR(INDEX(Services!$G$5:$G$204,MATCH(G1044,Services!$A$5:$A$204,0))*1,0)))</f>
        <v>0</v>
      </c>
      <c r="Z1044" s="26">
        <f>IF(B1044="","",IF(O1044&lt;&gt;"",O1044,IF(Y1044&gt;=DepositThreshold,ROUND(Y1044*DepositPercent,2),0)))</f>
        <v>0</v>
      </c>
      <c r="AA1044" s="26">
        <f>IF(B1044="","",ROUND(SUMIFS(Payments!$G$5:$G$1204,Payments!$I$5:$I$1204,A1044,Payments!$E$5:$E$1204,"Deposit"),2))</f>
        <v>0</v>
      </c>
      <c r="AB1044" s="26">
        <f>IF(B1044="","",ROUND(SUMIFS(Sales!$Y$5:$Y$1204,Sales!$C$5:$C$1204,A1044),2))</f>
        <v>0</v>
      </c>
      <c r="AC1044" s="38">
        <f>IF(B1044="","",IF(M1044="Completed","Yes",IF(M1044="Cancelled","Yes",IF(M1044="No show","Yes","No"))))</f>
        <v>0</v>
      </c>
      <c r="AD1044" s="25">
        <f>IF(B1044="","",IF(AE1044="","",B1044-AE1044))</f>
        <v>0</v>
      </c>
      <c r="AF1044" s="38">
        <f>IF(B1044="","",IF(M1044&lt;&gt;"Completed","",IF(E1044="","No",IF(COUNTIFS(Appointments!$E$5:$E$1204,E1044,Appointments!$B$5:$B$1204,"&gt;"&amp;B1044,Appointments!$M$5:$M$1204,"&lt;&gt;Cancelled")&gt;0,"Yes","No"))))</f>
        <v>0</v>
      </c>
      <c r="AG1044" s="38">
        <f>IF(B1044="","",IF(I1044="","",IF(D1044="","",IF(COUNTIFS($I$5:$I$1204,I1044,$B$5:$B$1204,B1044,$D$5:$D$1204,"&lt;"&amp;V1044,$V$5:$V$1204,"&gt;"&amp;D1044,$M$5:$M$1204,"&lt;&gt;Cancelled")&gt;1,"Clash",""))))</f>
        <v>0</v>
      </c>
      <c r="AH1044" s="39">
        <f>IF(B1044="","",IF(AG1044="Clash","Clash - stylist double booked",IF(I1044="","Assign - no stylist yet",IF(G1044="","Add - no service chosen",IF(M1044="No show","No show - charge the fee?",IF(M1044="Cancelled","",IF(IF(M1044="Completed",AB1044&lt;Y1044-0.004,FALSE),"Unpaid - nothing rung up for this visit",IF(IF(B1044&lt;TodayDate,M1044="Booked",FALSE),"Overdue - past date, still only Booked",IF(IF(B1044=TodayDate,TRUE,FALSE),"Today",IF(IF(Z1044&gt;0,AA1044&lt;Z1044-0.004,FALSE),"Due - deposit not taken",IF(IF(B1044&gt;TodayDate,B1044&lt;=TodayDate+2,FALSE),"Confirm - coming up","OK")))))))))))</f>
        <v>0</v>
      </c>
    </row>
    <row r="1045" spans="1:34">
      <c r="A1045" s="28">
        <f>IF(B1045="","",AppointmentPrefix&amp;TEXT(ROW()-4,"0000"))</f>
        <v>0</v>
      </c>
      <c r="C1045" s="15">
        <f>IF(B1045="","",TEXT(B1045,"ddd"))</f>
        <v>0</v>
      </c>
      <c r="F1045" s="15">
        <f>IF(E1045="","",IFERROR(INDEX(Clients!$B$5:$B$504,MATCH(E1045,Clients!$A$5:$A$504,0)),"Walk-in"))</f>
        <v>0</v>
      </c>
      <c r="H1045" s="15">
        <f>IF(G1045="","",IFERROR(INDEX(Services!$B$5:$B$204,MATCH(G1045,Services!$A$5:$A$204,0)),"Not in Services"))</f>
        <v>0</v>
      </c>
      <c r="J1045" s="15">
        <f>IF(I1045="","",IFERROR(INDEX(Staff!$B$5:$B$44,MATCH(I1045,Staff!$A$5:$A$44,0)),"Unassigned"))</f>
        <v>0</v>
      </c>
      <c r="S1045" s="15">
        <f>IF(B1045="","",TEXT(B1045,"yyyy-mm"))</f>
        <v>0</v>
      </c>
      <c r="T1045" s="25">
        <f>IF(B1045="","",WEEKNUM(B1045,2))</f>
        <v>0</v>
      </c>
      <c r="U1045" s="25">
        <f>IF(B1045="","",IF(K1045&lt;&gt;"",K1045,IFERROR(INDEX(Services!$E$5:$E$204,MATCH(G1045,Services!$A$5:$A$204,0))*1,0)+IFERROR(INDEX(Services!$F$5:$F$204,MATCH(G1045,Services!$A$5:$A$204,0))*1,0)))</f>
        <v>0</v>
      </c>
      <c r="V1045" s="36">
        <f>IF(B1045="","",IF(D1045="","",D1045+U1045/1440))</f>
        <v>0</v>
      </c>
      <c r="W1045" s="25">
        <f>IF(B1045="","",IF(D1045="","",HOUR(D1045)))</f>
        <v>0</v>
      </c>
      <c r="X1045" s="37">
        <f>IF(B1045="","",ROUND(U1045/60,2))</f>
        <v>0</v>
      </c>
      <c r="Y1045" s="26">
        <f>IF(B1045="","",IF(L1045&lt;&gt;"",L1045,IFERROR(INDEX(Services!$G$5:$G$204,MATCH(G1045,Services!$A$5:$A$204,0))*1,0)))</f>
        <v>0</v>
      </c>
      <c r="Z1045" s="26">
        <f>IF(B1045="","",IF(O1045&lt;&gt;"",O1045,IF(Y1045&gt;=DepositThreshold,ROUND(Y1045*DepositPercent,2),0)))</f>
        <v>0</v>
      </c>
      <c r="AA1045" s="26">
        <f>IF(B1045="","",ROUND(SUMIFS(Payments!$G$5:$G$1204,Payments!$I$5:$I$1204,A1045,Payments!$E$5:$E$1204,"Deposit"),2))</f>
        <v>0</v>
      </c>
      <c r="AB1045" s="26">
        <f>IF(B1045="","",ROUND(SUMIFS(Sales!$Y$5:$Y$1204,Sales!$C$5:$C$1204,A1045),2))</f>
        <v>0</v>
      </c>
      <c r="AC1045" s="38">
        <f>IF(B1045="","",IF(M1045="Completed","Yes",IF(M1045="Cancelled","Yes",IF(M1045="No show","Yes","No"))))</f>
        <v>0</v>
      </c>
      <c r="AD1045" s="25">
        <f>IF(B1045="","",IF(AE1045="","",B1045-AE1045))</f>
        <v>0</v>
      </c>
      <c r="AF1045" s="38">
        <f>IF(B1045="","",IF(M1045&lt;&gt;"Completed","",IF(E1045="","No",IF(COUNTIFS(Appointments!$E$5:$E$1204,E1045,Appointments!$B$5:$B$1204,"&gt;"&amp;B1045,Appointments!$M$5:$M$1204,"&lt;&gt;Cancelled")&gt;0,"Yes","No"))))</f>
        <v>0</v>
      </c>
      <c r="AG1045" s="38">
        <f>IF(B1045="","",IF(I1045="","",IF(D1045="","",IF(COUNTIFS($I$5:$I$1204,I1045,$B$5:$B$1204,B1045,$D$5:$D$1204,"&lt;"&amp;V1045,$V$5:$V$1204,"&gt;"&amp;D1045,$M$5:$M$1204,"&lt;&gt;Cancelled")&gt;1,"Clash",""))))</f>
        <v>0</v>
      </c>
      <c r="AH1045" s="39">
        <f>IF(B1045="","",IF(AG1045="Clash","Clash - stylist double booked",IF(I1045="","Assign - no stylist yet",IF(G1045="","Add - no service chosen",IF(M1045="No show","No show - charge the fee?",IF(M1045="Cancelled","",IF(IF(M1045="Completed",AB1045&lt;Y1045-0.004,FALSE),"Unpaid - nothing rung up for this visit",IF(IF(B1045&lt;TodayDate,M1045="Booked",FALSE),"Overdue - past date, still only Booked",IF(IF(B1045=TodayDate,TRUE,FALSE),"Today",IF(IF(Z1045&gt;0,AA1045&lt;Z1045-0.004,FALSE),"Due - deposit not taken",IF(IF(B1045&gt;TodayDate,B1045&lt;=TodayDate+2,FALSE),"Confirm - coming up","OK")))))))))))</f>
        <v>0</v>
      </c>
    </row>
    <row r="1046" spans="1:34">
      <c r="A1046" s="28">
        <f>IF(B1046="","",AppointmentPrefix&amp;TEXT(ROW()-4,"0000"))</f>
        <v>0</v>
      </c>
      <c r="C1046" s="15">
        <f>IF(B1046="","",TEXT(B1046,"ddd"))</f>
        <v>0</v>
      </c>
      <c r="F1046" s="15">
        <f>IF(E1046="","",IFERROR(INDEX(Clients!$B$5:$B$504,MATCH(E1046,Clients!$A$5:$A$504,0)),"Walk-in"))</f>
        <v>0</v>
      </c>
      <c r="H1046" s="15">
        <f>IF(G1046="","",IFERROR(INDEX(Services!$B$5:$B$204,MATCH(G1046,Services!$A$5:$A$204,0)),"Not in Services"))</f>
        <v>0</v>
      </c>
      <c r="J1046" s="15">
        <f>IF(I1046="","",IFERROR(INDEX(Staff!$B$5:$B$44,MATCH(I1046,Staff!$A$5:$A$44,0)),"Unassigned"))</f>
        <v>0</v>
      </c>
      <c r="S1046" s="15">
        <f>IF(B1046="","",TEXT(B1046,"yyyy-mm"))</f>
        <v>0</v>
      </c>
      <c r="T1046" s="25">
        <f>IF(B1046="","",WEEKNUM(B1046,2))</f>
        <v>0</v>
      </c>
      <c r="U1046" s="25">
        <f>IF(B1046="","",IF(K1046&lt;&gt;"",K1046,IFERROR(INDEX(Services!$E$5:$E$204,MATCH(G1046,Services!$A$5:$A$204,0))*1,0)+IFERROR(INDEX(Services!$F$5:$F$204,MATCH(G1046,Services!$A$5:$A$204,0))*1,0)))</f>
        <v>0</v>
      </c>
      <c r="V1046" s="36">
        <f>IF(B1046="","",IF(D1046="","",D1046+U1046/1440))</f>
        <v>0</v>
      </c>
      <c r="W1046" s="25">
        <f>IF(B1046="","",IF(D1046="","",HOUR(D1046)))</f>
        <v>0</v>
      </c>
      <c r="X1046" s="37">
        <f>IF(B1046="","",ROUND(U1046/60,2))</f>
        <v>0</v>
      </c>
      <c r="Y1046" s="26">
        <f>IF(B1046="","",IF(L1046&lt;&gt;"",L1046,IFERROR(INDEX(Services!$G$5:$G$204,MATCH(G1046,Services!$A$5:$A$204,0))*1,0)))</f>
        <v>0</v>
      </c>
      <c r="Z1046" s="26">
        <f>IF(B1046="","",IF(O1046&lt;&gt;"",O1046,IF(Y1046&gt;=DepositThreshold,ROUND(Y1046*DepositPercent,2),0)))</f>
        <v>0</v>
      </c>
      <c r="AA1046" s="26">
        <f>IF(B1046="","",ROUND(SUMIFS(Payments!$G$5:$G$1204,Payments!$I$5:$I$1204,A1046,Payments!$E$5:$E$1204,"Deposit"),2))</f>
        <v>0</v>
      </c>
      <c r="AB1046" s="26">
        <f>IF(B1046="","",ROUND(SUMIFS(Sales!$Y$5:$Y$1204,Sales!$C$5:$C$1204,A1046),2))</f>
        <v>0</v>
      </c>
      <c r="AC1046" s="38">
        <f>IF(B1046="","",IF(M1046="Completed","Yes",IF(M1046="Cancelled","Yes",IF(M1046="No show","Yes","No"))))</f>
        <v>0</v>
      </c>
      <c r="AD1046" s="25">
        <f>IF(B1046="","",IF(AE1046="","",B1046-AE1046))</f>
        <v>0</v>
      </c>
      <c r="AF1046" s="38">
        <f>IF(B1046="","",IF(M1046&lt;&gt;"Completed","",IF(E1046="","No",IF(COUNTIFS(Appointments!$E$5:$E$1204,E1046,Appointments!$B$5:$B$1204,"&gt;"&amp;B1046,Appointments!$M$5:$M$1204,"&lt;&gt;Cancelled")&gt;0,"Yes","No"))))</f>
        <v>0</v>
      </c>
      <c r="AG1046" s="38">
        <f>IF(B1046="","",IF(I1046="","",IF(D1046="","",IF(COUNTIFS($I$5:$I$1204,I1046,$B$5:$B$1204,B1046,$D$5:$D$1204,"&lt;"&amp;V1046,$V$5:$V$1204,"&gt;"&amp;D1046,$M$5:$M$1204,"&lt;&gt;Cancelled")&gt;1,"Clash",""))))</f>
        <v>0</v>
      </c>
      <c r="AH1046" s="39">
        <f>IF(B1046="","",IF(AG1046="Clash","Clash - stylist double booked",IF(I1046="","Assign - no stylist yet",IF(G1046="","Add - no service chosen",IF(M1046="No show","No show - charge the fee?",IF(M1046="Cancelled","",IF(IF(M1046="Completed",AB1046&lt;Y1046-0.004,FALSE),"Unpaid - nothing rung up for this visit",IF(IF(B1046&lt;TodayDate,M1046="Booked",FALSE),"Overdue - past date, still only Booked",IF(IF(B1046=TodayDate,TRUE,FALSE),"Today",IF(IF(Z1046&gt;0,AA1046&lt;Z1046-0.004,FALSE),"Due - deposit not taken",IF(IF(B1046&gt;TodayDate,B1046&lt;=TodayDate+2,FALSE),"Confirm - coming up","OK")))))))))))</f>
        <v>0</v>
      </c>
    </row>
    <row r="1047" spans="1:34">
      <c r="A1047" s="28">
        <f>IF(B1047="","",AppointmentPrefix&amp;TEXT(ROW()-4,"0000"))</f>
        <v>0</v>
      </c>
      <c r="C1047" s="15">
        <f>IF(B1047="","",TEXT(B1047,"ddd"))</f>
        <v>0</v>
      </c>
      <c r="F1047" s="15">
        <f>IF(E1047="","",IFERROR(INDEX(Clients!$B$5:$B$504,MATCH(E1047,Clients!$A$5:$A$504,0)),"Walk-in"))</f>
        <v>0</v>
      </c>
      <c r="H1047" s="15">
        <f>IF(G1047="","",IFERROR(INDEX(Services!$B$5:$B$204,MATCH(G1047,Services!$A$5:$A$204,0)),"Not in Services"))</f>
        <v>0</v>
      </c>
      <c r="J1047" s="15">
        <f>IF(I1047="","",IFERROR(INDEX(Staff!$B$5:$B$44,MATCH(I1047,Staff!$A$5:$A$44,0)),"Unassigned"))</f>
        <v>0</v>
      </c>
      <c r="S1047" s="15">
        <f>IF(B1047="","",TEXT(B1047,"yyyy-mm"))</f>
        <v>0</v>
      </c>
      <c r="T1047" s="25">
        <f>IF(B1047="","",WEEKNUM(B1047,2))</f>
        <v>0</v>
      </c>
      <c r="U1047" s="25">
        <f>IF(B1047="","",IF(K1047&lt;&gt;"",K1047,IFERROR(INDEX(Services!$E$5:$E$204,MATCH(G1047,Services!$A$5:$A$204,0))*1,0)+IFERROR(INDEX(Services!$F$5:$F$204,MATCH(G1047,Services!$A$5:$A$204,0))*1,0)))</f>
        <v>0</v>
      </c>
      <c r="V1047" s="36">
        <f>IF(B1047="","",IF(D1047="","",D1047+U1047/1440))</f>
        <v>0</v>
      </c>
      <c r="W1047" s="25">
        <f>IF(B1047="","",IF(D1047="","",HOUR(D1047)))</f>
        <v>0</v>
      </c>
      <c r="X1047" s="37">
        <f>IF(B1047="","",ROUND(U1047/60,2))</f>
        <v>0</v>
      </c>
      <c r="Y1047" s="26">
        <f>IF(B1047="","",IF(L1047&lt;&gt;"",L1047,IFERROR(INDEX(Services!$G$5:$G$204,MATCH(G1047,Services!$A$5:$A$204,0))*1,0)))</f>
        <v>0</v>
      </c>
      <c r="Z1047" s="26">
        <f>IF(B1047="","",IF(O1047&lt;&gt;"",O1047,IF(Y1047&gt;=DepositThreshold,ROUND(Y1047*DepositPercent,2),0)))</f>
        <v>0</v>
      </c>
      <c r="AA1047" s="26">
        <f>IF(B1047="","",ROUND(SUMIFS(Payments!$G$5:$G$1204,Payments!$I$5:$I$1204,A1047,Payments!$E$5:$E$1204,"Deposit"),2))</f>
        <v>0</v>
      </c>
      <c r="AB1047" s="26">
        <f>IF(B1047="","",ROUND(SUMIFS(Sales!$Y$5:$Y$1204,Sales!$C$5:$C$1204,A1047),2))</f>
        <v>0</v>
      </c>
      <c r="AC1047" s="38">
        <f>IF(B1047="","",IF(M1047="Completed","Yes",IF(M1047="Cancelled","Yes",IF(M1047="No show","Yes","No"))))</f>
        <v>0</v>
      </c>
      <c r="AD1047" s="25">
        <f>IF(B1047="","",IF(AE1047="","",B1047-AE1047))</f>
        <v>0</v>
      </c>
      <c r="AF1047" s="38">
        <f>IF(B1047="","",IF(M1047&lt;&gt;"Completed","",IF(E1047="","No",IF(COUNTIFS(Appointments!$E$5:$E$1204,E1047,Appointments!$B$5:$B$1204,"&gt;"&amp;B1047,Appointments!$M$5:$M$1204,"&lt;&gt;Cancelled")&gt;0,"Yes","No"))))</f>
        <v>0</v>
      </c>
      <c r="AG1047" s="38">
        <f>IF(B1047="","",IF(I1047="","",IF(D1047="","",IF(COUNTIFS($I$5:$I$1204,I1047,$B$5:$B$1204,B1047,$D$5:$D$1204,"&lt;"&amp;V1047,$V$5:$V$1204,"&gt;"&amp;D1047,$M$5:$M$1204,"&lt;&gt;Cancelled")&gt;1,"Clash",""))))</f>
        <v>0</v>
      </c>
      <c r="AH1047" s="39">
        <f>IF(B1047="","",IF(AG1047="Clash","Clash - stylist double booked",IF(I1047="","Assign - no stylist yet",IF(G1047="","Add - no service chosen",IF(M1047="No show","No show - charge the fee?",IF(M1047="Cancelled","",IF(IF(M1047="Completed",AB1047&lt;Y1047-0.004,FALSE),"Unpaid - nothing rung up for this visit",IF(IF(B1047&lt;TodayDate,M1047="Booked",FALSE),"Overdue - past date, still only Booked",IF(IF(B1047=TodayDate,TRUE,FALSE),"Today",IF(IF(Z1047&gt;0,AA1047&lt;Z1047-0.004,FALSE),"Due - deposit not taken",IF(IF(B1047&gt;TodayDate,B1047&lt;=TodayDate+2,FALSE),"Confirm - coming up","OK")))))))))))</f>
        <v>0</v>
      </c>
    </row>
    <row r="1048" spans="1:34">
      <c r="A1048" s="28">
        <f>IF(B1048="","",AppointmentPrefix&amp;TEXT(ROW()-4,"0000"))</f>
        <v>0</v>
      </c>
      <c r="C1048" s="15">
        <f>IF(B1048="","",TEXT(B1048,"ddd"))</f>
        <v>0</v>
      </c>
      <c r="F1048" s="15">
        <f>IF(E1048="","",IFERROR(INDEX(Clients!$B$5:$B$504,MATCH(E1048,Clients!$A$5:$A$504,0)),"Walk-in"))</f>
        <v>0</v>
      </c>
      <c r="H1048" s="15">
        <f>IF(G1048="","",IFERROR(INDEX(Services!$B$5:$B$204,MATCH(G1048,Services!$A$5:$A$204,0)),"Not in Services"))</f>
        <v>0</v>
      </c>
      <c r="J1048" s="15">
        <f>IF(I1048="","",IFERROR(INDEX(Staff!$B$5:$B$44,MATCH(I1048,Staff!$A$5:$A$44,0)),"Unassigned"))</f>
        <v>0</v>
      </c>
      <c r="S1048" s="15">
        <f>IF(B1048="","",TEXT(B1048,"yyyy-mm"))</f>
        <v>0</v>
      </c>
      <c r="T1048" s="25">
        <f>IF(B1048="","",WEEKNUM(B1048,2))</f>
        <v>0</v>
      </c>
      <c r="U1048" s="25">
        <f>IF(B1048="","",IF(K1048&lt;&gt;"",K1048,IFERROR(INDEX(Services!$E$5:$E$204,MATCH(G1048,Services!$A$5:$A$204,0))*1,0)+IFERROR(INDEX(Services!$F$5:$F$204,MATCH(G1048,Services!$A$5:$A$204,0))*1,0)))</f>
        <v>0</v>
      </c>
      <c r="V1048" s="36">
        <f>IF(B1048="","",IF(D1048="","",D1048+U1048/1440))</f>
        <v>0</v>
      </c>
      <c r="W1048" s="25">
        <f>IF(B1048="","",IF(D1048="","",HOUR(D1048)))</f>
        <v>0</v>
      </c>
      <c r="X1048" s="37">
        <f>IF(B1048="","",ROUND(U1048/60,2))</f>
        <v>0</v>
      </c>
      <c r="Y1048" s="26">
        <f>IF(B1048="","",IF(L1048&lt;&gt;"",L1048,IFERROR(INDEX(Services!$G$5:$G$204,MATCH(G1048,Services!$A$5:$A$204,0))*1,0)))</f>
        <v>0</v>
      </c>
      <c r="Z1048" s="26">
        <f>IF(B1048="","",IF(O1048&lt;&gt;"",O1048,IF(Y1048&gt;=DepositThreshold,ROUND(Y1048*DepositPercent,2),0)))</f>
        <v>0</v>
      </c>
      <c r="AA1048" s="26">
        <f>IF(B1048="","",ROUND(SUMIFS(Payments!$G$5:$G$1204,Payments!$I$5:$I$1204,A1048,Payments!$E$5:$E$1204,"Deposit"),2))</f>
        <v>0</v>
      </c>
      <c r="AB1048" s="26">
        <f>IF(B1048="","",ROUND(SUMIFS(Sales!$Y$5:$Y$1204,Sales!$C$5:$C$1204,A1048),2))</f>
        <v>0</v>
      </c>
      <c r="AC1048" s="38">
        <f>IF(B1048="","",IF(M1048="Completed","Yes",IF(M1048="Cancelled","Yes",IF(M1048="No show","Yes","No"))))</f>
        <v>0</v>
      </c>
      <c r="AD1048" s="25">
        <f>IF(B1048="","",IF(AE1048="","",B1048-AE1048))</f>
        <v>0</v>
      </c>
      <c r="AF1048" s="38">
        <f>IF(B1048="","",IF(M1048&lt;&gt;"Completed","",IF(E1048="","No",IF(COUNTIFS(Appointments!$E$5:$E$1204,E1048,Appointments!$B$5:$B$1204,"&gt;"&amp;B1048,Appointments!$M$5:$M$1204,"&lt;&gt;Cancelled")&gt;0,"Yes","No"))))</f>
        <v>0</v>
      </c>
      <c r="AG1048" s="38">
        <f>IF(B1048="","",IF(I1048="","",IF(D1048="","",IF(COUNTIFS($I$5:$I$1204,I1048,$B$5:$B$1204,B1048,$D$5:$D$1204,"&lt;"&amp;V1048,$V$5:$V$1204,"&gt;"&amp;D1048,$M$5:$M$1204,"&lt;&gt;Cancelled")&gt;1,"Clash",""))))</f>
        <v>0</v>
      </c>
      <c r="AH1048" s="39">
        <f>IF(B1048="","",IF(AG1048="Clash","Clash - stylist double booked",IF(I1048="","Assign - no stylist yet",IF(G1048="","Add - no service chosen",IF(M1048="No show","No show - charge the fee?",IF(M1048="Cancelled","",IF(IF(M1048="Completed",AB1048&lt;Y1048-0.004,FALSE),"Unpaid - nothing rung up for this visit",IF(IF(B1048&lt;TodayDate,M1048="Booked",FALSE),"Overdue - past date, still only Booked",IF(IF(B1048=TodayDate,TRUE,FALSE),"Today",IF(IF(Z1048&gt;0,AA1048&lt;Z1048-0.004,FALSE),"Due - deposit not taken",IF(IF(B1048&gt;TodayDate,B1048&lt;=TodayDate+2,FALSE),"Confirm - coming up","OK")))))))))))</f>
        <v>0</v>
      </c>
    </row>
    <row r="1049" spans="1:34">
      <c r="A1049" s="28">
        <f>IF(B1049="","",AppointmentPrefix&amp;TEXT(ROW()-4,"0000"))</f>
        <v>0</v>
      </c>
      <c r="C1049" s="15">
        <f>IF(B1049="","",TEXT(B1049,"ddd"))</f>
        <v>0</v>
      </c>
      <c r="F1049" s="15">
        <f>IF(E1049="","",IFERROR(INDEX(Clients!$B$5:$B$504,MATCH(E1049,Clients!$A$5:$A$504,0)),"Walk-in"))</f>
        <v>0</v>
      </c>
      <c r="H1049" s="15">
        <f>IF(G1049="","",IFERROR(INDEX(Services!$B$5:$B$204,MATCH(G1049,Services!$A$5:$A$204,0)),"Not in Services"))</f>
        <v>0</v>
      </c>
      <c r="J1049" s="15">
        <f>IF(I1049="","",IFERROR(INDEX(Staff!$B$5:$B$44,MATCH(I1049,Staff!$A$5:$A$44,0)),"Unassigned"))</f>
        <v>0</v>
      </c>
      <c r="S1049" s="15">
        <f>IF(B1049="","",TEXT(B1049,"yyyy-mm"))</f>
        <v>0</v>
      </c>
      <c r="T1049" s="25">
        <f>IF(B1049="","",WEEKNUM(B1049,2))</f>
        <v>0</v>
      </c>
      <c r="U1049" s="25">
        <f>IF(B1049="","",IF(K1049&lt;&gt;"",K1049,IFERROR(INDEX(Services!$E$5:$E$204,MATCH(G1049,Services!$A$5:$A$204,0))*1,0)+IFERROR(INDEX(Services!$F$5:$F$204,MATCH(G1049,Services!$A$5:$A$204,0))*1,0)))</f>
        <v>0</v>
      </c>
      <c r="V1049" s="36">
        <f>IF(B1049="","",IF(D1049="","",D1049+U1049/1440))</f>
        <v>0</v>
      </c>
      <c r="W1049" s="25">
        <f>IF(B1049="","",IF(D1049="","",HOUR(D1049)))</f>
        <v>0</v>
      </c>
      <c r="X1049" s="37">
        <f>IF(B1049="","",ROUND(U1049/60,2))</f>
        <v>0</v>
      </c>
      <c r="Y1049" s="26">
        <f>IF(B1049="","",IF(L1049&lt;&gt;"",L1049,IFERROR(INDEX(Services!$G$5:$G$204,MATCH(G1049,Services!$A$5:$A$204,0))*1,0)))</f>
        <v>0</v>
      </c>
      <c r="Z1049" s="26">
        <f>IF(B1049="","",IF(O1049&lt;&gt;"",O1049,IF(Y1049&gt;=DepositThreshold,ROUND(Y1049*DepositPercent,2),0)))</f>
        <v>0</v>
      </c>
      <c r="AA1049" s="26">
        <f>IF(B1049="","",ROUND(SUMIFS(Payments!$G$5:$G$1204,Payments!$I$5:$I$1204,A1049,Payments!$E$5:$E$1204,"Deposit"),2))</f>
        <v>0</v>
      </c>
      <c r="AB1049" s="26">
        <f>IF(B1049="","",ROUND(SUMIFS(Sales!$Y$5:$Y$1204,Sales!$C$5:$C$1204,A1049),2))</f>
        <v>0</v>
      </c>
      <c r="AC1049" s="38">
        <f>IF(B1049="","",IF(M1049="Completed","Yes",IF(M1049="Cancelled","Yes",IF(M1049="No show","Yes","No"))))</f>
        <v>0</v>
      </c>
      <c r="AD1049" s="25">
        <f>IF(B1049="","",IF(AE1049="","",B1049-AE1049))</f>
        <v>0</v>
      </c>
      <c r="AF1049" s="38">
        <f>IF(B1049="","",IF(M1049&lt;&gt;"Completed","",IF(E1049="","No",IF(COUNTIFS(Appointments!$E$5:$E$1204,E1049,Appointments!$B$5:$B$1204,"&gt;"&amp;B1049,Appointments!$M$5:$M$1204,"&lt;&gt;Cancelled")&gt;0,"Yes","No"))))</f>
        <v>0</v>
      </c>
      <c r="AG1049" s="38">
        <f>IF(B1049="","",IF(I1049="","",IF(D1049="","",IF(COUNTIFS($I$5:$I$1204,I1049,$B$5:$B$1204,B1049,$D$5:$D$1204,"&lt;"&amp;V1049,$V$5:$V$1204,"&gt;"&amp;D1049,$M$5:$M$1204,"&lt;&gt;Cancelled")&gt;1,"Clash",""))))</f>
        <v>0</v>
      </c>
      <c r="AH1049" s="39">
        <f>IF(B1049="","",IF(AG1049="Clash","Clash - stylist double booked",IF(I1049="","Assign - no stylist yet",IF(G1049="","Add - no service chosen",IF(M1049="No show","No show - charge the fee?",IF(M1049="Cancelled","",IF(IF(M1049="Completed",AB1049&lt;Y1049-0.004,FALSE),"Unpaid - nothing rung up for this visit",IF(IF(B1049&lt;TodayDate,M1049="Booked",FALSE),"Overdue - past date, still only Booked",IF(IF(B1049=TodayDate,TRUE,FALSE),"Today",IF(IF(Z1049&gt;0,AA1049&lt;Z1049-0.004,FALSE),"Due - deposit not taken",IF(IF(B1049&gt;TodayDate,B1049&lt;=TodayDate+2,FALSE),"Confirm - coming up","OK")))))))))))</f>
        <v>0</v>
      </c>
    </row>
    <row r="1050" spans="1:34">
      <c r="A1050" s="28">
        <f>IF(B1050="","",AppointmentPrefix&amp;TEXT(ROW()-4,"0000"))</f>
        <v>0</v>
      </c>
      <c r="C1050" s="15">
        <f>IF(B1050="","",TEXT(B1050,"ddd"))</f>
        <v>0</v>
      </c>
      <c r="F1050" s="15">
        <f>IF(E1050="","",IFERROR(INDEX(Clients!$B$5:$B$504,MATCH(E1050,Clients!$A$5:$A$504,0)),"Walk-in"))</f>
        <v>0</v>
      </c>
      <c r="H1050" s="15">
        <f>IF(G1050="","",IFERROR(INDEX(Services!$B$5:$B$204,MATCH(G1050,Services!$A$5:$A$204,0)),"Not in Services"))</f>
        <v>0</v>
      </c>
      <c r="J1050" s="15">
        <f>IF(I1050="","",IFERROR(INDEX(Staff!$B$5:$B$44,MATCH(I1050,Staff!$A$5:$A$44,0)),"Unassigned"))</f>
        <v>0</v>
      </c>
      <c r="S1050" s="15">
        <f>IF(B1050="","",TEXT(B1050,"yyyy-mm"))</f>
        <v>0</v>
      </c>
      <c r="T1050" s="25">
        <f>IF(B1050="","",WEEKNUM(B1050,2))</f>
        <v>0</v>
      </c>
      <c r="U1050" s="25">
        <f>IF(B1050="","",IF(K1050&lt;&gt;"",K1050,IFERROR(INDEX(Services!$E$5:$E$204,MATCH(G1050,Services!$A$5:$A$204,0))*1,0)+IFERROR(INDEX(Services!$F$5:$F$204,MATCH(G1050,Services!$A$5:$A$204,0))*1,0)))</f>
        <v>0</v>
      </c>
      <c r="V1050" s="36">
        <f>IF(B1050="","",IF(D1050="","",D1050+U1050/1440))</f>
        <v>0</v>
      </c>
      <c r="W1050" s="25">
        <f>IF(B1050="","",IF(D1050="","",HOUR(D1050)))</f>
        <v>0</v>
      </c>
      <c r="X1050" s="37">
        <f>IF(B1050="","",ROUND(U1050/60,2))</f>
        <v>0</v>
      </c>
      <c r="Y1050" s="26">
        <f>IF(B1050="","",IF(L1050&lt;&gt;"",L1050,IFERROR(INDEX(Services!$G$5:$G$204,MATCH(G1050,Services!$A$5:$A$204,0))*1,0)))</f>
        <v>0</v>
      </c>
      <c r="Z1050" s="26">
        <f>IF(B1050="","",IF(O1050&lt;&gt;"",O1050,IF(Y1050&gt;=DepositThreshold,ROUND(Y1050*DepositPercent,2),0)))</f>
        <v>0</v>
      </c>
      <c r="AA1050" s="26">
        <f>IF(B1050="","",ROUND(SUMIFS(Payments!$G$5:$G$1204,Payments!$I$5:$I$1204,A1050,Payments!$E$5:$E$1204,"Deposit"),2))</f>
        <v>0</v>
      </c>
      <c r="AB1050" s="26">
        <f>IF(B1050="","",ROUND(SUMIFS(Sales!$Y$5:$Y$1204,Sales!$C$5:$C$1204,A1050),2))</f>
        <v>0</v>
      </c>
      <c r="AC1050" s="38">
        <f>IF(B1050="","",IF(M1050="Completed","Yes",IF(M1050="Cancelled","Yes",IF(M1050="No show","Yes","No"))))</f>
        <v>0</v>
      </c>
      <c r="AD1050" s="25">
        <f>IF(B1050="","",IF(AE1050="","",B1050-AE1050))</f>
        <v>0</v>
      </c>
      <c r="AF1050" s="38">
        <f>IF(B1050="","",IF(M1050&lt;&gt;"Completed","",IF(E1050="","No",IF(COUNTIFS(Appointments!$E$5:$E$1204,E1050,Appointments!$B$5:$B$1204,"&gt;"&amp;B1050,Appointments!$M$5:$M$1204,"&lt;&gt;Cancelled")&gt;0,"Yes","No"))))</f>
        <v>0</v>
      </c>
      <c r="AG1050" s="38">
        <f>IF(B1050="","",IF(I1050="","",IF(D1050="","",IF(COUNTIFS($I$5:$I$1204,I1050,$B$5:$B$1204,B1050,$D$5:$D$1204,"&lt;"&amp;V1050,$V$5:$V$1204,"&gt;"&amp;D1050,$M$5:$M$1204,"&lt;&gt;Cancelled")&gt;1,"Clash",""))))</f>
        <v>0</v>
      </c>
      <c r="AH1050" s="39">
        <f>IF(B1050="","",IF(AG1050="Clash","Clash - stylist double booked",IF(I1050="","Assign - no stylist yet",IF(G1050="","Add - no service chosen",IF(M1050="No show","No show - charge the fee?",IF(M1050="Cancelled","",IF(IF(M1050="Completed",AB1050&lt;Y1050-0.004,FALSE),"Unpaid - nothing rung up for this visit",IF(IF(B1050&lt;TodayDate,M1050="Booked",FALSE),"Overdue - past date, still only Booked",IF(IF(B1050=TodayDate,TRUE,FALSE),"Today",IF(IF(Z1050&gt;0,AA1050&lt;Z1050-0.004,FALSE),"Due - deposit not taken",IF(IF(B1050&gt;TodayDate,B1050&lt;=TodayDate+2,FALSE),"Confirm - coming up","OK")))))))))))</f>
        <v>0</v>
      </c>
    </row>
    <row r="1051" spans="1:34">
      <c r="A1051" s="28">
        <f>IF(B1051="","",AppointmentPrefix&amp;TEXT(ROW()-4,"0000"))</f>
        <v>0</v>
      </c>
      <c r="C1051" s="15">
        <f>IF(B1051="","",TEXT(B1051,"ddd"))</f>
        <v>0</v>
      </c>
      <c r="F1051" s="15">
        <f>IF(E1051="","",IFERROR(INDEX(Clients!$B$5:$B$504,MATCH(E1051,Clients!$A$5:$A$504,0)),"Walk-in"))</f>
        <v>0</v>
      </c>
      <c r="H1051" s="15">
        <f>IF(G1051="","",IFERROR(INDEX(Services!$B$5:$B$204,MATCH(G1051,Services!$A$5:$A$204,0)),"Not in Services"))</f>
        <v>0</v>
      </c>
      <c r="J1051" s="15">
        <f>IF(I1051="","",IFERROR(INDEX(Staff!$B$5:$B$44,MATCH(I1051,Staff!$A$5:$A$44,0)),"Unassigned"))</f>
        <v>0</v>
      </c>
      <c r="S1051" s="15">
        <f>IF(B1051="","",TEXT(B1051,"yyyy-mm"))</f>
        <v>0</v>
      </c>
      <c r="T1051" s="25">
        <f>IF(B1051="","",WEEKNUM(B1051,2))</f>
        <v>0</v>
      </c>
      <c r="U1051" s="25">
        <f>IF(B1051="","",IF(K1051&lt;&gt;"",K1051,IFERROR(INDEX(Services!$E$5:$E$204,MATCH(G1051,Services!$A$5:$A$204,0))*1,0)+IFERROR(INDEX(Services!$F$5:$F$204,MATCH(G1051,Services!$A$5:$A$204,0))*1,0)))</f>
        <v>0</v>
      </c>
      <c r="V1051" s="36">
        <f>IF(B1051="","",IF(D1051="","",D1051+U1051/1440))</f>
        <v>0</v>
      </c>
      <c r="W1051" s="25">
        <f>IF(B1051="","",IF(D1051="","",HOUR(D1051)))</f>
        <v>0</v>
      </c>
      <c r="X1051" s="37">
        <f>IF(B1051="","",ROUND(U1051/60,2))</f>
        <v>0</v>
      </c>
      <c r="Y1051" s="26">
        <f>IF(B1051="","",IF(L1051&lt;&gt;"",L1051,IFERROR(INDEX(Services!$G$5:$G$204,MATCH(G1051,Services!$A$5:$A$204,0))*1,0)))</f>
        <v>0</v>
      </c>
      <c r="Z1051" s="26">
        <f>IF(B1051="","",IF(O1051&lt;&gt;"",O1051,IF(Y1051&gt;=DepositThreshold,ROUND(Y1051*DepositPercent,2),0)))</f>
        <v>0</v>
      </c>
      <c r="AA1051" s="26">
        <f>IF(B1051="","",ROUND(SUMIFS(Payments!$G$5:$G$1204,Payments!$I$5:$I$1204,A1051,Payments!$E$5:$E$1204,"Deposit"),2))</f>
        <v>0</v>
      </c>
      <c r="AB1051" s="26">
        <f>IF(B1051="","",ROUND(SUMIFS(Sales!$Y$5:$Y$1204,Sales!$C$5:$C$1204,A1051),2))</f>
        <v>0</v>
      </c>
      <c r="AC1051" s="38">
        <f>IF(B1051="","",IF(M1051="Completed","Yes",IF(M1051="Cancelled","Yes",IF(M1051="No show","Yes","No"))))</f>
        <v>0</v>
      </c>
      <c r="AD1051" s="25">
        <f>IF(B1051="","",IF(AE1051="","",B1051-AE1051))</f>
        <v>0</v>
      </c>
      <c r="AF1051" s="38">
        <f>IF(B1051="","",IF(M1051&lt;&gt;"Completed","",IF(E1051="","No",IF(COUNTIFS(Appointments!$E$5:$E$1204,E1051,Appointments!$B$5:$B$1204,"&gt;"&amp;B1051,Appointments!$M$5:$M$1204,"&lt;&gt;Cancelled")&gt;0,"Yes","No"))))</f>
        <v>0</v>
      </c>
      <c r="AG1051" s="38">
        <f>IF(B1051="","",IF(I1051="","",IF(D1051="","",IF(COUNTIFS($I$5:$I$1204,I1051,$B$5:$B$1204,B1051,$D$5:$D$1204,"&lt;"&amp;V1051,$V$5:$V$1204,"&gt;"&amp;D1051,$M$5:$M$1204,"&lt;&gt;Cancelled")&gt;1,"Clash",""))))</f>
        <v>0</v>
      </c>
      <c r="AH1051" s="39">
        <f>IF(B1051="","",IF(AG1051="Clash","Clash - stylist double booked",IF(I1051="","Assign - no stylist yet",IF(G1051="","Add - no service chosen",IF(M1051="No show","No show - charge the fee?",IF(M1051="Cancelled","",IF(IF(M1051="Completed",AB1051&lt;Y1051-0.004,FALSE),"Unpaid - nothing rung up for this visit",IF(IF(B1051&lt;TodayDate,M1051="Booked",FALSE),"Overdue - past date, still only Booked",IF(IF(B1051=TodayDate,TRUE,FALSE),"Today",IF(IF(Z1051&gt;0,AA1051&lt;Z1051-0.004,FALSE),"Due - deposit not taken",IF(IF(B1051&gt;TodayDate,B1051&lt;=TodayDate+2,FALSE),"Confirm - coming up","OK")))))))))))</f>
        <v>0</v>
      </c>
    </row>
    <row r="1052" spans="1:34">
      <c r="A1052" s="28">
        <f>IF(B1052="","",AppointmentPrefix&amp;TEXT(ROW()-4,"0000"))</f>
        <v>0</v>
      </c>
      <c r="C1052" s="15">
        <f>IF(B1052="","",TEXT(B1052,"ddd"))</f>
        <v>0</v>
      </c>
      <c r="F1052" s="15">
        <f>IF(E1052="","",IFERROR(INDEX(Clients!$B$5:$B$504,MATCH(E1052,Clients!$A$5:$A$504,0)),"Walk-in"))</f>
        <v>0</v>
      </c>
      <c r="H1052" s="15">
        <f>IF(G1052="","",IFERROR(INDEX(Services!$B$5:$B$204,MATCH(G1052,Services!$A$5:$A$204,0)),"Not in Services"))</f>
        <v>0</v>
      </c>
      <c r="J1052" s="15">
        <f>IF(I1052="","",IFERROR(INDEX(Staff!$B$5:$B$44,MATCH(I1052,Staff!$A$5:$A$44,0)),"Unassigned"))</f>
        <v>0</v>
      </c>
      <c r="S1052" s="15">
        <f>IF(B1052="","",TEXT(B1052,"yyyy-mm"))</f>
        <v>0</v>
      </c>
      <c r="T1052" s="25">
        <f>IF(B1052="","",WEEKNUM(B1052,2))</f>
        <v>0</v>
      </c>
      <c r="U1052" s="25">
        <f>IF(B1052="","",IF(K1052&lt;&gt;"",K1052,IFERROR(INDEX(Services!$E$5:$E$204,MATCH(G1052,Services!$A$5:$A$204,0))*1,0)+IFERROR(INDEX(Services!$F$5:$F$204,MATCH(G1052,Services!$A$5:$A$204,0))*1,0)))</f>
        <v>0</v>
      </c>
      <c r="V1052" s="36">
        <f>IF(B1052="","",IF(D1052="","",D1052+U1052/1440))</f>
        <v>0</v>
      </c>
      <c r="W1052" s="25">
        <f>IF(B1052="","",IF(D1052="","",HOUR(D1052)))</f>
        <v>0</v>
      </c>
      <c r="X1052" s="37">
        <f>IF(B1052="","",ROUND(U1052/60,2))</f>
        <v>0</v>
      </c>
      <c r="Y1052" s="26">
        <f>IF(B1052="","",IF(L1052&lt;&gt;"",L1052,IFERROR(INDEX(Services!$G$5:$G$204,MATCH(G1052,Services!$A$5:$A$204,0))*1,0)))</f>
        <v>0</v>
      </c>
      <c r="Z1052" s="26">
        <f>IF(B1052="","",IF(O1052&lt;&gt;"",O1052,IF(Y1052&gt;=DepositThreshold,ROUND(Y1052*DepositPercent,2),0)))</f>
        <v>0</v>
      </c>
      <c r="AA1052" s="26">
        <f>IF(B1052="","",ROUND(SUMIFS(Payments!$G$5:$G$1204,Payments!$I$5:$I$1204,A1052,Payments!$E$5:$E$1204,"Deposit"),2))</f>
        <v>0</v>
      </c>
      <c r="AB1052" s="26">
        <f>IF(B1052="","",ROUND(SUMIFS(Sales!$Y$5:$Y$1204,Sales!$C$5:$C$1204,A1052),2))</f>
        <v>0</v>
      </c>
      <c r="AC1052" s="38">
        <f>IF(B1052="","",IF(M1052="Completed","Yes",IF(M1052="Cancelled","Yes",IF(M1052="No show","Yes","No"))))</f>
        <v>0</v>
      </c>
      <c r="AD1052" s="25">
        <f>IF(B1052="","",IF(AE1052="","",B1052-AE1052))</f>
        <v>0</v>
      </c>
      <c r="AF1052" s="38">
        <f>IF(B1052="","",IF(M1052&lt;&gt;"Completed","",IF(E1052="","No",IF(COUNTIFS(Appointments!$E$5:$E$1204,E1052,Appointments!$B$5:$B$1204,"&gt;"&amp;B1052,Appointments!$M$5:$M$1204,"&lt;&gt;Cancelled")&gt;0,"Yes","No"))))</f>
        <v>0</v>
      </c>
      <c r="AG1052" s="38">
        <f>IF(B1052="","",IF(I1052="","",IF(D1052="","",IF(COUNTIFS($I$5:$I$1204,I1052,$B$5:$B$1204,B1052,$D$5:$D$1204,"&lt;"&amp;V1052,$V$5:$V$1204,"&gt;"&amp;D1052,$M$5:$M$1204,"&lt;&gt;Cancelled")&gt;1,"Clash",""))))</f>
        <v>0</v>
      </c>
      <c r="AH1052" s="39">
        <f>IF(B1052="","",IF(AG1052="Clash","Clash - stylist double booked",IF(I1052="","Assign - no stylist yet",IF(G1052="","Add - no service chosen",IF(M1052="No show","No show - charge the fee?",IF(M1052="Cancelled","",IF(IF(M1052="Completed",AB1052&lt;Y1052-0.004,FALSE),"Unpaid - nothing rung up for this visit",IF(IF(B1052&lt;TodayDate,M1052="Booked",FALSE),"Overdue - past date, still only Booked",IF(IF(B1052=TodayDate,TRUE,FALSE),"Today",IF(IF(Z1052&gt;0,AA1052&lt;Z1052-0.004,FALSE),"Due - deposit not taken",IF(IF(B1052&gt;TodayDate,B1052&lt;=TodayDate+2,FALSE),"Confirm - coming up","OK")))))))))))</f>
        <v>0</v>
      </c>
    </row>
    <row r="1053" spans="1:34">
      <c r="A1053" s="28">
        <f>IF(B1053="","",AppointmentPrefix&amp;TEXT(ROW()-4,"0000"))</f>
        <v>0</v>
      </c>
      <c r="C1053" s="15">
        <f>IF(B1053="","",TEXT(B1053,"ddd"))</f>
        <v>0</v>
      </c>
      <c r="F1053" s="15">
        <f>IF(E1053="","",IFERROR(INDEX(Clients!$B$5:$B$504,MATCH(E1053,Clients!$A$5:$A$504,0)),"Walk-in"))</f>
        <v>0</v>
      </c>
      <c r="H1053" s="15">
        <f>IF(G1053="","",IFERROR(INDEX(Services!$B$5:$B$204,MATCH(G1053,Services!$A$5:$A$204,0)),"Not in Services"))</f>
        <v>0</v>
      </c>
      <c r="J1053" s="15">
        <f>IF(I1053="","",IFERROR(INDEX(Staff!$B$5:$B$44,MATCH(I1053,Staff!$A$5:$A$44,0)),"Unassigned"))</f>
        <v>0</v>
      </c>
      <c r="S1053" s="15">
        <f>IF(B1053="","",TEXT(B1053,"yyyy-mm"))</f>
        <v>0</v>
      </c>
      <c r="T1053" s="25">
        <f>IF(B1053="","",WEEKNUM(B1053,2))</f>
        <v>0</v>
      </c>
      <c r="U1053" s="25">
        <f>IF(B1053="","",IF(K1053&lt;&gt;"",K1053,IFERROR(INDEX(Services!$E$5:$E$204,MATCH(G1053,Services!$A$5:$A$204,0))*1,0)+IFERROR(INDEX(Services!$F$5:$F$204,MATCH(G1053,Services!$A$5:$A$204,0))*1,0)))</f>
        <v>0</v>
      </c>
      <c r="V1053" s="36">
        <f>IF(B1053="","",IF(D1053="","",D1053+U1053/1440))</f>
        <v>0</v>
      </c>
      <c r="W1053" s="25">
        <f>IF(B1053="","",IF(D1053="","",HOUR(D1053)))</f>
        <v>0</v>
      </c>
      <c r="X1053" s="37">
        <f>IF(B1053="","",ROUND(U1053/60,2))</f>
        <v>0</v>
      </c>
      <c r="Y1053" s="26">
        <f>IF(B1053="","",IF(L1053&lt;&gt;"",L1053,IFERROR(INDEX(Services!$G$5:$G$204,MATCH(G1053,Services!$A$5:$A$204,0))*1,0)))</f>
        <v>0</v>
      </c>
      <c r="Z1053" s="26">
        <f>IF(B1053="","",IF(O1053&lt;&gt;"",O1053,IF(Y1053&gt;=DepositThreshold,ROUND(Y1053*DepositPercent,2),0)))</f>
        <v>0</v>
      </c>
      <c r="AA1053" s="26">
        <f>IF(B1053="","",ROUND(SUMIFS(Payments!$G$5:$G$1204,Payments!$I$5:$I$1204,A1053,Payments!$E$5:$E$1204,"Deposit"),2))</f>
        <v>0</v>
      </c>
      <c r="AB1053" s="26">
        <f>IF(B1053="","",ROUND(SUMIFS(Sales!$Y$5:$Y$1204,Sales!$C$5:$C$1204,A1053),2))</f>
        <v>0</v>
      </c>
      <c r="AC1053" s="38">
        <f>IF(B1053="","",IF(M1053="Completed","Yes",IF(M1053="Cancelled","Yes",IF(M1053="No show","Yes","No"))))</f>
        <v>0</v>
      </c>
      <c r="AD1053" s="25">
        <f>IF(B1053="","",IF(AE1053="","",B1053-AE1053))</f>
        <v>0</v>
      </c>
      <c r="AF1053" s="38">
        <f>IF(B1053="","",IF(M1053&lt;&gt;"Completed","",IF(E1053="","No",IF(COUNTIFS(Appointments!$E$5:$E$1204,E1053,Appointments!$B$5:$B$1204,"&gt;"&amp;B1053,Appointments!$M$5:$M$1204,"&lt;&gt;Cancelled")&gt;0,"Yes","No"))))</f>
        <v>0</v>
      </c>
      <c r="AG1053" s="38">
        <f>IF(B1053="","",IF(I1053="","",IF(D1053="","",IF(COUNTIFS($I$5:$I$1204,I1053,$B$5:$B$1204,B1053,$D$5:$D$1204,"&lt;"&amp;V1053,$V$5:$V$1204,"&gt;"&amp;D1053,$M$5:$M$1204,"&lt;&gt;Cancelled")&gt;1,"Clash",""))))</f>
        <v>0</v>
      </c>
      <c r="AH1053" s="39">
        <f>IF(B1053="","",IF(AG1053="Clash","Clash - stylist double booked",IF(I1053="","Assign - no stylist yet",IF(G1053="","Add - no service chosen",IF(M1053="No show","No show - charge the fee?",IF(M1053="Cancelled","",IF(IF(M1053="Completed",AB1053&lt;Y1053-0.004,FALSE),"Unpaid - nothing rung up for this visit",IF(IF(B1053&lt;TodayDate,M1053="Booked",FALSE),"Overdue - past date, still only Booked",IF(IF(B1053=TodayDate,TRUE,FALSE),"Today",IF(IF(Z1053&gt;0,AA1053&lt;Z1053-0.004,FALSE),"Due - deposit not taken",IF(IF(B1053&gt;TodayDate,B1053&lt;=TodayDate+2,FALSE),"Confirm - coming up","OK")))))))))))</f>
        <v>0</v>
      </c>
    </row>
    <row r="1054" spans="1:34">
      <c r="A1054" s="28">
        <f>IF(B1054="","",AppointmentPrefix&amp;TEXT(ROW()-4,"0000"))</f>
        <v>0</v>
      </c>
      <c r="C1054" s="15">
        <f>IF(B1054="","",TEXT(B1054,"ddd"))</f>
        <v>0</v>
      </c>
      <c r="F1054" s="15">
        <f>IF(E1054="","",IFERROR(INDEX(Clients!$B$5:$B$504,MATCH(E1054,Clients!$A$5:$A$504,0)),"Walk-in"))</f>
        <v>0</v>
      </c>
      <c r="H1054" s="15">
        <f>IF(G1054="","",IFERROR(INDEX(Services!$B$5:$B$204,MATCH(G1054,Services!$A$5:$A$204,0)),"Not in Services"))</f>
        <v>0</v>
      </c>
      <c r="J1054" s="15">
        <f>IF(I1054="","",IFERROR(INDEX(Staff!$B$5:$B$44,MATCH(I1054,Staff!$A$5:$A$44,0)),"Unassigned"))</f>
        <v>0</v>
      </c>
      <c r="S1054" s="15">
        <f>IF(B1054="","",TEXT(B1054,"yyyy-mm"))</f>
        <v>0</v>
      </c>
      <c r="T1054" s="25">
        <f>IF(B1054="","",WEEKNUM(B1054,2))</f>
        <v>0</v>
      </c>
      <c r="U1054" s="25">
        <f>IF(B1054="","",IF(K1054&lt;&gt;"",K1054,IFERROR(INDEX(Services!$E$5:$E$204,MATCH(G1054,Services!$A$5:$A$204,0))*1,0)+IFERROR(INDEX(Services!$F$5:$F$204,MATCH(G1054,Services!$A$5:$A$204,0))*1,0)))</f>
        <v>0</v>
      </c>
      <c r="V1054" s="36">
        <f>IF(B1054="","",IF(D1054="","",D1054+U1054/1440))</f>
        <v>0</v>
      </c>
      <c r="W1054" s="25">
        <f>IF(B1054="","",IF(D1054="","",HOUR(D1054)))</f>
        <v>0</v>
      </c>
      <c r="X1054" s="37">
        <f>IF(B1054="","",ROUND(U1054/60,2))</f>
        <v>0</v>
      </c>
      <c r="Y1054" s="26">
        <f>IF(B1054="","",IF(L1054&lt;&gt;"",L1054,IFERROR(INDEX(Services!$G$5:$G$204,MATCH(G1054,Services!$A$5:$A$204,0))*1,0)))</f>
        <v>0</v>
      </c>
      <c r="Z1054" s="26">
        <f>IF(B1054="","",IF(O1054&lt;&gt;"",O1054,IF(Y1054&gt;=DepositThreshold,ROUND(Y1054*DepositPercent,2),0)))</f>
        <v>0</v>
      </c>
      <c r="AA1054" s="26">
        <f>IF(B1054="","",ROUND(SUMIFS(Payments!$G$5:$G$1204,Payments!$I$5:$I$1204,A1054,Payments!$E$5:$E$1204,"Deposit"),2))</f>
        <v>0</v>
      </c>
      <c r="AB1054" s="26">
        <f>IF(B1054="","",ROUND(SUMIFS(Sales!$Y$5:$Y$1204,Sales!$C$5:$C$1204,A1054),2))</f>
        <v>0</v>
      </c>
      <c r="AC1054" s="38">
        <f>IF(B1054="","",IF(M1054="Completed","Yes",IF(M1054="Cancelled","Yes",IF(M1054="No show","Yes","No"))))</f>
        <v>0</v>
      </c>
      <c r="AD1054" s="25">
        <f>IF(B1054="","",IF(AE1054="","",B1054-AE1054))</f>
        <v>0</v>
      </c>
      <c r="AF1054" s="38">
        <f>IF(B1054="","",IF(M1054&lt;&gt;"Completed","",IF(E1054="","No",IF(COUNTIFS(Appointments!$E$5:$E$1204,E1054,Appointments!$B$5:$B$1204,"&gt;"&amp;B1054,Appointments!$M$5:$M$1204,"&lt;&gt;Cancelled")&gt;0,"Yes","No"))))</f>
        <v>0</v>
      </c>
      <c r="AG1054" s="38">
        <f>IF(B1054="","",IF(I1054="","",IF(D1054="","",IF(COUNTIFS($I$5:$I$1204,I1054,$B$5:$B$1204,B1054,$D$5:$D$1204,"&lt;"&amp;V1054,$V$5:$V$1204,"&gt;"&amp;D1054,$M$5:$M$1204,"&lt;&gt;Cancelled")&gt;1,"Clash",""))))</f>
        <v>0</v>
      </c>
      <c r="AH1054" s="39">
        <f>IF(B1054="","",IF(AG1054="Clash","Clash - stylist double booked",IF(I1054="","Assign - no stylist yet",IF(G1054="","Add - no service chosen",IF(M1054="No show","No show - charge the fee?",IF(M1054="Cancelled","",IF(IF(M1054="Completed",AB1054&lt;Y1054-0.004,FALSE),"Unpaid - nothing rung up for this visit",IF(IF(B1054&lt;TodayDate,M1054="Booked",FALSE),"Overdue - past date, still only Booked",IF(IF(B1054=TodayDate,TRUE,FALSE),"Today",IF(IF(Z1054&gt;0,AA1054&lt;Z1054-0.004,FALSE),"Due - deposit not taken",IF(IF(B1054&gt;TodayDate,B1054&lt;=TodayDate+2,FALSE),"Confirm - coming up","OK")))))))))))</f>
        <v>0</v>
      </c>
    </row>
    <row r="1055" spans="1:34">
      <c r="A1055" s="28">
        <f>IF(B1055="","",AppointmentPrefix&amp;TEXT(ROW()-4,"0000"))</f>
        <v>0</v>
      </c>
      <c r="C1055" s="15">
        <f>IF(B1055="","",TEXT(B1055,"ddd"))</f>
        <v>0</v>
      </c>
      <c r="F1055" s="15">
        <f>IF(E1055="","",IFERROR(INDEX(Clients!$B$5:$B$504,MATCH(E1055,Clients!$A$5:$A$504,0)),"Walk-in"))</f>
        <v>0</v>
      </c>
      <c r="H1055" s="15">
        <f>IF(G1055="","",IFERROR(INDEX(Services!$B$5:$B$204,MATCH(G1055,Services!$A$5:$A$204,0)),"Not in Services"))</f>
        <v>0</v>
      </c>
      <c r="J1055" s="15">
        <f>IF(I1055="","",IFERROR(INDEX(Staff!$B$5:$B$44,MATCH(I1055,Staff!$A$5:$A$44,0)),"Unassigned"))</f>
        <v>0</v>
      </c>
      <c r="S1055" s="15">
        <f>IF(B1055="","",TEXT(B1055,"yyyy-mm"))</f>
        <v>0</v>
      </c>
      <c r="T1055" s="25">
        <f>IF(B1055="","",WEEKNUM(B1055,2))</f>
        <v>0</v>
      </c>
      <c r="U1055" s="25">
        <f>IF(B1055="","",IF(K1055&lt;&gt;"",K1055,IFERROR(INDEX(Services!$E$5:$E$204,MATCH(G1055,Services!$A$5:$A$204,0))*1,0)+IFERROR(INDEX(Services!$F$5:$F$204,MATCH(G1055,Services!$A$5:$A$204,0))*1,0)))</f>
        <v>0</v>
      </c>
      <c r="V1055" s="36">
        <f>IF(B1055="","",IF(D1055="","",D1055+U1055/1440))</f>
        <v>0</v>
      </c>
      <c r="W1055" s="25">
        <f>IF(B1055="","",IF(D1055="","",HOUR(D1055)))</f>
        <v>0</v>
      </c>
      <c r="X1055" s="37">
        <f>IF(B1055="","",ROUND(U1055/60,2))</f>
        <v>0</v>
      </c>
      <c r="Y1055" s="26">
        <f>IF(B1055="","",IF(L1055&lt;&gt;"",L1055,IFERROR(INDEX(Services!$G$5:$G$204,MATCH(G1055,Services!$A$5:$A$204,0))*1,0)))</f>
        <v>0</v>
      </c>
      <c r="Z1055" s="26">
        <f>IF(B1055="","",IF(O1055&lt;&gt;"",O1055,IF(Y1055&gt;=DepositThreshold,ROUND(Y1055*DepositPercent,2),0)))</f>
        <v>0</v>
      </c>
      <c r="AA1055" s="26">
        <f>IF(B1055="","",ROUND(SUMIFS(Payments!$G$5:$G$1204,Payments!$I$5:$I$1204,A1055,Payments!$E$5:$E$1204,"Deposit"),2))</f>
        <v>0</v>
      </c>
      <c r="AB1055" s="26">
        <f>IF(B1055="","",ROUND(SUMIFS(Sales!$Y$5:$Y$1204,Sales!$C$5:$C$1204,A1055),2))</f>
        <v>0</v>
      </c>
      <c r="AC1055" s="38">
        <f>IF(B1055="","",IF(M1055="Completed","Yes",IF(M1055="Cancelled","Yes",IF(M1055="No show","Yes","No"))))</f>
        <v>0</v>
      </c>
      <c r="AD1055" s="25">
        <f>IF(B1055="","",IF(AE1055="","",B1055-AE1055))</f>
        <v>0</v>
      </c>
      <c r="AF1055" s="38">
        <f>IF(B1055="","",IF(M1055&lt;&gt;"Completed","",IF(E1055="","No",IF(COUNTIFS(Appointments!$E$5:$E$1204,E1055,Appointments!$B$5:$B$1204,"&gt;"&amp;B1055,Appointments!$M$5:$M$1204,"&lt;&gt;Cancelled")&gt;0,"Yes","No"))))</f>
        <v>0</v>
      </c>
      <c r="AG1055" s="38">
        <f>IF(B1055="","",IF(I1055="","",IF(D1055="","",IF(COUNTIFS($I$5:$I$1204,I1055,$B$5:$B$1204,B1055,$D$5:$D$1204,"&lt;"&amp;V1055,$V$5:$V$1204,"&gt;"&amp;D1055,$M$5:$M$1204,"&lt;&gt;Cancelled")&gt;1,"Clash",""))))</f>
        <v>0</v>
      </c>
      <c r="AH1055" s="39">
        <f>IF(B1055="","",IF(AG1055="Clash","Clash - stylist double booked",IF(I1055="","Assign - no stylist yet",IF(G1055="","Add - no service chosen",IF(M1055="No show","No show - charge the fee?",IF(M1055="Cancelled","",IF(IF(M1055="Completed",AB1055&lt;Y1055-0.004,FALSE),"Unpaid - nothing rung up for this visit",IF(IF(B1055&lt;TodayDate,M1055="Booked",FALSE),"Overdue - past date, still only Booked",IF(IF(B1055=TodayDate,TRUE,FALSE),"Today",IF(IF(Z1055&gt;0,AA1055&lt;Z1055-0.004,FALSE),"Due - deposit not taken",IF(IF(B1055&gt;TodayDate,B1055&lt;=TodayDate+2,FALSE),"Confirm - coming up","OK")))))))))))</f>
        <v>0</v>
      </c>
    </row>
    <row r="1056" spans="1:34">
      <c r="A1056" s="28">
        <f>IF(B1056="","",AppointmentPrefix&amp;TEXT(ROW()-4,"0000"))</f>
        <v>0</v>
      </c>
      <c r="C1056" s="15">
        <f>IF(B1056="","",TEXT(B1056,"ddd"))</f>
        <v>0</v>
      </c>
      <c r="F1056" s="15">
        <f>IF(E1056="","",IFERROR(INDEX(Clients!$B$5:$B$504,MATCH(E1056,Clients!$A$5:$A$504,0)),"Walk-in"))</f>
        <v>0</v>
      </c>
      <c r="H1056" s="15">
        <f>IF(G1056="","",IFERROR(INDEX(Services!$B$5:$B$204,MATCH(G1056,Services!$A$5:$A$204,0)),"Not in Services"))</f>
        <v>0</v>
      </c>
      <c r="J1056" s="15">
        <f>IF(I1056="","",IFERROR(INDEX(Staff!$B$5:$B$44,MATCH(I1056,Staff!$A$5:$A$44,0)),"Unassigned"))</f>
        <v>0</v>
      </c>
      <c r="S1056" s="15">
        <f>IF(B1056="","",TEXT(B1056,"yyyy-mm"))</f>
        <v>0</v>
      </c>
      <c r="T1056" s="25">
        <f>IF(B1056="","",WEEKNUM(B1056,2))</f>
        <v>0</v>
      </c>
      <c r="U1056" s="25">
        <f>IF(B1056="","",IF(K1056&lt;&gt;"",K1056,IFERROR(INDEX(Services!$E$5:$E$204,MATCH(G1056,Services!$A$5:$A$204,0))*1,0)+IFERROR(INDEX(Services!$F$5:$F$204,MATCH(G1056,Services!$A$5:$A$204,0))*1,0)))</f>
        <v>0</v>
      </c>
      <c r="V1056" s="36">
        <f>IF(B1056="","",IF(D1056="","",D1056+U1056/1440))</f>
        <v>0</v>
      </c>
      <c r="W1056" s="25">
        <f>IF(B1056="","",IF(D1056="","",HOUR(D1056)))</f>
        <v>0</v>
      </c>
      <c r="X1056" s="37">
        <f>IF(B1056="","",ROUND(U1056/60,2))</f>
        <v>0</v>
      </c>
      <c r="Y1056" s="26">
        <f>IF(B1056="","",IF(L1056&lt;&gt;"",L1056,IFERROR(INDEX(Services!$G$5:$G$204,MATCH(G1056,Services!$A$5:$A$204,0))*1,0)))</f>
        <v>0</v>
      </c>
      <c r="Z1056" s="26">
        <f>IF(B1056="","",IF(O1056&lt;&gt;"",O1056,IF(Y1056&gt;=DepositThreshold,ROUND(Y1056*DepositPercent,2),0)))</f>
        <v>0</v>
      </c>
      <c r="AA1056" s="26">
        <f>IF(B1056="","",ROUND(SUMIFS(Payments!$G$5:$G$1204,Payments!$I$5:$I$1204,A1056,Payments!$E$5:$E$1204,"Deposit"),2))</f>
        <v>0</v>
      </c>
      <c r="AB1056" s="26">
        <f>IF(B1056="","",ROUND(SUMIFS(Sales!$Y$5:$Y$1204,Sales!$C$5:$C$1204,A1056),2))</f>
        <v>0</v>
      </c>
      <c r="AC1056" s="38">
        <f>IF(B1056="","",IF(M1056="Completed","Yes",IF(M1056="Cancelled","Yes",IF(M1056="No show","Yes","No"))))</f>
        <v>0</v>
      </c>
      <c r="AD1056" s="25">
        <f>IF(B1056="","",IF(AE1056="","",B1056-AE1056))</f>
        <v>0</v>
      </c>
      <c r="AF1056" s="38">
        <f>IF(B1056="","",IF(M1056&lt;&gt;"Completed","",IF(E1056="","No",IF(COUNTIFS(Appointments!$E$5:$E$1204,E1056,Appointments!$B$5:$B$1204,"&gt;"&amp;B1056,Appointments!$M$5:$M$1204,"&lt;&gt;Cancelled")&gt;0,"Yes","No"))))</f>
        <v>0</v>
      </c>
      <c r="AG1056" s="38">
        <f>IF(B1056="","",IF(I1056="","",IF(D1056="","",IF(COUNTIFS($I$5:$I$1204,I1056,$B$5:$B$1204,B1056,$D$5:$D$1204,"&lt;"&amp;V1056,$V$5:$V$1204,"&gt;"&amp;D1056,$M$5:$M$1204,"&lt;&gt;Cancelled")&gt;1,"Clash",""))))</f>
        <v>0</v>
      </c>
      <c r="AH1056" s="39">
        <f>IF(B1056="","",IF(AG1056="Clash","Clash - stylist double booked",IF(I1056="","Assign - no stylist yet",IF(G1056="","Add - no service chosen",IF(M1056="No show","No show - charge the fee?",IF(M1056="Cancelled","",IF(IF(M1056="Completed",AB1056&lt;Y1056-0.004,FALSE),"Unpaid - nothing rung up for this visit",IF(IF(B1056&lt;TodayDate,M1056="Booked",FALSE),"Overdue - past date, still only Booked",IF(IF(B1056=TodayDate,TRUE,FALSE),"Today",IF(IF(Z1056&gt;0,AA1056&lt;Z1056-0.004,FALSE),"Due - deposit not taken",IF(IF(B1056&gt;TodayDate,B1056&lt;=TodayDate+2,FALSE),"Confirm - coming up","OK")))))))))))</f>
        <v>0</v>
      </c>
    </row>
    <row r="1057" spans="1:34">
      <c r="A1057" s="28">
        <f>IF(B1057="","",AppointmentPrefix&amp;TEXT(ROW()-4,"0000"))</f>
        <v>0</v>
      </c>
      <c r="C1057" s="15">
        <f>IF(B1057="","",TEXT(B1057,"ddd"))</f>
        <v>0</v>
      </c>
      <c r="F1057" s="15">
        <f>IF(E1057="","",IFERROR(INDEX(Clients!$B$5:$B$504,MATCH(E1057,Clients!$A$5:$A$504,0)),"Walk-in"))</f>
        <v>0</v>
      </c>
      <c r="H1057" s="15">
        <f>IF(G1057="","",IFERROR(INDEX(Services!$B$5:$B$204,MATCH(G1057,Services!$A$5:$A$204,0)),"Not in Services"))</f>
        <v>0</v>
      </c>
      <c r="J1057" s="15">
        <f>IF(I1057="","",IFERROR(INDEX(Staff!$B$5:$B$44,MATCH(I1057,Staff!$A$5:$A$44,0)),"Unassigned"))</f>
        <v>0</v>
      </c>
      <c r="S1057" s="15">
        <f>IF(B1057="","",TEXT(B1057,"yyyy-mm"))</f>
        <v>0</v>
      </c>
      <c r="T1057" s="25">
        <f>IF(B1057="","",WEEKNUM(B1057,2))</f>
        <v>0</v>
      </c>
      <c r="U1057" s="25">
        <f>IF(B1057="","",IF(K1057&lt;&gt;"",K1057,IFERROR(INDEX(Services!$E$5:$E$204,MATCH(G1057,Services!$A$5:$A$204,0))*1,0)+IFERROR(INDEX(Services!$F$5:$F$204,MATCH(G1057,Services!$A$5:$A$204,0))*1,0)))</f>
        <v>0</v>
      </c>
      <c r="V1057" s="36">
        <f>IF(B1057="","",IF(D1057="","",D1057+U1057/1440))</f>
        <v>0</v>
      </c>
      <c r="W1057" s="25">
        <f>IF(B1057="","",IF(D1057="","",HOUR(D1057)))</f>
        <v>0</v>
      </c>
      <c r="X1057" s="37">
        <f>IF(B1057="","",ROUND(U1057/60,2))</f>
        <v>0</v>
      </c>
      <c r="Y1057" s="26">
        <f>IF(B1057="","",IF(L1057&lt;&gt;"",L1057,IFERROR(INDEX(Services!$G$5:$G$204,MATCH(G1057,Services!$A$5:$A$204,0))*1,0)))</f>
        <v>0</v>
      </c>
      <c r="Z1057" s="26">
        <f>IF(B1057="","",IF(O1057&lt;&gt;"",O1057,IF(Y1057&gt;=DepositThreshold,ROUND(Y1057*DepositPercent,2),0)))</f>
        <v>0</v>
      </c>
      <c r="AA1057" s="26">
        <f>IF(B1057="","",ROUND(SUMIFS(Payments!$G$5:$G$1204,Payments!$I$5:$I$1204,A1057,Payments!$E$5:$E$1204,"Deposit"),2))</f>
        <v>0</v>
      </c>
      <c r="AB1057" s="26">
        <f>IF(B1057="","",ROUND(SUMIFS(Sales!$Y$5:$Y$1204,Sales!$C$5:$C$1204,A1057),2))</f>
        <v>0</v>
      </c>
      <c r="AC1057" s="38">
        <f>IF(B1057="","",IF(M1057="Completed","Yes",IF(M1057="Cancelled","Yes",IF(M1057="No show","Yes","No"))))</f>
        <v>0</v>
      </c>
      <c r="AD1057" s="25">
        <f>IF(B1057="","",IF(AE1057="","",B1057-AE1057))</f>
        <v>0</v>
      </c>
      <c r="AF1057" s="38">
        <f>IF(B1057="","",IF(M1057&lt;&gt;"Completed","",IF(E1057="","No",IF(COUNTIFS(Appointments!$E$5:$E$1204,E1057,Appointments!$B$5:$B$1204,"&gt;"&amp;B1057,Appointments!$M$5:$M$1204,"&lt;&gt;Cancelled")&gt;0,"Yes","No"))))</f>
        <v>0</v>
      </c>
      <c r="AG1057" s="38">
        <f>IF(B1057="","",IF(I1057="","",IF(D1057="","",IF(COUNTIFS($I$5:$I$1204,I1057,$B$5:$B$1204,B1057,$D$5:$D$1204,"&lt;"&amp;V1057,$V$5:$V$1204,"&gt;"&amp;D1057,$M$5:$M$1204,"&lt;&gt;Cancelled")&gt;1,"Clash",""))))</f>
        <v>0</v>
      </c>
      <c r="AH1057" s="39">
        <f>IF(B1057="","",IF(AG1057="Clash","Clash - stylist double booked",IF(I1057="","Assign - no stylist yet",IF(G1057="","Add - no service chosen",IF(M1057="No show","No show - charge the fee?",IF(M1057="Cancelled","",IF(IF(M1057="Completed",AB1057&lt;Y1057-0.004,FALSE),"Unpaid - nothing rung up for this visit",IF(IF(B1057&lt;TodayDate,M1057="Booked",FALSE),"Overdue - past date, still only Booked",IF(IF(B1057=TodayDate,TRUE,FALSE),"Today",IF(IF(Z1057&gt;0,AA1057&lt;Z1057-0.004,FALSE),"Due - deposit not taken",IF(IF(B1057&gt;TodayDate,B1057&lt;=TodayDate+2,FALSE),"Confirm - coming up","OK")))))))))))</f>
        <v>0</v>
      </c>
    </row>
    <row r="1058" spans="1:34">
      <c r="A1058" s="28">
        <f>IF(B1058="","",AppointmentPrefix&amp;TEXT(ROW()-4,"0000"))</f>
        <v>0</v>
      </c>
      <c r="C1058" s="15">
        <f>IF(B1058="","",TEXT(B1058,"ddd"))</f>
        <v>0</v>
      </c>
      <c r="F1058" s="15">
        <f>IF(E1058="","",IFERROR(INDEX(Clients!$B$5:$B$504,MATCH(E1058,Clients!$A$5:$A$504,0)),"Walk-in"))</f>
        <v>0</v>
      </c>
      <c r="H1058" s="15">
        <f>IF(G1058="","",IFERROR(INDEX(Services!$B$5:$B$204,MATCH(G1058,Services!$A$5:$A$204,0)),"Not in Services"))</f>
        <v>0</v>
      </c>
      <c r="J1058" s="15">
        <f>IF(I1058="","",IFERROR(INDEX(Staff!$B$5:$B$44,MATCH(I1058,Staff!$A$5:$A$44,0)),"Unassigned"))</f>
        <v>0</v>
      </c>
      <c r="S1058" s="15">
        <f>IF(B1058="","",TEXT(B1058,"yyyy-mm"))</f>
        <v>0</v>
      </c>
      <c r="T1058" s="25">
        <f>IF(B1058="","",WEEKNUM(B1058,2))</f>
        <v>0</v>
      </c>
      <c r="U1058" s="25">
        <f>IF(B1058="","",IF(K1058&lt;&gt;"",K1058,IFERROR(INDEX(Services!$E$5:$E$204,MATCH(G1058,Services!$A$5:$A$204,0))*1,0)+IFERROR(INDEX(Services!$F$5:$F$204,MATCH(G1058,Services!$A$5:$A$204,0))*1,0)))</f>
        <v>0</v>
      </c>
      <c r="V1058" s="36">
        <f>IF(B1058="","",IF(D1058="","",D1058+U1058/1440))</f>
        <v>0</v>
      </c>
      <c r="W1058" s="25">
        <f>IF(B1058="","",IF(D1058="","",HOUR(D1058)))</f>
        <v>0</v>
      </c>
      <c r="X1058" s="37">
        <f>IF(B1058="","",ROUND(U1058/60,2))</f>
        <v>0</v>
      </c>
      <c r="Y1058" s="26">
        <f>IF(B1058="","",IF(L1058&lt;&gt;"",L1058,IFERROR(INDEX(Services!$G$5:$G$204,MATCH(G1058,Services!$A$5:$A$204,0))*1,0)))</f>
        <v>0</v>
      </c>
      <c r="Z1058" s="26">
        <f>IF(B1058="","",IF(O1058&lt;&gt;"",O1058,IF(Y1058&gt;=DepositThreshold,ROUND(Y1058*DepositPercent,2),0)))</f>
        <v>0</v>
      </c>
      <c r="AA1058" s="26">
        <f>IF(B1058="","",ROUND(SUMIFS(Payments!$G$5:$G$1204,Payments!$I$5:$I$1204,A1058,Payments!$E$5:$E$1204,"Deposit"),2))</f>
        <v>0</v>
      </c>
      <c r="AB1058" s="26">
        <f>IF(B1058="","",ROUND(SUMIFS(Sales!$Y$5:$Y$1204,Sales!$C$5:$C$1204,A1058),2))</f>
        <v>0</v>
      </c>
      <c r="AC1058" s="38">
        <f>IF(B1058="","",IF(M1058="Completed","Yes",IF(M1058="Cancelled","Yes",IF(M1058="No show","Yes","No"))))</f>
        <v>0</v>
      </c>
      <c r="AD1058" s="25">
        <f>IF(B1058="","",IF(AE1058="","",B1058-AE1058))</f>
        <v>0</v>
      </c>
      <c r="AF1058" s="38">
        <f>IF(B1058="","",IF(M1058&lt;&gt;"Completed","",IF(E1058="","No",IF(COUNTIFS(Appointments!$E$5:$E$1204,E1058,Appointments!$B$5:$B$1204,"&gt;"&amp;B1058,Appointments!$M$5:$M$1204,"&lt;&gt;Cancelled")&gt;0,"Yes","No"))))</f>
        <v>0</v>
      </c>
      <c r="AG1058" s="38">
        <f>IF(B1058="","",IF(I1058="","",IF(D1058="","",IF(COUNTIFS($I$5:$I$1204,I1058,$B$5:$B$1204,B1058,$D$5:$D$1204,"&lt;"&amp;V1058,$V$5:$V$1204,"&gt;"&amp;D1058,$M$5:$M$1204,"&lt;&gt;Cancelled")&gt;1,"Clash",""))))</f>
        <v>0</v>
      </c>
      <c r="AH1058" s="39">
        <f>IF(B1058="","",IF(AG1058="Clash","Clash - stylist double booked",IF(I1058="","Assign - no stylist yet",IF(G1058="","Add - no service chosen",IF(M1058="No show","No show - charge the fee?",IF(M1058="Cancelled","",IF(IF(M1058="Completed",AB1058&lt;Y1058-0.004,FALSE),"Unpaid - nothing rung up for this visit",IF(IF(B1058&lt;TodayDate,M1058="Booked",FALSE),"Overdue - past date, still only Booked",IF(IF(B1058=TodayDate,TRUE,FALSE),"Today",IF(IF(Z1058&gt;0,AA1058&lt;Z1058-0.004,FALSE),"Due - deposit not taken",IF(IF(B1058&gt;TodayDate,B1058&lt;=TodayDate+2,FALSE),"Confirm - coming up","OK")))))))))))</f>
        <v>0</v>
      </c>
    </row>
    <row r="1059" spans="1:34">
      <c r="A1059" s="28">
        <f>IF(B1059="","",AppointmentPrefix&amp;TEXT(ROW()-4,"0000"))</f>
        <v>0</v>
      </c>
      <c r="C1059" s="15">
        <f>IF(B1059="","",TEXT(B1059,"ddd"))</f>
        <v>0</v>
      </c>
      <c r="F1059" s="15">
        <f>IF(E1059="","",IFERROR(INDEX(Clients!$B$5:$B$504,MATCH(E1059,Clients!$A$5:$A$504,0)),"Walk-in"))</f>
        <v>0</v>
      </c>
      <c r="H1059" s="15">
        <f>IF(G1059="","",IFERROR(INDEX(Services!$B$5:$B$204,MATCH(G1059,Services!$A$5:$A$204,0)),"Not in Services"))</f>
        <v>0</v>
      </c>
      <c r="J1059" s="15">
        <f>IF(I1059="","",IFERROR(INDEX(Staff!$B$5:$B$44,MATCH(I1059,Staff!$A$5:$A$44,0)),"Unassigned"))</f>
        <v>0</v>
      </c>
      <c r="S1059" s="15">
        <f>IF(B1059="","",TEXT(B1059,"yyyy-mm"))</f>
        <v>0</v>
      </c>
      <c r="T1059" s="25">
        <f>IF(B1059="","",WEEKNUM(B1059,2))</f>
        <v>0</v>
      </c>
      <c r="U1059" s="25">
        <f>IF(B1059="","",IF(K1059&lt;&gt;"",K1059,IFERROR(INDEX(Services!$E$5:$E$204,MATCH(G1059,Services!$A$5:$A$204,0))*1,0)+IFERROR(INDEX(Services!$F$5:$F$204,MATCH(G1059,Services!$A$5:$A$204,0))*1,0)))</f>
        <v>0</v>
      </c>
      <c r="V1059" s="36">
        <f>IF(B1059="","",IF(D1059="","",D1059+U1059/1440))</f>
        <v>0</v>
      </c>
      <c r="W1059" s="25">
        <f>IF(B1059="","",IF(D1059="","",HOUR(D1059)))</f>
        <v>0</v>
      </c>
      <c r="X1059" s="37">
        <f>IF(B1059="","",ROUND(U1059/60,2))</f>
        <v>0</v>
      </c>
      <c r="Y1059" s="26">
        <f>IF(B1059="","",IF(L1059&lt;&gt;"",L1059,IFERROR(INDEX(Services!$G$5:$G$204,MATCH(G1059,Services!$A$5:$A$204,0))*1,0)))</f>
        <v>0</v>
      </c>
      <c r="Z1059" s="26">
        <f>IF(B1059="","",IF(O1059&lt;&gt;"",O1059,IF(Y1059&gt;=DepositThreshold,ROUND(Y1059*DepositPercent,2),0)))</f>
        <v>0</v>
      </c>
      <c r="AA1059" s="26">
        <f>IF(B1059="","",ROUND(SUMIFS(Payments!$G$5:$G$1204,Payments!$I$5:$I$1204,A1059,Payments!$E$5:$E$1204,"Deposit"),2))</f>
        <v>0</v>
      </c>
      <c r="AB1059" s="26">
        <f>IF(B1059="","",ROUND(SUMIFS(Sales!$Y$5:$Y$1204,Sales!$C$5:$C$1204,A1059),2))</f>
        <v>0</v>
      </c>
      <c r="AC1059" s="38">
        <f>IF(B1059="","",IF(M1059="Completed","Yes",IF(M1059="Cancelled","Yes",IF(M1059="No show","Yes","No"))))</f>
        <v>0</v>
      </c>
      <c r="AD1059" s="25">
        <f>IF(B1059="","",IF(AE1059="","",B1059-AE1059))</f>
        <v>0</v>
      </c>
      <c r="AF1059" s="38">
        <f>IF(B1059="","",IF(M1059&lt;&gt;"Completed","",IF(E1059="","No",IF(COUNTIFS(Appointments!$E$5:$E$1204,E1059,Appointments!$B$5:$B$1204,"&gt;"&amp;B1059,Appointments!$M$5:$M$1204,"&lt;&gt;Cancelled")&gt;0,"Yes","No"))))</f>
        <v>0</v>
      </c>
      <c r="AG1059" s="38">
        <f>IF(B1059="","",IF(I1059="","",IF(D1059="","",IF(COUNTIFS($I$5:$I$1204,I1059,$B$5:$B$1204,B1059,$D$5:$D$1204,"&lt;"&amp;V1059,$V$5:$V$1204,"&gt;"&amp;D1059,$M$5:$M$1204,"&lt;&gt;Cancelled")&gt;1,"Clash",""))))</f>
        <v>0</v>
      </c>
      <c r="AH1059" s="39">
        <f>IF(B1059="","",IF(AG1059="Clash","Clash - stylist double booked",IF(I1059="","Assign - no stylist yet",IF(G1059="","Add - no service chosen",IF(M1059="No show","No show - charge the fee?",IF(M1059="Cancelled","",IF(IF(M1059="Completed",AB1059&lt;Y1059-0.004,FALSE),"Unpaid - nothing rung up for this visit",IF(IF(B1059&lt;TodayDate,M1059="Booked",FALSE),"Overdue - past date, still only Booked",IF(IF(B1059=TodayDate,TRUE,FALSE),"Today",IF(IF(Z1059&gt;0,AA1059&lt;Z1059-0.004,FALSE),"Due - deposit not taken",IF(IF(B1059&gt;TodayDate,B1059&lt;=TodayDate+2,FALSE),"Confirm - coming up","OK")))))))))))</f>
        <v>0</v>
      </c>
    </row>
    <row r="1060" spans="1:34">
      <c r="A1060" s="28">
        <f>IF(B1060="","",AppointmentPrefix&amp;TEXT(ROW()-4,"0000"))</f>
        <v>0</v>
      </c>
      <c r="C1060" s="15">
        <f>IF(B1060="","",TEXT(B1060,"ddd"))</f>
        <v>0</v>
      </c>
      <c r="F1060" s="15">
        <f>IF(E1060="","",IFERROR(INDEX(Clients!$B$5:$B$504,MATCH(E1060,Clients!$A$5:$A$504,0)),"Walk-in"))</f>
        <v>0</v>
      </c>
      <c r="H1060" s="15">
        <f>IF(G1060="","",IFERROR(INDEX(Services!$B$5:$B$204,MATCH(G1060,Services!$A$5:$A$204,0)),"Not in Services"))</f>
        <v>0</v>
      </c>
      <c r="J1060" s="15">
        <f>IF(I1060="","",IFERROR(INDEX(Staff!$B$5:$B$44,MATCH(I1060,Staff!$A$5:$A$44,0)),"Unassigned"))</f>
        <v>0</v>
      </c>
      <c r="S1060" s="15">
        <f>IF(B1060="","",TEXT(B1060,"yyyy-mm"))</f>
        <v>0</v>
      </c>
      <c r="T1060" s="25">
        <f>IF(B1060="","",WEEKNUM(B1060,2))</f>
        <v>0</v>
      </c>
      <c r="U1060" s="25">
        <f>IF(B1060="","",IF(K1060&lt;&gt;"",K1060,IFERROR(INDEX(Services!$E$5:$E$204,MATCH(G1060,Services!$A$5:$A$204,0))*1,0)+IFERROR(INDEX(Services!$F$5:$F$204,MATCH(G1060,Services!$A$5:$A$204,0))*1,0)))</f>
        <v>0</v>
      </c>
      <c r="V1060" s="36">
        <f>IF(B1060="","",IF(D1060="","",D1060+U1060/1440))</f>
        <v>0</v>
      </c>
      <c r="W1060" s="25">
        <f>IF(B1060="","",IF(D1060="","",HOUR(D1060)))</f>
        <v>0</v>
      </c>
      <c r="X1060" s="37">
        <f>IF(B1060="","",ROUND(U1060/60,2))</f>
        <v>0</v>
      </c>
      <c r="Y1060" s="26">
        <f>IF(B1060="","",IF(L1060&lt;&gt;"",L1060,IFERROR(INDEX(Services!$G$5:$G$204,MATCH(G1060,Services!$A$5:$A$204,0))*1,0)))</f>
        <v>0</v>
      </c>
      <c r="Z1060" s="26">
        <f>IF(B1060="","",IF(O1060&lt;&gt;"",O1060,IF(Y1060&gt;=DepositThreshold,ROUND(Y1060*DepositPercent,2),0)))</f>
        <v>0</v>
      </c>
      <c r="AA1060" s="26">
        <f>IF(B1060="","",ROUND(SUMIFS(Payments!$G$5:$G$1204,Payments!$I$5:$I$1204,A1060,Payments!$E$5:$E$1204,"Deposit"),2))</f>
        <v>0</v>
      </c>
      <c r="AB1060" s="26">
        <f>IF(B1060="","",ROUND(SUMIFS(Sales!$Y$5:$Y$1204,Sales!$C$5:$C$1204,A1060),2))</f>
        <v>0</v>
      </c>
      <c r="AC1060" s="38">
        <f>IF(B1060="","",IF(M1060="Completed","Yes",IF(M1060="Cancelled","Yes",IF(M1060="No show","Yes","No"))))</f>
        <v>0</v>
      </c>
      <c r="AD1060" s="25">
        <f>IF(B1060="","",IF(AE1060="","",B1060-AE1060))</f>
        <v>0</v>
      </c>
      <c r="AF1060" s="38">
        <f>IF(B1060="","",IF(M1060&lt;&gt;"Completed","",IF(E1060="","No",IF(COUNTIFS(Appointments!$E$5:$E$1204,E1060,Appointments!$B$5:$B$1204,"&gt;"&amp;B1060,Appointments!$M$5:$M$1204,"&lt;&gt;Cancelled")&gt;0,"Yes","No"))))</f>
        <v>0</v>
      </c>
      <c r="AG1060" s="38">
        <f>IF(B1060="","",IF(I1060="","",IF(D1060="","",IF(COUNTIFS($I$5:$I$1204,I1060,$B$5:$B$1204,B1060,$D$5:$D$1204,"&lt;"&amp;V1060,$V$5:$V$1204,"&gt;"&amp;D1060,$M$5:$M$1204,"&lt;&gt;Cancelled")&gt;1,"Clash",""))))</f>
        <v>0</v>
      </c>
      <c r="AH1060" s="39">
        <f>IF(B1060="","",IF(AG1060="Clash","Clash - stylist double booked",IF(I1060="","Assign - no stylist yet",IF(G1060="","Add - no service chosen",IF(M1060="No show","No show - charge the fee?",IF(M1060="Cancelled","",IF(IF(M1060="Completed",AB1060&lt;Y1060-0.004,FALSE),"Unpaid - nothing rung up for this visit",IF(IF(B1060&lt;TodayDate,M1060="Booked",FALSE),"Overdue - past date, still only Booked",IF(IF(B1060=TodayDate,TRUE,FALSE),"Today",IF(IF(Z1060&gt;0,AA1060&lt;Z1060-0.004,FALSE),"Due - deposit not taken",IF(IF(B1060&gt;TodayDate,B1060&lt;=TodayDate+2,FALSE),"Confirm - coming up","OK")))))))))))</f>
        <v>0</v>
      </c>
    </row>
    <row r="1061" spans="1:34">
      <c r="A1061" s="28">
        <f>IF(B1061="","",AppointmentPrefix&amp;TEXT(ROW()-4,"0000"))</f>
        <v>0</v>
      </c>
      <c r="C1061" s="15">
        <f>IF(B1061="","",TEXT(B1061,"ddd"))</f>
        <v>0</v>
      </c>
      <c r="F1061" s="15">
        <f>IF(E1061="","",IFERROR(INDEX(Clients!$B$5:$B$504,MATCH(E1061,Clients!$A$5:$A$504,0)),"Walk-in"))</f>
        <v>0</v>
      </c>
      <c r="H1061" s="15">
        <f>IF(G1061="","",IFERROR(INDEX(Services!$B$5:$B$204,MATCH(G1061,Services!$A$5:$A$204,0)),"Not in Services"))</f>
        <v>0</v>
      </c>
      <c r="J1061" s="15">
        <f>IF(I1061="","",IFERROR(INDEX(Staff!$B$5:$B$44,MATCH(I1061,Staff!$A$5:$A$44,0)),"Unassigned"))</f>
        <v>0</v>
      </c>
      <c r="S1061" s="15">
        <f>IF(B1061="","",TEXT(B1061,"yyyy-mm"))</f>
        <v>0</v>
      </c>
      <c r="T1061" s="25">
        <f>IF(B1061="","",WEEKNUM(B1061,2))</f>
        <v>0</v>
      </c>
      <c r="U1061" s="25">
        <f>IF(B1061="","",IF(K1061&lt;&gt;"",K1061,IFERROR(INDEX(Services!$E$5:$E$204,MATCH(G1061,Services!$A$5:$A$204,0))*1,0)+IFERROR(INDEX(Services!$F$5:$F$204,MATCH(G1061,Services!$A$5:$A$204,0))*1,0)))</f>
        <v>0</v>
      </c>
      <c r="V1061" s="36">
        <f>IF(B1061="","",IF(D1061="","",D1061+U1061/1440))</f>
        <v>0</v>
      </c>
      <c r="W1061" s="25">
        <f>IF(B1061="","",IF(D1061="","",HOUR(D1061)))</f>
        <v>0</v>
      </c>
      <c r="X1061" s="37">
        <f>IF(B1061="","",ROUND(U1061/60,2))</f>
        <v>0</v>
      </c>
      <c r="Y1061" s="26">
        <f>IF(B1061="","",IF(L1061&lt;&gt;"",L1061,IFERROR(INDEX(Services!$G$5:$G$204,MATCH(G1061,Services!$A$5:$A$204,0))*1,0)))</f>
        <v>0</v>
      </c>
      <c r="Z1061" s="26">
        <f>IF(B1061="","",IF(O1061&lt;&gt;"",O1061,IF(Y1061&gt;=DepositThreshold,ROUND(Y1061*DepositPercent,2),0)))</f>
        <v>0</v>
      </c>
      <c r="AA1061" s="26">
        <f>IF(B1061="","",ROUND(SUMIFS(Payments!$G$5:$G$1204,Payments!$I$5:$I$1204,A1061,Payments!$E$5:$E$1204,"Deposit"),2))</f>
        <v>0</v>
      </c>
      <c r="AB1061" s="26">
        <f>IF(B1061="","",ROUND(SUMIFS(Sales!$Y$5:$Y$1204,Sales!$C$5:$C$1204,A1061),2))</f>
        <v>0</v>
      </c>
      <c r="AC1061" s="38">
        <f>IF(B1061="","",IF(M1061="Completed","Yes",IF(M1061="Cancelled","Yes",IF(M1061="No show","Yes","No"))))</f>
        <v>0</v>
      </c>
      <c r="AD1061" s="25">
        <f>IF(B1061="","",IF(AE1061="","",B1061-AE1061))</f>
        <v>0</v>
      </c>
      <c r="AF1061" s="38">
        <f>IF(B1061="","",IF(M1061&lt;&gt;"Completed","",IF(E1061="","No",IF(COUNTIFS(Appointments!$E$5:$E$1204,E1061,Appointments!$B$5:$B$1204,"&gt;"&amp;B1061,Appointments!$M$5:$M$1204,"&lt;&gt;Cancelled")&gt;0,"Yes","No"))))</f>
        <v>0</v>
      </c>
      <c r="AG1061" s="38">
        <f>IF(B1061="","",IF(I1061="","",IF(D1061="","",IF(COUNTIFS($I$5:$I$1204,I1061,$B$5:$B$1204,B1061,$D$5:$D$1204,"&lt;"&amp;V1061,$V$5:$V$1204,"&gt;"&amp;D1061,$M$5:$M$1204,"&lt;&gt;Cancelled")&gt;1,"Clash",""))))</f>
        <v>0</v>
      </c>
      <c r="AH1061" s="39">
        <f>IF(B1061="","",IF(AG1061="Clash","Clash - stylist double booked",IF(I1061="","Assign - no stylist yet",IF(G1061="","Add - no service chosen",IF(M1061="No show","No show - charge the fee?",IF(M1061="Cancelled","",IF(IF(M1061="Completed",AB1061&lt;Y1061-0.004,FALSE),"Unpaid - nothing rung up for this visit",IF(IF(B1061&lt;TodayDate,M1061="Booked",FALSE),"Overdue - past date, still only Booked",IF(IF(B1061=TodayDate,TRUE,FALSE),"Today",IF(IF(Z1061&gt;0,AA1061&lt;Z1061-0.004,FALSE),"Due - deposit not taken",IF(IF(B1061&gt;TodayDate,B1061&lt;=TodayDate+2,FALSE),"Confirm - coming up","OK")))))))))))</f>
        <v>0</v>
      </c>
    </row>
    <row r="1062" spans="1:34">
      <c r="A1062" s="28">
        <f>IF(B1062="","",AppointmentPrefix&amp;TEXT(ROW()-4,"0000"))</f>
        <v>0</v>
      </c>
      <c r="C1062" s="15">
        <f>IF(B1062="","",TEXT(B1062,"ddd"))</f>
        <v>0</v>
      </c>
      <c r="F1062" s="15">
        <f>IF(E1062="","",IFERROR(INDEX(Clients!$B$5:$B$504,MATCH(E1062,Clients!$A$5:$A$504,0)),"Walk-in"))</f>
        <v>0</v>
      </c>
      <c r="H1062" s="15">
        <f>IF(G1062="","",IFERROR(INDEX(Services!$B$5:$B$204,MATCH(G1062,Services!$A$5:$A$204,0)),"Not in Services"))</f>
        <v>0</v>
      </c>
      <c r="J1062" s="15">
        <f>IF(I1062="","",IFERROR(INDEX(Staff!$B$5:$B$44,MATCH(I1062,Staff!$A$5:$A$44,0)),"Unassigned"))</f>
        <v>0</v>
      </c>
      <c r="S1062" s="15">
        <f>IF(B1062="","",TEXT(B1062,"yyyy-mm"))</f>
        <v>0</v>
      </c>
      <c r="T1062" s="25">
        <f>IF(B1062="","",WEEKNUM(B1062,2))</f>
        <v>0</v>
      </c>
      <c r="U1062" s="25">
        <f>IF(B1062="","",IF(K1062&lt;&gt;"",K1062,IFERROR(INDEX(Services!$E$5:$E$204,MATCH(G1062,Services!$A$5:$A$204,0))*1,0)+IFERROR(INDEX(Services!$F$5:$F$204,MATCH(G1062,Services!$A$5:$A$204,0))*1,0)))</f>
        <v>0</v>
      </c>
      <c r="V1062" s="36">
        <f>IF(B1062="","",IF(D1062="","",D1062+U1062/1440))</f>
        <v>0</v>
      </c>
      <c r="W1062" s="25">
        <f>IF(B1062="","",IF(D1062="","",HOUR(D1062)))</f>
        <v>0</v>
      </c>
      <c r="X1062" s="37">
        <f>IF(B1062="","",ROUND(U1062/60,2))</f>
        <v>0</v>
      </c>
      <c r="Y1062" s="26">
        <f>IF(B1062="","",IF(L1062&lt;&gt;"",L1062,IFERROR(INDEX(Services!$G$5:$G$204,MATCH(G1062,Services!$A$5:$A$204,0))*1,0)))</f>
        <v>0</v>
      </c>
      <c r="Z1062" s="26">
        <f>IF(B1062="","",IF(O1062&lt;&gt;"",O1062,IF(Y1062&gt;=DepositThreshold,ROUND(Y1062*DepositPercent,2),0)))</f>
        <v>0</v>
      </c>
      <c r="AA1062" s="26">
        <f>IF(B1062="","",ROUND(SUMIFS(Payments!$G$5:$G$1204,Payments!$I$5:$I$1204,A1062,Payments!$E$5:$E$1204,"Deposit"),2))</f>
        <v>0</v>
      </c>
      <c r="AB1062" s="26">
        <f>IF(B1062="","",ROUND(SUMIFS(Sales!$Y$5:$Y$1204,Sales!$C$5:$C$1204,A1062),2))</f>
        <v>0</v>
      </c>
      <c r="AC1062" s="38">
        <f>IF(B1062="","",IF(M1062="Completed","Yes",IF(M1062="Cancelled","Yes",IF(M1062="No show","Yes","No"))))</f>
        <v>0</v>
      </c>
      <c r="AD1062" s="25">
        <f>IF(B1062="","",IF(AE1062="","",B1062-AE1062))</f>
        <v>0</v>
      </c>
      <c r="AF1062" s="38">
        <f>IF(B1062="","",IF(M1062&lt;&gt;"Completed","",IF(E1062="","No",IF(COUNTIFS(Appointments!$E$5:$E$1204,E1062,Appointments!$B$5:$B$1204,"&gt;"&amp;B1062,Appointments!$M$5:$M$1204,"&lt;&gt;Cancelled")&gt;0,"Yes","No"))))</f>
        <v>0</v>
      </c>
      <c r="AG1062" s="38">
        <f>IF(B1062="","",IF(I1062="","",IF(D1062="","",IF(COUNTIFS($I$5:$I$1204,I1062,$B$5:$B$1204,B1062,$D$5:$D$1204,"&lt;"&amp;V1062,$V$5:$V$1204,"&gt;"&amp;D1062,$M$5:$M$1204,"&lt;&gt;Cancelled")&gt;1,"Clash",""))))</f>
        <v>0</v>
      </c>
      <c r="AH1062" s="39">
        <f>IF(B1062="","",IF(AG1062="Clash","Clash - stylist double booked",IF(I1062="","Assign - no stylist yet",IF(G1062="","Add - no service chosen",IF(M1062="No show","No show - charge the fee?",IF(M1062="Cancelled","",IF(IF(M1062="Completed",AB1062&lt;Y1062-0.004,FALSE),"Unpaid - nothing rung up for this visit",IF(IF(B1062&lt;TodayDate,M1062="Booked",FALSE),"Overdue - past date, still only Booked",IF(IF(B1062=TodayDate,TRUE,FALSE),"Today",IF(IF(Z1062&gt;0,AA1062&lt;Z1062-0.004,FALSE),"Due - deposit not taken",IF(IF(B1062&gt;TodayDate,B1062&lt;=TodayDate+2,FALSE),"Confirm - coming up","OK")))))))))))</f>
        <v>0</v>
      </c>
    </row>
    <row r="1063" spans="1:34">
      <c r="A1063" s="28">
        <f>IF(B1063="","",AppointmentPrefix&amp;TEXT(ROW()-4,"0000"))</f>
        <v>0</v>
      </c>
      <c r="C1063" s="15">
        <f>IF(B1063="","",TEXT(B1063,"ddd"))</f>
        <v>0</v>
      </c>
      <c r="F1063" s="15">
        <f>IF(E1063="","",IFERROR(INDEX(Clients!$B$5:$B$504,MATCH(E1063,Clients!$A$5:$A$504,0)),"Walk-in"))</f>
        <v>0</v>
      </c>
      <c r="H1063" s="15">
        <f>IF(G1063="","",IFERROR(INDEX(Services!$B$5:$B$204,MATCH(G1063,Services!$A$5:$A$204,0)),"Not in Services"))</f>
        <v>0</v>
      </c>
      <c r="J1063" s="15">
        <f>IF(I1063="","",IFERROR(INDEX(Staff!$B$5:$B$44,MATCH(I1063,Staff!$A$5:$A$44,0)),"Unassigned"))</f>
        <v>0</v>
      </c>
      <c r="S1063" s="15">
        <f>IF(B1063="","",TEXT(B1063,"yyyy-mm"))</f>
        <v>0</v>
      </c>
      <c r="T1063" s="25">
        <f>IF(B1063="","",WEEKNUM(B1063,2))</f>
        <v>0</v>
      </c>
      <c r="U1063" s="25">
        <f>IF(B1063="","",IF(K1063&lt;&gt;"",K1063,IFERROR(INDEX(Services!$E$5:$E$204,MATCH(G1063,Services!$A$5:$A$204,0))*1,0)+IFERROR(INDEX(Services!$F$5:$F$204,MATCH(G1063,Services!$A$5:$A$204,0))*1,0)))</f>
        <v>0</v>
      </c>
      <c r="V1063" s="36">
        <f>IF(B1063="","",IF(D1063="","",D1063+U1063/1440))</f>
        <v>0</v>
      </c>
      <c r="W1063" s="25">
        <f>IF(B1063="","",IF(D1063="","",HOUR(D1063)))</f>
        <v>0</v>
      </c>
      <c r="X1063" s="37">
        <f>IF(B1063="","",ROUND(U1063/60,2))</f>
        <v>0</v>
      </c>
      <c r="Y1063" s="26">
        <f>IF(B1063="","",IF(L1063&lt;&gt;"",L1063,IFERROR(INDEX(Services!$G$5:$G$204,MATCH(G1063,Services!$A$5:$A$204,0))*1,0)))</f>
        <v>0</v>
      </c>
      <c r="Z1063" s="26">
        <f>IF(B1063="","",IF(O1063&lt;&gt;"",O1063,IF(Y1063&gt;=DepositThreshold,ROUND(Y1063*DepositPercent,2),0)))</f>
        <v>0</v>
      </c>
      <c r="AA1063" s="26">
        <f>IF(B1063="","",ROUND(SUMIFS(Payments!$G$5:$G$1204,Payments!$I$5:$I$1204,A1063,Payments!$E$5:$E$1204,"Deposit"),2))</f>
        <v>0</v>
      </c>
      <c r="AB1063" s="26">
        <f>IF(B1063="","",ROUND(SUMIFS(Sales!$Y$5:$Y$1204,Sales!$C$5:$C$1204,A1063),2))</f>
        <v>0</v>
      </c>
      <c r="AC1063" s="38">
        <f>IF(B1063="","",IF(M1063="Completed","Yes",IF(M1063="Cancelled","Yes",IF(M1063="No show","Yes","No"))))</f>
        <v>0</v>
      </c>
      <c r="AD1063" s="25">
        <f>IF(B1063="","",IF(AE1063="","",B1063-AE1063))</f>
        <v>0</v>
      </c>
      <c r="AF1063" s="38">
        <f>IF(B1063="","",IF(M1063&lt;&gt;"Completed","",IF(E1063="","No",IF(COUNTIFS(Appointments!$E$5:$E$1204,E1063,Appointments!$B$5:$B$1204,"&gt;"&amp;B1063,Appointments!$M$5:$M$1204,"&lt;&gt;Cancelled")&gt;0,"Yes","No"))))</f>
        <v>0</v>
      </c>
      <c r="AG1063" s="38">
        <f>IF(B1063="","",IF(I1063="","",IF(D1063="","",IF(COUNTIFS($I$5:$I$1204,I1063,$B$5:$B$1204,B1063,$D$5:$D$1204,"&lt;"&amp;V1063,$V$5:$V$1204,"&gt;"&amp;D1063,$M$5:$M$1204,"&lt;&gt;Cancelled")&gt;1,"Clash",""))))</f>
        <v>0</v>
      </c>
      <c r="AH1063" s="39">
        <f>IF(B1063="","",IF(AG1063="Clash","Clash - stylist double booked",IF(I1063="","Assign - no stylist yet",IF(G1063="","Add - no service chosen",IF(M1063="No show","No show - charge the fee?",IF(M1063="Cancelled","",IF(IF(M1063="Completed",AB1063&lt;Y1063-0.004,FALSE),"Unpaid - nothing rung up for this visit",IF(IF(B1063&lt;TodayDate,M1063="Booked",FALSE),"Overdue - past date, still only Booked",IF(IF(B1063=TodayDate,TRUE,FALSE),"Today",IF(IF(Z1063&gt;0,AA1063&lt;Z1063-0.004,FALSE),"Due - deposit not taken",IF(IF(B1063&gt;TodayDate,B1063&lt;=TodayDate+2,FALSE),"Confirm - coming up","OK")))))))))))</f>
        <v>0</v>
      </c>
    </row>
    <row r="1064" spans="1:34">
      <c r="A1064" s="28">
        <f>IF(B1064="","",AppointmentPrefix&amp;TEXT(ROW()-4,"0000"))</f>
        <v>0</v>
      </c>
      <c r="C1064" s="15">
        <f>IF(B1064="","",TEXT(B1064,"ddd"))</f>
        <v>0</v>
      </c>
      <c r="F1064" s="15">
        <f>IF(E1064="","",IFERROR(INDEX(Clients!$B$5:$B$504,MATCH(E1064,Clients!$A$5:$A$504,0)),"Walk-in"))</f>
        <v>0</v>
      </c>
      <c r="H1064" s="15">
        <f>IF(G1064="","",IFERROR(INDEX(Services!$B$5:$B$204,MATCH(G1064,Services!$A$5:$A$204,0)),"Not in Services"))</f>
        <v>0</v>
      </c>
      <c r="J1064" s="15">
        <f>IF(I1064="","",IFERROR(INDEX(Staff!$B$5:$B$44,MATCH(I1064,Staff!$A$5:$A$44,0)),"Unassigned"))</f>
        <v>0</v>
      </c>
      <c r="S1064" s="15">
        <f>IF(B1064="","",TEXT(B1064,"yyyy-mm"))</f>
        <v>0</v>
      </c>
      <c r="T1064" s="25">
        <f>IF(B1064="","",WEEKNUM(B1064,2))</f>
        <v>0</v>
      </c>
      <c r="U1064" s="25">
        <f>IF(B1064="","",IF(K1064&lt;&gt;"",K1064,IFERROR(INDEX(Services!$E$5:$E$204,MATCH(G1064,Services!$A$5:$A$204,0))*1,0)+IFERROR(INDEX(Services!$F$5:$F$204,MATCH(G1064,Services!$A$5:$A$204,0))*1,0)))</f>
        <v>0</v>
      </c>
      <c r="V1064" s="36">
        <f>IF(B1064="","",IF(D1064="","",D1064+U1064/1440))</f>
        <v>0</v>
      </c>
      <c r="W1064" s="25">
        <f>IF(B1064="","",IF(D1064="","",HOUR(D1064)))</f>
        <v>0</v>
      </c>
      <c r="X1064" s="37">
        <f>IF(B1064="","",ROUND(U1064/60,2))</f>
        <v>0</v>
      </c>
      <c r="Y1064" s="26">
        <f>IF(B1064="","",IF(L1064&lt;&gt;"",L1064,IFERROR(INDEX(Services!$G$5:$G$204,MATCH(G1064,Services!$A$5:$A$204,0))*1,0)))</f>
        <v>0</v>
      </c>
      <c r="Z1064" s="26">
        <f>IF(B1064="","",IF(O1064&lt;&gt;"",O1064,IF(Y1064&gt;=DepositThreshold,ROUND(Y1064*DepositPercent,2),0)))</f>
        <v>0</v>
      </c>
      <c r="AA1064" s="26">
        <f>IF(B1064="","",ROUND(SUMIFS(Payments!$G$5:$G$1204,Payments!$I$5:$I$1204,A1064,Payments!$E$5:$E$1204,"Deposit"),2))</f>
        <v>0</v>
      </c>
      <c r="AB1064" s="26">
        <f>IF(B1064="","",ROUND(SUMIFS(Sales!$Y$5:$Y$1204,Sales!$C$5:$C$1204,A1064),2))</f>
        <v>0</v>
      </c>
      <c r="AC1064" s="38">
        <f>IF(B1064="","",IF(M1064="Completed","Yes",IF(M1064="Cancelled","Yes",IF(M1064="No show","Yes","No"))))</f>
        <v>0</v>
      </c>
      <c r="AD1064" s="25">
        <f>IF(B1064="","",IF(AE1064="","",B1064-AE1064))</f>
        <v>0</v>
      </c>
      <c r="AF1064" s="38">
        <f>IF(B1064="","",IF(M1064&lt;&gt;"Completed","",IF(E1064="","No",IF(COUNTIFS(Appointments!$E$5:$E$1204,E1064,Appointments!$B$5:$B$1204,"&gt;"&amp;B1064,Appointments!$M$5:$M$1204,"&lt;&gt;Cancelled")&gt;0,"Yes","No"))))</f>
        <v>0</v>
      </c>
      <c r="AG1064" s="38">
        <f>IF(B1064="","",IF(I1064="","",IF(D1064="","",IF(COUNTIFS($I$5:$I$1204,I1064,$B$5:$B$1204,B1064,$D$5:$D$1204,"&lt;"&amp;V1064,$V$5:$V$1204,"&gt;"&amp;D1064,$M$5:$M$1204,"&lt;&gt;Cancelled")&gt;1,"Clash",""))))</f>
        <v>0</v>
      </c>
      <c r="AH1064" s="39">
        <f>IF(B1064="","",IF(AG1064="Clash","Clash - stylist double booked",IF(I1064="","Assign - no stylist yet",IF(G1064="","Add - no service chosen",IF(M1064="No show","No show - charge the fee?",IF(M1064="Cancelled","",IF(IF(M1064="Completed",AB1064&lt;Y1064-0.004,FALSE),"Unpaid - nothing rung up for this visit",IF(IF(B1064&lt;TodayDate,M1064="Booked",FALSE),"Overdue - past date, still only Booked",IF(IF(B1064=TodayDate,TRUE,FALSE),"Today",IF(IF(Z1064&gt;0,AA1064&lt;Z1064-0.004,FALSE),"Due - deposit not taken",IF(IF(B1064&gt;TodayDate,B1064&lt;=TodayDate+2,FALSE),"Confirm - coming up","OK")))))))))))</f>
        <v>0</v>
      </c>
    </row>
    <row r="1065" spans="1:34">
      <c r="A1065" s="28">
        <f>IF(B1065="","",AppointmentPrefix&amp;TEXT(ROW()-4,"0000"))</f>
        <v>0</v>
      </c>
      <c r="C1065" s="15">
        <f>IF(B1065="","",TEXT(B1065,"ddd"))</f>
        <v>0</v>
      </c>
      <c r="F1065" s="15">
        <f>IF(E1065="","",IFERROR(INDEX(Clients!$B$5:$B$504,MATCH(E1065,Clients!$A$5:$A$504,0)),"Walk-in"))</f>
        <v>0</v>
      </c>
      <c r="H1065" s="15">
        <f>IF(G1065="","",IFERROR(INDEX(Services!$B$5:$B$204,MATCH(G1065,Services!$A$5:$A$204,0)),"Not in Services"))</f>
        <v>0</v>
      </c>
      <c r="J1065" s="15">
        <f>IF(I1065="","",IFERROR(INDEX(Staff!$B$5:$B$44,MATCH(I1065,Staff!$A$5:$A$44,0)),"Unassigned"))</f>
        <v>0</v>
      </c>
      <c r="S1065" s="15">
        <f>IF(B1065="","",TEXT(B1065,"yyyy-mm"))</f>
        <v>0</v>
      </c>
      <c r="T1065" s="25">
        <f>IF(B1065="","",WEEKNUM(B1065,2))</f>
        <v>0</v>
      </c>
      <c r="U1065" s="25">
        <f>IF(B1065="","",IF(K1065&lt;&gt;"",K1065,IFERROR(INDEX(Services!$E$5:$E$204,MATCH(G1065,Services!$A$5:$A$204,0))*1,0)+IFERROR(INDEX(Services!$F$5:$F$204,MATCH(G1065,Services!$A$5:$A$204,0))*1,0)))</f>
        <v>0</v>
      </c>
      <c r="V1065" s="36">
        <f>IF(B1065="","",IF(D1065="","",D1065+U1065/1440))</f>
        <v>0</v>
      </c>
      <c r="W1065" s="25">
        <f>IF(B1065="","",IF(D1065="","",HOUR(D1065)))</f>
        <v>0</v>
      </c>
      <c r="X1065" s="37">
        <f>IF(B1065="","",ROUND(U1065/60,2))</f>
        <v>0</v>
      </c>
      <c r="Y1065" s="26">
        <f>IF(B1065="","",IF(L1065&lt;&gt;"",L1065,IFERROR(INDEX(Services!$G$5:$G$204,MATCH(G1065,Services!$A$5:$A$204,0))*1,0)))</f>
        <v>0</v>
      </c>
      <c r="Z1065" s="26">
        <f>IF(B1065="","",IF(O1065&lt;&gt;"",O1065,IF(Y1065&gt;=DepositThreshold,ROUND(Y1065*DepositPercent,2),0)))</f>
        <v>0</v>
      </c>
      <c r="AA1065" s="26">
        <f>IF(B1065="","",ROUND(SUMIFS(Payments!$G$5:$G$1204,Payments!$I$5:$I$1204,A1065,Payments!$E$5:$E$1204,"Deposit"),2))</f>
        <v>0</v>
      </c>
      <c r="AB1065" s="26">
        <f>IF(B1065="","",ROUND(SUMIFS(Sales!$Y$5:$Y$1204,Sales!$C$5:$C$1204,A1065),2))</f>
        <v>0</v>
      </c>
      <c r="AC1065" s="38">
        <f>IF(B1065="","",IF(M1065="Completed","Yes",IF(M1065="Cancelled","Yes",IF(M1065="No show","Yes","No"))))</f>
        <v>0</v>
      </c>
      <c r="AD1065" s="25">
        <f>IF(B1065="","",IF(AE1065="","",B1065-AE1065))</f>
        <v>0</v>
      </c>
      <c r="AF1065" s="38">
        <f>IF(B1065="","",IF(M1065&lt;&gt;"Completed","",IF(E1065="","No",IF(COUNTIFS(Appointments!$E$5:$E$1204,E1065,Appointments!$B$5:$B$1204,"&gt;"&amp;B1065,Appointments!$M$5:$M$1204,"&lt;&gt;Cancelled")&gt;0,"Yes","No"))))</f>
        <v>0</v>
      </c>
      <c r="AG1065" s="38">
        <f>IF(B1065="","",IF(I1065="","",IF(D1065="","",IF(COUNTIFS($I$5:$I$1204,I1065,$B$5:$B$1204,B1065,$D$5:$D$1204,"&lt;"&amp;V1065,$V$5:$V$1204,"&gt;"&amp;D1065,$M$5:$M$1204,"&lt;&gt;Cancelled")&gt;1,"Clash",""))))</f>
        <v>0</v>
      </c>
      <c r="AH1065" s="39">
        <f>IF(B1065="","",IF(AG1065="Clash","Clash - stylist double booked",IF(I1065="","Assign - no stylist yet",IF(G1065="","Add - no service chosen",IF(M1065="No show","No show - charge the fee?",IF(M1065="Cancelled","",IF(IF(M1065="Completed",AB1065&lt;Y1065-0.004,FALSE),"Unpaid - nothing rung up for this visit",IF(IF(B1065&lt;TodayDate,M1065="Booked",FALSE),"Overdue - past date, still only Booked",IF(IF(B1065=TodayDate,TRUE,FALSE),"Today",IF(IF(Z1065&gt;0,AA1065&lt;Z1065-0.004,FALSE),"Due - deposit not taken",IF(IF(B1065&gt;TodayDate,B1065&lt;=TodayDate+2,FALSE),"Confirm - coming up","OK")))))))))))</f>
        <v>0</v>
      </c>
    </row>
    <row r="1066" spans="1:34">
      <c r="A1066" s="28">
        <f>IF(B1066="","",AppointmentPrefix&amp;TEXT(ROW()-4,"0000"))</f>
        <v>0</v>
      </c>
      <c r="C1066" s="15">
        <f>IF(B1066="","",TEXT(B1066,"ddd"))</f>
        <v>0</v>
      </c>
      <c r="F1066" s="15">
        <f>IF(E1066="","",IFERROR(INDEX(Clients!$B$5:$B$504,MATCH(E1066,Clients!$A$5:$A$504,0)),"Walk-in"))</f>
        <v>0</v>
      </c>
      <c r="H1066" s="15">
        <f>IF(G1066="","",IFERROR(INDEX(Services!$B$5:$B$204,MATCH(G1066,Services!$A$5:$A$204,0)),"Not in Services"))</f>
        <v>0</v>
      </c>
      <c r="J1066" s="15">
        <f>IF(I1066="","",IFERROR(INDEX(Staff!$B$5:$B$44,MATCH(I1066,Staff!$A$5:$A$44,0)),"Unassigned"))</f>
        <v>0</v>
      </c>
      <c r="S1066" s="15">
        <f>IF(B1066="","",TEXT(B1066,"yyyy-mm"))</f>
        <v>0</v>
      </c>
      <c r="T1066" s="25">
        <f>IF(B1066="","",WEEKNUM(B1066,2))</f>
        <v>0</v>
      </c>
      <c r="U1066" s="25">
        <f>IF(B1066="","",IF(K1066&lt;&gt;"",K1066,IFERROR(INDEX(Services!$E$5:$E$204,MATCH(G1066,Services!$A$5:$A$204,0))*1,0)+IFERROR(INDEX(Services!$F$5:$F$204,MATCH(G1066,Services!$A$5:$A$204,0))*1,0)))</f>
        <v>0</v>
      </c>
      <c r="V1066" s="36">
        <f>IF(B1066="","",IF(D1066="","",D1066+U1066/1440))</f>
        <v>0</v>
      </c>
      <c r="W1066" s="25">
        <f>IF(B1066="","",IF(D1066="","",HOUR(D1066)))</f>
        <v>0</v>
      </c>
      <c r="X1066" s="37">
        <f>IF(B1066="","",ROUND(U1066/60,2))</f>
        <v>0</v>
      </c>
      <c r="Y1066" s="26">
        <f>IF(B1066="","",IF(L1066&lt;&gt;"",L1066,IFERROR(INDEX(Services!$G$5:$G$204,MATCH(G1066,Services!$A$5:$A$204,0))*1,0)))</f>
        <v>0</v>
      </c>
      <c r="Z1066" s="26">
        <f>IF(B1066="","",IF(O1066&lt;&gt;"",O1066,IF(Y1066&gt;=DepositThreshold,ROUND(Y1066*DepositPercent,2),0)))</f>
        <v>0</v>
      </c>
      <c r="AA1066" s="26">
        <f>IF(B1066="","",ROUND(SUMIFS(Payments!$G$5:$G$1204,Payments!$I$5:$I$1204,A1066,Payments!$E$5:$E$1204,"Deposit"),2))</f>
        <v>0</v>
      </c>
      <c r="AB1066" s="26">
        <f>IF(B1066="","",ROUND(SUMIFS(Sales!$Y$5:$Y$1204,Sales!$C$5:$C$1204,A1066),2))</f>
        <v>0</v>
      </c>
      <c r="AC1066" s="38">
        <f>IF(B1066="","",IF(M1066="Completed","Yes",IF(M1066="Cancelled","Yes",IF(M1066="No show","Yes","No"))))</f>
        <v>0</v>
      </c>
      <c r="AD1066" s="25">
        <f>IF(B1066="","",IF(AE1066="","",B1066-AE1066))</f>
        <v>0</v>
      </c>
      <c r="AF1066" s="38">
        <f>IF(B1066="","",IF(M1066&lt;&gt;"Completed","",IF(E1066="","No",IF(COUNTIFS(Appointments!$E$5:$E$1204,E1066,Appointments!$B$5:$B$1204,"&gt;"&amp;B1066,Appointments!$M$5:$M$1204,"&lt;&gt;Cancelled")&gt;0,"Yes","No"))))</f>
        <v>0</v>
      </c>
      <c r="AG1066" s="38">
        <f>IF(B1066="","",IF(I1066="","",IF(D1066="","",IF(COUNTIFS($I$5:$I$1204,I1066,$B$5:$B$1204,B1066,$D$5:$D$1204,"&lt;"&amp;V1066,$V$5:$V$1204,"&gt;"&amp;D1066,$M$5:$M$1204,"&lt;&gt;Cancelled")&gt;1,"Clash",""))))</f>
        <v>0</v>
      </c>
      <c r="AH1066" s="39">
        <f>IF(B1066="","",IF(AG1066="Clash","Clash - stylist double booked",IF(I1066="","Assign - no stylist yet",IF(G1066="","Add - no service chosen",IF(M1066="No show","No show - charge the fee?",IF(M1066="Cancelled","",IF(IF(M1066="Completed",AB1066&lt;Y1066-0.004,FALSE),"Unpaid - nothing rung up for this visit",IF(IF(B1066&lt;TodayDate,M1066="Booked",FALSE),"Overdue - past date, still only Booked",IF(IF(B1066=TodayDate,TRUE,FALSE),"Today",IF(IF(Z1066&gt;0,AA1066&lt;Z1066-0.004,FALSE),"Due - deposit not taken",IF(IF(B1066&gt;TodayDate,B1066&lt;=TodayDate+2,FALSE),"Confirm - coming up","OK")))))))))))</f>
        <v>0</v>
      </c>
    </row>
    <row r="1067" spans="1:34">
      <c r="A1067" s="28">
        <f>IF(B1067="","",AppointmentPrefix&amp;TEXT(ROW()-4,"0000"))</f>
        <v>0</v>
      </c>
      <c r="C1067" s="15">
        <f>IF(B1067="","",TEXT(B1067,"ddd"))</f>
        <v>0</v>
      </c>
      <c r="F1067" s="15">
        <f>IF(E1067="","",IFERROR(INDEX(Clients!$B$5:$B$504,MATCH(E1067,Clients!$A$5:$A$504,0)),"Walk-in"))</f>
        <v>0</v>
      </c>
      <c r="H1067" s="15">
        <f>IF(G1067="","",IFERROR(INDEX(Services!$B$5:$B$204,MATCH(G1067,Services!$A$5:$A$204,0)),"Not in Services"))</f>
        <v>0</v>
      </c>
      <c r="J1067" s="15">
        <f>IF(I1067="","",IFERROR(INDEX(Staff!$B$5:$B$44,MATCH(I1067,Staff!$A$5:$A$44,0)),"Unassigned"))</f>
        <v>0</v>
      </c>
      <c r="S1067" s="15">
        <f>IF(B1067="","",TEXT(B1067,"yyyy-mm"))</f>
        <v>0</v>
      </c>
      <c r="T1067" s="25">
        <f>IF(B1067="","",WEEKNUM(B1067,2))</f>
        <v>0</v>
      </c>
      <c r="U1067" s="25">
        <f>IF(B1067="","",IF(K1067&lt;&gt;"",K1067,IFERROR(INDEX(Services!$E$5:$E$204,MATCH(G1067,Services!$A$5:$A$204,0))*1,0)+IFERROR(INDEX(Services!$F$5:$F$204,MATCH(G1067,Services!$A$5:$A$204,0))*1,0)))</f>
        <v>0</v>
      </c>
      <c r="V1067" s="36">
        <f>IF(B1067="","",IF(D1067="","",D1067+U1067/1440))</f>
        <v>0</v>
      </c>
      <c r="W1067" s="25">
        <f>IF(B1067="","",IF(D1067="","",HOUR(D1067)))</f>
        <v>0</v>
      </c>
      <c r="X1067" s="37">
        <f>IF(B1067="","",ROUND(U1067/60,2))</f>
        <v>0</v>
      </c>
      <c r="Y1067" s="26">
        <f>IF(B1067="","",IF(L1067&lt;&gt;"",L1067,IFERROR(INDEX(Services!$G$5:$G$204,MATCH(G1067,Services!$A$5:$A$204,0))*1,0)))</f>
        <v>0</v>
      </c>
      <c r="Z1067" s="26">
        <f>IF(B1067="","",IF(O1067&lt;&gt;"",O1067,IF(Y1067&gt;=DepositThreshold,ROUND(Y1067*DepositPercent,2),0)))</f>
        <v>0</v>
      </c>
      <c r="AA1067" s="26">
        <f>IF(B1067="","",ROUND(SUMIFS(Payments!$G$5:$G$1204,Payments!$I$5:$I$1204,A1067,Payments!$E$5:$E$1204,"Deposit"),2))</f>
        <v>0</v>
      </c>
      <c r="AB1067" s="26">
        <f>IF(B1067="","",ROUND(SUMIFS(Sales!$Y$5:$Y$1204,Sales!$C$5:$C$1204,A1067),2))</f>
        <v>0</v>
      </c>
      <c r="AC1067" s="38">
        <f>IF(B1067="","",IF(M1067="Completed","Yes",IF(M1067="Cancelled","Yes",IF(M1067="No show","Yes","No"))))</f>
        <v>0</v>
      </c>
      <c r="AD1067" s="25">
        <f>IF(B1067="","",IF(AE1067="","",B1067-AE1067))</f>
        <v>0</v>
      </c>
      <c r="AF1067" s="38">
        <f>IF(B1067="","",IF(M1067&lt;&gt;"Completed","",IF(E1067="","No",IF(COUNTIFS(Appointments!$E$5:$E$1204,E1067,Appointments!$B$5:$B$1204,"&gt;"&amp;B1067,Appointments!$M$5:$M$1204,"&lt;&gt;Cancelled")&gt;0,"Yes","No"))))</f>
        <v>0</v>
      </c>
      <c r="AG1067" s="38">
        <f>IF(B1067="","",IF(I1067="","",IF(D1067="","",IF(COUNTIFS($I$5:$I$1204,I1067,$B$5:$B$1204,B1067,$D$5:$D$1204,"&lt;"&amp;V1067,$V$5:$V$1204,"&gt;"&amp;D1067,$M$5:$M$1204,"&lt;&gt;Cancelled")&gt;1,"Clash",""))))</f>
        <v>0</v>
      </c>
      <c r="AH1067" s="39">
        <f>IF(B1067="","",IF(AG1067="Clash","Clash - stylist double booked",IF(I1067="","Assign - no stylist yet",IF(G1067="","Add - no service chosen",IF(M1067="No show","No show - charge the fee?",IF(M1067="Cancelled","",IF(IF(M1067="Completed",AB1067&lt;Y1067-0.004,FALSE),"Unpaid - nothing rung up for this visit",IF(IF(B1067&lt;TodayDate,M1067="Booked",FALSE),"Overdue - past date, still only Booked",IF(IF(B1067=TodayDate,TRUE,FALSE),"Today",IF(IF(Z1067&gt;0,AA1067&lt;Z1067-0.004,FALSE),"Due - deposit not taken",IF(IF(B1067&gt;TodayDate,B1067&lt;=TodayDate+2,FALSE),"Confirm - coming up","OK")))))))))))</f>
        <v>0</v>
      </c>
    </row>
    <row r="1068" spans="1:34">
      <c r="A1068" s="28">
        <f>IF(B1068="","",AppointmentPrefix&amp;TEXT(ROW()-4,"0000"))</f>
        <v>0</v>
      </c>
      <c r="C1068" s="15">
        <f>IF(B1068="","",TEXT(B1068,"ddd"))</f>
        <v>0</v>
      </c>
      <c r="F1068" s="15">
        <f>IF(E1068="","",IFERROR(INDEX(Clients!$B$5:$B$504,MATCH(E1068,Clients!$A$5:$A$504,0)),"Walk-in"))</f>
        <v>0</v>
      </c>
      <c r="H1068" s="15">
        <f>IF(G1068="","",IFERROR(INDEX(Services!$B$5:$B$204,MATCH(G1068,Services!$A$5:$A$204,0)),"Not in Services"))</f>
        <v>0</v>
      </c>
      <c r="J1068" s="15">
        <f>IF(I1068="","",IFERROR(INDEX(Staff!$B$5:$B$44,MATCH(I1068,Staff!$A$5:$A$44,0)),"Unassigned"))</f>
        <v>0</v>
      </c>
      <c r="S1068" s="15">
        <f>IF(B1068="","",TEXT(B1068,"yyyy-mm"))</f>
        <v>0</v>
      </c>
      <c r="T1068" s="25">
        <f>IF(B1068="","",WEEKNUM(B1068,2))</f>
        <v>0</v>
      </c>
      <c r="U1068" s="25">
        <f>IF(B1068="","",IF(K1068&lt;&gt;"",K1068,IFERROR(INDEX(Services!$E$5:$E$204,MATCH(G1068,Services!$A$5:$A$204,0))*1,0)+IFERROR(INDEX(Services!$F$5:$F$204,MATCH(G1068,Services!$A$5:$A$204,0))*1,0)))</f>
        <v>0</v>
      </c>
      <c r="V1068" s="36">
        <f>IF(B1068="","",IF(D1068="","",D1068+U1068/1440))</f>
        <v>0</v>
      </c>
      <c r="W1068" s="25">
        <f>IF(B1068="","",IF(D1068="","",HOUR(D1068)))</f>
        <v>0</v>
      </c>
      <c r="X1068" s="37">
        <f>IF(B1068="","",ROUND(U1068/60,2))</f>
        <v>0</v>
      </c>
      <c r="Y1068" s="26">
        <f>IF(B1068="","",IF(L1068&lt;&gt;"",L1068,IFERROR(INDEX(Services!$G$5:$G$204,MATCH(G1068,Services!$A$5:$A$204,0))*1,0)))</f>
        <v>0</v>
      </c>
      <c r="Z1068" s="26">
        <f>IF(B1068="","",IF(O1068&lt;&gt;"",O1068,IF(Y1068&gt;=DepositThreshold,ROUND(Y1068*DepositPercent,2),0)))</f>
        <v>0</v>
      </c>
      <c r="AA1068" s="26">
        <f>IF(B1068="","",ROUND(SUMIFS(Payments!$G$5:$G$1204,Payments!$I$5:$I$1204,A1068,Payments!$E$5:$E$1204,"Deposit"),2))</f>
        <v>0</v>
      </c>
      <c r="AB1068" s="26">
        <f>IF(B1068="","",ROUND(SUMIFS(Sales!$Y$5:$Y$1204,Sales!$C$5:$C$1204,A1068),2))</f>
        <v>0</v>
      </c>
      <c r="AC1068" s="38">
        <f>IF(B1068="","",IF(M1068="Completed","Yes",IF(M1068="Cancelled","Yes",IF(M1068="No show","Yes","No"))))</f>
        <v>0</v>
      </c>
      <c r="AD1068" s="25">
        <f>IF(B1068="","",IF(AE1068="","",B1068-AE1068))</f>
        <v>0</v>
      </c>
      <c r="AF1068" s="38">
        <f>IF(B1068="","",IF(M1068&lt;&gt;"Completed","",IF(E1068="","No",IF(COUNTIFS(Appointments!$E$5:$E$1204,E1068,Appointments!$B$5:$B$1204,"&gt;"&amp;B1068,Appointments!$M$5:$M$1204,"&lt;&gt;Cancelled")&gt;0,"Yes","No"))))</f>
        <v>0</v>
      </c>
      <c r="AG1068" s="38">
        <f>IF(B1068="","",IF(I1068="","",IF(D1068="","",IF(COUNTIFS($I$5:$I$1204,I1068,$B$5:$B$1204,B1068,$D$5:$D$1204,"&lt;"&amp;V1068,$V$5:$V$1204,"&gt;"&amp;D1068,$M$5:$M$1204,"&lt;&gt;Cancelled")&gt;1,"Clash",""))))</f>
        <v>0</v>
      </c>
      <c r="AH1068" s="39">
        <f>IF(B1068="","",IF(AG1068="Clash","Clash - stylist double booked",IF(I1068="","Assign - no stylist yet",IF(G1068="","Add - no service chosen",IF(M1068="No show","No show - charge the fee?",IF(M1068="Cancelled","",IF(IF(M1068="Completed",AB1068&lt;Y1068-0.004,FALSE),"Unpaid - nothing rung up for this visit",IF(IF(B1068&lt;TodayDate,M1068="Booked",FALSE),"Overdue - past date, still only Booked",IF(IF(B1068=TodayDate,TRUE,FALSE),"Today",IF(IF(Z1068&gt;0,AA1068&lt;Z1068-0.004,FALSE),"Due - deposit not taken",IF(IF(B1068&gt;TodayDate,B1068&lt;=TodayDate+2,FALSE),"Confirm - coming up","OK")))))))))))</f>
        <v>0</v>
      </c>
    </row>
    <row r="1069" spans="1:34">
      <c r="A1069" s="28">
        <f>IF(B1069="","",AppointmentPrefix&amp;TEXT(ROW()-4,"0000"))</f>
        <v>0</v>
      </c>
      <c r="C1069" s="15">
        <f>IF(B1069="","",TEXT(B1069,"ddd"))</f>
        <v>0</v>
      </c>
      <c r="F1069" s="15">
        <f>IF(E1069="","",IFERROR(INDEX(Clients!$B$5:$B$504,MATCH(E1069,Clients!$A$5:$A$504,0)),"Walk-in"))</f>
        <v>0</v>
      </c>
      <c r="H1069" s="15">
        <f>IF(G1069="","",IFERROR(INDEX(Services!$B$5:$B$204,MATCH(G1069,Services!$A$5:$A$204,0)),"Not in Services"))</f>
        <v>0</v>
      </c>
      <c r="J1069" s="15">
        <f>IF(I1069="","",IFERROR(INDEX(Staff!$B$5:$B$44,MATCH(I1069,Staff!$A$5:$A$44,0)),"Unassigned"))</f>
        <v>0</v>
      </c>
      <c r="S1069" s="15">
        <f>IF(B1069="","",TEXT(B1069,"yyyy-mm"))</f>
        <v>0</v>
      </c>
      <c r="T1069" s="25">
        <f>IF(B1069="","",WEEKNUM(B1069,2))</f>
        <v>0</v>
      </c>
      <c r="U1069" s="25">
        <f>IF(B1069="","",IF(K1069&lt;&gt;"",K1069,IFERROR(INDEX(Services!$E$5:$E$204,MATCH(G1069,Services!$A$5:$A$204,0))*1,0)+IFERROR(INDEX(Services!$F$5:$F$204,MATCH(G1069,Services!$A$5:$A$204,0))*1,0)))</f>
        <v>0</v>
      </c>
      <c r="V1069" s="36">
        <f>IF(B1069="","",IF(D1069="","",D1069+U1069/1440))</f>
        <v>0</v>
      </c>
      <c r="W1069" s="25">
        <f>IF(B1069="","",IF(D1069="","",HOUR(D1069)))</f>
        <v>0</v>
      </c>
      <c r="X1069" s="37">
        <f>IF(B1069="","",ROUND(U1069/60,2))</f>
        <v>0</v>
      </c>
      <c r="Y1069" s="26">
        <f>IF(B1069="","",IF(L1069&lt;&gt;"",L1069,IFERROR(INDEX(Services!$G$5:$G$204,MATCH(G1069,Services!$A$5:$A$204,0))*1,0)))</f>
        <v>0</v>
      </c>
      <c r="Z1069" s="26">
        <f>IF(B1069="","",IF(O1069&lt;&gt;"",O1069,IF(Y1069&gt;=DepositThreshold,ROUND(Y1069*DepositPercent,2),0)))</f>
        <v>0</v>
      </c>
      <c r="AA1069" s="26">
        <f>IF(B1069="","",ROUND(SUMIFS(Payments!$G$5:$G$1204,Payments!$I$5:$I$1204,A1069,Payments!$E$5:$E$1204,"Deposit"),2))</f>
        <v>0</v>
      </c>
      <c r="AB1069" s="26">
        <f>IF(B1069="","",ROUND(SUMIFS(Sales!$Y$5:$Y$1204,Sales!$C$5:$C$1204,A1069),2))</f>
        <v>0</v>
      </c>
      <c r="AC1069" s="38">
        <f>IF(B1069="","",IF(M1069="Completed","Yes",IF(M1069="Cancelled","Yes",IF(M1069="No show","Yes","No"))))</f>
        <v>0</v>
      </c>
      <c r="AD1069" s="25">
        <f>IF(B1069="","",IF(AE1069="","",B1069-AE1069))</f>
        <v>0</v>
      </c>
      <c r="AF1069" s="38">
        <f>IF(B1069="","",IF(M1069&lt;&gt;"Completed","",IF(E1069="","No",IF(COUNTIFS(Appointments!$E$5:$E$1204,E1069,Appointments!$B$5:$B$1204,"&gt;"&amp;B1069,Appointments!$M$5:$M$1204,"&lt;&gt;Cancelled")&gt;0,"Yes","No"))))</f>
        <v>0</v>
      </c>
      <c r="AG1069" s="38">
        <f>IF(B1069="","",IF(I1069="","",IF(D1069="","",IF(COUNTIFS($I$5:$I$1204,I1069,$B$5:$B$1204,B1069,$D$5:$D$1204,"&lt;"&amp;V1069,$V$5:$V$1204,"&gt;"&amp;D1069,$M$5:$M$1204,"&lt;&gt;Cancelled")&gt;1,"Clash",""))))</f>
        <v>0</v>
      </c>
      <c r="AH1069" s="39">
        <f>IF(B1069="","",IF(AG1069="Clash","Clash - stylist double booked",IF(I1069="","Assign - no stylist yet",IF(G1069="","Add - no service chosen",IF(M1069="No show","No show - charge the fee?",IF(M1069="Cancelled","",IF(IF(M1069="Completed",AB1069&lt;Y1069-0.004,FALSE),"Unpaid - nothing rung up for this visit",IF(IF(B1069&lt;TodayDate,M1069="Booked",FALSE),"Overdue - past date, still only Booked",IF(IF(B1069=TodayDate,TRUE,FALSE),"Today",IF(IF(Z1069&gt;0,AA1069&lt;Z1069-0.004,FALSE),"Due - deposit not taken",IF(IF(B1069&gt;TodayDate,B1069&lt;=TodayDate+2,FALSE),"Confirm - coming up","OK")))))))))))</f>
        <v>0</v>
      </c>
    </row>
    <row r="1070" spans="1:34">
      <c r="A1070" s="28">
        <f>IF(B1070="","",AppointmentPrefix&amp;TEXT(ROW()-4,"0000"))</f>
        <v>0</v>
      </c>
      <c r="C1070" s="15">
        <f>IF(B1070="","",TEXT(B1070,"ddd"))</f>
        <v>0</v>
      </c>
      <c r="F1070" s="15">
        <f>IF(E1070="","",IFERROR(INDEX(Clients!$B$5:$B$504,MATCH(E1070,Clients!$A$5:$A$504,0)),"Walk-in"))</f>
        <v>0</v>
      </c>
      <c r="H1070" s="15">
        <f>IF(G1070="","",IFERROR(INDEX(Services!$B$5:$B$204,MATCH(G1070,Services!$A$5:$A$204,0)),"Not in Services"))</f>
        <v>0</v>
      </c>
      <c r="J1070" s="15">
        <f>IF(I1070="","",IFERROR(INDEX(Staff!$B$5:$B$44,MATCH(I1070,Staff!$A$5:$A$44,0)),"Unassigned"))</f>
        <v>0</v>
      </c>
      <c r="S1070" s="15">
        <f>IF(B1070="","",TEXT(B1070,"yyyy-mm"))</f>
        <v>0</v>
      </c>
      <c r="T1070" s="25">
        <f>IF(B1070="","",WEEKNUM(B1070,2))</f>
        <v>0</v>
      </c>
      <c r="U1070" s="25">
        <f>IF(B1070="","",IF(K1070&lt;&gt;"",K1070,IFERROR(INDEX(Services!$E$5:$E$204,MATCH(G1070,Services!$A$5:$A$204,0))*1,0)+IFERROR(INDEX(Services!$F$5:$F$204,MATCH(G1070,Services!$A$5:$A$204,0))*1,0)))</f>
        <v>0</v>
      </c>
      <c r="V1070" s="36">
        <f>IF(B1070="","",IF(D1070="","",D1070+U1070/1440))</f>
        <v>0</v>
      </c>
      <c r="W1070" s="25">
        <f>IF(B1070="","",IF(D1070="","",HOUR(D1070)))</f>
        <v>0</v>
      </c>
      <c r="X1070" s="37">
        <f>IF(B1070="","",ROUND(U1070/60,2))</f>
        <v>0</v>
      </c>
      <c r="Y1070" s="26">
        <f>IF(B1070="","",IF(L1070&lt;&gt;"",L1070,IFERROR(INDEX(Services!$G$5:$G$204,MATCH(G1070,Services!$A$5:$A$204,0))*1,0)))</f>
        <v>0</v>
      </c>
      <c r="Z1070" s="26">
        <f>IF(B1070="","",IF(O1070&lt;&gt;"",O1070,IF(Y1070&gt;=DepositThreshold,ROUND(Y1070*DepositPercent,2),0)))</f>
        <v>0</v>
      </c>
      <c r="AA1070" s="26">
        <f>IF(B1070="","",ROUND(SUMIFS(Payments!$G$5:$G$1204,Payments!$I$5:$I$1204,A1070,Payments!$E$5:$E$1204,"Deposit"),2))</f>
        <v>0</v>
      </c>
      <c r="AB1070" s="26">
        <f>IF(B1070="","",ROUND(SUMIFS(Sales!$Y$5:$Y$1204,Sales!$C$5:$C$1204,A1070),2))</f>
        <v>0</v>
      </c>
      <c r="AC1070" s="38">
        <f>IF(B1070="","",IF(M1070="Completed","Yes",IF(M1070="Cancelled","Yes",IF(M1070="No show","Yes","No"))))</f>
        <v>0</v>
      </c>
      <c r="AD1070" s="25">
        <f>IF(B1070="","",IF(AE1070="","",B1070-AE1070))</f>
        <v>0</v>
      </c>
      <c r="AF1070" s="38">
        <f>IF(B1070="","",IF(M1070&lt;&gt;"Completed","",IF(E1070="","No",IF(COUNTIFS(Appointments!$E$5:$E$1204,E1070,Appointments!$B$5:$B$1204,"&gt;"&amp;B1070,Appointments!$M$5:$M$1204,"&lt;&gt;Cancelled")&gt;0,"Yes","No"))))</f>
        <v>0</v>
      </c>
      <c r="AG1070" s="38">
        <f>IF(B1070="","",IF(I1070="","",IF(D1070="","",IF(COUNTIFS($I$5:$I$1204,I1070,$B$5:$B$1204,B1070,$D$5:$D$1204,"&lt;"&amp;V1070,$V$5:$V$1204,"&gt;"&amp;D1070,$M$5:$M$1204,"&lt;&gt;Cancelled")&gt;1,"Clash",""))))</f>
        <v>0</v>
      </c>
      <c r="AH1070" s="39">
        <f>IF(B1070="","",IF(AG1070="Clash","Clash - stylist double booked",IF(I1070="","Assign - no stylist yet",IF(G1070="","Add - no service chosen",IF(M1070="No show","No show - charge the fee?",IF(M1070="Cancelled","",IF(IF(M1070="Completed",AB1070&lt;Y1070-0.004,FALSE),"Unpaid - nothing rung up for this visit",IF(IF(B1070&lt;TodayDate,M1070="Booked",FALSE),"Overdue - past date, still only Booked",IF(IF(B1070=TodayDate,TRUE,FALSE),"Today",IF(IF(Z1070&gt;0,AA1070&lt;Z1070-0.004,FALSE),"Due - deposit not taken",IF(IF(B1070&gt;TodayDate,B1070&lt;=TodayDate+2,FALSE),"Confirm - coming up","OK")))))))))))</f>
        <v>0</v>
      </c>
    </row>
    <row r="1071" spans="1:34">
      <c r="A1071" s="28">
        <f>IF(B1071="","",AppointmentPrefix&amp;TEXT(ROW()-4,"0000"))</f>
        <v>0</v>
      </c>
      <c r="C1071" s="15">
        <f>IF(B1071="","",TEXT(B1071,"ddd"))</f>
        <v>0</v>
      </c>
      <c r="F1071" s="15">
        <f>IF(E1071="","",IFERROR(INDEX(Clients!$B$5:$B$504,MATCH(E1071,Clients!$A$5:$A$504,0)),"Walk-in"))</f>
        <v>0</v>
      </c>
      <c r="H1071" s="15">
        <f>IF(G1071="","",IFERROR(INDEX(Services!$B$5:$B$204,MATCH(G1071,Services!$A$5:$A$204,0)),"Not in Services"))</f>
        <v>0</v>
      </c>
      <c r="J1071" s="15">
        <f>IF(I1071="","",IFERROR(INDEX(Staff!$B$5:$B$44,MATCH(I1071,Staff!$A$5:$A$44,0)),"Unassigned"))</f>
        <v>0</v>
      </c>
      <c r="S1071" s="15">
        <f>IF(B1071="","",TEXT(B1071,"yyyy-mm"))</f>
        <v>0</v>
      </c>
      <c r="T1071" s="25">
        <f>IF(B1071="","",WEEKNUM(B1071,2))</f>
        <v>0</v>
      </c>
      <c r="U1071" s="25">
        <f>IF(B1071="","",IF(K1071&lt;&gt;"",K1071,IFERROR(INDEX(Services!$E$5:$E$204,MATCH(G1071,Services!$A$5:$A$204,0))*1,0)+IFERROR(INDEX(Services!$F$5:$F$204,MATCH(G1071,Services!$A$5:$A$204,0))*1,0)))</f>
        <v>0</v>
      </c>
      <c r="V1071" s="36">
        <f>IF(B1071="","",IF(D1071="","",D1071+U1071/1440))</f>
        <v>0</v>
      </c>
      <c r="W1071" s="25">
        <f>IF(B1071="","",IF(D1071="","",HOUR(D1071)))</f>
        <v>0</v>
      </c>
      <c r="X1071" s="37">
        <f>IF(B1071="","",ROUND(U1071/60,2))</f>
        <v>0</v>
      </c>
      <c r="Y1071" s="26">
        <f>IF(B1071="","",IF(L1071&lt;&gt;"",L1071,IFERROR(INDEX(Services!$G$5:$G$204,MATCH(G1071,Services!$A$5:$A$204,0))*1,0)))</f>
        <v>0</v>
      </c>
      <c r="Z1071" s="26">
        <f>IF(B1071="","",IF(O1071&lt;&gt;"",O1071,IF(Y1071&gt;=DepositThreshold,ROUND(Y1071*DepositPercent,2),0)))</f>
        <v>0</v>
      </c>
      <c r="AA1071" s="26">
        <f>IF(B1071="","",ROUND(SUMIFS(Payments!$G$5:$G$1204,Payments!$I$5:$I$1204,A1071,Payments!$E$5:$E$1204,"Deposit"),2))</f>
        <v>0</v>
      </c>
      <c r="AB1071" s="26">
        <f>IF(B1071="","",ROUND(SUMIFS(Sales!$Y$5:$Y$1204,Sales!$C$5:$C$1204,A1071),2))</f>
        <v>0</v>
      </c>
      <c r="AC1071" s="38">
        <f>IF(B1071="","",IF(M1071="Completed","Yes",IF(M1071="Cancelled","Yes",IF(M1071="No show","Yes","No"))))</f>
        <v>0</v>
      </c>
      <c r="AD1071" s="25">
        <f>IF(B1071="","",IF(AE1071="","",B1071-AE1071))</f>
        <v>0</v>
      </c>
      <c r="AF1071" s="38">
        <f>IF(B1071="","",IF(M1071&lt;&gt;"Completed","",IF(E1071="","No",IF(COUNTIFS(Appointments!$E$5:$E$1204,E1071,Appointments!$B$5:$B$1204,"&gt;"&amp;B1071,Appointments!$M$5:$M$1204,"&lt;&gt;Cancelled")&gt;0,"Yes","No"))))</f>
        <v>0</v>
      </c>
      <c r="AG1071" s="38">
        <f>IF(B1071="","",IF(I1071="","",IF(D1071="","",IF(COUNTIFS($I$5:$I$1204,I1071,$B$5:$B$1204,B1071,$D$5:$D$1204,"&lt;"&amp;V1071,$V$5:$V$1204,"&gt;"&amp;D1071,$M$5:$M$1204,"&lt;&gt;Cancelled")&gt;1,"Clash",""))))</f>
        <v>0</v>
      </c>
      <c r="AH1071" s="39">
        <f>IF(B1071="","",IF(AG1071="Clash","Clash - stylist double booked",IF(I1071="","Assign - no stylist yet",IF(G1071="","Add - no service chosen",IF(M1071="No show","No show - charge the fee?",IF(M1071="Cancelled","",IF(IF(M1071="Completed",AB1071&lt;Y1071-0.004,FALSE),"Unpaid - nothing rung up for this visit",IF(IF(B1071&lt;TodayDate,M1071="Booked",FALSE),"Overdue - past date, still only Booked",IF(IF(B1071=TodayDate,TRUE,FALSE),"Today",IF(IF(Z1071&gt;0,AA1071&lt;Z1071-0.004,FALSE),"Due - deposit not taken",IF(IF(B1071&gt;TodayDate,B1071&lt;=TodayDate+2,FALSE),"Confirm - coming up","OK")))))))))))</f>
        <v>0</v>
      </c>
    </row>
    <row r="1072" spans="1:34">
      <c r="A1072" s="28">
        <f>IF(B1072="","",AppointmentPrefix&amp;TEXT(ROW()-4,"0000"))</f>
        <v>0</v>
      </c>
      <c r="C1072" s="15">
        <f>IF(B1072="","",TEXT(B1072,"ddd"))</f>
        <v>0</v>
      </c>
      <c r="F1072" s="15">
        <f>IF(E1072="","",IFERROR(INDEX(Clients!$B$5:$B$504,MATCH(E1072,Clients!$A$5:$A$504,0)),"Walk-in"))</f>
        <v>0</v>
      </c>
      <c r="H1072" s="15">
        <f>IF(G1072="","",IFERROR(INDEX(Services!$B$5:$B$204,MATCH(G1072,Services!$A$5:$A$204,0)),"Not in Services"))</f>
        <v>0</v>
      </c>
      <c r="J1072" s="15">
        <f>IF(I1072="","",IFERROR(INDEX(Staff!$B$5:$B$44,MATCH(I1072,Staff!$A$5:$A$44,0)),"Unassigned"))</f>
        <v>0</v>
      </c>
      <c r="S1072" s="15">
        <f>IF(B1072="","",TEXT(B1072,"yyyy-mm"))</f>
        <v>0</v>
      </c>
      <c r="T1072" s="25">
        <f>IF(B1072="","",WEEKNUM(B1072,2))</f>
        <v>0</v>
      </c>
      <c r="U1072" s="25">
        <f>IF(B1072="","",IF(K1072&lt;&gt;"",K1072,IFERROR(INDEX(Services!$E$5:$E$204,MATCH(G1072,Services!$A$5:$A$204,0))*1,0)+IFERROR(INDEX(Services!$F$5:$F$204,MATCH(G1072,Services!$A$5:$A$204,0))*1,0)))</f>
        <v>0</v>
      </c>
      <c r="V1072" s="36">
        <f>IF(B1072="","",IF(D1072="","",D1072+U1072/1440))</f>
        <v>0</v>
      </c>
      <c r="W1072" s="25">
        <f>IF(B1072="","",IF(D1072="","",HOUR(D1072)))</f>
        <v>0</v>
      </c>
      <c r="X1072" s="37">
        <f>IF(B1072="","",ROUND(U1072/60,2))</f>
        <v>0</v>
      </c>
      <c r="Y1072" s="26">
        <f>IF(B1072="","",IF(L1072&lt;&gt;"",L1072,IFERROR(INDEX(Services!$G$5:$G$204,MATCH(G1072,Services!$A$5:$A$204,0))*1,0)))</f>
        <v>0</v>
      </c>
      <c r="Z1072" s="26">
        <f>IF(B1072="","",IF(O1072&lt;&gt;"",O1072,IF(Y1072&gt;=DepositThreshold,ROUND(Y1072*DepositPercent,2),0)))</f>
        <v>0</v>
      </c>
      <c r="AA1072" s="26">
        <f>IF(B1072="","",ROUND(SUMIFS(Payments!$G$5:$G$1204,Payments!$I$5:$I$1204,A1072,Payments!$E$5:$E$1204,"Deposit"),2))</f>
        <v>0</v>
      </c>
      <c r="AB1072" s="26">
        <f>IF(B1072="","",ROUND(SUMIFS(Sales!$Y$5:$Y$1204,Sales!$C$5:$C$1204,A1072),2))</f>
        <v>0</v>
      </c>
      <c r="AC1072" s="38">
        <f>IF(B1072="","",IF(M1072="Completed","Yes",IF(M1072="Cancelled","Yes",IF(M1072="No show","Yes","No"))))</f>
        <v>0</v>
      </c>
      <c r="AD1072" s="25">
        <f>IF(B1072="","",IF(AE1072="","",B1072-AE1072))</f>
        <v>0</v>
      </c>
      <c r="AF1072" s="38">
        <f>IF(B1072="","",IF(M1072&lt;&gt;"Completed","",IF(E1072="","No",IF(COUNTIFS(Appointments!$E$5:$E$1204,E1072,Appointments!$B$5:$B$1204,"&gt;"&amp;B1072,Appointments!$M$5:$M$1204,"&lt;&gt;Cancelled")&gt;0,"Yes","No"))))</f>
        <v>0</v>
      </c>
      <c r="AG1072" s="38">
        <f>IF(B1072="","",IF(I1072="","",IF(D1072="","",IF(COUNTIFS($I$5:$I$1204,I1072,$B$5:$B$1204,B1072,$D$5:$D$1204,"&lt;"&amp;V1072,$V$5:$V$1204,"&gt;"&amp;D1072,$M$5:$M$1204,"&lt;&gt;Cancelled")&gt;1,"Clash",""))))</f>
        <v>0</v>
      </c>
      <c r="AH1072" s="39">
        <f>IF(B1072="","",IF(AG1072="Clash","Clash - stylist double booked",IF(I1072="","Assign - no stylist yet",IF(G1072="","Add - no service chosen",IF(M1072="No show","No show - charge the fee?",IF(M1072="Cancelled","",IF(IF(M1072="Completed",AB1072&lt;Y1072-0.004,FALSE),"Unpaid - nothing rung up for this visit",IF(IF(B1072&lt;TodayDate,M1072="Booked",FALSE),"Overdue - past date, still only Booked",IF(IF(B1072=TodayDate,TRUE,FALSE),"Today",IF(IF(Z1072&gt;0,AA1072&lt;Z1072-0.004,FALSE),"Due - deposit not taken",IF(IF(B1072&gt;TodayDate,B1072&lt;=TodayDate+2,FALSE),"Confirm - coming up","OK")))))))))))</f>
        <v>0</v>
      </c>
    </row>
    <row r="1073" spans="1:34">
      <c r="A1073" s="28">
        <f>IF(B1073="","",AppointmentPrefix&amp;TEXT(ROW()-4,"0000"))</f>
        <v>0</v>
      </c>
      <c r="C1073" s="15">
        <f>IF(B1073="","",TEXT(B1073,"ddd"))</f>
        <v>0</v>
      </c>
      <c r="F1073" s="15">
        <f>IF(E1073="","",IFERROR(INDEX(Clients!$B$5:$B$504,MATCH(E1073,Clients!$A$5:$A$504,0)),"Walk-in"))</f>
        <v>0</v>
      </c>
      <c r="H1073" s="15">
        <f>IF(G1073="","",IFERROR(INDEX(Services!$B$5:$B$204,MATCH(G1073,Services!$A$5:$A$204,0)),"Not in Services"))</f>
        <v>0</v>
      </c>
      <c r="J1073" s="15">
        <f>IF(I1073="","",IFERROR(INDEX(Staff!$B$5:$B$44,MATCH(I1073,Staff!$A$5:$A$44,0)),"Unassigned"))</f>
        <v>0</v>
      </c>
      <c r="S1073" s="15">
        <f>IF(B1073="","",TEXT(B1073,"yyyy-mm"))</f>
        <v>0</v>
      </c>
      <c r="T1073" s="25">
        <f>IF(B1073="","",WEEKNUM(B1073,2))</f>
        <v>0</v>
      </c>
      <c r="U1073" s="25">
        <f>IF(B1073="","",IF(K1073&lt;&gt;"",K1073,IFERROR(INDEX(Services!$E$5:$E$204,MATCH(G1073,Services!$A$5:$A$204,0))*1,0)+IFERROR(INDEX(Services!$F$5:$F$204,MATCH(G1073,Services!$A$5:$A$204,0))*1,0)))</f>
        <v>0</v>
      </c>
      <c r="V1073" s="36">
        <f>IF(B1073="","",IF(D1073="","",D1073+U1073/1440))</f>
        <v>0</v>
      </c>
      <c r="W1073" s="25">
        <f>IF(B1073="","",IF(D1073="","",HOUR(D1073)))</f>
        <v>0</v>
      </c>
      <c r="X1073" s="37">
        <f>IF(B1073="","",ROUND(U1073/60,2))</f>
        <v>0</v>
      </c>
      <c r="Y1073" s="26">
        <f>IF(B1073="","",IF(L1073&lt;&gt;"",L1073,IFERROR(INDEX(Services!$G$5:$G$204,MATCH(G1073,Services!$A$5:$A$204,0))*1,0)))</f>
        <v>0</v>
      </c>
      <c r="Z1073" s="26">
        <f>IF(B1073="","",IF(O1073&lt;&gt;"",O1073,IF(Y1073&gt;=DepositThreshold,ROUND(Y1073*DepositPercent,2),0)))</f>
        <v>0</v>
      </c>
      <c r="AA1073" s="26">
        <f>IF(B1073="","",ROUND(SUMIFS(Payments!$G$5:$G$1204,Payments!$I$5:$I$1204,A1073,Payments!$E$5:$E$1204,"Deposit"),2))</f>
        <v>0</v>
      </c>
      <c r="AB1073" s="26">
        <f>IF(B1073="","",ROUND(SUMIFS(Sales!$Y$5:$Y$1204,Sales!$C$5:$C$1204,A1073),2))</f>
        <v>0</v>
      </c>
      <c r="AC1073" s="38">
        <f>IF(B1073="","",IF(M1073="Completed","Yes",IF(M1073="Cancelled","Yes",IF(M1073="No show","Yes","No"))))</f>
        <v>0</v>
      </c>
      <c r="AD1073" s="25">
        <f>IF(B1073="","",IF(AE1073="","",B1073-AE1073))</f>
        <v>0</v>
      </c>
      <c r="AF1073" s="38">
        <f>IF(B1073="","",IF(M1073&lt;&gt;"Completed","",IF(E1073="","No",IF(COUNTIFS(Appointments!$E$5:$E$1204,E1073,Appointments!$B$5:$B$1204,"&gt;"&amp;B1073,Appointments!$M$5:$M$1204,"&lt;&gt;Cancelled")&gt;0,"Yes","No"))))</f>
        <v>0</v>
      </c>
      <c r="AG1073" s="38">
        <f>IF(B1073="","",IF(I1073="","",IF(D1073="","",IF(COUNTIFS($I$5:$I$1204,I1073,$B$5:$B$1204,B1073,$D$5:$D$1204,"&lt;"&amp;V1073,$V$5:$V$1204,"&gt;"&amp;D1073,$M$5:$M$1204,"&lt;&gt;Cancelled")&gt;1,"Clash",""))))</f>
        <v>0</v>
      </c>
      <c r="AH1073" s="39">
        <f>IF(B1073="","",IF(AG1073="Clash","Clash - stylist double booked",IF(I1073="","Assign - no stylist yet",IF(G1073="","Add - no service chosen",IF(M1073="No show","No show - charge the fee?",IF(M1073="Cancelled","",IF(IF(M1073="Completed",AB1073&lt;Y1073-0.004,FALSE),"Unpaid - nothing rung up for this visit",IF(IF(B1073&lt;TodayDate,M1073="Booked",FALSE),"Overdue - past date, still only Booked",IF(IF(B1073=TodayDate,TRUE,FALSE),"Today",IF(IF(Z1073&gt;0,AA1073&lt;Z1073-0.004,FALSE),"Due - deposit not taken",IF(IF(B1073&gt;TodayDate,B1073&lt;=TodayDate+2,FALSE),"Confirm - coming up","OK")))))))))))</f>
        <v>0</v>
      </c>
    </row>
    <row r="1074" spans="1:34">
      <c r="A1074" s="28">
        <f>IF(B1074="","",AppointmentPrefix&amp;TEXT(ROW()-4,"0000"))</f>
        <v>0</v>
      </c>
      <c r="C1074" s="15">
        <f>IF(B1074="","",TEXT(B1074,"ddd"))</f>
        <v>0</v>
      </c>
      <c r="F1074" s="15">
        <f>IF(E1074="","",IFERROR(INDEX(Clients!$B$5:$B$504,MATCH(E1074,Clients!$A$5:$A$504,0)),"Walk-in"))</f>
        <v>0</v>
      </c>
      <c r="H1074" s="15">
        <f>IF(G1074="","",IFERROR(INDEX(Services!$B$5:$B$204,MATCH(G1074,Services!$A$5:$A$204,0)),"Not in Services"))</f>
        <v>0</v>
      </c>
      <c r="J1074" s="15">
        <f>IF(I1074="","",IFERROR(INDEX(Staff!$B$5:$B$44,MATCH(I1074,Staff!$A$5:$A$44,0)),"Unassigned"))</f>
        <v>0</v>
      </c>
      <c r="S1074" s="15">
        <f>IF(B1074="","",TEXT(B1074,"yyyy-mm"))</f>
        <v>0</v>
      </c>
      <c r="T1074" s="25">
        <f>IF(B1074="","",WEEKNUM(B1074,2))</f>
        <v>0</v>
      </c>
      <c r="U1074" s="25">
        <f>IF(B1074="","",IF(K1074&lt;&gt;"",K1074,IFERROR(INDEX(Services!$E$5:$E$204,MATCH(G1074,Services!$A$5:$A$204,0))*1,0)+IFERROR(INDEX(Services!$F$5:$F$204,MATCH(G1074,Services!$A$5:$A$204,0))*1,0)))</f>
        <v>0</v>
      </c>
      <c r="V1074" s="36">
        <f>IF(B1074="","",IF(D1074="","",D1074+U1074/1440))</f>
        <v>0</v>
      </c>
      <c r="W1074" s="25">
        <f>IF(B1074="","",IF(D1074="","",HOUR(D1074)))</f>
        <v>0</v>
      </c>
      <c r="X1074" s="37">
        <f>IF(B1074="","",ROUND(U1074/60,2))</f>
        <v>0</v>
      </c>
      <c r="Y1074" s="26">
        <f>IF(B1074="","",IF(L1074&lt;&gt;"",L1074,IFERROR(INDEX(Services!$G$5:$G$204,MATCH(G1074,Services!$A$5:$A$204,0))*1,0)))</f>
        <v>0</v>
      </c>
      <c r="Z1074" s="26">
        <f>IF(B1074="","",IF(O1074&lt;&gt;"",O1074,IF(Y1074&gt;=DepositThreshold,ROUND(Y1074*DepositPercent,2),0)))</f>
        <v>0</v>
      </c>
      <c r="AA1074" s="26">
        <f>IF(B1074="","",ROUND(SUMIFS(Payments!$G$5:$G$1204,Payments!$I$5:$I$1204,A1074,Payments!$E$5:$E$1204,"Deposit"),2))</f>
        <v>0</v>
      </c>
      <c r="AB1074" s="26">
        <f>IF(B1074="","",ROUND(SUMIFS(Sales!$Y$5:$Y$1204,Sales!$C$5:$C$1204,A1074),2))</f>
        <v>0</v>
      </c>
      <c r="AC1074" s="38">
        <f>IF(B1074="","",IF(M1074="Completed","Yes",IF(M1074="Cancelled","Yes",IF(M1074="No show","Yes","No"))))</f>
        <v>0</v>
      </c>
      <c r="AD1074" s="25">
        <f>IF(B1074="","",IF(AE1074="","",B1074-AE1074))</f>
        <v>0</v>
      </c>
      <c r="AF1074" s="38">
        <f>IF(B1074="","",IF(M1074&lt;&gt;"Completed","",IF(E1074="","No",IF(COUNTIFS(Appointments!$E$5:$E$1204,E1074,Appointments!$B$5:$B$1204,"&gt;"&amp;B1074,Appointments!$M$5:$M$1204,"&lt;&gt;Cancelled")&gt;0,"Yes","No"))))</f>
        <v>0</v>
      </c>
      <c r="AG1074" s="38">
        <f>IF(B1074="","",IF(I1074="","",IF(D1074="","",IF(COUNTIFS($I$5:$I$1204,I1074,$B$5:$B$1204,B1074,$D$5:$D$1204,"&lt;"&amp;V1074,$V$5:$V$1204,"&gt;"&amp;D1074,$M$5:$M$1204,"&lt;&gt;Cancelled")&gt;1,"Clash",""))))</f>
        <v>0</v>
      </c>
      <c r="AH1074" s="39">
        <f>IF(B1074="","",IF(AG1074="Clash","Clash - stylist double booked",IF(I1074="","Assign - no stylist yet",IF(G1074="","Add - no service chosen",IF(M1074="No show","No show - charge the fee?",IF(M1074="Cancelled","",IF(IF(M1074="Completed",AB1074&lt;Y1074-0.004,FALSE),"Unpaid - nothing rung up for this visit",IF(IF(B1074&lt;TodayDate,M1074="Booked",FALSE),"Overdue - past date, still only Booked",IF(IF(B1074=TodayDate,TRUE,FALSE),"Today",IF(IF(Z1074&gt;0,AA1074&lt;Z1074-0.004,FALSE),"Due - deposit not taken",IF(IF(B1074&gt;TodayDate,B1074&lt;=TodayDate+2,FALSE),"Confirm - coming up","OK")))))))))))</f>
        <v>0</v>
      </c>
    </row>
    <row r="1075" spans="1:34">
      <c r="A1075" s="28">
        <f>IF(B1075="","",AppointmentPrefix&amp;TEXT(ROW()-4,"0000"))</f>
        <v>0</v>
      </c>
      <c r="C1075" s="15">
        <f>IF(B1075="","",TEXT(B1075,"ddd"))</f>
        <v>0</v>
      </c>
      <c r="F1075" s="15">
        <f>IF(E1075="","",IFERROR(INDEX(Clients!$B$5:$B$504,MATCH(E1075,Clients!$A$5:$A$504,0)),"Walk-in"))</f>
        <v>0</v>
      </c>
      <c r="H1075" s="15">
        <f>IF(G1075="","",IFERROR(INDEX(Services!$B$5:$B$204,MATCH(G1075,Services!$A$5:$A$204,0)),"Not in Services"))</f>
        <v>0</v>
      </c>
      <c r="J1075" s="15">
        <f>IF(I1075="","",IFERROR(INDEX(Staff!$B$5:$B$44,MATCH(I1075,Staff!$A$5:$A$44,0)),"Unassigned"))</f>
        <v>0</v>
      </c>
      <c r="S1075" s="15">
        <f>IF(B1075="","",TEXT(B1075,"yyyy-mm"))</f>
        <v>0</v>
      </c>
      <c r="T1075" s="25">
        <f>IF(B1075="","",WEEKNUM(B1075,2))</f>
        <v>0</v>
      </c>
      <c r="U1075" s="25">
        <f>IF(B1075="","",IF(K1075&lt;&gt;"",K1075,IFERROR(INDEX(Services!$E$5:$E$204,MATCH(G1075,Services!$A$5:$A$204,0))*1,0)+IFERROR(INDEX(Services!$F$5:$F$204,MATCH(G1075,Services!$A$5:$A$204,0))*1,0)))</f>
        <v>0</v>
      </c>
      <c r="V1075" s="36">
        <f>IF(B1075="","",IF(D1075="","",D1075+U1075/1440))</f>
        <v>0</v>
      </c>
      <c r="W1075" s="25">
        <f>IF(B1075="","",IF(D1075="","",HOUR(D1075)))</f>
        <v>0</v>
      </c>
      <c r="X1075" s="37">
        <f>IF(B1075="","",ROUND(U1075/60,2))</f>
        <v>0</v>
      </c>
      <c r="Y1075" s="26">
        <f>IF(B1075="","",IF(L1075&lt;&gt;"",L1075,IFERROR(INDEX(Services!$G$5:$G$204,MATCH(G1075,Services!$A$5:$A$204,0))*1,0)))</f>
        <v>0</v>
      </c>
      <c r="Z1075" s="26">
        <f>IF(B1075="","",IF(O1075&lt;&gt;"",O1075,IF(Y1075&gt;=DepositThreshold,ROUND(Y1075*DepositPercent,2),0)))</f>
        <v>0</v>
      </c>
      <c r="AA1075" s="26">
        <f>IF(B1075="","",ROUND(SUMIFS(Payments!$G$5:$G$1204,Payments!$I$5:$I$1204,A1075,Payments!$E$5:$E$1204,"Deposit"),2))</f>
        <v>0</v>
      </c>
      <c r="AB1075" s="26">
        <f>IF(B1075="","",ROUND(SUMIFS(Sales!$Y$5:$Y$1204,Sales!$C$5:$C$1204,A1075),2))</f>
        <v>0</v>
      </c>
      <c r="AC1075" s="38">
        <f>IF(B1075="","",IF(M1075="Completed","Yes",IF(M1075="Cancelled","Yes",IF(M1075="No show","Yes","No"))))</f>
        <v>0</v>
      </c>
      <c r="AD1075" s="25">
        <f>IF(B1075="","",IF(AE1075="","",B1075-AE1075))</f>
        <v>0</v>
      </c>
      <c r="AF1075" s="38">
        <f>IF(B1075="","",IF(M1075&lt;&gt;"Completed","",IF(E1075="","No",IF(COUNTIFS(Appointments!$E$5:$E$1204,E1075,Appointments!$B$5:$B$1204,"&gt;"&amp;B1075,Appointments!$M$5:$M$1204,"&lt;&gt;Cancelled")&gt;0,"Yes","No"))))</f>
        <v>0</v>
      </c>
      <c r="AG1075" s="38">
        <f>IF(B1075="","",IF(I1075="","",IF(D1075="","",IF(COUNTIFS($I$5:$I$1204,I1075,$B$5:$B$1204,B1075,$D$5:$D$1204,"&lt;"&amp;V1075,$V$5:$V$1204,"&gt;"&amp;D1075,$M$5:$M$1204,"&lt;&gt;Cancelled")&gt;1,"Clash",""))))</f>
        <v>0</v>
      </c>
      <c r="AH1075" s="39">
        <f>IF(B1075="","",IF(AG1075="Clash","Clash - stylist double booked",IF(I1075="","Assign - no stylist yet",IF(G1075="","Add - no service chosen",IF(M1075="No show","No show - charge the fee?",IF(M1075="Cancelled","",IF(IF(M1075="Completed",AB1075&lt;Y1075-0.004,FALSE),"Unpaid - nothing rung up for this visit",IF(IF(B1075&lt;TodayDate,M1075="Booked",FALSE),"Overdue - past date, still only Booked",IF(IF(B1075=TodayDate,TRUE,FALSE),"Today",IF(IF(Z1075&gt;0,AA1075&lt;Z1075-0.004,FALSE),"Due - deposit not taken",IF(IF(B1075&gt;TodayDate,B1075&lt;=TodayDate+2,FALSE),"Confirm - coming up","OK")))))))))))</f>
        <v>0</v>
      </c>
    </row>
    <row r="1076" spans="1:34">
      <c r="A1076" s="28">
        <f>IF(B1076="","",AppointmentPrefix&amp;TEXT(ROW()-4,"0000"))</f>
        <v>0</v>
      </c>
      <c r="C1076" s="15">
        <f>IF(B1076="","",TEXT(B1076,"ddd"))</f>
        <v>0</v>
      </c>
      <c r="F1076" s="15">
        <f>IF(E1076="","",IFERROR(INDEX(Clients!$B$5:$B$504,MATCH(E1076,Clients!$A$5:$A$504,0)),"Walk-in"))</f>
        <v>0</v>
      </c>
      <c r="H1076" s="15">
        <f>IF(G1076="","",IFERROR(INDEX(Services!$B$5:$B$204,MATCH(G1076,Services!$A$5:$A$204,0)),"Not in Services"))</f>
        <v>0</v>
      </c>
      <c r="J1076" s="15">
        <f>IF(I1076="","",IFERROR(INDEX(Staff!$B$5:$B$44,MATCH(I1076,Staff!$A$5:$A$44,0)),"Unassigned"))</f>
        <v>0</v>
      </c>
      <c r="S1076" s="15">
        <f>IF(B1076="","",TEXT(B1076,"yyyy-mm"))</f>
        <v>0</v>
      </c>
      <c r="T1076" s="25">
        <f>IF(B1076="","",WEEKNUM(B1076,2))</f>
        <v>0</v>
      </c>
      <c r="U1076" s="25">
        <f>IF(B1076="","",IF(K1076&lt;&gt;"",K1076,IFERROR(INDEX(Services!$E$5:$E$204,MATCH(G1076,Services!$A$5:$A$204,0))*1,0)+IFERROR(INDEX(Services!$F$5:$F$204,MATCH(G1076,Services!$A$5:$A$204,0))*1,0)))</f>
        <v>0</v>
      </c>
      <c r="V1076" s="36">
        <f>IF(B1076="","",IF(D1076="","",D1076+U1076/1440))</f>
        <v>0</v>
      </c>
      <c r="W1076" s="25">
        <f>IF(B1076="","",IF(D1076="","",HOUR(D1076)))</f>
        <v>0</v>
      </c>
      <c r="X1076" s="37">
        <f>IF(B1076="","",ROUND(U1076/60,2))</f>
        <v>0</v>
      </c>
      <c r="Y1076" s="26">
        <f>IF(B1076="","",IF(L1076&lt;&gt;"",L1076,IFERROR(INDEX(Services!$G$5:$G$204,MATCH(G1076,Services!$A$5:$A$204,0))*1,0)))</f>
        <v>0</v>
      </c>
      <c r="Z1076" s="26">
        <f>IF(B1076="","",IF(O1076&lt;&gt;"",O1076,IF(Y1076&gt;=DepositThreshold,ROUND(Y1076*DepositPercent,2),0)))</f>
        <v>0</v>
      </c>
      <c r="AA1076" s="26">
        <f>IF(B1076="","",ROUND(SUMIFS(Payments!$G$5:$G$1204,Payments!$I$5:$I$1204,A1076,Payments!$E$5:$E$1204,"Deposit"),2))</f>
        <v>0</v>
      </c>
      <c r="AB1076" s="26">
        <f>IF(B1076="","",ROUND(SUMIFS(Sales!$Y$5:$Y$1204,Sales!$C$5:$C$1204,A1076),2))</f>
        <v>0</v>
      </c>
      <c r="AC1076" s="38">
        <f>IF(B1076="","",IF(M1076="Completed","Yes",IF(M1076="Cancelled","Yes",IF(M1076="No show","Yes","No"))))</f>
        <v>0</v>
      </c>
      <c r="AD1076" s="25">
        <f>IF(B1076="","",IF(AE1076="","",B1076-AE1076))</f>
        <v>0</v>
      </c>
      <c r="AF1076" s="38">
        <f>IF(B1076="","",IF(M1076&lt;&gt;"Completed","",IF(E1076="","No",IF(COUNTIFS(Appointments!$E$5:$E$1204,E1076,Appointments!$B$5:$B$1204,"&gt;"&amp;B1076,Appointments!$M$5:$M$1204,"&lt;&gt;Cancelled")&gt;0,"Yes","No"))))</f>
        <v>0</v>
      </c>
      <c r="AG1076" s="38">
        <f>IF(B1076="","",IF(I1076="","",IF(D1076="","",IF(COUNTIFS($I$5:$I$1204,I1076,$B$5:$B$1204,B1076,$D$5:$D$1204,"&lt;"&amp;V1076,$V$5:$V$1204,"&gt;"&amp;D1076,$M$5:$M$1204,"&lt;&gt;Cancelled")&gt;1,"Clash",""))))</f>
        <v>0</v>
      </c>
      <c r="AH1076" s="39">
        <f>IF(B1076="","",IF(AG1076="Clash","Clash - stylist double booked",IF(I1076="","Assign - no stylist yet",IF(G1076="","Add - no service chosen",IF(M1076="No show","No show - charge the fee?",IF(M1076="Cancelled","",IF(IF(M1076="Completed",AB1076&lt;Y1076-0.004,FALSE),"Unpaid - nothing rung up for this visit",IF(IF(B1076&lt;TodayDate,M1076="Booked",FALSE),"Overdue - past date, still only Booked",IF(IF(B1076=TodayDate,TRUE,FALSE),"Today",IF(IF(Z1076&gt;0,AA1076&lt;Z1076-0.004,FALSE),"Due - deposit not taken",IF(IF(B1076&gt;TodayDate,B1076&lt;=TodayDate+2,FALSE),"Confirm - coming up","OK")))))))))))</f>
        <v>0</v>
      </c>
    </row>
    <row r="1077" spans="1:34">
      <c r="A1077" s="28">
        <f>IF(B1077="","",AppointmentPrefix&amp;TEXT(ROW()-4,"0000"))</f>
        <v>0</v>
      </c>
      <c r="C1077" s="15">
        <f>IF(B1077="","",TEXT(B1077,"ddd"))</f>
        <v>0</v>
      </c>
      <c r="F1077" s="15">
        <f>IF(E1077="","",IFERROR(INDEX(Clients!$B$5:$B$504,MATCH(E1077,Clients!$A$5:$A$504,0)),"Walk-in"))</f>
        <v>0</v>
      </c>
      <c r="H1077" s="15">
        <f>IF(G1077="","",IFERROR(INDEX(Services!$B$5:$B$204,MATCH(G1077,Services!$A$5:$A$204,0)),"Not in Services"))</f>
        <v>0</v>
      </c>
      <c r="J1077" s="15">
        <f>IF(I1077="","",IFERROR(INDEX(Staff!$B$5:$B$44,MATCH(I1077,Staff!$A$5:$A$44,0)),"Unassigned"))</f>
        <v>0</v>
      </c>
      <c r="S1077" s="15">
        <f>IF(B1077="","",TEXT(B1077,"yyyy-mm"))</f>
        <v>0</v>
      </c>
      <c r="T1077" s="25">
        <f>IF(B1077="","",WEEKNUM(B1077,2))</f>
        <v>0</v>
      </c>
      <c r="U1077" s="25">
        <f>IF(B1077="","",IF(K1077&lt;&gt;"",K1077,IFERROR(INDEX(Services!$E$5:$E$204,MATCH(G1077,Services!$A$5:$A$204,0))*1,0)+IFERROR(INDEX(Services!$F$5:$F$204,MATCH(G1077,Services!$A$5:$A$204,0))*1,0)))</f>
        <v>0</v>
      </c>
      <c r="V1077" s="36">
        <f>IF(B1077="","",IF(D1077="","",D1077+U1077/1440))</f>
        <v>0</v>
      </c>
      <c r="W1077" s="25">
        <f>IF(B1077="","",IF(D1077="","",HOUR(D1077)))</f>
        <v>0</v>
      </c>
      <c r="X1077" s="37">
        <f>IF(B1077="","",ROUND(U1077/60,2))</f>
        <v>0</v>
      </c>
      <c r="Y1077" s="26">
        <f>IF(B1077="","",IF(L1077&lt;&gt;"",L1077,IFERROR(INDEX(Services!$G$5:$G$204,MATCH(G1077,Services!$A$5:$A$204,0))*1,0)))</f>
        <v>0</v>
      </c>
      <c r="Z1077" s="26">
        <f>IF(B1077="","",IF(O1077&lt;&gt;"",O1077,IF(Y1077&gt;=DepositThreshold,ROUND(Y1077*DepositPercent,2),0)))</f>
        <v>0</v>
      </c>
      <c r="AA1077" s="26">
        <f>IF(B1077="","",ROUND(SUMIFS(Payments!$G$5:$G$1204,Payments!$I$5:$I$1204,A1077,Payments!$E$5:$E$1204,"Deposit"),2))</f>
        <v>0</v>
      </c>
      <c r="AB1077" s="26">
        <f>IF(B1077="","",ROUND(SUMIFS(Sales!$Y$5:$Y$1204,Sales!$C$5:$C$1204,A1077),2))</f>
        <v>0</v>
      </c>
      <c r="AC1077" s="38">
        <f>IF(B1077="","",IF(M1077="Completed","Yes",IF(M1077="Cancelled","Yes",IF(M1077="No show","Yes","No"))))</f>
        <v>0</v>
      </c>
      <c r="AD1077" s="25">
        <f>IF(B1077="","",IF(AE1077="","",B1077-AE1077))</f>
        <v>0</v>
      </c>
      <c r="AF1077" s="38">
        <f>IF(B1077="","",IF(M1077&lt;&gt;"Completed","",IF(E1077="","No",IF(COUNTIFS(Appointments!$E$5:$E$1204,E1077,Appointments!$B$5:$B$1204,"&gt;"&amp;B1077,Appointments!$M$5:$M$1204,"&lt;&gt;Cancelled")&gt;0,"Yes","No"))))</f>
        <v>0</v>
      </c>
      <c r="AG1077" s="38">
        <f>IF(B1077="","",IF(I1077="","",IF(D1077="","",IF(COUNTIFS($I$5:$I$1204,I1077,$B$5:$B$1204,B1077,$D$5:$D$1204,"&lt;"&amp;V1077,$V$5:$V$1204,"&gt;"&amp;D1077,$M$5:$M$1204,"&lt;&gt;Cancelled")&gt;1,"Clash",""))))</f>
        <v>0</v>
      </c>
      <c r="AH1077" s="39">
        <f>IF(B1077="","",IF(AG1077="Clash","Clash - stylist double booked",IF(I1077="","Assign - no stylist yet",IF(G1077="","Add - no service chosen",IF(M1077="No show","No show - charge the fee?",IF(M1077="Cancelled","",IF(IF(M1077="Completed",AB1077&lt;Y1077-0.004,FALSE),"Unpaid - nothing rung up for this visit",IF(IF(B1077&lt;TodayDate,M1077="Booked",FALSE),"Overdue - past date, still only Booked",IF(IF(B1077=TodayDate,TRUE,FALSE),"Today",IF(IF(Z1077&gt;0,AA1077&lt;Z1077-0.004,FALSE),"Due - deposit not taken",IF(IF(B1077&gt;TodayDate,B1077&lt;=TodayDate+2,FALSE),"Confirm - coming up","OK")))))))))))</f>
        <v>0</v>
      </c>
    </row>
    <row r="1078" spans="1:34">
      <c r="A1078" s="28">
        <f>IF(B1078="","",AppointmentPrefix&amp;TEXT(ROW()-4,"0000"))</f>
        <v>0</v>
      </c>
      <c r="C1078" s="15">
        <f>IF(B1078="","",TEXT(B1078,"ddd"))</f>
        <v>0</v>
      </c>
      <c r="F1078" s="15">
        <f>IF(E1078="","",IFERROR(INDEX(Clients!$B$5:$B$504,MATCH(E1078,Clients!$A$5:$A$504,0)),"Walk-in"))</f>
        <v>0</v>
      </c>
      <c r="H1078" s="15">
        <f>IF(G1078="","",IFERROR(INDEX(Services!$B$5:$B$204,MATCH(G1078,Services!$A$5:$A$204,0)),"Not in Services"))</f>
        <v>0</v>
      </c>
      <c r="J1078" s="15">
        <f>IF(I1078="","",IFERROR(INDEX(Staff!$B$5:$B$44,MATCH(I1078,Staff!$A$5:$A$44,0)),"Unassigned"))</f>
        <v>0</v>
      </c>
      <c r="S1078" s="15">
        <f>IF(B1078="","",TEXT(B1078,"yyyy-mm"))</f>
        <v>0</v>
      </c>
      <c r="T1078" s="25">
        <f>IF(B1078="","",WEEKNUM(B1078,2))</f>
        <v>0</v>
      </c>
      <c r="U1078" s="25">
        <f>IF(B1078="","",IF(K1078&lt;&gt;"",K1078,IFERROR(INDEX(Services!$E$5:$E$204,MATCH(G1078,Services!$A$5:$A$204,0))*1,0)+IFERROR(INDEX(Services!$F$5:$F$204,MATCH(G1078,Services!$A$5:$A$204,0))*1,0)))</f>
        <v>0</v>
      </c>
      <c r="V1078" s="36">
        <f>IF(B1078="","",IF(D1078="","",D1078+U1078/1440))</f>
        <v>0</v>
      </c>
      <c r="W1078" s="25">
        <f>IF(B1078="","",IF(D1078="","",HOUR(D1078)))</f>
        <v>0</v>
      </c>
      <c r="X1078" s="37">
        <f>IF(B1078="","",ROUND(U1078/60,2))</f>
        <v>0</v>
      </c>
      <c r="Y1078" s="26">
        <f>IF(B1078="","",IF(L1078&lt;&gt;"",L1078,IFERROR(INDEX(Services!$G$5:$G$204,MATCH(G1078,Services!$A$5:$A$204,0))*1,0)))</f>
        <v>0</v>
      </c>
      <c r="Z1078" s="26">
        <f>IF(B1078="","",IF(O1078&lt;&gt;"",O1078,IF(Y1078&gt;=DepositThreshold,ROUND(Y1078*DepositPercent,2),0)))</f>
        <v>0</v>
      </c>
      <c r="AA1078" s="26">
        <f>IF(B1078="","",ROUND(SUMIFS(Payments!$G$5:$G$1204,Payments!$I$5:$I$1204,A1078,Payments!$E$5:$E$1204,"Deposit"),2))</f>
        <v>0</v>
      </c>
      <c r="AB1078" s="26">
        <f>IF(B1078="","",ROUND(SUMIFS(Sales!$Y$5:$Y$1204,Sales!$C$5:$C$1204,A1078),2))</f>
        <v>0</v>
      </c>
      <c r="AC1078" s="38">
        <f>IF(B1078="","",IF(M1078="Completed","Yes",IF(M1078="Cancelled","Yes",IF(M1078="No show","Yes","No"))))</f>
        <v>0</v>
      </c>
      <c r="AD1078" s="25">
        <f>IF(B1078="","",IF(AE1078="","",B1078-AE1078))</f>
        <v>0</v>
      </c>
      <c r="AF1078" s="38">
        <f>IF(B1078="","",IF(M1078&lt;&gt;"Completed","",IF(E1078="","No",IF(COUNTIFS(Appointments!$E$5:$E$1204,E1078,Appointments!$B$5:$B$1204,"&gt;"&amp;B1078,Appointments!$M$5:$M$1204,"&lt;&gt;Cancelled")&gt;0,"Yes","No"))))</f>
        <v>0</v>
      </c>
      <c r="AG1078" s="38">
        <f>IF(B1078="","",IF(I1078="","",IF(D1078="","",IF(COUNTIFS($I$5:$I$1204,I1078,$B$5:$B$1204,B1078,$D$5:$D$1204,"&lt;"&amp;V1078,$V$5:$V$1204,"&gt;"&amp;D1078,$M$5:$M$1204,"&lt;&gt;Cancelled")&gt;1,"Clash",""))))</f>
        <v>0</v>
      </c>
      <c r="AH1078" s="39">
        <f>IF(B1078="","",IF(AG1078="Clash","Clash - stylist double booked",IF(I1078="","Assign - no stylist yet",IF(G1078="","Add - no service chosen",IF(M1078="No show","No show - charge the fee?",IF(M1078="Cancelled","",IF(IF(M1078="Completed",AB1078&lt;Y1078-0.004,FALSE),"Unpaid - nothing rung up for this visit",IF(IF(B1078&lt;TodayDate,M1078="Booked",FALSE),"Overdue - past date, still only Booked",IF(IF(B1078=TodayDate,TRUE,FALSE),"Today",IF(IF(Z1078&gt;0,AA1078&lt;Z1078-0.004,FALSE),"Due - deposit not taken",IF(IF(B1078&gt;TodayDate,B1078&lt;=TodayDate+2,FALSE),"Confirm - coming up","OK")))))))))))</f>
        <v>0</v>
      </c>
    </row>
    <row r="1079" spans="1:34">
      <c r="A1079" s="28">
        <f>IF(B1079="","",AppointmentPrefix&amp;TEXT(ROW()-4,"0000"))</f>
        <v>0</v>
      </c>
      <c r="C1079" s="15">
        <f>IF(B1079="","",TEXT(B1079,"ddd"))</f>
        <v>0</v>
      </c>
      <c r="F1079" s="15">
        <f>IF(E1079="","",IFERROR(INDEX(Clients!$B$5:$B$504,MATCH(E1079,Clients!$A$5:$A$504,0)),"Walk-in"))</f>
        <v>0</v>
      </c>
      <c r="H1079" s="15">
        <f>IF(G1079="","",IFERROR(INDEX(Services!$B$5:$B$204,MATCH(G1079,Services!$A$5:$A$204,0)),"Not in Services"))</f>
        <v>0</v>
      </c>
      <c r="J1079" s="15">
        <f>IF(I1079="","",IFERROR(INDEX(Staff!$B$5:$B$44,MATCH(I1079,Staff!$A$5:$A$44,0)),"Unassigned"))</f>
        <v>0</v>
      </c>
      <c r="S1079" s="15">
        <f>IF(B1079="","",TEXT(B1079,"yyyy-mm"))</f>
        <v>0</v>
      </c>
      <c r="T1079" s="25">
        <f>IF(B1079="","",WEEKNUM(B1079,2))</f>
        <v>0</v>
      </c>
      <c r="U1079" s="25">
        <f>IF(B1079="","",IF(K1079&lt;&gt;"",K1079,IFERROR(INDEX(Services!$E$5:$E$204,MATCH(G1079,Services!$A$5:$A$204,0))*1,0)+IFERROR(INDEX(Services!$F$5:$F$204,MATCH(G1079,Services!$A$5:$A$204,0))*1,0)))</f>
        <v>0</v>
      </c>
      <c r="V1079" s="36">
        <f>IF(B1079="","",IF(D1079="","",D1079+U1079/1440))</f>
        <v>0</v>
      </c>
      <c r="W1079" s="25">
        <f>IF(B1079="","",IF(D1079="","",HOUR(D1079)))</f>
        <v>0</v>
      </c>
      <c r="X1079" s="37">
        <f>IF(B1079="","",ROUND(U1079/60,2))</f>
        <v>0</v>
      </c>
      <c r="Y1079" s="26">
        <f>IF(B1079="","",IF(L1079&lt;&gt;"",L1079,IFERROR(INDEX(Services!$G$5:$G$204,MATCH(G1079,Services!$A$5:$A$204,0))*1,0)))</f>
        <v>0</v>
      </c>
      <c r="Z1079" s="26">
        <f>IF(B1079="","",IF(O1079&lt;&gt;"",O1079,IF(Y1079&gt;=DepositThreshold,ROUND(Y1079*DepositPercent,2),0)))</f>
        <v>0</v>
      </c>
      <c r="AA1079" s="26">
        <f>IF(B1079="","",ROUND(SUMIFS(Payments!$G$5:$G$1204,Payments!$I$5:$I$1204,A1079,Payments!$E$5:$E$1204,"Deposit"),2))</f>
        <v>0</v>
      </c>
      <c r="AB1079" s="26">
        <f>IF(B1079="","",ROUND(SUMIFS(Sales!$Y$5:$Y$1204,Sales!$C$5:$C$1204,A1079),2))</f>
        <v>0</v>
      </c>
      <c r="AC1079" s="38">
        <f>IF(B1079="","",IF(M1079="Completed","Yes",IF(M1079="Cancelled","Yes",IF(M1079="No show","Yes","No"))))</f>
        <v>0</v>
      </c>
      <c r="AD1079" s="25">
        <f>IF(B1079="","",IF(AE1079="","",B1079-AE1079))</f>
        <v>0</v>
      </c>
      <c r="AF1079" s="38">
        <f>IF(B1079="","",IF(M1079&lt;&gt;"Completed","",IF(E1079="","No",IF(COUNTIFS(Appointments!$E$5:$E$1204,E1079,Appointments!$B$5:$B$1204,"&gt;"&amp;B1079,Appointments!$M$5:$M$1204,"&lt;&gt;Cancelled")&gt;0,"Yes","No"))))</f>
        <v>0</v>
      </c>
      <c r="AG1079" s="38">
        <f>IF(B1079="","",IF(I1079="","",IF(D1079="","",IF(COUNTIFS($I$5:$I$1204,I1079,$B$5:$B$1204,B1079,$D$5:$D$1204,"&lt;"&amp;V1079,$V$5:$V$1204,"&gt;"&amp;D1079,$M$5:$M$1204,"&lt;&gt;Cancelled")&gt;1,"Clash",""))))</f>
        <v>0</v>
      </c>
      <c r="AH1079" s="39">
        <f>IF(B1079="","",IF(AG1079="Clash","Clash - stylist double booked",IF(I1079="","Assign - no stylist yet",IF(G1079="","Add - no service chosen",IF(M1079="No show","No show - charge the fee?",IF(M1079="Cancelled","",IF(IF(M1079="Completed",AB1079&lt;Y1079-0.004,FALSE),"Unpaid - nothing rung up for this visit",IF(IF(B1079&lt;TodayDate,M1079="Booked",FALSE),"Overdue - past date, still only Booked",IF(IF(B1079=TodayDate,TRUE,FALSE),"Today",IF(IF(Z1079&gt;0,AA1079&lt;Z1079-0.004,FALSE),"Due - deposit not taken",IF(IF(B1079&gt;TodayDate,B1079&lt;=TodayDate+2,FALSE),"Confirm - coming up","OK")))))))))))</f>
        <v>0</v>
      </c>
    </row>
    <row r="1080" spans="1:34">
      <c r="A1080" s="28">
        <f>IF(B1080="","",AppointmentPrefix&amp;TEXT(ROW()-4,"0000"))</f>
        <v>0</v>
      </c>
      <c r="C1080" s="15">
        <f>IF(B1080="","",TEXT(B1080,"ddd"))</f>
        <v>0</v>
      </c>
      <c r="F1080" s="15">
        <f>IF(E1080="","",IFERROR(INDEX(Clients!$B$5:$B$504,MATCH(E1080,Clients!$A$5:$A$504,0)),"Walk-in"))</f>
        <v>0</v>
      </c>
      <c r="H1080" s="15">
        <f>IF(G1080="","",IFERROR(INDEX(Services!$B$5:$B$204,MATCH(G1080,Services!$A$5:$A$204,0)),"Not in Services"))</f>
        <v>0</v>
      </c>
      <c r="J1080" s="15">
        <f>IF(I1080="","",IFERROR(INDEX(Staff!$B$5:$B$44,MATCH(I1080,Staff!$A$5:$A$44,0)),"Unassigned"))</f>
        <v>0</v>
      </c>
      <c r="S1080" s="15">
        <f>IF(B1080="","",TEXT(B1080,"yyyy-mm"))</f>
        <v>0</v>
      </c>
      <c r="T1080" s="25">
        <f>IF(B1080="","",WEEKNUM(B1080,2))</f>
        <v>0</v>
      </c>
      <c r="U1080" s="25">
        <f>IF(B1080="","",IF(K1080&lt;&gt;"",K1080,IFERROR(INDEX(Services!$E$5:$E$204,MATCH(G1080,Services!$A$5:$A$204,0))*1,0)+IFERROR(INDEX(Services!$F$5:$F$204,MATCH(G1080,Services!$A$5:$A$204,0))*1,0)))</f>
        <v>0</v>
      </c>
      <c r="V1080" s="36">
        <f>IF(B1080="","",IF(D1080="","",D1080+U1080/1440))</f>
        <v>0</v>
      </c>
      <c r="W1080" s="25">
        <f>IF(B1080="","",IF(D1080="","",HOUR(D1080)))</f>
        <v>0</v>
      </c>
      <c r="X1080" s="37">
        <f>IF(B1080="","",ROUND(U1080/60,2))</f>
        <v>0</v>
      </c>
      <c r="Y1080" s="26">
        <f>IF(B1080="","",IF(L1080&lt;&gt;"",L1080,IFERROR(INDEX(Services!$G$5:$G$204,MATCH(G1080,Services!$A$5:$A$204,0))*1,0)))</f>
        <v>0</v>
      </c>
      <c r="Z1080" s="26">
        <f>IF(B1080="","",IF(O1080&lt;&gt;"",O1080,IF(Y1080&gt;=DepositThreshold,ROUND(Y1080*DepositPercent,2),0)))</f>
        <v>0</v>
      </c>
      <c r="AA1080" s="26">
        <f>IF(B1080="","",ROUND(SUMIFS(Payments!$G$5:$G$1204,Payments!$I$5:$I$1204,A1080,Payments!$E$5:$E$1204,"Deposit"),2))</f>
        <v>0</v>
      </c>
      <c r="AB1080" s="26">
        <f>IF(B1080="","",ROUND(SUMIFS(Sales!$Y$5:$Y$1204,Sales!$C$5:$C$1204,A1080),2))</f>
        <v>0</v>
      </c>
      <c r="AC1080" s="38">
        <f>IF(B1080="","",IF(M1080="Completed","Yes",IF(M1080="Cancelled","Yes",IF(M1080="No show","Yes","No"))))</f>
        <v>0</v>
      </c>
      <c r="AD1080" s="25">
        <f>IF(B1080="","",IF(AE1080="","",B1080-AE1080))</f>
        <v>0</v>
      </c>
      <c r="AF1080" s="38">
        <f>IF(B1080="","",IF(M1080&lt;&gt;"Completed","",IF(E1080="","No",IF(COUNTIFS(Appointments!$E$5:$E$1204,E1080,Appointments!$B$5:$B$1204,"&gt;"&amp;B1080,Appointments!$M$5:$M$1204,"&lt;&gt;Cancelled")&gt;0,"Yes","No"))))</f>
        <v>0</v>
      </c>
      <c r="AG1080" s="38">
        <f>IF(B1080="","",IF(I1080="","",IF(D1080="","",IF(COUNTIFS($I$5:$I$1204,I1080,$B$5:$B$1204,B1080,$D$5:$D$1204,"&lt;"&amp;V1080,$V$5:$V$1204,"&gt;"&amp;D1080,$M$5:$M$1204,"&lt;&gt;Cancelled")&gt;1,"Clash",""))))</f>
        <v>0</v>
      </c>
      <c r="AH1080" s="39">
        <f>IF(B1080="","",IF(AG1080="Clash","Clash - stylist double booked",IF(I1080="","Assign - no stylist yet",IF(G1080="","Add - no service chosen",IF(M1080="No show","No show - charge the fee?",IF(M1080="Cancelled","",IF(IF(M1080="Completed",AB1080&lt;Y1080-0.004,FALSE),"Unpaid - nothing rung up for this visit",IF(IF(B1080&lt;TodayDate,M1080="Booked",FALSE),"Overdue - past date, still only Booked",IF(IF(B1080=TodayDate,TRUE,FALSE),"Today",IF(IF(Z1080&gt;0,AA1080&lt;Z1080-0.004,FALSE),"Due - deposit not taken",IF(IF(B1080&gt;TodayDate,B1080&lt;=TodayDate+2,FALSE),"Confirm - coming up","OK")))))))))))</f>
        <v>0</v>
      </c>
    </row>
    <row r="1081" spans="1:34">
      <c r="A1081" s="28">
        <f>IF(B1081="","",AppointmentPrefix&amp;TEXT(ROW()-4,"0000"))</f>
        <v>0</v>
      </c>
      <c r="C1081" s="15">
        <f>IF(B1081="","",TEXT(B1081,"ddd"))</f>
        <v>0</v>
      </c>
      <c r="F1081" s="15">
        <f>IF(E1081="","",IFERROR(INDEX(Clients!$B$5:$B$504,MATCH(E1081,Clients!$A$5:$A$504,0)),"Walk-in"))</f>
        <v>0</v>
      </c>
      <c r="H1081" s="15">
        <f>IF(G1081="","",IFERROR(INDEX(Services!$B$5:$B$204,MATCH(G1081,Services!$A$5:$A$204,0)),"Not in Services"))</f>
        <v>0</v>
      </c>
      <c r="J1081" s="15">
        <f>IF(I1081="","",IFERROR(INDEX(Staff!$B$5:$B$44,MATCH(I1081,Staff!$A$5:$A$44,0)),"Unassigned"))</f>
        <v>0</v>
      </c>
      <c r="S1081" s="15">
        <f>IF(B1081="","",TEXT(B1081,"yyyy-mm"))</f>
        <v>0</v>
      </c>
      <c r="T1081" s="25">
        <f>IF(B1081="","",WEEKNUM(B1081,2))</f>
        <v>0</v>
      </c>
      <c r="U1081" s="25">
        <f>IF(B1081="","",IF(K1081&lt;&gt;"",K1081,IFERROR(INDEX(Services!$E$5:$E$204,MATCH(G1081,Services!$A$5:$A$204,0))*1,0)+IFERROR(INDEX(Services!$F$5:$F$204,MATCH(G1081,Services!$A$5:$A$204,0))*1,0)))</f>
        <v>0</v>
      </c>
      <c r="V1081" s="36">
        <f>IF(B1081="","",IF(D1081="","",D1081+U1081/1440))</f>
        <v>0</v>
      </c>
      <c r="W1081" s="25">
        <f>IF(B1081="","",IF(D1081="","",HOUR(D1081)))</f>
        <v>0</v>
      </c>
      <c r="X1081" s="37">
        <f>IF(B1081="","",ROUND(U1081/60,2))</f>
        <v>0</v>
      </c>
      <c r="Y1081" s="26">
        <f>IF(B1081="","",IF(L1081&lt;&gt;"",L1081,IFERROR(INDEX(Services!$G$5:$G$204,MATCH(G1081,Services!$A$5:$A$204,0))*1,0)))</f>
        <v>0</v>
      </c>
      <c r="Z1081" s="26">
        <f>IF(B1081="","",IF(O1081&lt;&gt;"",O1081,IF(Y1081&gt;=DepositThreshold,ROUND(Y1081*DepositPercent,2),0)))</f>
        <v>0</v>
      </c>
      <c r="AA1081" s="26">
        <f>IF(B1081="","",ROUND(SUMIFS(Payments!$G$5:$G$1204,Payments!$I$5:$I$1204,A1081,Payments!$E$5:$E$1204,"Deposit"),2))</f>
        <v>0</v>
      </c>
      <c r="AB1081" s="26">
        <f>IF(B1081="","",ROUND(SUMIFS(Sales!$Y$5:$Y$1204,Sales!$C$5:$C$1204,A1081),2))</f>
        <v>0</v>
      </c>
      <c r="AC1081" s="38">
        <f>IF(B1081="","",IF(M1081="Completed","Yes",IF(M1081="Cancelled","Yes",IF(M1081="No show","Yes","No"))))</f>
        <v>0</v>
      </c>
      <c r="AD1081" s="25">
        <f>IF(B1081="","",IF(AE1081="","",B1081-AE1081))</f>
        <v>0</v>
      </c>
      <c r="AF1081" s="38">
        <f>IF(B1081="","",IF(M1081&lt;&gt;"Completed","",IF(E1081="","No",IF(COUNTIFS(Appointments!$E$5:$E$1204,E1081,Appointments!$B$5:$B$1204,"&gt;"&amp;B1081,Appointments!$M$5:$M$1204,"&lt;&gt;Cancelled")&gt;0,"Yes","No"))))</f>
        <v>0</v>
      </c>
      <c r="AG1081" s="38">
        <f>IF(B1081="","",IF(I1081="","",IF(D1081="","",IF(COUNTIFS($I$5:$I$1204,I1081,$B$5:$B$1204,B1081,$D$5:$D$1204,"&lt;"&amp;V1081,$V$5:$V$1204,"&gt;"&amp;D1081,$M$5:$M$1204,"&lt;&gt;Cancelled")&gt;1,"Clash",""))))</f>
        <v>0</v>
      </c>
      <c r="AH1081" s="39">
        <f>IF(B1081="","",IF(AG1081="Clash","Clash - stylist double booked",IF(I1081="","Assign - no stylist yet",IF(G1081="","Add - no service chosen",IF(M1081="No show","No show - charge the fee?",IF(M1081="Cancelled","",IF(IF(M1081="Completed",AB1081&lt;Y1081-0.004,FALSE),"Unpaid - nothing rung up for this visit",IF(IF(B1081&lt;TodayDate,M1081="Booked",FALSE),"Overdue - past date, still only Booked",IF(IF(B1081=TodayDate,TRUE,FALSE),"Today",IF(IF(Z1081&gt;0,AA1081&lt;Z1081-0.004,FALSE),"Due - deposit not taken",IF(IF(B1081&gt;TodayDate,B1081&lt;=TodayDate+2,FALSE),"Confirm - coming up","OK")))))))))))</f>
        <v>0</v>
      </c>
    </row>
    <row r="1082" spans="1:34">
      <c r="A1082" s="28">
        <f>IF(B1082="","",AppointmentPrefix&amp;TEXT(ROW()-4,"0000"))</f>
        <v>0</v>
      </c>
      <c r="C1082" s="15">
        <f>IF(B1082="","",TEXT(B1082,"ddd"))</f>
        <v>0</v>
      </c>
      <c r="F1082" s="15">
        <f>IF(E1082="","",IFERROR(INDEX(Clients!$B$5:$B$504,MATCH(E1082,Clients!$A$5:$A$504,0)),"Walk-in"))</f>
        <v>0</v>
      </c>
      <c r="H1082" s="15">
        <f>IF(G1082="","",IFERROR(INDEX(Services!$B$5:$B$204,MATCH(G1082,Services!$A$5:$A$204,0)),"Not in Services"))</f>
        <v>0</v>
      </c>
      <c r="J1082" s="15">
        <f>IF(I1082="","",IFERROR(INDEX(Staff!$B$5:$B$44,MATCH(I1082,Staff!$A$5:$A$44,0)),"Unassigned"))</f>
        <v>0</v>
      </c>
      <c r="S1082" s="15">
        <f>IF(B1082="","",TEXT(B1082,"yyyy-mm"))</f>
        <v>0</v>
      </c>
      <c r="T1082" s="25">
        <f>IF(B1082="","",WEEKNUM(B1082,2))</f>
        <v>0</v>
      </c>
      <c r="U1082" s="25">
        <f>IF(B1082="","",IF(K1082&lt;&gt;"",K1082,IFERROR(INDEX(Services!$E$5:$E$204,MATCH(G1082,Services!$A$5:$A$204,0))*1,0)+IFERROR(INDEX(Services!$F$5:$F$204,MATCH(G1082,Services!$A$5:$A$204,0))*1,0)))</f>
        <v>0</v>
      </c>
      <c r="V1082" s="36">
        <f>IF(B1082="","",IF(D1082="","",D1082+U1082/1440))</f>
        <v>0</v>
      </c>
      <c r="W1082" s="25">
        <f>IF(B1082="","",IF(D1082="","",HOUR(D1082)))</f>
        <v>0</v>
      </c>
      <c r="X1082" s="37">
        <f>IF(B1082="","",ROUND(U1082/60,2))</f>
        <v>0</v>
      </c>
      <c r="Y1082" s="26">
        <f>IF(B1082="","",IF(L1082&lt;&gt;"",L1082,IFERROR(INDEX(Services!$G$5:$G$204,MATCH(G1082,Services!$A$5:$A$204,0))*1,0)))</f>
        <v>0</v>
      </c>
      <c r="Z1082" s="26">
        <f>IF(B1082="","",IF(O1082&lt;&gt;"",O1082,IF(Y1082&gt;=DepositThreshold,ROUND(Y1082*DepositPercent,2),0)))</f>
        <v>0</v>
      </c>
      <c r="AA1082" s="26">
        <f>IF(B1082="","",ROUND(SUMIFS(Payments!$G$5:$G$1204,Payments!$I$5:$I$1204,A1082,Payments!$E$5:$E$1204,"Deposit"),2))</f>
        <v>0</v>
      </c>
      <c r="AB1082" s="26">
        <f>IF(B1082="","",ROUND(SUMIFS(Sales!$Y$5:$Y$1204,Sales!$C$5:$C$1204,A1082),2))</f>
        <v>0</v>
      </c>
      <c r="AC1082" s="38">
        <f>IF(B1082="","",IF(M1082="Completed","Yes",IF(M1082="Cancelled","Yes",IF(M1082="No show","Yes","No"))))</f>
        <v>0</v>
      </c>
      <c r="AD1082" s="25">
        <f>IF(B1082="","",IF(AE1082="","",B1082-AE1082))</f>
        <v>0</v>
      </c>
      <c r="AF1082" s="38">
        <f>IF(B1082="","",IF(M1082&lt;&gt;"Completed","",IF(E1082="","No",IF(COUNTIFS(Appointments!$E$5:$E$1204,E1082,Appointments!$B$5:$B$1204,"&gt;"&amp;B1082,Appointments!$M$5:$M$1204,"&lt;&gt;Cancelled")&gt;0,"Yes","No"))))</f>
        <v>0</v>
      </c>
      <c r="AG1082" s="38">
        <f>IF(B1082="","",IF(I1082="","",IF(D1082="","",IF(COUNTIFS($I$5:$I$1204,I1082,$B$5:$B$1204,B1082,$D$5:$D$1204,"&lt;"&amp;V1082,$V$5:$V$1204,"&gt;"&amp;D1082,$M$5:$M$1204,"&lt;&gt;Cancelled")&gt;1,"Clash",""))))</f>
        <v>0</v>
      </c>
      <c r="AH1082" s="39">
        <f>IF(B1082="","",IF(AG1082="Clash","Clash - stylist double booked",IF(I1082="","Assign - no stylist yet",IF(G1082="","Add - no service chosen",IF(M1082="No show","No show - charge the fee?",IF(M1082="Cancelled","",IF(IF(M1082="Completed",AB1082&lt;Y1082-0.004,FALSE),"Unpaid - nothing rung up for this visit",IF(IF(B1082&lt;TodayDate,M1082="Booked",FALSE),"Overdue - past date, still only Booked",IF(IF(B1082=TodayDate,TRUE,FALSE),"Today",IF(IF(Z1082&gt;0,AA1082&lt;Z1082-0.004,FALSE),"Due - deposit not taken",IF(IF(B1082&gt;TodayDate,B1082&lt;=TodayDate+2,FALSE),"Confirm - coming up","OK")))))))))))</f>
        <v>0</v>
      </c>
    </row>
    <row r="1083" spans="1:34">
      <c r="A1083" s="28">
        <f>IF(B1083="","",AppointmentPrefix&amp;TEXT(ROW()-4,"0000"))</f>
        <v>0</v>
      </c>
      <c r="C1083" s="15">
        <f>IF(B1083="","",TEXT(B1083,"ddd"))</f>
        <v>0</v>
      </c>
      <c r="F1083" s="15">
        <f>IF(E1083="","",IFERROR(INDEX(Clients!$B$5:$B$504,MATCH(E1083,Clients!$A$5:$A$504,0)),"Walk-in"))</f>
        <v>0</v>
      </c>
      <c r="H1083" s="15">
        <f>IF(G1083="","",IFERROR(INDEX(Services!$B$5:$B$204,MATCH(G1083,Services!$A$5:$A$204,0)),"Not in Services"))</f>
        <v>0</v>
      </c>
      <c r="J1083" s="15">
        <f>IF(I1083="","",IFERROR(INDEX(Staff!$B$5:$B$44,MATCH(I1083,Staff!$A$5:$A$44,0)),"Unassigned"))</f>
        <v>0</v>
      </c>
      <c r="S1083" s="15">
        <f>IF(B1083="","",TEXT(B1083,"yyyy-mm"))</f>
        <v>0</v>
      </c>
      <c r="T1083" s="25">
        <f>IF(B1083="","",WEEKNUM(B1083,2))</f>
        <v>0</v>
      </c>
      <c r="U1083" s="25">
        <f>IF(B1083="","",IF(K1083&lt;&gt;"",K1083,IFERROR(INDEX(Services!$E$5:$E$204,MATCH(G1083,Services!$A$5:$A$204,0))*1,0)+IFERROR(INDEX(Services!$F$5:$F$204,MATCH(G1083,Services!$A$5:$A$204,0))*1,0)))</f>
        <v>0</v>
      </c>
      <c r="V1083" s="36">
        <f>IF(B1083="","",IF(D1083="","",D1083+U1083/1440))</f>
        <v>0</v>
      </c>
      <c r="W1083" s="25">
        <f>IF(B1083="","",IF(D1083="","",HOUR(D1083)))</f>
        <v>0</v>
      </c>
      <c r="X1083" s="37">
        <f>IF(B1083="","",ROUND(U1083/60,2))</f>
        <v>0</v>
      </c>
      <c r="Y1083" s="26">
        <f>IF(B1083="","",IF(L1083&lt;&gt;"",L1083,IFERROR(INDEX(Services!$G$5:$G$204,MATCH(G1083,Services!$A$5:$A$204,0))*1,0)))</f>
        <v>0</v>
      </c>
      <c r="Z1083" s="26">
        <f>IF(B1083="","",IF(O1083&lt;&gt;"",O1083,IF(Y1083&gt;=DepositThreshold,ROUND(Y1083*DepositPercent,2),0)))</f>
        <v>0</v>
      </c>
      <c r="AA1083" s="26">
        <f>IF(B1083="","",ROUND(SUMIFS(Payments!$G$5:$G$1204,Payments!$I$5:$I$1204,A1083,Payments!$E$5:$E$1204,"Deposit"),2))</f>
        <v>0</v>
      </c>
      <c r="AB1083" s="26">
        <f>IF(B1083="","",ROUND(SUMIFS(Sales!$Y$5:$Y$1204,Sales!$C$5:$C$1204,A1083),2))</f>
        <v>0</v>
      </c>
      <c r="AC1083" s="38">
        <f>IF(B1083="","",IF(M1083="Completed","Yes",IF(M1083="Cancelled","Yes",IF(M1083="No show","Yes","No"))))</f>
        <v>0</v>
      </c>
      <c r="AD1083" s="25">
        <f>IF(B1083="","",IF(AE1083="","",B1083-AE1083))</f>
        <v>0</v>
      </c>
      <c r="AF1083" s="38">
        <f>IF(B1083="","",IF(M1083&lt;&gt;"Completed","",IF(E1083="","No",IF(COUNTIFS(Appointments!$E$5:$E$1204,E1083,Appointments!$B$5:$B$1204,"&gt;"&amp;B1083,Appointments!$M$5:$M$1204,"&lt;&gt;Cancelled")&gt;0,"Yes","No"))))</f>
        <v>0</v>
      </c>
      <c r="AG1083" s="38">
        <f>IF(B1083="","",IF(I1083="","",IF(D1083="","",IF(COUNTIFS($I$5:$I$1204,I1083,$B$5:$B$1204,B1083,$D$5:$D$1204,"&lt;"&amp;V1083,$V$5:$V$1204,"&gt;"&amp;D1083,$M$5:$M$1204,"&lt;&gt;Cancelled")&gt;1,"Clash",""))))</f>
        <v>0</v>
      </c>
      <c r="AH1083" s="39">
        <f>IF(B1083="","",IF(AG1083="Clash","Clash - stylist double booked",IF(I1083="","Assign - no stylist yet",IF(G1083="","Add - no service chosen",IF(M1083="No show","No show - charge the fee?",IF(M1083="Cancelled","",IF(IF(M1083="Completed",AB1083&lt;Y1083-0.004,FALSE),"Unpaid - nothing rung up for this visit",IF(IF(B1083&lt;TodayDate,M1083="Booked",FALSE),"Overdue - past date, still only Booked",IF(IF(B1083=TodayDate,TRUE,FALSE),"Today",IF(IF(Z1083&gt;0,AA1083&lt;Z1083-0.004,FALSE),"Due - deposit not taken",IF(IF(B1083&gt;TodayDate,B1083&lt;=TodayDate+2,FALSE),"Confirm - coming up","OK")))))))))))</f>
        <v>0</v>
      </c>
    </row>
    <row r="1084" spans="1:34">
      <c r="A1084" s="28">
        <f>IF(B1084="","",AppointmentPrefix&amp;TEXT(ROW()-4,"0000"))</f>
        <v>0</v>
      </c>
      <c r="C1084" s="15">
        <f>IF(B1084="","",TEXT(B1084,"ddd"))</f>
        <v>0</v>
      </c>
      <c r="F1084" s="15">
        <f>IF(E1084="","",IFERROR(INDEX(Clients!$B$5:$B$504,MATCH(E1084,Clients!$A$5:$A$504,0)),"Walk-in"))</f>
        <v>0</v>
      </c>
      <c r="H1084" s="15">
        <f>IF(G1084="","",IFERROR(INDEX(Services!$B$5:$B$204,MATCH(G1084,Services!$A$5:$A$204,0)),"Not in Services"))</f>
        <v>0</v>
      </c>
      <c r="J1084" s="15">
        <f>IF(I1084="","",IFERROR(INDEX(Staff!$B$5:$B$44,MATCH(I1084,Staff!$A$5:$A$44,0)),"Unassigned"))</f>
        <v>0</v>
      </c>
      <c r="S1084" s="15">
        <f>IF(B1084="","",TEXT(B1084,"yyyy-mm"))</f>
        <v>0</v>
      </c>
      <c r="T1084" s="25">
        <f>IF(B1084="","",WEEKNUM(B1084,2))</f>
        <v>0</v>
      </c>
      <c r="U1084" s="25">
        <f>IF(B1084="","",IF(K1084&lt;&gt;"",K1084,IFERROR(INDEX(Services!$E$5:$E$204,MATCH(G1084,Services!$A$5:$A$204,0))*1,0)+IFERROR(INDEX(Services!$F$5:$F$204,MATCH(G1084,Services!$A$5:$A$204,0))*1,0)))</f>
        <v>0</v>
      </c>
      <c r="V1084" s="36">
        <f>IF(B1084="","",IF(D1084="","",D1084+U1084/1440))</f>
        <v>0</v>
      </c>
      <c r="W1084" s="25">
        <f>IF(B1084="","",IF(D1084="","",HOUR(D1084)))</f>
        <v>0</v>
      </c>
      <c r="X1084" s="37">
        <f>IF(B1084="","",ROUND(U1084/60,2))</f>
        <v>0</v>
      </c>
      <c r="Y1084" s="26">
        <f>IF(B1084="","",IF(L1084&lt;&gt;"",L1084,IFERROR(INDEX(Services!$G$5:$G$204,MATCH(G1084,Services!$A$5:$A$204,0))*1,0)))</f>
        <v>0</v>
      </c>
      <c r="Z1084" s="26">
        <f>IF(B1084="","",IF(O1084&lt;&gt;"",O1084,IF(Y1084&gt;=DepositThreshold,ROUND(Y1084*DepositPercent,2),0)))</f>
        <v>0</v>
      </c>
      <c r="AA1084" s="26">
        <f>IF(B1084="","",ROUND(SUMIFS(Payments!$G$5:$G$1204,Payments!$I$5:$I$1204,A1084,Payments!$E$5:$E$1204,"Deposit"),2))</f>
        <v>0</v>
      </c>
      <c r="AB1084" s="26">
        <f>IF(B1084="","",ROUND(SUMIFS(Sales!$Y$5:$Y$1204,Sales!$C$5:$C$1204,A1084),2))</f>
        <v>0</v>
      </c>
      <c r="AC1084" s="38">
        <f>IF(B1084="","",IF(M1084="Completed","Yes",IF(M1084="Cancelled","Yes",IF(M1084="No show","Yes","No"))))</f>
        <v>0</v>
      </c>
      <c r="AD1084" s="25">
        <f>IF(B1084="","",IF(AE1084="","",B1084-AE1084))</f>
        <v>0</v>
      </c>
      <c r="AF1084" s="38">
        <f>IF(B1084="","",IF(M1084&lt;&gt;"Completed","",IF(E1084="","No",IF(COUNTIFS(Appointments!$E$5:$E$1204,E1084,Appointments!$B$5:$B$1204,"&gt;"&amp;B1084,Appointments!$M$5:$M$1204,"&lt;&gt;Cancelled")&gt;0,"Yes","No"))))</f>
        <v>0</v>
      </c>
      <c r="AG1084" s="38">
        <f>IF(B1084="","",IF(I1084="","",IF(D1084="","",IF(COUNTIFS($I$5:$I$1204,I1084,$B$5:$B$1204,B1084,$D$5:$D$1204,"&lt;"&amp;V1084,$V$5:$V$1204,"&gt;"&amp;D1084,$M$5:$M$1204,"&lt;&gt;Cancelled")&gt;1,"Clash",""))))</f>
        <v>0</v>
      </c>
      <c r="AH1084" s="39">
        <f>IF(B1084="","",IF(AG1084="Clash","Clash - stylist double booked",IF(I1084="","Assign - no stylist yet",IF(G1084="","Add - no service chosen",IF(M1084="No show","No show - charge the fee?",IF(M1084="Cancelled","",IF(IF(M1084="Completed",AB1084&lt;Y1084-0.004,FALSE),"Unpaid - nothing rung up for this visit",IF(IF(B1084&lt;TodayDate,M1084="Booked",FALSE),"Overdue - past date, still only Booked",IF(IF(B1084=TodayDate,TRUE,FALSE),"Today",IF(IF(Z1084&gt;0,AA1084&lt;Z1084-0.004,FALSE),"Due - deposit not taken",IF(IF(B1084&gt;TodayDate,B1084&lt;=TodayDate+2,FALSE),"Confirm - coming up","OK")))))))))))</f>
        <v>0</v>
      </c>
    </row>
    <row r="1085" spans="1:34">
      <c r="A1085" s="28">
        <f>IF(B1085="","",AppointmentPrefix&amp;TEXT(ROW()-4,"0000"))</f>
        <v>0</v>
      </c>
      <c r="C1085" s="15">
        <f>IF(B1085="","",TEXT(B1085,"ddd"))</f>
        <v>0</v>
      </c>
      <c r="F1085" s="15">
        <f>IF(E1085="","",IFERROR(INDEX(Clients!$B$5:$B$504,MATCH(E1085,Clients!$A$5:$A$504,0)),"Walk-in"))</f>
        <v>0</v>
      </c>
      <c r="H1085" s="15">
        <f>IF(G1085="","",IFERROR(INDEX(Services!$B$5:$B$204,MATCH(G1085,Services!$A$5:$A$204,0)),"Not in Services"))</f>
        <v>0</v>
      </c>
      <c r="J1085" s="15">
        <f>IF(I1085="","",IFERROR(INDEX(Staff!$B$5:$B$44,MATCH(I1085,Staff!$A$5:$A$44,0)),"Unassigned"))</f>
        <v>0</v>
      </c>
      <c r="S1085" s="15">
        <f>IF(B1085="","",TEXT(B1085,"yyyy-mm"))</f>
        <v>0</v>
      </c>
      <c r="T1085" s="25">
        <f>IF(B1085="","",WEEKNUM(B1085,2))</f>
        <v>0</v>
      </c>
      <c r="U1085" s="25">
        <f>IF(B1085="","",IF(K1085&lt;&gt;"",K1085,IFERROR(INDEX(Services!$E$5:$E$204,MATCH(G1085,Services!$A$5:$A$204,0))*1,0)+IFERROR(INDEX(Services!$F$5:$F$204,MATCH(G1085,Services!$A$5:$A$204,0))*1,0)))</f>
        <v>0</v>
      </c>
      <c r="V1085" s="36">
        <f>IF(B1085="","",IF(D1085="","",D1085+U1085/1440))</f>
        <v>0</v>
      </c>
      <c r="W1085" s="25">
        <f>IF(B1085="","",IF(D1085="","",HOUR(D1085)))</f>
        <v>0</v>
      </c>
      <c r="X1085" s="37">
        <f>IF(B1085="","",ROUND(U1085/60,2))</f>
        <v>0</v>
      </c>
      <c r="Y1085" s="26">
        <f>IF(B1085="","",IF(L1085&lt;&gt;"",L1085,IFERROR(INDEX(Services!$G$5:$G$204,MATCH(G1085,Services!$A$5:$A$204,0))*1,0)))</f>
        <v>0</v>
      </c>
      <c r="Z1085" s="26">
        <f>IF(B1085="","",IF(O1085&lt;&gt;"",O1085,IF(Y1085&gt;=DepositThreshold,ROUND(Y1085*DepositPercent,2),0)))</f>
        <v>0</v>
      </c>
      <c r="AA1085" s="26">
        <f>IF(B1085="","",ROUND(SUMIFS(Payments!$G$5:$G$1204,Payments!$I$5:$I$1204,A1085,Payments!$E$5:$E$1204,"Deposit"),2))</f>
        <v>0</v>
      </c>
      <c r="AB1085" s="26">
        <f>IF(B1085="","",ROUND(SUMIFS(Sales!$Y$5:$Y$1204,Sales!$C$5:$C$1204,A1085),2))</f>
        <v>0</v>
      </c>
      <c r="AC1085" s="38">
        <f>IF(B1085="","",IF(M1085="Completed","Yes",IF(M1085="Cancelled","Yes",IF(M1085="No show","Yes","No"))))</f>
        <v>0</v>
      </c>
      <c r="AD1085" s="25">
        <f>IF(B1085="","",IF(AE1085="","",B1085-AE1085))</f>
        <v>0</v>
      </c>
      <c r="AF1085" s="38">
        <f>IF(B1085="","",IF(M1085&lt;&gt;"Completed","",IF(E1085="","No",IF(COUNTIFS(Appointments!$E$5:$E$1204,E1085,Appointments!$B$5:$B$1204,"&gt;"&amp;B1085,Appointments!$M$5:$M$1204,"&lt;&gt;Cancelled")&gt;0,"Yes","No"))))</f>
        <v>0</v>
      </c>
      <c r="AG1085" s="38">
        <f>IF(B1085="","",IF(I1085="","",IF(D1085="","",IF(COUNTIFS($I$5:$I$1204,I1085,$B$5:$B$1204,B1085,$D$5:$D$1204,"&lt;"&amp;V1085,$V$5:$V$1204,"&gt;"&amp;D1085,$M$5:$M$1204,"&lt;&gt;Cancelled")&gt;1,"Clash",""))))</f>
        <v>0</v>
      </c>
      <c r="AH1085" s="39">
        <f>IF(B1085="","",IF(AG1085="Clash","Clash - stylist double booked",IF(I1085="","Assign - no stylist yet",IF(G1085="","Add - no service chosen",IF(M1085="No show","No show - charge the fee?",IF(M1085="Cancelled","",IF(IF(M1085="Completed",AB1085&lt;Y1085-0.004,FALSE),"Unpaid - nothing rung up for this visit",IF(IF(B1085&lt;TodayDate,M1085="Booked",FALSE),"Overdue - past date, still only Booked",IF(IF(B1085=TodayDate,TRUE,FALSE),"Today",IF(IF(Z1085&gt;0,AA1085&lt;Z1085-0.004,FALSE),"Due - deposit not taken",IF(IF(B1085&gt;TodayDate,B1085&lt;=TodayDate+2,FALSE),"Confirm - coming up","OK")))))))))))</f>
        <v>0</v>
      </c>
    </row>
    <row r="1086" spans="1:34">
      <c r="A1086" s="28">
        <f>IF(B1086="","",AppointmentPrefix&amp;TEXT(ROW()-4,"0000"))</f>
        <v>0</v>
      </c>
      <c r="C1086" s="15">
        <f>IF(B1086="","",TEXT(B1086,"ddd"))</f>
        <v>0</v>
      </c>
      <c r="F1086" s="15">
        <f>IF(E1086="","",IFERROR(INDEX(Clients!$B$5:$B$504,MATCH(E1086,Clients!$A$5:$A$504,0)),"Walk-in"))</f>
        <v>0</v>
      </c>
      <c r="H1086" s="15">
        <f>IF(G1086="","",IFERROR(INDEX(Services!$B$5:$B$204,MATCH(G1086,Services!$A$5:$A$204,0)),"Not in Services"))</f>
        <v>0</v>
      </c>
      <c r="J1086" s="15">
        <f>IF(I1086="","",IFERROR(INDEX(Staff!$B$5:$B$44,MATCH(I1086,Staff!$A$5:$A$44,0)),"Unassigned"))</f>
        <v>0</v>
      </c>
      <c r="S1086" s="15">
        <f>IF(B1086="","",TEXT(B1086,"yyyy-mm"))</f>
        <v>0</v>
      </c>
      <c r="T1086" s="25">
        <f>IF(B1086="","",WEEKNUM(B1086,2))</f>
        <v>0</v>
      </c>
      <c r="U1086" s="25">
        <f>IF(B1086="","",IF(K1086&lt;&gt;"",K1086,IFERROR(INDEX(Services!$E$5:$E$204,MATCH(G1086,Services!$A$5:$A$204,0))*1,0)+IFERROR(INDEX(Services!$F$5:$F$204,MATCH(G1086,Services!$A$5:$A$204,0))*1,0)))</f>
        <v>0</v>
      </c>
      <c r="V1086" s="36">
        <f>IF(B1086="","",IF(D1086="","",D1086+U1086/1440))</f>
        <v>0</v>
      </c>
      <c r="W1086" s="25">
        <f>IF(B1086="","",IF(D1086="","",HOUR(D1086)))</f>
        <v>0</v>
      </c>
      <c r="X1086" s="37">
        <f>IF(B1086="","",ROUND(U1086/60,2))</f>
        <v>0</v>
      </c>
      <c r="Y1086" s="26">
        <f>IF(B1086="","",IF(L1086&lt;&gt;"",L1086,IFERROR(INDEX(Services!$G$5:$G$204,MATCH(G1086,Services!$A$5:$A$204,0))*1,0)))</f>
        <v>0</v>
      </c>
      <c r="Z1086" s="26">
        <f>IF(B1086="","",IF(O1086&lt;&gt;"",O1086,IF(Y1086&gt;=DepositThreshold,ROUND(Y1086*DepositPercent,2),0)))</f>
        <v>0</v>
      </c>
      <c r="AA1086" s="26">
        <f>IF(B1086="","",ROUND(SUMIFS(Payments!$G$5:$G$1204,Payments!$I$5:$I$1204,A1086,Payments!$E$5:$E$1204,"Deposit"),2))</f>
        <v>0</v>
      </c>
      <c r="AB1086" s="26">
        <f>IF(B1086="","",ROUND(SUMIFS(Sales!$Y$5:$Y$1204,Sales!$C$5:$C$1204,A1086),2))</f>
        <v>0</v>
      </c>
      <c r="AC1086" s="38">
        <f>IF(B1086="","",IF(M1086="Completed","Yes",IF(M1086="Cancelled","Yes",IF(M1086="No show","Yes","No"))))</f>
        <v>0</v>
      </c>
      <c r="AD1086" s="25">
        <f>IF(B1086="","",IF(AE1086="","",B1086-AE1086))</f>
        <v>0</v>
      </c>
      <c r="AF1086" s="38">
        <f>IF(B1086="","",IF(M1086&lt;&gt;"Completed","",IF(E1086="","No",IF(COUNTIFS(Appointments!$E$5:$E$1204,E1086,Appointments!$B$5:$B$1204,"&gt;"&amp;B1086,Appointments!$M$5:$M$1204,"&lt;&gt;Cancelled")&gt;0,"Yes","No"))))</f>
        <v>0</v>
      </c>
      <c r="AG1086" s="38">
        <f>IF(B1086="","",IF(I1086="","",IF(D1086="","",IF(COUNTIFS($I$5:$I$1204,I1086,$B$5:$B$1204,B1086,$D$5:$D$1204,"&lt;"&amp;V1086,$V$5:$V$1204,"&gt;"&amp;D1086,$M$5:$M$1204,"&lt;&gt;Cancelled")&gt;1,"Clash",""))))</f>
        <v>0</v>
      </c>
      <c r="AH1086" s="39">
        <f>IF(B1086="","",IF(AG1086="Clash","Clash - stylist double booked",IF(I1086="","Assign - no stylist yet",IF(G1086="","Add - no service chosen",IF(M1086="No show","No show - charge the fee?",IF(M1086="Cancelled","",IF(IF(M1086="Completed",AB1086&lt;Y1086-0.004,FALSE),"Unpaid - nothing rung up for this visit",IF(IF(B1086&lt;TodayDate,M1086="Booked",FALSE),"Overdue - past date, still only Booked",IF(IF(B1086=TodayDate,TRUE,FALSE),"Today",IF(IF(Z1086&gt;0,AA1086&lt;Z1086-0.004,FALSE),"Due - deposit not taken",IF(IF(B1086&gt;TodayDate,B1086&lt;=TodayDate+2,FALSE),"Confirm - coming up","OK")))))))))))</f>
        <v>0</v>
      </c>
    </row>
    <row r="1087" spans="1:34">
      <c r="A1087" s="28">
        <f>IF(B1087="","",AppointmentPrefix&amp;TEXT(ROW()-4,"0000"))</f>
        <v>0</v>
      </c>
      <c r="C1087" s="15">
        <f>IF(B1087="","",TEXT(B1087,"ddd"))</f>
        <v>0</v>
      </c>
      <c r="F1087" s="15">
        <f>IF(E1087="","",IFERROR(INDEX(Clients!$B$5:$B$504,MATCH(E1087,Clients!$A$5:$A$504,0)),"Walk-in"))</f>
        <v>0</v>
      </c>
      <c r="H1087" s="15">
        <f>IF(G1087="","",IFERROR(INDEX(Services!$B$5:$B$204,MATCH(G1087,Services!$A$5:$A$204,0)),"Not in Services"))</f>
        <v>0</v>
      </c>
      <c r="J1087" s="15">
        <f>IF(I1087="","",IFERROR(INDEX(Staff!$B$5:$B$44,MATCH(I1087,Staff!$A$5:$A$44,0)),"Unassigned"))</f>
        <v>0</v>
      </c>
      <c r="S1087" s="15">
        <f>IF(B1087="","",TEXT(B1087,"yyyy-mm"))</f>
        <v>0</v>
      </c>
      <c r="T1087" s="25">
        <f>IF(B1087="","",WEEKNUM(B1087,2))</f>
        <v>0</v>
      </c>
      <c r="U1087" s="25">
        <f>IF(B1087="","",IF(K1087&lt;&gt;"",K1087,IFERROR(INDEX(Services!$E$5:$E$204,MATCH(G1087,Services!$A$5:$A$204,0))*1,0)+IFERROR(INDEX(Services!$F$5:$F$204,MATCH(G1087,Services!$A$5:$A$204,0))*1,0)))</f>
        <v>0</v>
      </c>
      <c r="V1087" s="36">
        <f>IF(B1087="","",IF(D1087="","",D1087+U1087/1440))</f>
        <v>0</v>
      </c>
      <c r="W1087" s="25">
        <f>IF(B1087="","",IF(D1087="","",HOUR(D1087)))</f>
        <v>0</v>
      </c>
      <c r="X1087" s="37">
        <f>IF(B1087="","",ROUND(U1087/60,2))</f>
        <v>0</v>
      </c>
      <c r="Y1087" s="26">
        <f>IF(B1087="","",IF(L1087&lt;&gt;"",L1087,IFERROR(INDEX(Services!$G$5:$G$204,MATCH(G1087,Services!$A$5:$A$204,0))*1,0)))</f>
        <v>0</v>
      </c>
      <c r="Z1087" s="26">
        <f>IF(B1087="","",IF(O1087&lt;&gt;"",O1087,IF(Y1087&gt;=DepositThreshold,ROUND(Y1087*DepositPercent,2),0)))</f>
        <v>0</v>
      </c>
      <c r="AA1087" s="26">
        <f>IF(B1087="","",ROUND(SUMIFS(Payments!$G$5:$G$1204,Payments!$I$5:$I$1204,A1087,Payments!$E$5:$E$1204,"Deposit"),2))</f>
        <v>0</v>
      </c>
      <c r="AB1087" s="26">
        <f>IF(B1087="","",ROUND(SUMIFS(Sales!$Y$5:$Y$1204,Sales!$C$5:$C$1204,A1087),2))</f>
        <v>0</v>
      </c>
      <c r="AC1087" s="38">
        <f>IF(B1087="","",IF(M1087="Completed","Yes",IF(M1087="Cancelled","Yes",IF(M1087="No show","Yes","No"))))</f>
        <v>0</v>
      </c>
      <c r="AD1087" s="25">
        <f>IF(B1087="","",IF(AE1087="","",B1087-AE1087))</f>
        <v>0</v>
      </c>
      <c r="AF1087" s="38">
        <f>IF(B1087="","",IF(M1087&lt;&gt;"Completed","",IF(E1087="","No",IF(COUNTIFS(Appointments!$E$5:$E$1204,E1087,Appointments!$B$5:$B$1204,"&gt;"&amp;B1087,Appointments!$M$5:$M$1204,"&lt;&gt;Cancelled")&gt;0,"Yes","No"))))</f>
        <v>0</v>
      </c>
      <c r="AG1087" s="38">
        <f>IF(B1087="","",IF(I1087="","",IF(D1087="","",IF(COUNTIFS($I$5:$I$1204,I1087,$B$5:$B$1204,B1087,$D$5:$D$1204,"&lt;"&amp;V1087,$V$5:$V$1204,"&gt;"&amp;D1087,$M$5:$M$1204,"&lt;&gt;Cancelled")&gt;1,"Clash",""))))</f>
        <v>0</v>
      </c>
      <c r="AH1087" s="39">
        <f>IF(B1087="","",IF(AG1087="Clash","Clash - stylist double booked",IF(I1087="","Assign - no stylist yet",IF(G1087="","Add - no service chosen",IF(M1087="No show","No show - charge the fee?",IF(M1087="Cancelled","",IF(IF(M1087="Completed",AB1087&lt;Y1087-0.004,FALSE),"Unpaid - nothing rung up for this visit",IF(IF(B1087&lt;TodayDate,M1087="Booked",FALSE),"Overdue - past date, still only Booked",IF(IF(B1087=TodayDate,TRUE,FALSE),"Today",IF(IF(Z1087&gt;0,AA1087&lt;Z1087-0.004,FALSE),"Due - deposit not taken",IF(IF(B1087&gt;TodayDate,B1087&lt;=TodayDate+2,FALSE),"Confirm - coming up","OK")))))))))))</f>
        <v>0</v>
      </c>
    </row>
    <row r="1088" spans="1:34">
      <c r="A1088" s="28">
        <f>IF(B1088="","",AppointmentPrefix&amp;TEXT(ROW()-4,"0000"))</f>
        <v>0</v>
      </c>
      <c r="C1088" s="15">
        <f>IF(B1088="","",TEXT(B1088,"ddd"))</f>
        <v>0</v>
      </c>
      <c r="F1088" s="15">
        <f>IF(E1088="","",IFERROR(INDEX(Clients!$B$5:$B$504,MATCH(E1088,Clients!$A$5:$A$504,0)),"Walk-in"))</f>
        <v>0</v>
      </c>
      <c r="H1088" s="15">
        <f>IF(G1088="","",IFERROR(INDEX(Services!$B$5:$B$204,MATCH(G1088,Services!$A$5:$A$204,0)),"Not in Services"))</f>
        <v>0</v>
      </c>
      <c r="J1088" s="15">
        <f>IF(I1088="","",IFERROR(INDEX(Staff!$B$5:$B$44,MATCH(I1088,Staff!$A$5:$A$44,0)),"Unassigned"))</f>
        <v>0</v>
      </c>
      <c r="S1088" s="15">
        <f>IF(B1088="","",TEXT(B1088,"yyyy-mm"))</f>
        <v>0</v>
      </c>
      <c r="T1088" s="25">
        <f>IF(B1088="","",WEEKNUM(B1088,2))</f>
        <v>0</v>
      </c>
      <c r="U1088" s="25">
        <f>IF(B1088="","",IF(K1088&lt;&gt;"",K1088,IFERROR(INDEX(Services!$E$5:$E$204,MATCH(G1088,Services!$A$5:$A$204,0))*1,0)+IFERROR(INDEX(Services!$F$5:$F$204,MATCH(G1088,Services!$A$5:$A$204,0))*1,0)))</f>
        <v>0</v>
      </c>
      <c r="V1088" s="36">
        <f>IF(B1088="","",IF(D1088="","",D1088+U1088/1440))</f>
        <v>0</v>
      </c>
      <c r="W1088" s="25">
        <f>IF(B1088="","",IF(D1088="","",HOUR(D1088)))</f>
        <v>0</v>
      </c>
      <c r="X1088" s="37">
        <f>IF(B1088="","",ROUND(U1088/60,2))</f>
        <v>0</v>
      </c>
      <c r="Y1088" s="26">
        <f>IF(B1088="","",IF(L1088&lt;&gt;"",L1088,IFERROR(INDEX(Services!$G$5:$G$204,MATCH(G1088,Services!$A$5:$A$204,0))*1,0)))</f>
        <v>0</v>
      </c>
      <c r="Z1088" s="26">
        <f>IF(B1088="","",IF(O1088&lt;&gt;"",O1088,IF(Y1088&gt;=DepositThreshold,ROUND(Y1088*DepositPercent,2),0)))</f>
        <v>0</v>
      </c>
      <c r="AA1088" s="26">
        <f>IF(B1088="","",ROUND(SUMIFS(Payments!$G$5:$G$1204,Payments!$I$5:$I$1204,A1088,Payments!$E$5:$E$1204,"Deposit"),2))</f>
        <v>0</v>
      </c>
      <c r="AB1088" s="26">
        <f>IF(B1088="","",ROUND(SUMIFS(Sales!$Y$5:$Y$1204,Sales!$C$5:$C$1204,A1088),2))</f>
        <v>0</v>
      </c>
      <c r="AC1088" s="38">
        <f>IF(B1088="","",IF(M1088="Completed","Yes",IF(M1088="Cancelled","Yes",IF(M1088="No show","Yes","No"))))</f>
        <v>0</v>
      </c>
      <c r="AD1088" s="25">
        <f>IF(B1088="","",IF(AE1088="","",B1088-AE1088))</f>
        <v>0</v>
      </c>
      <c r="AF1088" s="38">
        <f>IF(B1088="","",IF(M1088&lt;&gt;"Completed","",IF(E1088="","No",IF(COUNTIFS(Appointments!$E$5:$E$1204,E1088,Appointments!$B$5:$B$1204,"&gt;"&amp;B1088,Appointments!$M$5:$M$1204,"&lt;&gt;Cancelled")&gt;0,"Yes","No"))))</f>
        <v>0</v>
      </c>
      <c r="AG1088" s="38">
        <f>IF(B1088="","",IF(I1088="","",IF(D1088="","",IF(COUNTIFS($I$5:$I$1204,I1088,$B$5:$B$1204,B1088,$D$5:$D$1204,"&lt;"&amp;V1088,$V$5:$V$1204,"&gt;"&amp;D1088,$M$5:$M$1204,"&lt;&gt;Cancelled")&gt;1,"Clash",""))))</f>
        <v>0</v>
      </c>
      <c r="AH1088" s="39">
        <f>IF(B1088="","",IF(AG1088="Clash","Clash - stylist double booked",IF(I1088="","Assign - no stylist yet",IF(G1088="","Add - no service chosen",IF(M1088="No show","No show - charge the fee?",IF(M1088="Cancelled","",IF(IF(M1088="Completed",AB1088&lt;Y1088-0.004,FALSE),"Unpaid - nothing rung up for this visit",IF(IF(B1088&lt;TodayDate,M1088="Booked",FALSE),"Overdue - past date, still only Booked",IF(IF(B1088=TodayDate,TRUE,FALSE),"Today",IF(IF(Z1088&gt;0,AA1088&lt;Z1088-0.004,FALSE),"Due - deposit not taken",IF(IF(B1088&gt;TodayDate,B1088&lt;=TodayDate+2,FALSE),"Confirm - coming up","OK")))))))))))</f>
        <v>0</v>
      </c>
    </row>
    <row r="1089" spans="1:34">
      <c r="A1089" s="28">
        <f>IF(B1089="","",AppointmentPrefix&amp;TEXT(ROW()-4,"0000"))</f>
        <v>0</v>
      </c>
      <c r="C1089" s="15">
        <f>IF(B1089="","",TEXT(B1089,"ddd"))</f>
        <v>0</v>
      </c>
      <c r="F1089" s="15">
        <f>IF(E1089="","",IFERROR(INDEX(Clients!$B$5:$B$504,MATCH(E1089,Clients!$A$5:$A$504,0)),"Walk-in"))</f>
        <v>0</v>
      </c>
      <c r="H1089" s="15">
        <f>IF(G1089="","",IFERROR(INDEX(Services!$B$5:$B$204,MATCH(G1089,Services!$A$5:$A$204,0)),"Not in Services"))</f>
        <v>0</v>
      </c>
      <c r="J1089" s="15">
        <f>IF(I1089="","",IFERROR(INDEX(Staff!$B$5:$B$44,MATCH(I1089,Staff!$A$5:$A$44,0)),"Unassigned"))</f>
        <v>0</v>
      </c>
      <c r="S1089" s="15">
        <f>IF(B1089="","",TEXT(B1089,"yyyy-mm"))</f>
        <v>0</v>
      </c>
      <c r="T1089" s="25">
        <f>IF(B1089="","",WEEKNUM(B1089,2))</f>
        <v>0</v>
      </c>
      <c r="U1089" s="25">
        <f>IF(B1089="","",IF(K1089&lt;&gt;"",K1089,IFERROR(INDEX(Services!$E$5:$E$204,MATCH(G1089,Services!$A$5:$A$204,0))*1,0)+IFERROR(INDEX(Services!$F$5:$F$204,MATCH(G1089,Services!$A$5:$A$204,0))*1,0)))</f>
        <v>0</v>
      </c>
      <c r="V1089" s="36">
        <f>IF(B1089="","",IF(D1089="","",D1089+U1089/1440))</f>
        <v>0</v>
      </c>
      <c r="W1089" s="25">
        <f>IF(B1089="","",IF(D1089="","",HOUR(D1089)))</f>
        <v>0</v>
      </c>
      <c r="X1089" s="37">
        <f>IF(B1089="","",ROUND(U1089/60,2))</f>
        <v>0</v>
      </c>
      <c r="Y1089" s="26">
        <f>IF(B1089="","",IF(L1089&lt;&gt;"",L1089,IFERROR(INDEX(Services!$G$5:$G$204,MATCH(G1089,Services!$A$5:$A$204,0))*1,0)))</f>
        <v>0</v>
      </c>
      <c r="Z1089" s="26">
        <f>IF(B1089="","",IF(O1089&lt;&gt;"",O1089,IF(Y1089&gt;=DepositThreshold,ROUND(Y1089*DepositPercent,2),0)))</f>
        <v>0</v>
      </c>
      <c r="AA1089" s="26">
        <f>IF(B1089="","",ROUND(SUMIFS(Payments!$G$5:$G$1204,Payments!$I$5:$I$1204,A1089,Payments!$E$5:$E$1204,"Deposit"),2))</f>
        <v>0</v>
      </c>
      <c r="AB1089" s="26">
        <f>IF(B1089="","",ROUND(SUMIFS(Sales!$Y$5:$Y$1204,Sales!$C$5:$C$1204,A1089),2))</f>
        <v>0</v>
      </c>
      <c r="AC1089" s="38">
        <f>IF(B1089="","",IF(M1089="Completed","Yes",IF(M1089="Cancelled","Yes",IF(M1089="No show","Yes","No"))))</f>
        <v>0</v>
      </c>
      <c r="AD1089" s="25">
        <f>IF(B1089="","",IF(AE1089="","",B1089-AE1089))</f>
        <v>0</v>
      </c>
      <c r="AF1089" s="38">
        <f>IF(B1089="","",IF(M1089&lt;&gt;"Completed","",IF(E1089="","No",IF(COUNTIFS(Appointments!$E$5:$E$1204,E1089,Appointments!$B$5:$B$1204,"&gt;"&amp;B1089,Appointments!$M$5:$M$1204,"&lt;&gt;Cancelled")&gt;0,"Yes","No"))))</f>
        <v>0</v>
      </c>
      <c r="AG1089" s="38">
        <f>IF(B1089="","",IF(I1089="","",IF(D1089="","",IF(COUNTIFS($I$5:$I$1204,I1089,$B$5:$B$1204,B1089,$D$5:$D$1204,"&lt;"&amp;V1089,$V$5:$V$1204,"&gt;"&amp;D1089,$M$5:$M$1204,"&lt;&gt;Cancelled")&gt;1,"Clash",""))))</f>
        <v>0</v>
      </c>
      <c r="AH1089" s="39">
        <f>IF(B1089="","",IF(AG1089="Clash","Clash - stylist double booked",IF(I1089="","Assign - no stylist yet",IF(G1089="","Add - no service chosen",IF(M1089="No show","No show - charge the fee?",IF(M1089="Cancelled","",IF(IF(M1089="Completed",AB1089&lt;Y1089-0.004,FALSE),"Unpaid - nothing rung up for this visit",IF(IF(B1089&lt;TodayDate,M1089="Booked",FALSE),"Overdue - past date, still only Booked",IF(IF(B1089=TodayDate,TRUE,FALSE),"Today",IF(IF(Z1089&gt;0,AA1089&lt;Z1089-0.004,FALSE),"Due - deposit not taken",IF(IF(B1089&gt;TodayDate,B1089&lt;=TodayDate+2,FALSE),"Confirm - coming up","OK")))))))))))</f>
        <v>0</v>
      </c>
    </row>
    <row r="1090" spans="1:34">
      <c r="A1090" s="28">
        <f>IF(B1090="","",AppointmentPrefix&amp;TEXT(ROW()-4,"0000"))</f>
        <v>0</v>
      </c>
      <c r="C1090" s="15">
        <f>IF(B1090="","",TEXT(B1090,"ddd"))</f>
        <v>0</v>
      </c>
      <c r="F1090" s="15">
        <f>IF(E1090="","",IFERROR(INDEX(Clients!$B$5:$B$504,MATCH(E1090,Clients!$A$5:$A$504,0)),"Walk-in"))</f>
        <v>0</v>
      </c>
      <c r="H1090" s="15">
        <f>IF(G1090="","",IFERROR(INDEX(Services!$B$5:$B$204,MATCH(G1090,Services!$A$5:$A$204,0)),"Not in Services"))</f>
        <v>0</v>
      </c>
      <c r="J1090" s="15">
        <f>IF(I1090="","",IFERROR(INDEX(Staff!$B$5:$B$44,MATCH(I1090,Staff!$A$5:$A$44,0)),"Unassigned"))</f>
        <v>0</v>
      </c>
      <c r="S1090" s="15">
        <f>IF(B1090="","",TEXT(B1090,"yyyy-mm"))</f>
        <v>0</v>
      </c>
      <c r="T1090" s="25">
        <f>IF(B1090="","",WEEKNUM(B1090,2))</f>
        <v>0</v>
      </c>
      <c r="U1090" s="25">
        <f>IF(B1090="","",IF(K1090&lt;&gt;"",K1090,IFERROR(INDEX(Services!$E$5:$E$204,MATCH(G1090,Services!$A$5:$A$204,0))*1,0)+IFERROR(INDEX(Services!$F$5:$F$204,MATCH(G1090,Services!$A$5:$A$204,0))*1,0)))</f>
        <v>0</v>
      </c>
      <c r="V1090" s="36">
        <f>IF(B1090="","",IF(D1090="","",D1090+U1090/1440))</f>
        <v>0</v>
      </c>
      <c r="W1090" s="25">
        <f>IF(B1090="","",IF(D1090="","",HOUR(D1090)))</f>
        <v>0</v>
      </c>
      <c r="X1090" s="37">
        <f>IF(B1090="","",ROUND(U1090/60,2))</f>
        <v>0</v>
      </c>
      <c r="Y1090" s="26">
        <f>IF(B1090="","",IF(L1090&lt;&gt;"",L1090,IFERROR(INDEX(Services!$G$5:$G$204,MATCH(G1090,Services!$A$5:$A$204,0))*1,0)))</f>
        <v>0</v>
      </c>
      <c r="Z1090" s="26">
        <f>IF(B1090="","",IF(O1090&lt;&gt;"",O1090,IF(Y1090&gt;=DepositThreshold,ROUND(Y1090*DepositPercent,2),0)))</f>
        <v>0</v>
      </c>
      <c r="AA1090" s="26">
        <f>IF(B1090="","",ROUND(SUMIFS(Payments!$G$5:$G$1204,Payments!$I$5:$I$1204,A1090,Payments!$E$5:$E$1204,"Deposit"),2))</f>
        <v>0</v>
      </c>
      <c r="AB1090" s="26">
        <f>IF(B1090="","",ROUND(SUMIFS(Sales!$Y$5:$Y$1204,Sales!$C$5:$C$1204,A1090),2))</f>
        <v>0</v>
      </c>
      <c r="AC1090" s="38">
        <f>IF(B1090="","",IF(M1090="Completed","Yes",IF(M1090="Cancelled","Yes",IF(M1090="No show","Yes","No"))))</f>
        <v>0</v>
      </c>
      <c r="AD1090" s="25">
        <f>IF(B1090="","",IF(AE1090="","",B1090-AE1090))</f>
        <v>0</v>
      </c>
      <c r="AF1090" s="38">
        <f>IF(B1090="","",IF(M1090&lt;&gt;"Completed","",IF(E1090="","No",IF(COUNTIFS(Appointments!$E$5:$E$1204,E1090,Appointments!$B$5:$B$1204,"&gt;"&amp;B1090,Appointments!$M$5:$M$1204,"&lt;&gt;Cancelled")&gt;0,"Yes","No"))))</f>
        <v>0</v>
      </c>
      <c r="AG1090" s="38">
        <f>IF(B1090="","",IF(I1090="","",IF(D1090="","",IF(COUNTIFS($I$5:$I$1204,I1090,$B$5:$B$1204,B1090,$D$5:$D$1204,"&lt;"&amp;V1090,$V$5:$V$1204,"&gt;"&amp;D1090,$M$5:$M$1204,"&lt;&gt;Cancelled")&gt;1,"Clash",""))))</f>
        <v>0</v>
      </c>
      <c r="AH1090" s="39">
        <f>IF(B1090="","",IF(AG1090="Clash","Clash - stylist double booked",IF(I1090="","Assign - no stylist yet",IF(G1090="","Add - no service chosen",IF(M1090="No show","No show - charge the fee?",IF(M1090="Cancelled","",IF(IF(M1090="Completed",AB1090&lt;Y1090-0.004,FALSE),"Unpaid - nothing rung up for this visit",IF(IF(B1090&lt;TodayDate,M1090="Booked",FALSE),"Overdue - past date, still only Booked",IF(IF(B1090=TodayDate,TRUE,FALSE),"Today",IF(IF(Z1090&gt;0,AA1090&lt;Z1090-0.004,FALSE),"Due - deposit not taken",IF(IF(B1090&gt;TodayDate,B1090&lt;=TodayDate+2,FALSE),"Confirm - coming up","OK")))))))))))</f>
        <v>0</v>
      </c>
    </row>
    <row r="1091" spans="1:34">
      <c r="A1091" s="28">
        <f>IF(B1091="","",AppointmentPrefix&amp;TEXT(ROW()-4,"0000"))</f>
        <v>0</v>
      </c>
      <c r="C1091" s="15">
        <f>IF(B1091="","",TEXT(B1091,"ddd"))</f>
        <v>0</v>
      </c>
      <c r="F1091" s="15">
        <f>IF(E1091="","",IFERROR(INDEX(Clients!$B$5:$B$504,MATCH(E1091,Clients!$A$5:$A$504,0)),"Walk-in"))</f>
        <v>0</v>
      </c>
      <c r="H1091" s="15">
        <f>IF(G1091="","",IFERROR(INDEX(Services!$B$5:$B$204,MATCH(G1091,Services!$A$5:$A$204,0)),"Not in Services"))</f>
        <v>0</v>
      </c>
      <c r="J1091" s="15">
        <f>IF(I1091="","",IFERROR(INDEX(Staff!$B$5:$B$44,MATCH(I1091,Staff!$A$5:$A$44,0)),"Unassigned"))</f>
        <v>0</v>
      </c>
      <c r="S1091" s="15">
        <f>IF(B1091="","",TEXT(B1091,"yyyy-mm"))</f>
        <v>0</v>
      </c>
      <c r="T1091" s="25">
        <f>IF(B1091="","",WEEKNUM(B1091,2))</f>
        <v>0</v>
      </c>
      <c r="U1091" s="25">
        <f>IF(B1091="","",IF(K1091&lt;&gt;"",K1091,IFERROR(INDEX(Services!$E$5:$E$204,MATCH(G1091,Services!$A$5:$A$204,0))*1,0)+IFERROR(INDEX(Services!$F$5:$F$204,MATCH(G1091,Services!$A$5:$A$204,0))*1,0)))</f>
        <v>0</v>
      </c>
      <c r="V1091" s="36">
        <f>IF(B1091="","",IF(D1091="","",D1091+U1091/1440))</f>
        <v>0</v>
      </c>
      <c r="W1091" s="25">
        <f>IF(B1091="","",IF(D1091="","",HOUR(D1091)))</f>
        <v>0</v>
      </c>
      <c r="X1091" s="37">
        <f>IF(B1091="","",ROUND(U1091/60,2))</f>
        <v>0</v>
      </c>
      <c r="Y1091" s="26">
        <f>IF(B1091="","",IF(L1091&lt;&gt;"",L1091,IFERROR(INDEX(Services!$G$5:$G$204,MATCH(G1091,Services!$A$5:$A$204,0))*1,0)))</f>
        <v>0</v>
      </c>
      <c r="Z1091" s="26">
        <f>IF(B1091="","",IF(O1091&lt;&gt;"",O1091,IF(Y1091&gt;=DepositThreshold,ROUND(Y1091*DepositPercent,2),0)))</f>
        <v>0</v>
      </c>
      <c r="AA1091" s="26">
        <f>IF(B1091="","",ROUND(SUMIFS(Payments!$G$5:$G$1204,Payments!$I$5:$I$1204,A1091,Payments!$E$5:$E$1204,"Deposit"),2))</f>
        <v>0</v>
      </c>
      <c r="AB1091" s="26">
        <f>IF(B1091="","",ROUND(SUMIFS(Sales!$Y$5:$Y$1204,Sales!$C$5:$C$1204,A1091),2))</f>
        <v>0</v>
      </c>
      <c r="AC1091" s="38">
        <f>IF(B1091="","",IF(M1091="Completed","Yes",IF(M1091="Cancelled","Yes",IF(M1091="No show","Yes","No"))))</f>
        <v>0</v>
      </c>
      <c r="AD1091" s="25">
        <f>IF(B1091="","",IF(AE1091="","",B1091-AE1091))</f>
        <v>0</v>
      </c>
      <c r="AF1091" s="38">
        <f>IF(B1091="","",IF(M1091&lt;&gt;"Completed","",IF(E1091="","No",IF(COUNTIFS(Appointments!$E$5:$E$1204,E1091,Appointments!$B$5:$B$1204,"&gt;"&amp;B1091,Appointments!$M$5:$M$1204,"&lt;&gt;Cancelled")&gt;0,"Yes","No"))))</f>
        <v>0</v>
      </c>
      <c r="AG1091" s="38">
        <f>IF(B1091="","",IF(I1091="","",IF(D1091="","",IF(COUNTIFS($I$5:$I$1204,I1091,$B$5:$B$1204,B1091,$D$5:$D$1204,"&lt;"&amp;V1091,$V$5:$V$1204,"&gt;"&amp;D1091,$M$5:$M$1204,"&lt;&gt;Cancelled")&gt;1,"Clash",""))))</f>
        <v>0</v>
      </c>
      <c r="AH1091" s="39">
        <f>IF(B1091="","",IF(AG1091="Clash","Clash - stylist double booked",IF(I1091="","Assign - no stylist yet",IF(G1091="","Add - no service chosen",IF(M1091="No show","No show - charge the fee?",IF(M1091="Cancelled","",IF(IF(M1091="Completed",AB1091&lt;Y1091-0.004,FALSE),"Unpaid - nothing rung up for this visit",IF(IF(B1091&lt;TodayDate,M1091="Booked",FALSE),"Overdue - past date, still only Booked",IF(IF(B1091=TodayDate,TRUE,FALSE),"Today",IF(IF(Z1091&gt;0,AA1091&lt;Z1091-0.004,FALSE),"Due - deposit not taken",IF(IF(B1091&gt;TodayDate,B1091&lt;=TodayDate+2,FALSE),"Confirm - coming up","OK")))))))))))</f>
        <v>0</v>
      </c>
    </row>
    <row r="1092" spans="1:34">
      <c r="A1092" s="28">
        <f>IF(B1092="","",AppointmentPrefix&amp;TEXT(ROW()-4,"0000"))</f>
        <v>0</v>
      </c>
      <c r="C1092" s="15">
        <f>IF(B1092="","",TEXT(B1092,"ddd"))</f>
        <v>0</v>
      </c>
      <c r="F1092" s="15">
        <f>IF(E1092="","",IFERROR(INDEX(Clients!$B$5:$B$504,MATCH(E1092,Clients!$A$5:$A$504,0)),"Walk-in"))</f>
        <v>0</v>
      </c>
      <c r="H1092" s="15">
        <f>IF(G1092="","",IFERROR(INDEX(Services!$B$5:$B$204,MATCH(G1092,Services!$A$5:$A$204,0)),"Not in Services"))</f>
        <v>0</v>
      </c>
      <c r="J1092" s="15">
        <f>IF(I1092="","",IFERROR(INDEX(Staff!$B$5:$B$44,MATCH(I1092,Staff!$A$5:$A$44,0)),"Unassigned"))</f>
        <v>0</v>
      </c>
      <c r="S1092" s="15">
        <f>IF(B1092="","",TEXT(B1092,"yyyy-mm"))</f>
        <v>0</v>
      </c>
      <c r="T1092" s="25">
        <f>IF(B1092="","",WEEKNUM(B1092,2))</f>
        <v>0</v>
      </c>
      <c r="U1092" s="25">
        <f>IF(B1092="","",IF(K1092&lt;&gt;"",K1092,IFERROR(INDEX(Services!$E$5:$E$204,MATCH(G1092,Services!$A$5:$A$204,0))*1,0)+IFERROR(INDEX(Services!$F$5:$F$204,MATCH(G1092,Services!$A$5:$A$204,0))*1,0)))</f>
        <v>0</v>
      </c>
      <c r="V1092" s="36">
        <f>IF(B1092="","",IF(D1092="","",D1092+U1092/1440))</f>
        <v>0</v>
      </c>
      <c r="W1092" s="25">
        <f>IF(B1092="","",IF(D1092="","",HOUR(D1092)))</f>
        <v>0</v>
      </c>
      <c r="X1092" s="37">
        <f>IF(B1092="","",ROUND(U1092/60,2))</f>
        <v>0</v>
      </c>
      <c r="Y1092" s="26">
        <f>IF(B1092="","",IF(L1092&lt;&gt;"",L1092,IFERROR(INDEX(Services!$G$5:$G$204,MATCH(G1092,Services!$A$5:$A$204,0))*1,0)))</f>
        <v>0</v>
      </c>
      <c r="Z1092" s="26">
        <f>IF(B1092="","",IF(O1092&lt;&gt;"",O1092,IF(Y1092&gt;=DepositThreshold,ROUND(Y1092*DepositPercent,2),0)))</f>
        <v>0</v>
      </c>
      <c r="AA1092" s="26">
        <f>IF(B1092="","",ROUND(SUMIFS(Payments!$G$5:$G$1204,Payments!$I$5:$I$1204,A1092,Payments!$E$5:$E$1204,"Deposit"),2))</f>
        <v>0</v>
      </c>
      <c r="AB1092" s="26">
        <f>IF(B1092="","",ROUND(SUMIFS(Sales!$Y$5:$Y$1204,Sales!$C$5:$C$1204,A1092),2))</f>
        <v>0</v>
      </c>
      <c r="AC1092" s="38">
        <f>IF(B1092="","",IF(M1092="Completed","Yes",IF(M1092="Cancelled","Yes",IF(M1092="No show","Yes","No"))))</f>
        <v>0</v>
      </c>
      <c r="AD1092" s="25">
        <f>IF(B1092="","",IF(AE1092="","",B1092-AE1092))</f>
        <v>0</v>
      </c>
      <c r="AF1092" s="38">
        <f>IF(B1092="","",IF(M1092&lt;&gt;"Completed","",IF(E1092="","No",IF(COUNTIFS(Appointments!$E$5:$E$1204,E1092,Appointments!$B$5:$B$1204,"&gt;"&amp;B1092,Appointments!$M$5:$M$1204,"&lt;&gt;Cancelled")&gt;0,"Yes","No"))))</f>
        <v>0</v>
      </c>
      <c r="AG1092" s="38">
        <f>IF(B1092="","",IF(I1092="","",IF(D1092="","",IF(COUNTIFS($I$5:$I$1204,I1092,$B$5:$B$1204,B1092,$D$5:$D$1204,"&lt;"&amp;V1092,$V$5:$V$1204,"&gt;"&amp;D1092,$M$5:$M$1204,"&lt;&gt;Cancelled")&gt;1,"Clash",""))))</f>
        <v>0</v>
      </c>
      <c r="AH1092" s="39">
        <f>IF(B1092="","",IF(AG1092="Clash","Clash - stylist double booked",IF(I1092="","Assign - no stylist yet",IF(G1092="","Add - no service chosen",IF(M1092="No show","No show - charge the fee?",IF(M1092="Cancelled","",IF(IF(M1092="Completed",AB1092&lt;Y1092-0.004,FALSE),"Unpaid - nothing rung up for this visit",IF(IF(B1092&lt;TodayDate,M1092="Booked",FALSE),"Overdue - past date, still only Booked",IF(IF(B1092=TodayDate,TRUE,FALSE),"Today",IF(IF(Z1092&gt;0,AA1092&lt;Z1092-0.004,FALSE),"Due - deposit not taken",IF(IF(B1092&gt;TodayDate,B1092&lt;=TodayDate+2,FALSE),"Confirm - coming up","OK")))))))))))</f>
        <v>0</v>
      </c>
    </row>
    <row r="1093" spans="1:34">
      <c r="A1093" s="28">
        <f>IF(B1093="","",AppointmentPrefix&amp;TEXT(ROW()-4,"0000"))</f>
        <v>0</v>
      </c>
      <c r="C1093" s="15">
        <f>IF(B1093="","",TEXT(B1093,"ddd"))</f>
        <v>0</v>
      </c>
      <c r="F1093" s="15">
        <f>IF(E1093="","",IFERROR(INDEX(Clients!$B$5:$B$504,MATCH(E1093,Clients!$A$5:$A$504,0)),"Walk-in"))</f>
        <v>0</v>
      </c>
      <c r="H1093" s="15">
        <f>IF(G1093="","",IFERROR(INDEX(Services!$B$5:$B$204,MATCH(G1093,Services!$A$5:$A$204,0)),"Not in Services"))</f>
        <v>0</v>
      </c>
      <c r="J1093" s="15">
        <f>IF(I1093="","",IFERROR(INDEX(Staff!$B$5:$B$44,MATCH(I1093,Staff!$A$5:$A$44,0)),"Unassigned"))</f>
        <v>0</v>
      </c>
      <c r="S1093" s="15">
        <f>IF(B1093="","",TEXT(B1093,"yyyy-mm"))</f>
        <v>0</v>
      </c>
      <c r="T1093" s="25">
        <f>IF(B1093="","",WEEKNUM(B1093,2))</f>
        <v>0</v>
      </c>
      <c r="U1093" s="25">
        <f>IF(B1093="","",IF(K1093&lt;&gt;"",K1093,IFERROR(INDEX(Services!$E$5:$E$204,MATCH(G1093,Services!$A$5:$A$204,0))*1,0)+IFERROR(INDEX(Services!$F$5:$F$204,MATCH(G1093,Services!$A$5:$A$204,0))*1,0)))</f>
        <v>0</v>
      </c>
      <c r="V1093" s="36">
        <f>IF(B1093="","",IF(D1093="","",D1093+U1093/1440))</f>
        <v>0</v>
      </c>
      <c r="W1093" s="25">
        <f>IF(B1093="","",IF(D1093="","",HOUR(D1093)))</f>
        <v>0</v>
      </c>
      <c r="X1093" s="37">
        <f>IF(B1093="","",ROUND(U1093/60,2))</f>
        <v>0</v>
      </c>
      <c r="Y1093" s="26">
        <f>IF(B1093="","",IF(L1093&lt;&gt;"",L1093,IFERROR(INDEX(Services!$G$5:$G$204,MATCH(G1093,Services!$A$5:$A$204,0))*1,0)))</f>
        <v>0</v>
      </c>
      <c r="Z1093" s="26">
        <f>IF(B1093="","",IF(O1093&lt;&gt;"",O1093,IF(Y1093&gt;=DepositThreshold,ROUND(Y1093*DepositPercent,2),0)))</f>
        <v>0</v>
      </c>
      <c r="AA1093" s="26">
        <f>IF(B1093="","",ROUND(SUMIFS(Payments!$G$5:$G$1204,Payments!$I$5:$I$1204,A1093,Payments!$E$5:$E$1204,"Deposit"),2))</f>
        <v>0</v>
      </c>
      <c r="AB1093" s="26">
        <f>IF(B1093="","",ROUND(SUMIFS(Sales!$Y$5:$Y$1204,Sales!$C$5:$C$1204,A1093),2))</f>
        <v>0</v>
      </c>
      <c r="AC1093" s="38">
        <f>IF(B1093="","",IF(M1093="Completed","Yes",IF(M1093="Cancelled","Yes",IF(M1093="No show","Yes","No"))))</f>
        <v>0</v>
      </c>
      <c r="AD1093" s="25">
        <f>IF(B1093="","",IF(AE1093="","",B1093-AE1093))</f>
        <v>0</v>
      </c>
      <c r="AF1093" s="38">
        <f>IF(B1093="","",IF(M1093&lt;&gt;"Completed","",IF(E1093="","No",IF(COUNTIFS(Appointments!$E$5:$E$1204,E1093,Appointments!$B$5:$B$1204,"&gt;"&amp;B1093,Appointments!$M$5:$M$1204,"&lt;&gt;Cancelled")&gt;0,"Yes","No"))))</f>
        <v>0</v>
      </c>
      <c r="AG1093" s="38">
        <f>IF(B1093="","",IF(I1093="","",IF(D1093="","",IF(COUNTIFS($I$5:$I$1204,I1093,$B$5:$B$1204,B1093,$D$5:$D$1204,"&lt;"&amp;V1093,$V$5:$V$1204,"&gt;"&amp;D1093,$M$5:$M$1204,"&lt;&gt;Cancelled")&gt;1,"Clash",""))))</f>
        <v>0</v>
      </c>
      <c r="AH1093" s="39">
        <f>IF(B1093="","",IF(AG1093="Clash","Clash - stylist double booked",IF(I1093="","Assign - no stylist yet",IF(G1093="","Add - no service chosen",IF(M1093="No show","No show - charge the fee?",IF(M1093="Cancelled","",IF(IF(M1093="Completed",AB1093&lt;Y1093-0.004,FALSE),"Unpaid - nothing rung up for this visit",IF(IF(B1093&lt;TodayDate,M1093="Booked",FALSE),"Overdue - past date, still only Booked",IF(IF(B1093=TodayDate,TRUE,FALSE),"Today",IF(IF(Z1093&gt;0,AA1093&lt;Z1093-0.004,FALSE),"Due - deposit not taken",IF(IF(B1093&gt;TodayDate,B1093&lt;=TodayDate+2,FALSE),"Confirm - coming up","OK")))))))))))</f>
        <v>0</v>
      </c>
    </row>
    <row r="1094" spans="1:34">
      <c r="A1094" s="28">
        <f>IF(B1094="","",AppointmentPrefix&amp;TEXT(ROW()-4,"0000"))</f>
        <v>0</v>
      </c>
      <c r="C1094" s="15">
        <f>IF(B1094="","",TEXT(B1094,"ddd"))</f>
        <v>0</v>
      </c>
      <c r="F1094" s="15">
        <f>IF(E1094="","",IFERROR(INDEX(Clients!$B$5:$B$504,MATCH(E1094,Clients!$A$5:$A$504,0)),"Walk-in"))</f>
        <v>0</v>
      </c>
      <c r="H1094" s="15">
        <f>IF(G1094="","",IFERROR(INDEX(Services!$B$5:$B$204,MATCH(G1094,Services!$A$5:$A$204,0)),"Not in Services"))</f>
        <v>0</v>
      </c>
      <c r="J1094" s="15">
        <f>IF(I1094="","",IFERROR(INDEX(Staff!$B$5:$B$44,MATCH(I1094,Staff!$A$5:$A$44,0)),"Unassigned"))</f>
        <v>0</v>
      </c>
      <c r="S1094" s="15">
        <f>IF(B1094="","",TEXT(B1094,"yyyy-mm"))</f>
        <v>0</v>
      </c>
      <c r="T1094" s="25">
        <f>IF(B1094="","",WEEKNUM(B1094,2))</f>
        <v>0</v>
      </c>
      <c r="U1094" s="25">
        <f>IF(B1094="","",IF(K1094&lt;&gt;"",K1094,IFERROR(INDEX(Services!$E$5:$E$204,MATCH(G1094,Services!$A$5:$A$204,0))*1,0)+IFERROR(INDEX(Services!$F$5:$F$204,MATCH(G1094,Services!$A$5:$A$204,0))*1,0)))</f>
        <v>0</v>
      </c>
      <c r="V1094" s="36">
        <f>IF(B1094="","",IF(D1094="","",D1094+U1094/1440))</f>
        <v>0</v>
      </c>
      <c r="W1094" s="25">
        <f>IF(B1094="","",IF(D1094="","",HOUR(D1094)))</f>
        <v>0</v>
      </c>
      <c r="X1094" s="37">
        <f>IF(B1094="","",ROUND(U1094/60,2))</f>
        <v>0</v>
      </c>
      <c r="Y1094" s="26">
        <f>IF(B1094="","",IF(L1094&lt;&gt;"",L1094,IFERROR(INDEX(Services!$G$5:$G$204,MATCH(G1094,Services!$A$5:$A$204,0))*1,0)))</f>
        <v>0</v>
      </c>
      <c r="Z1094" s="26">
        <f>IF(B1094="","",IF(O1094&lt;&gt;"",O1094,IF(Y1094&gt;=DepositThreshold,ROUND(Y1094*DepositPercent,2),0)))</f>
        <v>0</v>
      </c>
      <c r="AA1094" s="26">
        <f>IF(B1094="","",ROUND(SUMIFS(Payments!$G$5:$G$1204,Payments!$I$5:$I$1204,A1094,Payments!$E$5:$E$1204,"Deposit"),2))</f>
        <v>0</v>
      </c>
      <c r="AB1094" s="26">
        <f>IF(B1094="","",ROUND(SUMIFS(Sales!$Y$5:$Y$1204,Sales!$C$5:$C$1204,A1094),2))</f>
        <v>0</v>
      </c>
      <c r="AC1094" s="38">
        <f>IF(B1094="","",IF(M1094="Completed","Yes",IF(M1094="Cancelled","Yes",IF(M1094="No show","Yes","No"))))</f>
        <v>0</v>
      </c>
      <c r="AD1094" s="25">
        <f>IF(B1094="","",IF(AE1094="","",B1094-AE1094))</f>
        <v>0</v>
      </c>
      <c r="AF1094" s="38">
        <f>IF(B1094="","",IF(M1094&lt;&gt;"Completed","",IF(E1094="","No",IF(COUNTIFS(Appointments!$E$5:$E$1204,E1094,Appointments!$B$5:$B$1204,"&gt;"&amp;B1094,Appointments!$M$5:$M$1204,"&lt;&gt;Cancelled")&gt;0,"Yes","No"))))</f>
        <v>0</v>
      </c>
      <c r="AG1094" s="38">
        <f>IF(B1094="","",IF(I1094="","",IF(D1094="","",IF(COUNTIFS($I$5:$I$1204,I1094,$B$5:$B$1204,B1094,$D$5:$D$1204,"&lt;"&amp;V1094,$V$5:$V$1204,"&gt;"&amp;D1094,$M$5:$M$1204,"&lt;&gt;Cancelled")&gt;1,"Clash",""))))</f>
        <v>0</v>
      </c>
      <c r="AH1094" s="39">
        <f>IF(B1094="","",IF(AG1094="Clash","Clash - stylist double booked",IF(I1094="","Assign - no stylist yet",IF(G1094="","Add - no service chosen",IF(M1094="No show","No show - charge the fee?",IF(M1094="Cancelled","",IF(IF(M1094="Completed",AB1094&lt;Y1094-0.004,FALSE),"Unpaid - nothing rung up for this visit",IF(IF(B1094&lt;TodayDate,M1094="Booked",FALSE),"Overdue - past date, still only Booked",IF(IF(B1094=TodayDate,TRUE,FALSE),"Today",IF(IF(Z1094&gt;0,AA1094&lt;Z1094-0.004,FALSE),"Due - deposit not taken",IF(IF(B1094&gt;TodayDate,B1094&lt;=TodayDate+2,FALSE),"Confirm - coming up","OK")))))))))))</f>
        <v>0</v>
      </c>
    </row>
    <row r="1095" spans="1:34">
      <c r="A1095" s="28">
        <f>IF(B1095="","",AppointmentPrefix&amp;TEXT(ROW()-4,"0000"))</f>
        <v>0</v>
      </c>
      <c r="C1095" s="15">
        <f>IF(B1095="","",TEXT(B1095,"ddd"))</f>
        <v>0</v>
      </c>
      <c r="F1095" s="15">
        <f>IF(E1095="","",IFERROR(INDEX(Clients!$B$5:$B$504,MATCH(E1095,Clients!$A$5:$A$504,0)),"Walk-in"))</f>
        <v>0</v>
      </c>
      <c r="H1095" s="15">
        <f>IF(G1095="","",IFERROR(INDEX(Services!$B$5:$B$204,MATCH(G1095,Services!$A$5:$A$204,0)),"Not in Services"))</f>
        <v>0</v>
      </c>
      <c r="J1095" s="15">
        <f>IF(I1095="","",IFERROR(INDEX(Staff!$B$5:$B$44,MATCH(I1095,Staff!$A$5:$A$44,0)),"Unassigned"))</f>
        <v>0</v>
      </c>
      <c r="S1095" s="15">
        <f>IF(B1095="","",TEXT(B1095,"yyyy-mm"))</f>
        <v>0</v>
      </c>
      <c r="T1095" s="25">
        <f>IF(B1095="","",WEEKNUM(B1095,2))</f>
        <v>0</v>
      </c>
      <c r="U1095" s="25">
        <f>IF(B1095="","",IF(K1095&lt;&gt;"",K1095,IFERROR(INDEX(Services!$E$5:$E$204,MATCH(G1095,Services!$A$5:$A$204,0))*1,0)+IFERROR(INDEX(Services!$F$5:$F$204,MATCH(G1095,Services!$A$5:$A$204,0))*1,0)))</f>
        <v>0</v>
      </c>
      <c r="V1095" s="36">
        <f>IF(B1095="","",IF(D1095="","",D1095+U1095/1440))</f>
        <v>0</v>
      </c>
      <c r="W1095" s="25">
        <f>IF(B1095="","",IF(D1095="","",HOUR(D1095)))</f>
        <v>0</v>
      </c>
      <c r="X1095" s="37">
        <f>IF(B1095="","",ROUND(U1095/60,2))</f>
        <v>0</v>
      </c>
      <c r="Y1095" s="26">
        <f>IF(B1095="","",IF(L1095&lt;&gt;"",L1095,IFERROR(INDEX(Services!$G$5:$G$204,MATCH(G1095,Services!$A$5:$A$204,0))*1,0)))</f>
        <v>0</v>
      </c>
      <c r="Z1095" s="26">
        <f>IF(B1095="","",IF(O1095&lt;&gt;"",O1095,IF(Y1095&gt;=DepositThreshold,ROUND(Y1095*DepositPercent,2),0)))</f>
        <v>0</v>
      </c>
      <c r="AA1095" s="26">
        <f>IF(B1095="","",ROUND(SUMIFS(Payments!$G$5:$G$1204,Payments!$I$5:$I$1204,A1095,Payments!$E$5:$E$1204,"Deposit"),2))</f>
        <v>0</v>
      </c>
      <c r="AB1095" s="26">
        <f>IF(B1095="","",ROUND(SUMIFS(Sales!$Y$5:$Y$1204,Sales!$C$5:$C$1204,A1095),2))</f>
        <v>0</v>
      </c>
      <c r="AC1095" s="38">
        <f>IF(B1095="","",IF(M1095="Completed","Yes",IF(M1095="Cancelled","Yes",IF(M1095="No show","Yes","No"))))</f>
        <v>0</v>
      </c>
      <c r="AD1095" s="25">
        <f>IF(B1095="","",IF(AE1095="","",B1095-AE1095))</f>
        <v>0</v>
      </c>
      <c r="AF1095" s="38">
        <f>IF(B1095="","",IF(M1095&lt;&gt;"Completed","",IF(E1095="","No",IF(COUNTIFS(Appointments!$E$5:$E$1204,E1095,Appointments!$B$5:$B$1204,"&gt;"&amp;B1095,Appointments!$M$5:$M$1204,"&lt;&gt;Cancelled")&gt;0,"Yes","No"))))</f>
        <v>0</v>
      </c>
      <c r="AG1095" s="38">
        <f>IF(B1095="","",IF(I1095="","",IF(D1095="","",IF(COUNTIFS($I$5:$I$1204,I1095,$B$5:$B$1204,B1095,$D$5:$D$1204,"&lt;"&amp;V1095,$V$5:$V$1204,"&gt;"&amp;D1095,$M$5:$M$1204,"&lt;&gt;Cancelled")&gt;1,"Clash",""))))</f>
        <v>0</v>
      </c>
      <c r="AH1095" s="39">
        <f>IF(B1095="","",IF(AG1095="Clash","Clash - stylist double booked",IF(I1095="","Assign - no stylist yet",IF(G1095="","Add - no service chosen",IF(M1095="No show","No show - charge the fee?",IF(M1095="Cancelled","",IF(IF(M1095="Completed",AB1095&lt;Y1095-0.004,FALSE),"Unpaid - nothing rung up for this visit",IF(IF(B1095&lt;TodayDate,M1095="Booked",FALSE),"Overdue - past date, still only Booked",IF(IF(B1095=TodayDate,TRUE,FALSE),"Today",IF(IF(Z1095&gt;0,AA1095&lt;Z1095-0.004,FALSE),"Due - deposit not taken",IF(IF(B1095&gt;TodayDate,B1095&lt;=TodayDate+2,FALSE),"Confirm - coming up","OK")))))))))))</f>
        <v>0</v>
      </c>
    </row>
    <row r="1096" spans="1:34">
      <c r="A1096" s="28">
        <f>IF(B1096="","",AppointmentPrefix&amp;TEXT(ROW()-4,"0000"))</f>
        <v>0</v>
      </c>
      <c r="C1096" s="15">
        <f>IF(B1096="","",TEXT(B1096,"ddd"))</f>
        <v>0</v>
      </c>
      <c r="F1096" s="15">
        <f>IF(E1096="","",IFERROR(INDEX(Clients!$B$5:$B$504,MATCH(E1096,Clients!$A$5:$A$504,0)),"Walk-in"))</f>
        <v>0</v>
      </c>
      <c r="H1096" s="15">
        <f>IF(G1096="","",IFERROR(INDEX(Services!$B$5:$B$204,MATCH(G1096,Services!$A$5:$A$204,0)),"Not in Services"))</f>
        <v>0</v>
      </c>
      <c r="J1096" s="15">
        <f>IF(I1096="","",IFERROR(INDEX(Staff!$B$5:$B$44,MATCH(I1096,Staff!$A$5:$A$44,0)),"Unassigned"))</f>
        <v>0</v>
      </c>
      <c r="S1096" s="15">
        <f>IF(B1096="","",TEXT(B1096,"yyyy-mm"))</f>
        <v>0</v>
      </c>
      <c r="T1096" s="25">
        <f>IF(B1096="","",WEEKNUM(B1096,2))</f>
        <v>0</v>
      </c>
      <c r="U1096" s="25">
        <f>IF(B1096="","",IF(K1096&lt;&gt;"",K1096,IFERROR(INDEX(Services!$E$5:$E$204,MATCH(G1096,Services!$A$5:$A$204,0))*1,0)+IFERROR(INDEX(Services!$F$5:$F$204,MATCH(G1096,Services!$A$5:$A$204,0))*1,0)))</f>
        <v>0</v>
      </c>
      <c r="V1096" s="36">
        <f>IF(B1096="","",IF(D1096="","",D1096+U1096/1440))</f>
        <v>0</v>
      </c>
      <c r="W1096" s="25">
        <f>IF(B1096="","",IF(D1096="","",HOUR(D1096)))</f>
        <v>0</v>
      </c>
      <c r="X1096" s="37">
        <f>IF(B1096="","",ROUND(U1096/60,2))</f>
        <v>0</v>
      </c>
      <c r="Y1096" s="26">
        <f>IF(B1096="","",IF(L1096&lt;&gt;"",L1096,IFERROR(INDEX(Services!$G$5:$G$204,MATCH(G1096,Services!$A$5:$A$204,0))*1,0)))</f>
        <v>0</v>
      </c>
      <c r="Z1096" s="26">
        <f>IF(B1096="","",IF(O1096&lt;&gt;"",O1096,IF(Y1096&gt;=DepositThreshold,ROUND(Y1096*DepositPercent,2),0)))</f>
        <v>0</v>
      </c>
      <c r="AA1096" s="26">
        <f>IF(B1096="","",ROUND(SUMIFS(Payments!$G$5:$G$1204,Payments!$I$5:$I$1204,A1096,Payments!$E$5:$E$1204,"Deposit"),2))</f>
        <v>0</v>
      </c>
      <c r="AB1096" s="26">
        <f>IF(B1096="","",ROUND(SUMIFS(Sales!$Y$5:$Y$1204,Sales!$C$5:$C$1204,A1096),2))</f>
        <v>0</v>
      </c>
      <c r="AC1096" s="38">
        <f>IF(B1096="","",IF(M1096="Completed","Yes",IF(M1096="Cancelled","Yes",IF(M1096="No show","Yes","No"))))</f>
        <v>0</v>
      </c>
      <c r="AD1096" s="25">
        <f>IF(B1096="","",IF(AE1096="","",B1096-AE1096))</f>
        <v>0</v>
      </c>
      <c r="AF1096" s="38">
        <f>IF(B1096="","",IF(M1096&lt;&gt;"Completed","",IF(E1096="","No",IF(COUNTIFS(Appointments!$E$5:$E$1204,E1096,Appointments!$B$5:$B$1204,"&gt;"&amp;B1096,Appointments!$M$5:$M$1204,"&lt;&gt;Cancelled")&gt;0,"Yes","No"))))</f>
        <v>0</v>
      </c>
      <c r="AG1096" s="38">
        <f>IF(B1096="","",IF(I1096="","",IF(D1096="","",IF(COUNTIFS($I$5:$I$1204,I1096,$B$5:$B$1204,B1096,$D$5:$D$1204,"&lt;"&amp;V1096,$V$5:$V$1204,"&gt;"&amp;D1096,$M$5:$M$1204,"&lt;&gt;Cancelled")&gt;1,"Clash",""))))</f>
        <v>0</v>
      </c>
      <c r="AH1096" s="39">
        <f>IF(B1096="","",IF(AG1096="Clash","Clash - stylist double booked",IF(I1096="","Assign - no stylist yet",IF(G1096="","Add - no service chosen",IF(M1096="No show","No show - charge the fee?",IF(M1096="Cancelled","",IF(IF(M1096="Completed",AB1096&lt;Y1096-0.004,FALSE),"Unpaid - nothing rung up for this visit",IF(IF(B1096&lt;TodayDate,M1096="Booked",FALSE),"Overdue - past date, still only Booked",IF(IF(B1096=TodayDate,TRUE,FALSE),"Today",IF(IF(Z1096&gt;0,AA1096&lt;Z1096-0.004,FALSE),"Due - deposit not taken",IF(IF(B1096&gt;TodayDate,B1096&lt;=TodayDate+2,FALSE),"Confirm - coming up","OK")))))))))))</f>
        <v>0</v>
      </c>
    </row>
    <row r="1097" spans="1:34">
      <c r="A1097" s="28">
        <f>IF(B1097="","",AppointmentPrefix&amp;TEXT(ROW()-4,"0000"))</f>
        <v>0</v>
      </c>
      <c r="C1097" s="15">
        <f>IF(B1097="","",TEXT(B1097,"ddd"))</f>
        <v>0</v>
      </c>
      <c r="F1097" s="15">
        <f>IF(E1097="","",IFERROR(INDEX(Clients!$B$5:$B$504,MATCH(E1097,Clients!$A$5:$A$504,0)),"Walk-in"))</f>
        <v>0</v>
      </c>
      <c r="H1097" s="15">
        <f>IF(G1097="","",IFERROR(INDEX(Services!$B$5:$B$204,MATCH(G1097,Services!$A$5:$A$204,0)),"Not in Services"))</f>
        <v>0</v>
      </c>
      <c r="J1097" s="15">
        <f>IF(I1097="","",IFERROR(INDEX(Staff!$B$5:$B$44,MATCH(I1097,Staff!$A$5:$A$44,0)),"Unassigned"))</f>
        <v>0</v>
      </c>
      <c r="S1097" s="15">
        <f>IF(B1097="","",TEXT(B1097,"yyyy-mm"))</f>
        <v>0</v>
      </c>
      <c r="T1097" s="25">
        <f>IF(B1097="","",WEEKNUM(B1097,2))</f>
        <v>0</v>
      </c>
      <c r="U1097" s="25">
        <f>IF(B1097="","",IF(K1097&lt;&gt;"",K1097,IFERROR(INDEX(Services!$E$5:$E$204,MATCH(G1097,Services!$A$5:$A$204,0))*1,0)+IFERROR(INDEX(Services!$F$5:$F$204,MATCH(G1097,Services!$A$5:$A$204,0))*1,0)))</f>
        <v>0</v>
      </c>
      <c r="V1097" s="36">
        <f>IF(B1097="","",IF(D1097="","",D1097+U1097/1440))</f>
        <v>0</v>
      </c>
      <c r="W1097" s="25">
        <f>IF(B1097="","",IF(D1097="","",HOUR(D1097)))</f>
        <v>0</v>
      </c>
      <c r="X1097" s="37">
        <f>IF(B1097="","",ROUND(U1097/60,2))</f>
        <v>0</v>
      </c>
      <c r="Y1097" s="26">
        <f>IF(B1097="","",IF(L1097&lt;&gt;"",L1097,IFERROR(INDEX(Services!$G$5:$G$204,MATCH(G1097,Services!$A$5:$A$204,0))*1,0)))</f>
        <v>0</v>
      </c>
      <c r="Z1097" s="26">
        <f>IF(B1097="","",IF(O1097&lt;&gt;"",O1097,IF(Y1097&gt;=DepositThreshold,ROUND(Y1097*DepositPercent,2),0)))</f>
        <v>0</v>
      </c>
      <c r="AA1097" s="26">
        <f>IF(B1097="","",ROUND(SUMIFS(Payments!$G$5:$G$1204,Payments!$I$5:$I$1204,A1097,Payments!$E$5:$E$1204,"Deposit"),2))</f>
        <v>0</v>
      </c>
      <c r="AB1097" s="26">
        <f>IF(B1097="","",ROUND(SUMIFS(Sales!$Y$5:$Y$1204,Sales!$C$5:$C$1204,A1097),2))</f>
        <v>0</v>
      </c>
      <c r="AC1097" s="38">
        <f>IF(B1097="","",IF(M1097="Completed","Yes",IF(M1097="Cancelled","Yes",IF(M1097="No show","Yes","No"))))</f>
        <v>0</v>
      </c>
      <c r="AD1097" s="25">
        <f>IF(B1097="","",IF(AE1097="","",B1097-AE1097))</f>
        <v>0</v>
      </c>
      <c r="AF1097" s="38">
        <f>IF(B1097="","",IF(M1097&lt;&gt;"Completed","",IF(E1097="","No",IF(COUNTIFS(Appointments!$E$5:$E$1204,E1097,Appointments!$B$5:$B$1204,"&gt;"&amp;B1097,Appointments!$M$5:$M$1204,"&lt;&gt;Cancelled")&gt;0,"Yes","No"))))</f>
        <v>0</v>
      </c>
      <c r="AG1097" s="38">
        <f>IF(B1097="","",IF(I1097="","",IF(D1097="","",IF(COUNTIFS($I$5:$I$1204,I1097,$B$5:$B$1204,B1097,$D$5:$D$1204,"&lt;"&amp;V1097,$V$5:$V$1204,"&gt;"&amp;D1097,$M$5:$M$1204,"&lt;&gt;Cancelled")&gt;1,"Clash",""))))</f>
        <v>0</v>
      </c>
      <c r="AH1097" s="39">
        <f>IF(B1097="","",IF(AG1097="Clash","Clash - stylist double booked",IF(I1097="","Assign - no stylist yet",IF(G1097="","Add - no service chosen",IF(M1097="No show","No show - charge the fee?",IF(M1097="Cancelled","",IF(IF(M1097="Completed",AB1097&lt;Y1097-0.004,FALSE),"Unpaid - nothing rung up for this visit",IF(IF(B1097&lt;TodayDate,M1097="Booked",FALSE),"Overdue - past date, still only Booked",IF(IF(B1097=TodayDate,TRUE,FALSE),"Today",IF(IF(Z1097&gt;0,AA1097&lt;Z1097-0.004,FALSE),"Due - deposit not taken",IF(IF(B1097&gt;TodayDate,B1097&lt;=TodayDate+2,FALSE),"Confirm - coming up","OK")))))))))))</f>
        <v>0</v>
      </c>
    </row>
    <row r="1098" spans="1:34">
      <c r="A1098" s="28">
        <f>IF(B1098="","",AppointmentPrefix&amp;TEXT(ROW()-4,"0000"))</f>
        <v>0</v>
      </c>
      <c r="C1098" s="15">
        <f>IF(B1098="","",TEXT(B1098,"ddd"))</f>
        <v>0</v>
      </c>
      <c r="F1098" s="15">
        <f>IF(E1098="","",IFERROR(INDEX(Clients!$B$5:$B$504,MATCH(E1098,Clients!$A$5:$A$504,0)),"Walk-in"))</f>
        <v>0</v>
      </c>
      <c r="H1098" s="15">
        <f>IF(G1098="","",IFERROR(INDEX(Services!$B$5:$B$204,MATCH(G1098,Services!$A$5:$A$204,0)),"Not in Services"))</f>
        <v>0</v>
      </c>
      <c r="J1098" s="15">
        <f>IF(I1098="","",IFERROR(INDEX(Staff!$B$5:$B$44,MATCH(I1098,Staff!$A$5:$A$44,0)),"Unassigned"))</f>
        <v>0</v>
      </c>
      <c r="S1098" s="15">
        <f>IF(B1098="","",TEXT(B1098,"yyyy-mm"))</f>
        <v>0</v>
      </c>
      <c r="T1098" s="25">
        <f>IF(B1098="","",WEEKNUM(B1098,2))</f>
        <v>0</v>
      </c>
      <c r="U1098" s="25">
        <f>IF(B1098="","",IF(K1098&lt;&gt;"",K1098,IFERROR(INDEX(Services!$E$5:$E$204,MATCH(G1098,Services!$A$5:$A$204,0))*1,0)+IFERROR(INDEX(Services!$F$5:$F$204,MATCH(G1098,Services!$A$5:$A$204,0))*1,0)))</f>
        <v>0</v>
      </c>
      <c r="V1098" s="36">
        <f>IF(B1098="","",IF(D1098="","",D1098+U1098/1440))</f>
        <v>0</v>
      </c>
      <c r="W1098" s="25">
        <f>IF(B1098="","",IF(D1098="","",HOUR(D1098)))</f>
        <v>0</v>
      </c>
      <c r="X1098" s="37">
        <f>IF(B1098="","",ROUND(U1098/60,2))</f>
        <v>0</v>
      </c>
      <c r="Y1098" s="26">
        <f>IF(B1098="","",IF(L1098&lt;&gt;"",L1098,IFERROR(INDEX(Services!$G$5:$G$204,MATCH(G1098,Services!$A$5:$A$204,0))*1,0)))</f>
        <v>0</v>
      </c>
      <c r="Z1098" s="26">
        <f>IF(B1098="","",IF(O1098&lt;&gt;"",O1098,IF(Y1098&gt;=DepositThreshold,ROUND(Y1098*DepositPercent,2),0)))</f>
        <v>0</v>
      </c>
      <c r="AA1098" s="26">
        <f>IF(B1098="","",ROUND(SUMIFS(Payments!$G$5:$G$1204,Payments!$I$5:$I$1204,A1098,Payments!$E$5:$E$1204,"Deposit"),2))</f>
        <v>0</v>
      </c>
      <c r="AB1098" s="26">
        <f>IF(B1098="","",ROUND(SUMIFS(Sales!$Y$5:$Y$1204,Sales!$C$5:$C$1204,A1098),2))</f>
        <v>0</v>
      </c>
      <c r="AC1098" s="38">
        <f>IF(B1098="","",IF(M1098="Completed","Yes",IF(M1098="Cancelled","Yes",IF(M1098="No show","Yes","No"))))</f>
        <v>0</v>
      </c>
      <c r="AD1098" s="25">
        <f>IF(B1098="","",IF(AE1098="","",B1098-AE1098))</f>
        <v>0</v>
      </c>
      <c r="AF1098" s="38">
        <f>IF(B1098="","",IF(M1098&lt;&gt;"Completed","",IF(E1098="","No",IF(COUNTIFS(Appointments!$E$5:$E$1204,E1098,Appointments!$B$5:$B$1204,"&gt;"&amp;B1098,Appointments!$M$5:$M$1204,"&lt;&gt;Cancelled")&gt;0,"Yes","No"))))</f>
        <v>0</v>
      </c>
      <c r="AG1098" s="38">
        <f>IF(B1098="","",IF(I1098="","",IF(D1098="","",IF(COUNTIFS($I$5:$I$1204,I1098,$B$5:$B$1204,B1098,$D$5:$D$1204,"&lt;"&amp;V1098,$V$5:$V$1204,"&gt;"&amp;D1098,$M$5:$M$1204,"&lt;&gt;Cancelled")&gt;1,"Clash",""))))</f>
        <v>0</v>
      </c>
      <c r="AH1098" s="39">
        <f>IF(B1098="","",IF(AG1098="Clash","Clash - stylist double booked",IF(I1098="","Assign - no stylist yet",IF(G1098="","Add - no service chosen",IF(M1098="No show","No show - charge the fee?",IF(M1098="Cancelled","",IF(IF(M1098="Completed",AB1098&lt;Y1098-0.004,FALSE),"Unpaid - nothing rung up for this visit",IF(IF(B1098&lt;TodayDate,M1098="Booked",FALSE),"Overdue - past date, still only Booked",IF(IF(B1098=TodayDate,TRUE,FALSE),"Today",IF(IF(Z1098&gt;0,AA1098&lt;Z1098-0.004,FALSE),"Due - deposit not taken",IF(IF(B1098&gt;TodayDate,B1098&lt;=TodayDate+2,FALSE),"Confirm - coming up","OK")))))))))))</f>
        <v>0</v>
      </c>
    </row>
    <row r="1099" spans="1:34">
      <c r="A1099" s="28">
        <f>IF(B1099="","",AppointmentPrefix&amp;TEXT(ROW()-4,"0000"))</f>
        <v>0</v>
      </c>
      <c r="C1099" s="15">
        <f>IF(B1099="","",TEXT(B1099,"ddd"))</f>
        <v>0</v>
      </c>
      <c r="F1099" s="15">
        <f>IF(E1099="","",IFERROR(INDEX(Clients!$B$5:$B$504,MATCH(E1099,Clients!$A$5:$A$504,0)),"Walk-in"))</f>
        <v>0</v>
      </c>
      <c r="H1099" s="15">
        <f>IF(G1099="","",IFERROR(INDEX(Services!$B$5:$B$204,MATCH(G1099,Services!$A$5:$A$204,0)),"Not in Services"))</f>
        <v>0</v>
      </c>
      <c r="J1099" s="15">
        <f>IF(I1099="","",IFERROR(INDEX(Staff!$B$5:$B$44,MATCH(I1099,Staff!$A$5:$A$44,0)),"Unassigned"))</f>
        <v>0</v>
      </c>
      <c r="S1099" s="15">
        <f>IF(B1099="","",TEXT(B1099,"yyyy-mm"))</f>
        <v>0</v>
      </c>
      <c r="T1099" s="25">
        <f>IF(B1099="","",WEEKNUM(B1099,2))</f>
        <v>0</v>
      </c>
      <c r="U1099" s="25">
        <f>IF(B1099="","",IF(K1099&lt;&gt;"",K1099,IFERROR(INDEX(Services!$E$5:$E$204,MATCH(G1099,Services!$A$5:$A$204,0))*1,0)+IFERROR(INDEX(Services!$F$5:$F$204,MATCH(G1099,Services!$A$5:$A$204,0))*1,0)))</f>
        <v>0</v>
      </c>
      <c r="V1099" s="36">
        <f>IF(B1099="","",IF(D1099="","",D1099+U1099/1440))</f>
        <v>0</v>
      </c>
      <c r="W1099" s="25">
        <f>IF(B1099="","",IF(D1099="","",HOUR(D1099)))</f>
        <v>0</v>
      </c>
      <c r="X1099" s="37">
        <f>IF(B1099="","",ROUND(U1099/60,2))</f>
        <v>0</v>
      </c>
      <c r="Y1099" s="26">
        <f>IF(B1099="","",IF(L1099&lt;&gt;"",L1099,IFERROR(INDEX(Services!$G$5:$G$204,MATCH(G1099,Services!$A$5:$A$204,0))*1,0)))</f>
        <v>0</v>
      </c>
      <c r="Z1099" s="26">
        <f>IF(B1099="","",IF(O1099&lt;&gt;"",O1099,IF(Y1099&gt;=DepositThreshold,ROUND(Y1099*DepositPercent,2),0)))</f>
        <v>0</v>
      </c>
      <c r="AA1099" s="26">
        <f>IF(B1099="","",ROUND(SUMIFS(Payments!$G$5:$G$1204,Payments!$I$5:$I$1204,A1099,Payments!$E$5:$E$1204,"Deposit"),2))</f>
        <v>0</v>
      </c>
      <c r="AB1099" s="26">
        <f>IF(B1099="","",ROUND(SUMIFS(Sales!$Y$5:$Y$1204,Sales!$C$5:$C$1204,A1099),2))</f>
        <v>0</v>
      </c>
      <c r="AC1099" s="38">
        <f>IF(B1099="","",IF(M1099="Completed","Yes",IF(M1099="Cancelled","Yes",IF(M1099="No show","Yes","No"))))</f>
        <v>0</v>
      </c>
      <c r="AD1099" s="25">
        <f>IF(B1099="","",IF(AE1099="","",B1099-AE1099))</f>
        <v>0</v>
      </c>
      <c r="AF1099" s="38">
        <f>IF(B1099="","",IF(M1099&lt;&gt;"Completed","",IF(E1099="","No",IF(COUNTIFS(Appointments!$E$5:$E$1204,E1099,Appointments!$B$5:$B$1204,"&gt;"&amp;B1099,Appointments!$M$5:$M$1204,"&lt;&gt;Cancelled")&gt;0,"Yes","No"))))</f>
        <v>0</v>
      </c>
      <c r="AG1099" s="38">
        <f>IF(B1099="","",IF(I1099="","",IF(D1099="","",IF(COUNTIFS($I$5:$I$1204,I1099,$B$5:$B$1204,B1099,$D$5:$D$1204,"&lt;"&amp;V1099,$V$5:$V$1204,"&gt;"&amp;D1099,$M$5:$M$1204,"&lt;&gt;Cancelled")&gt;1,"Clash",""))))</f>
        <v>0</v>
      </c>
      <c r="AH1099" s="39">
        <f>IF(B1099="","",IF(AG1099="Clash","Clash - stylist double booked",IF(I1099="","Assign - no stylist yet",IF(G1099="","Add - no service chosen",IF(M1099="No show","No show - charge the fee?",IF(M1099="Cancelled","",IF(IF(M1099="Completed",AB1099&lt;Y1099-0.004,FALSE),"Unpaid - nothing rung up for this visit",IF(IF(B1099&lt;TodayDate,M1099="Booked",FALSE),"Overdue - past date, still only Booked",IF(IF(B1099=TodayDate,TRUE,FALSE),"Today",IF(IF(Z1099&gt;0,AA1099&lt;Z1099-0.004,FALSE),"Due - deposit not taken",IF(IF(B1099&gt;TodayDate,B1099&lt;=TodayDate+2,FALSE),"Confirm - coming up","OK")))))))))))</f>
        <v>0</v>
      </c>
    </row>
    <row r="1100" spans="1:34">
      <c r="A1100" s="28">
        <f>IF(B1100="","",AppointmentPrefix&amp;TEXT(ROW()-4,"0000"))</f>
        <v>0</v>
      </c>
      <c r="C1100" s="15">
        <f>IF(B1100="","",TEXT(B1100,"ddd"))</f>
        <v>0</v>
      </c>
      <c r="F1100" s="15">
        <f>IF(E1100="","",IFERROR(INDEX(Clients!$B$5:$B$504,MATCH(E1100,Clients!$A$5:$A$504,0)),"Walk-in"))</f>
        <v>0</v>
      </c>
      <c r="H1100" s="15">
        <f>IF(G1100="","",IFERROR(INDEX(Services!$B$5:$B$204,MATCH(G1100,Services!$A$5:$A$204,0)),"Not in Services"))</f>
        <v>0</v>
      </c>
      <c r="J1100" s="15">
        <f>IF(I1100="","",IFERROR(INDEX(Staff!$B$5:$B$44,MATCH(I1100,Staff!$A$5:$A$44,0)),"Unassigned"))</f>
        <v>0</v>
      </c>
      <c r="S1100" s="15">
        <f>IF(B1100="","",TEXT(B1100,"yyyy-mm"))</f>
        <v>0</v>
      </c>
      <c r="T1100" s="25">
        <f>IF(B1100="","",WEEKNUM(B1100,2))</f>
        <v>0</v>
      </c>
      <c r="U1100" s="25">
        <f>IF(B1100="","",IF(K1100&lt;&gt;"",K1100,IFERROR(INDEX(Services!$E$5:$E$204,MATCH(G1100,Services!$A$5:$A$204,0))*1,0)+IFERROR(INDEX(Services!$F$5:$F$204,MATCH(G1100,Services!$A$5:$A$204,0))*1,0)))</f>
        <v>0</v>
      </c>
      <c r="V1100" s="36">
        <f>IF(B1100="","",IF(D1100="","",D1100+U1100/1440))</f>
        <v>0</v>
      </c>
      <c r="W1100" s="25">
        <f>IF(B1100="","",IF(D1100="","",HOUR(D1100)))</f>
        <v>0</v>
      </c>
      <c r="X1100" s="37">
        <f>IF(B1100="","",ROUND(U1100/60,2))</f>
        <v>0</v>
      </c>
      <c r="Y1100" s="26">
        <f>IF(B1100="","",IF(L1100&lt;&gt;"",L1100,IFERROR(INDEX(Services!$G$5:$G$204,MATCH(G1100,Services!$A$5:$A$204,0))*1,0)))</f>
        <v>0</v>
      </c>
      <c r="Z1100" s="26">
        <f>IF(B1100="","",IF(O1100&lt;&gt;"",O1100,IF(Y1100&gt;=DepositThreshold,ROUND(Y1100*DepositPercent,2),0)))</f>
        <v>0</v>
      </c>
      <c r="AA1100" s="26">
        <f>IF(B1100="","",ROUND(SUMIFS(Payments!$G$5:$G$1204,Payments!$I$5:$I$1204,A1100,Payments!$E$5:$E$1204,"Deposit"),2))</f>
        <v>0</v>
      </c>
      <c r="AB1100" s="26">
        <f>IF(B1100="","",ROUND(SUMIFS(Sales!$Y$5:$Y$1204,Sales!$C$5:$C$1204,A1100),2))</f>
        <v>0</v>
      </c>
      <c r="AC1100" s="38">
        <f>IF(B1100="","",IF(M1100="Completed","Yes",IF(M1100="Cancelled","Yes",IF(M1100="No show","Yes","No"))))</f>
        <v>0</v>
      </c>
      <c r="AD1100" s="25">
        <f>IF(B1100="","",IF(AE1100="","",B1100-AE1100))</f>
        <v>0</v>
      </c>
      <c r="AF1100" s="38">
        <f>IF(B1100="","",IF(M1100&lt;&gt;"Completed","",IF(E1100="","No",IF(COUNTIFS(Appointments!$E$5:$E$1204,E1100,Appointments!$B$5:$B$1204,"&gt;"&amp;B1100,Appointments!$M$5:$M$1204,"&lt;&gt;Cancelled")&gt;0,"Yes","No"))))</f>
        <v>0</v>
      </c>
      <c r="AG1100" s="38">
        <f>IF(B1100="","",IF(I1100="","",IF(D1100="","",IF(COUNTIFS($I$5:$I$1204,I1100,$B$5:$B$1204,B1100,$D$5:$D$1204,"&lt;"&amp;V1100,$V$5:$V$1204,"&gt;"&amp;D1100,$M$5:$M$1204,"&lt;&gt;Cancelled")&gt;1,"Clash",""))))</f>
        <v>0</v>
      </c>
      <c r="AH1100" s="39">
        <f>IF(B1100="","",IF(AG1100="Clash","Clash - stylist double booked",IF(I1100="","Assign - no stylist yet",IF(G1100="","Add - no service chosen",IF(M1100="No show","No show - charge the fee?",IF(M1100="Cancelled","",IF(IF(M1100="Completed",AB1100&lt;Y1100-0.004,FALSE),"Unpaid - nothing rung up for this visit",IF(IF(B1100&lt;TodayDate,M1100="Booked",FALSE),"Overdue - past date, still only Booked",IF(IF(B1100=TodayDate,TRUE,FALSE),"Today",IF(IF(Z1100&gt;0,AA1100&lt;Z1100-0.004,FALSE),"Due - deposit not taken",IF(IF(B1100&gt;TodayDate,B1100&lt;=TodayDate+2,FALSE),"Confirm - coming up","OK")))))))))))</f>
        <v>0</v>
      </c>
    </row>
    <row r="1101" spans="1:34">
      <c r="A1101" s="28">
        <f>IF(B1101="","",AppointmentPrefix&amp;TEXT(ROW()-4,"0000"))</f>
        <v>0</v>
      </c>
      <c r="C1101" s="15">
        <f>IF(B1101="","",TEXT(B1101,"ddd"))</f>
        <v>0</v>
      </c>
      <c r="F1101" s="15">
        <f>IF(E1101="","",IFERROR(INDEX(Clients!$B$5:$B$504,MATCH(E1101,Clients!$A$5:$A$504,0)),"Walk-in"))</f>
        <v>0</v>
      </c>
      <c r="H1101" s="15">
        <f>IF(G1101="","",IFERROR(INDEX(Services!$B$5:$B$204,MATCH(G1101,Services!$A$5:$A$204,0)),"Not in Services"))</f>
        <v>0</v>
      </c>
      <c r="J1101" s="15">
        <f>IF(I1101="","",IFERROR(INDEX(Staff!$B$5:$B$44,MATCH(I1101,Staff!$A$5:$A$44,0)),"Unassigned"))</f>
        <v>0</v>
      </c>
      <c r="S1101" s="15">
        <f>IF(B1101="","",TEXT(B1101,"yyyy-mm"))</f>
        <v>0</v>
      </c>
      <c r="T1101" s="25">
        <f>IF(B1101="","",WEEKNUM(B1101,2))</f>
        <v>0</v>
      </c>
      <c r="U1101" s="25">
        <f>IF(B1101="","",IF(K1101&lt;&gt;"",K1101,IFERROR(INDEX(Services!$E$5:$E$204,MATCH(G1101,Services!$A$5:$A$204,0))*1,0)+IFERROR(INDEX(Services!$F$5:$F$204,MATCH(G1101,Services!$A$5:$A$204,0))*1,0)))</f>
        <v>0</v>
      </c>
      <c r="V1101" s="36">
        <f>IF(B1101="","",IF(D1101="","",D1101+U1101/1440))</f>
        <v>0</v>
      </c>
      <c r="W1101" s="25">
        <f>IF(B1101="","",IF(D1101="","",HOUR(D1101)))</f>
        <v>0</v>
      </c>
      <c r="X1101" s="37">
        <f>IF(B1101="","",ROUND(U1101/60,2))</f>
        <v>0</v>
      </c>
      <c r="Y1101" s="26">
        <f>IF(B1101="","",IF(L1101&lt;&gt;"",L1101,IFERROR(INDEX(Services!$G$5:$G$204,MATCH(G1101,Services!$A$5:$A$204,0))*1,0)))</f>
        <v>0</v>
      </c>
      <c r="Z1101" s="26">
        <f>IF(B1101="","",IF(O1101&lt;&gt;"",O1101,IF(Y1101&gt;=DepositThreshold,ROUND(Y1101*DepositPercent,2),0)))</f>
        <v>0</v>
      </c>
      <c r="AA1101" s="26">
        <f>IF(B1101="","",ROUND(SUMIFS(Payments!$G$5:$G$1204,Payments!$I$5:$I$1204,A1101,Payments!$E$5:$E$1204,"Deposit"),2))</f>
        <v>0</v>
      </c>
      <c r="AB1101" s="26">
        <f>IF(B1101="","",ROUND(SUMIFS(Sales!$Y$5:$Y$1204,Sales!$C$5:$C$1204,A1101),2))</f>
        <v>0</v>
      </c>
      <c r="AC1101" s="38">
        <f>IF(B1101="","",IF(M1101="Completed","Yes",IF(M1101="Cancelled","Yes",IF(M1101="No show","Yes","No"))))</f>
        <v>0</v>
      </c>
      <c r="AD1101" s="25">
        <f>IF(B1101="","",IF(AE1101="","",B1101-AE1101))</f>
        <v>0</v>
      </c>
      <c r="AF1101" s="38">
        <f>IF(B1101="","",IF(M1101&lt;&gt;"Completed","",IF(E1101="","No",IF(COUNTIFS(Appointments!$E$5:$E$1204,E1101,Appointments!$B$5:$B$1204,"&gt;"&amp;B1101,Appointments!$M$5:$M$1204,"&lt;&gt;Cancelled")&gt;0,"Yes","No"))))</f>
        <v>0</v>
      </c>
      <c r="AG1101" s="38">
        <f>IF(B1101="","",IF(I1101="","",IF(D1101="","",IF(COUNTIFS($I$5:$I$1204,I1101,$B$5:$B$1204,B1101,$D$5:$D$1204,"&lt;"&amp;V1101,$V$5:$V$1204,"&gt;"&amp;D1101,$M$5:$M$1204,"&lt;&gt;Cancelled")&gt;1,"Clash",""))))</f>
        <v>0</v>
      </c>
      <c r="AH1101" s="39">
        <f>IF(B1101="","",IF(AG1101="Clash","Clash - stylist double booked",IF(I1101="","Assign - no stylist yet",IF(G1101="","Add - no service chosen",IF(M1101="No show","No show - charge the fee?",IF(M1101="Cancelled","",IF(IF(M1101="Completed",AB1101&lt;Y1101-0.004,FALSE),"Unpaid - nothing rung up for this visit",IF(IF(B1101&lt;TodayDate,M1101="Booked",FALSE),"Overdue - past date, still only Booked",IF(IF(B1101=TodayDate,TRUE,FALSE),"Today",IF(IF(Z1101&gt;0,AA1101&lt;Z1101-0.004,FALSE),"Due - deposit not taken",IF(IF(B1101&gt;TodayDate,B1101&lt;=TodayDate+2,FALSE),"Confirm - coming up","OK")))))))))))</f>
        <v>0</v>
      </c>
    </row>
    <row r="1102" spans="1:34">
      <c r="A1102" s="28">
        <f>IF(B1102="","",AppointmentPrefix&amp;TEXT(ROW()-4,"0000"))</f>
        <v>0</v>
      </c>
      <c r="C1102" s="15">
        <f>IF(B1102="","",TEXT(B1102,"ddd"))</f>
        <v>0</v>
      </c>
      <c r="F1102" s="15">
        <f>IF(E1102="","",IFERROR(INDEX(Clients!$B$5:$B$504,MATCH(E1102,Clients!$A$5:$A$504,0)),"Walk-in"))</f>
        <v>0</v>
      </c>
      <c r="H1102" s="15">
        <f>IF(G1102="","",IFERROR(INDEX(Services!$B$5:$B$204,MATCH(G1102,Services!$A$5:$A$204,0)),"Not in Services"))</f>
        <v>0</v>
      </c>
      <c r="J1102" s="15">
        <f>IF(I1102="","",IFERROR(INDEX(Staff!$B$5:$B$44,MATCH(I1102,Staff!$A$5:$A$44,0)),"Unassigned"))</f>
        <v>0</v>
      </c>
      <c r="S1102" s="15">
        <f>IF(B1102="","",TEXT(B1102,"yyyy-mm"))</f>
        <v>0</v>
      </c>
      <c r="T1102" s="25">
        <f>IF(B1102="","",WEEKNUM(B1102,2))</f>
        <v>0</v>
      </c>
      <c r="U1102" s="25">
        <f>IF(B1102="","",IF(K1102&lt;&gt;"",K1102,IFERROR(INDEX(Services!$E$5:$E$204,MATCH(G1102,Services!$A$5:$A$204,0))*1,0)+IFERROR(INDEX(Services!$F$5:$F$204,MATCH(G1102,Services!$A$5:$A$204,0))*1,0)))</f>
        <v>0</v>
      </c>
      <c r="V1102" s="36">
        <f>IF(B1102="","",IF(D1102="","",D1102+U1102/1440))</f>
        <v>0</v>
      </c>
      <c r="W1102" s="25">
        <f>IF(B1102="","",IF(D1102="","",HOUR(D1102)))</f>
        <v>0</v>
      </c>
      <c r="X1102" s="37">
        <f>IF(B1102="","",ROUND(U1102/60,2))</f>
        <v>0</v>
      </c>
      <c r="Y1102" s="26">
        <f>IF(B1102="","",IF(L1102&lt;&gt;"",L1102,IFERROR(INDEX(Services!$G$5:$G$204,MATCH(G1102,Services!$A$5:$A$204,0))*1,0)))</f>
        <v>0</v>
      </c>
      <c r="Z1102" s="26">
        <f>IF(B1102="","",IF(O1102&lt;&gt;"",O1102,IF(Y1102&gt;=DepositThreshold,ROUND(Y1102*DepositPercent,2),0)))</f>
        <v>0</v>
      </c>
      <c r="AA1102" s="26">
        <f>IF(B1102="","",ROUND(SUMIFS(Payments!$G$5:$G$1204,Payments!$I$5:$I$1204,A1102,Payments!$E$5:$E$1204,"Deposit"),2))</f>
        <v>0</v>
      </c>
      <c r="AB1102" s="26">
        <f>IF(B1102="","",ROUND(SUMIFS(Sales!$Y$5:$Y$1204,Sales!$C$5:$C$1204,A1102),2))</f>
        <v>0</v>
      </c>
      <c r="AC1102" s="38">
        <f>IF(B1102="","",IF(M1102="Completed","Yes",IF(M1102="Cancelled","Yes",IF(M1102="No show","Yes","No"))))</f>
        <v>0</v>
      </c>
      <c r="AD1102" s="25">
        <f>IF(B1102="","",IF(AE1102="","",B1102-AE1102))</f>
        <v>0</v>
      </c>
      <c r="AF1102" s="38">
        <f>IF(B1102="","",IF(M1102&lt;&gt;"Completed","",IF(E1102="","No",IF(COUNTIFS(Appointments!$E$5:$E$1204,E1102,Appointments!$B$5:$B$1204,"&gt;"&amp;B1102,Appointments!$M$5:$M$1204,"&lt;&gt;Cancelled")&gt;0,"Yes","No"))))</f>
        <v>0</v>
      </c>
      <c r="AG1102" s="38">
        <f>IF(B1102="","",IF(I1102="","",IF(D1102="","",IF(COUNTIFS($I$5:$I$1204,I1102,$B$5:$B$1204,B1102,$D$5:$D$1204,"&lt;"&amp;V1102,$V$5:$V$1204,"&gt;"&amp;D1102,$M$5:$M$1204,"&lt;&gt;Cancelled")&gt;1,"Clash",""))))</f>
        <v>0</v>
      </c>
      <c r="AH1102" s="39">
        <f>IF(B1102="","",IF(AG1102="Clash","Clash - stylist double booked",IF(I1102="","Assign - no stylist yet",IF(G1102="","Add - no service chosen",IF(M1102="No show","No show - charge the fee?",IF(M1102="Cancelled","",IF(IF(M1102="Completed",AB1102&lt;Y1102-0.004,FALSE),"Unpaid - nothing rung up for this visit",IF(IF(B1102&lt;TodayDate,M1102="Booked",FALSE),"Overdue - past date, still only Booked",IF(IF(B1102=TodayDate,TRUE,FALSE),"Today",IF(IF(Z1102&gt;0,AA1102&lt;Z1102-0.004,FALSE),"Due - deposit not taken",IF(IF(B1102&gt;TodayDate,B1102&lt;=TodayDate+2,FALSE),"Confirm - coming up","OK")))))))))))</f>
        <v>0</v>
      </c>
    </row>
    <row r="1103" spans="1:34">
      <c r="A1103" s="28">
        <f>IF(B1103="","",AppointmentPrefix&amp;TEXT(ROW()-4,"0000"))</f>
        <v>0</v>
      </c>
      <c r="C1103" s="15">
        <f>IF(B1103="","",TEXT(B1103,"ddd"))</f>
        <v>0</v>
      </c>
      <c r="F1103" s="15">
        <f>IF(E1103="","",IFERROR(INDEX(Clients!$B$5:$B$504,MATCH(E1103,Clients!$A$5:$A$504,0)),"Walk-in"))</f>
        <v>0</v>
      </c>
      <c r="H1103" s="15">
        <f>IF(G1103="","",IFERROR(INDEX(Services!$B$5:$B$204,MATCH(G1103,Services!$A$5:$A$204,0)),"Not in Services"))</f>
        <v>0</v>
      </c>
      <c r="J1103" s="15">
        <f>IF(I1103="","",IFERROR(INDEX(Staff!$B$5:$B$44,MATCH(I1103,Staff!$A$5:$A$44,0)),"Unassigned"))</f>
        <v>0</v>
      </c>
      <c r="S1103" s="15">
        <f>IF(B1103="","",TEXT(B1103,"yyyy-mm"))</f>
        <v>0</v>
      </c>
      <c r="T1103" s="25">
        <f>IF(B1103="","",WEEKNUM(B1103,2))</f>
        <v>0</v>
      </c>
      <c r="U1103" s="25">
        <f>IF(B1103="","",IF(K1103&lt;&gt;"",K1103,IFERROR(INDEX(Services!$E$5:$E$204,MATCH(G1103,Services!$A$5:$A$204,0))*1,0)+IFERROR(INDEX(Services!$F$5:$F$204,MATCH(G1103,Services!$A$5:$A$204,0))*1,0)))</f>
        <v>0</v>
      </c>
      <c r="V1103" s="36">
        <f>IF(B1103="","",IF(D1103="","",D1103+U1103/1440))</f>
        <v>0</v>
      </c>
      <c r="W1103" s="25">
        <f>IF(B1103="","",IF(D1103="","",HOUR(D1103)))</f>
        <v>0</v>
      </c>
      <c r="X1103" s="37">
        <f>IF(B1103="","",ROUND(U1103/60,2))</f>
        <v>0</v>
      </c>
      <c r="Y1103" s="26">
        <f>IF(B1103="","",IF(L1103&lt;&gt;"",L1103,IFERROR(INDEX(Services!$G$5:$G$204,MATCH(G1103,Services!$A$5:$A$204,0))*1,0)))</f>
        <v>0</v>
      </c>
      <c r="Z1103" s="26">
        <f>IF(B1103="","",IF(O1103&lt;&gt;"",O1103,IF(Y1103&gt;=DepositThreshold,ROUND(Y1103*DepositPercent,2),0)))</f>
        <v>0</v>
      </c>
      <c r="AA1103" s="26">
        <f>IF(B1103="","",ROUND(SUMIFS(Payments!$G$5:$G$1204,Payments!$I$5:$I$1204,A1103,Payments!$E$5:$E$1204,"Deposit"),2))</f>
        <v>0</v>
      </c>
      <c r="AB1103" s="26">
        <f>IF(B1103="","",ROUND(SUMIFS(Sales!$Y$5:$Y$1204,Sales!$C$5:$C$1204,A1103),2))</f>
        <v>0</v>
      </c>
      <c r="AC1103" s="38">
        <f>IF(B1103="","",IF(M1103="Completed","Yes",IF(M1103="Cancelled","Yes",IF(M1103="No show","Yes","No"))))</f>
        <v>0</v>
      </c>
      <c r="AD1103" s="25">
        <f>IF(B1103="","",IF(AE1103="","",B1103-AE1103))</f>
        <v>0</v>
      </c>
      <c r="AF1103" s="38">
        <f>IF(B1103="","",IF(M1103&lt;&gt;"Completed","",IF(E1103="","No",IF(COUNTIFS(Appointments!$E$5:$E$1204,E1103,Appointments!$B$5:$B$1204,"&gt;"&amp;B1103,Appointments!$M$5:$M$1204,"&lt;&gt;Cancelled")&gt;0,"Yes","No"))))</f>
        <v>0</v>
      </c>
      <c r="AG1103" s="38">
        <f>IF(B1103="","",IF(I1103="","",IF(D1103="","",IF(COUNTIFS($I$5:$I$1204,I1103,$B$5:$B$1204,B1103,$D$5:$D$1204,"&lt;"&amp;V1103,$V$5:$V$1204,"&gt;"&amp;D1103,$M$5:$M$1204,"&lt;&gt;Cancelled")&gt;1,"Clash",""))))</f>
        <v>0</v>
      </c>
      <c r="AH1103" s="39">
        <f>IF(B1103="","",IF(AG1103="Clash","Clash - stylist double booked",IF(I1103="","Assign - no stylist yet",IF(G1103="","Add - no service chosen",IF(M1103="No show","No show - charge the fee?",IF(M1103="Cancelled","",IF(IF(M1103="Completed",AB1103&lt;Y1103-0.004,FALSE),"Unpaid - nothing rung up for this visit",IF(IF(B1103&lt;TodayDate,M1103="Booked",FALSE),"Overdue - past date, still only Booked",IF(IF(B1103=TodayDate,TRUE,FALSE),"Today",IF(IF(Z1103&gt;0,AA1103&lt;Z1103-0.004,FALSE),"Due - deposit not taken",IF(IF(B1103&gt;TodayDate,B1103&lt;=TodayDate+2,FALSE),"Confirm - coming up","OK")))))))))))</f>
        <v>0</v>
      </c>
    </row>
    <row r="1104" spans="1:34">
      <c r="A1104" s="28">
        <f>IF(B1104="","",AppointmentPrefix&amp;TEXT(ROW()-4,"0000"))</f>
        <v>0</v>
      </c>
      <c r="C1104" s="15">
        <f>IF(B1104="","",TEXT(B1104,"ddd"))</f>
        <v>0</v>
      </c>
      <c r="F1104" s="15">
        <f>IF(E1104="","",IFERROR(INDEX(Clients!$B$5:$B$504,MATCH(E1104,Clients!$A$5:$A$504,0)),"Walk-in"))</f>
        <v>0</v>
      </c>
      <c r="H1104" s="15">
        <f>IF(G1104="","",IFERROR(INDEX(Services!$B$5:$B$204,MATCH(G1104,Services!$A$5:$A$204,0)),"Not in Services"))</f>
        <v>0</v>
      </c>
      <c r="J1104" s="15">
        <f>IF(I1104="","",IFERROR(INDEX(Staff!$B$5:$B$44,MATCH(I1104,Staff!$A$5:$A$44,0)),"Unassigned"))</f>
        <v>0</v>
      </c>
      <c r="S1104" s="15">
        <f>IF(B1104="","",TEXT(B1104,"yyyy-mm"))</f>
        <v>0</v>
      </c>
      <c r="T1104" s="25">
        <f>IF(B1104="","",WEEKNUM(B1104,2))</f>
        <v>0</v>
      </c>
      <c r="U1104" s="25">
        <f>IF(B1104="","",IF(K1104&lt;&gt;"",K1104,IFERROR(INDEX(Services!$E$5:$E$204,MATCH(G1104,Services!$A$5:$A$204,0))*1,0)+IFERROR(INDEX(Services!$F$5:$F$204,MATCH(G1104,Services!$A$5:$A$204,0))*1,0)))</f>
        <v>0</v>
      </c>
      <c r="V1104" s="36">
        <f>IF(B1104="","",IF(D1104="","",D1104+U1104/1440))</f>
        <v>0</v>
      </c>
      <c r="W1104" s="25">
        <f>IF(B1104="","",IF(D1104="","",HOUR(D1104)))</f>
        <v>0</v>
      </c>
      <c r="X1104" s="37">
        <f>IF(B1104="","",ROUND(U1104/60,2))</f>
        <v>0</v>
      </c>
      <c r="Y1104" s="26">
        <f>IF(B1104="","",IF(L1104&lt;&gt;"",L1104,IFERROR(INDEX(Services!$G$5:$G$204,MATCH(G1104,Services!$A$5:$A$204,0))*1,0)))</f>
        <v>0</v>
      </c>
      <c r="Z1104" s="26">
        <f>IF(B1104="","",IF(O1104&lt;&gt;"",O1104,IF(Y1104&gt;=DepositThreshold,ROUND(Y1104*DepositPercent,2),0)))</f>
        <v>0</v>
      </c>
      <c r="AA1104" s="26">
        <f>IF(B1104="","",ROUND(SUMIFS(Payments!$G$5:$G$1204,Payments!$I$5:$I$1204,A1104,Payments!$E$5:$E$1204,"Deposit"),2))</f>
        <v>0</v>
      </c>
      <c r="AB1104" s="26">
        <f>IF(B1104="","",ROUND(SUMIFS(Sales!$Y$5:$Y$1204,Sales!$C$5:$C$1204,A1104),2))</f>
        <v>0</v>
      </c>
      <c r="AC1104" s="38">
        <f>IF(B1104="","",IF(M1104="Completed","Yes",IF(M1104="Cancelled","Yes",IF(M1104="No show","Yes","No"))))</f>
        <v>0</v>
      </c>
      <c r="AD1104" s="25">
        <f>IF(B1104="","",IF(AE1104="","",B1104-AE1104))</f>
        <v>0</v>
      </c>
      <c r="AF1104" s="38">
        <f>IF(B1104="","",IF(M1104&lt;&gt;"Completed","",IF(E1104="","No",IF(COUNTIFS(Appointments!$E$5:$E$1204,E1104,Appointments!$B$5:$B$1204,"&gt;"&amp;B1104,Appointments!$M$5:$M$1204,"&lt;&gt;Cancelled")&gt;0,"Yes","No"))))</f>
        <v>0</v>
      </c>
      <c r="AG1104" s="38">
        <f>IF(B1104="","",IF(I1104="","",IF(D1104="","",IF(COUNTIFS($I$5:$I$1204,I1104,$B$5:$B$1204,B1104,$D$5:$D$1204,"&lt;"&amp;V1104,$V$5:$V$1204,"&gt;"&amp;D1104,$M$5:$M$1204,"&lt;&gt;Cancelled")&gt;1,"Clash",""))))</f>
        <v>0</v>
      </c>
      <c r="AH1104" s="39">
        <f>IF(B1104="","",IF(AG1104="Clash","Clash - stylist double booked",IF(I1104="","Assign - no stylist yet",IF(G1104="","Add - no service chosen",IF(M1104="No show","No show - charge the fee?",IF(M1104="Cancelled","",IF(IF(M1104="Completed",AB1104&lt;Y1104-0.004,FALSE),"Unpaid - nothing rung up for this visit",IF(IF(B1104&lt;TodayDate,M1104="Booked",FALSE),"Overdue - past date, still only Booked",IF(IF(B1104=TodayDate,TRUE,FALSE),"Today",IF(IF(Z1104&gt;0,AA1104&lt;Z1104-0.004,FALSE),"Due - deposit not taken",IF(IF(B1104&gt;TodayDate,B1104&lt;=TodayDate+2,FALSE),"Confirm - coming up","OK")))))))))))</f>
        <v>0</v>
      </c>
    </row>
    <row r="1105" spans="1:34">
      <c r="A1105" s="28">
        <f>IF(B1105="","",AppointmentPrefix&amp;TEXT(ROW()-4,"0000"))</f>
        <v>0</v>
      </c>
      <c r="C1105" s="15">
        <f>IF(B1105="","",TEXT(B1105,"ddd"))</f>
        <v>0</v>
      </c>
      <c r="F1105" s="15">
        <f>IF(E1105="","",IFERROR(INDEX(Clients!$B$5:$B$504,MATCH(E1105,Clients!$A$5:$A$504,0)),"Walk-in"))</f>
        <v>0</v>
      </c>
      <c r="H1105" s="15">
        <f>IF(G1105="","",IFERROR(INDEX(Services!$B$5:$B$204,MATCH(G1105,Services!$A$5:$A$204,0)),"Not in Services"))</f>
        <v>0</v>
      </c>
      <c r="J1105" s="15">
        <f>IF(I1105="","",IFERROR(INDEX(Staff!$B$5:$B$44,MATCH(I1105,Staff!$A$5:$A$44,0)),"Unassigned"))</f>
        <v>0</v>
      </c>
      <c r="S1105" s="15">
        <f>IF(B1105="","",TEXT(B1105,"yyyy-mm"))</f>
        <v>0</v>
      </c>
      <c r="T1105" s="25">
        <f>IF(B1105="","",WEEKNUM(B1105,2))</f>
        <v>0</v>
      </c>
      <c r="U1105" s="25">
        <f>IF(B1105="","",IF(K1105&lt;&gt;"",K1105,IFERROR(INDEX(Services!$E$5:$E$204,MATCH(G1105,Services!$A$5:$A$204,0))*1,0)+IFERROR(INDEX(Services!$F$5:$F$204,MATCH(G1105,Services!$A$5:$A$204,0))*1,0)))</f>
        <v>0</v>
      </c>
      <c r="V1105" s="36">
        <f>IF(B1105="","",IF(D1105="","",D1105+U1105/1440))</f>
        <v>0</v>
      </c>
      <c r="W1105" s="25">
        <f>IF(B1105="","",IF(D1105="","",HOUR(D1105)))</f>
        <v>0</v>
      </c>
      <c r="X1105" s="37">
        <f>IF(B1105="","",ROUND(U1105/60,2))</f>
        <v>0</v>
      </c>
      <c r="Y1105" s="26">
        <f>IF(B1105="","",IF(L1105&lt;&gt;"",L1105,IFERROR(INDEX(Services!$G$5:$G$204,MATCH(G1105,Services!$A$5:$A$204,0))*1,0)))</f>
        <v>0</v>
      </c>
      <c r="Z1105" s="26">
        <f>IF(B1105="","",IF(O1105&lt;&gt;"",O1105,IF(Y1105&gt;=DepositThreshold,ROUND(Y1105*DepositPercent,2),0)))</f>
        <v>0</v>
      </c>
      <c r="AA1105" s="26">
        <f>IF(B1105="","",ROUND(SUMIFS(Payments!$G$5:$G$1204,Payments!$I$5:$I$1204,A1105,Payments!$E$5:$E$1204,"Deposit"),2))</f>
        <v>0</v>
      </c>
      <c r="AB1105" s="26">
        <f>IF(B1105="","",ROUND(SUMIFS(Sales!$Y$5:$Y$1204,Sales!$C$5:$C$1204,A1105),2))</f>
        <v>0</v>
      </c>
      <c r="AC1105" s="38">
        <f>IF(B1105="","",IF(M1105="Completed","Yes",IF(M1105="Cancelled","Yes",IF(M1105="No show","Yes","No"))))</f>
        <v>0</v>
      </c>
      <c r="AD1105" s="25">
        <f>IF(B1105="","",IF(AE1105="","",B1105-AE1105))</f>
        <v>0</v>
      </c>
      <c r="AF1105" s="38">
        <f>IF(B1105="","",IF(M1105&lt;&gt;"Completed","",IF(E1105="","No",IF(COUNTIFS(Appointments!$E$5:$E$1204,E1105,Appointments!$B$5:$B$1204,"&gt;"&amp;B1105,Appointments!$M$5:$M$1204,"&lt;&gt;Cancelled")&gt;0,"Yes","No"))))</f>
        <v>0</v>
      </c>
      <c r="AG1105" s="38">
        <f>IF(B1105="","",IF(I1105="","",IF(D1105="","",IF(COUNTIFS($I$5:$I$1204,I1105,$B$5:$B$1204,B1105,$D$5:$D$1204,"&lt;"&amp;V1105,$V$5:$V$1204,"&gt;"&amp;D1105,$M$5:$M$1204,"&lt;&gt;Cancelled")&gt;1,"Clash",""))))</f>
        <v>0</v>
      </c>
      <c r="AH1105" s="39">
        <f>IF(B1105="","",IF(AG1105="Clash","Clash - stylist double booked",IF(I1105="","Assign - no stylist yet",IF(G1105="","Add - no service chosen",IF(M1105="No show","No show - charge the fee?",IF(M1105="Cancelled","",IF(IF(M1105="Completed",AB1105&lt;Y1105-0.004,FALSE),"Unpaid - nothing rung up for this visit",IF(IF(B1105&lt;TodayDate,M1105="Booked",FALSE),"Overdue - past date, still only Booked",IF(IF(B1105=TodayDate,TRUE,FALSE),"Today",IF(IF(Z1105&gt;0,AA1105&lt;Z1105-0.004,FALSE),"Due - deposit not taken",IF(IF(B1105&gt;TodayDate,B1105&lt;=TodayDate+2,FALSE),"Confirm - coming up","OK")))))))))))</f>
        <v>0</v>
      </c>
    </row>
    <row r="1106" spans="1:34">
      <c r="A1106" s="28">
        <f>IF(B1106="","",AppointmentPrefix&amp;TEXT(ROW()-4,"0000"))</f>
        <v>0</v>
      </c>
      <c r="C1106" s="15">
        <f>IF(B1106="","",TEXT(B1106,"ddd"))</f>
        <v>0</v>
      </c>
      <c r="F1106" s="15">
        <f>IF(E1106="","",IFERROR(INDEX(Clients!$B$5:$B$504,MATCH(E1106,Clients!$A$5:$A$504,0)),"Walk-in"))</f>
        <v>0</v>
      </c>
      <c r="H1106" s="15">
        <f>IF(G1106="","",IFERROR(INDEX(Services!$B$5:$B$204,MATCH(G1106,Services!$A$5:$A$204,0)),"Not in Services"))</f>
        <v>0</v>
      </c>
      <c r="J1106" s="15">
        <f>IF(I1106="","",IFERROR(INDEX(Staff!$B$5:$B$44,MATCH(I1106,Staff!$A$5:$A$44,0)),"Unassigned"))</f>
        <v>0</v>
      </c>
      <c r="S1106" s="15">
        <f>IF(B1106="","",TEXT(B1106,"yyyy-mm"))</f>
        <v>0</v>
      </c>
      <c r="T1106" s="25">
        <f>IF(B1106="","",WEEKNUM(B1106,2))</f>
        <v>0</v>
      </c>
      <c r="U1106" s="25">
        <f>IF(B1106="","",IF(K1106&lt;&gt;"",K1106,IFERROR(INDEX(Services!$E$5:$E$204,MATCH(G1106,Services!$A$5:$A$204,0))*1,0)+IFERROR(INDEX(Services!$F$5:$F$204,MATCH(G1106,Services!$A$5:$A$204,0))*1,0)))</f>
        <v>0</v>
      </c>
      <c r="V1106" s="36">
        <f>IF(B1106="","",IF(D1106="","",D1106+U1106/1440))</f>
        <v>0</v>
      </c>
      <c r="W1106" s="25">
        <f>IF(B1106="","",IF(D1106="","",HOUR(D1106)))</f>
        <v>0</v>
      </c>
      <c r="X1106" s="37">
        <f>IF(B1106="","",ROUND(U1106/60,2))</f>
        <v>0</v>
      </c>
      <c r="Y1106" s="26">
        <f>IF(B1106="","",IF(L1106&lt;&gt;"",L1106,IFERROR(INDEX(Services!$G$5:$G$204,MATCH(G1106,Services!$A$5:$A$204,0))*1,0)))</f>
        <v>0</v>
      </c>
      <c r="Z1106" s="26">
        <f>IF(B1106="","",IF(O1106&lt;&gt;"",O1106,IF(Y1106&gt;=DepositThreshold,ROUND(Y1106*DepositPercent,2),0)))</f>
        <v>0</v>
      </c>
      <c r="AA1106" s="26">
        <f>IF(B1106="","",ROUND(SUMIFS(Payments!$G$5:$G$1204,Payments!$I$5:$I$1204,A1106,Payments!$E$5:$E$1204,"Deposit"),2))</f>
        <v>0</v>
      </c>
      <c r="AB1106" s="26">
        <f>IF(B1106="","",ROUND(SUMIFS(Sales!$Y$5:$Y$1204,Sales!$C$5:$C$1204,A1106),2))</f>
        <v>0</v>
      </c>
      <c r="AC1106" s="38">
        <f>IF(B1106="","",IF(M1106="Completed","Yes",IF(M1106="Cancelled","Yes",IF(M1106="No show","Yes","No"))))</f>
        <v>0</v>
      </c>
      <c r="AD1106" s="25">
        <f>IF(B1106="","",IF(AE1106="","",B1106-AE1106))</f>
        <v>0</v>
      </c>
      <c r="AF1106" s="38">
        <f>IF(B1106="","",IF(M1106&lt;&gt;"Completed","",IF(E1106="","No",IF(COUNTIFS(Appointments!$E$5:$E$1204,E1106,Appointments!$B$5:$B$1204,"&gt;"&amp;B1106,Appointments!$M$5:$M$1204,"&lt;&gt;Cancelled")&gt;0,"Yes","No"))))</f>
        <v>0</v>
      </c>
      <c r="AG1106" s="38">
        <f>IF(B1106="","",IF(I1106="","",IF(D1106="","",IF(COUNTIFS($I$5:$I$1204,I1106,$B$5:$B$1204,B1106,$D$5:$D$1204,"&lt;"&amp;V1106,$V$5:$V$1204,"&gt;"&amp;D1106,$M$5:$M$1204,"&lt;&gt;Cancelled")&gt;1,"Clash",""))))</f>
        <v>0</v>
      </c>
      <c r="AH1106" s="39">
        <f>IF(B1106="","",IF(AG1106="Clash","Clash - stylist double booked",IF(I1106="","Assign - no stylist yet",IF(G1106="","Add - no service chosen",IF(M1106="No show","No show - charge the fee?",IF(M1106="Cancelled","",IF(IF(M1106="Completed",AB1106&lt;Y1106-0.004,FALSE),"Unpaid - nothing rung up for this visit",IF(IF(B1106&lt;TodayDate,M1106="Booked",FALSE),"Overdue - past date, still only Booked",IF(IF(B1106=TodayDate,TRUE,FALSE),"Today",IF(IF(Z1106&gt;0,AA1106&lt;Z1106-0.004,FALSE),"Due - deposit not taken",IF(IF(B1106&gt;TodayDate,B1106&lt;=TodayDate+2,FALSE),"Confirm - coming up","OK")))))))))))</f>
        <v>0</v>
      </c>
    </row>
    <row r="1107" spans="1:34">
      <c r="A1107" s="28">
        <f>IF(B1107="","",AppointmentPrefix&amp;TEXT(ROW()-4,"0000"))</f>
        <v>0</v>
      </c>
      <c r="C1107" s="15">
        <f>IF(B1107="","",TEXT(B1107,"ddd"))</f>
        <v>0</v>
      </c>
      <c r="F1107" s="15">
        <f>IF(E1107="","",IFERROR(INDEX(Clients!$B$5:$B$504,MATCH(E1107,Clients!$A$5:$A$504,0)),"Walk-in"))</f>
        <v>0</v>
      </c>
      <c r="H1107" s="15">
        <f>IF(G1107="","",IFERROR(INDEX(Services!$B$5:$B$204,MATCH(G1107,Services!$A$5:$A$204,0)),"Not in Services"))</f>
        <v>0</v>
      </c>
      <c r="J1107" s="15">
        <f>IF(I1107="","",IFERROR(INDEX(Staff!$B$5:$B$44,MATCH(I1107,Staff!$A$5:$A$44,0)),"Unassigned"))</f>
        <v>0</v>
      </c>
      <c r="S1107" s="15">
        <f>IF(B1107="","",TEXT(B1107,"yyyy-mm"))</f>
        <v>0</v>
      </c>
      <c r="T1107" s="25">
        <f>IF(B1107="","",WEEKNUM(B1107,2))</f>
        <v>0</v>
      </c>
      <c r="U1107" s="25">
        <f>IF(B1107="","",IF(K1107&lt;&gt;"",K1107,IFERROR(INDEX(Services!$E$5:$E$204,MATCH(G1107,Services!$A$5:$A$204,0))*1,0)+IFERROR(INDEX(Services!$F$5:$F$204,MATCH(G1107,Services!$A$5:$A$204,0))*1,0)))</f>
        <v>0</v>
      </c>
      <c r="V1107" s="36">
        <f>IF(B1107="","",IF(D1107="","",D1107+U1107/1440))</f>
        <v>0</v>
      </c>
      <c r="W1107" s="25">
        <f>IF(B1107="","",IF(D1107="","",HOUR(D1107)))</f>
        <v>0</v>
      </c>
      <c r="X1107" s="37">
        <f>IF(B1107="","",ROUND(U1107/60,2))</f>
        <v>0</v>
      </c>
      <c r="Y1107" s="26">
        <f>IF(B1107="","",IF(L1107&lt;&gt;"",L1107,IFERROR(INDEX(Services!$G$5:$G$204,MATCH(G1107,Services!$A$5:$A$204,0))*1,0)))</f>
        <v>0</v>
      </c>
      <c r="Z1107" s="26">
        <f>IF(B1107="","",IF(O1107&lt;&gt;"",O1107,IF(Y1107&gt;=DepositThreshold,ROUND(Y1107*DepositPercent,2),0)))</f>
        <v>0</v>
      </c>
      <c r="AA1107" s="26">
        <f>IF(B1107="","",ROUND(SUMIFS(Payments!$G$5:$G$1204,Payments!$I$5:$I$1204,A1107,Payments!$E$5:$E$1204,"Deposit"),2))</f>
        <v>0</v>
      </c>
      <c r="AB1107" s="26">
        <f>IF(B1107="","",ROUND(SUMIFS(Sales!$Y$5:$Y$1204,Sales!$C$5:$C$1204,A1107),2))</f>
        <v>0</v>
      </c>
      <c r="AC1107" s="38">
        <f>IF(B1107="","",IF(M1107="Completed","Yes",IF(M1107="Cancelled","Yes",IF(M1107="No show","Yes","No"))))</f>
        <v>0</v>
      </c>
      <c r="AD1107" s="25">
        <f>IF(B1107="","",IF(AE1107="","",B1107-AE1107))</f>
        <v>0</v>
      </c>
      <c r="AF1107" s="38">
        <f>IF(B1107="","",IF(M1107&lt;&gt;"Completed","",IF(E1107="","No",IF(COUNTIFS(Appointments!$E$5:$E$1204,E1107,Appointments!$B$5:$B$1204,"&gt;"&amp;B1107,Appointments!$M$5:$M$1204,"&lt;&gt;Cancelled")&gt;0,"Yes","No"))))</f>
        <v>0</v>
      </c>
      <c r="AG1107" s="38">
        <f>IF(B1107="","",IF(I1107="","",IF(D1107="","",IF(COUNTIFS($I$5:$I$1204,I1107,$B$5:$B$1204,B1107,$D$5:$D$1204,"&lt;"&amp;V1107,$V$5:$V$1204,"&gt;"&amp;D1107,$M$5:$M$1204,"&lt;&gt;Cancelled")&gt;1,"Clash",""))))</f>
        <v>0</v>
      </c>
      <c r="AH1107" s="39">
        <f>IF(B1107="","",IF(AG1107="Clash","Clash - stylist double booked",IF(I1107="","Assign - no stylist yet",IF(G1107="","Add - no service chosen",IF(M1107="No show","No show - charge the fee?",IF(M1107="Cancelled","",IF(IF(M1107="Completed",AB1107&lt;Y1107-0.004,FALSE),"Unpaid - nothing rung up for this visit",IF(IF(B1107&lt;TodayDate,M1107="Booked",FALSE),"Overdue - past date, still only Booked",IF(IF(B1107=TodayDate,TRUE,FALSE),"Today",IF(IF(Z1107&gt;0,AA1107&lt;Z1107-0.004,FALSE),"Due - deposit not taken",IF(IF(B1107&gt;TodayDate,B1107&lt;=TodayDate+2,FALSE),"Confirm - coming up","OK")))))))))))</f>
        <v>0</v>
      </c>
    </row>
    <row r="1108" spans="1:34">
      <c r="A1108" s="28">
        <f>IF(B1108="","",AppointmentPrefix&amp;TEXT(ROW()-4,"0000"))</f>
        <v>0</v>
      </c>
      <c r="C1108" s="15">
        <f>IF(B1108="","",TEXT(B1108,"ddd"))</f>
        <v>0</v>
      </c>
      <c r="F1108" s="15">
        <f>IF(E1108="","",IFERROR(INDEX(Clients!$B$5:$B$504,MATCH(E1108,Clients!$A$5:$A$504,0)),"Walk-in"))</f>
        <v>0</v>
      </c>
      <c r="H1108" s="15">
        <f>IF(G1108="","",IFERROR(INDEX(Services!$B$5:$B$204,MATCH(G1108,Services!$A$5:$A$204,0)),"Not in Services"))</f>
        <v>0</v>
      </c>
      <c r="J1108" s="15">
        <f>IF(I1108="","",IFERROR(INDEX(Staff!$B$5:$B$44,MATCH(I1108,Staff!$A$5:$A$44,0)),"Unassigned"))</f>
        <v>0</v>
      </c>
      <c r="S1108" s="15">
        <f>IF(B1108="","",TEXT(B1108,"yyyy-mm"))</f>
        <v>0</v>
      </c>
      <c r="T1108" s="25">
        <f>IF(B1108="","",WEEKNUM(B1108,2))</f>
        <v>0</v>
      </c>
      <c r="U1108" s="25">
        <f>IF(B1108="","",IF(K1108&lt;&gt;"",K1108,IFERROR(INDEX(Services!$E$5:$E$204,MATCH(G1108,Services!$A$5:$A$204,0))*1,0)+IFERROR(INDEX(Services!$F$5:$F$204,MATCH(G1108,Services!$A$5:$A$204,0))*1,0)))</f>
        <v>0</v>
      </c>
      <c r="V1108" s="36">
        <f>IF(B1108="","",IF(D1108="","",D1108+U1108/1440))</f>
        <v>0</v>
      </c>
      <c r="W1108" s="25">
        <f>IF(B1108="","",IF(D1108="","",HOUR(D1108)))</f>
        <v>0</v>
      </c>
      <c r="X1108" s="37">
        <f>IF(B1108="","",ROUND(U1108/60,2))</f>
        <v>0</v>
      </c>
      <c r="Y1108" s="26">
        <f>IF(B1108="","",IF(L1108&lt;&gt;"",L1108,IFERROR(INDEX(Services!$G$5:$G$204,MATCH(G1108,Services!$A$5:$A$204,0))*1,0)))</f>
        <v>0</v>
      </c>
      <c r="Z1108" s="26">
        <f>IF(B1108="","",IF(O1108&lt;&gt;"",O1108,IF(Y1108&gt;=DepositThreshold,ROUND(Y1108*DepositPercent,2),0)))</f>
        <v>0</v>
      </c>
      <c r="AA1108" s="26">
        <f>IF(B1108="","",ROUND(SUMIFS(Payments!$G$5:$G$1204,Payments!$I$5:$I$1204,A1108,Payments!$E$5:$E$1204,"Deposit"),2))</f>
        <v>0</v>
      </c>
      <c r="AB1108" s="26">
        <f>IF(B1108="","",ROUND(SUMIFS(Sales!$Y$5:$Y$1204,Sales!$C$5:$C$1204,A1108),2))</f>
        <v>0</v>
      </c>
      <c r="AC1108" s="38">
        <f>IF(B1108="","",IF(M1108="Completed","Yes",IF(M1108="Cancelled","Yes",IF(M1108="No show","Yes","No"))))</f>
        <v>0</v>
      </c>
      <c r="AD1108" s="25">
        <f>IF(B1108="","",IF(AE1108="","",B1108-AE1108))</f>
        <v>0</v>
      </c>
      <c r="AF1108" s="38">
        <f>IF(B1108="","",IF(M1108&lt;&gt;"Completed","",IF(E1108="","No",IF(COUNTIFS(Appointments!$E$5:$E$1204,E1108,Appointments!$B$5:$B$1204,"&gt;"&amp;B1108,Appointments!$M$5:$M$1204,"&lt;&gt;Cancelled")&gt;0,"Yes","No"))))</f>
        <v>0</v>
      </c>
      <c r="AG1108" s="38">
        <f>IF(B1108="","",IF(I1108="","",IF(D1108="","",IF(COUNTIFS($I$5:$I$1204,I1108,$B$5:$B$1204,B1108,$D$5:$D$1204,"&lt;"&amp;V1108,$V$5:$V$1204,"&gt;"&amp;D1108,$M$5:$M$1204,"&lt;&gt;Cancelled")&gt;1,"Clash",""))))</f>
        <v>0</v>
      </c>
      <c r="AH1108" s="39">
        <f>IF(B1108="","",IF(AG1108="Clash","Clash - stylist double booked",IF(I1108="","Assign - no stylist yet",IF(G1108="","Add - no service chosen",IF(M1108="No show","No show - charge the fee?",IF(M1108="Cancelled","",IF(IF(M1108="Completed",AB1108&lt;Y1108-0.004,FALSE),"Unpaid - nothing rung up for this visit",IF(IF(B1108&lt;TodayDate,M1108="Booked",FALSE),"Overdue - past date, still only Booked",IF(IF(B1108=TodayDate,TRUE,FALSE),"Today",IF(IF(Z1108&gt;0,AA1108&lt;Z1108-0.004,FALSE),"Due - deposit not taken",IF(IF(B1108&gt;TodayDate,B1108&lt;=TodayDate+2,FALSE),"Confirm - coming up","OK")))))))))))</f>
        <v>0</v>
      </c>
    </row>
    <row r="1109" spans="1:34">
      <c r="A1109" s="28">
        <f>IF(B1109="","",AppointmentPrefix&amp;TEXT(ROW()-4,"0000"))</f>
        <v>0</v>
      </c>
      <c r="C1109" s="15">
        <f>IF(B1109="","",TEXT(B1109,"ddd"))</f>
        <v>0</v>
      </c>
      <c r="F1109" s="15">
        <f>IF(E1109="","",IFERROR(INDEX(Clients!$B$5:$B$504,MATCH(E1109,Clients!$A$5:$A$504,0)),"Walk-in"))</f>
        <v>0</v>
      </c>
      <c r="H1109" s="15">
        <f>IF(G1109="","",IFERROR(INDEX(Services!$B$5:$B$204,MATCH(G1109,Services!$A$5:$A$204,0)),"Not in Services"))</f>
        <v>0</v>
      </c>
      <c r="J1109" s="15">
        <f>IF(I1109="","",IFERROR(INDEX(Staff!$B$5:$B$44,MATCH(I1109,Staff!$A$5:$A$44,0)),"Unassigned"))</f>
        <v>0</v>
      </c>
      <c r="S1109" s="15">
        <f>IF(B1109="","",TEXT(B1109,"yyyy-mm"))</f>
        <v>0</v>
      </c>
      <c r="T1109" s="25">
        <f>IF(B1109="","",WEEKNUM(B1109,2))</f>
        <v>0</v>
      </c>
      <c r="U1109" s="25">
        <f>IF(B1109="","",IF(K1109&lt;&gt;"",K1109,IFERROR(INDEX(Services!$E$5:$E$204,MATCH(G1109,Services!$A$5:$A$204,0))*1,0)+IFERROR(INDEX(Services!$F$5:$F$204,MATCH(G1109,Services!$A$5:$A$204,0))*1,0)))</f>
        <v>0</v>
      </c>
      <c r="V1109" s="36">
        <f>IF(B1109="","",IF(D1109="","",D1109+U1109/1440))</f>
        <v>0</v>
      </c>
      <c r="W1109" s="25">
        <f>IF(B1109="","",IF(D1109="","",HOUR(D1109)))</f>
        <v>0</v>
      </c>
      <c r="X1109" s="37">
        <f>IF(B1109="","",ROUND(U1109/60,2))</f>
        <v>0</v>
      </c>
      <c r="Y1109" s="26">
        <f>IF(B1109="","",IF(L1109&lt;&gt;"",L1109,IFERROR(INDEX(Services!$G$5:$G$204,MATCH(G1109,Services!$A$5:$A$204,0))*1,0)))</f>
        <v>0</v>
      </c>
      <c r="Z1109" s="26">
        <f>IF(B1109="","",IF(O1109&lt;&gt;"",O1109,IF(Y1109&gt;=DepositThreshold,ROUND(Y1109*DepositPercent,2),0)))</f>
        <v>0</v>
      </c>
      <c r="AA1109" s="26">
        <f>IF(B1109="","",ROUND(SUMIFS(Payments!$G$5:$G$1204,Payments!$I$5:$I$1204,A1109,Payments!$E$5:$E$1204,"Deposit"),2))</f>
        <v>0</v>
      </c>
      <c r="AB1109" s="26">
        <f>IF(B1109="","",ROUND(SUMIFS(Sales!$Y$5:$Y$1204,Sales!$C$5:$C$1204,A1109),2))</f>
        <v>0</v>
      </c>
      <c r="AC1109" s="38">
        <f>IF(B1109="","",IF(M1109="Completed","Yes",IF(M1109="Cancelled","Yes",IF(M1109="No show","Yes","No"))))</f>
        <v>0</v>
      </c>
      <c r="AD1109" s="25">
        <f>IF(B1109="","",IF(AE1109="","",B1109-AE1109))</f>
        <v>0</v>
      </c>
      <c r="AF1109" s="38">
        <f>IF(B1109="","",IF(M1109&lt;&gt;"Completed","",IF(E1109="","No",IF(COUNTIFS(Appointments!$E$5:$E$1204,E1109,Appointments!$B$5:$B$1204,"&gt;"&amp;B1109,Appointments!$M$5:$M$1204,"&lt;&gt;Cancelled")&gt;0,"Yes","No"))))</f>
        <v>0</v>
      </c>
      <c r="AG1109" s="38">
        <f>IF(B1109="","",IF(I1109="","",IF(D1109="","",IF(COUNTIFS($I$5:$I$1204,I1109,$B$5:$B$1204,B1109,$D$5:$D$1204,"&lt;"&amp;V1109,$V$5:$V$1204,"&gt;"&amp;D1109,$M$5:$M$1204,"&lt;&gt;Cancelled")&gt;1,"Clash",""))))</f>
        <v>0</v>
      </c>
      <c r="AH1109" s="39">
        <f>IF(B1109="","",IF(AG1109="Clash","Clash - stylist double booked",IF(I1109="","Assign - no stylist yet",IF(G1109="","Add - no service chosen",IF(M1109="No show","No show - charge the fee?",IF(M1109="Cancelled","",IF(IF(M1109="Completed",AB1109&lt;Y1109-0.004,FALSE),"Unpaid - nothing rung up for this visit",IF(IF(B1109&lt;TodayDate,M1109="Booked",FALSE),"Overdue - past date, still only Booked",IF(IF(B1109=TodayDate,TRUE,FALSE),"Today",IF(IF(Z1109&gt;0,AA1109&lt;Z1109-0.004,FALSE),"Due - deposit not taken",IF(IF(B1109&gt;TodayDate,B1109&lt;=TodayDate+2,FALSE),"Confirm - coming up","OK")))))))))))</f>
        <v>0</v>
      </c>
    </row>
    <row r="1110" spans="1:34">
      <c r="A1110" s="28">
        <f>IF(B1110="","",AppointmentPrefix&amp;TEXT(ROW()-4,"0000"))</f>
        <v>0</v>
      </c>
      <c r="C1110" s="15">
        <f>IF(B1110="","",TEXT(B1110,"ddd"))</f>
        <v>0</v>
      </c>
      <c r="F1110" s="15">
        <f>IF(E1110="","",IFERROR(INDEX(Clients!$B$5:$B$504,MATCH(E1110,Clients!$A$5:$A$504,0)),"Walk-in"))</f>
        <v>0</v>
      </c>
      <c r="H1110" s="15">
        <f>IF(G1110="","",IFERROR(INDEX(Services!$B$5:$B$204,MATCH(G1110,Services!$A$5:$A$204,0)),"Not in Services"))</f>
        <v>0</v>
      </c>
      <c r="J1110" s="15">
        <f>IF(I1110="","",IFERROR(INDEX(Staff!$B$5:$B$44,MATCH(I1110,Staff!$A$5:$A$44,0)),"Unassigned"))</f>
        <v>0</v>
      </c>
      <c r="S1110" s="15">
        <f>IF(B1110="","",TEXT(B1110,"yyyy-mm"))</f>
        <v>0</v>
      </c>
      <c r="T1110" s="25">
        <f>IF(B1110="","",WEEKNUM(B1110,2))</f>
        <v>0</v>
      </c>
      <c r="U1110" s="25">
        <f>IF(B1110="","",IF(K1110&lt;&gt;"",K1110,IFERROR(INDEX(Services!$E$5:$E$204,MATCH(G1110,Services!$A$5:$A$204,0))*1,0)+IFERROR(INDEX(Services!$F$5:$F$204,MATCH(G1110,Services!$A$5:$A$204,0))*1,0)))</f>
        <v>0</v>
      </c>
      <c r="V1110" s="36">
        <f>IF(B1110="","",IF(D1110="","",D1110+U1110/1440))</f>
        <v>0</v>
      </c>
      <c r="W1110" s="25">
        <f>IF(B1110="","",IF(D1110="","",HOUR(D1110)))</f>
        <v>0</v>
      </c>
      <c r="X1110" s="37">
        <f>IF(B1110="","",ROUND(U1110/60,2))</f>
        <v>0</v>
      </c>
      <c r="Y1110" s="26">
        <f>IF(B1110="","",IF(L1110&lt;&gt;"",L1110,IFERROR(INDEX(Services!$G$5:$G$204,MATCH(G1110,Services!$A$5:$A$204,0))*1,0)))</f>
        <v>0</v>
      </c>
      <c r="Z1110" s="26">
        <f>IF(B1110="","",IF(O1110&lt;&gt;"",O1110,IF(Y1110&gt;=DepositThreshold,ROUND(Y1110*DepositPercent,2),0)))</f>
        <v>0</v>
      </c>
      <c r="AA1110" s="26">
        <f>IF(B1110="","",ROUND(SUMIFS(Payments!$G$5:$G$1204,Payments!$I$5:$I$1204,A1110,Payments!$E$5:$E$1204,"Deposit"),2))</f>
        <v>0</v>
      </c>
      <c r="AB1110" s="26">
        <f>IF(B1110="","",ROUND(SUMIFS(Sales!$Y$5:$Y$1204,Sales!$C$5:$C$1204,A1110),2))</f>
        <v>0</v>
      </c>
      <c r="AC1110" s="38">
        <f>IF(B1110="","",IF(M1110="Completed","Yes",IF(M1110="Cancelled","Yes",IF(M1110="No show","Yes","No"))))</f>
        <v>0</v>
      </c>
      <c r="AD1110" s="25">
        <f>IF(B1110="","",IF(AE1110="","",B1110-AE1110))</f>
        <v>0</v>
      </c>
      <c r="AF1110" s="38">
        <f>IF(B1110="","",IF(M1110&lt;&gt;"Completed","",IF(E1110="","No",IF(COUNTIFS(Appointments!$E$5:$E$1204,E1110,Appointments!$B$5:$B$1204,"&gt;"&amp;B1110,Appointments!$M$5:$M$1204,"&lt;&gt;Cancelled")&gt;0,"Yes","No"))))</f>
        <v>0</v>
      </c>
      <c r="AG1110" s="38">
        <f>IF(B1110="","",IF(I1110="","",IF(D1110="","",IF(COUNTIFS($I$5:$I$1204,I1110,$B$5:$B$1204,B1110,$D$5:$D$1204,"&lt;"&amp;V1110,$V$5:$V$1204,"&gt;"&amp;D1110,$M$5:$M$1204,"&lt;&gt;Cancelled")&gt;1,"Clash",""))))</f>
        <v>0</v>
      </c>
      <c r="AH1110" s="39">
        <f>IF(B1110="","",IF(AG1110="Clash","Clash - stylist double booked",IF(I1110="","Assign - no stylist yet",IF(G1110="","Add - no service chosen",IF(M1110="No show","No show - charge the fee?",IF(M1110="Cancelled","",IF(IF(M1110="Completed",AB1110&lt;Y1110-0.004,FALSE),"Unpaid - nothing rung up for this visit",IF(IF(B1110&lt;TodayDate,M1110="Booked",FALSE),"Overdue - past date, still only Booked",IF(IF(B1110=TodayDate,TRUE,FALSE),"Today",IF(IF(Z1110&gt;0,AA1110&lt;Z1110-0.004,FALSE),"Due - deposit not taken",IF(IF(B1110&gt;TodayDate,B1110&lt;=TodayDate+2,FALSE),"Confirm - coming up","OK")))))))))))</f>
        <v>0</v>
      </c>
    </row>
    <row r="1111" spans="1:34">
      <c r="A1111" s="28">
        <f>IF(B1111="","",AppointmentPrefix&amp;TEXT(ROW()-4,"0000"))</f>
        <v>0</v>
      </c>
      <c r="C1111" s="15">
        <f>IF(B1111="","",TEXT(B1111,"ddd"))</f>
        <v>0</v>
      </c>
      <c r="F1111" s="15">
        <f>IF(E1111="","",IFERROR(INDEX(Clients!$B$5:$B$504,MATCH(E1111,Clients!$A$5:$A$504,0)),"Walk-in"))</f>
        <v>0</v>
      </c>
      <c r="H1111" s="15">
        <f>IF(G1111="","",IFERROR(INDEX(Services!$B$5:$B$204,MATCH(G1111,Services!$A$5:$A$204,0)),"Not in Services"))</f>
        <v>0</v>
      </c>
      <c r="J1111" s="15">
        <f>IF(I1111="","",IFERROR(INDEX(Staff!$B$5:$B$44,MATCH(I1111,Staff!$A$5:$A$44,0)),"Unassigned"))</f>
        <v>0</v>
      </c>
      <c r="S1111" s="15">
        <f>IF(B1111="","",TEXT(B1111,"yyyy-mm"))</f>
        <v>0</v>
      </c>
      <c r="T1111" s="25">
        <f>IF(B1111="","",WEEKNUM(B1111,2))</f>
        <v>0</v>
      </c>
      <c r="U1111" s="25">
        <f>IF(B1111="","",IF(K1111&lt;&gt;"",K1111,IFERROR(INDEX(Services!$E$5:$E$204,MATCH(G1111,Services!$A$5:$A$204,0))*1,0)+IFERROR(INDEX(Services!$F$5:$F$204,MATCH(G1111,Services!$A$5:$A$204,0))*1,0)))</f>
        <v>0</v>
      </c>
      <c r="V1111" s="36">
        <f>IF(B1111="","",IF(D1111="","",D1111+U1111/1440))</f>
        <v>0</v>
      </c>
      <c r="W1111" s="25">
        <f>IF(B1111="","",IF(D1111="","",HOUR(D1111)))</f>
        <v>0</v>
      </c>
      <c r="X1111" s="37">
        <f>IF(B1111="","",ROUND(U1111/60,2))</f>
        <v>0</v>
      </c>
      <c r="Y1111" s="26">
        <f>IF(B1111="","",IF(L1111&lt;&gt;"",L1111,IFERROR(INDEX(Services!$G$5:$G$204,MATCH(G1111,Services!$A$5:$A$204,0))*1,0)))</f>
        <v>0</v>
      </c>
      <c r="Z1111" s="26">
        <f>IF(B1111="","",IF(O1111&lt;&gt;"",O1111,IF(Y1111&gt;=DepositThreshold,ROUND(Y1111*DepositPercent,2),0)))</f>
        <v>0</v>
      </c>
      <c r="AA1111" s="26">
        <f>IF(B1111="","",ROUND(SUMIFS(Payments!$G$5:$G$1204,Payments!$I$5:$I$1204,A1111,Payments!$E$5:$E$1204,"Deposit"),2))</f>
        <v>0</v>
      </c>
      <c r="AB1111" s="26">
        <f>IF(B1111="","",ROUND(SUMIFS(Sales!$Y$5:$Y$1204,Sales!$C$5:$C$1204,A1111),2))</f>
        <v>0</v>
      </c>
      <c r="AC1111" s="38">
        <f>IF(B1111="","",IF(M1111="Completed","Yes",IF(M1111="Cancelled","Yes",IF(M1111="No show","Yes","No"))))</f>
        <v>0</v>
      </c>
      <c r="AD1111" s="25">
        <f>IF(B1111="","",IF(AE1111="","",B1111-AE1111))</f>
        <v>0</v>
      </c>
      <c r="AF1111" s="38">
        <f>IF(B1111="","",IF(M1111&lt;&gt;"Completed","",IF(E1111="","No",IF(COUNTIFS(Appointments!$E$5:$E$1204,E1111,Appointments!$B$5:$B$1204,"&gt;"&amp;B1111,Appointments!$M$5:$M$1204,"&lt;&gt;Cancelled")&gt;0,"Yes","No"))))</f>
        <v>0</v>
      </c>
      <c r="AG1111" s="38">
        <f>IF(B1111="","",IF(I1111="","",IF(D1111="","",IF(COUNTIFS($I$5:$I$1204,I1111,$B$5:$B$1204,B1111,$D$5:$D$1204,"&lt;"&amp;V1111,$V$5:$V$1204,"&gt;"&amp;D1111,$M$5:$M$1204,"&lt;&gt;Cancelled")&gt;1,"Clash",""))))</f>
        <v>0</v>
      </c>
      <c r="AH1111" s="39">
        <f>IF(B1111="","",IF(AG1111="Clash","Clash - stylist double booked",IF(I1111="","Assign - no stylist yet",IF(G1111="","Add - no service chosen",IF(M1111="No show","No show - charge the fee?",IF(M1111="Cancelled","",IF(IF(M1111="Completed",AB1111&lt;Y1111-0.004,FALSE),"Unpaid - nothing rung up for this visit",IF(IF(B1111&lt;TodayDate,M1111="Booked",FALSE),"Overdue - past date, still only Booked",IF(IF(B1111=TodayDate,TRUE,FALSE),"Today",IF(IF(Z1111&gt;0,AA1111&lt;Z1111-0.004,FALSE),"Due - deposit not taken",IF(IF(B1111&gt;TodayDate,B1111&lt;=TodayDate+2,FALSE),"Confirm - coming up","OK")))))))))))</f>
        <v>0</v>
      </c>
    </row>
    <row r="1112" spans="1:34">
      <c r="A1112" s="28">
        <f>IF(B1112="","",AppointmentPrefix&amp;TEXT(ROW()-4,"0000"))</f>
        <v>0</v>
      </c>
      <c r="C1112" s="15">
        <f>IF(B1112="","",TEXT(B1112,"ddd"))</f>
        <v>0</v>
      </c>
      <c r="F1112" s="15">
        <f>IF(E1112="","",IFERROR(INDEX(Clients!$B$5:$B$504,MATCH(E1112,Clients!$A$5:$A$504,0)),"Walk-in"))</f>
        <v>0</v>
      </c>
      <c r="H1112" s="15">
        <f>IF(G1112="","",IFERROR(INDEX(Services!$B$5:$B$204,MATCH(G1112,Services!$A$5:$A$204,0)),"Not in Services"))</f>
        <v>0</v>
      </c>
      <c r="J1112" s="15">
        <f>IF(I1112="","",IFERROR(INDEX(Staff!$B$5:$B$44,MATCH(I1112,Staff!$A$5:$A$44,0)),"Unassigned"))</f>
        <v>0</v>
      </c>
      <c r="S1112" s="15">
        <f>IF(B1112="","",TEXT(B1112,"yyyy-mm"))</f>
        <v>0</v>
      </c>
      <c r="T1112" s="25">
        <f>IF(B1112="","",WEEKNUM(B1112,2))</f>
        <v>0</v>
      </c>
      <c r="U1112" s="25">
        <f>IF(B1112="","",IF(K1112&lt;&gt;"",K1112,IFERROR(INDEX(Services!$E$5:$E$204,MATCH(G1112,Services!$A$5:$A$204,0))*1,0)+IFERROR(INDEX(Services!$F$5:$F$204,MATCH(G1112,Services!$A$5:$A$204,0))*1,0)))</f>
        <v>0</v>
      </c>
      <c r="V1112" s="36">
        <f>IF(B1112="","",IF(D1112="","",D1112+U1112/1440))</f>
        <v>0</v>
      </c>
      <c r="W1112" s="25">
        <f>IF(B1112="","",IF(D1112="","",HOUR(D1112)))</f>
        <v>0</v>
      </c>
      <c r="X1112" s="37">
        <f>IF(B1112="","",ROUND(U1112/60,2))</f>
        <v>0</v>
      </c>
      <c r="Y1112" s="26">
        <f>IF(B1112="","",IF(L1112&lt;&gt;"",L1112,IFERROR(INDEX(Services!$G$5:$G$204,MATCH(G1112,Services!$A$5:$A$204,0))*1,0)))</f>
        <v>0</v>
      </c>
      <c r="Z1112" s="26">
        <f>IF(B1112="","",IF(O1112&lt;&gt;"",O1112,IF(Y1112&gt;=DepositThreshold,ROUND(Y1112*DepositPercent,2),0)))</f>
        <v>0</v>
      </c>
      <c r="AA1112" s="26">
        <f>IF(B1112="","",ROUND(SUMIFS(Payments!$G$5:$G$1204,Payments!$I$5:$I$1204,A1112,Payments!$E$5:$E$1204,"Deposit"),2))</f>
        <v>0</v>
      </c>
      <c r="AB1112" s="26">
        <f>IF(B1112="","",ROUND(SUMIFS(Sales!$Y$5:$Y$1204,Sales!$C$5:$C$1204,A1112),2))</f>
        <v>0</v>
      </c>
      <c r="AC1112" s="38">
        <f>IF(B1112="","",IF(M1112="Completed","Yes",IF(M1112="Cancelled","Yes",IF(M1112="No show","Yes","No"))))</f>
        <v>0</v>
      </c>
      <c r="AD1112" s="25">
        <f>IF(B1112="","",IF(AE1112="","",B1112-AE1112))</f>
        <v>0</v>
      </c>
      <c r="AF1112" s="38">
        <f>IF(B1112="","",IF(M1112&lt;&gt;"Completed","",IF(E1112="","No",IF(COUNTIFS(Appointments!$E$5:$E$1204,E1112,Appointments!$B$5:$B$1204,"&gt;"&amp;B1112,Appointments!$M$5:$M$1204,"&lt;&gt;Cancelled")&gt;0,"Yes","No"))))</f>
        <v>0</v>
      </c>
      <c r="AG1112" s="38">
        <f>IF(B1112="","",IF(I1112="","",IF(D1112="","",IF(COUNTIFS($I$5:$I$1204,I1112,$B$5:$B$1204,B1112,$D$5:$D$1204,"&lt;"&amp;V1112,$V$5:$V$1204,"&gt;"&amp;D1112,$M$5:$M$1204,"&lt;&gt;Cancelled")&gt;1,"Clash",""))))</f>
        <v>0</v>
      </c>
      <c r="AH1112" s="39">
        <f>IF(B1112="","",IF(AG1112="Clash","Clash - stylist double booked",IF(I1112="","Assign - no stylist yet",IF(G1112="","Add - no service chosen",IF(M1112="No show","No show - charge the fee?",IF(M1112="Cancelled","",IF(IF(M1112="Completed",AB1112&lt;Y1112-0.004,FALSE),"Unpaid - nothing rung up for this visit",IF(IF(B1112&lt;TodayDate,M1112="Booked",FALSE),"Overdue - past date, still only Booked",IF(IF(B1112=TodayDate,TRUE,FALSE),"Today",IF(IF(Z1112&gt;0,AA1112&lt;Z1112-0.004,FALSE),"Due - deposit not taken",IF(IF(B1112&gt;TodayDate,B1112&lt;=TodayDate+2,FALSE),"Confirm - coming up","OK")))))))))))</f>
        <v>0</v>
      </c>
    </row>
    <row r="1113" spans="1:34">
      <c r="A1113" s="28">
        <f>IF(B1113="","",AppointmentPrefix&amp;TEXT(ROW()-4,"0000"))</f>
        <v>0</v>
      </c>
      <c r="C1113" s="15">
        <f>IF(B1113="","",TEXT(B1113,"ddd"))</f>
        <v>0</v>
      </c>
      <c r="F1113" s="15">
        <f>IF(E1113="","",IFERROR(INDEX(Clients!$B$5:$B$504,MATCH(E1113,Clients!$A$5:$A$504,0)),"Walk-in"))</f>
        <v>0</v>
      </c>
      <c r="H1113" s="15">
        <f>IF(G1113="","",IFERROR(INDEX(Services!$B$5:$B$204,MATCH(G1113,Services!$A$5:$A$204,0)),"Not in Services"))</f>
        <v>0</v>
      </c>
      <c r="J1113" s="15">
        <f>IF(I1113="","",IFERROR(INDEX(Staff!$B$5:$B$44,MATCH(I1113,Staff!$A$5:$A$44,0)),"Unassigned"))</f>
        <v>0</v>
      </c>
      <c r="S1113" s="15">
        <f>IF(B1113="","",TEXT(B1113,"yyyy-mm"))</f>
        <v>0</v>
      </c>
      <c r="T1113" s="25">
        <f>IF(B1113="","",WEEKNUM(B1113,2))</f>
        <v>0</v>
      </c>
      <c r="U1113" s="25">
        <f>IF(B1113="","",IF(K1113&lt;&gt;"",K1113,IFERROR(INDEX(Services!$E$5:$E$204,MATCH(G1113,Services!$A$5:$A$204,0))*1,0)+IFERROR(INDEX(Services!$F$5:$F$204,MATCH(G1113,Services!$A$5:$A$204,0))*1,0)))</f>
        <v>0</v>
      </c>
      <c r="V1113" s="36">
        <f>IF(B1113="","",IF(D1113="","",D1113+U1113/1440))</f>
        <v>0</v>
      </c>
      <c r="W1113" s="25">
        <f>IF(B1113="","",IF(D1113="","",HOUR(D1113)))</f>
        <v>0</v>
      </c>
      <c r="X1113" s="37">
        <f>IF(B1113="","",ROUND(U1113/60,2))</f>
        <v>0</v>
      </c>
      <c r="Y1113" s="26">
        <f>IF(B1113="","",IF(L1113&lt;&gt;"",L1113,IFERROR(INDEX(Services!$G$5:$G$204,MATCH(G1113,Services!$A$5:$A$204,0))*1,0)))</f>
        <v>0</v>
      </c>
      <c r="Z1113" s="26">
        <f>IF(B1113="","",IF(O1113&lt;&gt;"",O1113,IF(Y1113&gt;=DepositThreshold,ROUND(Y1113*DepositPercent,2),0)))</f>
        <v>0</v>
      </c>
      <c r="AA1113" s="26">
        <f>IF(B1113="","",ROUND(SUMIFS(Payments!$G$5:$G$1204,Payments!$I$5:$I$1204,A1113,Payments!$E$5:$E$1204,"Deposit"),2))</f>
        <v>0</v>
      </c>
      <c r="AB1113" s="26">
        <f>IF(B1113="","",ROUND(SUMIFS(Sales!$Y$5:$Y$1204,Sales!$C$5:$C$1204,A1113),2))</f>
        <v>0</v>
      </c>
      <c r="AC1113" s="38">
        <f>IF(B1113="","",IF(M1113="Completed","Yes",IF(M1113="Cancelled","Yes",IF(M1113="No show","Yes","No"))))</f>
        <v>0</v>
      </c>
      <c r="AD1113" s="25">
        <f>IF(B1113="","",IF(AE1113="","",B1113-AE1113))</f>
        <v>0</v>
      </c>
      <c r="AF1113" s="38">
        <f>IF(B1113="","",IF(M1113&lt;&gt;"Completed","",IF(E1113="","No",IF(COUNTIFS(Appointments!$E$5:$E$1204,E1113,Appointments!$B$5:$B$1204,"&gt;"&amp;B1113,Appointments!$M$5:$M$1204,"&lt;&gt;Cancelled")&gt;0,"Yes","No"))))</f>
        <v>0</v>
      </c>
      <c r="AG1113" s="38">
        <f>IF(B1113="","",IF(I1113="","",IF(D1113="","",IF(COUNTIFS($I$5:$I$1204,I1113,$B$5:$B$1204,B1113,$D$5:$D$1204,"&lt;"&amp;V1113,$V$5:$V$1204,"&gt;"&amp;D1113,$M$5:$M$1204,"&lt;&gt;Cancelled")&gt;1,"Clash",""))))</f>
        <v>0</v>
      </c>
      <c r="AH1113" s="39">
        <f>IF(B1113="","",IF(AG1113="Clash","Clash - stylist double booked",IF(I1113="","Assign - no stylist yet",IF(G1113="","Add - no service chosen",IF(M1113="No show","No show - charge the fee?",IF(M1113="Cancelled","",IF(IF(M1113="Completed",AB1113&lt;Y1113-0.004,FALSE),"Unpaid - nothing rung up for this visit",IF(IF(B1113&lt;TodayDate,M1113="Booked",FALSE),"Overdue - past date, still only Booked",IF(IF(B1113=TodayDate,TRUE,FALSE),"Today",IF(IF(Z1113&gt;0,AA1113&lt;Z1113-0.004,FALSE),"Due - deposit not taken",IF(IF(B1113&gt;TodayDate,B1113&lt;=TodayDate+2,FALSE),"Confirm - coming up","OK")))))))))))</f>
        <v>0</v>
      </c>
    </row>
    <row r="1114" spans="1:34">
      <c r="A1114" s="28">
        <f>IF(B1114="","",AppointmentPrefix&amp;TEXT(ROW()-4,"0000"))</f>
        <v>0</v>
      </c>
      <c r="C1114" s="15">
        <f>IF(B1114="","",TEXT(B1114,"ddd"))</f>
        <v>0</v>
      </c>
      <c r="F1114" s="15">
        <f>IF(E1114="","",IFERROR(INDEX(Clients!$B$5:$B$504,MATCH(E1114,Clients!$A$5:$A$504,0)),"Walk-in"))</f>
        <v>0</v>
      </c>
      <c r="H1114" s="15">
        <f>IF(G1114="","",IFERROR(INDEX(Services!$B$5:$B$204,MATCH(G1114,Services!$A$5:$A$204,0)),"Not in Services"))</f>
        <v>0</v>
      </c>
      <c r="J1114" s="15">
        <f>IF(I1114="","",IFERROR(INDEX(Staff!$B$5:$B$44,MATCH(I1114,Staff!$A$5:$A$44,0)),"Unassigned"))</f>
        <v>0</v>
      </c>
      <c r="S1114" s="15">
        <f>IF(B1114="","",TEXT(B1114,"yyyy-mm"))</f>
        <v>0</v>
      </c>
      <c r="T1114" s="25">
        <f>IF(B1114="","",WEEKNUM(B1114,2))</f>
        <v>0</v>
      </c>
      <c r="U1114" s="25">
        <f>IF(B1114="","",IF(K1114&lt;&gt;"",K1114,IFERROR(INDEX(Services!$E$5:$E$204,MATCH(G1114,Services!$A$5:$A$204,0))*1,0)+IFERROR(INDEX(Services!$F$5:$F$204,MATCH(G1114,Services!$A$5:$A$204,0))*1,0)))</f>
        <v>0</v>
      </c>
      <c r="V1114" s="36">
        <f>IF(B1114="","",IF(D1114="","",D1114+U1114/1440))</f>
        <v>0</v>
      </c>
      <c r="W1114" s="25">
        <f>IF(B1114="","",IF(D1114="","",HOUR(D1114)))</f>
        <v>0</v>
      </c>
      <c r="X1114" s="37">
        <f>IF(B1114="","",ROUND(U1114/60,2))</f>
        <v>0</v>
      </c>
      <c r="Y1114" s="26">
        <f>IF(B1114="","",IF(L1114&lt;&gt;"",L1114,IFERROR(INDEX(Services!$G$5:$G$204,MATCH(G1114,Services!$A$5:$A$204,0))*1,0)))</f>
        <v>0</v>
      </c>
      <c r="Z1114" s="26">
        <f>IF(B1114="","",IF(O1114&lt;&gt;"",O1114,IF(Y1114&gt;=DepositThreshold,ROUND(Y1114*DepositPercent,2),0)))</f>
        <v>0</v>
      </c>
      <c r="AA1114" s="26">
        <f>IF(B1114="","",ROUND(SUMIFS(Payments!$G$5:$G$1204,Payments!$I$5:$I$1204,A1114,Payments!$E$5:$E$1204,"Deposit"),2))</f>
        <v>0</v>
      </c>
      <c r="AB1114" s="26">
        <f>IF(B1114="","",ROUND(SUMIFS(Sales!$Y$5:$Y$1204,Sales!$C$5:$C$1204,A1114),2))</f>
        <v>0</v>
      </c>
      <c r="AC1114" s="38">
        <f>IF(B1114="","",IF(M1114="Completed","Yes",IF(M1114="Cancelled","Yes",IF(M1114="No show","Yes","No"))))</f>
        <v>0</v>
      </c>
      <c r="AD1114" s="25">
        <f>IF(B1114="","",IF(AE1114="","",B1114-AE1114))</f>
        <v>0</v>
      </c>
      <c r="AF1114" s="38">
        <f>IF(B1114="","",IF(M1114&lt;&gt;"Completed","",IF(E1114="","No",IF(COUNTIFS(Appointments!$E$5:$E$1204,E1114,Appointments!$B$5:$B$1204,"&gt;"&amp;B1114,Appointments!$M$5:$M$1204,"&lt;&gt;Cancelled")&gt;0,"Yes","No"))))</f>
        <v>0</v>
      </c>
      <c r="AG1114" s="38">
        <f>IF(B1114="","",IF(I1114="","",IF(D1114="","",IF(COUNTIFS($I$5:$I$1204,I1114,$B$5:$B$1204,B1114,$D$5:$D$1204,"&lt;"&amp;V1114,$V$5:$V$1204,"&gt;"&amp;D1114,$M$5:$M$1204,"&lt;&gt;Cancelled")&gt;1,"Clash",""))))</f>
        <v>0</v>
      </c>
      <c r="AH1114" s="39">
        <f>IF(B1114="","",IF(AG1114="Clash","Clash - stylist double booked",IF(I1114="","Assign - no stylist yet",IF(G1114="","Add - no service chosen",IF(M1114="No show","No show - charge the fee?",IF(M1114="Cancelled","",IF(IF(M1114="Completed",AB1114&lt;Y1114-0.004,FALSE),"Unpaid - nothing rung up for this visit",IF(IF(B1114&lt;TodayDate,M1114="Booked",FALSE),"Overdue - past date, still only Booked",IF(IF(B1114=TodayDate,TRUE,FALSE),"Today",IF(IF(Z1114&gt;0,AA1114&lt;Z1114-0.004,FALSE),"Due - deposit not taken",IF(IF(B1114&gt;TodayDate,B1114&lt;=TodayDate+2,FALSE),"Confirm - coming up","OK")))))))))))</f>
        <v>0</v>
      </c>
    </row>
    <row r="1115" spans="1:34">
      <c r="A1115" s="28">
        <f>IF(B1115="","",AppointmentPrefix&amp;TEXT(ROW()-4,"0000"))</f>
        <v>0</v>
      </c>
      <c r="C1115" s="15">
        <f>IF(B1115="","",TEXT(B1115,"ddd"))</f>
        <v>0</v>
      </c>
      <c r="F1115" s="15">
        <f>IF(E1115="","",IFERROR(INDEX(Clients!$B$5:$B$504,MATCH(E1115,Clients!$A$5:$A$504,0)),"Walk-in"))</f>
        <v>0</v>
      </c>
      <c r="H1115" s="15">
        <f>IF(G1115="","",IFERROR(INDEX(Services!$B$5:$B$204,MATCH(G1115,Services!$A$5:$A$204,0)),"Not in Services"))</f>
        <v>0</v>
      </c>
      <c r="J1115" s="15">
        <f>IF(I1115="","",IFERROR(INDEX(Staff!$B$5:$B$44,MATCH(I1115,Staff!$A$5:$A$44,0)),"Unassigned"))</f>
        <v>0</v>
      </c>
      <c r="S1115" s="15">
        <f>IF(B1115="","",TEXT(B1115,"yyyy-mm"))</f>
        <v>0</v>
      </c>
      <c r="T1115" s="25">
        <f>IF(B1115="","",WEEKNUM(B1115,2))</f>
        <v>0</v>
      </c>
      <c r="U1115" s="25">
        <f>IF(B1115="","",IF(K1115&lt;&gt;"",K1115,IFERROR(INDEX(Services!$E$5:$E$204,MATCH(G1115,Services!$A$5:$A$204,0))*1,0)+IFERROR(INDEX(Services!$F$5:$F$204,MATCH(G1115,Services!$A$5:$A$204,0))*1,0)))</f>
        <v>0</v>
      </c>
      <c r="V1115" s="36">
        <f>IF(B1115="","",IF(D1115="","",D1115+U1115/1440))</f>
        <v>0</v>
      </c>
      <c r="W1115" s="25">
        <f>IF(B1115="","",IF(D1115="","",HOUR(D1115)))</f>
        <v>0</v>
      </c>
      <c r="X1115" s="37">
        <f>IF(B1115="","",ROUND(U1115/60,2))</f>
        <v>0</v>
      </c>
      <c r="Y1115" s="26">
        <f>IF(B1115="","",IF(L1115&lt;&gt;"",L1115,IFERROR(INDEX(Services!$G$5:$G$204,MATCH(G1115,Services!$A$5:$A$204,0))*1,0)))</f>
        <v>0</v>
      </c>
      <c r="Z1115" s="26">
        <f>IF(B1115="","",IF(O1115&lt;&gt;"",O1115,IF(Y1115&gt;=DepositThreshold,ROUND(Y1115*DepositPercent,2),0)))</f>
        <v>0</v>
      </c>
      <c r="AA1115" s="26">
        <f>IF(B1115="","",ROUND(SUMIFS(Payments!$G$5:$G$1204,Payments!$I$5:$I$1204,A1115,Payments!$E$5:$E$1204,"Deposit"),2))</f>
        <v>0</v>
      </c>
      <c r="AB1115" s="26">
        <f>IF(B1115="","",ROUND(SUMIFS(Sales!$Y$5:$Y$1204,Sales!$C$5:$C$1204,A1115),2))</f>
        <v>0</v>
      </c>
      <c r="AC1115" s="38">
        <f>IF(B1115="","",IF(M1115="Completed","Yes",IF(M1115="Cancelled","Yes",IF(M1115="No show","Yes","No"))))</f>
        <v>0</v>
      </c>
      <c r="AD1115" s="25">
        <f>IF(B1115="","",IF(AE1115="","",B1115-AE1115))</f>
        <v>0</v>
      </c>
      <c r="AF1115" s="38">
        <f>IF(B1115="","",IF(M1115&lt;&gt;"Completed","",IF(E1115="","No",IF(COUNTIFS(Appointments!$E$5:$E$1204,E1115,Appointments!$B$5:$B$1204,"&gt;"&amp;B1115,Appointments!$M$5:$M$1204,"&lt;&gt;Cancelled")&gt;0,"Yes","No"))))</f>
        <v>0</v>
      </c>
      <c r="AG1115" s="38">
        <f>IF(B1115="","",IF(I1115="","",IF(D1115="","",IF(COUNTIFS($I$5:$I$1204,I1115,$B$5:$B$1204,B1115,$D$5:$D$1204,"&lt;"&amp;V1115,$V$5:$V$1204,"&gt;"&amp;D1115,$M$5:$M$1204,"&lt;&gt;Cancelled")&gt;1,"Clash",""))))</f>
        <v>0</v>
      </c>
      <c r="AH1115" s="39">
        <f>IF(B1115="","",IF(AG1115="Clash","Clash - stylist double booked",IF(I1115="","Assign - no stylist yet",IF(G1115="","Add - no service chosen",IF(M1115="No show","No show - charge the fee?",IF(M1115="Cancelled","",IF(IF(M1115="Completed",AB1115&lt;Y1115-0.004,FALSE),"Unpaid - nothing rung up for this visit",IF(IF(B1115&lt;TodayDate,M1115="Booked",FALSE),"Overdue - past date, still only Booked",IF(IF(B1115=TodayDate,TRUE,FALSE),"Today",IF(IF(Z1115&gt;0,AA1115&lt;Z1115-0.004,FALSE),"Due - deposit not taken",IF(IF(B1115&gt;TodayDate,B1115&lt;=TodayDate+2,FALSE),"Confirm - coming up","OK")))))))))))</f>
        <v>0</v>
      </c>
    </row>
    <row r="1116" spans="1:34">
      <c r="A1116" s="28">
        <f>IF(B1116="","",AppointmentPrefix&amp;TEXT(ROW()-4,"0000"))</f>
        <v>0</v>
      </c>
      <c r="C1116" s="15">
        <f>IF(B1116="","",TEXT(B1116,"ddd"))</f>
        <v>0</v>
      </c>
      <c r="F1116" s="15">
        <f>IF(E1116="","",IFERROR(INDEX(Clients!$B$5:$B$504,MATCH(E1116,Clients!$A$5:$A$504,0)),"Walk-in"))</f>
        <v>0</v>
      </c>
      <c r="H1116" s="15">
        <f>IF(G1116="","",IFERROR(INDEX(Services!$B$5:$B$204,MATCH(G1116,Services!$A$5:$A$204,0)),"Not in Services"))</f>
        <v>0</v>
      </c>
      <c r="J1116" s="15">
        <f>IF(I1116="","",IFERROR(INDEX(Staff!$B$5:$B$44,MATCH(I1116,Staff!$A$5:$A$44,0)),"Unassigned"))</f>
        <v>0</v>
      </c>
      <c r="S1116" s="15">
        <f>IF(B1116="","",TEXT(B1116,"yyyy-mm"))</f>
        <v>0</v>
      </c>
      <c r="T1116" s="25">
        <f>IF(B1116="","",WEEKNUM(B1116,2))</f>
        <v>0</v>
      </c>
      <c r="U1116" s="25">
        <f>IF(B1116="","",IF(K1116&lt;&gt;"",K1116,IFERROR(INDEX(Services!$E$5:$E$204,MATCH(G1116,Services!$A$5:$A$204,0))*1,0)+IFERROR(INDEX(Services!$F$5:$F$204,MATCH(G1116,Services!$A$5:$A$204,0))*1,0)))</f>
        <v>0</v>
      </c>
      <c r="V1116" s="36">
        <f>IF(B1116="","",IF(D1116="","",D1116+U1116/1440))</f>
        <v>0</v>
      </c>
      <c r="W1116" s="25">
        <f>IF(B1116="","",IF(D1116="","",HOUR(D1116)))</f>
        <v>0</v>
      </c>
      <c r="X1116" s="37">
        <f>IF(B1116="","",ROUND(U1116/60,2))</f>
        <v>0</v>
      </c>
      <c r="Y1116" s="26">
        <f>IF(B1116="","",IF(L1116&lt;&gt;"",L1116,IFERROR(INDEX(Services!$G$5:$G$204,MATCH(G1116,Services!$A$5:$A$204,0))*1,0)))</f>
        <v>0</v>
      </c>
      <c r="Z1116" s="26">
        <f>IF(B1116="","",IF(O1116&lt;&gt;"",O1116,IF(Y1116&gt;=DepositThreshold,ROUND(Y1116*DepositPercent,2),0)))</f>
        <v>0</v>
      </c>
      <c r="AA1116" s="26">
        <f>IF(B1116="","",ROUND(SUMIFS(Payments!$G$5:$G$1204,Payments!$I$5:$I$1204,A1116,Payments!$E$5:$E$1204,"Deposit"),2))</f>
        <v>0</v>
      </c>
      <c r="AB1116" s="26">
        <f>IF(B1116="","",ROUND(SUMIFS(Sales!$Y$5:$Y$1204,Sales!$C$5:$C$1204,A1116),2))</f>
        <v>0</v>
      </c>
      <c r="AC1116" s="38">
        <f>IF(B1116="","",IF(M1116="Completed","Yes",IF(M1116="Cancelled","Yes",IF(M1116="No show","Yes","No"))))</f>
        <v>0</v>
      </c>
      <c r="AD1116" s="25">
        <f>IF(B1116="","",IF(AE1116="","",B1116-AE1116))</f>
        <v>0</v>
      </c>
      <c r="AF1116" s="38">
        <f>IF(B1116="","",IF(M1116&lt;&gt;"Completed","",IF(E1116="","No",IF(COUNTIFS(Appointments!$E$5:$E$1204,E1116,Appointments!$B$5:$B$1204,"&gt;"&amp;B1116,Appointments!$M$5:$M$1204,"&lt;&gt;Cancelled")&gt;0,"Yes","No"))))</f>
        <v>0</v>
      </c>
      <c r="AG1116" s="38">
        <f>IF(B1116="","",IF(I1116="","",IF(D1116="","",IF(COUNTIFS($I$5:$I$1204,I1116,$B$5:$B$1204,B1116,$D$5:$D$1204,"&lt;"&amp;V1116,$V$5:$V$1204,"&gt;"&amp;D1116,$M$5:$M$1204,"&lt;&gt;Cancelled")&gt;1,"Clash",""))))</f>
        <v>0</v>
      </c>
      <c r="AH1116" s="39">
        <f>IF(B1116="","",IF(AG1116="Clash","Clash - stylist double booked",IF(I1116="","Assign - no stylist yet",IF(G1116="","Add - no service chosen",IF(M1116="No show","No show - charge the fee?",IF(M1116="Cancelled","",IF(IF(M1116="Completed",AB1116&lt;Y1116-0.004,FALSE),"Unpaid - nothing rung up for this visit",IF(IF(B1116&lt;TodayDate,M1116="Booked",FALSE),"Overdue - past date, still only Booked",IF(IF(B1116=TodayDate,TRUE,FALSE),"Today",IF(IF(Z1116&gt;0,AA1116&lt;Z1116-0.004,FALSE),"Due - deposit not taken",IF(IF(B1116&gt;TodayDate,B1116&lt;=TodayDate+2,FALSE),"Confirm - coming up","OK")))))))))))</f>
        <v>0</v>
      </c>
    </row>
    <row r="1117" spans="1:34">
      <c r="A1117" s="28">
        <f>IF(B1117="","",AppointmentPrefix&amp;TEXT(ROW()-4,"0000"))</f>
        <v>0</v>
      </c>
      <c r="C1117" s="15">
        <f>IF(B1117="","",TEXT(B1117,"ddd"))</f>
        <v>0</v>
      </c>
      <c r="F1117" s="15">
        <f>IF(E1117="","",IFERROR(INDEX(Clients!$B$5:$B$504,MATCH(E1117,Clients!$A$5:$A$504,0)),"Walk-in"))</f>
        <v>0</v>
      </c>
      <c r="H1117" s="15">
        <f>IF(G1117="","",IFERROR(INDEX(Services!$B$5:$B$204,MATCH(G1117,Services!$A$5:$A$204,0)),"Not in Services"))</f>
        <v>0</v>
      </c>
      <c r="J1117" s="15">
        <f>IF(I1117="","",IFERROR(INDEX(Staff!$B$5:$B$44,MATCH(I1117,Staff!$A$5:$A$44,0)),"Unassigned"))</f>
        <v>0</v>
      </c>
      <c r="S1117" s="15">
        <f>IF(B1117="","",TEXT(B1117,"yyyy-mm"))</f>
        <v>0</v>
      </c>
      <c r="T1117" s="25">
        <f>IF(B1117="","",WEEKNUM(B1117,2))</f>
        <v>0</v>
      </c>
      <c r="U1117" s="25">
        <f>IF(B1117="","",IF(K1117&lt;&gt;"",K1117,IFERROR(INDEX(Services!$E$5:$E$204,MATCH(G1117,Services!$A$5:$A$204,0))*1,0)+IFERROR(INDEX(Services!$F$5:$F$204,MATCH(G1117,Services!$A$5:$A$204,0))*1,0)))</f>
        <v>0</v>
      </c>
      <c r="V1117" s="36">
        <f>IF(B1117="","",IF(D1117="","",D1117+U1117/1440))</f>
        <v>0</v>
      </c>
      <c r="W1117" s="25">
        <f>IF(B1117="","",IF(D1117="","",HOUR(D1117)))</f>
        <v>0</v>
      </c>
      <c r="X1117" s="37">
        <f>IF(B1117="","",ROUND(U1117/60,2))</f>
        <v>0</v>
      </c>
      <c r="Y1117" s="26">
        <f>IF(B1117="","",IF(L1117&lt;&gt;"",L1117,IFERROR(INDEX(Services!$G$5:$G$204,MATCH(G1117,Services!$A$5:$A$204,0))*1,0)))</f>
        <v>0</v>
      </c>
      <c r="Z1117" s="26">
        <f>IF(B1117="","",IF(O1117&lt;&gt;"",O1117,IF(Y1117&gt;=DepositThreshold,ROUND(Y1117*DepositPercent,2),0)))</f>
        <v>0</v>
      </c>
      <c r="AA1117" s="26">
        <f>IF(B1117="","",ROUND(SUMIFS(Payments!$G$5:$G$1204,Payments!$I$5:$I$1204,A1117,Payments!$E$5:$E$1204,"Deposit"),2))</f>
        <v>0</v>
      </c>
      <c r="AB1117" s="26">
        <f>IF(B1117="","",ROUND(SUMIFS(Sales!$Y$5:$Y$1204,Sales!$C$5:$C$1204,A1117),2))</f>
        <v>0</v>
      </c>
      <c r="AC1117" s="38">
        <f>IF(B1117="","",IF(M1117="Completed","Yes",IF(M1117="Cancelled","Yes",IF(M1117="No show","Yes","No"))))</f>
        <v>0</v>
      </c>
      <c r="AD1117" s="25">
        <f>IF(B1117="","",IF(AE1117="","",B1117-AE1117))</f>
        <v>0</v>
      </c>
      <c r="AF1117" s="38">
        <f>IF(B1117="","",IF(M1117&lt;&gt;"Completed","",IF(E1117="","No",IF(COUNTIFS(Appointments!$E$5:$E$1204,E1117,Appointments!$B$5:$B$1204,"&gt;"&amp;B1117,Appointments!$M$5:$M$1204,"&lt;&gt;Cancelled")&gt;0,"Yes","No"))))</f>
        <v>0</v>
      </c>
      <c r="AG1117" s="38">
        <f>IF(B1117="","",IF(I1117="","",IF(D1117="","",IF(COUNTIFS($I$5:$I$1204,I1117,$B$5:$B$1204,B1117,$D$5:$D$1204,"&lt;"&amp;V1117,$V$5:$V$1204,"&gt;"&amp;D1117,$M$5:$M$1204,"&lt;&gt;Cancelled")&gt;1,"Clash",""))))</f>
        <v>0</v>
      </c>
      <c r="AH1117" s="39">
        <f>IF(B1117="","",IF(AG1117="Clash","Clash - stylist double booked",IF(I1117="","Assign - no stylist yet",IF(G1117="","Add - no service chosen",IF(M1117="No show","No show - charge the fee?",IF(M1117="Cancelled","",IF(IF(M1117="Completed",AB1117&lt;Y1117-0.004,FALSE),"Unpaid - nothing rung up for this visit",IF(IF(B1117&lt;TodayDate,M1117="Booked",FALSE),"Overdue - past date, still only Booked",IF(IF(B1117=TodayDate,TRUE,FALSE),"Today",IF(IF(Z1117&gt;0,AA1117&lt;Z1117-0.004,FALSE),"Due - deposit not taken",IF(IF(B1117&gt;TodayDate,B1117&lt;=TodayDate+2,FALSE),"Confirm - coming up","OK")))))))))))</f>
        <v>0</v>
      </c>
    </row>
    <row r="1118" spans="1:34">
      <c r="A1118" s="28">
        <f>IF(B1118="","",AppointmentPrefix&amp;TEXT(ROW()-4,"0000"))</f>
        <v>0</v>
      </c>
      <c r="C1118" s="15">
        <f>IF(B1118="","",TEXT(B1118,"ddd"))</f>
        <v>0</v>
      </c>
      <c r="F1118" s="15">
        <f>IF(E1118="","",IFERROR(INDEX(Clients!$B$5:$B$504,MATCH(E1118,Clients!$A$5:$A$504,0)),"Walk-in"))</f>
        <v>0</v>
      </c>
      <c r="H1118" s="15">
        <f>IF(G1118="","",IFERROR(INDEX(Services!$B$5:$B$204,MATCH(G1118,Services!$A$5:$A$204,0)),"Not in Services"))</f>
        <v>0</v>
      </c>
      <c r="J1118" s="15">
        <f>IF(I1118="","",IFERROR(INDEX(Staff!$B$5:$B$44,MATCH(I1118,Staff!$A$5:$A$44,0)),"Unassigned"))</f>
        <v>0</v>
      </c>
      <c r="S1118" s="15">
        <f>IF(B1118="","",TEXT(B1118,"yyyy-mm"))</f>
        <v>0</v>
      </c>
      <c r="T1118" s="25">
        <f>IF(B1118="","",WEEKNUM(B1118,2))</f>
        <v>0</v>
      </c>
      <c r="U1118" s="25">
        <f>IF(B1118="","",IF(K1118&lt;&gt;"",K1118,IFERROR(INDEX(Services!$E$5:$E$204,MATCH(G1118,Services!$A$5:$A$204,0))*1,0)+IFERROR(INDEX(Services!$F$5:$F$204,MATCH(G1118,Services!$A$5:$A$204,0))*1,0)))</f>
        <v>0</v>
      </c>
      <c r="V1118" s="36">
        <f>IF(B1118="","",IF(D1118="","",D1118+U1118/1440))</f>
        <v>0</v>
      </c>
      <c r="W1118" s="25">
        <f>IF(B1118="","",IF(D1118="","",HOUR(D1118)))</f>
        <v>0</v>
      </c>
      <c r="X1118" s="37">
        <f>IF(B1118="","",ROUND(U1118/60,2))</f>
        <v>0</v>
      </c>
      <c r="Y1118" s="26">
        <f>IF(B1118="","",IF(L1118&lt;&gt;"",L1118,IFERROR(INDEX(Services!$G$5:$G$204,MATCH(G1118,Services!$A$5:$A$204,0))*1,0)))</f>
        <v>0</v>
      </c>
      <c r="Z1118" s="26">
        <f>IF(B1118="","",IF(O1118&lt;&gt;"",O1118,IF(Y1118&gt;=DepositThreshold,ROUND(Y1118*DepositPercent,2),0)))</f>
        <v>0</v>
      </c>
      <c r="AA1118" s="26">
        <f>IF(B1118="","",ROUND(SUMIFS(Payments!$G$5:$G$1204,Payments!$I$5:$I$1204,A1118,Payments!$E$5:$E$1204,"Deposit"),2))</f>
        <v>0</v>
      </c>
      <c r="AB1118" s="26">
        <f>IF(B1118="","",ROUND(SUMIFS(Sales!$Y$5:$Y$1204,Sales!$C$5:$C$1204,A1118),2))</f>
        <v>0</v>
      </c>
      <c r="AC1118" s="38">
        <f>IF(B1118="","",IF(M1118="Completed","Yes",IF(M1118="Cancelled","Yes",IF(M1118="No show","Yes","No"))))</f>
        <v>0</v>
      </c>
      <c r="AD1118" s="25">
        <f>IF(B1118="","",IF(AE1118="","",B1118-AE1118))</f>
        <v>0</v>
      </c>
      <c r="AF1118" s="38">
        <f>IF(B1118="","",IF(M1118&lt;&gt;"Completed","",IF(E1118="","No",IF(COUNTIFS(Appointments!$E$5:$E$1204,E1118,Appointments!$B$5:$B$1204,"&gt;"&amp;B1118,Appointments!$M$5:$M$1204,"&lt;&gt;Cancelled")&gt;0,"Yes","No"))))</f>
        <v>0</v>
      </c>
      <c r="AG1118" s="38">
        <f>IF(B1118="","",IF(I1118="","",IF(D1118="","",IF(COUNTIFS($I$5:$I$1204,I1118,$B$5:$B$1204,B1118,$D$5:$D$1204,"&lt;"&amp;V1118,$V$5:$V$1204,"&gt;"&amp;D1118,$M$5:$M$1204,"&lt;&gt;Cancelled")&gt;1,"Clash",""))))</f>
        <v>0</v>
      </c>
      <c r="AH1118" s="39">
        <f>IF(B1118="","",IF(AG1118="Clash","Clash - stylist double booked",IF(I1118="","Assign - no stylist yet",IF(G1118="","Add - no service chosen",IF(M1118="No show","No show - charge the fee?",IF(M1118="Cancelled","",IF(IF(M1118="Completed",AB1118&lt;Y1118-0.004,FALSE),"Unpaid - nothing rung up for this visit",IF(IF(B1118&lt;TodayDate,M1118="Booked",FALSE),"Overdue - past date, still only Booked",IF(IF(B1118=TodayDate,TRUE,FALSE),"Today",IF(IF(Z1118&gt;0,AA1118&lt;Z1118-0.004,FALSE),"Due - deposit not taken",IF(IF(B1118&gt;TodayDate,B1118&lt;=TodayDate+2,FALSE),"Confirm - coming up","OK")))))))))))</f>
        <v>0</v>
      </c>
    </row>
    <row r="1119" spans="1:34">
      <c r="A1119" s="28">
        <f>IF(B1119="","",AppointmentPrefix&amp;TEXT(ROW()-4,"0000"))</f>
        <v>0</v>
      </c>
      <c r="C1119" s="15">
        <f>IF(B1119="","",TEXT(B1119,"ddd"))</f>
        <v>0</v>
      </c>
      <c r="F1119" s="15">
        <f>IF(E1119="","",IFERROR(INDEX(Clients!$B$5:$B$504,MATCH(E1119,Clients!$A$5:$A$504,0)),"Walk-in"))</f>
        <v>0</v>
      </c>
      <c r="H1119" s="15">
        <f>IF(G1119="","",IFERROR(INDEX(Services!$B$5:$B$204,MATCH(G1119,Services!$A$5:$A$204,0)),"Not in Services"))</f>
        <v>0</v>
      </c>
      <c r="J1119" s="15">
        <f>IF(I1119="","",IFERROR(INDEX(Staff!$B$5:$B$44,MATCH(I1119,Staff!$A$5:$A$44,0)),"Unassigned"))</f>
        <v>0</v>
      </c>
      <c r="S1119" s="15">
        <f>IF(B1119="","",TEXT(B1119,"yyyy-mm"))</f>
        <v>0</v>
      </c>
      <c r="T1119" s="25">
        <f>IF(B1119="","",WEEKNUM(B1119,2))</f>
        <v>0</v>
      </c>
      <c r="U1119" s="25">
        <f>IF(B1119="","",IF(K1119&lt;&gt;"",K1119,IFERROR(INDEX(Services!$E$5:$E$204,MATCH(G1119,Services!$A$5:$A$204,0))*1,0)+IFERROR(INDEX(Services!$F$5:$F$204,MATCH(G1119,Services!$A$5:$A$204,0))*1,0)))</f>
        <v>0</v>
      </c>
      <c r="V1119" s="36">
        <f>IF(B1119="","",IF(D1119="","",D1119+U1119/1440))</f>
        <v>0</v>
      </c>
      <c r="W1119" s="25">
        <f>IF(B1119="","",IF(D1119="","",HOUR(D1119)))</f>
        <v>0</v>
      </c>
      <c r="X1119" s="37">
        <f>IF(B1119="","",ROUND(U1119/60,2))</f>
        <v>0</v>
      </c>
      <c r="Y1119" s="26">
        <f>IF(B1119="","",IF(L1119&lt;&gt;"",L1119,IFERROR(INDEX(Services!$G$5:$G$204,MATCH(G1119,Services!$A$5:$A$204,0))*1,0)))</f>
        <v>0</v>
      </c>
      <c r="Z1119" s="26">
        <f>IF(B1119="","",IF(O1119&lt;&gt;"",O1119,IF(Y1119&gt;=DepositThreshold,ROUND(Y1119*DepositPercent,2),0)))</f>
        <v>0</v>
      </c>
      <c r="AA1119" s="26">
        <f>IF(B1119="","",ROUND(SUMIFS(Payments!$G$5:$G$1204,Payments!$I$5:$I$1204,A1119,Payments!$E$5:$E$1204,"Deposit"),2))</f>
        <v>0</v>
      </c>
      <c r="AB1119" s="26">
        <f>IF(B1119="","",ROUND(SUMIFS(Sales!$Y$5:$Y$1204,Sales!$C$5:$C$1204,A1119),2))</f>
        <v>0</v>
      </c>
      <c r="AC1119" s="38">
        <f>IF(B1119="","",IF(M1119="Completed","Yes",IF(M1119="Cancelled","Yes",IF(M1119="No show","Yes","No"))))</f>
        <v>0</v>
      </c>
      <c r="AD1119" s="25">
        <f>IF(B1119="","",IF(AE1119="","",B1119-AE1119))</f>
        <v>0</v>
      </c>
      <c r="AF1119" s="38">
        <f>IF(B1119="","",IF(M1119&lt;&gt;"Completed","",IF(E1119="","No",IF(COUNTIFS(Appointments!$E$5:$E$1204,E1119,Appointments!$B$5:$B$1204,"&gt;"&amp;B1119,Appointments!$M$5:$M$1204,"&lt;&gt;Cancelled")&gt;0,"Yes","No"))))</f>
        <v>0</v>
      </c>
      <c r="AG1119" s="38">
        <f>IF(B1119="","",IF(I1119="","",IF(D1119="","",IF(COUNTIFS($I$5:$I$1204,I1119,$B$5:$B$1204,B1119,$D$5:$D$1204,"&lt;"&amp;V1119,$V$5:$V$1204,"&gt;"&amp;D1119,$M$5:$M$1204,"&lt;&gt;Cancelled")&gt;1,"Clash",""))))</f>
        <v>0</v>
      </c>
      <c r="AH1119" s="39">
        <f>IF(B1119="","",IF(AG1119="Clash","Clash - stylist double booked",IF(I1119="","Assign - no stylist yet",IF(G1119="","Add - no service chosen",IF(M1119="No show","No show - charge the fee?",IF(M1119="Cancelled","",IF(IF(M1119="Completed",AB1119&lt;Y1119-0.004,FALSE),"Unpaid - nothing rung up for this visit",IF(IF(B1119&lt;TodayDate,M1119="Booked",FALSE),"Overdue - past date, still only Booked",IF(IF(B1119=TodayDate,TRUE,FALSE),"Today",IF(IF(Z1119&gt;0,AA1119&lt;Z1119-0.004,FALSE),"Due - deposit not taken",IF(IF(B1119&gt;TodayDate,B1119&lt;=TodayDate+2,FALSE),"Confirm - coming up","OK")))))))))))</f>
        <v>0</v>
      </c>
    </row>
    <row r="1120" spans="1:34">
      <c r="A1120" s="28">
        <f>IF(B1120="","",AppointmentPrefix&amp;TEXT(ROW()-4,"0000"))</f>
        <v>0</v>
      </c>
      <c r="C1120" s="15">
        <f>IF(B1120="","",TEXT(B1120,"ddd"))</f>
        <v>0</v>
      </c>
      <c r="F1120" s="15">
        <f>IF(E1120="","",IFERROR(INDEX(Clients!$B$5:$B$504,MATCH(E1120,Clients!$A$5:$A$504,0)),"Walk-in"))</f>
        <v>0</v>
      </c>
      <c r="H1120" s="15">
        <f>IF(G1120="","",IFERROR(INDEX(Services!$B$5:$B$204,MATCH(G1120,Services!$A$5:$A$204,0)),"Not in Services"))</f>
        <v>0</v>
      </c>
      <c r="J1120" s="15">
        <f>IF(I1120="","",IFERROR(INDEX(Staff!$B$5:$B$44,MATCH(I1120,Staff!$A$5:$A$44,0)),"Unassigned"))</f>
        <v>0</v>
      </c>
      <c r="S1120" s="15">
        <f>IF(B1120="","",TEXT(B1120,"yyyy-mm"))</f>
        <v>0</v>
      </c>
      <c r="T1120" s="25">
        <f>IF(B1120="","",WEEKNUM(B1120,2))</f>
        <v>0</v>
      </c>
      <c r="U1120" s="25">
        <f>IF(B1120="","",IF(K1120&lt;&gt;"",K1120,IFERROR(INDEX(Services!$E$5:$E$204,MATCH(G1120,Services!$A$5:$A$204,0))*1,0)+IFERROR(INDEX(Services!$F$5:$F$204,MATCH(G1120,Services!$A$5:$A$204,0))*1,0)))</f>
        <v>0</v>
      </c>
      <c r="V1120" s="36">
        <f>IF(B1120="","",IF(D1120="","",D1120+U1120/1440))</f>
        <v>0</v>
      </c>
      <c r="W1120" s="25">
        <f>IF(B1120="","",IF(D1120="","",HOUR(D1120)))</f>
        <v>0</v>
      </c>
      <c r="X1120" s="37">
        <f>IF(B1120="","",ROUND(U1120/60,2))</f>
        <v>0</v>
      </c>
      <c r="Y1120" s="26">
        <f>IF(B1120="","",IF(L1120&lt;&gt;"",L1120,IFERROR(INDEX(Services!$G$5:$G$204,MATCH(G1120,Services!$A$5:$A$204,0))*1,0)))</f>
        <v>0</v>
      </c>
      <c r="Z1120" s="26">
        <f>IF(B1120="","",IF(O1120&lt;&gt;"",O1120,IF(Y1120&gt;=DepositThreshold,ROUND(Y1120*DepositPercent,2),0)))</f>
        <v>0</v>
      </c>
      <c r="AA1120" s="26">
        <f>IF(B1120="","",ROUND(SUMIFS(Payments!$G$5:$G$1204,Payments!$I$5:$I$1204,A1120,Payments!$E$5:$E$1204,"Deposit"),2))</f>
        <v>0</v>
      </c>
      <c r="AB1120" s="26">
        <f>IF(B1120="","",ROUND(SUMIFS(Sales!$Y$5:$Y$1204,Sales!$C$5:$C$1204,A1120),2))</f>
        <v>0</v>
      </c>
      <c r="AC1120" s="38">
        <f>IF(B1120="","",IF(M1120="Completed","Yes",IF(M1120="Cancelled","Yes",IF(M1120="No show","Yes","No"))))</f>
        <v>0</v>
      </c>
      <c r="AD1120" s="25">
        <f>IF(B1120="","",IF(AE1120="","",B1120-AE1120))</f>
        <v>0</v>
      </c>
      <c r="AF1120" s="38">
        <f>IF(B1120="","",IF(M1120&lt;&gt;"Completed","",IF(E1120="","No",IF(COUNTIFS(Appointments!$E$5:$E$1204,E1120,Appointments!$B$5:$B$1204,"&gt;"&amp;B1120,Appointments!$M$5:$M$1204,"&lt;&gt;Cancelled")&gt;0,"Yes","No"))))</f>
        <v>0</v>
      </c>
      <c r="AG1120" s="38">
        <f>IF(B1120="","",IF(I1120="","",IF(D1120="","",IF(COUNTIFS($I$5:$I$1204,I1120,$B$5:$B$1204,B1120,$D$5:$D$1204,"&lt;"&amp;V1120,$V$5:$V$1204,"&gt;"&amp;D1120,$M$5:$M$1204,"&lt;&gt;Cancelled")&gt;1,"Clash",""))))</f>
        <v>0</v>
      </c>
      <c r="AH1120" s="39">
        <f>IF(B1120="","",IF(AG1120="Clash","Clash - stylist double booked",IF(I1120="","Assign - no stylist yet",IF(G1120="","Add - no service chosen",IF(M1120="No show","No show - charge the fee?",IF(M1120="Cancelled","",IF(IF(M1120="Completed",AB1120&lt;Y1120-0.004,FALSE),"Unpaid - nothing rung up for this visit",IF(IF(B1120&lt;TodayDate,M1120="Booked",FALSE),"Overdue - past date, still only Booked",IF(IF(B1120=TodayDate,TRUE,FALSE),"Today",IF(IF(Z1120&gt;0,AA1120&lt;Z1120-0.004,FALSE),"Due - deposit not taken",IF(IF(B1120&gt;TodayDate,B1120&lt;=TodayDate+2,FALSE),"Confirm - coming up","OK")))))))))))</f>
        <v>0</v>
      </c>
    </row>
    <row r="1121" spans="1:34">
      <c r="A1121" s="28">
        <f>IF(B1121="","",AppointmentPrefix&amp;TEXT(ROW()-4,"0000"))</f>
        <v>0</v>
      </c>
      <c r="C1121" s="15">
        <f>IF(B1121="","",TEXT(B1121,"ddd"))</f>
        <v>0</v>
      </c>
      <c r="F1121" s="15">
        <f>IF(E1121="","",IFERROR(INDEX(Clients!$B$5:$B$504,MATCH(E1121,Clients!$A$5:$A$504,0)),"Walk-in"))</f>
        <v>0</v>
      </c>
      <c r="H1121" s="15">
        <f>IF(G1121="","",IFERROR(INDEX(Services!$B$5:$B$204,MATCH(G1121,Services!$A$5:$A$204,0)),"Not in Services"))</f>
        <v>0</v>
      </c>
      <c r="J1121" s="15">
        <f>IF(I1121="","",IFERROR(INDEX(Staff!$B$5:$B$44,MATCH(I1121,Staff!$A$5:$A$44,0)),"Unassigned"))</f>
        <v>0</v>
      </c>
      <c r="S1121" s="15">
        <f>IF(B1121="","",TEXT(B1121,"yyyy-mm"))</f>
        <v>0</v>
      </c>
      <c r="T1121" s="25">
        <f>IF(B1121="","",WEEKNUM(B1121,2))</f>
        <v>0</v>
      </c>
      <c r="U1121" s="25">
        <f>IF(B1121="","",IF(K1121&lt;&gt;"",K1121,IFERROR(INDEX(Services!$E$5:$E$204,MATCH(G1121,Services!$A$5:$A$204,0))*1,0)+IFERROR(INDEX(Services!$F$5:$F$204,MATCH(G1121,Services!$A$5:$A$204,0))*1,0)))</f>
        <v>0</v>
      </c>
      <c r="V1121" s="36">
        <f>IF(B1121="","",IF(D1121="","",D1121+U1121/1440))</f>
        <v>0</v>
      </c>
      <c r="W1121" s="25">
        <f>IF(B1121="","",IF(D1121="","",HOUR(D1121)))</f>
        <v>0</v>
      </c>
      <c r="X1121" s="37">
        <f>IF(B1121="","",ROUND(U1121/60,2))</f>
        <v>0</v>
      </c>
      <c r="Y1121" s="26">
        <f>IF(B1121="","",IF(L1121&lt;&gt;"",L1121,IFERROR(INDEX(Services!$G$5:$G$204,MATCH(G1121,Services!$A$5:$A$204,0))*1,0)))</f>
        <v>0</v>
      </c>
      <c r="Z1121" s="26">
        <f>IF(B1121="","",IF(O1121&lt;&gt;"",O1121,IF(Y1121&gt;=DepositThreshold,ROUND(Y1121*DepositPercent,2),0)))</f>
        <v>0</v>
      </c>
      <c r="AA1121" s="26">
        <f>IF(B1121="","",ROUND(SUMIFS(Payments!$G$5:$G$1204,Payments!$I$5:$I$1204,A1121,Payments!$E$5:$E$1204,"Deposit"),2))</f>
        <v>0</v>
      </c>
      <c r="AB1121" s="26">
        <f>IF(B1121="","",ROUND(SUMIFS(Sales!$Y$5:$Y$1204,Sales!$C$5:$C$1204,A1121),2))</f>
        <v>0</v>
      </c>
      <c r="AC1121" s="38">
        <f>IF(B1121="","",IF(M1121="Completed","Yes",IF(M1121="Cancelled","Yes",IF(M1121="No show","Yes","No"))))</f>
        <v>0</v>
      </c>
      <c r="AD1121" s="25">
        <f>IF(B1121="","",IF(AE1121="","",B1121-AE1121))</f>
        <v>0</v>
      </c>
      <c r="AF1121" s="38">
        <f>IF(B1121="","",IF(M1121&lt;&gt;"Completed","",IF(E1121="","No",IF(COUNTIFS(Appointments!$E$5:$E$1204,E1121,Appointments!$B$5:$B$1204,"&gt;"&amp;B1121,Appointments!$M$5:$M$1204,"&lt;&gt;Cancelled")&gt;0,"Yes","No"))))</f>
        <v>0</v>
      </c>
      <c r="AG1121" s="38">
        <f>IF(B1121="","",IF(I1121="","",IF(D1121="","",IF(COUNTIFS($I$5:$I$1204,I1121,$B$5:$B$1204,B1121,$D$5:$D$1204,"&lt;"&amp;V1121,$V$5:$V$1204,"&gt;"&amp;D1121,$M$5:$M$1204,"&lt;&gt;Cancelled")&gt;1,"Clash",""))))</f>
        <v>0</v>
      </c>
      <c r="AH1121" s="39">
        <f>IF(B1121="","",IF(AG1121="Clash","Clash - stylist double booked",IF(I1121="","Assign - no stylist yet",IF(G1121="","Add - no service chosen",IF(M1121="No show","No show - charge the fee?",IF(M1121="Cancelled","",IF(IF(M1121="Completed",AB1121&lt;Y1121-0.004,FALSE),"Unpaid - nothing rung up for this visit",IF(IF(B1121&lt;TodayDate,M1121="Booked",FALSE),"Overdue - past date, still only Booked",IF(IF(B1121=TodayDate,TRUE,FALSE),"Today",IF(IF(Z1121&gt;0,AA1121&lt;Z1121-0.004,FALSE),"Due - deposit not taken",IF(IF(B1121&gt;TodayDate,B1121&lt;=TodayDate+2,FALSE),"Confirm - coming up","OK")))))))))))</f>
        <v>0</v>
      </c>
    </row>
    <row r="1122" spans="1:34">
      <c r="A1122" s="28">
        <f>IF(B1122="","",AppointmentPrefix&amp;TEXT(ROW()-4,"0000"))</f>
        <v>0</v>
      </c>
      <c r="C1122" s="15">
        <f>IF(B1122="","",TEXT(B1122,"ddd"))</f>
        <v>0</v>
      </c>
      <c r="F1122" s="15">
        <f>IF(E1122="","",IFERROR(INDEX(Clients!$B$5:$B$504,MATCH(E1122,Clients!$A$5:$A$504,0)),"Walk-in"))</f>
        <v>0</v>
      </c>
      <c r="H1122" s="15">
        <f>IF(G1122="","",IFERROR(INDEX(Services!$B$5:$B$204,MATCH(G1122,Services!$A$5:$A$204,0)),"Not in Services"))</f>
        <v>0</v>
      </c>
      <c r="J1122" s="15">
        <f>IF(I1122="","",IFERROR(INDEX(Staff!$B$5:$B$44,MATCH(I1122,Staff!$A$5:$A$44,0)),"Unassigned"))</f>
        <v>0</v>
      </c>
      <c r="S1122" s="15">
        <f>IF(B1122="","",TEXT(B1122,"yyyy-mm"))</f>
        <v>0</v>
      </c>
      <c r="T1122" s="25">
        <f>IF(B1122="","",WEEKNUM(B1122,2))</f>
        <v>0</v>
      </c>
      <c r="U1122" s="25">
        <f>IF(B1122="","",IF(K1122&lt;&gt;"",K1122,IFERROR(INDEX(Services!$E$5:$E$204,MATCH(G1122,Services!$A$5:$A$204,0))*1,0)+IFERROR(INDEX(Services!$F$5:$F$204,MATCH(G1122,Services!$A$5:$A$204,0))*1,0)))</f>
        <v>0</v>
      </c>
      <c r="V1122" s="36">
        <f>IF(B1122="","",IF(D1122="","",D1122+U1122/1440))</f>
        <v>0</v>
      </c>
      <c r="W1122" s="25">
        <f>IF(B1122="","",IF(D1122="","",HOUR(D1122)))</f>
        <v>0</v>
      </c>
      <c r="X1122" s="37">
        <f>IF(B1122="","",ROUND(U1122/60,2))</f>
        <v>0</v>
      </c>
      <c r="Y1122" s="26">
        <f>IF(B1122="","",IF(L1122&lt;&gt;"",L1122,IFERROR(INDEX(Services!$G$5:$G$204,MATCH(G1122,Services!$A$5:$A$204,0))*1,0)))</f>
        <v>0</v>
      </c>
      <c r="Z1122" s="26">
        <f>IF(B1122="","",IF(O1122&lt;&gt;"",O1122,IF(Y1122&gt;=DepositThreshold,ROUND(Y1122*DepositPercent,2),0)))</f>
        <v>0</v>
      </c>
      <c r="AA1122" s="26">
        <f>IF(B1122="","",ROUND(SUMIFS(Payments!$G$5:$G$1204,Payments!$I$5:$I$1204,A1122,Payments!$E$5:$E$1204,"Deposit"),2))</f>
        <v>0</v>
      </c>
      <c r="AB1122" s="26">
        <f>IF(B1122="","",ROUND(SUMIFS(Sales!$Y$5:$Y$1204,Sales!$C$5:$C$1204,A1122),2))</f>
        <v>0</v>
      </c>
      <c r="AC1122" s="38">
        <f>IF(B1122="","",IF(M1122="Completed","Yes",IF(M1122="Cancelled","Yes",IF(M1122="No show","Yes","No"))))</f>
        <v>0</v>
      </c>
      <c r="AD1122" s="25">
        <f>IF(B1122="","",IF(AE1122="","",B1122-AE1122))</f>
        <v>0</v>
      </c>
      <c r="AF1122" s="38">
        <f>IF(B1122="","",IF(M1122&lt;&gt;"Completed","",IF(E1122="","No",IF(COUNTIFS(Appointments!$E$5:$E$1204,E1122,Appointments!$B$5:$B$1204,"&gt;"&amp;B1122,Appointments!$M$5:$M$1204,"&lt;&gt;Cancelled")&gt;0,"Yes","No"))))</f>
        <v>0</v>
      </c>
      <c r="AG1122" s="38">
        <f>IF(B1122="","",IF(I1122="","",IF(D1122="","",IF(COUNTIFS($I$5:$I$1204,I1122,$B$5:$B$1204,B1122,$D$5:$D$1204,"&lt;"&amp;V1122,$V$5:$V$1204,"&gt;"&amp;D1122,$M$5:$M$1204,"&lt;&gt;Cancelled")&gt;1,"Clash",""))))</f>
        <v>0</v>
      </c>
      <c r="AH1122" s="39">
        <f>IF(B1122="","",IF(AG1122="Clash","Clash - stylist double booked",IF(I1122="","Assign - no stylist yet",IF(G1122="","Add - no service chosen",IF(M1122="No show","No show - charge the fee?",IF(M1122="Cancelled","",IF(IF(M1122="Completed",AB1122&lt;Y1122-0.004,FALSE),"Unpaid - nothing rung up for this visit",IF(IF(B1122&lt;TodayDate,M1122="Booked",FALSE),"Overdue - past date, still only Booked",IF(IF(B1122=TodayDate,TRUE,FALSE),"Today",IF(IF(Z1122&gt;0,AA1122&lt;Z1122-0.004,FALSE),"Due - deposit not taken",IF(IF(B1122&gt;TodayDate,B1122&lt;=TodayDate+2,FALSE),"Confirm - coming up","OK")))))))))))</f>
        <v>0</v>
      </c>
    </row>
    <row r="1123" spans="1:34">
      <c r="A1123" s="28">
        <f>IF(B1123="","",AppointmentPrefix&amp;TEXT(ROW()-4,"0000"))</f>
        <v>0</v>
      </c>
      <c r="C1123" s="15">
        <f>IF(B1123="","",TEXT(B1123,"ddd"))</f>
        <v>0</v>
      </c>
      <c r="F1123" s="15">
        <f>IF(E1123="","",IFERROR(INDEX(Clients!$B$5:$B$504,MATCH(E1123,Clients!$A$5:$A$504,0)),"Walk-in"))</f>
        <v>0</v>
      </c>
      <c r="H1123" s="15">
        <f>IF(G1123="","",IFERROR(INDEX(Services!$B$5:$B$204,MATCH(G1123,Services!$A$5:$A$204,0)),"Not in Services"))</f>
        <v>0</v>
      </c>
      <c r="J1123" s="15">
        <f>IF(I1123="","",IFERROR(INDEX(Staff!$B$5:$B$44,MATCH(I1123,Staff!$A$5:$A$44,0)),"Unassigned"))</f>
        <v>0</v>
      </c>
      <c r="S1123" s="15">
        <f>IF(B1123="","",TEXT(B1123,"yyyy-mm"))</f>
        <v>0</v>
      </c>
      <c r="T1123" s="25">
        <f>IF(B1123="","",WEEKNUM(B1123,2))</f>
        <v>0</v>
      </c>
      <c r="U1123" s="25">
        <f>IF(B1123="","",IF(K1123&lt;&gt;"",K1123,IFERROR(INDEX(Services!$E$5:$E$204,MATCH(G1123,Services!$A$5:$A$204,0))*1,0)+IFERROR(INDEX(Services!$F$5:$F$204,MATCH(G1123,Services!$A$5:$A$204,0))*1,0)))</f>
        <v>0</v>
      </c>
      <c r="V1123" s="36">
        <f>IF(B1123="","",IF(D1123="","",D1123+U1123/1440))</f>
        <v>0</v>
      </c>
      <c r="W1123" s="25">
        <f>IF(B1123="","",IF(D1123="","",HOUR(D1123)))</f>
        <v>0</v>
      </c>
      <c r="X1123" s="37">
        <f>IF(B1123="","",ROUND(U1123/60,2))</f>
        <v>0</v>
      </c>
      <c r="Y1123" s="26">
        <f>IF(B1123="","",IF(L1123&lt;&gt;"",L1123,IFERROR(INDEX(Services!$G$5:$G$204,MATCH(G1123,Services!$A$5:$A$204,0))*1,0)))</f>
        <v>0</v>
      </c>
      <c r="Z1123" s="26">
        <f>IF(B1123="","",IF(O1123&lt;&gt;"",O1123,IF(Y1123&gt;=DepositThreshold,ROUND(Y1123*DepositPercent,2),0)))</f>
        <v>0</v>
      </c>
      <c r="AA1123" s="26">
        <f>IF(B1123="","",ROUND(SUMIFS(Payments!$G$5:$G$1204,Payments!$I$5:$I$1204,A1123,Payments!$E$5:$E$1204,"Deposit"),2))</f>
        <v>0</v>
      </c>
      <c r="AB1123" s="26">
        <f>IF(B1123="","",ROUND(SUMIFS(Sales!$Y$5:$Y$1204,Sales!$C$5:$C$1204,A1123),2))</f>
        <v>0</v>
      </c>
      <c r="AC1123" s="38">
        <f>IF(B1123="","",IF(M1123="Completed","Yes",IF(M1123="Cancelled","Yes",IF(M1123="No show","Yes","No"))))</f>
        <v>0</v>
      </c>
      <c r="AD1123" s="25">
        <f>IF(B1123="","",IF(AE1123="","",B1123-AE1123))</f>
        <v>0</v>
      </c>
      <c r="AF1123" s="38">
        <f>IF(B1123="","",IF(M1123&lt;&gt;"Completed","",IF(E1123="","No",IF(COUNTIFS(Appointments!$E$5:$E$1204,E1123,Appointments!$B$5:$B$1204,"&gt;"&amp;B1123,Appointments!$M$5:$M$1204,"&lt;&gt;Cancelled")&gt;0,"Yes","No"))))</f>
        <v>0</v>
      </c>
      <c r="AG1123" s="38">
        <f>IF(B1123="","",IF(I1123="","",IF(D1123="","",IF(COUNTIFS($I$5:$I$1204,I1123,$B$5:$B$1204,B1123,$D$5:$D$1204,"&lt;"&amp;V1123,$V$5:$V$1204,"&gt;"&amp;D1123,$M$5:$M$1204,"&lt;&gt;Cancelled")&gt;1,"Clash",""))))</f>
        <v>0</v>
      </c>
      <c r="AH1123" s="39">
        <f>IF(B1123="","",IF(AG1123="Clash","Clash - stylist double booked",IF(I1123="","Assign - no stylist yet",IF(G1123="","Add - no service chosen",IF(M1123="No show","No show - charge the fee?",IF(M1123="Cancelled","",IF(IF(M1123="Completed",AB1123&lt;Y1123-0.004,FALSE),"Unpaid - nothing rung up for this visit",IF(IF(B1123&lt;TodayDate,M1123="Booked",FALSE),"Overdue - past date, still only Booked",IF(IF(B1123=TodayDate,TRUE,FALSE),"Today",IF(IF(Z1123&gt;0,AA1123&lt;Z1123-0.004,FALSE),"Due - deposit not taken",IF(IF(B1123&gt;TodayDate,B1123&lt;=TodayDate+2,FALSE),"Confirm - coming up","OK")))))))))))</f>
        <v>0</v>
      </c>
    </row>
    <row r="1124" spans="1:34">
      <c r="A1124" s="28">
        <f>IF(B1124="","",AppointmentPrefix&amp;TEXT(ROW()-4,"0000"))</f>
        <v>0</v>
      </c>
      <c r="C1124" s="15">
        <f>IF(B1124="","",TEXT(B1124,"ddd"))</f>
        <v>0</v>
      </c>
      <c r="F1124" s="15">
        <f>IF(E1124="","",IFERROR(INDEX(Clients!$B$5:$B$504,MATCH(E1124,Clients!$A$5:$A$504,0)),"Walk-in"))</f>
        <v>0</v>
      </c>
      <c r="H1124" s="15">
        <f>IF(G1124="","",IFERROR(INDEX(Services!$B$5:$B$204,MATCH(G1124,Services!$A$5:$A$204,0)),"Not in Services"))</f>
        <v>0</v>
      </c>
      <c r="J1124" s="15">
        <f>IF(I1124="","",IFERROR(INDEX(Staff!$B$5:$B$44,MATCH(I1124,Staff!$A$5:$A$44,0)),"Unassigned"))</f>
        <v>0</v>
      </c>
      <c r="S1124" s="15">
        <f>IF(B1124="","",TEXT(B1124,"yyyy-mm"))</f>
        <v>0</v>
      </c>
      <c r="T1124" s="25">
        <f>IF(B1124="","",WEEKNUM(B1124,2))</f>
        <v>0</v>
      </c>
      <c r="U1124" s="25">
        <f>IF(B1124="","",IF(K1124&lt;&gt;"",K1124,IFERROR(INDEX(Services!$E$5:$E$204,MATCH(G1124,Services!$A$5:$A$204,0))*1,0)+IFERROR(INDEX(Services!$F$5:$F$204,MATCH(G1124,Services!$A$5:$A$204,0))*1,0)))</f>
        <v>0</v>
      </c>
      <c r="V1124" s="36">
        <f>IF(B1124="","",IF(D1124="","",D1124+U1124/1440))</f>
        <v>0</v>
      </c>
      <c r="W1124" s="25">
        <f>IF(B1124="","",IF(D1124="","",HOUR(D1124)))</f>
        <v>0</v>
      </c>
      <c r="X1124" s="37">
        <f>IF(B1124="","",ROUND(U1124/60,2))</f>
        <v>0</v>
      </c>
      <c r="Y1124" s="26">
        <f>IF(B1124="","",IF(L1124&lt;&gt;"",L1124,IFERROR(INDEX(Services!$G$5:$G$204,MATCH(G1124,Services!$A$5:$A$204,0))*1,0)))</f>
        <v>0</v>
      </c>
      <c r="Z1124" s="26">
        <f>IF(B1124="","",IF(O1124&lt;&gt;"",O1124,IF(Y1124&gt;=DepositThreshold,ROUND(Y1124*DepositPercent,2),0)))</f>
        <v>0</v>
      </c>
      <c r="AA1124" s="26">
        <f>IF(B1124="","",ROUND(SUMIFS(Payments!$G$5:$G$1204,Payments!$I$5:$I$1204,A1124,Payments!$E$5:$E$1204,"Deposit"),2))</f>
        <v>0</v>
      </c>
      <c r="AB1124" s="26">
        <f>IF(B1124="","",ROUND(SUMIFS(Sales!$Y$5:$Y$1204,Sales!$C$5:$C$1204,A1124),2))</f>
        <v>0</v>
      </c>
      <c r="AC1124" s="38">
        <f>IF(B1124="","",IF(M1124="Completed","Yes",IF(M1124="Cancelled","Yes",IF(M1124="No show","Yes","No"))))</f>
        <v>0</v>
      </c>
      <c r="AD1124" s="25">
        <f>IF(B1124="","",IF(AE1124="","",B1124-AE1124))</f>
        <v>0</v>
      </c>
      <c r="AF1124" s="38">
        <f>IF(B1124="","",IF(M1124&lt;&gt;"Completed","",IF(E1124="","No",IF(COUNTIFS(Appointments!$E$5:$E$1204,E1124,Appointments!$B$5:$B$1204,"&gt;"&amp;B1124,Appointments!$M$5:$M$1204,"&lt;&gt;Cancelled")&gt;0,"Yes","No"))))</f>
        <v>0</v>
      </c>
      <c r="AG1124" s="38">
        <f>IF(B1124="","",IF(I1124="","",IF(D1124="","",IF(COUNTIFS($I$5:$I$1204,I1124,$B$5:$B$1204,B1124,$D$5:$D$1204,"&lt;"&amp;V1124,$V$5:$V$1204,"&gt;"&amp;D1124,$M$5:$M$1204,"&lt;&gt;Cancelled")&gt;1,"Clash",""))))</f>
        <v>0</v>
      </c>
      <c r="AH1124" s="39">
        <f>IF(B1124="","",IF(AG1124="Clash","Clash - stylist double booked",IF(I1124="","Assign - no stylist yet",IF(G1124="","Add - no service chosen",IF(M1124="No show","No show - charge the fee?",IF(M1124="Cancelled","",IF(IF(M1124="Completed",AB1124&lt;Y1124-0.004,FALSE),"Unpaid - nothing rung up for this visit",IF(IF(B1124&lt;TodayDate,M1124="Booked",FALSE),"Overdue - past date, still only Booked",IF(IF(B1124=TodayDate,TRUE,FALSE),"Today",IF(IF(Z1124&gt;0,AA1124&lt;Z1124-0.004,FALSE),"Due - deposit not taken",IF(IF(B1124&gt;TodayDate,B1124&lt;=TodayDate+2,FALSE),"Confirm - coming up","OK")))))))))))</f>
        <v>0</v>
      </c>
    </row>
    <row r="1125" spans="1:34">
      <c r="A1125" s="28">
        <f>IF(B1125="","",AppointmentPrefix&amp;TEXT(ROW()-4,"0000"))</f>
        <v>0</v>
      </c>
      <c r="C1125" s="15">
        <f>IF(B1125="","",TEXT(B1125,"ddd"))</f>
        <v>0</v>
      </c>
      <c r="F1125" s="15">
        <f>IF(E1125="","",IFERROR(INDEX(Clients!$B$5:$B$504,MATCH(E1125,Clients!$A$5:$A$504,0)),"Walk-in"))</f>
        <v>0</v>
      </c>
      <c r="H1125" s="15">
        <f>IF(G1125="","",IFERROR(INDEX(Services!$B$5:$B$204,MATCH(G1125,Services!$A$5:$A$204,0)),"Not in Services"))</f>
        <v>0</v>
      </c>
      <c r="J1125" s="15">
        <f>IF(I1125="","",IFERROR(INDEX(Staff!$B$5:$B$44,MATCH(I1125,Staff!$A$5:$A$44,0)),"Unassigned"))</f>
        <v>0</v>
      </c>
      <c r="S1125" s="15">
        <f>IF(B1125="","",TEXT(B1125,"yyyy-mm"))</f>
        <v>0</v>
      </c>
      <c r="T1125" s="25">
        <f>IF(B1125="","",WEEKNUM(B1125,2))</f>
        <v>0</v>
      </c>
      <c r="U1125" s="25">
        <f>IF(B1125="","",IF(K1125&lt;&gt;"",K1125,IFERROR(INDEX(Services!$E$5:$E$204,MATCH(G1125,Services!$A$5:$A$204,0))*1,0)+IFERROR(INDEX(Services!$F$5:$F$204,MATCH(G1125,Services!$A$5:$A$204,0))*1,0)))</f>
        <v>0</v>
      </c>
      <c r="V1125" s="36">
        <f>IF(B1125="","",IF(D1125="","",D1125+U1125/1440))</f>
        <v>0</v>
      </c>
      <c r="W1125" s="25">
        <f>IF(B1125="","",IF(D1125="","",HOUR(D1125)))</f>
        <v>0</v>
      </c>
      <c r="X1125" s="37">
        <f>IF(B1125="","",ROUND(U1125/60,2))</f>
        <v>0</v>
      </c>
      <c r="Y1125" s="26">
        <f>IF(B1125="","",IF(L1125&lt;&gt;"",L1125,IFERROR(INDEX(Services!$G$5:$G$204,MATCH(G1125,Services!$A$5:$A$204,0))*1,0)))</f>
        <v>0</v>
      </c>
      <c r="Z1125" s="26">
        <f>IF(B1125="","",IF(O1125&lt;&gt;"",O1125,IF(Y1125&gt;=DepositThreshold,ROUND(Y1125*DepositPercent,2),0)))</f>
        <v>0</v>
      </c>
      <c r="AA1125" s="26">
        <f>IF(B1125="","",ROUND(SUMIFS(Payments!$G$5:$G$1204,Payments!$I$5:$I$1204,A1125,Payments!$E$5:$E$1204,"Deposit"),2))</f>
        <v>0</v>
      </c>
      <c r="AB1125" s="26">
        <f>IF(B1125="","",ROUND(SUMIFS(Sales!$Y$5:$Y$1204,Sales!$C$5:$C$1204,A1125),2))</f>
        <v>0</v>
      </c>
      <c r="AC1125" s="38">
        <f>IF(B1125="","",IF(M1125="Completed","Yes",IF(M1125="Cancelled","Yes",IF(M1125="No show","Yes","No"))))</f>
        <v>0</v>
      </c>
      <c r="AD1125" s="25">
        <f>IF(B1125="","",IF(AE1125="","",B1125-AE1125))</f>
        <v>0</v>
      </c>
      <c r="AF1125" s="38">
        <f>IF(B1125="","",IF(M1125&lt;&gt;"Completed","",IF(E1125="","No",IF(COUNTIFS(Appointments!$E$5:$E$1204,E1125,Appointments!$B$5:$B$1204,"&gt;"&amp;B1125,Appointments!$M$5:$M$1204,"&lt;&gt;Cancelled")&gt;0,"Yes","No"))))</f>
        <v>0</v>
      </c>
      <c r="AG1125" s="38">
        <f>IF(B1125="","",IF(I1125="","",IF(D1125="","",IF(COUNTIFS($I$5:$I$1204,I1125,$B$5:$B$1204,B1125,$D$5:$D$1204,"&lt;"&amp;V1125,$V$5:$V$1204,"&gt;"&amp;D1125,$M$5:$M$1204,"&lt;&gt;Cancelled")&gt;1,"Clash",""))))</f>
        <v>0</v>
      </c>
      <c r="AH1125" s="39">
        <f>IF(B1125="","",IF(AG1125="Clash","Clash - stylist double booked",IF(I1125="","Assign - no stylist yet",IF(G1125="","Add - no service chosen",IF(M1125="No show","No show - charge the fee?",IF(M1125="Cancelled","",IF(IF(M1125="Completed",AB1125&lt;Y1125-0.004,FALSE),"Unpaid - nothing rung up for this visit",IF(IF(B1125&lt;TodayDate,M1125="Booked",FALSE),"Overdue - past date, still only Booked",IF(IF(B1125=TodayDate,TRUE,FALSE),"Today",IF(IF(Z1125&gt;0,AA1125&lt;Z1125-0.004,FALSE),"Due - deposit not taken",IF(IF(B1125&gt;TodayDate,B1125&lt;=TodayDate+2,FALSE),"Confirm - coming up","OK")))))))))))</f>
        <v>0</v>
      </c>
    </row>
    <row r="1126" spans="1:34">
      <c r="A1126" s="28">
        <f>IF(B1126="","",AppointmentPrefix&amp;TEXT(ROW()-4,"0000"))</f>
        <v>0</v>
      </c>
      <c r="C1126" s="15">
        <f>IF(B1126="","",TEXT(B1126,"ddd"))</f>
        <v>0</v>
      </c>
      <c r="F1126" s="15">
        <f>IF(E1126="","",IFERROR(INDEX(Clients!$B$5:$B$504,MATCH(E1126,Clients!$A$5:$A$504,0)),"Walk-in"))</f>
        <v>0</v>
      </c>
      <c r="H1126" s="15">
        <f>IF(G1126="","",IFERROR(INDEX(Services!$B$5:$B$204,MATCH(G1126,Services!$A$5:$A$204,0)),"Not in Services"))</f>
        <v>0</v>
      </c>
      <c r="J1126" s="15">
        <f>IF(I1126="","",IFERROR(INDEX(Staff!$B$5:$B$44,MATCH(I1126,Staff!$A$5:$A$44,0)),"Unassigned"))</f>
        <v>0</v>
      </c>
      <c r="S1126" s="15">
        <f>IF(B1126="","",TEXT(B1126,"yyyy-mm"))</f>
        <v>0</v>
      </c>
      <c r="T1126" s="25">
        <f>IF(B1126="","",WEEKNUM(B1126,2))</f>
        <v>0</v>
      </c>
      <c r="U1126" s="25">
        <f>IF(B1126="","",IF(K1126&lt;&gt;"",K1126,IFERROR(INDEX(Services!$E$5:$E$204,MATCH(G1126,Services!$A$5:$A$204,0))*1,0)+IFERROR(INDEX(Services!$F$5:$F$204,MATCH(G1126,Services!$A$5:$A$204,0))*1,0)))</f>
        <v>0</v>
      </c>
      <c r="V1126" s="36">
        <f>IF(B1126="","",IF(D1126="","",D1126+U1126/1440))</f>
        <v>0</v>
      </c>
      <c r="W1126" s="25">
        <f>IF(B1126="","",IF(D1126="","",HOUR(D1126)))</f>
        <v>0</v>
      </c>
      <c r="X1126" s="37">
        <f>IF(B1126="","",ROUND(U1126/60,2))</f>
        <v>0</v>
      </c>
      <c r="Y1126" s="26">
        <f>IF(B1126="","",IF(L1126&lt;&gt;"",L1126,IFERROR(INDEX(Services!$G$5:$G$204,MATCH(G1126,Services!$A$5:$A$204,0))*1,0)))</f>
        <v>0</v>
      </c>
      <c r="Z1126" s="26">
        <f>IF(B1126="","",IF(O1126&lt;&gt;"",O1126,IF(Y1126&gt;=DepositThreshold,ROUND(Y1126*DepositPercent,2),0)))</f>
        <v>0</v>
      </c>
      <c r="AA1126" s="26">
        <f>IF(B1126="","",ROUND(SUMIFS(Payments!$G$5:$G$1204,Payments!$I$5:$I$1204,A1126,Payments!$E$5:$E$1204,"Deposit"),2))</f>
        <v>0</v>
      </c>
      <c r="AB1126" s="26">
        <f>IF(B1126="","",ROUND(SUMIFS(Sales!$Y$5:$Y$1204,Sales!$C$5:$C$1204,A1126),2))</f>
        <v>0</v>
      </c>
      <c r="AC1126" s="38">
        <f>IF(B1126="","",IF(M1126="Completed","Yes",IF(M1126="Cancelled","Yes",IF(M1126="No show","Yes","No"))))</f>
        <v>0</v>
      </c>
      <c r="AD1126" s="25">
        <f>IF(B1126="","",IF(AE1126="","",B1126-AE1126))</f>
        <v>0</v>
      </c>
      <c r="AF1126" s="38">
        <f>IF(B1126="","",IF(M1126&lt;&gt;"Completed","",IF(E1126="","No",IF(COUNTIFS(Appointments!$E$5:$E$1204,E1126,Appointments!$B$5:$B$1204,"&gt;"&amp;B1126,Appointments!$M$5:$M$1204,"&lt;&gt;Cancelled")&gt;0,"Yes","No"))))</f>
        <v>0</v>
      </c>
      <c r="AG1126" s="38">
        <f>IF(B1126="","",IF(I1126="","",IF(D1126="","",IF(COUNTIFS($I$5:$I$1204,I1126,$B$5:$B$1204,B1126,$D$5:$D$1204,"&lt;"&amp;V1126,$V$5:$V$1204,"&gt;"&amp;D1126,$M$5:$M$1204,"&lt;&gt;Cancelled")&gt;1,"Clash",""))))</f>
        <v>0</v>
      </c>
      <c r="AH1126" s="39">
        <f>IF(B1126="","",IF(AG1126="Clash","Clash - stylist double booked",IF(I1126="","Assign - no stylist yet",IF(G1126="","Add - no service chosen",IF(M1126="No show","No show - charge the fee?",IF(M1126="Cancelled","",IF(IF(M1126="Completed",AB1126&lt;Y1126-0.004,FALSE),"Unpaid - nothing rung up for this visit",IF(IF(B1126&lt;TodayDate,M1126="Booked",FALSE),"Overdue - past date, still only Booked",IF(IF(B1126=TodayDate,TRUE,FALSE),"Today",IF(IF(Z1126&gt;0,AA1126&lt;Z1126-0.004,FALSE),"Due - deposit not taken",IF(IF(B1126&gt;TodayDate,B1126&lt;=TodayDate+2,FALSE),"Confirm - coming up","OK")))))))))))</f>
        <v>0</v>
      </c>
    </row>
    <row r="1127" spans="1:34">
      <c r="A1127" s="28">
        <f>IF(B1127="","",AppointmentPrefix&amp;TEXT(ROW()-4,"0000"))</f>
        <v>0</v>
      </c>
      <c r="C1127" s="15">
        <f>IF(B1127="","",TEXT(B1127,"ddd"))</f>
        <v>0</v>
      </c>
      <c r="F1127" s="15">
        <f>IF(E1127="","",IFERROR(INDEX(Clients!$B$5:$B$504,MATCH(E1127,Clients!$A$5:$A$504,0)),"Walk-in"))</f>
        <v>0</v>
      </c>
      <c r="H1127" s="15">
        <f>IF(G1127="","",IFERROR(INDEX(Services!$B$5:$B$204,MATCH(G1127,Services!$A$5:$A$204,0)),"Not in Services"))</f>
        <v>0</v>
      </c>
      <c r="J1127" s="15">
        <f>IF(I1127="","",IFERROR(INDEX(Staff!$B$5:$B$44,MATCH(I1127,Staff!$A$5:$A$44,0)),"Unassigned"))</f>
        <v>0</v>
      </c>
      <c r="S1127" s="15">
        <f>IF(B1127="","",TEXT(B1127,"yyyy-mm"))</f>
        <v>0</v>
      </c>
      <c r="T1127" s="25">
        <f>IF(B1127="","",WEEKNUM(B1127,2))</f>
        <v>0</v>
      </c>
      <c r="U1127" s="25">
        <f>IF(B1127="","",IF(K1127&lt;&gt;"",K1127,IFERROR(INDEX(Services!$E$5:$E$204,MATCH(G1127,Services!$A$5:$A$204,0))*1,0)+IFERROR(INDEX(Services!$F$5:$F$204,MATCH(G1127,Services!$A$5:$A$204,0))*1,0)))</f>
        <v>0</v>
      </c>
      <c r="V1127" s="36">
        <f>IF(B1127="","",IF(D1127="","",D1127+U1127/1440))</f>
        <v>0</v>
      </c>
      <c r="W1127" s="25">
        <f>IF(B1127="","",IF(D1127="","",HOUR(D1127)))</f>
        <v>0</v>
      </c>
      <c r="X1127" s="37">
        <f>IF(B1127="","",ROUND(U1127/60,2))</f>
        <v>0</v>
      </c>
      <c r="Y1127" s="26">
        <f>IF(B1127="","",IF(L1127&lt;&gt;"",L1127,IFERROR(INDEX(Services!$G$5:$G$204,MATCH(G1127,Services!$A$5:$A$204,0))*1,0)))</f>
        <v>0</v>
      </c>
      <c r="Z1127" s="26">
        <f>IF(B1127="","",IF(O1127&lt;&gt;"",O1127,IF(Y1127&gt;=DepositThreshold,ROUND(Y1127*DepositPercent,2),0)))</f>
        <v>0</v>
      </c>
      <c r="AA1127" s="26">
        <f>IF(B1127="","",ROUND(SUMIFS(Payments!$G$5:$G$1204,Payments!$I$5:$I$1204,A1127,Payments!$E$5:$E$1204,"Deposit"),2))</f>
        <v>0</v>
      </c>
      <c r="AB1127" s="26">
        <f>IF(B1127="","",ROUND(SUMIFS(Sales!$Y$5:$Y$1204,Sales!$C$5:$C$1204,A1127),2))</f>
        <v>0</v>
      </c>
      <c r="AC1127" s="38">
        <f>IF(B1127="","",IF(M1127="Completed","Yes",IF(M1127="Cancelled","Yes",IF(M1127="No show","Yes","No"))))</f>
        <v>0</v>
      </c>
      <c r="AD1127" s="25">
        <f>IF(B1127="","",IF(AE1127="","",B1127-AE1127))</f>
        <v>0</v>
      </c>
      <c r="AF1127" s="38">
        <f>IF(B1127="","",IF(M1127&lt;&gt;"Completed","",IF(E1127="","No",IF(COUNTIFS(Appointments!$E$5:$E$1204,E1127,Appointments!$B$5:$B$1204,"&gt;"&amp;B1127,Appointments!$M$5:$M$1204,"&lt;&gt;Cancelled")&gt;0,"Yes","No"))))</f>
        <v>0</v>
      </c>
      <c r="AG1127" s="38">
        <f>IF(B1127="","",IF(I1127="","",IF(D1127="","",IF(COUNTIFS($I$5:$I$1204,I1127,$B$5:$B$1204,B1127,$D$5:$D$1204,"&lt;"&amp;V1127,$V$5:$V$1204,"&gt;"&amp;D1127,$M$5:$M$1204,"&lt;&gt;Cancelled")&gt;1,"Clash",""))))</f>
        <v>0</v>
      </c>
      <c r="AH1127" s="39">
        <f>IF(B1127="","",IF(AG1127="Clash","Clash - stylist double booked",IF(I1127="","Assign - no stylist yet",IF(G1127="","Add - no service chosen",IF(M1127="No show","No show - charge the fee?",IF(M1127="Cancelled","",IF(IF(M1127="Completed",AB1127&lt;Y1127-0.004,FALSE),"Unpaid - nothing rung up for this visit",IF(IF(B1127&lt;TodayDate,M1127="Booked",FALSE),"Overdue - past date, still only Booked",IF(IF(B1127=TodayDate,TRUE,FALSE),"Today",IF(IF(Z1127&gt;0,AA1127&lt;Z1127-0.004,FALSE),"Due - deposit not taken",IF(IF(B1127&gt;TodayDate,B1127&lt;=TodayDate+2,FALSE),"Confirm - coming up","OK")))))))))))</f>
        <v>0</v>
      </c>
    </row>
    <row r="1128" spans="1:34">
      <c r="A1128" s="28">
        <f>IF(B1128="","",AppointmentPrefix&amp;TEXT(ROW()-4,"0000"))</f>
        <v>0</v>
      </c>
      <c r="C1128" s="15">
        <f>IF(B1128="","",TEXT(B1128,"ddd"))</f>
        <v>0</v>
      </c>
      <c r="F1128" s="15">
        <f>IF(E1128="","",IFERROR(INDEX(Clients!$B$5:$B$504,MATCH(E1128,Clients!$A$5:$A$504,0)),"Walk-in"))</f>
        <v>0</v>
      </c>
      <c r="H1128" s="15">
        <f>IF(G1128="","",IFERROR(INDEX(Services!$B$5:$B$204,MATCH(G1128,Services!$A$5:$A$204,0)),"Not in Services"))</f>
        <v>0</v>
      </c>
      <c r="J1128" s="15">
        <f>IF(I1128="","",IFERROR(INDEX(Staff!$B$5:$B$44,MATCH(I1128,Staff!$A$5:$A$44,0)),"Unassigned"))</f>
        <v>0</v>
      </c>
      <c r="S1128" s="15">
        <f>IF(B1128="","",TEXT(B1128,"yyyy-mm"))</f>
        <v>0</v>
      </c>
      <c r="T1128" s="25">
        <f>IF(B1128="","",WEEKNUM(B1128,2))</f>
        <v>0</v>
      </c>
      <c r="U1128" s="25">
        <f>IF(B1128="","",IF(K1128&lt;&gt;"",K1128,IFERROR(INDEX(Services!$E$5:$E$204,MATCH(G1128,Services!$A$5:$A$204,0))*1,0)+IFERROR(INDEX(Services!$F$5:$F$204,MATCH(G1128,Services!$A$5:$A$204,0))*1,0)))</f>
        <v>0</v>
      </c>
      <c r="V1128" s="36">
        <f>IF(B1128="","",IF(D1128="","",D1128+U1128/1440))</f>
        <v>0</v>
      </c>
      <c r="W1128" s="25">
        <f>IF(B1128="","",IF(D1128="","",HOUR(D1128)))</f>
        <v>0</v>
      </c>
      <c r="X1128" s="37">
        <f>IF(B1128="","",ROUND(U1128/60,2))</f>
        <v>0</v>
      </c>
      <c r="Y1128" s="26">
        <f>IF(B1128="","",IF(L1128&lt;&gt;"",L1128,IFERROR(INDEX(Services!$G$5:$G$204,MATCH(G1128,Services!$A$5:$A$204,0))*1,0)))</f>
        <v>0</v>
      </c>
      <c r="Z1128" s="26">
        <f>IF(B1128="","",IF(O1128&lt;&gt;"",O1128,IF(Y1128&gt;=DepositThreshold,ROUND(Y1128*DepositPercent,2),0)))</f>
        <v>0</v>
      </c>
      <c r="AA1128" s="26">
        <f>IF(B1128="","",ROUND(SUMIFS(Payments!$G$5:$G$1204,Payments!$I$5:$I$1204,A1128,Payments!$E$5:$E$1204,"Deposit"),2))</f>
        <v>0</v>
      </c>
      <c r="AB1128" s="26">
        <f>IF(B1128="","",ROUND(SUMIFS(Sales!$Y$5:$Y$1204,Sales!$C$5:$C$1204,A1128),2))</f>
        <v>0</v>
      </c>
      <c r="AC1128" s="38">
        <f>IF(B1128="","",IF(M1128="Completed","Yes",IF(M1128="Cancelled","Yes",IF(M1128="No show","Yes","No"))))</f>
        <v>0</v>
      </c>
      <c r="AD1128" s="25">
        <f>IF(B1128="","",IF(AE1128="","",B1128-AE1128))</f>
        <v>0</v>
      </c>
      <c r="AF1128" s="38">
        <f>IF(B1128="","",IF(M1128&lt;&gt;"Completed","",IF(E1128="","No",IF(COUNTIFS(Appointments!$E$5:$E$1204,E1128,Appointments!$B$5:$B$1204,"&gt;"&amp;B1128,Appointments!$M$5:$M$1204,"&lt;&gt;Cancelled")&gt;0,"Yes","No"))))</f>
        <v>0</v>
      </c>
      <c r="AG1128" s="38">
        <f>IF(B1128="","",IF(I1128="","",IF(D1128="","",IF(COUNTIFS($I$5:$I$1204,I1128,$B$5:$B$1204,B1128,$D$5:$D$1204,"&lt;"&amp;V1128,$V$5:$V$1204,"&gt;"&amp;D1128,$M$5:$M$1204,"&lt;&gt;Cancelled")&gt;1,"Clash",""))))</f>
        <v>0</v>
      </c>
      <c r="AH1128" s="39">
        <f>IF(B1128="","",IF(AG1128="Clash","Clash - stylist double booked",IF(I1128="","Assign - no stylist yet",IF(G1128="","Add - no service chosen",IF(M1128="No show","No show - charge the fee?",IF(M1128="Cancelled","",IF(IF(M1128="Completed",AB1128&lt;Y1128-0.004,FALSE),"Unpaid - nothing rung up for this visit",IF(IF(B1128&lt;TodayDate,M1128="Booked",FALSE),"Overdue - past date, still only Booked",IF(IF(B1128=TodayDate,TRUE,FALSE),"Today",IF(IF(Z1128&gt;0,AA1128&lt;Z1128-0.004,FALSE),"Due - deposit not taken",IF(IF(B1128&gt;TodayDate,B1128&lt;=TodayDate+2,FALSE),"Confirm - coming up","OK")))))))))))</f>
        <v>0</v>
      </c>
    </row>
    <row r="1129" spans="1:34">
      <c r="A1129" s="28">
        <f>IF(B1129="","",AppointmentPrefix&amp;TEXT(ROW()-4,"0000"))</f>
        <v>0</v>
      </c>
      <c r="C1129" s="15">
        <f>IF(B1129="","",TEXT(B1129,"ddd"))</f>
        <v>0</v>
      </c>
      <c r="F1129" s="15">
        <f>IF(E1129="","",IFERROR(INDEX(Clients!$B$5:$B$504,MATCH(E1129,Clients!$A$5:$A$504,0)),"Walk-in"))</f>
        <v>0</v>
      </c>
      <c r="H1129" s="15">
        <f>IF(G1129="","",IFERROR(INDEX(Services!$B$5:$B$204,MATCH(G1129,Services!$A$5:$A$204,0)),"Not in Services"))</f>
        <v>0</v>
      </c>
      <c r="J1129" s="15">
        <f>IF(I1129="","",IFERROR(INDEX(Staff!$B$5:$B$44,MATCH(I1129,Staff!$A$5:$A$44,0)),"Unassigned"))</f>
        <v>0</v>
      </c>
      <c r="S1129" s="15">
        <f>IF(B1129="","",TEXT(B1129,"yyyy-mm"))</f>
        <v>0</v>
      </c>
      <c r="T1129" s="25">
        <f>IF(B1129="","",WEEKNUM(B1129,2))</f>
        <v>0</v>
      </c>
      <c r="U1129" s="25">
        <f>IF(B1129="","",IF(K1129&lt;&gt;"",K1129,IFERROR(INDEX(Services!$E$5:$E$204,MATCH(G1129,Services!$A$5:$A$204,0))*1,0)+IFERROR(INDEX(Services!$F$5:$F$204,MATCH(G1129,Services!$A$5:$A$204,0))*1,0)))</f>
        <v>0</v>
      </c>
      <c r="V1129" s="36">
        <f>IF(B1129="","",IF(D1129="","",D1129+U1129/1440))</f>
        <v>0</v>
      </c>
      <c r="W1129" s="25">
        <f>IF(B1129="","",IF(D1129="","",HOUR(D1129)))</f>
        <v>0</v>
      </c>
      <c r="X1129" s="37">
        <f>IF(B1129="","",ROUND(U1129/60,2))</f>
        <v>0</v>
      </c>
      <c r="Y1129" s="26">
        <f>IF(B1129="","",IF(L1129&lt;&gt;"",L1129,IFERROR(INDEX(Services!$G$5:$G$204,MATCH(G1129,Services!$A$5:$A$204,0))*1,0)))</f>
        <v>0</v>
      </c>
      <c r="Z1129" s="26">
        <f>IF(B1129="","",IF(O1129&lt;&gt;"",O1129,IF(Y1129&gt;=DepositThreshold,ROUND(Y1129*DepositPercent,2),0)))</f>
        <v>0</v>
      </c>
      <c r="AA1129" s="26">
        <f>IF(B1129="","",ROUND(SUMIFS(Payments!$G$5:$G$1204,Payments!$I$5:$I$1204,A1129,Payments!$E$5:$E$1204,"Deposit"),2))</f>
        <v>0</v>
      </c>
      <c r="AB1129" s="26">
        <f>IF(B1129="","",ROUND(SUMIFS(Sales!$Y$5:$Y$1204,Sales!$C$5:$C$1204,A1129),2))</f>
        <v>0</v>
      </c>
      <c r="AC1129" s="38">
        <f>IF(B1129="","",IF(M1129="Completed","Yes",IF(M1129="Cancelled","Yes",IF(M1129="No show","Yes","No"))))</f>
        <v>0</v>
      </c>
      <c r="AD1129" s="25">
        <f>IF(B1129="","",IF(AE1129="","",B1129-AE1129))</f>
        <v>0</v>
      </c>
      <c r="AF1129" s="38">
        <f>IF(B1129="","",IF(M1129&lt;&gt;"Completed","",IF(E1129="","No",IF(COUNTIFS(Appointments!$E$5:$E$1204,E1129,Appointments!$B$5:$B$1204,"&gt;"&amp;B1129,Appointments!$M$5:$M$1204,"&lt;&gt;Cancelled")&gt;0,"Yes","No"))))</f>
        <v>0</v>
      </c>
      <c r="AG1129" s="38">
        <f>IF(B1129="","",IF(I1129="","",IF(D1129="","",IF(COUNTIFS($I$5:$I$1204,I1129,$B$5:$B$1204,B1129,$D$5:$D$1204,"&lt;"&amp;V1129,$V$5:$V$1204,"&gt;"&amp;D1129,$M$5:$M$1204,"&lt;&gt;Cancelled")&gt;1,"Clash",""))))</f>
        <v>0</v>
      </c>
      <c r="AH1129" s="39">
        <f>IF(B1129="","",IF(AG1129="Clash","Clash - stylist double booked",IF(I1129="","Assign - no stylist yet",IF(G1129="","Add - no service chosen",IF(M1129="No show","No show - charge the fee?",IF(M1129="Cancelled","",IF(IF(M1129="Completed",AB1129&lt;Y1129-0.004,FALSE),"Unpaid - nothing rung up for this visit",IF(IF(B1129&lt;TodayDate,M1129="Booked",FALSE),"Overdue - past date, still only Booked",IF(IF(B1129=TodayDate,TRUE,FALSE),"Today",IF(IF(Z1129&gt;0,AA1129&lt;Z1129-0.004,FALSE),"Due - deposit not taken",IF(IF(B1129&gt;TodayDate,B1129&lt;=TodayDate+2,FALSE),"Confirm - coming up","OK")))))))))))</f>
        <v>0</v>
      </c>
    </row>
    <row r="1130" spans="1:34">
      <c r="A1130" s="28">
        <f>IF(B1130="","",AppointmentPrefix&amp;TEXT(ROW()-4,"0000"))</f>
        <v>0</v>
      </c>
      <c r="C1130" s="15">
        <f>IF(B1130="","",TEXT(B1130,"ddd"))</f>
        <v>0</v>
      </c>
      <c r="F1130" s="15">
        <f>IF(E1130="","",IFERROR(INDEX(Clients!$B$5:$B$504,MATCH(E1130,Clients!$A$5:$A$504,0)),"Walk-in"))</f>
        <v>0</v>
      </c>
      <c r="H1130" s="15">
        <f>IF(G1130="","",IFERROR(INDEX(Services!$B$5:$B$204,MATCH(G1130,Services!$A$5:$A$204,0)),"Not in Services"))</f>
        <v>0</v>
      </c>
      <c r="J1130" s="15">
        <f>IF(I1130="","",IFERROR(INDEX(Staff!$B$5:$B$44,MATCH(I1130,Staff!$A$5:$A$44,0)),"Unassigned"))</f>
        <v>0</v>
      </c>
      <c r="S1130" s="15">
        <f>IF(B1130="","",TEXT(B1130,"yyyy-mm"))</f>
        <v>0</v>
      </c>
      <c r="T1130" s="25">
        <f>IF(B1130="","",WEEKNUM(B1130,2))</f>
        <v>0</v>
      </c>
      <c r="U1130" s="25">
        <f>IF(B1130="","",IF(K1130&lt;&gt;"",K1130,IFERROR(INDEX(Services!$E$5:$E$204,MATCH(G1130,Services!$A$5:$A$204,0))*1,0)+IFERROR(INDEX(Services!$F$5:$F$204,MATCH(G1130,Services!$A$5:$A$204,0))*1,0)))</f>
        <v>0</v>
      </c>
      <c r="V1130" s="36">
        <f>IF(B1130="","",IF(D1130="","",D1130+U1130/1440))</f>
        <v>0</v>
      </c>
      <c r="W1130" s="25">
        <f>IF(B1130="","",IF(D1130="","",HOUR(D1130)))</f>
        <v>0</v>
      </c>
      <c r="X1130" s="37">
        <f>IF(B1130="","",ROUND(U1130/60,2))</f>
        <v>0</v>
      </c>
      <c r="Y1130" s="26">
        <f>IF(B1130="","",IF(L1130&lt;&gt;"",L1130,IFERROR(INDEX(Services!$G$5:$G$204,MATCH(G1130,Services!$A$5:$A$204,0))*1,0)))</f>
        <v>0</v>
      </c>
      <c r="Z1130" s="26">
        <f>IF(B1130="","",IF(O1130&lt;&gt;"",O1130,IF(Y1130&gt;=DepositThreshold,ROUND(Y1130*DepositPercent,2),0)))</f>
        <v>0</v>
      </c>
      <c r="AA1130" s="26">
        <f>IF(B1130="","",ROUND(SUMIFS(Payments!$G$5:$G$1204,Payments!$I$5:$I$1204,A1130,Payments!$E$5:$E$1204,"Deposit"),2))</f>
        <v>0</v>
      </c>
      <c r="AB1130" s="26">
        <f>IF(B1130="","",ROUND(SUMIFS(Sales!$Y$5:$Y$1204,Sales!$C$5:$C$1204,A1130),2))</f>
        <v>0</v>
      </c>
      <c r="AC1130" s="38">
        <f>IF(B1130="","",IF(M1130="Completed","Yes",IF(M1130="Cancelled","Yes",IF(M1130="No show","Yes","No"))))</f>
        <v>0</v>
      </c>
      <c r="AD1130" s="25">
        <f>IF(B1130="","",IF(AE1130="","",B1130-AE1130))</f>
        <v>0</v>
      </c>
      <c r="AF1130" s="38">
        <f>IF(B1130="","",IF(M1130&lt;&gt;"Completed","",IF(E1130="","No",IF(COUNTIFS(Appointments!$E$5:$E$1204,E1130,Appointments!$B$5:$B$1204,"&gt;"&amp;B1130,Appointments!$M$5:$M$1204,"&lt;&gt;Cancelled")&gt;0,"Yes","No"))))</f>
        <v>0</v>
      </c>
      <c r="AG1130" s="38">
        <f>IF(B1130="","",IF(I1130="","",IF(D1130="","",IF(COUNTIFS($I$5:$I$1204,I1130,$B$5:$B$1204,B1130,$D$5:$D$1204,"&lt;"&amp;V1130,$V$5:$V$1204,"&gt;"&amp;D1130,$M$5:$M$1204,"&lt;&gt;Cancelled")&gt;1,"Clash",""))))</f>
        <v>0</v>
      </c>
      <c r="AH1130" s="39">
        <f>IF(B1130="","",IF(AG1130="Clash","Clash - stylist double booked",IF(I1130="","Assign - no stylist yet",IF(G1130="","Add - no service chosen",IF(M1130="No show","No show - charge the fee?",IF(M1130="Cancelled","",IF(IF(M1130="Completed",AB1130&lt;Y1130-0.004,FALSE),"Unpaid - nothing rung up for this visit",IF(IF(B1130&lt;TodayDate,M1130="Booked",FALSE),"Overdue - past date, still only Booked",IF(IF(B1130=TodayDate,TRUE,FALSE),"Today",IF(IF(Z1130&gt;0,AA1130&lt;Z1130-0.004,FALSE),"Due - deposit not taken",IF(IF(B1130&gt;TodayDate,B1130&lt;=TodayDate+2,FALSE),"Confirm - coming up","OK")))))))))))</f>
        <v>0</v>
      </c>
    </row>
    <row r="1131" spans="1:34">
      <c r="A1131" s="28">
        <f>IF(B1131="","",AppointmentPrefix&amp;TEXT(ROW()-4,"0000"))</f>
        <v>0</v>
      </c>
      <c r="C1131" s="15">
        <f>IF(B1131="","",TEXT(B1131,"ddd"))</f>
        <v>0</v>
      </c>
      <c r="F1131" s="15">
        <f>IF(E1131="","",IFERROR(INDEX(Clients!$B$5:$B$504,MATCH(E1131,Clients!$A$5:$A$504,0)),"Walk-in"))</f>
        <v>0</v>
      </c>
      <c r="H1131" s="15">
        <f>IF(G1131="","",IFERROR(INDEX(Services!$B$5:$B$204,MATCH(G1131,Services!$A$5:$A$204,0)),"Not in Services"))</f>
        <v>0</v>
      </c>
      <c r="J1131" s="15">
        <f>IF(I1131="","",IFERROR(INDEX(Staff!$B$5:$B$44,MATCH(I1131,Staff!$A$5:$A$44,0)),"Unassigned"))</f>
        <v>0</v>
      </c>
      <c r="S1131" s="15">
        <f>IF(B1131="","",TEXT(B1131,"yyyy-mm"))</f>
        <v>0</v>
      </c>
      <c r="T1131" s="25">
        <f>IF(B1131="","",WEEKNUM(B1131,2))</f>
        <v>0</v>
      </c>
      <c r="U1131" s="25">
        <f>IF(B1131="","",IF(K1131&lt;&gt;"",K1131,IFERROR(INDEX(Services!$E$5:$E$204,MATCH(G1131,Services!$A$5:$A$204,0))*1,0)+IFERROR(INDEX(Services!$F$5:$F$204,MATCH(G1131,Services!$A$5:$A$204,0))*1,0)))</f>
        <v>0</v>
      </c>
      <c r="V1131" s="36">
        <f>IF(B1131="","",IF(D1131="","",D1131+U1131/1440))</f>
        <v>0</v>
      </c>
      <c r="W1131" s="25">
        <f>IF(B1131="","",IF(D1131="","",HOUR(D1131)))</f>
        <v>0</v>
      </c>
      <c r="X1131" s="37">
        <f>IF(B1131="","",ROUND(U1131/60,2))</f>
        <v>0</v>
      </c>
      <c r="Y1131" s="26">
        <f>IF(B1131="","",IF(L1131&lt;&gt;"",L1131,IFERROR(INDEX(Services!$G$5:$G$204,MATCH(G1131,Services!$A$5:$A$204,0))*1,0)))</f>
        <v>0</v>
      </c>
      <c r="Z1131" s="26">
        <f>IF(B1131="","",IF(O1131&lt;&gt;"",O1131,IF(Y1131&gt;=DepositThreshold,ROUND(Y1131*DepositPercent,2),0)))</f>
        <v>0</v>
      </c>
      <c r="AA1131" s="26">
        <f>IF(B1131="","",ROUND(SUMIFS(Payments!$G$5:$G$1204,Payments!$I$5:$I$1204,A1131,Payments!$E$5:$E$1204,"Deposit"),2))</f>
        <v>0</v>
      </c>
      <c r="AB1131" s="26">
        <f>IF(B1131="","",ROUND(SUMIFS(Sales!$Y$5:$Y$1204,Sales!$C$5:$C$1204,A1131),2))</f>
        <v>0</v>
      </c>
      <c r="AC1131" s="38">
        <f>IF(B1131="","",IF(M1131="Completed","Yes",IF(M1131="Cancelled","Yes",IF(M1131="No show","Yes","No"))))</f>
        <v>0</v>
      </c>
      <c r="AD1131" s="25">
        <f>IF(B1131="","",IF(AE1131="","",B1131-AE1131))</f>
        <v>0</v>
      </c>
      <c r="AF1131" s="38">
        <f>IF(B1131="","",IF(M1131&lt;&gt;"Completed","",IF(E1131="","No",IF(COUNTIFS(Appointments!$E$5:$E$1204,E1131,Appointments!$B$5:$B$1204,"&gt;"&amp;B1131,Appointments!$M$5:$M$1204,"&lt;&gt;Cancelled")&gt;0,"Yes","No"))))</f>
        <v>0</v>
      </c>
      <c r="AG1131" s="38">
        <f>IF(B1131="","",IF(I1131="","",IF(D1131="","",IF(COUNTIFS($I$5:$I$1204,I1131,$B$5:$B$1204,B1131,$D$5:$D$1204,"&lt;"&amp;V1131,$V$5:$V$1204,"&gt;"&amp;D1131,$M$5:$M$1204,"&lt;&gt;Cancelled")&gt;1,"Clash",""))))</f>
        <v>0</v>
      </c>
      <c r="AH1131" s="39">
        <f>IF(B1131="","",IF(AG1131="Clash","Clash - stylist double booked",IF(I1131="","Assign - no stylist yet",IF(G1131="","Add - no service chosen",IF(M1131="No show","No show - charge the fee?",IF(M1131="Cancelled","",IF(IF(M1131="Completed",AB1131&lt;Y1131-0.004,FALSE),"Unpaid - nothing rung up for this visit",IF(IF(B1131&lt;TodayDate,M1131="Booked",FALSE),"Overdue - past date, still only Booked",IF(IF(B1131=TodayDate,TRUE,FALSE),"Today",IF(IF(Z1131&gt;0,AA1131&lt;Z1131-0.004,FALSE),"Due - deposit not taken",IF(IF(B1131&gt;TodayDate,B1131&lt;=TodayDate+2,FALSE),"Confirm - coming up","OK")))))))))))</f>
        <v>0</v>
      </c>
    </row>
    <row r="1132" spans="1:34">
      <c r="A1132" s="28">
        <f>IF(B1132="","",AppointmentPrefix&amp;TEXT(ROW()-4,"0000"))</f>
        <v>0</v>
      </c>
      <c r="C1132" s="15">
        <f>IF(B1132="","",TEXT(B1132,"ddd"))</f>
        <v>0</v>
      </c>
      <c r="F1132" s="15">
        <f>IF(E1132="","",IFERROR(INDEX(Clients!$B$5:$B$504,MATCH(E1132,Clients!$A$5:$A$504,0)),"Walk-in"))</f>
        <v>0</v>
      </c>
      <c r="H1132" s="15">
        <f>IF(G1132="","",IFERROR(INDEX(Services!$B$5:$B$204,MATCH(G1132,Services!$A$5:$A$204,0)),"Not in Services"))</f>
        <v>0</v>
      </c>
      <c r="J1132" s="15">
        <f>IF(I1132="","",IFERROR(INDEX(Staff!$B$5:$B$44,MATCH(I1132,Staff!$A$5:$A$44,0)),"Unassigned"))</f>
        <v>0</v>
      </c>
      <c r="S1132" s="15">
        <f>IF(B1132="","",TEXT(B1132,"yyyy-mm"))</f>
        <v>0</v>
      </c>
      <c r="T1132" s="25">
        <f>IF(B1132="","",WEEKNUM(B1132,2))</f>
        <v>0</v>
      </c>
      <c r="U1132" s="25">
        <f>IF(B1132="","",IF(K1132&lt;&gt;"",K1132,IFERROR(INDEX(Services!$E$5:$E$204,MATCH(G1132,Services!$A$5:$A$204,0))*1,0)+IFERROR(INDEX(Services!$F$5:$F$204,MATCH(G1132,Services!$A$5:$A$204,0))*1,0)))</f>
        <v>0</v>
      </c>
      <c r="V1132" s="36">
        <f>IF(B1132="","",IF(D1132="","",D1132+U1132/1440))</f>
        <v>0</v>
      </c>
      <c r="W1132" s="25">
        <f>IF(B1132="","",IF(D1132="","",HOUR(D1132)))</f>
        <v>0</v>
      </c>
      <c r="X1132" s="37">
        <f>IF(B1132="","",ROUND(U1132/60,2))</f>
        <v>0</v>
      </c>
      <c r="Y1132" s="26">
        <f>IF(B1132="","",IF(L1132&lt;&gt;"",L1132,IFERROR(INDEX(Services!$G$5:$G$204,MATCH(G1132,Services!$A$5:$A$204,0))*1,0)))</f>
        <v>0</v>
      </c>
      <c r="Z1132" s="26">
        <f>IF(B1132="","",IF(O1132&lt;&gt;"",O1132,IF(Y1132&gt;=DepositThreshold,ROUND(Y1132*DepositPercent,2),0)))</f>
        <v>0</v>
      </c>
      <c r="AA1132" s="26">
        <f>IF(B1132="","",ROUND(SUMIFS(Payments!$G$5:$G$1204,Payments!$I$5:$I$1204,A1132,Payments!$E$5:$E$1204,"Deposit"),2))</f>
        <v>0</v>
      </c>
      <c r="AB1132" s="26">
        <f>IF(B1132="","",ROUND(SUMIFS(Sales!$Y$5:$Y$1204,Sales!$C$5:$C$1204,A1132),2))</f>
        <v>0</v>
      </c>
      <c r="AC1132" s="38">
        <f>IF(B1132="","",IF(M1132="Completed","Yes",IF(M1132="Cancelled","Yes",IF(M1132="No show","Yes","No"))))</f>
        <v>0</v>
      </c>
      <c r="AD1132" s="25">
        <f>IF(B1132="","",IF(AE1132="","",B1132-AE1132))</f>
        <v>0</v>
      </c>
      <c r="AF1132" s="38">
        <f>IF(B1132="","",IF(M1132&lt;&gt;"Completed","",IF(E1132="","No",IF(COUNTIFS(Appointments!$E$5:$E$1204,E1132,Appointments!$B$5:$B$1204,"&gt;"&amp;B1132,Appointments!$M$5:$M$1204,"&lt;&gt;Cancelled")&gt;0,"Yes","No"))))</f>
        <v>0</v>
      </c>
      <c r="AG1132" s="38">
        <f>IF(B1132="","",IF(I1132="","",IF(D1132="","",IF(COUNTIFS($I$5:$I$1204,I1132,$B$5:$B$1204,B1132,$D$5:$D$1204,"&lt;"&amp;V1132,$V$5:$V$1204,"&gt;"&amp;D1132,$M$5:$M$1204,"&lt;&gt;Cancelled")&gt;1,"Clash",""))))</f>
        <v>0</v>
      </c>
      <c r="AH1132" s="39">
        <f>IF(B1132="","",IF(AG1132="Clash","Clash - stylist double booked",IF(I1132="","Assign - no stylist yet",IF(G1132="","Add - no service chosen",IF(M1132="No show","No show - charge the fee?",IF(M1132="Cancelled","",IF(IF(M1132="Completed",AB1132&lt;Y1132-0.004,FALSE),"Unpaid - nothing rung up for this visit",IF(IF(B1132&lt;TodayDate,M1132="Booked",FALSE),"Overdue - past date, still only Booked",IF(IF(B1132=TodayDate,TRUE,FALSE),"Today",IF(IF(Z1132&gt;0,AA1132&lt;Z1132-0.004,FALSE),"Due - deposit not taken",IF(IF(B1132&gt;TodayDate,B1132&lt;=TodayDate+2,FALSE),"Confirm - coming up","OK")))))))))))</f>
        <v>0</v>
      </c>
    </row>
    <row r="1133" spans="1:34">
      <c r="A1133" s="28">
        <f>IF(B1133="","",AppointmentPrefix&amp;TEXT(ROW()-4,"0000"))</f>
        <v>0</v>
      </c>
      <c r="C1133" s="15">
        <f>IF(B1133="","",TEXT(B1133,"ddd"))</f>
        <v>0</v>
      </c>
      <c r="F1133" s="15">
        <f>IF(E1133="","",IFERROR(INDEX(Clients!$B$5:$B$504,MATCH(E1133,Clients!$A$5:$A$504,0)),"Walk-in"))</f>
        <v>0</v>
      </c>
      <c r="H1133" s="15">
        <f>IF(G1133="","",IFERROR(INDEX(Services!$B$5:$B$204,MATCH(G1133,Services!$A$5:$A$204,0)),"Not in Services"))</f>
        <v>0</v>
      </c>
      <c r="J1133" s="15">
        <f>IF(I1133="","",IFERROR(INDEX(Staff!$B$5:$B$44,MATCH(I1133,Staff!$A$5:$A$44,0)),"Unassigned"))</f>
        <v>0</v>
      </c>
      <c r="S1133" s="15">
        <f>IF(B1133="","",TEXT(B1133,"yyyy-mm"))</f>
        <v>0</v>
      </c>
      <c r="T1133" s="25">
        <f>IF(B1133="","",WEEKNUM(B1133,2))</f>
        <v>0</v>
      </c>
      <c r="U1133" s="25">
        <f>IF(B1133="","",IF(K1133&lt;&gt;"",K1133,IFERROR(INDEX(Services!$E$5:$E$204,MATCH(G1133,Services!$A$5:$A$204,0))*1,0)+IFERROR(INDEX(Services!$F$5:$F$204,MATCH(G1133,Services!$A$5:$A$204,0))*1,0)))</f>
        <v>0</v>
      </c>
      <c r="V1133" s="36">
        <f>IF(B1133="","",IF(D1133="","",D1133+U1133/1440))</f>
        <v>0</v>
      </c>
      <c r="W1133" s="25">
        <f>IF(B1133="","",IF(D1133="","",HOUR(D1133)))</f>
        <v>0</v>
      </c>
      <c r="X1133" s="37">
        <f>IF(B1133="","",ROUND(U1133/60,2))</f>
        <v>0</v>
      </c>
      <c r="Y1133" s="26">
        <f>IF(B1133="","",IF(L1133&lt;&gt;"",L1133,IFERROR(INDEX(Services!$G$5:$G$204,MATCH(G1133,Services!$A$5:$A$204,0))*1,0)))</f>
        <v>0</v>
      </c>
      <c r="Z1133" s="26">
        <f>IF(B1133="","",IF(O1133&lt;&gt;"",O1133,IF(Y1133&gt;=DepositThreshold,ROUND(Y1133*DepositPercent,2),0)))</f>
        <v>0</v>
      </c>
      <c r="AA1133" s="26">
        <f>IF(B1133="","",ROUND(SUMIFS(Payments!$G$5:$G$1204,Payments!$I$5:$I$1204,A1133,Payments!$E$5:$E$1204,"Deposit"),2))</f>
        <v>0</v>
      </c>
      <c r="AB1133" s="26">
        <f>IF(B1133="","",ROUND(SUMIFS(Sales!$Y$5:$Y$1204,Sales!$C$5:$C$1204,A1133),2))</f>
        <v>0</v>
      </c>
      <c r="AC1133" s="38">
        <f>IF(B1133="","",IF(M1133="Completed","Yes",IF(M1133="Cancelled","Yes",IF(M1133="No show","Yes","No"))))</f>
        <v>0</v>
      </c>
      <c r="AD1133" s="25">
        <f>IF(B1133="","",IF(AE1133="","",B1133-AE1133))</f>
        <v>0</v>
      </c>
      <c r="AF1133" s="38">
        <f>IF(B1133="","",IF(M1133&lt;&gt;"Completed","",IF(E1133="","No",IF(COUNTIFS(Appointments!$E$5:$E$1204,E1133,Appointments!$B$5:$B$1204,"&gt;"&amp;B1133,Appointments!$M$5:$M$1204,"&lt;&gt;Cancelled")&gt;0,"Yes","No"))))</f>
        <v>0</v>
      </c>
      <c r="AG1133" s="38">
        <f>IF(B1133="","",IF(I1133="","",IF(D1133="","",IF(COUNTIFS($I$5:$I$1204,I1133,$B$5:$B$1204,B1133,$D$5:$D$1204,"&lt;"&amp;V1133,$V$5:$V$1204,"&gt;"&amp;D1133,$M$5:$M$1204,"&lt;&gt;Cancelled")&gt;1,"Clash",""))))</f>
        <v>0</v>
      </c>
      <c r="AH1133" s="39">
        <f>IF(B1133="","",IF(AG1133="Clash","Clash - stylist double booked",IF(I1133="","Assign - no stylist yet",IF(G1133="","Add - no service chosen",IF(M1133="No show","No show - charge the fee?",IF(M1133="Cancelled","",IF(IF(M1133="Completed",AB1133&lt;Y1133-0.004,FALSE),"Unpaid - nothing rung up for this visit",IF(IF(B1133&lt;TodayDate,M1133="Booked",FALSE),"Overdue - past date, still only Booked",IF(IF(B1133=TodayDate,TRUE,FALSE),"Today",IF(IF(Z1133&gt;0,AA1133&lt;Z1133-0.004,FALSE),"Due - deposit not taken",IF(IF(B1133&gt;TodayDate,B1133&lt;=TodayDate+2,FALSE),"Confirm - coming up","OK")))))))))))</f>
        <v>0</v>
      </c>
    </row>
    <row r="1134" spans="1:34">
      <c r="A1134" s="28">
        <f>IF(B1134="","",AppointmentPrefix&amp;TEXT(ROW()-4,"0000"))</f>
        <v>0</v>
      </c>
      <c r="C1134" s="15">
        <f>IF(B1134="","",TEXT(B1134,"ddd"))</f>
        <v>0</v>
      </c>
      <c r="F1134" s="15">
        <f>IF(E1134="","",IFERROR(INDEX(Clients!$B$5:$B$504,MATCH(E1134,Clients!$A$5:$A$504,0)),"Walk-in"))</f>
        <v>0</v>
      </c>
      <c r="H1134" s="15">
        <f>IF(G1134="","",IFERROR(INDEX(Services!$B$5:$B$204,MATCH(G1134,Services!$A$5:$A$204,0)),"Not in Services"))</f>
        <v>0</v>
      </c>
      <c r="J1134" s="15">
        <f>IF(I1134="","",IFERROR(INDEX(Staff!$B$5:$B$44,MATCH(I1134,Staff!$A$5:$A$44,0)),"Unassigned"))</f>
        <v>0</v>
      </c>
      <c r="S1134" s="15">
        <f>IF(B1134="","",TEXT(B1134,"yyyy-mm"))</f>
        <v>0</v>
      </c>
      <c r="T1134" s="25">
        <f>IF(B1134="","",WEEKNUM(B1134,2))</f>
        <v>0</v>
      </c>
      <c r="U1134" s="25">
        <f>IF(B1134="","",IF(K1134&lt;&gt;"",K1134,IFERROR(INDEX(Services!$E$5:$E$204,MATCH(G1134,Services!$A$5:$A$204,0))*1,0)+IFERROR(INDEX(Services!$F$5:$F$204,MATCH(G1134,Services!$A$5:$A$204,0))*1,0)))</f>
        <v>0</v>
      </c>
      <c r="V1134" s="36">
        <f>IF(B1134="","",IF(D1134="","",D1134+U1134/1440))</f>
        <v>0</v>
      </c>
      <c r="W1134" s="25">
        <f>IF(B1134="","",IF(D1134="","",HOUR(D1134)))</f>
        <v>0</v>
      </c>
      <c r="X1134" s="37">
        <f>IF(B1134="","",ROUND(U1134/60,2))</f>
        <v>0</v>
      </c>
      <c r="Y1134" s="26">
        <f>IF(B1134="","",IF(L1134&lt;&gt;"",L1134,IFERROR(INDEX(Services!$G$5:$G$204,MATCH(G1134,Services!$A$5:$A$204,0))*1,0)))</f>
        <v>0</v>
      </c>
      <c r="Z1134" s="26">
        <f>IF(B1134="","",IF(O1134&lt;&gt;"",O1134,IF(Y1134&gt;=DepositThreshold,ROUND(Y1134*DepositPercent,2),0)))</f>
        <v>0</v>
      </c>
      <c r="AA1134" s="26">
        <f>IF(B1134="","",ROUND(SUMIFS(Payments!$G$5:$G$1204,Payments!$I$5:$I$1204,A1134,Payments!$E$5:$E$1204,"Deposit"),2))</f>
        <v>0</v>
      </c>
      <c r="AB1134" s="26">
        <f>IF(B1134="","",ROUND(SUMIFS(Sales!$Y$5:$Y$1204,Sales!$C$5:$C$1204,A1134),2))</f>
        <v>0</v>
      </c>
      <c r="AC1134" s="38">
        <f>IF(B1134="","",IF(M1134="Completed","Yes",IF(M1134="Cancelled","Yes",IF(M1134="No show","Yes","No"))))</f>
        <v>0</v>
      </c>
      <c r="AD1134" s="25">
        <f>IF(B1134="","",IF(AE1134="","",B1134-AE1134))</f>
        <v>0</v>
      </c>
      <c r="AF1134" s="38">
        <f>IF(B1134="","",IF(M1134&lt;&gt;"Completed","",IF(E1134="","No",IF(COUNTIFS(Appointments!$E$5:$E$1204,E1134,Appointments!$B$5:$B$1204,"&gt;"&amp;B1134,Appointments!$M$5:$M$1204,"&lt;&gt;Cancelled")&gt;0,"Yes","No"))))</f>
        <v>0</v>
      </c>
      <c r="AG1134" s="38">
        <f>IF(B1134="","",IF(I1134="","",IF(D1134="","",IF(COUNTIFS($I$5:$I$1204,I1134,$B$5:$B$1204,B1134,$D$5:$D$1204,"&lt;"&amp;V1134,$V$5:$V$1204,"&gt;"&amp;D1134,$M$5:$M$1204,"&lt;&gt;Cancelled")&gt;1,"Clash",""))))</f>
        <v>0</v>
      </c>
      <c r="AH1134" s="39">
        <f>IF(B1134="","",IF(AG1134="Clash","Clash - stylist double booked",IF(I1134="","Assign - no stylist yet",IF(G1134="","Add - no service chosen",IF(M1134="No show","No show - charge the fee?",IF(M1134="Cancelled","",IF(IF(M1134="Completed",AB1134&lt;Y1134-0.004,FALSE),"Unpaid - nothing rung up for this visit",IF(IF(B1134&lt;TodayDate,M1134="Booked",FALSE),"Overdue - past date, still only Booked",IF(IF(B1134=TodayDate,TRUE,FALSE),"Today",IF(IF(Z1134&gt;0,AA1134&lt;Z1134-0.004,FALSE),"Due - deposit not taken",IF(IF(B1134&gt;TodayDate,B1134&lt;=TodayDate+2,FALSE),"Confirm - coming up","OK")))))))))))</f>
        <v>0</v>
      </c>
    </row>
    <row r="1135" spans="1:34">
      <c r="A1135" s="28">
        <f>IF(B1135="","",AppointmentPrefix&amp;TEXT(ROW()-4,"0000"))</f>
        <v>0</v>
      </c>
      <c r="C1135" s="15">
        <f>IF(B1135="","",TEXT(B1135,"ddd"))</f>
        <v>0</v>
      </c>
      <c r="F1135" s="15">
        <f>IF(E1135="","",IFERROR(INDEX(Clients!$B$5:$B$504,MATCH(E1135,Clients!$A$5:$A$504,0)),"Walk-in"))</f>
        <v>0</v>
      </c>
      <c r="H1135" s="15">
        <f>IF(G1135="","",IFERROR(INDEX(Services!$B$5:$B$204,MATCH(G1135,Services!$A$5:$A$204,0)),"Not in Services"))</f>
        <v>0</v>
      </c>
      <c r="J1135" s="15">
        <f>IF(I1135="","",IFERROR(INDEX(Staff!$B$5:$B$44,MATCH(I1135,Staff!$A$5:$A$44,0)),"Unassigned"))</f>
        <v>0</v>
      </c>
      <c r="S1135" s="15">
        <f>IF(B1135="","",TEXT(B1135,"yyyy-mm"))</f>
        <v>0</v>
      </c>
      <c r="T1135" s="25">
        <f>IF(B1135="","",WEEKNUM(B1135,2))</f>
        <v>0</v>
      </c>
      <c r="U1135" s="25">
        <f>IF(B1135="","",IF(K1135&lt;&gt;"",K1135,IFERROR(INDEX(Services!$E$5:$E$204,MATCH(G1135,Services!$A$5:$A$204,0))*1,0)+IFERROR(INDEX(Services!$F$5:$F$204,MATCH(G1135,Services!$A$5:$A$204,0))*1,0)))</f>
        <v>0</v>
      </c>
      <c r="V1135" s="36">
        <f>IF(B1135="","",IF(D1135="","",D1135+U1135/1440))</f>
        <v>0</v>
      </c>
      <c r="W1135" s="25">
        <f>IF(B1135="","",IF(D1135="","",HOUR(D1135)))</f>
        <v>0</v>
      </c>
      <c r="X1135" s="37">
        <f>IF(B1135="","",ROUND(U1135/60,2))</f>
        <v>0</v>
      </c>
      <c r="Y1135" s="26">
        <f>IF(B1135="","",IF(L1135&lt;&gt;"",L1135,IFERROR(INDEX(Services!$G$5:$G$204,MATCH(G1135,Services!$A$5:$A$204,0))*1,0)))</f>
        <v>0</v>
      </c>
      <c r="Z1135" s="26">
        <f>IF(B1135="","",IF(O1135&lt;&gt;"",O1135,IF(Y1135&gt;=DepositThreshold,ROUND(Y1135*DepositPercent,2),0)))</f>
        <v>0</v>
      </c>
      <c r="AA1135" s="26">
        <f>IF(B1135="","",ROUND(SUMIFS(Payments!$G$5:$G$1204,Payments!$I$5:$I$1204,A1135,Payments!$E$5:$E$1204,"Deposit"),2))</f>
        <v>0</v>
      </c>
      <c r="AB1135" s="26">
        <f>IF(B1135="","",ROUND(SUMIFS(Sales!$Y$5:$Y$1204,Sales!$C$5:$C$1204,A1135),2))</f>
        <v>0</v>
      </c>
      <c r="AC1135" s="38">
        <f>IF(B1135="","",IF(M1135="Completed","Yes",IF(M1135="Cancelled","Yes",IF(M1135="No show","Yes","No"))))</f>
        <v>0</v>
      </c>
      <c r="AD1135" s="25">
        <f>IF(B1135="","",IF(AE1135="","",B1135-AE1135))</f>
        <v>0</v>
      </c>
      <c r="AF1135" s="38">
        <f>IF(B1135="","",IF(M1135&lt;&gt;"Completed","",IF(E1135="","No",IF(COUNTIFS(Appointments!$E$5:$E$1204,E1135,Appointments!$B$5:$B$1204,"&gt;"&amp;B1135,Appointments!$M$5:$M$1204,"&lt;&gt;Cancelled")&gt;0,"Yes","No"))))</f>
        <v>0</v>
      </c>
      <c r="AG1135" s="38">
        <f>IF(B1135="","",IF(I1135="","",IF(D1135="","",IF(COUNTIFS($I$5:$I$1204,I1135,$B$5:$B$1204,B1135,$D$5:$D$1204,"&lt;"&amp;V1135,$V$5:$V$1204,"&gt;"&amp;D1135,$M$5:$M$1204,"&lt;&gt;Cancelled")&gt;1,"Clash",""))))</f>
        <v>0</v>
      </c>
      <c r="AH1135" s="39">
        <f>IF(B1135="","",IF(AG1135="Clash","Clash - stylist double booked",IF(I1135="","Assign - no stylist yet",IF(G1135="","Add - no service chosen",IF(M1135="No show","No show - charge the fee?",IF(M1135="Cancelled","",IF(IF(M1135="Completed",AB1135&lt;Y1135-0.004,FALSE),"Unpaid - nothing rung up for this visit",IF(IF(B1135&lt;TodayDate,M1135="Booked",FALSE),"Overdue - past date, still only Booked",IF(IF(B1135=TodayDate,TRUE,FALSE),"Today",IF(IF(Z1135&gt;0,AA1135&lt;Z1135-0.004,FALSE),"Due - deposit not taken",IF(IF(B1135&gt;TodayDate,B1135&lt;=TodayDate+2,FALSE),"Confirm - coming up","OK")))))))))))</f>
        <v>0</v>
      </c>
    </row>
    <row r="1136" spans="1:34">
      <c r="A1136" s="28">
        <f>IF(B1136="","",AppointmentPrefix&amp;TEXT(ROW()-4,"0000"))</f>
        <v>0</v>
      </c>
      <c r="C1136" s="15">
        <f>IF(B1136="","",TEXT(B1136,"ddd"))</f>
        <v>0</v>
      </c>
      <c r="F1136" s="15">
        <f>IF(E1136="","",IFERROR(INDEX(Clients!$B$5:$B$504,MATCH(E1136,Clients!$A$5:$A$504,0)),"Walk-in"))</f>
        <v>0</v>
      </c>
      <c r="H1136" s="15">
        <f>IF(G1136="","",IFERROR(INDEX(Services!$B$5:$B$204,MATCH(G1136,Services!$A$5:$A$204,0)),"Not in Services"))</f>
        <v>0</v>
      </c>
      <c r="J1136" s="15">
        <f>IF(I1136="","",IFERROR(INDEX(Staff!$B$5:$B$44,MATCH(I1136,Staff!$A$5:$A$44,0)),"Unassigned"))</f>
        <v>0</v>
      </c>
      <c r="S1136" s="15">
        <f>IF(B1136="","",TEXT(B1136,"yyyy-mm"))</f>
        <v>0</v>
      </c>
      <c r="T1136" s="25">
        <f>IF(B1136="","",WEEKNUM(B1136,2))</f>
        <v>0</v>
      </c>
      <c r="U1136" s="25">
        <f>IF(B1136="","",IF(K1136&lt;&gt;"",K1136,IFERROR(INDEX(Services!$E$5:$E$204,MATCH(G1136,Services!$A$5:$A$204,0))*1,0)+IFERROR(INDEX(Services!$F$5:$F$204,MATCH(G1136,Services!$A$5:$A$204,0))*1,0)))</f>
        <v>0</v>
      </c>
      <c r="V1136" s="36">
        <f>IF(B1136="","",IF(D1136="","",D1136+U1136/1440))</f>
        <v>0</v>
      </c>
      <c r="W1136" s="25">
        <f>IF(B1136="","",IF(D1136="","",HOUR(D1136)))</f>
        <v>0</v>
      </c>
      <c r="X1136" s="37">
        <f>IF(B1136="","",ROUND(U1136/60,2))</f>
        <v>0</v>
      </c>
      <c r="Y1136" s="26">
        <f>IF(B1136="","",IF(L1136&lt;&gt;"",L1136,IFERROR(INDEX(Services!$G$5:$G$204,MATCH(G1136,Services!$A$5:$A$204,0))*1,0)))</f>
        <v>0</v>
      </c>
      <c r="Z1136" s="26">
        <f>IF(B1136="","",IF(O1136&lt;&gt;"",O1136,IF(Y1136&gt;=DepositThreshold,ROUND(Y1136*DepositPercent,2),0)))</f>
        <v>0</v>
      </c>
      <c r="AA1136" s="26">
        <f>IF(B1136="","",ROUND(SUMIFS(Payments!$G$5:$G$1204,Payments!$I$5:$I$1204,A1136,Payments!$E$5:$E$1204,"Deposit"),2))</f>
        <v>0</v>
      </c>
      <c r="AB1136" s="26">
        <f>IF(B1136="","",ROUND(SUMIFS(Sales!$Y$5:$Y$1204,Sales!$C$5:$C$1204,A1136),2))</f>
        <v>0</v>
      </c>
      <c r="AC1136" s="38">
        <f>IF(B1136="","",IF(M1136="Completed","Yes",IF(M1136="Cancelled","Yes",IF(M1136="No show","Yes","No"))))</f>
        <v>0</v>
      </c>
      <c r="AD1136" s="25">
        <f>IF(B1136="","",IF(AE1136="","",B1136-AE1136))</f>
        <v>0</v>
      </c>
      <c r="AF1136" s="38">
        <f>IF(B1136="","",IF(M1136&lt;&gt;"Completed","",IF(E1136="","No",IF(COUNTIFS(Appointments!$E$5:$E$1204,E1136,Appointments!$B$5:$B$1204,"&gt;"&amp;B1136,Appointments!$M$5:$M$1204,"&lt;&gt;Cancelled")&gt;0,"Yes","No"))))</f>
        <v>0</v>
      </c>
      <c r="AG1136" s="38">
        <f>IF(B1136="","",IF(I1136="","",IF(D1136="","",IF(COUNTIFS($I$5:$I$1204,I1136,$B$5:$B$1204,B1136,$D$5:$D$1204,"&lt;"&amp;V1136,$V$5:$V$1204,"&gt;"&amp;D1136,$M$5:$M$1204,"&lt;&gt;Cancelled")&gt;1,"Clash",""))))</f>
        <v>0</v>
      </c>
      <c r="AH1136" s="39">
        <f>IF(B1136="","",IF(AG1136="Clash","Clash - stylist double booked",IF(I1136="","Assign - no stylist yet",IF(G1136="","Add - no service chosen",IF(M1136="No show","No show - charge the fee?",IF(M1136="Cancelled","",IF(IF(M1136="Completed",AB1136&lt;Y1136-0.004,FALSE),"Unpaid - nothing rung up for this visit",IF(IF(B1136&lt;TodayDate,M1136="Booked",FALSE),"Overdue - past date, still only Booked",IF(IF(B1136=TodayDate,TRUE,FALSE),"Today",IF(IF(Z1136&gt;0,AA1136&lt;Z1136-0.004,FALSE),"Due - deposit not taken",IF(IF(B1136&gt;TodayDate,B1136&lt;=TodayDate+2,FALSE),"Confirm - coming up","OK")))))))))))</f>
        <v>0</v>
      </c>
    </row>
    <row r="1137" spans="1:34">
      <c r="A1137" s="28">
        <f>IF(B1137="","",AppointmentPrefix&amp;TEXT(ROW()-4,"0000"))</f>
        <v>0</v>
      </c>
      <c r="C1137" s="15">
        <f>IF(B1137="","",TEXT(B1137,"ddd"))</f>
        <v>0</v>
      </c>
      <c r="F1137" s="15">
        <f>IF(E1137="","",IFERROR(INDEX(Clients!$B$5:$B$504,MATCH(E1137,Clients!$A$5:$A$504,0)),"Walk-in"))</f>
        <v>0</v>
      </c>
      <c r="H1137" s="15">
        <f>IF(G1137="","",IFERROR(INDEX(Services!$B$5:$B$204,MATCH(G1137,Services!$A$5:$A$204,0)),"Not in Services"))</f>
        <v>0</v>
      </c>
      <c r="J1137" s="15">
        <f>IF(I1137="","",IFERROR(INDEX(Staff!$B$5:$B$44,MATCH(I1137,Staff!$A$5:$A$44,0)),"Unassigned"))</f>
        <v>0</v>
      </c>
      <c r="S1137" s="15">
        <f>IF(B1137="","",TEXT(B1137,"yyyy-mm"))</f>
        <v>0</v>
      </c>
      <c r="T1137" s="25">
        <f>IF(B1137="","",WEEKNUM(B1137,2))</f>
        <v>0</v>
      </c>
      <c r="U1137" s="25">
        <f>IF(B1137="","",IF(K1137&lt;&gt;"",K1137,IFERROR(INDEX(Services!$E$5:$E$204,MATCH(G1137,Services!$A$5:$A$204,0))*1,0)+IFERROR(INDEX(Services!$F$5:$F$204,MATCH(G1137,Services!$A$5:$A$204,0))*1,0)))</f>
        <v>0</v>
      </c>
      <c r="V1137" s="36">
        <f>IF(B1137="","",IF(D1137="","",D1137+U1137/1440))</f>
        <v>0</v>
      </c>
      <c r="W1137" s="25">
        <f>IF(B1137="","",IF(D1137="","",HOUR(D1137)))</f>
        <v>0</v>
      </c>
      <c r="X1137" s="37">
        <f>IF(B1137="","",ROUND(U1137/60,2))</f>
        <v>0</v>
      </c>
      <c r="Y1137" s="26">
        <f>IF(B1137="","",IF(L1137&lt;&gt;"",L1137,IFERROR(INDEX(Services!$G$5:$G$204,MATCH(G1137,Services!$A$5:$A$204,0))*1,0)))</f>
        <v>0</v>
      </c>
      <c r="Z1137" s="26">
        <f>IF(B1137="","",IF(O1137&lt;&gt;"",O1137,IF(Y1137&gt;=DepositThreshold,ROUND(Y1137*DepositPercent,2),0)))</f>
        <v>0</v>
      </c>
      <c r="AA1137" s="26">
        <f>IF(B1137="","",ROUND(SUMIFS(Payments!$G$5:$G$1204,Payments!$I$5:$I$1204,A1137,Payments!$E$5:$E$1204,"Deposit"),2))</f>
        <v>0</v>
      </c>
      <c r="AB1137" s="26">
        <f>IF(B1137="","",ROUND(SUMIFS(Sales!$Y$5:$Y$1204,Sales!$C$5:$C$1204,A1137),2))</f>
        <v>0</v>
      </c>
      <c r="AC1137" s="38">
        <f>IF(B1137="","",IF(M1137="Completed","Yes",IF(M1137="Cancelled","Yes",IF(M1137="No show","Yes","No"))))</f>
        <v>0</v>
      </c>
      <c r="AD1137" s="25">
        <f>IF(B1137="","",IF(AE1137="","",B1137-AE1137))</f>
        <v>0</v>
      </c>
      <c r="AF1137" s="38">
        <f>IF(B1137="","",IF(M1137&lt;&gt;"Completed","",IF(E1137="","No",IF(COUNTIFS(Appointments!$E$5:$E$1204,E1137,Appointments!$B$5:$B$1204,"&gt;"&amp;B1137,Appointments!$M$5:$M$1204,"&lt;&gt;Cancelled")&gt;0,"Yes","No"))))</f>
        <v>0</v>
      </c>
      <c r="AG1137" s="38">
        <f>IF(B1137="","",IF(I1137="","",IF(D1137="","",IF(COUNTIFS($I$5:$I$1204,I1137,$B$5:$B$1204,B1137,$D$5:$D$1204,"&lt;"&amp;V1137,$V$5:$V$1204,"&gt;"&amp;D1137,$M$5:$M$1204,"&lt;&gt;Cancelled")&gt;1,"Clash",""))))</f>
        <v>0</v>
      </c>
      <c r="AH1137" s="39">
        <f>IF(B1137="","",IF(AG1137="Clash","Clash - stylist double booked",IF(I1137="","Assign - no stylist yet",IF(G1137="","Add - no service chosen",IF(M1137="No show","No show - charge the fee?",IF(M1137="Cancelled","",IF(IF(M1137="Completed",AB1137&lt;Y1137-0.004,FALSE),"Unpaid - nothing rung up for this visit",IF(IF(B1137&lt;TodayDate,M1137="Booked",FALSE),"Overdue - past date, still only Booked",IF(IF(B1137=TodayDate,TRUE,FALSE),"Today",IF(IF(Z1137&gt;0,AA1137&lt;Z1137-0.004,FALSE),"Due - deposit not taken",IF(IF(B1137&gt;TodayDate,B1137&lt;=TodayDate+2,FALSE),"Confirm - coming up","OK")))))))))))</f>
        <v>0</v>
      </c>
    </row>
    <row r="1138" spans="1:34">
      <c r="A1138" s="28">
        <f>IF(B1138="","",AppointmentPrefix&amp;TEXT(ROW()-4,"0000"))</f>
        <v>0</v>
      </c>
      <c r="C1138" s="15">
        <f>IF(B1138="","",TEXT(B1138,"ddd"))</f>
        <v>0</v>
      </c>
      <c r="F1138" s="15">
        <f>IF(E1138="","",IFERROR(INDEX(Clients!$B$5:$B$504,MATCH(E1138,Clients!$A$5:$A$504,0)),"Walk-in"))</f>
        <v>0</v>
      </c>
      <c r="H1138" s="15">
        <f>IF(G1138="","",IFERROR(INDEX(Services!$B$5:$B$204,MATCH(G1138,Services!$A$5:$A$204,0)),"Not in Services"))</f>
        <v>0</v>
      </c>
      <c r="J1138" s="15">
        <f>IF(I1138="","",IFERROR(INDEX(Staff!$B$5:$B$44,MATCH(I1138,Staff!$A$5:$A$44,0)),"Unassigned"))</f>
        <v>0</v>
      </c>
      <c r="S1138" s="15">
        <f>IF(B1138="","",TEXT(B1138,"yyyy-mm"))</f>
        <v>0</v>
      </c>
      <c r="T1138" s="25">
        <f>IF(B1138="","",WEEKNUM(B1138,2))</f>
        <v>0</v>
      </c>
      <c r="U1138" s="25">
        <f>IF(B1138="","",IF(K1138&lt;&gt;"",K1138,IFERROR(INDEX(Services!$E$5:$E$204,MATCH(G1138,Services!$A$5:$A$204,0))*1,0)+IFERROR(INDEX(Services!$F$5:$F$204,MATCH(G1138,Services!$A$5:$A$204,0))*1,0)))</f>
        <v>0</v>
      </c>
      <c r="V1138" s="36">
        <f>IF(B1138="","",IF(D1138="","",D1138+U1138/1440))</f>
        <v>0</v>
      </c>
      <c r="W1138" s="25">
        <f>IF(B1138="","",IF(D1138="","",HOUR(D1138)))</f>
        <v>0</v>
      </c>
      <c r="X1138" s="37">
        <f>IF(B1138="","",ROUND(U1138/60,2))</f>
        <v>0</v>
      </c>
      <c r="Y1138" s="26">
        <f>IF(B1138="","",IF(L1138&lt;&gt;"",L1138,IFERROR(INDEX(Services!$G$5:$G$204,MATCH(G1138,Services!$A$5:$A$204,0))*1,0)))</f>
        <v>0</v>
      </c>
      <c r="Z1138" s="26">
        <f>IF(B1138="","",IF(O1138&lt;&gt;"",O1138,IF(Y1138&gt;=DepositThreshold,ROUND(Y1138*DepositPercent,2),0)))</f>
        <v>0</v>
      </c>
      <c r="AA1138" s="26">
        <f>IF(B1138="","",ROUND(SUMIFS(Payments!$G$5:$G$1204,Payments!$I$5:$I$1204,A1138,Payments!$E$5:$E$1204,"Deposit"),2))</f>
        <v>0</v>
      </c>
      <c r="AB1138" s="26">
        <f>IF(B1138="","",ROUND(SUMIFS(Sales!$Y$5:$Y$1204,Sales!$C$5:$C$1204,A1138),2))</f>
        <v>0</v>
      </c>
      <c r="AC1138" s="38">
        <f>IF(B1138="","",IF(M1138="Completed","Yes",IF(M1138="Cancelled","Yes",IF(M1138="No show","Yes","No"))))</f>
        <v>0</v>
      </c>
      <c r="AD1138" s="25">
        <f>IF(B1138="","",IF(AE1138="","",B1138-AE1138))</f>
        <v>0</v>
      </c>
      <c r="AF1138" s="38">
        <f>IF(B1138="","",IF(M1138&lt;&gt;"Completed","",IF(E1138="","No",IF(COUNTIFS(Appointments!$E$5:$E$1204,E1138,Appointments!$B$5:$B$1204,"&gt;"&amp;B1138,Appointments!$M$5:$M$1204,"&lt;&gt;Cancelled")&gt;0,"Yes","No"))))</f>
        <v>0</v>
      </c>
      <c r="AG1138" s="38">
        <f>IF(B1138="","",IF(I1138="","",IF(D1138="","",IF(COUNTIFS($I$5:$I$1204,I1138,$B$5:$B$1204,B1138,$D$5:$D$1204,"&lt;"&amp;V1138,$V$5:$V$1204,"&gt;"&amp;D1138,$M$5:$M$1204,"&lt;&gt;Cancelled")&gt;1,"Clash",""))))</f>
        <v>0</v>
      </c>
      <c r="AH1138" s="39">
        <f>IF(B1138="","",IF(AG1138="Clash","Clash - stylist double booked",IF(I1138="","Assign - no stylist yet",IF(G1138="","Add - no service chosen",IF(M1138="No show","No show - charge the fee?",IF(M1138="Cancelled","",IF(IF(M1138="Completed",AB1138&lt;Y1138-0.004,FALSE),"Unpaid - nothing rung up for this visit",IF(IF(B1138&lt;TodayDate,M1138="Booked",FALSE),"Overdue - past date, still only Booked",IF(IF(B1138=TodayDate,TRUE,FALSE),"Today",IF(IF(Z1138&gt;0,AA1138&lt;Z1138-0.004,FALSE),"Due - deposit not taken",IF(IF(B1138&gt;TodayDate,B1138&lt;=TodayDate+2,FALSE),"Confirm - coming up","OK")))))))))))</f>
        <v>0</v>
      </c>
    </row>
    <row r="1139" spans="1:34">
      <c r="A1139" s="28">
        <f>IF(B1139="","",AppointmentPrefix&amp;TEXT(ROW()-4,"0000"))</f>
        <v>0</v>
      </c>
      <c r="C1139" s="15">
        <f>IF(B1139="","",TEXT(B1139,"ddd"))</f>
        <v>0</v>
      </c>
      <c r="F1139" s="15">
        <f>IF(E1139="","",IFERROR(INDEX(Clients!$B$5:$B$504,MATCH(E1139,Clients!$A$5:$A$504,0)),"Walk-in"))</f>
        <v>0</v>
      </c>
      <c r="H1139" s="15">
        <f>IF(G1139="","",IFERROR(INDEX(Services!$B$5:$B$204,MATCH(G1139,Services!$A$5:$A$204,0)),"Not in Services"))</f>
        <v>0</v>
      </c>
      <c r="J1139" s="15">
        <f>IF(I1139="","",IFERROR(INDEX(Staff!$B$5:$B$44,MATCH(I1139,Staff!$A$5:$A$44,0)),"Unassigned"))</f>
        <v>0</v>
      </c>
      <c r="S1139" s="15">
        <f>IF(B1139="","",TEXT(B1139,"yyyy-mm"))</f>
        <v>0</v>
      </c>
      <c r="T1139" s="25">
        <f>IF(B1139="","",WEEKNUM(B1139,2))</f>
        <v>0</v>
      </c>
      <c r="U1139" s="25">
        <f>IF(B1139="","",IF(K1139&lt;&gt;"",K1139,IFERROR(INDEX(Services!$E$5:$E$204,MATCH(G1139,Services!$A$5:$A$204,0))*1,0)+IFERROR(INDEX(Services!$F$5:$F$204,MATCH(G1139,Services!$A$5:$A$204,0))*1,0)))</f>
        <v>0</v>
      </c>
      <c r="V1139" s="36">
        <f>IF(B1139="","",IF(D1139="","",D1139+U1139/1440))</f>
        <v>0</v>
      </c>
      <c r="W1139" s="25">
        <f>IF(B1139="","",IF(D1139="","",HOUR(D1139)))</f>
        <v>0</v>
      </c>
      <c r="X1139" s="37">
        <f>IF(B1139="","",ROUND(U1139/60,2))</f>
        <v>0</v>
      </c>
      <c r="Y1139" s="26">
        <f>IF(B1139="","",IF(L1139&lt;&gt;"",L1139,IFERROR(INDEX(Services!$G$5:$G$204,MATCH(G1139,Services!$A$5:$A$204,0))*1,0)))</f>
        <v>0</v>
      </c>
      <c r="Z1139" s="26">
        <f>IF(B1139="","",IF(O1139&lt;&gt;"",O1139,IF(Y1139&gt;=DepositThreshold,ROUND(Y1139*DepositPercent,2),0)))</f>
        <v>0</v>
      </c>
      <c r="AA1139" s="26">
        <f>IF(B1139="","",ROUND(SUMIFS(Payments!$G$5:$G$1204,Payments!$I$5:$I$1204,A1139,Payments!$E$5:$E$1204,"Deposit"),2))</f>
        <v>0</v>
      </c>
      <c r="AB1139" s="26">
        <f>IF(B1139="","",ROUND(SUMIFS(Sales!$Y$5:$Y$1204,Sales!$C$5:$C$1204,A1139),2))</f>
        <v>0</v>
      </c>
      <c r="AC1139" s="38">
        <f>IF(B1139="","",IF(M1139="Completed","Yes",IF(M1139="Cancelled","Yes",IF(M1139="No show","Yes","No"))))</f>
        <v>0</v>
      </c>
      <c r="AD1139" s="25">
        <f>IF(B1139="","",IF(AE1139="","",B1139-AE1139))</f>
        <v>0</v>
      </c>
      <c r="AF1139" s="38">
        <f>IF(B1139="","",IF(M1139&lt;&gt;"Completed","",IF(E1139="","No",IF(COUNTIFS(Appointments!$E$5:$E$1204,E1139,Appointments!$B$5:$B$1204,"&gt;"&amp;B1139,Appointments!$M$5:$M$1204,"&lt;&gt;Cancelled")&gt;0,"Yes","No"))))</f>
        <v>0</v>
      </c>
      <c r="AG1139" s="38">
        <f>IF(B1139="","",IF(I1139="","",IF(D1139="","",IF(COUNTIFS($I$5:$I$1204,I1139,$B$5:$B$1204,B1139,$D$5:$D$1204,"&lt;"&amp;V1139,$V$5:$V$1204,"&gt;"&amp;D1139,$M$5:$M$1204,"&lt;&gt;Cancelled")&gt;1,"Clash",""))))</f>
        <v>0</v>
      </c>
      <c r="AH1139" s="39">
        <f>IF(B1139="","",IF(AG1139="Clash","Clash - stylist double booked",IF(I1139="","Assign - no stylist yet",IF(G1139="","Add - no service chosen",IF(M1139="No show","No show - charge the fee?",IF(M1139="Cancelled","",IF(IF(M1139="Completed",AB1139&lt;Y1139-0.004,FALSE),"Unpaid - nothing rung up for this visit",IF(IF(B1139&lt;TodayDate,M1139="Booked",FALSE),"Overdue - past date, still only Booked",IF(IF(B1139=TodayDate,TRUE,FALSE),"Today",IF(IF(Z1139&gt;0,AA1139&lt;Z1139-0.004,FALSE),"Due - deposit not taken",IF(IF(B1139&gt;TodayDate,B1139&lt;=TodayDate+2,FALSE),"Confirm - coming up","OK")))))))))))</f>
        <v>0</v>
      </c>
    </row>
    <row r="1140" spans="1:34">
      <c r="A1140" s="28">
        <f>IF(B1140="","",AppointmentPrefix&amp;TEXT(ROW()-4,"0000"))</f>
        <v>0</v>
      </c>
      <c r="C1140" s="15">
        <f>IF(B1140="","",TEXT(B1140,"ddd"))</f>
        <v>0</v>
      </c>
      <c r="F1140" s="15">
        <f>IF(E1140="","",IFERROR(INDEX(Clients!$B$5:$B$504,MATCH(E1140,Clients!$A$5:$A$504,0)),"Walk-in"))</f>
        <v>0</v>
      </c>
      <c r="H1140" s="15">
        <f>IF(G1140="","",IFERROR(INDEX(Services!$B$5:$B$204,MATCH(G1140,Services!$A$5:$A$204,0)),"Not in Services"))</f>
        <v>0</v>
      </c>
      <c r="J1140" s="15">
        <f>IF(I1140="","",IFERROR(INDEX(Staff!$B$5:$B$44,MATCH(I1140,Staff!$A$5:$A$44,0)),"Unassigned"))</f>
        <v>0</v>
      </c>
      <c r="S1140" s="15">
        <f>IF(B1140="","",TEXT(B1140,"yyyy-mm"))</f>
        <v>0</v>
      </c>
      <c r="T1140" s="25">
        <f>IF(B1140="","",WEEKNUM(B1140,2))</f>
        <v>0</v>
      </c>
      <c r="U1140" s="25">
        <f>IF(B1140="","",IF(K1140&lt;&gt;"",K1140,IFERROR(INDEX(Services!$E$5:$E$204,MATCH(G1140,Services!$A$5:$A$204,0))*1,0)+IFERROR(INDEX(Services!$F$5:$F$204,MATCH(G1140,Services!$A$5:$A$204,0))*1,0)))</f>
        <v>0</v>
      </c>
      <c r="V1140" s="36">
        <f>IF(B1140="","",IF(D1140="","",D1140+U1140/1440))</f>
        <v>0</v>
      </c>
      <c r="W1140" s="25">
        <f>IF(B1140="","",IF(D1140="","",HOUR(D1140)))</f>
        <v>0</v>
      </c>
      <c r="X1140" s="37">
        <f>IF(B1140="","",ROUND(U1140/60,2))</f>
        <v>0</v>
      </c>
      <c r="Y1140" s="26">
        <f>IF(B1140="","",IF(L1140&lt;&gt;"",L1140,IFERROR(INDEX(Services!$G$5:$G$204,MATCH(G1140,Services!$A$5:$A$204,0))*1,0)))</f>
        <v>0</v>
      </c>
      <c r="Z1140" s="26">
        <f>IF(B1140="","",IF(O1140&lt;&gt;"",O1140,IF(Y1140&gt;=DepositThreshold,ROUND(Y1140*DepositPercent,2),0)))</f>
        <v>0</v>
      </c>
      <c r="AA1140" s="26">
        <f>IF(B1140="","",ROUND(SUMIFS(Payments!$G$5:$G$1204,Payments!$I$5:$I$1204,A1140,Payments!$E$5:$E$1204,"Deposit"),2))</f>
        <v>0</v>
      </c>
      <c r="AB1140" s="26">
        <f>IF(B1140="","",ROUND(SUMIFS(Sales!$Y$5:$Y$1204,Sales!$C$5:$C$1204,A1140),2))</f>
        <v>0</v>
      </c>
      <c r="AC1140" s="38">
        <f>IF(B1140="","",IF(M1140="Completed","Yes",IF(M1140="Cancelled","Yes",IF(M1140="No show","Yes","No"))))</f>
        <v>0</v>
      </c>
      <c r="AD1140" s="25">
        <f>IF(B1140="","",IF(AE1140="","",B1140-AE1140))</f>
        <v>0</v>
      </c>
      <c r="AF1140" s="38">
        <f>IF(B1140="","",IF(M1140&lt;&gt;"Completed","",IF(E1140="","No",IF(COUNTIFS(Appointments!$E$5:$E$1204,E1140,Appointments!$B$5:$B$1204,"&gt;"&amp;B1140,Appointments!$M$5:$M$1204,"&lt;&gt;Cancelled")&gt;0,"Yes","No"))))</f>
        <v>0</v>
      </c>
      <c r="AG1140" s="38">
        <f>IF(B1140="","",IF(I1140="","",IF(D1140="","",IF(COUNTIFS($I$5:$I$1204,I1140,$B$5:$B$1204,B1140,$D$5:$D$1204,"&lt;"&amp;V1140,$V$5:$V$1204,"&gt;"&amp;D1140,$M$5:$M$1204,"&lt;&gt;Cancelled")&gt;1,"Clash",""))))</f>
        <v>0</v>
      </c>
      <c r="AH1140" s="39">
        <f>IF(B1140="","",IF(AG1140="Clash","Clash - stylist double booked",IF(I1140="","Assign - no stylist yet",IF(G1140="","Add - no service chosen",IF(M1140="No show","No show - charge the fee?",IF(M1140="Cancelled","",IF(IF(M1140="Completed",AB1140&lt;Y1140-0.004,FALSE),"Unpaid - nothing rung up for this visit",IF(IF(B1140&lt;TodayDate,M1140="Booked",FALSE),"Overdue - past date, still only Booked",IF(IF(B1140=TodayDate,TRUE,FALSE),"Today",IF(IF(Z1140&gt;0,AA1140&lt;Z1140-0.004,FALSE),"Due - deposit not taken",IF(IF(B1140&gt;TodayDate,B1140&lt;=TodayDate+2,FALSE),"Confirm - coming up","OK")))))))))))</f>
        <v>0</v>
      </c>
    </row>
    <row r="1141" spans="1:34">
      <c r="A1141" s="28">
        <f>IF(B1141="","",AppointmentPrefix&amp;TEXT(ROW()-4,"0000"))</f>
        <v>0</v>
      </c>
      <c r="C1141" s="15">
        <f>IF(B1141="","",TEXT(B1141,"ddd"))</f>
        <v>0</v>
      </c>
      <c r="F1141" s="15">
        <f>IF(E1141="","",IFERROR(INDEX(Clients!$B$5:$B$504,MATCH(E1141,Clients!$A$5:$A$504,0)),"Walk-in"))</f>
        <v>0</v>
      </c>
      <c r="H1141" s="15">
        <f>IF(G1141="","",IFERROR(INDEX(Services!$B$5:$B$204,MATCH(G1141,Services!$A$5:$A$204,0)),"Not in Services"))</f>
        <v>0</v>
      </c>
      <c r="J1141" s="15">
        <f>IF(I1141="","",IFERROR(INDEX(Staff!$B$5:$B$44,MATCH(I1141,Staff!$A$5:$A$44,0)),"Unassigned"))</f>
        <v>0</v>
      </c>
      <c r="S1141" s="15">
        <f>IF(B1141="","",TEXT(B1141,"yyyy-mm"))</f>
        <v>0</v>
      </c>
      <c r="T1141" s="25">
        <f>IF(B1141="","",WEEKNUM(B1141,2))</f>
        <v>0</v>
      </c>
      <c r="U1141" s="25">
        <f>IF(B1141="","",IF(K1141&lt;&gt;"",K1141,IFERROR(INDEX(Services!$E$5:$E$204,MATCH(G1141,Services!$A$5:$A$204,0))*1,0)+IFERROR(INDEX(Services!$F$5:$F$204,MATCH(G1141,Services!$A$5:$A$204,0))*1,0)))</f>
        <v>0</v>
      </c>
      <c r="V1141" s="36">
        <f>IF(B1141="","",IF(D1141="","",D1141+U1141/1440))</f>
        <v>0</v>
      </c>
      <c r="W1141" s="25">
        <f>IF(B1141="","",IF(D1141="","",HOUR(D1141)))</f>
        <v>0</v>
      </c>
      <c r="X1141" s="37">
        <f>IF(B1141="","",ROUND(U1141/60,2))</f>
        <v>0</v>
      </c>
      <c r="Y1141" s="26">
        <f>IF(B1141="","",IF(L1141&lt;&gt;"",L1141,IFERROR(INDEX(Services!$G$5:$G$204,MATCH(G1141,Services!$A$5:$A$204,0))*1,0)))</f>
        <v>0</v>
      </c>
      <c r="Z1141" s="26">
        <f>IF(B1141="","",IF(O1141&lt;&gt;"",O1141,IF(Y1141&gt;=DepositThreshold,ROUND(Y1141*DepositPercent,2),0)))</f>
        <v>0</v>
      </c>
      <c r="AA1141" s="26">
        <f>IF(B1141="","",ROUND(SUMIFS(Payments!$G$5:$G$1204,Payments!$I$5:$I$1204,A1141,Payments!$E$5:$E$1204,"Deposit"),2))</f>
        <v>0</v>
      </c>
      <c r="AB1141" s="26">
        <f>IF(B1141="","",ROUND(SUMIFS(Sales!$Y$5:$Y$1204,Sales!$C$5:$C$1204,A1141),2))</f>
        <v>0</v>
      </c>
      <c r="AC1141" s="38">
        <f>IF(B1141="","",IF(M1141="Completed","Yes",IF(M1141="Cancelled","Yes",IF(M1141="No show","Yes","No"))))</f>
        <v>0</v>
      </c>
      <c r="AD1141" s="25">
        <f>IF(B1141="","",IF(AE1141="","",B1141-AE1141))</f>
        <v>0</v>
      </c>
      <c r="AF1141" s="38">
        <f>IF(B1141="","",IF(M1141&lt;&gt;"Completed","",IF(E1141="","No",IF(COUNTIFS(Appointments!$E$5:$E$1204,E1141,Appointments!$B$5:$B$1204,"&gt;"&amp;B1141,Appointments!$M$5:$M$1204,"&lt;&gt;Cancelled")&gt;0,"Yes","No"))))</f>
        <v>0</v>
      </c>
      <c r="AG1141" s="38">
        <f>IF(B1141="","",IF(I1141="","",IF(D1141="","",IF(COUNTIFS($I$5:$I$1204,I1141,$B$5:$B$1204,B1141,$D$5:$D$1204,"&lt;"&amp;V1141,$V$5:$V$1204,"&gt;"&amp;D1141,$M$5:$M$1204,"&lt;&gt;Cancelled")&gt;1,"Clash",""))))</f>
        <v>0</v>
      </c>
      <c r="AH1141" s="39">
        <f>IF(B1141="","",IF(AG1141="Clash","Clash - stylist double booked",IF(I1141="","Assign - no stylist yet",IF(G1141="","Add - no service chosen",IF(M1141="No show","No show - charge the fee?",IF(M1141="Cancelled","",IF(IF(M1141="Completed",AB1141&lt;Y1141-0.004,FALSE),"Unpaid - nothing rung up for this visit",IF(IF(B1141&lt;TodayDate,M1141="Booked",FALSE),"Overdue - past date, still only Booked",IF(IF(B1141=TodayDate,TRUE,FALSE),"Today",IF(IF(Z1141&gt;0,AA1141&lt;Z1141-0.004,FALSE),"Due - deposit not taken",IF(IF(B1141&gt;TodayDate,B1141&lt;=TodayDate+2,FALSE),"Confirm - coming up","OK")))))))))))</f>
        <v>0</v>
      </c>
    </row>
    <row r="1142" spans="1:34">
      <c r="A1142" s="28">
        <f>IF(B1142="","",AppointmentPrefix&amp;TEXT(ROW()-4,"0000"))</f>
        <v>0</v>
      </c>
      <c r="C1142" s="15">
        <f>IF(B1142="","",TEXT(B1142,"ddd"))</f>
        <v>0</v>
      </c>
      <c r="F1142" s="15">
        <f>IF(E1142="","",IFERROR(INDEX(Clients!$B$5:$B$504,MATCH(E1142,Clients!$A$5:$A$504,0)),"Walk-in"))</f>
        <v>0</v>
      </c>
      <c r="H1142" s="15">
        <f>IF(G1142="","",IFERROR(INDEX(Services!$B$5:$B$204,MATCH(G1142,Services!$A$5:$A$204,0)),"Not in Services"))</f>
        <v>0</v>
      </c>
      <c r="J1142" s="15">
        <f>IF(I1142="","",IFERROR(INDEX(Staff!$B$5:$B$44,MATCH(I1142,Staff!$A$5:$A$44,0)),"Unassigned"))</f>
        <v>0</v>
      </c>
      <c r="S1142" s="15">
        <f>IF(B1142="","",TEXT(B1142,"yyyy-mm"))</f>
        <v>0</v>
      </c>
      <c r="T1142" s="25">
        <f>IF(B1142="","",WEEKNUM(B1142,2))</f>
        <v>0</v>
      </c>
      <c r="U1142" s="25">
        <f>IF(B1142="","",IF(K1142&lt;&gt;"",K1142,IFERROR(INDEX(Services!$E$5:$E$204,MATCH(G1142,Services!$A$5:$A$204,0))*1,0)+IFERROR(INDEX(Services!$F$5:$F$204,MATCH(G1142,Services!$A$5:$A$204,0))*1,0)))</f>
        <v>0</v>
      </c>
      <c r="V1142" s="36">
        <f>IF(B1142="","",IF(D1142="","",D1142+U1142/1440))</f>
        <v>0</v>
      </c>
      <c r="W1142" s="25">
        <f>IF(B1142="","",IF(D1142="","",HOUR(D1142)))</f>
        <v>0</v>
      </c>
      <c r="X1142" s="37">
        <f>IF(B1142="","",ROUND(U1142/60,2))</f>
        <v>0</v>
      </c>
      <c r="Y1142" s="26">
        <f>IF(B1142="","",IF(L1142&lt;&gt;"",L1142,IFERROR(INDEX(Services!$G$5:$G$204,MATCH(G1142,Services!$A$5:$A$204,0))*1,0)))</f>
        <v>0</v>
      </c>
      <c r="Z1142" s="26">
        <f>IF(B1142="","",IF(O1142&lt;&gt;"",O1142,IF(Y1142&gt;=DepositThreshold,ROUND(Y1142*DepositPercent,2),0)))</f>
        <v>0</v>
      </c>
      <c r="AA1142" s="26">
        <f>IF(B1142="","",ROUND(SUMIFS(Payments!$G$5:$G$1204,Payments!$I$5:$I$1204,A1142,Payments!$E$5:$E$1204,"Deposit"),2))</f>
        <v>0</v>
      </c>
      <c r="AB1142" s="26">
        <f>IF(B1142="","",ROUND(SUMIFS(Sales!$Y$5:$Y$1204,Sales!$C$5:$C$1204,A1142),2))</f>
        <v>0</v>
      </c>
      <c r="AC1142" s="38">
        <f>IF(B1142="","",IF(M1142="Completed","Yes",IF(M1142="Cancelled","Yes",IF(M1142="No show","Yes","No"))))</f>
        <v>0</v>
      </c>
      <c r="AD1142" s="25">
        <f>IF(B1142="","",IF(AE1142="","",B1142-AE1142))</f>
        <v>0</v>
      </c>
      <c r="AF1142" s="38">
        <f>IF(B1142="","",IF(M1142&lt;&gt;"Completed","",IF(E1142="","No",IF(COUNTIFS(Appointments!$E$5:$E$1204,E1142,Appointments!$B$5:$B$1204,"&gt;"&amp;B1142,Appointments!$M$5:$M$1204,"&lt;&gt;Cancelled")&gt;0,"Yes","No"))))</f>
        <v>0</v>
      </c>
      <c r="AG1142" s="38">
        <f>IF(B1142="","",IF(I1142="","",IF(D1142="","",IF(COUNTIFS($I$5:$I$1204,I1142,$B$5:$B$1204,B1142,$D$5:$D$1204,"&lt;"&amp;V1142,$V$5:$V$1204,"&gt;"&amp;D1142,$M$5:$M$1204,"&lt;&gt;Cancelled")&gt;1,"Clash",""))))</f>
        <v>0</v>
      </c>
      <c r="AH1142" s="39">
        <f>IF(B1142="","",IF(AG1142="Clash","Clash - stylist double booked",IF(I1142="","Assign - no stylist yet",IF(G1142="","Add - no service chosen",IF(M1142="No show","No show - charge the fee?",IF(M1142="Cancelled","",IF(IF(M1142="Completed",AB1142&lt;Y1142-0.004,FALSE),"Unpaid - nothing rung up for this visit",IF(IF(B1142&lt;TodayDate,M1142="Booked",FALSE),"Overdue - past date, still only Booked",IF(IF(B1142=TodayDate,TRUE,FALSE),"Today",IF(IF(Z1142&gt;0,AA1142&lt;Z1142-0.004,FALSE),"Due - deposit not taken",IF(IF(B1142&gt;TodayDate,B1142&lt;=TodayDate+2,FALSE),"Confirm - coming up","OK")))))))))))</f>
        <v>0</v>
      </c>
    </row>
    <row r="1143" spans="1:34">
      <c r="A1143" s="28">
        <f>IF(B1143="","",AppointmentPrefix&amp;TEXT(ROW()-4,"0000"))</f>
        <v>0</v>
      </c>
      <c r="C1143" s="15">
        <f>IF(B1143="","",TEXT(B1143,"ddd"))</f>
        <v>0</v>
      </c>
      <c r="F1143" s="15">
        <f>IF(E1143="","",IFERROR(INDEX(Clients!$B$5:$B$504,MATCH(E1143,Clients!$A$5:$A$504,0)),"Walk-in"))</f>
        <v>0</v>
      </c>
      <c r="H1143" s="15">
        <f>IF(G1143="","",IFERROR(INDEX(Services!$B$5:$B$204,MATCH(G1143,Services!$A$5:$A$204,0)),"Not in Services"))</f>
        <v>0</v>
      </c>
      <c r="J1143" s="15">
        <f>IF(I1143="","",IFERROR(INDEX(Staff!$B$5:$B$44,MATCH(I1143,Staff!$A$5:$A$44,0)),"Unassigned"))</f>
        <v>0</v>
      </c>
      <c r="S1143" s="15">
        <f>IF(B1143="","",TEXT(B1143,"yyyy-mm"))</f>
        <v>0</v>
      </c>
      <c r="T1143" s="25">
        <f>IF(B1143="","",WEEKNUM(B1143,2))</f>
        <v>0</v>
      </c>
      <c r="U1143" s="25">
        <f>IF(B1143="","",IF(K1143&lt;&gt;"",K1143,IFERROR(INDEX(Services!$E$5:$E$204,MATCH(G1143,Services!$A$5:$A$204,0))*1,0)+IFERROR(INDEX(Services!$F$5:$F$204,MATCH(G1143,Services!$A$5:$A$204,0))*1,0)))</f>
        <v>0</v>
      </c>
      <c r="V1143" s="36">
        <f>IF(B1143="","",IF(D1143="","",D1143+U1143/1440))</f>
        <v>0</v>
      </c>
      <c r="W1143" s="25">
        <f>IF(B1143="","",IF(D1143="","",HOUR(D1143)))</f>
        <v>0</v>
      </c>
      <c r="X1143" s="37">
        <f>IF(B1143="","",ROUND(U1143/60,2))</f>
        <v>0</v>
      </c>
      <c r="Y1143" s="26">
        <f>IF(B1143="","",IF(L1143&lt;&gt;"",L1143,IFERROR(INDEX(Services!$G$5:$G$204,MATCH(G1143,Services!$A$5:$A$204,0))*1,0)))</f>
        <v>0</v>
      </c>
      <c r="Z1143" s="26">
        <f>IF(B1143="","",IF(O1143&lt;&gt;"",O1143,IF(Y1143&gt;=DepositThreshold,ROUND(Y1143*DepositPercent,2),0)))</f>
        <v>0</v>
      </c>
      <c r="AA1143" s="26">
        <f>IF(B1143="","",ROUND(SUMIFS(Payments!$G$5:$G$1204,Payments!$I$5:$I$1204,A1143,Payments!$E$5:$E$1204,"Deposit"),2))</f>
        <v>0</v>
      </c>
      <c r="AB1143" s="26">
        <f>IF(B1143="","",ROUND(SUMIFS(Sales!$Y$5:$Y$1204,Sales!$C$5:$C$1204,A1143),2))</f>
        <v>0</v>
      </c>
      <c r="AC1143" s="38">
        <f>IF(B1143="","",IF(M1143="Completed","Yes",IF(M1143="Cancelled","Yes",IF(M1143="No show","Yes","No"))))</f>
        <v>0</v>
      </c>
      <c r="AD1143" s="25">
        <f>IF(B1143="","",IF(AE1143="","",B1143-AE1143))</f>
        <v>0</v>
      </c>
      <c r="AF1143" s="38">
        <f>IF(B1143="","",IF(M1143&lt;&gt;"Completed","",IF(E1143="","No",IF(COUNTIFS(Appointments!$E$5:$E$1204,E1143,Appointments!$B$5:$B$1204,"&gt;"&amp;B1143,Appointments!$M$5:$M$1204,"&lt;&gt;Cancelled")&gt;0,"Yes","No"))))</f>
        <v>0</v>
      </c>
      <c r="AG1143" s="38">
        <f>IF(B1143="","",IF(I1143="","",IF(D1143="","",IF(COUNTIFS($I$5:$I$1204,I1143,$B$5:$B$1204,B1143,$D$5:$D$1204,"&lt;"&amp;V1143,$V$5:$V$1204,"&gt;"&amp;D1143,$M$5:$M$1204,"&lt;&gt;Cancelled")&gt;1,"Clash",""))))</f>
        <v>0</v>
      </c>
      <c r="AH1143" s="39">
        <f>IF(B1143="","",IF(AG1143="Clash","Clash - stylist double booked",IF(I1143="","Assign - no stylist yet",IF(G1143="","Add - no service chosen",IF(M1143="No show","No show - charge the fee?",IF(M1143="Cancelled","",IF(IF(M1143="Completed",AB1143&lt;Y1143-0.004,FALSE),"Unpaid - nothing rung up for this visit",IF(IF(B1143&lt;TodayDate,M1143="Booked",FALSE),"Overdue - past date, still only Booked",IF(IF(B1143=TodayDate,TRUE,FALSE),"Today",IF(IF(Z1143&gt;0,AA1143&lt;Z1143-0.004,FALSE),"Due - deposit not taken",IF(IF(B1143&gt;TodayDate,B1143&lt;=TodayDate+2,FALSE),"Confirm - coming up","OK")))))))))))</f>
        <v>0</v>
      </c>
    </row>
    <row r="1144" spans="1:34">
      <c r="A1144" s="28">
        <f>IF(B1144="","",AppointmentPrefix&amp;TEXT(ROW()-4,"0000"))</f>
        <v>0</v>
      </c>
      <c r="C1144" s="15">
        <f>IF(B1144="","",TEXT(B1144,"ddd"))</f>
        <v>0</v>
      </c>
      <c r="F1144" s="15">
        <f>IF(E1144="","",IFERROR(INDEX(Clients!$B$5:$B$504,MATCH(E1144,Clients!$A$5:$A$504,0)),"Walk-in"))</f>
        <v>0</v>
      </c>
      <c r="H1144" s="15">
        <f>IF(G1144="","",IFERROR(INDEX(Services!$B$5:$B$204,MATCH(G1144,Services!$A$5:$A$204,0)),"Not in Services"))</f>
        <v>0</v>
      </c>
      <c r="J1144" s="15">
        <f>IF(I1144="","",IFERROR(INDEX(Staff!$B$5:$B$44,MATCH(I1144,Staff!$A$5:$A$44,0)),"Unassigned"))</f>
        <v>0</v>
      </c>
      <c r="S1144" s="15">
        <f>IF(B1144="","",TEXT(B1144,"yyyy-mm"))</f>
        <v>0</v>
      </c>
      <c r="T1144" s="25">
        <f>IF(B1144="","",WEEKNUM(B1144,2))</f>
        <v>0</v>
      </c>
      <c r="U1144" s="25">
        <f>IF(B1144="","",IF(K1144&lt;&gt;"",K1144,IFERROR(INDEX(Services!$E$5:$E$204,MATCH(G1144,Services!$A$5:$A$204,0))*1,0)+IFERROR(INDEX(Services!$F$5:$F$204,MATCH(G1144,Services!$A$5:$A$204,0))*1,0)))</f>
        <v>0</v>
      </c>
      <c r="V1144" s="36">
        <f>IF(B1144="","",IF(D1144="","",D1144+U1144/1440))</f>
        <v>0</v>
      </c>
      <c r="W1144" s="25">
        <f>IF(B1144="","",IF(D1144="","",HOUR(D1144)))</f>
        <v>0</v>
      </c>
      <c r="X1144" s="37">
        <f>IF(B1144="","",ROUND(U1144/60,2))</f>
        <v>0</v>
      </c>
      <c r="Y1144" s="26">
        <f>IF(B1144="","",IF(L1144&lt;&gt;"",L1144,IFERROR(INDEX(Services!$G$5:$G$204,MATCH(G1144,Services!$A$5:$A$204,0))*1,0)))</f>
        <v>0</v>
      </c>
      <c r="Z1144" s="26">
        <f>IF(B1144="","",IF(O1144&lt;&gt;"",O1144,IF(Y1144&gt;=DepositThreshold,ROUND(Y1144*DepositPercent,2),0)))</f>
        <v>0</v>
      </c>
      <c r="AA1144" s="26">
        <f>IF(B1144="","",ROUND(SUMIFS(Payments!$G$5:$G$1204,Payments!$I$5:$I$1204,A1144,Payments!$E$5:$E$1204,"Deposit"),2))</f>
        <v>0</v>
      </c>
      <c r="AB1144" s="26">
        <f>IF(B1144="","",ROUND(SUMIFS(Sales!$Y$5:$Y$1204,Sales!$C$5:$C$1204,A1144),2))</f>
        <v>0</v>
      </c>
      <c r="AC1144" s="38">
        <f>IF(B1144="","",IF(M1144="Completed","Yes",IF(M1144="Cancelled","Yes",IF(M1144="No show","Yes","No"))))</f>
        <v>0</v>
      </c>
      <c r="AD1144" s="25">
        <f>IF(B1144="","",IF(AE1144="","",B1144-AE1144))</f>
        <v>0</v>
      </c>
      <c r="AF1144" s="38">
        <f>IF(B1144="","",IF(M1144&lt;&gt;"Completed","",IF(E1144="","No",IF(COUNTIFS(Appointments!$E$5:$E$1204,E1144,Appointments!$B$5:$B$1204,"&gt;"&amp;B1144,Appointments!$M$5:$M$1204,"&lt;&gt;Cancelled")&gt;0,"Yes","No"))))</f>
        <v>0</v>
      </c>
      <c r="AG1144" s="38">
        <f>IF(B1144="","",IF(I1144="","",IF(D1144="","",IF(COUNTIFS($I$5:$I$1204,I1144,$B$5:$B$1204,B1144,$D$5:$D$1204,"&lt;"&amp;V1144,$V$5:$V$1204,"&gt;"&amp;D1144,$M$5:$M$1204,"&lt;&gt;Cancelled")&gt;1,"Clash",""))))</f>
        <v>0</v>
      </c>
      <c r="AH1144" s="39">
        <f>IF(B1144="","",IF(AG1144="Clash","Clash - stylist double booked",IF(I1144="","Assign - no stylist yet",IF(G1144="","Add - no service chosen",IF(M1144="No show","No show - charge the fee?",IF(M1144="Cancelled","",IF(IF(M1144="Completed",AB1144&lt;Y1144-0.004,FALSE),"Unpaid - nothing rung up for this visit",IF(IF(B1144&lt;TodayDate,M1144="Booked",FALSE),"Overdue - past date, still only Booked",IF(IF(B1144=TodayDate,TRUE,FALSE),"Today",IF(IF(Z1144&gt;0,AA1144&lt;Z1144-0.004,FALSE),"Due - deposit not taken",IF(IF(B1144&gt;TodayDate,B1144&lt;=TodayDate+2,FALSE),"Confirm - coming up","OK")))))))))))</f>
        <v>0</v>
      </c>
    </row>
    <row r="1145" spans="1:34">
      <c r="A1145" s="28">
        <f>IF(B1145="","",AppointmentPrefix&amp;TEXT(ROW()-4,"0000"))</f>
        <v>0</v>
      </c>
      <c r="C1145" s="15">
        <f>IF(B1145="","",TEXT(B1145,"ddd"))</f>
        <v>0</v>
      </c>
      <c r="F1145" s="15">
        <f>IF(E1145="","",IFERROR(INDEX(Clients!$B$5:$B$504,MATCH(E1145,Clients!$A$5:$A$504,0)),"Walk-in"))</f>
        <v>0</v>
      </c>
      <c r="H1145" s="15">
        <f>IF(G1145="","",IFERROR(INDEX(Services!$B$5:$B$204,MATCH(G1145,Services!$A$5:$A$204,0)),"Not in Services"))</f>
        <v>0</v>
      </c>
      <c r="J1145" s="15">
        <f>IF(I1145="","",IFERROR(INDEX(Staff!$B$5:$B$44,MATCH(I1145,Staff!$A$5:$A$44,0)),"Unassigned"))</f>
        <v>0</v>
      </c>
      <c r="S1145" s="15">
        <f>IF(B1145="","",TEXT(B1145,"yyyy-mm"))</f>
        <v>0</v>
      </c>
      <c r="T1145" s="25">
        <f>IF(B1145="","",WEEKNUM(B1145,2))</f>
        <v>0</v>
      </c>
      <c r="U1145" s="25">
        <f>IF(B1145="","",IF(K1145&lt;&gt;"",K1145,IFERROR(INDEX(Services!$E$5:$E$204,MATCH(G1145,Services!$A$5:$A$204,0))*1,0)+IFERROR(INDEX(Services!$F$5:$F$204,MATCH(G1145,Services!$A$5:$A$204,0))*1,0)))</f>
        <v>0</v>
      </c>
      <c r="V1145" s="36">
        <f>IF(B1145="","",IF(D1145="","",D1145+U1145/1440))</f>
        <v>0</v>
      </c>
      <c r="W1145" s="25">
        <f>IF(B1145="","",IF(D1145="","",HOUR(D1145)))</f>
        <v>0</v>
      </c>
      <c r="X1145" s="37">
        <f>IF(B1145="","",ROUND(U1145/60,2))</f>
        <v>0</v>
      </c>
      <c r="Y1145" s="26">
        <f>IF(B1145="","",IF(L1145&lt;&gt;"",L1145,IFERROR(INDEX(Services!$G$5:$G$204,MATCH(G1145,Services!$A$5:$A$204,0))*1,0)))</f>
        <v>0</v>
      </c>
      <c r="Z1145" s="26">
        <f>IF(B1145="","",IF(O1145&lt;&gt;"",O1145,IF(Y1145&gt;=DepositThreshold,ROUND(Y1145*DepositPercent,2),0)))</f>
        <v>0</v>
      </c>
      <c r="AA1145" s="26">
        <f>IF(B1145="","",ROUND(SUMIFS(Payments!$G$5:$G$1204,Payments!$I$5:$I$1204,A1145,Payments!$E$5:$E$1204,"Deposit"),2))</f>
        <v>0</v>
      </c>
      <c r="AB1145" s="26">
        <f>IF(B1145="","",ROUND(SUMIFS(Sales!$Y$5:$Y$1204,Sales!$C$5:$C$1204,A1145),2))</f>
        <v>0</v>
      </c>
      <c r="AC1145" s="38">
        <f>IF(B1145="","",IF(M1145="Completed","Yes",IF(M1145="Cancelled","Yes",IF(M1145="No show","Yes","No"))))</f>
        <v>0</v>
      </c>
      <c r="AD1145" s="25">
        <f>IF(B1145="","",IF(AE1145="","",B1145-AE1145))</f>
        <v>0</v>
      </c>
      <c r="AF1145" s="38">
        <f>IF(B1145="","",IF(M1145&lt;&gt;"Completed","",IF(E1145="","No",IF(COUNTIFS(Appointments!$E$5:$E$1204,E1145,Appointments!$B$5:$B$1204,"&gt;"&amp;B1145,Appointments!$M$5:$M$1204,"&lt;&gt;Cancelled")&gt;0,"Yes","No"))))</f>
        <v>0</v>
      </c>
      <c r="AG1145" s="38">
        <f>IF(B1145="","",IF(I1145="","",IF(D1145="","",IF(COUNTIFS($I$5:$I$1204,I1145,$B$5:$B$1204,B1145,$D$5:$D$1204,"&lt;"&amp;V1145,$V$5:$V$1204,"&gt;"&amp;D1145,$M$5:$M$1204,"&lt;&gt;Cancelled")&gt;1,"Clash",""))))</f>
        <v>0</v>
      </c>
      <c r="AH1145" s="39">
        <f>IF(B1145="","",IF(AG1145="Clash","Clash - stylist double booked",IF(I1145="","Assign - no stylist yet",IF(G1145="","Add - no service chosen",IF(M1145="No show","No show - charge the fee?",IF(M1145="Cancelled","",IF(IF(M1145="Completed",AB1145&lt;Y1145-0.004,FALSE),"Unpaid - nothing rung up for this visit",IF(IF(B1145&lt;TodayDate,M1145="Booked",FALSE),"Overdue - past date, still only Booked",IF(IF(B1145=TodayDate,TRUE,FALSE),"Today",IF(IF(Z1145&gt;0,AA1145&lt;Z1145-0.004,FALSE),"Due - deposit not taken",IF(IF(B1145&gt;TodayDate,B1145&lt;=TodayDate+2,FALSE),"Confirm - coming up","OK")))))))))))</f>
        <v>0</v>
      </c>
    </row>
    <row r="1146" spans="1:34">
      <c r="A1146" s="28">
        <f>IF(B1146="","",AppointmentPrefix&amp;TEXT(ROW()-4,"0000"))</f>
        <v>0</v>
      </c>
      <c r="C1146" s="15">
        <f>IF(B1146="","",TEXT(B1146,"ddd"))</f>
        <v>0</v>
      </c>
      <c r="F1146" s="15">
        <f>IF(E1146="","",IFERROR(INDEX(Clients!$B$5:$B$504,MATCH(E1146,Clients!$A$5:$A$504,0)),"Walk-in"))</f>
        <v>0</v>
      </c>
      <c r="H1146" s="15">
        <f>IF(G1146="","",IFERROR(INDEX(Services!$B$5:$B$204,MATCH(G1146,Services!$A$5:$A$204,0)),"Not in Services"))</f>
        <v>0</v>
      </c>
      <c r="J1146" s="15">
        <f>IF(I1146="","",IFERROR(INDEX(Staff!$B$5:$B$44,MATCH(I1146,Staff!$A$5:$A$44,0)),"Unassigned"))</f>
        <v>0</v>
      </c>
      <c r="S1146" s="15">
        <f>IF(B1146="","",TEXT(B1146,"yyyy-mm"))</f>
        <v>0</v>
      </c>
      <c r="T1146" s="25">
        <f>IF(B1146="","",WEEKNUM(B1146,2))</f>
        <v>0</v>
      </c>
      <c r="U1146" s="25">
        <f>IF(B1146="","",IF(K1146&lt;&gt;"",K1146,IFERROR(INDEX(Services!$E$5:$E$204,MATCH(G1146,Services!$A$5:$A$204,0))*1,0)+IFERROR(INDEX(Services!$F$5:$F$204,MATCH(G1146,Services!$A$5:$A$204,0))*1,0)))</f>
        <v>0</v>
      </c>
      <c r="V1146" s="36">
        <f>IF(B1146="","",IF(D1146="","",D1146+U1146/1440))</f>
        <v>0</v>
      </c>
      <c r="W1146" s="25">
        <f>IF(B1146="","",IF(D1146="","",HOUR(D1146)))</f>
        <v>0</v>
      </c>
      <c r="X1146" s="37">
        <f>IF(B1146="","",ROUND(U1146/60,2))</f>
        <v>0</v>
      </c>
      <c r="Y1146" s="26">
        <f>IF(B1146="","",IF(L1146&lt;&gt;"",L1146,IFERROR(INDEX(Services!$G$5:$G$204,MATCH(G1146,Services!$A$5:$A$204,0))*1,0)))</f>
        <v>0</v>
      </c>
      <c r="Z1146" s="26">
        <f>IF(B1146="","",IF(O1146&lt;&gt;"",O1146,IF(Y1146&gt;=DepositThreshold,ROUND(Y1146*DepositPercent,2),0)))</f>
        <v>0</v>
      </c>
      <c r="AA1146" s="26">
        <f>IF(B1146="","",ROUND(SUMIFS(Payments!$G$5:$G$1204,Payments!$I$5:$I$1204,A1146,Payments!$E$5:$E$1204,"Deposit"),2))</f>
        <v>0</v>
      </c>
      <c r="AB1146" s="26">
        <f>IF(B1146="","",ROUND(SUMIFS(Sales!$Y$5:$Y$1204,Sales!$C$5:$C$1204,A1146),2))</f>
        <v>0</v>
      </c>
      <c r="AC1146" s="38">
        <f>IF(B1146="","",IF(M1146="Completed","Yes",IF(M1146="Cancelled","Yes",IF(M1146="No show","Yes","No"))))</f>
        <v>0</v>
      </c>
      <c r="AD1146" s="25">
        <f>IF(B1146="","",IF(AE1146="","",B1146-AE1146))</f>
        <v>0</v>
      </c>
      <c r="AF1146" s="38">
        <f>IF(B1146="","",IF(M1146&lt;&gt;"Completed","",IF(E1146="","No",IF(COUNTIFS(Appointments!$E$5:$E$1204,E1146,Appointments!$B$5:$B$1204,"&gt;"&amp;B1146,Appointments!$M$5:$M$1204,"&lt;&gt;Cancelled")&gt;0,"Yes","No"))))</f>
        <v>0</v>
      </c>
      <c r="AG1146" s="38">
        <f>IF(B1146="","",IF(I1146="","",IF(D1146="","",IF(COUNTIFS($I$5:$I$1204,I1146,$B$5:$B$1204,B1146,$D$5:$D$1204,"&lt;"&amp;V1146,$V$5:$V$1204,"&gt;"&amp;D1146,$M$5:$M$1204,"&lt;&gt;Cancelled")&gt;1,"Clash",""))))</f>
        <v>0</v>
      </c>
      <c r="AH1146" s="39">
        <f>IF(B1146="","",IF(AG1146="Clash","Clash - stylist double booked",IF(I1146="","Assign - no stylist yet",IF(G1146="","Add - no service chosen",IF(M1146="No show","No show - charge the fee?",IF(M1146="Cancelled","",IF(IF(M1146="Completed",AB1146&lt;Y1146-0.004,FALSE),"Unpaid - nothing rung up for this visit",IF(IF(B1146&lt;TodayDate,M1146="Booked",FALSE),"Overdue - past date, still only Booked",IF(IF(B1146=TodayDate,TRUE,FALSE),"Today",IF(IF(Z1146&gt;0,AA1146&lt;Z1146-0.004,FALSE),"Due - deposit not taken",IF(IF(B1146&gt;TodayDate,B1146&lt;=TodayDate+2,FALSE),"Confirm - coming up","OK")))))))))))</f>
        <v>0</v>
      </c>
    </row>
    <row r="1147" spans="1:34">
      <c r="A1147" s="28">
        <f>IF(B1147="","",AppointmentPrefix&amp;TEXT(ROW()-4,"0000"))</f>
        <v>0</v>
      </c>
      <c r="C1147" s="15">
        <f>IF(B1147="","",TEXT(B1147,"ddd"))</f>
        <v>0</v>
      </c>
      <c r="F1147" s="15">
        <f>IF(E1147="","",IFERROR(INDEX(Clients!$B$5:$B$504,MATCH(E1147,Clients!$A$5:$A$504,0)),"Walk-in"))</f>
        <v>0</v>
      </c>
      <c r="H1147" s="15">
        <f>IF(G1147="","",IFERROR(INDEX(Services!$B$5:$B$204,MATCH(G1147,Services!$A$5:$A$204,0)),"Not in Services"))</f>
        <v>0</v>
      </c>
      <c r="J1147" s="15">
        <f>IF(I1147="","",IFERROR(INDEX(Staff!$B$5:$B$44,MATCH(I1147,Staff!$A$5:$A$44,0)),"Unassigned"))</f>
        <v>0</v>
      </c>
      <c r="S1147" s="15">
        <f>IF(B1147="","",TEXT(B1147,"yyyy-mm"))</f>
        <v>0</v>
      </c>
      <c r="T1147" s="25">
        <f>IF(B1147="","",WEEKNUM(B1147,2))</f>
        <v>0</v>
      </c>
      <c r="U1147" s="25">
        <f>IF(B1147="","",IF(K1147&lt;&gt;"",K1147,IFERROR(INDEX(Services!$E$5:$E$204,MATCH(G1147,Services!$A$5:$A$204,0))*1,0)+IFERROR(INDEX(Services!$F$5:$F$204,MATCH(G1147,Services!$A$5:$A$204,0))*1,0)))</f>
        <v>0</v>
      </c>
      <c r="V1147" s="36">
        <f>IF(B1147="","",IF(D1147="","",D1147+U1147/1440))</f>
        <v>0</v>
      </c>
      <c r="W1147" s="25">
        <f>IF(B1147="","",IF(D1147="","",HOUR(D1147)))</f>
        <v>0</v>
      </c>
      <c r="X1147" s="37">
        <f>IF(B1147="","",ROUND(U1147/60,2))</f>
        <v>0</v>
      </c>
      <c r="Y1147" s="26">
        <f>IF(B1147="","",IF(L1147&lt;&gt;"",L1147,IFERROR(INDEX(Services!$G$5:$G$204,MATCH(G1147,Services!$A$5:$A$204,0))*1,0)))</f>
        <v>0</v>
      </c>
      <c r="Z1147" s="26">
        <f>IF(B1147="","",IF(O1147&lt;&gt;"",O1147,IF(Y1147&gt;=DepositThreshold,ROUND(Y1147*DepositPercent,2),0)))</f>
        <v>0</v>
      </c>
      <c r="AA1147" s="26">
        <f>IF(B1147="","",ROUND(SUMIFS(Payments!$G$5:$G$1204,Payments!$I$5:$I$1204,A1147,Payments!$E$5:$E$1204,"Deposit"),2))</f>
        <v>0</v>
      </c>
      <c r="AB1147" s="26">
        <f>IF(B1147="","",ROUND(SUMIFS(Sales!$Y$5:$Y$1204,Sales!$C$5:$C$1204,A1147),2))</f>
        <v>0</v>
      </c>
      <c r="AC1147" s="38">
        <f>IF(B1147="","",IF(M1147="Completed","Yes",IF(M1147="Cancelled","Yes",IF(M1147="No show","Yes","No"))))</f>
        <v>0</v>
      </c>
      <c r="AD1147" s="25">
        <f>IF(B1147="","",IF(AE1147="","",B1147-AE1147))</f>
        <v>0</v>
      </c>
      <c r="AF1147" s="38">
        <f>IF(B1147="","",IF(M1147&lt;&gt;"Completed","",IF(E1147="","No",IF(COUNTIFS(Appointments!$E$5:$E$1204,E1147,Appointments!$B$5:$B$1204,"&gt;"&amp;B1147,Appointments!$M$5:$M$1204,"&lt;&gt;Cancelled")&gt;0,"Yes","No"))))</f>
        <v>0</v>
      </c>
      <c r="AG1147" s="38">
        <f>IF(B1147="","",IF(I1147="","",IF(D1147="","",IF(COUNTIFS($I$5:$I$1204,I1147,$B$5:$B$1204,B1147,$D$5:$D$1204,"&lt;"&amp;V1147,$V$5:$V$1204,"&gt;"&amp;D1147,$M$5:$M$1204,"&lt;&gt;Cancelled")&gt;1,"Clash",""))))</f>
        <v>0</v>
      </c>
      <c r="AH1147" s="39">
        <f>IF(B1147="","",IF(AG1147="Clash","Clash - stylist double booked",IF(I1147="","Assign - no stylist yet",IF(G1147="","Add - no service chosen",IF(M1147="No show","No show - charge the fee?",IF(M1147="Cancelled","",IF(IF(M1147="Completed",AB1147&lt;Y1147-0.004,FALSE),"Unpaid - nothing rung up for this visit",IF(IF(B1147&lt;TodayDate,M1147="Booked",FALSE),"Overdue - past date, still only Booked",IF(IF(B1147=TodayDate,TRUE,FALSE),"Today",IF(IF(Z1147&gt;0,AA1147&lt;Z1147-0.004,FALSE),"Due - deposit not taken",IF(IF(B1147&gt;TodayDate,B1147&lt;=TodayDate+2,FALSE),"Confirm - coming up","OK")))))))))))</f>
        <v>0</v>
      </c>
    </row>
    <row r="1148" spans="1:34">
      <c r="A1148" s="28">
        <f>IF(B1148="","",AppointmentPrefix&amp;TEXT(ROW()-4,"0000"))</f>
        <v>0</v>
      </c>
      <c r="C1148" s="15">
        <f>IF(B1148="","",TEXT(B1148,"ddd"))</f>
        <v>0</v>
      </c>
      <c r="F1148" s="15">
        <f>IF(E1148="","",IFERROR(INDEX(Clients!$B$5:$B$504,MATCH(E1148,Clients!$A$5:$A$504,0)),"Walk-in"))</f>
        <v>0</v>
      </c>
      <c r="H1148" s="15">
        <f>IF(G1148="","",IFERROR(INDEX(Services!$B$5:$B$204,MATCH(G1148,Services!$A$5:$A$204,0)),"Not in Services"))</f>
        <v>0</v>
      </c>
      <c r="J1148" s="15">
        <f>IF(I1148="","",IFERROR(INDEX(Staff!$B$5:$B$44,MATCH(I1148,Staff!$A$5:$A$44,0)),"Unassigned"))</f>
        <v>0</v>
      </c>
      <c r="S1148" s="15">
        <f>IF(B1148="","",TEXT(B1148,"yyyy-mm"))</f>
        <v>0</v>
      </c>
      <c r="T1148" s="25">
        <f>IF(B1148="","",WEEKNUM(B1148,2))</f>
        <v>0</v>
      </c>
      <c r="U1148" s="25">
        <f>IF(B1148="","",IF(K1148&lt;&gt;"",K1148,IFERROR(INDEX(Services!$E$5:$E$204,MATCH(G1148,Services!$A$5:$A$204,0))*1,0)+IFERROR(INDEX(Services!$F$5:$F$204,MATCH(G1148,Services!$A$5:$A$204,0))*1,0)))</f>
        <v>0</v>
      </c>
      <c r="V1148" s="36">
        <f>IF(B1148="","",IF(D1148="","",D1148+U1148/1440))</f>
        <v>0</v>
      </c>
      <c r="W1148" s="25">
        <f>IF(B1148="","",IF(D1148="","",HOUR(D1148)))</f>
        <v>0</v>
      </c>
      <c r="X1148" s="37">
        <f>IF(B1148="","",ROUND(U1148/60,2))</f>
        <v>0</v>
      </c>
      <c r="Y1148" s="26">
        <f>IF(B1148="","",IF(L1148&lt;&gt;"",L1148,IFERROR(INDEX(Services!$G$5:$G$204,MATCH(G1148,Services!$A$5:$A$204,0))*1,0)))</f>
        <v>0</v>
      </c>
      <c r="Z1148" s="26">
        <f>IF(B1148="","",IF(O1148&lt;&gt;"",O1148,IF(Y1148&gt;=DepositThreshold,ROUND(Y1148*DepositPercent,2),0)))</f>
        <v>0</v>
      </c>
      <c r="AA1148" s="26">
        <f>IF(B1148="","",ROUND(SUMIFS(Payments!$G$5:$G$1204,Payments!$I$5:$I$1204,A1148,Payments!$E$5:$E$1204,"Deposit"),2))</f>
        <v>0</v>
      </c>
      <c r="AB1148" s="26">
        <f>IF(B1148="","",ROUND(SUMIFS(Sales!$Y$5:$Y$1204,Sales!$C$5:$C$1204,A1148),2))</f>
        <v>0</v>
      </c>
      <c r="AC1148" s="38">
        <f>IF(B1148="","",IF(M1148="Completed","Yes",IF(M1148="Cancelled","Yes",IF(M1148="No show","Yes","No"))))</f>
        <v>0</v>
      </c>
      <c r="AD1148" s="25">
        <f>IF(B1148="","",IF(AE1148="","",B1148-AE1148))</f>
        <v>0</v>
      </c>
      <c r="AF1148" s="38">
        <f>IF(B1148="","",IF(M1148&lt;&gt;"Completed","",IF(E1148="","No",IF(COUNTIFS(Appointments!$E$5:$E$1204,E1148,Appointments!$B$5:$B$1204,"&gt;"&amp;B1148,Appointments!$M$5:$M$1204,"&lt;&gt;Cancelled")&gt;0,"Yes","No"))))</f>
        <v>0</v>
      </c>
      <c r="AG1148" s="38">
        <f>IF(B1148="","",IF(I1148="","",IF(D1148="","",IF(COUNTIFS($I$5:$I$1204,I1148,$B$5:$B$1204,B1148,$D$5:$D$1204,"&lt;"&amp;V1148,$V$5:$V$1204,"&gt;"&amp;D1148,$M$5:$M$1204,"&lt;&gt;Cancelled")&gt;1,"Clash",""))))</f>
        <v>0</v>
      </c>
      <c r="AH1148" s="39">
        <f>IF(B1148="","",IF(AG1148="Clash","Clash - stylist double booked",IF(I1148="","Assign - no stylist yet",IF(G1148="","Add - no service chosen",IF(M1148="No show","No show - charge the fee?",IF(M1148="Cancelled","",IF(IF(M1148="Completed",AB1148&lt;Y1148-0.004,FALSE),"Unpaid - nothing rung up for this visit",IF(IF(B1148&lt;TodayDate,M1148="Booked",FALSE),"Overdue - past date, still only Booked",IF(IF(B1148=TodayDate,TRUE,FALSE),"Today",IF(IF(Z1148&gt;0,AA1148&lt;Z1148-0.004,FALSE),"Due - deposit not taken",IF(IF(B1148&gt;TodayDate,B1148&lt;=TodayDate+2,FALSE),"Confirm - coming up","OK")))))))))))</f>
        <v>0</v>
      </c>
    </row>
    <row r="1149" spans="1:34">
      <c r="A1149" s="28">
        <f>IF(B1149="","",AppointmentPrefix&amp;TEXT(ROW()-4,"0000"))</f>
        <v>0</v>
      </c>
      <c r="C1149" s="15">
        <f>IF(B1149="","",TEXT(B1149,"ddd"))</f>
        <v>0</v>
      </c>
      <c r="F1149" s="15">
        <f>IF(E1149="","",IFERROR(INDEX(Clients!$B$5:$B$504,MATCH(E1149,Clients!$A$5:$A$504,0)),"Walk-in"))</f>
        <v>0</v>
      </c>
      <c r="H1149" s="15">
        <f>IF(G1149="","",IFERROR(INDEX(Services!$B$5:$B$204,MATCH(G1149,Services!$A$5:$A$204,0)),"Not in Services"))</f>
        <v>0</v>
      </c>
      <c r="J1149" s="15">
        <f>IF(I1149="","",IFERROR(INDEX(Staff!$B$5:$B$44,MATCH(I1149,Staff!$A$5:$A$44,0)),"Unassigned"))</f>
        <v>0</v>
      </c>
      <c r="S1149" s="15">
        <f>IF(B1149="","",TEXT(B1149,"yyyy-mm"))</f>
        <v>0</v>
      </c>
      <c r="T1149" s="25">
        <f>IF(B1149="","",WEEKNUM(B1149,2))</f>
        <v>0</v>
      </c>
      <c r="U1149" s="25">
        <f>IF(B1149="","",IF(K1149&lt;&gt;"",K1149,IFERROR(INDEX(Services!$E$5:$E$204,MATCH(G1149,Services!$A$5:$A$204,0))*1,0)+IFERROR(INDEX(Services!$F$5:$F$204,MATCH(G1149,Services!$A$5:$A$204,0))*1,0)))</f>
        <v>0</v>
      </c>
      <c r="V1149" s="36">
        <f>IF(B1149="","",IF(D1149="","",D1149+U1149/1440))</f>
        <v>0</v>
      </c>
      <c r="W1149" s="25">
        <f>IF(B1149="","",IF(D1149="","",HOUR(D1149)))</f>
        <v>0</v>
      </c>
      <c r="X1149" s="37">
        <f>IF(B1149="","",ROUND(U1149/60,2))</f>
        <v>0</v>
      </c>
      <c r="Y1149" s="26">
        <f>IF(B1149="","",IF(L1149&lt;&gt;"",L1149,IFERROR(INDEX(Services!$G$5:$G$204,MATCH(G1149,Services!$A$5:$A$204,0))*1,0)))</f>
        <v>0</v>
      </c>
      <c r="Z1149" s="26">
        <f>IF(B1149="","",IF(O1149&lt;&gt;"",O1149,IF(Y1149&gt;=DepositThreshold,ROUND(Y1149*DepositPercent,2),0)))</f>
        <v>0</v>
      </c>
      <c r="AA1149" s="26">
        <f>IF(B1149="","",ROUND(SUMIFS(Payments!$G$5:$G$1204,Payments!$I$5:$I$1204,A1149,Payments!$E$5:$E$1204,"Deposit"),2))</f>
        <v>0</v>
      </c>
      <c r="AB1149" s="26">
        <f>IF(B1149="","",ROUND(SUMIFS(Sales!$Y$5:$Y$1204,Sales!$C$5:$C$1204,A1149),2))</f>
        <v>0</v>
      </c>
      <c r="AC1149" s="38">
        <f>IF(B1149="","",IF(M1149="Completed","Yes",IF(M1149="Cancelled","Yes",IF(M1149="No show","Yes","No"))))</f>
        <v>0</v>
      </c>
      <c r="AD1149" s="25">
        <f>IF(B1149="","",IF(AE1149="","",B1149-AE1149))</f>
        <v>0</v>
      </c>
      <c r="AF1149" s="38">
        <f>IF(B1149="","",IF(M1149&lt;&gt;"Completed","",IF(E1149="","No",IF(COUNTIFS(Appointments!$E$5:$E$1204,E1149,Appointments!$B$5:$B$1204,"&gt;"&amp;B1149,Appointments!$M$5:$M$1204,"&lt;&gt;Cancelled")&gt;0,"Yes","No"))))</f>
        <v>0</v>
      </c>
      <c r="AG1149" s="38">
        <f>IF(B1149="","",IF(I1149="","",IF(D1149="","",IF(COUNTIFS($I$5:$I$1204,I1149,$B$5:$B$1204,B1149,$D$5:$D$1204,"&lt;"&amp;V1149,$V$5:$V$1204,"&gt;"&amp;D1149,$M$5:$M$1204,"&lt;&gt;Cancelled")&gt;1,"Clash",""))))</f>
        <v>0</v>
      </c>
      <c r="AH1149" s="39">
        <f>IF(B1149="","",IF(AG1149="Clash","Clash - stylist double booked",IF(I1149="","Assign - no stylist yet",IF(G1149="","Add - no service chosen",IF(M1149="No show","No show - charge the fee?",IF(M1149="Cancelled","",IF(IF(M1149="Completed",AB1149&lt;Y1149-0.004,FALSE),"Unpaid - nothing rung up for this visit",IF(IF(B1149&lt;TodayDate,M1149="Booked",FALSE),"Overdue - past date, still only Booked",IF(IF(B1149=TodayDate,TRUE,FALSE),"Today",IF(IF(Z1149&gt;0,AA1149&lt;Z1149-0.004,FALSE),"Due - deposit not taken",IF(IF(B1149&gt;TodayDate,B1149&lt;=TodayDate+2,FALSE),"Confirm - coming up","OK")))))))))))</f>
        <v>0</v>
      </c>
    </row>
    <row r="1150" spans="1:34">
      <c r="A1150" s="28">
        <f>IF(B1150="","",AppointmentPrefix&amp;TEXT(ROW()-4,"0000"))</f>
        <v>0</v>
      </c>
      <c r="C1150" s="15">
        <f>IF(B1150="","",TEXT(B1150,"ddd"))</f>
        <v>0</v>
      </c>
      <c r="F1150" s="15">
        <f>IF(E1150="","",IFERROR(INDEX(Clients!$B$5:$B$504,MATCH(E1150,Clients!$A$5:$A$504,0)),"Walk-in"))</f>
        <v>0</v>
      </c>
      <c r="H1150" s="15">
        <f>IF(G1150="","",IFERROR(INDEX(Services!$B$5:$B$204,MATCH(G1150,Services!$A$5:$A$204,0)),"Not in Services"))</f>
        <v>0</v>
      </c>
      <c r="J1150" s="15">
        <f>IF(I1150="","",IFERROR(INDEX(Staff!$B$5:$B$44,MATCH(I1150,Staff!$A$5:$A$44,0)),"Unassigned"))</f>
        <v>0</v>
      </c>
      <c r="S1150" s="15">
        <f>IF(B1150="","",TEXT(B1150,"yyyy-mm"))</f>
        <v>0</v>
      </c>
      <c r="T1150" s="25">
        <f>IF(B1150="","",WEEKNUM(B1150,2))</f>
        <v>0</v>
      </c>
      <c r="U1150" s="25">
        <f>IF(B1150="","",IF(K1150&lt;&gt;"",K1150,IFERROR(INDEX(Services!$E$5:$E$204,MATCH(G1150,Services!$A$5:$A$204,0))*1,0)+IFERROR(INDEX(Services!$F$5:$F$204,MATCH(G1150,Services!$A$5:$A$204,0))*1,0)))</f>
        <v>0</v>
      </c>
      <c r="V1150" s="36">
        <f>IF(B1150="","",IF(D1150="","",D1150+U1150/1440))</f>
        <v>0</v>
      </c>
      <c r="W1150" s="25">
        <f>IF(B1150="","",IF(D1150="","",HOUR(D1150)))</f>
        <v>0</v>
      </c>
      <c r="X1150" s="37">
        <f>IF(B1150="","",ROUND(U1150/60,2))</f>
        <v>0</v>
      </c>
      <c r="Y1150" s="26">
        <f>IF(B1150="","",IF(L1150&lt;&gt;"",L1150,IFERROR(INDEX(Services!$G$5:$G$204,MATCH(G1150,Services!$A$5:$A$204,0))*1,0)))</f>
        <v>0</v>
      </c>
      <c r="Z1150" s="26">
        <f>IF(B1150="","",IF(O1150&lt;&gt;"",O1150,IF(Y1150&gt;=DepositThreshold,ROUND(Y1150*DepositPercent,2),0)))</f>
        <v>0</v>
      </c>
      <c r="AA1150" s="26">
        <f>IF(B1150="","",ROUND(SUMIFS(Payments!$G$5:$G$1204,Payments!$I$5:$I$1204,A1150,Payments!$E$5:$E$1204,"Deposit"),2))</f>
        <v>0</v>
      </c>
      <c r="AB1150" s="26">
        <f>IF(B1150="","",ROUND(SUMIFS(Sales!$Y$5:$Y$1204,Sales!$C$5:$C$1204,A1150),2))</f>
        <v>0</v>
      </c>
      <c r="AC1150" s="38">
        <f>IF(B1150="","",IF(M1150="Completed","Yes",IF(M1150="Cancelled","Yes",IF(M1150="No show","Yes","No"))))</f>
        <v>0</v>
      </c>
      <c r="AD1150" s="25">
        <f>IF(B1150="","",IF(AE1150="","",B1150-AE1150))</f>
        <v>0</v>
      </c>
      <c r="AF1150" s="38">
        <f>IF(B1150="","",IF(M1150&lt;&gt;"Completed","",IF(E1150="","No",IF(COUNTIFS(Appointments!$E$5:$E$1204,E1150,Appointments!$B$5:$B$1204,"&gt;"&amp;B1150,Appointments!$M$5:$M$1204,"&lt;&gt;Cancelled")&gt;0,"Yes","No"))))</f>
        <v>0</v>
      </c>
      <c r="AG1150" s="38">
        <f>IF(B1150="","",IF(I1150="","",IF(D1150="","",IF(COUNTIFS($I$5:$I$1204,I1150,$B$5:$B$1204,B1150,$D$5:$D$1204,"&lt;"&amp;V1150,$V$5:$V$1204,"&gt;"&amp;D1150,$M$5:$M$1204,"&lt;&gt;Cancelled")&gt;1,"Clash",""))))</f>
        <v>0</v>
      </c>
      <c r="AH1150" s="39">
        <f>IF(B1150="","",IF(AG1150="Clash","Clash - stylist double booked",IF(I1150="","Assign - no stylist yet",IF(G1150="","Add - no service chosen",IF(M1150="No show","No show - charge the fee?",IF(M1150="Cancelled","",IF(IF(M1150="Completed",AB1150&lt;Y1150-0.004,FALSE),"Unpaid - nothing rung up for this visit",IF(IF(B1150&lt;TodayDate,M1150="Booked",FALSE),"Overdue - past date, still only Booked",IF(IF(B1150=TodayDate,TRUE,FALSE),"Today",IF(IF(Z1150&gt;0,AA1150&lt;Z1150-0.004,FALSE),"Due - deposit not taken",IF(IF(B1150&gt;TodayDate,B1150&lt;=TodayDate+2,FALSE),"Confirm - coming up","OK")))))))))))</f>
        <v>0</v>
      </c>
    </row>
    <row r="1151" spans="1:34">
      <c r="A1151" s="28">
        <f>IF(B1151="","",AppointmentPrefix&amp;TEXT(ROW()-4,"0000"))</f>
        <v>0</v>
      </c>
      <c r="C1151" s="15">
        <f>IF(B1151="","",TEXT(B1151,"ddd"))</f>
        <v>0</v>
      </c>
      <c r="F1151" s="15">
        <f>IF(E1151="","",IFERROR(INDEX(Clients!$B$5:$B$504,MATCH(E1151,Clients!$A$5:$A$504,0)),"Walk-in"))</f>
        <v>0</v>
      </c>
      <c r="H1151" s="15">
        <f>IF(G1151="","",IFERROR(INDEX(Services!$B$5:$B$204,MATCH(G1151,Services!$A$5:$A$204,0)),"Not in Services"))</f>
        <v>0</v>
      </c>
      <c r="J1151" s="15">
        <f>IF(I1151="","",IFERROR(INDEX(Staff!$B$5:$B$44,MATCH(I1151,Staff!$A$5:$A$44,0)),"Unassigned"))</f>
        <v>0</v>
      </c>
      <c r="S1151" s="15">
        <f>IF(B1151="","",TEXT(B1151,"yyyy-mm"))</f>
        <v>0</v>
      </c>
      <c r="T1151" s="25">
        <f>IF(B1151="","",WEEKNUM(B1151,2))</f>
        <v>0</v>
      </c>
      <c r="U1151" s="25">
        <f>IF(B1151="","",IF(K1151&lt;&gt;"",K1151,IFERROR(INDEX(Services!$E$5:$E$204,MATCH(G1151,Services!$A$5:$A$204,0))*1,0)+IFERROR(INDEX(Services!$F$5:$F$204,MATCH(G1151,Services!$A$5:$A$204,0))*1,0)))</f>
        <v>0</v>
      </c>
      <c r="V1151" s="36">
        <f>IF(B1151="","",IF(D1151="","",D1151+U1151/1440))</f>
        <v>0</v>
      </c>
      <c r="W1151" s="25">
        <f>IF(B1151="","",IF(D1151="","",HOUR(D1151)))</f>
        <v>0</v>
      </c>
      <c r="X1151" s="37">
        <f>IF(B1151="","",ROUND(U1151/60,2))</f>
        <v>0</v>
      </c>
      <c r="Y1151" s="26">
        <f>IF(B1151="","",IF(L1151&lt;&gt;"",L1151,IFERROR(INDEX(Services!$G$5:$G$204,MATCH(G1151,Services!$A$5:$A$204,0))*1,0)))</f>
        <v>0</v>
      </c>
      <c r="Z1151" s="26">
        <f>IF(B1151="","",IF(O1151&lt;&gt;"",O1151,IF(Y1151&gt;=DepositThreshold,ROUND(Y1151*DepositPercent,2),0)))</f>
        <v>0</v>
      </c>
      <c r="AA1151" s="26">
        <f>IF(B1151="","",ROUND(SUMIFS(Payments!$G$5:$G$1204,Payments!$I$5:$I$1204,A1151,Payments!$E$5:$E$1204,"Deposit"),2))</f>
        <v>0</v>
      </c>
      <c r="AB1151" s="26">
        <f>IF(B1151="","",ROUND(SUMIFS(Sales!$Y$5:$Y$1204,Sales!$C$5:$C$1204,A1151),2))</f>
        <v>0</v>
      </c>
      <c r="AC1151" s="38">
        <f>IF(B1151="","",IF(M1151="Completed","Yes",IF(M1151="Cancelled","Yes",IF(M1151="No show","Yes","No"))))</f>
        <v>0</v>
      </c>
      <c r="AD1151" s="25">
        <f>IF(B1151="","",IF(AE1151="","",B1151-AE1151))</f>
        <v>0</v>
      </c>
      <c r="AF1151" s="38">
        <f>IF(B1151="","",IF(M1151&lt;&gt;"Completed","",IF(E1151="","No",IF(COUNTIFS(Appointments!$E$5:$E$1204,E1151,Appointments!$B$5:$B$1204,"&gt;"&amp;B1151,Appointments!$M$5:$M$1204,"&lt;&gt;Cancelled")&gt;0,"Yes","No"))))</f>
        <v>0</v>
      </c>
      <c r="AG1151" s="38">
        <f>IF(B1151="","",IF(I1151="","",IF(D1151="","",IF(COUNTIFS($I$5:$I$1204,I1151,$B$5:$B$1204,B1151,$D$5:$D$1204,"&lt;"&amp;V1151,$V$5:$V$1204,"&gt;"&amp;D1151,$M$5:$M$1204,"&lt;&gt;Cancelled")&gt;1,"Clash",""))))</f>
        <v>0</v>
      </c>
      <c r="AH1151" s="39">
        <f>IF(B1151="","",IF(AG1151="Clash","Clash - stylist double booked",IF(I1151="","Assign - no stylist yet",IF(G1151="","Add - no service chosen",IF(M1151="No show","No show - charge the fee?",IF(M1151="Cancelled","",IF(IF(M1151="Completed",AB1151&lt;Y1151-0.004,FALSE),"Unpaid - nothing rung up for this visit",IF(IF(B1151&lt;TodayDate,M1151="Booked",FALSE),"Overdue - past date, still only Booked",IF(IF(B1151=TodayDate,TRUE,FALSE),"Today",IF(IF(Z1151&gt;0,AA1151&lt;Z1151-0.004,FALSE),"Due - deposit not taken",IF(IF(B1151&gt;TodayDate,B1151&lt;=TodayDate+2,FALSE),"Confirm - coming up","OK")))))))))))</f>
        <v>0</v>
      </c>
    </row>
    <row r="1152" spans="1:34">
      <c r="A1152" s="28">
        <f>IF(B1152="","",AppointmentPrefix&amp;TEXT(ROW()-4,"0000"))</f>
        <v>0</v>
      </c>
      <c r="C1152" s="15">
        <f>IF(B1152="","",TEXT(B1152,"ddd"))</f>
        <v>0</v>
      </c>
      <c r="F1152" s="15">
        <f>IF(E1152="","",IFERROR(INDEX(Clients!$B$5:$B$504,MATCH(E1152,Clients!$A$5:$A$504,0)),"Walk-in"))</f>
        <v>0</v>
      </c>
      <c r="H1152" s="15">
        <f>IF(G1152="","",IFERROR(INDEX(Services!$B$5:$B$204,MATCH(G1152,Services!$A$5:$A$204,0)),"Not in Services"))</f>
        <v>0</v>
      </c>
      <c r="J1152" s="15">
        <f>IF(I1152="","",IFERROR(INDEX(Staff!$B$5:$B$44,MATCH(I1152,Staff!$A$5:$A$44,0)),"Unassigned"))</f>
        <v>0</v>
      </c>
      <c r="S1152" s="15">
        <f>IF(B1152="","",TEXT(B1152,"yyyy-mm"))</f>
        <v>0</v>
      </c>
      <c r="T1152" s="25">
        <f>IF(B1152="","",WEEKNUM(B1152,2))</f>
        <v>0</v>
      </c>
      <c r="U1152" s="25">
        <f>IF(B1152="","",IF(K1152&lt;&gt;"",K1152,IFERROR(INDEX(Services!$E$5:$E$204,MATCH(G1152,Services!$A$5:$A$204,0))*1,0)+IFERROR(INDEX(Services!$F$5:$F$204,MATCH(G1152,Services!$A$5:$A$204,0))*1,0)))</f>
        <v>0</v>
      </c>
      <c r="V1152" s="36">
        <f>IF(B1152="","",IF(D1152="","",D1152+U1152/1440))</f>
        <v>0</v>
      </c>
      <c r="W1152" s="25">
        <f>IF(B1152="","",IF(D1152="","",HOUR(D1152)))</f>
        <v>0</v>
      </c>
      <c r="X1152" s="37">
        <f>IF(B1152="","",ROUND(U1152/60,2))</f>
        <v>0</v>
      </c>
      <c r="Y1152" s="26">
        <f>IF(B1152="","",IF(L1152&lt;&gt;"",L1152,IFERROR(INDEX(Services!$G$5:$G$204,MATCH(G1152,Services!$A$5:$A$204,0))*1,0)))</f>
        <v>0</v>
      </c>
      <c r="Z1152" s="26">
        <f>IF(B1152="","",IF(O1152&lt;&gt;"",O1152,IF(Y1152&gt;=DepositThreshold,ROUND(Y1152*DepositPercent,2),0)))</f>
        <v>0</v>
      </c>
      <c r="AA1152" s="26">
        <f>IF(B1152="","",ROUND(SUMIFS(Payments!$G$5:$G$1204,Payments!$I$5:$I$1204,A1152,Payments!$E$5:$E$1204,"Deposit"),2))</f>
        <v>0</v>
      </c>
      <c r="AB1152" s="26">
        <f>IF(B1152="","",ROUND(SUMIFS(Sales!$Y$5:$Y$1204,Sales!$C$5:$C$1204,A1152),2))</f>
        <v>0</v>
      </c>
      <c r="AC1152" s="38">
        <f>IF(B1152="","",IF(M1152="Completed","Yes",IF(M1152="Cancelled","Yes",IF(M1152="No show","Yes","No"))))</f>
        <v>0</v>
      </c>
      <c r="AD1152" s="25">
        <f>IF(B1152="","",IF(AE1152="","",B1152-AE1152))</f>
        <v>0</v>
      </c>
      <c r="AF1152" s="38">
        <f>IF(B1152="","",IF(M1152&lt;&gt;"Completed","",IF(E1152="","No",IF(COUNTIFS(Appointments!$E$5:$E$1204,E1152,Appointments!$B$5:$B$1204,"&gt;"&amp;B1152,Appointments!$M$5:$M$1204,"&lt;&gt;Cancelled")&gt;0,"Yes","No"))))</f>
        <v>0</v>
      </c>
      <c r="AG1152" s="38">
        <f>IF(B1152="","",IF(I1152="","",IF(D1152="","",IF(COUNTIFS($I$5:$I$1204,I1152,$B$5:$B$1204,B1152,$D$5:$D$1204,"&lt;"&amp;V1152,$V$5:$V$1204,"&gt;"&amp;D1152,$M$5:$M$1204,"&lt;&gt;Cancelled")&gt;1,"Clash",""))))</f>
        <v>0</v>
      </c>
      <c r="AH1152" s="39">
        <f>IF(B1152="","",IF(AG1152="Clash","Clash - stylist double booked",IF(I1152="","Assign - no stylist yet",IF(G1152="","Add - no service chosen",IF(M1152="No show","No show - charge the fee?",IF(M1152="Cancelled","",IF(IF(M1152="Completed",AB1152&lt;Y1152-0.004,FALSE),"Unpaid - nothing rung up for this visit",IF(IF(B1152&lt;TodayDate,M1152="Booked",FALSE),"Overdue - past date, still only Booked",IF(IF(B1152=TodayDate,TRUE,FALSE),"Today",IF(IF(Z1152&gt;0,AA1152&lt;Z1152-0.004,FALSE),"Due - deposit not taken",IF(IF(B1152&gt;TodayDate,B1152&lt;=TodayDate+2,FALSE),"Confirm - coming up","OK")))))))))))</f>
        <v>0</v>
      </c>
    </row>
    <row r="1153" spans="1:34">
      <c r="A1153" s="28">
        <f>IF(B1153="","",AppointmentPrefix&amp;TEXT(ROW()-4,"0000"))</f>
        <v>0</v>
      </c>
      <c r="C1153" s="15">
        <f>IF(B1153="","",TEXT(B1153,"ddd"))</f>
        <v>0</v>
      </c>
      <c r="F1153" s="15">
        <f>IF(E1153="","",IFERROR(INDEX(Clients!$B$5:$B$504,MATCH(E1153,Clients!$A$5:$A$504,0)),"Walk-in"))</f>
        <v>0</v>
      </c>
      <c r="H1153" s="15">
        <f>IF(G1153="","",IFERROR(INDEX(Services!$B$5:$B$204,MATCH(G1153,Services!$A$5:$A$204,0)),"Not in Services"))</f>
        <v>0</v>
      </c>
      <c r="J1153" s="15">
        <f>IF(I1153="","",IFERROR(INDEX(Staff!$B$5:$B$44,MATCH(I1153,Staff!$A$5:$A$44,0)),"Unassigned"))</f>
        <v>0</v>
      </c>
      <c r="S1153" s="15">
        <f>IF(B1153="","",TEXT(B1153,"yyyy-mm"))</f>
        <v>0</v>
      </c>
      <c r="T1153" s="25">
        <f>IF(B1153="","",WEEKNUM(B1153,2))</f>
        <v>0</v>
      </c>
      <c r="U1153" s="25">
        <f>IF(B1153="","",IF(K1153&lt;&gt;"",K1153,IFERROR(INDEX(Services!$E$5:$E$204,MATCH(G1153,Services!$A$5:$A$204,0))*1,0)+IFERROR(INDEX(Services!$F$5:$F$204,MATCH(G1153,Services!$A$5:$A$204,0))*1,0)))</f>
        <v>0</v>
      </c>
      <c r="V1153" s="36">
        <f>IF(B1153="","",IF(D1153="","",D1153+U1153/1440))</f>
        <v>0</v>
      </c>
      <c r="W1153" s="25">
        <f>IF(B1153="","",IF(D1153="","",HOUR(D1153)))</f>
        <v>0</v>
      </c>
      <c r="X1153" s="37">
        <f>IF(B1153="","",ROUND(U1153/60,2))</f>
        <v>0</v>
      </c>
      <c r="Y1153" s="26">
        <f>IF(B1153="","",IF(L1153&lt;&gt;"",L1153,IFERROR(INDEX(Services!$G$5:$G$204,MATCH(G1153,Services!$A$5:$A$204,0))*1,0)))</f>
        <v>0</v>
      </c>
      <c r="Z1153" s="26">
        <f>IF(B1153="","",IF(O1153&lt;&gt;"",O1153,IF(Y1153&gt;=DepositThreshold,ROUND(Y1153*DepositPercent,2),0)))</f>
        <v>0</v>
      </c>
      <c r="AA1153" s="26">
        <f>IF(B1153="","",ROUND(SUMIFS(Payments!$G$5:$G$1204,Payments!$I$5:$I$1204,A1153,Payments!$E$5:$E$1204,"Deposit"),2))</f>
        <v>0</v>
      </c>
      <c r="AB1153" s="26">
        <f>IF(B1153="","",ROUND(SUMIFS(Sales!$Y$5:$Y$1204,Sales!$C$5:$C$1204,A1153),2))</f>
        <v>0</v>
      </c>
      <c r="AC1153" s="38">
        <f>IF(B1153="","",IF(M1153="Completed","Yes",IF(M1153="Cancelled","Yes",IF(M1153="No show","Yes","No"))))</f>
        <v>0</v>
      </c>
      <c r="AD1153" s="25">
        <f>IF(B1153="","",IF(AE1153="","",B1153-AE1153))</f>
        <v>0</v>
      </c>
      <c r="AF1153" s="38">
        <f>IF(B1153="","",IF(M1153&lt;&gt;"Completed","",IF(E1153="","No",IF(COUNTIFS(Appointments!$E$5:$E$1204,E1153,Appointments!$B$5:$B$1204,"&gt;"&amp;B1153,Appointments!$M$5:$M$1204,"&lt;&gt;Cancelled")&gt;0,"Yes","No"))))</f>
        <v>0</v>
      </c>
      <c r="AG1153" s="38">
        <f>IF(B1153="","",IF(I1153="","",IF(D1153="","",IF(COUNTIFS($I$5:$I$1204,I1153,$B$5:$B$1204,B1153,$D$5:$D$1204,"&lt;"&amp;V1153,$V$5:$V$1204,"&gt;"&amp;D1153,$M$5:$M$1204,"&lt;&gt;Cancelled")&gt;1,"Clash",""))))</f>
        <v>0</v>
      </c>
      <c r="AH1153" s="39">
        <f>IF(B1153="","",IF(AG1153="Clash","Clash - stylist double booked",IF(I1153="","Assign - no stylist yet",IF(G1153="","Add - no service chosen",IF(M1153="No show","No show - charge the fee?",IF(M1153="Cancelled","",IF(IF(M1153="Completed",AB1153&lt;Y1153-0.004,FALSE),"Unpaid - nothing rung up for this visit",IF(IF(B1153&lt;TodayDate,M1153="Booked",FALSE),"Overdue - past date, still only Booked",IF(IF(B1153=TodayDate,TRUE,FALSE),"Today",IF(IF(Z1153&gt;0,AA1153&lt;Z1153-0.004,FALSE),"Due - deposit not taken",IF(IF(B1153&gt;TodayDate,B1153&lt;=TodayDate+2,FALSE),"Confirm - coming up","OK")))))))))))</f>
        <v>0</v>
      </c>
    </row>
    <row r="1154" spans="1:34">
      <c r="A1154" s="28">
        <f>IF(B1154="","",AppointmentPrefix&amp;TEXT(ROW()-4,"0000"))</f>
        <v>0</v>
      </c>
      <c r="C1154" s="15">
        <f>IF(B1154="","",TEXT(B1154,"ddd"))</f>
        <v>0</v>
      </c>
      <c r="F1154" s="15">
        <f>IF(E1154="","",IFERROR(INDEX(Clients!$B$5:$B$504,MATCH(E1154,Clients!$A$5:$A$504,0)),"Walk-in"))</f>
        <v>0</v>
      </c>
      <c r="H1154" s="15">
        <f>IF(G1154="","",IFERROR(INDEX(Services!$B$5:$B$204,MATCH(G1154,Services!$A$5:$A$204,0)),"Not in Services"))</f>
        <v>0</v>
      </c>
      <c r="J1154" s="15">
        <f>IF(I1154="","",IFERROR(INDEX(Staff!$B$5:$B$44,MATCH(I1154,Staff!$A$5:$A$44,0)),"Unassigned"))</f>
        <v>0</v>
      </c>
      <c r="S1154" s="15">
        <f>IF(B1154="","",TEXT(B1154,"yyyy-mm"))</f>
        <v>0</v>
      </c>
      <c r="T1154" s="25">
        <f>IF(B1154="","",WEEKNUM(B1154,2))</f>
        <v>0</v>
      </c>
      <c r="U1154" s="25">
        <f>IF(B1154="","",IF(K1154&lt;&gt;"",K1154,IFERROR(INDEX(Services!$E$5:$E$204,MATCH(G1154,Services!$A$5:$A$204,0))*1,0)+IFERROR(INDEX(Services!$F$5:$F$204,MATCH(G1154,Services!$A$5:$A$204,0))*1,0)))</f>
        <v>0</v>
      </c>
      <c r="V1154" s="36">
        <f>IF(B1154="","",IF(D1154="","",D1154+U1154/1440))</f>
        <v>0</v>
      </c>
      <c r="W1154" s="25">
        <f>IF(B1154="","",IF(D1154="","",HOUR(D1154)))</f>
        <v>0</v>
      </c>
      <c r="X1154" s="37">
        <f>IF(B1154="","",ROUND(U1154/60,2))</f>
        <v>0</v>
      </c>
      <c r="Y1154" s="26">
        <f>IF(B1154="","",IF(L1154&lt;&gt;"",L1154,IFERROR(INDEX(Services!$G$5:$G$204,MATCH(G1154,Services!$A$5:$A$204,0))*1,0)))</f>
        <v>0</v>
      </c>
      <c r="Z1154" s="26">
        <f>IF(B1154="","",IF(O1154&lt;&gt;"",O1154,IF(Y1154&gt;=DepositThreshold,ROUND(Y1154*DepositPercent,2),0)))</f>
        <v>0</v>
      </c>
      <c r="AA1154" s="26">
        <f>IF(B1154="","",ROUND(SUMIFS(Payments!$G$5:$G$1204,Payments!$I$5:$I$1204,A1154,Payments!$E$5:$E$1204,"Deposit"),2))</f>
        <v>0</v>
      </c>
      <c r="AB1154" s="26">
        <f>IF(B1154="","",ROUND(SUMIFS(Sales!$Y$5:$Y$1204,Sales!$C$5:$C$1204,A1154),2))</f>
        <v>0</v>
      </c>
      <c r="AC1154" s="38">
        <f>IF(B1154="","",IF(M1154="Completed","Yes",IF(M1154="Cancelled","Yes",IF(M1154="No show","Yes","No"))))</f>
        <v>0</v>
      </c>
      <c r="AD1154" s="25">
        <f>IF(B1154="","",IF(AE1154="","",B1154-AE1154))</f>
        <v>0</v>
      </c>
      <c r="AF1154" s="38">
        <f>IF(B1154="","",IF(M1154&lt;&gt;"Completed","",IF(E1154="","No",IF(COUNTIFS(Appointments!$E$5:$E$1204,E1154,Appointments!$B$5:$B$1204,"&gt;"&amp;B1154,Appointments!$M$5:$M$1204,"&lt;&gt;Cancelled")&gt;0,"Yes","No"))))</f>
        <v>0</v>
      </c>
      <c r="AG1154" s="38">
        <f>IF(B1154="","",IF(I1154="","",IF(D1154="","",IF(COUNTIFS($I$5:$I$1204,I1154,$B$5:$B$1204,B1154,$D$5:$D$1204,"&lt;"&amp;V1154,$V$5:$V$1204,"&gt;"&amp;D1154,$M$5:$M$1204,"&lt;&gt;Cancelled")&gt;1,"Clash",""))))</f>
        <v>0</v>
      </c>
      <c r="AH1154" s="39">
        <f>IF(B1154="","",IF(AG1154="Clash","Clash - stylist double booked",IF(I1154="","Assign - no stylist yet",IF(G1154="","Add - no service chosen",IF(M1154="No show","No show - charge the fee?",IF(M1154="Cancelled","",IF(IF(M1154="Completed",AB1154&lt;Y1154-0.004,FALSE),"Unpaid - nothing rung up for this visit",IF(IF(B1154&lt;TodayDate,M1154="Booked",FALSE),"Overdue - past date, still only Booked",IF(IF(B1154=TodayDate,TRUE,FALSE),"Today",IF(IF(Z1154&gt;0,AA1154&lt;Z1154-0.004,FALSE),"Due - deposit not taken",IF(IF(B1154&gt;TodayDate,B1154&lt;=TodayDate+2,FALSE),"Confirm - coming up","OK")))))))))))</f>
        <v>0</v>
      </c>
    </row>
    <row r="1155" spans="1:34">
      <c r="A1155" s="28">
        <f>IF(B1155="","",AppointmentPrefix&amp;TEXT(ROW()-4,"0000"))</f>
        <v>0</v>
      </c>
      <c r="C1155" s="15">
        <f>IF(B1155="","",TEXT(B1155,"ddd"))</f>
        <v>0</v>
      </c>
      <c r="F1155" s="15">
        <f>IF(E1155="","",IFERROR(INDEX(Clients!$B$5:$B$504,MATCH(E1155,Clients!$A$5:$A$504,0)),"Walk-in"))</f>
        <v>0</v>
      </c>
      <c r="H1155" s="15">
        <f>IF(G1155="","",IFERROR(INDEX(Services!$B$5:$B$204,MATCH(G1155,Services!$A$5:$A$204,0)),"Not in Services"))</f>
        <v>0</v>
      </c>
      <c r="J1155" s="15">
        <f>IF(I1155="","",IFERROR(INDEX(Staff!$B$5:$B$44,MATCH(I1155,Staff!$A$5:$A$44,0)),"Unassigned"))</f>
        <v>0</v>
      </c>
      <c r="S1155" s="15">
        <f>IF(B1155="","",TEXT(B1155,"yyyy-mm"))</f>
        <v>0</v>
      </c>
      <c r="T1155" s="25">
        <f>IF(B1155="","",WEEKNUM(B1155,2))</f>
        <v>0</v>
      </c>
      <c r="U1155" s="25">
        <f>IF(B1155="","",IF(K1155&lt;&gt;"",K1155,IFERROR(INDEX(Services!$E$5:$E$204,MATCH(G1155,Services!$A$5:$A$204,0))*1,0)+IFERROR(INDEX(Services!$F$5:$F$204,MATCH(G1155,Services!$A$5:$A$204,0))*1,0)))</f>
        <v>0</v>
      </c>
      <c r="V1155" s="36">
        <f>IF(B1155="","",IF(D1155="","",D1155+U1155/1440))</f>
        <v>0</v>
      </c>
      <c r="W1155" s="25">
        <f>IF(B1155="","",IF(D1155="","",HOUR(D1155)))</f>
        <v>0</v>
      </c>
      <c r="X1155" s="37">
        <f>IF(B1155="","",ROUND(U1155/60,2))</f>
        <v>0</v>
      </c>
      <c r="Y1155" s="26">
        <f>IF(B1155="","",IF(L1155&lt;&gt;"",L1155,IFERROR(INDEX(Services!$G$5:$G$204,MATCH(G1155,Services!$A$5:$A$204,0))*1,0)))</f>
        <v>0</v>
      </c>
      <c r="Z1155" s="26">
        <f>IF(B1155="","",IF(O1155&lt;&gt;"",O1155,IF(Y1155&gt;=DepositThreshold,ROUND(Y1155*DepositPercent,2),0)))</f>
        <v>0</v>
      </c>
      <c r="AA1155" s="26">
        <f>IF(B1155="","",ROUND(SUMIFS(Payments!$G$5:$G$1204,Payments!$I$5:$I$1204,A1155,Payments!$E$5:$E$1204,"Deposit"),2))</f>
        <v>0</v>
      </c>
      <c r="AB1155" s="26">
        <f>IF(B1155="","",ROUND(SUMIFS(Sales!$Y$5:$Y$1204,Sales!$C$5:$C$1204,A1155),2))</f>
        <v>0</v>
      </c>
      <c r="AC1155" s="38">
        <f>IF(B1155="","",IF(M1155="Completed","Yes",IF(M1155="Cancelled","Yes",IF(M1155="No show","Yes","No"))))</f>
        <v>0</v>
      </c>
      <c r="AD1155" s="25">
        <f>IF(B1155="","",IF(AE1155="","",B1155-AE1155))</f>
        <v>0</v>
      </c>
      <c r="AF1155" s="38">
        <f>IF(B1155="","",IF(M1155&lt;&gt;"Completed","",IF(E1155="","No",IF(COUNTIFS(Appointments!$E$5:$E$1204,E1155,Appointments!$B$5:$B$1204,"&gt;"&amp;B1155,Appointments!$M$5:$M$1204,"&lt;&gt;Cancelled")&gt;0,"Yes","No"))))</f>
        <v>0</v>
      </c>
      <c r="AG1155" s="38">
        <f>IF(B1155="","",IF(I1155="","",IF(D1155="","",IF(COUNTIFS($I$5:$I$1204,I1155,$B$5:$B$1204,B1155,$D$5:$D$1204,"&lt;"&amp;V1155,$V$5:$V$1204,"&gt;"&amp;D1155,$M$5:$M$1204,"&lt;&gt;Cancelled")&gt;1,"Clash",""))))</f>
        <v>0</v>
      </c>
      <c r="AH1155" s="39">
        <f>IF(B1155="","",IF(AG1155="Clash","Clash - stylist double booked",IF(I1155="","Assign - no stylist yet",IF(G1155="","Add - no service chosen",IF(M1155="No show","No show - charge the fee?",IF(M1155="Cancelled","",IF(IF(M1155="Completed",AB1155&lt;Y1155-0.004,FALSE),"Unpaid - nothing rung up for this visit",IF(IF(B1155&lt;TodayDate,M1155="Booked",FALSE),"Overdue - past date, still only Booked",IF(IF(B1155=TodayDate,TRUE,FALSE),"Today",IF(IF(Z1155&gt;0,AA1155&lt;Z1155-0.004,FALSE),"Due - deposit not taken",IF(IF(B1155&gt;TodayDate,B1155&lt;=TodayDate+2,FALSE),"Confirm - coming up","OK")))))))))))</f>
        <v>0</v>
      </c>
    </row>
    <row r="1156" spans="1:34">
      <c r="A1156" s="28">
        <f>IF(B1156="","",AppointmentPrefix&amp;TEXT(ROW()-4,"0000"))</f>
        <v>0</v>
      </c>
      <c r="C1156" s="15">
        <f>IF(B1156="","",TEXT(B1156,"ddd"))</f>
        <v>0</v>
      </c>
      <c r="F1156" s="15">
        <f>IF(E1156="","",IFERROR(INDEX(Clients!$B$5:$B$504,MATCH(E1156,Clients!$A$5:$A$504,0)),"Walk-in"))</f>
        <v>0</v>
      </c>
      <c r="H1156" s="15">
        <f>IF(G1156="","",IFERROR(INDEX(Services!$B$5:$B$204,MATCH(G1156,Services!$A$5:$A$204,0)),"Not in Services"))</f>
        <v>0</v>
      </c>
      <c r="J1156" s="15">
        <f>IF(I1156="","",IFERROR(INDEX(Staff!$B$5:$B$44,MATCH(I1156,Staff!$A$5:$A$44,0)),"Unassigned"))</f>
        <v>0</v>
      </c>
      <c r="S1156" s="15">
        <f>IF(B1156="","",TEXT(B1156,"yyyy-mm"))</f>
        <v>0</v>
      </c>
      <c r="T1156" s="25">
        <f>IF(B1156="","",WEEKNUM(B1156,2))</f>
        <v>0</v>
      </c>
      <c r="U1156" s="25">
        <f>IF(B1156="","",IF(K1156&lt;&gt;"",K1156,IFERROR(INDEX(Services!$E$5:$E$204,MATCH(G1156,Services!$A$5:$A$204,0))*1,0)+IFERROR(INDEX(Services!$F$5:$F$204,MATCH(G1156,Services!$A$5:$A$204,0))*1,0)))</f>
        <v>0</v>
      </c>
      <c r="V1156" s="36">
        <f>IF(B1156="","",IF(D1156="","",D1156+U1156/1440))</f>
        <v>0</v>
      </c>
      <c r="W1156" s="25">
        <f>IF(B1156="","",IF(D1156="","",HOUR(D1156)))</f>
        <v>0</v>
      </c>
      <c r="X1156" s="37">
        <f>IF(B1156="","",ROUND(U1156/60,2))</f>
        <v>0</v>
      </c>
      <c r="Y1156" s="26">
        <f>IF(B1156="","",IF(L1156&lt;&gt;"",L1156,IFERROR(INDEX(Services!$G$5:$G$204,MATCH(G1156,Services!$A$5:$A$204,0))*1,0)))</f>
        <v>0</v>
      </c>
      <c r="Z1156" s="26">
        <f>IF(B1156="","",IF(O1156&lt;&gt;"",O1156,IF(Y1156&gt;=DepositThreshold,ROUND(Y1156*DepositPercent,2),0)))</f>
        <v>0</v>
      </c>
      <c r="AA1156" s="26">
        <f>IF(B1156="","",ROUND(SUMIFS(Payments!$G$5:$G$1204,Payments!$I$5:$I$1204,A1156,Payments!$E$5:$E$1204,"Deposit"),2))</f>
        <v>0</v>
      </c>
      <c r="AB1156" s="26">
        <f>IF(B1156="","",ROUND(SUMIFS(Sales!$Y$5:$Y$1204,Sales!$C$5:$C$1204,A1156),2))</f>
        <v>0</v>
      </c>
      <c r="AC1156" s="38">
        <f>IF(B1156="","",IF(M1156="Completed","Yes",IF(M1156="Cancelled","Yes",IF(M1156="No show","Yes","No"))))</f>
        <v>0</v>
      </c>
      <c r="AD1156" s="25">
        <f>IF(B1156="","",IF(AE1156="","",B1156-AE1156))</f>
        <v>0</v>
      </c>
      <c r="AF1156" s="38">
        <f>IF(B1156="","",IF(M1156&lt;&gt;"Completed","",IF(E1156="","No",IF(COUNTIFS(Appointments!$E$5:$E$1204,E1156,Appointments!$B$5:$B$1204,"&gt;"&amp;B1156,Appointments!$M$5:$M$1204,"&lt;&gt;Cancelled")&gt;0,"Yes","No"))))</f>
        <v>0</v>
      </c>
      <c r="AG1156" s="38">
        <f>IF(B1156="","",IF(I1156="","",IF(D1156="","",IF(COUNTIFS($I$5:$I$1204,I1156,$B$5:$B$1204,B1156,$D$5:$D$1204,"&lt;"&amp;V1156,$V$5:$V$1204,"&gt;"&amp;D1156,$M$5:$M$1204,"&lt;&gt;Cancelled")&gt;1,"Clash",""))))</f>
        <v>0</v>
      </c>
      <c r="AH1156" s="39">
        <f>IF(B1156="","",IF(AG1156="Clash","Clash - stylist double booked",IF(I1156="","Assign - no stylist yet",IF(G1156="","Add - no service chosen",IF(M1156="No show","No show - charge the fee?",IF(M1156="Cancelled","",IF(IF(M1156="Completed",AB1156&lt;Y1156-0.004,FALSE),"Unpaid - nothing rung up for this visit",IF(IF(B1156&lt;TodayDate,M1156="Booked",FALSE),"Overdue - past date, still only Booked",IF(IF(B1156=TodayDate,TRUE,FALSE),"Today",IF(IF(Z1156&gt;0,AA1156&lt;Z1156-0.004,FALSE),"Due - deposit not taken",IF(IF(B1156&gt;TodayDate,B1156&lt;=TodayDate+2,FALSE),"Confirm - coming up","OK")))))))))))</f>
        <v>0</v>
      </c>
    </row>
    <row r="1157" spans="1:34">
      <c r="A1157" s="28">
        <f>IF(B1157="","",AppointmentPrefix&amp;TEXT(ROW()-4,"0000"))</f>
        <v>0</v>
      </c>
      <c r="C1157" s="15">
        <f>IF(B1157="","",TEXT(B1157,"ddd"))</f>
        <v>0</v>
      </c>
      <c r="F1157" s="15">
        <f>IF(E1157="","",IFERROR(INDEX(Clients!$B$5:$B$504,MATCH(E1157,Clients!$A$5:$A$504,0)),"Walk-in"))</f>
        <v>0</v>
      </c>
      <c r="H1157" s="15">
        <f>IF(G1157="","",IFERROR(INDEX(Services!$B$5:$B$204,MATCH(G1157,Services!$A$5:$A$204,0)),"Not in Services"))</f>
        <v>0</v>
      </c>
      <c r="J1157" s="15">
        <f>IF(I1157="","",IFERROR(INDEX(Staff!$B$5:$B$44,MATCH(I1157,Staff!$A$5:$A$44,0)),"Unassigned"))</f>
        <v>0</v>
      </c>
      <c r="S1157" s="15">
        <f>IF(B1157="","",TEXT(B1157,"yyyy-mm"))</f>
        <v>0</v>
      </c>
      <c r="T1157" s="25">
        <f>IF(B1157="","",WEEKNUM(B1157,2))</f>
        <v>0</v>
      </c>
      <c r="U1157" s="25">
        <f>IF(B1157="","",IF(K1157&lt;&gt;"",K1157,IFERROR(INDEX(Services!$E$5:$E$204,MATCH(G1157,Services!$A$5:$A$204,0))*1,0)+IFERROR(INDEX(Services!$F$5:$F$204,MATCH(G1157,Services!$A$5:$A$204,0))*1,0)))</f>
        <v>0</v>
      </c>
      <c r="V1157" s="36">
        <f>IF(B1157="","",IF(D1157="","",D1157+U1157/1440))</f>
        <v>0</v>
      </c>
      <c r="W1157" s="25">
        <f>IF(B1157="","",IF(D1157="","",HOUR(D1157)))</f>
        <v>0</v>
      </c>
      <c r="X1157" s="37">
        <f>IF(B1157="","",ROUND(U1157/60,2))</f>
        <v>0</v>
      </c>
      <c r="Y1157" s="26">
        <f>IF(B1157="","",IF(L1157&lt;&gt;"",L1157,IFERROR(INDEX(Services!$G$5:$G$204,MATCH(G1157,Services!$A$5:$A$204,0))*1,0)))</f>
        <v>0</v>
      </c>
      <c r="Z1157" s="26">
        <f>IF(B1157="","",IF(O1157&lt;&gt;"",O1157,IF(Y1157&gt;=DepositThreshold,ROUND(Y1157*DepositPercent,2),0)))</f>
        <v>0</v>
      </c>
      <c r="AA1157" s="26">
        <f>IF(B1157="","",ROUND(SUMIFS(Payments!$G$5:$G$1204,Payments!$I$5:$I$1204,A1157,Payments!$E$5:$E$1204,"Deposit"),2))</f>
        <v>0</v>
      </c>
      <c r="AB1157" s="26">
        <f>IF(B1157="","",ROUND(SUMIFS(Sales!$Y$5:$Y$1204,Sales!$C$5:$C$1204,A1157),2))</f>
        <v>0</v>
      </c>
      <c r="AC1157" s="38">
        <f>IF(B1157="","",IF(M1157="Completed","Yes",IF(M1157="Cancelled","Yes",IF(M1157="No show","Yes","No"))))</f>
        <v>0</v>
      </c>
      <c r="AD1157" s="25">
        <f>IF(B1157="","",IF(AE1157="","",B1157-AE1157))</f>
        <v>0</v>
      </c>
      <c r="AF1157" s="38">
        <f>IF(B1157="","",IF(M1157&lt;&gt;"Completed","",IF(E1157="","No",IF(COUNTIFS(Appointments!$E$5:$E$1204,E1157,Appointments!$B$5:$B$1204,"&gt;"&amp;B1157,Appointments!$M$5:$M$1204,"&lt;&gt;Cancelled")&gt;0,"Yes","No"))))</f>
        <v>0</v>
      </c>
      <c r="AG1157" s="38">
        <f>IF(B1157="","",IF(I1157="","",IF(D1157="","",IF(COUNTIFS($I$5:$I$1204,I1157,$B$5:$B$1204,B1157,$D$5:$D$1204,"&lt;"&amp;V1157,$V$5:$V$1204,"&gt;"&amp;D1157,$M$5:$M$1204,"&lt;&gt;Cancelled")&gt;1,"Clash",""))))</f>
        <v>0</v>
      </c>
      <c r="AH1157" s="39">
        <f>IF(B1157="","",IF(AG1157="Clash","Clash - stylist double booked",IF(I1157="","Assign - no stylist yet",IF(G1157="","Add - no service chosen",IF(M1157="No show","No show - charge the fee?",IF(M1157="Cancelled","",IF(IF(M1157="Completed",AB1157&lt;Y1157-0.004,FALSE),"Unpaid - nothing rung up for this visit",IF(IF(B1157&lt;TodayDate,M1157="Booked",FALSE),"Overdue - past date, still only Booked",IF(IF(B1157=TodayDate,TRUE,FALSE),"Today",IF(IF(Z1157&gt;0,AA1157&lt;Z1157-0.004,FALSE),"Due - deposit not taken",IF(IF(B1157&gt;TodayDate,B1157&lt;=TodayDate+2,FALSE),"Confirm - coming up","OK")))))))))))</f>
        <v>0</v>
      </c>
    </row>
    <row r="1158" spans="1:34">
      <c r="A1158" s="28">
        <f>IF(B1158="","",AppointmentPrefix&amp;TEXT(ROW()-4,"0000"))</f>
        <v>0</v>
      </c>
      <c r="C1158" s="15">
        <f>IF(B1158="","",TEXT(B1158,"ddd"))</f>
        <v>0</v>
      </c>
      <c r="F1158" s="15">
        <f>IF(E1158="","",IFERROR(INDEX(Clients!$B$5:$B$504,MATCH(E1158,Clients!$A$5:$A$504,0)),"Walk-in"))</f>
        <v>0</v>
      </c>
      <c r="H1158" s="15">
        <f>IF(G1158="","",IFERROR(INDEX(Services!$B$5:$B$204,MATCH(G1158,Services!$A$5:$A$204,0)),"Not in Services"))</f>
        <v>0</v>
      </c>
      <c r="J1158" s="15">
        <f>IF(I1158="","",IFERROR(INDEX(Staff!$B$5:$B$44,MATCH(I1158,Staff!$A$5:$A$44,0)),"Unassigned"))</f>
        <v>0</v>
      </c>
      <c r="S1158" s="15">
        <f>IF(B1158="","",TEXT(B1158,"yyyy-mm"))</f>
        <v>0</v>
      </c>
      <c r="T1158" s="25">
        <f>IF(B1158="","",WEEKNUM(B1158,2))</f>
        <v>0</v>
      </c>
      <c r="U1158" s="25">
        <f>IF(B1158="","",IF(K1158&lt;&gt;"",K1158,IFERROR(INDEX(Services!$E$5:$E$204,MATCH(G1158,Services!$A$5:$A$204,0))*1,0)+IFERROR(INDEX(Services!$F$5:$F$204,MATCH(G1158,Services!$A$5:$A$204,0))*1,0)))</f>
        <v>0</v>
      </c>
      <c r="V1158" s="36">
        <f>IF(B1158="","",IF(D1158="","",D1158+U1158/1440))</f>
        <v>0</v>
      </c>
      <c r="W1158" s="25">
        <f>IF(B1158="","",IF(D1158="","",HOUR(D1158)))</f>
        <v>0</v>
      </c>
      <c r="X1158" s="37">
        <f>IF(B1158="","",ROUND(U1158/60,2))</f>
        <v>0</v>
      </c>
      <c r="Y1158" s="26">
        <f>IF(B1158="","",IF(L1158&lt;&gt;"",L1158,IFERROR(INDEX(Services!$G$5:$G$204,MATCH(G1158,Services!$A$5:$A$204,0))*1,0)))</f>
        <v>0</v>
      </c>
      <c r="Z1158" s="26">
        <f>IF(B1158="","",IF(O1158&lt;&gt;"",O1158,IF(Y1158&gt;=DepositThreshold,ROUND(Y1158*DepositPercent,2),0)))</f>
        <v>0</v>
      </c>
      <c r="AA1158" s="26">
        <f>IF(B1158="","",ROUND(SUMIFS(Payments!$G$5:$G$1204,Payments!$I$5:$I$1204,A1158,Payments!$E$5:$E$1204,"Deposit"),2))</f>
        <v>0</v>
      </c>
      <c r="AB1158" s="26">
        <f>IF(B1158="","",ROUND(SUMIFS(Sales!$Y$5:$Y$1204,Sales!$C$5:$C$1204,A1158),2))</f>
        <v>0</v>
      </c>
      <c r="AC1158" s="38">
        <f>IF(B1158="","",IF(M1158="Completed","Yes",IF(M1158="Cancelled","Yes",IF(M1158="No show","Yes","No"))))</f>
        <v>0</v>
      </c>
      <c r="AD1158" s="25">
        <f>IF(B1158="","",IF(AE1158="","",B1158-AE1158))</f>
        <v>0</v>
      </c>
      <c r="AF1158" s="38">
        <f>IF(B1158="","",IF(M1158&lt;&gt;"Completed","",IF(E1158="","No",IF(COUNTIFS(Appointments!$E$5:$E$1204,E1158,Appointments!$B$5:$B$1204,"&gt;"&amp;B1158,Appointments!$M$5:$M$1204,"&lt;&gt;Cancelled")&gt;0,"Yes","No"))))</f>
        <v>0</v>
      </c>
      <c r="AG1158" s="38">
        <f>IF(B1158="","",IF(I1158="","",IF(D1158="","",IF(COUNTIFS($I$5:$I$1204,I1158,$B$5:$B$1204,B1158,$D$5:$D$1204,"&lt;"&amp;V1158,$V$5:$V$1204,"&gt;"&amp;D1158,$M$5:$M$1204,"&lt;&gt;Cancelled")&gt;1,"Clash",""))))</f>
        <v>0</v>
      </c>
      <c r="AH1158" s="39">
        <f>IF(B1158="","",IF(AG1158="Clash","Clash - stylist double booked",IF(I1158="","Assign - no stylist yet",IF(G1158="","Add - no service chosen",IF(M1158="No show","No show - charge the fee?",IF(M1158="Cancelled","",IF(IF(M1158="Completed",AB1158&lt;Y1158-0.004,FALSE),"Unpaid - nothing rung up for this visit",IF(IF(B1158&lt;TodayDate,M1158="Booked",FALSE),"Overdue - past date, still only Booked",IF(IF(B1158=TodayDate,TRUE,FALSE),"Today",IF(IF(Z1158&gt;0,AA1158&lt;Z1158-0.004,FALSE),"Due - deposit not taken",IF(IF(B1158&gt;TodayDate,B1158&lt;=TodayDate+2,FALSE),"Confirm - coming up","OK")))))))))))</f>
        <v>0</v>
      </c>
    </row>
    <row r="1159" spans="1:34">
      <c r="A1159" s="28">
        <f>IF(B1159="","",AppointmentPrefix&amp;TEXT(ROW()-4,"0000"))</f>
        <v>0</v>
      </c>
      <c r="C1159" s="15">
        <f>IF(B1159="","",TEXT(B1159,"ddd"))</f>
        <v>0</v>
      </c>
      <c r="F1159" s="15">
        <f>IF(E1159="","",IFERROR(INDEX(Clients!$B$5:$B$504,MATCH(E1159,Clients!$A$5:$A$504,0)),"Walk-in"))</f>
        <v>0</v>
      </c>
      <c r="H1159" s="15">
        <f>IF(G1159="","",IFERROR(INDEX(Services!$B$5:$B$204,MATCH(G1159,Services!$A$5:$A$204,0)),"Not in Services"))</f>
        <v>0</v>
      </c>
      <c r="J1159" s="15">
        <f>IF(I1159="","",IFERROR(INDEX(Staff!$B$5:$B$44,MATCH(I1159,Staff!$A$5:$A$44,0)),"Unassigned"))</f>
        <v>0</v>
      </c>
      <c r="S1159" s="15">
        <f>IF(B1159="","",TEXT(B1159,"yyyy-mm"))</f>
        <v>0</v>
      </c>
      <c r="T1159" s="25">
        <f>IF(B1159="","",WEEKNUM(B1159,2))</f>
        <v>0</v>
      </c>
      <c r="U1159" s="25">
        <f>IF(B1159="","",IF(K1159&lt;&gt;"",K1159,IFERROR(INDEX(Services!$E$5:$E$204,MATCH(G1159,Services!$A$5:$A$204,0))*1,0)+IFERROR(INDEX(Services!$F$5:$F$204,MATCH(G1159,Services!$A$5:$A$204,0))*1,0)))</f>
        <v>0</v>
      </c>
      <c r="V1159" s="36">
        <f>IF(B1159="","",IF(D1159="","",D1159+U1159/1440))</f>
        <v>0</v>
      </c>
      <c r="W1159" s="25">
        <f>IF(B1159="","",IF(D1159="","",HOUR(D1159)))</f>
        <v>0</v>
      </c>
      <c r="X1159" s="37">
        <f>IF(B1159="","",ROUND(U1159/60,2))</f>
        <v>0</v>
      </c>
      <c r="Y1159" s="26">
        <f>IF(B1159="","",IF(L1159&lt;&gt;"",L1159,IFERROR(INDEX(Services!$G$5:$G$204,MATCH(G1159,Services!$A$5:$A$204,0))*1,0)))</f>
        <v>0</v>
      </c>
      <c r="Z1159" s="26">
        <f>IF(B1159="","",IF(O1159&lt;&gt;"",O1159,IF(Y1159&gt;=DepositThreshold,ROUND(Y1159*DepositPercent,2),0)))</f>
        <v>0</v>
      </c>
      <c r="AA1159" s="26">
        <f>IF(B1159="","",ROUND(SUMIFS(Payments!$G$5:$G$1204,Payments!$I$5:$I$1204,A1159,Payments!$E$5:$E$1204,"Deposit"),2))</f>
        <v>0</v>
      </c>
      <c r="AB1159" s="26">
        <f>IF(B1159="","",ROUND(SUMIFS(Sales!$Y$5:$Y$1204,Sales!$C$5:$C$1204,A1159),2))</f>
        <v>0</v>
      </c>
      <c r="AC1159" s="38">
        <f>IF(B1159="","",IF(M1159="Completed","Yes",IF(M1159="Cancelled","Yes",IF(M1159="No show","Yes","No"))))</f>
        <v>0</v>
      </c>
      <c r="AD1159" s="25">
        <f>IF(B1159="","",IF(AE1159="","",B1159-AE1159))</f>
        <v>0</v>
      </c>
      <c r="AF1159" s="38">
        <f>IF(B1159="","",IF(M1159&lt;&gt;"Completed","",IF(E1159="","No",IF(COUNTIFS(Appointments!$E$5:$E$1204,E1159,Appointments!$B$5:$B$1204,"&gt;"&amp;B1159,Appointments!$M$5:$M$1204,"&lt;&gt;Cancelled")&gt;0,"Yes","No"))))</f>
        <v>0</v>
      </c>
      <c r="AG1159" s="38">
        <f>IF(B1159="","",IF(I1159="","",IF(D1159="","",IF(COUNTIFS($I$5:$I$1204,I1159,$B$5:$B$1204,B1159,$D$5:$D$1204,"&lt;"&amp;V1159,$V$5:$V$1204,"&gt;"&amp;D1159,$M$5:$M$1204,"&lt;&gt;Cancelled")&gt;1,"Clash",""))))</f>
        <v>0</v>
      </c>
      <c r="AH1159" s="39">
        <f>IF(B1159="","",IF(AG1159="Clash","Clash - stylist double booked",IF(I1159="","Assign - no stylist yet",IF(G1159="","Add - no service chosen",IF(M1159="No show","No show - charge the fee?",IF(M1159="Cancelled","",IF(IF(M1159="Completed",AB1159&lt;Y1159-0.004,FALSE),"Unpaid - nothing rung up for this visit",IF(IF(B1159&lt;TodayDate,M1159="Booked",FALSE),"Overdue - past date, still only Booked",IF(IF(B1159=TodayDate,TRUE,FALSE),"Today",IF(IF(Z1159&gt;0,AA1159&lt;Z1159-0.004,FALSE),"Due - deposit not taken",IF(IF(B1159&gt;TodayDate,B1159&lt;=TodayDate+2,FALSE),"Confirm - coming up","OK")))))))))))</f>
        <v>0</v>
      </c>
    </row>
    <row r="1160" spans="1:34">
      <c r="A1160" s="28">
        <f>IF(B1160="","",AppointmentPrefix&amp;TEXT(ROW()-4,"0000"))</f>
        <v>0</v>
      </c>
      <c r="C1160" s="15">
        <f>IF(B1160="","",TEXT(B1160,"ddd"))</f>
        <v>0</v>
      </c>
      <c r="F1160" s="15">
        <f>IF(E1160="","",IFERROR(INDEX(Clients!$B$5:$B$504,MATCH(E1160,Clients!$A$5:$A$504,0)),"Walk-in"))</f>
        <v>0</v>
      </c>
      <c r="H1160" s="15">
        <f>IF(G1160="","",IFERROR(INDEX(Services!$B$5:$B$204,MATCH(G1160,Services!$A$5:$A$204,0)),"Not in Services"))</f>
        <v>0</v>
      </c>
      <c r="J1160" s="15">
        <f>IF(I1160="","",IFERROR(INDEX(Staff!$B$5:$B$44,MATCH(I1160,Staff!$A$5:$A$44,0)),"Unassigned"))</f>
        <v>0</v>
      </c>
      <c r="S1160" s="15">
        <f>IF(B1160="","",TEXT(B1160,"yyyy-mm"))</f>
        <v>0</v>
      </c>
      <c r="T1160" s="25">
        <f>IF(B1160="","",WEEKNUM(B1160,2))</f>
        <v>0</v>
      </c>
      <c r="U1160" s="25">
        <f>IF(B1160="","",IF(K1160&lt;&gt;"",K1160,IFERROR(INDEX(Services!$E$5:$E$204,MATCH(G1160,Services!$A$5:$A$204,0))*1,0)+IFERROR(INDEX(Services!$F$5:$F$204,MATCH(G1160,Services!$A$5:$A$204,0))*1,0)))</f>
        <v>0</v>
      </c>
      <c r="V1160" s="36">
        <f>IF(B1160="","",IF(D1160="","",D1160+U1160/1440))</f>
        <v>0</v>
      </c>
      <c r="W1160" s="25">
        <f>IF(B1160="","",IF(D1160="","",HOUR(D1160)))</f>
        <v>0</v>
      </c>
      <c r="X1160" s="37">
        <f>IF(B1160="","",ROUND(U1160/60,2))</f>
        <v>0</v>
      </c>
      <c r="Y1160" s="26">
        <f>IF(B1160="","",IF(L1160&lt;&gt;"",L1160,IFERROR(INDEX(Services!$G$5:$G$204,MATCH(G1160,Services!$A$5:$A$204,0))*1,0)))</f>
        <v>0</v>
      </c>
      <c r="Z1160" s="26">
        <f>IF(B1160="","",IF(O1160&lt;&gt;"",O1160,IF(Y1160&gt;=DepositThreshold,ROUND(Y1160*DepositPercent,2),0)))</f>
        <v>0</v>
      </c>
      <c r="AA1160" s="26">
        <f>IF(B1160="","",ROUND(SUMIFS(Payments!$G$5:$G$1204,Payments!$I$5:$I$1204,A1160,Payments!$E$5:$E$1204,"Deposit"),2))</f>
        <v>0</v>
      </c>
      <c r="AB1160" s="26">
        <f>IF(B1160="","",ROUND(SUMIFS(Sales!$Y$5:$Y$1204,Sales!$C$5:$C$1204,A1160),2))</f>
        <v>0</v>
      </c>
      <c r="AC1160" s="38">
        <f>IF(B1160="","",IF(M1160="Completed","Yes",IF(M1160="Cancelled","Yes",IF(M1160="No show","Yes","No"))))</f>
        <v>0</v>
      </c>
      <c r="AD1160" s="25">
        <f>IF(B1160="","",IF(AE1160="","",B1160-AE1160))</f>
        <v>0</v>
      </c>
      <c r="AF1160" s="38">
        <f>IF(B1160="","",IF(M1160&lt;&gt;"Completed","",IF(E1160="","No",IF(COUNTIFS(Appointments!$E$5:$E$1204,E1160,Appointments!$B$5:$B$1204,"&gt;"&amp;B1160,Appointments!$M$5:$M$1204,"&lt;&gt;Cancelled")&gt;0,"Yes","No"))))</f>
        <v>0</v>
      </c>
      <c r="AG1160" s="38">
        <f>IF(B1160="","",IF(I1160="","",IF(D1160="","",IF(COUNTIFS($I$5:$I$1204,I1160,$B$5:$B$1204,B1160,$D$5:$D$1204,"&lt;"&amp;V1160,$V$5:$V$1204,"&gt;"&amp;D1160,$M$5:$M$1204,"&lt;&gt;Cancelled")&gt;1,"Clash",""))))</f>
        <v>0</v>
      </c>
      <c r="AH1160" s="39">
        <f>IF(B1160="","",IF(AG1160="Clash","Clash - stylist double booked",IF(I1160="","Assign - no stylist yet",IF(G1160="","Add - no service chosen",IF(M1160="No show","No show - charge the fee?",IF(M1160="Cancelled","",IF(IF(M1160="Completed",AB1160&lt;Y1160-0.004,FALSE),"Unpaid - nothing rung up for this visit",IF(IF(B1160&lt;TodayDate,M1160="Booked",FALSE),"Overdue - past date, still only Booked",IF(IF(B1160=TodayDate,TRUE,FALSE),"Today",IF(IF(Z1160&gt;0,AA1160&lt;Z1160-0.004,FALSE),"Due - deposit not taken",IF(IF(B1160&gt;TodayDate,B1160&lt;=TodayDate+2,FALSE),"Confirm - coming up","OK")))))))))))</f>
        <v>0</v>
      </c>
    </row>
    <row r="1161" spans="1:34">
      <c r="A1161" s="28">
        <f>IF(B1161="","",AppointmentPrefix&amp;TEXT(ROW()-4,"0000"))</f>
        <v>0</v>
      </c>
      <c r="C1161" s="15">
        <f>IF(B1161="","",TEXT(B1161,"ddd"))</f>
        <v>0</v>
      </c>
      <c r="F1161" s="15">
        <f>IF(E1161="","",IFERROR(INDEX(Clients!$B$5:$B$504,MATCH(E1161,Clients!$A$5:$A$504,0)),"Walk-in"))</f>
        <v>0</v>
      </c>
      <c r="H1161" s="15">
        <f>IF(G1161="","",IFERROR(INDEX(Services!$B$5:$B$204,MATCH(G1161,Services!$A$5:$A$204,0)),"Not in Services"))</f>
        <v>0</v>
      </c>
      <c r="J1161" s="15">
        <f>IF(I1161="","",IFERROR(INDEX(Staff!$B$5:$B$44,MATCH(I1161,Staff!$A$5:$A$44,0)),"Unassigned"))</f>
        <v>0</v>
      </c>
      <c r="S1161" s="15">
        <f>IF(B1161="","",TEXT(B1161,"yyyy-mm"))</f>
        <v>0</v>
      </c>
      <c r="T1161" s="25">
        <f>IF(B1161="","",WEEKNUM(B1161,2))</f>
        <v>0</v>
      </c>
      <c r="U1161" s="25">
        <f>IF(B1161="","",IF(K1161&lt;&gt;"",K1161,IFERROR(INDEX(Services!$E$5:$E$204,MATCH(G1161,Services!$A$5:$A$204,0))*1,0)+IFERROR(INDEX(Services!$F$5:$F$204,MATCH(G1161,Services!$A$5:$A$204,0))*1,0)))</f>
        <v>0</v>
      </c>
      <c r="V1161" s="36">
        <f>IF(B1161="","",IF(D1161="","",D1161+U1161/1440))</f>
        <v>0</v>
      </c>
      <c r="W1161" s="25">
        <f>IF(B1161="","",IF(D1161="","",HOUR(D1161)))</f>
        <v>0</v>
      </c>
      <c r="X1161" s="37">
        <f>IF(B1161="","",ROUND(U1161/60,2))</f>
        <v>0</v>
      </c>
      <c r="Y1161" s="26">
        <f>IF(B1161="","",IF(L1161&lt;&gt;"",L1161,IFERROR(INDEX(Services!$G$5:$G$204,MATCH(G1161,Services!$A$5:$A$204,0))*1,0)))</f>
        <v>0</v>
      </c>
      <c r="Z1161" s="26">
        <f>IF(B1161="","",IF(O1161&lt;&gt;"",O1161,IF(Y1161&gt;=DepositThreshold,ROUND(Y1161*DepositPercent,2),0)))</f>
        <v>0</v>
      </c>
      <c r="AA1161" s="26">
        <f>IF(B1161="","",ROUND(SUMIFS(Payments!$G$5:$G$1204,Payments!$I$5:$I$1204,A1161,Payments!$E$5:$E$1204,"Deposit"),2))</f>
        <v>0</v>
      </c>
      <c r="AB1161" s="26">
        <f>IF(B1161="","",ROUND(SUMIFS(Sales!$Y$5:$Y$1204,Sales!$C$5:$C$1204,A1161),2))</f>
        <v>0</v>
      </c>
      <c r="AC1161" s="38">
        <f>IF(B1161="","",IF(M1161="Completed","Yes",IF(M1161="Cancelled","Yes",IF(M1161="No show","Yes","No"))))</f>
        <v>0</v>
      </c>
      <c r="AD1161" s="25">
        <f>IF(B1161="","",IF(AE1161="","",B1161-AE1161))</f>
        <v>0</v>
      </c>
      <c r="AF1161" s="38">
        <f>IF(B1161="","",IF(M1161&lt;&gt;"Completed","",IF(E1161="","No",IF(COUNTIFS(Appointments!$E$5:$E$1204,E1161,Appointments!$B$5:$B$1204,"&gt;"&amp;B1161,Appointments!$M$5:$M$1204,"&lt;&gt;Cancelled")&gt;0,"Yes","No"))))</f>
        <v>0</v>
      </c>
      <c r="AG1161" s="38">
        <f>IF(B1161="","",IF(I1161="","",IF(D1161="","",IF(COUNTIFS($I$5:$I$1204,I1161,$B$5:$B$1204,B1161,$D$5:$D$1204,"&lt;"&amp;V1161,$V$5:$V$1204,"&gt;"&amp;D1161,$M$5:$M$1204,"&lt;&gt;Cancelled")&gt;1,"Clash",""))))</f>
        <v>0</v>
      </c>
      <c r="AH1161" s="39">
        <f>IF(B1161="","",IF(AG1161="Clash","Clash - stylist double booked",IF(I1161="","Assign - no stylist yet",IF(G1161="","Add - no service chosen",IF(M1161="No show","No show - charge the fee?",IF(M1161="Cancelled","",IF(IF(M1161="Completed",AB1161&lt;Y1161-0.004,FALSE),"Unpaid - nothing rung up for this visit",IF(IF(B1161&lt;TodayDate,M1161="Booked",FALSE),"Overdue - past date, still only Booked",IF(IF(B1161=TodayDate,TRUE,FALSE),"Today",IF(IF(Z1161&gt;0,AA1161&lt;Z1161-0.004,FALSE),"Due - deposit not taken",IF(IF(B1161&gt;TodayDate,B1161&lt;=TodayDate+2,FALSE),"Confirm - coming up","OK")))))))))))</f>
        <v>0</v>
      </c>
    </row>
    <row r="1162" spans="1:34">
      <c r="A1162" s="28">
        <f>IF(B1162="","",AppointmentPrefix&amp;TEXT(ROW()-4,"0000"))</f>
        <v>0</v>
      </c>
      <c r="C1162" s="15">
        <f>IF(B1162="","",TEXT(B1162,"ddd"))</f>
        <v>0</v>
      </c>
      <c r="F1162" s="15">
        <f>IF(E1162="","",IFERROR(INDEX(Clients!$B$5:$B$504,MATCH(E1162,Clients!$A$5:$A$504,0)),"Walk-in"))</f>
        <v>0</v>
      </c>
      <c r="H1162" s="15">
        <f>IF(G1162="","",IFERROR(INDEX(Services!$B$5:$B$204,MATCH(G1162,Services!$A$5:$A$204,0)),"Not in Services"))</f>
        <v>0</v>
      </c>
      <c r="J1162" s="15">
        <f>IF(I1162="","",IFERROR(INDEX(Staff!$B$5:$B$44,MATCH(I1162,Staff!$A$5:$A$44,0)),"Unassigned"))</f>
        <v>0</v>
      </c>
      <c r="S1162" s="15">
        <f>IF(B1162="","",TEXT(B1162,"yyyy-mm"))</f>
        <v>0</v>
      </c>
      <c r="T1162" s="25">
        <f>IF(B1162="","",WEEKNUM(B1162,2))</f>
        <v>0</v>
      </c>
      <c r="U1162" s="25">
        <f>IF(B1162="","",IF(K1162&lt;&gt;"",K1162,IFERROR(INDEX(Services!$E$5:$E$204,MATCH(G1162,Services!$A$5:$A$204,0))*1,0)+IFERROR(INDEX(Services!$F$5:$F$204,MATCH(G1162,Services!$A$5:$A$204,0))*1,0)))</f>
        <v>0</v>
      </c>
      <c r="V1162" s="36">
        <f>IF(B1162="","",IF(D1162="","",D1162+U1162/1440))</f>
        <v>0</v>
      </c>
      <c r="W1162" s="25">
        <f>IF(B1162="","",IF(D1162="","",HOUR(D1162)))</f>
        <v>0</v>
      </c>
      <c r="X1162" s="37">
        <f>IF(B1162="","",ROUND(U1162/60,2))</f>
        <v>0</v>
      </c>
      <c r="Y1162" s="26">
        <f>IF(B1162="","",IF(L1162&lt;&gt;"",L1162,IFERROR(INDEX(Services!$G$5:$G$204,MATCH(G1162,Services!$A$5:$A$204,0))*1,0)))</f>
        <v>0</v>
      </c>
      <c r="Z1162" s="26">
        <f>IF(B1162="","",IF(O1162&lt;&gt;"",O1162,IF(Y1162&gt;=DepositThreshold,ROUND(Y1162*DepositPercent,2),0)))</f>
        <v>0</v>
      </c>
      <c r="AA1162" s="26">
        <f>IF(B1162="","",ROUND(SUMIFS(Payments!$G$5:$G$1204,Payments!$I$5:$I$1204,A1162,Payments!$E$5:$E$1204,"Deposit"),2))</f>
        <v>0</v>
      </c>
      <c r="AB1162" s="26">
        <f>IF(B1162="","",ROUND(SUMIFS(Sales!$Y$5:$Y$1204,Sales!$C$5:$C$1204,A1162),2))</f>
        <v>0</v>
      </c>
      <c r="AC1162" s="38">
        <f>IF(B1162="","",IF(M1162="Completed","Yes",IF(M1162="Cancelled","Yes",IF(M1162="No show","Yes","No"))))</f>
        <v>0</v>
      </c>
      <c r="AD1162" s="25">
        <f>IF(B1162="","",IF(AE1162="","",B1162-AE1162))</f>
        <v>0</v>
      </c>
      <c r="AF1162" s="38">
        <f>IF(B1162="","",IF(M1162&lt;&gt;"Completed","",IF(E1162="","No",IF(COUNTIFS(Appointments!$E$5:$E$1204,E1162,Appointments!$B$5:$B$1204,"&gt;"&amp;B1162,Appointments!$M$5:$M$1204,"&lt;&gt;Cancelled")&gt;0,"Yes","No"))))</f>
        <v>0</v>
      </c>
      <c r="AG1162" s="38">
        <f>IF(B1162="","",IF(I1162="","",IF(D1162="","",IF(COUNTIFS($I$5:$I$1204,I1162,$B$5:$B$1204,B1162,$D$5:$D$1204,"&lt;"&amp;V1162,$V$5:$V$1204,"&gt;"&amp;D1162,$M$5:$M$1204,"&lt;&gt;Cancelled")&gt;1,"Clash",""))))</f>
        <v>0</v>
      </c>
      <c r="AH1162" s="39">
        <f>IF(B1162="","",IF(AG1162="Clash","Clash - stylist double booked",IF(I1162="","Assign - no stylist yet",IF(G1162="","Add - no service chosen",IF(M1162="No show","No show - charge the fee?",IF(M1162="Cancelled","",IF(IF(M1162="Completed",AB1162&lt;Y1162-0.004,FALSE),"Unpaid - nothing rung up for this visit",IF(IF(B1162&lt;TodayDate,M1162="Booked",FALSE),"Overdue - past date, still only Booked",IF(IF(B1162=TodayDate,TRUE,FALSE),"Today",IF(IF(Z1162&gt;0,AA1162&lt;Z1162-0.004,FALSE),"Due - deposit not taken",IF(IF(B1162&gt;TodayDate,B1162&lt;=TodayDate+2,FALSE),"Confirm - coming up","OK")))))))))))</f>
        <v>0</v>
      </c>
    </row>
    <row r="1163" spans="1:34">
      <c r="A1163" s="28">
        <f>IF(B1163="","",AppointmentPrefix&amp;TEXT(ROW()-4,"0000"))</f>
        <v>0</v>
      </c>
      <c r="C1163" s="15">
        <f>IF(B1163="","",TEXT(B1163,"ddd"))</f>
        <v>0</v>
      </c>
      <c r="F1163" s="15">
        <f>IF(E1163="","",IFERROR(INDEX(Clients!$B$5:$B$504,MATCH(E1163,Clients!$A$5:$A$504,0)),"Walk-in"))</f>
        <v>0</v>
      </c>
      <c r="H1163" s="15">
        <f>IF(G1163="","",IFERROR(INDEX(Services!$B$5:$B$204,MATCH(G1163,Services!$A$5:$A$204,0)),"Not in Services"))</f>
        <v>0</v>
      </c>
      <c r="J1163" s="15">
        <f>IF(I1163="","",IFERROR(INDEX(Staff!$B$5:$B$44,MATCH(I1163,Staff!$A$5:$A$44,0)),"Unassigned"))</f>
        <v>0</v>
      </c>
      <c r="S1163" s="15">
        <f>IF(B1163="","",TEXT(B1163,"yyyy-mm"))</f>
        <v>0</v>
      </c>
      <c r="T1163" s="25">
        <f>IF(B1163="","",WEEKNUM(B1163,2))</f>
        <v>0</v>
      </c>
      <c r="U1163" s="25">
        <f>IF(B1163="","",IF(K1163&lt;&gt;"",K1163,IFERROR(INDEX(Services!$E$5:$E$204,MATCH(G1163,Services!$A$5:$A$204,0))*1,0)+IFERROR(INDEX(Services!$F$5:$F$204,MATCH(G1163,Services!$A$5:$A$204,0))*1,0)))</f>
        <v>0</v>
      </c>
      <c r="V1163" s="36">
        <f>IF(B1163="","",IF(D1163="","",D1163+U1163/1440))</f>
        <v>0</v>
      </c>
      <c r="W1163" s="25">
        <f>IF(B1163="","",IF(D1163="","",HOUR(D1163)))</f>
        <v>0</v>
      </c>
      <c r="X1163" s="37">
        <f>IF(B1163="","",ROUND(U1163/60,2))</f>
        <v>0</v>
      </c>
      <c r="Y1163" s="26">
        <f>IF(B1163="","",IF(L1163&lt;&gt;"",L1163,IFERROR(INDEX(Services!$G$5:$G$204,MATCH(G1163,Services!$A$5:$A$204,0))*1,0)))</f>
        <v>0</v>
      </c>
      <c r="Z1163" s="26">
        <f>IF(B1163="","",IF(O1163&lt;&gt;"",O1163,IF(Y1163&gt;=DepositThreshold,ROUND(Y1163*DepositPercent,2),0)))</f>
        <v>0</v>
      </c>
      <c r="AA1163" s="26">
        <f>IF(B1163="","",ROUND(SUMIFS(Payments!$G$5:$G$1204,Payments!$I$5:$I$1204,A1163,Payments!$E$5:$E$1204,"Deposit"),2))</f>
        <v>0</v>
      </c>
      <c r="AB1163" s="26">
        <f>IF(B1163="","",ROUND(SUMIFS(Sales!$Y$5:$Y$1204,Sales!$C$5:$C$1204,A1163),2))</f>
        <v>0</v>
      </c>
      <c r="AC1163" s="38">
        <f>IF(B1163="","",IF(M1163="Completed","Yes",IF(M1163="Cancelled","Yes",IF(M1163="No show","Yes","No"))))</f>
        <v>0</v>
      </c>
      <c r="AD1163" s="25">
        <f>IF(B1163="","",IF(AE1163="","",B1163-AE1163))</f>
        <v>0</v>
      </c>
      <c r="AF1163" s="38">
        <f>IF(B1163="","",IF(M1163&lt;&gt;"Completed","",IF(E1163="","No",IF(COUNTIFS(Appointments!$E$5:$E$1204,E1163,Appointments!$B$5:$B$1204,"&gt;"&amp;B1163,Appointments!$M$5:$M$1204,"&lt;&gt;Cancelled")&gt;0,"Yes","No"))))</f>
        <v>0</v>
      </c>
      <c r="AG1163" s="38">
        <f>IF(B1163="","",IF(I1163="","",IF(D1163="","",IF(COUNTIFS($I$5:$I$1204,I1163,$B$5:$B$1204,B1163,$D$5:$D$1204,"&lt;"&amp;V1163,$V$5:$V$1204,"&gt;"&amp;D1163,$M$5:$M$1204,"&lt;&gt;Cancelled")&gt;1,"Clash",""))))</f>
        <v>0</v>
      </c>
      <c r="AH1163" s="39">
        <f>IF(B1163="","",IF(AG1163="Clash","Clash - stylist double booked",IF(I1163="","Assign - no stylist yet",IF(G1163="","Add - no service chosen",IF(M1163="No show","No show - charge the fee?",IF(M1163="Cancelled","",IF(IF(M1163="Completed",AB1163&lt;Y1163-0.004,FALSE),"Unpaid - nothing rung up for this visit",IF(IF(B1163&lt;TodayDate,M1163="Booked",FALSE),"Overdue - past date, still only Booked",IF(IF(B1163=TodayDate,TRUE,FALSE),"Today",IF(IF(Z1163&gt;0,AA1163&lt;Z1163-0.004,FALSE),"Due - deposit not taken",IF(IF(B1163&gt;TodayDate,B1163&lt;=TodayDate+2,FALSE),"Confirm - coming up","OK")))))))))))</f>
        <v>0</v>
      </c>
    </row>
    <row r="1164" spans="1:34">
      <c r="A1164" s="28">
        <f>IF(B1164="","",AppointmentPrefix&amp;TEXT(ROW()-4,"0000"))</f>
        <v>0</v>
      </c>
      <c r="C1164" s="15">
        <f>IF(B1164="","",TEXT(B1164,"ddd"))</f>
        <v>0</v>
      </c>
      <c r="F1164" s="15">
        <f>IF(E1164="","",IFERROR(INDEX(Clients!$B$5:$B$504,MATCH(E1164,Clients!$A$5:$A$504,0)),"Walk-in"))</f>
        <v>0</v>
      </c>
      <c r="H1164" s="15">
        <f>IF(G1164="","",IFERROR(INDEX(Services!$B$5:$B$204,MATCH(G1164,Services!$A$5:$A$204,0)),"Not in Services"))</f>
        <v>0</v>
      </c>
      <c r="J1164" s="15">
        <f>IF(I1164="","",IFERROR(INDEX(Staff!$B$5:$B$44,MATCH(I1164,Staff!$A$5:$A$44,0)),"Unassigned"))</f>
        <v>0</v>
      </c>
      <c r="S1164" s="15">
        <f>IF(B1164="","",TEXT(B1164,"yyyy-mm"))</f>
        <v>0</v>
      </c>
      <c r="T1164" s="25">
        <f>IF(B1164="","",WEEKNUM(B1164,2))</f>
        <v>0</v>
      </c>
      <c r="U1164" s="25">
        <f>IF(B1164="","",IF(K1164&lt;&gt;"",K1164,IFERROR(INDEX(Services!$E$5:$E$204,MATCH(G1164,Services!$A$5:$A$204,0))*1,0)+IFERROR(INDEX(Services!$F$5:$F$204,MATCH(G1164,Services!$A$5:$A$204,0))*1,0)))</f>
        <v>0</v>
      </c>
      <c r="V1164" s="36">
        <f>IF(B1164="","",IF(D1164="","",D1164+U1164/1440))</f>
        <v>0</v>
      </c>
      <c r="W1164" s="25">
        <f>IF(B1164="","",IF(D1164="","",HOUR(D1164)))</f>
        <v>0</v>
      </c>
      <c r="X1164" s="37">
        <f>IF(B1164="","",ROUND(U1164/60,2))</f>
        <v>0</v>
      </c>
      <c r="Y1164" s="26">
        <f>IF(B1164="","",IF(L1164&lt;&gt;"",L1164,IFERROR(INDEX(Services!$G$5:$G$204,MATCH(G1164,Services!$A$5:$A$204,0))*1,0)))</f>
        <v>0</v>
      </c>
      <c r="Z1164" s="26">
        <f>IF(B1164="","",IF(O1164&lt;&gt;"",O1164,IF(Y1164&gt;=DepositThreshold,ROUND(Y1164*DepositPercent,2),0)))</f>
        <v>0</v>
      </c>
      <c r="AA1164" s="26">
        <f>IF(B1164="","",ROUND(SUMIFS(Payments!$G$5:$G$1204,Payments!$I$5:$I$1204,A1164,Payments!$E$5:$E$1204,"Deposit"),2))</f>
        <v>0</v>
      </c>
      <c r="AB1164" s="26">
        <f>IF(B1164="","",ROUND(SUMIFS(Sales!$Y$5:$Y$1204,Sales!$C$5:$C$1204,A1164),2))</f>
        <v>0</v>
      </c>
      <c r="AC1164" s="38">
        <f>IF(B1164="","",IF(M1164="Completed","Yes",IF(M1164="Cancelled","Yes",IF(M1164="No show","Yes","No"))))</f>
        <v>0</v>
      </c>
      <c r="AD1164" s="25">
        <f>IF(B1164="","",IF(AE1164="","",B1164-AE1164))</f>
        <v>0</v>
      </c>
      <c r="AF1164" s="38">
        <f>IF(B1164="","",IF(M1164&lt;&gt;"Completed","",IF(E1164="","No",IF(COUNTIFS(Appointments!$E$5:$E$1204,E1164,Appointments!$B$5:$B$1204,"&gt;"&amp;B1164,Appointments!$M$5:$M$1204,"&lt;&gt;Cancelled")&gt;0,"Yes","No"))))</f>
        <v>0</v>
      </c>
      <c r="AG1164" s="38">
        <f>IF(B1164="","",IF(I1164="","",IF(D1164="","",IF(COUNTIFS($I$5:$I$1204,I1164,$B$5:$B$1204,B1164,$D$5:$D$1204,"&lt;"&amp;V1164,$V$5:$V$1204,"&gt;"&amp;D1164,$M$5:$M$1204,"&lt;&gt;Cancelled")&gt;1,"Clash",""))))</f>
        <v>0</v>
      </c>
      <c r="AH1164" s="39">
        <f>IF(B1164="","",IF(AG1164="Clash","Clash - stylist double booked",IF(I1164="","Assign - no stylist yet",IF(G1164="","Add - no service chosen",IF(M1164="No show","No show - charge the fee?",IF(M1164="Cancelled","",IF(IF(M1164="Completed",AB1164&lt;Y1164-0.004,FALSE),"Unpaid - nothing rung up for this visit",IF(IF(B1164&lt;TodayDate,M1164="Booked",FALSE),"Overdue - past date, still only Booked",IF(IF(B1164=TodayDate,TRUE,FALSE),"Today",IF(IF(Z1164&gt;0,AA1164&lt;Z1164-0.004,FALSE),"Due - deposit not taken",IF(IF(B1164&gt;TodayDate,B1164&lt;=TodayDate+2,FALSE),"Confirm - coming up","OK")))))))))))</f>
        <v>0</v>
      </c>
    </row>
    <row r="1165" spans="1:34">
      <c r="A1165" s="28">
        <f>IF(B1165="","",AppointmentPrefix&amp;TEXT(ROW()-4,"0000"))</f>
        <v>0</v>
      </c>
      <c r="C1165" s="15">
        <f>IF(B1165="","",TEXT(B1165,"ddd"))</f>
        <v>0</v>
      </c>
      <c r="F1165" s="15">
        <f>IF(E1165="","",IFERROR(INDEX(Clients!$B$5:$B$504,MATCH(E1165,Clients!$A$5:$A$504,0)),"Walk-in"))</f>
        <v>0</v>
      </c>
      <c r="H1165" s="15">
        <f>IF(G1165="","",IFERROR(INDEX(Services!$B$5:$B$204,MATCH(G1165,Services!$A$5:$A$204,0)),"Not in Services"))</f>
        <v>0</v>
      </c>
      <c r="J1165" s="15">
        <f>IF(I1165="","",IFERROR(INDEX(Staff!$B$5:$B$44,MATCH(I1165,Staff!$A$5:$A$44,0)),"Unassigned"))</f>
        <v>0</v>
      </c>
      <c r="S1165" s="15">
        <f>IF(B1165="","",TEXT(B1165,"yyyy-mm"))</f>
        <v>0</v>
      </c>
      <c r="T1165" s="25">
        <f>IF(B1165="","",WEEKNUM(B1165,2))</f>
        <v>0</v>
      </c>
      <c r="U1165" s="25">
        <f>IF(B1165="","",IF(K1165&lt;&gt;"",K1165,IFERROR(INDEX(Services!$E$5:$E$204,MATCH(G1165,Services!$A$5:$A$204,0))*1,0)+IFERROR(INDEX(Services!$F$5:$F$204,MATCH(G1165,Services!$A$5:$A$204,0))*1,0)))</f>
        <v>0</v>
      </c>
      <c r="V1165" s="36">
        <f>IF(B1165="","",IF(D1165="","",D1165+U1165/1440))</f>
        <v>0</v>
      </c>
      <c r="W1165" s="25">
        <f>IF(B1165="","",IF(D1165="","",HOUR(D1165)))</f>
        <v>0</v>
      </c>
      <c r="X1165" s="37">
        <f>IF(B1165="","",ROUND(U1165/60,2))</f>
        <v>0</v>
      </c>
      <c r="Y1165" s="26">
        <f>IF(B1165="","",IF(L1165&lt;&gt;"",L1165,IFERROR(INDEX(Services!$G$5:$G$204,MATCH(G1165,Services!$A$5:$A$204,0))*1,0)))</f>
        <v>0</v>
      </c>
      <c r="Z1165" s="26">
        <f>IF(B1165="","",IF(O1165&lt;&gt;"",O1165,IF(Y1165&gt;=DepositThreshold,ROUND(Y1165*DepositPercent,2),0)))</f>
        <v>0</v>
      </c>
      <c r="AA1165" s="26">
        <f>IF(B1165="","",ROUND(SUMIFS(Payments!$G$5:$G$1204,Payments!$I$5:$I$1204,A1165,Payments!$E$5:$E$1204,"Deposit"),2))</f>
        <v>0</v>
      </c>
      <c r="AB1165" s="26">
        <f>IF(B1165="","",ROUND(SUMIFS(Sales!$Y$5:$Y$1204,Sales!$C$5:$C$1204,A1165),2))</f>
        <v>0</v>
      </c>
      <c r="AC1165" s="38">
        <f>IF(B1165="","",IF(M1165="Completed","Yes",IF(M1165="Cancelled","Yes",IF(M1165="No show","Yes","No"))))</f>
        <v>0</v>
      </c>
      <c r="AD1165" s="25">
        <f>IF(B1165="","",IF(AE1165="","",B1165-AE1165))</f>
        <v>0</v>
      </c>
      <c r="AF1165" s="38">
        <f>IF(B1165="","",IF(M1165&lt;&gt;"Completed","",IF(E1165="","No",IF(COUNTIFS(Appointments!$E$5:$E$1204,E1165,Appointments!$B$5:$B$1204,"&gt;"&amp;B1165,Appointments!$M$5:$M$1204,"&lt;&gt;Cancelled")&gt;0,"Yes","No"))))</f>
        <v>0</v>
      </c>
      <c r="AG1165" s="38">
        <f>IF(B1165="","",IF(I1165="","",IF(D1165="","",IF(COUNTIFS($I$5:$I$1204,I1165,$B$5:$B$1204,B1165,$D$5:$D$1204,"&lt;"&amp;V1165,$V$5:$V$1204,"&gt;"&amp;D1165,$M$5:$M$1204,"&lt;&gt;Cancelled")&gt;1,"Clash",""))))</f>
        <v>0</v>
      </c>
      <c r="AH1165" s="39">
        <f>IF(B1165="","",IF(AG1165="Clash","Clash - stylist double booked",IF(I1165="","Assign - no stylist yet",IF(G1165="","Add - no service chosen",IF(M1165="No show","No show - charge the fee?",IF(M1165="Cancelled","",IF(IF(M1165="Completed",AB1165&lt;Y1165-0.004,FALSE),"Unpaid - nothing rung up for this visit",IF(IF(B1165&lt;TodayDate,M1165="Booked",FALSE),"Overdue - past date, still only Booked",IF(IF(B1165=TodayDate,TRUE,FALSE),"Today",IF(IF(Z1165&gt;0,AA1165&lt;Z1165-0.004,FALSE),"Due - deposit not taken",IF(IF(B1165&gt;TodayDate,B1165&lt;=TodayDate+2,FALSE),"Confirm - coming up","OK")))))))))))</f>
        <v>0</v>
      </c>
    </row>
    <row r="1166" spans="1:34">
      <c r="A1166" s="28">
        <f>IF(B1166="","",AppointmentPrefix&amp;TEXT(ROW()-4,"0000"))</f>
        <v>0</v>
      </c>
      <c r="C1166" s="15">
        <f>IF(B1166="","",TEXT(B1166,"ddd"))</f>
        <v>0</v>
      </c>
      <c r="F1166" s="15">
        <f>IF(E1166="","",IFERROR(INDEX(Clients!$B$5:$B$504,MATCH(E1166,Clients!$A$5:$A$504,0)),"Walk-in"))</f>
        <v>0</v>
      </c>
      <c r="H1166" s="15">
        <f>IF(G1166="","",IFERROR(INDEX(Services!$B$5:$B$204,MATCH(G1166,Services!$A$5:$A$204,0)),"Not in Services"))</f>
        <v>0</v>
      </c>
      <c r="J1166" s="15">
        <f>IF(I1166="","",IFERROR(INDEX(Staff!$B$5:$B$44,MATCH(I1166,Staff!$A$5:$A$44,0)),"Unassigned"))</f>
        <v>0</v>
      </c>
      <c r="S1166" s="15">
        <f>IF(B1166="","",TEXT(B1166,"yyyy-mm"))</f>
        <v>0</v>
      </c>
      <c r="T1166" s="25">
        <f>IF(B1166="","",WEEKNUM(B1166,2))</f>
        <v>0</v>
      </c>
      <c r="U1166" s="25">
        <f>IF(B1166="","",IF(K1166&lt;&gt;"",K1166,IFERROR(INDEX(Services!$E$5:$E$204,MATCH(G1166,Services!$A$5:$A$204,0))*1,0)+IFERROR(INDEX(Services!$F$5:$F$204,MATCH(G1166,Services!$A$5:$A$204,0))*1,0)))</f>
        <v>0</v>
      </c>
      <c r="V1166" s="36">
        <f>IF(B1166="","",IF(D1166="","",D1166+U1166/1440))</f>
        <v>0</v>
      </c>
      <c r="W1166" s="25">
        <f>IF(B1166="","",IF(D1166="","",HOUR(D1166)))</f>
        <v>0</v>
      </c>
      <c r="X1166" s="37">
        <f>IF(B1166="","",ROUND(U1166/60,2))</f>
        <v>0</v>
      </c>
      <c r="Y1166" s="26">
        <f>IF(B1166="","",IF(L1166&lt;&gt;"",L1166,IFERROR(INDEX(Services!$G$5:$G$204,MATCH(G1166,Services!$A$5:$A$204,0))*1,0)))</f>
        <v>0</v>
      </c>
      <c r="Z1166" s="26">
        <f>IF(B1166="","",IF(O1166&lt;&gt;"",O1166,IF(Y1166&gt;=DepositThreshold,ROUND(Y1166*DepositPercent,2),0)))</f>
        <v>0</v>
      </c>
      <c r="AA1166" s="26">
        <f>IF(B1166="","",ROUND(SUMIFS(Payments!$G$5:$G$1204,Payments!$I$5:$I$1204,A1166,Payments!$E$5:$E$1204,"Deposit"),2))</f>
        <v>0</v>
      </c>
      <c r="AB1166" s="26">
        <f>IF(B1166="","",ROUND(SUMIFS(Sales!$Y$5:$Y$1204,Sales!$C$5:$C$1204,A1166),2))</f>
        <v>0</v>
      </c>
      <c r="AC1166" s="38">
        <f>IF(B1166="","",IF(M1166="Completed","Yes",IF(M1166="Cancelled","Yes",IF(M1166="No show","Yes","No"))))</f>
        <v>0</v>
      </c>
      <c r="AD1166" s="25">
        <f>IF(B1166="","",IF(AE1166="","",B1166-AE1166))</f>
        <v>0</v>
      </c>
      <c r="AF1166" s="38">
        <f>IF(B1166="","",IF(M1166&lt;&gt;"Completed","",IF(E1166="","No",IF(COUNTIFS(Appointments!$E$5:$E$1204,E1166,Appointments!$B$5:$B$1204,"&gt;"&amp;B1166,Appointments!$M$5:$M$1204,"&lt;&gt;Cancelled")&gt;0,"Yes","No"))))</f>
        <v>0</v>
      </c>
      <c r="AG1166" s="38">
        <f>IF(B1166="","",IF(I1166="","",IF(D1166="","",IF(COUNTIFS($I$5:$I$1204,I1166,$B$5:$B$1204,B1166,$D$5:$D$1204,"&lt;"&amp;V1166,$V$5:$V$1204,"&gt;"&amp;D1166,$M$5:$M$1204,"&lt;&gt;Cancelled")&gt;1,"Clash",""))))</f>
        <v>0</v>
      </c>
      <c r="AH1166" s="39">
        <f>IF(B1166="","",IF(AG1166="Clash","Clash - stylist double booked",IF(I1166="","Assign - no stylist yet",IF(G1166="","Add - no service chosen",IF(M1166="No show","No show - charge the fee?",IF(M1166="Cancelled","",IF(IF(M1166="Completed",AB1166&lt;Y1166-0.004,FALSE),"Unpaid - nothing rung up for this visit",IF(IF(B1166&lt;TodayDate,M1166="Booked",FALSE),"Overdue - past date, still only Booked",IF(IF(B1166=TodayDate,TRUE,FALSE),"Today",IF(IF(Z1166&gt;0,AA1166&lt;Z1166-0.004,FALSE),"Due - deposit not taken",IF(IF(B1166&gt;TodayDate,B1166&lt;=TodayDate+2,FALSE),"Confirm - coming up","OK")))))))))))</f>
        <v>0</v>
      </c>
    </row>
    <row r="1167" spans="1:34">
      <c r="A1167" s="28">
        <f>IF(B1167="","",AppointmentPrefix&amp;TEXT(ROW()-4,"0000"))</f>
        <v>0</v>
      </c>
      <c r="C1167" s="15">
        <f>IF(B1167="","",TEXT(B1167,"ddd"))</f>
        <v>0</v>
      </c>
      <c r="F1167" s="15">
        <f>IF(E1167="","",IFERROR(INDEX(Clients!$B$5:$B$504,MATCH(E1167,Clients!$A$5:$A$504,0)),"Walk-in"))</f>
        <v>0</v>
      </c>
      <c r="H1167" s="15">
        <f>IF(G1167="","",IFERROR(INDEX(Services!$B$5:$B$204,MATCH(G1167,Services!$A$5:$A$204,0)),"Not in Services"))</f>
        <v>0</v>
      </c>
      <c r="J1167" s="15">
        <f>IF(I1167="","",IFERROR(INDEX(Staff!$B$5:$B$44,MATCH(I1167,Staff!$A$5:$A$44,0)),"Unassigned"))</f>
        <v>0</v>
      </c>
      <c r="S1167" s="15">
        <f>IF(B1167="","",TEXT(B1167,"yyyy-mm"))</f>
        <v>0</v>
      </c>
      <c r="T1167" s="25">
        <f>IF(B1167="","",WEEKNUM(B1167,2))</f>
        <v>0</v>
      </c>
      <c r="U1167" s="25">
        <f>IF(B1167="","",IF(K1167&lt;&gt;"",K1167,IFERROR(INDEX(Services!$E$5:$E$204,MATCH(G1167,Services!$A$5:$A$204,0))*1,0)+IFERROR(INDEX(Services!$F$5:$F$204,MATCH(G1167,Services!$A$5:$A$204,0))*1,0)))</f>
        <v>0</v>
      </c>
      <c r="V1167" s="36">
        <f>IF(B1167="","",IF(D1167="","",D1167+U1167/1440))</f>
        <v>0</v>
      </c>
      <c r="W1167" s="25">
        <f>IF(B1167="","",IF(D1167="","",HOUR(D1167)))</f>
        <v>0</v>
      </c>
      <c r="X1167" s="37">
        <f>IF(B1167="","",ROUND(U1167/60,2))</f>
        <v>0</v>
      </c>
      <c r="Y1167" s="26">
        <f>IF(B1167="","",IF(L1167&lt;&gt;"",L1167,IFERROR(INDEX(Services!$G$5:$G$204,MATCH(G1167,Services!$A$5:$A$204,0))*1,0)))</f>
        <v>0</v>
      </c>
      <c r="Z1167" s="26">
        <f>IF(B1167="","",IF(O1167&lt;&gt;"",O1167,IF(Y1167&gt;=DepositThreshold,ROUND(Y1167*DepositPercent,2),0)))</f>
        <v>0</v>
      </c>
      <c r="AA1167" s="26">
        <f>IF(B1167="","",ROUND(SUMIFS(Payments!$G$5:$G$1204,Payments!$I$5:$I$1204,A1167,Payments!$E$5:$E$1204,"Deposit"),2))</f>
        <v>0</v>
      </c>
      <c r="AB1167" s="26">
        <f>IF(B1167="","",ROUND(SUMIFS(Sales!$Y$5:$Y$1204,Sales!$C$5:$C$1204,A1167),2))</f>
        <v>0</v>
      </c>
      <c r="AC1167" s="38">
        <f>IF(B1167="","",IF(M1167="Completed","Yes",IF(M1167="Cancelled","Yes",IF(M1167="No show","Yes","No"))))</f>
        <v>0</v>
      </c>
      <c r="AD1167" s="25">
        <f>IF(B1167="","",IF(AE1167="","",B1167-AE1167))</f>
        <v>0</v>
      </c>
      <c r="AF1167" s="38">
        <f>IF(B1167="","",IF(M1167&lt;&gt;"Completed","",IF(E1167="","No",IF(COUNTIFS(Appointments!$E$5:$E$1204,E1167,Appointments!$B$5:$B$1204,"&gt;"&amp;B1167,Appointments!$M$5:$M$1204,"&lt;&gt;Cancelled")&gt;0,"Yes","No"))))</f>
        <v>0</v>
      </c>
      <c r="AG1167" s="38">
        <f>IF(B1167="","",IF(I1167="","",IF(D1167="","",IF(COUNTIFS($I$5:$I$1204,I1167,$B$5:$B$1204,B1167,$D$5:$D$1204,"&lt;"&amp;V1167,$V$5:$V$1204,"&gt;"&amp;D1167,$M$5:$M$1204,"&lt;&gt;Cancelled")&gt;1,"Clash",""))))</f>
        <v>0</v>
      </c>
      <c r="AH1167" s="39">
        <f>IF(B1167="","",IF(AG1167="Clash","Clash - stylist double booked",IF(I1167="","Assign - no stylist yet",IF(G1167="","Add - no service chosen",IF(M1167="No show","No show - charge the fee?",IF(M1167="Cancelled","",IF(IF(M1167="Completed",AB1167&lt;Y1167-0.004,FALSE),"Unpaid - nothing rung up for this visit",IF(IF(B1167&lt;TodayDate,M1167="Booked",FALSE),"Overdue - past date, still only Booked",IF(IF(B1167=TodayDate,TRUE,FALSE),"Today",IF(IF(Z1167&gt;0,AA1167&lt;Z1167-0.004,FALSE),"Due - deposit not taken",IF(IF(B1167&gt;TodayDate,B1167&lt;=TodayDate+2,FALSE),"Confirm - coming up","OK")))))))))))</f>
        <v>0</v>
      </c>
    </row>
    <row r="1168" spans="1:34">
      <c r="A1168" s="28">
        <f>IF(B1168="","",AppointmentPrefix&amp;TEXT(ROW()-4,"0000"))</f>
        <v>0</v>
      </c>
      <c r="C1168" s="15">
        <f>IF(B1168="","",TEXT(B1168,"ddd"))</f>
        <v>0</v>
      </c>
      <c r="F1168" s="15">
        <f>IF(E1168="","",IFERROR(INDEX(Clients!$B$5:$B$504,MATCH(E1168,Clients!$A$5:$A$504,0)),"Walk-in"))</f>
        <v>0</v>
      </c>
      <c r="H1168" s="15">
        <f>IF(G1168="","",IFERROR(INDEX(Services!$B$5:$B$204,MATCH(G1168,Services!$A$5:$A$204,0)),"Not in Services"))</f>
        <v>0</v>
      </c>
      <c r="J1168" s="15">
        <f>IF(I1168="","",IFERROR(INDEX(Staff!$B$5:$B$44,MATCH(I1168,Staff!$A$5:$A$44,0)),"Unassigned"))</f>
        <v>0</v>
      </c>
      <c r="S1168" s="15">
        <f>IF(B1168="","",TEXT(B1168,"yyyy-mm"))</f>
        <v>0</v>
      </c>
      <c r="T1168" s="25">
        <f>IF(B1168="","",WEEKNUM(B1168,2))</f>
        <v>0</v>
      </c>
      <c r="U1168" s="25">
        <f>IF(B1168="","",IF(K1168&lt;&gt;"",K1168,IFERROR(INDEX(Services!$E$5:$E$204,MATCH(G1168,Services!$A$5:$A$204,0))*1,0)+IFERROR(INDEX(Services!$F$5:$F$204,MATCH(G1168,Services!$A$5:$A$204,0))*1,0)))</f>
        <v>0</v>
      </c>
      <c r="V1168" s="36">
        <f>IF(B1168="","",IF(D1168="","",D1168+U1168/1440))</f>
        <v>0</v>
      </c>
      <c r="W1168" s="25">
        <f>IF(B1168="","",IF(D1168="","",HOUR(D1168)))</f>
        <v>0</v>
      </c>
      <c r="X1168" s="37">
        <f>IF(B1168="","",ROUND(U1168/60,2))</f>
        <v>0</v>
      </c>
      <c r="Y1168" s="26">
        <f>IF(B1168="","",IF(L1168&lt;&gt;"",L1168,IFERROR(INDEX(Services!$G$5:$G$204,MATCH(G1168,Services!$A$5:$A$204,0))*1,0)))</f>
        <v>0</v>
      </c>
      <c r="Z1168" s="26">
        <f>IF(B1168="","",IF(O1168&lt;&gt;"",O1168,IF(Y1168&gt;=DepositThreshold,ROUND(Y1168*DepositPercent,2),0)))</f>
        <v>0</v>
      </c>
      <c r="AA1168" s="26">
        <f>IF(B1168="","",ROUND(SUMIFS(Payments!$G$5:$G$1204,Payments!$I$5:$I$1204,A1168,Payments!$E$5:$E$1204,"Deposit"),2))</f>
        <v>0</v>
      </c>
      <c r="AB1168" s="26">
        <f>IF(B1168="","",ROUND(SUMIFS(Sales!$Y$5:$Y$1204,Sales!$C$5:$C$1204,A1168),2))</f>
        <v>0</v>
      </c>
      <c r="AC1168" s="38">
        <f>IF(B1168="","",IF(M1168="Completed","Yes",IF(M1168="Cancelled","Yes",IF(M1168="No show","Yes","No"))))</f>
        <v>0</v>
      </c>
      <c r="AD1168" s="25">
        <f>IF(B1168="","",IF(AE1168="","",B1168-AE1168))</f>
        <v>0</v>
      </c>
      <c r="AF1168" s="38">
        <f>IF(B1168="","",IF(M1168&lt;&gt;"Completed","",IF(E1168="","No",IF(COUNTIFS(Appointments!$E$5:$E$1204,E1168,Appointments!$B$5:$B$1204,"&gt;"&amp;B1168,Appointments!$M$5:$M$1204,"&lt;&gt;Cancelled")&gt;0,"Yes","No"))))</f>
        <v>0</v>
      </c>
      <c r="AG1168" s="38">
        <f>IF(B1168="","",IF(I1168="","",IF(D1168="","",IF(COUNTIFS($I$5:$I$1204,I1168,$B$5:$B$1204,B1168,$D$5:$D$1204,"&lt;"&amp;V1168,$V$5:$V$1204,"&gt;"&amp;D1168,$M$5:$M$1204,"&lt;&gt;Cancelled")&gt;1,"Clash",""))))</f>
        <v>0</v>
      </c>
      <c r="AH1168" s="39">
        <f>IF(B1168="","",IF(AG1168="Clash","Clash - stylist double booked",IF(I1168="","Assign - no stylist yet",IF(G1168="","Add - no service chosen",IF(M1168="No show","No show - charge the fee?",IF(M1168="Cancelled","",IF(IF(M1168="Completed",AB1168&lt;Y1168-0.004,FALSE),"Unpaid - nothing rung up for this visit",IF(IF(B1168&lt;TodayDate,M1168="Booked",FALSE),"Overdue - past date, still only Booked",IF(IF(B1168=TodayDate,TRUE,FALSE),"Today",IF(IF(Z1168&gt;0,AA1168&lt;Z1168-0.004,FALSE),"Due - deposit not taken",IF(IF(B1168&gt;TodayDate,B1168&lt;=TodayDate+2,FALSE),"Confirm - coming up","OK")))))))))))</f>
        <v>0</v>
      </c>
    </row>
    <row r="1169" spans="1:34">
      <c r="A1169" s="28">
        <f>IF(B1169="","",AppointmentPrefix&amp;TEXT(ROW()-4,"0000"))</f>
        <v>0</v>
      </c>
      <c r="C1169" s="15">
        <f>IF(B1169="","",TEXT(B1169,"ddd"))</f>
        <v>0</v>
      </c>
      <c r="F1169" s="15">
        <f>IF(E1169="","",IFERROR(INDEX(Clients!$B$5:$B$504,MATCH(E1169,Clients!$A$5:$A$504,0)),"Walk-in"))</f>
        <v>0</v>
      </c>
      <c r="H1169" s="15">
        <f>IF(G1169="","",IFERROR(INDEX(Services!$B$5:$B$204,MATCH(G1169,Services!$A$5:$A$204,0)),"Not in Services"))</f>
        <v>0</v>
      </c>
      <c r="J1169" s="15">
        <f>IF(I1169="","",IFERROR(INDEX(Staff!$B$5:$B$44,MATCH(I1169,Staff!$A$5:$A$44,0)),"Unassigned"))</f>
        <v>0</v>
      </c>
      <c r="S1169" s="15">
        <f>IF(B1169="","",TEXT(B1169,"yyyy-mm"))</f>
        <v>0</v>
      </c>
      <c r="T1169" s="25">
        <f>IF(B1169="","",WEEKNUM(B1169,2))</f>
        <v>0</v>
      </c>
      <c r="U1169" s="25">
        <f>IF(B1169="","",IF(K1169&lt;&gt;"",K1169,IFERROR(INDEX(Services!$E$5:$E$204,MATCH(G1169,Services!$A$5:$A$204,0))*1,0)+IFERROR(INDEX(Services!$F$5:$F$204,MATCH(G1169,Services!$A$5:$A$204,0))*1,0)))</f>
        <v>0</v>
      </c>
      <c r="V1169" s="36">
        <f>IF(B1169="","",IF(D1169="","",D1169+U1169/1440))</f>
        <v>0</v>
      </c>
      <c r="W1169" s="25">
        <f>IF(B1169="","",IF(D1169="","",HOUR(D1169)))</f>
        <v>0</v>
      </c>
      <c r="X1169" s="37">
        <f>IF(B1169="","",ROUND(U1169/60,2))</f>
        <v>0</v>
      </c>
      <c r="Y1169" s="26">
        <f>IF(B1169="","",IF(L1169&lt;&gt;"",L1169,IFERROR(INDEX(Services!$G$5:$G$204,MATCH(G1169,Services!$A$5:$A$204,0))*1,0)))</f>
        <v>0</v>
      </c>
      <c r="Z1169" s="26">
        <f>IF(B1169="","",IF(O1169&lt;&gt;"",O1169,IF(Y1169&gt;=DepositThreshold,ROUND(Y1169*DepositPercent,2),0)))</f>
        <v>0</v>
      </c>
      <c r="AA1169" s="26">
        <f>IF(B1169="","",ROUND(SUMIFS(Payments!$G$5:$G$1204,Payments!$I$5:$I$1204,A1169,Payments!$E$5:$E$1204,"Deposit"),2))</f>
        <v>0</v>
      </c>
      <c r="AB1169" s="26">
        <f>IF(B1169="","",ROUND(SUMIFS(Sales!$Y$5:$Y$1204,Sales!$C$5:$C$1204,A1169),2))</f>
        <v>0</v>
      </c>
      <c r="AC1169" s="38">
        <f>IF(B1169="","",IF(M1169="Completed","Yes",IF(M1169="Cancelled","Yes",IF(M1169="No show","Yes","No"))))</f>
        <v>0</v>
      </c>
      <c r="AD1169" s="25">
        <f>IF(B1169="","",IF(AE1169="","",B1169-AE1169))</f>
        <v>0</v>
      </c>
      <c r="AF1169" s="38">
        <f>IF(B1169="","",IF(M1169&lt;&gt;"Completed","",IF(E1169="","No",IF(COUNTIFS(Appointments!$E$5:$E$1204,E1169,Appointments!$B$5:$B$1204,"&gt;"&amp;B1169,Appointments!$M$5:$M$1204,"&lt;&gt;Cancelled")&gt;0,"Yes","No"))))</f>
        <v>0</v>
      </c>
      <c r="AG1169" s="38">
        <f>IF(B1169="","",IF(I1169="","",IF(D1169="","",IF(COUNTIFS($I$5:$I$1204,I1169,$B$5:$B$1204,B1169,$D$5:$D$1204,"&lt;"&amp;V1169,$V$5:$V$1204,"&gt;"&amp;D1169,$M$5:$M$1204,"&lt;&gt;Cancelled")&gt;1,"Clash",""))))</f>
        <v>0</v>
      </c>
      <c r="AH1169" s="39">
        <f>IF(B1169="","",IF(AG1169="Clash","Clash - stylist double booked",IF(I1169="","Assign - no stylist yet",IF(G1169="","Add - no service chosen",IF(M1169="No show","No show - charge the fee?",IF(M1169="Cancelled","",IF(IF(M1169="Completed",AB1169&lt;Y1169-0.004,FALSE),"Unpaid - nothing rung up for this visit",IF(IF(B1169&lt;TodayDate,M1169="Booked",FALSE),"Overdue - past date, still only Booked",IF(IF(B1169=TodayDate,TRUE,FALSE),"Today",IF(IF(Z1169&gt;0,AA1169&lt;Z1169-0.004,FALSE),"Due - deposit not taken",IF(IF(B1169&gt;TodayDate,B1169&lt;=TodayDate+2,FALSE),"Confirm - coming up","OK")))))))))))</f>
        <v>0</v>
      </c>
    </row>
    <row r="1170" spans="1:34">
      <c r="A1170" s="28">
        <f>IF(B1170="","",AppointmentPrefix&amp;TEXT(ROW()-4,"0000"))</f>
        <v>0</v>
      </c>
      <c r="C1170" s="15">
        <f>IF(B1170="","",TEXT(B1170,"ddd"))</f>
        <v>0</v>
      </c>
      <c r="F1170" s="15">
        <f>IF(E1170="","",IFERROR(INDEX(Clients!$B$5:$B$504,MATCH(E1170,Clients!$A$5:$A$504,0)),"Walk-in"))</f>
        <v>0</v>
      </c>
      <c r="H1170" s="15">
        <f>IF(G1170="","",IFERROR(INDEX(Services!$B$5:$B$204,MATCH(G1170,Services!$A$5:$A$204,0)),"Not in Services"))</f>
        <v>0</v>
      </c>
      <c r="J1170" s="15">
        <f>IF(I1170="","",IFERROR(INDEX(Staff!$B$5:$B$44,MATCH(I1170,Staff!$A$5:$A$44,0)),"Unassigned"))</f>
        <v>0</v>
      </c>
      <c r="S1170" s="15">
        <f>IF(B1170="","",TEXT(B1170,"yyyy-mm"))</f>
        <v>0</v>
      </c>
      <c r="T1170" s="25">
        <f>IF(B1170="","",WEEKNUM(B1170,2))</f>
        <v>0</v>
      </c>
      <c r="U1170" s="25">
        <f>IF(B1170="","",IF(K1170&lt;&gt;"",K1170,IFERROR(INDEX(Services!$E$5:$E$204,MATCH(G1170,Services!$A$5:$A$204,0))*1,0)+IFERROR(INDEX(Services!$F$5:$F$204,MATCH(G1170,Services!$A$5:$A$204,0))*1,0)))</f>
        <v>0</v>
      </c>
      <c r="V1170" s="36">
        <f>IF(B1170="","",IF(D1170="","",D1170+U1170/1440))</f>
        <v>0</v>
      </c>
      <c r="W1170" s="25">
        <f>IF(B1170="","",IF(D1170="","",HOUR(D1170)))</f>
        <v>0</v>
      </c>
      <c r="X1170" s="37">
        <f>IF(B1170="","",ROUND(U1170/60,2))</f>
        <v>0</v>
      </c>
      <c r="Y1170" s="26">
        <f>IF(B1170="","",IF(L1170&lt;&gt;"",L1170,IFERROR(INDEX(Services!$G$5:$G$204,MATCH(G1170,Services!$A$5:$A$204,0))*1,0)))</f>
        <v>0</v>
      </c>
      <c r="Z1170" s="26">
        <f>IF(B1170="","",IF(O1170&lt;&gt;"",O1170,IF(Y1170&gt;=DepositThreshold,ROUND(Y1170*DepositPercent,2),0)))</f>
        <v>0</v>
      </c>
      <c r="AA1170" s="26">
        <f>IF(B1170="","",ROUND(SUMIFS(Payments!$G$5:$G$1204,Payments!$I$5:$I$1204,A1170,Payments!$E$5:$E$1204,"Deposit"),2))</f>
        <v>0</v>
      </c>
      <c r="AB1170" s="26">
        <f>IF(B1170="","",ROUND(SUMIFS(Sales!$Y$5:$Y$1204,Sales!$C$5:$C$1204,A1170),2))</f>
        <v>0</v>
      </c>
      <c r="AC1170" s="38">
        <f>IF(B1170="","",IF(M1170="Completed","Yes",IF(M1170="Cancelled","Yes",IF(M1170="No show","Yes","No"))))</f>
        <v>0</v>
      </c>
      <c r="AD1170" s="25">
        <f>IF(B1170="","",IF(AE1170="","",B1170-AE1170))</f>
        <v>0</v>
      </c>
      <c r="AF1170" s="38">
        <f>IF(B1170="","",IF(M1170&lt;&gt;"Completed","",IF(E1170="","No",IF(COUNTIFS(Appointments!$E$5:$E$1204,E1170,Appointments!$B$5:$B$1204,"&gt;"&amp;B1170,Appointments!$M$5:$M$1204,"&lt;&gt;Cancelled")&gt;0,"Yes","No"))))</f>
        <v>0</v>
      </c>
      <c r="AG1170" s="38">
        <f>IF(B1170="","",IF(I1170="","",IF(D1170="","",IF(COUNTIFS($I$5:$I$1204,I1170,$B$5:$B$1204,B1170,$D$5:$D$1204,"&lt;"&amp;V1170,$V$5:$V$1204,"&gt;"&amp;D1170,$M$5:$M$1204,"&lt;&gt;Cancelled")&gt;1,"Clash",""))))</f>
        <v>0</v>
      </c>
      <c r="AH1170" s="39">
        <f>IF(B1170="","",IF(AG1170="Clash","Clash - stylist double booked",IF(I1170="","Assign - no stylist yet",IF(G1170="","Add - no service chosen",IF(M1170="No show","No show - charge the fee?",IF(M1170="Cancelled","",IF(IF(M1170="Completed",AB1170&lt;Y1170-0.004,FALSE),"Unpaid - nothing rung up for this visit",IF(IF(B1170&lt;TodayDate,M1170="Booked",FALSE),"Overdue - past date, still only Booked",IF(IF(B1170=TodayDate,TRUE,FALSE),"Today",IF(IF(Z1170&gt;0,AA1170&lt;Z1170-0.004,FALSE),"Due - deposit not taken",IF(IF(B1170&gt;TodayDate,B1170&lt;=TodayDate+2,FALSE),"Confirm - coming up","OK")))))))))))</f>
        <v>0</v>
      </c>
    </row>
    <row r="1171" spans="1:34">
      <c r="A1171" s="28">
        <f>IF(B1171="","",AppointmentPrefix&amp;TEXT(ROW()-4,"0000"))</f>
        <v>0</v>
      </c>
      <c r="C1171" s="15">
        <f>IF(B1171="","",TEXT(B1171,"ddd"))</f>
        <v>0</v>
      </c>
      <c r="F1171" s="15">
        <f>IF(E1171="","",IFERROR(INDEX(Clients!$B$5:$B$504,MATCH(E1171,Clients!$A$5:$A$504,0)),"Walk-in"))</f>
        <v>0</v>
      </c>
      <c r="H1171" s="15">
        <f>IF(G1171="","",IFERROR(INDEX(Services!$B$5:$B$204,MATCH(G1171,Services!$A$5:$A$204,0)),"Not in Services"))</f>
        <v>0</v>
      </c>
      <c r="J1171" s="15">
        <f>IF(I1171="","",IFERROR(INDEX(Staff!$B$5:$B$44,MATCH(I1171,Staff!$A$5:$A$44,0)),"Unassigned"))</f>
        <v>0</v>
      </c>
      <c r="S1171" s="15">
        <f>IF(B1171="","",TEXT(B1171,"yyyy-mm"))</f>
        <v>0</v>
      </c>
      <c r="T1171" s="25">
        <f>IF(B1171="","",WEEKNUM(B1171,2))</f>
        <v>0</v>
      </c>
      <c r="U1171" s="25">
        <f>IF(B1171="","",IF(K1171&lt;&gt;"",K1171,IFERROR(INDEX(Services!$E$5:$E$204,MATCH(G1171,Services!$A$5:$A$204,0))*1,0)+IFERROR(INDEX(Services!$F$5:$F$204,MATCH(G1171,Services!$A$5:$A$204,0))*1,0)))</f>
        <v>0</v>
      </c>
      <c r="V1171" s="36">
        <f>IF(B1171="","",IF(D1171="","",D1171+U1171/1440))</f>
        <v>0</v>
      </c>
      <c r="W1171" s="25">
        <f>IF(B1171="","",IF(D1171="","",HOUR(D1171)))</f>
        <v>0</v>
      </c>
      <c r="X1171" s="37">
        <f>IF(B1171="","",ROUND(U1171/60,2))</f>
        <v>0</v>
      </c>
      <c r="Y1171" s="26">
        <f>IF(B1171="","",IF(L1171&lt;&gt;"",L1171,IFERROR(INDEX(Services!$G$5:$G$204,MATCH(G1171,Services!$A$5:$A$204,0))*1,0)))</f>
        <v>0</v>
      </c>
      <c r="Z1171" s="26">
        <f>IF(B1171="","",IF(O1171&lt;&gt;"",O1171,IF(Y1171&gt;=DepositThreshold,ROUND(Y1171*DepositPercent,2),0)))</f>
        <v>0</v>
      </c>
      <c r="AA1171" s="26">
        <f>IF(B1171="","",ROUND(SUMIFS(Payments!$G$5:$G$1204,Payments!$I$5:$I$1204,A1171,Payments!$E$5:$E$1204,"Deposit"),2))</f>
        <v>0</v>
      </c>
      <c r="AB1171" s="26">
        <f>IF(B1171="","",ROUND(SUMIFS(Sales!$Y$5:$Y$1204,Sales!$C$5:$C$1204,A1171),2))</f>
        <v>0</v>
      </c>
      <c r="AC1171" s="38">
        <f>IF(B1171="","",IF(M1171="Completed","Yes",IF(M1171="Cancelled","Yes",IF(M1171="No show","Yes","No"))))</f>
        <v>0</v>
      </c>
      <c r="AD1171" s="25">
        <f>IF(B1171="","",IF(AE1171="","",B1171-AE1171))</f>
        <v>0</v>
      </c>
      <c r="AF1171" s="38">
        <f>IF(B1171="","",IF(M1171&lt;&gt;"Completed","",IF(E1171="","No",IF(COUNTIFS(Appointments!$E$5:$E$1204,E1171,Appointments!$B$5:$B$1204,"&gt;"&amp;B1171,Appointments!$M$5:$M$1204,"&lt;&gt;Cancelled")&gt;0,"Yes","No"))))</f>
        <v>0</v>
      </c>
      <c r="AG1171" s="38">
        <f>IF(B1171="","",IF(I1171="","",IF(D1171="","",IF(COUNTIFS($I$5:$I$1204,I1171,$B$5:$B$1204,B1171,$D$5:$D$1204,"&lt;"&amp;V1171,$V$5:$V$1204,"&gt;"&amp;D1171,$M$5:$M$1204,"&lt;&gt;Cancelled")&gt;1,"Clash",""))))</f>
        <v>0</v>
      </c>
      <c r="AH1171" s="39">
        <f>IF(B1171="","",IF(AG1171="Clash","Clash - stylist double booked",IF(I1171="","Assign - no stylist yet",IF(G1171="","Add - no service chosen",IF(M1171="No show","No show - charge the fee?",IF(M1171="Cancelled","",IF(IF(M1171="Completed",AB1171&lt;Y1171-0.004,FALSE),"Unpaid - nothing rung up for this visit",IF(IF(B1171&lt;TodayDate,M1171="Booked",FALSE),"Overdue - past date, still only Booked",IF(IF(B1171=TodayDate,TRUE,FALSE),"Today",IF(IF(Z1171&gt;0,AA1171&lt;Z1171-0.004,FALSE),"Due - deposit not taken",IF(IF(B1171&gt;TodayDate,B1171&lt;=TodayDate+2,FALSE),"Confirm - coming up","OK")))))))))))</f>
        <v>0</v>
      </c>
    </row>
    <row r="1172" spans="1:34">
      <c r="A1172" s="28">
        <f>IF(B1172="","",AppointmentPrefix&amp;TEXT(ROW()-4,"0000"))</f>
        <v>0</v>
      </c>
      <c r="C1172" s="15">
        <f>IF(B1172="","",TEXT(B1172,"ddd"))</f>
        <v>0</v>
      </c>
      <c r="F1172" s="15">
        <f>IF(E1172="","",IFERROR(INDEX(Clients!$B$5:$B$504,MATCH(E1172,Clients!$A$5:$A$504,0)),"Walk-in"))</f>
        <v>0</v>
      </c>
      <c r="H1172" s="15">
        <f>IF(G1172="","",IFERROR(INDEX(Services!$B$5:$B$204,MATCH(G1172,Services!$A$5:$A$204,0)),"Not in Services"))</f>
        <v>0</v>
      </c>
      <c r="J1172" s="15">
        <f>IF(I1172="","",IFERROR(INDEX(Staff!$B$5:$B$44,MATCH(I1172,Staff!$A$5:$A$44,0)),"Unassigned"))</f>
        <v>0</v>
      </c>
      <c r="S1172" s="15">
        <f>IF(B1172="","",TEXT(B1172,"yyyy-mm"))</f>
        <v>0</v>
      </c>
      <c r="T1172" s="25">
        <f>IF(B1172="","",WEEKNUM(B1172,2))</f>
        <v>0</v>
      </c>
      <c r="U1172" s="25">
        <f>IF(B1172="","",IF(K1172&lt;&gt;"",K1172,IFERROR(INDEX(Services!$E$5:$E$204,MATCH(G1172,Services!$A$5:$A$204,0))*1,0)+IFERROR(INDEX(Services!$F$5:$F$204,MATCH(G1172,Services!$A$5:$A$204,0))*1,0)))</f>
        <v>0</v>
      </c>
      <c r="V1172" s="36">
        <f>IF(B1172="","",IF(D1172="","",D1172+U1172/1440))</f>
        <v>0</v>
      </c>
      <c r="W1172" s="25">
        <f>IF(B1172="","",IF(D1172="","",HOUR(D1172)))</f>
        <v>0</v>
      </c>
      <c r="X1172" s="37">
        <f>IF(B1172="","",ROUND(U1172/60,2))</f>
        <v>0</v>
      </c>
      <c r="Y1172" s="26">
        <f>IF(B1172="","",IF(L1172&lt;&gt;"",L1172,IFERROR(INDEX(Services!$G$5:$G$204,MATCH(G1172,Services!$A$5:$A$204,0))*1,0)))</f>
        <v>0</v>
      </c>
      <c r="Z1172" s="26">
        <f>IF(B1172="","",IF(O1172&lt;&gt;"",O1172,IF(Y1172&gt;=DepositThreshold,ROUND(Y1172*DepositPercent,2),0)))</f>
        <v>0</v>
      </c>
      <c r="AA1172" s="26">
        <f>IF(B1172="","",ROUND(SUMIFS(Payments!$G$5:$G$1204,Payments!$I$5:$I$1204,A1172,Payments!$E$5:$E$1204,"Deposit"),2))</f>
        <v>0</v>
      </c>
      <c r="AB1172" s="26">
        <f>IF(B1172="","",ROUND(SUMIFS(Sales!$Y$5:$Y$1204,Sales!$C$5:$C$1204,A1172),2))</f>
        <v>0</v>
      </c>
      <c r="AC1172" s="38">
        <f>IF(B1172="","",IF(M1172="Completed","Yes",IF(M1172="Cancelled","Yes",IF(M1172="No show","Yes","No"))))</f>
        <v>0</v>
      </c>
      <c r="AD1172" s="25">
        <f>IF(B1172="","",IF(AE1172="","",B1172-AE1172))</f>
        <v>0</v>
      </c>
      <c r="AF1172" s="38">
        <f>IF(B1172="","",IF(M1172&lt;&gt;"Completed","",IF(E1172="","No",IF(COUNTIFS(Appointments!$E$5:$E$1204,E1172,Appointments!$B$5:$B$1204,"&gt;"&amp;B1172,Appointments!$M$5:$M$1204,"&lt;&gt;Cancelled")&gt;0,"Yes","No"))))</f>
        <v>0</v>
      </c>
      <c r="AG1172" s="38">
        <f>IF(B1172="","",IF(I1172="","",IF(D1172="","",IF(COUNTIFS($I$5:$I$1204,I1172,$B$5:$B$1204,B1172,$D$5:$D$1204,"&lt;"&amp;V1172,$V$5:$V$1204,"&gt;"&amp;D1172,$M$5:$M$1204,"&lt;&gt;Cancelled")&gt;1,"Clash",""))))</f>
        <v>0</v>
      </c>
      <c r="AH1172" s="39">
        <f>IF(B1172="","",IF(AG1172="Clash","Clash - stylist double booked",IF(I1172="","Assign - no stylist yet",IF(G1172="","Add - no service chosen",IF(M1172="No show","No show - charge the fee?",IF(M1172="Cancelled","",IF(IF(M1172="Completed",AB1172&lt;Y1172-0.004,FALSE),"Unpaid - nothing rung up for this visit",IF(IF(B1172&lt;TodayDate,M1172="Booked",FALSE),"Overdue - past date, still only Booked",IF(IF(B1172=TodayDate,TRUE,FALSE),"Today",IF(IF(Z1172&gt;0,AA1172&lt;Z1172-0.004,FALSE),"Due - deposit not taken",IF(IF(B1172&gt;TodayDate,B1172&lt;=TodayDate+2,FALSE),"Confirm - coming up","OK")))))))))))</f>
        <v>0</v>
      </c>
    </row>
    <row r="1173" spans="1:34">
      <c r="A1173" s="28">
        <f>IF(B1173="","",AppointmentPrefix&amp;TEXT(ROW()-4,"0000"))</f>
        <v>0</v>
      </c>
      <c r="C1173" s="15">
        <f>IF(B1173="","",TEXT(B1173,"ddd"))</f>
        <v>0</v>
      </c>
      <c r="F1173" s="15">
        <f>IF(E1173="","",IFERROR(INDEX(Clients!$B$5:$B$504,MATCH(E1173,Clients!$A$5:$A$504,0)),"Walk-in"))</f>
        <v>0</v>
      </c>
      <c r="H1173" s="15">
        <f>IF(G1173="","",IFERROR(INDEX(Services!$B$5:$B$204,MATCH(G1173,Services!$A$5:$A$204,0)),"Not in Services"))</f>
        <v>0</v>
      </c>
      <c r="J1173" s="15">
        <f>IF(I1173="","",IFERROR(INDEX(Staff!$B$5:$B$44,MATCH(I1173,Staff!$A$5:$A$44,0)),"Unassigned"))</f>
        <v>0</v>
      </c>
      <c r="S1173" s="15">
        <f>IF(B1173="","",TEXT(B1173,"yyyy-mm"))</f>
        <v>0</v>
      </c>
      <c r="T1173" s="25">
        <f>IF(B1173="","",WEEKNUM(B1173,2))</f>
        <v>0</v>
      </c>
      <c r="U1173" s="25">
        <f>IF(B1173="","",IF(K1173&lt;&gt;"",K1173,IFERROR(INDEX(Services!$E$5:$E$204,MATCH(G1173,Services!$A$5:$A$204,0))*1,0)+IFERROR(INDEX(Services!$F$5:$F$204,MATCH(G1173,Services!$A$5:$A$204,0))*1,0)))</f>
        <v>0</v>
      </c>
      <c r="V1173" s="36">
        <f>IF(B1173="","",IF(D1173="","",D1173+U1173/1440))</f>
        <v>0</v>
      </c>
      <c r="W1173" s="25">
        <f>IF(B1173="","",IF(D1173="","",HOUR(D1173)))</f>
        <v>0</v>
      </c>
      <c r="X1173" s="37">
        <f>IF(B1173="","",ROUND(U1173/60,2))</f>
        <v>0</v>
      </c>
      <c r="Y1173" s="26">
        <f>IF(B1173="","",IF(L1173&lt;&gt;"",L1173,IFERROR(INDEX(Services!$G$5:$G$204,MATCH(G1173,Services!$A$5:$A$204,0))*1,0)))</f>
        <v>0</v>
      </c>
      <c r="Z1173" s="26">
        <f>IF(B1173="","",IF(O1173&lt;&gt;"",O1173,IF(Y1173&gt;=DepositThreshold,ROUND(Y1173*DepositPercent,2),0)))</f>
        <v>0</v>
      </c>
      <c r="AA1173" s="26">
        <f>IF(B1173="","",ROUND(SUMIFS(Payments!$G$5:$G$1204,Payments!$I$5:$I$1204,A1173,Payments!$E$5:$E$1204,"Deposit"),2))</f>
        <v>0</v>
      </c>
      <c r="AB1173" s="26">
        <f>IF(B1173="","",ROUND(SUMIFS(Sales!$Y$5:$Y$1204,Sales!$C$5:$C$1204,A1173),2))</f>
        <v>0</v>
      </c>
      <c r="AC1173" s="38">
        <f>IF(B1173="","",IF(M1173="Completed","Yes",IF(M1173="Cancelled","Yes",IF(M1173="No show","Yes","No"))))</f>
        <v>0</v>
      </c>
      <c r="AD1173" s="25">
        <f>IF(B1173="","",IF(AE1173="","",B1173-AE1173))</f>
        <v>0</v>
      </c>
      <c r="AF1173" s="38">
        <f>IF(B1173="","",IF(M1173&lt;&gt;"Completed","",IF(E1173="","No",IF(COUNTIFS(Appointments!$E$5:$E$1204,E1173,Appointments!$B$5:$B$1204,"&gt;"&amp;B1173,Appointments!$M$5:$M$1204,"&lt;&gt;Cancelled")&gt;0,"Yes","No"))))</f>
        <v>0</v>
      </c>
      <c r="AG1173" s="38">
        <f>IF(B1173="","",IF(I1173="","",IF(D1173="","",IF(COUNTIFS($I$5:$I$1204,I1173,$B$5:$B$1204,B1173,$D$5:$D$1204,"&lt;"&amp;V1173,$V$5:$V$1204,"&gt;"&amp;D1173,$M$5:$M$1204,"&lt;&gt;Cancelled")&gt;1,"Clash",""))))</f>
        <v>0</v>
      </c>
      <c r="AH1173" s="39">
        <f>IF(B1173="","",IF(AG1173="Clash","Clash - stylist double booked",IF(I1173="","Assign - no stylist yet",IF(G1173="","Add - no service chosen",IF(M1173="No show","No show - charge the fee?",IF(M1173="Cancelled","",IF(IF(M1173="Completed",AB1173&lt;Y1173-0.004,FALSE),"Unpaid - nothing rung up for this visit",IF(IF(B1173&lt;TodayDate,M1173="Booked",FALSE),"Overdue - past date, still only Booked",IF(IF(B1173=TodayDate,TRUE,FALSE),"Today",IF(IF(Z1173&gt;0,AA1173&lt;Z1173-0.004,FALSE),"Due - deposit not taken",IF(IF(B1173&gt;TodayDate,B1173&lt;=TodayDate+2,FALSE),"Confirm - coming up","OK")))))))))))</f>
        <v>0</v>
      </c>
    </row>
    <row r="1174" spans="1:34">
      <c r="A1174" s="28">
        <f>IF(B1174="","",AppointmentPrefix&amp;TEXT(ROW()-4,"0000"))</f>
        <v>0</v>
      </c>
      <c r="C1174" s="15">
        <f>IF(B1174="","",TEXT(B1174,"ddd"))</f>
        <v>0</v>
      </c>
      <c r="F1174" s="15">
        <f>IF(E1174="","",IFERROR(INDEX(Clients!$B$5:$B$504,MATCH(E1174,Clients!$A$5:$A$504,0)),"Walk-in"))</f>
        <v>0</v>
      </c>
      <c r="H1174" s="15">
        <f>IF(G1174="","",IFERROR(INDEX(Services!$B$5:$B$204,MATCH(G1174,Services!$A$5:$A$204,0)),"Not in Services"))</f>
        <v>0</v>
      </c>
      <c r="J1174" s="15">
        <f>IF(I1174="","",IFERROR(INDEX(Staff!$B$5:$B$44,MATCH(I1174,Staff!$A$5:$A$44,0)),"Unassigned"))</f>
        <v>0</v>
      </c>
      <c r="S1174" s="15">
        <f>IF(B1174="","",TEXT(B1174,"yyyy-mm"))</f>
        <v>0</v>
      </c>
      <c r="T1174" s="25">
        <f>IF(B1174="","",WEEKNUM(B1174,2))</f>
        <v>0</v>
      </c>
      <c r="U1174" s="25">
        <f>IF(B1174="","",IF(K1174&lt;&gt;"",K1174,IFERROR(INDEX(Services!$E$5:$E$204,MATCH(G1174,Services!$A$5:$A$204,0))*1,0)+IFERROR(INDEX(Services!$F$5:$F$204,MATCH(G1174,Services!$A$5:$A$204,0))*1,0)))</f>
        <v>0</v>
      </c>
      <c r="V1174" s="36">
        <f>IF(B1174="","",IF(D1174="","",D1174+U1174/1440))</f>
        <v>0</v>
      </c>
      <c r="W1174" s="25">
        <f>IF(B1174="","",IF(D1174="","",HOUR(D1174)))</f>
        <v>0</v>
      </c>
      <c r="X1174" s="37">
        <f>IF(B1174="","",ROUND(U1174/60,2))</f>
        <v>0</v>
      </c>
      <c r="Y1174" s="26">
        <f>IF(B1174="","",IF(L1174&lt;&gt;"",L1174,IFERROR(INDEX(Services!$G$5:$G$204,MATCH(G1174,Services!$A$5:$A$204,0))*1,0)))</f>
        <v>0</v>
      </c>
      <c r="Z1174" s="26">
        <f>IF(B1174="","",IF(O1174&lt;&gt;"",O1174,IF(Y1174&gt;=DepositThreshold,ROUND(Y1174*DepositPercent,2),0)))</f>
        <v>0</v>
      </c>
      <c r="AA1174" s="26">
        <f>IF(B1174="","",ROUND(SUMIFS(Payments!$G$5:$G$1204,Payments!$I$5:$I$1204,A1174,Payments!$E$5:$E$1204,"Deposit"),2))</f>
        <v>0</v>
      </c>
      <c r="AB1174" s="26">
        <f>IF(B1174="","",ROUND(SUMIFS(Sales!$Y$5:$Y$1204,Sales!$C$5:$C$1204,A1174),2))</f>
        <v>0</v>
      </c>
      <c r="AC1174" s="38">
        <f>IF(B1174="","",IF(M1174="Completed","Yes",IF(M1174="Cancelled","Yes",IF(M1174="No show","Yes","No"))))</f>
        <v>0</v>
      </c>
      <c r="AD1174" s="25">
        <f>IF(B1174="","",IF(AE1174="","",B1174-AE1174))</f>
        <v>0</v>
      </c>
      <c r="AF1174" s="38">
        <f>IF(B1174="","",IF(M1174&lt;&gt;"Completed","",IF(E1174="","No",IF(COUNTIFS(Appointments!$E$5:$E$1204,E1174,Appointments!$B$5:$B$1204,"&gt;"&amp;B1174,Appointments!$M$5:$M$1204,"&lt;&gt;Cancelled")&gt;0,"Yes","No"))))</f>
        <v>0</v>
      </c>
      <c r="AG1174" s="38">
        <f>IF(B1174="","",IF(I1174="","",IF(D1174="","",IF(COUNTIFS($I$5:$I$1204,I1174,$B$5:$B$1204,B1174,$D$5:$D$1204,"&lt;"&amp;V1174,$V$5:$V$1204,"&gt;"&amp;D1174,$M$5:$M$1204,"&lt;&gt;Cancelled")&gt;1,"Clash",""))))</f>
        <v>0</v>
      </c>
      <c r="AH1174" s="39">
        <f>IF(B1174="","",IF(AG1174="Clash","Clash - stylist double booked",IF(I1174="","Assign - no stylist yet",IF(G1174="","Add - no service chosen",IF(M1174="No show","No show - charge the fee?",IF(M1174="Cancelled","",IF(IF(M1174="Completed",AB1174&lt;Y1174-0.004,FALSE),"Unpaid - nothing rung up for this visit",IF(IF(B1174&lt;TodayDate,M1174="Booked",FALSE),"Overdue - past date, still only Booked",IF(IF(B1174=TodayDate,TRUE,FALSE),"Today",IF(IF(Z1174&gt;0,AA1174&lt;Z1174-0.004,FALSE),"Due - deposit not taken",IF(IF(B1174&gt;TodayDate,B1174&lt;=TodayDate+2,FALSE),"Confirm - coming up","OK")))))))))))</f>
        <v>0</v>
      </c>
    </row>
    <row r="1175" spans="1:34">
      <c r="A1175" s="28">
        <f>IF(B1175="","",AppointmentPrefix&amp;TEXT(ROW()-4,"0000"))</f>
        <v>0</v>
      </c>
      <c r="C1175" s="15">
        <f>IF(B1175="","",TEXT(B1175,"ddd"))</f>
        <v>0</v>
      </c>
      <c r="F1175" s="15">
        <f>IF(E1175="","",IFERROR(INDEX(Clients!$B$5:$B$504,MATCH(E1175,Clients!$A$5:$A$504,0)),"Walk-in"))</f>
        <v>0</v>
      </c>
      <c r="H1175" s="15">
        <f>IF(G1175="","",IFERROR(INDEX(Services!$B$5:$B$204,MATCH(G1175,Services!$A$5:$A$204,0)),"Not in Services"))</f>
        <v>0</v>
      </c>
      <c r="J1175" s="15">
        <f>IF(I1175="","",IFERROR(INDEX(Staff!$B$5:$B$44,MATCH(I1175,Staff!$A$5:$A$44,0)),"Unassigned"))</f>
        <v>0</v>
      </c>
      <c r="S1175" s="15">
        <f>IF(B1175="","",TEXT(B1175,"yyyy-mm"))</f>
        <v>0</v>
      </c>
      <c r="T1175" s="25">
        <f>IF(B1175="","",WEEKNUM(B1175,2))</f>
        <v>0</v>
      </c>
      <c r="U1175" s="25">
        <f>IF(B1175="","",IF(K1175&lt;&gt;"",K1175,IFERROR(INDEX(Services!$E$5:$E$204,MATCH(G1175,Services!$A$5:$A$204,0))*1,0)+IFERROR(INDEX(Services!$F$5:$F$204,MATCH(G1175,Services!$A$5:$A$204,0))*1,0)))</f>
        <v>0</v>
      </c>
      <c r="V1175" s="36">
        <f>IF(B1175="","",IF(D1175="","",D1175+U1175/1440))</f>
        <v>0</v>
      </c>
      <c r="W1175" s="25">
        <f>IF(B1175="","",IF(D1175="","",HOUR(D1175)))</f>
        <v>0</v>
      </c>
      <c r="X1175" s="37">
        <f>IF(B1175="","",ROUND(U1175/60,2))</f>
        <v>0</v>
      </c>
      <c r="Y1175" s="26">
        <f>IF(B1175="","",IF(L1175&lt;&gt;"",L1175,IFERROR(INDEX(Services!$G$5:$G$204,MATCH(G1175,Services!$A$5:$A$204,0))*1,0)))</f>
        <v>0</v>
      </c>
      <c r="Z1175" s="26">
        <f>IF(B1175="","",IF(O1175&lt;&gt;"",O1175,IF(Y1175&gt;=DepositThreshold,ROUND(Y1175*DepositPercent,2),0)))</f>
        <v>0</v>
      </c>
      <c r="AA1175" s="26">
        <f>IF(B1175="","",ROUND(SUMIFS(Payments!$G$5:$G$1204,Payments!$I$5:$I$1204,A1175,Payments!$E$5:$E$1204,"Deposit"),2))</f>
        <v>0</v>
      </c>
      <c r="AB1175" s="26">
        <f>IF(B1175="","",ROUND(SUMIFS(Sales!$Y$5:$Y$1204,Sales!$C$5:$C$1204,A1175),2))</f>
        <v>0</v>
      </c>
      <c r="AC1175" s="38">
        <f>IF(B1175="","",IF(M1175="Completed","Yes",IF(M1175="Cancelled","Yes",IF(M1175="No show","Yes","No"))))</f>
        <v>0</v>
      </c>
      <c r="AD1175" s="25">
        <f>IF(B1175="","",IF(AE1175="","",B1175-AE1175))</f>
        <v>0</v>
      </c>
      <c r="AF1175" s="38">
        <f>IF(B1175="","",IF(M1175&lt;&gt;"Completed","",IF(E1175="","No",IF(COUNTIFS(Appointments!$E$5:$E$1204,E1175,Appointments!$B$5:$B$1204,"&gt;"&amp;B1175,Appointments!$M$5:$M$1204,"&lt;&gt;Cancelled")&gt;0,"Yes","No"))))</f>
        <v>0</v>
      </c>
      <c r="AG1175" s="38">
        <f>IF(B1175="","",IF(I1175="","",IF(D1175="","",IF(COUNTIFS($I$5:$I$1204,I1175,$B$5:$B$1204,B1175,$D$5:$D$1204,"&lt;"&amp;V1175,$V$5:$V$1204,"&gt;"&amp;D1175,$M$5:$M$1204,"&lt;&gt;Cancelled")&gt;1,"Clash",""))))</f>
        <v>0</v>
      </c>
      <c r="AH1175" s="39">
        <f>IF(B1175="","",IF(AG1175="Clash","Clash - stylist double booked",IF(I1175="","Assign - no stylist yet",IF(G1175="","Add - no service chosen",IF(M1175="No show","No show - charge the fee?",IF(M1175="Cancelled","",IF(IF(M1175="Completed",AB1175&lt;Y1175-0.004,FALSE),"Unpaid - nothing rung up for this visit",IF(IF(B1175&lt;TodayDate,M1175="Booked",FALSE),"Overdue - past date, still only Booked",IF(IF(B1175=TodayDate,TRUE,FALSE),"Today",IF(IF(Z1175&gt;0,AA1175&lt;Z1175-0.004,FALSE),"Due - deposit not taken",IF(IF(B1175&gt;TodayDate,B1175&lt;=TodayDate+2,FALSE),"Confirm - coming up","OK")))))))))))</f>
        <v>0</v>
      </c>
    </row>
    <row r="1176" spans="1:34">
      <c r="A1176" s="28">
        <f>IF(B1176="","",AppointmentPrefix&amp;TEXT(ROW()-4,"0000"))</f>
        <v>0</v>
      </c>
      <c r="C1176" s="15">
        <f>IF(B1176="","",TEXT(B1176,"ddd"))</f>
        <v>0</v>
      </c>
      <c r="F1176" s="15">
        <f>IF(E1176="","",IFERROR(INDEX(Clients!$B$5:$B$504,MATCH(E1176,Clients!$A$5:$A$504,0)),"Walk-in"))</f>
        <v>0</v>
      </c>
      <c r="H1176" s="15">
        <f>IF(G1176="","",IFERROR(INDEX(Services!$B$5:$B$204,MATCH(G1176,Services!$A$5:$A$204,0)),"Not in Services"))</f>
        <v>0</v>
      </c>
      <c r="J1176" s="15">
        <f>IF(I1176="","",IFERROR(INDEX(Staff!$B$5:$B$44,MATCH(I1176,Staff!$A$5:$A$44,0)),"Unassigned"))</f>
        <v>0</v>
      </c>
      <c r="S1176" s="15">
        <f>IF(B1176="","",TEXT(B1176,"yyyy-mm"))</f>
        <v>0</v>
      </c>
      <c r="T1176" s="25">
        <f>IF(B1176="","",WEEKNUM(B1176,2))</f>
        <v>0</v>
      </c>
      <c r="U1176" s="25">
        <f>IF(B1176="","",IF(K1176&lt;&gt;"",K1176,IFERROR(INDEX(Services!$E$5:$E$204,MATCH(G1176,Services!$A$5:$A$204,0))*1,0)+IFERROR(INDEX(Services!$F$5:$F$204,MATCH(G1176,Services!$A$5:$A$204,0))*1,0)))</f>
        <v>0</v>
      </c>
      <c r="V1176" s="36">
        <f>IF(B1176="","",IF(D1176="","",D1176+U1176/1440))</f>
        <v>0</v>
      </c>
      <c r="W1176" s="25">
        <f>IF(B1176="","",IF(D1176="","",HOUR(D1176)))</f>
        <v>0</v>
      </c>
      <c r="X1176" s="37">
        <f>IF(B1176="","",ROUND(U1176/60,2))</f>
        <v>0</v>
      </c>
      <c r="Y1176" s="26">
        <f>IF(B1176="","",IF(L1176&lt;&gt;"",L1176,IFERROR(INDEX(Services!$G$5:$G$204,MATCH(G1176,Services!$A$5:$A$204,0))*1,0)))</f>
        <v>0</v>
      </c>
      <c r="Z1176" s="26">
        <f>IF(B1176="","",IF(O1176&lt;&gt;"",O1176,IF(Y1176&gt;=DepositThreshold,ROUND(Y1176*DepositPercent,2),0)))</f>
        <v>0</v>
      </c>
      <c r="AA1176" s="26">
        <f>IF(B1176="","",ROUND(SUMIFS(Payments!$G$5:$G$1204,Payments!$I$5:$I$1204,A1176,Payments!$E$5:$E$1204,"Deposit"),2))</f>
        <v>0</v>
      </c>
      <c r="AB1176" s="26">
        <f>IF(B1176="","",ROUND(SUMIFS(Sales!$Y$5:$Y$1204,Sales!$C$5:$C$1204,A1176),2))</f>
        <v>0</v>
      </c>
      <c r="AC1176" s="38">
        <f>IF(B1176="","",IF(M1176="Completed","Yes",IF(M1176="Cancelled","Yes",IF(M1176="No show","Yes","No"))))</f>
        <v>0</v>
      </c>
      <c r="AD1176" s="25">
        <f>IF(B1176="","",IF(AE1176="","",B1176-AE1176))</f>
        <v>0</v>
      </c>
      <c r="AF1176" s="38">
        <f>IF(B1176="","",IF(M1176&lt;&gt;"Completed","",IF(E1176="","No",IF(COUNTIFS(Appointments!$E$5:$E$1204,E1176,Appointments!$B$5:$B$1204,"&gt;"&amp;B1176,Appointments!$M$5:$M$1204,"&lt;&gt;Cancelled")&gt;0,"Yes","No"))))</f>
        <v>0</v>
      </c>
      <c r="AG1176" s="38">
        <f>IF(B1176="","",IF(I1176="","",IF(D1176="","",IF(COUNTIFS($I$5:$I$1204,I1176,$B$5:$B$1204,B1176,$D$5:$D$1204,"&lt;"&amp;V1176,$V$5:$V$1204,"&gt;"&amp;D1176,$M$5:$M$1204,"&lt;&gt;Cancelled")&gt;1,"Clash",""))))</f>
        <v>0</v>
      </c>
      <c r="AH1176" s="39">
        <f>IF(B1176="","",IF(AG1176="Clash","Clash - stylist double booked",IF(I1176="","Assign - no stylist yet",IF(G1176="","Add - no service chosen",IF(M1176="No show","No show - charge the fee?",IF(M1176="Cancelled","",IF(IF(M1176="Completed",AB1176&lt;Y1176-0.004,FALSE),"Unpaid - nothing rung up for this visit",IF(IF(B1176&lt;TodayDate,M1176="Booked",FALSE),"Overdue - past date, still only Booked",IF(IF(B1176=TodayDate,TRUE,FALSE),"Today",IF(IF(Z1176&gt;0,AA1176&lt;Z1176-0.004,FALSE),"Due - deposit not taken",IF(IF(B1176&gt;TodayDate,B1176&lt;=TodayDate+2,FALSE),"Confirm - coming up","OK")))))))))))</f>
        <v>0</v>
      </c>
    </row>
    <row r="1177" spans="1:34">
      <c r="A1177" s="28">
        <f>IF(B1177="","",AppointmentPrefix&amp;TEXT(ROW()-4,"0000"))</f>
        <v>0</v>
      </c>
      <c r="C1177" s="15">
        <f>IF(B1177="","",TEXT(B1177,"ddd"))</f>
        <v>0</v>
      </c>
      <c r="F1177" s="15">
        <f>IF(E1177="","",IFERROR(INDEX(Clients!$B$5:$B$504,MATCH(E1177,Clients!$A$5:$A$504,0)),"Walk-in"))</f>
        <v>0</v>
      </c>
      <c r="H1177" s="15">
        <f>IF(G1177="","",IFERROR(INDEX(Services!$B$5:$B$204,MATCH(G1177,Services!$A$5:$A$204,0)),"Not in Services"))</f>
        <v>0</v>
      </c>
      <c r="J1177" s="15">
        <f>IF(I1177="","",IFERROR(INDEX(Staff!$B$5:$B$44,MATCH(I1177,Staff!$A$5:$A$44,0)),"Unassigned"))</f>
        <v>0</v>
      </c>
      <c r="S1177" s="15">
        <f>IF(B1177="","",TEXT(B1177,"yyyy-mm"))</f>
        <v>0</v>
      </c>
      <c r="T1177" s="25">
        <f>IF(B1177="","",WEEKNUM(B1177,2))</f>
        <v>0</v>
      </c>
      <c r="U1177" s="25">
        <f>IF(B1177="","",IF(K1177&lt;&gt;"",K1177,IFERROR(INDEX(Services!$E$5:$E$204,MATCH(G1177,Services!$A$5:$A$204,0))*1,0)+IFERROR(INDEX(Services!$F$5:$F$204,MATCH(G1177,Services!$A$5:$A$204,0))*1,0)))</f>
        <v>0</v>
      </c>
      <c r="V1177" s="36">
        <f>IF(B1177="","",IF(D1177="","",D1177+U1177/1440))</f>
        <v>0</v>
      </c>
      <c r="W1177" s="25">
        <f>IF(B1177="","",IF(D1177="","",HOUR(D1177)))</f>
        <v>0</v>
      </c>
      <c r="X1177" s="37">
        <f>IF(B1177="","",ROUND(U1177/60,2))</f>
        <v>0</v>
      </c>
      <c r="Y1177" s="26">
        <f>IF(B1177="","",IF(L1177&lt;&gt;"",L1177,IFERROR(INDEX(Services!$G$5:$G$204,MATCH(G1177,Services!$A$5:$A$204,0))*1,0)))</f>
        <v>0</v>
      </c>
      <c r="Z1177" s="26">
        <f>IF(B1177="","",IF(O1177&lt;&gt;"",O1177,IF(Y1177&gt;=DepositThreshold,ROUND(Y1177*DepositPercent,2),0)))</f>
        <v>0</v>
      </c>
      <c r="AA1177" s="26">
        <f>IF(B1177="","",ROUND(SUMIFS(Payments!$G$5:$G$1204,Payments!$I$5:$I$1204,A1177,Payments!$E$5:$E$1204,"Deposit"),2))</f>
        <v>0</v>
      </c>
      <c r="AB1177" s="26">
        <f>IF(B1177="","",ROUND(SUMIFS(Sales!$Y$5:$Y$1204,Sales!$C$5:$C$1204,A1177),2))</f>
        <v>0</v>
      </c>
      <c r="AC1177" s="38">
        <f>IF(B1177="","",IF(M1177="Completed","Yes",IF(M1177="Cancelled","Yes",IF(M1177="No show","Yes","No"))))</f>
        <v>0</v>
      </c>
      <c r="AD1177" s="25">
        <f>IF(B1177="","",IF(AE1177="","",B1177-AE1177))</f>
        <v>0</v>
      </c>
      <c r="AF1177" s="38">
        <f>IF(B1177="","",IF(M1177&lt;&gt;"Completed","",IF(E1177="","No",IF(COUNTIFS(Appointments!$E$5:$E$1204,E1177,Appointments!$B$5:$B$1204,"&gt;"&amp;B1177,Appointments!$M$5:$M$1204,"&lt;&gt;Cancelled")&gt;0,"Yes","No"))))</f>
        <v>0</v>
      </c>
      <c r="AG1177" s="38">
        <f>IF(B1177="","",IF(I1177="","",IF(D1177="","",IF(COUNTIFS($I$5:$I$1204,I1177,$B$5:$B$1204,B1177,$D$5:$D$1204,"&lt;"&amp;V1177,$V$5:$V$1204,"&gt;"&amp;D1177,$M$5:$M$1204,"&lt;&gt;Cancelled")&gt;1,"Clash",""))))</f>
        <v>0</v>
      </c>
      <c r="AH1177" s="39">
        <f>IF(B1177="","",IF(AG1177="Clash","Clash - stylist double booked",IF(I1177="","Assign - no stylist yet",IF(G1177="","Add - no service chosen",IF(M1177="No show","No show - charge the fee?",IF(M1177="Cancelled","",IF(IF(M1177="Completed",AB1177&lt;Y1177-0.004,FALSE),"Unpaid - nothing rung up for this visit",IF(IF(B1177&lt;TodayDate,M1177="Booked",FALSE),"Overdue - past date, still only Booked",IF(IF(B1177=TodayDate,TRUE,FALSE),"Today",IF(IF(Z1177&gt;0,AA1177&lt;Z1177-0.004,FALSE),"Due - deposit not taken",IF(IF(B1177&gt;TodayDate,B1177&lt;=TodayDate+2,FALSE),"Confirm - coming up","OK")))))))))))</f>
        <v>0</v>
      </c>
    </row>
    <row r="1178" spans="1:34">
      <c r="A1178" s="28">
        <f>IF(B1178="","",AppointmentPrefix&amp;TEXT(ROW()-4,"0000"))</f>
        <v>0</v>
      </c>
      <c r="C1178" s="15">
        <f>IF(B1178="","",TEXT(B1178,"ddd"))</f>
        <v>0</v>
      </c>
      <c r="F1178" s="15">
        <f>IF(E1178="","",IFERROR(INDEX(Clients!$B$5:$B$504,MATCH(E1178,Clients!$A$5:$A$504,0)),"Walk-in"))</f>
        <v>0</v>
      </c>
      <c r="H1178" s="15">
        <f>IF(G1178="","",IFERROR(INDEX(Services!$B$5:$B$204,MATCH(G1178,Services!$A$5:$A$204,0)),"Not in Services"))</f>
        <v>0</v>
      </c>
      <c r="J1178" s="15">
        <f>IF(I1178="","",IFERROR(INDEX(Staff!$B$5:$B$44,MATCH(I1178,Staff!$A$5:$A$44,0)),"Unassigned"))</f>
        <v>0</v>
      </c>
      <c r="S1178" s="15">
        <f>IF(B1178="","",TEXT(B1178,"yyyy-mm"))</f>
        <v>0</v>
      </c>
      <c r="T1178" s="25">
        <f>IF(B1178="","",WEEKNUM(B1178,2))</f>
        <v>0</v>
      </c>
      <c r="U1178" s="25">
        <f>IF(B1178="","",IF(K1178&lt;&gt;"",K1178,IFERROR(INDEX(Services!$E$5:$E$204,MATCH(G1178,Services!$A$5:$A$204,0))*1,0)+IFERROR(INDEX(Services!$F$5:$F$204,MATCH(G1178,Services!$A$5:$A$204,0))*1,0)))</f>
        <v>0</v>
      </c>
      <c r="V1178" s="36">
        <f>IF(B1178="","",IF(D1178="","",D1178+U1178/1440))</f>
        <v>0</v>
      </c>
      <c r="W1178" s="25">
        <f>IF(B1178="","",IF(D1178="","",HOUR(D1178)))</f>
        <v>0</v>
      </c>
      <c r="X1178" s="37">
        <f>IF(B1178="","",ROUND(U1178/60,2))</f>
        <v>0</v>
      </c>
      <c r="Y1178" s="26">
        <f>IF(B1178="","",IF(L1178&lt;&gt;"",L1178,IFERROR(INDEX(Services!$G$5:$G$204,MATCH(G1178,Services!$A$5:$A$204,0))*1,0)))</f>
        <v>0</v>
      </c>
      <c r="Z1178" s="26">
        <f>IF(B1178="","",IF(O1178&lt;&gt;"",O1178,IF(Y1178&gt;=DepositThreshold,ROUND(Y1178*DepositPercent,2),0)))</f>
        <v>0</v>
      </c>
      <c r="AA1178" s="26">
        <f>IF(B1178="","",ROUND(SUMIFS(Payments!$G$5:$G$1204,Payments!$I$5:$I$1204,A1178,Payments!$E$5:$E$1204,"Deposit"),2))</f>
        <v>0</v>
      </c>
      <c r="AB1178" s="26">
        <f>IF(B1178="","",ROUND(SUMIFS(Sales!$Y$5:$Y$1204,Sales!$C$5:$C$1204,A1178),2))</f>
        <v>0</v>
      </c>
      <c r="AC1178" s="38">
        <f>IF(B1178="","",IF(M1178="Completed","Yes",IF(M1178="Cancelled","Yes",IF(M1178="No show","Yes","No"))))</f>
        <v>0</v>
      </c>
      <c r="AD1178" s="25">
        <f>IF(B1178="","",IF(AE1178="","",B1178-AE1178))</f>
        <v>0</v>
      </c>
      <c r="AF1178" s="38">
        <f>IF(B1178="","",IF(M1178&lt;&gt;"Completed","",IF(E1178="","No",IF(COUNTIFS(Appointments!$E$5:$E$1204,E1178,Appointments!$B$5:$B$1204,"&gt;"&amp;B1178,Appointments!$M$5:$M$1204,"&lt;&gt;Cancelled")&gt;0,"Yes","No"))))</f>
        <v>0</v>
      </c>
      <c r="AG1178" s="38">
        <f>IF(B1178="","",IF(I1178="","",IF(D1178="","",IF(COUNTIFS($I$5:$I$1204,I1178,$B$5:$B$1204,B1178,$D$5:$D$1204,"&lt;"&amp;V1178,$V$5:$V$1204,"&gt;"&amp;D1178,$M$5:$M$1204,"&lt;&gt;Cancelled")&gt;1,"Clash",""))))</f>
        <v>0</v>
      </c>
      <c r="AH1178" s="39">
        <f>IF(B1178="","",IF(AG1178="Clash","Clash - stylist double booked",IF(I1178="","Assign - no stylist yet",IF(G1178="","Add - no service chosen",IF(M1178="No show","No show - charge the fee?",IF(M1178="Cancelled","",IF(IF(M1178="Completed",AB1178&lt;Y1178-0.004,FALSE),"Unpaid - nothing rung up for this visit",IF(IF(B1178&lt;TodayDate,M1178="Booked",FALSE),"Overdue - past date, still only Booked",IF(IF(B1178=TodayDate,TRUE,FALSE),"Today",IF(IF(Z1178&gt;0,AA1178&lt;Z1178-0.004,FALSE),"Due - deposit not taken",IF(IF(B1178&gt;TodayDate,B1178&lt;=TodayDate+2,FALSE),"Confirm - coming up","OK")))))))))))</f>
        <v>0</v>
      </c>
    </row>
    <row r="1179" spans="1:34">
      <c r="A1179" s="28">
        <f>IF(B1179="","",AppointmentPrefix&amp;TEXT(ROW()-4,"0000"))</f>
        <v>0</v>
      </c>
      <c r="C1179" s="15">
        <f>IF(B1179="","",TEXT(B1179,"ddd"))</f>
        <v>0</v>
      </c>
      <c r="F1179" s="15">
        <f>IF(E1179="","",IFERROR(INDEX(Clients!$B$5:$B$504,MATCH(E1179,Clients!$A$5:$A$504,0)),"Walk-in"))</f>
        <v>0</v>
      </c>
      <c r="H1179" s="15">
        <f>IF(G1179="","",IFERROR(INDEX(Services!$B$5:$B$204,MATCH(G1179,Services!$A$5:$A$204,0)),"Not in Services"))</f>
        <v>0</v>
      </c>
      <c r="J1179" s="15">
        <f>IF(I1179="","",IFERROR(INDEX(Staff!$B$5:$B$44,MATCH(I1179,Staff!$A$5:$A$44,0)),"Unassigned"))</f>
        <v>0</v>
      </c>
      <c r="S1179" s="15">
        <f>IF(B1179="","",TEXT(B1179,"yyyy-mm"))</f>
        <v>0</v>
      </c>
      <c r="T1179" s="25">
        <f>IF(B1179="","",WEEKNUM(B1179,2))</f>
        <v>0</v>
      </c>
      <c r="U1179" s="25">
        <f>IF(B1179="","",IF(K1179&lt;&gt;"",K1179,IFERROR(INDEX(Services!$E$5:$E$204,MATCH(G1179,Services!$A$5:$A$204,0))*1,0)+IFERROR(INDEX(Services!$F$5:$F$204,MATCH(G1179,Services!$A$5:$A$204,0))*1,0)))</f>
        <v>0</v>
      </c>
      <c r="V1179" s="36">
        <f>IF(B1179="","",IF(D1179="","",D1179+U1179/1440))</f>
        <v>0</v>
      </c>
      <c r="W1179" s="25">
        <f>IF(B1179="","",IF(D1179="","",HOUR(D1179)))</f>
        <v>0</v>
      </c>
      <c r="X1179" s="37">
        <f>IF(B1179="","",ROUND(U1179/60,2))</f>
        <v>0</v>
      </c>
      <c r="Y1179" s="26">
        <f>IF(B1179="","",IF(L1179&lt;&gt;"",L1179,IFERROR(INDEX(Services!$G$5:$G$204,MATCH(G1179,Services!$A$5:$A$204,0))*1,0)))</f>
        <v>0</v>
      </c>
      <c r="Z1179" s="26">
        <f>IF(B1179="","",IF(O1179&lt;&gt;"",O1179,IF(Y1179&gt;=DepositThreshold,ROUND(Y1179*DepositPercent,2),0)))</f>
        <v>0</v>
      </c>
      <c r="AA1179" s="26">
        <f>IF(B1179="","",ROUND(SUMIFS(Payments!$G$5:$G$1204,Payments!$I$5:$I$1204,A1179,Payments!$E$5:$E$1204,"Deposit"),2))</f>
        <v>0</v>
      </c>
      <c r="AB1179" s="26">
        <f>IF(B1179="","",ROUND(SUMIFS(Sales!$Y$5:$Y$1204,Sales!$C$5:$C$1204,A1179),2))</f>
        <v>0</v>
      </c>
      <c r="AC1179" s="38">
        <f>IF(B1179="","",IF(M1179="Completed","Yes",IF(M1179="Cancelled","Yes",IF(M1179="No show","Yes","No"))))</f>
        <v>0</v>
      </c>
      <c r="AD1179" s="25">
        <f>IF(B1179="","",IF(AE1179="","",B1179-AE1179))</f>
        <v>0</v>
      </c>
      <c r="AF1179" s="38">
        <f>IF(B1179="","",IF(M1179&lt;&gt;"Completed","",IF(E1179="","No",IF(COUNTIFS(Appointments!$E$5:$E$1204,E1179,Appointments!$B$5:$B$1204,"&gt;"&amp;B1179,Appointments!$M$5:$M$1204,"&lt;&gt;Cancelled")&gt;0,"Yes","No"))))</f>
        <v>0</v>
      </c>
      <c r="AG1179" s="38">
        <f>IF(B1179="","",IF(I1179="","",IF(D1179="","",IF(COUNTIFS($I$5:$I$1204,I1179,$B$5:$B$1204,B1179,$D$5:$D$1204,"&lt;"&amp;V1179,$V$5:$V$1204,"&gt;"&amp;D1179,$M$5:$M$1204,"&lt;&gt;Cancelled")&gt;1,"Clash",""))))</f>
        <v>0</v>
      </c>
      <c r="AH1179" s="39">
        <f>IF(B1179="","",IF(AG1179="Clash","Clash - stylist double booked",IF(I1179="","Assign - no stylist yet",IF(G1179="","Add - no service chosen",IF(M1179="No show","No show - charge the fee?",IF(M1179="Cancelled","",IF(IF(M1179="Completed",AB1179&lt;Y1179-0.004,FALSE),"Unpaid - nothing rung up for this visit",IF(IF(B1179&lt;TodayDate,M1179="Booked",FALSE),"Overdue - past date, still only Booked",IF(IF(B1179=TodayDate,TRUE,FALSE),"Today",IF(IF(Z1179&gt;0,AA1179&lt;Z1179-0.004,FALSE),"Due - deposit not taken",IF(IF(B1179&gt;TodayDate,B1179&lt;=TodayDate+2,FALSE),"Confirm - coming up","OK")))))))))))</f>
        <v>0</v>
      </c>
    </row>
    <row r="1180" spans="1:34">
      <c r="A1180" s="28">
        <f>IF(B1180="","",AppointmentPrefix&amp;TEXT(ROW()-4,"0000"))</f>
        <v>0</v>
      </c>
      <c r="C1180" s="15">
        <f>IF(B1180="","",TEXT(B1180,"ddd"))</f>
        <v>0</v>
      </c>
      <c r="F1180" s="15">
        <f>IF(E1180="","",IFERROR(INDEX(Clients!$B$5:$B$504,MATCH(E1180,Clients!$A$5:$A$504,0)),"Walk-in"))</f>
        <v>0</v>
      </c>
      <c r="H1180" s="15">
        <f>IF(G1180="","",IFERROR(INDEX(Services!$B$5:$B$204,MATCH(G1180,Services!$A$5:$A$204,0)),"Not in Services"))</f>
        <v>0</v>
      </c>
      <c r="J1180" s="15">
        <f>IF(I1180="","",IFERROR(INDEX(Staff!$B$5:$B$44,MATCH(I1180,Staff!$A$5:$A$44,0)),"Unassigned"))</f>
        <v>0</v>
      </c>
      <c r="S1180" s="15">
        <f>IF(B1180="","",TEXT(B1180,"yyyy-mm"))</f>
        <v>0</v>
      </c>
      <c r="T1180" s="25">
        <f>IF(B1180="","",WEEKNUM(B1180,2))</f>
        <v>0</v>
      </c>
      <c r="U1180" s="25">
        <f>IF(B1180="","",IF(K1180&lt;&gt;"",K1180,IFERROR(INDEX(Services!$E$5:$E$204,MATCH(G1180,Services!$A$5:$A$204,0))*1,0)+IFERROR(INDEX(Services!$F$5:$F$204,MATCH(G1180,Services!$A$5:$A$204,0))*1,0)))</f>
        <v>0</v>
      </c>
      <c r="V1180" s="36">
        <f>IF(B1180="","",IF(D1180="","",D1180+U1180/1440))</f>
        <v>0</v>
      </c>
      <c r="W1180" s="25">
        <f>IF(B1180="","",IF(D1180="","",HOUR(D1180)))</f>
        <v>0</v>
      </c>
      <c r="X1180" s="37">
        <f>IF(B1180="","",ROUND(U1180/60,2))</f>
        <v>0</v>
      </c>
      <c r="Y1180" s="26">
        <f>IF(B1180="","",IF(L1180&lt;&gt;"",L1180,IFERROR(INDEX(Services!$G$5:$G$204,MATCH(G1180,Services!$A$5:$A$204,0))*1,0)))</f>
        <v>0</v>
      </c>
      <c r="Z1180" s="26">
        <f>IF(B1180="","",IF(O1180&lt;&gt;"",O1180,IF(Y1180&gt;=DepositThreshold,ROUND(Y1180*DepositPercent,2),0)))</f>
        <v>0</v>
      </c>
      <c r="AA1180" s="26">
        <f>IF(B1180="","",ROUND(SUMIFS(Payments!$G$5:$G$1204,Payments!$I$5:$I$1204,A1180,Payments!$E$5:$E$1204,"Deposit"),2))</f>
        <v>0</v>
      </c>
      <c r="AB1180" s="26">
        <f>IF(B1180="","",ROUND(SUMIFS(Sales!$Y$5:$Y$1204,Sales!$C$5:$C$1204,A1180),2))</f>
        <v>0</v>
      </c>
      <c r="AC1180" s="38">
        <f>IF(B1180="","",IF(M1180="Completed","Yes",IF(M1180="Cancelled","Yes",IF(M1180="No show","Yes","No"))))</f>
        <v>0</v>
      </c>
      <c r="AD1180" s="25">
        <f>IF(B1180="","",IF(AE1180="","",B1180-AE1180))</f>
        <v>0</v>
      </c>
      <c r="AF1180" s="38">
        <f>IF(B1180="","",IF(M1180&lt;&gt;"Completed","",IF(E1180="","No",IF(COUNTIFS(Appointments!$E$5:$E$1204,E1180,Appointments!$B$5:$B$1204,"&gt;"&amp;B1180,Appointments!$M$5:$M$1204,"&lt;&gt;Cancelled")&gt;0,"Yes","No"))))</f>
        <v>0</v>
      </c>
      <c r="AG1180" s="38">
        <f>IF(B1180="","",IF(I1180="","",IF(D1180="","",IF(COUNTIFS($I$5:$I$1204,I1180,$B$5:$B$1204,B1180,$D$5:$D$1204,"&lt;"&amp;V1180,$V$5:$V$1204,"&gt;"&amp;D1180,$M$5:$M$1204,"&lt;&gt;Cancelled")&gt;1,"Clash",""))))</f>
        <v>0</v>
      </c>
      <c r="AH1180" s="39">
        <f>IF(B1180="","",IF(AG1180="Clash","Clash - stylist double booked",IF(I1180="","Assign - no stylist yet",IF(G1180="","Add - no service chosen",IF(M1180="No show","No show - charge the fee?",IF(M1180="Cancelled","",IF(IF(M1180="Completed",AB1180&lt;Y1180-0.004,FALSE),"Unpaid - nothing rung up for this visit",IF(IF(B1180&lt;TodayDate,M1180="Booked",FALSE),"Overdue - past date, still only Booked",IF(IF(B1180=TodayDate,TRUE,FALSE),"Today",IF(IF(Z1180&gt;0,AA1180&lt;Z1180-0.004,FALSE),"Due - deposit not taken",IF(IF(B1180&gt;TodayDate,B1180&lt;=TodayDate+2,FALSE),"Confirm - coming up","OK")))))))))))</f>
        <v>0</v>
      </c>
    </row>
    <row r="1181" spans="1:34">
      <c r="A1181" s="28">
        <f>IF(B1181="","",AppointmentPrefix&amp;TEXT(ROW()-4,"0000"))</f>
        <v>0</v>
      </c>
      <c r="C1181" s="15">
        <f>IF(B1181="","",TEXT(B1181,"ddd"))</f>
        <v>0</v>
      </c>
      <c r="F1181" s="15">
        <f>IF(E1181="","",IFERROR(INDEX(Clients!$B$5:$B$504,MATCH(E1181,Clients!$A$5:$A$504,0)),"Walk-in"))</f>
        <v>0</v>
      </c>
      <c r="H1181" s="15">
        <f>IF(G1181="","",IFERROR(INDEX(Services!$B$5:$B$204,MATCH(G1181,Services!$A$5:$A$204,0)),"Not in Services"))</f>
        <v>0</v>
      </c>
      <c r="J1181" s="15">
        <f>IF(I1181="","",IFERROR(INDEX(Staff!$B$5:$B$44,MATCH(I1181,Staff!$A$5:$A$44,0)),"Unassigned"))</f>
        <v>0</v>
      </c>
      <c r="S1181" s="15">
        <f>IF(B1181="","",TEXT(B1181,"yyyy-mm"))</f>
        <v>0</v>
      </c>
      <c r="T1181" s="25">
        <f>IF(B1181="","",WEEKNUM(B1181,2))</f>
        <v>0</v>
      </c>
      <c r="U1181" s="25">
        <f>IF(B1181="","",IF(K1181&lt;&gt;"",K1181,IFERROR(INDEX(Services!$E$5:$E$204,MATCH(G1181,Services!$A$5:$A$204,0))*1,0)+IFERROR(INDEX(Services!$F$5:$F$204,MATCH(G1181,Services!$A$5:$A$204,0))*1,0)))</f>
        <v>0</v>
      </c>
      <c r="V1181" s="36">
        <f>IF(B1181="","",IF(D1181="","",D1181+U1181/1440))</f>
        <v>0</v>
      </c>
      <c r="W1181" s="25">
        <f>IF(B1181="","",IF(D1181="","",HOUR(D1181)))</f>
        <v>0</v>
      </c>
      <c r="X1181" s="37">
        <f>IF(B1181="","",ROUND(U1181/60,2))</f>
        <v>0</v>
      </c>
      <c r="Y1181" s="26">
        <f>IF(B1181="","",IF(L1181&lt;&gt;"",L1181,IFERROR(INDEX(Services!$G$5:$G$204,MATCH(G1181,Services!$A$5:$A$204,0))*1,0)))</f>
        <v>0</v>
      </c>
      <c r="Z1181" s="26">
        <f>IF(B1181="","",IF(O1181&lt;&gt;"",O1181,IF(Y1181&gt;=DepositThreshold,ROUND(Y1181*DepositPercent,2),0)))</f>
        <v>0</v>
      </c>
      <c r="AA1181" s="26">
        <f>IF(B1181="","",ROUND(SUMIFS(Payments!$G$5:$G$1204,Payments!$I$5:$I$1204,A1181,Payments!$E$5:$E$1204,"Deposit"),2))</f>
        <v>0</v>
      </c>
      <c r="AB1181" s="26">
        <f>IF(B1181="","",ROUND(SUMIFS(Sales!$Y$5:$Y$1204,Sales!$C$5:$C$1204,A1181),2))</f>
        <v>0</v>
      </c>
      <c r="AC1181" s="38">
        <f>IF(B1181="","",IF(M1181="Completed","Yes",IF(M1181="Cancelled","Yes",IF(M1181="No show","Yes","No"))))</f>
        <v>0</v>
      </c>
      <c r="AD1181" s="25">
        <f>IF(B1181="","",IF(AE1181="","",B1181-AE1181))</f>
        <v>0</v>
      </c>
      <c r="AF1181" s="38">
        <f>IF(B1181="","",IF(M1181&lt;&gt;"Completed","",IF(E1181="","No",IF(COUNTIFS(Appointments!$E$5:$E$1204,E1181,Appointments!$B$5:$B$1204,"&gt;"&amp;B1181,Appointments!$M$5:$M$1204,"&lt;&gt;Cancelled")&gt;0,"Yes","No"))))</f>
        <v>0</v>
      </c>
      <c r="AG1181" s="38">
        <f>IF(B1181="","",IF(I1181="","",IF(D1181="","",IF(COUNTIFS($I$5:$I$1204,I1181,$B$5:$B$1204,B1181,$D$5:$D$1204,"&lt;"&amp;V1181,$V$5:$V$1204,"&gt;"&amp;D1181,$M$5:$M$1204,"&lt;&gt;Cancelled")&gt;1,"Clash",""))))</f>
        <v>0</v>
      </c>
      <c r="AH1181" s="39">
        <f>IF(B1181="","",IF(AG1181="Clash","Clash - stylist double booked",IF(I1181="","Assign - no stylist yet",IF(G1181="","Add - no service chosen",IF(M1181="No show","No show - charge the fee?",IF(M1181="Cancelled","",IF(IF(M1181="Completed",AB1181&lt;Y1181-0.004,FALSE),"Unpaid - nothing rung up for this visit",IF(IF(B1181&lt;TodayDate,M1181="Booked",FALSE),"Overdue - past date, still only Booked",IF(IF(B1181=TodayDate,TRUE,FALSE),"Today",IF(IF(Z1181&gt;0,AA1181&lt;Z1181-0.004,FALSE),"Due - deposit not taken",IF(IF(B1181&gt;TodayDate,B1181&lt;=TodayDate+2,FALSE),"Confirm - coming up","OK")))))))))))</f>
        <v>0</v>
      </c>
    </row>
    <row r="1182" spans="1:34">
      <c r="A1182" s="28">
        <f>IF(B1182="","",AppointmentPrefix&amp;TEXT(ROW()-4,"0000"))</f>
        <v>0</v>
      </c>
      <c r="C1182" s="15">
        <f>IF(B1182="","",TEXT(B1182,"ddd"))</f>
        <v>0</v>
      </c>
      <c r="F1182" s="15">
        <f>IF(E1182="","",IFERROR(INDEX(Clients!$B$5:$B$504,MATCH(E1182,Clients!$A$5:$A$504,0)),"Walk-in"))</f>
        <v>0</v>
      </c>
      <c r="H1182" s="15">
        <f>IF(G1182="","",IFERROR(INDEX(Services!$B$5:$B$204,MATCH(G1182,Services!$A$5:$A$204,0)),"Not in Services"))</f>
        <v>0</v>
      </c>
      <c r="J1182" s="15">
        <f>IF(I1182="","",IFERROR(INDEX(Staff!$B$5:$B$44,MATCH(I1182,Staff!$A$5:$A$44,0)),"Unassigned"))</f>
        <v>0</v>
      </c>
      <c r="S1182" s="15">
        <f>IF(B1182="","",TEXT(B1182,"yyyy-mm"))</f>
        <v>0</v>
      </c>
      <c r="T1182" s="25">
        <f>IF(B1182="","",WEEKNUM(B1182,2))</f>
        <v>0</v>
      </c>
      <c r="U1182" s="25">
        <f>IF(B1182="","",IF(K1182&lt;&gt;"",K1182,IFERROR(INDEX(Services!$E$5:$E$204,MATCH(G1182,Services!$A$5:$A$204,0))*1,0)+IFERROR(INDEX(Services!$F$5:$F$204,MATCH(G1182,Services!$A$5:$A$204,0))*1,0)))</f>
        <v>0</v>
      </c>
      <c r="V1182" s="36">
        <f>IF(B1182="","",IF(D1182="","",D1182+U1182/1440))</f>
        <v>0</v>
      </c>
      <c r="W1182" s="25">
        <f>IF(B1182="","",IF(D1182="","",HOUR(D1182)))</f>
        <v>0</v>
      </c>
      <c r="X1182" s="37">
        <f>IF(B1182="","",ROUND(U1182/60,2))</f>
        <v>0</v>
      </c>
      <c r="Y1182" s="26">
        <f>IF(B1182="","",IF(L1182&lt;&gt;"",L1182,IFERROR(INDEX(Services!$G$5:$G$204,MATCH(G1182,Services!$A$5:$A$204,0))*1,0)))</f>
        <v>0</v>
      </c>
      <c r="Z1182" s="26">
        <f>IF(B1182="","",IF(O1182&lt;&gt;"",O1182,IF(Y1182&gt;=DepositThreshold,ROUND(Y1182*DepositPercent,2),0)))</f>
        <v>0</v>
      </c>
      <c r="AA1182" s="26">
        <f>IF(B1182="","",ROUND(SUMIFS(Payments!$G$5:$G$1204,Payments!$I$5:$I$1204,A1182,Payments!$E$5:$E$1204,"Deposit"),2))</f>
        <v>0</v>
      </c>
      <c r="AB1182" s="26">
        <f>IF(B1182="","",ROUND(SUMIFS(Sales!$Y$5:$Y$1204,Sales!$C$5:$C$1204,A1182),2))</f>
        <v>0</v>
      </c>
      <c r="AC1182" s="38">
        <f>IF(B1182="","",IF(M1182="Completed","Yes",IF(M1182="Cancelled","Yes",IF(M1182="No show","Yes","No"))))</f>
        <v>0</v>
      </c>
      <c r="AD1182" s="25">
        <f>IF(B1182="","",IF(AE1182="","",B1182-AE1182))</f>
        <v>0</v>
      </c>
      <c r="AF1182" s="38">
        <f>IF(B1182="","",IF(M1182&lt;&gt;"Completed","",IF(E1182="","No",IF(COUNTIFS(Appointments!$E$5:$E$1204,E1182,Appointments!$B$5:$B$1204,"&gt;"&amp;B1182,Appointments!$M$5:$M$1204,"&lt;&gt;Cancelled")&gt;0,"Yes","No"))))</f>
        <v>0</v>
      </c>
      <c r="AG1182" s="38">
        <f>IF(B1182="","",IF(I1182="","",IF(D1182="","",IF(COUNTIFS($I$5:$I$1204,I1182,$B$5:$B$1204,B1182,$D$5:$D$1204,"&lt;"&amp;V1182,$V$5:$V$1204,"&gt;"&amp;D1182,$M$5:$M$1204,"&lt;&gt;Cancelled")&gt;1,"Clash",""))))</f>
        <v>0</v>
      </c>
      <c r="AH1182" s="39">
        <f>IF(B1182="","",IF(AG1182="Clash","Clash - stylist double booked",IF(I1182="","Assign - no stylist yet",IF(G1182="","Add - no service chosen",IF(M1182="No show","No show - charge the fee?",IF(M1182="Cancelled","",IF(IF(M1182="Completed",AB1182&lt;Y1182-0.004,FALSE),"Unpaid - nothing rung up for this visit",IF(IF(B1182&lt;TodayDate,M1182="Booked",FALSE),"Overdue - past date, still only Booked",IF(IF(B1182=TodayDate,TRUE,FALSE),"Today",IF(IF(Z1182&gt;0,AA1182&lt;Z1182-0.004,FALSE),"Due - deposit not taken",IF(IF(B1182&gt;TodayDate,B1182&lt;=TodayDate+2,FALSE),"Confirm - coming up","OK")))))))))))</f>
        <v>0</v>
      </c>
    </row>
    <row r="1183" spans="1:34">
      <c r="A1183" s="28">
        <f>IF(B1183="","",AppointmentPrefix&amp;TEXT(ROW()-4,"0000"))</f>
        <v>0</v>
      </c>
      <c r="C1183" s="15">
        <f>IF(B1183="","",TEXT(B1183,"ddd"))</f>
        <v>0</v>
      </c>
      <c r="F1183" s="15">
        <f>IF(E1183="","",IFERROR(INDEX(Clients!$B$5:$B$504,MATCH(E1183,Clients!$A$5:$A$504,0)),"Walk-in"))</f>
        <v>0</v>
      </c>
      <c r="H1183" s="15">
        <f>IF(G1183="","",IFERROR(INDEX(Services!$B$5:$B$204,MATCH(G1183,Services!$A$5:$A$204,0)),"Not in Services"))</f>
        <v>0</v>
      </c>
      <c r="J1183" s="15">
        <f>IF(I1183="","",IFERROR(INDEX(Staff!$B$5:$B$44,MATCH(I1183,Staff!$A$5:$A$44,0)),"Unassigned"))</f>
        <v>0</v>
      </c>
      <c r="S1183" s="15">
        <f>IF(B1183="","",TEXT(B1183,"yyyy-mm"))</f>
        <v>0</v>
      </c>
      <c r="T1183" s="25">
        <f>IF(B1183="","",WEEKNUM(B1183,2))</f>
        <v>0</v>
      </c>
      <c r="U1183" s="25">
        <f>IF(B1183="","",IF(K1183&lt;&gt;"",K1183,IFERROR(INDEX(Services!$E$5:$E$204,MATCH(G1183,Services!$A$5:$A$204,0))*1,0)+IFERROR(INDEX(Services!$F$5:$F$204,MATCH(G1183,Services!$A$5:$A$204,0))*1,0)))</f>
        <v>0</v>
      </c>
      <c r="V1183" s="36">
        <f>IF(B1183="","",IF(D1183="","",D1183+U1183/1440))</f>
        <v>0</v>
      </c>
      <c r="W1183" s="25">
        <f>IF(B1183="","",IF(D1183="","",HOUR(D1183)))</f>
        <v>0</v>
      </c>
      <c r="X1183" s="37">
        <f>IF(B1183="","",ROUND(U1183/60,2))</f>
        <v>0</v>
      </c>
      <c r="Y1183" s="26">
        <f>IF(B1183="","",IF(L1183&lt;&gt;"",L1183,IFERROR(INDEX(Services!$G$5:$G$204,MATCH(G1183,Services!$A$5:$A$204,0))*1,0)))</f>
        <v>0</v>
      </c>
      <c r="Z1183" s="26">
        <f>IF(B1183="","",IF(O1183&lt;&gt;"",O1183,IF(Y1183&gt;=DepositThreshold,ROUND(Y1183*DepositPercent,2),0)))</f>
        <v>0</v>
      </c>
      <c r="AA1183" s="26">
        <f>IF(B1183="","",ROUND(SUMIFS(Payments!$G$5:$G$1204,Payments!$I$5:$I$1204,A1183,Payments!$E$5:$E$1204,"Deposit"),2))</f>
        <v>0</v>
      </c>
      <c r="AB1183" s="26">
        <f>IF(B1183="","",ROUND(SUMIFS(Sales!$Y$5:$Y$1204,Sales!$C$5:$C$1204,A1183),2))</f>
        <v>0</v>
      </c>
      <c r="AC1183" s="38">
        <f>IF(B1183="","",IF(M1183="Completed","Yes",IF(M1183="Cancelled","Yes",IF(M1183="No show","Yes","No"))))</f>
        <v>0</v>
      </c>
      <c r="AD1183" s="25">
        <f>IF(B1183="","",IF(AE1183="","",B1183-AE1183))</f>
        <v>0</v>
      </c>
      <c r="AF1183" s="38">
        <f>IF(B1183="","",IF(M1183&lt;&gt;"Completed","",IF(E1183="","No",IF(COUNTIFS(Appointments!$E$5:$E$1204,E1183,Appointments!$B$5:$B$1204,"&gt;"&amp;B1183,Appointments!$M$5:$M$1204,"&lt;&gt;Cancelled")&gt;0,"Yes","No"))))</f>
        <v>0</v>
      </c>
      <c r="AG1183" s="38">
        <f>IF(B1183="","",IF(I1183="","",IF(D1183="","",IF(COUNTIFS($I$5:$I$1204,I1183,$B$5:$B$1204,B1183,$D$5:$D$1204,"&lt;"&amp;V1183,$V$5:$V$1204,"&gt;"&amp;D1183,$M$5:$M$1204,"&lt;&gt;Cancelled")&gt;1,"Clash",""))))</f>
        <v>0</v>
      </c>
      <c r="AH1183" s="39">
        <f>IF(B1183="","",IF(AG1183="Clash","Clash - stylist double booked",IF(I1183="","Assign - no stylist yet",IF(G1183="","Add - no service chosen",IF(M1183="No show","No show - charge the fee?",IF(M1183="Cancelled","",IF(IF(M1183="Completed",AB1183&lt;Y1183-0.004,FALSE),"Unpaid - nothing rung up for this visit",IF(IF(B1183&lt;TodayDate,M1183="Booked",FALSE),"Overdue - past date, still only Booked",IF(IF(B1183=TodayDate,TRUE,FALSE),"Today",IF(IF(Z1183&gt;0,AA1183&lt;Z1183-0.004,FALSE),"Due - deposit not taken",IF(IF(B1183&gt;TodayDate,B1183&lt;=TodayDate+2,FALSE),"Confirm - coming up","OK")))))))))))</f>
        <v>0</v>
      </c>
    </row>
    <row r="1184" spans="1:34">
      <c r="A1184" s="28">
        <f>IF(B1184="","",AppointmentPrefix&amp;TEXT(ROW()-4,"0000"))</f>
        <v>0</v>
      </c>
      <c r="C1184" s="15">
        <f>IF(B1184="","",TEXT(B1184,"ddd"))</f>
        <v>0</v>
      </c>
      <c r="F1184" s="15">
        <f>IF(E1184="","",IFERROR(INDEX(Clients!$B$5:$B$504,MATCH(E1184,Clients!$A$5:$A$504,0)),"Walk-in"))</f>
        <v>0</v>
      </c>
      <c r="H1184" s="15">
        <f>IF(G1184="","",IFERROR(INDEX(Services!$B$5:$B$204,MATCH(G1184,Services!$A$5:$A$204,0)),"Not in Services"))</f>
        <v>0</v>
      </c>
      <c r="J1184" s="15">
        <f>IF(I1184="","",IFERROR(INDEX(Staff!$B$5:$B$44,MATCH(I1184,Staff!$A$5:$A$44,0)),"Unassigned"))</f>
        <v>0</v>
      </c>
      <c r="S1184" s="15">
        <f>IF(B1184="","",TEXT(B1184,"yyyy-mm"))</f>
        <v>0</v>
      </c>
      <c r="T1184" s="25">
        <f>IF(B1184="","",WEEKNUM(B1184,2))</f>
        <v>0</v>
      </c>
      <c r="U1184" s="25">
        <f>IF(B1184="","",IF(K1184&lt;&gt;"",K1184,IFERROR(INDEX(Services!$E$5:$E$204,MATCH(G1184,Services!$A$5:$A$204,0))*1,0)+IFERROR(INDEX(Services!$F$5:$F$204,MATCH(G1184,Services!$A$5:$A$204,0))*1,0)))</f>
        <v>0</v>
      </c>
      <c r="V1184" s="36">
        <f>IF(B1184="","",IF(D1184="","",D1184+U1184/1440))</f>
        <v>0</v>
      </c>
      <c r="W1184" s="25">
        <f>IF(B1184="","",IF(D1184="","",HOUR(D1184)))</f>
        <v>0</v>
      </c>
      <c r="X1184" s="37">
        <f>IF(B1184="","",ROUND(U1184/60,2))</f>
        <v>0</v>
      </c>
      <c r="Y1184" s="26">
        <f>IF(B1184="","",IF(L1184&lt;&gt;"",L1184,IFERROR(INDEX(Services!$G$5:$G$204,MATCH(G1184,Services!$A$5:$A$204,0))*1,0)))</f>
        <v>0</v>
      </c>
      <c r="Z1184" s="26">
        <f>IF(B1184="","",IF(O1184&lt;&gt;"",O1184,IF(Y1184&gt;=DepositThreshold,ROUND(Y1184*DepositPercent,2),0)))</f>
        <v>0</v>
      </c>
      <c r="AA1184" s="26">
        <f>IF(B1184="","",ROUND(SUMIFS(Payments!$G$5:$G$1204,Payments!$I$5:$I$1204,A1184,Payments!$E$5:$E$1204,"Deposit"),2))</f>
        <v>0</v>
      </c>
      <c r="AB1184" s="26">
        <f>IF(B1184="","",ROUND(SUMIFS(Sales!$Y$5:$Y$1204,Sales!$C$5:$C$1204,A1184),2))</f>
        <v>0</v>
      </c>
      <c r="AC1184" s="38">
        <f>IF(B1184="","",IF(M1184="Completed","Yes",IF(M1184="Cancelled","Yes",IF(M1184="No show","Yes","No"))))</f>
        <v>0</v>
      </c>
      <c r="AD1184" s="25">
        <f>IF(B1184="","",IF(AE1184="","",B1184-AE1184))</f>
        <v>0</v>
      </c>
      <c r="AF1184" s="38">
        <f>IF(B1184="","",IF(M1184&lt;&gt;"Completed","",IF(E1184="","No",IF(COUNTIFS(Appointments!$E$5:$E$1204,E1184,Appointments!$B$5:$B$1204,"&gt;"&amp;B1184,Appointments!$M$5:$M$1204,"&lt;&gt;Cancelled")&gt;0,"Yes","No"))))</f>
        <v>0</v>
      </c>
      <c r="AG1184" s="38">
        <f>IF(B1184="","",IF(I1184="","",IF(D1184="","",IF(COUNTIFS($I$5:$I$1204,I1184,$B$5:$B$1204,B1184,$D$5:$D$1204,"&lt;"&amp;V1184,$V$5:$V$1204,"&gt;"&amp;D1184,$M$5:$M$1204,"&lt;&gt;Cancelled")&gt;1,"Clash",""))))</f>
        <v>0</v>
      </c>
      <c r="AH1184" s="39">
        <f>IF(B1184="","",IF(AG1184="Clash","Clash - stylist double booked",IF(I1184="","Assign - no stylist yet",IF(G1184="","Add - no service chosen",IF(M1184="No show","No show - charge the fee?",IF(M1184="Cancelled","",IF(IF(M1184="Completed",AB1184&lt;Y1184-0.004,FALSE),"Unpaid - nothing rung up for this visit",IF(IF(B1184&lt;TodayDate,M1184="Booked",FALSE),"Overdue - past date, still only Booked",IF(IF(B1184=TodayDate,TRUE,FALSE),"Today",IF(IF(Z1184&gt;0,AA1184&lt;Z1184-0.004,FALSE),"Due - deposit not taken",IF(IF(B1184&gt;TodayDate,B1184&lt;=TodayDate+2,FALSE),"Confirm - coming up","OK")))))))))))</f>
        <v>0</v>
      </c>
    </row>
    <row r="1185" spans="1:34">
      <c r="A1185" s="28">
        <f>IF(B1185="","",AppointmentPrefix&amp;TEXT(ROW()-4,"0000"))</f>
        <v>0</v>
      </c>
      <c r="C1185" s="15">
        <f>IF(B1185="","",TEXT(B1185,"ddd"))</f>
        <v>0</v>
      </c>
      <c r="F1185" s="15">
        <f>IF(E1185="","",IFERROR(INDEX(Clients!$B$5:$B$504,MATCH(E1185,Clients!$A$5:$A$504,0)),"Walk-in"))</f>
        <v>0</v>
      </c>
      <c r="H1185" s="15">
        <f>IF(G1185="","",IFERROR(INDEX(Services!$B$5:$B$204,MATCH(G1185,Services!$A$5:$A$204,0)),"Not in Services"))</f>
        <v>0</v>
      </c>
      <c r="J1185" s="15">
        <f>IF(I1185="","",IFERROR(INDEX(Staff!$B$5:$B$44,MATCH(I1185,Staff!$A$5:$A$44,0)),"Unassigned"))</f>
        <v>0</v>
      </c>
      <c r="S1185" s="15">
        <f>IF(B1185="","",TEXT(B1185,"yyyy-mm"))</f>
        <v>0</v>
      </c>
      <c r="T1185" s="25">
        <f>IF(B1185="","",WEEKNUM(B1185,2))</f>
        <v>0</v>
      </c>
      <c r="U1185" s="25">
        <f>IF(B1185="","",IF(K1185&lt;&gt;"",K1185,IFERROR(INDEX(Services!$E$5:$E$204,MATCH(G1185,Services!$A$5:$A$204,0))*1,0)+IFERROR(INDEX(Services!$F$5:$F$204,MATCH(G1185,Services!$A$5:$A$204,0))*1,0)))</f>
        <v>0</v>
      </c>
      <c r="V1185" s="36">
        <f>IF(B1185="","",IF(D1185="","",D1185+U1185/1440))</f>
        <v>0</v>
      </c>
      <c r="W1185" s="25">
        <f>IF(B1185="","",IF(D1185="","",HOUR(D1185)))</f>
        <v>0</v>
      </c>
      <c r="X1185" s="37">
        <f>IF(B1185="","",ROUND(U1185/60,2))</f>
        <v>0</v>
      </c>
      <c r="Y1185" s="26">
        <f>IF(B1185="","",IF(L1185&lt;&gt;"",L1185,IFERROR(INDEX(Services!$G$5:$G$204,MATCH(G1185,Services!$A$5:$A$204,0))*1,0)))</f>
        <v>0</v>
      </c>
      <c r="Z1185" s="26">
        <f>IF(B1185="","",IF(O1185&lt;&gt;"",O1185,IF(Y1185&gt;=DepositThreshold,ROUND(Y1185*DepositPercent,2),0)))</f>
        <v>0</v>
      </c>
      <c r="AA1185" s="26">
        <f>IF(B1185="","",ROUND(SUMIFS(Payments!$G$5:$G$1204,Payments!$I$5:$I$1204,A1185,Payments!$E$5:$E$1204,"Deposit"),2))</f>
        <v>0</v>
      </c>
      <c r="AB1185" s="26">
        <f>IF(B1185="","",ROUND(SUMIFS(Sales!$Y$5:$Y$1204,Sales!$C$5:$C$1204,A1185),2))</f>
        <v>0</v>
      </c>
      <c r="AC1185" s="38">
        <f>IF(B1185="","",IF(M1185="Completed","Yes",IF(M1185="Cancelled","Yes",IF(M1185="No show","Yes","No"))))</f>
        <v>0</v>
      </c>
      <c r="AD1185" s="25">
        <f>IF(B1185="","",IF(AE1185="","",B1185-AE1185))</f>
        <v>0</v>
      </c>
      <c r="AF1185" s="38">
        <f>IF(B1185="","",IF(M1185&lt;&gt;"Completed","",IF(E1185="","No",IF(COUNTIFS(Appointments!$E$5:$E$1204,E1185,Appointments!$B$5:$B$1204,"&gt;"&amp;B1185,Appointments!$M$5:$M$1204,"&lt;&gt;Cancelled")&gt;0,"Yes","No"))))</f>
        <v>0</v>
      </c>
      <c r="AG1185" s="38">
        <f>IF(B1185="","",IF(I1185="","",IF(D1185="","",IF(COUNTIFS($I$5:$I$1204,I1185,$B$5:$B$1204,B1185,$D$5:$D$1204,"&lt;"&amp;V1185,$V$5:$V$1204,"&gt;"&amp;D1185,$M$5:$M$1204,"&lt;&gt;Cancelled")&gt;1,"Clash",""))))</f>
        <v>0</v>
      </c>
      <c r="AH1185" s="39">
        <f>IF(B1185="","",IF(AG1185="Clash","Clash - stylist double booked",IF(I1185="","Assign - no stylist yet",IF(G1185="","Add - no service chosen",IF(M1185="No show","No show - charge the fee?",IF(M1185="Cancelled","",IF(IF(M1185="Completed",AB1185&lt;Y1185-0.004,FALSE),"Unpaid - nothing rung up for this visit",IF(IF(B1185&lt;TodayDate,M1185="Booked",FALSE),"Overdue - past date, still only Booked",IF(IF(B1185=TodayDate,TRUE,FALSE),"Today",IF(IF(Z1185&gt;0,AA1185&lt;Z1185-0.004,FALSE),"Due - deposit not taken",IF(IF(B1185&gt;TodayDate,B1185&lt;=TodayDate+2,FALSE),"Confirm - coming up","OK")))))))))))</f>
        <v>0</v>
      </c>
    </row>
    <row r="1186" spans="1:34">
      <c r="A1186" s="28">
        <f>IF(B1186="","",AppointmentPrefix&amp;TEXT(ROW()-4,"0000"))</f>
        <v>0</v>
      </c>
      <c r="C1186" s="15">
        <f>IF(B1186="","",TEXT(B1186,"ddd"))</f>
        <v>0</v>
      </c>
      <c r="F1186" s="15">
        <f>IF(E1186="","",IFERROR(INDEX(Clients!$B$5:$B$504,MATCH(E1186,Clients!$A$5:$A$504,0)),"Walk-in"))</f>
        <v>0</v>
      </c>
      <c r="H1186" s="15">
        <f>IF(G1186="","",IFERROR(INDEX(Services!$B$5:$B$204,MATCH(G1186,Services!$A$5:$A$204,0)),"Not in Services"))</f>
        <v>0</v>
      </c>
      <c r="J1186" s="15">
        <f>IF(I1186="","",IFERROR(INDEX(Staff!$B$5:$B$44,MATCH(I1186,Staff!$A$5:$A$44,0)),"Unassigned"))</f>
        <v>0</v>
      </c>
      <c r="S1186" s="15">
        <f>IF(B1186="","",TEXT(B1186,"yyyy-mm"))</f>
        <v>0</v>
      </c>
      <c r="T1186" s="25">
        <f>IF(B1186="","",WEEKNUM(B1186,2))</f>
        <v>0</v>
      </c>
      <c r="U1186" s="25">
        <f>IF(B1186="","",IF(K1186&lt;&gt;"",K1186,IFERROR(INDEX(Services!$E$5:$E$204,MATCH(G1186,Services!$A$5:$A$204,0))*1,0)+IFERROR(INDEX(Services!$F$5:$F$204,MATCH(G1186,Services!$A$5:$A$204,0))*1,0)))</f>
        <v>0</v>
      </c>
      <c r="V1186" s="36">
        <f>IF(B1186="","",IF(D1186="","",D1186+U1186/1440))</f>
        <v>0</v>
      </c>
      <c r="W1186" s="25">
        <f>IF(B1186="","",IF(D1186="","",HOUR(D1186)))</f>
        <v>0</v>
      </c>
      <c r="X1186" s="37">
        <f>IF(B1186="","",ROUND(U1186/60,2))</f>
        <v>0</v>
      </c>
      <c r="Y1186" s="26">
        <f>IF(B1186="","",IF(L1186&lt;&gt;"",L1186,IFERROR(INDEX(Services!$G$5:$G$204,MATCH(G1186,Services!$A$5:$A$204,0))*1,0)))</f>
        <v>0</v>
      </c>
      <c r="Z1186" s="26">
        <f>IF(B1186="","",IF(O1186&lt;&gt;"",O1186,IF(Y1186&gt;=DepositThreshold,ROUND(Y1186*DepositPercent,2),0)))</f>
        <v>0</v>
      </c>
      <c r="AA1186" s="26">
        <f>IF(B1186="","",ROUND(SUMIFS(Payments!$G$5:$G$1204,Payments!$I$5:$I$1204,A1186,Payments!$E$5:$E$1204,"Deposit"),2))</f>
        <v>0</v>
      </c>
      <c r="AB1186" s="26">
        <f>IF(B1186="","",ROUND(SUMIFS(Sales!$Y$5:$Y$1204,Sales!$C$5:$C$1204,A1186),2))</f>
        <v>0</v>
      </c>
      <c r="AC1186" s="38">
        <f>IF(B1186="","",IF(M1186="Completed","Yes",IF(M1186="Cancelled","Yes",IF(M1186="No show","Yes","No"))))</f>
        <v>0</v>
      </c>
      <c r="AD1186" s="25">
        <f>IF(B1186="","",IF(AE1186="","",B1186-AE1186))</f>
        <v>0</v>
      </c>
      <c r="AF1186" s="38">
        <f>IF(B1186="","",IF(M1186&lt;&gt;"Completed","",IF(E1186="","No",IF(COUNTIFS(Appointments!$E$5:$E$1204,E1186,Appointments!$B$5:$B$1204,"&gt;"&amp;B1186,Appointments!$M$5:$M$1204,"&lt;&gt;Cancelled")&gt;0,"Yes","No"))))</f>
        <v>0</v>
      </c>
      <c r="AG1186" s="38">
        <f>IF(B1186="","",IF(I1186="","",IF(D1186="","",IF(COUNTIFS($I$5:$I$1204,I1186,$B$5:$B$1204,B1186,$D$5:$D$1204,"&lt;"&amp;V1186,$V$5:$V$1204,"&gt;"&amp;D1186,$M$5:$M$1204,"&lt;&gt;Cancelled")&gt;1,"Clash",""))))</f>
        <v>0</v>
      </c>
      <c r="AH1186" s="39">
        <f>IF(B1186="","",IF(AG1186="Clash","Clash - stylist double booked",IF(I1186="","Assign - no stylist yet",IF(G1186="","Add - no service chosen",IF(M1186="No show","No show - charge the fee?",IF(M1186="Cancelled","",IF(IF(M1186="Completed",AB1186&lt;Y1186-0.004,FALSE),"Unpaid - nothing rung up for this visit",IF(IF(B1186&lt;TodayDate,M1186="Booked",FALSE),"Overdue - past date, still only Booked",IF(IF(B1186=TodayDate,TRUE,FALSE),"Today",IF(IF(Z1186&gt;0,AA1186&lt;Z1186-0.004,FALSE),"Due - deposit not taken",IF(IF(B1186&gt;TodayDate,B1186&lt;=TodayDate+2,FALSE),"Confirm - coming up","OK")))))))))))</f>
        <v>0</v>
      </c>
    </row>
    <row r="1187" spans="1:34">
      <c r="A1187" s="28">
        <f>IF(B1187="","",AppointmentPrefix&amp;TEXT(ROW()-4,"0000"))</f>
        <v>0</v>
      </c>
      <c r="C1187" s="15">
        <f>IF(B1187="","",TEXT(B1187,"ddd"))</f>
        <v>0</v>
      </c>
      <c r="F1187" s="15">
        <f>IF(E1187="","",IFERROR(INDEX(Clients!$B$5:$B$504,MATCH(E1187,Clients!$A$5:$A$504,0)),"Walk-in"))</f>
        <v>0</v>
      </c>
      <c r="H1187" s="15">
        <f>IF(G1187="","",IFERROR(INDEX(Services!$B$5:$B$204,MATCH(G1187,Services!$A$5:$A$204,0)),"Not in Services"))</f>
        <v>0</v>
      </c>
      <c r="J1187" s="15">
        <f>IF(I1187="","",IFERROR(INDEX(Staff!$B$5:$B$44,MATCH(I1187,Staff!$A$5:$A$44,0)),"Unassigned"))</f>
        <v>0</v>
      </c>
      <c r="S1187" s="15">
        <f>IF(B1187="","",TEXT(B1187,"yyyy-mm"))</f>
        <v>0</v>
      </c>
      <c r="T1187" s="25">
        <f>IF(B1187="","",WEEKNUM(B1187,2))</f>
        <v>0</v>
      </c>
      <c r="U1187" s="25">
        <f>IF(B1187="","",IF(K1187&lt;&gt;"",K1187,IFERROR(INDEX(Services!$E$5:$E$204,MATCH(G1187,Services!$A$5:$A$204,0))*1,0)+IFERROR(INDEX(Services!$F$5:$F$204,MATCH(G1187,Services!$A$5:$A$204,0))*1,0)))</f>
        <v>0</v>
      </c>
      <c r="V1187" s="36">
        <f>IF(B1187="","",IF(D1187="","",D1187+U1187/1440))</f>
        <v>0</v>
      </c>
      <c r="W1187" s="25">
        <f>IF(B1187="","",IF(D1187="","",HOUR(D1187)))</f>
        <v>0</v>
      </c>
      <c r="X1187" s="37">
        <f>IF(B1187="","",ROUND(U1187/60,2))</f>
        <v>0</v>
      </c>
      <c r="Y1187" s="26">
        <f>IF(B1187="","",IF(L1187&lt;&gt;"",L1187,IFERROR(INDEX(Services!$G$5:$G$204,MATCH(G1187,Services!$A$5:$A$204,0))*1,0)))</f>
        <v>0</v>
      </c>
      <c r="Z1187" s="26">
        <f>IF(B1187="","",IF(O1187&lt;&gt;"",O1187,IF(Y1187&gt;=DepositThreshold,ROUND(Y1187*DepositPercent,2),0)))</f>
        <v>0</v>
      </c>
      <c r="AA1187" s="26">
        <f>IF(B1187="","",ROUND(SUMIFS(Payments!$G$5:$G$1204,Payments!$I$5:$I$1204,A1187,Payments!$E$5:$E$1204,"Deposit"),2))</f>
        <v>0</v>
      </c>
      <c r="AB1187" s="26">
        <f>IF(B1187="","",ROUND(SUMIFS(Sales!$Y$5:$Y$1204,Sales!$C$5:$C$1204,A1187),2))</f>
        <v>0</v>
      </c>
      <c r="AC1187" s="38">
        <f>IF(B1187="","",IF(M1187="Completed","Yes",IF(M1187="Cancelled","Yes",IF(M1187="No show","Yes","No"))))</f>
        <v>0</v>
      </c>
      <c r="AD1187" s="25">
        <f>IF(B1187="","",IF(AE1187="","",B1187-AE1187))</f>
        <v>0</v>
      </c>
      <c r="AF1187" s="38">
        <f>IF(B1187="","",IF(M1187&lt;&gt;"Completed","",IF(E1187="","No",IF(COUNTIFS(Appointments!$E$5:$E$1204,E1187,Appointments!$B$5:$B$1204,"&gt;"&amp;B1187,Appointments!$M$5:$M$1204,"&lt;&gt;Cancelled")&gt;0,"Yes","No"))))</f>
        <v>0</v>
      </c>
      <c r="AG1187" s="38">
        <f>IF(B1187="","",IF(I1187="","",IF(D1187="","",IF(COUNTIFS($I$5:$I$1204,I1187,$B$5:$B$1204,B1187,$D$5:$D$1204,"&lt;"&amp;V1187,$V$5:$V$1204,"&gt;"&amp;D1187,$M$5:$M$1204,"&lt;&gt;Cancelled")&gt;1,"Clash",""))))</f>
        <v>0</v>
      </c>
      <c r="AH1187" s="39">
        <f>IF(B1187="","",IF(AG1187="Clash","Clash - stylist double booked",IF(I1187="","Assign - no stylist yet",IF(G1187="","Add - no service chosen",IF(M1187="No show","No show - charge the fee?",IF(M1187="Cancelled","",IF(IF(M1187="Completed",AB1187&lt;Y1187-0.004,FALSE),"Unpaid - nothing rung up for this visit",IF(IF(B1187&lt;TodayDate,M1187="Booked",FALSE),"Overdue - past date, still only Booked",IF(IF(B1187=TodayDate,TRUE,FALSE),"Today",IF(IF(Z1187&gt;0,AA1187&lt;Z1187-0.004,FALSE),"Due - deposit not taken",IF(IF(B1187&gt;TodayDate,B1187&lt;=TodayDate+2,FALSE),"Confirm - coming up","OK")))))))))))</f>
        <v>0</v>
      </c>
    </row>
    <row r="1188" spans="1:34">
      <c r="A1188" s="28">
        <f>IF(B1188="","",AppointmentPrefix&amp;TEXT(ROW()-4,"0000"))</f>
        <v>0</v>
      </c>
      <c r="C1188" s="15">
        <f>IF(B1188="","",TEXT(B1188,"ddd"))</f>
        <v>0</v>
      </c>
      <c r="F1188" s="15">
        <f>IF(E1188="","",IFERROR(INDEX(Clients!$B$5:$B$504,MATCH(E1188,Clients!$A$5:$A$504,0)),"Walk-in"))</f>
        <v>0</v>
      </c>
      <c r="H1188" s="15">
        <f>IF(G1188="","",IFERROR(INDEX(Services!$B$5:$B$204,MATCH(G1188,Services!$A$5:$A$204,0)),"Not in Services"))</f>
        <v>0</v>
      </c>
      <c r="J1188" s="15">
        <f>IF(I1188="","",IFERROR(INDEX(Staff!$B$5:$B$44,MATCH(I1188,Staff!$A$5:$A$44,0)),"Unassigned"))</f>
        <v>0</v>
      </c>
      <c r="S1188" s="15">
        <f>IF(B1188="","",TEXT(B1188,"yyyy-mm"))</f>
        <v>0</v>
      </c>
      <c r="T1188" s="25">
        <f>IF(B1188="","",WEEKNUM(B1188,2))</f>
        <v>0</v>
      </c>
      <c r="U1188" s="25">
        <f>IF(B1188="","",IF(K1188&lt;&gt;"",K1188,IFERROR(INDEX(Services!$E$5:$E$204,MATCH(G1188,Services!$A$5:$A$204,0))*1,0)+IFERROR(INDEX(Services!$F$5:$F$204,MATCH(G1188,Services!$A$5:$A$204,0))*1,0)))</f>
        <v>0</v>
      </c>
      <c r="V1188" s="36">
        <f>IF(B1188="","",IF(D1188="","",D1188+U1188/1440))</f>
        <v>0</v>
      </c>
      <c r="W1188" s="25">
        <f>IF(B1188="","",IF(D1188="","",HOUR(D1188)))</f>
        <v>0</v>
      </c>
      <c r="X1188" s="37">
        <f>IF(B1188="","",ROUND(U1188/60,2))</f>
        <v>0</v>
      </c>
      <c r="Y1188" s="26">
        <f>IF(B1188="","",IF(L1188&lt;&gt;"",L1188,IFERROR(INDEX(Services!$G$5:$G$204,MATCH(G1188,Services!$A$5:$A$204,0))*1,0)))</f>
        <v>0</v>
      </c>
      <c r="Z1188" s="26">
        <f>IF(B1188="","",IF(O1188&lt;&gt;"",O1188,IF(Y1188&gt;=DepositThreshold,ROUND(Y1188*DepositPercent,2),0)))</f>
        <v>0</v>
      </c>
      <c r="AA1188" s="26">
        <f>IF(B1188="","",ROUND(SUMIFS(Payments!$G$5:$G$1204,Payments!$I$5:$I$1204,A1188,Payments!$E$5:$E$1204,"Deposit"),2))</f>
        <v>0</v>
      </c>
      <c r="AB1188" s="26">
        <f>IF(B1188="","",ROUND(SUMIFS(Sales!$Y$5:$Y$1204,Sales!$C$5:$C$1204,A1188),2))</f>
        <v>0</v>
      </c>
      <c r="AC1188" s="38">
        <f>IF(B1188="","",IF(M1188="Completed","Yes",IF(M1188="Cancelled","Yes",IF(M1188="No show","Yes","No"))))</f>
        <v>0</v>
      </c>
      <c r="AD1188" s="25">
        <f>IF(B1188="","",IF(AE1188="","",B1188-AE1188))</f>
        <v>0</v>
      </c>
      <c r="AF1188" s="38">
        <f>IF(B1188="","",IF(M1188&lt;&gt;"Completed","",IF(E1188="","No",IF(COUNTIFS(Appointments!$E$5:$E$1204,E1188,Appointments!$B$5:$B$1204,"&gt;"&amp;B1188,Appointments!$M$5:$M$1204,"&lt;&gt;Cancelled")&gt;0,"Yes","No"))))</f>
        <v>0</v>
      </c>
      <c r="AG1188" s="38">
        <f>IF(B1188="","",IF(I1188="","",IF(D1188="","",IF(COUNTIFS($I$5:$I$1204,I1188,$B$5:$B$1204,B1188,$D$5:$D$1204,"&lt;"&amp;V1188,$V$5:$V$1204,"&gt;"&amp;D1188,$M$5:$M$1204,"&lt;&gt;Cancelled")&gt;1,"Clash",""))))</f>
        <v>0</v>
      </c>
      <c r="AH1188" s="39">
        <f>IF(B1188="","",IF(AG1188="Clash","Clash - stylist double booked",IF(I1188="","Assign - no stylist yet",IF(G1188="","Add - no service chosen",IF(M1188="No show","No show - charge the fee?",IF(M1188="Cancelled","",IF(IF(M1188="Completed",AB1188&lt;Y1188-0.004,FALSE),"Unpaid - nothing rung up for this visit",IF(IF(B1188&lt;TodayDate,M1188="Booked",FALSE),"Overdue - past date, still only Booked",IF(IF(B1188=TodayDate,TRUE,FALSE),"Today",IF(IF(Z1188&gt;0,AA1188&lt;Z1188-0.004,FALSE),"Due - deposit not taken",IF(IF(B1188&gt;TodayDate,B1188&lt;=TodayDate+2,FALSE),"Confirm - coming up","OK")))))))))))</f>
        <v>0</v>
      </c>
    </row>
    <row r="1189" spans="1:34">
      <c r="A1189" s="28">
        <f>IF(B1189="","",AppointmentPrefix&amp;TEXT(ROW()-4,"0000"))</f>
        <v>0</v>
      </c>
      <c r="C1189" s="15">
        <f>IF(B1189="","",TEXT(B1189,"ddd"))</f>
        <v>0</v>
      </c>
      <c r="F1189" s="15">
        <f>IF(E1189="","",IFERROR(INDEX(Clients!$B$5:$B$504,MATCH(E1189,Clients!$A$5:$A$504,0)),"Walk-in"))</f>
        <v>0</v>
      </c>
      <c r="H1189" s="15">
        <f>IF(G1189="","",IFERROR(INDEX(Services!$B$5:$B$204,MATCH(G1189,Services!$A$5:$A$204,0)),"Not in Services"))</f>
        <v>0</v>
      </c>
      <c r="J1189" s="15">
        <f>IF(I1189="","",IFERROR(INDEX(Staff!$B$5:$B$44,MATCH(I1189,Staff!$A$5:$A$44,0)),"Unassigned"))</f>
        <v>0</v>
      </c>
      <c r="S1189" s="15">
        <f>IF(B1189="","",TEXT(B1189,"yyyy-mm"))</f>
        <v>0</v>
      </c>
      <c r="T1189" s="25">
        <f>IF(B1189="","",WEEKNUM(B1189,2))</f>
        <v>0</v>
      </c>
      <c r="U1189" s="25">
        <f>IF(B1189="","",IF(K1189&lt;&gt;"",K1189,IFERROR(INDEX(Services!$E$5:$E$204,MATCH(G1189,Services!$A$5:$A$204,0))*1,0)+IFERROR(INDEX(Services!$F$5:$F$204,MATCH(G1189,Services!$A$5:$A$204,0))*1,0)))</f>
        <v>0</v>
      </c>
      <c r="V1189" s="36">
        <f>IF(B1189="","",IF(D1189="","",D1189+U1189/1440))</f>
        <v>0</v>
      </c>
      <c r="W1189" s="25">
        <f>IF(B1189="","",IF(D1189="","",HOUR(D1189)))</f>
        <v>0</v>
      </c>
      <c r="X1189" s="37">
        <f>IF(B1189="","",ROUND(U1189/60,2))</f>
        <v>0</v>
      </c>
      <c r="Y1189" s="26">
        <f>IF(B1189="","",IF(L1189&lt;&gt;"",L1189,IFERROR(INDEX(Services!$G$5:$G$204,MATCH(G1189,Services!$A$5:$A$204,0))*1,0)))</f>
        <v>0</v>
      </c>
      <c r="Z1189" s="26">
        <f>IF(B1189="","",IF(O1189&lt;&gt;"",O1189,IF(Y1189&gt;=DepositThreshold,ROUND(Y1189*DepositPercent,2),0)))</f>
        <v>0</v>
      </c>
      <c r="AA1189" s="26">
        <f>IF(B1189="","",ROUND(SUMIFS(Payments!$G$5:$G$1204,Payments!$I$5:$I$1204,A1189,Payments!$E$5:$E$1204,"Deposit"),2))</f>
        <v>0</v>
      </c>
      <c r="AB1189" s="26">
        <f>IF(B1189="","",ROUND(SUMIFS(Sales!$Y$5:$Y$1204,Sales!$C$5:$C$1204,A1189),2))</f>
        <v>0</v>
      </c>
      <c r="AC1189" s="38">
        <f>IF(B1189="","",IF(M1189="Completed","Yes",IF(M1189="Cancelled","Yes",IF(M1189="No show","Yes","No"))))</f>
        <v>0</v>
      </c>
      <c r="AD1189" s="25">
        <f>IF(B1189="","",IF(AE1189="","",B1189-AE1189))</f>
        <v>0</v>
      </c>
      <c r="AF1189" s="38">
        <f>IF(B1189="","",IF(M1189&lt;&gt;"Completed","",IF(E1189="","No",IF(COUNTIFS(Appointments!$E$5:$E$1204,E1189,Appointments!$B$5:$B$1204,"&gt;"&amp;B1189,Appointments!$M$5:$M$1204,"&lt;&gt;Cancelled")&gt;0,"Yes","No"))))</f>
        <v>0</v>
      </c>
      <c r="AG1189" s="38">
        <f>IF(B1189="","",IF(I1189="","",IF(D1189="","",IF(COUNTIFS($I$5:$I$1204,I1189,$B$5:$B$1204,B1189,$D$5:$D$1204,"&lt;"&amp;V1189,$V$5:$V$1204,"&gt;"&amp;D1189,$M$5:$M$1204,"&lt;&gt;Cancelled")&gt;1,"Clash",""))))</f>
        <v>0</v>
      </c>
      <c r="AH1189" s="39">
        <f>IF(B1189="","",IF(AG1189="Clash","Clash - stylist double booked",IF(I1189="","Assign - no stylist yet",IF(G1189="","Add - no service chosen",IF(M1189="No show","No show - charge the fee?",IF(M1189="Cancelled","",IF(IF(M1189="Completed",AB1189&lt;Y1189-0.004,FALSE),"Unpaid - nothing rung up for this visit",IF(IF(B1189&lt;TodayDate,M1189="Booked",FALSE),"Overdue - past date, still only Booked",IF(IF(B1189=TodayDate,TRUE,FALSE),"Today",IF(IF(Z1189&gt;0,AA1189&lt;Z1189-0.004,FALSE),"Due - deposit not taken",IF(IF(B1189&gt;TodayDate,B1189&lt;=TodayDate+2,FALSE),"Confirm - coming up","OK")))))))))))</f>
        <v>0</v>
      </c>
    </row>
    <row r="1190" spans="1:34">
      <c r="A1190" s="28">
        <f>IF(B1190="","",AppointmentPrefix&amp;TEXT(ROW()-4,"0000"))</f>
        <v>0</v>
      </c>
      <c r="C1190" s="15">
        <f>IF(B1190="","",TEXT(B1190,"ddd"))</f>
        <v>0</v>
      </c>
      <c r="F1190" s="15">
        <f>IF(E1190="","",IFERROR(INDEX(Clients!$B$5:$B$504,MATCH(E1190,Clients!$A$5:$A$504,0)),"Walk-in"))</f>
        <v>0</v>
      </c>
      <c r="H1190" s="15">
        <f>IF(G1190="","",IFERROR(INDEX(Services!$B$5:$B$204,MATCH(G1190,Services!$A$5:$A$204,0)),"Not in Services"))</f>
        <v>0</v>
      </c>
      <c r="J1190" s="15">
        <f>IF(I1190="","",IFERROR(INDEX(Staff!$B$5:$B$44,MATCH(I1190,Staff!$A$5:$A$44,0)),"Unassigned"))</f>
        <v>0</v>
      </c>
      <c r="S1190" s="15">
        <f>IF(B1190="","",TEXT(B1190,"yyyy-mm"))</f>
        <v>0</v>
      </c>
      <c r="T1190" s="25">
        <f>IF(B1190="","",WEEKNUM(B1190,2))</f>
        <v>0</v>
      </c>
      <c r="U1190" s="25">
        <f>IF(B1190="","",IF(K1190&lt;&gt;"",K1190,IFERROR(INDEX(Services!$E$5:$E$204,MATCH(G1190,Services!$A$5:$A$204,0))*1,0)+IFERROR(INDEX(Services!$F$5:$F$204,MATCH(G1190,Services!$A$5:$A$204,0))*1,0)))</f>
        <v>0</v>
      </c>
      <c r="V1190" s="36">
        <f>IF(B1190="","",IF(D1190="","",D1190+U1190/1440))</f>
        <v>0</v>
      </c>
      <c r="W1190" s="25">
        <f>IF(B1190="","",IF(D1190="","",HOUR(D1190)))</f>
        <v>0</v>
      </c>
      <c r="X1190" s="37">
        <f>IF(B1190="","",ROUND(U1190/60,2))</f>
        <v>0</v>
      </c>
      <c r="Y1190" s="26">
        <f>IF(B1190="","",IF(L1190&lt;&gt;"",L1190,IFERROR(INDEX(Services!$G$5:$G$204,MATCH(G1190,Services!$A$5:$A$204,0))*1,0)))</f>
        <v>0</v>
      </c>
      <c r="Z1190" s="26">
        <f>IF(B1190="","",IF(O1190&lt;&gt;"",O1190,IF(Y1190&gt;=DepositThreshold,ROUND(Y1190*DepositPercent,2),0)))</f>
        <v>0</v>
      </c>
      <c r="AA1190" s="26">
        <f>IF(B1190="","",ROUND(SUMIFS(Payments!$G$5:$G$1204,Payments!$I$5:$I$1204,A1190,Payments!$E$5:$E$1204,"Deposit"),2))</f>
        <v>0</v>
      </c>
      <c r="AB1190" s="26">
        <f>IF(B1190="","",ROUND(SUMIFS(Sales!$Y$5:$Y$1204,Sales!$C$5:$C$1204,A1190),2))</f>
        <v>0</v>
      </c>
      <c r="AC1190" s="38">
        <f>IF(B1190="","",IF(M1190="Completed","Yes",IF(M1190="Cancelled","Yes",IF(M1190="No show","Yes","No"))))</f>
        <v>0</v>
      </c>
      <c r="AD1190" s="25">
        <f>IF(B1190="","",IF(AE1190="","",B1190-AE1190))</f>
        <v>0</v>
      </c>
      <c r="AF1190" s="38">
        <f>IF(B1190="","",IF(M1190&lt;&gt;"Completed","",IF(E1190="","No",IF(COUNTIFS(Appointments!$E$5:$E$1204,E1190,Appointments!$B$5:$B$1204,"&gt;"&amp;B1190,Appointments!$M$5:$M$1204,"&lt;&gt;Cancelled")&gt;0,"Yes","No"))))</f>
        <v>0</v>
      </c>
      <c r="AG1190" s="38">
        <f>IF(B1190="","",IF(I1190="","",IF(D1190="","",IF(COUNTIFS($I$5:$I$1204,I1190,$B$5:$B$1204,B1190,$D$5:$D$1204,"&lt;"&amp;V1190,$V$5:$V$1204,"&gt;"&amp;D1190,$M$5:$M$1204,"&lt;&gt;Cancelled")&gt;1,"Clash",""))))</f>
        <v>0</v>
      </c>
      <c r="AH1190" s="39">
        <f>IF(B1190="","",IF(AG1190="Clash","Clash - stylist double booked",IF(I1190="","Assign - no stylist yet",IF(G1190="","Add - no service chosen",IF(M1190="No show","No show - charge the fee?",IF(M1190="Cancelled","",IF(IF(M1190="Completed",AB1190&lt;Y1190-0.004,FALSE),"Unpaid - nothing rung up for this visit",IF(IF(B1190&lt;TodayDate,M1190="Booked",FALSE),"Overdue - past date, still only Booked",IF(IF(B1190=TodayDate,TRUE,FALSE),"Today",IF(IF(Z1190&gt;0,AA1190&lt;Z1190-0.004,FALSE),"Due - deposit not taken",IF(IF(B1190&gt;TodayDate,B1190&lt;=TodayDate+2,FALSE),"Confirm - coming up","OK")))))))))))</f>
        <v>0</v>
      </c>
    </row>
    <row r="1191" spans="1:34">
      <c r="A1191" s="28">
        <f>IF(B1191="","",AppointmentPrefix&amp;TEXT(ROW()-4,"0000"))</f>
        <v>0</v>
      </c>
      <c r="C1191" s="15">
        <f>IF(B1191="","",TEXT(B1191,"ddd"))</f>
        <v>0</v>
      </c>
      <c r="F1191" s="15">
        <f>IF(E1191="","",IFERROR(INDEX(Clients!$B$5:$B$504,MATCH(E1191,Clients!$A$5:$A$504,0)),"Walk-in"))</f>
        <v>0</v>
      </c>
      <c r="H1191" s="15">
        <f>IF(G1191="","",IFERROR(INDEX(Services!$B$5:$B$204,MATCH(G1191,Services!$A$5:$A$204,0)),"Not in Services"))</f>
        <v>0</v>
      </c>
      <c r="J1191" s="15">
        <f>IF(I1191="","",IFERROR(INDEX(Staff!$B$5:$B$44,MATCH(I1191,Staff!$A$5:$A$44,0)),"Unassigned"))</f>
        <v>0</v>
      </c>
      <c r="S1191" s="15">
        <f>IF(B1191="","",TEXT(B1191,"yyyy-mm"))</f>
        <v>0</v>
      </c>
      <c r="T1191" s="25">
        <f>IF(B1191="","",WEEKNUM(B1191,2))</f>
        <v>0</v>
      </c>
      <c r="U1191" s="25">
        <f>IF(B1191="","",IF(K1191&lt;&gt;"",K1191,IFERROR(INDEX(Services!$E$5:$E$204,MATCH(G1191,Services!$A$5:$A$204,0))*1,0)+IFERROR(INDEX(Services!$F$5:$F$204,MATCH(G1191,Services!$A$5:$A$204,0))*1,0)))</f>
        <v>0</v>
      </c>
      <c r="V1191" s="36">
        <f>IF(B1191="","",IF(D1191="","",D1191+U1191/1440))</f>
        <v>0</v>
      </c>
      <c r="W1191" s="25">
        <f>IF(B1191="","",IF(D1191="","",HOUR(D1191)))</f>
        <v>0</v>
      </c>
      <c r="X1191" s="37">
        <f>IF(B1191="","",ROUND(U1191/60,2))</f>
        <v>0</v>
      </c>
      <c r="Y1191" s="26">
        <f>IF(B1191="","",IF(L1191&lt;&gt;"",L1191,IFERROR(INDEX(Services!$G$5:$G$204,MATCH(G1191,Services!$A$5:$A$204,0))*1,0)))</f>
        <v>0</v>
      </c>
      <c r="Z1191" s="26">
        <f>IF(B1191="","",IF(O1191&lt;&gt;"",O1191,IF(Y1191&gt;=DepositThreshold,ROUND(Y1191*DepositPercent,2),0)))</f>
        <v>0</v>
      </c>
      <c r="AA1191" s="26">
        <f>IF(B1191="","",ROUND(SUMIFS(Payments!$G$5:$G$1204,Payments!$I$5:$I$1204,A1191,Payments!$E$5:$E$1204,"Deposit"),2))</f>
        <v>0</v>
      </c>
      <c r="AB1191" s="26">
        <f>IF(B1191="","",ROUND(SUMIFS(Sales!$Y$5:$Y$1204,Sales!$C$5:$C$1204,A1191),2))</f>
        <v>0</v>
      </c>
      <c r="AC1191" s="38">
        <f>IF(B1191="","",IF(M1191="Completed","Yes",IF(M1191="Cancelled","Yes",IF(M1191="No show","Yes","No"))))</f>
        <v>0</v>
      </c>
      <c r="AD1191" s="25">
        <f>IF(B1191="","",IF(AE1191="","",B1191-AE1191))</f>
        <v>0</v>
      </c>
      <c r="AF1191" s="38">
        <f>IF(B1191="","",IF(M1191&lt;&gt;"Completed","",IF(E1191="","No",IF(COUNTIFS(Appointments!$E$5:$E$1204,E1191,Appointments!$B$5:$B$1204,"&gt;"&amp;B1191,Appointments!$M$5:$M$1204,"&lt;&gt;Cancelled")&gt;0,"Yes","No"))))</f>
        <v>0</v>
      </c>
      <c r="AG1191" s="38">
        <f>IF(B1191="","",IF(I1191="","",IF(D1191="","",IF(COUNTIFS($I$5:$I$1204,I1191,$B$5:$B$1204,B1191,$D$5:$D$1204,"&lt;"&amp;V1191,$V$5:$V$1204,"&gt;"&amp;D1191,$M$5:$M$1204,"&lt;&gt;Cancelled")&gt;1,"Clash",""))))</f>
        <v>0</v>
      </c>
      <c r="AH1191" s="39">
        <f>IF(B1191="","",IF(AG1191="Clash","Clash - stylist double booked",IF(I1191="","Assign - no stylist yet",IF(G1191="","Add - no service chosen",IF(M1191="No show","No show - charge the fee?",IF(M1191="Cancelled","",IF(IF(M1191="Completed",AB1191&lt;Y1191-0.004,FALSE),"Unpaid - nothing rung up for this visit",IF(IF(B1191&lt;TodayDate,M1191="Booked",FALSE),"Overdue - past date, still only Booked",IF(IF(B1191=TodayDate,TRUE,FALSE),"Today",IF(IF(Z1191&gt;0,AA1191&lt;Z1191-0.004,FALSE),"Due - deposit not taken",IF(IF(B1191&gt;TodayDate,B1191&lt;=TodayDate+2,FALSE),"Confirm - coming up","OK")))))))))))</f>
        <v>0</v>
      </c>
    </row>
    <row r="1192" spans="1:34">
      <c r="A1192" s="28">
        <f>IF(B1192="","",AppointmentPrefix&amp;TEXT(ROW()-4,"0000"))</f>
        <v>0</v>
      </c>
      <c r="C1192" s="15">
        <f>IF(B1192="","",TEXT(B1192,"ddd"))</f>
        <v>0</v>
      </c>
      <c r="F1192" s="15">
        <f>IF(E1192="","",IFERROR(INDEX(Clients!$B$5:$B$504,MATCH(E1192,Clients!$A$5:$A$504,0)),"Walk-in"))</f>
        <v>0</v>
      </c>
      <c r="H1192" s="15">
        <f>IF(G1192="","",IFERROR(INDEX(Services!$B$5:$B$204,MATCH(G1192,Services!$A$5:$A$204,0)),"Not in Services"))</f>
        <v>0</v>
      </c>
      <c r="J1192" s="15">
        <f>IF(I1192="","",IFERROR(INDEX(Staff!$B$5:$B$44,MATCH(I1192,Staff!$A$5:$A$44,0)),"Unassigned"))</f>
        <v>0</v>
      </c>
      <c r="S1192" s="15">
        <f>IF(B1192="","",TEXT(B1192,"yyyy-mm"))</f>
        <v>0</v>
      </c>
      <c r="T1192" s="25">
        <f>IF(B1192="","",WEEKNUM(B1192,2))</f>
        <v>0</v>
      </c>
      <c r="U1192" s="25">
        <f>IF(B1192="","",IF(K1192&lt;&gt;"",K1192,IFERROR(INDEX(Services!$E$5:$E$204,MATCH(G1192,Services!$A$5:$A$204,0))*1,0)+IFERROR(INDEX(Services!$F$5:$F$204,MATCH(G1192,Services!$A$5:$A$204,0))*1,0)))</f>
        <v>0</v>
      </c>
      <c r="V1192" s="36">
        <f>IF(B1192="","",IF(D1192="","",D1192+U1192/1440))</f>
        <v>0</v>
      </c>
      <c r="W1192" s="25">
        <f>IF(B1192="","",IF(D1192="","",HOUR(D1192)))</f>
        <v>0</v>
      </c>
      <c r="X1192" s="37">
        <f>IF(B1192="","",ROUND(U1192/60,2))</f>
        <v>0</v>
      </c>
      <c r="Y1192" s="26">
        <f>IF(B1192="","",IF(L1192&lt;&gt;"",L1192,IFERROR(INDEX(Services!$G$5:$G$204,MATCH(G1192,Services!$A$5:$A$204,0))*1,0)))</f>
        <v>0</v>
      </c>
      <c r="Z1192" s="26">
        <f>IF(B1192="","",IF(O1192&lt;&gt;"",O1192,IF(Y1192&gt;=DepositThreshold,ROUND(Y1192*DepositPercent,2),0)))</f>
        <v>0</v>
      </c>
      <c r="AA1192" s="26">
        <f>IF(B1192="","",ROUND(SUMIFS(Payments!$G$5:$G$1204,Payments!$I$5:$I$1204,A1192,Payments!$E$5:$E$1204,"Deposit"),2))</f>
        <v>0</v>
      </c>
      <c r="AB1192" s="26">
        <f>IF(B1192="","",ROUND(SUMIFS(Sales!$Y$5:$Y$1204,Sales!$C$5:$C$1204,A1192),2))</f>
        <v>0</v>
      </c>
      <c r="AC1192" s="38">
        <f>IF(B1192="","",IF(M1192="Completed","Yes",IF(M1192="Cancelled","Yes",IF(M1192="No show","Yes","No"))))</f>
        <v>0</v>
      </c>
      <c r="AD1192" s="25">
        <f>IF(B1192="","",IF(AE1192="","",B1192-AE1192))</f>
        <v>0</v>
      </c>
      <c r="AF1192" s="38">
        <f>IF(B1192="","",IF(M1192&lt;&gt;"Completed","",IF(E1192="","No",IF(COUNTIFS(Appointments!$E$5:$E$1204,E1192,Appointments!$B$5:$B$1204,"&gt;"&amp;B1192,Appointments!$M$5:$M$1204,"&lt;&gt;Cancelled")&gt;0,"Yes","No"))))</f>
        <v>0</v>
      </c>
      <c r="AG1192" s="38">
        <f>IF(B1192="","",IF(I1192="","",IF(D1192="","",IF(COUNTIFS($I$5:$I$1204,I1192,$B$5:$B$1204,B1192,$D$5:$D$1204,"&lt;"&amp;V1192,$V$5:$V$1204,"&gt;"&amp;D1192,$M$5:$M$1204,"&lt;&gt;Cancelled")&gt;1,"Clash",""))))</f>
        <v>0</v>
      </c>
      <c r="AH1192" s="39">
        <f>IF(B1192="","",IF(AG1192="Clash","Clash - stylist double booked",IF(I1192="","Assign - no stylist yet",IF(G1192="","Add - no service chosen",IF(M1192="No show","No show - charge the fee?",IF(M1192="Cancelled","",IF(IF(M1192="Completed",AB1192&lt;Y1192-0.004,FALSE),"Unpaid - nothing rung up for this visit",IF(IF(B1192&lt;TodayDate,M1192="Booked",FALSE),"Overdue - past date, still only Booked",IF(IF(B1192=TodayDate,TRUE,FALSE),"Today",IF(IF(Z1192&gt;0,AA1192&lt;Z1192-0.004,FALSE),"Due - deposit not taken",IF(IF(B1192&gt;TodayDate,B1192&lt;=TodayDate+2,FALSE),"Confirm - coming up","OK")))))))))))</f>
        <v>0</v>
      </c>
    </row>
    <row r="1193" spans="1:34">
      <c r="A1193" s="28">
        <f>IF(B1193="","",AppointmentPrefix&amp;TEXT(ROW()-4,"0000"))</f>
        <v>0</v>
      </c>
      <c r="C1193" s="15">
        <f>IF(B1193="","",TEXT(B1193,"ddd"))</f>
        <v>0</v>
      </c>
      <c r="F1193" s="15">
        <f>IF(E1193="","",IFERROR(INDEX(Clients!$B$5:$B$504,MATCH(E1193,Clients!$A$5:$A$504,0)),"Walk-in"))</f>
        <v>0</v>
      </c>
      <c r="H1193" s="15">
        <f>IF(G1193="","",IFERROR(INDEX(Services!$B$5:$B$204,MATCH(G1193,Services!$A$5:$A$204,0)),"Not in Services"))</f>
        <v>0</v>
      </c>
      <c r="J1193" s="15">
        <f>IF(I1193="","",IFERROR(INDEX(Staff!$B$5:$B$44,MATCH(I1193,Staff!$A$5:$A$44,0)),"Unassigned"))</f>
        <v>0</v>
      </c>
      <c r="S1193" s="15">
        <f>IF(B1193="","",TEXT(B1193,"yyyy-mm"))</f>
        <v>0</v>
      </c>
      <c r="T1193" s="25">
        <f>IF(B1193="","",WEEKNUM(B1193,2))</f>
        <v>0</v>
      </c>
      <c r="U1193" s="25">
        <f>IF(B1193="","",IF(K1193&lt;&gt;"",K1193,IFERROR(INDEX(Services!$E$5:$E$204,MATCH(G1193,Services!$A$5:$A$204,0))*1,0)+IFERROR(INDEX(Services!$F$5:$F$204,MATCH(G1193,Services!$A$5:$A$204,0))*1,0)))</f>
        <v>0</v>
      </c>
      <c r="V1193" s="36">
        <f>IF(B1193="","",IF(D1193="","",D1193+U1193/1440))</f>
        <v>0</v>
      </c>
      <c r="W1193" s="25">
        <f>IF(B1193="","",IF(D1193="","",HOUR(D1193)))</f>
        <v>0</v>
      </c>
      <c r="X1193" s="37">
        <f>IF(B1193="","",ROUND(U1193/60,2))</f>
        <v>0</v>
      </c>
      <c r="Y1193" s="26">
        <f>IF(B1193="","",IF(L1193&lt;&gt;"",L1193,IFERROR(INDEX(Services!$G$5:$G$204,MATCH(G1193,Services!$A$5:$A$204,0))*1,0)))</f>
        <v>0</v>
      </c>
      <c r="Z1193" s="26">
        <f>IF(B1193="","",IF(O1193&lt;&gt;"",O1193,IF(Y1193&gt;=DepositThreshold,ROUND(Y1193*DepositPercent,2),0)))</f>
        <v>0</v>
      </c>
      <c r="AA1193" s="26">
        <f>IF(B1193="","",ROUND(SUMIFS(Payments!$G$5:$G$1204,Payments!$I$5:$I$1204,A1193,Payments!$E$5:$E$1204,"Deposit"),2))</f>
        <v>0</v>
      </c>
      <c r="AB1193" s="26">
        <f>IF(B1193="","",ROUND(SUMIFS(Sales!$Y$5:$Y$1204,Sales!$C$5:$C$1204,A1193),2))</f>
        <v>0</v>
      </c>
      <c r="AC1193" s="38">
        <f>IF(B1193="","",IF(M1193="Completed","Yes",IF(M1193="Cancelled","Yes",IF(M1193="No show","Yes","No"))))</f>
        <v>0</v>
      </c>
      <c r="AD1193" s="25">
        <f>IF(B1193="","",IF(AE1193="","",B1193-AE1193))</f>
        <v>0</v>
      </c>
      <c r="AF1193" s="38">
        <f>IF(B1193="","",IF(M1193&lt;&gt;"Completed","",IF(E1193="","No",IF(COUNTIFS(Appointments!$E$5:$E$1204,E1193,Appointments!$B$5:$B$1204,"&gt;"&amp;B1193,Appointments!$M$5:$M$1204,"&lt;&gt;Cancelled")&gt;0,"Yes","No"))))</f>
        <v>0</v>
      </c>
      <c r="AG1193" s="38">
        <f>IF(B1193="","",IF(I1193="","",IF(D1193="","",IF(COUNTIFS($I$5:$I$1204,I1193,$B$5:$B$1204,B1193,$D$5:$D$1204,"&lt;"&amp;V1193,$V$5:$V$1204,"&gt;"&amp;D1193,$M$5:$M$1204,"&lt;&gt;Cancelled")&gt;1,"Clash",""))))</f>
        <v>0</v>
      </c>
      <c r="AH1193" s="39">
        <f>IF(B1193="","",IF(AG1193="Clash","Clash - stylist double booked",IF(I1193="","Assign - no stylist yet",IF(G1193="","Add - no service chosen",IF(M1193="No show","No show - charge the fee?",IF(M1193="Cancelled","",IF(IF(M1193="Completed",AB1193&lt;Y1193-0.004,FALSE),"Unpaid - nothing rung up for this visit",IF(IF(B1193&lt;TodayDate,M1193="Booked",FALSE),"Overdue - past date, still only Booked",IF(IF(B1193=TodayDate,TRUE,FALSE),"Today",IF(IF(Z1193&gt;0,AA1193&lt;Z1193-0.004,FALSE),"Due - deposit not taken",IF(IF(B1193&gt;TodayDate,B1193&lt;=TodayDate+2,FALSE),"Confirm - coming up","OK")))))))))))</f>
        <v>0</v>
      </c>
    </row>
    <row r="1194" spans="1:34">
      <c r="A1194" s="28">
        <f>IF(B1194="","",AppointmentPrefix&amp;TEXT(ROW()-4,"0000"))</f>
        <v>0</v>
      </c>
      <c r="C1194" s="15">
        <f>IF(B1194="","",TEXT(B1194,"ddd"))</f>
        <v>0</v>
      </c>
      <c r="F1194" s="15">
        <f>IF(E1194="","",IFERROR(INDEX(Clients!$B$5:$B$504,MATCH(E1194,Clients!$A$5:$A$504,0)),"Walk-in"))</f>
        <v>0</v>
      </c>
      <c r="H1194" s="15">
        <f>IF(G1194="","",IFERROR(INDEX(Services!$B$5:$B$204,MATCH(G1194,Services!$A$5:$A$204,0)),"Not in Services"))</f>
        <v>0</v>
      </c>
      <c r="J1194" s="15">
        <f>IF(I1194="","",IFERROR(INDEX(Staff!$B$5:$B$44,MATCH(I1194,Staff!$A$5:$A$44,0)),"Unassigned"))</f>
        <v>0</v>
      </c>
      <c r="S1194" s="15">
        <f>IF(B1194="","",TEXT(B1194,"yyyy-mm"))</f>
        <v>0</v>
      </c>
      <c r="T1194" s="25">
        <f>IF(B1194="","",WEEKNUM(B1194,2))</f>
        <v>0</v>
      </c>
      <c r="U1194" s="25">
        <f>IF(B1194="","",IF(K1194&lt;&gt;"",K1194,IFERROR(INDEX(Services!$E$5:$E$204,MATCH(G1194,Services!$A$5:$A$204,0))*1,0)+IFERROR(INDEX(Services!$F$5:$F$204,MATCH(G1194,Services!$A$5:$A$204,0))*1,0)))</f>
        <v>0</v>
      </c>
      <c r="V1194" s="36">
        <f>IF(B1194="","",IF(D1194="","",D1194+U1194/1440))</f>
        <v>0</v>
      </c>
      <c r="W1194" s="25">
        <f>IF(B1194="","",IF(D1194="","",HOUR(D1194)))</f>
        <v>0</v>
      </c>
      <c r="X1194" s="37">
        <f>IF(B1194="","",ROUND(U1194/60,2))</f>
        <v>0</v>
      </c>
      <c r="Y1194" s="26">
        <f>IF(B1194="","",IF(L1194&lt;&gt;"",L1194,IFERROR(INDEX(Services!$G$5:$G$204,MATCH(G1194,Services!$A$5:$A$204,0))*1,0)))</f>
        <v>0</v>
      </c>
      <c r="Z1194" s="26">
        <f>IF(B1194="","",IF(O1194&lt;&gt;"",O1194,IF(Y1194&gt;=DepositThreshold,ROUND(Y1194*DepositPercent,2),0)))</f>
        <v>0</v>
      </c>
      <c r="AA1194" s="26">
        <f>IF(B1194="","",ROUND(SUMIFS(Payments!$G$5:$G$1204,Payments!$I$5:$I$1204,A1194,Payments!$E$5:$E$1204,"Deposit"),2))</f>
        <v>0</v>
      </c>
      <c r="AB1194" s="26">
        <f>IF(B1194="","",ROUND(SUMIFS(Sales!$Y$5:$Y$1204,Sales!$C$5:$C$1204,A1194),2))</f>
        <v>0</v>
      </c>
      <c r="AC1194" s="38">
        <f>IF(B1194="","",IF(M1194="Completed","Yes",IF(M1194="Cancelled","Yes",IF(M1194="No show","Yes","No"))))</f>
        <v>0</v>
      </c>
      <c r="AD1194" s="25">
        <f>IF(B1194="","",IF(AE1194="","",B1194-AE1194))</f>
        <v>0</v>
      </c>
      <c r="AF1194" s="38">
        <f>IF(B1194="","",IF(M1194&lt;&gt;"Completed","",IF(E1194="","No",IF(COUNTIFS(Appointments!$E$5:$E$1204,E1194,Appointments!$B$5:$B$1204,"&gt;"&amp;B1194,Appointments!$M$5:$M$1204,"&lt;&gt;Cancelled")&gt;0,"Yes","No"))))</f>
        <v>0</v>
      </c>
      <c r="AG1194" s="38">
        <f>IF(B1194="","",IF(I1194="","",IF(D1194="","",IF(COUNTIFS($I$5:$I$1204,I1194,$B$5:$B$1204,B1194,$D$5:$D$1204,"&lt;"&amp;V1194,$V$5:$V$1204,"&gt;"&amp;D1194,$M$5:$M$1204,"&lt;&gt;Cancelled")&gt;1,"Clash",""))))</f>
        <v>0</v>
      </c>
      <c r="AH1194" s="39">
        <f>IF(B1194="","",IF(AG1194="Clash","Clash - stylist double booked",IF(I1194="","Assign - no stylist yet",IF(G1194="","Add - no service chosen",IF(M1194="No show","No show - charge the fee?",IF(M1194="Cancelled","",IF(IF(M1194="Completed",AB1194&lt;Y1194-0.004,FALSE),"Unpaid - nothing rung up for this visit",IF(IF(B1194&lt;TodayDate,M1194="Booked",FALSE),"Overdue - past date, still only Booked",IF(IF(B1194=TodayDate,TRUE,FALSE),"Today",IF(IF(Z1194&gt;0,AA1194&lt;Z1194-0.004,FALSE),"Due - deposit not taken",IF(IF(B1194&gt;TodayDate,B1194&lt;=TodayDate+2,FALSE),"Confirm - coming up","OK")))))))))))</f>
        <v>0</v>
      </c>
    </row>
    <row r="1195" spans="1:34">
      <c r="A1195" s="28">
        <f>IF(B1195="","",AppointmentPrefix&amp;TEXT(ROW()-4,"0000"))</f>
        <v>0</v>
      </c>
      <c r="C1195" s="15">
        <f>IF(B1195="","",TEXT(B1195,"ddd"))</f>
        <v>0</v>
      </c>
      <c r="F1195" s="15">
        <f>IF(E1195="","",IFERROR(INDEX(Clients!$B$5:$B$504,MATCH(E1195,Clients!$A$5:$A$504,0)),"Walk-in"))</f>
        <v>0</v>
      </c>
      <c r="H1195" s="15">
        <f>IF(G1195="","",IFERROR(INDEX(Services!$B$5:$B$204,MATCH(G1195,Services!$A$5:$A$204,0)),"Not in Services"))</f>
        <v>0</v>
      </c>
      <c r="J1195" s="15">
        <f>IF(I1195="","",IFERROR(INDEX(Staff!$B$5:$B$44,MATCH(I1195,Staff!$A$5:$A$44,0)),"Unassigned"))</f>
        <v>0</v>
      </c>
      <c r="S1195" s="15">
        <f>IF(B1195="","",TEXT(B1195,"yyyy-mm"))</f>
        <v>0</v>
      </c>
      <c r="T1195" s="25">
        <f>IF(B1195="","",WEEKNUM(B1195,2))</f>
        <v>0</v>
      </c>
      <c r="U1195" s="25">
        <f>IF(B1195="","",IF(K1195&lt;&gt;"",K1195,IFERROR(INDEX(Services!$E$5:$E$204,MATCH(G1195,Services!$A$5:$A$204,0))*1,0)+IFERROR(INDEX(Services!$F$5:$F$204,MATCH(G1195,Services!$A$5:$A$204,0))*1,0)))</f>
        <v>0</v>
      </c>
      <c r="V1195" s="36">
        <f>IF(B1195="","",IF(D1195="","",D1195+U1195/1440))</f>
        <v>0</v>
      </c>
      <c r="W1195" s="25">
        <f>IF(B1195="","",IF(D1195="","",HOUR(D1195)))</f>
        <v>0</v>
      </c>
      <c r="X1195" s="37">
        <f>IF(B1195="","",ROUND(U1195/60,2))</f>
        <v>0</v>
      </c>
      <c r="Y1195" s="26">
        <f>IF(B1195="","",IF(L1195&lt;&gt;"",L1195,IFERROR(INDEX(Services!$G$5:$G$204,MATCH(G1195,Services!$A$5:$A$204,0))*1,0)))</f>
        <v>0</v>
      </c>
      <c r="Z1195" s="26">
        <f>IF(B1195="","",IF(O1195&lt;&gt;"",O1195,IF(Y1195&gt;=DepositThreshold,ROUND(Y1195*DepositPercent,2),0)))</f>
        <v>0</v>
      </c>
      <c r="AA1195" s="26">
        <f>IF(B1195="","",ROUND(SUMIFS(Payments!$G$5:$G$1204,Payments!$I$5:$I$1204,A1195,Payments!$E$5:$E$1204,"Deposit"),2))</f>
        <v>0</v>
      </c>
      <c r="AB1195" s="26">
        <f>IF(B1195="","",ROUND(SUMIFS(Sales!$Y$5:$Y$1204,Sales!$C$5:$C$1204,A1195),2))</f>
        <v>0</v>
      </c>
      <c r="AC1195" s="38">
        <f>IF(B1195="","",IF(M1195="Completed","Yes",IF(M1195="Cancelled","Yes",IF(M1195="No show","Yes","No"))))</f>
        <v>0</v>
      </c>
      <c r="AD1195" s="25">
        <f>IF(B1195="","",IF(AE1195="","",B1195-AE1195))</f>
        <v>0</v>
      </c>
      <c r="AF1195" s="38">
        <f>IF(B1195="","",IF(M1195&lt;&gt;"Completed","",IF(E1195="","No",IF(COUNTIFS(Appointments!$E$5:$E$1204,E1195,Appointments!$B$5:$B$1204,"&gt;"&amp;B1195,Appointments!$M$5:$M$1204,"&lt;&gt;Cancelled")&gt;0,"Yes","No"))))</f>
        <v>0</v>
      </c>
      <c r="AG1195" s="38">
        <f>IF(B1195="","",IF(I1195="","",IF(D1195="","",IF(COUNTIFS($I$5:$I$1204,I1195,$B$5:$B$1204,B1195,$D$5:$D$1204,"&lt;"&amp;V1195,$V$5:$V$1204,"&gt;"&amp;D1195,$M$5:$M$1204,"&lt;&gt;Cancelled")&gt;1,"Clash",""))))</f>
        <v>0</v>
      </c>
      <c r="AH1195" s="39">
        <f>IF(B1195="","",IF(AG1195="Clash","Clash - stylist double booked",IF(I1195="","Assign - no stylist yet",IF(G1195="","Add - no service chosen",IF(M1195="No show","No show - charge the fee?",IF(M1195="Cancelled","",IF(IF(M1195="Completed",AB1195&lt;Y1195-0.004,FALSE),"Unpaid - nothing rung up for this visit",IF(IF(B1195&lt;TodayDate,M1195="Booked",FALSE),"Overdue - past date, still only Booked",IF(IF(B1195=TodayDate,TRUE,FALSE),"Today",IF(IF(Z1195&gt;0,AA1195&lt;Z1195-0.004,FALSE),"Due - deposit not taken",IF(IF(B1195&gt;TodayDate,B1195&lt;=TodayDate+2,FALSE),"Confirm - coming up","OK")))))))))))</f>
        <v>0</v>
      </c>
    </row>
    <row r="1196" spans="1:34">
      <c r="A1196" s="28">
        <f>IF(B1196="","",AppointmentPrefix&amp;TEXT(ROW()-4,"0000"))</f>
        <v>0</v>
      </c>
      <c r="C1196" s="15">
        <f>IF(B1196="","",TEXT(B1196,"ddd"))</f>
        <v>0</v>
      </c>
      <c r="F1196" s="15">
        <f>IF(E1196="","",IFERROR(INDEX(Clients!$B$5:$B$504,MATCH(E1196,Clients!$A$5:$A$504,0)),"Walk-in"))</f>
        <v>0</v>
      </c>
      <c r="H1196" s="15">
        <f>IF(G1196="","",IFERROR(INDEX(Services!$B$5:$B$204,MATCH(G1196,Services!$A$5:$A$204,0)),"Not in Services"))</f>
        <v>0</v>
      </c>
      <c r="J1196" s="15">
        <f>IF(I1196="","",IFERROR(INDEX(Staff!$B$5:$B$44,MATCH(I1196,Staff!$A$5:$A$44,0)),"Unassigned"))</f>
        <v>0</v>
      </c>
      <c r="S1196" s="15">
        <f>IF(B1196="","",TEXT(B1196,"yyyy-mm"))</f>
        <v>0</v>
      </c>
      <c r="T1196" s="25">
        <f>IF(B1196="","",WEEKNUM(B1196,2))</f>
        <v>0</v>
      </c>
      <c r="U1196" s="25">
        <f>IF(B1196="","",IF(K1196&lt;&gt;"",K1196,IFERROR(INDEX(Services!$E$5:$E$204,MATCH(G1196,Services!$A$5:$A$204,0))*1,0)+IFERROR(INDEX(Services!$F$5:$F$204,MATCH(G1196,Services!$A$5:$A$204,0))*1,0)))</f>
        <v>0</v>
      </c>
      <c r="V1196" s="36">
        <f>IF(B1196="","",IF(D1196="","",D1196+U1196/1440))</f>
        <v>0</v>
      </c>
      <c r="W1196" s="25">
        <f>IF(B1196="","",IF(D1196="","",HOUR(D1196)))</f>
        <v>0</v>
      </c>
      <c r="X1196" s="37">
        <f>IF(B1196="","",ROUND(U1196/60,2))</f>
        <v>0</v>
      </c>
      <c r="Y1196" s="26">
        <f>IF(B1196="","",IF(L1196&lt;&gt;"",L1196,IFERROR(INDEX(Services!$G$5:$G$204,MATCH(G1196,Services!$A$5:$A$204,0))*1,0)))</f>
        <v>0</v>
      </c>
      <c r="Z1196" s="26">
        <f>IF(B1196="","",IF(O1196&lt;&gt;"",O1196,IF(Y1196&gt;=DepositThreshold,ROUND(Y1196*DepositPercent,2),0)))</f>
        <v>0</v>
      </c>
      <c r="AA1196" s="26">
        <f>IF(B1196="","",ROUND(SUMIFS(Payments!$G$5:$G$1204,Payments!$I$5:$I$1204,A1196,Payments!$E$5:$E$1204,"Deposit"),2))</f>
        <v>0</v>
      </c>
      <c r="AB1196" s="26">
        <f>IF(B1196="","",ROUND(SUMIFS(Sales!$Y$5:$Y$1204,Sales!$C$5:$C$1204,A1196),2))</f>
        <v>0</v>
      </c>
      <c r="AC1196" s="38">
        <f>IF(B1196="","",IF(M1196="Completed","Yes",IF(M1196="Cancelled","Yes",IF(M1196="No show","Yes","No"))))</f>
        <v>0</v>
      </c>
      <c r="AD1196" s="25">
        <f>IF(B1196="","",IF(AE1196="","",B1196-AE1196))</f>
        <v>0</v>
      </c>
      <c r="AF1196" s="38">
        <f>IF(B1196="","",IF(M1196&lt;&gt;"Completed","",IF(E1196="","No",IF(COUNTIFS(Appointments!$E$5:$E$1204,E1196,Appointments!$B$5:$B$1204,"&gt;"&amp;B1196,Appointments!$M$5:$M$1204,"&lt;&gt;Cancelled")&gt;0,"Yes","No"))))</f>
        <v>0</v>
      </c>
      <c r="AG1196" s="38">
        <f>IF(B1196="","",IF(I1196="","",IF(D1196="","",IF(COUNTIFS($I$5:$I$1204,I1196,$B$5:$B$1204,B1196,$D$5:$D$1204,"&lt;"&amp;V1196,$V$5:$V$1204,"&gt;"&amp;D1196,$M$5:$M$1204,"&lt;&gt;Cancelled")&gt;1,"Clash",""))))</f>
        <v>0</v>
      </c>
      <c r="AH1196" s="39">
        <f>IF(B1196="","",IF(AG1196="Clash","Clash - stylist double booked",IF(I1196="","Assign - no stylist yet",IF(G1196="","Add - no service chosen",IF(M1196="No show","No show - charge the fee?",IF(M1196="Cancelled","",IF(IF(M1196="Completed",AB1196&lt;Y1196-0.004,FALSE),"Unpaid - nothing rung up for this visit",IF(IF(B1196&lt;TodayDate,M1196="Booked",FALSE),"Overdue - past date, still only Booked",IF(IF(B1196=TodayDate,TRUE,FALSE),"Today",IF(IF(Z1196&gt;0,AA1196&lt;Z1196-0.004,FALSE),"Due - deposit not taken",IF(IF(B1196&gt;TodayDate,B1196&lt;=TodayDate+2,FALSE),"Confirm - coming up","OK")))))))))))</f>
        <v>0</v>
      </c>
    </row>
    <row r="1197" spans="1:34">
      <c r="A1197" s="28">
        <f>IF(B1197="","",AppointmentPrefix&amp;TEXT(ROW()-4,"0000"))</f>
        <v>0</v>
      </c>
      <c r="C1197" s="15">
        <f>IF(B1197="","",TEXT(B1197,"ddd"))</f>
        <v>0</v>
      </c>
      <c r="F1197" s="15">
        <f>IF(E1197="","",IFERROR(INDEX(Clients!$B$5:$B$504,MATCH(E1197,Clients!$A$5:$A$504,0)),"Walk-in"))</f>
        <v>0</v>
      </c>
      <c r="H1197" s="15">
        <f>IF(G1197="","",IFERROR(INDEX(Services!$B$5:$B$204,MATCH(G1197,Services!$A$5:$A$204,0)),"Not in Services"))</f>
        <v>0</v>
      </c>
      <c r="J1197" s="15">
        <f>IF(I1197="","",IFERROR(INDEX(Staff!$B$5:$B$44,MATCH(I1197,Staff!$A$5:$A$44,0)),"Unassigned"))</f>
        <v>0</v>
      </c>
      <c r="S1197" s="15">
        <f>IF(B1197="","",TEXT(B1197,"yyyy-mm"))</f>
        <v>0</v>
      </c>
      <c r="T1197" s="25">
        <f>IF(B1197="","",WEEKNUM(B1197,2))</f>
        <v>0</v>
      </c>
      <c r="U1197" s="25">
        <f>IF(B1197="","",IF(K1197&lt;&gt;"",K1197,IFERROR(INDEX(Services!$E$5:$E$204,MATCH(G1197,Services!$A$5:$A$204,0))*1,0)+IFERROR(INDEX(Services!$F$5:$F$204,MATCH(G1197,Services!$A$5:$A$204,0))*1,0)))</f>
        <v>0</v>
      </c>
      <c r="V1197" s="36">
        <f>IF(B1197="","",IF(D1197="","",D1197+U1197/1440))</f>
        <v>0</v>
      </c>
      <c r="W1197" s="25">
        <f>IF(B1197="","",IF(D1197="","",HOUR(D1197)))</f>
        <v>0</v>
      </c>
      <c r="X1197" s="37">
        <f>IF(B1197="","",ROUND(U1197/60,2))</f>
        <v>0</v>
      </c>
      <c r="Y1197" s="26">
        <f>IF(B1197="","",IF(L1197&lt;&gt;"",L1197,IFERROR(INDEX(Services!$G$5:$G$204,MATCH(G1197,Services!$A$5:$A$204,0))*1,0)))</f>
        <v>0</v>
      </c>
      <c r="Z1197" s="26">
        <f>IF(B1197="","",IF(O1197&lt;&gt;"",O1197,IF(Y1197&gt;=DepositThreshold,ROUND(Y1197*DepositPercent,2),0)))</f>
        <v>0</v>
      </c>
      <c r="AA1197" s="26">
        <f>IF(B1197="","",ROUND(SUMIFS(Payments!$G$5:$G$1204,Payments!$I$5:$I$1204,A1197,Payments!$E$5:$E$1204,"Deposit"),2))</f>
        <v>0</v>
      </c>
      <c r="AB1197" s="26">
        <f>IF(B1197="","",ROUND(SUMIFS(Sales!$Y$5:$Y$1204,Sales!$C$5:$C$1204,A1197),2))</f>
        <v>0</v>
      </c>
      <c r="AC1197" s="38">
        <f>IF(B1197="","",IF(M1197="Completed","Yes",IF(M1197="Cancelled","Yes",IF(M1197="No show","Yes","No"))))</f>
        <v>0</v>
      </c>
      <c r="AD1197" s="25">
        <f>IF(B1197="","",IF(AE1197="","",B1197-AE1197))</f>
        <v>0</v>
      </c>
      <c r="AF1197" s="38">
        <f>IF(B1197="","",IF(M1197&lt;&gt;"Completed","",IF(E1197="","No",IF(COUNTIFS(Appointments!$E$5:$E$1204,E1197,Appointments!$B$5:$B$1204,"&gt;"&amp;B1197,Appointments!$M$5:$M$1204,"&lt;&gt;Cancelled")&gt;0,"Yes","No"))))</f>
        <v>0</v>
      </c>
      <c r="AG1197" s="38">
        <f>IF(B1197="","",IF(I1197="","",IF(D1197="","",IF(COUNTIFS($I$5:$I$1204,I1197,$B$5:$B$1204,B1197,$D$5:$D$1204,"&lt;"&amp;V1197,$V$5:$V$1204,"&gt;"&amp;D1197,$M$5:$M$1204,"&lt;&gt;Cancelled")&gt;1,"Clash",""))))</f>
        <v>0</v>
      </c>
      <c r="AH1197" s="39">
        <f>IF(B1197="","",IF(AG1197="Clash","Clash - stylist double booked",IF(I1197="","Assign - no stylist yet",IF(G1197="","Add - no service chosen",IF(M1197="No show","No show - charge the fee?",IF(M1197="Cancelled","",IF(IF(M1197="Completed",AB1197&lt;Y1197-0.004,FALSE),"Unpaid - nothing rung up for this visit",IF(IF(B1197&lt;TodayDate,M1197="Booked",FALSE),"Overdue - past date, still only Booked",IF(IF(B1197=TodayDate,TRUE,FALSE),"Today",IF(IF(Z1197&gt;0,AA1197&lt;Z1197-0.004,FALSE),"Due - deposit not taken",IF(IF(B1197&gt;TodayDate,B1197&lt;=TodayDate+2,FALSE),"Confirm - coming up","OK")))))))))))</f>
        <v>0</v>
      </c>
    </row>
    <row r="1198" spans="1:34">
      <c r="A1198" s="28">
        <f>IF(B1198="","",AppointmentPrefix&amp;TEXT(ROW()-4,"0000"))</f>
        <v>0</v>
      </c>
      <c r="C1198" s="15">
        <f>IF(B1198="","",TEXT(B1198,"ddd"))</f>
        <v>0</v>
      </c>
      <c r="F1198" s="15">
        <f>IF(E1198="","",IFERROR(INDEX(Clients!$B$5:$B$504,MATCH(E1198,Clients!$A$5:$A$504,0)),"Walk-in"))</f>
        <v>0</v>
      </c>
      <c r="H1198" s="15">
        <f>IF(G1198="","",IFERROR(INDEX(Services!$B$5:$B$204,MATCH(G1198,Services!$A$5:$A$204,0)),"Not in Services"))</f>
        <v>0</v>
      </c>
      <c r="J1198" s="15">
        <f>IF(I1198="","",IFERROR(INDEX(Staff!$B$5:$B$44,MATCH(I1198,Staff!$A$5:$A$44,0)),"Unassigned"))</f>
        <v>0</v>
      </c>
      <c r="S1198" s="15">
        <f>IF(B1198="","",TEXT(B1198,"yyyy-mm"))</f>
        <v>0</v>
      </c>
      <c r="T1198" s="25">
        <f>IF(B1198="","",WEEKNUM(B1198,2))</f>
        <v>0</v>
      </c>
      <c r="U1198" s="25">
        <f>IF(B1198="","",IF(K1198&lt;&gt;"",K1198,IFERROR(INDEX(Services!$E$5:$E$204,MATCH(G1198,Services!$A$5:$A$204,0))*1,0)+IFERROR(INDEX(Services!$F$5:$F$204,MATCH(G1198,Services!$A$5:$A$204,0))*1,0)))</f>
        <v>0</v>
      </c>
      <c r="V1198" s="36">
        <f>IF(B1198="","",IF(D1198="","",D1198+U1198/1440))</f>
        <v>0</v>
      </c>
      <c r="W1198" s="25">
        <f>IF(B1198="","",IF(D1198="","",HOUR(D1198)))</f>
        <v>0</v>
      </c>
      <c r="X1198" s="37">
        <f>IF(B1198="","",ROUND(U1198/60,2))</f>
        <v>0</v>
      </c>
      <c r="Y1198" s="26">
        <f>IF(B1198="","",IF(L1198&lt;&gt;"",L1198,IFERROR(INDEX(Services!$G$5:$G$204,MATCH(G1198,Services!$A$5:$A$204,0))*1,0)))</f>
        <v>0</v>
      </c>
      <c r="Z1198" s="26">
        <f>IF(B1198="","",IF(O1198&lt;&gt;"",O1198,IF(Y1198&gt;=DepositThreshold,ROUND(Y1198*DepositPercent,2),0)))</f>
        <v>0</v>
      </c>
      <c r="AA1198" s="26">
        <f>IF(B1198="","",ROUND(SUMIFS(Payments!$G$5:$G$1204,Payments!$I$5:$I$1204,A1198,Payments!$E$5:$E$1204,"Deposit"),2))</f>
        <v>0</v>
      </c>
      <c r="AB1198" s="26">
        <f>IF(B1198="","",ROUND(SUMIFS(Sales!$Y$5:$Y$1204,Sales!$C$5:$C$1204,A1198),2))</f>
        <v>0</v>
      </c>
      <c r="AC1198" s="38">
        <f>IF(B1198="","",IF(M1198="Completed","Yes",IF(M1198="Cancelled","Yes",IF(M1198="No show","Yes","No"))))</f>
        <v>0</v>
      </c>
      <c r="AD1198" s="25">
        <f>IF(B1198="","",IF(AE1198="","",B1198-AE1198))</f>
        <v>0</v>
      </c>
      <c r="AF1198" s="38">
        <f>IF(B1198="","",IF(M1198&lt;&gt;"Completed","",IF(E1198="","No",IF(COUNTIFS(Appointments!$E$5:$E$1204,E1198,Appointments!$B$5:$B$1204,"&gt;"&amp;B1198,Appointments!$M$5:$M$1204,"&lt;&gt;Cancelled")&gt;0,"Yes","No"))))</f>
        <v>0</v>
      </c>
      <c r="AG1198" s="38">
        <f>IF(B1198="","",IF(I1198="","",IF(D1198="","",IF(COUNTIFS($I$5:$I$1204,I1198,$B$5:$B$1204,B1198,$D$5:$D$1204,"&lt;"&amp;V1198,$V$5:$V$1204,"&gt;"&amp;D1198,$M$5:$M$1204,"&lt;&gt;Cancelled")&gt;1,"Clash",""))))</f>
        <v>0</v>
      </c>
      <c r="AH1198" s="39">
        <f>IF(B1198="","",IF(AG1198="Clash","Clash - stylist double booked",IF(I1198="","Assign - no stylist yet",IF(G1198="","Add - no service chosen",IF(M1198="No show","No show - charge the fee?",IF(M1198="Cancelled","",IF(IF(M1198="Completed",AB1198&lt;Y1198-0.004,FALSE),"Unpaid - nothing rung up for this visit",IF(IF(B1198&lt;TodayDate,M1198="Booked",FALSE),"Overdue - past date, still only Booked",IF(IF(B1198=TodayDate,TRUE,FALSE),"Today",IF(IF(Z1198&gt;0,AA1198&lt;Z1198-0.004,FALSE),"Due - deposit not taken",IF(IF(B1198&gt;TodayDate,B1198&lt;=TodayDate+2,FALSE),"Confirm - coming up","OK")))))))))))</f>
        <v>0</v>
      </c>
    </row>
    <row r="1199" spans="1:34">
      <c r="A1199" s="28">
        <f>IF(B1199="","",AppointmentPrefix&amp;TEXT(ROW()-4,"0000"))</f>
        <v>0</v>
      </c>
      <c r="C1199" s="15">
        <f>IF(B1199="","",TEXT(B1199,"ddd"))</f>
        <v>0</v>
      </c>
      <c r="F1199" s="15">
        <f>IF(E1199="","",IFERROR(INDEX(Clients!$B$5:$B$504,MATCH(E1199,Clients!$A$5:$A$504,0)),"Walk-in"))</f>
        <v>0</v>
      </c>
      <c r="H1199" s="15">
        <f>IF(G1199="","",IFERROR(INDEX(Services!$B$5:$B$204,MATCH(G1199,Services!$A$5:$A$204,0)),"Not in Services"))</f>
        <v>0</v>
      </c>
      <c r="J1199" s="15">
        <f>IF(I1199="","",IFERROR(INDEX(Staff!$B$5:$B$44,MATCH(I1199,Staff!$A$5:$A$44,0)),"Unassigned"))</f>
        <v>0</v>
      </c>
      <c r="S1199" s="15">
        <f>IF(B1199="","",TEXT(B1199,"yyyy-mm"))</f>
        <v>0</v>
      </c>
      <c r="T1199" s="25">
        <f>IF(B1199="","",WEEKNUM(B1199,2))</f>
        <v>0</v>
      </c>
      <c r="U1199" s="25">
        <f>IF(B1199="","",IF(K1199&lt;&gt;"",K1199,IFERROR(INDEX(Services!$E$5:$E$204,MATCH(G1199,Services!$A$5:$A$204,0))*1,0)+IFERROR(INDEX(Services!$F$5:$F$204,MATCH(G1199,Services!$A$5:$A$204,0))*1,0)))</f>
        <v>0</v>
      </c>
      <c r="V1199" s="36">
        <f>IF(B1199="","",IF(D1199="","",D1199+U1199/1440))</f>
        <v>0</v>
      </c>
      <c r="W1199" s="25">
        <f>IF(B1199="","",IF(D1199="","",HOUR(D1199)))</f>
        <v>0</v>
      </c>
      <c r="X1199" s="37">
        <f>IF(B1199="","",ROUND(U1199/60,2))</f>
        <v>0</v>
      </c>
      <c r="Y1199" s="26">
        <f>IF(B1199="","",IF(L1199&lt;&gt;"",L1199,IFERROR(INDEX(Services!$G$5:$G$204,MATCH(G1199,Services!$A$5:$A$204,0))*1,0)))</f>
        <v>0</v>
      </c>
      <c r="Z1199" s="26">
        <f>IF(B1199="","",IF(O1199&lt;&gt;"",O1199,IF(Y1199&gt;=DepositThreshold,ROUND(Y1199*DepositPercent,2),0)))</f>
        <v>0</v>
      </c>
      <c r="AA1199" s="26">
        <f>IF(B1199="","",ROUND(SUMIFS(Payments!$G$5:$G$1204,Payments!$I$5:$I$1204,A1199,Payments!$E$5:$E$1204,"Deposit"),2))</f>
        <v>0</v>
      </c>
      <c r="AB1199" s="26">
        <f>IF(B1199="","",ROUND(SUMIFS(Sales!$Y$5:$Y$1204,Sales!$C$5:$C$1204,A1199),2))</f>
        <v>0</v>
      </c>
      <c r="AC1199" s="38">
        <f>IF(B1199="","",IF(M1199="Completed","Yes",IF(M1199="Cancelled","Yes",IF(M1199="No show","Yes","No"))))</f>
        <v>0</v>
      </c>
      <c r="AD1199" s="25">
        <f>IF(B1199="","",IF(AE1199="","",B1199-AE1199))</f>
        <v>0</v>
      </c>
      <c r="AF1199" s="38">
        <f>IF(B1199="","",IF(M1199&lt;&gt;"Completed","",IF(E1199="","No",IF(COUNTIFS(Appointments!$E$5:$E$1204,E1199,Appointments!$B$5:$B$1204,"&gt;"&amp;B1199,Appointments!$M$5:$M$1204,"&lt;&gt;Cancelled")&gt;0,"Yes","No"))))</f>
        <v>0</v>
      </c>
      <c r="AG1199" s="38">
        <f>IF(B1199="","",IF(I1199="","",IF(D1199="","",IF(COUNTIFS($I$5:$I$1204,I1199,$B$5:$B$1204,B1199,$D$5:$D$1204,"&lt;"&amp;V1199,$V$5:$V$1204,"&gt;"&amp;D1199,$M$5:$M$1204,"&lt;&gt;Cancelled")&gt;1,"Clash",""))))</f>
        <v>0</v>
      </c>
      <c r="AH1199" s="39">
        <f>IF(B1199="","",IF(AG1199="Clash","Clash - stylist double booked",IF(I1199="","Assign - no stylist yet",IF(G1199="","Add - no service chosen",IF(M1199="No show","No show - charge the fee?",IF(M1199="Cancelled","",IF(IF(M1199="Completed",AB1199&lt;Y1199-0.004,FALSE),"Unpaid - nothing rung up for this visit",IF(IF(B1199&lt;TodayDate,M1199="Booked",FALSE),"Overdue - past date, still only Booked",IF(IF(B1199=TodayDate,TRUE,FALSE),"Today",IF(IF(Z1199&gt;0,AA1199&lt;Z1199-0.004,FALSE),"Due - deposit not taken",IF(IF(B1199&gt;TodayDate,B1199&lt;=TodayDate+2,FALSE),"Confirm - coming up","OK")))))))))))</f>
        <v>0</v>
      </c>
    </row>
    <row r="1200" spans="1:34">
      <c r="A1200" s="28">
        <f>IF(B1200="","",AppointmentPrefix&amp;TEXT(ROW()-4,"0000"))</f>
        <v>0</v>
      </c>
      <c r="C1200" s="15">
        <f>IF(B1200="","",TEXT(B1200,"ddd"))</f>
        <v>0</v>
      </c>
      <c r="F1200" s="15">
        <f>IF(E1200="","",IFERROR(INDEX(Clients!$B$5:$B$504,MATCH(E1200,Clients!$A$5:$A$504,0)),"Walk-in"))</f>
        <v>0</v>
      </c>
      <c r="H1200" s="15">
        <f>IF(G1200="","",IFERROR(INDEX(Services!$B$5:$B$204,MATCH(G1200,Services!$A$5:$A$204,0)),"Not in Services"))</f>
        <v>0</v>
      </c>
      <c r="J1200" s="15">
        <f>IF(I1200="","",IFERROR(INDEX(Staff!$B$5:$B$44,MATCH(I1200,Staff!$A$5:$A$44,0)),"Unassigned"))</f>
        <v>0</v>
      </c>
      <c r="S1200" s="15">
        <f>IF(B1200="","",TEXT(B1200,"yyyy-mm"))</f>
        <v>0</v>
      </c>
      <c r="T1200" s="25">
        <f>IF(B1200="","",WEEKNUM(B1200,2))</f>
        <v>0</v>
      </c>
      <c r="U1200" s="25">
        <f>IF(B1200="","",IF(K1200&lt;&gt;"",K1200,IFERROR(INDEX(Services!$E$5:$E$204,MATCH(G1200,Services!$A$5:$A$204,0))*1,0)+IFERROR(INDEX(Services!$F$5:$F$204,MATCH(G1200,Services!$A$5:$A$204,0))*1,0)))</f>
        <v>0</v>
      </c>
      <c r="V1200" s="36">
        <f>IF(B1200="","",IF(D1200="","",D1200+U1200/1440))</f>
        <v>0</v>
      </c>
      <c r="W1200" s="25">
        <f>IF(B1200="","",IF(D1200="","",HOUR(D1200)))</f>
        <v>0</v>
      </c>
      <c r="X1200" s="37">
        <f>IF(B1200="","",ROUND(U1200/60,2))</f>
        <v>0</v>
      </c>
      <c r="Y1200" s="26">
        <f>IF(B1200="","",IF(L1200&lt;&gt;"",L1200,IFERROR(INDEX(Services!$G$5:$G$204,MATCH(G1200,Services!$A$5:$A$204,0))*1,0)))</f>
        <v>0</v>
      </c>
      <c r="Z1200" s="26">
        <f>IF(B1200="","",IF(O1200&lt;&gt;"",O1200,IF(Y1200&gt;=DepositThreshold,ROUND(Y1200*DepositPercent,2),0)))</f>
        <v>0</v>
      </c>
      <c r="AA1200" s="26">
        <f>IF(B1200="","",ROUND(SUMIFS(Payments!$G$5:$G$1204,Payments!$I$5:$I$1204,A1200,Payments!$E$5:$E$1204,"Deposit"),2))</f>
        <v>0</v>
      </c>
      <c r="AB1200" s="26">
        <f>IF(B1200="","",ROUND(SUMIFS(Sales!$Y$5:$Y$1204,Sales!$C$5:$C$1204,A1200),2))</f>
        <v>0</v>
      </c>
      <c r="AC1200" s="38">
        <f>IF(B1200="","",IF(M1200="Completed","Yes",IF(M1200="Cancelled","Yes",IF(M1200="No show","Yes","No"))))</f>
        <v>0</v>
      </c>
      <c r="AD1200" s="25">
        <f>IF(B1200="","",IF(AE1200="","",B1200-AE1200))</f>
        <v>0</v>
      </c>
      <c r="AF1200" s="38">
        <f>IF(B1200="","",IF(M1200&lt;&gt;"Completed","",IF(E1200="","No",IF(COUNTIFS(Appointments!$E$5:$E$1204,E1200,Appointments!$B$5:$B$1204,"&gt;"&amp;B1200,Appointments!$M$5:$M$1204,"&lt;&gt;Cancelled")&gt;0,"Yes","No"))))</f>
        <v>0</v>
      </c>
      <c r="AG1200" s="38">
        <f>IF(B1200="","",IF(I1200="","",IF(D1200="","",IF(COUNTIFS($I$5:$I$1204,I1200,$B$5:$B$1204,B1200,$D$5:$D$1204,"&lt;"&amp;V1200,$V$5:$V$1204,"&gt;"&amp;D1200,$M$5:$M$1204,"&lt;&gt;Cancelled")&gt;1,"Clash",""))))</f>
        <v>0</v>
      </c>
      <c r="AH1200" s="39">
        <f>IF(B1200="","",IF(AG1200="Clash","Clash - stylist double booked",IF(I1200="","Assign - no stylist yet",IF(G1200="","Add - no service chosen",IF(M1200="No show","No show - charge the fee?",IF(M1200="Cancelled","",IF(IF(M1200="Completed",AB1200&lt;Y1200-0.004,FALSE),"Unpaid - nothing rung up for this visit",IF(IF(B1200&lt;TodayDate,M1200="Booked",FALSE),"Overdue - past date, still only Booked",IF(IF(B1200=TodayDate,TRUE,FALSE),"Today",IF(IF(Z1200&gt;0,AA1200&lt;Z1200-0.004,FALSE),"Due - deposit not taken",IF(IF(B1200&gt;TodayDate,B1200&lt;=TodayDate+2,FALSE),"Confirm - coming up","OK")))))))))))</f>
        <v>0</v>
      </c>
    </row>
    <row r="1201" spans="1:34">
      <c r="A1201" s="28">
        <f>IF(B1201="","",AppointmentPrefix&amp;TEXT(ROW()-4,"0000"))</f>
        <v>0</v>
      </c>
      <c r="C1201" s="15">
        <f>IF(B1201="","",TEXT(B1201,"ddd"))</f>
        <v>0</v>
      </c>
      <c r="F1201" s="15">
        <f>IF(E1201="","",IFERROR(INDEX(Clients!$B$5:$B$504,MATCH(E1201,Clients!$A$5:$A$504,0)),"Walk-in"))</f>
        <v>0</v>
      </c>
      <c r="H1201" s="15">
        <f>IF(G1201="","",IFERROR(INDEX(Services!$B$5:$B$204,MATCH(G1201,Services!$A$5:$A$204,0)),"Not in Services"))</f>
        <v>0</v>
      </c>
      <c r="J1201" s="15">
        <f>IF(I1201="","",IFERROR(INDEX(Staff!$B$5:$B$44,MATCH(I1201,Staff!$A$5:$A$44,0)),"Unassigned"))</f>
        <v>0</v>
      </c>
      <c r="S1201" s="15">
        <f>IF(B1201="","",TEXT(B1201,"yyyy-mm"))</f>
        <v>0</v>
      </c>
      <c r="T1201" s="25">
        <f>IF(B1201="","",WEEKNUM(B1201,2))</f>
        <v>0</v>
      </c>
      <c r="U1201" s="25">
        <f>IF(B1201="","",IF(K1201&lt;&gt;"",K1201,IFERROR(INDEX(Services!$E$5:$E$204,MATCH(G1201,Services!$A$5:$A$204,0))*1,0)+IFERROR(INDEX(Services!$F$5:$F$204,MATCH(G1201,Services!$A$5:$A$204,0))*1,0)))</f>
        <v>0</v>
      </c>
      <c r="V1201" s="36">
        <f>IF(B1201="","",IF(D1201="","",D1201+U1201/1440))</f>
        <v>0</v>
      </c>
      <c r="W1201" s="25">
        <f>IF(B1201="","",IF(D1201="","",HOUR(D1201)))</f>
        <v>0</v>
      </c>
      <c r="X1201" s="37">
        <f>IF(B1201="","",ROUND(U1201/60,2))</f>
        <v>0</v>
      </c>
      <c r="Y1201" s="26">
        <f>IF(B1201="","",IF(L1201&lt;&gt;"",L1201,IFERROR(INDEX(Services!$G$5:$G$204,MATCH(G1201,Services!$A$5:$A$204,0))*1,0)))</f>
        <v>0</v>
      </c>
      <c r="Z1201" s="26">
        <f>IF(B1201="","",IF(O1201&lt;&gt;"",O1201,IF(Y1201&gt;=DepositThreshold,ROUND(Y1201*DepositPercent,2),0)))</f>
        <v>0</v>
      </c>
      <c r="AA1201" s="26">
        <f>IF(B1201="","",ROUND(SUMIFS(Payments!$G$5:$G$1204,Payments!$I$5:$I$1204,A1201,Payments!$E$5:$E$1204,"Deposit"),2))</f>
        <v>0</v>
      </c>
      <c r="AB1201" s="26">
        <f>IF(B1201="","",ROUND(SUMIFS(Sales!$Y$5:$Y$1204,Sales!$C$5:$C$1204,A1201),2))</f>
        <v>0</v>
      </c>
      <c r="AC1201" s="38">
        <f>IF(B1201="","",IF(M1201="Completed","Yes",IF(M1201="Cancelled","Yes",IF(M1201="No show","Yes","No"))))</f>
        <v>0</v>
      </c>
      <c r="AD1201" s="25">
        <f>IF(B1201="","",IF(AE1201="","",B1201-AE1201))</f>
        <v>0</v>
      </c>
      <c r="AF1201" s="38">
        <f>IF(B1201="","",IF(M1201&lt;&gt;"Completed","",IF(E1201="","No",IF(COUNTIFS(Appointments!$E$5:$E$1204,E1201,Appointments!$B$5:$B$1204,"&gt;"&amp;B1201,Appointments!$M$5:$M$1204,"&lt;&gt;Cancelled")&gt;0,"Yes","No"))))</f>
        <v>0</v>
      </c>
      <c r="AG1201" s="38">
        <f>IF(B1201="","",IF(I1201="","",IF(D1201="","",IF(COUNTIFS($I$5:$I$1204,I1201,$B$5:$B$1204,B1201,$D$5:$D$1204,"&lt;"&amp;V1201,$V$5:$V$1204,"&gt;"&amp;D1201,$M$5:$M$1204,"&lt;&gt;Cancelled")&gt;1,"Clash",""))))</f>
        <v>0</v>
      </c>
      <c r="AH1201" s="39">
        <f>IF(B1201="","",IF(AG1201="Clash","Clash - stylist double booked",IF(I1201="","Assign - no stylist yet",IF(G1201="","Add - no service chosen",IF(M1201="No show","No show - charge the fee?",IF(M1201="Cancelled","",IF(IF(M1201="Completed",AB1201&lt;Y1201-0.004,FALSE),"Unpaid - nothing rung up for this visit",IF(IF(B1201&lt;TodayDate,M1201="Booked",FALSE),"Overdue - past date, still only Booked",IF(IF(B1201=TodayDate,TRUE,FALSE),"Today",IF(IF(Z1201&gt;0,AA1201&lt;Z1201-0.004,FALSE),"Due - deposit not taken",IF(IF(B1201&gt;TodayDate,B1201&lt;=TodayDate+2,FALSE),"Confirm - coming up","OK")))))))))))</f>
        <v>0</v>
      </c>
    </row>
    <row r="1202" spans="1:34">
      <c r="A1202" s="28">
        <f>IF(B1202="","",AppointmentPrefix&amp;TEXT(ROW()-4,"0000"))</f>
        <v>0</v>
      </c>
      <c r="C1202" s="15">
        <f>IF(B1202="","",TEXT(B1202,"ddd"))</f>
        <v>0</v>
      </c>
      <c r="F1202" s="15">
        <f>IF(E1202="","",IFERROR(INDEX(Clients!$B$5:$B$504,MATCH(E1202,Clients!$A$5:$A$504,0)),"Walk-in"))</f>
        <v>0</v>
      </c>
      <c r="H1202" s="15">
        <f>IF(G1202="","",IFERROR(INDEX(Services!$B$5:$B$204,MATCH(G1202,Services!$A$5:$A$204,0)),"Not in Services"))</f>
        <v>0</v>
      </c>
      <c r="J1202" s="15">
        <f>IF(I1202="","",IFERROR(INDEX(Staff!$B$5:$B$44,MATCH(I1202,Staff!$A$5:$A$44,0)),"Unassigned"))</f>
        <v>0</v>
      </c>
      <c r="S1202" s="15">
        <f>IF(B1202="","",TEXT(B1202,"yyyy-mm"))</f>
        <v>0</v>
      </c>
      <c r="T1202" s="25">
        <f>IF(B1202="","",WEEKNUM(B1202,2))</f>
        <v>0</v>
      </c>
      <c r="U1202" s="25">
        <f>IF(B1202="","",IF(K1202&lt;&gt;"",K1202,IFERROR(INDEX(Services!$E$5:$E$204,MATCH(G1202,Services!$A$5:$A$204,0))*1,0)+IFERROR(INDEX(Services!$F$5:$F$204,MATCH(G1202,Services!$A$5:$A$204,0))*1,0)))</f>
        <v>0</v>
      </c>
      <c r="V1202" s="36">
        <f>IF(B1202="","",IF(D1202="","",D1202+U1202/1440))</f>
        <v>0</v>
      </c>
      <c r="W1202" s="25">
        <f>IF(B1202="","",IF(D1202="","",HOUR(D1202)))</f>
        <v>0</v>
      </c>
      <c r="X1202" s="37">
        <f>IF(B1202="","",ROUND(U1202/60,2))</f>
        <v>0</v>
      </c>
      <c r="Y1202" s="26">
        <f>IF(B1202="","",IF(L1202&lt;&gt;"",L1202,IFERROR(INDEX(Services!$G$5:$G$204,MATCH(G1202,Services!$A$5:$A$204,0))*1,0)))</f>
        <v>0</v>
      </c>
      <c r="Z1202" s="26">
        <f>IF(B1202="","",IF(O1202&lt;&gt;"",O1202,IF(Y1202&gt;=DepositThreshold,ROUND(Y1202*DepositPercent,2),0)))</f>
        <v>0</v>
      </c>
      <c r="AA1202" s="26">
        <f>IF(B1202="","",ROUND(SUMIFS(Payments!$G$5:$G$1204,Payments!$I$5:$I$1204,A1202,Payments!$E$5:$E$1204,"Deposit"),2))</f>
        <v>0</v>
      </c>
      <c r="AB1202" s="26">
        <f>IF(B1202="","",ROUND(SUMIFS(Sales!$Y$5:$Y$1204,Sales!$C$5:$C$1204,A1202),2))</f>
        <v>0</v>
      </c>
      <c r="AC1202" s="38">
        <f>IF(B1202="","",IF(M1202="Completed","Yes",IF(M1202="Cancelled","Yes",IF(M1202="No show","Yes","No"))))</f>
        <v>0</v>
      </c>
      <c r="AD1202" s="25">
        <f>IF(B1202="","",IF(AE1202="","",B1202-AE1202))</f>
        <v>0</v>
      </c>
      <c r="AF1202" s="38">
        <f>IF(B1202="","",IF(M1202&lt;&gt;"Completed","",IF(E1202="","No",IF(COUNTIFS(Appointments!$E$5:$E$1204,E1202,Appointments!$B$5:$B$1204,"&gt;"&amp;B1202,Appointments!$M$5:$M$1204,"&lt;&gt;Cancelled")&gt;0,"Yes","No"))))</f>
        <v>0</v>
      </c>
      <c r="AG1202" s="38">
        <f>IF(B1202="","",IF(I1202="","",IF(D1202="","",IF(COUNTIFS($I$5:$I$1204,I1202,$B$5:$B$1204,B1202,$D$5:$D$1204,"&lt;"&amp;V1202,$V$5:$V$1204,"&gt;"&amp;D1202,$M$5:$M$1204,"&lt;&gt;Cancelled")&gt;1,"Clash",""))))</f>
        <v>0</v>
      </c>
      <c r="AH1202" s="39">
        <f>IF(B1202="","",IF(AG1202="Clash","Clash - stylist double booked",IF(I1202="","Assign - no stylist yet",IF(G1202="","Add - no service chosen",IF(M1202="No show","No show - charge the fee?",IF(M1202="Cancelled","",IF(IF(M1202="Completed",AB1202&lt;Y1202-0.004,FALSE),"Unpaid - nothing rung up for this visit",IF(IF(B1202&lt;TodayDate,M1202="Booked",FALSE),"Overdue - past date, still only Booked",IF(IF(B1202=TodayDate,TRUE,FALSE),"Today",IF(IF(Z1202&gt;0,AA1202&lt;Z1202-0.004,FALSE),"Due - deposit not taken",IF(IF(B1202&gt;TodayDate,B1202&lt;=TodayDate+2,FALSE),"Confirm - coming up","OK")))))))))))</f>
        <v>0</v>
      </c>
    </row>
    <row r="1203" spans="1:34">
      <c r="A1203" s="28">
        <f>IF(B1203="","",AppointmentPrefix&amp;TEXT(ROW()-4,"0000"))</f>
        <v>0</v>
      </c>
      <c r="C1203" s="15">
        <f>IF(B1203="","",TEXT(B1203,"ddd"))</f>
        <v>0</v>
      </c>
      <c r="F1203" s="15">
        <f>IF(E1203="","",IFERROR(INDEX(Clients!$B$5:$B$504,MATCH(E1203,Clients!$A$5:$A$504,0)),"Walk-in"))</f>
        <v>0</v>
      </c>
      <c r="H1203" s="15">
        <f>IF(G1203="","",IFERROR(INDEX(Services!$B$5:$B$204,MATCH(G1203,Services!$A$5:$A$204,0)),"Not in Services"))</f>
        <v>0</v>
      </c>
      <c r="J1203" s="15">
        <f>IF(I1203="","",IFERROR(INDEX(Staff!$B$5:$B$44,MATCH(I1203,Staff!$A$5:$A$44,0)),"Unassigned"))</f>
        <v>0</v>
      </c>
      <c r="S1203" s="15">
        <f>IF(B1203="","",TEXT(B1203,"yyyy-mm"))</f>
        <v>0</v>
      </c>
      <c r="T1203" s="25">
        <f>IF(B1203="","",WEEKNUM(B1203,2))</f>
        <v>0</v>
      </c>
      <c r="U1203" s="25">
        <f>IF(B1203="","",IF(K1203&lt;&gt;"",K1203,IFERROR(INDEX(Services!$E$5:$E$204,MATCH(G1203,Services!$A$5:$A$204,0))*1,0)+IFERROR(INDEX(Services!$F$5:$F$204,MATCH(G1203,Services!$A$5:$A$204,0))*1,0)))</f>
        <v>0</v>
      </c>
      <c r="V1203" s="36">
        <f>IF(B1203="","",IF(D1203="","",D1203+U1203/1440))</f>
        <v>0</v>
      </c>
      <c r="W1203" s="25">
        <f>IF(B1203="","",IF(D1203="","",HOUR(D1203)))</f>
        <v>0</v>
      </c>
      <c r="X1203" s="37">
        <f>IF(B1203="","",ROUND(U1203/60,2))</f>
        <v>0</v>
      </c>
      <c r="Y1203" s="26">
        <f>IF(B1203="","",IF(L1203&lt;&gt;"",L1203,IFERROR(INDEX(Services!$G$5:$G$204,MATCH(G1203,Services!$A$5:$A$204,0))*1,0)))</f>
        <v>0</v>
      </c>
      <c r="Z1203" s="26">
        <f>IF(B1203="","",IF(O1203&lt;&gt;"",O1203,IF(Y1203&gt;=DepositThreshold,ROUND(Y1203*DepositPercent,2),0)))</f>
        <v>0</v>
      </c>
      <c r="AA1203" s="26">
        <f>IF(B1203="","",ROUND(SUMIFS(Payments!$G$5:$G$1204,Payments!$I$5:$I$1204,A1203,Payments!$E$5:$E$1204,"Deposit"),2))</f>
        <v>0</v>
      </c>
      <c r="AB1203" s="26">
        <f>IF(B1203="","",ROUND(SUMIFS(Sales!$Y$5:$Y$1204,Sales!$C$5:$C$1204,A1203),2))</f>
        <v>0</v>
      </c>
      <c r="AC1203" s="38">
        <f>IF(B1203="","",IF(M1203="Completed","Yes",IF(M1203="Cancelled","Yes",IF(M1203="No show","Yes","No"))))</f>
        <v>0</v>
      </c>
      <c r="AD1203" s="25">
        <f>IF(B1203="","",IF(AE1203="","",B1203-AE1203))</f>
        <v>0</v>
      </c>
      <c r="AF1203" s="38">
        <f>IF(B1203="","",IF(M1203&lt;&gt;"Completed","",IF(E1203="","No",IF(COUNTIFS(Appointments!$E$5:$E$1204,E1203,Appointments!$B$5:$B$1204,"&gt;"&amp;B1203,Appointments!$M$5:$M$1204,"&lt;&gt;Cancelled")&gt;0,"Yes","No"))))</f>
        <v>0</v>
      </c>
      <c r="AG1203" s="38">
        <f>IF(B1203="","",IF(I1203="","",IF(D1203="","",IF(COUNTIFS($I$5:$I$1204,I1203,$B$5:$B$1204,B1203,$D$5:$D$1204,"&lt;"&amp;V1203,$V$5:$V$1204,"&gt;"&amp;D1203,$M$5:$M$1204,"&lt;&gt;Cancelled")&gt;1,"Clash",""))))</f>
        <v>0</v>
      </c>
      <c r="AH1203" s="39">
        <f>IF(B1203="","",IF(AG1203="Clash","Clash - stylist double booked",IF(I1203="","Assign - no stylist yet",IF(G1203="","Add - no service chosen",IF(M1203="No show","No show - charge the fee?",IF(M1203="Cancelled","",IF(IF(M1203="Completed",AB1203&lt;Y1203-0.004,FALSE),"Unpaid - nothing rung up for this visit",IF(IF(B1203&lt;TodayDate,M1203="Booked",FALSE),"Overdue - past date, still only Booked",IF(IF(B1203=TodayDate,TRUE,FALSE),"Today",IF(IF(Z1203&gt;0,AA1203&lt;Z1203-0.004,FALSE),"Due - deposit not taken",IF(IF(B1203&gt;TodayDate,B1203&lt;=TodayDate+2,FALSE),"Confirm - coming up","OK")))))))))))</f>
        <v>0</v>
      </c>
    </row>
    <row r="1204" spans="1:34">
      <c r="A1204" s="28">
        <f>IF(B1204="","",AppointmentPrefix&amp;TEXT(ROW()-4,"0000"))</f>
        <v>0</v>
      </c>
      <c r="C1204" s="15">
        <f>IF(B1204="","",TEXT(B1204,"ddd"))</f>
        <v>0</v>
      </c>
      <c r="F1204" s="15">
        <f>IF(E1204="","",IFERROR(INDEX(Clients!$B$5:$B$504,MATCH(E1204,Clients!$A$5:$A$504,0)),"Walk-in"))</f>
        <v>0</v>
      </c>
      <c r="H1204" s="15">
        <f>IF(G1204="","",IFERROR(INDEX(Services!$B$5:$B$204,MATCH(G1204,Services!$A$5:$A$204,0)),"Not in Services"))</f>
        <v>0</v>
      </c>
      <c r="J1204" s="15">
        <f>IF(I1204="","",IFERROR(INDEX(Staff!$B$5:$B$44,MATCH(I1204,Staff!$A$5:$A$44,0)),"Unassigned"))</f>
        <v>0</v>
      </c>
      <c r="S1204" s="15">
        <f>IF(B1204="","",TEXT(B1204,"yyyy-mm"))</f>
        <v>0</v>
      </c>
      <c r="T1204" s="25">
        <f>IF(B1204="","",WEEKNUM(B1204,2))</f>
        <v>0</v>
      </c>
      <c r="U1204" s="25">
        <f>IF(B1204="","",IF(K1204&lt;&gt;"",K1204,IFERROR(INDEX(Services!$E$5:$E$204,MATCH(G1204,Services!$A$5:$A$204,0))*1,0)+IFERROR(INDEX(Services!$F$5:$F$204,MATCH(G1204,Services!$A$5:$A$204,0))*1,0)))</f>
        <v>0</v>
      </c>
      <c r="V1204" s="36">
        <f>IF(B1204="","",IF(D1204="","",D1204+U1204/1440))</f>
        <v>0</v>
      </c>
      <c r="W1204" s="25">
        <f>IF(B1204="","",IF(D1204="","",HOUR(D1204)))</f>
        <v>0</v>
      </c>
      <c r="X1204" s="37">
        <f>IF(B1204="","",ROUND(U1204/60,2))</f>
        <v>0</v>
      </c>
      <c r="Y1204" s="26">
        <f>IF(B1204="","",IF(L1204&lt;&gt;"",L1204,IFERROR(INDEX(Services!$G$5:$G$204,MATCH(G1204,Services!$A$5:$A$204,0))*1,0)))</f>
        <v>0</v>
      </c>
      <c r="Z1204" s="26">
        <f>IF(B1204="","",IF(O1204&lt;&gt;"",O1204,IF(Y1204&gt;=DepositThreshold,ROUND(Y1204*DepositPercent,2),0)))</f>
        <v>0</v>
      </c>
      <c r="AA1204" s="26">
        <f>IF(B1204="","",ROUND(SUMIFS(Payments!$G$5:$G$1204,Payments!$I$5:$I$1204,A1204,Payments!$E$5:$E$1204,"Deposit"),2))</f>
        <v>0</v>
      </c>
      <c r="AB1204" s="26">
        <f>IF(B1204="","",ROUND(SUMIFS(Sales!$Y$5:$Y$1204,Sales!$C$5:$C$1204,A1204),2))</f>
        <v>0</v>
      </c>
      <c r="AC1204" s="38">
        <f>IF(B1204="","",IF(M1204="Completed","Yes",IF(M1204="Cancelled","Yes",IF(M1204="No show","Yes","No"))))</f>
        <v>0</v>
      </c>
      <c r="AD1204" s="25">
        <f>IF(B1204="","",IF(AE1204="","",B1204-AE1204))</f>
        <v>0</v>
      </c>
      <c r="AF1204" s="38">
        <f>IF(B1204="","",IF(M1204&lt;&gt;"Completed","",IF(E1204="","No",IF(COUNTIFS(Appointments!$E$5:$E$1204,E1204,Appointments!$B$5:$B$1204,"&gt;"&amp;B1204,Appointments!$M$5:$M$1204,"&lt;&gt;Cancelled")&gt;0,"Yes","No"))))</f>
        <v>0</v>
      </c>
      <c r="AG1204" s="38">
        <f>IF(B1204="","",IF(I1204="","",IF(D1204="","",IF(COUNTIFS($I$5:$I$1204,I1204,$B$5:$B$1204,B1204,$D$5:$D$1204,"&lt;"&amp;V1204,$V$5:$V$1204,"&gt;"&amp;D1204,$M$5:$M$1204,"&lt;&gt;Cancelled")&gt;1,"Clash",""))))</f>
        <v>0</v>
      </c>
      <c r="AH1204" s="39">
        <f>IF(B1204="","",IF(AG1204="Clash","Clash - stylist double booked",IF(I1204="","Assign - no stylist yet",IF(G1204="","Add - no service chosen",IF(M1204="No show","No show - charge the fee?",IF(M1204="Cancelled","",IF(IF(M1204="Completed",AB1204&lt;Y1204-0.004,FALSE),"Unpaid - nothing rung up for this visit",IF(IF(B1204&lt;TodayDate,M1204="Booked",FALSE),"Overdue - past date, still only Booked",IF(IF(B1204=TodayDate,TRUE,FALSE),"Today",IF(IF(Z1204&gt;0,AA1204&lt;Z1204-0.004,FALSE),"Due - deposit not taken",IF(IF(B1204&gt;TodayDate,B1204&lt;=TodayDate+2,FALSE),"Confirm - coming up","OK")))))))))))</f>
        <v>0</v>
      </c>
    </row>
    <row r="1206" spans="1:34" ht="20" customHeight="1">
      <c r="A1206" s="7" t="s">
        <v>243</v>
      </c>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c r="AC1206" s="7"/>
      <c r="AD1206" s="7"/>
      <c r="AE1206" s="7"/>
      <c r="AF1206" s="7"/>
      <c r="AG1206" s="7"/>
      <c r="AH1206" s="7"/>
    </row>
    <row r="1207" spans="1:34" ht="26" customHeight="1">
      <c r="A1207" s="10" t="s">
        <v>244</v>
      </c>
      <c r="B1207" s="11" t="s">
        <v>177</v>
      </c>
      <c r="C1207" s="11" t="s">
        <v>245</v>
      </c>
      <c r="D1207" s="11" t="s">
        <v>246</v>
      </c>
      <c r="E1207" s="11" t="s">
        <v>90</v>
      </c>
      <c r="F1207" s="11" t="s">
        <v>92</v>
      </c>
      <c r="G1207" s="11" t="s">
        <v>142</v>
      </c>
      <c r="H1207" s="11" t="s">
        <v>247</v>
      </c>
      <c r="I1207" s="11" t="s">
        <v>248</v>
      </c>
      <c r="J1207" s="11" t="s">
        <v>249</v>
      </c>
    </row>
    <row r="1208" spans="1:34">
      <c r="A1208" s="25">
        <f>COUNTIF(Appointments!$B$5:$B$1204,"&lt;&gt;")</f>
        <v>0</v>
      </c>
      <c r="B1208" s="25">
        <f>COUNTIFS(Appointments!$M$5:$M$1204,"Completed")</f>
        <v>0</v>
      </c>
      <c r="C1208" s="25">
        <f>COUNTIFS(Appointments!$M$5:$M$1204,"Cancelled")</f>
        <v>0</v>
      </c>
      <c r="D1208" s="25">
        <f>COUNTIFS(Appointments!$M$5:$M$1204,"No show")</f>
        <v>0</v>
      </c>
      <c r="E1208" s="27">
        <f>IFERROR(COUNTIFS(Appointments!$M$5:$M$1204,"Completed")/MAX(1,COUNTIFS(Appointments!$AC$5:$AC$1204,"Yes")),0)</f>
        <v>0</v>
      </c>
      <c r="F1208" s="27">
        <f>IFERROR(COUNTIFS(Appointments!$M$5:$M$1204,"Cancelled")/MAX(1,COUNTIFS(Appointments!$AC$5:$AC$1204,"Yes")),0)</f>
        <v>0</v>
      </c>
      <c r="G1208" s="27">
        <f>IFERROR(COUNTIFS(Appointments!$M$5:$M$1204,"No show")/MAX(1,COUNTIFS(Appointments!$AC$5:$AC$1204,"Yes")),0)</f>
        <v>0</v>
      </c>
      <c r="H1208" s="26">
        <f>ROUND(SUMIFS(Appointments!$Y$5:$Y$1204,Appointments!$M$5:$M$1204,"Completed"),2)</f>
        <v>0</v>
      </c>
      <c r="I1208" s="37">
        <f>ROUND(SUMIFS(Appointments!$X$5:$X$1204,Appointments!$M$5:$M$1204,"Completed"),1)</f>
        <v>0</v>
      </c>
      <c r="J1208" s="25">
        <f>COUNTIFS(Appointments!$AG$5:$AG$1204,"Clash")</f>
        <v>0</v>
      </c>
    </row>
  </sheetData>
  <sheetProtection password="EC7C" sheet="1" objects="1" scenarios="1" formatCells="0" formatColumns="0" formatRows="0" insertRows="0" insertHyperlinks="0" deleteRows="0" autoFilter="0"/>
  <autoFilter ref="A4:AH1204"/>
  <mergeCells count="14">
    <mergeCell ref="A1:AE1"/>
    <mergeCell ref="AF1:AH1"/>
    <mergeCell ref="A2:AH2"/>
    <mergeCell ref="A3:B3"/>
    <mergeCell ref="C3:D3"/>
    <mergeCell ref="E3:F3"/>
    <mergeCell ref="G3:H3"/>
    <mergeCell ref="I3:J3"/>
    <mergeCell ref="K3:L3"/>
    <mergeCell ref="M3:N3"/>
    <mergeCell ref="O3:P3"/>
    <mergeCell ref="Q3:R3"/>
    <mergeCell ref="S3:AH3"/>
    <mergeCell ref="A1206:AH1206"/>
  </mergeCells>
  <conditionalFormatting sqref="AF5:AF1204">
    <cfRule type="containsText" dxfId="1" priority="38" operator="containsText" text="Yes">
      <formula>NOT(ISERROR(SEARCH("Yes",AF5)))</formula>
    </cfRule>
    <cfRule type="containsText" dxfId="0" priority="39" operator="containsText" text="No">
      <formula>NOT(ISERROR(SEARCH("No",AF5)))</formula>
    </cfRule>
  </conditionalFormatting>
  <conditionalFormatting sqref="AG5:AG1204">
    <cfRule type="containsText" dxfId="2" priority="40" operator="containsText" text="Clash">
      <formula>NOT(ISERROR(SEARCH("Clash",AG5)))</formula>
    </cfRule>
  </conditionalFormatting>
  <conditionalFormatting sqref="AH5:AH1204">
    <cfRule type="beginsWith" dxfId="1" priority="41" operator="beginsWith" text="OK">
      <formula>LEFT(AH5,2)="OK"</formula>
    </cfRule>
    <cfRule type="containsText" dxfId="2" priority="42" operator="containsText" text="Overdue">
      <formula>NOT(ISERROR(SEARCH("Overdue",AH5)))</formula>
    </cfRule>
    <cfRule type="containsText" dxfId="2" priority="43" operator="containsText" text="Late">
      <formula>NOT(ISERROR(SEARCH("Late",AH5)))</formula>
    </cfRule>
    <cfRule type="containsText" dxfId="2" priority="44" operator="containsText" text="Missing">
      <formula>NOT(ISERROR(SEARCH("Missing",AH5)))</formula>
    </cfRule>
    <cfRule type="containsText" dxfId="2" priority="45" operator="containsText" text="Clash">
      <formula>NOT(ISERROR(SEARCH("Clash",AH5)))</formula>
    </cfRule>
    <cfRule type="containsText" dxfId="2" priority="46" operator="containsText" text="Conflict">
      <formula>NOT(ISERROR(SEARCH("Conflict",AH5)))</formula>
    </cfRule>
    <cfRule type="containsText" dxfId="2" priority="47" operator="containsText" text="Duplicate">
      <formula>NOT(ISERROR(SEARCH("Duplicate",AH5)))</formula>
    </cfRule>
    <cfRule type="containsText" dxfId="2" priority="48" operator="containsText" text="Unpaid">
      <formula>NOT(ISERROR(SEARCH("Unpaid",AH5)))</formula>
    </cfRule>
    <cfRule type="containsText" dxfId="2" priority="49" operator="containsText" text="Loss">
      <formula>NOT(ISERROR(SEARCH("Loss",AH5)))</formula>
    </cfRule>
    <cfRule type="containsText" dxfId="2" priority="50" operator="containsText" text="Below">
      <formula>NOT(ISERROR(SEARCH("Below",AH5)))</formula>
    </cfRule>
    <cfRule type="containsText" dxfId="2" priority="51" operator="containsText" text="Out of stock">
      <formula>NOT(ISERROR(SEARCH("Out of stock",AH5)))</formula>
    </cfRule>
    <cfRule type="containsText" dxfId="2" priority="52" operator="containsText" text="No show">
      <formula>NOT(ISERROR(SEARCH("No show",AH5)))</formula>
    </cfRule>
    <cfRule type="containsText" dxfId="0" priority="53" operator="containsText" text="Action">
      <formula>NOT(ISERROR(SEARCH("Action",AH5)))</formula>
    </cfRule>
    <cfRule type="containsText" dxfId="0" priority="54" operator="containsText" text="Due">
      <formula>NOT(ISERROR(SEARCH("Due",AH5)))</formula>
    </cfRule>
    <cfRule type="containsText" dxfId="0" priority="55" operator="containsText" text="Check">
      <formula>NOT(ISERROR(SEARCH("Check",AH5)))</formula>
    </cfRule>
    <cfRule type="containsText" dxfId="0" priority="56" operator="containsText" text="Chase">
      <formula>NOT(ISERROR(SEARCH("Chase",AH5)))</formula>
    </cfRule>
    <cfRule type="containsText" dxfId="0" priority="57" operator="containsText" text="Assign">
      <formula>NOT(ISERROR(SEARCH("Assign",AH5)))</formula>
    </cfRule>
    <cfRule type="containsText" dxfId="0" priority="58" operator="containsText" text="Confirm">
      <formula>NOT(ISERROR(SEARCH("Confirm",AH5)))</formula>
    </cfRule>
    <cfRule type="containsText" dxfId="0" priority="59" operator="containsText" text="Order">
      <formula>NOT(ISERROR(SEARCH("Order",AH5)))</formula>
    </cfRule>
    <cfRule type="containsText" dxfId="0" priority="60" operator="containsText" text="Rebook">
      <formula>NOT(ISERROR(SEARCH("Rebook",AH5)))</formula>
    </cfRule>
    <cfRule type="containsText" dxfId="0" priority="61" operator="containsText" text="Add">
      <formula>NOT(ISERROR(SEARCH("Add",AH5)))</formula>
    </cfRule>
    <cfRule type="containsText" dxfId="3" priority="62" operator="containsText" text="Today">
      <formula>NOT(ISERROR(SEARCH("Today",AH5)))</formula>
    </cfRule>
    <cfRule type="containsText" dxfId="3" priority="63" operator="containsText" text="Tomorrow">
      <formula>NOT(ISERROR(SEARCH("Tomorrow",AH5)))</formula>
    </cfRule>
    <cfRule type="containsText" dxfId="3" priority="64" operator="containsText" text="Upcoming">
      <formula>NOT(ISERROR(SEARCH("Upcoming",AH5)))</formula>
    </cfRule>
  </conditionalFormatting>
  <conditionalFormatting sqref="M5:M1204">
    <cfRule type="containsText" dxfId="1" priority="1" operator="containsText" text="Completed">
      <formula>NOT(ISERROR(SEARCH("Completed",M5)))</formula>
    </cfRule>
    <cfRule type="containsText" dxfId="1" priority="2" operator="containsText" text="Complete">
      <formula>NOT(ISERROR(SEARCH("Complete",M5)))</formula>
    </cfRule>
    <cfRule type="containsText" dxfId="1" priority="3" operator="containsText" text="Paid">
      <formula>NOT(ISERROR(SEARCH("Paid",M5)))</formula>
    </cfRule>
    <cfRule type="containsText" dxfId="1" priority="4" operator="containsText" text="Settled">
      <formula>NOT(ISERROR(SEARCH("Settled",M5)))</formula>
    </cfRule>
    <cfRule type="containsText" dxfId="1" priority="5" operator="containsText" text="Arrived">
      <formula>NOT(ISERROR(SEARCH("Arrived",M5)))</formula>
    </cfRule>
    <cfRule type="containsText" dxfId="1" priority="6" operator="containsText" text="Active">
      <formula>NOT(ISERROR(SEARCH("Active",M5)))</formula>
    </cfRule>
    <cfRule type="containsText" dxfId="1" priority="7" operator="containsText" text="Regular">
      <formula>NOT(ISERROR(SEARCH("Regular",M5)))</formula>
    </cfRule>
    <cfRule type="containsText" dxfId="1" priority="8" operator="containsText" text="VIP">
      <formula>NOT(ISERROR(SEARCH("VIP",M5)))</formula>
    </cfRule>
    <cfRule type="containsText" dxfId="1" priority="9" operator="containsText" text="In stock">
      <formula>NOT(ISERROR(SEARCH("In stock",M5)))</formula>
    </cfRule>
    <cfRule type="containsText" dxfId="1" priority="10" operator="containsText" text="Received">
      <formula>NOT(ISERROR(SEARCH("Received",M5)))</formula>
    </cfRule>
    <cfRule type="containsText" dxfId="1" priority="11" operator="containsText" text="Approved">
      <formula>NOT(ISERROR(SEARCH("Approved",M5)))</formula>
    </cfRule>
    <cfRule type="containsText" dxfId="1" priority="12" operator="containsText" text="Yes">
      <formula>NOT(ISERROR(SEARCH("Yes",M5)))</formula>
    </cfRule>
    <cfRule type="containsText" dxfId="3" priority="13" operator="containsText" text="Booked">
      <formula>NOT(ISERROR(SEARCH("Booked",M5)))</formula>
    </cfRule>
    <cfRule type="containsText" dxfId="3" priority="14" operator="containsText" text="Confirmed">
      <formula>NOT(ISERROR(SEARCH("Confirmed",M5)))</formula>
    </cfRule>
    <cfRule type="containsText" dxfId="3" priority="15" operator="containsText" text="Scheduled">
      <formula>NOT(ISERROR(SEARCH("Scheduled",M5)))</formula>
    </cfRule>
    <cfRule type="containsText" dxfId="3" priority="16" operator="containsText" text="New">
      <formula>NOT(ISERROR(SEARCH("New",M5)))</formula>
    </cfRule>
    <cfRule type="containsText" dxfId="3" priority="17" operator="containsText" text="Ordered">
      <formula>NOT(ISERROR(SEARCH("Ordered",M5)))</formula>
    </cfRule>
    <cfRule type="containsText" dxfId="3" priority="18" operator="containsText" text="Running">
      <formula>NOT(ISERROR(SEARCH("Running",M5)))</formula>
    </cfRule>
    <cfRule type="containsText" dxfId="0" priority="19" operator="containsText" text="Part paid">
      <formula>NOT(ISERROR(SEARCH("Part paid",M5)))</formula>
    </cfRule>
    <cfRule type="containsText" dxfId="0" priority="20" operator="containsText" text="Pending">
      <formula>NOT(ISERROR(SEARCH("Pending",M5)))</formula>
    </cfRule>
    <cfRule type="containsText" dxfId="0" priority="21" operator="containsText" text="Enquiry">
      <formula>NOT(ISERROR(SEARCH("Enquiry",M5)))</formula>
    </cfRule>
    <cfRule type="containsText" dxfId="0" priority="22" operator="containsText" text="Rescheduled">
      <formula>NOT(ISERROR(SEARCH("Rescheduled",M5)))</formula>
    </cfRule>
    <cfRule type="containsText" dxfId="0" priority="23" operator="containsText" text="Low stock">
      <formula>NOT(ISERROR(SEARCH("Low stock",M5)))</formula>
    </cfRule>
    <cfRule type="containsText" dxfId="0" priority="24" operator="containsText" text="Lapsing">
      <formula>NOT(ISERROR(SEARCH("Lapsing",M5)))</formula>
    </cfRule>
    <cfRule type="containsText" dxfId="0" priority="25" operator="containsText" text="Planned">
      <formula>NOT(ISERROR(SEARCH("Planned",M5)))</formula>
    </cfRule>
    <cfRule type="containsText" dxfId="0" priority="26" operator="containsText" text="On hold">
      <formula>NOT(ISERROR(SEARCH("On hold",M5)))</formula>
    </cfRule>
    <cfRule type="containsText" dxfId="0" priority="27" operator="containsText" text="Draft">
      <formula>NOT(ISERROR(SEARCH("Draft",M5)))</formula>
    </cfRule>
    <cfRule type="containsText" dxfId="2" priority="28" operator="containsText" text="Cancelled">
      <formula>NOT(ISERROR(SEARCH("Cancelled",M5)))</formula>
    </cfRule>
    <cfRule type="containsText" dxfId="2" priority="29" operator="containsText" text="No show">
      <formula>NOT(ISERROR(SEARCH("No show",M5)))</formula>
    </cfRule>
    <cfRule type="containsText" dxfId="2" priority="30" operator="containsText" text="Refunded">
      <formula>NOT(ISERROR(SEARCH("Refunded",M5)))</formula>
    </cfRule>
    <cfRule type="containsText" dxfId="2" priority="31" operator="containsText" text="Out of stock">
      <formula>NOT(ISERROR(SEARCH("Out of stock",M5)))</formula>
    </cfRule>
    <cfRule type="containsText" dxfId="2" priority="32" operator="containsText" text="Overdue">
      <formula>NOT(ISERROR(SEARCH("Overdue",M5)))</formula>
    </cfRule>
    <cfRule type="containsText" dxfId="2" priority="33" operator="containsText" text="Written off">
      <formula>NOT(ISERROR(SEARCH("Written off",M5)))</formula>
    </cfRule>
    <cfRule type="containsText" dxfId="4" priority="34" operator="containsText" text="Inactive">
      <formula>NOT(ISERROR(SEARCH("Inactive",M5)))</formula>
    </cfRule>
    <cfRule type="containsText" dxfId="4" priority="35" operator="containsText" text="Archived">
      <formula>NOT(ISERROR(SEARCH("Archived",M5)))</formula>
    </cfRule>
    <cfRule type="containsText" dxfId="4" priority="36" operator="containsText" text="Finished">
      <formula>NOT(ISERROR(SEARCH("Finished",M5)))</formula>
    </cfRule>
    <cfRule type="containsText" dxfId="4" priority="37" operator="containsText" text="Discontinued">
      <formula>NOT(ISERROR(SEARCH("Discontinued",M5)))</formula>
    </cfRule>
  </conditionalFormatting>
  <dataValidations count="13">
    <dataValidation type="date" allowBlank="1" showInputMessage="1" showErrorMessage="1" errorTitle="Check the date" error="Enter a real date between 2000 and 2100." promptTitle="Date" prompt="The day of the appointment. Everything on this row waits for it." sqref="B5:B1204">
      <formula1>36526</formula1>
      <formula2>73415</formula2>
    </dataValidation>
    <dataValidation type="time" allowBlank="1" showInputMessage="1" showErrorMessage="1" errorTitle="Check the time" error="Enter a time of day, for example 9:00 AM or 14:30." promptTitle="Start" prompt="Type 9:30 or 2:15 PM - Excel stores it as a time." sqref="D5:D1204">
      <formula1>0</formula1>
      <formula2>0.999305555555556</formula2>
    </dataValidation>
    <dataValidation type="list" allowBlank="1" showInputMessage="1" showErrorMessage="1" promptTitle="Client ID" prompt="Pick the client ID. A walk-in with no record can be left blank - the sale still counts." sqref="E5:E1204">
      <formula1>ClientList</formula1>
    </dataValidation>
    <dataValidation type="list" allowBlank="1" showInputMessage="1" showErrorMessage="1" promptTitle="Service ID" prompt="Pick from the service menu. The price and the minutes come with it." sqref="G5:G1204">
      <formula1>ServiceList</formula1>
    </dataValidation>
    <dataValidation type="list" allowBlank="1" showInputMessage="1" showErrorMessage="1" sqref="I5:I1204">
      <formula1>StaffList</formula1>
    </dataValidation>
    <dataValidation type="whole" allowBlank="1" showInputMessage="1" showErrorMessage="1" errorTitle="Check the value" error="Enter a number between 0 and 1440." promptTitle="Minutes" prompt="Only fill this in when the booking is longer or shorter than the menu says. Otherwise leave it blank." sqref="K5:K1204">
      <formula1>0</formula1>
      <formula2>1440</formula2>
    </dataValidation>
    <dataValidation type="decimal" allowBlank="1" showInputMessage="1" showErrorMessage="1" errorTitle="Check the value" error="Enter a number between 0 and 100000." promptTitle="Price" prompt="Overrides the menu price - a senior stylist surcharge, a quoted colour correction, a friend rate. Blank means use the menu." sqref="L5:L1204">
      <formula1>0</formula1>
      <formula2>100000</formula2>
    </dataValidation>
    <dataValidation type="list" allowBlank="1" showInputMessage="1" showErrorMessage="1" promptTitle="Status" prompt="Enquiry, Booked, Confirmed, Arrived, Completed, Cancelled, No show, Rescheduled. Only the last three and Completed count as a final answer." sqref="M5:M1204">
      <formula1>AppointmentStatusList</formula1>
    </dataValidation>
    <dataValidation type="list" allowBlank="1" showInputMessage="1" showErrorMessage="1" sqref="N5:N1204">
      <formula1>SourceList</formula1>
    </dataValidation>
    <dataValidation type="decimal" allowBlank="1" showInputMessage="1" showErrorMessage="1" errorTitle="Check the value" error="Enter a number between 0 and 100000." promptTitle="Deposit asked" prompt="Leave blank to use the deposit rule on Settings. Type 0 to waive it." sqref="O5:O1204">
      <formula1>0</formula1>
      <formula2>100000</formula2>
    </dataValidation>
    <dataValidation type="list" allowBlank="1" showInputMessage="1" showErrorMessage="1" sqref="Q5:Q1204">
      <formula1>CancelReasonList</formula1>
    </dataValidation>
    <dataValidation type="decimal" allowBlank="1" showInputMessage="1" showErrorMessage="1" errorTitle="Check the value" error="Enter a number between 0 and 10000." promptTitle="Late fee charged" prompt="A no-show or late cancellation fee you actually collected. Log the money itself on Payments." sqref="R5:R1204">
      <formula1>0</formula1>
      <formula2>10000</formula2>
    </dataValidation>
    <dataValidation type="date" allowBlank="1" showInputMessage="1" showErrorMessage="1" errorTitle="Check the date" error="Enter a real date between 2000 and 2100." promptTitle="Booked on" prompt="When the booking was made. Optional - it feeds the lead-time figure on the analytics tab." sqref="AE5:AE1204">
      <formula1>36526</formula1>
      <formula2>73415</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&amp;L&amp;"Calibri,Bold"&amp;12&amp;C&amp;"Calibri,Bold"&amp;11Appointments&amp;R&amp;"Calibri,Italic"&amp;9Salon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4.xml><?xml version="1.0" encoding="utf-8"?>
<worksheet xmlns="http://schemas.openxmlformats.org/spreadsheetml/2006/main" xmlns:r="http://schemas.openxmlformats.org/officeDocument/2006/relationships">
  <sheetPr>
    <tabColor rgb="FF6D3B5E"/>
    <pageSetUpPr fitToPage="1"/>
  </sheetPr>
  <dimension ref="A1:AQ5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24.7109375" style="34" customWidth="1"/>
    <col min="3" max="3" width="16.7109375" style="34" customWidth="1"/>
    <col min="4" max="4" width="26.7109375" style="34" customWidth="1"/>
    <col min="5" max="5" width="12.7109375" style="34" customWidth="1"/>
    <col min="6" max="6" width="11.7109375" style="29" customWidth="1"/>
    <col min="7" max="7" width="18.7109375" style="34" customWidth="1"/>
    <col min="8" max="8" width="18.7109375" style="34" customWidth="1"/>
    <col min="9" max="9" width="12.7109375" style="31" customWidth="1"/>
    <col min="10" max="10" width="16.7109375" style="15" hidden="1" customWidth="1"/>
    <col min="11" max="11" width="11.7109375" style="29" customWidth="1"/>
    <col min="12" max="12" width="34.7109375" style="35" customWidth="1"/>
    <col min="13" max="13" width="26.7109375" style="35" customWidth="1"/>
    <col min="14" max="14" width="11.7109375" style="29" customWidth="1"/>
    <col min="15" max="15" width="12.7109375" style="41" customWidth="1"/>
    <col min="16" max="16" width="11.7109375" style="41" customWidth="1"/>
    <col min="17" max="17" width="18.7109375" style="34" customWidth="1"/>
    <col min="18" max="18" width="12.7109375" style="34" customWidth="1"/>
    <col min="19" max="19" width="26.7109375" style="35" customWidth="1"/>
    <col min="20" max="20" width="8.7109375" style="25" customWidth="1"/>
    <col min="21" max="21" width="10.7109375" style="25" hidden="1" customWidth="1"/>
    <col min="22" max="22" width="10.7109375" style="25" hidden="1" customWidth="1"/>
    <col min="23" max="23" width="10.7109375" style="25" customWidth="1"/>
    <col min="24" max="24" width="11.7109375" style="17" customWidth="1"/>
    <col min="25" max="25" width="11.7109375" style="17" customWidth="1"/>
    <col min="26" max="26" width="10.7109375" style="25" customWidth="1"/>
    <col min="27" max="27" width="11.7109375" style="42" hidden="1" customWidth="1"/>
    <col min="28" max="28" width="11.7109375" style="17" customWidth="1"/>
    <col min="29" max="29" width="10.7109375" style="25" customWidth="1"/>
    <col min="30" max="30" width="11.7109375" style="17" customWidth="1"/>
    <col min="31" max="31" width="13.7109375" style="26" customWidth="1"/>
    <col min="32" max="32" width="12.7109375" style="26" hidden="1" customWidth="1"/>
    <col min="33" max="33" width="11.7109375" style="26" hidden="1" customWidth="1"/>
    <col min="34" max="34" width="12.7109375" style="26" customWidth="1"/>
    <col min="35" max="35" width="12.7109375" style="26" customWidth="1"/>
    <col min="36" max="36" width="12.7109375" style="26" customWidth="1"/>
    <col min="37" max="37" width="12.7109375" style="26" customWidth="1"/>
    <col min="38" max="38" width="12.7109375" style="25" customWidth="1"/>
    <col min="39" max="39" width="13.7109375" style="39" customWidth="1"/>
    <col min="40" max="40" width="11.7109375" style="38" hidden="1" customWidth="1"/>
    <col min="41" max="41" width="9.7109375" style="25" hidden="1" customWidth="1"/>
    <col min="42" max="42" width="9.7109375" style="25" hidden="1" customWidth="1"/>
    <col min="43" max="43" width="32.7109375" style="39" customWidth="1"/>
  </cols>
  <sheetData>
    <row r="1" spans="1:43" ht="34" customHeight="1">
      <c r="A1" s="2" t="s">
        <v>250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3" t="s">
        <v>1</v>
      </c>
      <c r="AP1" s="3"/>
      <c r="AQ1" s="3"/>
    </row>
    <row r="2" spans="1:43" ht="18" customHeight="1">
      <c r="A2" s="4" t="s">
        <v>251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spans="1:43"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252</v>
      </c>
      <c r="T3" s="40"/>
      <c r="U3" s="40"/>
      <c r="V3" s="40"/>
      <c r="W3" s="40"/>
      <c r="X3" s="40"/>
      <c r="Y3" s="40"/>
      <c r="Z3" s="40"/>
      <c r="AA3" s="40"/>
      <c r="AB3" s="40"/>
      <c r="AC3" s="40"/>
      <c r="AD3" s="40"/>
      <c r="AE3" s="40"/>
      <c r="AF3" s="40"/>
      <c r="AG3" s="40"/>
      <c r="AH3" s="40"/>
      <c r="AI3" s="40"/>
      <c r="AJ3" s="40"/>
      <c r="AK3" s="40"/>
      <c r="AL3" s="40"/>
      <c r="AM3" s="40"/>
      <c r="AN3" s="40"/>
      <c r="AO3" s="40"/>
      <c r="AP3" s="40"/>
      <c r="AQ3" s="40"/>
    </row>
    <row r="4" spans="1:43" ht="30" customHeight="1">
      <c r="A4" s="10" t="s">
        <v>211</v>
      </c>
      <c r="B4" s="10" t="s">
        <v>216</v>
      </c>
      <c r="C4" s="11" t="s">
        <v>253</v>
      </c>
      <c r="D4" s="11" t="s">
        <v>254</v>
      </c>
      <c r="E4" s="11" t="s">
        <v>255</v>
      </c>
      <c r="F4" s="11" t="s">
        <v>256</v>
      </c>
      <c r="G4" s="11" t="s">
        <v>257</v>
      </c>
      <c r="H4" s="11" t="s">
        <v>258</v>
      </c>
      <c r="I4" s="11" t="s">
        <v>259</v>
      </c>
      <c r="J4" s="11" t="s">
        <v>175</v>
      </c>
      <c r="K4" s="11" t="s">
        <v>260</v>
      </c>
      <c r="L4" s="11" t="s">
        <v>261</v>
      </c>
      <c r="M4" s="11" t="s">
        <v>262</v>
      </c>
      <c r="N4" s="11" t="s">
        <v>263</v>
      </c>
      <c r="O4" s="11" t="s">
        <v>264</v>
      </c>
      <c r="P4" s="11" t="s">
        <v>265</v>
      </c>
      <c r="Q4" s="11" t="s">
        <v>266</v>
      </c>
      <c r="R4" s="11" t="s">
        <v>222</v>
      </c>
      <c r="S4" s="11" t="s">
        <v>225</v>
      </c>
      <c r="T4" s="11" t="s">
        <v>267</v>
      </c>
      <c r="U4" s="11" t="s">
        <v>268</v>
      </c>
      <c r="V4" s="11" t="s">
        <v>245</v>
      </c>
      <c r="W4" s="11" t="s">
        <v>246</v>
      </c>
      <c r="X4" s="11" t="s">
        <v>269</v>
      </c>
      <c r="Y4" s="11" t="s">
        <v>270</v>
      </c>
      <c r="Z4" s="11" t="s">
        <v>271</v>
      </c>
      <c r="AA4" s="11" t="s">
        <v>272</v>
      </c>
      <c r="AB4" s="11" t="s">
        <v>273</v>
      </c>
      <c r="AC4" s="11" t="s">
        <v>274</v>
      </c>
      <c r="AD4" s="11" t="s">
        <v>275</v>
      </c>
      <c r="AE4" s="11" t="s">
        <v>276</v>
      </c>
      <c r="AF4" s="11" t="s">
        <v>277</v>
      </c>
      <c r="AG4" s="11" t="s">
        <v>278</v>
      </c>
      <c r="AH4" s="11" t="s">
        <v>279</v>
      </c>
      <c r="AI4" s="11" t="s">
        <v>88</v>
      </c>
      <c r="AJ4" s="11" t="s">
        <v>280</v>
      </c>
      <c r="AK4" s="11" t="s">
        <v>281</v>
      </c>
      <c r="AL4" s="11" t="s">
        <v>282</v>
      </c>
      <c r="AM4" s="11" t="s">
        <v>283</v>
      </c>
      <c r="AN4" s="11" t="s">
        <v>284</v>
      </c>
      <c r="AO4" s="11" t="s">
        <v>285</v>
      </c>
      <c r="AP4" s="11" t="s">
        <v>286</v>
      </c>
      <c r="AQ4" s="11" t="s">
        <v>242</v>
      </c>
    </row>
    <row r="5" spans="1:43">
      <c r="A5" s="28">
        <f>IF(B5="","",ClientPrefix&amp;TEXT(ROW()-4,"0000"))</f>
        <v>0</v>
      </c>
      <c r="J5" s="15">
        <f>IF(I5="","",IFERROR(INDEX(Staff!$B$5:$B$44,MATCH(I5,Staff!$A$5:$A$44,0)),"Not in Staff"))</f>
        <v>0</v>
      </c>
      <c r="T5" s="25">
        <f>IF(B5="","",COUNTIFS(Appointments!$E$5:$E$1204,A5,Appointments!$M$5:$M$1204,"Completed"))</f>
        <v>0</v>
      </c>
      <c r="U5" s="25">
        <f>IF(B5="","",COUNTIFS(Appointments!$E$5:$E$1204,A5,Appointments!$M$5:$M$1204,"Completed",Appointments!$B$5:$B$1204,"&gt;="&amp;TodayDate-365))</f>
        <v>0</v>
      </c>
      <c r="V5" s="25">
        <f>IF(B5="","",COUNTIFS(Appointments!$E$5:$E$1204,A5,Appointments!$M$5:$M$1204,"Cancelled"))</f>
        <v>0</v>
      </c>
      <c r="W5" s="25">
        <f>IF(B5="","",COUNTIFS(Appointments!$E$5:$E$1204,A5,Appointments!$M$5:$M$1204,"No show"))</f>
        <v>0</v>
      </c>
      <c r="X5" s="17">
        <f>IF(B5="","",IF(F5&lt;&gt;"",F5,IF(T5=0,"",SUMPRODUCT(MIN((Appointments!$E$5:$E$1204=A5)*(Appointments!$M$5:$M$1204="Completed")*Appointments!$B$5:$B$1204+(1-(Appointments!$E$5:$E$1204=A5)*(Appointments!$M$5:$M$1204="Completed"))*2958465)))))</f>
        <v>0</v>
      </c>
      <c r="Y5" s="17">
        <f>IF(B5="","",IF(T5=0,"",SUMPRODUCT(MAX((Appointments!$E$5:$E$1204=A5)*(Appointments!$M$5:$M$1204="Completed")*Appointments!$B$5:$B$1204))))</f>
        <v>0</v>
      </c>
      <c r="Z5" s="25">
        <f>IF(B5="","",IF(Y5="","",TodayDate-Y5))</f>
        <v>0</v>
      </c>
      <c r="AA5" s="42">
        <f>IF(B5="","",SUMPRODUCT(MIN((Appointments!$E$5:$E$1204=A5)*(Appointments!$M$5:$M$1204&lt;&gt;"Cancelled")*(Appointments!$M$5:$M$1204&lt;&gt;"Completed")*(Appointments!$M$5:$M$1204&lt;&gt;"No show")*(Appointments!$B$5:$B$1204&gt;=TodayDate)*Appointments!$B$5:$B$1204+(1-(Appointments!$E$5:$E$1204=A5)*(Appointments!$M$5:$M$1204&lt;&gt;"Cancelled")*(Appointments!$M$5:$M$1204&lt;&gt;"Completed")*(Appointments!$M$5:$M$1204&lt;&gt;"No show")*(Appointments!$B$5:$B$1204&gt;=TodayDate))*2958465)))</f>
        <v>0</v>
      </c>
      <c r="AB5" s="17">
        <f>IF(B5="","",IF(AA5&gt;=2958465,"",AA5))</f>
        <v>0</v>
      </c>
      <c r="AC5" s="25">
        <f>IF(B5="","",IF(T5&lt;2,"",ROUND((Y5-X5)/MAX(1,T5-1),0)))</f>
        <v>0</v>
      </c>
      <c r="AD5" s="17">
        <f>IF(B5="","",IF(Y5="","",Y5+IF(AC5="",RebookWeeks*7,MAX(14,AC5))))</f>
        <v>0</v>
      </c>
      <c r="AE5" s="26">
        <f>IF(B5="","",ROUND(SUMIFS(Sales!$Y$5:$Y$1204,Sales!$D$5:$D$1204,A5),2))</f>
        <v>0</v>
      </c>
      <c r="AF5" s="26">
        <f>IF(B5="","",ROUND(SUMIFS(Sales!$Y$5:$Y$1204,Sales!$D$5:$D$1204,A5,Sales!$H$5:$H$1204,"Service"),2))</f>
        <v>0</v>
      </c>
      <c r="AG5" s="26">
        <f>IF(B5="","",ROUND(SUMIFS(Sales!$Y$5:$Y$1204,Sales!$D$5:$D$1204,A5,Sales!$H$5:$H$1204,"Retail"),2))</f>
        <v>0</v>
      </c>
      <c r="AH5" s="26">
        <f>IF(B5="","",ROUND(SUMIFS(Sales!$Y$5:$Y$1204,Sales!$D$5:$D$1204,A5,Sales!$B$5:$B$1204,"&gt;="&amp;TodayDate-365),2))</f>
        <v>0</v>
      </c>
      <c r="AI5" s="26">
        <f>IF(B5="","",IF(T5=0,"",ROUND(AE5/T5,2)))</f>
        <v>0</v>
      </c>
      <c r="AJ5" s="26">
        <f>IF(B5="","",IF(AI5="","",IF(AC5="","",ROUND(AI5*(365/MAX(14,AC5)),2))))</f>
        <v>0</v>
      </c>
      <c r="AK5" s="26">
        <f>IF(B5="","",ROUND(SUMIFS(Sales!$AH$5:$AH$1204,Sales!$D$5:$D$1204,A5),2))</f>
        <v>0</v>
      </c>
      <c r="AL5" s="25">
        <f>IF(B5="","",IFERROR(INDEX(Loyalty!$P$5:$P$504,MATCH(A5,Loyalty!$B$5:$B$504,0))*1,0))</f>
        <v>0</v>
      </c>
      <c r="AM5" s="39">
        <f>IF(B5="","",IF(R5="Archived","Archived",IF(T5=0,"Not been yet",IF(Z5&gt;=InactiveDays,"Inactive",IF(Z5&gt;=LapsingDays,"Lapsing",IF(T5=1,"New",IF(AH5&gt;=VipSpend,"VIP",IF(U5&gt;=4,"Regular","Active"))))))))</f>
        <v>0</v>
      </c>
      <c r="AN5" s="38">
        <f>IF(B5="","",IF(T5&gt;=2,"Yes","No"))</f>
        <v>0</v>
      </c>
      <c r="AO5" s="25">
        <f>IF(B5="","",COUNTIFS($AE$5:$AE$504,"&gt;"&amp;AE5)+COUNTIFS($AE$5:AE5,AE5))</f>
        <v>0</v>
      </c>
      <c r="AP5" s="25">
        <f>IF(B5="","",COUNTIFS($T$5:$T$504,"&gt;"&amp;T5)+COUNTIFS($T$5:T5,T5))</f>
        <v>0</v>
      </c>
      <c r="AQ5" s="39">
        <f>IF(B5="","",IF(COUNTIF($B$5:$B$504,B5)&gt;1,"Duplicate - same name twice",IF(R5="Archived","",IF(AK5&gt;0.004,"Chase - balance outstanding",IF(AM5="Inactive","Gone - win-back offer",IF(AM5="Lapsing","Chase - lapsing, call them",IF(IF(N5="",FALSE,TodayDate-N5&gt;PatchTestDays),"Due - patch test out of date",IF(IF(AD5="",FALSE,IF(AB5&lt;&gt;"",FALSE,AD5&lt;=TodayDate+14)),"Rebook - due and nothing booked",IF(IF(K5="",FALSE,ABS(DATE(YEAR(TodayDate),MONTH(K5),DAY(K5))-TodayDate)&lt;=7),"Birthday - send the treat","OK")))))))))</f>
        <v>0</v>
      </c>
    </row>
    <row r="6" spans="1:43">
      <c r="A6" s="28">
        <f>IF(B6="","",ClientPrefix&amp;TEXT(ROW()-4,"0000"))</f>
        <v>0</v>
      </c>
      <c r="J6" s="15">
        <f>IF(I6="","",IFERROR(INDEX(Staff!$B$5:$B$44,MATCH(I6,Staff!$A$5:$A$44,0)),"Not in Staff"))</f>
        <v>0</v>
      </c>
      <c r="T6" s="25">
        <f>IF(B6="","",COUNTIFS(Appointments!$E$5:$E$1204,A6,Appointments!$M$5:$M$1204,"Completed"))</f>
        <v>0</v>
      </c>
      <c r="U6" s="25">
        <f>IF(B6="","",COUNTIFS(Appointments!$E$5:$E$1204,A6,Appointments!$M$5:$M$1204,"Completed",Appointments!$B$5:$B$1204,"&gt;="&amp;TodayDate-365))</f>
        <v>0</v>
      </c>
      <c r="V6" s="25">
        <f>IF(B6="","",COUNTIFS(Appointments!$E$5:$E$1204,A6,Appointments!$M$5:$M$1204,"Cancelled"))</f>
        <v>0</v>
      </c>
      <c r="W6" s="25">
        <f>IF(B6="","",COUNTIFS(Appointments!$E$5:$E$1204,A6,Appointments!$M$5:$M$1204,"No show"))</f>
        <v>0</v>
      </c>
      <c r="X6" s="17">
        <f>IF(B6="","",IF(F6&lt;&gt;"",F6,IF(T6=0,"",SUMPRODUCT(MIN((Appointments!$E$5:$E$1204=A6)*(Appointments!$M$5:$M$1204="Completed")*Appointments!$B$5:$B$1204+(1-(Appointments!$E$5:$E$1204=A6)*(Appointments!$M$5:$M$1204="Completed"))*2958465)))))</f>
        <v>0</v>
      </c>
      <c r="Y6" s="17">
        <f>IF(B6="","",IF(T6=0,"",SUMPRODUCT(MAX((Appointments!$E$5:$E$1204=A6)*(Appointments!$M$5:$M$1204="Completed")*Appointments!$B$5:$B$1204))))</f>
        <v>0</v>
      </c>
      <c r="Z6" s="25">
        <f>IF(B6="","",IF(Y6="","",TodayDate-Y6))</f>
        <v>0</v>
      </c>
      <c r="AA6" s="42">
        <f>IF(B6="","",SUMPRODUCT(MIN((Appointments!$E$5:$E$1204=A6)*(Appointments!$M$5:$M$1204&lt;&gt;"Cancelled")*(Appointments!$M$5:$M$1204&lt;&gt;"Completed")*(Appointments!$M$5:$M$1204&lt;&gt;"No show")*(Appointments!$B$5:$B$1204&gt;=TodayDate)*Appointments!$B$5:$B$1204+(1-(Appointments!$E$5:$E$1204=A6)*(Appointments!$M$5:$M$1204&lt;&gt;"Cancelled")*(Appointments!$M$5:$M$1204&lt;&gt;"Completed")*(Appointments!$M$5:$M$1204&lt;&gt;"No show")*(Appointments!$B$5:$B$1204&gt;=TodayDate))*2958465)))</f>
        <v>0</v>
      </c>
      <c r="AB6" s="17">
        <f>IF(B6="","",IF(AA6&gt;=2958465,"",AA6))</f>
        <v>0</v>
      </c>
      <c r="AC6" s="25">
        <f>IF(B6="","",IF(T6&lt;2,"",ROUND((Y6-X6)/MAX(1,T6-1),0)))</f>
        <v>0</v>
      </c>
      <c r="AD6" s="17">
        <f>IF(B6="","",IF(Y6="","",Y6+IF(AC6="",RebookWeeks*7,MAX(14,AC6))))</f>
        <v>0</v>
      </c>
      <c r="AE6" s="26">
        <f>IF(B6="","",ROUND(SUMIFS(Sales!$Y$5:$Y$1204,Sales!$D$5:$D$1204,A6),2))</f>
        <v>0</v>
      </c>
      <c r="AF6" s="26">
        <f>IF(B6="","",ROUND(SUMIFS(Sales!$Y$5:$Y$1204,Sales!$D$5:$D$1204,A6,Sales!$H$5:$H$1204,"Service"),2))</f>
        <v>0</v>
      </c>
      <c r="AG6" s="26">
        <f>IF(B6="","",ROUND(SUMIFS(Sales!$Y$5:$Y$1204,Sales!$D$5:$D$1204,A6,Sales!$H$5:$H$1204,"Retail"),2))</f>
        <v>0</v>
      </c>
      <c r="AH6" s="26">
        <f>IF(B6="","",ROUND(SUMIFS(Sales!$Y$5:$Y$1204,Sales!$D$5:$D$1204,A6,Sales!$B$5:$B$1204,"&gt;="&amp;TodayDate-365),2))</f>
        <v>0</v>
      </c>
      <c r="AI6" s="26">
        <f>IF(B6="","",IF(T6=0,"",ROUND(AE6/T6,2)))</f>
        <v>0</v>
      </c>
      <c r="AJ6" s="26">
        <f>IF(B6="","",IF(AI6="","",IF(AC6="","",ROUND(AI6*(365/MAX(14,AC6)),2))))</f>
        <v>0</v>
      </c>
      <c r="AK6" s="26">
        <f>IF(B6="","",ROUND(SUMIFS(Sales!$AH$5:$AH$1204,Sales!$D$5:$D$1204,A6),2))</f>
        <v>0</v>
      </c>
      <c r="AL6" s="25">
        <f>IF(B6="","",IFERROR(INDEX(Loyalty!$P$5:$P$504,MATCH(A6,Loyalty!$B$5:$B$504,0))*1,0))</f>
        <v>0</v>
      </c>
      <c r="AM6" s="39">
        <f>IF(B6="","",IF(R6="Archived","Archived",IF(T6=0,"Not been yet",IF(Z6&gt;=InactiveDays,"Inactive",IF(Z6&gt;=LapsingDays,"Lapsing",IF(T6=1,"New",IF(AH6&gt;=VipSpend,"VIP",IF(U6&gt;=4,"Regular","Active"))))))))</f>
        <v>0</v>
      </c>
      <c r="AN6" s="38">
        <f>IF(B6="","",IF(T6&gt;=2,"Yes","No"))</f>
        <v>0</v>
      </c>
      <c r="AO6" s="25">
        <f>IF(B6="","",COUNTIFS($AE$5:$AE$504,"&gt;"&amp;AE6)+COUNTIFS($AE$5:AE6,AE6))</f>
        <v>0</v>
      </c>
      <c r="AP6" s="25">
        <f>IF(B6="","",COUNTIFS($T$5:$T$504,"&gt;"&amp;T6)+COUNTIFS($T$5:T6,T6))</f>
        <v>0</v>
      </c>
      <c r="AQ6" s="39">
        <f>IF(B6="","",IF(COUNTIF($B$5:$B$504,B6)&gt;1,"Duplicate - same name twice",IF(R6="Archived","",IF(AK6&gt;0.004,"Chase - balance outstanding",IF(AM6="Inactive","Gone - win-back offer",IF(AM6="Lapsing","Chase - lapsing, call them",IF(IF(N6="",FALSE,TodayDate-N6&gt;PatchTestDays),"Due - patch test out of date",IF(IF(AD6="",FALSE,IF(AB6&lt;&gt;"",FALSE,AD6&lt;=TodayDate+14)),"Rebook - due and nothing booked",IF(IF(K6="",FALSE,ABS(DATE(YEAR(TodayDate),MONTH(K6),DAY(K6))-TodayDate)&lt;=7),"Birthday - send the treat","OK")))))))))</f>
        <v>0</v>
      </c>
    </row>
    <row r="7" spans="1:43">
      <c r="A7" s="28">
        <f>IF(B7="","",ClientPrefix&amp;TEXT(ROW()-4,"0000"))</f>
        <v>0</v>
      </c>
      <c r="J7" s="15">
        <f>IF(I7="","",IFERROR(INDEX(Staff!$B$5:$B$44,MATCH(I7,Staff!$A$5:$A$44,0)),"Not in Staff"))</f>
        <v>0</v>
      </c>
      <c r="T7" s="25">
        <f>IF(B7="","",COUNTIFS(Appointments!$E$5:$E$1204,A7,Appointments!$M$5:$M$1204,"Completed"))</f>
        <v>0</v>
      </c>
      <c r="U7" s="25">
        <f>IF(B7="","",COUNTIFS(Appointments!$E$5:$E$1204,A7,Appointments!$M$5:$M$1204,"Completed",Appointments!$B$5:$B$1204,"&gt;="&amp;TodayDate-365))</f>
        <v>0</v>
      </c>
      <c r="V7" s="25">
        <f>IF(B7="","",COUNTIFS(Appointments!$E$5:$E$1204,A7,Appointments!$M$5:$M$1204,"Cancelled"))</f>
        <v>0</v>
      </c>
      <c r="W7" s="25">
        <f>IF(B7="","",COUNTIFS(Appointments!$E$5:$E$1204,A7,Appointments!$M$5:$M$1204,"No show"))</f>
        <v>0</v>
      </c>
      <c r="X7" s="17">
        <f>IF(B7="","",IF(F7&lt;&gt;"",F7,IF(T7=0,"",SUMPRODUCT(MIN((Appointments!$E$5:$E$1204=A7)*(Appointments!$M$5:$M$1204="Completed")*Appointments!$B$5:$B$1204+(1-(Appointments!$E$5:$E$1204=A7)*(Appointments!$M$5:$M$1204="Completed"))*2958465)))))</f>
        <v>0</v>
      </c>
      <c r="Y7" s="17">
        <f>IF(B7="","",IF(T7=0,"",SUMPRODUCT(MAX((Appointments!$E$5:$E$1204=A7)*(Appointments!$M$5:$M$1204="Completed")*Appointments!$B$5:$B$1204))))</f>
        <v>0</v>
      </c>
      <c r="Z7" s="25">
        <f>IF(B7="","",IF(Y7="","",TodayDate-Y7))</f>
        <v>0</v>
      </c>
      <c r="AA7" s="42">
        <f>IF(B7="","",SUMPRODUCT(MIN((Appointments!$E$5:$E$1204=A7)*(Appointments!$M$5:$M$1204&lt;&gt;"Cancelled")*(Appointments!$M$5:$M$1204&lt;&gt;"Completed")*(Appointments!$M$5:$M$1204&lt;&gt;"No show")*(Appointments!$B$5:$B$1204&gt;=TodayDate)*Appointments!$B$5:$B$1204+(1-(Appointments!$E$5:$E$1204=A7)*(Appointments!$M$5:$M$1204&lt;&gt;"Cancelled")*(Appointments!$M$5:$M$1204&lt;&gt;"Completed")*(Appointments!$M$5:$M$1204&lt;&gt;"No show")*(Appointments!$B$5:$B$1204&gt;=TodayDate))*2958465)))</f>
        <v>0</v>
      </c>
      <c r="AB7" s="17">
        <f>IF(B7="","",IF(AA7&gt;=2958465,"",AA7))</f>
        <v>0</v>
      </c>
      <c r="AC7" s="25">
        <f>IF(B7="","",IF(T7&lt;2,"",ROUND((Y7-X7)/MAX(1,T7-1),0)))</f>
        <v>0</v>
      </c>
      <c r="AD7" s="17">
        <f>IF(B7="","",IF(Y7="","",Y7+IF(AC7="",RebookWeeks*7,MAX(14,AC7))))</f>
        <v>0</v>
      </c>
      <c r="AE7" s="26">
        <f>IF(B7="","",ROUND(SUMIFS(Sales!$Y$5:$Y$1204,Sales!$D$5:$D$1204,A7),2))</f>
        <v>0</v>
      </c>
      <c r="AF7" s="26">
        <f>IF(B7="","",ROUND(SUMIFS(Sales!$Y$5:$Y$1204,Sales!$D$5:$D$1204,A7,Sales!$H$5:$H$1204,"Service"),2))</f>
        <v>0</v>
      </c>
      <c r="AG7" s="26">
        <f>IF(B7="","",ROUND(SUMIFS(Sales!$Y$5:$Y$1204,Sales!$D$5:$D$1204,A7,Sales!$H$5:$H$1204,"Retail"),2))</f>
        <v>0</v>
      </c>
      <c r="AH7" s="26">
        <f>IF(B7="","",ROUND(SUMIFS(Sales!$Y$5:$Y$1204,Sales!$D$5:$D$1204,A7,Sales!$B$5:$B$1204,"&gt;="&amp;TodayDate-365),2))</f>
        <v>0</v>
      </c>
      <c r="AI7" s="26">
        <f>IF(B7="","",IF(T7=0,"",ROUND(AE7/T7,2)))</f>
        <v>0</v>
      </c>
      <c r="AJ7" s="26">
        <f>IF(B7="","",IF(AI7="","",IF(AC7="","",ROUND(AI7*(365/MAX(14,AC7)),2))))</f>
        <v>0</v>
      </c>
      <c r="AK7" s="26">
        <f>IF(B7="","",ROUND(SUMIFS(Sales!$AH$5:$AH$1204,Sales!$D$5:$D$1204,A7),2))</f>
        <v>0</v>
      </c>
      <c r="AL7" s="25">
        <f>IF(B7="","",IFERROR(INDEX(Loyalty!$P$5:$P$504,MATCH(A7,Loyalty!$B$5:$B$504,0))*1,0))</f>
        <v>0</v>
      </c>
      <c r="AM7" s="39">
        <f>IF(B7="","",IF(R7="Archived","Archived",IF(T7=0,"Not been yet",IF(Z7&gt;=InactiveDays,"Inactive",IF(Z7&gt;=LapsingDays,"Lapsing",IF(T7=1,"New",IF(AH7&gt;=VipSpend,"VIP",IF(U7&gt;=4,"Regular","Active"))))))))</f>
        <v>0</v>
      </c>
      <c r="AN7" s="38">
        <f>IF(B7="","",IF(T7&gt;=2,"Yes","No"))</f>
        <v>0</v>
      </c>
      <c r="AO7" s="25">
        <f>IF(B7="","",COUNTIFS($AE$5:$AE$504,"&gt;"&amp;AE7)+COUNTIFS($AE$5:AE7,AE7))</f>
        <v>0</v>
      </c>
      <c r="AP7" s="25">
        <f>IF(B7="","",COUNTIFS($T$5:$T$504,"&gt;"&amp;T7)+COUNTIFS($T$5:T7,T7))</f>
        <v>0</v>
      </c>
      <c r="AQ7" s="39">
        <f>IF(B7="","",IF(COUNTIF($B$5:$B$504,B7)&gt;1,"Duplicate - same name twice",IF(R7="Archived","",IF(AK7&gt;0.004,"Chase - balance outstanding",IF(AM7="Inactive","Gone - win-back offer",IF(AM7="Lapsing","Chase - lapsing, call them",IF(IF(N7="",FALSE,TodayDate-N7&gt;PatchTestDays),"Due - patch test out of date",IF(IF(AD7="",FALSE,IF(AB7&lt;&gt;"",FALSE,AD7&lt;=TodayDate+14)),"Rebook - due and nothing booked",IF(IF(K7="",FALSE,ABS(DATE(YEAR(TodayDate),MONTH(K7),DAY(K7))-TodayDate)&lt;=7),"Birthday - send the treat","OK")))))))))</f>
        <v>0</v>
      </c>
    </row>
    <row r="8" spans="1:43">
      <c r="A8" s="28">
        <f>IF(B8="","",ClientPrefix&amp;TEXT(ROW()-4,"0000"))</f>
        <v>0</v>
      </c>
      <c r="J8" s="15">
        <f>IF(I8="","",IFERROR(INDEX(Staff!$B$5:$B$44,MATCH(I8,Staff!$A$5:$A$44,0)),"Not in Staff"))</f>
        <v>0</v>
      </c>
      <c r="T8" s="25">
        <f>IF(B8="","",COUNTIFS(Appointments!$E$5:$E$1204,A8,Appointments!$M$5:$M$1204,"Completed"))</f>
        <v>0</v>
      </c>
      <c r="U8" s="25">
        <f>IF(B8="","",COUNTIFS(Appointments!$E$5:$E$1204,A8,Appointments!$M$5:$M$1204,"Completed",Appointments!$B$5:$B$1204,"&gt;="&amp;TodayDate-365))</f>
        <v>0</v>
      </c>
      <c r="V8" s="25">
        <f>IF(B8="","",COUNTIFS(Appointments!$E$5:$E$1204,A8,Appointments!$M$5:$M$1204,"Cancelled"))</f>
        <v>0</v>
      </c>
      <c r="W8" s="25">
        <f>IF(B8="","",COUNTIFS(Appointments!$E$5:$E$1204,A8,Appointments!$M$5:$M$1204,"No show"))</f>
        <v>0</v>
      </c>
      <c r="X8" s="17">
        <f>IF(B8="","",IF(F8&lt;&gt;"",F8,IF(T8=0,"",SUMPRODUCT(MIN((Appointments!$E$5:$E$1204=A8)*(Appointments!$M$5:$M$1204="Completed")*Appointments!$B$5:$B$1204+(1-(Appointments!$E$5:$E$1204=A8)*(Appointments!$M$5:$M$1204="Completed"))*2958465)))))</f>
        <v>0</v>
      </c>
      <c r="Y8" s="17">
        <f>IF(B8="","",IF(T8=0,"",SUMPRODUCT(MAX((Appointments!$E$5:$E$1204=A8)*(Appointments!$M$5:$M$1204="Completed")*Appointments!$B$5:$B$1204))))</f>
        <v>0</v>
      </c>
      <c r="Z8" s="25">
        <f>IF(B8="","",IF(Y8="","",TodayDate-Y8))</f>
        <v>0</v>
      </c>
      <c r="AA8" s="42">
        <f>IF(B8="","",SUMPRODUCT(MIN((Appointments!$E$5:$E$1204=A8)*(Appointments!$M$5:$M$1204&lt;&gt;"Cancelled")*(Appointments!$M$5:$M$1204&lt;&gt;"Completed")*(Appointments!$M$5:$M$1204&lt;&gt;"No show")*(Appointments!$B$5:$B$1204&gt;=TodayDate)*Appointments!$B$5:$B$1204+(1-(Appointments!$E$5:$E$1204=A8)*(Appointments!$M$5:$M$1204&lt;&gt;"Cancelled")*(Appointments!$M$5:$M$1204&lt;&gt;"Completed")*(Appointments!$M$5:$M$1204&lt;&gt;"No show")*(Appointments!$B$5:$B$1204&gt;=TodayDate))*2958465)))</f>
        <v>0</v>
      </c>
      <c r="AB8" s="17">
        <f>IF(B8="","",IF(AA8&gt;=2958465,"",AA8))</f>
        <v>0</v>
      </c>
      <c r="AC8" s="25">
        <f>IF(B8="","",IF(T8&lt;2,"",ROUND((Y8-X8)/MAX(1,T8-1),0)))</f>
        <v>0</v>
      </c>
      <c r="AD8" s="17">
        <f>IF(B8="","",IF(Y8="","",Y8+IF(AC8="",RebookWeeks*7,MAX(14,AC8))))</f>
        <v>0</v>
      </c>
      <c r="AE8" s="26">
        <f>IF(B8="","",ROUND(SUMIFS(Sales!$Y$5:$Y$1204,Sales!$D$5:$D$1204,A8),2))</f>
        <v>0</v>
      </c>
      <c r="AF8" s="26">
        <f>IF(B8="","",ROUND(SUMIFS(Sales!$Y$5:$Y$1204,Sales!$D$5:$D$1204,A8,Sales!$H$5:$H$1204,"Service"),2))</f>
        <v>0</v>
      </c>
      <c r="AG8" s="26">
        <f>IF(B8="","",ROUND(SUMIFS(Sales!$Y$5:$Y$1204,Sales!$D$5:$D$1204,A8,Sales!$H$5:$H$1204,"Retail"),2))</f>
        <v>0</v>
      </c>
      <c r="AH8" s="26">
        <f>IF(B8="","",ROUND(SUMIFS(Sales!$Y$5:$Y$1204,Sales!$D$5:$D$1204,A8,Sales!$B$5:$B$1204,"&gt;="&amp;TodayDate-365),2))</f>
        <v>0</v>
      </c>
      <c r="AI8" s="26">
        <f>IF(B8="","",IF(T8=0,"",ROUND(AE8/T8,2)))</f>
        <v>0</v>
      </c>
      <c r="AJ8" s="26">
        <f>IF(B8="","",IF(AI8="","",IF(AC8="","",ROUND(AI8*(365/MAX(14,AC8)),2))))</f>
        <v>0</v>
      </c>
      <c r="AK8" s="26">
        <f>IF(B8="","",ROUND(SUMIFS(Sales!$AH$5:$AH$1204,Sales!$D$5:$D$1204,A8),2))</f>
        <v>0</v>
      </c>
      <c r="AL8" s="25">
        <f>IF(B8="","",IFERROR(INDEX(Loyalty!$P$5:$P$504,MATCH(A8,Loyalty!$B$5:$B$504,0))*1,0))</f>
        <v>0</v>
      </c>
      <c r="AM8" s="39">
        <f>IF(B8="","",IF(R8="Archived","Archived",IF(T8=0,"Not been yet",IF(Z8&gt;=InactiveDays,"Inactive",IF(Z8&gt;=LapsingDays,"Lapsing",IF(T8=1,"New",IF(AH8&gt;=VipSpend,"VIP",IF(U8&gt;=4,"Regular","Active"))))))))</f>
        <v>0</v>
      </c>
      <c r="AN8" s="38">
        <f>IF(B8="","",IF(T8&gt;=2,"Yes","No"))</f>
        <v>0</v>
      </c>
      <c r="AO8" s="25">
        <f>IF(B8="","",COUNTIFS($AE$5:$AE$504,"&gt;"&amp;AE8)+COUNTIFS($AE$5:AE8,AE8))</f>
        <v>0</v>
      </c>
      <c r="AP8" s="25">
        <f>IF(B8="","",COUNTIFS($T$5:$T$504,"&gt;"&amp;T8)+COUNTIFS($T$5:T8,T8))</f>
        <v>0</v>
      </c>
      <c r="AQ8" s="39">
        <f>IF(B8="","",IF(COUNTIF($B$5:$B$504,B8)&gt;1,"Duplicate - same name twice",IF(R8="Archived","",IF(AK8&gt;0.004,"Chase - balance outstanding",IF(AM8="Inactive","Gone - win-back offer",IF(AM8="Lapsing","Chase - lapsing, call them",IF(IF(N8="",FALSE,TodayDate-N8&gt;PatchTestDays),"Due - patch test out of date",IF(IF(AD8="",FALSE,IF(AB8&lt;&gt;"",FALSE,AD8&lt;=TodayDate+14)),"Rebook - due and nothing booked",IF(IF(K8="",FALSE,ABS(DATE(YEAR(TodayDate),MONTH(K8),DAY(K8))-TodayDate)&lt;=7),"Birthday - send the treat","OK")))))))))</f>
        <v>0</v>
      </c>
    </row>
    <row r="9" spans="1:43">
      <c r="A9" s="28">
        <f>IF(B9="","",ClientPrefix&amp;TEXT(ROW()-4,"0000"))</f>
        <v>0</v>
      </c>
      <c r="J9" s="15">
        <f>IF(I9="","",IFERROR(INDEX(Staff!$B$5:$B$44,MATCH(I9,Staff!$A$5:$A$44,0)),"Not in Staff"))</f>
        <v>0</v>
      </c>
      <c r="T9" s="25">
        <f>IF(B9="","",COUNTIFS(Appointments!$E$5:$E$1204,A9,Appointments!$M$5:$M$1204,"Completed"))</f>
        <v>0</v>
      </c>
      <c r="U9" s="25">
        <f>IF(B9="","",COUNTIFS(Appointments!$E$5:$E$1204,A9,Appointments!$M$5:$M$1204,"Completed",Appointments!$B$5:$B$1204,"&gt;="&amp;TodayDate-365))</f>
        <v>0</v>
      </c>
      <c r="V9" s="25">
        <f>IF(B9="","",COUNTIFS(Appointments!$E$5:$E$1204,A9,Appointments!$M$5:$M$1204,"Cancelled"))</f>
        <v>0</v>
      </c>
      <c r="W9" s="25">
        <f>IF(B9="","",COUNTIFS(Appointments!$E$5:$E$1204,A9,Appointments!$M$5:$M$1204,"No show"))</f>
        <v>0</v>
      </c>
      <c r="X9" s="17">
        <f>IF(B9="","",IF(F9&lt;&gt;"",F9,IF(T9=0,"",SUMPRODUCT(MIN((Appointments!$E$5:$E$1204=A9)*(Appointments!$M$5:$M$1204="Completed")*Appointments!$B$5:$B$1204+(1-(Appointments!$E$5:$E$1204=A9)*(Appointments!$M$5:$M$1204="Completed"))*2958465)))))</f>
        <v>0</v>
      </c>
      <c r="Y9" s="17">
        <f>IF(B9="","",IF(T9=0,"",SUMPRODUCT(MAX((Appointments!$E$5:$E$1204=A9)*(Appointments!$M$5:$M$1204="Completed")*Appointments!$B$5:$B$1204))))</f>
        <v>0</v>
      </c>
      <c r="Z9" s="25">
        <f>IF(B9="","",IF(Y9="","",TodayDate-Y9))</f>
        <v>0</v>
      </c>
      <c r="AA9" s="42">
        <f>IF(B9="","",SUMPRODUCT(MIN((Appointments!$E$5:$E$1204=A9)*(Appointments!$M$5:$M$1204&lt;&gt;"Cancelled")*(Appointments!$M$5:$M$1204&lt;&gt;"Completed")*(Appointments!$M$5:$M$1204&lt;&gt;"No show")*(Appointments!$B$5:$B$1204&gt;=TodayDate)*Appointments!$B$5:$B$1204+(1-(Appointments!$E$5:$E$1204=A9)*(Appointments!$M$5:$M$1204&lt;&gt;"Cancelled")*(Appointments!$M$5:$M$1204&lt;&gt;"Completed")*(Appointments!$M$5:$M$1204&lt;&gt;"No show")*(Appointments!$B$5:$B$1204&gt;=TodayDate))*2958465)))</f>
        <v>0</v>
      </c>
      <c r="AB9" s="17">
        <f>IF(B9="","",IF(AA9&gt;=2958465,"",AA9))</f>
        <v>0</v>
      </c>
      <c r="AC9" s="25">
        <f>IF(B9="","",IF(T9&lt;2,"",ROUND((Y9-X9)/MAX(1,T9-1),0)))</f>
        <v>0</v>
      </c>
      <c r="AD9" s="17">
        <f>IF(B9="","",IF(Y9="","",Y9+IF(AC9="",RebookWeeks*7,MAX(14,AC9))))</f>
        <v>0</v>
      </c>
      <c r="AE9" s="26">
        <f>IF(B9="","",ROUND(SUMIFS(Sales!$Y$5:$Y$1204,Sales!$D$5:$D$1204,A9),2))</f>
        <v>0</v>
      </c>
      <c r="AF9" s="26">
        <f>IF(B9="","",ROUND(SUMIFS(Sales!$Y$5:$Y$1204,Sales!$D$5:$D$1204,A9,Sales!$H$5:$H$1204,"Service"),2))</f>
        <v>0</v>
      </c>
      <c r="AG9" s="26">
        <f>IF(B9="","",ROUND(SUMIFS(Sales!$Y$5:$Y$1204,Sales!$D$5:$D$1204,A9,Sales!$H$5:$H$1204,"Retail"),2))</f>
        <v>0</v>
      </c>
      <c r="AH9" s="26">
        <f>IF(B9="","",ROUND(SUMIFS(Sales!$Y$5:$Y$1204,Sales!$D$5:$D$1204,A9,Sales!$B$5:$B$1204,"&gt;="&amp;TodayDate-365),2))</f>
        <v>0</v>
      </c>
      <c r="AI9" s="26">
        <f>IF(B9="","",IF(T9=0,"",ROUND(AE9/T9,2)))</f>
        <v>0</v>
      </c>
      <c r="AJ9" s="26">
        <f>IF(B9="","",IF(AI9="","",IF(AC9="","",ROUND(AI9*(365/MAX(14,AC9)),2))))</f>
        <v>0</v>
      </c>
      <c r="AK9" s="26">
        <f>IF(B9="","",ROUND(SUMIFS(Sales!$AH$5:$AH$1204,Sales!$D$5:$D$1204,A9),2))</f>
        <v>0</v>
      </c>
      <c r="AL9" s="25">
        <f>IF(B9="","",IFERROR(INDEX(Loyalty!$P$5:$P$504,MATCH(A9,Loyalty!$B$5:$B$504,0))*1,0))</f>
        <v>0</v>
      </c>
      <c r="AM9" s="39">
        <f>IF(B9="","",IF(R9="Archived","Archived",IF(T9=0,"Not been yet",IF(Z9&gt;=InactiveDays,"Inactive",IF(Z9&gt;=LapsingDays,"Lapsing",IF(T9=1,"New",IF(AH9&gt;=VipSpend,"VIP",IF(U9&gt;=4,"Regular","Active"))))))))</f>
        <v>0</v>
      </c>
      <c r="AN9" s="38">
        <f>IF(B9="","",IF(T9&gt;=2,"Yes","No"))</f>
        <v>0</v>
      </c>
      <c r="AO9" s="25">
        <f>IF(B9="","",COUNTIFS($AE$5:$AE$504,"&gt;"&amp;AE9)+COUNTIFS($AE$5:AE9,AE9))</f>
        <v>0</v>
      </c>
      <c r="AP9" s="25">
        <f>IF(B9="","",COUNTIFS($T$5:$T$504,"&gt;"&amp;T9)+COUNTIFS($T$5:T9,T9))</f>
        <v>0</v>
      </c>
      <c r="AQ9" s="39">
        <f>IF(B9="","",IF(COUNTIF($B$5:$B$504,B9)&gt;1,"Duplicate - same name twice",IF(R9="Archived","",IF(AK9&gt;0.004,"Chase - balance outstanding",IF(AM9="Inactive","Gone - win-back offer",IF(AM9="Lapsing","Chase - lapsing, call them",IF(IF(N9="",FALSE,TodayDate-N9&gt;PatchTestDays),"Due - patch test out of date",IF(IF(AD9="",FALSE,IF(AB9&lt;&gt;"",FALSE,AD9&lt;=TodayDate+14)),"Rebook - due and nothing booked",IF(IF(K9="",FALSE,ABS(DATE(YEAR(TodayDate),MONTH(K9),DAY(K9))-TodayDate)&lt;=7),"Birthday - send the treat","OK")))))))))</f>
        <v>0</v>
      </c>
    </row>
    <row r="10" spans="1:43">
      <c r="A10" s="28">
        <f>IF(B10="","",ClientPrefix&amp;TEXT(ROW()-4,"0000"))</f>
        <v>0</v>
      </c>
      <c r="J10" s="15">
        <f>IF(I10="","",IFERROR(INDEX(Staff!$B$5:$B$44,MATCH(I10,Staff!$A$5:$A$44,0)),"Not in Staff"))</f>
        <v>0</v>
      </c>
      <c r="T10" s="25">
        <f>IF(B10="","",COUNTIFS(Appointments!$E$5:$E$1204,A10,Appointments!$M$5:$M$1204,"Completed"))</f>
        <v>0</v>
      </c>
      <c r="U10" s="25">
        <f>IF(B10="","",COUNTIFS(Appointments!$E$5:$E$1204,A10,Appointments!$M$5:$M$1204,"Completed",Appointments!$B$5:$B$1204,"&gt;="&amp;TodayDate-365))</f>
        <v>0</v>
      </c>
      <c r="V10" s="25">
        <f>IF(B10="","",COUNTIFS(Appointments!$E$5:$E$1204,A10,Appointments!$M$5:$M$1204,"Cancelled"))</f>
        <v>0</v>
      </c>
      <c r="W10" s="25">
        <f>IF(B10="","",COUNTIFS(Appointments!$E$5:$E$1204,A10,Appointments!$M$5:$M$1204,"No show"))</f>
        <v>0</v>
      </c>
      <c r="X10" s="17">
        <f>IF(B10="","",IF(F10&lt;&gt;"",F10,IF(T10=0,"",SUMPRODUCT(MIN((Appointments!$E$5:$E$1204=A10)*(Appointments!$M$5:$M$1204="Completed")*Appointments!$B$5:$B$1204+(1-(Appointments!$E$5:$E$1204=A10)*(Appointments!$M$5:$M$1204="Completed"))*2958465)))))</f>
        <v>0</v>
      </c>
      <c r="Y10" s="17">
        <f>IF(B10="","",IF(T10=0,"",SUMPRODUCT(MAX((Appointments!$E$5:$E$1204=A10)*(Appointments!$M$5:$M$1204="Completed")*Appointments!$B$5:$B$1204))))</f>
        <v>0</v>
      </c>
      <c r="Z10" s="25">
        <f>IF(B10="","",IF(Y10="","",TodayDate-Y10))</f>
        <v>0</v>
      </c>
      <c r="AA10" s="42">
        <f>IF(B10="","",SUMPRODUCT(MIN((Appointments!$E$5:$E$1204=A10)*(Appointments!$M$5:$M$1204&lt;&gt;"Cancelled")*(Appointments!$M$5:$M$1204&lt;&gt;"Completed")*(Appointments!$M$5:$M$1204&lt;&gt;"No show")*(Appointments!$B$5:$B$1204&gt;=TodayDate)*Appointments!$B$5:$B$1204+(1-(Appointments!$E$5:$E$1204=A10)*(Appointments!$M$5:$M$1204&lt;&gt;"Cancelled")*(Appointments!$M$5:$M$1204&lt;&gt;"Completed")*(Appointments!$M$5:$M$1204&lt;&gt;"No show")*(Appointments!$B$5:$B$1204&gt;=TodayDate))*2958465)))</f>
        <v>0</v>
      </c>
      <c r="AB10" s="17">
        <f>IF(B10="","",IF(AA10&gt;=2958465,"",AA10))</f>
        <v>0</v>
      </c>
      <c r="AC10" s="25">
        <f>IF(B10="","",IF(T10&lt;2,"",ROUND((Y10-X10)/MAX(1,T10-1),0)))</f>
        <v>0</v>
      </c>
      <c r="AD10" s="17">
        <f>IF(B10="","",IF(Y10="","",Y10+IF(AC10="",RebookWeeks*7,MAX(14,AC10))))</f>
        <v>0</v>
      </c>
      <c r="AE10" s="26">
        <f>IF(B10="","",ROUND(SUMIFS(Sales!$Y$5:$Y$1204,Sales!$D$5:$D$1204,A10),2))</f>
        <v>0</v>
      </c>
      <c r="AF10" s="26">
        <f>IF(B10="","",ROUND(SUMIFS(Sales!$Y$5:$Y$1204,Sales!$D$5:$D$1204,A10,Sales!$H$5:$H$1204,"Service"),2))</f>
        <v>0</v>
      </c>
      <c r="AG10" s="26">
        <f>IF(B10="","",ROUND(SUMIFS(Sales!$Y$5:$Y$1204,Sales!$D$5:$D$1204,A10,Sales!$H$5:$H$1204,"Retail"),2))</f>
        <v>0</v>
      </c>
      <c r="AH10" s="26">
        <f>IF(B10="","",ROUND(SUMIFS(Sales!$Y$5:$Y$1204,Sales!$D$5:$D$1204,A10,Sales!$B$5:$B$1204,"&gt;="&amp;TodayDate-365),2))</f>
        <v>0</v>
      </c>
      <c r="AI10" s="26">
        <f>IF(B10="","",IF(T10=0,"",ROUND(AE10/T10,2)))</f>
        <v>0</v>
      </c>
      <c r="AJ10" s="26">
        <f>IF(B10="","",IF(AI10="","",IF(AC10="","",ROUND(AI10*(365/MAX(14,AC10)),2))))</f>
        <v>0</v>
      </c>
      <c r="AK10" s="26">
        <f>IF(B10="","",ROUND(SUMIFS(Sales!$AH$5:$AH$1204,Sales!$D$5:$D$1204,A10),2))</f>
        <v>0</v>
      </c>
      <c r="AL10" s="25">
        <f>IF(B10="","",IFERROR(INDEX(Loyalty!$P$5:$P$504,MATCH(A10,Loyalty!$B$5:$B$504,0))*1,0))</f>
        <v>0</v>
      </c>
      <c r="AM10" s="39">
        <f>IF(B10="","",IF(R10="Archived","Archived",IF(T10=0,"Not been yet",IF(Z10&gt;=InactiveDays,"Inactive",IF(Z10&gt;=LapsingDays,"Lapsing",IF(T10=1,"New",IF(AH10&gt;=VipSpend,"VIP",IF(U10&gt;=4,"Regular","Active"))))))))</f>
        <v>0</v>
      </c>
      <c r="AN10" s="38">
        <f>IF(B10="","",IF(T10&gt;=2,"Yes","No"))</f>
        <v>0</v>
      </c>
      <c r="AO10" s="25">
        <f>IF(B10="","",COUNTIFS($AE$5:$AE$504,"&gt;"&amp;AE10)+COUNTIFS($AE$5:AE10,AE10))</f>
        <v>0</v>
      </c>
      <c r="AP10" s="25">
        <f>IF(B10="","",COUNTIFS($T$5:$T$504,"&gt;"&amp;T10)+COUNTIFS($T$5:T10,T10))</f>
        <v>0</v>
      </c>
      <c r="AQ10" s="39">
        <f>IF(B10="","",IF(COUNTIF($B$5:$B$504,B10)&gt;1,"Duplicate - same name twice",IF(R10="Archived","",IF(AK10&gt;0.004,"Chase - balance outstanding",IF(AM10="Inactive","Gone - win-back offer",IF(AM10="Lapsing","Chase - lapsing, call them",IF(IF(N10="",FALSE,TodayDate-N10&gt;PatchTestDays),"Due - patch test out of date",IF(IF(AD10="",FALSE,IF(AB10&lt;&gt;"",FALSE,AD10&lt;=TodayDate+14)),"Rebook - due and nothing booked",IF(IF(K10="",FALSE,ABS(DATE(YEAR(TodayDate),MONTH(K10),DAY(K10))-TodayDate)&lt;=7),"Birthday - send the treat","OK")))))))))</f>
        <v>0</v>
      </c>
    </row>
    <row r="11" spans="1:43">
      <c r="A11" s="28">
        <f>IF(B11="","",ClientPrefix&amp;TEXT(ROW()-4,"0000"))</f>
        <v>0</v>
      </c>
      <c r="J11" s="15">
        <f>IF(I11="","",IFERROR(INDEX(Staff!$B$5:$B$44,MATCH(I11,Staff!$A$5:$A$44,0)),"Not in Staff"))</f>
        <v>0</v>
      </c>
      <c r="T11" s="25">
        <f>IF(B11="","",COUNTIFS(Appointments!$E$5:$E$1204,A11,Appointments!$M$5:$M$1204,"Completed"))</f>
        <v>0</v>
      </c>
      <c r="U11" s="25">
        <f>IF(B11="","",COUNTIFS(Appointments!$E$5:$E$1204,A11,Appointments!$M$5:$M$1204,"Completed",Appointments!$B$5:$B$1204,"&gt;="&amp;TodayDate-365))</f>
        <v>0</v>
      </c>
      <c r="V11" s="25">
        <f>IF(B11="","",COUNTIFS(Appointments!$E$5:$E$1204,A11,Appointments!$M$5:$M$1204,"Cancelled"))</f>
        <v>0</v>
      </c>
      <c r="W11" s="25">
        <f>IF(B11="","",COUNTIFS(Appointments!$E$5:$E$1204,A11,Appointments!$M$5:$M$1204,"No show"))</f>
        <v>0</v>
      </c>
      <c r="X11" s="17">
        <f>IF(B11="","",IF(F11&lt;&gt;"",F11,IF(T11=0,"",SUMPRODUCT(MIN((Appointments!$E$5:$E$1204=A11)*(Appointments!$M$5:$M$1204="Completed")*Appointments!$B$5:$B$1204+(1-(Appointments!$E$5:$E$1204=A11)*(Appointments!$M$5:$M$1204="Completed"))*2958465)))))</f>
        <v>0</v>
      </c>
      <c r="Y11" s="17">
        <f>IF(B11="","",IF(T11=0,"",SUMPRODUCT(MAX((Appointments!$E$5:$E$1204=A11)*(Appointments!$M$5:$M$1204="Completed")*Appointments!$B$5:$B$1204))))</f>
        <v>0</v>
      </c>
      <c r="Z11" s="25">
        <f>IF(B11="","",IF(Y11="","",TodayDate-Y11))</f>
        <v>0</v>
      </c>
      <c r="AA11" s="42">
        <f>IF(B11="","",SUMPRODUCT(MIN((Appointments!$E$5:$E$1204=A11)*(Appointments!$M$5:$M$1204&lt;&gt;"Cancelled")*(Appointments!$M$5:$M$1204&lt;&gt;"Completed")*(Appointments!$M$5:$M$1204&lt;&gt;"No show")*(Appointments!$B$5:$B$1204&gt;=TodayDate)*Appointments!$B$5:$B$1204+(1-(Appointments!$E$5:$E$1204=A11)*(Appointments!$M$5:$M$1204&lt;&gt;"Cancelled")*(Appointments!$M$5:$M$1204&lt;&gt;"Completed")*(Appointments!$M$5:$M$1204&lt;&gt;"No show")*(Appointments!$B$5:$B$1204&gt;=TodayDate))*2958465)))</f>
        <v>0</v>
      </c>
      <c r="AB11" s="17">
        <f>IF(B11="","",IF(AA11&gt;=2958465,"",AA11))</f>
        <v>0</v>
      </c>
      <c r="AC11" s="25">
        <f>IF(B11="","",IF(T11&lt;2,"",ROUND((Y11-X11)/MAX(1,T11-1),0)))</f>
        <v>0</v>
      </c>
      <c r="AD11" s="17">
        <f>IF(B11="","",IF(Y11="","",Y11+IF(AC11="",RebookWeeks*7,MAX(14,AC11))))</f>
        <v>0</v>
      </c>
      <c r="AE11" s="26">
        <f>IF(B11="","",ROUND(SUMIFS(Sales!$Y$5:$Y$1204,Sales!$D$5:$D$1204,A11),2))</f>
        <v>0</v>
      </c>
      <c r="AF11" s="26">
        <f>IF(B11="","",ROUND(SUMIFS(Sales!$Y$5:$Y$1204,Sales!$D$5:$D$1204,A11,Sales!$H$5:$H$1204,"Service"),2))</f>
        <v>0</v>
      </c>
      <c r="AG11" s="26">
        <f>IF(B11="","",ROUND(SUMIFS(Sales!$Y$5:$Y$1204,Sales!$D$5:$D$1204,A11,Sales!$H$5:$H$1204,"Retail"),2))</f>
        <v>0</v>
      </c>
      <c r="AH11" s="26">
        <f>IF(B11="","",ROUND(SUMIFS(Sales!$Y$5:$Y$1204,Sales!$D$5:$D$1204,A11,Sales!$B$5:$B$1204,"&gt;="&amp;TodayDate-365),2))</f>
        <v>0</v>
      </c>
      <c r="AI11" s="26">
        <f>IF(B11="","",IF(T11=0,"",ROUND(AE11/T11,2)))</f>
        <v>0</v>
      </c>
      <c r="AJ11" s="26">
        <f>IF(B11="","",IF(AI11="","",IF(AC11="","",ROUND(AI11*(365/MAX(14,AC11)),2))))</f>
        <v>0</v>
      </c>
      <c r="AK11" s="26">
        <f>IF(B11="","",ROUND(SUMIFS(Sales!$AH$5:$AH$1204,Sales!$D$5:$D$1204,A11),2))</f>
        <v>0</v>
      </c>
      <c r="AL11" s="25">
        <f>IF(B11="","",IFERROR(INDEX(Loyalty!$P$5:$P$504,MATCH(A11,Loyalty!$B$5:$B$504,0))*1,0))</f>
        <v>0</v>
      </c>
      <c r="AM11" s="39">
        <f>IF(B11="","",IF(R11="Archived","Archived",IF(T11=0,"Not been yet",IF(Z11&gt;=InactiveDays,"Inactive",IF(Z11&gt;=LapsingDays,"Lapsing",IF(T11=1,"New",IF(AH11&gt;=VipSpend,"VIP",IF(U11&gt;=4,"Regular","Active"))))))))</f>
        <v>0</v>
      </c>
      <c r="AN11" s="38">
        <f>IF(B11="","",IF(T11&gt;=2,"Yes","No"))</f>
        <v>0</v>
      </c>
      <c r="AO11" s="25">
        <f>IF(B11="","",COUNTIFS($AE$5:$AE$504,"&gt;"&amp;AE11)+COUNTIFS($AE$5:AE11,AE11))</f>
        <v>0</v>
      </c>
      <c r="AP11" s="25">
        <f>IF(B11="","",COUNTIFS($T$5:$T$504,"&gt;"&amp;T11)+COUNTIFS($T$5:T11,T11))</f>
        <v>0</v>
      </c>
      <c r="AQ11" s="39">
        <f>IF(B11="","",IF(COUNTIF($B$5:$B$504,B11)&gt;1,"Duplicate - same name twice",IF(R11="Archived","",IF(AK11&gt;0.004,"Chase - balance outstanding",IF(AM11="Inactive","Gone - win-back offer",IF(AM11="Lapsing","Chase - lapsing, call them",IF(IF(N11="",FALSE,TodayDate-N11&gt;PatchTestDays),"Due - patch test out of date",IF(IF(AD11="",FALSE,IF(AB11&lt;&gt;"",FALSE,AD11&lt;=TodayDate+14)),"Rebook - due and nothing booked",IF(IF(K11="",FALSE,ABS(DATE(YEAR(TodayDate),MONTH(K11),DAY(K11))-TodayDate)&lt;=7),"Birthday - send the treat","OK")))))))))</f>
        <v>0</v>
      </c>
    </row>
    <row r="12" spans="1:43">
      <c r="A12" s="28">
        <f>IF(B12="","",ClientPrefix&amp;TEXT(ROW()-4,"0000"))</f>
        <v>0</v>
      </c>
      <c r="J12" s="15">
        <f>IF(I12="","",IFERROR(INDEX(Staff!$B$5:$B$44,MATCH(I12,Staff!$A$5:$A$44,0)),"Not in Staff"))</f>
        <v>0</v>
      </c>
      <c r="T12" s="25">
        <f>IF(B12="","",COUNTIFS(Appointments!$E$5:$E$1204,A12,Appointments!$M$5:$M$1204,"Completed"))</f>
        <v>0</v>
      </c>
      <c r="U12" s="25">
        <f>IF(B12="","",COUNTIFS(Appointments!$E$5:$E$1204,A12,Appointments!$M$5:$M$1204,"Completed",Appointments!$B$5:$B$1204,"&gt;="&amp;TodayDate-365))</f>
        <v>0</v>
      </c>
      <c r="V12" s="25">
        <f>IF(B12="","",COUNTIFS(Appointments!$E$5:$E$1204,A12,Appointments!$M$5:$M$1204,"Cancelled"))</f>
        <v>0</v>
      </c>
      <c r="W12" s="25">
        <f>IF(B12="","",COUNTIFS(Appointments!$E$5:$E$1204,A12,Appointments!$M$5:$M$1204,"No show"))</f>
        <v>0</v>
      </c>
      <c r="X12" s="17">
        <f>IF(B12="","",IF(F12&lt;&gt;"",F12,IF(T12=0,"",SUMPRODUCT(MIN((Appointments!$E$5:$E$1204=A12)*(Appointments!$M$5:$M$1204="Completed")*Appointments!$B$5:$B$1204+(1-(Appointments!$E$5:$E$1204=A12)*(Appointments!$M$5:$M$1204="Completed"))*2958465)))))</f>
        <v>0</v>
      </c>
      <c r="Y12" s="17">
        <f>IF(B12="","",IF(T12=0,"",SUMPRODUCT(MAX((Appointments!$E$5:$E$1204=A12)*(Appointments!$M$5:$M$1204="Completed")*Appointments!$B$5:$B$1204))))</f>
        <v>0</v>
      </c>
      <c r="Z12" s="25">
        <f>IF(B12="","",IF(Y12="","",TodayDate-Y12))</f>
        <v>0</v>
      </c>
      <c r="AA12" s="42">
        <f>IF(B12="","",SUMPRODUCT(MIN((Appointments!$E$5:$E$1204=A12)*(Appointments!$M$5:$M$1204&lt;&gt;"Cancelled")*(Appointments!$M$5:$M$1204&lt;&gt;"Completed")*(Appointments!$M$5:$M$1204&lt;&gt;"No show")*(Appointments!$B$5:$B$1204&gt;=TodayDate)*Appointments!$B$5:$B$1204+(1-(Appointments!$E$5:$E$1204=A12)*(Appointments!$M$5:$M$1204&lt;&gt;"Cancelled")*(Appointments!$M$5:$M$1204&lt;&gt;"Completed")*(Appointments!$M$5:$M$1204&lt;&gt;"No show")*(Appointments!$B$5:$B$1204&gt;=TodayDate))*2958465)))</f>
        <v>0</v>
      </c>
      <c r="AB12" s="17">
        <f>IF(B12="","",IF(AA12&gt;=2958465,"",AA12))</f>
        <v>0</v>
      </c>
      <c r="AC12" s="25">
        <f>IF(B12="","",IF(T12&lt;2,"",ROUND((Y12-X12)/MAX(1,T12-1),0)))</f>
        <v>0</v>
      </c>
      <c r="AD12" s="17">
        <f>IF(B12="","",IF(Y12="","",Y12+IF(AC12="",RebookWeeks*7,MAX(14,AC12))))</f>
        <v>0</v>
      </c>
      <c r="AE12" s="26">
        <f>IF(B12="","",ROUND(SUMIFS(Sales!$Y$5:$Y$1204,Sales!$D$5:$D$1204,A12),2))</f>
        <v>0</v>
      </c>
      <c r="AF12" s="26">
        <f>IF(B12="","",ROUND(SUMIFS(Sales!$Y$5:$Y$1204,Sales!$D$5:$D$1204,A12,Sales!$H$5:$H$1204,"Service"),2))</f>
        <v>0</v>
      </c>
      <c r="AG12" s="26">
        <f>IF(B12="","",ROUND(SUMIFS(Sales!$Y$5:$Y$1204,Sales!$D$5:$D$1204,A12,Sales!$H$5:$H$1204,"Retail"),2))</f>
        <v>0</v>
      </c>
      <c r="AH12" s="26">
        <f>IF(B12="","",ROUND(SUMIFS(Sales!$Y$5:$Y$1204,Sales!$D$5:$D$1204,A12,Sales!$B$5:$B$1204,"&gt;="&amp;TodayDate-365),2))</f>
        <v>0</v>
      </c>
      <c r="AI12" s="26">
        <f>IF(B12="","",IF(T12=0,"",ROUND(AE12/T12,2)))</f>
        <v>0</v>
      </c>
      <c r="AJ12" s="26">
        <f>IF(B12="","",IF(AI12="","",IF(AC12="","",ROUND(AI12*(365/MAX(14,AC12)),2))))</f>
        <v>0</v>
      </c>
      <c r="AK12" s="26">
        <f>IF(B12="","",ROUND(SUMIFS(Sales!$AH$5:$AH$1204,Sales!$D$5:$D$1204,A12),2))</f>
        <v>0</v>
      </c>
      <c r="AL12" s="25">
        <f>IF(B12="","",IFERROR(INDEX(Loyalty!$P$5:$P$504,MATCH(A12,Loyalty!$B$5:$B$504,0))*1,0))</f>
        <v>0</v>
      </c>
      <c r="AM12" s="39">
        <f>IF(B12="","",IF(R12="Archived","Archived",IF(T12=0,"Not been yet",IF(Z12&gt;=InactiveDays,"Inactive",IF(Z12&gt;=LapsingDays,"Lapsing",IF(T12=1,"New",IF(AH12&gt;=VipSpend,"VIP",IF(U12&gt;=4,"Regular","Active"))))))))</f>
        <v>0</v>
      </c>
      <c r="AN12" s="38">
        <f>IF(B12="","",IF(T12&gt;=2,"Yes","No"))</f>
        <v>0</v>
      </c>
      <c r="AO12" s="25">
        <f>IF(B12="","",COUNTIFS($AE$5:$AE$504,"&gt;"&amp;AE12)+COUNTIFS($AE$5:AE12,AE12))</f>
        <v>0</v>
      </c>
      <c r="AP12" s="25">
        <f>IF(B12="","",COUNTIFS($T$5:$T$504,"&gt;"&amp;T12)+COUNTIFS($T$5:T12,T12))</f>
        <v>0</v>
      </c>
      <c r="AQ12" s="39">
        <f>IF(B12="","",IF(COUNTIF($B$5:$B$504,B12)&gt;1,"Duplicate - same name twice",IF(R12="Archived","",IF(AK12&gt;0.004,"Chase - balance outstanding",IF(AM12="Inactive","Gone - win-back offer",IF(AM12="Lapsing","Chase - lapsing, call them",IF(IF(N12="",FALSE,TodayDate-N12&gt;PatchTestDays),"Due - patch test out of date",IF(IF(AD12="",FALSE,IF(AB12&lt;&gt;"",FALSE,AD12&lt;=TodayDate+14)),"Rebook - due and nothing booked",IF(IF(K12="",FALSE,ABS(DATE(YEAR(TodayDate),MONTH(K12),DAY(K12))-TodayDate)&lt;=7),"Birthday - send the treat","OK")))))))))</f>
        <v>0</v>
      </c>
    </row>
    <row r="13" spans="1:43">
      <c r="A13" s="28">
        <f>IF(B13="","",ClientPrefix&amp;TEXT(ROW()-4,"0000"))</f>
        <v>0</v>
      </c>
      <c r="J13" s="15">
        <f>IF(I13="","",IFERROR(INDEX(Staff!$B$5:$B$44,MATCH(I13,Staff!$A$5:$A$44,0)),"Not in Staff"))</f>
        <v>0</v>
      </c>
      <c r="T13" s="25">
        <f>IF(B13="","",COUNTIFS(Appointments!$E$5:$E$1204,A13,Appointments!$M$5:$M$1204,"Completed"))</f>
        <v>0</v>
      </c>
      <c r="U13" s="25">
        <f>IF(B13="","",COUNTIFS(Appointments!$E$5:$E$1204,A13,Appointments!$M$5:$M$1204,"Completed",Appointments!$B$5:$B$1204,"&gt;="&amp;TodayDate-365))</f>
        <v>0</v>
      </c>
      <c r="V13" s="25">
        <f>IF(B13="","",COUNTIFS(Appointments!$E$5:$E$1204,A13,Appointments!$M$5:$M$1204,"Cancelled"))</f>
        <v>0</v>
      </c>
      <c r="W13" s="25">
        <f>IF(B13="","",COUNTIFS(Appointments!$E$5:$E$1204,A13,Appointments!$M$5:$M$1204,"No show"))</f>
        <v>0</v>
      </c>
      <c r="X13" s="17">
        <f>IF(B13="","",IF(F13&lt;&gt;"",F13,IF(T13=0,"",SUMPRODUCT(MIN((Appointments!$E$5:$E$1204=A13)*(Appointments!$M$5:$M$1204="Completed")*Appointments!$B$5:$B$1204+(1-(Appointments!$E$5:$E$1204=A13)*(Appointments!$M$5:$M$1204="Completed"))*2958465)))))</f>
        <v>0</v>
      </c>
      <c r="Y13" s="17">
        <f>IF(B13="","",IF(T13=0,"",SUMPRODUCT(MAX((Appointments!$E$5:$E$1204=A13)*(Appointments!$M$5:$M$1204="Completed")*Appointments!$B$5:$B$1204))))</f>
        <v>0</v>
      </c>
      <c r="Z13" s="25">
        <f>IF(B13="","",IF(Y13="","",TodayDate-Y13))</f>
        <v>0</v>
      </c>
      <c r="AA13" s="42">
        <f>IF(B13="","",SUMPRODUCT(MIN((Appointments!$E$5:$E$1204=A13)*(Appointments!$M$5:$M$1204&lt;&gt;"Cancelled")*(Appointments!$M$5:$M$1204&lt;&gt;"Completed")*(Appointments!$M$5:$M$1204&lt;&gt;"No show")*(Appointments!$B$5:$B$1204&gt;=TodayDate)*Appointments!$B$5:$B$1204+(1-(Appointments!$E$5:$E$1204=A13)*(Appointments!$M$5:$M$1204&lt;&gt;"Cancelled")*(Appointments!$M$5:$M$1204&lt;&gt;"Completed")*(Appointments!$M$5:$M$1204&lt;&gt;"No show")*(Appointments!$B$5:$B$1204&gt;=TodayDate))*2958465)))</f>
        <v>0</v>
      </c>
      <c r="AB13" s="17">
        <f>IF(B13="","",IF(AA13&gt;=2958465,"",AA13))</f>
        <v>0</v>
      </c>
      <c r="AC13" s="25">
        <f>IF(B13="","",IF(T13&lt;2,"",ROUND((Y13-X13)/MAX(1,T13-1),0)))</f>
        <v>0</v>
      </c>
      <c r="AD13" s="17">
        <f>IF(B13="","",IF(Y13="","",Y13+IF(AC13="",RebookWeeks*7,MAX(14,AC13))))</f>
        <v>0</v>
      </c>
      <c r="AE13" s="26">
        <f>IF(B13="","",ROUND(SUMIFS(Sales!$Y$5:$Y$1204,Sales!$D$5:$D$1204,A13),2))</f>
        <v>0</v>
      </c>
      <c r="AF13" s="26">
        <f>IF(B13="","",ROUND(SUMIFS(Sales!$Y$5:$Y$1204,Sales!$D$5:$D$1204,A13,Sales!$H$5:$H$1204,"Service"),2))</f>
        <v>0</v>
      </c>
      <c r="AG13" s="26">
        <f>IF(B13="","",ROUND(SUMIFS(Sales!$Y$5:$Y$1204,Sales!$D$5:$D$1204,A13,Sales!$H$5:$H$1204,"Retail"),2))</f>
        <v>0</v>
      </c>
      <c r="AH13" s="26">
        <f>IF(B13="","",ROUND(SUMIFS(Sales!$Y$5:$Y$1204,Sales!$D$5:$D$1204,A13,Sales!$B$5:$B$1204,"&gt;="&amp;TodayDate-365),2))</f>
        <v>0</v>
      </c>
      <c r="AI13" s="26">
        <f>IF(B13="","",IF(T13=0,"",ROUND(AE13/T13,2)))</f>
        <v>0</v>
      </c>
      <c r="AJ13" s="26">
        <f>IF(B13="","",IF(AI13="","",IF(AC13="","",ROUND(AI13*(365/MAX(14,AC13)),2))))</f>
        <v>0</v>
      </c>
      <c r="AK13" s="26">
        <f>IF(B13="","",ROUND(SUMIFS(Sales!$AH$5:$AH$1204,Sales!$D$5:$D$1204,A13),2))</f>
        <v>0</v>
      </c>
      <c r="AL13" s="25">
        <f>IF(B13="","",IFERROR(INDEX(Loyalty!$P$5:$P$504,MATCH(A13,Loyalty!$B$5:$B$504,0))*1,0))</f>
        <v>0</v>
      </c>
      <c r="AM13" s="39">
        <f>IF(B13="","",IF(R13="Archived","Archived",IF(T13=0,"Not been yet",IF(Z13&gt;=InactiveDays,"Inactive",IF(Z13&gt;=LapsingDays,"Lapsing",IF(T13=1,"New",IF(AH13&gt;=VipSpend,"VIP",IF(U13&gt;=4,"Regular","Active"))))))))</f>
        <v>0</v>
      </c>
      <c r="AN13" s="38">
        <f>IF(B13="","",IF(T13&gt;=2,"Yes","No"))</f>
        <v>0</v>
      </c>
      <c r="AO13" s="25">
        <f>IF(B13="","",COUNTIFS($AE$5:$AE$504,"&gt;"&amp;AE13)+COUNTIFS($AE$5:AE13,AE13))</f>
        <v>0</v>
      </c>
      <c r="AP13" s="25">
        <f>IF(B13="","",COUNTIFS($T$5:$T$504,"&gt;"&amp;T13)+COUNTIFS($T$5:T13,T13))</f>
        <v>0</v>
      </c>
      <c r="AQ13" s="39">
        <f>IF(B13="","",IF(COUNTIF($B$5:$B$504,B13)&gt;1,"Duplicate - same name twice",IF(R13="Archived","",IF(AK13&gt;0.004,"Chase - balance outstanding",IF(AM13="Inactive","Gone - win-back offer",IF(AM13="Lapsing","Chase - lapsing, call them",IF(IF(N13="",FALSE,TodayDate-N13&gt;PatchTestDays),"Due - patch test out of date",IF(IF(AD13="",FALSE,IF(AB13&lt;&gt;"",FALSE,AD13&lt;=TodayDate+14)),"Rebook - due and nothing booked",IF(IF(K13="",FALSE,ABS(DATE(YEAR(TodayDate),MONTH(K13),DAY(K13))-TodayDate)&lt;=7),"Birthday - send the treat","OK")))))))))</f>
        <v>0</v>
      </c>
    </row>
    <row r="14" spans="1:43">
      <c r="A14" s="28">
        <f>IF(B14="","",ClientPrefix&amp;TEXT(ROW()-4,"0000"))</f>
        <v>0</v>
      </c>
      <c r="J14" s="15">
        <f>IF(I14="","",IFERROR(INDEX(Staff!$B$5:$B$44,MATCH(I14,Staff!$A$5:$A$44,0)),"Not in Staff"))</f>
        <v>0</v>
      </c>
      <c r="T14" s="25">
        <f>IF(B14="","",COUNTIFS(Appointments!$E$5:$E$1204,A14,Appointments!$M$5:$M$1204,"Completed"))</f>
        <v>0</v>
      </c>
      <c r="U14" s="25">
        <f>IF(B14="","",COUNTIFS(Appointments!$E$5:$E$1204,A14,Appointments!$M$5:$M$1204,"Completed",Appointments!$B$5:$B$1204,"&gt;="&amp;TodayDate-365))</f>
        <v>0</v>
      </c>
      <c r="V14" s="25">
        <f>IF(B14="","",COUNTIFS(Appointments!$E$5:$E$1204,A14,Appointments!$M$5:$M$1204,"Cancelled"))</f>
        <v>0</v>
      </c>
      <c r="W14" s="25">
        <f>IF(B14="","",COUNTIFS(Appointments!$E$5:$E$1204,A14,Appointments!$M$5:$M$1204,"No show"))</f>
        <v>0</v>
      </c>
      <c r="X14" s="17">
        <f>IF(B14="","",IF(F14&lt;&gt;"",F14,IF(T14=0,"",SUMPRODUCT(MIN((Appointments!$E$5:$E$1204=A14)*(Appointments!$M$5:$M$1204="Completed")*Appointments!$B$5:$B$1204+(1-(Appointments!$E$5:$E$1204=A14)*(Appointments!$M$5:$M$1204="Completed"))*2958465)))))</f>
        <v>0</v>
      </c>
      <c r="Y14" s="17">
        <f>IF(B14="","",IF(T14=0,"",SUMPRODUCT(MAX((Appointments!$E$5:$E$1204=A14)*(Appointments!$M$5:$M$1204="Completed")*Appointments!$B$5:$B$1204))))</f>
        <v>0</v>
      </c>
      <c r="Z14" s="25">
        <f>IF(B14="","",IF(Y14="","",TodayDate-Y14))</f>
        <v>0</v>
      </c>
      <c r="AA14" s="42">
        <f>IF(B14="","",SUMPRODUCT(MIN((Appointments!$E$5:$E$1204=A14)*(Appointments!$M$5:$M$1204&lt;&gt;"Cancelled")*(Appointments!$M$5:$M$1204&lt;&gt;"Completed")*(Appointments!$M$5:$M$1204&lt;&gt;"No show")*(Appointments!$B$5:$B$1204&gt;=TodayDate)*Appointments!$B$5:$B$1204+(1-(Appointments!$E$5:$E$1204=A14)*(Appointments!$M$5:$M$1204&lt;&gt;"Cancelled")*(Appointments!$M$5:$M$1204&lt;&gt;"Completed")*(Appointments!$M$5:$M$1204&lt;&gt;"No show")*(Appointments!$B$5:$B$1204&gt;=TodayDate))*2958465)))</f>
        <v>0</v>
      </c>
      <c r="AB14" s="17">
        <f>IF(B14="","",IF(AA14&gt;=2958465,"",AA14))</f>
        <v>0</v>
      </c>
      <c r="AC14" s="25">
        <f>IF(B14="","",IF(T14&lt;2,"",ROUND((Y14-X14)/MAX(1,T14-1),0)))</f>
        <v>0</v>
      </c>
      <c r="AD14" s="17">
        <f>IF(B14="","",IF(Y14="","",Y14+IF(AC14="",RebookWeeks*7,MAX(14,AC14))))</f>
        <v>0</v>
      </c>
      <c r="AE14" s="26">
        <f>IF(B14="","",ROUND(SUMIFS(Sales!$Y$5:$Y$1204,Sales!$D$5:$D$1204,A14),2))</f>
        <v>0</v>
      </c>
      <c r="AF14" s="26">
        <f>IF(B14="","",ROUND(SUMIFS(Sales!$Y$5:$Y$1204,Sales!$D$5:$D$1204,A14,Sales!$H$5:$H$1204,"Service"),2))</f>
        <v>0</v>
      </c>
      <c r="AG14" s="26">
        <f>IF(B14="","",ROUND(SUMIFS(Sales!$Y$5:$Y$1204,Sales!$D$5:$D$1204,A14,Sales!$H$5:$H$1204,"Retail"),2))</f>
        <v>0</v>
      </c>
      <c r="AH14" s="26">
        <f>IF(B14="","",ROUND(SUMIFS(Sales!$Y$5:$Y$1204,Sales!$D$5:$D$1204,A14,Sales!$B$5:$B$1204,"&gt;="&amp;TodayDate-365),2))</f>
        <v>0</v>
      </c>
      <c r="AI14" s="26">
        <f>IF(B14="","",IF(T14=0,"",ROUND(AE14/T14,2)))</f>
        <v>0</v>
      </c>
      <c r="AJ14" s="26">
        <f>IF(B14="","",IF(AI14="","",IF(AC14="","",ROUND(AI14*(365/MAX(14,AC14)),2))))</f>
        <v>0</v>
      </c>
      <c r="AK14" s="26">
        <f>IF(B14="","",ROUND(SUMIFS(Sales!$AH$5:$AH$1204,Sales!$D$5:$D$1204,A14),2))</f>
        <v>0</v>
      </c>
      <c r="AL14" s="25">
        <f>IF(B14="","",IFERROR(INDEX(Loyalty!$P$5:$P$504,MATCH(A14,Loyalty!$B$5:$B$504,0))*1,0))</f>
        <v>0</v>
      </c>
      <c r="AM14" s="39">
        <f>IF(B14="","",IF(R14="Archived","Archived",IF(T14=0,"Not been yet",IF(Z14&gt;=InactiveDays,"Inactive",IF(Z14&gt;=LapsingDays,"Lapsing",IF(T14=1,"New",IF(AH14&gt;=VipSpend,"VIP",IF(U14&gt;=4,"Regular","Active"))))))))</f>
        <v>0</v>
      </c>
      <c r="AN14" s="38">
        <f>IF(B14="","",IF(T14&gt;=2,"Yes","No"))</f>
        <v>0</v>
      </c>
      <c r="AO14" s="25">
        <f>IF(B14="","",COUNTIFS($AE$5:$AE$504,"&gt;"&amp;AE14)+COUNTIFS($AE$5:AE14,AE14))</f>
        <v>0</v>
      </c>
      <c r="AP14" s="25">
        <f>IF(B14="","",COUNTIFS($T$5:$T$504,"&gt;"&amp;T14)+COUNTIFS($T$5:T14,T14))</f>
        <v>0</v>
      </c>
      <c r="AQ14" s="39">
        <f>IF(B14="","",IF(COUNTIF($B$5:$B$504,B14)&gt;1,"Duplicate - same name twice",IF(R14="Archived","",IF(AK14&gt;0.004,"Chase - balance outstanding",IF(AM14="Inactive","Gone - win-back offer",IF(AM14="Lapsing","Chase - lapsing, call them",IF(IF(N14="",FALSE,TodayDate-N14&gt;PatchTestDays),"Due - patch test out of date",IF(IF(AD14="",FALSE,IF(AB14&lt;&gt;"",FALSE,AD14&lt;=TodayDate+14)),"Rebook - due and nothing booked",IF(IF(K14="",FALSE,ABS(DATE(YEAR(TodayDate),MONTH(K14),DAY(K14))-TodayDate)&lt;=7),"Birthday - send the treat","OK")))))))))</f>
        <v>0</v>
      </c>
    </row>
    <row r="15" spans="1:43">
      <c r="A15" s="28">
        <f>IF(B15="","",ClientPrefix&amp;TEXT(ROW()-4,"0000"))</f>
        <v>0</v>
      </c>
      <c r="J15" s="15">
        <f>IF(I15="","",IFERROR(INDEX(Staff!$B$5:$B$44,MATCH(I15,Staff!$A$5:$A$44,0)),"Not in Staff"))</f>
        <v>0</v>
      </c>
      <c r="T15" s="25">
        <f>IF(B15="","",COUNTIFS(Appointments!$E$5:$E$1204,A15,Appointments!$M$5:$M$1204,"Completed"))</f>
        <v>0</v>
      </c>
      <c r="U15" s="25">
        <f>IF(B15="","",COUNTIFS(Appointments!$E$5:$E$1204,A15,Appointments!$M$5:$M$1204,"Completed",Appointments!$B$5:$B$1204,"&gt;="&amp;TodayDate-365))</f>
        <v>0</v>
      </c>
      <c r="V15" s="25">
        <f>IF(B15="","",COUNTIFS(Appointments!$E$5:$E$1204,A15,Appointments!$M$5:$M$1204,"Cancelled"))</f>
        <v>0</v>
      </c>
      <c r="W15" s="25">
        <f>IF(B15="","",COUNTIFS(Appointments!$E$5:$E$1204,A15,Appointments!$M$5:$M$1204,"No show"))</f>
        <v>0</v>
      </c>
      <c r="X15" s="17">
        <f>IF(B15="","",IF(F15&lt;&gt;"",F15,IF(T15=0,"",SUMPRODUCT(MIN((Appointments!$E$5:$E$1204=A15)*(Appointments!$M$5:$M$1204="Completed")*Appointments!$B$5:$B$1204+(1-(Appointments!$E$5:$E$1204=A15)*(Appointments!$M$5:$M$1204="Completed"))*2958465)))))</f>
        <v>0</v>
      </c>
      <c r="Y15" s="17">
        <f>IF(B15="","",IF(T15=0,"",SUMPRODUCT(MAX((Appointments!$E$5:$E$1204=A15)*(Appointments!$M$5:$M$1204="Completed")*Appointments!$B$5:$B$1204))))</f>
        <v>0</v>
      </c>
      <c r="Z15" s="25">
        <f>IF(B15="","",IF(Y15="","",TodayDate-Y15))</f>
        <v>0</v>
      </c>
      <c r="AA15" s="42">
        <f>IF(B15="","",SUMPRODUCT(MIN((Appointments!$E$5:$E$1204=A15)*(Appointments!$M$5:$M$1204&lt;&gt;"Cancelled")*(Appointments!$M$5:$M$1204&lt;&gt;"Completed")*(Appointments!$M$5:$M$1204&lt;&gt;"No show")*(Appointments!$B$5:$B$1204&gt;=TodayDate)*Appointments!$B$5:$B$1204+(1-(Appointments!$E$5:$E$1204=A15)*(Appointments!$M$5:$M$1204&lt;&gt;"Cancelled")*(Appointments!$M$5:$M$1204&lt;&gt;"Completed")*(Appointments!$M$5:$M$1204&lt;&gt;"No show")*(Appointments!$B$5:$B$1204&gt;=TodayDate))*2958465)))</f>
        <v>0</v>
      </c>
      <c r="AB15" s="17">
        <f>IF(B15="","",IF(AA15&gt;=2958465,"",AA15))</f>
        <v>0</v>
      </c>
      <c r="AC15" s="25">
        <f>IF(B15="","",IF(T15&lt;2,"",ROUND((Y15-X15)/MAX(1,T15-1),0)))</f>
        <v>0</v>
      </c>
      <c r="AD15" s="17">
        <f>IF(B15="","",IF(Y15="","",Y15+IF(AC15="",RebookWeeks*7,MAX(14,AC15))))</f>
        <v>0</v>
      </c>
      <c r="AE15" s="26">
        <f>IF(B15="","",ROUND(SUMIFS(Sales!$Y$5:$Y$1204,Sales!$D$5:$D$1204,A15),2))</f>
        <v>0</v>
      </c>
      <c r="AF15" s="26">
        <f>IF(B15="","",ROUND(SUMIFS(Sales!$Y$5:$Y$1204,Sales!$D$5:$D$1204,A15,Sales!$H$5:$H$1204,"Service"),2))</f>
        <v>0</v>
      </c>
      <c r="AG15" s="26">
        <f>IF(B15="","",ROUND(SUMIFS(Sales!$Y$5:$Y$1204,Sales!$D$5:$D$1204,A15,Sales!$H$5:$H$1204,"Retail"),2))</f>
        <v>0</v>
      </c>
      <c r="AH15" s="26">
        <f>IF(B15="","",ROUND(SUMIFS(Sales!$Y$5:$Y$1204,Sales!$D$5:$D$1204,A15,Sales!$B$5:$B$1204,"&gt;="&amp;TodayDate-365),2))</f>
        <v>0</v>
      </c>
      <c r="AI15" s="26">
        <f>IF(B15="","",IF(T15=0,"",ROUND(AE15/T15,2)))</f>
        <v>0</v>
      </c>
      <c r="AJ15" s="26">
        <f>IF(B15="","",IF(AI15="","",IF(AC15="","",ROUND(AI15*(365/MAX(14,AC15)),2))))</f>
        <v>0</v>
      </c>
      <c r="AK15" s="26">
        <f>IF(B15="","",ROUND(SUMIFS(Sales!$AH$5:$AH$1204,Sales!$D$5:$D$1204,A15),2))</f>
        <v>0</v>
      </c>
      <c r="AL15" s="25">
        <f>IF(B15="","",IFERROR(INDEX(Loyalty!$P$5:$P$504,MATCH(A15,Loyalty!$B$5:$B$504,0))*1,0))</f>
        <v>0</v>
      </c>
      <c r="AM15" s="39">
        <f>IF(B15="","",IF(R15="Archived","Archived",IF(T15=0,"Not been yet",IF(Z15&gt;=InactiveDays,"Inactive",IF(Z15&gt;=LapsingDays,"Lapsing",IF(T15=1,"New",IF(AH15&gt;=VipSpend,"VIP",IF(U15&gt;=4,"Regular","Active"))))))))</f>
        <v>0</v>
      </c>
      <c r="AN15" s="38">
        <f>IF(B15="","",IF(T15&gt;=2,"Yes","No"))</f>
        <v>0</v>
      </c>
      <c r="AO15" s="25">
        <f>IF(B15="","",COUNTIFS($AE$5:$AE$504,"&gt;"&amp;AE15)+COUNTIFS($AE$5:AE15,AE15))</f>
        <v>0</v>
      </c>
      <c r="AP15" s="25">
        <f>IF(B15="","",COUNTIFS($T$5:$T$504,"&gt;"&amp;T15)+COUNTIFS($T$5:T15,T15))</f>
        <v>0</v>
      </c>
      <c r="AQ15" s="39">
        <f>IF(B15="","",IF(COUNTIF($B$5:$B$504,B15)&gt;1,"Duplicate - same name twice",IF(R15="Archived","",IF(AK15&gt;0.004,"Chase - balance outstanding",IF(AM15="Inactive","Gone - win-back offer",IF(AM15="Lapsing","Chase - lapsing, call them",IF(IF(N15="",FALSE,TodayDate-N15&gt;PatchTestDays),"Due - patch test out of date",IF(IF(AD15="",FALSE,IF(AB15&lt;&gt;"",FALSE,AD15&lt;=TodayDate+14)),"Rebook - due and nothing booked",IF(IF(K15="",FALSE,ABS(DATE(YEAR(TodayDate),MONTH(K15),DAY(K15))-TodayDate)&lt;=7),"Birthday - send the treat","OK")))))))))</f>
        <v>0</v>
      </c>
    </row>
    <row r="16" spans="1:43">
      <c r="A16" s="28">
        <f>IF(B16="","",ClientPrefix&amp;TEXT(ROW()-4,"0000"))</f>
        <v>0</v>
      </c>
      <c r="J16" s="15">
        <f>IF(I16="","",IFERROR(INDEX(Staff!$B$5:$B$44,MATCH(I16,Staff!$A$5:$A$44,0)),"Not in Staff"))</f>
        <v>0</v>
      </c>
      <c r="T16" s="25">
        <f>IF(B16="","",COUNTIFS(Appointments!$E$5:$E$1204,A16,Appointments!$M$5:$M$1204,"Completed"))</f>
        <v>0</v>
      </c>
      <c r="U16" s="25">
        <f>IF(B16="","",COUNTIFS(Appointments!$E$5:$E$1204,A16,Appointments!$M$5:$M$1204,"Completed",Appointments!$B$5:$B$1204,"&gt;="&amp;TodayDate-365))</f>
        <v>0</v>
      </c>
      <c r="V16" s="25">
        <f>IF(B16="","",COUNTIFS(Appointments!$E$5:$E$1204,A16,Appointments!$M$5:$M$1204,"Cancelled"))</f>
        <v>0</v>
      </c>
      <c r="W16" s="25">
        <f>IF(B16="","",COUNTIFS(Appointments!$E$5:$E$1204,A16,Appointments!$M$5:$M$1204,"No show"))</f>
        <v>0</v>
      </c>
      <c r="X16" s="17">
        <f>IF(B16="","",IF(F16&lt;&gt;"",F16,IF(T16=0,"",SUMPRODUCT(MIN((Appointments!$E$5:$E$1204=A16)*(Appointments!$M$5:$M$1204="Completed")*Appointments!$B$5:$B$1204+(1-(Appointments!$E$5:$E$1204=A16)*(Appointments!$M$5:$M$1204="Completed"))*2958465)))))</f>
        <v>0</v>
      </c>
      <c r="Y16" s="17">
        <f>IF(B16="","",IF(T16=0,"",SUMPRODUCT(MAX((Appointments!$E$5:$E$1204=A16)*(Appointments!$M$5:$M$1204="Completed")*Appointments!$B$5:$B$1204))))</f>
        <v>0</v>
      </c>
      <c r="Z16" s="25">
        <f>IF(B16="","",IF(Y16="","",TodayDate-Y16))</f>
        <v>0</v>
      </c>
      <c r="AA16" s="42">
        <f>IF(B16="","",SUMPRODUCT(MIN((Appointments!$E$5:$E$1204=A16)*(Appointments!$M$5:$M$1204&lt;&gt;"Cancelled")*(Appointments!$M$5:$M$1204&lt;&gt;"Completed")*(Appointments!$M$5:$M$1204&lt;&gt;"No show")*(Appointments!$B$5:$B$1204&gt;=TodayDate)*Appointments!$B$5:$B$1204+(1-(Appointments!$E$5:$E$1204=A16)*(Appointments!$M$5:$M$1204&lt;&gt;"Cancelled")*(Appointments!$M$5:$M$1204&lt;&gt;"Completed")*(Appointments!$M$5:$M$1204&lt;&gt;"No show")*(Appointments!$B$5:$B$1204&gt;=TodayDate))*2958465)))</f>
        <v>0</v>
      </c>
      <c r="AB16" s="17">
        <f>IF(B16="","",IF(AA16&gt;=2958465,"",AA16))</f>
        <v>0</v>
      </c>
      <c r="AC16" s="25">
        <f>IF(B16="","",IF(T16&lt;2,"",ROUND((Y16-X16)/MAX(1,T16-1),0)))</f>
        <v>0</v>
      </c>
      <c r="AD16" s="17">
        <f>IF(B16="","",IF(Y16="","",Y16+IF(AC16="",RebookWeeks*7,MAX(14,AC16))))</f>
        <v>0</v>
      </c>
      <c r="AE16" s="26">
        <f>IF(B16="","",ROUND(SUMIFS(Sales!$Y$5:$Y$1204,Sales!$D$5:$D$1204,A16),2))</f>
        <v>0</v>
      </c>
      <c r="AF16" s="26">
        <f>IF(B16="","",ROUND(SUMIFS(Sales!$Y$5:$Y$1204,Sales!$D$5:$D$1204,A16,Sales!$H$5:$H$1204,"Service"),2))</f>
        <v>0</v>
      </c>
      <c r="AG16" s="26">
        <f>IF(B16="","",ROUND(SUMIFS(Sales!$Y$5:$Y$1204,Sales!$D$5:$D$1204,A16,Sales!$H$5:$H$1204,"Retail"),2))</f>
        <v>0</v>
      </c>
      <c r="AH16" s="26">
        <f>IF(B16="","",ROUND(SUMIFS(Sales!$Y$5:$Y$1204,Sales!$D$5:$D$1204,A16,Sales!$B$5:$B$1204,"&gt;="&amp;TodayDate-365),2))</f>
        <v>0</v>
      </c>
      <c r="AI16" s="26">
        <f>IF(B16="","",IF(T16=0,"",ROUND(AE16/T16,2)))</f>
        <v>0</v>
      </c>
      <c r="AJ16" s="26">
        <f>IF(B16="","",IF(AI16="","",IF(AC16="","",ROUND(AI16*(365/MAX(14,AC16)),2))))</f>
        <v>0</v>
      </c>
      <c r="AK16" s="26">
        <f>IF(B16="","",ROUND(SUMIFS(Sales!$AH$5:$AH$1204,Sales!$D$5:$D$1204,A16),2))</f>
        <v>0</v>
      </c>
      <c r="AL16" s="25">
        <f>IF(B16="","",IFERROR(INDEX(Loyalty!$P$5:$P$504,MATCH(A16,Loyalty!$B$5:$B$504,0))*1,0))</f>
        <v>0</v>
      </c>
      <c r="AM16" s="39">
        <f>IF(B16="","",IF(R16="Archived","Archived",IF(T16=0,"Not been yet",IF(Z16&gt;=InactiveDays,"Inactive",IF(Z16&gt;=LapsingDays,"Lapsing",IF(T16=1,"New",IF(AH16&gt;=VipSpend,"VIP",IF(U16&gt;=4,"Regular","Active"))))))))</f>
        <v>0</v>
      </c>
      <c r="AN16" s="38">
        <f>IF(B16="","",IF(T16&gt;=2,"Yes","No"))</f>
        <v>0</v>
      </c>
      <c r="AO16" s="25">
        <f>IF(B16="","",COUNTIFS($AE$5:$AE$504,"&gt;"&amp;AE16)+COUNTIFS($AE$5:AE16,AE16))</f>
        <v>0</v>
      </c>
      <c r="AP16" s="25">
        <f>IF(B16="","",COUNTIFS($T$5:$T$504,"&gt;"&amp;T16)+COUNTIFS($T$5:T16,T16))</f>
        <v>0</v>
      </c>
      <c r="AQ16" s="39">
        <f>IF(B16="","",IF(COUNTIF($B$5:$B$504,B16)&gt;1,"Duplicate - same name twice",IF(R16="Archived","",IF(AK16&gt;0.004,"Chase - balance outstanding",IF(AM16="Inactive","Gone - win-back offer",IF(AM16="Lapsing","Chase - lapsing, call them",IF(IF(N16="",FALSE,TodayDate-N16&gt;PatchTestDays),"Due - patch test out of date",IF(IF(AD16="",FALSE,IF(AB16&lt;&gt;"",FALSE,AD16&lt;=TodayDate+14)),"Rebook - due and nothing booked",IF(IF(K16="",FALSE,ABS(DATE(YEAR(TodayDate),MONTH(K16),DAY(K16))-TodayDate)&lt;=7),"Birthday - send the treat","OK")))))))))</f>
        <v>0</v>
      </c>
    </row>
    <row r="17" spans="1:43">
      <c r="A17" s="28">
        <f>IF(B17="","",ClientPrefix&amp;TEXT(ROW()-4,"0000"))</f>
        <v>0</v>
      </c>
      <c r="J17" s="15">
        <f>IF(I17="","",IFERROR(INDEX(Staff!$B$5:$B$44,MATCH(I17,Staff!$A$5:$A$44,0)),"Not in Staff"))</f>
        <v>0</v>
      </c>
      <c r="T17" s="25">
        <f>IF(B17="","",COUNTIFS(Appointments!$E$5:$E$1204,A17,Appointments!$M$5:$M$1204,"Completed"))</f>
        <v>0</v>
      </c>
      <c r="U17" s="25">
        <f>IF(B17="","",COUNTIFS(Appointments!$E$5:$E$1204,A17,Appointments!$M$5:$M$1204,"Completed",Appointments!$B$5:$B$1204,"&gt;="&amp;TodayDate-365))</f>
        <v>0</v>
      </c>
      <c r="V17" s="25">
        <f>IF(B17="","",COUNTIFS(Appointments!$E$5:$E$1204,A17,Appointments!$M$5:$M$1204,"Cancelled"))</f>
        <v>0</v>
      </c>
      <c r="W17" s="25">
        <f>IF(B17="","",COUNTIFS(Appointments!$E$5:$E$1204,A17,Appointments!$M$5:$M$1204,"No show"))</f>
        <v>0</v>
      </c>
      <c r="X17" s="17">
        <f>IF(B17="","",IF(F17&lt;&gt;"",F17,IF(T17=0,"",SUMPRODUCT(MIN((Appointments!$E$5:$E$1204=A17)*(Appointments!$M$5:$M$1204="Completed")*Appointments!$B$5:$B$1204+(1-(Appointments!$E$5:$E$1204=A17)*(Appointments!$M$5:$M$1204="Completed"))*2958465)))))</f>
        <v>0</v>
      </c>
      <c r="Y17" s="17">
        <f>IF(B17="","",IF(T17=0,"",SUMPRODUCT(MAX((Appointments!$E$5:$E$1204=A17)*(Appointments!$M$5:$M$1204="Completed")*Appointments!$B$5:$B$1204))))</f>
        <v>0</v>
      </c>
      <c r="Z17" s="25">
        <f>IF(B17="","",IF(Y17="","",TodayDate-Y17))</f>
        <v>0</v>
      </c>
      <c r="AA17" s="42">
        <f>IF(B17="","",SUMPRODUCT(MIN((Appointments!$E$5:$E$1204=A17)*(Appointments!$M$5:$M$1204&lt;&gt;"Cancelled")*(Appointments!$M$5:$M$1204&lt;&gt;"Completed")*(Appointments!$M$5:$M$1204&lt;&gt;"No show")*(Appointments!$B$5:$B$1204&gt;=TodayDate)*Appointments!$B$5:$B$1204+(1-(Appointments!$E$5:$E$1204=A17)*(Appointments!$M$5:$M$1204&lt;&gt;"Cancelled")*(Appointments!$M$5:$M$1204&lt;&gt;"Completed")*(Appointments!$M$5:$M$1204&lt;&gt;"No show")*(Appointments!$B$5:$B$1204&gt;=TodayDate))*2958465)))</f>
        <v>0</v>
      </c>
      <c r="AB17" s="17">
        <f>IF(B17="","",IF(AA17&gt;=2958465,"",AA17))</f>
        <v>0</v>
      </c>
      <c r="AC17" s="25">
        <f>IF(B17="","",IF(T17&lt;2,"",ROUND((Y17-X17)/MAX(1,T17-1),0)))</f>
        <v>0</v>
      </c>
      <c r="AD17" s="17">
        <f>IF(B17="","",IF(Y17="","",Y17+IF(AC17="",RebookWeeks*7,MAX(14,AC17))))</f>
        <v>0</v>
      </c>
      <c r="AE17" s="26">
        <f>IF(B17="","",ROUND(SUMIFS(Sales!$Y$5:$Y$1204,Sales!$D$5:$D$1204,A17),2))</f>
        <v>0</v>
      </c>
      <c r="AF17" s="26">
        <f>IF(B17="","",ROUND(SUMIFS(Sales!$Y$5:$Y$1204,Sales!$D$5:$D$1204,A17,Sales!$H$5:$H$1204,"Service"),2))</f>
        <v>0</v>
      </c>
      <c r="AG17" s="26">
        <f>IF(B17="","",ROUND(SUMIFS(Sales!$Y$5:$Y$1204,Sales!$D$5:$D$1204,A17,Sales!$H$5:$H$1204,"Retail"),2))</f>
        <v>0</v>
      </c>
      <c r="AH17" s="26">
        <f>IF(B17="","",ROUND(SUMIFS(Sales!$Y$5:$Y$1204,Sales!$D$5:$D$1204,A17,Sales!$B$5:$B$1204,"&gt;="&amp;TodayDate-365),2))</f>
        <v>0</v>
      </c>
      <c r="AI17" s="26">
        <f>IF(B17="","",IF(T17=0,"",ROUND(AE17/T17,2)))</f>
        <v>0</v>
      </c>
      <c r="AJ17" s="26">
        <f>IF(B17="","",IF(AI17="","",IF(AC17="","",ROUND(AI17*(365/MAX(14,AC17)),2))))</f>
        <v>0</v>
      </c>
      <c r="AK17" s="26">
        <f>IF(B17="","",ROUND(SUMIFS(Sales!$AH$5:$AH$1204,Sales!$D$5:$D$1204,A17),2))</f>
        <v>0</v>
      </c>
      <c r="AL17" s="25">
        <f>IF(B17="","",IFERROR(INDEX(Loyalty!$P$5:$P$504,MATCH(A17,Loyalty!$B$5:$B$504,0))*1,0))</f>
        <v>0</v>
      </c>
      <c r="AM17" s="39">
        <f>IF(B17="","",IF(R17="Archived","Archived",IF(T17=0,"Not been yet",IF(Z17&gt;=InactiveDays,"Inactive",IF(Z17&gt;=LapsingDays,"Lapsing",IF(T17=1,"New",IF(AH17&gt;=VipSpend,"VIP",IF(U17&gt;=4,"Regular","Active"))))))))</f>
        <v>0</v>
      </c>
      <c r="AN17" s="38">
        <f>IF(B17="","",IF(T17&gt;=2,"Yes","No"))</f>
        <v>0</v>
      </c>
      <c r="AO17" s="25">
        <f>IF(B17="","",COUNTIFS($AE$5:$AE$504,"&gt;"&amp;AE17)+COUNTIFS($AE$5:AE17,AE17))</f>
        <v>0</v>
      </c>
      <c r="AP17" s="25">
        <f>IF(B17="","",COUNTIFS($T$5:$T$504,"&gt;"&amp;T17)+COUNTIFS($T$5:T17,T17))</f>
        <v>0</v>
      </c>
      <c r="AQ17" s="39">
        <f>IF(B17="","",IF(COUNTIF($B$5:$B$504,B17)&gt;1,"Duplicate - same name twice",IF(R17="Archived","",IF(AK17&gt;0.004,"Chase - balance outstanding",IF(AM17="Inactive","Gone - win-back offer",IF(AM17="Lapsing","Chase - lapsing, call them",IF(IF(N17="",FALSE,TodayDate-N17&gt;PatchTestDays),"Due - patch test out of date",IF(IF(AD17="",FALSE,IF(AB17&lt;&gt;"",FALSE,AD17&lt;=TodayDate+14)),"Rebook - due and nothing booked",IF(IF(K17="",FALSE,ABS(DATE(YEAR(TodayDate),MONTH(K17),DAY(K17))-TodayDate)&lt;=7),"Birthday - send the treat","OK")))))))))</f>
        <v>0</v>
      </c>
    </row>
    <row r="18" spans="1:43">
      <c r="A18" s="28">
        <f>IF(B18="","",ClientPrefix&amp;TEXT(ROW()-4,"0000"))</f>
        <v>0</v>
      </c>
      <c r="J18" s="15">
        <f>IF(I18="","",IFERROR(INDEX(Staff!$B$5:$B$44,MATCH(I18,Staff!$A$5:$A$44,0)),"Not in Staff"))</f>
        <v>0</v>
      </c>
      <c r="T18" s="25">
        <f>IF(B18="","",COUNTIFS(Appointments!$E$5:$E$1204,A18,Appointments!$M$5:$M$1204,"Completed"))</f>
        <v>0</v>
      </c>
      <c r="U18" s="25">
        <f>IF(B18="","",COUNTIFS(Appointments!$E$5:$E$1204,A18,Appointments!$M$5:$M$1204,"Completed",Appointments!$B$5:$B$1204,"&gt;="&amp;TodayDate-365))</f>
        <v>0</v>
      </c>
      <c r="V18" s="25">
        <f>IF(B18="","",COUNTIFS(Appointments!$E$5:$E$1204,A18,Appointments!$M$5:$M$1204,"Cancelled"))</f>
        <v>0</v>
      </c>
      <c r="W18" s="25">
        <f>IF(B18="","",COUNTIFS(Appointments!$E$5:$E$1204,A18,Appointments!$M$5:$M$1204,"No show"))</f>
        <v>0</v>
      </c>
      <c r="X18" s="17">
        <f>IF(B18="","",IF(F18&lt;&gt;"",F18,IF(T18=0,"",SUMPRODUCT(MIN((Appointments!$E$5:$E$1204=A18)*(Appointments!$M$5:$M$1204="Completed")*Appointments!$B$5:$B$1204+(1-(Appointments!$E$5:$E$1204=A18)*(Appointments!$M$5:$M$1204="Completed"))*2958465)))))</f>
        <v>0</v>
      </c>
      <c r="Y18" s="17">
        <f>IF(B18="","",IF(T18=0,"",SUMPRODUCT(MAX((Appointments!$E$5:$E$1204=A18)*(Appointments!$M$5:$M$1204="Completed")*Appointments!$B$5:$B$1204))))</f>
        <v>0</v>
      </c>
      <c r="Z18" s="25">
        <f>IF(B18="","",IF(Y18="","",TodayDate-Y18))</f>
        <v>0</v>
      </c>
      <c r="AA18" s="42">
        <f>IF(B18="","",SUMPRODUCT(MIN((Appointments!$E$5:$E$1204=A18)*(Appointments!$M$5:$M$1204&lt;&gt;"Cancelled")*(Appointments!$M$5:$M$1204&lt;&gt;"Completed")*(Appointments!$M$5:$M$1204&lt;&gt;"No show")*(Appointments!$B$5:$B$1204&gt;=TodayDate)*Appointments!$B$5:$B$1204+(1-(Appointments!$E$5:$E$1204=A18)*(Appointments!$M$5:$M$1204&lt;&gt;"Cancelled")*(Appointments!$M$5:$M$1204&lt;&gt;"Completed")*(Appointments!$M$5:$M$1204&lt;&gt;"No show")*(Appointments!$B$5:$B$1204&gt;=TodayDate))*2958465)))</f>
        <v>0</v>
      </c>
      <c r="AB18" s="17">
        <f>IF(B18="","",IF(AA18&gt;=2958465,"",AA18))</f>
        <v>0</v>
      </c>
      <c r="AC18" s="25">
        <f>IF(B18="","",IF(T18&lt;2,"",ROUND((Y18-X18)/MAX(1,T18-1),0)))</f>
        <v>0</v>
      </c>
      <c r="AD18" s="17">
        <f>IF(B18="","",IF(Y18="","",Y18+IF(AC18="",RebookWeeks*7,MAX(14,AC18))))</f>
        <v>0</v>
      </c>
      <c r="AE18" s="26">
        <f>IF(B18="","",ROUND(SUMIFS(Sales!$Y$5:$Y$1204,Sales!$D$5:$D$1204,A18),2))</f>
        <v>0</v>
      </c>
      <c r="AF18" s="26">
        <f>IF(B18="","",ROUND(SUMIFS(Sales!$Y$5:$Y$1204,Sales!$D$5:$D$1204,A18,Sales!$H$5:$H$1204,"Service"),2))</f>
        <v>0</v>
      </c>
      <c r="AG18" s="26">
        <f>IF(B18="","",ROUND(SUMIFS(Sales!$Y$5:$Y$1204,Sales!$D$5:$D$1204,A18,Sales!$H$5:$H$1204,"Retail"),2))</f>
        <v>0</v>
      </c>
      <c r="AH18" s="26">
        <f>IF(B18="","",ROUND(SUMIFS(Sales!$Y$5:$Y$1204,Sales!$D$5:$D$1204,A18,Sales!$B$5:$B$1204,"&gt;="&amp;TodayDate-365),2))</f>
        <v>0</v>
      </c>
      <c r="AI18" s="26">
        <f>IF(B18="","",IF(T18=0,"",ROUND(AE18/T18,2)))</f>
        <v>0</v>
      </c>
      <c r="AJ18" s="26">
        <f>IF(B18="","",IF(AI18="","",IF(AC18="","",ROUND(AI18*(365/MAX(14,AC18)),2))))</f>
        <v>0</v>
      </c>
      <c r="AK18" s="26">
        <f>IF(B18="","",ROUND(SUMIFS(Sales!$AH$5:$AH$1204,Sales!$D$5:$D$1204,A18),2))</f>
        <v>0</v>
      </c>
      <c r="AL18" s="25">
        <f>IF(B18="","",IFERROR(INDEX(Loyalty!$P$5:$P$504,MATCH(A18,Loyalty!$B$5:$B$504,0))*1,0))</f>
        <v>0</v>
      </c>
      <c r="AM18" s="39">
        <f>IF(B18="","",IF(R18="Archived","Archived",IF(T18=0,"Not been yet",IF(Z18&gt;=InactiveDays,"Inactive",IF(Z18&gt;=LapsingDays,"Lapsing",IF(T18=1,"New",IF(AH18&gt;=VipSpend,"VIP",IF(U18&gt;=4,"Regular","Active"))))))))</f>
        <v>0</v>
      </c>
      <c r="AN18" s="38">
        <f>IF(B18="","",IF(T18&gt;=2,"Yes","No"))</f>
        <v>0</v>
      </c>
      <c r="AO18" s="25">
        <f>IF(B18="","",COUNTIFS($AE$5:$AE$504,"&gt;"&amp;AE18)+COUNTIFS($AE$5:AE18,AE18))</f>
        <v>0</v>
      </c>
      <c r="AP18" s="25">
        <f>IF(B18="","",COUNTIFS($T$5:$T$504,"&gt;"&amp;T18)+COUNTIFS($T$5:T18,T18))</f>
        <v>0</v>
      </c>
      <c r="AQ18" s="39">
        <f>IF(B18="","",IF(COUNTIF($B$5:$B$504,B18)&gt;1,"Duplicate - same name twice",IF(R18="Archived","",IF(AK18&gt;0.004,"Chase - balance outstanding",IF(AM18="Inactive","Gone - win-back offer",IF(AM18="Lapsing","Chase - lapsing, call them",IF(IF(N18="",FALSE,TodayDate-N18&gt;PatchTestDays),"Due - patch test out of date",IF(IF(AD18="",FALSE,IF(AB18&lt;&gt;"",FALSE,AD18&lt;=TodayDate+14)),"Rebook - due and nothing booked",IF(IF(K18="",FALSE,ABS(DATE(YEAR(TodayDate),MONTH(K18),DAY(K18))-TodayDate)&lt;=7),"Birthday - send the treat","OK")))))))))</f>
        <v>0</v>
      </c>
    </row>
    <row r="19" spans="1:43">
      <c r="A19" s="28">
        <f>IF(B19="","",ClientPrefix&amp;TEXT(ROW()-4,"0000"))</f>
        <v>0</v>
      </c>
      <c r="J19" s="15">
        <f>IF(I19="","",IFERROR(INDEX(Staff!$B$5:$B$44,MATCH(I19,Staff!$A$5:$A$44,0)),"Not in Staff"))</f>
        <v>0</v>
      </c>
      <c r="T19" s="25">
        <f>IF(B19="","",COUNTIFS(Appointments!$E$5:$E$1204,A19,Appointments!$M$5:$M$1204,"Completed"))</f>
        <v>0</v>
      </c>
      <c r="U19" s="25">
        <f>IF(B19="","",COUNTIFS(Appointments!$E$5:$E$1204,A19,Appointments!$M$5:$M$1204,"Completed",Appointments!$B$5:$B$1204,"&gt;="&amp;TodayDate-365))</f>
        <v>0</v>
      </c>
      <c r="V19" s="25">
        <f>IF(B19="","",COUNTIFS(Appointments!$E$5:$E$1204,A19,Appointments!$M$5:$M$1204,"Cancelled"))</f>
        <v>0</v>
      </c>
      <c r="W19" s="25">
        <f>IF(B19="","",COUNTIFS(Appointments!$E$5:$E$1204,A19,Appointments!$M$5:$M$1204,"No show"))</f>
        <v>0</v>
      </c>
      <c r="X19" s="17">
        <f>IF(B19="","",IF(F19&lt;&gt;"",F19,IF(T19=0,"",SUMPRODUCT(MIN((Appointments!$E$5:$E$1204=A19)*(Appointments!$M$5:$M$1204="Completed")*Appointments!$B$5:$B$1204+(1-(Appointments!$E$5:$E$1204=A19)*(Appointments!$M$5:$M$1204="Completed"))*2958465)))))</f>
        <v>0</v>
      </c>
      <c r="Y19" s="17">
        <f>IF(B19="","",IF(T19=0,"",SUMPRODUCT(MAX((Appointments!$E$5:$E$1204=A19)*(Appointments!$M$5:$M$1204="Completed")*Appointments!$B$5:$B$1204))))</f>
        <v>0</v>
      </c>
      <c r="Z19" s="25">
        <f>IF(B19="","",IF(Y19="","",TodayDate-Y19))</f>
        <v>0</v>
      </c>
      <c r="AA19" s="42">
        <f>IF(B19="","",SUMPRODUCT(MIN((Appointments!$E$5:$E$1204=A19)*(Appointments!$M$5:$M$1204&lt;&gt;"Cancelled")*(Appointments!$M$5:$M$1204&lt;&gt;"Completed")*(Appointments!$M$5:$M$1204&lt;&gt;"No show")*(Appointments!$B$5:$B$1204&gt;=TodayDate)*Appointments!$B$5:$B$1204+(1-(Appointments!$E$5:$E$1204=A19)*(Appointments!$M$5:$M$1204&lt;&gt;"Cancelled")*(Appointments!$M$5:$M$1204&lt;&gt;"Completed")*(Appointments!$M$5:$M$1204&lt;&gt;"No show")*(Appointments!$B$5:$B$1204&gt;=TodayDate))*2958465)))</f>
        <v>0</v>
      </c>
      <c r="AB19" s="17">
        <f>IF(B19="","",IF(AA19&gt;=2958465,"",AA19))</f>
        <v>0</v>
      </c>
      <c r="AC19" s="25">
        <f>IF(B19="","",IF(T19&lt;2,"",ROUND((Y19-X19)/MAX(1,T19-1),0)))</f>
        <v>0</v>
      </c>
      <c r="AD19" s="17">
        <f>IF(B19="","",IF(Y19="","",Y19+IF(AC19="",RebookWeeks*7,MAX(14,AC19))))</f>
        <v>0</v>
      </c>
      <c r="AE19" s="26">
        <f>IF(B19="","",ROUND(SUMIFS(Sales!$Y$5:$Y$1204,Sales!$D$5:$D$1204,A19),2))</f>
        <v>0</v>
      </c>
      <c r="AF19" s="26">
        <f>IF(B19="","",ROUND(SUMIFS(Sales!$Y$5:$Y$1204,Sales!$D$5:$D$1204,A19,Sales!$H$5:$H$1204,"Service"),2))</f>
        <v>0</v>
      </c>
      <c r="AG19" s="26">
        <f>IF(B19="","",ROUND(SUMIFS(Sales!$Y$5:$Y$1204,Sales!$D$5:$D$1204,A19,Sales!$H$5:$H$1204,"Retail"),2))</f>
        <v>0</v>
      </c>
      <c r="AH19" s="26">
        <f>IF(B19="","",ROUND(SUMIFS(Sales!$Y$5:$Y$1204,Sales!$D$5:$D$1204,A19,Sales!$B$5:$B$1204,"&gt;="&amp;TodayDate-365),2))</f>
        <v>0</v>
      </c>
      <c r="AI19" s="26">
        <f>IF(B19="","",IF(T19=0,"",ROUND(AE19/T19,2)))</f>
        <v>0</v>
      </c>
      <c r="AJ19" s="26">
        <f>IF(B19="","",IF(AI19="","",IF(AC19="","",ROUND(AI19*(365/MAX(14,AC19)),2))))</f>
        <v>0</v>
      </c>
      <c r="AK19" s="26">
        <f>IF(B19="","",ROUND(SUMIFS(Sales!$AH$5:$AH$1204,Sales!$D$5:$D$1204,A19),2))</f>
        <v>0</v>
      </c>
      <c r="AL19" s="25">
        <f>IF(B19="","",IFERROR(INDEX(Loyalty!$P$5:$P$504,MATCH(A19,Loyalty!$B$5:$B$504,0))*1,0))</f>
        <v>0</v>
      </c>
      <c r="AM19" s="39">
        <f>IF(B19="","",IF(R19="Archived","Archived",IF(T19=0,"Not been yet",IF(Z19&gt;=InactiveDays,"Inactive",IF(Z19&gt;=LapsingDays,"Lapsing",IF(T19=1,"New",IF(AH19&gt;=VipSpend,"VIP",IF(U19&gt;=4,"Regular","Active"))))))))</f>
        <v>0</v>
      </c>
      <c r="AN19" s="38">
        <f>IF(B19="","",IF(T19&gt;=2,"Yes","No"))</f>
        <v>0</v>
      </c>
      <c r="AO19" s="25">
        <f>IF(B19="","",COUNTIFS($AE$5:$AE$504,"&gt;"&amp;AE19)+COUNTIFS($AE$5:AE19,AE19))</f>
        <v>0</v>
      </c>
      <c r="AP19" s="25">
        <f>IF(B19="","",COUNTIFS($T$5:$T$504,"&gt;"&amp;T19)+COUNTIFS($T$5:T19,T19))</f>
        <v>0</v>
      </c>
      <c r="AQ19" s="39">
        <f>IF(B19="","",IF(COUNTIF($B$5:$B$504,B19)&gt;1,"Duplicate - same name twice",IF(R19="Archived","",IF(AK19&gt;0.004,"Chase - balance outstanding",IF(AM19="Inactive","Gone - win-back offer",IF(AM19="Lapsing","Chase - lapsing, call them",IF(IF(N19="",FALSE,TodayDate-N19&gt;PatchTestDays),"Due - patch test out of date",IF(IF(AD19="",FALSE,IF(AB19&lt;&gt;"",FALSE,AD19&lt;=TodayDate+14)),"Rebook - due and nothing booked",IF(IF(K19="",FALSE,ABS(DATE(YEAR(TodayDate),MONTH(K19),DAY(K19))-TodayDate)&lt;=7),"Birthday - send the treat","OK")))))))))</f>
        <v>0</v>
      </c>
    </row>
    <row r="20" spans="1:43">
      <c r="A20" s="28">
        <f>IF(B20="","",ClientPrefix&amp;TEXT(ROW()-4,"0000"))</f>
        <v>0</v>
      </c>
      <c r="J20" s="15">
        <f>IF(I20="","",IFERROR(INDEX(Staff!$B$5:$B$44,MATCH(I20,Staff!$A$5:$A$44,0)),"Not in Staff"))</f>
        <v>0</v>
      </c>
      <c r="T20" s="25">
        <f>IF(B20="","",COUNTIFS(Appointments!$E$5:$E$1204,A20,Appointments!$M$5:$M$1204,"Completed"))</f>
        <v>0</v>
      </c>
      <c r="U20" s="25">
        <f>IF(B20="","",COUNTIFS(Appointments!$E$5:$E$1204,A20,Appointments!$M$5:$M$1204,"Completed",Appointments!$B$5:$B$1204,"&gt;="&amp;TodayDate-365))</f>
        <v>0</v>
      </c>
      <c r="V20" s="25">
        <f>IF(B20="","",COUNTIFS(Appointments!$E$5:$E$1204,A20,Appointments!$M$5:$M$1204,"Cancelled"))</f>
        <v>0</v>
      </c>
      <c r="W20" s="25">
        <f>IF(B20="","",COUNTIFS(Appointments!$E$5:$E$1204,A20,Appointments!$M$5:$M$1204,"No show"))</f>
        <v>0</v>
      </c>
      <c r="X20" s="17">
        <f>IF(B20="","",IF(F20&lt;&gt;"",F20,IF(T20=0,"",SUMPRODUCT(MIN((Appointments!$E$5:$E$1204=A20)*(Appointments!$M$5:$M$1204="Completed")*Appointments!$B$5:$B$1204+(1-(Appointments!$E$5:$E$1204=A20)*(Appointments!$M$5:$M$1204="Completed"))*2958465)))))</f>
        <v>0</v>
      </c>
      <c r="Y20" s="17">
        <f>IF(B20="","",IF(T20=0,"",SUMPRODUCT(MAX((Appointments!$E$5:$E$1204=A20)*(Appointments!$M$5:$M$1204="Completed")*Appointments!$B$5:$B$1204))))</f>
        <v>0</v>
      </c>
      <c r="Z20" s="25">
        <f>IF(B20="","",IF(Y20="","",TodayDate-Y20))</f>
        <v>0</v>
      </c>
      <c r="AA20" s="42">
        <f>IF(B20="","",SUMPRODUCT(MIN((Appointments!$E$5:$E$1204=A20)*(Appointments!$M$5:$M$1204&lt;&gt;"Cancelled")*(Appointments!$M$5:$M$1204&lt;&gt;"Completed")*(Appointments!$M$5:$M$1204&lt;&gt;"No show")*(Appointments!$B$5:$B$1204&gt;=TodayDate)*Appointments!$B$5:$B$1204+(1-(Appointments!$E$5:$E$1204=A20)*(Appointments!$M$5:$M$1204&lt;&gt;"Cancelled")*(Appointments!$M$5:$M$1204&lt;&gt;"Completed")*(Appointments!$M$5:$M$1204&lt;&gt;"No show")*(Appointments!$B$5:$B$1204&gt;=TodayDate))*2958465)))</f>
        <v>0</v>
      </c>
      <c r="AB20" s="17">
        <f>IF(B20="","",IF(AA20&gt;=2958465,"",AA20))</f>
        <v>0</v>
      </c>
      <c r="AC20" s="25">
        <f>IF(B20="","",IF(T20&lt;2,"",ROUND((Y20-X20)/MAX(1,T20-1),0)))</f>
        <v>0</v>
      </c>
      <c r="AD20" s="17">
        <f>IF(B20="","",IF(Y20="","",Y20+IF(AC20="",RebookWeeks*7,MAX(14,AC20))))</f>
        <v>0</v>
      </c>
      <c r="AE20" s="26">
        <f>IF(B20="","",ROUND(SUMIFS(Sales!$Y$5:$Y$1204,Sales!$D$5:$D$1204,A20),2))</f>
        <v>0</v>
      </c>
      <c r="AF20" s="26">
        <f>IF(B20="","",ROUND(SUMIFS(Sales!$Y$5:$Y$1204,Sales!$D$5:$D$1204,A20,Sales!$H$5:$H$1204,"Service"),2))</f>
        <v>0</v>
      </c>
      <c r="AG20" s="26">
        <f>IF(B20="","",ROUND(SUMIFS(Sales!$Y$5:$Y$1204,Sales!$D$5:$D$1204,A20,Sales!$H$5:$H$1204,"Retail"),2))</f>
        <v>0</v>
      </c>
      <c r="AH20" s="26">
        <f>IF(B20="","",ROUND(SUMIFS(Sales!$Y$5:$Y$1204,Sales!$D$5:$D$1204,A20,Sales!$B$5:$B$1204,"&gt;="&amp;TodayDate-365),2))</f>
        <v>0</v>
      </c>
      <c r="AI20" s="26">
        <f>IF(B20="","",IF(T20=0,"",ROUND(AE20/T20,2)))</f>
        <v>0</v>
      </c>
      <c r="AJ20" s="26">
        <f>IF(B20="","",IF(AI20="","",IF(AC20="","",ROUND(AI20*(365/MAX(14,AC20)),2))))</f>
        <v>0</v>
      </c>
      <c r="AK20" s="26">
        <f>IF(B20="","",ROUND(SUMIFS(Sales!$AH$5:$AH$1204,Sales!$D$5:$D$1204,A20),2))</f>
        <v>0</v>
      </c>
      <c r="AL20" s="25">
        <f>IF(B20="","",IFERROR(INDEX(Loyalty!$P$5:$P$504,MATCH(A20,Loyalty!$B$5:$B$504,0))*1,0))</f>
        <v>0</v>
      </c>
      <c r="AM20" s="39">
        <f>IF(B20="","",IF(R20="Archived","Archived",IF(T20=0,"Not been yet",IF(Z20&gt;=InactiveDays,"Inactive",IF(Z20&gt;=LapsingDays,"Lapsing",IF(T20=1,"New",IF(AH20&gt;=VipSpend,"VIP",IF(U20&gt;=4,"Regular","Active"))))))))</f>
        <v>0</v>
      </c>
      <c r="AN20" s="38">
        <f>IF(B20="","",IF(T20&gt;=2,"Yes","No"))</f>
        <v>0</v>
      </c>
      <c r="AO20" s="25">
        <f>IF(B20="","",COUNTIFS($AE$5:$AE$504,"&gt;"&amp;AE20)+COUNTIFS($AE$5:AE20,AE20))</f>
        <v>0</v>
      </c>
      <c r="AP20" s="25">
        <f>IF(B20="","",COUNTIFS($T$5:$T$504,"&gt;"&amp;T20)+COUNTIFS($T$5:T20,T20))</f>
        <v>0</v>
      </c>
      <c r="AQ20" s="39">
        <f>IF(B20="","",IF(COUNTIF($B$5:$B$504,B20)&gt;1,"Duplicate - same name twice",IF(R20="Archived","",IF(AK20&gt;0.004,"Chase - balance outstanding",IF(AM20="Inactive","Gone - win-back offer",IF(AM20="Lapsing","Chase - lapsing, call them",IF(IF(N20="",FALSE,TodayDate-N20&gt;PatchTestDays),"Due - patch test out of date",IF(IF(AD20="",FALSE,IF(AB20&lt;&gt;"",FALSE,AD20&lt;=TodayDate+14)),"Rebook - due and nothing booked",IF(IF(K20="",FALSE,ABS(DATE(YEAR(TodayDate),MONTH(K20),DAY(K20))-TodayDate)&lt;=7),"Birthday - send the treat","OK")))))))))</f>
        <v>0</v>
      </c>
    </row>
    <row r="21" spans="1:43">
      <c r="A21" s="28">
        <f>IF(B21="","",ClientPrefix&amp;TEXT(ROW()-4,"0000"))</f>
        <v>0</v>
      </c>
      <c r="J21" s="15">
        <f>IF(I21="","",IFERROR(INDEX(Staff!$B$5:$B$44,MATCH(I21,Staff!$A$5:$A$44,0)),"Not in Staff"))</f>
        <v>0</v>
      </c>
      <c r="T21" s="25">
        <f>IF(B21="","",COUNTIFS(Appointments!$E$5:$E$1204,A21,Appointments!$M$5:$M$1204,"Completed"))</f>
        <v>0</v>
      </c>
      <c r="U21" s="25">
        <f>IF(B21="","",COUNTIFS(Appointments!$E$5:$E$1204,A21,Appointments!$M$5:$M$1204,"Completed",Appointments!$B$5:$B$1204,"&gt;="&amp;TodayDate-365))</f>
        <v>0</v>
      </c>
      <c r="V21" s="25">
        <f>IF(B21="","",COUNTIFS(Appointments!$E$5:$E$1204,A21,Appointments!$M$5:$M$1204,"Cancelled"))</f>
        <v>0</v>
      </c>
      <c r="W21" s="25">
        <f>IF(B21="","",COUNTIFS(Appointments!$E$5:$E$1204,A21,Appointments!$M$5:$M$1204,"No show"))</f>
        <v>0</v>
      </c>
      <c r="X21" s="17">
        <f>IF(B21="","",IF(F21&lt;&gt;"",F21,IF(T21=0,"",SUMPRODUCT(MIN((Appointments!$E$5:$E$1204=A21)*(Appointments!$M$5:$M$1204="Completed")*Appointments!$B$5:$B$1204+(1-(Appointments!$E$5:$E$1204=A21)*(Appointments!$M$5:$M$1204="Completed"))*2958465)))))</f>
        <v>0</v>
      </c>
      <c r="Y21" s="17">
        <f>IF(B21="","",IF(T21=0,"",SUMPRODUCT(MAX((Appointments!$E$5:$E$1204=A21)*(Appointments!$M$5:$M$1204="Completed")*Appointments!$B$5:$B$1204))))</f>
        <v>0</v>
      </c>
      <c r="Z21" s="25">
        <f>IF(B21="","",IF(Y21="","",TodayDate-Y21))</f>
        <v>0</v>
      </c>
      <c r="AA21" s="42">
        <f>IF(B21="","",SUMPRODUCT(MIN((Appointments!$E$5:$E$1204=A21)*(Appointments!$M$5:$M$1204&lt;&gt;"Cancelled")*(Appointments!$M$5:$M$1204&lt;&gt;"Completed")*(Appointments!$M$5:$M$1204&lt;&gt;"No show")*(Appointments!$B$5:$B$1204&gt;=TodayDate)*Appointments!$B$5:$B$1204+(1-(Appointments!$E$5:$E$1204=A21)*(Appointments!$M$5:$M$1204&lt;&gt;"Cancelled")*(Appointments!$M$5:$M$1204&lt;&gt;"Completed")*(Appointments!$M$5:$M$1204&lt;&gt;"No show")*(Appointments!$B$5:$B$1204&gt;=TodayDate))*2958465)))</f>
        <v>0</v>
      </c>
      <c r="AB21" s="17">
        <f>IF(B21="","",IF(AA21&gt;=2958465,"",AA21))</f>
        <v>0</v>
      </c>
      <c r="AC21" s="25">
        <f>IF(B21="","",IF(T21&lt;2,"",ROUND((Y21-X21)/MAX(1,T21-1),0)))</f>
        <v>0</v>
      </c>
      <c r="AD21" s="17">
        <f>IF(B21="","",IF(Y21="","",Y21+IF(AC21="",RebookWeeks*7,MAX(14,AC21))))</f>
        <v>0</v>
      </c>
      <c r="AE21" s="26">
        <f>IF(B21="","",ROUND(SUMIFS(Sales!$Y$5:$Y$1204,Sales!$D$5:$D$1204,A21),2))</f>
        <v>0</v>
      </c>
      <c r="AF21" s="26">
        <f>IF(B21="","",ROUND(SUMIFS(Sales!$Y$5:$Y$1204,Sales!$D$5:$D$1204,A21,Sales!$H$5:$H$1204,"Service"),2))</f>
        <v>0</v>
      </c>
      <c r="AG21" s="26">
        <f>IF(B21="","",ROUND(SUMIFS(Sales!$Y$5:$Y$1204,Sales!$D$5:$D$1204,A21,Sales!$H$5:$H$1204,"Retail"),2))</f>
        <v>0</v>
      </c>
      <c r="AH21" s="26">
        <f>IF(B21="","",ROUND(SUMIFS(Sales!$Y$5:$Y$1204,Sales!$D$5:$D$1204,A21,Sales!$B$5:$B$1204,"&gt;="&amp;TodayDate-365),2))</f>
        <v>0</v>
      </c>
      <c r="AI21" s="26">
        <f>IF(B21="","",IF(T21=0,"",ROUND(AE21/T21,2)))</f>
        <v>0</v>
      </c>
      <c r="AJ21" s="26">
        <f>IF(B21="","",IF(AI21="","",IF(AC21="","",ROUND(AI21*(365/MAX(14,AC21)),2))))</f>
        <v>0</v>
      </c>
      <c r="AK21" s="26">
        <f>IF(B21="","",ROUND(SUMIFS(Sales!$AH$5:$AH$1204,Sales!$D$5:$D$1204,A21),2))</f>
        <v>0</v>
      </c>
      <c r="AL21" s="25">
        <f>IF(B21="","",IFERROR(INDEX(Loyalty!$P$5:$P$504,MATCH(A21,Loyalty!$B$5:$B$504,0))*1,0))</f>
        <v>0</v>
      </c>
      <c r="AM21" s="39">
        <f>IF(B21="","",IF(R21="Archived","Archived",IF(T21=0,"Not been yet",IF(Z21&gt;=InactiveDays,"Inactive",IF(Z21&gt;=LapsingDays,"Lapsing",IF(T21=1,"New",IF(AH21&gt;=VipSpend,"VIP",IF(U21&gt;=4,"Regular","Active"))))))))</f>
        <v>0</v>
      </c>
      <c r="AN21" s="38">
        <f>IF(B21="","",IF(T21&gt;=2,"Yes","No"))</f>
        <v>0</v>
      </c>
      <c r="AO21" s="25">
        <f>IF(B21="","",COUNTIFS($AE$5:$AE$504,"&gt;"&amp;AE21)+COUNTIFS($AE$5:AE21,AE21))</f>
        <v>0</v>
      </c>
      <c r="AP21" s="25">
        <f>IF(B21="","",COUNTIFS($T$5:$T$504,"&gt;"&amp;T21)+COUNTIFS($T$5:T21,T21))</f>
        <v>0</v>
      </c>
      <c r="AQ21" s="39">
        <f>IF(B21="","",IF(COUNTIF($B$5:$B$504,B21)&gt;1,"Duplicate - same name twice",IF(R21="Archived","",IF(AK21&gt;0.004,"Chase - balance outstanding",IF(AM21="Inactive","Gone - win-back offer",IF(AM21="Lapsing","Chase - lapsing, call them",IF(IF(N21="",FALSE,TodayDate-N21&gt;PatchTestDays),"Due - patch test out of date",IF(IF(AD21="",FALSE,IF(AB21&lt;&gt;"",FALSE,AD21&lt;=TodayDate+14)),"Rebook - due and nothing booked",IF(IF(K21="",FALSE,ABS(DATE(YEAR(TodayDate),MONTH(K21),DAY(K21))-TodayDate)&lt;=7),"Birthday - send the treat","OK")))))))))</f>
        <v>0</v>
      </c>
    </row>
    <row r="22" spans="1:43">
      <c r="A22" s="28">
        <f>IF(B22="","",ClientPrefix&amp;TEXT(ROW()-4,"0000"))</f>
        <v>0</v>
      </c>
      <c r="J22" s="15">
        <f>IF(I22="","",IFERROR(INDEX(Staff!$B$5:$B$44,MATCH(I22,Staff!$A$5:$A$44,0)),"Not in Staff"))</f>
        <v>0</v>
      </c>
      <c r="T22" s="25">
        <f>IF(B22="","",COUNTIFS(Appointments!$E$5:$E$1204,A22,Appointments!$M$5:$M$1204,"Completed"))</f>
        <v>0</v>
      </c>
      <c r="U22" s="25">
        <f>IF(B22="","",COUNTIFS(Appointments!$E$5:$E$1204,A22,Appointments!$M$5:$M$1204,"Completed",Appointments!$B$5:$B$1204,"&gt;="&amp;TodayDate-365))</f>
        <v>0</v>
      </c>
      <c r="V22" s="25">
        <f>IF(B22="","",COUNTIFS(Appointments!$E$5:$E$1204,A22,Appointments!$M$5:$M$1204,"Cancelled"))</f>
        <v>0</v>
      </c>
      <c r="W22" s="25">
        <f>IF(B22="","",COUNTIFS(Appointments!$E$5:$E$1204,A22,Appointments!$M$5:$M$1204,"No show"))</f>
        <v>0</v>
      </c>
      <c r="X22" s="17">
        <f>IF(B22="","",IF(F22&lt;&gt;"",F22,IF(T22=0,"",SUMPRODUCT(MIN((Appointments!$E$5:$E$1204=A22)*(Appointments!$M$5:$M$1204="Completed")*Appointments!$B$5:$B$1204+(1-(Appointments!$E$5:$E$1204=A22)*(Appointments!$M$5:$M$1204="Completed"))*2958465)))))</f>
        <v>0</v>
      </c>
      <c r="Y22" s="17">
        <f>IF(B22="","",IF(T22=0,"",SUMPRODUCT(MAX((Appointments!$E$5:$E$1204=A22)*(Appointments!$M$5:$M$1204="Completed")*Appointments!$B$5:$B$1204))))</f>
        <v>0</v>
      </c>
      <c r="Z22" s="25">
        <f>IF(B22="","",IF(Y22="","",TodayDate-Y22))</f>
        <v>0</v>
      </c>
      <c r="AA22" s="42">
        <f>IF(B22="","",SUMPRODUCT(MIN((Appointments!$E$5:$E$1204=A22)*(Appointments!$M$5:$M$1204&lt;&gt;"Cancelled")*(Appointments!$M$5:$M$1204&lt;&gt;"Completed")*(Appointments!$M$5:$M$1204&lt;&gt;"No show")*(Appointments!$B$5:$B$1204&gt;=TodayDate)*Appointments!$B$5:$B$1204+(1-(Appointments!$E$5:$E$1204=A22)*(Appointments!$M$5:$M$1204&lt;&gt;"Cancelled")*(Appointments!$M$5:$M$1204&lt;&gt;"Completed")*(Appointments!$M$5:$M$1204&lt;&gt;"No show")*(Appointments!$B$5:$B$1204&gt;=TodayDate))*2958465)))</f>
        <v>0</v>
      </c>
      <c r="AB22" s="17">
        <f>IF(B22="","",IF(AA22&gt;=2958465,"",AA22))</f>
        <v>0</v>
      </c>
      <c r="AC22" s="25">
        <f>IF(B22="","",IF(T22&lt;2,"",ROUND((Y22-X22)/MAX(1,T22-1),0)))</f>
        <v>0</v>
      </c>
      <c r="AD22" s="17">
        <f>IF(B22="","",IF(Y22="","",Y22+IF(AC22="",RebookWeeks*7,MAX(14,AC22))))</f>
        <v>0</v>
      </c>
      <c r="AE22" s="26">
        <f>IF(B22="","",ROUND(SUMIFS(Sales!$Y$5:$Y$1204,Sales!$D$5:$D$1204,A22),2))</f>
        <v>0</v>
      </c>
      <c r="AF22" s="26">
        <f>IF(B22="","",ROUND(SUMIFS(Sales!$Y$5:$Y$1204,Sales!$D$5:$D$1204,A22,Sales!$H$5:$H$1204,"Service"),2))</f>
        <v>0</v>
      </c>
      <c r="AG22" s="26">
        <f>IF(B22="","",ROUND(SUMIFS(Sales!$Y$5:$Y$1204,Sales!$D$5:$D$1204,A22,Sales!$H$5:$H$1204,"Retail"),2))</f>
        <v>0</v>
      </c>
      <c r="AH22" s="26">
        <f>IF(B22="","",ROUND(SUMIFS(Sales!$Y$5:$Y$1204,Sales!$D$5:$D$1204,A22,Sales!$B$5:$B$1204,"&gt;="&amp;TodayDate-365),2))</f>
        <v>0</v>
      </c>
      <c r="AI22" s="26">
        <f>IF(B22="","",IF(T22=0,"",ROUND(AE22/T22,2)))</f>
        <v>0</v>
      </c>
      <c r="AJ22" s="26">
        <f>IF(B22="","",IF(AI22="","",IF(AC22="","",ROUND(AI22*(365/MAX(14,AC22)),2))))</f>
        <v>0</v>
      </c>
      <c r="AK22" s="26">
        <f>IF(B22="","",ROUND(SUMIFS(Sales!$AH$5:$AH$1204,Sales!$D$5:$D$1204,A22),2))</f>
        <v>0</v>
      </c>
      <c r="AL22" s="25">
        <f>IF(B22="","",IFERROR(INDEX(Loyalty!$P$5:$P$504,MATCH(A22,Loyalty!$B$5:$B$504,0))*1,0))</f>
        <v>0</v>
      </c>
      <c r="AM22" s="39">
        <f>IF(B22="","",IF(R22="Archived","Archived",IF(T22=0,"Not been yet",IF(Z22&gt;=InactiveDays,"Inactive",IF(Z22&gt;=LapsingDays,"Lapsing",IF(T22=1,"New",IF(AH22&gt;=VipSpend,"VIP",IF(U22&gt;=4,"Regular","Active"))))))))</f>
        <v>0</v>
      </c>
      <c r="AN22" s="38">
        <f>IF(B22="","",IF(T22&gt;=2,"Yes","No"))</f>
        <v>0</v>
      </c>
      <c r="AO22" s="25">
        <f>IF(B22="","",COUNTIFS($AE$5:$AE$504,"&gt;"&amp;AE22)+COUNTIFS($AE$5:AE22,AE22))</f>
        <v>0</v>
      </c>
      <c r="AP22" s="25">
        <f>IF(B22="","",COUNTIFS($T$5:$T$504,"&gt;"&amp;T22)+COUNTIFS($T$5:T22,T22))</f>
        <v>0</v>
      </c>
      <c r="AQ22" s="39">
        <f>IF(B22="","",IF(COUNTIF($B$5:$B$504,B22)&gt;1,"Duplicate - same name twice",IF(R22="Archived","",IF(AK22&gt;0.004,"Chase - balance outstanding",IF(AM22="Inactive","Gone - win-back offer",IF(AM22="Lapsing","Chase - lapsing, call them",IF(IF(N22="",FALSE,TodayDate-N22&gt;PatchTestDays),"Due - patch test out of date",IF(IF(AD22="",FALSE,IF(AB22&lt;&gt;"",FALSE,AD22&lt;=TodayDate+14)),"Rebook - due and nothing booked",IF(IF(K22="",FALSE,ABS(DATE(YEAR(TodayDate),MONTH(K22),DAY(K22))-TodayDate)&lt;=7),"Birthday - send the treat","OK")))))))))</f>
        <v>0</v>
      </c>
    </row>
    <row r="23" spans="1:43">
      <c r="A23" s="28">
        <f>IF(B23="","",ClientPrefix&amp;TEXT(ROW()-4,"0000"))</f>
        <v>0</v>
      </c>
      <c r="J23" s="15">
        <f>IF(I23="","",IFERROR(INDEX(Staff!$B$5:$B$44,MATCH(I23,Staff!$A$5:$A$44,0)),"Not in Staff"))</f>
        <v>0</v>
      </c>
      <c r="T23" s="25">
        <f>IF(B23="","",COUNTIFS(Appointments!$E$5:$E$1204,A23,Appointments!$M$5:$M$1204,"Completed"))</f>
        <v>0</v>
      </c>
      <c r="U23" s="25">
        <f>IF(B23="","",COUNTIFS(Appointments!$E$5:$E$1204,A23,Appointments!$M$5:$M$1204,"Completed",Appointments!$B$5:$B$1204,"&gt;="&amp;TodayDate-365))</f>
        <v>0</v>
      </c>
      <c r="V23" s="25">
        <f>IF(B23="","",COUNTIFS(Appointments!$E$5:$E$1204,A23,Appointments!$M$5:$M$1204,"Cancelled"))</f>
        <v>0</v>
      </c>
      <c r="W23" s="25">
        <f>IF(B23="","",COUNTIFS(Appointments!$E$5:$E$1204,A23,Appointments!$M$5:$M$1204,"No show"))</f>
        <v>0</v>
      </c>
      <c r="X23" s="17">
        <f>IF(B23="","",IF(F23&lt;&gt;"",F23,IF(T23=0,"",SUMPRODUCT(MIN((Appointments!$E$5:$E$1204=A23)*(Appointments!$M$5:$M$1204="Completed")*Appointments!$B$5:$B$1204+(1-(Appointments!$E$5:$E$1204=A23)*(Appointments!$M$5:$M$1204="Completed"))*2958465)))))</f>
        <v>0</v>
      </c>
      <c r="Y23" s="17">
        <f>IF(B23="","",IF(T23=0,"",SUMPRODUCT(MAX((Appointments!$E$5:$E$1204=A23)*(Appointments!$M$5:$M$1204="Completed")*Appointments!$B$5:$B$1204))))</f>
        <v>0</v>
      </c>
      <c r="Z23" s="25">
        <f>IF(B23="","",IF(Y23="","",TodayDate-Y23))</f>
        <v>0</v>
      </c>
      <c r="AA23" s="42">
        <f>IF(B23="","",SUMPRODUCT(MIN((Appointments!$E$5:$E$1204=A23)*(Appointments!$M$5:$M$1204&lt;&gt;"Cancelled")*(Appointments!$M$5:$M$1204&lt;&gt;"Completed")*(Appointments!$M$5:$M$1204&lt;&gt;"No show")*(Appointments!$B$5:$B$1204&gt;=TodayDate)*Appointments!$B$5:$B$1204+(1-(Appointments!$E$5:$E$1204=A23)*(Appointments!$M$5:$M$1204&lt;&gt;"Cancelled")*(Appointments!$M$5:$M$1204&lt;&gt;"Completed")*(Appointments!$M$5:$M$1204&lt;&gt;"No show")*(Appointments!$B$5:$B$1204&gt;=TodayDate))*2958465)))</f>
        <v>0</v>
      </c>
      <c r="AB23" s="17">
        <f>IF(B23="","",IF(AA23&gt;=2958465,"",AA23))</f>
        <v>0</v>
      </c>
      <c r="AC23" s="25">
        <f>IF(B23="","",IF(T23&lt;2,"",ROUND((Y23-X23)/MAX(1,T23-1),0)))</f>
        <v>0</v>
      </c>
      <c r="AD23" s="17">
        <f>IF(B23="","",IF(Y23="","",Y23+IF(AC23="",RebookWeeks*7,MAX(14,AC23))))</f>
        <v>0</v>
      </c>
      <c r="AE23" s="26">
        <f>IF(B23="","",ROUND(SUMIFS(Sales!$Y$5:$Y$1204,Sales!$D$5:$D$1204,A23),2))</f>
        <v>0</v>
      </c>
      <c r="AF23" s="26">
        <f>IF(B23="","",ROUND(SUMIFS(Sales!$Y$5:$Y$1204,Sales!$D$5:$D$1204,A23,Sales!$H$5:$H$1204,"Service"),2))</f>
        <v>0</v>
      </c>
      <c r="AG23" s="26">
        <f>IF(B23="","",ROUND(SUMIFS(Sales!$Y$5:$Y$1204,Sales!$D$5:$D$1204,A23,Sales!$H$5:$H$1204,"Retail"),2))</f>
        <v>0</v>
      </c>
      <c r="AH23" s="26">
        <f>IF(B23="","",ROUND(SUMIFS(Sales!$Y$5:$Y$1204,Sales!$D$5:$D$1204,A23,Sales!$B$5:$B$1204,"&gt;="&amp;TodayDate-365),2))</f>
        <v>0</v>
      </c>
      <c r="AI23" s="26">
        <f>IF(B23="","",IF(T23=0,"",ROUND(AE23/T23,2)))</f>
        <v>0</v>
      </c>
      <c r="AJ23" s="26">
        <f>IF(B23="","",IF(AI23="","",IF(AC23="","",ROUND(AI23*(365/MAX(14,AC23)),2))))</f>
        <v>0</v>
      </c>
      <c r="AK23" s="26">
        <f>IF(B23="","",ROUND(SUMIFS(Sales!$AH$5:$AH$1204,Sales!$D$5:$D$1204,A23),2))</f>
        <v>0</v>
      </c>
      <c r="AL23" s="25">
        <f>IF(B23="","",IFERROR(INDEX(Loyalty!$P$5:$P$504,MATCH(A23,Loyalty!$B$5:$B$504,0))*1,0))</f>
        <v>0</v>
      </c>
      <c r="AM23" s="39">
        <f>IF(B23="","",IF(R23="Archived","Archived",IF(T23=0,"Not been yet",IF(Z23&gt;=InactiveDays,"Inactive",IF(Z23&gt;=LapsingDays,"Lapsing",IF(T23=1,"New",IF(AH23&gt;=VipSpend,"VIP",IF(U23&gt;=4,"Regular","Active"))))))))</f>
        <v>0</v>
      </c>
      <c r="AN23" s="38">
        <f>IF(B23="","",IF(T23&gt;=2,"Yes","No"))</f>
        <v>0</v>
      </c>
      <c r="AO23" s="25">
        <f>IF(B23="","",COUNTIFS($AE$5:$AE$504,"&gt;"&amp;AE23)+COUNTIFS($AE$5:AE23,AE23))</f>
        <v>0</v>
      </c>
      <c r="AP23" s="25">
        <f>IF(B23="","",COUNTIFS($T$5:$T$504,"&gt;"&amp;T23)+COUNTIFS($T$5:T23,T23))</f>
        <v>0</v>
      </c>
      <c r="AQ23" s="39">
        <f>IF(B23="","",IF(COUNTIF($B$5:$B$504,B23)&gt;1,"Duplicate - same name twice",IF(R23="Archived","",IF(AK23&gt;0.004,"Chase - balance outstanding",IF(AM23="Inactive","Gone - win-back offer",IF(AM23="Lapsing","Chase - lapsing, call them",IF(IF(N23="",FALSE,TodayDate-N23&gt;PatchTestDays),"Due - patch test out of date",IF(IF(AD23="",FALSE,IF(AB23&lt;&gt;"",FALSE,AD23&lt;=TodayDate+14)),"Rebook - due and nothing booked",IF(IF(K23="",FALSE,ABS(DATE(YEAR(TodayDate),MONTH(K23),DAY(K23))-TodayDate)&lt;=7),"Birthday - send the treat","OK")))))))))</f>
        <v>0</v>
      </c>
    </row>
    <row r="24" spans="1:43">
      <c r="A24" s="28">
        <f>IF(B24="","",ClientPrefix&amp;TEXT(ROW()-4,"0000"))</f>
        <v>0</v>
      </c>
      <c r="J24" s="15">
        <f>IF(I24="","",IFERROR(INDEX(Staff!$B$5:$B$44,MATCH(I24,Staff!$A$5:$A$44,0)),"Not in Staff"))</f>
        <v>0</v>
      </c>
      <c r="T24" s="25">
        <f>IF(B24="","",COUNTIFS(Appointments!$E$5:$E$1204,A24,Appointments!$M$5:$M$1204,"Completed"))</f>
        <v>0</v>
      </c>
      <c r="U24" s="25">
        <f>IF(B24="","",COUNTIFS(Appointments!$E$5:$E$1204,A24,Appointments!$M$5:$M$1204,"Completed",Appointments!$B$5:$B$1204,"&gt;="&amp;TodayDate-365))</f>
        <v>0</v>
      </c>
      <c r="V24" s="25">
        <f>IF(B24="","",COUNTIFS(Appointments!$E$5:$E$1204,A24,Appointments!$M$5:$M$1204,"Cancelled"))</f>
        <v>0</v>
      </c>
      <c r="W24" s="25">
        <f>IF(B24="","",COUNTIFS(Appointments!$E$5:$E$1204,A24,Appointments!$M$5:$M$1204,"No show"))</f>
        <v>0</v>
      </c>
      <c r="X24" s="17">
        <f>IF(B24="","",IF(F24&lt;&gt;"",F24,IF(T24=0,"",SUMPRODUCT(MIN((Appointments!$E$5:$E$1204=A24)*(Appointments!$M$5:$M$1204="Completed")*Appointments!$B$5:$B$1204+(1-(Appointments!$E$5:$E$1204=A24)*(Appointments!$M$5:$M$1204="Completed"))*2958465)))))</f>
        <v>0</v>
      </c>
      <c r="Y24" s="17">
        <f>IF(B24="","",IF(T24=0,"",SUMPRODUCT(MAX((Appointments!$E$5:$E$1204=A24)*(Appointments!$M$5:$M$1204="Completed")*Appointments!$B$5:$B$1204))))</f>
        <v>0</v>
      </c>
      <c r="Z24" s="25">
        <f>IF(B24="","",IF(Y24="","",TodayDate-Y24))</f>
        <v>0</v>
      </c>
      <c r="AA24" s="42">
        <f>IF(B24="","",SUMPRODUCT(MIN((Appointments!$E$5:$E$1204=A24)*(Appointments!$M$5:$M$1204&lt;&gt;"Cancelled")*(Appointments!$M$5:$M$1204&lt;&gt;"Completed")*(Appointments!$M$5:$M$1204&lt;&gt;"No show")*(Appointments!$B$5:$B$1204&gt;=TodayDate)*Appointments!$B$5:$B$1204+(1-(Appointments!$E$5:$E$1204=A24)*(Appointments!$M$5:$M$1204&lt;&gt;"Cancelled")*(Appointments!$M$5:$M$1204&lt;&gt;"Completed")*(Appointments!$M$5:$M$1204&lt;&gt;"No show")*(Appointments!$B$5:$B$1204&gt;=TodayDate))*2958465)))</f>
        <v>0</v>
      </c>
      <c r="AB24" s="17">
        <f>IF(B24="","",IF(AA24&gt;=2958465,"",AA24))</f>
        <v>0</v>
      </c>
      <c r="AC24" s="25">
        <f>IF(B24="","",IF(T24&lt;2,"",ROUND((Y24-X24)/MAX(1,T24-1),0)))</f>
        <v>0</v>
      </c>
      <c r="AD24" s="17">
        <f>IF(B24="","",IF(Y24="","",Y24+IF(AC24="",RebookWeeks*7,MAX(14,AC24))))</f>
        <v>0</v>
      </c>
      <c r="AE24" s="26">
        <f>IF(B24="","",ROUND(SUMIFS(Sales!$Y$5:$Y$1204,Sales!$D$5:$D$1204,A24),2))</f>
        <v>0</v>
      </c>
      <c r="AF24" s="26">
        <f>IF(B24="","",ROUND(SUMIFS(Sales!$Y$5:$Y$1204,Sales!$D$5:$D$1204,A24,Sales!$H$5:$H$1204,"Service"),2))</f>
        <v>0</v>
      </c>
      <c r="AG24" s="26">
        <f>IF(B24="","",ROUND(SUMIFS(Sales!$Y$5:$Y$1204,Sales!$D$5:$D$1204,A24,Sales!$H$5:$H$1204,"Retail"),2))</f>
        <v>0</v>
      </c>
      <c r="AH24" s="26">
        <f>IF(B24="","",ROUND(SUMIFS(Sales!$Y$5:$Y$1204,Sales!$D$5:$D$1204,A24,Sales!$B$5:$B$1204,"&gt;="&amp;TodayDate-365),2))</f>
        <v>0</v>
      </c>
      <c r="AI24" s="26">
        <f>IF(B24="","",IF(T24=0,"",ROUND(AE24/T24,2)))</f>
        <v>0</v>
      </c>
      <c r="AJ24" s="26">
        <f>IF(B24="","",IF(AI24="","",IF(AC24="","",ROUND(AI24*(365/MAX(14,AC24)),2))))</f>
        <v>0</v>
      </c>
      <c r="AK24" s="26">
        <f>IF(B24="","",ROUND(SUMIFS(Sales!$AH$5:$AH$1204,Sales!$D$5:$D$1204,A24),2))</f>
        <v>0</v>
      </c>
      <c r="AL24" s="25">
        <f>IF(B24="","",IFERROR(INDEX(Loyalty!$P$5:$P$504,MATCH(A24,Loyalty!$B$5:$B$504,0))*1,0))</f>
        <v>0</v>
      </c>
      <c r="AM24" s="39">
        <f>IF(B24="","",IF(R24="Archived","Archived",IF(T24=0,"Not been yet",IF(Z24&gt;=InactiveDays,"Inactive",IF(Z24&gt;=LapsingDays,"Lapsing",IF(T24=1,"New",IF(AH24&gt;=VipSpend,"VIP",IF(U24&gt;=4,"Regular","Active"))))))))</f>
        <v>0</v>
      </c>
      <c r="AN24" s="38">
        <f>IF(B24="","",IF(T24&gt;=2,"Yes","No"))</f>
        <v>0</v>
      </c>
      <c r="AO24" s="25">
        <f>IF(B24="","",COUNTIFS($AE$5:$AE$504,"&gt;"&amp;AE24)+COUNTIFS($AE$5:AE24,AE24))</f>
        <v>0</v>
      </c>
      <c r="AP24" s="25">
        <f>IF(B24="","",COUNTIFS($T$5:$T$504,"&gt;"&amp;T24)+COUNTIFS($T$5:T24,T24))</f>
        <v>0</v>
      </c>
      <c r="AQ24" s="39">
        <f>IF(B24="","",IF(COUNTIF($B$5:$B$504,B24)&gt;1,"Duplicate - same name twice",IF(R24="Archived","",IF(AK24&gt;0.004,"Chase - balance outstanding",IF(AM24="Inactive","Gone - win-back offer",IF(AM24="Lapsing","Chase - lapsing, call them",IF(IF(N24="",FALSE,TodayDate-N24&gt;PatchTestDays),"Due - patch test out of date",IF(IF(AD24="",FALSE,IF(AB24&lt;&gt;"",FALSE,AD24&lt;=TodayDate+14)),"Rebook - due and nothing booked",IF(IF(K24="",FALSE,ABS(DATE(YEAR(TodayDate),MONTH(K24),DAY(K24))-TodayDate)&lt;=7),"Birthday - send the treat","OK")))))))))</f>
        <v>0</v>
      </c>
    </row>
    <row r="25" spans="1:43">
      <c r="A25" s="28">
        <f>IF(B25="","",ClientPrefix&amp;TEXT(ROW()-4,"0000"))</f>
        <v>0</v>
      </c>
      <c r="J25" s="15">
        <f>IF(I25="","",IFERROR(INDEX(Staff!$B$5:$B$44,MATCH(I25,Staff!$A$5:$A$44,0)),"Not in Staff"))</f>
        <v>0</v>
      </c>
      <c r="T25" s="25">
        <f>IF(B25="","",COUNTIFS(Appointments!$E$5:$E$1204,A25,Appointments!$M$5:$M$1204,"Completed"))</f>
        <v>0</v>
      </c>
      <c r="U25" s="25">
        <f>IF(B25="","",COUNTIFS(Appointments!$E$5:$E$1204,A25,Appointments!$M$5:$M$1204,"Completed",Appointments!$B$5:$B$1204,"&gt;="&amp;TodayDate-365))</f>
        <v>0</v>
      </c>
      <c r="V25" s="25">
        <f>IF(B25="","",COUNTIFS(Appointments!$E$5:$E$1204,A25,Appointments!$M$5:$M$1204,"Cancelled"))</f>
        <v>0</v>
      </c>
      <c r="W25" s="25">
        <f>IF(B25="","",COUNTIFS(Appointments!$E$5:$E$1204,A25,Appointments!$M$5:$M$1204,"No show"))</f>
        <v>0</v>
      </c>
      <c r="X25" s="17">
        <f>IF(B25="","",IF(F25&lt;&gt;"",F25,IF(T25=0,"",SUMPRODUCT(MIN((Appointments!$E$5:$E$1204=A25)*(Appointments!$M$5:$M$1204="Completed")*Appointments!$B$5:$B$1204+(1-(Appointments!$E$5:$E$1204=A25)*(Appointments!$M$5:$M$1204="Completed"))*2958465)))))</f>
        <v>0</v>
      </c>
      <c r="Y25" s="17">
        <f>IF(B25="","",IF(T25=0,"",SUMPRODUCT(MAX((Appointments!$E$5:$E$1204=A25)*(Appointments!$M$5:$M$1204="Completed")*Appointments!$B$5:$B$1204))))</f>
        <v>0</v>
      </c>
      <c r="Z25" s="25">
        <f>IF(B25="","",IF(Y25="","",TodayDate-Y25))</f>
        <v>0</v>
      </c>
      <c r="AA25" s="42">
        <f>IF(B25="","",SUMPRODUCT(MIN((Appointments!$E$5:$E$1204=A25)*(Appointments!$M$5:$M$1204&lt;&gt;"Cancelled")*(Appointments!$M$5:$M$1204&lt;&gt;"Completed")*(Appointments!$M$5:$M$1204&lt;&gt;"No show")*(Appointments!$B$5:$B$1204&gt;=TodayDate)*Appointments!$B$5:$B$1204+(1-(Appointments!$E$5:$E$1204=A25)*(Appointments!$M$5:$M$1204&lt;&gt;"Cancelled")*(Appointments!$M$5:$M$1204&lt;&gt;"Completed")*(Appointments!$M$5:$M$1204&lt;&gt;"No show")*(Appointments!$B$5:$B$1204&gt;=TodayDate))*2958465)))</f>
        <v>0</v>
      </c>
      <c r="AB25" s="17">
        <f>IF(B25="","",IF(AA25&gt;=2958465,"",AA25))</f>
        <v>0</v>
      </c>
      <c r="AC25" s="25">
        <f>IF(B25="","",IF(T25&lt;2,"",ROUND((Y25-X25)/MAX(1,T25-1),0)))</f>
        <v>0</v>
      </c>
      <c r="AD25" s="17">
        <f>IF(B25="","",IF(Y25="","",Y25+IF(AC25="",RebookWeeks*7,MAX(14,AC25))))</f>
        <v>0</v>
      </c>
      <c r="AE25" s="26">
        <f>IF(B25="","",ROUND(SUMIFS(Sales!$Y$5:$Y$1204,Sales!$D$5:$D$1204,A25),2))</f>
        <v>0</v>
      </c>
      <c r="AF25" s="26">
        <f>IF(B25="","",ROUND(SUMIFS(Sales!$Y$5:$Y$1204,Sales!$D$5:$D$1204,A25,Sales!$H$5:$H$1204,"Service"),2))</f>
        <v>0</v>
      </c>
      <c r="AG25" s="26">
        <f>IF(B25="","",ROUND(SUMIFS(Sales!$Y$5:$Y$1204,Sales!$D$5:$D$1204,A25,Sales!$H$5:$H$1204,"Retail"),2))</f>
        <v>0</v>
      </c>
      <c r="AH25" s="26">
        <f>IF(B25="","",ROUND(SUMIFS(Sales!$Y$5:$Y$1204,Sales!$D$5:$D$1204,A25,Sales!$B$5:$B$1204,"&gt;="&amp;TodayDate-365),2))</f>
        <v>0</v>
      </c>
      <c r="AI25" s="26">
        <f>IF(B25="","",IF(T25=0,"",ROUND(AE25/T25,2)))</f>
        <v>0</v>
      </c>
      <c r="AJ25" s="26">
        <f>IF(B25="","",IF(AI25="","",IF(AC25="","",ROUND(AI25*(365/MAX(14,AC25)),2))))</f>
        <v>0</v>
      </c>
      <c r="AK25" s="26">
        <f>IF(B25="","",ROUND(SUMIFS(Sales!$AH$5:$AH$1204,Sales!$D$5:$D$1204,A25),2))</f>
        <v>0</v>
      </c>
      <c r="AL25" s="25">
        <f>IF(B25="","",IFERROR(INDEX(Loyalty!$P$5:$P$504,MATCH(A25,Loyalty!$B$5:$B$504,0))*1,0))</f>
        <v>0</v>
      </c>
      <c r="AM25" s="39">
        <f>IF(B25="","",IF(R25="Archived","Archived",IF(T25=0,"Not been yet",IF(Z25&gt;=InactiveDays,"Inactive",IF(Z25&gt;=LapsingDays,"Lapsing",IF(T25=1,"New",IF(AH25&gt;=VipSpend,"VIP",IF(U25&gt;=4,"Regular","Active"))))))))</f>
        <v>0</v>
      </c>
      <c r="AN25" s="38">
        <f>IF(B25="","",IF(T25&gt;=2,"Yes","No"))</f>
        <v>0</v>
      </c>
      <c r="AO25" s="25">
        <f>IF(B25="","",COUNTIFS($AE$5:$AE$504,"&gt;"&amp;AE25)+COUNTIFS($AE$5:AE25,AE25))</f>
        <v>0</v>
      </c>
      <c r="AP25" s="25">
        <f>IF(B25="","",COUNTIFS($T$5:$T$504,"&gt;"&amp;T25)+COUNTIFS($T$5:T25,T25))</f>
        <v>0</v>
      </c>
      <c r="AQ25" s="39">
        <f>IF(B25="","",IF(COUNTIF($B$5:$B$504,B25)&gt;1,"Duplicate - same name twice",IF(R25="Archived","",IF(AK25&gt;0.004,"Chase - balance outstanding",IF(AM25="Inactive","Gone - win-back offer",IF(AM25="Lapsing","Chase - lapsing, call them",IF(IF(N25="",FALSE,TodayDate-N25&gt;PatchTestDays),"Due - patch test out of date",IF(IF(AD25="",FALSE,IF(AB25&lt;&gt;"",FALSE,AD25&lt;=TodayDate+14)),"Rebook - due and nothing booked",IF(IF(K25="",FALSE,ABS(DATE(YEAR(TodayDate),MONTH(K25),DAY(K25))-TodayDate)&lt;=7),"Birthday - send the treat","OK")))))))))</f>
        <v>0</v>
      </c>
    </row>
    <row r="26" spans="1:43">
      <c r="A26" s="28">
        <f>IF(B26="","",ClientPrefix&amp;TEXT(ROW()-4,"0000"))</f>
        <v>0</v>
      </c>
      <c r="J26" s="15">
        <f>IF(I26="","",IFERROR(INDEX(Staff!$B$5:$B$44,MATCH(I26,Staff!$A$5:$A$44,0)),"Not in Staff"))</f>
        <v>0</v>
      </c>
      <c r="T26" s="25">
        <f>IF(B26="","",COUNTIFS(Appointments!$E$5:$E$1204,A26,Appointments!$M$5:$M$1204,"Completed"))</f>
        <v>0</v>
      </c>
      <c r="U26" s="25">
        <f>IF(B26="","",COUNTIFS(Appointments!$E$5:$E$1204,A26,Appointments!$M$5:$M$1204,"Completed",Appointments!$B$5:$B$1204,"&gt;="&amp;TodayDate-365))</f>
        <v>0</v>
      </c>
      <c r="V26" s="25">
        <f>IF(B26="","",COUNTIFS(Appointments!$E$5:$E$1204,A26,Appointments!$M$5:$M$1204,"Cancelled"))</f>
        <v>0</v>
      </c>
      <c r="W26" s="25">
        <f>IF(B26="","",COUNTIFS(Appointments!$E$5:$E$1204,A26,Appointments!$M$5:$M$1204,"No show"))</f>
        <v>0</v>
      </c>
      <c r="X26" s="17">
        <f>IF(B26="","",IF(F26&lt;&gt;"",F26,IF(T26=0,"",SUMPRODUCT(MIN((Appointments!$E$5:$E$1204=A26)*(Appointments!$M$5:$M$1204="Completed")*Appointments!$B$5:$B$1204+(1-(Appointments!$E$5:$E$1204=A26)*(Appointments!$M$5:$M$1204="Completed"))*2958465)))))</f>
        <v>0</v>
      </c>
      <c r="Y26" s="17">
        <f>IF(B26="","",IF(T26=0,"",SUMPRODUCT(MAX((Appointments!$E$5:$E$1204=A26)*(Appointments!$M$5:$M$1204="Completed")*Appointments!$B$5:$B$1204))))</f>
        <v>0</v>
      </c>
      <c r="Z26" s="25">
        <f>IF(B26="","",IF(Y26="","",TodayDate-Y26))</f>
        <v>0</v>
      </c>
      <c r="AA26" s="42">
        <f>IF(B26="","",SUMPRODUCT(MIN((Appointments!$E$5:$E$1204=A26)*(Appointments!$M$5:$M$1204&lt;&gt;"Cancelled")*(Appointments!$M$5:$M$1204&lt;&gt;"Completed")*(Appointments!$M$5:$M$1204&lt;&gt;"No show")*(Appointments!$B$5:$B$1204&gt;=TodayDate)*Appointments!$B$5:$B$1204+(1-(Appointments!$E$5:$E$1204=A26)*(Appointments!$M$5:$M$1204&lt;&gt;"Cancelled")*(Appointments!$M$5:$M$1204&lt;&gt;"Completed")*(Appointments!$M$5:$M$1204&lt;&gt;"No show")*(Appointments!$B$5:$B$1204&gt;=TodayDate))*2958465)))</f>
        <v>0</v>
      </c>
      <c r="AB26" s="17">
        <f>IF(B26="","",IF(AA26&gt;=2958465,"",AA26))</f>
        <v>0</v>
      </c>
      <c r="AC26" s="25">
        <f>IF(B26="","",IF(T26&lt;2,"",ROUND((Y26-X26)/MAX(1,T26-1),0)))</f>
        <v>0</v>
      </c>
      <c r="AD26" s="17">
        <f>IF(B26="","",IF(Y26="","",Y26+IF(AC26="",RebookWeeks*7,MAX(14,AC26))))</f>
        <v>0</v>
      </c>
      <c r="AE26" s="26">
        <f>IF(B26="","",ROUND(SUMIFS(Sales!$Y$5:$Y$1204,Sales!$D$5:$D$1204,A26),2))</f>
        <v>0</v>
      </c>
      <c r="AF26" s="26">
        <f>IF(B26="","",ROUND(SUMIFS(Sales!$Y$5:$Y$1204,Sales!$D$5:$D$1204,A26,Sales!$H$5:$H$1204,"Service"),2))</f>
        <v>0</v>
      </c>
      <c r="AG26" s="26">
        <f>IF(B26="","",ROUND(SUMIFS(Sales!$Y$5:$Y$1204,Sales!$D$5:$D$1204,A26,Sales!$H$5:$H$1204,"Retail"),2))</f>
        <v>0</v>
      </c>
      <c r="AH26" s="26">
        <f>IF(B26="","",ROUND(SUMIFS(Sales!$Y$5:$Y$1204,Sales!$D$5:$D$1204,A26,Sales!$B$5:$B$1204,"&gt;="&amp;TodayDate-365),2))</f>
        <v>0</v>
      </c>
      <c r="AI26" s="26">
        <f>IF(B26="","",IF(T26=0,"",ROUND(AE26/T26,2)))</f>
        <v>0</v>
      </c>
      <c r="AJ26" s="26">
        <f>IF(B26="","",IF(AI26="","",IF(AC26="","",ROUND(AI26*(365/MAX(14,AC26)),2))))</f>
        <v>0</v>
      </c>
      <c r="AK26" s="26">
        <f>IF(B26="","",ROUND(SUMIFS(Sales!$AH$5:$AH$1204,Sales!$D$5:$D$1204,A26),2))</f>
        <v>0</v>
      </c>
      <c r="AL26" s="25">
        <f>IF(B26="","",IFERROR(INDEX(Loyalty!$P$5:$P$504,MATCH(A26,Loyalty!$B$5:$B$504,0))*1,0))</f>
        <v>0</v>
      </c>
      <c r="AM26" s="39">
        <f>IF(B26="","",IF(R26="Archived","Archived",IF(T26=0,"Not been yet",IF(Z26&gt;=InactiveDays,"Inactive",IF(Z26&gt;=LapsingDays,"Lapsing",IF(T26=1,"New",IF(AH26&gt;=VipSpend,"VIP",IF(U26&gt;=4,"Regular","Active"))))))))</f>
        <v>0</v>
      </c>
      <c r="AN26" s="38">
        <f>IF(B26="","",IF(T26&gt;=2,"Yes","No"))</f>
        <v>0</v>
      </c>
      <c r="AO26" s="25">
        <f>IF(B26="","",COUNTIFS($AE$5:$AE$504,"&gt;"&amp;AE26)+COUNTIFS($AE$5:AE26,AE26))</f>
        <v>0</v>
      </c>
      <c r="AP26" s="25">
        <f>IF(B26="","",COUNTIFS($T$5:$T$504,"&gt;"&amp;T26)+COUNTIFS($T$5:T26,T26))</f>
        <v>0</v>
      </c>
      <c r="AQ26" s="39">
        <f>IF(B26="","",IF(COUNTIF($B$5:$B$504,B26)&gt;1,"Duplicate - same name twice",IF(R26="Archived","",IF(AK26&gt;0.004,"Chase - balance outstanding",IF(AM26="Inactive","Gone - win-back offer",IF(AM26="Lapsing","Chase - lapsing, call them",IF(IF(N26="",FALSE,TodayDate-N26&gt;PatchTestDays),"Due - patch test out of date",IF(IF(AD26="",FALSE,IF(AB26&lt;&gt;"",FALSE,AD26&lt;=TodayDate+14)),"Rebook - due and nothing booked",IF(IF(K26="",FALSE,ABS(DATE(YEAR(TodayDate),MONTH(K26),DAY(K26))-TodayDate)&lt;=7),"Birthday - send the treat","OK")))))))))</f>
        <v>0</v>
      </c>
    </row>
    <row r="27" spans="1:43">
      <c r="A27" s="28">
        <f>IF(B27="","",ClientPrefix&amp;TEXT(ROW()-4,"0000"))</f>
        <v>0</v>
      </c>
      <c r="J27" s="15">
        <f>IF(I27="","",IFERROR(INDEX(Staff!$B$5:$B$44,MATCH(I27,Staff!$A$5:$A$44,0)),"Not in Staff"))</f>
        <v>0</v>
      </c>
      <c r="T27" s="25">
        <f>IF(B27="","",COUNTIFS(Appointments!$E$5:$E$1204,A27,Appointments!$M$5:$M$1204,"Completed"))</f>
        <v>0</v>
      </c>
      <c r="U27" s="25">
        <f>IF(B27="","",COUNTIFS(Appointments!$E$5:$E$1204,A27,Appointments!$M$5:$M$1204,"Completed",Appointments!$B$5:$B$1204,"&gt;="&amp;TodayDate-365))</f>
        <v>0</v>
      </c>
      <c r="V27" s="25">
        <f>IF(B27="","",COUNTIFS(Appointments!$E$5:$E$1204,A27,Appointments!$M$5:$M$1204,"Cancelled"))</f>
        <v>0</v>
      </c>
      <c r="W27" s="25">
        <f>IF(B27="","",COUNTIFS(Appointments!$E$5:$E$1204,A27,Appointments!$M$5:$M$1204,"No show"))</f>
        <v>0</v>
      </c>
      <c r="X27" s="17">
        <f>IF(B27="","",IF(F27&lt;&gt;"",F27,IF(T27=0,"",SUMPRODUCT(MIN((Appointments!$E$5:$E$1204=A27)*(Appointments!$M$5:$M$1204="Completed")*Appointments!$B$5:$B$1204+(1-(Appointments!$E$5:$E$1204=A27)*(Appointments!$M$5:$M$1204="Completed"))*2958465)))))</f>
        <v>0</v>
      </c>
      <c r="Y27" s="17">
        <f>IF(B27="","",IF(T27=0,"",SUMPRODUCT(MAX((Appointments!$E$5:$E$1204=A27)*(Appointments!$M$5:$M$1204="Completed")*Appointments!$B$5:$B$1204))))</f>
        <v>0</v>
      </c>
      <c r="Z27" s="25">
        <f>IF(B27="","",IF(Y27="","",TodayDate-Y27))</f>
        <v>0</v>
      </c>
      <c r="AA27" s="42">
        <f>IF(B27="","",SUMPRODUCT(MIN((Appointments!$E$5:$E$1204=A27)*(Appointments!$M$5:$M$1204&lt;&gt;"Cancelled")*(Appointments!$M$5:$M$1204&lt;&gt;"Completed")*(Appointments!$M$5:$M$1204&lt;&gt;"No show")*(Appointments!$B$5:$B$1204&gt;=TodayDate)*Appointments!$B$5:$B$1204+(1-(Appointments!$E$5:$E$1204=A27)*(Appointments!$M$5:$M$1204&lt;&gt;"Cancelled")*(Appointments!$M$5:$M$1204&lt;&gt;"Completed")*(Appointments!$M$5:$M$1204&lt;&gt;"No show")*(Appointments!$B$5:$B$1204&gt;=TodayDate))*2958465)))</f>
        <v>0</v>
      </c>
      <c r="AB27" s="17">
        <f>IF(B27="","",IF(AA27&gt;=2958465,"",AA27))</f>
        <v>0</v>
      </c>
      <c r="AC27" s="25">
        <f>IF(B27="","",IF(T27&lt;2,"",ROUND((Y27-X27)/MAX(1,T27-1),0)))</f>
        <v>0</v>
      </c>
      <c r="AD27" s="17">
        <f>IF(B27="","",IF(Y27="","",Y27+IF(AC27="",RebookWeeks*7,MAX(14,AC27))))</f>
        <v>0</v>
      </c>
      <c r="AE27" s="26">
        <f>IF(B27="","",ROUND(SUMIFS(Sales!$Y$5:$Y$1204,Sales!$D$5:$D$1204,A27),2))</f>
        <v>0</v>
      </c>
      <c r="AF27" s="26">
        <f>IF(B27="","",ROUND(SUMIFS(Sales!$Y$5:$Y$1204,Sales!$D$5:$D$1204,A27,Sales!$H$5:$H$1204,"Service"),2))</f>
        <v>0</v>
      </c>
      <c r="AG27" s="26">
        <f>IF(B27="","",ROUND(SUMIFS(Sales!$Y$5:$Y$1204,Sales!$D$5:$D$1204,A27,Sales!$H$5:$H$1204,"Retail"),2))</f>
        <v>0</v>
      </c>
      <c r="AH27" s="26">
        <f>IF(B27="","",ROUND(SUMIFS(Sales!$Y$5:$Y$1204,Sales!$D$5:$D$1204,A27,Sales!$B$5:$B$1204,"&gt;="&amp;TodayDate-365),2))</f>
        <v>0</v>
      </c>
      <c r="AI27" s="26">
        <f>IF(B27="","",IF(T27=0,"",ROUND(AE27/T27,2)))</f>
        <v>0</v>
      </c>
      <c r="AJ27" s="26">
        <f>IF(B27="","",IF(AI27="","",IF(AC27="","",ROUND(AI27*(365/MAX(14,AC27)),2))))</f>
        <v>0</v>
      </c>
      <c r="AK27" s="26">
        <f>IF(B27="","",ROUND(SUMIFS(Sales!$AH$5:$AH$1204,Sales!$D$5:$D$1204,A27),2))</f>
        <v>0</v>
      </c>
      <c r="AL27" s="25">
        <f>IF(B27="","",IFERROR(INDEX(Loyalty!$P$5:$P$504,MATCH(A27,Loyalty!$B$5:$B$504,0))*1,0))</f>
        <v>0</v>
      </c>
      <c r="AM27" s="39">
        <f>IF(B27="","",IF(R27="Archived","Archived",IF(T27=0,"Not been yet",IF(Z27&gt;=InactiveDays,"Inactive",IF(Z27&gt;=LapsingDays,"Lapsing",IF(T27=1,"New",IF(AH27&gt;=VipSpend,"VIP",IF(U27&gt;=4,"Regular","Active"))))))))</f>
        <v>0</v>
      </c>
      <c r="AN27" s="38">
        <f>IF(B27="","",IF(T27&gt;=2,"Yes","No"))</f>
        <v>0</v>
      </c>
      <c r="AO27" s="25">
        <f>IF(B27="","",COUNTIFS($AE$5:$AE$504,"&gt;"&amp;AE27)+COUNTIFS($AE$5:AE27,AE27))</f>
        <v>0</v>
      </c>
      <c r="AP27" s="25">
        <f>IF(B27="","",COUNTIFS($T$5:$T$504,"&gt;"&amp;T27)+COUNTIFS($T$5:T27,T27))</f>
        <v>0</v>
      </c>
      <c r="AQ27" s="39">
        <f>IF(B27="","",IF(COUNTIF($B$5:$B$504,B27)&gt;1,"Duplicate - same name twice",IF(R27="Archived","",IF(AK27&gt;0.004,"Chase - balance outstanding",IF(AM27="Inactive","Gone - win-back offer",IF(AM27="Lapsing","Chase - lapsing, call them",IF(IF(N27="",FALSE,TodayDate-N27&gt;PatchTestDays),"Due - patch test out of date",IF(IF(AD27="",FALSE,IF(AB27&lt;&gt;"",FALSE,AD27&lt;=TodayDate+14)),"Rebook - due and nothing booked",IF(IF(K27="",FALSE,ABS(DATE(YEAR(TodayDate),MONTH(K27),DAY(K27))-TodayDate)&lt;=7),"Birthday - send the treat","OK")))))))))</f>
        <v>0</v>
      </c>
    </row>
    <row r="28" spans="1:43">
      <c r="A28" s="28">
        <f>IF(B28="","",ClientPrefix&amp;TEXT(ROW()-4,"0000"))</f>
        <v>0</v>
      </c>
      <c r="J28" s="15">
        <f>IF(I28="","",IFERROR(INDEX(Staff!$B$5:$B$44,MATCH(I28,Staff!$A$5:$A$44,0)),"Not in Staff"))</f>
        <v>0</v>
      </c>
      <c r="T28" s="25">
        <f>IF(B28="","",COUNTIFS(Appointments!$E$5:$E$1204,A28,Appointments!$M$5:$M$1204,"Completed"))</f>
        <v>0</v>
      </c>
      <c r="U28" s="25">
        <f>IF(B28="","",COUNTIFS(Appointments!$E$5:$E$1204,A28,Appointments!$M$5:$M$1204,"Completed",Appointments!$B$5:$B$1204,"&gt;="&amp;TodayDate-365))</f>
        <v>0</v>
      </c>
      <c r="V28" s="25">
        <f>IF(B28="","",COUNTIFS(Appointments!$E$5:$E$1204,A28,Appointments!$M$5:$M$1204,"Cancelled"))</f>
        <v>0</v>
      </c>
      <c r="W28" s="25">
        <f>IF(B28="","",COUNTIFS(Appointments!$E$5:$E$1204,A28,Appointments!$M$5:$M$1204,"No show"))</f>
        <v>0</v>
      </c>
      <c r="X28" s="17">
        <f>IF(B28="","",IF(F28&lt;&gt;"",F28,IF(T28=0,"",SUMPRODUCT(MIN((Appointments!$E$5:$E$1204=A28)*(Appointments!$M$5:$M$1204="Completed")*Appointments!$B$5:$B$1204+(1-(Appointments!$E$5:$E$1204=A28)*(Appointments!$M$5:$M$1204="Completed"))*2958465)))))</f>
        <v>0</v>
      </c>
      <c r="Y28" s="17">
        <f>IF(B28="","",IF(T28=0,"",SUMPRODUCT(MAX((Appointments!$E$5:$E$1204=A28)*(Appointments!$M$5:$M$1204="Completed")*Appointments!$B$5:$B$1204))))</f>
        <v>0</v>
      </c>
      <c r="Z28" s="25">
        <f>IF(B28="","",IF(Y28="","",TodayDate-Y28))</f>
        <v>0</v>
      </c>
      <c r="AA28" s="42">
        <f>IF(B28="","",SUMPRODUCT(MIN((Appointments!$E$5:$E$1204=A28)*(Appointments!$M$5:$M$1204&lt;&gt;"Cancelled")*(Appointments!$M$5:$M$1204&lt;&gt;"Completed")*(Appointments!$M$5:$M$1204&lt;&gt;"No show")*(Appointments!$B$5:$B$1204&gt;=TodayDate)*Appointments!$B$5:$B$1204+(1-(Appointments!$E$5:$E$1204=A28)*(Appointments!$M$5:$M$1204&lt;&gt;"Cancelled")*(Appointments!$M$5:$M$1204&lt;&gt;"Completed")*(Appointments!$M$5:$M$1204&lt;&gt;"No show")*(Appointments!$B$5:$B$1204&gt;=TodayDate))*2958465)))</f>
        <v>0</v>
      </c>
      <c r="AB28" s="17">
        <f>IF(B28="","",IF(AA28&gt;=2958465,"",AA28))</f>
        <v>0</v>
      </c>
      <c r="AC28" s="25">
        <f>IF(B28="","",IF(T28&lt;2,"",ROUND((Y28-X28)/MAX(1,T28-1),0)))</f>
        <v>0</v>
      </c>
      <c r="AD28" s="17">
        <f>IF(B28="","",IF(Y28="","",Y28+IF(AC28="",RebookWeeks*7,MAX(14,AC28))))</f>
        <v>0</v>
      </c>
      <c r="AE28" s="26">
        <f>IF(B28="","",ROUND(SUMIFS(Sales!$Y$5:$Y$1204,Sales!$D$5:$D$1204,A28),2))</f>
        <v>0</v>
      </c>
      <c r="AF28" s="26">
        <f>IF(B28="","",ROUND(SUMIFS(Sales!$Y$5:$Y$1204,Sales!$D$5:$D$1204,A28,Sales!$H$5:$H$1204,"Service"),2))</f>
        <v>0</v>
      </c>
      <c r="AG28" s="26">
        <f>IF(B28="","",ROUND(SUMIFS(Sales!$Y$5:$Y$1204,Sales!$D$5:$D$1204,A28,Sales!$H$5:$H$1204,"Retail"),2))</f>
        <v>0</v>
      </c>
      <c r="AH28" s="26">
        <f>IF(B28="","",ROUND(SUMIFS(Sales!$Y$5:$Y$1204,Sales!$D$5:$D$1204,A28,Sales!$B$5:$B$1204,"&gt;="&amp;TodayDate-365),2))</f>
        <v>0</v>
      </c>
      <c r="AI28" s="26">
        <f>IF(B28="","",IF(T28=0,"",ROUND(AE28/T28,2)))</f>
        <v>0</v>
      </c>
      <c r="AJ28" s="26">
        <f>IF(B28="","",IF(AI28="","",IF(AC28="","",ROUND(AI28*(365/MAX(14,AC28)),2))))</f>
        <v>0</v>
      </c>
      <c r="AK28" s="26">
        <f>IF(B28="","",ROUND(SUMIFS(Sales!$AH$5:$AH$1204,Sales!$D$5:$D$1204,A28),2))</f>
        <v>0</v>
      </c>
      <c r="AL28" s="25">
        <f>IF(B28="","",IFERROR(INDEX(Loyalty!$P$5:$P$504,MATCH(A28,Loyalty!$B$5:$B$504,0))*1,0))</f>
        <v>0</v>
      </c>
      <c r="AM28" s="39">
        <f>IF(B28="","",IF(R28="Archived","Archived",IF(T28=0,"Not been yet",IF(Z28&gt;=InactiveDays,"Inactive",IF(Z28&gt;=LapsingDays,"Lapsing",IF(T28=1,"New",IF(AH28&gt;=VipSpend,"VIP",IF(U28&gt;=4,"Regular","Active"))))))))</f>
        <v>0</v>
      </c>
      <c r="AN28" s="38">
        <f>IF(B28="","",IF(T28&gt;=2,"Yes","No"))</f>
        <v>0</v>
      </c>
      <c r="AO28" s="25">
        <f>IF(B28="","",COUNTIFS($AE$5:$AE$504,"&gt;"&amp;AE28)+COUNTIFS($AE$5:AE28,AE28))</f>
        <v>0</v>
      </c>
      <c r="AP28" s="25">
        <f>IF(B28="","",COUNTIFS($T$5:$T$504,"&gt;"&amp;T28)+COUNTIFS($T$5:T28,T28))</f>
        <v>0</v>
      </c>
      <c r="AQ28" s="39">
        <f>IF(B28="","",IF(COUNTIF($B$5:$B$504,B28)&gt;1,"Duplicate - same name twice",IF(R28="Archived","",IF(AK28&gt;0.004,"Chase - balance outstanding",IF(AM28="Inactive","Gone - win-back offer",IF(AM28="Lapsing","Chase - lapsing, call them",IF(IF(N28="",FALSE,TodayDate-N28&gt;PatchTestDays),"Due - patch test out of date",IF(IF(AD28="",FALSE,IF(AB28&lt;&gt;"",FALSE,AD28&lt;=TodayDate+14)),"Rebook - due and nothing booked",IF(IF(K28="",FALSE,ABS(DATE(YEAR(TodayDate),MONTH(K28),DAY(K28))-TodayDate)&lt;=7),"Birthday - send the treat","OK")))))))))</f>
        <v>0</v>
      </c>
    </row>
    <row r="29" spans="1:43">
      <c r="A29" s="28">
        <f>IF(B29="","",ClientPrefix&amp;TEXT(ROW()-4,"0000"))</f>
        <v>0</v>
      </c>
      <c r="J29" s="15">
        <f>IF(I29="","",IFERROR(INDEX(Staff!$B$5:$B$44,MATCH(I29,Staff!$A$5:$A$44,0)),"Not in Staff"))</f>
        <v>0</v>
      </c>
      <c r="T29" s="25">
        <f>IF(B29="","",COUNTIFS(Appointments!$E$5:$E$1204,A29,Appointments!$M$5:$M$1204,"Completed"))</f>
        <v>0</v>
      </c>
      <c r="U29" s="25">
        <f>IF(B29="","",COUNTIFS(Appointments!$E$5:$E$1204,A29,Appointments!$M$5:$M$1204,"Completed",Appointments!$B$5:$B$1204,"&gt;="&amp;TodayDate-365))</f>
        <v>0</v>
      </c>
      <c r="V29" s="25">
        <f>IF(B29="","",COUNTIFS(Appointments!$E$5:$E$1204,A29,Appointments!$M$5:$M$1204,"Cancelled"))</f>
        <v>0</v>
      </c>
      <c r="W29" s="25">
        <f>IF(B29="","",COUNTIFS(Appointments!$E$5:$E$1204,A29,Appointments!$M$5:$M$1204,"No show"))</f>
        <v>0</v>
      </c>
      <c r="X29" s="17">
        <f>IF(B29="","",IF(F29&lt;&gt;"",F29,IF(T29=0,"",SUMPRODUCT(MIN((Appointments!$E$5:$E$1204=A29)*(Appointments!$M$5:$M$1204="Completed")*Appointments!$B$5:$B$1204+(1-(Appointments!$E$5:$E$1204=A29)*(Appointments!$M$5:$M$1204="Completed"))*2958465)))))</f>
        <v>0</v>
      </c>
      <c r="Y29" s="17">
        <f>IF(B29="","",IF(T29=0,"",SUMPRODUCT(MAX((Appointments!$E$5:$E$1204=A29)*(Appointments!$M$5:$M$1204="Completed")*Appointments!$B$5:$B$1204))))</f>
        <v>0</v>
      </c>
      <c r="Z29" s="25">
        <f>IF(B29="","",IF(Y29="","",TodayDate-Y29))</f>
        <v>0</v>
      </c>
      <c r="AA29" s="42">
        <f>IF(B29="","",SUMPRODUCT(MIN((Appointments!$E$5:$E$1204=A29)*(Appointments!$M$5:$M$1204&lt;&gt;"Cancelled")*(Appointments!$M$5:$M$1204&lt;&gt;"Completed")*(Appointments!$M$5:$M$1204&lt;&gt;"No show")*(Appointments!$B$5:$B$1204&gt;=TodayDate)*Appointments!$B$5:$B$1204+(1-(Appointments!$E$5:$E$1204=A29)*(Appointments!$M$5:$M$1204&lt;&gt;"Cancelled")*(Appointments!$M$5:$M$1204&lt;&gt;"Completed")*(Appointments!$M$5:$M$1204&lt;&gt;"No show")*(Appointments!$B$5:$B$1204&gt;=TodayDate))*2958465)))</f>
        <v>0</v>
      </c>
      <c r="AB29" s="17">
        <f>IF(B29="","",IF(AA29&gt;=2958465,"",AA29))</f>
        <v>0</v>
      </c>
      <c r="AC29" s="25">
        <f>IF(B29="","",IF(T29&lt;2,"",ROUND((Y29-X29)/MAX(1,T29-1),0)))</f>
        <v>0</v>
      </c>
      <c r="AD29" s="17">
        <f>IF(B29="","",IF(Y29="","",Y29+IF(AC29="",RebookWeeks*7,MAX(14,AC29))))</f>
        <v>0</v>
      </c>
      <c r="AE29" s="26">
        <f>IF(B29="","",ROUND(SUMIFS(Sales!$Y$5:$Y$1204,Sales!$D$5:$D$1204,A29),2))</f>
        <v>0</v>
      </c>
      <c r="AF29" s="26">
        <f>IF(B29="","",ROUND(SUMIFS(Sales!$Y$5:$Y$1204,Sales!$D$5:$D$1204,A29,Sales!$H$5:$H$1204,"Service"),2))</f>
        <v>0</v>
      </c>
      <c r="AG29" s="26">
        <f>IF(B29="","",ROUND(SUMIFS(Sales!$Y$5:$Y$1204,Sales!$D$5:$D$1204,A29,Sales!$H$5:$H$1204,"Retail"),2))</f>
        <v>0</v>
      </c>
      <c r="AH29" s="26">
        <f>IF(B29="","",ROUND(SUMIFS(Sales!$Y$5:$Y$1204,Sales!$D$5:$D$1204,A29,Sales!$B$5:$B$1204,"&gt;="&amp;TodayDate-365),2))</f>
        <v>0</v>
      </c>
      <c r="AI29" s="26">
        <f>IF(B29="","",IF(T29=0,"",ROUND(AE29/T29,2)))</f>
        <v>0</v>
      </c>
      <c r="AJ29" s="26">
        <f>IF(B29="","",IF(AI29="","",IF(AC29="","",ROUND(AI29*(365/MAX(14,AC29)),2))))</f>
        <v>0</v>
      </c>
      <c r="AK29" s="26">
        <f>IF(B29="","",ROUND(SUMIFS(Sales!$AH$5:$AH$1204,Sales!$D$5:$D$1204,A29),2))</f>
        <v>0</v>
      </c>
      <c r="AL29" s="25">
        <f>IF(B29="","",IFERROR(INDEX(Loyalty!$P$5:$P$504,MATCH(A29,Loyalty!$B$5:$B$504,0))*1,0))</f>
        <v>0</v>
      </c>
      <c r="AM29" s="39">
        <f>IF(B29="","",IF(R29="Archived","Archived",IF(T29=0,"Not been yet",IF(Z29&gt;=InactiveDays,"Inactive",IF(Z29&gt;=LapsingDays,"Lapsing",IF(T29=1,"New",IF(AH29&gt;=VipSpend,"VIP",IF(U29&gt;=4,"Regular","Active"))))))))</f>
        <v>0</v>
      </c>
      <c r="AN29" s="38">
        <f>IF(B29="","",IF(T29&gt;=2,"Yes","No"))</f>
        <v>0</v>
      </c>
      <c r="AO29" s="25">
        <f>IF(B29="","",COUNTIFS($AE$5:$AE$504,"&gt;"&amp;AE29)+COUNTIFS($AE$5:AE29,AE29))</f>
        <v>0</v>
      </c>
      <c r="AP29" s="25">
        <f>IF(B29="","",COUNTIFS($T$5:$T$504,"&gt;"&amp;T29)+COUNTIFS($T$5:T29,T29))</f>
        <v>0</v>
      </c>
      <c r="AQ29" s="39">
        <f>IF(B29="","",IF(COUNTIF($B$5:$B$504,B29)&gt;1,"Duplicate - same name twice",IF(R29="Archived","",IF(AK29&gt;0.004,"Chase - balance outstanding",IF(AM29="Inactive","Gone - win-back offer",IF(AM29="Lapsing","Chase - lapsing, call them",IF(IF(N29="",FALSE,TodayDate-N29&gt;PatchTestDays),"Due - patch test out of date",IF(IF(AD29="",FALSE,IF(AB29&lt;&gt;"",FALSE,AD29&lt;=TodayDate+14)),"Rebook - due and nothing booked",IF(IF(K29="",FALSE,ABS(DATE(YEAR(TodayDate),MONTH(K29),DAY(K29))-TodayDate)&lt;=7),"Birthday - send the treat","OK")))))))))</f>
        <v>0</v>
      </c>
    </row>
    <row r="30" spans="1:43">
      <c r="A30" s="28">
        <f>IF(B30="","",ClientPrefix&amp;TEXT(ROW()-4,"0000"))</f>
        <v>0</v>
      </c>
      <c r="J30" s="15">
        <f>IF(I30="","",IFERROR(INDEX(Staff!$B$5:$B$44,MATCH(I30,Staff!$A$5:$A$44,0)),"Not in Staff"))</f>
        <v>0</v>
      </c>
      <c r="T30" s="25">
        <f>IF(B30="","",COUNTIFS(Appointments!$E$5:$E$1204,A30,Appointments!$M$5:$M$1204,"Completed"))</f>
        <v>0</v>
      </c>
      <c r="U30" s="25">
        <f>IF(B30="","",COUNTIFS(Appointments!$E$5:$E$1204,A30,Appointments!$M$5:$M$1204,"Completed",Appointments!$B$5:$B$1204,"&gt;="&amp;TodayDate-365))</f>
        <v>0</v>
      </c>
      <c r="V30" s="25">
        <f>IF(B30="","",COUNTIFS(Appointments!$E$5:$E$1204,A30,Appointments!$M$5:$M$1204,"Cancelled"))</f>
        <v>0</v>
      </c>
      <c r="W30" s="25">
        <f>IF(B30="","",COUNTIFS(Appointments!$E$5:$E$1204,A30,Appointments!$M$5:$M$1204,"No show"))</f>
        <v>0</v>
      </c>
      <c r="X30" s="17">
        <f>IF(B30="","",IF(F30&lt;&gt;"",F30,IF(T30=0,"",SUMPRODUCT(MIN((Appointments!$E$5:$E$1204=A30)*(Appointments!$M$5:$M$1204="Completed")*Appointments!$B$5:$B$1204+(1-(Appointments!$E$5:$E$1204=A30)*(Appointments!$M$5:$M$1204="Completed"))*2958465)))))</f>
        <v>0</v>
      </c>
      <c r="Y30" s="17">
        <f>IF(B30="","",IF(T30=0,"",SUMPRODUCT(MAX((Appointments!$E$5:$E$1204=A30)*(Appointments!$M$5:$M$1204="Completed")*Appointments!$B$5:$B$1204))))</f>
        <v>0</v>
      </c>
      <c r="Z30" s="25">
        <f>IF(B30="","",IF(Y30="","",TodayDate-Y30))</f>
        <v>0</v>
      </c>
      <c r="AA30" s="42">
        <f>IF(B30="","",SUMPRODUCT(MIN((Appointments!$E$5:$E$1204=A30)*(Appointments!$M$5:$M$1204&lt;&gt;"Cancelled")*(Appointments!$M$5:$M$1204&lt;&gt;"Completed")*(Appointments!$M$5:$M$1204&lt;&gt;"No show")*(Appointments!$B$5:$B$1204&gt;=TodayDate)*Appointments!$B$5:$B$1204+(1-(Appointments!$E$5:$E$1204=A30)*(Appointments!$M$5:$M$1204&lt;&gt;"Cancelled")*(Appointments!$M$5:$M$1204&lt;&gt;"Completed")*(Appointments!$M$5:$M$1204&lt;&gt;"No show")*(Appointments!$B$5:$B$1204&gt;=TodayDate))*2958465)))</f>
        <v>0</v>
      </c>
      <c r="AB30" s="17">
        <f>IF(B30="","",IF(AA30&gt;=2958465,"",AA30))</f>
        <v>0</v>
      </c>
      <c r="AC30" s="25">
        <f>IF(B30="","",IF(T30&lt;2,"",ROUND((Y30-X30)/MAX(1,T30-1),0)))</f>
        <v>0</v>
      </c>
      <c r="AD30" s="17">
        <f>IF(B30="","",IF(Y30="","",Y30+IF(AC30="",RebookWeeks*7,MAX(14,AC30))))</f>
        <v>0</v>
      </c>
      <c r="AE30" s="26">
        <f>IF(B30="","",ROUND(SUMIFS(Sales!$Y$5:$Y$1204,Sales!$D$5:$D$1204,A30),2))</f>
        <v>0</v>
      </c>
      <c r="AF30" s="26">
        <f>IF(B30="","",ROUND(SUMIFS(Sales!$Y$5:$Y$1204,Sales!$D$5:$D$1204,A30,Sales!$H$5:$H$1204,"Service"),2))</f>
        <v>0</v>
      </c>
      <c r="AG30" s="26">
        <f>IF(B30="","",ROUND(SUMIFS(Sales!$Y$5:$Y$1204,Sales!$D$5:$D$1204,A30,Sales!$H$5:$H$1204,"Retail"),2))</f>
        <v>0</v>
      </c>
      <c r="AH30" s="26">
        <f>IF(B30="","",ROUND(SUMIFS(Sales!$Y$5:$Y$1204,Sales!$D$5:$D$1204,A30,Sales!$B$5:$B$1204,"&gt;="&amp;TodayDate-365),2))</f>
        <v>0</v>
      </c>
      <c r="AI30" s="26">
        <f>IF(B30="","",IF(T30=0,"",ROUND(AE30/T30,2)))</f>
        <v>0</v>
      </c>
      <c r="AJ30" s="26">
        <f>IF(B30="","",IF(AI30="","",IF(AC30="","",ROUND(AI30*(365/MAX(14,AC30)),2))))</f>
        <v>0</v>
      </c>
      <c r="AK30" s="26">
        <f>IF(B30="","",ROUND(SUMIFS(Sales!$AH$5:$AH$1204,Sales!$D$5:$D$1204,A30),2))</f>
        <v>0</v>
      </c>
      <c r="AL30" s="25">
        <f>IF(B30="","",IFERROR(INDEX(Loyalty!$P$5:$P$504,MATCH(A30,Loyalty!$B$5:$B$504,0))*1,0))</f>
        <v>0</v>
      </c>
      <c r="AM30" s="39">
        <f>IF(B30="","",IF(R30="Archived","Archived",IF(T30=0,"Not been yet",IF(Z30&gt;=InactiveDays,"Inactive",IF(Z30&gt;=LapsingDays,"Lapsing",IF(T30=1,"New",IF(AH30&gt;=VipSpend,"VIP",IF(U30&gt;=4,"Regular","Active"))))))))</f>
        <v>0</v>
      </c>
      <c r="AN30" s="38">
        <f>IF(B30="","",IF(T30&gt;=2,"Yes","No"))</f>
        <v>0</v>
      </c>
      <c r="AO30" s="25">
        <f>IF(B30="","",COUNTIFS($AE$5:$AE$504,"&gt;"&amp;AE30)+COUNTIFS($AE$5:AE30,AE30))</f>
        <v>0</v>
      </c>
      <c r="AP30" s="25">
        <f>IF(B30="","",COUNTIFS($T$5:$T$504,"&gt;"&amp;T30)+COUNTIFS($T$5:T30,T30))</f>
        <v>0</v>
      </c>
      <c r="AQ30" s="39">
        <f>IF(B30="","",IF(COUNTIF($B$5:$B$504,B30)&gt;1,"Duplicate - same name twice",IF(R30="Archived","",IF(AK30&gt;0.004,"Chase - balance outstanding",IF(AM30="Inactive","Gone - win-back offer",IF(AM30="Lapsing","Chase - lapsing, call them",IF(IF(N30="",FALSE,TodayDate-N30&gt;PatchTestDays),"Due - patch test out of date",IF(IF(AD30="",FALSE,IF(AB30&lt;&gt;"",FALSE,AD30&lt;=TodayDate+14)),"Rebook - due and nothing booked",IF(IF(K30="",FALSE,ABS(DATE(YEAR(TodayDate),MONTH(K30),DAY(K30))-TodayDate)&lt;=7),"Birthday - send the treat","OK")))))))))</f>
        <v>0</v>
      </c>
    </row>
    <row r="31" spans="1:43">
      <c r="A31" s="28">
        <f>IF(B31="","",ClientPrefix&amp;TEXT(ROW()-4,"0000"))</f>
        <v>0</v>
      </c>
      <c r="J31" s="15">
        <f>IF(I31="","",IFERROR(INDEX(Staff!$B$5:$B$44,MATCH(I31,Staff!$A$5:$A$44,0)),"Not in Staff"))</f>
        <v>0</v>
      </c>
      <c r="T31" s="25">
        <f>IF(B31="","",COUNTIFS(Appointments!$E$5:$E$1204,A31,Appointments!$M$5:$M$1204,"Completed"))</f>
        <v>0</v>
      </c>
      <c r="U31" s="25">
        <f>IF(B31="","",COUNTIFS(Appointments!$E$5:$E$1204,A31,Appointments!$M$5:$M$1204,"Completed",Appointments!$B$5:$B$1204,"&gt;="&amp;TodayDate-365))</f>
        <v>0</v>
      </c>
      <c r="V31" s="25">
        <f>IF(B31="","",COUNTIFS(Appointments!$E$5:$E$1204,A31,Appointments!$M$5:$M$1204,"Cancelled"))</f>
        <v>0</v>
      </c>
      <c r="W31" s="25">
        <f>IF(B31="","",COUNTIFS(Appointments!$E$5:$E$1204,A31,Appointments!$M$5:$M$1204,"No show"))</f>
        <v>0</v>
      </c>
      <c r="X31" s="17">
        <f>IF(B31="","",IF(F31&lt;&gt;"",F31,IF(T31=0,"",SUMPRODUCT(MIN((Appointments!$E$5:$E$1204=A31)*(Appointments!$M$5:$M$1204="Completed")*Appointments!$B$5:$B$1204+(1-(Appointments!$E$5:$E$1204=A31)*(Appointments!$M$5:$M$1204="Completed"))*2958465)))))</f>
        <v>0</v>
      </c>
      <c r="Y31" s="17">
        <f>IF(B31="","",IF(T31=0,"",SUMPRODUCT(MAX((Appointments!$E$5:$E$1204=A31)*(Appointments!$M$5:$M$1204="Completed")*Appointments!$B$5:$B$1204))))</f>
        <v>0</v>
      </c>
      <c r="Z31" s="25">
        <f>IF(B31="","",IF(Y31="","",TodayDate-Y31))</f>
        <v>0</v>
      </c>
      <c r="AA31" s="42">
        <f>IF(B31="","",SUMPRODUCT(MIN((Appointments!$E$5:$E$1204=A31)*(Appointments!$M$5:$M$1204&lt;&gt;"Cancelled")*(Appointments!$M$5:$M$1204&lt;&gt;"Completed")*(Appointments!$M$5:$M$1204&lt;&gt;"No show")*(Appointments!$B$5:$B$1204&gt;=TodayDate)*Appointments!$B$5:$B$1204+(1-(Appointments!$E$5:$E$1204=A31)*(Appointments!$M$5:$M$1204&lt;&gt;"Cancelled")*(Appointments!$M$5:$M$1204&lt;&gt;"Completed")*(Appointments!$M$5:$M$1204&lt;&gt;"No show")*(Appointments!$B$5:$B$1204&gt;=TodayDate))*2958465)))</f>
        <v>0</v>
      </c>
      <c r="AB31" s="17">
        <f>IF(B31="","",IF(AA31&gt;=2958465,"",AA31))</f>
        <v>0</v>
      </c>
      <c r="AC31" s="25">
        <f>IF(B31="","",IF(T31&lt;2,"",ROUND((Y31-X31)/MAX(1,T31-1),0)))</f>
        <v>0</v>
      </c>
      <c r="AD31" s="17">
        <f>IF(B31="","",IF(Y31="","",Y31+IF(AC31="",RebookWeeks*7,MAX(14,AC31))))</f>
        <v>0</v>
      </c>
      <c r="AE31" s="26">
        <f>IF(B31="","",ROUND(SUMIFS(Sales!$Y$5:$Y$1204,Sales!$D$5:$D$1204,A31),2))</f>
        <v>0</v>
      </c>
      <c r="AF31" s="26">
        <f>IF(B31="","",ROUND(SUMIFS(Sales!$Y$5:$Y$1204,Sales!$D$5:$D$1204,A31,Sales!$H$5:$H$1204,"Service"),2))</f>
        <v>0</v>
      </c>
      <c r="AG31" s="26">
        <f>IF(B31="","",ROUND(SUMIFS(Sales!$Y$5:$Y$1204,Sales!$D$5:$D$1204,A31,Sales!$H$5:$H$1204,"Retail"),2))</f>
        <v>0</v>
      </c>
      <c r="AH31" s="26">
        <f>IF(B31="","",ROUND(SUMIFS(Sales!$Y$5:$Y$1204,Sales!$D$5:$D$1204,A31,Sales!$B$5:$B$1204,"&gt;="&amp;TodayDate-365),2))</f>
        <v>0</v>
      </c>
      <c r="AI31" s="26">
        <f>IF(B31="","",IF(T31=0,"",ROUND(AE31/T31,2)))</f>
        <v>0</v>
      </c>
      <c r="AJ31" s="26">
        <f>IF(B31="","",IF(AI31="","",IF(AC31="","",ROUND(AI31*(365/MAX(14,AC31)),2))))</f>
        <v>0</v>
      </c>
      <c r="AK31" s="26">
        <f>IF(B31="","",ROUND(SUMIFS(Sales!$AH$5:$AH$1204,Sales!$D$5:$D$1204,A31),2))</f>
        <v>0</v>
      </c>
      <c r="AL31" s="25">
        <f>IF(B31="","",IFERROR(INDEX(Loyalty!$P$5:$P$504,MATCH(A31,Loyalty!$B$5:$B$504,0))*1,0))</f>
        <v>0</v>
      </c>
      <c r="AM31" s="39">
        <f>IF(B31="","",IF(R31="Archived","Archived",IF(T31=0,"Not been yet",IF(Z31&gt;=InactiveDays,"Inactive",IF(Z31&gt;=LapsingDays,"Lapsing",IF(T31=1,"New",IF(AH31&gt;=VipSpend,"VIP",IF(U31&gt;=4,"Regular","Active"))))))))</f>
        <v>0</v>
      </c>
      <c r="AN31" s="38">
        <f>IF(B31="","",IF(T31&gt;=2,"Yes","No"))</f>
        <v>0</v>
      </c>
      <c r="AO31" s="25">
        <f>IF(B31="","",COUNTIFS($AE$5:$AE$504,"&gt;"&amp;AE31)+COUNTIFS($AE$5:AE31,AE31))</f>
        <v>0</v>
      </c>
      <c r="AP31" s="25">
        <f>IF(B31="","",COUNTIFS($T$5:$T$504,"&gt;"&amp;T31)+COUNTIFS($T$5:T31,T31))</f>
        <v>0</v>
      </c>
      <c r="AQ31" s="39">
        <f>IF(B31="","",IF(COUNTIF($B$5:$B$504,B31)&gt;1,"Duplicate - same name twice",IF(R31="Archived","",IF(AK31&gt;0.004,"Chase - balance outstanding",IF(AM31="Inactive","Gone - win-back offer",IF(AM31="Lapsing","Chase - lapsing, call them",IF(IF(N31="",FALSE,TodayDate-N31&gt;PatchTestDays),"Due - patch test out of date",IF(IF(AD31="",FALSE,IF(AB31&lt;&gt;"",FALSE,AD31&lt;=TodayDate+14)),"Rebook - due and nothing booked",IF(IF(K31="",FALSE,ABS(DATE(YEAR(TodayDate),MONTH(K31),DAY(K31))-TodayDate)&lt;=7),"Birthday - send the treat","OK")))))))))</f>
        <v>0</v>
      </c>
    </row>
    <row r="32" spans="1:43">
      <c r="A32" s="28">
        <f>IF(B32="","",ClientPrefix&amp;TEXT(ROW()-4,"0000"))</f>
        <v>0</v>
      </c>
      <c r="J32" s="15">
        <f>IF(I32="","",IFERROR(INDEX(Staff!$B$5:$B$44,MATCH(I32,Staff!$A$5:$A$44,0)),"Not in Staff"))</f>
        <v>0</v>
      </c>
      <c r="T32" s="25">
        <f>IF(B32="","",COUNTIFS(Appointments!$E$5:$E$1204,A32,Appointments!$M$5:$M$1204,"Completed"))</f>
        <v>0</v>
      </c>
      <c r="U32" s="25">
        <f>IF(B32="","",COUNTIFS(Appointments!$E$5:$E$1204,A32,Appointments!$M$5:$M$1204,"Completed",Appointments!$B$5:$B$1204,"&gt;="&amp;TodayDate-365))</f>
        <v>0</v>
      </c>
      <c r="V32" s="25">
        <f>IF(B32="","",COUNTIFS(Appointments!$E$5:$E$1204,A32,Appointments!$M$5:$M$1204,"Cancelled"))</f>
        <v>0</v>
      </c>
      <c r="W32" s="25">
        <f>IF(B32="","",COUNTIFS(Appointments!$E$5:$E$1204,A32,Appointments!$M$5:$M$1204,"No show"))</f>
        <v>0</v>
      </c>
      <c r="X32" s="17">
        <f>IF(B32="","",IF(F32&lt;&gt;"",F32,IF(T32=0,"",SUMPRODUCT(MIN((Appointments!$E$5:$E$1204=A32)*(Appointments!$M$5:$M$1204="Completed")*Appointments!$B$5:$B$1204+(1-(Appointments!$E$5:$E$1204=A32)*(Appointments!$M$5:$M$1204="Completed"))*2958465)))))</f>
        <v>0</v>
      </c>
      <c r="Y32" s="17">
        <f>IF(B32="","",IF(T32=0,"",SUMPRODUCT(MAX((Appointments!$E$5:$E$1204=A32)*(Appointments!$M$5:$M$1204="Completed")*Appointments!$B$5:$B$1204))))</f>
        <v>0</v>
      </c>
      <c r="Z32" s="25">
        <f>IF(B32="","",IF(Y32="","",TodayDate-Y32))</f>
        <v>0</v>
      </c>
      <c r="AA32" s="42">
        <f>IF(B32="","",SUMPRODUCT(MIN((Appointments!$E$5:$E$1204=A32)*(Appointments!$M$5:$M$1204&lt;&gt;"Cancelled")*(Appointments!$M$5:$M$1204&lt;&gt;"Completed")*(Appointments!$M$5:$M$1204&lt;&gt;"No show")*(Appointments!$B$5:$B$1204&gt;=TodayDate)*Appointments!$B$5:$B$1204+(1-(Appointments!$E$5:$E$1204=A32)*(Appointments!$M$5:$M$1204&lt;&gt;"Cancelled")*(Appointments!$M$5:$M$1204&lt;&gt;"Completed")*(Appointments!$M$5:$M$1204&lt;&gt;"No show")*(Appointments!$B$5:$B$1204&gt;=TodayDate))*2958465)))</f>
        <v>0</v>
      </c>
      <c r="AB32" s="17">
        <f>IF(B32="","",IF(AA32&gt;=2958465,"",AA32))</f>
        <v>0</v>
      </c>
      <c r="AC32" s="25">
        <f>IF(B32="","",IF(T32&lt;2,"",ROUND((Y32-X32)/MAX(1,T32-1),0)))</f>
        <v>0</v>
      </c>
      <c r="AD32" s="17">
        <f>IF(B32="","",IF(Y32="","",Y32+IF(AC32="",RebookWeeks*7,MAX(14,AC32))))</f>
        <v>0</v>
      </c>
      <c r="AE32" s="26">
        <f>IF(B32="","",ROUND(SUMIFS(Sales!$Y$5:$Y$1204,Sales!$D$5:$D$1204,A32),2))</f>
        <v>0</v>
      </c>
      <c r="AF32" s="26">
        <f>IF(B32="","",ROUND(SUMIFS(Sales!$Y$5:$Y$1204,Sales!$D$5:$D$1204,A32,Sales!$H$5:$H$1204,"Service"),2))</f>
        <v>0</v>
      </c>
      <c r="AG32" s="26">
        <f>IF(B32="","",ROUND(SUMIFS(Sales!$Y$5:$Y$1204,Sales!$D$5:$D$1204,A32,Sales!$H$5:$H$1204,"Retail"),2))</f>
        <v>0</v>
      </c>
      <c r="AH32" s="26">
        <f>IF(B32="","",ROUND(SUMIFS(Sales!$Y$5:$Y$1204,Sales!$D$5:$D$1204,A32,Sales!$B$5:$B$1204,"&gt;="&amp;TodayDate-365),2))</f>
        <v>0</v>
      </c>
      <c r="AI32" s="26">
        <f>IF(B32="","",IF(T32=0,"",ROUND(AE32/T32,2)))</f>
        <v>0</v>
      </c>
      <c r="AJ32" s="26">
        <f>IF(B32="","",IF(AI32="","",IF(AC32="","",ROUND(AI32*(365/MAX(14,AC32)),2))))</f>
        <v>0</v>
      </c>
      <c r="AK32" s="26">
        <f>IF(B32="","",ROUND(SUMIFS(Sales!$AH$5:$AH$1204,Sales!$D$5:$D$1204,A32),2))</f>
        <v>0</v>
      </c>
      <c r="AL32" s="25">
        <f>IF(B32="","",IFERROR(INDEX(Loyalty!$P$5:$P$504,MATCH(A32,Loyalty!$B$5:$B$504,0))*1,0))</f>
        <v>0</v>
      </c>
      <c r="AM32" s="39">
        <f>IF(B32="","",IF(R32="Archived","Archived",IF(T32=0,"Not been yet",IF(Z32&gt;=InactiveDays,"Inactive",IF(Z32&gt;=LapsingDays,"Lapsing",IF(T32=1,"New",IF(AH32&gt;=VipSpend,"VIP",IF(U32&gt;=4,"Regular","Active"))))))))</f>
        <v>0</v>
      </c>
      <c r="AN32" s="38">
        <f>IF(B32="","",IF(T32&gt;=2,"Yes","No"))</f>
        <v>0</v>
      </c>
      <c r="AO32" s="25">
        <f>IF(B32="","",COUNTIFS($AE$5:$AE$504,"&gt;"&amp;AE32)+COUNTIFS($AE$5:AE32,AE32))</f>
        <v>0</v>
      </c>
      <c r="AP32" s="25">
        <f>IF(B32="","",COUNTIFS($T$5:$T$504,"&gt;"&amp;T32)+COUNTIFS($T$5:T32,T32))</f>
        <v>0</v>
      </c>
      <c r="AQ32" s="39">
        <f>IF(B32="","",IF(COUNTIF($B$5:$B$504,B32)&gt;1,"Duplicate - same name twice",IF(R32="Archived","",IF(AK32&gt;0.004,"Chase - balance outstanding",IF(AM32="Inactive","Gone - win-back offer",IF(AM32="Lapsing","Chase - lapsing, call them",IF(IF(N32="",FALSE,TodayDate-N32&gt;PatchTestDays),"Due - patch test out of date",IF(IF(AD32="",FALSE,IF(AB32&lt;&gt;"",FALSE,AD32&lt;=TodayDate+14)),"Rebook - due and nothing booked",IF(IF(K32="",FALSE,ABS(DATE(YEAR(TodayDate),MONTH(K32),DAY(K32))-TodayDate)&lt;=7),"Birthday - send the treat","OK")))))))))</f>
        <v>0</v>
      </c>
    </row>
    <row r="33" spans="1:43">
      <c r="A33" s="28">
        <f>IF(B33="","",ClientPrefix&amp;TEXT(ROW()-4,"0000"))</f>
        <v>0</v>
      </c>
      <c r="J33" s="15">
        <f>IF(I33="","",IFERROR(INDEX(Staff!$B$5:$B$44,MATCH(I33,Staff!$A$5:$A$44,0)),"Not in Staff"))</f>
        <v>0</v>
      </c>
      <c r="T33" s="25">
        <f>IF(B33="","",COUNTIFS(Appointments!$E$5:$E$1204,A33,Appointments!$M$5:$M$1204,"Completed"))</f>
        <v>0</v>
      </c>
      <c r="U33" s="25">
        <f>IF(B33="","",COUNTIFS(Appointments!$E$5:$E$1204,A33,Appointments!$M$5:$M$1204,"Completed",Appointments!$B$5:$B$1204,"&gt;="&amp;TodayDate-365))</f>
        <v>0</v>
      </c>
      <c r="V33" s="25">
        <f>IF(B33="","",COUNTIFS(Appointments!$E$5:$E$1204,A33,Appointments!$M$5:$M$1204,"Cancelled"))</f>
        <v>0</v>
      </c>
      <c r="W33" s="25">
        <f>IF(B33="","",COUNTIFS(Appointments!$E$5:$E$1204,A33,Appointments!$M$5:$M$1204,"No show"))</f>
        <v>0</v>
      </c>
      <c r="X33" s="17">
        <f>IF(B33="","",IF(F33&lt;&gt;"",F33,IF(T33=0,"",SUMPRODUCT(MIN((Appointments!$E$5:$E$1204=A33)*(Appointments!$M$5:$M$1204="Completed")*Appointments!$B$5:$B$1204+(1-(Appointments!$E$5:$E$1204=A33)*(Appointments!$M$5:$M$1204="Completed"))*2958465)))))</f>
        <v>0</v>
      </c>
      <c r="Y33" s="17">
        <f>IF(B33="","",IF(T33=0,"",SUMPRODUCT(MAX((Appointments!$E$5:$E$1204=A33)*(Appointments!$M$5:$M$1204="Completed")*Appointments!$B$5:$B$1204))))</f>
        <v>0</v>
      </c>
      <c r="Z33" s="25">
        <f>IF(B33="","",IF(Y33="","",TodayDate-Y33))</f>
        <v>0</v>
      </c>
      <c r="AA33" s="42">
        <f>IF(B33="","",SUMPRODUCT(MIN((Appointments!$E$5:$E$1204=A33)*(Appointments!$M$5:$M$1204&lt;&gt;"Cancelled")*(Appointments!$M$5:$M$1204&lt;&gt;"Completed")*(Appointments!$M$5:$M$1204&lt;&gt;"No show")*(Appointments!$B$5:$B$1204&gt;=TodayDate)*Appointments!$B$5:$B$1204+(1-(Appointments!$E$5:$E$1204=A33)*(Appointments!$M$5:$M$1204&lt;&gt;"Cancelled")*(Appointments!$M$5:$M$1204&lt;&gt;"Completed")*(Appointments!$M$5:$M$1204&lt;&gt;"No show")*(Appointments!$B$5:$B$1204&gt;=TodayDate))*2958465)))</f>
        <v>0</v>
      </c>
      <c r="AB33" s="17">
        <f>IF(B33="","",IF(AA33&gt;=2958465,"",AA33))</f>
        <v>0</v>
      </c>
      <c r="AC33" s="25">
        <f>IF(B33="","",IF(T33&lt;2,"",ROUND((Y33-X33)/MAX(1,T33-1),0)))</f>
        <v>0</v>
      </c>
      <c r="AD33" s="17">
        <f>IF(B33="","",IF(Y33="","",Y33+IF(AC33="",RebookWeeks*7,MAX(14,AC33))))</f>
        <v>0</v>
      </c>
      <c r="AE33" s="26">
        <f>IF(B33="","",ROUND(SUMIFS(Sales!$Y$5:$Y$1204,Sales!$D$5:$D$1204,A33),2))</f>
        <v>0</v>
      </c>
      <c r="AF33" s="26">
        <f>IF(B33="","",ROUND(SUMIFS(Sales!$Y$5:$Y$1204,Sales!$D$5:$D$1204,A33,Sales!$H$5:$H$1204,"Service"),2))</f>
        <v>0</v>
      </c>
      <c r="AG33" s="26">
        <f>IF(B33="","",ROUND(SUMIFS(Sales!$Y$5:$Y$1204,Sales!$D$5:$D$1204,A33,Sales!$H$5:$H$1204,"Retail"),2))</f>
        <v>0</v>
      </c>
      <c r="AH33" s="26">
        <f>IF(B33="","",ROUND(SUMIFS(Sales!$Y$5:$Y$1204,Sales!$D$5:$D$1204,A33,Sales!$B$5:$B$1204,"&gt;="&amp;TodayDate-365),2))</f>
        <v>0</v>
      </c>
      <c r="AI33" s="26">
        <f>IF(B33="","",IF(T33=0,"",ROUND(AE33/T33,2)))</f>
        <v>0</v>
      </c>
      <c r="AJ33" s="26">
        <f>IF(B33="","",IF(AI33="","",IF(AC33="","",ROUND(AI33*(365/MAX(14,AC33)),2))))</f>
        <v>0</v>
      </c>
      <c r="AK33" s="26">
        <f>IF(B33="","",ROUND(SUMIFS(Sales!$AH$5:$AH$1204,Sales!$D$5:$D$1204,A33),2))</f>
        <v>0</v>
      </c>
      <c r="AL33" s="25">
        <f>IF(B33="","",IFERROR(INDEX(Loyalty!$P$5:$P$504,MATCH(A33,Loyalty!$B$5:$B$504,0))*1,0))</f>
        <v>0</v>
      </c>
      <c r="AM33" s="39">
        <f>IF(B33="","",IF(R33="Archived","Archived",IF(T33=0,"Not been yet",IF(Z33&gt;=InactiveDays,"Inactive",IF(Z33&gt;=LapsingDays,"Lapsing",IF(T33=1,"New",IF(AH33&gt;=VipSpend,"VIP",IF(U33&gt;=4,"Regular","Active"))))))))</f>
        <v>0</v>
      </c>
      <c r="AN33" s="38">
        <f>IF(B33="","",IF(T33&gt;=2,"Yes","No"))</f>
        <v>0</v>
      </c>
      <c r="AO33" s="25">
        <f>IF(B33="","",COUNTIFS($AE$5:$AE$504,"&gt;"&amp;AE33)+COUNTIFS($AE$5:AE33,AE33))</f>
        <v>0</v>
      </c>
      <c r="AP33" s="25">
        <f>IF(B33="","",COUNTIFS($T$5:$T$504,"&gt;"&amp;T33)+COUNTIFS($T$5:T33,T33))</f>
        <v>0</v>
      </c>
      <c r="AQ33" s="39">
        <f>IF(B33="","",IF(COUNTIF($B$5:$B$504,B33)&gt;1,"Duplicate - same name twice",IF(R33="Archived","",IF(AK33&gt;0.004,"Chase - balance outstanding",IF(AM33="Inactive","Gone - win-back offer",IF(AM33="Lapsing","Chase - lapsing, call them",IF(IF(N33="",FALSE,TodayDate-N33&gt;PatchTestDays),"Due - patch test out of date",IF(IF(AD33="",FALSE,IF(AB33&lt;&gt;"",FALSE,AD33&lt;=TodayDate+14)),"Rebook - due and nothing booked",IF(IF(K33="",FALSE,ABS(DATE(YEAR(TodayDate),MONTH(K33),DAY(K33))-TodayDate)&lt;=7),"Birthday - send the treat","OK")))))))))</f>
        <v>0</v>
      </c>
    </row>
    <row r="34" spans="1:43">
      <c r="A34" s="28">
        <f>IF(B34="","",ClientPrefix&amp;TEXT(ROW()-4,"0000"))</f>
        <v>0</v>
      </c>
      <c r="J34" s="15">
        <f>IF(I34="","",IFERROR(INDEX(Staff!$B$5:$B$44,MATCH(I34,Staff!$A$5:$A$44,0)),"Not in Staff"))</f>
        <v>0</v>
      </c>
      <c r="T34" s="25">
        <f>IF(B34="","",COUNTIFS(Appointments!$E$5:$E$1204,A34,Appointments!$M$5:$M$1204,"Completed"))</f>
        <v>0</v>
      </c>
      <c r="U34" s="25">
        <f>IF(B34="","",COUNTIFS(Appointments!$E$5:$E$1204,A34,Appointments!$M$5:$M$1204,"Completed",Appointments!$B$5:$B$1204,"&gt;="&amp;TodayDate-365))</f>
        <v>0</v>
      </c>
      <c r="V34" s="25">
        <f>IF(B34="","",COUNTIFS(Appointments!$E$5:$E$1204,A34,Appointments!$M$5:$M$1204,"Cancelled"))</f>
        <v>0</v>
      </c>
      <c r="W34" s="25">
        <f>IF(B34="","",COUNTIFS(Appointments!$E$5:$E$1204,A34,Appointments!$M$5:$M$1204,"No show"))</f>
        <v>0</v>
      </c>
      <c r="X34" s="17">
        <f>IF(B34="","",IF(F34&lt;&gt;"",F34,IF(T34=0,"",SUMPRODUCT(MIN((Appointments!$E$5:$E$1204=A34)*(Appointments!$M$5:$M$1204="Completed")*Appointments!$B$5:$B$1204+(1-(Appointments!$E$5:$E$1204=A34)*(Appointments!$M$5:$M$1204="Completed"))*2958465)))))</f>
        <v>0</v>
      </c>
      <c r="Y34" s="17">
        <f>IF(B34="","",IF(T34=0,"",SUMPRODUCT(MAX((Appointments!$E$5:$E$1204=A34)*(Appointments!$M$5:$M$1204="Completed")*Appointments!$B$5:$B$1204))))</f>
        <v>0</v>
      </c>
      <c r="Z34" s="25">
        <f>IF(B34="","",IF(Y34="","",TodayDate-Y34))</f>
        <v>0</v>
      </c>
      <c r="AA34" s="42">
        <f>IF(B34="","",SUMPRODUCT(MIN((Appointments!$E$5:$E$1204=A34)*(Appointments!$M$5:$M$1204&lt;&gt;"Cancelled")*(Appointments!$M$5:$M$1204&lt;&gt;"Completed")*(Appointments!$M$5:$M$1204&lt;&gt;"No show")*(Appointments!$B$5:$B$1204&gt;=TodayDate)*Appointments!$B$5:$B$1204+(1-(Appointments!$E$5:$E$1204=A34)*(Appointments!$M$5:$M$1204&lt;&gt;"Cancelled")*(Appointments!$M$5:$M$1204&lt;&gt;"Completed")*(Appointments!$M$5:$M$1204&lt;&gt;"No show")*(Appointments!$B$5:$B$1204&gt;=TodayDate))*2958465)))</f>
        <v>0</v>
      </c>
      <c r="AB34" s="17">
        <f>IF(B34="","",IF(AA34&gt;=2958465,"",AA34))</f>
        <v>0</v>
      </c>
      <c r="AC34" s="25">
        <f>IF(B34="","",IF(T34&lt;2,"",ROUND((Y34-X34)/MAX(1,T34-1),0)))</f>
        <v>0</v>
      </c>
      <c r="AD34" s="17">
        <f>IF(B34="","",IF(Y34="","",Y34+IF(AC34="",RebookWeeks*7,MAX(14,AC34))))</f>
        <v>0</v>
      </c>
      <c r="AE34" s="26">
        <f>IF(B34="","",ROUND(SUMIFS(Sales!$Y$5:$Y$1204,Sales!$D$5:$D$1204,A34),2))</f>
        <v>0</v>
      </c>
      <c r="AF34" s="26">
        <f>IF(B34="","",ROUND(SUMIFS(Sales!$Y$5:$Y$1204,Sales!$D$5:$D$1204,A34,Sales!$H$5:$H$1204,"Service"),2))</f>
        <v>0</v>
      </c>
      <c r="AG34" s="26">
        <f>IF(B34="","",ROUND(SUMIFS(Sales!$Y$5:$Y$1204,Sales!$D$5:$D$1204,A34,Sales!$H$5:$H$1204,"Retail"),2))</f>
        <v>0</v>
      </c>
      <c r="AH34" s="26">
        <f>IF(B34="","",ROUND(SUMIFS(Sales!$Y$5:$Y$1204,Sales!$D$5:$D$1204,A34,Sales!$B$5:$B$1204,"&gt;="&amp;TodayDate-365),2))</f>
        <v>0</v>
      </c>
      <c r="AI34" s="26">
        <f>IF(B34="","",IF(T34=0,"",ROUND(AE34/T34,2)))</f>
        <v>0</v>
      </c>
      <c r="AJ34" s="26">
        <f>IF(B34="","",IF(AI34="","",IF(AC34="","",ROUND(AI34*(365/MAX(14,AC34)),2))))</f>
        <v>0</v>
      </c>
      <c r="AK34" s="26">
        <f>IF(B34="","",ROUND(SUMIFS(Sales!$AH$5:$AH$1204,Sales!$D$5:$D$1204,A34),2))</f>
        <v>0</v>
      </c>
      <c r="AL34" s="25">
        <f>IF(B34="","",IFERROR(INDEX(Loyalty!$P$5:$P$504,MATCH(A34,Loyalty!$B$5:$B$504,0))*1,0))</f>
        <v>0</v>
      </c>
      <c r="AM34" s="39">
        <f>IF(B34="","",IF(R34="Archived","Archived",IF(T34=0,"Not been yet",IF(Z34&gt;=InactiveDays,"Inactive",IF(Z34&gt;=LapsingDays,"Lapsing",IF(T34=1,"New",IF(AH34&gt;=VipSpend,"VIP",IF(U34&gt;=4,"Regular","Active"))))))))</f>
        <v>0</v>
      </c>
      <c r="AN34" s="38">
        <f>IF(B34="","",IF(T34&gt;=2,"Yes","No"))</f>
        <v>0</v>
      </c>
      <c r="AO34" s="25">
        <f>IF(B34="","",COUNTIFS($AE$5:$AE$504,"&gt;"&amp;AE34)+COUNTIFS($AE$5:AE34,AE34))</f>
        <v>0</v>
      </c>
      <c r="AP34" s="25">
        <f>IF(B34="","",COUNTIFS($T$5:$T$504,"&gt;"&amp;T34)+COUNTIFS($T$5:T34,T34))</f>
        <v>0</v>
      </c>
      <c r="AQ34" s="39">
        <f>IF(B34="","",IF(COUNTIF($B$5:$B$504,B34)&gt;1,"Duplicate - same name twice",IF(R34="Archived","",IF(AK34&gt;0.004,"Chase - balance outstanding",IF(AM34="Inactive","Gone - win-back offer",IF(AM34="Lapsing","Chase - lapsing, call them",IF(IF(N34="",FALSE,TodayDate-N34&gt;PatchTestDays),"Due - patch test out of date",IF(IF(AD34="",FALSE,IF(AB34&lt;&gt;"",FALSE,AD34&lt;=TodayDate+14)),"Rebook - due and nothing booked",IF(IF(K34="",FALSE,ABS(DATE(YEAR(TodayDate),MONTH(K34),DAY(K34))-TodayDate)&lt;=7),"Birthday - send the treat","OK")))))))))</f>
        <v>0</v>
      </c>
    </row>
    <row r="35" spans="1:43">
      <c r="A35" s="28">
        <f>IF(B35="","",ClientPrefix&amp;TEXT(ROW()-4,"0000"))</f>
        <v>0</v>
      </c>
      <c r="J35" s="15">
        <f>IF(I35="","",IFERROR(INDEX(Staff!$B$5:$B$44,MATCH(I35,Staff!$A$5:$A$44,0)),"Not in Staff"))</f>
        <v>0</v>
      </c>
      <c r="T35" s="25">
        <f>IF(B35="","",COUNTIFS(Appointments!$E$5:$E$1204,A35,Appointments!$M$5:$M$1204,"Completed"))</f>
        <v>0</v>
      </c>
      <c r="U35" s="25">
        <f>IF(B35="","",COUNTIFS(Appointments!$E$5:$E$1204,A35,Appointments!$M$5:$M$1204,"Completed",Appointments!$B$5:$B$1204,"&gt;="&amp;TodayDate-365))</f>
        <v>0</v>
      </c>
      <c r="V35" s="25">
        <f>IF(B35="","",COUNTIFS(Appointments!$E$5:$E$1204,A35,Appointments!$M$5:$M$1204,"Cancelled"))</f>
        <v>0</v>
      </c>
      <c r="W35" s="25">
        <f>IF(B35="","",COUNTIFS(Appointments!$E$5:$E$1204,A35,Appointments!$M$5:$M$1204,"No show"))</f>
        <v>0</v>
      </c>
      <c r="X35" s="17">
        <f>IF(B35="","",IF(F35&lt;&gt;"",F35,IF(T35=0,"",SUMPRODUCT(MIN((Appointments!$E$5:$E$1204=A35)*(Appointments!$M$5:$M$1204="Completed")*Appointments!$B$5:$B$1204+(1-(Appointments!$E$5:$E$1204=A35)*(Appointments!$M$5:$M$1204="Completed"))*2958465)))))</f>
        <v>0</v>
      </c>
      <c r="Y35" s="17">
        <f>IF(B35="","",IF(T35=0,"",SUMPRODUCT(MAX((Appointments!$E$5:$E$1204=A35)*(Appointments!$M$5:$M$1204="Completed")*Appointments!$B$5:$B$1204))))</f>
        <v>0</v>
      </c>
      <c r="Z35" s="25">
        <f>IF(B35="","",IF(Y35="","",TodayDate-Y35))</f>
        <v>0</v>
      </c>
      <c r="AA35" s="42">
        <f>IF(B35="","",SUMPRODUCT(MIN((Appointments!$E$5:$E$1204=A35)*(Appointments!$M$5:$M$1204&lt;&gt;"Cancelled")*(Appointments!$M$5:$M$1204&lt;&gt;"Completed")*(Appointments!$M$5:$M$1204&lt;&gt;"No show")*(Appointments!$B$5:$B$1204&gt;=TodayDate)*Appointments!$B$5:$B$1204+(1-(Appointments!$E$5:$E$1204=A35)*(Appointments!$M$5:$M$1204&lt;&gt;"Cancelled")*(Appointments!$M$5:$M$1204&lt;&gt;"Completed")*(Appointments!$M$5:$M$1204&lt;&gt;"No show")*(Appointments!$B$5:$B$1204&gt;=TodayDate))*2958465)))</f>
        <v>0</v>
      </c>
      <c r="AB35" s="17">
        <f>IF(B35="","",IF(AA35&gt;=2958465,"",AA35))</f>
        <v>0</v>
      </c>
      <c r="AC35" s="25">
        <f>IF(B35="","",IF(T35&lt;2,"",ROUND((Y35-X35)/MAX(1,T35-1),0)))</f>
        <v>0</v>
      </c>
      <c r="AD35" s="17">
        <f>IF(B35="","",IF(Y35="","",Y35+IF(AC35="",RebookWeeks*7,MAX(14,AC35))))</f>
        <v>0</v>
      </c>
      <c r="AE35" s="26">
        <f>IF(B35="","",ROUND(SUMIFS(Sales!$Y$5:$Y$1204,Sales!$D$5:$D$1204,A35),2))</f>
        <v>0</v>
      </c>
      <c r="AF35" s="26">
        <f>IF(B35="","",ROUND(SUMIFS(Sales!$Y$5:$Y$1204,Sales!$D$5:$D$1204,A35,Sales!$H$5:$H$1204,"Service"),2))</f>
        <v>0</v>
      </c>
      <c r="AG35" s="26">
        <f>IF(B35="","",ROUND(SUMIFS(Sales!$Y$5:$Y$1204,Sales!$D$5:$D$1204,A35,Sales!$H$5:$H$1204,"Retail"),2))</f>
        <v>0</v>
      </c>
      <c r="AH35" s="26">
        <f>IF(B35="","",ROUND(SUMIFS(Sales!$Y$5:$Y$1204,Sales!$D$5:$D$1204,A35,Sales!$B$5:$B$1204,"&gt;="&amp;TodayDate-365),2))</f>
        <v>0</v>
      </c>
      <c r="AI35" s="26">
        <f>IF(B35="","",IF(T35=0,"",ROUND(AE35/T35,2)))</f>
        <v>0</v>
      </c>
      <c r="AJ35" s="26">
        <f>IF(B35="","",IF(AI35="","",IF(AC35="","",ROUND(AI35*(365/MAX(14,AC35)),2))))</f>
        <v>0</v>
      </c>
      <c r="AK35" s="26">
        <f>IF(B35="","",ROUND(SUMIFS(Sales!$AH$5:$AH$1204,Sales!$D$5:$D$1204,A35),2))</f>
        <v>0</v>
      </c>
      <c r="AL35" s="25">
        <f>IF(B35="","",IFERROR(INDEX(Loyalty!$P$5:$P$504,MATCH(A35,Loyalty!$B$5:$B$504,0))*1,0))</f>
        <v>0</v>
      </c>
      <c r="AM35" s="39">
        <f>IF(B35="","",IF(R35="Archived","Archived",IF(T35=0,"Not been yet",IF(Z35&gt;=InactiveDays,"Inactive",IF(Z35&gt;=LapsingDays,"Lapsing",IF(T35=1,"New",IF(AH35&gt;=VipSpend,"VIP",IF(U35&gt;=4,"Regular","Active"))))))))</f>
        <v>0</v>
      </c>
      <c r="AN35" s="38">
        <f>IF(B35="","",IF(T35&gt;=2,"Yes","No"))</f>
        <v>0</v>
      </c>
      <c r="AO35" s="25">
        <f>IF(B35="","",COUNTIFS($AE$5:$AE$504,"&gt;"&amp;AE35)+COUNTIFS($AE$5:AE35,AE35))</f>
        <v>0</v>
      </c>
      <c r="AP35" s="25">
        <f>IF(B35="","",COUNTIFS($T$5:$T$504,"&gt;"&amp;T35)+COUNTIFS($T$5:T35,T35))</f>
        <v>0</v>
      </c>
      <c r="AQ35" s="39">
        <f>IF(B35="","",IF(COUNTIF($B$5:$B$504,B35)&gt;1,"Duplicate - same name twice",IF(R35="Archived","",IF(AK35&gt;0.004,"Chase - balance outstanding",IF(AM35="Inactive","Gone - win-back offer",IF(AM35="Lapsing","Chase - lapsing, call them",IF(IF(N35="",FALSE,TodayDate-N35&gt;PatchTestDays),"Due - patch test out of date",IF(IF(AD35="",FALSE,IF(AB35&lt;&gt;"",FALSE,AD35&lt;=TodayDate+14)),"Rebook - due and nothing booked",IF(IF(K35="",FALSE,ABS(DATE(YEAR(TodayDate),MONTH(K35),DAY(K35))-TodayDate)&lt;=7),"Birthday - send the treat","OK")))))))))</f>
        <v>0</v>
      </c>
    </row>
    <row r="36" spans="1:43">
      <c r="A36" s="28">
        <f>IF(B36="","",ClientPrefix&amp;TEXT(ROW()-4,"0000"))</f>
        <v>0</v>
      </c>
      <c r="J36" s="15">
        <f>IF(I36="","",IFERROR(INDEX(Staff!$B$5:$B$44,MATCH(I36,Staff!$A$5:$A$44,0)),"Not in Staff"))</f>
        <v>0</v>
      </c>
      <c r="T36" s="25">
        <f>IF(B36="","",COUNTIFS(Appointments!$E$5:$E$1204,A36,Appointments!$M$5:$M$1204,"Completed"))</f>
        <v>0</v>
      </c>
      <c r="U36" s="25">
        <f>IF(B36="","",COUNTIFS(Appointments!$E$5:$E$1204,A36,Appointments!$M$5:$M$1204,"Completed",Appointments!$B$5:$B$1204,"&gt;="&amp;TodayDate-365))</f>
        <v>0</v>
      </c>
      <c r="V36" s="25">
        <f>IF(B36="","",COUNTIFS(Appointments!$E$5:$E$1204,A36,Appointments!$M$5:$M$1204,"Cancelled"))</f>
        <v>0</v>
      </c>
      <c r="W36" s="25">
        <f>IF(B36="","",COUNTIFS(Appointments!$E$5:$E$1204,A36,Appointments!$M$5:$M$1204,"No show"))</f>
        <v>0</v>
      </c>
      <c r="X36" s="17">
        <f>IF(B36="","",IF(F36&lt;&gt;"",F36,IF(T36=0,"",SUMPRODUCT(MIN((Appointments!$E$5:$E$1204=A36)*(Appointments!$M$5:$M$1204="Completed")*Appointments!$B$5:$B$1204+(1-(Appointments!$E$5:$E$1204=A36)*(Appointments!$M$5:$M$1204="Completed"))*2958465)))))</f>
        <v>0</v>
      </c>
      <c r="Y36" s="17">
        <f>IF(B36="","",IF(T36=0,"",SUMPRODUCT(MAX((Appointments!$E$5:$E$1204=A36)*(Appointments!$M$5:$M$1204="Completed")*Appointments!$B$5:$B$1204))))</f>
        <v>0</v>
      </c>
      <c r="Z36" s="25">
        <f>IF(B36="","",IF(Y36="","",TodayDate-Y36))</f>
        <v>0</v>
      </c>
      <c r="AA36" s="42">
        <f>IF(B36="","",SUMPRODUCT(MIN((Appointments!$E$5:$E$1204=A36)*(Appointments!$M$5:$M$1204&lt;&gt;"Cancelled")*(Appointments!$M$5:$M$1204&lt;&gt;"Completed")*(Appointments!$M$5:$M$1204&lt;&gt;"No show")*(Appointments!$B$5:$B$1204&gt;=TodayDate)*Appointments!$B$5:$B$1204+(1-(Appointments!$E$5:$E$1204=A36)*(Appointments!$M$5:$M$1204&lt;&gt;"Cancelled")*(Appointments!$M$5:$M$1204&lt;&gt;"Completed")*(Appointments!$M$5:$M$1204&lt;&gt;"No show")*(Appointments!$B$5:$B$1204&gt;=TodayDate))*2958465)))</f>
        <v>0</v>
      </c>
      <c r="AB36" s="17">
        <f>IF(B36="","",IF(AA36&gt;=2958465,"",AA36))</f>
        <v>0</v>
      </c>
      <c r="AC36" s="25">
        <f>IF(B36="","",IF(T36&lt;2,"",ROUND((Y36-X36)/MAX(1,T36-1),0)))</f>
        <v>0</v>
      </c>
      <c r="AD36" s="17">
        <f>IF(B36="","",IF(Y36="","",Y36+IF(AC36="",RebookWeeks*7,MAX(14,AC36))))</f>
        <v>0</v>
      </c>
      <c r="AE36" s="26">
        <f>IF(B36="","",ROUND(SUMIFS(Sales!$Y$5:$Y$1204,Sales!$D$5:$D$1204,A36),2))</f>
        <v>0</v>
      </c>
      <c r="AF36" s="26">
        <f>IF(B36="","",ROUND(SUMIFS(Sales!$Y$5:$Y$1204,Sales!$D$5:$D$1204,A36,Sales!$H$5:$H$1204,"Service"),2))</f>
        <v>0</v>
      </c>
      <c r="AG36" s="26">
        <f>IF(B36="","",ROUND(SUMIFS(Sales!$Y$5:$Y$1204,Sales!$D$5:$D$1204,A36,Sales!$H$5:$H$1204,"Retail"),2))</f>
        <v>0</v>
      </c>
      <c r="AH36" s="26">
        <f>IF(B36="","",ROUND(SUMIFS(Sales!$Y$5:$Y$1204,Sales!$D$5:$D$1204,A36,Sales!$B$5:$B$1204,"&gt;="&amp;TodayDate-365),2))</f>
        <v>0</v>
      </c>
      <c r="AI36" s="26">
        <f>IF(B36="","",IF(T36=0,"",ROUND(AE36/T36,2)))</f>
        <v>0</v>
      </c>
      <c r="AJ36" s="26">
        <f>IF(B36="","",IF(AI36="","",IF(AC36="","",ROUND(AI36*(365/MAX(14,AC36)),2))))</f>
        <v>0</v>
      </c>
      <c r="AK36" s="26">
        <f>IF(B36="","",ROUND(SUMIFS(Sales!$AH$5:$AH$1204,Sales!$D$5:$D$1204,A36),2))</f>
        <v>0</v>
      </c>
      <c r="AL36" s="25">
        <f>IF(B36="","",IFERROR(INDEX(Loyalty!$P$5:$P$504,MATCH(A36,Loyalty!$B$5:$B$504,0))*1,0))</f>
        <v>0</v>
      </c>
      <c r="AM36" s="39">
        <f>IF(B36="","",IF(R36="Archived","Archived",IF(T36=0,"Not been yet",IF(Z36&gt;=InactiveDays,"Inactive",IF(Z36&gt;=LapsingDays,"Lapsing",IF(T36=1,"New",IF(AH36&gt;=VipSpend,"VIP",IF(U36&gt;=4,"Regular","Active"))))))))</f>
        <v>0</v>
      </c>
      <c r="AN36" s="38">
        <f>IF(B36="","",IF(T36&gt;=2,"Yes","No"))</f>
        <v>0</v>
      </c>
      <c r="AO36" s="25">
        <f>IF(B36="","",COUNTIFS($AE$5:$AE$504,"&gt;"&amp;AE36)+COUNTIFS($AE$5:AE36,AE36))</f>
        <v>0</v>
      </c>
      <c r="AP36" s="25">
        <f>IF(B36="","",COUNTIFS($T$5:$T$504,"&gt;"&amp;T36)+COUNTIFS($T$5:T36,T36))</f>
        <v>0</v>
      </c>
      <c r="AQ36" s="39">
        <f>IF(B36="","",IF(COUNTIF($B$5:$B$504,B36)&gt;1,"Duplicate - same name twice",IF(R36="Archived","",IF(AK36&gt;0.004,"Chase - balance outstanding",IF(AM36="Inactive","Gone - win-back offer",IF(AM36="Lapsing","Chase - lapsing, call them",IF(IF(N36="",FALSE,TodayDate-N36&gt;PatchTestDays),"Due - patch test out of date",IF(IF(AD36="",FALSE,IF(AB36&lt;&gt;"",FALSE,AD36&lt;=TodayDate+14)),"Rebook - due and nothing booked",IF(IF(K36="",FALSE,ABS(DATE(YEAR(TodayDate),MONTH(K36),DAY(K36))-TodayDate)&lt;=7),"Birthday - send the treat","OK")))))))))</f>
        <v>0</v>
      </c>
    </row>
    <row r="37" spans="1:43">
      <c r="A37" s="28">
        <f>IF(B37="","",ClientPrefix&amp;TEXT(ROW()-4,"0000"))</f>
        <v>0</v>
      </c>
      <c r="J37" s="15">
        <f>IF(I37="","",IFERROR(INDEX(Staff!$B$5:$B$44,MATCH(I37,Staff!$A$5:$A$44,0)),"Not in Staff"))</f>
        <v>0</v>
      </c>
      <c r="T37" s="25">
        <f>IF(B37="","",COUNTIFS(Appointments!$E$5:$E$1204,A37,Appointments!$M$5:$M$1204,"Completed"))</f>
        <v>0</v>
      </c>
      <c r="U37" s="25">
        <f>IF(B37="","",COUNTIFS(Appointments!$E$5:$E$1204,A37,Appointments!$M$5:$M$1204,"Completed",Appointments!$B$5:$B$1204,"&gt;="&amp;TodayDate-365))</f>
        <v>0</v>
      </c>
      <c r="V37" s="25">
        <f>IF(B37="","",COUNTIFS(Appointments!$E$5:$E$1204,A37,Appointments!$M$5:$M$1204,"Cancelled"))</f>
        <v>0</v>
      </c>
      <c r="W37" s="25">
        <f>IF(B37="","",COUNTIFS(Appointments!$E$5:$E$1204,A37,Appointments!$M$5:$M$1204,"No show"))</f>
        <v>0</v>
      </c>
      <c r="X37" s="17">
        <f>IF(B37="","",IF(F37&lt;&gt;"",F37,IF(T37=0,"",SUMPRODUCT(MIN((Appointments!$E$5:$E$1204=A37)*(Appointments!$M$5:$M$1204="Completed")*Appointments!$B$5:$B$1204+(1-(Appointments!$E$5:$E$1204=A37)*(Appointments!$M$5:$M$1204="Completed"))*2958465)))))</f>
        <v>0</v>
      </c>
      <c r="Y37" s="17">
        <f>IF(B37="","",IF(T37=0,"",SUMPRODUCT(MAX((Appointments!$E$5:$E$1204=A37)*(Appointments!$M$5:$M$1204="Completed")*Appointments!$B$5:$B$1204))))</f>
        <v>0</v>
      </c>
      <c r="Z37" s="25">
        <f>IF(B37="","",IF(Y37="","",TodayDate-Y37))</f>
        <v>0</v>
      </c>
      <c r="AA37" s="42">
        <f>IF(B37="","",SUMPRODUCT(MIN((Appointments!$E$5:$E$1204=A37)*(Appointments!$M$5:$M$1204&lt;&gt;"Cancelled")*(Appointments!$M$5:$M$1204&lt;&gt;"Completed")*(Appointments!$M$5:$M$1204&lt;&gt;"No show")*(Appointments!$B$5:$B$1204&gt;=TodayDate)*Appointments!$B$5:$B$1204+(1-(Appointments!$E$5:$E$1204=A37)*(Appointments!$M$5:$M$1204&lt;&gt;"Cancelled")*(Appointments!$M$5:$M$1204&lt;&gt;"Completed")*(Appointments!$M$5:$M$1204&lt;&gt;"No show")*(Appointments!$B$5:$B$1204&gt;=TodayDate))*2958465)))</f>
        <v>0</v>
      </c>
      <c r="AB37" s="17">
        <f>IF(B37="","",IF(AA37&gt;=2958465,"",AA37))</f>
        <v>0</v>
      </c>
      <c r="AC37" s="25">
        <f>IF(B37="","",IF(T37&lt;2,"",ROUND((Y37-X37)/MAX(1,T37-1),0)))</f>
        <v>0</v>
      </c>
      <c r="AD37" s="17">
        <f>IF(B37="","",IF(Y37="","",Y37+IF(AC37="",RebookWeeks*7,MAX(14,AC37))))</f>
        <v>0</v>
      </c>
      <c r="AE37" s="26">
        <f>IF(B37="","",ROUND(SUMIFS(Sales!$Y$5:$Y$1204,Sales!$D$5:$D$1204,A37),2))</f>
        <v>0</v>
      </c>
      <c r="AF37" s="26">
        <f>IF(B37="","",ROUND(SUMIFS(Sales!$Y$5:$Y$1204,Sales!$D$5:$D$1204,A37,Sales!$H$5:$H$1204,"Service"),2))</f>
        <v>0</v>
      </c>
      <c r="AG37" s="26">
        <f>IF(B37="","",ROUND(SUMIFS(Sales!$Y$5:$Y$1204,Sales!$D$5:$D$1204,A37,Sales!$H$5:$H$1204,"Retail"),2))</f>
        <v>0</v>
      </c>
      <c r="AH37" s="26">
        <f>IF(B37="","",ROUND(SUMIFS(Sales!$Y$5:$Y$1204,Sales!$D$5:$D$1204,A37,Sales!$B$5:$B$1204,"&gt;="&amp;TodayDate-365),2))</f>
        <v>0</v>
      </c>
      <c r="AI37" s="26">
        <f>IF(B37="","",IF(T37=0,"",ROUND(AE37/T37,2)))</f>
        <v>0</v>
      </c>
      <c r="AJ37" s="26">
        <f>IF(B37="","",IF(AI37="","",IF(AC37="","",ROUND(AI37*(365/MAX(14,AC37)),2))))</f>
        <v>0</v>
      </c>
      <c r="AK37" s="26">
        <f>IF(B37="","",ROUND(SUMIFS(Sales!$AH$5:$AH$1204,Sales!$D$5:$D$1204,A37),2))</f>
        <v>0</v>
      </c>
      <c r="AL37" s="25">
        <f>IF(B37="","",IFERROR(INDEX(Loyalty!$P$5:$P$504,MATCH(A37,Loyalty!$B$5:$B$504,0))*1,0))</f>
        <v>0</v>
      </c>
      <c r="AM37" s="39">
        <f>IF(B37="","",IF(R37="Archived","Archived",IF(T37=0,"Not been yet",IF(Z37&gt;=InactiveDays,"Inactive",IF(Z37&gt;=LapsingDays,"Lapsing",IF(T37=1,"New",IF(AH37&gt;=VipSpend,"VIP",IF(U37&gt;=4,"Regular","Active"))))))))</f>
        <v>0</v>
      </c>
      <c r="AN37" s="38">
        <f>IF(B37="","",IF(T37&gt;=2,"Yes","No"))</f>
        <v>0</v>
      </c>
      <c r="AO37" s="25">
        <f>IF(B37="","",COUNTIFS($AE$5:$AE$504,"&gt;"&amp;AE37)+COUNTIFS($AE$5:AE37,AE37))</f>
        <v>0</v>
      </c>
      <c r="AP37" s="25">
        <f>IF(B37="","",COUNTIFS($T$5:$T$504,"&gt;"&amp;T37)+COUNTIFS($T$5:T37,T37))</f>
        <v>0</v>
      </c>
      <c r="AQ37" s="39">
        <f>IF(B37="","",IF(COUNTIF($B$5:$B$504,B37)&gt;1,"Duplicate - same name twice",IF(R37="Archived","",IF(AK37&gt;0.004,"Chase - balance outstanding",IF(AM37="Inactive","Gone - win-back offer",IF(AM37="Lapsing","Chase - lapsing, call them",IF(IF(N37="",FALSE,TodayDate-N37&gt;PatchTestDays),"Due - patch test out of date",IF(IF(AD37="",FALSE,IF(AB37&lt;&gt;"",FALSE,AD37&lt;=TodayDate+14)),"Rebook - due and nothing booked",IF(IF(K37="",FALSE,ABS(DATE(YEAR(TodayDate),MONTH(K37),DAY(K37))-TodayDate)&lt;=7),"Birthday - send the treat","OK")))))))))</f>
        <v>0</v>
      </c>
    </row>
    <row r="38" spans="1:43">
      <c r="A38" s="28">
        <f>IF(B38="","",ClientPrefix&amp;TEXT(ROW()-4,"0000"))</f>
        <v>0</v>
      </c>
      <c r="J38" s="15">
        <f>IF(I38="","",IFERROR(INDEX(Staff!$B$5:$B$44,MATCH(I38,Staff!$A$5:$A$44,0)),"Not in Staff"))</f>
        <v>0</v>
      </c>
      <c r="T38" s="25">
        <f>IF(B38="","",COUNTIFS(Appointments!$E$5:$E$1204,A38,Appointments!$M$5:$M$1204,"Completed"))</f>
        <v>0</v>
      </c>
      <c r="U38" s="25">
        <f>IF(B38="","",COUNTIFS(Appointments!$E$5:$E$1204,A38,Appointments!$M$5:$M$1204,"Completed",Appointments!$B$5:$B$1204,"&gt;="&amp;TodayDate-365))</f>
        <v>0</v>
      </c>
      <c r="V38" s="25">
        <f>IF(B38="","",COUNTIFS(Appointments!$E$5:$E$1204,A38,Appointments!$M$5:$M$1204,"Cancelled"))</f>
        <v>0</v>
      </c>
      <c r="W38" s="25">
        <f>IF(B38="","",COUNTIFS(Appointments!$E$5:$E$1204,A38,Appointments!$M$5:$M$1204,"No show"))</f>
        <v>0</v>
      </c>
      <c r="X38" s="17">
        <f>IF(B38="","",IF(F38&lt;&gt;"",F38,IF(T38=0,"",SUMPRODUCT(MIN((Appointments!$E$5:$E$1204=A38)*(Appointments!$M$5:$M$1204="Completed")*Appointments!$B$5:$B$1204+(1-(Appointments!$E$5:$E$1204=A38)*(Appointments!$M$5:$M$1204="Completed"))*2958465)))))</f>
        <v>0</v>
      </c>
      <c r="Y38" s="17">
        <f>IF(B38="","",IF(T38=0,"",SUMPRODUCT(MAX((Appointments!$E$5:$E$1204=A38)*(Appointments!$M$5:$M$1204="Completed")*Appointments!$B$5:$B$1204))))</f>
        <v>0</v>
      </c>
      <c r="Z38" s="25">
        <f>IF(B38="","",IF(Y38="","",TodayDate-Y38))</f>
        <v>0</v>
      </c>
      <c r="AA38" s="42">
        <f>IF(B38="","",SUMPRODUCT(MIN((Appointments!$E$5:$E$1204=A38)*(Appointments!$M$5:$M$1204&lt;&gt;"Cancelled")*(Appointments!$M$5:$M$1204&lt;&gt;"Completed")*(Appointments!$M$5:$M$1204&lt;&gt;"No show")*(Appointments!$B$5:$B$1204&gt;=TodayDate)*Appointments!$B$5:$B$1204+(1-(Appointments!$E$5:$E$1204=A38)*(Appointments!$M$5:$M$1204&lt;&gt;"Cancelled")*(Appointments!$M$5:$M$1204&lt;&gt;"Completed")*(Appointments!$M$5:$M$1204&lt;&gt;"No show")*(Appointments!$B$5:$B$1204&gt;=TodayDate))*2958465)))</f>
        <v>0</v>
      </c>
      <c r="AB38" s="17">
        <f>IF(B38="","",IF(AA38&gt;=2958465,"",AA38))</f>
        <v>0</v>
      </c>
      <c r="AC38" s="25">
        <f>IF(B38="","",IF(T38&lt;2,"",ROUND((Y38-X38)/MAX(1,T38-1),0)))</f>
        <v>0</v>
      </c>
      <c r="AD38" s="17">
        <f>IF(B38="","",IF(Y38="","",Y38+IF(AC38="",RebookWeeks*7,MAX(14,AC38))))</f>
        <v>0</v>
      </c>
      <c r="AE38" s="26">
        <f>IF(B38="","",ROUND(SUMIFS(Sales!$Y$5:$Y$1204,Sales!$D$5:$D$1204,A38),2))</f>
        <v>0</v>
      </c>
      <c r="AF38" s="26">
        <f>IF(B38="","",ROUND(SUMIFS(Sales!$Y$5:$Y$1204,Sales!$D$5:$D$1204,A38,Sales!$H$5:$H$1204,"Service"),2))</f>
        <v>0</v>
      </c>
      <c r="AG38" s="26">
        <f>IF(B38="","",ROUND(SUMIFS(Sales!$Y$5:$Y$1204,Sales!$D$5:$D$1204,A38,Sales!$H$5:$H$1204,"Retail"),2))</f>
        <v>0</v>
      </c>
      <c r="AH38" s="26">
        <f>IF(B38="","",ROUND(SUMIFS(Sales!$Y$5:$Y$1204,Sales!$D$5:$D$1204,A38,Sales!$B$5:$B$1204,"&gt;="&amp;TodayDate-365),2))</f>
        <v>0</v>
      </c>
      <c r="AI38" s="26">
        <f>IF(B38="","",IF(T38=0,"",ROUND(AE38/T38,2)))</f>
        <v>0</v>
      </c>
      <c r="AJ38" s="26">
        <f>IF(B38="","",IF(AI38="","",IF(AC38="","",ROUND(AI38*(365/MAX(14,AC38)),2))))</f>
        <v>0</v>
      </c>
      <c r="AK38" s="26">
        <f>IF(B38="","",ROUND(SUMIFS(Sales!$AH$5:$AH$1204,Sales!$D$5:$D$1204,A38),2))</f>
        <v>0</v>
      </c>
      <c r="AL38" s="25">
        <f>IF(B38="","",IFERROR(INDEX(Loyalty!$P$5:$P$504,MATCH(A38,Loyalty!$B$5:$B$504,0))*1,0))</f>
        <v>0</v>
      </c>
      <c r="AM38" s="39">
        <f>IF(B38="","",IF(R38="Archived","Archived",IF(T38=0,"Not been yet",IF(Z38&gt;=InactiveDays,"Inactive",IF(Z38&gt;=LapsingDays,"Lapsing",IF(T38=1,"New",IF(AH38&gt;=VipSpend,"VIP",IF(U38&gt;=4,"Regular","Active"))))))))</f>
        <v>0</v>
      </c>
      <c r="AN38" s="38">
        <f>IF(B38="","",IF(T38&gt;=2,"Yes","No"))</f>
        <v>0</v>
      </c>
      <c r="AO38" s="25">
        <f>IF(B38="","",COUNTIFS($AE$5:$AE$504,"&gt;"&amp;AE38)+COUNTIFS($AE$5:AE38,AE38))</f>
        <v>0</v>
      </c>
      <c r="AP38" s="25">
        <f>IF(B38="","",COUNTIFS($T$5:$T$504,"&gt;"&amp;T38)+COUNTIFS($T$5:T38,T38))</f>
        <v>0</v>
      </c>
      <c r="AQ38" s="39">
        <f>IF(B38="","",IF(COUNTIF($B$5:$B$504,B38)&gt;1,"Duplicate - same name twice",IF(R38="Archived","",IF(AK38&gt;0.004,"Chase - balance outstanding",IF(AM38="Inactive","Gone - win-back offer",IF(AM38="Lapsing","Chase - lapsing, call them",IF(IF(N38="",FALSE,TodayDate-N38&gt;PatchTestDays),"Due - patch test out of date",IF(IF(AD38="",FALSE,IF(AB38&lt;&gt;"",FALSE,AD38&lt;=TodayDate+14)),"Rebook - due and nothing booked",IF(IF(K38="",FALSE,ABS(DATE(YEAR(TodayDate),MONTH(K38),DAY(K38))-TodayDate)&lt;=7),"Birthday - send the treat","OK")))))))))</f>
        <v>0</v>
      </c>
    </row>
    <row r="39" spans="1:43">
      <c r="A39" s="28">
        <f>IF(B39="","",ClientPrefix&amp;TEXT(ROW()-4,"0000"))</f>
        <v>0</v>
      </c>
      <c r="J39" s="15">
        <f>IF(I39="","",IFERROR(INDEX(Staff!$B$5:$B$44,MATCH(I39,Staff!$A$5:$A$44,0)),"Not in Staff"))</f>
        <v>0</v>
      </c>
      <c r="T39" s="25">
        <f>IF(B39="","",COUNTIFS(Appointments!$E$5:$E$1204,A39,Appointments!$M$5:$M$1204,"Completed"))</f>
        <v>0</v>
      </c>
      <c r="U39" s="25">
        <f>IF(B39="","",COUNTIFS(Appointments!$E$5:$E$1204,A39,Appointments!$M$5:$M$1204,"Completed",Appointments!$B$5:$B$1204,"&gt;="&amp;TodayDate-365))</f>
        <v>0</v>
      </c>
      <c r="V39" s="25">
        <f>IF(B39="","",COUNTIFS(Appointments!$E$5:$E$1204,A39,Appointments!$M$5:$M$1204,"Cancelled"))</f>
        <v>0</v>
      </c>
      <c r="W39" s="25">
        <f>IF(B39="","",COUNTIFS(Appointments!$E$5:$E$1204,A39,Appointments!$M$5:$M$1204,"No show"))</f>
        <v>0</v>
      </c>
      <c r="X39" s="17">
        <f>IF(B39="","",IF(F39&lt;&gt;"",F39,IF(T39=0,"",SUMPRODUCT(MIN((Appointments!$E$5:$E$1204=A39)*(Appointments!$M$5:$M$1204="Completed")*Appointments!$B$5:$B$1204+(1-(Appointments!$E$5:$E$1204=A39)*(Appointments!$M$5:$M$1204="Completed"))*2958465)))))</f>
        <v>0</v>
      </c>
      <c r="Y39" s="17">
        <f>IF(B39="","",IF(T39=0,"",SUMPRODUCT(MAX((Appointments!$E$5:$E$1204=A39)*(Appointments!$M$5:$M$1204="Completed")*Appointments!$B$5:$B$1204))))</f>
        <v>0</v>
      </c>
      <c r="Z39" s="25">
        <f>IF(B39="","",IF(Y39="","",TodayDate-Y39))</f>
        <v>0</v>
      </c>
      <c r="AA39" s="42">
        <f>IF(B39="","",SUMPRODUCT(MIN((Appointments!$E$5:$E$1204=A39)*(Appointments!$M$5:$M$1204&lt;&gt;"Cancelled")*(Appointments!$M$5:$M$1204&lt;&gt;"Completed")*(Appointments!$M$5:$M$1204&lt;&gt;"No show")*(Appointments!$B$5:$B$1204&gt;=TodayDate)*Appointments!$B$5:$B$1204+(1-(Appointments!$E$5:$E$1204=A39)*(Appointments!$M$5:$M$1204&lt;&gt;"Cancelled")*(Appointments!$M$5:$M$1204&lt;&gt;"Completed")*(Appointments!$M$5:$M$1204&lt;&gt;"No show")*(Appointments!$B$5:$B$1204&gt;=TodayDate))*2958465)))</f>
        <v>0</v>
      </c>
      <c r="AB39" s="17">
        <f>IF(B39="","",IF(AA39&gt;=2958465,"",AA39))</f>
        <v>0</v>
      </c>
      <c r="AC39" s="25">
        <f>IF(B39="","",IF(T39&lt;2,"",ROUND((Y39-X39)/MAX(1,T39-1),0)))</f>
        <v>0</v>
      </c>
      <c r="AD39" s="17">
        <f>IF(B39="","",IF(Y39="","",Y39+IF(AC39="",RebookWeeks*7,MAX(14,AC39))))</f>
        <v>0</v>
      </c>
      <c r="AE39" s="26">
        <f>IF(B39="","",ROUND(SUMIFS(Sales!$Y$5:$Y$1204,Sales!$D$5:$D$1204,A39),2))</f>
        <v>0</v>
      </c>
      <c r="AF39" s="26">
        <f>IF(B39="","",ROUND(SUMIFS(Sales!$Y$5:$Y$1204,Sales!$D$5:$D$1204,A39,Sales!$H$5:$H$1204,"Service"),2))</f>
        <v>0</v>
      </c>
      <c r="AG39" s="26">
        <f>IF(B39="","",ROUND(SUMIFS(Sales!$Y$5:$Y$1204,Sales!$D$5:$D$1204,A39,Sales!$H$5:$H$1204,"Retail"),2))</f>
        <v>0</v>
      </c>
      <c r="AH39" s="26">
        <f>IF(B39="","",ROUND(SUMIFS(Sales!$Y$5:$Y$1204,Sales!$D$5:$D$1204,A39,Sales!$B$5:$B$1204,"&gt;="&amp;TodayDate-365),2))</f>
        <v>0</v>
      </c>
      <c r="AI39" s="26">
        <f>IF(B39="","",IF(T39=0,"",ROUND(AE39/T39,2)))</f>
        <v>0</v>
      </c>
      <c r="AJ39" s="26">
        <f>IF(B39="","",IF(AI39="","",IF(AC39="","",ROUND(AI39*(365/MAX(14,AC39)),2))))</f>
        <v>0</v>
      </c>
      <c r="AK39" s="26">
        <f>IF(B39="","",ROUND(SUMIFS(Sales!$AH$5:$AH$1204,Sales!$D$5:$D$1204,A39),2))</f>
        <v>0</v>
      </c>
      <c r="AL39" s="25">
        <f>IF(B39="","",IFERROR(INDEX(Loyalty!$P$5:$P$504,MATCH(A39,Loyalty!$B$5:$B$504,0))*1,0))</f>
        <v>0</v>
      </c>
      <c r="AM39" s="39">
        <f>IF(B39="","",IF(R39="Archived","Archived",IF(T39=0,"Not been yet",IF(Z39&gt;=InactiveDays,"Inactive",IF(Z39&gt;=LapsingDays,"Lapsing",IF(T39=1,"New",IF(AH39&gt;=VipSpend,"VIP",IF(U39&gt;=4,"Regular","Active"))))))))</f>
        <v>0</v>
      </c>
      <c r="AN39" s="38">
        <f>IF(B39="","",IF(T39&gt;=2,"Yes","No"))</f>
        <v>0</v>
      </c>
      <c r="AO39" s="25">
        <f>IF(B39="","",COUNTIFS($AE$5:$AE$504,"&gt;"&amp;AE39)+COUNTIFS($AE$5:AE39,AE39))</f>
        <v>0</v>
      </c>
      <c r="AP39" s="25">
        <f>IF(B39="","",COUNTIFS($T$5:$T$504,"&gt;"&amp;T39)+COUNTIFS($T$5:T39,T39))</f>
        <v>0</v>
      </c>
      <c r="AQ39" s="39">
        <f>IF(B39="","",IF(COUNTIF($B$5:$B$504,B39)&gt;1,"Duplicate - same name twice",IF(R39="Archived","",IF(AK39&gt;0.004,"Chase - balance outstanding",IF(AM39="Inactive","Gone - win-back offer",IF(AM39="Lapsing","Chase - lapsing, call them",IF(IF(N39="",FALSE,TodayDate-N39&gt;PatchTestDays),"Due - patch test out of date",IF(IF(AD39="",FALSE,IF(AB39&lt;&gt;"",FALSE,AD39&lt;=TodayDate+14)),"Rebook - due and nothing booked",IF(IF(K39="",FALSE,ABS(DATE(YEAR(TodayDate),MONTH(K39),DAY(K39))-TodayDate)&lt;=7),"Birthday - send the treat","OK")))))))))</f>
        <v>0</v>
      </c>
    </row>
    <row r="40" spans="1:43">
      <c r="A40" s="28">
        <f>IF(B40="","",ClientPrefix&amp;TEXT(ROW()-4,"0000"))</f>
        <v>0</v>
      </c>
      <c r="J40" s="15">
        <f>IF(I40="","",IFERROR(INDEX(Staff!$B$5:$B$44,MATCH(I40,Staff!$A$5:$A$44,0)),"Not in Staff"))</f>
        <v>0</v>
      </c>
      <c r="T40" s="25">
        <f>IF(B40="","",COUNTIFS(Appointments!$E$5:$E$1204,A40,Appointments!$M$5:$M$1204,"Completed"))</f>
        <v>0</v>
      </c>
      <c r="U40" s="25">
        <f>IF(B40="","",COUNTIFS(Appointments!$E$5:$E$1204,A40,Appointments!$M$5:$M$1204,"Completed",Appointments!$B$5:$B$1204,"&gt;="&amp;TodayDate-365))</f>
        <v>0</v>
      </c>
      <c r="V40" s="25">
        <f>IF(B40="","",COUNTIFS(Appointments!$E$5:$E$1204,A40,Appointments!$M$5:$M$1204,"Cancelled"))</f>
        <v>0</v>
      </c>
      <c r="W40" s="25">
        <f>IF(B40="","",COUNTIFS(Appointments!$E$5:$E$1204,A40,Appointments!$M$5:$M$1204,"No show"))</f>
        <v>0</v>
      </c>
      <c r="X40" s="17">
        <f>IF(B40="","",IF(F40&lt;&gt;"",F40,IF(T40=0,"",SUMPRODUCT(MIN((Appointments!$E$5:$E$1204=A40)*(Appointments!$M$5:$M$1204="Completed")*Appointments!$B$5:$B$1204+(1-(Appointments!$E$5:$E$1204=A40)*(Appointments!$M$5:$M$1204="Completed"))*2958465)))))</f>
        <v>0</v>
      </c>
      <c r="Y40" s="17">
        <f>IF(B40="","",IF(T40=0,"",SUMPRODUCT(MAX((Appointments!$E$5:$E$1204=A40)*(Appointments!$M$5:$M$1204="Completed")*Appointments!$B$5:$B$1204))))</f>
        <v>0</v>
      </c>
      <c r="Z40" s="25">
        <f>IF(B40="","",IF(Y40="","",TodayDate-Y40))</f>
        <v>0</v>
      </c>
      <c r="AA40" s="42">
        <f>IF(B40="","",SUMPRODUCT(MIN((Appointments!$E$5:$E$1204=A40)*(Appointments!$M$5:$M$1204&lt;&gt;"Cancelled")*(Appointments!$M$5:$M$1204&lt;&gt;"Completed")*(Appointments!$M$5:$M$1204&lt;&gt;"No show")*(Appointments!$B$5:$B$1204&gt;=TodayDate)*Appointments!$B$5:$B$1204+(1-(Appointments!$E$5:$E$1204=A40)*(Appointments!$M$5:$M$1204&lt;&gt;"Cancelled")*(Appointments!$M$5:$M$1204&lt;&gt;"Completed")*(Appointments!$M$5:$M$1204&lt;&gt;"No show")*(Appointments!$B$5:$B$1204&gt;=TodayDate))*2958465)))</f>
        <v>0</v>
      </c>
      <c r="AB40" s="17">
        <f>IF(B40="","",IF(AA40&gt;=2958465,"",AA40))</f>
        <v>0</v>
      </c>
      <c r="AC40" s="25">
        <f>IF(B40="","",IF(T40&lt;2,"",ROUND((Y40-X40)/MAX(1,T40-1),0)))</f>
        <v>0</v>
      </c>
      <c r="AD40" s="17">
        <f>IF(B40="","",IF(Y40="","",Y40+IF(AC40="",RebookWeeks*7,MAX(14,AC40))))</f>
        <v>0</v>
      </c>
      <c r="AE40" s="26">
        <f>IF(B40="","",ROUND(SUMIFS(Sales!$Y$5:$Y$1204,Sales!$D$5:$D$1204,A40),2))</f>
        <v>0</v>
      </c>
      <c r="AF40" s="26">
        <f>IF(B40="","",ROUND(SUMIFS(Sales!$Y$5:$Y$1204,Sales!$D$5:$D$1204,A40,Sales!$H$5:$H$1204,"Service"),2))</f>
        <v>0</v>
      </c>
      <c r="AG40" s="26">
        <f>IF(B40="","",ROUND(SUMIFS(Sales!$Y$5:$Y$1204,Sales!$D$5:$D$1204,A40,Sales!$H$5:$H$1204,"Retail"),2))</f>
        <v>0</v>
      </c>
      <c r="AH40" s="26">
        <f>IF(B40="","",ROUND(SUMIFS(Sales!$Y$5:$Y$1204,Sales!$D$5:$D$1204,A40,Sales!$B$5:$B$1204,"&gt;="&amp;TodayDate-365),2))</f>
        <v>0</v>
      </c>
      <c r="AI40" s="26">
        <f>IF(B40="","",IF(T40=0,"",ROUND(AE40/T40,2)))</f>
        <v>0</v>
      </c>
      <c r="AJ40" s="26">
        <f>IF(B40="","",IF(AI40="","",IF(AC40="","",ROUND(AI40*(365/MAX(14,AC40)),2))))</f>
        <v>0</v>
      </c>
      <c r="AK40" s="26">
        <f>IF(B40="","",ROUND(SUMIFS(Sales!$AH$5:$AH$1204,Sales!$D$5:$D$1204,A40),2))</f>
        <v>0</v>
      </c>
      <c r="AL40" s="25">
        <f>IF(B40="","",IFERROR(INDEX(Loyalty!$P$5:$P$504,MATCH(A40,Loyalty!$B$5:$B$504,0))*1,0))</f>
        <v>0</v>
      </c>
      <c r="AM40" s="39">
        <f>IF(B40="","",IF(R40="Archived","Archived",IF(T40=0,"Not been yet",IF(Z40&gt;=InactiveDays,"Inactive",IF(Z40&gt;=LapsingDays,"Lapsing",IF(T40=1,"New",IF(AH40&gt;=VipSpend,"VIP",IF(U40&gt;=4,"Regular","Active"))))))))</f>
        <v>0</v>
      </c>
      <c r="AN40" s="38">
        <f>IF(B40="","",IF(T40&gt;=2,"Yes","No"))</f>
        <v>0</v>
      </c>
      <c r="AO40" s="25">
        <f>IF(B40="","",COUNTIFS($AE$5:$AE$504,"&gt;"&amp;AE40)+COUNTIFS($AE$5:AE40,AE40))</f>
        <v>0</v>
      </c>
      <c r="AP40" s="25">
        <f>IF(B40="","",COUNTIFS($T$5:$T$504,"&gt;"&amp;T40)+COUNTIFS($T$5:T40,T40))</f>
        <v>0</v>
      </c>
      <c r="AQ40" s="39">
        <f>IF(B40="","",IF(COUNTIF($B$5:$B$504,B40)&gt;1,"Duplicate - same name twice",IF(R40="Archived","",IF(AK40&gt;0.004,"Chase - balance outstanding",IF(AM40="Inactive","Gone - win-back offer",IF(AM40="Lapsing","Chase - lapsing, call them",IF(IF(N40="",FALSE,TodayDate-N40&gt;PatchTestDays),"Due - patch test out of date",IF(IF(AD40="",FALSE,IF(AB40&lt;&gt;"",FALSE,AD40&lt;=TodayDate+14)),"Rebook - due and nothing booked",IF(IF(K40="",FALSE,ABS(DATE(YEAR(TodayDate),MONTH(K40),DAY(K40))-TodayDate)&lt;=7),"Birthday - send the treat","OK")))))))))</f>
        <v>0</v>
      </c>
    </row>
    <row r="41" spans="1:43">
      <c r="A41" s="28">
        <f>IF(B41="","",ClientPrefix&amp;TEXT(ROW()-4,"0000"))</f>
        <v>0</v>
      </c>
      <c r="J41" s="15">
        <f>IF(I41="","",IFERROR(INDEX(Staff!$B$5:$B$44,MATCH(I41,Staff!$A$5:$A$44,0)),"Not in Staff"))</f>
        <v>0</v>
      </c>
      <c r="T41" s="25">
        <f>IF(B41="","",COUNTIFS(Appointments!$E$5:$E$1204,A41,Appointments!$M$5:$M$1204,"Completed"))</f>
        <v>0</v>
      </c>
      <c r="U41" s="25">
        <f>IF(B41="","",COUNTIFS(Appointments!$E$5:$E$1204,A41,Appointments!$M$5:$M$1204,"Completed",Appointments!$B$5:$B$1204,"&gt;="&amp;TodayDate-365))</f>
        <v>0</v>
      </c>
      <c r="V41" s="25">
        <f>IF(B41="","",COUNTIFS(Appointments!$E$5:$E$1204,A41,Appointments!$M$5:$M$1204,"Cancelled"))</f>
        <v>0</v>
      </c>
      <c r="W41" s="25">
        <f>IF(B41="","",COUNTIFS(Appointments!$E$5:$E$1204,A41,Appointments!$M$5:$M$1204,"No show"))</f>
        <v>0</v>
      </c>
      <c r="X41" s="17">
        <f>IF(B41="","",IF(F41&lt;&gt;"",F41,IF(T41=0,"",SUMPRODUCT(MIN((Appointments!$E$5:$E$1204=A41)*(Appointments!$M$5:$M$1204="Completed")*Appointments!$B$5:$B$1204+(1-(Appointments!$E$5:$E$1204=A41)*(Appointments!$M$5:$M$1204="Completed"))*2958465)))))</f>
        <v>0</v>
      </c>
      <c r="Y41" s="17">
        <f>IF(B41="","",IF(T41=0,"",SUMPRODUCT(MAX((Appointments!$E$5:$E$1204=A41)*(Appointments!$M$5:$M$1204="Completed")*Appointments!$B$5:$B$1204))))</f>
        <v>0</v>
      </c>
      <c r="Z41" s="25">
        <f>IF(B41="","",IF(Y41="","",TodayDate-Y41))</f>
        <v>0</v>
      </c>
      <c r="AA41" s="42">
        <f>IF(B41="","",SUMPRODUCT(MIN((Appointments!$E$5:$E$1204=A41)*(Appointments!$M$5:$M$1204&lt;&gt;"Cancelled")*(Appointments!$M$5:$M$1204&lt;&gt;"Completed")*(Appointments!$M$5:$M$1204&lt;&gt;"No show")*(Appointments!$B$5:$B$1204&gt;=TodayDate)*Appointments!$B$5:$B$1204+(1-(Appointments!$E$5:$E$1204=A41)*(Appointments!$M$5:$M$1204&lt;&gt;"Cancelled")*(Appointments!$M$5:$M$1204&lt;&gt;"Completed")*(Appointments!$M$5:$M$1204&lt;&gt;"No show")*(Appointments!$B$5:$B$1204&gt;=TodayDate))*2958465)))</f>
        <v>0</v>
      </c>
      <c r="AB41" s="17">
        <f>IF(B41="","",IF(AA41&gt;=2958465,"",AA41))</f>
        <v>0</v>
      </c>
      <c r="AC41" s="25">
        <f>IF(B41="","",IF(T41&lt;2,"",ROUND((Y41-X41)/MAX(1,T41-1),0)))</f>
        <v>0</v>
      </c>
      <c r="AD41" s="17">
        <f>IF(B41="","",IF(Y41="","",Y41+IF(AC41="",RebookWeeks*7,MAX(14,AC41))))</f>
        <v>0</v>
      </c>
      <c r="AE41" s="26">
        <f>IF(B41="","",ROUND(SUMIFS(Sales!$Y$5:$Y$1204,Sales!$D$5:$D$1204,A41),2))</f>
        <v>0</v>
      </c>
      <c r="AF41" s="26">
        <f>IF(B41="","",ROUND(SUMIFS(Sales!$Y$5:$Y$1204,Sales!$D$5:$D$1204,A41,Sales!$H$5:$H$1204,"Service"),2))</f>
        <v>0</v>
      </c>
      <c r="AG41" s="26">
        <f>IF(B41="","",ROUND(SUMIFS(Sales!$Y$5:$Y$1204,Sales!$D$5:$D$1204,A41,Sales!$H$5:$H$1204,"Retail"),2))</f>
        <v>0</v>
      </c>
      <c r="AH41" s="26">
        <f>IF(B41="","",ROUND(SUMIFS(Sales!$Y$5:$Y$1204,Sales!$D$5:$D$1204,A41,Sales!$B$5:$B$1204,"&gt;="&amp;TodayDate-365),2))</f>
        <v>0</v>
      </c>
      <c r="AI41" s="26">
        <f>IF(B41="","",IF(T41=0,"",ROUND(AE41/T41,2)))</f>
        <v>0</v>
      </c>
      <c r="AJ41" s="26">
        <f>IF(B41="","",IF(AI41="","",IF(AC41="","",ROUND(AI41*(365/MAX(14,AC41)),2))))</f>
        <v>0</v>
      </c>
      <c r="AK41" s="26">
        <f>IF(B41="","",ROUND(SUMIFS(Sales!$AH$5:$AH$1204,Sales!$D$5:$D$1204,A41),2))</f>
        <v>0</v>
      </c>
      <c r="AL41" s="25">
        <f>IF(B41="","",IFERROR(INDEX(Loyalty!$P$5:$P$504,MATCH(A41,Loyalty!$B$5:$B$504,0))*1,0))</f>
        <v>0</v>
      </c>
      <c r="AM41" s="39">
        <f>IF(B41="","",IF(R41="Archived","Archived",IF(T41=0,"Not been yet",IF(Z41&gt;=InactiveDays,"Inactive",IF(Z41&gt;=LapsingDays,"Lapsing",IF(T41=1,"New",IF(AH41&gt;=VipSpend,"VIP",IF(U41&gt;=4,"Regular","Active"))))))))</f>
        <v>0</v>
      </c>
      <c r="AN41" s="38">
        <f>IF(B41="","",IF(T41&gt;=2,"Yes","No"))</f>
        <v>0</v>
      </c>
      <c r="AO41" s="25">
        <f>IF(B41="","",COUNTIFS($AE$5:$AE$504,"&gt;"&amp;AE41)+COUNTIFS($AE$5:AE41,AE41))</f>
        <v>0</v>
      </c>
      <c r="AP41" s="25">
        <f>IF(B41="","",COUNTIFS($T$5:$T$504,"&gt;"&amp;T41)+COUNTIFS($T$5:T41,T41))</f>
        <v>0</v>
      </c>
      <c r="AQ41" s="39">
        <f>IF(B41="","",IF(COUNTIF($B$5:$B$504,B41)&gt;1,"Duplicate - same name twice",IF(R41="Archived","",IF(AK41&gt;0.004,"Chase - balance outstanding",IF(AM41="Inactive","Gone - win-back offer",IF(AM41="Lapsing","Chase - lapsing, call them",IF(IF(N41="",FALSE,TodayDate-N41&gt;PatchTestDays),"Due - patch test out of date",IF(IF(AD41="",FALSE,IF(AB41&lt;&gt;"",FALSE,AD41&lt;=TodayDate+14)),"Rebook - due and nothing booked",IF(IF(K41="",FALSE,ABS(DATE(YEAR(TodayDate),MONTH(K41),DAY(K41))-TodayDate)&lt;=7),"Birthday - send the treat","OK")))))))))</f>
        <v>0</v>
      </c>
    </row>
    <row r="42" spans="1:43">
      <c r="A42" s="28">
        <f>IF(B42="","",ClientPrefix&amp;TEXT(ROW()-4,"0000"))</f>
        <v>0</v>
      </c>
      <c r="J42" s="15">
        <f>IF(I42="","",IFERROR(INDEX(Staff!$B$5:$B$44,MATCH(I42,Staff!$A$5:$A$44,0)),"Not in Staff"))</f>
        <v>0</v>
      </c>
      <c r="T42" s="25">
        <f>IF(B42="","",COUNTIFS(Appointments!$E$5:$E$1204,A42,Appointments!$M$5:$M$1204,"Completed"))</f>
        <v>0</v>
      </c>
      <c r="U42" s="25">
        <f>IF(B42="","",COUNTIFS(Appointments!$E$5:$E$1204,A42,Appointments!$M$5:$M$1204,"Completed",Appointments!$B$5:$B$1204,"&gt;="&amp;TodayDate-365))</f>
        <v>0</v>
      </c>
      <c r="V42" s="25">
        <f>IF(B42="","",COUNTIFS(Appointments!$E$5:$E$1204,A42,Appointments!$M$5:$M$1204,"Cancelled"))</f>
        <v>0</v>
      </c>
      <c r="W42" s="25">
        <f>IF(B42="","",COUNTIFS(Appointments!$E$5:$E$1204,A42,Appointments!$M$5:$M$1204,"No show"))</f>
        <v>0</v>
      </c>
      <c r="X42" s="17">
        <f>IF(B42="","",IF(F42&lt;&gt;"",F42,IF(T42=0,"",SUMPRODUCT(MIN((Appointments!$E$5:$E$1204=A42)*(Appointments!$M$5:$M$1204="Completed")*Appointments!$B$5:$B$1204+(1-(Appointments!$E$5:$E$1204=A42)*(Appointments!$M$5:$M$1204="Completed"))*2958465)))))</f>
        <v>0</v>
      </c>
      <c r="Y42" s="17">
        <f>IF(B42="","",IF(T42=0,"",SUMPRODUCT(MAX((Appointments!$E$5:$E$1204=A42)*(Appointments!$M$5:$M$1204="Completed")*Appointments!$B$5:$B$1204))))</f>
        <v>0</v>
      </c>
      <c r="Z42" s="25">
        <f>IF(B42="","",IF(Y42="","",TodayDate-Y42))</f>
        <v>0</v>
      </c>
      <c r="AA42" s="42">
        <f>IF(B42="","",SUMPRODUCT(MIN((Appointments!$E$5:$E$1204=A42)*(Appointments!$M$5:$M$1204&lt;&gt;"Cancelled")*(Appointments!$M$5:$M$1204&lt;&gt;"Completed")*(Appointments!$M$5:$M$1204&lt;&gt;"No show")*(Appointments!$B$5:$B$1204&gt;=TodayDate)*Appointments!$B$5:$B$1204+(1-(Appointments!$E$5:$E$1204=A42)*(Appointments!$M$5:$M$1204&lt;&gt;"Cancelled")*(Appointments!$M$5:$M$1204&lt;&gt;"Completed")*(Appointments!$M$5:$M$1204&lt;&gt;"No show")*(Appointments!$B$5:$B$1204&gt;=TodayDate))*2958465)))</f>
        <v>0</v>
      </c>
      <c r="AB42" s="17">
        <f>IF(B42="","",IF(AA42&gt;=2958465,"",AA42))</f>
        <v>0</v>
      </c>
      <c r="AC42" s="25">
        <f>IF(B42="","",IF(T42&lt;2,"",ROUND((Y42-X42)/MAX(1,T42-1),0)))</f>
        <v>0</v>
      </c>
      <c r="AD42" s="17">
        <f>IF(B42="","",IF(Y42="","",Y42+IF(AC42="",RebookWeeks*7,MAX(14,AC42))))</f>
        <v>0</v>
      </c>
      <c r="AE42" s="26">
        <f>IF(B42="","",ROUND(SUMIFS(Sales!$Y$5:$Y$1204,Sales!$D$5:$D$1204,A42),2))</f>
        <v>0</v>
      </c>
      <c r="AF42" s="26">
        <f>IF(B42="","",ROUND(SUMIFS(Sales!$Y$5:$Y$1204,Sales!$D$5:$D$1204,A42,Sales!$H$5:$H$1204,"Service"),2))</f>
        <v>0</v>
      </c>
      <c r="AG42" s="26">
        <f>IF(B42="","",ROUND(SUMIFS(Sales!$Y$5:$Y$1204,Sales!$D$5:$D$1204,A42,Sales!$H$5:$H$1204,"Retail"),2))</f>
        <v>0</v>
      </c>
      <c r="AH42" s="26">
        <f>IF(B42="","",ROUND(SUMIFS(Sales!$Y$5:$Y$1204,Sales!$D$5:$D$1204,A42,Sales!$B$5:$B$1204,"&gt;="&amp;TodayDate-365),2))</f>
        <v>0</v>
      </c>
      <c r="AI42" s="26">
        <f>IF(B42="","",IF(T42=0,"",ROUND(AE42/T42,2)))</f>
        <v>0</v>
      </c>
      <c r="AJ42" s="26">
        <f>IF(B42="","",IF(AI42="","",IF(AC42="","",ROUND(AI42*(365/MAX(14,AC42)),2))))</f>
        <v>0</v>
      </c>
      <c r="AK42" s="26">
        <f>IF(B42="","",ROUND(SUMIFS(Sales!$AH$5:$AH$1204,Sales!$D$5:$D$1204,A42),2))</f>
        <v>0</v>
      </c>
      <c r="AL42" s="25">
        <f>IF(B42="","",IFERROR(INDEX(Loyalty!$P$5:$P$504,MATCH(A42,Loyalty!$B$5:$B$504,0))*1,0))</f>
        <v>0</v>
      </c>
      <c r="AM42" s="39">
        <f>IF(B42="","",IF(R42="Archived","Archived",IF(T42=0,"Not been yet",IF(Z42&gt;=InactiveDays,"Inactive",IF(Z42&gt;=LapsingDays,"Lapsing",IF(T42=1,"New",IF(AH42&gt;=VipSpend,"VIP",IF(U42&gt;=4,"Regular","Active"))))))))</f>
        <v>0</v>
      </c>
      <c r="AN42" s="38">
        <f>IF(B42="","",IF(T42&gt;=2,"Yes","No"))</f>
        <v>0</v>
      </c>
      <c r="AO42" s="25">
        <f>IF(B42="","",COUNTIFS($AE$5:$AE$504,"&gt;"&amp;AE42)+COUNTIFS($AE$5:AE42,AE42))</f>
        <v>0</v>
      </c>
      <c r="AP42" s="25">
        <f>IF(B42="","",COUNTIFS($T$5:$T$504,"&gt;"&amp;T42)+COUNTIFS($T$5:T42,T42))</f>
        <v>0</v>
      </c>
      <c r="AQ42" s="39">
        <f>IF(B42="","",IF(COUNTIF($B$5:$B$504,B42)&gt;1,"Duplicate - same name twice",IF(R42="Archived","",IF(AK42&gt;0.004,"Chase - balance outstanding",IF(AM42="Inactive","Gone - win-back offer",IF(AM42="Lapsing","Chase - lapsing, call them",IF(IF(N42="",FALSE,TodayDate-N42&gt;PatchTestDays),"Due - patch test out of date",IF(IF(AD42="",FALSE,IF(AB42&lt;&gt;"",FALSE,AD42&lt;=TodayDate+14)),"Rebook - due and nothing booked",IF(IF(K42="",FALSE,ABS(DATE(YEAR(TodayDate),MONTH(K42),DAY(K42))-TodayDate)&lt;=7),"Birthday - send the treat","OK")))))))))</f>
        <v>0</v>
      </c>
    </row>
    <row r="43" spans="1:43">
      <c r="A43" s="28">
        <f>IF(B43="","",ClientPrefix&amp;TEXT(ROW()-4,"0000"))</f>
        <v>0</v>
      </c>
      <c r="J43" s="15">
        <f>IF(I43="","",IFERROR(INDEX(Staff!$B$5:$B$44,MATCH(I43,Staff!$A$5:$A$44,0)),"Not in Staff"))</f>
        <v>0</v>
      </c>
      <c r="T43" s="25">
        <f>IF(B43="","",COUNTIFS(Appointments!$E$5:$E$1204,A43,Appointments!$M$5:$M$1204,"Completed"))</f>
        <v>0</v>
      </c>
      <c r="U43" s="25">
        <f>IF(B43="","",COUNTIFS(Appointments!$E$5:$E$1204,A43,Appointments!$M$5:$M$1204,"Completed",Appointments!$B$5:$B$1204,"&gt;="&amp;TodayDate-365))</f>
        <v>0</v>
      </c>
      <c r="V43" s="25">
        <f>IF(B43="","",COUNTIFS(Appointments!$E$5:$E$1204,A43,Appointments!$M$5:$M$1204,"Cancelled"))</f>
        <v>0</v>
      </c>
      <c r="W43" s="25">
        <f>IF(B43="","",COUNTIFS(Appointments!$E$5:$E$1204,A43,Appointments!$M$5:$M$1204,"No show"))</f>
        <v>0</v>
      </c>
      <c r="X43" s="17">
        <f>IF(B43="","",IF(F43&lt;&gt;"",F43,IF(T43=0,"",SUMPRODUCT(MIN((Appointments!$E$5:$E$1204=A43)*(Appointments!$M$5:$M$1204="Completed")*Appointments!$B$5:$B$1204+(1-(Appointments!$E$5:$E$1204=A43)*(Appointments!$M$5:$M$1204="Completed"))*2958465)))))</f>
        <v>0</v>
      </c>
      <c r="Y43" s="17">
        <f>IF(B43="","",IF(T43=0,"",SUMPRODUCT(MAX((Appointments!$E$5:$E$1204=A43)*(Appointments!$M$5:$M$1204="Completed")*Appointments!$B$5:$B$1204))))</f>
        <v>0</v>
      </c>
      <c r="Z43" s="25">
        <f>IF(B43="","",IF(Y43="","",TodayDate-Y43))</f>
        <v>0</v>
      </c>
      <c r="AA43" s="42">
        <f>IF(B43="","",SUMPRODUCT(MIN((Appointments!$E$5:$E$1204=A43)*(Appointments!$M$5:$M$1204&lt;&gt;"Cancelled")*(Appointments!$M$5:$M$1204&lt;&gt;"Completed")*(Appointments!$M$5:$M$1204&lt;&gt;"No show")*(Appointments!$B$5:$B$1204&gt;=TodayDate)*Appointments!$B$5:$B$1204+(1-(Appointments!$E$5:$E$1204=A43)*(Appointments!$M$5:$M$1204&lt;&gt;"Cancelled")*(Appointments!$M$5:$M$1204&lt;&gt;"Completed")*(Appointments!$M$5:$M$1204&lt;&gt;"No show")*(Appointments!$B$5:$B$1204&gt;=TodayDate))*2958465)))</f>
        <v>0</v>
      </c>
      <c r="AB43" s="17">
        <f>IF(B43="","",IF(AA43&gt;=2958465,"",AA43))</f>
        <v>0</v>
      </c>
      <c r="AC43" s="25">
        <f>IF(B43="","",IF(T43&lt;2,"",ROUND((Y43-X43)/MAX(1,T43-1),0)))</f>
        <v>0</v>
      </c>
      <c r="AD43" s="17">
        <f>IF(B43="","",IF(Y43="","",Y43+IF(AC43="",RebookWeeks*7,MAX(14,AC43))))</f>
        <v>0</v>
      </c>
      <c r="AE43" s="26">
        <f>IF(B43="","",ROUND(SUMIFS(Sales!$Y$5:$Y$1204,Sales!$D$5:$D$1204,A43),2))</f>
        <v>0</v>
      </c>
      <c r="AF43" s="26">
        <f>IF(B43="","",ROUND(SUMIFS(Sales!$Y$5:$Y$1204,Sales!$D$5:$D$1204,A43,Sales!$H$5:$H$1204,"Service"),2))</f>
        <v>0</v>
      </c>
      <c r="AG43" s="26">
        <f>IF(B43="","",ROUND(SUMIFS(Sales!$Y$5:$Y$1204,Sales!$D$5:$D$1204,A43,Sales!$H$5:$H$1204,"Retail"),2))</f>
        <v>0</v>
      </c>
      <c r="AH43" s="26">
        <f>IF(B43="","",ROUND(SUMIFS(Sales!$Y$5:$Y$1204,Sales!$D$5:$D$1204,A43,Sales!$B$5:$B$1204,"&gt;="&amp;TodayDate-365),2))</f>
        <v>0</v>
      </c>
      <c r="AI43" s="26">
        <f>IF(B43="","",IF(T43=0,"",ROUND(AE43/T43,2)))</f>
        <v>0</v>
      </c>
      <c r="AJ43" s="26">
        <f>IF(B43="","",IF(AI43="","",IF(AC43="","",ROUND(AI43*(365/MAX(14,AC43)),2))))</f>
        <v>0</v>
      </c>
      <c r="AK43" s="26">
        <f>IF(B43="","",ROUND(SUMIFS(Sales!$AH$5:$AH$1204,Sales!$D$5:$D$1204,A43),2))</f>
        <v>0</v>
      </c>
      <c r="AL43" s="25">
        <f>IF(B43="","",IFERROR(INDEX(Loyalty!$P$5:$P$504,MATCH(A43,Loyalty!$B$5:$B$504,0))*1,0))</f>
        <v>0</v>
      </c>
      <c r="AM43" s="39">
        <f>IF(B43="","",IF(R43="Archived","Archived",IF(T43=0,"Not been yet",IF(Z43&gt;=InactiveDays,"Inactive",IF(Z43&gt;=LapsingDays,"Lapsing",IF(T43=1,"New",IF(AH43&gt;=VipSpend,"VIP",IF(U43&gt;=4,"Regular","Active"))))))))</f>
        <v>0</v>
      </c>
      <c r="AN43" s="38">
        <f>IF(B43="","",IF(T43&gt;=2,"Yes","No"))</f>
        <v>0</v>
      </c>
      <c r="AO43" s="25">
        <f>IF(B43="","",COUNTIFS($AE$5:$AE$504,"&gt;"&amp;AE43)+COUNTIFS($AE$5:AE43,AE43))</f>
        <v>0</v>
      </c>
      <c r="AP43" s="25">
        <f>IF(B43="","",COUNTIFS($T$5:$T$504,"&gt;"&amp;T43)+COUNTIFS($T$5:T43,T43))</f>
        <v>0</v>
      </c>
      <c r="AQ43" s="39">
        <f>IF(B43="","",IF(COUNTIF($B$5:$B$504,B43)&gt;1,"Duplicate - same name twice",IF(R43="Archived","",IF(AK43&gt;0.004,"Chase - balance outstanding",IF(AM43="Inactive","Gone - win-back offer",IF(AM43="Lapsing","Chase - lapsing, call them",IF(IF(N43="",FALSE,TodayDate-N43&gt;PatchTestDays),"Due - patch test out of date",IF(IF(AD43="",FALSE,IF(AB43&lt;&gt;"",FALSE,AD43&lt;=TodayDate+14)),"Rebook - due and nothing booked",IF(IF(K43="",FALSE,ABS(DATE(YEAR(TodayDate),MONTH(K43),DAY(K43))-TodayDate)&lt;=7),"Birthday - send the treat","OK")))))))))</f>
        <v>0</v>
      </c>
    </row>
    <row r="44" spans="1:43">
      <c r="A44" s="28">
        <f>IF(B44="","",ClientPrefix&amp;TEXT(ROW()-4,"0000"))</f>
        <v>0</v>
      </c>
      <c r="J44" s="15">
        <f>IF(I44="","",IFERROR(INDEX(Staff!$B$5:$B$44,MATCH(I44,Staff!$A$5:$A$44,0)),"Not in Staff"))</f>
        <v>0</v>
      </c>
      <c r="T44" s="25">
        <f>IF(B44="","",COUNTIFS(Appointments!$E$5:$E$1204,A44,Appointments!$M$5:$M$1204,"Completed"))</f>
        <v>0</v>
      </c>
      <c r="U44" s="25">
        <f>IF(B44="","",COUNTIFS(Appointments!$E$5:$E$1204,A44,Appointments!$M$5:$M$1204,"Completed",Appointments!$B$5:$B$1204,"&gt;="&amp;TodayDate-365))</f>
        <v>0</v>
      </c>
      <c r="V44" s="25">
        <f>IF(B44="","",COUNTIFS(Appointments!$E$5:$E$1204,A44,Appointments!$M$5:$M$1204,"Cancelled"))</f>
        <v>0</v>
      </c>
      <c r="W44" s="25">
        <f>IF(B44="","",COUNTIFS(Appointments!$E$5:$E$1204,A44,Appointments!$M$5:$M$1204,"No show"))</f>
        <v>0</v>
      </c>
      <c r="X44" s="17">
        <f>IF(B44="","",IF(F44&lt;&gt;"",F44,IF(T44=0,"",SUMPRODUCT(MIN((Appointments!$E$5:$E$1204=A44)*(Appointments!$M$5:$M$1204="Completed")*Appointments!$B$5:$B$1204+(1-(Appointments!$E$5:$E$1204=A44)*(Appointments!$M$5:$M$1204="Completed"))*2958465)))))</f>
        <v>0</v>
      </c>
      <c r="Y44" s="17">
        <f>IF(B44="","",IF(T44=0,"",SUMPRODUCT(MAX((Appointments!$E$5:$E$1204=A44)*(Appointments!$M$5:$M$1204="Completed")*Appointments!$B$5:$B$1204))))</f>
        <v>0</v>
      </c>
      <c r="Z44" s="25">
        <f>IF(B44="","",IF(Y44="","",TodayDate-Y44))</f>
        <v>0</v>
      </c>
      <c r="AA44" s="42">
        <f>IF(B44="","",SUMPRODUCT(MIN((Appointments!$E$5:$E$1204=A44)*(Appointments!$M$5:$M$1204&lt;&gt;"Cancelled")*(Appointments!$M$5:$M$1204&lt;&gt;"Completed")*(Appointments!$M$5:$M$1204&lt;&gt;"No show")*(Appointments!$B$5:$B$1204&gt;=TodayDate)*Appointments!$B$5:$B$1204+(1-(Appointments!$E$5:$E$1204=A44)*(Appointments!$M$5:$M$1204&lt;&gt;"Cancelled")*(Appointments!$M$5:$M$1204&lt;&gt;"Completed")*(Appointments!$M$5:$M$1204&lt;&gt;"No show")*(Appointments!$B$5:$B$1204&gt;=TodayDate))*2958465)))</f>
        <v>0</v>
      </c>
      <c r="AB44" s="17">
        <f>IF(B44="","",IF(AA44&gt;=2958465,"",AA44))</f>
        <v>0</v>
      </c>
      <c r="AC44" s="25">
        <f>IF(B44="","",IF(T44&lt;2,"",ROUND((Y44-X44)/MAX(1,T44-1),0)))</f>
        <v>0</v>
      </c>
      <c r="AD44" s="17">
        <f>IF(B44="","",IF(Y44="","",Y44+IF(AC44="",RebookWeeks*7,MAX(14,AC44))))</f>
        <v>0</v>
      </c>
      <c r="AE44" s="26">
        <f>IF(B44="","",ROUND(SUMIFS(Sales!$Y$5:$Y$1204,Sales!$D$5:$D$1204,A44),2))</f>
        <v>0</v>
      </c>
      <c r="AF44" s="26">
        <f>IF(B44="","",ROUND(SUMIFS(Sales!$Y$5:$Y$1204,Sales!$D$5:$D$1204,A44,Sales!$H$5:$H$1204,"Service"),2))</f>
        <v>0</v>
      </c>
      <c r="AG44" s="26">
        <f>IF(B44="","",ROUND(SUMIFS(Sales!$Y$5:$Y$1204,Sales!$D$5:$D$1204,A44,Sales!$H$5:$H$1204,"Retail"),2))</f>
        <v>0</v>
      </c>
      <c r="AH44" s="26">
        <f>IF(B44="","",ROUND(SUMIFS(Sales!$Y$5:$Y$1204,Sales!$D$5:$D$1204,A44,Sales!$B$5:$B$1204,"&gt;="&amp;TodayDate-365),2))</f>
        <v>0</v>
      </c>
      <c r="AI44" s="26">
        <f>IF(B44="","",IF(T44=0,"",ROUND(AE44/T44,2)))</f>
        <v>0</v>
      </c>
      <c r="AJ44" s="26">
        <f>IF(B44="","",IF(AI44="","",IF(AC44="","",ROUND(AI44*(365/MAX(14,AC44)),2))))</f>
        <v>0</v>
      </c>
      <c r="AK44" s="26">
        <f>IF(B44="","",ROUND(SUMIFS(Sales!$AH$5:$AH$1204,Sales!$D$5:$D$1204,A44),2))</f>
        <v>0</v>
      </c>
      <c r="AL44" s="25">
        <f>IF(B44="","",IFERROR(INDEX(Loyalty!$P$5:$P$504,MATCH(A44,Loyalty!$B$5:$B$504,0))*1,0))</f>
        <v>0</v>
      </c>
      <c r="AM44" s="39">
        <f>IF(B44="","",IF(R44="Archived","Archived",IF(T44=0,"Not been yet",IF(Z44&gt;=InactiveDays,"Inactive",IF(Z44&gt;=LapsingDays,"Lapsing",IF(T44=1,"New",IF(AH44&gt;=VipSpend,"VIP",IF(U44&gt;=4,"Regular","Active"))))))))</f>
        <v>0</v>
      </c>
      <c r="AN44" s="38">
        <f>IF(B44="","",IF(T44&gt;=2,"Yes","No"))</f>
        <v>0</v>
      </c>
      <c r="AO44" s="25">
        <f>IF(B44="","",COUNTIFS($AE$5:$AE$504,"&gt;"&amp;AE44)+COUNTIFS($AE$5:AE44,AE44))</f>
        <v>0</v>
      </c>
      <c r="AP44" s="25">
        <f>IF(B44="","",COUNTIFS($T$5:$T$504,"&gt;"&amp;T44)+COUNTIFS($T$5:T44,T44))</f>
        <v>0</v>
      </c>
      <c r="AQ44" s="39">
        <f>IF(B44="","",IF(COUNTIF($B$5:$B$504,B44)&gt;1,"Duplicate - same name twice",IF(R44="Archived","",IF(AK44&gt;0.004,"Chase - balance outstanding",IF(AM44="Inactive","Gone - win-back offer",IF(AM44="Lapsing","Chase - lapsing, call them",IF(IF(N44="",FALSE,TodayDate-N44&gt;PatchTestDays),"Due - patch test out of date",IF(IF(AD44="",FALSE,IF(AB44&lt;&gt;"",FALSE,AD44&lt;=TodayDate+14)),"Rebook - due and nothing booked",IF(IF(K44="",FALSE,ABS(DATE(YEAR(TodayDate),MONTH(K44),DAY(K44))-TodayDate)&lt;=7),"Birthday - send the treat","OK")))))))))</f>
        <v>0</v>
      </c>
    </row>
    <row r="45" spans="1:43">
      <c r="A45" s="28">
        <f>IF(B45="","",ClientPrefix&amp;TEXT(ROW()-4,"0000"))</f>
        <v>0</v>
      </c>
      <c r="J45" s="15">
        <f>IF(I45="","",IFERROR(INDEX(Staff!$B$5:$B$44,MATCH(I45,Staff!$A$5:$A$44,0)),"Not in Staff"))</f>
        <v>0</v>
      </c>
      <c r="T45" s="25">
        <f>IF(B45="","",COUNTIFS(Appointments!$E$5:$E$1204,A45,Appointments!$M$5:$M$1204,"Completed"))</f>
        <v>0</v>
      </c>
      <c r="U45" s="25">
        <f>IF(B45="","",COUNTIFS(Appointments!$E$5:$E$1204,A45,Appointments!$M$5:$M$1204,"Completed",Appointments!$B$5:$B$1204,"&gt;="&amp;TodayDate-365))</f>
        <v>0</v>
      </c>
      <c r="V45" s="25">
        <f>IF(B45="","",COUNTIFS(Appointments!$E$5:$E$1204,A45,Appointments!$M$5:$M$1204,"Cancelled"))</f>
        <v>0</v>
      </c>
      <c r="W45" s="25">
        <f>IF(B45="","",COUNTIFS(Appointments!$E$5:$E$1204,A45,Appointments!$M$5:$M$1204,"No show"))</f>
        <v>0</v>
      </c>
      <c r="X45" s="17">
        <f>IF(B45="","",IF(F45&lt;&gt;"",F45,IF(T45=0,"",SUMPRODUCT(MIN((Appointments!$E$5:$E$1204=A45)*(Appointments!$M$5:$M$1204="Completed")*Appointments!$B$5:$B$1204+(1-(Appointments!$E$5:$E$1204=A45)*(Appointments!$M$5:$M$1204="Completed"))*2958465)))))</f>
        <v>0</v>
      </c>
      <c r="Y45" s="17">
        <f>IF(B45="","",IF(T45=0,"",SUMPRODUCT(MAX((Appointments!$E$5:$E$1204=A45)*(Appointments!$M$5:$M$1204="Completed")*Appointments!$B$5:$B$1204))))</f>
        <v>0</v>
      </c>
      <c r="Z45" s="25">
        <f>IF(B45="","",IF(Y45="","",TodayDate-Y45))</f>
        <v>0</v>
      </c>
      <c r="AA45" s="42">
        <f>IF(B45="","",SUMPRODUCT(MIN((Appointments!$E$5:$E$1204=A45)*(Appointments!$M$5:$M$1204&lt;&gt;"Cancelled")*(Appointments!$M$5:$M$1204&lt;&gt;"Completed")*(Appointments!$M$5:$M$1204&lt;&gt;"No show")*(Appointments!$B$5:$B$1204&gt;=TodayDate)*Appointments!$B$5:$B$1204+(1-(Appointments!$E$5:$E$1204=A45)*(Appointments!$M$5:$M$1204&lt;&gt;"Cancelled")*(Appointments!$M$5:$M$1204&lt;&gt;"Completed")*(Appointments!$M$5:$M$1204&lt;&gt;"No show")*(Appointments!$B$5:$B$1204&gt;=TodayDate))*2958465)))</f>
        <v>0</v>
      </c>
      <c r="AB45" s="17">
        <f>IF(B45="","",IF(AA45&gt;=2958465,"",AA45))</f>
        <v>0</v>
      </c>
      <c r="AC45" s="25">
        <f>IF(B45="","",IF(T45&lt;2,"",ROUND((Y45-X45)/MAX(1,T45-1),0)))</f>
        <v>0</v>
      </c>
      <c r="AD45" s="17">
        <f>IF(B45="","",IF(Y45="","",Y45+IF(AC45="",RebookWeeks*7,MAX(14,AC45))))</f>
        <v>0</v>
      </c>
      <c r="AE45" s="26">
        <f>IF(B45="","",ROUND(SUMIFS(Sales!$Y$5:$Y$1204,Sales!$D$5:$D$1204,A45),2))</f>
        <v>0</v>
      </c>
      <c r="AF45" s="26">
        <f>IF(B45="","",ROUND(SUMIFS(Sales!$Y$5:$Y$1204,Sales!$D$5:$D$1204,A45,Sales!$H$5:$H$1204,"Service"),2))</f>
        <v>0</v>
      </c>
      <c r="AG45" s="26">
        <f>IF(B45="","",ROUND(SUMIFS(Sales!$Y$5:$Y$1204,Sales!$D$5:$D$1204,A45,Sales!$H$5:$H$1204,"Retail"),2))</f>
        <v>0</v>
      </c>
      <c r="AH45" s="26">
        <f>IF(B45="","",ROUND(SUMIFS(Sales!$Y$5:$Y$1204,Sales!$D$5:$D$1204,A45,Sales!$B$5:$B$1204,"&gt;="&amp;TodayDate-365),2))</f>
        <v>0</v>
      </c>
      <c r="AI45" s="26">
        <f>IF(B45="","",IF(T45=0,"",ROUND(AE45/T45,2)))</f>
        <v>0</v>
      </c>
      <c r="AJ45" s="26">
        <f>IF(B45="","",IF(AI45="","",IF(AC45="","",ROUND(AI45*(365/MAX(14,AC45)),2))))</f>
        <v>0</v>
      </c>
      <c r="AK45" s="26">
        <f>IF(B45="","",ROUND(SUMIFS(Sales!$AH$5:$AH$1204,Sales!$D$5:$D$1204,A45),2))</f>
        <v>0</v>
      </c>
      <c r="AL45" s="25">
        <f>IF(B45="","",IFERROR(INDEX(Loyalty!$P$5:$P$504,MATCH(A45,Loyalty!$B$5:$B$504,0))*1,0))</f>
        <v>0</v>
      </c>
      <c r="AM45" s="39">
        <f>IF(B45="","",IF(R45="Archived","Archived",IF(T45=0,"Not been yet",IF(Z45&gt;=InactiveDays,"Inactive",IF(Z45&gt;=LapsingDays,"Lapsing",IF(T45=1,"New",IF(AH45&gt;=VipSpend,"VIP",IF(U45&gt;=4,"Regular","Active"))))))))</f>
        <v>0</v>
      </c>
      <c r="AN45" s="38">
        <f>IF(B45="","",IF(T45&gt;=2,"Yes","No"))</f>
        <v>0</v>
      </c>
      <c r="AO45" s="25">
        <f>IF(B45="","",COUNTIFS($AE$5:$AE$504,"&gt;"&amp;AE45)+COUNTIFS($AE$5:AE45,AE45))</f>
        <v>0</v>
      </c>
      <c r="AP45" s="25">
        <f>IF(B45="","",COUNTIFS($T$5:$T$504,"&gt;"&amp;T45)+COUNTIFS($T$5:T45,T45))</f>
        <v>0</v>
      </c>
      <c r="AQ45" s="39">
        <f>IF(B45="","",IF(COUNTIF($B$5:$B$504,B45)&gt;1,"Duplicate - same name twice",IF(R45="Archived","",IF(AK45&gt;0.004,"Chase - balance outstanding",IF(AM45="Inactive","Gone - win-back offer",IF(AM45="Lapsing","Chase - lapsing, call them",IF(IF(N45="",FALSE,TodayDate-N45&gt;PatchTestDays),"Due - patch test out of date",IF(IF(AD45="",FALSE,IF(AB45&lt;&gt;"",FALSE,AD45&lt;=TodayDate+14)),"Rebook - due and nothing booked",IF(IF(K45="",FALSE,ABS(DATE(YEAR(TodayDate),MONTH(K45),DAY(K45))-TodayDate)&lt;=7),"Birthday - send the treat","OK")))))))))</f>
        <v>0</v>
      </c>
    </row>
    <row r="46" spans="1:43">
      <c r="A46" s="28">
        <f>IF(B46="","",ClientPrefix&amp;TEXT(ROW()-4,"0000"))</f>
        <v>0</v>
      </c>
      <c r="J46" s="15">
        <f>IF(I46="","",IFERROR(INDEX(Staff!$B$5:$B$44,MATCH(I46,Staff!$A$5:$A$44,0)),"Not in Staff"))</f>
        <v>0</v>
      </c>
      <c r="T46" s="25">
        <f>IF(B46="","",COUNTIFS(Appointments!$E$5:$E$1204,A46,Appointments!$M$5:$M$1204,"Completed"))</f>
        <v>0</v>
      </c>
      <c r="U46" s="25">
        <f>IF(B46="","",COUNTIFS(Appointments!$E$5:$E$1204,A46,Appointments!$M$5:$M$1204,"Completed",Appointments!$B$5:$B$1204,"&gt;="&amp;TodayDate-365))</f>
        <v>0</v>
      </c>
      <c r="V46" s="25">
        <f>IF(B46="","",COUNTIFS(Appointments!$E$5:$E$1204,A46,Appointments!$M$5:$M$1204,"Cancelled"))</f>
        <v>0</v>
      </c>
      <c r="W46" s="25">
        <f>IF(B46="","",COUNTIFS(Appointments!$E$5:$E$1204,A46,Appointments!$M$5:$M$1204,"No show"))</f>
        <v>0</v>
      </c>
      <c r="X46" s="17">
        <f>IF(B46="","",IF(F46&lt;&gt;"",F46,IF(T46=0,"",SUMPRODUCT(MIN((Appointments!$E$5:$E$1204=A46)*(Appointments!$M$5:$M$1204="Completed")*Appointments!$B$5:$B$1204+(1-(Appointments!$E$5:$E$1204=A46)*(Appointments!$M$5:$M$1204="Completed"))*2958465)))))</f>
        <v>0</v>
      </c>
      <c r="Y46" s="17">
        <f>IF(B46="","",IF(T46=0,"",SUMPRODUCT(MAX((Appointments!$E$5:$E$1204=A46)*(Appointments!$M$5:$M$1204="Completed")*Appointments!$B$5:$B$1204))))</f>
        <v>0</v>
      </c>
      <c r="Z46" s="25">
        <f>IF(B46="","",IF(Y46="","",TodayDate-Y46))</f>
        <v>0</v>
      </c>
      <c r="AA46" s="42">
        <f>IF(B46="","",SUMPRODUCT(MIN((Appointments!$E$5:$E$1204=A46)*(Appointments!$M$5:$M$1204&lt;&gt;"Cancelled")*(Appointments!$M$5:$M$1204&lt;&gt;"Completed")*(Appointments!$M$5:$M$1204&lt;&gt;"No show")*(Appointments!$B$5:$B$1204&gt;=TodayDate)*Appointments!$B$5:$B$1204+(1-(Appointments!$E$5:$E$1204=A46)*(Appointments!$M$5:$M$1204&lt;&gt;"Cancelled")*(Appointments!$M$5:$M$1204&lt;&gt;"Completed")*(Appointments!$M$5:$M$1204&lt;&gt;"No show")*(Appointments!$B$5:$B$1204&gt;=TodayDate))*2958465)))</f>
        <v>0</v>
      </c>
      <c r="AB46" s="17">
        <f>IF(B46="","",IF(AA46&gt;=2958465,"",AA46))</f>
        <v>0</v>
      </c>
      <c r="AC46" s="25">
        <f>IF(B46="","",IF(T46&lt;2,"",ROUND((Y46-X46)/MAX(1,T46-1),0)))</f>
        <v>0</v>
      </c>
      <c r="AD46" s="17">
        <f>IF(B46="","",IF(Y46="","",Y46+IF(AC46="",RebookWeeks*7,MAX(14,AC46))))</f>
        <v>0</v>
      </c>
      <c r="AE46" s="26">
        <f>IF(B46="","",ROUND(SUMIFS(Sales!$Y$5:$Y$1204,Sales!$D$5:$D$1204,A46),2))</f>
        <v>0</v>
      </c>
      <c r="AF46" s="26">
        <f>IF(B46="","",ROUND(SUMIFS(Sales!$Y$5:$Y$1204,Sales!$D$5:$D$1204,A46,Sales!$H$5:$H$1204,"Service"),2))</f>
        <v>0</v>
      </c>
      <c r="AG46" s="26">
        <f>IF(B46="","",ROUND(SUMIFS(Sales!$Y$5:$Y$1204,Sales!$D$5:$D$1204,A46,Sales!$H$5:$H$1204,"Retail"),2))</f>
        <v>0</v>
      </c>
      <c r="AH46" s="26">
        <f>IF(B46="","",ROUND(SUMIFS(Sales!$Y$5:$Y$1204,Sales!$D$5:$D$1204,A46,Sales!$B$5:$B$1204,"&gt;="&amp;TodayDate-365),2))</f>
        <v>0</v>
      </c>
      <c r="AI46" s="26">
        <f>IF(B46="","",IF(T46=0,"",ROUND(AE46/T46,2)))</f>
        <v>0</v>
      </c>
      <c r="AJ46" s="26">
        <f>IF(B46="","",IF(AI46="","",IF(AC46="","",ROUND(AI46*(365/MAX(14,AC46)),2))))</f>
        <v>0</v>
      </c>
      <c r="AK46" s="26">
        <f>IF(B46="","",ROUND(SUMIFS(Sales!$AH$5:$AH$1204,Sales!$D$5:$D$1204,A46),2))</f>
        <v>0</v>
      </c>
      <c r="AL46" s="25">
        <f>IF(B46="","",IFERROR(INDEX(Loyalty!$P$5:$P$504,MATCH(A46,Loyalty!$B$5:$B$504,0))*1,0))</f>
        <v>0</v>
      </c>
      <c r="AM46" s="39">
        <f>IF(B46="","",IF(R46="Archived","Archived",IF(T46=0,"Not been yet",IF(Z46&gt;=InactiveDays,"Inactive",IF(Z46&gt;=LapsingDays,"Lapsing",IF(T46=1,"New",IF(AH46&gt;=VipSpend,"VIP",IF(U46&gt;=4,"Regular","Active"))))))))</f>
        <v>0</v>
      </c>
      <c r="AN46" s="38">
        <f>IF(B46="","",IF(T46&gt;=2,"Yes","No"))</f>
        <v>0</v>
      </c>
      <c r="AO46" s="25">
        <f>IF(B46="","",COUNTIFS($AE$5:$AE$504,"&gt;"&amp;AE46)+COUNTIFS($AE$5:AE46,AE46))</f>
        <v>0</v>
      </c>
      <c r="AP46" s="25">
        <f>IF(B46="","",COUNTIFS($T$5:$T$504,"&gt;"&amp;T46)+COUNTIFS($T$5:T46,T46))</f>
        <v>0</v>
      </c>
      <c r="AQ46" s="39">
        <f>IF(B46="","",IF(COUNTIF($B$5:$B$504,B46)&gt;1,"Duplicate - same name twice",IF(R46="Archived","",IF(AK46&gt;0.004,"Chase - balance outstanding",IF(AM46="Inactive","Gone - win-back offer",IF(AM46="Lapsing","Chase - lapsing, call them",IF(IF(N46="",FALSE,TodayDate-N46&gt;PatchTestDays),"Due - patch test out of date",IF(IF(AD46="",FALSE,IF(AB46&lt;&gt;"",FALSE,AD46&lt;=TodayDate+14)),"Rebook - due and nothing booked",IF(IF(K46="",FALSE,ABS(DATE(YEAR(TodayDate),MONTH(K46),DAY(K46))-TodayDate)&lt;=7),"Birthday - send the treat","OK")))))))))</f>
        <v>0</v>
      </c>
    </row>
    <row r="47" spans="1:43">
      <c r="A47" s="28">
        <f>IF(B47="","",ClientPrefix&amp;TEXT(ROW()-4,"0000"))</f>
        <v>0</v>
      </c>
      <c r="J47" s="15">
        <f>IF(I47="","",IFERROR(INDEX(Staff!$B$5:$B$44,MATCH(I47,Staff!$A$5:$A$44,0)),"Not in Staff"))</f>
        <v>0</v>
      </c>
      <c r="T47" s="25">
        <f>IF(B47="","",COUNTIFS(Appointments!$E$5:$E$1204,A47,Appointments!$M$5:$M$1204,"Completed"))</f>
        <v>0</v>
      </c>
      <c r="U47" s="25">
        <f>IF(B47="","",COUNTIFS(Appointments!$E$5:$E$1204,A47,Appointments!$M$5:$M$1204,"Completed",Appointments!$B$5:$B$1204,"&gt;="&amp;TodayDate-365))</f>
        <v>0</v>
      </c>
      <c r="V47" s="25">
        <f>IF(B47="","",COUNTIFS(Appointments!$E$5:$E$1204,A47,Appointments!$M$5:$M$1204,"Cancelled"))</f>
        <v>0</v>
      </c>
      <c r="W47" s="25">
        <f>IF(B47="","",COUNTIFS(Appointments!$E$5:$E$1204,A47,Appointments!$M$5:$M$1204,"No show"))</f>
        <v>0</v>
      </c>
      <c r="X47" s="17">
        <f>IF(B47="","",IF(F47&lt;&gt;"",F47,IF(T47=0,"",SUMPRODUCT(MIN((Appointments!$E$5:$E$1204=A47)*(Appointments!$M$5:$M$1204="Completed")*Appointments!$B$5:$B$1204+(1-(Appointments!$E$5:$E$1204=A47)*(Appointments!$M$5:$M$1204="Completed"))*2958465)))))</f>
        <v>0</v>
      </c>
      <c r="Y47" s="17">
        <f>IF(B47="","",IF(T47=0,"",SUMPRODUCT(MAX((Appointments!$E$5:$E$1204=A47)*(Appointments!$M$5:$M$1204="Completed")*Appointments!$B$5:$B$1204))))</f>
        <v>0</v>
      </c>
      <c r="Z47" s="25">
        <f>IF(B47="","",IF(Y47="","",TodayDate-Y47))</f>
        <v>0</v>
      </c>
      <c r="AA47" s="42">
        <f>IF(B47="","",SUMPRODUCT(MIN((Appointments!$E$5:$E$1204=A47)*(Appointments!$M$5:$M$1204&lt;&gt;"Cancelled")*(Appointments!$M$5:$M$1204&lt;&gt;"Completed")*(Appointments!$M$5:$M$1204&lt;&gt;"No show")*(Appointments!$B$5:$B$1204&gt;=TodayDate)*Appointments!$B$5:$B$1204+(1-(Appointments!$E$5:$E$1204=A47)*(Appointments!$M$5:$M$1204&lt;&gt;"Cancelled")*(Appointments!$M$5:$M$1204&lt;&gt;"Completed")*(Appointments!$M$5:$M$1204&lt;&gt;"No show")*(Appointments!$B$5:$B$1204&gt;=TodayDate))*2958465)))</f>
        <v>0</v>
      </c>
      <c r="AB47" s="17">
        <f>IF(B47="","",IF(AA47&gt;=2958465,"",AA47))</f>
        <v>0</v>
      </c>
      <c r="AC47" s="25">
        <f>IF(B47="","",IF(T47&lt;2,"",ROUND((Y47-X47)/MAX(1,T47-1),0)))</f>
        <v>0</v>
      </c>
      <c r="AD47" s="17">
        <f>IF(B47="","",IF(Y47="","",Y47+IF(AC47="",RebookWeeks*7,MAX(14,AC47))))</f>
        <v>0</v>
      </c>
      <c r="AE47" s="26">
        <f>IF(B47="","",ROUND(SUMIFS(Sales!$Y$5:$Y$1204,Sales!$D$5:$D$1204,A47),2))</f>
        <v>0</v>
      </c>
      <c r="AF47" s="26">
        <f>IF(B47="","",ROUND(SUMIFS(Sales!$Y$5:$Y$1204,Sales!$D$5:$D$1204,A47,Sales!$H$5:$H$1204,"Service"),2))</f>
        <v>0</v>
      </c>
      <c r="AG47" s="26">
        <f>IF(B47="","",ROUND(SUMIFS(Sales!$Y$5:$Y$1204,Sales!$D$5:$D$1204,A47,Sales!$H$5:$H$1204,"Retail"),2))</f>
        <v>0</v>
      </c>
      <c r="AH47" s="26">
        <f>IF(B47="","",ROUND(SUMIFS(Sales!$Y$5:$Y$1204,Sales!$D$5:$D$1204,A47,Sales!$B$5:$B$1204,"&gt;="&amp;TodayDate-365),2))</f>
        <v>0</v>
      </c>
      <c r="AI47" s="26">
        <f>IF(B47="","",IF(T47=0,"",ROUND(AE47/T47,2)))</f>
        <v>0</v>
      </c>
      <c r="AJ47" s="26">
        <f>IF(B47="","",IF(AI47="","",IF(AC47="","",ROUND(AI47*(365/MAX(14,AC47)),2))))</f>
        <v>0</v>
      </c>
      <c r="AK47" s="26">
        <f>IF(B47="","",ROUND(SUMIFS(Sales!$AH$5:$AH$1204,Sales!$D$5:$D$1204,A47),2))</f>
        <v>0</v>
      </c>
      <c r="AL47" s="25">
        <f>IF(B47="","",IFERROR(INDEX(Loyalty!$P$5:$P$504,MATCH(A47,Loyalty!$B$5:$B$504,0))*1,0))</f>
        <v>0</v>
      </c>
      <c r="AM47" s="39">
        <f>IF(B47="","",IF(R47="Archived","Archived",IF(T47=0,"Not been yet",IF(Z47&gt;=InactiveDays,"Inactive",IF(Z47&gt;=LapsingDays,"Lapsing",IF(T47=1,"New",IF(AH47&gt;=VipSpend,"VIP",IF(U47&gt;=4,"Regular","Active"))))))))</f>
        <v>0</v>
      </c>
      <c r="AN47" s="38">
        <f>IF(B47="","",IF(T47&gt;=2,"Yes","No"))</f>
        <v>0</v>
      </c>
      <c r="AO47" s="25">
        <f>IF(B47="","",COUNTIFS($AE$5:$AE$504,"&gt;"&amp;AE47)+COUNTIFS($AE$5:AE47,AE47))</f>
        <v>0</v>
      </c>
      <c r="AP47" s="25">
        <f>IF(B47="","",COUNTIFS($T$5:$T$504,"&gt;"&amp;T47)+COUNTIFS($T$5:T47,T47))</f>
        <v>0</v>
      </c>
      <c r="AQ47" s="39">
        <f>IF(B47="","",IF(COUNTIF($B$5:$B$504,B47)&gt;1,"Duplicate - same name twice",IF(R47="Archived","",IF(AK47&gt;0.004,"Chase - balance outstanding",IF(AM47="Inactive","Gone - win-back offer",IF(AM47="Lapsing","Chase - lapsing, call them",IF(IF(N47="",FALSE,TodayDate-N47&gt;PatchTestDays),"Due - patch test out of date",IF(IF(AD47="",FALSE,IF(AB47&lt;&gt;"",FALSE,AD47&lt;=TodayDate+14)),"Rebook - due and nothing booked",IF(IF(K47="",FALSE,ABS(DATE(YEAR(TodayDate),MONTH(K47),DAY(K47))-TodayDate)&lt;=7),"Birthday - send the treat","OK")))))))))</f>
        <v>0</v>
      </c>
    </row>
    <row r="48" spans="1:43">
      <c r="A48" s="28">
        <f>IF(B48="","",ClientPrefix&amp;TEXT(ROW()-4,"0000"))</f>
        <v>0</v>
      </c>
      <c r="J48" s="15">
        <f>IF(I48="","",IFERROR(INDEX(Staff!$B$5:$B$44,MATCH(I48,Staff!$A$5:$A$44,0)),"Not in Staff"))</f>
        <v>0</v>
      </c>
      <c r="T48" s="25">
        <f>IF(B48="","",COUNTIFS(Appointments!$E$5:$E$1204,A48,Appointments!$M$5:$M$1204,"Completed"))</f>
        <v>0</v>
      </c>
      <c r="U48" s="25">
        <f>IF(B48="","",COUNTIFS(Appointments!$E$5:$E$1204,A48,Appointments!$M$5:$M$1204,"Completed",Appointments!$B$5:$B$1204,"&gt;="&amp;TodayDate-365))</f>
        <v>0</v>
      </c>
      <c r="V48" s="25">
        <f>IF(B48="","",COUNTIFS(Appointments!$E$5:$E$1204,A48,Appointments!$M$5:$M$1204,"Cancelled"))</f>
        <v>0</v>
      </c>
      <c r="W48" s="25">
        <f>IF(B48="","",COUNTIFS(Appointments!$E$5:$E$1204,A48,Appointments!$M$5:$M$1204,"No show"))</f>
        <v>0</v>
      </c>
      <c r="X48" s="17">
        <f>IF(B48="","",IF(F48&lt;&gt;"",F48,IF(T48=0,"",SUMPRODUCT(MIN((Appointments!$E$5:$E$1204=A48)*(Appointments!$M$5:$M$1204="Completed")*Appointments!$B$5:$B$1204+(1-(Appointments!$E$5:$E$1204=A48)*(Appointments!$M$5:$M$1204="Completed"))*2958465)))))</f>
        <v>0</v>
      </c>
      <c r="Y48" s="17">
        <f>IF(B48="","",IF(T48=0,"",SUMPRODUCT(MAX((Appointments!$E$5:$E$1204=A48)*(Appointments!$M$5:$M$1204="Completed")*Appointments!$B$5:$B$1204))))</f>
        <v>0</v>
      </c>
      <c r="Z48" s="25">
        <f>IF(B48="","",IF(Y48="","",TodayDate-Y48))</f>
        <v>0</v>
      </c>
      <c r="AA48" s="42">
        <f>IF(B48="","",SUMPRODUCT(MIN((Appointments!$E$5:$E$1204=A48)*(Appointments!$M$5:$M$1204&lt;&gt;"Cancelled")*(Appointments!$M$5:$M$1204&lt;&gt;"Completed")*(Appointments!$M$5:$M$1204&lt;&gt;"No show")*(Appointments!$B$5:$B$1204&gt;=TodayDate)*Appointments!$B$5:$B$1204+(1-(Appointments!$E$5:$E$1204=A48)*(Appointments!$M$5:$M$1204&lt;&gt;"Cancelled")*(Appointments!$M$5:$M$1204&lt;&gt;"Completed")*(Appointments!$M$5:$M$1204&lt;&gt;"No show")*(Appointments!$B$5:$B$1204&gt;=TodayDate))*2958465)))</f>
        <v>0</v>
      </c>
      <c r="AB48" s="17">
        <f>IF(B48="","",IF(AA48&gt;=2958465,"",AA48))</f>
        <v>0</v>
      </c>
      <c r="AC48" s="25">
        <f>IF(B48="","",IF(T48&lt;2,"",ROUND((Y48-X48)/MAX(1,T48-1),0)))</f>
        <v>0</v>
      </c>
      <c r="AD48" s="17">
        <f>IF(B48="","",IF(Y48="","",Y48+IF(AC48="",RebookWeeks*7,MAX(14,AC48))))</f>
        <v>0</v>
      </c>
      <c r="AE48" s="26">
        <f>IF(B48="","",ROUND(SUMIFS(Sales!$Y$5:$Y$1204,Sales!$D$5:$D$1204,A48),2))</f>
        <v>0</v>
      </c>
      <c r="AF48" s="26">
        <f>IF(B48="","",ROUND(SUMIFS(Sales!$Y$5:$Y$1204,Sales!$D$5:$D$1204,A48,Sales!$H$5:$H$1204,"Service"),2))</f>
        <v>0</v>
      </c>
      <c r="AG48" s="26">
        <f>IF(B48="","",ROUND(SUMIFS(Sales!$Y$5:$Y$1204,Sales!$D$5:$D$1204,A48,Sales!$H$5:$H$1204,"Retail"),2))</f>
        <v>0</v>
      </c>
      <c r="AH48" s="26">
        <f>IF(B48="","",ROUND(SUMIFS(Sales!$Y$5:$Y$1204,Sales!$D$5:$D$1204,A48,Sales!$B$5:$B$1204,"&gt;="&amp;TodayDate-365),2))</f>
        <v>0</v>
      </c>
      <c r="AI48" s="26">
        <f>IF(B48="","",IF(T48=0,"",ROUND(AE48/T48,2)))</f>
        <v>0</v>
      </c>
      <c r="AJ48" s="26">
        <f>IF(B48="","",IF(AI48="","",IF(AC48="","",ROUND(AI48*(365/MAX(14,AC48)),2))))</f>
        <v>0</v>
      </c>
      <c r="AK48" s="26">
        <f>IF(B48="","",ROUND(SUMIFS(Sales!$AH$5:$AH$1204,Sales!$D$5:$D$1204,A48),2))</f>
        <v>0</v>
      </c>
      <c r="AL48" s="25">
        <f>IF(B48="","",IFERROR(INDEX(Loyalty!$P$5:$P$504,MATCH(A48,Loyalty!$B$5:$B$504,0))*1,0))</f>
        <v>0</v>
      </c>
      <c r="AM48" s="39">
        <f>IF(B48="","",IF(R48="Archived","Archived",IF(T48=0,"Not been yet",IF(Z48&gt;=InactiveDays,"Inactive",IF(Z48&gt;=LapsingDays,"Lapsing",IF(T48=1,"New",IF(AH48&gt;=VipSpend,"VIP",IF(U48&gt;=4,"Regular","Active"))))))))</f>
        <v>0</v>
      </c>
      <c r="AN48" s="38">
        <f>IF(B48="","",IF(T48&gt;=2,"Yes","No"))</f>
        <v>0</v>
      </c>
      <c r="AO48" s="25">
        <f>IF(B48="","",COUNTIFS($AE$5:$AE$504,"&gt;"&amp;AE48)+COUNTIFS($AE$5:AE48,AE48))</f>
        <v>0</v>
      </c>
      <c r="AP48" s="25">
        <f>IF(B48="","",COUNTIFS($T$5:$T$504,"&gt;"&amp;T48)+COUNTIFS($T$5:T48,T48))</f>
        <v>0</v>
      </c>
      <c r="AQ48" s="39">
        <f>IF(B48="","",IF(COUNTIF($B$5:$B$504,B48)&gt;1,"Duplicate - same name twice",IF(R48="Archived","",IF(AK48&gt;0.004,"Chase - balance outstanding",IF(AM48="Inactive","Gone - win-back offer",IF(AM48="Lapsing","Chase - lapsing, call them",IF(IF(N48="",FALSE,TodayDate-N48&gt;PatchTestDays),"Due - patch test out of date",IF(IF(AD48="",FALSE,IF(AB48&lt;&gt;"",FALSE,AD48&lt;=TodayDate+14)),"Rebook - due and nothing booked",IF(IF(K48="",FALSE,ABS(DATE(YEAR(TodayDate),MONTH(K48),DAY(K48))-TodayDate)&lt;=7),"Birthday - send the treat","OK")))))))))</f>
        <v>0</v>
      </c>
    </row>
    <row r="49" spans="1:43">
      <c r="A49" s="28">
        <f>IF(B49="","",ClientPrefix&amp;TEXT(ROW()-4,"0000"))</f>
        <v>0</v>
      </c>
      <c r="J49" s="15">
        <f>IF(I49="","",IFERROR(INDEX(Staff!$B$5:$B$44,MATCH(I49,Staff!$A$5:$A$44,0)),"Not in Staff"))</f>
        <v>0</v>
      </c>
      <c r="T49" s="25">
        <f>IF(B49="","",COUNTIFS(Appointments!$E$5:$E$1204,A49,Appointments!$M$5:$M$1204,"Completed"))</f>
        <v>0</v>
      </c>
      <c r="U49" s="25">
        <f>IF(B49="","",COUNTIFS(Appointments!$E$5:$E$1204,A49,Appointments!$M$5:$M$1204,"Completed",Appointments!$B$5:$B$1204,"&gt;="&amp;TodayDate-365))</f>
        <v>0</v>
      </c>
      <c r="V49" s="25">
        <f>IF(B49="","",COUNTIFS(Appointments!$E$5:$E$1204,A49,Appointments!$M$5:$M$1204,"Cancelled"))</f>
        <v>0</v>
      </c>
      <c r="W49" s="25">
        <f>IF(B49="","",COUNTIFS(Appointments!$E$5:$E$1204,A49,Appointments!$M$5:$M$1204,"No show"))</f>
        <v>0</v>
      </c>
      <c r="X49" s="17">
        <f>IF(B49="","",IF(F49&lt;&gt;"",F49,IF(T49=0,"",SUMPRODUCT(MIN((Appointments!$E$5:$E$1204=A49)*(Appointments!$M$5:$M$1204="Completed")*Appointments!$B$5:$B$1204+(1-(Appointments!$E$5:$E$1204=A49)*(Appointments!$M$5:$M$1204="Completed"))*2958465)))))</f>
        <v>0</v>
      </c>
      <c r="Y49" s="17">
        <f>IF(B49="","",IF(T49=0,"",SUMPRODUCT(MAX((Appointments!$E$5:$E$1204=A49)*(Appointments!$M$5:$M$1204="Completed")*Appointments!$B$5:$B$1204))))</f>
        <v>0</v>
      </c>
      <c r="Z49" s="25">
        <f>IF(B49="","",IF(Y49="","",TodayDate-Y49))</f>
        <v>0</v>
      </c>
      <c r="AA49" s="42">
        <f>IF(B49="","",SUMPRODUCT(MIN((Appointments!$E$5:$E$1204=A49)*(Appointments!$M$5:$M$1204&lt;&gt;"Cancelled")*(Appointments!$M$5:$M$1204&lt;&gt;"Completed")*(Appointments!$M$5:$M$1204&lt;&gt;"No show")*(Appointments!$B$5:$B$1204&gt;=TodayDate)*Appointments!$B$5:$B$1204+(1-(Appointments!$E$5:$E$1204=A49)*(Appointments!$M$5:$M$1204&lt;&gt;"Cancelled")*(Appointments!$M$5:$M$1204&lt;&gt;"Completed")*(Appointments!$M$5:$M$1204&lt;&gt;"No show")*(Appointments!$B$5:$B$1204&gt;=TodayDate))*2958465)))</f>
        <v>0</v>
      </c>
      <c r="AB49" s="17">
        <f>IF(B49="","",IF(AA49&gt;=2958465,"",AA49))</f>
        <v>0</v>
      </c>
      <c r="AC49" s="25">
        <f>IF(B49="","",IF(T49&lt;2,"",ROUND((Y49-X49)/MAX(1,T49-1),0)))</f>
        <v>0</v>
      </c>
      <c r="AD49" s="17">
        <f>IF(B49="","",IF(Y49="","",Y49+IF(AC49="",RebookWeeks*7,MAX(14,AC49))))</f>
        <v>0</v>
      </c>
      <c r="AE49" s="26">
        <f>IF(B49="","",ROUND(SUMIFS(Sales!$Y$5:$Y$1204,Sales!$D$5:$D$1204,A49),2))</f>
        <v>0</v>
      </c>
      <c r="AF49" s="26">
        <f>IF(B49="","",ROUND(SUMIFS(Sales!$Y$5:$Y$1204,Sales!$D$5:$D$1204,A49,Sales!$H$5:$H$1204,"Service"),2))</f>
        <v>0</v>
      </c>
      <c r="AG49" s="26">
        <f>IF(B49="","",ROUND(SUMIFS(Sales!$Y$5:$Y$1204,Sales!$D$5:$D$1204,A49,Sales!$H$5:$H$1204,"Retail"),2))</f>
        <v>0</v>
      </c>
      <c r="AH49" s="26">
        <f>IF(B49="","",ROUND(SUMIFS(Sales!$Y$5:$Y$1204,Sales!$D$5:$D$1204,A49,Sales!$B$5:$B$1204,"&gt;="&amp;TodayDate-365),2))</f>
        <v>0</v>
      </c>
      <c r="AI49" s="26">
        <f>IF(B49="","",IF(T49=0,"",ROUND(AE49/T49,2)))</f>
        <v>0</v>
      </c>
      <c r="AJ49" s="26">
        <f>IF(B49="","",IF(AI49="","",IF(AC49="","",ROUND(AI49*(365/MAX(14,AC49)),2))))</f>
        <v>0</v>
      </c>
      <c r="AK49" s="26">
        <f>IF(B49="","",ROUND(SUMIFS(Sales!$AH$5:$AH$1204,Sales!$D$5:$D$1204,A49),2))</f>
        <v>0</v>
      </c>
      <c r="AL49" s="25">
        <f>IF(B49="","",IFERROR(INDEX(Loyalty!$P$5:$P$504,MATCH(A49,Loyalty!$B$5:$B$504,0))*1,0))</f>
        <v>0</v>
      </c>
      <c r="AM49" s="39">
        <f>IF(B49="","",IF(R49="Archived","Archived",IF(T49=0,"Not been yet",IF(Z49&gt;=InactiveDays,"Inactive",IF(Z49&gt;=LapsingDays,"Lapsing",IF(T49=1,"New",IF(AH49&gt;=VipSpend,"VIP",IF(U49&gt;=4,"Regular","Active"))))))))</f>
        <v>0</v>
      </c>
      <c r="AN49" s="38">
        <f>IF(B49="","",IF(T49&gt;=2,"Yes","No"))</f>
        <v>0</v>
      </c>
      <c r="AO49" s="25">
        <f>IF(B49="","",COUNTIFS($AE$5:$AE$504,"&gt;"&amp;AE49)+COUNTIFS($AE$5:AE49,AE49))</f>
        <v>0</v>
      </c>
      <c r="AP49" s="25">
        <f>IF(B49="","",COUNTIFS($T$5:$T$504,"&gt;"&amp;T49)+COUNTIFS($T$5:T49,T49))</f>
        <v>0</v>
      </c>
      <c r="AQ49" s="39">
        <f>IF(B49="","",IF(COUNTIF($B$5:$B$504,B49)&gt;1,"Duplicate - same name twice",IF(R49="Archived","",IF(AK49&gt;0.004,"Chase - balance outstanding",IF(AM49="Inactive","Gone - win-back offer",IF(AM49="Lapsing","Chase - lapsing, call them",IF(IF(N49="",FALSE,TodayDate-N49&gt;PatchTestDays),"Due - patch test out of date",IF(IF(AD49="",FALSE,IF(AB49&lt;&gt;"",FALSE,AD49&lt;=TodayDate+14)),"Rebook - due and nothing booked",IF(IF(K49="",FALSE,ABS(DATE(YEAR(TodayDate),MONTH(K49),DAY(K49))-TodayDate)&lt;=7),"Birthday - send the treat","OK")))))))))</f>
        <v>0</v>
      </c>
    </row>
    <row r="50" spans="1:43">
      <c r="A50" s="28">
        <f>IF(B50="","",ClientPrefix&amp;TEXT(ROW()-4,"0000"))</f>
        <v>0</v>
      </c>
      <c r="J50" s="15">
        <f>IF(I50="","",IFERROR(INDEX(Staff!$B$5:$B$44,MATCH(I50,Staff!$A$5:$A$44,0)),"Not in Staff"))</f>
        <v>0</v>
      </c>
      <c r="T50" s="25">
        <f>IF(B50="","",COUNTIFS(Appointments!$E$5:$E$1204,A50,Appointments!$M$5:$M$1204,"Completed"))</f>
        <v>0</v>
      </c>
      <c r="U50" s="25">
        <f>IF(B50="","",COUNTIFS(Appointments!$E$5:$E$1204,A50,Appointments!$M$5:$M$1204,"Completed",Appointments!$B$5:$B$1204,"&gt;="&amp;TodayDate-365))</f>
        <v>0</v>
      </c>
      <c r="V50" s="25">
        <f>IF(B50="","",COUNTIFS(Appointments!$E$5:$E$1204,A50,Appointments!$M$5:$M$1204,"Cancelled"))</f>
        <v>0</v>
      </c>
      <c r="W50" s="25">
        <f>IF(B50="","",COUNTIFS(Appointments!$E$5:$E$1204,A50,Appointments!$M$5:$M$1204,"No show"))</f>
        <v>0</v>
      </c>
      <c r="X50" s="17">
        <f>IF(B50="","",IF(F50&lt;&gt;"",F50,IF(T50=0,"",SUMPRODUCT(MIN((Appointments!$E$5:$E$1204=A50)*(Appointments!$M$5:$M$1204="Completed")*Appointments!$B$5:$B$1204+(1-(Appointments!$E$5:$E$1204=A50)*(Appointments!$M$5:$M$1204="Completed"))*2958465)))))</f>
        <v>0</v>
      </c>
      <c r="Y50" s="17">
        <f>IF(B50="","",IF(T50=0,"",SUMPRODUCT(MAX((Appointments!$E$5:$E$1204=A50)*(Appointments!$M$5:$M$1204="Completed")*Appointments!$B$5:$B$1204))))</f>
        <v>0</v>
      </c>
      <c r="Z50" s="25">
        <f>IF(B50="","",IF(Y50="","",TodayDate-Y50))</f>
        <v>0</v>
      </c>
      <c r="AA50" s="42">
        <f>IF(B50="","",SUMPRODUCT(MIN((Appointments!$E$5:$E$1204=A50)*(Appointments!$M$5:$M$1204&lt;&gt;"Cancelled")*(Appointments!$M$5:$M$1204&lt;&gt;"Completed")*(Appointments!$M$5:$M$1204&lt;&gt;"No show")*(Appointments!$B$5:$B$1204&gt;=TodayDate)*Appointments!$B$5:$B$1204+(1-(Appointments!$E$5:$E$1204=A50)*(Appointments!$M$5:$M$1204&lt;&gt;"Cancelled")*(Appointments!$M$5:$M$1204&lt;&gt;"Completed")*(Appointments!$M$5:$M$1204&lt;&gt;"No show")*(Appointments!$B$5:$B$1204&gt;=TodayDate))*2958465)))</f>
        <v>0</v>
      </c>
      <c r="AB50" s="17">
        <f>IF(B50="","",IF(AA50&gt;=2958465,"",AA50))</f>
        <v>0</v>
      </c>
      <c r="AC50" s="25">
        <f>IF(B50="","",IF(T50&lt;2,"",ROUND((Y50-X50)/MAX(1,T50-1),0)))</f>
        <v>0</v>
      </c>
      <c r="AD50" s="17">
        <f>IF(B50="","",IF(Y50="","",Y50+IF(AC50="",RebookWeeks*7,MAX(14,AC50))))</f>
        <v>0</v>
      </c>
      <c r="AE50" s="26">
        <f>IF(B50="","",ROUND(SUMIFS(Sales!$Y$5:$Y$1204,Sales!$D$5:$D$1204,A50),2))</f>
        <v>0</v>
      </c>
      <c r="AF50" s="26">
        <f>IF(B50="","",ROUND(SUMIFS(Sales!$Y$5:$Y$1204,Sales!$D$5:$D$1204,A50,Sales!$H$5:$H$1204,"Service"),2))</f>
        <v>0</v>
      </c>
      <c r="AG50" s="26">
        <f>IF(B50="","",ROUND(SUMIFS(Sales!$Y$5:$Y$1204,Sales!$D$5:$D$1204,A50,Sales!$H$5:$H$1204,"Retail"),2))</f>
        <v>0</v>
      </c>
      <c r="AH50" s="26">
        <f>IF(B50="","",ROUND(SUMIFS(Sales!$Y$5:$Y$1204,Sales!$D$5:$D$1204,A50,Sales!$B$5:$B$1204,"&gt;="&amp;TodayDate-365),2))</f>
        <v>0</v>
      </c>
      <c r="AI50" s="26">
        <f>IF(B50="","",IF(T50=0,"",ROUND(AE50/T50,2)))</f>
        <v>0</v>
      </c>
      <c r="AJ50" s="26">
        <f>IF(B50="","",IF(AI50="","",IF(AC50="","",ROUND(AI50*(365/MAX(14,AC50)),2))))</f>
        <v>0</v>
      </c>
      <c r="AK50" s="26">
        <f>IF(B50="","",ROUND(SUMIFS(Sales!$AH$5:$AH$1204,Sales!$D$5:$D$1204,A50),2))</f>
        <v>0</v>
      </c>
      <c r="AL50" s="25">
        <f>IF(B50="","",IFERROR(INDEX(Loyalty!$P$5:$P$504,MATCH(A50,Loyalty!$B$5:$B$504,0))*1,0))</f>
        <v>0</v>
      </c>
      <c r="AM50" s="39">
        <f>IF(B50="","",IF(R50="Archived","Archived",IF(T50=0,"Not been yet",IF(Z50&gt;=InactiveDays,"Inactive",IF(Z50&gt;=LapsingDays,"Lapsing",IF(T50=1,"New",IF(AH50&gt;=VipSpend,"VIP",IF(U50&gt;=4,"Regular","Active"))))))))</f>
        <v>0</v>
      </c>
      <c r="AN50" s="38">
        <f>IF(B50="","",IF(T50&gt;=2,"Yes","No"))</f>
        <v>0</v>
      </c>
      <c r="AO50" s="25">
        <f>IF(B50="","",COUNTIFS($AE$5:$AE$504,"&gt;"&amp;AE50)+COUNTIFS($AE$5:AE50,AE50))</f>
        <v>0</v>
      </c>
      <c r="AP50" s="25">
        <f>IF(B50="","",COUNTIFS($T$5:$T$504,"&gt;"&amp;T50)+COUNTIFS($T$5:T50,T50))</f>
        <v>0</v>
      </c>
      <c r="AQ50" s="39">
        <f>IF(B50="","",IF(COUNTIF($B$5:$B$504,B50)&gt;1,"Duplicate - same name twice",IF(R50="Archived","",IF(AK50&gt;0.004,"Chase - balance outstanding",IF(AM50="Inactive","Gone - win-back offer",IF(AM50="Lapsing","Chase - lapsing, call them",IF(IF(N50="",FALSE,TodayDate-N50&gt;PatchTestDays),"Due - patch test out of date",IF(IF(AD50="",FALSE,IF(AB50&lt;&gt;"",FALSE,AD50&lt;=TodayDate+14)),"Rebook - due and nothing booked",IF(IF(K50="",FALSE,ABS(DATE(YEAR(TodayDate),MONTH(K50),DAY(K50))-TodayDate)&lt;=7),"Birthday - send the treat","OK")))))))))</f>
        <v>0</v>
      </c>
    </row>
    <row r="51" spans="1:43">
      <c r="A51" s="28">
        <f>IF(B51="","",ClientPrefix&amp;TEXT(ROW()-4,"0000"))</f>
        <v>0</v>
      </c>
      <c r="J51" s="15">
        <f>IF(I51="","",IFERROR(INDEX(Staff!$B$5:$B$44,MATCH(I51,Staff!$A$5:$A$44,0)),"Not in Staff"))</f>
        <v>0</v>
      </c>
      <c r="T51" s="25">
        <f>IF(B51="","",COUNTIFS(Appointments!$E$5:$E$1204,A51,Appointments!$M$5:$M$1204,"Completed"))</f>
        <v>0</v>
      </c>
      <c r="U51" s="25">
        <f>IF(B51="","",COUNTIFS(Appointments!$E$5:$E$1204,A51,Appointments!$M$5:$M$1204,"Completed",Appointments!$B$5:$B$1204,"&gt;="&amp;TodayDate-365))</f>
        <v>0</v>
      </c>
      <c r="V51" s="25">
        <f>IF(B51="","",COUNTIFS(Appointments!$E$5:$E$1204,A51,Appointments!$M$5:$M$1204,"Cancelled"))</f>
        <v>0</v>
      </c>
      <c r="W51" s="25">
        <f>IF(B51="","",COUNTIFS(Appointments!$E$5:$E$1204,A51,Appointments!$M$5:$M$1204,"No show"))</f>
        <v>0</v>
      </c>
      <c r="X51" s="17">
        <f>IF(B51="","",IF(F51&lt;&gt;"",F51,IF(T51=0,"",SUMPRODUCT(MIN((Appointments!$E$5:$E$1204=A51)*(Appointments!$M$5:$M$1204="Completed")*Appointments!$B$5:$B$1204+(1-(Appointments!$E$5:$E$1204=A51)*(Appointments!$M$5:$M$1204="Completed"))*2958465)))))</f>
        <v>0</v>
      </c>
      <c r="Y51" s="17">
        <f>IF(B51="","",IF(T51=0,"",SUMPRODUCT(MAX((Appointments!$E$5:$E$1204=A51)*(Appointments!$M$5:$M$1204="Completed")*Appointments!$B$5:$B$1204))))</f>
        <v>0</v>
      </c>
      <c r="Z51" s="25">
        <f>IF(B51="","",IF(Y51="","",TodayDate-Y51))</f>
        <v>0</v>
      </c>
      <c r="AA51" s="42">
        <f>IF(B51="","",SUMPRODUCT(MIN((Appointments!$E$5:$E$1204=A51)*(Appointments!$M$5:$M$1204&lt;&gt;"Cancelled")*(Appointments!$M$5:$M$1204&lt;&gt;"Completed")*(Appointments!$M$5:$M$1204&lt;&gt;"No show")*(Appointments!$B$5:$B$1204&gt;=TodayDate)*Appointments!$B$5:$B$1204+(1-(Appointments!$E$5:$E$1204=A51)*(Appointments!$M$5:$M$1204&lt;&gt;"Cancelled")*(Appointments!$M$5:$M$1204&lt;&gt;"Completed")*(Appointments!$M$5:$M$1204&lt;&gt;"No show")*(Appointments!$B$5:$B$1204&gt;=TodayDate))*2958465)))</f>
        <v>0</v>
      </c>
      <c r="AB51" s="17">
        <f>IF(B51="","",IF(AA51&gt;=2958465,"",AA51))</f>
        <v>0</v>
      </c>
      <c r="AC51" s="25">
        <f>IF(B51="","",IF(T51&lt;2,"",ROUND((Y51-X51)/MAX(1,T51-1),0)))</f>
        <v>0</v>
      </c>
      <c r="AD51" s="17">
        <f>IF(B51="","",IF(Y51="","",Y51+IF(AC51="",RebookWeeks*7,MAX(14,AC51))))</f>
        <v>0</v>
      </c>
      <c r="AE51" s="26">
        <f>IF(B51="","",ROUND(SUMIFS(Sales!$Y$5:$Y$1204,Sales!$D$5:$D$1204,A51),2))</f>
        <v>0</v>
      </c>
      <c r="AF51" s="26">
        <f>IF(B51="","",ROUND(SUMIFS(Sales!$Y$5:$Y$1204,Sales!$D$5:$D$1204,A51,Sales!$H$5:$H$1204,"Service"),2))</f>
        <v>0</v>
      </c>
      <c r="AG51" s="26">
        <f>IF(B51="","",ROUND(SUMIFS(Sales!$Y$5:$Y$1204,Sales!$D$5:$D$1204,A51,Sales!$H$5:$H$1204,"Retail"),2))</f>
        <v>0</v>
      </c>
      <c r="AH51" s="26">
        <f>IF(B51="","",ROUND(SUMIFS(Sales!$Y$5:$Y$1204,Sales!$D$5:$D$1204,A51,Sales!$B$5:$B$1204,"&gt;="&amp;TodayDate-365),2))</f>
        <v>0</v>
      </c>
      <c r="AI51" s="26">
        <f>IF(B51="","",IF(T51=0,"",ROUND(AE51/T51,2)))</f>
        <v>0</v>
      </c>
      <c r="AJ51" s="26">
        <f>IF(B51="","",IF(AI51="","",IF(AC51="","",ROUND(AI51*(365/MAX(14,AC51)),2))))</f>
        <v>0</v>
      </c>
      <c r="AK51" s="26">
        <f>IF(B51="","",ROUND(SUMIFS(Sales!$AH$5:$AH$1204,Sales!$D$5:$D$1204,A51),2))</f>
        <v>0</v>
      </c>
      <c r="AL51" s="25">
        <f>IF(B51="","",IFERROR(INDEX(Loyalty!$P$5:$P$504,MATCH(A51,Loyalty!$B$5:$B$504,0))*1,0))</f>
        <v>0</v>
      </c>
      <c r="AM51" s="39">
        <f>IF(B51="","",IF(R51="Archived","Archived",IF(T51=0,"Not been yet",IF(Z51&gt;=InactiveDays,"Inactive",IF(Z51&gt;=LapsingDays,"Lapsing",IF(T51=1,"New",IF(AH51&gt;=VipSpend,"VIP",IF(U51&gt;=4,"Regular","Active"))))))))</f>
        <v>0</v>
      </c>
      <c r="AN51" s="38">
        <f>IF(B51="","",IF(T51&gt;=2,"Yes","No"))</f>
        <v>0</v>
      </c>
      <c r="AO51" s="25">
        <f>IF(B51="","",COUNTIFS($AE$5:$AE$504,"&gt;"&amp;AE51)+COUNTIFS($AE$5:AE51,AE51))</f>
        <v>0</v>
      </c>
      <c r="AP51" s="25">
        <f>IF(B51="","",COUNTIFS($T$5:$T$504,"&gt;"&amp;T51)+COUNTIFS($T$5:T51,T51))</f>
        <v>0</v>
      </c>
      <c r="AQ51" s="39">
        <f>IF(B51="","",IF(COUNTIF($B$5:$B$504,B51)&gt;1,"Duplicate - same name twice",IF(R51="Archived","",IF(AK51&gt;0.004,"Chase - balance outstanding",IF(AM51="Inactive","Gone - win-back offer",IF(AM51="Lapsing","Chase - lapsing, call them",IF(IF(N51="",FALSE,TodayDate-N51&gt;PatchTestDays),"Due - patch test out of date",IF(IF(AD51="",FALSE,IF(AB51&lt;&gt;"",FALSE,AD51&lt;=TodayDate+14)),"Rebook - due and nothing booked",IF(IF(K51="",FALSE,ABS(DATE(YEAR(TodayDate),MONTH(K51),DAY(K51))-TodayDate)&lt;=7),"Birthday - send the treat","OK")))))))))</f>
        <v>0</v>
      </c>
    </row>
    <row r="52" spans="1:43">
      <c r="A52" s="28">
        <f>IF(B52="","",ClientPrefix&amp;TEXT(ROW()-4,"0000"))</f>
        <v>0</v>
      </c>
      <c r="J52" s="15">
        <f>IF(I52="","",IFERROR(INDEX(Staff!$B$5:$B$44,MATCH(I52,Staff!$A$5:$A$44,0)),"Not in Staff"))</f>
        <v>0</v>
      </c>
      <c r="T52" s="25">
        <f>IF(B52="","",COUNTIFS(Appointments!$E$5:$E$1204,A52,Appointments!$M$5:$M$1204,"Completed"))</f>
        <v>0</v>
      </c>
      <c r="U52" s="25">
        <f>IF(B52="","",COUNTIFS(Appointments!$E$5:$E$1204,A52,Appointments!$M$5:$M$1204,"Completed",Appointments!$B$5:$B$1204,"&gt;="&amp;TodayDate-365))</f>
        <v>0</v>
      </c>
      <c r="V52" s="25">
        <f>IF(B52="","",COUNTIFS(Appointments!$E$5:$E$1204,A52,Appointments!$M$5:$M$1204,"Cancelled"))</f>
        <v>0</v>
      </c>
      <c r="W52" s="25">
        <f>IF(B52="","",COUNTIFS(Appointments!$E$5:$E$1204,A52,Appointments!$M$5:$M$1204,"No show"))</f>
        <v>0</v>
      </c>
      <c r="X52" s="17">
        <f>IF(B52="","",IF(F52&lt;&gt;"",F52,IF(T52=0,"",SUMPRODUCT(MIN((Appointments!$E$5:$E$1204=A52)*(Appointments!$M$5:$M$1204="Completed")*Appointments!$B$5:$B$1204+(1-(Appointments!$E$5:$E$1204=A52)*(Appointments!$M$5:$M$1204="Completed"))*2958465)))))</f>
        <v>0</v>
      </c>
      <c r="Y52" s="17">
        <f>IF(B52="","",IF(T52=0,"",SUMPRODUCT(MAX((Appointments!$E$5:$E$1204=A52)*(Appointments!$M$5:$M$1204="Completed")*Appointments!$B$5:$B$1204))))</f>
        <v>0</v>
      </c>
      <c r="Z52" s="25">
        <f>IF(B52="","",IF(Y52="","",TodayDate-Y52))</f>
        <v>0</v>
      </c>
      <c r="AA52" s="42">
        <f>IF(B52="","",SUMPRODUCT(MIN((Appointments!$E$5:$E$1204=A52)*(Appointments!$M$5:$M$1204&lt;&gt;"Cancelled")*(Appointments!$M$5:$M$1204&lt;&gt;"Completed")*(Appointments!$M$5:$M$1204&lt;&gt;"No show")*(Appointments!$B$5:$B$1204&gt;=TodayDate)*Appointments!$B$5:$B$1204+(1-(Appointments!$E$5:$E$1204=A52)*(Appointments!$M$5:$M$1204&lt;&gt;"Cancelled")*(Appointments!$M$5:$M$1204&lt;&gt;"Completed")*(Appointments!$M$5:$M$1204&lt;&gt;"No show")*(Appointments!$B$5:$B$1204&gt;=TodayDate))*2958465)))</f>
        <v>0</v>
      </c>
      <c r="AB52" s="17">
        <f>IF(B52="","",IF(AA52&gt;=2958465,"",AA52))</f>
        <v>0</v>
      </c>
      <c r="AC52" s="25">
        <f>IF(B52="","",IF(T52&lt;2,"",ROUND((Y52-X52)/MAX(1,T52-1),0)))</f>
        <v>0</v>
      </c>
      <c r="AD52" s="17">
        <f>IF(B52="","",IF(Y52="","",Y52+IF(AC52="",RebookWeeks*7,MAX(14,AC52))))</f>
        <v>0</v>
      </c>
      <c r="AE52" s="26">
        <f>IF(B52="","",ROUND(SUMIFS(Sales!$Y$5:$Y$1204,Sales!$D$5:$D$1204,A52),2))</f>
        <v>0</v>
      </c>
      <c r="AF52" s="26">
        <f>IF(B52="","",ROUND(SUMIFS(Sales!$Y$5:$Y$1204,Sales!$D$5:$D$1204,A52,Sales!$H$5:$H$1204,"Service"),2))</f>
        <v>0</v>
      </c>
      <c r="AG52" s="26">
        <f>IF(B52="","",ROUND(SUMIFS(Sales!$Y$5:$Y$1204,Sales!$D$5:$D$1204,A52,Sales!$H$5:$H$1204,"Retail"),2))</f>
        <v>0</v>
      </c>
      <c r="AH52" s="26">
        <f>IF(B52="","",ROUND(SUMIFS(Sales!$Y$5:$Y$1204,Sales!$D$5:$D$1204,A52,Sales!$B$5:$B$1204,"&gt;="&amp;TodayDate-365),2))</f>
        <v>0</v>
      </c>
      <c r="AI52" s="26">
        <f>IF(B52="","",IF(T52=0,"",ROUND(AE52/T52,2)))</f>
        <v>0</v>
      </c>
      <c r="AJ52" s="26">
        <f>IF(B52="","",IF(AI52="","",IF(AC52="","",ROUND(AI52*(365/MAX(14,AC52)),2))))</f>
        <v>0</v>
      </c>
      <c r="AK52" s="26">
        <f>IF(B52="","",ROUND(SUMIFS(Sales!$AH$5:$AH$1204,Sales!$D$5:$D$1204,A52),2))</f>
        <v>0</v>
      </c>
      <c r="AL52" s="25">
        <f>IF(B52="","",IFERROR(INDEX(Loyalty!$P$5:$P$504,MATCH(A52,Loyalty!$B$5:$B$504,0))*1,0))</f>
        <v>0</v>
      </c>
      <c r="AM52" s="39">
        <f>IF(B52="","",IF(R52="Archived","Archived",IF(T52=0,"Not been yet",IF(Z52&gt;=InactiveDays,"Inactive",IF(Z52&gt;=LapsingDays,"Lapsing",IF(T52=1,"New",IF(AH52&gt;=VipSpend,"VIP",IF(U52&gt;=4,"Regular","Active"))))))))</f>
        <v>0</v>
      </c>
      <c r="AN52" s="38">
        <f>IF(B52="","",IF(T52&gt;=2,"Yes","No"))</f>
        <v>0</v>
      </c>
      <c r="AO52" s="25">
        <f>IF(B52="","",COUNTIFS($AE$5:$AE$504,"&gt;"&amp;AE52)+COUNTIFS($AE$5:AE52,AE52))</f>
        <v>0</v>
      </c>
      <c r="AP52" s="25">
        <f>IF(B52="","",COUNTIFS($T$5:$T$504,"&gt;"&amp;T52)+COUNTIFS($T$5:T52,T52))</f>
        <v>0</v>
      </c>
      <c r="AQ52" s="39">
        <f>IF(B52="","",IF(COUNTIF($B$5:$B$504,B52)&gt;1,"Duplicate - same name twice",IF(R52="Archived","",IF(AK52&gt;0.004,"Chase - balance outstanding",IF(AM52="Inactive","Gone - win-back offer",IF(AM52="Lapsing","Chase - lapsing, call them",IF(IF(N52="",FALSE,TodayDate-N52&gt;PatchTestDays),"Due - patch test out of date",IF(IF(AD52="",FALSE,IF(AB52&lt;&gt;"",FALSE,AD52&lt;=TodayDate+14)),"Rebook - due and nothing booked",IF(IF(K52="",FALSE,ABS(DATE(YEAR(TodayDate),MONTH(K52),DAY(K52))-TodayDate)&lt;=7),"Birthday - send the treat","OK")))))))))</f>
        <v>0</v>
      </c>
    </row>
    <row r="53" spans="1:43">
      <c r="A53" s="28">
        <f>IF(B53="","",ClientPrefix&amp;TEXT(ROW()-4,"0000"))</f>
        <v>0</v>
      </c>
      <c r="J53" s="15">
        <f>IF(I53="","",IFERROR(INDEX(Staff!$B$5:$B$44,MATCH(I53,Staff!$A$5:$A$44,0)),"Not in Staff"))</f>
        <v>0</v>
      </c>
      <c r="T53" s="25">
        <f>IF(B53="","",COUNTIFS(Appointments!$E$5:$E$1204,A53,Appointments!$M$5:$M$1204,"Completed"))</f>
        <v>0</v>
      </c>
      <c r="U53" s="25">
        <f>IF(B53="","",COUNTIFS(Appointments!$E$5:$E$1204,A53,Appointments!$M$5:$M$1204,"Completed",Appointments!$B$5:$B$1204,"&gt;="&amp;TodayDate-365))</f>
        <v>0</v>
      </c>
      <c r="V53" s="25">
        <f>IF(B53="","",COUNTIFS(Appointments!$E$5:$E$1204,A53,Appointments!$M$5:$M$1204,"Cancelled"))</f>
        <v>0</v>
      </c>
      <c r="W53" s="25">
        <f>IF(B53="","",COUNTIFS(Appointments!$E$5:$E$1204,A53,Appointments!$M$5:$M$1204,"No show"))</f>
        <v>0</v>
      </c>
      <c r="X53" s="17">
        <f>IF(B53="","",IF(F53&lt;&gt;"",F53,IF(T53=0,"",SUMPRODUCT(MIN((Appointments!$E$5:$E$1204=A53)*(Appointments!$M$5:$M$1204="Completed")*Appointments!$B$5:$B$1204+(1-(Appointments!$E$5:$E$1204=A53)*(Appointments!$M$5:$M$1204="Completed"))*2958465)))))</f>
        <v>0</v>
      </c>
      <c r="Y53" s="17">
        <f>IF(B53="","",IF(T53=0,"",SUMPRODUCT(MAX((Appointments!$E$5:$E$1204=A53)*(Appointments!$M$5:$M$1204="Completed")*Appointments!$B$5:$B$1204))))</f>
        <v>0</v>
      </c>
      <c r="Z53" s="25">
        <f>IF(B53="","",IF(Y53="","",TodayDate-Y53))</f>
        <v>0</v>
      </c>
      <c r="AA53" s="42">
        <f>IF(B53="","",SUMPRODUCT(MIN((Appointments!$E$5:$E$1204=A53)*(Appointments!$M$5:$M$1204&lt;&gt;"Cancelled")*(Appointments!$M$5:$M$1204&lt;&gt;"Completed")*(Appointments!$M$5:$M$1204&lt;&gt;"No show")*(Appointments!$B$5:$B$1204&gt;=TodayDate)*Appointments!$B$5:$B$1204+(1-(Appointments!$E$5:$E$1204=A53)*(Appointments!$M$5:$M$1204&lt;&gt;"Cancelled")*(Appointments!$M$5:$M$1204&lt;&gt;"Completed")*(Appointments!$M$5:$M$1204&lt;&gt;"No show")*(Appointments!$B$5:$B$1204&gt;=TodayDate))*2958465)))</f>
        <v>0</v>
      </c>
      <c r="AB53" s="17">
        <f>IF(B53="","",IF(AA53&gt;=2958465,"",AA53))</f>
        <v>0</v>
      </c>
      <c r="AC53" s="25">
        <f>IF(B53="","",IF(T53&lt;2,"",ROUND((Y53-X53)/MAX(1,T53-1),0)))</f>
        <v>0</v>
      </c>
      <c r="AD53" s="17">
        <f>IF(B53="","",IF(Y53="","",Y53+IF(AC53="",RebookWeeks*7,MAX(14,AC53))))</f>
        <v>0</v>
      </c>
      <c r="AE53" s="26">
        <f>IF(B53="","",ROUND(SUMIFS(Sales!$Y$5:$Y$1204,Sales!$D$5:$D$1204,A53),2))</f>
        <v>0</v>
      </c>
      <c r="AF53" s="26">
        <f>IF(B53="","",ROUND(SUMIFS(Sales!$Y$5:$Y$1204,Sales!$D$5:$D$1204,A53,Sales!$H$5:$H$1204,"Service"),2))</f>
        <v>0</v>
      </c>
      <c r="AG53" s="26">
        <f>IF(B53="","",ROUND(SUMIFS(Sales!$Y$5:$Y$1204,Sales!$D$5:$D$1204,A53,Sales!$H$5:$H$1204,"Retail"),2))</f>
        <v>0</v>
      </c>
      <c r="AH53" s="26">
        <f>IF(B53="","",ROUND(SUMIFS(Sales!$Y$5:$Y$1204,Sales!$D$5:$D$1204,A53,Sales!$B$5:$B$1204,"&gt;="&amp;TodayDate-365),2))</f>
        <v>0</v>
      </c>
      <c r="AI53" s="26">
        <f>IF(B53="","",IF(T53=0,"",ROUND(AE53/T53,2)))</f>
        <v>0</v>
      </c>
      <c r="AJ53" s="26">
        <f>IF(B53="","",IF(AI53="","",IF(AC53="","",ROUND(AI53*(365/MAX(14,AC53)),2))))</f>
        <v>0</v>
      </c>
      <c r="AK53" s="26">
        <f>IF(B53="","",ROUND(SUMIFS(Sales!$AH$5:$AH$1204,Sales!$D$5:$D$1204,A53),2))</f>
        <v>0</v>
      </c>
      <c r="AL53" s="25">
        <f>IF(B53="","",IFERROR(INDEX(Loyalty!$P$5:$P$504,MATCH(A53,Loyalty!$B$5:$B$504,0))*1,0))</f>
        <v>0</v>
      </c>
      <c r="AM53" s="39">
        <f>IF(B53="","",IF(R53="Archived","Archived",IF(T53=0,"Not been yet",IF(Z53&gt;=InactiveDays,"Inactive",IF(Z53&gt;=LapsingDays,"Lapsing",IF(T53=1,"New",IF(AH53&gt;=VipSpend,"VIP",IF(U53&gt;=4,"Regular","Active"))))))))</f>
        <v>0</v>
      </c>
      <c r="AN53" s="38">
        <f>IF(B53="","",IF(T53&gt;=2,"Yes","No"))</f>
        <v>0</v>
      </c>
      <c r="AO53" s="25">
        <f>IF(B53="","",COUNTIFS($AE$5:$AE$504,"&gt;"&amp;AE53)+COUNTIFS($AE$5:AE53,AE53))</f>
        <v>0</v>
      </c>
      <c r="AP53" s="25">
        <f>IF(B53="","",COUNTIFS($T$5:$T$504,"&gt;"&amp;T53)+COUNTIFS($T$5:T53,T53))</f>
        <v>0</v>
      </c>
      <c r="AQ53" s="39">
        <f>IF(B53="","",IF(COUNTIF($B$5:$B$504,B53)&gt;1,"Duplicate - same name twice",IF(R53="Archived","",IF(AK53&gt;0.004,"Chase - balance outstanding",IF(AM53="Inactive","Gone - win-back offer",IF(AM53="Lapsing","Chase - lapsing, call them",IF(IF(N53="",FALSE,TodayDate-N53&gt;PatchTestDays),"Due - patch test out of date",IF(IF(AD53="",FALSE,IF(AB53&lt;&gt;"",FALSE,AD53&lt;=TodayDate+14)),"Rebook - due and nothing booked",IF(IF(K53="",FALSE,ABS(DATE(YEAR(TodayDate),MONTH(K53),DAY(K53))-TodayDate)&lt;=7),"Birthday - send the treat","OK")))))))))</f>
        <v>0</v>
      </c>
    </row>
    <row r="54" spans="1:43">
      <c r="A54" s="28">
        <f>IF(B54="","",ClientPrefix&amp;TEXT(ROW()-4,"0000"))</f>
        <v>0</v>
      </c>
      <c r="J54" s="15">
        <f>IF(I54="","",IFERROR(INDEX(Staff!$B$5:$B$44,MATCH(I54,Staff!$A$5:$A$44,0)),"Not in Staff"))</f>
        <v>0</v>
      </c>
      <c r="T54" s="25">
        <f>IF(B54="","",COUNTIFS(Appointments!$E$5:$E$1204,A54,Appointments!$M$5:$M$1204,"Completed"))</f>
        <v>0</v>
      </c>
      <c r="U54" s="25">
        <f>IF(B54="","",COUNTIFS(Appointments!$E$5:$E$1204,A54,Appointments!$M$5:$M$1204,"Completed",Appointments!$B$5:$B$1204,"&gt;="&amp;TodayDate-365))</f>
        <v>0</v>
      </c>
      <c r="V54" s="25">
        <f>IF(B54="","",COUNTIFS(Appointments!$E$5:$E$1204,A54,Appointments!$M$5:$M$1204,"Cancelled"))</f>
        <v>0</v>
      </c>
      <c r="W54" s="25">
        <f>IF(B54="","",COUNTIFS(Appointments!$E$5:$E$1204,A54,Appointments!$M$5:$M$1204,"No show"))</f>
        <v>0</v>
      </c>
      <c r="X54" s="17">
        <f>IF(B54="","",IF(F54&lt;&gt;"",F54,IF(T54=0,"",SUMPRODUCT(MIN((Appointments!$E$5:$E$1204=A54)*(Appointments!$M$5:$M$1204="Completed")*Appointments!$B$5:$B$1204+(1-(Appointments!$E$5:$E$1204=A54)*(Appointments!$M$5:$M$1204="Completed"))*2958465)))))</f>
        <v>0</v>
      </c>
      <c r="Y54" s="17">
        <f>IF(B54="","",IF(T54=0,"",SUMPRODUCT(MAX((Appointments!$E$5:$E$1204=A54)*(Appointments!$M$5:$M$1204="Completed")*Appointments!$B$5:$B$1204))))</f>
        <v>0</v>
      </c>
      <c r="Z54" s="25">
        <f>IF(B54="","",IF(Y54="","",TodayDate-Y54))</f>
        <v>0</v>
      </c>
      <c r="AA54" s="42">
        <f>IF(B54="","",SUMPRODUCT(MIN((Appointments!$E$5:$E$1204=A54)*(Appointments!$M$5:$M$1204&lt;&gt;"Cancelled")*(Appointments!$M$5:$M$1204&lt;&gt;"Completed")*(Appointments!$M$5:$M$1204&lt;&gt;"No show")*(Appointments!$B$5:$B$1204&gt;=TodayDate)*Appointments!$B$5:$B$1204+(1-(Appointments!$E$5:$E$1204=A54)*(Appointments!$M$5:$M$1204&lt;&gt;"Cancelled")*(Appointments!$M$5:$M$1204&lt;&gt;"Completed")*(Appointments!$M$5:$M$1204&lt;&gt;"No show")*(Appointments!$B$5:$B$1204&gt;=TodayDate))*2958465)))</f>
        <v>0</v>
      </c>
      <c r="AB54" s="17">
        <f>IF(B54="","",IF(AA54&gt;=2958465,"",AA54))</f>
        <v>0</v>
      </c>
      <c r="AC54" s="25">
        <f>IF(B54="","",IF(T54&lt;2,"",ROUND((Y54-X54)/MAX(1,T54-1),0)))</f>
        <v>0</v>
      </c>
      <c r="AD54" s="17">
        <f>IF(B54="","",IF(Y54="","",Y54+IF(AC54="",RebookWeeks*7,MAX(14,AC54))))</f>
        <v>0</v>
      </c>
      <c r="AE54" s="26">
        <f>IF(B54="","",ROUND(SUMIFS(Sales!$Y$5:$Y$1204,Sales!$D$5:$D$1204,A54),2))</f>
        <v>0</v>
      </c>
      <c r="AF54" s="26">
        <f>IF(B54="","",ROUND(SUMIFS(Sales!$Y$5:$Y$1204,Sales!$D$5:$D$1204,A54,Sales!$H$5:$H$1204,"Service"),2))</f>
        <v>0</v>
      </c>
      <c r="AG54" s="26">
        <f>IF(B54="","",ROUND(SUMIFS(Sales!$Y$5:$Y$1204,Sales!$D$5:$D$1204,A54,Sales!$H$5:$H$1204,"Retail"),2))</f>
        <v>0</v>
      </c>
      <c r="AH54" s="26">
        <f>IF(B54="","",ROUND(SUMIFS(Sales!$Y$5:$Y$1204,Sales!$D$5:$D$1204,A54,Sales!$B$5:$B$1204,"&gt;="&amp;TodayDate-365),2))</f>
        <v>0</v>
      </c>
      <c r="AI54" s="26">
        <f>IF(B54="","",IF(T54=0,"",ROUND(AE54/T54,2)))</f>
        <v>0</v>
      </c>
      <c r="AJ54" s="26">
        <f>IF(B54="","",IF(AI54="","",IF(AC54="","",ROUND(AI54*(365/MAX(14,AC54)),2))))</f>
        <v>0</v>
      </c>
      <c r="AK54" s="26">
        <f>IF(B54="","",ROUND(SUMIFS(Sales!$AH$5:$AH$1204,Sales!$D$5:$D$1204,A54),2))</f>
        <v>0</v>
      </c>
      <c r="AL54" s="25">
        <f>IF(B54="","",IFERROR(INDEX(Loyalty!$P$5:$P$504,MATCH(A54,Loyalty!$B$5:$B$504,0))*1,0))</f>
        <v>0</v>
      </c>
      <c r="AM54" s="39">
        <f>IF(B54="","",IF(R54="Archived","Archived",IF(T54=0,"Not been yet",IF(Z54&gt;=InactiveDays,"Inactive",IF(Z54&gt;=LapsingDays,"Lapsing",IF(T54=1,"New",IF(AH54&gt;=VipSpend,"VIP",IF(U54&gt;=4,"Regular","Active"))))))))</f>
        <v>0</v>
      </c>
      <c r="AN54" s="38">
        <f>IF(B54="","",IF(T54&gt;=2,"Yes","No"))</f>
        <v>0</v>
      </c>
      <c r="AO54" s="25">
        <f>IF(B54="","",COUNTIFS($AE$5:$AE$504,"&gt;"&amp;AE54)+COUNTIFS($AE$5:AE54,AE54))</f>
        <v>0</v>
      </c>
      <c r="AP54" s="25">
        <f>IF(B54="","",COUNTIFS($T$5:$T$504,"&gt;"&amp;T54)+COUNTIFS($T$5:T54,T54))</f>
        <v>0</v>
      </c>
      <c r="AQ54" s="39">
        <f>IF(B54="","",IF(COUNTIF($B$5:$B$504,B54)&gt;1,"Duplicate - same name twice",IF(R54="Archived","",IF(AK54&gt;0.004,"Chase - balance outstanding",IF(AM54="Inactive","Gone - win-back offer",IF(AM54="Lapsing","Chase - lapsing, call them",IF(IF(N54="",FALSE,TodayDate-N54&gt;PatchTestDays),"Due - patch test out of date",IF(IF(AD54="",FALSE,IF(AB54&lt;&gt;"",FALSE,AD54&lt;=TodayDate+14)),"Rebook - due and nothing booked",IF(IF(K54="",FALSE,ABS(DATE(YEAR(TodayDate),MONTH(K54),DAY(K54))-TodayDate)&lt;=7),"Birthday - send the treat","OK")))))))))</f>
        <v>0</v>
      </c>
    </row>
    <row r="55" spans="1:43">
      <c r="A55" s="28">
        <f>IF(B55="","",ClientPrefix&amp;TEXT(ROW()-4,"0000"))</f>
        <v>0</v>
      </c>
      <c r="J55" s="15">
        <f>IF(I55="","",IFERROR(INDEX(Staff!$B$5:$B$44,MATCH(I55,Staff!$A$5:$A$44,0)),"Not in Staff"))</f>
        <v>0</v>
      </c>
      <c r="T55" s="25">
        <f>IF(B55="","",COUNTIFS(Appointments!$E$5:$E$1204,A55,Appointments!$M$5:$M$1204,"Completed"))</f>
        <v>0</v>
      </c>
      <c r="U55" s="25">
        <f>IF(B55="","",COUNTIFS(Appointments!$E$5:$E$1204,A55,Appointments!$M$5:$M$1204,"Completed",Appointments!$B$5:$B$1204,"&gt;="&amp;TodayDate-365))</f>
        <v>0</v>
      </c>
      <c r="V55" s="25">
        <f>IF(B55="","",COUNTIFS(Appointments!$E$5:$E$1204,A55,Appointments!$M$5:$M$1204,"Cancelled"))</f>
        <v>0</v>
      </c>
      <c r="W55" s="25">
        <f>IF(B55="","",COUNTIFS(Appointments!$E$5:$E$1204,A55,Appointments!$M$5:$M$1204,"No show"))</f>
        <v>0</v>
      </c>
      <c r="X55" s="17">
        <f>IF(B55="","",IF(F55&lt;&gt;"",F55,IF(T55=0,"",SUMPRODUCT(MIN((Appointments!$E$5:$E$1204=A55)*(Appointments!$M$5:$M$1204="Completed")*Appointments!$B$5:$B$1204+(1-(Appointments!$E$5:$E$1204=A55)*(Appointments!$M$5:$M$1204="Completed"))*2958465)))))</f>
        <v>0</v>
      </c>
      <c r="Y55" s="17">
        <f>IF(B55="","",IF(T55=0,"",SUMPRODUCT(MAX((Appointments!$E$5:$E$1204=A55)*(Appointments!$M$5:$M$1204="Completed")*Appointments!$B$5:$B$1204))))</f>
        <v>0</v>
      </c>
      <c r="Z55" s="25">
        <f>IF(B55="","",IF(Y55="","",TodayDate-Y55))</f>
        <v>0</v>
      </c>
      <c r="AA55" s="42">
        <f>IF(B55="","",SUMPRODUCT(MIN((Appointments!$E$5:$E$1204=A55)*(Appointments!$M$5:$M$1204&lt;&gt;"Cancelled")*(Appointments!$M$5:$M$1204&lt;&gt;"Completed")*(Appointments!$M$5:$M$1204&lt;&gt;"No show")*(Appointments!$B$5:$B$1204&gt;=TodayDate)*Appointments!$B$5:$B$1204+(1-(Appointments!$E$5:$E$1204=A55)*(Appointments!$M$5:$M$1204&lt;&gt;"Cancelled")*(Appointments!$M$5:$M$1204&lt;&gt;"Completed")*(Appointments!$M$5:$M$1204&lt;&gt;"No show")*(Appointments!$B$5:$B$1204&gt;=TodayDate))*2958465)))</f>
        <v>0</v>
      </c>
      <c r="AB55" s="17">
        <f>IF(B55="","",IF(AA55&gt;=2958465,"",AA55))</f>
        <v>0</v>
      </c>
      <c r="AC55" s="25">
        <f>IF(B55="","",IF(T55&lt;2,"",ROUND((Y55-X55)/MAX(1,T55-1),0)))</f>
        <v>0</v>
      </c>
      <c r="AD55" s="17">
        <f>IF(B55="","",IF(Y55="","",Y55+IF(AC55="",RebookWeeks*7,MAX(14,AC55))))</f>
        <v>0</v>
      </c>
      <c r="AE55" s="26">
        <f>IF(B55="","",ROUND(SUMIFS(Sales!$Y$5:$Y$1204,Sales!$D$5:$D$1204,A55),2))</f>
        <v>0</v>
      </c>
      <c r="AF55" s="26">
        <f>IF(B55="","",ROUND(SUMIFS(Sales!$Y$5:$Y$1204,Sales!$D$5:$D$1204,A55,Sales!$H$5:$H$1204,"Service"),2))</f>
        <v>0</v>
      </c>
      <c r="AG55" s="26">
        <f>IF(B55="","",ROUND(SUMIFS(Sales!$Y$5:$Y$1204,Sales!$D$5:$D$1204,A55,Sales!$H$5:$H$1204,"Retail"),2))</f>
        <v>0</v>
      </c>
      <c r="AH55" s="26">
        <f>IF(B55="","",ROUND(SUMIFS(Sales!$Y$5:$Y$1204,Sales!$D$5:$D$1204,A55,Sales!$B$5:$B$1204,"&gt;="&amp;TodayDate-365),2))</f>
        <v>0</v>
      </c>
      <c r="AI55" s="26">
        <f>IF(B55="","",IF(T55=0,"",ROUND(AE55/T55,2)))</f>
        <v>0</v>
      </c>
      <c r="AJ55" s="26">
        <f>IF(B55="","",IF(AI55="","",IF(AC55="","",ROUND(AI55*(365/MAX(14,AC55)),2))))</f>
        <v>0</v>
      </c>
      <c r="AK55" s="26">
        <f>IF(B55="","",ROUND(SUMIFS(Sales!$AH$5:$AH$1204,Sales!$D$5:$D$1204,A55),2))</f>
        <v>0</v>
      </c>
      <c r="AL55" s="25">
        <f>IF(B55="","",IFERROR(INDEX(Loyalty!$P$5:$P$504,MATCH(A55,Loyalty!$B$5:$B$504,0))*1,0))</f>
        <v>0</v>
      </c>
      <c r="AM55" s="39">
        <f>IF(B55="","",IF(R55="Archived","Archived",IF(T55=0,"Not been yet",IF(Z55&gt;=InactiveDays,"Inactive",IF(Z55&gt;=LapsingDays,"Lapsing",IF(T55=1,"New",IF(AH55&gt;=VipSpend,"VIP",IF(U55&gt;=4,"Regular","Active"))))))))</f>
        <v>0</v>
      </c>
      <c r="AN55" s="38">
        <f>IF(B55="","",IF(T55&gt;=2,"Yes","No"))</f>
        <v>0</v>
      </c>
      <c r="AO55" s="25">
        <f>IF(B55="","",COUNTIFS($AE$5:$AE$504,"&gt;"&amp;AE55)+COUNTIFS($AE$5:AE55,AE55))</f>
        <v>0</v>
      </c>
      <c r="AP55" s="25">
        <f>IF(B55="","",COUNTIFS($T$5:$T$504,"&gt;"&amp;T55)+COUNTIFS($T$5:T55,T55))</f>
        <v>0</v>
      </c>
      <c r="AQ55" s="39">
        <f>IF(B55="","",IF(COUNTIF($B$5:$B$504,B55)&gt;1,"Duplicate - same name twice",IF(R55="Archived","",IF(AK55&gt;0.004,"Chase - balance outstanding",IF(AM55="Inactive","Gone - win-back offer",IF(AM55="Lapsing","Chase - lapsing, call them",IF(IF(N55="",FALSE,TodayDate-N55&gt;PatchTestDays),"Due - patch test out of date",IF(IF(AD55="",FALSE,IF(AB55&lt;&gt;"",FALSE,AD55&lt;=TodayDate+14)),"Rebook - due and nothing booked",IF(IF(K55="",FALSE,ABS(DATE(YEAR(TodayDate),MONTH(K55),DAY(K55))-TodayDate)&lt;=7),"Birthday - send the treat","OK")))))))))</f>
        <v>0</v>
      </c>
    </row>
    <row r="56" spans="1:43">
      <c r="A56" s="28">
        <f>IF(B56="","",ClientPrefix&amp;TEXT(ROW()-4,"0000"))</f>
        <v>0</v>
      </c>
      <c r="J56" s="15">
        <f>IF(I56="","",IFERROR(INDEX(Staff!$B$5:$B$44,MATCH(I56,Staff!$A$5:$A$44,0)),"Not in Staff"))</f>
        <v>0</v>
      </c>
      <c r="T56" s="25">
        <f>IF(B56="","",COUNTIFS(Appointments!$E$5:$E$1204,A56,Appointments!$M$5:$M$1204,"Completed"))</f>
        <v>0</v>
      </c>
      <c r="U56" s="25">
        <f>IF(B56="","",COUNTIFS(Appointments!$E$5:$E$1204,A56,Appointments!$M$5:$M$1204,"Completed",Appointments!$B$5:$B$1204,"&gt;="&amp;TodayDate-365))</f>
        <v>0</v>
      </c>
      <c r="V56" s="25">
        <f>IF(B56="","",COUNTIFS(Appointments!$E$5:$E$1204,A56,Appointments!$M$5:$M$1204,"Cancelled"))</f>
        <v>0</v>
      </c>
      <c r="W56" s="25">
        <f>IF(B56="","",COUNTIFS(Appointments!$E$5:$E$1204,A56,Appointments!$M$5:$M$1204,"No show"))</f>
        <v>0</v>
      </c>
      <c r="X56" s="17">
        <f>IF(B56="","",IF(F56&lt;&gt;"",F56,IF(T56=0,"",SUMPRODUCT(MIN((Appointments!$E$5:$E$1204=A56)*(Appointments!$M$5:$M$1204="Completed")*Appointments!$B$5:$B$1204+(1-(Appointments!$E$5:$E$1204=A56)*(Appointments!$M$5:$M$1204="Completed"))*2958465)))))</f>
        <v>0</v>
      </c>
      <c r="Y56" s="17">
        <f>IF(B56="","",IF(T56=0,"",SUMPRODUCT(MAX((Appointments!$E$5:$E$1204=A56)*(Appointments!$M$5:$M$1204="Completed")*Appointments!$B$5:$B$1204))))</f>
        <v>0</v>
      </c>
      <c r="Z56" s="25">
        <f>IF(B56="","",IF(Y56="","",TodayDate-Y56))</f>
        <v>0</v>
      </c>
      <c r="AA56" s="42">
        <f>IF(B56="","",SUMPRODUCT(MIN((Appointments!$E$5:$E$1204=A56)*(Appointments!$M$5:$M$1204&lt;&gt;"Cancelled")*(Appointments!$M$5:$M$1204&lt;&gt;"Completed")*(Appointments!$M$5:$M$1204&lt;&gt;"No show")*(Appointments!$B$5:$B$1204&gt;=TodayDate)*Appointments!$B$5:$B$1204+(1-(Appointments!$E$5:$E$1204=A56)*(Appointments!$M$5:$M$1204&lt;&gt;"Cancelled")*(Appointments!$M$5:$M$1204&lt;&gt;"Completed")*(Appointments!$M$5:$M$1204&lt;&gt;"No show")*(Appointments!$B$5:$B$1204&gt;=TodayDate))*2958465)))</f>
        <v>0</v>
      </c>
      <c r="AB56" s="17">
        <f>IF(B56="","",IF(AA56&gt;=2958465,"",AA56))</f>
        <v>0</v>
      </c>
      <c r="AC56" s="25">
        <f>IF(B56="","",IF(T56&lt;2,"",ROUND((Y56-X56)/MAX(1,T56-1),0)))</f>
        <v>0</v>
      </c>
      <c r="AD56" s="17">
        <f>IF(B56="","",IF(Y56="","",Y56+IF(AC56="",RebookWeeks*7,MAX(14,AC56))))</f>
        <v>0</v>
      </c>
      <c r="AE56" s="26">
        <f>IF(B56="","",ROUND(SUMIFS(Sales!$Y$5:$Y$1204,Sales!$D$5:$D$1204,A56),2))</f>
        <v>0</v>
      </c>
      <c r="AF56" s="26">
        <f>IF(B56="","",ROUND(SUMIFS(Sales!$Y$5:$Y$1204,Sales!$D$5:$D$1204,A56,Sales!$H$5:$H$1204,"Service"),2))</f>
        <v>0</v>
      </c>
      <c r="AG56" s="26">
        <f>IF(B56="","",ROUND(SUMIFS(Sales!$Y$5:$Y$1204,Sales!$D$5:$D$1204,A56,Sales!$H$5:$H$1204,"Retail"),2))</f>
        <v>0</v>
      </c>
      <c r="AH56" s="26">
        <f>IF(B56="","",ROUND(SUMIFS(Sales!$Y$5:$Y$1204,Sales!$D$5:$D$1204,A56,Sales!$B$5:$B$1204,"&gt;="&amp;TodayDate-365),2))</f>
        <v>0</v>
      </c>
      <c r="AI56" s="26">
        <f>IF(B56="","",IF(T56=0,"",ROUND(AE56/T56,2)))</f>
        <v>0</v>
      </c>
      <c r="AJ56" s="26">
        <f>IF(B56="","",IF(AI56="","",IF(AC56="","",ROUND(AI56*(365/MAX(14,AC56)),2))))</f>
        <v>0</v>
      </c>
      <c r="AK56" s="26">
        <f>IF(B56="","",ROUND(SUMIFS(Sales!$AH$5:$AH$1204,Sales!$D$5:$D$1204,A56),2))</f>
        <v>0</v>
      </c>
      <c r="AL56" s="25">
        <f>IF(B56="","",IFERROR(INDEX(Loyalty!$P$5:$P$504,MATCH(A56,Loyalty!$B$5:$B$504,0))*1,0))</f>
        <v>0</v>
      </c>
      <c r="AM56" s="39">
        <f>IF(B56="","",IF(R56="Archived","Archived",IF(T56=0,"Not been yet",IF(Z56&gt;=InactiveDays,"Inactive",IF(Z56&gt;=LapsingDays,"Lapsing",IF(T56=1,"New",IF(AH56&gt;=VipSpend,"VIP",IF(U56&gt;=4,"Regular","Active"))))))))</f>
        <v>0</v>
      </c>
      <c r="AN56" s="38">
        <f>IF(B56="","",IF(T56&gt;=2,"Yes","No"))</f>
        <v>0</v>
      </c>
      <c r="AO56" s="25">
        <f>IF(B56="","",COUNTIFS($AE$5:$AE$504,"&gt;"&amp;AE56)+COUNTIFS($AE$5:AE56,AE56))</f>
        <v>0</v>
      </c>
      <c r="AP56" s="25">
        <f>IF(B56="","",COUNTIFS($T$5:$T$504,"&gt;"&amp;T56)+COUNTIFS($T$5:T56,T56))</f>
        <v>0</v>
      </c>
      <c r="AQ56" s="39">
        <f>IF(B56="","",IF(COUNTIF($B$5:$B$504,B56)&gt;1,"Duplicate - same name twice",IF(R56="Archived","",IF(AK56&gt;0.004,"Chase - balance outstanding",IF(AM56="Inactive","Gone - win-back offer",IF(AM56="Lapsing","Chase - lapsing, call them",IF(IF(N56="",FALSE,TodayDate-N56&gt;PatchTestDays),"Due - patch test out of date",IF(IF(AD56="",FALSE,IF(AB56&lt;&gt;"",FALSE,AD56&lt;=TodayDate+14)),"Rebook - due and nothing booked",IF(IF(K56="",FALSE,ABS(DATE(YEAR(TodayDate),MONTH(K56),DAY(K56))-TodayDate)&lt;=7),"Birthday - send the treat","OK")))))))))</f>
        <v>0</v>
      </c>
    </row>
    <row r="57" spans="1:43">
      <c r="A57" s="28">
        <f>IF(B57="","",ClientPrefix&amp;TEXT(ROW()-4,"0000"))</f>
        <v>0</v>
      </c>
      <c r="J57" s="15">
        <f>IF(I57="","",IFERROR(INDEX(Staff!$B$5:$B$44,MATCH(I57,Staff!$A$5:$A$44,0)),"Not in Staff"))</f>
        <v>0</v>
      </c>
      <c r="T57" s="25">
        <f>IF(B57="","",COUNTIFS(Appointments!$E$5:$E$1204,A57,Appointments!$M$5:$M$1204,"Completed"))</f>
        <v>0</v>
      </c>
      <c r="U57" s="25">
        <f>IF(B57="","",COUNTIFS(Appointments!$E$5:$E$1204,A57,Appointments!$M$5:$M$1204,"Completed",Appointments!$B$5:$B$1204,"&gt;="&amp;TodayDate-365))</f>
        <v>0</v>
      </c>
      <c r="V57" s="25">
        <f>IF(B57="","",COUNTIFS(Appointments!$E$5:$E$1204,A57,Appointments!$M$5:$M$1204,"Cancelled"))</f>
        <v>0</v>
      </c>
      <c r="W57" s="25">
        <f>IF(B57="","",COUNTIFS(Appointments!$E$5:$E$1204,A57,Appointments!$M$5:$M$1204,"No show"))</f>
        <v>0</v>
      </c>
      <c r="X57" s="17">
        <f>IF(B57="","",IF(F57&lt;&gt;"",F57,IF(T57=0,"",SUMPRODUCT(MIN((Appointments!$E$5:$E$1204=A57)*(Appointments!$M$5:$M$1204="Completed")*Appointments!$B$5:$B$1204+(1-(Appointments!$E$5:$E$1204=A57)*(Appointments!$M$5:$M$1204="Completed"))*2958465)))))</f>
        <v>0</v>
      </c>
      <c r="Y57" s="17">
        <f>IF(B57="","",IF(T57=0,"",SUMPRODUCT(MAX((Appointments!$E$5:$E$1204=A57)*(Appointments!$M$5:$M$1204="Completed")*Appointments!$B$5:$B$1204))))</f>
        <v>0</v>
      </c>
      <c r="Z57" s="25">
        <f>IF(B57="","",IF(Y57="","",TodayDate-Y57))</f>
        <v>0</v>
      </c>
      <c r="AA57" s="42">
        <f>IF(B57="","",SUMPRODUCT(MIN((Appointments!$E$5:$E$1204=A57)*(Appointments!$M$5:$M$1204&lt;&gt;"Cancelled")*(Appointments!$M$5:$M$1204&lt;&gt;"Completed")*(Appointments!$M$5:$M$1204&lt;&gt;"No show")*(Appointments!$B$5:$B$1204&gt;=TodayDate)*Appointments!$B$5:$B$1204+(1-(Appointments!$E$5:$E$1204=A57)*(Appointments!$M$5:$M$1204&lt;&gt;"Cancelled")*(Appointments!$M$5:$M$1204&lt;&gt;"Completed")*(Appointments!$M$5:$M$1204&lt;&gt;"No show")*(Appointments!$B$5:$B$1204&gt;=TodayDate))*2958465)))</f>
        <v>0</v>
      </c>
      <c r="AB57" s="17">
        <f>IF(B57="","",IF(AA57&gt;=2958465,"",AA57))</f>
        <v>0</v>
      </c>
      <c r="AC57" s="25">
        <f>IF(B57="","",IF(T57&lt;2,"",ROUND((Y57-X57)/MAX(1,T57-1),0)))</f>
        <v>0</v>
      </c>
      <c r="AD57" s="17">
        <f>IF(B57="","",IF(Y57="","",Y57+IF(AC57="",RebookWeeks*7,MAX(14,AC57))))</f>
        <v>0</v>
      </c>
      <c r="AE57" s="26">
        <f>IF(B57="","",ROUND(SUMIFS(Sales!$Y$5:$Y$1204,Sales!$D$5:$D$1204,A57),2))</f>
        <v>0</v>
      </c>
      <c r="AF57" s="26">
        <f>IF(B57="","",ROUND(SUMIFS(Sales!$Y$5:$Y$1204,Sales!$D$5:$D$1204,A57,Sales!$H$5:$H$1204,"Service"),2))</f>
        <v>0</v>
      </c>
      <c r="AG57" s="26">
        <f>IF(B57="","",ROUND(SUMIFS(Sales!$Y$5:$Y$1204,Sales!$D$5:$D$1204,A57,Sales!$H$5:$H$1204,"Retail"),2))</f>
        <v>0</v>
      </c>
      <c r="AH57" s="26">
        <f>IF(B57="","",ROUND(SUMIFS(Sales!$Y$5:$Y$1204,Sales!$D$5:$D$1204,A57,Sales!$B$5:$B$1204,"&gt;="&amp;TodayDate-365),2))</f>
        <v>0</v>
      </c>
      <c r="AI57" s="26">
        <f>IF(B57="","",IF(T57=0,"",ROUND(AE57/T57,2)))</f>
        <v>0</v>
      </c>
      <c r="AJ57" s="26">
        <f>IF(B57="","",IF(AI57="","",IF(AC57="","",ROUND(AI57*(365/MAX(14,AC57)),2))))</f>
        <v>0</v>
      </c>
      <c r="AK57" s="26">
        <f>IF(B57="","",ROUND(SUMIFS(Sales!$AH$5:$AH$1204,Sales!$D$5:$D$1204,A57),2))</f>
        <v>0</v>
      </c>
      <c r="AL57" s="25">
        <f>IF(B57="","",IFERROR(INDEX(Loyalty!$P$5:$P$504,MATCH(A57,Loyalty!$B$5:$B$504,0))*1,0))</f>
        <v>0</v>
      </c>
      <c r="AM57" s="39">
        <f>IF(B57="","",IF(R57="Archived","Archived",IF(T57=0,"Not been yet",IF(Z57&gt;=InactiveDays,"Inactive",IF(Z57&gt;=LapsingDays,"Lapsing",IF(T57=1,"New",IF(AH57&gt;=VipSpend,"VIP",IF(U57&gt;=4,"Regular","Active"))))))))</f>
        <v>0</v>
      </c>
      <c r="AN57" s="38">
        <f>IF(B57="","",IF(T57&gt;=2,"Yes","No"))</f>
        <v>0</v>
      </c>
      <c r="AO57" s="25">
        <f>IF(B57="","",COUNTIFS($AE$5:$AE$504,"&gt;"&amp;AE57)+COUNTIFS($AE$5:AE57,AE57))</f>
        <v>0</v>
      </c>
      <c r="AP57" s="25">
        <f>IF(B57="","",COUNTIFS($T$5:$T$504,"&gt;"&amp;T57)+COUNTIFS($T$5:T57,T57))</f>
        <v>0</v>
      </c>
      <c r="AQ57" s="39">
        <f>IF(B57="","",IF(COUNTIF($B$5:$B$504,B57)&gt;1,"Duplicate - same name twice",IF(R57="Archived","",IF(AK57&gt;0.004,"Chase - balance outstanding",IF(AM57="Inactive","Gone - win-back offer",IF(AM57="Lapsing","Chase - lapsing, call them",IF(IF(N57="",FALSE,TodayDate-N57&gt;PatchTestDays),"Due - patch test out of date",IF(IF(AD57="",FALSE,IF(AB57&lt;&gt;"",FALSE,AD57&lt;=TodayDate+14)),"Rebook - due and nothing booked",IF(IF(K57="",FALSE,ABS(DATE(YEAR(TodayDate),MONTH(K57),DAY(K57))-TodayDate)&lt;=7),"Birthday - send the treat","OK")))))))))</f>
        <v>0</v>
      </c>
    </row>
    <row r="58" spans="1:43">
      <c r="A58" s="28">
        <f>IF(B58="","",ClientPrefix&amp;TEXT(ROW()-4,"0000"))</f>
        <v>0</v>
      </c>
      <c r="J58" s="15">
        <f>IF(I58="","",IFERROR(INDEX(Staff!$B$5:$B$44,MATCH(I58,Staff!$A$5:$A$44,0)),"Not in Staff"))</f>
        <v>0</v>
      </c>
      <c r="T58" s="25">
        <f>IF(B58="","",COUNTIFS(Appointments!$E$5:$E$1204,A58,Appointments!$M$5:$M$1204,"Completed"))</f>
        <v>0</v>
      </c>
      <c r="U58" s="25">
        <f>IF(B58="","",COUNTIFS(Appointments!$E$5:$E$1204,A58,Appointments!$M$5:$M$1204,"Completed",Appointments!$B$5:$B$1204,"&gt;="&amp;TodayDate-365))</f>
        <v>0</v>
      </c>
      <c r="V58" s="25">
        <f>IF(B58="","",COUNTIFS(Appointments!$E$5:$E$1204,A58,Appointments!$M$5:$M$1204,"Cancelled"))</f>
        <v>0</v>
      </c>
      <c r="W58" s="25">
        <f>IF(B58="","",COUNTIFS(Appointments!$E$5:$E$1204,A58,Appointments!$M$5:$M$1204,"No show"))</f>
        <v>0</v>
      </c>
      <c r="X58" s="17">
        <f>IF(B58="","",IF(F58&lt;&gt;"",F58,IF(T58=0,"",SUMPRODUCT(MIN((Appointments!$E$5:$E$1204=A58)*(Appointments!$M$5:$M$1204="Completed")*Appointments!$B$5:$B$1204+(1-(Appointments!$E$5:$E$1204=A58)*(Appointments!$M$5:$M$1204="Completed"))*2958465)))))</f>
        <v>0</v>
      </c>
      <c r="Y58" s="17">
        <f>IF(B58="","",IF(T58=0,"",SUMPRODUCT(MAX((Appointments!$E$5:$E$1204=A58)*(Appointments!$M$5:$M$1204="Completed")*Appointments!$B$5:$B$1204))))</f>
        <v>0</v>
      </c>
      <c r="Z58" s="25">
        <f>IF(B58="","",IF(Y58="","",TodayDate-Y58))</f>
        <v>0</v>
      </c>
      <c r="AA58" s="42">
        <f>IF(B58="","",SUMPRODUCT(MIN((Appointments!$E$5:$E$1204=A58)*(Appointments!$M$5:$M$1204&lt;&gt;"Cancelled")*(Appointments!$M$5:$M$1204&lt;&gt;"Completed")*(Appointments!$M$5:$M$1204&lt;&gt;"No show")*(Appointments!$B$5:$B$1204&gt;=TodayDate)*Appointments!$B$5:$B$1204+(1-(Appointments!$E$5:$E$1204=A58)*(Appointments!$M$5:$M$1204&lt;&gt;"Cancelled")*(Appointments!$M$5:$M$1204&lt;&gt;"Completed")*(Appointments!$M$5:$M$1204&lt;&gt;"No show")*(Appointments!$B$5:$B$1204&gt;=TodayDate))*2958465)))</f>
        <v>0</v>
      </c>
      <c r="AB58" s="17">
        <f>IF(B58="","",IF(AA58&gt;=2958465,"",AA58))</f>
        <v>0</v>
      </c>
      <c r="AC58" s="25">
        <f>IF(B58="","",IF(T58&lt;2,"",ROUND((Y58-X58)/MAX(1,T58-1),0)))</f>
        <v>0</v>
      </c>
      <c r="AD58" s="17">
        <f>IF(B58="","",IF(Y58="","",Y58+IF(AC58="",RebookWeeks*7,MAX(14,AC58))))</f>
        <v>0</v>
      </c>
      <c r="AE58" s="26">
        <f>IF(B58="","",ROUND(SUMIFS(Sales!$Y$5:$Y$1204,Sales!$D$5:$D$1204,A58),2))</f>
        <v>0</v>
      </c>
      <c r="AF58" s="26">
        <f>IF(B58="","",ROUND(SUMIFS(Sales!$Y$5:$Y$1204,Sales!$D$5:$D$1204,A58,Sales!$H$5:$H$1204,"Service"),2))</f>
        <v>0</v>
      </c>
      <c r="AG58" s="26">
        <f>IF(B58="","",ROUND(SUMIFS(Sales!$Y$5:$Y$1204,Sales!$D$5:$D$1204,A58,Sales!$H$5:$H$1204,"Retail"),2))</f>
        <v>0</v>
      </c>
      <c r="AH58" s="26">
        <f>IF(B58="","",ROUND(SUMIFS(Sales!$Y$5:$Y$1204,Sales!$D$5:$D$1204,A58,Sales!$B$5:$B$1204,"&gt;="&amp;TodayDate-365),2))</f>
        <v>0</v>
      </c>
      <c r="AI58" s="26">
        <f>IF(B58="","",IF(T58=0,"",ROUND(AE58/T58,2)))</f>
        <v>0</v>
      </c>
      <c r="AJ58" s="26">
        <f>IF(B58="","",IF(AI58="","",IF(AC58="","",ROUND(AI58*(365/MAX(14,AC58)),2))))</f>
        <v>0</v>
      </c>
      <c r="AK58" s="26">
        <f>IF(B58="","",ROUND(SUMIFS(Sales!$AH$5:$AH$1204,Sales!$D$5:$D$1204,A58),2))</f>
        <v>0</v>
      </c>
      <c r="AL58" s="25">
        <f>IF(B58="","",IFERROR(INDEX(Loyalty!$P$5:$P$504,MATCH(A58,Loyalty!$B$5:$B$504,0))*1,0))</f>
        <v>0</v>
      </c>
      <c r="AM58" s="39">
        <f>IF(B58="","",IF(R58="Archived","Archived",IF(T58=0,"Not been yet",IF(Z58&gt;=InactiveDays,"Inactive",IF(Z58&gt;=LapsingDays,"Lapsing",IF(T58=1,"New",IF(AH58&gt;=VipSpend,"VIP",IF(U58&gt;=4,"Regular","Active"))))))))</f>
        <v>0</v>
      </c>
      <c r="AN58" s="38">
        <f>IF(B58="","",IF(T58&gt;=2,"Yes","No"))</f>
        <v>0</v>
      </c>
      <c r="AO58" s="25">
        <f>IF(B58="","",COUNTIFS($AE$5:$AE$504,"&gt;"&amp;AE58)+COUNTIFS($AE$5:AE58,AE58))</f>
        <v>0</v>
      </c>
      <c r="AP58" s="25">
        <f>IF(B58="","",COUNTIFS($T$5:$T$504,"&gt;"&amp;T58)+COUNTIFS($T$5:T58,T58))</f>
        <v>0</v>
      </c>
      <c r="AQ58" s="39">
        <f>IF(B58="","",IF(COUNTIF($B$5:$B$504,B58)&gt;1,"Duplicate - same name twice",IF(R58="Archived","",IF(AK58&gt;0.004,"Chase - balance outstanding",IF(AM58="Inactive","Gone - win-back offer",IF(AM58="Lapsing","Chase - lapsing, call them",IF(IF(N58="",FALSE,TodayDate-N58&gt;PatchTestDays),"Due - patch test out of date",IF(IF(AD58="",FALSE,IF(AB58&lt;&gt;"",FALSE,AD58&lt;=TodayDate+14)),"Rebook - due and nothing booked",IF(IF(K58="",FALSE,ABS(DATE(YEAR(TodayDate),MONTH(K58),DAY(K58))-TodayDate)&lt;=7),"Birthday - send the treat","OK")))))))))</f>
        <v>0</v>
      </c>
    </row>
    <row r="59" spans="1:43">
      <c r="A59" s="28">
        <f>IF(B59="","",ClientPrefix&amp;TEXT(ROW()-4,"0000"))</f>
        <v>0</v>
      </c>
      <c r="J59" s="15">
        <f>IF(I59="","",IFERROR(INDEX(Staff!$B$5:$B$44,MATCH(I59,Staff!$A$5:$A$44,0)),"Not in Staff"))</f>
        <v>0</v>
      </c>
      <c r="T59" s="25">
        <f>IF(B59="","",COUNTIFS(Appointments!$E$5:$E$1204,A59,Appointments!$M$5:$M$1204,"Completed"))</f>
        <v>0</v>
      </c>
      <c r="U59" s="25">
        <f>IF(B59="","",COUNTIFS(Appointments!$E$5:$E$1204,A59,Appointments!$M$5:$M$1204,"Completed",Appointments!$B$5:$B$1204,"&gt;="&amp;TodayDate-365))</f>
        <v>0</v>
      </c>
      <c r="V59" s="25">
        <f>IF(B59="","",COUNTIFS(Appointments!$E$5:$E$1204,A59,Appointments!$M$5:$M$1204,"Cancelled"))</f>
        <v>0</v>
      </c>
      <c r="W59" s="25">
        <f>IF(B59="","",COUNTIFS(Appointments!$E$5:$E$1204,A59,Appointments!$M$5:$M$1204,"No show"))</f>
        <v>0</v>
      </c>
      <c r="X59" s="17">
        <f>IF(B59="","",IF(F59&lt;&gt;"",F59,IF(T59=0,"",SUMPRODUCT(MIN((Appointments!$E$5:$E$1204=A59)*(Appointments!$M$5:$M$1204="Completed")*Appointments!$B$5:$B$1204+(1-(Appointments!$E$5:$E$1204=A59)*(Appointments!$M$5:$M$1204="Completed"))*2958465)))))</f>
        <v>0</v>
      </c>
      <c r="Y59" s="17">
        <f>IF(B59="","",IF(T59=0,"",SUMPRODUCT(MAX((Appointments!$E$5:$E$1204=A59)*(Appointments!$M$5:$M$1204="Completed")*Appointments!$B$5:$B$1204))))</f>
        <v>0</v>
      </c>
      <c r="Z59" s="25">
        <f>IF(B59="","",IF(Y59="","",TodayDate-Y59))</f>
        <v>0</v>
      </c>
      <c r="AA59" s="42">
        <f>IF(B59="","",SUMPRODUCT(MIN((Appointments!$E$5:$E$1204=A59)*(Appointments!$M$5:$M$1204&lt;&gt;"Cancelled")*(Appointments!$M$5:$M$1204&lt;&gt;"Completed")*(Appointments!$M$5:$M$1204&lt;&gt;"No show")*(Appointments!$B$5:$B$1204&gt;=TodayDate)*Appointments!$B$5:$B$1204+(1-(Appointments!$E$5:$E$1204=A59)*(Appointments!$M$5:$M$1204&lt;&gt;"Cancelled")*(Appointments!$M$5:$M$1204&lt;&gt;"Completed")*(Appointments!$M$5:$M$1204&lt;&gt;"No show")*(Appointments!$B$5:$B$1204&gt;=TodayDate))*2958465)))</f>
        <v>0</v>
      </c>
      <c r="AB59" s="17">
        <f>IF(B59="","",IF(AA59&gt;=2958465,"",AA59))</f>
        <v>0</v>
      </c>
      <c r="AC59" s="25">
        <f>IF(B59="","",IF(T59&lt;2,"",ROUND((Y59-X59)/MAX(1,T59-1),0)))</f>
        <v>0</v>
      </c>
      <c r="AD59" s="17">
        <f>IF(B59="","",IF(Y59="","",Y59+IF(AC59="",RebookWeeks*7,MAX(14,AC59))))</f>
        <v>0</v>
      </c>
      <c r="AE59" s="26">
        <f>IF(B59="","",ROUND(SUMIFS(Sales!$Y$5:$Y$1204,Sales!$D$5:$D$1204,A59),2))</f>
        <v>0</v>
      </c>
      <c r="AF59" s="26">
        <f>IF(B59="","",ROUND(SUMIFS(Sales!$Y$5:$Y$1204,Sales!$D$5:$D$1204,A59,Sales!$H$5:$H$1204,"Service"),2))</f>
        <v>0</v>
      </c>
      <c r="AG59" s="26">
        <f>IF(B59="","",ROUND(SUMIFS(Sales!$Y$5:$Y$1204,Sales!$D$5:$D$1204,A59,Sales!$H$5:$H$1204,"Retail"),2))</f>
        <v>0</v>
      </c>
      <c r="AH59" s="26">
        <f>IF(B59="","",ROUND(SUMIFS(Sales!$Y$5:$Y$1204,Sales!$D$5:$D$1204,A59,Sales!$B$5:$B$1204,"&gt;="&amp;TodayDate-365),2))</f>
        <v>0</v>
      </c>
      <c r="AI59" s="26">
        <f>IF(B59="","",IF(T59=0,"",ROUND(AE59/T59,2)))</f>
        <v>0</v>
      </c>
      <c r="AJ59" s="26">
        <f>IF(B59="","",IF(AI59="","",IF(AC59="","",ROUND(AI59*(365/MAX(14,AC59)),2))))</f>
        <v>0</v>
      </c>
      <c r="AK59" s="26">
        <f>IF(B59="","",ROUND(SUMIFS(Sales!$AH$5:$AH$1204,Sales!$D$5:$D$1204,A59),2))</f>
        <v>0</v>
      </c>
      <c r="AL59" s="25">
        <f>IF(B59="","",IFERROR(INDEX(Loyalty!$P$5:$P$504,MATCH(A59,Loyalty!$B$5:$B$504,0))*1,0))</f>
        <v>0</v>
      </c>
      <c r="AM59" s="39">
        <f>IF(B59="","",IF(R59="Archived","Archived",IF(T59=0,"Not been yet",IF(Z59&gt;=InactiveDays,"Inactive",IF(Z59&gt;=LapsingDays,"Lapsing",IF(T59=1,"New",IF(AH59&gt;=VipSpend,"VIP",IF(U59&gt;=4,"Regular","Active"))))))))</f>
        <v>0</v>
      </c>
      <c r="AN59" s="38">
        <f>IF(B59="","",IF(T59&gt;=2,"Yes","No"))</f>
        <v>0</v>
      </c>
      <c r="AO59" s="25">
        <f>IF(B59="","",COUNTIFS($AE$5:$AE$504,"&gt;"&amp;AE59)+COUNTIFS($AE$5:AE59,AE59))</f>
        <v>0</v>
      </c>
      <c r="AP59" s="25">
        <f>IF(B59="","",COUNTIFS($T$5:$T$504,"&gt;"&amp;T59)+COUNTIFS($T$5:T59,T59))</f>
        <v>0</v>
      </c>
      <c r="AQ59" s="39">
        <f>IF(B59="","",IF(COUNTIF($B$5:$B$504,B59)&gt;1,"Duplicate - same name twice",IF(R59="Archived","",IF(AK59&gt;0.004,"Chase - balance outstanding",IF(AM59="Inactive","Gone - win-back offer",IF(AM59="Lapsing","Chase - lapsing, call them",IF(IF(N59="",FALSE,TodayDate-N59&gt;PatchTestDays),"Due - patch test out of date",IF(IF(AD59="",FALSE,IF(AB59&lt;&gt;"",FALSE,AD59&lt;=TodayDate+14)),"Rebook - due and nothing booked",IF(IF(K59="",FALSE,ABS(DATE(YEAR(TodayDate),MONTH(K59),DAY(K59))-TodayDate)&lt;=7),"Birthday - send the treat","OK")))))))))</f>
        <v>0</v>
      </c>
    </row>
    <row r="60" spans="1:43">
      <c r="A60" s="28">
        <f>IF(B60="","",ClientPrefix&amp;TEXT(ROW()-4,"0000"))</f>
        <v>0</v>
      </c>
      <c r="J60" s="15">
        <f>IF(I60="","",IFERROR(INDEX(Staff!$B$5:$B$44,MATCH(I60,Staff!$A$5:$A$44,0)),"Not in Staff"))</f>
        <v>0</v>
      </c>
      <c r="T60" s="25">
        <f>IF(B60="","",COUNTIFS(Appointments!$E$5:$E$1204,A60,Appointments!$M$5:$M$1204,"Completed"))</f>
        <v>0</v>
      </c>
      <c r="U60" s="25">
        <f>IF(B60="","",COUNTIFS(Appointments!$E$5:$E$1204,A60,Appointments!$M$5:$M$1204,"Completed",Appointments!$B$5:$B$1204,"&gt;="&amp;TodayDate-365))</f>
        <v>0</v>
      </c>
      <c r="V60" s="25">
        <f>IF(B60="","",COUNTIFS(Appointments!$E$5:$E$1204,A60,Appointments!$M$5:$M$1204,"Cancelled"))</f>
        <v>0</v>
      </c>
      <c r="W60" s="25">
        <f>IF(B60="","",COUNTIFS(Appointments!$E$5:$E$1204,A60,Appointments!$M$5:$M$1204,"No show"))</f>
        <v>0</v>
      </c>
      <c r="X60" s="17">
        <f>IF(B60="","",IF(F60&lt;&gt;"",F60,IF(T60=0,"",SUMPRODUCT(MIN((Appointments!$E$5:$E$1204=A60)*(Appointments!$M$5:$M$1204="Completed")*Appointments!$B$5:$B$1204+(1-(Appointments!$E$5:$E$1204=A60)*(Appointments!$M$5:$M$1204="Completed"))*2958465)))))</f>
        <v>0</v>
      </c>
      <c r="Y60" s="17">
        <f>IF(B60="","",IF(T60=0,"",SUMPRODUCT(MAX((Appointments!$E$5:$E$1204=A60)*(Appointments!$M$5:$M$1204="Completed")*Appointments!$B$5:$B$1204))))</f>
        <v>0</v>
      </c>
      <c r="Z60" s="25">
        <f>IF(B60="","",IF(Y60="","",TodayDate-Y60))</f>
        <v>0</v>
      </c>
      <c r="AA60" s="42">
        <f>IF(B60="","",SUMPRODUCT(MIN((Appointments!$E$5:$E$1204=A60)*(Appointments!$M$5:$M$1204&lt;&gt;"Cancelled")*(Appointments!$M$5:$M$1204&lt;&gt;"Completed")*(Appointments!$M$5:$M$1204&lt;&gt;"No show")*(Appointments!$B$5:$B$1204&gt;=TodayDate)*Appointments!$B$5:$B$1204+(1-(Appointments!$E$5:$E$1204=A60)*(Appointments!$M$5:$M$1204&lt;&gt;"Cancelled")*(Appointments!$M$5:$M$1204&lt;&gt;"Completed")*(Appointments!$M$5:$M$1204&lt;&gt;"No show")*(Appointments!$B$5:$B$1204&gt;=TodayDate))*2958465)))</f>
        <v>0</v>
      </c>
      <c r="AB60" s="17">
        <f>IF(B60="","",IF(AA60&gt;=2958465,"",AA60))</f>
        <v>0</v>
      </c>
      <c r="AC60" s="25">
        <f>IF(B60="","",IF(T60&lt;2,"",ROUND((Y60-X60)/MAX(1,T60-1),0)))</f>
        <v>0</v>
      </c>
      <c r="AD60" s="17">
        <f>IF(B60="","",IF(Y60="","",Y60+IF(AC60="",RebookWeeks*7,MAX(14,AC60))))</f>
        <v>0</v>
      </c>
      <c r="AE60" s="26">
        <f>IF(B60="","",ROUND(SUMIFS(Sales!$Y$5:$Y$1204,Sales!$D$5:$D$1204,A60),2))</f>
        <v>0</v>
      </c>
      <c r="AF60" s="26">
        <f>IF(B60="","",ROUND(SUMIFS(Sales!$Y$5:$Y$1204,Sales!$D$5:$D$1204,A60,Sales!$H$5:$H$1204,"Service"),2))</f>
        <v>0</v>
      </c>
      <c r="AG60" s="26">
        <f>IF(B60="","",ROUND(SUMIFS(Sales!$Y$5:$Y$1204,Sales!$D$5:$D$1204,A60,Sales!$H$5:$H$1204,"Retail"),2))</f>
        <v>0</v>
      </c>
      <c r="AH60" s="26">
        <f>IF(B60="","",ROUND(SUMIFS(Sales!$Y$5:$Y$1204,Sales!$D$5:$D$1204,A60,Sales!$B$5:$B$1204,"&gt;="&amp;TodayDate-365),2))</f>
        <v>0</v>
      </c>
      <c r="AI60" s="26">
        <f>IF(B60="","",IF(T60=0,"",ROUND(AE60/T60,2)))</f>
        <v>0</v>
      </c>
      <c r="AJ60" s="26">
        <f>IF(B60="","",IF(AI60="","",IF(AC60="","",ROUND(AI60*(365/MAX(14,AC60)),2))))</f>
        <v>0</v>
      </c>
      <c r="AK60" s="26">
        <f>IF(B60="","",ROUND(SUMIFS(Sales!$AH$5:$AH$1204,Sales!$D$5:$D$1204,A60),2))</f>
        <v>0</v>
      </c>
      <c r="AL60" s="25">
        <f>IF(B60="","",IFERROR(INDEX(Loyalty!$P$5:$P$504,MATCH(A60,Loyalty!$B$5:$B$504,0))*1,0))</f>
        <v>0</v>
      </c>
      <c r="AM60" s="39">
        <f>IF(B60="","",IF(R60="Archived","Archived",IF(T60=0,"Not been yet",IF(Z60&gt;=InactiveDays,"Inactive",IF(Z60&gt;=LapsingDays,"Lapsing",IF(T60=1,"New",IF(AH60&gt;=VipSpend,"VIP",IF(U60&gt;=4,"Regular","Active"))))))))</f>
        <v>0</v>
      </c>
      <c r="AN60" s="38">
        <f>IF(B60="","",IF(T60&gt;=2,"Yes","No"))</f>
        <v>0</v>
      </c>
      <c r="AO60" s="25">
        <f>IF(B60="","",COUNTIFS($AE$5:$AE$504,"&gt;"&amp;AE60)+COUNTIFS($AE$5:AE60,AE60))</f>
        <v>0</v>
      </c>
      <c r="AP60" s="25">
        <f>IF(B60="","",COUNTIFS($T$5:$T$504,"&gt;"&amp;T60)+COUNTIFS($T$5:T60,T60))</f>
        <v>0</v>
      </c>
      <c r="AQ60" s="39">
        <f>IF(B60="","",IF(COUNTIF($B$5:$B$504,B60)&gt;1,"Duplicate - same name twice",IF(R60="Archived","",IF(AK60&gt;0.004,"Chase - balance outstanding",IF(AM60="Inactive","Gone - win-back offer",IF(AM60="Lapsing","Chase - lapsing, call them",IF(IF(N60="",FALSE,TodayDate-N60&gt;PatchTestDays),"Due - patch test out of date",IF(IF(AD60="",FALSE,IF(AB60&lt;&gt;"",FALSE,AD60&lt;=TodayDate+14)),"Rebook - due and nothing booked",IF(IF(K60="",FALSE,ABS(DATE(YEAR(TodayDate),MONTH(K60),DAY(K60))-TodayDate)&lt;=7),"Birthday - send the treat","OK")))))))))</f>
        <v>0</v>
      </c>
    </row>
    <row r="61" spans="1:43">
      <c r="A61" s="28">
        <f>IF(B61="","",ClientPrefix&amp;TEXT(ROW()-4,"0000"))</f>
        <v>0</v>
      </c>
      <c r="J61" s="15">
        <f>IF(I61="","",IFERROR(INDEX(Staff!$B$5:$B$44,MATCH(I61,Staff!$A$5:$A$44,0)),"Not in Staff"))</f>
        <v>0</v>
      </c>
      <c r="T61" s="25">
        <f>IF(B61="","",COUNTIFS(Appointments!$E$5:$E$1204,A61,Appointments!$M$5:$M$1204,"Completed"))</f>
        <v>0</v>
      </c>
      <c r="U61" s="25">
        <f>IF(B61="","",COUNTIFS(Appointments!$E$5:$E$1204,A61,Appointments!$M$5:$M$1204,"Completed",Appointments!$B$5:$B$1204,"&gt;="&amp;TodayDate-365))</f>
        <v>0</v>
      </c>
      <c r="V61" s="25">
        <f>IF(B61="","",COUNTIFS(Appointments!$E$5:$E$1204,A61,Appointments!$M$5:$M$1204,"Cancelled"))</f>
        <v>0</v>
      </c>
      <c r="W61" s="25">
        <f>IF(B61="","",COUNTIFS(Appointments!$E$5:$E$1204,A61,Appointments!$M$5:$M$1204,"No show"))</f>
        <v>0</v>
      </c>
      <c r="X61" s="17">
        <f>IF(B61="","",IF(F61&lt;&gt;"",F61,IF(T61=0,"",SUMPRODUCT(MIN((Appointments!$E$5:$E$1204=A61)*(Appointments!$M$5:$M$1204="Completed")*Appointments!$B$5:$B$1204+(1-(Appointments!$E$5:$E$1204=A61)*(Appointments!$M$5:$M$1204="Completed"))*2958465)))))</f>
        <v>0</v>
      </c>
      <c r="Y61" s="17">
        <f>IF(B61="","",IF(T61=0,"",SUMPRODUCT(MAX((Appointments!$E$5:$E$1204=A61)*(Appointments!$M$5:$M$1204="Completed")*Appointments!$B$5:$B$1204))))</f>
        <v>0</v>
      </c>
      <c r="Z61" s="25">
        <f>IF(B61="","",IF(Y61="","",TodayDate-Y61))</f>
        <v>0</v>
      </c>
      <c r="AA61" s="42">
        <f>IF(B61="","",SUMPRODUCT(MIN((Appointments!$E$5:$E$1204=A61)*(Appointments!$M$5:$M$1204&lt;&gt;"Cancelled")*(Appointments!$M$5:$M$1204&lt;&gt;"Completed")*(Appointments!$M$5:$M$1204&lt;&gt;"No show")*(Appointments!$B$5:$B$1204&gt;=TodayDate)*Appointments!$B$5:$B$1204+(1-(Appointments!$E$5:$E$1204=A61)*(Appointments!$M$5:$M$1204&lt;&gt;"Cancelled")*(Appointments!$M$5:$M$1204&lt;&gt;"Completed")*(Appointments!$M$5:$M$1204&lt;&gt;"No show")*(Appointments!$B$5:$B$1204&gt;=TodayDate))*2958465)))</f>
        <v>0</v>
      </c>
      <c r="AB61" s="17">
        <f>IF(B61="","",IF(AA61&gt;=2958465,"",AA61))</f>
        <v>0</v>
      </c>
      <c r="AC61" s="25">
        <f>IF(B61="","",IF(T61&lt;2,"",ROUND((Y61-X61)/MAX(1,T61-1),0)))</f>
        <v>0</v>
      </c>
      <c r="AD61" s="17">
        <f>IF(B61="","",IF(Y61="","",Y61+IF(AC61="",RebookWeeks*7,MAX(14,AC61))))</f>
        <v>0</v>
      </c>
      <c r="AE61" s="26">
        <f>IF(B61="","",ROUND(SUMIFS(Sales!$Y$5:$Y$1204,Sales!$D$5:$D$1204,A61),2))</f>
        <v>0</v>
      </c>
      <c r="AF61" s="26">
        <f>IF(B61="","",ROUND(SUMIFS(Sales!$Y$5:$Y$1204,Sales!$D$5:$D$1204,A61,Sales!$H$5:$H$1204,"Service"),2))</f>
        <v>0</v>
      </c>
      <c r="AG61" s="26">
        <f>IF(B61="","",ROUND(SUMIFS(Sales!$Y$5:$Y$1204,Sales!$D$5:$D$1204,A61,Sales!$H$5:$H$1204,"Retail"),2))</f>
        <v>0</v>
      </c>
      <c r="AH61" s="26">
        <f>IF(B61="","",ROUND(SUMIFS(Sales!$Y$5:$Y$1204,Sales!$D$5:$D$1204,A61,Sales!$B$5:$B$1204,"&gt;="&amp;TodayDate-365),2))</f>
        <v>0</v>
      </c>
      <c r="AI61" s="26">
        <f>IF(B61="","",IF(T61=0,"",ROUND(AE61/T61,2)))</f>
        <v>0</v>
      </c>
      <c r="AJ61" s="26">
        <f>IF(B61="","",IF(AI61="","",IF(AC61="","",ROUND(AI61*(365/MAX(14,AC61)),2))))</f>
        <v>0</v>
      </c>
      <c r="AK61" s="26">
        <f>IF(B61="","",ROUND(SUMIFS(Sales!$AH$5:$AH$1204,Sales!$D$5:$D$1204,A61),2))</f>
        <v>0</v>
      </c>
      <c r="AL61" s="25">
        <f>IF(B61="","",IFERROR(INDEX(Loyalty!$P$5:$P$504,MATCH(A61,Loyalty!$B$5:$B$504,0))*1,0))</f>
        <v>0</v>
      </c>
      <c r="AM61" s="39">
        <f>IF(B61="","",IF(R61="Archived","Archived",IF(T61=0,"Not been yet",IF(Z61&gt;=InactiveDays,"Inactive",IF(Z61&gt;=LapsingDays,"Lapsing",IF(T61=1,"New",IF(AH61&gt;=VipSpend,"VIP",IF(U61&gt;=4,"Regular","Active"))))))))</f>
        <v>0</v>
      </c>
      <c r="AN61" s="38">
        <f>IF(B61="","",IF(T61&gt;=2,"Yes","No"))</f>
        <v>0</v>
      </c>
      <c r="AO61" s="25">
        <f>IF(B61="","",COUNTIFS($AE$5:$AE$504,"&gt;"&amp;AE61)+COUNTIFS($AE$5:AE61,AE61))</f>
        <v>0</v>
      </c>
      <c r="AP61" s="25">
        <f>IF(B61="","",COUNTIFS($T$5:$T$504,"&gt;"&amp;T61)+COUNTIFS($T$5:T61,T61))</f>
        <v>0</v>
      </c>
      <c r="AQ61" s="39">
        <f>IF(B61="","",IF(COUNTIF($B$5:$B$504,B61)&gt;1,"Duplicate - same name twice",IF(R61="Archived","",IF(AK61&gt;0.004,"Chase - balance outstanding",IF(AM61="Inactive","Gone - win-back offer",IF(AM61="Lapsing","Chase - lapsing, call them",IF(IF(N61="",FALSE,TodayDate-N61&gt;PatchTestDays),"Due - patch test out of date",IF(IF(AD61="",FALSE,IF(AB61&lt;&gt;"",FALSE,AD61&lt;=TodayDate+14)),"Rebook - due and nothing booked",IF(IF(K61="",FALSE,ABS(DATE(YEAR(TodayDate),MONTH(K61),DAY(K61))-TodayDate)&lt;=7),"Birthday - send the treat","OK")))))))))</f>
        <v>0</v>
      </c>
    </row>
    <row r="62" spans="1:43">
      <c r="A62" s="28">
        <f>IF(B62="","",ClientPrefix&amp;TEXT(ROW()-4,"0000"))</f>
        <v>0</v>
      </c>
      <c r="J62" s="15">
        <f>IF(I62="","",IFERROR(INDEX(Staff!$B$5:$B$44,MATCH(I62,Staff!$A$5:$A$44,0)),"Not in Staff"))</f>
        <v>0</v>
      </c>
      <c r="T62" s="25">
        <f>IF(B62="","",COUNTIFS(Appointments!$E$5:$E$1204,A62,Appointments!$M$5:$M$1204,"Completed"))</f>
        <v>0</v>
      </c>
      <c r="U62" s="25">
        <f>IF(B62="","",COUNTIFS(Appointments!$E$5:$E$1204,A62,Appointments!$M$5:$M$1204,"Completed",Appointments!$B$5:$B$1204,"&gt;="&amp;TodayDate-365))</f>
        <v>0</v>
      </c>
      <c r="V62" s="25">
        <f>IF(B62="","",COUNTIFS(Appointments!$E$5:$E$1204,A62,Appointments!$M$5:$M$1204,"Cancelled"))</f>
        <v>0</v>
      </c>
      <c r="W62" s="25">
        <f>IF(B62="","",COUNTIFS(Appointments!$E$5:$E$1204,A62,Appointments!$M$5:$M$1204,"No show"))</f>
        <v>0</v>
      </c>
      <c r="X62" s="17">
        <f>IF(B62="","",IF(F62&lt;&gt;"",F62,IF(T62=0,"",SUMPRODUCT(MIN((Appointments!$E$5:$E$1204=A62)*(Appointments!$M$5:$M$1204="Completed")*Appointments!$B$5:$B$1204+(1-(Appointments!$E$5:$E$1204=A62)*(Appointments!$M$5:$M$1204="Completed"))*2958465)))))</f>
        <v>0</v>
      </c>
      <c r="Y62" s="17">
        <f>IF(B62="","",IF(T62=0,"",SUMPRODUCT(MAX((Appointments!$E$5:$E$1204=A62)*(Appointments!$M$5:$M$1204="Completed")*Appointments!$B$5:$B$1204))))</f>
        <v>0</v>
      </c>
      <c r="Z62" s="25">
        <f>IF(B62="","",IF(Y62="","",TodayDate-Y62))</f>
        <v>0</v>
      </c>
      <c r="AA62" s="42">
        <f>IF(B62="","",SUMPRODUCT(MIN((Appointments!$E$5:$E$1204=A62)*(Appointments!$M$5:$M$1204&lt;&gt;"Cancelled")*(Appointments!$M$5:$M$1204&lt;&gt;"Completed")*(Appointments!$M$5:$M$1204&lt;&gt;"No show")*(Appointments!$B$5:$B$1204&gt;=TodayDate)*Appointments!$B$5:$B$1204+(1-(Appointments!$E$5:$E$1204=A62)*(Appointments!$M$5:$M$1204&lt;&gt;"Cancelled")*(Appointments!$M$5:$M$1204&lt;&gt;"Completed")*(Appointments!$M$5:$M$1204&lt;&gt;"No show")*(Appointments!$B$5:$B$1204&gt;=TodayDate))*2958465)))</f>
        <v>0</v>
      </c>
      <c r="AB62" s="17">
        <f>IF(B62="","",IF(AA62&gt;=2958465,"",AA62))</f>
        <v>0</v>
      </c>
      <c r="AC62" s="25">
        <f>IF(B62="","",IF(T62&lt;2,"",ROUND((Y62-X62)/MAX(1,T62-1),0)))</f>
        <v>0</v>
      </c>
      <c r="AD62" s="17">
        <f>IF(B62="","",IF(Y62="","",Y62+IF(AC62="",RebookWeeks*7,MAX(14,AC62))))</f>
        <v>0</v>
      </c>
      <c r="AE62" s="26">
        <f>IF(B62="","",ROUND(SUMIFS(Sales!$Y$5:$Y$1204,Sales!$D$5:$D$1204,A62),2))</f>
        <v>0</v>
      </c>
      <c r="AF62" s="26">
        <f>IF(B62="","",ROUND(SUMIFS(Sales!$Y$5:$Y$1204,Sales!$D$5:$D$1204,A62,Sales!$H$5:$H$1204,"Service"),2))</f>
        <v>0</v>
      </c>
      <c r="AG62" s="26">
        <f>IF(B62="","",ROUND(SUMIFS(Sales!$Y$5:$Y$1204,Sales!$D$5:$D$1204,A62,Sales!$H$5:$H$1204,"Retail"),2))</f>
        <v>0</v>
      </c>
      <c r="AH62" s="26">
        <f>IF(B62="","",ROUND(SUMIFS(Sales!$Y$5:$Y$1204,Sales!$D$5:$D$1204,A62,Sales!$B$5:$B$1204,"&gt;="&amp;TodayDate-365),2))</f>
        <v>0</v>
      </c>
      <c r="AI62" s="26">
        <f>IF(B62="","",IF(T62=0,"",ROUND(AE62/T62,2)))</f>
        <v>0</v>
      </c>
      <c r="AJ62" s="26">
        <f>IF(B62="","",IF(AI62="","",IF(AC62="","",ROUND(AI62*(365/MAX(14,AC62)),2))))</f>
        <v>0</v>
      </c>
      <c r="AK62" s="26">
        <f>IF(B62="","",ROUND(SUMIFS(Sales!$AH$5:$AH$1204,Sales!$D$5:$D$1204,A62),2))</f>
        <v>0</v>
      </c>
      <c r="AL62" s="25">
        <f>IF(B62="","",IFERROR(INDEX(Loyalty!$P$5:$P$504,MATCH(A62,Loyalty!$B$5:$B$504,0))*1,0))</f>
        <v>0</v>
      </c>
      <c r="AM62" s="39">
        <f>IF(B62="","",IF(R62="Archived","Archived",IF(T62=0,"Not been yet",IF(Z62&gt;=InactiveDays,"Inactive",IF(Z62&gt;=LapsingDays,"Lapsing",IF(T62=1,"New",IF(AH62&gt;=VipSpend,"VIP",IF(U62&gt;=4,"Regular","Active"))))))))</f>
        <v>0</v>
      </c>
      <c r="AN62" s="38">
        <f>IF(B62="","",IF(T62&gt;=2,"Yes","No"))</f>
        <v>0</v>
      </c>
      <c r="AO62" s="25">
        <f>IF(B62="","",COUNTIFS($AE$5:$AE$504,"&gt;"&amp;AE62)+COUNTIFS($AE$5:AE62,AE62))</f>
        <v>0</v>
      </c>
      <c r="AP62" s="25">
        <f>IF(B62="","",COUNTIFS($T$5:$T$504,"&gt;"&amp;T62)+COUNTIFS($T$5:T62,T62))</f>
        <v>0</v>
      </c>
      <c r="AQ62" s="39">
        <f>IF(B62="","",IF(COUNTIF($B$5:$B$504,B62)&gt;1,"Duplicate - same name twice",IF(R62="Archived","",IF(AK62&gt;0.004,"Chase - balance outstanding",IF(AM62="Inactive","Gone - win-back offer",IF(AM62="Lapsing","Chase - lapsing, call them",IF(IF(N62="",FALSE,TodayDate-N62&gt;PatchTestDays),"Due - patch test out of date",IF(IF(AD62="",FALSE,IF(AB62&lt;&gt;"",FALSE,AD62&lt;=TodayDate+14)),"Rebook - due and nothing booked",IF(IF(K62="",FALSE,ABS(DATE(YEAR(TodayDate),MONTH(K62),DAY(K62))-TodayDate)&lt;=7),"Birthday - send the treat","OK")))))))))</f>
        <v>0</v>
      </c>
    </row>
    <row r="63" spans="1:43">
      <c r="A63" s="28">
        <f>IF(B63="","",ClientPrefix&amp;TEXT(ROW()-4,"0000"))</f>
        <v>0</v>
      </c>
      <c r="J63" s="15">
        <f>IF(I63="","",IFERROR(INDEX(Staff!$B$5:$B$44,MATCH(I63,Staff!$A$5:$A$44,0)),"Not in Staff"))</f>
        <v>0</v>
      </c>
      <c r="T63" s="25">
        <f>IF(B63="","",COUNTIFS(Appointments!$E$5:$E$1204,A63,Appointments!$M$5:$M$1204,"Completed"))</f>
        <v>0</v>
      </c>
      <c r="U63" s="25">
        <f>IF(B63="","",COUNTIFS(Appointments!$E$5:$E$1204,A63,Appointments!$M$5:$M$1204,"Completed",Appointments!$B$5:$B$1204,"&gt;="&amp;TodayDate-365))</f>
        <v>0</v>
      </c>
      <c r="V63" s="25">
        <f>IF(B63="","",COUNTIFS(Appointments!$E$5:$E$1204,A63,Appointments!$M$5:$M$1204,"Cancelled"))</f>
        <v>0</v>
      </c>
      <c r="W63" s="25">
        <f>IF(B63="","",COUNTIFS(Appointments!$E$5:$E$1204,A63,Appointments!$M$5:$M$1204,"No show"))</f>
        <v>0</v>
      </c>
      <c r="X63" s="17">
        <f>IF(B63="","",IF(F63&lt;&gt;"",F63,IF(T63=0,"",SUMPRODUCT(MIN((Appointments!$E$5:$E$1204=A63)*(Appointments!$M$5:$M$1204="Completed")*Appointments!$B$5:$B$1204+(1-(Appointments!$E$5:$E$1204=A63)*(Appointments!$M$5:$M$1204="Completed"))*2958465)))))</f>
        <v>0</v>
      </c>
      <c r="Y63" s="17">
        <f>IF(B63="","",IF(T63=0,"",SUMPRODUCT(MAX((Appointments!$E$5:$E$1204=A63)*(Appointments!$M$5:$M$1204="Completed")*Appointments!$B$5:$B$1204))))</f>
        <v>0</v>
      </c>
      <c r="Z63" s="25">
        <f>IF(B63="","",IF(Y63="","",TodayDate-Y63))</f>
        <v>0</v>
      </c>
      <c r="AA63" s="42">
        <f>IF(B63="","",SUMPRODUCT(MIN((Appointments!$E$5:$E$1204=A63)*(Appointments!$M$5:$M$1204&lt;&gt;"Cancelled")*(Appointments!$M$5:$M$1204&lt;&gt;"Completed")*(Appointments!$M$5:$M$1204&lt;&gt;"No show")*(Appointments!$B$5:$B$1204&gt;=TodayDate)*Appointments!$B$5:$B$1204+(1-(Appointments!$E$5:$E$1204=A63)*(Appointments!$M$5:$M$1204&lt;&gt;"Cancelled")*(Appointments!$M$5:$M$1204&lt;&gt;"Completed")*(Appointments!$M$5:$M$1204&lt;&gt;"No show")*(Appointments!$B$5:$B$1204&gt;=TodayDate))*2958465)))</f>
        <v>0</v>
      </c>
      <c r="AB63" s="17">
        <f>IF(B63="","",IF(AA63&gt;=2958465,"",AA63))</f>
        <v>0</v>
      </c>
      <c r="AC63" s="25">
        <f>IF(B63="","",IF(T63&lt;2,"",ROUND((Y63-X63)/MAX(1,T63-1),0)))</f>
        <v>0</v>
      </c>
      <c r="AD63" s="17">
        <f>IF(B63="","",IF(Y63="","",Y63+IF(AC63="",RebookWeeks*7,MAX(14,AC63))))</f>
        <v>0</v>
      </c>
      <c r="AE63" s="26">
        <f>IF(B63="","",ROUND(SUMIFS(Sales!$Y$5:$Y$1204,Sales!$D$5:$D$1204,A63),2))</f>
        <v>0</v>
      </c>
      <c r="AF63" s="26">
        <f>IF(B63="","",ROUND(SUMIFS(Sales!$Y$5:$Y$1204,Sales!$D$5:$D$1204,A63,Sales!$H$5:$H$1204,"Service"),2))</f>
        <v>0</v>
      </c>
      <c r="AG63" s="26">
        <f>IF(B63="","",ROUND(SUMIFS(Sales!$Y$5:$Y$1204,Sales!$D$5:$D$1204,A63,Sales!$H$5:$H$1204,"Retail"),2))</f>
        <v>0</v>
      </c>
      <c r="AH63" s="26">
        <f>IF(B63="","",ROUND(SUMIFS(Sales!$Y$5:$Y$1204,Sales!$D$5:$D$1204,A63,Sales!$B$5:$B$1204,"&gt;="&amp;TodayDate-365),2))</f>
        <v>0</v>
      </c>
      <c r="AI63" s="26">
        <f>IF(B63="","",IF(T63=0,"",ROUND(AE63/T63,2)))</f>
        <v>0</v>
      </c>
      <c r="AJ63" s="26">
        <f>IF(B63="","",IF(AI63="","",IF(AC63="","",ROUND(AI63*(365/MAX(14,AC63)),2))))</f>
        <v>0</v>
      </c>
      <c r="AK63" s="26">
        <f>IF(B63="","",ROUND(SUMIFS(Sales!$AH$5:$AH$1204,Sales!$D$5:$D$1204,A63),2))</f>
        <v>0</v>
      </c>
      <c r="AL63" s="25">
        <f>IF(B63="","",IFERROR(INDEX(Loyalty!$P$5:$P$504,MATCH(A63,Loyalty!$B$5:$B$504,0))*1,0))</f>
        <v>0</v>
      </c>
      <c r="AM63" s="39">
        <f>IF(B63="","",IF(R63="Archived","Archived",IF(T63=0,"Not been yet",IF(Z63&gt;=InactiveDays,"Inactive",IF(Z63&gt;=LapsingDays,"Lapsing",IF(T63=1,"New",IF(AH63&gt;=VipSpend,"VIP",IF(U63&gt;=4,"Regular","Active"))))))))</f>
        <v>0</v>
      </c>
      <c r="AN63" s="38">
        <f>IF(B63="","",IF(T63&gt;=2,"Yes","No"))</f>
        <v>0</v>
      </c>
      <c r="AO63" s="25">
        <f>IF(B63="","",COUNTIFS($AE$5:$AE$504,"&gt;"&amp;AE63)+COUNTIFS($AE$5:AE63,AE63))</f>
        <v>0</v>
      </c>
      <c r="AP63" s="25">
        <f>IF(B63="","",COUNTIFS($T$5:$T$504,"&gt;"&amp;T63)+COUNTIFS($T$5:T63,T63))</f>
        <v>0</v>
      </c>
      <c r="AQ63" s="39">
        <f>IF(B63="","",IF(COUNTIF($B$5:$B$504,B63)&gt;1,"Duplicate - same name twice",IF(R63="Archived","",IF(AK63&gt;0.004,"Chase - balance outstanding",IF(AM63="Inactive","Gone - win-back offer",IF(AM63="Lapsing","Chase - lapsing, call them",IF(IF(N63="",FALSE,TodayDate-N63&gt;PatchTestDays),"Due - patch test out of date",IF(IF(AD63="",FALSE,IF(AB63&lt;&gt;"",FALSE,AD63&lt;=TodayDate+14)),"Rebook - due and nothing booked",IF(IF(K63="",FALSE,ABS(DATE(YEAR(TodayDate),MONTH(K63),DAY(K63))-TodayDate)&lt;=7),"Birthday - send the treat","OK")))))))))</f>
        <v>0</v>
      </c>
    </row>
    <row r="64" spans="1:43">
      <c r="A64" s="28">
        <f>IF(B64="","",ClientPrefix&amp;TEXT(ROW()-4,"0000"))</f>
        <v>0</v>
      </c>
      <c r="J64" s="15">
        <f>IF(I64="","",IFERROR(INDEX(Staff!$B$5:$B$44,MATCH(I64,Staff!$A$5:$A$44,0)),"Not in Staff"))</f>
        <v>0</v>
      </c>
      <c r="T64" s="25">
        <f>IF(B64="","",COUNTIFS(Appointments!$E$5:$E$1204,A64,Appointments!$M$5:$M$1204,"Completed"))</f>
        <v>0</v>
      </c>
      <c r="U64" s="25">
        <f>IF(B64="","",COUNTIFS(Appointments!$E$5:$E$1204,A64,Appointments!$M$5:$M$1204,"Completed",Appointments!$B$5:$B$1204,"&gt;="&amp;TodayDate-365))</f>
        <v>0</v>
      </c>
      <c r="V64" s="25">
        <f>IF(B64="","",COUNTIFS(Appointments!$E$5:$E$1204,A64,Appointments!$M$5:$M$1204,"Cancelled"))</f>
        <v>0</v>
      </c>
      <c r="W64" s="25">
        <f>IF(B64="","",COUNTIFS(Appointments!$E$5:$E$1204,A64,Appointments!$M$5:$M$1204,"No show"))</f>
        <v>0</v>
      </c>
      <c r="X64" s="17">
        <f>IF(B64="","",IF(F64&lt;&gt;"",F64,IF(T64=0,"",SUMPRODUCT(MIN((Appointments!$E$5:$E$1204=A64)*(Appointments!$M$5:$M$1204="Completed")*Appointments!$B$5:$B$1204+(1-(Appointments!$E$5:$E$1204=A64)*(Appointments!$M$5:$M$1204="Completed"))*2958465)))))</f>
        <v>0</v>
      </c>
      <c r="Y64" s="17">
        <f>IF(B64="","",IF(T64=0,"",SUMPRODUCT(MAX((Appointments!$E$5:$E$1204=A64)*(Appointments!$M$5:$M$1204="Completed")*Appointments!$B$5:$B$1204))))</f>
        <v>0</v>
      </c>
      <c r="Z64" s="25">
        <f>IF(B64="","",IF(Y64="","",TodayDate-Y64))</f>
        <v>0</v>
      </c>
      <c r="AA64" s="42">
        <f>IF(B64="","",SUMPRODUCT(MIN((Appointments!$E$5:$E$1204=A64)*(Appointments!$M$5:$M$1204&lt;&gt;"Cancelled")*(Appointments!$M$5:$M$1204&lt;&gt;"Completed")*(Appointments!$M$5:$M$1204&lt;&gt;"No show")*(Appointments!$B$5:$B$1204&gt;=TodayDate)*Appointments!$B$5:$B$1204+(1-(Appointments!$E$5:$E$1204=A64)*(Appointments!$M$5:$M$1204&lt;&gt;"Cancelled")*(Appointments!$M$5:$M$1204&lt;&gt;"Completed")*(Appointments!$M$5:$M$1204&lt;&gt;"No show")*(Appointments!$B$5:$B$1204&gt;=TodayDate))*2958465)))</f>
        <v>0</v>
      </c>
      <c r="AB64" s="17">
        <f>IF(B64="","",IF(AA64&gt;=2958465,"",AA64))</f>
        <v>0</v>
      </c>
      <c r="AC64" s="25">
        <f>IF(B64="","",IF(T64&lt;2,"",ROUND((Y64-X64)/MAX(1,T64-1),0)))</f>
        <v>0</v>
      </c>
      <c r="AD64" s="17">
        <f>IF(B64="","",IF(Y64="","",Y64+IF(AC64="",RebookWeeks*7,MAX(14,AC64))))</f>
        <v>0</v>
      </c>
      <c r="AE64" s="26">
        <f>IF(B64="","",ROUND(SUMIFS(Sales!$Y$5:$Y$1204,Sales!$D$5:$D$1204,A64),2))</f>
        <v>0</v>
      </c>
      <c r="AF64" s="26">
        <f>IF(B64="","",ROUND(SUMIFS(Sales!$Y$5:$Y$1204,Sales!$D$5:$D$1204,A64,Sales!$H$5:$H$1204,"Service"),2))</f>
        <v>0</v>
      </c>
      <c r="AG64" s="26">
        <f>IF(B64="","",ROUND(SUMIFS(Sales!$Y$5:$Y$1204,Sales!$D$5:$D$1204,A64,Sales!$H$5:$H$1204,"Retail"),2))</f>
        <v>0</v>
      </c>
      <c r="AH64" s="26">
        <f>IF(B64="","",ROUND(SUMIFS(Sales!$Y$5:$Y$1204,Sales!$D$5:$D$1204,A64,Sales!$B$5:$B$1204,"&gt;="&amp;TodayDate-365),2))</f>
        <v>0</v>
      </c>
      <c r="AI64" s="26">
        <f>IF(B64="","",IF(T64=0,"",ROUND(AE64/T64,2)))</f>
        <v>0</v>
      </c>
      <c r="AJ64" s="26">
        <f>IF(B64="","",IF(AI64="","",IF(AC64="","",ROUND(AI64*(365/MAX(14,AC64)),2))))</f>
        <v>0</v>
      </c>
      <c r="AK64" s="26">
        <f>IF(B64="","",ROUND(SUMIFS(Sales!$AH$5:$AH$1204,Sales!$D$5:$D$1204,A64),2))</f>
        <v>0</v>
      </c>
      <c r="AL64" s="25">
        <f>IF(B64="","",IFERROR(INDEX(Loyalty!$P$5:$P$504,MATCH(A64,Loyalty!$B$5:$B$504,0))*1,0))</f>
        <v>0</v>
      </c>
      <c r="AM64" s="39">
        <f>IF(B64="","",IF(R64="Archived","Archived",IF(T64=0,"Not been yet",IF(Z64&gt;=InactiveDays,"Inactive",IF(Z64&gt;=LapsingDays,"Lapsing",IF(T64=1,"New",IF(AH64&gt;=VipSpend,"VIP",IF(U64&gt;=4,"Regular","Active"))))))))</f>
        <v>0</v>
      </c>
      <c r="AN64" s="38">
        <f>IF(B64="","",IF(T64&gt;=2,"Yes","No"))</f>
        <v>0</v>
      </c>
      <c r="AO64" s="25">
        <f>IF(B64="","",COUNTIFS($AE$5:$AE$504,"&gt;"&amp;AE64)+COUNTIFS($AE$5:AE64,AE64))</f>
        <v>0</v>
      </c>
      <c r="AP64" s="25">
        <f>IF(B64="","",COUNTIFS($T$5:$T$504,"&gt;"&amp;T64)+COUNTIFS($T$5:T64,T64))</f>
        <v>0</v>
      </c>
      <c r="AQ64" s="39">
        <f>IF(B64="","",IF(COUNTIF($B$5:$B$504,B64)&gt;1,"Duplicate - same name twice",IF(R64="Archived","",IF(AK64&gt;0.004,"Chase - balance outstanding",IF(AM64="Inactive","Gone - win-back offer",IF(AM64="Lapsing","Chase - lapsing, call them",IF(IF(N64="",FALSE,TodayDate-N64&gt;PatchTestDays),"Due - patch test out of date",IF(IF(AD64="",FALSE,IF(AB64&lt;&gt;"",FALSE,AD64&lt;=TodayDate+14)),"Rebook - due and nothing booked",IF(IF(K64="",FALSE,ABS(DATE(YEAR(TodayDate),MONTH(K64),DAY(K64))-TodayDate)&lt;=7),"Birthday - send the treat","OK")))))))))</f>
        <v>0</v>
      </c>
    </row>
    <row r="65" spans="1:43">
      <c r="A65" s="28">
        <f>IF(B65="","",ClientPrefix&amp;TEXT(ROW()-4,"0000"))</f>
        <v>0</v>
      </c>
      <c r="J65" s="15">
        <f>IF(I65="","",IFERROR(INDEX(Staff!$B$5:$B$44,MATCH(I65,Staff!$A$5:$A$44,0)),"Not in Staff"))</f>
        <v>0</v>
      </c>
      <c r="T65" s="25">
        <f>IF(B65="","",COUNTIFS(Appointments!$E$5:$E$1204,A65,Appointments!$M$5:$M$1204,"Completed"))</f>
        <v>0</v>
      </c>
      <c r="U65" s="25">
        <f>IF(B65="","",COUNTIFS(Appointments!$E$5:$E$1204,A65,Appointments!$M$5:$M$1204,"Completed",Appointments!$B$5:$B$1204,"&gt;="&amp;TodayDate-365))</f>
        <v>0</v>
      </c>
      <c r="V65" s="25">
        <f>IF(B65="","",COUNTIFS(Appointments!$E$5:$E$1204,A65,Appointments!$M$5:$M$1204,"Cancelled"))</f>
        <v>0</v>
      </c>
      <c r="W65" s="25">
        <f>IF(B65="","",COUNTIFS(Appointments!$E$5:$E$1204,A65,Appointments!$M$5:$M$1204,"No show"))</f>
        <v>0</v>
      </c>
      <c r="X65" s="17">
        <f>IF(B65="","",IF(F65&lt;&gt;"",F65,IF(T65=0,"",SUMPRODUCT(MIN((Appointments!$E$5:$E$1204=A65)*(Appointments!$M$5:$M$1204="Completed")*Appointments!$B$5:$B$1204+(1-(Appointments!$E$5:$E$1204=A65)*(Appointments!$M$5:$M$1204="Completed"))*2958465)))))</f>
        <v>0</v>
      </c>
      <c r="Y65" s="17">
        <f>IF(B65="","",IF(T65=0,"",SUMPRODUCT(MAX((Appointments!$E$5:$E$1204=A65)*(Appointments!$M$5:$M$1204="Completed")*Appointments!$B$5:$B$1204))))</f>
        <v>0</v>
      </c>
      <c r="Z65" s="25">
        <f>IF(B65="","",IF(Y65="","",TodayDate-Y65))</f>
        <v>0</v>
      </c>
      <c r="AA65" s="42">
        <f>IF(B65="","",SUMPRODUCT(MIN((Appointments!$E$5:$E$1204=A65)*(Appointments!$M$5:$M$1204&lt;&gt;"Cancelled")*(Appointments!$M$5:$M$1204&lt;&gt;"Completed")*(Appointments!$M$5:$M$1204&lt;&gt;"No show")*(Appointments!$B$5:$B$1204&gt;=TodayDate)*Appointments!$B$5:$B$1204+(1-(Appointments!$E$5:$E$1204=A65)*(Appointments!$M$5:$M$1204&lt;&gt;"Cancelled")*(Appointments!$M$5:$M$1204&lt;&gt;"Completed")*(Appointments!$M$5:$M$1204&lt;&gt;"No show")*(Appointments!$B$5:$B$1204&gt;=TodayDate))*2958465)))</f>
        <v>0</v>
      </c>
      <c r="AB65" s="17">
        <f>IF(B65="","",IF(AA65&gt;=2958465,"",AA65))</f>
        <v>0</v>
      </c>
      <c r="AC65" s="25">
        <f>IF(B65="","",IF(T65&lt;2,"",ROUND((Y65-X65)/MAX(1,T65-1),0)))</f>
        <v>0</v>
      </c>
      <c r="AD65" s="17">
        <f>IF(B65="","",IF(Y65="","",Y65+IF(AC65="",RebookWeeks*7,MAX(14,AC65))))</f>
        <v>0</v>
      </c>
      <c r="AE65" s="26">
        <f>IF(B65="","",ROUND(SUMIFS(Sales!$Y$5:$Y$1204,Sales!$D$5:$D$1204,A65),2))</f>
        <v>0</v>
      </c>
      <c r="AF65" s="26">
        <f>IF(B65="","",ROUND(SUMIFS(Sales!$Y$5:$Y$1204,Sales!$D$5:$D$1204,A65,Sales!$H$5:$H$1204,"Service"),2))</f>
        <v>0</v>
      </c>
      <c r="AG65" s="26">
        <f>IF(B65="","",ROUND(SUMIFS(Sales!$Y$5:$Y$1204,Sales!$D$5:$D$1204,A65,Sales!$H$5:$H$1204,"Retail"),2))</f>
        <v>0</v>
      </c>
      <c r="AH65" s="26">
        <f>IF(B65="","",ROUND(SUMIFS(Sales!$Y$5:$Y$1204,Sales!$D$5:$D$1204,A65,Sales!$B$5:$B$1204,"&gt;="&amp;TodayDate-365),2))</f>
        <v>0</v>
      </c>
      <c r="AI65" s="26">
        <f>IF(B65="","",IF(T65=0,"",ROUND(AE65/T65,2)))</f>
        <v>0</v>
      </c>
      <c r="AJ65" s="26">
        <f>IF(B65="","",IF(AI65="","",IF(AC65="","",ROUND(AI65*(365/MAX(14,AC65)),2))))</f>
        <v>0</v>
      </c>
      <c r="AK65" s="26">
        <f>IF(B65="","",ROUND(SUMIFS(Sales!$AH$5:$AH$1204,Sales!$D$5:$D$1204,A65),2))</f>
        <v>0</v>
      </c>
      <c r="AL65" s="25">
        <f>IF(B65="","",IFERROR(INDEX(Loyalty!$P$5:$P$504,MATCH(A65,Loyalty!$B$5:$B$504,0))*1,0))</f>
        <v>0</v>
      </c>
      <c r="AM65" s="39">
        <f>IF(B65="","",IF(R65="Archived","Archived",IF(T65=0,"Not been yet",IF(Z65&gt;=InactiveDays,"Inactive",IF(Z65&gt;=LapsingDays,"Lapsing",IF(T65=1,"New",IF(AH65&gt;=VipSpend,"VIP",IF(U65&gt;=4,"Regular","Active"))))))))</f>
        <v>0</v>
      </c>
      <c r="AN65" s="38">
        <f>IF(B65="","",IF(T65&gt;=2,"Yes","No"))</f>
        <v>0</v>
      </c>
      <c r="AO65" s="25">
        <f>IF(B65="","",COUNTIFS($AE$5:$AE$504,"&gt;"&amp;AE65)+COUNTIFS($AE$5:AE65,AE65))</f>
        <v>0</v>
      </c>
      <c r="AP65" s="25">
        <f>IF(B65="","",COUNTIFS($T$5:$T$504,"&gt;"&amp;T65)+COUNTIFS($T$5:T65,T65))</f>
        <v>0</v>
      </c>
      <c r="AQ65" s="39">
        <f>IF(B65="","",IF(COUNTIF($B$5:$B$504,B65)&gt;1,"Duplicate - same name twice",IF(R65="Archived","",IF(AK65&gt;0.004,"Chase - balance outstanding",IF(AM65="Inactive","Gone - win-back offer",IF(AM65="Lapsing","Chase - lapsing, call them",IF(IF(N65="",FALSE,TodayDate-N65&gt;PatchTestDays),"Due - patch test out of date",IF(IF(AD65="",FALSE,IF(AB65&lt;&gt;"",FALSE,AD65&lt;=TodayDate+14)),"Rebook - due and nothing booked",IF(IF(K65="",FALSE,ABS(DATE(YEAR(TodayDate),MONTH(K65),DAY(K65))-TodayDate)&lt;=7),"Birthday - send the treat","OK")))))))))</f>
        <v>0</v>
      </c>
    </row>
    <row r="66" spans="1:43">
      <c r="A66" s="28">
        <f>IF(B66="","",ClientPrefix&amp;TEXT(ROW()-4,"0000"))</f>
        <v>0</v>
      </c>
      <c r="J66" s="15">
        <f>IF(I66="","",IFERROR(INDEX(Staff!$B$5:$B$44,MATCH(I66,Staff!$A$5:$A$44,0)),"Not in Staff"))</f>
        <v>0</v>
      </c>
      <c r="T66" s="25">
        <f>IF(B66="","",COUNTIFS(Appointments!$E$5:$E$1204,A66,Appointments!$M$5:$M$1204,"Completed"))</f>
        <v>0</v>
      </c>
      <c r="U66" s="25">
        <f>IF(B66="","",COUNTIFS(Appointments!$E$5:$E$1204,A66,Appointments!$M$5:$M$1204,"Completed",Appointments!$B$5:$B$1204,"&gt;="&amp;TodayDate-365))</f>
        <v>0</v>
      </c>
      <c r="V66" s="25">
        <f>IF(B66="","",COUNTIFS(Appointments!$E$5:$E$1204,A66,Appointments!$M$5:$M$1204,"Cancelled"))</f>
        <v>0</v>
      </c>
      <c r="W66" s="25">
        <f>IF(B66="","",COUNTIFS(Appointments!$E$5:$E$1204,A66,Appointments!$M$5:$M$1204,"No show"))</f>
        <v>0</v>
      </c>
      <c r="X66" s="17">
        <f>IF(B66="","",IF(F66&lt;&gt;"",F66,IF(T66=0,"",SUMPRODUCT(MIN((Appointments!$E$5:$E$1204=A66)*(Appointments!$M$5:$M$1204="Completed")*Appointments!$B$5:$B$1204+(1-(Appointments!$E$5:$E$1204=A66)*(Appointments!$M$5:$M$1204="Completed"))*2958465)))))</f>
        <v>0</v>
      </c>
      <c r="Y66" s="17">
        <f>IF(B66="","",IF(T66=0,"",SUMPRODUCT(MAX((Appointments!$E$5:$E$1204=A66)*(Appointments!$M$5:$M$1204="Completed")*Appointments!$B$5:$B$1204))))</f>
        <v>0</v>
      </c>
      <c r="Z66" s="25">
        <f>IF(B66="","",IF(Y66="","",TodayDate-Y66))</f>
        <v>0</v>
      </c>
      <c r="AA66" s="42">
        <f>IF(B66="","",SUMPRODUCT(MIN((Appointments!$E$5:$E$1204=A66)*(Appointments!$M$5:$M$1204&lt;&gt;"Cancelled")*(Appointments!$M$5:$M$1204&lt;&gt;"Completed")*(Appointments!$M$5:$M$1204&lt;&gt;"No show")*(Appointments!$B$5:$B$1204&gt;=TodayDate)*Appointments!$B$5:$B$1204+(1-(Appointments!$E$5:$E$1204=A66)*(Appointments!$M$5:$M$1204&lt;&gt;"Cancelled")*(Appointments!$M$5:$M$1204&lt;&gt;"Completed")*(Appointments!$M$5:$M$1204&lt;&gt;"No show")*(Appointments!$B$5:$B$1204&gt;=TodayDate))*2958465)))</f>
        <v>0</v>
      </c>
      <c r="AB66" s="17">
        <f>IF(B66="","",IF(AA66&gt;=2958465,"",AA66))</f>
        <v>0</v>
      </c>
      <c r="AC66" s="25">
        <f>IF(B66="","",IF(T66&lt;2,"",ROUND((Y66-X66)/MAX(1,T66-1),0)))</f>
        <v>0</v>
      </c>
      <c r="AD66" s="17">
        <f>IF(B66="","",IF(Y66="","",Y66+IF(AC66="",RebookWeeks*7,MAX(14,AC66))))</f>
        <v>0</v>
      </c>
      <c r="AE66" s="26">
        <f>IF(B66="","",ROUND(SUMIFS(Sales!$Y$5:$Y$1204,Sales!$D$5:$D$1204,A66),2))</f>
        <v>0</v>
      </c>
      <c r="AF66" s="26">
        <f>IF(B66="","",ROUND(SUMIFS(Sales!$Y$5:$Y$1204,Sales!$D$5:$D$1204,A66,Sales!$H$5:$H$1204,"Service"),2))</f>
        <v>0</v>
      </c>
      <c r="AG66" s="26">
        <f>IF(B66="","",ROUND(SUMIFS(Sales!$Y$5:$Y$1204,Sales!$D$5:$D$1204,A66,Sales!$H$5:$H$1204,"Retail"),2))</f>
        <v>0</v>
      </c>
      <c r="AH66" s="26">
        <f>IF(B66="","",ROUND(SUMIFS(Sales!$Y$5:$Y$1204,Sales!$D$5:$D$1204,A66,Sales!$B$5:$B$1204,"&gt;="&amp;TodayDate-365),2))</f>
        <v>0</v>
      </c>
      <c r="AI66" s="26">
        <f>IF(B66="","",IF(T66=0,"",ROUND(AE66/T66,2)))</f>
        <v>0</v>
      </c>
      <c r="AJ66" s="26">
        <f>IF(B66="","",IF(AI66="","",IF(AC66="","",ROUND(AI66*(365/MAX(14,AC66)),2))))</f>
        <v>0</v>
      </c>
      <c r="AK66" s="26">
        <f>IF(B66="","",ROUND(SUMIFS(Sales!$AH$5:$AH$1204,Sales!$D$5:$D$1204,A66),2))</f>
        <v>0</v>
      </c>
      <c r="AL66" s="25">
        <f>IF(B66="","",IFERROR(INDEX(Loyalty!$P$5:$P$504,MATCH(A66,Loyalty!$B$5:$B$504,0))*1,0))</f>
        <v>0</v>
      </c>
      <c r="AM66" s="39">
        <f>IF(B66="","",IF(R66="Archived","Archived",IF(T66=0,"Not been yet",IF(Z66&gt;=InactiveDays,"Inactive",IF(Z66&gt;=LapsingDays,"Lapsing",IF(T66=1,"New",IF(AH66&gt;=VipSpend,"VIP",IF(U66&gt;=4,"Regular","Active"))))))))</f>
        <v>0</v>
      </c>
      <c r="AN66" s="38">
        <f>IF(B66="","",IF(T66&gt;=2,"Yes","No"))</f>
        <v>0</v>
      </c>
      <c r="AO66" s="25">
        <f>IF(B66="","",COUNTIFS($AE$5:$AE$504,"&gt;"&amp;AE66)+COUNTIFS($AE$5:AE66,AE66))</f>
        <v>0</v>
      </c>
      <c r="AP66" s="25">
        <f>IF(B66="","",COUNTIFS($T$5:$T$504,"&gt;"&amp;T66)+COUNTIFS($T$5:T66,T66))</f>
        <v>0</v>
      </c>
      <c r="AQ66" s="39">
        <f>IF(B66="","",IF(COUNTIF($B$5:$B$504,B66)&gt;1,"Duplicate - same name twice",IF(R66="Archived","",IF(AK66&gt;0.004,"Chase - balance outstanding",IF(AM66="Inactive","Gone - win-back offer",IF(AM66="Lapsing","Chase - lapsing, call them",IF(IF(N66="",FALSE,TodayDate-N66&gt;PatchTestDays),"Due - patch test out of date",IF(IF(AD66="",FALSE,IF(AB66&lt;&gt;"",FALSE,AD66&lt;=TodayDate+14)),"Rebook - due and nothing booked",IF(IF(K66="",FALSE,ABS(DATE(YEAR(TodayDate),MONTH(K66),DAY(K66))-TodayDate)&lt;=7),"Birthday - send the treat","OK")))))))))</f>
        <v>0</v>
      </c>
    </row>
    <row r="67" spans="1:43">
      <c r="A67" s="28">
        <f>IF(B67="","",ClientPrefix&amp;TEXT(ROW()-4,"0000"))</f>
        <v>0</v>
      </c>
      <c r="J67" s="15">
        <f>IF(I67="","",IFERROR(INDEX(Staff!$B$5:$B$44,MATCH(I67,Staff!$A$5:$A$44,0)),"Not in Staff"))</f>
        <v>0</v>
      </c>
      <c r="T67" s="25">
        <f>IF(B67="","",COUNTIFS(Appointments!$E$5:$E$1204,A67,Appointments!$M$5:$M$1204,"Completed"))</f>
        <v>0</v>
      </c>
      <c r="U67" s="25">
        <f>IF(B67="","",COUNTIFS(Appointments!$E$5:$E$1204,A67,Appointments!$M$5:$M$1204,"Completed",Appointments!$B$5:$B$1204,"&gt;="&amp;TodayDate-365))</f>
        <v>0</v>
      </c>
      <c r="V67" s="25">
        <f>IF(B67="","",COUNTIFS(Appointments!$E$5:$E$1204,A67,Appointments!$M$5:$M$1204,"Cancelled"))</f>
        <v>0</v>
      </c>
      <c r="W67" s="25">
        <f>IF(B67="","",COUNTIFS(Appointments!$E$5:$E$1204,A67,Appointments!$M$5:$M$1204,"No show"))</f>
        <v>0</v>
      </c>
      <c r="X67" s="17">
        <f>IF(B67="","",IF(F67&lt;&gt;"",F67,IF(T67=0,"",SUMPRODUCT(MIN((Appointments!$E$5:$E$1204=A67)*(Appointments!$M$5:$M$1204="Completed")*Appointments!$B$5:$B$1204+(1-(Appointments!$E$5:$E$1204=A67)*(Appointments!$M$5:$M$1204="Completed"))*2958465)))))</f>
        <v>0</v>
      </c>
      <c r="Y67" s="17">
        <f>IF(B67="","",IF(T67=0,"",SUMPRODUCT(MAX((Appointments!$E$5:$E$1204=A67)*(Appointments!$M$5:$M$1204="Completed")*Appointments!$B$5:$B$1204))))</f>
        <v>0</v>
      </c>
      <c r="Z67" s="25">
        <f>IF(B67="","",IF(Y67="","",TodayDate-Y67))</f>
        <v>0</v>
      </c>
      <c r="AA67" s="42">
        <f>IF(B67="","",SUMPRODUCT(MIN((Appointments!$E$5:$E$1204=A67)*(Appointments!$M$5:$M$1204&lt;&gt;"Cancelled")*(Appointments!$M$5:$M$1204&lt;&gt;"Completed")*(Appointments!$M$5:$M$1204&lt;&gt;"No show")*(Appointments!$B$5:$B$1204&gt;=TodayDate)*Appointments!$B$5:$B$1204+(1-(Appointments!$E$5:$E$1204=A67)*(Appointments!$M$5:$M$1204&lt;&gt;"Cancelled")*(Appointments!$M$5:$M$1204&lt;&gt;"Completed")*(Appointments!$M$5:$M$1204&lt;&gt;"No show")*(Appointments!$B$5:$B$1204&gt;=TodayDate))*2958465)))</f>
        <v>0</v>
      </c>
      <c r="AB67" s="17">
        <f>IF(B67="","",IF(AA67&gt;=2958465,"",AA67))</f>
        <v>0</v>
      </c>
      <c r="AC67" s="25">
        <f>IF(B67="","",IF(T67&lt;2,"",ROUND((Y67-X67)/MAX(1,T67-1),0)))</f>
        <v>0</v>
      </c>
      <c r="AD67" s="17">
        <f>IF(B67="","",IF(Y67="","",Y67+IF(AC67="",RebookWeeks*7,MAX(14,AC67))))</f>
        <v>0</v>
      </c>
      <c r="AE67" s="26">
        <f>IF(B67="","",ROUND(SUMIFS(Sales!$Y$5:$Y$1204,Sales!$D$5:$D$1204,A67),2))</f>
        <v>0</v>
      </c>
      <c r="AF67" s="26">
        <f>IF(B67="","",ROUND(SUMIFS(Sales!$Y$5:$Y$1204,Sales!$D$5:$D$1204,A67,Sales!$H$5:$H$1204,"Service"),2))</f>
        <v>0</v>
      </c>
      <c r="AG67" s="26">
        <f>IF(B67="","",ROUND(SUMIFS(Sales!$Y$5:$Y$1204,Sales!$D$5:$D$1204,A67,Sales!$H$5:$H$1204,"Retail"),2))</f>
        <v>0</v>
      </c>
      <c r="AH67" s="26">
        <f>IF(B67="","",ROUND(SUMIFS(Sales!$Y$5:$Y$1204,Sales!$D$5:$D$1204,A67,Sales!$B$5:$B$1204,"&gt;="&amp;TodayDate-365),2))</f>
        <v>0</v>
      </c>
      <c r="AI67" s="26">
        <f>IF(B67="","",IF(T67=0,"",ROUND(AE67/T67,2)))</f>
        <v>0</v>
      </c>
      <c r="AJ67" s="26">
        <f>IF(B67="","",IF(AI67="","",IF(AC67="","",ROUND(AI67*(365/MAX(14,AC67)),2))))</f>
        <v>0</v>
      </c>
      <c r="AK67" s="26">
        <f>IF(B67="","",ROUND(SUMIFS(Sales!$AH$5:$AH$1204,Sales!$D$5:$D$1204,A67),2))</f>
        <v>0</v>
      </c>
      <c r="AL67" s="25">
        <f>IF(B67="","",IFERROR(INDEX(Loyalty!$P$5:$P$504,MATCH(A67,Loyalty!$B$5:$B$504,0))*1,0))</f>
        <v>0</v>
      </c>
      <c r="AM67" s="39">
        <f>IF(B67="","",IF(R67="Archived","Archived",IF(T67=0,"Not been yet",IF(Z67&gt;=InactiveDays,"Inactive",IF(Z67&gt;=LapsingDays,"Lapsing",IF(T67=1,"New",IF(AH67&gt;=VipSpend,"VIP",IF(U67&gt;=4,"Regular","Active"))))))))</f>
        <v>0</v>
      </c>
      <c r="AN67" s="38">
        <f>IF(B67="","",IF(T67&gt;=2,"Yes","No"))</f>
        <v>0</v>
      </c>
      <c r="AO67" s="25">
        <f>IF(B67="","",COUNTIFS($AE$5:$AE$504,"&gt;"&amp;AE67)+COUNTIFS($AE$5:AE67,AE67))</f>
        <v>0</v>
      </c>
      <c r="AP67" s="25">
        <f>IF(B67="","",COUNTIFS($T$5:$T$504,"&gt;"&amp;T67)+COUNTIFS($T$5:T67,T67))</f>
        <v>0</v>
      </c>
      <c r="AQ67" s="39">
        <f>IF(B67="","",IF(COUNTIF($B$5:$B$504,B67)&gt;1,"Duplicate - same name twice",IF(R67="Archived","",IF(AK67&gt;0.004,"Chase - balance outstanding",IF(AM67="Inactive","Gone - win-back offer",IF(AM67="Lapsing","Chase - lapsing, call them",IF(IF(N67="",FALSE,TodayDate-N67&gt;PatchTestDays),"Due - patch test out of date",IF(IF(AD67="",FALSE,IF(AB67&lt;&gt;"",FALSE,AD67&lt;=TodayDate+14)),"Rebook - due and nothing booked",IF(IF(K67="",FALSE,ABS(DATE(YEAR(TodayDate),MONTH(K67),DAY(K67))-TodayDate)&lt;=7),"Birthday - send the treat","OK")))))))))</f>
        <v>0</v>
      </c>
    </row>
    <row r="68" spans="1:43">
      <c r="A68" s="28">
        <f>IF(B68="","",ClientPrefix&amp;TEXT(ROW()-4,"0000"))</f>
        <v>0</v>
      </c>
      <c r="J68" s="15">
        <f>IF(I68="","",IFERROR(INDEX(Staff!$B$5:$B$44,MATCH(I68,Staff!$A$5:$A$44,0)),"Not in Staff"))</f>
        <v>0</v>
      </c>
      <c r="T68" s="25">
        <f>IF(B68="","",COUNTIFS(Appointments!$E$5:$E$1204,A68,Appointments!$M$5:$M$1204,"Completed"))</f>
        <v>0</v>
      </c>
      <c r="U68" s="25">
        <f>IF(B68="","",COUNTIFS(Appointments!$E$5:$E$1204,A68,Appointments!$M$5:$M$1204,"Completed",Appointments!$B$5:$B$1204,"&gt;="&amp;TodayDate-365))</f>
        <v>0</v>
      </c>
      <c r="V68" s="25">
        <f>IF(B68="","",COUNTIFS(Appointments!$E$5:$E$1204,A68,Appointments!$M$5:$M$1204,"Cancelled"))</f>
        <v>0</v>
      </c>
      <c r="W68" s="25">
        <f>IF(B68="","",COUNTIFS(Appointments!$E$5:$E$1204,A68,Appointments!$M$5:$M$1204,"No show"))</f>
        <v>0</v>
      </c>
      <c r="X68" s="17">
        <f>IF(B68="","",IF(F68&lt;&gt;"",F68,IF(T68=0,"",SUMPRODUCT(MIN((Appointments!$E$5:$E$1204=A68)*(Appointments!$M$5:$M$1204="Completed")*Appointments!$B$5:$B$1204+(1-(Appointments!$E$5:$E$1204=A68)*(Appointments!$M$5:$M$1204="Completed"))*2958465)))))</f>
        <v>0</v>
      </c>
      <c r="Y68" s="17">
        <f>IF(B68="","",IF(T68=0,"",SUMPRODUCT(MAX((Appointments!$E$5:$E$1204=A68)*(Appointments!$M$5:$M$1204="Completed")*Appointments!$B$5:$B$1204))))</f>
        <v>0</v>
      </c>
      <c r="Z68" s="25">
        <f>IF(B68="","",IF(Y68="","",TodayDate-Y68))</f>
        <v>0</v>
      </c>
      <c r="AA68" s="42">
        <f>IF(B68="","",SUMPRODUCT(MIN((Appointments!$E$5:$E$1204=A68)*(Appointments!$M$5:$M$1204&lt;&gt;"Cancelled")*(Appointments!$M$5:$M$1204&lt;&gt;"Completed")*(Appointments!$M$5:$M$1204&lt;&gt;"No show")*(Appointments!$B$5:$B$1204&gt;=TodayDate)*Appointments!$B$5:$B$1204+(1-(Appointments!$E$5:$E$1204=A68)*(Appointments!$M$5:$M$1204&lt;&gt;"Cancelled")*(Appointments!$M$5:$M$1204&lt;&gt;"Completed")*(Appointments!$M$5:$M$1204&lt;&gt;"No show")*(Appointments!$B$5:$B$1204&gt;=TodayDate))*2958465)))</f>
        <v>0</v>
      </c>
      <c r="AB68" s="17">
        <f>IF(B68="","",IF(AA68&gt;=2958465,"",AA68))</f>
        <v>0</v>
      </c>
      <c r="AC68" s="25">
        <f>IF(B68="","",IF(T68&lt;2,"",ROUND((Y68-X68)/MAX(1,T68-1),0)))</f>
        <v>0</v>
      </c>
      <c r="AD68" s="17">
        <f>IF(B68="","",IF(Y68="","",Y68+IF(AC68="",RebookWeeks*7,MAX(14,AC68))))</f>
        <v>0</v>
      </c>
      <c r="AE68" s="26">
        <f>IF(B68="","",ROUND(SUMIFS(Sales!$Y$5:$Y$1204,Sales!$D$5:$D$1204,A68),2))</f>
        <v>0</v>
      </c>
      <c r="AF68" s="26">
        <f>IF(B68="","",ROUND(SUMIFS(Sales!$Y$5:$Y$1204,Sales!$D$5:$D$1204,A68,Sales!$H$5:$H$1204,"Service"),2))</f>
        <v>0</v>
      </c>
      <c r="AG68" s="26">
        <f>IF(B68="","",ROUND(SUMIFS(Sales!$Y$5:$Y$1204,Sales!$D$5:$D$1204,A68,Sales!$H$5:$H$1204,"Retail"),2))</f>
        <v>0</v>
      </c>
      <c r="AH68" s="26">
        <f>IF(B68="","",ROUND(SUMIFS(Sales!$Y$5:$Y$1204,Sales!$D$5:$D$1204,A68,Sales!$B$5:$B$1204,"&gt;="&amp;TodayDate-365),2))</f>
        <v>0</v>
      </c>
      <c r="AI68" s="26">
        <f>IF(B68="","",IF(T68=0,"",ROUND(AE68/T68,2)))</f>
        <v>0</v>
      </c>
      <c r="AJ68" s="26">
        <f>IF(B68="","",IF(AI68="","",IF(AC68="","",ROUND(AI68*(365/MAX(14,AC68)),2))))</f>
        <v>0</v>
      </c>
      <c r="AK68" s="26">
        <f>IF(B68="","",ROUND(SUMIFS(Sales!$AH$5:$AH$1204,Sales!$D$5:$D$1204,A68),2))</f>
        <v>0</v>
      </c>
      <c r="AL68" s="25">
        <f>IF(B68="","",IFERROR(INDEX(Loyalty!$P$5:$P$504,MATCH(A68,Loyalty!$B$5:$B$504,0))*1,0))</f>
        <v>0</v>
      </c>
      <c r="AM68" s="39">
        <f>IF(B68="","",IF(R68="Archived","Archived",IF(T68=0,"Not been yet",IF(Z68&gt;=InactiveDays,"Inactive",IF(Z68&gt;=LapsingDays,"Lapsing",IF(T68=1,"New",IF(AH68&gt;=VipSpend,"VIP",IF(U68&gt;=4,"Regular","Active"))))))))</f>
        <v>0</v>
      </c>
      <c r="AN68" s="38">
        <f>IF(B68="","",IF(T68&gt;=2,"Yes","No"))</f>
        <v>0</v>
      </c>
      <c r="AO68" s="25">
        <f>IF(B68="","",COUNTIFS($AE$5:$AE$504,"&gt;"&amp;AE68)+COUNTIFS($AE$5:AE68,AE68))</f>
        <v>0</v>
      </c>
      <c r="AP68" s="25">
        <f>IF(B68="","",COUNTIFS($T$5:$T$504,"&gt;"&amp;T68)+COUNTIFS($T$5:T68,T68))</f>
        <v>0</v>
      </c>
      <c r="AQ68" s="39">
        <f>IF(B68="","",IF(COUNTIF($B$5:$B$504,B68)&gt;1,"Duplicate - same name twice",IF(R68="Archived","",IF(AK68&gt;0.004,"Chase - balance outstanding",IF(AM68="Inactive","Gone - win-back offer",IF(AM68="Lapsing","Chase - lapsing, call them",IF(IF(N68="",FALSE,TodayDate-N68&gt;PatchTestDays),"Due - patch test out of date",IF(IF(AD68="",FALSE,IF(AB68&lt;&gt;"",FALSE,AD68&lt;=TodayDate+14)),"Rebook - due and nothing booked",IF(IF(K68="",FALSE,ABS(DATE(YEAR(TodayDate),MONTH(K68),DAY(K68))-TodayDate)&lt;=7),"Birthday - send the treat","OK")))))))))</f>
        <v>0</v>
      </c>
    </row>
    <row r="69" spans="1:43">
      <c r="A69" s="28">
        <f>IF(B69="","",ClientPrefix&amp;TEXT(ROW()-4,"0000"))</f>
        <v>0</v>
      </c>
      <c r="J69" s="15">
        <f>IF(I69="","",IFERROR(INDEX(Staff!$B$5:$B$44,MATCH(I69,Staff!$A$5:$A$44,0)),"Not in Staff"))</f>
        <v>0</v>
      </c>
      <c r="T69" s="25">
        <f>IF(B69="","",COUNTIFS(Appointments!$E$5:$E$1204,A69,Appointments!$M$5:$M$1204,"Completed"))</f>
        <v>0</v>
      </c>
      <c r="U69" s="25">
        <f>IF(B69="","",COUNTIFS(Appointments!$E$5:$E$1204,A69,Appointments!$M$5:$M$1204,"Completed",Appointments!$B$5:$B$1204,"&gt;="&amp;TodayDate-365))</f>
        <v>0</v>
      </c>
      <c r="V69" s="25">
        <f>IF(B69="","",COUNTIFS(Appointments!$E$5:$E$1204,A69,Appointments!$M$5:$M$1204,"Cancelled"))</f>
        <v>0</v>
      </c>
      <c r="W69" s="25">
        <f>IF(B69="","",COUNTIFS(Appointments!$E$5:$E$1204,A69,Appointments!$M$5:$M$1204,"No show"))</f>
        <v>0</v>
      </c>
      <c r="X69" s="17">
        <f>IF(B69="","",IF(F69&lt;&gt;"",F69,IF(T69=0,"",SUMPRODUCT(MIN((Appointments!$E$5:$E$1204=A69)*(Appointments!$M$5:$M$1204="Completed")*Appointments!$B$5:$B$1204+(1-(Appointments!$E$5:$E$1204=A69)*(Appointments!$M$5:$M$1204="Completed"))*2958465)))))</f>
        <v>0</v>
      </c>
      <c r="Y69" s="17">
        <f>IF(B69="","",IF(T69=0,"",SUMPRODUCT(MAX((Appointments!$E$5:$E$1204=A69)*(Appointments!$M$5:$M$1204="Completed")*Appointments!$B$5:$B$1204))))</f>
        <v>0</v>
      </c>
      <c r="Z69" s="25">
        <f>IF(B69="","",IF(Y69="","",TodayDate-Y69))</f>
        <v>0</v>
      </c>
      <c r="AA69" s="42">
        <f>IF(B69="","",SUMPRODUCT(MIN((Appointments!$E$5:$E$1204=A69)*(Appointments!$M$5:$M$1204&lt;&gt;"Cancelled")*(Appointments!$M$5:$M$1204&lt;&gt;"Completed")*(Appointments!$M$5:$M$1204&lt;&gt;"No show")*(Appointments!$B$5:$B$1204&gt;=TodayDate)*Appointments!$B$5:$B$1204+(1-(Appointments!$E$5:$E$1204=A69)*(Appointments!$M$5:$M$1204&lt;&gt;"Cancelled")*(Appointments!$M$5:$M$1204&lt;&gt;"Completed")*(Appointments!$M$5:$M$1204&lt;&gt;"No show")*(Appointments!$B$5:$B$1204&gt;=TodayDate))*2958465)))</f>
        <v>0</v>
      </c>
      <c r="AB69" s="17">
        <f>IF(B69="","",IF(AA69&gt;=2958465,"",AA69))</f>
        <v>0</v>
      </c>
      <c r="AC69" s="25">
        <f>IF(B69="","",IF(T69&lt;2,"",ROUND((Y69-X69)/MAX(1,T69-1),0)))</f>
        <v>0</v>
      </c>
      <c r="AD69" s="17">
        <f>IF(B69="","",IF(Y69="","",Y69+IF(AC69="",RebookWeeks*7,MAX(14,AC69))))</f>
        <v>0</v>
      </c>
      <c r="AE69" s="26">
        <f>IF(B69="","",ROUND(SUMIFS(Sales!$Y$5:$Y$1204,Sales!$D$5:$D$1204,A69),2))</f>
        <v>0</v>
      </c>
      <c r="AF69" s="26">
        <f>IF(B69="","",ROUND(SUMIFS(Sales!$Y$5:$Y$1204,Sales!$D$5:$D$1204,A69,Sales!$H$5:$H$1204,"Service"),2))</f>
        <v>0</v>
      </c>
      <c r="AG69" s="26">
        <f>IF(B69="","",ROUND(SUMIFS(Sales!$Y$5:$Y$1204,Sales!$D$5:$D$1204,A69,Sales!$H$5:$H$1204,"Retail"),2))</f>
        <v>0</v>
      </c>
      <c r="AH69" s="26">
        <f>IF(B69="","",ROUND(SUMIFS(Sales!$Y$5:$Y$1204,Sales!$D$5:$D$1204,A69,Sales!$B$5:$B$1204,"&gt;="&amp;TodayDate-365),2))</f>
        <v>0</v>
      </c>
      <c r="AI69" s="26">
        <f>IF(B69="","",IF(T69=0,"",ROUND(AE69/T69,2)))</f>
        <v>0</v>
      </c>
      <c r="AJ69" s="26">
        <f>IF(B69="","",IF(AI69="","",IF(AC69="","",ROUND(AI69*(365/MAX(14,AC69)),2))))</f>
        <v>0</v>
      </c>
      <c r="AK69" s="26">
        <f>IF(B69="","",ROUND(SUMIFS(Sales!$AH$5:$AH$1204,Sales!$D$5:$D$1204,A69),2))</f>
        <v>0</v>
      </c>
      <c r="AL69" s="25">
        <f>IF(B69="","",IFERROR(INDEX(Loyalty!$P$5:$P$504,MATCH(A69,Loyalty!$B$5:$B$504,0))*1,0))</f>
        <v>0</v>
      </c>
      <c r="AM69" s="39">
        <f>IF(B69="","",IF(R69="Archived","Archived",IF(T69=0,"Not been yet",IF(Z69&gt;=InactiveDays,"Inactive",IF(Z69&gt;=LapsingDays,"Lapsing",IF(T69=1,"New",IF(AH69&gt;=VipSpend,"VIP",IF(U69&gt;=4,"Regular","Active"))))))))</f>
        <v>0</v>
      </c>
      <c r="AN69" s="38">
        <f>IF(B69="","",IF(T69&gt;=2,"Yes","No"))</f>
        <v>0</v>
      </c>
      <c r="AO69" s="25">
        <f>IF(B69="","",COUNTIFS($AE$5:$AE$504,"&gt;"&amp;AE69)+COUNTIFS($AE$5:AE69,AE69))</f>
        <v>0</v>
      </c>
      <c r="AP69" s="25">
        <f>IF(B69="","",COUNTIFS($T$5:$T$504,"&gt;"&amp;T69)+COUNTIFS($T$5:T69,T69))</f>
        <v>0</v>
      </c>
      <c r="AQ69" s="39">
        <f>IF(B69="","",IF(COUNTIF($B$5:$B$504,B69)&gt;1,"Duplicate - same name twice",IF(R69="Archived","",IF(AK69&gt;0.004,"Chase - balance outstanding",IF(AM69="Inactive","Gone - win-back offer",IF(AM69="Lapsing","Chase - lapsing, call them",IF(IF(N69="",FALSE,TodayDate-N69&gt;PatchTestDays),"Due - patch test out of date",IF(IF(AD69="",FALSE,IF(AB69&lt;&gt;"",FALSE,AD69&lt;=TodayDate+14)),"Rebook - due and nothing booked",IF(IF(K69="",FALSE,ABS(DATE(YEAR(TodayDate),MONTH(K69),DAY(K69))-TodayDate)&lt;=7),"Birthday - send the treat","OK")))))))))</f>
        <v>0</v>
      </c>
    </row>
    <row r="70" spans="1:43">
      <c r="A70" s="28">
        <f>IF(B70="","",ClientPrefix&amp;TEXT(ROW()-4,"0000"))</f>
        <v>0</v>
      </c>
      <c r="J70" s="15">
        <f>IF(I70="","",IFERROR(INDEX(Staff!$B$5:$B$44,MATCH(I70,Staff!$A$5:$A$44,0)),"Not in Staff"))</f>
        <v>0</v>
      </c>
      <c r="T70" s="25">
        <f>IF(B70="","",COUNTIFS(Appointments!$E$5:$E$1204,A70,Appointments!$M$5:$M$1204,"Completed"))</f>
        <v>0</v>
      </c>
      <c r="U70" s="25">
        <f>IF(B70="","",COUNTIFS(Appointments!$E$5:$E$1204,A70,Appointments!$M$5:$M$1204,"Completed",Appointments!$B$5:$B$1204,"&gt;="&amp;TodayDate-365))</f>
        <v>0</v>
      </c>
      <c r="V70" s="25">
        <f>IF(B70="","",COUNTIFS(Appointments!$E$5:$E$1204,A70,Appointments!$M$5:$M$1204,"Cancelled"))</f>
        <v>0</v>
      </c>
      <c r="W70" s="25">
        <f>IF(B70="","",COUNTIFS(Appointments!$E$5:$E$1204,A70,Appointments!$M$5:$M$1204,"No show"))</f>
        <v>0</v>
      </c>
      <c r="X70" s="17">
        <f>IF(B70="","",IF(F70&lt;&gt;"",F70,IF(T70=0,"",SUMPRODUCT(MIN((Appointments!$E$5:$E$1204=A70)*(Appointments!$M$5:$M$1204="Completed")*Appointments!$B$5:$B$1204+(1-(Appointments!$E$5:$E$1204=A70)*(Appointments!$M$5:$M$1204="Completed"))*2958465)))))</f>
        <v>0</v>
      </c>
      <c r="Y70" s="17">
        <f>IF(B70="","",IF(T70=0,"",SUMPRODUCT(MAX((Appointments!$E$5:$E$1204=A70)*(Appointments!$M$5:$M$1204="Completed")*Appointments!$B$5:$B$1204))))</f>
        <v>0</v>
      </c>
      <c r="Z70" s="25">
        <f>IF(B70="","",IF(Y70="","",TodayDate-Y70))</f>
        <v>0</v>
      </c>
      <c r="AA70" s="42">
        <f>IF(B70="","",SUMPRODUCT(MIN((Appointments!$E$5:$E$1204=A70)*(Appointments!$M$5:$M$1204&lt;&gt;"Cancelled")*(Appointments!$M$5:$M$1204&lt;&gt;"Completed")*(Appointments!$M$5:$M$1204&lt;&gt;"No show")*(Appointments!$B$5:$B$1204&gt;=TodayDate)*Appointments!$B$5:$B$1204+(1-(Appointments!$E$5:$E$1204=A70)*(Appointments!$M$5:$M$1204&lt;&gt;"Cancelled")*(Appointments!$M$5:$M$1204&lt;&gt;"Completed")*(Appointments!$M$5:$M$1204&lt;&gt;"No show")*(Appointments!$B$5:$B$1204&gt;=TodayDate))*2958465)))</f>
        <v>0</v>
      </c>
      <c r="AB70" s="17">
        <f>IF(B70="","",IF(AA70&gt;=2958465,"",AA70))</f>
        <v>0</v>
      </c>
      <c r="AC70" s="25">
        <f>IF(B70="","",IF(T70&lt;2,"",ROUND((Y70-X70)/MAX(1,T70-1),0)))</f>
        <v>0</v>
      </c>
      <c r="AD70" s="17">
        <f>IF(B70="","",IF(Y70="","",Y70+IF(AC70="",RebookWeeks*7,MAX(14,AC70))))</f>
        <v>0</v>
      </c>
      <c r="AE70" s="26">
        <f>IF(B70="","",ROUND(SUMIFS(Sales!$Y$5:$Y$1204,Sales!$D$5:$D$1204,A70),2))</f>
        <v>0</v>
      </c>
      <c r="AF70" s="26">
        <f>IF(B70="","",ROUND(SUMIFS(Sales!$Y$5:$Y$1204,Sales!$D$5:$D$1204,A70,Sales!$H$5:$H$1204,"Service"),2))</f>
        <v>0</v>
      </c>
      <c r="AG70" s="26">
        <f>IF(B70="","",ROUND(SUMIFS(Sales!$Y$5:$Y$1204,Sales!$D$5:$D$1204,A70,Sales!$H$5:$H$1204,"Retail"),2))</f>
        <v>0</v>
      </c>
      <c r="AH70" s="26">
        <f>IF(B70="","",ROUND(SUMIFS(Sales!$Y$5:$Y$1204,Sales!$D$5:$D$1204,A70,Sales!$B$5:$B$1204,"&gt;="&amp;TodayDate-365),2))</f>
        <v>0</v>
      </c>
      <c r="AI70" s="26">
        <f>IF(B70="","",IF(T70=0,"",ROUND(AE70/T70,2)))</f>
        <v>0</v>
      </c>
      <c r="AJ70" s="26">
        <f>IF(B70="","",IF(AI70="","",IF(AC70="","",ROUND(AI70*(365/MAX(14,AC70)),2))))</f>
        <v>0</v>
      </c>
      <c r="AK70" s="26">
        <f>IF(B70="","",ROUND(SUMIFS(Sales!$AH$5:$AH$1204,Sales!$D$5:$D$1204,A70),2))</f>
        <v>0</v>
      </c>
      <c r="AL70" s="25">
        <f>IF(B70="","",IFERROR(INDEX(Loyalty!$P$5:$P$504,MATCH(A70,Loyalty!$B$5:$B$504,0))*1,0))</f>
        <v>0</v>
      </c>
      <c r="AM70" s="39">
        <f>IF(B70="","",IF(R70="Archived","Archived",IF(T70=0,"Not been yet",IF(Z70&gt;=InactiveDays,"Inactive",IF(Z70&gt;=LapsingDays,"Lapsing",IF(T70=1,"New",IF(AH70&gt;=VipSpend,"VIP",IF(U70&gt;=4,"Regular","Active"))))))))</f>
        <v>0</v>
      </c>
      <c r="AN70" s="38">
        <f>IF(B70="","",IF(T70&gt;=2,"Yes","No"))</f>
        <v>0</v>
      </c>
      <c r="AO70" s="25">
        <f>IF(B70="","",COUNTIFS($AE$5:$AE$504,"&gt;"&amp;AE70)+COUNTIFS($AE$5:AE70,AE70))</f>
        <v>0</v>
      </c>
      <c r="AP70" s="25">
        <f>IF(B70="","",COUNTIFS($T$5:$T$504,"&gt;"&amp;T70)+COUNTIFS($T$5:T70,T70))</f>
        <v>0</v>
      </c>
      <c r="AQ70" s="39">
        <f>IF(B70="","",IF(COUNTIF($B$5:$B$504,B70)&gt;1,"Duplicate - same name twice",IF(R70="Archived","",IF(AK70&gt;0.004,"Chase - balance outstanding",IF(AM70="Inactive","Gone - win-back offer",IF(AM70="Lapsing","Chase - lapsing, call them",IF(IF(N70="",FALSE,TodayDate-N70&gt;PatchTestDays),"Due - patch test out of date",IF(IF(AD70="",FALSE,IF(AB70&lt;&gt;"",FALSE,AD70&lt;=TodayDate+14)),"Rebook - due and nothing booked",IF(IF(K70="",FALSE,ABS(DATE(YEAR(TodayDate),MONTH(K70),DAY(K70))-TodayDate)&lt;=7),"Birthday - send the treat","OK")))))))))</f>
        <v>0</v>
      </c>
    </row>
    <row r="71" spans="1:43">
      <c r="A71" s="28">
        <f>IF(B71="","",ClientPrefix&amp;TEXT(ROW()-4,"0000"))</f>
        <v>0</v>
      </c>
      <c r="J71" s="15">
        <f>IF(I71="","",IFERROR(INDEX(Staff!$B$5:$B$44,MATCH(I71,Staff!$A$5:$A$44,0)),"Not in Staff"))</f>
        <v>0</v>
      </c>
      <c r="T71" s="25">
        <f>IF(B71="","",COUNTIFS(Appointments!$E$5:$E$1204,A71,Appointments!$M$5:$M$1204,"Completed"))</f>
        <v>0</v>
      </c>
      <c r="U71" s="25">
        <f>IF(B71="","",COUNTIFS(Appointments!$E$5:$E$1204,A71,Appointments!$M$5:$M$1204,"Completed",Appointments!$B$5:$B$1204,"&gt;="&amp;TodayDate-365))</f>
        <v>0</v>
      </c>
      <c r="V71" s="25">
        <f>IF(B71="","",COUNTIFS(Appointments!$E$5:$E$1204,A71,Appointments!$M$5:$M$1204,"Cancelled"))</f>
        <v>0</v>
      </c>
      <c r="W71" s="25">
        <f>IF(B71="","",COUNTIFS(Appointments!$E$5:$E$1204,A71,Appointments!$M$5:$M$1204,"No show"))</f>
        <v>0</v>
      </c>
      <c r="X71" s="17">
        <f>IF(B71="","",IF(F71&lt;&gt;"",F71,IF(T71=0,"",SUMPRODUCT(MIN((Appointments!$E$5:$E$1204=A71)*(Appointments!$M$5:$M$1204="Completed")*Appointments!$B$5:$B$1204+(1-(Appointments!$E$5:$E$1204=A71)*(Appointments!$M$5:$M$1204="Completed"))*2958465)))))</f>
        <v>0</v>
      </c>
      <c r="Y71" s="17">
        <f>IF(B71="","",IF(T71=0,"",SUMPRODUCT(MAX((Appointments!$E$5:$E$1204=A71)*(Appointments!$M$5:$M$1204="Completed")*Appointments!$B$5:$B$1204))))</f>
        <v>0</v>
      </c>
      <c r="Z71" s="25">
        <f>IF(B71="","",IF(Y71="","",TodayDate-Y71))</f>
        <v>0</v>
      </c>
      <c r="AA71" s="42">
        <f>IF(B71="","",SUMPRODUCT(MIN((Appointments!$E$5:$E$1204=A71)*(Appointments!$M$5:$M$1204&lt;&gt;"Cancelled")*(Appointments!$M$5:$M$1204&lt;&gt;"Completed")*(Appointments!$M$5:$M$1204&lt;&gt;"No show")*(Appointments!$B$5:$B$1204&gt;=TodayDate)*Appointments!$B$5:$B$1204+(1-(Appointments!$E$5:$E$1204=A71)*(Appointments!$M$5:$M$1204&lt;&gt;"Cancelled")*(Appointments!$M$5:$M$1204&lt;&gt;"Completed")*(Appointments!$M$5:$M$1204&lt;&gt;"No show")*(Appointments!$B$5:$B$1204&gt;=TodayDate))*2958465)))</f>
        <v>0</v>
      </c>
      <c r="AB71" s="17">
        <f>IF(B71="","",IF(AA71&gt;=2958465,"",AA71))</f>
        <v>0</v>
      </c>
      <c r="AC71" s="25">
        <f>IF(B71="","",IF(T71&lt;2,"",ROUND((Y71-X71)/MAX(1,T71-1),0)))</f>
        <v>0</v>
      </c>
      <c r="AD71" s="17">
        <f>IF(B71="","",IF(Y71="","",Y71+IF(AC71="",RebookWeeks*7,MAX(14,AC71))))</f>
        <v>0</v>
      </c>
      <c r="AE71" s="26">
        <f>IF(B71="","",ROUND(SUMIFS(Sales!$Y$5:$Y$1204,Sales!$D$5:$D$1204,A71),2))</f>
        <v>0</v>
      </c>
      <c r="AF71" s="26">
        <f>IF(B71="","",ROUND(SUMIFS(Sales!$Y$5:$Y$1204,Sales!$D$5:$D$1204,A71,Sales!$H$5:$H$1204,"Service"),2))</f>
        <v>0</v>
      </c>
      <c r="AG71" s="26">
        <f>IF(B71="","",ROUND(SUMIFS(Sales!$Y$5:$Y$1204,Sales!$D$5:$D$1204,A71,Sales!$H$5:$H$1204,"Retail"),2))</f>
        <v>0</v>
      </c>
      <c r="AH71" s="26">
        <f>IF(B71="","",ROUND(SUMIFS(Sales!$Y$5:$Y$1204,Sales!$D$5:$D$1204,A71,Sales!$B$5:$B$1204,"&gt;="&amp;TodayDate-365),2))</f>
        <v>0</v>
      </c>
      <c r="AI71" s="26">
        <f>IF(B71="","",IF(T71=0,"",ROUND(AE71/T71,2)))</f>
        <v>0</v>
      </c>
      <c r="AJ71" s="26">
        <f>IF(B71="","",IF(AI71="","",IF(AC71="","",ROUND(AI71*(365/MAX(14,AC71)),2))))</f>
        <v>0</v>
      </c>
      <c r="AK71" s="26">
        <f>IF(B71="","",ROUND(SUMIFS(Sales!$AH$5:$AH$1204,Sales!$D$5:$D$1204,A71),2))</f>
        <v>0</v>
      </c>
      <c r="AL71" s="25">
        <f>IF(B71="","",IFERROR(INDEX(Loyalty!$P$5:$P$504,MATCH(A71,Loyalty!$B$5:$B$504,0))*1,0))</f>
        <v>0</v>
      </c>
      <c r="AM71" s="39">
        <f>IF(B71="","",IF(R71="Archived","Archived",IF(T71=0,"Not been yet",IF(Z71&gt;=InactiveDays,"Inactive",IF(Z71&gt;=LapsingDays,"Lapsing",IF(T71=1,"New",IF(AH71&gt;=VipSpend,"VIP",IF(U71&gt;=4,"Regular","Active"))))))))</f>
        <v>0</v>
      </c>
      <c r="AN71" s="38">
        <f>IF(B71="","",IF(T71&gt;=2,"Yes","No"))</f>
        <v>0</v>
      </c>
      <c r="AO71" s="25">
        <f>IF(B71="","",COUNTIFS($AE$5:$AE$504,"&gt;"&amp;AE71)+COUNTIFS($AE$5:AE71,AE71))</f>
        <v>0</v>
      </c>
      <c r="AP71" s="25">
        <f>IF(B71="","",COUNTIFS($T$5:$T$504,"&gt;"&amp;T71)+COUNTIFS($T$5:T71,T71))</f>
        <v>0</v>
      </c>
      <c r="AQ71" s="39">
        <f>IF(B71="","",IF(COUNTIF($B$5:$B$504,B71)&gt;1,"Duplicate - same name twice",IF(R71="Archived","",IF(AK71&gt;0.004,"Chase - balance outstanding",IF(AM71="Inactive","Gone - win-back offer",IF(AM71="Lapsing","Chase - lapsing, call them",IF(IF(N71="",FALSE,TodayDate-N71&gt;PatchTestDays),"Due - patch test out of date",IF(IF(AD71="",FALSE,IF(AB71&lt;&gt;"",FALSE,AD71&lt;=TodayDate+14)),"Rebook - due and nothing booked",IF(IF(K71="",FALSE,ABS(DATE(YEAR(TodayDate),MONTH(K71),DAY(K71))-TodayDate)&lt;=7),"Birthday - send the treat","OK")))))))))</f>
        <v>0</v>
      </c>
    </row>
    <row r="72" spans="1:43">
      <c r="A72" s="28">
        <f>IF(B72="","",ClientPrefix&amp;TEXT(ROW()-4,"0000"))</f>
        <v>0</v>
      </c>
      <c r="J72" s="15">
        <f>IF(I72="","",IFERROR(INDEX(Staff!$B$5:$B$44,MATCH(I72,Staff!$A$5:$A$44,0)),"Not in Staff"))</f>
        <v>0</v>
      </c>
      <c r="T72" s="25">
        <f>IF(B72="","",COUNTIFS(Appointments!$E$5:$E$1204,A72,Appointments!$M$5:$M$1204,"Completed"))</f>
        <v>0</v>
      </c>
      <c r="U72" s="25">
        <f>IF(B72="","",COUNTIFS(Appointments!$E$5:$E$1204,A72,Appointments!$M$5:$M$1204,"Completed",Appointments!$B$5:$B$1204,"&gt;="&amp;TodayDate-365))</f>
        <v>0</v>
      </c>
      <c r="V72" s="25">
        <f>IF(B72="","",COUNTIFS(Appointments!$E$5:$E$1204,A72,Appointments!$M$5:$M$1204,"Cancelled"))</f>
        <v>0</v>
      </c>
      <c r="W72" s="25">
        <f>IF(B72="","",COUNTIFS(Appointments!$E$5:$E$1204,A72,Appointments!$M$5:$M$1204,"No show"))</f>
        <v>0</v>
      </c>
      <c r="X72" s="17">
        <f>IF(B72="","",IF(F72&lt;&gt;"",F72,IF(T72=0,"",SUMPRODUCT(MIN((Appointments!$E$5:$E$1204=A72)*(Appointments!$M$5:$M$1204="Completed")*Appointments!$B$5:$B$1204+(1-(Appointments!$E$5:$E$1204=A72)*(Appointments!$M$5:$M$1204="Completed"))*2958465)))))</f>
        <v>0</v>
      </c>
      <c r="Y72" s="17">
        <f>IF(B72="","",IF(T72=0,"",SUMPRODUCT(MAX((Appointments!$E$5:$E$1204=A72)*(Appointments!$M$5:$M$1204="Completed")*Appointments!$B$5:$B$1204))))</f>
        <v>0</v>
      </c>
      <c r="Z72" s="25">
        <f>IF(B72="","",IF(Y72="","",TodayDate-Y72))</f>
        <v>0</v>
      </c>
      <c r="AA72" s="42">
        <f>IF(B72="","",SUMPRODUCT(MIN((Appointments!$E$5:$E$1204=A72)*(Appointments!$M$5:$M$1204&lt;&gt;"Cancelled")*(Appointments!$M$5:$M$1204&lt;&gt;"Completed")*(Appointments!$M$5:$M$1204&lt;&gt;"No show")*(Appointments!$B$5:$B$1204&gt;=TodayDate)*Appointments!$B$5:$B$1204+(1-(Appointments!$E$5:$E$1204=A72)*(Appointments!$M$5:$M$1204&lt;&gt;"Cancelled")*(Appointments!$M$5:$M$1204&lt;&gt;"Completed")*(Appointments!$M$5:$M$1204&lt;&gt;"No show")*(Appointments!$B$5:$B$1204&gt;=TodayDate))*2958465)))</f>
        <v>0</v>
      </c>
      <c r="AB72" s="17">
        <f>IF(B72="","",IF(AA72&gt;=2958465,"",AA72))</f>
        <v>0</v>
      </c>
      <c r="AC72" s="25">
        <f>IF(B72="","",IF(T72&lt;2,"",ROUND((Y72-X72)/MAX(1,T72-1),0)))</f>
        <v>0</v>
      </c>
      <c r="AD72" s="17">
        <f>IF(B72="","",IF(Y72="","",Y72+IF(AC72="",RebookWeeks*7,MAX(14,AC72))))</f>
        <v>0</v>
      </c>
      <c r="AE72" s="26">
        <f>IF(B72="","",ROUND(SUMIFS(Sales!$Y$5:$Y$1204,Sales!$D$5:$D$1204,A72),2))</f>
        <v>0</v>
      </c>
      <c r="AF72" s="26">
        <f>IF(B72="","",ROUND(SUMIFS(Sales!$Y$5:$Y$1204,Sales!$D$5:$D$1204,A72,Sales!$H$5:$H$1204,"Service"),2))</f>
        <v>0</v>
      </c>
      <c r="AG72" s="26">
        <f>IF(B72="","",ROUND(SUMIFS(Sales!$Y$5:$Y$1204,Sales!$D$5:$D$1204,A72,Sales!$H$5:$H$1204,"Retail"),2))</f>
        <v>0</v>
      </c>
      <c r="AH72" s="26">
        <f>IF(B72="","",ROUND(SUMIFS(Sales!$Y$5:$Y$1204,Sales!$D$5:$D$1204,A72,Sales!$B$5:$B$1204,"&gt;="&amp;TodayDate-365),2))</f>
        <v>0</v>
      </c>
      <c r="AI72" s="26">
        <f>IF(B72="","",IF(T72=0,"",ROUND(AE72/T72,2)))</f>
        <v>0</v>
      </c>
      <c r="AJ72" s="26">
        <f>IF(B72="","",IF(AI72="","",IF(AC72="","",ROUND(AI72*(365/MAX(14,AC72)),2))))</f>
        <v>0</v>
      </c>
      <c r="AK72" s="26">
        <f>IF(B72="","",ROUND(SUMIFS(Sales!$AH$5:$AH$1204,Sales!$D$5:$D$1204,A72),2))</f>
        <v>0</v>
      </c>
      <c r="AL72" s="25">
        <f>IF(B72="","",IFERROR(INDEX(Loyalty!$P$5:$P$504,MATCH(A72,Loyalty!$B$5:$B$504,0))*1,0))</f>
        <v>0</v>
      </c>
      <c r="AM72" s="39">
        <f>IF(B72="","",IF(R72="Archived","Archived",IF(T72=0,"Not been yet",IF(Z72&gt;=InactiveDays,"Inactive",IF(Z72&gt;=LapsingDays,"Lapsing",IF(T72=1,"New",IF(AH72&gt;=VipSpend,"VIP",IF(U72&gt;=4,"Regular","Active"))))))))</f>
        <v>0</v>
      </c>
      <c r="AN72" s="38">
        <f>IF(B72="","",IF(T72&gt;=2,"Yes","No"))</f>
        <v>0</v>
      </c>
      <c r="AO72" s="25">
        <f>IF(B72="","",COUNTIFS($AE$5:$AE$504,"&gt;"&amp;AE72)+COUNTIFS($AE$5:AE72,AE72))</f>
        <v>0</v>
      </c>
      <c r="AP72" s="25">
        <f>IF(B72="","",COUNTIFS($T$5:$T$504,"&gt;"&amp;T72)+COUNTIFS($T$5:T72,T72))</f>
        <v>0</v>
      </c>
      <c r="AQ72" s="39">
        <f>IF(B72="","",IF(COUNTIF($B$5:$B$504,B72)&gt;1,"Duplicate - same name twice",IF(R72="Archived","",IF(AK72&gt;0.004,"Chase - balance outstanding",IF(AM72="Inactive","Gone - win-back offer",IF(AM72="Lapsing","Chase - lapsing, call them",IF(IF(N72="",FALSE,TodayDate-N72&gt;PatchTestDays),"Due - patch test out of date",IF(IF(AD72="",FALSE,IF(AB72&lt;&gt;"",FALSE,AD72&lt;=TodayDate+14)),"Rebook - due and nothing booked",IF(IF(K72="",FALSE,ABS(DATE(YEAR(TodayDate),MONTH(K72),DAY(K72))-TodayDate)&lt;=7),"Birthday - send the treat","OK")))))))))</f>
        <v>0</v>
      </c>
    </row>
    <row r="73" spans="1:43">
      <c r="A73" s="28">
        <f>IF(B73="","",ClientPrefix&amp;TEXT(ROW()-4,"0000"))</f>
        <v>0</v>
      </c>
      <c r="J73" s="15">
        <f>IF(I73="","",IFERROR(INDEX(Staff!$B$5:$B$44,MATCH(I73,Staff!$A$5:$A$44,0)),"Not in Staff"))</f>
        <v>0</v>
      </c>
      <c r="T73" s="25">
        <f>IF(B73="","",COUNTIFS(Appointments!$E$5:$E$1204,A73,Appointments!$M$5:$M$1204,"Completed"))</f>
        <v>0</v>
      </c>
      <c r="U73" s="25">
        <f>IF(B73="","",COUNTIFS(Appointments!$E$5:$E$1204,A73,Appointments!$M$5:$M$1204,"Completed",Appointments!$B$5:$B$1204,"&gt;="&amp;TodayDate-365))</f>
        <v>0</v>
      </c>
      <c r="V73" s="25">
        <f>IF(B73="","",COUNTIFS(Appointments!$E$5:$E$1204,A73,Appointments!$M$5:$M$1204,"Cancelled"))</f>
        <v>0</v>
      </c>
      <c r="W73" s="25">
        <f>IF(B73="","",COUNTIFS(Appointments!$E$5:$E$1204,A73,Appointments!$M$5:$M$1204,"No show"))</f>
        <v>0</v>
      </c>
      <c r="X73" s="17">
        <f>IF(B73="","",IF(F73&lt;&gt;"",F73,IF(T73=0,"",SUMPRODUCT(MIN((Appointments!$E$5:$E$1204=A73)*(Appointments!$M$5:$M$1204="Completed")*Appointments!$B$5:$B$1204+(1-(Appointments!$E$5:$E$1204=A73)*(Appointments!$M$5:$M$1204="Completed"))*2958465)))))</f>
        <v>0</v>
      </c>
      <c r="Y73" s="17">
        <f>IF(B73="","",IF(T73=0,"",SUMPRODUCT(MAX((Appointments!$E$5:$E$1204=A73)*(Appointments!$M$5:$M$1204="Completed")*Appointments!$B$5:$B$1204))))</f>
        <v>0</v>
      </c>
      <c r="Z73" s="25">
        <f>IF(B73="","",IF(Y73="","",TodayDate-Y73))</f>
        <v>0</v>
      </c>
      <c r="AA73" s="42">
        <f>IF(B73="","",SUMPRODUCT(MIN((Appointments!$E$5:$E$1204=A73)*(Appointments!$M$5:$M$1204&lt;&gt;"Cancelled")*(Appointments!$M$5:$M$1204&lt;&gt;"Completed")*(Appointments!$M$5:$M$1204&lt;&gt;"No show")*(Appointments!$B$5:$B$1204&gt;=TodayDate)*Appointments!$B$5:$B$1204+(1-(Appointments!$E$5:$E$1204=A73)*(Appointments!$M$5:$M$1204&lt;&gt;"Cancelled")*(Appointments!$M$5:$M$1204&lt;&gt;"Completed")*(Appointments!$M$5:$M$1204&lt;&gt;"No show")*(Appointments!$B$5:$B$1204&gt;=TodayDate))*2958465)))</f>
        <v>0</v>
      </c>
      <c r="AB73" s="17">
        <f>IF(B73="","",IF(AA73&gt;=2958465,"",AA73))</f>
        <v>0</v>
      </c>
      <c r="AC73" s="25">
        <f>IF(B73="","",IF(T73&lt;2,"",ROUND((Y73-X73)/MAX(1,T73-1),0)))</f>
        <v>0</v>
      </c>
      <c r="AD73" s="17">
        <f>IF(B73="","",IF(Y73="","",Y73+IF(AC73="",RebookWeeks*7,MAX(14,AC73))))</f>
        <v>0</v>
      </c>
      <c r="AE73" s="26">
        <f>IF(B73="","",ROUND(SUMIFS(Sales!$Y$5:$Y$1204,Sales!$D$5:$D$1204,A73),2))</f>
        <v>0</v>
      </c>
      <c r="AF73" s="26">
        <f>IF(B73="","",ROUND(SUMIFS(Sales!$Y$5:$Y$1204,Sales!$D$5:$D$1204,A73,Sales!$H$5:$H$1204,"Service"),2))</f>
        <v>0</v>
      </c>
      <c r="AG73" s="26">
        <f>IF(B73="","",ROUND(SUMIFS(Sales!$Y$5:$Y$1204,Sales!$D$5:$D$1204,A73,Sales!$H$5:$H$1204,"Retail"),2))</f>
        <v>0</v>
      </c>
      <c r="AH73" s="26">
        <f>IF(B73="","",ROUND(SUMIFS(Sales!$Y$5:$Y$1204,Sales!$D$5:$D$1204,A73,Sales!$B$5:$B$1204,"&gt;="&amp;TodayDate-365),2))</f>
        <v>0</v>
      </c>
      <c r="AI73" s="26">
        <f>IF(B73="","",IF(T73=0,"",ROUND(AE73/T73,2)))</f>
        <v>0</v>
      </c>
      <c r="AJ73" s="26">
        <f>IF(B73="","",IF(AI73="","",IF(AC73="","",ROUND(AI73*(365/MAX(14,AC73)),2))))</f>
        <v>0</v>
      </c>
      <c r="AK73" s="26">
        <f>IF(B73="","",ROUND(SUMIFS(Sales!$AH$5:$AH$1204,Sales!$D$5:$D$1204,A73),2))</f>
        <v>0</v>
      </c>
      <c r="AL73" s="25">
        <f>IF(B73="","",IFERROR(INDEX(Loyalty!$P$5:$P$504,MATCH(A73,Loyalty!$B$5:$B$504,0))*1,0))</f>
        <v>0</v>
      </c>
      <c r="AM73" s="39">
        <f>IF(B73="","",IF(R73="Archived","Archived",IF(T73=0,"Not been yet",IF(Z73&gt;=InactiveDays,"Inactive",IF(Z73&gt;=LapsingDays,"Lapsing",IF(T73=1,"New",IF(AH73&gt;=VipSpend,"VIP",IF(U73&gt;=4,"Regular","Active"))))))))</f>
        <v>0</v>
      </c>
      <c r="AN73" s="38">
        <f>IF(B73="","",IF(T73&gt;=2,"Yes","No"))</f>
        <v>0</v>
      </c>
      <c r="AO73" s="25">
        <f>IF(B73="","",COUNTIFS($AE$5:$AE$504,"&gt;"&amp;AE73)+COUNTIFS($AE$5:AE73,AE73))</f>
        <v>0</v>
      </c>
      <c r="AP73" s="25">
        <f>IF(B73="","",COUNTIFS($T$5:$T$504,"&gt;"&amp;T73)+COUNTIFS($T$5:T73,T73))</f>
        <v>0</v>
      </c>
      <c r="AQ73" s="39">
        <f>IF(B73="","",IF(COUNTIF($B$5:$B$504,B73)&gt;1,"Duplicate - same name twice",IF(R73="Archived","",IF(AK73&gt;0.004,"Chase - balance outstanding",IF(AM73="Inactive","Gone - win-back offer",IF(AM73="Lapsing","Chase - lapsing, call them",IF(IF(N73="",FALSE,TodayDate-N73&gt;PatchTestDays),"Due - patch test out of date",IF(IF(AD73="",FALSE,IF(AB73&lt;&gt;"",FALSE,AD73&lt;=TodayDate+14)),"Rebook - due and nothing booked",IF(IF(K73="",FALSE,ABS(DATE(YEAR(TodayDate),MONTH(K73),DAY(K73))-TodayDate)&lt;=7),"Birthday - send the treat","OK")))))))))</f>
        <v>0</v>
      </c>
    </row>
    <row r="74" spans="1:43">
      <c r="A74" s="28">
        <f>IF(B74="","",ClientPrefix&amp;TEXT(ROW()-4,"0000"))</f>
        <v>0</v>
      </c>
      <c r="J74" s="15">
        <f>IF(I74="","",IFERROR(INDEX(Staff!$B$5:$B$44,MATCH(I74,Staff!$A$5:$A$44,0)),"Not in Staff"))</f>
        <v>0</v>
      </c>
      <c r="T74" s="25">
        <f>IF(B74="","",COUNTIFS(Appointments!$E$5:$E$1204,A74,Appointments!$M$5:$M$1204,"Completed"))</f>
        <v>0</v>
      </c>
      <c r="U74" s="25">
        <f>IF(B74="","",COUNTIFS(Appointments!$E$5:$E$1204,A74,Appointments!$M$5:$M$1204,"Completed",Appointments!$B$5:$B$1204,"&gt;="&amp;TodayDate-365))</f>
        <v>0</v>
      </c>
      <c r="V74" s="25">
        <f>IF(B74="","",COUNTIFS(Appointments!$E$5:$E$1204,A74,Appointments!$M$5:$M$1204,"Cancelled"))</f>
        <v>0</v>
      </c>
      <c r="W74" s="25">
        <f>IF(B74="","",COUNTIFS(Appointments!$E$5:$E$1204,A74,Appointments!$M$5:$M$1204,"No show"))</f>
        <v>0</v>
      </c>
      <c r="X74" s="17">
        <f>IF(B74="","",IF(F74&lt;&gt;"",F74,IF(T74=0,"",SUMPRODUCT(MIN((Appointments!$E$5:$E$1204=A74)*(Appointments!$M$5:$M$1204="Completed")*Appointments!$B$5:$B$1204+(1-(Appointments!$E$5:$E$1204=A74)*(Appointments!$M$5:$M$1204="Completed"))*2958465)))))</f>
        <v>0</v>
      </c>
      <c r="Y74" s="17">
        <f>IF(B74="","",IF(T74=0,"",SUMPRODUCT(MAX((Appointments!$E$5:$E$1204=A74)*(Appointments!$M$5:$M$1204="Completed")*Appointments!$B$5:$B$1204))))</f>
        <v>0</v>
      </c>
      <c r="Z74" s="25">
        <f>IF(B74="","",IF(Y74="","",TodayDate-Y74))</f>
        <v>0</v>
      </c>
      <c r="AA74" s="42">
        <f>IF(B74="","",SUMPRODUCT(MIN((Appointments!$E$5:$E$1204=A74)*(Appointments!$M$5:$M$1204&lt;&gt;"Cancelled")*(Appointments!$M$5:$M$1204&lt;&gt;"Completed")*(Appointments!$M$5:$M$1204&lt;&gt;"No show")*(Appointments!$B$5:$B$1204&gt;=TodayDate)*Appointments!$B$5:$B$1204+(1-(Appointments!$E$5:$E$1204=A74)*(Appointments!$M$5:$M$1204&lt;&gt;"Cancelled")*(Appointments!$M$5:$M$1204&lt;&gt;"Completed")*(Appointments!$M$5:$M$1204&lt;&gt;"No show")*(Appointments!$B$5:$B$1204&gt;=TodayDate))*2958465)))</f>
        <v>0</v>
      </c>
      <c r="AB74" s="17">
        <f>IF(B74="","",IF(AA74&gt;=2958465,"",AA74))</f>
        <v>0</v>
      </c>
      <c r="AC74" s="25">
        <f>IF(B74="","",IF(T74&lt;2,"",ROUND((Y74-X74)/MAX(1,T74-1),0)))</f>
        <v>0</v>
      </c>
      <c r="AD74" s="17">
        <f>IF(B74="","",IF(Y74="","",Y74+IF(AC74="",RebookWeeks*7,MAX(14,AC74))))</f>
        <v>0</v>
      </c>
      <c r="AE74" s="26">
        <f>IF(B74="","",ROUND(SUMIFS(Sales!$Y$5:$Y$1204,Sales!$D$5:$D$1204,A74),2))</f>
        <v>0</v>
      </c>
      <c r="AF74" s="26">
        <f>IF(B74="","",ROUND(SUMIFS(Sales!$Y$5:$Y$1204,Sales!$D$5:$D$1204,A74,Sales!$H$5:$H$1204,"Service"),2))</f>
        <v>0</v>
      </c>
      <c r="AG74" s="26">
        <f>IF(B74="","",ROUND(SUMIFS(Sales!$Y$5:$Y$1204,Sales!$D$5:$D$1204,A74,Sales!$H$5:$H$1204,"Retail"),2))</f>
        <v>0</v>
      </c>
      <c r="AH74" s="26">
        <f>IF(B74="","",ROUND(SUMIFS(Sales!$Y$5:$Y$1204,Sales!$D$5:$D$1204,A74,Sales!$B$5:$B$1204,"&gt;="&amp;TodayDate-365),2))</f>
        <v>0</v>
      </c>
      <c r="AI74" s="26">
        <f>IF(B74="","",IF(T74=0,"",ROUND(AE74/T74,2)))</f>
        <v>0</v>
      </c>
      <c r="AJ74" s="26">
        <f>IF(B74="","",IF(AI74="","",IF(AC74="","",ROUND(AI74*(365/MAX(14,AC74)),2))))</f>
        <v>0</v>
      </c>
      <c r="AK74" s="26">
        <f>IF(B74="","",ROUND(SUMIFS(Sales!$AH$5:$AH$1204,Sales!$D$5:$D$1204,A74),2))</f>
        <v>0</v>
      </c>
      <c r="AL74" s="25">
        <f>IF(B74="","",IFERROR(INDEX(Loyalty!$P$5:$P$504,MATCH(A74,Loyalty!$B$5:$B$504,0))*1,0))</f>
        <v>0</v>
      </c>
      <c r="AM74" s="39">
        <f>IF(B74="","",IF(R74="Archived","Archived",IF(T74=0,"Not been yet",IF(Z74&gt;=InactiveDays,"Inactive",IF(Z74&gt;=LapsingDays,"Lapsing",IF(T74=1,"New",IF(AH74&gt;=VipSpend,"VIP",IF(U74&gt;=4,"Regular","Active"))))))))</f>
        <v>0</v>
      </c>
      <c r="AN74" s="38">
        <f>IF(B74="","",IF(T74&gt;=2,"Yes","No"))</f>
        <v>0</v>
      </c>
      <c r="AO74" s="25">
        <f>IF(B74="","",COUNTIFS($AE$5:$AE$504,"&gt;"&amp;AE74)+COUNTIFS($AE$5:AE74,AE74))</f>
        <v>0</v>
      </c>
      <c r="AP74" s="25">
        <f>IF(B74="","",COUNTIFS($T$5:$T$504,"&gt;"&amp;T74)+COUNTIFS($T$5:T74,T74))</f>
        <v>0</v>
      </c>
      <c r="AQ74" s="39">
        <f>IF(B74="","",IF(COUNTIF($B$5:$B$504,B74)&gt;1,"Duplicate - same name twice",IF(R74="Archived","",IF(AK74&gt;0.004,"Chase - balance outstanding",IF(AM74="Inactive","Gone - win-back offer",IF(AM74="Lapsing","Chase - lapsing, call them",IF(IF(N74="",FALSE,TodayDate-N74&gt;PatchTestDays),"Due - patch test out of date",IF(IF(AD74="",FALSE,IF(AB74&lt;&gt;"",FALSE,AD74&lt;=TodayDate+14)),"Rebook - due and nothing booked",IF(IF(K74="",FALSE,ABS(DATE(YEAR(TodayDate),MONTH(K74),DAY(K74))-TodayDate)&lt;=7),"Birthday - send the treat","OK")))))))))</f>
        <v>0</v>
      </c>
    </row>
    <row r="75" spans="1:43">
      <c r="A75" s="28">
        <f>IF(B75="","",ClientPrefix&amp;TEXT(ROW()-4,"0000"))</f>
        <v>0</v>
      </c>
      <c r="J75" s="15">
        <f>IF(I75="","",IFERROR(INDEX(Staff!$B$5:$B$44,MATCH(I75,Staff!$A$5:$A$44,0)),"Not in Staff"))</f>
        <v>0</v>
      </c>
      <c r="T75" s="25">
        <f>IF(B75="","",COUNTIFS(Appointments!$E$5:$E$1204,A75,Appointments!$M$5:$M$1204,"Completed"))</f>
        <v>0</v>
      </c>
      <c r="U75" s="25">
        <f>IF(B75="","",COUNTIFS(Appointments!$E$5:$E$1204,A75,Appointments!$M$5:$M$1204,"Completed",Appointments!$B$5:$B$1204,"&gt;="&amp;TodayDate-365))</f>
        <v>0</v>
      </c>
      <c r="V75" s="25">
        <f>IF(B75="","",COUNTIFS(Appointments!$E$5:$E$1204,A75,Appointments!$M$5:$M$1204,"Cancelled"))</f>
        <v>0</v>
      </c>
      <c r="W75" s="25">
        <f>IF(B75="","",COUNTIFS(Appointments!$E$5:$E$1204,A75,Appointments!$M$5:$M$1204,"No show"))</f>
        <v>0</v>
      </c>
      <c r="X75" s="17">
        <f>IF(B75="","",IF(F75&lt;&gt;"",F75,IF(T75=0,"",SUMPRODUCT(MIN((Appointments!$E$5:$E$1204=A75)*(Appointments!$M$5:$M$1204="Completed")*Appointments!$B$5:$B$1204+(1-(Appointments!$E$5:$E$1204=A75)*(Appointments!$M$5:$M$1204="Completed"))*2958465)))))</f>
        <v>0</v>
      </c>
      <c r="Y75" s="17">
        <f>IF(B75="","",IF(T75=0,"",SUMPRODUCT(MAX((Appointments!$E$5:$E$1204=A75)*(Appointments!$M$5:$M$1204="Completed")*Appointments!$B$5:$B$1204))))</f>
        <v>0</v>
      </c>
      <c r="Z75" s="25">
        <f>IF(B75="","",IF(Y75="","",TodayDate-Y75))</f>
        <v>0</v>
      </c>
      <c r="AA75" s="42">
        <f>IF(B75="","",SUMPRODUCT(MIN((Appointments!$E$5:$E$1204=A75)*(Appointments!$M$5:$M$1204&lt;&gt;"Cancelled")*(Appointments!$M$5:$M$1204&lt;&gt;"Completed")*(Appointments!$M$5:$M$1204&lt;&gt;"No show")*(Appointments!$B$5:$B$1204&gt;=TodayDate)*Appointments!$B$5:$B$1204+(1-(Appointments!$E$5:$E$1204=A75)*(Appointments!$M$5:$M$1204&lt;&gt;"Cancelled")*(Appointments!$M$5:$M$1204&lt;&gt;"Completed")*(Appointments!$M$5:$M$1204&lt;&gt;"No show")*(Appointments!$B$5:$B$1204&gt;=TodayDate))*2958465)))</f>
        <v>0</v>
      </c>
      <c r="AB75" s="17">
        <f>IF(B75="","",IF(AA75&gt;=2958465,"",AA75))</f>
        <v>0</v>
      </c>
      <c r="AC75" s="25">
        <f>IF(B75="","",IF(T75&lt;2,"",ROUND((Y75-X75)/MAX(1,T75-1),0)))</f>
        <v>0</v>
      </c>
      <c r="AD75" s="17">
        <f>IF(B75="","",IF(Y75="","",Y75+IF(AC75="",RebookWeeks*7,MAX(14,AC75))))</f>
        <v>0</v>
      </c>
      <c r="AE75" s="26">
        <f>IF(B75="","",ROUND(SUMIFS(Sales!$Y$5:$Y$1204,Sales!$D$5:$D$1204,A75),2))</f>
        <v>0</v>
      </c>
      <c r="AF75" s="26">
        <f>IF(B75="","",ROUND(SUMIFS(Sales!$Y$5:$Y$1204,Sales!$D$5:$D$1204,A75,Sales!$H$5:$H$1204,"Service"),2))</f>
        <v>0</v>
      </c>
      <c r="AG75" s="26">
        <f>IF(B75="","",ROUND(SUMIFS(Sales!$Y$5:$Y$1204,Sales!$D$5:$D$1204,A75,Sales!$H$5:$H$1204,"Retail"),2))</f>
        <v>0</v>
      </c>
      <c r="AH75" s="26">
        <f>IF(B75="","",ROUND(SUMIFS(Sales!$Y$5:$Y$1204,Sales!$D$5:$D$1204,A75,Sales!$B$5:$B$1204,"&gt;="&amp;TodayDate-365),2))</f>
        <v>0</v>
      </c>
      <c r="AI75" s="26">
        <f>IF(B75="","",IF(T75=0,"",ROUND(AE75/T75,2)))</f>
        <v>0</v>
      </c>
      <c r="AJ75" s="26">
        <f>IF(B75="","",IF(AI75="","",IF(AC75="","",ROUND(AI75*(365/MAX(14,AC75)),2))))</f>
        <v>0</v>
      </c>
      <c r="AK75" s="26">
        <f>IF(B75="","",ROUND(SUMIFS(Sales!$AH$5:$AH$1204,Sales!$D$5:$D$1204,A75),2))</f>
        <v>0</v>
      </c>
      <c r="AL75" s="25">
        <f>IF(B75="","",IFERROR(INDEX(Loyalty!$P$5:$P$504,MATCH(A75,Loyalty!$B$5:$B$504,0))*1,0))</f>
        <v>0</v>
      </c>
      <c r="AM75" s="39">
        <f>IF(B75="","",IF(R75="Archived","Archived",IF(T75=0,"Not been yet",IF(Z75&gt;=InactiveDays,"Inactive",IF(Z75&gt;=LapsingDays,"Lapsing",IF(T75=1,"New",IF(AH75&gt;=VipSpend,"VIP",IF(U75&gt;=4,"Regular","Active"))))))))</f>
        <v>0</v>
      </c>
      <c r="AN75" s="38">
        <f>IF(B75="","",IF(T75&gt;=2,"Yes","No"))</f>
        <v>0</v>
      </c>
      <c r="AO75" s="25">
        <f>IF(B75="","",COUNTIFS($AE$5:$AE$504,"&gt;"&amp;AE75)+COUNTIFS($AE$5:AE75,AE75))</f>
        <v>0</v>
      </c>
      <c r="AP75" s="25">
        <f>IF(B75="","",COUNTIFS($T$5:$T$504,"&gt;"&amp;T75)+COUNTIFS($T$5:T75,T75))</f>
        <v>0</v>
      </c>
      <c r="AQ75" s="39">
        <f>IF(B75="","",IF(COUNTIF($B$5:$B$504,B75)&gt;1,"Duplicate - same name twice",IF(R75="Archived","",IF(AK75&gt;0.004,"Chase - balance outstanding",IF(AM75="Inactive","Gone - win-back offer",IF(AM75="Lapsing","Chase - lapsing, call them",IF(IF(N75="",FALSE,TodayDate-N75&gt;PatchTestDays),"Due - patch test out of date",IF(IF(AD75="",FALSE,IF(AB75&lt;&gt;"",FALSE,AD75&lt;=TodayDate+14)),"Rebook - due and nothing booked",IF(IF(K75="",FALSE,ABS(DATE(YEAR(TodayDate),MONTH(K75),DAY(K75))-TodayDate)&lt;=7),"Birthday - send the treat","OK")))))))))</f>
        <v>0</v>
      </c>
    </row>
    <row r="76" spans="1:43">
      <c r="A76" s="28">
        <f>IF(B76="","",ClientPrefix&amp;TEXT(ROW()-4,"0000"))</f>
        <v>0</v>
      </c>
      <c r="J76" s="15">
        <f>IF(I76="","",IFERROR(INDEX(Staff!$B$5:$B$44,MATCH(I76,Staff!$A$5:$A$44,0)),"Not in Staff"))</f>
        <v>0</v>
      </c>
      <c r="T76" s="25">
        <f>IF(B76="","",COUNTIFS(Appointments!$E$5:$E$1204,A76,Appointments!$M$5:$M$1204,"Completed"))</f>
        <v>0</v>
      </c>
      <c r="U76" s="25">
        <f>IF(B76="","",COUNTIFS(Appointments!$E$5:$E$1204,A76,Appointments!$M$5:$M$1204,"Completed",Appointments!$B$5:$B$1204,"&gt;="&amp;TodayDate-365))</f>
        <v>0</v>
      </c>
      <c r="V76" s="25">
        <f>IF(B76="","",COUNTIFS(Appointments!$E$5:$E$1204,A76,Appointments!$M$5:$M$1204,"Cancelled"))</f>
        <v>0</v>
      </c>
      <c r="W76" s="25">
        <f>IF(B76="","",COUNTIFS(Appointments!$E$5:$E$1204,A76,Appointments!$M$5:$M$1204,"No show"))</f>
        <v>0</v>
      </c>
      <c r="X76" s="17">
        <f>IF(B76="","",IF(F76&lt;&gt;"",F76,IF(T76=0,"",SUMPRODUCT(MIN((Appointments!$E$5:$E$1204=A76)*(Appointments!$M$5:$M$1204="Completed")*Appointments!$B$5:$B$1204+(1-(Appointments!$E$5:$E$1204=A76)*(Appointments!$M$5:$M$1204="Completed"))*2958465)))))</f>
        <v>0</v>
      </c>
      <c r="Y76" s="17">
        <f>IF(B76="","",IF(T76=0,"",SUMPRODUCT(MAX((Appointments!$E$5:$E$1204=A76)*(Appointments!$M$5:$M$1204="Completed")*Appointments!$B$5:$B$1204))))</f>
        <v>0</v>
      </c>
      <c r="Z76" s="25">
        <f>IF(B76="","",IF(Y76="","",TodayDate-Y76))</f>
        <v>0</v>
      </c>
      <c r="AA76" s="42">
        <f>IF(B76="","",SUMPRODUCT(MIN((Appointments!$E$5:$E$1204=A76)*(Appointments!$M$5:$M$1204&lt;&gt;"Cancelled")*(Appointments!$M$5:$M$1204&lt;&gt;"Completed")*(Appointments!$M$5:$M$1204&lt;&gt;"No show")*(Appointments!$B$5:$B$1204&gt;=TodayDate)*Appointments!$B$5:$B$1204+(1-(Appointments!$E$5:$E$1204=A76)*(Appointments!$M$5:$M$1204&lt;&gt;"Cancelled")*(Appointments!$M$5:$M$1204&lt;&gt;"Completed")*(Appointments!$M$5:$M$1204&lt;&gt;"No show")*(Appointments!$B$5:$B$1204&gt;=TodayDate))*2958465)))</f>
        <v>0</v>
      </c>
      <c r="AB76" s="17">
        <f>IF(B76="","",IF(AA76&gt;=2958465,"",AA76))</f>
        <v>0</v>
      </c>
      <c r="AC76" s="25">
        <f>IF(B76="","",IF(T76&lt;2,"",ROUND((Y76-X76)/MAX(1,T76-1),0)))</f>
        <v>0</v>
      </c>
      <c r="AD76" s="17">
        <f>IF(B76="","",IF(Y76="","",Y76+IF(AC76="",RebookWeeks*7,MAX(14,AC76))))</f>
        <v>0</v>
      </c>
      <c r="AE76" s="26">
        <f>IF(B76="","",ROUND(SUMIFS(Sales!$Y$5:$Y$1204,Sales!$D$5:$D$1204,A76),2))</f>
        <v>0</v>
      </c>
      <c r="AF76" s="26">
        <f>IF(B76="","",ROUND(SUMIFS(Sales!$Y$5:$Y$1204,Sales!$D$5:$D$1204,A76,Sales!$H$5:$H$1204,"Service"),2))</f>
        <v>0</v>
      </c>
      <c r="AG76" s="26">
        <f>IF(B76="","",ROUND(SUMIFS(Sales!$Y$5:$Y$1204,Sales!$D$5:$D$1204,A76,Sales!$H$5:$H$1204,"Retail"),2))</f>
        <v>0</v>
      </c>
      <c r="AH76" s="26">
        <f>IF(B76="","",ROUND(SUMIFS(Sales!$Y$5:$Y$1204,Sales!$D$5:$D$1204,A76,Sales!$B$5:$B$1204,"&gt;="&amp;TodayDate-365),2))</f>
        <v>0</v>
      </c>
      <c r="AI76" s="26">
        <f>IF(B76="","",IF(T76=0,"",ROUND(AE76/T76,2)))</f>
        <v>0</v>
      </c>
      <c r="AJ76" s="26">
        <f>IF(B76="","",IF(AI76="","",IF(AC76="","",ROUND(AI76*(365/MAX(14,AC76)),2))))</f>
        <v>0</v>
      </c>
      <c r="AK76" s="26">
        <f>IF(B76="","",ROUND(SUMIFS(Sales!$AH$5:$AH$1204,Sales!$D$5:$D$1204,A76),2))</f>
        <v>0</v>
      </c>
      <c r="AL76" s="25">
        <f>IF(B76="","",IFERROR(INDEX(Loyalty!$P$5:$P$504,MATCH(A76,Loyalty!$B$5:$B$504,0))*1,0))</f>
        <v>0</v>
      </c>
      <c r="AM76" s="39">
        <f>IF(B76="","",IF(R76="Archived","Archived",IF(T76=0,"Not been yet",IF(Z76&gt;=InactiveDays,"Inactive",IF(Z76&gt;=LapsingDays,"Lapsing",IF(T76=1,"New",IF(AH76&gt;=VipSpend,"VIP",IF(U76&gt;=4,"Regular","Active"))))))))</f>
        <v>0</v>
      </c>
      <c r="AN76" s="38">
        <f>IF(B76="","",IF(T76&gt;=2,"Yes","No"))</f>
        <v>0</v>
      </c>
      <c r="AO76" s="25">
        <f>IF(B76="","",COUNTIFS($AE$5:$AE$504,"&gt;"&amp;AE76)+COUNTIFS($AE$5:AE76,AE76))</f>
        <v>0</v>
      </c>
      <c r="AP76" s="25">
        <f>IF(B76="","",COUNTIFS($T$5:$T$504,"&gt;"&amp;T76)+COUNTIFS($T$5:T76,T76))</f>
        <v>0</v>
      </c>
      <c r="AQ76" s="39">
        <f>IF(B76="","",IF(COUNTIF($B$5:$B$504,B76)&gt;1,"Duplicate - same name twice",IF(R76="Archived","",IF(AK76&gt;0.004,"Chase - balance outstanding",IF(AM76="Inactive","Gone - win-back offer",IF(AM76="Lapsing","Chase - lapsing, call them",IF(IF(N76="",FALSE,TodayDate-N76&gt;PatchTestDays),"Due - patch test out of date",IF(IF(AD76="",FALSE,IF(AB76&lt;&gt;"",FALSE,AD76&lt;=TodayDate+14)),"Rebook - due and nothing booked",IF(IF(K76="",FALSE,ABS(DATE(YEAR(TodayDate),MONTH(K76),DAY(K76))-TodayDate)&lt;=7),"Birthday - send the treat","OK")))))))))</f>
        <v>0</v>
      </c>
    </row>
    <row r="77" spans="1:43">
      <c r="A77" s="28">
        <f>IF(B77="","",ClientPrefix&amp;TEXT(ROW()-4,"0000"))</f>
        <v>0</v>
      </c>
      <c r="J77" s="15">
        <f>IF(I77="","",IFERROR(INDEX(Staff!$B$5:$B$44,MATCH(I77,Staff!$A$5:$A$44,0)),"Not in Staff"))</f>
        <v>0</v>
      </c>
      <c r="T77" s="25">
        <f>IF(B77="","",COUNTIFS(Appointments!$E$5:$E$1204,A77,Appointments!$M$5:$M$1204,"Completed"))</f>
        <v>0</v>
      </c>
      <c r="U77" s="25">
        <f>IF(B77="","",COUNTIFS(Appointments!$E$5:$E$1204,A77,Appointments!$M$5:$M$1204,"Completed",Appointments!$B$5:$B$1204,"&gt;="&amp;TodayDate-365))</f>
        <v>0</v>
      </c>
      <c r="V77" s="25">
        <f>IF(B77="","",COUNTIFS(Appointments!$E$5:$E$1204,A77,Appointments!$M$5:$M$1204,"Cancelled"))</f>
        <v>0</v>
      </c>
      <c r="W77" s="25">
        <f>IF(B77="","",COUNTIFS(Appointments!$E$5:$E$1204,A77,Appointments!$M$5:$M$1204,"No show"))</f>
        <v>0</v>
      </c>
      <c r="X77" s="17">
        <f>IF(B77="","",IF(F77&lt;&gt;"",F77,IF(T77=0,"",SUMPRODUCT(MIN((Appointments!$E$5:$E$1204=A77)*(Appointments!$M$5:$M$1204="Completed")*Appointments!$B$5:$B$1204+(1-(Appointments!$E$5:$E$1204=A77)*(Appointments!$M$5:$M$1204="Completed"))*2958465)))))</f>
        <v>0</v>
      </c>
      <c r="Y77" s="17">
        <f>IF(B77="","",IF(T77=0,"",SUMPRODUCT(MAX((Appointments!$E$5:$E$1204=A77)*(Appointments!$M$5:$M$1204="Completed")*Appointments!$B$5:$B$1204))))</f>
        <v>0</v>
      </c>
      <c r="Z77" s="25">
        <f>IF(B77="","",IF(Y77="","",TodayDate-Y77))</f>
        <v>0</v>
      </c>
      <c r="AA77" s="42">
        <f>IF(B77="","",SUMPRODUCT(MIN((Appointments!$E$5:$E$1204=A77)*(Appointments!$M$5:$M$1204&lt;&gt;"Cancelled")*(Appointments!$M$5:$M$1204&lt;&gt;"Completed")*(Appointments!$M$5:$M$1204&lt;&gt;"No show")*(Appointments!$B$5:$B$1204&gt;=TodayDate)*Appointments!$B$5:$B$1204+(1-(Appointments!$E$5:$E$1204=A77)*(Appointments!$M$5:$M$1204&lt;&gt;"Cancelled")*(Appointments!$M$5:$M$1204&lt;&gt;"Completed")*(Appointments!$M$5:$M$1204&lt;&gt;"No show")*(Appointments!$B$5:$B$1204&gt;=TodayDate))*2958465)))</f>
        <v>0</v>
      </c>
      <c r="AB77" s="17">
        <f>IF(B77="","",IF(AA77&gt;=2958465,"",AA77))</f>
        <v>0</v>
      </c>
      <c r="AC77" s="25">
        <f>IF(B77="","",IF(T77&lt;2,"",ROUND((Y77-X77)/MAX(1,T77-1),0)))</f>
        <v>0</v>
      </c>
      <c r="AD77" s="17">
        <f>IF(B77="","",IF(Y77="","",Y77+IF(AC77="",RebookWeeks*7,MAX(14,AC77))))</f>
        <v>0</v>
      </c>
      <c r="AE77" s="26">
        <f>IF(B77="","",ROUND(SUMIFS(Sales!$Y$5:$Y$1204,Sales!$D$5:$D$1204,A77),2))</f>
        <v>0</v>
      </c>
      <c r="AF77" s="26">
        <f>IF(B77="","",ROUND(SUMIFS(Sales!$Y$5:$Y$1204,Sales!$D$5:$D$1204,A77,Sales!$H$5:$H$1204,"Service"),2))</f>
        <v>0</v>
      </c>
      <c r="AG77" s="26">
        <f>IF(B77="","",ROUND(SUMIFS(Sales!$Y$5:$Y$1204,Sales!$D$5:$D$1204,A77,Sales!$H$5:$H$1204,"Retail"),2))</f>
        <v>0</v>
      </c>
      <c r="AH77" s="26">
        <f>IF(B77="","",ROUND(SUMIFS(Sales!$Y$5:$Y$1204,Sales!$D$5:$D$1204,A77,Sales!$B$5:$B$1204,"&gt;="&amp;TodayDate-365),2))</f>
        <v>0</v>
      </c>
      <c r="AI77" s="26">
        <f>IF(B77="","",IF(T77=0,"",ROUND(AE77/T77,2)))</f>
        <v>0</v>
      </c>
      <c r="AJ77" s="26">
        <f>IF(B77="","",IF(AI77="","",IF(AC77="","",ROUND(AI77*(365/MAX(14,AC77)),2))))</f>
        <v>0</v>
      </c>
      <c r="AK77" s="26">
        <f>IF(B77="","",ROUND(SUMIFS(Sales!$AH$5:$AH$1204,Sales!$D$5:$D$1204,A77),2))</f>
        <v>0</v>
      </c>
      <c r="AL77" s="25">
        <f>IF(B77="","",IFERROR(INDEX(Loyalty!$P$5:$P$504,MATCH(A77,Loyalty!$B$5:$B$504,0))*1,0))</f>
        <v>0</v>
      </c>
      <c r="AM77" s="39">
        <f>IF(B77="","",IF(R77="Archived","Archived",IF(T77=0,"Not been yet",IF(Z77&gt;=InactiveDays,"Inactive",IF(Z77&gt;=LapsingDays,"Lapsing",IF(T77=1,"New",IF(AH77&gt;=VipSpend,"VIP",IF(U77&gt;=4,"Regular","Active"))))))))</f>
        <v>0</v>
      </c>
      <c r="AN77" s="38">
        <f>IF(B77="","",IF(T77&gt;=2,"Yes","No"))</f>
        <v>0</v>
      </c>
      <c r="AO77" s="25">
        <f>IF(B77="","",COUNTIFS($AE$5:$AE$504,"&gt;"&amp;AE77)+COUNTIFS($AE$5:AE77,AE77))</f>
        <v>0</v>
      </c>
      <c r="AP77" s="25">
        <f>IF(B77="","",COUNTIFS($T$5:$T$504,"&gt;"&amp;T77)+COUNTIFS($T$5:T77,T77))</f>
        <v>0</v>
      </c>
      <c r="AQ77" s="39">
        <f>IF(B77="","",IF(COUNTIF($B$5:$B$504,B77)&gt;1,"Duplicate - same name twice",IF(R77="Archived","",IF(AK77&gt;0.004,"Chase - balance outstanding",IF(AM77="Inactive","Gone - win-back offer",IF(AM77="Lapsing","Chase - lapsing, call them",IF(IF(N77="",FALSE,TodayDate-N77&gt;PatchTestDays),"Due - patch test out of date",IF(IF(AD77="",FALSE,IF(AB77&lt;&gt;"",FALSE,AD77&lt;=TodayDate+14)),"Rebook - due and nothing booked",IF(IF(K77="",FALSE,ABS(DATE(YEAR(TodayDate),MONTH(K77),DAY(K77))-TodayDate)&lt;=7),"Birthday - send the treat","OK")))))))))</f>
        <v>0</v>
      </c>
    </row>
    <row r="78" spans="1:43">
      <c r="A78" s="28">
        <f>IF(B78="","",ClientPrefix&amp;TEXT(ROW()-4,"0000"))</f>
        <v>0</v>
      </c>
      <c r="J78" s="15">
        <f>IF(I78="","",IFERROR(INDEX(Staff!$B$5:$B$44,MATCH(I78,Staff!$A$5:$A$44,0)),"Not in Staff"))</f>
        <v>0</v>
      </c>
      <c r="T78" s="25">
        <f>IF(B78="","",COUNTIFS(Appointments!$E$5:$E$1204,A78,Appointments!$M$5:$M$1204,"Completed"))</f>
        <v>0</v>
      </c>
      <c r="U78" s="25">
        <f>IF(B78="","",COUNTIFS(Appointments!$E$5:$E$1204,A78,Appointments!$M$5:$M$1204,"Completed",Appointments!$B$5:$B$1204,"&gt;="&amp;TodayDate-365))</f>
        <v>0</v>
      </c>
      <c r="V78" s="25">
        <f>IF(B78="","",COUNTIFS(Appointments!$E$5:$E$1204,A78,Appointments!$M$5:$M$1204,"Cancelled"))</f>
        <v>0</v>
      </c>
      <c r="W78" s="25">
        <f>IF(B78="","",COUNTIFS(Appointments!$E$5:$E$1204,A78,Appointments!$M$5:$M$1204,"No show"))</f>
        <v>0</v>
      </c>
      <c r="X78" s="17">
        <f>IF(B78="","",IF(F78&lt;&gt;"",F78,IF(T78=0,"",SUMPRODUCT(MIN((Appointments!$E$5:$E$1204=A78)*(Appointments!$M$5:$M$1204="Completed")*Appointments!$B$5:$B$1204+(1-(Appointments!$E$5:$E$1204=A78)*(Appointments!$M$5:$M$1204="Completed"))*2958465)))))</f>
        <v>0</v>
      </c>
      <c r="Y78" s="17">
        <f>IF(B78="","",IF(T78=0,"",SUMPRODUCT(MAX((Appointments!$E$5:$E$1204=A78)*(Appointments!$M$5:$M$1204="Completed")*Appointments!$B$5:$B$1204))))</f>
        <v>0</v>
      </c>
      <c r="Z78" s="25">
        <f>IF(B78="","",IF(Y78="","",TodayDate-Y78))</f>
        <v>0</v>
      </c>
      <c r="AA78" s="42">
        <f>IF(B78="","",SUMPRODUCT(MIN((Appointments!$E$5:$E$1204=A78)*(Appointments!$M$5:$M$1204&lt;&gt;"Cancelled")*(Appointments!$M$5:$M$1204&lt;&gt;"Completed")*(Appointments!$M$5:$M$1204&lt;&gt;"No show")*(Appointments!$B$5:$B$1204&gt;=TodayDate)*Appointments!$B$5:$B$1204+(1-(Appointments!$E$5:$E$1204=A78)*(Appointments!$M$5:$M$1204&lt;&gt;"Cancelled")*(Appointments!$M$5:$M$1204&lt;&gt;"Completed")*(Appointments!$M$5:$M$1204&lt;&gt;"No show")*(Appointments!$B$5:$B$1204&gt;=TodayDate))*2958465)))</f>
        <v>0</v>
      </c>
      <c r="AB78" s="17">
        <f>IF(B78="","",IF(AA78&gt;=2958465,"",AA78))</f>
        <v>0</v>
      </c>
      <c r="AC78" s="25">
        <f>IF(B78="","",IF(T78&lt;2,"",ROUND((Y78-X78)/MAX(1,T78-1),0)))</f>
        <v>0</v>
      </c>
      <c r="AD78" s="17">
        <f>IF(B78="","",IF(Y78="","",Y78+IF(AC78="",RebookWeeks*7,MAX(14,AC78))))</f>
        <v>0</v>
      </c>
      <c r="AE78" s="26">
        <f>IF(B78="","",ROUND(SUMIFS(Sales!$Y$5:$Y$1204,Sales!$D$5:$D$1204,A78),2))</f>
        <v>0</v>
      </c>
      <c r="AF78" s="26">
        <f>IF(B78="","",ROUND(SUMIFS(Sales!$Y$5:$Y$1204,Sales!$D$5:$D$1204,A78,Sales!$H$5:$H$1204,"Service"),2))</f>
        <v>0</v>
      </c>
      <c r="AG78" s="26">
        <f>IF(B78="","",ROUND(SUMIFS(Sales!$Y$5:$Y$1204,Sales!$D$5:$D$1204,A78,Sales!$H$5:$H$1204,"Retail"),2))</f>
        <v>0</v>
      </c>
      <c r="AH78" s="26">
        <f>IF(B78="","",ROUND(SUMIFS(Sales!$Y$5:$Y$1204,Sales!$D$5:$D$1204,A78,Sales!$B$5:$B$1204,"&gt;="&amp;TodayDate-365),2))</f>
        <v>0</v>
      </c>
      <c r="AI78" s="26">
        <f>IF(B78="","",IF(T78=0,"",ROUND(AE78/T78,2)))</f>
        <v>0</v>
      </c>
      <c r="AJ78" s="26">
        <f>IF(B78="","",IF(AI78="","",IF(AC78="","",ROUND(AI78*(365/MAX(14,AC78)),2))))</f>
        <v>0</v>
      </c>
      <c r="AK78" s="26">
        <f>IF(B78="","",ROUND(SUMIFS(Sales!$AH$5:$AH$1204,Sales!$D$5:$D$1204,A78),2))</f>
        <v>0</v>
      </c>
      <c r="AL78" s="25">
        <f>IF(B78="","",IFERROR(INDEX(Loyalty!$P$5:$P$504,MATCH(A78,Loyalty!$B$5:$B$504,0))*1,0))</f>
        <v>0</v>
      </c>
      <c r="AM78" s="39">
        <f>IF(B78="","",IF(R78="Archived","Archived",IF(T78=0,"Not been yet",IF(Z78&gt;=InactiveDays,"Inactive",IF(Z78&gt;=LapsingDays,"Lapsing",IF(T78=1,"New",IF(AH78&gt;=VipSpend,"VIP",IF(U78&gt;=4,"Regular","Active"))))))))</f>
        <v>0</v>
      </c>
      <c r="AN78" s="38">
        <f>IF(B78="","",IF(T78&gt;=2,"Yes","No"))</f>
        <v>0</v>
      </c>
      <c r="AO78" s="25">
        <f>IF(B78="","",COUNTIFS($AE$5:$AE$504,"&gt;"&amp;AE78)+COUNTIFS($AE$5:AE78,AE78))</f>
        <v>0</v>
      </c>
      <c r="AP78" s="25">
        <f>IF(B78="","",COUNTIFS($T$5:$T$504,"&gt;"&amp;T78)+COUNTIFS($T$5:T78,T78))</f>
        <v>0</v>
      </c>
      <c r="AQ78" s="39">
        <f>IF(B78="","",IF(COUNTIF($B$5:$B$504,B78)&gt;1,"Duplicate - same name twice",IF(R78="Archived","",IF(AK78&gt;0.004,"Chase - balance outstanding",IF(AM78="Inactive","Gone - win-back offer",IF(AM78="Lapsing","Chase - lapsing, call them",IF(IF(N78="",FALSE,TodayDate-N78&gt;PatchTestDays),"Due - patch test out of date",IF(IF(AD78="",FALSE,IF(AB78&lt;&gt;"",FALSE,AD78&lt;=TodayDate+14)),"Rebook - due and nothing booked",IF(IF(K78="",FALSE,ABS(DATE(YEAR(TodayDate),MONTH(K78),DAY(K78))-TodayDate)&lt;=7),"Birthday - send the treat","OK")))))))))</f>
        <v>0</v>
      </c>
    </row>
    <row r="79" spans="1:43">
      <c r="A79" s="28">
        <f>IF(B79="","",ClientPrefix&amp;TEXT(ROW()-4,"0000"))</f>
        <v>0</v>
      </c>
      <c r="J79" s="15">
        <f>IF(I79="","",IFERROR(INDEX(Staff!$B$5:$B$44,MATCH(I79,Staff!$A$5:$A$44,0)),"Not in Staff"))</f>
        <v>0</v>
      </c>
      <c r="T79" s="25">
        <f>IF(B79="","",COUNTIFS(Appointments!$E$5:$E$1204,A79,Appointments!$M$5:$M$1204,"Completed"))</f>
        <v>0</v>
      </c>
      <c r="U79" s="25">
        <f>IF(B79="","",COUNTIFS(Appointments!$E$5:$E$1204,A79,Appointments!$M$5:$M$1204,"Completed",Appointments!$B$5:$B$1204,"&gt;="&amp;TodayDate-365))</f>
        <v>0</v>
      </c>
      <c r="V79" s="25">
        <f>IF(B79="","",COUNTIFS(Appointments!$E$5:$E$1204,A79,Appointments!$M$5:$M$1204,"Cancelled"))</f>
        <v>0</v>
      </c>
      <c r="W79" s="25">
        <f>IF(B79="","",COUNTIFS(Appointments!$E$5:$E$1204,A79,Appointments!$M$5:$M$1204,"No show"))</f>
        <v>0</v>
      </c>
      <c r="X79" s="17">
        <f>IF(B79="","",IF(F79&lt;&gt;"",F79,IF(T79=0,"",SUMPRODUCT(MIN((Appointments!$E$5:$E$1204=A79)*(Appointments!$M$5:$M$1204="Completed")*Appointments!$B$5:$B$1204+(1-(Appointments!$E$5:$E$1204=A79)*(Appointments!$M$5:$M$1204="Completed"))*2958465)))))</f>
        <v>0</v>
      </c>
      <c r="Y79" s="17">
        <f>IF(B79="","",IF(T79=0,"",SUMPRODUCT(MAX((Appointments!$E$5:$E$1204=A79)*(Appointments!$M$5:$M$1204="Completed")*Appointments!$B$5:$B$1204))))</f>
        <v>0</v>
      </c>
      <c r="Z79" s="25">
        <f>IF(B79="","",IF(Y79="","",TodayDate-Y79))</f>
        <v>0</v>
      </c>
      <c r="AA79" s="42">
        <f>IF(B79="","",SUMPRODUCT(MIN((Appointments!$E$5:$E$1204=A79)*(Appointments!$M$5:$M$1204&lt;&gt;"Cancelled")*(Appointments!$M$5:$M$1204&lt;&gt;"Completed")*(Appointments!$M$5:$M$1204&lt;&gt;"No show")*(Appointments!$B$5:$B$1204&gt;=TodayDate)*Appointments!$B$5:$B$1204+(1-(Appointments!$E$5:$E$1204=A79)*(Appointments!$M$5:$M$1204&lt;&gt;"Cancelled")*(Appointments!$M$5:$M$1204&lt;&gt;"Completed")*(Appointments!$M$5:$M$1204&lt;&gt;"No show")*(Appointments!$B$5:$B$1204&gt;=TodayDate))*2958465)))</f>
        <v>0</v>
      </c>
      <c r="AB79" s="17">
        <f>IF(B79="","",IF(AA79&gt;=2958465,"",AA79))</f>
        <v>0</v>
      </c>
      <c r="AC79" s="25">
        <f>IF(B79="","",IF(T79&lt;2,"",ROUND((Y79-X79)/MAX(1,T79-1),0)))</f>
        <v>0</v>
      </c>
      <c r="AD79" s="17">
        <f>IF(B79="","",IF(Y79="","",Y79+IF(AC79="",RebookWeeks*7,MAX(14,AC79))))</f>
        <v>0</v>
      </c>
      <c r="AE79" s="26">
        <f>IF(B79="","",ROUND(SUMIFS(Sales!$Y$5:$Y$1204,Sales!$D$5:$D$1204,A79),2))</f>
        <v>0</v>
      </c>
      <c r="AF79" s="26">
        <f>IF(B79="","",ROUND(SUMIFS(Sales!$Y$5:$Y$1204,Sales!$D$5:$D$1204,A79,Sales!$H$5:$H$1204,"Service"),2))</f>
        <v>0</v>
      </c>
      <c r="AG79" s="26">
        <f>IF(B79="","",ROUND(SUMIFS(Sales!$Y$5:$Y$1204,Sales!$D$5:$D$1204,A79,Sales!$H$5:$H$1204,"Retail"),2))</f>
        <v>0</v>
      </c>
      <c r="AH79" s="26">
        <f>IF(B79="","",ROUND(SUMIFS(Sales!$Y$5:$Y$1204,Sales!$D$5:$D$1204,A79,Sales!$B$5:$B$1204,"&gt;="&amp;TodayDate-365),2))</f>
        <v>0</v>
      </c>
      <c r="AI79" s="26">
        <f>IF(B79="","",IF(T79=0,"",ROUND(AE79/T79,2)))</f>
        <v>0</v>
      </c>
      <c r="AJ79" s="26">
        <f>IF(B79="","",IF(AI79="","",IF(AC79="","",ROUND(AI79*(365/MAX(14,AC79)),2))))</f>
        <v>0</v>
      </c>
      <c r="AK79" s="26">
        <f>IF(B79="","",ROUND(SUMIFS(Sales!$AH$5:$AH$1204,Sales!$D$5:$D$1204,A79),2))</f>
        <v>0</v>
      </c>
      <c r="AL79" s="25">
        <f>IF(B79="","",IFERROR(INDEX(Loyalty!$P$5:$P$504,MATCH(A79,Loyalty!$B$5:$B$504,0))*1,0))</f>
        <v>0</v>
      </c>
      <c r="AM79" s="39">
        <f>IF(B79="","",IF(R79="Archived","Archived",IF(T79=0,"Not been yet",IF(Z79&gt;=InactiveDays,"Inactive",IF(Z79&gt;=LapsingDays,"Lapsing",IF(T79=1,"New",IF(AH79&gt;=VipSpend,"VIP",IF(U79&gt;=4,"Regular","Active"))))))))</f>
        <v>0</v>
      </c>
      <c r="AN79" s="38">
        <f>IF(B79="","",IF(T79&gt;=2,"Yes","No"))</f>
        <v>0</v>
      </c>
      <c r="AO79" s="25">
        <f>IF(B79="","",COUNTIFS($AE$5:$AE$504,"&gt;"&amp;AE79)+COUNTIFS($AE$5:AE79,AE79))</f>
        <v>0</v>
      </c>
      <c r="AP79" s="25">
        <f>IF(B79="","",COUNTIFS($T$5:$T$504,"&gt;"&amp;T79)+COUNTIFS($T$5:T79,T79))</f>
        <v>0</v>
      </c>
      <c r="AQ79" s="39">
        <f>IF(B79="","",IF(COUNTIF($B$5:$B$504,B79)&gt;1,"Duplicate - same name twice",IF(R79="Archived","",IF(AK79&gt;0.004,"Chase - balance outstanding",IF(AM79="Inactive","Gone - win-back offer",IF(AM79="Lapsing","Chase - lapsing, call them",IF(IF(N79="",FALSE,TodayDate-N79&gt;PatchTestDays),"Due - patch test out of date",IF(IF(AD79="",FALSE,IF(AB79&lt;&gt;"",FALSE,AD79&lt;=TodayDate+14)),"Rebook - due and nothing booked",IF(IF(K79="",FALSE,ABS(DATE(YEAR(TodayDate),MONTH(K79),DAY(K79))-TodayDate)&lt;=7),"Birthday - send the treat","OK")))))))))</f>
        <v>0</v>
      </c>
    </row>
    <row r="80" spans="1:43">
      <c r="A80" s="28">
        <f>IF(B80="","",ClientPrefix&amp;TEXT(ROW()-4,"0000"))</f>
        <v>0</v>
      </c>
      <c r="J80" s="15">
        <f>IF(I80="","",IFERROR(INDEX(Staff!$B$5:$B$44,MATCH(I80,Staff!$A$5:$A$44,0)),"Not in Staff"))</f>
        <v>0</v>
      </c>
      <c r="T80" s="25">
        <f>IF(B80="","",COUNTIFS(Appointments!$E$5:$E$1204,A80,Appointments!$M$5:$M$1204,"Completed"))</f>
        <v>0</v>
      </c>
      <c r="U80" s="25">
        <f>IF(B80="","",COUNTIFS(Appointments!$E$5:$E$1204,A80,Appointments!$M$5:$M$1204,"Completed",Appointments!$B$5:$B$1204,"&gt;="&amp;TodayDate-365))</f>
        <v>0</v>
      </c>
      <c r="V80" s="25">
        <f>IF(B80="","",COUNTIFS(Appointments!$E$5:$E$1204,A80,Appointments!$M$5:$M$1204,"Cancelled"))</f>
        <v>0</v>
      </c>
      <c r="W80" s="25">
        <f>IF(B80="","",COUNTIFS(Appointments!$E$5:$E$1204,A80,Appointments!$M$5:$M$1204,"No show"))</f>
        <v>0</v>
      </c>
      <c r="X80" s="17">
        <f>IF(B80="","",IF(F80&lt;&gt;"",F80,IF(T80=0,"",SUMPRODUCT(MIN((Appointments!$E$5:$E$1204=A80)*(Appointments!$M$5:$M$1204="Completed")*Appointments!$B$5:$B$1204+(1-(Appointments!$E$5:$E$1204=A80)*(Appointments!$M$5:$M$1204="Completed"))*2958465)))))</f>
        <v>0</v>
      </c>
      <c r="Y80" s="17">
        <f>IF(B80="","",IF(T80=0,"",SUMPRODUCT(MAX((Appointments!$E$5:$E$1204=A80)*(Appointments!$M$5:$M$1204="Completed")*Appointments!$B$5:$B$1204))))</f>
        <v>0</v>
      </c>
      <c r="Z80" s="25">
        <f>IF(B80="","",IF(Y80="","",TodayDate-Y80))</f>
        <v>0</v>
      </c>
      <c r="AA80" s="42">
        <f>IF(B80="","",SUMPRODUCT(MIN((Appointments!$E$5:$E$1204=A80)*(Appointments!$M$5:$M$1204&lt;&gt;"Cancelled")*(Appointments!$M$5:$M$1204&lt;&gt;"Completed")*(Appointments!$M$5:$M$1204&lt;&gt;"No show")*(Appointments!$B$5:$B$1204&gt;=TodayDate)*Appointments!$B$5:$B$1204+(1-(Appointments!$E$5:$E$1204=A80)*(Appointments!$M$5:$M$1204&lt;&gt;"Cancelled")*(Appointments!$M$5:$M$1204&lt;&gt;"Completed")*(Appointments!$M$5:$M$1204&lt;&gt;"No show")*(Appointments!$B$5:$B$1204&gt;=TodayDate))*2958465)))</f>
        <v>0</v>
      </c>
      <c r="AB80" s="17">
        <f>IF(B80="","",IF(AA80&gt;=2958465,"",AA80))</f>
        <v>0</v>
      </c>
      <c r="AC80" s="25">
        <f>IF(B80="","",IF(T80&lt;2,"",ROUND((Y80-X80)/MAX(1,T80-1),0)))</f>
        <v>0</v>
      </c>
      <c r="AD80" s="17">
        <f>IF(B80="","",IF(Y80="","",Y80+IF(AC80="",RebookWeeks*7,MAX(14,AC80))))</f>
        <v>0</v>
      </c>
      <c r="AE80" s="26">
        <f>IF(B80="","",ROUND(SUMIFS(Sales!$Y$5:$Y$1204,Sales!$D$5:$D$1204,A80),2))</f>
        <v>0</v>
      </c>
      <c r="AF80" s="26">
        <f>IF(B80="","",ROUND(SUMIFS(Sales!$Y$5:$Y$1204,Sales!$D$5:$D$1204,A80,Sales!$H$5:$H$1204,"Service"),2))</f>
        <v>0</v>
      </c>
      <c r="AG80" s="26">
        <f>IF(B80="","",ROUND(SUMIFS(Sales!$Y$5:$Y$1204,Sales!$D$5:$D$1204,A80,Sales!$H$5:$H$1204,"Retail"),2))</f>
        <v>0</v>
      </c>
      <c r="AH80" s="26">
        <f>IF(B80="","",ROUND(SUMIFS(Sales!$Y$5:$Y$1204,Sales!$D$5:$D$1204,A80,Sales!$B$5:$B$1204,"&gt;="&amp;TodayDate-365),2))</f>
        <v>0</v>
      </c>
      <c r="AI80" s="26">
        <f>IF(B80="","",IF(T80=0,"",ROUND(AE80/T80,2)))</f>
        <v>0</v>
      </c>
      <c r="AJ80" s="26">
        <f>IF(B80="","",IF(AI80="","",IF(AC80="","",ROUND(AI80*(365/MAX(14,AC80)),2))))</f>
        <v>0</v>
      </c>
      <c r="AK80" s="26">
        <f>IF(B80="","",ROUND(SUMIFS(Sales!$AH$5:$AH$1204,Sales!$D$5:$D$1204,A80),2))</f>
        <v>0</v>
      </c>
      <c r="AL80" s="25">
        <f>IF(B80="","",IFERROR(INDEX(Loyalty!$P$5:$P$504,MATCH(A80,Loyalty!$B$5:$B$504,0))*1,0))</f>
        <v>0</v>
      </c>
      <c r="AM80" s="39">
        <f>IF(B80="","",IF(R80="Archived","Archived",IF(T80=0,"Not been yet",IF(Z80&gt;=InactiveDays,"Inactive",IF(Z80&gt;=LapsingDays,"Lapsing",IF(T80=1,"New",IF(AH80&gt;=VipSpend,"VIP",IF(U80&gt;=4,"Regular","Active"))))))))</f>
        <v>0</v>
      </c>
      <c r="AN80" s="38">
        <f>IF(B80="","",IF(T80&gt;=2,"Yes","No"))</f>
        <v>0</v>
      </c>
      <c r="AO80" s="25">
        <f>IF(B80="","",COUNTIFS($AE$5:$AE$504,"&gt;"&amp;AE80)+COUNTIFS($AE$5:AE80,AE80))</f>
        <v>0</v>
      </c>
      <c r="AP80" s="25">
        <f>IF(B80="","",COUNTIFS($T$5:$T$504,"&gt;"&amp;T80)+COUNTIFS($T$5:T80,T80))</f>
        <v>0</v>
      </c>
      <c r="AQ80" s="39">
        <f>IF(B80="","",IF(COUNTIF($B$5:$B$504,B80)&gt;1,"Duplicate - same name twice",IF(R80="Archived","",IF(AK80&gt;0.004,"Chase - balance outstanding",IF(AM80="Inactive","Gone - win-back offer",IF(AM80="Lapsing","Chase - lapsing, call them",IF(IF(N80="",FALSE,TodayDate-N80&gt;PatchTestDays),"Due - patch test out of date",IF(IF(AD80="",FALSE,IF(AB80&lt;&gt;"",FALSE,AD80&lt;=TodayDate+14)),"Rebook - due and nothing booked",IF(IF(K80="",FALSE,ABS(DATE(YEAR(TodayDate),MONTH(K80),DAY(K80))-TodayDate)&lt;=7),"Birthday - send the treat","OK")))))))))</f>
        <v>0</v>
      </c>
    </row>
    <row r="81" spans="1:43">
      <c r="A81" s="28">
        <f>IF(B81="","",ClientPrefix&amp;TEXT(ROW()-4,"0000"))</f>
        <v>0</v>
      </c>
      <c r="J81" s="15">
        <f>IF(I81="","",IFERROR(INDEX(Staff!$B$5:$B$44,MATCH(I81,Staff!$A$5:$A$44,0)),"Not in Staff"))</f>
        <v>0</v>
      </c>
      <c r="T81" s="25">
        <f>IF(B81="","",COUNTIFS(Appointments!$E$5:$E$1204,A81,Appointments!$M$5:$M$1204,"Completed"))</f>
        <v>0</v>
      </c>
      <c r="U81" s="25">
        <f>IF(B81="","",COUNTIFS(Appointments!$E$5:$E$1204,A81,Appointments!$M$5:$M$1204,"Completed",Appointments!$B$5:$B$1204,"&gt;="&amp;TodayDate-365))</f>
        <v>0</v>
      </c>
      <c r="V81" s="25">
        <f>IF(B81="","",COUNTIFS(Appointments!$E$5:$E$1204,A81,Appointments!$M$5:$M$1204,"Cancelled"))</f>
        <v>0</v>
      </c>
      <c r="W81" s="25">
        <f>IF(B81="","",COUNTIFS(Appointments!$E$5:$E$1204,A81,Appointments!$M$5:$M$1204,"No show"))</f>
        <v>0</v>
      </c>
      <c r="X81" s="17">
        <f>IF(B81="","",IF(F81&lt;&gt;"",F81,IF(T81=0,"",SUMPRODUCT(MIN((Appointments!$E$5:$E$1204=A81)*(Appointments!$M$5:$M$1204="Completed")*Appointments!$B$5:$B$1204+(1-(Appointments!$E$5:$E$1204=A81)*(Appointments!$M$5:$M$1204="Completed"))*2958465)))))</f>
        <v>0</v>
      </c>
      <c r="Y81" s="17">
        <f>IF(B81="","",IF(T81=0,"",SUMPRODUCT(MAX((Appointments!$E$5:$E$1204=A81)*(Appointments!$M$5:$M$1204="Completed")*Appointments!$B$5:$B$1204))))</f>
        <v>0</v>
      </c>
      <c r="Z81" s="25">
        <f>IF(B81="","",IF(Y81="","",TodayDate-Y81))</f>
        <v>0</v>
      </c>
      <c r="AA81" s="42">
        <f>IF(B81="","",SUMPRODUCT(MIN((Appointments!$E$5:$E$1204=A81)*(Appointments!$M$5:$M$1204&lt;&gt;"Cancelled")*(Appointments!$M$5:$M$1204&lt;&gt;"Completed")*(Appointments!$M$5:$M$1204&lt;&gt;"No show")*(Appointments!$B$5:$B$1204&gt;=TodayDate)*Appointments!$B$5:$B$1204+(1-(Appointments!$E$5:$E$1204=A81)*(Appointments!$M$5:$M$1204&lt;&gt;"Cancelled")*(Appointments!$M$5:$M$1204&lt;&gt;"Completed")*(Appointments!$M$5:$M$1204&lt;&gt;"No show")*(Appointments!$B$5:$B$1204&gt;=TodayDate))*2958465)))</f>
        <v>0</v>
      </c>
      <c r="AB81" s="17">
        <f>IF(B81="","",IF(AA81&gt;=2958465,"",AA81))</f>
        <v>0</v>
      </c>
      <c r="AC81" s="25">
        <f>IF(B81="","",IF(T81&lt;2,"",ROUND((Y81-X81)/MAX(1,T81-1),0)))</f>
        <v>0</v>
      </c>
      <c r="AD81" s="17">
        <f>IF(B81="","",IF(Y81="","",Y81+IF(AC81="",RebookWeeks*7,MAX(14,AC81))))</f>
        <v>0</v>
      </c>
      <c r="AE81" s="26">
        <f>IF(B81="","",ROUND(SUMIFS(Sales!$Y$5:$Y$1204,Sales!$D$5:$D$1204,A81),2))</f>
        <v>0</v>
      </c>
      <c r="AF81" s="26">
        <f>IF(B81="","",ROUND(SUMIFS(Sales!$Y$5:$Y$1204,Sales!$D$5:$D$1204,A81,Sales!$H$5:$H$1204,"Service"),2))</f>
        <v>0</v>
      </c>
      <c r="AG81" s="26">
        <f>IF(B81="","",ROUND(SUMIFS(Sales!$Y$5:$Y$1204,Sales!$D$5:$D$1204,A81,Sales!$H$5:$H$1204,"Retail"),2))</f>
        <v>0</v>
      </c>
      <c r="AH81" s="26">
        <f>IF(B81="","",ROUND(SUMIFS(Sales!$Y$5:$Y$1204,Sales!$D$5:$D$1204,A81,Sales!$B$5:$B$1204,"&gt;="&amp;TodayDate-365),2))</f>
        <v>0</v>
      </c>
      <c r="AI81" s="26">
        <f>IF(B81="","",IF(T81=0,"",ROUND(AE81/T81,2)))</f>
        <v>0</v>
      </c>
      <c r="AJ81" s="26">
        <f>IF(B81="","",IF(AI81="","",IF(AC81="","",ROUND(AI81*(365/MAX(14,AC81)),2))))</f>
        <v>0</v>
      </c>
      <c r="AK81" s="26">
        <f>IF(B81="","",ROUND(SUMIFS(Sales!$AH$5:$AH$1204,Sales!$D$5:$D$1204,A81),2))</f>
        <v>0</v>
      </c>
      <c r="AL81" s="25">
        <f>IF(B81="","",IFERROR(INDEX(Loyalty!$P$5:$P$504,MATCH(A81,Loyalty!$B$5:$B$504,0))*1,0))</f>
        <v>0</v>
      </c>
      <c r="AM81" s="39">
        <f>IF(B81="","",IF(R81="Archived","Archived",IF(T81=0,"Not been yet",IF(Z81&gt;=InactiveDays,"Inactive",IF(Z81&gt;=LapsingDays,"Lapsing",IF(T81=1,"New",IF(AH81&gt;=VipSpend,"VIP",IF(U81&gt;=4,"Regular","Active"))))))))</f>
        <v>0</v>
      </c>
      <c r="AN81" s="38">
        <f>IF(B81="","",IF(T81&gt;=2,"Yes","No"))</f>
        <v>0</v>
      </c>
      <c r="AO81" s="25">
        <f>IF(B81="","",COUNTIFS($AE$5:$AE$504,"&gt;"&amp;AE81)+COUNTIFS($AE$5:AE81,AE81))</f>
        <v>0</v>
      </c>
      <c r="AP81" s="25">
        <f>IF(B81="","",COUNTIFS($T$5:$T$504,"&gt;"&amp;T81)+COUNTIFS($T$5:T81,T81))</f>
        <v>0</v>
      </c>
      <c r="AQ81" s="39">
        <f>IF(B81="","",IF(COUNTIF($B$5:$B$504,B81)&gt;1,"Duplicate - same name twice",IF(R81="Archived","",IF(AK81&gt;0.004,"Chase - balance outstanding",IF(AM81="Inactive","Gone - win-back offer",IF(AM81="Lapsing","Chase - lapsing, call them",IF(IF(N81="",FALSE,TodayDate-N81&gt;PatchTestDays),"Due - patch test out of date",IF(IF(AD81="",FALSE,IF(AB81&lt;&gt;"",FALSE,AD81&lt;=TodayDate+14)),"Rebook - due and nothing booked",IF(IF(K81="",FALSE,ABS(DATE(YEAR(TodayDate),MONTH(K81),DAY(K81))-TodayDate)&lt;=7),"Birthday - send the treat","OK")))))))))</f>
        <v>0</v>
      </c>
    </row>
    <row r="82" spans="1:43">
      <c r="A82" s="28">
        <f>IF(B82="","",ClientPrefix&amp;TEXT(ROW()-4,"0000"))</f>
        <v>0</v>
      </c>
      <c r="J82" s="15">
        <f>IF(I82="","",IFERROR(INDEX(Staff!$B$5:$B$44,MATCH(I82,Staff!$A$5:$A$44,0)),"Not in Staff"))</f>
        <v>0</v>
      </c>
      <c r="T82" s="25">
        <f>IF(B82="","",COUNTIFS(Appointments!$E$5:$E$1204,A82,Appointments!$M$5:$M$1204,"Completed"))</f>
        <v>0</v>
      </c>
      <c r="U82" s="25">
        <f>IF(B82="","",COUNTIFS(Appointments!$E$5:$E$1204,A82,Appointments!$M$5:$M$1204,"Completed",Appointments!$B$5:$B$1204,"&gt;="&amp;TodayDate-365))</f>
        <v>0</v>
      </c>
      <c r="V82" s="25">
        <f>IF(B82="","",COUNTIFS(Appointments!$E$5:$E$1204,A82,Appointments!$M$5:$M$1204,"Cancelled"))</f>
        <v>0</v>
      </c>
      <c r="W82" s="25">
        <f>IF(B82="","",COUNTIFS(Appointments!$E$5:$E$1204,A82,Appointments!$M$5:$M$1204,"No show"))</f>
        <v>0</v>
      </c>
      <c r="X82" s="17">
        <f>IF(B82="","",IF(F82&lt;&gt;"",F82,IF(T82=0,"",SUMPRODUCT(MIN((Appointments!$E$5:$E$1204=A82)*(Appointments!$M$5:$M$1204="Completed")*Appointments!$B$5:$B$1204+(1-(Appointments!$E$5:$E$1204=A82)*(Appointments!$M$5:$M$1204="Completed"))*2958465)))))</f>
        <v>0</v>
      </c>
      <c r="Y82" s="17">
        <f>IF(B82="","",IF(T82=0,"",SUMPRODUCT(MAX((Appointments!$E$5:$E$1204=A82)*(Appointments!$M$5:$M$1204="Completed")*Appointments!$B$5:$B$1204))))</f>
        <v>0</v>
      </c>
      <c r="Z82" s="25">
        <f>IF(B82="","",IF(Y82="","",TodayDate-Y82))</f>
        <v>0</v>
      </c>
      <c r="AA82" s="42">
        <f>IF(B82="","",SUMPRODUCT(MIN((Appointments!$E$5:$E$1204=A82)*(Appointments!$M$5:$M$1204&lt;&gt;"Cancelled")*(Appointments!$M$5:$M$1204&lt;&gt;"Completed")*(Appointments!$M$5:$M$1204&lt;&gt;"No show")*(Appointments!$B$5:$B$1204&gt;=TodayDate)*Appointments!$B$5:$B$1204+(1-(Appointments!$E$5:$E$1204=A82)*(Appointments!$M$5:$M$1204&lt;&gt;"Cancelled")*(Appointments!$M$5:$M$1204&lt;&gt;"Completed")*(Appointments!$M$5:$M$1204&lt;&gt;"No show")*(Appointments!$B$5:$B$1204&gt;=TodayDate))*2958465)))</f>
        <v>0</v>
      </c>
      <c r="AB82" s="17">
        <f>IF(B82="","",IF(AA82&gt;=2958465,"",AA82))</f>
        <v>0</v>
      </c>
      <c r="AC82" s="25">
        <f>IF(B82="","",IF(T82&lt;2,"",ROUND((Y82-X82)/MAX(1,T82-1),0)))</f>
        <v>0</v>
      </c>
      <c r="AD82" s="17">
        <f>IF(B82="","",IF(Y82="","",Y82+IF(AC82="",RebookWeeks*7,MAX(14,AC82))))</f>
        <v>0</v>
      </c>
      <c r="AE82" s="26">
        <f>IF(B82="","",ROUND(SUMIFS(Sales!$Y$5:$Y$1204,Sales!$D$5:$D$1204,A82),2))</f>
        <v>0</v>
      </c>
      <c r="AF82" s="26">
        <f>IF(B82="","",ROUND(SUMIFS(Sales!$Y$5:$Y$1204,Sales!$D$5:$D$1204,A82,Sales!$H$5:$H$1204,"Service"),2))</f>
        <v>0</v>
      </c>
      <c r="AG82" s="26">
        <f>IF(B82="","",ROUND(SUMIFS(Sales!$Y$5:$Y$1204,Sales!$D$5:$D$1204,A82,Sales!$H$5:$H$1204,"Retail"),2))</f>
        <v>0</v>
      </c>
      <c r="AH82" s="26">
        <f>IF(B82="","",ROUND(SUMIFS(Sales!$Y$5:$Y$1204,Sales!$D$5:$D$1204,A82,Sales!$B$5:$B$1204,"&gt;="&amp;TodayDate-365),2))</f>
        <v>0</v>
      </c>
      <c r="AI82" s="26">
        <f>IF(B82="","",IF(T82=0,"",ROUND(AE82/T82,2)))</f>
        <v>0</v>
      </c>
      <c r="AJ82" s="26">
        <f>IF(B82="","",IF(AI82="","",IF(AC82="","",ROUND(AI82*(365/MAX(14,AC82)),2))))</f>
        <v>0</v>
      </c>
      <c r="AK82" s="26">
        <f>IF(B82="","",ROUND(SUMIFS(Sales!$AH$5:$AH$1204,Sales!$D$5:$D$1204,A82),2))</f>
        <v>0</v>
      </c>
      <c r="AL82" s="25">
        <f>IF(B82="","",IFERROR(INDEX(Loyalty!$P$5:$P$504,MATCH(A82,Loyalty!$B$5:$B$504,0))*1,0))</f>
        <v>0</v>
      </c>
      <c r="AM82" s="39">
        <f>IF(B82="","",IF(R82="Archived","Archived",IF(T82=0,"Not been yet",IF(Z82&gt;=InactiveDays,"Inactive",IF(Z82&gt;=LapsingDays,"Lapsing",IF(T82=1,"New",IF(AH82&gt;=VipSpend,"VIP",IF(U82&gt;=4,"Regular","Active"))))))))</f>
        <v>0</v>
      </c>
      <c r="AN82" s="38">
        <f>IF(B82="","",IF(T82&gt;=2,"Yes","No"))</f>
        <v>0</v>
      </c>
      <c r="AO82" s="25">
        <f>IF(B82="","",COUNTIFS($AE$5:$AE$504,"&gt;"&amp;AE82)+COUNTIFS($AE$5:AE82,AE82))</f>
        <v>0</v>
      </c>
      <c r="AP82" s="25">
        <f>IF(B82="","",COUNTIFS($T$5:$T$504,"&gt;"&amp;T82)+COUNTIFS($T$5:T82,T82))</f>
        <v>0</v>
      </c>
      <c r="AQ82" s="39">
        <f>IF(B82="","",IF(COUNTIF($B$5:$B$504,B82)&gt;1,"Duplicate - same name twice",IF(R82="Archived","",IF(AK82&gt;0.004,"Chase - balance outstanding",IF(AM82="Inactive","Gone - win-back offer",IF(AM82="Lapsing","Chase - lapsing, call them",IF(IF(N82="",FALSE,TodayDate-N82&gt;PatchTestDays),"Due - patch test out of date",IF(IF(AD82="",FALSE,IF(AB82&lt;&gt;"",FALSE,AD82&lt;=TodayDate+14)),"Rebook - due and nothing booked",IF(IF(K82="",FALSE,ABS(DATE(YEAR(TodayDate),MONTH(K82),DAY(K82))-TodayDate)&lt;=7),"Birthday - send the treat","OK")))))))))</f>
        <v>0</v>
      </c>
    </row>
    <row r="83" spans="1:43">
      <c r="A83" s="28">
        <f>IF(B83="","",ClientPrefix&amp;TEXT(ROW()-4,"0000"))</f>
        <v>0</v>
      </c>
      <c r="J83" s="15">
        <f>IF(I83="","",IFERROR(INDEX(Staff!$B$5:$B$44,MATCH(I83,Staff!$A$5:$A$44,0)),"Not in Staff"))</f>
        <v>0</v>
      </c>
      <c r="T83" s="25">
        <f>IF(B83="","",COUNTIFS(Appointments!$E$5:$E$1204,A83,Appointments!$M$5:$M$1204,"Completed"))</f>
        <v>0</v>
      </c>
      <c r="U83" s="25">
        <f>IF(B83="","",COUNTIFS(Appointments!$E$5:$E$1204,A83,Appointments!$M$5:$M$1204,"Completed",Appointments!$B$5:$B$1204,"&gt;="&amp;TodayDate-365))</f>
        <v>0</v>
      </c>
      <c r="V83" s="25">
        <f>IF(B83="","",COUNTIFS(Appointments!$E$5:$E$1204,A83,Appointments!$M$5:$M$1204,"Cancelled"))</f>
        <v>0</v>
      </c>
      <c r="W83" s="25">
        <f>IF(B83="","",COUNTIFS(Appointments!$E$5:$E$1204,A83,Appointments!$M$5:$M$1204,"No show"))</f>
        <v>0</v>
      </c>
      <c r="X83" s="17">
        <f>IF(B83="","",IF(F83&lt;&gt;"",F83,IF(T83=0,"",SUMPRODUCT(MIN((Appointments!$E$5:$E$1204=A83)*(Appointments!$M$5:$M$1204="Completed")*Appointments!$B$5:$B$1204+(1-(Appointments!$E$5:$E$1204=A83)*(Appointments!$M$5:$M$1204="Completed"))*2958465)))))</f>
        <v>0</v>
      </c>
      <c r="Y83" s="17">
        <f>IF(B83="","",IF(T83=0,"",SUMPRODUCT(MAX((Appointments!$E$5:$E$1204=A83)*(Appointments!$M$5:$M$1204="Completed")*Appointments!$B$5:$B$1204))))</f>
        <v>0</v>
      </c>
      <c r="Z83" s="25">
        <f>IF(B83="","",IF(Y83="","",TodayDate-Y83))</f>
        <v>0</v>
      </c>
      <c r="AA83" s="42">
        <f>IF(B83="","",SUMPRODUCT(MIN((Appointments!$E$5:$E$1204=A83)*(Appointments!$M$5:$M$1204&lt;&gt;"Cancelled")*(Appointments!$M$5:$M$1204&lt;&gt;"Completed")*(Appointments!$M$5:$M$1204&lt;&gt;"No show")*(Appointments!$B$5:$B$1204&gt;=TodayDate)*Appointments!$B$5:$B$1204+(1-(Appointments!$E$5:$E$1204=A83)*(Appointments!$M$5:$M$1204&lt;&gt;"Cancelled")*(Appointments!$M$5:$M$1204&lt;&gt;"Completed")*(Appointments!$M$5:$M$1204&lt;&gt;"No show")*(Appointments!$B$5:$B$1204&gt;=TodayDate))*2958465)))</f>
        <v>0</v>
      </c>
      <c r="AB83" s="17">
        <f>IF(B83="","",IF(AA83&gt;=2958465,"",AA83))</f>
        <v>0</v>
      </c>
      <c r="AC83" s="25">
        <f>IF(B83="","",IF(T83&lt;2,"",ROUND((Y83-X83)/MAX(1,T83-1),0)))</f>
        <v>0</v>
      </c>
      <c r="AD83" s="17">
        <f>IF(B83="","",IF(Y83="","",Y83+IF(AC83="",RebookWeeks*7,MAX(14,AC83))))</f>
        <v>0</v>
      </c>
      <c r="AE83" s="26">
        <f>IF(B83="","",ROUND(SUMIFS(Sales!$Y$5:$Y$1204,Sales!$D$5:$D$1204,A83),2))</f>
        <v>0</v>
      </c>
      <c r="AF83" s="26">
        <f>IF(B83="","",ROUND(SUMIFS(Sales!$Y$5:$Y$1204,Sales!$D$5:$D$1204,A83,Sales!$H$5:$H$1204,"Service"),2))</f>
        <v>0</v>
      </c>
      <c r="AG83" s="26">
        <f>IF(B83="","",ROUND(SUMIFS(Sales!$Y$5:$Y$1204,Sales!$D$5:$D$1204,A83,Sales!$H$5:$H$1204,"Retail"),2))</f>
        <v>0</v>
      </c>
      <c r="AH83" s="26">
        <f>IF(B83="","",ROUND(SUMIFS(Sales!$Y$5:$Y$1204,Sales!$D$5:$D$1204,A83,Sales!$B$5:$B$1204,"&gt;="&amp;TodayDate-365),2))</f>
        <v>0</v>
      </c>
      <c r="AI83" s="26">
        <f>IF(B83="","",IF(T83=0,"",ROUND(AE83/T83,2)))</f>
        <v>0</v>
      </c>
      <c r="AJ83" s="26">
        <f>IF(B83="","",IF(AI83="","",IF(AC83="","",ROUND(AI83*(365/MAX(14,AC83)),2))))</f>
        <v>0</v>
      </c>
      <c r="AK83" s="26">
        <f>IF(B83="","",ROUND(SUMIFS(Sales!$AH$5:$AH$1204,Sales!$D$5:$D$1204,A83),2))</f>
        <v>0</v>
      </c>
      <c r="AL83" s="25">
        <f>IF(B83="","",IFERROR(INDEX(Loyalty!$P$5:$P$504,MATCH(A83,Loyalty!$B$5:$B$504,0))*1,0))</f>
        <v>0</v>
      </c>
      <c r="AM83" s="39">
        <f>IF(B83="","",IF(R83="Archived","Archived",IF(T83=0,"Not been yet",IF(Z83&gt;=InactiveDays,"Inactive",IF(Z83&gt;=LapsingDays,"Lapsing",IF(T83=1,"New",IF(AH83&gt;=VipSpend,"VIP",IF(U83&gt;=4,"Regular","Active"))))))))</f>
        <v>0</v>
      </c>
      <c r="AN83" s="38">
        <f>IF(B83="","",IF(T83&gt;=2,"Yes","No"))</f>
        <v>0</v>
      </c>
      <c r="AO83" s="25">
        <f>IF(B83="","",COUNTIFS($AE$5:$AE$504,"&gt;"&amp;AE83)+COUNTIFS($AE$5:AE83,AE83))</f>
        <v>0</v>
      </c>
      <c r="AP83" s="25">
        <f>IF(B83="","",COUNTIFS($T$5:$T$504,"&gt;"&amp;T83)+COUNTIFS($T$5:T83,T83))</f>
        <v>0</v>
      </c>
      <c r="AQ83" s="39">
        <f>IF(B83="","",IF(COUNTIF($B$5:$B$504,B83)&gt;1,"Duplicate - same name twice",IF(R83="Archived","",IF(AK83&gt;0.004,"Chase - balance outstanding",IF(AM83="Inactive","Gone - win-back offer",IF(AM83="Lapsing","Chase - lapsing, call them",IF(IF(N83="",FALSE,TodayDate-N83&gt;PatchTestDays),"Due - patch test out of date",IF(IF(AD83="",FALSE,IF(AB83&lt;&gt;"",FALSE,AD83&lt;=TodayDate+14)),"Rebook - due and nothing booked",IF(IF(K83="",FALSE,ABS(DATE(YEAR(TodayDate),MONTH(K83),DAY(K83))-TodayDate)&lt;=7),"Birthday - send the treat","OK")))))))))</f>
        <v>0</v>
      </c>
    </row>
    <row r="84" spans="1:43">
      <c r="A84" s="28">
        <f>IF(B84="","",ClientPrefix&amp;TEXT(ROW()-4,"0000"))</f>
        <v>0</v>
      </c>
      <c r="J84" s="15">
        <f>IF(I84="","",IFERROR(INDEX(Staff!$B$5:$B$44,MATCH(I84,Staff!$A$5:$A$44,0)),"Not in Staff"))</f>
        <v>0</v>
      </c>
      <c r="T84" s="25">
        <f>IF(B84="","",COUNTIFS(Appointments!$E$5:$E$1204,A84,Appointments!$M$5:$M$1204,"Completed"))</f>
        <v>0</v>
      </c>
      <c r="U84" s="25">
        <f>IF(B84="","",COUNTIFS(Appointments!$E$5:$E$1204,A84,Appointments!$M$5:$M$1204,"Completed",Appointments!$B$5:$B$1204,"&gt;="&amp;TodayDate-365))</f>
        <v>0</v>
      </c>
      <c r="V84" s="25">
        <f>IF(B84="","",COUNTIFS(Appointments!$E$5:$E$1204,A84,Appointments!$M$5:$M$1204,"Cancelled"))</f>
        <v>0</v>
      </c>
      <c r="W84" s="25">
        <f>IF(B84="","",COUNTIFS(Appointments!$E$5:$E$1204,A84,Appointments!$M$5:$M$1204,"No show"))</f>
        <v>0</v>
      </c>
      <c r="X84" s="17">
        <f>IF(B84="","",IF(F84&lt;&gt;"",F84,IF(T84=0,"",SUMPRODUCT(MIN((Appointments!$E$5:$E$1204=A84)*(Appointments!$M$5:$M$1204="Completed")*Appointments!$B$5:$B$1204+(1-(Appointments!$E$5:$E$1204=A84)*(Appointments!$M$5:$M$1204="Completed"))*2958465)))))</f>
        <v>0</v>
      </c>
      <c r="Y84" s="17">
        <f>IF(B84="","",IF(T84=0,"",SUMPRODUCT(MAX((Appointments!$E$5:$E$1204=A84)*(Appointments!$M$5:$M$1204="Completed")*Appointments!$B$5:$B$1204))))</f>
        <v>0</v>
      </c>
      <c r="Z84" s="25">
        <f>IF(B84="","",IF(Y84="","",TodayDate-Y84))</f>
        <v>0</v>
      </c>
      <c r="AA84" s="42">
        <f>IF(B84="","",SUMPRODUCT(MIN((Appointments!$E$5:$E$1204=A84)*(Appointments!$M$5:$M$1204&lt;&gt;"Cancelled")*(Appointments!$M$5:$M$1204&lt;&gt;"Completed")*(Appointments!$M$5:$M$1204&lt;&gt;"No show")*(Appointments!$B$5:$B$1204&gt;=TodayDate)*Appointments!$B$5:$B$1204+(1-(Appointments!$E$5:$E$1204=A84)*(Appointments!$M$5:$M$1204&lt;&gt;"Cancelled")*(Appointments!$M$5:$M$1204&lt;&gt;"Completed")*(Appointments!$M$5:$M$1204&lt;&gt;"No show")*(Appointments!$B$5:$B$1204&gt;=TodayDate))*2958465)))</f>
        <v>0</v>
      </c>
      <c r="AB84" s="17">
        <f>IF(B84="","",IF(AA84&gt;=2958465,"",AA84))</f>
        <v>0</v>
      </c>
      <c r="AC84" s="25">
        <f>IF(B84="","",IF(T84&lt;2,"",ROUND((Y84-X84)/MAX(1,T84-1),0)))</f>
        <v>0</v>
      </c>
      <c r="AD84" s="17">
        <f>IF(B84="","",IF(Y84="","",Y84+IF(AC84="",RebookWeeks*7,MAX(14,AC84))))</f>
        <v>0</v>
      </c>
      <c r="AE84" s="26">
        <f>IF(B84="","",ROUND(SUMIFS(Sales!$Y$5:$Y$1204,Sales!$D$5:$D$1204,A84),2))</f>
        <v>0</v>
      </c>
      <c r="AF84" s="26">
        <f>IF(B84="","",ROUND(SUMIFS(Sales!$Y$5:$Y$1204,Sales!$D$5:$D$1204,A84,Sales!$H$5:$H$1204,"Service"),2))</f>
        <v>0</v>
      </c>
      <c r="AG84" s="26">
        <f>IF(B84="","",ROUND(SUMIFS(Sales!$Y$5:$Y$1204,Sales!$D$5:$D$1204,A84,Sales!$H$5:$H$1204,"Retail"),2))</f>
        <v>0</v>
      </c>
      <c r="AH84" s="26">
        <f>IF(B84="","",ROUND(SUMIFS(Sales!$Y$5:$Y$1204,Sales!$D$5:$D$1204,A84,Sales!$B$5:$B$1204,"&gt;="&amp;TodayDate-365),2))</f>
        <v>0</v>
      </c>
      <c r="AI84" s="26">
        <f>IF(B84="","",IF(T84=0,"",ROUND(AE84/T84,2)))</f>
        <v>0</v>
      </c>
      <c r="AJ84" s="26">
        <f>IF(B84="","",IF(AI84="","",IF(AC84="","",ROUND(AI84*(365/MAX(14,AC84)),2))))</f>
        <v>0</v>
      </c>
      <c r="AK84" s="26">
        <f>IF(B84="","",ROUND(SUMIFS(Sales!$AH$5:$AH$1204,Sales!$D$5:$D$1204,A84),2))</f>
        <v>0</v>
      </c>
      <c r="AL84" s="25">
        <f>IF(B84="","",IFERROR(INDEX(Loyalty!$P$5:$P$504,MATCH(A84,Loyalty!$B$5:$B$504,0))*1,0))</f>
        <v>0</v>
      </c>
      <c r="AM84" s="39">
        <f>IF(B84="","",IF(R84="Archived","Archived",IF(T84=0,"Not been yet",IF(Z84&gt;=InactiveDays,"Inactive",IF(Z84&gt;=LapsingDays,"Lapsing",IF(T84=1,"New",IF(AH84&gt;=VipSpend,"VIP",IF(U84&gt;=4,"Regular","Active"))))))))</f>
        <v>0</v>
      </c>
      <c r="AN84" s="38">
        <f>IF(B84="","",IF(T84&gt;=2,"Yes","No"))</f>
        <v>0</v>
      </c>
      <c r="AO84" s="25">
        <f>IF(B84="","",COUNTIFS($AE$5:$AE$504,"&gt;"&amp;AE84)+COUNTIFS($AE$5:AE84,AE84))</f>
        <v>0</v>
      </c>
      <c r="AP84" s="25">
        <f>IF(B84="","",COUNTIFS($T$5:$T$504,"&gt;"&amp;T84)+COUNTIFS($T$5:T84,T84))</f>
        <v>0</v>
      </c>
      <c r="AQ84" s="39">
        <f>IF(B84="","",IF(COUNTIF($B$5:$B$504,B84)&gt;1,"Duplicate - same name twice",IF(R84="Archived","",IF(AK84&gt;0.004,"Chase - balance outstanding",IF(AM84="Inactive","Gone - win-back offer",IF(AM84="Lapsing","Chase - lapsing, call them",IF(IF(N84="",FALSE,TodayDate-N84&gt;PatchTestDays),"Due - patch test out of date",IF(IF(AD84="",FALSE,IF(AB84&lt;&gt;"",FALSE,AD84&lt;=TodayDate+14)),"Rebook - due and nothing booked",IF(IF(K84="",FALSE,ABS(DATE(YEAR(TodayDate),MONTH(K84),DAY(K84))-TodayDate)&lt;=7),"Birthday - send the treat","OK")))))))))</f>
        <v>0</v>
      </c>
    </row>
    <row r="85" spans="1:43">
      <c r="A85" s="28">
        <f>IF(B85="","",ClientPrefix&amp;TEXT(ROW()-4,"0000"))</f>
        <v>0</v>
      </c>
      <c r="J85" s="15">
        <f>IF(I85="","",IFERROR(INDEX(Staff!$B$5:$B$44,MATCH(I85,Staff!$A$5:$A$44,0)),"Not in Staff"))</f>
        <v>0</v>
      </c>
      <c r="T85" s="25">
        <f>IF(B85="","",COUNTIFS(Appointments!$E$5:$E$1204,A85,Appointments!$M$5:$M$1204,"Completed"))</f>
        <v>0</v>
      </c>
      <c r="U85" s="25">
        <f>IF(B85="","",COUNTIFS(Appointments!$E$5:$E$1204,A85,Appointments!$M$5:$M$1204,"Completed",Appointments!$B$5:$B$1204,"&gt;="&amp;TodayDate-365))</f>
        <v>0</v>
      </c>
      <c r="V85" s="25">
        <f>IF(B85="","",COUNTIFS(Appointments!$E$5:$E$1204,A85,Appointments!$M$5:$M$1204,"Cancelled"))</f>
        <v>0</v>
      </c>
      <c r="W85" s="25">
        <f>IF(B85="","",COUNTIFS(Appointments!$E$5:$E$1204,A85,Appointments!$M$5:$M$1204,"No show"))</f>
        <v>0</v>
      </c>
      <c r="X85" s="17">
        <f>IF(B85="","",IF(F85&lt;&gt;"",F85,IF(T85=0,"",SUMPRODUCT(MIN((Appointments!$E$5:$E$1204=A85)*(Appointments!$M$5:$M$1204="Completed")*Appointments!$B$5:$B$1204+(1-(Appointments!$E$5:$E$1204=A85)*(Appointments!$M$5:$M$1204="Completed"))*2958465)))))</f>
        <v>0</v>
      </c>
      <c r="Y85" s="17">
        <f>IF(B85="","",IF(T85=0,"",SUMPRODUCT(MAX((Appointments!$E$5:$E$1204=A85)*(Appointments!$M$5:$M$1204="Completed")*Appointments!$B$5:$B$1204))))</f>
        <v>0</v>
      </c>
      <c r="Z85" s="25">
        <f>IF(B85="","",IF(Y85="","",TodayDate-Y85))</f>
        <v>0</v>
      </c>
      <c r="AA85" s="42">
        <f>IF(B85="","",SUMPRODUCT(MIN((Appointments!$E$5:$E$1204=A85)*(Appointments!$M$5:$M$1204&lt;&gt;"Cancelled")*(Appointments!$M$5:$M$1204&lt;&gt;"Completed")*(Appointments!$M$5:$M$1204&lt;&gt;"No show")*(Appointments!$B$5:$B$1204&gt;=TodayDate)*Appointments!$B$5:$B$1204+(1-(Appointments!$E$5:$E$1204=A85)*(Appointments!$M$5:$M$1204&lt;&gt;"Cancelled")*(Appointments!$M$5:$M$1204&lt;&gt;"Completed")*(Appointments!$M$5:$M$1204&lt;&gt;"No show")*(Appointments!$B$5:$B$1204&gt;=TodayDate))*2958465)))</f>
        <v>0</v>
      </c>
      <c r="AB85" s="17">
        <f>IF(B85="","",IF(AA85&gt;=2958465,"",AA85))</f>
        <v>0</v>
      </c>
      <c r="AC85" s="25">
        <f>IF(B85="","",IF(T85&lt;2,"",ROUND((Y85-X85)/MAX(1,T85-1),0)))</f>
        <v>0</v>
      </c>
      <c r="AD85" s="17">
        <f>IF(B85="","",IF(Y85="","",Y85+IF(AC85="",RebookWeeks*7,MAX(14,AC85))))</f>
        <v>0</v>
      </c>
      <c r="AE85" s="26">
        <f>IF(B85="","",ROUND(SUMIFS(Sales!$Y$5:$Y$1204,Sales!$D$5:$D$1204,A85),2))</f>
        <v>0</v>
      </c>
      <c r="AF85" s="26">
        <f>IF(B85="","",ROUND(SUMIFS(Sales!$Y$5:$Y$1204,Sales!$D$5:$D$1204,A85,Sales!$H$5:$H$1204,"Service"),2))</f>
        <v>0</v>
      </c>
      <c r="AG85" s="26">
        <f>IF(B85="","",ROUND(SUMIFS(Sales!$Y$5:$Y$1204,Sales!$D$5:$D$1204,A85,Sales!$H$5:$H$1204,"Retail"),2))</f>
        <v>0</v>
      </c>
      <c r="AH85" s="26">
        <f>IF(B85="","",ROUND(SUMIFS(Sales!$Y$5:$Y$1204,Sales!$D$5:$D$1204,A85,Sales!$B$5:$B$1204,"&gt;="&amp;TodayDate-365),2))</f>
        <v>0</v>
      </c>
      <c r="AI85" s="26">
        <f>IF(B85="","",IF(T85=0,"",ROUND(AE85/T85,2)))</f>
        <v>0</v>
      </c>
      <c r="AJ85" s="26">
        <f>IF(B85="","",IF(AI85="","",IF(AC85="","",ROUND(AI85*(365/MAX(14,AC85)),2))))</f>
        <v>0</v>
      </c>
      <c r="AK85" s="26">
        <f>IF(B85="","",ROUND(SUMIFS(Sales!$AH$5:$AH$1204,Sales!$D$5:$D$1204,A85),2))</f>
        <v>0</v>
      </c>
      <c r="AL85" s="25">
        <f>IF(B85="","",IFERROR(INDEX(Loyalty!$P$5:$P$504,MATCH(A85,Loyalty!$B$5:$B$504,0))*1,0))</f>
        <v>0</v>
      </c>
      <c r="AM85" s="39">
        <f>IF(B85="","",IF(R85="Archived","Archived",IF(T85=0,"Not been yet",IF(Z85&gt;=InactiveDays,"Inactive",IF(Z85&gt;=LapsingDays,"Lapsing",IF(T85=1,"New",IF(AH85&gt;=VipSpend,"VIP",IF(U85&gt;=4,"Regular","Active"))))))))</f>
        <v>0</v>
      </c>
      <c r="AN85" s="38">
        <f>IF(B85="","",IF(T85&gt;=2,"Yes","No"))</f>
        <v>0</v>
      </c>
      <c r="AO85" s="25">
        <f>IF(B85="","",COUNTIFS($AE$5:$AE$504,"&gt;"&amp;AE85)+COUNTIFS($AE$5:AE85,AE85))</f>
        <v>0</v>
      </c>
      <c r="AP85" s="25">
        <f>IF(B85="","",COUNTIFS($T$5:$T$504,"&gt;"&amp;T85)+COUNTIFS($T$5:T85,T85))</f>
        <v>0</v>
      </c>
      <c r="AQ85" s="39">
        <f>IF(B85="","",IF(COUNTIF($B$5:$B$504,B85)&gt;1,"Duplicate - same name twice",IF(R85="Archived","",IF(AK85&gt;0.004,"Chase - balance outstanding",IF(AM85="Inactive","Gone - win-back offer",IF(AM85="Lapsing","Chase - lapsing, call them",IF(IF(N85="",FALSE,TodayDate-N85&gt;PatchTestDays),"Due - patch test out of date",IF(IF(AD85="",FALSE,IF(AB85&lt;&gt;"",FALSE,AD85&lt;=TodayDate+14)),"Rebook - due and nothing booked",IF(IF(K85="",FALSE,ABS(DATE(YEAR(TodayDate),MONTH(K85),DAY(K85))-TodayDate)&lt;=7),"Birthday - send the treat","OK")))))))))</f>
        <v>0</v>
      </c>
    </row>
    <row r="86" spans="1:43">
      <c r="A86" s="28">
        <f>IF(B86="","",ClientPrefix&amp;TEXT(ROW()-4,"0000"))</f>
        <v>0</v>
      </c>
      <c r="J86" s="15">
        <f>IF(I86="","",IFERROR(INDEX(Staff!$B$5:$B$44,MATCH(I86,Staff!$A$5:$A$44,0)),"Not in Staff"))</f>
        <v>0</v>
      </c>
      <c r="T86" s="25">
        <f>IF(B86="","",COUNTIFS(Appointments!$E$5:$E$1204,A86,Appointments!$M$5:$M$1204,"Completed"))</f>
        <v>0</v>
      </c>
      <c r="U86" s="25">
        <f>IF(B86="","",COUNTIFS(Appointments!$E$5:$E$1204,A86,Appointments!$M$5:$M$1204,"Completed",Appointments!$B$5:$B$1204,"&gt;="&amp;TodayDate-365))</f>
        <v>0</v>
      </c>
      <c r="V86" s="25">
        <f>IF(B86="","",COUNTIFS(Appointments!$E$5:$E$1204,A86,Appointments!$M$5:$M$1204,"Cancelled"))</f>
        <v>0</v>
      </c>
      <c r="W86" s="25">
        <f>IF(B86="","",COUNTIFS(Appointments!$E$5:$E$1204,A86,Appointments!$M$5:$M$1204,"No show"))</f>
        <v>0</v>
      </c>
      <c r="X86" s="17">
        <f>IF(B86="","",IF(F86&lt;&gt;"",F86,IF(T86=0,"",SUMPRODUCT(MIN((Appointments!$E$5:$E$1204=A86)*(Appointments!$M$5:$M$1204="Completed")*Appointments!$B$5:$B$1204+(1-(Appointments!$E$5:$E$1204=A86)*(Appointments!$M$5:$M$1204="Completed"))*2958465)))))</f>
        <v>0</v>
      </c>
      <c r="Y86" s="17">
        <f>IF(B86="","",IF(T86=0,"",SUMPRODUCT(MAX((Appointments!$E$5:$E$1204=A86)*(Appointments!$M$5:$M$1204="Completed")*Appointments!$B$5:$B$1204))))</f>
        <v>0</v>
      </c>
      <c r="Z86" s="25">
        <f>IF(B86="","",IF(Y86="","",TodayDate-Y86))</f>
        <v>0</v>
      </c>
      <c r="AA86" s="42">
        <f>IF(B86="","",SUMPRODUCT(MIN((Appointments!$E$5:$E$1204=A86)*(Appointments!$M$5:$M$1204&lt;&gt;"Cancelled")*(Appointments!$M$5:$M$1204&lt;&gt;"Completed")*(Appointments!$M$5:$M$1204&lt;&gt;"No show")*(Appointments!$B$5:$B$1204&gt;=TodayDate)*Appointments!$B$5:$B$1204+(1-(Appointments!$E$5:$E$1204=A86)*(Appointments!$M$5:$M$1204&lt;&gt;"Cancelled")*(Appointments!$M$5:$M$1204&lt;&gt;"Completed")*(Appointments!$M$5:$M$1204&lt;&gt;"No show")*(Appointments!$B$5:$B$1204&gt;=TodayDate))*2958465)))</f>
        <v>0</v>
      </c>
      <c r="AB86" s="17">
        <f>IF(B86="","",IF(AA86&gt;=2958465,"",AA86))</f>
        <v>0</v>
      </c>
      <c r="AC86" s="25">
        <f>IF(B86="","",IF(T86&lt;2,"",ROUND((Y86-X86)/MAX(1,T86-1),0)))</f>
        <v>0</v>
      </c>
      <c r="AD86" s="17">
        <f>IF(B86="","",IF(Y86="","",Y86+IF(AC86="",RebookWeeks*7,MAX(14,AC86))))</f>
        <v>0</v>
      </c>
      <c r="AE86" s="26">
        <f>IF(B86="","",ROUND(SUMIFS(Sales!$Y$5:$Y$1204,Sales!$D$5:$D$1204,A86),2))</f>
        <v>0</v>
      </c>
      <c r="AF86" s="26">
        <f>IF(B86="","",ROUND(SUMIFS(Sales!$Y$5:$Y$1204,Sales!$D$5:$D$1204,A86,Sales!$H$5:$H$1204,"Service"),2))</f>
        <v>0</v>
      </c>
      <c r="AG86" s="26">
        <f>IF(B86="","",ROUND(SUMIFS(Sales!$Y$5:$Y$1204,Sales!$D$5:$D$1204,A86,Sales!$H$5:$H$1204,"Retail"),2))</f>
        <v>0</v>
      </c>
      <c r="AH86" s="26">
        <f>IF(B86="","",ROUND(SUMIFS(Sales!$Y$5:$Y$1204,Sales!$D$5:$D$1204,A86,Sales!$B$5:$B$1204,"&gt;="&amp;TodayDate-365),2))</f>
        <v>0</v>
      </c>
      <c r="AI86" s="26">
        <f>IF(B86="","",IF(T86=0,"",ROUND(AE86/T86,2)))</f>
        <v>0</v>
      </c>
      <c r="AJ86" s="26">
        <f>IF(B86="","",IF(AI86="","",IF(AC86="","",ROUND(AI86*(365/MAX(14,AC86)),2))))</f>
        <v>0</v>
      </c>
      <c r="AK86" s="26">
        <f>IF(B86="","",ROUND(SUMIFS(Sales!$AH$5:$AH$1204,Sales!$D$5:$D$1204,A86),2))</f>
        <v>0</v>
      </c>
      <c r="AL86" s="25">
        <f>IF(B86="","",IFERROR(INDEX(Loyalty!$P$5:$P$504,MATCH(A86,Loyalty!$B$5:$B$504,0))*1,0))</f>
        <v>0</v>
      </c>
      <c r="AM86" s="39">
        <f>IF(B86="","",IF(R86="Archived","Archived",IF(T86=0,"Not been yet",IF(Z86&gt;=InactiveDays,"Inactive",IF(Z86&gt;=LapsingDays,"Lapsing",IF(T86=1,"New",IF(AH86&gt;=VipSpend,"VIP",IF(U86&gt;=4,"Regular","Active"))))))))</f>
        <v>0</v>
      </c>
      <c r="AN86" s="38">
        <f>IF(B86="","",IF(T86&gt;=2,"Yes","No"))</f>
        <v>0</v>
      </c>
      <c r="AO86" s="25">
        <f>IF(B86="","",COUNTIFS($AE$5:$AE$504,"&gt;"&amp;AE86)+COUNTIFS($AE$5:AE86,AE86))</f>
        <v>0</v>
      </c>
      <c r="AP86" s="25">
        <f>IF(B86="","",COUNTIFS($T$5:$T$504,"&gt;"&amp;T86)+COUNTIFS($T$5:T86,T86))</f>
        <v>0</v>
      </c>
      <c r="AQ86" s="39">
        <f>IF(B86="","",IF(COUNTIF($B$5:$B$504,B86)&gt;1,"Duplicate - same name twice",IF(R86="Archived","",IF(AK86&gt;0.004,"Chase - balance outstanding",IF(AM86="Inactive","Gone - win-back offer",IF(AM86="Lapsing","Chase - lapsing, call them",IF(IF(N86="",FALSE,TodayDate-N86&gt;PatchTestDays),"Due - patch test out of date",IF(IF(AD86="",FALSE,IF(AB86&lt;&gt;"",FALSE,AD86&lt;=TodayDate+14)),"Rebook - due and nothing booked",IF(IF(K86="",FALSE,ABS(DATE(YEAR(TodayDate),MONTH(K86),DAY(K86))-TodayDate)&lt;=7),"Birthday - send the treat","OK")))))))))</f>
        <v>0</v>
      </c>
    </row>
    <row r="87" spans="1:43">
      <c r="A87" s="28">
        <f>IF(B87="","",ClientPrefix&amp;TEXT(ROW()-4,"0000"))</f>
        <v>0</v>
      </c>
      <c r="J87" s="15">
        <f>IF(I87="","",IFERROR(INDEX(Staff!$B$5:$B$44,MATCH(I87,Staff!$A$5:$A$44,0)),"Not in Staff"))</f>
        <v>0</v>
      </c>
      <c r="T87" s="25">
        <f>IF(B87="","",COUNTIFS(Appointments!$E$5:$E$1204,A87,Appointments!$M$5:$M$1204,"Completed"))</f>
        <v>0</v>
      </c>
      <c r="U87" s="25">
        <f>IF(B87="","",COUNTIFS(Appointments!$E$5:$E$1204,A87,Appointments!$M$5:$M$1204,"Completed",Appointments!$B$5:$B$1204,"&gt;="&amp;TodayDate-365))</f>
        <v>0</v>
      </c>
      <c r="V87" s="25">
        <f>IF(B87="","",COUNTIFS(Appointments!$E$5:$E$1204,A87,Appointments!$M$5:$M$1204,"Cancelled"))</f>
        <v>0</v>
      </c>
      <c r="W87" s="25">
        <f>IF(B87="","",COUNTIFS(Appointments!$E$5:$E$1204,A87,Appointments!$M$5:$M$1204,"No show"))</f>
        <v>0</v>
      </c>
      <c r="X87" s="17">
        <f>IF(B87="","",IF(F87&lt;&gt;"",F87,IF(T87=0,"",SUMPRODUCT(MIN((Appointments!$E$5:$E$1204=A87)*(Appointments!$M$5:$M$1204="Completed")*Appointments!$B$5:$B$1204+(1-(Appointments!$E$5:$E$1204=A87)*(Appointments!$M$5:$M$1204="Completed"))*2958465)))))</f>
        <v>0</v>
      </c>
      <c r="Y87" s="17">
        <f>IF(B87="","",IF(T87=0,"",SUMPRODUCT(MAX((Appointments!$E$5:$E$1204=A87)*(Appointments!$M$5:$M$1204="Completed")*Appointments!$B$5:$B$1204))))</f>
        <v>0</v>
      </c>
      <c r="Z87" s="25">
        <f>IF(B87="","",IF(Y87="","",TodayDate-Y87))</f>
        <v>0</v>
      </c>
      <c r="AA87" s="42">
        <f>IF(B87="","",SUMPRODUCT(MIN((Appointments!$E$5:$E$1204=A87)*(Appointments!$M$5:$M$1204&lt;&gt;"Cancelled")*(Appointments!$M$5:$M$1204&lt;&gt;"Completed")*(Appointments!$M$5:$M$1204&lt;&gt;"No show")*(Appointments!$B$5:$B$1204&gt;=TodayDate)*Appointments!$B$5:$B$1204+(1-(Appointments!$E$5:$E$1204=A87)*(Appointments!$M$5:$M$1204&lt;&gt;"Cancelled")*(Appointments!$M$5:$M$1204&lt;&gt;"Completed")*(Appointments!$M$5:$M$1204&lt;&gt;"No show")*(Appointments!$B$5:$B$1204&gt;=TodayDate))*2958465)))</f>
        <v>0</v>
      </c>
      <c r="AB87" s="17">
        <f>IF(B87="","",IF(AA87&gt;=2958465,"",AA87))</f>
        <v>0</v>
      </c>
      <c r="AC87" s="25">
        <f>IF(B87="","",IF(T87&lt;2,"",ROUND((Y87-X87)/MAX(1,T87-1),0)))</f>
        <v>0</v>
      </c>
      <c r="AD87" s="17">
        <f>IF(B87="","",IF(Y87="","",Y87+IF(AC87="",RebookWeeks*7,MAX(14,AC87))))</f>
        <v>0</v>
      </c>
      <c r="AE87" s="26">
        <f>IF(B87="","",ROUND(SUMIFS(Sales!$Y$5:$Y$1204,Sales!$D$5:$D$1204,A87),2))</f>
        <v>0</v>
      </c>
      <c r="AF87" s="26">
        <f>IF(B87="","",ROUND(SUMIFS(Sales!$Y$5:$Y$1204,Sales!$D$5:$D$1204,A87,Sales!$H$5:$H$1204,"Service"),2))</f>
        <v>0</v>
      </c>
      <c r="AG87" s="26">
        <f>IF(B87="","",ROUND(SUMIFS(Sales!$Y$5:$Y$1204,Sales!$D$5:$D$1204,A87,Sales!$H$5:$H$1204,"Retail"),2))</f>
        <v>0</v>
      </c>
      <c r="AH87" s="26">
        <f>IF(B87="","",ROUND(SUMIFS(Sales!$Y$5:$Y$1204,Sales!$D$5:$D$1204,A87,Sales!$B$5:$B$1204,"&gt;="&amp;TodayDate-365),2))</f>
        <v>0</v>
      </c>
      <c r="AI87" s="26">
        <f>IF(B87="","",IF(T87=0,"",ROUND(AE87/T87,2)))</f>
        <v>0</v>
      </c>
      <c r="AJ87" s="26">
        <f>IF(B87="","",IF(AI87="","",IF(AC87="","",ROUND(AI87*(365/MAX(14,AC87)),2))))</f>
        <v>0</v>
      </c>
      <c r="AK87" s="26">
        <f>IF(B87="","",ROUND(SUMIFS(Sales!$AH$5:$AH$1204,Sales!$D$5:$D$1204,A87),2))</f>
        <v>0</v>
      </c>
      <c r="AL87" s="25">
        <f>IF(B87="","",IFERROR(INDEX(Loyalty!$P$5:$P$504,MATCH(A87,Loyalty!$B$5:$B$504,0))*1,0))</f>
        <v>0</v>
      </c>
      <c r="AM87" s="39">
        <f>IF(B87="","",IF(R87="Archived","Archived",IF(T87=0,"Not been yet",IF(Z87&gt;=InactiveDays,"Inactive",IF(Z87&gt;=LapsingDays,"Lapsing",IF(T87=1,"New",IF(AH87&gt;=VipSpend,"VIP",IF(U87&gt;=4,"Regular","Active"))))))))</f>
        <v>0</v>
      </c>
      <c r="AN87" s="38">
        <f>IF(B87="","",IF(T87&gt;=2,"Yes","No"))</f>
        <v>0</v>
      </c>
      <c r="AO87" s="25">
        <f>IF(B87="","",COUNTIFS($AE$5:$AE$504,"&gt;"&amp;AE87)+COUNTIFS($AE$5:AE87,AE87))</f>
        <v>0</v>
      </c>
      <c r="AP87" s="25">
        <f>IF(B87="","",COUNTIFS($T$5:$T$504,"&gt;"&amp;T87)+COUNTIFS($T$5:T87,T87))</f>
        <v>0</v>
      </c>
      <c r="AQ87" s="39">
        <f>IF(B87="","",IF(COUNTIF($B$5:$B$504,B87)&gt;1,"Duplicate - same name twice",IF(R87="Archived","",IF(AK87&gt;0.004,"Chase - balance outstanding",IF(AM87="Inactive","Gone - win-back offer",IF(AM87="Lapsing","Chase - lapsing, call them",IF(IF(N87="",FALSE,TodayDate-N87&gt;PatchTestDays),"Due - patch test out of date",IF(IF(AD87="",FALSE,IF(AB87&lt;&gt;"",FALSE,AD87&lt;=TodayDate+14)),"Rebook - due and nothing booked",IF(IF(K87="",FALSE,ABS(DATE(YEAR(TodayDate),MONTH(K87),DAY(K87))-TodayDate)&lt;=7),"Birthday - send the treat","OK")))))))))</f>
        <v>0</v>
      </c>
    </row>
    <row r="88" spans="1:43">
      <c r="A88" s="28">
        <f>IF(B88="","",ClientPrefix&amp;TEXT(ROW()-4,"0000"))</f>
        <v>0</v>
      </c>
      <c r="J88" s="15">
        <f>IF(I88="","",IFERROR(INDEX(Staff!$B$5:$B$44,MATCH(I88,Staff!$A$5:$A$44,0)),"Not in Staff"))</f>
        <v>0</v>
      </c>
      <c r="T88" s="25">
        <f>IF(B88="","",COUNTIFS(Appointments!$E$5:$E$1204,A88,Appointments!$M$5:$M$1204,"Completed"))</f>
        <v>0</v>
      </c>
      <c r="U88" s="25">
        <f>IF(B88="","",COUNTIFS(Appointments!$E$5:$E$1204,A88,Appointments!$M$5:$M$1204,"Completed",Appointments!$B$5:$B$1204,"&gt;="&amp;TodayDate-365))</f>
        <v>0</v>
      </c>
      <c r="V88" s="25">
        <f>IF(B88="","",COUNTIFS(Appointments!$E$5:$E$1204,A88,Appointments!$M$5:$M$1204,"Cancelled"))</f>
        <v>0</v>
      </c>
      <c r="W88" s="25">
        <f>IF(B88="","",COUNTIFS(Appointments!$E$5:$E$1204,A88,Appointments!$M$5:$M$1204,"No show"))</f>
        <v>0</v>
      </c>
      <c r="X88" s="17">
        <f>IF(B88="","",IF(F88&lt;&gt;"",F88,IF(T88=0,"",SUMPRODUCT(MIN((Appointments!$E$5:$E$1204=A88)*(Appointments!$M$5:$M$1204="Completed")*Appointments!$B$5:$B$1204+(1-(Appointments!$E$5:$E$1204=A88)*(Appointments!$M$5:$M$1204="Completed"))*2958465)))))</f>
        <v>0</v>
      </c>
      <c r="Y88" s="17">
        <f>IF(B88="","",IF(T88=0,"",SUMPRODUCT(MAX((Appointments!$E$5:$E$1204=A88)*(Appointments!$M$5:$M$1204="Completed")*Appointments!$B$5:$B$1204))))</f>
        <v>0</v>
      </c>
      <c r="Z88" s="25">
        <f>IF(B88="","",IF(Y88="","",TodayDate-Y88))</f>
        <v>0</v>
      </c>
      <c r="AA88" s="42">
        <f>IF(B88="","",SUMPRODUCT(MIN((Appointments!$E$5:$E$1204=A88)*(Appointments!$M$5:$M$1204&lt;&gt;"Cancelled")*(Appointments!$M$5:$M$1204&lt;&gt;"Completed")*(Appointments!$M$5:$M$1204&lt;&gt;"No show")*(Appointments!$B$5:$B$1204&gt;=TodayDate)*Appointments!$B$5:$B$1204+(1-(Appointments!$E$5:$E$1204=A88)*(Appointments!$M$5:$M$1204&lt;&gt;"Cancelled")*(Appointments!$M$5:$M$1204&lt;&gt;"Completed")*(Appointments!$M$5:$M$1204&lt;&gt;"No show")*(Appointments!$B$5:$B$1204&gt;=TodayDate))*2958465)))</f>
        <v>0</v>
      </c>
      <c r="AB88" s="17">
        <f>IF(B88="","",IF(AA88&gt;=2958465,"",AA88))</f>
        <v>0</v>
      </c>
      <c r="AC88" s="25">
        <f>IF(B88="","",IF(T88&lt;2,"",ROUND((Y88-X88)/MAX(1,T88-1),0)))</f>
        <v>0</v>
      </c>
      <c r="AD88" s="17">
        <f>IF(B88="","",IF(Y88="","",Y88+IF(AC88="",RebookWeeks*7,MAX(14,AC88))))</f>
        <v>0</v>
      </c>
      <c r="AE88" s="26">
        <f>IF(B88="","",ROUND(SUMIFS(Sales!$Y$5:$Y$1204,Sales!$D$5:$D$1204,A88),2))</f>
        <v>0</v>
      </c>
      <c r="AF88" s="26">
        <f>IF(B88="","",ROUND(SUMIFS(Sales!$Y$5:$Y$1204,Sales!$D$5:$D$1204,A88,Sales!$H$5:$H$1204,"Service"),2))</f>
        <v>0</v>
      </c>
      <c r="AG88" s="26">
        <f>IF(B88="","",ROUND(SUMIFS(Sales!$Y$5:$Y$1204,Sales!$D$5:$D$1204,A88,Sales!$H$5:$H$1204,"Retail"),2))</f>
        <v>0</v>
      </c>
      <c r="AH88" s="26">
        <f>IF(B88="","",ROUND(SUMIFS(Sales!$Y$5:$Y$1204,Sales!$D$5:$D$1204,A88,Sales!$B$5:$B$1204,"&gt;="&amp;TodayDate-365),2))</f>
        <v>0</v>
      </c>
      <c r="AI88" s="26">
        <f>IF(B88="","",IF(T88=0,"",ROUND(AE88/T88,2)))</f>
        <v>0</v>
      </c>
      <c r="AJ88" s="26">
        <f>IF(B88="","",IF(AI88="","",IF(AC88="","",ROUND(AI88*(365/MAX(14,AC88)),2))))</f>
        <v>0</v>
      </c>
      <c r="AK88" s="26">
        <f>IF(B88="","",ROUND(SUMIFS(Sales!$AH$5:$AH$1204,Sales!$D$5:$D$1204,A88),2))</f>
        <v>0</v>
      </c>
      <c r="AL88" s="25">
        <f>IF(B88="","",IFERROR(INDEX(Loyalty!$P$5:$P$504,MATCH(A88,Loyalty!$B$5:$B$504,0))*1,0))</f>
        <v>0</v>
      </c>
      <c r="AM88" s="39">
        <f>IF(B88="","",IF(R88="Archived","Archived",IF(T88=0,"Not been yet",IF(Z88&gt;=InactiveDays,"Inactive",IF(Z88&gt;=LapsingDays,"Lapsing",IF(T88=1,"New",IF(AH88&gt;=VipSpend,"VIP",IF(U88&gt;=4,"Regular","Active"))))))))</f>
        <v>0</v>
      </c>
      <c r="AN88" s="38">
        <f>IF(B88="","",IF(T88&gt;=2,"Yes","No"))</f>
        <v>0</v>
      </c>
      <c r="AO88" s="25">
        <f>IF(B88="","",COUNTIFS($AE$5:$AE$504,"&gt;"&amp;AE88)+COUNTIFS($AE$5:AE88,AE88))</f>
        <v>0</v>
      </c>
      <c r="AP88" s="25">
        <f>IF(B88="","",COUNTIFS($T$5:$T$504,"&gt;"&amp;T88)+COUNTIFS($T$5:T88,T88))</f>
        <v>0</v>
      </c>
      <c r="AQ88" s="39">
        <f>IF(B88="","",IF(COUNTIF($B$5:$B$504,B88)&gt;1,"Duplicate - same name twice",IF(R88="Archived","",IF(AK88&gt;0.004,"Chase - balance outstanding",IF(AM88="Inactive","Gone - win-back offer",IF(AM88="Lapsing","Chase - lapsing, call them",IF(IF(N88="",FALSE,TodayDate-N88&gt;PatchTestDays),"Due - patch test out of date",IF(IF(AD88="",FALSE,IF(AB88&lt;&gt;"",FALSE,AD88&lt;=TodayDate+14)),"Rebook - due and nothing booked",IF(IF(K88="",FALSE,ABS(DATE(YEAR(TodayDate),MONTH(K88),DAY(K88))-TodayDate)&lt;=7),"Birthday - send the treat","OK")))))))))</f>
        <v>0</v>
      </c>
    </row>
    <row r="89" spans="1:43">
      <c r="A89" s="28">
        <f>IF(B89="","",ClientPrefix&amp;TEXT(ROW()-4,"0000"))</f>
        <v>0</v>
      </c>
      <c r="J89" s="15">
        <f>IF(I89="","",IFERROR(INDEX(Staff!$B$5:$B$44,MATCH(I89,Staff!$A$5:$A$44,0)),"Not in Staff"))</f>
        <v>0</v>
      </c>
      <c r="T89" s="25">
        <f>IF(B89="","",COUNTIFS(Appointments!$E$5:$E$1204,A89,Appointments!$M$5:$M$1204,"Completed"))</f>
        <v>0</v>
      </c>
      <c r="U89" s="25">
        <f>IF(B89="","",COUNTIFS(Appointments!$E$5:$E$1204,A89,Appointments!$M$5:$M$1204,"Completed",Appointments!$B$5:$B$1204,"&gt;="&amp;TodayDate-365))</f>
        <v>0</v>
      </c>
      <c r="V89" s="25">
        <f>IF(B89="","",COUNTIFS(Appointments!$E$5:$E$1204,A89,Appointments!$M$5:$M$1204,"Cancelled"))</f>
        <v>0</v>
      </c>
      <c r="W89" s="25">
        <f>IF(B89="","",COUNTIFS(Appointments!$E$5:$E$1204,A89,Appointments!$M$5:$M$1204,"No show"))</f>
        <v>0</v>
      </c>
      <c r="X89" s="17">
        <f>IF(B89="","",IF(F89&lt;&gt;"",F89,IF(T89=0,"",SUMPRODUCT(MIN((Appointments!$E$5:$E$1204=A89)*(Appointments!$M$5:$M$1204="Completed")*Appointments!$B$5:$B$1204+(1-(Appointments!$E$5:$E$1204=A89)*(Appointments!$M$5:$M$1204="Completed"))*2958465)))))</f>
        <v>0</v>
      </c>
      <c r="Y89" s="17">
        <f>IF(B89="","",IF(T89=0,"",SUMPRODUCT(MAX((Appointments!$E$5:$E$1204=A89)*(Appointments!$M$5:$M$1204="Completed")*Appointments!$B$5:$B$1204))))</f>
        <v>0</v>
      </c>
      <c r="Z89" s="25">
        <f>IF(B89="","",IF(Y89="","",TodayDate-Y89))</f>
        <v>0</v>
      </c>
      <c r="AA89" s="42">
        <f>IF(B89="","",SUMPRODUCT(MIN((Appointments!$E$5:$E$1204=A89)*(Appointments!$M$5:$M$1204&lt;&gt;"Cancelled")*(Appointments!$M$5:$M$1204&lt;&gt;"Completed")*(Appointments!$M$5:$M$1204&lt;&gt;"No show")*(Appointments!$B$5:$B$1204&gt;=TodayDate)*Appointments!$B$5:$B$1204+(1-(Appointments!$E$5:$E$1204=A89)*(Appointments!$M$5:$M$1204&lt;&gt;"Cancelled")*(Appointments!$M$5:$M$1204&lt;&gt;"Completed")*(Appointments!$M$5:$M$1204&lt;&gt;"No show")*(Appointments!$B$5:$B$1204&gt;=TodayDate))*2958465)))</f>
        <v>0</v>
      </c>
      <c r="AB89" s="17">
        <f>IF(B89="","",IF(AA89&gt;=2958465,"",AA89))</f>
        <v>0</v>
      </c>
      <c r="AC89" s="25">
        <f>IF(B89="","",IF(T89&lt;2,"",ROUND((Y89-X89)/MAX(1,T89-1),0)))</f>
        <v>0</v>
      </c>
      <c r="AD89" s="17">
        <f>IF(B89="","",IF(Y89="","",Y89+IF(AC89="",RebookWeeks*7,MAX(14,AC89))))</f>
        <v>0</v>
      </c>
      <c r="AE89" s="26">
        <f>IF(B89="","",ROUND(SUMIFS(Sales!$Y$5:$Y$1204,Sales!$D$5:$D$1204,A89),2))</f>
        <v>0</v>
      </c>
      <c r="AF89" s="26">
        <f>IF(B89="","",ROUND(SUMIFS(Sales!$Y$5:$Y$1204,Sales!$D$5:$D$1204,A89,Sales!$H$5:$H$1204,"Service"),2))</f>
        <v>0</v>
      </c>
      <c r="AG89" s="26">
        <f>IF(B89="","",ROUND(SUMIFS(Sales!$Y$5:$Y$1204,Sales!$D$5:$D$1204,A89,Sales!$H$5:$H$1204,"Retail"),2))</f>
        <v>0</v>
      </c>
      <c r="AH89" s="26">
        <f>IF(B89="","",ROUND(SUMIFS(Sales!$Y$5:$Y$1204,Sales!$D$5:$D$1204,A89,Sales!$B$5:$B$1204,"&gt;="&amp;TodayDate-365),2))</f>
        <v>0</v>
      </c>
      <c r="AI89" s="26">
        <f>IF(B89="","",IF(T89=0,"",ROUND(AE89/T89,2)))</f>
        <v>0</v>
      </c>
      <c r="AJ89" s="26">
        <f>IF(B89="","",IF(AI89="","",IF(AC89="","",ROUND(AI89*(365/MAX(14,AC89)),2))))</f>
        <v>0</v>
      </c>
      <c r="AK89" s="26">
        <f>IF(B89="","",ROUND(SUMIFS(Sales!$AH$5:$AH$1204,Sales!$D$5:$D$1204,A89),2))</f>
        <v>0</v>
      </c>
      <c r="AL89" s="25">
        <f>IF(B89="","",IFERROR(INDEX(Loyalty!$P$5:$P$504,MATCH(A89,Loyalty!$B$5:$B$504,0))*1,0))</f>
        <v>0</v>
      </c>
      <c r="AM89" s="39">
        <f>IF(B89="","",IF(R89="Archived","Archived",IF(T89=0,"Not been yet",IF(Z89&gt;=InactiveDays,"Inactive",IF(Z89&gt;=LapsingDays,"Lapsing",IF(T89=1,"New",IF(AH89&gt;=VipSpend,"VIP",IF(U89&gt;=4,"Regular","Active"))))))))</f>
        <v>0</v>
      </c>
      <c r="AN89" s="38">
        <f>IF(B89="","",IF(T89&gt;=2,"Yes","No"))</f>
        <v>0</v>
      </c>
      <c r="AO89" s="25">
        <f>IF(B89="","",COUNTIFS($AE$5:$AE$504,"&gt;"&amp;AE89)+COUNTIFS($AE$5:AE89,AE89))</f>
        <v>0</v>
      </c>
      <c r="AP89" s="25">
        <f>IF(B89="","",COUNTIFS($T$5:$T$504,"&gt;"&amp;T89)+COUNTIFS($T$5:T89,T89))</f>
        <v>0</v>
      </c>
      <c r="AQ89" s="39">
        <f>IF(B89="","",IF(COUNTIF($B$5:$B$504,B89)&gt;1,"Duplicate - same name twice",IF(R89="Archived","",IF(AK89&gt;0.004,"Chase - balance outstanding",IF(AM89="Inactive","Gone - win-back offer",IF(AM89="Lapsing","Chase - lapsing, call them",IF(IF(N89="",FALSE,TodayDate-N89&gt;PatchTestDays),"Due - patch test out of date",IF(IF(AD89="",FALSE,IF(AB89&lt;&gt;"",FALSE,AD89&lt;=TodayDate+14)),"Rebook - due and nothing booked",IF(IF(K89="",FALSE,ABS(DATE(YEAR(TodayDate),MONTH(K89),DAY(K89))-TodayDate)&lt;=7),"Birthday - send the treat","OK")))))))))</f>
        <v>0</v>
      </c>
    </row>
    <row r="90" spans="1:43">
      <c r="A90" s="28">
        <f>IF(B90="","",ClientPrefix&amp;TEXT(ROW()-4,"0000"))</f>
        <v>0</v>
      </c>
      <c r="J90" s="15">
        <f>IF(I90="","",IFERROR(INDEX(Staff!$B$5:$B$44,MATCH(I90,Staff!$A$5:$A$44,0)),"Not in Staff"))</f>
        <v>0</v>
      </c>
      <c r="T90" s="25">
        <f>IF(B90="","",COUNTIFS(Appointments!$E$5:$E$1204,A90,Appointments!$M$5:$M$1204,"Completed"))</f>
        <v>0</v>
      </c>
      <c r="U90" s="25">
        <f>IF(B90="","",COUNTIFS(Appointments!$E$5:$E$1204,A90,Appointments!$M$5:$M$1204,"Completed",Appointments!$B$5:$B$1204,"&gt;="&amp;TodayDate-365))</f>
        <v>0</v>
      </c>
      <c r="V90" s="25">
        <f>IF(B90="","",COUNTIFS(Appointments!$E$5:$E$1204,A90,Appointments!$M$5:$M$1204,"Cancelled"))</f>
        <v>0</v>
      </c>
      <c r="W90" s="25">
        <f>IF(B90="","",COUNTIFS(Appointments!$E$5:$E$1204,A90,Appointments!$M$5:$M$1204,"No show"))</f>
        <v>0</v>
      </c>
      <c r="X90" s="17">
        <f>IF(B90="","",IF(F90&lt;&gt;"",F90,IF(T90=0,"",SUMPRODUCT(MIN((Appointments!$E$5:$E$1204=A90)*(Appointments!$M$5:$M$1204="Completed")*Appointments!$B$5:$B$1204+(1-(Appointments!$E$5:$E$1204=A90)*(Appointments!$M$5:$M$1204="Completed"))*2958465)))))</f>
        <v>0</v>
      </c>
      <c r="Y90" s="17">
        <f>IF(B90="","",IF(T90=0,"",SUMPRODUCT(MAX((Appointments!$E$5:$E$1204=A90)*(Appointments!$M$5:$M$1204="Completed")*Appointments!$B$5:$B$1204))))</f>
        <v>0</v>
      </c>
      <c r="Z90" s="25">
        <f>IF(B90="","",IF(Y90="","",TodayDate-Y90))</f>
        <v>0</v>
      </c>
      <c r="AA90" s="42">
        <f>IF(B90="","",SUMPRODUCT(MIN((Appointments!$E$5:$E$1204=A90)*(Appointments!$M$5:$M$1204&lt;&gt;"Cancelled")*(Appointments!$M$5:$M$1204&lt;&gt;"Completed")*(Appointments!$M$5:$M$1204&lt;&gt;"No show")*(Appointments!$B$5:$B$1204&gt;=TodayDate)*Appointments!$B$5:$B$1204+(1-(Appointments!$E$5:$E$1204=A90)*(Appointments!$M$5:$M$1204&lt;&gt;"Cancelled")*(Appointments!$M$5:$M$1204&lt;&gt;"Completed")*(Appointments!$M$5:$M$1204&lt;&gt;"No show")*(Appointments!$B$5:$B$1204&gt;=TodayDate))*2958465)))</f>
        <v>0</v>
      </c>
      <c r="AB90" s="17">
        <f>IF(B90="","",IF(AA90&gt;=2958465,"",AA90))</f>
        <v>0</v>
      </c>
      <c r="AC90" s="25">
        <f>IF(B90="","",IF(T90&lt;2,"",ROUND((Y90-X90)/MAX(1,T90-1),0)))</f>
        <v>0</v>
      </c>
      <c r="AD90" s="17">
        <f>IF(B90="","",IF(Y90="","",Y90+IF(AC90="",RebookWeeks*7,MAX(14,AC90))))</f>
        <v>0</v>
      </c>
      <c r="AE90" s="26">
        <f>IF(B90="","",ROUND(SUMIFS(Sales!$Y$5:$Y$1204,Sales!$D$5:$D$1204,A90),2))</f>
        <v>0</v>
      </c>
      <c r="AF90" s="26">
        <f>IF(B90="","",ROUND(SUMIFS(Sales!$Y$5:$Y$1204,Sales!$D$5:$D$1204,A90,Sales!$H$5:$H$1204,"Service"),2))</f>
        <v>0</v>
      </c>
      <c r="AG90" s="26">
        <f>IF(B90="","",ROUND(SUMIFS(Sales!$Y$5:$Y$1204,Sales!$D$5:$D$1204,A90,Sales!$H$5:$H$1204,"Retail"),2))</f>
        <v>0</v>
      </c>
      <c r="AH90" s="26">
        <f>IF(B90="","",ROUND(SUMIFS(Sales!$Y$5:$Y$1204,Sales!$D$5:$D$1204,A90,Sales!$B$5:$B$1204,"&gt;="&amp;TodayDate-365),2))</f>
        <v>0</v>
      </c>
      <c r="AI90" s="26">
        <f>IF(B90="","",IF(T90=0,"",ROUND(AE90/T90,2)))</f>
        <v>0</v>
      </c>
      <c r="AJ90" s="26">
        <f>IF(B90="","",IF(AI90="","",IF(AC90="","",ROUND(AI90*(365/MAX(14,AC90)),2))))</f>
        <v>0</v>
      </c>
      <c r="AK90" s="26">
        <f>IF(B90="","",ROUND(SUMIFS(Sales!$AH$5:$AH$1204,Sales!$D$5:$D$1204,A90),2))</f>
        <v>0</v>
      </c>
      <c r="AL90" s="25">
        <f>IF(B90="","",IFERROR(INDEX(Loyalty!$P$5:$P$504,MATCH(A90,Loyalty!$B$5:$B$504,0))*1,0))</f>
        <v>0</v>
      </c>
      <c r="AM90" s="39">
        <f>IF(B90="","",IF(R90="Archived","Archived",IF(T90=0,"Not been yet",IF(Z90&gt;=InactiveDays,"Inactive",IF(Z90&gt;=LapsingDays,"Lapsing",IF(T90=1,"New",IF(AH90&gt;=VipSpend,"VIP",IF(U90&gt;=4,"Regular","Active"))))))))</f>
        <v>0</v>
      </c>
      <c r="AN90" s="38">
        <f>IF(B90="","",IF(T90&gt;=2,"Yes","No"))</f>
        <v>0</v>
      </c>
      <c r="AO90" s="25">
        <f>IF(B90="","",COUNTIFS($AE$5:$AE$504,"&gt;"&amp;AE90)+COUNTIFS($AE$5:AE90,AE90))</f>
        <v>0</v>
      </c>
      <c r="AP90" s="25">
        <f>IF(B90="","",COUNTIFS($T$5:$T$504,"&gt;"&amp;T90)+COUNTIFS($T$5:T90,T90))</f>
        <v>0</v>
      </c>
      <c r="AQ90" s="39">
        <f>IF(B90="","",IF(COUNTIF($B$5:$B$504,B90)&gt;1,"Duplicate - same name twice",IF(R90="Archived","",IF(AK90&gt;0.004,"Chase - balance outstanding",IF(AM90="Inactive","Gone - win-back offer",IF(AM90="Lapsing","Chase - lapsing, call them",IF(IF(N90="",FALSE,TodayDate-N90&gt;PatchTestDays),"Due - patch test out of date",IF(IF(AD90="",FALSE,IF(AB90&lt;&gt;"",FALSE,AD90&lt;=TodayDate+14)),"Rebook - due and nothing booked",IF(IF(K90="",FALSE,ABS(DATE(YEAR(TodayDate),MONTH(K90),DAY(K90))-TodayDate)&lt;=7),"Birthday - send the treat","OK")))))))))</f>
        <v>0</v>
      </c>
    </row>
    <row r="91" spans="1:43">
      <c r="A91" s="28">
        <f>IF(B91="","",ClientPrefix&amp;TEXT(ROW()-4,"0000"))</f>
        <v>0</v>
      </c>
      <c r="J91" s="15">
        <f>IF(I91="","",IFERROR(INDEX(Staff!$B$5:$B$44,MATCH(I91,Staff!$A$5:$A$44,0)),"Not in Staff"))</f>
        <v>0</v>
      </c>
      <c r="T91" s="25">
        <f>IF(B91="","",COUNTIFS(Appointments!$E$5:$E$1204,A91,Appointments!$M$5:$M$1204,"Completed"))</f>
        <v>0</v>
      </c>
      <c r="U91" s="25">
        <f>IF(B91="","",COUNTIFS(Appointments!$E$5:$E$1204,A91,Appointments!$M$5:$M$1204,"Completed",Appointments!$B$5:$B$1204,"&gt;="&amp;TodayDate-365))</f>
        <v>0</v>
      </c>
      <c r="V91" s="25">
        <f>IF(B91="","",COUNTIFS(Appointments!$E$5:$E$1204,A91,Appointments!$M$5:$M$1204,"Cancelled"))</f>
        <v>0</v>
      </c>
      <c r="W91" s="25">
        <f>IF(B91="","",COUNTIFS(Appointments!$E$5:$E$1204,A91,Appointments!$M$5:$M$1204,"No show"))</f>
        <v>0</v>
      </c>
      <c r="X91" s="17">
        <f>IF(B91="","",IF(F91&lt;&gt;"",F91,IF(T91=0,"",SUMPRODUCT(MIN((Appointments!$E$5:$E$1204=A91)*(Appointments!$M$5:$M$1204="Completed")*Appointments!$B$5:$B$1204+(1-(Appointments!$E$5:$E$1204=A91)*(Appointments!$M$5:$M$1204="Completed"))*2958465)))))</f>
        <v>0</v>
      </c>
      <c r="Y91" s="17">
        <f>IF(B91="","",IF(T91=0,"",SUMPRODUCT(MAX((Appointments!$E$5:$E$1204=A91)*(Appointments!$M$5:$M$1204="Completed")*Appointments!$B$5:$B$1204))))</f>
        <v>0</v>
      </c>
      <c r="Z91" s="25">
        <f>IF(B91="","",IF(Y91="","",TodayDate-Y91))</f>
        <v>0</v>
      </c>
      <c r="AA91" s="42">
        <f>IF(B91="","",SUMPRODUCT(MIN((Appointments!$E$5:$E$1204=A91)*(Appointments!$M$5:$M$1204&lt;&gt;"Cancelled")*(Appointments!$M$5:$M$1204&lt;&gt;"Completed")*(Appointments!$M$5:$M$1204&lt;&gt;"No show")*(Appointments!$B$5:$B$1204&gt;=TodayDate)*Appointments!$B$5:$B$1204+(1-(Appointments!$E$5:$E$1204=A91)*(Appointments!$M$5:$M$1204&lt;&gt;"Cancelled")*(Appointments!$M$5:$M$1204&lt;&gt;"Completed")*(Appointments!$M$5:$M$1204&lt;&gt;"No show")*(Appointments!$B$5:$B$1204&gt;=TodayDate))*2958465)))</f>
        <v>0</v>
      </c>
      <c r="AB91" s="17">
        <f>IF(B91="","",IF(AA91&gt;=2958465,"",AA91))</f>
        <v>0</v>
      </c>
      <c r="AC91" s="25">
        <f>IF(B91="","",IF(T91&lt;2,"",ROUND((Y91-X91)/MAX(1,T91-1),0)))</f>
        <v>0</v>
      </c>
      <c r="AD91" s="17">
        <f>IF(B91="","",IF(Y91="","",Y91+IF(AC91="",RebookWeeks*7,MAX(14,AC91))))</f>
        <v>0</v>
      </c>
      <c r="AE91" s="26">
        <f>IF(B91="","",ROUND(SUMIFS(Sales!$Y$5:$Y$1204,Sales!$D$5:$D$1204,A91),2))</f>
        <v>0</v>
      </c>
      <c r="AF91" s="26">
        <f>IF(B91="","",ROUND(SUMIFS(Sales!$Y$5:$Y$1204,Sales!$D$5:$D$1204,A91,Sales!$H$5:$H$1204,"Service"),2))</f>
        <v>0</v>
      </c>
      <c r="AG91" s="26">
        <f>IF(B91="","",ROUND(SUMIFS(Sales!$Y$5:$Y$1204,Sales!$D$5:$D$1204,A91,Sales!$H$5:$H$1204,"Retail"),2))</f>
        <v>0</v>
      </c>
      <c r="AH91" s="26">
        <f>IF(B91="","",ROUND(SUMIFS(Sales!$Y$5:$Y$1204,Sales!$D$5:$D$1204,A91,Sales!$B$5:$B$1204,"&gt;="&amp;TodayDate-365),2))</f>
        <v>0</v>
      </c>
      <c r="AI91" s="26">
        <f>IF(B91="","",IF(T91=0,"",ROUND(AE91/T91,2)))</f>
        <v>0</v>
      </c>
      <c r="AJ91" s="26">
        <f>IF(B91="","",IF(AI91="","",IF(AC91="","",ROUND(AI91*(365/MAX(14,AC91)),2))))</f>
        <v>0</v>
      </c>
      <c r="AK91" s="26">
        <f>IF(B91="","",ROUND(SUMIFS(Sales!$AH$5:$AH$1204,Sales!$D$5:$D$1204,A91),2))</f>
        <v>0</v>
      </c>
      <c r="AL91" s="25">
        <f>IF(B91="","",IFERROR(INDEX(Loyalty!$P$5:$P$504,MATCH(A91,Loyalty!$B$5:$B$504,0))*1,0))</f>
        <v>0</v>
      </c>
      <c r="AM91" s="39">
        <f>IF(B91="","",IF(R91="Archived","Archived",IF(T91=0,"Not been yet",IF(Z91&gt;=InactiveDays,"Inactive",IF(Z91&gt;=LapsingDays,"Lapsing",IF(T91=1,"New",IF(AH91&gt;=VipSpend,"VIP",IF(U91&gt;=4,"Regular","Active"))))))))</f>
        <v>0</v>
      </c>
      <c r="AN91" s="38">
        <f>IF(B91="","",IF(T91&gt;=2,"Yes","No"))</f>
        <v>0</v>
      </c>
      <c r="AO91" s="25">
        <f>IF(B91="","",COUNTIFS($AE$5:$AE$504,"&gt;"&amp;AE91)+COUNTIFS($AE$5:AE91,AE91))</f>
        <v>0</v>
      </c>
      <c r="AP91" s="25">
        <f>IF(B91="","",COUNTIFS($T$5:$T$504,"&gt;"&amp;T91)+COUNTIFS($T$5:T91,T91))</f>
        <v>0</v>
      </c>
      <c r="AQ91" s="39">
        <f>IF(B91="","",IF(COUNTIF($B$5:$B$504,B91)&gt;1,"Duplicate - same name twice",IF(R91="Archived","",IF(AK91&gt;0.004,"Chase - balance outstanding",IF(AM91="Inactive","Gone - win-back offer",IF(AM91="Lapsing","Chase - lapsing, call them",IF(IF(N91="",FALSE,TodayDate-N91&gt;PatchTestDays),"Due - patch test out of date",IF(IF(AD91="",FALSE,IF(AB91&lt;&gt;"",FALSE,AD91&lt;=TodayDate+14)),"Rebook - due and nothing booked",IF(IF(K91="",FALSE,ABS(DATE(YEAR(TodayDate),MONTH(K91),DAY(K91))-TodayDate)&lt;=7),"Birthday - send the treat","OK")))))))))</f>
        <v>0</v>
      </c>
    </row>
    <row r="92" spans="1:43">
      <c r="A92" s="28">
        <f>IF(B92="","",ClientPrefix&amp;TEXT(ROW()-4,"0000"))</f>
        <v>0</v>
      </c>
      <c r="J92" s="15">
        <f>IF(I92="","",IFERROR(INDEX(Staff!$B$5:$B$44,MATCH(I92,Staff!$A$5:$A$44,0)),"Not in Staff"))</f>
        <v>0</v>
      </c>
      <c r="T92" s="25">
        <f>IF(B92="","",COUNTIFS(Appointments!$E$5:$E$1204,A92,Appointments!$M$5:$M$1204,"Completed"))</f>
        <v>0</v>
      </c>
      <c r="U92" s="25">
        <f>IF(B92="","",COUNTIFS(Appointments!$E$5:$E$1204,A92,Appointments!$M$5:$M$1204,"Completed",Appointments!$B$5:$B$1204,"&gt;="&amp;TodayDate-365))</f>
        <v>0</v>
      </c>
      <c r="V92" s="25">
        <f>IF(B92="","",COUNTIFS(Appointments!$E$5:$E$1204,A92,Appointments!$M$5:$M$1204,"Cancelled"))</f>
        <v>0</v>
      </c>
      <c r="W92" s="25">
        <f>IF(B92="","",COUNTIFS(Appointments!$E$5:$E$1204,A92,Appointments!$M$5:$M$1204,"No show"))</f>
        <v>0</v>
      </c>
      <c r="X92" s="17">
        <f>IF(B92="","",IF(F92&lt;&gt;"",F92,IF(T92=0,"",SUMPRODUCT(MIN((Appointments!$E$5:$E$1204=A92)*(Appointments!$M$5:$M$1204="Completed")*Appointments!$B$5:$B$1204+(1-(Appointments!$E$5:$E$1204=A92)*(Appointments!$M$5:$M$1204="Completed"))*2958465)))))</f>
        <v>0</v>
      </c>
      <c r="Y92" s="17">
        <f>IF(B92="","",IF(T92=0,"",SUMPRODUCT(MAX((Appointments!$E$5:$E$1204=A92)*(Appointments!$M$5:$M$1204="Completed")*Appointments!$B$5:$B$1204))))</f>
        <v>0</v>
      </c>
      <c r="Z92" s="25">
        <f>IF(B92="","",IF(Y92="","",TodayDate-Y92))</f>
        <v>0</v>
      </c>
      <c r="AA92" s="42">
        <f>IF(B92="","",SUMPRODUCT(MIN((Appointments!$E$5:$E$1204=A92)*(Appointments!$M$5:$M$1204&lt;&gt;"Cancelled")*(Appointments!$M$5:$M$1204&lt;&gt;"Completed")*(Appointments!$M$5:$M$1204&lt;&gt;"No show")*(Appointments!$B$5:$B$1204&gt;=TodayDate)*Appointments!$B$5:$B$1204+(1-(Appointments!$E$5:$E$1204=A92)*(Appointments!$M$5:$M$1204&lt;&gt;"Cancelled")*(Appointments!$M$5:$M$1204&lt;&gt;"Completed")*(Appointments!$M$5:$M$1204&lt;&gt;"No show")*(Appointments!$B$5:$B$1204&gt;=TodayDate))*2958465)))</f>
        <v>0</v>
      </c>
      <c r="AB92" s="17">
        <f>IF(B92="","",IF(AA92&gt;=2958465,"",AA92))</f>
        <v>0</v>
      </c>
      <c r="AC92" s="25">
        <f>IF(B92="","",IF(T92&lt;2,"",ROUND((Y92-X92)/MAX(1,T92-1),0)))</f>
        <v>0</v>
      </c>
      <c r="AD92" s="17">
        <f>IF(B92="","",IF(Y92="","",Y92+IF(AC92="",RebookWeeks*7,MAX(14,AC92))))</f>
        <v>0</v>
      </c>
      <c r="AE92" s="26">
        <f>IF(B92="","",ROUND(SUMIFS(Sales!$Y$5:$Y$1204,Sales!$D$5:$D$1204,A92),2))</f>
        <v>0</v>
      </c>
      <c r="AF92" s="26">
        <f>IF(B92="","",ROUND(SUMIFS(Sales!$Y$5:$Y$1204,Sales!$D$5:$D$1204,A92,Sales!$H$5:$H$1204,"Service"),2))</f>
        <v>0</v>
      </c>
      <c r="AG92" s="26">
        <f>IF(B92="","",ROUND(SUMIFS(Sales!$Y$5:$Y$1204,Sales!$D$5:$D$1204,A92,Sales!$H$5:$H$1204,"Retail"),2))</f>
        <v>0</v>
      </c>
      <c r="AH92" s="26">
        <f>IF(B92="","",ROUND(SUMIFS(Sales!$Y$5:$Y$1204,Sales!$D$5:$D$1204,A92,Sales!$B$5:$B$1204,"&gt;="&amp;TodayDate-365),2))</f>
        <v>0</v>
      </c>
      <c r="AI92" s="26">
        <f>IF(B92="","",IF(T92=0,"",ROUND(AE92/T92,2)))</f>
        <v>0</v>
      </c>
      <c r="AJ92" s="26">
        <f>IF(B92="","",IF(AI92="","",IF(AC92="","",ROUND(AI92*(365/MAX(14,AC92)),2))))</f>
        <v>0</v>
      </c>
      <c r="AK92" s="26">
        <f>IF(B92="","",ROUND(SUMIFS(Sales!$AH$5:$AH$1204,Sales!$D$5:$D$1204,A92),2))</f>
        <v>0</v>
      </c>
      <c r="AL92" s="25">
        <f>IF(B92="","",IFERROR(INDEX(Loyalty!$P$5:$P$504,MATCH(A92,Loyalty!$B$5:$B$504,0))*1,0))</f>
        <v>0</v>
      </c>
      <c r="AM92" s="39">
        <f>IF(B92="","",IF(R92="Archived","Archived",IF(T92=0,"Not been yet",IF(Z92&gt;=InactiveDays,"Inactive",IF(Z92&gt;=LapsingDays,"Lapsing",IF(T92=1,"New",IF(AH92&gt;=VipSpend,"VIP",IF(U92&gt;=4,"Regular","Active"))))))))</f>
        <v>0</v>
      </c>
      <c r="AN92" s="38">
        <f>IF(B92="","",IF(T92&gt;=2,"Yes","No"))</f>
        <v>0</v>
      </c>
      <c r="AO92" s="25">
        <f>IF(B92="","",COUNTIFS($AE$5:$AE$504,"&gt;"&amp;AE92)+COUNTIFS($AE$5:AE92,AE92))</f>
        <v>0</v>
      </c>
      <c r="AP92" s="25">
        <f>IF(B92="","",COUNTIFS($T$5:$T$504,"&gt;"&amp;T92)+COUNTIFS($T$5:T92,T92))</f>
        <v>0</v>
      </c>
      <c r="AQ92" s="39">
        <f>IF(B92="","",IF(COUNTIF($B$5:$B$504,B92)&gt;1,"Duplicate - same name twice",IF(R92="Archived","",IF(AK92&gt;0.004,"Chase - balance outstanding",IF(AM92="Inactive","Gone - win-back offer",IF(AM92="Lapsing","Chase - lapsing, call them",IF(IF(N92="",FALSE,TodayDate-N92&gt;PatchTestDays),"Due - patch test out of date",IF(IF(AD92="",FALSE,IF(AB92&lt;&gt;"",FALSE,AD92&lt;=TodayDate+14)),"Rebook - due and nothing booked",IF(IF(K92="",FALSE,ABS(DATE(YEAR(TodayDate),MONTH(K92),DAY(K92))-TodayDate)&lt;=7),"Birthday - send the treat","OK")))))))))</f>
        <v>0</v>
      </c>
    </row>
    <row r="93" spans="1:43">
      <c r="A93" s="28">
        <f>IF(B93="","",ClientPrefix&amp;TEXT(ROW()-4,"0000"))</f>
        <v>0</v>
      </c>
      <c r="J93" s="15">
        <f>IF(I93="","",IFERROR(INDEX(Staff!$B$5:$B$44,MATCH(I93,Staff!$A$5:$A$44,0)),"Not in Staff"))</f>
        <v>0</v>
      </c>
      <c r="T93" s="25">
        <f>IF(B93="","",COUNTIFS(Appointments!$E$5:$E$1204,A93,Appointments!$M$5:$M$1204,"Completed"))</f>
        <v>0</v>
      </c>
      <c r="U93" s="25">
        <f>IF(B93="","",COUNTIFS(Appointments!$E$5:$E$1204,A93,Appointments!$M$5:$M$1204,"Completed",Appointments!$B$5:$B$1204,"&gt;="&amp;TodayDate-365))</f>
        <v>0</v>
      </c>
      <c r="V93" s="25">
        <f>IF(B93="","",COUNTIFS(Appointments!$E$5:$E$1204,A93,Appointments!$M$5:$M$1204,"Cancelled"))</f>
        <v>0</v>
      </c>
      <c r="W93" s="25">
        <f>IF(B93="","",COUNTIFS(Appointments!$E$5:$E$1204,A93,Appointments!$M$5:$M$1204,"No show"))</f>
        <v>0</v>
      </c>
      <c r="X93" s="17">
        <f>IF(B93="","",IF(F93&lt;&gt;"",F93,IF(T93=0,"",SUMPRODUCT(MIN((Appointments!$E$5:$E$1204=A93)*(Appointments!$M$5:$M$1204="Completed")*Appointments!$B$5:$B$1204+(1-(Appointments!$E$5:$E$1204=A93)*(Appointments!$M$5:$M$1204="Completed"))*2958465)))))</f>
        <v>0</v>
      </c>
      <c r="Y93" s="17">
        <f>IF(B93="","",IF(T93=0,"",SUMPRODUCT(MAX((Appointments!$E$5:$E$1204=A93)*(Appointments!$M$5:$M$1204="Completed")*Appointments!$B$5:$B$1204))))</f>
        <v>0</v>
      </c>
      <c r="Z93" s="25">
        <f>IF(B93="","",IF(Y93="","",TodayDate-Y93))</f>
        <v>0</v>
      </c>
      <c r="AA93" s="42">
        <f>IF(B93="","",SUMPRODUCT(MIN((Appointments!$E$5:$E$1204=A93)*(Appointments!$M$5:$M$1204&lt;&gt;"Cancelled")*(Appointments!$M$5:$M$1204&lt;&gt;"Completed")*(Appointments!$M$5:$M$1204&lt;&gt;"No show")*(Appointments!$B$5:$B$1204&gt;=TodayDate)*Appointments!$B$5:$B$1204+(1-(Appointments!$E$5:$E$1204=A93)*(Appointments!$M$5:$M$1204&lt;&gt;"Cancelled")*(Appointments!$M$5:$M$1204&lt;&gt;"Completed")*(Appointments!$M$5:$M$1204&lt;&gt;"No show")*(Appointments!$B$5:$B$1204&gt;=TodayDate))*2958465)))</f>
        <v>0</v>
      </c>
      <c r="AB93" s="17">
        <f>IF(B93="","",IF(AA93&gt;=2958465,"",AA93))</f>
        <v>0</v>
      </c>
      <c r="AC93" s="25">
        <f>IF(B93="","",IF(T93&lt;2,"",ROUND((Y93-X93)/MAX(1,T93-1),0)))</f>
        <v>0</v>
      </c>
      <c r="AD93" s="17">
        <f>IF(B93="","",IF(Y93="","",Y93+IF(AC93="",RebookWeeks*7,MAX(14,AC93))))</f>
        <v>0</v>
      </c>
      <c r="AE93" s="26">
        <f>IF(B93="","",ROUND(SUMIFS(Sales!$Y$5:$Y$1204,Sales!$D$5:$D$1204,A93),2))</f>
        <v>0</v>
      </c>
      <c r="AF93" s="26">
        <f>IF(B93="","",ROUND(SUMIFS(Sales!$Y$5:$Y$1204,Sales!$D$5:$D$1204,A93,Sales!$H$5:$H$1204,"Service"),2))</f>
        <v>0</v>
      </c>
      <c r="AG93" s="26">
        <f>IF(B93="","",ROUND(SUMIFS(Sales!$Y$5:$Y$1204,Sales!$D$5:$D$1204,A93,Sales!$H$5:$H$1204,"Retail"),2))</f>
        <v>0</v>
      </c>
      <c r="AH93" s="26">
        <f>IF(B93="","",ROUND(SUMIFS(Sales!$Y$5:$Y$1204,Sales!$D$5:$D$1204,A93,Sales!$B$5:$B$1204,"&gt;="&amp;TodayDate-365),2))</f>
        <v>0</v>
      </c>
      <c r="AI93" s="26">
        <f>IF(B93="","",IF(T93=0,"",ROUND(AE93/T93,2)))</f>
        <v>0</v>
      </c>
      <c r="AJ93" s="26">
        <f>IF(B93="","",IF(AI93="","",IF(AC93="","",ROUND(AI93*(365/MAX(14,AC93)),2))))</f>
        <v>0</v>
      </c>
      <c r="AK93" s="26">
        <f>IF(B93="","",ROUND(SUMIFS(Sales!$AH$5:$AH$1204,Sales!$D$5:$D$1204,A93),2))</f>
        <v>0</v>
      </c>
      <c r="AL93" s="25">
        <f>IF(B93="","",IFERROR(INDEX(Loyalty!$P$5:$P$504,MATCH(A93,Loyalty!$B$5:$B$504,0))*1,0))</f>
        <v>0</v>
      </c>
      <c r="AM93" s="39">
        <f>IF(B93="","",IF(R93="Archived","Archived",IF(T93=0,"Not been yet",IF(Z93&gt;=InactiveDays,"Inactive",IF(Z93&gt;=LapsingDays,"Lapsing",IF(T93=1,"New",IF(AH93&gt;=VipSpend,"VIP",IF(U93&gt;=4,"Regular","Active"))))))))</f>
        <v>0</v>
      </c>
      <c r="AN93" s="38">
        <f>IF(B93="","",IF(T93&gt;=2,"Yes","No"))</f>
        <v>0</v>
      </c>
      <c r="AO93" s="25">
        <f>IF(B93="","",COUNTIFS($AE$5:$AE$504,"&gt;"&amp;AE93)+COUNTIFS($AE$5:AE93,AE93))</f>
        <v>0</v>
      </c>
      <c r="AP93" s="25">
        <f>IF(B93="","",COUNTIFS($T$5:$T$504,"&gt;"&amp;T93)+COUNTIFS($T$5:T93,T93))</f>
        <v>0</v>
      </c>
      <c r="AQ93" s="39">
        <f>IF(B93="","",IF(COUNTIF($B$5:$B$504,B93)&gt;1,"Duplicate - same name twice",IF(R93="Archived","",IF(AK93&gt;0.004,"Chase - balance outstanding",IF(AM93="Inactive","Gone - win-back offer",IF(AM93="Lapsing","Chase - lapsing, call them",IF(IF(N93="",FALSE,TodayDate-N93&gt;PatchTestDays),"Due - patch test out of date",IF(IF(AD93="",FALSE,IF(AB93&lt;&gt;"",FALSE,AD93&lt;=TodayDate+14)),"Rebook - due and nothing booked",IF(IF(K93="",FALSE,ABS(DATE(YEAR(TodayDate),MONTH(K93),DAY(K93))-TodayDate)&lt;=7),"Birthday - send the treat","OK")))))))))</f>
        <v>0</v>
      </c>
    </row>
    <row r="94" spans="1:43">
      <c r="A94" s="28">
        <f>IF(B94="","",ClientPrefix&amp;TEXT(ROW()-4,"0000"))</f>
        <v>0</v>
      </c>
      <c r="J94" s="15">
        <f>IF(I94="","",IFERROR(INDEX(Staff!$B$5:$B$44,MATCH(I94,Staff!$A$5:$A$44,0)),"Not in Staff"))</f>
        <v>0</v>
      </c>
      <c r="T94" s="25">
        <f>IF(B94="","",COUNTIFS(Appointments!$E$5:$E$1204,A94,Appointments!$M$5:$M$1204,"Completed"))</f>
        <v>0</v>
      </c>
      <c r="U94" s="25">
        <f>IF(B94="","",COUNTIFS(Appointments!$E$5:$E$1204,A94,Appointments!$M$5:$M$1204,"Completed",Appointments!$B$5:$B$1204,"&gt;="&amp;TodayDate-365))</f>
        <v>0</v>
      </c>
      <c r="V94" s="25">
        <f>IF(B94="","",COUNTIFS(Appointments!$E$5:$E$1204,A94,Appointments!$M$5:$M$1204,"Cancelled"))</f>
        <v>0</v>
      </c>
      <c r="W94" s="25">
        <f>IF(B94="","",COUNTIFS(Appointments!$E$5:$E$1204,A94,Appointments!$M$5:$M$1204,"No show"))</f>
        <v>0</v>
      </c>
      <c r="X94" s="17">
        <f>IF(B94="","",IF(F94&lt;&gt;"",F94,IF(T94=0,"",SUMPRODUCT(MIN((Appointments!$E$5:$E$1204=A94)*(Appointments!$M$5:$M$1204="Completed")*Appointments!$B$5:$B$1204+(1-(Appointments!$E$5:$E$1204=A94)*(Appointments!$M$5:$M$1204="Completed"))*2958465)))))</f>
        <v>0</v>
      </c>
      <c r="Y94" s="17">
        <f>IF(B94="","",IF(T94=0,"",SUMPRODUCT(MAX((Appointments!$E$5:$E$1204=A94)*(Appointments!$M$5:$M$1204="Completed")*Appointments!$B$5:$B$1204))))</f>
        <v>0</v>
      </c>
      <c r="Z94" s="25">
        <f>IF(B94="","",IF(Y94="","",TodayDate-Y94))</f>
        <v>0</v>
      </c>
      <c r="AA94" s="42">
        <f>IF(B94="","",SUMPRODUCT(MIN((Appointments!$E$5:$E$1204=A94)*(Appointments!$M$5:$M$1204&lt;&gt;"Cancelled")*(Appointments!$M$5:$M$1204&lt;&gt;"Completed")*(Appointments!$M$5:$M$1204&lt;&gt;"No show")*(Appointments!$B$5:$B$1204&gt;=TodayDate)*Appointments!$B$5:$B$1204+(1-(Appointments!$E$5:$E$1204=A94)*(Appointments!$M$5:$M$1204&lt;&gt;"Cancelled")*(Appointments!$M$5:$M$1204&lt;&gt;"Completed")*(Appointments!$M$5:$M$1204&lt;&gt;"No show")*(Appointments!$B$5:$B$1204&gt;=TodayDate))*2958465)))</f>
        <v>0</v>
      </c>
      <c r="AB94" s="17">
        <f>IF(B94="","",IF(AA94&gt;=2958465,"",AA94))</f>
        <v>0</v>
      </c>
      <c r="AC94" s="25">
        <f>IF(B94="","",IF(T94&lt;2,"",ROUND((Y94-X94)/MAX(1,T94-1),0)))</f>
        <v>0</v>
      </c>
      <c r="AD94" s="17">
        <f>IF(B94="","",IF(Y94="","",Y94+IF(AC94="",RebookWeeks*7,MAX(14,AC94))))</f>
        <v>0</v>
      </c>
      <c r="AE94" s="26">
        <f>IF(B94="","",ROUND(SUMIFS(Sales!$Y$5:$Y$1204,Sales!$D$5:$D$1204,A94),2))</f>
        <v>0</v>
      </c>
      <c r="AF94" s="26">
        <f>IF(B94="","",ROUND(SUMIFS(Sales!$Y$5:$Y$1204,Sales!$D$5:$D$1204,A94,Sales!$H$5:$H$1204,"Service"),2))</f>
        <v>0</v>
      </c>
      <c r="AG94" s="26">
        <f>IF(B94="","",ROUND(SUMIFS(Sales!$Y$5:$Y$1204,Sales!$D$5:$D$1204,A94,Sales!$H$5:$H$1204,"Retail"),2))</f>
        <v>0</v>
      </c>
      <c r="AH94" s="26">
        <f>IF(B94="","",ROUND(SUMIFS(Sales!$Y$5:$Y$1204,Sales!$D$5:$D$1204,A94,Sales!$B$5:$B$1204,"&gt;="&amp;TodayDate-365),2))</f>
        <v>0</v>
      </c>
      <c r="AI94" s="26">
        <f>IF(B94="","",IF(T94=0,"",ROUND(AE94/T94,2)))</f>
        <v>0</v>
      </c>
      <c r="AJ94" s="26">
        <f>IF(B94="","",IF(AI94="","",IF(AC94="","",ROUND(AI94*(365/MAX(14,AC94)),2))))</f>
        <v>0</v>
      </c>
      <c r="AK94" s="26">
        <f>IF(B94="","",ROUND(SUMIFS(Sales!$AH$5:$AH$1204,Sales!$D$5:$D$1204,A94),2))</f>
        <v>0</v>
      </c>
      <c r="AL94" s="25">
        <f>IF(B94="","",IFERROR(INDEX(Loyalty!$P$5:$P$504,MATCH(A94,Loyalty!$B$5:$B$504,0))*1,0))</f>
        <v>0</v>
      </c>
      <c r="AM94" s="39">
        <f>IF(B94="","",IF(R94="Archived","Archived",IF(T94=0,"Not been yet",IF(Z94&gt;=InactiveDays,"Inactive",IF(Z94&gt;=LapsingDays,"Lapsing",IF(T94=1,"New",IF(AH94&gt;=VipSpend,"VIP",IF(U94&gt;=4,"Regular","Active"))))))))</f>
        <v>0</v>
      </c>
      <c r="AN94" s="38">
        <f>IF(B94="","",IF(T94&gt;=2,"Yes","No"))</f>
        <v>0</v>
      </c>
      <c r="AO94" s="25">
        <f>IF(B94="","",COUNTIFS($AE$5:$AE$504,"&gt;"&amp;AE94)+COUNTIFS($AE$5:AE94,AE94))</f>
        <v>0</v>
      </c>
      <c r="AP94" s="25">
        <f>IF(B94="","",COUNTIFS($T$5:$T$504,"&gt;"&amp;T94)+COUNTIFS($T$5:T94,T94))</f>
        <v>0</v>
      </c>
      <c r="AQ94" s="39">
        <f>IF(B94="","",IF(COUNTIF($B$5:$B$504,B94)&gt;1,"Duplicate - same name twice",IF(R94="Archived","",IF(AK94&gt;0.004,"Chase - balance outstanding",IF(AM94="Inactive","Gone - win-back offer",IF(AM94="Lapsing","Chase - lapsing, call them",IF(IF(N94="",FALSE,TodayDate-N94&gt;PatchTestDays),"Due - patch test out of date",IF(IF(AD94="",FALSE,IF(AB94&lt;&gt;"",FALSE,AD94&lt;=TodayDate+14)),"Rebook - due and nothing booked",IF(IF(K94="",FALSE,ABS(DATE(YEAR(TodayDate),MONTH(K94),DAY(K94))-TodayDate)&lt;=7),"Birthday - send the treat","OK")))))))))</f>
        <v>0</v>
      </c>
    </row>
    <row r="95" spans="1:43">
      <c r="A95" s="28">
        <f>IF(B95="","",ClientPrefix&amp;TEXT(ROW()-4,"0000"))</f>
        <v>0</v>
      </c>
      <c r="J95" s="15">
        <f>IF(I95="","",IFERROR(INDEX(Staff!$B$5:$B$44,MATCH(I95,Staff!$A$5:$A$44,0)),"Not in Staff"))</f>
        <v>0</v>
      </c>
      <c r="T95" s="25">
        <f>IF(B95="","",COUNTIFS(Appointments!$E$5:$E$1204,A95,Appointments!$M$5:$M$1204,"Completed"))</f>
        <v>0</v>
      </c>
      <c r="U95" s="25">
        <f>IF(B95="","",COUNTIFS(Appointments!$E$5:$E$1204,A95,Appointments!$M$5:$M$1204,"Completed",Appointments!$B$5:$B$1204,"&gt;="&amp;TodayDate-365))</f>
        <v>0</v>
      </c>
      <c r="V95" s="25">
        <f>IF(B95="","",COUNTIFS(Appointments!$E$5:$E$1204,A95,Appointments!$M$5:$M$1204,"Cancelled"))</f>
        <v>0</v>
      </c>
      <c r="W95" s="25">
        <f>IF(B95="","",COUNTIFS(Appointments!$E$5:$E$1204,A95,Appointments!$M$5:$M$1204,"No show"))</f>
        <v>0</v>
      </c>
      <c r="X95" s="17">
        <f>IF(B95="","",IF(F95&lt;&gt;"",F95,IF(T95=0,"",SUMPRODUCT(MIN((Appointments!$E$5:$E$1204=A95)*(Appointments!$M$5:$M$1204="Completed")*Appointments!$B$5:$B$1204+(1-(Appointments!$E$5:$E$1204=A95)*(Appointments!$M$5:$M$1204="Completed"))*2958465)))))</f>
        <v>0</v>
      </c>
      <c r="Y95" s="17">
        <f>IF(B95="","",IF(T95=0,"",SUMPRODUCT(MAX((Appointments!$E$5:$E$1204=A95)*(Appointments!$M$5:$M$1204="Completed")*Appointments!$B$5:$B$1204))))</f>
        <v>0</v>
      </c>
      <c r="Z95" s="25">
        <f>IF(B95="","",IF(Y95="","",TodayDate-Y95))</f>
        <v>0</v>
      </c>
      <c r="AA95" s="42">
        <f>IF(B95="","",SUMPRODUCT(MIN((Appointments!$E$5:$E$1204=A95)*(Appointments!$M$5:$M$1204&lt;&gt;"Cancelled")*(Appointments!$M$5:$M$1204&lt;&gt;"Completed")*(Appointments!$M$5:$M$1204&lt;&gt;"No show")*(Appointments!$B$5:$B$1204&gt;=TodayDate)*Appointments!$B$5:$B$1204+(1-(Appointments!$E$5:$E$1204=A95)*(Appointments!$M$5:$M$1204&lt;&gt;"Cancelled")*(Appointments!$M$5:$M$1204&lt;&gt;"Completed")*(Appointments!$M$5:$M$1204&lt;&gt;"No show")*(Appointments!$B$5:$B$1204&gt;=TodayDate))*2958465)))</f>
        <v>0</v>
      </c>
      <c r="AB95" s="17">
        <f>IF(B95="","",IF(AA95&gt;=2958465,"",AA95))</f>
        <v>0</v>
      </c>
      <c r="AC95" s="25">
        <f>IF(B95="","",IF(T95&lt;2,"",ROUND((Y95-X95)/MAX(1,T95-1),0)))</f>
        <v>0</v>
      </c>
      <c r="AD95" s="17">
        <f>IF(B95="","",IF(Y95="","",Y95+IF(AC95="",RebookWeeks*7,MAX(14,AC95))))</f>
        <v>0</v>
      </c>
      <c r="AE95" s="26">
        <f>IF(B95="","",ROUND(SUMIFS(Sales!$Y$5:$Y$1204,Sales!$D$5:$D$1204,A95),2))</f>
        <v>0</v>
      </c>
      <c r="AF95" s="26">
        <f>IF(B95="","",ROUND(SUMIFS(Sales!$Y$5:$Y$1204,Sales!$D$5:$D$1204,A95,Sales!$H$5:$H$1204,"Service"),2))</f>
        <v>0</v>
      </c>
      <c r="AG95" s="26">
        <f>IF(B95="","",ROUND(SUMIFS(Sales!$Y$5:$Y$1204,Sales!$D$5:$D$1204,A95,Sales!$H$5:$H$1204,"Retail"),2))</f>
        <v>0</v>
      </c>
      <c r="AH95" s="26">
        <f>IF(B95="","",ROUND(SUMIFS(Sales!$Y$5:$Y$1204,Sales!$D$5:$D$1204,A95,Sales!$B$5:$B$1204,"&gt;="&amp;TodayDate-365),2))</f>
        <v>0</v>
      </c>
      <c r="AI95" s="26">
        <f>IF(B95="","",IF(T95=0,"",ROUND(AE95/T95,2)))</f>
        <v>0</v>
      </c>
      <c r="AJ95" s="26">
        <f>IF(B95="","",IF(AI95="","",IF(AC95="","",ROUND(AI95*(365/MAX(14,AC95)),2))))</f>
        <v>0</v>
      </c>
      <c r="AK95" s="26">
        <f>IF(B95="","",ROUND(SUMIFS(Sales!$AH$5:$AH$1204,Sales!$D$5:$D$1204,A95),2))</f>
        <v>0</v>
      </c>
      <c r="AL95" s="25">
        <f>IF(B95="","",IFERROR(INDEX(Loyalty!$P$5:$P$504,MATCH(A95,Loyalty!$B$5:$B$504,0))*1,0))</f>
        <v>0</v>
      </c>
      <c r="AM95" s="39">
        <f>IF(B95="","",IF(R95="Archived","Archived",IF(T95=0,"Not been yet",IF(Z95&gt;=InactiveDays,"Inactive",IF(Z95&gt;=LapsingDays,"Lapsing",IF(T95=1,"New",IF(AH95&gt;=VipSpend,"VIP",IF(U95&gt;=4,"Regular","Active"))))))))</f>
        <v>0</v>
      </c>
      <c r="AN95" s="38">
        <f>IF(B95="","",IF(T95&gt;=2,"Yes","No"))</f>
        <v>0</v>
      </c>
      <c r="AO95" s="25">
        <f>IF(B95="","",COUNTIFS($AE$5:$AE$504,"&gt;"&amp;AE95)+COUNTIFS($AE$5:AE95,AE95))</f>
        <v>0</v>
      </c>
      <c r="AP95" s="25">
        <f>IF(B95="","",COUNTIFS($T$5:$T$504,"&gt;"&amp;T95)+COUNTIFS($T$5:T95,T95))</f>
        <v>0</v>
      </c>
      <c r="AQ95" s="39">
        <f>IF(B95="","",IF(COUNTIF($B$5:$B$504,B95)&gt;1,"Duplicate - same name twice",IF(R95="Archived","",IF(AK95&gt;0.004,"Chase - balance outstanding",IF(AM95="Inactive","Gone - win-back offer",IF(AM95="Lapsing","Chase - lapsing, call them",IF(IF(N95="",FALSE,TodayDate-N95&gt;PatchTestDays),"Due - patch test out of date",IF(IF(AD95="",FALSE,IF(AB95&lt;&gt;"",FALSE,AD95&lt;=TodayDate+14)),"Rebook - due and nothing booked",IF(IF(K95="",FALSE,ABS(DATE(YEAR(TodayDate),MONTH(K95),DAY(K95))-TodayDate)&lt;=7),"Birthday - send the treat","OK")))))))))</f>
        <v>0</v>
      </c>
    </row>
    <row r="96" spans="1:43">
      <c r="A96" s="28">
        <f>IF(B96="","",ClientPrefix&amp;TEXT(ROW()-4,"0000"))</f>
        <v>0</v>
      </c>
      <c r="J96" s="15">
        <f>IF(I96="","",IFERROR(INDEX(Staff!$B$5:$B$44,MATCH(I96,Staff!$A$5:$A$44,0)),"Not in Staff"))</f>
        <v>0</v>
      </c>
      <c r="T96" s="25">
        <f>IF(B96="","",COUNTIFS(Appointments!$E$5:$E$1204,A96,Appointments!$M$5:$M$1204,"Completed"))</f>
        <v>0</v>
      </c>
      <c r="U96" s="25">
        <f>IF(B96="","",COUNTIFS(Appointments!$E$5:$E$1204,A96,Appointments!$M$5:$M$1204,"Completed",Appointments!$B$5:$B$1204,"&gt;="&amp;TodayDate-365))</f>
        <v>0</v>
      </c>
      <c r="V96" s="25">
        <f>IF(B96="","",COUNTIFS(Appointments!$E$5:$E$1204,A96,Appointments!$M$5:$M$1204,"Cancelled"))</f>
        <v>0</v>
      </c>
      <c r="W96" s="25">
        <f>IF(B96="","",COUNTIFS(Appointments!$E$5:$E$1204,A96,Appointments!$M$5:$M$1204,"No show"))</f>
        <v>0</v>
      </c>
      <c r="X96" s="17">
        <f>IF(B96="","",IF(F96&lt;&gt;"",F96,IF(T96=0,"",SUMPRODUCT(MIN((Appointments!$E$5:$E$1204=A96)*(Appointments!$M$5:$M$1204="Completed")*Appointments!$B$5:$B$1204+(1-(Appointments!$E$5:$E$1204=A96)*(Appointments!$M$5:$M$1204="Completed"))*2958465)))))</f>
        <v>0</v>
      </c>
      <c r="Y96" s="17">
        <f>IF(B96="","",IF(T96=0,"",SUMPRODUCT(MAX((Appointments!$E$5:$E$1204=A96)*(Appointments!$M$5:$M$1204="Completed")*Appointments!$B$5:$B$1204))))</f>
        <v>0</v>
      </c>
      <c r="Z96" s="25">
        <f>IF(B96="","",IF(Y96="","",TodayDate-Y96))</f>
        <v>0</v>
      </c>
      <c r="AA96" s="42">
        <f>IF(B96="","",SUMPRODUCT(MIN((Appointments!$E$5:$E$1204=A96)*(Appointments!$M$5:$M$1204&lt;&gt;"Cancelled")*(Appointments!$M$5:$M$1204&lt;&gt;"Completed")*(Appointments!$M$5:$M$1204&lt;&gt;"No show")*(Appointments!$B$5:$B$1204&gt;=TodayDate)*Appointments!$B$5:$B$1204+(1-(Appointments!$E$5:$E$1204=A96)*(Appointments!$M$5:$M$1204&lt;&gt;"Cancelled")*(Appointments!$M$5:$M$1204&lt;&gt;"Completed")*(Appointments!$M$5:$M$1204&lt;&gt;"No show")*(Appointments!$B$5:$B$1204&gt;=TodayDate))*2958465)))</f>
        <v>0</v>
      </c>
      <c r="AB96" s="17">
        <f>IF(B96="","",IF(AA96&gt;=2958465,"",AA96))</f>
        <v>0</v>
      </c>
      <c r="AC96" s="25">
        <f>IF(B96="","",IF(T96&lt;2,"",ROUND((Y96-X96)/MAX(1,T96-1),0)))</f>
        <v>0</v>
      </c>
      <c r="AD96" s="17">
        <f>IF(B96="","",IF(Y96="","",Y96+IF(AC96="",RebookWeeks*7,MAX(14,AC96))))</f>
        <v>0</v>
      </c>
      <c r="AE96" s="26">
        <f>IF(B96="","",ROUND(SUMIFS(Sales!$Y$5:$Y$1204,Sales!$D$5:$D$1204,A96),2))</f>
        <v>0</v>
      </c>
      <c r="AF96" s="26">
        <f>IF(B96="","",ROUND(SUMIFS(Sales!$Y$5:$Y$1204,Sales!$D$5:$D$1204,A96,Sales!$H$5:$H$1204,"Service"),2))</f>
        <v>0</v>
      </c>
      <c r="AG96" s="26">
        <f>IF(B96="","",ROUND(SUMIFS(Sales!$Y$5:$Y$1204,Sales!$D$5:$D$1204,A96,Sales!$H$5:$H$1204,"Retail"),2))</f>
        <v>0</v>
      </c>
      <c r="AH96" s="26">
        <f>IF(B96="","",ROUND(SUMIFS(Sales!$Y$5:$Y$1204,Sales!$D$5:$D$1204,A96,Sales!$B$5:$B$1204,"&gt;="&amp;TodayDate-365),2))</f>
        <v>0</v>
      </c>
      <c r="AI96" s="26">
        <f>IF(B96="","",IF(T96=0,"",ROUND(AE96/T96,2)))</f>
        <v>0</v>
      </c>
      <c r="AJ96" s="26">
        <f>IF(B96="","",IF(AI96="","",IF(AC96="","",ROUND(AI96*(365/MAX(14,AC96)),2))))</f>
        <v>0</v>
      </c>
      <c r="AK96" s="26">
        <f>IF(B96="","",ROUND(SUMIFS(Sales!$AH$5:$AH$1204,Sales!$D$5:$D$1204,A96),2))</f>
        <v>0</v>
      </c>
      <c r="AL96" s="25">
        <f>IF(B96="","",IFERROR(INDEX(Loyalty!$P$5:$P$504,MATCH(A96,Loyalty!$B$5:$B$504,0))*1,0))</f>
        <v>0</v>
      </c>
      <c r="AM96" s="39">
        <f>IF(B96="","",IF(R96="Archived","Archived",IF(T96=0,"Not been yet",IF(Z96&gt;=InactiveDays,"Inactive",IF(Z96&gt;=LapsingDays,"Lapsing",IF(T96=1,"New",IF(AH96&gt;=VipSpend,"VIP",IF(U96&gt;=4,"Regular","Active"))))))))</f>
        <v>0</v>
      </c>
      <c r="AN96" s="38">
        <f>IF(B96="","",IF(T96&gt;=2,"Yes","No"))</f>
        <v>0</v>
      </c>
      <c r="AO96" s="25">
        <f>IF(B96="","",COUNTIFS($AE$5:$AE$504,"&gt;"&amp;AE96)+COUNTIFS($AE$5:AE96,AE96))</f>
        <v>0</v>
      </c>
      <c r="AP96" s="25">
        <f>IF(B96="","",COUNTIFS($T$5:$T$504,"&gt;"&amp;T96)+COUNTIFS($T$5:T96,T96))</f>
        <v>0</v>
      </c>
      <c r="AQ96" s="39">
        <f>IF(B96="","",IF(COUNTIF($B$5:$B$504,B96)&gt;1,"Duplicate - same name twice",IF(R96="Archived","",IF(AK96&gt;0.004,"Chase - balance outstanding",IF(AM96="Inactive","Gone - win-back offer",IF(AM96="Lapsing","Chase - lapsing, call them",IF(IF(N96="",FALSE,TodayDate-N96&gt;PatchTestDays),"Due - patch test out of date",IF(IF(AD96="",FALSE,IF(AB96&lt;&gt;"",FALSE,AD96&lt;=TodayDate+14)),"Rebook - due and nothing booked",IF(IF(K96="",FALSE,ABS(DATE(YEAR(TodayDate),MONTH(K96),DAY(K96))-TodayDate)&lt;=7),"Birthday - send the treat","OK")))))))))</f>
        <v>0</v>
      </c>
    </row>
    <row r="97" spans="1:43">
      <c r="A97" s="28">
        <f>IF(B97="","",ClientPrefix&amp;TEXT(ROW()-4,"0000"))</f>
        <v>0</v>
      </c>
      <c r="J97" s="15">
        <f>IF(I97="","",IFERROR(INDEX(Staff!$B$5:$B$44,MATCH(I97,Staff!$A$5:$A$44,0)),"Not in Staff"))</f>
        <v>0</v>
      </c>
      <c r="T97" s="25">
        <f>IF(B97="","",COUNTIFS(Appointments!$E$5:$E$1204,A97,Appointments!$M$5:$M$1204,"Completed"))</f>
        <v>0</v>
      </c>
      <c r="U97" s="25">
        <f>IF(B97="","",COUNTIFS(Appointments!$E$5:$E$1204,A97,Appointments!$M$5:$M$1204,"Completed",Appointments!$B$5:$B$1204,"&gt;="&amp;TodayDate-365))</f>
        <v>0</v>
      </c>
      <c r="V97" s="25">
        <f>IF(B97="","",COUNTIFS(Appointments!$E$5:$E$1204,A97,Appointments!$M$5:$M$1204,"Cancelled"))</f>
        <v>0</v>
      </c>
      <c r="W97" s="25">
        <f>IF(B97="","",COUNTIFS(Appointments!$E$5:$E$1204,A97,Appointments!$M$5:$M$1204,"No show"))</f>
        <v>0</v>
      </c>
      <c r="X97" s="17">
        <f>IF(B97="","",IF(F97&lt;&gt;"",F97,IF(T97=0,"",SUMPRODUCT(MIN((Appointments!$E$5:$E$1204=A97)*(Appointments!$M$5:$M$1204="Completed")*Appointments!$B$5:$B$1204+(1-(Appointments!$E$5:$E$1204=A97)*(Appointments!$M$5:$M$1204="Completed"))*2958465)))))</f>
        <v>0</v>
      </c>
      <c r="Y97" s="17">
        <f>IF(B97="","",IF(T97=0,"",SUMPRODUCT(MAX((Appointments!$E$5:$E$1204=A97)*(Appointments!$M$5:$M$1204="Completed")*Appointments!$B$5:$B$1204))))</f>
        <v>0</v>
      </c>
      <c r="Z97" s="25">
        <f>IF(B97="","",IF(Y97="","",TodayDate-Y97))</f>
        <v>0</v>
      </c>
      <c r="AA97" s="42">
        <f>IF(B97="","",SUMPRODUCT(MIN((Appointments!$E$5:$E$1204=A97)*(Appointments!$M$5:$M$1204&lt;&gt;"Cancelled")*(Appointments!$M$5:$M$1204&lt;&gt;"Completed")*(Appointments!$M$5:$M$1204&lt;&gt;"No show")*(Appointments!$B$5:$B$1204&gt;=TodayDate)*Appointments!$B$5:$B$1204+(1-(Appointments!$E$5:$E$1204=A97)*(Appointments!$M$5:$M$1204&lt;&gt;"Cancelled")*(Appointments!$M$5:$M$1204&lt;&gt;"Completed")*(Appointments!$M$5:$M$1204&lt;&gt;"No show")*(Appointments!$B$5:$B$1204&gt;=TodayDate))*2958465)))</f>
        <v>0</v>
      </c>
      <c r="AB97" s="17">
        <f>IF(B97="","",IF(AA97&gt;=2958465,"",AA97))</f>
        <v>0</v>
      </c>
      <c r="AC97" s="25">
        <f>IF(B97="","",IF(T97&lt;2,"",ROUND((Y97-X97)/MAX(1,T97-1),0)))</f>
        <v>0</v>
      </c>
      <c r="AD97" s="17">
        <f>IF(B97="","",IF(Y97="","",Y97+IF(AC97="",RebookWeeks*7,MAX(14,AC97))))</f>
        <v>0</v>
      </c>
      <c r="AE97" s="26">
        <f>IF(B97="","",ROUND(SUMIFS(Sales!$Y$5:$Y$1204,Sales!$D$5:$D$1204,A97),2))</f>
        <v>0</v>
      </c>
      <c r="AF97" s="26">
        <f>IF(B97="","",ROUND(SUMIFS(Sales!$Y$5:$Y$1204,Sales!$D$5:$D$1204,A97,Sales!$H$5:$H$1204,"Service"),2))</f>
        <v>0</v>
      </c>
      <c r="AG97" s="26">
        <f>IF(B97="","",ROUND(SUMIFS(Sales!$Y$5:$Y$1204,Sales!$D$5:$D$1204,A97,Sales!$H$5:$H$1204,"Retail"),2))</f>
        <v>0</v>
      </c>
      <c r="AH97" s="26">
        <f>IF(B97="","",ROUND(SUMIFS(Sales!$Y$5:$Y$1204,Sales!$D$5:$D$1204,A97,Sales!$B$5:$B$1204,"&gt;="&amp;TodayDate-365),2))</f>
        <v>0</v>
      </c>
      <c r="AI97" s="26">
        <f>IF(B97="","",IF(T97=0,"",ROUND(AE97/T97,2)))</f>
        <v>0</v>
      </c>
      <c r="AJ97" s="26">
        <f>IF(B97="","",IF(AI97="","",IF(AC97="","",ROUND(AI97*(365/MAX(14,AC97)),2))))</f>
        <v>0</v>
      </c>
      <c r="AK97" s="26">
        <f>IF(B97="","",ROUND(SUMIFS(Sales!$AH$5:$AH$1204,Sales!$D$5:$D$1204,A97),2))</f>
        <v>0</v>
      </c>
      <c r="AL97" s="25">
        <f>IF(B97="","",IFERROR(INDEX(Loyalty!$P$5:$P$504,MATCH(A97,Loyalty!$B$5:$B$504,0))*1,0))</f>
        <v>0</v>
      </c>
      <c r="AM97" s="39">
        <f>IF(B97="","",IF(R97="Archived","Archived",IF(T97=0,"Not been yet",IF(Z97&gt;=InactiveDays,"Inactive",IF(Z97&gt;=LapsingDays,"Lapsing",IF(T97=1,"New",IF(AH97&gt;=VipSpend,"VIP",IF(U97&gt;=4,"Regular","Active"))))))))</f>
        <v>0</v>
      </c>
      <c r="AN97" s="38">
        <f>IF(B97="","",IF(T97&gt;=2,"Yes","No"))</f>
        <v>0</v>
      </c>
      <c r="AO97" s="25">
        <f>IF(B97="","",COUNTIFS($AE$5:$AE$504,"&gt;"&amp;AE97)+COUNTIFS($AE$5:AE97,AE97))</f>
        <v>0</v>
      </c>
      <c r="AP97" s="25">
        <f>IF(B97="","",COUNTIFS($T$5:$T$504,"&gt;"&amp;T97)+COUNTIFS($T$5:T97,T97))</f>
        <v>0</v>
      </c>
      <c r="AQ97" s="39">
        <f>IF(B97="","",IF(COUNTIF($B$5:$B$504,B97)&gt;1,"Duplicate - same name twice",IF(R97="Archived","",IF(AK97&gt;0.004,"Chase - balance outstanding",IF(AM97="Inactive","Gone - win-back offer",IF(AM97="Lapsing","Chase - lapsing, call them",IF(IF(N97="",FALSE,TodayDate-N97&gt;PatchTestDays),"Due - patch test out of date",IF(IF(AD97="",FALSE,IF(AB97&lt;&gt;"",FALSE,AD97&lt;=TodayDate+14)),"Rebook - due and nothing booked",IF(IF(K97="",FALSE,ABS(DATE(YEAR(TodayDate),MONTH(K97),DAY(K97))-TodayDate)&lt;=7),"Birthday - send the treat","OK")))))))))</f>
        <v>0</v>
      </c>
    </row>
    <row r="98" spans="1:43">
      <c r="A98" s="28">
        <f>IF(B98="","",ClientPrefix&amp;TEXT(ROW()-4,"0000"))</f>
        <v>0</v>
      </c>
      <c r="J98" s="15">
        <f>IF(I98="","",IFERROR(INDEX(Staff!$B$5:$B$44,MATCH(I98,Staff!$A$5:$A$44,0)),"Not in Staff"))</f>
        <v>0</v>
      </c>
      <c r="T98" s="25">
        <f>IF(B98="","",COUNTIFS(Appointments!$E$5:$E$1204,A98,Appointments!$M$5:$M$1204,"Completed"))</f>
        <v>0</v>
      </c>
      <c r="U98" s="25">
        <f>IF(B98="","",COUNTIFS(Appointments!$E$5:$E$1204,A98,Appointments!$M$5:$M$1204,"Completed",Appointments!$B$5:$B$1204,"&gt;="&amp;TodayDate-365))</f>
        <v>0</v>
      </c>
      <c r="V98" s="25">
        <f>IF(B98="","",COUNTIFS(Appointments!$E$5:$E$1204,A98,Appointments!$M$5:$M$1204,"Cancelled"))</f>
        <v>0</v>
      </c>
      <c r="W98" s="25">
        <f>IF(B98="","",COUNTIFS(Appointments!$E$5:$E$1204,A98,Appointments!$M$5:$M$1204,"No show"))</f>
        <v>0</v>
      </c>
      <c r="X98" s="17">
        <f>IF(B98="","",IF(F98&lt;&gt;"",F98,IF(T98=0,"",SUMPRODUCT(MIN((Appointments!$E$5:$E$1204=A98)*(Appointments!$M$5:$M$1204="Completed")*Appointments!$B$5:$B$1204+(1-(Appointments!$E$5:$E$1204=A98)*(Appointments!$M$5:$M$1204="Completed"))*2958465)))))</f>
        <v>0</v>
      </c>
      <c r="Y98" s="17">
        <f>IF(B98="","",IF(T98=0,"",SUMPRODUCT(MAX((Appointments!$E$5:$E$1204=A98)*(Appointments!$M$5:$M$1204="Completed")*Appointments!$B$5:$B$1204))))</f>
        <v>0</v>
      </c>
      <c r="Z98" s="25">
        <f>IF(B98="","",IF(Y98="","",TodayDate-Y98))</f>
        <v>0</v>
      </c>
      <c r="AA98" s="42">
        <f>IF(B98="","",SUMPRODUCT(MIN((Appointments!$E$5:$E$1204=A98)*(Appointments!$M$5:$M$1204&lt;&gt;"Cancelled")*(Appointments!$M$5:$M$1204&lt;&gt;"Completed")*(Appointments!$M$5:$M$1204&lt;&gt;"No show")*(Appointments!$B$5:$B$1204&gt;=TodayDate)*Appointments!$B$5:$B$1204+(1-(Appointments!$E$5:$E$1204=A98)*(Appointments!$M$5:$M$1204&lt;&gt;"Cancelled")*(Appointments!$M$5:$M$1204&lt;&gt;"Completed")*(Appointments!$M$5:$M$1204&lt;&gt;"No show")*(Appointments!$B$5:$B$1204&gt;=TodayDate))*2958465)))</f>
        <v>0</v>
      </c>
      <c r="AB98" s="17">
        <f>IF(B98="","",IF(AA98&gt;=2958465,"",AA98))</f>
        <v>0</v>
      </c>
      <c r="AC98" s="25">
        <f>IF(B98="","",IF(T98&lt;2,"",ROUND((Y98-X98)/MAX(1,T98-1),0)))</f>
        <v>0</v>
      </c>
      <c r="AD98" s="17">
        <f>IF(B98="","",IF(Y98="","",Y98+IF(AC98="",RebookWeeks*7,MAX(14,AC98))))</f>
        <v>0</v>
      </c>
      <c r="AE98" s="26">
        <f>IF(B98="","",ROUND(SUMIFS(Sales!$Y$5:$Y$1204,Sales!$D$5:$D$1204,A98),2))</f>
        <v>0</v>
      </c>
      <c r="AF98" s="26">
        <f>IF(B98="","",ROUND(SUMIFS(Sales!$Y$5:$Y$1204,Sales!$D$5:$D$1204,A98,Sales!$H$5:$H$1204,"Service"),2))</f>
        <v>0</v>
      </c>
      <c r="AG98" s="26">
        <f>IF(B98="","",ROUND(SUMIFS(Sales!$Y$5:$Y$1204,Sales!$D$5:$D$1204,A98,Sales!$H$5:$H$1204,"Retail"),2))</f>
        <v>0</v>
      </c>
      <c r="AH98" s="26">
        <f>IF(B98="","",ROUND(SUMIFS(Sales!$Y$5:$Y$1204,Sales!$D$5:$D$1204,A98,Sales!$B$5:$B$1204,"&gt;="&amp;TodayDate-365),2))</f>
        <v>0</v>
      </c>
      <c r="AI98" s="26">
        <f>IF(B98="","",IF(T98=0,"",ROUND(AE98/T98,2)))</f>
        <v>0</v>
      </c>
      <c r="AJ98" s="26">
        <f>IF(B98="","",IF(AI98="","",IF(AC98="","",ROUND(AI98*(365/MAX(14,AC98)),2))))</f>
        <v>0</v>
      </c>
      <c r="AK98" s="26">
        <f>IF(B98="","",ROUND(SUMIFS(Sales!$AH$5:$AH$1204,Sales!$D$5:$D$1204,A98),2))</f>
        <v>0</v>
      </c>
      <c r="AL98" s="25">
        <f>IF(B98="","",IFERROR(INDEX(Loyalty!$P$5:$P$504,MATCH(A98,Loyalty!$B$5:$B$504,0))*1,0))</f>
        <v>0</v>
      </c>
      <c r="AM98" s="39">
        <f>IF(B98="","",IF(R98="Archived","Archived",IF(T98=0,"Not been yet",IF(Z98&gt;=InactiveDays,"Inactive",IF(Z98&gt;=LapsingDays,"Lapsing",IF(T98=1,"New",IF(AH98&gt;=VipSpend,"VIP",IF(U98&gt;=4,"Regular","Active"))))))))</f>
        <v>0</v>
      </c>
      <c r="AN98" s="38">
        <f>IF(B98="","",IF(T98&gt;=2,"Yes","No"))</f>
        <v>0</v>
      </c>
      <c r="AO98" s="25">
        <f>IF(B98="","",COUNTIFS($AE$5:$AE$504,"&gt;"&amp;AE98)+COUNTIFS($AE$5:AE98,AE98))</f>
        <v>0</v>
      </c>
      <c r="AP98" s="25">
        <f>IF(B98="","",COUNTIFS($T$5:$T$504,"&gt;"&amp;T98)+COUNTIFS($T$5:T98,T98))</f>
        <v>0</v>
      </c>
      <c r="AQ98" s="39">
        <f>IF(B98="","",IF(COUNTIF($B$5:$B$504,B98)&gt;1,"Duplicate - same name twice",IF(R98="Archived","",IF(AK98&gt;0.004,"Chase - balance outstanding",IF(AM98="Inactive","Gone - win-back offer",IF(AM98="Lapsing","Chase - lapsing, call them",IF(IF(N98="",FALSE,TodayDate-N98&gt;PatchTestDays),"Due - patch test out of date",IF(IF(AD98="",FALSE,IF(AB98&lt;&gt;"",FALSE,AD98&lt;=TodayDate+14)),"Rebook - due and nothing booked",IF(IF(K98="",FALSE,ABS(DATE(YEAR(TodayDate),MONTH(K98),DAY(K98))-TodayDate)&lt;=7),"Birthday - send the treat","OK")))))))))</f>
        <v>0</v>
      </c>
    </row>
    <row r="99" spans="1:43">
      <c r="A99" s="28">
        <f>IF(B99="","",ClientPrefix&amp;TEXT(ROW()-4,"0000"))</f>
        <v>0</v>
      </c>
      <c r="J99" s="15">
        <f>IF(I99="","",IFERROR(INDEX(Staff!$B$5:$B$44,MATCH(I99,Staff!$A$5:$A$44,0)),"Not in Staff"))</f>
        <v>0</v>
      </c>
      <c r="T99" s="25">
        <f>IF(B99="","",COUNTIFS(Appointments!$E$5:$E$1204,A99,Appointments!$M$5:$M$1204,"Completed"))</f>
        <v>0</v>
      </c>
      <c r="U99" s="25">
        <f>IF(B99="","",COUNTIFS(Appointments!$E$5:$E$1204,A99,Appointments!$M$5:$M$1204,"Completed",Appointments!$B$5:$B$1204,"&gt;="&amp;TodayDate-365))</f>
        <v>0</v>
      </c>
      <c r="V99" s="25">
        <f>IF(B99="","",COUNTIFS(Appointments!$E$5:$E$1204,A99,Appointments!$M$5:$M$1204,"Cancelled"))</f>
        <v>0</v>
      </c>
      <c r="W99" s="25">
        <f>IF(B99="","",COUNTIFS(Appointments!$E$5:$E$1204,A99,Appointments!$M$5:$M$1204,"No show"))</f>
        <v>0</v>
      </c>
      <c r="X99" s="17">
        <f>IF(B99="","",IF(F99&lt;&gt;"",F99,IF(T99=0,"",SUMPRODUCT(MIN((Appointments!$E$5:$E$1204=A99)*(Appointments!$M$5:$M$1204="Completed")*Appointments!$B$5:$B$1204+(1-(Appointments!$E$5:$E$1204=A99)*(Appointments!$M$5:$M$1204="Completed"))*2958465)))))</f>
        <v>0</v>
      </c>
      <c r="Y99" s="17">
        <f>IF(B99="","",IF(T99=0,"",SUMPRODUCT(MAX((Appointments!$E$5:$E$1204=A99)*(Appointments!$M$5:$M$1204="Completed")*Appointments!$B$5:$B$1204))))</f>
        <v>0</v>
      </c>
      <c r="Z99" s="25">
        <f>IF(B99="","",IF(Y99="","",TodayDate-Y99))</f>
        <v>0</v>
      </c>
      <c r="AA99" s="42">
        <f>IF(B99="","",SUMPRODUCT(MIN((Appointments!$E$5:$E$1204=A99)*(Appointments!$M$5:$M$1204&lt;&gt;"Cancelled")*(Appointments!$M$5:$M$1204&lt;&gt;"Completed")*(Appointments!$M$5:$M$1204&lt;&gt;"No show")*(Appointments!$B$5:$B$1204&gt;=TodayDate)*Appointments!$B$5:$B$1204+(1-(Appointments!$E$5:$E$1204=A99)*(Appointments!$M$5:$M$1204&lt;&gt;"Cancelled")*(Appointments!$M$5:$M$1204&lt;&gt;"Completed")*(Appointments!$M$5:$M$1204&lt;&gt;"No show")*(Appointments!$B$5:$B$1204&gt;=TodayDate))*2958465)))</f>
        <v>0</v>
      </c>
      <c r="AB99" s="17">
        <f>IF(B99="","",IF(AA99&gt;=2958465,"",AA99))</f>
        <v>0</v>
      </c>
      <c r="AC99" s="25">
        <f>IF(B99="","",IF(T99&lt;2,"",ROUND((Y99-X99)/MAX(1,T99-1),0)))</f>
        <v>0</v>
      </c>
      <c r="AD99" s="17">
        <f>IF(B99="","",IF(Y99="","",Y99+IF(AC99="",RebookWeeks*7,MAX(14,AC99))))</f>
        <v>0</v>
      </c>
      <c r="AE99" s="26">
        <f>IF(B99="","",ROUND(SUMIFS(Sales!$Y$5:$Y$1204,Sales!$D$5:$D$1204,A99),2))</f>
        <v>0</v>
      </c>
      <c r="AF99" s="26">
        <f>IF(B99="","",ROUND(SUMIFS(Sales!$Y$5:$Y$1204,Sales!$D$5:$D$1204,A99,Sales!$H$5:$H$1204,"Service"),2))</f>
        <v>0</v>
      </c>
      <c r="AG99" s="26">
        <f>IF(B99="","",ROUND(SUMIFS(Sales!$Y$5:$Y$1204,Sales!$D$5:$D$1204,A99,Sales!$H$5:$H$1204,"Retail"),2))</f>
        <v>0</v>
      </c>
      <c r="AH99" s="26">
        <f>IF(B99="","",ROUND(SUMIFS(Sales!$Y$5:$Y$1204,Sales!$D$5:$D$1204,A99,Sales!$B$5:$B$1204,"&gt;="&amp;TodayDate-365),2))</f>
        <v>0</v>
      </c>
      <c r="AI99" s="26">
        <f>IF(B99="","",IF(T99=0,"",ROUND(AE99/T99,2)))</f>
        <v>0</v>
      </c>
      <c r="AJ99" s="26">
        <f>IF(B99="","",IF(AI99="","",IF(AC99="","",ROUND(AI99*(365/MAX(14,AC99)),2))))</f>
        <v>0</v>
      </c>
      <c r="AK99" s="26">
        <f>IF(B99="","",ROUND(SUMIFS(Sales!$AH$5:$AH$1204,Sales!$D$5:$D$1204,A99),2))</f>
        <v>0</v>
      </c>
      <c r="AL99" s="25">
        <f>IF(B99="","",IFERROR(INDEX(Loyalty!$P$5:$P$504,MATCH(A99,Loyalty!$B$5:$B$504,0))*1,0))</f>
        <v>0</v>
      </c>
      <c r="AM99" s="39">
        <f>IF(B99="","",IF(R99="Archived","Archived",IF(T99=0,"Not been yet",IF(Z99&gt;=InactiveDays,"Inactive",IF(Z99&gt;=LapsingDays,"Lapsing",IF(T99=1,"New",IF(AH99&gt;=VipSpend,"VIP",IF(U99&gt;=4,"Regular","Active"))))))))</f>
        <v>0</v>
      </c>
      <c r="AN99" s="38">
        <f>IF(B99="","",IF(T99&gt;=2,"Yes","No"))</f>
        <v>0</v>
      </c>
      <c r="AO99" s="25">
        <f>IF(B99="","",COUNTIFS($AE$5:$AE$504,"&gt;"&amp;AE99)+COUNTIFS($AE$5:AE99,AE99))</f>
        <v>0</v>
      </c>
      <c r="AP99" s="25">
        <f>IF(B99="","",COUNTIFS($T$5:$T$504,"&gt;"&amp;T99)+COUNTIFS($T$5:T99,T99))</f>
        <v>0</v>
      </c>
      <c r="AQ99" s="39">
        <f>IF(B99="","",IF(COUNTIF($B$5:$B$504,B99)&gt;1,"Duplicate - same name twice",IF(R99="Archived","",IF(AK99&gt;0.004,"Chase - balance outstanding",IF(AM99="Inactive","Gone - win-back offer",IF(AM99="Lapsing","Chase - lapsing, call them",IF(IF(N99="",FALSE,TodayDate-N99&gt;PatchTestDays),"Due - patch test out of date",IF(IF(AD99="",FALSE,IF(AB99&lt;&gt;"",FALSE,AD99&lt;=TodayDate+14)),"Rebook - due and nothing booked",IF(IF(K99="",FALSE,ABS(DATE(YEAR(TodayDate),MONTH(K99),DAY(K99))-TodayDate)&lt;=7),"Birthday - send the treat","OK")))))))))</f>
        <v>0</v>
      </c>
    </row>
    <row r="100" spans="1:43">
      <c r="A100" s="28">
        <f>IF(B100="","",ClientPrefix&amp;TEXT(ROW()-4,"0000"))</f>
        <v>0</v>
      </c>
      <c r="J100" s="15">
        <f>IF(I100="","",IFERROR(INDEX(Staff!$B$5:$B$44,MATCH(I100,Staff!$A$5:$A$44,0)),"Not in Staff"))</f>
        <v>0</v>
      </c>
      <c r="T100" s="25">
        <f>IF(B100="","",COUNTIFS(Appointments!$E$5:$E$1204,A100,Appointments!$M$5:$M$1204,"Completed"))</f>
        <v>0</v>
      </c>
      <c r="U100" s="25">
        <f>IF(B100="","",COUNTIFS(Appointments!$E$5:$E$1204,A100,Appointments!$M$5:$M$1204,"Completed",Appointments!$B$5:$B$1204,"&gt;="&amp;TodayDate-365))</f>
        <v>0</v>
      </c>
      <c r="V100" s="25">
        <f>IF(B100="","",COUNTIFS(Appointments!$E$5:$E$1204,A100,Appointments!$M$5:$M$1204,"Cancelled"))</f>
        <v>0</v>
      </c>
      <c r="W100" s="25">
        <f>IF(B100="","",COUNTIFS(Appointments!$E$5:$E$1204,A100,Appointments!$M$5:$M$1204,"No show"))</f>
        <v>0</v>
      </c>
      <c r="X100" s="17">
        <f>IF(B100="","",IF(F100&lt;&gt;"",F100,IF(T100=0,"",SUMPRODUCT(MIN((Appointments!$E$5:$E$1204=A100)*(Appointments!$M$5:$M$1204="Completed")*Appointments!$B$5:$B$1204+(1-(Appointments!$E$5:$E$1204=A100)*(Appointments!$M$5:$M$1204="Completed"))*2958465)))))</f>
        <v>0</v>
      </c>
      <c r="Y100" s="17">
        <f>IF(B100="","",IF(T100=0,"",SUMPRODUCT(MAX((Appointments!$E$5:$E$1204=A100)*(Appointments!$M$5:$M$1204="Completed")*Appointments!$B$5:$B$1204))))</f>
        <v>0</v>
      </c>
      <c r="Z100" s="25">
        <f>IF(B100="","",IF(Y100="","",TodayDate-Y100))</f>
        <v>0</v>
      </c>
      <c r="AA100" s="42">
        <f>IF(B100="","",SUMPRODUCT(MIN((Appointments!$E$5:$E$1204=A100)*(Appointments!$M$5:$M$1204&lt;&gt;"Cancelled")*(Appointments!$M$5:$M$1204&lt;&gt;"Completed")*(Appointments!$M$5:$M$1204&lt;&gt;"No show")*(Appointments!$B$5:$B$1204&gt;=TodayDate)*Appointments!$B$5:$B$1204+(1-(Appointments!$E$5:$E$1204=A100)*(Appointments!$M$5:$M$1204&lt;&gt;"Cancelled")*(Appointments!$M$5:$M$1204&lt;&gt;"Completed")*(Appointments!$M$5:$M$1204&lt;&gt;"No show")*(Appointments!$B$5:$B$1204&gt;=TodayDate))*2958465)))</f>
        <v>0</v>
      </c>
      <c r="AB100" s="17">
        <f>IF(B100="","",IF(AA100&gt;=2958465,"",AA100))</f>
        <v>0</v>
      </c>
      <c r="AC100" s="25">
        <f>IF(B100="","",IF(T100&lt;2,"",ROUND((Y100-X100)/MAX(1,T100-1),0)))</f>
        <v>0</v>
      </c>
      <c r="AD100" s="17">
        <f>IF(B100="","",IF(Y100="","",Y100+IF(AC100="",RebookWeeks*7,MAX(14,AC100))))</f>
        <v>0</v>
      </c>
      <c r="AE100" s="26">
        <f>IF(B100="","",ROUND(SUMIFS(Sales!$Y$5:$Y$1204,Sales!$D$5:$D$1204,A100),2))</f>
        <v>0</v>
      </c>
      <c r="AF100" s="26">
        <f>IF(B100="","",ROUND(SUMIFS(Sales!$Y$5:$Y$1204,Sales!$D$5:$D$1204,A100,Sales!$H$5:$H$1204,"Service"),2))</f>
        <v>0</v>
      </c>
      <c r="AG100" s="26">
        <f>IF(B100="","",ROUND(SUMIFS(Sales!$Y$5:$Y$1204,Sales!$D$5:$D$1204,A100,Sales!$H$5:$H$1204,"Retail"),2))</f>
        <v>0</v>
      </c>
      <c r="AH100" s="26">
        <f>IF(B100="","",ROUND(SUMIFS(Sales!$Y$5:$Y$1204,Sales!$D$5:$D$1204,A100,Sales!$B$5:$B$1204,"&gt;="&amp;TodayDate-365),2))</f>
        <v>0</v>
      </c>
      <c r="AI100" s="26">
        <f>IF(B100="","",IF(T100=0,"",ROUND(AE100/T100,2)))</f>
        <v>0</v>
      </c>
      <c r="AJ100" s="26">
        <f>IF(B100="","",IF(AI100="","",IF(AC100="","",ROUND(AI100*(365/MAX(14,AC100)),2))))</f>
        <v>0</v>
      </c>
      <c r="AK100" s="26">
        <f>IF(B100="","",ROUND(SUMIFS(Sales!$AH$5:$AH$1204,Sales!$D$5:$D$1204,A100),2))</f>
        <v>0</v>
      </c>
      <c r="AL100" s="25">
        <f>IF(B100="","",IFERROR(INDEX(Loyalty!$P$5:$P$504,MATCH(A100,Loyalty!$B$5:$B$504,0))*1,0))</f>
        <v>0</v>
      </c>
      <c r="AM100" s="39">
        <f>IF(B100="","",IF(R100="Archived","Archived",IF(T100=0,"Not been yet",IF(Z100&gt;=InactiveDays,"Inactive",IF(Z100&gt;=LapsingDays,"Lapsing",IF(T100=1,"New",IF(AH100&gt;=VipSpend,"VIP",IF(U100&gt;=4,"Regular","Active"))))))))</f>
        <v>0</v>
      </c>
      <c r="AN100" s="38">
        <f>IF(B100="","",IF(T100&gt;=2,"Yes","No"))</f>
        <v>0</v>
      </c>
      <c r="AO100" s="25">
        <f>IF(B100="","",COUNTIFS($AE$5:$AE$504,"&gt;"&amp;AE100)+COUNTIFS($AE$5:AE100,AE100))</f>
        <v>0</v>
      </c>
      <c r="AP100" s="25">
        <f>IF(B100="","",COUNTIFS($T$5:$T$504,"&gt;"&amp;T100)+COUNTIFS($T$5:T100,T100))</f>
        <v>0</v>
      </c>
      <c r="AQ100" s="39">
        <f>IF(B100="","",IF(COUNTIF($B$5:$B$504,B100)&gt;1,"Duplicate - same name twice",IF(R100="Archived","",IF(AK100&gt;0.004,"Chase - balance outstanding",IF(AM100="Inactive","Gone - win-back offer",IF(AM100="Lapsing","Chase - lapsing, call them",IF(IF(N100="",FALSE,TodayDate-N100&gt;PatchTestDays),"Due - patch test out of date",IF(IF(AD100="",FALSE,IF(AB100&lt;&gt;"",FALSE,AD100&lt;=TodayDate+14)),"Rebook - due and nothing booked",IF(IF(K100="",FALSE,ABS(DATE(YEAR(TodayDate),MONTH(K100),DAY(K100))-TodayDate)&lt;=7),"Birthday - send the treat","OK")))))))))</f>
        <v>0</v>
      </c>
    </row>
    <row r="101" spans="1:43">
      <c r="A101" s="28">
        <f>IF(B101="","",ClientPrefix&amp;TEXT(ROW()-4,"0000"))</f>
        <v>0</v>
      </c>
      <c r="J101" s="15">
        <f>IF(I101="","",IFERROR(INDEX(Staff!$B$5:$B$44,MATCH(I101,Staff!$A$5:$A$44,0)),"Not in Staff"))</f>
        <v>0</v>
      </c>
      <c r="T101" s="25">
        <f>IF(B101="","",COUNTIFS(Appointments!$E$5:$E$1204,A101,Appointments!$M$5:$M$1204,"Completed"))</f>
        <v>0</v>
      </c>
      <c r="U101" s="25">
        <f>IF(B101="","",COUNTIFS(Appointments!$E$5:$E$1204,A101,Appointments!$M$5:$M$1204,"Completed",Appointments!$B$5:$B$1204,"&gt;="&amp;TodayDate-365))</f>
        <v>0</v>
      </c>
      <c r="V101" s="25">
        <f>IF(B101="","",COUNTIFS(Appointments!$E$5:$E$1204,A101,Appointments!$M$5:$M$1204,"Cancelled"))</f>
        <v>0</v>
      </c>
      <c r="W101" s="25">
        <f>IF(B101="","",COUNTIFS(Appointments!$E$5:$E$1204,A101,Appointments!$M$5:$M$1204,"No show"))</f>
        <v>0</v>
      </c>
      <c r="X101" s="17">
        <f>IF(B101="","",IF(F101&lt;&gt;"",F101,IF(T101=0,"",SUMPRODUCT(MIN((Appointments!$E$5:$E$1204=A101)*(Appointments!$M$5:$M$1204="Completed")*Appointments!$B$5:$B$1204+(1-(Appointments!$E$5:$E$1204=A101)*(Appointments!$M$5:$M$1204="Completed"))*2958465)))))</f>
        <v>0</v>
      </c>
      <c r="Y101" s="17">
        <f>IF(B101="","",IF(T101=0,"",SUMPRODUCT(MAX((Appointments!$E$5:$E$1204=A101)*(Appointments!$M$5:$M$1204="Completed")*Appointments!$B$5:$B$1204))))</f>
        <v>0</v>
      </c>
      <c r="Z101" s="25">
        <f>IF(B101="","",IF(Y101="","",TodayDate-Y101))</f>
        <v>0</v>
      </c>
      <c r="AA101" s="42">
        <f>IF(B101="","",SUMPRODUCT(MIN((Appointments!$E$5:$E$1204=A101)*(Appointments!$M$5:$M$1204&lt;&gt;"Cancelled")*(Appointments!$M$5:$M$1204&lt;&gt;"Completed")*(Appointments!$M$5:$M$1204&lt;&gt;"No show")*(Appointments!$B$5:$B$1204&gt;=TodayDate)*Appointments!$B$5:$B$1204+(1-(Appointments!$E$5:$E$1204=A101)*(Appointments!$M$5:$M$1204&lt;&gt;"Cancelled")*(Appointments!$M$5:$M$1204&lt;&gt;"Completed")*(Appointments!$M$5:$M$1204&lt;&gt;"No show")*(Appointments!$B$5:$B$1204&gt;=TodayDate))*2958465)))</f>
        <v>0</v>
      </c>
      <c r="AB101" s="17">
        <f>IF(B101="","",IF(AA101&gt;=2958465,"",AA101))</f>
        <v>0</v>
      </c>
      <c r="AC101" s="25">
        <f>IF(B101="","",IF(T101&lt;2,"",ROUND((Y101-X101)/MAX(1,T101-1),0)))</f>
        <v>0</v>
      </c>
      <c r="AD101" s="17">
        <f>IF(B101="","",IF(Y101="","",Y101+IF(AC101="",RebookWeeks*7,MAX(14,AC101))))</f>
        <v>0</v>
      </c>
      <c r="AE101" s="26">
        <f>IF(B101="","",ROUND(SUMIFS(Sales!$Y$5:$Y$1204,Sales!$D$5:$D$1204,A101),2))</f>
        <v>0</v>
      </c>
      <c r="AF101" s="26">
        <f>IF(B101="","",ROUND(SUMIFS(Sales!$Y$5:$Y$1204,Sales!$D$5:$D$1204,A101,Sales!$H$5:$H$1204,"Service"),2))</f>
        <v>0</v>
      </c>
      <c r="AG101" s="26">
        <f>IF(B101="","",ROUND(SUMIFS(Sales!$Y$5:$Y$1204,Sales!$D$5:$D$1204,A101,Sales!$H$5:$H$1204,"Retail"),2))</f>
        <v>0</v>
      </c>
      <c r="AH101" s="26">
        <f>IF(B101="","",ROUND(SUMIFS(Sales!$Y$5:$Y$1204,Sales!$D$5:$D$1204,A101,Sales!$B$5:$B$1204,"&gt;="&amp;TodayDate-365),2))</f>
        <v>0</v>
      </c>
      <c r="AI101" s="26">
        <f>IF(B101="","",IF(T101=0,"",ROUND(AE101/T101,2)))</f>
        <v>0</v>
      </c>
      <c r="AJ101" s="26">
        <f>IF(B101="","",IF(AI101="","",IF(AC101="","",ROUND(AI101*(365/MAX(14,AC101)),2))))</f>
        <v>0</v>
      </c>
      <c r="AK101" s="26">
        <f>IF(B101="","",ROUND(SUMIFS(Sales!$AH$5:$AH$1204,Sales!$D$5:$D$1204,A101),2))</f>
        <v>0</v>
      </c>
      <c r="AL101" s="25">
        <f>IF(B101="","",IFERROR(INDEX(Loyalty!$P$5:$P$504,MATCH(A101,Loyalty!$B$5:$B$504,0))*1,0))</f>
        <v>0</v>
      </c>
      <c r="AM101" s="39">
        <f>IF(B101="","",IF(R101="Archived","Archived",IF(T101=0,"Not been yet",IF(Z101&gt;=InactiveDays,"Inactive",IF(Z101&gt;=LapsingDays,"Lapsing",IF(T101=1,"New",IF(AH101&gt;=VipSpend,"VIP",IF(U101&gt;=4,"Regular","Active"))))))))</f>
        <v>0</v>
      </c>
      <c r="AN101" s="38">
        <f>IF(B101="","",IF(T101&gt;=2,"Yes","No"))</f>
        <v>0</v>
      </c>
      <c r="AO101" s="25">
        <f>IF(B101="","",COUNTIFS($AE$5:$AE$504,"&gt;"&amp;AE101)+COUNTIFS($AE$5:AE101,AE101))</f>
        <v>0</v>
      </c>
      <c r="AP101" s="25">
        <f>IF(B101="","",COUNTIFS($T$5:$T$504,"&gt;"&amp;T101)+COUNTIFS($T$5:T101,T101))</f>
        <v>0</v>
      </c>
      <c r="AQ101" s="39">
        <f>IF(B101="","",IF(COUNTIF($B$5:$B$504,B101)&gt;1,"Duplicate - same name twice",IF(R101="Archived","",IF(AK101&gt;0.004,"Chase - balance outstanding",IF(AM101="Inactive","Gone - win-back offer",IF(AM101="Lapsing","Chase - lapsing, call them",IF(IF(N101="",FALSE,TodayDate-N101&gt;PatchTestDays),"Due - patch test out of date",IF(IF(AD101="",FALSE,IF(AB101&lt;&gt;"",FALSE,AD101&lt;=TodayDate+14)),"Rebook - due and nothing booked",IF(IF(K101="",FALSE,ABS(DATE(YEAR(TodayDate),MONTH(K101),DAY(K101))-TodayDate)&lt;=7),"Birthday - send the treat","OK")))))))))</f>
        <v>0</v>
      </c>
    </row>
    <row r="102" spans="1:43">
      <c r="A102" s="28">
        <f>IF(B102="","",ClientPrefix&amp;TEXT(ROW()-4,"0000"))</f>
        <v>0</v>
      </c>
      <c r="J102" s="15">
        <f>IF(I102="","",IFERROR(INDEX(Staff!$B$5:$B$44,MATCH(I102,Staff!$A$5:$A$44,0)),"Not in Staff"))</f>
        <v>0</v>
      </c>
      <c r="T102" s="25">
        <f>IF(B102="","",COUNTIFS(Appointments!$E$5:$E$1204,A102,Appointments!$M$5:$M$1204,"Completed"))</f>
        <v>0</v>
      </c>
      <c r="U102" s="25">
        <f>IF(B102="","",COUNTIFS(Appointments!$E$5:$E$1204,A102,Appointments!$M$5:$M$1204,"Completed",Appointments!$B$5:$B$1204,"&gt;="&amp;TodayDate-365))</f>
        <v>0</v>
      </c>
      <c r="V102" s="25">
        <f>IF(B102="","",COUNTIFS(Appointments!$E$5:$E$1204,A102,Appointments!$M$5:$M$1204,"Cancelled"))</f>
        <v>0</v>
      </c>
      <c r="W102" s="25">
        <f>IF(B102="","",COUNTIFS(Appointments!$E$5:$E$1204,A102,Appointments!$M$5:$M$1204,"No show"))</f>
        <v>0</v>
      </c>
      <c r="X102" s="17">
        <f>IF(B102="","",IF(F102&lt;&gt;"",F102,IF(T102=0,"",SUMPRODUCT(MIN((Appointments!$E$5:$E$1204=A102)*(Appointments!$M$5:$M$1204="Completed")*Appointments!$B$5:$B$1204+(1-(Appointments!$E$5:$E$1204=A102)*(Appointments!$M$5:$M$1204="Completed"))*2958465)))))</f>
        <v>0</v>
      </c>
      <c r="Y102" s="17">
        <f>IF(B102="","",IF(T102=0,"",SUMPRODUCT(MAX((Appointments!$E$5:$E$1204=A102)*(Appointments!$M$5:$M$1204="Completed")*Appointments!$B$5:$B$1204))))</f>
        <v>0</v>
      </c>
      <c r="Z102" s="25">
        <f>IF(B102="","",IF(Y102="","",TodayDate-Y102))</f>
        <v>0</v>
      </c>
      <c r="AA102" s="42">
        <f>IF(B102="","",SUMPRODUCT(MIN((Appointments!$E$5:$E$1204=A102)*(Appointments!$M$5:$M$1204&lt;&gt;"Cancelled")*(Appointments!$M$5:$M$1204&lt;&gt;"Completed")*(Appointments!$M$5:$M$1204&lt;&gt;"No show")*(Appointments!$B$5:$B$1204&gt;=TodayDate)*Appointments!$B$5:$B$1204+(1-(Appointments!$E$5:$E$1204=A102)*(Appointments!$M$5:$M$1204&lt;&gt;"Cancelled")*(Appointments!$M$5:$M$1204&lt;&gt;"Completed")*(Appointments!$M$5:$M$1204&lt;&gt;"No show")*(Appointments!$B$5:$B$1204&gt;=TodayDate))*2958465)))</f>
        <v>0</v>
      </c>
      <c r="AB102" s="17">
        <f>IF(B102="","",IF(AA102&gt;=2958465,"",AA102))</f>
        <v>0</v>
      </c>
      <c r="AC102" s="25">
        <f>IF(B102="","",IF(T102&lt;2,"",ROUND((Y102-X102)/MAX(1,T102-1),0)))</f>
        <v>0</v>
      </c>
      <c r="AD102" s="17">
        <f>IF(B102="","",IF(Y102="","",Y102+IF(AC102="",RebookWeeks*7,MAX(14,AC102))))</f>
        <v>0</v>
      </c>
      <c r="AE102" s="26">
        <f>IF(B102="","",ROUND(SUMIFS(Sales!$Y$5:$Y$1204,Sales!$D$5:$D$1204,A102),2))</f>
        <v>0</v>
      </c>
      <c r="AF102" s="26">
        <f>IF(B102="","",ROUND(SUMIFS(Sales!$Y$5:$Y$1204,Sales!$D$5:$D$1204,A102,Sales!$H$5:$H$1204,"Service"),2))</f>
        <v>0</v>
      </c>
      <c r="AG102" s="26">
        <f>IF(B102="","",ROUND(SUMIFS(Sales!$Y$5:$Y$1204,Sales!$D$5:$D$1204,A102,Sales!$H$5:$H$1204,"Retail"),2))</f>
        <v>0</v>
      </c>
      <c r="AH102" s="26">
        <f>IF(B102="","",ROUND(SUMIFS(Sales!$Y$5:$Y$1204,Sales!$D$5:$D$1204,A102,Sales!$B$5:$B$1204,"&gt;="&amp;TodayDate-365),2))</f>
        <v>0</v>
      </c>
      <c r="AI102" s="26">
        <f>IF(B102="","",IF(T102=0,"",ROUND(AE102/T102,2)))</f>
        <v>0</v>
      </c>
      <c r="AJ102" s="26">
        <f>IF(B102="","",IF(AI102="","",IF(AC102="","",ROUND(AI102*(365/MAX(14,AC102)),2))))</f>
        <v>0</v>
      </c>
      <c r="AK102" s="26">
        <f>IF(B102="","",ROUND(SUMIFS(Sales!$AH$5:$AH$1204,Sales!$D$5:$D$1204,A102),2))</f>
        <v>0</v>
      </c>
      <c r="AL102" s="25">
        <f>IF(B102="","",IFERROR(INDEX(Loyalty!$P$5:$P$504,MATCH(A102,Loyalty!$B$5:$B$504,0))*1,0))</f>
        <v>0</v>
      </c>
      <c r="AM102" s="39">
        <f>IF(B102="","",IF(R102="Archived","Archived",IF(T102=0,"Not been yet",IF(Z102&gt;=InactiveDays,"Inactive",IF(Z102&gt;=LapsingDays,"Lapsing",IF(T102=1,"New",IF(AH102&gt;=VipSpend,"VIP",IF(U102&gt;=4,"Regular","Active"))))))))</f>
        <v>0</v>
      </c>
      <c r="AN102" s="38">
        <f>IF(B102="","",IF(T102&gt;=2,"Yes","No"))</f>
        <v>0</v>
      </c>
      <c r="AO102" s="25">
        <f>IF(B102="","",COUNTIFS($AE$5:$AE$504,"&gt;"&amp;AE102)+COUNTIFS($AE$5:AE102,AE102))</f>
        <v>0</v>
      </c>
      <c r="AP102" s="25">
        <f>IF(B102="","",COUNTIFS($T$5:$T$504,"&gt;"&amp;T102)+COUNTIFS($T$5:T102,T102))</f>
        <v>0</v>
      </c>
      <c r="AQ102" s="39">
        <f>IF(B102="","",IF(COUNTIF($B$5:$B$504,B102)&gt;1,"Duplicate - same name twice",IF(R102="Archived","",IF(AK102&gt;0.004,"Chase - balance outstanding",IF(AM102="Inactive","Gone - win-back offer",IF(AM102="Lapsing","Chase - lapsing, call them",IF(IF(N102="",FALSE,TodayDate-N102&gt;PatchTestDays),"Due - patch test out of date",IF(IF(AD102="",FALSE,IF(AB102&lt;&gt;"",FALSE,AD102&lt;=TodayDate+14)),"Rebook - due and nothing booked",IF(IF(K102="",FALSE,ABS(DATE(YEAR(TodayDate),MONTH(K102),DAY(K102))-TodayDate)&lt;=7),"Birthday - send the treat","OK")))))))))</f>
        <v>0</v>
      </c>
    </row>
    <row r="103" spans="1:43">
      <c r="A103" s="28">
        <f>IF(B103="","",ClientPrefix&amp;TEXT(ROW()-4,"0000"))</f>
        <v>0</v>
      </c>
      <c r="J103" s="15">
        <f>IF(I103="","",IFERROR(INDEX(Staff!$B$5:$B$44,MATCH(I103,Staff!$A$5:$A$44,0)),"Not in Staff"))</f>
        <v>0</v>
      </c>
      <c r="T103" s="25">
        <f>IF(B103="","",COUNTIFS(Appointments!$E$5:$E$1204,A103,Appointments!$M$5:$M$1204,"Completed"))</f>
        <v>0</v>
      </c>
      <c r="U103" s="25">
        <f>IF(B103="","",COUNTIFS(Appointments!$E$5:$E$1204,A103,Appointments!$M$5:$M$1204,"Completed",Appointments!$B$5:$B$1204,"&gt;="&amp;TodayDate-365))</f>
        <v>0</v>
      </c>
      <c r="V103" s="25">
        <f>IF(B103="","",COUNTIFS(Appointments!$E$5:$E$1204,A103,Appointments!$M$5:$M$1204,"Cancelled"))</f>
        <v>0</v>
      </c>
      <c r="W103" s="25">
        <f>IF(B103="","",COUNTIFS(Appointments!$E$5:$E$1204,A103,Appointments!$M$5:$M$1204,"No show"))</f>
        <v>0</v>
      </c>
      <c r="X103" s="17">
        <f>IF(B103="","",IF(F103&lt;&gt;"",F103,IF(T103=0,"",SUMPRODUCT(MIN((Appointments!$E$5:$E$1204=A103)*(Appointments!$M$5:$M$1204="Completed")*Appointments!$B$5:$B$1204+(1-(Appointments!$E$5:$E$1204=A103)*(Appointments!$M$5:$M$1204="Completed"))*2958465)))))</f>
        <v>0</v>
      </c>
      <c r="Y103" s="17">
        <f>IF(B103="","",IF(T103=0,"",SUMPRODUCT(MAX((Appointments!$E$5:$E$1204=A103)*(Appointments!$M$5:$M$1204="Completed")*Appointments!$B$5:$B$1204))))</f>
        <v>0</v>
      </c>
      <c r="Z103" s="25">
        <f>IF(B103="","",IF(Y103="","",TodayDate-Y103))</f>
        <v>0</v>
      </c>
      <c r="AA103" s="42">
        <f>IF(B103="","",SUMPRODUCT(MIN((Appointments!$E$5:$E$1204=A103)*(Appointments!$M$5:$M$1204&lt;&gt;"Cancelled")*(Appointments!$M$5:$M$1204&lt;&gt;"Completed")*(Appointments!$M$5:$M$1204&lt;&gt;"No show")*(Appointments!$B$5:$B$1204&gt;=TodayDate)*Appointments!$B$5:$B$1204+(1-(Appointments!$E$5:$E$1204=A103)*(Appointments!$M$5:$M$1204&lt;&gt;"Cancelled")*(Appointments!$M$5:$M$1204&lt;&gt;"Completed")*(Appointments!$M$5:$M$1204&lt;&gt;"No show")*(Appointments!$B$5:$B$1204&gt;=TodayDate))*2958465)))</f>
        <v>0</v>
      </c>
      <c r="AB103" s="17">
        <f>IF(B103="","",IF(AA103&gt;=2958465,"",AA103))</f>
        <v>0</v>
      </c>
      <c r="AC103" s="25">
        <f>IF(B103="","",IF(T103&lt;2,"",ROUND((Y103-X103)/MAX(1,T103-1),0)))</f>
        <v>0</v>
      </c>
      <c r="AD103" s="17">
        <f>IF(B103="","",IF(Y103="","",Y103+IF(AC103="",RebookWeeks*7,MAX(14,AC103))))</f>
        <v>0</v>
      </c>
      <c r="AE103" s="26">
        <f>IF(B103="","",ROUND(SUMIFS(Sales!$Y$5:$Y$1204,Sales!$D$5:$D$1204,A103),2))</f>
        <v>0</v>
      </c>
      <c r="AF103" s="26">
        <f>IF(B103="","",ROUND(SUMIFS(Sales!$Y$5:$Y$1204,Sales!$D$5:$D$1204,A103,Sales!$H$5:$H$1204,"Service"),2))</f>
        <v>0</v>
      </c>
      <c r="AG103" s="26">
        <f>IF(B103="","",ROUND(SUMIFS(Sales!$Y$5:$Y$1204,Sales!$D$5:$D$1204,A103,Sales!$H$5:$H$1204,"Retail"),2))</f>
        <v>0</v>
      </c>
      <c r="AH103" s="26">
        <f>IF(B103="","",ROUND(SUMIFS(Sales!$Y$5:$Y$1204,Sales!$D$5:$D$1204,A103,Sales!$B$5:$B$1204,"&gt;="&amp;TodayDate-365),2))</f>
        <v>0</v>
      </c>
      <c r="AI103" s="26">
        <f>IF(B103="","",IF(T103=0,"",ROUND(AE103/T103,2)))</f>
        <v>0</v>
      </c>
      <c r="AJ103" s="26">
        <f>IF(B103="","",IF(AI103="","",IF(AC103="","",ROUND(AI103*(365/MAX(14,AC103)),2))))</f>
        <v>0</v>
      </c>
      <c r="AK103" s="26">
        <f>IF(B103="","",ROUND(SUMIFS(Sales!$AH$5:$AH$1204,Sales!$D$5:$D$1204,A103),2))</f>
        <v>0</v>
      </c>
      <c r="AL103" s="25">
        <f>IF(B103="","",IFERROR(INDEX(Loyalty!$P$5:$P$504,MATCH(A103,Loyalty!$B$5:$B$504,0))*1,0))</f>
        <v>0</v>
      </c>
      <c r="AM103" s="39">
        <f>IF(B103="","",IF(R103="Archived","Archived",IF(T103=0,"Not been yet",IF(Z103&gt;=InactiveDays,"Inactive",IF(Z103&gt;=LapsingDays,"Lapsing",IF(T103=1,"New",IF(AH103&gt;=VipSpend,"VIP",IF(U103&gt;=4,"Regular","Active"))))))))</f>
        <v>0</v>
      </c>
      <c r="AN103" s="38">
        <f>IF(B103="","",IF(T103&gt;=2,"Yes","No"))</f>
        <v>0</v>
      </c>
      <c r="AO103" s="25">
        <f>IF(B103="","",COUNTIFS($AE$5:$AE$504,"&gt;"&amp;AE103)+COUNTIFS($AE$5:AE103,AE103))</f>
        <v>0</v>
      </c>
      <c r="AP103" s="25">
        <f>IF(B103="","",COUNTIFS($T$5:$T$504,"&gt;"&amp;T103)+COUNTIFS($T$5:T103,T103))</f>
        <v>0</v>
      </c>
      <c r="AQ103" s="39">
        <f>IF(B103="","",IF(COUNTIF($B$5:$B$504,B103)&gt;1,"Duplicate - same name twice",IF(R103="Archived","",IF(AK103&gt;0.004,"Chase - balance outstanding",IF(AM103="Inactive","Gone - win-back offer",IF(AM103="Lapsing","Chase - lapsing, call them",IF(IF(N103="",FALSE,TodayDate-N103&gt;PatchTestDays),"Due - patch test out of date",IF(IF(AD103="",FALSE,IF(AB103&lt;&gt;"",FALSE,AD103&lt;=TodayDate+14)),"Rebook - due and nothing booked",IF(IF(K103="",FALSE,ABS(DATE(YEAR(TodayDate),MONTH(K103),DAY(K103))-TodayDate)&lt;=7),"Birthday - send the treat","OK")))))))))</f>
        <v>0</v>
      </c>
    </row>
    <row r="104" spans="1:43">
      <c r="A104" s="28">
        <f>IF(B104="","",ClientPrefix&amp;TEXT(ROW()-4,"0000"))</f>
        <v>0</v>
      </c>
      <c r="J104" s="15">
        <f>IF(I104="","",IFERROR(INDEX(Staff!$B$5:$B$44,MATCH(I104,Staff!$A$5:$A$44,0)),"Not in Staff"))</f>
        <v>0</v>
      </c>
      <c r="T104" s="25">
        <f>IF(B104="","",COUNTIFS(Appointments!$E$5:$E$1204,A104,Appointments!$M$5:$M$1204,"Completed"))</f>
        <v>0</v>
      </c>
      <c r="U104" s="25">
        <f>IF(B104="","",COUNTIFS(Appointments!$E$5:$E$1204,A104,Appointments!$M$5:$M$1204,"Completed",Appointments!$B$5:$B$1204,"&gt;="&amp;TodayDate-365))</f>
        <v>0</v>
      </c>
      <c r="V104" s="25">
        <f>IF(B104="","",COUNTIFS(Appointments!$E$5:$E$1204,A104,Appointments!$M$5:$M$1204,"Cancelled"))</f>
        <v>0</v>
      </c>
      <c r="W104" s="25">
        <f>IF(B104="","",COUNTIFS(Appointments!$E$5:$E$1204,A104,Appointments!$M$5:$M$1204,"No show"))</f>
        <v>0</v>
      </c>
      <c r="X104" s="17">
        <f>IF(B104="","",IF(F104&lt;&gt;"",F104,IF(T104=0,"",SUMPRODUCT(MIN((Appointments!$E$5:$E$1204=A104)*(Appointments!$M$5:$M$1204="Completed")*Appointments!$B$5:$B$1204+(1-(Appointments!$E$5:$E$1204=A104)*(Appointments!$M$5:$M$1204="Completed"))*2958465)))))</f>
        <v>0</v>
      </c>
      <c r="Y104" s="17">
        <f>IF(B104="","",IF(T104=0,"",SUMPRODUCT(MAX((Appointments!$E$5:$E$1204=A104)*(Appointments!$M$5:$M$1204="Completed")*Appointments!$B$5:$B$1204))))</f>
        <v>0</v>
      </c>
      <c r="Z104" s="25">
        <f>IF(B104="","",IF(Y104="","",TodayDate-Y104))</f>
        <v>0</v>
      </c>
      <c r="AA104" s="42">
        <f>IF(B104="","",SUMPRODUCT(MIN((Appointments!$E$5:$E$1204=A104)*(Appointments!$M$5:$M$1204&lt;&gt;"Cancelled")*(Appointments!$M$5:$M$1204&lt;&gt;"Completed")*(Appointments!$M$5:$M$1204&lt;&gt;"No show")*(Appointments!$B$5:$B$1204&gt;=TodayDate)*Appointments!$B$5:$B$1204+(1-(Appointments!$E$5:$E$1204=A104)*(Appointments!$M$5:$M$1204&lt;&gt;"Cancelled")*(Appointments!$M$5:$M$1204&lt;&gt;"Completed")*(Appointments!$M$5:$M$1204&lt;&gt;"No show")*(Appointments!$B$5:$B$1204&gt;=TodayDate))*2958465)))</f>
        <v>0</v>
      </c>
      <c r="AB104" s="17">
        <f>IF(B104="","",IF(AA104&gt;=2958465,"",AA104))</f>
        <v>0</v>
      </c>
      <c r="AC104" s="25">
        <f>IF(B104="","",IF(T104&lt;2,"",ROUND((Y104-X104)/MAX(1,T104-1),0)))</f>
        <v>0</v>
      </c>
      <c r="AD104" s="17">
        <f>IF(B104="","",IF(Y104="","",Y104+IF(AC104="",RebookWeeks*7,MAX(14,AC104))))</f>
        <v>0</v>
      </c>
      <c r="AE104" s="26">
        <f>IF(B104="","",ROUND(SUMIFS(Sales!$Y$5:$Y$1204,Sales!$D$5:$D$1204,A104),2))</f>
        <v>0</v>
      </c>
      <c r="AF104" s="26">
        <f>IF(B104="","",ROUND(SUMIFS(Sales!$Y$5:$Y$1204,Sales!$D$5:$D$1204,A104,Sales!$H$5:$H$1204,"Service"),2))</f>
        <v>0</v>
      </c>
      <c r="AG104" s="26">
        <f>IF(B104="","",ROUND(SUMIFS(Sales!$Y$5:$Y$1204,Sales!$D$5:$D$1204,A104,Sales!$H$5:$H$1204,"Retail"),2))</f>
        <v>0</v>
      </c>
      <c r="AH104" s="26">
        <f>IF(B104="","",ROUND(SUMIFS(Sales!$Y$5:$Y$1204,Sales!$D$5:$D$1204,A104,Sales!$B$5:$B$1204,"&gt;="&amp;TodayDate-365),2))</f>
        <v>0</v>
      </c>
      <c r="AI104" s="26">
        <f>IF(B104="","",IF(T104=0,"",ROUND(AE104/T104,2)))</f>
        <v>0</v>
      </c>
      <c r="AJ104" s="26">
        <f>IF(B104="","",IF(AI104="","",IF(AC104="","",ROUND(AI104*(365/MAX(14,AC104)),2))))</f>
        <v>0</v>
      </c>
      <c r="AK104" s="26">
        <f>IF(B104="","",ROUND(SUMIFS(Sales!$AH$5:$AH$1204,Sales!$D$5:$D$1204,A104),2))</f>
        <v>0</v>
      </c>
      <c r="AL104" s="25">
        <f>IF(B104="","",IFERROR(INDEX(Loyalty!$P$5:$P$504,MATCH(A104,Loyalty!$B$5:$B$504,0))*1,0))</f>
        <v>0</v>
      </c>
      <c r="AM104" s="39">
        <f>IF(B104="","",IF(R104="Archived","Archived",IF(T104=0,"Not been yet",IF(Z104&gt;=InactiveDays,"Inactive",IF(Z104&gt;=LapsingDays,"Lapsing",IF(T104=1,"New",IF(AH104&gt;=VipSpend,"VIP",IF(U104&gt;=4,"Regular","Active"))))))))</f>
        <v>0</v>
      </c>
      <c r="AN104" s="38">
        <f>IF(B104="","",IF(T104&gt;=2,"Yes","No"))</f>
        <v>0</v>
      </c>
      <c r="AO104" s="25">
        <f>IF(B104="","",COUNTIFS($AE$5:$AE$504,"&gt;"&amp;AE104)+COUNTIFS($AE$5:AE104,AE104))</f>
        <v>0</v>
      </c>
      <c r="AP104" s="25">
        <f>IF(B104="","",COUNTIFS($T$5:$T$504,"&gt;"&amp;T104)+COUNTIFS($T$5:T104,T104))</f>
        <v>0</v>
      </c>
      <c r="AQ104" s="39">
        <f>IF(B104="","",IF(COUNTIF($B$5:$B$504,B104)&gt;1,"Duplicate - same name twice",IF(R104="Archived","",IF(AK104&gt;0.004,"Chase - balance outstanding",IF(AM104="Inactive","Gone - win-back offer",IF(AM104="Lapsing","Chase - lapsing, call them",IF(IF(N104="",FALSE,TodayDate-N104&gt;PatchTestDays),"Due - patch test out of date",IF(IF(AD104="",FALSE,IF(AB104&lt;&gt;"",FALSE,AD104&lt;=TodayDate+14)),"Rebook - due and nothing booked",IF(IF(K104="",FALSE,ABS(DATE(YEAR(TodayDate),MONTH(K104),DAY(K104))-TodayDate)&lt;=7),"Birthday - send the treat","OK")))))))))</f>
        <v>0</v>
      </c>
    </row>
    <row r="105" spans="1:43">
      <c r="A105" s="28">
        <f>IF(B105="","",ClientPrefix&amp;TEXT(ROW()-4,"0000"))</f>
        <v>0</v>
      </c>
      <c r="J105" s="15">
        <f>IF(I105="","",IFERROR(INDEX(Staff!$B$5:$B$44,MATCH(I105,Staff!$A$5:$A$44,0)),"Not in Staff"))</f>
        <v>0</v>
      </c>
      <c r="T105" s="25">
        <f>IF(B105="","",COUNTIFS(Appointments!$E$5:$E$1204,A105,Appointments!$M$5:$M$1204,"Completed"))</f>
        <v>0</v>
      </c>
      <c r="U105" s="25">
        <f>IF(B105="","",COUNTIFS(Appointments!$E$5:$E$1204,A105,Appointments!$M$5:$M$1204,"Completed",Appointments!$B$5:$B$1204,"&gt;="&amp;TodayDate-365))</f>
        <v>0</v>
      </c>
      <c r="V105" s="25">
        <f>IF(B105="","",COUNTIFS(Appointments!$E$5:$E$1204,A105,Appointments!$M$5:$M$1204,"Cancelled"))</f>
        <v>0</v>
      </c>
      <c r="W105" s="25">
        <f>IF(B105="","",COUNTIFS(Appointments!$E$5:$E$1204,A105,Appointments!$M$5:$M$1204,"No show"))</f>
        <v>0</v>
      </c>
      <c r="X105" s="17">
        <f>IF(B105="","",IF(F105&lt;&gt;"",F105,IF(T105=0,"",SUMPRODUCT(MIN((Appointments!$E$5:$E$1204=A105)*(Appointments!$M$5:$M$1204="Completed")*Appointments!$B$5:$B$1204+(1-(Appointments!$E$5:$E$1204=A105)*(Appointments!$M$5:$M$1204="Completed"))*2958465)))))</f>
        <v>0</v>
      </c>
      <c r="Y105" s="17">
        <f>IF(B105="","",IF(T105=0,"",SUMPRODUCT(MAX((Appointments!$E$5:$E$1204=A105)*(Appointments!$M$5:$M$1204="Completed")*Appointments!$B$5:$B$1204))))</f>
        <v>0</v>
      </c>
      <c r="Z105" s="25">
        <f>IF(B105="","",IF(Y105="","",TodayDate-Y105))</f>
        <v>0</v>
      </c>
      <c r="AA105" s="42">
        <f>IF(B105="","",SUMPRODUCT(MIN((Appointments!$E$5:$E$1204=A105)*(Appointments!$M$5:$M$1204&lt;&gt;"Cancelled")*(Appointments!$M$5:$M$1204&lt;&gt;"Completed")*(Appointments!$M$5:$M$1204&lt;&gt;"No show")*(Appointments!$B$5:$B$1204&gt;=TodayDate)*Appointments!$B$5:$B$1204+(1-(Appointments!$E$5:$E$1204=A105)*(Appointments!$M$5:$M$1204&lt;&gt;"Cancelled")*(Appointments!$M$5:$M$1204&lt;&gt;"Completed")*(Appointments!$M$5:$M$1204&lt;&gt;"No show")*(Appointments!$B$5:$B$1204&gt;=TodayDate))*2958465)))</f>
        <v>0</v>
      </c>
      <c r="AB105" s="17">
        <f>IF(B105="","",IF(AA105&gt;=2958465,"",AA105))</f>
        <v>0</v>
      </c>
      <c r="AC105" s="25">
        <f>IF(B105="","",IF(T105&lt;2,"",ROUND((Y105-X105)/MAX(1,T105-1),0)))</f>
        <v>0</v>
      </c>
      <c r="AD105" s="17">
        <f>IF(B105="","",IF(Y105="","",Y105+IF(AC105="",RebookWeeks*7,MAX(14,AC105))))</f>
        <v>0</v>
      </c>
      <c r="AE105" s="26">
        <f>IF(B105="","",ROUND(SUMIFS(Sales!$Y$5:$Y$1204,Sales!$D$5:$D$1204,A105),2))</f>
        <v>0</v>
      </c>
      <c r="AF105" s="26">
        <f>IF(B105="","",ROUND(SUMIFS(Sales!$Y$5:$Y$1204,Sales!$D$5:$D$1204,A105,Sales!$H$5:$H$1204,"Service"),2))</f>
        <v>0</v>
      </c>
      <c r="AG105" s="26">
        <f>IF(B105="","",ROUND(SUMIFS(Sales!$Y$5:$Y$1204,Sales!$D$5:$D$1204,A105,Sales!$H$5:$H$1204,"Retail"),2))</f>
        <v>0</v>
      </c>
      <c r="AH105" s="26">
        <f>IF(B105="","",ROUND(SUMIFS(Sales!$Y$5:$Y$1204,Sales!$D$5:$D$1204,A105,Sales!$B$5:$B$1204,"&gt;="&amp;TodayDate-365),2))</f>
        <v>0</v>
      </c>
      <c r="AI105" s="26">
        <f>IF(B105="","",IF(T105=0,"",ROUND(AE105/T105,2)))</f>
        <v>0</v>
      </c>
      <c r="AJ105" s="26">
        <f>IF(B105="","",IF(AI105="","",IF(AC105="","",ROUND(AI105*(365/MAX(14,AC105)),2))))</f>
        <v>0</v>
      </c>
      <c r="AK105" s="26">
        <f>IF(B105="","",ROUND(SUMIFS(Sales!$AH$5:$AH$1204,Sales!$D$5:$D$1204,A105),2))</f>
        <v>0</v>
      </c>
      <c r="AL105" s="25">
        <f>IF(B105="","",IFERROR(INDEX(Loyalty!$P$5:$P$504,MATCH(A105,Loyalty!$B$5:$B$504,0))*1,0))</f>
        <v>0</v>
      </c>
      <c r="AM105" s="39">
        <f>IF(B105="","",IF(R105="Archived","Archived",IF(T105=0,"Not been yet",IF(Z105&gt;=InactiveDays,"Inactive",IF(Z105&gt;=LapsingDays,"Lapsing",IF(T105=1,"New",IF(AH105&gt;=VipSpend,"VIP",IF(U105&gt;=4,"Regular","Active"))))))))</f>
        <v>0</v>
      </c>
      <c r="AN105" s="38">
        <f>IF(B105="","",IF(T105&gt;=2,"Yes","No"))</f>
        <v>0</v>
      </c>
      <c r="AO105" s="25">
        <f>IF(B105="","",COUNTIFS($AE$5:$AE$504,"&gt;"&amp;AE105)+COUNTIFS($AE$5:AE105,AE105))</f>
        <v>0</v>
      </c>
      <c r="AP105" s="25">
        <f>IF(B105="","",COUNTIFS($T$5:$T$504,"&gt;"&amp;T105)+COUNTIFS($T$5:T105,T105))</f>
        <v>0</v>
      </c>
      <c r="AQ105" s="39">
        <f>IF(B105="","",IF(COUNTIF($B$5:$B$504,B105)&gt;1,"Duplicate - same name twice",IF(R105="Archived","",IF(AK105&gt;0.004,"Chase - balance outstanding",IF(AM105="Inactive","Gone - win-back offer",IF(AM105="Lapsing","Chase - lapsing, call them",IF(IF(N105="",FALSE,TodayDate-N105&gt;PatchTestDays),"Due - patch test out of date",IF(IF(AD105="",FALSE,IF(AB105&lt;&gt;"",FALSE,AD105&lt;=TodayDate+14)),"Rebook - due and nothing booked",IF(IF(K105="",FALSE,ABS(DATE(YEAR(TodayDate),MONTH(K105),DAY(K105))-TodayDate)&lt;=7),"Birthday - send the treat","OK")))))))))</f>
        <v>0</v>
      </c>
    </row>
    <row r="106" spans="1:43">
      <c r="A106" s="28">
        <f>IF(B106="","",ClientPrefix&amp;TEXT(ROW()-4,"0000"))</f>
        <v>0</v>
      </c>
      <c r="J106" s="15">
        <f>IF(I106="","",IFERROR(INDEX(Staff!$B$5:$B$44,MATCH(I106,Staff!$A$5:$A$44,0)),"Not in Staff"))</f>
        <v>0</v>
      </c>
      <c r="T106" s="25">
        <f>IF(B106="","",COUNTIFS(Appointments!$E$5:$E$1204,A106,Appointments!$M$5:$M$1204,"Completed"))</f>
        <v>0</v>
      </c>
      <c r="U106" s="25">
        <f>IF(B106="","",COUNTIFS(Appointments!$E$5:$E$1204,A106,Appointments!$M$5:$M$1204,"Completed",Appointments!$B$5:$B$1204,"&gt;="&amp;TodayDate-365))</f>
        <v>0</v>
      </c>
      <c r="V106" s="25">
        <f>IF(B106="","",COUNTIFS(Appointments!$E$5:$E$1204,A106,Appointments!$M$5:$M$1204,"Cancelled"))</f>
        <v>0</v>
      </c>
      <c r="W106" s="25">
        <f>IF(B106="","",COUNTIFS(Appointments!$E$5:$E$1204,A106,Appointments!$M$5:$M$1204,"No show"))</f>
        <v>0</v>
      </c>
      <c r="X106" s="17">
        <f>IF(B106="","",IF(F106&lt;&gt;"",F106,IF(T106=0,"",SUMPRODUCT(MIN((Appointments!$E$5:$E$1204=A106)*(Appointments!$M$5:$M$1204="Completed")*Appointments!$B$5:$B$1204+(1-(Appointments!$E$5:$E$1204=A106)*(Appointments!$M$5:$M$1204="Completed"))*2958465)))))</f>
        <v>0</v>
      </c>
      <c r="Y106" s="17">
        <f>IF(B106="","",IF(T106=0,"",SUMPRODUCT(MAX((Appointments!$E$5:$E$1204=A106)*(Appointments!$M$5:$M$1204="Completed")*Appointments!$B$5:$B$1204))))</f>
        <v>0</v>
      </c>
      <c r="Z106" s="25">
        <f>IF(B106="","",IF(Y106="","",TodayDate-Y106))</f>
        <v>0</v>
      </c>
      <c r="AA106" s="42">
        <f>IF(B106="","",SUMPRODUCT(MIN((Appointments!$E$5:$E$1204=A106)*(Appointments!$M$5:$M$1204&lt;&gt;"Cancelled")*(Appointments!$M$5:$M$1204&lt;&gt;"Completed")*(Appointments!$M$5:$M$1204&lt;&gt;"No show")*(Appointments!$B$5:$B$1204&gt;=TodayDate)*Appointments!$B$5:$B$1204+(1-(Appointments!$E$5:$E$1204=A106)*(Appointments!$M$5:$M$1204&lt;&gt;"Cancelled")*(Appointments!$M$5:$M$1204&lt;&gt;"Completed")*(Appointments!$M$5:$M$1204&lt;&gt;"No show")*(Appointments!$B$5:$B$1204&gt;=TodayDate))*2958465)))</f>
        <v>0</v>
      </c>
      <c r="AB106" s="17">
        <f>IF(B106="","",IF(AA106&gt;=2958465,"",AA106))</f>
        <v>0</v>
      </c>
      <c r="AC106" s="25">
        <f>IF(B106="","",IF(T106&lt;2,"",ROUND((Y106-X106)/MAX(1,T106-1),0)))</f>
        <v>0</v>
      </c>
      <c r="AD106" s="17">
        <f>IF(B106="","",IF(Y106="","",Y106+IF(AC106="",RebookWeeks*7,MAX(14,AC106))))</f>
        <v>0</v>
      </c>
      <c r="AE106" s="26">
        <f>IF(B106="","",ROUND(SUMIFS(Sales!$Y$5:$Y$1204,Sales!$D$5:$D$1204,A106),2))</f>
        <v>0</v>
      </c>
      <c r="AF106" s="26">
        <f>IF(B106="","",ROUND(SUMIFS(Sales!$Y$5:$Y$1204,Sales!$D$5:$D$1204,A106,Sales!$H$5:$H$1204,"Service"),2))</f>
        <v>0</v>
      </c>
      <c r="AG106" s="26">
        <f>IF(B106="","",ROUND(SUMIFS(Sales!$Y$5:$Y$1204,Sales!$D$5:$D$1204,A106,Sales!$H$5:$H$1204,"Retail"),2))</f>
        <v>0</v>
      </c>
      <c r="AH106" s="26">
        <f>IF(B106="","",ROUND(SUMIFS(Sales!$Y$5:$Y$1204,Sales!$D$5:$D$1204,A106,Sales!$B$5:$B$1204,"&gt;="&amp;TodayDate-365),2))</f>
        <v>0</v>
      </c>
      <c r="AI106" s="26">
        <f>IF(B106="","",IF(T106=0,"",ROUND(AE106/T106,2)))</f>
        <v>0</v>
      </c>
      <c r="AJ106" s="26">
        <f>IF(B106="","",IF(AI106="","",IF(AC106="","",ROUND(AI106*(365/MAX(14,AC106)),2))))</f>
        <v>0</v>
      </c>
      <c r="AK106" s="26">
        <f>IF(B106="","",ROUND(SUMIFS(Sales!$AH$5:$AH$1204,Sales!$D$5:$D$1204,A106),2))</f>
        <v>0</v>
      </c>
      <c r="AL106" s="25">
        <f>IF(B106="","",IFERROR(INDEX(Loyalty!$P$5:$P$504,MATCH(A106,Loyalty!$B$5:$B$504,0))*1,0))</f>
        <v>0</v>
      </c>
      <c r="AM106" s="39">
        <f>IF(B106="","",IF(R106="Archived","Archived",IF(T106=0,"Not been yet",IF(Z106&gt;=InactiveDays,"Inactive",IF(Z106&gt;=LapsingDays,"Lapsing",IF(T106=1,"New",IF(AH106&gt;=VipSpend,"VIP",IF(U106&gt;=4,"Regular","Active"))))))))</f>
        <v>0</v>
      </c>
      <c r="AN106" s="38">
        <f>IF(B106="","",IF(T106&gt;=2,"Yes","No"))</f>
        <v>0</v>
      </c>
      <c r="AO106" s="25">
        <f>IF(B106="","",COUNTIFS($AE$5:$AE$504,"&gt;"&amp;AE106)+COUNTIFS($AE$5:AE106,AE106))</f>
        <v>0</v>
      </c>
      <c r="AP106" s="25">
        <f>IF(B106="","",COUNTIFS($T$5:$T$504,"&gt;"&amp;T106)+COUNTIFS($T$5:T106,T106))</f>
        <v>0</v>
      </c>
      <c r="AQ106" s="39">
        <f>IF(B106="","",IF(COUNTIF($B$5:$B$504,B106)&gt;1,"Duplicate - same name twice",IF(R106="Archived","",IF(AK106&gt;0.004,"Chase - balance outstanding",IF(AM106="Inactive","Gone - win-back offer",IF(AM106="Lapsing","Chase - lapsing, call them",IF(IF(N106="",FALSE,TodayDate-N106&gt;PatchTestDays),"Due - patch test out of date",IF(IF(AD106="",FALSE,IF(AB106&lt;&gt;"",FALSE,AD106&lt;=TodayDate+14)),"Rebook - due and nothing booked",IF(IF(K106="",FALSE,ABS(DATE(YEAR(TodayDate),MONTH(K106),DAY(K106))-TodayDate)&lt;=7),"Birthday - send the treat","OK")))))))))</f>
        <v>0</v>
      </c>
    </row>
    <row r="107" spans="1:43">
      <c r="A107" s="28">
        <f>IF(B107="","",ClientPrefix&amp;TEXT(ROW()-4,"0000"))</f>
        <v>0</v>
      </c>
      <c r="J107" s="15">
        <f>IF(I107="","",IFERROR(INDEX(Staff!$B$5:$B$44,MATCH(I107,Staff!$A$5:$A$44,0)),"Not in Staff"))</f>
        <v>0</v>
      </c>
      <c r="T107" s="25">
        <f>IF(B107="","",COUNTIFS(Appointments!$E$5:$E$1204,A107,Appointments!$M$5:$M$1204,"Completed"))</f>
        <v>0</v>
      </c>
      <c r="U107" s="25">
        <f>IF(B107="","",COUNTIFS(Appointments!$E$5:$E$1204,A107,Appointments!$M$5:$M$1204,"Completed",Appointments!$B$5:$B$1204,"&gt;="&amp;TodayDate-365))</f>
        <v>0</v>
      </c>
      <c r="V107" s="25">
        <f>IF(B107="","",COUNTIFS(Appointments!$E$5:$E$1204,A107,Appointments!$M$5:$M$1204,"Cancelled"))</f>
        <v>0</v>
      </c>
      <c r="W107" s="25">
        <f>IF(B107="","",COUNTIFS(Appointments!$E$5:$E$1204,A107,Appointments!$M$5:$M$1204,"No show"))</f>
        <v>0</v>
      </c>
      <c r="X107" s="17">
        <f>IF(B107="","",IF(F107&lt;&gt;"",F107,IF(T107=0,"",SUMPRODUCT(MIN((Appointments!$E$5:$E$1204=A107)*(Appointments!$M$5:$M$1204="Completed")*Appointments!$B$5:$B$1204+(1-(Appointments!$E$5:$E$1204=A107)*(Appointments!$M$5:$M$1204="Completed"))*2958465)))))</f>
        <v>0</v>
      </c>
      <c r="Y107" s="17">
        <f>IF(B107="","",IF(T107=0,"",SUMPRODUCT(MAX((Appointments!$E$5:$E$1204=A107)*(Appointments!$M$5:$M$1204="Completed")*Appointments!$B$5:$B$1204))))</f>
        <v>0</v>
      </c>
      <c r="Z107" s="25">
        <f>IF(B107="","",IF(Y107="","",TodayDate-Y107))</f>
        <v>0</v>
      </c>
      <c r="AA107" s="42">
        <f>IF(B107="","",SUMPRODUCT(MIN((Appointments!$E$5:$E$1204=A107)*(Appointments!$M$5:$M$1204&lt;&gt;"Cancelled")*(Appointments!$M$5:$M$1204&lt;&gt;"Completed")*(Appointments!$M$5:$M$1204&lt;&gt;"No show")*(Appointments!$B$5:$B$1204&gt;=TodayDate)*Appointments!$B$5:$B$1204+(1-(Appointments!$E$5:$E$1204=A107)*(Appointments!$M$5:$M$1204&lt;&gt;"Cancelled")*(Appointments!$M$5:$M$1204&lt;&gt;"Completed")*(Appointments!$M$5:$M$1204&lt;&gt;"No show")*(Appointments!$B$5:$B$1204&gt;=TodayDate))*2958465)))</f>
        <v>0</v>
      </c>
      <c r="AB107" s="17">
        <f>IF(B107="","",IF(AA107&gt;=2958465,"",AA107))</f>
        <v>0</v>
      </c>
      <c r="AC107" s="25">
        <f>IF(B107="","",IF(T107&lt;2,"",ROUND((Y107-X107)/MAX(1,T107-1),0)))</f>
        <v>0</v>
      </c>
      <c r="AD107" s="17">
        <f>IF(B107="","",IF(Y107="","",Y107+IF(AC107="",RebookWeeks*7,MAX(14,AC107))))</f>
        <v>0</v>
      </c>
      <c r="AE107" s="26">
        <f>IF(B107="","",ROUND(SUMIFS(Sales!$Y$5:$Y$1204,Sales!$D$5:$D$1204,A107),2))</f>
        <v>0</v>
      </c>
      <c r="AF107" s="26">
        <f>IF(B107="","",ROUND(SUMIFS(Sales!$Y$5:$Y$1204,Sales!$D$5:$D$1204,A107,Sales!$H$5:$H$1204,"Service"),2))</f>
        <v>0</v>
      </c>
      <c r="AG107" s="26">
        <f>IF(B107="","",ROUND(SUMIFS(Sales!$Y$5:$Y$1204,Sales!$D$5:$D$1204,A107,Sales!$H$5:$H$1204,"Retail"),2))</f>
        <v>0</v>
      </c>
      <c r="AH107" s="26">
        <f>IF(B107="","",ROUND(SUMIFS(Sales!$Y$5:$Y$1204,Sales!$D$5:$D$1204,A107,Sales!$B$5:$B$1204,"&gt;="&amp;TodayDate-365),2))</f>
        <v>0</v>
      </c>
      <c r="AI107" s="26">
        <f>IF(B107="","",IF(T107=0,"",ROUND(AE107/T107,2)))</f>
        <v>0</v>
      </c>
      <c r="AJ107" s="26">
        <f>IF(B107="","",IF(AI107="","",IF(AC107="","",ROUND(AI107*(365/MAX(14,AC107)),2))))</f>
        <v>0</v>
      </c>
      <c r="AK107" s="26">
        <f>IF(B107="","",ROUND(SUMIFS(Sales!$AH$5:$AH$1204,Sales!$D$5:$D$1204,A107),2))</f>
        <v>0</v>
      </c>
      <c r="AL107" s="25">
        <f>IF(B107="","",IFERROR(INDEX(Loyalty!$P$5:$P$504,MATCH(A107,Loyalty!$B$5:$B$504,0))*1,0))</f>
        <v>0</v>
      </c>
      <c r="AM107" s="39">
        <f>IF(B107="","",IF(R107="Archived","Archived",IF(T107=0,"Not been yet",IF(Z107&gt;=InactiveDays,"Inactive",IF(Z107&gt;=LapsingDays,"Lapsing",IF(T107=1,"New",IF(AH107&gt;=VipSpend,"VIP",IF(U107&gt;=4,"Regular","Active"))))))))</f>
        <v>0</v>
      </c>
      <c r="AN107" s="38">
        <f>IF(B107="","",IF(T107&gt;=2,"Yes","No"))</f>
        <v>0</v>
      </c>
      <c r="AO107" s="25">
        <f>IF(B107="","",COUNTIFS($AE$5:$AE$504,"&gt;"&amp;AE107)+COUNTIFS($AE$5:AE107,AE107))</f>
        <v>0</v>
      </c>
      <c r="AP107" s="25">
        <f>IF(B107="","",COUNTIFS($T$5:$T$504,"&gt;"&amp;T107)+COUNTIFS($T$5:T107,T107))</f>
        <v>0</v>
      </c>
      <c r="AQ107" s="39">
        <f>IF(B107="","",IF(COUNTIF($B$5:$B$504,B107)&gt;1,"Duplicate - same name twice",IF(R107="Archived","",IF(AK107&gt;0.004,"Chase - balance outstanding",IF(AM107="Inactive","Gone - win-back offer",IF(AM107="Lapsing","Chase - lapsing, call them",IF(IF(N107="",FALSE,TodayDate-N107&gt;PatchTestDays),"Due - patch test out of date",IF(IF(AD107="",FALSE,IF(AB107&lt;&gt;"",FALSE,AD107&lt;=TodayDate+14)),"Rebook - due and nothing booked",IF(IF(K107="",FALSE,ABS(DATE(YEAR(TodayDate),MONTH(K107),DAY(K107))-TodayDate)&lt;=7),"Birthday - send the treat","OK")))))))))</f>
        <v>0</v>
      </c>
    </row>
    <row r="108" spans="1:43">
      <c r="A108" s="28">
        <f>IF(B108="","",ClientPrefix&amp;TEXT(ROW()-4,"0000"))</f>
        <v>0</v>
      </c>
      <c r="J108" s="15">
        <f>IF(I108="","",IFERROR(INDEX(Staff!$B$5:$B$44,MATCH(I108,Staff!$A$5:$A$44,0)),"Not in Staff"))</f>
        <v>0</v>
      </c>
      <c r="T108" s="25">
        <f>IF(B108="","",COUNTIFS(Appointments!$E$5:$E$1204,A108,Appointments!$M$5:$M$1204,"Completed"))</f>
        <v>0</v>
      </c>
      <c r="U108" s="25">
        <f>IF(B108="","",COUNTIFS(Appointments!$E$5:$E$1204,A108,Appointments!$M$5:$M$1204,"Completed",Appointments!$B$5:$B$1204,"&gt;="&amp;TodayDate-365))</f>
        <v>0</v>
      </c>
      <c r="V108" s="25">
        <f>IF(B108="","",COUNTIFS(Appointments!$E$5:$E$1204,A108,Appointments!$M$5:$M$1204,"Cancelled"))</f>
        <v>0</v>
      </c>
      <c r="W108" s="25">
        <f>IF(B108="","",COUNTIFS(Appointments!$E$5:$E$1204,A108,Appointments!$M$5:$M$1204,"No show"))</f>
        <v>0</v>
      </c>
      <c r="X108" s="17">
        <f>IF(B108="","",IF(F108&lt;&gt;"",F108,IF(T108=0,"",SUMPRODUCT(MIN((Appointments!$E$5:$E$1204=A108)*(Appointments!$M$5:$M$1204="Completed")*Appointments!$B$5:$B$1204+(1-(Appointments!$E$5:$E$1204=A108)*(Appointments!$M$5:$M$1204="Completed"))*2958465)))))</f>
        <v>0</v>
      </c>
      <c r="Y108" s="17">
        <f>IF(B108="","",IF(T108=0,"",SUMPRODUCT(MAX((Appointments!$E$5:$E$1204=A108)*(Appointments!$M$5:$M$1204="Completed")*Appointments!$B$5:$B$1204))))</f>
        <v>0</v>
      </c>
      <c r="Z108" s="25">
        <f>IF(B108="","",IF(Y108="","",TodayDate-Y108))</f>
        <v>0</v>
      </c>
      <c r="AA108" s="42">
        <f>IF(B108="","",SUMPRODUCT(MIN((Appointments!$E$5:$E$1204=A108)*(Appointments!$M$5:$M$1204&lt;&gt;"Cancelled")*(Appointments!$M$5:$M$1204&lt;&gt;"Completed")*(Appointments!$M$5:$M$1204&lt;&gt;"No show")*(Appointments!$B$5:$B$1204&gt;=TodayDate)*Appointments!$B$5:$B$1204+(1-(Appointments!$E$5:$E$1204=A108)*(Appointments!$M$5:$M$1204&lt;&gt;"Cancelled")*(Appointments!$M$5:$M$1204&lt;&gt;"Completed")*(Appointments!$M$5:$M$1204&lt;&gt;"No show")*(Appointments!$B$5:$B$1204&gt;=TodayDate))*2958465)))</f>
        <v>0</v>
      </c>
      <c r="AB108" s="17">
        <f>IF(B108="","",IF(AA108&gt;=2958465,"",AA108))</f>
        <v>0</v>
      </c>
      <c r="AC108" s="25">
        <f>IF(B108="","",IF(T108&lt;2,"",ROUND((Y108-X108)/MAX(1,T108-1),0)))</f>
        <v>0</v>
      </c>
      <c r="AD108" s="17">
        <f>IF(B108="","",IF(Y108="","",Y108+IF(AC108="",RebookWeeks*7,MAX(14,AC108))))</f>
        <v>0</v>
      </c>
      <c r="AE108" s="26">
        <f>IF(B108="","",ROUND(SUMIFS(Sales!$Y$5:$Y$1204,Sales!$D$5:$D$1204,A108),2))</f>
        <v>0</v>
      </c>
      <c r="AF108" s="26">
        <f>IF(B108="","",ROUND(SUMIFS(Sales!$Y$5:$Y$1204,Sales!$D$5:$D$1204,A108,Sales!$H$5:$H$1204,"Service"),2))</f>
        <v>0</v>
      </c>
      <c r="AG108" s="26">
        <f>IF(B108="","",ROUND(SUMIFS(Sales!$Y$5:$Y$1204,Sales!$D$5:$D$1204,A108,Sales!$H$5:$H$1204,"Retail"),2))</f>
        <v>0</v>
      </c>
      <c r="AH108" s="26">
        <f>IF(B108="","",ROUND(SUMIFS(Sales!$Y$5:$Y$1204,Sales!$D$5:$D$1204,A108,Sales!$B$5:$B$1204,"&gt;="&amp;TodayDate-365),2))</f>
        <v>0</v>
      </c>
      <c r="AI108" s="26">
        <f>IF(B108="","",IF(T108=0,"",ROUND(AE108/T108,2)))</f>
        <v>0</v>
      </c>
      <c r="AJ108" s="26">
        <f>IF(B108="","",IF(AI108="","",IF(AC108="","",ROUND(AI108*(365/MAX(14,AC108)),2))))</f>
        <v>0</v>
      </c>
      <c r="AK108" s="26">
        <f>IF(B108="","",ROUND(SUMIFS(Sales!$AH$5:$AH$1204,Sales!$D$5:$D$1204,A108),2))</f>
        <v>0</v>
      </c>
      <c r="AL108" s="25">
        <f>IF(B108="","",IFERROR(INDEX(Loyalty!$P$5:$P$504,MATCH(A108,Loyalty!$B$5:$B$504,0))*1,0))</f>
        <v>0</v>
      </c>
      <c r="AM108" s="39">
        <f>IF(B108="","",IF(R108="Archived","Archived",IF(T108=0,"Not been yet",IF(Z108&gt;=InactiveDays,"Inactive",IF(Z108&gt;=LapsingDays,"Lapsing",IF(T108=1,"New",IF(AH108&gt;=VipSpend,"VIP",IF(U108&gt;=4,"Regular","Active"))))))))</f>
        <v>0</v>
      </c>
      <c r="AN108" s="38">
        <f>IF(B108="","",IF(T108&gt;=2,"Yes","No"))</f>
        <v>0</v>
      </c>
      <c r="AO108" s="25">
        <f>IF(B108="","",COUNTIFS($AE$5:$AE$504,"&gt;"&amp;AE108)+COUNTIFS($AE$5:AE108,AE108))</f>
        <v>0</v>
      </c>
      <c r="AP108" s="25">
        <f>IF(B108="","",COUNTIFS($T$5:$T$504,"&gt;"&amp;T108)+COUNTIFS($T$5:T108,T108))</f>
        <v>0</v>
      </c>
      <c r="AQ108" s="39">
        <f>IF(B108="","",IF(COUNTIF($B$5:$B$504,B108)&gt;1,"Duplicate - same name twice",IF(R108="Archived","",IF(AK108&gt;0.004,"Chase - balance outstanding",IF(AM108="Inactive","Gone - win-back offer",IF(AM108="Lapsing","Chase - lapsing, call them",IF(IF(N108="",FALSE,TodayDate-N108&gt;PatchTestDays),"Due - patch test out of date",IF(IF(AD108="",FALSE,IF(AB108&lt;&gt;"",FALSE,AD108&lt;=TodayDate+14)),"Rebook - due and nothing booked",IF(IF(K108="",FALSE,ABS(DATE(YEAR(TodayDate),MONTH(K108),DAY(K108))-TodayDate)&lt;=7),"Birthday - send the treat","OK")))))))))</f>
        <v>0</v>
      </c>
    </row>
    <row r="109" spans="1:43">
      <c r="A109" s="28">
        <f>IF(B109="","",ClientPrefix&amp;TEXT(ROW()-4,"0000"))</f>
        <v>0</v>
      </c>
      <c r="J109" s="15">
        <f>IF(I109="","",IFERROR(INDEX(Staff!$B$5:$B$44,MATCH(I109,Staff!$A$5:$A$44,0)),"Not in Staff"))</f>
        <v>0</v>
      </c>
      <c r="T109" s="25">
        <f>IF(B109="","",COUNTIFS(Appointments!$E$5:$E$1204,A109,Appointments!$M$5:$M$1204,"Completed"))</f>
        <v>0</v>
      </c>
      <c r="U109" s="25">
        <f>IF(B109="","",COUNTIFS(Appointments!$E$5:$E$1204,A109,Appointments!$M$5:$M$1204,"Completed",Appointments!$B$5:$B$1204,"&gt;="&amp;TodayDate-365))</f>
        <v>0</v>
      </c>
      <c r="V109" s="25">
        <f>IF(B109="","",COUNTIFS(Appointments!$E$5:$E$1204,A109,Appointments!$M$5:$M$1204,"Cancelled"))</f>
        <v>0</v>
      </c>
      <c r="W109" s="25">
        <f>IF(B109="","",COUNTIFS(Appointments!$E$5:$E$1204,A109,Appointments!$M$5:$M$1204,"No show"))</f>
        <v>0</v>
      </c>
      <c r="X109" s="17">
        <f>IF(B109="","",IF(F109&lt;&gt;"",F109,IF(T109=0,"",SUMPRODUCT(MIN((Appointments!$E$5:$E$1204=A109)*(Appointments!$M$5:$M$1204="Completed")*Appointments!$B$5:$B$1204+(1-(Appointments!$E$5:$E$1204=A109)*(Appointments!$M$5:$M$1204="Completed"))*2958465)))))</f>
        <v>0</v>
      </c>
      <c r="Y109" s="17">
        <f>IF(B109="","",IF(T109=0,"",SUMPRODUCT(MAX((Appointments!$E$5:$E$1204=A109)*(Appointments!$M$5:$M$1204="Completed")*Appointments!$B$5:$B$1204))))</f>
        <v>0</v>
      </c>
      <c r="Z109" s="25">
        <f>IF(B109="","",IF(Y109="","",TodayDate-Y109))</f>
        <v>0</v>
      </c>
      <c r="AA109" s="42">
        <f>IF(B109="","",SUMPRODUCT(MIN((Appointments!$E$5:$E$1204=A109)*(Appointments!$M$5:$M$1204&lt;&gt;"Cancelled")*(Appointments!$M$5:$M$1204&lt;&gt;"Completed")*(Appointments!$M$5:$M$1204&lt;&gt;"No show")*(Appointments!$B$5:$B$1204&gt;=TodayDate)*Appointments!$B$5:$B$1204+(1-(Appointments!$E$5:$E$1204=A109)*(Appointments!$M$5:$M$1204&lt;&gt;"Cancelled")*(Appointments!$M$5:$M$1204&lt;&gt;"Completed")*(Appointments!$M$5:$M$1204&lt;&gt;"No show")*(Appointments!$B$5:$B$1204&gt;=TodayDate))*2958465)))</f>
        <v>0</v>
      </c>
      <c r="AB109" s="17">
        <f>IF(B109="","",IF(AA109&gt;=2958465,"",AA109))</f>
        <v>0</v>
      </c>
      <c r="AC109" s="25">
        <f>IF(B109="","",IF(T109&lt;2,"",ROUND((Y109-X109)/MAX(1,T109-1),0)))</f>
        <v>0</v>
      </c>
      <c r="AD109" s="17">
        <f>IF(B109="","",IF(Y109="","",Y109+IF(AC109="",RebookWeeks*7,MAX(14,AC109))))</f>
        <v>0</v>
      </c>
      <c r="AE109" s="26">
        <f>IF(B109="","",ROUND(SUMIFS(Sales!$Y$5:$Y$1204,Sales!$D$5:$D$1204,A109),2))</f>
        <v>0</v>
      </c>
      <c r="AF109" s="26">
        <f>IF(B109="","",ROUND(SUMIFS(Sales!$Y$5:$Y$1204,Sales!$D$5:$D$1204,A109,Sales!$H$5:$H$1204,"Service"),2))</f>
        <v>0</v>
      </c>
      <c r="AG109" s="26">
        <f>IF(B109="","",ROUND(SUMIFS(Sales!$Y$5:$Y$1204,Sales!$D$5:$D$1204,A109,Sales!$H$5:$H$1204,"Retail"),2))</f>
        <v>0</v>
      </c>
      <c r="AH109" s="26">
        <f>IF(B109="","",ROUND(SUMIFS(Sales!$Y$5:$Y$1204,Sales!$D$5:$D$1204,A109,Sales!$B$5:$B$1204,"&gt;="&amp;TodayDate-365),2))</f>
        <v>0</v>
      </c>
      <c r="AI109" s="26">
        <f>IF(B109="","",IF(T109=0,"",ROUND(AE109/T109,2)))</f>
        <v>0</v>
      </c>
      <c r="AJ109" s="26">
        <f>IF(B109="","",IF(AI109="","",IF(AC109="","",ROUND(AI109*(365/MAX(14,AC109)),2))))</f>
        <v>0</v>
      </c>
      <c r="AK109" s="26">
        <f>IF(B109="","",ROUND(SUMIFS(Sales!$AH$5:$AH$1204,Sales!$D$5:$D$1204,A109),2))</f>
        <v>0</v>
      </c>
      <c r="AL109" s="25">
        <f>IF(B109="","",IFERROR(INDEX(Loyalty!$P$5:$P$504,MATCH(A109,Loyalty!$B$5:$B$504,0))*1,0))</f>
        <v>0</v>
      </c>
      <c r="AM109" s="39">
        <f>IF(B109="","",IF(R109="Archived","Archived",IF(T109=0,"Not been yet",IF(Z109&gt;=InactiveDays,"Inactive",IF(Z109&gt;=LapsingDays,"Lapsing",IF(T109=1,"New",IF(AH109&gt;=VipSpend,"VIP",IF(U109&gt;=4,"Regular","Active"))))))))</f>
        <v>0</v>
      </c>
      <c r="AN109" s="38">
        <f>IF(B109="","",IF(T109&gt;=2,"Yes","No"))</f>
        <v>0</v>
      </c>
      <c r="AO109" s="25">
        <f>IF(B109="","",COUNTIFS($AE$5:$AE$504,"&gt;"&amp;AE109)+COUNTIFS($AE$5:AE109,AE109))</f>
        <v>0</v>
      </c>
      <c r="AP109" s="25">
        <f>IF(B109="","",COUNTIFS($T$5:$T$504,"&gt;"&amp;T109)+COUNTIFS($T$5:T109,T109))</f>
        <v>0</v>
      </c>
      <c r="AQ109" s="39">
        <f>IF(B109="","",IF(COUNTIF($B$5:$B$504,B109)&gt;1,"Duplicate - same name twice",IF(R109="Archived","",IF(AK109&gt;0.004,"Chase - balance outstanding",IF(AM109="Inactive","Gone - win-back offer",IF(AM109="Lapsing","Chase - lapsing, call them",IF(IF(N109="",FALSE,TodayDate-N109&gt;PatchTestDays),"Due - patch test out of date",IF(IF(AD109="",FALSE,IF(AB109&lt;&gt;"",FALSE,AD109&lt;=TodayDate+14)),"Rebook - due and nothing booked",IF(IF(K109="",FALSE,ABS(DATE(YEAR(TodayDate),MONTH(K109),DAY(K109))-TodayDate)&lt;=7),"Birthday - send the treat","OK")))))))))</f>
        <v>0</v>
      </c>
    </row>
    <row r="110" spans="1:43">
      <c r="A110" s="28">
        <f>IF(B110="","",ClientPrefix&amp;TEXT(ROW()-4,"0000"))</f>
        <v>0</v>
      </c>
      <c r="J110" s="15">
        <f>IF(I110="","",IFERROR(INDEX(Staff!$B$5:$B$44,MATCH(I110,Staff!$A$5:$A$44,0)),"Not in Staff"))</f>
        <v>0</v>
      </c>
      <c r="T110" s="25">
        <f>IF(B110="","",COUNTIFS(Appointments!$E$5:$E$1204,A110,Appointments!$M$5:$M$1204,"Completed"))</f>
        <v>0</v>
      </c>
      <c r="U110" s="25">
        <f>IF(B110="","",COUNTIFS(Appointments!$E$5:$E$1204,A110,Appointments!$M$5:$M$1204,"Completed",Appointments!$B$5:$B$1204,"&gt;="&amp;TodayDate-365))</f>
        <v>0</v>
      </c>
      <c r="V110" s="25">
        <f>IF(B110="","",COUNTIFS(Appointments!$E$5:$E$1204,A110,Appointments!$M$5:$M$1204,"Cancelled"))</f>
        <v>0</v>
      </c>
      <c r="W110" s="25">
        <f>IF(B110="","",COUNTIFS(Appointments!$E$5:$E$1204,A110,Appointments!$M$5:$M$1204,"No show"))</f>
        <v>0</v>
      </c>
      <c r="X110" s="17">
        <f>IF(B110="","",IF(F110&lt;&gt;"",F110,IF(T110=0,"",SUMPRODUCT(MIN((Appointments!$E$5:$E$1204=A110)*(Appointments!$M$5:$M$1204="Completed")*Appointments!$B$5:$B$1204+(1-(Appointments!$E$5:$E$1204=A110)*(Appointments!$M$5:$M$1204="Completed"))*2958465)))))</f>
        <v>0</v>
      </c>
      <c r="Y110" s="17">
        <f>IF(B110="","",IF(T110=0,"",SUMPRODUCT(MAX((Appointments!$E$5:$E$1204=A110)*(Appointments!$M$5:$M$1204="Completed")*Appointments!$B$5:$B$1204))))</f>
        <v>0</v>
      </c>
      <c r="Z110" s="25">
        <f>IF(B110="","",IF(Y110="","",TodayDate-Y110))</f>
        <v>0</v>
      </c>
      <c r="AA110" s="42">
        <f>IF(B110="","",SUMPRODUCT(MIN((Appointments!$E$5:$E$1204=A110)*(Appointments!$M$5:$M$1204&lt;&gt;"Cancelled")*(Appointments!$M$5:$M$1204&lt;&gt;"Completed")*(Appointments!$M$5:$M$1204&lt;&gt;"No show")*(Appointments!$B$5:$B$1204&gt;=TodayDate)*Appointments!$B$5:$B$1204+(1-(Appointments!$E$5:$E$1204=A110)*(Appointments!$M$5:$M$1204&lt;&gt;"Cancelled")*(Appointments!$M$5:$M$1204&lt;&gt;"Completed")*(Appointments!$M$5:$M$1204&lt;&gt;"No show")*(Appointments!$B$5:$B$1204&gt;=TodayDate))*2958465)))</f>
        <v>0</v>
      </c>
      <c r="AB110" s="17">
        <f>IF(B110="","",IF(AA110&gt;=2958465,"",AA110))</f>
        <v>0</v>
      </c>
      <c r="AC110" s="25">
        <f>IF(B110="","",IF(T110&lt;2,"",ROUND((Y110-X110)/MAX(1,T110-1),0)))</f>
        <v>0</v>
      </c>
      <c r="AD110" s="17">
        <f>IF(B110="","",IF(Y110="","",Y110+IF(AC110="",RebookWeeks*7,MAX(14,AC110))))</f>
        <v>0</v>
      </c>
      <c r="AE110" s="26">
        <f>IF(B110="","",ROUND(SUMIFS(Sales!$Y$5:$Y$1204,Sales!$D$5:$D$1204,A110),2))</f>
        <v>0</v>
      </c>
      <c r="AF110" s="26">
        <f>IF(B110="","",ROUND(SUMIFS(Sales!$Y$5:$Y$1204,Sales!$D$5:$D$1204,A110,Sales!$H$5:$H$1204,"Service"),2))</f>
        <v>0</v>
      </c>
      <c r="AG110" s="26">
        <f>IF(B110="","",ROUND(SUMIFS(Sales!$Y$5:$Y$1204,Sales!$D$5:$D$1204,A110,Sales!$H$5:$H$1204,"Retail"),2))</f>
        <v>0</v>
      </c>
      <c r="AH110" s="26">
        <f>IF(B110="","",ROUND(SUMIFS(Sales!$Y$5:$Y$1204,Sales!$D$5:$D$1204,A110,Sales!$B$5:$B$1204,"&gt;="&amp;TodayDate-365),2))</f>
        <v>0</v>
      </c>
      <c r="AI110" s="26">
        <f>IF(B110="","",IF(T110=0,"",ROUND(AE110/T110,2)))</f>
        <v>0</v>
      </c>
      <c r="AJ110" s="26">
        <f>IF(B110="","",IF(AI110="","",IF(AC110="","",ROUND(AI110*(365/MAX(14,AC110)),2))))</f>
        <v>0</v>
      </c>
      <c r="AK110" s="26">
        <f>IF(B110="","",ROUND(SUMIFS(Sales!$AH$5:$AH$1204,Sales!$D$5:$D$1204,A110),2))</f>
        <v>0</v>
      </c>
      <c r="AL110" s="25">
        <f>IF(B110="","",IFERROR(INDEX(Loyalty!$P$5:$P$504,MATCH(A110,Loyalty!$B$5:$B$504,0))*1,0))</f>
        <v>0</v>
      </c>
      <c r="AM110" s="39">
        <f>IF(B110="","",IF(R110="Archived","Archived",IF(T110=0,"Not been yet",IF(Z110&gt;=InactiveDays,"Inactive",IF(Z110&gt;=LapsingDays,"Lapsing",IF(T110=1,"New",IF(AH110&gt;=VipSpend,"VIP",IF(U110&gt;=4,"Regular","Active"))))))))</f>
        <v>0</v>
      </c>
      <c r="AN110" s="38">
        <f>IF(B110="","",IF(T110&gt;=2,"Yes","No"))</f>
        <v>0</v>
      </c>
      <c r="AO110" s="25">
        <f>IF(B110="","",COUNTIFS($AE$5:$AE$504,"&gt;"&amp;AE110)+COUNTIFS($AE$5:AE110,AE110))</f>
        <v>0</v>
      </c>
      <c r="AP110" s="25">
        <f>IF(B110="","",COUNTIFS($T$5:$T$504,"&gt;"&amp;T110)+COUNTIFS($T$5:T110,T110))</f>
        <v>0</v>
      </c>
      <c r="AQ110" s="39">
        <f>IF(B110="","",IF(COUNTIF($B$5:$B$504,B110)&gt;1,"Duplicate - same name twice",IF(R110="Archived","",IF(AK110&gt;0.004,"Chase - balance outstanding",IF(AM110="Inactive","Gone - win-back offer",IF(AM110="Lapsing","Chase - lapsing, call them",IF(IF(N110="",FALSE,TodayDate-N110&gt;PatchTestDays),"Due - patch test out of date",IF(IF(AD110="",FALSE,IF(AB110&lt;&gt;"",FALSE,AD110&lt;=TodayDate+14)),"Rebook - due and nothing booked",IF(IF(K110="",FALSE,ABS(DATE(YEAR(TodayDate),MONTH(K110),DAY(K110))-TodayDate)&lt;=7),"Birthday - send the treat","OK")))))))))</f>
        <v>0</v>
      </c>
    </row>
    <row r="111" spans="1:43">
      <c r="A111" s="28">
        <f>IF(B111="","",ClientPrefix&amp;TEXT(ROW()-4,"0000"))</f>
        <v>0</v>
      </c>
      <c r="J111" s="15">
        <f>IF(I111="","",IFERROR(INDEX(Staff!$B$5:$B$44,MATCH(I111,Staff!$A$5:$A$44,0)),"Not in Staff"))</f>
        <v>0</v>
      </c>
      <c r="T111" s="25">
        <f>IF(B111="","",COUNTIFS(Appointments!$E$5:$E$1204,A111,Appointments!$M$5:$M$1204,"Completed"))</f>
        <v>0</v>
      </c>
      <c r="U111" s="25">
        <f>IF(B111="","",COUNTIFS(Appointments!$E$5:$E$1204,A111,Appointments!$M$5:$M$1204,"Completed",Appointments!$B$5:$B$1204,"&gt;="&amp;TodayDate-365))</f>
        <v>0</v>
      </c>
      <c r="V111" s="25">
        <f>IF(B111="","",COUNTIFS(Appointments!$E$5:$E$1204,A111,Appointments!$M$5:$M$1204,"Cancelled"))</f>
        <v>0</v>
      </c>
      <c r="W111" s="25">
        <f>IF(B111="","",COUNTIFS(Appointments!$E$5:$E$1204,A111,Appointments!$M$5:$M$1204,"No show"))</f>
        <v>0</v>
      </c>
      <c r="X111" s="17">
        <f>IF(B111="","",IF(F111&lt;&gt;"",F111,IF(T111=0,"",SUMPRODUCT(MIN((Appointments!$E$5:$E$1204=A111)*(Appointments!$M$5:$M$1204="Completed")*Appointments!$B$5:$B$1204+(1-(Appointments!$E$5:$E$1204=A111)*(Appointments!$M$5:$M$1204="Completed"))*2958465)))))</f>
        <v>0</v>
      </c>
      <c r="Y111" s="17">
        <f>IF(B111="","",IF(T111=0,"",SUMPRODUCT(MAX((Appointments!$E$5:$E$1204=A111)*(Appointments!$M$5:$M$1204="Completed")*Appointments!$B$5:$B$1204))))</f>
        <v>0</v>
      </c>
      <c r="Z111" s="25">
        <f>IF(B111="","",IF(Y111="","",TodayDate-Y111))</f>
        <v>0</v>
      </c>
      <c r="AA111" s="42">
        <f>IF(B111="","",SUMPRODUCT(MIN((Appointments!$E$5:$E$1204=A111)*(Appointments!$M$5:$M$1204&lt;&gt;"Cancelled")*(Appointments!$M$5:$M$1204&lt;&gt;"Completed")*(Appointments!$M$5:$M$1204&lt;&gt;"No show")*(Appointments!$B$5:$B$1204&gt;=TodayDate)*Appointments!$B$5:$B$1204+(1-(Appointments!$E$5:$E$1204=A111)*(Appointments!$M$5:$M$1204&lt;&gt;"Cancelled")*(Appointments!$M$5:$M$1204&lt;&gt;"Completed")*(Appointments!$M$5:$M$1204&lt;&gt;"No show")*(Appointments!$B$5:$B$1204&gt;=TodayDate))*2958465)))</f>
        <v>0</v>
      </c>
      <c r="AB111" s="17">
        <f>IF(B111="","",IF(AA111&gt;=2958465,"",AA111))</f>
        <v>0</v>
      </c>
      <c r="AC111" s="25">
        <f>IF(B111="","",IF(T111&lt;2,"",ROUND((Y111-X111)/MAX(1,T111-1),0)))</f>
        <v>0</v>
      </c>
      <c r="AD111" s="17">
        <f>IF(B111="","",IF(Y111="","",Y111+IF(AC111="",RebookWeeks*7,MAX(14,AC111))))</f>
        <v>0</v>
      </c>
      <c r="AE111" s="26">
        <f>IF(B111="","",ROUND(SUMIFS(Sales!$Y$5:$Y$1204,Sales!$D$5:$D$1204,A111),2))</f>
        <v>0</v>
      </c>
      <c r="AF111" s="26">
        <f>IF(B111="","",ROUND(SUMIFS(Sales!$Y$5:$Y$1204,Sales!$D$5:$D$1204,A111,Sales!$H$5:$H$1204,"Service"),2))</f>
        <v>0</v>
      </c>
      <c r="AG111" s="26">
        <f>IF(B111="","",ROUND(SUMIFS(Sales!$Y$5:$Y$1204,Sales!$D$5:$D$1204,A111,Sales!$H$5:$H$1204,"Retail"),2))</f>
        <v>0</v>
      </c>
      <c r="AH111" s="26">
        <f>IF(B111="","",ROUND(SUMIFS(Sales!$Y$5:$Y$1204,Sales!$D$5:$D$1204,A111,Sales!$B$5:$B$1204,"&gt;="&amp;TodayDate-365),2))</f>
        <v>0</v>
      </c>
      <c r="AI111" s="26">
        <f>IF(B111="","",IF(T111=0,"",ROUND(AE111/T111,2)))</f>
        <v>0</v>
      </c>
      <c r="AJ111" s="26">
        <f>IF(B111="","",IF(AI111="","",IF(AC111="","",ROUND(AI111*(365/MAX(14,AC111)),2))))</f>
        <v>0</v>
      </c>
      <c r="AK111" s="26">
        <f>IF(B111="","",ROUND(SUMIFS(Sales!$AH$5:$AH$1204,Sales!$D$5:$D$1204,A111),2))</f>
        <v>0</v>
      </c>
      <c r="AL111" s="25">
        <f>IF(B111="","",IFERROR(INDEX(Loyalty!$P$5:$P$504,MATCH(A111,Loyalty!$B$5:$B$504,0))*1,0))</f>
        <v>0</v>
      </c>
      <c r="AM111" s="39">
        <f>IF(B111="","",IF(R111="Archived","Archived",IF(T111=0,"Not been yet",IF(Z111&gt;=InactiveDays,"Inactive",IF(Z111&gt;=LapsingDays,"Lapsing",IF(T111=1,"New",IF(AH111&gt;=VipSpend,"VIP",IF(U111&gt;=4,"Regular","Active"))))))))</f>
        <v>0</v>
      </c>
      <c r="AN111" s="38">
        <f>IF(B111="","",IF(T111&gt;=2,"Yes","No"))</f>
        <v>0</v>
      </c>
      <c r="AO111" s="25">
        <f>IF(B111="","",COUNTIFS($AE$5:$AE$504,"&gt;"&amp;AE111)+COUNTIFS($AE$5:AE111,AE111))</f>
        <v>0</v>
      </c>
      <c r="AP111" s="25">
        <f>IF(B111="","",COUNTIFS($T$5:$T$504,"&gt;"&amp;T111)+COUNTIFS($T$5:T111,T111))</f>
        <v>0</v>
      </c>
      <c r="AQ111" s="39">
        <f>IF(B111="","",IF(COUNTIF($B$5:$B$504,B111)&gt;1,"Duplicate - same name twice",IF(R111="Archived","",IF(AK111&gt;0.004,"Chase - balance outstanding",IF(AM111="Inactive","Gone - win-back offer",IF(AM111="Lapsing","Chase - lapsing, call them",IF(IF(N111="",FALSE,TodayDate-N111&gt;PatchTestDays),"Due - patch test out of date",IF(IF(AD111="",FALSE,IF(AB111&lt;&gt;"",FALSE,AD111&lt;=TodayDate+14)),"Rebook - due and nothing booked",IF(IF(K111="",FALSE,ABS(DATE(YEAR(TodayDate),MONTH(K111),DAY(K111))-TodayDate)&lt;=7),"Birthday - send the treat","OK")))))))))</f>
        <v>0</v>
      </c>
    </row>
    <row r="112" spans="1:43">
      <c r="A112" s="28">
        <f>IF(B112="","",ClientPrefix&amp;TEXT(ROW()-4,"0000"))</f>
        <v>0</v>
      </c>
      <c r="J112" s="15">
        <f>IF(I112="","",IFERROR(INDEX(Staff!$B$5:$B$44,MATCH(I112,Staff!$A$5:$A$44,0)),"Not in Staff"))</f>
        <v>0</v>
      </c>
      <c r="T112" s="25">
        <f>IF(B112="","",COUNTIFS(Appointments!$E$5:$E$1204,A112,Appointments!$M$5:$M$1204,"Completed"))</f>
        <v>0</v>
      </c>
      <c r="U112" s="25">
        <f>IF(B112="","",COUNTIFS(Appointments!$E$5:$E$1204,A112,Appointments!$M$5:$M$1204,"Completed",Appointments!$B$5:$B$1204,"&gt;="&amp;TodayDate-365))</f>
        <v>0</v>
      </c>
      <c r="V112" s="25">
        <f>IF(B112="","",COUNTIFS(Appointments!$E$5:$E$1204,A112,Appointments!$M$5:$M$1204,"Cancelled"))</f>
        <v>0</v>
      </c>
      <c r="W112" s="25">
        <f>IF(B112="","",COUNTIFS(Appointments!$E$5:$E$1204,A112,Appointments!$M$5:$M$1204,"No show"))</f>
        <v>0</v>
      </c>
      <c r="X112" s="17">
        <f>IF(B112="","",IF(F112&lt;&gt;"",F112,IF(T112=0,"",SUMPRODUCT(MIN((Appointments!$E$5:$E$1204=A112)*(Appointments!$M$5:$M$1204="Completed")*Appointments!$B$5:$B$1204+(1-(Appointments!$E$5:$E$1204=A112)*(Appointments!$M$5:$M$1204="Completed"))*2958465)))))</f>
        <v>0</v>
      </c>
      <c r="Y112" s="17">
        <f>IF(B112="","",IF(T112=0,"",SUMPRODUCT(MAX((Appointments!$E$5:$E$1204=A112)*(Appointments!$M$5:$M$1204="Completed")*Appointments!$B$5:$B$1204))))</f>
        <v>0</v>
      </c>
      <c r="Z112" s="25">
        <f>IF(B112="","",IF(Y112="","",TodayDate-Y112))</f>
        <v>0</v>
      </c>
      <c r="AA112" s="42">
        <f>IF(B112="","",SUMPRODUCT(MIN((Appointments!$E$5:$E$1204=A112)*(Appointments!$M$5:$M$1204&lt;&gt;"Cancelled")*(Appointments!$M$5:$M$1204&lt;&gt;"Completed")*(Appointments!$M$5:$M$1204&lt;&gt;"No show")*(Appointments!$B$5:$B$1204&gt;=TodayDate)*Appointments!$B$5:$B$1204+(1-(Appointments!$E$5:$E$1204=A112)*(Appointments!$M$5:$M$1204&lt;&gt;"Cancelled")*(Appointments!$M$5:$M$1204&lt;&gt;"Completed")*(Appointments!$M$5:$M$1204&lt;&gt;"No show")*(Appointments!$B$5:$B$1204&gt;=TodayDate))*2958465)))</f>
        <v>0</v>
      </c>
      <c r="AB112" s="17">
        <f>IF(B112="","",IF(AA112&gt;=2958465,"",AA112))</f>
        <v>0</v>
      </c>
      <c r="AC112" s="25">
        <f>IF(B112="","",IF(T112&lt;2,"",ROUND((Y112-X112)/MAX(1,T112-1),0)))</f>
        <v>0</v>
      </c>
      <c r="AD112" s="17">
        <f>IF(B112="","",IF(Y112="","",Y112+IF(AC112="",RebookWeeks*7,MAX(14,AC112))))</f>
        <v>0</v>
      </c>
      <c r="AE112" s="26">
        <f>IF(B112="","",ROUND(SUMIFS(Sales!$Y$5:$Y$1204,Sales!$D$5:$D$1204,A112),2))</f>
        <v>0</v>
      </c>
      <c r="AF112" s="26">
        <f>IF(B112="","",ROUND(SUMIFS(Sales!$Y$5:$Y$1204,Sales!$D$5:$D$1204,A112,Sales!$H$5:$H$1204,"Service"),2))</f>
        <v>0</v>
      </c>
      <c r="AG112" s="26">
        <f>IF(B112="","",ROUND(SUMIFS(Sales!$Y$5:$Y$1204,Sales!$D$5:$D$1204,A112,Sales!$H$5:$H$1204,"Retail"),2))</f>
        <v>0</v>
      </c>
      <c r="AH112" s="26">
        <f>IF(B112="","",ROUND(SUMIFS(Sales!$Y$5:$Y$1204,Sales!$D$5:$D$1204,A112,Sales!$B$5:$B$1204,"&gt;="&amp;TodayDate-365),2))</f>
        <v>0</v>
      </c>
      <c r="AI112" s="26">
        <f>IF(B112="","",IF(T112=0,"",ROUND(AE112/T112,2)))</f>
        <v>0</v>
      </c>
      <c r="AJ112" s="26">
        <f>IF(B112="","",IF(AI112="","",IF(AC112="","",ROUND(AI112*(365/MAX(14,AC112)),2))))</f>
        <v>0</v>
      </c>
      <c r="AK112" s="26">
        <f>IF(B112="","",ROUND(SUMIFS(Sales!$AH$5:$AH$1204,Sales!$D$5:$D$1204,A112),2))</f>
        <v>0</v>
      </c>
      <c r="AL112" s="25">
        <f>IF(B112="","",IFERROR(INDEX(Loyalty!$P$5:$P$504,MATCH(A112,Loyalty!$B$5:$B$504,0))*1,0))</f>
        <v>0</v>
      </c>
      <c r="AM112" s="39">
        <f>IF(B112="","",IF(R112="Archived","Archived",IF(T112=0,"Not been yet",IF(Z112&gt;=InactiveDays,"Inactive",IF(Z112&gt;=LapsingDays,"Lapsing",IF(T112=1,"New",IF(AH112&gt;=VipSpend,"VIP",IF(U112&gt;=4,"Regular","Active"))))))))</f>
        <v>0</v>
      </c>
      <c r="AN112" s="38">
        <f>IF(B112="","",IF(T112&gt;=2,"Yes","No"))</f>
        <v>0</v>
      </c>
      <c r="AO112" s="25">
        <f>IF(B112="","",COUNTIFS($AE$5:$AE$504,"&gt;"&amp;AE112)+COUNTIFS($AE$5:AE112,AE112))</f>
        <v>0</v>
      </c>
      <c r="AP112" s="25">
        <f>IF(B112="","",COUNTIFS($T$5:$T$504,"&gt;"&amp;T112)+COUNTIFS($T$5:T112,T112))</f>
        <v>0</v>
      </c>
      <c r="AQ112" s="39">
        <f>IF(B112="","",IF(COUNTIF($B$5:$B$504,B112)&gt;1,"Duplicate - same name twice",IF(R112="Archived","",IF(AK112&gt;0.004,"Chase - balance outstanding",IF(AM112="Inactive","Gone - win-back offer",IF(AM112="Lapsing","Chase - lapsing, call them",IF(IF(N112="",FALSE,TodayDate-N112&gt;PatchTestDays),"Due - patch test out of date",IF(IF(AD112="",FALSE,IF(AB112&lt;&gt;"",FALSE,AD112&lt;=TodayDate+14)),"Rebook - due and nothing booked",IF(IF(K112="",FALSE,ABS(DATE(YEAR(TodayDate),MONTH(K112),DAY(K112))-TodayDate)&lt;=7),"Birthday - send the treat","OK")))))))))</f>
        <v>0</v>
      </c>
    </row>
    <row r="113" spans="1:43">
      <c r="A113" s="28">
        <f>IF(B113="","",ClientPrefix&amp;TEXT(ROW()-4,"0000"))</f>
        <v>0</v>
      </c>
      <c r="J113" s="15">
        <f>IF(I113="","",IFERROR(INDEX(Staff!$B$5:$B$44,MATCH(I113,Staff!$A$5:$A$44,0)),"Not in Staff"))</f>
        <v>0</v>
      </c>
      <c r="T113" s="25">
        <f>IF(B113="","",COUNTIFS(Appointments!$E$5:$E$1204,A113,Appointments!$M$5:$M$1204,"Completed"))</f>
        <v>0</v>
      </c>
      <c r="U113" s="25">
        <f>IF(B113="","",COUNTIFS(Appointments!$E$5:$E$1204,A113,Appointments!$M$5:$M$1204,"Completed",Appointments!$B$5:$B$1204,"&gt;="&amp;TodayDate-365))</f>
        <v>0</v>
      </c>
      <c r="V113" s="25">
        <f>IF(B113="","",COUNTIFS(Appointments!$E$5:$E$1204,A113,Appointments!$M$5:$M$1204,"Cancelled"))</f>
        <v>0</v>
      </c>
      <c r="W113" s="25">
        <f>IF(B113="","",COUNTIFS(Appointments!$E$5:$E$1204,A113,Appointments!$M$5:$M$1204,"No show"))</f>
        <v>0</v>
      </c>
      <c r="X113" s="17">
        <f>IF(B113="","",IF(F113&lt;&gt;"",F113,IF(T113=0,"",SUMPRODUCT(MIN((Appointments!$E$5:$E$1204=A113)*(Appointments!$M$5:$M$1204="Completed")*Appointments!$B$5:$B$1204+(1-(Appointments!$E$5:$E$1204=A113)*(Appointments!$M$5:$M$1204="Completed"))*2958465)))))</f>
        <v>0</v>
      </c>
      <c r="Y113" s="17">
        <f>IF(B113="","",IF(T113=0,"",SUMPRODUCT(MAX((Appointments!$E$5:$E$1204=A113)*(Appointments!$M$5:$M$1204="Completed")*Appointments!$B$5:$B$1204))))</f>
        <v>0</v>
      </c>
      <c r="Z113" s="25">
        <f>IF(B113="","",IF(Y113="","",TodayDate-Y113))</f>
        <v>0</v>
      </c>
      <c r="AA113" s="42">
        <f>IF(B113="","",SUMPRODUCT(MIN((Appointments!$E$5:$E$1204=A113)*(Appointments!$M$5:$M$1204&lt;&gt;"Cancelled")*(Appointments!$M$5:$M$1204&lt;&gt;"Completed")*(Appointments!$M$5:$M$1204&lt;&gt;"No show")*(Appointments!$B$5:$B$1204&gt;=TodayDate)*Appointments!$B$5:$B$1204+(1-(Appointments!$E$5:$E$1204=A113)*(Appointments!$M$5:$M$1204&lt;&gt;"Cancelled")*(Appointments!$M$5:$M$1204&lt;&gt;"Completed")*(Appointments!$M$5:$M$1204&lt;&gt;"No show")*(Appointments!$B$5:$B$1204&gt;=TodayDate))*2958465)))</f>
        <v>0</v>
      </c>
      <c r="AB113" s="17">
        <f>IF(B113="","",IF(AA113&gt;=2958465,"",AA113))</f>
        <v>0</v>
      </c>
      <c r="AC113" s="25">
        <f>IF(B113="","",IF(T113&lt;2,"",ROUND((Y113-X113)/MAX(1,T113-1),0)))</f>
        <v>0</v>
      </c>
      <c r="AD113" s="17">
        <f>IF(B113="","",IF(Y113="","",Y113+IF(AC113="",RebookWeeks*7,MAX(14,AC113))))</f>
        <v>0</v>
      </c>
      <c r="AE113" s="26">
        <f>IF(B113="","",ROUND(SUMIFS(Sales!$Y$5:$Y$1204,Sales!$D$5:$D$1204,A113),2))</f>
        <v>0</v>
      </c>
      <c r="AF113" s="26">
        <f>IF(B113="","",ROUND(SUMIFS(Sales!$Y$5:$Y$1204,Sales!$D$5:$D$1204,A113,Sales!$H$5:$H$1204,"Service"),2))</f>
        <v>0</v>
      </c>
      <c r="AG113" s="26">
        <f>IF(B113="","",ROUND(SUMIFS(Sales!$Y$5:$Y$1204,Sales!$D$5:$D$1204,A113,Sales!$H$5:$H$1204,"Retail"),2))</f>
        <v>0</v>
      </c>
      <c r="AH113" s="26">
        <f>IF(B113="","",ROUND(SUMIFS(Sales!$Y$5:$Y$1204,Sales!$D$5:$D$1204,A113,Sales!$B$5:$B$1204,"&gt;="&amp;TodayDate-365),2))</f>
        <v>0</v>
      </c>
      <c r="AI113" s="26">
        <f>IF(B113="","",IF(T113=0,"",ROUND(AE113/T113,2)))</f>
        <v>0</v>
      </c>
      <c r="AJ113" s="26">
        <f>IF(B113="","",IF(AI113="","",IF(AC113="","",ROUND(AI113*(365/MAX(14,AC113)),2))))</f>
        <v>0</v>
      </c>
      <c r="AK113" s="26">
        <f>IF(B113="","",ROUND(SUMIFS(Sales!$AH$5:$AH$1204,Sales!$D$5:$D$1204,A113),2))</f>
        <v>0</v>
      </c>
      <c r="AL113" s="25">
        <f>IF(B113="","",IFERROR(INDEX(Loyalty!$P$5:$P$504,MATCH(A113,Loyalty!$B$5:$B$504,0))*1,0))</f>
        <v>0</v>
      </c>
      <c r="AM113" s="39">
        <f>IF(B113="","",IF(R113="Archived","Archived",IF(T113=0,"Not been yet",IF(Z113&gt;=InactiveDays,"Inactive",IF(Z113&gt;=LapsingDays,"Lapsing",IF(T113=1,"New",IF(AH113&gt;=VipSpend,"VIP",IF(U113&gt;=4,"Regular","Active"))))))))</f>
        <v>0</v>
      </c>
      <c r="AN113" s="38">
        <f>IF(B113="","",IF(T113&gt;=2,"Yes","No"))</f>
        <v>0</v>
      </c>
      <c r="AO113" s="25">
        <f>IF(B113="","",COUNTIFS($AE$5:$AE$504,"&gt;"&amp;AE113)+COUNTIFS($AE$5:AE113,AE113))</f>
        <v>0</v>
      </c>
      <c r="AP113" s="25">
        <f>IF(B113="","",COUNTIFS($T$5:$T$504,"&gt;"&amp;T113)+COUNTIFS($T$5:T113,T113))</f>
        <v>0</v>
      </c>
      <c r="AQ113" s="39">
        <f>IF(B113="","",IF(COUNTIF($B$5:$B$504,B113)&gt;1,"Duplicate - same name twice",IF(R113="Archived","",IF(AK113&gt;0.004,"Chase - balance outstanding",IF(AM113="Inactive","Gone - win-back offer",IF(AM113="Lapsing","Chase - lapsing, call them",IF(IF(N113="",FALSE,TodayDate-N113&gt;PatchTestDays),"Due - patch test out of date",IF(IF(AD113="",FALSE,IF(AB113&lt;&gt;"",FALSE,AD113&lt;=TodayDate+14)),"Rebook - due and nothing booked",IF(IF(K113="",FALSE,ABS(DATE(YEAR(TodayDate),MONTH(K113),DAY(K113))-TodayDate)&lt;=7),"Birthday - send the treat","OK")))))))))</f>
        <v>0</v>
      </c>
    </row>
    <row r="114" spans="1:43">
      <c r="A114" s="28">
        <f>IF(B114="","",ClientPrefix&amp;TEXT(ROW()-4,"0000"))</f>
        <v>0</v>
      </c>
      <c r="J114" s="15">
        <f>IF(I114="","",IFERROR(INDEX(Staff!$B$5:$B$44,MATCH(I114,Staff!$A$5:$A$44,0)),"Not in Staff"))</f>
        <v>0</v>
      </c>
      <c r="T114" s="25">
        <f>IF(B114="","",COUNTIFS(Appointments!$E$5:$E$1204,A114,Appointments!$M$5:$M$1204,"Completed"))</f>
        <v>0</v>
      </c>
      <c r="U114" s="25">
        <f>IF(B114="","",COUNTIFS(Appointments!$E$5:$E$1204,A114,Appointments!$M$5:$M$1204,"Completed",Appointments!$B$5:$B$1204,"&gt;="&amp;TodayDate-365))</f>
        <v>0</v>
      </c>
      <c r="V114" s="25">
        <f>IF(B114="","",COUNTIFS(Appointments!$E$5:$E$1204,A114,Appointments!$M$5:$M$1204,"Cancelled"))</f>
        <v>0</v>
      </c>
      <c r="W114" s="25">
        <f>IF(B114="","",COUNTIFS(Appointments!$E$5:$E$1204,A114,Appointments!$M$5:$M$1204,"No show"))</f>
        <v>0</v>
      </c>
      <c r="X114" s="17">
        <f>IF(B114="","",IF(F114&lt;&gt;"",F114,IF(T114=0,"",SUMPRODUCT(MIN((Appointments!$E$5:$E$1204=A114)*(Appointments!$M$5:$M$1204="Completed")*Appointments!$B$5:$B$1204+(1-(Appointments!$E$5:$E$1204=A114)*(Appointments!$M$5:$M$1204="Completed"))*2958465)))))</f>
        <v>0</v>
      </c>
      <c r="Y114" s="17">
        <f>IF(B114="","",IF(T114=0,"",SUMPRODUCT(MAX((Appointments!$E$5:$E$1204=A114)*(Appointments!$M$5:$M$1204="Completed")*Appointments!$B$5:$B$1204))))</f>
        <v>0</v>
      </c>
      <c r="Z114" s="25">
        <f>IF(B114="","",IF(Y114="","",TodayDate-Y114))</f>
        <v>0</v>
      </c>
      <c r="AA114" s="42">
        <f>IF(B114="","",SUMPRODUCT(MIN((Appointments!$E$5:$E$1204=A114)*(Appointments!$M$5:$M$1204&lt;&gt;"Cancelled")*(Appointments!$M$5:$M$1204&lt;&gt;"Completed")*(Appointments!$M$5:$M$1204&lt;&gt;"No show")*(Appointments!$B$5:$B$1204&gt;=TodayDate)*Appointments!$B$5:$B$1204+(1-(Appointments!$E$5:$E$1204=A114)*(Appointments!$M$5:$M$1204&lt;&gt;"Cancelled")*(Appointments!$M$5:$M$1204&lt;&gt;"Completed")*(Appointments!$M$5:$M$1204&lt;&gt;"No show")*(Appointments!$B$5:$B$1204&gt;=TodayDate))*2958465)))</f>
        <v>0</v>
      </c>
      <c r="AB114" s="17">
        <f>IF(B114="","",IF(AA114&gt;=2958465,"",AA114))</f>
        <v>0</v>
      </c>
      <c r="AC114" s="25">
        <f>IF(B114="","",IF(T114&lt;2,"",ROUND((Y114-X114)/MAX(1,T114-1),0)))</f>
        <v>0</v>
      </c>
      <c r="AD114" s="17">
        <f>IF(B114="","",IF(Y114="","",Y114+IF(AC114="",RebookWeeks*7,MAX(14,AC114))))</f>
        <v>0</v>
      </c>
      <c r="AE114" s="26">
        <f>IF(B114="","",ROUND(SUMIFS(Sales!$Y$5:$Y$1204,Sales!$D$5:$D$1204,A114),2))</f>
        <v>0</v>
      </c>
      <c r="AF114" s="26">
        <f>IF(B114="","",ROUND(SUMIFS(Sales!$Y$5:$Y$1204,Sales!$D$5:$D$1204,A114,Sales!$H$5:$H$1204,"Service"),2))</f>
        <v>0</v>
      </c>
      <c r="AG114" s="26">
        <f>IF(B114="","",ROUND(SUMIFS(Sales!$Y$5:$Y$1204,Sales!$D$5:$D$1204,A114,Sales!$H$5:$H$1204,"Retail"),2))</f>
        <v>0</v>
      </c>
      <c r="AH114" s="26">
        <f>IF(B114="","",ROUND(SUMIFS(Sales!$Y$5:$Y$1204,Sales!$D$5:$D$1204,A114,Sales!$B$5:$B$1204,"&gt;="&amp;TodayDate-365),2))</f>
        <v>0</v>
      </c>
      <c r="AI114" s="26">
        <f>IF(B114="","",IF(T114=0,"",ROUND(AE114/T114,2)))</f>
        <v>0</v>
      </c>
      <c r="AJ114" s="26">
        <f>IF(B114="","",IF(AI114="","",IF(AC114="","",ROUND(AI114*(365/MAX(14,AC114)),2))))</f>
        <v>0</v>
      </c>
      <c r="AK114" s="26">
        <f>IF(B114="","",ROUND(SUMIFS(Sales!$AH$5:$AH$1204,Sales!$D$5:$D$1204,A114),2))</f>
        <v>0</v>
      </c>
      <c r="AL114" s="25">
        <f>IF(B114="","",IFERROR(INDEX(Loyalty!$P$5:$P$504,MATCH(A114,Loyalty!$B$5:$B$504,0))*1,0))</f>
        <v>0</v>
      </c>
      <c r="AM114" s="39">
        <f>IF(B114="","",IF(R114="Archived","Archived",IF(T114=0,"Not been yet",IF(Z114&gt;=InactiveDays,"Inactive",IF(Z114&gt;=LapsingDays,"Lapsing",IF(T114=1,"New",IF(AH114&gt;=VipSpend,"VIP",IF(U114&gt;=4,"Regular","Active"))))))))</f>
        <v>0</v>
      </c>
      <c r="AN114" s="38">
        <f>IF(B114="","",IF(T114&gt;=2,"Yes","No"))</f>
        <v>0</v>
      </c>
      <c r="AO114" s="25">
        <f>IF(B114="","",COUNTIFS($AE$5:$AE$504,"&gt;"&amp;AE114)+COUNTIFS($AE$5:AE114,AE114))</f>
        <v>0</v>
      </c>
      <c r="AP114" s="25">
        <f>IF(B114="","",COUNTIFS($T$5:$T$504,"&gt;"&amp;T114)+COUNTIFS($T$5:T114,T114))</f>
        <v>0</v>
      </c>
      <c r="AQ114" s="39">
        <f>IF(B114="","",IF(COUNTIF($B$5:$B$504,B114)&gt;1,"Duplicate - same name twice",IF(R114="Archived","",IF(AK114&gt;0.004,"Chase - balance outstanding",IF(AM114="Inactive","Gone - win-back offer",IF(AM114="Lapsing","Chase - lapsing, call them",IF(IF(N114="",FALSE,TodayDate-N114&gt;PatchTestDays),"Due - patch test out of date",IF(IF(AD114="",FALSE,IF(AB114&lt;&gt;"",FALSE,AD114&lt;=TodayDate+14)),"Rebook - due and nothing booked",IF(IF(K114="",FALSE,ABS(DATE(YEAR(TodayDate),MONTH(K114),DAY(K114))-TodayDate)&lt;=7),"Birthday - send the treat","OK")))))))))</f>
        <v>0</v>
      </c>
    </row>
    <row r="115" spans="1:43">
      <c r="A115" s="28">
        <f>IF(B115="","",ClientPrefix&amp;TEXT(ROW()-4,"0000"))</f>
        <v>0</v>
      </c>
      <c r="J115" s="15">
        <f>IF(I115="","",IFERROR(INDEX(Staff!$B$5:$B$44,MATCH(I115,Staff!$A$5:$A$44,0)),"Not in Staff"))</f>
        <v>0</v>
      </c>
      <c r="T115" s="25">
        <f>IF(B115="","",COUNTIFS(Appointments!$E$5:$E$1204,A115,Appointments!$M$5:$M$1204,"Completed"))</f>
        <v>0</v>
      </c>
      <c r="U115" s="25">
        <f>IF(B115="","",COUNTIFS(Appointments!$E$5:$E$1204,A115,Appointments!$M$5:$M$1204,"Completed",Appointments!$B$5:$B$1204,"&gt;="&amp;TodayDate-365))</f>
        <v>0</v>
      </c>
      <c r="V115" s="25">
        <f>IF(B115="","",COUNTIFS(Appointments!$E$5:$E$1204,A115,Appointments!$M$5:$M$1204,"Cancelled"))</f>
        <v>0</v>
      </c>
      <c r="W115" s="25">
        <f>IF(B115="","",COUNTIFS(Appointments!$E$5:$E$1204,A115,Appointments!$M$5:$M$1204,"No show"))</f>
        <v>0</v>
      </c>
      <c r="X115" s="17">
        <f>IF(B115="","",IF(F115&lt;&gt;"",F115,IF(T115=0,"",SUMPRODUCT(MIN((Appointments!$E$5:$E$1204=A115)*(Appointments!$M$5:$M$1204="Completed")*Appointments!$B$5:$B$1204+(1-(Appointments!$E$5:$E$1204=A115)*(Appointments!$M$5:$M$1204="Completed"))*2958465)))))</f>
        <v>0</v>
      </c>
      <c r="Y115" s="17">
        <f>IF(B115="","",IF(T115=0,"",SUMPRODUCT(MAX((Appointments!$E$5:$E$1204=A115)*(Appointments!$M$5:$M$1204="Completed")*Appointments!$B$5:$B$1204))))</f>
        <v>0</v>
      </c>
      <c r="Z115" s="25">
        <f>IF(B115="","",IF(Y115="","",TodayDate-Y115))</f>
        <v>0</v>
      </c>
      <c r="AA115" s="42">
        <f>IF(B115="","",SUMPRODUCT(MIN((Appointments!$E$5:$E$1204=A115)*(Appointments!$M$5:$M$1204&lt;&gt;"Cancelled")*(Appointments!$M$5:$M$1204&lt;&gt;"Completed")*(Appointments!$M$5:$M$1204&lt;&gt;"No show")*(Appointments!$B$5:$B$1204&gt;=TodayDate)*Appointments!$B$5:$B$1204+(1-(Appointments!$E$5:$E$1204=A115)*(Appointments!$M$5:$M$1204&lt;&gt;"Cancelled")*(Appointments!$M$5:$M$1204&lt;&gt;"Completed")*(Appointments!$M$5:$M$1204&lt;&gt;"No show")*(Appointments!$B$5:$B$1204&gt;=TodayDate))*2958465)))</f>
        <v>0</v>
      </c>
      <c r="AB115" s="17">
        <f>IF(B115="","",IF(AA115&gt;=2958465,"",AA115))</f>
        <v>0</v>
      </c>
      <c r="AC115" s="25">
        <f>IF(B115="","",IF(T115&lt;2,"",ROUND((Y115-X115)/MAX(1,T115-1),0)))</f>
        <v>0</v>
      </c>
      <c r="AD115" s="17">
        <f>IF(B115="","",IF(Y115="","",Y115+IF(AC115="",RebookWeeks*7,MAX(14,AC115))))</f>
        <v>0</v>
      </c>
      <c r="AE115" s="26">
        <f>IF(B115="","",ROUND(SUMIFS(Sales!$Y$5:$Y$1204,Sales!$D$5:$D$1204,A115),2))</f>
        <v>0</v>
      </c>
      <c r="AF115" s="26">
        <f>IF(B115="","",ROUND(SUMIFS(Sales!$Y$5:$Y$1204,Sales!$D$5:$D$1204,A115,Sales!$H$5:$H$1204,"Service"),2))</f>
        <v>0</v>
      </c>
      <c r="AG115" s="26">
        <f>IF(B115="","",ROUND(SUMIFS(Sales!$Y$5:$Y$1204,Sales!$D$5:$D$1204,A115,Sales!$H$5:$H$1204,"Retail"),2))</f>
        <v>0</v>
      </c>
      <c r="AH115" s="26">
        <f>IF(B115="","",ROUND(SUMIFS(Sales!$Y$5:$Y$1204,Sales!$D$5:$D$1204,A115,Sales!$B$5:$B$1204,"&gt;="&amp;TodayDate-365),2))</f>
        <v>0</v>
      </c>
      <c r="AI115" s="26">
        <f>IF(B115="","",IF(T115=0,"",ROUND(AE115/T115,2)))</f>
        <v>0</v>
      </c>
      <c r="AJ115" s="26">
        <f>IF(B115="","",IF(AI115="","",IF(AC115="","",ROUND(AI115*(365/MAX(14,AC115)),2))))</f>
        <v>0</v>
      </c>
      <c r="AK115" s="26">
        <f>IF(B115="","",ROUND(SUMIFS(Sales!$AH$5:$AH$1204,Sales!$D$5:$D$1204,A115),2))</f>
        <v>0</v>
      </c>
      <c r="AL115" s="25">
        <f>IF(B115="","",IFERROR(INDEX(Loyalty!$P$5:$P$504,MATCH(A115,Loyalty!$B$5:$B$504,0))*1,0))</f>
        <v>0</v>
      </c>
      <c r="AM115" s="39">
        <f>IF(B115="","",IF(R115="Archived","Archived",IF(T115=0,"Not been yet",IF(Z115&gt;=InactiveDays,"Inactive",IF(Z115&gt;=LapsingDays,"Lapsing",IF(T115=1,"New",IF(AH115&gt;=VipSpend,"VIP",IF(U115&gt;=4,"Regular","Active"))))))))</f>
        <v>0</v>
      </c>
      <c r="AN115" s="38">
        <f>IF(B115="","",IF(T115&gt;=2,"Yes","No"))</f>
        <v>0</v>
      </c>
      <c r="AO115" s="25">
        <f>IF(B115="","",COUNTIFS($AE$5:$AE$504,"&gt;"&amp;AE115)+COUNTIFS($AE$5:AE115,AE115))</f>
        <v>0</v>
      </c>
      <c r="AP115" s="25">
        <f>IF(B115="","",COUNTIFS($T$5:$T$504,"&gt;"&amp;T115)+COUNTIFS($T$5:T115,T115))</f>
        <v>0</v>
      </c>
      <c r="AQ115" s="39">
        <f>IF(B115="","",IF(COUNTIF($B$5:$B$504,B115)&gt;1,"Duplicate - same name twice",IF(R115="Archived","",IF(AK115&gt;0.004,"Chase - balance outstanding",IF(AM115="Inactive","Gone - win-back offer",IF(AM115="Lapsing","Chase - lapsing, call them",IF(IF(N115="",FALSE,TodayDate-N115&gt;PatchTestDays),"Due - patch test out of date",IF(IF(AD115="",FALSE,IF(AB115&lt;&gt;"",FALSE,AD115&lt;=TodayDate+14)),"Rebook - due and nothing booked",IF(IF(K115="",FALSE,ABS(DATE(YEAR(TodayDate),MONTH(K115),DAY(K115))-TodayDate)&lt;=7),"Birthday - send the treat","OK")))))))))</f>
        <v>0</v>
      </c>
    </row>
    <row r="116" spans="1:43">
      <c r="A116" s="28">
        <f>IF(B116="","",ClientPrefix&amp;TEXT(ROW()-4,"0000"))</f>
        <v>0</v>
      </c>
      <c r="J116" s="15">
        <f>IF(I116="","",IFERROR(INDEX(Staff!$B$5:$B$44,MATCH(I116,Staff!$A$5:$A$44,0)),"Not in Staff"))</f>
        <v>0</v>
      </c>
      <c r="T116" s="25">
        <f>IF(B116="","",COUNTIFS(Appointments!$E$5:$E$1204,A116,Appointments!$M$5:$M$1204,"Completed"))</f>
        <v>0</v>
      </c>
      <c r="U116" s="25">
        <f>IF(B116="","",COUNTIFS(Appointments!$E$5:$E$1204,A116,Appointments!$M$5:$M$1204,"Completed",Appointments!$B$5:$B$1204,"&gt;="&amp;TodayDate-365))</f>
        <v>0</v>
      </c>
      <c r="V116" s="25">
        <f>IF(B116="","",COUNTIFS(Appointments!$E$5:$E$1204,A116,Appointments!$M$5:$M$1204,"Cancelled"))</f>
        <v>0</v>
      </c>
      <c r="W116" s="25">
        <f>IF(B116="","",COUNTIFS(Appointments!$E$5:$E$1204,A116,Appointments!$M$5:$M$1204,"No show"))</f>
        <v>0</v>
      </c>
      <c r="X116" s="17">
        <f>IF(B116="","",IF(F116&lt;&gt;"",F116,IF(T116=0,"",SUMPRODUCT(MIN((Appointments!$E$5:$E$1204=A116)*(Appointments!$M$5:$M$1204="Completed")*Appointments!$B$5:$B$1204+(1-(Appointments!$E$5:$E$1204=A116)*(Appointments!$M$5:$M$1204="Completed"))*2958465)))))</f>
        <v>0</v>
      </c>
      <c r="Y116" s="17">
        <f>IF(B116="","",IF(T116=0,"",SUMPRODUCT(MAX((Appointments!$E$5:$E$1204=A116)*(Appointments!$M$5:$M$1204="Completed")*Appointments!$B$5:$B$1204))))</f>
        <v>0</v>
      </c>
      <c r="Z116" s="25">
        <f>IF(B116="","",IF(Y116="","",TodayDate-Y116))</f>
        <v>0</v>
      </c>
      <c r="AA116" s="42">
        <f>IF(B116="","",SUMPRODUCT(MIN((Appointments!$E$5:$E$1204=A116)*(Appointments!$M$5:$M$1204&lt;&gt;"Cancelled")*(Appointments!$M$5:$M$1204&lt;&gt;"Completed")*(Appointments!$M$5:$M$1204&lt;&gt;"No show")*(Appointments!$B$5:$B$1204&gt;=TodayDate)*Appointments!$B$5:$B$1204+(1-(Appointments!$E$5:$E$1204=A116)*(Appointments!$M$5:$M$1204&lt;&gt;"Cancelled")*(Appointments!$M$5:$M$1204&lt;&gt;"Completed")*(Appointments!$M$5:$M$1204&lt;&gt;"No show")*(Appointments!$B$5:$B$1204&gt;=TodayDate))*2958465)))</f>
        <v>0</v>
      </c>
      <c r="AB116" s="17">
        <f>IF(B116="","",IF(AA116&gt;=2958465,"",AA116))</f>
        <v>0</v>
      </c>
      <c r="AC116" s="25">
        <f>IF(B116="","",IF(T116&lt;2,"",ROUND((Y116-X116)/MAX(1,T116-1),0)))</f>
        <v>0</v>
      </c>
      <c r="AD116" s="17">
        <f>IF(B116="","",IF(Y116="","",Y116+IF(AC116="",RebookWeeks*7,MAX(14,AC116))))</f>
        <v>0</v>
      </c>
      <c r="AE116" s="26">
        <f>IF(B116="","",ROUND(SUMIFS(Sales!$Y$5:$Y$1204,Sales!$D$5:$D$1204,A116),2))</f>
        <v>0</v>
      </c>
      <c r="AF116" s="26">
        <f>IF(B116="","",ROUND(SUMIFS(Sales!$Y$5:$Y$1204,Sales!$D$5:$D$1204,A116,Sales!$H$5:$H$1204,"Service"),2))</f>
        <v>0</v>
      </c>
      <c r="AG116" s="26">
        <f>IF(B116="","",ROUND(SUMIFS(Sales!$Y$5:$Y$1204,Sales!$D$5:$D$1204,A116,Sales!$H$5:$H$1204,"Retail"),2))</f>
        <v>0</v>
      </c>
      <c r="AH116" s="26">
        <f>IF(B116="","",ROUND(SUMIFS(Sales!$Y$5:$Y$1204,Sales!$D$5:$D$1204,A116,Sales!$B$5:$B$1204,"&gt;="&amp;TodayDate-365),2))</f>
        <v>0</v>
      </c>
      <c r="AI116" s="26">
        <f>IF(B116="","",IF(T116=0,"",ROUND(AE116/T116,2)))</f>
        <v>0</v>
      </c>
      <c r="AJ116" s="26">
        <f>IF(B116="","",IF(AI116="","",IF(AC116="","",ROUND(AI116*(365/MAX(14,AC116)),2))))</f>
        <v>0</v>
      </c>
      <c r="AK116" s="26">
        <f>IF(B116="","",ROUND(SUMIFS(Sales!$AH$5:$AH$1204,Sales!$D$5:$D$1204,A116),2))</f>
        <v>0</v>
      </c>
      <c r="AL116" s="25">
        <f>IF(B116="","",IFERROR(INDEX(Loyalty!$P$5:$P$504,MATCH(A116,Loyalty!$B$5:$B$504,0))*1,0))</f>
        <v>0</v>
      </c>
      <c r="AM116" s="39">
        <f>IF(B116="","",IF(R116="Archived","Archived",IF(T116=0,"Not been yet",IF(Z116&gt;=InactiveDays,"Inactive",IF(Z116&gt;=LapsingDays,"Lapsing",IF(T116=1,"New",IF(AH116&gt;=VipSpend,"VIP",IF(U116&gt;=4,"Regular","Active"))))))))</f>
        <v>0</v>
      </c>
      <c r="AN116" s="38">
        <f>IF(B116="","",IF(T116&gt;=2,"Yes","No"))</f>
        <v>0</v>
      </c>
      <c r="AO116" s="25">
        <f>IF(B116="","",COUNTIFS($AE$5:$AE$504,"&gt;"&amp;AE116)+COUNTIFS($AE$5:AE116,AE116))</f>
        <v>0</v>
      </c>
      <c r="AP116" s="25">
        <f>IF(B116="","",COUNTIFS($T$5:$T$504,"&gt;"&amp;T116)+COUNTIFS($T$5:T116,T116))</f>
        <v>0</v>
      </c>
      <c r="AQ116" s="39">
        <f>IF(B116="","",IF(COUNTIF($B$5:$B$504,B116)&gt;1,"Duplicate - same name twice",IF(R116="Archived","",IF(AK116&gt;0.004,"Chase - balance outstanding",IF(AM116="Inactive","Gone - win-back offer",IF(AM116="Lapsing","Chase - lapsing, call them",IF(IF(N116="",FALSE,TodayDate-N116&gt;PatchTestDays),"Due - patch test out of date",IF(IF(AD116="",FALSE,IF(AB116&lt;&gt;"",FALSE,AD116&lt;=TodayDate+14)),"Rebook - due and nothing booked",IF(IF(K116="",FALSE,ABS(DATE(YEAR(TodayDate),MONTH(K116),DAY(K116))-TodayDate)&lt;=7),"Birthday - send the treat","OK")))))))))</f>
        <v>0</v>
      </c>
    </row>
    <row r="117" spans="1:43">
      <c r="A117" s="28">
        <f>IF(B117="","",ClientPrefix&amp;TEXT(ROW()-4,"0000"))</f>
        <v>0</v>
      </c>
      <c r="J117" s="15">
        <f>IF(I117="","",IFERROR(INDEX(Staff!$B$5:$B$44,MATCH(I117,Staff!$A$5:$A$44,0)),"Not in Staff"))</f>
        <v>0</v>
      </c>
      <c r="T117" s="25">
        <f>IF(B117="","",COUNTIFS(Appointments!$E$5:$E$1204,A117,Appointments!$M$5:$M$1204,"Completed"))</f>
        <v>0</v>
      </c>
      <c r="U117" s="25">
        <f>IF(B117="","",COUNTIFS(Appointments!$E$5:$E$1204,A117,Appointments!$M$5:$M$1204,"Completed",Appointments!$B$5:$B$1204,"&gt;="&amp;TodayDate-365))</f>
        <v>0</v>
      </c>
      <c r="V117" s="25">
        <f>IF(B117="","",COUNTIFS(Appointments!$E$5:$E$1204,A117,Appointments!$M$5:$M$1204,"Cancelled"))</f>
        <v>0</v>
      </c>
      <c r="W117" s="25">
        <f>IF(B117="","",COUNTIFS(Appointments!$E$5:$E$1204,A117,Appointments!$M$5:$M$1204,"No show"))</f>
        <v>0</v>
      </c>
      <c r="X117" s="17">
        <f>IF(B117="","",IF(F117&lt;&gt;"",F117,IF(T117=0,"",SUMPRODUCT(MIN((Appointments!$E$5:$E$1204=A117)*(Appointments!$M$5:$M$1204="Completed")*Appointments!$B$5:$B$1204+(1-(Appointments!$E$5:$E$1204=A117)*(Appointments!$M$5:$M$1204="Completed"))*2958465)))))</f>
        <v>0</v>
      </c>
      <c r="Y117" s="17">
        <f>IF(B117="","",IF(T117=0,"",SUMPRODUCT(MAX((Appointments!$E$5:$E$1204=A117)*(Appointments!$M$5:$M$1204="Completed")*Appointments!$B$5:$B$1204))))</f>
        <v>0</v>
      </c>
      <c r="Z117" s="25">
        <f>IF(B117="","",IF(Y117="","",TodayDate-Y117))</f>
        <v>0</v>
      </c>
      <c r="AA117" s="42">
        <f>IF(B117="","",SUMPRODUCT(MIN((Appointments!$E$5:$E$1204=A117)*(Appointments!$M$5:$M$1204&lt;&gt;"Cancelled")*(Appointments!$M$5:$M$1204&lt;&gt;"Completed")*(Appointments!$M$5:$M$1204&lt;&gt;"No show")*(Appointments!$B$5:$B$1204&gt;=TodayDate)*Appointments!$B$5:$B$1204+(1-(Appointments!$E$5:$E$1204=A117)*(Appointments!$M$5:$M$1204&lt;&gt;"Cancelled")*(Appointments!$M$5:$M$1204&lt;&gt;"Completed")*(Appointments!$M$5:$M$1204&lt;&gt;"No show")*(Appointments!$B$5:$B$1204&gt;=TodayDate))*2958465)))</f>
        <v>0</v>
      </c>
      <c r="AB117" s="17">
        <f>IF(B117="","",IF(AA117&gt;=2958465,"",AA117))</f>
        <v>0</v>
      </c>
      <c r="AC117" s="25">
        <f>IF(B117="","",IF(T117&lt;2,"",ROUND((Y117-X117)/MAX(1,T117-1),0)))</f>
        <v>0</v>
      </c>
      <c r="AD117" s="17">
        <f>IF(B117="","",IF(Y117="","",Y117+IF(AC117="",RebookWeeks*7,MAX(14,AC117))))</f>
        <v>0</v>
      </c>
      <c r="AE117" s="26">
        <f>IF(B117="","",ROUND(SUMIFS(Sales!$Y$5:$Y$1204,Sales!$D$5:$D$1204,A117),2))</f>
        <v>0</v>
      </c>
      <c r="AF117" s="26">
        <f>IF(B117="","",ROUND(SUMIFS(Sales!$Y$5:$Y$1204,Sales!$D$5:$D$1204,A117,Sales!$H$5:$H$1204,"Service"),2))</f>
        <v>0</v>
      </c>
      <c r="AG117" s="26">
        <f>IF(B117="","",ROUND(SUMIFS(Sales!$Y$5:$Y$1204,Sales!$D$5:$D$1204,A117,Sales!$H$5:$H$1204,"Retail"),2))</f>
        <v>0</v>
      </c>
      <c r="AH117" s="26">
        <f>IF(B117="","",ROUND(SUMIFS(Sales!$Y$5:$Y$1204,Sales!$D$5:$D$1204,A117,Sales!$B$5:$B$1204,"&gt;="&amp;TodayDate-365),2))</f>
        <v>0</v>
      </c>
      <c r="AI117" s="26">
        <f>IF(B117="","",IF(T117=0,"",ROUND(AE117/T117,2)))</f>
        <v>0</v>
      </c>
      <c r="AJ117" s="26">
        <f>IF(B117="","",IF(AI117="","",IF(AC117="","",ROUND(AI117*(365/MAX(14,AC117)),2))))</f>
        <v>0</v>
      </c>
      <c r="AK117" s="26">
        <f>IF(B117="","",ROUND(SUMIFS(Sales!$AH$5:$AH$1204,Sales!$D$5:$D$1204,A117),2))</f>
        <v>0</v>
      </c>
      <c r="AL117" s="25">
        <f>IF(B117="","",IFERROR(INDEX(Loyalty!$P$5:$P$504,MATCH(A117,Loyalty!$B$5:$B$504,0))*1,0))</f>
        <v>0</v>
      </c>
      <c r="AM117" s="39">
        <f>IF(B117="","",IF(R117="Archived","Archived",IF(T117=0,"Not been yet",IF(Z117&gt;=InactiveDays,"Inactive",IF(Z117&gt;=LapsingDays,"Lapsing",IF(T117=1,"New",IF(AH117&gt;=VipSpend,"VIP",IF(U117&gt;=4,"Regular","Active"))))))))</f>
        <v>0</v>
      </c>
      <c r="AN117" s="38">
        <f>IF(B117="","",IF(T117&gt;=2,"Yes","No"))</f>
        <v>0</v>
      </c>
      <c r="AO117" s="25">
        <f>IF(B117="","",COUNTIFS($AE$5:$AE$504,"&gt;"&amp;AE117)+COUNTIFS($AE$5:AE117,AE117))</f>
        <v>0</v>
      </c>
      <c r="AP117" s="25">
        <f>IF(B117="","",COUNTIFS($T$5:$T$504,"&gt;"&amp;T117)+COUNTIFS($T$5:T117,T117))</f>
        <v>0</v>
      </c>
      <c r="AQ117" s="39">
        <f>IF(B117="","",IF(COUNTIF($B$5:$B$504,B117)&gt;1,"Duplicate - same name twice",IF(R117="Archived","",IF(AK117&gt;0.004,"Chase - balance outstanding",IF(AM117="Inactive","Gone - win-back offer",IF(AM117="Lapsing","Chase - lapsing, call them",IF(IF(N117="",FALSE,TodayDate-N117&gt;PatchTestDays),"Due - patch test out of date",IF(IF(AD117="",FALSE,IF(AB117&lt;&gt;"",FALSE,AD117&lt;=TodayDate+14)),"Rebook - due and nothing booked",IF(IF(K117="",FALSE,ABS(DATE(YEAR(TodayDate),MONTH(K117),DAY(K117))-TodayDate)&lt;=7),"Birthday - send the treat","OK")))))))))</f>
        <v>0</v>
      </c>
    </row>
    <row r="118" spans="1:43">
      <c r="A118" s="28">
        <f>IF(B118="","",ClientPrefix&amp;TEXT(ROW()-4,"0000"))</f>
        <v>0</v>
      </c>
      <c r="J118" s="15">
        <f>IF(I118="","",IFERROR(INDEX(Staff!$B$5:$B$44,MATCH(I118,Staff!$A$5:$A$44,0)),"Not in Staff"))</f>
        <v>0</v>
      </c>
      <c r="T118" s="25">
        <f>IF(B118="","",COUNTIFS(Appointments!$E$5:$E$1204,A118,Appointments!$M$5:$M$1204,"Completed"))</f>
        <v>0</v>
      </c>
      <c r="U118" s="25">
        <f>IF(B118="","",COUNTIFS(Appointments!$E$5:$E$1204,A118,Appointments!$M$5:$M$1204,"Completed",Appointments!$B$5:$B$1204,"&gt;="&amp;TodayDate-365))</f>
        <v>0</v>
      </c>
      <c r="V118" s="25">
        <f>IF(B118="","",COUNTIFS(Appointments!$E$5:$E$1204,A118,Appointments!$M$5:$M$1204,"Cancelled"))</f>
        <v>0</v>
      </c>
      <c r="W118" s="25">
        <f>IF(B118="","",COUNTIFS(Appointments!$E$5:$E$1204,A118,Appointments!$M$5:$M$1204,"No show"))</f>
        <v>0</v>
      </c>
      <c r="X118" s="17">
        <f>IF(B118="","",IF(F118&lt;&gt;"",F118,IF(T118=0,"",SUMPRODUCT(MIN((Appointments!$E$5:$E$1204=A118)*(Appointments!$M$5:$M$1204="Completed")*Appointments!$B$5:$B$1204+(1-(Appointments!$E$5:$E$1204=A118)*(Appointments!$M$5:$M$1204="Completed"))*2958465)))))</f>
        <v>0</v>
      </c>
      <c r="Y118" s="17">
        <f>IF(B118="","",IF(T118=0,"",SUMPRODUCT(MAX((Appointments!$E$5:$E$1204=A118)*(Appointments!$M$5:$M$1204="Completed")*Appointments!$B$5:$B$1204))))</f>
        <v>0</v>
      </c>
      <c r="Z118" s="25">
        <f>IF(B118="","",IF(Y118="","",TodayDate-Y118))</f>
        <v>0</v>
      </c>
      <c r="AA118" s="42">
        <f>IF(B118="","",SUMPRODUCT(MIN((Appointments!$E$5:$E$1204=A118)*(Appointments!$M$5:$M$1204&lt;&gt;"Cancelled")*(Appointments!$M$5:$M$1204&lt;&gt;"Completed")*(Appointments!$M$5:$M$1204&lt;&gt;"No show")*(Appointments!$B$5:$B$1204&gt;=TodayDate)*Appointments!$B$5:$B$1204+(1-(Appointments!$E$5:$E$1204=A118)*(Appointments!$M$5:$M$1204&lt;&gt;"Cancelled")*(Appointments!$M$5:$M$1204&lt;&gt;"Completed")*(Appointments!$M$5:$M$1204&lt;&gt;"No show")*(Appointments!$B$5:$B$1204&gt;=TodayDate))*2958465)))</f>
        <v>0</v>
      </c>
      <c r="AB118" s="17">
        <f>IF(B118="","",IF(AA118&gt;=2958465,"",AA118))</f>
        <v>0</v>
      </c>
      <c r="AC118" s="25">
        <f>IF(B118="","",IF(T118&lt;2,"",ROUND((Y118-X118)/MAX(1,T118-1),0)))</f>
        <v>0</v>
      </c>
      <c r="AD118" s="17">
        <f>IF(B118="","",IF(Y118="","",Y118+IF(AC118="",RebookWeeks*7,MAX(14,AC118))))</f>
        <v>0</v>
      </c>
      <c r="AE118" s="26">
        <f>IF(B118="","",ROUND(SUMIFS(Sales!$Y$5:$Y$1204,Sales!$D$5:$D$1204,A118),2))</f>
        <v>0</v>
      </c>
      <c r="AF118" s="26">
        <f>IF(B118="","",ROUND(SUMIFS(Sales!$Y$5:$Y$1204,Sales!$D$5:$D$1204,A118,Sales!$H$5:$H$1204,"Service"),2))</f>
        <v>0</v>
      </c>
      <c r="AG118" s="26">
        <f>IF(B118="","",ROUND(SUMIFS(Sales!$Y$5:$Y$1204,Sales!$D$5:$D$1204,A118,Sales!$H$5:$H$1204,"Retail"),2))</f>
        <v>0</v>
      </c>
      <c r="AH118" s="26">
        <f>IF(B118="","",ROUND(SUMIFS(Sales!$Y$5:$Y$1204,Sales!$D$5:$D$1204,A118,Sales!$B$5:$B$1204,"&gt;="&amp;TodayDate-365),2))</f>
        <v>0</v>
      </c>
      <c r="AI118" s="26">
        <f>IF(B118="","",IF(T118=0,"",ROUND(AE118/T118,2)))</f>
        <v>0</v>
      </c>
      <c r="AJ118" s="26">
        <f>IF(B118="","",IF(AI118="","",IF(AC118="","",ROUND(AI118*(365/MAX(14,AC118)),2))))</f>
        <v>0</v>
      </c>
      <c r="AK118" s="26">
        <f>IF(B118="","",ROUND(SUMIFS(Sales!$AH$5:$AH$1204,Sales!$D$5:$D$1204,A118),2))</f>
        <v>0</v>
      </c>
      <c r="AL118" s="25">
        <f>IF(B118="","",IFERROR(INDEX(Loyalty!$P$5:$P$504,MATCH(A118,Loyalty!$B$5:$B$504,0))*1,0))</f>
        <v>0</v>
      </c>
      <c r="AM118" s="39">
        <f>IF(B118="","",IF(R118="Archived","Archived",IF(T118=0,"Not been yet",IF(Z118&gt;=InactiveDays,"Inactive",IF(Z118&gt;=LapsingDays,"Lapsing",IF(T118=1,"New",IF(AH118&gt;=VipSpend,"VIP",IF(U118&gt;=4,"Regular","Active"))))))))</f>
        <v>0</v>
      </c>
      <c r="AN118" s="38">
        <f>IF(B118="","",IF(T118&gt;=2,"Yes","No"))</f>
        <v>0</v>
      </c>
      <c r="AO118" s="25">
        <f>IF(B118="","",COUNTIFS($AE$5:$AE$504,"&gt;"&amp;AE118)+COUNTIFS($AE$5:AE118,AE118))</f>
        <v>0</v>
      </c>
      <c r="AP118" s="25">
        <f>IF(B118="","",COUNTIFS($T$5:$T$504,"&gt;"&amp;T118)+COUNTIFS($T$5:T118,T118))</f>
        <v>0</v>
      </c>
      <c r="AQ118" s="39">
        <f>IF(B118="","",IF(COUNTIF($B$5:$B$504,B118)&gt;1,"Duplicate - same name twice",IF(R118="Archived","",IF(AK118&gt;0.004,"Chase - balance outstanding",IF(AM118="Inactive","Gone - win-back offer",IF(AM118="Lapsing","Chase - lapsing, call them",IF(IF(N118="",FALSE,TodayDate-N118&gt;PatchTestDays),"Due - patch test out of date",IF(IF(AD118="",FALSE,IF(AB118&lt;&gt;"",FALSE,AD118&lt;=TodayDate+14)),"Rebook - due and nothing booked",IF(IF(K118="",FALSE,ABS(DATE(YEAR(TodayDate),MONTH(K118),DAY(K118))-TodayDate)&lt;=7),"Birthday - send the treat","OK")))))))))</f>
        <v>0</v>
      </c>
    </row>
    <row r="119" spans="1:43">
      <c r="A119" s="28">
        <f>IF(B119="","",ClientPrefix&amp;TEXT(ROW()-4,"0000"))</f>
        <v>0</v>
      </c>
      <c r="J119" s="15">
        <f>IF(I119="","",IFERROR(INDEX(Staff!$B$5:$B$44,MATCH(I119,Staff!$A$5:$A$44,0)),"Not in Staff"))</f>
        <v>0</v>
      </c>
      <c r="T119" s="25">
        <f>IF(B119="","",COUNTIFS(Appointments!$E$5:$E$1204,A119,Appointments!$M$5:$M$1204,"Completed"))</f>
        <v>0</v>
      </c>
      <c r="U119" s="25">
        <f>IF(B119="","",COUNTIFS(Appointments!$E$5:$E$1204,A119,Appointments!$M$5:$M$1204,"Completed",Appointments!$B$5:$B$1204,"&gt;="&amp;TodayDate-365))</f>
        <v>0</v>
      </c>
      <c r="V119" s="25">
        <f>IF(B119="","",COUNTIFS(Appointments!$E$5:$E$1204,A119,Appointments!$M$5:$M$1204,"Cancelled"))</f>
        <v>0</v>
      </c>
      <c r="W119" s="25">
        <f>IF(B119="","",COUNTIFS(Appointments!$E$5:$E$1204,A119,Appointments!$M$5:$M$1204,"No show"))</f>
        <v>0</v>
      </c>
      <c r="X119" s="17">
        <f>IF(B119="","",IF(F119&lt;&gt;"",F119,IF(T119=0,"",SUMPRODUCT(MIN((Appointments!$E$5:$E$1204=A119)*(Appointments!$M$5:$M$1204="Completed")*Appointments!$B$5:$B$1204+(1-(Appointments!$E$5:$E$1204=A119)*(Appointments!$M$5:$M$1204="Completed"))*2958465)))))</f>
        <v>0</v>
      </c>
      <c r="Y119" s="17">
        <f>IF(B119="","",IF(T119=0,"",SUMPRODUCT(MAX((Appointments!$E$5:$E$1204=A119)*(Appointments!$M$5:$M$1204="Completed")*Appointments!$B$5:$B$1204))))</f>
        <v>0</v>
      </c>
      <c r="Z119" s="25">
        <f>IF(B119="","",IF(Y119="","",TodayDate-Y119))</f>
        <v>0</v>
      </c>
      <c r="AA119" s="42">
        <f>IF(B119="","",SUMPRODUCT(MIN((Appointments!$E$5:$E$1204=A119)*(Appointments!$M$5:$M$1204&lt;&gt;"Cancelled")*(Appointments!$M$5:$M$1204&lt;&gt;"Completed")*(Appointments!$M$5:$M$1204&lt;&gt;"No show")*(Appointments!$B$5:$B$1204&gt;=TodayDate)*Appointments!$B$5:$B$1204+(1-(Appointments!$E$5:$E$1204=A119)*(Appointments!$M$5:$M$1204&lt;&gt;"Cancelled")*(Appointments!$M$5:$M$1204&lt;&gt;"Completed")*(Appointments!$M$5:$M$1204&lt;&gt;"No show")*(Appointments!$B$5:$B$1204&gt;=TodayDate))*2958465)))</f>
        <v>0</v>
      </c>
      <c r="AB119" s="17">
        <f>IF(B119="","",IF(AA119&gt;=2958465,"",AA119))</f>
        <v>0</v>
      </c>
      <c r="AC119" s="25">
        <f>IF(B119="","",IF(T119&lt;2,"",ROUND((Y119-X119)/MAX(1,T119-1),0)))</f>
        <v>0</v>
      </c>
      <c r="AD119" s="17">
        <f>IF(B119="","",IF(Y119="","",Y119+IF(AC119="",RebookWeeks*7,MAX(14,AC119))))</f>
        <v>0</v>
      </c>
      <c r="AE119" s="26">
        <f>IF(B119="","",ROUND(SUMIFS(Sales!$Y$5:$Y$1204,Sales!$D$5:$D$1204,A119),2))</f>
        <v>0</v>
      </c>
      <c r="AF119" s="26">
        <f>IF(B119="","",ROUND(SUMIFS(Sales!$Y$5:$Y$1204,Sales!$D$5:$D$1204,A119,Sales!$H$5:$H$1204,"Service"),2))</f>
        <v>0</v>
      </c>
      <c r="AG119" s="26">
        <f>IF(B119="","",ROUND(SUMIFS(Sales!$Y$5:$Y$1204,Sales!$D$5:$D$1204,A119,Sales!$H$5:$H$1204,"Retail"),2))</f>
        <v>0</v>
      </c>
      <c r="AH119" s="26">
        <f>IF(B119="","",ROUND(SUMIFS(Sales!$Y$5:$Y$1204,Sales!$D$5:$D$1204,A119,Sales!$B$5:$B$1204,"&gt;="&amp;TodayDate-365),2))</f>
        <v>0</v>
      </c>
      <c r="AI119" s="26">
        <f>IF(B119="","",IF(T119=0,"",ROUND(AE119/T119,2)))</f>
        <v>0</v>
      </c>
      <c r="AJ119" s="26">
        <f>IF(B119="","",IF(AI119="","",IF(AC119="","",ROUND(AI119*(365/MAX(14,AC119)),2))))</f>
        <v>0</v>
      </c>
      <c r="AK119" s="26">
        <f>IF(B119="","",ROUND(SUMIFS(Sales!$AH$5:$AH$1204,Sales!$D$5:$D$1204,A119),2))</f>
        <v>0</v>
      </c>
      <c r="AL119" s="25">
        <f>IF(B119="","",IFERROR(INDEX(Loyalty!$P$5:$P$504,MATCH(A119,Loyalty!$B$5:$B$504,0))*1,0))</f>
        <v>0</v>
      </c>
      <c r="AM119" s="39">
        <f>IF(B119="","",IF(R119="Archived","Archived",IF(T119=0,"Not been yet",IF(Z119&gt;=InactiveDays,"Inactive",IF(Z119&gt;=LapsingDays,"Lapsing",IF(T119=1,"New",IF(AH119&gt;=VipSpend,"VIP",IF(U119&gt;=4,"Regular","Active"))))))))</f>
        <v>0</v>
      </c>
      <c r="AN119" s="38">
        <f>IF(B119="","",IF(T119&gt;=2,"Yes","No"))</f>
        <v>0</v>
      </c>
      <c r="AO119" s="25">
        <f>IF(B119="","",COUNTIFS($AE$5:$AE$504,"&gt;"&amp;AE119)+COUNTIFS($AE$5:AE119,AE119))</f>
        <v>0</v>
      </c>
      <c r="AP119" s="25">
        <f>IF(B119="","",COUNTIFS($T$5:$T$504,"&gt;"&amp;T119)+COUNTIFS($T$5:T119,T119))</f>
        <v>0</v>
      </c>
      <c r="AQ119" s="39">
        <f>IF(B119="","",IF(COUNTIF($B$5:$B$504,B119)&gt;1,"Duplicate - same name twice",IF(R119="Archived","",IF(AK119&gt;0.004,"Chase - balance outstanding",IF(AM119="Inactive","Gone - win-back offer",IF(AM119="Lapsing","Chase - lapsing, call them",IF(IF(N119="",FALSE,TodayDate-N119&gt;PatchTestDays),"Due - patch test out of date",IF(IF(AD119="",FALSE,IF(AB119&lt;&gt;"",FALSE,AD119&lt;=TodayDate+14)),"Rebook - due and nothing booked",IF(IF(K119="",FALSE,ABS(DATE(YEAR(TodayDate),MONTH(K119),DAY(K119))-TodayDate)&lt;=7),"Birthday - send the treat","OK")))))))))</f>
        <v>0</v>
      </c>
    </row>
    <row r="120" spans="1:43">
      <c r="A120" s="28">
        <f>IF(B120="","",ClientPrefix&amp;TEXT(ROW()-4,"0000"))</f>
        <v>0</v>
      </c>
      <c r="J120" s="15">
        <f>IF(I120="","",IFERROR(INDEX(Staff!$B$5:$B$44,MATCH(I120,Staff!$A$5:$A$44,0)),"Not in Staff"))</f>
        <v>0</v>
      </c>
      <c r="T120" s="25">
        <f>IF(B120="","",COUNTIFS(Appointments!$E$5:$E$1204,A120,Appointments!$M$5:$M$1204,"Completed"))</f>
        <v>0</v>
      </c>
      <c r="U120" s="25">
        <f>IF(B120="","",COUNTIFS(Appointments!$E$5:$E$1204,A120,Appointments!$M$5:$M$1204,"Completed",Appointments!$B$5:$B$1204,"&gt;="&amp;TodayDate-365))</f>
        <v>0</v>
      </c>
      <c r="V120" s="25">
        <f>IF(B120="","",COUNTIFS(Appointments!$E$5:$E$1204,A120,Appointments!$M$5:$M$1204,"Cancelled"))</f>
        <v>0</v>
      </c>
      <c r="W120" s="25">
        <f>IF(B120="","",COUNTIFS(Appointments!$E$5:$E$1204,A120,Appointments!$M$5:$M$1204,"No show"))</f>
        <v>0</v>
      </c>
      <c r="X120" s="17">
        <f>IF(B120="","",IF(F120&lt;&gt;"",F120,IF(T120=0,"",SUMPRODUCT(MIN((Appointments!$E$5:$E$1204=A120)*(Appointments!$M$5:$M$1204="Completed")*Appointments!$B$5:$B$1204+(1-(Appointments!$E$5:$E$1204=A120)*(Appointments!$M$5:$M$1204="Completed"))*2958465)))))</f>
        <v>0</v>
      </c>
      <c r="Y120" s="17">
        <f>IF(B120="","",IF(T120=0,"",SUMPRODUCT(MAX((Appointments!$E$5:$E$1204=A120)*(Appointments!$M$5:$M$1204="Completed")*Appointments!$B$5:$B$1204))))</f>
        <v>0</v>
      </c>
      <c r="Z120" s="25">
        <f>IF(B120="","",IF(Y120="","",TodayDate-Y120))</f>
        <v>0</v>
      </c>
      <c r="AA120" s="42">
        <f>IF(B120="","",SUMPRODUCT(MIN((Appointments!$E$5:$E$1204=A120)*(Appointments!$M$5:$M$1204&lt;&gt;"Cancelled")*(Appointments!$M$5:$M$1204&lt;&gt;"Completed")*(Appointments!$M$5:$M$1204&lt;&gt;"No show")*(Appointments!$B$5:$B$1204&gt;=TodayDate)*Appointments!$B$5:$B$1204+(1-(Appointments!$E$5:$E$1204=A120)*(Appointments!$M$5:$M$1204&lt;&gt;"Cancelled")*(Appointments!$M$5:$M$1204&lt;&gt;"Completed")*(Appointments!$M$5:$M$1204&lt;&gt;"No show")*(Appointments!$B$5:$B$1204&gt;=TodayDate))*2958465)))</f>
        <v>0</v>
      </c>
      <c r="AB120" s="17">
        <f>IF(B120="","",IF(AA120&gt;=2958465,"",AA120))</f>
        <v>0</v>
      </c>
      <c r="AC120" s="25">
        <f>IF(B120="","",IF(T120&lt;2,"",ROUND((Y120-X120)/MAX(1,T120-1),0)))</f>
        <v>0</v>
      </c>
      <c r="AD120" s="17">
        <f>IF(B120="","",IF(Y120="","",Y120+IF(AC120="",RebookWeeks*7,MAX(14,AC120))))</f>
        <v>0</v>
      </c>
      <c r="AE120" s="26">
        <f>IF(B120="","",ROUND(SUMIFS(Sales!$Y$5:$Y$1204,Sales!$D$5:$D$1204,A120),2))</f>
        <v>0</v>
      </c>
      <c r="AF120" s="26">
        <f>IF(B120="","",ROUND(SUMIFS(Sales!$Y$5:$Y$1204,Sales!$D$5:$D$1204,A120,Sales!$H$5:$H$1204,"Service"),2))</f>
        <v>0</v>
      </c>
      <c r="AG120" s="26">
        <f>IF(B120="","",ROUND(SUMIFS(Sales!$Y$5:$Y$1204,Sales!$D$5:$D$1204,A120,Sales!$H$5:$H$1204,"Retail"),2))</f>
        <v>0</v>
      </c>
      <c r="AH120" s="26">
        <f>IF(B120="","",ROUND(SUMIFS(Sales!$Y$5:$Y$1204,Sales!$D$5:$D$1204,A120,Sales!$B$5:$B$1204,"&gt;="&amp;TodayDate-365),2))</f>
        <v>0</v>
      </c>
      <c r="AI120" s="26">
        <f>IF(B120="","",IF(T120=0,"",ROUND(AE120/T120,2)))</f>
        <v>0</v>
      </c>
      <c r="AJ120" s="26">
        <f>IF(B120="","",IF(AI120="","",IF(AC120="","",ROUND(AI120*(365/MAX(14,AC120)),2))))</f>
        <v>0</v>
      </c>
      <c r="AK120" s="26">
        <f>IF(B120="","",ROUND(SUMIFS(Sales!$AH$5:$AH$1204,Sales!$D$5:$D$1204,A120),2))</f>
        <v>0</v>
      </c>
      <c r="AL120" s="25">
        <f>IF(B120="","",IFERROR(INDEX(Loyalty!$P$5:$P$504,MATCH(A120,Loyalty!$B$5:$B$504,0))*1,0))</f>
        <v>0</v>
      </c>
      <c r="AM120" s="39">
        <f>IF(B120="","",IF(R120="Archived","Archived",IF(T120=0,"Not been yet",IF(Z120&gt;=InactiveDays,"Inactive",IF(Z120&gt;=LapsingDays,"Lapsing",IF(T120=1,"New",IF(AH120&gt;=VipSpend,"VIP",IF(U120&gt;=4,"Regular","Active"))))))))</f>
        <v>0</v>
      </c>
      <c r="AN120" s="38">
        <f>IF(B120="","",IF(T120&gt;=2,"Yes","No"))</f>
        <v>0</v>
      </c>
      <c r="AO120" s="25">
        <f>IF(B120="","",COUNTIFS($AE$5:$AE$504,"&gt;"&amp;AE120)+COUNTIFS($AE$5:AE120,AE120))</f>
        <v>0</v>
      </c>
      <c r="AP120" s="25">
        <f>IF(B120="","",COUNTIFS($T$5:$T$504,"&gt;"&amp;T120)+COUNTIFS($T$5:T120,T120))</f>
        <v>0</v>
      </c>
      <c r="AQ120" s="39">
        <f>IF(B120="","",IF(COUNTIF($B$5:$B$504,B120)&gt;1,"Duplicate - same name twice",IF(R120="Archived","",IF(AK120&gt;0.004,"Chase - balance outstanding",IF(AM120="Inactive","Gone - win-back offer",IF(AM120="Lapsing","Chase - lapsing, call them",IF(IF(N120="",FALSE,TodayDate-N120&gt;PatchTestDays),"Due - patch test out of date",IF(IF(AD120="",FALSE,IF(AB120&lt;&gt;"",FALSE,AD120&lt;=TodayDate+14)),"Rebook - due and nothing booked",IF(IF(K120="",FALSE,ABS(DATE(YEAR(TodayDate),MONTH(K120),DAY(K120))-TodayDate)&lt;=7),"Birthday - send the treat","OK")))))))))</f>
        <v>0</v>
      </c>
    </row>
    <row r="121" spans="1:43">
      <c r="A121" s="28">
        <f>IF(B121="","",ClientPrefix&amp;TEXT(ROW()-4,"0000"))</f>
        <v>0</v>
      </c>
      <c r="J121" s="15">
        <f>IF(I121="","",IFERROR(INDEX(Staff!$B$5:$B$44,MATCH(I121,Staff!$A$5:$A$44,0)),"Not in Staff"))</f>
        <v>0</v>
      </c>
      <c r="T121" s="25">
        <f>IF(B121="","",COUNTIFS(Appointments!$E$5:$E$1204,A121,Appointments!$M$5:$M$1204,"Completed"))</f>
        <v>0</v>
      </c>
      <c r="U121" s="25">
        <f>IF(B121="","",COUNTIFS(Appointments!$E$5:$E$1204,A121,Appointments!$M$5:$M$1204,"Completed",Appointments!$B$5:$B$1204,"&gt;="&amp;TodayDate-365))</f>
        <v>0</v>
      </c>
      <c r="V121" s="25">
        <f>IF(B121="","",COUNTIFS(Appointments!$E$5:$E$1204,A121,Appointments!$M$5:$M$1204,"Cancelled"))</f>
        <v>0</v>
      </c>
      <c r="W121" s="25">
        <f>IF(B121="","",COUNTIFS(Appointments!$E$5:$E$1204,A121,Appointments!$M$5:$M$1204,"No show"))</f>
        <v>0</v>
      </c>
      <c r="X121" s="17">
        <f>IF(B121="","",IF(F121&lt;&gt;"",F121,IF(T121=0,"",SUMPRODUCT(MIN((Appointments!$E$5:$E$1204=A121)*(Appointments!$M$5:$M$1204="Completed")*Appointments!$B$5:$B$1204+(1-(Appointments!$E$5:$E$1204=A121)*(Appointments!$M$5:$M$1204="Completed"))*2958465)))))</f>
        <v>0</v>
      </c>
      <c r="Y121" s="17">
        <f>IF(B121="","",IF(T121=0,"",SUMPRODUCT(MAX((Appointments!$E$5:$E$1204=A121)*(Appointments!$M$5:$M$1204="Completed")*Appointments!$B$5:$B$1204))))</f>
        <v>0</v>
      </c>
      <c r="Z121" s="25">
        <f>IF(B121="","",IF(Y121="","",TodayDate-Y121))</f>
        <v>0</v>
      </c>
      <c r="AA121" s="42">
        <f>IF(B121="","",SUMPRODUCT(MIN((Appointments!$E$5:$E$1204=A121)*(Appointments!$M$5:$M$1204&lt;&gt;"Cancelled")*(Appointments!$M$5:$M$1204&lt;&gt;"Completed")*(Appointments!$M$5:$M$1204&lt;&gt;"No show")*(Appointments!$B$5:$B$1204&gt;=TodayDate)*Appointments!$B$5:$B$1204+(1-(Appointments!$E$5:$E$1204=A121)*(Appointments!$M$5:$M$1204&lt;&gt;"Cancelled")*(Appointments!$M$5:$M$1204&lt;&gt;"Completed")*(Appointments!$M$5:$M$1204&lt;&gt;"No show")*(Appointments!$B$5:$B$1204&gt;=TodayDate))*2958465)))</f>
        <v>0</v>
      </c>
      <c r="AB121" s="17">
        <f>IF(B121="","",IF(AA121&gt;=2958465,"",AA121))</f>
        <v>0</v>
      </c>
      <c r="AC121" s="25">
        <f>IF(B121="","",IF(T121&lt;2,"",ROUND((Y121-X121)/MAX(1,T121-1),0)))</f>
        <v>0</v>
      </c>
      <c r="AD121" s="17">
        <f>IF(B121="","",IF(Y121="","",Y121+IF(AC121="",RebookWeeks*7,MAX(14,AC121))))</f>
        <v>0</v>
      </c>
      <c r="AE121" s="26">
        <f>IF(B121="","",ROUND(SUMIFS(Sales!$Y$5:$Y$1204,Sales!$D$5:$D$1204,A121),2))</f>
        <v>0</v>
      </c>
      <c r="AF121" s="26">
        <f>IF(B121="","",ROUND(SUMIFS(Sales!$Y$5:$Y$1204,Sales!$D$5:$D$1204,A121,Sales!$H$5:$H$1204,"Service"),2))</f>
        <v>0</v>
      </c>
      <c r="AG121" s="26">
        <f>IF(B121="","",ROUND(SUMIFS(Sales!$Y$5:$Y$1204,Sales!$D$5:$D$1204,A121,Sales!$H$5:$H$1204,"Retail"),2))</f>
        <v>0</v>
      </c>
      <c r="AH121" s="26">
        <f>IF(B121="","",ROUND(SUMIFS(Sales!$Y$5:$Y$1204,Sales!$D$5:$D$1204,A121,Sales!$B$5:$B$1204,"&gt;="&amp;TodayDate-365),2))</f>
        <v>0</v>
      </c>
      <c r="AI121" s="26">
        <f>IF(B121="","",IF(T121=0,"",ROUND(AE121/T121,2)))</f>
        <v>0</v>
      </c>
      <c r="AJ121" s="26">
        <f>IF(B121="","",IF(AI121="","",IF(AC121="","",ROUND(AI121*(365/MAX(14,AC121)),2))))</f>
        <v>0</v>
      </c>
      <c r="AK121" s="26">
        <f>IF(B121="","",ROUND(SUMIFS(Sales!$AH$5:$AH$1204,Sales!$D$5:$D$1204,A121),2))</f>
        <v>0</v>
      </c>
      <c r="AL121" s="25">
        <f>IF(B121="","",IFERROR(INDEX(Loyalty!$P$5:$P$504,MATCH(A121,Loyalty!$B$5:$B$504,0))*1,0))</f>
        <v>0</v>
      </c>
      <c r="AM121" s="39">
        <f>IF(B121="","",IF(R121="Archived","Archived",IF(T121=0,"Not been yet",IF(Z121&gt;=InactiveDays,"Inactive",IF(Z121&gt;=LapsingDays,"Lapsing",IF(T121=1,"New",IF(AH121&gt;=VipSpend,"VIP",IF(U121&gt;=4,"Regular","Active"))))))))</f>
        <v>0</v>
      </c>
      <c r="AN121" s="38">
        <f>IF(B121="","",IF(T121&gt;=2,"Yes","No"))</f>
        <v>0</v>
      </c>
      <c r="AO121" s="25">
        <f>IF(B121="","",COUNTIFS($AE$5:$AE$504,"&gt;"&amp;AE121)+COUNTIFS($AE$5:AE121,AE121))</f>
        <v>0</v>
      </c>
      <c r="AP121" s="25">
        <f>IF(B121="","",COUNTIFS($T$5:$T$504,"&gt;"&amp;T121)+COUNTIFS($T$5:T121,T121))</f>
        <v>0</v>
      </c>
      <c r="AQ121" s="39">
        <f>IF(B121="","",IF(COUNTIF($B$5:$B$504,B121)&gt;1,"Duplicate - same name twice",IF(R121="Archived","",IF(AK121&gt;0.004,"Chase - balance outstanding",IF(AM121="Inactive","Gone - win-back offer",IF(AM121="Lapsing","Chase - lapsing, call them",IF(IF(N121="",FALSE,TodayDate-N121&gt;PatchTestDays),"Due - patch test out of date",IF(IF(AD121="",FALSE,IF(AB121&lt;&gt;"",FALSE,AD121&lt;=TodayDate+14)),"Rebook - due and nothing booked",IF(IF(K121="",FALSE,ABS(DATE(YEAR(TodayDate),MONTH(K121),DAY(K121))-TodayDate)&lt;=7),"Birthday - send the treat","OK")))))))))</f>
        <v>0</v>
      </c>
    </row>
    <row r="122" spans="1:43">
      <c r="A122" s="28">
        <f>IF(B122="","",ClientPrefix&amp;TEXT(ROW()-4,"0000"))</f>
        <v>0</v>
      </c>
      <c r="J122" s="15">
        <f>IF(I122="","",IFERROR(INDEX(Staff!$B$5:$B$44,MATCH(I122,Staff!$A$5:$A$44,0)),"Not in Staff"))</f>
        <v>0</v>
      </c>
      <c r="T122" s="25">
        <f>IF(B122="","",COUNTIFS(Appointments!$E$5:$E$1204,A122,Appointments!$M$5:$M$1204,"Completed"))</f>
        <v>0</v>
      </c>
      <c r="U122" s="25">
        <f>IF(B122="","",COUNTIFS(Appointments!$E$5:$E$1204,A122,Appointments!$M$5:$M$1204,"Completed",Appointments!$B$5:$B$1204,"&gt;="&amp;TodayDate-365))</f>
        <v>0</v>
      </c>
      <c r="V122" s="25">
        <f>IF(B122="","",COUNTIFS(Appointments!$E$5:$E$1204,A122,Appointments!$M$5:$M$1204,"Cancelled"))</f>
        <v>0</v>
      </c>
      <c r="W122" s="25">
        <f>IF(B122="","",COUNTIFS(Appointments!$E$5:$E$1204,A122,Appointments!$M$5:$M$1204,"No show"))</f>
        <v>0</v>
      </c>
      <c r="X122" s="17">
        <f>IF(B122="","",IF(F122&lt;&gt;"",F122,IF(T122=0,"",SUMPRODUCT(MIN((Appointments!$E$5:$E$1204=A122)*(Appointments!$M$5:$M$1204="Completed")*Appointments!$B$5:$B$1204+(1-(Appointments!$E$5:$E$1204=A122)*(Appointments!$M$5:$M$1204="Completed"))*2958465)))))</f>
        <v>0</v>
      </c>
      <c r="Y122" s="17">
        <f>IF(B122="","",IF(T122=0,"",SUMPRODUCT(MAX((Appointments!$E$5:$E$1204=A122)*(Appointments!$M$5:$M$1204="Completed")*Appointments!$B$5:$B$1204))))</f>
        <v>0</v>
      </c>
      <c r="Z122" s="25">
        <f>IF(B122="","",IF(Y122="","",TodayDate-Y122))</f>
        <v>0</v>
      </c>
      <c r="AA122" s="42">
        <f>IF(B122="","",SUMPRODUCT(MIN((Appointments!$E$5:$E$1204=A122)*(Appointments!$M$5:$M$1204&lt;&gt;"Cancelled")*(Appointments!$M$5:$M$1204&lt;&gt;"Completed")*(Appointments!$M$5:$M$1204&lt;&gt;"No show")*(Appointments!$B$5:$B$1204&gt;=TodayDate)*Appointments!$B$5:$B$1204+(1-(Appointments!$E$5:$E$1204=A122)*(Appointments!$M$5:$M$1204&lt;&gt;"Cancelled")*(Appointments!$M$5:$M$1204&lt;&gt;"Completed")*(Appointments!$M$5:$M$1204&lt;&gt;"No show")*(Appointments!$B$5:$B$1204&gt;=TodayDate))*2958465)))</f>
        <v>0</v>
      </c>
      <c r="AB122" s="17">
        <f>IF(B122="","",IF(AA122&gt;=2958465,"",AA122))</f>
        <v>0</v>
      </c>
      <c r="AC122" s="25">
        <f>IF(B122="","",IF(T122&lt;2,"",ROUND((Y122-X122)/MAX(1,T122-1),0)))</f>
        <v>0</v>
      </c>
      <c r="AD122" s="17">
        <f>IF(B122="","",IF(Y122="","",Y122+IF(AC122="",RebookWeeks*7,MAX(14,AC122))))</f>
        <v>0</v>
      </c>
      <c r="AE122" s="26">
        <f>IF(B122="","",ROUND(SUMIFS(Sales!$Y$5:$Y$1204,Sales!$D$5:$D$1204,A122),2))</f>
        <v>0</v>
      </c>
      <c r="AF122" s="26">
        <f>IF(B122="","",ROUND(SUMIFS(Sales!$Y$5:$Y$1204,Sales!$D$5:$D$1204,A122,Sales!$H$5:$H$1204,"Service"),2))</f>
        <v>0</v>
      </c>
      <c r="AG122" s="26">
        <f>IF(B122="","",ROUND(SUMIFS(Sales!$Y$5:$Y$1204,Sales!$D$5:$D$1204,A122,Sales!$H$5:$H$1204,"Retail"),2))</f>
        <v>0</v>
      </c>
      <c r="AH122" s="26">
        <f>IF(B122="","",ROUND(SUMIFS(Sales!$Y$5:$Y$1204,Sales!$D$5:$D$1204,A122,Sales!$B$5:$B$1204,"&gt;="&amp;TodayDate-365),2))</f>
        <v>0</v>
      </c>
      <c r="AI122" s="26">
        <f>IF(B122="","",IF(T122=0,"",ROUND(AE122/T122,2)))</f>
        <v>0</v>
      </c>
      <c r="AJ122" s="26">
        <f>IF(B122="","",IF(AI122="","",IF(AC122="","",ROUND(AI122*(365/MAX(14,AC122)),2))))</f>
        <v>0</v>
      </c>
      <c r="AK122" s="26">
        <f>IF(B122="","",ROUND(SUMIFS(Sales!$AH$5:$AH$1204,Sales!$D$5:$D$1204,A122),2))</f>
        <v>0</v>
      </c>
      <c r="AL122" s="25">
        <f>IF(B122="","",IFERROR(INDEX(Loyalty!$P$5:$P$504,MATCH(A122,Loyalty!$B$5:$B$504,0))*1,0))</f>
        <v>0</v>
      </c>
      <c r="AM122" s="39">
        <f>IF(B122="","",IF(R122="Archived","Archived",IF(T122=0,"Not been yet",IF(Z122&gt;=InactiveDays,"Inactive",IF(Z122&gt;=LapsingDays,"Lapsing",IF(T122=1,"New",IF(AH122&gt;=VipSpend,"VIP",IF(U122&gt;=4,"Regular","Active"))))))))</f>
        <v>0</v>
      </c>
      <c r="AN122" s="38">
        <f>IF(B122="","",IF(T122&gt;=2,"Yes","No"))</f>
        <v>0</v>
      </c>
      <c r="AO122" s="25">
        <f>IF(B122="","",COUNTIFS($AE$5:$AE$504,"&gt;"&amp;AE122)+COUNTIFS($AE$5:AE122,AE122))</f>
        <v>0</v>
      </c>
      <c r="AP122" s="25">
        <f>IF(B122="","",COUNTIFS($T$5:$T$504,"&gt;"&amp;T122)+COUNTIFS($T$5:T122,T122))</f>
        <v>0</v>
      </c>
      <c r="AQ122" s="39">
        <f>IF(B122="","",IF(COUNTIF($B$5:$B$504,B122)&gt;1,"Duplicate - same name twice",IF(R122="Archived","",IF(AK122&gt;0.004,"Chase - balance outstanding",IF(AM122="Inactive","Gone - win-back offer",IF(AM122="Lapsing","Chase - lapsing, call them",IF(IF(N122="",FALSE,TodayDate-N122&gt;PatchTestDays),"Due - patch test out of date",IF(IF(AD122="",FALSE,IF(AB122&lt;&gt;"",FALSE,AD122&lt;=TodayDate+14)),"Rebook - due and nothing booked",IF(IF(K122="",FALSE,ABS(DATE(YEAR(TodayDate),MONTH(K122),DAY(K122))-TodayDate)&lt;=7),"Birthday - send the treat","OK")))))))))</f>
        <v>0</v>
      </c>
    </row>
    <row r="123" spans="1:43">
      <c r="A123" s="28">
        <f>IF(B123="","",ClientPrefix&amp;TEXT(ROW()-4,"0000"))</f>
        <v>0</v>
      </c>
      <c r="J123" s="15">
        <f>IF(I123="","",IFERROR(INDEX(Staff!$B$5:$B$44,MATCH(I123,Staff!$A$5:$A$44,0)),"Not in Staff"))</f>
        <v>0</v>
      </c>
      <c r="T123" s="25">
        <f>IF(B123="","",COUNTIFS(Appointments!$E$5:$E$1204,A123,Appointments!$M$5:$M$1204,"Completed"))</f>
        <v>0</v>
      </c>
      <c r="U123" s="25">
        <f>IF(B123="","",COUNTIFS(Appointments!$E$5:$E$1204,A123,Appointments!$M$5:$M$1204,"Completed",Appointments!$B$5:$B$1204,"&gt;="&amp;TodayDate-365))</f>
        <v>0</v>
      </c>
      <c r="V123" s="25">
        <f>IF(B123="","",COUNTIFS(Appointments!$E$5:$E$1204,A123,Appointments!$M$5:$M$1204,"Cancelled"))</f>
        <v>0</v>
      </c>
      <c r="W123" s="25">
        <f>IF(B123="","",COUNTIFS(Appointments!$E$5:$E$1204,A123,Appointments!$M$5:$M$1204,"No show"))</f>
        <v>0</v>
      </c>
      <c r="X123" s="17">
        <f>IF(B123="","",IF(F123&lt;&gt;"",F123,IF(T123=0,"",SUMPRODUCT(MIN((Appointments!$E$5:$E$1204=A123)*(Appointments!$M$5:$M$1204="Completed")*Appointments!$B$5:$B$1204+(1-(Appointments!$E$5:$E$1204=A123)*(Appointments!$M$5:$M$1204="Completed"))*2958465)))))</f>
        <v>0</v>
      </c>
      <c r="Y123" s="17">
        <f>IF(B123="","",IF(T123=0,"",SUMPRODUCT(MAX((Appointments!$E$5:$E$1204=A123)*(Appointments!$M$5:$M$1204="Completed")*Appointments!$B$5:$B$1204))))</f>
        <v>0</v>
      </c>
      <c r="Z123" s="25">
        <f>IF(B123="","",IF(Y123="","",TodayDate-Y123))</f>
        <v>0</v>
      </c>
      <c r="AA123" s="42">
        <f>IF(B123="","",SUMPRODUCT(MIN((Appointments!$E$5:$E$1204=A123)*(Appointments!$M$5:$M$1204&lt;&gt;"Cancelled")*(Appointments!$M$5:$M$1204&lt;&gt;"Completed")*(Appointments!$M$5:$M$1204&lt;&gt;"No show")*(Appointments!$B$5:$B$1204&gt;=TodayDate)*Appointments!$B$5:$B$1204+(1-(Appointments!$E$5:$E$1204=A123)*(Appointments!$M$5:$M$1204&lt;&gt;"Cancelled")*(Appointments!$M$5:$M$1204&lt;&gt;"Completed")*(Appointments!$M$5:$M$1204&lt;&gt;"No show")*(Appointments!$B$5:$B$1204&gt;=TodayDate))*2958465)))</f>
        <v>0</v>
      </c>
      <c r="AB123" s="17">
        <f>IF(B123="","",IF(AA123&gt;=2958465,"",AA123))</f>
        <v>0</v>
      </c>
      <c r="AC123" s="25">
        <f>IF(B123="","",IF(T123&lt;2,"",ROUND((Y123-X123)/MAX(1,T123-1),0)))</f>
        <v>0</v>
      </c>
      <c r="AD123" s="17">
        <f>IF(B123="","",IF(Y123="","",Y123+IF(AC123="",RebookWeeks*7,MAX(14,AC123))))</f>
        <v>0</v>
      </c>
      <c r="AE123" s="26">
        <f>IF(B123="","",ROUND(SUMIFS(Sales!$Y$5:$Y$1204,Sales!$D$5:$D$1204,A123),2))</f>
        <v>0</v>
      </c>
      <c r="AF123" s="26">
        <f>IF(B123="","",ROUND(SUMIFS(Sales!$Y$5:$Y$1204,Sales!$D$5:$D$1204,A123,Sales!$H$5:$H$1204,"Service"),2))</f>
        <v>0</v>
      </c>
      <c r="AG123" s="26">
        <f>IF(B123="","",ROUND(SUMIFS(Sales!$Y$5:$Y$1204,Sales!$D$5:$D$1204,A123,Sales!$H$5:$H$1204,"Retail"),2))</f>
        <v>0</v>
      </c>
      <c r="AH123" s="26">
        <f>IF(B123="","",ROUND(SUMIFS(Sales!$Y$5:$Y$1204,Sales!$D$5:$D$1204,A123,Sales!$B$5:$B$1204,"&gt;="&amp;TodayDate-365),2))</f>
        <v>0</v>
      </c>
      <c r="AI123" s="26">
        <f>IF(B123="","",IF(T123=0,"",ROUND(AE123/T123,2)))</f>
        <v>0</v>
      </c>
      <c r="AJ123" s="26">
        <f>IF(B123="","",IF(AI123="","",IF(AC123="","",ROUND(AI123*(365/MAX(14,AC123)),2))))</f>
        <v>0</v>
      </c>
      <c r="AK123" s="26">
        <f>IF(B123="","",ROUND(SUMIFS(Sales!$AH$5:$AH$1204,Sales!$D$5:$D$1204,A123),2))</f>
        <v>0</v>
      </c>
      <c r="AL123" s="25">
        <f>IF(B123="","",IFERROR(INDEX(Loyalty!$P$5:$P$504,MATCH(A123,Loyalty!$B$5:$B$504,0))*1,0))</f>
        <v>0</v>
      </c>
      <c r="AM123" s="39">
        <f>IF(B123="","",IF(R123="Archived","Archived",IF(T123=0,"Not been yet",IF(Z123&gt;=InactiveDays,"Inactive",IF(Z123&gt;=LapsingDays,"Lapsing",IF(T123=1,"New",IF(AH123&gt;=VipSpend,"VIP",IF(U123&gt;=4,"Regular","Active"))))))))</f>
        <v>0</v>
      </c>
      <c r="AN123" s="38">
        <f>IF(B123="","",IF(T123&gt;=2,"Yes","No"))</f>
        <v>0</v>
      </c>
      <c r="AO123" s="25">
        <f>IF(B123="","",COUNTIFS($AE$5:$AE$504,"&gt;"&amp;AE123)+COUNTIFS($AE$5:AE123,AE123))</f>
        <v>0</v>
      </c>
      <c r="AP123" s="25">
        <f>IF(B123="","",COUNTIFS($T$5:$T$504,"&gt;"&amp;T123)+COUNTIFS($T$5:T123,T123))</f>
        <v>0</v>
      </c>
      <c r="AQ123" s="39">
        <f>IF(B123="","",IF(COUNTIF($B$5:$B$504,B123)&gt;1,"Duplicate - same name twice",IF(R123="Archived","",IF(AK123&gt;0.004,"Chase - balance outstanding",IF(AM123="Inactive","Gone - win-back offer",IF(AM123="Lapsing","Chase - lapsing, call them",IF(IF(N123="",FALSE,TodayDate-N123&gt;PatchTestDays),"Due - patch test out of date",IF(IF(AD123="",FALSE,IF(AB123&lt;&gt;"",FALSE,AD123&lt;=TodayDate+14)),"Rebook - due and nothing booked",IF(IF(K123="",FALSE,ABS(DATE(YEAR(TodayDate),MONTH(K123),DAY(K123))-TodayDate)&lt;=7),"Birthday - send the treat","OK")))))))))</f>
        <v>0</v>
      </c>
    </row>
    <row r="124" spans="1:43">
      <c r="A124" s="28">
        <f>IF(B124="","",ClientPrefix&amp;TEXT(ROW()-4,"0000"))</f>
        <v>0</v>
      </c>
      <c r="J124" s="15">
        <f>IF(I124="","",IFERROR(INDEX(Staff!$B$5:$B$44,MATCH(I124,Staff!$A$5:$A$44,0)),"Not in Staff"))</f>
        <v>0</v>
      </c>
      <c r="T124" s="25">
        <f>IF(B124="","",COUNTIFS(Appointments!$E$5:$E$1204,A124,Appointments!$M$5:$M$1204,"Completed"))</f>
        <v>0</v>
      </c>
      <c r="U124" s="25">
        <f>IF(B124="","",COUNTIFS(Appointments!$E$5:$E$1204,A124,Appointments!$M$5:$M$1204,"Completed",Appointments!$B$5:$B$1204,"&gt;="&amp;TodayDate-365))</f>
        <v>0</v>
      </c>
      <c r="V124" s="25">
        <f>IF(B124="","",COUNTIFS(Appointments!$E$5:$E$1204,A124,Appointments!$M$5:$M$1204,"Cancelled"))</f>
        <v>0</v>
      </c>
      <c r="W124" s="25">
        <f>IF(B124="","",COUNTIFS(Appointments!$E$5:$E$1204,A124,Appointments!$M$5:$M$1204,"No show"))</f>
        <v>0</v>
      </c>
      <c r="X124" s="17">
        <f>IF(B124="","",IF(F124&lt;&gt;"",F124,IF(T124=0,"",SUMPRODUCT(MIN((Appointments!$E$5:$E$1204=A124)*(Appointments!$M$5:$M$1204="Completed")*Appointments!$B$5:$B$1204+(1-(Appointments!$E$5:$E$1204=A124)*(Appointments!$M$5:$M$1204="Completed"))*2958465)))))</f>
        <v>0</v>
      </c>
      <c r="Y124" s="17">
        <f>IF(B124="","",IF(T124=0,"",SUMPRODUCT(MAX((Appointments!$E$5:$E$1204=A124)*(Appointments!$M$5:$M$1204="Completed")*Appointments!$B$5:$B$1204))))</f>
        <v>0</v>
      </c>
      <c r="Z124" s="25">
        <f>IF(B124="","",IF(Y124="","",TodayDate-Y124))</f>
        <v>0</v>
      </c>
      <c r="AA124" s="42">
        <f>IF(B124="","",SUMPRODUCT(MIN((Appointments!$E$5:$E$1204=A124)*(Appointments!$M$5:$M$1204&lt;&gt;"Cancelled")*(Appointments!$M$5:$M$1204&lt;&gt;"Completed")*(Appointments!$M$5:$M$1204&lt;&gt;"No show")*(Appointments!$B$5:$B$1204&gt;=TodayDate)*Appointments!$B$5:$B$1204+(1-(Appointments!$E$5:$E$1204=A124)*(Appointments!$M$5:$M$1204&lt;&gt;"Cancelled")*(Appointments!$M$5:$M$1204&lt;&gt;"Completed")*(Appointments!$M$5:$M$1204&lt;&gt;"No show")*(Appointments!$B$5:$B$1204&gt;=TodayDate))*2958465)))</f>
        <v>0</v>
      </c>
      <c r="AB124" s="17">
        <f>IF(B124="","",IF(AA124&gt;=2958465,"",AA124))</f>
        <v>0</v>
      </c>
      <c r="AC124" s="25">
        <f>IF(B124="","",IF(T124&lt;2,"",ROUND((Y124-X124)/MAX(1,T124-1),0)))</f>
        <v>0</v>
      </c>
      <c r="AD124" s="17">
        <f>IF(B124="","",IF(Y124="","",Y124+IF(AC124="",RebookWeeks*7,MAX(14,AC124))))</f>
        <v>0</v>
      </c>
      <c r="AE124" s="26">
        <f>IF(B124="","",ROUND(SUMIFS(Sales!$Y$5:$Y$1204,Sales!$D$5:$D$1204,A124),2))</f>
        <v>0</v>
      </c>
      <c r="AF124" s="26">
        <f>IF(B124="","",ROUND(SUMIFS(Sales!$Y$5:$Y$1204,Sales!$D$5:$D$1204,A124,Sales!$H$5:$H$1204,"Service"),2))</f>
        <v>0</v>
      </c>
      <c r="AG124" s="26">
        <f>IF(B124="","",ROUND(SUMIFS(Sales!$Y$5:$Y$1204,Sales!$D$5:$D$1204,A124,Sales!$H$5:$H$1204,"Retail"),2))</f>
        <v>0</v>
      </c>
      <c r="AH124" s="26">
        <f>IF(B124="","",ROUND(SUMIFS(Sales!$Y$5:$Y$1204,Sales!$D$5:$D$1204,A124,Sales!$B$5:$B$1204,"&gt;="&amp;TodayDate-365),2))</f>
        <v>0</v>
      </c>
      <c r="AI124" s="26">
        <f>IF(B124="","",IF(T124=0,"",ROUND(AE124/T124,2)))</f>
        <v>0</v>
      </c>
      <c r="AJ124" s="26">
        <f>IF(B124="","",IF(AI124="","",IF(AC124="","",ROUND(AI124*(365/MAX(14,AC124)),2))))</f>
        <v>0</v>
      </c>
      <c r="AK124" s="26">
        <f>IF(B124="","",ROUND(SUMIFS(Sales!$AH$5:$AH$1204,Sales!$D$5:$D$1204,A124),2))</f>
        <v>0</v>
      </c>
      <c r="AL124" s="25">
        <f>IF(B124="","",IFERROR(INDEX(Loyalty!$P$5:$P$504,MATCH(A124,Loyalty!$B$5:$B$504,0))*1,0))</f>
        <v>0</v>
      </c>
      <c r="AM124" s="39">
        <f>IF(B124="","",IF(R124="Archived","Archived",IF(T124=0,"Not been yet",IF(Z124&gt;=InactiveDays,"Inactive",IF(Z124&gt;=LapsingDays,"Lapsing",IF(T124=1,"New",IF(AH124&gt;=VipSpend,"VIP",IF(U124&gt;=4,"Regular","Active"))))))))</f>
        <v>0</v>
      </c>
      <c r="AN124" s="38">
        <f>IF(B124="","",IF(T124&gt;=2,"Yes","No"))</f>
        <v>0</v>
      </c>
      <c r="AO124" s="25">
        <f>IF(B124="","",COUNTIFS($AE$5:$AE$504,"&gt;"&amp;AE124)+COUNTIFS($AE$5:AE124,AE124))</f>
        <v>0</v>
      </c>
      <c r="AP124" s="25">
        <f>IF(B124="","",COUNTIFS($T$5:$T$504,"&gt;"&amp;T124)+COUNTIFS($T$5:T124,T124))</f>
        <v>0</v>
      </c>
      <c r="AQ124" s="39">
        <f>IF(B124="","",IF(COUNTIF($B$5:$B$504,B124)&gt;1,"Duplicate - same name twice",IF(R124="Archived","",IF(AK124&gt;0.004,"Chase - balance outstanding",IF(AM124="Inactive","Gone - win-back offer",IF(AM124="Lapsing","Chase - lapsing, call them",IF(IF(N124="",FALSE,TodayDate-N124&gt;PatchTestDays),"Due - patch test out of date",IF(IF(AD124="",FALSE,IF(AB124&lt;&gt;"",FALSE,AD124&lt;=TodayDate+14)),"Rebook - due and nothing booked",IF(IF(K124="",FALSE,ABS(DATE(YEAR(TodayDate),MONTH(K124),DAY(K124))-TodayDate)&lt;=7),"Birthday - send the treat","OK")))))))))</f>
        <v>0</v>
      </c>
    </row>
    <row r="125" spans="1:43">
      <c r="A125" s="28">
        <f>IF(B125="","",ClientPrefix&amp;TEXT(ROW()-4,"0000"))</f>
        <v>0</v>
      </c>
      <c r="J125" s="15">
        <f>IF(I125="","",IFERROR(INDEX(Staff!$B$5:$B$44,MATCH(I125,Staff!$A$5:$A$44,0)),"Not in Staff"))</f>
        <v>0</v>
      </c>
      <c r="T125" s="25">
        <f>IF(B125="","",COUNTIFS(Appointments!$E$5:$E$1204,A125,Appointments!$M$5:$M$1204,"Completed"))</f>
        <v>0</v>
      </c>
      <c r="U125" s="25">
        <f>IF(B125="","",COUNTIFS(Appointments!$E$5:$E$1204,A125,Appointments!$M$5:$M$1204,"Completed",Appointments!$B$5:$B$1204,"&gt;="&amp;TodayDate-365))</f>
        <v>0</v>
      </c>
      <c r="V125" s="25">
        <f>IF(B125="","",COUNTIFS(Appointments!$E$5:$E$1204,A125,Appointments!$M$5:$M$1204,"Cancelled"))</f>
        <v>0</v>
      </c>
      <c r="W125" s="25">
        <f>IF(B125="","",COUNTIFS(Appointments!$E$5:$E$1204,A125,Appointments!$M$5:$M$1204,"No show"))</f>
        <v>0</v>
      </c>
      <c r="X125" s="17">
        <f>IF(B125="","",IF(F125&lt;&gt;"",F125,IF(T125=0,"",SUMPRODUCT(MIN((Appointments!$E$5:$E$1204=A125)*(Appointments!$M$5:$M$1204="Completed")*Appointments!$B$5:$B$1204+(1-(Appointments!$E$5:$E$1204=A125)*(Appointments!$M$5:$M$1204="Completed"))*2958465)))))</f>
        <v>0</v>
      </c>
      <c r="Y125" s="17">
        <f>IF(B125="","",IF(T125=0,"",SUMPRODUCT(MAX((Appointments!$E$5:$E$1204=A125)*(Appointments!$M$5:$M$1204="Completed")*Appointments!$B$5:$B$1204))))</f>
        <v>0</v>
      </c>
      <c r="Z125" s="25">
        <f>IF(B125="","",IF(Y125="","",TodayDate-Y125))</f>
        <v>0</v>
      </c>
      <c r="AA125" s="42">
        <f>IF(B125="","",SUMPRODUCT(MIN((Appointments!$E$5:$E$1204=A125)*(Appointments!$M$5:$M$1204&lt;&gt;"Cancelled")*(Appointments!$M$5:$M$1204&lt;&gt;"Completed")*(Appointments!$M$5:$M$1204&lt;&gt;"No show")*(Appointments!$B$5:$B$1204&gt;=TodayDate)*Appointments!$B$5:$B$1204+(1-(Appointments!$E$5:$E$1204=A125)*(Appointments!$M$5:$M$1204&lt;&gt;"Cancelled")*(Appointments!$M$5:$M$1204&lt;&gt;"Completed")*(Appointments!$M$5:$M$1204&lt;&gt;"No show")*(Appointments!$B$5:$B$1204&gt;=TodayDate))*2958465)))</f>
        <v>0</v>
      </c>
      <c r="AB125" s="17">
        <f>IF(B125="","",IF(AA125&gt;=2958465,"",AA125))</f>
        <v>0</v>
      </c>
      <c r="AC125" s="25">
        <f>IF(B125="","",IF(T125&lt;2,"",ROUND((Y125-X125)/MAX(1,T125-1),0)))</f>
        <v>0</v>
      </c>
      <c r="AD125" s="17">
        <f>IF(B125="","",IF(Y125="","",Y125+IF(AC125="",RebookWeeks*7,MAX(14,AC125))))</f>
        <v>0</v>
      </c>
      <c r="AE125" s="26">
        <f>IF(B125="","",ROUND(SUMIFS(Sales!$Y$5:$Y$1204,Sales!$D$5:$D$1204,A125),2))</f>
        <v>0</v>
      </c>
      <c r="AF125" s="26">
        <f>IF(B125="","",ROUND(SUMIFS(Sales!$Y$5:$Y$1204,Sales!$D$5:$D$1204,A125,Sales!$H$5:$H$1204,"Service"),2))</f>
        <v>0</v>
      </c>
      <c r="AG125" s="26">
        <f>IF(B125="","",ROUND(SUMIFS(Sales!$Y$5:$Y$1204,Sales!$D$5:$D$1204,A125,Sales!$H$5:$H$1204,"Retail"),2))</f>
        <v>0</v>
      </c>
      <c r="AH125" s="26">
        <f>IF(B125="","",ROUND(SUMIFS(Sales!$Y$5:$Y$1204,Sales!$D$5:$D$1204,A125,Sales!$B$5:$B$1204,"&gt;="&amp;TodayDate-365),2))</f>
        <v>0</v>
      </c>
      <c r="AI125" s="26">
        <f>IF(B125="","",IF(T125=0,"",ROUND(AE125/T125,2)))</f>
        <v>0</v>
      </c>
      <c r="AJ125" s="26">
        <f>IF(B125="","",IF(AI125="","",IF(AC125="","",ROUND(AI125*(365/MAX(14,AC125)),2))))</f>
        <v>0</v>
      </c>
      <c r="AK125" s="26">
        <f>IF(B125="","",ROUND(SUMIFS(Sales!$AH$5:$AH$1204,Sales!$D$5:$D$1204,A125),2))</f>
        <v>0</v>
      </c>
      <c r="AL125" s="25">
        <f>IF(B125="","",IFERROR(INDEX(Loyalty!$P$5:$P$504,MATCH(A125,Loyalty!$B$5:$B$504,0))*1,0))</f>
        <v>0</v>
      </c>
      <c r="AM125" s="39">
        <f>IF(B125="","",IF(R125="Archived","Archived",IF(T125=0,"Not been yet",IF(Z125&gt;=InactiveDays,"Inactive",IF(Z125&gt;=LapsingDays,"Lapsing",IF(T125=1,"New",IF(AH125&gt;=VipSpend,"VIP",IF(U125&gt;=4,"Regular","Active"))))))))</f>
        <v>0</v>
      </c>
      <c r="AN125" s="38">
        <f>IF(B125="","",IF(T125&gt;=2,"Yes","No"))</f>
        <v>0</v>
      </c>
      <c r="AO125" s="25">
        <f>IF(B125="","",COUNTIFS($AE$5:$AE$504,"&gt;"&amp;AE125)+COUNTIFS($AE$5:AE125,AE125))</f>
        <v>0</v>
      </c>
      <c r="AP125" s="25">
        <f>IF(B125="","",COUNTIFS($T$5:$T$504,"&gt;"&amp;T125)+COUNTIFS($T$5:T125,T125))</f>
        <v>0</v>
      </c>
      <c r="AQ125" s="39">
        <f>IF(B125="","",IF(COUNTIF($B$5:$B$504,B125)&gt;1,"Duplicate - same name twice",IF(R125="Archived","",IF(AK125&gt;0.004,"Chase - balance outstanding",IF(AM125="Inactive","Gone - win-back offer",IF(AM125="Lapsing","Chase - lapsing, call them",IF(IF(N125="",FALSE,TodayDate-N125&gt;PatchTestDays),"Due - patch test out of date",IF(IF(AD125="",FALSE,IF(AB125&lt;&gt;"",FALSE,AD125&lt;=TodayDate+14)),"Rebook - due and nothing booked",IF(IF(K125="",FALSE,ABS(DATE(YEAR(TodayDate),MONTH(K125),DAY(K125))-TodayDate)&lt;=7),"Birthday - send the treat","OK")))))))))</f>
        <v>0</v>
      </c>
    </row>
    <row r="126" spans="1:43">
      <c r="A126" s="28">
        <f>IF(B126="","",ClientPrefix&amp;TEXT(ROW()-4,"0000"))</f>
        <v>0</v>
      </c>
      <c r="J126" s="15">
        <f>IF(I126="","",IFERROR(INDEX(Staff!$B$5:$B$44,MATCH(I126,Staff!$A$5:$A$44,0)),"Not in Staff"))</f>
        <v>0</v>
      </c>
      <c r="T126" s="25">
        <f>IF(B126="","",COUNTIFS(Appointments!$E$5:$E$1204,A126,Appointments!$M$5:$M$1204,"Completed"))</f>
        <v>0</v>
      </c>
      <c r="U126" s="25">
        <f>IF(B126="","",COUNTIFS(Appointments!$E$5:$E$1204,A126,Appointments!$M$5:$M$1204,"Completed",Appointments!$B$5:$B$1204,"&gt;="&amp;TodayDate-365))</f>
        <v>0</v>
      </c>
      <c r="V126" s="25">
        <f>IF(B126="","",COUNTIFS(Appointments!$E$5:$E$1204,A126,Appointments!$M$5:$M$1204,"Cancelled"))</f>
        <v>0</v>
      </c>
      <c r="W126" s="25">
        <f>IF(B126="","",COUNTIFS(Appointments!$E$5:$E$1204,A126,Appointments!$M$5:$M$1204,"No show"))</f>
        <v>0</v>
      </c>
      <c r="X126" s="17">
        <f>IF(B126="","",IF(F126&lt;&gt;"",F126,IF(T126=0,"",SUMPRODUCT(MIN((Appointments!$E$5:$E$1204=A126)*(Appointments!$M$5:$M$1204="Completed")*Appointments!$B$5:$B$1204+(1-(Appointments!$E$5:$E$1204=A126)*(Appointments!$M$5:$M$1204="Completed"))*2958465)))))</f>
        <v>0</v>
      </c>
      <c r="Y126" s="17">
        <f>IF(B126="","",IF(T126=0,"",SUMPRODUCT(MAX((Appointments!$E$5:$E$1204=A126)*(Appointments!$M$5:$M$1204="Completed")*Appointments!$B$5:$B$1204))))</f>
        <v>0</v>
      </c>
      <c r="Z126" s="25">
        <f>IF(B126="","",IF(Y126="","",TodayDate-Y126))</f>
        <v>0</v>
      </c>
      <c r="AA126" s="42">
        <f>IF(B126="","",SUMPRODUCT(MIN((Appointments!$E$5:$E$1204=A126)*(Appointments!$M$5:$M$1204&lt;&gt;"Cancelled")*(Appointments!$M$5:$M$1204&lt;&gt;"Completed")*(Appointments!$M$5:$M$1204&lt;&gt;"No show")*(Appointments!$B$5:$B$1204&gt;=TodayDate)*Appointments!$B$5:$B$1204+(1-(Appointments!$E$5:$E$1204=A126)*(Appointments!$M$5:$M$1204&lt;&gt;"Cancelled")*(Appointments!$M$5:$M$1204&lt;&gt;"Completed")*(Appointments!$M$5:$M$1204&lt;&gt;"No show")*(Appointments!$B$5:$B$1204&gt;=TodayDate))*2958465)))</f>
        <v>0</v>
      </c>
      <c r="AB126" s="17">
        <f>IF(B126="","",IF(AA126&gt;=2958465,"",AA126))</f>
        <v>0</v>
      </c>
      <c r="AC126" s="25">
        <f>IF(B126="","",IF(T126&lt;2,"",ROUND((Y126-X126)/MAX(1,T126-1),0)))</f>
        <v>0</v>
      </c>
      <c r="AD126" s="17">
        <f>IF(B126="","",IF(Y126="","",Y126+IF(AC126="",RebookWeeks*7,MAX(14,AC126))))</f>
        <v>0</v>
      </c>
      <c r="AE126" s="26">
        <f>IF(B126="","",ROUND(SUMIFS(Sales!$Y$5:$Y$1204,Sales!$D$5:$D$1204,A126),2))</f>
        <v>0</v>
      </c>
      <c r="AF126" s="26">
        <f>IF(B126="","",ROUND(SUMIFS(Sales!$Y$5:$Y$1204,Sales!$D$5:$D$1204,A126,Sales!$H$5:$H$1204,"Service"),2))</f>
        <v>0</v>
      </c>
      <c r="AG126" s="26">
        <f>IF(B126="","",ROUND(SUMIFS(Sales!$Y$5:$Y$1204,Sales!$D$5:$D$1204,A126,Sales!$H$5:$H$1204,"Retail"),2))</f>
        <v>0</v>
      </c>
      <c r="AH126" s="26">
        <f>IF(B126="","",ROUND(SUMIFS(Sales!$Y$5:$Y$1204,Sales!$D$5:$D$1204,A126,Sales!$B$5:$B$1204,"&gt;="&amp;TodayDate-365),2))</f>
        <v>0</v>
      </c>
      <c r="AI126" s="26">
        <f>IF(B126="","",IF(T126=0,"",ROUND(AE126/T126,2)))</f>
        <v>0</v>
      </c>
      <c r="AJ126" s="26">
        <f>IF(B126="","",IF(AI126="","",IF(AC126="","",ROUND(AI126*(365/MAX(14,AC126)),2))))</f>
        <v>0</v>
      </c>
      <c r="AK126" s="26">
        <f>IF(B126="","",ROUND(SUMIFS(Sales!$AH$5:$AH$1204,Sales!$D$5:$D$1204,A126),2))</f>
        <v>0</v>
      </c>
      <c r="AL126" s="25">
        <f>IF(B126="","",IFERROR(INDEX(Loyalty!$P$5:$P$504,MATCH(A126,Loyalty!$B$5:$B$504,0))*1,0))</f>
        <v>0</v>
      </c>
      <c r="AM126" s="39">
        <f>IF(B126="","",IF(R126="Archived","Archived",IF(T126=0,"Not been yet",IF(Z126&gt;=InactiveDays,"Inactive",IF(Z126&gt;=LapsingDays,"Lapsing",IF(T126=1,"New",IF(AH126&gt;=VipSpend,"VIP",IF(U126&gt;=4,"Regular","Active"))))))))</f>
        <v>0</v>
      </c>
      <c r="AN126" s="38">
        <f>IF(B126="","",IF(T126&gt;=2,"Yes","No"))</f>
        <v>0</v>
      </c>
      <c r="AO126" s="25">
        <f>IF(B126="","",COUNTIFS($AE$5:$AE$504,"&gt;"&amp;AE126)+COUNTIFS($AE$5:AE126,AE126))</f>
        <v>0</v>
      </c>
      <c r="AP126" s="25">
        <f>IF(B126="","",COUNTIFS($T$5:$T$504,"&gt;"&amp;T126)+COUNTIFS($T$5:T126,T126))</f>
        <v>0</v>
      </c>
      <c r="AQ126" s="39">
        <f>IF(B126="","",IF(COUNTIF($B$5:$B$504,B126)&gt;1,"Duplicate - same name twice",IF(R126="Archived","",IF(AK126&gt;0.004,"Chase - balance outstanding",IF(AM126="Inactive","Gone - win-back offer",IF(AM126="Lapsing","Chase - lapsing, call them",IF(IF(N126="",FALSE,TodayDate-N126&gt;PatchTestDays),"Due - patch test out of date",IF(IF(AD126="",FALSE,IF(AB126&lt;&gt;"",FALSE,AD126&lt;=TodayDate+14)),"Rebook - due and nothing booked",IF(IF(K126="",FALSE,ABS(DATE(YEAR(TodayDate),MONTH(K126),DAY(K126))-TodayDate)&lt;=7),"Birthday - send the treat","OK")))))))))</f>
        <v>0</v>
      </c>
    </row>
    <row r="127" spans="1:43">
      <c r="A127" s="28">
        <f>IF(B127="","",ClientPrefix&amp;TEXT(ROW()-4,"0000"))</f>
        <v>0</v>
      </c>
      <c r="J127" s="15">
        <f>IF(I127="","",IFERROR(INDEX(Staff!$B$5:$B$44,MATCH(I127,Staff!$A$5:$A$44,0)),"Not in Staff"))</f>
        <v>0</v>
      </c>
      <c r="T127" s="25">
        <f>IF(B127="","",COUNTIFS(Appointments!$E$5:$E$1204,A127,Appointments!$M$5:$M$1204,"Completed"))</f>
        <v>0</v>
      </c>
      <c r="U127" s="25">
        <f>IF(B127="","",COUNTIFS(Appointments!$E$5:$E$1204,A127,Appointments!$M$5:$M$1204,"Completed",Appointments!$B$5:$B$1204,"&gt;="&amp;TodayDate-365))</f>
        <v>0</v>
      </c>
      <c r="V127" s="25">
        <f>IF(B127="","",COUNTIFS(Appointments!$E$5:$E$1204,A127,Appointments!$M$5:$M$1204,"Cancelled"))</f>
        <v>0</v>
      </c>
      <c r="W127" s="25">
        <f>IF(B127="","",COUNTIFS(Appointments!$E$5:$E$1204,A127,Appointments!$M$5:$M$1204,"No show"))</f>
        <v>0</v>
      </c>
      <c r="X127" s="17">
        <f>IF(B127="","",IF(F127&lt;&gt;"",F127,IF(T127=0,"",SUMPRODUCT(MIN((Appointments!$E$5:$E$1204=A127)*(Appointments!$M$5:$M$1204="Completed")*Appointments!$B$5:$B$1204+(1-(Appointments!$E$5:$E$1204=A127)*(Appointments!$M$5:$M$1204="Completed"))*2958465)))))</f>
        <v>0</v>
      </c>
      <c r="Y127" s="17">
        <f>IF(B127="","",IF(T127=0,"",SUMPRODUCT(MAX((Appointments!$E$5:$E$1204=A127)*(Appointments!$M$5:$M$1204="Completed")*Appointments!$B$5:$B$1204))))</f>
        <v>0</v>
      </c>
      <c r="Z127" s="25">
        <f>IF(B127="","",IF(Y127="","",TodayDate-Y127))</f>
        <v>0</v>
      </c>
      <c r="AA127" s="42">
        <f>IF(B127="","",SUMPRODUCT(MIN((Appointments!$E$5:$E$1204=A127)*(Appointments!$M$5:$M$1204&lt;&gt;"Cancelled")*(Appointments!$M$5:$M$1204&lt;&gt;"Completed")*(Appointments!$M$5:$M$1204&lt;&gt;"No show")*(Appointments!$B$5:$B$1204&gt;=TodayDate)*Appointments!$B$5:$B$1204+(1-(Appointments!$E$5:$E$1204=A127)*(Appointments!$M$5:$M$1204&lt;&gt;"Cancelled")*(Appointments!$M$5:$M$1204&lt;&gt;"Completed")*(Appointments!$M$5:$M$1204&lt;&gt;"No show")*(Appointments!$B$5:$B$1204&gt;=TodayDate))*2958465)))</f>
        <v>0</v>
      </c>
      <c r="AB127" s="17">
        <f>IF(B127="","",IF(AA127&gt;=2958465,"",AA127))</f>
        <v>0</v>
      </c>
      <c r="AC127" s="25">
        <f>IF(B127="","",IF(T127&lt;2,"",ROUND((Y127-X127)/MAX(1,T127-1),0)))</f>
        <v>0</v>
      </c>
      <c r="AD127" s="17">
        <f>IF(B127="","",IF(Y127="","",Y127+IF(AC127="",RebookWeeks*7,MAX(14,AC127))))</f>
        <v>0</v>
      </c>
      <c r="AE127" s="26">
        <f>IF(B127="","",ROUND(SUMIFS(Sales!$Y$5:$Y$1204,Sales!$D$5:$D$1204,A127),2))</f>
        <v>0</v>
      </c>
      <c r="AF127" s="26">
        <f>IF(B127="","",ROUND(SUMIFS(Sales!$Y$5:$Y$1204,Sales!$D$5:$D$1204,A127,Sales!$H$5:$H$1204,"Service"),2))</f>
        <v>0</v>
      </c>
      <c r="AG127" s="26">
        <f>IF(B127="","",ROUND(SUMIFS(Sales!$Y$5:$Y$1204,Sales!$D$5:$D$1204,A127,Sales!$H$5:$H$1204,"Retail"),2))</f>
        <v>0</v>
      </c>
      <c r="AH127" s="26">
        <f>IF(B127="","",ROUND(SUMIFS(Sales!$Y$5:$Y$1204,Sales!$D$5:$D$1204,A127,Sales!$B$5:$B$1204,"&gt;="&amp;TodayDate-365),2))</f>
        <v>0</v>
      </c>
      <c r="AI127" s="26">
        <f>IF(B127="","",IF(T127=0,"",ROUND(AE127/T127,2)))</f>
        <v>0</v>
      </c>
      <c r="AJ127" s="26">
        <f>IF(B127="","",IF(AI127="","",IF(AC127="","",ROUND(AI127*(365/MAX(14,AC127)),2))))</f>
        <v>0</v>
      </c>
      <c r="AK127" s="26">
        <f>IF(B127="","",ROUND(SUMIFS(Sales!$AH$5:$AH$1204,Sales!$D$5:$D$1204,A127),2))</f>
        <v>0</v>
      </c>
      <c r="AL127" s="25">
        <f>IF(B127="","",IFERROR(INDEX(Loyalty!$P$5:$P$504,MATCH(A127,Loyalty!$B$5:$B$504,0))*1,0))</f>
        <v>0</v>
      </c>
      <c r="AM127" s="39">
        <f>IF(B127="","",IF(R127="Archived","Archived",IF(T127=0,"Not been yet",IF(Z127&gt;=InactiveDays,"Inactive",IF(Z127&gt;=LapsingDays,"Lapsing",IF(T127=1,"New",IF(AH127&gt;=VipSpend,"VIP",IF(U127&gt;=4,"Regular","Active"))))))))</f>
        <v>0</v>
      </c>
      <c r="AN127" s="38">
        <f>IF(B127="","",IF(T127&gt;=2,"Yes","No"))</f>
        <v>0</v>
      </c>
      <c r="AO127" s="25">
        <f>IF(B127="","",COUNTIFS($AE$5:$AE$504,"&gt;"&amp;AE127)+COUNTIFS($AE$5:AE127,AE127))</f>
        <v>0</v>
      </c>
      <c r="AP127" s="25">
        <f>IF(B127="","",COUNTIFS($T$5:$T$504,"&gt;"&amp;T127)+COUNTIFS($T$5:T127,T127))</f>
        <v>0</v>
      </c>
      <c r="AQ127" s="39">
        <f>IF(B127="","",IF(COUNTIF($B$5:$B$504,B127)&gt;1,"Duplicate - same name twice",IF(R127="Archived","",IF(AK127&gt;0.004,"Chase - balance outstanding",IF(AM127="Inactive","Gone - win-back offer",IF(AM127="Lapsing","Chase - lapsing, call them",IF(IF(N127="",FALSE,TodayDate-N127&gt;PatchTestDays),"Due - patch test out of date",IF(IF(AD127="",FALSE,IF(AB127&lt;&gt;"",FALSE,AD127&lt;=TodayDate+14)),"Rebook - due and nothing booked",IF(IF(K127="",FALSE,ABS(DATE(YEAR(TodayDate),MONTH(K127),DAY(K127))-TodayDate)&lt;=7),"Birthday - send the treat","OK")))))))))</f>
        <v>0</v>
      </c>
    </row>
    <row r="128" spans="1:43">
      <c r="A128" s="28">
        <f>IF(B128="","",ClientPrefix&amp;TEXT(ROW()-4,"0000"))</f>
        <v>0</v>
      </c>
      <c r="J128" s="15">
        <f>IF(I128="","",IFERROR(INDEX(Staff!$B$5:$B$44,MATCH(I128,Staff!$A$5:$A$44,0)),"Not in Staff"))</f>
        <v>0</v>
      </c>
      <c r="T128" s="25">
        <f>IF(B128="","",COUNTIFS(Appointments!$E$5:$E$1204,A128,Appointments!$M$5:$M$1204,"Completed"))</f>
        <v>0</v>
      </c>
      <c r="U128" s="25">
        <f>IF(B128="","",COUNTIFS(Appointments!$E$5:$E$1204,A128,Appointments!$M$5:$M$1204,"Completed",Appointments!$B$5:$B$1204,"&gt;="&amp;TodayDate-365))</f>
        <v>0</v>
      </c>
      <c r="V128" s="25">
        <f>IF(B128="","",COUNTIFS(Appointments!$E$5:$E$1204,A128,Appointments!$M$5:$M$1204,"Cancelled"))</f>
        <v>0</v>
      </c>
      <c r="W128" s="25">
        <f>IF(B128="","",COUNTIFS(Appointments!$E$5:$E$1204,A128,Appointments!$M$5:$M$1204,"No show"))</f>
        <v>0</v>
      </c>
      <c r="X128" s="17">
        <f>IF(B128="","",IF(F128&lt;&gt;"",F128,IF(T128=0,"",SUMPRODUCT(MIN((Appointments!$E$5:$E$1204=A128)*(Appointments!$M$5:$M$1204="Completed")*Appointments!$B$5:$B$1204+(1-(Appointments!$E$5:$E$1204=A128)*(Appointments!$M$5:$M$1204="Completed"))*2958465)))))</f>
        <v>0</v>
      </c>
      <c r="Y128" s="17">
        <f>IF(B128="","",IF(T128=0,"",SUMPRODUCT(MAX((Appointments!$E$5:$E$1204=A128)*(Appointments!$M$5:$M$1204="Completed")*Appointments!$B$5:$B$1204))))</f>
        <v>0</v>
      </c>
      <c r="Z128" s="25">
        <f>IF(B128="","",IF(Y128="","",TodayDate-Y128))</f>
        <v>0</v>
      </c>
      <c r="AA128" s="42">
        <f>IF(B128="","",SUMPRODUCT(MIN((Appointments!$E$5:$E$1204=A128)*(Appointments!$M$5:$M$1204&lt;&gt;"Cancelled")*(Appointments!$M$5:$M$1204&lt;&gt;"Completed")*(Appointments!$M$5:$M$1204&lt;&gt;"No show")*(Appointments!$B$5:$B$1204&gt;=TodayDate)*Appointments!$B$5:$B$1204+(1-(Appointments!$E$5:$E$1204=A128)*(Appointments!$M$5:$M$1204&lt;&gt;"Cancelled")*(Appointments!$M$5:$M$1204&lt;&gt;"Completed")*(Appointments!$M$5:$M$1204&lt;&gt;"No show")*(Appointments!$B$5:$B$1204&gt;=TodayDate))*2958465)))</f>
        <v>0</v>
      </c>
      <c r="AB128" s="17">
        <f>IF(B128="","",IF(AA128&gt;=2958465,"",AA128))</f>
        <v>0</v>
      </c>
      <c r="AC128" s="25">
        <f>IF(B128="","",IF(T128&lt;2,"",ROUND((Y128-X128)/MAX(1,T128-1),0)))</f>
        <v>0</v>
      </c>
      <c r="AD128" s="17">
        <f>IF(B128="","",IF(Y128="","",Y128+IF(AC128="",RebookWeeks*7,MAX(14,AC128))))</f>
        <v>0</v>
      </c>
      <c r="AE128" s="26">
        <f>IF(B128="","",ROUND(SUMIFS(Sales!$Y$5:$Y$1204,Sales!$D$5:$D$1204,A128),2))</f>
        <v>0</v>
      </c>
      <c r="AF128" s="26">
        <f>IF(B128="","",ROUND(SUMIFS(Sales!$Y$5:$Y$1204,Sales!$D$5:$D$1204,A128,Sales!$H$5:$H$1204,"Service"),2))</f>
        <v>0</v>
      </c>
      <c r="AG128" s="26">
        <f>IF(B128="","",ROUND(SUMIFS(Sales!$Y$5:$Y$1204,Sales!$D$5:$D$1204,A128,Sales!$H$5:$H$1204,"Retail"),2))</f>
        <v>0</v>
      </c>
      <c r="AH128" s="26">
        <f>IF(B128="","",ROUND(SUMIFS(Sales!$Y$5:$Y$1204,Sales!$D$5:$D$1204,A128,Sales!$B$5:$B$1204,"&gt;="&amp;TodayDate-365),2))</f>
        <v>0</v>
      </c>
      <c r="AI128" s="26">
        <f>IF(B128="","",IF(T128=0,"",ROUND(AE128/T128,2)))</f>
        <v>0</v>
      </c>
      <c r="AJ128" s="26">
        <f>IF(B128="","",IF(AI128="","",IF(AC128="","",ROUND(AI128*(365/MAX(14,AC128)),2))))</f>
        <v>0</v>
      </c>
      <c r="AK128" s="26">
        <f>IF(B128="","",ROUND(SUMIFS(Sales!$AH$5:$AH$1204,Sales!$D$5:$D$1204,A128),2))</f>
        <v>0</v>
      </c>
      <c r="AL128" s="25">
        <f>IF(B128="","",IFERROR(INDEX(Loyalty!$P$5:$P$504,MATCH(A128,Loyalty!$B$5:$B$504,0))*1,0))</f>
        <v>0</v>
      </c>
      <c r="AM128" s="39">
        <f>IF(B128="","",IF(R128="Archived","Archived",IF(T128=0,"Not been yet",IF(Z128&gt;=InactiveDays,"Inactive",IF(Z128&gt;=LapsingDays,"Lapsing",IF(T128=1,"New",IF(AH128&gt;=VipSpend,"VIP",IF(U128&gt;=4,"Regular","Active"))))))))</f>
        <v>0</v>
      </c>
      <c r="AN128" s="38">
        <f>IF(B128="","",IF(T128&gt;=2,"Yes","No"))</f>
        <v>0</v>
      </c>
      <c r="AO128" s="25">
        <f>IF(B128="","",COUNTIFS($AE$5:$AE$504,"&gt;"&amp;AE128)+COUNTIFS($AE$5:AE128,AE128))</f>
        <v>0</v>
      </c>
      <c r="AP128" s="25">
        <f>IF(B128="","",COUNTIFS($T$5:$T$504,"&gt;"&amp;T128)+COUNTIFS($T$5:T128,T128))</f>
        <v>0</v>
      </c>
      <c r="AQ128" s="39">
        <f>IF(B128="","",IF(COUNTIF($B$5:$B$504,B128)&gt;1,"Duplicate - same name twice",IF(R128="Archived","",IF(AK128&gt;0.004,"Chase - balance outstanding",IF(AM128="Inactive","Gone - win-back offer",IF(AM128="Lapsing","Chase - lapsing, call them",IF(IF(N128="",FALSE,TodayDate-N128&gt;PatchTestDays),"Due - patch test out of date",IF(IF(AD128="",FALSE,IF(AB128&lt;&gt;"",FALSE,AD128&lt;=TodayDate+14)),"Rebook - due and nothing booked",IF(IF(K128="",FALSE,ABS(DATE(YEAR(TodayDate),MONTH(K128),DAY(K128))-TodayDate)&lt;=7),"Birthday - send the treat","OK")))))))))</f>
        <v>0</v>
      </c>
    </row>
    <row r="129" spans="1:43">
      <c r="A129" s="28">
        <f>IF(B129="","",ClientPrefix&amp;TEXT(ROW()-4,"0000"))</f>
        <v>0</v>
      </c>
      <c r="J129" s="15">
        <f>IF(I129="","",IFERROR(INDEX(Staff!$B$5:$B$44,MATCH(I129,Staff!$A$5:$A$44,0)),"Not in Staff"))</f>
        <v>0</v>
      </c>
      <c r="T129" s="25">
        <f>IF(B129="","",COUNTIFS(Appointments!$E$5:$E$1204,A129,Appointments!$M$5:$M$1204,"Completed"))</f>
        <v>0</v>
      </c>
      <c r="U129" s="25">
        <f>IF(B129="","",COUNTIFS(Appointments!$E$5:$E$1204,A129,Appointments!$M$5:$M$1204,"Completed",Appointments!$B$5:$B$1204,"&gt;="&amp;TodayDate-365))</f>
        <v>0</v>
      </c>
      <c r="V129" s="25">
        <f>IF(B129="","",COUNTIFS(Appointments!$E$5:$E$1204,A129,Appointments!$M$5:$M$1204,"Cancelled"))</f>
        <v>0</v>
      </c>
      <c r="W129" s="25">
        <f>IF(B129="","",COUNTIFS(Appointments!$E$5:$E$1204,A129,Appointments!$M$5:$M$1204,"No show"))</f>
        <v>0</v>
      </c>
      <c r="X129" s="17">
        <f>IF(B129="","",IF(F129&lt;&gt;"",F129,IF(T129=0,"",SUMPRODUCT(MIN((Appointments!$E$5:$E$1204=A129)*(Appointments!$M$5:$M$1204="Completed")*Appointments!$B$5:$B$1204+(1-(Appointments!$E$5:$E$1204=A129)*(Appointments!$M$5:$M$1204="Completed"))*2958465)))))</f>
        <v>0</v>
      </c>
      <c r="Y129" s="17">
        <f>IF(B129="","",IF(T129=0,"",SUMPRODUCT(MAX((Appointments!$E$5:$E$1204=A129)*(Appointments!$M$5:$M$1204="Completed")*Appointments!$B$5:$B$1204))))</f>
        <v>0</v>
      </c>
      <c r="Z129" s="25">
        <f>IF(B129="","",IF(Y129="","",TodayDate-Y129))</f>
        <v>0</v>
      </c>
      <c r="AA129" s="42">
        <f>IF(B129="","",SUMPRODUCT(MIN((Appointments!$E$5:$E$1204=A129)*(Appointments!$M$5:$M$1204&lt;&gt;"Cancelled")*(Appointments!$M$5:$M$1204&lt;&gt;"Completed")*(Appointments!$M$5:$M$1204&lt;&gt;"No show")*(Appointments!$B$5:$B$1204&gt;=TodayDate)*Appointments!$B$5:$B$1204+(1-(Appointments!$E$5:$E$1204=A129)*(Appointments!$M$5:$M$1204&lt;&gt;"Cancelled")*(Appointments!$M$5:$M$1204&lt;&gt;"Completed")*(Appointments!$M$5:$M$1204&lt;&gt;"No show")*(Appointments!$B$5:$B$1204&gt;=TodayDate))*2958465)))</f>
        <v>0</v>
      </c>
      <c r="AB129" s="17">
        <f>IF(B129="","",IF(AA129&gt;=2958465,"",AA129))</f>
        <v>0</v>
      </c>
      <c r="AC129" s="25">
        <f>IF(B129="","",IF(T129&lt;2,"",ROUND((Y129-X129)/MAX(1,T129-1),0)))</f>
        <v>0</v>
      </c>
      <c r="AD129" s="17">
        <f>IF(B129="","",IF(Y129="","",Y129+IF(AC129="",RebookWeeks*7,MAX(14,AC129))))</f>
        <v>0</v>
      </c>
      <c r="AE129" s="26">
        <f>IF(B129="","",ROUND(SUMIFS(Sales!$Y$5:$Y$1204,Sales!$D$5:$D$1204,A129),2))</f>
        <v>0</v>
      </c>
      <c r="AF129" s="26">
        <f>IF(B129="","",ROUND(SUMIFS(Sales!$Y$5:$Y$1204,Sales!$D$5:$D$1204,A129,Sales!$H$5:$H$1204,"Service"),2))</f>
        <v>0</v>
      </c>
      <c r="AG129" s="26">
        <f>IF(B129="","",ROUND(SUMIFS(Sales!$Y$5:$Y$1204,Sales!$D$5:$D$1204,A129,Sales!$H$5:$H$1204,"Retail"),2))</f>
        <v>0</v>
      </c>
      <c r="AH129" s="26">
        <f>IF(B129="","",ROUND(SUMIFS(Sales!$Y$5:$Y$1204,Sales!$D$5:$D$1204,A129,Sales!$B$5:$B$1204,"&gt;="&amp;TodayDate-365),2))</f>
        <v>0</v>
      </c>
      <c r="AI129" s="26">
        <f>IF(B129="","",IF(T129=0,"",ROUND(AE129/T129,2)))</f>
        <v>0</v>
      </c>
      <c r="AJ129" s="26">
        <f>IF(B129="","",IF(AI129="","",IF(AC129="","",ROUND(AI129*(365/MAX(14,AC129)),2))))</f>
        <v>0</v>
      </c>
      <c r="AK129" s="26">
        <f>IF(B129="","",ROUND(SUMIFS(Sales!$AH$5:$AH$1204,Sales!$D$5:$D$1204,A129),2))</f>
        <v>0</v>
      </c>
      <c r="AL129" s="25">
        <f>IF(B129="","",IFERROR(INDEX(Loyalty!$P$5:$P$504,MATCH(A129,Loyalty!$B$5:$B$504,0))*1,0))</f>
        <v>0</v>
      </c>
      <c r="AM129" s="39">
        <f>IF(B129="","",IF(R129="Archived","Archived",IF(T129=0,"Not been yet",IF(Z129&gt;=InactiveDays,"Inactive",IF(Z129&gt;=LapsingDays,"Lapsing",IF(T129=1,"New",IF(AH129&gt;=VipSpend,"VIP",IF(U129&gt;=4,"Regular","Active"))))))))</f>
        <v>0</v>
      </c>
      <c r="AN129" s="38">
        <f>IF(B129="","",IF(T129&gt;=2,"Yes","No"))</f>
        <v>0</v>
      </c>
      <c r="AO129" s="25">
        <f>IF(B129="","",COUNTIFS($AE$5:$AE$504,"&gt;"&amp;AE129)+COUNTIFS($AE$5:AE129,AE129))</f>
        <v>0</v>
      </c>
      <c r="AP129" s="25">
        <f>IF(B129="","",COUNTIFS($T$5:$T$504,"&gt;"&amp;T129)+COUNTIFS($T$5:T129,T129))</f>
        <v>0</v>
      </c>
      <c r="AQ129" s="39">
        <f>IF(B129="","",IF(COUNTIF($B$5:$B$504,B129)&gt;1,"Duplicate - same name twice",IF(R129="Archived","",IF(AK129&gt;0.004,"Chase - balance outstanding",IF(AM129="Inactive","Gone - win-back offer",IF(AM129="Lapsing","Chase - lapsing, call them",IF(IF(N129="",FALSE,TodayDate-N129&gt;PatchTestDays),"Due - patch test out of date",IF(IF(AD129="",FALSE,IF(AB129&lt;&gt;"",FALSE,AD129&lt;=TodayDate+14)),"Rebook - due and nothing booked",IF(IF(K129="",FALSE,ABS(DATE(YEAR(TodayDate),MONTH(K129),DAY(K129))-TodayDate)&lt;=7),"Birthday - send the treat","OK")))))))))</f>
        <v>0</v>
      </c>
    </row>
    <row r="130" spans="1:43">
      <c r="A130" s="28">
        <f>IF(B130="","",ClientPrefix&amp;TEXT(ROW()-4,"0000"))</f>
        <v>0</v>
      </c>
      <c r="J130" s="15">
        <f>IF(I130="","",IFERROR(INDEX(Staff!$B$5:$B$44,MATCH(I130,Staff!$A$5:$A$44,0)),"Not in Staff"))</f>
        <v>0</v>
      </c>
      <c r="T130" s="25">
        <f>IF(B130="","",COUNTIFS(Appointments!$E$5:$E$1204,A130,Appointments!$M$5:$M$1204,"Completed"))</f>
        <v>0</v>
      </c>
      <c r="U130" s="25">
        <f>IF(B130="","",COUNTIFS(Appointments!$E$5:$E$1204,A130,Appointments!$M$5:$M$1204,"Completed",Appointments!$B$5:$B$1204,"&gt;="&amp;TodayDate-365))</f>
        <v>0</v>
      </c>
      <c r="V130" s="25">
        <f>IF(B130="","",COUNTIFS(Appointments!$E$5:$E$1204,A130,Appointments!$M$5:$M$1204,"Cancelled"))</f>
        <v>0</v>
      </c>
      <c r="W130" s="25">
        <f>IF(B130="","",COUNTIFS(Appointments!$E$5:$E$1204,A130,Appointments!$M$5:$M$1204,"No show"))</f>
        <v>0</v>
      </c>
      <c r="X130" s="17">
        <f>IF(B130="","",IF(F130&lt;&gt;"",F130,IF(T130=0,"",SUMPRODUCT(MIN((Appointments!$E$5:$E$1204=A130)*(Appointments!$M$5:$M$1204="Completed")*Appointments!$B$5:$B$1204+(1-(Appointments!$E$5:$E$1204=A130)*(Appointments!$M$5:$M$1204="Completed"))*2958465)))))</f>
        <v>0</v>
      </c>
      <c r="Y130" s="17">
        <f>IF(B130="","",IF(T130=0,"",SUMPRODUCT(MAX((Appointments!$E$5:$E$1204=A130)*(Appointments!$M$5:$M$1204="Completed")*Appointments!$B$5:$B$1204))))</f>
        <v>0</v>
      </c>
      <c r="Z130" s="25">
        <f>IF(B130="","",IF(Y130="","",TodayDate-Y130))</f>
        <v>0</v>
      </c>
      <c r="AA130" s="42">
        <f>IF(B130="","",SUMPRODUCT(MIN((Appointments!$E$5:$E$1204=A130)*(Appointments!$M$5:$M$1204&lt;&gt;"Cancelled")*(Appointments!$M$5:$M$1204&lt;&gt;"Completed")*(Appointments!$M$5:$M$1204&lt;&gt;"No show")*(Appointments!$B$5:$B$1204&gt;=TodayDate)*Appointments!$B$5:$B$1204+(1-(Appointments!$E$5:$E$1204=A130)*(Appointments!$M$5:$M$1204&lt;&gt;"Cancelled")*(Appointments!$M$5:$M$1204&lt;&gt;"Completed")*(Appointments!$M$5:$M$1204&lt;&gt;"No show")*(Appointments!$B$5:$B$1204&gt;=TodayDate))*2958465)))</f>
        <v>0</v>
      </c>
      <c r="AB130" s="17">
        <f>IF(B130="","",IF(AA130&gt;=2958465,"",AA130))</f>
        <v>0</v>
      </c>
      <c r="AC130" s="25">
        <f>IF(B130="","",IF(T130&lt;2,"",ROUND((Y130-X130)/MAX(1,T130-1),0)))</f>
        <v>0</v>
      </c>
      <c r="AD130" s="17">
        <f>IF(B130="","",IF(Y130="","",Y130+IF(AC130="",RebookWeeks*7,MAX(14,AC130))))</f>
        <v>0</v>
      </c>
      <c r="AE130" s="26">
        <f>IF(B130="","",ROUND(SUMIFS(Sales!$Y$5:$Y$1204,Sales!$D$5:$D$1204,A130),2))</f>
        <v>0</v>
      </c>
      <c r="AF130" s="26">
        <f>IF(B130="","",ROUND(SUMIFS(Sales!$Y$5:$Y$1204,Sales!$D$5:$D$1204,A130,Sales!$H$5:$H$1204,"Service"),2))</f>
        <v>0</v>
      </c>
      <c r="AG130" s="26">
        <f>IF(B130="","",ROUND(SUMIFS(Sales!$Y$5:$Y$1204,Sales!$D$5:$D$1204,A130,Sales!$H$5:$H$1204,"Retail"),2))</f>
        <v>0</v>
      </c>
      <c r="AH130" s="26">
        <f>IF(B130="","",ROUND(SUMIFS(Sales!$Y$5:$Y$1204,Sales!$D$5:$D$1204,A130,Sales!$B$5:$B$1204,"&gt;="&amp;TodayDate-365),2))</f>
        <v>0</v>
      </c>
      <c r="AI130" s="26">
        <f>IF(B130="","",IF(T130=0,"",ROUND(AE130/T130,2)))</f>
        <v>0</v>
      </c>
      <c r="AJ130" s="26">
        <f>IF(B130="","",IF(AI130="","",IF(AC130="","",ROUND(AI130*(365/MAX(14,AC130)),2))))</f>
        <v>0</v>
      </c>
      <c r="AK130" s="26">
        <f>IF(B130="","",ROUND(SUMIFS(Sales!$AH$5:$AH$1204,Sales!$D$5:$D$1204,A130),2))</f>
        <v>0</v>
      </c>
      <c r="AL130" s="25">
        <f>IF(B130="","",IFERROR(INDEX(Loyalty!$P$5:$P$504,MATCH(A130,Loyalty!$B$5:$B$504,0))*1,0))</f>
        <v>0</v>
      </c>
      <c r="AM130" s="39">
        <f>IF(B130="","",IF(R130="Archived","Archived",IF(T130=0,"Not been yet",IF(Z130&gt;=InactiveDays,"Inactive",IF(Z130&gt;=LapsingDays,"Lapsing",IF(T130=1,"New",IF(AH130&gt;=VipSpend,"VIP",IF(U130&gt;=4,"Regular","Active"))))))))</f>
        <v>0</v>
      </c>
      <c r="AN130" s="38">
        <f>IF(B130="","",IF(T130&gt;=2,"Yes","No"))</f>
        <v>0</v>
      </c>
      <c r="AO130" s="25">
        <f>IF(B130="","",COUNTIFS($AE$5:$AE$504,"&gt;"&amp;AE130)+COUNTIFS($AE$5:AE130,AE130))</f>
        <v>0</v>
      </c>
      <c r="AP130" s="25">
        <f>IF(B130="","",COUNTIFS($T$5:$T$504,"&gt;"&amp;T130)+COUNTIFS($T$5:T130,T130))</f>
        <v>0</v>
      </c>
      <c r="AQ130" s="39">
        <f>IF(B130="","",IF(COUNTIF($B$5:$B$504,B130)&gt;1,"Duplicate - same name twice",IF(R130="Archived","",IF(AK130&gt;0.004,"Chase - balance outstanding",IF(AM130="Inactive","Gone - win-back offer",IF(AM130="Lapsing","Chase - lapsing, call them",IF(IF(N130="",FALSE,TodayDate-N130&gt;PatchTestDays),"Due - patch test out of date",IF(IF(AD130="",FALSE,IF(AB130&lt;&gt;"",FALSE,AD130&lt;=TodayDate+14)),"Rebook - due and nothing booked",IF(IF(K130="",FALSE,ABS(DATE(YEAR(TodayDate),MONTH(K130),DAY(K130))-TodayDate)&lt;=7),"Birthday - send the treat","OK")))))))))</f>
        <v>0</v>
      </c>
    </row>
    <row r="131" spans="1:43">
      <c r="A131" s="28">
        <f>IF(B131="","",ClientPrefix&amp;TEXT(ROW()-4,"0000"))</f>
        <v>0</v>
      </c>
      <c r="J131" s="15">
        <f>IF(I131="","",IFERROR(INDEX(Staff!$B$5:$B$44,MATCH(I131,Staff!$A$5:$A$44,0)),"Not in Staff"))</f>
        <v>0</v>
      </c>
      <c r="T131" s="25">
        <f>IF(B131="","",COUNTIFS(Appointments!$E$5:$E$1204,A131,Appointments!$M$5:$M$1204,"Completed"))</f>
        <v>0</v>
      </c>
      <c r="U131" s="25">
        <f>IF(B131="","",COUNTIFS(Appointments!$E$5:$E$1204,A131,Appointments!$M$5:$M$1204,"Completed",Appointments!$B$5:$B$1204,"&gt;="&amp;TodayDate-365))</f>
        <v>0</v>
      </c>
      <c r="V131" s="25">
        <f>IF(B131="","",COUNTIFS(Appointments!$E$5:$E$1204,A131,Appointments!$M$5:$M$1204,"Cancelled"))</f>
        <v>0</v>
      </c>
      <c r="W131" s="25">
        <f>IF(B131="","",COUNTIFS(Appointments!$E$5:$E$1204,A131,Appointments!$M$5:$M$1204,"No show"))</f>
        <v>0</v>
      </c>
      <c r="X131" s="17">
        <f>IF(B131="","",IF(F131&lt;&gt;"",F131,IF(T131=0,"",SUMPRODUCT(MIN((Appointments!$E$5:$E$1204=A131)*(Appointments!$M$5:$M$1204="Completed")*Appointments!$B$5:$B$1204+(1-(Appointments!$E$5:$E$1204=A131)*(Appointments!$M$5:$M$1204="Completed"))*2958465)))))</f>
        <v>0</v>
      </c>
      <c r="Y131" s="17">
        <f>IF(B131="","",IF(T131=0,"",SUMPRODUCT(MAX((Appointments!$E$5:$E$1204=A131)*(Appointments!$M$5:$M$1204="Completed")*Appointments!$B$5:$B$1204))))</f>
        <v>0</v>
      </c>
      <c r="Z131" s="25">
        <f>IF(B131="","",IF(Y131="","",TodayDate-Y131))</f>
        <v>0</v>
      </c>
      <c r="AA131" s="42">
        <f>IF(B131="","",SUMPRODUCT(MIN((Appointments!$E$5:$E$1204=A131)*(Appointments!$M$5:$M$1204&lt;&gt;"Cancelled")*(Appointments!$M$5:$M$1204&lt;&gt;"Completed")*(Appointments!$M$5:$M$1204&lt;&gt;"No show")*(Appointments!$B$5:$B$1204&gt;=TodayDate)*Appointments!$B$5:$B$1204+(1-(Appointments!$E$5:$E$1204=A131)*(Appointments!$M$5:$M$1204&lt;&gt;"Cancelled")*(Appointments!$M$5:$M$1204&lt;&gt;"Completed")*(Appointments!$M$5:$M$1204&lt;&gt;"No show")*(Appointments!$B$5:$B$1204&gt;=TodayDate))*2958465)))</f>
        <v>0</v>
      </c>
      <c r="AB131" s="17">
        <f>IF(B131="","",IF(AA131&gt;=2958465,"",AA131))</f>
        <v>0</v>
      </c>
      <c r="AC131" s="25">
        <f>IF(B131="","",IF(T131&lt;2,"",ROUND((Y131-X131)/MAX(1,T131-1),0)))</f>
        <v>0</v>
      </c>
      <c r="AD131" s="17">
        <f>IF(B131="","",IF(Y131="","",Y131+IF(AC131="",RebookWeeks*7,MAX(14,AC131))))</f>
        <v>0</v>
      </c>
      <c r="AE131" s="26">
        <f>IF(B131="","",ROUND(SUMIFS(Sales!$Y$5:$Y$1204,Sales!$D$5:$D$1204,A131),2))</f>
        <v>0</v>
      </c>
      <c r="AF131" s="26">
        <f>IF(B131="","",ROUND(SUMIFS(Sales!$Y$5:$Y$1204,Sales!$D$5:$D$1204,A131,Sales!$H$5:$H$1204,"Service"),2))</f>
        <v>0</v>
      </c>
      <c r="AG131" s="26">
        <f>IF(B131="","",ROUND(SUMIFS(Sales!$Y$5:$Y$1204,Sales!$D$5:$D$1204,A131,Sales!$H$5:$H$1204,"Retail"),2))</f>
        <v>0</v>
      </c>
      <c r="AH131" s="26">
        <f>IF(B131="","",ROUND(SUMIFS(Sales!$Y$5:$Y$1204,Sales!$D$5:$D$1204,A131,Sales!$B$5:$B$1204,"&gt;="&amp;TodayDate-365),2))</f>
        <v>0</v>
      </c>
      <c r="AI131" s="26">
        <f>IF(B131="","",IF(T131=0,"",ROUND(AE131/T131,2)))</f>
        <v>0</v>
      </c>
      <c r="AJ131" s="26">
        <f>IF(B131="","",IF(AI131="","",IF(AC131="","",ROUND(AI131*(365/MAX(14,AC131)),2))))</f>
        <v>0</v>
      </c>
      <c r="AK131" s="26">
        <f>IF(B131="","",ROUND(SUMIFS(Sales!$AH$5:$AH$1204,Sales!$D$5:$D$1204,A131),2))</f>
        <v>0</v>
      </c>
      <c r="AL131" s="25">
        <f>IF(B131="","",IFERROR(INDEX(Loyalty!$P$5:$P$504,MATCH(A131,Loyalty!$B$5:$B$504,0))*1,0))</f>
        <v>0</v>
      </c>
      <c r="AM131" s="39">
        <f>IF(B131="","",IF(R131="Archived","Archived",IF(T131=0,"Not been yet",IF(Z131&gt;=InactiveDays,"Inactive",IF(Z131&gt;=LapsingDays,"Lapsing",IF(T131=1,"New",IF(AH131&gt;=VipSpend,"VIP",IF(U131&gt;=4,"Regular","Active"))))))))</f>
        <v>0</v>
      </c>
      <c r="AN131" s="38">
        <f>IF(B131="","",IF(T131&gt;=2,"Yes","No"))</f>
        <v>0</v>
      </c>
      <c r="AO131" s="25">
        <f>IF(B131="","",COUNTIFS($AE$5:$AE$504,"&gt;"&amp;AE131)+COUNTIFS($AE$5:AE131,AE131))</f>
        <v>0</v>
      </c>
      <c r="AP131" s="25">
        <f>IF(B131="","",COUNTIFS($T$5:$T$504,"&gt;"&amp;T131)+COUNTIFS($T$5:T131,T131))</f>
        <v>0</v>
      </c>
      <c r="AQ131" s="39">
        <f>IF(B131="","",IF(COUNTIF($B$5:$B$504,B131)&gt;1,"Duplicate - same name twice",IF(R131="Archived","",IF(AK131&gt;0.004,"Chase - balance outstanding",IF(AM131="Inactive","Gone - win-back offer",IF(AM131="Lapsing","Chase - lapsing, call them",IF(IF(N131="",FALSE,TodayDate-N131&gt;PatchTestDays),"Due - patch test out of date",IF(IF(AD131="",FALSE,IF(AB131&lt;&gt;"",FALSE,AD131&lt;=TodayDate+14)),"Rebook - due and nothing booked",IF(IF(K131="",FALSE,ABS(DATE(YEAR(TodayDate),MONTH(K131),DAY(K131))-TodayDate)&lt;=7),"Birthday - send the treat","OK")))))))))</f>
        <v>0</v>
      </c>
    </row>
    <row r="132" spans="1:43">
      <c r="A132" s="28">
        <f>IF(B132="","",ClientPrefix&amp;TEXT(ROW()-4,"0000"))</f>
        <v>0</v>
      </c>
      <c r="J132" s="15">
        <f>IF(I132="","",IFERROR(INDEX(Staff!$B$5:$B$44,MATCH(I132,Staff!$A$5:$A$44,0)),"Not in Staff"))</f>
        <v>0</v>
      </c>
      <c r="T132" s="25">
        <f>IF(B132="","",COUNTIFS(Appointments!$E$5:$E$1204,A132,Appointments!$M$5:$M$1204,"Completed"))</f>
        <v>0</v>
      </c>
      <c r="U132" s="25">
        <f>IF(B132="","",COUNTIFS(Appointments!$E$5:$E$1204,A132,Appointments!$M$5:$M$1204,"Completed",Appointments!$B$5:$B$1204,"&gt;="&amp;TodayDate-365))</f>
        <v>0</v>
      </c>
      <c r="V132" s="25">
        <f>IF(B132="","",COUNTIFS(Appointments!$E$5:$E$1204,A132,Appointments!$M$5:$M$1204,"Cancelled"))</f>
        <v>0</v>
      </c>
      <c r="W132" s="25">
        <f>IF(B132="","",COUNTIFS(Appointments!$E$5:$E$1204,A132,Appointments!$M$5:$M$1204,"No show"))</f>
        <v>0</v>
      </c>
      <c r="X132" s="17">
        <f>IF(B132="","",IF(F132&lt;&gt;"",F132,IF(T132=0,"",SUMPRODUCT(MIN((Appointments!$E$5:$E$1204=A132)*(Appointments!$M$5:$M$1204="Completed")*Appointments!$B$5:$B$1204+(1-(Appointments!$E$5:$E$1204=A132)*(Appointments!$M$5:$M$1204="Completed"))*2958465)))))</f>
        <v>0</v>
      </c>
      <c r="Y132" s="17">
        <f>IF(B132="","",IF(T132=0,"",SUMPRODUCT(MAX((Appointments!$E$5:$E$1204=A132)*(Appointments!$M$5:$M$1204="Completed")*Appointments!$B$5:$B$1204))))</f>
        <v>0</v>
      </c>
      <c r="Z132" s="25">
        <f>IF(B132="","",IF(Y132="","",TodayDate-Y132))</f>
        <v>0</v>
      </c>
      <c r="AA132" s="42">
        <f>IF(B132="","",SUMPRODUCT(MIN((Appointments!$E$5:$E$1204=A132)*(Appointments!$M$5:$M$1204&lt;&gt;"Cancelled")*(Appointments!$M$5:$M$1204&lt;&gt;"Completed")*(Appointments!$M$5:$M$1204&lt;&gt;"No show")*(Appointments!$B$5:$B$1204&gt;=TodayDate)*Appointments!$B$5:$B$1204+(1-(Appointments!$E$5:$E$1204=A132)*(Appointments!$M$5:$M$1204&lt;&gt;"Cancelled")*(Appointments!$M$5:$M$1204&lt;&gt;"Completed")*(Appointments!$M$5:$M$1204&lt;&gt;"No show")*(Appointments!$B$5:$B$1204&gt;=TodayDate))*2958465)))</f>
        <v>0</v>
      </c>
      <c r="AB132" s="17">
        <f>IF(B132="","",IF(AA132&gt;=2958465,"",AA132))</f>
        <v>0</v>
      </c>
      <c r="AC132" s="25">
        <f>IF(B132="","",IF(T132&lt;2,"",ROUND((Y132-X132)/MAX(1,T132-1),0)))</f>
        <v>0</v>
      </c>
      <c r="AD132" s="17">
        <f>IF(B132="","",IF(Y132="","",Y132+IF(AC132="",RebookWeeks*7,MAX(14,AC132))))</f>
        <v>0</v>
      </c>
      <c r="AE132" s="26">
        <f>IF(B132="","",ROUND(SUMIFS(Sales!$Y$5:$Y$1204,Sales!$D$5:$D$1204,A132),2))</f>
        <v>0</v>
      </c>
      <c r="AF132" s="26">
        <f>IF(B132="","",ROUND(SUMIFS(Sales!$Y$5:$Y$1204,Sales!$D$5:$D$1204,A132,Sales!$H$5:$H$1204,"Service"),2))</f>
        <v>0</v>
      </c>
      <c r="AG132" s="26">
        <f>IF(B132="","",ROUND(SUMIFS(Sales!$Y$5:$Y$1204,Sales!$D$5:$D$1204,A132,Sales!$H$5:$H$1204,"Retail"),2))</f>
        <v>0</v>
      </c>
      <c r="AH132" s="26">
        <f>IF(B132="","",ROUND(SUMIFS(Sales!$Y$5:$Y$1204,Sales!$D$5:$D$1204,A132,Sales!$B$5:$B$1204,"&gt;="&amp;TodayDate-365),2))</f>
        <v>0</v>
      </c>
      <c r="AI132" s="26">
        <f>IF(B132="","",IF(T132=0,"",ROUND(AE132/T132,2)))</f>
        <v>0</v>
      </c>
      <c r="AJ132" s="26">
        <f>IF(B132="","",IF(AI132="","",IF(AC132="","",ROUND(AI132*(365/MAX(14,AC132)),2))))</f>
        <v>0</v>
      </c>
      <c r="AK132" s="26">
        <f>IF(B132="","",ROUND(SUMIFS(Sales!$AH$5:$AH$1204,Sales!$D$5:$D$1204,A132),2))</f>
        <v>0</v>
      </c>
      <c r="AL132" s="25">
        <f>IF(B132="","",IFERROR(INDEX(Loyalty!$P$5:$P$504,MATCH(A132,Loyalty!$B$5:$B$504,0))*1,0))</f>
        <v>0</v>
      </c>
      <c r="AM132" s="39">
        <f>IF(B132="","",IF(R132="Archived","Archived",IF(T132=0,"Not been yet",IF(Z132&gt;=InactiveDays,"Inactive",IF(Z132&gt;=LapsingDays,"Lapsing",IF(T132=1,"New",IF(AH132&gt;=VipSpend,"VIP",IF(U132&gt;=4,"Regular","Active"))))))))</f>
        <v>0</v>
      </c>
      <c r="AN132" s="38">
        <f>IF(B132="","",IF(T132&gt;=2,"Yes","No"))</f>
        <v>0</v>
      </c>
      <c r="AO132" s="25">
        <f>IF(B132="","",COUNTIFS($AE$5:$AE$504,"&gt;"&amp;AE132)+COUNTIFS($AE$5:AE132,AE132))</f>
        <v>0</v>
      </c>
      <c r="AP132" s="25">
        <f>IF(B132="","",COUNTIFS($T$5:$T$504,"&gt;"&amp;T132)+COUNTIFS($T$5:T132,T132))</f>
        <v>0</v>
      </c>
      <c r="AQ132" s="39">
        <f>IF(B132="","",IF(COUNTIF($B$5:$B$504,B132)&gt;1,"Duplicate - same name twice",IF(R132="Archived","",IF(AK132&gt;0.004,"Chase - balance outstanding",IF(AM132="Inactive","Gone - win-back offer",IF(AM132="Lapsing","Chase - lapsing, call them",IF(IF(N132="",FALSE,TodayDate-N132&gt;PatchTestDays),"Due - patch test out of date",IF(IF(AD132="",FALSE,IF(AB132&lt;&gt;"",FALSE,AD132&lt;=TodayDate+14)),"Rebook - due and nothing booked",IF(IF(K132="",FALSE,ABS(DATE(YEAR(TodayDate),MONTH(K132),DAY(K132))-TodayDate)&lt;=7),"Birthday - send the treat","OK")))))))))</f>
        <v>0</v>
      </c>
    </row>
    <row r="133" spans="1:43">
      <c r="A133" s="28">
        <f>IF(B133="","",ClientPrefix&amp;TEXT(ROW()-4,"0000"))</f>
        <v>0</v>
      </c>
      <c r="J133" s="15">
        <f>IF(I133="","",IFERROR(INDEX(Staff!$B$5:$B$44,MATCH(I133,Staff!$A$5:$A$44,0)),"Not in Staff"))</f>
        <v>0</v>
      </c>
      <c r="T133" s="25">
        <f>IF(B133="","",COUNTIFS(Appointments!$E$5:$E$1204,A133,Appointments!$M$5:$M$1204,"Completed"))</f>
        <v>0</v>
      </c>
      <c r="U133" s="25">
        <f>IF(B133="","",COUNTIFS(Appointments!$E$5:$E$1204,A133,Appointments!$M$5:$M$1204,"Completed",Appointments!$B$5:$B$1204,"&gt;="&amp;TodayDate-365))</f>
        <v>0</v>
      </c>
      <c r="V133" s="25">
        <f>IF(B133="","",COUNTIFS(Appointments!$E$5:$E$1204,A133,Appointments!$M$5:$M$1204,"Cancelled"))</f>
        <v>0</v>
      </c>
      <c r="W133" s="25">
        <f>IF(B133="","",COUNTIFS(Appointments!$E$5:$E$1204,A133,Appointments!$M$5:$M$1204,"No show"))</f>
        <v>0</v>
      </c>
      <c r="X133" s="17">
        <f>IF(B133="","",IF(F133&lt;&gt;"",F133,IF(T133=0,"",SUMPRODUCT(MIN((Appointments!$E$5:$E$1204=A133)*(Appointments!$M$5:$M$1204="Completed")*Appointments!$B$5:$B$1204+(1-(Appointments!$E$5:$E$1204=A133)*(Appointments!$M$5:$M$1204="Completed"))*2958465)))))</f>
        <v>0</v>
      </c>
      <c r="Y133" s="17">
        <f>IF(B133="","",IF(T133=0,"",SUMPRODUCT(MAX((Appointments!$E$5:$E$1204=A133)*(Appointments!$M$5:$M$1204="Completed")*Appointments!$B$5:$B$1204))))</f>
        <v>0</v>
      </c>
      <c r="Z133" s="25">
        <f>IF(B133="","",IF(Y133="","",TodayDate-Y133))</f>
        <v>0</v>
      </c>
      <c r="AA133" s="42">
        <f>IF(B133="","",SUMPRODUCT(MIN((Appointments!$E$5:$E$1204=A133)*(Appointments!$M$5:$M$1204&lt;&gt;"Cancelled")*(Appointments!$M$5:$M$1204&lt;&gt;"Completed")*(Appointments!$M$5:$M$1204&lt;&gt;"No show")*(Appointments!$B$5:$B$1204&gt;=TodayDate)*Appointments!$B$5:$B$1204+(1-(Appointments!$E$5:$E$1204=A133)*(Appointments!$M$5:$M$1204&lt;&gt;"Cancelled")*(Appointments!$M$5:$M$1204&lt;&gt;"Completed")*(Appointments!$M$5:$M$1204&lt;&gt;"No show")*(Appointments!$B$5:$B$1204&gt;=TodayDate))*2958465)))</f>
        <v>0</v>
      </c>
      <c r="AB133" s="17">
        <f>IF(B133="","",IF(AA133&gt;=2958465,"",AA133))</f>
        <v>0</v>
      </c>
      <c r="AC133" s="25">
        <f>IF(B133="","",IF(T133&lt;2,"",ROUND((Y133-X133)/MAX(1,T133-1),0)))</f>
        <v>0</v>
      </c>
      <c r="AD133" s="17">
        <f>IF(B133="","",IF(Y133="","",Y133+IF(AC133="",RebookWeeks*7,MAX(14,AC133))))</f>
        <v>0</v>
      </c>
      <c r="AE133" s="26">
        <f>IF(B133="","",ROUND(SUMIFS(Sales!$Y$5:$Y$1204,Sales!$D$5:$D$1204,A133),2))</f>
        <v>0</v>
      </c>
      <c r="AF133" s="26">
        <f>IF(B133="","",ROUND(SUMIFS(Sales!$Y$5:$Y$1204,Sales!$D$5:$D$1204,A133,Sales!$H$5:$H$1204,"Service"),2))</f>
        <v>0</v>
      </c>
      <c r="AG133" s="26">
        <f>IF(B133="","",ROUND(SUMIFS(Sales!$Y$5:$Y$1204,Sales!$D$5:$D$1204,A133,Sales!$H$5:$H$1204,"Retail"),2))</f>
        <v>0</v>
      </c>
      <c r="AH133" s="26">
        <f>IF(B133="","",ROUND(SUMIFS(Sales!$Y$5:$Y$1204,Sales!$D$5:$D$1204,A133,Sales!$B$5:$B$1204,"&gt;="&amp;TodayDate-365),2))</f>
        <v>0</v>
      </c>
      <c r="AI133" s="26">
        <f>IF(B133="","",IF(T133=0,"",ROUND(AE133/T133,2)))</f>
        <v>0</v>
      </c>
      <c r="AJ133" s="26">
        <f>IF(B133="","",IF(AI133="","",IF(AC133="","",ROUND(AI133*(365/MAX(14,AC133)),2))))</f>
        <v>0</v>
      </c>
      <c r="AK133" s="26">
        <f>IF(B133="","",ROUND(SUMIFS(Sales!$AH$5:$AH$1204,Sales!$D$5:$D$1204,A133),2))</f>
        <v>0</v>
      </c>
      <c r="AL133" s="25">
        <f>IF(B133="","",IFERROR(INDEX(Loyalty!$P$5:$P$504,MATCH(A133,Loyalty!$B$5:$B$504,0))*1,0))</f>
        <v>0</v>
      </c>
      <c r="AM133" s="39">
        <f>IF(B133="","",IF(R133="Archived","Archived",IF(T133=0,"Not been yet",IF(Z133&gt;=InactiveDays,"Inactive",IF(Z133&gt;=LapsingDays,"Lapsing",IF(T133=1,"New",IF(AH133&gt;=VipSpend,"VIP",IF(U133&gt;=4,"Regular","Active"))))))))</f>
        <v>0</v>
      </c>
      <c r="AN133" s="38">
        <f>IF(B133="","",IF(T133&gt;=2,"Yes","No"))</f>
        <v>0</v>
      </c>
      <c r="AO133" s="25">
        <f>IF(B133="","",COUNTIFS($AE$5:$AE$504,"&gt;"&amp;AE133)+COUNTIFS($AE$5:AE133,AE133))</f>
        <v>0</v>
      </c>
      <c r="AP133" s="25">
        <f>IF(B133="","",COUNTIFS($T$5:$T$504,"&gt;"&amp;T133)+COUNTIFS($T$5:T133,T133))</f>
        <v>0</v>
      </c>
      <c r="AQ133" s="39">
        <f>IF(B133="","",IF(COUNTIF($B$5:$B$504,B133)&gt;1,"Duplicate - same name twice",IF(R133="Archived","",IF(AK133&gt;0.004,"Chase - balance outstanding",IF(AM133="Inactive","Gone - win-back offer",IF(AM133="Lapsing","Chase - lapsing, call them",IF(IF(N133="",FALSE,TodayDate-N133&gt;PatchTestDays),"Due - patch test out of date",IF(IF(AD133="",FALSE,IF(AB133&lt;&gt;"",FALSE,AD133&lt;=TodayDate+14)),"Rebook - due and nothing booked",IF(IF(K133="",FALSE,ABS(DATE(YEAR(TodayDate),MONTH(K133),DAY(K133))-TodayDate)&lt;=7),"Birthday - send the treat","OK")))))))))</f>
        <v>0</v>
      </c>
    </row>
    <row r="134" spans="1:43">
      <c r="A134" s="28">
        <f>IF(B134="","",ClientPrefix&amp;TEXT(ROW()-4,"0000"))</f>
        <v>0</v>
      </c>
      <c r="J134" s="15">
        <f>IF(I134="","",IFERROR(INDEX(Staff!$B$5:$B$44,MATCH(I134,Staff!$A$5:$A$44,0)),"Not in Staff"))</f>
        <v>0</v>
      </c>
      <c r="T134" s="25">
        <f>IF(B134="","",COUNTIFS(Appointments!$E$5:$E$1204,A134,Appointments!$M$5:$M$1204,"Completed"))</f>
        <v>0</v>
      </c>
      <c r="U134" s="25">
        <f>IF(B134="","",COUNTIFS(Appointments!$E$5:$E$1204,A134,Appointments!$M$5:$M$1204,"Completed",Appointments!$B$5:$B$1204,"&gt;="&amp;TodayDate-365))</f>
        <v>0</v>
      </c>
      <c r="V134" s="25">
        <f>IF(B134="","",COUNTIFS(Appointments!$E$5:$E$1204,A134,Appointments!$M$5:$M$1204,"Cancelled"))</f>
        <v>0</v>
      </c>
      <c r="W134" s="25">
        <f>IF(B134="","",COUNTIFS(Appointments!$E$5:$E$1204,A134,Appointments!$M$5:$M$1204,"No show"))</f>
        <v>0</v>
      </c>
      <c r="X134" s="17">
        <f>IF(B134="","",IF(F134&lt;&gt;"",F134,IF(T134=0,"",SUMPRODUCT(MIN((Appointments!$E$5:$E$1204=A134)*(Appointments!$M$5:$M$1204="Completed")*Appointments!$B$5:$B$1204+(1-(Appointments!$E$5:$E$1204=A134)*(Appointments!$M$5:$M$1204="Completed"))*2958465)))))</f>
        <v>0</v>
      </c>
      <c r="Y134" s="17">
        <f>IF(B134="","",IF(T134=0,"",SUMPRODUCT(MAX((Appointments!$E$5:$E$1204=A134)*(Appointments!$M$5:$M$1204="Completed")*Appointments!$B$5:$B$1204))))</f>
        <v>0</v>
      </c>
      <c r="Z134" s="25">
        <f>IF(B134="","",IF(Y134="","",TodayDate-Y134))</f>
        <v>0</v>
      </c>
      <c r="AA134" s="42">
        <f>IF(B134="","",SUMPRODUCT(MIN((Appointments!$E$5:$E$1204=A134)*(Appointments!$M$5:$M$1204&lt;&gt;"Cancelled")*(Appointments!$M$5:$M$1204&lt;&gt;"Completed")*(Appointments!$M$5:$M$1204&lt;&gt;"No show")*(Appointments!$B$5:$B$1204&gt;=TodayDate)*Appointments!$B$5:$B$1204+(1-(Appointments!$E$5:$E$1204=A134)*(Appointments!$M$5:$M$1204&lt;&gt;"Cancelled")*(Appointments!$M$5:$M$1204&lt;&gt;"Completed")*(Appointments!$M$5:$M$1204&lt;&gt;"No show")*(Appointments!$B$5:$B$1204&gt;=TodayDate))*2958465)))</f>
        <v>0</v>
      </c>
      <c r="AB134" s="17">
        <f>IF(B134="","",IF(AA134&gt;=2958465,"",AA134))</f>
        <v>0</v>
      </c>
      <c r="AC134" s="25">
        <f>IF(B134="","",IF(T134&lt;2,"",ROUND((Y134-X134)/MAX(1,T134-1),0)))</f>
        <v>0</v>
      </c>
      <c r="AD134" s="17">
        <f>IF(B134="","",IF(Y134="","",Y134+IF(AC134="",RebookWeeks*7,MAX(14,AC134))))</f>
        <v>0</v>
      </c>
      <c r="AE134" s="26">
        <f>IF(B134="","",ROUND(SUMIFS(Sales!$Y$5:$Y$1204,Sales!$D$5:$D$1204,A134),2))</f>
        <v>0</v>
      </c>
      <c r="AF134" s="26">
        <f>IF(B134="","",ROUND(SUMIFS(Sales!$Y$5:$Y$1204,Sales!$D$5:$D$1204,A134,Sales!$H$5:$H$1204,"Service"),2))</f>
        <v>0</v>
      </c>
      <c r="AG134" s="26">
        <f>IF(B134="","",ROUND(SUMIFS(Sales!$Y$5:$Y$1204,Sales!$D$5:$D$1204,A134,Sales!$H$5:$H$1204,"Retail"),2))</f>
        <v>0</v>
      </c>
      <c r="AH134" s="26">
        <f>IF(B134="","",ROUND(SUMIFS(Sales!$Y$5:$Y$1204,Sales!$D$5:$D$1204,A134,Sales!$B$5:$B$1204,"&gt;="&amp;TodayDate-365),2))</f>
        <v>0</v>
      </c>
      <c r="AI134" s="26">
        <f>IF(B134="","",IF(T134=0,"",ROUND(AE134/T134,2)))</f>
        <v>0</v>
      </c>
      <c r="AJ134" s="26">
        <f>IF(B134="","",IF(AI134="","",IF(AC134="","",ROUND(AI134*(365/MAX(14,AC134)),2))))</f>
        <v>0</v>
      </c>
      <c r="AK134" s="26">
        <f>IF(B134="","",ROUND(SUMIFS(Sales!$AH$5:$AH$1204,Sales!$D$5:$D$1204,A134),2))</f>
        <v>0</v>
      </c>
      <c r="AL134" s="25">
        <f>IF(B134="","",IFERROR(INDEX(Loyalty!$P$5:$P$504,MATCH(A134,Loyalty!$B$5:$B$504,0))*1,0))</f>
        <v>0</v>
      </c>
      <c r="AM134" s="39">
        <f>IF(B134="","",IF(R134="Archived","Archived",IF(T134=0,"Not been yet",IF(Z134&gt;=InactiveDays,"Inactive",IF(Z134&gt;=LapsingDays,"Lapsing",IF(T134=1,"New",IF(AH134&gt;=VipSpend,"VIP",IF(U134&gt;=4,"Regular","Active"))))))))</f>
        <v>0</v>
      </c>
      <c r="AN134" s="38">
        <f>IF(B134="","",IF(T134&gt;=2,"Yes","No"))</f>
        <v>0</v>
      </c>
      <c r="AO134" s="25">
        <f>IF(B134="","",COUNTIFS($AE$5:$AE$504,"&gt;"&amp;AE134)+COUNTIFS($AE$5:AE134,AE134))</f>
        <v>0</v>
      </c>
      <c r="AP134" s="25">
        <f>IF(B134="","",COUNTIFS($T$5:$T$504,"&gt;"&amp;T134)+COUNTIFS($T$5:T134,T134))</f>
        <v>0</v>
      </c>
      <c r="AQ134" s="39">
        <f>IF(B134="","",IF(COUNTIF($B$5:$B$504,B134)&gt;1,"Duplicate - same name twice",IF(R134="Archived","",IF(AK134&gt;0.004,"Chase - balance outstanding",IF(AM134="Inactive","Gone - win-back offer",IF(AM134="Lapsing","Chase - lapsing, call them",IF(IF(N134="",FALSE,TodayDate-N134&gt;PatchTestDays),"Due - patch test out of date",IF(IF(AD134="",FALSE,IF(AB134&lt;&gt;"",FALSE,AD134&lt;=TodayDate+14)),"Rebook - due and nothing booked",IF(IF(K134="",FALSE,ABS(DATE(YEAR(TodayDate),MONTH(K134),DAY(K134))-TodayDate)&lt;=7),"Birthday - send the treat","OK")))))))))</f>
        <v>0</v>
      </c>
    </row>
    <row r="135" spans="1:43">
      <c r="A135" s="28">
        <f>IF(B135="","",ClientPrefix&amp;TEXT(ROW()-4,"0000"))</f>
        <v>0</v>
      </c>
      <c r="J135" s="15">
        <f>IF(I135="","",IFERROR(INDEX(Staff!$B$5:$B$44,MATCH(I135,Staff!$A$5:$A$44,0)),"Not in Staff"))</f>
        <v>0</v>
      </c>
      <c r="T135" s="25">
        <f>IF(B135="","",COUNTIFS(Appointments!$E$5:$E$1204,A135,Appointments!$M$5:$M$1204,"Completed"))</f>
        <v>0</v>
      </c>
      <c r="U135" s="25">
        <f>IF(B135="","",COUNTIFS(Appointments!$E$5:$E$1204,A135,Appointments!$M$5:$M$1204,"Completed",Appointments!$B$5:$B$1204,"&gt;="&amp;TodayDate-365))</f>
        <v>0</v>
      </c>
      <c r="V135" s="25">
        <f>IF(B135="","",COUNTIFS(Appointments!$E$5:$E$1204,A135,Appointments!$M$5:$M$1204,"Cancelled"))</f>
        <v>0</v>
      </c>
      <c r="W135" s="25">
        <f>IF(B135="","",COUNTIFS(Appointments!$E$5:$E$1204,A135,Appointments!$M$5:$M$1204,"No show"))</f>
        <v>0</v>
      </c>
      <c r="X135" s="17">
        <f>IF(B135="","",IF(F135&lt;&gt;"",F135,IF(T135=0,"",SUMPRODUCT(MIN((Appointments!$E$5:$E$1204=A135)*(Appointments!$M$5:$M$1204="Completed")*Appointments!$B$5:$B$1204+(1-(Appointments!$E$5:$E$1204=A135)*(Appointments!$M$5:$M$1204="Completed"))*2958465)))))</f>
        <v>0</v>
      </c>
      <c r="Y135" s="17">
        <f>IF(B135="","",IF(T135=0,"",SUMPRODUCT(MAX((Appointments!$E$5:$E$1204=A135)*(Appointments!$M$5:$M$1204="Completed")*Appointments!$B$5:$B$1204))))</f>
        <v>0</v>
      </c>
      <c r="Z135" s="25">
        <f>IF(B135="","",IF(Y135="","",TodayDate-Y135))</f>
        <v>0</v>
      </c>
      <c r="AA135" s="42">
        <f>IF(B135="","",SUMPRODUCT(MIN((Appointments!$E$5:$E$1204=A135)*(Appointments!$M$5:$M$1204&lt;&gt;"Cancelled")*(Appointments!$M$5:$M$1204&lt;&gt;"Completed")*(Appointments!$M$5:$M$1204&lt;&gt;"No show")*(Appointments!$B$5:$B$1204&gt;=TodayDate)*Appointments!$B$5:$B$1204+(1-(Appointments!$E$5:$E$1204=A135)*(Appointments!$M$5:$M$1204&lt;&gt;"Cancelled")*(Appointments!$M$5:$M$1204&lt;&gt;"Completed")*(Appointments!$M$5:$M$1204&lt;&gt;"No show")*(Appointments!$B$5:$B$1204&gt;=TodayDate))*2958465)))</f>
        <v>0</v>
      </c>
      <c r="AB135" s="17">
        <f>IF(B135="","",IF(AA135&gt;=2958465,"",AA135))</f>
        <v>0</v>
      </c>
      <c r="AC135" s="25">
        <f>IF(B135="","",IF(T135&lt;2,"",ROUND((Y135-X135)/MAX(1,T135-1),0)))</f>
        <v>0</v>
      </c>
      <c r="AD135" s="17">
        <f>IF(B135="","",IF(Y135="","",Y135+IF(AC135="",RebookWeeks*7,MAX(14,AC135))))</f>
        <v>0</v>
      </c>
      <c r="AE135" s="26">
        <f>IF(B135="","",ROUND(SUMIFS(Sales!$Y$5:$Y$1204,Sales!$D$5:$D$1204,A135),2))</f>
        <v>0</v>
      </c>
      <c r="AF135" s="26">
        <f>IF(B135="","",ROUND(SUMIFS(Sales!$Y$5:$Y$1204,Sales!$D$5:$D$1204,A135,Sales!$H$5:$H$1204,"Service"),2))</f>
        <v>0</v>
      </c>
      <c r="AG135" s="26">
        <f>IF(B135="","",ROUND(SUMIFS(Sales!$Y$5:$Y$1204,Sales!$D$5:$D$1204,A135,Sales!$H$5:$H$1204,"Retail"),2))</f>
        <v>0</v>
      </c>
      <c r="AH135" s="26">
        <f>IF(B135="","",ROUND(SUMIFS(Sales!$Y$5:$Y$1204,Sales!$D$5:$D$1204,A135,Sales!$B$5:$B$1204,"&gt;="&amp;TodayDate-365),2))</f>
        <v>0</v>
      </c>
      <c r="AI135" s="26">
        <f>IF(B135="","",IF(T135=0,"",ROUND(AE135/T135,2)))</f>
        <v>0</v>
      </c>
      <c r="AJ135" s="26">
        <f>IF(B135="","",IF(AI135="","",IF(AC135="","",ROUND(AI135*(365/MAX(14,AC135)),2))))</f>
        <v>0</v>
      </c>
      <c r="AK135" s="26">
        <f>IF(B135="","",ROUND(SUMIFS(Sales!$AH$5:$AH$1204,Sales!$D$5:$D$1204,A135),2))</f>
        <v>0</v>
      </c>
      <c r="AL135" s="25">
        <f>IF(B135="","",IFERROR(INDEX(Loyalty!$P$5:$P$504,MATCH(A135,Loyalty!$B$5:$B$504,0))*1,0))</f>
        <v>0</v>
      </c>
      <c r="AM135" s="39">
        <f>IF(B135="","",IF(R135="Archived","Archived",IF(T135=0,"Not been yet",IF(Z135&gt;=InactiveDays,"Inactive",IF(Z135&gt;=LapsingDays,"Lapsing",IF(T135=1,"New",IF(AH135&gt;=VipSpend,"VIP",IF(U135&gt;=4,"Regular","Active"))))))))</f>
        <v>0</v>
      </c>
      <c r="AN135" s="38">
        <f>IF(B135="","",IF(T135&gt;=2,"Yes","No"))</f>
        <v>0</v>
      </c>
      <c r="AO135" s="25">
        <f>IF(B135="","",COUNTIFS($AE$5:$AE$504,"&gt;"&amp;AE135)+COUNTIFS($AE$5:AE135,AE135))</f>
        <v>0</v>
      </c>
      <c r="AP135" s="25">
        <f>IF(B135="","",COUNTIFS($T$5:$T$504,"&gt;"&amp;T135)+COUNTIFS($T$5:T135,T135))</f>
        <v>0</v>
      </c>
      <c r="AQ135" s="39">
        <f>IF(B135="","",IF(COUNTIF($B$5:$B$504,B135)&gt;1,"Duplicate - same name twice",IF(R135="Archived","",IF(AK135&gt;0.004,"Chase - balance outstanding",IF(AM135="Inactive","Gone - win-back offer",IF(AM135="Lapsing","Chase - lapsing, call them",IF(IF(N135="",FALSE,TodayDate-N135&gt;PatchTestDays),"Due - patch test out of date",IF(IF(AD135="",FALSE,IF(AB135&lt;&gt;"",FALSE,AD135&lt;=TodayDate+14)),"Rebook - due and nothing booked",IF(IF(K135="",FALSE,ABS(DATE(YEAR(TodayDate),MONTH(K135),DAY(K135))-TodayDate)&lt;=7),"Birthday - send the treat","OK")))))))))</f>
        <v>0</v>
      </c>
    </row>
    <row r="136" spans="1:43">
      <c r="A136" s="28">
        <f>IF(B136="","",ClientPrefix&amp;TEXT(ROW()-4,"0000"))</f>
        <v>0</v>
      </c>
      <c r="J136" s="15">
        <f>IF(I136="","",IFERROR(INDEX(Staff!$B$5:$B$44,MATCH(I136,Staff!$A$5:$A$44,0)),"Not in Staff"))</f>
        <v>0</v>
      </c>
      <c r="T136" s="25">
        <f>IF(B136="","",COUNTIFS(Appointments!$E$5:$E$1204,A136,Appointments!$M$5:$M$1204,"Completed"))</f>
        <v>0</v>
      </c>
      <c r="U136" s="25">
        <f>IF(B136="","",COUNTIFS(Appointments!$E$5:$E$1204,A136,Appointments!$M$5:$M$1204,"Completed",Appointments!$B$5:$B$1204,"&gt;="&amp;TodayDate-365))</f>
        <v>0</v>
      </c>
      <c r="V136" s="25">
        <f>IF(B136="","",COUNTIFS(Appointments!$E$5:$E$1204,A136,Appointments!$M$5:$M$1204,"Cancelled"))</f>
        <v>0</v>
      </c>
      <c r="W136" s="25">
        <f>IF(B136="","",COUNTIFS(Appointments!$E$5:$E$1204,A136,Appointments!$M$5:$M$1204,"No show"))</f>
        <v>0</v>
      </c>
      <c r="X136" s="17">
        <f>IF(B136="","",IF(F136&lt;&gt;"",F136,IF(T136=0,"",SUMPRODUCT(MIN((Appointments!$E$5:$E$1204=A136)*(Appointments!$M$5:$M$1204="Completed")*Appointments!$B$5:$B$1204+(1-(Appointments!$E$5:$E$1204=A136)*(Appointments!$M$5:$M$1204="Completed"))*2958465)))))</f>
        <v>0</v>
      </c>
      <c r="Y136" s="17">
        <f>IF(B136="","",IF(T136=0,"",SUMPRODUCT(MAX((Appointments!$E$5:$E$1204=A136)*(Appointments!$M$5:$M$1204="Completed")*Appointments!$B$5:$B$1204))))</f>
        <v>0</v>
      </c>
      <c r="Z136" s="25">
        <f>IF(B136="","",IF(Y136="","",TodayDate-Y136))</f>
        <v>0</v>
      </c>
      <c r="AA136" s="42">
        <f>IF(B136="","",SUMPRODUCT(MIN((Appointments!$E$5:$E$1204=A136)*(Appointments!$M$5:$M$1204&lt;&gt;"Cancelled")*(Appointments!$M$5:$M$1204&lt;&gt;"Completed")*(Appointments!$M$5:$M$1204&lt;&gt;"No show")*(Appointments!$B$5:$B$1204&gt;=TodayDate)*Appointments!$B$5:$B$1204+(1-(Appointments!$E$5:$E$1204=A136)*(Appointments!$M$5:$M$1204&lt;&gt;"Cancelled")*(Appointments!$M$5:$M$1204&lt;&gt;"Completed")*(Appointments!$M$5:$M$1204&lt;&gt;"No show")*(Appointments!$B$5:$B$1204&gt;=TodayDate))*2958465)))</f>
        <v>0</v>
      </c>
      <c r="AB136" s="17">
        <f>IF(B136="","",IF(AA136&gt;=2958465,"",AA136))</f>
        <v>0</v>
      </c>
      <c r="AC136" s="25">
        <f>IF(B136="","",IF(T136&lt;2,"",ROUND((Y136-X136)/MAX(1,T136-1),0)))</f>
        <v>0</v>
      </c>
      <c r="AD136" s="17">
        <f>IF(B136="","",IF(Y136="","",Y136+IF(AC136="",RebookWeeks*7,MAX(14,AC136))))</f>
        <v>0</v>
      </c>
      <c r="AE136" s="26">
        <f>IF(B136="","",ROUND(SUMIFS(Sales!$Y$5:$Y$1204,Sales!$D$5:$D$1204,A136),2))</f>
        <v>0</v>
      </c>
      <c r="AF136" s="26">
        <f>IF(B136="","",ROUND(SUMIFS(Sales!$Y$5:$Y$1204,Sales!$D$5:$D$1204,A136,Sales!$H$5:$H$1204,"Service"),2))</f>
        <v>0</v>
      </c>
      <c r="AG136" s="26">
        <f>IF(B136="","",ROUND(SUMIFS(Sales!$Y$5:$Y$1204,Sales!$D$5:$D$1204,A136,Sales!$H$5:$H$1204,"Retail"),2))</f>
        <v>0</v>
      </c>
      <c r="AH136" s="26">
        <f>IF(B136="","",ROUND(SUMIFS(Sales!$Y$5:$Y$1204,Sales!$D$5:$D$1204,A136,Sales!$B$5:$B$1204,"&gt;="&amp;TodayDate-365),2))</f>
        <v>0</v>
      </c>
      <c r="AI136" s="26">
        <f>IF(B136="","",IF(T136=0,"",ROUND(AE136/T136,2)))</f>
        <v>0</v>
      </c>
      <c r="AJ136" s="26">
        <f>IF(B136="","",IF(AI136="","",IF(AC136="","",ROUND(AI136*(365/MAX(14,AC136)),2))))</f>
        <v>0</v>
      </c>
      <c r="AK136" s="26">
        <f>IF(B136="","",ROUND(SUMIFS(Sales!$AH$5:$AH$1204,Sales!$D$5:$D$1204,A136),2))</f>
        <v>0</v>
      </c>
      <c r="AL136" s="25">
        <f>IF(B136="","",IFERROR(INDEX(Loyalty!$P$5:$P$504,MATCH(A136,Loyalty!$B$5:$B$504,0))*1,0))</f>
        <v>0</v>
      </c>
      <c r="AM136" s="39">
        <f>IF(B136="","",IF(R136="Archived","Archived",IF(T136=0,"Not been yet",IF(Z136&gt;=InactiveDays,"Inactive",IF(Z136&gt;=LapsingDays,"Lapsing",IF(T136=1,"New",IF(AH136&gt;=VipSpend,"VIP",IF(U136&gt;=4,"Regular","Active"))))))))</f>
        <v>0</v>
      </c>
      <c r="AN136" s="38">
        <f>IF(B136="","",IF(T136&gt;=2,"Yes","No"))</f>
        <v>0</v>
      </c>
      <c r="AO136" s="25">
        <f>IF(B136="","",COUNTIFS($AE$5:$AE$504,"&gt;"&amp;AE136)+COUNTIFS($AE$5:AE136,AE136))</f>
        <v>0</v>
      </c>
      <c r="AP136" s="25">
        <f>IF(B136="","",COUNTIFS($T$5:$T$504,"&gt;"&amp;T136)+COUNTIFS($T$5:T136,T136))</f>
        <v>0</v>
      </c>
      <c r="AQ136" s="39">
        <f>IF(B136="","",IF(COUNTIF($B$5:$B$504,B136)&gt;1,"Duplicate - same name twice",IF(R136="Archived","",IF(AK136&gt;0.004,"Chase - balance outstanding",IF(AM136="Inactive","Gone - win-back offer",IF(AM136="Lapsing","Chase - lapsing, call them",IF(IF(N136="",FALSE,TodayDate-N136&gt;PatchTestDays),"Due - patch test out of date",IF(IF(AD136="",FALSE,IF(AB136&lt;&gt;"",FALSE,AD136&lt;=TodayDate+14)),"Rebook - due and nothing booked",IF(IF(K136="",FALSE,ABS(DATE(YEAR(TodayDate),MONTH(K136),DAY(K136))-TodayDate)&lt;=7),"Birthday - send the treat","OK")))))))))</f>
        <v>0</v>
      </c>
    </row>
    <row r="137" spans="1:43">
      <c r="A137" s="28">
        <f>IF(B137="","",ClientPrefix&amp;TEXT(ROW()-4,"0000"))</f>
        <v>0</v>
      </c>
      <c r="J137" s="15">
        <f>IF(I137="","",IFERROR(INDEX(Staff!$B$5:$B$44,MATCH(I137,Staff!$A$5:$A$44,0)),"Not in Staff"))</f>
        <v>0</v>
      </c>
      <c r="T137" s="25">
        <f>IF(B137="","",COUNTIFS(Appointments!$E$5:$E$1204,A137,Appointments!$M$5:$M$1204,"Completed"))</f>
        <v>0</v>
      </c>
      <c r="U137" s="25">
        <f>IF(B137="","",COUNTIFS(Appointments!$E$5:$E$1204,A137,Appointments!$M$5:$M$1204,"Completed",Appointments!$B$5:$B$1204,"&gt;="&amp;TodayDate-365))</f>
        <v>0</v>
      </c>
      <c r="V137" s="25">
        <f>IF(B137="","",COUNTIFS(Appointments!$E$5:$E$1204,A137,Appointments!$M$5:$M$1204,"Cancelled"))</f>
        <v>0</v>
      </c>
      <c r="W137" s="25">
        <f>IF(B137="","",COUNTIFS(Appointments!$E$5:$E$1204,A137,Appointments!$M$5:$M$1204,"No show"))</f>
        <v>0</v>
      </c>
      <c r="X137" s="17">
        <f>IF(B137="","",IF(F137&lt;&gt;"",F137,IF(T137=0,"",SUMPRODUCT(MIN((Appointments!$E$5:$E$1204=A137)*(Appointments!$M$5:$M$1204="Completed")*Appointments!$B$5:$B$1204+(1-(Appointments!$E$5:$E$1204=A137)*(Appointments!$M$5:$M$1204="Completed"))*2958465)))))</f>
        <v>0</v>
      </c>
      <c r="Y137" s="17">
        <f>IF(B137="","",IF(T137=0,"",SUMPRODUCT(MAX((Appointments!$E$5:$E$1204=A137)*(Appointments!$M$5:$M$1204="Completed")*Appointments!$B$5:$B$1204))))</f>
        <v>0</v>
      </c>
      <c r="Z137" s="25">
        <f>IF(B137="","",IF(Y137="","",TodayDate-Y137))</f>
        <v>0</v>
      </c>
      <c r="AA137" s="42">
        <f>IF(B137="","",SUMPRODUCT(MIN((Appointments!$E$5:$E$1204=A137)*(Appointments!$M$5:$M$1204&lt;&gt;"Cancelled")*(Appointments!$M$5:$M$1204&lt;&gt;"Completed")*(Appointments!$M$5:$M$1204&lt;&gt;"No show")*(Appointments!$B$5:$B$1204&gt;=TodayDate)*Appointments!$B$5:$B$1204+(1-(Appointments!$E$5:$E$1204=A137)*(Appointments!$M$5:$M$1204&lt;&gt;"Cancelled")*(Appointments!$M$5:$M$1204&lt;&gt;"Completed")*(Appointments!$M$5:$M$1204&lt;&gt;"No show")*(Appointments!$B$5:$B$1204&gt;=TodayDate))*2958465)))</f>
        <v>0</v>
      </c>
      <c r="AB137" s="17">
        <f>IF(B137="","",IF(AA137&gt;=2958465,"",AA137))</f>
        <v>0</v>
      </c>
      <c r="AC137" s="25">
        <f>IF(B137="","",IF(T137&lt;2,"",ROUND((Y137-X137)/MAX(1,T137-1),0)))</f>
        <v>0</v>
      </c>
      <c r="AD137" s="17">
        <f>IF(B137="","",IF(Y137="","",Y137+IF(AC137="",RebookWeeks*7,MAX(14,AC137))))</f>
        <v>0</v>
      </c>
      <c r="AE137" s="26">
        <f>IF(B137="","",ROUND(SUMIFS(Sales!$Y$5:$Y$1204,Sales!$D$5:$D$1204,A137),2))</f>
        <v>0</v>
      </c>
      <c r="AF137" s="26">
        <f>IF(B137="","",ROUND(SUMIFS(Sales!$Y$5:$Y$1204,Sales!$D$5:$D$1204,A137,Sales!$H$5:$H$1204,"Service"),2))</f>
        <v>0</v>
      </c>
      <c r="AG137" s="26">
        <f>IF(B137="","",ROUND(SUMIFS(Sales!$Y$5:$Y$1204,Sales!$D$5:$D$1204,A137,Sales!$H$5:$H$1204,"Retail"),2))</f>
        <v>0</v>
      </c>
      <c r="AH137" s="26">
        <f>IF(B137="","",ROUND(SUMIFS(Sales!$Y$5:$Y$1204,Sales!$D$5:$D$1204,A137,Sales!$B$5:$B$1204,"&gt;="&amp;TodayDate-365),2))</f>
        <v>0</v>
      </c>
      <c r="AI137" s="26">
        <f>IF(B137="","",IF(T137=0,"",ROUND(AE137/T137,2)))</f>
        <v>0</v>
      </c>
      <c r="AJ137" s="26">
        <f>IF(B137="","",IF(AI137="","",IF(AC137="","",ROUND(AI137*(365/MAX(14,AC137)),2))))</f>
        <v>0</v>
      </c>
      <c r="AK137" s="26">
        <f>IF(B137="","",ROUND(SUMIFS(Sales!$AH$5:$AH$1204,Sales!$D$5:$D$1204,A137),2))</f>
        <v>0</v>
      </c>
      <c r="AL137" s="25">
        <f>IF(B137="","",IFERROR(INDEX(Loyalty!$P$5:$P$504,MATCH(A137,Loyalty!$B$5:$B$504,0))*1,0))</f>
        <v>0</v>
      </c>
      <c r="AM137" s="39">
        <f>IF(B137="","",IF(R137="Archived","Archived",IF(T137=0,"Not been yet",IF(Z137&gt;=InactiveDays,"Inactive",IF(Z137&gt;=LapsingDays,"Lapsing",IF(T137=1,"New",IF(AH137&gt;=VipSpend,"VIP",IF(U137&gt;=4,"Regular","Active"))))))))</f>
        <v>0</v>
      </c>
      <c r="AN137" s="38">
        <f>IF(B137="","",IF(T137&gt;=2,"Yes","No"))</f>
        <v>0</v>
      </c>
      <c r="AO137" s="25">
        <f>IF(B137="","",COUNTIFS($AE$5:$AE$504,"&gt;"&amp;AE137)+COUNTIFS($AE$5:AE137,AE137))</f>
        <v>0</v>
      </c>
      <c r="AP137" s="25">
        <f>IF(B137="","",COUNTIFS($T$5:$T$504,"&gt;"&amp;T137)+COUNTIFS($T$5:T137,T137))</f>
        <v>0</v>
      </c>
      <c r="AQ137" s="39">
        <f>IF(B137="","",IF(COUNTIF($B$5:$B$504,B137)&gt;1,"Duplicate - same name twice",IF(R137="Archived","",IF(AK137&gt;0.004,"Chase - balance outstanding",IF(AM137="Inactive","Gone - win-back offer",IF(AM137="Lapsing","Chase - lapsing, call them",IF(IF(N137="",FALSE,TodayDate-N137&gt;PatchTestDays),"Due - patch test out of date",IF(IF(AD137="",FALSE,IF(AB137&lt;&gt;"",FALSE,AD137&lt;=TodayDate+14)),"Rebook - due and nothing booked",IF(IF(K137="",FALSE,ABS(DATE(YEAR(TodayDate),MONTH(K137),DAY(K137))-TodayDate)&lt;=7),"Birthday - send the treat","OK")))))))))</f>
        <v>0</v>
      </c>
    </row>
    <row r="138" spans="1:43">
      <c r="A138" s="28">
        <f>IF(B138="","",ClientPrefix&amp;TEXT(ROW()-4,"0000"))</f>
        <v>0</v>
      </c>
      <c r="J138" s="15">
        <f>IF(I138="","",IFERROR(INDEX(Staff!$B$5:$B$44,MATCH(I138,Staff!$A$5:$A$44,0)),"Not in Staff"))</f>
        <v>0</v>
      </c>
      <c r="T138" s="25">
        <f>IF(B138="","",COUNTIFS(Appointments!$E$5:$E$1204,A138,Appointments!$M$5:$M$1204,"Completed"))</f>
        <v>0</v>
      </c>
      <c r="U138" s="25">
        <f>IF(B138="","",COUNTIFS(Appointments!$E$5:$E$1204,A138,Appointments!$M$5:$M$1204,"Completed",Appointments!$B$5:$B$1204,"&gt;="&amp;TodayDate-365))</f>
        <v>0</v>
      </c>
      <c r="V138" s="25">
        <f>IF(B138="","",COUNTIFS(Appointments!$E$5:$E$1204,A138,Appointments!$M$5:$M$1204,"Cancelled"))</f>
        <v>0</v>
      </c>
      <c r="W138" s="25">
        <f>IF(B138="","",COUNTIFS(Appointments!$E$5:$E$1204,A138,Appointments!$M$5:$M$1204,"No show"))</f>
        <v>0</v>
      </c>
      <c r="X138" s="17">
        <f>IF(B138="","",IF(F138&lt;&gt;"",F138,IF(T138=0,"",SUMPRODUCT(MIN((Appointments!$E$5:$E$1204=A138)*(Appointments!$M$5:$M$1204="Completed")*Appointments!$B$5:$B$1204+(1-(Appointments!$E$5:$E$1204=A138)*(Appointments!$M$5:$M$1204="Completed"))*2958465)))))</f>
        <v>0</v>
      </c>
      <c r="Y138" s="17">
        <f>IF(B138="","",IF(T138=0,"",SUMPRODUCT(MAX((Appointments!$E$5:$E$1204=A138)*(Appointments!$M$5:$M$1204="Completed")*Appointments!$B$5:$B$1204))))</f>
        <v>0</v>
      </c>
      <c r="Z138" s="25">
        <f>IF(B138="","",IF(Y138="","",TodayDate-Y138))</f>
        <v>0</v>
      </c>
      <c r="AA138" s="42">
        <f>IF(B138="","",SUMPRODUCT(MIN((Appointments!$E$5:$E$1204=A138)*(Appointments!$M$5:$M$1204&lt;&gt;"Cancelled")*(Appointments!$M$5:$M$1204&lt;&gt;"Completed")*(Appointments!$M$5:$M$1204&lt;&gt;"No show")*(Appointments!$B$5:$B$1204&gt;=TodayDate)*Appointments!$B$5:$B$1204+(1-(Appointments!$E$5:$E$1204=A138)*(Appointments!$M$5:$M$1204&lt;&gt;"Cancelled")*(Appointments!$M$5:$M$1204&lt;&gt;"Completed")*(Appointments!$M$5:$M$1204&lt;&gt;"No show")*(Appointments!$B$5:$B$1204&gt;=TodayDate))*2958465)))</f>
        <v>0</v>
      </c>
      <c r="AB138" s="17">
        <f>IF(B138="","",IF(AA138&gt;=2958465,"",AA138))</f>
        <v>0</v>
      </c>
      <c r="AC138" s="25">
        <f>IF(B138="","",IF(T138&lt;2,"",ROUND((Y138-X138)/MAX(1,T138-1),0)))</f>
        <v>0</v>
      </c>
      <c r="AD138" s="17">
        <f>IF(B138="","",IF(Y138="","",Y138+IF(AC138="",RebookWeeks*7,MAX(14,AC138))))</f>
        <v>0</v>
      </c>
      <c r="AE138" s="26">
        <f>IF(B138="","",ROUND(SUMIFS(Sales!$Y$5:$Y$1204,Sales!$D$5:$D$1204,A138),2))</f>
        <v>0</v>
      </c>
      <c r="AF138" s="26">
        <f>IF(B138="","",ROUND(SUMIFS(Sales!$Y$5:$Y$1204,Sales!$D$5:$D$1204,A138,Sales!$H$5:$H$1204,"Service"),2))</f>
        <v>0</v>
      </c>
      <c r="AG138" s="26">
        <f>IF(B138="","",ROUND(SUMIFS(Sales!$Y$5:$Y$1204,Sales!$D$5:$D$1204,A138,Sales!$H$5:$H$1204,"Retail"),2))</f>
        <v>0</v>
      </c>
      <c r="AH138" s="26">
        <f>IF(B138="","",ROUND(SUMIFS(Sales!$Y$5:$Y$1204,Sales!$D$5:$D$1204,A138,Sales!$B$5:$B$1204,"&gt;="&amp;TodayDate-365),2))</f>
        <v>0</v>
      </c>
      <c r="AI138" s="26">
        <f>IF(B138="","",IF(T138=0,"",ROUND(AE138/T138,2)))</f>
        <v>0</v>
      </c>
      <c r="AJ138" s="26">
        <f>IF(B138="","",IF(AI138="","",IF(AC138="","",ROUND(AI138*(365/MAX(14,AC138)),2))))</f>
        <v>0</v>
      </c>
      <c r="AK138" s="26">
        <f>IF(B138="","",ROUND(SUMIFS(Sales!$AH$5:$AH$1204,Sales!$D$5:$D$1204,A138),2))</f>
        <v>0</v>
      </c>
      <c r="AL138" s="25">
        <f>IF(B138="","",IFERROR(INDEX(Loyalty!$P$5:$P$504,MATCH(A138,Loyalty!$B$5:$B$504,0))*1,0))</f>
        <v>0</v>
      </c>
      <c r="AM138" s="39">
        <f>IF(B138="","",IF(R138="Archived","Archived",IF(T138=0,"Not been yet",IF(Z138&gt;=InactiveDays,"Inactive",IF(Z138&gt;=LapsingDays,"Lapsing",IF(T138=1,"New",IF(AH138&gt;=VipSpend,"VIP",IF(U138&gt;=4,"Regular","Active"))))))))</f>
        <v>0</v>
      </c>
      <c r="AN138" s="38">
        <f>IF(B138="","",IF(T138&gt;=2,"Yes","No"))</f>
        <v>0</v>
      </c>
      <c r="AO138" s="25">
        <f>IF(B138="","",COUNTIFS($AE$5:$AE$504,"&gt;"&amp;AE138)+COUNTIFS($AE$5:AE138,AE138))</f>
        <v>0</v>
      </c>
      <c r="AP138" s="25">
        <f>IF(B138="","",COUNTIFS($T$5:$T$504,"&gt;"&amp;T138)+COUNTIFS($T$5:T138,T138))</f>
        <v>0</v>
      </c>
      <c r="AQ138" s="39">
        <f>IF(B138="","",IF(COUNTIF($B$5:$B$504,B138)&gt;1,"Duplicate - same name twice",IF(R138="Archived","",IF(AK138&gt;0.004,"Chase - balance outstanding",IF(AM138="Inactive","Gone - win-back offer",IF(AM138="Lapsing","Chase - lapsing, call them",IF(IF(N138="",FALSE,TodayDate-N138&gt;PatchTestDays),"Due - patch test out of date",IF(IF(AD138="",FALSE,IF(AB138&lt;&gt;"",FALSE,AD138&lt;=TodayDate+14)),"Rebook - due and nothing booked",IF(IF(K138="",FALSE,ABS(DATE(YEAR(TodayDate),MONTH(K138),DAY(K138))-TodayDate)&lt;=7),"Birthday - send the treat","OK")))))))))</f>
        <v>0</v>
      </c>
    </row>
    <row r="139" spans="1:43">
      <c r="A139" s="28">
        <f>IF(B139="","",ClientPrefix&amp;TEXT(ROW()-4,"0000"))</f>
        <v>0</v>
      </c>
      <c r="J139" s="15">
        <f>IF(I139="","",IFERROR(INDEX(Staff!$B$5:$B$44,MATCH(I139,Staff!$A$5:$A$44,0)),"Not in Staff"))</f>
        <v>0</v>
      </c>
      <c r="T139" s="25">
        <f>IF(B139="","",COUNTIFS(Appointments!$E$5:$E$1204,A139,Appointments!$M$5:$M$1204,"Completed"))</f>
        <v>0</v>
      </c>
      <c r="U139" s="25">
        <f>IF(B139="","",COUNTIFS(Appointments!$E$5:$E$1204,A139,Appointments!$M$5:$M$1204,"Completed",Appointments!$B$5:$B$1204,"&gt;="&amp;TodayDate-365))</f>
        <v>0</v>
      </c>
      <c r="V139" s="25">
        <f>IF(B139="","",COUNTIFS(Appointments!$E$5:$E$1204,A139,Appointments!$M$5:$M$1204,"Cancelled"))</f>
        <v>0</v>
      </c>
      <c r="W139" s="25">
        <f>IF(B139="","",COUNTIFS(Appointments!$E$5:$E$1204,A139,Appointments!$M$5:$M$1204,"No show"))</f>
        <v>0</v>
      </c>
      <c r="X139" s="17">
        <f>IF(B139="","",IF(F139&lt;&gt;"",F139,IF(T139=0,"",SUMPRODUCT(MIN((Appointments!$E$5:$E$1204=A139)*(Appointments!$M$5:$M$1204="Completed")*Appointments!$B$5:$B$1204+(1-(Appointments!$E$5:$E$1204=A139)*(Appointments!$M$5:$M$1204="Completed"))*2958465)))))</f>
        <v>0</v>
      </c>
      <c r="Y139" s="17">
        <f>IF(B139="","",IF(T139=0,"",SUMPRODUCT(MAX((Appointments!$E$5:$E$1204=A139)*(Appointments!$M$5:$M$1204="Completed")*Appointments!$B$5:$B$1204))))</f>
        <v>0</v>
      </c>
      <c r="Z139" s="25">
        <f>IF(B139="","",IF(Y139="","",TodayDate-Y139))</f>
        <v>0</v>
      </c>
      <c r="AA139" s="42">
        <f>IF(B139="","",SUMPRODUCT(MIN((Appointments!$E$5:$E$1204=A139)*(Appointments!$M$5:$M$1204&lt;&gt;"Cancelled")*(Appointments!$M$5:$M$1204&lt;&gt;"Completed")*(Appointments!$M$5:$M$1204&lt;&gt;"No show")*(Appointments!$B$5:$B$1204&gt;=TodayDate)*Appointments!$B$5:$B$1204+(1-(Appointments!$E$5:$E$1204=A139)*(Appointments!$M$5:$M$1204&lt;&gt;"Cancelled")*(Appointments!$M$5:$M$1204&lt;&gt;"Completed")*(Appointments!$M$5:$M$1204&lt;&gt;"No show")*(Appointments!$B$5:$B$1204&gt;=TodayDate))*2958465)))</f>
        <v>0</v>
      </c>
      <c r="AB139" s="17">
        <f>IF(B139="","",IF(AA139&gt;=2958465,"",AA139))</f>
        <v>0</v>
      </c>
      <c r="AC139" s="25">
        <f>IF(B139="","",IF(T139&lt;2,"",ROUND((Y139-X139)/MAX(1,T139-1),0)))</f>
        <v>0</v>
      </c>
      <c r="AD139" s="17">
        <f>IF(B139="","",IF(Y139="","",Y139+IF(AC139="",RebookWeeks*7,MAX(14,AC139))))</f>
        <v>0</v>
      </c>
      <c r="AE139" s="26">
        <f>IF(B139="","",ROUND(SUMIFS(Sales!$Y$5:$Y$1204,Sales!$D$5:$D$1204,A139),2))</f>
        <v>0</v>
      </c>
      <c r="AF139" s="26">
        <f>IF(B139="","",ROUND(SUMIFS(Sales!$Y$5:$Y$1204,Sales!$D$5:$D$1204,A139,Sales!$H$5:$H$1204,"Service"),2))</f>
        <v>0</v>
      </c>
      <c r="AG139" s="26">
        <f>IF(B139="","",ROUND(SUMIFS(Sales!$Y$5:$Y$1204,Sales!$D$5:$D$1204,A139,Sales!$H$5:$H$1204,"Retail"),2))</f>
        <v>0</v>
      </c>
      <c r="AH139" s="26">
        <f>IF(B139="","",ROUND(SUMIFS(Sales!$Y$5:$Y$1204,Sales!$D$5:$D$1204,A139,Sales!$B$5:$B$1204,"&gt;="&amp;TodayDate-365),2))</f>
        <v>0</v>
      </c>
      <c r="AI139" s="26">
        <f>IF(B139="","",IF(T139=0,"",ROUND(AE139/T139,2)))</f>
        <v>0</v>
      </c>
      <c r="AJ139" s="26">
        <f>IF(B139="","",IF(AI139="","",IF(AC139="","",ROUND(AI139*(365/MAX(14,AC139)),2))))</f>
        <v>0</v>
      </c>
      <c r="AK139" s="26">
        <f>IF(B139="","",ROUND(SUMIFS(Sales!$AH$5:$AH$1204,Sales!$D$5:$D$1204,A139),2))</f>
        <v>0</v>
      </c>
      <c r="AL139" s="25">
        <f>IF(B139="","",IFERROR(INDEX(Loyalty!$P$5:$P$504,MATCH(A139,Loyalty!$B$5:$B$504,0))*1,0))</f>
        <v>0</v>
      </c>
      <c r="AM139" s="39">
        <f>IF(B139="","",IF(R139="Archived","Archived",IF(T139=0,"Not been yet",IF(Z139&gt;=InactiveDays,"Inactive",IF(Z139&gt;=LapsingDays,"Lapsing",IF(T139=1,"New",IF(AH139&gt;=VipSpend,"VIP",IF(U139&gt;=4,"Regular","Active"))))))))</f>
        <v>0</v>
      </c>
      <c r="AN139" s="38">
        <f>IF(B139="","",IF(T139&gt;=2,"Yes","No"))</f>
        <v>0</v>
      </c>
      <c r="AO139" s="25">
        <f>IF(B139="","",COUNTIFS($AE$5:$AE$504,"&gt;"&amp;AE139)+COUNTIFS($AE$5:AE139,AE139))</f>
        <v>0</v>
      </c>
      <c r="AP139" s="25">
        <f>IF(B139="","",COUNTIFS($T$5:$T$504,"&gt;"&amp;T139)+COUNTIFS($T$5:T139,T139))</f>
        <v>0</v>
      </c>
      <c r="AQ139" s="39">
        <f>IF(B139="","",IF(COUNTIF($B$5:$B$504,B139)&gt;1,"Duplicate - same name twice",IF(R139="Archived","",IF(AK139&gt;0.004,"Chase - balance outstanding",IF(AM139="Inactive","Gone - win-back offer",IF(AM139="Lapsing","Chase - lapsing, call them",IF(IF(N139="",FALSE,TodayDate-N139&gt;PatchTestDays),"Due - patch test out of date",IF(IF(AD139="",FALSE,IF(AB139&lt;&gt;"",FALSE,AD139&lt;=TodayDate+14)),"Rebook - due and nothing booked",IF(IF(K139="",FALSE,ABS(DATE(YEAR(TodayDate),MONTH(K139),DAY(K139))-TodayDate)&lt;=7),"Birthday - send the treat","OK")))))))))</f>
        <v>0</v>
      </c>
    </row>
    <row r="140" spans="1:43">
      <c r="A140" s="28">
        <f>IF(B140="","",ClientPrefix&amp;TEXT(ROW()-4,"0000"))</f>
        <v>0</v>
      </c>
      <c r="J140" s="15">
        <f>IF(I140="","",IFERROR(INDEX(Staff!$B$5:$B$44,MATCH(I140,Staff!$A$5:$A$44,0)),"Not in Staff"))</f>
        <v>0</v>
      </c>
      <c r="T140" s="25">
        <f>IF(B140="","",COUNTIFS(Appointments!$E$5:$E$1204,A140,Appointments!$M$5:$M$1204,"Completed"))</f>
        <v>0</v>
      </c>
      <c r="U140" s="25">
        <f>IF(B140="","",COUNTIFS(Appointments!$E$5:$E$1204,A140,Appointments!$M$5:$M$1204,"Completed",Appointments!$B$5:$B$1204,"&gt;="&amp;TodayDate-365))</f>
        <v>0</v>
      </c>
      <c r="V140" s="25">
        <f>IF(B140="","",COUNTIFS(Appointments!$E$5:$E$1204,A140,Appointments!$M$5:$M$1204,"Cancelled"))</f>
        <v>0</v>
      </c>
      <c r="W140" s="25">
        <f>IF(B140="","",COUNTIFS(Appointments!$E$5:$E$1204,A140,Appointments!$M$5:$M$1204,"No show"))</f>
        <v>0</v>
      </c>
      <c r="X140" s="17">
        <f>IF(B140="","",IF(F140&lt;&gt;"",F140,IF(T140=0,"",SUMPRODUCT(MIN((Appointments!$E$5:$E$1204=A140)*(Appointments!$M$5:$M$1204="Completed")*Appointments!$B$5:$B$1204+(1-(Appointments!$E$5:$E$1204=A140)*(Appointments!$M$5:$M$1204="Completed"))*2958465)))))</f>
        <v>0</v>
      </c>
      <c r="Y140" s="17">
        <f>IF(B140="","",IF(T140=0,"",SUMPRODUCT(MAX((Appointments!$E$5:$E$1204=A140)*(Appointments!$M$5:$M$1204="Completed")*Appointments!$B$5:$B$1204))))</f>
        <v>0</v>
      </c>
      <c r="Z140" s="25">
        <f>IF(B140="","",IF(Y140="","",TodayDate-Y140))</f>
        <v>0</v>
      </c>
      <c r="AA140" s="42">
        <f>IF(B140="","",SUMPRODUCT(MIN((Appointments!$E$5:$E$1204=A140)*(Appointments!$M$5:$M$1204&lt;&gt;"Cancelled")*(Appointments!$M$5:$M$1204&lt;&gt;"Completed")*(Appointments!$M$5:$M$1204&lt;&gt;"No show")*(Appointments!$B$5:$B$1204&gt;=TodayDate)*Appointments!$B$5:$B$1204+(1-(Appointments!$E$5:$E$1204=A140)*(Appointments!$M$5:$M$1204&lt;&gt;"Cancelled")*(Appointments!$M$5:$M$1204&lt;&gt;"Completed")*(Appointments!$M$5:$M$1204&lt;&gt;"No show")*(Appointments!$B$5:$B$1204&gt;=TodayDate))*2958465)))</f>
        <v>0</v>
      </c>
      <c r="AB140" s="17">
        <f>IF(B140="","",IF(AA140&gt;=2958465,"",AA140))</f>
        <v>0</v>
      </c>
      <c r="AC140" s="25">
        <f>IF(B140="","",IF(T140&lt;2,"",ROUND((Y140-X140)/MAX(1,T140-1),0)))</f>
        <v>0</v>
      </c>
      <c r="AD140" s="17">
        <f>IF(B140="","",IF(Y140="","",Y140+IF(AC140="",RebookWeeks*7,MAX(14,AC140))))</f>
        <v>0</v>
      </c>
      <c r="AE140" s="26">
        <f>IF(B140="","",ROUND(SUMIFS(Sales!$Y$5:$Y$1204,Sales!$D$5:$D$1204,A140),2))</f>
        <v>0</v>
      </c>
      <c r="AF140" s="26">
        <f>IF(B140="","",ROUND(SUMIFS(Sales!$Y$5:$Y$1204,Sales!$D$5:$D$1204,A140,Sales!$H$5:$H$1204,"Service"),2))</f>
        <v>0</v>
      </c>
      <c r="AG140" s="26">
        <f>IF(B140="","",ROUND(SUMIFS(Sales!$Y$5:$Y$1204,Sales!$D$5:$D$1204,A140,Sales!$H$5:$H$1204,"Retail"),2))</f>
        <v>0</v>
      </c>
      <c r="AH140" s="26">
        <f>IF(B140="","",ROUND(SUMIFS(Sales!$Y$5:$Y$1204,Sales!$D$5:$D$1204,A140,Sales!$B$5:$B$1204,"&gt;="&amp;TodayDate-365),2))</f>
        <v>0</v>
      </c>
      <c r="AI140" s="26">
        <f>IF(B140="","",IF(T140=0,"",ROUND(AE140/T140,2)))</f>
        <v>0</v>
      </c>
      <c r="AJ140" s="26">
        <f>IF(B140="","",IF(AI140="","",IF(AC140="","",ROUND(AI140*(365/MAX(14,AC140)),2))))</f>
        <v>0</v>
      </c>
      <c r="AK140" s="26">
        <f>IF(B140="","",ROUND(SUMIFS(Sales!$AH$5:$AH$1204,Sales!$D$5:$D$1204,A140),2))</f>
        <v>0</v>
      </c>
      <c r="AL140" s="25">
        <f>IF(B140="","",IFERROR(INDEX(Loyalty!$P$5:$P$504,MATCH(A140,Loyalty!$B$5:$B$504,0))*1,0))</f>
        <v>0</v>
      </c>
      <c r="AM140" s="39">
        <f>IF(B140="","",IF(R140="Archived","Archived",IF(T140=0,"Not been yet",IF(Z140&gt;=InactiveDays,"Inactive",IF(Z140&gt;=LapsingDays,"Lapsing",IF(T140=1,"New",IF(AH140&gt;=VipSpend,"VIP",IF(U140&gt;=4,"Regular","Active"))))))))</f>
        <v>0</v>
      </c>
      <c r="AN140" s="38">
        <f>IF(B140="","",IF(T140&gt;=2,"Yes","No"))</f>
        <v>0</v>
      </c>
      <c r="AO140" s="25">
        <f>IF(B140="","",COUNTIFS($AE$5:$AE$504,"&gt;"&amp;AE140)+COUNTIFS($AE$5:AE140,AE140))</f>
        <v>0</v>
      </c>
      <c r="AP140" s="25">
        <f>IF(B140="","",COUNTIFS($T$5:$T$504,"&gt;"&amp;T140)+COUNTIFS($T$5:T140,T140))</f>
        <v>0</v>
      </c>
      <c r="AQ140" s="39">
        <f>IF(B140="","",IF(COUNTIF($B$5:$B$504,B140)&gt;1,"Duplicate - same name twice",IF(R140="Archived","",IF(AK140&gt;0.004,"Chase - balance outstanding",IF(AM140="Inactive","Gone - win-back offer",IF(AM140="Lapsing","Chase - lapsing, call them",IF(IF(N140="",FALSE,TodayDate-N140&gt;PatchTestDays),"Due - patch test out of date",IF(IF(AD140="",FALSE,IF(AB140&lt;&gt;"",FALSE,AD140&lt;=TodayDate+14)),"Rebook - due and nothing booked",IF(IF(K140="",FALSE,ABS(DATE(YEAR(TodayDate),MONTH(K140),DAY(K140))-TodayDate)&lt;=7),"Birthday - send the treat","OK")))))))))</f>
        <v>0</v>
      </c>
    </row>
    <row r="141" spans="1:43">
      <c r="A141" s="28">
        <f>IF(B141="","",ClientPrefix&amp;TEXT(ROW()-4,"0000"))</f>
        <v>0</v>
      </c>
      <c r="J141" s="15">
        <f>IF(I141="","",IFERROR(INDEX(Staff!$B$5:$B$44,MATCH(I141,Staff!$A$5:$A$44,0)),"Not in Staff"))</f>
        <v>0</v>
      </c>
      <c r="T141" s="25">
        <f>IF(B141="","",COUNTIFS(Appointments!$E$5:$E$1204,A141,Appointments!$M$5:$M$1204,"Completed"))</f>
        <v>0</v>
      </c>
      <c r="U141" s="25">
        <f>IF(B141="","",COUNTIFS(Appointments!$E$5:$E$1204,A141,Appointments!$M$5:$M$1204,"Completed",Appointments!$B$5:$B$1204,"&gt;="&amp;TodayDate-365))</f>
        <v>0</v>
      </c>
      <c r="V141" s="25">
        <f>IF(B141="","",COUNTIFS(Appointments!$E$5:$E$1204,A141,Appointments!$M$5:$M$1204,"Cancelled"))</f>
        <v>0</v>
      </c>
      <c r="W141" s="25">
        <f>IF(B141="","",COUNTIFS(Appointments!$E$5:$E$1204,A141,Appointments!$M$5:$M$1204,"No show"))</f>
        <v>0</v>
      </c>
      <c r="X141" s="17">
        <f>IF(B141="","",IF(F141&lt;&gt;"",F141,IF(T141=0,"",SUMPRODUCT(MIN((Appointments!$E$5:$E$1204=A141)*(Appointments!$M$5:$M$1204="Completed")*Appointments!$B$5:$B$1204+(1-(Appointments!$E$5:$E$1204=A141)*(Appointments!$M$5:$M$1204="Completed"))*2958465)))))</f>
        <v>0</v>
      </c>
      <c r="Y141" s="17">
        <f>IF(B141="","",IF(T141=0,"",SUMPRODUCT(MAX((Appointments!$E$5:$E$1204=A141)*(Appointments!$M$5:$M$1204="Completed")*Appointments!$B$5:$B$1204))))</f>
        <v>0</v>
      </c>
      <c r="Z141" s="25">
        <f>IF(B141="","",IF(Y141="","",TodayDate-Y141))</f>
        <v>0</v>
      </c>
      <c r="AA141" s="42">
        <f>IF(B141="","",SUMPRODUCT(MIN((Appointments!$E$5:$E$1204=A141)*(Appointments!$M$5:$M$1204&lt;&gt;"Cancelled")*(Appointments!$M$5:$M$1204&lt;&gt;"Completed")*(Appointments!$M$5:$M$1204&lt;&gt;"No show")*(Appointments!$B$5:$B$1204&gt;=TodayDate)*Appointments!$B$5:$B$1204+(1-(Appointments!$E$5:$E$1204=A141)*(Appointments!$M$5:$M$1204&lt;&gt;"Cancelled")*(Appointments!$M$5:$M$1204&lt;&gt;"Completed")*(Appointments!$M$5:$M$1204&lt;&gt;"No show")*(Appointments!$B$5:$B$1204&gt;=TodayDate))*2958465)))</f>
        <v>0</v>
      </c>
      <c r="AB141" s="17">
        <f>IF(B141="","",IF(AA141&gt;=2958465,"",AA141))</f>
        <v>0</v>
      </c>
      <c r="AC141" s="25">
        <f>IF(B141="","",IF(T141&lt;2,"",ROUND((Y141-X141)/MAX(1,T141-1),0)))</f>
        <v>0</v>
      </c>
      <c r="AD141" s="17">
        <f>IF(B141="","",IF(Y141="","",Y141+IF(AC141="",RebookWeeks*7,MAX(14,AC141))))</f>
        <v>0</v>
      </c>
      <c r="AE141" s="26">
        <f>IF(B141="","",ROUND(SUMIFS(Sales!$Y$5:$Y$1204,Sales!$D$5:$D$1204,A141),2))</f>
        <v>0</v>
      </c>
      <c r="AF141" s="26">
        <f>IF(B141="","",ROUND(SUMIFS(Sales!$Y$5:$Y$1204,Sales!$D$5:$D$1204,A141,Sales!$H$5:$H$1204,"Service"),2))</f>
        <v>0</v>
      </c>
      <c r="AG141" s="26">
        <f>IF(B141="","",ROUND(SUMIFS(Sales!$Y$5:$Y$1204,Sales!$D$5:$D$1204,A141,Sales!$H$5:$H$1204,"Retail"),2))</f>
        <v>0</v>
      </c>
      <c r="AH141" s="26">
        <f>IF(B141="","",ROUND(SUMIFS(Sales!$Y$5:$Y$1204,Sales!$D$5:$D$1204,A141,Sales!$B$5:$B$1204,"&gt;="&amp;TodayDate-365),2))</f>
        <v>0</v>
      </c>
      <c r="AI141" s="26">
        <f>IF(B141="","",IF(T141=0,"",ROUND(AE141/T141,2)))</f>
        <v>0</v>
      </c>
      <c r="AJ141" s="26">
        <f>IF(B141="","",IF(AI141="","",IF(AC141="","",ROUND(AI141*(365/MAX(14,AC141)),2))))</f>
        <v>0</v>
      </c>
      <c r="AK141" s="26">
        <f>IF(B141="","",ROUND(SUMIFS(Sales!$AH$5:$AH$1204,Sales!$D$5:$D$1204,A141),2))</f>
        <v>0</v>
      </c>
      <c r="AL141" s="25">
        <f>IF(B141="","",IFERROR(INDEX(Loyalty!$P$5:$P$504,MATCH(A141,Loyalty!$B$5:$B$504,0))*1,0))</f>
        <v>0</v>
      </c>
      <c r="AM141" s="39">
        <f>IF(B141="","",IF(R141="Archived","Archived",IF(T141=0,"Not been yet",IF(Z141&gt;=InactiveDays,"Inactive",IF(Z141&gt;=LapsingDays,"Lapsing",IF(T141=1,"New",IF(AH141&gt;=VipSpend,"VIP",IF(U141&gt;=4,"Regular","Active"))))))))</f>
        <v>0</v>
      </c>
      <c r="AN141" s="38">
        <f>IF(B141="","",IF(T141&gt;=2,"Yes","No"))</f>
        <v>0</v>
      </c>
      <c r="AO141" s="25">
        <f>IF(B141="","",COUNTIFS($AE$5:$AE$504,"&gt;"&amp;AE141)+COUNTIFS($AE$5:AE141,AE141))</f>
        <v>0</v>
      </c>
      <c r="AP141" s="25">
        <f>IF(B141="","",COUNTIFS($T$5:$T$504,"&gt;"&amp;T141)+COUNTIFS($T$5:T141,T141))</f>
        <v>0</v>
      </c>
      <c r="AQ141" s="39">
        <f>IF(B141="","",IF(COUNTIF($B$5:$B$504,B141)&gt;1,"Duplicate - same name twice",IF(R141="Archived","",IF(AK141&gt;0.004,"Chase - balance outstanding",IF(AM141="Inactive","Gone - win-back offer",IF(AM141="Lapsing","Chase - lapsing, call them",IF(IF(N141="",FALSE,TodayDate-N141&gt;PatchTestDays),"Due - patch test out of date",IF(IF(AD141="",FALSE,IF(AB141&lt;&gt;"",FALSE,AD141&lt;=TodayDate+14)),"Rebook - due and nothing booked",IF(IF(K141="",FALSE,ABS(DATE(YEAR(TodayDate),MONTH(K141),DAY(K141))-TodayDate)&lt;=7),"Birthday - send the treat","OK")))))))))</f>
        <v>0</v>
      </c>
    </row>
    <row r="142" spans="1:43">
      <c r="A142" s="28">
        <f>IF(B142="","",ClientPrefix&amp;TEXT(ROW()-4,"0000"))</f>
        <v>0</v>
      </c>
      <c r="J142" s="15">
        <f>IF(I142="","",IFERROR(INDEX(Staff!$B$5:$B$44,MATCH(I142,Staff!$A$5:$A$44,0)),"Not in Staff"))</f>
        <v>0</v>
      </c>
      <c r="T142" s="25">
        <f>IF(B142="","",COUNTIFS(Appointments!$E$5:$E$1204,A142,Appointments!$M$5:$M$1204,"Completed"))</f>
        <v>0</v>
      </c>
      <c r="U142" s="25">
        <f>IF(B142="","",COUNTIFS(Appointments!$E$5:$E$1204,A142,Appointments!$M$5:$M$1204,"Completed",Appointments!$B$5:$B$1204,"&gt;="&amp;TodayDate-365))</f>
        <v>0</v>
      </c>
      <c r="V142" s="25">
        <f>IF(B142="","",COUNTIFS(Appointments!$E$5:$E$1204,A142,Appointments!$M$5:$M$1204,"Cancelled"))</f>
        <v>0</v>
      </c>
      <c r="W142" s="25">
        <f>IF(B142="","",COUNTIFS(Appointments!$E$5:$E$1204,A142,Appointments!$M$5:$M$1204,"No show"))</f>
        <v>0</v>
      </c>
      <c r="X142" s="17">
        <f>IF(B142="","",IF(F142&lt;&gt;"",F142,IF(T142=0,"",SUMPRODUCT(MIN((Appointments!$E$5:$E$1204=A142)*(Appointments!$M$5:$M$1204="Completed")*Appointments!$B$5:$B$1204+(1-(Appointments!$E$5:$E$1204=A142)*(Appointments!$M$5:$M$1204="Completed"))*2958465)))))</f>
        <v>0</v>
      </c>
      <c r="Y142" s="17">
        <f>IF(B142="","",IF(T142=0,"",SUMPRODUCT(MAX((Appointments!$E$5:$E$1204=A142)*(Appointments!$M$5:$M$1204="Completed")*Appointments!$B$5:$B$1204))))</f>
        <v>0</v>
      </c>
      <c r="Z142" s="25">
        <f>IF(B142="","",IF(Y142="","",TodayDate-Y142))</f>
        <v>0</v>
      </c>
      <c r="AA142" s="42">
        <f>IF(B142="","",SUMPRODUCT(MIN((Appointments!$E$5:$E$1204=A142)*(Appointments!$M$5:$M$1204&lt;&gt;"Cancelled")*(Appointments!$M$5:$M$1204&lt;&gt;"Completed")*(Appointments!$M$5:$M$1204&lt;&gt;"No show")*(Appointments!$B$5:$B$1204&gt;=TodayDate)*Appointments!$B$5:$B$1204+(1-(Appointments!$E$5:$E$1204=A142)*(Appointments!$M$5:$M$1204&lt;&gt;"Cancelled")*(Appointments!$M$5:$M$1204&lt;&gt;"Completed")*(Appointments!$M$5:$M$1204&lt;&gt;"No show")*(Appointments!$B$5:$B$1204&gt;=TodayDate))*2958465)))</f>
        <v>0</v>
      </c>
      <c r="AB142" s="17">
        <f>IF(B142="","",IF(AA142&gt;=2958465,"",AA142))</f>
        <v>0</v>
      </c>
      <c r="AC142" s="25">
        <f>IF(B142="","",IF(T142&lt;2,"",ROUND((Y142-X142)/MAX(1,T142-1),0)))</f>
        <v>0</v>
      </c>
      <c r="AD142" s="17">
        <f>IF(B142="","",IF(Y142="","",Y142+IF(AC142="",RebookWeeks*7,MAX(14,AC142))))</f>
        <v>0</v>
      </c>
      <c r="AE142" s="26">
        <f>IF(B142="","",ROUND(SUMIFS(Sales!$Y$5:$Y$1204,Sales!$D$5:$D$1204,A142),2))</f>
        <v>0</v>
      </c>
      <c r="AF142" s="26">
        <f>IF(B142="","",ROUND(SUMIFS(Sales!$Y$5:$Y$1204,Sales!$D$5:$D$1204,A142,Sales!$H$5:$H$1204,"Service"),2))</f>
        <v>0</v>
      </c>
      <c r="AG142" s="26">
        <f>IF(B142="","",ROUND(SUMIFS(Sales!$Y$5:$Y$1204,Sales!$D$5:$D$1204,A142,Sales!$H$5:$H$1204,"Retail"),2))</f>
        <v>0</v>
      </c>
      <c r="AH142" s="26">
        <f>IF(B142="","",ROUND(SUMIFS(Sales!$Y$5:$Y$1204,Sales!$D$5:$D$1204,A142,Sales!$B$5:$B$1204,"&gt;="&amp;TodayDate-365),2))</f>
        <v>0</v>
      </c>
      <c r="AI142" s="26">
        <f>IF(B142="","",IF(T142=0,"",ROUND(AE142/T142,2)))</f>
        <v>0</v>
      </c>
      <c r="AJ142" s="26">
        <f>IF(B142="","",IF(AI142="","",IF(AC142="","",ROUND(AI142*(365/MAX(14,AC142)),2))))</f>
        <v>0</v>
      </c>
      <c r="AK142" s="26">
        <f>IF(B142="","",ROUND(SUMIFS(Sales!$AH$5:$AH$1204,Sales!$D$5:$D$1204,A142),2))</f>
        <v>0</v>
      </c>
      <c r="AL142" s="25">
        <f>IF(B142="","",IFERROR(INDEX(Loyalty!$P$5:$P$504,MATCH(A142,Loyalty!$B$5:$B$504,0))*1,0))</f>
        <v>0</v>
      </c>
      <c r="AM142" s="39">
        <f>IF(B142="","",IF(R142="Archived","Archived",IF(T142=0,"Not been yet",IF(Z142&gt;=InactiveDays,"Inactive",IF(Z142&gt;=LapsingDays,"Lapsing",IF(T142=1,"New",IF(AH142&gt;=VipSpend,"VIP",IF(U142&gt;=4,"Regular","Active"))))))))</f>
        <v>0</v>
      </c>
      <c r="AN142" s="38">
        <f>IF(B142="","",IF(T142&gt;=2,"Yes","No"))</f>
        <v>0</v>
      </c>
      <c r="AO142" s="25">
        <f>IF(B142="","",COUNTIFS($AE$5:$AE$504,"&gt;"&amp;AE142)+COUNTIFS($AE$5:AE142,AE142))</f>
        <v>0</v>
      </c>
      <c r="AP142" s="25">
        <f>IF(B142="","",COUNTIFS($T$5:$T$504,"&gt;"&amp;T142)+COUNTIFS($T$5:T142,T142))</f>
        <v>0</v>
      </c>
      <c r="AQ142" s="39">
        <f>IF(B142="","",IF(COUNTIF($B$5:$B$504,B142)&gt;1,"Duplicate - same name twice",IF(R142="Archived","",IF(AK142&gt;0.004,"Chase - balance outstanding",IF(AM142="Inactive","Gone - win-back offer",IF(AM142="Lapsing","Chase - lapsing, call them",IF(IF(N142="",FALSE,TodayDate-N142&gt;PatchTestDays),"Due - patch test out of date",IF(IF(AD142="",FALSE,IF(AB142&lt;&gt;"",FALSE,AD142&lt;=TodayDate+14)),"Rebook - due and nothing booked",IF(IF(K142="",FALSE,ABS(DATE(YEAR(TodayDate),MONTH(K142),DAY(K142))-TodayDate)&lt;=7),"Birthday - send the treat","OK")))))))))</f>
        <v>0</v>
      </c>
    </row>
    <row r="143" spans="1:43">
      <c r="A143" s="28">
        <f>IF(B143="","",ClientPrefix&amp;TEXT(ROW()-4,"0000"))</f>
        <v>0</v>
      </c>
      <c r="J143" s="15">
        <f>IF(I143="","",IFERROR(INDEX(Staff!$B$5:$B$44,MATCH(I143,Staff!$A$5:$A$44,0)),"Not in Staff"))</f>
        <v>0</v>
      </c>
      <c r="T143" s="25">
        <f>IF(B143="","",COUNTIFS(Appointments!$E$5:$E$1204,A143,Appointments!$M$5:$M$1204,"Completed"))</f>
        <v>0</v>
      </c>
      <c r="U143" s="25">
        <f>IF(B143="","",COUNTIFS(Appointments!$E$5:$E$1204,A143,Appointments!$M$5:$M$1204,"Completed",Appointments!$B$5:$B$1204,"&gt;="&amp;TodayDate-365))</f>
        <v>0</v>
      </c>
      <c r="V143" s="25">
        <f>IF(B143="","",COUNTIFS(Appointments!$E$5:$E$1204,A143,Appointments!$M$5:$M$1204,"Cancelled"))</f>
        <v>0</v>
      </c>
      <c r="W143" s="25">
        <f>IF(B143="","",COUNTIFS(Appointments!$E$5:$E$1204,A143,Appointments!$M$5:$M$1204,"No show"))</f>
        <v>0</v>
      </c>
      <c r="X143" s="17">
        <f>IF(B143="","",IF(F143&lt;&gt;"",F143,IF(T143=0,"",SUMPRODUCT(MIN((Appointments!$E$5:$E$1204=A143)*(Appointments!$M$5:$M$1204="Completed")*Appointments!$B$5:$B$1204+(1-(Appointments!$E$5:$E$1204=A143)*(Appointments!$M$5:$M$1204="Completed"))*2958465)))))</f>
        <v>0</v>
      </c>
      <c r="Y143" s="17">
        <f>IF(B143="","",IF(T143=0,"",SUMPRODUCT(MAX((Appointments!$E$5:$E$1204=A143)*(Appointments!$M$5:$M$1204="Completed")*Appointments!$B$5:$B$1204))))</f>
        <v>0</v>
      </c>
      <c r="Z143" s="25">
        <f>IF(B143="","",IF(Y143="","",TodayDate-Y143))</f>
        <v>0</v>
      </c>
      <c r="AA143" s="42">
        <f>IF(B143="","",SUMPRODUCT(MIN((Appointments!$E$5:$E$1204=A143)*(Appointments!$M$5:$M$1204&lt;&gt;"Cancelled")*(Appointments!$M$5:$M$1204&lt;&gt;"Completed")*(Appointments!$M$5:$M$1204&lt;&gt;"No show")*(Appointments!$B$5:$B$1204&gt;=TodayDate)*Appointments!$B$5:$B$1204+(1-(Appointments!$E$5:$E$1204=A143)*(Appointments!$M$5:$M$1204&lt;&gt;"Cancelled")*(Appointments!$M$5:$M$1204&lt;&gt;"Completed")*(Appointments!$M$5:$M$1204&lt;&gt;"No show")*(Appointments!$B$5:$B$1204&gt;=TodayDate))*2958465)))</f>
        <v>0</v>
      </c>
      <c r="AB143" s="17">
        <f>IF(B143="","",IF(AA143&gt;=2958465,"",AA143))</f>
        <v>0</v>
      </c>
      <c r="AC143" s="25">
        <f>IF(B143="","",IF(T143&lt;2,"",ROUND((Y143-X143)/MAX(1,T143-1),0)))</f>
        <v>0</v>
      </c>
      <c r="AD143" s="17">
        <f>IF(B143="","",IF(Y143="","",Y143+IF(AC143="",RebookWeeks*7,MAX(14,AC143))))</f>
        <v>0</v>
      </c>
      <c r="AE143" s="26">
        <f>IF(B143="","",ROUND(SUMIFS(Sales!$Y$5:$Y$1204,Sales!$D$5:$D$1204,A143),2))</f>
        <v>0</v>
      </c>
      <c r="AF143" s="26">
        <f>IF(B143="","",ROUND(SUMIFS(Sales!$Y$5:$Y$1204,Sales!$D$5:$D$1204,A143,Sales!$H$5:$H$1204,"Service"),2))</f>
        <v>0</v>
      </c>
      <c r="AG143" s="26">
        <f>IF(B143="","",ROUND(SUMIFS(Sales!$Y$5:$Y$1204,Sales!$D$5:$D$1204,A143,Sales!$H$5:$H$1204,"Retail"),2))</f>
        <v>0</v>
      </c>
      <c r="AH143" s="26">
        <f>IF(B143="","",ROUND(SUMIFS(Sales!$Y$5:$Y$1204,Sales!$D$5:$D$1204,A143,Sales!$B$5:$B$1204,"&gt;="&amp;TodayDate-365),2))</f>
        <v>0</v>
      </c>
      <c r="AI143" s="26">
        <f>IF(B143="","",IF(T143=0,"",ROUND(AE143/T143,2)))</f>
        <v>0</v>
      </c>
      <c r="AJ143" s="26">
        <f>IF(B143="","",IF(AI143="","",IF(AC143="","",ROUND(AI143*(365/MAX(14,AC143)),2))))</f>
        <v>0</v>
      </c>
      <c r="AK143" s="26">
        <f>IF(B143="","",ROUND(SUMIFS(Sales!$AH$5:$AH$1204,Sales!$D$5:$D$1204,A143),2))</f>
        <v>0</v>
      </c>
      <c r="AL143" s="25">
        <f>IF(B143="","",IFERROR(INDEX(Loyalty!$P$5:$P$504,MATCH(A143,Loyalty!$B$5:$B$504,0))*1,0))</f>
        <v>0</v>
      </c>
      <c r="AM143" s="39">
        <f>IF(B143="","",IF(R143="Archived","Archived",IF(T143=0,"Not been yet",IF(Z143&gt;=InactiveDays,"Inactive",IF(Z143&gt;=LapsingDays,"Lapsing",IF(T143=1,"New",IF(AH143&gt;=VipSpend,"VIP",IF(U143&gt;=4,"Regular","Active"))))))))</f>
        <v>0</v>
      </c>
      <c r="AN143" s="38">
        <f>IF(B143="","",IF(T143&gt;=2,"Yes","No"))</f>
        <v>0</v>
      </c>
      <c r="AO143" s="25">
        <f>IF(B143="","",COUNTIFS($AE$5:$AE$504,"&gt;"&amp;AE143)+COUNTIFS($AE$5:AE143,AE143))</f>
        <v>0</v>
      </c>
      <c r="AP143" s="25">
        <f>IF(B143="","",COUNTIFS($T$5:$T$504,"&gt;"&amp;T143)+COUNTIFS($T$5:T143,T143))</f>
        <v>0</v>
      </c>
      <c r="AQ143" s="39">
        <f>IF(B143="","",IF(COUNTIF($B$5:$B$504,B143)&gt;1,"Duplicate - same name twice",IF(R143="Archived","",IF(AK143&gt;0.004,"Chase - balance outstanding",IF(AM143="Inactive","Gone - win-back offer",IF(AM143="Lapsing","Chase - lapsing, call them",IF(IF(N143="",FALSE,TodayDate-N143&gt;PatchTestDays),"Due - patch test out of date",IF(IF(AD143="",FALSE,IF(AB143&lt;&gt;"",FALSE,AD143&lt;=TodayDate+14)),"Rebook - due and nothing booked",IF(IF(K143="",FALSE,ABS(DATE(YEAR(TodayDate),MONTH(K143),DAY(K143))-TodayDate)&lt;=7),"Birthday - send the treat","OK")))))))))</f>
        <v>0</v>
      </c>
    </row>
    <row r="144" spans="1:43">
      <c r="A144" s="28">
        <f>IF(B144="","",ClientPrefix&amp;TEXT(ROW()-4,"0000"))</f>
        <v>0</v>
      </c>
      <c r="J144" s="15">
        <f>IF(I144="","",IFERROR(INDEX(Staff!$B$5:$B$44,MATCH(I144,Staff!$A$5:$A$44,0)),"Not in Staff"))</f>
        <v>0</v>
      </c>
      <c r="T144" s="25">
        <f>IF(B144="","",COUNTIFS(Appointments!$E$5:$E$1204,A144,Appointments!$M$5:$M$1204,"Completed"))</f>
        <v>0</v>
      </c>
      <c r="U144" s="25">
        <f>IF(B144="","",COUNTIFS(Appointments!$E$5:$E$1204,A144,Appointments!$M$5:$M$1204,"Completed",Appointments!$B$5:$B$1204,"&gt;="&amp;TodayDate-365))</f>
        <v>0</v>
      </c>
      <c r="V144" s="25">
        <f>IF(B144="","",COUNTIFS(Appointments!$E$5:$E$1204,A144,Appointments!$M$5:$M$1204,"Cancelled"))</f>
        <v>0</v>
      </c>
      <c r="W144" s="25">
        <f>IF(B144="","",COUNTIFS(Appointments!$E$5:$E$1204,A144,Appointments!$M$5:$M$1204,"No show"))</f>
        <v>0</v>
      </c>
      <c r="X144" s="17">
        <f>IF(B144="","",IF(F144&lt;&gt;"",F144,IF(T144=0,"",SUMPRODUCT(MIN((Appointments!$E$5:$E$1204=A144)*(Appointments!$M$5:$M$1204="Completed")*Appointments!$B$5:$B$1204+(1-(Appointments!$E$5:$E$1204=A144)*(Appointments!$M$5:$M$1204="Completed"))*2958465)))))</f>
        <v>0</v>
      </c>
      <c r="Y144" s="17">
        <f>IF(B144="","",IF(T144=0,"",SUMPRODUCT(MAX((Appointments!$E$5:$E$1204=A144)*(Appointments!$M$5:$M$1204="Completed")*Appointments!$B$5:$B$1204))))</f>
        <v>0</v>
      </c>
      <c r="Z144" s="25">
        <f>IF(B144="","",IF(Y144="","",TodayDate-Y144))</f>
        <v>0</v>
      </c>
      <c r="AA144" s="42">
        <f>IF(B144="","",SUMPRODUCT(MIN((Appointments!$E$5:$E$1204=A144)*(Appointments!$M$5:$M$1204&lt;&gt;"Cancelled")*(Appointments!$M$5:$M$1204&lt;&gt;"Completed")*(Appointments!$M$5:$M$1204&lt;&gt;"No show")*(Appointments!$B$5:$B$1204&gt;=TodayDate)*Appointments!$B$5:$B$1204+(1-(Appointments!$E$5:$E$1204=A144)*(Appointments!$M$5:$M$1204&lt;&gt;"Cancelled")*(Appointments!$M$5:$M$1204&lt;&gt;"Completed")*(Appointments!$M$5:$M$1204&lt;&gt;"No show")*(Appointments!$B$5:$B$1204&gt;=TodayDate))*2958465)))</f>
        <v>0</v>
      </c>
      <c r="AB144" s="17">
        <f>IF(B144="","",IF(AA144&gt;=2958465,"",AA144))</f>
        <v>0</v>
      </c>
      <c r="AC144" s="25">
        <f>IF(B144="","",IF(T144&lt;2,"",ROUND((Y144-X144)/MAX(1,T144-1),0)))</f>
        <v>0</v>
      </c>
      <c r="AD144" s="17">
        <f>IF(B144="","",IF(Y144="","",Y144+IF(AC144="",RebookWeeks*7,MAX(14,AC144))))</f>
        <v>0</v>
      </c>
      <c r="AE144" s="26">
        <f>IF(B144="","",ROUND(SUMIFS(Sales!$Y$5:$Y$1204,Sales!$D$5:$D$1204,A144),2))</f>
        <v>0</v>
      </c>
      <c r="AF144" s="26">
        <f>IF(B144="","",ROUND(SUMIFS(Sales!$Y$5:$Y$1204,Sales!$D$5:$D$1204,A144,Sales!$H$5:$H$1204,"Service"),2))</f>
        <v>0</v>
      </c>
      <c r="AG144" s="26">
        <f>IF(B144="","",ROUND(SUMIFS(Sales!$Y$5:$Y$1204,Sales!$D$5:$D$1204,A144,Sales!$H$5:$H$1204,"Retail"),2))</f>
        <v>0</v>
      </c>
      <c r="AH144" s="26">
        <f>IF(B144="","",ROUND(SUMIFS(Sales!$Y$5:$Y$1204,Sales!$D$5:$D$1204,A144,Sales!$B$5:$B$1204,"&gt;="&amp;TodayDate-365),2))</f>
        <v>0</v>
      </c>
      <c r="AI144" s="26">
        <f>IF(B144="","",IF(T144=0,"",ROUND(AE144/T144,2)))</f>
        <v>0</v>
      </c>
      <c r="AJ144" s="26">
        <f>IF(B144="","",IF(AI144="","",IF(AC144="","",ROUND(AI144*(365/MAX(14,AC144)),2))))</f>
        <v>0</v>
      </c>
      <c r="AK144" s="26">
        <f>IF(B144="","",ROUND(SUMIFS(Sales!$AH$5:$AH$1204,Sales!$D$5:$D$1204,A144),2))</f>
        <v>0</v>
      </c>
      <c r="AL144" s="25">
        <f>IF(B144="","",IFERROR(INDEX(Loyalty!$P$5:$P$504,MATCH(A144,Loyalty!$B$5:$B$504,0))*1,0))</f>
        <v>0</v>
      </c>
      <c r="AM144" s="39">
        <f>IF(B144="","",IF(R144="Archived","Archived",IF(T144=0,"Not been yet",IF(Z144&gt;=InactiveDays,"Inactive",IF(Z144&gt;=LapsingDays,"Lapsing",IF(T144=1,"New",IF(AH144&gt;=VipSpend,"VIP",IF(U144&gt;=4,"Regular","Active"))))))))</f>
        <v>0</v>
      </c>
      <c r="AN144" s="38">
        <f>IF(B144="","",IF(T144&gt;=2,"Yes","No"))</f>
        <v>0</v>
      </c>
      <c r="AO144" s="25">
        <f>IF(B144="","",COUNTIFS($AE$5:$AE$504,"&gt;"&amp;AE144)+COUNTIFS($AE$5:AE144,AE144))</f>
        <v>0</v>
      </c>
      <c r="AP144" s="25">
        <f>IF(B144="","",COUNTIFS($T$5:$T$504,"&gt;"&amp;T144)+COUNTIFS($T$5:T144,T144))</f>
        <v>0</v>
      </c>
      <c r="AQ144" s="39">
        <f>IF(B144="","",IF(COUNTIF($B$5:$B$504,B144)&gt;1,"Duplicate - same name twice",IF(R144="Archived","",IF(AK144&gt;0.004,"Chase - balance outstanding",IF(AM144="Inactive","Gone - win-back offer",IF(AM144="Lapsing","Chase - lapsing, call them",IF(IF(N144="",FALSE,TodayDate-N144&gt;PatchTestDays),"Due - patch test out of date",IF(IF(AD144="",FALSE,IF(AB144&lt;&gt;"",FALSE,AD144&lt;=TodayDate+14)),"Rebook - due and nothing booked",IF(IF(K144="",FALSE,ABS(DATE(YEAR(TodayDate),MONTH(K144),DAY(K144))-TodayDate)&lt;=7),"Birthday - send the treat","OK")))))))))</f>
        <v>0</v>
      </c>
    </row>
    <row r="145" spans="1:43">
      <c r="A145" s="28">
        <f>IF(B145="","",ClientPrefix&amp;TEXT(ROW()-4,"0000"))</f>
        <v>0</v>
      </c>
      <c r="J145" s="15">
        <f>IF(I145="","",IFERROR(INDEX(Staff!$B$5:$B$44,MATCH(I145,Staff!$A$5:$A$44,0)),"Not in Staff"))</f>
        <v>0</v>
      </c>
      <c r="T145" s="25">
        <f>IF(B145="","",COUNTIFS(Appointments!$E$5:$E$1204,A145,Appointments!$M$5:$M$1204,"Completed"))</f>
        <v>0</v>
      </c>
      <c r="U145" s="25">
        <f>IF(B145="","",COUNTIFS(Appointments!$E$5:$E$1204,A145,Appointments!$M$5:$M$1204,"Completed",Appointments!$B$5:$B$1204,"&gt;="&amp;TodayDate-365))</f>
        <v>0</v>
      </c>
      <c r="V145" s="25">
        <f>IF(B145="","",COUNTIFS(Appointments!$E$5:$E$1204,A145,Appointments!$M$5:$M$1204,"Cancelled"))</f>
        <v>0</v>
      </c>
      <c r="W145" s="25">
        <f>IF(B145="","",COUNTIFS(Appointments!$E$5:$E$1204,A145,Appointments!$M$5:$M$1204,"No show"))</f>
        <v>0</v>
      </c>
      <c r="X145" s="17">
        <f>IF(B145="","",IF(F145&lt;&gt;"",F145,IF(T145=0,"",SUMPRODUCT(MIN((Appointments!$E$5:$E$1204=A145)*(Appointments!$M$5:$M$1204="Completed")*Appointments!$B$5:$B$1204+(1-(Appointments!$E$5:$E$1204=A145)*(Appointments!$M$5:$M$1204="Completed"))*2958465)))))</f>
        <v>0</v>
      </c>
      <c r="Y145" s="17">
        <f>IF(B145="","",IF(T145=0,"",SUMPRODUCT(MAX((Appointments!$E$5:$E$1204=A145)*(Appointments!$M$5:$M$1204="Completed")*Appointments!$B$5:$B$1204))))</f>
        <v>0</v>
      </c>
      <c r="Z145" s="25">
        <f>IF(B145="","",IF(Y145="","",TodayDate-Y145))</f>
        <v>0</v>
      </c>
      <c r="AA145" s="42">
        <f>IF(B145="","",SUMPRODUCT(MIN((Appointments!$E$5:$E$1204=A145)*(Appointments!$M$5:$M$1204&lt;&gt;"Cancelled")*(Appointments!$M$5:$M$1204&lt;&gt;"Completed")*(Appointments!$M$5:$M$1204&lt;&gt;"No show")*(Appointments!$B$5:$B$1204&gt;=TodayDate)*Appointments!$B$5:$B$1204+(1-(Appointments!$E$5:$E$1204=A145)*(Appointments!$M$5:$M$1204&lt;&gt;"Cancelled")*(Appointments!$M$5:$M$1204&lt;&gt;"Completed")*(Appointments!$M$5:$M$1204&lt;&gt;"No show")*(Appointments!$B$5:$B$1204&gt;=TodayDate))*2958465)))</f>
        <v>0</v>
      </c>
      <c r="AB145" s="17">
        <f>IF(B145="","",IF(AA145&gt;=2958465,"",AA145))</f>
        <v>0</v>
      </c>
      <c r="AC145" s="25">
        <f>IF(B145="","",IF(T145&lt;2,"",ROUND((Y145-X145)/MAX(1,T145-1),0)))</f>
        <v>0</v>
      </c>
      <c r="AD145" s="17">
        <f>IF(B145="","",IF(Y145="","",Y145+IF(AC145="",RebookWeeks*7,MAX(14,AC145))))</f>
        <v>0</v>
      </c>
      <c r="AE145" s="26">
        <f>IF(B145="","",ROUND(SUMIFS(Sales!$Y$5:$Y$1204,Sales!$D$5:$D$1204,A145),2))</f>
        <v>0</v>
      </c>
      <c r="AF145" s="26">
        <f>IF(B145="","",ROUND(SUMIFS(Sales!$Y$5:$Y$1204,Sales!$D$5:$D$1204,A145,Sales!$H$5:$H$1204,"Service"),2))</f>
        <v>0</v>
      </c>
      <c r="AG145" s="26">
        <f>IF(B145="","",ROUND(SUMIFS(Sales!$Y$5:$Y$1204,Sales!$D$5:$D$1204,A145,Sales!$H$5:$H$1204,"Retail"),2))</f>
        <v>0</v>
      </c>
      <c r="AH145" s="26">
        <f>IF(B145="","",ROUND(SUMIFS(Sales!$Y$5:$Y$1204,Sales!$D$5:$D$1204,A145,Sales!$B$5:$B$1204,"&gt;="&amp;TodayDate-365),2))</f>
        <v>0</v>
      </c>
      <c r="AI145" s="26">
        <f>IF(B145="","",IF(T145=0,"",ROUND(AE145/T145,2)))</f>
        <v>0</v>
      </c>
      <c r="AJ145" s="26">
        <f>IF(B145="","",IF(AI145="","",IF(AC145="","",ROUND(AI145*(365/MAX(14,AC145)),2))))</f>
        <v>0</v>
      </c>
      <c r="AK145" s="26">
        <f>IF(B145="","",ROUND(SUMIFS(Sales!$AH$5:$AH$1204,Sales!$D$5:$D$1204,A145),2))</f>
        <v>0</v>
      </c>
      <c r="AL145" s="25">
        <f>IF(B145="","",IFERROR(INDEX(Loyalty!$P$5:$P$504,MATCH(A145,Loyalty!$B$5:$B$504,0))*1,0))</f>
        <v>0</v>
      </c>
      <c r="AM145" s="39">
        <f>IF(B145="","",IF(R145="Archived","Archived",IF(T145=0,"Not been yet",IF(Z145&gt;=InactiveDays,"Inactive",IF(Z145&gt;=LapsingDays,"Lapsing",IF(T145=1,"New",IF(AH145&gt;=VipSpend,"VIP",IF(U145&gt;=4,"Regular","Active"))))))))</f>
        <v>0</v>
      </c>
      <c r="AN145" s="38">
        <f>IF(B145="","",IF(T145&gt;=2,"Yes","No"))</f>
        <v>0</v>
      </c>
      <c r="AO145" s="25">
        <f>IF(B145="","",COUNTIFS($AE$5:$AE$504,"&gt;"&amp;AE145)+COUNTIFS($AE$5:AE145,AE145))</f>
        <v>0</v>
      </c>
      <c r="AP145" s="25">
        <f>IF(B145="","",COUNTIFS($T$5:$T$504,"&gt;"&amp;T145)+COUNTIFS($T$5:T145,T145))</f>
        <v>0</v>
      </c>
      <c r="AQ145" s="39">
        <f>IF(B145="","",IF(COUNTIF($B$5:$B$504,B145)&gt;1,"Duplicate - same name twice",IF(R145="Archived","",IF(AK145&gt;0.004,"Chase - balance outstanding",IF(AM145="Inactive","Gone - win-back offer",IF(AM145="Lapsing","Chase - lapsing, call them",IF(IF(N145="",FALSE,TodayDate-N145&gt;PatchTestDays),"Due - patch test out of date",IF(IF(AD145="",FALSE,IF(AB145&lt;&gt;"",FALSE,AD145&lt;=TodayDate+14)),"Rebook - due and nothing booked",IF(IF(K145="",FALSE,ABS(DATE(YEAR(TodayDate),MONTH(K145),DAY(K145))-TodayDate)&lt;=7),"Birthday - send the treat","OK")))))))))</f>
        <v>0</v>
      </c>
    </row>
    <row r="146" spans="1:43">
      <c r="A146" s="28">
        <f>IF(B146="","",ClientPrefix&amp;TEXT(ROW()-4,"0000"))</f>
        <v>0</v>
      </c>
      <c r="J146" s="15">
        <f>IF(I146="","",IFERROR(INDEX(Staff!$B$5:$B$44,MATCH(I146,Staff!$A$5:$A$44,0)),"Not in Staff"))</f>
        <v>0</v>
      </c>
      <c r="T146" s="25">
        <f>IF(B146="","",COUNTIFS(Appointments!$E$5:$E$1204,A146,Appointments!$M$5:$M$1204,"Completed"))</f>
        <v>0</v>
      </c>
      <c r="U146" s="25">
        <f>IF(B146="","",COUNTIFS(Appointments!$E$5:$E$1204,A146,Appointments!$M$5:$M$1204,"Completed",Appointments!$B$5:$B$1204,"&gt;="&amp;TodayDate-365))</f>
        <v>0</v>
      </c>
      <c r="V146" s="25">
        <f>IF(B146="","",COUNTIFS(Appointments!$E$5:$E$1204,A146,Appointments!$M$5:$M$1204,"Cancelled"))</f>
        <v>0</v>
      </c>
      <c r="W146" s="25">
        <f>IF(B146="","",COUNTIFS(Appointments!$E$5:$E$1204,A146,Appointments!$M$5:$M$1204,"No show"))</f>
        <v>0</v>
      </c>
      <c r="X146" s="17">
        <f>IF(B146="","",IF(F146&lt;&gt;"",F146,IF(T146=0,"",SUMPRODUCT(MIN((Appointments!$E$5:$E$1204=A146)*(Appointments!$M$5:$M$1204="Completed")*Appointments!$B$5:$B$1204+(1-(Appointments!$E$5:$E$1204=A146)*(Appointments!$M$5:$M$1204="Completed"))*2958465)))))</f>
        <v>0</v>
      </c>
      <c r="Y146" s="17">
        <f>IF(B146="","",IF(T146=0,"",SUMPRODUCT(MAX((Appointments!$E$5:$E$1204=A146)*(Appointments!$M$5:$M$1204="Completed")*Appointments!$B$5:$B$1204))))</f>
        <v>0</v>
      </c>
      <c r="Z146" s="25">
        <f>IF(B146="","",IF(Y146="","",TodayDate-Y146))</f>
        <v>0</v>
      </c>
      <c r="AA146" s="42">
        <f>IF(B146="","",SUMPRODUCT(MIN((Appointments!$E$5:$E$1204=A146)*(Appointments!$M$5:$M$1204&lt;&gt;"Cancelled")*(Appointments!$M$5:$M$1204&lt;&gt;"Completed")*(Appointments!$M$5:$M$1204&lt;&gt;"No show")*(Appointments!$B$5:$B$1204&gt;=TodayDate)*Appointments!$B$5:$B$1204+(1-(Appointments!$E$5:$E$1204=A146)*(Appointments!$M$5:$M$1204&lt;&gt;"Cancelled")*(Appointments!$M$5:$M$1204&lt;&gt;"Completed")*(Appointments!$M$5:$M$1204&lt;&gt;"No show")*(Appointments!$B$5:$B$1204&gt;=TodayDate))*2958465)))</f>
        <v>0</v>
      </c>
      <c r="AB146" s="17">
        <f>IF(B146="","",IF(AA146&gt;=2958465,"",AA146))</f>
        <v>0</v>
      </c>
      <c r="AC146" s="25">
        <f>IF(B146="","",IF(T146&lt;2,"",ROUND((Y146-X146)/MAX(1,T146-1),0)))</f>
        <v>0</v>
      </c>
      <c r="AD146" s="17">
        <f>IF(B146="","",IF(Y146="","",Y146+IF(AC146="",RebookWeeks*7,MAX(14,AC146))))</f>
        <v>0</v>
      </c>
      <c r="AE146" s="26">
        <f>IF(B146="","",ROUND(SUMIFS(Sales!$Y$5:$Y$1204,Sales!$D$5:$D$1204,A146),2))</f>
        <v>0</v>
      </c>
      <c r="AF146" s="26">
        <f>IF(B146="","",ROUND(SUMIFS(Sales!$Y$5:$Y$1204,Sales!$D$5:$D$1204,A146,Sales!$H$5:$H$1204,"Service"),2))</f>
        <v>0</v>
      </c>
      <c r="AG146" s="26">
        <f>IF(B146="","",ROUND(SUMIFS(Sales!$Y$5:$Y$1204,Sales!$D$5:$D$1204,A146,Sales!$H$5:$H$1204,"Retail"),2))</f>
        <v>0</v>
      </c>
      <c r="AH146" s="26">
        <f>IF(B146="","",ROUND(SUMIFS(Sales!$Y$5:$Y$1204,Sales!$D$5:$D$1204,A146,Sales!$B$5:$B$1204,"&gt;="&amp;TodayDate-365),2))</f>
        <v>0</v>
      </c>
      <c r="AI146" s="26">
        <f>IF(B146="","",IF(T146=0,"",ROUND(AE146/T146,2)))</f>
        <v>0</v>
      </c>
      <c r="AJ146" s="26">
        <f>IF(B146="","",IF(AI146="","",IF(AC146="","",ROUND(AI146*(365/MAX(14,AC146)),2))))</f>
        <v>0</v>
      </c>
      <c r="AK146" s="26">
        <f>IF(B146="","",ROUND(SUMIFS(Sales!$AH$5:$AH$1204,Sales!$D$5:$D$1204,A146),2))</f>
        <v>0</v>
      </c>
      <c r="AL146" s="25">
        <f>IF(B146="","",IFERROR(INDEX(Loyalty!$P$5:$P$504,MATCH(A146,Loyalty!$B$5:$B$504,0))*1,0))</f>
        <v>0</v>
      </c>
      <c r="AM146" s="39">
        <f>IF(B146="","",IF(R146="Archived","Archived",IF(T146=0,"Not been yet",IF(Z146&gt;=InactiveDays,"Inactive",IF(Z146&gt;=LapsingDays,"Lapsing",IF(T146=1,"New",IF(AH146&gt;=VipSpend,"VIP",IF(U146&gt;=4,"Regular","Active"))))))))</f>
        <v>0</v>
      </c>
      <c r="AN146" s="38">
        <f>IF(B146="","",IF(T146&gt;=2,"Yes","No"))</f>
        <v>0</v>
      </c>
      <c r="AO146" s="25">
        <f>IF(B146="","",COUNTIFS($AE$5:$AE$504,"&gt;"&amp;AE146)+COUNTIFS($AE$5:AE146,AE146))</f>
        <v>0</v>
      </c>
      <c r="AP146" s="25">
        <f>IF(B146="","",COUNTIFS($T$5:$T$504,"&gt;"&amp;T146)+COUNTIFS($T$5:T146,T146))</f>
        <v>0</v>
      </c>
      <c r="AQ146" s="39">
        <f>IF(B146="","",IF(COUNTIF($B$5:$B$504,B146)&gt;1,"Duplicate - same name twice",IF(R146="Archived","",IF(AK146&gt;0.004,"Chase - balance outstanding",IF(AM146="Inactive","Gone - win-back offer",IF(AM146="Lapsing","Chase - lapsing, call them",IF(IF(N146="",FALSE,TodayDate-N146&gt;PatchTestDays),"Due - patch test out of date",IF(IF(AD146="",FALSE,IF(AB146&lt;&gt;"",FALSE,AD146&lt;=TodayDate+14)),"Rebook - due and nothing booked",IF(IF(K146="",FALSE,ABS(DATE(YEAR(TodayDate),MONTH(K146),DAY(K146))-TodayDate)&lt;=7),"Birthday - send the treat","OK")))))))))</f>
        <v>0</v>
      </c>
    </row>
    <row r="147" spans="1:43">
      <c r="A147" s="28">
        <f>IF(B147="","",ClientPrefix&amp;TEXT(ROW()-4,"0000"))</f>
        <v>0</v>
      </c>
      <c r="J147" s="15">
        <f>IF(I147="","",IFERROR(INDEX(Staff!$B$5:$B$44,MATCH(I147,Staff!$A$5:$A$44,0)),"Not in Staff"))</f>
        <v>0</v>
      </c>
      <c r="T147" s="25">
        <f>IF(B147="","",COUNTIFS(Appointments!$E$5:$E$1204,A147,Appointments!$M$5:$M$1204,"Completed"))</f>
        <v>0</v>
      </c>
      <c r="U147" s="25">
        <f>IF(B147="","",COUNTIFS(Appointments!$E$5:$E$1204,A147,Appointments!$M$5:$M$1204,"Completed",Appointments!$B$5:$B$1204,"&gt;="&amp;TodayDate-365))</f>
        <v>0</v>
      </c>
      <c r="V147" s="25">
        <f>IF(B147="","",COUNTIFS(Appointments!$E$5:$E$1204,A147,Appointments!$M$5:$M$1204,"Cancelled"))</f>
        <v>0</v>
      </c>
      <c r="W147" s="25">
        <f>IF(B147="","",COUNTIFS(Appointments!$E$5:$E$1204,A147,Appointments!$M$5:$M$1204,"No show"))</f>
        <v>0</v>
      </c>
      <c r="X147" s="17">
        <f>IF(B147="","",IF(F147&lt;&gt;"",F147,IF(T147=0,"",SUMPRODUCT(MIN((Appointments!$E$5:$E$1204=A147)*(Appointments!$M$5:$M$1204="Completed")*Appointments!$B$5:$B$1204+(1-(Appointments!$E$5:$E$1204=A147)*(Appointments!$M$5:$M$1204="Completed"))*2958465)))))</f>
        <v>0</v>
      </c>
      <c r="Y147" s="17">
        <f>IF(B147="","",IF(T147=0,"",SUMPRODUCT(MAX((Appointments!$E$5:$E$1204=A147)*(Appointments!$M$5:$M$1204="Completed")*Appointments!$B$5:$B$1204))))</f>
        <v>0</v>
      </c>
      <c r="Z147" s="25">
        <f>IF(B147="","",IF(Y147="","",TodayDate-Y147))</f>
        <v>0</v>
      </c>
      <c r="AA147" s="42">
        <f>IF(B147="","",SUMPRODUCT(MIN((Appointments!$E$5:$E$1204=A147)*(Appointments!$M$5:$M$1204&lt;&gt;"Cancelled")*(Appointments!$M$5:$M$1204&lt;&gt;"Completed")*(Appointments!$M$5:$M$1204&lt;&gt;"No show")*(Appointments!$B$5:$B$1204&gt;=TodayDate)*Appointments!$B$5:$B$1204+(1-(Appointments!$E$5:$E$1204=A147)*(Appointments!$M$5:$M$1204&lt;&gt;"Cancelled")*(Appointments!$M$5:$M$1204&lt;&gt;"Completed")*(Appointments!$M$5:$M$1204&lt;&gt;"No show")*(Appointments!$B$5:$B$1204&gt;=TodayDate))*2958465)))</f>
        <v>0</v>
      </c>
      <c r="AB147" s="17">
        <f>IF(B147="","",IF(AA147&gt;=2958465,"",AA147))</f>
        <v>0</v>
      </c>
      <c r="AC147" s="25">
        <f>IF(B147="","",IF(T147&lt;2,"",ROUND((Y147-X147)/MAX(1,T147-1),0)))</f>
        <v>0</v>
      </c>
      <c r="AD147" s="17">
        <f>IF(B147="","",IF(Y147="","",Y147+IF(AC147="",RebookWeeks*7,MAX(14,AC147))))</f>
        <v>0</v>
      </c>
      <c r="AE147" s="26">
        <f>IF(B147="","",ROUND(SUMIFS(Sales!$Y$5:$Y$1204,Sales!$D$5:$D$1204,A147),2))</f>
        <v>0</v>
      </c>
      <c r="AF147" s="26">
        <f>IF(B147="","",ROUND(SUMIFS(Sales!$Y$5:$Y$1204,Sales!$D$5:$D$1204,A147,Sales!$H$5:$H$1204,"Service"),2))</f>
        <v>0</v>
      </c>
      <c r="AG147" s="26">
        <f>IF(B147="","",ROUND(SUMIFS(Sales!$Y$5:$Y$1204,Sales!$D$5:$D$1204,A147,Sales!$H$5:$H$1204,"Retail"),2))</f>
        <v>0</v>
      </c>
      <c r="AH147" s="26">
        <f>IF(B147="","",ROUND(SUMIFS(Sales!$Y$5:$Y$1204,Sales!$D$5:$D$1204,A147,Sales!$B$5:$B$1204,"&gt;="&amp;TodayDate-365),2))</f>
        <v>0</v>
      </c>
      <c r="AI147" s="26">
        <f>IF(B147="","",IF(T147=0,"",ROUND(AE147/T147,2)))</f>
        <v>0</v>
      </c>
      <c r="AJ147" s="26">
        <f>IF(B147="","",IF(AI147="","",IF(AC147="","",ROUND(AI147*(365/MAX(14,AC147)),2))))</f>
        <v>0</v>
      </c>
      <c r="AK147" s="26">
        <f>IF(B147="","",ROUND(SUMIFS(Sales!$AH$5:$AH$1204,Sales!$D$5:$D$1204,A147),2))</f>
        <v>0</v>
      </c>
      <c r="AL147" s="25">
        <f>IF(B147="","",IFERROR(INDEX(Loyalty!$P$5:$P$504,MATCH(A147,Loyalty!$B$5:$B$504,0))*1,0))</f>
        <v>0</v>
      </c>
      <c r="AM147" s="39">
        <f>IF(B147="","",IF(R147="Archived","Archived",IF(T147=0,"Not been yet",IF(Z147&gt;=InactiveDays,"Inactive",IF(Z147&gt;=LapsingDays,"Lapsing",IF(T147=1,"New",IF(AH147&gt;=VipSpend,"VIP",IF(U147&gt;=4,"Regular","Active"))))))))</f>
        <v>0</v>
      </c>
      <c r="AN147" s="38">
        <f>IF(B147="","",IF(T147&gt;=2,"Yes","No"))</f>
        <v>0</v>
      </c>
      <c r="AO147" s="25">
        <f>IF(B147="","",COUNTIFS($AE$5:$AE$504,"&gt;"&amp;AE147)+COUNTIFS($AE$5:AE147,AE147))</f>
        <v>0</v>
      </c>
      <c r="AP147" s="25">
        <f>IF(B147="","",COUNTIFS($T$5:$T$504,"&gt;"&amp;T147)+COUNTIFS($T$5:T147,T147))</f>
        <v>0</v>
      </c>
      <c r="AQ147" s="39">
        <f>IF(B147="","",IF(COUNTIF($B$5:$B$504,B147)&gt;1,"Duplicate - same name twice",IF(R147="Archived","",IF(AK147&gt;0.004,"Chase - balance outstanding",IF(AM147="Inactive","Gone - win-back offer",IF(AM147="Lapsing","Chase - lapsing, call them",IF(IF(N147="",FALSE,TodayDate-N147&gt;PatchTestDays),"Due - patch test out of date",IF(IF(AD147="",FALSE,IF(AB147&lt;&gt;"",FALSE,AD147&lt;=TodayDate+14)),"Rebook - due and nothing booked",IF(IF(K147="",FALSE,ABS(DATE(YEAR(TodayDate),MONTH(K147),DAY(K147))-TodayDate)&lt;=7),"Birthday - send the treat","OK")))))))))</f>
        <v>0</v>
      </c>
    </row>
    <row r="148" spans="1:43">
      <c r="A148" s="28">
        <f>IF(B148="","",ClientPrefix&amp;TEXT(ROW()-4,"0000"))</f>
        <v>0</v>
      </c>
      <c r="J148" s="15">
        <f>IF(I148="","",IFERROR(INDEX(Staff!$B$5:$B$44,MATCH(I148,Staff!$A$5:$A$44,0)),"Not in Staff"))</f>
        <v>0</v>
      </c>
      <c r="T148" s="25">
        <f>IF(B148="","",COUNTIFS(Appointments!$E$5:$E$1204,A148,Appointments!$M$5:$M$1204,"Completed"))</f>
        <v>0</v>
      </c>
      <c r="U148" s="25">
        <f>IF(B148="","",COUNTIFS(Appointments!$E$5:$E$1204,A148,Appointments!$M$5:$M$1204,"Completed",Appointments!$B$5:$B$1204,"&gt;="&amp;TodayDate-365))</f>
        <v>0</v>
      </c>
      <c r="V148" s="25">
        <f>IF(B148="","",COUNTIFS(Appointments!$E$5:$E$1204,A148,Appointments!$M$5:$M$1204,"Cancelled"))</f>
        <v>0</v>
      </c>
      <c r="W148" s="25">
        <f>IF(B148="","",COUNTIFS(Appointments!$E$5:$E$1204,A148,Appointments!$M$5:$M$1204,"No show"))</f>
        <v>0</v>
      </c>
      <c r="X148" s="17">
        <f>IF(B148="","",IF(F148&lt;&gt;"",F148,IF(T148=0,"",SUMPRODUCT(MIN((Appointments!$E$5:$E$1204=A148)*(Appointments!$M$5:$M$1204="Completed")*Appointments!$B$5:$B$1204+(1-(Appointments!$E$5:$E$1204=A148)*(Appointments!$M$5:$M$1204="Completed"))*2958465)))))</f>
        <v>0</v>
      </c>
      <c r="Y148" s="17">
        <f>IF(B148="","",IF(T148=0,"",SUMPRODUCT(MAX((Appointments!$E$5:$E$1204=A148)*(Appointments!$M$5:$M$1204="Completed")*Appointments!$B$5:$B$1204))))</f>
        <v>0</v>
      </c>
      <c r="Z148" s="25">
        <f>IF(B148="","",IF(Y148="","",TodayDate-Y148))</f>
        <v>0</v>
      </c>
      <c r="AA148" s="42">
        <f>IF(B148="","",SUMPRODUCT(MIN((Appointments!$E$5:$E$1204=A148)*(Appointments!$M$5:$M$1204&lt;&gt;"Cancelled")*(Appointments!$M$5:$M$1204&lt;&gt;"Completed")*(Appointments!$M$5:$M$1204&lt;&gt;"No show")*(Appointments!$B$5:$B$1204&gt;=TodayDate)*Appointments!$B$5:$B$1204+(1-(Appointments!$E$5:$E$1204=A148)*(Appointments!$M$5:$M$1204&lt;&gt;"Cancelled")*(Appointments!$M$5:$M$1204&lt;&gt;"Completed")*(Appointments!$M$5:$M$1204&lt;&gt;"No show")*(Appointments!$B$5:$B$1204&gt;=TodayDate))*2958465)))</f>
        <v>0</v>
      </c>
      <c r="AB148" s="17">
        <f>IF(B148="","",IF(AA148&gt;=2958465,"",AA148))</f>
        <v>0</v>
      </c>
      <c r="AC148" s="25">
        <f>IF(B148="","",IF(T148&lt;2,"",ROUND((Y148-X148)/MAX(1,T148-1),0)))</f>
        <v>0</v>
      </c>
      <c r="AD148" s="17">
        <f>IF(B148="","",IF(Y148="","",Y148+IF(AC148="",RebookWeeks*7,MAX(14,AC148))))</f>
        <v>0</v>
      </c>
      <c r="AE148" s="26">
        <f>IF(B148="","",ROUND(SUMIFS(Sales!$Y$5:$Y$1204,Sales!$D$5:$D$1204,A148),2))</f>
        <v>0</v>
      </c>
      <c r="AF148" s="26">
        <f>IF(B148="","",ROUND(SUMIFS(Sales!$Y$5:$Y$1204,Sales!$D$5:$D$1204,A148,Sales!$H$5:$H$1204,"Service"),2))</f>
        <v>0</v>
      </c>
      <c r="AG148" s="26">
        <f>IF(B148="","",ROUND(SUMIFS(Sales!$Y$5:$Y$1204,Sales!$D$5:$D$1204,A148,Sales!$H$5:$H$1204,"Retail"),2))</f>
        <v>0</v>
      </c>
      <c r="AH148" s="26">
        <f>IF(B148="","",ROUND(SUMIFS(Sales!$Y$5:$Y$1204,Sales!$D$5:$D$1204,A148,Sales!$B$5:$B$1204,"&gt;="&amp;TodayDate-365),2))</f>
        <v>0</v>
      </c>
      <c r="AI148" s="26">
        <f>IF(B148="","",IF(T148=0,"",ROUND(AE148/T148,2)))</f>
        <v>0</v>
      </c>
      <c r="AJ148" s="26">
        <f>IF(B148="","",IF(AI148="","",IF(AC148="","",ROUND(AI148*(365/MAX(14,AC148)),2))))</f>
        <v>0</v>
      </c>
      <c r="AK148" s="26">
        <f>IF(B148="","",ROUND(SUMIFS(Sales!$AH$5:$AH$1204,Sales!$D$5:$D$1204,A148),2))</f>
        <v>0</v>
      </c>
      <c r="AL148" s="25">
        <f>IF(B148="","",IFERROR(INDEX(Loyalty!$P$5:$P$504,MATCH(A148,Loyalty!$B$5:$B$504,0))*1,0))</f>
        <v>0</v>
      </c>
      <c r="AM148" s="39">
        <f>IF(B148="","",IF(R148="Archived","Archived",IF(T148=0,"Not been yet",IF(Z148&gt;=InactiveDays,"Inactive",IF(Z148&gt;=LapsingDays,"Lapsing",IF(T148=1,"New",IF(AH148&gt;=VipSpend,"VIP",IF(U148&gt;=4,"Regular","Active"))))))))</f>
        <v>0</v>
      </c>
      <c r="AN148" s="38">
        <f>IF(B148="","",IF(T148&gt;=2,"Yes","No"))</f>
        <v>0</v>
      </c>
      <c r="AO148" s="25">
        <f>IF(B148="","",COUNTIFS($AE$5:$AE$504,"&gt;"&amp;AE148)+COUNTIFS($AE$5:AE148,AE148))</f>
        <v>0</v>
      </c>
      <c r="AP148" s="25">
        <f>IF(B148="","",COUNTIFS($T$5:$T$504,"&gt;"&amp;T148)+COUNTIFS($T$5:T148,T148))</f>
        <v>0</v>
      </c>
      <c r="AQ148" s="39">
        <f>IF(B148="","",IF(COUNTIF($B$5:$B$504,B148)&gt;1,"Duplicate - same name twice",IF(R148="Archived","",IF(AK148&gt;0.004,"Chase - balance outstanding",IF(AM148="Inactive","Gone - win-back offer",IF(AM148="Lapsing","Chase - lapsing, call them",IF(IF(N148="",FALSE,TodayDate-N148&gt;PatchTestDays),"Due - patch test out of date",IF(IF(AD148="",FALSE,IF(AB148&lt;&gt;"",FALSE,AD148&lt;=TodayDate+14)),"Rebook - due and nothing booked",IF(IF(K148="",FALSE,ABS(DATE(YEAR(TodayDate),MONTH(K148),DAY(K148))-TodayDate)&lt;=7),"Birthday - send the treat","OK")))))))))</f>
        <v>0</v>
      </c>
    </row>
    <row r="149" spans="1:43">
      <c r="A149" s="28">
        <f>IF(B149="","",ClientPrefix&amp;TEXT(ROW()-4,"0000"))</f>
        <v>0</v>
      </c>
      <c r="J149" s="15">
        <f>IF(I149="","",IFERROR(INDEX(Staff!$B$5:$B$44,MATCH(I149,Staff!$A$5:$A$44,0)),"Not in Staff"))</f>
        <v>0</v>
      </c>
      <c r="T149" s="25">
        <f>IF(B149="","",COUNTIFS(Appointments!$E$5:$E$1204,A149,Appointments!$M$5:$M$1204,"Completed"))</f>
        <v>0</v>
      </c>
      <c r="U149" s="25">
        <f>IF(B149="","",COUNTIFS(Appointments!$E$5:$E$1204,A149,Appointments!$M$5:$M$1204,"Completed",Appointments!$B$5:$B$1204,"&gt;="&amp;TodayDate-365))</f>
        <v>0</v>
      </c>
      <c r="V149" s="25">
        <f>IF(B149="","",COUNTIFS(Appointments!$E$5:$E$1204,A149,Appointments!$M$5:$M$1204,"Cancelled"))</f>
        <v>0</v>
      </c>
      <c r="W149" s="25">
        <f>IF(B149="","",COUNTIFS(Appointments!$E$5:$E$1204,A149,Appointments!$M$5:$M$1204,"No show"))</f>
        <v>0</v>
      </c>
      <c r="X149" s="17">
        <f>IF(B149="","",IF(F149&lt;&gt;"",F149,IF(T149=0,"",SUMPRODUCT(MIN((Appointments!$E$5:$E$1204=A149)*(Appointments!$M$5:$M$1204="Completed")*Appointments!$B$5:$B$1204+(1-(Appointments!$E$5:$E$1204=A149)*(Appointments!$M$5:$M$1204="Completed"))*2958465)))))</f>
        <v>0</v>
      </c>
      <c r="Y149" s="17">
        <f>IF(B149="","",IF(T149=0,"",SUMPRODUCT(MAX((Appointments!$E$5:$E$1204=A149)*(Appointments!$M$5:$M$1204="Completed")*Appointments!$B$5:$B$1204))))</f>
        <v>0</v>
      </c>
      <c r="Z149" s="25">
        <f>IF(B149="","",IF(Y149="","",TodayDate-Y149))</f>
        <v>0</v>
      </c>
      <c r="AA149" s="42">
        <f>IF(B149="","",SUMPRODUCT(MIN((Appointments!$E$5:$E$1204=A149)*(Appointments!$M$5:$M$1204&lt;&gt;"Cancelled")*(Appointments!$M$5:$M$1204&lt;&gt;"Completed")*(Appointments!$M$5:$M$1204&lt;&gt;"No show")*(Appointments!$B$5:$B$1204&gt;=TodayDate)*Appointments!$B$5:$B$1204+(1-(Appointments!$E$5:$E$1204=A149)*(Appointments!$M$5:$M$1204&lt;&gt;"Cancelled")*(Appointments!$M$5:$M$1204&lt;&gt;"Completed")*(Appointments!$M$5:$M$1204&lt;&gt;"No show")*(Appointments!$B$5:$B$1204&gt;=TodayDate))*2958465)))</f>
        <v>0</v>
      </c>
      <c r="AB149" s="17">
        <f>IF(B149="","",IF(AA149&gt;=2958465,"",AA149))</f>
        <v>0</v>
      </c>
      <c r="AC149" s="25">
        <f>IF(B149="","",IF(T149&lt;2,"",ROUND((Y149-X149)/MAX(1,T149-1),0)))</f>
        <v>0</v>
      </c>
      <c r="AD149" s="17">
        <f>IF(B149="","",IF(Y149="","",Y149+IF(AC149="",RebookWeeks*7,MAX(14,AC149))))</f>
        <v>0</v>
      </c>
      <c r="AE149" s="26">
        <f>IF(B149="","",ROUND(SUMIFS(Sales!$Y$5:$Y$1204,Sales!$D$5:$D$1204,A149),2))</f>
        <v>0</v>
      </c>
      <c r="AF149" s="26">
        <f>IF(B149="","",ROUND(SUMIFS(Sales!$Y$5:$Y$1204,Sales!$D$5:$D$1204,A149,Sales!$H$5:$H$1204,"Service"),2))</f>
        <v>0</v>
      </c>
      <c r="AG149" s="26">
        <f>IF(B149="","",ROUND(SUMIFS(Sales!$Y$5:$Y$1204,Sales!$D$5:$D$1204,A149,Sales!$H$5:$H$1204,"Retail"),2))</f>
        <v>0</v>
      </c>
      <c r="AH149" s="26">
        <f>IF(B149="","",ROUND(SUMIFS(Sales!$Y$5:$Y$1204,Sales!$D$5:$D$1204,A149,Sales!$B$5:$B$1204,"&gt;="&amp;TodayDate-365),2))</f>
        <v>0</v>
      </c>
      <c r="AI149" s="26">
        <f>IF(B149="","",IF(T149=0,"",ROUND(AE149/T149,2)))</f>
        <v>0</v>
      </c>
      <c r="AJ149" s="26">
        <f>IF(B149="","",IF(AI149="","",IF(AC149="","",ROUND(AI149*(365/MAX(14,AC149)),2))))</f>
        <v>0</v>
      </c>
      <c r="AK149" s="26">
        <f>IF(B149="","",ROUND(SUMIFS(Sales!$AH$5:$AH$1204,Sales!$D$5:$D$1204,A149),2))</f>
        <v>0</v>
      </c>
      <c r="AL149" s="25">
        <f>IF(B149="","",IFERROR(INDEX(Loyalty!$P$5:$P$504,MATCH(A149,Loyalty!$B$5:$B$504,0))*1,0))</f>
        <v>0</v>
      </c>
      <c r="AM149" s="39">
        <f>IF(B149="","",IF(R149="Archived","Archived",IF(T149=0,"Not been yet",IF(Z149&gt;=InactiveDays,"Inactive",IF(Z149&gt;=LapsingDays,"Lapsing",IF(T149=1,"New",IF(AH149&gt;=VipSpend,"VIP",IF(U149&gt;=4,"Regular","Active"))))))))</f>
        <v>0</v>
      </c>
      <c r="AN149" s="38">
        <f>IF(B149="","",IF(T149&gt;=2,"Yes","No"))</f>
        <v>0</v>
      </c>
      <c r="AO149" s="25">
        <f>IF(B149="","",COUNTIFS($AE$5:$AE$504,"&gt;"&amp;AE149)+COUNTIFS($AE$5:AE149,AE149))</f>
        <v>0</v>
      </c>
      <c r="AP149" s="25">
        <f>IF(B149="","",COUNTIFS($T$5:$T$504,"&gt;"&amp;T149)+COUNTIFS($T$5:T149,T149))</f>
        <v>0</v>
      </c>
      <c r="AQ149" s="39">
        <f>IF(B149="","",IF(COUNTIF($B$5:$B$504,B149)&gt;1,"Duplicate - same name twice",IF(R149="Archived","",IF(AK149&gt;0.004,"Chase - balance outstanding",IF(AM149="Inactive","Gone - win-back offer",IF(AM149="Lapsing","Chase - lapsing, call them",IF(IF(N149="",FALSE,TodayDate-N149&gt;PatchTestDays),"Due - patch test out of date",IF(IF(AD149="",FALSE,IF(AB149&lt;&gt;"",FALSE,AD149&lt;=TodayDate+14)),"Rebook - due and nothing booked",IF(IF(K149="",FALSE,ABS(DATE(YEAR(TodayDate),MONTH(K149),DAY(K149))-TodayDate)&lt;=7),"Birthday - send the treat","OK")))))))))</f>
        <v>0</v>
      </c>
    </row>
    <row r="150" spans="1:43">
      <c r="A150" s="28">
        <f>IF(B150="","",ClientPrefix&amp;TEXT(ROW()-4,"0000"))</f>
        <v>0</v>
      </c>
      <c r="J150" s="15">
        <f>IF(I150="","",IFERROR(INDEX(Staff!$B$5:$B$44,MATCH(I150,Staff!$A$5:$A$44,0)),"Not in Staff"))</f>
        <v>0</v>
      </c>
      <c r="T150" s="25">
        <f>IF(B150="","",COUNTIFS(Appointments!$E$5:$E$1204,A150,Appointments!$M$5:$M$1204,"Completed"))</f>
        <v>0</v>
      </c>
      <c r="U150" s="25">
        <f>IF(B150="","",COUNTIFS(Appointments!$E$5:$E$1204,A150,Appointments!$M$5:$M$1204,"Completed",Appointments!$B$5:$B$1204,"&gt;="&amp;TodayDate-365))</f>
        <v>0</v>
      </c>
      <c r="V150" s="25">
        <f>IF(B150="","",COUNTIFS(Appointments!$E$5:$E$1204,A150,Appointments!$M$5:$M$1204,"Cancelled"))</f>
        <v>0</v>
      </c>
      <c r="W150" s="25">
        <f>IF(B150="","",COUNTIFS(Appointments!$E$5:$E$1204,A150,Appointments!$M$5:$M$1204,"No show"))</f>
        <v>0</v>
      </c>
      <c r="X150" s="17">
        <f>IF(B150="","",IF(F150&lt;&gt;"",F150,IF(T150=0,"",SUMPRODUCT(MIN((Appointments!$E$5:$E$1204=A150)*(Appointments!$M$5:$M$1204="Completed")*Appointments!$B$5:$B$1204+(1-(Appointments!$E$5:$E$1204=A150)*(Appointments!$M$5:$M$1204="Completed"))*2958465)))))</f>
        <v>0</v>
      </c>
      <c r="Y150" s="17">
        <f>IF(B150="","",IF(T150=0,"",SUMPRODUCT(MAX((Appointments!$E$5:$E$1204=A150)*(Appointments!$M$5:$M$1204="Completed")*Appointments!$B$5:$B$1204))))</f>
        <v>0</v>
      </c>
      <c r="Z150" s="25">
        <f>IF(B150="","",IF(Y150="","",TodayDate-Y150))</f>
        <v>0</v>
      </c>
      <c r="AA150" s="42">
        <f>IF(B150="","",SUMPRODUCT(MIN((Appointments!$E$5:$E$1204=A150)*(Appointments!$M$5:$M$1204&lt;&gt;"Cancelled")*(Appointments!$M$5:$M$1204&lt;&gt;"Completed")*(Appointments!$M$5:$M$1204&lt;&gt;"No show")*(Appointments!$B$5:$B$1204&gt;=TodayDate)*Appointments!$B$5:$B$1204+(1-(Appointments!$E$5:$E$1204=A150)*(Appointments!$M$5:$M$1204&lt;&gt;"Cancelled")*(Appointments!$M$5:$M$1204&lt;&gt;"Completed")*(Appointments!$M$5:$M$1204&lt;&gt;"No show")*(Appointments!$B$5:$B$1204&gt;=TodayDate))*2958465)))</f>
        <v>0</v>
      </c>
      <c r="AB150" s="17">
        <f>IF(B150="","",IF(AA150&gt;=2958465,"",AA150))</f>
        <v>0</v>
      </c>
      <c r="AC150" s="25">
        <f>IF(B150="","",IF(T150&lt;2,"",ROUND((Y150-X150)/MAX(1,T150-1),0)))</f>
        <v>0</v>
      </c>
      <c r="AD150" s="17">
        <f>IF(B150="","",IF(Y150="","",Y150+IF(AC150="",RebookWeeks*7,MAX(14,AC150))))</f>
        <v>0</v>
      </c>
      <c r="AE150" s="26">
        <f>IF(B150="","",ROUND(SUMIFS(Sales!$Y$5:$Y$1204,Sales!$D$5:$D$1204,A150),2))</f>
        <v>0</v>
      </c>
      <c r="AF150" s="26">
        <f>IF(B150="","",ROUND(SUMIFS(Sales!$Y$5:$Y$1204,Sales!$D$5:$D$1204,A150,Sales!$H$5:$H$1204,"Service"),2))</f>
        <v>0</v>
      </c>
      <c r="AG150" s="26">
        <f>IF(B150="","",ROUND(SUMIFS(Sales!$Y$5:$Y$1204,Sales!$D$5:$D$1204,A150,Sales!$H$5:$H$1204,"Retail"),2))</f>
        <v>0</v>
      </c>
      <c r="AH150" s="26">
        <f>IF(B150="","",ROUND(SUMIFS(Sales!$Y$5:$Y$1204,Sales!$D$5:$D$1204,A150,Sales!$B$5:$B$1204,"&gt;="&amp;TodayDate-365),2))</f>
        <v>0</v>
      </c>
      <c r="AI150" s="26">
        <f>IF(B150="","",IF(T150=0,"",ROUND(AE150/T150,2)))</f>
        <v>0</v>
      </c>
      <c r="AJ150" s="26">
        <f>IF(B150="","",IF(AI150="","",IF(AC150="","",ROUND(AI150*(365/MAX(14,AC150)),2))))</f>
        <v>0</v>
      </c>
      <c r="AK150" s="26">
        <f>IF(B150="","",ROUND(SUMIFS(Sales!$AH$5:$AH$1204,Sales!$D$5:$D$1204,A150),2))</f>
        <v>0</v>
      </c>
      <c r="AL150" s="25">
        <f>IF(B150="","",IFERROR(INDEX(Loyalty!$P$5:$P$504,MATCH(A150,Loyalty!$B$5:$B$504,0))*1,0))</f>
        <v>0</v>
      </c>
      <c r="AM150" s="39">
        <f>IF(B150="","",IF(R150="Archived","Archived",IF(T150=0,"Not been yet",IF(Z150&gt;=InactiveDays,"Inactive",IF(Z150&gt;=LapsingDays,"Lapsing",IF(T150=1,"New",IF(AH150&gt;=VipSpend,"VIP",IF(U150&gt;=4,"Regular","Active"))))))))</f>
        <v>0</v>
      </c>
      <c r="AN150" s="38">
        <f>IF(B150="","",IF(T150&gt;=2,"Yes","No"))</f>
        <v>0</v>
      </c>
      <c r="AO150" s="25">
        <f>IF(B150="","",COUNTIFS($AE$5:$AE$504,"&gt;"&amp;AE150)+COUNTIFS($AE$5:AE150,AE150))</f>
        <v>0</v>
      </c>
      <c r="AP150" s="25">
        <f>IF(B150="","",COUNTIFS($T$5:$T$504,"&gt;"&amp;T150)+COUNTIFS($T$5:T150,T150))</f>
        <v>0</v>
      </c>
      <c r="AQ150" s="39">
        <f>IF(B150="","",IF(COUNTIF($B$5:$B$504,B150)&gt;1,"Duplicate - same name twice",IF(R150="Archived","",IF(AK150&gt;0.004,"Chase - balance outstanding",IF(AM150="Inactive","Gone - win-back offer",IF(AM150="Lapsing","Chase - lapsing, call them",IF(IF(N150="",FALSE,TodayDate-N150&gt;PatchTestDays),"Due - patch test out of date",IF(IF(AD150="",FALSE,IF(AB150&lt;&gt;"",FALSE,AD150&lt;=TodayDate+14)),"Rebook - due and nothing booked",IF(IF(K150="",FALSE,ABS(DATE(YEAR(TodayDate),MONTH(K150),DAY(K150))-TodayDate)&lt;=7),"Birthday - send the treat","OK")))))))))</f>
        <v>0</v>
      </c>
    </row>
    <row r="151" spans="1:43">
      <c r="A151" s="28">
        <f>IF(B151="","",ClientPrefix&amp;TEXT(ROW()-4,"0000"))</f>
        <v>0</v>
      </c>
      <c r="J151" s="15">
        <f>IF(I151="","",IFERROR(INDEX(Staff!$B$5:$B$44,MATCH(I151,Staff!$A$5:$A$44,0)),"Not in Staff"))</f>
        <v>0</v>
      </c>
      <c r="T151" s="25">
        <f>IF(B151="","",COUNTIFS(Appointments!$E$5:$E$1204,A151,Appointments!$M$5:$M$1204,"Completed"))</f>
        <v>0</v>
      </c>
      <c r="U151" s="25">
        <f>IF(B151="","",COUNTIFS(Appointments!$E$5:$E$1204,A151,Appointments!$M$5:$M$1204,"Completed",Appointments!$B$5:$B$1204,"&gt;="&amp;TodayDate-365))</f>
        <v>0</v>
      </c>
      <c r="V151" s="25">
        <f>IF(B151="","",COUNTIFS(Appointments!$E$5:$E$1204,A151,Appointments!$M$5:$M$1204,"Cancelled"))</f>
        <v>0</v>
      </c>
      <c r="W151" s="25">
        <f>IF(B151="","",COUNTIFS(Appointments!$E$5:$E$1204,A151,Appointments!$M$5:$M$1204,"No show"))</f>
        <v>0</v>
      </c>
      <c r="X151" s="17">
        <f>IF(B151="","",IF(F151&lt;&gt;"",F151,IF(T151=0,"",SUMPRODUCT(MIN((Appointments!$E$5:$E$1204=A151)*(Appointments!$M$5:$M$1204="Completed")*Appointments!$B$5:$B$1204+(1-(Appointments!$E$5:$E$1204=A151)*(Appointments!$M$5:$M$1204="Completed"))*2958465)))))</f>
        <v>0</v>
      </c>
      <c r="Y151" s="17">
        <f>IF(B151="","",IF(T151=0,"",SUMPRODUCT(MAX((Appointments!$E$5:$E$1204=A151)*(Appointments!$M$5:$M$1204="Completed")*Appointments!$B$5:$B$1204))))</f>
        <v>0</v>
      </c>
      <c r="Z151" s="25">
        <f>IF(B151="","",IF(Y151="","",TodayDate-Y151))</f>
        <v>0</v>
      </c>
      <c r="AA151" s="42">
        <f>IF(B151="","",SUMPRODUCT(MIN((Appointments!$E$5:$E$1204=A151)*(Appointments!$M$5:$M$1204&lt;&gt;"Cancelled")*(Appointments!$M$5:$M$1204&lt;&gt;"Completed")*(Appointments!$M$5:$M$1204&lt;&gt;"No show")*(Appointments!$B$5:$B$1204&gt;=TodayDate)*Appointments!$B$5:$B$1204+(1-(Appointments!$E$5:$E$1204=A151)*(Appointments!$M$5:$M$1204&lt;&gt;"Cancelled")*(Appointments!$M$5:$M$1204&lt;&gt;"Completed")*(Appointments!$M$5:$M$1204&lt;&gt;"No show")*(Appointments!$B$5:$B$1204&gt;=TodayDate))*2958465)))</f>
        <v>0</v>
      </c>
      <c r="AB151" s="17">
        <f>IF(B151="","",IF(AA151&gt;=2958465,"",AA151))</f>
        <v>0</v>
      </c>
      <c r="AC151" s="25">
        <f>IF(B151="","",IF(T151&lt;2,"",ROUND((Y151-X151)/MAX(1,T151-1),0)))</f>
        <v>0</v>
      </c>
      <c r="AD151" s="17">
        <f>IF(B151="","",IF(Y151="","",Y151+IF(AC151="",RebookWeeks*7,MAX(14,AC151))))</f>
        <v>0</v>
      </c>
      <c r="AE151" s="26">
        <f>IF(B151="","",ROUND(SUMIFS(Sales!$Y$5:$Y$1204,Sales!$D$5:$D$1204,A151),2))</f>
        <v>0</v>
      </c>
      <c r="AF151" s="26">
        <f>IF(B151="","",ROUND(SUMIFS(Sales!$Y$5:$Y$1204,Sales!$D$5:$D$1204,A151,Sales!$H$5:$H$1204,"Service"),2))</f>
        <v>0</v>
      </c>
      <c r="AG151" s="26">
        <f>IF(B151="","",ROUND(SUMIFS(Sales!$Y$5:$Y$1204,Sales!$D$5:$D$1204,A151,Sales!$H$5:$H$1204,"Retail"),2))</f>
        <v>0</v>
      </c>
      <c r="AH151" s="26">
        <f>IF(B151="","",ROUND(SUMIFS(Sales!$Y$5:$Y$1204,Sales!$D$5:$D$1204,A151,Sales!$B$5:$B$1204,"&gt;="&amp;TodayDate-365),2))</f>
        <v>0</v>
      </c>
      <c r="AI151" s="26">
        <f>IF(B151="","",IF(T151=0,"",ROUND(AE151/T151,2)))</f>
        <v>0</v>
      </c>
      <c r="AJ151" s="26">
        <f>IF(B151="","",IF(AI151="","",IF(AC151="","",ROUND(AI151*(365/MAX(14,AC151)),2))))</f>
        <v>0</v>
      </c>
      <c r="AK151" s="26">
        <f>IF(B151="","",ROUND(SUMIFS(Sales!$AH$5:$AH$1204,Sales!$D$5:$D$1204,A151),2))</f>
        <v>0</v>
      </c>
      <c r="AL151" s="25">
        <f>IF(B151="","",IFERROR(INDEX(Loyalty!$P$5:$P$504,MATCH(A151,Loyalty!$B$5:$B$504,0))*1,0))</f>
        <v>0</v>
      </c>
      <c r="AM151" s="39">
        <f>IF(B151="","",IF(R151="Archived","Archived",IF(T151=0,"Not been yet",IF(Z151&gt;=InactiveDays,"Inactive",IF(Z151&gt;=LapsingDays,"Lapsing",IF(T151=1,"New",IF(AH151&gt;=VipSpend,"VIP",IF(U151&gt;=4,"Regular","Active"))))))))</f>
        <v>0</v>
      </c>
      <c r="AN151" s="38">
        <f>IF(B151="","",IF(T151&gt;=2,"Yes","No"))</f>
        <v>0</v>
      </c>
      <c r="AO151" s="25">
        <f>IF(B151="","",COUNTIFS($AE$5:$AE$504,"&gt;"&amp;AE151)+COUNTIFS($AE$5:AE151,AE151))</f>
        <v>0</v>
      </c>
      <c r="AP151" s="25">
        <f>IF(B151="","",COUNTIFS($T$5:$T$504,"&gt;"&amp;T151)+COUNTIFS($T$5:T151,T151))</f>
        <v>0</v>
      </c>
      <c r="AQ151" s="39">
        <f>IF(B151="","",IF(COUNTIF($B$5:$B$504,B151)&gt;1,"Duplicate - same name twice",IF(R151="Archived","",IF(AK151&gt;0.004,"Chase - balance outstanding",IF(AM151="Inactive","Gone - win-back offer",IF(AM151="Lapsing","Chase - lapsing, call them",IF(IF(N151="",FALSE,TodayDate-N151&gt;PatchTestDays),"Due - patch test out of date",IF(IF(AD151="",FALSE,IF(AB151&lt;&gt;"",FALSE,AD151&lt;=TodayDate+14)),"Rebook - due and nothing booked",IF(IF(K151="",FALSE,ABS(DATE(YEAR(TodayDate),MONTH(K151),DAY(K151))-TodayDate)&lt;=7),"Birthday - send the treat","OK")))))))))</f>
        <v>0</v>
      </c>
    </row>
    <row r="152" spans="1:43">
      <c r="A152" s="28">
        <f>IF(B152="","",ClientPrefix&amp;TEXT(ROW()-4,"0000"))</f>
        <v>0</v>
      </c>
      <c r="J152" s="15">
        <f>IF(I152="","",IFERROR(INDEX(Staff!$B$5:$B$44,MATCH(I152,Staff!$A$5:$A$44,0)),"Not in Staff"))</f>
        <v>0</v>
      </c>
      <c r="T152" s="25">
        <f>IF(B152="","",COUNTIFS(Appointments!$E$5:$E$1204,A152,Appointments!$M$5:$M$1204,"Completed"))</f>
        <v>0</v>
      </c>
      <c r="U152" s="25">
        <f>IF(B152="","",COUNTIFS(Appointments!$E$5:$E$1204,A152,Appointments!$M$5:$M$1204,"Completed",Appointments!$B$5:$B$1204,"&gt;="&amp;TodayDate-365))</f>
        <v>0</v>
      </c>
      <c r="V152" s="25">
        <f>IF(B152="","",COUNTIFS(Appointments!$E$5:$E$1204,A152,Appointments!$M$5:$M$1204,"Cancelled"))</f>
        <v>0</v>
      </c>
      <c r="W152" s="25">
        <f>IF(B152="","",COUNTIFS(Appointments!$E$5:$E$1204,A152,Appointments!$M$5:$M$1204,"No show"))</f>
        <v>0</v>
      </c>
      <c r="X152" s="17">
        <f>IF(B152="","",IF(F152&lt;&gt;"",F152,IF(T152=0,"",SUMPRODUCT(MIN((Appointments!$E$5:$E$1204=A152)*(Appointments!$M$5:$M$1204="Completed")*Appointments!$B$5:$B$1204+(1-(Appointments!$E$5:$E$1204=A152)*(Appointments!$M$5:$M$1204="Completed"))*2958465)))))</f>
        <v>0</v>
      </c>
      <c r="Y152" s="17">
        <f>IF(B152="","",IF(T152=0,"",SUMPRODUCT(MAX((Appointments!$E$5:$E$1204=A152)*(Appointments!$M$5:$M$1204="Completed")*Appointments!$B$5:$B$1204))))</f>
        <v>0</v>
      </c>
      <c r="Z152" s="25">
        <f>IF(B152="","",IF(Y152="","",TodayDate-Y152))</f>
        <v>0</v>
      </c>
      <c r="AA152" s="42">
        <f>IF(B152="","",SUMPRODUCT(MIN((Appointments!$E$5:$E$1204=A152)*(Appointments!$M$5:$M$1204&lt;&gt;"Cancelled")*(Appointments!$M$5:$M$1204&lt;&gt;"Completed")*(Appointments!$M$5:$M$1204&lt;&gt;"No show")*(Appointments!$B$5:$B$1204&gt;=TodayDate)*Appointments!$B$5:$B$1204+(1-(Appointments!$E$5:$E$1204=A152)*(Appointments!$M$5:$M$1204&lt;&gt;"Cancelled")*(Appointments!$M$5:$M$1204&lt;&gt;"Completed")*(Appointments!$M$5:$M$1204&lt;&gt;"No show")*(Appointments!$B$5:$B$1204&gt;=TodayDate))*2958465)))</f>
        <v>0</v>
      </c>
      <c r="AB152" s="17">
        <f>IF(B152="","",IF(AA152&gt;=2958465,"",AA152))</f>
        <v>0</v>
      </c>
      <c r="AC152" s="25">
        <f>IF(B152="","",IF(T152&lt;2,"",ROUND((Y152-X152)/MAX(1,T152-1),0)))</f>
        <v>0</v>
      </c>
      <c r="AD152" s="17">
        <f>IF(B152="","",IF(Y152="","",Y152+IF(AC152="",RebookWeeks*7,MAX(14,AC152))))</f>
        <v>0</v>
      </c>
      <c r="AE152" s="26">
        <f>IF(B152="","",ROUND(SUMIFS(Sales!$Y$5:$Y$1204,Sales!$D$5:$D$1204,A152),2))</f>
        <v>0</v>
      </c>
      <c r="AF152" s="26">
        <f>IF(B152="","",ROUND(SUMIFS(Sales!$Y$5:$Y$1204,Sales!$D$5:$D$1204,A152,Sales!$H$5:$H$1204,"Service"),2))</f>
        <v>0</v>
      </c>
      <c r="AG152" s="26">
        <f>IF(B152="","",ROUND(SUMIFS(Sales!$Y$5:$Y$1204,Sales!$D$5:$D$1204,A152,Sales!$H$5:$H$1204,"Retail"),2))</f>
        <v>0</v>
      </c>
      <c r="AH152" s="26">
        <f>IF(B152="","",ROUND(SUMIFS(Sales!$Y$5:$Y$1204,Sales!$D$5:$D$1204,A152,Sales!$B$5:$B$1204,"&gt;="&amp;TodayDate-365),2))</f>
        <v>0</v>
      </c>
      <c r="AI152" s="26">
        <f>IF(B152="","",IF(T152=0,"",ROUND(AE152/T152,2)))</f>
        <v>0</v>
      </c>
      <c r="AJ152" s="26">
        <f>IF(B152="","",IF(AI152="","",IF(AC152="","",ROUND(AI152*(365/MAX(14,AC152)),2))))</f>
        <v>0</v>
      </c>
      <c r="AK152" s="26">
        <f>IF(B152="","",ROUND(SUMIFS(Sales!$AH$5:$AH$1204,Sales!$D$5:$D$1204,A152),2))</f>
        <v>0</v>
      </c>
      <c r="AL152" s="25">
        <f>IF(B152="","",IFERROR(INDEX(Loyalty!$P$5:$P$504,MATCH(A152,Loyalty!$B$5:$B$504,0))*1,0))</f>
        <v>0</v>
      </c>
      <c r="AM152" s="39">
        <f>IF(B152="","",IF(R152="Archived","Archived",IF(T152=0,"Not been yet",IF(Z152&gt;=InactiveDays,"Inactive",IF(Z152&gt;=LapsingDays,"Lapsing",IF(T152=1,"New",IF(AH152&gt;=VipSpend,"VIP",IF(U152&gt;=4,"Regular","Active"))))))))</f>
        <v>0</v>
      </c>
      <c r="AN152" s="38">
        <f>IF(B152="","",IF(T152&gt;=2,"Yes","No"))</f>
        <v>0</v>
      </c>
      <c r="AO152" s="25">
        <f>IF(B152="","",COUNTIFS($AE$5:$AE$504,"&gt;"&amp;AE152)+COUNTIFS($AE$5:AE152,AE152))</f>
        <v>0</v>
      </c>
      <c r="AP152" s="25">
        <f>IF(B152="","",COUNTIFS($T$5:$T$504,"&gt;"&amp;T152)+COUNTIFS($T$5:T152,T152))</f>
        <v>0</v>
      </c>
      <c r="AQ152" s="39">
        <f>IF(B152="","",IF(COUNTIF($B$5:$B$504,B152)&gt;1,"Duplicate - same name twice",IF(R152="Archived","",IF(AK152&gt;0.004,"Chase - balance outstanding",IF(AM152="Inactive","Gone - win-back offer",IF(AM152="Lapsing","Chase - lapsing, call them",IF(IF(N152="",FALSE,TodayDate-N152&gt;PatchTestDays),"Due - patch test out of date",IF(IF(AD152="",FALSE,IF(AB152&lt;&gt;"",FALSE,AD152&lt;=TodayDate+14)),"Rebook - due and nothing booked",IF(IF(K152="",FALSE,ABS(DATE(YEAR(TodayDate),MONTH(K152),DAY(K152))-TodayDate)&lt;=7),"Birthday - send the treat","OK")))))))))</f>
        <v>0</v>
      </c>
    </row>
    <row r="153" spans="1:43">
      <c r="A153" s="28">
        <f>IF(B153="","",ClientPrefix&amp;TEXT(ROW()-4,"0000"))</f>
        <v>0</v>
      </c>
      <c r="J153" s="15">
        <f>IF(I153="","",IFERROR(INDEX(Staff!$B$5:$B$44,MATCH(I153,Staff!$A$5:$A$44,0)),"Not in Staff"))</f>
        <v>0</v>
      </c>
      <c r="T153" s="25">
        <f>IF(B153="","",COUNTIFS(Appointments!$E$5:$E$1204,A153,Appointments!$M$5:$M$1204,"Completed"))</f>
        <v>0</v>
      </c>
      <c r="U153" s="25">
        <f>IF(B153="","",COUNTIFS(Appointments!$E$5:$E$1204,A153,Appointments!$M$5:$M$1204,"Completed",Appointments!$B$5:$B$1204,"&gt;="&amp;TodayDate-365))</f>
        <v>0</v>
      </c>
      <c r="V153" s="25">
        <f>IF(B153="","",COUNTIFS(Appointments!$E$5:$E$1204,A153,Appointments!$M$5:$M$1204,"Cancelled"))</f>
        <v>0</v>
      </c>
      <c r="W153" s="25">
        <f>IF(B153="","",COUNTIFS(Appointments!$E$5:$E$1204,A153,Appointments!$M$5:$M$1204,"No show"))</f>
        <v>0</v>
      </c>
      <c r="X153" s="17">
        <f>IF(B153="","",IF(F153&lt;&gt;"",F153,IF(T153=0,"",SUMPRODUCT(MIN((Appointments!$E$5:$E$1204=A153)*(Appointments!$M$5:$M$1204="Completed")*Appointments!$B$5:$B$1204+(1-(Appointments!$E$5:$E$1204=A153)*(Appointments!$M$5:$M$1204="Completed"))*2958465)))))</f>
        <v>0</v>
      </c>
      <c r="Y153" s="17">
        <f>IF(B153="","",IF(T153=0,"",SUMPRODUCT(MAX((Appointments!$E$5:$E$1204=A153)*(Appointments!$M$5:$M$1204="Completed")*Appointments!$B$5:$B$1204))))</f>
        <v>0</v>
      </c>
      <c r="Z153" s="25">
        <f>IF(B153="","",IF(Y153="","",TodayDate-Y153))</f>
        <v>0</v>
      </c>
      <c r="AA153" s="42">
        <f>IF(B153="","",SUMPRODUCT(MIN((Appointments!$E$5:$E$1204=A153)*(Appointments!$M$5:$M$1204&lt;&gt;"Cancelled")*(Appointments!$M$5:$M$1204&lt;&gt;"Completed")*(Appointments!$M$5:$M$1204&lt;&gt;"No show")*(Appointments!$B$5:$B$1204&gt;=TodayDate)*Appointments!$B$5:$B$1204+(1-(Appointments!$E$5:$E$1204=A153)*(Appointments!$M$5:$M$1204&lt;&gt;"Cancelled")*(Appointments!$M$5:$M$1204&lt;&gt;"Completed")*(Appointments!$M$5:$M$1204&lt;&gt;"No show")*(Appointments!$B$5:$B$1204&gt;=TodayDate))*2958465)))</f>
        <v>0</v>
      </c>
      <c r="AB153" s="17">
        <f>IF(B153="","",IF(AA153&gt;=2958465,"",AA153))</f>
        <v>0</v>
      </c>
      <c r="AC153" s="25">
        <f>IF(B153="","",IF(T153&lt;2,"",ROUND((Y153-X153)/MAX(1,T153-1),0)))</f>
        <v>0</v>
      </c>
      <c r="AD153" s="17">
        <f>IF(B153="","",IF(Y153="","",Y153+IF(AC153="",RebookWeeks*7,MAX(14,AC153))))</f>
        <v>0</v>
      </c>
      <c r="AE153" s="26">
        <f>IF(B153="","",ROUND(SUMIFS(Sales!$Y$5:$Y$1204,Sales!$D$5:$D$1204,A153),2))</f>
        <v>0</v>
      </c>
      <c r="AF153" s="26">
        <f>IF(B153="","",ROUND(SUMIFS(Sales!$Y$5:$Y$1204,Sales!$D$5:$D$1204,A153,Sales!$H$5:$H$1204,"Service"),2))</f>
        <v>0</v>
      </c>
      <c r="AG153" s="26">
        <f>IF(B153="","",ROUND(SUMIFS(Sales!$Y$5:$Y$1204,Sales!$D$5:$D$1204,A153,Sales!$H$5:$H$1204,"Retail"),2))</f>
        <v>0</v>
      </c>
      <c r="AH153" s="26">
        <f>IF(B153="","",ROUND(SUMIFS(Sales!$Y$5:$Y$1204,Sales!$D$5:$D$1204,A153,Sales!$B$5:$B$1204,"&gt;="&amp;TodayDate-365),2))</f>
        <v>0</v>
      </c>
      <c r="AI153" s="26">
        <f>IF(B153="","",IF(T153=0,"",ROUND(AE153/T153,2)))</f>
        <v>0</v>
      </c>
      <c r="AJ153" s="26">
        <f>IF(B153="","",IF(AI153="","",IF(AC153="","",ROUND(AI153*(365/MAX(14,AC153)),2))))</f>
        <v>0</v>
      </c>
      <c r="AK153" s="26">
        <f>IF(B153="","",ROUND(SUMIFS(Sales!$AH$5:$AH$1204,Sales!$D$5:$D$1204,A153),2))</f>
        <v>0</v>
      </c>
      <c r="AL153" s="25">
        <f>IF(B153="","",IFERROR(INDEX(Loyalty!$P$5:$P$504,MATCH(A153,Loyalty!$B$5:$B$504,0))*1,0))</f>
        <v>0</v>
      </c>
      <c r="AM153" s="39">
        <f>IF(B153="","",IF(R153="Archived","Archived",IF(T153=0,"Not been yet",IF(Z153&gt;=InactiveDays,"Inactive",IF(Z153&gt;=LapsingDays,"Lapsing",IF(T153=1,"New",IF(AH153&gt;=VipSpend,"VIP",IF(U153&gt;=4,"Regular","Active"))))))))</f>
        <v>0</v>
      </c>
      <c r="AN153" s="38">
        <f>IF(B153="","",IF(T153&gt;=2,"Yes","No"))</f>
        <v>0</v>
      </c>
      <c r="AO153" s="25">
        <f>IF(B153="","",COUNTIFS($AE$5:$AE$504,"&gt;"&amp;AE153)+COUNTIFS($AE$5:AE153,AE153))</f>
        <v>0</v>
      </c>
      <c r="AP153" s="25">
        <f>IF(B153="","",COUNTIFS($T$5:$T$504,"&gt;"&amp;T153)+COUNTIFS($T$5:T153,T153))</f>
        <v>0</v>
      </c>
      <c r="AQ153" s="39">
        <f>IF(B153="","",IF(COUNTIF($B$5:$B$504,B153)&gt;1,"Duplicate - same name twice",IF(R153="Archived","",IF(AK153&gt;0.004,"Chase - balance outstanding",IF(AM153="Inactive","Gone - win-back offer",IF(AM153="Lapsing","Chase - lapsing, call them",IF(IF(N153="",FALSE,TodayDate-N153&gt;PatchTestDays),"Due - patch test out of date",IF(IF(AD153="",FALSE,IF(AB153&lt;&gt;"",FALSE,AD153&lt;=TodayDate+14)),"Rebook - due and nothing booked",IF(IF(K153="",FALSE,ABS(DATE(YEAR(TodayDate),MONTH(K153),DAY(K153))-TodayDate)&lt;=7),"Birthday - send the treat","OK")))))))))</f>
        <v>0</v>
      </c>
    </row>
    <row r="154" spans="1:43">
      <c r="A154" s="28">
        <f>IF(B154="","",ClientPrefix&amp;TEXT(ROW()-4,"0000"))</f>
        <v>0</v>
      </c>
      <c r="J154" s="15">
        <f>IF(I154="","",IFERROR(INDEX(Staff!$B$5:$B$44,MATCH(I154,Staff!$A$5:$A$44,0)),"Not in Staff"))</f>
        <v>0</v>
      </c>
      <c r="T154" s="25">
        <f>IF(B154="","",COUNTIFS(Appointments!$E$5:$E$1204,A154,Appointments!$M$5:$M$1204,"Completed"))</f>
        <v>0</v>
      </c>
      <c r="U154" s="25">
        <f>IF(B154="","",COUNTIFS(Appointments!$E$5:$E$1204,A154,Appointments!$M$5:$M$1204,"Completed",Appointments!$B$5:$B$1204,"&gt;="&amp;TodayDate-365))</f>
        <v>0</v>
      </c>
      <c r="V154" s="25">
        <f>IF(B154="","",COUNTIFS(Appointments!$E$5:$E$1204,A154,Appointments!$M$5:$M$1204,"Cancelled"))</f>
        <v>0</v>
      </c>
      <c r="W154" s="25">
        <f>IF(B154="","",COUNTIFS(Appointments!$E$5:$E$1204,A154,Appointments!$M$5:$M$1204,"No show"))</f>
        <v>0</v>
      </c>
      <c r="X154" s="17">
        <f>IF(B154="","",IF(F154&lt;&gt;"",F154,IF(T154=0,"",SUMPRODUCT(MIN((Appointments!$E$5:$E$1204=A154)*(Appointments!$M$5:$M$1204="Completed")*Appointments!$B$5:$B$1204+(1-(Appointments!$E$5:$E$1204=A154)*(Appointments!$M$5:$M$1204="Completed"))*2958465)))))</f>
        <v>0</v>
      </c>
      <c r="Y154" s="17">
        <f>IF(B154="","",IF(T154=0,"",SUMPRODUCT(MAX((Appointments!$E$5:$E$1204=A154)*(Appointments!$M$5:$M$1204="Completed")*Appointments!$B$5:$B$1204))))</f>
        <v>0</v>
      </c>
      <c r="Z154" s="25">
        <f>IF(B154="","",IF(Y154="","",TodayDate-Y154))</f>
        <v>0</v>
      </c>
      <c r="AA154" s="42">
        <f>IF(B154="","",SUMPRODUCT(MIN((Appointments!$E$5:$E$1204=A154)*(Appointments!$M$5:$M$1204&lt;&gt;"Cancelled")*(Appointments!$M$5:$M$1204&lt;&gt;"Completed")*(Appointments!$M$5:$M$1204&lt;&gt;"No show")*(Appointments!$B$5:$B$1204&gt;=TodayDate)*Appointments!$B$5:$B$1204+(1-(Appointments!$E$5:$E$1204=A154)*(Appointments!$M$5:$M$1204&lt;&gt;"Cancelled")*(Appointments!$M$5:$M$1204&lt;&gt;"Completed")*(Appointments!$M$5:$M$1204&lt;&gt;"No show")*(Appointments!$B$5:$B$1204&gt;=TodayDate))*2958465)))</f>
        <v>0</v>
      </c>
      <c r="AB154" s="17">
        <f>IF(B154="","",IF(AA154&gt;=2958465,"",AA154))</f>
        <v>0</v>
      </c>
      <c r="AC154" s="25">
        <f>IF(B154="","",IF(T154&lt;2,"",ROUND((Y154-X154)/MAX(1,T154-1),0)))</f>
        <v>0</v>
      </c>
      <c r="AD154" s="17">
        <f>IF(B154="","",IF(Y154="","",Y154+IF(AC154="",RebookWeeks*7,MAX(14,AC154))))</f>
        <v>0</v>
      </c>
      <c r="AE154" s="26">
        <f>IF(B154="","",ROUND(SUMIFS(Sales!$Y$5:$Y$1204,Sales!$D$5:$D$1204,A154),2))</f>
        <v>0</v>
      </c>
      <c r="AF154" s="26">
        <f>IF(B154="","",ROUND(SUMIFS(Sales!$Y$5:$Y$1204,Sales!$D$5:$D$1204,A154,Sales!$H$5:$H$1204,"Service"),2))</f>
        <v>0</v>
      </c>
      <c r="AG154" s="26">
        <f>IF(B154="","",ROUND(SUMIFS(Sales!$Y$5:$Y$1204,Sales!$D$5:$D$1204,A154,Sales!$H$5:$H$1204,"Retail"),2))</f>
        <v>0</v>
      </c>
      <c r="AH154" s="26">
        <f>IF(B154="","",ROUND(SUMIFS(Sales!$Y$5:$Y$1204,Sales!$D$5:$D$1204,A154,Sales!$B$5:$B$1204,"&gt;="&amp;TodayDate-365),2))</f>
        <v>0</v>
      </c>
      <c r="AI154" s="26">
        <f>IF(B154="","",IF(T154=0,"",ROUND(AE154/T154,2)))</f>
        <v>0</v>
      </c>
      <c r="AJ154" s="26">
        <f>IF(B154="","",IF(AI154="","",IF(AC154="","",ROUND(AI154*(365/MAX(14,AC154)),2))))</f>
        <v>0</v>
      </c>
      <c r="AK154" s="26">
        <f>IF(B154="","",ROUND(SUMIFS(Sales!$AH$5:$AH$1204,Sales!$D$5:$D$1204,A154),2))</f>
        <v>0</v>
      </c>
      <c r="AL154" s="25">
        <f>IF(B154="","",IFERROR(INDEX(Loyalty!$P$5:$P$504,MATCH(A154,Loyalty!$B$5:$B$504,0))*1,0))</f>
        <v>0</v>
      </c>
      <c r="AM154" s="39">
        <f>IF(B154="","",IF(R154="Archived","Archived",IF(T154=0,"Not been yet",IF(Z154&gt;=InactiveDays,"Inactive",IF(Z154&gt;=LapsingDays,"Lapsing",IF(T154=1,"New",IF(AH154&gt;=VipSpend,"VIP",IF(U154&gt;=4,"Regular","Active"))))))))</f>
        <v>0</v>
      </c>
      <c r="AN154" s="38">
        <f>IF(B154="","",IF(T154&gt;=2,"Yes","No"))</f>
        <v>0</v>
      </c>
      <c r="AO154" s="25">
        <f>IF(B154="","",COUNTIFS($AE$5:$AE$504,"&gt;"&amp;AE154)+COUNTIFS($AE$5:AE154,AE154))</f>
        <v>0</v>
      </c>
      <c r="AP154" s="25">
        <f>IF(B154="","",COUNTIFS($T$5:$T$504,"&gt;"&amp;T154)+COUNTIFS($T$5:T154,T154))</f>
        <v>0</v>
      </c>
      <c r="AQ154" s="39">
        <f>IF(B154="","",IF(COUNTIF($B$5:$B$504,B154)&gt;1,"Duplicate - same name twice",IF(R154="Archived","",IF(AK154&gt;0.004,"Chase - balance outstanding",IF(AM154="Inactive","Gone - win-back offer",IF(AM154="Lapsing","Chase - lapsing, call them",IF(IF(N154="",FALSE,TodayDate-N154&gt;PatchTestDays),"Due - patch test out of date",IF(IF(AD154="",FALSE,IF(AB154&lt;&gt;"",FALSE,AD154&lt;=TodayDate+14)),"Rebook - due and nothing booked",IF(IF(K154="",FALSE,ABS(DATE(YEAR(TodayDate),MONTH(K154),DAY(K154))-TodayDate)&lt;=7),"Birthday - send the treat","OK")))))))))</f>
        <v>0</v>
      </c>
    </row>
    <row r="155" spans="1:43">
      <c r="A155" s="28">
        <f>IF(B155="","",ClientPrefix&amp;TEXT(ROW()-4,"0000"))</f>
        <v>0</v>
      </c>
      <c r="J155" s="15">
        <f>IF(I155="","",IFERROR(INDEX(Staff!$B$5:$B$44,MATCH(I155,Staff!$A$5:$A$44,0)),"Not in Staff"))</f>
        <v>0</v>
      </c>
      <c r="T155" s="25">
        <f>IF(B155="","",COUNTIFS(Appointments!$E$5:$E$1204,A155,Appointments!$M$5:$M$1204,"Completed"))</f>
        <v>0</v>
      </c>
      <c r="U155" s="25">
        <f>IF(B155="","",COUNTIFS(Appointments!$E$5:$E$1204,A155,Appointments!$M$5:$M$1204,"Completed",Appointments!$B$5:$B$1204,"&gt;="&amp;TodayDate-365))</f>
        <v>0</v>
      </c>
      <c r="V155" s="25">
        <f>IF(B155="","",COUNTIFS(Appointments!$E$5:$E$1204,A155,Appointments!$M$5:$M$1204,"Cancelled"))</f>
        <v>0</v>
      </c>
      <c r="W155" s="25">
        <f>IF(B155="","",COUNTIFS(Appointments!$E$5:$E$1204,A155,Appointments!$M$5:$M$1204,"No show"))</f>
        <v>0</v>
      </c>
      <c r="X155" s="17">
        <f>IF(B155="","",IF(F155&lt;&gt;"",F155,IF(T155=0,"",SUMPRODUCT(MIN((Appointments!$E$5:$E$1204=A155)*(Appointments!$M$5:$M$1204="Completed")*Appointments!$B$5:$B$1204+(1-(Appointments!$E$5:$E$1204=A155)*(Appointments!$M$5:$M$1204="Completed"))*2958465)))))</f>
        <v>0</v>
      </c>
      <c r="Y155" s="17">
        <f>IF(B155="","",IF(T155=0,"",SUMPRODUCT(MAX((Appointments!$E$5:$E$1204=A155)*(Appointments!$M$5:$M$1204="Completed")*Appointments!$B$5:$B$1204))))</f>
        <v>0</v>
      </c>
      <c r="Z155" s="25">
        <f>IF(B155="","",IF(Y155="","",TodayDate-Y155))</f>
        <v>0</v>
      </c>
      <c r="AA155" s="42">
        <f>IF(B155="","",SUMPRODUCT(MIN((Appointments!$E$5:$E$1204=A155)*(Appointments!$M$5:$M$1204&lt;&gt;"Cancelled")*(Appointments!$M$5:$M$1204&lt;&gt;"Completed")*(Appointments!$M$5:$M$1204&lt;&gt;"No show")*(Appointments!$B$5:$B$1204&gt;=TodayDate)*Appointments!$B$5:$B$1204+(1-(Appointments!$E$5:$E$1204=A155)*(Appointments!$M$5:$M$1204&lt;&gt;"Cancelled")*(Appointments!$M$5:$M$1204&lt;&gt;"Completed")*(Appointments!$M$5:$M$1204&lt;&gt;"No show")*(Appointments!$B$5:$B$1204&gt;=TodayDate))*2958465)))</f>
        <v>0</v>
      </c>
      <c r="AB155" s="17">
        <f>IF(B155="","",IF(AA155&gt;=2958465,"",AA155))</f>
        <v>0</v>
      </c>
      <c r="AC155" s="25">
        <f>IF(B155="","",IF(T155&lt;2,"",ROUND((Y155-X155)/MAX(1,T155-1),0)))</f>
        <v>0</v>
      </c>
      <c r="AD155" s="17">
        <f>IF(B155="","",IF(Y155="","",Y155+IF(AC155="",RebookWeeks*7,MAX(14,AC155))))</f>
        <v>0</v>
      </c>
      <c r="AE155" s="26">
        <f>IF(B155="","",ROUND(SUMIFS(Sales!$Y$5:$Y$1204,Sales!$D$5:$D$1204,A155),2))</f>
        <v>0</v>
      </c>
      <c r="AF155" s="26">
        <f>IF(B155="","",ROUND(SUMIFS(Sales!$Y$5:$Y$1204,Sales!$D$5:$D$1204,A155,Sales!$H$5:$H$1204,"Service"),2))</f>
        <v>0</v>
      </c>
      <c r="AG155" s="26">
        <f>IF(B155="","",ROUND(SUMIFS(Sales!$Y$5:$Y$1204,Sales!$D$5:$D$1204,A155,Sales!$H$5:$H$1204,"Retail"),2))</f>
        <v>0</v>
      </c>
      <c r="AH155" s="26">
        <f>IF(B155="","",ROUND(SUMIFS(Sales!$Y$5:$Y$1204,Sales!$D$5:$D$1204,A155,Sales!$B$5:$B$1204,"&gt;="&amp;TodayDate-365),2))</f>
        <v>0</v>
      </c>
      <c r="AI155" s="26">
        <f>IF(B155="","",IF(T155=0,"",ROUND(AE155/T155,2)))</f>
        <v>0</v>
      </c>
      <c r="AJ155" s="26">
        <f>IF(B155="","",IF(AI155="","",IF(AC155="","",ROUND(AI155*(365/MAX(14,AC155)),2))))</f>
        <v>0</v>
      </c>
      <c r="AK155" s="26">
        <f>IF(B155="","",ROUND(SUMIFS(Sales!$AH$5:$AH$1204,Sales!$D$5:$D$1204,A155),2))</f>
        <v>0</v>
      </c>
      <c r="AL155" s="25">
        <f>IF(B155="","",IFERROR(INDEX(Loyalty!$P$5:$P$504,MATCH(A155,Loyalty!$B$5:$B$504,0))*1,0))</f>
        <v>0</v>
      </c>
      <c r="AM155" s="39">
        <f>IF(B155="","",IF(R155="Archived","Archived",IF(T155=0,"Not been yet",IF(Z155&gt;=InactiveDays,"Inactive",IF(Z155&gt;=LapsingDays,"Lapsing",IF(T155=1,"New",IF(AH155&gt;=VipSpend,"VIP",IF(U155&gt;=4,"Regular","Active"))))))))</f>
        <v>0</v>
      </c>
      <c r="AN155" s="38">
        <f>IF(B155="","",IF(T155&gt;=2,"Yes","No"))</f>
        <v>0</v>
      </c>
      <c r="AO155" s="25">
        <f>IF(B155="","",COUNTIFS($AE$5:$AE$504,"&gt;"&amp;AE155)+COUNTIFS($AE$5:AE155,AE155))</f>
        <v>0</v>
      </c>
      <c r="AP155" s="25">
        <f>IF(B155="","",COUNTIFS($T$5:$T$504,"&gt;"&amp;T155)+COUNTIFS($T$5:T155,T155))</f>
        <v>0</v>
      </c>
      <c r="AQ155" s="39">
        <f>IF(B155="","",IF(COUNTIF($B$5:$B$504,B155)&gt;1,"Duplicate - same name twice",IF(R155="Archived","",IF(AK155&gt;0.004,"Chase - balance outstanding",IF(AM155="Inactive","Gone - win-back offer",IF(AM155="Lapsing","Chase - lapsing, call them",IF(IF(N155="",FALSE,TodayDate-N155&gt;PatchTestDays),"Due - patch test out of date",IF(IF(AD155="",FALSE,IF(AB155&lt;&gt;"",FALSE,AD155&lt;=TodayDate+14)),"Rebook - due and nothing booked",IF(IF(K155="",FALSE,ABS(DATE(YEAR(TodayDate),MONTH(K155),DAY(K155))-TodayDate)&lt;=7),"Birthday - send the treat","OK")))))))))</f>
        <v>0</v>
      </c>
    </row>
    <row r="156" spans="1:43">
      <c r="A156" s="28">
        <f>IF(B156="","",ClientPrefix&amp;TEXT(ROW()-4,"0000"))</f>
        <v>0</v>
      </c>
      <c r="J156" s="15">
        <f>IF(I156="","",IFERROR(INDEX(Staff!$B$5:$B$44,MATCH(I156,Staff!$A$5:$A$44,0)),"Not in Staff"))</f>
        <v>0</v>
      </c>
      <c r="T156" s="25">
        <f>IF(B156="","",COUNTIFS(Appointments!$E$5:$E$1204,A156,Appointments!$M$5:$M$1204,"Completed"))</f>
        <v>0</v>
      </c>
      <c r="U156" s="25">
        <f>IF(B156="","",COUNTIFS(Appointments!$E$5:$E$1204,A156,Appointments!$M$5:$M$1204,"Completed",Appointments!$B$5:$B$1204,"&gt;="&amp;TodayDate-365))</f>
        <v>0</v>
      </c>
      <c r="V156" s="25">
        <f>IF(B156="","",COUNTIFS(Appointments!$E$5:$E$1204,A156,Appointments!$M$5:$M$1204,"Cancelled"))</f>
        <v>0</v>
      </c>
      <c r="W156" s="25">
        <f>IF(B156="","",COUNTIFS(Appointments!$E$5:$E$1204,A156,Appointments!$M$5:$M$1204,"No show"))</f>
        <v>0</v>
      </c>
      <c r="X156" s="17">
        <f>IF(B156="","",IF(F156&lt;&gt;"",F156,IF(T156=0,"",SUMPRODUCT(MIN((Appointments!$E$5:$E$1204=A156)*(Appointments!$M$5:$M$1204="Completed")*Appointments!$B$5:$B$1204+(1-(Appointments!$E$5:$E$1204=A156)*(Appointments!$M$5:$M$1204="Completed"))*2958465)))))</f>
        <v>0</v>
      </c>
      <c r="Y156" s="17">
        <f>IF(B156="","",IF(T156=0,"",SUMPRODUCT(MAX((Appointments!$E$5:$E$1204=A156)*(Appointments!$M$5:$M$1204="Completed")*Appointments!$B$5:$B$1204))))</f>
        <v>0</v>
      </c>
      <c r="Z156" s="25">
        <f>IF(B156="","",IF(Y156="","",TodayDate-Y156))</f>
        <v>0</v>
      </c>
      <c r="AA156" s="42">
        <f>IF(B156="","",SUMPRODUCT(MIN((Appointments!$E$5:$E$1204=A156)*(Appointments!$M$5:$M$1204&lt;&gt;"Cancelled")*(Appointments!$M$5:$M$1204&lt;&gt;"Completed")*(Appointments!$M$5:$M$1204&lt;&gt;"No show")*(Appointments!$B$5:$B$1204&gt;=TodayDate)*Appointments!$B$5:$B$1204+(1-(Appointments!$E$5:$E$1204=A156)*(Appointments!$M$5:$M$1204&lt;&gt;"Cancelled")*(Appointments!$M$5:$M$1204&lt;&gt;"Completed")*(Appointments!$M$5:$M$1204&lt;&gt;"No show")*(Appointments!$B$5:$B$1204&gt;=TodayDate))*2958465)))</f>
        <v>0</v>
      </c>
      <c r="AB156" s="17">
        <f>IF(B156="","",IF(AA156&gt;=2958465,"",AA156))</f>
        <v>0</v>
      </c>
      <c r="AC156" s="25">
        <f>IF(B156="","",IF(T156&lt;2,"",ROUND((Y156-X156)/MAX(1,T156-1),0)))</f>
        <v>0</v>
      </c>
      <c r="AD156" s="17">
        <f>IF(B156="","",IF(Y156="","",Y156+IF(AC156="",RebookWeeks*7,MAX(14,AC156))))</f>
        <v>0</v>
      </c>
      <c r="AE156" s="26">
        <f>IF(B156="","",ROUND(SUMIFS(Sales!$Y$5:$Y$1204,Sales!$D$5:$D$1204,A156),2))</f>
        <v>0</v>
      </c>
      <c r="AF156" s="26">
        <f>IF(B156="","",ROUND(SUMIFS(Sales!$Y$5:$Y$1204,Sales!$D$5:$D$1204,A156,Sales!$H$5:$H$1204,"Service"),2))</f>
        <v>0</v>
      </c>
      <c r="AG156" s="26">
        <f>IF(B156="","",ROUND(SUMIFS(Sales!$Y$5:$Y$1204,Sales!$D$5:$D$1204,A156,Sales!$H$5:$H$1204,"Retail"),2))</f>
        <v>0</v>
      </c>
      <c r="AH156" s="26">
        <f>IF(B156="","",ROUND(SUMIFS(Sales!$Y$5:$Y$1204,Sales!$D$5:$D$1204,A156,Sales!$B$5:$B$1204,"&gt;="&amp;TodayDate-365),2))</f>
        <v>0</v>
      </c>
      <c r="AI156" s="26">
        <f>IF(B156="","",IF(T156=0,"",ROUND(AE156/T156,2)))</f>
        <v>0</v>
      </c>
      <c r="AJ156" s="26">
        <f>IF(B156="","",IF(AI156="","",IF(AC156="","",ROUND(AI156*(365/MAX(14,AC156)),2))))</f>
        <v>0</v>
      </c>
      <c r="AK156" s="26">
        <f>IF(B156="","",ROUND(SUMIFS(Sales!$AH$5:$AH$1204,Sales!$D$5:$D$1204,A156),2))</f>
        <v>0</v>
      </c>
      <c r="AL156" s="25">
        <f>IF(B156="","",IFERROR(INDEX(Loyalty!$P$5:$P$504,MATCH(A156,Loyalty!$B$5:$B$504,0))*1,0))</f>
        <v>0</v>
      </c>
      <c r="AM156" s="39">
        <f>IF(B156="","",IF(R156="Archived","Archived",IF(T156=0,"Not been yet",IF(Z156&gt;=InactiveDays,"Inactive",IF(Z156&gt;=LapsingDays,"Lapsing",IF(T156=1,"New",IF(AH156&gt;=VipSpend,"VIP",IF(U156&gt;=4,"Regular","Active"))))))))</f>
        <v>0</v>
      </c>
      <c r="AN156" s="38">
        <f>IF(B156="","",IF(T156&gt;=2,"Yes","No"))</f>
        <v>0</v>
      </c>
      <c r="AO156" s="25">
        <f>IF(B156="","",COUNTIFS($AE$5:$AE$504,"&gt;"&amp;AE156)+COUNTIFS($AE$5:AE156,AE156))</f>
        <v>0</v>
      </c>
      <c r="AP156" s="25">
        <f>IF(B156="","",COUNTIFS($T$5:$T$504,"&gt;"&amp;T156)+COUNTIFS($T$5:T156,T156))</f>
        <v>0</v>
      </c>
      <c r="AQ156" s="39">
        <f>IF(B156="","",IF(COUNTIF($B$5:$B$504,B156)&gt;1,"Duplicate - same name twice",IF(R156="Archived","",IF(AK156&gt;0.004,"Chase - balance outstanding",IF(AM156="Inactive","Gone - win-back offer",IF(AM156="Lapsing","Chase - lapsing, call them",IF(IF(N156="",FALSE,TodayDate-N156&gt;PatchTestDays),"Due - patch test out of date",IF(IF(AD156="",FALSE,IF(AB156&lt;&gt;"",FALSE,AD156&lt;=TodayDate+14)),"Rebook - due and nothing booked",IF(IF(K156="",FALSE,ABS(DATE(YEAR(TodayDate),MONTH(K156),DAY(K156))-TodayDate)&lt;=7),"Birthday - send the treat","OK")))))))))</f>
        <v>0</v>
      </c>
    </row>
    <row r="157" spans="1:43">
      <c r="A157" s="28">
        <f>IF(B157="","",ClientPrefix&amp;TEXT(ROW()-4,"0000"))</f>
        <v>0</v>
      </c>
      <c r="J157" s="15">
        <f>IF(I157="","",IFERROR(INDEX(Staff!$B$5:$B$44,MATCH(I157,Staff!$A$5:$A$44,0)),"Not in Staff"))</f>
        <v>0</v>
      </c>
      <c r="T157" s="25">
        <f>IF(B157="","",COUNTIFS(Appointments!$E$5:$E$1204,A157,Appointments!$M$5:$M$1204,"Completed"))</f>
        <v>0</v>
      </c>
      <c r="U157" s="25">
        <f>IF(B157="","",COUNTIFS(Appointments!$E$5:$E$1204,A157,Appointments!$M$5:$M$1204,"Completed",Appointments!$B$5:$B$1204,"&gt;="&amp;TodayDate-365))</f>
        <v>0</v>
      </c>
      <c r="V157" s="25">
        <f>IF(B157="","",COUNTIFS(Appointments!$E$5:$E$1204,A157,Appointments!$M$5:$M$1204,"Cancelled"))</f>
        <v>0</v>
      </c>
      <c r="W157" s="25">
        <f>IF(B157="","",COUNTIFS(Appointments!$E$5:$E$1204,A157,Appointments!$M$5:$M$1204,"No show"))</f>
        <v>0</v>
      </c>
      <c r="X157" s="17">
        <f>IF(B157="","",IF(F157&lt;&gt;"",F157,IF(T157=0,"",SUMPRODUCT(MIN((Appointments!$E$5:$E$1204=A157)*(Appointments!$M$5:$M$1204="Completed")*Appointments!$B$5:$B$1204+(1-(Appointments!$E$5:$E$1204=A157)*(Appointments!$M$5:$M$1204="Completed"))*2958465)))))</f>
        <v>0</v>
      </c>
      <c r="Y157" s="17">
        <f>IF(B157="","",IF(T157=0,"",SUMPRODUCT(MAX((Appointments!$E$5:$E$1204=A157)*(Appointments!$M$5:$M$1204="Completed")*Appointments!$B$5:$B$1204))))</f>
        <v>0</v>
      </c>
      <c r="Z157" s="25">
        <f>IF(B157="","",IF(Y157="","",TodayDate-Y157))</f>
        <v>0</v>
      </c>
      <c r="AA157" s="42">
        <f>IF(B157="","",SUMPRODUCT(MIN((Appointments!$E$5:$E$1204=A157)*(Appointments!$M$5:$M$1204&lt;&gt;"Cancelled")*(Appointments!$M$5:$M$1204&lt;&gt;"Completed")*(Appointments!$M$5:$M$1204&lt;&gt;"No show")*(Appointments!$B$5:$B$1204&gt;=TodayDate)*Appointments!$B$5:$B$1204+(1-(Appointments!$E$5:$E$1204=A157)*(Appointments!$M$5:$M$1204&lt;&gt;"Cancelled")*(Appointments!$M$5:$M$1204&lt;&gt;"Completed")*(Appointments!$M$5:$M$1204&lt;&gt;"No show")*(Appointments!$B$5:$B$1204&gt;=TodayDate))*2958465)))</f>
        <v>0</v>
      </c>
      <c r="AB157" s="17">
        <f>IF(B157="","",IF(AA157&gt;=2958465,"",AA157))</f>
        <v>0</v>
      </c>
      <c r="AC157" s="25">
        <f>IF(B157="","",IF(T157&lt;2,"",ROUND((Y157-X157)/MAX(1,T157-1),0)))</f>
        <v>0</v>
      </c>
      <c r="AD157" s="17">
        <f>IF(B157="","",IF(Y157="","",Y157+IF(AC157="",RebookWeeks*7,MAX(14,AC157))))</f>
        <v>0</v>
      </c>
      <c r="AE157" s="26">
        <f>IF(B157="","",ROUND(SUMIFS(Sales!$Y$5:$Y$1204,Sales!$D$5:$D$1204,A157),2))</f>
        <v>0</v>
      </c>
      <c r="AF157" s="26">
        <f>IF(B157="","",ROUND(SUMIFS(Sales!$Y$5:$Y$1204,Sales!$D$5:$D$1204,A157,Sales!$H$5:$H$1204,"Service"),2))</f>
        <v>0</v>
      </c>
      <c r="AG157" s="26">
        <f>IF(B157="","",ROUND(SUMIFS(Sales!$Y$5:$Y$1204,Sales!$D$5:$D$1204,A157,Sales!$H$5:$H$1204,"Retail"),2))</f>
        <v>0</v>
      </c>
      <c r="AH157" s="26">
        <f>IF(B157="","",ROUND(SUMIFS(Sales!$Y$5:$Y$1204,Sales!$D$5:$D$1204,A157,Sales!$B$5:$B$1204,"&gt;="&amp;TodayDate-365),2))</f>
        <v>0</v>
      </c>
      <c r="AI157" s="26">
        <f>IF(B157="","",IF(T157=0,"",ROUND(AE157/T157,2)))</f>
        <v>0</v>
      </c>
      <c r="AJ157" s="26">
        <f>IF(B157="","",IF(AI157="","",IF(AC157="","",ROUND(AI157*(365/MAX(14,AC157)),2))))</f>
        <v>0</v>
      </c>
      <c r="AK157" s="26">
        <f>IF(B157="","",ROUND(SUMIFS(Sales!$AH$5:$AH$1204,Sales!$D$5:$D$1204,A157),2))</f>
        <v>0</v>
      </c>
      <c r="AL157" s="25">
        <f>IF(B157="","",IFERROR(INDEX(Loyalty!$P$5:$P$504,MATCH(A157,Loyalty!$B$5:$B$504,0))*1,0))</f>
        <v>0</v>
      </c>
      <c r="AM157" s="39">
        <f>IF(B157="","",IF(R157="Archived","Archived",IF(T157=0,"Not been yet",IF(Z157&gt;=InactiveDays,"Inactive",IF(Z157&gt;=LapsingDays,"Lapsing",IF(T157=1,"New",IF(AH157&gt;=VipSpend,"VIP",IF(U157&gt;=4,"Regular","Active"))))))))</f>
        <v>0</v>
      </c>
      <c r="AN157" s="38">
        <f>IF(B157="","",IF(T157&gt;=2,"Yes","No"))</f>
        <v>0</v>
      </c>
      <c r="AO157" s="25">
        <f>IF(B157="","",COUNTIFS($AE$5:$AE$504,"&gt;"&amp;AE157)+COUNTIFS($AE$5:AE157,AE157))</f>
        <v>0</v>
      </c>
      <c r="AP157" s="25">
        <f>IF(B157="","",COUNTIFS($T$5:$T$504,"&gt;"&amp;T157)+COUNTIFS($T$5:T157,T157))</f>
        <v>0</v>
      </c>
      <c r="AQ157" s="39">
        <f>IF(B157="","",IF(COUNTIF($B$5:$B$504,B157)&gt;1,"Duplicate - same name twice",IF(R157="Archived","",IF(AK157&gt;0.004,"Chase - balance outstanding",IF(AM157="Inactive","Gone - win-back offer",IF(AM157="Lapsing","Chase - lapsing, call them",IF(IF(N157="",FALSE,TodayDate-N157&gt;PatchTestDays),"Due - patch test out of date",IF(IF(AD157="",FALSE,IF(AB157&lt;&gt;"",FALSE,AD157&lt;=TodayDate+14)),"Rebook - due and nothing booked",IF(IF(K157="",FALSE,ABS(DATE(YEAR(TodayDate),MONTH(K157),DAY(K157))-TodayDate)&lt;=7),"Birthday - send the treat","OK")))))))))</f>
        <v>0</v>
      </c>
    </row>
    <row r="158" spans="1:43">
      <c r="A158" s="28">
        <f>IF(B158="","",ClientPrefix&amp;TEXT(ROW()-4,"0000"))</f>
        <v>0</v>
      </c>
      <c r="J158" s="15">
        <f>IF(I158="","",IFERROR(INDEX(Staff!$B$5:$B$44,MATCH(I158,Staff!$A$5:$A$44,0)),"Not in Staff"))</f>
        <v>0</v>
      </c>
      <c r="T158" s="25">
        <f>IF(B158="","",COUNTIFS(Appointments!$E$5:$E$1204,A158,Appointments!$M$5:$M$1204,"Completed"))</f>
        <v>0</v>
      </c>
      <c r="U158" s="25">
        <f>IF(B158="","",COUNTIFS(Appointments!$E$5:$E$1204,A158,Appointments!$M$5:$M$1204,"Completed",Appointments!$B$5:$B$1204,"&gt;="&amp;TodayDate-365))</f>
        <v>0</v>
      </c>
      <c r="V158" s="25">
        <f>IF(B158="","",COUNTIFS(Appointments!$E$5:$E$1204,A158,Appointments!$M$5:$M$1204,"Cancelled"))</f>
        <v>0</v>
      </c>
      <c r="W158" s="25">
        <f>IF(B158="","",COUNTIFS(Appointments!$E$5:$E$1204,A158,Appointments!$M$5:$M$1204,"No show"))</f>
        <v>0</v>
      </c>
      <c r="X158" s="17">
        <f>IF(B158="","",IF(F158&lt;&gt;"",F158,IF(T158=0,"",SUMPRODUCT(MIN((Appointments!$E$5:$E$1204=A158)*(Appointments!$M$5:$M$1204="Completed")*Appointments!$B$5:$B$1204+(1-(Appointments!$E$5:$E$1204=A158)*(Appointments!$M$5:$M$1204="Completed"))*2958465)))))</f>
        <v>0</v>
      </c>
      <c r="Y158" s="17">
        <f>IF(B158="","",IF(T158=0,"",SUMPRODUCT(MAX((Appointments!$E$5:$E$1204=A158)*(Appointments!$M$5:$M$1204="Completed")*Appointments!$B$5:$B$1204))))</f>
        <v>0</v>
      </c>
      <c r="Z158" s="25">
        <f>IF(B158="","",IF(Y158="","",TodayDate-Y158))</f>
        <v>0</v>
      </c>
      <c r="AA158" s="42">
        <f>IF(B158="","",SUMPRODUCT(MIN((Appointments!$E$5:$E$1204=A158)*(Appointments!$M$5:$M$1204&lt;&gt;"Cancelled")*(Appointments!$M$5:$M$1204&lt;&gt;"Completed")*(Appointments!$M$5:$M$1204&lt;&gt;"No show")*(Appointments!$B$5:$B$1204&gt;=TodayDate)*Appointments!$B$5:$B$1204+(1-(Appointments!$E$5:$E$1204=A158)*(Appointments!$M$5:$M$1204&lt;&gt;"Cancelled")*(Appointments!$M$5:$M$1204&lt;&gt;"Completed")*(Appointments!$M$5:$M$1204&lt;&gt;"No show")*(Appointments!$B$5:$B$1204&gt;=TodayDate))*2958465)))</f>
        <v>0</v>
      </c>
      <c r="AB158" s="17">
        <f>IF(B158="","",IF(AA158&gt;=2958465,"",AA158))</f>
        <v>0</v>
      </c>
      <c r="AC158" s="25">
        <f>IF(B158="","",IF(T158&lt;2,"",ROUND((Y158-X158)/MAX(1,T158-1),0)))</f>
        <v>0</v>
      </c>
      <c r="AD158" s="17">
        <f>IF(B158="","",IF(Y158="","",Y158+IF(AC158="",RebookWeeks*7,MAX(14,AC158))))</f>
        <v>0</v>
      </c>
      <c r="AE158" s="26">
        <f>IF(B158="","",ROUND(SUMIFS(Sales!$Y$5:$Y$1204,Sales!$D$5:$D$1204,A158),2))</f>
        <v>0</v>
      </c>
      <c r="AF158" s="26">
        <f>IF(B158="","",ROUND(SUMIFS(Sales!$Y$5:$Y$1204,Sales!$D$5:$D$1204,A158,Sales!$H$5:$H$1204,"Service"),2))</f>
        <v>0</v>
      </c>
      <c r="AG158" s="26">
        <f>IF(B158="","",ROUND(SUMIFS(Sales!$Y$5:$Y$1204,Sales!$D$5:$D$1204,A158,Sales!$H$5:$H$1204,"Retail"),2))</f>
        <v>0</v>
      </c>
      <c r="AH158" s="26">
        <f>IF(B158="","",ROUND(SUMIFS(Sales!$Y$5:$Y$1204,Sales!$D$5:$D$1204,A158,Sales!$B$5:$B$1204,"&gt;="&amp;TodayDate-365),2))</f>
        <v>0</v>
      </c>
      <c r="AI158" s="26">
        <f>IF(B158="","",IF(T158=0,"",ROUND(AE158/T158,2)))</f>
        <v>0</v>
      </c>
      <c r="AJ158" s="26">
        <f>IF(B158="","",IF(AI158="","",IF(AC158="","",ROUND(AI158*(365/MAX(14,AC158)),2))))</f>
        <v>0</v>
      </c>
      <c r="AK158" s="26">
        <f>IF(B158="","",ROUND(SUMIFS(Sales!$AH$5:$AH$1204,Sales!$D$5:$D$1204,A158),2))</f>
        <v>0</v>
      </c>
      <c r="AL158" s="25">
        <f>IF(B158="","",IFERROR(INDEX(Loyalty!$P$5:$P$504,MATCH(A158,Loyalty!$B$5:$B$504,0))*1,0))</f>
        <v>0</v>
      </c>
      <c r="AM158" s="39">
        <f>IF(B158="","",IF(R158="Archived","Archived",IF(T158=0,"Not been yet",IF(Z158&gt;=InactiveDays,"Inactive",IF(Z158&gt;=LapsingDays,"Lapsing",IF(T158=1,"New",IF(AH158&gt;=VipSpend,"VIP",IF(U158&gt;=4,"Regular","Active"))))))))</f>
        <v>0</v>
      </c>
      <c r="AN158" s="38">
        <f>IF(B158="","",IF(T158&gt;=2,"Yes","No"))</f>
        <v>0</v>
      </c>
      <c r="AO158" s="25">
        <f>IF(B158="","",COUNTIFS($AE$5:$AE$504,"&gt;"&amp;AE158)+COUNTIFS($AE$5:AE158,AE158))</f>
        <v>0</v>
      </c>
      <c r="AP158" s="25">
        <f>IF(B158="","",COUNTIFS($T$5:$T$504,"&gt;"&amp;T158)+COUNTIFS($T$5:T158,T158))</f>
        <v>0</v>
      </c>
      <c r="AQ158" s="39">
        <f>IF(B158="","",IF(COUNTIF($B$5:$B$504,B158)&gt;1,"Duplicate - same name twice",IF(R158="Archived","",IF(AK158&gt;0.004,"Chase - balance outstanding",IF(AM158="Inactive","Gone - win-back offer",IF(AM158="Lapsing","Chase - lapsing, call them",IF(IF(N158="",FALSE,TodayDate-N158&gt;PatchTestDays),"Due - patch test out of date",IF(IF(AD158="",FALSE,IF(AB158&lt;&gt;"",FALSE,AD158&lt;=TodayDate+14)),"Rebook - due and nothing booked",IF(IF(K158="",FALSE,ABS(DATE(YEAR(TodayDate),MONTH(K158),DAY(K158))-TodayDate)&lt;=7),"Birthday - send the treat","OK")))))))))</f>
        <v>0</v>
      </c>
    </row>
    <row r="159" spans="1:43">
      <c r="A159" s="28">
        <f>IF(B159="","",ClientPrefix&amp;TEXT(ROW()-4,"0000"))</f>
        <v>0</v>
      </c>
      <c r="J159" s="15">
        <f>IF(I159="","",IFERROR(INDEX(Staff!$B$5:$B$44,MATCH(I159,Staff!$A$5:$A$44,0)),"Not in Staff"))</f>
        <v>0</v>
      </c>
      <c r="T159" s="25">
        <f>IF(B159="","",COUNTIFS(Appointments!$E$5:$E$1204,A159,Appointments!$M$5:$M$1204,"Completed"))</f>
        <v>0</v>
      </c>
      <c r="U159" s="25">
        <f>IF(B159="","",COUNTIFS(Appointments!$E$5:$E$1204,A159,Appointments!$M$5:$M$1204,"Completed",Appointments!$B$5:$B$1204,"&gt;="&amp;TodayDate-365))</f>
        <v>0</v>
      </c>
      <c r="V159" s="25">
        <f>IF(B159="","",COUNTIFS(Appointments!$E$5:$E$1204,A159,Appointments!$M$5:$M$1204,"Cancelled"))</f>
        <v>0</v>
      </c>
      <c r="W159" s="25">
        <f>IF(B159="","",COUNTIFS(Appointments!$E$5:$E$1204,A159,Appointments!$M$5:$M$1204,"No show"))</f>
        <v>0</v>
      </c>
      <c r="X159" s="17">
        <f>IF(B159="","",IF(F159&lt;&gt;"",F159,IF(T159=0,"",SUMPRODUCT(MIN((Appointments!$E$5:$E$1204=A159)*(Appointments!$M$5:$M$1204="Completed")*Appointments!$B$5:$B$1204+(1-(Appointments!$E$5:$E$1204=A159)*(Appointments!$M$5:$M$1204="Completed"))*2958465)))))</f>
        <v>0</v>
      </c>
      <c r="Y159" s="17">
        <f>IF(B159="","",IF(T159=0,"",SUMPRODUCT(MAX((Appointments!$E$5:$E$1204=A159)*(Appointments!$M$5:$M$1204="Completed")*Appointments!$B$5:$B$1204))))</f>
        <v>0</v>
      </c>
      <c r="Z159" s="25">
        <f>IF(B159="","",IF(Y159="","",TodayDate-Y159))</f>
        <v>0</v>
      </c>
      <c r="AA159" s="42">
        <f>IF(B159="","",SUMPRODUCT(MIN((Appointments!$E$5:$E$1204=A159)*(Appointments!$M$5:$M$1204&lt;&gt;"Cancelled")*(Appointments!$M$5:$M$1204&lt;&gt;"Completed")*(Appointments!$M$5:$M$1204&lt;&gt;"No show")*(Appointments!$B$5:$B$1204&gt;=TodayDate)*Appointments!$B$5:$B$1204+(1-(Appointments!$E$5:$E$1204=A159)*(Appointments!$M$5:$M$1204&lt;&gt;"Cancelled")*(Appointments!$M$5:$M$1204&lt;&gt;"Completed")*(Appointments!$M$5:$M$1204&lt;&gt;"No show")*(Appointments!$B$5:$B$1204&gt;=TodayDate))*2958465)))</f>
        <v>0</v>
      </c>
      <c r="AB159" s="17">
        <f>IF(B159="","",IF(AA159&gt;=2958465,"",AA159))</f>
        <v>0</v>
      </c>
      <c r="AC159" s="25">
        <f>IF(B159="","",IF(T159&lt;2,"",ROUND((Y159-X159)/MAX(1,T159-1),0)))</f>
        <v>0</v>
      </c>
      <c r="AD159" s="17">
        <f>IF(B159="","",IF(Y159="","",Y159+IF(AC159="",RebookWeeks*7,MAX(14,AC159))))</f>
        <v>0</v>
      </c>
      <c r="AE159" s="26">
        <f>IF(B159="","",ROUND(SUMIFS(Sales!$Y$5:$Y$1204,Sales!$D$5:$D$1204,A159),2))</f>
        <v>0</v>
      </c>
      <c r="AF159" s="26">
        <f>IF(B159="","",ROUND(SUMIFS(Sales!$Y$5:$Y$1204,Sales!$D$5:$D$1204,A159,Sales!$H$5:$H$1204,"Service"),2))</f>
        <v>0</v>
      </c>
      <c r="AG159" s="26">
        <f>IF(B159="","",ROUND(SUMIFS(Sales!$Y$5:$Y$1204,Sales!$D$5:$D$1204,A159,Sales!$H$5:$H$1204,"Retail"),2))</f>
        <v>0</v>
      </c>
      <c r="AH159" s="26">
        <f>IF(B159="","",ROUND(SUMIFS(Sales!$Y$5:$Y$1204,Sales!$D$5:$D$1204,A159,Sales!$B$5:$B$1204,"&gt;="&amp;TodayDate-365),2))</f>
        <v>0</v>
      </c>
      <c r="AI159" s="26">
        <f>IF(B159="","",IF(T159=0,"",ROUND(AE159/T159,2)))</f>
        <v>0</v>
      </c>
      <c r="AJ159" s="26">
        <f>IF(B159="","",IF(AI159="","",IF(AC159="","",ROUND(AI159*(365/MAX(14,AC159)),2))))</f>
        <v>0</v>
      </c>
      <c r="AK159" s="26">
        <f>IF(B159="","",ROUND(SUMIFS(Sales!$AH$5:$AH$1204,Sales!$D$5:$D$1204,A159),2))</f>
        <v>0</v>
      </c>
      <c r="AL159" s="25">
        <f>IF(B159="","",IFERROR(INDEX(Loyalty!$P$5:$P$504,MATCH(A159,Loyalty!$B$5:$B$504,0))*1,0))</f>
        <v>0</v>
      </c>
      <c r="AM159" s="39">
        <f>IF(B159="","",IF(R159="Archived","Archived",IF(T159=0,"Not been yet",IF(Z159&gt;=InactiveDays,"Inactive",IF(Z159&gt;=LapsingDays,"Lapsing",IF(T159=1,"New",IF(AH159&gt;=VipSpend,"VIP",IF(U159&gt;=4,"Regular","Active"))))))))</f>
        <v>0</v>
      </c>
      <c r="AN159" s="38">
        <f>IF(B159="","",IF(T159&gt;=2,"Yes","No"))</f>
        <v>0</v>
      </c>
      <c r="AO159" s="25">
        <f>IF(B159="","",COUNTIFS($AE$5:$AE$504,"&gt;"&amp;AE159)+COUNTIFS($AE$5:AE159,AE159))</f>
        <v>0</v>
      </c>
      <c r="AP159" s="25">
        <f>IF(B159="","",COUNTIFS($T$5:$T$504,"&gt;"&amp;T159)+COUNTIFS($T$5:T159,T159))</f>
        <v>0</v>
      </c>
      <c r="AQ159" s="39">
        <f>IF(B159="","",IF(COUNTIF($B$5:$B$504,B159)&gt;1,"Duplicate - same name twice",IF(R159="Archived","",IF(AK159&gt;0.004,"Chase - balance outstanding",IF(AM159="Inactive","Gone - win-back offer",IF(AM159="Lapsing","Chase - lapsing, call them",IF(IF(N159="",FALSE,TodayDate-N159&gt;PatchTestDays),"Due - patch test out of date",IF(IF(AD159="",FALSE,IF(AB159&lt;&gt;"",FALSE,AD159&lt;=TodayDate+14)),"Rebook - due and nothing booked",IF(IF(K159="",FALSE,ABS(DATE(YEAR(TodayDate),MONTH(K159),DAY(K159))-TodayDate)&lt;=7),"Birthday - send the treat","OK")))))))))</f>
        <v>0</v>
      </c>
    </row>
    <row r="160" spans="1:43">
      <c r="A160" s="28">
        <f>IF(B160="","",ClientPrefix&amp;TEXT(ROW()-4,"0000"))</f>
        <v>0</v>
      </c>
      <c r="J160" s="15">
        <f>IF(I160="","",IFERROR(INDEX(Staff!$B$5:$B$44,MATCH(I160,Staff!$A$5:$A$44,0)),"Not in Staff"))</f>
        <v>0</v>
      </c>
      <c r="T160" s="25">
        <f>IF(B160="","",COUNTIFS(Appointments!$E$5:$E$1204,A160,Appointments!$M$5:$M$1204,"Completed"))</f>
        <v>0</v>
      </c>
      <c r="U160" s="25">
        <f>IF(B160="","",COUNTIFS(Appointments!$E$5:$E$1204,A160,Appointments!$M$5:$M$1204,"Completed",Appointments!$B$5:$B$1204,"&gt;="&amp;TodayDate-365))</f>
        <v>0</v>
      </c>
      <c r="V160" s="25">
        <f>IF(B160="","",COUNTIFS(Appointments!$E$5:$E$1204,A160,Appointments!$M$5:$M$1204,"Cancelled"))</f>
        <v>0</v>
      </c>
      <c r="W160" s="25">
        <f>IF(B160="","",COUNTIFS(Appointments!$E$5:$E$1204,A160,Appointments!$M$5:$M$1204,"No show"))</f>
        <v>0</v>
      </c>
      <c r="X160" s="17">
        <f>IF(B160="","",IF(F160&lt;&gt;"",F160,IF(T160=0,"",SUMPRODUCT(MIN((Appointments!$E$5:$E$1204=A160)*(Appointments!$M$5:$M$1204="Completed")*Appointments!$B$5:$B$1204+(1-(Appointments!$E$5:$E$1204=A160)*(Appointments!$M$5:$M$1204="Completed"))*2958465)))))</f>
        <v>0</v>
      </c>
      <c r="Y160" s="17">
        <f>IF(B160="","",IF(T160=0,"",SUMPRODUCT(MAX((Appointments!$E$5:$E$1204=A160)*(Appointments!$M$5:$M$1204="Completed")*Appointments!$B$5:$B$1204))))</f>
        <v>0</v>
      </c>
      <c r="Z160" s="25">
        <f>IF(B160="","",IF(Y160="","",TodayDate-Y160))</f>
        <v>0</v>
      </c>
      <c r="AA160" s="42">
        <f>IF(B160="","",SUMPRODUCT(MIN((Appointments!$E$5:$E$1204=A160)*(Appointments!$M$5:$M$1204&lt;&gt;"Cancelled")*(Appointments!$M$5:$M$1204&lt;&gt;"Completed")*(Appointments!$M$5:$M$1204&lt;&gt;"No show")*(Appointments!$B$5:$B$1204&gt;=TodayDate)*Appointments!$B$5:$B$1204+(1-(Appointments!$E$5:$E$1204=A160)*(Appointments!$M$5:$M$1204&lt;&gt;"Cancelled")*(Appointments!$M$5:$M$1204&lt;&gt;"Completed")*(Appointments!$M$5:$M$1204&lt;&gt;"No show")*(Appointments!$B$5:$B$1204&gt;=TodayDate))*2958465)))</f>
        <v>0</v>
      </c>
      <c r="AB160" s="17">
        <f>IF(B160="","",IF(AA160&gt;=2958465,"",AA160))</f>
        <v>0</v>
      </c>
      <c r="AC160" s="25">
        <f>IF(B160="","",IF(T160&lt;2,"",ROUND((Y160-X160)/MAX(1,T160-1),0)))</f>
        <v>0</v>
      </c>
      <c r="AD160" s="17">
        <f>IF(B160="","",IF(Y160="","",Y160+IF(AC160="",RebookWeeks*7,MAX(14,AC160))))</f>
        <v>0</v>
      </c>
      <c r="AE160" s="26">
        <f>IF(B160="","",ROUND(SUMIFS(Sales!$Y$5:$Y$1204,Sales!$D$5:$D$1204,A160),2))</f>
        <v>0</v>
      </c>
      <c r="AF160" s="26">
        <f>IF(B160="","",ROUND(SUMIFS(Sales!$Y$5:$Y$1204,Sales!$D$5:$D$1204,A160,Sales!$H$5:$H$1204,"Service"),2))</f>
        <v>0</v>
      </c>
      <c r="AG160" s="26">
        <f>IF(B160="","",ROUND(SUMIFS(Sales!$Y$5:$Y$1204,Sales!$D$5:$D$1204,A160,Sales!$H$5:$H$1204,"Retail"),2))</f>
        <v>0</v>
      </c>
      <c r="AH160" s="26">
        <f>IF(B160="","",ROUND(SUMIFS(Sales!$Y$5:$Y$1204,Sales!$D$5:$D$1204,A160,Sales!$B$5:$B$1204,"&gt;="&amp;TodayDate-365),2))</f>
        <v>0</v>
      </c>
      <c r="AI160" s="26">
        <f>IF(B160="","",IF(T160=0,"",ROUND(AE160/T160,2)))</f>
        <v>0</v>
      </c>
      <c r="AJ160" s="26">
        <f>IF(B160="","",IF(AI160="","",IF(AC160="","",ROUND(AI160*(365/MAX(14,AC160)),2))))</f>
        <v>0</v>
      </c>
      <c r="AK160" s="26">
        <f>IF(B160="","",ROUND(SUMIFS(Sales!$AH$5:$AH$1204,Sales!$D$5:$D$1204,A160),2))</f>
        <v>0</v>
      </c>
      <c r="AL160" s="25">
        <f>IF(B160="","",IFERROR(INDEX(Loyalty!$P$5:$P$504,MATCH(A160,Loyalty!$B$5:$B$504,0))*1,0))</f>
        <v>0</v>
      </c>
      <c r="AM160" s="39">
        <f>IF(B160="","",IF(R160="Archived","Archived",IF(T160=0,"Not been yet",IF(Z160&gt;=InactiveDays,"Inactive",IF(Z160&gt;=LapsingDays,"Lapsing",IF(T160=1,"New",IF(AH160&gt;=VipSpend,"VIP",IF(U160&gt;=4,"Regular","Active"))))))))</f>
        <v>0</v>
      </c>
      <c r="AN160" s="38">
        <f>IF(B160="","",IF(T160&gt;=2,"Yes","No"))</f>
        <v>0</v>
      </c>
      <c r="AO160" s="25">
        <f>IF(B160="","",COUNTIFS($AE$5:$AE$504,"&gt;"&amp;AE160)+COUNTIFS($AE$5:AE160,AE160))</f>
        <v>0</v>
      </c>
      <c r="AP160" s="25">
        <f>IF(B160="","",COUNTIFS($T$5:$T$504,"&gt;"&amp;T160)+COUNTIFS($T$5:T160,T160))</f>
        <v>0</v>
      </c>
      <c r="AQ160" s="39">
        <f>IF(B160="","",IF(COUNTIF($B$5:$B$504,B160)&gt;1,"Duplicate - same name twice",IF(R160="Archived","",IF(AK160&gt;0.004,"Chase - balance outstanding",IF(AM160="Inactive","Gone - win-back offer",IF(AM160="Lapsing","Chase - lapsing, call them",IF(IF(N160="",FALSE,TodayDate-N160&gt;PatchTestDays),"Due - patch test out of date",IF(IF(AD160="",FALSE,IF(AB160&lt;&gt;"",FALSE,AD160&lt;=TodayDate+14)),"Rebook - due and nothing booked",IF(IF(K160="",FALSE,ABS(DATE(YEAR(TodayDate),MONTH(K160),DAY(K160))-TodayDate)&lt;=7),"Birthday - send the treat","OK")))))))))</f>
        <v>0</v>
      </c>
    </row>
    <row r="161" spans="1:43">
      <c r="A161" s="28">
        <f>IF(B161="","",ClientPrefix&amp;TEXT(ROW()-4,"0000"))</f>
        <v>0</v>
      </c>
      <c r="J161" s="15">
        <f>IF(I161="","",IFERROR(INDEX(Staff!$B$5:$B$44,MATCH(I161,Staff!$A$5:$A$44,0)),"Not in Staff"))</f>
        <v>0</v>
      </c>
      <c r="T161" s="25">
        <f>IF(B161="","",COUNTIFS(Appointments!$E$5:$E$1204,A161,Appointments!$M$5:$M$1204,"Completed"))</f>
        <v>0</v>
      </c>
      <c r="U161" s="25">
        <f>IF(B161="","",COUNTIFS(Appointments!$E$5:$E$1204,A161,Appointments!$M$5:$M$1204,"Completed",Appointments!$B$5:$B$1204,"&gt;="&amp;TodayDate-365))</f>
        <v>0</v>
      </c>
      <c r="V161" s="25">
        <f>IF(B161="","",COUNTIFS(Appointments!$E$5:$E$1204,A161,Appointments!$M$5:$M$1204,"Cancelled"))</f>
        <v>0</v>
      </c>
      <c r="W161" s="25">
        <f>IF(B161="","",COUNTIFS(Appointments!$E$5:$E$1204,A161,Appointments!$M$5:$M$1204,"No show"))</f>
        <v>0</v>
      </c>
      <c r="X161" s="17">
        <f>IF(B161="","",IF(F161&lt;&gt;"",F161,IF(T161=0,"",SUMPRODUCT(MIN((Appointments!$E$5:$E$1204=A161)*(Appointments!$M$5:$M$1204="Completed")*Appointments!$B$5:$B$1204+(1-(Appointments!$E$5:$E$1204=A161)*(Appointments!$M$5:$M$1204="Completed"))*2958465)))))</f>
        <v>0</v>
      </c>
      <c r="Y161" s="17">
        <f>IF(B161="","",IF(T161=0,"",SUMPRODUCT(MAX((Appointments!$E$5:$E$1204=A161)*(Appointments!$M$5:$M$1204="Completed")*Appointments!$B$5:$B$1204))))</f>
        <v>0</v>
      </c>
      <c r="Z161" s="25">
        <f>IF(B161="","",IF(Y161="","",TodayDate-Y161))</f>
        <v>0</v>
      </c>
      <c r="AA161" s="42">
        <f>IF(B161="","",SUMPRODUCT(MIN((Appointments!$E$5:$E$1204=A161)*(Appointments!$M$5:$M$1204&lt;&gt;"Cancelled")*(Appointments!$M$5:$M$1204&lt;&gt;"Completed")*(Appointments!$M$5:$M$1204&lt;&gt;"No show")*(Appointments!$B$5:$B$1204&gt;=TodayDate)*Appointments!$B$5:$B$1204+(1-(Appointments!$E$5:$E$1204=A161)*(Appointments!$M$5:$M$1204&lt;&gt;"Cancelled")*(Appointments!$M$5:$M$1204&lt;&gt;"Completed")*(Appointments!$M$5:$M$1204&lt;&gt;"No show")*(Appointments!$B$5:$B$1204&gt;=TodayDate))*2958465)))</f>
        <v>0</v>
      </c>
      <c r="AB161" s="17">
        <f>IF(B161="","",IF(AA161&gt;=2958465,"",AA161))</f>
        <v>0</v>
      </c>
      <c r="AC161" s="25">
        <f>IF(B161="","",IF(T161&lt;2,"",ROUND((Y161-X161)/MAX(1,T161-1),0)))</f>
        <v>0</v>
      </c>
      <c r="AD161" s="17">
        <f>IF(B161="","",IF(Y161="","",Y161+IF(AC161="",RebookWeeks*7,MAX(14,AC161))))</f>
        <v>0</v>
      </c>
      <c r="AE161" s="26">
        <f>IF(B161="","",ROUND(SUMIFS(Sales!$Y$5:$Y$1204,Sales!$D$5:$D$1204,A161),2))</f>
        <v>0</v>
      </c>
      <c r="AF161" s="26">
        <f>IF(B161="","",ROUND(SUMIFS(Sales!$Y$5:$Y$1204,Sales!$D$5:$D$1204,A161,Sales!$H$5:$H$1204,"Service"),2))</f>
        <v>0</v>
      </c>
      <c r="AG161" s="26">
        <f>IF(B161="","",ROUND(SUMIFS(Sales!$Y$5:$Y$1204,Sales!$D$5:$D$1204,A161,Sales!$H$5:$H$1204,"Retail"),2))</f>
        <v>0</v>
      </c>
      <c r="AH161" s="26">
        <f>IF(B161="","",ROUND(SUMIFS(Sales!$Y$5:$Y$1204,Sales!$D$5:$D$1204,A161,Sales!$B$5:$B$1204,"&gt;="&amp;TodayDate-365),2))</f>
        <v>0</v>
      </c>
      <c r="AI161" s="26">
        <f>IF(B161="","",IF(T161=0,"",ROUND(AE161/T161,2)))</f>
        <v>0</v>
      </c>
      <c r="AJ161" s="26">
        <f>IF(B161="","",IF(AI161="","",IF(AC161="","",ROUND(AI161*(365/MAX(14,AC161)),2))))</f>
        <v>0</v>
      </c>
      <c r="AK161" s="26">
        <f>IF(B161="","",ROUND(SUMIFS(Sales!$AH$5:$AH$1204,Sales!$D$5:$D$1204,A161),2))</f>
        <v>0</v>
      </c>
      <c r="AL161" s="25">
        <f>IF(B161="","",IFERROR(INDEX(Loyalty!$P$5:$P$504,MATCH(A161,Loyalty!$B$5:$B$504,0))*1,0))</f>
        <v>0</v>
      </c>
      <c r="AM161" s="39">
        <f>IF(B161="","",IF(R161="Archived","Archived",IF(T161=0,"Not been yet",IF(Z161&gt;=InactiveDays,"Inactive",IF(Z161&gt;=LapsingDays,"Lapsing",IF(T161=1,"New",IF(AH161&gt;=VipSpend,"VIP",IF(U161&gt;=4,"Regular","Active"))))))))</f>
        <v>0</v>
      </c>
      <c r="AN161" s="38">
        <f>IF(B161="","",IF(T161&gt;=2,"Yes","No"))</f>
        <v>0</v>
      </c>
      <c r="AO161" s="25">
        <f>IF(B161="","",COUNTIFS($AE$5:$AE$504,"&gt;"&amp;AE161)+COUNTIFS($AE$5:AE161,AE161))</f>
        <v>0</v>
      </c>
      <c r="AP161" s="25">
        <f>IF(B161="","",COUNTIFS($T$5:$T$504,"&gt;"&amp;T161)+COUNTIFS($T$5:T161,T161))</f>
        <v>0</v>
      </c>
      <c r="AQ161" s="39">
        <f>IF(B161="","",IF(COUNTIF($B$5:$B$504,B161)&gt;1,"Duplicate - same name twice",IF(R161="Archived","",IF(AK161&gt;0.004,"Chase - balance outstanding",IF(AM161="Inactive","Gone - win-back offer",IF(AM161="Lapsing","Chase - lapsing, call them",IF(IF(N161="",FALSE,TodayDate-N161&gt;PatchTestDays),"Due - patch test out of date",IF(IF(AD161="",FALSE,IF(AB161&lt;&gt;"",FALSE,AD161&lt;=TodayDate+14)),"Rebook - due and nothing booked",IF(IF(K161="",FALSE,ABS(DATE(YEAR(TodayDate),MONTH(K161),DAY(K161))-TodayDate)&lt;=7),"Birthday - send the treat","OK")))))))))</f>
        <v>0</v>
      </c>
    </row>
    <row r="162" spans="1:43">
      <c r="A162" s="28">
        <f>IF(B162="","",ClientPrefix&amp;TEXT(ROW()-4,"0000"))</f>
        <v>0</v>
      </c>
      <c r="J162" s="15">
        <f>IF(I162="","",IFERROR(INDEX(Staff!$B$5:$B$44,MATCH(I162,Staff!$A$5:$A$44,0)),"Not in Staff"))</f>
        <v>0</v>
      </c>
      <c r="T162" s="25">
        <f>IF(B162="","",COUNTIFS(Appointments!$E$5:$E$1204,A162,Appointments!$M$5:$M$1204,"Completed"))</f>
        <v>0</v>
      </c>
      <c r="U162" s="25">
        <f>IF(B162="","",COUNTIFS(Appointments!$E$5:$E$1204,A162,Appointments!$M$5:$M$1204,"Completed",Appointments!$B$5:$B$1204,"&gt;="&amp;TodayDate-365))</f>
        <v>0</v>
      </c>
      <c r="V162" s="25">
        <f>IF(B162="","",COUNTIFS(Appointments!$E$5:$E$1204,A162,Appointments!$M$5:$M$1204,"Cancelled"))</f>
        <v>0</v>
      </c>
      <c r="W162" s="25">
        <f>IF(B162="","",COUNTIFS(Appointments!$E$5:$E$1204,A162,Appointments!$M$5:$M$1204,"No show"))</f>
        <v>0</v>
      </c>
      <c r="X162" s="17">
        <f>IF(B162="","",IF(F162&lt;&gt;"",F162,IF(T162=0,"",SUMPRODUCT(MIN((Appointments!$E$5:$E$1204=A162)*(Appointments!$M$5:$M$1204="Completed")*Appointments!$B$5:$B$1204+(1-(Appointments!$E$5:$E$1204=A162)*(Appointments!$M$5:$M$1204="Completed"))*2958465)))))</f>
        <v>0</v>
      </c>
      <c r="Y162" s="17">
        <f>IF(B162="","",IF(T162=0,"",SUMPRODUCT(MAX((Appointments!$E$5:$E$1204=A162)*(Appointments!$M$5:$M$1204="Completed")*Appointments!$B$5:$B$1204))))</f>
        <v>0</v>
      </c>
      <c r="Z162" s="25">
        <f>IF(B162="","",IF(Y162="","",TodayDate-Y162))</f>
        <v>0</v>
      </c>
      <c r="AA162" s="42">
        <f>IF(B162="","",SUMPRODUCT(MIN((Appointments!$E$5:$E$1204=A162)*(Appointments!$M$5:$M$1204&lt;&gt;"Cancelled")*(Appointments!$M$5:$M$1204&lt;&gt;"Completed")*(Appointments!$M$5:$M$1204&lt;&gt;"No show")*(Appointments!$B$5:$B$1204&gt;=TodayDate)*Appointments!$B$5:$B$1204+(1-(Appointments!$E$5:$E$1204=A162)*(Appointments!$M$5:$M$1204&lt;&gt;"Cancelled")*(Appointments!$M$5:$M$1204&lt;&gt;"Completed")*(Appointments!$M$5:$M$1204&lt;&gt;"No show")*(Appointments!$B$5:$B$1204&gt;=TodayDate))*2958465)))</f>
        <v>0</v>
      </c>
      <c r="AB162" s="17">
        <f>IF(B162="","",IF(AA162&gt;=2958465,"",AA162))</f>
        <v>0</v>
      </c>
      <c r="AC162" s="25">
        <f>IF(B162="","",IF(T162&lt;2,"",ROUND((Y162-X162)/MAX(1,T162-1),0)))</f>
        <v>0</v>
      </c>
      <c r="AD162" s="17">
        <f>IF(B162="","",IF(Y162="","",Y162+IF(AC162="",RebookWeeks*7,MAX(14,AC162))))</f>
        <v>0</v>
      </c>
      <c r="AE162" s="26">
        <f>IF(B162="","",ROUND(SUMIFS(Sales!$Y$5:$Y$1204,Sales!$D$5:$D$1204,A162),2))</f>
        <v>0</v>
      </c>
      <c r="AF162" s="26">
        <f>IF(B162="","",ROUND(SUMIFS(Sales!$Y$5:$Y$1204,Sales!$D$5:$D$1204,A162,Sales!$H$5:$H$1204,"Service"),2))</f>
        <v>0</v>
      </c>
      <c r="AG162" s="26">
        <f>IF(B162="","",ROUND(SUMIFS(Sales!$Y$5:$Y$1204,Sales!$D$5:$D$1204,A162,Sales!$H$5:$H$1204,"Retail"),2))</f>
        <v>0</v>
      </c>
      <c r="AH162" s="26">
        <f>IF(B162="","",ROUND(SUMIFS(Sales!$Y$5:$Y$1204,Sales!$D$5:$D$1204,A162,Sales!$B$5:$B$1204,"&gt;="&amp;TodayDate-365),2))</f>
        <v>0</v>
      </c>
      <c r="AI162" s="26">
        <f>IF(B162="","",IF(T162=0,"",ROUND(AE162/T162,2)))</f>
        <v>0</v>
      </c>
      <c r="AJ162" s="26">
        <f>IF(B162="","",IF(AI162="","",IF(AC162="","",ROUND(AI162*(365/MAX(14,AC162)),2))))</f>
        <v>0</v>
      </c>
      <c r="AK162" s="26">
        <f>IF(B162="","",ROUND(SUMIFS(Sales!$AH$5:$AH$1204,Sales!$D$5:$D$1204,A162),2))</f>
        <v>0</v>
      </c>
      <c r="AL162" s="25">
        <f>IF(B162="","",IFERROR(INDEX(Loyalty!$P$5:$P$504,MATCH(A162,Loyalty!$B$5:$B$504,0))*1,0))</f>
        <v>0</v>
      </c>
      <c r="AM162" s="39">
        <f>IF(B162="","",IF(R162="Archived","Archived",IF(T162=0,"Not been yet",IF(Z162&gt;=InactiveDays,"Inactive",IF(Z162&gt;=LapsingDays,"Lapsing",IF(T162=1,"New",IF(AH162&gt;=VipSpend,"VIP",IF(U162&gt;=4,"Regular","Active"))))))))</f>
        <v>0</v>
      </c>
      <c r="AN162" s="38">
        <f>IF(B162="","",IF(T162&gt;=2,"Yes","No"))</f>
        <v>0</v>
      </c>
      <c r="AO162" s="25">
        <f>IF(B162="","",COUNTIFS($AE$5:$AE$504,"&gt;"&amp;AE162)+COUNTIFS($AE$5:AE162,AE162))</f>
        <v>0</v>
      </c>
      <c r="AP162" s="25">
        <f>IF(B162="","",COUNTIFS($T$5:$T$504,"&gt;"&amp;T162)+COUNTIFS($T$5:T162,T162))</f>
        <v>0</v>
      </c>
      <c r="AQ162" s="39">
        <f>IF(B162="","",IF(COUNTIF($B$5:$B$504,B162)&gt;1,"Duplicate - same name twice",IF(R162="Archived","",IF(AK162&gt;0.004,"Chase - balance outstanding",IF(AM162="Inactive","Gone - win-back offer",IF(AM162="Lapsing","Chase - lapsing, call them",IF(IF(N162="",FALSE,TodayDate-N162&gt;PatchTestDays),"Due - patch test out of date",IF(IF(AD162="",FALSE,IF(AB162&lt;&gt;"",FALSE,AD162&lt;=TodayDate+14)),"Rebook - due and nothing booked",IF(IF(K162="",FALSE,ABS(DATE(YEAR(TodayDate),MONTH(K162),DAY(K162))-TodayDate)&lt;=7),"Birthday - send the treat","OK")))))))))</f>
        <v>0</v>
      </c>
    </row>
    <row r="163" spans="1:43">
      <c r="A163" s="28">
        <f>IF(B163="","",ClientPrefix&amp;TEXT(ROW()-4,"0000"))</f>
        <v>0</v>
      </c>
      <c r="J163" s="15">
        <f>IF(I163="","",IFERROR(INDEX(Staff!$B$5:$B$44,MATCH(I163,Staff!$A$5:$A$44,0)),"Not in Staff"))</f>
        <v>0</v>
      </c>
      <c r="T163" s="25">
        <f>IF(B163="","",COUNTIFS(Appointments!$E$5:$E$1204,A163,Appointments!$M$5:$M$1204,"Completed"))</f>
        <v>0</v>
      </c>
      <c r="U163" s="25">
        <f>IF(B163="","",COUNTIFS(Appointments!$E$5:$E$1204,A163,Appointments!$M$5:$M$1204,"Completed",Appointments!$B$5:$B$1204,"&gt;="&amp;TodayDate-365))</f>
        <v>0</v>
      </c>
      <c r="V163" s="25">
        <f>IF(B163="","",COUNTIFS(Appointments!$E$5:$E$1204,A163,Appointments!$M$5:$M$1204,"Cancelled"))</f>
        <v>0</v>
      </c>
      <c r="W163" s="25">
        <f>IF(B163="","",COUNTIFS(Appointments!$E$5:$E$1204,A163,Appointments!$M$5:$M$1204,"No show"))</f>
        <v>0</v>
      </c>
      <c r="X163" s="17">
        <f>IF(B163="","",IF(F163&lt;&gt;"",F163,IF(T163=0,"",SUMPRODUCT(MIN((Appointments!$E$5:$E$1204=A163)*(Appointments!$M$5:$M$1204="Completed")*Appointments!$B$5:$B$1204+(1-(Appointments!$E$5:$E$1204=A163)*(Appointments!$M$5:$M$1204="Completed"))*2958465)))))</f>
        <v>0</v>
      </c>
      <c r="Y163" s="17">
        <f>IF(B163="","",IF(T163=0,"",SUMPRODUCT(MAX((Appointments!$E$5:$E$1204=A163)*(Appointments!$M$5:$M$1204="Completed")*Appointments!$B$5:$B$1204))))</f>
        <v>0</v>
      </c>
      <c r="Z163" s="25">
        <f>IF(B163="","",IF(Y163="","",TodayDate-Y163))</f>
        <v>0</v>
      </c>
      <c r="AA163" s="42">
        <f>IF(B163="","",SUMPRODUCT(MIN((Appointments!$E$5:$E$1204=A163)*(Appointments!$M$5:$M$1204&lt;&gt;"Cancelled")*(Appointments!$M$5:$M$1204&lt;&gt;"Completed")*(Appointments!$M$5:$M$1204&lt;&gt;"No show")*(Appointments!$B$5:$B$1204&gt;=TodayDate)*Appointments!$B$5:$B$1204+(1-(Appointments!$E$5:$E$1204=A163)*(Appointments!$M$5:$M$1204&lt;&gt;"Cancelled")*(Appointments!$M$5:$M$1204&lt;&gt;"Completed")*(Appointments!$M$5:$M$1204&lt;&gt;"No show")*(Appointments!$B$5:$B$1204&gt;=TodayDate))*2958465)))</f>
        <v>0</v>
      </c>
      <c r="AB163" s="17">
        <f>IF(B163="","",IF(AA163&gt;=2958465,"",AA163))</f>
        <v>0</v>
      </c>
      <c r="AC163" s="25">
        <f>IF(B163="","",IF(T163&lt;2,"",ROUND((Y163-X163)/MAX(1,T163-1),0)))</f>
        <v>0</v>
      </c>
      <c r="AD163" s="17">
        <f>IF(B163="","",IF(Y163="","",Y163+IF(AC163="",RebookWeeks*7,MAX(14,AC163))))</f>
        <v>0</v>
      </c>
      <c r="AE163" s="26">
        <f>IF(B163="","",ROUND(SUMIFS(Sales!$Y$5:$Y$1204,Sales!$D$5:$D$1204,A163),2))</f>
        <v>0</v>
      </c>
      <c r="AF163" s="26">
        <f>IF(B163="","",ROUND(SUMIFS(Sales!$Y$5:$Y$1204,Sales!$D$5:$D$1204,A163,Sales!$H$5:$H$1204,"Service"),2))</f>
        <v>0</v>
      </c>
      <c r="AG163" s="26">
        <f>IF(B163="","",ROUND(SUMIFS(Sales!$Y$5:$Y$1204,Sales!$D$5:$D$1204,A163,Sales!$H$5:$H$1204,"Retail"),2))</f>
        <v>0</v>
      </c>
      <c r="AH163" s="26">
        <f>IF(B163="","",ROUND(SUMIFS(Sales!$Y$5:$Y$1204,Sales!$D$5:$D$1204,A163,Sales!$B$5:$B$1204,"&gt;="&amp;TodayDate-365),2))</f>
        <v>0</v>
      </c>
      <c r="AI163" s="26">
        <f>IF(B163="","",IF(T163=0,"",ROUND(AE163/T163,2)))</f>
        <v>0</v>
      </c>
      <c r="AJ163" s="26">
        <f>IF(B163="","",IF(AI163="","",IF(AC163="","",ROUND(AI163*(365/MAX(14,AC163)),2))))</f>
        <v>0</v>
      </c>
      <c r="AK163" s="26">
        <f>IF(B163="","",ROUND(SUMIFS(Sales!$AH$5:$AH$1204,Sales!$D$5:$D$1204,A163),2))</f>
        <v>0</v>
      </c>
      <c r="AL163" s="25">
        <f>IF(B163="","",IFERROR(INDEX(Loyalty!$P$5:$P$504,MATCH(A163,Loyalty!$B$5:$B$504,0))*1,0))</f>
        <v>0</v>
      </c>
      <c r="AM163" s="39">
        <f>IF(B163="","",IF(R163="Archived","Archived",IF(T163=0,"Not been yet",IF(Z163&gt;=InactiveDays,"Inactive",IF(Z163&gt;=LapsingDays,"Lapsing",IF(T163=1,"New",IF(AH163&gt;=VipSpend,"VIP",IF(U163&gt;=4,"Regular","Active"))))))))</f>
        <v>0</v>
      </c>
      <c r="AN163" s="38">
        <f>IF(B163="","",IF(T163&gt;=2,"Yes","No"))</f>
        <v>0</v>
      </c>
      <c r="AO163" s="25">
        <f>IF(B163="","",COUNTIFS($AE$5:$AE$504,"&gt;"&amp;AE163)+COUNTIFS($AE$5:AE163,AE163))</f>
        <v>0</v>
      </c>
      <c r="AP163" s="25">
        <f>IF(B163="","",COUNTIFS($T$5:$T$504,"&gt;"&amp;T163)+COUNTIFS($T$5:T163,T163))</f>
        <v>0</v>
      </c>
      <c r="AQ163" s="39">
        <f>IF(B163="","",IF(COUNTIF($B$5:$B$504,B163)&gt;1,"Duplicate - same name twice",IF(R163="Archived","",IF(AK163&gt;0.004,"Chase - balance outstanding",IF(AM163="Inactive","Gone - win-back offer",IF(AM163="Lapsing","Chase - lapsing, call them",IF(IF(N163="",FALSE,TodayDate-N163&gt;PatchTestDays),"Due - patch test out of date",IF(IF(AD163="",FALSE,IF(AB163&lt;&gt;"",FALSE,AD163&lt;=TodayDate+14)),"Rebook - due and nothing booked",IF(IF(K163="",FALSE,ABS(DATE(YEAR(TodayDate),MONTH(K163),DAY(K163))-TodayDate)&lt;=7),"Birthday - send the treat","OK")))))))))</f>
        <v>0</v>
      </c>
    </row>
    <row r="164" spans="1:43">
      <c r="A164" s="28">
        <f>IF(B164="","",ClientPrefix&amp;TEXT(ROW()-4,"0000"))</f>
        <v>0</v>
      </c>
      <c r="J164" s="15">
        <f>IF(I164="","",IFERROR(INDEX(Staff!$B$5:$B$44,MATCH(I164,Staff!$A$5:$A$44,0)),"Not in Staff"))</f>
        <v>0</v>
      </c>
      <c r="T164" s="25">
        <f>IF(B164="","",COUNTIFS(Appointments!$E$5:$E$1204,A164,Appointments!$M$5:$M$1204,"Completed"))</f>
        <v>0</v>
      </c>
      <c r="U164" s="25">
        <f>IF(B164="","",COUNTIFS(Appointments!$E$5:$E$1204,A164,Appointments!$M$5:$M$1204,"Completed",Appointments!$B$5:$B$1204,"&gt;="&amp;TodayDate-365))</f>
        <v>0</v>
      </c>
      <c r="V164" s="25">
        <f>IF(B164="","",COUNTIFS(Appointments!$E$5:$E$1204,A164,Appointments!$M$5:$M$1204,"Cancelled"))</f>
        <v>0</v>
      </c>
      <c r="W164" s="25">
        <f>IF(B164="","",COUNTIFS(Appointments!$E$5:$E$1204,A164,Appointments!$M$5:$M$1204,"No show"))</f>
        <v>0</v>
      </c>
      <c r="X164" s="17">
        <f>IF(B164="","",IF(F164&lt;&gt;"",F164,IF(T164=0,"",SUMPRODUCT(MIN((Appointments!$E$5:$E$1204=A164)*(Appointments!$M$5:$M$1204="Completed")*Appointments!$B$5:$B$1204+(1-(Appointments!$E$5:$E$1204=A164)*(Appointments!$M$5:$M$1204="Completed"))*2958465)))))</f>
        <v>0</v>
      </c>
      <c r="Y164" s="17">
        <f>IF(B164="","",IF(T164=0,"",SUMPRODUCT(MAX((Appointments!$E$5:$E$1204=A164)*(Appointments!$M$5:$M$1204="Completed")*Appointments!$B$5:$B$1204))))</f>
        <v>0</v>
      </c>
      <c r="Z164" s="25">
        <f>IF(B164="","",IF(Y164="","",TodayDate-Y164))</f>
        <v>0</v>
      </c>
      <c r="AA164" s="42">
        <f>IF(B164="","",SUMPRODUCT(MIN((Appointments!$E$5:$E$1204=A164)*(Appointments!$M$5:$M$1204&lt;&gt;"Cancelled")*(Appointments!$M$5:$M$1204&lt;&gt;"Completed")*(Appointments!$M$5:$M$1204&lt;&gt;"No show")*(Appointments!$B$5:$B$1204&gt;=TodayDate)*Appointments!$B$5:$B$1204+(1-(Appointments!$E$5:$E$1204=A164)*(Appointments!$M$5:$M$1204&lt;&gt;"Cancelled")*(Appointments!$M$5:$M$1204&lt;&gt;"Completed")*(Appointments!$M$5:$M$1204&lt;&gt;"No show")*(Appointments!$B$5:$B$1204&gt;=TodayDate))*2958465)))</f>
        <v>0</v>
      </c>
      <c r="AB164" s="17">
        <f>IF(B164="","",IF(AA164&gt;=2958465,"",AA164))</f>
        <v>0</v>
      </c>
      <c r="AC164" s="25">
        <f>IF(B164="","",IF(T164&lt;2,"",ROUND((Y164-X164)/MAX(1,T164-1),0)))</f>
        <v>0</v>
      </c>
      <c r="AD164" s="17">
        <f>IF(B164="","",IF(Y164="","",Y164+IF(AC164="",RebookWeeks*7,MAX(14,AC164))))</f>
        <v>0</v>
      </c>
      <c r="AE164" s="26">
        <f>IF(B164="","",ROUND(SUMIFS(Sales!$Y$5:$Y$1204,Sales!$D$5:$D$1204,A164),2))</f>
        <v>0</v>
      </c>
      <c r="AF164" s="26">
        <f>IF(B164="","",ROUND(SUMIFS(Sales!$Y$5:$Y$1204,Sales!$D$5:$D$1204,A164,Sales!$H$5:$H$1204,"Service"),2))</f>
        <v>0</v>
      </c>
      <c r="AG164" s="26">
        <f>IF(B164="","",ROUND(SUMIFS(Sales!$Y$5:$Y$1204,Sales!$D$5:$D$1204,A164,Sales!$H$5:$H$1204,"Retail"),2))</f>
        <v>0</v>
      </c>
      <c r="AH164" s="26">
        <f>IF(B164="","",ROUND(SUMIFS(Sales!$Y$5:$Y$1204,Sales!$D$5:$D$1204,A164,Sales!$B$5:$B$1204,"&gt;="&amp;TodayDate-365),2))</f>
        <v>0</v>
      </c>
      <c r="AI164" s="26">
        <f>IF(B164="","",IF(T164=0,"",ROUND(AE164/T164,2)))</f>
        <v>0</v>
      </c>
      <c r="AJ164" s="26">
        <f>IF(B164="","",IF(AI164="","",IF(AC164="","",ROUND(AI164*(365/MAX(14,AC164)),2))))</f>
        <v>0</v>
      </c>
      <c r="AK164" s="26">
        <f>IF(B164="","",ROUND(SUMIFS(Sales!$AH$5:$AH$1204,Sales!$D$5:$D$1204,A164),2))</f>
        <v>0</v>
      </c>
      <c r="AL164" s="25">
        <f>IF(B164="","",IFERROR(INDEX(Loyalty!$P$5:$P$504,MATCH(A164,Loyalty!$B$5:$B$504,0))*1,0))</f>
        <v>0</v>
      </c>
      <c r="AM164" s="39">
        <f>IF(B164="","",IF(R164="Archived","Archived",IF(T164=0,"Not been yet",IF(Z164&gt;=InactiveDays,"Inactive",IF(Z164&gt;=LapsingDays,"Lapsing",IF(T164=1,"New",IF(AH164&gt;=VipSpend,"VIP",IF(U164&gt;=4,"Regular","Active"))))))))</f>
        <v>0</v>
      </c>
      <c r="AN164" s="38">
        <f>IF(B164="","",IF(T164&gt;=2,"Yes","No"))</f>
        <v>0</v>
      </c>
      <c r="AO164" s="25">
        <f>IF(B164="","",COUNTIFS($AE$5:$AE$504,"&gt;"&amp;AE164)+COUNTIFS($AE$5:AE164,AE164))</f>
        <v>0</v>
      </c>
      <c r="AP164" s="25">
        <f>IF(B164="","",COUNTIFS($T$5:$T$504,"&gt;"&amp;T164)+COUNTIFS($T$5:T164,T164))</f>
        <v>0</v>
      </c>
      <c r="AQ164" s="39">
        <f>IF(B164="","",IF(COUNTIF($B$5:$B$504,B164)&gt;1,"Duplicate - same name twice",IF(R164="Archived","",IF(AK164&gt;0.004,"Chase - balance outstanding",IF(AM164="Inactive","Gone - win-back offer",IF(AM164="Lapsing","Chase - lapsing, call them",IF(IF(N164="",FALSE,TodayDate-N164&gt;PatchTestDays),"Due - patch test out of date",IF(IF(AD164="",FALSE,IF(AB164&lt;&gt;"",FALSE,AD164&lt;=TodayDate+14)),"Rebook - due and nothing booked",IF(IF(K164="",FALSE,ABS(DATE(YEAR(TodayDate),MONTH(K164),DAY(K164))-TodayDate)&lt;=7),"Birthday - send the treat","OK")))))))))</f>
        <v>0</v>
      </c>
    </row>
    <row r="165" spans="1:43">
      <c r="A165" s="28">
        <f>IF(B165="","",ClientPrefix&amp;TEXT(ROW()-4,"0000"))</f>
        <v>0</v>
      </c>
      <c r="J165" s="15">
        <f>IF(I165="","",IFERROR(INDEX(Staff!$B$5:$B$44,MATCH(I165,Staff!$A$5:$A$44,0)),"Not in Staff"))</f>
        <v>0</v>
      </c>
      <c r="T165" s="25">
        <f>IF(B165="","",COUNTIFS(Appointments!$E$5:$E$1204,A165,Appointments!$M$5:$M$1204,"Completed"))</f>
        <v>0</v>
      </c>
      <c r="U165" s="25">
        <f>IF(B165="","",COUNTIFS(Appointments!$E$5:$E$1204,A165,Appointments!$M$5:$M$1204,"Completed",Appointments!$B$5:$B$1204,"&gt;="&amp;TodayDate-365))</f>
        <v>0</v>
      </c>
      <c r="V165" s="25">
        <f>IF(B165="","",COUNTIFS(Appointments!$E$5:$E$1204,A165,Appointments!$M$5:$M$1204,"Cancelled"))</f>
        <v>0</v>
      </c>
      <c r="W165" s="25">
        <f>IF(B165="","",COUNTIFS(Appointments!$E$5:$E$1204,A165,Appointments!$M$5:$M$1204,"No show"))</f>
        <v>0</v>
      </c>
      <c r="X165" s="17">
        <f>IF(B165="","",IF(F165&lt;&gt;"",F165,IF(T165=0,"",SUMPRODUCT(MIN((Appointments!$E$5:$E$1204=A165)*(Appointments!$M$5:$M$1204="Completed")*Appointments!$B$5:$B$1204+(1-(Appointments!$E$5:$E$1204=A165)*(Appointments!$M$5:$M$1204="Completed"))*2958465)))))</f>
        <v>0</v>
      </c>
      <c r="Y165" s="17">
        <f>IF(B165="","",IF(T165=0,"",SUMPRODUCT(MAX((Appointments!$E$5:$E$1204=A165)*(Appointments!$M$5:$M$1204="Completed")*Appointments!$B$5:$B$1204))))</f>
        <v>0</v>
      </c>
      <c r="Z165" s="25">
        <f>IF(B165="","",IF(Y165="","",TodayDate-Y165))</f>
        <v>0</v>
      </c>
      <c r="AA165" s="42">
        <f>IF(B165="","",SUMPRODUCT(MIN((Appointments!$E$5:$E$1204=A165)*(Appointments!$M$5:$M$1204&lt;&gt;"Cancelled")*(Appointments!$M$5:$M$1204&lt;&gt;"Completed")*(Appointments!$M$5:$M$1204&lt;&gt;"No show")*(Appointments!$B$5:$B$1204&gt;=TodayDate)*Appointments!$B$5:$B$1204+(1-(Appointments!$E$5:$E$1204=A165)*(Appointments!$M$5:$M$1204&lt;&gt;"Cancelled")*(Appointments!$M$5:$M$1204&lt;&gt;"Completed")*(Appointments!$M$5:$M$1204&lt;&gt;"No show")*(Appointments!$B$5:$B$1204&gt;=TodayDate))*2958465)))</f>
        <v>0</v>
      </c>
      <c r="AB165" s="17">
        <f>IF(B165="","",IF(AA165&gt;=2958465,"",AA165))</f>
        <v>0</v>
      </c>
      <c r="AC165" s="25">
        <f>IF(B165="","",IF(T165&lt;2,"",ROUND((Y165-X165)/MAX(1,T165-1),0)))</f>
        <v>0</v>
      </c>
      <c r="AD165" s="17">
        <f>IF(B165="","",IF(Y165="","",Y165+IF(AC165="",RebookWeeks*7,MAX(14,AC165))))</f>
        <v>0</v>
      </c>
      <c r="AE165" s="26">
        <f>IF(B165="","",ROUND(SUMIFS(Sales!$Y$5:$Y$1204,Sales!$D$5:$D$1204,A165),2))</f>
        <v>0</v>
      </c>
      <c r="AF165" s="26">
        <f>IF(B165="","",ROUND(SUMIFS(Sales!$Y$5:$Y$1204,Sales!$D$5:$D$1204,A165,Sales!$H$5:$H$1204,"Service"),2))</f>
        <v>0</v>
      </c>
      <c r="AG165" s="26">
        <f>IF(B165="","",ROUND(SUMIFS(Sales!$Y$5:$Y$1204,Sales!$D$5:$D$1204,A165,Sales!$H$5:$H$1204,"Retail"),2))</f>
        <v>0</v>
      </c>
      <c r="AH165" s="26">
        <f>IF(B165="","",ROUND(SUMIFS(Sales!$Y$5:$Y$1204,Sales!$D$5:$D$1204,A165,Sales!$B$5:$B$1204,"&gt;="&amp;TodayDate-365),2))</f>
        <v>0</v>
      </c>
      <c r="AI165" s="26">
        <f>IF(B165="","",IF(T165=0,"",ROUND(AE165/T165,2)))</f>
        <v>0</v>
      </c>
      <c r="AJ165" s="26">
        <f>IF(B165="","",IF(AI165="","",IF(AC165="","",ROUND(AI165*(365/MAX(14,AC165)),2))))</f>
        <v>0</v>
      </c>
      <c r="AK165" s="26">
        <f>IF(B165="","",ROUND(SUMIFS(Sales!$AH$5:$AH$1204,Sales!$D$5:$D$1204,A165),2))</f>
        <v>0</v>
      </c>
      <c r="AL165" s="25">
        <f>IF(B165="","",IFERROR(INDEX(Loyalty!$P$5:$P$504,MATCH(A165,Loyalty!$B$5:$B$504,0))*1,0))</f>
        <v>0</v>
      </c>
      <c r="AM165" s="39">
        <f>IF(B165="","",IF(R165="Archived","Archived",IF(T165=0,"Not been yet",IF(Z165&gt;=InactiveDays,"Inactive",IF(Z165&gt;=LapsingDays,"Lapsing",IF(T165=1,"New",IF(AH165&gt;=VipSpend,"VIP",IF(U165&gt;=4,"Regular","Active"))))))))</f>
        <v>0</v>
      </c>
      <c r="AN165" s="38">
        <f>IF(B165="","",IF(T165&gt;=2,"Yes","No"))</f>
        <v>0</v>
      </c>
      <c r="AO165" s="25">
        <f>IF(B165="","",COUNTIFS($AE$5:$AE$504,"&gt;"&amp;AE165)+COUNTIFS($AE$5:AE165,AE165))</f>
        <v>0</v>
      </c>
      <c r="AP165" s="25">
        <f>IF(B165="","",COUNTIFS($T$5:$T$504,"&gt;"&amp;T165)+COUNTIFS($T$5:T165,T165))</f>
        <v>0</v>
      </c>
      <c r="AQ165" s="39">
        <f>IF(B165="","",IF(COUNTIF($B$5:$B$504,B165)&gt;1,"Duplicate - same name twice",IF(R165="Archived","",IF(AK165&gt;0.004,"Chase - balance outstanding",IF(AM165="Inactive","Gone - win-back offer",IF(AM165="Lapsing","Chase - lapsing, call them",IF(IF(N165="",FALSE,TodayDate-N165&gt;PatchTestDays),"Due - patch test out of date",IF(IF(AD165="",FALSE,IF(AB165&lt;&gt;"",FALSE,AD165&lt;=TodayDate+14)),"Rebook - due and nothing booked",IF(IF(K165="",FALSE,ABS(DATE(YEAR(TodayDate),MONTH(K165),DAY(K165))-TodayDate)&lt;=7),"Birthday - send the treat","OK")))))))))</f>
        <v>0</v>
      </c>
    </row>
    <row r="166" spans="1:43">
      <c r="A166" s="28">
        <f>IF(B166="","",ClientPrefix&amp;TEXT(ROW()-4,"0000"))</f>
        <v>0</v>
      </c>
      <c r="J166" s="15">
        <f>IF(I166="","",IFERROR(INDEX(Staff!$B$5:$B$44,MATCH(I166,Staff!$A$5:$A$44,0)),"Not in Staff"))</f>
        <v>0</v>
      </c>
      <c r="T166" s="25">
        <f>IF(B166="","",COUNTIFS(Appointments!$E$5:$E$1204,A166,Appointments!$M$5:$M$1204,"Completed"))</f>
        <v>0</v>
      </c>
      <c r="U166" s="25">
        <f>IF(B166="","",COUNTIFS(Appointments!$E$5:$E$1204,A166,Appointments!$M$5:$M$1204,"Completed",Appointments!$B$5:$B$1204,"&gt;="&amp;TodayDate-365))</f>
        <v>0</v>
      </c>
      <c r="V166" s="25">
        <f>IF(B166="","",COUNTIFS(Appointments!$E$5:$E$1204,A166,Appointments!$M$5:$M$1204,"Cancelled"))</f>
        <v>0</v>
      </c>
      <c r="W166" s="25">
        <f>IF(B166="","",COUNTIFS(Appointments!$E$5:$E$1204,A166,Appointments!$M$5:$M$1204,"No show"))</f>
        <v>0</v>
      </c>
      <c r="X166" s="17">
        <f>IF(B166="","",IF(F166&lt;&gt;"",F166,IF(T166=0,"",SUMPRODUCT(MIN((Appointments!$E$5:$E$1204=A166)*(Appointments!$M$5:$M$1204="Completed")*Appointments!$B$5:$B$1204+(1-(Appointments!$E$5:$E$1204=A166)*(Appointments!$M$5:$M$1204="Completed"))*2958465)))))</f>
        <v>0</v>
      </c>
      <c r="Y166" s="17">
        <f>IF(B166="","",IF(T166=0,"",SUMPRODUCT(MAX((Appointments!$E$5:$E$1204=A166)*(Appointments!$M$5:$M$1204="Completed")*Appointments!$B$5:$B$1204))))</f>
        <v>0</v>
      </c>
      <c r="Z166" s="25">
        <f>IF(B166="","",IF(Y166="","",TodayDate-Y166))</f>
        <v>0</v>
      </c>
      <c r="AA166" s="42">
        <f>IF(B166="","",SUMPRODUCT(MIN((Appointments!$E$5:$E$1204=A166)*(Appointments!$M$5:$M$1204&lt;&gt;"Cancelled")*(Appointments!$M$5:$M$1204&lt;&gt;"Completed")*(Appointments!$M$5:$M$1204&lt;&gt;"No show")*(Appointments!$B$5:$B$1204&gt;=TodayDate)*Appointments!$B$5:$B$1204+(1-(Appointments!$E$5:$E$1204=A166)*(Appointments!$M$5:$M$1204&lt;&gt;"Cancelled")*(Appointments!$M$5:$M$1204&lt;&gt;"Completed")*(Appointments!$M$5:$M$1204&lt;&gt;"No show")*(Appointments!$B$5:$B$1204&gt;=TodayDate))*2958465)))</f>
        <v>0</v>
      </c>
      <c r="AB166" s="17">
        <f>IF(B166="","",IF(AA166&gt;=2958465,"",AA166))</f>
        <v>0</v>
      </c>
      <c r="AC166" s="25">
        <f>IF(B166="","",IF(T166&lt;2,"",ROUND((Y166-X166)/MAX(1,T166-1),0)))</f>
        <v>0</v>
      </c>
      <c r="AD166" s="17">
        <f>IF(B166="","",IF(Y166="","",Y166+IF(AC166="",RebookWeeks*7,MAX(14,AC166))))</f>
        <v>0</v>
      </c>
      <c r="AE166" s="26">
        <f>IF(B166="","",ROUND(SUMIFS(Sales!$Y$5:$Y$1204,Sales!$D$5:$D$1204,A166),2))</f>
        <v>0</v>
      </c>
      <c r="AF166" s="26">
        <f>IF(B166="","",ROUND(SUMIFS(Sales!$Y$5:$Y$1204,Sales!$D$5:$D$1204,A166,Sales!$H$5:$H$1204,"Service"),2))</f>
        <v>0</v>
      </c>
      <c r="AG166" s="26">
        <f>IF(B166="","",ROUND(SUMIFS(Sales!$Y$5:$Y$1204,Sales!$D$5:$D$1204,A166,Sales!$H$5:$H$1204,"Retail"),2))</f>
        <v>0</v>
      </c>
      <c r="AH166" s="26">
        <f>IF(B166="","",ROUND(SUMIFS(Sales!$Y$5:$Y$1204,Sales!$D$5:$D$1204,A166,Sales!$B$5:$B$1204,"&gt;="&amp;TodayDate-365),2))</f>
        <v>0</v>
      </c>
      <c r="AI166" s="26">
        <f>IF(B166="","",IF(T166=0,"",ROUND(AE166/T166,2)))</f>
        <v>0</v>
      </c>
      <c r="AJ166" s="26">
        <f>IF(B166="","",IF(AI166="","",IF(AC166="","",ROUND(AI166*(365/MAX(14,AC166)),2))))</f>
        <v>0</v>
      </c>
      <c r="AK166" s="26">
        <f>IF(B166="","",ROUND(SUMIFS(Sales!$AH$5:$AH$1204,Sales!$D$5:$D$1204,A166),2))</f>
        <v>0</v>
      </c>
      <c r="AL166" s="25">
        <f>IF(B166="","",IFERROR(INDEX(Loyalty!$P$5:$P$504,MATCH(A166,Loyalty!$B$5:$B$504,0))*1,0))</f>
        <v>0</v>
      </c>
      <c r="AM166" s="39">
        <f>IF(B166="","",IF(R166="Archived","Archived",IF(T166=0,"Not been yet",IF(Z166&gt;=InactiveDays,"Inactive",IF(Z166&gt;=LapsingDays,"Lapsing",IF(T166=1,"New",IF(AH166&gt;=VipSpend,"VIP",IF(U166&gt;=4,"Regular","Active"))))))))</f>
        <v>0</v>
      </c>
      <c r="AN166" s="38">
        <f>IF(B166="","",IF(T166&gt;=2,"Yes","No"))</f>
        <v>0</v>
      </c>
      <c r="AO166" s="25">
        <f>IF(B166="","",COUNTIFS($AE$5:$AE$504,"&gt;"&amp;AE166)+COUNTIFS($AE$5:AE166,AE166))</f>
        <v>0</v>
      </c>
      <c r="AP166" s="25">
        <f>IF(B166="","",COUNTIFS($T$5:$T$504,"&gt;"&amp;T166)+COUNTIFS($T$5:T166,T166))</f>
        <v>0</v>
      </c>
      <c r="AQ166" s="39">
        <f>IF(B166="","",IF(COUNTIF($B$5:$B$504,B166)&gt;1,"Duplicate - same name twice",IF(R166="Archived","",IF(AK166&gt;0.004,"Chase - balance outstanding",IF(AM166="Inactive","Gone - win-back offer",IF(AM166="Lapsing","Chase - lapsing, call them",IF(IF(N166="",FALSE,TodayDate-N166&gt;PatchTestDays),"Due - patch test out of date",IF(IF(AD166="",FALSE,IF(AB166&lt;&gt;"",FALSE,AD166&lt;=TodayDate+14)),"Rebook - due and nothing booked",IF(IF(K166="",FALSE,ABS(DATE(YEAR(TodayDate),MONTH(K166),DAY(K166))-TodayDate)&lt;=7),"Birthday - send the treat","OK")))))))))</f>
        <v>0</v>
      </c>
    </row>
    <row r="167" spans="1:43">
      <c r="A167" s="28">
        <f>IF(B167="","",ClientPrefix&amp;TEXT(ROW()-4,"0000"))</f>
        <v>0</v>
      </c>
      <c r="J167" s="15">
        <f>IF(I167="","",IFERROR(INDEX(Staff!$B$5:$B$44,MATCH(I167,Staff!$A$5:$A$44,0)),"Not in Staff"))</f>
        <v>0</v>
      </c>
      <c r="T167" s="25">
        <f>IF(B167="","",COUNTIFS(Appointments!$E$5:$E$1204,A167,Appointments!$M$5:$M$1204,"Completed"))</f>
        <v>0</v>
      </c>
      <c r="U167" s="25">
        <f>IF(B167="","",COUNTIFS(Appointments!$E$5:$E$1204,A167,Appointments!$M$5:$M$1204,"Completed",Appointments!$B$5:$B$1204,"&gt;="&amp;TodayDate-365))</f>
        <v>0</v>
      </c>
      <c r="V167" s="25">
        <f>IF(B167="","",COUNTIFS(Appointments!$E$5:$E$1204,A167,Appointments!$M$5:$M$1204,"Cancelled"))</f>
        <v>0</v>
      </c>
      <c r="W167" s="25">
        <f>IF(B167="","",COUNTIFS(Appointments!$E$5:$E$1204,A167,Appointments!$M$5:$M$1204,"No show"))</f>
        <v>0</v>
      </c>
      <c r="X167" s="17">
        <f>IF(B167="","",IF(F167&lt;&gt;"",F167,IF(T167=0,"",SUMPRODUCT(MIN((Appointments!$E$5:$E$1204=A167)*(Appointments!$M$5:$M$1204="Completed")*Appointments!$B$5:$B$1204+(1-(Appointments!$E$5:$E$1204=A167)*(Appointments!$M$5:$M$1204="Completed"))*2958465)))))</f>
        <v>0</v>
      </c>
      <c r="Y167" s="17">
        <f>IF(B167="","",IF(T167=0,"",SUMPRODUCT(MAX((Appointments!$E$5:$E$1204=A167)*(Appointments!$M$5:$M$1204="Completed")*Appointments!$B$5:$B$1204))))</f>
        <v>0</v>
      </c>
      <c r="Z167" s="25">
        <f>IF(B167="","",IF(Y167="","",TodayDate-Y167))</f>
        <v>0</v>
      </c>
      <c r="AA167" s="42">
        <f>IF(B167="","",SUMPRODUCT(MIN((Appointments!$E$5:$E$1204=A167)*(Appointments!$M$5:$M$1204&lt;&gt;"Cancelled")*(Appointments!$M$5:$M$1204&lt;&gt;"Completed")*(Appointments!$M$5:$M$1204&lt;&gt;"No show")*(Appointments!$B$5:$B$1204&gt;=TodayDate)*Appointments!$B$5:$B$1204+(1-(Appointments!$E$5:$E$1204=A167)*(Appointments!$M$5:$M$1204&lt;&gt;"Cancelled")*(Appointments!$M$5:$M$1204&lt;&gt;"Completed")*(Appointments!$M$5:$M$1204&lt;&gt;"No show")*(Appointments!$B$5:$B$1204&gt;=TodayDate))*2958465)))</f>
        <v>0</v>
      </c>
      <c r="AB167" s="17">
        <f>IF(B167="","",IF(AA167&gt;=2958465,"",AA167))</f>
        <v>0</v>
      </c>
      <c r="AC167" s="25">
        <f>IF(B167="","",IF(T167&lt;2,"",ROUND((Y167-X167)/MAX(1,T167-1),0)))</f>
        <v>0</v>
      </c>
      <c r="AD167" s="17">
        <f>IF(B167="","",IF(Y167="","",Y167+IF(AC167="",RebookWeeks*7,MAX(14,AC167))))</f>
        <v>0</v>
      </c>
      <c r="AE167" s="26">
        <f>IF(B167="","",ROUND(SUMIFS(Sales!$Y$5:$Y$1204,Sales!$D$5:$D$1204,A167),2))</f>
        <v>0</v>
      </c>
      <c r="AF167" s="26">
        <f>IF(B167="","",ROUND(SUMIFS(Sales!$Y$5:$Y$1204,Sales!$D$5:$D$1204,A167,Sales!$H$5:$H$1204,"Service"),2))</f>
        <v>0</v>
      </c>
      <c r="AG167" s="26">
        <f>IF(B167="","",ROUND(SUMIFS(Sales!$Y$5:$Y$1204,Sales!$D$5:$D$1204,A167,Sales!$H$5:$H$1204,"Retail"),2))</f>
        <v>0</v>
      </c>
      <c r="AH167" s="26">
        <f>IF(B167="","",ROUND(SUMIFS(Sales!$Y$5:$Y$1204,Sales!$D$5:$D$1204,A167,Sales!$B$5:$B$1204,"&gt;="&amp;TodayDate-365),2))</f>
        <v>0</v>
      </c>
      <c r="AI167" s="26">
        <f>IF(B167="","",IF(T167=0,"",ROUND(AE167/T167,2)))</f>
        <v>0</v>
      </c>
      <c r="AJ167" s="26">
        <f>IF(B167="","",IF(AI167="","",IF(AC167="","",ROUND(AI167*(365/MAX(14,AC167)),2))))</f>
        <v>0</v>
      </c>
      <c r="AK167" s="26">
        <f>IF(B167="","",ROUND(SUMIFS(Sales!$AH$5:$AH$1204,Sales!$D$5:$D$1204,A167),2))</f>
        <v>0</v>
      </c>
      <c r="AL167" s="25">
        <f>IF(B167="","",IFERROR(INDEX(Loyalty!$P$5:$P$504,MATCH(A167,Loyalty!$B$5:$B$504,0))*1,0))</f>
        <v>0</v>
      </c>
      <c r="AM167" s="39">
        <f>IF(B167="","",IF(R167="Archived","Archived",IF(T167=0,"Not been yet",IF(Z167&gt;=InactiveDays,"Inactive",IF(Z167&gt;=LapsingDays,"Lapsing",IF(T167=1,"New",IF(AH167&gt;=VipSpend,"VIP",IF(U167&gt;=4,"Regular","Active"))))))))</f>
        <v>0</v>
      </c>
      <c r="AN167" s="38">
        <f>IF(B167="","",IF(T167&gt;=2,"Yes","No"))</f>
        <v>0</v>
      </c>
      <c r="AO167" s="25">
        <f>IF(B167="","",COUNTIFS($AE$5:$AE$504,"&gt;"&amp;AE167)+COUNTIFS($AE$5:AE167,AE167))</f>
        <v>0</v>
      </c>
      <c r="AP167" s="25">
        <f>IF(B167="","",COUNTIFS($T$5:$T$504,"&gt;"&amp;T167)+COUNTIFS($T$5:T167,T167))</f>
        <v>0</v>
      </c>
      <c r="AQ167" s="39">
        <f>IF(B167="","",IF(COUNTIF($B$5:$B$504,B167)&gt;1,"Duplicate - same name twice",IF(R167="Archived","",IF(AK167&gt;0.004,"Chase - balance outstanding",IF(AM167="Inactive","Gone - win-back offer",IF(AM167="Lapsing","Chase - lapsing, call them",IF(IF(N167="",FALSE,TodayDate-N167&gt;PatchTestDays),"Due - patch test out of date",IF(IF(AD167="",FALSE,IF(AB167&lt;&gt;"",FALSE,AD167&lt;=TodayDate+14)),"Rebook - due and nothing booked",IF(IF(K167="",FALSE,ABS(DATE(YEAR(TodayDate),MONTH(K167),DAY(K167))-TodayDate)&lt;=7),"Birthday - send the treat","OK")))))))))</f>
        <v>0</v>
      </c>
    </row>
    <row r="168" spans="1:43">
      <c r="A168" s="28">
        <f>IF(B168="","",ClientPrefix&amp;TEXT(ROW()-4,"0000"))</f>
        <v>0</v>
      </c>
      <c r="J168" s="15">
        <f>IF(I168="","",IFERROR(INDEX(Staff!$B$5:$B$44,MATCH(I168,Staff!$A$5:$A$44,0)),"Not in Staff"))</f>
        <v>0</v>
      </c>
      <c r="T168" s="25">
        <f>IF(B168="","",COUNTIFS(Appointments!$E$5:$E$1204,A168,Appointments!$M$5:$M$1204,"Completed"))</f>
        <v>0</v>
      </c>
      <c r="U168" s="25">
        <f>IF(B168="","",COUNTIFS(Appointments!$E$5:$E$1204,A168,Appointments!$M$5:$M$1204,"Completed",Appointments!$B$5:$B$1204,"&gt;="&amp;TodayDate-365))</f>
        <v>0</v>
      </c>
      <c r="V168" s="25">
        <f>IF(B168="","",COUNTIFS(Appointments!$E$5:$E$1204,A168,Appointments!$M$5:$M$1204,"Cancelled"))</f>
        <v>0</v>
      </c>
      <c r="W168" s="25">
        <f>IF(B168="","",COUNTIFS(Appointments!$E$5:$E$1204,A168,Appointments!$M$5:$M$1204,"No show"))</f>
        <v>0</v>
      </c>
      <c r="X168" s="17">
        <f>IF(B168="","",IF(F168&lt;&gt;"",F168,IF(T168=0,"",SUMPRODUCT(MIN((Appointments!$E$5:$E$1204=A168)*(Appointments!$M$5:$M$1204="Completed")*Appointments!$B$5:$B$1204+(1-(Appointments!$E$5:$E$1204=A168)*(Appointments!$M$5:$M$1204="Completed"))*2958465)))))</f>
        <v>0</v>
      </c>
      <c r="Y168" s="17">
        <f>IF(B168="","",IF(T168=0,"",SUMPRODUCT(MAX((Appointments!$E$5:$E$1204=A168)*(Appointments!$M$5:$M$1204="Completed")*Appointments!$B$5:$B$1204))))</f>
        <v>0</v>
      </c>
      <c r="Z168" s="25">
        <f>IF(B168="","",IF(Y168="","",TodayDate-Y168))</f>
        <v>0</v>
      </c>
      <c r="AA168" s="42">
        <f>IF(B168="","",SUMPRODUCT(MIN((Appointments!$E$5:$E$1204=A168)*(Appointments!$M$5:$M$1204&lt;&gt;"Cancelled")*(Appointments!$M$5:$M$1204&lt;&gt;"Completed")*(Appointments!$M$5:$M$1204&lt;&gt;"No show")*(Appointments!$B$5:$B$1204&gt;=TodayDate)*Appointments!$B$5:$B$1204+(1-(Appointments!$E$5:$E$1204=A168)*(Appointments!$M$5:$M$1204&lt;&gt;"Cancelled")*(Appointments!$M$5:$M$1204&lt;&gt;"Completed")*(Appointments!$M$5:$M$1204&lt;&gt;"No show")*(Appointments!$B$5:$B$1204&gt;=TodayDate))*2958465)))</f>
        <v>0</v>
      </c>
      <c r="AB168" s="17">
        <f>IF(B168="","",IF(AA168&gt;=2958465,"",AA168))</f>
        <v>0</v>
      </c>
      <c r="AC168" s="25">
        <f>IF(B168="","",IF(T168&lt;2,"",ROUND((Y168-X168)/MAX(1,T168-1),0)))</f>
        <v>0</v>
      </c>
      <c r="AD168" s="17">
        <f>IF(B168="","",IF(Y168="","",Y168+IF(AC168="",RebookWeeks*7,MAX(14,AC168))))</f>
        <v>0</v>
      </c>
      <c r="AE168" s="26">
        <f>IF(B168="","",ROUND(SUMIFS(Sales!$Y$5:$Y$1204,Sales!$D$5:$D$1204,A168),2))</f>
        <v>0</v>
      </c>
      <c r="AF168" s="26">
        <f>IF(B168="","",ROUND(SUMIFS(Sales!$Y$5:$Y$1204,Sales!$D$5:$D$1204,A168,Sales!$H$5:$H$1204,"Service"),2))</f>
        <v>0</v>
      </c>
      <c r="AG168" s="26">
        <f>IF(B168="","",ROUND(SUMIFS(Sales!$Y$5:$Y$1204,Sales!$D$5:$D$1204,A168,Sales!$H$5:$H$1204,"Retail"),2))</f>
        <v>0</v>
      </c>
      <c r="AH168" s="26">
        <f>IF(B168="","",ROUND(SUMIFS(Sales!$Y$5:$Y$1204,Sales!$D$5:$D$1204,A168,Sales!$B$5:$B$1204,"&gt;="&amp;TodayDate-365),2))</f>
        <v>0</v>
      </c>
      <c r="AI168" s="26">
        <f>IF(B168="","",IF(T168=0,"",ROUND(AE168/T168,2)))</f>
        <v>0</v>
      </c>
      <c r="AJ168" s="26">
        <f>IF(B168="","",IF(AI168="","",IF(AC168="","",ROUND(AI168*(365/MAX(14,AC168)),2))))</f>
        <v>0</v>
      </c>
      <c r="AK168" s="26">
        <f>IF(B168="","",ROUND(SUMIFS(Sales!$AH$5:$AH$1204,Sales!$D$5:$D$1204,A168),2))</f>
        <v>0</v>
      </c>
      <c r="AL168" s="25">
        <f>IF(B168="","",IFERROR(INDEX(Loyalty!$P$5:$P$504,MATCH(A168,Loyalty!$B$5:$B$504,0))*1,0))</f>
        <v>0</v>
      </c>
      <c r="AM168" s="39">
        <f>IF(B168="","",IF(R168="Archived","Archived",IF(T168=0,"Not been yet",IF(Z168&gt;=InactiveDays,"Inactive",IF(Z168&gt;=LapsingDays,"Lapsing",IF(T168=1,"New",IF(AH168&gt;=VipSpend,"VIP",IF(U168&gt;=4,"Regular","Active"))))))))</f>
        <v>0</v>
      </c>
      <c r="AN168" s="38">
        <f>IF(B168="","",IF(T168&gt;=2,"Yes","No"))</f>
        <v>0</v>
      </c>
      <c r="AO168" s="25">
        <f>IF(B168="","",COUNTIFS($AE$5:$AE$504,"&gt;"&amp;AE168)+COUNTIFS($AE$5:AE168,AE168))</f>
        <v>0</v>
      </c>
      <c r="AP168" s="25">
        <f>IF(B168="","",COUNTIFS($T$5:$T$504,"&gt;"&amp;T168)+COUNTIFS($T$5:T168,T168))</f>
        <v>0</v>
      </c>
      <c r="AQ168" s="39">
        <f>IF(B168="","",IF(COUNTIF($B$5:$B$504,B168)&gt;1,"Duplicate - same name twice",IF(R168="Archived","",IF(AK168&gt;0.004,"Chase - balance outstanding",IF(AM168="Inactive","Gone - win-back offer",IF(AM168="Lapsing","Chase - lapsing, call them",IF(IF(N168="",FALSE,TodayDate-N168&gt;PatchTestDays),"Due - patch test out of date",IF(IF(AD168="",FALSE,IF(AB168&lt;&gt;"",FALSE,AD168&lt;=TodayDate+14)),"Rebook - due and nothing booked",IF(IF(K168="",FALSE,ABS(DATE(YEAR(TodayDate),MONTH(K168),DAY(K168))-TodayDate)&lt;=7),"Birthday - send the treat","OK")))))))))</f>
        <v>0</v>
      </c>
    </row>
    <row r="169" spans="1:43">
      <c r="A169" s="28">
        <f>IF(B169="","",ClientPrefix&amp;TEXT(ROW()-4,"0000"))</f>
        <v>0</v>
      </c>
      <c r="J169" s="15">
        <f>IF(I169="","",IFERROR(INDEX(Staff!$B$5:$B$44,MATCH(I169,Staff!$A$5:$A$44,0)),"Not in Staff"))</f>
        <v>0</v>
      </c>
      <c r="T169" s="25">
        <f>IF(B169="","",COUNTIFS(Appointments!$E$5:$E$1204,A169,Appointments!$M$5:$M$1204,"Completed"))</f>
        <v>0</v>
      </c>
      <c r="U169" s="25">
        <f>IF(B169="","",COUNTIFS(Appointments!$E$5:$E$1204,A169,Appointments!$M$5:$M$1204,"Completed",Appointments!$B$5:$B$1204,"&gt;="&amp;TodayDate-365))</f>
        <v>0</v>
      </c>
      <c r="V169" s="25">
        <f>IF(B169="","",COUNTIFS(Appointments!$E$5:$E$1204,A169,Appointments!$M$5:$M$1204,"Cancelled"))</f>
        <v>0</v>
      </c>
      <c r="W169" s="25">
        <f>IF(B169="","",COUNTIFS(Appointments!$E$5:$E$1204,A169,Appointments!$M$5:$M$1204,"No show"))</f>
        <v>0</v>
      </c>
      <c r="X169" s="17">
        <f>IF(B169="","",IF(F169&lt;&gt;"",F169,IF(T169=0,"",SUMPRODUCT(MIN((Appointments!$E$5:$E$1204=A169)*(Appointments!$M$5:$M$1204="Completed")*Appointments!$B$5:$B$1204+(1-(Appointments!$E$5:$E$1204=A169)*(Appointments!$M$5:$M$1204="Completed"))*2958465)))))</f>
        <v>0</v>
      </c>
      <c r="Y169" s="17">
        <f>IF(B169="","",IF(T169=0,"",SUMPRODUCT(MAX((Appointments!$E$5:$E$1204=A169)*(Appointments!$M$5:$M$1204="Completed")*Appointments!$B$5:$B$1204))))</f>
        <v>0</v>
      </c>
      <c r="Z169" s="25">
        <f>IF(B169="","",IF(Y169="","",TodayDate-Y169))</f>
        <v>0</v>
      </c>
      <c r="AA169" s="42">
        <f>IF(B169="","",SUMPRODUCT(MIN((Appointments!$E$5:$E$1204=A169)*(Appointments!$M$5:$M$1204&lt;&gt;"Cancelled")*(Appointments!$M$5:$M$1204&lt;&gt;"Completed")*(Appointments!$M$5:$M$1204&lt;&gt;"No show")*(Appointments!$B$5:$B$1204&gt;=TodayDate)*Appointments!$B$5:$B$1204+(1-(Appointments!$E$5:$E$1204=A169)*(Appointments!$M$5:$M$1204&lt;&gt;"Cancelled")*(Appointments!$M$5:$M$1204&lt;&gt;"Completed")*(Appointments!$M$5:$M$1204&lt;&gt;"No show")*(Appointments!$B$5:$B$1204&gt;=TodayDate))*2958465)))</f>
        <v>0</v>
      </c>
      <c r="AB169" s="17">
        <f>IF(B169="","",IF(AA169&gt;=2958465,"",AA169))</f>
        <v>0</v>
      </c>
      <c r="AC169" s="25">
        <f>IF(B169="","",IF(T169&lt;2,"",ROUND((Y169-X169)/MAX(1,T169-1),0)))</f>
        <v>0</v>
      </c>
      <c r="AD169" s="17">
        <f>IF(B169="","",IF(Y169="","",Y169+IF(AC169="",RebookWeeks*7,MAX(14,AC169))))</f>
        <v>0</v>
      </c>
      <c r="AE169" s="26">
        <f>IF(B169="","",ROUND(SUMIFS(Sales!$Y$5:$Y$1204,Sales!$D$5:$D$1204,A169),2))</f>
        <v>0</v>
      </c>
      <c r="AF169" s="26">
        <f>IF(B169="","",ROUND(SUMIFS(Sales!$Y$5:$Y$1204,Sales!$D$5:$D$1204,A169,Sales!$H$5:$H$1204,"Service"),2))</f>
        <v>0</v>
      </c>
      <c r="AG169" s="26">
        <f>IF(B169="","",ROUND(SUMIFS(Sales!$Y$5:$Y$1204,Sales!$D$5:$D$1204,A169,Sales!$H$5:$H$1204,"Retail"),2))</f>
        <v>0</v>
      </c>
      <c r="AH169" s="26">
        <f>IF(B169="","",ROUND(SUMIFS(Sales!$Y$5:$Y$1204,Sales!$D$5:$D$1204,A169,Sales!$B$5:$B$1204,"&gt;="&amp;TodayDate-365),2))</f>
        <v>0</v>
      </c>
      <c r="AI169" s="26">
        <f>IF(B169="","",IF(T169=0,"",ROUND(AE169/T169,2)))</f>
        <v>0</v>
      </c>
      <c r="AJ169" s="26">
        <f>IF(B169="","",IF(AI169="","",IF(AC169="","",ROUND(AI169*(365/MAX(14,AC169)),2))))</f>
        <v>0</v>
      </c>
      <c r="AK169" s="26">
        <f>IF(B169="","",ROUND(SUMIFS(Sales!$AH$5:$AH$1204,Sales!$D$5:$D$1204,A169),2))</f>
        <v>0</v>
      </c>
      <c r="AL169" s="25">
        <f>IF(B169="","",IFERROR(INDEX(Loyalty!$P$5:$P$504,MATCH(A169,Loyalty!$B$5:$B$504,0))*1,0))</f>
        <v>0</v>
      </c>
      <c r="AM169" s="39">
        <f>IF(B169="","",IF(R169="Archived","Archived",IF(T169=0,"Not been yet",IF(Z169&gt;=InactiveDays,"Inactive",IF(Z169&gt;=LapsingDays,"Lapsing",IF(T169=1,"New",IF(AH169&gt;=VipSpend,"VIP",IF(U169&gt;=4,"Regular","Active"))))))))</f>
        <v>0</v>
      </c>
      <c r="AN169" s="38">
        <f>IF(B169="","",IF(T169&gt;=2,"Yes","No"))</f>
        <v>0</v>
      </c>
      <c r="AO169" s="25">
        <f>IF(B169="","",COUNTIFS($AE$5:$AE$504,"&gt;"&amp;AE169)+COUNTIFS($AE$5:AE169,AE169))</f>
        <v>0</v>
      </c>
      <c r="AP169" s="25">
        <f>IF(B169="","",COUNTIFS($T$5:$T$504,"&gt;"&amp;T169)+COUNTIFS($T$5:T169,T169))</f>
        <v>0</v>
      </c>
      <c r="AQ169" s="39">
        <f>IF(B169="","",IF(COUNTIF($B$5:$B$504,B169)&gt;1,"Duplicate - same name twice",IF(R169="Archived","",IF(AK169&gt;0.004,"Chase - balance outstanding",IF(AM169="Inactive","Gone - win-back offer",IF(AM169="Lapsing","Chase - lapsing, call them",IF(IF(N169="",FALSE,TodayDate-N169&gt;PatchTestDays),"Due - patch test out of date",IF(IF(AD169="",FALSE,IF(AB169&lt;&gt;"",FALSE,AD169&lt;=TodayDate+14)),"Rebook - due and nothing booked",IF(IF(K169="",FALSE,ABS(DATE(YEAR(TodayDate),MONTH(K169),DAY(K169))-TodayDate)&lt;=7),"Birthday - send the treat","OK")))))))))</f>
        <v>0</v>
      </c>
    </row>
    <row r="170" spans="1:43">
      <c r="A170" s="28">
        <f>IF(B170="","",ClientPrefix&amp;TEXT(ROW()-4,"0000"))</f>
        <v>0</v>
      </c>
      <c r="J170" s="15">
        <f>IF(I170="","",IFERROR(INDEX(Staff!$B$5:$B$44,MATCH(I170,Staff!$A$5:$A$44,0)),"Not in Staff"))</f>
        <v>0</v>
      </c>
      <c r="T170" s="25">
        <f>IF(B170="","",COUNTIFS(Appointments!$E$5:$E$1204,A170,Appointments!$M$5:$M$1204,"Completed"))</f>
        <v>0</v>
      </c>
      <c r="U170" s="25">
        <f>IF(B170="","",COUNTIFS(Appointments!$E$5:$E$1204,A170,Appointments!$M$5:$M$1204,"Completed",Appointments!$B$5:$B$1204,"&gt;="&amp;TodayDate-365))</f>
        <v>0</v>
      </c>
      <c r="V170" s="25">
        <f>IF(B170="","",COUNTIFS(Appointments!$E$5:$E$1204,A170,Appointments!$M$5:$M$1204,"Cancelled"))</f>
        <v>0</v>
      </c>
      <c r="W170" s="25">
        <f>IF(B170="","",COUNTIFS(Appointments!$E$5:$E$1204,A170,Appointments!$M$5:$M$1204,"No show"))</f>
        <v>0</v>
      </c>
      <c r="X170" s="17">
        <f>IF(B170="","",IF(F170&lt;&gt;"",F170,IF(T170=0,"",SUMPRODUCT(MIN((Appointments!$E$5:$E$1204=A170)*(Appointments!$M$5:$M$1204="Completed")*Appointments!$B$5:$B$1204+(1-(Appointments!$E$5:$E$1204=A170)*(Appointments!$M$5:$M$1204="Completed"))*2958465)))))</f>
        <v>0</v>
      </c>
      <c r="Y170" s="17">
        <f>IF(B170="","",IF(T170=0,"",SUMPRODUCT(MAX((Appointments!$E$5:$E$1204=A170)*(Appointments!$M$5:$M$1204="Completed")*Appointments!$B$5:$B$1204))))</f>
        <v>0</v>
      </c>
      <c r="Z170" s="25">
        <f>IF(B170="","",IF(Y170="","",TodayDate-Y170))</f>
        <v>0</v>
      </c>
      <c r="AA170" s="42">
        <f>IF(B170="","",SUMPRODUCT(MIN((Appointments!$E$5:$E$1204=A170)*(Appointments!$M$5:$M$1204&lt;&gt;"Cancelled")*(Appointments!$M$5:$M$1204&lt;&gt;"Completed")*(Appointments!$M$5:$M$1204&lt;&gt;"No show")*(Appointments!$B$5:$B$1204&gt;=TodayDate)*Appointments!$B$5:$B$1204+(1-(Appointments!$E$5:$E$1204=A170)*(Appointments!$M$5:$M$1204&lt;&gt;"Cancelled")*(Appointments!$M$5:$M$1204&lt;&gt;"Completed")*(Appointments!$M$5:$M$1204&lt;&gt;"No show")*(Appointments!$B$5:$B$1204&gt;=TodayDate))*2958465)))</f>
        <v>0</v>
      </c>
      <c r="AB170" s="17">
        <f>IF(B170="","",IF(AA170&gt;=2958465,"",AA170))</f>
        <v>0</v>
      </c>
      <c r="AC170" s="25">
        <f>IF(B170="","",IF(T170&lt;2,"",ROUND((Y170-X170)/MAX(1,T170-1),0)))</f>
        <v>0</v>
      </c>
      <c r="AD170" s="17">
        <f>IF(B170="","",IF(Y170="","",Y170+IF(AC170="",RebookWeeks*7,MAX(14,AC170))))</f>
        <v>0</v>
      </c>
      <c r="AE170" s="26">
        <f>IF(B170="","",ROUND(SUMIFS(Sales!$Y$5:$Y$1204,Sales!$D$5:$D$1204,A170),2))</f>
        <v>0</v>
      </c>
      <c r="AF170" s="26">
        <f>IF(B170="","",ROUND(SUMIFS(Sales!$Y$5:$Y$1204,Sales!$D$5:$D$1204,A170,Sales!$H$5:$H$1204,"Service"),2))</f>
        <v>0</v>
      </c>
      <c r="AG170" s="26">
        <f>IF(B170="","",ROUND(SUMIFS(Sales!$Y$5:$Y$1204,Sales!$D$5:$D$1204,A170,Sales!$H$5:$H$1204,"Retail"),2))</f>
        <v>0</v>
      </c>
      <c r="AH170" s="26">
        <f>IF(B170="","",ROUND(SUMIFS(Sales!$Y$5:$Y$1204,Sales!$D$5:$D$1204,A170,Sales!$B$5:$B$1204,"&gt;="&amp;TodayDate-365),2))</f>
        <v>0</v>
      </c>
      <c r="AI170" s="26">
        <f>IF(B170="","",IF(T170=0,"",ROUND(AE170/T170,2)))</f>
        <v>0</v>
      </c>
      <c r="AJ170" s="26">
        <f>IF(B170="","",IF(AI170="","",IF(AC170="","",ROUND(AI170*(365/MAX(14,AC170)),2))))</f>
        <v>0</v>
      </c>
      <c r="AK170" s="26">
        <f>IF(B170="","",ROUND(SUMIFS(Sales!$AH$5:$AH$1204,Sales!$D$5:$D$1204,A170),2))</f>
        <v>0</v>
      </c>
      <c r="AL170" s="25">
        <f>IF(B170="","",IFERROR(INDEX(Loyalty!$P$5:$P$504,MATCH(A170,Loyalty!$B$5:$B$504,0))*1,0))</f>
        <v>0</v>
      </c>
      <c r="AM170" s="39">
        <f>IF(B170="","",IF(R170="Archived","Archived",IF(T170=0,"Not been yet",IF(Z170&gt;=InactiveDays,"Inactive",IF(Z170&gt;=LapsingDays,"Lapsing",IF(T170=1,"New",IF(AH170&gt;=VipSpend,"VIP",IF(U170&gt;=4,"Regular","Active"))))))))</f>
        <v>0</v>
      </c>
      <c r="AN170" s="38">
        <f>IF(B170="","",IF(T170&gt;=2,"Yes","No"))</f>
        <v>0</v>
      </c>
      <c r="AO170" s="25">
        <f>IF(B170="","",COUNTIFS($AE$5:$AE$504,"&gt;"&amp;AE170)+COUNTIFS($AE$5:AE170,AE170))</f>
        <v>0</v>
      </c>
      <c r="AP170" s="25">
        <f>IF(B170="","",COUNTIFS($T$5:$T$504,"&gt;"&amp;T170)+COUNTIFS($T$5:T170,T170))</f>
        <v>0</v>
      </c>
      <c r="AQ170" s="39">
        <f>IF(B170="","",IF(COUNTIF($B$5:$B$504,B170)&gt;1,"Duplicate - same name twice",IF(R170="Archived","",IF(AK170&gt;0.004,"Chase - balance outstanding",IF(AM170="Inactive","Gone - win-back offer",IF(AM170="Lapsing","Chase - lapsing, call them",IF(IF(N170="",FALSE,TodayDate-N170&gt;PatchTestDays),"Due - patch test out of date",IF(IF(AD170="",FALSE,IF(AB170&lt;&gt;"",FALSE,AD170&lt;=TodayDate+14)),"Rebook - due and nothing booked",IF(IF(K170="",FALSE,ABS(DATE(YEAR(TodayDate),MONTH(K170),DAY(K170))-TodayDate)&lt;=7),"Birthday - send the treat","OK")))))))))</f>
        <v>0</v>
      </c>
    </row>
    <row r="171" spans="1:43">
      <c r="A171" s="28">
        <f>IF(B171="","",ClientPrefix&amp;TEXT(ROW()-4,"0000"))</f>
        <v>0</v>
      </c>
      <c r="J171" s="15">
        <f>IF(I171="","",IFERROR(INDEX(Staff!$B$5:$B$44,MATCH(I171,Staff!$A$5:$A$44,0)),"Not in Staff"))</f>
        <v>0</v>
      </c>
      <c r="T171" s="25">
        <f>IF(B171="","",COUNTIFS(Appointments!$E$5:$E$1204,A171,Appointments!$M$5:$M$1204,"Completed"))</f>
        <v>0</v>
      </c>
      <c r="U171" s="25">
        <f>IF(B171="","",COUNTIFS(Appointments!$E$5:$E$1204,A171,Appointments!$M$5:$M$1204,"Completed",Appointments!$B$5:$B$1204,"&gt;="&amp;TodayDate-365))</f>
        <v>0</v>
      </c>
      <c r="V171" s="25">
        <f>IF(B171="","",COUNTIFS(Appointments!$E$5:$E$1204,A171,Appointments!$M$5:$M$1204,"Cancelled"))</f>
        <v>0</v>
      </c>
      <c r="W171" s="25">
        <f>IF(B171="","",COUNTIFS(Appointments!$E$5:$E$1204,A171,Appointments!$M$5:$M$1204,"No show"))</f>
        <v>0</v>
      </c>
      <c r="X171" s="17">
        <f>IF(B171="","",IF(F171&lt;&gt;"",F171,IF(T171=0,"",SUMPRODUCT(MIN((Appointments!$E$5:$E$1204=A171)*(Appointments!$M$5:$M$1204="Completed")*Appointments!$B$5:$B$1204+(1-(Appointments!$E$5:$E$1204=A171)*(Appointments!$M$5:$M$1204="Completed"))*2958465)))))</f>
        <v>0</v>
      </c>
      <c r="Y171" s="17">
        <f>IF(B171="","",IF(T171=0,"",SUMPRODUCT(MAX((Appointments!$E$5:$E$1204=A171)*(Appointments!$M$5:$M$1204="Completed")*Appointments!$B$5:$B$1204))))</f>
        <v>0</v>
      </c>
      <c r="Z171" s="25">
        <f>IF(B171="","",IF(Y171="","",TodayDate-Y171))</f>
        <v>0</v>
      </c>
      <c r="AA171" s="42">
        <f>IF(B171="","",SUMPRODUCT(MIN((Appointments!$E$5:$E$1204=A171)*(Appointments!$M$5:$M$1204&lt;&gt;"Cancelled")*(Appointments!$M$5:$M$1204&lt;&gt;"Completed")*(Appointments!$M$5:$M$1204&lt;&gt;"No show")*(Appointments!$B$5:$B$1204&gt;=TodayDate)*Appointments!$B$5:$B$1204+(1-(Appointments!$E$5:$E$1204=A171)*(Appointments!$M$5:$M$1204&lt;&gt;"Cancelled")*(Appointments!$M$5:$M$1204&lt;&gt;"Completed")*(Appointments!$M$5:$M$1204&lt;&gt;"No show")*(Appointments!$B$5:$B$1204&gt;=TodayDate))*2958465)))</f>
        <v>0</v>
      </c>
      <c r="AB171" s="17">
        <f>IF(B171="","",IF(AA171&gt;=2958465,"",AA171))</f>
        <v>0</v>
      </c>
      <c r="AC171" s="25">
        <f>IF(B171="","",IF(T171&lt;2,"",ROUND((Y171-X171)/MAX(1,T171-1),0)))</f>
        <v>0</v>
      </c>
      <c r="AD171" s="17">
        <f>IF(B171="","",IF(Y171="","",Y171+IF(AC171="",RebookWeeks*7,MAX(14,AC171))))</f>
        <v>0</v>
      </c>
      <c r="AE171" s="26">
        <f>IF(B171="","",ROUND(SUMIFS(Sales!$Y$5:$Y$1204,Sales!$D$5:$D$1204,A171),2))</f>
        <v>0</v>
      </c>
      <c r="AF171" s="26">
        <f>IF(B171="","",ROUND(SUMIFS(Sales!$Y$5:$Y$1204,Sales!$D$5:$D$1204,A171,Sales!$H$5:$H$1204,"Service"),2))</f>
        <v>0</v>
      </c>
      <c r="AG171" s="26">
        <f>IF(B171="","",ROUND(SUMIFS(Sales!$Y$5:$Y$1204,Sales!$D$5:$D$1204,A171,Sales!$H$5:$H$1204,"Retail"),2))</f>
        <v>0</v>
      </c>
      <c r="AH171" s="26">
        <f>IF(B171="","",ROUND(SUMIFS(Sales!$Y$5:$Y$1204,Sales!$D$5:$D$1204,A171,Sales!$B$5:$B$1204,"&gt;="&amp;TodayDate-365),2))</f>
        <v>0</v>
      </c>
      <c r="AI171" s="26">
        <f>IF(B171="","",IF(T171=0,"",ROUND(AE171/T171,2)))</f>
        <v>0</v>
      </c>
      <c r="AJ171" s="26">
        <f>IF(B171="","",IF(AI171="","",IF(AC171="","",ROUND(AI171*(365/MAX(14,AC171)),2))))</f>
        <v>0</v>
      </c>
      <c r="AK171" s="26">
        <f>IF(B171="","",ROUND(SUMIFS(Sales!$AH$5:$AH$1204,Sales!$D$5:$D$1204,A171),2))</f>
        <v>0</v>
      </c>
      <c r="AL171" s="25">
        <f>IF(B171="","",IFERROR(INDEX(Loyalty!$P$5:$P$504,MATCH(A171,Loyalty!$B$5:$B$504,0))*1,0))</f>
        <v>0</v>
      </c>
      <c r="AM171" s="39">
        <f>IF(B171="","",IF(R171="Archived","Archived",IF(T171=0,"Not been yet",IF(Z171&gt;=InactiveDays,"Inactive",IF(Z171&gt;=LapsingDays,"Lapsing",IF(T171=1,"New",IF(AH171&gt;=VipSpend,"VIP",IF(U171&gt;=4,"Regular","Active"))))))))</f>
        <v>0</v>
      </c>
      <c r="AN171" s="38">
        <f>IF(B171="","",IF(T171&gt;=2,"Yes","No"))</f>
        <v>0</v>
      </c>
      <c r="AO171" s="25">
        <f>IF(B171="","",COUNTIFS($AE$5:$AE$504,"&gt;"&amp;AE171)+COUNTIFS($AE$5:AE171,AE171))</f>
        <v>0</v>
      </c>
      <c r="AP171" s="25">
        <f>IF(B171="","",COUNTIFS($T$5:$T$504,"&gt;"&amp;T171)+COUNTIFS($T$5:T171,T171))</f>
        <v>0</v>
      </c>
      <c r="AQ171" s="39">
        <f>IF(B171="","",IF(COUNTIF($B$5:$B$504,B171)&gt;1,"Duplicate - same name twice",IF(R171="Archived","",IF(AK171&gt;0.004,"Chase - balance outstanding",IF(AM171="Inactive","Gone - win-back offer",IF(AM171="Lapsing","Chase - lapsing, call them",IF(IF(N171="",FALSE,TodayDate-N171&gt;PatchTestDays),"Due - patch test out of date",IF(IF(AD171="",FALSE,IF(AB171&lt;&gt;"",FALSE,AD171&lt;=TodayDate+14)),"Rebook - due and nothing booked",IF(IF(K171="",FALSE,ABS(DATE(YEAR(TodayDate),MONTH(K171),DAY(K171))-TodayDate)&lt;=7),"Birthday - send the treat","OK")))))))))</f>
        <v>0</v>
      </c>
    </row>
    <row r="172" spans="1:43">
      <c r="A172" s="28">
        <f>IF(B172="","",ClientPrefix&amp;TEXT(ROW()-4,"0000"))</f>
        <v>0</v>
      </c>
      <c r="J172" s="15">
        <f>IF(I172="","",IFERROR(INDEX(Staff!$B$5:$B$44,MATCH(I172,Staff!$A$5:$A$44,0)),"Not in Staff"))</f>
        <v>0</v>
      </c>
      <c r="T172" s="25">
        <f>IF(B172="","",COUNTIFS(Appointments!$E$5:$E$1204,A172,Appointments!$M$5:$M$1204,"Completed"))</f>
        <v>0</v>
      </c>
      <c r="U172" s="25">
        <f>IF(B172="","",COUNTIFS(Appointments!$E$5:$E$1204,A172,Appointments!$M$5:$M$1204,"Completed",Appointments!$B$5:$B$1204,"&gt;="&amp;TodayDate-365))</f>
        <v>0</v>
      </c>
      <c r="V172" s="25">
        <f>IF(B172="","",COUNTIFS(Appointments!$E$5:$E$1204,A172,Appointments!$M$5:$M$1204,"Cancelled"))</f>
        <v>0</v>
      </c>
      <c r="W172" s="25">
        <f>IF(B172="","",COUNTIFS(Appointments!$E$5:$E$1204,A172,Appointments!$M$5:$M$1204,"No show"))</f>
        <v>0</v>
      </c>
      <c r="X172" s="17">
        <f>IF(B172="","",IF(F172&lt;&gt;"",F172,IF(T172=0,"",SUMPRODUCT(MIN((Appointments!$E$5:$E$1204=A172)*(Appointments!$M$5:$M$1204="Completed")*Appointments!$B$5:$B$1204+(1-(Appointments!$E$5:$E$1204=A172)*(Appointments!$M$5:$M$1204="Completed"))*2958465)))))</f>
        <v>0</v>
      </c>
      <c r="Y172" s="17">
        <f>IF(B172="","",IF(T172=0,"",SUMPRODUCT(MAX((Appointments!$E$5:$E$1204=A172)*(Appointments!$M$5:$M$1204="Completed")*Appointments!$B$5:$B$1204))))</f>
        <v>0</v>
      </c>
      <c r="Z172" s="25">
        <f>IF(B172="","",IF(Y172="","",TodayDate-Y172))</f>
        <v>0</v>
      </c>
      <c r="AA172" s="42">
        <f>IF(B172="","",SUMPRODUCT(MIN((Appointments!$E$5:$E$1204=A172)*(Appointments!$M$5:$M$1204&lt;&gt;"Cancelled")*(Appointments!$M$5:$M$1204&lt;&gt;"Completed")*(Appointments!$M$5:$M$1204&lt;&gt;"No show")*(Appointments!$B$5:$B$1204&gt;=TodayDate)*Appointments!$B$5:$B$1204+(1-(Appointments!$E$5:$E$1204=A172)*(Appointments!$M$5:$M$1204&lt;&gt;"Cancelled")*(Appointments!$M$5:$M$1204&lt;&gt;"Completed")*(Appointments!$M$5:$M$1204&lt;&gt;"No show")*(Appointments!$B$5:$B$1204&gt;=TodayDate))*2958465)))</f>
        <v>0</v>
      </c>
      <c r="AB172" s="17">
        <f>IF(B172="","",IF(AA172&gt;=2958465,"",AA172))</f>
        <v>0</v>
      </c>
      <c r="AC172" s="25">
        <f>IF(B172="","",IF(T172&lt;2,"",ROUND((Y172-X172)/MAX(1,T172-1),0)))</f>
        <v>0</v>
      </c>
      <c r="AD172" s="17">
        <f>IF(B172="","",IF(Y172="","",Y172+IF(AC172="",RebookWeeks*7,MAX(14,AC172))))</f>
        <v>0</v>
      </c>
      <c r="AE172" s="26">
        <f>IF(B172="","",ROUND(SUMIFS(Sales!$Y$5:$Y$1204,Sales!$D$5:$D$1204,A172),2))</f>
        <v>0</v>
      </c>
      <c r="AF172" s="26">
        <f>IF(B172="","",ROUND(SUMIFS(Sales!$Y$5:$Y$1204,Sales!$D$5:$D$1204,A172,Sales!$H$5:$H$1204,"Service"),2))</f>
        <v>0</v>
      </c>
      <c r="AG172" s="26">
        <f>IF(B172="","",ROUND(SUMIFS(Sales!$Y$5:$Y$1204,Sales!$D$5:$D$1204,A172,Sales!$H$5:$H$1204,"Retail"),2))</f>
        <v>0</v>
      </c>
      <c r="AH172" s="26">
        <f>IF(B172="","",ROUND(SUMIFS(Sales!$Y$5:$Y$1204,Sales!$D$5:$D$1204,A172,Sales!$B$5:$B$1204,"&gt;="&amp;TodayDate-365),2))</f>
        <v>0</v>
      </c>
      <c r="AI172" s="26">
        <f>IF(B172="","",IF(T172=0,"",ROUND(AE172/T172,2)))</f>
        <v>0</v>
      </c>
      <c r="AJ172" s="26">
        <f>IF(B172="","",IF(AI172="","",IF(AC172="","",ROUND(AI172*(365/MAX(14,AC172)),2))))</f>
        <v>0</v>
      </c>
      <c r="AK172" s="26">
        <f>IF(B172="","",ROUND(SUMIFS(Sales!$AH$5:$AH$1204,Sales!$D$5:$D$1204,A172),2))</f>
        <v>0</v>
      </c>
      <c r="AL172" s="25">
        <f>IF(B172="","",IFERROR(INDEX(Loyalty!$P$5:$P$504,MATCH(A172,Loyalty!$B$5:$B$504,0))*1,0))</f>
        <v>0</v>
      </c>
      <c r="AM172" s="39">
        <f>IF(B172="","",IF(R172="Archived","Archived",IF(T172=0,"Not been yet",IF(Z172&gt;=InactiveDays,"Inactive",IF(Z172&gt;=LapsingDays,"Lapsing",IF(T172=1,"New",IF(AH172&gt;=VipSpend,"VIP",IF(U172&gt;=4,"Regular","Active"))))))))</f>
        <v>0</v>
      </c>
      <c r="AN172" s="38">
        <f>IF(B172="","",IF(T172&gt;=2,"Yes","No"))</f>
        <v>0</v>
      </c>
      <c r="AO172" s="25">
        <f>IF(B172="","",COUNTIFS($AE$5:$AE$504,"&gt;"&amp;AE172)+COUNTIFS($AE$5:AE172,AE172))</f>
        <v>0</v>
      </c>
      <c r="AP172" s="25">
        <f>IF(B172="","",COUNTIFS($T$5:$T$504,"&gt;"&amp;T172)+COUNTIFS($T$5:T172,T172))</f>
        <v>0</v>
      </c>
      <c r="AQ172" s="39">
        <f>IF(B172="","",IF(COUNTIF($B$5:$B$504,B172)&gt;1,"Duplicate - same name twice",IF(R172="Archived","",IF(AK172&gt;0.004,"Chase - balance outstanding",IF(AM172="Inactive","Gone - win-back offer",IF(AM172="Lapsing","Chase - lapsing, call them",IF(IF(N172="",FALSE,TodayDate-N172&gt;PatchTestDays),"Due - patch test out of date",IF(IF(AD172="",FALSE,IF(AB172&lt;&gt;"",FALSE,AD172&lt;=TodayDate+14)),"Rebook - due and nothing booked",IF(IF(K172="",FALSE,ABS(DATE(YEAR(TodayDate),MONTH(K172),DAY(K172))-TodayDate)&lt;=7),"Birthday - send the treat","OK")))))))))</f>
        <v>0</v>
      </c>
    </row>
    <row r="173" spans="1:43">
      <c r="A173" s="28">
        <f>IF(B173="","",ClientPrefix&amp;TEXT(ROW()-4,"0000"))</f>
        <v>0</v>
      </c>
      <c r="J173" s="15">
        <f>IF(I173="","",IFERROR(INDEX(Staff!$B$5:$B$44,MATCH(I173,Staff!$A$5:$A$44,0)),"Not in Staff"))</f>
        <v>0</v>
      </c>
      <c r="T173" s="25">
        <f>IF(B173="","",COUNTIFS(Appointments!$E$5:$E$1204,A173,Appointments!$M$5:$M$1204,"Completed"))</f>
        <v>0</v>
      </c>
      <c r="U173" s="25">
        <f>IF(B173="","",COUNTIFS(Appointments!$E$5:$E$1204,A173,Appointments!$M$5:$M$1204,"Completed",Appointments!$B$5:$B$1204,"&gt;="&amp;TodayDate-365))</f>
        <v>0</v>
      </c>
      <c r="V173" s="25">
        <f>IF(B173="","",COUNTIFS(Appointments!$E$5:$E$1204,A173,Appointments!$M$5:$M$1204,"Cancelled"))</f>
        <v>0</v>
      </c>
      <c r="W173" s="25">
        <f>IF(B173="","",COUNTIFS(Appointments!$E$5:$E$1204,A173,Appointments!$M$5:$M$1204,"No show"))</f>
        <v>0</v>
      </c>
      <c r="X173" s="17">
        <f>IF(B173="","",IF(F173&lt;&gt;"",F173,IF(T173=0,"",SUMPRODUCT(MIN((Appointments!$E$5:$E$1204=A173)*(Appointments!$M$5:$M$1204="Completed")*Appointments!$B$5:$B$1204+(1-(Appointments!$E$5:$E$1204=A173)*(Appointments!$M$5:$M$1204="Completed"))*2958465)))))</f>
        <v>0</v>
      </c>
      <c r="Y173" s="17">
        <f>IF(B173="","",IF(T173=0,"",SUMPRODUCT(MAX((Appointments!$E$5:$E$1204=A173)*(Appointments!$M$5:$M$1204="Completed")*Appointments!$B$5:$B$1204))))</f>
        <v>0</v>
      </c>
      <c r="Z173" s="25">
        <f>IF(B173="","",IF(Y173="","",TodayDate-Y173))</f>
        <v>0</v>
      </c>
      <c r="AA173" s="42">
        <f>IF(B173="","",SUMPRODUCT(MIN((Appointments!$E$5:$E$1204=A173)*(Appointments!$M$5:$M$1204&lt;&gt;"Cancelled")*(Appointments!$M$5:$M$1204&lt;&gt;"Completed")*(Appointments!$M$5:$M$1204&lt;&gt;"No show")*(Appointments!$B$5:$B$1204&gt;=TodayDate)*Appointments!$B$5:$B$1204+(1-(Appointments!$E$5:$E$1204=A173)*(Appointments!$M$5:$M$1204&lt;&gt;"Cancelled")*(Appointments!$M$5:$M$1204&lt;&gt;"Completed")*(Appointments!$M$5:$M$1204&lt;&gt;"No show")*(Appointments!$B$5:$B$1204&gt;=TodayDate))*2958465)))</f>
        <v>0</v>
      </c>
      <c r="AB173" s="17">
        <f>IF(B173="","",IF(AA173&gt;=2958465,"",AA173))</f>
        <v>0</v>
      </c>
      <c r="AC173" s="25">
        <f>IF(B173="","",IF(T173&lt;2,"",ROUND((Y173-X173)/MAX(1,T173-1),0)))</f>
        <v>0</v>
      </c>
      <c r="AD173" s="17">
        <f>IF(B173="","",IF(Y173="","",Y173+IF(AC173="",RebookWeeks*7,MAX(14,AC173))))</f>
        <v>0</v>
      </c>
      <c r="AE173" s="26">
        <f>IF(B173="","",ROUND(SUMIFS(Sales!$Y$5:$Y$1204,Sales!$D$5:$D$1204,A173),2))</f>
        <v>0</v>
      </c>
      <c r="AF173" s="26">
        <f>IF(B173="","",ROUND(SUMIFS(Sales!$Y$5:$Y$1204,Sales!$D$5:$D$1204,A173,Sales!$H$5:$H$1204,"Service"),2))</f>
        <v>0</v>
      </c>
      <c r="AG173" s="26">
        <f>IF(B173="","",ROUND(SUMIFS(Sales!$Y$5:$Y$1204,Sales!$D$5:$D$1204,A173,Sales!$H$5:$H$1204,"Retail"),2))</f>
        <v>0</v>
      </c>
      <c r="AH173" s="26">
        <f>IF(B173="","",ROUND(SUMIFS(Sales!$Y$5:$Y$1204,Sales!$D$5:$D$1204,A173,Sales!$B$5:$B$1204,"&gt;="&amp;TodayDate-365),2))</f>
        <v>0</v>
      </c>
      <c r="AI173" s="26">
        <f>IF(B173="","",IF(T173=0,"",ROUND(AE173/T173,2)))</f>
        <v>0</v>
      </c>
      <c r="AJ173" s="26">
        <f>IF(B173="","",IF(AI173="","",IF(AC173="","",ROUND(AI173*(365/MAX(14,AC173)),2))))</f>
        <v>0</v>
      </c>
      <c r="AK173" s="26">
        <f>IF(B173="","",ROUND(SUMIFS(Sales!$AH$5:$AH$1204,Sales!$D$5:$D$1204,A173),2))</f>
        <v>0</v>
      </c>
      <c r="AL173" s="25">
        <f>IF(B173="","",IFERROR(INDEX(Loyalty!$P$5:$P$504,MATCH(A173,Loyalty!$B$5:$B$504,0))*1,0))</f>
        <v>0</v>
      </c>
      <c r="AM173" s="39">
        <f>IF(B173="","",IF(R173="Archived","Archived",IF(T173=0,"Not been yet",IF(Z173&gt;=InactiveDays,"Inactive",IF(Z173&gt;=LapsingDays,"Lapsing",IF(T173=1,"New",IF(AH173&gt;=VipSpend,"VIP",IF(U173&gt;=4,"Regular","Active"))))))))</f>
        <v>0</v>
      </c>
      <c r="AN173" s="38">
        <f>IF(B173="","",IF(T173&gt;=2,"Yes","No"))</f>
        <v>0</v>
      </c>
      <c r="AO173" s="25">
        <f>IF(B173="","",COUNTIFS($AE$5:$AE$504,"&gt;"&amp;AE173)+COUNTIFS($AE$5:AE173,AE173))</f>
        <v>0</v>
      </c>
      <c r="AP173" s="25">
        <f>IF(B173="","",COUNTIFS($T$5:$T$504,"&gt;"&amp;T173)+COUNTIFS($T$5:T173,T173))</f>
        <v>0</v>
      </c>
      <c r="AQ173" s="39">
        <f>IF(B173="","",IF(COUNTIF($B$5:$B$504,B173)&gt;1,"Duplicate - same name twice",IF(R173="Archived","",IF(AK173&gt;0.004,"Chase - balance outstanding",IF(AM173="Inactive","Gone - win-back offer",IF(AM173="Lapsing","Chase - lapsing, call them",IF(IF(N173="",FALSE,TodayDate-N173&gt;PatchTestDays),"Due - patch test out of date",IF(IF(AD173="",FALSE,IF(AB173&lt;&gt;"",FALSE,AD173&lt;=TodayDate+14)),"Rebook - due and nothing booked",IF(IF(K173="",FALSE,ABS(DATE(YEAR(TodayDate),MONTH(K173),DAY(K173))-TodayDate)&lt;=7),"Birthday - send the treat","OK")))))))))</f>
        <v>0</v>
      </c>
    </row>
    <row r="174" spans="1:43">
      <c r="A174" s="28">
        <f>IF(B174="","",ClientPrefix&amp;TEXT(ROW()-4,"0000"))</f>
        <v>0</v>
      </c>
      <c r="J174" s="15">
        <f>IF(I174="","",IFERROR(INDEX(Staff!$B$5:$B$44,MATCH(I174,Staff!$A$5:$A$44,0)),"Not in Staff"))</f>
        <v>0</v>
      </c>
      <c r="T174" s="25">
        <f>IF(B174="","",COUNTIFS(Appointments!$E$5:$E$1204,A174,Appointments!$M$5:$M$1204,"Completed"))</f>
        <v>0</v>
      </c>
      <c r="U174" s="25">
        <f>IF(B174="","",COUNTIFS(Appointments!$E$5:$E$1204,A174,Appointments!$M$5:$M$1204,"Completed",Appointments!$B$5:$B$1204,"&gt;="&amp;TodayDate-365))</f>
        <v>0</v>
      </c>
      <c r="V174" s="25">
        <f>IF(B174="","",COUNTIFS(Appointments!$E$5:$E$1204,A174,Appointments!$M$5:$M$1204,"Cancelled"))</f>
        <v>0</v>
      </c>
      <c r="W174" s="25">
        <f>IF(B174="","",COUNTIFS(Appointments!$E$5:$E$1204,A174,Appointments!$M$5:$M$1204,"No show"))</f>
        <v>0</v>
      </c>
      <c r="X174" s="17">
        <f>IF(B174="","",IF(F174&lt;&gt;"",F174,IF(T174=0,"",SUMPRODUCT(MIN((Appointments!$E$5:$E$1204=A174)*(Appointments!$M$5:$M$1204="Completed")*Appointments!$B$5:$B$1204+(1-(Appointments!$E$5:$E$1204=A174)*(Appointments!$M$5:$M$1204="Completed"))*2958465)))))</f>
        <v>0</v>
      </c>
      <c r="Y174" s="17">
        <f>IF(B174="","",IF(T174=0,"",SUMPRODUCT(MAX((Appointments!$E$5:$E$1204=A174)*(Appointments!$M$5:$M$1204="Completed")*Appointments!$B$5:$B$1204))))</f>
        <v>0</v>
      </c>
      <c r="Z174" s="25">
        <f>IF(B174="","",IF(Y174="","",TodayDate-Y174))</f>
        <v>0</v>
      </c>
      <c r="AA174" s="42">
        <f>IF(B174="","",SUMPRODUCT(MIN((Appointments!$E$5:$E$1204=A174)*(Appointments!$M$5:$M$1204&lt;&gt;"Cancelled")*(Appointments!$M$5:$M$1204&lt;&gt;"Completed")*(Appointments!$M$5:$M$1204&lt;&gt;"No show")*(Appointments!$B$5:$B$1204&gt;=TodayDate)*Appointments!$B$5:$B$1204+(1-(Appointments!$E$5:$E$1204=A174)*(Appointments!$M$5:$M$1204&lt;&gt;"Cancelled")*(Appointments!$M$5:$M$1204&lt;&gt;"Completed")*(Appointments!$M$5:$M$1204&lt;&gt;"No show")*(Appointments!$B$5:$B$1204&gt;=TodayDate))*2958465)))</f>
        <v>0</v>
      </c>
      <c r="AB174" s="17">
        <f>IF(B174="","",IF(AA174&gt;=2958465,"",AA174))</f>
        <v>0</v>
      </c>
      <c r="AC174" s="25">
        <f>IF(B174="","",IF(T174&lt;2,"",ROUND((Y174-X174)/MAX(1,T174-1),0)))</f>
        <v>0</v>
      </c>
      <c r="AD174" s="17">
        <f>IF(B174="","",IF(Y174="","",Y174+IF(AC174="",RebookWeeks*7,MAX(14,AC174))))</f>
        <v>0</v>
      </c>
      <c r="AE174" s="26">
        <f>IF(B174="","",ROUND(SUMIFS(Sales!$Y$5:$Y$1204,Sales!$D$5:$D$1204,A174),2))</f>
        <v>0</v>
      </c>
      <c r="AF174" s="26">
        <f>IF(B174="","",ROUND(SUMIFS(Sales!$Y$5:$Y$1204,Sales!$D$5:$D$1204,A174,Sales!$H$5:$H$1204,"Service"),2))</f>
        <v>0</v>
      </c>
      <c r="AG174" s="26">
        <f>IF(B174="","",ROUND(SUMIFS(Sales!$Y$5:$Y$1204,Sales!$D$5:$D$1204,A174,Sales!$H$5:$H$1204,"Retail"),2))</f>
        <v>0</v>
      </c>
      <c r="AH174" s="26">
        <f>IF(B174="","",ROUND(SUMIFS(Sales!$Y$5:$Y$1204,Sales!$D$5:$D$1204,A174,Sales!$B$5:$B$1204,"&gt;="&amp;TodayDate-365),2))</f>
        <v>0</v>
      </c>
      <c r="AI174" s="26">
        <f>IF(B174="","",IF(T174=0,"",ROUND(AE174/T174,2)))</f>
        <v>0</v>
      </c>
      <c r="AJ174" s="26">
        <f>IF(B174="","",IF(AI174="","",IF(AC174="","",ROUND(AI174*(365/MAX(14,AC174)),2))))</f>
        <v>0</v>
      </c>
      <c r="AK174" s="26">
        <f>IF(B174="","",ROUND(SUMIFS(Sales!$AH$5:$AH$1204,Sales!$D$5:$D$1204,A174),2))</f>
        <v>0</v>
      </c>
      <c r="AL174" s="25">
        <f>IF(B174="","",IFERROR(INDEX(Loyalty!$P$5:$P$504,MATCH(A174,Loyalty!$B$5:$B$504,0))*1,0))</f>
        <v>0</v>
      </c>
      <c r="AM174" s="39">
        <f>IF(B174="","",IF(R174="Archived","Archived",IF(T174=0,"Not been yet",IF(Z174&gt;=InactiveDays,"Inactive",IF(Z174&gt;=LapsingDays,"Lapsing",IF(T174=1,"New",IF(AH174&gt;=VipSpend,"VIP",IF(U174&gt;=4,"Regular","Active"))))))))</f>
        <v>0</v>
      </c>
      <c r="AN174" s="38">
        <f>IF(B174="","",IF(T174&gt;=2,"Yes","No"))</f>
        <v>0</v>
      </c>
      <c r="AO174" s="25">
        <f>IF(B174="","",COUNTIFS($AE$5:$AE$504,"&gt;"&amp;AE174)+COUNTIFS($AE$5:AE174,AE174))</f>
        <v>0</v>
      </c>
      <c r="AP174" s="25">
        <f>IF(B174="","",COUNTIFS($T$5:$T$504,"&gt;"&amp;T174)+COUNTIFS($T$5:T174,T174))</f>
        <v>0</v>
      </c>
      <c r="AQ174" s="39">
        <f>IF(B174="","",IF(COUNTIF($B$5:$B$504,B174)&gt;1,"Duplicate - same name twice",IF(R174="Archived","",IF(AK174&gt;0.004,"Chase - balance outstanding",IF(AM174="Inactive","Gone - win-back offer",IF(AM174="Lapsing","Chase - lapsing, call them",IF(IF(N174="",FALSE,TodayDate-N174&gt;PatchTestDays),"Due - patch test out of date",IF(IF(AD174="",FALSE,IF(AB174&lt;&gt;"",FALSE,AD174&lt;=TodayDate+14)),"Rebook - due and nothing booked",IF(IF(K174="",FALSE,ABS(DATE(YEAR(TodayDate),MONTH(K174),DAY(K174))-TodayDate)&lt;=7),"Birthday - send the treat","OK")))))))))</f>
        <v>0</v>
      </c>
    </row>
    <row r="175" spans="1:43">
      <c r="A175" s="28">
        <f>IF(B175="","",ClientPrefix&amp;TEXT(ROW()-4,"0000"))</f>
        <v>0</v>
      </c>
      <c r="J175" s="15">
        <f>IF(I175="","",IFERROR(INDEX(Staff!$B$5:$B$44,MATCH(I175,Staff!$A$5:$A$44,0)),"Not in Staff"))</f>
        <v>0</v>
      </c>
      <c r="T175" s="25">
        <f>IF(B175="","",COUNTIFS(Appointments!$E$5:$E$1204,A175,Appointments!$M$5:$M$1204,"Completed"))</f>
        <v>0</v>
      </c>
      <c r="U175" s="25">
        <f>IF(B175="","",COUNTIFS(Appointments!$E$5:$E$1204,A175,Appointments!$M$5:$M$1204,"Completed",Appointments!$B$5:$B$1204,"&gt;="&amp;TodayDate-365))</f>
        <v>0</v>
      </c>
      <c r="V175" s="25">
        <f>IF(B175="","",COUNTIFS(Appointments!$E$5:$E$1204,A175,Appointments!$M$5:$M$1204,"Cancelled"))</f>
        <v>0</v>
      </c>
      <c r="W175" s="25">
        <f>IF(B175="","",COUNTIFS(Appointments!$E$5:$E$1204,A175,Appointments!$M$5:$M$1204,"No show"))</f>
        <v>0</v>
      </c>
      <c r="X175" s="17">
        <f>IF(B175="","",IF(F175&lt;&gt;"",F175,IF(T175=0,"",SUMPRODUCT(MIN((Appointments!$E$5:$E$1204=A175)*(Appointments!$M$5:$M$1204="Completed")*Appointments!$B$5:$B$1204+(1-(Appointments!$E$5:$E$1204=A175)*(Appointments!$M$5:$M$1204="Completed"))*2958465)))))</f>
        <v>0</v>
      </c>
      <c r="Y175" s="17">
        <f>IF(B175="","",IF(T175=0,"",SUMPRODUCT(MAX((Appointments!$E$5:$E$1204=A175)*(Appointments!$M$5:$M$1204="Completed")*Appointments!$B$5:$B$1204))))</f>
        <v>0</v>
      </c>
      <c r="Z175" s="25">
        <f>IF(B175="","",IF(Y175="","",TodayDate-Y175))</f>
        <v>0</v>
      </c>
      <c r="AA175" s="42">
        <f>IF(B175="","",SUMPRODUCT(MIN((Appointments!$E$5:$E$1204=A175)*(Appointments!$M$5:$M$1204&lt;&gt;"Cancelled")*(Appointments!$M$5:$M$1204&lt;&gt;"Completed")*(Appointments!$M$5:$M$1204&lt;&gt;"No show")*(Appointments!$B$5:$B$1204&gt;=TodayDate)*Appointments!$B$5:$B$1204+(1-(Appointments!$E$5:$E$1204=A175)*(Appointments!$M$5:$M$1204&lt;&gt;"Cancelled")*(Appointments!$M$5:$M$1204&lt;&gt;"Completed")*(Appointments!$M$5:$M$1204&lt;&gt;"No show")*(Appointments!$B$5:$B$1204&gt;=TodayDate))*2958465)))</f>
        <v>0</v>
      </c>
      <c r="AB175" s="17">
        <f>IF(B175="","",IF(AA175&gt;=2958465,"",AA175))</f>
        <v>0</v>
      </c>
      <c r="AC175" s="25">
        <f>IF(B175="","",IF(T175&lt;2,"",ROUND((Y175-X175)/MAX(1,T175-1),0)))</f>
        <v>0</v>
      </c>
      <c r="AD175" s="17">
        <f>IF(B175="","",IF(Y175="","",Y175+IF(AC175="",RebookWeeks*7,MAX(14,AC175))))</f>
        <v>0</v>
      </c>
      <c r="AE175" s="26">
        <f>IF(B175="","",ROUND(SUMIFS(Sales!$Y$5:$Y$1204,Sales!$D$5:$D$1204,A175),2))</f>
        <v>0</v>
      </c>
      <c r="AF175" s="26">
        <f>IF(B175="","",ROUND(SUMIFS(Sales!$Y$5:$Y$1204,Sales!$D$5:$D$1204,A175,Sales!$H$5:$H$1204,"Service"),2))</f>
        <v>0</v>
      </c>
      <c r="AG175" s="26">
        <f>IF(B175="","",ROUND(SUMIFS(Sales!$Y$5:$Y$1204,Sales!$D$5:$D$1204,A175,Sales!$H$5:$H$1204,"Retail"),2))</f>
        <v>0</v>
      </c>
      <c r="AH175" s="26">
        <f>IF(B175="","",ROUND(SUMIFS(Sales!$Y$5:$Y$1204,Sales!$D$5:$D$1204,A175,Sales!$B$5:$B$1204,"&gt;="&amp;TodayDate-365),2))</f>
        <v>0</v>
      </c>
      <c r="AI175" s="26">
        <f>IF(B175="","",IF(T175=0,"",ROUND(AE175/T175,2)))</f>
        <v>0</v>
      </c>
      <c r="AJ175" s="26">
        <f>IF(B175="","",IF(AI175="","",IF(AC175="","",ROUND(AI175*(365/MAX(14,AC175)),2))))</f>
        <v>0</v>
      </c>
      <c r="AK175" s="26">
        <f>IF(B175="","",ROUND(SUMIFS(Sales!$AH$5:$AH$1204,Sales!$D$5:$D$1204,A175),2))</f>
        <v>0</v>
      </c>
      <c r="AL175" s="25">
        <f>IF(B175="","",IFERROR(INDEX(Loyalty!$P$5:$P$504,MATCH(A175,Loyalty!$B$5:$B$504,0))*1,0))</f>
        <v>0</v>
      </c>
      <c r="AM175" s="39">
        <f>IF(B175="","",IF(R175="Archived","Archived",IF(T175=0,"Not been yet",IF(Z175&gt;=InactiveDays,"Inactive",IF(Z175&gt;=LapsingDays,"Lapsing",IF(T175=1,"New",IF(AH175&gt;=VipSpend,"VIP",IF(U175&gt;=4,"Regular","Active"))))))))</f>
        <v>0</v>
      </c>
      <c r="AN175" s="38">
        <f>IF(B175="","",IF(T175&gt;=2,"Yes","No"))</f>
        <v>0</v>
      </c>
      <c r="AO175" s="25">
        <f>IF(B175="","",COUNTIFS($AE$5:$AE$504,"&gt;"&amp;AE175)+COUNTIFS($AE$5:AE175,AE175))</f>
        <v>0</v>
      </c>
      <c r="AP175" s="25">
        <f>IF(B175="","",COUNTIFS($T$5:$T$504,"&gt;"&amp;T175)+COUNTIFS($T$5:T175,T175))</f>
        <v>0</v>
      </c>
      <c r="AQ175" s="39">
        <f>IF(B175="","",IF(COUNTIF($B$5:$B$504,B175)&gt;1,"Duplicate - same name twice",IF(R175="Archived","",IF(AK175&gt;0.004,"Chase - balance outstanding",IF(AM175="Inactive","Gone - win-back offer",IF(AM175="Lapsing","Chase - lapsing, call them",IF(IF(N175="",FALSE,TodayDate-N175&gt;PatchTestDays),"Due - patch test out of date",IF(IF(AD175="",FALSE,IF(AB175&lt;&gt;"",FALSE,AD175&lt;=TodayDate+14)),"Rebook - due and nothing booked",IF(IF(K175="",FALSE,ABS(DATE(YEAR(TodayDate),MONTH(K175),DAY(K175))-TodayDate)&lt;=7),"Birthday - send the treat","OK")))))))))</f>
        <v>0</v>
      </c>
    </row>
    <row r="176" spans="1:43">
      <c r="A176" s="28">
        <f>IF(B176="","",ClientPrefix&amp;TEXT(ROW()-4,"0000"))</f>
        <v>0</v>
      </c>
      <c r="J176" s="15">
        <f>IF(I176="","",IFERROR(INDEX(Staff!$B$5:$B$44,MATCH(I176,Staff!$A$5:$A$44,0)),"Not in Staff"))</f>
        <v>0</v>
      </c>
      <c r="T176" s="25">
        <f>IF(B176="","",COUNTIFS(Appointments!$E$5:$E$1204,A176,Appointments!$M$5:$M$1204,"Completed"))</f>
        <v>0</v>
      </c>
      <c r="U176" s="25">
        <f>IF(B176="","",COUNTIFS(Appointments!$E$5:$E$1204,A176,Appointments!$M$5:$M$1204,"Completed",Appointments!$B$5:$B$1204,"&gt;="&amp;TodayDate-365))</f>
        <v>0</v>
      </c>
      <c r="V176" s="25">
        <f>IF(B176="","",COUNTIFS(Appointments!$E$5:$E$1204,A176,Appointments!$M$5:$M$1204,"Cancelled"))</f>
        <v>0</v>
      </c>
      <c r="W176" s="25">
        <f>IF(B176="","",COUNTIFS(Appointments!$E$5:$E$1204,A176,Appointments!$M$5:$M$1204,"No show"))</f>
        <v>0</v>
      </c>
      <c r="X176" s="17">
        <f>IF(B176="","",IF(F176&lt;&gt;"",F176,IF(T176=0,"",SUMPRODUCT(MIN((Appointments!$E$5:$E$1204=A176)*(Appointments!$M$5:$M$1204="Completed")*Appointments!$B$5:$B$1204+(1-(Appointments!$E$5:$E$1204=A176)*(Appointments!$M$5:$M$1204="Completed"))*2958465)))))</f>
        <v>0</v>
      </c>
      <c r="Y176" s="17">
        <f>IF(B176="","",IF(T176=0,"",SUMPRODUCT(MAX((Appointments!$E$5:$E$1204=A176)*(Appointments!$M$5:$M$1204="Completed")*Appointments!$B$5:$B$1204))))</f>
        <v>0</v>
      </c>
      <c r="Z176" s="25">
        <f>IF(B176="","",IF(Y176="","",TodayDate-Y176))</f>
        <v>0</v>
      </c>
      <c r="AA176" s="42">
        <f>IF(B176="","",SUMPRODUCT(MIN((Appointments!$E$5:$E$1204=A176)*(Appointments!$M$5:$M$1204&lt;&gt;"Cancelled")*(Appointments!$M$5:$M$1204&lt;&gt;"Completed")*(Appointments!$M$5:$M$1204&lt;&gt;"No show")*(Appointments!$B$5:$B$1204&gt;=TodayDate)*Appointments!$B$5:$B$1204+(1-(Appointments!$E$5:$E$1204=A176)*(Appointments!$M$5:$M$1204&lt;&gt;"Cancelled")*(Appointments!$M$5:$M$1204&lt;&gt;"Completed")*(Appointments!$M$5:$M$1204&lt;&gt;"No show")*(Appointments!$B$5:$B$1204&gt;=TodayDate))*2958465)))</f>
        <v>0</v>
      </c>
      <c r="AB176" s="17">
        <f>IF(B176="","",IF(AA176&gt;=2958465,"",AA176))</f>
        <v>0</v>
      </c>
      <c r="AC176" s="25">
        <f>IF(B176="","",IF(T176&lt;2,"",ROUND((Y176-X176)/MAX(1,T176-1),0)))</f>
        <v>0</v>
      </c>
      <c r="AD176" s="17">
        <f>IF(B176="","",IF(Y176="","",Y176+IF(AC176="",RebookWeeks*7,MAX(14,AC176))))</f>
        <v>0</v>
      </c>
      <c r="AE176" s="26">
        <f>IF(B176="","",ROUND(SUMIFS(Sales!$Y$5:$Y$1204,Sales!$D$5:$D$1204,A176),2))</f>
        <v>0</v>
      </c>
      <c r="AF176" s="26">
        <f>IF(B176="","",ROUND(SUMIFS(Sales!$Y$5:$Y$1204,Sales!$D$5:$D$1204,A176,Sales!$H$5:$H$1204,"Service"),2))</f>
        <v>0</v>
      </c>
      <c r="AG176" s="26">
        <f>IF(B176="","",ROUND(SUMIFS(Sales!$Y$5:$Y$1204,Sales!$D$5:$D$1204,A176,Sales!$H$5:$H$1204,"Retail"),2))</f>
        <v>0</v>
      </c>
      <c r="AH176" s="26">
        <f>IF(B176="","",ROUND(SUMIFS(Sales!$Y$5:$Y$1204,Sales!$D$5:$D$1204,A176,Sales!$B$5:$B$1204,"&gt;="&amp;TodayDate-365),2))</f>
        <v>0</v>
      </c>
      <c r="AI176" s="26">
        <f>IF(B176="","",IF(T176=0,"",ROUND(AE176/T176,2)))</f>
        <v>0</v>
      </c>
      <c r="AJ176" s="26">
        <f>IF(B176="","",IF(AI176="","",IF(AC176="","",ROUND(AI176*(365/MAX(14,AC176)),2))))</f>
        <v>0</v>
      </c>
      <c r="AK176" s="26">
        <f>IF(B176="","",ROUND(SUMIFS(Sales!$AH$5:$AH$1204,Sales!$D$5:$D$1204,A176),2))</f>
        <v>0</v>
      </c>
      <c r="AL176" s="25">
        <f>IF(B176="","",IFERROR(INDEX(Loyalty!$P$5:$P$504,MATCH(A176,Loyalty!$B$5:$B$504,0))*1,0))</f>
        <v>0</v>
      </c>
      <c r="AM176" s="39">
        <f>IF(B176="","",IF(R176="Archived","Archived",IF(T176=0,"Not been yet",IF(Z176&gt;=InactiveDays,"Inactive",IF(Z176&gt;=LapsingDays,"Lapsing",IF(T176=1,"New",IF(AH176&gt;=VipSpend,"VIP",IF(U176&gt;=4,"Regular","Active"))))))))</f>
        <v>0</v>
      </c>
      <c r="AN176" s="38">
        <f>IF(B176="","",IF(T176&gt;=2,"Yes","No"))</f>
        <v>0</v>
      </c>
      <c r="AO176" s="25">
        <f>IF(B176="","",COUNTIFS($AE$5:$AE$504,"&gt;"&amp;AE176)+COUNTIFS($AE$5:AE176,AE176))</f>
        <v>0</v>
      </c>
      <c r="AP176" s="25">
        <f>IF(B176="","",COUNTIFS($T$5:$T$504,"&gt;"&amp;T176)+COUNTIFS($T$5:T176,T176))</f>
        <v>0</v>
      </c>
      <c r="AQ176" s="39">
        <f>IF(B176="","",IF(COUNTIF($B$5:$B$504,B176)&gt;1,"Duplicate - same name twice",IF(R176="Archived","",IF(AK176&gt;0.004,"Chase - balance outstanding",IF(AM176="Inactive","Gone - win-back offer",IF(AM176="Lapsing","Chase - lapsing, call them",IF(IF(N176="",FALSE,TodayDate-N176&gt;PatchTestDays),"Due - patch test out of date",IF(IF(AD176="",FALSE,IF(AB176&lt;&gt;"",FALSE,AD176&lt;=TodayDate+14)),"Rebook - due and nothing booked",IF(IF(K176="",FALSE,ABS(DATE(YEAR(TodayDate),MONTH(K176),DAY(K176))-TodayDate)&lt;=7),"Birthday - send the treat","OK")))))))))</f>
        <v>0</v>
      </c>
    </row>
    <row r="177" spans="1:43">
      <c r="A177" s="28">
        <f>IF(B177="","",ClientPrefix&amp;TEXT(ROW()-4,"0000"))</f>
        <v>0</v>
      </c>
      <c r="J177" s="15">
        <f>IF(I177="","",IFERROR(INDEX(Staff!$B$5:$B$44,MATCH(I177,Staff!$A$5:$A$44,0)),"Not in Staff"))</f>
        <v>0</v>
      </c>
      <c r="T177" s="25">
        <f>IF(B177="","",COUNTIFS(Appointments!$E$5:$E$1204,A177,Appointments!$M$5:$M$1204,"Completed"))</f>
        <v>0</v>
      </c>
      <c r="U177" s="25">
        <f>IF(B177="","",COUNTIFS(Appointments!$E$5:$E$1204,A177,Appointments!$M$5:$M$1204,"Completed",Appointments!$B$5:$B$1204,"&gt;="&amp;TodayDate-365))</f>
        <v>0</v>
      </c>
      <c r="V177" s="25">
        <f>IF(B177="","",COUNTIFS(Appointments!$E$5:$E$1204,A177,Appointments!$M$5:$M$1204,"Cancelled"))</f>
        <v>0</v>
      </c>
      <c r="W177" s="25">
        <f>IF(B177="","",COUNTIFS(Appointments!$E$5:$E$1204,A177,Appointments!$M$5:$M$1204,"No show"))</f>
        <v>0</v>
      </c>
      <c r="X177" s="17">
        <f>IF(B177="","",IF(F177&lt;&gt;"",F177,IF(T177=0,"",SUMPRODUCT(MIN((Appointments!$E$5:$E$1204=A177)*(Appointments!$M$5:$M$1204="Completed")*Appointments!$B$5:$B$1204+(1-(Appointments!$E$5:$E$1204=A177)*(Appointments!$M$5:$M$1204="Completed"))*2958465)))))</f>
        <v>0</v>
      </c>
      <c r="Y177" s="17">
        <f>IF(B177="","",IF(T177=0,"",SUMPRODUCT(MAX((Appointments!$E$5:$E$1204=A177)*(Appointments!$M$5:$M$1204="Completed")*Appointments!$B$5:$B$1204))))</f>
        <v>0</v>
      </c>
      <c r="Z177" s="25">
        <f>IF(B177="","",IF(Y177="","",TodayDate-Y177))</f>
        <v>0</v>
      </c>
      <c r="AA177" s="42">
        <f>IF(B177="","",SUMPRODUCT(MIN((Appointments!$E$5:$E$1204=A177)*(Appointments!$M$5:$M$1204&lt;&gt;"Cancelled")*(Appointments!$M$5:$M$1204&lt;&gt;"Completed")*(Appointments!$M$5:$M$1204&lt;&gt;"No show")*(Appointments!$B$5:$B$1204&gt;=TodayDate)*Appointments!$B$5:$B$1204+(1-(Appointments!$E$5:$E$1204=A177)*(Appointments!$M$5:$M$1204&lt;&gt;"Cancelled")*(Appointments!$M$5:$M$1204&lt;&gt;"Completed")*(Appointments!$M$5:$M$1204&lt;&gt;"No show")*(Appointments!$B$5:$B$1204&gt;=TodayDate))*2958465)))</f>
        <v>0</v>
      </c>
      <c r="AB177" s="17">
        <f>IF(B177="","",IF(AA177&gt;=2958465,"",AA177))</f>
        <v>0</v>
      </c>
      <c r="AC177" s="25">
        <f>IF(B177="","",IF(T177&lt;2,"",ROUND((Y177-X177)/MAX(1,T177-1),0)))</f>
        <v>0</v>
      </c>
      <c r="AD177" s="17">
        <f>IF(B177="","",IF(Y177="","",Y177+IF(AC177="",RebookWeeks*7,MAX(14,AC177))))</f>
        <v>0</v>
      </c>
      <c r="AE177" s="26">
        <f>IF(B177="","",ROUND(SUMIFS(Sales!$Y$5:$Y$1204,Sales!$D$5:$D$1204,A177),2))</f>
        <v>0</v>
      </c>
      <c r="AF177" s="26">
        <f>IF(B177="","",ROUND(SUMIFS(Sales!$Y$5:$Y$1204,Sales!$D$5:$D$1204,A177,Sales!$H$5:$H$1204,"Service"),2))</f>
        <v>0</v>
      </c>
      <c r="AG177" s="26">
        <f>IF(B177="","",ROUND(SUMIFS(Sales!$Y$5:$Y$1204,Sales!$D$5:$D$1204,A177,Sales!$H$5:$H$1204,"Retail"),2))</f>
        <v>0</v>
      </c>
      <c r="AH177" s="26">
        <f>IF(B177="","",ROUND(SUMIFS(Sales!$Y$5:$Y$1204,Sales!$D$5:$D$1204,A177,Sales!$B$5:$B$1204,"&gt;="&amp;TodayDate-365),2))</f>
        <v>0</v>
      </c>
      <c r="AI177" s="26">
        <f>IF(B177="","",IF(T177=0,"",ROUND(AE177/T177,2)))</f>
        <v>0</v>
      </c>
      <c r="AJ177" s="26">
        <f>IF(B177="","",IF(AI177="","",IF(AC177="","",ROUND(AI177*(365/MAX(14,AC177)),2))))</f>
        <v>0</v>
      </c>
      <c r="AK177" s="26">
        <f>IF(B177="","",ROUND(SUMIFS(Sales!$AH$5:$AH$1204,Sales!$D$5:$D$1204,A177),2))</f>
        <v>0</v>
      </c>
      <c r="AL177" s="25">
        <f>IF(B177="","",IFERROR(INDEX(Loyalty!$P$5:$P$504,MATCH(A177,Loyalty!$B$5:$B$504,0))*1,0))</f>
        <v>0</v>
      </c>
      <c r="AM177" s="39">
        <f>IF(B177="","",IF(R177="Archived","Archived",IF(T177=0,"Not been yet",IF(Z177&gt;=InactiveDays,"Inactive",IF(Z177&gt;=LapsingDays,"Lapsing",IF(T177=1,"New",IF(AH177&gt;=VipSpend,"VIP",IF(U177&gt;=4,"Regular","Active"))))))))</f>
        <v>0</v>
      </c>
      <c r="AN177" s="38">
        <f>IF(B177="","",IF(T177&gt;=2,"Yes","No"))</f>
        <v>0</v>
      </c>
      <c r="AO177" s="25">
        <f>IF(B177="","",COUNTIFS($AE$5:$AE$504,"&gt;"&amp;AE177)+COUNTIFS($AE$5:AE177,AE177))</f>
        <v>0</v>
      </c>
      <c r="AP177" s="25">
        <f>IF(B177="","",COUNTIFS($T$5:$T$504,"&gt;"&amp;T177)+COUNTIFS($T$5:T177,T177))</f>
        <v>0</v>
      </c>
      <c r="AQ177" s="39">
        <f>IF(B177="","",IF(COUNTIF($B$5:$B$504,B177)&gt;1,"Duplicate - same name twice",IF(R177="Archived","",IF(AK177&gt;0.004,"Chase - balance outstanding",IF(AM177="Inactive","Gone - win-back offer",IF(AM177="Lapsing","Chase - lapsing, call them",IF(IF(N177="",FALSE,TodayDate-N177&gt;PatchTestDays),"Due - patch test out of date",IF(IF(AD177="",FALSE,IF(AB177&lt;&gt;"",FALSE,AD177&lt;=TodayDate+14)),"Rebook - due and nothing booked",IF(IF(K177="",FALSE,ABS(DATE(YEAR(TodayDate),MONTH(K177),DAY(K177))-TodayDate)&lt;=7),"Birthday - send the treat","OK")))))))))</f>
        <v>0</v>
      </c>
    </row>
    <row r="178" spans="1:43">
      <c r="A178" s="28">
        <f>IF(B178="","",ClientPrefix&amp;TEXT(ROW()-4,"0000"))</f>
        <v>0</v>
      </c>
      <c r="J178" s="15">
        <f>IF(I178="","",IFERROR(INDEX(Staff!$B$5:$B$44,MATCH(I178,Staff!$A$5:$A$44,0)),"Not in Staff"))</f>
        <v>0</v>
      </c>
      <c r="T178" s="25">
        <f>IF(B178="","",COUNTIFS(Appointments!$E$5:$E$1204,A178,Appointments!$M$5:$M$1204,"Completed"))</f>
        <v>0</v>
      </c>
      <c r="U178" s="25">
        <f>IF(B178="","",COUNTIFS(Appointments!$E$5:$E$1204,A178,Appointments!$M$5:$M$1204,"Completed",Appointments!$B$5:$B$1204,"&gt;="&amp;TodayDate-365))</f>
        <v>0</v>
      </c>
      <c r="V178" s="25">
        <f>IF(B178="","",COUNTIFS(Appointments!$E$5:$E$1204,A178,Appointments!$M$5:$M$1204,"Cancelled"))</f>
        <v>0</v>
      </c>
      <c r="W178" s="25">
        <f>IF(B178="","",COUNTIFS(Appointments!$E$5:$E$1204,A178,Appointments!$M$5:$M$1204,"No show"))</f>
        <v>0</v>
      </c>
      <c r="X178" s="17">
        <f>IF(B178="","",IF(F178&lt;&gt;"",F178,IF(T178=0,"",SUMPRODUCT(MIN((Appointments!$E$5:$E$1204=A178)*(Appointments!$M$5:$M$1204="Completed")*Appointments!$B$5:$B$1204+(1-(Appointments!$E$5:$E$1204=A178)*(Appointments!$M$5:$M$1204="Completed"))*2958465)))))</f>
        <v>0</v>
      </c>
      <c r="Y178" s="17">
        <f>IF(B178="","",IF(T178=0,"",SUMPRODUCT(MAX((Appointments!$E$5:$E$1204=A178)*(Appointments!$M$5:$M$1204="Completed")*Appointments!$B$5:$B$1204))))</f>
        <v>0</v>
      </c>
      <c r="Z178" s="25">
        <f>IF(B178="","",IF(Y178="","",TodayDate-Y178))</f>
        <v>0</v>
      </c>
      <c r="AA178" s="42">
        <f>IF(B178="","",SUMPRODUCT(MIN((Appointments!$E$5:$E$1204=A178)*(Appointments!$M$5:$M$1204&lt;&gt;"Cancelled")*(Appointments!$M$5:$M$1204&lt;&gt;"Completed")*(Appointments!$M$5:$M$1204&lt;&gt;"No show")*(Appointments!$B$5:$B$1204&gt;=TodayDate)*Appointments!$B$5:$B$1204+(1-(Appointments!$E$5:$E$1204=A178)*(Appointments!$M$5:$M$1204&lt;&gt;"Cancelled")*(Appointments!$M$5:$M$1204&lt;&gt;"Completed")*(Appointments!$M$5:$M$1204&lt;&gt;"No show")*(Appointments!$B$5:$B$1204&gt;=TodayDate))*2958465)))</f>
        <v>0</v>
      </c>
      <c r="AB178" s="17">
        <f>IF(B178="","",IF(AA178&gt;=2958465,"",AA178))</f>
        <v>0</v>
      </c>
      <c r="AC178" s="25">
        <f>IF(B178="","",IF(T178&lt;2,"",ROUND((Y178-X178)/MAX(1,T178-1),0)))</f>
        <v>0</v>
      </c>
      <c r="AD178" s="17">
        <f>IF(B178="","",IF(Y178="","",Y178+IF(AC178="",RebookWeeks*7,MAX(14,AC178))))</f>
        <v>0</v>
      </c>
      <c r="AE178" s="26">
        <f>IF(B178="","",ROUND(SUMIFS(Sales!$Y$5:$Y$1204,Sales!$D$5:$D$1204,A178),2))</f>
        <v>0</v>
      </c>
      <c r="AF178" s="26">
        <f>IF(B178="","",ROUND(SUMIFS(Sales!$Y$5:$Y$1204,Sales!$D$5:$D$1204,A178,Sales!$H$5:$H$1204,"Service"),2))</f>
        <v>0</v>
      </c>
      <c r="AG178" s="26">
        <f>IF(B178="","",ROUND(SUMIFS(Sales!$Y$5:$Y$1204,Sales!$D$5:$D$1204,A178,Sales!$H$5:$H$1204,"Retail"),2))</f>
        <v>0</v>
      </c>
      <c r="AH178" s="26">
        <f>IF(B178="","",ROUND(SUMIFS(Sales!$Y$5:$Y$1204,Sales!$D$5:$D$1204,A178,Sales!$B$5:$B$1204,"&gt;="&amp;TodayDate-365),2))</f>
        <v>0</v>
      </c>
      <c r="AI178" s="26">
        <f>IF(B178="","",IF(T178=0,"",ROUND(AE178/T178,2)))</f>
        <v>0</v>
      </c>
      <c r="AJ178" s="26">
        <f>IF(B178="","",IF(AI178="","",IF(AC178="","",ROUND(AI178*(365/MAX(14,AC178)),2))))</f>
        <v>0</v>
      </c>
      <c r="AK178" s="26">
        <f>IF(B178="","",ROUND(SUMIFS(Sales!$AH$5:$AH$1204,Sales!$D$5:$D$1204,A178),2))</f>
        <v>0</v>
      </c>
      <c r="AL178" s="25">
        <f>IF(B178="","",IFERROR(INDEX(Loyalty!$P$5:$P$504,MATCH(A178,Loyalty!$B$5:$B$504,0))*1,0))</f>
        <v>0</v>
      </c>
      <c r="AM178" s="39">
        <f>IF(B178="","",IF(R178="Archived","Archived",IF(T178=0,"Not been yet",IF(Z178&gt;=InactiveDays,"Inactive",IF(Z178&gt;=LapsingDays,"Lapsing",IF(T178=1,"New",IF(AH178&gt;=VipSpend,"VIP",IF(U178&gt;=4,"Regular","Active"))))))))</f>
        <v>0</v>
      </c>
      <c r="AN178" s="38">
        <f>IF(B178="","",IF(T178&gt;=2,"Yes","No"))</f>
        <v>0</v>
      </c>
      <c r="AO178" s="25">
        <f>IF(B178="","",COUNTIFS($AE$5:$AE$504,"&gt;"&amp;AE178)+COUNTIFS($AE$5:AE178,AE178))</f>
        <v>0</v>
      </c>
      <c r="AP178" s="25">
        <f>IF(B178="","",COUNTIFS($T$5:$T$504,"&gt;"&amp;T178)+COUNTIFS($T$5:T178,T178))</f>
        <v>0</v>
      </c>
      <c r="AQ178" s="39">
        <f>IF(B178="","",IF(COUNTIF($B$5:$B$504,B178)&gt;1,"Duplicate - same name twice",IF(R178="Archived","",IF(AK178&gt;0.004,"Chase - balance outstanding",IF(AM178="Inactive","Gone - win-back offer",IF(AM178="Lapsing","Chase - lapsing, call them",IF(IF(N178="",FALSE,TodayDate-N178&gt;PatchTestDays),"Due - patch test out of date",IF(IF(AD178="",FALSE,IF(AB178&lt;&gt;"",FALSE,AD178&lt;=TodayDate+14)),"Rebook - due and nothing booked",IF(IF(K178="",FALSE,ABS(DATE(YEAR(TodayDate),MONTH(K178),DAY(K178))-TodayDate)&lt;=7),"Birthday - send the treat","OK")))))))))</f>
        <v>0</v>
      </c>
    </row>
    <row r="179" spans="1:43">
      <c r="A179" s="28">
        <f>IF(B179="","",ClientPrefix&amp;TEXT(ROW()-4,"0000"))</f>
        <v>0</v>
      </c>
      <c r="J179" s="15">
        <f>IF(I179="","",IFERROR(INDEX(Staff!$B$5:$B$44,MATCH(I179,Staff!$A$5:$A$44,0)),"Not in Staff"))</f>
        <v>0</v>
      </c>
      <c r="T179" s="25">
        <f>IF(B179="","",COUNTIFS(Appointments!$E$5:$E$1204,A179,Appointments!$M$5:$M$1204,"Completed"))</f>
        <v>0</v>
      </c>
      <c r="U179" s="25">
        <f>IF(B179="","",COUNTIFS(Appointments!$E$5:$E$1204,A179,Appointments!$M$5:$M$1204,"Completed",Appointments!$B$5:$B$1204,"&gt;="&amp;TodayDate-365))</f>
        <v>0</v>
      </c>
      <c r="V179" s="25">
        <f>IF(B179="","",COUNTIFS(Appointments!$E$5:$E$1204,A179,Appointments!$M$5:$M$1204,"Cancelled"))</f>
        <v>0</v>
      </c>
      <c r="W179" s="25">
        <f>IF(B179="","",COUNTIFS(Appointments!$E$5:$E$1204,A179,Appointments!$M$5:$M$1204,"No show"))</f>
        <v>0</v>
      </c>
      <c r="X179" s="17">
        <f>IF(B179="","",IF(F179&lt;&gt;"",F179,IF(T179=0,"",SUMPRODUCT(MIN((Appointments!$E$5:$E$1204=A179)*(Appointments!$M$5:$M$1204="Completed")*Appointments!$B$5:$B$1204+(1-(Appointments!$E$5:$E$1204=A179)*(Appointments!$M$5:$M$1204="Completed"))*2958465)))))</f>
        <v>0</v>
      </c>
      <c r="Y179" s="17">
        <f>IF(B179="","",IF(T179=0,"",SUMPRODUCT(MAX((Appointments!$E$5:$E$1204=A179)*(Appointments!$M$5:$M$1204="Completed")*Appointments!$B$5:$B$1204))))</f>
        <v>0</v>
      </c>
      <c r="Z179" s="25">
        <f>IF(B179="","",IF(Y179="","",TodayDate-Y179))</f>
        <v>0</v>
      </c>
      <c r="AA179" s="42">
        <f>IF(B179="","",SUMPRODUCT(MIN((Appointments!$E$5:$E$1204=A179)*(Appointments!$M$5:$M$1204&lt;&gt;"Cancelled")*(Appointments!$M$5:$M$1204&lt;&gt;"Completed")*(Appointments!$M$5:$M$1204&lt;&gt;"No show")*(Appointments!$B$5:$B$1204&gt;=TodayDate)*Appointments!$B$5:$B$1204+(1-(Appointments!$E$5:$E$1204=A179)*(Appointments!$M$5:$M$1204&lt;&gt;"Cancelled")*(Appointments!$M$5:$M$1204&lt;&gt;"Completed")*(Appointments!$M$5:$M$1204&lt;&gt;"No show")*(Appointments!$B$5:$B$1204&gt;=TodayDate))*2958465)))</f>
        <v>0</v>
      </c>
      <c r="AB179" s="17">
        <f>IF(B179="","",IF(AA179&gt;=2958465,"",AA179))</f>
        <v>0</v>
      </c>
      <c r="AC179" s="25">
        <f>IF(B179="","",IF(T179&lt;2,"",ROUND((Y179-X179)/MAX(1,T179-1),0)))</f>
        <v>0</v>
      </c>
      <c r="AD179" s="17">
        <f>IF(B179="","",IF(Y179="","",Y179+IF(AC179="",RebookWeeks*7,MAX(14,AC179))))</f>
        <v>0</v>
      </c>
      <c r="AE179" s="26">
        <f>IF(B179="","",ROUND(SUMIFS(Sales!$Y$5:$Y$1204,Sales!$D$5:$D$1204,A179),2))</f>
        <v>0</v>
      </c>
      <c r="AF179" s="26">
        <f>IF(B179="","",ROUND(SUMIFS(Sales!$Y$5:$Y$1204,Sales!$D$5:$D$1204,A179,Sales!$H$5:$H$1204,"Service"),2))</f>
        <v>0</v>
      </c>
      <c r="AG179" s="26">
        <f>IF(B179="","",ROUND(SUMIFS(Sales!$Y$5:$Y$1204,Sales!$D$5:$D$1204,A179,Sales!$H$5:$H$1204,"Retail"),2))</f>
        <v>0</v>
      </c>
      <c r="AH179" s="26">
        <f>IF(B179="","",ROUND(SUMIFS(Sales!$Y$5:$Y$1204,Sales!$D$5:$D$1204,A179,Sales!$B$5:$B$1204,"&gt;="&amp;TodayDate-365),2))</f>
        <v>0</v>
      </c>
      <c r="AI179" s="26">
        <f>IF(B179="","",IF(T179=0,"",ROUND(AE179/T179,2)))</f>
        <v>0</v>
      </c>
      <c r="AJ179" s="26">
        <f>IF(B179="","",IF(AI179="","",IF(AC179="","",ROUND(AI179*(365/MAX(14,AC179)),2))))</f>
        <v>0</v>
      </c>
      <c r="AK179" s="26">
        <f>IF(B179="","",ROUND(SUMIFS(Sales!$AH$5:$AH$1204,Sales!$D$5:$D$1204,A179),2))</f>
        <v>0</v>
      </c>
      <c r="AL179" s="25">
        <f>IF(B179="","",IFERROR(INDEX(Loyalty!$P$5:$P$504,MATCH(A179,Loyalty!$B$5:$B$504,0))*1,0))</f>
        <v>0</v>
      </c>
      <c r="AM179" s="39">
        <f>IF(B179="","",IF(R179="Archived","Archived",IF(T179=0,"Not been yet",IF(Z179&gt;=InactiveDays,"Inactive",IF(Z179&gt;=LapsingDays,"Lapsing",IF(T179=1,"New",IF(AH179&gt;=VipSpend,"VIP",IF(U179&gt;=4,"Regular","Active"))))))))</f>
        <v>0</v>
      </c>
      <c r="AN179" s="38">
        <f>IF(B179="","",IF(T179&gt;=2,"Yes","No"))</f>
        <v>0</v>
      </c>
      <c r="AO179" s="25">
        <f>IF(B179="","",COUNTIFS($AE$5:$AE$504,"&gt;"&amp;AE179)+COUNTIFS($AE$5:AE179,AE179))</f>
        <v>0</v>
      </c>
      <c r="AP179" s="25">
        <f>IF(B179="","",COUNTIFS($T$5:$T$504,"&gt;"&amp;T179)+COUNTIFS($T$5:T179,T179))</f>
        <v>0</v>
      </c>
      <c r="AQ179" s="39">
        <f>IF(B179="","",IF(COUNTIF($B$5:$B$504,B179)&gt;1,"Duplicate - same name twice",IF(R179="Archived","",IF(AK179&gt;0.004,"Chase - balance outstanding",IF(AM179="Inactive","Gone - win-back offer",IF(AM179="Lapsing","Chase - lapsing, call them",IF(IF(N179="",FALSE,TodayDate-N179&gt;PatchTestDays),"Due - patch test out of date",IF(IF(AD179="",FALSE,IF(AB179&lt;&gt;"",FALSE,AD179&lt;=TodayDate+14)),"Rebook - due and nothing booked",IF(IF(K179="",FALSE,ABS(DATE(YEAR(TodayDate),MONTH(K179),DAY(K179))-TodayDate)&lt;=7),"Birthday - send the treat","OK")))))))))</f>
        <v>0</v>
      </c>
    </row>
    <row r="180" spans="1:43">
      <c r="A180" s="28">
        <f>IF(B180="","",ClientPrefix&amp;TEXT(ROW()-4,"0000"))</f>
        <v>0</v>
      </c>
      <c r="J180" s="15">
        <f>IF(I180="","",IFERROR(INDEX(Staff!$B$5:$B$44,MATCH(I180,Staff!$A$5:$A$44,0)),"Not in Staff"))</f>
        <v>0</v>
      </c>
      <c r="T180" s="25">
        <f>IF(B180="","",COUNTIFS(Appointments!$E$5:$E$1204,A180,Appointments!$M$5:$M$1204,"Completed"))</f>
        <v>0</v>
      </c>
      <c r="U180" s="25">
        <f>IF(B180="","",COUNTIFS(Appointments!$E$5:$E$1204,A180,Appointments!$M$5:$M$1204,"Completed",Appointments!$B$5:$B$1204,"&gt;="&amp;TodayDate-365))</f>
        <v>0</v>
      </c>
      <c r="V180" s="25">
        <f>IF(B180="","",COUNTIFS(Appointments!$E$5:$E$1204,A180,Appointments!$M$5:$M$1204,"Cancelled"))</f>
        <v>0</v>
      </c>
      <c r="W180" s="25">
        <f>IF(B180="","",COUNTIFS(Appointments!$E$5:$E$1204,A180,Appointments!$M$5:$M$1204,"No show"))</f>
        <v>0</v>
      </c>
      <c r="X180" s="17">
        <f>IF(B180="","",IF(F180&lt;&gt;"",F180,IF(T180=0,"",SUMPRODUCT(MIN((Appointments!$E$5:$E$1204=A180)*(Appointments!$M$5:$M$1204="Completed")*Appointments!$B$5:$B$1204+(1-(Appointments!$E$5:$E$1204=A180)*(Appointments!$M$5:$M$1204="Completed"))*2958465)))))</f>
        <v>0</v>
      </c>
      <c r="Y180" s="17">
        <f>IF(B180="","",IF(T180=0,"",SUMPRODUCT(MAX((Appointments!$E$5:$E$1204=A180)*(Appointments!$M$5:$M$1204="Completed")*Appointments!$B$5:$B$1204))))</f>
        <v>0</v>
      </c>
      <c r="Z180" s="25">
        <f>IF(B180="","",IF(Y180="","",TodayDate-Y180))</f>
        <v>0</v>
      </c>
      <c r="AA180" s="42">
        <f>IF(B180="","",SUMPRODUCT(MIN((Appointments!$E$5:$E$1204=A180)*(Appointments!$M$5:$M$1204&lt;&gt;"Cancelled")*(Appointments!$M$5:$M$1204&lt;&gt;"Completed")*(Appointments!$M$5:$M$1204&lt;&gt;"No show")*(Appointments!$B$5:$B$1204&gt;=TodayDate)*Appointments!$B$5:$B$1204+(1-(Appointments!$E$5:$E$1204=A180)*(Appointments!$M$5:$M$1204&lt;&gt;"Cancelled")*(Appointments!$M$5:$M$1204&lt;&gt;"Completed")*(Appointments!$M$5:$M$1204&lt;&gt;"No show")*(Appointments!$B$5:$B$1204&gt;=TodayDate))*2958465)))</f>
        <v>0</v>
      </c>
      <c r="AB180" s="17">
        <f>IF(B180="","",IF(AA180&gt;=2958465,"",AA180))</f>
        <v>0</v>
      </c>
      <c r="AC180" s="25">
        <f>IF(B180="","",IF(T180&lt;2,"",ROUND((Y180-X180)/MAX(1,T180-1),0)))</f>
        <v>0</v>
      </c>
      <c r="AD180" s="17">
        <f>IF(B180="","",IF(Y180="","",Y180+IF(AC180="",RebookWeeks*7,MAX(14,AC180))))</f>
        <v>0</v>
      </c>
      <c r="AE180" s="26">
        <f>IF(B180="","",ROUND(SUMIFS(Sales!$Y$5:$Y$1204,Sales!$D$5:$D$1204,A180),2))</f>
        <v>0</v>
      </c>
      <c r="AF180" s="26">
        <f>IF(B180="","",ROUND(SUMIFS(Sales!$Y$5:$Y$1204,Sales!$D$5:$D$1204,A180,Sales!$H$5:$H$1204,"Service"),2))</f>
        <v>0</v>
      </c>
      <c r="AG180" s="26">
        <f>IF(B180="","",ROUND(SUMIFS(Sales!$Y$5:$Y$1204,Sales!$D$5:$D$1204,A180,Sales!$H$5:$H$1204,"Retail"),2))</f>
        <v>0</v>
      </c>
      <c r="AH180" s="26">
        <f>IF(B180="","",ROUND(SUMIFS(Sales!$Y$5:$Y$1204,Sales!$D$5:$D$1204,A180,Sales!$B$5:$B$1204,"&gt;="&amp;TodayDate-365),2))</f>
        <v>0</v>
      </c>
      <c r="AI180" s="26">
        <f>IF(B180="","",IF(T180=0,"",ROUND(AE180/T180,2)))</f>
        <v>0</v>
      </c>
      <c r="AJ180" s="26">
        <f>IF(B180="","",IF(AI180="","",IF(AC180="","",ROUND(AI180*(365/MAX(14,AC180)),2))))</f>
        <v>0</v>
      </c>
      <c r="AK180" s="26">
        <f>IF(B180="","",ROUND(SUMIFS(Sales!$AH$5:$AH$1204,Sales!$D$5:$D$1204,A180),2))</f>
        <v>0</v>
      </c>
      <c r="AL180" s="25">
        <f>IF(B180="","",IFERROR(INDEX(Loyalty!$P$5:$P$504,MATCH(A180,Loyalty!$B$5:$B$504,0))*1,0))</f>
        <v>0</v>
      </c>
      <c r="AM180" s="39">
        <f>IF(B180="","",IF(R180="Archived","Archived",IF(T180=0,"Not been yet",IF(Z180&gt;=InactiveDays,"Inactive",IF(Z180&gt;=LapsingDays,"Lapsing",IF(T180=1,"New",IF(AH180&gt;=VipSpend,"VIP",IF(U180&gt;=4,"Regular","Active"))))))))</f>
        <v>0</v>
      </c>
      <c r="AN180" s="38">
        <f>IF(B180="","",IF(T180&gt;=2,"Yes","No"))</f>
        <v>0</v>
      </c>
      <c r="AO180" s="25">
        <f>IF(B180="","",COUNTIFS($AE$5:$AE$504,"&gt;"&amp;AE180)+COUNTIFS($AE$5:AE180,AE180))</f>
        <v>0</v>
      </c>
      <c r="AP180" s="25">
        <f>IF(B180="","",COUNTIFS($T$5:$T$504,"&gt;"&amp;T180)+COUNTIFS($T$5:T180,T180))</f>
        <v>0</v>
      </c>
      <c r="AQ180" s="39">
        <f>IF(B180="","",IF(COUNTIF($B$5:$B$504,B180)&gt;1,"Duplicate - same name twice",IF(R180="Archived","",IF(AK180&gt;0.004,"Chase - balance outstanding",IF(AM180="Inactive","Gone - win-back offer",IF(AM180="Lapsing","Chase - lapsing, call them",IF(IF(N180="",FALSE,TodayDate-N180&gt;PatchTestDays),"Due - patch test out of date",IF(IF(AD180="",FALSE,IF(AB180&lt;&gt;"",FALSE,AD180&lt;=TodayDate+14)),"Rebook - due and nothing booked",IF(IF(K180="",FALSE,ABS(DATE(YEAR(TodayDate),MONTH(K180),DAY(K180))-TodayDate)&lt;=7),"Birthday - send the treat","OK")))))))))</f>
        <v>0</v>
      </c>
    </row>
    <row r="181" spans="1:43">
      <c r="A181" s="28">
        <f>IF(B181="","",ClientPrefix&amp;TEXT(ROW()-4,"0000"))</f>
        <v>0</v>
      </c>
      <c r="J181" s="15">
        <f>IF(I181="","",IFERROR(INDEX(Staff!$B$5:$B$44,MATCH(I181,Staff!$A$5:$A$44,0)),"Not in Staff"))</f>
        <v>0</v>
      </c>
      <c r="T181" s="25">
        <f>IF(B181="","",COUNTIFS(Appointments!$E$5:$E$1204,A181,Appointments!$M$5:$M$1204,"Completed"))</f>
        <v>0</v>
      </c>
      <c r="U181" s="25">
        <f>IF(B181="","",COUNTIFS(Appointments!$E$5:$E$1204,A181,Appointments!$M$5:$M$1204,"Completed",Appointments!$B$5:$B$1204,"&gt;="&amp;TodayDate-365))</f>
        <v>0</v>
      </c>
      <c r="V181" s="25">
        <f>IF(B181="","",COUNTIFS(Appointments!$E$5:$E$1204,A181,Appointments!$M$5:$M$1204,"Cancelled"))</f>
        <v>0</v>
      </c>
      <c r="W181" s="25">
        <f>IF(B181="","",COUNTIFS(Appointments!$E$5:$E$1204,A181,Appointments!$M$5:$M$1204,"No show"))</f>
        <v>0</v>
      </c>
      <c r="X181" s="17">
        <f>IF(B181="","",IF(F181&lt;&gt;"",F181,IF(T181=0,"",SUMPRODUCT(MIN((Appointments!$E$5:$E$1204=A181)*(Appointments!$M$5:$M$1204="Completed")*Appointments!$B$5:$B$1204+(1-(Appointments!$E$5:$E$1204=A181)*(Appointments!$M$5:$M$1204="Completed"))*2958465)))))</f>
        <v>0</v>
      </c>
      <c r="Y181" s="17">
        <f>IF(B181="","",IF(T181=0,"",SUMPRODUCT(MAX((Appointments!$E$5:$E$1204=A181)*(Appointments!$M$5:$M$1204="Completed")*Appointments!$B$5:$B$1204))))</f>
        <v>0</v>
      </c>
      <c r="Z181" s="25">
        <f>IF(B181="","",IF(Y181="","",TodayDate-Y181))</f>
        <v>0</v>
      </c>
      <c r="AA181" s="42">
        <f>IF(B181="","",SUMPRODUCT(MIN((Appointments!$E$5:$E$1204=A181)*(Appointments!$M$5:$M$1204&lt;&gt;"Cancelled")*(Appointments!$M$5:$M$1204&lt;&gt;"Completed")*(Appointments!$M$5:$M$1204&lt;&gt;"No show")*(Appointments!$B$5:$B$1204&gt;=TodayDate)*Appointments!$B$5:$B$1204+(1-(Appointments!$E$5:$E$1204=A181)*(Appointments!$M$5:$M$1204&lt;&gt;"Cancelled")*(Appointments!$M$5:$M$1204&lt;&gt;"Completed")*(Appointments!$M$5:$M$1204&lt;&gt;"No show")*(Appointments!$B$5:$B$1204&gt;=TodayDate))*2958465)))</f>
        <v>0</v>
      </c>
      <c r="AB181" s="17">
        <f>IF(B181="","",IF(AA181&gt;=2958465,"",AA181))</f>
        <v>0</v>
      </c>
      <c r="AC181" s="25">
        <f>IF(B181="","",IF(T181&lt;2,"",ROUND((Y181-X181)/MAX(1,T181-1),0)))</f>
        <v>0</v>
      </c>
      <c r="AD181" s="17">
        <f>IF(B181="","",IF(Y181="","",Y181+IF(AC181="",RebookWeeks*7,MAX(14,AC181))))</f>
        <v>0</v>
      </c>
      <c r="AE181" s="26">
        <f>IF(B181="","",ROUND(SUMIFS(Sales!$Y$5:$Y$1204,Sales!$D$5:$D$1204,A181),2))</f>
        <v>0</v>
      </c>
      <c r="AF181" s="26">
        <f>IF(B181="","",ROUND(SUMIFS(Sales!$Y$5:$Y$1204,Sales!$D$5:$D$1204,A181,Sales!$H$5:$H$1204,"Service"),2))</f>
        <v>0</v>
      </c>
      <c r="AG181" s="26">
        <f>IF(B181="","",ROUND(SUMIFS(Sales!$Y$5:$Y$1204,Sales!$D$5:$D$1204,A181,Sales!$H$5:$H$1204,"Retail"),2))</f>
        <v>0</v>
      </c>
      <c r="AH181" s="26">
        <f>IF(B181="","",ROUND(SUMIFS(Sales!$Y$5:$Y$1204,Sales!$D$5:$D$1204,A181,Sales!$B$5:$B$1204,"&gt;="&amp;TodayDate-365),2))</f>
        <v>0</v>
      </c>
      <c r="AI181" s="26">
        <f>IF(B181="","",IF(T181=0,"",ROUND(AE181/T181,2)))</f>
        <v>0</v>
      </c>
      <c r="AJ181" s="26">
        <f>IF(B181="","",IF(AI181="","",IF(AC181="","",ROUND(AI181*(365/MAX(14,AC181)),2))))</f>
        <v>0</v>
      </c>
      <c r="AK181" s="26">
        <f>IF(B181="","",ROUND(SUMIFS(Sales!$AH$5:$AH$1204,Sales!$D$5:$D$1204,A181),2))</f>
        <v>0</v>
      </c>
      <c r="AL181" s="25">
        <f>IF(B181="","",IFERROR(INDEX(Loyalty!$P$5:$P$504,MATCH(A181,Loyalty!$B$5:$B$504,0))*1,0))</f>
        <v>0</v>
      </c>
      <c r="AM181" s="39">
        <f>IF(B181="","",IF(R181="Archived","Archived",IF(T181=0,"Not been yet",IF(Z181&gt;=InactiveDays,"Inactive",IF(Z181&gt;=LapsingDays,"Lapsing",IF(T181=1,"New",IF(AH181&gt;=VipSpend,"VIP",IF(U181&gt;=4,"Regular","Active"))))))))</f>
        <v>0</v>
      </c>
      <c r="AN181" s="38">
        <f>IF(B181="","",IF(T181&gt;=2,"Yes","No"))</f>
        <v>0</v>
      </c>
      <c r="AO181" s="25">
        <f>IF(B181="","",COUNTIFS($AE$5:$AE$504,"&gt;"&amp;AE181)+COUNTIFS($AE$5:AE181,AE181))</f>
        <v>0</v>
      </c>
      <c r="AP181" s="25">
        <f>IF(B181="","",COUNTIFS($T$5:$T$504,"&gt;"&amp;T181)+COUNTIFS($T$5:T181,T181))</f>
        <v>0</v>
      </c>
      <c r="AQ181" s="39">
        <f>IF(B181="","",IF(COUNTIF($B$5:$B$504,B181)&gt;1,"Duplicate - same name twice",IF(R181="Archived","",IF(AK181&gt;0.004,"Chase - balance outstanding",IF(AM181="Inactive","Gone - win-back offer",IF(AM181="Lapsing","Chase - lapsing, call them",IF(IF(N181="",FALSE,TodayDate-N181&gt;PatchTestDays),"Due - patch test out of date",IF(IF(AD181="",FALSE,IF(AB181&lt;&gt;"",FALSE,AD181&lt;=TodayDate+14)),"Rebook - due and nothing booked",IF(IF(K181="",FALSE,ABS(DATE(YEAR(TodayDate),MONTH(K181),DAY(K181))-TodayDate)&lt;=7),"Birthday - send the treat","OK")))))))))</f>
        <v>0</v>
      </c>
    </row>
    <row r="182" spans="1:43">
      <c r="A182" s="28">
        <f>IF(B182="","",ClientPrefix&amp;TEXT(ROW()-4,"0000"))</f>
        <v>0</v>
      </c>
      <c r="J182" s="15">
        <f>IF(I182="","",IFERROR(INDEX(Staff!$B$5:$B$44,MATCH(I182,Staff!$A$5:$A$44,0)),"Not in Staff"))</f>
        <v>0</v>
      </c>
      <c r="T182" s="25">
        <f>IF(B182="","",COUNTIFS(Appointments!$E$5:$E$1204,A182,Appointments!$M$5:$M$1204,"Completed"))</f>
        <v>0</v>
      </c>
      <c r="U182" s="25">
        <f>IF(B182="","",COUNTIFS(Appointments!$E$5:$E$1204,A182,Appointments!$M$5:$M$1204,"Completed",Appointments!$B$5:$B$1204,"&gt;="&amp;TodayDate-365))</f>
        <v>0</v>
      </c>
      <c r="V182" s="25">
        <f>IF(B182="","",COUNTIFS(Appointments!$E$5:$E$1204,A182,Appointments!$M$5:$M$1204,"Cancelled"))</f>
        <v>0</v>
      </c>
      <c r="W182" s="25">
        <f>IF(B182="","",COUNTIFS(Appointments!$E$5:$E$1204,A182,Appointments!$M$5:$M$1204,"No show"))</f>
        <v>0</v>
      </c>
      <c r="X182" s="17">
        <f>IF(B182="","",IF(F182&lt;&gt;"",F182,IF(T182=0,"",SUMPRODUCT(MIN((Appointments!$E$5:$E$1204=A182)*(Appointments!$M$5:$M$1204="Completed")*Appointments!$B$5:$B$1204+(1-(Appointments!$E$5:$E$1204=A182)*(Appointments!$M$5:$M$1204="Completed"))*2958465)))))</f>
        <v>0</v>
      </c>
      <c r="Y182" s="17">
        <f>IF(B182="","",IF(T182=0,"",SUMPRODUCT(MAX((Appointments!$E$5:$E$1204=A182)*(Appointments!$M$5:$M$1204="Completed")*Appointments!$B$5:$B$1204))))</f>
        <v>0</v>
      </c>
      <c r="Z182" s="25">
        <f>IF(B182="","",IF(Y182="","",TodayDate-Y182))</f>
        <v>0</v>
      </c>
      <c r="AA182" s="42">
        <f>IF(B182="","",SUMPRODUCT(MIN((Appointments!$E$5:$E$1204=A182)*(Appointments!$M$5:$M$1204&lt;&gt;"Cancelled")*(Appointments!$M$5:$M$1204&lt;&gt;"Completed")*(Appointments!$M$5:$M$1204&lt;&gt;"No show")*(Appointments!$B$5:$B$1204&gt;=TodayDate)*Appointments!$B$5:$B$1204+(1-(Appointments!$E$5:$E$1204=A182)*(Appointments!$M$5:$M$1204&lt;&gt;"Cancelled")*(Appointments!$M$5:$M$1204&lt;&gt;"Completed")*(Appointments!$M$5:$M$1204&lt;&gt;"No show")*(Appointments!$B$5:$B$1204&gt;=TodayDate))*2958465)))</f>
        <v>0</v>
      </c>
      <c r="AB182" s="17">
        <f>IF(B182="","",IF(AA182&gt;=2958465,"",AA182))</f>
        <v>0</v>
      </c>
      <c r="AC182" s="25">
        <f>IF(B182="","",IF(T182&lt;2,"",ROUND((Y182-X182)/MAX(1,T182-1),0)))</f>
        <v>0</v>
      </c>
      <c r="AD182" s="17">
        <f>IF(B182="","",IF(Y182="","",Y182+IF(AC182="",RebookWeeks*7,MAX(14,AC182))))</f>
        <v>0</v>
      </c>
      <c r="AE182" s="26">
        <f>IF(B182="","",ROUND(SUMIFS(Sales!$Y$5:$Y$1204,Sales!$D$5:$D$1204,A182),2))</f>
        <v>0</v>
      </c>
      <c r="AF182" s="26">
        <f>IF(B182="","",ROUND(SUMIFS(Sales!$Y$5:$Y$1204,Sales!$D$5:$D$1204,A182,Sales!$H$5:$H$1204,"Service"),2))</f>
        <v>0</v>
      </c>
      <c r="AG182" s="26">
        <f>IF(B182="","",ROUND(SUMIFS(Sales!$Y$5:$Y$1204,Sales!$D$5:$D$1204,A182,Sales!$H$5:$H$1204,"Retail"),2))</f>
        <v>0</v>
      </c>
      <c r="AH182" s="26">
        <f>IF(B182="","",ROUND(SUMIFS(Sales!$Y$5:$Y$1204,Sales!$D$5:$D$1204,A182,Sales!$B$5:$B$1204,"&gt;="&amp;TodayDate-365),2))</f>
        <v>0</v>
      </c>
      <c r="AI182" s="26">
        <f>IF(B182="","",IF(T182=0,"",ROUND(AE182/T182,2)))</f>
        <v>0</v>
      </c>
      <c r="AJ182" s="26">
        <f>IF(B182="","",IF(AI182="","",IF(AC182="","",ROUND(AI182*(365/MAX(14,AC182)),2))))</f>
        <v>0</v>
      </c>
      <c r="AK182" s="26">
        <f>IF(B182="","",ROUND(SUMIFS(Sales!$AH$5:$AH$1204,Sales!$D$5:$D$1204,A182),2))</f>
        <v>0</v>
      </c>
      <c r="AL182" s="25">
        <f>IF(B182="","",IFERROR(INDEX(Loyalty!$P$5:$P$504,MATCH(A182,Loyalty!$B$5:$B$504,0))*1,0))</f>
        <v>0</v>
      </c>
      <c r="AM182" s="39">
        <f>IF(B182="","",IF(R182="Archived","Archived",IF(T182=0,"Not been yet",IF(Z182&gt;=InactiveDays,"Inactive",IF(Z182&gt;=LapsingDays,"Lapsing",IF(T182=1,"New",IF(AH182&gt;=VipSpend,"VIP",IF(U182&gt;=4,"Regular","Active"))))))))</f>
        <v>0</v>
      </c>
      <c r="AN182" s="38">
        <f>IF(B182="","",IF(T182&gt;=2,"Yes","No"))</f>
        <v>0</v>
      </c>
      <c r="AO182" s="25">
        <f>IF(B182="","",COUNTIFS($AE$5:$AE$504,"&gt;"&amp;AE182)+COUNTIFS($AE$5:AE182,AE182))</f>
        <v>0</v>
      </c>
      <c r="AP182" s="25">
        <f>IF(B182="","",COUNTIFS($T$5:$T$504,"&gt;"&amp;T182)+COUNTIFS($T$5:T182,T182))</f>
        <v>0</v>
      </c>
      <c r="AQ182" s="39">
        <f>IF(B182="","",IF(COUNTIF($B$5:$B$504,B182)&gt;1,"Duplicate - same name twice",IF(R182="Archived","",IF(AK182&gt;0.004,"Chase - balance outstanding",IF(AM182="Inactive","Gone - win-back offer",IF(AM182="Lapsing","Chase - lapsing, call them",IF(IF(N182="",FALSE,TodayDate-N182&gt;PatchTestDays),"Due - patch test out of date",IF(IF(AD182="",FALSE,IF(AB182&lt;&gt;"",FALSE,AD182&lt;=TodayDate+14)),"Rebook - due and nothing booked",IF(IF(K182="",FALSE,ABS(DATE(YEAR(TodayDate),MONTH(K182),DAY(K182))-TodayDate)&lt;=7),"Birthday - send the treat","OK")))))))))</f>
        <v>0</v>
      </c>
    </row>
    <row r="183" spans="1:43">
      <c r="A183" s="28">
        <f>IF(B183="","",ClientPrefix&amp;TEXT(ROW()-4,"0000"))</f>
        <v>0</v>
      </c>
      <c r="J183" s="15">
        <f>IF(I183="","",IFERROR(INDEX(Staff!$B$5:$B$44,MATCH(I183,Staff!$A$5:$A$44,0)),"Not in Staff"))</f>
        <v>0</v>
      </c>
      <c r="T183" s="25">
        <f>IF(B183="","",COUNTIFS(Appointments!$E$5:$E$1204,A183,Appointments!$M$5:$M$1204,"Completed"))</f>
        <v>0</v>
      </c>
      <c r="U183" s="25">
        <f>IF(B183="","",COUNTIFS(Appointments!$E$5:$E$1204,A183,Appointments!$M$5:$M$1204,"Completed",Appointments!$B$5:$B$1204,"&gt;="&amp;TodayDate-365))</f>
        <v>0</v>
      </c>
      <c r="V183" s="25">
        <f>IF(B183="","",COUNTIFS(Appointments!$E$5:$E$1204,A183,Appointments!$M$5:$M$1204,"Cancelled"))</f>
        <v>0</v>
      </c>
      <c r="W183" s="25">
        <f>IF(B183="","",COUNTIFS(Appointments!$E$5:$E$1204,A183,Appointments!$M$5:$M$1204,"No show"))</f>
        <v>0</v>
      </c>
      <c r="X183" s="17">
        <f>IF(B183="","",IF(F183&lt;&gt;"",F183,IF(T183=0,"",SUMPRODUCT(MIN((Appointments!$E$5:$E$1204=A183)*(Appointments!$M$5:$M$1204="Completed")*Appointments!$B$5:$B$1204+(1-(Appointments!$E$5:$E$1204=A183)*(Appointments!$M$5:$M$1204="Completed"))*2958465)))))</f>
        <v>0</v>
      </c>
      <c r="Y183" s="17">
        <f>IF(B183="","",IF(T183=0,"",SUMPRODUCT(MAX((Appointments!$E$5:$E$1204=A183)*(Appointments!$M$5:$M$1204="Completed")*Appointments!$B$5:$B$1204))))</f>
        <v>0</v>
      </c>
      <c r="Z183" s="25">
        <f>IF(B183="","",IF(Y183="","",TodayDate-Y183))</f>
        <v>0</v>
      </c>
      <c r="AA183" s="42">
        <f>IF(B183="","",SUMPRODUCT(MIN((Appointments!$E$5:$E$1204=A183)*(Appointments!$M$5:$M$1204&lt;&gt;"Cancelled")*(Appointments!$M$5:$M$1204&lt;&gt;"Completed")*(Appointments!$M$5:$M$1204&lt;&gt;"No show")*(Appointments!$B$5:$B$1204&gt;=TodayDate)*Appointments!$B$5:$B$1204+(1-(Appointments!$E$5:$E$1204=A183)*(Appointments!$M$5:$M$1204&lt;&gt;"Cancelled")*(Appointments!$M$5:$M$1204&lt;&gt;"Completed")*(Appointments!$M$5:$M$1204&lt;&gt;"No show")*(Appointments!$B$5:$B$1204&gt;=TodayDate))*2958465)))</f>
        <v>0</v>
      </c>
      <c r="AB183" s="17">
        <f>IF(B183="","",IF(AA183&gt;=2958465,"",AA183))</f>
        <v>0</v>
      </c>
      <c r="AC183" s="25">
        <f>IF(B183="","",IF(T183&lt;2,"",ROUND((Y183-X183)/MAX(1,T183-1),0)))</f>
        <v>0</v>
      </c>
      <c r="AD183" s="17">
        <f>IF(B183="","",IF(Y183="","",Y183+IF(AC183="",RebookWeeks*7,MAX(14,AC183))))</f>
        <v>0</v>
      </c>
      <c r="AE183" s="26">
        <f>IF(B183="","",ROUND(SUMIFS(Sales!$Y$5:$Y$1204,Sales!$D$5:$D$1204,A183),2))</f>
        <v>0</v>
      </c>
      <c r="AF183" s="26">
        <f>IF(B183="","",ROUND(SUMIFS(Sales!$Y$5:$Y$1204,Sales!$D$5:$D$1204,A183,Sales!$H$5:$H$1204,"Service"),2))</f>
        <v>0</v>
      </c>
      <c r="AG183" s="26">
        <f>IF(B183="","",ROUND(SUMIFS(Sales!$Y$5:$Y$1204,Sales!$D$5:$D$1204,A183,Sales!$H$5:$H$1204,"Retail"),2))</f>
        <v>0</v>
      </c>
      <c r="AH183" s="26">
        <f>IF(B183="","",ROUND(SUMIFS(Sales!$Y$5:$Y$1204,Sales!$D$5:$D$1204,A183,Sales!$B$5:$B$1204,"&gt;="&amp;TodayDate-365),2))</f>
        <v>0</v>
      </c>
      <c r="AI183" s="26">
        <f>IF(B183="","",IF(T183=0,"",ROUND(AE183/T183,2)))</f>
        <v>0</v>
      </c>
      <c r="AJ183" s="26">
        <f>IF(B183="","",IF(AI183="","",IF(AC183="","",ROUND(AI183*(365/MAX(14,AC183)),2))))</f>
        <v>0</v>
      </c>
      <c r="AK183" s="26">
        <f>IF(B183="","",ROUND(SUMIFS(Sales!$AH$5:$AH$1204,Sales!$D$5:$D$1204,A183),2))</f>
        <v>0</v>
      </c>
      <c r="AL183" s="25">
        <f>IF(B183="","",IFERROR(INDEX(Loyalty!$P$5:$P$504,MATCH(A183,Loyalty!$B$5:$B$504,0))*1,0))</f>
        <v>0</v>
      </c>
      <c r="AM183" s="39">
        <f>IF(B183="","",IF(R183="Archived","Archived",IF(T183=0,"Not been yet",IF(Z183&gt;=InactiveDays,"Inactive",IF(Z183&gt;=LapsingDays,"Lapsing",IF(T183=1,"New",IF(AH183&gt;=VipSpend,"VIP",IF(U183&gt;=4,"Regular","Active"))))))))</f>
        <v>0</v>
      </c>
      <c r="AN183" s="38">
        <f>IF(B183="","",IF(T183&gt;=2,"Yes","No"))</f>
        <v>0</v>
      </c>
      <c r="AO183" s="25">
        <f>IF(B183="","",COUNTIFS($AE$5:$AE$504,"&gt;"&amp;AE183)+COUNTIFS($AE$5:AE183,AE183))</f>
        <v>0</v>
      </c>
      <c r="AP183" s="25">
        <f>IF(B183="","",COUNTIFS($T$5:$T$504,"&gt;"&amp;T183)+COUNTIFS($T$5:T183,T183))</f>
        <v>0</v>
      </c>
      <c r="AQ183" s="39">
        <f>IF(B183="","",IF(COUNTIF($B$5:$B$504,B183)&gt;1,"Duplicate - same name twice",IF(R183="Archived","",IF(AK183&gt;0.004,"Chase - balance outstanding",IF(AM183="Inactive","Gone - win-back offer",IF(AM183="Lapsing","Chase - lapsing, call them",IF(IF(N183="",FALSE,TodayDate-N183&gt;PatchTestDays),"Due - patch test out of date",IF(IF(AD183="",FALSE,IF(AB183&lt;&gt;"",FALSE,AD183&lt;=TodayDate+14)),"Rebook - due and nothing booked",IF(IF(K183="",FALSE,ABS(DATE(YEAR(TodayDate),MONTH(K183),DAY(K183))-TodayDate)&lt;=7),"Birthday - send the treat","OK")))))))))</f>
        <v>0</v>
      </c>
    </row>
    <row r="184" spans="1:43">
      <c r="A184" s="28">
        <f>IF(B184="","",ClientPrefix&amp;TEXT(ROW()-4,"0000"))</f>
        <v>0</v>
      </c>
      <c r="J184" s="15">
        <f>IF(I184="","",IFERROR(INDEX(Staff!$B$5:$B$44,MATCH(I184,Staff!$A$5:$A$44,0)),"Not in Staff"))</f>
        <v>0</v>
      </c>
      <c r="T184" s="25">
        <f>IF(B184="","",COUNTIFS(Appointments!$E$5:$E$1204,A184,Appointments!$M$5:$M$1204,"Completed"))</f>
        <v>0</v>
      </c>
      <c r="U184" s="25">
        <f>IF(B184="","",COUNTIFS(Appointments!$E$5:$E$1204,A184,Appointments!$M$5:$M$1204,"Completed",Appointments!$B$5:$B$1204,"&gt;="&amp;TodayDate-365))</f>
        <v>0</v>
      </c>
      <c r="V184" s="25">
        <f>IF(B184="","",COUNTIFS(Appointments!$E$5:$E$1204,A184,Appointments!$M$5:$M$1204,"Cancelled"))</f>
        <v>0</v>
      </c>
      <c r="W184" s="25">
        <f>IF(B184="","",COUNTIFS(Appointments!$E$5:$E$1204,A184,Appointments!$M$5:$M$1204,"No show"))</f>
        <v>0</v>
      </c>
      <c r="X184" s="17">
        <f>IF(B184="","",IF(F184&lt;&gt;"",F184,IF(T184=0,"",SUMPRODUCT(MIN((Appointments!$E$5:$E$1204=A184)*(Appointments!$M$5:$M$1204="Completed")*Appointments!$B$5:$B$1204+(1-(Appointments!$E$5:$E$1204=A184)*(Appointments!$M$5:$M$1204="Completed"))*2958465)))))</f>
        <v>0</v>
      </c>
      <c r="Y184" s="17">
        <f>IF(B184="","",IF(T184=0,"",SUMPRODUCT(MAX((Appointments!$E$5:$E$1204=A184)*(Appointments!$M$5:$M$1204="Completed")*Appointments!$B$5:$B$1204))))</f>
        <v>0</v>
      </c>
      <c r="Z184" s="25">
        <f>IF(B184="","",IF(Y184="","",TodayDate-Y184))</f>
        <v>0</v>
      </c>
      <c r="AA184" s="42">
        <f>IF(B184="","",SUMPRODUCT(MIN((Appointments!$E$5:$E$1204=A184)*(Appointments!$M$5:$M$1204&lt;&gt;"Cancelled")*(Appointments!$M$5:$M$1204&lt;&gt;"Completed")*(Appointments!$M$5:$M$1204&lt;&gt;"No show")*(Appointments!$B$5:$B$1204&gt;=TodayDate)*Appointments!$B$5:$B$1204+(1-(Appointments!$E$5:$E$1204=A184)*(Appointments!$M$5:$M$1204&lt;&gt;"Cancelled")*(Appointments!$M$5:$M$1204&lt;&gt;"Completed")*(Appointments!$M$5:$M$1204&lt;&gt;"No show")*(Appointments!$B$5:$B$1204&gt;=TodayDate))*2958465)))</f>
        <v>0</v>
      </c>
      <c r="AB184" s="17">
        <f>IF(B184="","",IF(AA184&gt;=2958465,"",AA184))</f>
        <v>0</v>
      </c>
      <c r="AC184" s="25">
        <f>IF(B184="","",IF(T184&lt;2,"",ROUND((Y184-X184)/MAX(1,T184-1),0)))</f>
        <v>0</v>
      </c>
      <c r="AD184" s="17">
        <f>IF(B184="","",IF(Y184="","",Y184+IF(AC184="",RebookWeeks*7,MAX(14,AC184))))</f>
        <v>0</v>
      </c>
      <c r="AE184" s="26">
        <f>IF(B184="","",ROUND(SUMIFS(Sales!$Y$5:$Y$1204,Sales!$D$5:$D$1204,A184),2))</f>
        <v>0</v>
      </c>
      <c r="AF184" s="26">
        <f>IF(B184="","",ROUND(SUMIFS(Sales!$Y$5:$Y$1204,Sales!$D$5:$D$1204,A184,Sales!$H$5:$H$1204,"Service"),2))</f>
        <v>0</v>
      </c>
      <c r="AG184" s="26">
        <f>IF(B184="","",ROUND(SUMIFS(Sales!$Y$5:$Y$1204,Sales!$D$5:$D$1204,A184,Sales!$H$5:$H$1204,"Retail"),2))</f>
        <v>0</v>
      </c>
      <c r="AH184" s="26">
        <f>IF(B184="","",ROUND(SUMIFS(Sales!$Y$5:$Y$1204,Sales!$D$5:$D$1204,A184,Sales!$B$5:$B$1204,"&gt;="&amp;TodayDate-365),2))</f>
        <v>0</v>
      </c>
      <c r="AI184" s="26">
        <f>IF(B184="","",IF(T184=0,"",ROUND(AE184/T184,2)))</f>
        <v>0</v>
      </c>
      <c r="AJ184" s="26">
        <f>IF(B184="","",IF(AI184="","",IF(AC184="","",ROUND(AI184*(365/MAX(14,AC184)),2))))</f>
        <v>0</v>
      </c>
      <c r="AK184" s="26">
        <f>IF(B184="","",ROUND(SUMIFS(Sales!$AH$5:$AH$1204,Sales!$D$5:$D$1204,A184),2))</f>
        <v>0</v>
      </c>
      <c r="AL184" s="25">
        <f>IF(B184="","",IFERROR(INDEX(Loyalty!$P$5:$P$504,MATCH(A184,Loyalty!$B$5:$B$504,0))*1,0))</f>
        <v>0</v>
      </c>
      <c r="AM184" s="39">
        <f>IF(B184="","",IF(R184="Archived","Archived",IF(T184=0,"Not been yet",IF(Z184&gt;=InactiveDays,"Inactive",IF(Z184&gt;=LapsingDays,"Lapsing",IF(T184=1,"New",IF(AH184&gt;=VipSpend,"VIP",IF(U184&gt;=4,"Regular","Active"))))))))</f>
        <v>0</v>
      </c>
      <c r="AN184" s="38">
        <f>IF(B184="","",IF(T184&gt;=2,"Yes","No"))</f>
        <v>0</v>
      </c>
      <c r="AO184" s="25">
        <f>IF(B184="","",COUNTIFS($AE$5:$AE$504,"&gt;"&amp;AE184)+COUNTIFS($AE$5:AE184,AE184))</f>
        <v>0</v>
      </c>
      <c r="AP184" s="25">
        <f>IF(B184="","",COUNTIFS($T$5:$T$504,"&gt;"&amp;T184)+COUNTIFS($T$5:T184,T184))</f>
        <v>0</v>
      </c>
      <c r="AQ184" s="39">
        <f>IF(B184="","",IF(COUNTIF($B$5:$B$504,B184)&gt;1,"Duplicate - same name twice",IF(R184="Archived","",IF(AK184&gt;0.004,"Chase - balance outstanding",IF(AM184="Inactive","Gone - win-back offer",IF(AM184="Lapsing","Chase - lapsing, call them",IF(IF(N184="",FALSE,TodayDate-N184&gt;PatchTestDays),"Due - patch test out of date",IF(IF(AD184="",FALSE,IF(AB184&lt;&gt;"",FALSE,AD184&lt;=TodayDate+14)),"Rebook - due and nothing booked",IF(IF(K184="",FALSE,ABS(DATE(YEAR(TodayDate),MONTH(K184),DAY(K184))-TodayDate)&lt;=7),"Birthday - send the treat","OK")))))))))</f>
        <v>0</v>
      </c>
    </row>
    <row r="185" spans="1:43">
      <c r="A185" s="28">
        <f>IF(B185="","",ClientPrefix&amp;TEXT(ROW()-4,"0000"))</f>
        <v>0</v>
      </c>
      <c r="J185" s="15">
        <f>IF(I185="","",IFERROR(INDEX(Staff!$B$5:$B$44,MATCH(I185,Staff!$A$5:$A$44,0)),"Not in Staff"))</f>
        <v>0</v>
      </c>
      <c r="T185" s="25">
        <f>IF(B185="","",COUNTIFS(Appointments!$E$5:$E$1204,A185,Appointments!$M$5:$M$1204,"Completed"))</f>
        <v>0</v>
      </c>
      <c r="U185" s="25">
        <f>IF(B185="","",COUNTIFS(Appointments!$E$5:$E$1204,A185,Appointments!$M$5:$M$1204,"Completed",Appointments!$B$5:$B$1204,"&gt;="&amp;TodayDate-365))</f>
        <v>0</v>
      </c>
      <c r="V185" s="25">
        <f>IF(B185="","",COUNTIFS(Appointments!$E$5:$E$1204,A185,Appointments!$M$5:$M$1204,"Cancelled"))</f>
        <v>0</v>
      </c>
      <c r="W185" s="25">
        <f>IF(B185="","",COUNTIFS(Appointments!$E$5:$E$1204,A185,Appointments!$M$5:$M$1204,"No show"))</f>
        <v>0</v>
      </c>
      <c r="X185" s="17">
        <f>IF(B185="","",IF(F185&lt;&gt;"",F185,IF(T185=0,"",SUMPRODUCT(MIN((Appointments!$E$5:$E$1204=A185)*(Appointments!$M$5:$M$1204="Completed")*Appointments!$B$5:$B$1204+(1-(Appointments!$E$5:$E$1204=A185)*(Appointments!$M$5:$M$1204="Completed"))*2958465)))))</f>
        <v>0</v>
      </c>
      <c r="Y185" s="17">
        <f>IF(B185="","",IF(T185=0,"",SUMPRODUCT(MAX((Appointments!$E$5:$E$1204=A185)*(Appointments!$M$5:$M$1204="Completed")*Appointments!$B$5:$B$1204))))</f>
        <v>0</v>
      </c>
      <c r="Z185" s="25">
        <f>IF(B185="","",IF(Y185="","",TodayDate-Y185))</f>
        <v>0</v>
      </c>
      <c r="AA185" s="42">
        <f>IF(B185="","",SUMPRODUCT(MIN((Appointments!$E$5:$E$1204=A185)*(Appointments!$M$5:$M$1204&lt;&gt;"Cancelled")*(Appointments!$M$5:$M$1204&lt;&gt;"Completed")*(Appointments!$M$5:$M$1204&lt;&gt;"No show")*(Appointments!$B$5:$B$1204&gt;=TodayDate)*Appointments!$B$5:$B$1204+(1-(Appointments!$E$5:$E$1204=A185)*(Appointments!$M$5:$M$1204&lt;&gt;"Cancelled")*(Appointments!$M$5:$M$1204&lt;&gt;"Completed")*(Appointments!$M$5:$M$1204&lt;&gt;"No show")*(Appointments!$B$5:$B$1204&gt;=TodayDate))*2958465)))</f>
        <v>0</v>
      </c>
      <c r="AB185" s="17">
        <f>IF(B185="","",IF(AA185&gt;=2958465,"",AA185))</f>
        <v>0</v>
      </c>
      <c r="AC185" s="25">
        <f>IF(B185="","",IF(T185&lt;2,"",ROUND((Y185-X185)/MAX(1,T185-1),0)))</f>
        <v>0</v>
      </c>
      <c r="AD185" s="17">
        <f>IF(B185="","",IF(Y185="","",Y185+IF(AC185="",RebookWeeks*7,MAX(14,AC185))))</f>
        <v>0</v>
      </c>
      <c r="AE185" s="26">
        <f>IF(B185="","",ROUND(SUMIFS(Sales!$Y$5:$Y$1204,Sales!$D$5:$D$1204,A185),2))</f>
        <v>0</v>
      </c>
      <c r="AF185" s="26">
        <f>IF(B185="","",ROUND(SUMIFS(Sales!$Y$5:$Y$1204,Sales!$D$5:$D$1204,A185,Sales!$H$5:$H$1204,"Service"),2))</f>
        <v>0</v>
      </c>
      <c r="AG185" s="26">
        <f>IF(B185="","",ROUND(SUMIFS(Sales!$Y$5:$Y$1204,Sales!$D$5:$D$1204,A185,Sales!$H$5:$H$1204,"Retail"),2))</f>
        <v>0</v>
      </c>
      <c r="AH185" s="26">
        <f>IF(B185="","",ROUND(SUMIFS(Sales!$Y$5:$Y$1204,Sales!$D$5:$D$1204,A185,Sales!$B$5:$B$1204,"&gt;="&amp;TodayDate-365),2))</f>
        <v>0</v>
      </c>
      <c r="AI185" s="26">
        <f>IF(B185="","",IF(T185=0,"",ROUND(AE185/T185,2)))</f>
        <v>0</v>
      </c>
      <c r="AJ185" s="26">
        <f>IF(B185="","",IF(AI185="","",IF(AC185="","",ROUND(AI185*(365/MAX(14,AC185)),2))))</f>
        <v>0</v>
      </c>
      <c r="AK185" s="26">
        <f>IF(B185="","",ROUND(SUMIFS(Sales!$AH$5:$AH$1204,Sales!$D$5:$D$1204,A185),2))</f>
        <v>0</v>
      </c>
      <c r="AL185" s="25">
        <f>IF(B185="","",IFERROR(INDEX(Loyalty!$P$5:$P$504,MATCH(A185,Loyalty!$B$5:$B$504,0))*1,0))</f>
        <v>0</v>
      </c>
      <c r="AM185" s="39">
        <f>IF(B185="","",IF(R185="Archived","Archived",IF(T185=0,"Not been yet",IF(Z185&gt;=InactiveDays,"Inactive",IF(Z185&gt;=LapsingDays,"Lapsing",IF(T185=1,"New",IF(AH185&gt;=VipSpend,"VIP",IF(U185&gt;=4,"Regular","Active"))))))))</f>
        <v>0</v>
      </c>
      <c r="AN185" s="38">
        <f>IF(B185="","",IF(T185&gt;=2,"Yes","No"))</f>
        <v>0</v>
      </c>
      <c r="AO185" s="25">
        <f>IF(B185="","",COUNTIFS($AE$5:$AE$504,"&gt;"&amp;AE185)+COUNTIFS($AE$5:AE185,AE185))</f>
        <v>0</v>
      </c>
      <c r="AP185" s="25">
        <f>IF(B185="","",COUNTIFS($T$5:$T$504,"&gt;"&amp;T185)+COUNTIFS($T$5:T185,T185))</f>
        <v>0</v>
      </c>
      <c r="AQ185" s="39">
        <f>IF(B185="","",IF(COUNTIF($B$5:$B$504,B185)&gt;1,"Duplicate - same name twice",IF(R185="Archived","",IF(AK185&gt;0.004,"Chase - balance outstanding",IF(AM185="Inactive","Gone - win-back offer",IF(AM185="Lapsing","Chase - lapsing, call them",IF(IF(N185="",FALSE,TodayDate-N185&gt;PatchTestDays),"Due - patch test out of date",IF(IF(AD185="",FALSE,IF(AB185&lt;&gt;"",FALSE,AD185&lt;=TodayDate+14)),"Rebook - due and nothing booked",IF(IF(K185="",FALSE,ABS(DATE(YEAR(TodayDate),MONTH(K185),DAY(K185))-TodayDate)&lt;=7),"Birthday - send the treat","OK")))))))))</f>
        <v>0</v>
      </c>
    </row>
    <row r="186" spans="1:43">
      <c r="A186" s="28">
        <f>IF(B186="","",ClientPrefix&amp;TEXT(ROW()-4,"0000"))</f>
        <v>0</v>
      </c>
      <c r="J186" s="15">
        <f>IF(I186="","",IFERROR(INDEX(Staff!$B$5:$B$44,MATCH(I186,Staff!$A$5:$A$44,0)),"Not in Staff"))</f>
        <v>0</v>
      </c>
      <c r="T186" s="25">
        <f>IF(B186="","",COUNTIFS(Appointments!$E$5:$E$1204,A186,Appointments!$M$5:$M$1204,"Completed"))</f>
        <v>0</v>
      </c>
      <c r="U186" s="25">
        <f>IF(B186="","",COUNTIFS(Appointments!$E$5:$E$1204,A186,Appointments!$M$5:$M$1204,"Completed",Appointments!$B$5:$B$1204,"&gt;="&amp;TodayDate-365))</f>
        <v>0</v>
      </c>
      <c r="V186" s="25">
        <f>IF(B186="","",COUNTIFS(Appointments!$E$5:$E$1204,A186,Appointments!$M$5:$M$1204,"Cancelled"))</f>
        <v>0</v>
      </c>
      <c r="W186" s="25">
        <f>IF(B186="","",COUNTIFS(Appointments!$E$5:$E$1204,A186,Appointments!$M$5:$M$1204,"No show"))</f>
        <v>0</v>
      </c>
      <c r="X186" s="17">
        <f>IF(B186="","",IF(F186&lt;&gt;"",F186,IF(T186=0,"",SUMPRODUCT(MIN((Appointments!$E$5:$E$1204=A186)*(Appointments!$M$5:$M$1204="Completed")*Appointments!$B$5:$B$1204+(1-(Appointments!$E$5:$E$1204=A186)*(Appointments!$M$5:$M$1204="Completed"))*2958465)))))</f>
        <v>0</v>
      </c>
      <c r="Y186" s="17">
        <f>IF(B186="","",IF(T186=0,"",SUMPRODUCT(MAX((Appointments!$E$5:$E$1204=A186)*(Appointments!$M$5:$M$1204="Completed")*Appointments!$B$5:$B$1204))))</f>
        <v>0</v>
      </c>
      <c r="Z186" s="25">
        <f>IF(B186="","",IF(Y186="","",TodayDate-Y186))</f>
        <v>0</v>
      </c>
      <c r="AA186" s="42">
        <f>IF(B186="","",SUMPRODUCT(MIN((Appointments!$E$5:$E$1204=A186)*(Appointments!$M$5:$M$1204&lt;&gt;"Cancelled")*(Appointments!$M$5:$M$1204&lt;&gt;"Completed")*(Appointments!$M$5:$M$1204&lt;&gt;"No show")*(Appointments!$B$5:$B$1204&gt;=TodayDate)*Appointments!$B$5:$B$1204+(1-(Appointments!$E$5:$E$1204=A186)*(Appointments!$M$5:$M$1204&lt;&gt;"Cancelled")*(Appointments!$M$5:$M$1204&lt;&gt;"Completed")*(Appointments!$M$5:$M$1204&lt;&gt;"No show")*(Appointments!$B$5:$B$1204&gt;=TodayDate))*2958465)))</f>
        <v>0</v>
      </c>
      <c r="AB186" s="17">
        <f>IF(B186="","",IF(AA186&gt;=2958465,"",AA186))</f>
        <v>0</v>
      </c>
      <c r="AC186" s="25">
        <f>IF(B186="","",IF(T186&lt;2,"",ROUND((Y186-X186)/MAX(1,T186-1),0)))</f>
        <v>0</v>
      </c>
      <c r="AD186" s="17">
        <f>IF(B186="","",IF(Y186="","",Y186+IF(AC186="",RebookWeeks*7,MAX(14,AC186))))</f>
        <v>0</v>
      </c>
      <c r="AE186" s="26">
        <f>IF(B186="","",ROUND(SUMIFS(Sales!$Y$5:$Y$1204,Sales!$D$5:$D$1204,A186),2))</f>
        <v>0</v>
      </c>
      <c r="AF186" s="26">
        <f>IF(B186="","",ROUND(SUMIFS(Sales!$Y$5:$Y$1204,Sales!$D$5:$D$1204,A186,Sales!$H$5:$H$1204,"Service"),2))</f>
        <v>0</v>
      </c>
      <c r="AG186" s="26">
        <f>IF(B186="","",ROUND(SUMIFS(Sales!$Y$5:$Y$1204,Sales!$D$5:$D$1204,A186,Sales!$H$5:$H$1204,"Retail"),2))</f>
        <v>0</v>
      </c>
      <c r="AH186" s="26">
        <f>IF(B186="","",ROUND(SUMIFS(Sales!$Y$5:$Y$1204,Sales!$D$5:$D$1204,A186,Sales!$B$5:$B$1204,"&gt;="&amp;TodayDate-365),2))</f>
        <v>0</v>
      </c>
      <c r="AI186" s="26">
        <f>IF(B186="","",IF(T186=0,"",ROUND(AE186/T186,2)))</f>
        <v>0</v>
      </c>
      <c r="AJ186" s="26">
        <f>IF(B186="","",IF(AI186="","",IF(AC186="","",ROUND(AI186*(365/MAX(14,AC186)),2))))</f>
        <v>0</v>
      </c>
      <c r="AK186" s="26">
        <f>IF(B186="","",ROUND(SUMIFS(Sales!$AH$5:$AH$1204,Sales!$D$5:$D$1204,A186),2))</f>
        <v>0</v>
      </c>
      <c r="AL186" s="25">
        <f>IF(B186="","",IFERROR(INDEX(Loyalty!$P$5:$P$504,MATCH(A186,Loyalty!$B$5:$B$504,0))*1,0))</f>
        <v>0</v>
      </c>
      <c r="AM186" s="39">
        <f>IF(B186="","",IF(R186="Archived","Archived",IF(T186=0,"Not been yet",IF(Z186&gt;=InactiveDays,"Inactive",IF(Z186&gt;=LapsingDays,"Lapsing",IF(T186=1,"New",IF(AH186&gt;=VipSpend,"VIP",IF(U186&gt;=4,"Regular","Active"))))))))</f>
        <v>0</v>
      </c>
      <c r="AN186" s="38">
        <f>IF(B186="","",IF(T186&gt;=2,"Yes","No"))</f>
        <v>0</v>
      </c>
      <c r="AO186" s="25">
        <f>IF(B186="","",COUNTIFS($AE$5:$AE$504,"&gt;"&amp;AE186)+COUNTIFS($AE$5:AE186,AE186))</f>
        <v>0</v>
      </c>
      <c r="AP186" s="25">
        <f>IF(B186="","",COUNTIFS($T$5:$T$504,"&gt;"&amp;T186)+COUNTIFS($T$5:T186,T186))</f>
        <v>0</v>
      </c>
      <c r="AQ186" s="39">
        <f>IF(B186="","",IF(COUNTIF($B$5:$B$504,B186)&gt;1,"Duplicate - same name twice",IF(R186="Archived","",IF(AK186&gt;0.004,"Chase - balance outstanding",IF(AM186="Inactive","Gone - win-back offer",IF(AM186="Lapsing","Chase - lapsing, call them",IF(IF(N186="",FALSE,TodayDate-N186&gt;PatchTestDays),"Due - patch test out of date",IF(IF(AD186="",FALSE,IF(AB186&lt;&gt;"",FALSE,AD186&lt;=TodayDate+14)),"Rebook - due and nothing booked",IF(IF(K186="",FALSE,ABS(DATE(YEAR(TodayDate),MONTH(K186),DAY(K186))-TodayDate)&lt;=7),"Birthday - send the treat","OK")))))))))</f>
        <v>0</v>
      </c>
    </row>
    <row r="187" spans="1:43">
      <c r="A187" s="28">
        <f>IF(B187="","",ClientPrefix&amp;TEXT(ROW()-4,"0000"))</f>
        <v>0</v>
      </c>
      <c r="J187" s="15">
        <f>IF(I187="","",IFERROR(INDEX(Staff!$B$5:$B$44,MATCH(I187,Staff!$A$5:$A$44,0)),"Not in Staff"))</f>
        <v>0</v>
      </c>
      <c r="T187" s="25">
        <f>IF(B187="","",COUNTIFS(Appointments!$E$5:$E$1204,A187,Appointments!$M$5:$M$1204,"Completed"))</f>
        <v>0</v>
      </c>
      <c r="U187" s="25">
        <f>IF(B187="","",COUNTIFS(Appointments!$E$5:$E$1204,A187,Appointments!$M$5:$M$1204,"Completed",Appointments!$B$5:$B$1204,"&gt;="&amp;TodayDate-365))</f>
        <v>0</v>
      </c>
      <c r="V187" s="25">
        <f>IF(B187="","",COUNTIFS(Appointments!$E$5:$E$1204,A187,Appointments!$M$5:$M$1204,"Cancelled"))</f>
        <v>0</v>
      </c>
      <c r="W187" s="25">
        <f>IF(B187="","",COUNTIFS(Appointments!$E$5:$E$1204,A187,Appointments!$M$5:$M$1204,"No show"))</f>
        <v>0</v>
      </c>
      <c r="X187" s="17">
        <f>IF(B187="","",IF(F187&lt;&gt;"",F187,IF(T187=0,"",SUMPRODUCT(MIN((Appointments!$E$5:$E$1204=A187)*(Appointments!$M$5:$M$1204="Completed")*Appointments!$B$5:$B$1204+(1-(Appointments!$E$5:$E$1204=A187)*(Appointments!$M$5:$M$1204="Completed"))*2958465)))))</f>
        <v>0</v>
      </c>
      <c r="Y187" s="17">
        <f>IF(B187="","",IF(T187=0,"",SUMPRODUCT(MAX((Appointments!$E$5:$E$1204=A187)*(Appointments!$M$5:$M$1204="Completed")*Appointments!$B$5:$B$1204))))</f>
        <v>0</v>
      </c>
      <c r="Z187" s="25">
        <f>IF(B187="","",IF(Y187="","",TodayDate-Y187))</f>
        <v>0</v>
      </c>
      <c r="AA187" s="42">
        <f>IF(B187="","",SUMPRODUCT(MIN((Appointments!$E$5:$E$1204=A187)*(Appointments!$M$5:$M$1204&lt;&gt;"Cancelled")*(Appointments!$M$5:$M$1204&lt;&gt;"Completed")*(Appointments!$M$5:$M$1204&lt;&gt;"No show")*(Appointments!$B$5:$B$1204&gt;=TodayDate)*Appointments!$B$5:$B$1204+(1-(Appointments!$E$5:$E$1204=A187)*(Appointments!$M$5:$M$1204&lt;&gt;"Cancelled")*(Appointments!$M$5:$M$1204&lt;&gt;"Completed")*(Appointments!$M$5:$M$1204&lt;&gt;"No show")*(Appointments!$B$5:$B$1204&gt;=TodayDate))*2958465)))</f>
        <v>0</v>
      </c>
      <c r="AB187" s="17">
        <f>IF(B187="","",IF(AA187&gt;=2958465,"",AA187))</f>
        <v>0</v>
      </c>
      <c r="AC187" s="25">
        <f>IF(B187="","",IF(T187&lt;2,"",ROUND((Y187-X187)/MAX(1,T187-1),0)))</f>
        <v>0</v>
      </c>
      <c r="AD187" s="17">
        <f>IF(B187="","",IF(Y187="","",Y187+IF(AC187="",RebookWeeks*7,MAX(14,AC187))))</f>
        <v>0</v>
      </c>
      <c r="AE187" s="26">
        <f>IF(B187="","",ROUND(SUMIFS(Sales!$Y$5:$Y$1204,Sales!$D$5:$D$1204,A187),2))</f>
        <v>0</v>
      </c>
      <c r="AF187" s="26">
        <f>IF(B187="","",ROUND(SUMIFS(Sales!$Y$5:$Y$1204,Sales!$D$5:$D$1204,A187,Sales!$H$5:$H$1204,"Service"),2))</f>
        <v>0</v>
      </c>
      <c r="AG187" s="26">
        <f>IF(B187="","",ROUND(SUMIFS(Sales!$Y$5:$Y$1204,Sales!$D$5:$D$1204,A187,Sales!$H$5:$H$1204,"Retail"),2))</f>
        <v>0</v>
      </c>
      <c r="AH187" s="26">
        <f>IF(B187="","",ROUND(SUMIFS(Sales!$Y$5:$Y$1204,Sales!$D$5:$D$1204,A187,Sales!$B$5:$B$1204,"&gt;="&amp;TodayDate-365),2))</f>
        <v>0</v>
      </c>
      <c r="AI187" s="26">
        <f>IF(B187="","",IF(T187=0,"",ROUND(AE187/T187,2)))</f>
        <v>0</v>
      </c>
      <c r="AJ187" s="26">
        <f>IF(B187="","",IF(AI187="","",IF(AC187="","",ROUND(AI187*(365/MAX(14,AC187)),2))))</f>
        <v>0</v>
      </c>
      <c r="AK187" s="26">
        <f>IF(B187="","",ROUND(SUMIFS(Sales!$AH$5:$AH$1204,Sales!$D$5:$D$1204,A187),2))</f>
        <v>0</v>
      </c>
      <c r="AL187" s="25">
        <f>IF(B187="","",IFERROR(INDEX(Loyalty!$P$5:$P$504,MATCH(A187,Loyalty!$B$5:$B$504,0))*1,0))</f>
        <v>0</v>
      </c>
      <c r="AM187" s="39">
        <f>IF(B187="","",IF(R187="Archived","Archived",IF(T187=0,"Not been yet",IF(Z187&gt;=InactiveDays,"Inactive",IF(Z187&gt;=LapsingDays,"Lapsing",IF(T187=1,"New",IF(AH187&gt;=VipSpend,"VIP",IF(U187&gt;=4,"Regular","Active"))))))))</f>
        <v>0</v>
      </c>
      <c r="AN187" s="38">
        <f>IF(B187="","",IF(T187&gt;=2,"Yes","No"))</f>
        <v>0</v>
      </c>
      <c r="AO187" s="25">
        <f>IF(B187="","",COUNTIFS($AE$5:$AE$504,"&gt;"&amp;AE187)+COUNTIFS($AE$5:AE187,AE187))</f>
        <v>0</v>
      </c>
      <c r="AP187" s="25">
        <f>IF(B187="","",COUNTIFS($T$5:$T$504,"&gt;"&amp;T187)+COUNTIFS($T$5:T187,T187))</f>
        <v>0</v>
      </c>
      <c r="AQ187" s="39">
        <f>IF(B187="","",IF(COUNTIF($B$5:$B$504,B187)&gt;1,"Duplicate - same name twice",IF(R187="Archived","",IF(AK187&gt;0.004,"Chase - balance outstanding",IF(AM187="Inactive","Gone - win-back offer",IF(AM187="Lapsing","Chase - lapsing, call them",IF(IF(N187="",FALSE,TodayDate-N187&gt;PatchTestDays),"Due - patch test out of date",IF(IF(AD187="",FALSE,IF(AB187&lt;&gt;"",FALSE,AD187&lt;=TodayDate+14)),"Rebook - due and nothing booked",IF(IF(K187="",FALSE,ABS(DATE(YEAR(TodayDate),MONTH(K187),DAY(K187))-TodayDate)&lt;=7),"Birthday - send the treat","OK")))))))))</f>
        <v>0</v>
      </c>
    </row>
    <row r="188" spans="1:43">
      <c r="A188" s="28">
        <f>IF(B188="","",ClientPrefix&amp;TEXT(ROW()-4,"0000"))</f>
        <v>0</v>
      </c>
      <c r="J188" s="15">
        <f>IF(I188="","",IFERROR(INDEX(Staff!$B$5:$B$44,MATCH(I188,Staff!$A$5:$A$44,0)),"Not in Staff"))</f>
        <v>0</v>
      </c>
      <c r="T188" s="25">
        <f>IF(B188="","",COUNTIFS(Appointments!$E$5:$E$1204,A188,Appointments!$M$5:$M$1204,"Completed"))</f>
        <v>0</v>
      </c>
      <c r="U188" s="25">
        <f>IF(B188="","",COUNTIFS(Appointments!$E$5:$E$1204,A188,Appointments!$M$5:$M$1204,"Completed",Appointments!$B$5:$B$1204,"&gt;="&amp;TodayDate-365))</f>
        <v>0</v>
      </c>
      <c r="V188" s="25">
        <f>IF(B188="","",COUNTIFS(Appointments!$E$5:$E$1204,A188,Appointments!$M$5:$M$1204,"Cancelled"))</f>
        <v>0</v>
      </c>
      <c r="W188" s="25">
        <f>IF(B188="","",COUNTIFS(Appointments!$E$5:$E$1204,A188,Appointments!$M$5:$M$1204,"No show"))</f>
        <v>0</v>
      </c>
      <c r="X188" s="17">
        <f>IF(B188="","",IF(F188&lt;&gt;"",F188,IF(T188=0,"",SUMPRODUCT(MIN((Appointments!$E$5:$E$1204=A188)*(Appointments!$M$5:$M$1204="Completed")*Appointments!$B$5:$B$1204+(1-(Appointments!$E$5:$E$1204=A188)*(Appointments!$M$5:$M$1204="Completed"))*2958465)))))</f>
        <v>0</v>
      </c>
      <c r="Y188" s="17">
        <f>IF(B188="","",IF(T188=0,"",SUMPRODUCT(MAX((Appointments!$E$5:$E$1204=A188)*(Appointments!$M$5:$M$1204="Completed")*Appointments!$B$5:$B$1204))))</f>
        <v>0</v>
      </c>
      <c r="Z188" s="25">
        <f>IF(B188="","",IF(Y188="","",TodayDate-Y188))</f>
        <v>0</v>
      </c>
      <c r="AA188" s="42">
        <f>IF(B188="","",SUMPRODUCT(MIN((Appointments!$E$5:$E$1204=A188)*(Appointments!$M$5:$M$1204&lt;&gt;"Cancelled")*(Appointments!$M$5:$M$1204&lt;&gt;"Completed")*(Appointments!$M$5:$M$1204&lt;&gt;"No show")*(Appointments!$B$5:$B$1204&gt;=TodayDate)*Appointments!$B$5:$B$1204+(1-(Appointments!$E$5:$E$1204=A188)*(Appointments!$M$5:$M$1204&lt;&gt;"Cancelled")*(Appointments!$M$5:$M$1204&lt;&gt;"Completed")*(Appointments!$M$5:$M$1204&lt;&gt;"No show")*(Appointments!$B$5:$B$1204&gt;=TodayDate))*2958465)))</f>
        <v>0</v>
      </c>
      <c r="AB188" s="17">
        <f>IF(B188="","",IF(AA188&gt;=2958465,"",AA188))</f>
        <v>0</v>
      </c>
      <c r="AC188" s="25">
        <f>IF(B188="","",IF(T188&lt;2,"",ROUND((Y188-X188)/MAX(1,T188-1),0)))</f>
        <v>0</v>
      </c>
      <c r="AD188" s="17">
        <f>IF(B188="","",IF(Y188="","",Y188+IF(AC188="",RebookWeeks*7,MAX(14,AC188))))</f>
        <v>0</v>
      </c>
      <c r="AE188" s="26">
        <f>IF(B188="","",ROUND(SUMIFS(Sales!$Y$5:$Y$1204,Sales!$D$5:$D$1204,A188),2))</f>
        <v>0</v>
      </c>
      <c r="AF188" s="26">
        <f>IF(B188="","",ROUND(SUMIFS(Sales!$Y$5:$Y$1204,Sales!$D$5:$D$1204,A188,Sales!$H$5:$H$1204,"Service"),2))</f>
        <v>0</v>
      </c>
      <c r="AG188" s="26">
        <f>IF(B188="","",ROUND(SUMIFS(Sales!$Y$5:$Y$1204,Sales!$D$5:$D$1204,A188,Sales!$H$5:$H$1204,"Retail"),2))</f>
        <v>0</v>
      </c>
      <c r="AH188" s="26">
        <f>IF(B188="","",ROUND(SUMIFS(Sales!$Y$5:$Y$1204,Sales!$D$5:$D$1204,A188,Sales!$B$5:$B$1204,"&gt;="&amp;TodayDate-365),2))</f>
        <v>0</v>
      </c>
      <c r="AI188" s="26">
        <f>IF(B188="","",IF(T188=0,"",ROUND(AE188/T188,2)))</f>
        <v>0</v>
      </c>
      <c r="AJ188" s="26">
        <f>IF(B188="","",IF(AI188="","",IF(AC188="","",ROUND(AI188*(365/MAX(14,AC188)),2))))</f>
        <v>0</v>
      </c>
      <c r="AK188" s="26">
        <f>IF(B188="","",ROUND(SUMIFS(Sales!$AH$5:$AH$1204,Sales!$D$5:$D$1204,A188),2))</f>
        <v>0</v>
      </c>
      <c r="AL188" s="25">
        <f>IF(B188="","",IFERROR(INDEX(Loyalty!$P$5:$P$504,MATCH(A188,Loyalty!$B$5:$B$504,0))*1,0))</f>
        <v>0</v>
      </c>
      <c r="AM188" s="39">
        <f>IF(B188="","",IF(R188="Archived","Archived",IF(T188=0,"Not been yet",IF(Z188&gt;=InactiveDays,"Inactive",IF(Z188&gt;=LapsingDays,"Lapsing",IF(T188=1,"New",IF(AH188&gt;=VipSpend,"VIP",IF(U188&gt;=4,"Regular","Active"))))))))</f>
        <v>0</v>
      </c>
      <c r="AN188" s="38">
        <f>IF(B188="","",IF(T188&gt;=2,"Yes","No"))</f>
        <v>0</v>
      </c>
      <c r="AO188" s="25">
        <f>IF(B188="","",COUNTIFS($AE$5:$AE$504,"&gt;"&amp;AE188)+COUNTIFS($AE$5:AE188,AE188))</f>
        <v>0</v>
      </c>
      <c r="AP188" s="25">
        <f>IF(B188="","",COUNTIFS($T$5:$T$504,"&gt;"&amp;T188)+COUNTIFS($T$5:T188,T188))</f>
        <v>0</v>
      </c>
      <c r="AQ188" s="39">
        <f>IF(B188="","",IF(COUNTIF($B$5:$B$504,B188)&gt;1,"Duplicate - same name twice",IF(R188="Archived","",IF(AK188&gt;0.004,"Chase - balance outstanding",IF(AM188="Inactive","Gone - win-back offer",IF(AM188="Lapsing","Chase - lapsing, call them",IF(IF(N188="",FALSE,TodayDate-N188&gt;PatchTestDays),"Due - patch test out of date",IF(IF(AD188="",FALSE,IF(AB188&lt;&gt;"",FALSE,AD188&lt;=TodayDate+14)),"Rebook - due and nothing booked",IF(IF(K188="",FALSE,ABS(DATE(YEAR(TodayDate),MONTH(K188),DAY(K188))-TodayDate)&lt;=7),"Birthday - send the treat","OK")))))))))</f>
        <v>0</v>
      </c>
    </row>
    <row r="189" spans="1:43">
      <c r="A189" s="28">
        <f>IF(B189="","",ClientPrefix&amp;TEXT(ROW()-4,"0000"))</f>
        <v>0</v>
      </c>
      <c r="J189" s="15">
        <f>IF(I189="","",IFERROR(INDEX(Staff!$B$5:$B$44,MATCH(I189,Staff!$A$5:$A$44,0)),"Not in Staff"))</f>
        <v>0</v>
      </c>
      <c r="T189" s="25">
        <f>IF(B189="","",COUNTIFS(Appointments!$E$5:$E$1204,A189,Appointments!$M$5:$M$1204,"Completed"))</f>
        <v>0</v>
      </c>
      <c r="U189" s="25">
        <f>IF(B189="","",COUNTIFS(Appointments!$E$5:$E$1204,A189,Appointments!$M$5:$M$1204,"Completed",Appointments!$B$5:$B$1204,"&gt;="&amp;TodayDate-365))</f>
        <v>0</v>
      </c>
      <c r="V189" s="25">
        <f>IF(B189="","",COUNTIFS(Appointments!$E$5:$E$1204,A189,Appointments!$M$5:$M$1204,"Cancelled"))</f>
        <v>0</v>
      </c>
      <c r="W189" s="25">
        <f>IF(B189="","",COUNTIFS(Appointments!$E$5:$E$1204,A189,Appointments!$M$5:$M$1204,"No show"))</f>
        <v>0</v>
      </c>
      <c r="X189" s="17">
        <f>IF(B189="","",IF(F189&lt;&gt;"",F189,IF(T189=0,"",SUMPRODUCT(MIN((Appointments!$E$5:$E$1204=A189)*(Appointments!$M$5:$M$1204="Completed")*Appointments!$B$5:$B$1204+(1-(Appointments!$E$5:$E$1204=A189)*(Appointments!$M$5:$M$1204="Completed"))*2958465)))))</f>
        <v>0</v>
      </c>
      <c r="Y189" s="17">
        <f>IF(B189="","",IF(T189=0,"",SUMPRODUCT(MAX((Appointments!$E$5:$E$1204=A189)*(Appointments!$M$5:$M$1204="Completed")*Appointments!$B$5:$B$1204))))</f>
        <v>0</v>
      </c>
      <c r="Z189" s="25">
        <f>IF(B189="","",IF(Y189="","",TodayDate-Y189))</f>
        <v>0</v>
      </c>
      <c r="AA189" s="42">
        <f>IF(B189="","",SUMPRODUCT(MIN((Appointments!$E$5:$E$1204=A189)*(Appointments!$M$5:$M$1204&lt;&gt;"Cancelled")*(Appointments!$M$5:$M$1204&lt;&gt;"Completed")*(Appointments!$M$5:$M$1204&lt;&gt;"No show")*(Appointments!$B$5:$B$1204&gt;=TodayDate)*Appointments!$B$5:$B$1204+(1-(Appointments!$E$5:$E$1204=A189)*(Appointments!$M$5:$M$1204&lt;&gt;"Cancelled")*(Appointments!$M$5:$M$1204&lt;&gt;"Completed")*(Appointments!$M$5:$M$1204&lt;&gt;"No show")*(Appointments!$B$5:$B$1204&gt;=TodayDate))*2958465)))</f>
        <v>0</v>
      </c>
      <c r="AB189" s="17">
        <f>IF(B189="","",IF(AA189&gt;=2958465,"",AA189))</f>
        <v>0</v>
      </c>
      <c r="AC189" s="25">
        <f>IF(B189="","",IF(T189&lt;2,"",ROUND((Y189-X189)/MAX(1,T189-1),0)))</f>
        <v>0</v>
      </c>
      <c r="AD189" s="17">
        <f>IF(B189="","",IF(Y189="","",Y189+IF(AC189="",RebookWeeks*7,MAX(14,AC189))))</f>
        <v>0</v>
      </c>
      <c r="AE189" s="26">
        <f>IF(B189="","",ROUND(SUMIFS(Sales!$Y$5:$Y$1204,Sales!$D$5:$D$1204,A189),2))</f>
        <v>0</v>
      </c>
      <c r="AF189" s="26">
        <f>IF(B189="","",ROUND(SUMIFS(Sales!$Y$5:$Y$1204,Sales!$D$5:$D$1204,A189,Sales!$H$5:$H$1204,"Service"),2))</f>
        <v>0</v>
      </c>
      <c r="AG189" s="26">
        <f>IF(B189="","",ROUND(SUMIFS(Sales!$Y$5:$Y$1204,Sales!$D$5:$D$1204,A189,Sales!$H$5:$H$1204,"Retail"),2))</f>
        <v>0</v>
      </c>
      <c r="AH189" s="26">
        <f>IF(B189="","",ROUND(SUMIFS(Sales!$Y$5:$Y$1204,Sales!$D$5:$D$1204,A189,Sales!$B$5:$B$1204,"&gt;="&amp;TodayDate-365),2))</f>
        <v>0</v>
      </c>
      <c r="AI189" s="26">
        <f>IF(B189="","",IF(T189=0,"",ROUND(AE189/T189,2)))</f>
        <v>0</v>
      </c>
      <c r="AJ189" s="26">
        <f>IF(B189="","",IF(AI189="","",IF(AC189="","",ROUND(AI189*(365/MAX(14,AC189)),2))))</f>
        <v>0</v>
      </c>
      <c r="AK189" s="26">
        <f>IF(B189="","",ROUND(SUMIFS(Sales!$AH$5:$AH$1204,Sales!$D$5:$D$1204,A189),2))</f>
        <v>0</v>
      </c>
      <c r="AL189" s="25">
        <f>IF(B189="","",IFERROR(INDEX(Loyalty!$P$5:$P$504,MATCH(A189,Loyalty!$B$5:$B$504,0))*1,0))</f>
        <v>0</v>
      </c>
      <c r="AM189" s="39">
        <f>IF(B189="","",IF(R189="Archived","Archived",IF(T189=0,"Not been yet",IF(Z189&gt;=InactiveDays,"Inactive",IF(Z189&gt;=LapsingDays,"Lapsing",IF(T189=1,"New",IF(AH189&gt;=VipSpend,"VIP",IF(U189&gt;=4,"Regular","Active"))))))))</f>
        <v>0</v>
      </c>
      <c r="AN189" s="38">
        <f>IF(B189="","",IF(T189&gt;=2,"Yes","No"))</f>
        <v>0</v>
      </c>
      <c r="AO189" s="25">
        <f>IF(B189="","",COUNTIFS($AE$5:$AE$504,"&gt;"&amp;AE189)+COUNTIFS($AE$5:AE189,AE189))</f>
        <v>0</v>
      </c>
      <c r="AP189" s="25">
        <f>IF(B189="","",COUNTIFS($T$5:$T$504,"&gt;"&amp;T189)+COUNTIFS($T$5:T189,T189))</f>
        <v>0</v>
      </c>
      <c r="AQ189" s="39">
        <f>IF(B189="","",IF(COUNTIF($B$5:$B$504,B189)&gt;1,"Duplicate - same name twice",IF(R189="Archived","",IF(AK189&gt;0.004,"Chase - balance outstanding",IF(AM189="Inactive","Gone - win-back offer",IF(AM189="Lapsing","Chase - lapsing, call them",IF(IF(N189="",FALSE,TodayDate-N189&gt;PatchTestDays),"Due - patch test out of date",IF(IF(AD189="",FALSE,IF(AB189&lt;&gt;"",FALSE,AD189&lt;=TodayDate+14)),"Rebook - due and nothing booked",IF(IF(K189="",FALSE,ABS(DATE(YEAR(TodayDate),MONTH(K189),DAY(K189))-TodayDate)&lt;=7),"Birthday - send the treat","OK")))))))))</f>
        <v>0</v>
      </c>
    </row>
    <row r="190" spans="1:43">
      <c r="A190" s="28">
        <f>IF(B190="","",ClientPrefix&amp;TEXT(ROW()-4,"0000"))</f>
        <v>0</v>
      </c>
      <c r="J190" s="15">
        <f>IF(I190="","",IFERROR(INDEX(Staff!$B$5:$B$44,MATCH(I190,Staff!$A$5:$A$44,0)),"Not in Staff"))</f>
        <v>0</v>
      </c>
      <c r="T190" s="25">
        <f>IF(B190="","",COUNTIFS(Appointments!$E$5:$E$1204,A190,Appointments!$M$5:$M$1204,"Completed"))</f>
        <v>0</v>
      </c>
      <c r="U190" s="25">
        <f>IF(B190="","",COUNTIFS(Appointments!$E$5:$E$1204,A190,Appointments!$M$5:$M$1204,"Completed",Appointments!$B$5:$B$1204,"&gt;="&amp;TodayDate-365))</f>
        <v>0</v>
      </c>
      <c r="V190" s="25">
        <f>IF(B190="","",COUNTIFS(Appointments!$E$5:$E$1204,A190,Appointments!$M$5:$M$1204,"Cancelled"))</f>
        <v>0</v>
      </c>
      <c r="W190" s="25">
        <f>IF(B190="","",COUNTIFS(Appointments!$E$5:$E$1204,A190,Appointments!$M$5:$M$1204,"No show"))</f>
        <v>0</v>
      </c>
      <c r="X190" s="17">
        <f>IF(B190="","",IF(F190&lt;&gt;"",F190,IF(T190=0,"",SUMPRODUCT(MIN((Appointments!$E$5:$E$1204=A190)*(Appointments!$M$5:$M$1204="Completed")*Appointments!$B$5:$B$1204+(1-(Appointments!$E$5:$E$1204=A190)*(Appointments!$M$5:$M$1204="Completed"))*2958465)))))</f>
        <v>0</v>
      </c>
      <c r="Y190" s="17">
        <f>IF(B190="","",IF(T190=0,"",SUMPRODUCT(MAX((Appointments!$E$5:$E$1204=A190)*(Appointments!$M$5:$M$1204="Completed")*Appointments!$B$5:$B$1204))))</f>
        <v>0</v>
      </c>
      <c r="Z190" s="25">
        <f>IF(B190="","",IF(Y190="","",TodayDate-Y190))</f>
        <v>0</v>
      </c>
      <c r="AA190" s="42">
        <f>IF(B190="","",SUMPRODUCT(MIN((Appointments!$E$5:$E$1204=A190)*(Appointments!$M$5:$M$1204&lt;&gt;"Cancelled")*(Appointments!$M$5:$M$1204&lt;&gt;"Completed")*(Appointments!$M$5:$M$1204&lt;&gt;"No show")*(Appointments!$B$5:$B$1204&gt;=TodayDate)*Appointments!$B$5:$B$1204+(1-(Appointments!$E$5:$E$1204=A190)*(Appointments!$M$5:$M$1204&lt;&gt;"Cancelled")*(Appointments!$M$5:$M$1204&lt;&gt;"Completed")*(Appointments!$M$5:$M$1204&lt;&gt;"No show")*(Appointments!$B$5:$B$1204&gt;=TodayDate))*2958465)))</f>
        <v>0</v>
      </c>
      <c r="AB190" s="17">
        <f>IF(B190="","",IF(AA190&gt;=2958465,"",AA190))</f>
        <v>0</v>
      </c>
      <c r="AC190" s="25">
        <f>IF(B190="","",IF(T190&lt;2,"",ROUND((Y190-X190)/MAX(1,T190-1),0)))</f>
        <v>0</v>
      </c>
      <c r="AD190" s="17">
        <f>IF(B190="","",IF(Y190="","",Y190+IF(AC190="",RebookWeeks*7,MAX(14,AC190))))</f>
        <v>0</v>
      </c>
      <c r="AE190" s="26">
        <f>IF(B190="","",ROUND(SUMIFS(Sales!$Y$5:$Y$1204,Sales!$D$5:$D$1204,A190),2))</f>
        <v>0</v>
      </c>
      <c r="AF190" s="26">
        <f>IF(B190="","",ROUND(SUMIFS(Sales!$Y$5:$Y$1204,Sales!$D$5:$D$1204,A190,Sales!$H$5:$H$1204,"Service"),2))</f>
        <v>0</v>
      </c>
      <c r="AG190" s="26">
        <f>IF(B190="","",ROUND(SUMIFS(Sales!$Y$5:$Y$1204,Sales!$D$5:$D$1204,A190,Sales!$H$5:$H$1204,"Retail"),2))</f>
        <v>0</v>
      </c>
      <c r="AH190" s="26">
        <f>IF(B190="","",ROUND(SUMIFS(Sales!$Y$5:$Y$1204,Sales!$D$5:$D$1204,A190,Sales!$B$5:$B$1204,"&gt;="&amp;TodayDate-365),2))</f>
        <v>0</v>
      </c>
      <c r="AI190" s="26">
        <f>IF(B190="","",IF(T190=0,"",ROUND(AE190/T190,2)))</f>
        <v>0</v>
      </c>
      <c r="AJ190" s="26">
        <f>IF(B190="","",IF(AI190="","",IF(AC190="","",ROUND(AI190*(365/MAX(14,AC190)),2))))</f>
        <v>0</v>
      </c>
      <c r="AK190" s="26">
        <f>IF(B190="","",ROUND(SUMIFS(Sales!$AH$5:$AH$1204,Sales!$D$5:$D$1204,A190),2))</f>
        <v>0</v>
      </c>
      <c r="AL190" s="25">
        <f>IF(B190="","",IFERROR(INDEX(Loyalty!$P$5:$P$504,MATCH(A190,Loyalty!$B$5:$B$504,0))*1,0))</f>
        <v>0</v>
      </c>
      <c r="AM190" s="39">
        <f>IF(B190="","",IF(R190="Archived","Archived",IF(T190=0,"Not been yet",IF(Z190&gt;=InactiveDays,"Inactive",IF(Z190&gt;=LapsingDays,"Lapsing",IF(T190=1,"New",IF(AH190&gt;=VipSpend,"VIP",IF(U190&gt;=4,"Regular","Active"))))))))</f>
        <v>0</v>
      </c>
      <c r="AN190" s="38">
        <f>IF(B190="","",IF(T190&gt;=2,"Yes","No"))</f>
        <v>0</v>
      </c>
      <c r="AO190" s="25">
        <f>IF(B190="","",COUNTIFS($AE$5:$AE$504,"&gt;"&amp;AE190)+COUNTIFS($AE$5:AE190,AE190))</f>
        <v>0</v>
      </c>
      <c r="AP190" s="25">
        <f>IF(B190="","",COUNTIFS($T$5:$T$504,"&gt;"&amp;T190)+COUNTIFS($T$5:T190,T190))</f>
        <v>0</v>
      </c>
      <c r="AQ190" s="39">
        <f>IF(B190="","",IF(COUNTIF($B$5:$B$504,B190)&gt;1,"Duplicate - same name twice",IF(R190="Archived","",IF(AK190&gt;0.004,"Chase - balance outstanding",IF(AM190="Inactive","Gone - win-back offer",IF(AM190="Lapsing","Chase - lapsing, call them",IF(IF(N190="",FALSE,TodayDate-N190&gt;PatchTestDays),"Due - patch test out of date",IF(IF(AD190="",FALSE,IF(AB190&lt;&gt;"",FALSE,AD190&lt;=TodayDate+14)),"Rebook - due and nothing booked",IF(IF(K190="",FALSE,ABS(DATE(YEAR(TodayDate),MONTH(K190),DAY(K190))-TodayDate)&lt;=7),"Birthday - send the treat","OK")))))))))</f>
        <v>0</v>
      </c>
    </row>
    <row r="191" spans="1:43">
      <c r="A191" s="28">
        <f>IF(B191="","",ClientPrefix&amp;TEXT(ROW()-4,"0000"))</f>
        <v>0</v>
      </c>
      <c r="J191" s="15">
        <f>IF(I191="","",IFERROR(INDEX(Staff!$B$5:$B$44,MATCH(I191,Staff!$A$5:$A$44,0)),"Not in Staff"))</f>
        <v>0</v>
      </c>
      <c r="T191" s="25">
        <f>IF(B191="","",COUNTIFS(Appointments!$E$5:$E$1204,A191,Appointments!$M$5:$M$1204,"Completed"))</f>
        <v>0</v>
      </c>
      <c r="U191" s="25">
        <f>IF(B191="","",COUNTIFS(Appointments!$E$5:$E$1204,A191,Appointments!$M$5:$M$1204,"Completed",Appointments!$B$5:$B$1204,"&gt;="&amp;TodayDate-365))</f>
        <v>0</v>
      </c>
      <c r="V191" s="25">
        <f>IF(B191="","",COUNTIFS(Appointments!$E$5:$E$1204,A191,Appointments!$M$5:$M$1204,"Cancelled"))</f>
        <v>0</v>
      </c>
      <c r="W191" s="25">
        <f>IF(B191="","",COUNTIFS(Appointments!$E$5:$E$1204,A191,Appointments!$M$5:$M$1204,"No show"))</f>
        <v>0</v>
      </c>
      <c r="X191" s="17">
        <f>IF(B191="","",IF(F191&lt;&gt;"",F191,IF(T191=0,"",SUMPRODUCT(MIN((Appointments!$E$5:$E$1204=A191)*(Appointments!$M$5:$M$1204="Completed")*Appointments!$B$5:$B$1204+(1-(Appointments!$E$5:$E$1204=A191)*(Appointments!$M$5:$M$1204="Completed"))*2958465)))))</f>
        <v>0</v>
      </c>
      <c r="Y191" s="17">
        <f>IF(B191="","",IF(T191=0,"",SUMPRODUCT(MAX((Appointments!$E$5:$E$1204=A191)*(Appointments!$M$5:$M$1204="Completed")*Appointments!$B$5:$B$1204))))</f>
        <v>0</v>
      </c>
      <c r="Z191" s="25">
        <f>IF(B191="","",IF(Y191="","",TodayDate-Y191))</f>
        <v>0</v>
      </c>
      <c r="AA191" s="42">
        <f>IF(B191="","",SUMPRODUCT(MIN((Appointments!$E$5:$E$1204=A191)*(Appointments!$M$5:$M$1204&lt;&gt;"Cancelled")*(Appointments!$M$5:$M$1204&lt;&gt;"Completed")*(Appointments!$M$5:$M$1204&lt;&gt;"No show")*(Appointments!$B$5:$B$1204&gt;=TodayDate)*Appointments!$B$5:$B$1204+(1-(Appointments!$E$5:$E$1204=A191)*(Appointments!$M$5:$M$1204&lt;&gt;"Cancelled")*(Appointments!$M$5:$M$1204&lt;&gt;"Completed")*(Appointments!$M$5:$M$1204&lt;&gt;"No show")*(Appointments!$B$5:$B$1204&gt;=TodayDate))*2958465)))</f>
        <v>0</v>
      </c>
      <c r="AB191" s="17">
        <f>IF(B191="","",IF(AA191&gt;=2958465,"",AA191))</f>
        <v>0</v>
      </c>
      <c r="AC191" s="25">
        <f>IF(B191="","",IF(T191&lt;2,"",ROUND((Y191-X191)/MAX(1,T191-1),0)))</f>
        <v>0</v>
      </c>
      <c r="AD191" s="17">
        <f>IF(B191="","",IF(Y191="","",Y191+IF(AC191="",RebookWeeks*7,MAX(14,AC191))))</f>
        <v>0</v>
      </c>
      <c r="AE191" s="26">
        <f>IF(B191="","",ROUND(SUMIFS(Sales!$Y$5:$Y$1204,Sales!$D$5:$D$1204,A191),2))</f>
        <v>0</v>
      </c>
      <c r="AF191" s="26">
        <f>IF(B191="","",ROUND(SUMIFS(Sales!$Y$5:$Y$1204,Sales!$D$5:$D$1204,A191,Sales!$H$5:$H$1204,"Service"),2))</f>
        <v>0</v>
      </c>
      <c r="AG191" s="26">
        <f>IF(B191="","",ROUND(SUMIFS(Sales!$Y$5:$Y$1204,Sales!$D$5:$D$1204,A191,Sales!$H$5:$H$1204,"Retail"),2))</f>
        <v>0</v>
      </c>
      <c r="AH191" s="26">
        <f>IF(B191="","",ROUND(SUMIFS(Sales!$Y$5:$Y$1204,Sales!$D$5:$D$1204,A191,Sales!$B$5:$B$1204,"&gt;="&amp;TodayDate-365),2))</f>
        <v>0</v>
      </c>
      <c r="AI191" s="26">
        <f>IF(B191="","",IF(T191=0,"",ROUND(AE191/T191,2)))</f>
        <v>0</v>
      </c>
      <c r="AJ191" s="26">
        <f>IF(B191="","",IF(AI191="","",IF(AC191="","",ROUND(AI191*(365/MAX(14,AC191)),2))))</f>
        <v>0</v>
      </c>
      <c r="AK191" s="26">
        <f>IF(B191="","",ROUND(SUMIFS(Sales!$AH$5:$AH$1204,Sales!$D$5:$D$1204,A191),2))</f>
        <v>0</v>
      </c>
      <c r="AL191" s="25">
        <f>IF(B191="","",IFERROR(INDEX(Loyalty!$P$5:$P$504,MATCH(A191,Loyalty!$B$5:$B$504,0))*1,0))</f>
        <v>0</v>
      </c>
      <c r="AM191" s="39">
        <f>IF(B191="","",IF(R191="Archived","Archived",IF(T191=0,"Not been yet",IF(Z191&gt;=InactiveDays,"Inactive",IF(Z191&gt;=LapsingDays,"Lapsing",IF(T191=1,"New",IF(AH191&gt;=VipSpend,"VIP",IF(U191&gt;=4,"Regular","Active"))))))))</f>
        <v>0</v>
      </c>
      <c r="AN191" s="38">
        <f>IF(B191="","",IF(T191&gt;=2,"Yes","No"))</f>
        <v>0</v>
      </c>
      <c r="AO191" s="25">
        <f>IF(B191="","",COUNTIFS($AE$5:$AE$504,"&gt;"&amp;AE191)+COUNTIFS($AE$5:AE191,AE191))</f>
        <v>0</v>
      </c>
      <c r="AP191" s="25">
        <f>IF(B191="","",COUNTIFS($T$5:$T$504,"&gt;"&amp;T191)+COUNTIFS($T$5:T191,T191))</f>
        <v>0</v>
      </c>
      <c r="AQ191" s="39">
        <f>IF(B191="","",IF(COUNTIF($B$5:$B$504,B191)&gt;1,"Duplicate - same name twice",IF(R191="Archived","",IF(AK191&gt;0.004,"Chase - balance outstanding",IF(AM191="Inactive","Gone - win-back offer",IF(AM191="Lapsing","Chase - lapsing, call them",IF(IF(N191="",FALSE,TodayDate-N191&gt;PatchTestDays),"Due - patch test out of date",IF(IF(AD191="",FALSE,IF(AB191&lt;&gt;"",FALSE,AD191&lt;=TodayDate+14)),"Rebook - due and nothing booked",IF(IF(K191="",FALSE,ABS(DATE(YEAR(TodayDate),MONTH(K191),DAY(K191))-TodayDate)&lt;=7),"Birthday - send the treat","OK")))))))))</f>
        <v>0</v>
      </c>
    </row>
    <row r="192" spans="1:43">
      <c r="A192" s="28">
        <f>IF(B192="","",ClientPrefix&amp;TEXT(ROW()-4,"0000"))</f>
        <v>0</v>
      </c>
      <c r="J192" s="15">
        <f>IF(I192="","",IFERROR(INDEX(Staff!$B$5:$B$44,MATCH(I192,Staff!$A$5:$A$44,0)),"Not in Staff"))</f>
        <v>0</v>
      </c>
      <c r="T192" s="25">
        <f>IF(B192="","",COUNTIFS(Appointments!$E$5:$E$1204,A192,Appointments!$M$5:$M$1204,"Completed"))</f>
        <v>0</v>
      </c>
      <c r="U192" s="25">
        <f>IF(B192="","",COUNTIFS(Appointments!$E$5:$E$1204,A192,Appointments!$M$5:$M$1204,"Completed",Appointments!$B$5:$B$1204,"&gt;="&amp;TodayDate-365))</f>
        <v>0</v>
      </c>
      <c r="V192" s="25">
        <f>IF(B192="","",COUNTIFS(Appointments!$E$5:$E$1204,A192,Appointments!$M$5:$M$1204,"Cancelled"))</f>
        <v>0</v>
      </c>
      <c r="W192" s="25">
        <f>IF(B192="","",COUNTIFS(Appointments!$E$5:$E$1204,A192,Appointments!$M$5:$M$1204,"No show"))</f>
        <v>0</v>
      </c>
      <c r="X192" s="17">
        <f>IF(B192="","",IF(F192&lt;&gt;"",F192,IF(T192=0,"",SUMPRODUCT(MIN((Appointments!$E$5:$E$1204=A192)*(Appointments!$M$5:$M$1204="Completed")*Appointments!$B$5:$B$1204+(1-(Appointments!$E$5:$E$1204=A192)*(Appointments!$M$5:$M$1204="Completed"))*2958465)))))</f>
        <v>0</v>
      </c>
      <c r="Y192" s="17">
        <f>IF(B192="","",IF(T192=0,"",SUMPRODUCT(MAX((Appointments!$E$5:$E$1204=A192)*(Appointments!$M$5:$M$1204="Completed")*Appointments!$B$5:$B$1204))))</f>
        <v>0</v>
      </c>
      <c r="Z192" s="25">
        <f>IF(B192="","",IF(Y192="","",TodayDate-Y192))</f>
        <v>0</v>
      </c>
      <c r="AA192" s="42">
        <f>IF(B192="","",SUMPRODUCT(MIN((Appointments!$E$5:$E$1204=A192)*(Appointments!$M$5:$M$1204&lt;&gt;"Cancelled")*(Appointments!$M$5:$M$1204&lt;&gt;"Completed")*(Appointments!$M$5:$M$1204&lt;&gt;"No show")*(Appointments!$B$5:$B$1204&gt;=TodayDate)*Appointments!$B$5:$B$1204+(1-(Appointments!$E$5:$E$1204=A192)*(Appointments!$M$5:$M$1204&lt;&gt;"Cancelled")*(Appointments!$M$5:$M$1204&lt;&gt;"Completed")*(Appointments!$M$5:$M$1204&lt;&gt;"No show")*(Appointments!$B$5:$B$1204&gt;=TodayDate))*2958465)))</f>
        <v>0</v>
      </c>
      <c r="AB192" s="17">
        <f>IF(B192="","",IF(AA192&gt;=2958465,"",AA192))</f>
        <v>0</v>
      </c>
      <c r="AC192" s="25">
        <f>IF(B192="","",IF(T192&lt;2,"",ROUND((Y192-X192)/MAX(1,T192-1),0)))</f>
        <v>0</v>
      </c>
      <c r="AD192" s="17">
        <f>IF(B192="","",IF(Y192="","",Y192+IF(AC192="",RebookWeeks*7,MAX(14,AC192))))</f>
        <v>0</v>
      </c>
      <c r="AE192" s="26">
        <f>IF(B192="","",ROUND(SUMIFS(Sales!$Y$5:$Y$1204,Sales!$D$5:$D$1204,A192),2))</f>
        <v>0</v>
      </c>
      <c r="AF192" s="26">
        <f>IF(B192="","",ROUND(SUMIFS(Sales!$Y$5:$Y$1204,Sales!$D$5:$D$1204,A192,Sales!$H$5:$H$1204,"Service"),2))</f>
        <v>0</v>
      </c>
      <c r="AG192" s="26">
        <f>IF(B192="","",ROUND(SUMIFS(Sales!$Y$5:$Y$1204,Sales!$D$5:$D$1204,A192,Sales!$H$5:$H$1204,"Retail"),2))</f>
        <v>0</v>
      </c>
      <c r="AH192" s="26">
        <f>IF(B192="","",ROUND(SUMIFS(Sales!$Y$5:$Y$1204,Sales!$D$5:$D$1204,A192,Sales!$B$5:$B$1204,"&gt;="&amp;TodayDate-365),2))</f>
        <v>0</v>
      </c>
      <c r="AI192" s="26">
        <f>IF(B192="","",IF(T192=0,"",ROUND(AE192/T192,2)))</f>
        <v>0</v>
      </c>
      <c r="AJ192" s="26">
        <f>IF(B192="","",IF(AI192="","",IF(AC192="","",ROUND(AI192*(365/MAX(14,AC192)),2))))</f>
        <v>0</v>
      </c>
      <c r="AK192" s="26">
        <f>IF(B192="","",ROUND(SUMIFS(Sales!$AH$5:$AH$1204,Sales!$D$5:$D$1204,A192),2))</f>
        <v>0</v>
      </c>
      <c r="AL192" s="25">
        <f>IF(B192="","",IFERROR(INDEX(Loyalty!$P$5:$P$504,MATCH(A192,Loyalty!$B$5:$B$504,0))*1,0))</f>
        <v>0</v>
      </c>
      <c r="AM192" s="39">
        <f>IF(B192="","",IF(R192="Archived","Archived",IF(T192=0,"Not been yet",IF(Z192&gt;=InactiveDays,"Inactive",IF(Z192&gt;=LapsingDays,"Lapsing",IF(T192=1,"New",IF(AH192&gt;=VipSpend,"VIP",IF(U192&gt;=4,"Regular","Active"))))))))</f>
        <v>0</v>
      </c>
      <c r="AN192" s="38">
        <f>IF(B192="","",IF(T192&gt;=2,"Yes","No"))</f>
        <v>0</v>
      </c>
      <c r="AO192" s="25">
        <f>IF(B192="","",COUNTIFS($AE$5:$AE$504,"&gt;"&amp;AE192)+COUNTIFS($AE$5:AE192,AE192))</f>
        <v>0</v>
      </c>
      <c r="AP192" s="25">
        <f>IF(B192="","",COUNTIFS($T$5:$T$504,"&gt;"&amp;T192)+COUNTIFS($T$5:T192,T192))</f>
        <v>0</v>
      </c>
      <c r="AQ192" s="39">
        <f>IF(B192="","",IF(COUNTIF($B$5:$B$504,B192)&gt;1,"Duplicate - same name twice",IF(R192="Archived","",IF(AK192&gt;0.004,"Chase - balance outstanding",IF(AM192="Inactive","Gone - win-back offer",IF(AM192="Lapsing","Chase - lapsing, call them",IF(IF(N192="",FALSE,TodayDate-N192&gt;PatchTestDays),"Due - patch test out of date",IF(IF(AD192="",FALSE,IF(AB192&lt;&gt;"",FALSE,AD192&lt;=TodayDate+14)),"Rebook - due and nothing booked",IF(IF(K192="",FALSE,ABS(DATE(YEAR(TodayDate),MONTH(K192),DAY(K192))-TodayDate)&lt;=7),"Birthday - send the treat","OK")))))))))</f>
        <v>0</v>
      </c>
    </row>
    <row r="193" spans="1:43">
      <c r="A193" s="28">
        <f>IF(B193="","",ClientPrefix&amp;TEXT(ROW()-4,"0000"))</f>
        <v>0</v>
      </c>
      <c r="J193" s="15">
        <f>IF(I193="","",IFERROR(INDEX(Staff!$B$5:$B$44,MATCH(I193,Staff!$A$5:$A$44,0)),"Not in Staff"))</f>
        <v>0</v>
      </c>
      <c r="T193" s="25">
        <f>IF(B193="","",COUNTIFS(Appointments!$E$5:$E$1204,A193,Appointments!$M$5:$M$1204,"Completed"))</f>
        <v>0</v>
      </c>
      <c r="U193" s="25">
        <f>IF(B193="","",COUNTIFS(Appointments!$E$5:$E$1204,A193,Appointments!$M$5:$M$1204,"Completed",Appointments!$B$5:$B$1204,"&gt;="&amp;TodayDate-365))</f>
        <v>0</v>
      </c>
      <c r="V193" s="25">
        <f>IF(B193="","",COUNTIFS(Appointments!$E$5:$E$1204,A193,Appointments!$M$5:$M$1204,"Cancelled"))</f>
        <v>0</v>
      </c>
      <c r="W193" s="25">
        <f>IF(B193="","",COUNTIFS(Appointments!$E$5:$E$1204,A193,Appointments!$M$5:$M$1204,"No show"))</f>
        <v>0</v>
      </c>
      <c r="X193" s="17">
        <f>IF(B193="","",IF(F193&lt;&gt;"",F193,IF(T193=0,"",SUMPRODUCT(MIN((Appointments!$E$5:$E$1204=A193)*(Appointments!$M$5:$M$1204="Completed")*Appointments!$B$5:$B$1204+(1-(Appointments!$E$5:$E$1204=A193)*(Appointments!$M$5:$M$1204="Completed"))*2958465)))))</f>
        <v>0</v>
      </c>
      <c r="Y193" s="17">
        <f>IF(B193="","",IF(T193=0,"",SUMPRODUCT(MAX((Appointments!$E$5:$E$1204=A193)*(Appointments!$M$5:$M$1204="Completed")*Appointments!$B$5:$B$1204))))</f>
        <v>0</v>
      </c>
      <c r="Z193" s="25">
        <f>IF(B193="","",IF(Y193="","",TodayDate-Y193))</f>
        <v>0</v>
      </c>
      <c r="AA193" s="42">
        <f>IF(B193="","",SUMPRODUCT(MIN((Appointments!$E$5:$E$1204=A193)*(Appointments!$M$5:$M$1204&lt;&gt;"Cancelled")*(Appointments!$M$5:$M$1204&lt;&gt;"Completed")*(Appointments!$M$5:$M$1204&lt;&gt;"No show")*(Appointments!$B$5:$B$1204&gt;=TodayDate)*Appointments!$B$5:$B$1204+(1-(Appointments!$E$5:$E$1204=A193)*(Appointments!$M$5:$M$1204&lt;&gt;"Cancelled")*(Appointments!$M$5:$M$1204&lt;&gt;"Completed")*(Appointments!$M$5:$M$1204&lt;&gt;"No show")*(Appointments!$B$5:$B$1204&gt;=TodayDate))*2958465)))</f>
        <v>0</v>
      </c>
      <c r="AB193" s="17">
        <f>IF(B193="","",IF(AA193&gt;=2958465,"",AA193))</f>
        <v>0</v>
      </c>
      <c r="AC193" s="25">
        <f>IF(B193="","",IF(T193&lt;2,"",ROUND((Y193-X193)/MAX(1,T193-1),0)))</f>
        <v>0</v>
      </c>
      <c r="AD193" s="17">
        <f>IF(B193="","",IF(Y193="","",Y193+IF(AC193="",RebookWeeks*7,MAX(14,AC193))))</f>
        <v>0</v>
      </c>
      <c r="AE193" s="26">
        <f>IF(B193="","",ROUND(SUMIFS(Sales!$Y$5:$Y$1204,Sales!$D$5:$D$1204,A193),2))</f>
        <v>0</v>
      </c>
      <c r="AF193" s="26">
        <f>IF(B193="","",ROUND(SUMIFS(Sales!$Y$5:$Y$1204,Sales!$D$5:$D$1204,A193,Sales!$H$5:$H$1204,"Service"),2))</f>
        <v>0</v>
      </c>
      <c r="AG193" s="26">
        <f>IF(B193="","",ROUND(SUMIFS(Sales!$Y$5:$Y$1204,Sales!$D$5:$D$1204,A193,Sales!$H$5:$H$1204,"Retail"),2))</f>
        <v>0</v>
      </c>
      <c r="AH193" s="26">
        <f>IF(B193="","",ROUND(SUMIFS(Sales!$Y$5:$Y$1204,Sales!$D$5:$D$1204,A193,Sales!$B$5:$B$1204,"&gt;="&amp;TodayDate-365),2))</f>
        <v>0</v>
      </c>
      <c r="AI193" s="26">
        <f>IF(B193="","",IF(T193=0,"",ROUND(AE193/T193,2)))</f>
        <v>0</v>
      </c>
      <c r="AJ193" s="26">
        <f>IF(B193="","",IF(AI193="","",IF(AC193="","",ROUND(AI193*(365/MAX(14,AC193)),2))))</f>
        <v>0</v>
      </c>
      <c r="AK193" s="26">
        <f>IF(B193="","",ROUND(SUMIFS(Sales!$AH$5:$AH$1204,Sales!$D$5:$D$1204,A193),2))</f>
        <v>0</v>
      </c>
      <c r="AL193" s="25">
        <f>IF(B193="","",IFERROR(INDEX(Loyalty!$P$5:$P$504,MATCH(A193,Loyalty!$B$5:$B$504,0))*1,0))</f>
        <v>0</v>
      </c>
      <c r="AM193" s="39">
        <f>IF(B193="","",IF(R193="Archived","Archived",IF(T193=0,"Not been yet",IF(Z193&gt;=InactiveDays,"Inactive",IF(Z193&gt;=LapsingDays,"Lapsing",IF(T193=1,"New",IF(AH193&gt;=VipSpend,"VIP",IF(U193&gt;=4,"Regular","Active"))))))))</f>
        <v>0</v>
      </c>
      <c r="AN193" s="38">
        <f>IF(B193="","",IF(T193&gt;=2,"Yes","No"))</f>
        <v>0</v>
      </c>
      <c r="AO193" s="25">
        <f>IF(B193="","",COUNTIFS($AE$5:$AE$504,"&gt;"&amp;AE193)+COUNTIFS($AE$5:AE193,AE193))</f>
        <v>0</v>
      </c>
      <c r="AP193" s="25">
        <f>IF(B193="","",COUNTIFS($T$5:$T$504,"&gt;"&amp;T193)+COUNTIFS($T$5:T193,T193))</f>
        <v>0</v>
      </c>
      <c r="AQ193" s="39">
        <f>IF(B193="","",IF(COUNTIF($B$5:$B$504,B193)&gt;1,"Duplicate - same name twice",IF(R193="Archived","",IF(AK193&gt;0.004,"Chase - balance outstanding",IF(AM193="Inactive","Gone - win-back offer",IF(AM193="Lapsing","Chase - lapsing, call them",IF(IF(N193="",FALSE,TodayDate-N193&gt;PatchTestDays),"Due - patch test out of date",IF(IF(AD193="",FALSE,IF(AB193&lt;&gt;"",FALSE,AD193&lt;=TodayDate+14)),"Rebook - due and nothing booked",IF(IF(K193="",FALSE,ABS(DATE(YEAR(TodayDate),MONTH(K193),DAY(K193))-TodayDate)&lt;=7),"Birthday - send the treat","OK")))))))))</f>
        <v>0</v>
      </c>
    </row>
    <row r="194" spans="1:43">
      <c r="A194" s="28">
        <f>IF(B194="","",ClientPrefix&amp;TEXT(ROW()-4,"0000"))</f>
        <v>0</v>
      </c>
      <c r="J194" s="15">
        <f>IF(I194="","",IFERROR(INDEX(Staff!$B$5:$B$44,MATCH(I194,Staff!$A$5:$A$44,0)),"Not in Staff"))</f>
        <v>0</v>
      </c>
      <c r="T194" s="25">
        <f>IF(B194="","",COUNTIFS(Appointments!$E$5:$E$1204,A194,Appointments!$M$5:$M$1204,"Completed"))</f>
        <v>0</v>
      </c>
      <c r="U194" s="25">
        <f>IF(B194="","",COUNTIFS(Appointments!$E$5:$E$1204,A194,Appointments!$M$5:$M$1204,"Completed",Appointments!$B$5:$B$1204,"&gt;="&amp;TodayDate-365))</f>
        <v>0</v>
      </c>
      <c r="V194" s="25">
        <f>IF(B194="","",COUNTIFS(Appointments!$E$5:$E$1204,A194,Appointments!$M$5:$M$1204,"Cancelled"))</f>
        <v>0</v>
      </c>
      <c r="W194" s="25">
        <f>IF(B194="","",COUNTIFS(Appointments!$E$5:$E$1204,A194,Appointments!$M$5:$M$1204,"No show"))</f>
        <v>0</v>
      </c>
      <c r="X194" s="17">
        <f>IF(B194="","",IF(F194&lt;&gt;"",F194,IF(T194=0,"",SUMPRODUCT(MIN((Appointments!$E$5:$E$1204=A194)*(Appointments!$M$5:$M$1204="Completed")*Appointments!$B$5:$B$1204+(1-(Appointments!$E$5:$E$1204=A194)*(Appointments!$M$5:$M$1204="Completed"))*2958465)))))</f>
        <v>0</v>
      </c>
      <c r="Y194" s="17">
        <f>IF(B194="","",IF(T194=0,"",SUMPRODUCT(MAX((Appointments!$E$5:$E$1204=A194)*(Appointments!$M$5:$M$1204="Completed")*Appointments!$B$5:$B$1204))))</f>
        <v>0</v>
      </c>
      <c r="Z194" s="25">
        <f>IF(B194="","",IF(Y194="","",TodayDate-Y194))</f>
        <v>0</v>
      </c>
      <c r="AA194" s="42">
        <f>IF(B194="","",SUMPRODUCT(MIN((Appointments!$E$5:$E$1204=A194)*(Appointments!$M$5:$M$1204&lt;&gt;"Cancelled")*(Appointments!$M$5:$M$1204&lt;&gt;"Completed")*(Appointments!$M$5:$M$1204&lt;&gt;"No show")*(Appointments!$B$5:$B$1204&gt;=TodayDate)*Appointments!$B$5:$B$1204+(1-(Appointments!$E$5:$E$1204=A194)*(Appointments!$M$5:$M$1204&lt;&gt;"Cancelled")*(Appointments!$M$5:$M$1204&lt;&gt;"Completed")*(Appointments!$M$5:$M$1204&lt;&gt;"No show")*(Appointments!$B$5:$B$1204&gt;=TodayDate))*2958465)))</f>
        <v>0</v>
      </c>
      <c r="AB194" s="17">
        <f>IF(B194="","",IF(AA194&gt;=2958465,"",AA194))</f>
        <v>0</v>
      </c>
      <c r="AC194" s="25">
        <f>IF(B194="","",IF(T194&lt;2,"",ROUND((Y194-X194)/MAX(1,T194-1),0)))</f>
        <v>0</v>
      </c>
      <c r="AD194" s="17">
        <f>IF(B194="","",IF(Y194="","",Y194+IF(AC194="",RebookWeeks*7,MAX(14,AC194))))</f>
        <v>0</v>
      </c>
      <c r="AE194" s="26">
        <f>IF(B194="","",ROUND(SUMIFS(Sales!$Y$5:$Y$1204,Sales!$D$5:$D$1204,A194),2))</f>
        <v>0</v>
      </c>
      <c r="AF194" s="26">
        <f>IF(B194="","",ROUND(SUMIFS(Sales!$Y$5:$Y$1204,Sales!$D$5:$D$1204,A194,Sales!$H$5:$H$1204,"Service"),2))</f>
        <v>0</v>
      </c>
      <c r="AG194" s="26">
        <f>IF(B194="","",ROUND(SUMIFS(Sales!$Y$5:$Y$1204,Sales!$D$5:$D$1204,A194,Sales!$H$5:$H$1204,"Retail"),2))</f>
        <v>0</v>
      </c>
      <c r="AH194" s="26">
        <f>IF(B194="","",ROUND(SUMIFS(Sales!$Y$5:$Y$1204,Sales!$D$5:$D$1204,A194,Sales!$B$5:$B$1204,"&gt;="&amp;TodayDate-365),2))</f>
        <v>0</v>
      </c>
      <c r="AI194" s="26">
        <f>IF(B194="","",IF(T194=0,"",ROUND(AE194/T194,2)))</f>
        <v>0</v>
      </c>
      <c r="AJ194" s="26">
        <f>IF(B194="","",IF(AI194="","",IF(AC194="","",ROUND(AI194*(365/MAX(14,AC194)),2))))</f>
        <v>0</v>
      </c>
      <c r="AK194" s="26">
        <f>IF(B194="","",ROUND(SUMIFS(Sales!$AH$5:$AH$1204,Sales!$D$5:$D$1204,A194),2))</f>
        <v>0</v>
      </c>
      <c r="AL194" s="25">
        <f>IF(B194="","",IFERROR(INDEX(Loyalty!$P$5:$P$504,MATCH(A194,Loyalty!$B$5:$B$504,0))*1,0))</f>
        <v>0</v>
      </c>
      <c r="AM194" s="39">
        <f>IF(B194="","",IF(R194="Archived","Archived",IF(T194=0,"Not been yet",IF(Z194&gt;=InactiveDays,"Inactive",IF(Z194&gt;=LapsingDays,"Lapsing",IF(T194=1,"New",IF(AH194&gt;=VipSpend,"VIP",IF(U194&gt;=4,"Regular","Active"))))))))</f>
        <v>0</v>
      </c>
      <c r="AN194" s="38">
        <f>IF(B194="","",IF(T194&gt;=2,"Yes","No"))</f>
        <v>0</v>
      </c>
      <c r="AO194" s="25">
        <f>IF(B194="","",COUNTIFS($AE$5:$AE$504,"&gt;"&amp;AE194)+COUNTIFS($AE$5:AE194,AE194))</f>
        <v>0</v>
      </c>
      <c r="AP194" s="25">
        <f>IF(B194="","",COUNTIFS($T$5:$T$504,"&gt;"&amp;T194)+COUNTIFS($T$5:T194,T194))</f>
        <v>0</v>
      </c>
      <c r="AQ194" s="39">
        <f>IF(B194="","",IF(COUNTIF($B$5:$B$504,B194)&gt;1,"Duplicate - same name twice",IF(R194="Archived","",IF(AK194&gt;0.004,"Chase - balance outstanding",IF(AM194="Inactive","Gone - win-back offer",IF(AM194="Lapsing","Chase - lapsing, call them",IF(IF(N194="",FALSE,TodayDate-N194&gt;PatchTestDays),"Due - patch test out of date",IF(IF(AD194="",FALSE,IF(AB194&lt;&gt;"",FALSE,AD194&lt;=TodayDate+14)),"Rebook - due and nothing booked",IF(IF(K194="",FALSE,ABS(DATE(YEAR(TodayDate),MONTH(K194),DAY(K194))-TodayDate)&lt;=7),"Birthday - send the treat","OK")))))))))</f>
        <v>0</v>
      </c>
    </row>
    <row r="195" spans="1:43">
      <c r="A195" s="28">
        <f>IF(B195="","",ClientPrefix&amp;TEXT(ROW()-4,"0000"))</f>
        <v>0</v>
      </c>
      <c r="J195" s="15">
        <f>IF(I195="","",IFERROR(INDEX(Staff!$B$5:$B$44,MATCH(I195,Staff!$A$5:$A$44,0)),"Not in Staff"))</f>
        <v>0</v>
      </c>
      <c r="T195" s="25">
        <f>IF(B195="","",COUNTIFS(Appointments!$E$5:$E$1204,A195,Appointments!$M$5:$M$1204,"Completed"))</f>
        <v>0</v>
      </c>
      <c r="U195" s="25">
        <f>IF(B195="","",COUNTIFS(Appointments!$E$5:$E$1204,A195,Appointments!$M$5:$M$1204,"Completed",Appointments!$B$5:$B$1204,"&gt;="&amp;TodayDate-365))</f>
        <v>0</v>
      </c>
      <c r="V195" s="25">
        <f>IF(B195="","",COUNTIFS(Appointments!$E$5:$E$1204,A195,Appointments!$M$5:$M$1204,"Cancelled"))</f>
        <v>0</v>
      </c>
      <c r="W195" s="25">
        <f>IF(B195="","",COUNTIFS(Appointments!$E$5:$E$1204,A195,Appointments!$M$5:$M$1204,"No show"))</f>
        <v>0</v>
      </c>
      <c r="X195" s="17">
        <f>IF(B195="","",IF(F195&lt;&gt;"",F195,IF(T195=0,"",SUMPRODUCT(MIN((Appointments!$E$5:$E$1204=A195)*(Appointments!$M$5:$M$1204="Completed")*Appointments!$B$5:$B$1204+(1-(Appointments!$E$5:$E$1204=A195)*(Appointments!$M$5:$M$1204="Completed"))*2958465)))))</f>
        <v>0</v>
      </c>
      <c r="Y195" s="17">
        <f>IF(B195="","",IF(T195=0,"",SUMPRODUCT(MAX((Appointments!$E$5:$E$1204=A195)*(Appointments!$M$5:$M$1204="Completed")*Appointments!$B$5:$B$1204))))</f>
        <v>0</v>
      </c>
      <c r="Z195" s="25">
        <f>IF(B195="","",IF(Y195="","",TodayDate-Y195))</f>
        <v>0</v>
      </c>
      <c r="AA195" s="42">
        <f>IF(B195="","",SUMPRODUCT(MIN((Appointments!$E$5:$E$1204=A195)*(Appointments!$M$5:$M$1204&lt;&gt;"Cancelled")*(Appointments!$M$5:$M$1204&lt;&gt;"Completed")*(Appointments!$M$5:$M$1204&lt;&gt;"No show")*(Appointments!$B$5:$B$1204&gt;=TodayDate)*Appointments!$B$5:$B$1204+(1-(Appointments!$E$5:$E$1204=A195)*(Appointments!$M$5:$M$1204&lt;&gt;"Cancelled")*(Appointments!$M$5:$M$1204&lt;&gt;"Completed")*(Appointments!$M$5:$M$1204&lt;&gt;"No show")*(Appointments!$B$5:$B$1204&gt;=TodayDate))*2958465)))</f>
        <v>0</v>
      </c>
      <c r="AB195" s="17">
        <f>IF(B195="","",IF(AA195&gt;=2958465,"",AA195))</f>
        <v>0</v>
      </c>
      <c r="AC195" s="25">
        <f>IF(B195="","",IF(T195&lt;2,"",ROUND((Y195-X195)/MAX(1,T195-1),0)))</f>
        <v>0</v>
      </c>
      <c r="AD195" s="17">
        <f>IF(B195="","",IF(Y195="","",Y195+IF(AC195="",RebookWeeks*7,MAX(14,AC195))))</f>
        <v>0</v>
      </c>
      <c r="AE195" s="26">
        <f>IF(B195="","",ROUND(SUMIFS(Sales!$Y$5:$Y$1204,Sales!$D$5:$D$1204,A195),2))</f>
        <v>0</v>
      </c>
      <c r="AF195" s="26">
        <f>IF(B195="","",ROUND(SUMIFS(Sales!$Y$5:$Y$1204,Sales!$D$5:$D$1204,A195,Sales!$H$5:$H$1204,"Service"),2))</f>
        <v>0</v>
      </c>
      <c r="AG195" s="26">
        <f>IF(B195="","",ROUND(SUMIFS(Sales!$Y$5:$Y$1204,Sales!$D$5:$D$1204,A195,Sales!$H$5:$H$1204,"Retail"),2))</f>
        <v>0</v>
      </c>
      <c r="AH195" s="26">
        <f>IF(B195="","",ROUND(SUMIFS(Sales!$Y$5:$Y$1204,Sales!$D$5:$D$1204,A195,Sales!$B$5:$B$1204,"&gt;="&amp;TodayDate-365),2))</f>
        <v>0</v>
      </c>
      <c r="AI195" s="26">
        <f>IF(B195="","",IF(T195=0,"",ROUND(AE195/T195,2)))</f>
        <v>0</v>
      </c>
      <c r="AJ195" s="26">
        <f>IF(B195="","",IF(AI195="","",IF(AC195="","",ROUND(AI195*(365/MAX(14,AC195)),2))))</f>
        <v>0</v>
      </c>
      <c r="AK195" s="26">
        <f>IF(B195="","",ROUND(SUMIFS(Sales!$AH$5:$AH$1204,Sales!$D$5:$D$1204,A195),2))</f>
        <v>0</v>
      </c>
      <c r="AL195" s="25">
        <f>IF(B195="","",IFERROR(INDEX(Loyalty!$P$5:$P$504,MATCH(A195,Loyalty!$B$5:$B$504,0))*1,0))</f>
        <v>0</v>
      </c>
      <c r="AM195" s="39">
        <f>IF(B195="","",IF(R195="Archived","Archived",IF(T195=0,"Not been yet",IF(Z195&gt;=InactiveDays,"Inactive",IF(Z195&gt;=LapsingDays,"Lapsing",IF(T195=1,"New",IF(AH195&gt;=VipSpend,"VIP",IF(U195&gt;=4,"Regular","Active"))))))))</f>
        <v>0</v>
      </c>
      <c r="AN195" s="38">
        <f>IF(B195="","",IF(T195&gt;=2,"Yes","No"))</f>
        <v>0</v>
      </c>
      <c r="AO195" s="25">
        <f>IF(B195="","",COUNTIFS($AE$5:$AE$504,"&gt;"&amp;AE195)+COUNTIFS($AE$5:AE195,AE195))</f>
        <v>0</v>
      </c>
      <c r="AP195" s="25">
        <f>IF(B195="","",COUNTIFS($T$5:$T$504,"&gt;"&amp;T195)+COUNTIFS($T$5:T195,T195))</f>
        <v>0</v>
      </c>
      <c r="AQ195" s="39">
        <f>IF(B195="","",IF(COUNTIF($B$5:$B$504,B195)&gt;1,"Duplicate - same name twice",IF(R195="Archived","",IF(AK195&gt;0.004,"Chase - balance outstanding",IF(AM195="Inactive","Gone - win-back offer",IF(AM195="Lapsing","Chase - lapsing, call them",IF(IF(N195="",FALSE,TodayDate-N195&gt;PatchTestDays),"Due - patch test out of date",IF(IF(AD195="",FALSE,IF(AB195&lt;&gt;"",FALSE,AD195&lt;=TodayDate+14)),"Rebook - due and nothing booked",IF(IF(K195="",FALSE,ABS(DATE(YEAR(TodayDate),MONTH(K195),DAY(K195))-TodayDate)&lt;=7),"Birthday - send the treat","OK")))))))))</f>
        <v>0</v>
      </c>
    </row>
    <row r="196" spans="1:43">
      <c r="A196" s="28">
        <f>IF(B196="","",ClientPrefix&amp;TEXT(ROW()-4,"0000"))</f>
        <v>0</v>
      </c>
      <c r="J196" s="15">
        <f>IF(I196="","",IFERROR(INDEX(Staff!$B$5:$B$44,MATCH(I196,Staff!$A$5:$A$44,0)),"Not in Staff"))</f>
        <v>0</v>
      </c>
      <c r="T196" s="25">
        <f>IF(B196="","",COUNTIFS(Appointments!$E$5:$E$1204,A196,Appointments!$M$5:$M$1204,"Completed"))</f>
        <v>0</v>
      </c>
      <c r="U196" s="25">
        <f>IF(B196="","",COUNTIFS(Appointments!$E$5:$E$1204,A196,Appointments!$M$5:$M$1204,"Completed",Appointments!$B$5:$B$1204,"&gt;="&amp;TodayDate-365))</f>
        <v>0</v>
      </c>
      <c r="V196" s="25">
        <f>IF(B196="","",COUNTIFS(Appointments!$E$5:$E$1204,A196,Appointments!$M$5:$M$1204,"Cancelled"))</f>
        <v>0</v>
      </c>
      <c r="W196" s="25">
        <f>IF(B196="","",COUNTIFS(Appointments!$E$5:$E$1204,A196,Appointments!$M$5:$M$1204,"No show"))</f>
        <v>0</v>
      </c>
      <c r="X196" s="17">
        <f>IF(B196="","",IF(F196&lt;&gt;"",F196,IF(T196=0,"",SUMPRODUCT(MIN((Appointments!$E$5:$E$1204=A196)*(Appointments!$M$5:$M$1204="Completed")*Appointments!$B$5:$B$1204+(1-(Appointments!$E$5:$E$1204=A196)*(Appointments!$M$5:$M$1204="Completed"))*2958465)))))</f>
        <v>0</v>
      </c>
      <c r="Y196" s="17">
        <f>IF(B196="","",IF(T196=0,"",SUMPRODUCT(MAX((Appointments!$E$5:$E$1204=A196)*(Appointments!$M$5:$M$1204="Completed")*Appointments!$B$5:$B$1204))))</f>
        <v>0</v>
      </c>
      <c r="Z196" s="25">
        <f>IF(B196="","",IF(Y196="","",TodayDate-Y196))</f>
        <v>0</v>
      </c>
      <c r="AA196" s="42">
        <f>IF(B196="","",SUMPRODUCT(MIN((Appointments!$E$5:$E$1204=A196)*(Appointments!$M$5:$M$1204&lt;&gt;"Cancelled")*(Appointments!$M$5:$M$1204&lt;&gt;"Completed")*(Appointments!$M$5:$M$1204&lt;&gt;"No show")*(Appointments!$B$5:$B$1204&gt;=TodayDate)*Appointments!$B$5:$B$1204+(1-(Appointments!$E$5:$E$1204=A196)*(Appointments!$M$5:$M$1204&lt;&gt;"Cancelled")*(Appointments!$M$5:$M$1204&lt;&gt;"Completed")*(Appointments!$M$5:$M$1204&lt;&gt;"No show")*(Appointments!$B$5:$B$1204&gt;=TodayDate))*2958465)))</f>
        <v>0</v>
      </c>
      <c r="AB196" s="17">
        <f>IF(B196="","",IF(AA196&gt;=2958465,"",AA196))</f>
        <v>0</v>
      </c>
      <c r="AC196" s="25">
        <f>IF(B196="","",IF(T196&lt;2,"",ROUND((Y196-X196)/MAX(1,T196-1),0)))</f>
        <v>0</v>
      </c>
      <c r="AD196" s="17">
        <f>IF(B196="","",IF(Y196="","",Y196+IF(AC196="",RebookWeeks*7,MAX(14,AC196))))</f>
        <v>0</v>
      </c>
      <c r="AE196" s="26">
        <f>IF(B196="","",ROUND(SUMIFS(Sales!$Y$5:$Y$1204,Sales!$D$5:$D$1204,A196),2))</f>
        <v>0</v>
      </c>
      <c r="AF196" s="26">
        <f>IF(B196="","",ROUND(SUMIFS(Sales!$Y$5:$Y$1204,Sales!$D$5:$D$1204,A196,Sales!$H$5:$H$1204,"Service"),2))</f>
        <v>0</v>
      </c>
      <c r="AG196" s="26">
        <f>IF(B196="","",ROUND(SUMIFS(Sales!$Y$5:$Y$1204,Sales!$D$5:$D$1204,A196,Sales!$H$5:$H$1204,"Retail"),2))</f>
        <v>0</v>
      </c>
      <c r="AH196" s="26">
        <f>IF(B196="","",ROUND(SUMIFS(Sales!$Y$5:$Y$1204,Sales!$D$5:$D$1204,A196,Sales!$B$5:$B$1204,"&gt;="&amp;TodayDate-365),2))</f>
        <v>0</v>
      </c>
      <c r="AI196" s="26">
        <f>IF(B196="","",IF(T196=0,"",ROUND(AE196/T196,2)))</f>
        <v>0</v>
      </c>
      <c r="AJ196" s="26">
        <f>IF(B196="","",IF(AI196="","",IF(AC196="","",ROUND(AI196*(365/MAX(14,AC196)),2))))</f>
        <v>0</v>
      </c>
      <c r="AK196" s="26">
        <f>IF(B196="","",ROUND(SUMIFS(Sales!$AH$5:$AH$1204,Sales!$D$5:$D$1204,A196),2))</f>
        <v>0</v>
      </c>
      <c r="AL196" s="25">
        <f>IF(B196="","",IFERROR(INDEX(Loyalty!$P$5:$P$504,MATCH(A196,Loyalty!$B$5:$B$504,0))*1,0))</f>
        <v>0</v>
      </c>
      <c r="AM196" s="39">
        <f>IF(B196="","",IF(R196="Archived","Archived",IF(T196=0,"Not been yet",IF(Z196&gt;=InactiveDays,"Inactive",IF(Z196&gt;=LapsingDays,"Lapsing",IF(T196=1,"New",IF(AH196&gt;=VipSpend,"VIP",IF(U196&gt;=4,"Regular","Active"))))))))</f>
        <v>0</v>
      </c>
      <c r="AN196" s="38">
        <f>IF(B196="","",IF(T196&gt;=2,"Yes","No"))</f>
        <v>0</v>
      </c>
      <c r="AO196" s="25">
        <f>IF(B196="","",COUNTIFS($AE$5:$AE$504,"&gt;"&amp;AE196)+COUNTIFS($AE$5:AE196,AE196))</f>
        <v>0</v>
      </c>
      <c r="AP196" s="25">
        <f>IF(B196="","",COUNTIFS($T$5:$T$504,"&gt;"&amp;T196)+COUNTIFS($T$5:T196,T196))</f>
        <v>0</v>
      </c>
      <c r="AQ196" s="39">
        <f>IF(B196="","",IF(COUNTIF($B$5:$B$504,B196)&gt;1,"Duplicate - same name twice",IF(R196="Archived","",IF(AK196&gt;0.004,"Chase - balance outstanding",IF(AM196="Inactive","Gone - win-back offer",IF(AM196="Lapsing","Chase - lapsing, call them",IF(IF(N196="",FALSE,TodayDate-N196&gt;PatchTestDays),"Due - patch test out of date",IF(IF(AD196="",FALSE,IF(AB196&lt;&gt;"",FALSE,AD196&lt;=TodayDate+14)),"Rebook - due and nothing booked",IF(IF(K196="",FALSE,ABS(DATE(YEAR(TodayDate),MONTH(K196),DAY(K196))-TodayDate)&lt;=7),"Birthday - send the treat","OK")))))))))</f>
        <v>0</v>
      </c>
    </row>
    <row r="197" spans="1:43">
      <c r="A197" s="28">
        <f>IF(B197="","",ClientPrefix&amp;TEXT(ROW()-4,"0000"))</f>
        <v>0</v>
      </c>
      <c r="J197" s="15">
        <f>IF(I197="","",IFERROR(INDEX(Staff!$B$5:$B$44,MATCH(I197,Staff!$A$5:$A$44,0)),"Not in Staff"))</f>
        <v>0</v>
      </c>
      <c r="T197" s="25">
        <f>IF(B197="","",COUNTIFS(Appointments!$E$5:$E$1204,A197,Appointments!$M$5:$M$1204,"Completed"))</f>
        <v>0</v>
      </c>
      <c r="U197" s="25">
        <f>IF(B197="","",COUNTIFS(Appointments!$E$5:$E$1204,A197,Appointments!$M$5:$M$1204,"Completed",Appointments!$B$5:$B$1204,"&gt;="&amp;TodayDate-365))</f>
        <v>0</v>
      </c>
      <c r="V197" s="25">
        <f>IF(B197="","",COUNTIFS(Appointments!$E$5:$E$1204,A197,Appointments!$M$5:$M$1204,"Cancelled"))</f>
        <v>0</v>
      </c>
      <c r="W197" s="25">
        <f>IF(B197="","",COUNTIFS(Appointments!$E$5:$E$1204,A197,Appointments!$M$5:$M$1204,"No show"))</f>
        <v>0</v>
      </c>
      <c r="X197" s="17">
        <f>IF(B197="","",IF(F197&lt;&gt;"",F197,IF(T197=0,"",SUMPRODUCT(MIN((Appointments!$E$5:$E$1204=A197)*(Appointments!$M$5:$M$1204="Completed")*Appointments!$B$5:$B$1204+(1-(Appointments!$E$5:$E$1204=A197)*(Appointments!$M$5:$M$1204="Completed"))*2958465)))))</f>
        <v>0</v>
      </c>
      <c r="Y197" s="17">
        <f>IF(B197="","",IF(T197=0,"",SUMPRODUCT(MAX((Appointments!$E$5:$E$1204=A197)*(Appointments!$M$5:$M$1204="Completed")*Appointments!$B$5:$B$1204))))</f>
        <v>0</v>
      </c>
      <c r="Z197" s="25">
        <f>IF(B197="","",IF(Y197="","",TodayDate-Y197))</f>
        <v>0</v>
      </c>
      <c r="AA197" s="42">
        <f>IF(B197="","",SUMPRODUCT(MIN((Appointments!$E$5:$E$1204=A197)*(Appointments!$M$5:$M$1204&lt;&gt;"Cancelled")*(Appointments!$M$5:$M$1204&lt;&gt;"Completed")*(Appointments!$M$5:$M$1204&lt;&gt;"No show")*(Appointments!$B$5:$B$1204&gt;=TodayDate)*Appointments!$B$5:$B$1204+(1-(Appointments!$E$5:$E$1204=A197)*(Appointments!$M$5:$M$1204&lt;&gt;"Cancelled")*(Appointments!$M$5:$M$1204&lt;&gt;"Completed")*(Appointments!$M$5:$M$1204&lt;&gt;"No show")*(Appointments!$B$5:$B$1204&gt;=TodayDate))*2958465)))</f>
        <v>0</v>
      </c>
      <c r="AB197" s="17">
        <f>IF(B197="","",IF(AA197&gt;=2958465,"",AA197))</f>
        <v>0</v>
      </c>
      <c r="AC197" s="25">
        <f>IF(B197="","",IF(T197&lt;2,"",ROUND((Y197-X197)/MAX(1,T197-1),0)))</f>
        <v>0</v>
      </c>
      <c r="AD197" s="17">
        <f>IF(B197="","",IF(Y197="","",Y197+IF(AC197="",RebookWeeks*7,MAX(14,AC197))))</f>
        <v>0</v>
      </c>
      <c r="AE197" s="26">
        <f>IF(B197="","",ROUND(SUMIFS(Sales!$Y$5:$Y$1204,Sales!$D$5:$D$1204,A197),2))</f>
        <v>0</v>
      </c>
      <c r="AF197" s="26">
        <f>IF(B197="","",ROUND(SUMIFS(Sales!$Y$5:$Y$1204,Sales!$D$5:$D$1204,A197,Sales!$H$5:$H$1204,"Service"),2))</f>
        <v>0</v>
      </c>
      <c r="AG197" s="26">
        <f>IF(B197="","",ROUND(SUMIFS(Sales!$Y$5:$Y$1204,Sales!$D$5:$D$1204,A197,Sales!$H$5:$H$1204,"Retail"),2))</f>
        <v>0</v>
      </c>
      <c r="AH197" s="26">
        <f>IF(B197="","",ROUND(SUMIFS(Sales!$Y$5:$Y$1204,Sales!$D$5:$D$1204,A197,Sales!$B$5:$B$1204,"&gt;="&amp;TodayDate-365),2))</f>
        <v>0</v>
      </c>
      <c r="AI197" s="26">
        <f>IF(B197="","",IF(T197=0,"",ROUND(AE197/T197,2)))</f>
        <v>0</v>
      </c>
      <c r="AJ197" s="26">
        <f>IF(B197="","",IF(AI197="","",IF(AC197="","",ROUND(AI197*(365/MAX(14,AC197)),2))))</f>
        <v>0</v>
      </c>
      <c r="AK197" s="26">
        <f>IF(B197="","",ROUND(SUMIFS(Sales!$AH$5:$AH$1204,Sales!$D$5:$D$1204,A197),2))</f>
        <v>0</v>
      </c>
      <c r="AL197" s="25">
        <f>IF(B197="","",IFERROR(INDEX(Loyalty!$P$5:$P$504,MATCH(A197,Loyalty!$B$5:$B$504,0))*1,0))</f>
        <v>0</v>
      </c>
      <c r="AM197" s="39">
        <f>IF(B197="","",IF(R197="Archived","Archived",IF(T197=0,"Not been yet",IF(Z197&gt;=InactiveDays,"Inactive",IF(Z197&gt;=LapsingDays,"Lapsing",IF(T197=1,"New",IF(AH197&gt;=VipSpend,"VIP",IF(U197&gt;=4,"Regular","Active"))))))))</f>
        <v>0</v>
      </c>
      <c r="AN197" s="38">
        <f>IF(B197="","",IF(T197&gt;=2,"Yes","No"))</f>
        <v>0</v>
      </c>
      <c r="AO197" s="25">
        <f>IF(B197="","",COUNTIFS($AE$5:$AE$504,"&gt;"&amp;AE197)+COUNTIFS($AE$5:AE197,AE197))</f>
        <v>0</v>
      </c>
      <c r="AP197" s="25">
        <f>IF(B197="","",COUNTIFS($T$5:$T$504,"&gt;"&amp;T197)+COUNTIFS($T$5:T197,T197))</f>
        <v>0</v>
      </c>
      <c r="AQ197" s="39">
        <f>IF(B197="","",IF(COUNTIF($B$5:$B$504,B197)&gt;1,"Duplicate - same name twice",IF(R197="Archived","",IF(AK197&gt;0.004,"Chase - balance outstanding",IF(AM197="Inactive","Gone - win-back offer",IF(AM197="Lapsing","Chase - lapsing, call them",IF(IF(N197="",FALSE,TodayDate-N197&gt;PatchTestDays),"Due - patch test out of date",IF(IF(AD197="",FALSE,IF(AB197&lt;&gt;"",FALSE,AD197&lt;=TodayDate+14)),"Rebook - due and nothing booked",IF(IF(K197="",FALSE,ABS(DATE(YEAR(TodayDate),MONTH(K197),DAY(K197))-TodayDate)&lt;=7),"Birthday - send the treat","OK")))))))))</f>
        <v>0</v>
      </c>
    </row>
    <row r="198" spans="1:43">
      <c r="A198" s="28">
        <f>IF(B198="","",ClientPrefix&amp;TEXT(ROW()-4,"0000"))</f>
        <v>0</v>
      </c>
      <c r="J198" s="15">
        <f>IF(I198="","",IFERROR(INDEX(Staff!$B$5:$B$44,MATCH(I198,Staff!$A$5:$A$44,0)),"Not in Staff"))</f>
        <v>0</v>
      </c>
      <c r="T198" s="25">
        <f>IF(B198="","",COUNTIFS(Appointments!$E$5:$E$1204,A198,Appointments!$M$5:$M$1204,"Completed"))</f>
        <v>0</v>
      </c>
      <c r="U198" s="25">
        <f>IF(B198="","",COUNTIFS(Appointments!$E$5:$E$1204,A198,Appointments!$M$5:$M$1204,"Completed",Appointments!$B$5:$B$1204,"&gt;="&amp;TodayDate-365))</f>
        <v>0</v>
      </c>
      <c r="V198" s="25">
        <f>IF(B198="","",COUNTIFS(Appointments!$E$5:$E$1204,A198,Appointments!$M$5:$M$1204,"Cancelled"))</f>
        <v>0</v>
      </c>
      <c r="W198" s="25">
        <f>IF(B198="","",COUNTIFS(Appointments!$E$5:$E$1204,A198,Appointments!$M$5:$M$1204,"No show"))</f>
        <v>0</v>
      </c>
      <c r="X198" s="17">
        <f>IF(B198="","",IF(F198&lt;&gt;"",F198,IF(T198=0,"",SUMPRODUCT(MIN((Appointments!$E$5:$E$1204=A198)*(Appointments!$M$5:$M$1204="Completed")*Appointments!$B$5:$B$1204+(1-(Appointments!$E$5:$E$1204=A198)*(Appointments!$M$5:$M$1204="Completed"))*2958465)))))</f>
        <v>0</v>
      </c>
      <c r="Y198" s="17">
        <f>IF(B198="","",IF(T198=0,"",SUMPRODUCT(MAX((Appointments!$E$5:$E$1204=A198)*(Appointments!$M$5:$M$1204="Completed")*Appointments!$B$5:$B$1204))))</f>
        <v>0</v>
      </c>
      <c r="Z198" s="25">
        <f>IF(B198="","",IF(Y198="","",TodayDate-Y198))</f>
        <v>0</v>
      </c>
      <c r="AA198" s="42">
        <f>IF(B198="","",SUMPRODUCT(MIN((Appointments!$E$5:$E$1204=A198)*(Appointments!$M$5:$M$1204&lt;&gt;"Cancelled")*(Appointments!$M$5:$M$1204&lt;&gt;"Completed")*(Appointments!$M$5:$M$1204&lt;&gt;"No show")*(Appointments!$B$5:$B$1204&gt;=TodayDate)*Appointments!$B$5:$B$1204+(1-(Appointments!$E$5:$E$1204=A198)*(Appointments!$M$5:$M$1204&lt;&gt;"Cancelled")*(Appointments!$M$5:$M$1204&lt;&gt;"Completed")*(Appointments!$M$5:$M$1204&lt;&gt;"No show")*(Appointments!$B$5:$B$1204&gt;=TodayDate))*2958465)))</f>
        <v>0</v>
      </c>
      <c r="AB198" s="17">
        <f>IF(B198="","",IF(AA198&gt;=2958465,"",AA198))</f>
        <v>0</v>
      </c>
      <c r="AC198" s="25">
        <f>IF(B198="","",IF(T198&lt;2,"",ROUND((Y198-X198)/MAX(1,T198-1),0)))</f>
        <v>0</v>
      </c>
      <c r="AD198" s="17">
        <f>IF(B198="","",IF(Y198="","",Y198+IF(AC198="",RebookWeeks*7,MAX(14,AC198))))</f>
        <v>0</v>
      </c>
      <c r="AE198" s="26">
        <f>IF(B198="","",ROUND(SUMIFS(Sales!$Y$5:$Y$1204,Sales!$D$5:$D$1204,A198),2))</f>
        <v>0</v>
      </c>
      <c r="AF198" s="26">
        <f>IF(B198="","",ROUND(SUMIFS(Sales!$Y$5:$Y$1204,Sales!$D$5:$D$1204,A198,Sales!$H$5:$H$1204,"Service"),2))</f>
        <v>0</v>
      </c>
      <c r="AG198" s="26">
        <f>IF(B198="","",ROUND(SUMIFS(Sales!$Y$5:$Y$1204,Sales!$D$5:$D$1204,A198,Sales!$H$5:$H$1204,"Retail"),2))</f>
        <v>0</v>
      </c>
      <c r="AH198" s="26">
        <f>IF(B198="","",ROUND(SUMIFS(Sales!$Y$5:$Y$1204,Sales!$D$5:$D$1204,A198,Sales!$B$5:$B$1204,"&gt;="&amp;TodayDate-365),2))</f>
        <v>0</v>
      </c>
      <c r="AI198" s="26">
        <f>IF(B198="","",IF(T198=0,"",ROUND(AE198/T198,2)))</f>
        <v>0</v>
      </c>
      <c r="AJ198" s="26">
        <f>IF(B198="","",IF(AI198="","",IF(AC198="","",ROUND(AI198*(365/MAX(14,AC198)),2))))</f>
        <v>0</v>
      </c>
      <c r="AK198" s="26">
        <f>IF(B198="","",ROUND(SUMIFS(Sales!$AH$5:$AH$1204,Sales!$D$5:$D$1204,A198),2))</f>
        <v>0</v>
      </c>
      <c r="AL198" s="25">
        <f>IF(B198="","",IFERROR(INDEX(Loyalty!$P$5:$P$504,MATCH(A198,Loyalty!$B$5:$B$504,0))*1,0))</f>
        <v>0</v>
      </c>
      <c r="AM198" s="39">
        <f>IF(B198="","",IF(R198="Archived","Archived",IF(T198=0,"Not been yet",IF(Z198&gt;=InactiveDays,"Inactive",IF(Z198&gt;=LapsingDays,"Lapsing",IF(T198=1,"New",IF(AH198&gt;=VipSpend,"VIP",IF(U198&gt;=4,"Regular","Active"))))))))</f>
        <v>0</v>
      </c>
      <c r="AN198" s="38">
        <f>IF(B198="","",IF(T198&gt;=2,"Yes","No"))</f>
        <v>0</v>
      </c>
      <c r="AO198" s="25">
        <f>IF(B198="","",COUNTIFS($AE$5:$AE$504,"&gt;"&amp;AE198)+COUNTIFS($AE$5:AE198,AE198))</f>
        <v>0</v>
      </c>
      <c r="AP198" s="25">
        <f>IF(B198="","",COUNTIFS($T$5:$T$504,"&gt;"&amp;T198)+COUNTIFS($T$5:T198,T198))</f>
        <v>0</v>
      </c>
      <c r="AQ198" s="39">
        <f>IF(B198="","",IF(COUNTIF($B$5:$B$504,B198)&gt;1,"Duplicate - same name twice",IF(R198="Archived","",IF(AK198&gt;0.004,"Chase - balance outstanding",IF(AM198="Inactive","Gone - win-back offer",IF(AM198="Lapsing","Chase - lapsing, call them",IF(IF(N198="",FALSE,TodayDate-N198&gt;PatchTestDays),"Due - patch test out of date",IF(IF(AD198="",FALSE,IF(AB198&lt;&gt;"",FALSE,AD198&lt;=TodayDate+14)),"Rebook - due and nothing booked",IF(IF(K198="",FALSE,ABS(DATE(YEAR(TodayDate),MONTH(K198),DAY(K198))-TodayDate)&lt;=7),"Birthday - send the treat","OK")))))))))</f>
        <v>0</v>
      </c>
    </row>
    <row r="199" spans="1:43">
      <c r="A199" s="28">
        <f>IF(B199="","",ClientPrefix&amp;TEXT(ROW()-4,"0000"))</f>
        <v>0</v>
      </c>
      <c r="J199" s="15">
        <f>IF(I199="","",IFERROR(INDEX(Staff!$B$5:$B$44,MATCH(I199,Staff!$A$5:$A$44,0)),"Not in Staff"))</f>
        <v>0</v>
      </c>
      <c r="T199" s="25">
        <f>IF(B199="","",COUNTIFS(Appointments!$E$5:$E$1204,A199,Appointments!$M$5:$M$1204,"Completed"))</f>
        <v>0</v>
      </c>
      <c r="U199" s="25">
        <f>IF(B199="","",COUNTIFS(Appointments!$E$5:$E$1204,A199,Appointments!$M$5:$M$1204,"Completed",Appointments!$B$5:$B$1204,"&gt;="&amp;TodayDate-365))</f>
        <v>0</v>
      </c>
      <c r="V199" s="25">
        <f>IF(B199="","",COUNTIFS(Appointments!$E$5:$E$1204,A199,Appointments!$M$5:$M$1204,"Cancelled"))</f>
        <v>0</v>
      </c>
      <c r="W199" s="25">
        <f>IF(B199="","",COUNTIFS(Appointments!$E$5:$E$1204,A199,Appointments!$M$5:$M$1204,"No show"))</f>
        <v>0</v>
      </c>
      <c r="X199" s="17">
        <f>IF(B199="","",IF(F199&lt;&gt;"",F199,IF(T199=0,"",SUMPRODUCT(MIN((Appointments!$E$5:$E$1204=A199)*(Appointments!$M$5:$M$1204="Completed")*Appointments!$B$5:$B$1204+(1-(Appointments!$E$5:$E$1204=A199)*(Appointments!$M$5:$M$1204="Completed"))*2958465)))))</f>
        <v>0</v>
      </c>
      <c r="Y199" s="17">
        <f>IF(B199="","",IF(T199=0,"",SUMPRODUCT(MAX((Appointments!$E$5:$E$1204=A199)*(Appointments!$M$5:$M$1204="Completed")*Appointments!$B$5:$B$1204))))</f>
        <v>0</v>
      </c>
      <c r="Z199" s="25">
        <f>IF(B199="","",IF(Y199="","",TodayDate-Y199))</f>
        <v>0</v>
      </c>
      <c r="AA199" s="42">
        <f>IF(B199="","",SUMPRODUCT(MIN((Appointments!$E$5:$E$1204=A199)*(Appointments!$M$5:$M$1204&lt;&gt;"Cancelled")*(Appointments!$M$5:$M$1204&lt;&gt;"Completed")*(Appointments!$M$5:$M$1204&lt;&gt;"No show")*(Appointments!$B$5:$B$1204&gt;=TodayDate)*Appointments!$B$5:$B$1204+(1-(Appointments!$E$5:$E$1204=A199)*(Appointments!$M$5:$M$1204&lt;&gt;"Cancelled")*(Appointments!$M$5:$M$1204&lt;&gt;"Completed")*(Appointments!$M$5:$M$1204&lt;&gt;"No show")*(Appointments!$B$5:$B$1204&gt;=TodayDate))*2958465)))</f>
        <v>0</v>
      </c>
      <c r="AB199" s="17">
        <f>IF(B199="","",IF(AA199&gt;=2958465,"",AA199))</f>
        <v>0</v>
      </c>
      <c r="AC199" s="25">
        <f>IF(B199="","",IF(T199&lt;2,"",ROUND((Y199-X199)/MAX(1,T199-1),0)))</f>
        <v>0</v>
      </c>
      <c r="AD199" s="17">
        <f>IF(B199="","",IF(Y199="","",Y199+IF(AC199="",RebookWeeks*7,MAX(14,AC199))))</f>
        <v>0</v>
      </c>
      <c r="AE199" s="26">
        <f>IF(B199="","",ROUND(SUMIFS(Sales!$Y$5:$Y$1204,Sales!$D$5:$D$1204,A199),2))</f>
        <v>0</v>
      </c>
      <c r="AF199" s="26">
        <f>IF(B199="","",ROUND(SUMIFS(Sales!$Y$5:$Y$1204,Sales!$D$5:$D$1204,A199,Sales!$H$5:$H$1204,"Service"),2))</f>
        <v>0</v>
      </c>
      <c r="AG199" s="26">
        <f>IF(B199="","",ROUND(SUMIFS(Sales!$Y$5:$Y$1204,Sales!$D$5:$D$1204,A199,Sales!$H$5:$H$1204,"Retail"),2))</f>
        <v>0</v>
      </c>
      <c r="AH199" s="26">
        <f>IF(B199="","",ROUND(SUMIFS(Sales!$Y$5:$Y$1204,Sales!$D$5:$D$1204,A199,Sales!$B$5:$B$1204,"&gt;="&amp;TodayDate-365),2))</f>
        <v>0</v>
      </c>
      <c r="AI199" s="26">
        <f>IF(B199="","",IF(T199=0,"",ROUND(AE199/T199,2)))</f>
        <v>0</v>
      </c>
      <c r="AJ199" s="26">
        <f>IF(B199="","",IF(AI199="","",IF(AC199="","",ROUND(AI199*(365/MAX(14,AC199)),2))))</f>
        <v>0</v>
      </c>
      <c r="AK199" s="26">
        <f>IF(B199="","",ROUND(SUMIFS(Sales!$AH$5:$AH$1204,Sales!$D$5:$D$1204,A199),2))</f>
        <v>0</v>
      </c>
      <c r="AL199" s="25">
        <f>IF(B199="","",IFERROR(INDEX(Loyalty!$P$5:$P$504,MATCH(A199,Loyalty!$B$5:$B$504,0))*1,0))</f>
        <v>0</v>
      </c>
      <c r="AM199" s="39">
        <f>IF(B199="","",IF(R199="Archived","Archived",IF(T199=0,"Not been yet",IF(Z199&gt;=InactiveDays,"Inactive",IF(Z199&gt;=LapsingDays,"Lapsing",IF(T199=1,"New",IF(AH199&gt;=VipSpend,"VIP",IF(U199&gt;=4,"Regular","Active"))))))))</f>
        <v>0</v>
      </c>
      <c r="AN199" s="38">
        <f>IF(B199="","",IF(T199&gt;=2,"Yes","No"))</f>
        <v>0</v>
      </c>
      <c r="AO199" s="25">
        <f>IF(B199="","",COUNTIFS($AE$5:$AE$504,"&gt;"&amp;AE199)+COUNTIFS($AE$5:AE199,AE199))</f>
        <v>0</v>
      </c>
      <c r="AP199" s="25">
        <f>IF(B199="","",COUNTIFS($T$5:$T$504,"&gt;"&amp;T199)+COUNTIFS($T$5:T199,T199))</f>
        <v>0</v>
      </c>
      <c r="AQ199" s="39">
        <f>IF(B199="","",IF(COUNTIF($B$5:$B$504,B199)&gt;1,"Duplicate - same name twice",IF(R199="Archived","",IF(AK199&gt;0.004,"Chase - balance outstanding",IF(AM199="Inactive","Gone - win-back offer",IF(AM199="Lapsing","Chase - lapsing, call them",IF(IF(N199="",FALSE,TodayDate-N199&gt;PatchTestDays),"Due - patch test out of date",IF(IF(AD199="",FALSE,IF(AB199&lt;&gt;"",FALSE,AD199&lt;=TodayDate+14)),"Rebook - due and nothing booked",IF(IF(K199="",FALSE,ABS(DATE(YEAR(TodayDate),MONTH(K199),DAY(K199))-TodayDate)&lt;=7),"Birthday - send the treat","OK")))))))))</f>
        <v>0</v>
      </c>
    </row>
    <row r="200" spans="1:43">
      <c r="A200" s="28">
        <f>IF(B200="","",ClientPrefix&amp;TEXT(ROW()-4,"0000"))</f>
        <v>0</v>
      </c>
      <c r="J200" s="15">
        <f>IF(I200="","",IFERROR(INDEX(Staff!$B$5:$B$44,MATCH(I200,Staff!$A$5:$A$44,0)),"Not in Staff"))</f>
        <v>0</v>
      </c>
      <c r="T200" s="25">
        <f>IF(B200="","",COUNTIFS(Appointments!$E$5:$E$1204,A200,Appointments!$M$5:$M$1204,"Completed"))</f>
        <v>0</v>
      </c>
      <c r="U200" s="25">
        <f>IF(B200="","",COUNTIFS(Appointments!$E$5:$E$1204,A200,Appointments!$M$5:$M$1204,"Completed",Appointments!$B$5:$B$1204,"&gt;="&amp;TodayDate-365))</f>
        <v>0</v>
      </c>
      <c r="V200" s="25">
        <f>IF(B200="","",COUNTIFS(Appointments!$E$5:$E$1204,A200,Appointments!$M$5:$M$1204,"Cancelled"))</f>
        <v>0</v>
      </c>
      <c r="W200" s="25">
        <f>IF(B200="","",COUNTIFS(Appointments!$E$5:$E$1204,A200,Appointments!$M$5:$M$1204,"No show"))</f>
        <v>0</v>
      </c>
      <c r="X200" s="17">
        <f>IF(B200="","",IF(F200&lt;&gt;"",F200,IF(T200=0,"",SUMPRODUCT(MIN((Appointments!$E$5:$E$1204=A200)*(Appointments!$M$5:$M$1204="Completed")*Appointments!$B$5:$B$1204+(1-(Appointments!$E$5:$E$1204=A200)*(Appointments!$M$5:$M$1204="Completed"))*2958465)))))</f>
        <v>0</v>
      </c>
      <c r="Y200" s="17">
        <f>IF(B200="","",IF(T200=0,"",SUMPRODUCT(MAX((Appointments!$E$5:$E$1204=A200)*(Appointments!$M$5:$M$1204="Completed")*Appointments!$B$5:$B$1204))))</f>
        <v>0</v>
      </c>
      <c r="Z200" s="25">
        <f>IF(B200="","",IF(Y200="","",TodayDate-Y200))</f>
        <v>0</v>
      </c>
      <c r="AA200" s="42">
        <f>IF(B200="","",SUMPRODUCT(MIN((Appointments!$E$5:$E$1204=A200)*(Appointments!$M$5:$M$1204&lt;&gt;"Cancelled")*(Appointments!$M$5:$M$1204&lt;&gt;"Completed")*(Appointments!$M$5:$M$1204&lt;&gt;"No show")*(Appointments!$B$5:$B$1204&gt;=TodayDate)*Appointments!$B$5:$B$1204+(1-(Appointments!$E$5:$E$1204=A200)*(Appointments!$M$5:$M$1204&lt;&gt;"Cancelled")*(Appointments!$M$5:$M$1204&lt;&gt;"Completed")*(Appointments!$M$5:$M$1204&lt;&gt;"No show")*(Appointments!$B$5:$B$1204&gt;=TodayDate))*2958465)))</f>
        <v>0</v>
      </c>
      <c r="AB200" s="17">
        <f>IF(B200="","",IF(AA200&gt;=2958465,"",AA200))</f>
        <v>0</v>
      </c>
      <c r="AC200" s="25">
        <f>IF(B200="","",IF(T200&lt;2,"",ROUND((Y200-X200)/MAX(1,T200-1),0)))</f>
        <v>0</v>
      </c>
      <c r="AD200" s="17">
        <f>IF(B200="","",IF(Y200="","",Y200+IF(AC200="",RebookWeeks*7,MAX(14,AC200))))</f>
        <v>0</v>
      </c>
      <c r="AE200" s="26">
        <f>IF(B200="","",ROUND(SUMIFS(Sales!$Y$5:$Y$1204,Sales!$D$5:$D$1204,A200),2))</f>
        <v>0</v>
      </c>
      <c r="AF200" s="26">
        <f>IF(B200="","",ROUND(SUMIFS(Sales!$Y$5:$Y$1204,Sales!$D$5:$D$1204,A200,Sales!$H$5:$H$1204,"Service"),2))</f>
        <v>0</v>
      </c>
      <c r="AG200" s="26">
        <f>IF(B200="","",ROUND(SUMIFS(Sales!$Y$5:$Y$1204,Sales!$D$5:$D$1204,A200,Sales!$H$5:$H$1204,"Retail"),2))</f>
        <v>0</v>
      </c>
      <c r="AH200" s="26">
        <f>IF(B200="","",ROUND(SUMIFS(Sales!$Y$5:$Y$1204,Sales!$D$5:$D$1204,A200,Sales!$B$5:$B$1204,"&gt;="&amp;TodayDate-365),2))</f>
        <v>0</v>
      </c>
      <c r="AI200" s="26">
        <f>IF(B200="","",IF(T200=0,"",ROUND(AE200/T200,2)))</f>
        <v>0</v>
      </c>
      <c r="AJ200" s="26">
        <f>IF(B200="","",IF(AI200="","",IF(AC200="","",ROUND(AI200*(365/MAX(14,AC200)),2))))</f>
        <v>0</v>
      </c>
      <c r="AK200" s="26">
        <f>IF(B200="","",ROUND(SUMIFS(Sales!$AH$5:$AH$1204,Sales!$D$5:$D$1204,A200),2))</f>
        <v>0</v>
      </c>
      <c r="AL200" s="25">
        <f>IF(B200="","",IFERROR(INDEX(Loyalty!$P$5:$P$504,MATCH(A200,Loyalty!$B$5:$B$504,0))*1,0))</f>
        <v>0</v>
      </c>
      <c r="AM200" s="39">
        <f>IF(B200="","",IF(R200="Archived","Archived",IF(T200=0,"Not been yet",IF(Z200&gt;=InactiveDays,"Inactive",IF(Z200&gt;=LapsingDays,"Lapsing",IF(T200=1,"New",IF(AH200&gt;=VipSpend,"VIP",IF(U200&gt;=4,"Regular","Active"))))))))</f>
        <v>0</v>
      </c>
      <c r="AN200" s="38">
        <f>IF(B200="","",IF(T200&gt;=2,"Yes","No"))</f>
        <v>0</v>
      </c>
      <c r="AO200" s="25">
        <f>IF(B200="","",COUNTIFS($AE$5:$AE$504,"&gt;"&amp;AE200)+COUNTIFS($AE$5:AE200,AE200))</f>
        <v>0</v>
      </c>
      <c r="AP200" s="25">
        <f>IF(B200="","",COUNTIFS($T$5:$T$504,"&gt;"&amp;T200)+COUNTIFS($T$5:T200,T200))</f>
        <v>0</v>
      </c>
      <c r="AQ200" s="39">
        <f>IF(B200="","",IF(COUNTIF($B$5:$B$504,B200)&gt;1,"Duplicate - same name twice",IF(R200="Archived","",IF(AK200&gt;0.004,"Chase - balance outstanding",IF(AM200="Inactive","Gone - win-back offer",IF(AM200="Lapsing","Chase - lapsing, call them",IF(IF(N200="",FALSE,TodayDate-N200&gt;PatchTestDays),"Due - patch test out of date",IF(IF(AD200="",FALSE,IF(AB200&lt;&gt;"",FALSE,AD200&lt;=TodayDate+14)),"Rebook - due and nothing booked",IF(IF(K200="",FALSE,ABS(DATE(YEAR(TodayDate),MONTH(K200),DAY(K200))-TodayDate)&lt;=7),"Birthday - send the treat","OK")))))))))</f>
        <v>0</v>
      </c>
    </row>
    <row r="201" spans="1:43">
      <c r="A201" s="28">
        <f>IF(B201="","",ClientPrefix&amp;TEXT(ROW()-4,"0000"))</f>
        <v>0</v>
      </c>
      <c r="J201" s="15">
        <f>IF(I201="","",IFERROR(INDEX(Staff!$B$5:$B$44,MATCH(I201,Staff!$A$5:$A$44,0)),"Not in Staff"))</f>
        <v>0</v>
      </c>
      <c r="T201" s="25">
        <f>IF(B201="","",COUNTIFS(Appointments!$E$5:$E$1204,A201,Appointments!$M$5:$M$1204,"Completed"))</f>
        <v>0</v>
      </c>
      <c r="U201" s="25">
        <f>IF(B201="","",COUNTIFS(Appointments!$E$5:$E$1204,A201,Appointments!$M$5:$M$1204,"Completed",Appointments!$B$5:$B$1204,"&gt;="&amp;TodayDate-365))</f>
        <v>0</v>
      </c>
      <c r="V201" s="25">
        <f>IF(B201="","",COUNTIFS(Appointments!$E$5:$E$1204,A201,Appointments!$M$5:$M$1204,"Cancelled"))</f>
        <v>0</v>
      </c>
      <c r="W201" s="25">
        <f>IF(B201="","",COUNTIFS(Appointments!$E$5:$E$1204,A201,Appointments!$M$5:$M$1204,"No show"))</f>
        <v>0</v>
      </c>
      <c r="X201" s="17">
        <f>IF(B201="","",IF(F201&lt;&gt;"",F201,IF(T201=0,"",SUMPRODUCT(MIN((Appointments!$E$5:$E$1204=A201)*(Appointments!$M$5:$M$1204="Completed")*Appointments!$B$5:$B$1204+(1-(Appointments!$E$5:$E$1204=A201)*(Appointments!$M$5:$M$1204="Completed"))*2958465)))))</f>
        <v>0</v>
      </c>
      <c r="Y201" s="17">
        <f>IF(B201="","",IF(T201=0,"",SUMPRODUCT(MAX((Appointments!$E$5:$E$1204=A201)*(Appointments!$M$5:$M$1204="Completed")*Appointments!$B$5:$B$1204))))</f>
        <v>0</v>
      </c>
      <c r="Z201" s="25">
        <f>IF(B201="","",IF(Y201="","",TodayDate-Y201))</f>
        <v>0</v>
      </c>
      <c r="AA201" s="42">
        <f>IF(B201="","",SUMPRODUCT(MIN((Appointments!$E$5:$E$1204=A201)*(Appointments!$M$5:$M$1204&lt;&gt;"Cancelled")*(Appointments!$M$5:$M$1204&lt;&gt;"Completed")*(Appointments!$M$5:$M$1204&lt;&gt;"No show")*(Appointments!$B$5:$B$1204&gt;=TodayDate)*Appointments!$B$5:$B$1204+(1-(Appointments!$E$5:$E$1204=A201)*(Appointments!$M$5:$M$1204&lt;&gt;"Cancelled")*(Appointments!$M$5:$M$1204&lt;&gt;"Completed")*(Appointments!$M$5:$M$1204&lt;&gt;"No show")*(Appointments!$B$5:$B$1204&gt;=TodayDate))*2958465)))</f>
        <v>0</v>
      </c>
      <c r="AB201" s="17">
        <f>IF(B201="","",IF(AA201&gt;=2958465,"",AA201))</f>
        <v>0</v>
      </c>
      <c r="AC201" s="25">
        <f>IF(B201="","",IF(T201&lt;2,"",ROUND((Y201-X201)/MAX(1,T201-1),0)))</f>
        <v>0</v>
      </c>
      <c r="AD201" s="17">
        <f>IF(B201="","",IF(Y201="","",Y201+IF(AC201="",RebookWeeks*7,MAX(14,AC201))))</f>
        <v>0</v>
      </c>
      <c r="AE201" s="26">
        <f>IF(B201="","",ROUND(SUMIFS(Sales!$Y$5:$Y$1204,Sales!$D$5:$D$1204,A201),2))</f>
        <v>0</v>
      </c>
      <c r="AF201" s="26">
        <f>IF(B201="","",ROUND(SUMIFS(Sales!$Y$5:$Y$1204,Sales!$D$5:$D$1204,A201,Sales!$H$5:$H$1204,"Service"),2))</f>
        <v>0</v>
      </c>
      <c r="AG201" s="26">
        <f>IF(B201="","",ROUND(SUMIFS(Sales!$Y$5:$Y$1204,Sales!$D$5:$D$1204,A201,Sales!$H$5:$H$1204,"Retail"),2))</f>
        <v>0</v>
      </c>
      <c r="AH201" s="26">
        <f>IF(B201="","",ROUND(SUMIFS(Sales!$Y$5:$Y$1204,Sales!$D$5:$D$1204,A201,Sales!$B$5:$B$1204,"&gt;="&amp;TodayDate-365),2))</f>
        <v>0</v>
      </c>
      <c r="AI201" s="26">
        <f>IF(B201="","",IF(T201=0,"",ROUND(AE201/T201,2)))</f>
        <v>0</v>
      </c>
      <c r="AJ201" s="26">
        <f>IF(B201="","",IF(AI201="","",IF(AC201="","",ROUND(AI201*(365/MAX(14,AC201)),2))))</f>
        <v>0</v>
      </c>
      <c r="AK201" s="26">
        <f>IF(B201="","",ROUND(SUMIFS(Sales!$AH$5:$AH$1204,Sales!$D$5:$D$1204,A201),2))</f>
        <v>0</v>
      </c>
      <c r="AL201" s="25">
        <f>IF(B201="","",IFERROR(INDEX(Loyalty!$P$5:$P$504,MATCH(A201,Loyalty!$B$5:$B$504,0))*1,0))</f>
        <v>0</v>
      </c>
      <c r="AM201" s="39">
        <f>IF(B201="","",IF(R201="Archived","Archived",IF(T201=0,"Not been yet",IF(Z201&gt;=InactiveDays,"Inactive",IF(Z201&gt;=LapsingDays,"Lapsing",IF(T201=1,"New",IF(AH201&gt;=VipSpend,"VIP",IF(U201&gt;=4,"Regular","Active"))))))))</f>
        <v>0</v>
      </c>
      <c r="AN201" s="38">
        <f>IF(B201="","",IF(T201&gt;=2,"Yes","No"))</f>
        <v>0</v>
      </c>
      <c r="AO201" s="25">
        <f>IF(B201="","",COUNTIFS($AE$5:$AE$504,"&gt;"&amp;AE201)+COUNTIFS($AE$5:AE201,AE201))</f>
        <v>0</v>
      </c>
      <c r="AP201" s="25">
        <f>IF(B201="","",COUNTIFS($T$5:$T$504,"&gt;"&amp;T201)+COUNTIFS($T$5:T201,T201))</f>
        <v>0</v>
      </c>
      <c r="AQ201" s="39">
        <f>IF(B201="","",IF(COUNTIF($B$5:$B$504,B201)&gt;1,"Duplicate - same name twice",IF(R201="Archived","",IF(AK201&gt;0.004,"Chase - balance outstanding",IF(AM201="Inactive","Gone - win-back offer",IF(AM201="Lapsing","Chase - lapsing, call them",IF(IF(N201="",FALSE,TodayDate-N201&gt;PatchTestDays),"Due - patch test out of date",IF(IF(AD201="",FALSE,IF(AB201&lt;&gt;"",FALSE,AD201&lt;=TodayDate+14)),"Rebook - due and nothing booked",IF(IF(K201="",FALSE,ABS(DATE(YEAR(TodayDate),MONTH(K201),DAY(K201))-TodayDate)&lt;=7),"Birthday - send the treat","OK")))))))))</f>
        <v>0</v>
      </c>
    </row>
    <row r="202" spans="1:43">
      <c r="A202" s="28">
        <f>IF(B202="","",ClientPrefix&amp;TEXT(ROW()-4,"0000"))</f>
        <v>0</v>
      </c>
      <c r="J202" s="15">
        <f>IF(I202="","",IFERROR(INDEX(Staff!$B$5:$B$44,MATCH(I202,Staff!$A$5:$A$44,0)),"Not in Staff"))</f>
        <v>0</v>
      </c>
      <c r="T202" s="25">
        <f>IF(B202="","",COUNTIFS(Appointments!$E$5:$E$1204,A202,Appointments!$M$5:$M$1204,"Completed"))</f>
        <v>0</v>
      </c>
      <c r="U202" s="25">
        <f>IF(B202="","",COUNTIFS(Appointments!$E$5:$E$1204,A202,Appointments!$M$5:$M$1204,"Completed",Appointments!$B$5:$B$1204,"&gt;="&amp;TodayDate-365))</f>
        <v>0</v>
      </c>
      <c r="V202" s="25">
        <f>IF(B202="","",COUNTIFS(Appointments!$E$5:$E$1204,A202,Appointments!$M$5:$M$1204,"Cancelled"))</f>
        <v>0</v>
      </c>
      <c r="W202" s="25">
        <f>IF(B202="","",COUNTIFS(Appointments!$E$5:$E$1204,A202,Appointments!$M$5:$M$1204,"No show"))</f>
        <v>0</v>
      </c>
      <c r="X202" s="17">
        <f>IF(B202="","",IF(F202&lt;&gt;"",F202,IF(T202=0,"",SUMPRODUCT(MIN((Appointments!$E$5:$E$1204=A202)*(Appointments!$M$5:$M$1204="Completed")*Appointments!$B$5:$B$1204+(1-(Appointments!$E$5:$E$1204=A202)*(Appointments!$M$5:$M$1204="Completed"))*2958465)))))</f>
        <v>0</v>
      </c>
      <c r="Y202" s="17">
        <f>IF(B202="","",IF(T202=0,"",SUMPRODUCT(MAX((Appointments!$E$5:$E$1204=A202)*(Appointments!$M$5:$M$1204="Completed")*Appointments!$B$5:$B$1204))))</f>
        <v>0</v>
      </c>
      <c r="Z202" s="25">
        <f>IF(B202="","",IF(Y202="","",TodayDate-Y202))</f>
        <v>0</v>
      </c>
      <c r="AA202" s="42">
        <f>IF(B202="","",SUMPRODUCT(MIN((Appointments!$E$5:$E$1204=A202)*(Appointments!$M$5:$M$1204&lt;&gt;"Cancelled")*(Appointments!$M$5:$M$1204&lt;&gt;"Completed")*(Appointments!$M$5:$M$1204&lt;&gt;"No show")*(Appointments!$B$5:$B$1204&gt;=TodayDate)*Appointments!$B$5:$B$1204+(1-(Appointments!$E$5:$E$1204=A202)*(Appointments!$M$5:$M$1204&lt;&gt;"Cancelled")*(Appointments!$M$5:$M$1204&lt;&gt;"Completed")*(Appointments!$M$5:$M$1204&lt;&gt;"No show")*(Appointments!$B$5:$B$1204&gt;=TodayDate))*2958465)))</f>
        <v>0</v>
      </c>
      <c r="AB202" s="17">
        <f>IF(B202="","",IF(AA202&gt;=2958465,"",AA202))</f>
        <v>0</v>
      </c>
      <c r="AC202" s="25">
        <f>IF(B202="","",IF(T202&lt;2,"",ROUND((Y202-X202)/MAX(1,T202-1),0)))</f>
        <v>0</v>
      </c>
      <c r="AD202" s="17">
        <f>IF(B202="","",IF(Y202="","",Y202+IF(AC202="",RebookWeeks*7,MAX(14,AC202))))</f>
        <v>0</v>
      </c>
      <c r="AE202" s="26">
        <f>IF(B202="","",ROUND(SUMIFS(Sales!$Y$5:$Y$1204,Sales!$D$5:$D$1204,A202),2))</f>
        <v>0</v>
      </c>
      <c r="AF202" s="26">
        <f>IF(B202="","",ROUND(SUMIFS(Sales!$Y$5:$Y$1204,Sales!$D$5:$D$1204,A202,Sales!$H$5:$H$1204,"Service"),2))</f>
        <v>0</v>
      </c>
      <c r="AG202" s="26">
        <f>IF(B202="","",ROUND(SUMIFS(Sales!$Y$5:$Y$1204,Sales!$D$5:$D$1204,A202,Sales!$H$5:$H$1204,"Retail"),2))</f>
        <v>0</v>
      </c>
      <c r="AH202" s="26">
        <f>IF(B202="","",ROUND(SUMIFS(Sales!$Y$5:$Y$1204,Sales!$D$5:$D$1204,A202,Sales!$B$5:$B$1204,"&gt;="&amp;TodayDate-365),2))</f>
        <v>0</v>
      </c>
      <c r="AI202" s="26">
        <f>IF(B202="","",IF(T202=0,"",ROUND(AE202/T202,2)))</f>
        <v>0</v>
      </c>
      <c r="AJ202" s="26">
        <f>IF(B202="","",IF(AI202="","",IF(AC202="","",ROUND(AI202*(365/MAX(14,AC202)),2))))</f>
        <v>0</v>
      </c>
      <c r="AK202" s="26">
        <f>IF(B202="","",ROUND(SUMIFS(Sales!$AH$5:$AH$1204,Sales!$D$5:$D$1204,A202),2))</f>
        <v>0</v>
      </c>
      <c r="AL202" s="25">
        <f>IF(B202="","",IFERROR(INDEX(Loyalty!$P$5:$P$504,MATCH(A202,Loyalty!$B$5:$B$504,0))*1,0))</f>
        <v>0</v>
      </c>
      <c r="AM202" s="39">
        <f>IF(B202="","",IF(R202="Archived","Archived",IF(T202=0,"Not been yet",IF(Z202&gt;=InactiveDays,"Inactive",IF(Z202&gt;=LapsingDays,"Lapsing",IF(T202=1,"New",IF(AH202&gt;=VipSpend,"VIP",IF(U202&gt;=4,"Regular","Active"))))))))</f>
        <v>0</v>
      </c>
      <c r="AN202" s="38">
        <f>IF(B202="","",IF(T202&gt;=2,"Yes","No"))</f>
        <v>0</v>
      </c>
      <c r="AO202" s="25">
        <f>IF(B202="","",COUNTIFS($AE$5:$AE$504,"&gt;"&amp;AE202)+COUNTIFS($AE$5:AE202,AE202))</f>
        <v>0</v>
      </c>
      <c r="AP202" s="25">
        <f>IF(B202="","",COUNTIFS($T$5:$T$504,"&gt;"&amp;T202)+COUNTIFS($T$5:T202,T202))</f>
        <v>0</v>
      </c>
      <c r="AQ202" s="39">
        <f>IF(B202="","",IF(COUNTIF($B$5:$B$504,B202)&gt;1,"Duplicate - same name twice",IF(R202="Archived","",IF(AK202&gt;0.004,"Chase - balance outstanding",IF(AM202="Inactive","Gone - win-back offer",IF(AM202="Lapsing","Chase - lapsing, call them",IF(IF(N202="",FALSE,TodayDate-N202&gt;PatchTestDays),"Due - patch test out of date",IF(IF(AD202="",FALSE,IF(AB202&lt;&gt;"",FALSE,AD202&lt;=TodayDate+14)),"Rebook - due and nothing booked",IF(IF(K202="",FALSE,ABS(DATE(YEAR(TodayDate),MONTH(K202),DAY(K202))-TodayDate)&lt;=7),"Birthday - send the treat","OK")))))))))</f>
        <v>0</v>
      </c>
    </row>
    <row r="203" spans="1:43">
      <c r="A203" s="28">
        <f>IF(B203="","",ClientPrefix&amp;TEXT(ROW()-4,"0000"))</f>
        <v>0</v>
      </c>
      <c r="J203" s="15">
        <f>IF(I203="","",IFERROR(INDEX(Staff!$B$5:$B$44,MATCH(I203,Staff!$A$5:$A$44,0)),"Not in Staff"))</f>
        <v>0</v>
      </c>
      <c r="T203" s="25">
        <f>IF(B203="","",COUNTIFS(Appointments!$E$5:$E$1204,A203,Appointments!$M$5:$M$1204,"Completed"))</f>
        <v>0</v>
      </c>
      <c r="U203" s="25">
        <f>IF(B203="","",COUNTIFS(Appointments!$E$5:$E$1204,A203,Appointments!$M$5:$M$1204,"Completed",Appointments!$B$5:$B$1204,"&gt;="&amp;TodayDate-365))</f>
        <v>0</v>
      </c>
      <c r="V203" s="25">
        <f>IF(B203="","",COUNTIFS(Appointments!$E$5:$E$1204,A203,Appointments!$M$5:$M$1204,"Cancelled"))</f>
        <v>0</v>
      </c>
      <c r="W203" s="25">
        <f>IF(B203="","",COUNTIFS(Appointments!$E$5:$E$1204,A203,Appointments!$M$5:$M$1204,"No show"))</f>
        <v>0</v>
      </c>
      <c r="X203" s="17">
        <f>IF(B203="","",IF(F203&lt;&gt;"",F203,IF(T203=0,"",SUMPRODUCT(MIN((Appointments!$E$5:$E$1204=A203)*(Appointments!$M$5:$M$1204="Completed")*Appointments!$B$5:$B$1204+(1-(Appointments!$E$5:$E$1204=A203)*(Appointments!$M$5:$M$1204="Completed"))*2958465)))))</f>
        <v>0</v>
      </c>
      <c r="Y203" s="17">
        <f>IF(B203="","",IF(T203=0,"",SUMPRODUCT(MAX((Appointments!$E$5:$E$1204=A203)*(Appointments!$M$5:$M$1204="Completed")*Appointments!$B$5:$B$1204))))</f>
        <v>0</v>
      </c>
      <c r="Z203" s="25">
        <f>IF(B203="","",IF(Y203="","",TodayDate-Y203))</f>
        <v>0</v>
      </c>
      <c r="AA203" s="42">
        <f>IF(B203="","",SUMPRODUCT(MIN((Appointments!$E$5:$E$1204=A203)*(Appointments!$M$5:$M$1204&lt;&gt;"Cancelled")*(Appointments!$M$5:$M$1204&lt;&gt;"Completed")*(Appointments!$M$5:$M$1204&lt;&gt;"No show")*(Appointments!$B$5:$B$1204&gt;=TodayDate)*Appointments!$B$5:$B$1204+(1-(Appointments!$E$5:$E$1204=A203)*(Appointments!$M$5:$M$1204&lt;&gt;"Cancelled")*(Appointments!$M$5:$M$1204&lt;&gt;"Completed")*(Appointments!$M$5:$M$1204&lt;&gt;"No show")*(Appointments!$B$5:$B$1204&gt;=TodayDate))*2958465)))</f>
        <v>0</v>
      </c>
      <c r="AB203" s="17">
        <f>IF(B203="","",IF(AA203&gt;=2958465,"",AA203))</f>
        <v>0</v>
      </c>
      <c r="AC203" s="25">
        <f>IF(B203="","",IF(T203&lt;2,"",ROUND((Y203-X203)/MAX(1,T203-1),0)))</f>
        <v>0</v>
      </c>
      <c r="AD203" s="17">
        <f>IF(B203="","",IF(Y203="","",Y203+IF(AC203="",RebookWeeks*7,MAX(14,AC203))))</f>
        <v>0</v>
      </c>
      <c r="AE203" s="26">
        <f>IF(B203="","",ROUND(SUMIFS(Sales!$Y$5:$Y$1204,Sales!$D$5:$D$1204,A203),2))</f>
        <v>0</v>
      </c>
      <c r="AF203" s="26">
        <f>IF(B203="","",ROUND(SUMIFS(Sales!$Y$5:$Y$1204,Sales!$D$5:$D$1204,A203,Sales!$H$5:$H$1204,"Service"),2))</f>
        <v>0</v>
      </c>
      <c r="AG203" s="26">
        <f>IF(B203="","",ROUND(SUMIFS(Sales!$Y$5:$Y$1204,Sales!$D$5:$D$1204,A203,Sales!$H$5:$H$1204,"Retail"),2))</f>
        <v>0</v>
      </c>
      <c r="AH203" s="26">
        <f>IF(B203="","",ROUND(SUMIFS(Sales!$Y$5:$Y$1204,Sales!$D$5:$D$1204,A203,Sales!$B$5:$B$1204,"&gt;="&amp;TodayDate-365),2))</f>
        <v>0</v>
      </c>
      <c r="AI203" s="26">
        <f>IF(B203="","",IF(T203=0,"",ROUND(AE203/T203,2)))</f>
        <v>0</v>
      </c>
      <c r="AJ203" s="26">
        <f>IF(B203="","",IF(AI203="","",IF(AC203="","",ROUND(AI203*(365/MAX(14,AC203)),2))))</f>
        <v>0</v>
      </c>
      <c r="AK203" s="26">
        <f>IF(B203="","",ROUND(SUMIFS(Sales!$AH$5:$AH$1204,Sales!$D$5:$D$1204,A203),2))</f>
        <v>0</v>
      </c>
      <c r="AL203" s="25">
        <f>IF(B203="","",IFERROR(INDEX(Loyalty!$P$5:$P$504,MATCH(A203,Loyalty!$B$5:$B$504,0))*1,0))</f>
        <v>0</v>
      </c>
      <c r="AM203" s="39">
        <f>IF(B203="","",IF(R203="Archived","Archived",IF(T203=0,"Not been yet",IF(Z203&gt;=InactiveDays,"Inactive",IF(Z203&gt;=LapsingDays,"Lapsing",IF(T203=1,"New",IF(AH203&gt;=VipSpend,"VIP",IF(U203&gt;=4,"Regular","Active"))))))))</f>
        <v>0</v>
      </c>
      <c r="AN203" s="38">
        <f>IF(B203="","",IF(T203&gt;=2,"Yes","No"))</f>
        <v>0</v>
      </c>
      <c r="AO203" s="25">
        <f>IF(B203="","",COUNTIFS($AE$5:$AE$504,"&gt;"&amp;AE203)+COUNTIFS($AE$5:AE203,AE203))</f>
        <v>0</v>
      </c>
      <c r="AP203" s="25">
        <f>IF(B203="","",COUNTIFS($T$5:$T$504,"&gt;"&amp;T203)+COUNTIFS($T$5:T203,T203))</f>
        <v>0</v>
      </c>
      <c r="AQ203" s="39">
        <f>IF(B203="","",IF(COUNTIF($B$5:$B$504,B203)&gt;1,"Duplicate - same name twice",IF(R203="Archived","",IF(AK203&gt;0.004,"Chase - balance outstanding",IF(AM203="Inactive","Gone - win-back offer",IF(AM203="Lapsing","Chase - lapsing, call them",IF(IF(N203="",FALSE,TodayDate-N203&gt;PatchTestDays),"Due - patch test out of date",IF(IF(AD203="",FALSE,IF(AB203&lt;&gt;"",FALSE,AD203&lt;=TodayDate+14)),"Rebook - due and nothing booked",IF(IF(K203="",FALSE,ABS(DATE(YEAR(TodayDate),MONTH(K203),DAY(K203))-TodayDate)&lt;=7),"Birthday - send the treat","OK")))))))))</f>
        <v>0</v>
      </c>
    </row>
    <row r="204" spans="1:43">
      <c r="A204" s="28">
        <f>IF(B204="","",ClientPrefix&amp;TEXT(ROW()-4,"0000"))</f>
        <v>0</v>
      </c>
      <c r="J204" s="15">
        <f>IF(I204="","",IFERROR(INDEX(Staff!$B$5:$B$44,MATCH(I204,Staff!$A$5:$A$44,0)),"Not in Staff"))</f>
        <v>0</v>
      </c>
      <c r="T204" s="25">
        <f>IF(B204="","",COUNTIFS(Appointments!$E$5:$E$1204,A204,Appointments!$M$5:$M$1204,"Completed"))</f>
        <v>0</v>
      </c>
      <c r="U204" s="25">
        <f>IF(B204="","",COUNTIFS(Appointments!$E$5:$E$1204,A204,Appointments!$M$5:$M$1204,"Completed",Appointments!$B$5:$B$1204,"&gt;="&amp;TodayDate-365))</f>
        <v>0</v>
      </c>
      <c r="V204" s="25">
        <f>IF(B204="","",COUNTIFS(Appointments!$E$5:$E$1204,A204,Appointments!$M$5:$M$1204,"Cancelled"))</f>
        <v>0</v>
      </c>
      <c r="W204" s="25">
        <f>IF(B204="","",COUNTIFS(Appointments!$E$5:$E$1204,A204,Appointments!$M$5:$M$1204,"No show"))</f>
        <v>0</v>
      </c>
      <c r="X204" s="17">
        <f>IF(B204="","",IF(F204&lt;&gt;"",F204,IF(T204=0,"",SUMPRODUCT(MIN((Appointments!$E$5:$E$1204=A204)*(Appointments!$M$5:$M$1204="Completed")*Appointments!$B$5:$B$1204+(1-(Appointments!$E$5:$E$1204=A204)*(Appointments!$M$5:$M$1204="Completed"))*2958465)))))</f>
        <v>0</v>
      </c>
      <c r="Y204" s="17">
        <f>IF(B204="","",IF(T204=0,"",SUMPRODUCT(MAX((Appointments!$E$5:$E$1204=A204)*(Appointments!$M$5:$M$1204="Completed")*Appointments!$B$5:$B$1204))))</f>
        <v>0</v>
      </c>
      <c r="Z204" s="25">
        <f>IF(B204="","",IF(Y204="","",TodayDate-Y204))</f>
        <v>0</v>
      </c>
      <c r="AA204" s="42">
        <f>IF(B204="","",SUMPRODUCT(MIN((Appointments!$E$5:$E$1204=A204)*(Appointments!$M$5:$M$1204&lt;&gt;"Cancelled")*(Appointments!$M$5:$M$1204&lt;&gt;"Completed")*(Appointments!$M$5:$M$1204&lt;&gt;"No show")*(Appointments!$B$5:$B$1204&gt;=TodayDate)*Appointments!$B$5:$B$1204+(1-(Appointments!$E$5:$E$1204=A204)*(Appointments!$M$5:$M$1204&lt;&gt;"Cancelled")*(Appointments!$M$5:$M$1204&lt;&gt;"Completed")*(Appointments!$M$5:$M$1204&lt;&gt;"No show")*(Appointments!$B$5:$B$1204&gt;=TodayDate))*2958465)))</f>
        <v>0</v>
      </c>
      <c r="AB204" s="17">
        <f>IF(B204="","",IF(AA204&gt;=2958465,"",AA204))</f>
        <v>0</v>
      </c>
      <c r="AC204" s="25">
        <f>IF(B204="","",IF(T204&lt;2,"",ROUND((Y204-X204)/MAX(1,T204-1),0)))</f>
        <v>0</v>
      </c>
      <c r="AD204" s="17">
        <f>IF(B204="","",IF(Y204="","",Y204+IF(AC204="",RebookWeeks*7,MAX(14,AC204))))</f>
        <v>0</v>
      </c>
      <c r="AE204" s="26">
        <f>IF(B204="","",ROUND(SUMIFS(Sales!$Y$5:$Y$1204,Sales!$D$5:$D$1204,A204),2))</f>
        <v>0</v>
      </c>
      <c r="AF204" s="26">
        <f>IF(B204="","",ROUND(SUMIFS(Sales!$Y$5:$Y$1204,Sales!$D$5:$D$1204,A204,Sales!$H$5:$H$1204,"Service"),2))</f>
        <v>0</v>
      </c>
      <c r="AG204" s="26">
        <f>IF(B204="","",ROUND(SUMIFS(Sales!$Y$5:$Y$1204,Sales!$D$5:$D$1204,A204,Sales!$H$5:$H$1204,"Retail"),2))</f>
        <v>0</v>
      </c>
      <c r="AH204" s="26">
        <f>IF(B204="","",ROUND(SUMIFS(Sales!$Y$5:$Y$1204,Sales!$D$5:$D$1204,A204,Sales!$B$5:$B$1204,"&gt;="&amp;TodayDate-365),2))</f>
        <v>0</v>
      </c>
      <c r="AI204" s="26">
        <f>IF(B204="","",IF(T204=0,"",ROUND(AE204/T204,2)))</f>
        <v>0</v>
      </c>
      <c r="AJ204" s="26">
        <f>IF(B204="","",IF(AI204="","",IF(AC204="","",ROUND(AI204*(365/MAX(14,AC204)),2))))</f>
        <v>0</v>
      </c>
      <c r="AK204" s="26">
        <f>IF(B204="","",ROUND(SUMIFS(Sales!$AH$5:$AH$1204,Sales!$D$5:$D$1204,A204),2))</f>
        <v>0</v>
      </c>
      <c r="AL204" s="25">
        <f>IF(B204="","",IFERROR(INDEX(Loyalty!$P$5:$P$504,MATCH(A204,Loyalty!$B$5:$B$504,0))*1,0))</f>
        <v>0</v>
      </c>
      <c r="AM204" s="39">
        <f>IF(B204="","",IF(R204="Archived","Archived",IF(T204=0,"Not been yet",IF(Z204&gt;=InactiveDays,"Inactive",IF(Z204&gt;=LapsingDays,"Lapsing",IF(T204=1,"New",IF(AH204&gt;=VipSpend,"VIP",IF(U204&gt;=4,"Regular","Active"))))))))</f>
        <v>0</v>
      </c>
      <c r="AN204" s="38">
        <f>IF(B204="","",IF(T204&gt;=2,"Yes","No"))</f>
        <v>0</v>
      </c>
      <c r="AO204" s="25">
        <f>IF(B204="","",COUNTIFS($AE$5:$AE$504,"&gt;"&amp;AE204)+COUNTIFS($AE$5:AE204,AE204))</f>
        <v>0</v>
      </c>
      <c r="AP204" s="25">
        <f>IF(B204="","",COUNTIFS($T$5:$T$504,"&gt;"&amp;T204)+COUNTIFS($T$5:T204,T204))</f>
        <v>0</v>
      </c>
      <c r="AQ204" s="39">
        <f>IF(B204="","",IF(COUNTIF($B$5:$B$504,B204)&gt;1,"Duplicate - same name twice",IF(R204="Archived","",IF(AK204&gt;0.004,"Chase - balance outstanding",IF(AM204="Inactive","Gone - win-back offer",IF(AM204="Lapsing","Chase - lapsing, call them",IF(IF(N204="",FALSE,TodayDate-N204&gt;PatchTestDays),"Due - patch test out of date",IF(IF(AD204="",FALSE,IF(AB204&lt;&gt;"",FALSE,AD204&lt;=TodayDate+14)),"Rebook - due and nothing booked",IF(IF(K204="",FALSE,ABS(DATE(YEAR(TodayDate),MONTH(K204),DAY(K204))-TodayDate)&lt;=7),"Birthday - send the treat","OK")))))))))</f>
        <v>0</v>
      </c>
    </row>
    <row r="205" spans="1:43">
      <c r="A205" s="28">
        <f>IF(B205="","",ClientPrefix&amp;TEXT(ROW()-4,"0000"))</f>
        <v>0</v>
      </c>
      <c r="J205" s="15">
        <f>IF(I205="","",IFERROR(INDEX(Staff!$B$5:$B$44,MATCH(I205,Staff!$A$5:$A$44,0)),"Not in Staff"))</f>
        <v>0</v>
      </c>
      <c r="T205" s="25">
        <f>IF(B205="","",COUNTIFS(Appointments!$E$5:$E$1204,A205,Appointments!$M$5:$M$1204,"Completed"))</f>
        <v>0</v>
      </c>
      <c r="U205" s="25">
        <f>IF(B205="","",COUNTIFS(Appointments!$E$5:$E$1204,A205,Appointments!$M$5:$M$1204,"Completed",Appointments!$B$5:$B$1204,"&gt;="&amp;TodayDate-365))</f>
        <v>0</v>
      </c>
      <c r="V205" s="25">
        <f>IF(B205="","",COUNTIFS(Appointments!$E$5:$E$1204,A205,Appointments!$M$5:$M$1204,"Cancelled"))</f>
        <v>0</v>
      </c>
      <c r="W205" s="25">
        <f>IF(B205="","",COUNTIFS(Appointments!$E$5:$E$1204,A205,Appointments!$M$5:$M$1204,"No show"))</f>
        <v>0</v>
      </c>
      <c r="X205" s="17">
        <f>IF(B205="","",IF(F205&lt;&gt;"",F205,IF(T205=0,"",SUMPRODUCT(MIN((Appointments!$E$5:$E$1204=A205)*(Appointments!$M$5:$M$1204="Completed")*Appointments!$B$5:$B$1204+(1-(Appointments!$E$5:$E$1204=A205)*(Appointments!$M$5:$M$1204="Completed"))*2958465)))))</f>
        <v>0</v>
      </c>
      <c r="Y205" s="17">
        <f>IF(B205="","",IF(T205=0,"",SUMPRODUCT(MAX((Appointments!$E$5:$E$1204=A205)*(Appointments!$M$5:$M$1204="Completed")*Appointments!$B$5:$B$1204))))</f>
        <v>0</v>
      </c>
      <c r="Z205" s="25">
        <f>IF(B205="","",IF(Y205="","",TodayDate-Y205))</f>
        <v>0</v>
      </c>
      <c r="AA205" s="42">
        <f>IF(B205="","",SUMPRODUCT(MIN((Appointments!$E$5:$E$1204=A205)*(Appointments!$M$5:$M$1204&lt;&gt;"Cancelled")*(Appointments!$M$5:$M$1204&lt;&gt;"Completed")*(Appointments!$M$5:$M$1204&lt;&gt;"No show")*(Appointments!$B$5:$B$1204&gt;=TodayDate)*Appointments!$B$5:$B$1204+(1-(Appointments!$E$5:$E$1204=A205)*(Appointments!$M$5:$M$1204&lt;&gt;"Cancelled")*(Appointments!$M$5:$M$1204&lt;&gt;"Completed")*(Appointments!$M$5:$M$1204&lt;&gt;"No show")*(Appointments!$B$5:$B$1204&gt;=TodayDate))*2958465)))</f>
        <v>0</v>
      </c>
      <c r="AB205" s="17">
        <f>IF(B205="","",IF(AA205&gt;=2958465,"",AA205))</f>
        <v>0</v>
      </c>
      <c r="AC205" s="25">
        <f>IF(B205="","",IF(T205&lt;2,"",ROUND((Y205-X205)/MAX(1,T205-1),0)))</f>
        <v>0</v>
      </c>
      <c r="AD205" s="17">
        <f>IF(B205="","",IF(Y205="","",Y205+IF(AC205="",RebookWeeks*7,MAX(14,AC205))))</f>
        <v>0</v>
      </c>
      <c r="AE205" s="26">
        <f>IF(B205="","",ROUND(SUMIFS(Sales!$Y$5:$Y$1204,Sales!$D$5:$D$1204,A205),2))</f>
        <v>0</v>
      </c>
      <c r="AF205" s="26">
        <f>IF(B205="","",ROUND(SUMIFS(Sales!$Y$5:$Y$1204,Sales!$D$5:$D$1204,A205,Sales!$H$5:$H$1204,"Service"),2))</f>
        <v>0</v>
      </c>
      <c r="AG205" s="26">
        <f>IF(B205="","",ROUND(SUMIFS(Sales!$Y$5:$Y$1204,Sales!$D$5:$D$1204,A205,Sales!$H$5:$H$1204,"Retail"),2))</f>
        <v>0</v>
      </c>
      <c r="AH205" s="26">
        <f>IF(B205="","",ROUND(SUMIFS(Sales!$Y$5:$Y$1204,Sales!$D$5:$D$1204,A205,Sales!$B$5:$B$1204,"&gt;="&amp;TodayDate-365),2))</f>
        <v>0</v>
      </c>
      <c r="AI205" s="26">
        <f>IF(B205="","",IF(T205=0,"",ROUND(AE205/T205,2)))</f>
        <v>0</v>
      </c>
      <c r="AJ205" s="26">
        <f>IF(B205="","",IF(AI205="","",IF(AC205="","",ROUND(AI205*(365/MAX(14,AC205)),2))))</f>
        <v>0</v>
      </c>
      <c r="AK205" s="26">
        <f>IF(B205="","",ROUND(SUMIFS(Sales!$AH$5:$AH$1204,Sales!$D$5:$D$1204,A205),2))</f>
        <v>0</v>
      </c>
      <c r="AL205" s="25">
        <f>IF(B205="","",IFERROR(INDEX(Loyalty!$P$5:$P$504,MATCH(A205,Loyalty!$B$5:$B$504,0))*1,0))</f>
        <v>0</v>
      </c>
      <c r="AM205" s="39">
        <f>IF(B205="","",IF(R205="Archived","Archived",IF(T205=0,"Not been yet",IF(Z205&gt;=InactiveDays,"Inactive",IF(Z205&gt;=LapsingDays,"Lapsing",IF(T205=1,"New",IF(AH205&gt;=VipSpend,"VIP",IF(U205&gt;=4,"Regular","Active"))))))))</f>
        <v>0</v>
      </c>
      <c r="AN205" s="38">
        <f>IF(B205="","",IF(T205&gt;=2,"Yes","No"))</f>
        <v>0</v>
      </c>
      <c r="AO205" s="25">
        <f>IF(B205="","",COUNTIFS($AE$5:$AE$504,"&gt;"&amp;AE205)+COUNTIFS($AE$5:AE205,AE205))</f>
        <v>0</v>
      </c>
      <c r="AP205" s="25">
        <f>IF(B205="","",COUNTIFS($T$5:$T$504,"&gt;"&amp;T205)+COUNTIFS($T$5:T205,T205))</f>
        <v>0</v>
      </c>
      <c r="AQ205" s="39">
        <f>IF(B205="","",IF(COUNTIF($B$5:$B$504,B205)&gt;1,"Duplicate - same name twice",IF(R205="Archived","",IF(AK205&gt;0.004,"Chase - balance outstanding",IF(AM205="Inactive","Gone - win-back offer",IF(AM205="Lapsing","Chase - lapsing, call them",IF(IF(N205="",FALSE,TodayDate-N205&gt;PatchTestDays),"Due - patch test out of date",IF(IF(AD205="",FALSE,IF(AB205&lt;&gt;"",FALSE,AD205&lt;=TodayDate+14)),"Rebook - due and nothing booked",IF(IF(K205="",FALSE,ABS(DATE(YEAR(TodayDate),MONTH(K205),DAY(K205))-TodayDate)&lt;=7),"Birthday - send the treat","OK")))))))))</f>
        <v>0</v>
      </c>
    </row>
    <row r="206" spans="1:43">
      <c r="A206" s="28">
        <f>IF(B206="","",ClientPrefix&amp;TEXT(ROW()-4,"0000"))</f>
        <v>0</v>
      </c>
      <c r="J206" s="15">
        <f>IF(I206="","",IFERROR(INDEX(Staff!$B$5:$B$44,MATCH(I206,Staff!$A$5:$A$44,0)),"Not in Staff"))</f>
        <v>0</v>
      </c>
      <c r="T206" s="25">
        <f>IF(B206="","",COUNTIFS(Appointments!$E$5:$E$1204,A206,Appointments!$M$5:$M$1204,"Completed"))</f>
        <v>0</v>
      </c>
      <c r="U206" s="25">
        <f>IF(B206="","",COUNTIFS(Appointments!$E$5:$E$1204,A206,Appointments!$M$5:$M$1204,"Completed",Appointments!$B$5:$B$1204,"&gt;="&amp;TodayDate-365))</f>
        <v>0</v>
      </c>
      <c r="V206" s="25">
        <f>IF(B206="","",COUNTIFS(Appointments!$E$5:$E$1204,A206,Appointments!$M$5:$M$1204,"Cancelled"))</f>
        <v>0</v>
      </c>
      <c r="W206" s="25">
        <f>IF(B206="","",COUNTIFS(Appointments!$E$5:$E$1204,A206,Appointments!$M$5:$M$1204,"No show"))</f>
        <v>0</v>
      </c>
      <c r="X206" s="17">
        <f>IF(B206="","",IF(F206&lt;&gt;"",F206,IF(T206=0,"",SUMPRODUCT(MIN((Appointments!$E$5:$E$1204=A206)*(Appointments!$M$5:$M$1204="Completed")*Appointments!$B$5:$B$1204+(1-(Appointments!$E$5:$E$1204=A206)*(Appointments!$M$5:$M$1204="Completed"))*2958465)))))</f>
        <v>0</v>
      </c>
      <c r="Y206" s="17">
        <f>IF(B206="","",IF(T206=0,"",SUMPRODUCT(MAX((Appointments!$E$5:$E$1204=A206)*(Appointments!$M$5:$M$1204="Completed")*Appointments!$B$5:$B$1204))))</f>
        <v>0</v>
      </c>
      <c r="Z206" s="25">
        <f>IF(B206="","",IF(Y206="","",TodayDate-Y206))</f>
        <v>0</v>
      </c>
      <c r="AA206" s="42">
        <f>IF(B206="","",SUMPRODUCT(MIN((Appointments!$E$5:$E$1204=A206)*(Appointments!$M$5:$M$1204&lt;&gt;"Cancelled")*(Appointments!$M$5:$M$1204&lt;&gt;"Completed")*(Appointments!$M$5:$M$1204&lt;&gt;"No show")*(Appointments!$B$5:$B$1204&gt;=TodayDate)*Appointments!$B$5:$B$1204+(1-(Appointments!$E$5:$E$1204=A206)*(Appointments!$M$5:$M$1204&lt;&gt;"Cancelled")*(Appointments!$M$5:$M$1204&lt;&gt;"Completed")*(Appointments!$M$5:$M$1204&lt;&gt;"No show")*(Appointments!$B$5:$B$1204&gt;=TodayDate))*2958465)))</f>
        <v>0</v>
      </c>
      <c r="AB206" s="17">
        <f>IF(B206="","",IF(AA206&gt;=2958465,"",AA206))</f>
        <v>0</v>
      </c>
      <c r="AC206" s="25">
        <f>IF(B206="","",IF(T206&lt;2,"",ROUND((Y206-X206)/MAX(1,T206-1),0)))</f>
        <v>0</v>
      </c>
      <c r="AD206" s="17">
        <f>IF(B206="","",IF(Y206="","",Y206+IF(AC206="",RebookWeeks*7,MAX(14,AC206))))</f>
        <v>0</v>
      </c>
      <c r="AE206" s="26">
        <f>IF(B206="","",ROUND(SUMIFS(Sales!$Y$5:$Y$1204,Sales!$D$5:$D$1204,A206),2))</f>
        <v>0</v>
      </c>
      <c r="AF206" s="26">
        <f>IF(B206="","",ROUND(SUMIFS(Sales!$Y$5:$Y$1204,Sales!$D$5:$D$1204,A206,Sales!$H$5:$H$1204,"Service"),2))</f>
        <v>0</v>
      </c>
      <c r="AG206" s="26">
        <f>IF(B206="","",ROUND(SUMIFS(Sales!$Y$5:$Y$1204,Sales!$D$5:$D$1204,A206,Sales!$H$5:$H$1204,"Retail"),2))</f>
        <v>0</v>
      </c>
      <c r="AH206" s="26">
        <f>IF(B206="","",ROUND(SUMIFS(Sales!$Y$5:$Y$1204,Sales!$D$5:$D$1204,A206,Sales!$B$5:$B$1204,"&gt;="&amp;TodayDate-365),2))</f>
        <v>0</v>
      </c>
      <c r="AI206" s="26">
        <f>IF(B206="","",IF(T206=0,"",ROUND(AE206/T206,2)))</f>
        <v>0</v>
      </c>
      <c r="AJ206" s="26">
        <f>IF(B206="","",IF(AI206="","",IF(AC206="","",ROUND(AI206*(365/MAX(14,AC206)),2))))</f>
        <v>0</v>
      </c>
      <c r="AK206" s="26">
        <f>IF(B206="","",ROUND(SUMIFS(Sales!$AH$5:$AH$1204,Sales!$D$5:$D$1204,A206),2))</f>
        <v>0</v>
      </c>
      <c r="AL206" s="25">
        <f>IF(B206="","",IFERROR(INDEX(Loyalty!$P$5:$P$504,MATCH(A206,Loyalty!$B$5:$B$504,0))*1,0))</f>
        <v>0</v>
      </c>
      <c r="AM206" s="39">
        <f>IF(B206="","",IF(R206="Archived","Archived",IF(T206=0,"Not been yet",IF(Z206&gt;=InactiveDays,"Inactive",IF(Z206&gt;=LapsingDays,"Lapsing",IF(T206=1,"New",IF(AH206&gt;=VipSpend,"VIP",IF(U206&gt;=4,"Regular","Active"))))))))</f>
        <v>0</v>
      </c>
      <c r="AN206" s="38">
        <f>IF(B206="","",IF(T206&gt;=2,"Yes","No"))</f>
        <v>0</v>
      </c>
      <c r="AO206" s="25">
        <f>IF(B206="","",COUNTIFS($AE$5:$AE$504,"&gt;"&amp;AE206)+COUNTIFS($AE$5:AE206,AE206))</f>
        <v>0</v>
      </c>
      <c r="AP206" s="25">
        <f>IF(B206="","",COUNTIFS($T$5:$T$504,"&gt;"&amp;T206)+COUNTIFS($T$5:T206,T206))</f>
        <v>0</v>
      </c>
      <c r="AQ206" s="39">
        <f>IF(B206="","",IF(COUNTIF($B$5:$B$504,B206)&gt;1,"Duplicate - same name twice",IF(R206="Archived","",IF(AK206&gt;0.004,"Chase - balance outstanding",IF(AM206="Inactive","Gone - win-back offer",IF(AM206="Lapsing","Chase - lapsing, call them",IF(IF(N206="",FALSE,TodayDate-N206&gt;PatchTestDays),"Due - patch test out of date",IF(IF(AD206="",FALSE,IF(AB206&lt;&gt;"",FALSE,AD206&lt;=TodayDate+14)),"Rebook - due and nothing booked",IF(IF(K206="",FALSE,ABS(DATE(YEAR(TodayDate),MONTH(K206),DAY(K206))-TodayDate)&lt;=7),"Birthday - send the treat","OK")))))))))</f>
        <v>0</v>
      </c>
    </row>
    <row r="207" spans="1:43">
      <c r="A207" s="28">
        <f>IF(B207="","",ClientPrefix&amp;TEXT(ROW()-4,"0000"))</f>
        <v>0</v>
      </c>
      <c r="J207" s="15">
        <f>IF(I207="","",IFERROR(INDEX(Staff!$B$5:$B$44,MATCH(I207,Staff!$A$5:$A$44,0)),"Not in Staff"))</f>
        <v>0</v>
      </c>
      <c r="T207" s="25">
        <f>IF(B207="","",COUNTIFS(Appointments!$E$5:$E$1204,A207,Appointments!$M$5:$M$1204,"Completed"))</f>
        <v>0</v>
      </c>
      <c r="U207" s="25">
        <f>IF(B207="","",COUNTIFS(Appointments!$E$5:$E$1204,A207,Appointments!$M$5:$M$1204,"Completed",Appointments!$B$5:$B$1204,"&gt;="&amp;TodayDate-365))</f>
        <v>0</v>
      </c>
      <c r="V207" s="25">
        <f>IF(B207="","",COUNTIFS(Appointments!$E$5:$E$1204,A207,Appointments!$M$5:$M$1204,"Cancelled"))</f>
        <v>0</v>
      </c>
      <c r="W207" s="25">
        <f>IF(B207="","",COUNTIFS(Appointments!$E$5:$E$1204,A207,Appointments!$M$5:$M$1204,"No show"))</f>
        <v>0</v>
      </c>
      <c r="X207" s="17">
        <f>IF(B207="","",IF(F207&lt;&gt;"",F207,IF(T207=0,"",SUMPRODUCT(MIN((Appointments!$E$5:$E$1204=A207)*(Appointments!$M$5:$M$1204="Completed")*Appointments!$B$5:$B$1204+(1-(Appointments!$E$5:$E$1204=A207)*(Appointments!$M$5:$M$1204="Completed"))*2958465)))))</f>
        <v>0</v>
      </c>
      <c r="Y207" s="17">
        <f>IF(B207="","",IF(T207=0,"",SUMPRODUCT(MAX((Appointments!$E$5:$E$1204=A207)*(Appointments!$M$5:$M$1204="Completed")*Appointments!$B$5:$B$1204))))</f>
        <v>0</v>
      </c>
      <c r="Z207" s="25">
        <f>IF(B207="","",IF(Y207="","",TodayDate-Y207))</f>
        <v>0</v>
      </c>
      <c r="AA207" s="42">
        <f>IF(B207="","",SUMPRODUCT(MIN((Appointments!$E$5:$E$1204=A207)*(Appointments!$M$5:$M$1204&lt;&gt;"Cancelled")*(Appointments!$M$5:$M$1204&lt;&gt;"Completed")*(Appointments!$M$5:$M$1204&lt;&gt;"No show")*(Appointments!$B$5:$B$1204&gt;=TodayDate)*Appointments!$B$5:$B$1204+(1-(Appointments!$E$5:$E$1204=A207)*(Appointments!$M$5:$M$1204&lt;&gt;"Cancelled")*(Appointments!$M$5:$M$1204&lt;&gt;"Completed")*(Appointments!$M$5:$M$1204&lt;&gt;"No show")*(Appointments!$B$5:$B$1204&gt;=TodayDate))*2958465)))</f>
        <v>0</v>
      </c>
      <c r="AB207" s="17">
        <f>IF(B207="","",IF(AA207&gt;=2958465,"",AA207))</f>
        <v>0</v>
      </c>
      <c r="AC207" s="25">
        <f>IF(B207="","",IF(T207&lt;2,"",ROUND((Y207-X207)/MAX(1,T207-1),0)))</f>
        <v>0</v>
      </c>
      <c r="AD207" s="17">
        <f>IF(B207="","",IF(Y207="","",Y207+IF(AC207="",RebookWeeks*7,MAX(14,AC207))))</f>
        <v>0</v>
      </c>
      <c r="AE207" s="26">
        <f>IF(B207="","",ROUND(SUMIFS(Sales!$Y$5:$Y$1204,Sales!$D$5:$D$1204,A207),2))</f>
        <v>0</v>
      </c>
      <c r="AF207" s="26">
        <f>IF(B207="","",ROUND(SUMIFS(Sales!$Y$5:$Y$1204,Sales!$D$5:$D$1204,A207,Sales!$H$5:$H$1204,"Service"),2))</f>
        <v>0</v>
      </c>
      <c r="AG207" s="26">
        <f>IF(B207="","",ROUND(SUMIFS(Sales!$Y$5:$Y$1204,Sales!$D$5:$D$1204,A207,Sales!$H$5:$H$1204,"Retail"),2))</f>
        <v>0</v>
      </c>
      <c r="AH207" s="26">
        <f>IF(B207="","",ROUND(SUMIFS(Sales!$Y$5:$Y$1204,Sales!$D$5:$D$1204,A207,Sales!$B$5:$B$1204,"&gt;="&amp;TodayDate-365),2))</f>
        <v>0</v>
      </c>
      <c r="AI207" s="26">
        <f>IF(B207="","",IF(T207=0,"",ROUND(AE207/T207,2)))</f>
        <v>0</v>
      </c>
      <c r="AJ207" s="26">
        <f>IF(B207="","",IF(AI207="","",IF(AC207="","",ROUND(AI207*(365/MAX(14,AC207)),2))))</f>
        <v>0</v>
      </c>
      <c r="AK207" s="26">
        <f>IF(B207="","",ROUND(SUMIFS(Sales!$AH$5:$AH$1204,Sales!$D$5:$D$1204,A207),2))</f>
        <v>0</v>
      </c>
      <c r="AL207" s="25">
        <f>IF(B207="","",IFERROR(INDEX(Loyalty!$P$5:$P$504,MATCH(A207,Loyalty!$B$5:$B$504,0))*1,0))</f>
        <v>0</v>
      </c>
      <c r="AM207" s="39">
        <f>IF(B207="","",IF(R207="Archived","Archived",IF(T207=0,"Not been yet",IF(Z207&gt;=InactiveDays,"Inactive",IF(Z207&gt;=LapsingDays,"Lapsing",IF(T207=1,"New",IF(AH207&gt;=VipSpend,"VIP",IF(U207&gt;=4,"Regular","Active"))))))))</f>
        <v>0</v>
      </c>
      <c r="AN207" s="38">
        <f>IF(B207="","",IF(T207&gt;=2,"Yes","No"))</f>
        <v>0</v>
      </c>
      <c r="AO207" s="25">
        <f>IF(B207="","",COUNTIFS($AE$5:$AE$504,"&gt;"&amp;AE207)+COUNTIFS($AE$5:AE207,AE207))</f>
        <v>0</v>
      </c>
      <c r="AP207" s="25">
        <f>IF(B207="","",COUNTIFS($T$5:$T$504,"&gt;"&amp;T207)+COUNTIFS($T$5:T207,T207))</f>
        <v>0</v>
      </c>
      <c r="AQ207" s="39">
        <f>IF(B207="","",IF(COUNTIF($B$5:$B$504,B207)&gt;1,"Duplicate - same name twice",IF(R207="Archived","",IF(AK207&gt;0.004,"Chase - balance outstanding",IF(AM207="Inactive","Gone - win-back offer",IF(AM207="Lapsing","Chase - lapsing, call them",IF(IF(N207="",FALSE,TodayDate-N207&gt;PatchTestDays),"Due - patch test out of date",IF(IF(AD207="",FALSE,IF(AB207&lt;&gt;"",FALSE,AD207&lt;=TodayDate+14)),"Rebook - due and nothing booked",IF(IF(K207="",FALSE,ABS(DATE(YEAR(TodayDate),MONTH(K207),DAY(K207))-TodayDate)&lt;=7),"Birthday - send the treat","OK")))))))))</f>
        <v>0</v>
      </c>
    </row>
    <row r="208" spans="1:43">
      <c r="A208" s="28">
        <f>IF(B208="","",ClientPrefix&amp;TEXT(ROW()-4,"0000"))</f>
        <v>0</v>
      </c>
      <c r="J208" s="15">
        <f>IF(I208="","",IFERROR(INDEX(Staff!$B$5:$B$44,MATCH(I208,Staff!$A$5:$A$44,0)),"Not in Staff"))</f>
        <v>0</v>
      </c>
      <c r="T208" s="25">
        <f>IF(B208="","",COUNTIFS(Appointments!$E$5:$E$1204,A208,Appointments!$M$5:$M$1204,"Completed"))</f>
        <v>0</v>
      </c>
      <c r="U208" s="25">
        <f>IF(B208="","",COUNTIFS(Appointments!$E$5:$E$1204,A208,Appointments!$M$5:$M$1204,"Completed",Appointments!$B$5:$B$1204,"&gt;="&amp;TodayDate-365))</f>
        <v>0</v>
      </c>
      <c r="V208" s="25">
        <f>IF(B208="","",COUNTIFS(Appointments!$E$5:$E$1204,A208,Appointments!$M$5:$M$1204,"Cancelled"))</f>
        <v>0</v>
      </c>
      <c r="W208" s="25">
        <f>IF(B208="","",COUNTIFS(Appointments!$E$5:$E$1204,A208,Appointments!$M$5:$M$1204,"No show"))</f>
        <v>0</v>
      </c>
      <c r="X208" s="17">
        <f>IF(B208="","",IF(F208&lt;&gt;"",F208,IF(T208=0,"",SUMPRODUCT(MIN((Appointments!$E$5:$E$1204=A208)*(Appointments!$M$5:$M$1204="Completed")*Appointments!$B$5:$B$1204+(1-(Appointments!$E$5:$E$1204=A208)*(Appointments!$M$5:$M$1204="Completed"))*2958465)))))</f>
        <v>0</v>
      </c>
      <c r="Y208" s="17">
        <f>IF(B208="","",IF(T208=0,"",SUMPRODUCT(MAX((Appointments!$E$5:$E$1204=A208)*(Appointments!$M$5:$M$1204="Completed")*Appointments!$B$5:$B$1204))))</f>
        <v>0</v>
      </c>
      <c r="Z208" s="25">
        <f>IF(B208="","",IF(Y208="","",TodayDate-Y208))</f>
        <v>0</v>
      </c>
      <c r="AA208" s="42">
        <f>IF(B208="","",SUMPRODUCT(MIN((Appointments!$E$5:$E$1204=A208)*(Appointments!$M$5:$M$1204&lt;&gt;"Cancelled")*(Appointments!$M$5:$M$1204&lt;&gt;"Completed")*(Appointments!$M$5:$M$1204&lt;&gt;"No show")*(Appointments!$B$5:$B$1204&gt;=TodayDate)*Appointments!$B$5:$B$1204+(1-(Appointments!$E$5:$E$1204=A208)*(Appointments!$M$5:$M$1204&lt;&gt;"Cancelled")*(Appointments!$M$5:$M$1204&lt;&gt;"Completed")*(Appointments!$M$5:$M$1204&lt;&gt;"No show")*(Appointments!$B$5:$B$1204&gt;=TodayDate))*2958465)))</f>
        <v>0</v>
      </c>
      <c r="AB208" s="17">
        <f>IF(B208="","",IF(AA208&gt;=2958465,"",AA208))</f>
        <v>0</v>
      </c>
      <c r="AC208" s="25">
        <f>IF(B208="","",IF(T208&lt;2,"",ROUND((Y208-X208)/MAX(1,T208-1),0)))</f>
        <v>0</v>
      </c>
      <c r="AD208" s="17">
        <f>IF(B208="","",IF(Y208="","",Y208+IF(AC208="",RebookWeeks*7,MAX(14,AC208))))</f>
        <v>0</v>
      </c>
      <c r="AE208" s="26">
        <f>IF(B208="","",ROUND(SUMIFS(Sales!$Y$5:$Y$1204,Sales!$D$5:$D$1204,A208),2))</f>
        <v>0</v>
      </c>
      <c r="AF208" s="26">
        <f>IF(B208="","",ROUND(SUMIFS(Sales!$Y$5:$Y$1204,Sales!$D$5:$D$1204,A208,Sales!$H$5:$H$1204,"Service"),2))</f>
        <v>0</v>
      </c>
      <c r="AG208" s="26">
        <f>IF(B208="","",ROUND(SUMIFS(Sales!$Y$5:$Y$1204,Sales!$D$5:$D$1204,A208,Sales!$H$5:$H$1204,"Retail"),2))</f>
        <v>0</v>
      </c>
      <c r="AH208" s="26">
        <f>IF(B208="","",ROUND(SUMIFS(Sales!$Y$5:$Y$1204,Sales!$D$5:$D$1204,A208,Sales!$B$5:$B$1204,"&gt;="&amp;TodayDate-365),2))</f>
        <v>0</v>
      </c>
      <c r="AI208" s="26">
        <f>IF(B208="","",IF(T208=0,"",ROUND(AE208/T208,2)))</f>
        <v>0</v>
      </c>
      <c r="AJ208" s="26">
        <f>IF(B208="","",IF(AI208="","",IF(AC208="","",ROUND(AI208*(365/MAX(14,AC208)),2))))</f>
        <v>0</v>
      </c>
      <c r="AK208" s="26">
        <f>IF(B208="","",ROUND(SUMIFS(Sales!$AH$5:$AH$1204,Sales!$D$5:$D$1204,A208),2))</f>
        <v>0</v>
      </c>
      <c r="AL208" s="25">
        <f>IF(B208="","",IFERROR(INDEX(Loyalty!$P$5:$P$504,MATCH(A208,Loyalty!$B$5:$B$504,0))*1,0))</f>
        <v>0</v>
      </c>
      <c r="AM208" s="39">
        <f>IF(B208="","",IF(R208="Archived","Archived",IF(T208=0,"Not been yet",IF(Z208&gt;=InactiveDays,"Inactive",IF(Z208&gt;=LapsingDays,"Lapsing",IF(T208=1,"New",IF(AH208&gt;=VipSpend,"VIP",IF(U208&gt;=4,"Regular","Active"))))))))</f>
        <v>0</v>
      </c>
      <c r="AN208" s="38">
        <f>IF(B208="","",IF(T208&gt;=2,"Yes","No"))</f>
        <v>0</v>
      </c>
      <c r="AO208" s="25">
        <f>IF(B208="","",COUNTIFS($AE$5:$AE$504,"&gt;"&amp;AE208)+COUNTIFS($AE$5:AE208,AE208))</f>
        <v>0</v>
      </c>
      <c r="AP208" s="25">
        <f>IF(B208="","",COUNTIFS($T$5:$T$504,"&gt;"&amp;T208)+COUNTIFS($T$5:T208,T208))</f>
        <v>0</v>
      </c>
      <c r="AQ208" s="39">
        <f>IF(B208="","",IF(COUNTIF($B$5:$B$504,B208)&gt;1,"Duplicate - same name twice",IF(R208="Archived","",IF(AK208&gt;0.004,"Chase - balance outstanding",IF(AM208="Inactive","Gone - win-back offer",IF(AM208="Lapsing","Chase - lapsing, call them",IF(IF(N208="",FALSE,TodayDate-N208&gt;PatchTestDays),"Due - patch test out of date",IF(IF(AD208="",FALSE,IF(AB208&lt;&gt;"",FALSE,AD208&lt;=TodayDate+14)),"Rebook - due and nothing booked",IF(IF(K208="",FALSE,ABS(DATE(YEAR(TodayDate),MONTH(K208),DAY(K208))-TodayDate)&lt;=7),"Birthday - send the treat","OK")))))))))</f>
        <v>0</v>
      </c>
    </row>
    <row r="209" spans="1:43">
      <c r="A209" s="28">
        <f>IF(B209="","",ClientPrefix&amp;TEXT(ROW()-4,"0000"))</f>
        <v>0</v>
      </c>
      <c r="J209" s="15">
        <f>IF(I209="","",IFERROR(INDEX(Staff!$B$5:$B$44,MATCH(I209,Staff!$A$5:$A$44,0)),"Not in Staff"))</f>
        <v>0</v>
      </c>
      <c r="T209" s="25">
        <f>IF(B209="","",COUNTIFS(Appointments!$E$5:$E$1204,A209,Appointments!$M$5:$M$1204,"Completed"))</f>
        <v>0</v>
      </c>
      <c r="U209" s="25">
        <f>IF(B209="","",COUNTIFS(Appointments!$E$5:$E$1204,A209,Appointments!$M$5:$M$1204,"Completed",Appointments!$B$5:$B$1204,"&gt;="&amp;TodayDate-365))</f>
        <v>0</v>
      </c>
      <c r="V209" s="25">
        <f>IF(B209="","",COUNTIFS(Appointments!$E$5:$E$1204,A209,Appointments!$M$5:$M$1204,"Cancelled"))</f>
        <v>0</v>
      </c>
      <c r="W209" s="25">
        <f>IF(B209="","",COUNTIFS(Appointments!$E$5:$E$1204,A209,Appointments!$M$5:$M$1204,"No show"))</f>
        <v>0</v>
      </c>
      <c r="X209" s="17">
        <f>IF(B209="","",IF(F209&lt;&gt;"",F209,IF(T209=0,"",SUMPRODUCT(MIN((Appointments!$E$5:$E$1204=A209)*(Appointments!$M$5:$M$1204="Completed")*Appointments!$B$5:$B$1204+(1-(Appointments!$E$5:$E$1204=A209)*(Appointments!$M$5:$M$1204="Completed"))*2958465)))))</f>
        <v>0</v>
      </c>
      <c r="Y209" s="17">
        <f>IF(B209="","",IF(T209=0,"",SUMPRODUCT(MAX((Appointments!$E$5:$E$1204=A209)*(Appointments!$M$5:$M$1204="Completed")*Appointments!$B$5:$B$1204))))</f>
        <v>0</v>
      </c>
      <c r="Z209" s="25">
        <f>IF(B209="","",IF(Y209="","",TodayDate-Y209))</f>
        <v>0</v>
      </c>
      <c r="AA209" s="42">
        <f>IF(B209="","",SUMPRODUCT(MIN((Appointments!$E$5:$E$1204=A209)*(Appointments!$M$5:$M$1204&lt;&gt;"Cancelled")*(Appointments!$M$5:$M$1204&lt;&gt;"Completed")*(Appointments!$M$5:$M$1204&lt;&gt;"No show")*(Appointments!$B$5:$B$1204&gt;=TodayDate)*Appointments!$B$5:$B$1204+(1-(Appointments!$E$5:$E$1204=A209)*(Appointments!$M$5:$M$1204&lt;&gt;"Cancelled")*(Appointments!$M$5:$M$1204&lt;&gt;"Completed")*(Appointments!$M$5:$M$1204&lt;&gt;"No show")*(Appointments!$B$5:$B$1204&gt;=TodayDate))*2958465)))</f>
        <v>0</v>
      </c>
      <c r="AB209" s="17">
        <f>IF(B209="","",IF(AA209&gt;=2958465,"",AA209))</f>
        <v>0</v>
      </c>
      <c r="AC209" s="25">
        <f>IF(B209="","",IF(T209&lt;2,"",ROUND((Y209-X209)/MAX(1,T209-1),0)))</f>
        <v>0</v>
      </c>
      <c r="AD209" s="17">
        <f>IF(B209="","",IF(Y209="","",Y209+IF(AC209="",RebookWeeks*7,MAX(14,AC209))))</f>
        <v>0</v>
      </c>
      <c r="AE209" s="26">
        <f>IF(B209="","",ROUND(SUMIFS(Sales!$Y$5:$Y$1204,Sales!$D$5:$D$1204,A209),2))</f>
        <v>0</v>
      </c>
      <c r="AF209" s="26">
        <f>IF(B209="","",ROUND(SUMIFS(Sales!$Y$5:$Y$1204,Sales!$D$5:$D$1204,A209,Sales!$H$5:$H$1204,"Service"),2))</f>
        <v>0</v>
      </c>
      <c r="AG209" s="26">
        <f>IF(B209="","",ROUND(SUMIFS(Sales!$Y$5:$Y$1204,Sales!$D$5:$D$1204,A209,Sales!$H$5:$H$1204,"Retail"),2))</f>
        <v>0</v>
      </c>
      <c r="AH209" s="26">
        <f>IF(B209="","",ROUND(SUMIFS(Sales!$Y$5:$Y$1204,Sales!$D$5:$D$1204,A209,Sales!$B$5:$B$1204,"&gt;="&amp;TodayDate-365),2))</f>
        <v>0</v>
      </c>
      <c r="AI209" s="26">
        <f>IF(B209="","",IF(T209=0,"",ROUND(AE209/T209,2)))</f>
        <v>0</v>
      </c>
      <c r="AJ209" s="26">
        <f>IF(B209="","",IF(AI209="","",IF(AC209="","",ROUND(AI209*(365/MAX(14,AC209)),2))))</f>
        <v>0</v>
      </c>
      <c r="AK209" s="26">
        <f>IF(B209="","",ROUND(SUMIFS(Sales!$AH$5:$AH$1204,Sales!$D$5:$D$1204,A209),2))</f>
        <v>0</v>
      </c>
      <c r="AL209" s="25">
        <f>IF(B209="","",IFERROR(INDEX(Loyalty!$P$5:$P$504,MATCH(A209,Loyalty!$B$5:$B$504,0))*1,0))</f>
        <v>0</v>
      </c>
      <c r="AM209" s="39">
        <f>IF(B209="","",IF(R209="Archived","Archived",IF(T209=0,"Not been yet",IF(Z209&gt;=InactiveDays,"Inactive",IF(Z209&gt;=LapsingDays,"Lapsing",IF(T209=1,"New",IF(AH209&gt;=VipSpend,"VIP",IF(U209&gt;=4,"Regular","Active"))))))))</f>
        <v>0</v>
      </c>
      <c r="AN209" s="38">
        <f>IF(B209="","",IF(T209&gt;=2,"Yes","No"))</f>
        <v>0</v>
      </c>
      <c r="AO209" s="25">
        <f>IF(B209="","",COUNTIFS($AE$5:$AE$504,"&gt;"&amp;AE209)+COUNTIFS($AE$5:AE209,AE209))</f>
        <v>0</v>
      </c>
      <c r="AP209" s="25">
        <f>IF(B209="","",COUNTIFS($T$5:$T$504,"&gt;"&amp;T209)+COUNTIFS($T$5:T209,T209))</f>
        <v>0</v>
      </c>
      <c r="AQ209" s="39">
        <f>IF(B209="","",IF(COUNTIF($B$5:$B$504,B209)&gt;1,"Duplicate - same name twice",IF(R209="Archived","",IF(AK209&gt;0.004,"Chase - balance outstanding",IF(AM209="Inactive","Gone - win-back offer",IF(AM209="Lapsing","Chase - lapsing, call them",IF(IF(N209="",FALSE,TodayDate-N209&gt;PatchTestDays),"Due - patch test out of date",IF(IF(AD209="",FALSE,IF(AB209&lt;&gt;"",FALSE,AD209&lt;=TodayDate+14)),"Rebook - due and nothing booked",IF(IF(K209="",FALSE,ABS(DATE(YEAR(TodayDate),MONTH(K209),DAY(K209))-TodayDate)&lt;=7),"Birthday - send the treat","OK")))))))))</f>
        <v>0</v>
      </c>
    </row>
    <row r="210" spans="1:43">
      <c r="A210" s="28">
        <f>IF(B210="","",ClientPrefix&amp;TEXT(ROW()-4,"0000"))</f>
        <v>0</v>
      </c>
      <c r="J210" s="15">
        <f>IF(I210="","",IFERROR(INDEX(Staff!$B$5:$B$44,MATCH(I210,Staff!$A$5:$A$44,0)),"Not in Staff"))</f>
        <v>0</v>
      </c>
      <c r="T210" s="25">
        <f>IF(B210="","",COUNTIFS(Appointments!$E$5:$E$1204,A210,Appointments!$M$5:$M$1204,"Completed"))</f>
        <v>0</v>
      </c>
      <c r="U210" s="25">
        <f>IF(B210="","",COUNTIFS(Appointments!$E$5:$E$1204,A210,Appointments!$M$5:$M$1204,"Completed",Appointments!$B$5:$B$1204,"&gt;="&amp;TodayDate-365))</f>
        <v>0</v>
      </c>
      <c r="V210" s="25">
        <f>IF(B210="","",COUNTIFS(Appointments!$E$5:$E$1204,A210,Appointments!$M$5:$M$1204,"Cancelled"))</f>
        <v>0</v>
      </c>
      <c r="W210" s="25">
        <f>IF(B210="","",COUNTIFS(Appointments!$E$5:$E$1204,A210,Appointments!$M$5:$M$1204,"No show"))</f>
        <v>0</v>
      </c>
      <c r="X210" s="17">
        <f>IF(B210="","",IF(F210&lt;&gt;"",F210,IF(T210=0,"",SUMPRODUCT(MIN((Appointments!$E$5:$E$1204=A210)*(Appointments!$M$5:$M$1204="Completed")*Appointments!$B$5:$B$1204+(1-(Appointments!$E$5:$E$1204=A210)*(Appointments!$M$5:$M$1204="Completed"))*2958465)))))</f>
        <v>0</v>
      </c>
      <c r="Y210" s="17">
        <f>IF(B210="","",IF(T210=0,"",SUMPRODUCT(MAX((Appointments!$E$5:$E$1204=A210)*(Appointments!$M$5:$M$1204="Completed")*Appointments!$B$5:$B$1204))))</f>
        <v>0</v>
      </c>
      <c r="Z210" s="25">
        <f>IF(B210="","",IF(Y210="","",TodayDate-Y210))</f>
        <v>0</v>
      </c>
      <c r="AA210" s="42">
        <f>IF(B210="","",SUMPRODUCT(MIN((Appointments!$E$5:$E$1204=A210)*(Appointments!$M$5:$M$1204&lt;&gt;"Cancelled")*(Appointments!$M$5:$M$1204&lt;&gt;"Completed")*(Appointments!$M$5:$M$1204&lt;&gt;"No show")*(Appointments!$B$5:$B$1204&gt;=TodayDate)*Appointments!$B$5:$B$1204+(1-(Appointments!$E$5:$E$1204=A210)*(Appointments!$M$5:$M$1204&lt;&gt;"Cancelled")*(Appointments!$M$5:$M$1204&lt;&gt;"Completed")*(Appointments!$M$5:$M$1204&lt;&gt;"No show")*(Appointments!$B$5:$B$1204&gt;=TodayDate))*2958465)))</f>
        <v>0</v>
      </c>
      <c r="AB210" s="17">
        <f>IF(B210="","",IF(AA210&gt;=2958465,"",AA210))</f>
        <v>0</v>
      </c>
      <c r="AC210" s="25">
        <f>IF(B210="","",IF(T210&lt;2,"",ROUND((Y210-X210)/MAX(1,T210-1),0)))</f>
        <v>0</v>
      </c>
      <c r="AD210" s="17">
        <f>IF(B210="","",IF(Y210="","",Y210+IF(AC210="",RebookWeeks*7,MAX(14,AC210))))</f>
        <v>0</v>
      </c>
      <c r="AE210" s="26">
        <f>IF(B210="","",ROUND(SUMIFS(Sales!$Y$5:$Y$1204,Sales!$D$5:$D$1204,A210),2))</f>
        <v>0</v>
      </c>
      <c r="AF210" s="26">
        <f>IF(B210="","",ROUND(SUMIFS(Sales!$Y$5:$Y$1204,Sales!$D$5:$D$1204,A210,Sales!$H$5:$H$1204,"Service"),2))</f>
        <v>0</v>
      </c>
      <c r="AG210" s="26">
        <f>IF(B210="","",ROUND(SUMIFS(Sales!$Y$5:$Y$1204,Sales!$D$5:$D$1204,A210,Sales!$H$5:$H$1204,"Retail"),2))</f>
        <v>0</v>
      </c>
      <c r="AH210" s="26">
        <f>IF(B210="","",ROUND(SUMIFS(Sales!$Y$5:$Y$1204,Sales!$D$5:$D$1204,A210,Sales!$B$5:$B$1204,"&gt;="&amp;TodayDate-365),2))</f>
        <v>0</v>
      </c>
      <c r="AI210" s="26">
        <f>IF(B210="","",IF(T210=0,"",ROUND(AE210/T210,2)))</f>
        <v>0</v>
      </c>
      <c r="AJ210" s="26">
        <f>IF(B210="","",IF(AI210="","",IF(AC210="","",ROUND(AI210*(365/MAX(14,AC210)),2))))</f>
        <v>0</v>
      </c>
      <c r="AK210" s="26">
        <f>IF(B210="","",ROUND(SUMIFS(Sales!$AH$5:$AH$1204,Sales!$D$5:$D$1204,A210),2))</f>
        <v>0</v>
      </c>
      <c r="AL210" s="25">
        <f>IF(B210="","",IFERROR(INDEX(Loyalty!$P$5:$P$504,MATCH(A210,Loyalty!$B$5:$B$504,0))*1,0))</f>
        <v>0</v>
      </c>
      <c r="AM210" s="39">
        <f>IF(B210="","",IF(R210="Archived","Archived",IF(T210=0,"Not been yet",IF(Z210&gt;=InactiveDays,"Inactive",IF(Z210&gt;=LapsingDays,"Lapsing",IF(T210=1,"New",IF(AH210&gt;=VipSpend,"VIP",IF(U210&gt;=4,"Regular","Active"))))))))</f>
        <v>0</v>
      </c>
      <c r="AN210" s="38">
        <f>IF(B210="","",IF(T210&gt;=2,"Yes","No"))</f>
        <v>0</v>
      </c>
      <c r="AO210" s="25">
        <f>IF(B210="","",COUNTIFS($AE$5:$AE$504,"&gt;"&amp;AE210)+COUNTIFS($AE$5:AE210,AE210))</f>
        <v>0</v>
      </c>
      <c r="AP210" s="25">
        <f>IF(B210="","",COUNTIFS($T$5:$T$504,"&gt;"&amp;T210)+COUNTIFS($T$5:T210,T210))</f>
        <v>0</v>
      </c>
      <c r="AQ210" s="39">
        <f>IF(B210="","",IF(COUNTIF($B$5:$B$504,B210)&gt;1,"Duplicate - same name twice",IF(R210="Archived","",IF(AK210&gt;0.004,"Chase - balance outstanding",IF(AM210="Inactive","Gone - win-back offer",IF(AM210="Lapsing","Chase - lapsing, call them",IF(IF(N210="",FALSE,TodayDate-N210&gt;PatchTestDays),"Due - patch test out of date",IF(IF(AD210="",FALSE,IF(AB210&lt;&gt;"",FALSE,AD210&lt;=TodayDate+14)),"Rebook - due and nothing booked",IF(IF(K210="",FALSE,ABS(DATE(YEAR(TodayDate),MONTH(K210),DAY(K210))-TodayDate)&lt;=7),"Birthday - send the treat","OK")))))))))</f>
        <v>0</v>
      </c>
    </row>
    <row r="211" spans="1:43">
      <c r="A211" s="28">
        <f>IF(B211="","",ClientPrefix&amp;TEXT(ROW()-4,"0000"))</f>
        <v>0</v>
      </c>
      <c r="J211" s="15">
        <f>IF(I211="","",IFERROR(INDEX(Staff!$B$5:$B$44,MATCH(I211,Staff!$A$5:$A$44,0)),"Not in Staff"))</f>
        <v>0</v>
      </c>
      <c r="T211" s="25">
        <f>IF(B211="","",COUNTIFS(Appointments!$E$5:$E$1204,A211,Appointments!$M$5:$M$1204,"Completed"))</f>
        <v>0</v>
      </c>
      <c r="U211" s="25">
        <f>IF(B211="","",COUNTIFS(Appointments!$E$5:$E$1204,A211,Appointments!$M$5:$M$1204,"Completed",Appointments!$B$5:$B$1204,"&gt;="&amp;TodayDate-365))</f>
        <v>0</v>
      </c>
      <c r="V211" s="25">
        <f>IF(B211="","",COUNTIFS(Appointments!$E$5:$E$1204,A211,Appointments!$M$5:$M$1204,"Cancelled"))</f>
        <v>0</v>
      </c>
      <c r="W211" s="25">
        <f>IF(B211="","",COUNTIFS(Appointments!$E$5:$E$1204,A211,Appointments!$M$5:$M$1204,"No show"))</f>
        <v>0</v>
      </c>
      <c r="X211" s="17">
        <f>IF(B211="","",IF(F211&lt;&gt;"",F211,IF(T211=0,"",SUMPRODUCT(MIN((Appointments!$E$5:$E$1204=A211)*(Appointments!$M$5:$M$1204="Completed")*Appointments!$B$5:$B$1204+(1-(Appointments!$E$5:$E$1204=A211)*(Appointments!$M$5:$M$1204="Completed"))*2958465)))))</f>
        <v>0</v>
      </c>
      <c r="Y211" s="17">
        <f>IF(B211="","",IF(T211=0,"",SUMPRODUCT(MAX((Appointments!$E$5:$E$1204=A211)*(Appointments!$M$5:$M$1204="Completed")*Appointments!$B$5:$B$1204))))</f>
        <v>0</v>
      </c>
      <c r="Z211" s="25">
        <f>IF(B211="","",IF(Y211="","",TodayDate-Y211))</f>
        <v>0</v>
      </c>
      <c r="AA211" s="42">
        <f>IF(B211="","",SUMPRODUCT(MIN((Appointments!$E$5:$E$1204=A211)*(Appointments!$M$5:$M$1204&lt;&gt;"Cancelled")*(Appointments!$M$5:$M$1204&lt;&gt;"Completed")*(Appointments!$M$5:$M$1204&lt;&gt;"No show")*(Appointments!$B$5:$B$1204&gt;=TodayDate)*Appointments!$B$5:$B$1204+(1-(Appointments!$E$5:$E$1204=A211)*(Appointments!$M$5:$M$1204&lt;&gt;"Cancelled")*(Appointments!$M$5:$M$1204&lt;&gt;"Completed")*(Appointments!$M$5:$M$1204&lt;&gt;"No show")*(Appointments!$B$5:$B$1204&gt;=TodayDate))*2958465)))</f>
        <v>0</v>
      </c>
      <c r="AB211" s="17">
        <f>IF(B211="","",IF(AA211&gt;=2958465,"",AA211))</f>
        <v>0</v>
      </c>
      <c r="AC211" s="25">
        <f>IF(B211="","",IF(T211&lt;2,"",ROUND((Y211-X211)/MAX(1,T211-1),0)))</f>
        <v>0</v>
      </c>
      <c r="AD211" s="17">
        <f>IF(B211="","",IF(Y211="","",Y211+IF(AC211="",RebookWeeks*7,MAX(14,AC211))))</f>
        <v>0</v>
      </c>
      <c r="AE211" s="26">
        <f>IF(B211="","",ROUND(SUMIFS(Sales!$Y$5:$Y$1204,Sales!$D$5:$D$1204,A211),2))</f>
        <v>0</v>
      </c>
      <c r="AF211" s="26">
        <f>IF(B211="","",ROUND(SUMIFS(Sales!$Y$5:$Y$1204,Sales!$D$5:$D$1204,A211,Sales!$H$5:$H$1204,"Service"),2))</f>
        <v>0</v>
      </c>
      <c r="AG211" s="26">
        <f>IF(B211="","",ROUND(SUMIFS(Sales!$Y$5:$Y$1204,Sales!$D$5:$D$1204,A211,Sales!$H$5:$H$1204,"Retail"),2))</f>
        <v>0</v>
      </c>
      <c r="AH211" s="26">
        <f>IF(B211="","",ROUND(SUMIFS(Sales!$Y$5:$Y$1204,Sales!$D$5:$D$1204,A211,Sales!$B$5:$B$1204,"&gt;="&amp;TodayDate-365),2))</f>
        <v>0</v>
      </c>
      <c r="AI211" s="26">
        <f>IF(B211="","",IF(T211=0,"",ROUND(AE211/T211,2)))</f>
        <v>0</v>
      </c>
      <c r="AJ211" s="26">
        <f>IF(B211="","",IF(AI211="","",IF(AC211="","",ROUND(AI211*(365/MAX(14,AC211)),2))))</f>
        <v>0</v>
      </c>
      <c r="AK211" s="26">
        <f>IF(B211="","",ROUND(SUMIFS(Sales!$AH$5:$AH$1204,Sales!$D$5:$D$1204,A211),2))</f>
        <v>0</v>
      </c>
      <c r="AL211" s="25">
        <f>IF(B211="","",IFERROR(INDEX(Loyalty!$P$5:$P$504,MATCH(A211,Loyalty!$B$5:$B$504,0))*1,0))</f>
        <v>0</v>
      </c>
      <c r="AM211" s="39">
        <f>IF(B211="","",IF(R211="Archived","Archived",IF(T211=0,"Not been yet",IF(Z211&gt;=InactiveDays,"Inactive",IF(Z211&gt;=LapsingDays,"Lapsing",IF(T211=1,"New",IF(AH211&gt;=VipSpend,"VIP",IF(U211&gt;=4,"Regular","Active"))))))))</f>
        <v>0</v>
      </c>
      <c r="AN211" s="38">
        <f>IF(B211="","",IF(T211&gt;=2,"Yes","No"))</f>
        <v>0</v>
      </c>
      <c r="AO211" s="25">
        <f>IF(B211="","",COUNTIFS($AE$5:$AE$504,"&gt;"&amp;AE211)+COUNTIFS($AE$5:AE211,AE211))</f>
        <v>0</v>
      </c>
      <c r="AP211" s="25">
        <f>IF(B211="","",COUNTIFS($T$5:$T$504,"&gt;"&amp;T211)+COUNTIFS($T$5:T211,T211))</f>
        <v>0</v>
      </c>
      <c r="AQ211" s="39">
        <f>IF(B211="","",IF(COUNTIF($B$5:$B$504,B211)&gt;1,"Duplicate - same name twice",IF(R211="Archived","",IF(AK211&gt;0.004,"Chase - balance outstanding",IF(AM211="Inactive","Gone - win-back offer",IF(AM211="Lapsing","Chase - lapsing, call them",IF(IF(N211="",FALSE,TodayDate-N211&gt;PatchTestDays),"Due - patch test out of date",IF(IF(AD211="",FALSE,IF(AB211&lt;&gt;"",FALSE,AD211&lt;=TodayDate+14)),"Rebook - due and nothing booked",IF(IF(K211="",FALSE,ABS(DATE(YEAR(TodayDate),MONTH(K211),DAY(K211))-TodayDate)&lt;=7),"Birthday - send the treat","OK")))))))))</f>
        <v>0</v>
      </c>
    </row>
    <row r="212" spans="1:43">
      <c r="A212" s="28">
        <f>IF(B212="","",ClientPrefix&amp;TEXT(ROW()-4,"0000"))</f>
        <v>0</v>
      </c>
      <c r="J212" s="15">
        <f>IF(I212="","",IFERROR(INDEX(Staff!$B$5:$B$44,MATCH(I212,Staff!$A$5:$A$44,0)),"Not in Staff"))</f>
        <v>0</v>
      </c>
      <c r="T212" s="25">
        <f>IF(B212="","",COUNTIFS(Appointments!$E$5:$E$1204,A212,Appointments!$M$5:$M$1204,"Completed"))</f>
        <v>0</v>
      </c>
      <c r="U212" s="25">
        <f>IF(B212="","",COUNTIFS(Appointments!$E$5:$E$1204,A212,Appointments!$M$5:$M$1204,"Completed",Appointments!$B$5:$B$1204,"&gt;="&amp;TodayDate-365))</f>
        <v>0</v>
      </c>
      <c r="V212" s="25">
        <f>IF(B212="","",COUNTIFS(Appointments!$E$5:$E$1204,A212,Appointments!$M$5:$M$1204,"Cancelled"))</f>
        <v>0</v>
      </c>
      <c r="W212" s="25">
        <f>IF(B212="","",COUNTIFS(Appointments!$E$5:$E$1204,A212,Appointments!$M$5:$M$1204,"No show"))</f>
        <v>0</v>
      </c>
      <c r="X212" s="17">
        <f>IF(B212="","",IF(F212&lt;&gt;"",F212,IF(T212=0,"",SUMPRODUCT(MIN((Appointments!$E$5:$E$1204=A212)*(Appointments!$M$5:$M$1204="Completed")*Appointments!$B$5:$B$1204+(1-(Appointments!$E$5:$E$1204=A212)*(Appointments!$M$5:$M$1204="Completed"))*2958465)))))</f>
        <v>0</v>
      </c>
      <c r="Y212" s="17">
        <f>IF(B212="","",IF(T212=0,"",SUMPRODUCT(MAX((Appointments!$E$5:$E$1204=A212)*(Appointments!$M$5:$M$1204="Completed")*Appointments!$B$5:$B$1204))))</f>
        <v>0</v>
      </c>
      <c r="Z212" s="25">
        <f>IF(B212="","",IF(Y212="","",TodayDate-Y212))</f>
        <v>0</v>
      </c>
      <c r="AA212" s="42">
        <f>IF(B212="","",SUMPRODUCT(MIN((Appointments!$E$5:$E$1204=A212)*(Appointments!$M$5:$M$1204&lt;&gt;"Cancelled")*(Appointments!$M$5:$M$1204&lt;&gt;"Completed")*(Appointments!$M$5:$M$1204&lt;&gt;"No show")*(Appointments!$B$5:$B$1204&gt;=TodayDate)*Appointments!$B$5:$B$1204+(1-(Appointments!$E$5:$E$1204=A212)*(Appointments!$M$5:$M$1204&lt;&gt;"Cancelled")*(Appointments!$M$5:$M$1204&lt;&gt;"Completed")*(Appointments!$M$5:$M$1204&lt;&gt;"No show")*(Appointments!$B$5:$B$1204&gt;=TodayDate))*2958465)))</f>
        <v>0</v>
      </c>
      <c r="AB212" s="17">
        <f>IF(B212="","",IF(AA212&gt;=2958465,"",AA212))</f>
        <v>0</v>
      </c>
      <c r="AC212" s="25">
        <f>IF(B212="","",IF(T212&lt;2,"",ROUND((Y212-X212)/MAX(1,T212-1),0)))</f>
        <v>0</v>
      </c>
      <c r="AD212" s="17">
        <f>IF(B212="","",IF(Y212="","",Y212+IF(AC212="",RebookWeeks*7,MAX(14,AC212))))</f>
        <v>0</v>
      </c>
      <c r="AE212" s="26">
        <f>IF(B212="","",ROUND(SUMIFS(Sales!$Y$5:$Y$1204,Sales!$D$5:$D$1204,A212),2))</f>
        <v>0</v>
      </c>
      <c r="AF212" s="26">
        <f>IF(B212="","",ROUND(SUMIFS(Sales!$Y$5:$Y$1204,Sales!$D$5:$D$1204,A212,Sales!$H$5:$H$1204,"Service"),2))</f>
        <v>0</v>
      </c>
      <c r="AG212" s="26">
        <f>IF(B212="","",ROUND(SUMIFS(Sales!$Y$5:$Y$1204,Sales!$D$5:$D$1204,A212,Sales!$H$5:$H$1204,"Retail"),2))</f>
        <v>0</v>
      </c>
      <c r="AH212" s="26">
        <f>IF(B212="","",ROUND(SUMIFS(Sales!$Y$5:$Y$1204,Sales!$D$5:$D$1204,A212,Sales!$B$5:$B$1204,"&gt;="&amp;TodayDate-365),2))</f>
        <v>0</v>
      </c>
      <c r="AI212" s="26">
        <f>IF(B212="","",IF(T212=0,"",ROUND(AE212/T212,2)))</f>
        <v>0</v>
      </c>
      <c r="AJ212" s="26">
        <f>IF(B212="","",IF(AI212="","",IF(AC212="","",ROUND(AI212*(365/MAX(14,AC212)),2))))</f>
        <v>0</v>
      </c>
      <c r="AK212" s="26">
        <f>IF(B212="","",ROUND(SUMIFS(Sales!$AH$5:$AH$1204,Sales!$D$5:$D$1204,A212),2))</f>
        <v>0</v>
      </c>
      <c r="AL212" s="25">
        <f>IF(B212="","",IFERROR(INDEX(Loyalty!$P$5:$P$504,MATCH(A212,Loyalty!$B$5:$B$504,0))*1,0))</f>
        <v>0</v>
      </c>
      <c r="AM212" s="39">
        <f>IF(B212="","",IF(R212="Archived","Archived",IF(T212=0,"Not been yet",IF(Z212&gt;=InactiveDays,"Inactive",IF(Z212&gt;=LapsingDays,"Lapsing",IF(T212=1,"New",IF(AH212&gt;=VipSpend,"VIP",IF(U212&gt;=4,"Regular","Active"))))))))</f>
        <v>0</v>
      </c>
      <c r="AN212" s="38">
        <f>IF(B212="","",IF(T212&gt;=2,"Yes","No"))</f>
        <v>0</v>
      </c>
      <c r="AO212" s="25">
        <f>IF(B212="","",COUNTIFS($AE$5:$AE$504,"&gt;"&amp;AE212)+COUNTIFS($AE$5:AE212,AE212))</f>
        <v>0</v>
      </c>
      <c r="AP212" s="25">
        <f>IF(B212="","",COUNTIFS($T$5:$T$504,"&gt;"&amp;T212)+COUNTIFS($T$5:T212,T212))</f>
        <v>0</v>
      </c>
      <c r="AQ212" s="39">
        <f>IF(B212="","",IF(COUNTIF($B$5:$B$504,B212)&gt;1,"Duplicate - same name twice",IF(R212="Archived","",IF(AK212&gt;0.004,"Chase - balance outstanding",IF(AM212="Inactive","Gone - win-back offer",IF(AM212="Lapsing","Chase - lapsing, call them",IF(IF(N212="",FALSE,TodayDate-N212&gt;PatchTestDays),"Due - patch test out of date",IF(IF(AD212="",FALSE,IF(AB212&lt;&gt;"",FALSE,AD212&lt;=TodayDate+14)),"Rebook - due and nothing booked",IF(IF(K212="",FALSE,ABS(DATE(YEAR(TodayDate),MONTH(K212),DAY(K212))-TodayDate)&lt;=7),"Birthday - send the treat","OK")))))))))</f>
        <v>0</v>
      </c>
    </row>
    <row r="213" spans="1:43">
      <c r="A213" s="28">
        <f>IF(B213="","",ClientPrefix&amp;TEXT(ROW()-4,"0000"))</f>
        <v>0</v>
      </c>
      <c r="J213" s="15">
        <f>IF(I213="","",IFERROR(INDEX(Staff!$B$5:$B$44,MATCH(I213,Staff!$A$5:$A$44,0)),"Not in Staff"))</f>
        <v>0</v>
      </c>
      <c r="T213" s="25">
        <f>IF(B213="","",COUNTIFS(Appointments!$E$5:$E$1204,A213,Appointments!$M$5:$M$1204,"Completed"))</f>
        <v>0</v>
      </c>
      <c r="U213" s="25">
        <f>IF(B213="","",COUNTIFS(Appointments!$E$5:$E$1204,A213,Appointments!$M$5:$M$1204,"Completed",Appointments!$B$5:$B$1204,"&gt;="&amp;TodayDate-365))</f>
        <v>0</v>
      </c>
      <c r="V213" s="25">
        <f>IF(B213="","",COUNTIFS(Appointments!$E$5:$E$1204,A213,Appointments!$M$5:$M$1204,"Cancelled"))</f>
        <v>0</v>
      </c>
      <c r="W213" s="25">
        <f>IF(B213="","",COUNTIFS(Appointments!$E$5:$E$1204,A213,Appointments!$M$5:$M$1204,"No show"))</f>
        <v>0</v>
      </c>
      <c r="X213" s="17">
        <f>IF(B213="","",IF(F213&lt;&gt;"",F213,IF(T213=0,"",SUMPRODUCT(MIN((Appointments!$E$5:$E$1204=A213)*(Appointments!$M$5:$M$1204="Completed")*Appointments!$B$5:$B$1204+(1-(Appointments!$E$5:$E$1204=A213)*(Appointments!$M$5:$M$1204="Completed"))*2958465)))))</f>
        <v>0</v>
      </c>
      <c r="Y213" s="17">
        <f>IF(B213="","",IF(T213=0,"",SUMPRODUCT(MAX((Appointments!$E$5:$E$1204=A213)*(Appointments!$M$5:$M$1204="Completed")*Appointments!$B$5:$B$1204))))</f>
        <v>0</v>
      </c>
      <c r="Z213" s="25">
        <f>IF(B213="","",IF(Y213="","",TodayDate-Y213))</f>
        <v>0</v>
      </c>
      <c r="AA213" s="42">
        <f>IF(B213="","",SUMPRODUCT(MIN((Appointments!$E$5:$E$1204=A213)*(Appointments!$M$5:$M$1204&lt;&gt;"Cancelled")*(Appointments!$M$5:$M$1204&lt;&gt;"Completed")*(Appointments!$M$5:$M$1204&lt;&gt;"No show")*(Appointments!$B$5:$B$1204&gt;=TodayDate)*Appointments!$B$5:$B$1204+(1-(Appointments!$E$5:$E$1204=A213)*(Appointments!$M$5:$M$1204&lt;&gt;"Cancelled")*(Appointments!$M$5:$M$1204&lt;&gt;"Completed")*(Appointments!$M$5:$M$1204&lt;&gt;"No show")*(Appointments!$B$5:$B$1204&gt;=TodayDate))*2958465)))</f>
        <v>0</v>
      </c>
      <c r="AB213" s="17">
        <f>IF(B213="","",IF(AA213&gt;=2958465,"",AA213))</f>
        <v>0</v>
      </c>
      <c r="AC213" s="25">
        <f>IF(B213="","",IF(T213&lt;2,"",ROUND((Y213-X213)/MAX(1,T213-1),0)))</f>
        <v>0</v>
      </c>
      <c r="AD213" s="17">
        <f>IF(B213="","",IF(Y213="","",Y213+IF(AC213="",RebookWeeks*7,MAX(14,AC213))))</f>
        <v>0</v>
      </c>
      <c r="AE213" s="26">
        <f>IF(B213="","",ROUND(SUMIFS(Sales!$Y$5:$Y$1204,Sales!$D$5:$D$1204,A213),2))</f>
        <v>0</v>
      </c>
      <c r="AF213" s="26">
        <f>IF(B213="","",ROUND(SUMIFS(Sales!$Y$5:$Y$1204,Sales!$D$5:$D$1204,A213,Sales!$H$5:$H$1204,"Service"),2))</f>
        <v>0</v>
      </c>
      <c r="AG213" s="26">
        <f>IF(B213="","",ROUND(SUMIFS(Sales!$Y$5:$Y$1204,Sales!$D$5:$D$1204,A213,Sales!$H$5:$H$1204,"Retail"),2))</f>
        <v>0</v>
      </c>
      <c r="AH213" s="26">
        <f>IF(B213="","",ROUND(SUMIFS(Sales!$Y$5:$Y$1204,Sales!$D$5:$D$1204,A213,Sales!$B$5:$B$1204,"&gt;="&amp;TodayDate-365),2))</f>
        <v>0</v>
      </c>
      <c r="AI213" s="26">
        <f>IF(B213="","",IF(T213=0,"",ROUND(AE213/T213,2)))</f>
        <v>0</v>
      </c>
      <c r="AJ213" s="26">
        <f>IF(B213="","",IF(AI213="","",IF(AC213="","",ROUND(AI213*(365/MAX(14,AC213)),2))))</f>
        <v>0</v>
      </c>
      <c r="AK213" s="26">
        <f>IF(B213="","",ROUND(SUMIFS(Sales!$AH$5:$AH$1204,Sales!$D$5:$D$1204,A213),2))</f>
        <v>0</v>
      </c>
      <c r="AL213" s="25">
        <f>IF(B213="","",IFERROR(INDEX(Loyalty!$P$5:$P$504,MATCH(A213,Loyalty!$B$5:$B$504,0))*1,0))</f>
        <v>0</v>
      </c>
      <c r="AM213" s="39">
        <f>IF(B213="","",IF(R213="Archived","Archived",IF(T213=0,"Not been yet",IF(Z213&gt;=InactiveDays,"Inactive",IF(Z213&gt;=LapsingDays,"Lapsing",IF(T213=1,"New",IF(AH213&gt;=VipSpend,"VIP",IF(U213&gt;=4,"Regular","Active"))))))))</f>
        <v>0</v>
      </c>
      <c r="AN213" s="38">
        <f>IF(B213="","",IF(T213&gt;=2,"Yes","No"))</f>
        <v>0</v>
      </c>
      <c r="AO213" s="25">
        <f>IF(B213="","",COUNTIFS($AE$5:$AE$504,"&gt;"&amp;AE213)+COUNTIFS($AE$5:AE213,AE213))</f>
        <v>0</v>
      </c>
      <c r="AP213" s="25">
        <f>IF(B213="","",COUNTIFS($T$5:$T$504,"&gt;"&amp;T213)+COUNTIFS($T$5:T213,T213))</f>
        <v>0</v>
      </c>
      <c r="AQ213" s="39">
        <f>IF(B213="","",IF(COUNTIF($B$5:$B$504,B213)&gt;1,"Duplicate - same name twice",IF(R213="Archived","",IF(AK213&gt;0.004,"Chase - balance outstanding",IF(AM213="Inactive","Gone - win-back offer",IF(AM213="Lapsing","Chase - lapsing, call them",IF(IF(N213="",FALSE,TodayDate-N213&gt;PatchTestDays),"Due - patch test out of date",IF(IF(AD213="",FALSE,IF(AB213&lt;&gt;"",FALSE,AD213&lt;=TodayDate+14)),"Rebook - due and nothing booked",IF(IF(K213="",FALSE,ABS(DATE(YEAR(TodayDate),MONTH(K213),DAY(K213))-TodayDate)&lt;=7),"Birthday - send the treat","OK")))))))))</f>
        <v>0</v>
      </c>
    </row>
    <row r="214" spans="1:43">
      <c r="A214" s="28">
        <f>IF(B214="","",ClientPrefix&amp;TEXT(ROW()-4,"0000"))</f>
        <v>0</v>
      </c>
      <c r="J214" s="15">
        <f>IF(I214="","",IFERROR(INDEX(Staff!$B$5:$B$44,MATCH(I214,Staff!$A$5:$A$44,0)),"Not in Staff"))</f>
        <v>0</v>
      </c>
      <c r="T214" s="25">
        <f>IF(B214="","",COUNTIFS(Appointments!$E$5:$E$1204,A214,Appointments!$M$5:$M$1204,"Completed"))</f>
        <v>0</v>
      </c>
      <c r="U214" s="25">
        <f>IF(B214="","",COUNTIFS(Appointments!$E$5:$E$1204,A214,Appointments!$M$5:$M$1204,"Completed",Appointments!$B$5:$B$1204,"&gt;="&amp;TodayDate-365))</f>
        <v>0</v>
      </c>
      <c r="V214" s="25">
        <f>IF(B214="","",COUNTIFS(Appointments!$E$5:$E$1204,A214,Appointments!$M$5:$M$1204,"Cancelled"))</f>
        <v>0</v>
      </c>
      <c r="W214" s="25">
        <f>IF(B214="","",COUNTIFS(Appointments!$E$5:$E$1204,A214,Appointments!$M$5:$M$1204,"No show"))</f>
        <v>0</v>
      </c>
      <c r="X214" s="17">
        <f>IF(B214="","",IF(F214&lt;&gt;"",F214,IF(T214=0,"",SUMPRODUCT(MIN((Appointments!$E$5:$E$1204=A214)*(Appointments!$M$5:$M$1204="Completed")*Appointments!$B$5:$B$1204+(1-(Appointments!$E$5:$E$1204=A214)*(Appointments!$M$5:$M$1204="Completed"))*2958465)))))</f>
        <v>0</v>
      </c>
      <c r="Y214" s="17">
        <f>IF(B214="","",IF(T214=0,"",SUMPRODUCT(MAX((Appointments!$E$5:$E$1204=A214)*(Appointments!$M$5:$M$1204="Completed")*Appointments!$B$5:$B$1204))))</f>
        <v>0</v>
      </c>
      <c r="Z214" s="25">
        <f>IF(B214="","",IF(Y214="","",TodayDate-Y214))</f>
        <v>0</v>
      </c>
      <c r="AA214" s="42">
        <f>IF(B214="","",SUMPRODUCT(MIN((Appointments!$E$5:$E$1204=A214)*(Appointments!$M$5:$M$1204&lt;&gt;"Cancelled")*(Appointments!$M$5:$M$1204&lt;&gt;"Completed")*(Appointments!$M$5:$M$1204&lt;&gt;"No show")*(Appointments!$B$5:$B$1204&gt;=TodayDate)*Appointments!$B$5:$B$1204+(1-(Appointments!$E$5:$E$1204=A214)*(Appointments!$M$5:$M$1204&lt;&gt;"Cancelled")*(Appointments!$M$5:$M$1204&lt;&gt;"Completed")*(Appointments!$M$5:$M$1204&lt;&gt;"No show")*(Appointments!$B$5:$B$1204&gt;=TodayDate))*2958465)))</f>
        <v>0</v>
      </c>
      <c r="AB214" s="17">
        <f>IF(B214="","",IF(AA214&gt;=2958465,"",AA214))</f>
        <v>0</v>
      </c>
      <c r="AC214" s="25">
        <f>IF(B214="","",IF(T214&lt;2,"",ROUND((Y214-X214)/MAX(1,T214-1),0)))</f>
        <v>0</v>
      </c>
      <c r="AD214" s="17">
        <f>IF(B214="","",IF(Y214="","",Y214+IF(AC214="",RebookWeeks*7,MAX(14,AC214))))</f>
        <v>0</v>
      </c>
      <c r="AE214" s="26">
        <f>IF(B214="","",ROUND(SUMIFS(Sales!$Y$5:$Y$1204,Sales!$D$5:$D$1204,A214),2))</f>
        <v>0</v>
      </c>
      <c r="AF214" s="26">
        <f>IF(B214="","",ROUND(SUMIFS(Sales!$Y$5:$Y$1204,Sales!$D$5:$D$1204,A214,Sales!$H$5:$H$1204,"Service"),2))</f>
        <v>0</v>
      </c>
      <c r="AG214" s="26">
        <f>IF(B214="","",ROUND(SUMIFS(Sales!$Y$5:$Y$1204,Sales!$D$5:$D$1204,A214,Sales!$H$5:$H$1204,"Retail"),2))</f>
        <v>0</v>
      </c>
      <c r="AH214" s="26">
        <f>IF(B214="","",ROUND(SUMIFS(Sales!$Y$5:$Y$1204,Sales!$D$5:$D$1204,A214,Sales!$B$5:$B$1204,"&gt;="&amp;TodayDate-365),2))</f>
        <v>0</v>
      </c>
      <c r="AI214" s="26">
        <f>IF(B214="","",IF(T214=0,"",ROUND(AE214/T214,2)))</f>
        <v>0</v>
      </c>
      <c r="AJ214" s="26">
        <f>IF(B214="","",IF(AI214="","",IF(AC214="","",ROUND(AI214*(365/MAX(14,AC214)),2))))</f>
        <v>0</v>
      </c>
      <c r="AK214" s="26">
        <f>IF(B214="","",ROUND(SUMIFS(Sales!$AH$5:$AH$1204,Sales!$D$5:$D$1204,A214),2))</f>
        <v>0</v>
      </c>
      <c r="AL214" s="25">
        <f>IF(B214="","",IFERROR(INDEX(Loyalty!$P$5:$P$504,MATCH(A214,Loyalty!$B$5:$B$504,0))*1,0))</f>
        <v>0</v>
      </c>
      <c r="AM214" s="39">
        <f>IF(B214="","",IF(R214="Archived","Archived",IF(T214=0,"Not been yet",IF(Z214&gt;=InactiveDays,"Inactive",IF(Z214&gt;=LapsingDays,"Lapsing",IF(T214=1,"New",IF(AH214&gt;=VipSpend,"VIP",IF(U214&gt;=4,"Regular","Active"))))))))</f>
        <v>0</v>
      </c>
      <c r="AN214" s="38">
        <f>IF(B214="","",IF(T214&gt;=2,"Yes","No"))</f>
        <v>0</v>
      </c>
      <c r="AO214" s="25">
        <f>IF(B214="","",COUNTIFS($AE$5:$AE$504,"&gt;"&amp;AE214)+COUNTIFS($AE$5:AE214,AE214))</f>
        <v>0</v>
      </c>
      <c r="AP214" s="25">
        <f>IF(B214="","",COUNTIFS($T$5:$T$504,"&gt;"&amp;T214)+COUNTIFS($T$5:T214,T214))</f>
        <v>0</v>
      </c>
      <c r="AQ214" s="39">
        <f>IF(B214="","",IF(COUNTIF($B$5:$B$504,B214)&gt;1,"Duplicate - same name twice",IF(R214="Archived","",IF(AK214&gt;0.004,"Chase - balance outstanding",IF(AM214="Inactive","Gone - win-back offer",IF(AM214="Lapsing","Chase - lapsing, call them",IF(IF(N214="",FALSE,TodayDate-N214&gt;PatchTestDays),"Due - patch test out of date",IF(IF(AD214="",FALSE,IF(AB214&lt;&gt;"",FALSE,AD214&lt;=TodayDate+14)),"Rebook - due and nothing booked",IF(IF(K214="",FALSE,ABS(DATE(YEAR(TodayDate),MONTH(K214),DAY(K214))-TodayDate)&lt;=7),"Birthday - send the treat","OK")))))))))</f>
        <v>0</v>
      </c>
    </row>
    <row r="215" spans="1:43">
      <c r="A215" s="28">
        <f>IF(B215="","",ClientPrefix&amp;TEXT(ROW()-4,"0000"))</f>
        <v>0</v>
      </c>
      <c r="J215" s="15">
        <f>IF(I215="","",IFERROR(INDEX(Staff!$B$5:$B$44,MATCH(I215,Staff!$A$5:$A$44,0)),"Not in Staff"))</f>
        <v>0</v>
      </c>
      <c r="T215" s="25">
        <f>IF(B215="","",COUNTIFS(Appointments!$E$5:$E$1204,A215,Appointments!$M$5:$M$1204,"Completed"))</f>
        <v>0</v>
      </c>
      <c r="U215" s="25">
        <f>IF(B215="","",COUNTIFS(Appointments!$E$5:$E$1204,A215,Appointments!$M$5:$M$1204,"Completed",Appointments!$B$5:$B$1204,"&gt;="&amp;TodayDate-365))</f>
        <v>0</v>
      </c>
      <c r="V215" s="25">
        <f>IF(B215="","",COUNTIFS(Appointments!$E$5:$E$1204,A215,Appointments!$M$5:$M$1204,"Cancelled"))</f>
        <v>0</v>
      </c>
      <c r="W215" s="25">
        <f>IF(B215="","",COUNTIFS(Appointments!$E$5:$E$1204,A215,Appointments!$M$5:$M$1204,"No show"))</f>
        <v>0</v>
      </c>
      <c r="X215" s="17">
        <f>IF(B215="","",IF(F215&lt;&gt;"",F215,IF(T215=0,"",SUMPRODUCT(MIN((Appointments!$E$5:$E$1204=A215)*(Appointments!$M$5:$M$1204="Completed")*Appointments!$B$5:$B$1204+(1-(Appointments!$E$5:$E$1204=A215)*(Appointments!$M$5:$M$1204="Completed"))*2958465)))))</f>
        <v>0</v>
      </c>
      <c r="Y215" s="17">
        <f>IF(B215="","",IF(T215=0,"",SUMPRODUCT(MAX((Appointments!$E$5:$E$1204=A215)*(Appointments!$M$5:$M$1204="Completed")*Appointments!$B$5:$B$1204))))</f>
        <v>0</v>
      </c>
      <c r="Z215" s="25">
        <f>IF(B215="","",IF(Y215="","",TodayDate-Y215))</f>
        <v>0</v>
      </c>
      <c r="AA215" s="42">
        <f>IF(B215="","",SUMPRODUCT(MIN((Appointments!$E$5:$E$1204=A215)*(Appointments!$M$5:$M$1204&lt;&gt;"Cancelled")*(Appointments!$M$5:$M$1204&lt;&gt;"Completed")*(Appointments!$M$5:$M$1204&lt;&gt;"No show")*(Appointments!$B$5:$B$1204&gt;=TodayDate)*Appointments!$B$5:$B$1204+(1-(Appointments!$E$5:$E$1204=A215)*(Appointments!$M$5:$M$1204&lt;&gt;"Cancelled")*(Appointments!$M$5:$M$1204&lt;&gt;"Completed")*(Appointments!$M$5:$M$1204&lt;&gt;"No show")*(Appointments!$B$5:$B$1204&gt;=TodayDate))*2958465)))</f>
        <v>0</v>
      </c>
      <c r="AB215" s="17">
        <f>IF(B215="","",IF(AA215&gt;=2958465,"",AA215))</f>
        <v>0</v>
      </c>
      <c r="AC215" s="25">
        <f>IF(B215="","",IF(T215&lt;2,"",ROUND((Y215-X215)/MAX(1,T215-1),0)))</f>
        <v>0</v>
      </c>
      <c r="AD215" s="17">
        <f>IF(B215="","",IF(Y215="","",Y215+IF(AC215="",RebookWeeks*7,MAX(14,AC215))))</f>
        <v>0</v>
      </c>
      <c r="AE215" s="26">
        <f>IF(B215="","",ROUND(SUMIFS(Sales!$Y$5:$Y$1204,Sales!$D$5:$D$1204,A215),2))</f>
        <v>0</v>
      </c>
      <c r="AF215" s="26">
        <f>IF(B215="","",ROUND(SUMIFS(Sales!$Y$5:$Y$1204,Sales!$D$5:$D$1204,A215,Sales!$H$5:$H$1204,"Service"),2))</f>
        <v>0</v>
      </c>
      <c r="AG215" s="26">
        <f>IF(B215="","",ROUND(SUMIFS(Sales!$Y$5:$Y$1204,Sales!$D$5:$D$1204,A215,Sales!$H$5:$H$1204,"Retail"),2))</f>
        <v>0</v>
      </c>
      <c r="AH215" s="26">
        <f>IF(B215="","",ROUND(SUMIFS(Sales!$Y$5:$Y$1204,Sales!$D$5:$D$1204,A215,Sales!$B$5:$B$1204,"&gt;="&amp;TodayDate-365),2))</f>
        <v>0</v>
      </c>
      <c r="AI215" s="26">
        <f>IF(B215="","",IF(T215=0,"",ROUND(AE215/T215,2)))</f>
        <v>0</v>
      </c>
      <c r="AJ215" s="26">
        <f>IF(B215="","",IF(AI215="","",IF(AC215="","",ROUND(AI215*(365/MAX(14,AC215)),2))))</f>
        <v>0</v>
      </c>
      <c r="AK215" s="26">
        <f>IF(B215="","",ROUND(SUMIFS(Sales!$AH$5:$AH$1204,Sales!$D$5:$D$1204,A215),2))</f>
        <v>0</v>
      </c>
      <c r="AL215" s="25">
        <f>IF(B215="","",IFERROR(INDEX(Loyalty!$P$5:$P$504,MATCH(A215,Loyalty!$B$5:$B$504,0))*1,0))</f>
        <v>0</v>
      </c>
      <c r="AM215" s="39">
        <f>IF(B215="","",IF(R215="Archived","Archived",IF(T215=0,"Not been yet",IF(Z215&gt;=InactiveDays,"Inactive",IF(Z215&gt;=LapsingDays,"Lapsing",IF(T215=1,"New",IF(AH215&gt;=VipSpend,"VIP",IF(U215&gt;=4,"Regular","Active"))))))))</f>
        <v>0</v>
      </c>
      <c r="AN215" s="38">
        <f>IF(B215="","",IF(T215&gt;=2,"Yes","No"))</f>
        <v>0</v>
      </c>
      <c r="AO215" s="25">
        <f>IF(B215="","",COUNTIFS($AE$5:$AE$504,"&gt;"&amp;AE215)+COUNTIFS($AE$5:AE215,AE215))</f>
        <v>0</v>
      </c>
      <c r="AP215" s="25">
        <f>IF(B215="","",COUNTIFS($T$5:$T$504,"&gt;"&amp;T215)+COUNTIFS($T$5:T215,T215))</f>
        <v>0</v>
      </c>
      <c r="AQ215" s="39">
        <f>IF(B215="","",IF(COUNTIF($B$5:$B$504,B215)&gt;1,"Duplicate - same name twice",IF(R215="Archived","",IF(AK215&gt;0.004,"Chase - balance outstanding",IF(AM215="Inactive","Gone - win-back offer",IF(AM215="Lapsing","Chase - lapsing, call them",IF(IF(N215="",FALSE,TodayDate-N215&gt;PatchTestDays),"Due - patch test out of date",IF(IF(AD215="",FALSE,IF(AB215&lt;&gt;"",FALSE,AD215&lt;=TodayDate+14)),"Rebook - due and nothing booked",IF(IF(K215="",FALSE,ABS(DATE(YEAR(TodayDate),MONTH(K215),DAY(K215))-TodayDate)&lt;=7),"Birthday - send the treat","OK")))))))))</f>
        <v>0</v>
      </c>
    </row>
    <row r="216" spans="1:43">
      <c r="A216" s="28">
        <f>IF(B216="","",ClientPrefix&amp;TEXT(ROW()-4,"0000"))</f>
        <v>0</v>
      </c>
      <c r="J216" s="15">
        <f>IF(I216="","",IFERROR(INDEX(Staff!$B$5:$B$44,MATCH(I216,Staff!$A$5:$A$44,0)),"Not in Staff"))</f>
        <v>0</v>
      </c>
      <c r="T216" s="25">
        <f>IF(B216="","",COUNTIFS(Appointments!$E$5:$E$1204,A216,Appointments!$M$5:$M$1204,"Completed"))</f>
        <v>0</v>
      </c>
      <c r="U216" s="25">
        <f>IF(B216="","",COUNTIFS(Appointments!$E$5:$E$1204,A216,Appointments!$M$5:$M$1204,"Completed",Appointments!$B$5:$B$1204,"&gt;="&amp;TodayDate-365))</f>
        <v>0</v>
      </c>
      <c r="V216" s="25">
        <f>IF(B216="","",COUNTIFS(Appointments!$E$5:$E$1204,A216,Appointments!$M$5:$M$1204,"Cancelled"))</f>
        <v>0</v>
      </c>
      <c r="W216" s="25">
        <f>IF(B216="","",COUNTIFS(Appointments!$E$5:$E$1204,A216,Appointments!$M$5:$M$1204,"No show"))</f>
        <v>0</v>
      </c>
      <c r="X216" s="17">
        <f>IF(B216="","",IF(F216&lt;&gt;"",F216,IF(T216=0,"",SUMPRODUCT(MIN((Appointments!$E$5:$E$1204=A216)*(Appointments!$M$5:$M$1204="Completed")*Appointments!$B$5:$B$1204+(1-(Appointments!$E$5:$E$1204=A216)*(Appointments!$M$5:$M$1204="Completed"))*2958465)))))</f>
        <v>0</v>
      </c>
      <c r="Y216" s="17">
        <f>IF(B216="","",IF(T216=0,"",SUMPRODUCT(MAX((Appointments!$E$5:$E$1204=A216)*(Appointments!$M$5:$M$1204="Completed")*Appointments!$B$5:$B$1204))))</f>
        <v>0</v>
      </c>
      <c r="Z216" s="25">
        <f>IF(B216="","",IF(Y216="","",TodayDate-Y216))</f>
        <v>0</v>
      </c>
      <c r="AA216" s="42">
        <f>IF(B216="","",SUMPRODUCT(MIN((Appointments!$E$5:$E$1204=A216)*(Appointments!$M$5:$M$1204&lt;&gt;"Cancelled")*(Appointments!$M$5:$M$1204&lt;&gt;"Completed")*(Appointments!$M$5:$M$1204&lt;&gt;"No show")*(Appointments!$B$5:$B$1204&gt;=TodayDate)*Appointments!$B$5:$B$1204+(1-(Appointments!$E$5:$E$1204=A216)*(Appointments!$M$5:$M$1204&lt;&gt;"Cancelled")*(Appointments!$M$5:$M$1204&lt;&gt;"Completed")*(Appointments!$M$5:$M$1204&lt;&gt;"No show")*(Appointments!$B$5:$B$1204&gt;=TodayDate))*2958465)))</f>
        <v>0</v>
      </c>
      <c r="AB216" s="17">
        <f>IF(B216="","",IF(AA216&gt;=2958465,"",AA216))</f>
        <v>0</v>
      </c>
      <c r="AC216" s="25">
        <f>IF(B216="","",IF(T216&lt;2,"",ROUND((Y216-X216)/MAX(1,T216-1),0)))</f>
        <v>0</v>
      </c>
      <c r="AD216" s="17">
        <f>IF(B216="","",IF(Y216="","",Y216+IF(AC216="",RebookWeeks*7,MAX(14,AC216))))</f>
        <v>0</v>
      </c>
      <c r="AE216" s="26">
        <f>IF(B216="","",ROUND(SUMIFS(Sales!$Y$5:$Y$1204,Sales!$D$5:$D$1204,A216),2))</f>
        <v>0</v>
      </c>
      <c r="AF216" s="26">
        <f>IF(B216="","",ROUND(SUMIFS(Sales!$Y$5:$Y$1204,Sales!$D$5:$D$1204,A216,Sales!$H$5:$H$1204,"Service"),2))</f>
        <v>0</v>
      </c>
      <c r="AG216" s="26">
        <f>IF(B216="","",ROUND(SUMIFS(Sales!$Y$5:$Y$1204,Sales!$D$5:$D$1204,A216,Sales!$H$5:$H$1204,"Retail"),2))</f>
        <v>0</v>
      </c>
      <c r="AH216" s="26">
        <f>IF(B216="","",ROUND(SUMIFS(Sales!$Y$5:$Y$1204,Sales!$D$5:$D$1204,A216,Sales!$B$5:$B$1204,"&gt;="&amp;TodayDate-365),2))</f>
        <v>0</v>
      </c>
      <c r="AI216" s="26">
        <f>IF(B216="","",IF(T216=0,"",ROUND(AE216/T216,2)))</f>
        <v>0</v>
      </c>
      <c r="AJ216" s="26">
        <f>IF(B216="","",IF(AI216="","",IF(AC216="","",ROUND(AI216*(365/MAX(14,AC216)),2))))</f>
        <v>0</v>
      </c>
      <c r="AK216" s="26">
        <f>IF(B216="","",ROUND(SUMIFS(Sales!$AH$5:$AH$1204,Sales!$D$5:$D$1204,A216),2))</f>
        <v>0</v>
      </c>
      <c r="AL216" s="25">
        <f>IF(B216="","",IFERROR(INDEX(Loyalty!$P$5:$P$504,MATCH(A216,Loyalty!$B$5:$B$504,0))*1,0))</f>
        <v>0</v>
      </c>
      <c r="AM216" s="39">
        <f>IF(B216="","",IF(R216="Archived","Archived",IF(T216=0,"Not been yet",IF(Z216&gt;=InactiveDays,"Inactive",IF(Z216&gt;=LapsingDays,"Lapsing",IF(T216=1,"New",IF(AH216&gt;=VipSpend,"VIP",IF(U216&gt;=4,"Regular","Active"))))))))</f>
        <v>0</v>
      </c>
      <c r="AN216" s="38">
        <f>IF(B216="","",IF(T216&gt;=2,"Yes","No"))</f>
        <v>0</v>
      </c>
      <c r="AO216" s="25">
        <f>IF(B216="","",COUNTIFS($AE$5:$AE$504,"&gt;"&amp;AE216)+COUNTIFS($AE$5:AE216,AE216))</f>
        <v>0</v>
      </c>
      <c r="AP216" s="25">
        <f>IF(B216="","",COUNTIFS($T$5:$T$504,"&gt;"&amp;T216)+COUNTIFS($T$5:T216,T216))</f>
        <v>0</v>
      </c>
      <c r="AQ216" s="39">
        <f>IF(B216="","",IF(COUNTIF($B$5:$B$504,B216)&gt;1,"Duplicate - same name twice",IF(R216="Archived","",IF(AK216&gt;0.004,"Chase - balance outstanding",IF(AM216="Inactive","Gone - win-back offer",IF(AM216="Lapsing","Chase - lapsing, call them",IF(IF(N216="",FALSE,TodayDate-N216&gt;PatchTestDays),"Due - patch test out of date",IF(IF(AD216="",FALSE,IF(AB216&lt;&gt;"",FALSE,AD216&lt;=TodayDate+14)),"Rebook - due and nothing booked",IF(IF(K216="",FALSE,ABS(DATE(YEAR(TodayDate),MONTH(K216),DAY(K216))-TodayDate)&lt;=7),"Birthday - send the treat","OK")))))))))</f>
        <v>0</v>
      </c>
    </row>
    <row r="217" spans="1:43">
      <c r="A217" s="28">
        <f>IF(B217="","",ClientPrefix&amp;TEXT(ROW()-4,"0000"))</f>
        <v>0</v>
      </c>
      <c r="J217" s="15">
        <f>IF(I217="","",IFERROR(INDEX(Staff!$B$5:$B$44,MATCH(I217,Staff!$A$5:$A$44,0)),"Not in Staff"))</f>
        <v>0</v>
      </c>
      <c r="T217" s="25">
        <f>IF(B217="","",COUNTIFS(Appointments!$E$5:$E$1204,A217,Appointments!$M$5:$M$1204,"Completed"))</f>
        <v>0</v>
      </c>
      <c r="U217" s="25">
        <f>IF(B217="","",COUNTIFS(Appointments!$E$5:$E$1204,A217,Appointments!$M$5:$M$1204,"Completed",Appointments!$B$5:$B$1204,"&gt;="&amp;TodayDate-365))</f>
        <v>0</v>
      </c>
      <c r="V217" s="25">
        <f>IF(B217="","",COUNTIFS(Appointments!$E$5:$E$1204,A217,Appointments!$M$5:$M$1204,"Cancelled"))</f>
        <v>0</v>
      </c>
      <c r="W217" s="25">
        <f>IF(B217="","",COUNTIFS(Appointments!$E$5:$E$1204,A217,Appointments!$M$5:$M$1204,"No show"))</f>
        <v>0</v>
      </c>
      <c r="X217" s="17">
        <f>IF(B217="","",IF(F217&lt;&gt;"",F217,IF(T217=0,"",SUMPRODUCT(MIN((Appointments!$E$5:$E$1204=A217)*(Appointments!$M$5:$M$1204="Completed")*Appointments!$B$5:$B$1204+(1-(Appointments!$E$5:$E$1204=A217)*(Appointments!$M$5:$M$1204="Completed"))*2958465)))))</f>
        <v>0</v>
      </c>
      <c r="Y217" s="17">
        <f>IF(B217="","",IF(T217=0,"",SUMPRODUCT(MAX((Appointments!$E$5:$E$1204=A217)*(Appointments!$M$5:$M$1204="Completed")*Appointments!$B$5:$B$1204))))</f>
        <v>0</v>
      </c>
      <c r="Z217" s="25">
        <f>IF(B217="","",IF(Y217="","",TodayDate-Y217))</f>
        <v>0</v>
      </c>
      <c r="AA217" s="42">
        <f>IF(B217="","",SUMPRODUCT(MIN((Appointments!$E$5:$E$1204=A217)*(Appointments!$M$5:$M$1204&lt;&gt;"Cancelled")*(Appointments!$M$5:$M$1204&lt;&gt;"Completed")*(Appointments!$M$5:$M$1204&lt;&gt;"No show")*(Appointments!$B$5:$B$1204&gt;=TodayDate)*Appointments!$B$5:$B$1204+(1-(Appointments!$E$5:$E$1204=A217)*(Appointments!$M$5:$M$1204&lt;&gt;"Cancelled")*(Appointments!$M$5:$M$1204&lt;&gt;"Completed")*(Appointments!$M$5:$M$1204&lt;&gt;"No show")*(Appointments!$B$5:$B$1204&gt;=TodayDate))*2958465)))</f>
        <v>0</v>
      </c>
      <c r="AB217" s="17">
        <f>IF(B217="","",IF(AA217&gt;=2958465,"",AA217))</f>
        <v>0</v>
      </c>
      <c r="AC217" s="25">
        <f>IF(B217="","",IF(T217&lt;2,"",ROUND((Y217-X217)/MAX(1,T217-1),0)))</f>
        <v>0</v>
      </c>
      <c r="AD217" s="17">
        <f>IF(B217="","",IF(Y217="","",Y217+IF(AC217="",RebookWeeks*7,MAX(14,AC217))))</f>
        <v>0</v>
      </c>
      <c r="AE217" s="26">
        <f>IF(B217="","",ROUND(SUMIFS(Sales!$Y$5:$Y$1204,Sales!$D$5:$D$1204,A217),2))</f>
        <v>0</v>
      </c>
      <c r="AF217" s="26">
        <f>IF(B217="","",ROUND(SUMIFS(Sales!$Y$5:$Y$1204,Sales!$D$5:$D$1204,A217,Sales!$H$5:$H$1204,"Service"),2))</f>
        <v>0</v>
      </c>
      <c r="AG217" s="26">
        <f>IF(B217="","",ROUND(SUMIFS(Sales!$Y$5:$Y$1204,Sales!$D$5:$D$1204,A217,Sales!$H$5:$H$1204,"Retail"),2))</f>
        <v>0</v>
      </c>
      <c r="AH217" s="26">
        <f>IF(B217="","",ROUND(SUMIFS(Sales!$Y$5:$Y$1204,Sales!$D$5:$D$1204,A217,Sales!$B$5:$B$1204,"&gt;="&amp;TodayDate-365),2))</f>
        <v>0</v>
      </c>
      <c r="AI217" s="26">
        <f>IF(B217="","",IF(T217=0,"",ROUND(AE217/T217,2)))</f>
        <v>0</v>
      </c>
      <c r="AJ217" s="26">
        <f>IF(B217="","",IF(AI217="","",IF(AC217="","",ROUND(AI217*(365/MAX(14,AC217)),2))))</f>
        <v>0</v>
      </c>
      <c r="AK217" s="26">
        <f>IF(B217="","",ROUND(SUMIFS(Sales!$AH$5:$AH$1204,Sales!$D$5:$D$1204,A217),2))</f>
        <v>0</v>
      </c>
      <c r="AL217" s="25">
        <f>IF(B217="","",IFERROR(INDEX(Loyalty!$P$5:$P$504,MATCH(A217,Loyalty!$B$5:$B$504,0))*1,0))</f>
        <v>0</v>
      </c>
      <c r="AM217" s="39">
        <f>IF(B217="","",IF(R217="Archived","Archived",IF(T217=0,"Not been yet",IF(Z217&gt;=InactiveDays,"Inactive",IF(Z217&gt;=LapsingDays,"Lapsing",IF(T217=1,"New",IF(AH217&gt;=VipSpend,"VIP",IF(U217&gt;=4,"Regular","Active"))))))))</f>
        <v>0</v>
      </c>
      <c r="AN217" s="38">
        <f>IF(B217="","",IF(T217&gt;=2,"Yes","No"))</f>
        <v>0</v>
      </c>
      <c r="AO217" s="25">
        <f>IF(B217="","",COUNTIFS($AE$5:$AE$504,"&gt;"&amp;AE217)+COUNTIFS($AE$5:AE217,AE217))</f>
        <v>0</v>
      </c>
      <c r="AP217" s="25">
        <f>IF(B217="","",COUNTIFS($T$5:$T$504,"&gt;"&amp;T217)+COUNTIFS($T$5:T217,T217))</f>
        <v>0</v>
      </c>
      <c r="AQ217" s="39">
        <f>IF(B217="","",IF(COUNTIF($B$5:$B$504,B217)&gt;1,"Duplicate - same name twice",IF(R217="Archived","",IF(AK217&gt;0.004,"Chase - balance outstanding",IF(AM217="Inactive","Gone - win-back offer",IF(AM217="Lapsing","Chase - lapsing, call them",IF(IF(N217="",FALSE,TodayDate-N217&gt;PatchTestDays),"Due - patch test out of date",IF(IF(AD217="",FALSE,IF(AB217&lt;&gt;"",FALSE,AD217&lt;=TodayDate+14)),"Rebook - due and nothing booked",IF(IF(K217="",FALSE,ABS(DATE(YEAR(TodayDate),MONTH(K217),DAY(K217))-TodayDate)&lt;=7),"Birthday - send the treat","OK")))))))))</f>
        <v>0</v>
      </c>
    </row>
    <row r="218" spans="1:43">
      <c r="A218" s="28">
        <f>IF(B218="","",ClientPrefix&amp;TEXT(ROW()-4,"0000"))</f>
        <v>0</v>
      </c>
      <c r="J218" s="15">
        <f>IF(I218="","",IFERROR(INDEX(Staff!$B$5:$B$44,MATCH(I218,Staff!$A$5:$A$44,0)),"Not in Staff"))</f>
        <v>0</v>
      </c>
      <c r="T218" s="25">
        <f>IF(B218="","",COUNTIFS(Appointments!$E$5:$E$1204,A218,Appointments!$M$5:$M$1204,"Completed"))</f>
        <v>0</v>
      </c>
      <c r="U218" s="25">
        <f>IF(B218="","",COUNTIFS(Appointments!$E$5:$E$1204,A218,Appointments!$M$5:$M$1204,"Completed",Appointments!$B$5:$B$1204,"&gt;="&amp;TodayDate-365))</f>
        <v>0</v>
      </c>
      <c r="V218" s="25">
        <f>IF(B218="","",COUNTIFS(Appointments!$E$5:$E$1204,A218,Appointments!$M$5:$M$1204,"Cancelled"))</f>
        <v>0</v>
      </c>
      <c r="W218" s="25">
        <f>IF(B218="","",COUNTIFS(Appointments!$E$5:$E$1204,A218,Appointments!$M$5:$M$1204,"No show"))</f>
        <v>0</v>
      </c>
      <c r="X218" s="17">
        <f>IF(B218="","",IF(F218&lt;&gt;"",F218,IF(T218=0,"",SUMPRODUCT(MIN((Appointments!$E$5:$E$1204=A218)*(Appointments!$M$5:$M$1204="Completed")*Appointments!$B$5:$B$1204+(1-(Appointments!$E$5:$E$1204=A218)*(Appointments!$M$5:$M$1204="Completed"))*2958465)))))</f>
        <v>0</v>
      </c>
      <c r="Y218" s="17">
        <f>IF(B218="","",IF(T218=0,"",SUMPRODUCT(MAX((Appointments!$E$5:$E$1204=A218)*(Appointments!$M$5:$M$1204="Completed")*Appointments!$B$5:$B$1204))))</f>
        <v>0</v>
      </c>
      <c r="Z218" s="25">
        <f>IF(B218="","",IF(Y218="","",TodayDate-Y218))</f>
        <v>0</v>
      </c>
      <c r="AA218" s="42">
        <f>IF(B218="","",SUMPRODUCT(MIN((Appointments!$E$5:$E$1204=A218)*(Appointments!$M$5:$M$1204&lt;&gt;"Cancelled")*(Appointments!$M$5:$M$1204&lt;&gt;"Completed")*(Appointments!$M$5:$M$1204&lt;&gt;"No show")*(Appointments!$B$5:$B$1204&gt;=TodayDate)*Appointments!$B$5:$B$1204+(1-(Appointments!$E$5:$E$1204=A218)*(Appointments!$M$5:$M$1204&lt;&gt;"Cancelled")*(Appointments!$M$5:$M$1204&lt;&gt;"Completed")*(Appointments!$M$5:$M$1204&lt;&gt;"No show")*(Appointments!$B$5:$B$1204&gt;=TodayDate))*2958465)))</f>
        <v>0</v>
      </c>
      <c r="AB218" s="17">
        <f>IF(B218="","",IF(AA218&gt;=2958465,"",AA218))</f>
        <v>0</v>
      </c>
      <c r="AC218" s="25">
        <f>IF(B218="","",IF(T218&lt;2,"",ROUND((Y218-X218)/MAX(1,T218-1),0)))</f>
        <v>0</v>
      </c>
      <c r="AD218" s="17">
        <f>IF(B218="","",IF(Y218="","",Y218+IF(AC218="",RebookWeeks*7,MAX(14,AC218))))</f>
        <v>0</v>
      </c>
      <c r="AE218" s="26">
        <f>IF(B218="","",ROUND(SUMIFS(Sales!$Y$5:$Y$1204,Sales!$D$5:$D$1204,A218),2))</f>
        <v>0</v>
      </c>
      <c r="AF218" s="26">
        <f>IF(B218="","",ROUND(SUMIFS(Sales!$Y$5:$Y$1204,Sales!$D$5:$D$1204,A218,Sales!$H$5:$H$1204,"Service"),2))</f>
        <v>0</v>
      </c>
      <c r="AG218" s="26">
        <f>IF(B218="","",ROUND(SUMIFS(Sales!$Y$5:$Y$1204,Sales!$D$5:$D$1204,A218,Sales!$H$5:$H$1204,"Retail"),2))</f>
        <v>0</v>
      </c>
      <c r="AH218" s="26">
        <f>IF(B218="","",ROUND(SUMIFS(Sales!$Y$5:$Y$1204,Sales!$D$5:$D$1204,A218,Sales!$B$5:$B$1204,"&gt;="&amp;TodayDate-365),2))</f>
        <v>0</v>
      </c>
      <c r="AI218" s="26">
        <f>IF(B218="","",IF(T218=0,"",ROUND(AE218/T218,2)))</f>
        <v>0</v>
      </c>
      <c r="AJ218" s="26">
        <f>IF(B218="","",IF(AI218="","",IF(AC218="","",ROUND(AI218*(365/MAX(14,AC218)),2))))</f>
        <v>0</v>
      </c>
      <c r="AK218" s="26">
        <f>IF(B218="","",ROUND(SUMIFS(Sales!$AH$5:$AH$1204,Sales!$D$5:$D$1204,A218),2))</f>
        <v>0</v>
      </c>
      <c r="AL218" s="25">
        <f>IF(B218="","",IFERROR(INDEX(Loyalty!$P$5:$P$504,MATCH(A218,Loyalty!$B$5:$B$504,0))*1,0))</f>
        <v>0</v>
      </c>
      <c r="AM218" s="39">
        <f>IF(B218="","",IF(R218="Archived","Archived",IF(T218=0,"Not been yet",IF(Z218&gt;=InactiveDays,"Inactive",IF(Z218&gt;=LapsingDays,"Lapsing",IF(T218=1,"New",IF(AH218&gt;=VipSpend,"VIP",IF(U218&gt;=4,"Regular","Active"))))))))</f>
        <v>0</v>
      </c>
      <c r="AN218" s="38">
        <f>IF(B218="","",IF(T218&gt;=2,"Yes","No"))</f>
        <v>0</v>
      </c>
      <c r="AO218" s="25">
        <f>IF(B218="","",COUNTIFS($AE$5:$AE$504,"&gt;"&amp;AE218)+COUNTIFS($AE$5:AE218,AE218))</f>
        <v>0</v>
      </c>
      <c r="AP218" s="25">
        <f>IF(B218="","",COUNTIFS($T$5:$T$504,"&gt;"&amp;T218)+COUNTIFS($T$5:T218,T218))</f>
        <v>0</v>
      </c>
      <c r="AQ218" s="39">
        <f>IF(B218="","",IF(COUNTIF($B$5:$B$504,B218)&gt;1,"Duplicate - same name twice",IF(R218="Archived","",IF(AK218&gt;0.004,"Chase - balance outstanding",IF(AM218="Inactive","Gone - win-back offer",IF(AM218="Lapsing","Chase - lapsing, call them",IF(IF(N218="",FALSE,TodayDate-N218&gt;PatchTestDays),"Due - patch test out of date",IF(IF(AD218="",FALSE,IF(AB218&lt;&gt;"",FALSE,AD218&lt;=TodayDate+14)),"Rebook - due and nothing booked",IF(IF(K218="",FALSE,ABS(DATE(YEAR(TodayDate),MONTH(K218),DAY(K218))-TodayDate)&lt;=7),"Birthday - send the treat","OK")))))))))</f>
        <v>0</v>
      </c>
    </row>
    <row r="219" spans="1:43">
      <c r="A219" s="28">
        <f>IF(B219="","",ClientPrefix&amp;TEXT(ROW()-4,"0000"))</f>
        <v>0</v>
      </c>
      <c r="J219" s="15">
        <f>IF(I219="","",IFERROR(INDEX(Staff!$B$5:$B$44,MATCH(I219,Staff!$A$5:$A$44,0)),"Not in Staff"))</f>
        <v>0</v>
      </c>
      <c r="T219" s="25">
        <f>IF(B219="","",COUNTIFS(Appointments!$E$5:$E$1204,A219,Appointments!$M$5:$M$1204,"Completed"))</f>
        <v>0</v>
      </c>
      <c r="U219" s="25">
        <f>IF(B219="","",COUNTIFS(Appointments!$E$5:$E$1204,A219,Appointments!$M$5:$M$1204,"Completed",Appointments!$B$5:$B$1204,"&gt;="&amp;TodayDate-365))</f>
        <v>0</v>
      </c>
      <c r="V219" s="25">
        <f>IF(B219="","",COUNTIFS(Appointments!$E$5:$E$1204,A219,Appointments!$M$5:$M$1204,"Cancelled"))</f>
        <v>0</v>
      </c>
      <c r="W219" s="25">
        <f>IF(B219="","",COUNTIFS(Appointments!$E$5:$E$1204,A219,Appointments!$M$5:$M$1204,"No show"))</f>
        <v>0</v>
      </c>
      <c r="X219" s="17">
        <f>IF(B219="","",IF(F219&lt;&gt;"",F219,IF(T219=0,"",SUMPRODUCT(MIN((Appointments!$E$5:$E$1204=A219)*(Appointments!$M$5:$M$1204="Completed")*Appointments!$B$5:$B$1204+(1-(Appointments!$E$5:$E$1204=A219)*(Appointments!$M$5:$M$1204="Completed"))*2958465)))))</f>
        <v>0</v>
      </c>
      <c r="Y219" s="17">
        <f>IF(B219="","",IF(T219=0,"",SUMPRODUCT(MAX((Appointments!$E$5:$E$1204=A219)*(Appointments!$M$5:$M$1204="Completed")*Appointments!$B$5:$B$1204))))</f>
        <v>0</v>
      </c>
      <c r="Z219" s="25">
        <f>IF(B219="","",IF(Y219="","",TodayDate-Y219))</f>
        <v>0</v>
      </c>
      <c r="AA219" s="42">
        <f>IF(B219="","",SUMPRODUCT(MIN((Appointments!$E$5:$E$1204=A219)*(Appointments!$M$5:$M$1204&lt;&gt;"Cancelled")*(Appointments!$M$5:$M$1204&lt;&gt;"Completed")*(Appointments!$M$5:$M$1204&lt;&gt;"No show")*(Appointments!$B$5:$B$1204&gt;=TodayDate)*Appointments!$B$5:$B$1204+(1-(Appointments!$E$5:$E$1204=A219)*(Appointments!$M$5:$M$1204&lt;&gt;"Cancelled")*(Appointments!$M$5:$M$1204&lt;&gt;"Completed")*(Appointments!$M$5:$M$1204&lt;&gt;"No show")*(Appointments!$B$5:$B$1204&gt;=TodayDate))*2958465)))</f>
        <v>0</v>
      </c>
      <c r="AB219" s="17">
        <f>IF(B219="","",IF(AA219&gt;=2958465,"",AA219))</f>
        <v>0</v>
      </c>
      <c r="AC219" s="25">
        <f>IF(B219="","",IF(T219&lt;2,"",ROUND((Y219-X219)/MAX(1,T219-1),0)))</f>
        <v>0</v>
      </c>
      <c r="AD219" s="17">
        <f>IF(B219="","",IF(Y219="","",Y219+IF(AC219="",RebookWeeks*7,MAX(14,AC219))))</f>
        <v>0</v>
      </c>
      <c r="AE219" s="26">
        <f>IF(B219="","",ROUND(SUMIFS(Sales!$Y$5:$Y$1204,Sales!$D$5:$D$1204,A219),2))</f>
        <v>0</v>
      </c>
      <c r="AF219" s="26">
        <f>IF(B219="","",ROUND(SUMIFS(Sales!$Y$5:$Y$1204,Sales!$D$5:$D$1204,A219,Sales!$H$5:$H$1204,"Service"),2))</f>
        <v>0</v>
      </c>
      <c r="AG219" s="26">
        <f>IF(B219="","",ROUND(SUMIFS(Sales!$Y$5:$Y$1204,Sales!$D$5:$D$1204,A219,Sales!$H$5:$H$1204,"Retail"),2))</f>
        <v>0</v>
      </c>
      <c r="AH219" s="26">
        <f>IF(B219="","",ROUND(SUMIFS(Sales!$Y$5:$Y$1204,Sales!$D$5:$D$1204,A219,Sales!$B$5:$B$1204,"&gt;="&amp;TodayDate-365),2))</f>
        <v>0</v>
      </c>
      <c r="AI219" s="26">
        <f>IF(B219="","",IF(T219=0,"",ROUND(AE219/T219,2)))</f>
        <v>0</v>
      </c>
      <c r="AJ219" s="26">
        <f>IF(B219="","",IF(AI219="","",IF(AC219="","",ROUND(AI219*(365/MAX(14,AC219)),2))))</f>
        <v>0</v>
      </c>
      <c r="AK219" s="26">
        <f>IF(B219="","",ROUND(SUMIFS(Sales!$AH$5:$AH$1204,Sales!$D$5:$D$1204,A219),2))</f>
        <v>0</v>
      </c>
      <c r="AL219" s="25">
        <f>IF(B219="","",IFERROR(INDEX(Loyalty!$P$5:$P$504,MATCH(A219,Loyalty!$B$5:$B$504,0))*1,0))</f>
        <v>0</v>
      </c>
      <c r="AM219" s="39">
        <f>IF(B219="","",IF(R219="Archived","Archived",IF(T219=0,"Not been yet",IF(Z219&gt;=InactiveDays,"Inactive",IF(Z219&gt;=LapsingDays,"Lapsing",IF(T219=1,"New",IF(AH219&gt;=VipSpend,"VIP",IF(U219&gt;=4,"Regular","Active"))))))))</f>
        <v>0</v>
      </c>
      <c r="AN219" s="38">
        <f>IF(B219="","",IF(T219&gt;=2,"Yes","No"))</f>
        <v>0</v>
      </c>
      <c r="AO219" s="25">
        <f>IF(B219="","",COUNTIFS($AE$5:$AE$504,"&gt;"&amp;AE219)+COUNTIFS($AE$5:AE219,AE219))</f>
        <v>0</v>
      </c>
      <c r="AP219" s="25">
        <f>IF(B219="","",COUNTIFS($T$5:$T$504,"&gt;"&amp;T219)+COUNTIFS($T$5:T219,T219))</f>
        <v>0</v>
      </c>
      <c r="AQ219" s="39">
        <f>IF(B219="","",IF(COUNTIF($B$5:$B$504,B219)&gt;1,"Duplicate - same name twice",IF(R219="Archived","",IF(AK219&gt;0.004,"Chase - balance outstanding",IF(AM219="Inactive","Gone - win-back offer",IF(AM219="Lapsing","Chase - lapsing, call them",IF(IF(N219="",FALSE,TodayDate-N219&gt;PatchTestDays),"Due - patch test out of date",IF(IF(AD219="",FALSE,IF(AB219&lt;&gt;"",FALSE,AD219&lt;=TodayDate+14)),"Rebook - due and nothing booked",IF(IF(K219="",FALSE,ABS(DATE(YEAR(TodayDate),MONTH(K219),DAY(K219))-TodayDate)&lt;=7),"Birthday - send the treat","OK")))))))))</f>
        <v>0</v>
      </c>
    </row>
    <row r="220" spans="1:43">
      <c r="A220" s="28">
        <f>IF(B220="","",ClientPrefix&amp;TEXT(ROW()-4,"0000"))</f>
        <v>0</v>
      </c>
      <c r="J220" s="15">
        <f>IF(I220="","",IFERROR(INDEX(Staff!$B$5:$B$44,MATCH(I220,Staff!$A$5:$A$44,0)),"Not in Staff"))</f>
        <v>0</v>
      </c>
      <c r="T220" s="25">
        <f>IF(B220="","",COUNTIFS(Appointments!$E$5:$E$1204,A220,Appointments!$M$5:$M$1204,"Completed"))</f>
        <v>0</v>
      </c>
      <c r="U220" s="25">
        <f>IF(B220="","",COUNTIFS(Appointments!$E$5:$E$1204,A220,Appointments!$M$5:$M$1204,"Completed",Appointments!$B$5:$B$1204,"&gt;="&amp;TodayDate-365))</f>
        <v>0</v>
      </c>
      <c r="V220" s="25">
        <f>IF(B220="","",COUNTIFS(Appointments!$E$5:$E$1204,A220,Appointments!$M$5:$M$1204,"Cancelled"))</f>
        <v>0</v>
      </c>
      <c r="W220" s="25">
        <f>IF(B220="","",COUNTIFS(Appointments!$E$5:$E$1204,A220,Appointments!$M$5:$M$1204,"No show"))</f>
        <v>0</v>
      </c>
      <c r="X220" s="17">
        <f>IF(B220="","",IF(F220&lt;&gt;"",F220,IF(T220=0,"",SUMPRODUCT(MIN((Appointments!$E$5:$E$1204=A220)*(Appointments!$M$5:$M$1204="Completed")*Appointments!$B$5:$B$1204+(1-(Appointments!$E$5:$E$1204=A220)*(Appointments!$M$5:$M$1204="Completed"))*2958465)))))</f>
        <v>0</v>
      </c>
      <c r="Y220" s="17">
        <f>IF(B220="","",IF(T220=0,"",SUMPRODUCT(MAX((Appointments!$E$5:$E$1204=A220)*(Appointments!$M$5:$M$1204="Completed")*Appointments!$B$5:$B$1204))))</f>
        <v>0</v>
      </c>
      <c r="Z220" s="25">
        <f>IF(B220="","",IF(Y220="","",TodayDate-Y220))</f>
        <v>0</v>
      </c>
      <c r="AA220" s="42">
        <f>IF(B220="","",SUMPRODUCT(MIN((Appointments!$E$5:$E$1204=A220)*(Appointments!$M$5:$M$1204&lt;&gt;"Cancelled")*(Appointments!$M$5:$M$1204&lt;&gt;"Completed")*(Appointments!$M$5:$M$1204&lt;&gt;"No show")*(Appointments!$B$5:$B$1204&gt;=TodayDate)*Appointments!$B$5:$B$1204+(1-(Appointments!$E$5:$E$1204=A220)*(Appointments!$M$5:$M$1204&lt;&gt;"Cancelled")*(Appointments!$M$5:$M$1204&lt;&gt;"Completed")*(Appointments!$M$5:$M$1204&lt;&gt;"No show")*(Appointments!$B$5:$B$1204&gt;=TodayDate))*2958465)))</f>
        <v>0</v>
      </c>
      <c r="AB220" s="17">
        <f>IF(B220="","",IF(AA220&gt;=2958465,"",AA220))</f>
        <v>0</v>
      </c>
      <c r="AC220" s="25">
        <f>IF(B220="","",IF(T220&lt;2,"",ROUND((Y220-X220)/MAX(1,T220-1),0)))</f>
        <v>0</v>
      </c>
      <c r="AD220" s="17">
        <f>IF(B220="","",IF(Y220="","",Y220+IF(AC220="",RebookWeeks*7,MAX(14,AC220))))</f>
        <v>0</v>
      </c>
      <c r="AE220" s="26">
        <f>IF(B220="","",ROUND(SUMIFS(Sales!$Y$5:$Y$1204,Sales!$D$5:$D$1204,A220),2))</f>
        <v>0</v>
      </c>
      <c r="AF220" s="26">
        <f>IF(B220="","",ROUND(SUMIFS(Sales!$Y$5:$Y$1204,Sales!$D$5:$D$1204,A220,Sales!$H$5:$H$1204,"Service"),2))</f>
        <v>0</v>
      </c>
      <c r="AG220" s="26">
        <f>IF(B220="","",ROUND(SUMIFS(Sales!$Y$5:$Y$1204,Sales!$D$5:$D$1204,A220,Sales!$H$5:$H$1204,"Retail"),2))</f>
        <v>0</v>
      </c>
      <c r="AH220" s="26">
        <f>IF(B220="","",ROUND(SUMIFS(Sales!$Y$5:$Y$1204,Sales!$D$5:$D$1204,A220,Sales!$B$5:$B$1204,"&gt;="&amp;TodayDate-365),2))</f>
        <v>0</v>
      </c>
      <c r="AI220" s="26">
        <f>IF(B220="","",IF(T220=0,"",ROUND(AE220/T220,2)))</f>
        <v>0</v>
      </c>
      <c r="AJ220" s="26">
        <f>IF(B220="","",IF(AI220="","",IF(AC220="","",ROUND(AI220*(365/MAX(14,AC220)),2))))</f>
        <v>0</v>
      </c>
      <c r="AK220" s="26">
        <f>IF(B220="","",ROUND(SUMIFS(Sales!$AH$5:$AH$1204,Sales!$D$5:$D$1204,A220),2))</f>
        <v>0</v>
      </c>
      <c r="AL220" s="25">
        <f>IF(B220="","",IFERROR(INDEX(Loyalty!$P$5:$P$504,MATCH(A220,Loyalty!$B$5:$B$504,0))*1,0))</f>
        <v>0</v>
      </c>
      <c r="AM220" s="39">
        <f>IF(B220="","",IF(R220="Archived","Archived",IF(T220=0,"Not been yet",IF(Z220&gt;=InactiveDays,"Inactive",IF(Z220&gt;=LapsingDays,"Lapsing",IF(T220=1,"New",IF(AH220&gt;=VipSpend,"VIP",IF(U220&gt;=4,"Regular","Active"))))))))</f>
        <v>0</v>
      </c>
      <c r="AN220" s="38">
        <f>IF(B220="","",IF(T220&gt;=2,"Yes","No"))</f>
        <v>0</v>
      </c>
      <c r="AO220" s="25">
        <f>IF(B220="","",COUNTIFS($AE$5:$AE$504,"&gt;"&amp;AE220)+COUNTIFS($AE$5:AE220,AE220))</f>
        <v>0</v>
      </c>
      <c r="AP220" s="25">
        <f>IF(B220="","",COUNTIFS($T$5:$T$504,"&gt;"&amp;T220)+COUNTIFS($T$5:T220,T220))</f>
        <v>0</v>
      </c>
      <c r="AQ220" s="39">
        <f>IF(B220="","",IF(COUNTIF($B$5:$B$504,B220)&gt;1,"Duplicate - same name twice",IF(R220="Archived","",IF(AK220&gt;0.004,"Chase - balance outstanding",IF(AM220="Inactive","Gone - win-back offer",IF(AM220="Lapsing","Chase - lapsing, call them",IF(IF(N220="",FALSE,TodayDate-N220&gt;PatchTestDays),"Due - patch test out of date",IF(IF(AD220="",FALSE,IF(AB220&lt;&gt;"",FALSE,AD220&lt;=TodayDate+14)),"Rebook - due and nothing booked",IF(IF(K220="",FALSE,ABS(DATE(YEAR(TodayDate),MONTH(K220),DAY(K220))-TodayDate)&lt;=7),"Birthday - send the treat","OK")))))))))</f>
        <v>0</v>
      </c>
    </row>
    <row r="221" spans="1:43">
      <c r="A221" s="28">
        <f>IF(B221="","",ClientPrefix&amp;TEXT(ROW()-4,"0000"))</f>
        <v>0</v>
      </c>
      <c r="J221" s="15">
        <f>IF(I221="","",IFERROR(INDEX(Staff!$B$5:$B$44,MATCH(I221,Staff!$A$5:$A$44,0)),"Not in Staff"))</f>
        <v>0</v>
      </c>
      <c r="T221" s="25">
        <f>IF(B221="","",COUNTIFS(Appointments!$E$5:$E$1204,A221,Appointments!$M$5:$M$1204,"Completed"))</f>
        <v>0</v>
      </c>
      <c r="U221" s="25">
        <f>IF(B221="","",COUNTIFS(Appointments!$E$5:$E$1204,A221,Appointments!$M$5:$M$1204,"Completed",Appointments!$B$5:$B$1204,"&gt;="&amp;TodayDate-365))</f>
        <v>0</v>
      </c>
      <c r="V221" s="25">
        <f>IF(B221="","",COUNTIFS(Appointments!$E$5:$E$1204,A221,Appointments!$M$5:$M$1204,"Cancelled"))</f>
        <v>0</v>
      </c>
      <c r="W221" s="25">
        <f>IF(B221="","",COUNTIFS(Appointments!$E$5:$E$1204,A221,Appointments!$M$5:$M$1204,"No show"))</f>
        <v>0</v>
      </c>
      <c r="X221" s="17">
        <f>IF(B221="","",IF(F221&lt;&gt;"",F221,IF(T221=0,"",SUMPRODUCT(MIN((Appointments!$E$5:$E$1204=A221)*(Appointments!$M$5:$M$1204="Completed")*Appointments!$B$5:$B$1204+(1-(Appointments!$E$5:$E$1204=A221)*(Appointments!$M$5:$M$1204="Completed"))*2958465)))))</f>
        <v>0</v>
      </c>
      <c r="Y221" s="17">
        <f>IF(B221="","",IF(T221=0,"",SUMPRODUCT(MAX((Appointments!$E$5:$E$1204=A221)*(Appointments!$M$5:$M$1204="Completed")*Appointments!$B$5:$B$1204))))</f>
        <v>0</v>
      </c>
      <c r="Z221" s="25">
        <f>IF(B221="","",IF(Y221="","",TodayDate-Y221))</f>
        <v>0</v>
      </c>
      <c r="AA221" s="42">
        <f>IF(B221="","",SUMPRODUCT(MIN((Appointments!$E$5:$E$1204=A221)*(Appointments!$M$5:$M$1204&lt;&gt;"Cancelled")*(Appointments!$M$5:$M$1204&lt;&gt;"Completed")*(Appointments!$M$5:$M$1204&lt;&gt;"No show")*(Appointments!$B$5:$B$1204&gt;=TodayDate)*Appointments!$B$5:$B$1204+(1-(Appointments!$E$5:$E$1204=A221)*(Appointments!$M$5:$M$1204&lt;&gt;"Cancelled")*(Appointments!$M$5:$M$1204&lt;&gt;"Completed")*(Appointments!$M$5:$M$1204&lt;&gt;"No show")*(Appointments!$B$5:$B$1204&gt;=TodayDate))*2958465)))</f>
        <v>0</v>
      </c>
      <c r="AB221" s="17">
        <f>IF(B221="","",IF(AA221&gt;=2958465,"",AA221))</f>
        <v>0</v>
      </c>
      <c r="AC221" s="25">
        <f>IF(B221="","",IF(T221&lt;2,"",ROUND((Y221-X221)/MAX(1,T221-1),0)))</f>
        <v>0</v>
      </c>
      <c r="AD221" s="17">
        <f>IF(B221="","",IF(Y221="","",Y221+IF(AC221="",RebookWeeks*7,MAX(14,AC221))))</f>
        <v>0</v>
      </c>
      <c r="AE221" s="26">
        <f>IF(B221="","",ROUND(SUMIFS(Sales!$Y$5:$Y$1204,Sales!$D$5:$D$1204,A221),2))</f>
        <v>0</v>
      </c>
      <c r="AF221" s="26">
        <f>IF(B221="","",ROUND(SUMIFS(Sales!$Y$5:$Y$1204,Sales!$D$5:$D$1204,A221,Sales!$H$5:$H$1204,"Service"),2))</f>
        <v>0</v>
      </c>
      <c r="AG221" s="26">
        <f>IF(B221="","",ROUND(SUMIFS(Sales!$Y$5:$Y$1204,Sales!$D$5:$D$1204,A221,Sales!$H$5:$H$1204,"Retail"),2))</f>
        <v>0</v>
      </c>
      <c r="AH221" s="26">
        <f>IF(B221="","",ROUND(SUMIFS(Sales!$Y$5:$Y$1204,Sales!$D$5:$D$1204,A221,Sales!$B$5:$B$1204,"&gt;="&amp;TodayDate-365),2))</f>
        <v>0</v>
      </c>
      <c r="AI221" s="26">
        <f>IF(B221="","",IF(T221=0,"",ROUND(AE221/T221,2)))</f>
        <v>0</v>
      </c>
      <c r="AJ221" s="26">
        <f>IF(B221="","",IF(AI221="","",IF(AC221="","",ROUND(AI221*(365/MAX(14,AC221)),2))))</f>
        <v>0</v>
      </c>
      <c r="AK221" s="26">
        <f>IF(B221="","",ROUND(SUMIFS(Sales!$AH$5:$AH$1204,Sales!$D$5:$D$1204,A221),2))</f>
        <v>0</v>
      </c>
      <c r="AL221" s="25">
        <f>IF(B221="","",IFERROR(INDEX(Loyalty!$P$5:$P$504,MATCH(A221,Loyalty!$B$5:$B$504,0))*1,0))</f>
        <v>0</v>
      </c>
      <c r="AM221" s="39">
        <f>IF(B221="","",IF(R221="Archived","Archived",IF(T221=0,"Not been yet",IF(Z221&gt;=InactiveDays,"Inactive",IF(Z221&gt;=LapsingDays,"Lapsing",IF(T221=1,"New",IF(AH221&gt;=VipSpend,"VIP",IF(U221&gt;=4,"Regular","Active"))))))))</f>
        <v>0</v>
      </c>
      <c r="AN221" s="38">
        <f>IF(B221="","",IF(T221&gt;=2,"Yes","No"))</f>
        <v>0</v>
      </c>
      <c r="AO221" s="25">
        <f>IF(B221="","",COUNTIFS($AE$5:$AE$504,"&gt;"&amp;AE221)+COUNTIFS($AE$5:AE221,AE221))</f>
        <v>0</v>
      </c>
      <c r="AP221" s="25">
        <f>IF(B221="","",COUNTIFS($T$5:$T$504,"&gt;"&amp;T221)+COUNTIFS($T$5:T221,T221))</f>
        <v>0</v>
      </c>
      <c r="AQ221" s="39">
        <f>IF(B221="","",IF(COUNTIF($B$5:$B$504,B221)&gt;1,"Duplicate - same name twice",IF(R221="Archived","",IF(AK221&gt;0.004,"Chase - balance outstanding",IF(AM221="Inactive","Gone - win-back offer",IF(AM221="Lapsing","Chase - lapsing, call them",IF(IF(N221="",FALSE,TodayDate-N221&gt;PatchTestDays),"Due - patch test out of date",IF(IF(AD221="",FALSE,IF(AB221&lt;&gt;"",FALSE,AD221&lt;=TodayDate+14)),"Rebook - due and nothing booked",IF(IF(K221="",FALSE,ABS(DATE(YEAR(TodayDate),MONTH(K221),DAY(K221))-TodayDate)&lt;=7),"Birthday - send the treat","OK")))))))))</f>
        <v>0</v>
      </c>
    </row>
    <row r="222" spans="1:43">
      <c r="A222" s="28">
        <f>IF(B222="","",ClientPrefix&amp;TEXT(ROW()-4,"0000"))</f>
        <v>0</v>
      </c>
      <c r="J222" s="15">
        <f>IF(I222="","",IFERROR(INDEX(Staff!$B$5:$B$44,MATCH(I222,Staff!$A$5:$A$44,0)),"Not in Staff"))</f>
        <v>0</v>
      </c>
      <c r="T222" s="25">
        <f>IF(B222="","",COUNTIFS(Appointments!$E$5:$E$1204,A222,Appointments!$M$5:$M$1204,"Completed"))</f>
        <v>0</v>
      </c>
      <c r="U222" s="25">
        <f>IF(B222="","",COUNTIFS(Appointments!$E$5:$E$1204,A222,Appointments!$M$5:$M$1204,"Completed",Appointments!$B$5:$B$1204,"&gt;="&amp;TodayDate-365))</f>
        <v>0</v>
      </c>
      <c r="V222" s="25">
        <f>IF(B222="","",COUNTIFS(Appointments!$E$5:$E$1204,A222,Appointments!$M$5:$M$1204,"Cancelled"))</f>
        <v>0</v>
      </c>
      <c r="W222" s="25">
        <f>IF(B222="","",COUNTIFS(Appointments!$E$5:$E$1204,A222,Appointments!$M$5:$M$1204,"No show"))</f>
        <v>0</v>
      </c>
      <c r="X222" s="17">
        <f>IF(B222="","",IF(F222&lt;&gt;"",F222,IF(T222=0,"",SUMPRODUCT(MIN((Appointments!$E$5:$E$1204=A222)*(Appointments!$M$5:$M$1204="Completed")*Appointments!$B$5:$B$1204+(1-(Appointments!$E$5:$E$1204=A222)*(Appointments!$M$5:$M$1204="Completed"))*2958465)))))</f>
        <v>0</v>
      </c>
      <c r="Y222" s="17">
        <f>IF(B222="","",IF(T222=0,"",SUMPRODUCT(MAX((Appointments!$E$5:$E$1204=A222)*(Appointments!$M$5:$M$1204="Completed")*Appointments!$B$5:$B$1204))))</f>
        <v>0</v>
      </c>
      <c r="Z222" s="25">
        <f>IF(B222="","",IF(Y222="","",TodayDate-Y222))</f>
        <v>0</v>
      </c>
      <c r="AA222" s="42">
        <f>IF(B222="","",SUMPRODUCT(MIN((Appointments!$E$5:$E$1204=A222)*(Appointments!$M$5:$M$1204&lt;&gt;"Cancelled")*(Appointments!$M$5:$M$1204&lt;&gt;"Completed")*(Appointments!$M$5:$M$1204&lt;&gt;"No show")*(Appointments!$B$5:$B$1204&gt;=TodayDate)*Appointments!$B$5:$B$1204+(1-(Appointments!$E$5:$E$1204=A222)*(Appointments!$M$5:$M$1204&lt;&gt;"Cancelled")*(Appointments!$M$5:$M$1204&lt;&gt;"Completed")*(Appointments!$M$5:$M$1204&lt;&gt;"No show")*(Appointments!$B$5:$B$1204&gt;=TodayDate))*2958465)))</f>
        <v>0</v>
      </c>
      <c r="AB222" s="17">
        <f>IF(B222="","",IF(AA222&gt;=2958465,"",AA222))</f>
        <v>0</v>
      </c>
      <c r="AC222" s="25">
        <f>IF(B222="","",IF(T222&lt;2,"",ROUND((Y222-X222)/MAX(1,T222-1),0)))</f>
        <v>0</v>
      </c>
      <c r="AD222" s="17">
        <f>IF(B222="","",IF(Y222="","",Y222+IF(AC222="",RebookWeeks*7,MAX(14,AC222))))</f>
        <v>0</v>
      </c>
      <c r="AE222" s="26">
        <f>IF(B222="","",ROUND(SUMIFS(Sales!$Y$5:$Y$1204,Sales!$D$5:$D$1204,A222),2))</f>
        <v>0</v>
      </c>
      <c r="AF222" s="26">
        <f>IF(B222="","",ROUND(SUMIFS(Sales!$Y$5:$Y$1204,Sales!$D$5:$D$1204,A222,Sales!$H$5:$H$1204,"Service"),2))</f>
        <v>0</v>
      </c>
      <c r="AG222" s="26">
        <f>IF(B222="","",ROUND(SUMIFS(Sales!$Y$5:$Y$1204,Sales!$D$5:$D$1204,A222,Sales!$H$5:$H$1204,"Retail"),2))</f>
        <v>0</v>
      </c>
      <c r="AH222" s="26">
        <f>IF(B222="","",ROUND(SUMIFS(Sales!$Y$5:$Y$1204,Sales!$D$5:$D$1204,A222,Sales!$B$5:$B$1204,"&gt;="&amp;TodayDate-365),2))</f>
        <v>0</v>
      </c>
      <c r="AI222" s="26">
        <f>IF(B222="","",IF(T222=0,"",ROUND(AE222/T222,2)))</f>
        <v>0</v>
      </c>
      <c r="AJ222" s="26">
        <f>IF(B222="","",IF(AI222="","",IF(AC222="","",ROUND(AI222*(365/MAX(14,AC222)),2))))</f>
        <v>0</v>
      </c>
      <c r="AK222" s="26">
        <f>IF(B222="","",ROUND(SUMIFS(Sales!$AH$5:$AH$1204,Sales!$D$5:$D$1204,A222),2))</f>
        <v>0</v>
      </c>
      <c r="AL222" s="25">
        <f>IF(B222="","",IFERROR(INDEX(Loyalty!$P$5:$P$504,MATCH(A222,Loyalty!$B$5:$B$504,0))*1,0))</f>
        <v>0</v>
      </c>
      <c r="AM222" s="39">
        <f>IF(B222="","",IF(R222="Archived","Archived",IF(T222=0,"Not been yet",IF(Z222&gt;=InactiveDays,"Inactive",IF(Z222&gt;=LapsingDays,"Lapsing",IF(T222=1,"New",IF(AH222&gt;=VipSpend,"VIP",IF(U222&gt;=4,"Regular","Active"))))))))</f>
        <v>0</v>
      </c>
      <c r="AN222" s="38">
        <f>IF(B222="","",IF(T222&gt;=2,"Yes","No"))</f>
        <v>0</v>
      </c>
      <c r="AO222" s="25">
        <f>IF(B222="","",COUNTIFS($AE$5:$AE$504,"&gt;"&amp;AE222)+COUNTIFS($AE$5:AE222,AE222))</f>
        <v>0</v>
      </c>
      <c r="AP222" s="25">
        <f>IF(B222="","",COUNTIFS($T$5:$T$504,"&gt;"&amp;T222)+COUNTIFS($T$5:T222,T222))</f>
        <v>0</v>
      </c>
      <c r="AQ222" s="39">
        <f>IF(B222="","",IF(COUNTIF($B$5:$B$504,B222)&gt;1,"Duplicate - same name twice",IF(R222="Archived","",IF(AK222&gt;0.004,"Chase - balance outstanding",IF(AM222="Inactive","Gone - win-back offer",IF(AM222="Lapsing","Chase - lapsing, call them",IF(IF(N222="",FALSE,TodayDate-N222&gt;PatchTestDays),"Due - patch test out of date",IF(IF(AD222="",FALSE,IF(AB222&lt;&gt;"",FALSE,AD222&lt;=TodayDate+14)),"Rebook - due and nothing booked",IF(IF(K222="",FALSE,ABS(DATE(YEAR(TodayDate),MONTH(K222),DAY(K222))-TodayDate)&lt;=7),"Birthday - send the treat","OK")))))))))</f>
        <v>0</v>
      </c>
    </row>
    <row r="223" spans="1:43">
      <c r="A223" s="28">
        <f>IF(B223="","",ClientPrefix&amp;TEXT(ROW()-4,"0000"))</f>
        <v>0</v>
      </c>
      <c r="J223" s="15">
        <f>IF(I223="","",IFERROR(INDEX(Staff!$B$5:$B$44,MATCH(I223,Staff!$A$5:$A$44,0)),"Not in Staff"))</f>
        <v>0</v>
      </c>
      <c r="T223" s="25">
        <f>IF(B223="","",COUNTIFS(Appointments!$E$5:$E$1204,A223,Appointments!$M$5:$M$1204,"Completed"))</f>
        <v>0</v>
      </c>
      <c r="U223" s="25">
        <f>IF(B223="","",COUNTIFS(Appointments!$E$5:$E$1204,A223,Appointments!$M$5:$M$1204,"Completed",Appointments!$B$5:$B$1204,"&gt;="&amp;TodayDate-365))</f>
        <v>0</v>
      </c>
      <c r="V223" s="25">
        <f>IF(B223="","",COUNTIFS(Appointments!$E$5:$E$1204,A223,Appointments!$M$5:$M$1204,"Cancelled"))</f>
        <v>0</v>
      </c>
      <c r="W223" s="25">
        <f>IF(B223="","",COUNTIFS(Appointments!$E$5:$E$1204,A223,Appointments!$M$5:$M$1204,"No show"))</f>
        <v>0</v>
      </c>
      <c r="X223" s="17">
        <f>IF(B223="","",IF(F223&lt;&gt;"",F223,IF(T223=0,"",SUMPRODUCT(MIN((Appointments!$E$5:$E$1204=A223)*(Appointments!$M$5:$M$1204="Completed")*Appointments!$B$5:$B$1204+(1-(Appointments!$E$5:$E$1204=A223)*(Appointments!$M$5:$M$1204="Completed"))*2958465)))))</f>
        <v>0</v>
      </c>
      <c r="Y223" s="17">
        <f>IF(B223="","",IF(T223=0,"",SUMPRODUCT(MAX((Appointments!$E$5:$E$1204=A223)*(Appointments!$M$5:$M$1204="Completed")*Appointments!$B$5:$B$1204))))</f>
        <v>0</v>
      </c>
      <c r="Z223" s="25">
        <f>IF(B223="","",IF(Y223="","",TodayDate-Y223))</f>
        <v>0</v>
      </c>
      <c r="AA223" s="42">
        <f>IF(B223="","",SUMPRODUCT(MIN((Appointments!$E$5:$E$1204=A223)*(Appointments!$M$5:$M$1204&lt;&gt;"Cancelled")*(Appointments!$M$5:$M$1204&lt;&gt;"Completed")*(Appointments!$M$5:$M$1204&lt;&gt;"No show")*(Appointments!$B$5:$B$1204&gt;=TodayDate)*Appointments!$B$5:$B$1204+(1-(Appointments!$E$5:$E$1204=A223)*(Appointments!$M$5:$M$1204&lt;&gt;"Cancelled")*(Appointments!$M$5:$M$1204&lt;&gt;"Completed")*(Appointments!$M$5:$M$1204&lt;&gt;"No show")*(Appointments!$B$5:$B$1204&gt;=TodayDate))*2958465)))</f>
        <v>0</v>
      </c>
      <c r="AB223" s="17">
        <f>IF(B223="","",IF(AA223&gt;=2958465,"",AA223))</f>
        <v>0</v>
      </c>
      <c r="AC223" s="25">
        <f>IF(B223="","",IF(T223&lt;2,"",ROUND((Y223-X223)/MAX(1,T223-1),0)))</f>
        <v>0</v>
      </c>
      <c r="AD223" s="17">
        <f>IF(B223="","",IF(Y223="","",Y223+IF(AC223="",RebookWeeks*7,MAX(14,AC223))))</f>
        <v>0</v>
      </c>
      <c r="AE223" s="26">
        <f>IF(B223="","",ROUND(SUMIFS(Sales!$Y$5:$Y$1204,Sales!$D$5:$D$1204,A223),2))</f>
        <v>0</v>
      </c>
      <c r="AF223" s="26">
        <f>IF(B223="","",ROUND(SUMIFS(Sales!$Y$5:$Y$1204,Sales!$D$5:$D$1204,A223,Sales!$H$5:$H$1204,"Service"),2))</f>
        <v>0</v>
      </c>
      <c r="AG223" s="26">
        <f>IF(B223="","",ROUND(SUMIFS(Sales!$Y$5:$Y$1204,Sales!$D$5:$D$1204,A223,Sales!$H$5:$H$1204,"Retail"),2))</f>
        <v>0</v>
      </c>
      <c r="AH223" s="26">
        <f>IF(B223="","",ROUND(SUMIFS(Sales!$Y$5:$Y$1204,Sales!$D$5:$D$1204,A223,Sales!$B$5:$B$1204,"&gt;="&amp;TodayDate-365),2))</f>
        <v>0</v>
      </c>
      <c r="AI223" s="26">
        <f>IF(B223="","",IF(T223=0,"",ROUND(AE223/T223,2)))</f>
        <v>0</v>
      </c>
      <c r="AJ223" s="26">
        <f>IF(B223="","",IF(AI223="","",IF(AC223="","",ROUND(AI223*(365/MAX(14,AC223)),2))))</f>
        <v>0</v>
      </c>
      <c r="AK223" s="26">
        <f>IF(B223="","",ROUND(SUMIFS(Sales!$AH$5:$AH$1204,Sales!$D$5:$D$1204,A223),2))</f>
        <v>0</v>
      </c>
      <c r="AL223" s="25">
        <f>IF(B223="","",IFERROR(INDEX(Loyalty!$P$5:$P$504,MATCH(A223,Loyalty!$B$5:$B$504,0))*1,0))</f>
        <v>0</v>
      </c>
      <c r="AM223" s="39">
        <f>IF(B223="","",IF(R223="Archived","Archived",IF(T223=0,"Not been yet",IF(Z223&gt;=InactiveDays,"Inactive",IF(Z223&gt;=LapsingDays,"Lapsing",IF(T223=1,"New",IF(AH223&gt;=VipSpend,"VIP",IF(U223&gt;=4,"Regular","Active"))))))))</f>
        <v>0</v>
      </c>
      <c r="AN223" s="38">
        <f>IF(B223="","",IF(T223&gt;=2,"Yes","No"))</f>
        <v>0</v>
      </c>
      <c r="AO223" s="25">
        <f>IF(B223="","",COUNTIFS($AE$5:$AE$504,"&gt;"&amp;AE223)+COUNTIFS($AE$5:AE223,AE223))</f>
        <v>0</v>
      </c>
      <c r="AP223" s="25">
        <f>IF(B223="","",COUNTIFS($T$5:$T$504,"&gt;"&amp;T223)+COUNTIFS($T$5:T223,T223))</f>
        <v>0</v>
      </c>
      <c r="AQ223" s="39">
        <f>IF(B223="","",IF(COUNTIF($B$5:$B$504,B223)&gt;1,"Duplicate - same name twice",IF(R223="Archived","",IF(AK223&gt;0.004,"Chase - balance outstanding",IF(AM223="Inactive","Gone - win-back offer",IF(AM223="Lapsing","Chase - lapsing, call them",IF(IF(N223="",FALSE,TodayDate-N223&gt;PatchTestDays),"Due - patch test out of date",IF(IF(AD223="",FALSE,IF(AB223&lt;&gt;"",FALSE,AD223&lt;=TodayDate+14)),"Rebook - due and nothing booked",IF(IF(K223="",FALSE,ABS(DATE(YEAR(TodayDate),MONTH(K223),DAY(K223))-TodayDate)&lt;=7),"Birthday - send the treat","OK")))))))))</f>
        <v>0</v>
      </c>
    </row>
    <row r="224" spans="1:43">
      <c r="A224" s="28">
        <f>IF(B224="","",ClientPrefix&amp;TEXT(ROW()-4,"0000"))</f>
        <v>0</v>
      </c>
      <c r="J224" s="15">
        <f>IF(I224="","",IFERROR(INDEX(Staff!$B$5:$B$44,MATCH(I224,Staff!$A$5:$A$44,0)),"Not in Staff"))</f>
        <v>0</v>
      </c>
      <c r="T224" s="25">
        <f>IF(B224="","",COUNTIFS(Appointments!$E$5:$E$1204,A224,Appointments!$M$5:$M$1204,"Completed"))</f>
        <v>0</v>
      </c>
      <c r="U224" s="25">
        <f>IF(B224="","",COUNTIFS(Appointments!$E$5:$E$1204,A224,Appointments!$M$5:$M$1204,"Completed",Appointments!$B$5:$B$1204,"&gt;="&amp;TodayDate-365))</f>
        <v>0</v>
      </c>
      <c r="V224" s="25">
        <f>IF(B224="","",COUNTIFS(Appointments!$E$5:$E$1204,A224,Appointments!$M$5:$M$1204,"Cancelled"))</f>
        <v>0</v>
      </c>
      <c r="W224" s="25">
        <f>IF(B224="","",COUNTIFS(Appointments!$E$5:$E$1204,A224,Appointments!$M$5:$M$1204,"No show"))</f>
        <v>0</v>
      </c>
      <c r="X224" s="17">
        <f>IF(B224="","",IF(F224&lt;&gt;"",F224,IF(T224=0,"",SUMPRODUCT(MIN((Appointments!$E$5:$E$1204=A224)*(Appointments!$M$5:$M$1204="Completed")*Appointments!$B$5:$B$1204+(1-(Appointments!$E$5:$E$1204=A224)*(Appointments!$M$5:$M$1204="Completed"))*2958465)))))</f>
        <v>0</v>
      </c>
      <c r="Y224" s="17">
        <f>IF(B224="","",IF(T224=0,"",SUMPRODUCT(MAX((Appointments!$E$5:$E$1204=A224)*(Appointments!$M$5:$M$1204="Completed")*Appointments!$B$5:$B$1204))))</f>
        <v>0</v>
      </c>
      <c r="Z224" s="25">
        <f>IF(B224="","",IF(Y224="","",TodayDate-Y224))</f>
        <v>0</v>
      </c>
      <c r="AA224" s="42">
        <f>IF(B224="","",SUMPRODUCT(MIN((Appointments!$E$5:$E$1204=A224)*(Appointments!$M$5:$M$1204&lt;&gt;"Cancelled")*(Appointments!$M$5:$M$1204&lt;&gt;"Completed")*(Appointments!$M$5:$M$1204&lt;&gt;"No show")*(Appointments!$B$5:$B$1204&gt;=TodayDate)*Appointments!$B$5:$B$1204+(1-(Appointments!$E$5:$E$1204=A224)*(Appointments!$M$5:$M$1204&lt;&gt;"Cancelled")*(Appointments!$M$5:$M$1204&lt;&gt;"Completed")*(Appointments!$M$5:$M$1204&lt;&gt;"No show")*(Appointments!$B$5:$B$1204&gt;=TodayDate))*2958465)))</f>
        <v>0</v>
      </c>
      <c r="AB224" s="17">
        <f>IF(B224="","",IF(AA224&gt;=2958465,"",AA224))</f>
        <v>0</v>
      </c>
      <c r="AC224" s="25">
        <f>IF(B224="","",IF(T224&lt;2,"",ROUND((Y224-X224)/MAX(1,T224-1),0)))</f>
        <v>0</v>
      </c>
      <c r="AD224" s="17">
        <f>IF(B224="","",IF(Y224="","",Y224+IF(AC224="",RebookWeeks*7,MAX(14,AC224))))</f>
        <v>0</v>
      </c>
      <c r="AE224" s="26">
        <f>IF(B224="","",ROUND(SUMIFS(Sales!$Y$5:$Y$1204,Sales!$D$5:$D$1204,A224),2))</f>
        <v>0</v>
      </c>
      <c r="AF224" s="26">
        <f>IF(B224="","",ROUND(SUMIFS(Sales!$Y$5:$Y$1204,Sales!$D$5:$D$1204,A224,Sales!$H$5:$H$1204,"Service"),2))</f>
        <v>0</v>
      </c>
      <c r="AG224" s="26">
        <f>IF(B224="","",ROUND(SUMIFS(Sales!$Y$5:$Y$1204,Sales!$D$5:$D$1204,A224,Sales!$H$5:$H$1204,"Retail"),2))</f>
        <v>0</v>
      </c>
      <c r="AH224" s="26">
        <f>IF(B224="","",ROUND(SUMIFS(Sales!$Y$5:$Y$1204,Sales!$D$5:$D$1204,A224,Sales!$B$5:$B$1204,"&gt;="&amp;TodayDate-365),2))</f>
        <v>0</v>
      </c>
      <c r="AI224" s="26">
        <f>IF(B224="","",IF(T224=0,"",ROUND(AE224/T224,2)))</f>
        <v>0</v>
      </c>
      <c r="AJ224" s="26">
        <f>IF(B224="","",IF(AI224="","",IF(AC224="","",ROUND(AI224*(365/MAX(14,AC224)),2))))</f>
        <v>0</v>
      </c>
      <c r="AK224" s="26">
        <f>IF(B224="","",ROUND(SUMIFS(Sales!$AH$5:$AH$1204,Sales!$D$5:$D$1204,A224),2))</f>
        <v>0</v>
      </c>
      <c r="AL224" s="25">
        <f>IF(B224="","",IFERROR(INDEX(Loyalty!$P$5:$P$504,MATCH(A224,Loyalty!$B$5:$B$504,0))*1,0))</f>
        <v>0</v>
      </c>
      <c r="AM224" s="39">
        <f>IF(B224="","",IF(R224="Archived","Archived",IF(T224=0,"Not been yet",IF(Z224&gt;=InactiveDays,"Inactive",IF(Z224&gt;=LapsingDays,"Lapsing",IF(T224=1,"New",IF(AH224&gt;=VipSpend,"VIP",IF(U224&gt;=4,"Regular","Active"))))))))</f>
        <v>0</v>
      </c>
      <c r="AN224" s="38">
        <f>IF(B224="","",IF(T224&gt;=2,"Yes","No"))</f>
        <v>0</v>
      </c>
      <c r="AO224" s="25">
        <f>IF(B224="","",COUNTIFS($AE$5:$AE$504,"&gt;"&amp;AE224)+COUNTIFS($AE$5:AE224,AE224))</f>
        <v>0</v>
      </c>
      <c r="AP224" s="25">
        <f>IF(B224="","",COUNTIFS($T$5:$T$504,"&gt;"&amp;T224)+COUNTIFS($T$5:T224,T224))</f>
        <v>0</v>
      </c>
      <c r="AQ224" s="39">
        <f>IF(B224="","",IF(COUNTIF($B$5:$B$504,B224)&gt;1,"Duplicate - same name twice",IF(R224="Archived","",IF(AK224&gt;0.004,"Chase - balance outstanding",IF(AM224="Inactive","Gone - win-back offer",IF(AM224="Lapsing","Chase - lapsing, call them",IF(IF(N224="",FALSE,TodayDate-N224&gt;PatchTestDays),"Due - patch test out of date",IF(IF(AD224="",FALSE,IF(AB224&lt;&gt;"",FALSE,AD224&lt;=TodayDate+14)),"Rebook - due and nothing booked",IF(IF(K224="",FALSE,ABS(DATE(YEAR(TodayDate),MONTH(K224),DAY(K224))-TodayDate)&lt;=7),"Birthday - send the treat","OK")))))))))</f>
        <v>0</v>
      </c>
    </row>
    <row r="225" spans="1:43">
      <c r="A225" s="28">
        <f>IF(B225="","",ClientPrefix&amp;TEXT(ROW()-4,"0000"))</f>
        <v>0</v>
      </c>
      <c r="J225" s="15">
        <f>IF(I225="","",IFERROR(INDEX(Staff!$B$5:$B$44,MATCH(I225,Staff!$A$5:$A$44,0)),"Not in Staff"))</f>
        <v>0</v>
      </c>
      <c r="T225" s="25">
        <f>IF(B225="","",COUNTIFS(Appointments!$E$5:$E$1204,A225,Appointments!$M$5:$M$1204,"Completed"))</f>
        <v>0</v>
      </c>
      <c r="U225" s="25">
        <f>IF(B225="","",COUNTIFS(Appointments!$E$5:$E$1204,A225,Appointments!$M$5:$M$1204,"Completed",Appointments!$B$5:$B$1204,"&gt;="&amp;TodayDate-365))</f>
        <v>0</v>
      </c>
      <c r="V225" s="25">
        <f>IF(B225="","",COUNTIFS(Appointments!$E$5:$E$1204,A225,Appointments!$M$5:$M$1204,"Cancelled"))</f>
        <v>0</v>
      </c>
      <c r="W225" s="25">
        <f>IF(B225="","",COUNTIFS(Appointments!$E$5:$E$1204,A225,Appointments!$M$5:$M$1204,"No show"))</f>
        <v>0</v>
      </c>
      <c r="X225" s="17">
        <f>IF(B225="","",IF(F225&lt;&gt;"",F225,IF(T225=0,"",SUMPRODUCT(MIN((Appointments!$E$5:$E$1204=A225)*(Appointments!$M$5:$M$1204="Completed")*Appointments!$B$5:$B$1204+(1-(Appointments!$E$5:$E$1204=A225)*(Appointments!$M$5:$M$1204="Completed"))*2958465)))))</f>
        <v>0</v>
      </c>
      <c r="Y225" s="17">
        <f>IF(B225="","",IF(T225=0,"",SUMPRODUCT(MAX((Appointments!$E$5:$E$1204=A225)*(Appointments!$M$5:$M$1204="Completed")*Appointments!$B$5:$B$1204))))</f>
        <v>0</v>
      </c>
      <c r="Z225" s="25">
        <f>IF(B225="","",IF(Y225="","",TodayDate-Y225))</f>
        <v>0</v>
      </c>
      <c r="AA225" s="42">
        <f>IF(B225="","",SUMPRODUCT(MIN((Appointments!$E$5:$E$1204=A225)*(Appointments!$M$5:$M$1204&lt;&gt;"Cancelled")*(Appointments!$M$5:$M$1204&lt;&gt;"Completed")*(Appointments!$M$5:$M$1204&lt;&gt;"No show")*(Appointments!$B$5:$B$1204&gt;=TodayDate)*Appointments!$B$5:$B$1204+(1-(Appointments!$E$5:$E$1204=A225)*(Appointments!$M$5:$M$1204&lt;&gt;"Cancelled")*(Appointments!$M$5:$M$1204&lt;&gt;"Completed")*(Appointments!$M$5:$M$1204&lt;&gt;"No show")*(Appointments!$B$5:$B$1204&gt;=TodayDate))*2958465)))</f>
        <v>0</v>
      </c>
      <c r="AB225" s="17">
        <f>IF(B225="","",IF(AA225&gt;=2958465,"",AA225))</f>
        <v>0</v>
      </c>
      <c r="AC225" s="25">
        <f>IF(B225="","",IF(T225&lt;2,"",ROUND((Y225-X225)/MAX(1,T225-1),0)))</f>
        <v>0</v>
      </c>
      <c r="AD225" s="17">
        <f>IF(B225="","",IF(Y225="","",Y225+IF(AC225="",RebookWeeks*7,MAX(14,AC225))))</f>
        <v>0</v>
      </c>
      <c r="AE225" s="26">
        <f>IF(B225="","",ROUND(SUMIFS(Sales!$Y$5:$Y$1204,Sales!$D$5:$D$1204,A225),2))</f>
        <v>0</v>
      </c>
      <c r="AF225" s="26">
        <f>IF(B225="","",ROUND(SUMIFS(Sales!$Y$5:$Y$1204,Sales!$D$5:$D$1204,A225,Sales!$H$5:$H$1204,"Service"),2))</f>
        <v>0</v>
      </c>
      <c r="AG225" s="26">
        <f>IF(B225="","",ROUND(SUMIFS(Sales!$Y$5:$Y$1204,Sales!$D$5:$D$1204,A225,Sales!$H$5:$H$1204,"Retail"),2))</f>
        <v>0</v>
      </c>
      <c r="AH225" s="26">
        <f>IF(B225="","",ROUND(SUMIFS(Sales!$Y$5:$Y$1204,Sales!$D$5:$D$1204,A225,Sales!$B$5:$B$1204,"&gt;="&amp;TodayDate-365),2))</f>
        <v>0</v>
      </c>
      <c r="AI225" s="26">
        <f>IF(B225="","",IF(T225=0,"",ROUND(AE225/T225,2)))</f>
        <v>0</v>
      </c>
      <c r="AJ225" s="26">
        <f>IF(B225="","",IF(AI225="","",IF(AC225="","",ROUND(AI225*(365/MAX(14,AC225)),2))))</f>
        <v>0</v>
      </c>
      <c r="AK225" s="26">
        <f>IF(B225="","",ROUND(SUMIFS(Sales!$AH$5:$AH$1204,Sales!$D$5:$D$1204,A225),2))</f>
        <v>0</v>
      </c>
      <c r="AL225" s="25">
        <f>IF(B225="","",IFERROR(INDEX(Loyalty!$P$5:$P$504,MATCH(A225,Loyalty!$B$5:$B$504,0))*1,0))</f>
        <v>0</v>
      </c>
      <c r="AM225" s="39">
        <f>IF(B225="","",IF(R225="Archived","Archived",IF(T225=0,"Not been yet",IF(Z225&gt;=InactiveDays,"Inactive",IF(Z225&gt;=LapsingDays,"Lapsing",IF(T225=1,"New",IF(AH225&gt;=VipSpend,"VIP",IF(U225&gt;=4,"Regular","Active"))))))))</f>
        <v>0</v>
      </c>
      <c r="AN225" s="38">
        <f>IF(B225="","",IF(T225&gt;=2,"Yes","No"))</f>
        <v>0</v>
      </c>
      <c r="AO225" s="25">
        <f>IF(B225="","",COUNTIFS($AE$5:$AE$504,"&gt;"&amp;AE225)+COUNTIFS($AE$5:AE225,AE225))</f>
        <v>0</v>
      </c>
      <c r="AP225" s="25">
        <f>IF(B225="","",COUNTIFS($T$5:$T$504,"&gt;"&amp;T225)+COUNTIFS($T$5:T225,T225))</f>
        <v>0</v>
      </c>
      <c r="AQ225" s="39">
        <f>IF(B225="","",IF(COUNTIF($B$5:$B$504,B225)&gt;1,"Duplicate - same name twice",IF(R225="Archived","",IF(AK225&gt;0.004,"Chase - balance outstanding",IF(AM225="Inactive","Gone - win-back offer",IF(AM225="Lapsing","Chase - lapsing, call them",IF(IF(N225="",FALSE,TodayDate-N225&gt;PatchTestDays),"Due - patch test out of date",IF(IF(AD225="",FALSE,IF(AB225&lt;&gt;"",FALSE,AD225&lt;=TodayDate+14)),"Rebook - due and nothing booked",IF(IF(K225="",FALSE,ABS(DATE(YEAR(TodayDate),MONTH(K225),DAY(K225))-TodayDate)&lt;=7),"Birthday - send the treat","OK")))))))))</f>
        <v>0</v>
      </c>
    </row>
    <row r="226" spans="1:43">
      <c r="A226" s="28">
        <f>IF(B226="","",ClientPrefix&amp;TEXT(ROW()-4,"0000"))</f>
        <v>0</v>
      </c>
      <c r="J226" s="15">
        <f>IF(I226="","",IFERROR(INDEX(Staff!$B$5:$B$44,MATCH(I226,Staff!$A$5:$A$44,0)),"Not in Staff"))</f>
        <v>0</v>
      </c>
      <c r="T226" s="25">
        <f>IF(B226="","",COUNTIFS(Appointments!$E$5:$E$1204,A226,Appointments!$M$5:$M$1204,"Completed"))</f>
        <v>0</v>
      </c>
      <c r="U226" s="25">
        <f>IF(B226="","",COUNTIFS(Appointments!$E$5:$E$1204,A226,Appointments!$M$5:$M$1204,"Completed",Appointments!$B$5:$B$1204,"&gt;="&amp;TodayDate-365))</f>
        <v>0</v>
      </c>
      <c r="V226" s="25">
        <f>IF(B226="","",COUNTIFS(Appointments!$E$5:$E$1204,A226,Appointments!$M$5:$M$1204,"Cancelled"))</f>
        <v>0</v>
      </c>
      <c r="W226" s="25">
        <f>IF(B226="","",COUNTIFS(Appointments!$E$5:$E$1204,A226,Appointments!$M$5:$M$1204,"No show"))</f>
        <v>0</v>
      </c>
      <c r="X226" s="17">
        <f>IF(B226="","",IF(F226&lt;&gt;"",F226,IF(T226=0,"",SUMPRODUCT(MIN((Appointments!$E$5:$E$1204=A226)*(Appointments!$M$5:$M$1204="Completed")*Appointments!$B$5:$B$1204+(1-(Appointments!$E$5:$E$1204=A226)*(Appointments!$M$5:$M$1204="Completed"))*2958465)))))</f>
        <v>0</v>
      </c>
      <c r="Y226" s="17">
        <f>IF(B226="","",IF(T226=0,"",SUMPRODUCT(MAX((Appointments!$E$5:$E$1204=A226)*(Appointments!$M$5:$M$1204="Completed")*Appointments!$B$5:$B$1204))))</f>
        <v>0</v>
      </c>
      <c r="Z226" s="25">
        <f>IF(B226="","",IF(Y226="","",TodayDate-Y226))</f>
        <v>0</v>
      </c>
      <c r="AA226" s="42">
        <f>IF(B226="","",SUMPRODUCT(MIN((Appointments!$E$5:$E$1204=A226)*(Appointments!$M$5:$M$1204&lt;&gt;"Cancelled")*(Appointments!$M$5:$M$1204&lt;&gt;"Completed")*(Appointments!$M$5:$M$1204&lt;&gt;"No show")*(Appointments!$B$5:$B$1204&gt;=TodayDate)*Appointments!$B$5:$B$1204+(1-(Appointments!$E$5:$E$1204=A226)*(Appointments!$M$5:$M$1204&lt;&gt;"Cancelled")*(Appointments!$M$5:$M$1204&lt;&gt;"Completed")*(Appointments!$M$5:$M$1204&lt;&gt;"No show")*(Appointments!$B$5:$B$1204&gt;=TodayDate))*2958465)))</f>
        <v>0</v>
      </c>
      <c r="AB226" s="17">
        <f>IF(B226="","",IF(AA226&gt;=2958465,"",AA226))</f>
        <v>0</v>
      </c>
      <c r="AC226" s="25">
        <f>IF(B226="","",IF(T226&lt;2,"",ROUND((Y226-X226)/MAX(1,T226-1),0)))</f>
        <v>0</v>
      </c>
      <c r="AD226" s="17">
        <f>IF(B226="","",IF(Y226="","",Y226+IF(AC226="",RebookWeeks*7,MAX(14,AC226))))</f>
        <v>0</v>
      </c>
      <c r="AE226" s="26">
        <f>IF(B226="","",ROUND(SUMIFS(Sales!$Y$5:$Y$1204,Sales!$D$5:$D$1204,A226),2))</f>
        <v>0</v>
      </c>
      <c r="AF226" s="26">
        <f>IF(B226="","",ROUND(SUMIFS(Sales!$Y$5:$Y$1204,Sales!$D$5:$D$1204,A226,Sales!$H$5:$H$1204,"Service"),2))</f>
        <v>0</v>
      </c>
      <c r="AG226" s="26">
        <f>IF(B226="","",ROUND(SUMIFS(Sales!$Y$5:$Y$1204,Sales!$D$5:$D$1204,A226,Sales!$H$5:$H$1204,"Retail"),2))</f>
        <v>0</v>
      </c>
      <c r="AH226" s="26">
        <f>IF(B226="","",ROUND(SUMIFS(Sales!$Y$5:$Y$1204,Sales!$D$5:$D$1204,A226,Sales!$B$5:$B$1204,"&gt;="&amp;TodayDate-365),2))</f>
        <v>0</v>
      </c>
      <c r="AI226" s="26">
        <f>IF(B226="","",IF(T226=0,"",ROUND(AE226/T226,2)))</f>
        <v>0</v>
      </c>
      <c r="AJ226" s="26">
        <f>IF(B226="","",IF(AI226="","",IF(AC226="","",ROUND(AI226*(365/MAX(14,AC226)),2))))</f>
        <v>0</v>
      </c>
      <c r="AK226" s="26">
        <f>IF(B226="","",ROUND(SUMIFS(Sales!$AH$5:$AH$1204,Sales!$D$5:$D$1204,A226),2))</f>
        <v>0</v>
      </c>
      <c r="AL226" s="25">
        <f>IF(B226="","",IFERROR(INDEX(Loyalty!$P$5:$P$504,MATCH(A226,Loyalty!$B$5:$B$504,0))*1,0))</f>
        <v>0</v>
      </c>
      <c r="AM226" s="39">
        <f>IF(B226="","",IF(R226="Archived","Archived",IF(T226=0,"Not been yet",IF(Z226&gt;=InactiveDays,"Inactive",IF(Z226&gt;=LapsingDays,"Lapsing",IF(T226=1,"New",IF(AH226&gt;=VipSpend,"VIP",IF(U226&gt;=4,"Regular","Active"))))))))</f>
        <v>0</v>
      </c>
      <c r="AN226" s="38">
        <f>IF(B226="","",IF(T226&gt;=2,"Yes","No"))</f>
        <v>0</v>
      </c>
      <c r="AO226" s="25">
        <f>IF(B226="","",COUNTIFS($AE$5:$AE$504,"&gt;"&amp;AE226)+COUNTIFS($AE$5:AE226,AE226))</f>
        <v>0</v>
      </c>
      <c r="AP226" s="25">
        <f>IF(B226="","",COUNTIFS($T$5:$T$504,"&gt;"&amp;T226)+COUNTIFS($T$5:T226,T226))</f>
        <v>0</v>
      </c>
      <c r="AQ226" s="39">
        <f>IF(B226="","",IF(COUNTIF($B$5:$B$504,B226)&gt;1,"Duplicate - same name twice",IF(R226="Archived","",IF(AK226&gt;0.004,"Chase - balance outstanding",IF(AM226="Inactive","Gone - win-back offer",IF(AM226="Lapsing","Chase - lapsing, call them",IF(IF(N226="",FALSE,TodayDate-N226&gt;PatchTestDays),"Due - patch test out of date",IF(IF(AD226="",FALSE,IF(AB226&lt;&gt;"",FALSE,AD226&lt;=TodayDate+14)),"Rebook - due and nothing booked",IF(IF(K226="",FALSE,ABS(DATE(YEAR(TodayDate),MONTH(K226),DAY(K226))-TodayDate)&lt;=7),"Birthday - send the treat","OK")))))))))</f>
        <v>0</v>
      </c>
    </row>
    <row r="227" spans="1:43">
      <c r="A227" s="28">
        <f>IF(B227="","",ClientPrefix&amp;TEXT(ROW()-4,"0000"))</f>
        <v>0</v>
      </c>
      <c r="J227" s="15">
        <f>IF(I227="","",IFERROR(INDEX(Staff!$B$5:$B$44,MATCH(I227,Staff!$A$5:$A$44,0)),"Not in Staff"))</f>
        <v>0</v>
      </c>
      <c r="T227" s="25">
        <f>IF(B227="","",COUNTIFS(Appointments!$E$5:$E$1204,A227,Appointments!$M$5:$M$1204,"Completed"))</f>
        <v>0</v>
      </c>
      <c r="U227" s="25">
        <f>IF(B227="","",COUNTIFS(Appointments!$E$5:$E$1204,A227,Appointments!$M$5:$M$1204,"Completed",Appointments!$B$5:$B$1204,"&gt;="&amp;TodayDate-365))</f>
        <v>0</v>
      </c>
      <c r="V227" s="25">
        <f>IF(B227="","",COUNTIFS(Appointments!$E$5:$E$1204,A227,Appointments!$M$5:$M$1204,"Cancelled"))</f>
        <v>0</v>
      </c>
      <c r="W227" s="25">
        <f>IF(B227="","",COUNTIFS(Appointments!$E$5:$E$1204,A227,Appointments!$M$5:$M$1204,"No show"))</f>
        <v>0</v>
      </c>
      <c r="X227" s="17">
        <f>IF(B227="","",IF(F227&lt;&gt;"",F227,IF(T227=0,"",SUMPRODUCT(MIN((Appointments!$E$5:$E$1204=A227)*(Appointments!$M$5:$M$1204="Completed")*Appointments!$B$5:$B$1204+(1-(Appointments!$E$5:$E$1204=A227)*(Appointments!$M$5:$M$1204="Completed"))*2958465)))))</f>
        <v>0</v>
      </c>
      <c r="Y227" s="17">
        <f>IF(B227="","",IF(T227=0,"",SUMPRODUCT(MAX((Appointments!$E$5:$E$1204=A227)*(Appointments!$M$5:$M$1204="Completed")*Appointments!$B$5:$B$1204))))</f>
        <v>0</v>
      </c>
      <c r="Z227" s="25">
        <f>IF(B227="","",IF(Y227="","",TodayDate-Y227))</f>
        <v>0</v>
      </c>
      <c r="AA227" s="42">
        <f>IF(B227="","",SUMPRODUCT(MIN((Appointments!$E$5:$E$1204=A227)*(Appointments!$M$5:$M$1204&lt;&gt;"Cancelled")*(Appointments!$M$5:$M$1204&lt;&gt;"Completed")*(Appointments!$M$5:$M$1204&lt;&gt;"No show")*(Appointments!$B$5:$B$1204&gt;=TodayDate)*Appointments!$B$5:$B$1204+(1-(Appointments!$E$5:$E$1204=A227)*(Appointments!$M$5:$M$1204&lt;&gt;"Cancelled")*(Appointments!$M$5:$M$1204&lt;&gt;"Completed")*(Appointments!$M$5:$M$1204&lt;&gt;"No show")*(Appointments!$B$5:$B$1204&gt;=TodayDate))*2958465)))</f>
        <v>0</v>
      </c>
      <c r="AB227" s="17">
        <f>IF(B227="","",IF(AA227&gt;=2958465,"",AA227))</f>
        <v>0</v>
      </c>
      <c r="AC227" s="25">
        <f>IF(B227="","",IF(T227&lt;2,"",ROUND((Y227-X227)/MAX(1,T227-1),0)))</f>
        <v>0</v>
      </c>
      <c r="AD227" s="17">
        <f>IF(B227="","",IF(Y227="","",Y227+IF(AC227="",RebookWeeks*7,MAX(14,AC227))))</f>
        <v>0</v>
      </c>
      <c r="AE227" s="26">
        <f>IF(B227="","",ROUND(SUMIFS(Sales!$Y$5:$Y$1204,Sales!$D$5:$D$1204,A227),2))</f>
        <v>0</v>
      </c>
      <c r="AF227" s="26">
        <f>IF(B227="","",ROUND(SUMIFS(Sales!$Y$5:$Y$1204,Sales!$D$5:$D$1204,A227,Sales!$H$5:$H$1204,"Service"),2))</f>
        <v>0</v>
      </c>
      <c r="AG227" s="26">
        <f>IF(B227="","",ROUND(SUMIFS(Sales!$Y$5:$Y$1204,Sales!$D$5:$D$1204,A227,Sales!$H$5:$H$1204,"Retail"),2))</f>
        <v>0</v>
      </c>
      <c r="AH227" s="26">
        <f>IF(B227="","",ROUND(SUMIFS(Sales!$Y$5:$Y$1204,Sales!$D$5:$D$1204,A227,Sales!$B$5:$B$1204,"&gt;="&amp;TodayDate-365),2))</f>
        <v>0</v>
      </c>
      <c r="AI227" s="26">
        <f>IF(B227="","",IF(T227=0,"",ROUND(AE227/T227,2)))</f>
        <v>0</v>
      </c>
      <c r="AJ227" s="26">
        <f>IF(B227="","",IF(AI227="","",IF(AC227="","",ROUND(AI227*(365/MAX(14,AC227)),2))))</f>
        <v>0</v>
      </c>
      <c r="AK227" s="26">
        <f>IF(B227="","",ROUND(SUMIFS(Sales!$AH$5:$AH$1204,Sales!$D$5:$D$1204,A227),2))</f>
        <v>0</v>
      </c>
      <c r="AL227" s="25">
        <f>IF(B227="","",IFERROR(INDEX(Loyalty!$P$5:$P$504,MATCH(A227,Loyalty!$B$5:$B$504,0))*1,0))</f>
        <v>0</v>
      </c>
      <c r="AM227" s="39">
        <f>IF(B227="","",IF(R227="Archived","Archived",IF(T227=0,"Not been yet",IF(Z227&gt;=InactiveDays,"Inactive",IF(Z227&gt;=LapsingDays,"Lapsing",IF(T227=1,"New",IF(AH227&gt;=VipSpend,"VIP",IF(U227&gt;=4,"Regular","Active"))))))))</f>
        <v>0</v>
      </c>
      <c r="AN227" s="38">
        <f>IF(B227="","",IF(T227&gt;=2,"Yes","No"))</f>
        <v>0</v>
      </c>
      <c r="AO227" s="25">
        <f>IF(B227="","",COUNTIFS($AE$5:$AE$504,"&gt;"&amp;AE227)+COUNTIFS($AE$5:AE227,AE227))</f>
        <v>0</v>
      </c>
      <c r="AP227" s="25">
        <f>IF(B227="","",COUNTIFS($T$5:$T$504,"&gt;"&amp;T227)+COUNTIFS($T$5:T227,T227))</f>
        <v>0</v>
      </c>
      <c r="AQ227" s="39">
        <f>IF(B227="","",IF(COUNTIF($B$5:$B$504,B227)&gt;1,"Duplicate - same name twice",IF(R227="Archived","",IF(AK227&gt;0.004,"Chase - balance outstanding",IF(AM227="Inactive","Gone - win-back offer",IF(AM227="Lapsing","Chase - lapsing, call them",IF(IF(N227="",FALSE,TodayDate-N227&gt;PatchTestDays),"Due - patch test out of date",IF(IF(AD227="",FALSE,IF(AB227&lt;&gt;"",FALSE,AD227&lt;=TodayDate+14)),"Rebook - due and nothing booked",IF(IF(K227="",FALSE,ABS(DATE(YEAR(TodayDate),MONTH(K227),DAY(K227))-TodayDate)&lt;=7),"Birthday - send the treat","OK")))))))))</f>
        <v>0</v>
      </c>
    </row>
    <row r="228" spans="1:43">
      <c r="A228" s="28">
        <f>IF(B228="","",ClientPrefix&amp;TEXT(ROW()-4,"0000"))</f>
        <v>0</v>
      </c>
      <c r="J228" s="15">
        <f>IF(I228="","",IFERROR(INDEX(Staff!$B$5:$B$44,MATCH(I228,Staff!$A$5:$A$44,0)),"Not in Staff"))</f>
        <v>0</v>
      </c>
      <c r="T228" s="25">
        <f>IF(B228="","",COUNTIFS(Appointments!$E$5:$E$1204,A228,Appointments!$M$5:$M$1204,"Completed"))</f>
        <v>0</v>
      </c>
      <c r="U228" s="25">
        <f>IF(B228="","",COUNTIFS(Appointments!$E$5:$E$1204,A228,Appointments!$M$5:$M$1204,"Completed",Appointments!$B$5:$B$1204,"&gt;="&amp;TodayDate-365))</f>
        <v>0</v>
      </c>
      <c r="V228" s="25">
        <f>IF(B228="","",COUNTIFS(Appointments!$E$5:$E$1204,A228,Appointments!$M$5:$M$1204,"Cancelled"))</f>
        <v>0</v>
      </c>
      <c r="W228" s="25">
        <f>IF(B228="","",COUNTIFS(Appointments!$E$5:$E$1204,A228,Appointments!$M$5:$M$1204,"No show"))</f>
        <v>0</v>
      </c>
      <c r="X228" s="17">
        <f>IF(B228="","",IF(F228&lt;&gt;"",F228,IF(T228=0,"",SUMPRODUCT(MIN((Appointments!$E$5:$E$1204=A228)*(Appointments!$M$5:$M$1204="Completed")*Appointments!$B$5:$B$1204+(1-(Appointments!$E$5:$E$1204=A228)*(Appointments!$M$5:$M$1204="Completed"))*2958465)))))</f>
        <v>0</v>
      </c>
      <c r="Y228" s="17">
        <f>IF(B228="","",IF(T228=0,"",SUMPRODUCT(MAX((Appointments!$E$5:$E$1204=A228)*(Appointments!$M$5:$M$1204="Completed")*Appointments!$B$5:$B$1204))))</f>
        <v>0</v>
      </c>
      <c r="Z228" s="25">
        <f>IF(B228="","",IF(Y228="","",TodayDate-Y228))</f>
        <v>0</v>
      </c>
      <c r="AA228" s="42">
        <f>IF(B228="","",SUMPRODUCT(MIN((Appointments!$E$5:$E$1204=A228)*(Appointments!$M$5:$M$1204&lt;&gt;"Cancelled")*(Appointments!$M$5:$M$1204&lt;&gt;"Completed")*(Appointments!$M$5:$M$1204&lt;&gt;"No show")*(Appointments!$B$5:$B$1204&gt;=TodayDate)*Appointments!$B$5:$B$1204+(1-(Appointments!$E$5:$E$1204=A228)*(Appointments!$M$5:$M$1204&lt;&gt;"Cancelled")*(Appointments!$M$5:$M$1204&lt;&gt;"Completed")*(Appointments!$M$5:$M$1204&lt;&gt;"No show")*(Appointments!$B$5:$B$1204&gt;=TodayDate))*2958465)))</f>
        <v>0</v>
      </c>
      <c r="AB228" s="17">
        <f>IF(B228="","",IF(AA228&gt;=2958465,"",AA228))</f>
        <v>0</v>
      </c>
      <c r="AC228" s="25">
        <f>IF(B228="","",IF(T228&lt;2,"",ROUND((Y228-X228)/MAX(1,T228-1),0)))</f>
        <v>0</v>
      </c>
      <c r="AD228" s="17">
        <f>IF(B228="","",IF(Y228="","",Y228+IF(AC228="",RebookWeeks*7,MAX(14,AC228))))</f>
        <v>0</v>
      </c>
      <c r="AE228" s="26">
        <f>IF(B228="","",ROUND(SUMIFS(Sales!$Y$5:$Y$1204,Sales!$D$5:$D$1204,A228),2))</f>
        <v>0</v>
      </c>
      <c r="AF228" s="26">
        <f>IF(B228="","",ROUND(SUMIFS(Sales!$Y$5:$Y$1204,Sales!$D$5:$D$1204,A228,Sales!$H$5:$H$1204,"Service"),2))</f>
        <v>0</v>
      </c>
      <c r="AG228" s="26">
        <f>IF(B228="","",ROUND(SUMIFS(Sales!$Y$5:$Y$1204,Sales!$D$5:$D$1204,A228,Sales!$H$5:$H$1204,"Retail"),2))</f>
        <v>0</v>
      </c>
      <c r="AH228" s="26">
        <f>IF(B228="","",ROUND(SUMIFS(Sales!$Y$5:$Y$1204,Sales!$D$5:$D$1204,A228,Sales!$B$5:$B$1204,"&gt;="&amp;TodayDate-365),2))</f>
        <v>0</v>
      </c>
      <c r="AI228" s="26">
        <f>IF(B228="","",IF(T228=0,"",ROUND(AE228/T228,2)))</f>
        <v>0</v>
      </c>
      <c r="AJ228" s="26">
        <f>IF(B228="","",IF(AI228="","",IF(AC228="","",ROUND(AI228*(365/MAX(14,AC228)),2))))</f>
        <v>0</v>
      </c>
      <c r="AK228" s="26">
        <f>IF(B228="","",ROUND(SUMIFS(Sales!$AH$5:$AH$1204,Sales!$D$5:$D$1204,A228),2))</f>
        <v>0</v>
      </c>
      <c r="AL228" s="25">
        <f>IF(B228="","",IFERROR(INDEX(Loyalty!$P$5:$P$504,MATCH(A228,Loyalty!$B$5:$B$504,0))*1,0))</f>
        <v>0</v>
      </c>
      <c r="AM228" s="39">
        <f>IF(B228="","",IF(R228="Archived","Archived",IF(T228=0,"Not been yet",IF(Z228&gt;=InactiveDays,"Inactive",IF(Z228&gt;=LapsingDays,"Lapsing",IF(T228=1,"New",IF(AH228&gt;=VipSpend,"VIP",IF(U228&gt;=4,"Regular","Active"))))))))</f>
        <v>0</v>
      </c>
      <c r="AN228" s="38">
        <f>IF(B228="","",IF(T228&gt;=2,"Yes","No"))</f>
        <v>0</v>
      </c>
      <c r="AO228" s="25">
        <f>IF(B228="","",COUNTIFS($AE$5:$AE$504,"&gt;"&amp;AE228)+COUNTIFS($AE$5:AE228,AE228))</f>
        <v>0</v>
      </c>
      <c r="AP228" s="25">
        <f>IF(B228="","",COUNTIFS($T$5:$T$504,"&gt;"&amp;T228)+COUNTIFS($T$5:T228,T228))</f>
        <v>0</v>
      </c>
      <c r="AQ228" s="39">
        <f>IF(B228="","",IF(COUNTIF($B$5:$B$504,B228)&gt;1,"Duplicate - same name twice",IF(R228="Archived","",IF(AK228&gt;0.004,"Chase - balance outstanding",IF(AM228="Inactive","Gone - win-back offer",IF(AM228="Lapsing","Chase - lapsing, call them",IF(IF(N228="",FALSE,TodayDate-N228&gt;PatchTestDays),"Due - patch test out of date",IF(IF(AD228="",FALSE,IF(AB228&lt;&gt;"",FALSE,AD228&lt;=TodayDate+14)),"Rebook - due and nothing booked",IF(IF(K228="",FALSE,ABS(DATE(YEAR(TodayDate),MONTH(K228),DAY(K228))-TodayDate)&lt;=7),"Birthday - send the treat","OK")))))))))</f>
        <v>0</v>
      </c>
    </row>
    <row r="229" spans="1:43">
      <c r="A229" s="28">
        <f>IF(B229="","",ClientPrefix&amp;TEXT(ROW()-4,"0000"))</f>
        <v>0</v>
      </c>
      <c r="J229" s="15">
        <f>IF(I229="","",IFERROR(INDEX(Staff!$B$5:$B$44,MATCH(I229,Staff!$A$5:$A$44,0)),"Not in Staff"))</f>
        <v>0</v>
      </c>
      <c r="T229" s="25">
        <f>IF(B229="","",COUNTIFS(Appointments!$E$5:$E$1204,A229,Appointments!$M$5:$M$1204,"Completed"))</f>
        <v>0</v>
      </c>
      <c r="U229" s="25">
        <f>IF(B229="","",COUNTIFS(Appointments!$E$5:$E$1204,A229,Appointments!$M$5:$M$1204,"Completed",Appointments!$B$5:$B$1204,"&gt;="&amp;TodayDate-365))</f>
        <v>0</v>
      </c>
      <c r="V229" s="25">
        <f>IF(B229="","",COUNTIFS(Appointments!$E$5:$E$1204,A229,Appointments!$M$5:$M$1204,"Cancelled"))</f>
        <v>0</v>
      </c>
      <c r="W229" s="25">
        <f>IF(B229="","",COUNTIFS(Appointments!$E$5:$E$1204,A229,Appointments!$M$5:$M$1204,"No show"))</f>
        <v>0</v>
      </c>
      <c r="X229" s="17">
        <f>IF(B229="","",IF(F229&lt;&gt;"",F229,IF(T229=0,"",SUMPRODUCT(MIN((Appointments!$E$5:$E$1204=A229)*(Appointments!$M$5:$M$1204="Completed")*Appointments!$B$5:$B$1204+(1-(Appointments!$E$5:$E$1204=A229)*(Appointments!$M$5:$M$1204="Completed"))*2958465)))))</f>
        <v>0</v>
      </c>
      <c r="Y229" s="17">
        <f>IF(B229="","",IF(T229=0,"",SUMPRODUCT(MAX((Appointments!$E$5:$E$1204=A229)*(Appointments!$M$5:$M$1204="Completed")*Appointments!$B$5:$B$1204))))</f>
        <v>0</v>
      </c>
      <c r="Z229" s="25">
        <f>IF(B229="","",IF(Y229="","",TodayDate-Y229))</f>
        <v>0</v>
      </c>
      <c r="AA229" s="42">
        <f>IF(B229="","",SUMPRODUCT(MIN((Appointments!$E$5:$E$1204=A229)*(Appointments!$M$5:$M$1204&lt;&gt;"Cancelled")*(Appointments!$M$5:$M$1204&lt;&gt;"Completed")*(Appointments!$M$5:$M$1204&lt;&gt;"No show")*(Appointments!$B$5:$B$1204&gt;=TodayDate)*Appointments!$B$5:$B$1204+(1-(Appointments!$E$5:$E$1204=A229)*(Appointments!$M$5:$M$1204&lt;&gt;"Cancelled")*(Appointments!$M$5:$M$1204&lt;&gt;"Completed")*(Appointments!$M$5:$M$1204&lt;&gt;"No show")*(Appointments!$B$5:$B$1204&gt;=TodayDate))*2958465)))</f>
        <v>0</v>
      </c>
      <c r="AB229" s="17">
        <f>IF(B229="","",IF(AA229&gt;=2958465,"",AA229))</f>
        <v>0</v>
      </c>
      <c r="AC229" s="25">
        <f>IF(B229="","",IF(T229&lt;2,"",ROUND((Y229-X229)/MAX(1,T229-1),0)))</f>
        <v>0</v>
      </c>
      <c r="AD229" s="17">
        <f>IF(B229="","",IF(Y229="","",Y229+IF(AC229="",RebookWeeks*7,MAX(14,AC229))))</f>
        <v>0</v>
      </c>
      <c r="AE229" s="26">
        <f>IF(B229="","",ROUND(SUMIFS(Sales!$Y$5:$Y$1204,Sales!$D$5:$D$1204,A229),2))</f>
        <v>0</v>
      </c>
      <c r="AF229" s="26">
        <f>IF(B229="","",ROUND(SUMIFS(Sales!$Y$5:$Y$1204,Sales!$D$5:$D$1204,A229,Sales!$H$5:$H$1204,"Service"),2))</f>
        <v>0</v>
      </c>
      <c r="AG229" s="26">
        <f>IF(B229="","",ROUND(SUMIFS(Sales!$Y$5:$Y$1204,Sales!$D$5:$D$1204,A229,Sales!$H$5:$H$1204,"Retail"),2))</f>
        <v>0</v>
      </c>
      <c r="AH229" s="26">
        <f>IF(B229="","",ROUND(SUMIFS(Sales!$Y$5:$Y$1204,Sales!$D$5:$D$1204,A229,Sales!$B$5:$B$1204,"&gt;="&amp;TodayDate-365),2))</f>
        <v>0</v>
      </c>
      <c r="AI229" s="26">
        <f>IF(B229="","",IF(T229=0,"",ROUND(AE229/T229,2)))</f>
        <v>0</v>
      </c>
      <c r="AJ229" s="26">
        <f>IF(B229="","",IF(AI229="","",IF(AC229="","",ROUND(AI229*(365/MAX(14,AC229)),2))))</f>
        <v>0</v>
      </c>
      <c r="AK229" s="26">
        <f>IF(B229="","",ROUND(SUMIFS(Sales!$AH$5:$AH$1204,Sales!$D$5:$D$1204,A229),2))</f>
        <v>0</v>
      </c>
      <c r="AL229" s="25">
        <f>IF(B229="","",IFERROR(INDEX(Loyalty!$P$5:$P$504,MATCH(A229,Loyalty!$B$5:$B$504,0))*1,0))</f>
        <v>0</v>
      </c>
      <c r="AM229" s="39">
        <f>IF(B229="","",IF(R229="Archived","Archived",IF(T229=0,"Not been yet",IF(Z229&gt;=InactiveDays,"Inactive",IF(Z229&gt;=LapsingDays,"Lapsing",IF(T229=1,"New",IF(AH229&gt;=VipSpend,"VIP",IF(U229&gt;=4,"Regular","Active"))))))))</f>
        <v>0</v>
      </c>
      <c r="AN229" s="38">
        <f>IF(B229="","",IF(T229&gt;=2,"Yes","No"))</f>
        <v>0</v>
      </c>
      <c r="AO229" s="25">
        <f>IF(B229="","",COUNTIFS($AE$5:$AE$504,"&gt;"&amp;AE229)+COUNTIFS($AE$5:AE229,AE229))</f>
        <v>0</v>
      </c>
      <c r="AP229" s="25">
        <f>IF(B229="","",COUNTIFS($T$5:$T$504,"&gt;"&amp;T229)+COUNTIFS($T$5:T229,T229))</f>
        <v>0</v>
      </c>
      <c r="AQ229" s="39">
        <f>IF(B229="","",IF(COUNTIF($B$5:$B$504,B229)&gt;1,"Duplicate - same name twice",IF(R229="Archived","",IF(AK229&gt;0.004,"Chase - balance outstanding",IF(AM229="Inactive","Gone - win-back offer",IF(AM229="Lapsing","Chase - lapsing, call them",IF(IF(N229="",FALSE,TodayDate-N229&gt;PatchTestDays),"Due - patch test out of date",IF(IF(AD229="",FALSE,IF(AB229&lt;&gt;"",FALSE,AD229&lt;=TodayDate+14)),"Rebook - due and nothing booked",IF(IF(K229="",FALSE,ABS(DATE(YEAR(TodayDate),MONTH(K229),DAY(K229))-TodayDate)&lt;=7),"Birthday - send the treat","OK")))))))))</f>
        <v>0</v>
      </c>
    </row>
    <row r="230" spans="1:43">
      <c r="A230" s="28">
        <f>IF(B230="","",ClientPrefix&amp;TEXT(ROW()-4,"0000"))</f>
        <v>0</v>
      </c>
      <c r="J230" s="15">
        <f>IF(I230="","",IFERROR(INDEX(Staff!$B$5:$B$44,MATCH(I230,Staff!$A$5:$A$44,0)),"Not in Staff"))</f>
        <v>0</v>
      </c>
      <c r="T230" s="25">
        <f>IF(B230="","",COUNTIFS(Appointments!$E$5:$E$1204,A230,Appointments!$M$5:$M$1204,"Completed"))</f>
        <v>0</v>
      </c>
      <c r="U230" s="25">
        <f>IF(B230="","",COUNTIFS(Appointments!$E$5:$E$1204,A230,Appointments!$M$5:$M$1204,"Completed",Appointments!$B$5:$B$1204,"&gt;="&amp;TodayDate-365))</f>
        <v>0</v>
      </c>
      <c r="V230" s="25">
        <f>IF(B230="","",COUNTIFS(Appointments!$E$5:$E$1204,A230,Appointments!$M$5:$M$1204,"Cancelled"))</f>
        <v>0</v>
      </c>
      <c r="W230" s="25">
        <f>IF(B230="","",COUNTIFS(Appointments!$E$5:$E$1204,A230,Appointments!$M$5:$M$1204,"No show"))</f>
        <v>0</v>
      </c>
      <c r="X230" s="17">
        <f>IF(B230="","",IF(F230&lt;&gt;"",F230,IF(T230=0,"",SUMPRODUCT(MIN((Appointments!$E$5:$E$1204=A230)*(Appointments!$M$5:$M$1204="Completed")*Appointments!$B$5:$B$1204+(1-(Appointments!$E$5:$E$1204=A230)*(Appointments!$M$5:$M$1204="Completed"))*2958465)))))</f>
        <v>0</v>
      </c>
      <c r="Y230" s="17">
        <f>IF(B230="","",IF(T230=0,"",SUMPRODUCT(MAX((Appointments!$E$5:$E$1204=A230)*(Appointments!$M$5:$M$1204="Completed")*Appointments!$B$5:$B$1204))))</f>
        <v>0</v>
      </c>
      <c r="Z230" s="25">
        <f>IF(B230="","",IF(Y230="","",TodayDate-Y230))</f>
        <v>0</v>
      </c>
      <c r="AA230" s="42">
        <f>IF(B230="","",SUMPRODUCT(MIN((Appointments!$E$5:$E$1204=A230)*(Appointments!$M$5:$M$1204&lt;&gt;"Cancelled")*(Appointments!$M$5:$M$1204&lt;&gt;"Completed")*(Appointments!$M$5:$M$1204&lt;&gt;"No show")*(Appointments!$B$5:$B$1204&gt;=TodayDate)*Appointments!$B$5:$B$1204+(1-(Appointments!$E$5:$E$1204=A230)*(Appointments!$M$5:$M$1204&lt;&gt;"Cancelled")*(Appointments!$M$5:$M$1204&lt;&gt;"Completed")*(Appointments!$M$5:$M$1204&lt;&gt;"No show")*(Appointments!$B$5:$B$1204&gt;=TodayDate))*2958465)))</f>
        <v>0</v>
      </c>
      <c r="AB230" s="17">
        <f>IF(B230="","",IF(AA230&gt;=2958465,"",AA230))</f>
        <v>0</v>
      </c>
      <c r="AC230" s="25">
        <f>IF(B230="","",IF(T230&lt;2,"",ROUND((Y230-X230)/MAX(1,T230-1),0)))</f>
        <v>0</v>
      </c>
      <c r="AD230" s="17">
        <f>IF(B230="","",IF(Y230="","",Y230+IF(AC230="",RebookWeeks*7,MAX(14,AC230))))</f>
        <v>0</v>
      </c>
      <c r="AE230" s="26">
        <f>IF(B230="","",ROUND(SUMIFS(Sales!$Y$5:$Y$1204,Sales!$D$5:$D$1204,A230),2))</f>
        <v>0</v>
      </c>
      <c r="AF230" s="26">
        <f>IF(B230="","",ROUND(SUMIFS(Sales!$Y$5:$Y$1204,Sales!$D$5:$D$1204,A230,Sales!$H$5:$H$1204,"Service"),2))</f>
        <v>0</v>
      </c>
      <c r="AG230" s="26">
        <f>IF(B230="","",ROUND(SUMIFS(Sales!$Y$5:$Y$1204,Sales!$D$5:$D$1204,A230,Sales!$H$5:$H$1204,"Retail"),2))</f>
        <v>0</v>
      </c>
      <c r="AH230" s="26">
        <f>IF(B230="","",ROUND(SUMIFS(Sales!$Y$5:$Y$1204,Sales!$D$5:$D$1204,A230,Sales!$B$5:$B$1204,"&gt;="&amp;TodayDate-365),2))</f>
        <v>0</v>
      </c>
      <c r="AI230" s="26">
        <f>IF(B230="","",IF(T230=0,"",ROUND(AE230/T230,2)))</f>
        <v>0</v>
      </c>
      <c r="AJ230" s="26">
        <f>IF(B230="","",IF(AI230="","",IF(AC230="","",ROUND(AI230*(365/MAX(14,AC230)),2))))</f>
        <v>0</v>
      </c>
      <c r="AK230" s="26">
        <f>IF(B230="","",ROUND(SUMIFS(Sales!$AH$5:$AH$1204,Sales!$D$5:$D$1204,A230),2))</f>
        <v>0</v>
      </c>
      <c r="AL230" s="25">
        <f>IF(B230="","",IFERROR(INDEX(Loyalty!$P$5:$P$504,MATCH(A230,Loyalty!$B$5:$B$504,0))*1,0))</f>
        <v>0</v>
      </c>
      <c r="AM230" s="39">
        <f>IF(B230="","",IF(R230="Archived","Archived",IF(T230=0,"Not been yet",IF(Z230&gt;=InactiveDays,"Inactive",IF(Z230&gt;=LapsingDays,"Lapsing",IF(T230=1,"New",IF(AH230&gt;=VipSpend,"VIP",IF(U230&gt;=4,"Regular","Active"))))))))</f>
        <v>0</v>
      </c>
      <c r="AN230" s="38">
        <f>IF(B230="","",IF(T230&gt;=2,"Yes","No"))</f>
        <v>0</v>
      </c>
      <c r="AO230" s="25">
        <f>IF(B230="","",COUNTIFS($AE$5:$AE$504,"&gt;"&amp;AE230)+COUNTIFS($AE$5:AE230,AE230))</f>
        <v>0</v>
      </c>
      <c r="AP230" s="25">
        <f>IF(B230="","",COUNTIFS($T$5:$T$504,"&gt;"&amp;T230)+COUNTIFS($T$5:T230,T230))</f>
        <v>0</v>
      </c>
      <c r="AQ230" s="39">
        <f>IF(B230="","",IF(COUNTIF($B$5:$B$504,B230)&gt;1,"Duplicate - same name twice",IF(R230="Archived","",IF(AK230&gt;0.004,"Chase - balance outstanding",IF(AM230="Inactive","Gone - win-back offer",IF(AM230="Lapsing","Chase - lapsing, call them",IF(IF(N230="",FALSE,TodayDate-N230&gt;PatchTestDays),"Due - patch test out of date",IF(IF(AD230="",FALSE,IF(AB230&lt;&gt;"",FALSE,AD230&lt;=TodayDate+14)),"Rebook - due and nothing booked",IF(IF(K230="",FALSE,ABS(DATE(YEAR(TodayDate),MONTH(K230),DAY(K230))-TodayDate)&lt;=7),"Birthday - send the treat","OK")))))))))</f>
        <v>0</v>
      </c>
    </row>
    <row r="231" spans="1:43">
      <c r="A231" s="28">
        <f>IF(B231="","",ClientPrefix&amp;TEXT(ROW()-4,"0000"))</f>
        <v>0</v>
      </c>
      <c r="J231" s="15">
        <f>IF(I231="","",IFERROR(INDEX(Staff!$B$5:$B$44,MATCH(I231,Staff!$A$5:$A$44,0)),"Not in Staff"))</f>
        <v>0</v>
      </c>
      <c r="T231" s="25">
        <f>IF(B231="","",COUNTIFS(Appointments!$E$5:$E$1204,A231,Appointments!$M$5:$M$1204,"Completed"))</f>
        <v>0</v>
      </c>
      <c r="U231" s="25">
        <f>IF(B231="","",COUNTIFS(Appointments!$E$5:$E$1204,A231,Appointments!$M$5:$M$1204,"Completed",Appointments!$B$5:$B$1204,"&gt;="&amp;TodayDate-365))</f>
        <v>0</v>
      </c>
      <c r="V231" s="25">
        <f>IF(B231="","",COUNTIFS(Appointments!$E$5:$E$1204,A231,Appointments!$M$5:$M$1204,"Cancelled"))</f>
        <v>0</v>
      </c>
      <c r="W231" s="25">
        <f>IF(B231="","",COUNTIFS(Appointments!$E$5:$E$1204,A231,Appointments!$M$5:$M$1204,"No show"))</f>
        <v>0</v>
      </c>
      <c r="X231" s="17">
        <f>IF(B231="","",IF(F231&lt;&gt;"",F231,IF(T231=0,"",SUMPRODUCT(MIN((Appointments!$E$5:$E$1204=A231)*(Appointments!$M$5:$M$1204="Completed")*Appointments!$B$5:$B$1204+(1-(Appointments!$E$5:$E$1204=A231)*(Appointments!$M$5:$M$1204="Completed"))*2958465)))))</f>
        <v>0</v>
      </c>
      <c r="Y231" s="17">
        <f>IF(B231="","",IF(T231=0,"",SUMPRODUCT(MAX((Appointments!$E$5:$E$1204=A231)*(Appointments!$M$5:$M$1204="Completed")*Appointments!$B$5:$B$1204))))</f>
        <v>0</v>
      </c>
      <c r="Z231" s="25">
        <f>IF(B231="","",IF(Y231="","",TodayDate-Y231))</f>
        <v>0</v>
      </c>
      <c r="AA231" s="42">
        <f>IF(B231="","",SUMPRODUCT(MIN((Appointments!$E$5:$E$1204=A231)*(Appointments!$M$5:$M$1204&lt;&gt;"Cancelled")*(Appointments!$M$5:$M$1204&lt;&gt;"Completed")*(Appointments!$M$5:$M$1204&lt;&gt;"No show")*(Appointments!$B$5:$B$1204&gt;=TodayDate)*Appointments!$B$5:$B$1204+(1-(Appointments!$E$5:$E$1204=A231)*(Appointments!$M$5:$M$1204&lt;&gt;"Cancelled")*(Appointments!$M$5:$M$1204&lt;&gt;"Completed")*(Appointments!$M$5:$M$1204&lt;&gt;"No show")*(Appointments!$B$5:$B$1204&gt;=TodayDate))*2958465)))</f>
        <v>0</v>
      </c>
      <c r="AB231" s="17">
        <f>IF(B231="","",IF(AA231&gt;=2958465,"",AA231))</f>
        <v>0</v>
      </c>
      <c r="AC231" s="25">
        <f>IF(B231="","",IF(T231&lt;2,"",ROUND((Y231-X231)/MAX(1,T231-1),0)))</f>
        <v>0</v>
      </c>
      <c r="AD231" s="17">
        <f>IF(B231="","",IF(Y231="","",Y231+IF(AC231="",RebookWeeks*7,MAX(14,AC231))))</f>
        <v>0</v>
      </c>
      <c r="AE231" s="26">
        <f>IF(B231="","",ROUND(SUMIFS(Sales!$Y$5:$Y$1204,Sales!$D$5:$D$1204,A231),2))</f>
        <v>0</v>
      </c>
      <c r="AF231" s="26">
        <f>IF(B231="","",ROUND(SUMIFS(Sales!$Y$5:$Y$1204,Sales!$D$5:$D$1204,A231,Sales!$H$5:$H$1204,"Service"),2))</f>
        <v>0</v>
      </c>
      <c r="AG231" s="26">
        <f>IF(B231="","",ROUND(SUMIFS(Sales!$Y$5:$Y$1204,Sales!$D$5:$D$1204,A231,Sales!$H$5:$H$1204,"Retail"),2))</f>
        <v>0</v>
      </c>
      <c r="AH231" s="26">
        <f>IF(B231="","",ROUND(SUMIFS(Sales!$Y$5:$Y$1204,Sales!$D$5:$D$1204,A231,Sales!$B$5:$B$1204,"&gt;="&amp;TodayDate-365),2))</f>
        <v>0</v>
      </c>
      <c r="AI231" s="26">
        <f>IF(B231="","",IF(T231=0,"",ROUND(AE231/T231,2)))</f>
        <v>0</v>
      </c>
      <c r="AJ231" s="26">
        <f>IF(B231="","",IF(AI231="","",IF(AC231="","",ROUND(AI231*(365/MAX(14,AC231)),2))))</f>
        <v>0</v>
      </c>
      <c r="AK231" s="26">
        <f>IF(B231="","",ROUND(SUMIFS(Sales!$AH$5:$AH$1204,Sales!$D$5:$D$1204,A231),2))</f>
        <v>0</v>
      </c>
      <c r="AL231" s="25">
        <f>IF(B231="","",IFERROR(INDEX(Loyalty!$P$5:$P$504,MATCH(A231,Loyalty!$B$5:$B$504,0))*1,0))</f>
        <v>0</v>
      </c>
      <c r="AM231" s="39">
        <f>IF(B231="","",IF(R231="Archived","Archived",IF(T231=0,"Not been yet",IF(Z231&gt;=InactiveDays,"Inactive",IF(Z231&gt;=LapsingDays,"Lapsing",IF(T231=1,"New",IF(AH231&gt;=VipSpend,"VIP",IF(U231&gt;=4,"Regular","Active"))))))))</f>
        <v>0</v>
      </c>
      <c r="AN231" s="38">
        <f>IF(B231="","",IF(T231&gt;=2,"Yes","No"))</f>
        <v>0</v>
      </c>
      <c r="AO231" s="25">
        <f>IF(B231="","",COUNTIFS($AE$5:$AE$504,"&gt;"&amp;AE231)+COUNTIFS($AE$5:AE231,AE231))</f>
        <v>0</v>
      </c>
      <c r="AP231" s="25">
        <f>IF(B231="","",COUNTIFS($T$5:$T$504,"&gt;"&amp;T231)+COUNTIFS($T$5:T231,T231))</f>
        <v>0</v>
      </c>
      <c r="AQ231" s="39">
        <f>IF(B231="","",IF(COUNTIF($B$5:$B$504,B231)&gt;1,"Duplicate - same name twice",IF(R231="Archived","",IF(AK231&gt;0.004,"Chase - balance outstanding",IF(AM231="Inactive","Gone - win-back offer",IF(AM231="Lapsing","Chase - lapsing, call them",IF(IF(N231="",FALSE,TodayDate-N231&gt;PatchTestDays),"Due - patch test out of date",IF(IF(AD231="",FALSE,IF(AB231&lt;&gt;"",FALSE,AD231&lt;=TodayDate+14)),"Rebook - due and nothing booked",IF(IF(K231="",FALSE,ABS(DATE(YEAR(TodayDate),MONTH(K231),DAY(K231))-TodayDate)&lt;=7),"Birthday - send the treat","OK")))))))))</f>
        <v>0</v>
      </c>
    </row>
    <row r="232" spans="1:43">
      <c r="A232" s="28">
        <f>IF(B232="","",ClientPrefix&amp;TEXT(ROW()-4,"0000"))</f>
        <v>0</v>
      </c>
      <c r="J232" s="15">
        <f>IF(I232="","",IFERROR(INDEX(Staff!$B$5:$B$44,MATCH(I232,Staff!$A$5:$A$44,0)),"Not in Staff"))</f>
        <v>0</v>
      </c>
      <c r="T232" s="25">
        <f>IF(B232="","",COUNTIFS(Appointments!$E$5:$E$1204,A232,Appointments!$M$5:$M$1204,"Completed"))</f>
        <v>0</v>
      </c>
      <c r="U232" s="25">
        <f>IF(B232="","",COUNTIFS(Appointments!$E$5:$E$1204,A232,Appointments!$M$5:$M$1204,"Completed",Appointments!$B$5:$B$1204,"&gt;="&amp;TodayDate-365))</f>
        <v>0</v>
      </c>
      <c r="V232" s="25">
        <f>IF(B232="","",COUNTIFS(Appointments!$E$5:$E$1204,A232,Appointments!$M$5:$M$1204,"Cancelled"))</f>
        <v>0</v>
      </c>
      <c r="W232" s="25">
        <f>IF(B232="","",COUNTIFS(Appointments!$E$5:$E$1204,A232,Appointments!$M$5:$M$1204,"No show"))</f>
        <v>0</v>
      </c>
      <c r="X232" s="17">
        <f>IF(B232="","",IF(F232&lt;&gt;"",F232,IF(T232=0,"",SUMPRODUCT(MIN((Appointments!$E$5:$E$1204=A232)*(Appointments!$M$5:$M$1204="Completed")*Appointments!$B$5:$B$1204+(1-(Appointments!$E$5:$E$1204=A232)*(Appointments!$M$5:$M$1204="Completed"))*2958465)))))</f>
        <v>0</v>
      </c>
      <c r="Y232" s="17">
        <f>IF(B232="","",IF(T232=0,"",SUMPRODUCT(MAX((Appointments!$E$5:$E$1204=A232)*(Appointments!$M$5:$M$1204="Completed")*Appointments!$B$5:$B$1204))))</f>
        <v>0</v>
      </c>
      <c r="Z232" s="25">
        <f>IF(B232="","",IF(Y232="","",TodayDate-Y232))</f>
        <v>0</v>
      </c>
      <c r="AA232" s="42">
        <f>IF(B232="","",SUMPRODUCT(MIN((Appointments!$E$5:$E$1204=A232)*(Appointments!$M$5:$M$1204&lt;&gt;"Cancelled")*(Appointments!$M$5:$M$1204&lt;&gt;"Completed")*(Appointments!$M$5:$M$1204&lt;&gt;"No show")*(Appointments!$B$5:$B$1204&gt;=TodayDate)*Appointments!$B$5:$B$1204+(1-(Appointments!$E$5:$E$1204=A232)*(Appointments!$M$5:$M$1204&lt;&gt;"Cancelled")*(Appointments!$M$5:$M$1204&lt;&gt;"Completed")*(Appointments!$M$5:$M$1204&lt;&gt;"No show")*(Appointments!$B$5:$B$1204&gt;=TodayDate))*2958465)))</f>
        <v>0</v>
      </c>
      <c r="AB232" s="17">
        <f>IF(B232="","",IF(AA232&gt;=2958465,"",AA232))</f>
        <v>0</v>
      </c>
      <c r="AC232" s="25">
        <f>IF(B232="","",IF(T232&lt;2,"",ROUND((Y232-X232)/MAX(1,T232-1),0)))</f>
        <v>0</v>
      </c>
      <c r="AD232" s="17">
        <f>IF(B232="","",IF(Y232="","",Y232+IF(AC232="",RebookWeeks*7,MAX(14,AC232))))</f>
        <v>0</v>
      </c>
      <c r="AE232" s="26">
        <f>IF(B232="","",ROUND(SUMIFS(Sales!$Y$5:$Y$1204,Sales!$D$5:$D$1204,A232),2))</f>
        <v>0</v>
      </c>
      <c r="AF232" s="26">
        <f>IF(B232="","",ROUND(SUMIFS(Sales!$Y$5:$Y$1204,Sales!$D$5:$D$1204,A232,Sales!$H$5:$H$1204,"Service"),2))</f>
        <v>0</v>
      </c>
      <c r="AG232" s="26">
        <f>IF(B232="","",ROUND(SUMIFS(Sales!$Y$5:$Y$1204,Sales!$D$5:$D$1204,A232,Sales!$H$5:$H$1204,"Retail"),2))</f>
        <v>0</v>
      </c>
      <c r="AH232" s="26">
        <f>IF(B232="","",ROUND(SUMIFS(Sales!$Y$5:$Y$1204,Sales!$D$5:$D$1204,A232,Sales!$B$5:$B$1204,"&gt;="&amp;TodayDate-365),2))</f>
        <v>0</v>
      </c>
      <c r="AI232" s="26">
        <f>IF(B232="","",IF(T232=0,"",ROUND(AE232/T232,2)))</f>
        <v>0</v>
      </c>
      <c r="AJ232" s="26">
        <f>IF(B232="","",IF(AI232="","",IF(AC232="","",ROUND(AI232*(365/MAX(14,AC232)),2))))</f>
        <v>0</v>
      </c>
      <c r="AK232" s="26">
        <f>IF(B232="","",ROUND(SUMIFS(Sales!$AH$5:$AH$1204,Sales!$D$5:$D$1204,A232),2))</f>
        <v>0</v>
      </c>
      <c r="AL232" s="25">
        <f>IF(B232="","",IFERROR(INDEX(Loyalty!$P$5:$P$504,MATCH(A232,Loyalty!$B$5:$B$504,0))*1,0))</f>
        <v>0</v>
      </c>
      <c r="AM232" s="39">
        <f>IF(B232="","",IF(R232="Archived","Archived",IF(T232=0,"Not been yet",IF(Z232&gt;=InactiveDays,"Inactive",IF(Z232&gt;=LapsingDays,"Lapsing",IF(T232=1,"New",IF(AH232&gt;=VipSpend,"VIP",IF(U232&gt;=4,"Regular","Active"))))))))</f>
        <v>0</v>
      </c>
      <c r="AN232" s="38">
        <f>IF(B232="","",IF(T232&gt;=2,"Yes","No"))</f>
        <v>0</v>
      </c>
      <c r="AO232" s="25">
        <f>IF(B232="","",COUNTIFS($AE$5:$AE$504,"&gt;"&amp;AE232)+COUNTIFS($AE$5:AE232,AE232))</f>
        <v>0</v>
      </c>
      <c r="AP232" s="25">
        <f>IF(B232="","",COUNTIFS($T$5:$T$504,"&gt;"&amp;T232)+COUNTIFS($T$5:T232,T232))</f>
        <v>0</v>
      </c>
      <c r="AQ232" s="39">
        <f>IF(B232="","",IF(COUNTIF($B$5:$B$504,B232)&gt;1,"Duplicate - same name twice",IF(R232="Archived","",IF(AK232&gt;0.004,"Chase - balance outstanding",IF(AM232="Inactive","Gone - win-back offer",IF(AM232="Lapsing","Chase - lapsing, call them",IF(IF(N232="",FALSE,TodayDate-N232&gt;PatchTestDays),"Due - patch test out of date",IF(IF(AD232="",FALSE,IF(AB232&lt;&gt;"",FALSE,AD232&lt;=TodayDate+14)),"Rebook - due and nothing booked",IF(IF(K232="",FALSE,ABS(DATE(YEAR(TodayDate),MONTH(K232),DAY(K232))-TodayDate)&lt;=7),"Birthday - send the treat","OK")))))))))</f>
        <v>0</v>
      </c>
    </row>
    <row r="233" spans="1:43">
      <c r="A233" s="28">
        <f>IF(B233="","",ClientPrefix&amp;TEXT(ROW()-4,"0000"))</f>
        <v>0</v>
      </c>
      <c r="J233" s="15">
        <f>IF(I233="","",IFERROR(INDEX(Staff!$B$5:$B$44,MATCH(I233,Staff!$A$5:$A$44,0)),"Not in Staff"))</f>
        <v>0</v>
      </c>
      <c r="T233" s="25">
        <f>IF(B233="","",COUNTIFS(Appointments!$E$5:$E$1204,A233,Appointments!$M$5:$M$1204,"Completed"))</f>
        <v>0</v>
      </c>
      <c r="U233" s="25">
        <f>IF(B233="","",COUNTIFS(Appointments!$E$5:$E$1204,A233,Appointments!$M$5:$M$1204,"Completed",Appointments!$B$5:$B$1204,"&gt;="&amp;TodayDate-365))</f>
        <v>0</v>
      </c>
      <c r="V233" s="25">
        <f>IF(B233="","",COUNTIFS(Appointments!$E$5:$E$1204,A233,Appointments!$M$5:$M$1204,"Cancelled"))</f>
        <v>0</v>
      </c>
      <c r="W233" s="25">
        <f>IF(B233="","",COUNTIFS(Appointments!$E$5:$E$1204,A233,Appointments!$M$5:$M$1204,"No show"))</f>
        <v>0</v>
      </c>
      <c r="X233" s="17">
        <f>IF(B233="","",IF(F233&lt;&gt;"",F233,IF(T233=0,"",SUMPRODUCT(MIN((Appointments!$E$5:$E$1204=A233)*(Appointments!$M$5:$M$1204="Completed")*Appointments!$B$5:$B$1204+(1-(Appointments!$E$5:$E$1204=A233)*(Appointments!$M$5:$M$1204="Completed"))*2958465)))))</f>
        <v>0</v>
      </c>
      <c r="Y233" s="17">
        <f>IF(B233="","",IF(T233=0,"",SUMPRODUCT(MAX((Appointments!$E$5:$E$1204=A233)*(Appointments!$M$5:$M$1204="Completed")*Appointments!$B$5:$B$1204))))</f>
        <v>0</v>
      </c>
      <c r="Z233" s="25">
        <f>IF(B233="","",IF(Y233="","",TodayDate-Y233))</f>
        <v>0</v>
      </c>
      <c r="AA233" s="42">
        <f>IF(B233="","",SUMPRODUCT(MIN((Appointments!$E$5:$E$1204=A233)*(Appointments!$M$5:$M$1204&lt;&gt;"Cancelled")*(Appointments!$M$5:$M$1204&lt;&gt;"Completed")*(Appointments!$M$5:$M$1204&lt;&gt;"No show")*(Appointments!$B$5:$B$1204&gt;=TodayDate)*Appointments!$B$5:$B$1204+(1-(Appointments!$E$5:$E$1204=A233)*(Appointments!$M$5:$M$1204&lt;&gt;"Cancelled")*(Appointments!$M$5:$M$1204&lt;&gt;"Completed")*(Appointments!$M$5:$M$1204&lt;&gt;"No show")*(Appointments!$B$5:$B$1204&gt;=TodayDate))*2958465)))</f>
        <v>0</v>
      </c>
      <c r="AB233" s="17">
        <f>IF(B233="","",IF(AA233&gt;=2958465,"",AA233))</f>
        <v>0</v>
      </c>
      <c r="AC233" s="25">
        <f>IF(B233="","",IF(T233&lt;2,"",ROUND((Y233-X233)/MAX(1,T233-1),0)))</f>
        <v>0</v>
      </c>
      <c r="AD233" s="17">
        <f>IF(B233="","",IF(Y233="","",Y233+IF(AC233="",RebookWeeks*7,MAX(14,AC233))))</f>
        <v>0</v>
      </c>
      <c r="AE233" s="26">
        <f>IF(B233="","",ROUND(SUMIFS(Sales!$Y$5:$Y$1204,Sales!$D$5:$D$1204,A233),2))</f>
        <v>0</v>
      </c>
      <c r="AF233" s="26">
        <f>IF(B233="","",ROUND(SUMIFS(Sales!$Y$5:$Y$1204,Sales!$D$5:$D$1204,A233,Sales!$H$5:$H$1204,"Service"),2))</f>
        <v>0</v>
      </c>
      <c r="AG233" s="26">
        <f>IF(B233="","",ROUND(SUMIFS(Sales!$Y$5:$Y$1204,Sales!$D$5:$D$1204,A233,Sales!$H$5:$H$1204,"Retail"),2))</f>
        <v>0</v>
      </c>
      <c r="AH233" s="26">
        <f>IF(B233="","",ROUND(SUMIFS(Sales!$Y$5:$Y$1204,Sales!$D$5:$D$1204,A233,Sales!$B$5:$B$1204,"&gt;="&amp;TodayDate-365),2))</f>
        <v>0</v>
      </c>
      <c r="AI233" s="26">
        <f>IF(B233="","",IF(T233=0,"",ROUND(AE233/T233,2)))</f>
        <v>0</v>
      </c>
      <c r="AJ233" s="26">
        <f>IF(B233="","",IF(AI233="","",IF(AC233="","",ROUND(AI233*(365/MAX(14,AC233)),2))))</f>
        <v>0</v>
      </c>
      <c r="AK233" s="26">
        <f>IF(B233="","",ROUND(SUMIFS(Sales!$AH$5:$AH$1204,Sales!$D$5:$D$1204,A233),2))</f>
        <v>0</v>
      </c>
      <c r="AL233" s="25">
        <f>IF(B233="","",IFERROR(INDEX(Loyalty!$P$5:$P$504,MATCH(A233,Loyalty!$B$5:$B$504,0))*1,0))</f>
        <v>0</v>
      </c>
      <c r="AM233" s="39">
        <f>IF(B233="","",IF(R233="Archived","Archived",IF(T233=0,"Not been yet",IF(Z233&gt;=InactiveDays,"Inactive",IF(Z233&gt;=LapsingDays,"Lapsing",IF(T233=1,"New",IF(AH233&gt;=VipSpend,"VIP",IF(U233&gt;=4,"Regular","Active"))))))))</f>
        <v>0</v>
      </c>
      <c r="AN233" s="38">
        <f>IF(B233="","",IF(T233&gt;=2,"Yes","No"))</f>
        <v>0</v>
      </c>
      <c r="AO233" s="25">
        <f>IF(B233="","",COUNTIFS($AE$5:$AE$504,"&gt;"&amp;AE233)+COUNTIFS($AE$5:AE233,AE233))</f>
        <v>0</v>
      </c>
      <c r="AP233" s="25">
        <f>IF(B233="","",COUNTIFS($T$5:$T$504,"&gt;"&amp;T233)+COUNTIFS($T$5:T233,T233))</f>
        <v>0</v>
      </c>
      <c r="AQ233" s="39">
        <f>IF(B233="","",IF(COUNTIF($B$5:$B$504,B233)&gt;1,"Duplicate - same name twice",IF(R233="Archived","",IF(AK233&gt;0.004,"Chase - balance outstanding",IF(AM233="Inactive","Gone - win-back offer",IF(AM233="Lapsing","Chase - lapsing, call them",IF(IF(N233="",FALSE,TodayDate-N233&gt;PatchTestDays),"Due - patch test out of date",IF(IF(AD233="",FALSE,IF(AB233&lt;&gt;"",FALSE,AD233&lt;=TodayDate+14)),"Rebook - due and nothing booked",IF(IF(K233="",FALSE,ABS(DATE(YEAR(TodayDate),MONTH(K233),DAY(K233))-TodayDate)&lt;=7),"Birthday - send the treat","OK")))))))))</f>
        <v>0</v>
      </c>
    </row>
    <row r="234" spans="1:43">
      <c r="A234" s="28">
        <f>IF(B234="","",ClientPrefix&amp;TEXT(ROW()-4,"0000"))</f>
        <v>0</v>
      </c>
      <c r="J234" s="15">
        <f>IF(I234="","",IFERROR(INDEX(Staff!$B$5:$B$44,MATCH(I234,Staff!$A$5:$A$44,0)),"Not in Staff"))</f>
        <v>0</v>
      </c>
      <c r="T234" s="25">
        <f>IF(B234="","",COUNTIFS(Appointments!$E$5:$E$1204,A234,Appointments!$M$5:$M$1204,"Completed"))</f>
        <v>0</v>
      </c>
      <c r="U234" s="25">
        <f>IF(B234="","",COUNTIFS(Appointments!$E$5:$E$1204,A234,Appointments!$M$5:$M$1204,"Completed",Appointments!$B$5:$B$1204,"&gt;="&amp;TodayDate-365))</f>
        <v>0</v>
      </c>
      <c r="V234" s="25">
        <f>IF(B234="","",COUNTIFS(Appointments!$E$5:$E$1204,A234,Appointments!$M$5:$M$1204,"Cancelled"))</f>
        <v>0</v>
      </c>
      <c r="W234" s="25">
        <f>IF(B234="","",COUNTIFS(Appointments!$E$5:$E$1204,A234,Appointments!$M$5:$M$1204,"No show"))</f>
        <v>0</v>
      </c>
      <c r="X234" s="17">
        <f>IF(B234="","",IF(F234&lt;&gt;"",F234,IF(T234=0,"",SUMPRODUCT(MIN((Appointments!$E$5:$E$1204=A234)*(Appointments!$M$5:$M$1204="Completed")*Appointments!$B$5:$B$1204+(1-(Appointments!$E$5:$E$1204=A234)*(Appointments!$M$5:$M$1204="Completed"))*2958465)))))</f>
        <v>0</v>
      </c>
      <c r="Y234" s="17">
        <f>IF(B234="","",IF(T234=0,"",SUMPRODUCT(MAX((Appointments!$E$5:$E$1204=A234)*(Appointments!$M$5:$M$1204="Completed")*Appointments!$B$5:$B$1204))))</f>
        <v>0</v>
      </c>
      <c r="Z234" s="25">
        <f>IF(B234="","",IF(Y234="","",TodayDate-Y234))</f>
        <v>0</v>
      </c>
      <c r="AA234" s="42">
        <f>IF(B234="","",SUMPRODUCT(MIN((Appointments!$E$5:$E$1204=A234)*(Appointments!$M$5:$M$1204&lt;&gt;"Cancelled")*(Appointments!$M$5:$M$1204&lt;&gt;"Completed")*(Appointments!$M$5:$M$1204&lt;&gt;"No show")*(Appointments!$B$5:$B$1204&gt;=TodayDate)*Appointments!$B$5:$B$1204+(1-(Appointments!$E$5:$E$1204=A234)*(Appointments!$M$5:$M$1204&lt;&gt;"Cancelled")*(Appointments!$M$5:$M$1204&lt;&gt;"Completed")*(Appointments!$M$5:$M$1204&lt;&gt;"No show")*(Appointments!$B$5:$B$1204&gt;=TodayDate))*2958465)))</f>
        <v>0</v>
      </c>
      <c r="AB234" s="17">
        <f>IF(B234="","",IF(AA234&gt;=2958465,"",AA234))</f>
        <v>0</v>
      </c>
      <c r="AC234" s="25">
        <f>IF(B234="","",IF(T234&lt;2,"",ROUND((Y234-X234)/MAX(1,T234-1),0)))</f>
        <v>0</v>
      </c>
      <c r="AD234" s="17">
        <f>IF(B234="","",IF(Y234="","",Y234+IF(AC234="",RebookWeeks*7,MAX(14,AC234))))</f>
        <v>0</v>
      </c>
      <c r="AE234" s="26">
        <f>IF(B234="","",ROUND(SUMIFS(Sales!$Y$5:$Y$1204,Sales!$D$5:$D$1204,A234),2))</f>
        <v>0</v>
      </c>
      <c r="AF234" s="26">
        <f>IF(B234="","",ROUND(SUMIFS(Sales!$Y$5:$Y$1204,Sales!$D$5:$D$1204,A234,Sales!$H$5:$H$1204,"Service"),2))</f>
        <v>0</v>
      </c>
      <c r="AG234" s="26">
        <f>IF(B234="","",ROUND(SUMIFS(Sales!$Y$5:$Y$1204,Sales!$D$5:$D$1204,A234,Sales!$H$5:$H$1204,"Retail"),2))</f>
        <v>0</v>
      </c>
      <c r="AH234" s="26">
        <f>IF(B234="","",ROUND(SUMIFS(Sales!$Y$5:$Y$1204,Sales!$D$5:$D$1204,A234,Sales!$B$5:$B$1204,"&gt;="&amp;TodayDate-365),2))</f>
        <v>0</v>
      </c>
      <c r="AI234" s="26">
        <f>IF(B234="","",IF(T234=0,"",ROUND(AE234/T234,2)))</f>
        <v>0</v>
      </c>
      <c r="AJ234" s="26">
        <f>IF(B234="","",IF(AI234="","",IF(AC234="","",ROUND(AI234*(365/MAX(14,AC234)),2))))</f>
        <v>0</v>
      </c>
      <c r="AK234" s="26">
        <f>IF(B234="","",ROUND(SUMIFS(Sales!$AH$5:$AH$1204,Sales!$D$5:$D$1204,A234),2))</f>
        <v>0</v>
      </c>
      <c r="AL234" s="25">
        <f>IF(B234="","",IFERROR(INDEX(Loyalty!$P$5:$P$504,MATCH(A234,Loyalty!$B$5:$B$504,0))*1,0))</f>
        <v>0</v>
      </c>
      <c r="AM234" s="39">
        <f>IF(B234="","",IF(R234="Archived","Archived",IF(T234=0,"Not been yet",IF(Z234&gt;=InactiveDays,"Inactive",IF(Z234&gt;=LapsingDays,"Lapsing",IF(T234=1,"New",IF(AH234&gt;=VipSpend,"VIP",IF(U234&gt;=4,"Regular","Active"))))))))</f>
        <v>0</v>
      </c>
      <c r="AN234" s="38">
        <f>IF(B234="","",IF(T234&gt;=2,"Yes","No"))</f>
        <v>0</v>
      </c>
      <c r="AO234" s="25">
        <f>IF(B234="","",COUNTIFS($AE$5:$AE$504,"&gt;"&amp;AE234)+COUNTIFS($AE$5:AE234,AE234))</f>
        <v>0</v>
      </c>
      <c r="AP234" s="25">
        <f>IF(B234="","",COUNTIFS($T$5:$T$504,"&gt;"&amp;T234)+COUNTIFS($T$5:T234,T234))</f>
        <v>0</v>
      </c>
      <c r="AQ234" s="39">
        <f>IF(B234="","",IF(COUNTIF($B$5:$B$504,B234)&gt;1,"Duplicate - same name twice",IF(R234="Archived","",IF(AK234&gt;0.004,"Chase - balance outstanding",IF(AM234="Inactive","Gone - win-back offer",IF(AM234="Lapsing","Chase - lapsing, call them",IF(IF(N234="",FALSE,TodayDate-N234&gt;PatchTestDays),"Due - patch test out of date",IF(IF(AD234="",FALSE,IF(AB234&lt;&gt;"",FALSE,AD234&lt;=TodayDate+14)),"Rebook - due and nothing booked",IF(IF(K234="",FALSE,ABS(DATE(YEAR(TodayDate),MONTH(K234),DAY(K234))-TodayDate)&lt;=7),"Birthday - send the treat","OK")))))))))</f>
        <v>0</v>
      </c>
    </row>
    <row r="235" spans="1:43">
      <c r="A235" s="28">
        <f>IF(B235="","",ClientPrefix&amp;TEXT(ROW()-4,"0000"))</f>
        <v>0</v>
      </c>
      <c r="J235" s="15">
        <f>IF(I235="","",IFERROR(INDEX(Staff!$B$5:$B$44,MATCH(I235,Staff!$A$5:$A$44,0)),"Not in Staff"))</f>
        <v>0</v>
      </c>
      <c r="T235" s="25">
        <f>IF(B235="","",COUNTIFS(Appointments!$E$5:$E$1204,A235,Appointments!$M$5:$M$1204,"Completed"))</f>
        <v>0</v>
      </c>
      <c r="U235" s="25">
        <f>IF(B235="","",COUNTIFS(Appointments!$E$5:$E$1204,A235,Appointments!$M$5:$M$1204,"Completed",Appointments!$B$5:$B$1204,"&gt;="&amp;TodayDate-365))</f>
        <v>0</v>
      </c>
      <c r="V235" s="25">
        <f>IF(B235="","",COUNTIFS(Appointments!$E$5:$E$1204,A235,Appointments!$M$5:$M$1204,"Cancelled"))</f>
        <v>0</v>
      </c>
      <c r="W235" s="25">
        <f>IF(B235="","",COUNTIFS(Appointments!$E$5:$E$1204,A235,Appointments!$M$5:$M$1204,"No show"))</f>
        <v>0</v>
      </c>
      <c r="X235" s="17">
        <f>IF(B235="","",IF(F235&lt;&gt;"",F235,IF(T235=0,"",SUMPRODUCT(MIN((Appointments!$E$5:$E$1204=A235)*(Appointments!$M$5:$M$1204="Completed")*Appointments!$B$5:$B$1204+(1-(Appointments!$E$5:$E$1204=A235)*(Appointments!$M$5:$M$1204="Completed"))*2958465)))))</f>
        <v>0</v>
      </c>
      <c r="Y235" s="17">
        <f>IF(B235="","",IF(T235=0,"",SUMPRODUCT(MAX((Appointments!$E$5:$E$1204=A235)*(Appointments!$M$5:$M$1204="Completed")*Appointments!$B$5:$B$1204))))</f>
        <v>0</v>
      </c>
      <c r="Z235" s="25">
        <f>IF(B235="","",IF(Y235="","",TodayDate-Y235))</f>
        <v>0</v>
      </c>
      <c r="AA235" s="42">
        <f>IF(B235="","",SUMPRODUCT(MIN((Appointments!$E$5:$E$1204=A235)*(Appointments!$M$5:$M$1204&lt;&gt;"Cancelled")*(Appointments!$M$5:$M$1204&lt;&gt;"Completed")*(Appointments!$M$5:$M$1204&lt;&gt;"No show")*(Appointments!$B$5:$B$1204&gt;=TodayDate)*Appointments!$B$5:$B$1204+(1-(Appointments!$E$5:$E$1204=A235)*(Appointments!$M$5:$M$1204&lt;&gt;"Cancelled")*(Appointments!$M$5:$M$1204&lt;&gt;"Completed")*(Appointments!$M$5:$M$1204&lt;&gt;"No show")*(Appointments!$B$5:$B$1204&gt;=TodayDate))*2958465)))</f>
        <v>0</v>
      </c>
      <c r="AB235" s="17">
        <f>IF(B235="","",IF(AA235&gt;=2958465,"",AA235))</f>
        <v>0</v>
      </c>
      <c r="AC235" s="25">
        <f>IF(B235="","",IF(T235&lt;2,"",ROUND((Y235-X235)/MAX(1,T235-1),0)))</f>
        <v>0</v>
      </c>
      <c r="AD235" s="17">
        <f>IF(B235="","",IF(Y235="","",Y235+IF(AC235="",RebookWeeks*7,MAX(14,AC235))))</f>
        <v>0</v>
      </c>
      <c r="AE235" s="26">
        <f>IF(B235="","",ROUND(SUMIFS(Sales!$Y$5:$Y$1204,Sales!$D$5:$D$1204,A235),2))</f>
        <v>0</v>
      </c>
      <c r="AF235" s="26">
        <f>IF(B235="","",ROUND(SUMIFS(Sales!$Y$5:$Y$1204,Sales!$D$5:$D$1204,A235,Sales!$H$5:$H$1204,"Service"),2))</f>
        <v>0</v>
      </c>
      <c r="AG235" s="26">
        <f>IF(B235="","",ROUND(SUMIFS(Sales!$Y$5:$Y$1204,Sales!$D$5:$D$1204,A235,Sales!$H$5:$H$1204,"Retail"),2))</f>
        <v>0</v>
      </c>
      <c r="AH235" s="26">
        <f>IF(B235="","",ROUND(SUMIFS(Sales!$Y$5:$Y$1204,Sales!$D$5:$D$1204,A235,Sales!$B$5:$B$1204,"&gt;="&amp;TodayDate-365),2))</f>
        <v>0</v>
      </c>
      <c r="AI235" s="26">
        <f>IF(B235="","",IF(T235=0,"",ROUND(AE235/T235,2)))</f>
        <v>0</v>
      </c>
      <c r="AJ235" s="26">
        <f>IF(B235="","",IF(AI235="","",IF(AC235="","",ROUND(AI235*(365/MAX(14,AC235)),2))))</f>
        <v>0</v>
      </c>
      <c r="AK235" s="26">
        <f>IF(B235="","",ROUND(SUMIFS(Sales!$AH$5:$AH$1204,Sales!$D$5:$D$1204,A235),2))</f>
        <v>0</v>
      </c>
      <c r="AL235" s="25">
        <f>IF(B235="","",IFERROR(INDEX(Loyalty!$P$5:$P$504,MATCH(A235,Loyalty!$B$5:$B$504,0))*1,0))</f>
        <v>0</v>
      </c>
      <c r="AM235" s="39">
        <f>IF(B235="","",IF(R235="Archived","Archived",IF(T235=0,"Not been yet",IF(Z235&gt;=InactiveDays,"Inactive",IF(Z235&gt;=LapsingDays,"Lapsing",IF(T235=1,"New",IF(AH235&gt;=VipSpend,"VIP",IF(U235&gt;=4,"Regular","Active"))))))))</f>
        <v>0</v>
      </c>
      <c r="AN235" s="38">
        <f>IF(B235="","",IF(T235&gt;=2,"Yes","No"))</f>
        <v>0</v>
      </c>
      <c r="AO235" s="25">
        <f>IF(B235="","",COUNTIFS($AE$5:$AE$504,"&gt;"&amp;AE235)+COUNTIFS($AE$5:AE235,AE235))</f>
        <v>0</v>
      </c>
      <c r="AP235" s="25">
        <f>IF(B235="","",COUNTIFS($T$5:$T$504,"&gt;"&amp;T235)+COUNTIFS($T$5:T235,T235))</f>
        <v>0</v>
      </c>
      <c r="AQ235" s="39">
        <f>IF(B235="","",IF(COUNTIF($B$5:$B$504,B235)&gt;1,"Duplicate - same name twice",IF(R235="Archived","",IF(AK235&gt;0.004,"Chase - balance outstanding",IF(AM235="Inactive","Gone - win-back offer",IF(AM235="Lapsing","Chase - lapsing, call them",IF(IF(N235="",FALSE,TodayDate-N235&gt;PatchTestDays),"Due - patch test out of date",IF(IF(AD235="",FALSE,IF(AB235&lt;&gt;"",FALSE,AD235&lt;=TodayDate+14)),"Rebook - due and nothing booked",IF(IF(K235="",FALSE,ABS(DATE(YEAR(TodayDate),MONTH(K235),DAY(K235))-TodayDate)&lt;=7),"Birthday - send the treat","OK")))))))))</f>
        <v>0</v>
      </c>
    </row>
    <row r="236" spans="1:43">
      <c r="A236" s="28">
        <f>IF(B236="","",ClientPrefix&amp;TEXT(ROW()-4,"0000"))</f>
        <v>0</v>
      </c>
      <c r="J236" s="15">
        <f>IF(I236="","",IFERROR(INDEX(Staff!$B$5:$B$44,MATCH(I236,Staff!$A$5:$A$44,0)),"Not in Staff"))</f>
        <v>0</v>
      </c>
      <c r="T236" s="25">
        <f>IF(B236="","",COUNTIFS(Appointments!$E$5:$E$1204,A236,Appointments!$M$5:$M$1204,"Completed"))</f>
        <v>0</v>
      </c>
      <c r="U236" s="25">
        <f>IF(B236="","",COUNTIFS(Appointments!$E$5:$E$1204,A236,Appointments!$M$5:$M$1204,"Completed",Appointments!$B$5:$B$1204,"&gt;="&amp;TodayDate-365))</f>
        <v>0</v>
      </c>
      <c r="V236" s="25">
        <f>IF(B236="","",COUNTIFS(Appointments!$E$5:$E$1204,A236,Appointments!$M$5:$M$1204,"Cancelled"))</f>
        <v>0</v>
      </c>
      <c r="W236" s="25">
        <f>IF(B236="","",COUNTIFS(Appointments!$E$5:$E$1204,A236,Appointments!$M$5:$M$1204,"No show"))</f>
        <v>0</v>
      </c>
      <c r="X236" s="17">
        <f>IF(B236="","",IF(F236&lt;&gt;"",F236,IF(T236=0,"",SUMPRODUCT(MIN((Appointments!$E$5:$E$1204=A236)*(Appointments!$M$5:$M$1204="Completed")*Appointments!$B$5:$B$1204+(1-(Appointments!$E$5:$E$1204=A236)*(Appointments!$M$5:$M$1204="Completed"))*2958465)))))</f>
        <v>0</v>
      </c>
      <c r="Y236" s="17">
        <f>IF(B236="","",IF(T236=0,"",SUMPRODUCT(MAX((Appointments!$E$5:$E$1204=A236)*(Appointments!$M$5:$M$1204="Completed")*Appointments!$B$5:$B$1204))))</f>
        <v>0</v>
      </c>
      <c r="Z236" s="25">
        <f>IF(B236="","",IF(Y236="","",TodayDate-Y236))</f>
        <v>0</v>
      </c>
      <c r="AA236" s="42">
        <f>IF(B236="","",SUMPRODUCT(MIN((Appointments!$E$5:$E$1204=A236)*(Appointments!$M$5:$M$1204&lt;&gt;"Cancelled")*(Appointments!$M$5:$M$1204&lt;&gt;"Completed")*(Appointments!$M$5:$M$1204&lt;&gt;"No show")*(Appointments!$B$5:$B$1204&gt;=TodayDate)*Appointments!$B$5:$B$1204+(1-(Appointments!$E$5:$E$1204=A236)*(Appointments!$M$5:$M$1204&lt;&gt;"Cancelled")*(Appointments!$M$5:$M$1204&lt;&gt;"Completed")*(Appointments!$M$5:$M$1204&lt;&gt;"No show")*(Appointments!$B$5:$B$1204&gt;=TodayDate))*2958465)))</f>
        <v>0</v>
      </c>
      <c r="AB236" s="17">
        <f>IF(B236="","",IF(AA236&gt;=2958465,"",AA236))</f>
        <v>0</v>
      </c>
      <c r="AC236" s="25">
        <f>IF(B236="","",IF(T236&lt;2,"",ROUND((Y236-X236)/MAX(1,T236-1),0)))</f>
        <v>0</v>
      </c>
      <c r="AD236" s="17">
        <f>IF(B236="","",IF(Y236="","",Y236+IF(AC236="",RebookWeeks*7,MAX(14,AC236))))</f>
        <v>0</v>
      </c>
      <c r="AE236" s="26">
        <f>IF(B236="","",ROUND(SUMIFS(Sales!$Y$5:$Y$1204,Sales!$D$5:$D$1204,A236),2))</f>
        <v>0</v>
      </c>
      <c r="AF236" s="26">
        <f>IF(B236="","",ROUND(SUMIFS(Sales!$Y$5:$Y$1204,Sales!$D$5:$D$1204,A236,Sales!$H$5:$H$1204,"Service"),2))</f>
        <v>0</v>
      </c>
      <c r="AG236" s="26">
        <f>IF(B236="","",ROUND(SUMIFS(Sales!$Y$5:$Y$1204,Sales!$D$5:$D$1204,A236,Sales!$H$5:$H$1204,"Retail"),2))</f>
        <v>0</v>
      </c>
      <c r="AH236" s="26">
        <f>IF(B236="","",ROUND(SUMIFS(Sales!$Y$5:$Y$1204,Sales!$D$5:$D$1204,A236,Sales!$B$5:$B$1204,"&gt;="&amp;TodayDate-365),2))</f>
        <v>0</v>
      </c>
      <c r="AI236" s="26">
        <f>IF(B236="","",IF(T236=0,"",ROUND(AE236/T236,2)))</f>
        <v>0</v>
      </c>
      <c r="AJ236" s="26">
        <f>IF(B236="","",IF(AI236="","",IF(AC236="","",ROUND(AI236*(365/MAX(14,AC236)),2))))</f>
        <v>0</v>
      </c>
      <c r="AK236" s="26">
        <f>IF(B236="","",ROUND(SUMIFS(Sales!$AH$5:$AH$1204,Sales!$D$5:$D$1204,A236),2))</f>
        <v>0</v>
      </c>
      <c r="AL236" s="25">
        <f>IF(B236="","",IFERROR(INDEX(Loyalty!$P$5:$P$504,MATCH(A236,Loyalty!$B$5:$B$504,0))*1,0))</f>
        <v>0</v>
      </c>
      <c r="AM236" s="39">
        <f>IF(B236="","",IF(R236="Archived","Archived",IF(T236=0,"Not been yet",IF(Z236&gt;=InactiveDays,"Inactive",IF(Z236&gt;=LapsingDays,"Lapsing",IF(T236=1,"New",IF(AH236&gt;=VipSpend,"VIP",IF(U236&gt;=4,"Regular","Active"))))))))</f>
        <v>0</v>
      </c>
      <c r="AN236" s="38">
        <f>IF(B236="","",IF(T236&gt;=2,"Yes","No"))</f>
        <v>0</v>
      </c>
      <c r="AO236" s="25">
        <f>IF(B236="","",COUNTIFS($AE$5:$AE$504,"&gt;"&amp;AE236)+COUNTIFS($AE$5:AE236,AE236))</f>
        <v>0</v>
      </c>
      <c r="AP236" s="25">
        <f>IF(B236="","",COUNTIFS($T$5:$T$504,"&gt;"&amp;T236)+COUNTIFS($T$5:T236,T236))</f>
        <v>0</v>
      </c>
      <c r="AQ236" s="39">
        <f>IF(B236="","",IF(COUNTIF($B$5:$B$504,B236)&gt;1,"Duplicate - same name twice",IF(R236="Archived","",IF(AK236&gt;0.004,"Chase - balance outstanding",IF(AM236="Inactive","Gone - win-back offer",IF(AM236="Lapsing","Chase - lapsing, call them",IF(IF(N236="",FALSE,TodayDate-N236&gt;PatchTestDays),"Due - patch test out of date",IF(IF(AD236="",FALSE,IF(AB236&lt;&gt;"",FALSE,AD236&lt;=TodayDate+14)),"Rebook - due and nothing booked",IF(IF(K236="",FALSE,ABS(DATE(YEAR(TodayDate),MONTH(K236),DAY(K236))-TodayDate)&lt;=7),"Birthday - send the treat","OK")))))))))</f>
        <v>0</v>
      </c>
    </row>
    <row r="237" spans="1:43">
      <c r="A237" s="28">
        <f>IF(B237="","",ClientPrefix&amp;TEXT(ROW()-4,"0000"))</f>
        <v>0</v>
      </c>
      <c r="J237" s="15">
        <f>IF(I237="","",IFERROR(INDEX(Staff!$B$5:$B$44,MATCH(I237,Staff!$A$5:$A$44,0)),"Not in Staff"))</f>
        <v>0</v>
      </c>
      <c r="T237" s="25">
        <f>IF(B237="","",COUNTIFS(Appointments!$E$5:$E$1204,A237,Appointments!$M$5:$M$1204,"Completed"))</f>
        <v>0</v>
      </c>
      <c r="U237" s="25">
        <f>IF(B237="","",COUNTIFS(Appointments!$E$5:$E$1204,A237,Appointments!$M$5:$M$1204,"Completed",Appointments!$B$5:$B$1204,"&gt;="&amp;TodayDate-365))</f>
        <v>0</v>
      </c>
      <c r="V237" s="25">
        <f>IF(B237="","",COUNTIFS(Appointments!$E$5:$E$1204,A237,Appointments!$M$5:$M$1204,"Cancelled"))</f>
        <v>0</v>
      </c>
      <c r="W237" s="25">
        <f>IF(B237="","",COUNTIFS(Appointments!$E$5:$E$1204,A237,Appointments!$M$5:$M$1204,"No show"))</f>
        <v>0</v>
      </c>
      <c r="X237" s="17">
        <f>IF(B237="","",IF(F237&lt;&gt;"",F237,IF(T237=0,"",SUMPRODUCT(MIN((Appointments!$E$5:$E$1204=A237)*(Appointments!$M$5:$M$1204="Completed")*Appointments!$B$5:$B$1204+(1-(Appointments!$E$5:$E$1204=A237)*(Appointments!$M$5:$M$1204="Completed"))*2958465)))))</f>
        <v>0</v>
      </c>
      <c r="Y237" s="17">
        <f>IF(B237="","",IF(T237=0,"",SUMPRODUCT(MAX((Appointments!$E$5:$E$1204=A237)*(Appointments!$M$5:$M$1204="Completed")*Appointments!$B$5:$B$1204))))</f>
        <v>0</v>
      </c>
      <c r="Z237" s="25">
        <f>IF(B237="","",IF(Y237="","",TodayDate-Y237))</f>
        <v>0</v>
      </c>
      <c r="AA237" s="42">
        <f>IF(B237="","",SUMPRODUCT(MIN((Appointments!$E$5:$E$1204=A237)*(Appointments!$M$5:$M$1204&lt;&gt;"Cancelled")*(Appointments!$M$5:$M$1204&lt;&gt;"Completed")*(Appointments!$M$5:$M$1204&lt;&gt;"No show")*(Appointments!$B$5:$B$1204&gt;=TodayDate)*Appointments!$B$5:$B$1204+(1-(Appointments!$E$5:$E$1204=A237)*(Appointments!$M$5:$M$1204&lt;&gt;"Cancelled")*(Appointments!$M$5:$M$1204&lt;&gt;"Completed")*(Appointments!$M$5:$M$1204&lt;&gt;"No show")*(Appointments!$B$5:$B$1204&gt;=TodayDate))*2958465)))</f>
        <v>0</v>
      </c>
      <c r="AB237" s="17">
        <f>IF(B237="","",IF(AA237&gt;=2958465,"",AA237))</f>
        <v>0</v>
      </c>
      <c r="AC237" s="25">
        <f>IF(B237="","",IF(T237&lt;2,"",ROUND((Y237-X237)/MAX(1,T237-1),0)))</f>
        <v>0</v>
      </c>
      <c r="AD237" s="17">
        <f>IF(B237="","",IF(Y237="","",Y237+IF(AC237="",RebookWeeks*7,MAX(14,AC237))))</f>
        <v>0</v>
      </c>
      <c r="AE237" s="26">
        <f>IF(B237="","",ROUND(SUMIFS(Sales!$Y$5:$Y$1204,Sales!$D$5:$D$1204,A237),2))</f>
        <v>0</v>
      </c>
      <c r="AF237" s="26">
        <f>IF(B237="","",ROUND(SUMIFS(Sales!$Y$5:$Y$1204,Sales!$D$5:$D$1204,A237,Sales!$H$5:$H$1204,"Service"),2))</f>
        <v>0</v>
      </c>
      <c r="AG237" s="26">
        <f>IF(B237="","",ROUND(SUMIFS(Sales!$Y$5:$Y$1204,Sales!$D$5:$D$1204,A237,Sales!$H$5:$H$1204,"Retail"),2))</f>
        <v>0</v>
      </c>
      <c r="AH237" s="26">
        <f>IF(B237="","",ROUND(SUMIFS(Sales!$Y$5:$Y$1204,Sales!$D$5:$D$1204,A237,Sales!$B$5:$B$1204,"&gt;="&amp;TodayDate-365),2))</f>
        <v>0</v>
      </c>
      <c r="AI237" s="26">
        <f>IF(B237="","",IF(T237=0,"",ROUND(AE237/T237,2)))</f>
        <v>0</v>
      </c>
      <c r="AJ237" s="26">
        <f>IF(B237="","",IF(AI237="","",IF(AC237="","",ROUND(AI237*(365/MAX(14,AC237)),2))))</f>
        <v>0</v>
      </c>
      <c r="AK237" s="26">
        <f>IF(B237="","",ROUND(SUMIFS(Sales!$AH$5:$AH$1204,Sales!$D$5:$D$1204,A237),2))</f>
        <v>0</v>
      </c>
      <c r="AL237" s="25">
        <f>IF(B237="","",IFERROR(INDEX(Loyalty!$P$5:$P$504,MATCH(A237,Loyalty!$B$5:$B$504,0))*1,0))</f>
        <v>0</v>
      </c>
      <c r="AM237" s="39">
        <f>IF(B237="","",IF(R237="Archived","Archived",IF(T237=0,"Not been yet",IF(Z237&gt;=InactiveDays,"Inactive",IF(Z237&gt;=LapsingDays,"Lapsing",IF(T237=1,"New",IF(AH237&gt;=VipSpend,"VIP",IF(U237&gt;=4,"Regular","Active"))))))))</f>
        <v>0</v>
      </c>
      <c r="AN237" s="38">
        <f>IF(B237="","",IF(T237&gt;=2,"Yes","No"))</f>
        <v>0</v>
      </c>
      <c r="AO237" s="25">
        <f>IF(B237="","",COUNTIFS($AE$5:$AE$504,"&gt;"&amp;AE237)+COUNTIFS($AE$5:AE237,AE237))</f>
        <v>0</v>
      </c>
      <c r="AP237" s="25">
        <f>IF(B237="","",COUNTIFS($T$5:$T$504,"&gt;"&amp;T237)+COUNTIFS($T$5:T237,T237))</f>
        <v>0</v>
      </c>
      <c r="AQ237" s="39">
        <f>IF(B237="","",IF(COUNTIF($B$5:$B$504,B237)&gt;1,"Duplicate - same name twice",IF(R237="Archived","",IF(AK237&gt;0.004,"Chase - balance outstanding",IF(AM237="Inactive","Gone - win-back offer",IF(AM237="Lapsing","Chase - lapsing, call them",IF(IF(N237="",FALSE,TodayDate-N237&gt;PatchTestDays),"Due - patch test out of date",IF(IF(AD237="",FALSE,IF(AB237&lt;&gt;"",FALSE,AD237&lt;=TodayDate+14)),"Rebook - due and nothing booked",IF(IF(K237="",FALSE,ABS(DATE(YEAR(TodayDate),MONTH(K237),DAY(K237))-TodayDate)&lt;=7),"Birthday - send the treat","OK")))))))))</f>
        <v>0</v>
      </c>
    </row>
    <row r="238" spans="1:43">
      <c r="A238" s="28">
        <f>IF(B238="","",ClientPrefix&amp;TEXT(ROW()-4,"0000"))</f>
        <v>0</v>
      </c>
      <c r="J238" s="15">
        <f>IF(I238="","",IFERROR(INDEX(Staff!$B$5:$B$44,MATCH(I238,Staff!$A$5:$A$44,0)),"Not in Staff"))</f>
        <v>0</v>
      </c>
      <c r="T238" s="25">
        <f>IF(B238="","",COUNTIFS(Appointments!$E$5:$E$1204,A238,Appointments!$M$5:$M$1204,"Completed"))</f>
        <v>0</v>
      </c>
      <c r="U238" s="25">
        <f>IF(B238="","",COUNTIFS(Appointments!$E$5:$E$1204,A238,Appointments!$M$5:$M$1204,"Completed",Appointments!$B$5:$B$1204,"&gt;="&amp;TodayDate-365))</f>
        <v>0</v>
      </c>
      <c r="V238" s="25">
        <f>IF(B238="","",COUNTIFS(Appointments!$E$5:$E$1204,A238,Appointments!$M$5:$M$1204,"Cancelled"))</f>
        <v>0</v>
      </c>
      <c r="W238" s="25">
        <f>IF(B238="","",COUNTIFS(Appointments!$E$5:$E$1204,A238,Appointments!$M$5:$M$1204,"No show"))</f>
        <v>0</v>
      </c>
      <c r="X238" s="17">
        <f>IF(B238="","",IF(F238&lt;&gt;"",F238,IF(T238=0,"",SUMPRODUCT(MIN((Appointments!$E$5:$E$1204=A238)*(Appointments!$M$5:$M$1204="Completed")*Appointments!$B$5:$B$1204+(1-(Appointments!$E$5:$E$1204=A238)*(Appointments!$M$5:$M$1204="Completed"))*2958465)))))</f>
        <v>0</v>
      </c>
      <c r="Y238" s="17">
        <f>IF(B238="","",IF(T238=0,"",SUMPRODUCT(MAX((Appointments!$E$5:$E$1204=A238)*(Appointments!$M$5:$M$1204="Completed")*Appointments!$B$5:$B$1204))))</f>
        <v>0</v>
      </c>
      <c r="Z238" s="25">
        <f>IF(B238="","",IF(Y238="","",TodayDate-Y238))</f>
        <v>0</v>
      </c>
      <c r="AA238" s="42">
        <f>IF(B238="","",SUMPRODUCT(MIN((Appointments!$E$5:$E$1204=A238)*(Appointments!$M$5:$M$1204&lt;&gt;"Cancelled")*(Appointments!$M$5:$M$1204&lt;&gt;"Completed")*(Appointments!$M$5:$M$1204&lt;&gt;"No show")*(Appointments!$B$5:$B$1204&gt;=TodayDate)*Appointments!$B$5:$B$1204+(1-(Appointments!$E$5:$E$1204=A238)*(Appointments!$M$5:$M$1204&lt;&gt;"Cancelled")*(Appointments!$M$5:$M$1204&lt;&gt;"Completed")*(Appointments!$M$5:$M$1204&lt;&gt;"No show")*(Appointments!$B$5:$B$1204&gt;=TodayDate))*2958465)))</f>
        <v>0</v>
      </c>
      <c r="AB238" s="17">
        <f>IF(B238="","",IF(AA238&gt;=2958465,"",AA238))</f>
        <v>0</v>
      </c>
      <c r="AC238" s="25">
        <f>IF(B238="","",IF(T238&lt;2,"",ROUND((Y238-X238)/MAX(1,T238-1),0)))</f>
        <v>0</v>
      </c>
      <c r="AD238" s="17">
        <f>IF(B238="","",IF(Y238="","",Y238+IF(AC238="",RebookWeeks*7,MAX(14,AC238))))</f>
        <v>0</v>
      </c>
      <c r="AE238" s="26">
        <f>IF(B238="","",ROUND(SUMIFS(Sales!$Y$5:$Y$1204,Sales!$D$5:$D$1204,A238),2))</f>
        <v>0</v>
      </c>
      <c r="AF238" s="26">
        <f>IF(B238="","",ROUND(SUMIFS(Sales!$Y$5:$Y$1204,Sales!$D$5:$D$1204,A238,Sales!$H$5:$H$1204,"Service"),2))</f>
        <v>0</v>
      </c>
      <c r="AG238" s="26">
        <f>IF(B238="","",ROUND(SUMIFS(Sales!$Y$5:$Y$1204,Sales!$D$5:$D$1204,A238,Sales!$H$5:$H$1204,"Retail"),2))</f>
        <v>0</v>
      </c>
      <c r="AH238" s="26">
        <f>IF(B238="","",ROUND(SUMIFS(Sales!$Y$5:$Y$1204,Sales!$D$5:$D$1204,A238,Sales!$B$5:$B$1204,"&gt;="&amp;TodayDate-365),2))</f>
        <v>0</v>
      </c>
      <c r="AI238" s="26">
        <f>IF(B238="","",IF(T238=0,"",ROUND(AE238/T238,2)))</f>
        <v>0</v>
      </c>
      <c r="AJ238" s="26">
        <f>IF(B238="","",IF(AI238="","",IF(AC238="","",ROUND(AI238*(365/MAX(14,AC238)),2))))</f>
        <v>0</v>
      </c>
      <c r="AK238" s="26">
        <f>IF(B238="","",ROUND(SUMIFS(Sales!$AH$5:$AH$1204,Sales!$D$5:$D$1204,A238),2))</f>
        <v>0</v>
      </c>
      <c r="AL238" s="25">
        <f>IF(B238="","",IFERROR(INDEX(Loyalty!$P$5:$P$504,MATCH(A238,Loyalty!$B$5:$B$504,0))*1,0))</f>
        <v>0</v>
      </c>
      <c r="AM238" s="39">
        <f>IF(B238="","",IF(R238="Archived","Archived",IF(T238=0,"Not been yet",IF(Z238&gt;=InactiveDays,"Inactive",IF(Z238&gt;=LapsingDays,"Lapsing",IF(T238=1,"New",IF(AH238&gt;=VipSpend,"VIP",IF(U238&gt;=4,"Regular","Active"))))))))</f>
        <v>0</v>
      </c>
      <c r="AN238" s="38">
        <f>IF(B238="","",IF(T238&gt;=2,"Yes","No"))</f>
        <v>0</v>
      </c>
      <c r="AO238" s="25">
        <f>IF(B238="","",COUNTIFS($AE$5:$AE$504,"&gt;"&amp;AE238)+COUNTIFS($AE$5:AE238,AE238))</f>
        <v>0</v>
      </c>
      <c r="AP238" s="25">
        <f>IF(B238="","",COUNTIFS($T$5:$T$504,"&gt;"&amp;T238)+COUNTIFS($T$5:T238,T238))</f>
        <v>0</v>
      </c>
      <c r="AQ238" s="39">
        <f>IF(B238="","",IF(COUNTIF($B$5:$B$504,B238)&gt;1,"Duplicate - same name twice",IF(R238="Archived","",IF(AK238&gt;0.004,"Chase - balance outstanding",IF(AM238="Inactive","Gone - win-back offer",IF(AM238="Lapsing","Chase - lapsing, call them",IF(IF(N238="",FALSE,TodayDate-N238&gt;PatchTestDays),"Due - patch test out of date",IF(IF(AD238="",FALSE,IF(AB238&lt;&gt;"",FALSE,AD238&lt;=TodayDate+14)),"Rebook - due and nothing booked",IF(IF(K238="",FALSE,ABS(DATE(YEAR(TodayDate),MONTH(K238),DAY(K238))-TodayDate)&lt;=7),"Birthday - send the treat","OK")))))))))</f>
        <v>0</v>
      </c>
    </row>
    <row r="239" spans="1:43">
      <c r="A239" s="28">
        <f>IF(B239="","",ClientPrefix&amp;TEXT(ROW()-4,"0000"))</f>
        <v>0</v>
      </c>
      <c r="J239" s="15">
        <f>IF(I239="","",IFERROR(INDEX(Staff!$B$5:$B$44,MATCH(I239,Staff!$A$5:$A$44,0)),"Not in Staff"))</f>
        <v>0</v>
      </c>
      <c r="T239" s="25">
        <f>IF(B239="","",COUNTIFS(Appointments!$E$5:$E$1204,A239,Appointments!$M$5:$M$1204,"Completed"))</f>
        <v>0</v>
      </c>
      <c r="U239" s="25">
        <f>IF(B239="","",COUNTIFS(Appointments!$E$5:$E$1204,A239,Appointments!$M$5:$M$1204,"Completed",Appointments!$B$5:$B$1204,"&gt;="&amp;TodayDate-365))</f>
        <v>0</v>
      </c>
      <c r="V239" s="25">
        <f>IF(B239="","",COUNTIFS(Appointments!$E$5:$E$1204,A239,Appointments!$M$5:$M$1204,"Cancelled"))</f>
        <v>0</v>
      </c>
      <c r="W239" s="25">
        <f>IF(B239="","",COUNTIFS(Appointments!$E$5:$E$1204,A239,Appointments!$M$5:$M$1204,"No show"))</f>
        <v>0</v>
      </c>
      <c r="X239" s="17">
        <f>IF(B239="","",IF(F239&lt;&gt;"",F239,IF(T239=0,"",SUMPRODUCT(MIN((Appointments!$E$5:$E$1204=A239)*(Appointments!$M$5:$M$1204="Completed")*Appointments!$B$5:$B$1204+(1-(Appointments!$E$5:$E$1204=A239)*(Appointments!$M$5:$M$1204="Completed"))*2958465)))))</f>
        <v>0</v>
      </c>
      <c r="Y239" s="17">
        <f>IF(B239="","",IF(T239=0,"",SUMPRODUCT(MAX((Appointments!$E$5:$E$1204=A239)*(Appointments!$M$5:$M$1204="Completed")*Appointments!$B$5:$B$1204))))</f>
        <v>0</v>
      </c>
      <c r="Z239" s="25">
        <f>IF(B239="","",IF(Y239="","",TodayDate-Y239))</f>
        <v>0</v>
      </c>
      <c r="AA239" s="42">
        <f>IF(B239="","",SUMPRODUCT(MIN((Appointments!$E$5:$E$1204=A239)*(Appointments!$M$5:$M$1204&lt;&gt;"Cancelled")*(Appointments!$M$5:$M$1204&lt;&gt;"Completed")*(Appointments!$M$5:$M$1204&lt;&gt;"No show")*(Appointments!$B$5:$B$1204&gt;=TodayDate)*Appointments!$B$5:$B$1204+(1-(Appointments!$E$5:$E$1204=A239)*(Appointments!$M$5:$M$1204&lt;&gt;"Cancelled")*(Appointments!$M$5:$M$1204&lt;&gt;"Completed")*(Appointments!$M$5:$M$1204&lt;&gt;"No show")*(Appointments!$B$5:$B$1204&gt;=TodayDate))*2958465)))</f>
        <v>0</v>
      </c>
      <c r="AB239" s="17">
        <f>IF(B239="","",IF(AA239&gt;=2958465,"",AA239))</f>
        <v>0</v>
      </c>
      <c r="AC239" s="25">
        <f>IF(B239="","",IF(T239&lt;2,"",ROUND((Y239-X239)/MAX(1,T239-1),0)))</f>
        <v>0</v>
      </c>
      <c r="AD239" s="17">
        <f>IF(B239="","",IF(Y239="","",Y239+IF(AC239="",RebookWeeks*7,MAX(14,AC239))))</f>
        <v>0</v>
      </c>
      <c r="AE239" s="26">
        <f>IF(B239="","",ROUND(SUMIFS(Sales!$Y$5:$Y$1204,Sales!$D$5:$D$1204,A239),2))</f>
        <v>0</v>
      </c>
      <c r="AF239" s="26">
        <f>IF(B239="","",ROUND(SUMIFS(Sales!$Y$5:$Y$1204,Sales!$D$5:$D$1204,A239,Sales!$H$5:$H$1204,"Service"),2))</f>
        <v>0</v>
      </c>
      <c r="AG239" s="26">
        <f>IF(B239="","",ROUND(SUMIFS(Sales!$Y$5:$Y$1204,Sales!$D$5:$D$1204,A239,Sales!$H$5:$H$1204,"Retail"),2))</f>
        <v>0</v>
      </c>
      <c r="AH239" s="26">
        <f>IF(B239="","",ROUND(SUMIFS(Sales!$Y$5:$Y$1204,Sales!$D$5:$D$1204,A239,Sales!$B$5:$B$1204,"&gt;="&amp;TodayDate-365),2))</f>
        <v>0</v>
      </c>
      <c r="AI239" s="26">
        <f>IF(B239="","",IF(T239=0,"",ROUND(AE239/T239,2)))</f>
        <v>0</v>
      </c>
      <c r="AJ239" s="26">
        <f>IF(B239="","",IF(AI239="","",IF(AC239="","",ROUND(AI239*(365/MAX(14,AC239)),2))))</f>
        <v>0</v>
      </c>
      <c r="AK239" s="26">
        <f>IF(B239="","",ROUND(SUMIFS(Sales!$AH$5:$AH$1204,Sales!$D$5:$D$1204,A239),2))</f>
        <v>0</v>
      </c>
      <c r="AL239" s="25">
        <f>IF(B239="","",IFERROR(INDEX(Loyalty!$P$5:$P$504,MATCH(A239,Loyalty!$B$5:$B$504,0))*1,0))</f>
        <v>0</v>
      </c>
      <c r="AM239" s="39">
        <f>IF(B239="","",IF(R239="Archived","Archived",IF(T239=0,"Not been yet",IF(Z239&gt;=InactiveDays,"Inactive",IF(Z239&gt;=LapsingDays,"Lapsing",IF(T239=1,"New",IF(AH239&gt;=VipSpend,"VIP",IF(U239&gt;=4,"Regular","Active"))))))))</f>
        <v>0</v>
      </c>
      <c r="AN239" s="38">
        <f>IF(B239="","",IF(T239&gt;=2,"Yes","No"))</f>
        <v>0</v>
      </c>
      <c r="AO239" s="25">
        <f>IF(B239="","",COUNTIFS($AE$5:$AE$504,"&gt;"&amp;AE239)+COUNTIFS($AE$5:AE239,AE239))</f>
        <v>0</v>
      </c>
      <c r="AP239" s="25">
        <f>IF(B239="","",COUNTIFS($T$5:$T$504,"&gt;"&amp;T239)+COUNTIFS($T$5:T239,T239))</f>
        <v>0</v>
      </c>
      <c r="AQ239" s="39">
        <f>IF(B239="","",IF(COUNTIF($B$5:$B$504,B239)&gt;1,"Duplicate - same name twice",IF(R239="Archived","",IF(AK239&gt;0.004,"Chase - balance outstanding",IF(AM239="Inactive","Gone - win-back offer",IF(AM239="Lapsing","Chase - lapsing, call them",IF(IF(N239="",FALSE,TodayDate-N239&gt;PatchTestDays),"Due - patch test out of date",IF(IF(AD239="",FALSE,IF(AB239&lt;&gt;"",FALSE,AD239&lt;=TodayDate+14)),"Rebook - due and nothing booked",IF(IF(K239="",FALSE,ABS(DATE(YEAR(TodayDate),MONTH(K239),DAY(K239))-TodayDate)&lt;=7),"Birthday - send the treat","OK")))))))))</f>
        <v>0</v>
      </c>
    </row>
    <row r="240" spans="1:43">
      <c r="A240" s="28">
        <f>IF(B240="","",ClientPrefix&amp;TEXT(ROW()-4,"0000"))</f>
        <v>0</v>
      </c>
      <c r="J240" s="15">
        <f>IF(I240="","",IFERROR(INDEX(Staff!$B$5:$B$44,MATCH(I240,Staff!$A$5:$A$44,0)),"Not in Staff"))</f>
        <v>0</v>
      </c>
      <c r="T240" s="25">
        <f>IF(B240="","",COUNTIFS(Appointments!$E$5:$E$1204,A240,Appointments!$M$5:$M$1204,"Completed"))</f>
        <v>0</v>
      </c>
      <c r="U240" s="25">
        <f>IF(B240="","",COUNTIFS(Appointments!$E$5:$E$1204,A240,Appointments!$M$5:$M$1204,"Completed",Appointments!$B$5:$B$1204,"&gt;="&amp;TodayDate-365))</f>
        <v>0</v>
      </c>
      <c r="V240" s="25">
        <f>IF(B240="","",COUNTIFS(Appointments!$E$5:$E$1204,A240,Appointments!$M$5:$M$1204,"Cancelled"))</f>
        <v>0</v>
      </c>
      <c r="W240" s="25">
        <f>IF(B240="","",COUNTIFS(Appointments!$E$5:$E$1204,A240,Appointments!$M$5:$M$1204,"No show"))</f>
        <v>0</v>
      </c>
      <c r="X240" s="17">
        <f>IF(B240="","",IF(F240&lt;&gt;"",F240,IF(T240=0,"",SUMPRODUCT(MIN((Appointments!$E$5:$E$1204=A240)*(Appointments!$M$5:$M$1204="Completed")*Appointments!$B$5:$B$1204+(1-(Appointments!$E$5:$E$1204=A240)*(Appointments!$M$5:$M$1204="Completed"))*2958465)))))</f>
        <v>0</v>
      </c>
      <c r="Y240" s="17">
        <f>IF(B240="","",IF(T240=0,"",SUMPRODUCT(MAX((Appointments!$E$5:$E$1204=A240)*(Appointments!$M$5:$M$1204="Completed")*Appointments!$B$5:$B$1204))))</f>
        <v>0</v>
      </c>
      <c r="Z240" s="25">
        <f>IF(B240="","",IF(Y240="","",TodayDate-Y240))</f>
        <v>0</v>
      </c>
      <c r="AA240" s="42">
        <f>IF(B240="","",SUMPRODUCT(MIN((Appointments!$E$5:$E$1204=A240)*(Appointments!$M$5:$M$1204&lt;&gt;"Cancelled")*(Appointments!$M$5:$M$1204&lt;&gt;"Completed")*(Appointments!$M$5:$M$1204&lt;&gt;"No show")*(Appointments!$B$5:$B$1204&gt;=TodayDate)*Appointments!$B$5:$B$1204+(1-(Appointments!$E$5:$E$1204=A240)*(Appointments!$M$5:$M$1204&lt;&gt;"Cancelled")*(Appointments!$M$5:$M$1204&lt;&gt;"Completed")*(Appointments!$M$5:$M$1204&lt;&gt;"No show")*(Appointments!$B$5:$B$1204&gt;=TodayDate))*2958465)))</f>
        <v>0</v>
      </c>
      <c r="AB240" s="17">
        <f>IF(B240="","",IF(AA240&gt;=2958465,"",AA240))</f>
        <v>0</v>
      </c>
      <c r="AC240" s="25">
        <f>IF(B240="","",IF(T240&lt;2,"",ROUND((Y240-X240)/MAX(1,T240-1),0)))</f>
        <v>0</v>
      </c>
      <c r="AD240" s="17">
        <f>IF(B240="","",IF(Y240="","",Y240+IF(AC240="",RebookWeeks*7,MAX(14,AC240))))</f>
        <v>0</v>
      </c>
      <c r="AE240" s="26">
        <f>IF(B240="","",ROUND(SUMIFS(Sales!$Y$5:$Y$1204,Sales!$D$5:$D$1204,A240),2))</f>
        <v>0</v>
      </c>
      <c r="AF240" s="26">
        <f>IF(B240="","",ROUND(SUMIFS(Sales!$Y$5:$Y$1204,Sales!$D$5:$D$1204,A240,Sales!$H$5:$H$1204,"Service"),2))</f>
        <v>0</v>
      </c>
      <c r="AG240" s="26">
        <f>IF(B240="","",ROUND(SUMIFS(Sales!$Y$5:$Y$1204,Sales!$D$5:$D$1204,A240,Sales!$H$5:$H$1204,"Retail"),2))</f>
        <v>0</v>
      </c>
      <c r="AH240" s="26">
        <f>IF(B240="","",ROUND(SUMIFS(Sales!$Y$5:$Y$1204,Sales!$D$5:$D$1204,A240,Sales!$B$5:$B$1204,"&gt;="&amp;TodayDate-365),2))</f>
        <v>0</v>
      </c>
      <c r="AI240" s="26">
        <f>IF(B240="","",IF(T240=0,"",ROUND(AE240/T240,2)))</f>
        <v>0</v>
      </c>
      <c r="AJ240" s="26">
        <f>IF(B240="","",IF(AI240="","",IF(AC240="","",ROUND(AI240*(365/MAX(14,AC240)),2))))</f>
        <v>0</v>
      </c>
      <c r="AK240" s="26">
        <f>IF(B240="","",ROUND(SUMIFS(Sales!$AH$5:$AH$1204,Sales!$D$5:$D$1204,A240),2))</f>
        <v>0</v>
      </c>
      <c r="AL240" s="25">
        <f>IF(B240="","",IFERROR(INDEX(Loyalty!$P$5:$P$504,MATCH(A240,Loyalty!$B$5:$B$504,0))*1,0))</f>
        <v>0</v>
      </c>
      <c r="AM240" s="39">
        <f>IF(B240="","",IF(R240="Archived","Archived",IF(T240=0,"Not been yet",IF(Z240&gt;=InactiveDays,"Inactive",IF(Z240&gt;=LapsingDays,"Lapsing",IF(T240=1,"New",IF(AH240&gt;=VipSpend,"VIP",IF(U240&gt;=4,"Regular","Active"))))))))</f>
        <v>0</v>
      </c>
      <c r="AN240" s="38">
        <f>IF(B240="","",IF(T240&gt;=2,"Yes","No"))</f>
        <v>0</v>
      </c>
      <c r="AO240" s="25">
        <f>IF(B240="","",COUNTIFS($AE$5:$AE$504,"&gt;"&amp;AE240)+COUNTIFS($AE$5:AE240,AE240))</f>
        <v>0</v>
      </c>
      <c r="AP240" s="25">
        <f>IF(B240="","",COUNTIFS($T$5:$T$504,"&gt;"&amp;T240)+COUNTIFS($T$5:T240,T240))</f>
        <v>0</v>
      </c>
      <c r="AQ240" s="39">
        <f>IF(B240="","",IF(COUNTIF($B$5:$B$504,B240)&gt;1,"Duplicate - same name twice",IF(R240="Archived","",IF(AK240&gt;0.004,"Chase - balance outstanding",IF(AM240="Inactive","Gone - win-back offer",IF(AM240="Lapsing","Chase - lapsing, call them",IF(IF(N240="",FALSE,TodayDate-N240&gt;PatchTestDays),"Due - patch test out of date",IF(IF(AD240="",FALSE,IF(AB240&lt;&gt;"",FALSE,AD240&lt;=TodayDate+14)),"Rebook - due and nothing booked",IF(IF(K240="",FALSE,ABS(DATE(YEAR(TodayDate),MONTH(K240),DAY(K240))-TodayDate)&lt;=7),"Birthday - send the treat","OK")))))))))</f>
        <v>0</v>
      </c>
    </row>
    <row r="241" spans="1:43">
      <c r="A241" s="28">
        <f>IF(B241="","",ClientPrefix&amp;TEXT(ROW()-4,"0000"))</f>
        <v>0</v>
      </c>
      <c r="J241" s="15">
        <f>IF(I241="","",IFERROR(INDEX(Staff!$B$5:$B$44,MATCH(I241,Staff!$A$5:$A$44,0)),"Not in Staff"))</f>
        <v>0</v>
      </c>
      <c r="T241" s="25">
        <f>IF(B241="","",COUNTIFS(Appointments!$E$5:$E$1204,A241,Appointments!$M$5:$M$1204,"Completed"))</f>
        <v>0</v>
      </c>
      <c r="U241" s="25">
        <f>IF(B241="","",COUNTIFS(Appointments!$E$5:$E$1204,A241,Appointments!$M$5:$M$1204,"Completed",Appointments!$B$5:$B$1204,"&gt;="&amp;TodayDate-365))</f>
        <v>0</v>
      </c>
      <c r="V241" s="25">
        <f>IF(B241="","",COUNTIFS(Appointments!$E$5:$E$1204,A241,Appointments!$M$5:$M$1204,"Cancelled"))</f>
        <v>0</v>
      </c>
      <c r="W241" s="25">
        <f>IF(B241="","",COUNTIFS(Appointments!$E$5:$E$1204,A241,Appointments!$M$5:$M$1204,"No show"))</f>
        <v>0</v>
      </c>
      <c r="X241" s="17">
        <f>IF(B241="","",IF(F241&lt;&gt;"",F241,IF(T241=0,"",SUMPRODUCT(MIN((Appointments!$E$5:$E$1204=A241)*(Appointments!$M$5:$M$1204="Completed")*Appointments!$B$5:$B$1204+(1-(Appointments!$E$5:$E$1204=A241)*(Appointments!$M$5:$M$1204="Completed"))*2958465)))))</f>
        <v>0</v>
      </c>
      <c r="Y241" s="17">
        <f>IF(B241="","",IF(T241=0,"",SUMPRODUCT(MAX((Appointments!$E$5:$E$1204=A241)*(Appointments!$M$5:$M$1204="Completed")*Appointments!$B$5:$B$1204))))</f>
        <v>0</v>
      </c>
      <c r="Z241" s="25">
        <f>IF(B241="","",IF(Y241="","",TodayDate-Y241))</f>
        <v>0</v>
      </c>
      <c r="AA241" s="42">
        <f>IF(B241="","",SUMPRODUCT(MIN((Appointments!$E$5:$E$1204=A241)*(Appointments!$M$5:$M$1204&lt;&gt;"Cancelled")*(Appointments!$M$5:$M$1204&lt;&gt;"Completed")*(Appointments!$M$5:$M$1204&lt;&gt;"No show")*(Appointments!$B$5:$B$1204&gt;=TodayDate)*Appointments!$B$5:$B$1204+(1-(Appointments!$E$5:$E$1204=A241)*(Appointments!$M$5:$M$1204&lt;&gt;"Cancelled")*(Appointments!$M$5:$M$1204&lt;&gt;"Completed")*(Appointments!$M$5:$M$1204&lt;&gt;"No show")*(Appointments!$B$5:$B$1204&gt;=TodayDate))*2958465)))</f>
        <v>0</v>
      </c>
      <c r="AB241" s="17">
        <f>IF(B241="","",IF(AA241&gt;=2958465,"",AA241))</f>
        <v>0</v>
      </c>
      <c r="AC241" s="25">
        <f>IF(B241="","",IF(T241&lt;2,"",ROUND((Y241-X241)/MAX(1,T241-1),0)))</f>
        <v>0</v>
      </c>
      <c r="AD241" s="17">
        <f>IF(B241="","",IF(Y241="","",Y241+IF(AC241="",RebookWeeks*7,MAX(14,AC241))))</f>
        <v>0</v>
      </c>
      <c r="AE241" s="26">
        <f>IF(B241="","",ROUND(SUMIFS(Sales!$Y$5:$Y$1204,Sales!$D$5:$D$1204,A241),2))</f>
        <v>0</v>
      </c>
      <c r="AF241" s="26">
        <f>IF(B241="","",ROUND(SUMIFS(Sales!$Y$5:$Y$1204,Sales!$D$5:$D$1204,A241,Sales!$H$5:$H$1204,"Service"),2))</f>
        <v>0</v>
      </c>
      <c r="AG241" s="26">
        <f>IF(B241="","",ROUND(SUMIFS(Sales!$Y$5:$Y$1204,Sales!$D$5:$D$1204,A241,Sales!$H$5:$H$1204,"Retail"),2))</f>
        <v>0</v>
      </c>
      <c r="AH241" s="26">
        <f>IF(B241="","",ROUND(SUMIFS(Sales!$Y$5:$Y$1204,Sales!$D$5:$D$1204,A241,Sales!$B$5:$B$1204,"&gt;="&amp;TodayDate-365),2))</f>
        <v>0</v>
      </c>
      <c r="AI241" s="26">
        <f>IF(B241="","",IF(T241=0,"",ROUND(AE241/T241,2)))</f>
        <v>0</v>
      </c>
      <c r="AJ241" s="26">
        <f>IF(B241="","",IF(AI241="","",IF(AC241="","",ROUND(AI241*(365/MAX(14,AC241)),2))))</f>
        <v>0</v>
      </c>
      <c r="AK241" s="26">
        <f>IF(B241="","",ROUND(SUMIFS(Sales!$AH$5:$AH$1204,Sales!$D$5:$D$1204,A241),2))</f>
        <v>0</v>
      </c>
      <c r="AL241" s="25">
        <f>IF(B241="","",IFERROR(INDEX(Loyalty!$P$5:$P$504,MATCH(A241,Loyalty!$B$5:$B$504,0))*1,0))</f>
        <v>0</v>
      </c>
      <c r="AM241" s="39">
        <f>IF(B241="","",IF(R241="Archived","Archived",IF(T241=0,"Not been yet",IF(Z241&gt;=InactiveDays,"Inactive",IF(Z241&gt;=LapsingDays,"Lapsing",IF(T241=1,"New",IF(AH241&gt;=VipSpend,"VIP",IF(U241&gt;=4,"Regular","Active"))))))))</f>
        <v>0</v>
      </c>
      <c r="AN241" s="38">
        <f>IF(B241="","",IF(T241&gt;=2,"Yes","No"))</f>
        <v>0</v>
      </c>
      <c r="AO241" s="25">
        <f>IF(B241="","",COUNTIFS($AE$5:$AE$504,"&gt;"&amp;AE241)+COUNTIFS($AE$5:AE241,AE241))</f>
        <v>0</v>
      </c>
      <c r="AP241" s="25">
        <f>IF(B241="","",COUNTIFS($T$5:$T$504,"&gt;"&amp;T241)+COUNTIFS($T$5:T241,T241))</f>
        <v>0</v>
      </c>
      <c r="AQ241" s="39">
        <f>IF(B241="","",IF(COUNTIF($B$5:$B$504,B241)&gt;1,"Duplicate - same name twice",IF(R241="Archived","",IF(AK241&gt;0.004,"Chase - balance outstanding",IF(AM241="Inactive","Gone - win-back offer",IF(AM241="Lapsing","Chase - lapsing, call them",IF(IF(N241="",FALSE,TodayDate-N241&gt;PatchTestDays),"Due - patch test out of date",IF(IF(AD241="",FALSE,IF(AB241&lt;&gt;"",FALSE,AD241&lt;=TodayDate+14)),"Rebook - due and nothing booked",IF(IF(K241="",FALSE,ABS(DATE(YEAR(TodayDate),MONTH(K241),DAY(K241))-TodayDate)&lt;=7),"Birthday - send the treat","OK")))))))))</f>
        <v>0</v>
      </c>
    </row>
    <row r="242" spans="1:43">
      <c r="A242" s="28">
        <f>IF(B242="","",ClientPrefix&amp;TEXT(ROW()-4,"0000"))</f>
        <v>0</v>
      </c>
      <c r="J242" s="15">
        <f>IF(I242="","",IFERROR(INDEX(Staff!$B$5:$B$44,MATCH(I242,Staff!$A$5:$A$44,0)),"Not in Staff"))</f>
        <v>0</v>
      </c>
      <c r="T242" s="25">
        <f>IF(B242="","",COUNTIFS(Appointments!$E$5:$E$1204,A242,Appointments!$M$5:$M$1204,"Completed"))</f>
        <v>0</v>
      </c>
      <c r="U242" s="25">
        <f>IF(B242="","",COUNTIFS(Appointments!$E$5:$E$1204,A242,Appointments!$M$5:$M$1204,"Completed",Appointments!$B$5:$B$1204,"&gt;="&amp;TodayDate-365))</f>
        <v>0</v>
      </c>
      <c r="V242" s="25">
        <f>IF(B242="","",COUNTIFS(Appointments!$E$5:$E$1204,A242,Appointments!$M$5:$M$1204,"Cancelled"))</f>
        <v>0</v>
      </c>
      <c r="W242" s="25">
        <f>IF(B242="","",COUNTIFS(Appointments!$E$5:$E$1204,A242,Appointments!$M$5:$M$1204,"No show"))</f>
        <v>0</v>
      </c>
      <c r="X242" s="17">
        <f>IF(B242="","",IF(F242&lt;&gt;"",F242,IF(T242=0,"",SUMPRODUCT(MIN((Appointments!$E$5:$E$1204=A242)*(Appointments!$M$5:$M$1204="Completed")*Appointments!$B$5:$B$1204+(1-(Appointments!$E$5:$E$1204=A242)*(Appointments!$M$5:$M$1204="Completed"))*2958465)))))</f>
        <v>0</v>
      </c>
      <c r="Y242" s="17">
        <f>IF(B242="","",IF(T242=0,"",SUMPRODUCT(MAX((Appointments!$E$5:$E$1204=A242)*(Appointments!$M$5:$M$1204="Completed")*Appointments!$B$5:$B$1204))))</f>
        <v>0</v>
      </c>
      <c r="Z242" s="25">
        <f>IF(B242="","",IF(Y242="","",TodayDate-Y242))</f>
        <v>0</v>
      </c>
      <c r="AA242" s="42">
        <f>IF(B242="","",SUMPRODUCT(MIN((Appointments!$E$5:$E$1204=A242)*(Appointments!$M$5:$M$1204&lt;&gt;"Cancelled")*(Appointments!$M$5:$M$1204&lt;&gt;"Completed")*(Appointments!$M$5:$M$1204&lt;&gt;"No show")*(Appointments!$B$5:$B$1204&gt;=TodayDate)*Appointments!$B$5:$B$1204+(1-(Appointments!$E$5:$E$1204=A242)*(Appointments!$M$5:$M$1204&lt;&gt;"Cancelled")*(Appointments!$M$5:$M$1204&lt;&gt;"Completed")*(Appointments!$M$5:$M$1204&lt;&gt;"No show")*(Appointments!$B$5:$B$1204&gt;=TodayDate))*2958465)))</f>
        <v>0</v>
      </c>
      <c r="AB242" s="17">
        <f>IF(B242="","",IF(AA242&gt;=2958465,"",AA242))</f>
        <v>0</v>
      </c>
      <c r="AC242" s="25">
        <f>IF(B242="","",IF(T242&lt;2,"",ROUND((Y242-X242)/MAX(1,T242-1),0)))</f>
        <v>0</v>
      </c>
      <c r="AD242" s="17">
        <f>IF(B242="","",IF(Y242="","",Y242+IF(AC242="",RebookWeeks*7,MAX(14,AC242))))</f>
        <v>0</v>
      </c>
      <c r="AE242" s="26">
        <f>IF(B242="","",ROUND(SUMIFS(Sales!$Y$5:$Y$1204,Sales!$D$5:$D$1204,A242),2))</f>
        <v>0</v>
      </c>
      <c r="AF242" s="26">
        <f>IF(B242="","",ROUND(SUMIFS(Sales!$Y$5:$Y$1204,Sales!$D$5:$D$1204,A242,Sales!$H$5:$H$1204,"Service"),2))</f>
        <v>0</v>
      </c>
      <c r="AG242" s="26">
        <f>IF(B242="","",ROUND(SUMIFS(Sales!$Y$5:$Y$1204,Sales!$D$5:$D$1204,A242,Sales!$H$5:$H$1204,"Retail"),2))</f>
        <v>0</v>
      </c>
      <c r="AH242" s="26">
        <f>IF(B242="","",ROUND(SUMIFS(Sales!$Y$5:$Y$1204,Sales!$D$5:$D$1204,A242,Sales!$B$5:$B$1204,"&gt;="&amp;TodayDate-365),2))</f>
        <v>0</v>
      </c>
      <c r="AI242" s="26">
        <f>IF(B242="","",IF(T242=0,"",ROUND(AE242/T242,2)))</f>
        <v>0</v>
      </c>
      <c r="AJ242" s="26">
        <f>IF(B242="","",IF(AI242="","",IF(AC242="","",ROUND(AI242*(365/MAX(14,AC242)),2))))</f>
        <v>0</v>
      </c>
      <c r="AK242" s="26">
        <f>IF(B242="","",ROUND(SUMIFS(Sales!$AH$5:$AH$1204,Sales!$D$5:$D$1204,A242),2))</f>
        <v>0</v>
      </c>
      <c r="AL242" s="25">
        <f>IF(B242="","",IFERROR(INDEX(Loyalty!$P$5:$P$504,MATCH(A242,Loyalty!$B$5:$B$504,0))*1,0))</f>
        <v>0</v>
      </c>
      <c r="AM242" s="39">
        <f>IF(B242="","",IF(R242="Archived","Archived",IF(T242=0,"Not been yet",IF(Z242&gt;=InactiveDays,"Inactive",IF(Z242&gt;=LapsingDays,"Lapsing",IF(T242=1,"New",IF(AH242&gt;=VipSpend,"VIP",IF(U242&gt;=4,"Regular","Active"))))))))</f>
        <v>0</v>
      </c>
      <c r="AN242" s="38">
        <f>IF(B242="","",IF(T242&gt;=2,"Yes","No"))</f>
        <v>0</v>
      </c>
      <c r="AO242" s="25">
        <f>IF(B242="","",COUNTIFS($AE$5:$AE$504,"&gt;"&amp;AE242)+COUNTIFS($AE$5:AE242,AE242))</f>
        <v>0</v>
      </c>
      <c r="AP242" s="25">
        <f>IF(B242="","",COUNTIFS($T$5:$T$504,"&gt;"&amp;T242)+COUNTIFS($T$5:T242,T242))</f>
        <v>0</v>
      </c>
      <c r="AQ242" s="39">
        <f>IF(B242="","",IF(COUNTIF($B$5:$B$504,B242)&gt;1,"Duplicate - same name twice",IF(R242="Archived","",IF(AK242&gt;0.004,"Chase - balance outstanding",IF(AM242="Inactive","Gone - win-back offer",IF(AM242="Lapsing","Chase - lapsing, call them",IF(IF(N242="",FALSE,TodayDate-N242&gt;PatchTestDays),"Due - patch test out of date",IF(IF(AD242="",FALSE,IF(AB242&lt;&gt;"",FALSE,AD242&lt;=TodayDate+14)),"Rebook - due and nothing booked",IF(IF(K242="",FALSE,ABS(DATE(YEAR(TodayDate),MONTH(K242),DAY(K242))-TodayDate)&lt;=7),"Birthday - send the treat","OK")))))))))</f>
        <v>0</v>
      </c>
    </row>
    <row r="243" spans="1:43">
      <c r="A243" s="28">
        <f>IF(B243="","",ClientPrefix&amp;TEXT(ROW()-4,"0000"))</f>
        <v>0</v>
      </c>
      <c r="J243" s="15">
        <f>IF(I243="","",IFERROR(INDEX(Staff!$B$5:$B$44,MATCH(I243,Staff!$A$5:$A$44,0)),"Not in Staff"))</f>
        <v>0</v>
      </c>
      <c r="T243" s="25">
        <f>IF(B243="","",COUNTIFS(Appointments!$E$5:$E$1204,A243,Appointments!$M$5:$M$1204,"Completed"))</f>
        <v>0</v>
      </c>
      <c r="U243" s="25">
        <f>IF(B243="","",COUNTIFS(Appointments!$E$5:$E$1204,A243,Appointments!$M$5:$M$1204,"Completed",Appointments!$B$5:$B$1204,"&gt;="&amp;TodayDate-365))</f>
        <v>0</v>
      </c>
      <c r="V243" s="25">
        <f>IF(B243="","",COUNTIFS(Appointments!$E$5:$E$1204,A243,Appointments!$M$5:$M$1204,"Cancelled"))</f>
        <v>0</v>
      </c>
      <c r="W243" s="25">
        <f>IF(B243="","",COUNTIFS(Appointments!$E$5:$E$1204,A243,Appointments!$M$5:$M$1204,"No show"))</f>
        <v>0</v>
      </c>
      <c r="X243" s="17">
        <f>IF(B243="","",IF(F243&lt;&gt;"",F243,IF(T243=0,"",SUMPRODUCT(MIN((Appointments!$E$5:$E$1204=A243)*(Appointments!$M$5:$M$1204="Completed")*Appointments!$B$5:$B$1204+(1-(Appointments!$E$5:$E$1204=A243)*(Appointments!$M$5:$M$1204="Completed"))*2958465)))))</f>
        <v>0</v>
      </c>
      <c r="Y243" s="17">
        <f>IF(B243="","",IF(T243=0,"",SUMPRODUCT(MAX((Appointments!$E$5:$E$1204=A243)*(Appointments!$M$5:$M$1204="Completed")*Appointments!$B$5:$B$1204))))</f>
        <v>0</v>
      </c>
      <c r="Z243" s="25">
        <f>IF(B243="","",IF(Y243="","",TodayDate-Y243))</f>
        <v>0</v>
      </c>
      <c r="AA243" s="42">
        <f>IF(B243="","",SUMPRODUCT(MIN((Appointments!$E$5:$E$1204=A243)*(Appointments!$M$5:$M$1204&lt;&gt;"Cancelled")*(Appointments!$M$5:$M$1204&lt;&gt;"Completed")*(Appointments!$M$5:$M$1204&lt;&gt;"No show")*(Appointments!$B$5:$B$1204&gt;=TodayDate)*Appointments!$B$5:$B$1204+(1-(Appointments!$E$5:$E$1204=A243)*(Appointments!$M$5:$M$1204&lt;&gt;"Cancelled")*(Appointments!$M$5:$M$1204&lt;&gt;"Completed")*(Appointments!$M$5:$M$1204&lt;&gt;"No show")*(Appointments!$B$5:$B$1204&gt;=TodayDate))*2958465)))</f>
        <v>0</v>
      </c>
      <c r="AB243" s="17">
        <f>IF(B243="","",IF(AA243&gt;=2958465,"",AA243))</f>
        <v>0</v>
      </c>
      <c r="AC243" s="25">
        <f>IF(B243="","",IF(T243&lt;2,"",ROUND((Y243-X243)/MAX(1,T243-1),0)))</f>
        <v>0</v>
      </c>
      <c r="AD243" s="17">
        <f>IF(B243="","",IF(Y243="","",Y243+IF(AC243="",RebookWeeks*7,MAX(14,AC243))))</f>
        <v>0</v>
      </c>
      <c r="AE243" s="26">
        <f>IF(B243="","",ROUND(SUMIFS(Sales!$Y$5:$Y$1204,Sales!$D$5:$D$1204,A243),2))</f>
        <v>0</v>
      </c>
      <c r="AF243" s="26">
        <f>IF(B243="","",ROUND(SUMIFS(Sales!$Y$5:$Y$1204,Sales!$D$5:$D$1204,A243,Sales!$H$5:$H$1204,"Service"),2))</f>
        <v>0</v>
      </c>
      <c r="AG243" s="26">
        <f>IF(B243="","",ROUND(SUMIFS(Sales!$Y$5:$Y$1204,Sales!$D$5:$D$1204,A243,Sales!$H$5:$H$1204,"Retail"),2))</f>
        <v>0</v>
      </c>
      <c r="AH243" s="26">
        <f>IF(B243="","",ROUND(SUMIFS(Sales!$Y$5:$Y$1204,Sales!$D$5:$D$1204,A243,Sales!$B$5:$B$1204,"&gt;="&amp;TodayDate-365),2))</f>
        <v>0</v>
      </c>
      <c r="AI243" s="26">
        <f>IF(B243="","",IF(T243=0,"",ROUND(AE243/T243,2)))</f>
        <v>0</v>
      </c>
      <c r="AJ243" s="26">
        <f>IF(B243="","",IF(AI243="","",IF(AC243="","",ROUND(AI243*(365/MAX(14,AC243)),2))))</f>
        <v>0</v>
      </c>
      <c r="AK243" s="26">
        <f>IF(B243="","",ROUND(SUMIFS(Sales!$AH$5:$AH$1204,Sales!$D$5:$D$1204,A243),2))</f>
        <v>0</v>
      </c>
      <c r="AL243" s="25">
        <f>IF(B243="","",IFERROR(INDEX(Loyalty!$P$5:$P$504,MATCH(A243,Loyalty!$B$5:$B$504,0))*1,0))</f>
        <v>0</v>
      </c>
      <c r="AM243" s="39">
        <f>IF(B243="","",IF(R243="Archived","Archived",IF(T243=0,"Not been yet",IF(Z243&gt;=InactiveDays,"Inactive",IF(Z243&gt;=LapsingDays,"Lapsing",IF(T243=1,"New",IF(AH243&gt;=VipSpend,"VIP",IF(U243&gt;=4,"Regular","Active"))))))))</f>
        <v>0</v>
      </c>
      <c r="AN243" s="38">
        <f>IF(B243="","",IF(T243&gt;=2,"Yes","No"))</f>
        <v>0</v>
      </c>
      <c r="AO243" s="25">
        <f>IF(B243="","",COUNTIFS($AE$5:$AE$504,"&gt;"&amp;AE243)+COUNTIFS($AE$5:AE243,AE243))</f>
        <v>0</v>
      </c>
      <c r="AP243" s="25">
        <f>IF(B243="","",COUNTIFS($T$5:$T$504,"&gt;"&amp;T243)+COUNTIFS($T$5:T243,T243))</f>
        <v>0</v>
      </c>
      <c r="AQ243" s="39">
        <f>IF(B243="","",IF(COUNTIF($B$5:$B$504,B243)&gt;1,"Duplicate - same name twice",IF(R243="Archived","",IF(AK243&gt;0.004,"Chase - balance outstanding",IF(AM243="Inactive","Gone - win-back offer",IF(AM243="Lapsing","Chase - lapsing, call them",IF(IF(N243="",FALSE,TodayDate-N243&gt;PatchTestDays),"Due - patch test out of date",IF(IF(AD243="",FALSE,IF(AB243&lt;&gt;"",FALSE,AD243&lt;=TodayDate+14)),"Rebook - due and nothing booked",IF(IF(K243="",FALSE,ABS(DATE(YEAR(TodayDate),MONTH(K243),DAY(K243))-TodayDate)&lt;=7),"Birthday - send the treat","OK")))))))))</f>
        <v>0</v>
      </c>
    </row>
    <row r="244" spans="1:43">
      <c r="A244" s="28">
        <f>IF(B244="","",ClientPrefix&amp;TEXT(ROW()-4,"0000"))</f>
        <v>0</v>
      </c>
      <c r="J244" s="15">
        <f>IF(I244="","",IFERROR(INDEX(Staff!$B$5:$B$44,MATCH(I244,Staff!$A$5:$A$44,0)),"Not in Staff"))</f>
        <v>0</v>
      </c>
      <c r="T244" s="25">
        <f>IF(B244="","",COUNTIFS(Appointments!$E$5:$E$1204,A244,Appointments!$M$5:$M$1204,"Completed"))</f>
        <v>0</v>
      </c>
      <c r="U244" s="25">
        <f>IF(B244="","",COUNTIFS(Appointments!$E$5:$E$1204,A244,Appointments!$M$5:$M$1204,"Completed",Appointments!$B$5:$B$1204,"&gt;="&amp;TodayDate-365))</f>
        <v>0</v>
      </c>
      <c r="V244" s="25">
        <f>IF(B244="","",COUNTIFS(Appointments!$E$5:$E$1204,A244,Appointments!$M$5:$M$1204,"Cancelled"))</f>
        <v>0</v>
      </c>
      <c r="W244" s="25">
        <f>IF(B244="","",COUNTIFS(Appointments!$E$5:$E$1204,A244,Appointments!$M$5:$M$1204,"No show"))</f>
        <v>0</v>
      </c>
      <c r="X244" s="17">
        <f>IF(B244="","",IF(F244&lt;&gt;"",F244,IF(T244=0,"",SUMPRODUCT(MIN((Appointments!$E$5:$E$1204=A244)*(Appointments!$M$5:$M$1204="Completed")*Appointments!$B$5:$B$1204+(1-(Appointments!$E$5:$E$1204=A244)*(Appointments!$M$5:$M$1204="Completed"))*2958465)))))</f>
        <v>0</v>
      </c>
      <c r="Y244" s="17">
        <f>IF(B244="","",IF(T244=0,"",SUMPRODUCT(MAX((Appointments!$E$5:$E$1204=A244)*(Appointments!$M$5:$M$1204="Completed")*Appointments!$B$5:$B$1204))))</f>
        <v>0</v>
      </c>
      <c r="Z244" s="25">
        <f>IF(B244="","",IF(Y244="","",TodayDate-Y244))</f>
        <v>0</v>
      </c>
      <c r="AA244" s="42">
        <f>IF(B244="","",SUMPRODUCT(MIN((Appointments!$E$5:$E$1204=A244)*(Appointments!$M$5:$M$1204&lt;&gt;"Cancelled")*(Appointments!$M$5:$M$1204&lt;&gt;"Completed")*(Appointments!$M$5:$M$1204&lt;&gt;"No show")*(Appointments!$B$5:$B$1204&gt;=TodayDate)*Appointments!$B$5:$B$1204+(1-(Appointments!$E$5:$E$1204=A244)*(Appointments!$M$5:$M$1204&lt;&gt;"Cancelled")*(Appointments!$M$5:$M$1204&lt;&gt;"Completed")*(Appointments!$M$5:$M$1204&lt;&gt;"No show")*(Appointments!$B$5:$B$1204&gt;=TodayDate))*2958465)))</f>
        <v>0</v>
      </c>
      <c r="AB244" s="17">
        <f>IF(B244="","",IF(AA244&gt;=2958465,"",AA244))</f>
        <v>0</v>
      </c>
      <c r="AC244" s="25">
        <f>IF(B244="","",IF(T244&lt;2,"",ROUND((Y244-X244)/MAX(1,T244-1),0)))</f>
        <v>0</v>
      </c>
      <c r="AD244" s="17">
        <f>IF(B244="","",IF(Y244="","",Y244+IF(AC244="",RebookWeeks*7,MAX(14,AC244))))</f>
        <v>0</v>
      </c>
      <c r="AE244" s="26">
        <f>IF(B244="","",ROUND(SUMIFS(Sales!$Y$5:$Y$1204,Sales!$D$5:$D$1204,A244),2))</f>
        <v>0</v>
      </c>
      <c r="AF244" s="26">
        <f>IF(B244="","",ROUND(SUMIFS(Sales!$Y$5:$Y$1204,Sales!$D$5:$D$1204,A244,Sales!$H$5:$H$1204,"Service"),2))</f>
        <v>0</v>
      </c>
      <c r="AG244" s="26">
        <f>IF(B244="","",ROUND(SUMIFS(Sales!$Y$5:$Y$1204,Sales!$D$5:$D$1204,A244,Sales!$H$5:$H$1204,"Retail"),2))</f>
        <v>0</v>
      </c>
      <c r="AH244" s="26">
        <f>IF(B244="","",ROUND(SUMIFS(Sales!$Y$5:$Y$1204,Sales!$D$5:$D$1204,A244,Sales!$B$5:$B$1204,"&gt;="&amp;TodayDate-365),2))</f>
        <v>0</v>
      </c>
      <c r="AI244" s="26">
        <f>IF(B244="","",IF(T244=0,"",ROUND(AE244/T244,2)))</f>
        <v>0</v>
      </c>
      <c r="AJ244" s="26">
        <f>IF(B244="","",IF(AI244="","",IF(AC244="","",ROUND(AI244*(365/MAX(14,AC244)),2))))</f>
        <v>0</v>
      </c>
      <c r="AK244" s="26">
        <f>IF(B244="","",ROUND(SUMIFS(Sales!$AH$5:$AH$1204,Sales!$D$5:$D$1204,A244),2))</f>
        <v>0</v>
      </c>
      <c r="AL244" s="25">
        <f>IF(B244="","",IFERROR(INDEX(Loyalty!$P$5:$P$504,MATCH(A244,Loyalty!$B$5:$B$504,0))*1,0))</f>
        <v>0</v>
      </c>
      <c r="AM244" s="39">
        <f>IF(B244="","",IF(R244="Archived","Archived",IF(T244=0,"Not been yet",IF(Z244&gt;=InactiveDays,"Inactive",IF(Z244&gt;=LapsingDays,"Lapsing",IF(T244=1,"New",IF(AH244&gt;=VipSpend,"VIP",IF(U244&gt;=4,"Regular","Active"))))))))</f>
        <v>0</v>
      </c>
      <c r="AN244" s="38">
        <f>IF(B244="","",IF(T244&gt;=2,"Yes","No"))</f>
        <v>0</v>
      </c>
      <c r="AO244" s="25">
        <f>IF(B244="","",COUNTIFS($AE$5:$AE$504,"&gt;"&amp;AE244)+COUNTIFS($AE$5:AE244,AE244))</f>
        <v>0</v>
      </c>
      <c r="AP244" s="25">
        <f>IF(B244="","",COUNTIFS($T$5:$T$504,"&gt;"&amp;T244)+COUNTIFS($T$5:T244,T244))</f>
        <v>0</v>
      </c>
      <c r="AQ244" s="39">
        <f>IF(B244="","",IF(COUNTIF($B$5:$B$504,B244)&gt;1,"Duplicate - same name twice",IF(R244="Archived","",IF(AK244&gt;0.004,"Chase - balance outstanding",IF(AM244="Inactive","Gone - win-back offer",IF(AM244="Lapsing","Chase - lapsing, call them",IF(IF(N244="",FALSE,TodayDate-N244&gt;PatchTestDays),"Due - patch test out of date",IF(IF(AD244="",FALSE,IF(AB244&lt;&gt;"",FALSE,AD244&lt;=TodayDate+14)),"Rebook - due and nothing booked",IF(IF(K244="",FALSE,ABS(DATE(YEAR(TodayDate),MONTH(K244),DAY(K244))-TodayDate)&lt;=7),"Birthday - send the treat","OK")))))))))</f>
        <v>0</v>
      </c>
    </row>
    <row r="245" spans="1:43">
      <c r="A245" s="28">
        <f>IF(B245="","",ClientPrefix&amp;TEXT(ROW()-4,"0000"))</f>
        <v>0</v>
      </c>
      <c r="J245" s="15">
        <f>IF(I245="","",IFERROR(INDEX(Staff!$B$5:$B$44,MATCH(I245,Staff!$A$5:$A$44,0)),"Not in Staff"))</f>
        <v>0</v>
      </c>
      <c r="T245" s="25">
        <f>IF(B245="","",COUNTIFS(Appointments!$E$5:$E$1204,A245,Appointments!$M$5:$M$1204,"Completed"))</f>
        <v>0</v>
      </c>
      <c r="U245" s="25">
        <f>IF(B245="","",COUNTIFS(Appointments!$E$5:$E$1204,A245,Appointments!$M$5:$M$1204,"Completed",Appointments!$B$5:$B$1204,"&gt;="&amp;TodayDate-365))</f>
        <v>0</v>
      </c>
      <c r="V245" s="25">
        <f>IF(B245="","",COUNTIFS(Appointments!$E$5:$E$1204,A245,Appointments!$M$5:$M$1204,"Cancelled"))</f>
        <v>0</v>
      </c>
      <c r="W245" s="25">
        <f>IF(B245="","",COUNTIFS(Appointments!$E$5:$E$1204,A245,Appointments!$M$5:$M$1204,"No show"))</f>
        <v>0</v>
      </c>
      <c r="X245" s="17">
        <f>IF(B245="","",IF(F245&lt;&gt;"",F245,IF(T245=0,"",SUMPRODUCT(MIN((Appointments!$E$5:$E$1204=A245)*(Appointments!$M$5:$M$1204="Completed")*Appointments!$B$5:$B$1204+(1-(Appointments!$E$5:$E$1204=A245)*(Appointments!$M$5:$M$1204="Completed"))*2958465)))))</f>
        <v>0</v>
      </c>
      <c r="Y245" s="17">
        <f>IF(B245="","",IF(T245=0,"",SUMPRODUCT(MAX((Appointments!$E$5:$E$1204=A245)*(Appointments!$M$5:$M$1204="Completed")*Appointments!$B$5:$B$1204))))</f>
        <v>0</v>
      </c>
      <c r="Z245" s="25">
        <f>IF(B245="","",IF(Y245="","",TodayDate-Y245))</f>
        <v>0</v>
      </c>
      <c r="AA245" s="42">
        <f>IF(B245="","",SUMPRODUCT(MIN((Appointments!$E$5:$E$1204=A245)*(Appointments!$M$5:$M$1204&lt;&gt;"Cancelled")*(Appointments!$M$5:$M$1204&lt;&gt;"Completed")*(Appointments!$M$5:$M$1204&lt;&gt;"No show")*(Appointments!$B$5:$B$1204&gt;=TodayDate)*Appointments!$B$5:$B$1204+(1-(Appointments!$E$5:$E$1204=A245)*(Appointments!$M$5:$M$1204&lt;&gt;"Cancelled")*(Appointments!$M$5:$M$1204&lt;&gt;"Completed")*(Appointments!$M$5:$M$1204&lt;&gt;"No show")*(Appointments!$B$5:$B$1204&gt;=TodayDate))*2958465)))</f>
        <v>0</v>
      </c>
      <c r="AB245" s="17">
        <f>IF(B245="","",IF(AA245&gt;=2958465,"",AA245))</f>
        <v>0</v>
      </c>
      <c r="AC245" s="25">
        <f>IF(B245="","",IF(T245&lt;2,"",ROUND((Y245-X245)/MAX(1,T245-1),0)))</f>
        <v>0</v>
      </c>
      <c r="AD245" s="17">
        <f>IF(B245="","",IF(Y245="","",Y245+IF(AC245="",RebookWeeks*7,MAX(14,AC245))))</f>
        <v>0</v>
      </c>
      <c r="AE245" s="26">
        <f>IF(B245="","",ROUND(SUMIFS(Sales!$Y$5:$Y$1204,Sales!$D$5:$D$1204,A245),2))</f>
        <v>0</v>
      </c>
      <c r="AF245" s="26">
        <f>IF(B245="","",ROUND(SUMIFS(Sales!$Y$5:$Y$1204,Sales!$D$5:$D$1204,A245,Sales!$H$5:$H$1204,"Service"),2))</f>
        <v>0</v>
      </c>
      <c r="AG245" s="26">
        <f>IF(B245="","",ROUND(SUMIFS(Sales!$Y$5:$Y$1204,Sales!$D$5:$D$1204,A245,Sales!$H$5:$H$1204,"Retail"),2))</f>
        <v>0</v>
      </c>
      <c r="AH245" s="26">
        <f>IF(B245="","",ROUND(SUMIFS(Sales!$Y$5:$Y$1204,Sales!$D$5:$D$1204,A245,Sales!$B$5:$B$1204,"&gt;="&amp;TodayDate-365),2))</f>
        <v>0</v>
      </c>
      <c r="AI245" s="26">
        <f>IF(B245="","",IF(T245=0,"",ROUND(AE245/T245,2)))</f>
        <v>0</v>
      </c>
      <c r="AJ245" s="26">
        <f>IF(B245="","",IF(AI245="","",IF(AC245="","",ROUND(AI245*(365/MAX(14,AC245)),2))))</f>
        <v>0</v>
      </c>
      <c r="AK245" s="26">
        <f>IF(B245="","",ROUND(SUMIFS(Sales!$AH$5:$AH$1204,Sales!$D$5:$D$1204,A245),2))</f>
        <v>0</v>
      </c>
      <c r="AL245" s="25">
        <f>IF(B245="","",IFERROR(INDEX(Loyalty!$P$5:$P$504,MATCH(A245,Loyalty!$B$5:$B$504,0))*1,0))</f>
        <v>0</v>
      </c>
      <c r="AM245" s="39">
        <f>IF(B245="","",IF(R245="Archived","Archived",IF(T245=0,"Not been yet",IF(Z245&gt;=InactiveDays,"Inactive",IF(Z245&gt;=LapsingDays,"Lapsing",IF(T245=1,"New",IF(AH245&gt;=VipSpend,"VIP",IF(U245&gt;=4,"Regular","Active"))))))))</f>
        <v>0</v>
      </c>
      <c r="AN245" s="38">
        <f>IF(B245="","",IF(T245&gt;=2,"Yes","No"))</f>
        <v>0</v>
      </c>
      <c r="AO245" s="25">
        <f>IF(B245="","",COUNTIFS($AE$5:$AE$504,"&gt;"&amp;AE245)+COUNTIFS($AE$5:AE245,AE245))</f>
        <v>0</v>
      </c>
      <c r="AP245" s="25">
        <f>IF(B245="","",COUNTIFS($T$5:$T$504,"&gt;"&amp;T245)+COUNTIFS($T$5:T245,T245))</f>
        <v>0</v>
      </c>
      <c r="AQ245" s="39">
        <f>IF(B245="","",IF(COUNTIF($B$5:$B$504,B245)&gt;1,"Duplicate - same name twice",IF(R245="Archived","",IF(AK245&gt;0.004,"Chase - balance outstanding",IF(AM245="Inactive","Gone - win-back offer",IF(AM245="Lapsing","Chase - lapsing, call them",IF(IF(N245="",FALSE,TodayDate-N245&gt;PatchTestDays),"Due - patch test out of date",IF(IF(AD245="",FALSE,IF(AB245&lt;&gt;"",FALSE,AD245&lt;=TodayDate+14)),"Rebook - due and nothing booked",IF(IF(K245="",FALSE,ABS(DATE(YEAR(TodayDate),MONTH(K245),DAY(K245))-TodayDate)&lt;=7),"Birthday - send the treat","OK")))))))))</f>
        <v>0</v>
      </c>
    </row>
    <row r="246" spans="1:43">
      <c r="A246" s="28">
        <f>IF(B246="","",ClientPrefix&amp;TEXT(ROW()-4,"0000"))</f>
        <v>0</v>
      </c>
      <c r="J246" s="15">
        <f>IF(I246="","",IFERROR(INDEX(Staff!$B$5:$B$44,MATCH(I246,Staff!$A$5:$A$44,0)),"Not in Staff"))</f>
        <v>0</v>
      </c>
      <c r="T246" s="25">
        <f>IF(B246="","",COUNTIFS(Appointments!$E$5:$E$1204,A246,Appointments!$M$5:$M$1204,"Completed"))</f>
        <v>0</v>
      </c>
      <c r="U246" s="25">
        <f>IF(B246="","",COUNTIFS(Appointments!$E$5:$E$1204,A246,Appointments!$M$5:$M$1204,"Completed",Appointments!$B$5:$B$1204,"&gt;="&amp;TodayDate-365))</f>
        <v>0</v>
      </c>
      <c r="V246" s="25">
        <f>IF(B246="","",COUNTIFS(Appointments!$E$5:$E$1204,A246,Appointments!$M$5:$M$1204,"Cancelled"))</f>
        <v>0</v>
      </c>
      <c r="W246" s="25">
        <f>IF(B246="","",COUNTIFS(Appointments!$E$5:$E$1204,A246,Appointments!$M$5:$M$1204,"No show"))</f>
        <v>0</v>
      </c>
      <c r="X246" s="17">
        <f>IF(B246="","",IF(F246&lt;&gt;"",F246,IF(T246=0,"",SUMPRODUCT(MIN((Appointments!$E$5:$E$1204=A246)*(Appointments!$M$5:$M$1204="Completed")*Appointments!$B$5:$B$1204+(1-(Appointments!$E$5:$E$1204=A246)*(Appointments!$M$5:$M$1204="Completed"))*2958465)))))</f>
        <v>0</v>
      </c>
      <c r="Y246" s="17">
        <f>IF(B246="","",IF(T246=0,"",SUMPRODUCT(MAX((Appointments!$E$5:$E$1204=A246)*(Appointments!$M$5:$M$1204="Completed")*Appointments!$B$5:$B$1204))))</f>
        <v>0</v>
      </c>
      <c r="Z246" s="25">
        <f>IF(B246="","",IF(Y246="","",TodayDate-Y246))</f>
        <v>0</v>
      </c>
      <c r="AA246" s="42">
        <f>IF(B246="","",SUMPRODUCT(MIN((Appointments!$E$5:$E$1204=A246)*(Appointments!$M$5:$M$1204&lt;&gt;"Cancelled")*(Appointments!$M$5:$M$1204&lt;&gt;"Completed")*(Appointments!$M$5:$M$1204&lt;&gt;"No show")*(Appointments!$B$5:$B$1204&gt;=TodayDate)*Appointments!$B$5:$B$1204+(1-(Appointments!$E$5:$E$1204=A246)*(Appointments!$M$5:$M$1204&lt;&gt;"Cancelled")*(Appointments!$M$5:$M$1204&lt;&gt;"Completed")*(Appointments!$M$5:$M$1204&lt;&gt;"No show")*(Appointments!$B$5:$B$1204&gt;=TodayDate))*2958465)))</f>
        <v>0</v>
      </c>
      <c r="AB246" s="17">
        <f>IF(B246="","",IF(AA246&gt;=2958465,"",AA246))</f>
        <v>0</v>
      </c>
      <c r="AC246" s="25">
        <f>IF(B246="","",IF(T246&lt;2,"",ROUND((Y246-X246)/MAX(1,T246-1),0)))</f>
        <v>0</v>
      </c>
      <c r="AD246" s="17">
        <f>IF(B246="","",IF(Y246="","",Y246+IF(AC246="",RebookWeeks*7,MAX(14,AC246))))</f>
        <v>0</v>
      </c>
      <c r="AE246" s="26">
        <f>IF(B246="","",ROUND(SUMIFS(Sales!$Y$5:$Y$1204,Sales!$D$5:$D$1204,A246),2))</f>
        <v>0</v>
      </c>
      <c r="AF246" s="26">
        <f>IF(B246="","",ROUND(SUMIFS(Sales!$Y$5:$Y$1204,Sales!$D$5:$D$1204,A246,Sales!$H$5:$H$1204,"Service"),2))</f>
        <v>0</v>
      </c>
      <c r="AG246" s="26">
        <f>IF(B246="","",ROUND(SUMIFS(Sales!$Y$5:$Y$1204,Sales!$D$5:$D$1204,A246,Sales!$H$5:$H$1204,"Retail"),2))</f>
        <v>0</v>
      </c>
      <c r="AH246" s="26">
        <f>IF(B246="","",ROUND(SUMIFS(Sales!$Y$5:$Y$1204,Sales!$D$5:$D$1204,A246,Sales!$B$5:$B$1204,"&gt;="&amp;TodayDate-365),2))</f>
        <v>0</v>
      </c>
      <c r="AI246" s="26">
        <f>IF(B246="","",IF(T246=0,"",ROUND(AE246/T246,2)))</f>
        <v>0</v>
      </c>
      <c r="AJ246" s="26">
        <f>IF(B246="","",IF(AI246="","",IF(AC246="","",ROUND(AI246*(365/MAX(14,AC246)),2))))</f>
        <v>0</v>
      </c>
      <c r="AK246" s="26">
        <f>IF(B246="","",ROUND(SUMIFS(Sales!$AH$5:$AH$1204,Sales!$D$5:$D$1204,A246),2))</f>
        <v>0</v>
      </c>
      <c r="AL246" s="25">
        <f>IF(B246="","",IFERROR(INDEX(Loyalty!$P$5:$P$504,MATCH(A246,Loyalty!$B$5:$B$504,0))*1,0))</f>
        <v>0</v>
      </c>
      <c r="AM246" s="39">
        <f>IF(B246="","",IF(R246="Archived","Archived",IF(T246=0,"Not been yet",IF(Z246&gt;=InactiveDays,"Inactive",IF(Z246&gt;=LapsingDays,"Lapsing",IF(T246=1,"New",IF(AH246&gt;=VipSpend,"VIP",IF(U246&gt;=4,"Regular","Active"))))))))</f>
        <v>0</v>
      </c>
      <c r="AN246" s="38">
        <f>IF(B246="","",IF(T246&gt;=2,"Yes","No"))</f>
        <v>0</v>
      </c>
      <c r="AO246" s="25">
        <f>IF(B246="","",COUNTIFS($AE$5:$AE$504,"&gt;"&amp;AE246)+COUNTIFS($AE$5:AE246,AE246))</f>
        <v>0</v>
      </c>
      <c r="AP246" s="25">
        <f>IF(B246="","",COUNTIFS($T$5:$T$504,"&gt;"&amp;T246)+COUNTIFS($T$5:T246,T246))</f>
        <v>0</v>
      </c>
      <c r="AQ246" s="39">
        <f>IF(B246="","",IF(COUNTIF($B$5:$B$504,B246)&gt;1,"Duplicate - same name twice",IF(R246="Archived","",IF(AK246&gt;0.004,"Chase - balance outstanding",IF(AM246="Inactive","Gone - win-back offer",IF(AM246="Lapsing","Chase - lapsing, call them",IF(IF(N246="",FALSE,TodayDate-N246&gt;PatchTestDays),"Due - patch test out of date",IF(IF(AD246="",FALSE,IF(AB246&lt;&gt;"",FALSE,AD246&lt;=TodayDate+14)),"Rebook - due and nothing booked",IF(IF(K246="",FALSE,ABS(DATE(YEAR(TodayDate),MONTH(K246),DAY(K246))-TodayDate)&lt;=7),"Birthday - send the treat","OK")))))))))</f>
        <v>0</v>
      </c>
    </row>
    <row r="247" spans="1:43">
      <c r="A247" s="28">
        <f>IF(B247="","",ClientPrefix&amp;TEXT(ROW()-4,"0000"))</f>
        <v>0</v>
      </c>
      <c r="J247" s="15">
        <f>IF(I247="","",IFERROR(INDEX(Staff!$B$5:$B$44,MATCH(I247,Staff!$A$5:$A$44,0)),"Not in Staff"))</f>
        <v>0</v>
      </c>
      <c r="T247" s="25">
        <f>IF(B247="","",COUNTIFS(Appointments!$E$5:$E$1204,A247,Appointments!$M$5:$M$1204,"Completed"))</f>
        <v>0</v>
      </c>
      <c r="U247" s="25">
        <f>IF(B247="","",COUNTIFS(Appointments!$E$5:$E$1204,A247,Appointments!$M$5:$M$1204,"Completed",Appointments!$B$5:$B$1204,"&gt;="&amp;TodayDate-365))</f>
        <v>0</v>
      </c>
      <c r="V247" s="25">
        <f>IF(B247="","",COUNTIFS(Appointments!$E$5:$E$1204,A247,Appointments!$M$5:$M$1204,"Cancelled"))</f>
        <v>0</v>
      </c>
      <c r="W247" s="25">
        <f>IF(B247="","",COUNTIFS(Appointments!$E$5:$E$1204,A247,Appointments!$M$5:$M$1204,"No show"))</f>
        <v>0</v>
      </c>
      <c r="X247" s="17">
        <f>IF(B247="","",IF(F247&lt;&gt;"",F247,IF(T247=0,"",SUMPRODUCT(MIN((Appointments!$E$5:$E$1204=A247)*(Appointments!$M$5:$M$1204="Completed")*Appointments!$B$5:$B$1204+(1-(Appointments!$E$5:$E$1204=A247)*(Appointments!$M$5:$M$1204="Completed"))*2958465)))))</f>
        <v>0</v>
      </c>
      <c r="Y247" s="17">
        <f>IF(B247="","",IF(T247=0,"",SUMPRODUCT(MAX((Appointments!$E$5:$E$1204=A247)*(Appointments!$M$5:$M$1204="Completed")*Appointments!$B$5:$B$1204))))</f>
        <v>0</v>
      </c>
      <c r="Z247" s="25">
        <f>IF(B247="","",IF(Y247="","",TodayDate-Y247))</f>
        <v>0</v>
      </c>
      <c r="AA247" s="42">
        <f>IF(B247="","",SUMPRODUCT(MIN((Appointments!$E$5:$E$1204=A247)*(Appointments!$M$5:$M$1204&lt;&gt;"Cancelled")*(Appointments!$M$5:$M$1204&lt;&gt;"Completed")*(Appointments!$M$5:$M$1204&lt;&gt;"No show")*(Appointments!$B$5:$B$1204&gt;=TodayDate)*Appointments!$B$5:$B$1204+(1-(Appointments!$E$5:$E$1204=A247)*(Appointments!$M$5:$M$1204&lt;&gt;"Cancelled")*(Appointments!$M$5:$M$1204&lt;&gt;"Completed")*(Appointments!$M$5:$M$1204&lt;&gt;"No show")*(Appointments!$B$5:$B$1204&gt;=TodayDate))*2958465)))</f>
        <v>0</v>
      </c>
      <c r="AB247" s="17">
        <f>IF(B247="","",IF(AA247&gt;=2958465,"",AA247))</f>
        <v>0</v>
      </c>
      <c r="AC247" s="25">
        <f>IF(B247="","",IF(T247&lt;2,"",ROUND((Y247-X247)/MAX(1,T247-1),0)))</f>
        <v>0</v>
      </c>
      <c r="AD247" s="17">
        <f>IF(B247="","",IF(Y247="","",Y247+IF(AC247="",RebookWeeks*7,MAX(14,AC247))))</f>
        <v>0</v>
      </c>
      <c r="AE247" s="26">
        <f>IF(B247="","",ROUND(SUMIFS(Sales!$Y$5:$Y$1204,Sales!$D$5:$D$1204,A247),2))</f>
        <v>0</v>
      </c>
      <c r="AF247" s="26">
        <f>IF(B247="","",ROUND(SUMIFS(Sales!$Y$5:$Y$1204,Sales!$D$5:$D$1204,A247,Sales!$H$5:$H$1204,"Service"),2))</f>
        <v>0</v>
      </c>
      <c r="AG247" s="26">
        <f>IF(B247="","",ROUND(SUMIFS(Sales!$Y$5:$Y$1204,Sales!$D$5:$D$1204,A247,Sales!$H$5:$H$1204,"Retail"),2))</f>
        <v>0</v>
      </c>
      <c r="AH247" s="26">
        <f>IF(B247="","",ROUND(SUMIFS(Sales!$Y$5:$Y$1204,Sales!$D$5:$D$1204,A247,Sales!$B$5:$B$1204,"&gt;="&amp;TodayDate-365),2))</f>
        <v>0</v>
      </c>
      <c r="AI247" s="26">
        <f>IF(B247="","",IF(T247=0,"",ROUND(AE247/T247,2)))</f>
        <v>0</v>
      </c>
      <c r="AJ247" s="26">
        <f>IF(B247="","",IF(AI247="","",IF(AC247="","",ROUND(AI247*(365/MAX(14,AC247)),2))))</f>
        <v>0</v>
      </c>
      <c r="AK247" s="26">
        <f>IF(B247="","",ROUND(SUMIFS(Sales!$AH$5:$AH$1204,Sales!$D$5:$D$1204,A247),2))</f>
        <v>0</v>
      </c>
      <c r="AL247" s="25">
        <f>IF(B247="","",IFERROR(INDEX(Loyalty!$P$5:$P$504,MATCH(A247,Loyalty!$B$5:$B$504,0))*1,0))</f>
        <v>0</v>
      </c>
      <c r="AM247" s="39">
        <f>IF(B247="","",IF(R247="Archived","Archived",IF(T247=0,"Not been yet",IF(Z247&gt;=InactiveDays,"Inactive",IF(Z247&gt;=LapsingDays,"Lapsing",IF(T247=1,"New",IF(AH247&gt;=VipSpend,"VIP",IF(U247&gt;=4,"Regular","Active"))))))))</f>
        <v>0</v>
      </c>
      <c r="AN247" s="38">
        <f>IF(B247="","",IF(T247&gt;=2,"Yes","No"))</f>
        <v>0</v>
      </c>
      <c r="AO247" s="25">
        <f>IF(B247="","",COUNTIFS($AE$5:$AE$504,"&gt;"&amp;AE247)+COUNTIFS($AE$5:AE247,AE247))</f>
        <v>0</v>
      </c>
      <c r="AP247" s="25">
        <f>IF(B247="","",COUNTIFS($T$5:$T$504,"&gt;"&amp;T247)+COUNTIFS($T$5:T247,T247))</f>
        <v>0</v>
      </c>
      <c r="AQ247" s="39">
        <f>IF(B247="","",IF(COUNTIF($B$5:$B$504,B247)&gt;1,"Duplicate - same name twice",IF(R247="Archived","",IF(AK247&gt;0.004,"Chase - balance outstanding",IF(AM247="Inactive","Gone - win-back offer",IF(AM247="Lapsing","Chase - lapsing, call them",IF(IF(N247="",FALSE,TodayDate-N247&gt;PatchTestDays),"Due - patch test out of date",IF(IF(AD247="",FALSE,IF(AB247&lt;&gt;"",FALSE,AD247&lt;=TodayDate+14)),"Rebook - due and nothing booked",IF(IF(K247="",FALSE,ABS(DATE(YEAR(TodayDate),MONTH(K247),DAY(K247))-TodayDate)&lt;=7),"Birthday - send the treat","OK")))))))))</f>
        <v>0</v>
      </c>
    </row>
    <row r="248" spans="1:43">
      <c r="A248" s="28">
        <f>IF(B248="","",ClientPrefix&amp;TEXT(ROW()-4,"0000"))</f>
        <v>0</v>
      </c>
      <c r="J248" s="15">
        <f>IF(I248="","",IFERROR(INDEX(Staff!$B$5:$B$44,MATCH(I248,Staff!$A$5:$A$44,0)),"Not in Staff"))</f>
        <v>0</v>
      </c>
      <c r="T248" s="25">
        <f>IF(B248="","",COUNTIFS(Appointments!$E$5:$E$1204,A248,Appointments!$M$5:$M$1204,"Completed"))</f>
        <v>0</v>
      </c>
      <c r="U248" s="25">
        <f>IF(B248="","",COUNTIFS(Appointments!$E$5:$E$1204,A248,Appointments!$M$5:$M$1204,"Completed",Appointments!$B$5:$B$1204,"&gt;="&amp;TodayDate-365))</f>
        <v>0</v>
      </c>
      <c r="V248" s="25">
        <f>IF(B248="","",COUNTIFS(Appointments!$E$5:$E$1204,A248,Appointments!$M$5:$M$1204,"Cancelled"))</f>
        <v>0</v>
      </c>
      <c r="W248" s="25">
        <f>IF(B248="","",COUNTIFS(Appointments!$E$5:$E$1204,A248,Appointments!$M$5:$M$1204,"No show"))</f>
        <v>0</v>
      </c>
      <c r="X248" s="17">
        <f>IF(B248="","",IF(F248&lt;&gt;"",F248,IF(T248=0,"",SUMPRODUCT(MIN((Appointments!$E$5:$E$1204=A248)*(Appointments!$M$5:$M$1204="Completed")*Appointments!$B$5:$B$1204+(1-(Appointments!$E$5:$E$1204=A248)*(Appointments!$M$5:$M$1204="Completed"))*2958465)))))</f>
        <v>0</v>
      </c>
      <c r="Y248" s="17">
        <f>IF(B248="","",IF(T248=0,"",SUMPRODUCT(MAX((Appointments!$E$5:$E$1204=A248)*(Appointments!$M$5:$M$1204="Completed")*Appointments!$B$5:$B$1204))))</f>
        <v>0</v>
      </c>
      <c r="Z248" s="25">
        <f>IF(B248="","",IF(Y248="","",TodayDate-Y248))</f>
        <v>0</v>
      </c>
      <c r="AA248" s="42">
        <f>IF(B248="","",SUMPRODUCT(MIN((Appointments!$E$5:$E$1204=A248)*(Appointments!$M$5:$M$1204&lt;&gt;"Cancelled")*(Appointments!$M$5:$M$1204&lt;&gt;"Completed")*(Appointments!$M$5:$M$1204&lt;&gt;"No show")*(Appointments!$B$5:$B$1204&gt;=TodayDate)*Appointments!$B$5:$B$1204+(1-(Appointments!$E$5:$E$1204=A248)*(Appointments!$M$5:$M$1204&lt;&gt;"Cancelled")*(Appointments!$M$5:$M$1204&lt;&gt;"Completed")*(Appointments!$M$5:$M$1204&lt;&gt;"No show")*(Appointments!$B$5:$B$1204&gt;=TodayDate))*2958465)))</f>
        <v>0</v>
      </c>
      <c r="AB248" s="17">
        <f>IF(B248="","",IF(AA248&gt;=2958465,"",AA248))</f>
        <v>0</v>
      </c>
      <c r="AC248" s="25">
        <f>IF(B248="","",IF(T248&lt;2,"",ROUND((Y248-X248)/MAX(1,T248-1),0)))</f>
        <v>0</v>
      </c>
      <c r="AD248" s="17">
        <f>IF(B248="","",IF(Y248="","",Y248+IF(AC248="",RebookWeeks*7,MAX(14,AC248))))</f>
        <v>0</v>
      </c>
      <c r="AE248" s="26">
        <f>IF(B248="","",ROUND(SUMIFS(Sales!$Y$5:$Y$1204,Sales!$D$5:$D$1204,A248),2))</f>
        <v>0</v>
      </c>
      <c r="AF248" s="26">
        <f>IF(B248="","",ROUND(SUMIFS(Sales!$Y$5:$Y$1204,Sales!$D$5:$D$1204,A248,Sales!$H$5:$H$1204,"Service"),2))</f>
        <v>0</v>
      </c>
      <c r="AG248" s="26">
        <f>IF(B248="","",ROUND(SUMIFS(Sales!$Y$5:$Y$1204,Sales!$D$5:$D$1204,A248,Sales!$H$5:$H$1204,"Retail"),2))</f>
        <v>0</v>
      </c>
      <c r="AH248" s="26">
        <f>IF(B248="","",ROUND(SUMIFS(Sales!$Y$5:$Y$1204,Sales!$D$5:$D$1204,A248,Sales!$B$5:$B$1204,"&gt;="&amp;TodayDate-365),2))</f>
        <v>0</v>
      </c>
      <c r="AI248" s="26">
        <f>IF(B248="","",IF(T248=0,"",ROUND(AE248/T248,2)))</f>
        <v>0</v>
      </c>
      <c r="AJ248" s="26">
        <f>IF(B248="","",IF(AI248="","",IF(AC248="","",ROUND(AI248*(365/MAX(14,AC248)),2))))</f>
        <v>0</v>
      </c>
      <c r="AK248" s="26">
        <f>IF(B248="","",ROUND(SUMIFS(Sales!$AH$5:$AH$1204,Sales!$D$5:$D$1204,A248),2))</f>
        <v>0</v>
      </c>
      <c r="AL248" s="25">
        <f>IF(B248="","",IFERROR(INDEX(Loyalty!$P$5:$P$504,MATCH(A248,Loyalty!$B$5:$B$504,0))*1,0))</f>
        <v>0</v>
      </c>
      <c r="AM248" s="39">
        <f>IF(B248="","",IF(R248="Archived","Archived",IF(T248=0,"Not been yet",IF(Z248&gt;=InactiveDays,"Inactive",IF(Z248&gt;=LapsingDays,"Lapsing",IF(T248=1,"New",IF(AH248&gt;=VipSpend,"VIP",IF(U248&gt;=4,"Regular","Active"))))))))</f>
        <v>0</v>
      </c>
      <c r="AN248" s="38">
        <f>IF(B248="","",IF(T248&gt;=2,"Yes","No"))</f>
        <v>0</v>
      </c>
      <c r="AO248" s="25">
        <f>IF(B248="","",COUNTIFS($AE$5:$AE$504,"&gt;"&amp;AE248)+COUNTIFS($AE$5:AE248,AE248))</f>
        <v>0</v>
      </c>
      <c r="AP248" s="25">
        <f>IF(B248="","",COUNTIFS($T$5:$T$504,"&gt;"&amp;T248)+COUNTIFS($T$5:T248,T248))</f>
        <v>0</v>
      </c>
      <c r="AQ248" s="39">
        <f>IF(B248="","",IF(COUNTIF($B$5:$B$504,B248)&gt;1,"Duplicate - same name twice",IF(R248="Archived","",IF(AK248&gt;0.004,"Chase - balance outstanding",IF(AM248="Inactive","Gone - win-back offer",IF(AM248="Lapsing","Chase - lapsing, call them",IF(IF(N248="",FALSE,TodayDate-N248&gt;PatchTestDays),"Due - patch test out of date",IF(IF(AD248="",FALSE,IF(AB248&lt;&gt;"",FALSE,AD248&lt;=TodayDate+14)),"Rebook - due and nothing booked",IF(IF(K248="",FALSE,ABS(DATE(YEAR(TodayDate),MONTH(K248),DAY(K248))-TodayDate)&lt;=7),"Birthday - send the treat","OK")))))))))</f>
        <v>0</v>
      </c>
    </row>
    <row r="249" spans="1:43">
      <c r="A249" s="28">
        <f>IF(B249="","",ClientPrefix&amp;TEXT(ROW()-4,"0000"))</f>
        <v>0</v>
      </c>
      <c r="J249" s="15">
        <f>IF(I249="","",IFERROR(INDEX(Staff!$B$5:$B$44,MATCH(I249,Staff!$A$5:$A$44,0)),"Not in Staff"))</f>
        <v>0</v>
      </c>
      <c r="T249" s="25">
        <f>IF(B249="","",COUNTIFS(Appointments!$E$5:$E$1204,A249,Appointments!$M$5:$M$1204,"Completed"))</f>
        <v>0</v>
      </c>
      <c r="U249" s="25">
        <f>IF(B249="","",COUNTIFS(Appointments!$E$5:$E$1204,A249,Appointments!$M$5:$M$1204,"Completed",Appointments!$B$5:$B$1204,"&gt;="&amp;TodayDate-365))</f>
        <v>0</v>
      </c>
      <c r="V249" s="25">
        <f>IF(B249="","",COUNTIFS(Appointments!$E$5:$E$1204,A249,Appointments!$M$5:$M$1204,"Cancelled"))</f>
        <v>0</v>
      </c>
      <c r="W249" s="25">
        <f>IF(B249="","",COUNTIFS(Appointments!$E$5:$E$1204,A249,Appointments!$M$5:$M$1204,"No show"))</f>
        <v>0</v>
      </c>
      <c r="X249" s="17">
        <f>IF(B249="","",IF(F249&lt;&gt;"",F249,IF(T249=0,"",SUMPRODUCT(MIN((Appointments!$E$5:$E$1204=A249)*(Appointments!$M$5:$M$1204="Completed")*Appointments!$B$5:$B$1204+(1-(Appointments!$E$5:$E$1204=A249)*(Appointments!$M$5:$M$1204="Completed"))*2958465)))))</f>
        <v>0</v>
      </c>
      <c r="Y249" s="17">
        <f>IF(B249="","",IF(T249=0,"",SUMPRODUCT(MAX((Appointments!$E$5:$E$1204=A249)*(Appointments!$M$5:$M$1204="Completed")*Appointments!$B$5:$B$1204))))</f>
        <v>0</v>
      </c>
      <c r="Z249" s="25">
        <f>IF(B249="","",IF(Y249="","",TodayDate-Y249))</f>
        <v>0</v>
      </c>
      <c r="AA249" s="42">
        <f>IF(B249="","",SUMPRODUCT(MIN((Appointments!$E$5:$E$1204=A249)*(Appointments!$M$5:$M$1204&lt;&gt;"Cancelled")*(Appointments!$M$5:$M$1204&lt;&gt;"Completed")*(Appointments!$M$5:$M$1204&lt;&gt;"No show")*(Appointments!$B$5:$B$1204&gt;=TodayDate)*Appointments!$B$5:$B$1204+(1-(Appointments!$E$5:$E$1204=A249)*(Appointments!$M$5:$M$1204&lt;&gt;"Cancelled")*(Appointments!$M$5:$M$1204&lt;&gt;"Completed")*(Appointments!$M$5:$M$1204&lt;&gt;"No show")*(Appointments!$B$5:$B$1204&gt;=TodayDate))*2958465)))</f>
        <v>0</v>
      </c>
      <c r="AB249" s="17">
        <f>IF(B249="","",IF(AA249&gt;=2958465,"",AA249))</f>
        <v>0</v>
      </c>
      <c r="AC249" s="25">
        <f>IF(B249="","",IF(T249&lt;2,"",ROUND((Y249-X249)/MAX(1,T249-1),0)))</f>
        <v>0</v>
      </c>
      <c r="AD249" s="17">
        <f>IF(B249="","",IF(Y249="","",Y249+IF(AC249="",RebookWeeks*7,MAX(14,AC249))))</f>
        <v>0</v>
      </c>
      <c r="AE249" s="26">
        <f>IF(B249="","",ROUND(SUMIFS(Sales!$Y$5:$Y$1204,Sales!$D$5:$D$1204,A249),2))</f>
        <v>0</v>
      </c>
      <c r="AF249" s="26">
        <f>IF(B249="","",ROUND(SUMIFS(Sales!$Y$5:$Y$1204,Sales!$D$5:$D$1204,A249,Sales!$H$5:$H$1204,"Service"),2))</f>
        <v>0</v>
      </c>
      <c r="AG249" s="26">
        <f>IF(B249="","",ROUND(SUMIFS(Sales!$Y$5:$Y$1204,Sales!$D$5:$D$1204,A249,Sales!$H$5:$H$1204,"Retail"),2))</f>
        <v>0</v>
      </c>
      <c r="AH249" s="26">
        <f>IF(B249="","",ROUND(SUMIFS(Sales!$Y$5:$Y$1204,Sales!$D$5:$D$1204,A249,Sales!$B$5:$B$1204,"&gt;="&amp;TodayDate-365),2))</f>
        <v>0</v>
      </c>
      <c r="AI249" s="26">
        <f>IF(B249="","",IF(T249=0,"",ROUND(AE249/T249,2)))</f>
        <v>0</v>
      </c>
      <c r="AJ249" s="26">
        <f>IF(B249="","",IF(AI249="","",IF(AC249="","",ROUND(AI249*(365/MAX(14,AC249)),2))))</f>
        <v>0</v>
      </c>
      <c r="AK249" s="26">
        <f>IF(B249="","",ROUND(SUMIFS(Sales!$AH$5:$AH$1204,Sales!$D$5:$D$1204,A249),2))</f>
        <v>0</v>
      </c>
      <c r="AL249" s="25">
        <f>IF(B249="","",IFERROR(INDEX(Loyalty!$P$5:$P$504,MATCH(A249,Loyalty!$B$5:$B$504,0))*1,0))</f>
        <v>0</v>
      </c>
      <c r="AM249" s="39">
        <f>IF(B249="","",IF(R249="Archived","Archived",IF(T249=0,"Not been yet",IF(Z249&gt;=InactiveDays,"Inactive",IF(Z249&gt;=LapsingDays,"Lapsing",IF(T249=1,"New",IF(AH249&gt;=VipSpend,"VIP",IF(U249&gt;=4,"Regular","Active"))))))))</f>
        <v>0</v>
      </c>
      <c r="AN249" s="38">
        <f>IF(B249="","",IF(T249&gt;=2,"Yes","No"))</f>
        <v>0</v>
      </c>
      <c r="AO249" s="25">
        <f>IF(B249="","",COUNTIFS($AE$5:$AE$504,"&gt;"&amp;AE249)+COUNTIFS($AE$5:AE249,AE249))</f>
        <v>0</v>
      </c>
      <c r="AP249" s="25">
        <f>IF(B249="","",COUNTIFS($T$5:$T$504,"&gt;"&amp;T249)+COUNTIFS($T$5:T249,T249))</f>
        <v>0</v>
      </c>
      <c r="AQ249" s="39">
        <f>IF(B249="","",IF(COUNTIF($B$5:$B$504,B249)&gt;1,"Duplicate - same name twice",IF(R249="Archived","",IF(AK249&gt;0.004,"Chase - balance outstanding",IF(AM249="Inactive","Gone - win-back offer",IF(AM249="Lapsing","Chase - lapsing, call them",IF(IF(N249="",FALSE,TodayDate-N249&gt;PatchTestDays),"Due - patch test out of date",IF(IF(AD249="",FALSE,IF(AB249&lt;&gt;"",FALSE,AD249&lt;=TodayDate+14)),"Rebook - due and nothing booked",IF(IF(K249="",FALSE,ABS(DATE(YEAR(TodayDate),MONTH(K249),DAY(K249))-TodayDate)&lt;=7),"Birthday - send the treat","OK")))))))))</f>
        <v>0</v>
      </c>
    </row>
    <row r="250" spans="1:43">
      <c r="A250" s="28">
        <f>IF(B250="","",ClientPrefix&amp;TEXT(ROW()-4,"0000"))</f>
        <v>0</v>
      </c>
      <c r="J250" s="15">
        <f>IF(I250="","",IFERROR(INDEX(Staff!$B$5:$B$44,MATCH(I250,Staff!$A$5:$A$44,0)),"Not in Staff"))</f>
        <v>0</v>
      </c>
      <c r="T250" s="25">
        <f>IF(B250="","",COUNTIFS(Appointments!$E$5:$E$1204,A250,Appointments!$M$5:$M$1204,"Completed"))</f>
        <v>0</v>
      </c>
      <c r="U250" s="25">
        <f>IF(B250="","",COUNTIFS(Appointments!$E$5:$E$1204,A250,Appointments!$M$5:$M$1204,"Completed",Appointments!$B$5:$B$1204,"&gt;="&amp;TodayDate-365))</f>
        <v>0</v>
      </c>
      <c r="V250" s="25">
        <f>IF(B250="","",COUNTIFS(Appointments!$E$5:$E$1204,A250,Appointments!$M$5:$M$1204,"Cancelled"))</f>
        <v>0</v>
      </c>
      <c r="W250" s="25">
        <f>IF(B250="","",COUNTIFS(Appointments!$E$5:$E$1204,A250,Appointments!$M$5:$M$1204,"No show"))</f>
        <v>0</v>
      </c>
      <c r="X250" s="17">
        <f>IF(B250="","",IF(F250&lt;&gt;"",F250,IF(T250=0,"",SUMPRODUCT(MIN((Appointments!$E$5:$E$1204=A250)*(Appointments!$M$5:$M$1204="Completed")*Appointments!$B$5:$B$1204+(1-(Appointments!$E$5:$E$1204=A250)*(Appointments!$M$5:$M$1204="Completed"))*2958465)))))</f>
        <v>0</v>
      </c>
      <c r="Y250" s="17">
        <f>IF(B250="","",IF(T250=0,"",SUMPRODUCT(MAX((Appointments!$E$5:$E$1204=A250)*(Appointments!$M$5:$M$1204="Completed")*Appointments!$B$5:$B$1204))))</f>
        <v>0</v>
      </c>
      <c r="Z250" s="25">
        <f>IF(B250="","",IF(Y250="","",TodayDate-Y250))</f>
        <v>0</v>
      </c>
      <c r="AA250" s="42">
        <f>IF(B250="","",SUMPRODUCT(MIN((Appointments!$E$5:$E$1204=A250)*(Appointments!$M$5:$M$1204&lt;&gt;"Cancelled")*(Appointments!$M$5:$M$1204&lt;&gt;"Completed")*(Appointments!$M$5:$M$1204&lt;&gt;"No show")*(Appointments!$B$5:$B$1204&gt;=TodayDate)*Appointments!$B$5:$B$1204+(1-(Appointments!$E$5:$E$1204=A250)*(Appointments!$M$5:$M$1204&lt;&gt;"Cancelled")*(Appointments!$M$5:$M$1204&lt;&gt;"Completed")*(Appointments!$M$5:$M$1204&lt;&gt;"No show")*(Appointments!$B$5:$B$1204&gt;=TodayDate))*2958465)))</f>
        <v>0</v>
      </c>
      <c r="AB250" s="17">
        <f>IF(B250="","",IF(AA250&gt;=2958465,"",AA250))</f>
        <v>0</v>
      </c>
      <c r="AC250" s="25">
        <f>IF(B250="","",IF(T250&lt;2,"",ROUND((Y250-X250)/MAX(1,T250-1),0)))</f>
        <v>0</v>
      </c>
      <c r="AD250" s="17">
        <f>IF(B250="","",IF(Y250="","",Y250+IF(AC250="",RebookWeeks*7,MAX(14,AC250))))</f>
        <v>0</v>
      </c>
      <c r="AE250" s="26">
        <f>IF(B250="","",ROUND(SUMIFS(Sales!$Y$5:$Y$1204,Sales!$D$5:$D$1204,A250),2))</f>
        <v>0</v>
      </c>
      <c r="AF250" s="26">
        <f>IF(B250="","",ROUND(SUMIFS(Sales!$Y$5:$Y$1204,Sales!$D$5:$D$1204,A250,Sales!$H$5:$H$1204,"Service"),2))</f>
        <v>0</v>
      </c>
      <c r="AG250" s="26">
        <f>IF(B250="","",ROUND(SUMIFS(Sales!$Y$5:$Y$1204,Sales!$D$5:$D$1204,A250,Sales!$H$5:$H$1204,"Retail"),2))</f>
        <v>0</v>
      </c>
      <c r="AH250" s="26">
        <f>IF(B250="","",ROUND(SUMIFS(Sales!$Y$5:$Y$1204,Sales!$D$5:$D$1204,A250,Sales!$B$5:$B$1204,"&gt;="&amp;TodayDate-365),2))</f>
        <v>0</v>
      </c>
      <c r="AI250" s="26">
        <f>IF(B250="","",IF(T250=0,"",ROUND(AE250/T250,2)))</f>
        <v>0</v>
      </c>
      <c r="AJ250" s="26">
        <f>IF(B250="","",IF(AI250="","",IF(AC250="","",ROUND(AI250*(365/MAX(14,AC250)),2))))</f>
        <v>0</v>
      </c>
      <c r="AK250" s="26">
        <f>IF(B250="","",ROUND(SUMIFS(Sales!$AH$5:$AH$1204,Sales!$D$5:$D$1204,A250),2))</f>
        <v>0</v>
      </c>
      <c r="AL250" s="25">
        <f>IF(B250="","",IFERROR(INDEX(Loyalty!$P$5:$P$504,MATCH(A250,Loyalty!$B$5:$B$504,0))*1,0))</f>
        <v>0</v>
      </c>
      <c r="AM250" s="39">
        <f>IF(B250="","",IF(R250="Archived","Archived",IF(T250=0,"Not been yet",IF(Z250&gt;=InactiveDays,"Inactive",IF(Z250&gt;=LapsingDays,"Lapsing",IF(T250=1,"New",IF(AH250&gt;=VipSpend,"VIP",IF(U250&gt;=4,"Regular","Active"))))))))</f>
        <v>0</v>
      </c>
      <c r="AN250" s="38">
        <f>IF(B250="","",IF(T250&gt;=2,"Yes","No"))</f>
        <v>0</v>
      </c>
      <c r="AO250" s="25">
        <f>IF(B250="","",COUNTIFS($AE$5:$AE$504,"&gt;"&amp;AE250)+COUNTIFS($AE$5:AE250,AE250))</f>
        <v>0</v>
      </c>
      <c r="AP250" s="25">
        <f>IF(B250="","",COUNTIFS($T$5:$T$504,"&gt;"&amp;T250)+COUNTIFS($T$5:T250,T250))</f>
        <v>0</v>
      </c>
      <c r="AQ250" s="39">
        <f>IF(B250="","",IF(COUNTIF($B$5:$B$504,B250)&gt;1,"Duplicate - same name twice",IF(R250="Archived","",IF(AK250&gt;0.004,"Chase - balance outstanding",IF(AM250="Inactive","Gone - win-back offer",IF(AM250="Lapsing","Chase - lapsing, call them",IF(IF(N250="",FALSE,TodayDate-N250&gt;PatchTestDays),"Due - patch test out of date",IF(IF(AD250="",FALSE,IF(AB250&lt;&gt;"",FALSE,AD250&lt;=TodayDate+14)),"Rebook - due and nothing booked",IF(IF(K250="",FALSE,ABS(DATE(YEAR(TodayDate),MONTH(K250),DAY(K250))-TodayDate)&lt;=7),"Birthday - send the treat","OK")))))))))</f>
        <v>0</v>
      </c>
    </row>
    <row r="251" spans="1:43">
      <c r="A251" s="28">
        <f>IF(B251="","",ClientPrefix&amp;TEXT(ROW()-4,"0000"))</f>
        <v>0</v>
      </c>
      <c r="J251" s="15">
        <f>IF(I251="","",IFERROR(INDEX(Staff!$B$5:$B$44,MATCH(I251,Staff!$A$5:$A$44,0)),"Not in Staff"))</f>
        <v>0</v>
      </c>
      <c r="T251" s="25">
        <f>IF(B251="","",COUNTIFS(Appointments!$E$5:$E$1204,A251,Appointments!$M$5:$M$1204,"Completed"))</f>
        <v>0</v>
      </c>
      <c r="U251" s="25">
        <f>IF(B251="","",COUNTIFS(Appointments!$E$5:$E$1204,A251,Appointments!$M$5:$M$1204,"Completed",Appointments!$B$5:$B$1204,"&gt;="&amp;TodayDate-365))</f>
        <v>0</v>
      </c>
      <c r="V251" s="25">
        <f>IF(B251="","",COUNTIFS(Appointments!$E$5:$E$1204,A251,Appointments!$M$5:$M$1204,"Cancelled"))</f>
        <v>0</v>
      </c>
      <c r="W251" s="25">
        <f>IF(B251="","",COUNTIFS(Appointments!$E$5:$E$1204,A251,Appointments!$M$5:$M$1204,"No show"))</f>
        <v>0</v>
      </c>
      <c r="X251" s="17">
        <f>IF(B251="","",IF(F251&lt;&gt;"",F251,IF(T251=0,"",SUMPRODUCT(MIN((Appointments!$E$5:$E$1204=A251)*(Appointments!$M$5:$M$1204="Completed")*Appointments!$B$5:$B$1204+(1-(Appointments!$E$5:$E$1204=A251)*(Appointments!$M$5:$M$1204="Completed"))*2958465)))))</f>
        <v>0</v>
      </c>
      <c r="Y251" s="17">
        <f>IF(B251="","",IF(T251=0,"",SUMPRODUCT(MAX((Appointments!$E$5:$E$1204=A251)*(Appointments!$M$5:$M$1204="Completed")*Appointments!$B$5:$B$1204))))</f>
        <v>0</v>
      </c>
      <c r="Z251" s="25">
        <f>IF(B251="","",IF(Y251="","",TodayDate-Y251))</f>
        <v>0</v>
      </c>
      <c r="AA251" s="42">
        <f>IF(B251="","",SUMPRODUCT(MIN((Appointments!$E$5:$E$1204=A251)*(Appointments!$M$5:$M$1204&lt;&gt;"Cancelled")*(Appointments!$M$5:$M$1204&lt;&gt;"Completed")*(Appointments!$M$5:$M$1204&lt;&gt;"No show")*(Appointments!$B$5:$B$1204&gt;=TodayDate)*Appointments!$B$5:$B$1204+(1-(Appointments!$E$5:$E$1204=A251)*(Appointments!$M$5:$M$1204&lt;&gt;"Cancelled")*(Appointments!$M$5:$M$1204&lt;&gt;"Completed")*(Appointments!$M$5:$M$1204&lt;&gt;"No show")*(Appointments!$B$5:$B$1204&gt;=TodayDate))*2958465)))</f>
        <v>0</v>
      </c>
      <c r="AB251" s="17">
        <f>IF(B251="","",IF(AA251&gt;=2958465,"",AA251))</f>
        <v>0</v>
      </c>
      <c r="AC251" s="25">
        <f>IF(B251="","",IF(T251&lt;2,"",ROUND((Y251-X251)/MAX(1,T251-1),0)))</f>
        <v>0</v>
      </c>
      <c r="AD251" s="17">
        <f>IF(B251="","",IF(Y251="","",Y251+IF(AC251="",RebookWeeks*7,MAX(14,AC251))))</f>
        <v>0</v>
      </c>
      <c r="AE251" s="26">
        <f>IF(B251="","",ROUND(SUMIFS(Sales!$Y$5:$Y$1204,Sales!$D$5:$D$1204,A251),2))</f>
        <v>0</v>
      </c>
      <c r="AF251" s="26">
        <f>IF(B251="","",ROUND(SUMIFS(Sales!$Y$5:$Y$1204,Sales!$D$5:$D$1204,A251,Sales!$H$5:$H$1204,"Service"),2))</f>
        <v>0</v>
      </c>
      <c r="AG251" s="26">
        <f>IF(B251="","",ROUND(SUMIFS(Sales!$Y$5:$Y$1204,Sales!$D$5:$D$1204,A251,Sales!$H$5:$H$1204,"Retail"),2))</f>
        <v>0</v>
      </c>
      <c r="AH251" s="26">
        <f>IF(B251="","",ROUND(SUMIFS(Sales!$Y$5:$Y$1204,Sales!$D$5:$D$1204,A251,Sales!$B$5:$B$1204,"&gt;="&amp;TodayDate-365),2))</f>
        <v>0</v>
      </c>
      <c r="AI251" s="26">
        <f>IF(B251="","",IF(T251=0,"",ROUND(AE251/T251,2)))</f>
        <v>0</v>
      </c>
      <c r="AJ251" s="26">
        <f>IF(B251="","",IF(AI251="","",IF(AC251="","",ROUND(AI251*(365/MAX(14,AC251)),2))))</f>
        <v>0</v>
      </c>
      <c r="AK251" s="26">
        <f>IF(B251="","",ROUND(SUMIFS(Sales!$AH$5:$AH$1204,Sales!$D$5:$D$1204,A251),2))</f>
        <v>0</v>
      </c>
      <c r="AL251" s="25">
        <f>IF(B251="","",IFERROR(INDEX(Loyalty!$P$5:$P$504,MATCH(A251,Loyalty!$B$5:$B$504,0))*1,0))</f>
        <v>0</v>
      </c>
      <c r="AM251" s="39">
        <f>IF(B251="","",IF(R251="Archived","Archived",IF(T251=0,"Not been yet",IF(Z251&gt;=InactiveDays,"Inactive",IF(Z251&gt;=LapsingDays,"Lapsing",IF(T251=1,"New",IF(AH251&gt;=VipSpend,"VIP",IF(U251&gt;=4,"Regular","Active"))))))))</f>
        <v>0</v>
      </c>
      <c r="AN251" s="38">
        <f>IF(B251="","",IF(T251&gt;=2,"Yes","No"))</f>
        <v>0</v>
      </c>
      <c r="AO251" s="25">
        <f>IF(B251="","",COUNTIFS($AE$5:$AE$504,"&gt;"&amp;AE251)+COUNTIFS($AE$5:AE251,AE251))</f>
        <v>0</v>
      </c>
      <c r="AP251" s="25">
        <f>IF(B251="","",COUNTIFS($T$5:$T$504,"&gt;"&amp;T251)+COUNTIFS($T$5:T251,T251))</f>
        <v>0</v>
      </c>
      <c r="AQ251" s="39">
        <f>IF(B251="","",IF(COUNTIF($B$5:$B$504,B251)&gt;1,"Duplicate - same name twice",IF(R251="Archived","",IF(AK251&gt;0.004,"Chase - balance outstanding",IF(AM251="Inactive","Gone - win-back offer",IF(AM251="Lapsing","Chase - lapsing, call them",IF(IF(N251="",FALSE,TodayDate-N251&gt;PatchTestDays),"Due - patch test out of date",IF(IF(AD251="",FALSE,IF(AB251&lt;&gt;"",FALSE,AD251&lt;=TodayDate+14)),"Rebook - due and nothing booked",IF(IF(K251="",FALSE,ABS(DATE(YEAR(TodayDate),MONTH(K251),DAY(K251))-TodayDate)&lt;=7),"Birthday - send the treat","OK")))))))))</f>
        <v>0</v>
      </c>
    </row>
    <row r="252" spans="1:43">
      <c r="A252" s="28">
        <f>IF(B252="","",ClientPrefix&amp;TEXT(ROW()-4,"0000"))</f>
        <v>0</v>
      </c>
      <c r="J252" s="15">
        <f>IF(I252="","",IFERROR(INDEX(Staff!$B$5:$B$44,MATCH(I252,Staff!$A$5:$A$44,0)),"Not in Staff"))</f>
        <v>0</v>
      </c>
      <c r="T252" s="25">
        <f>IF(B252="","",COUNTIFS(Appointments!$E$5:$E$1204,A252,Appointments!$M$5:$M$1204,"Completed"))</f>
        <v>0</v>
      </c>
      <c r="U252" s="25">
        <f>IF(B252="","",COUNTIFS(Appointments!$E$5:$E$1204,A252,Appointments!$M$5:$M$1204,"Completed",Appointments!$B$5:$B$1204,"&gt;="&amp;TodayDate-365))</f>
        <v>0</v>
      </c>
      <c r="V252" s="25">
        <f>IF(B252="","",COUNTIFS(Appointments!$E$5:$E$1204,A252,Appointments!$M$5:$M$1204,"Cancelled"))</f>
        <v>0</v>
      </c>
      <c r="W252" s="25">
        <f>IF(B252="","",COUNTIFS(Appointments!$E$5:$E$1204,A252,Appointments!$M$5:$M$1204,"No show"))</f>
        <v>0</v>
      </c>
      <c r="X252" s="17">
        <f>IF(B252="","",IF(F252&lt;&gt;"",F252,IF(T252=0,"",SUMPRODUCT(MIN((Appointments!$E$5:$E$1204=A252)*(Appointments!$M$5:$M$1204="Completed")*Appointments!$B$5:$B$1204+(1-(Appointments!$E$5:$E$1204=A252)*(Appointments!$M$5:$M$1204="Completed"))*2958465)))))</f>
        <v>0</v>
      </c>
      <c r="Y252" s="17">
        <f>IF(B252="","",IF(T252=0,"",SUMPRODUCT(MAX((Appointments!$E$5:$E$1204=A252)*(Appointments!$M$5:$M$1204="Completed")*Appointments!$B$5:$B$1204))))</f>
        <v>0</v>
      </c>
      <c r="Z252" s="25">
        <f>IF(B252="","",IF(Y252="","",TodayDate-Y252))</f>
        <v>0</v>
      </c>
      <c r="AA252" s="42">
        <f>IF(B252="","",SUMPRODUCT(MIN((Appointments!$E$5:$E$1204=A252)*(Appointments!$M$5:$M$1204&lt;&gt;"Cancelled")*(Appointments!$M$5:$M$1204&lt;&gt;"Completed")*(Appointments!$M$5:$M$1204&lt;&gt;"No show")*(Appointments!$B$5:$B$1204&gt;=TodayDate)*Appointments!$B$5:$B$1204+(1-(Appointments!$E$5:$E$1204=A252)*(Appointments!$M$5:$M$1204&lt;&gt;"Cancelled")*(Appointments!$M$5:$M$1204&lt;&gt;"Completed")*(Appointments!$M$5:$M$1204&lt;&gt;"No show")*(Appointments!$B$5:$B$1204&gt;=TodayDate))*2958465)))</f>
        <v>0</v>
      </c>
      <c r="AB252" s="17">
        <f>IF(B252="","",IF(AA252&gt;=2958465,"",AA252))</f>
        <v>0</v>
      </c>
      <c r="AC252" s="25">
        <f>IF(B252="","",IF(T252&lt;2,"",ROUND((Y252-X252)/MAX(1,T252-1),0)))</f>
        <v>0</v>
      </c>
      <c r="AD252" s="17">
        <f>IF(B252="","",IF(Y252="","",Y252+IF(AC252="",RebookWeeks*7,MAX(14,AC252))))</f>
        <v>0</v>
      </c>
      <c r="AE252" s="26">
        <f>IF(B252="","",ROUND(SUMIFS(Sales!$Y$5:$Y$1204,Sales!$D$5:$D$1204,A252),2))</f>
        <v>0</v>
      </c>
      <c r="AF252" s="26">
        <f>IF(B252="","",ROUND(SUMIFS(Sales!$Y$5:$Y$1204,Sales!$D$5:$D$1204,A252,Sales!$H$5:$H$1204,"Service"),2))</f>
        <v>0</v>
      </c>
      <c r="AG252" s="26">
        <f>IF(B252="","",ROUND(SUMIFS(Sales!$Y$5:$Y$1204,Sales!$D$5:$D$1204,A252,Sales!$H$5:$H$1204,"Retail"),2))</f>
        <v>0</v>
      </c>
      <c r="AH252" s="26">
        <f>IF(B252="","",ROUND(SUMIFS(Sales!$Y$5:$Y$1204,Sales!$D$5:$D$1204,A252,Sales!$B$5:$B$1204,"&gt;="&amp;TodayDate-365),2))</f>
        <v>0</v>
      </c>
      <c r="AI252" s="26">
        <f>IF(B252="","",IF(T252=0,"",ROUND(AE252/T252,2)))</f>
        <v>0</v>
      </c>
      <c r="AJ252" s="26">
        <f>IF(B252="","",IF(AI252="","",IF(AC252="","",ROUND(AI252*(365/MAX(14,AC252)),2))))</f>
        <v>0</v>
      </c>
      <c r="AK252" s="26">
        <f>IF(B252="","",ROUND(SUMIFS(Sales!$AH$5:$AH$1204,Sales!$D$5:$D$1204,A252),2))</f>
        <v>0</v>
      </c>
      <c r="AL252" s="25">
        <f>IF(B252="","",IFERROR(INDEX(Loyalty!$P$5:$P$504,MATCH(A252,Loyalty!$B$5:$B$504,0))*1,0))</f>
        <v>0</v>
      </c>
      <c r="AM252" s="39">
        <f>IF(B252="","",IF(R252="Archived","Archived",IF(T252=0,"Not been yet",IF(Z252&gt;=InactiveDays,"Inactive",IF(Z252&gt;=LapsingDays,"Lapsing",IF(T252=1,"New",IF(AH252&gt;=VipSpend,"VIP",IF(U252&gt;=4,"Regular","Active"))))))))</f>
        <v>0</v>
      </c>
      <c r="AN252" s="38">
        <f>IF(B252="","",IF(T252&gt;=2,"Yes","No"))</f>
        <v>0</v>
      </c>
      <c r="AO252" s="25">
        <f>IF(B252="","",COUNTIFS($AE$5:$AE$504,"&gt;"&amp;AE252)+COUNTIFS($AE$5:AE252,AE252))</f>
        <v>0</v>
      </c>
      <c r="AP252" s="25">
        <f>IF(B252="","",COUNTIFS($T$5:$T$504,"&gt;"&amp;T252)+COUNTIFS($T$5:T252,T252))</f>
        <v>0</v>
      </c>
      <c r="AQ252" s="39">
        <f>IF(B252="","",IF(COUNTIF($B$5:$B$504,B252)&gt;1,"Duplicate - same name twice",IF(R252="Archived","",IF(AK252&gt;0.004,"Chase - balance outstanding",IF(AM252="Inactive","Gone - win-back offer",IF(AM252="Lapsing","Chase - lapsing, call them",IF(IF(N252="",FALSE,TodayDate-N252&gt;PatchTestDays),"Due - patch test out of date",IF(IF(AD252="",FALSE,IF(AB252&lt;&gt;"",FALSE,AD252&lt;=TodayDate+14)),"Rebook - due and nothing booked",IF(IF(K252="",FALSE,ABS(DATE(YEAR(TodayDate),MONTH(K252),DAY(K252))-TodayDate)&lt;=7),"Birthday - send the treat","OK")))))))))</f>
        <v>0</v>
      </c>
    </row>
    <row r="253" spans="1:43">
      <c r="A253" s="28">
        <f>IF(B253="","",ClientPrefix&amp;TEXT(ROW()-4,"0000"))</f>
        <v>0</v>
      </c>
      <c r="J253" s="15">
        <f>IF(I253="","",IFERROR(INDEX(Staff!$B$5:$B$44,MATCH(I253,Staff!$A$5:$A$44,0)),"Not in Staff"))</f>
        <v>0</v>
      </c>
      <c r="T253" s="25">
        <f>IF(B253="","",COUNTIFS(Appointments!$E$5:$E$1204,A253,Appointments!$M$5:$M$1204,"Completed"))</f>
        <v>0</v>
      </c>
      <c r="U253" s="25">
        <f>IF(B253="","",COUNTIFS(Appointments!$E$5:$E$1204,A253,Appointments!$M$5:$M$1204,"Completed",Appointments!$B$5:$B$1204,"&gt;="&amp;TodayDate-365))</f>
        <v>0</v>
      </c>
      <c r="V253" s="25">
        <f>IF(B253="","",COUNTIFS(Appointments!$E$5:$E$1204,A253,Appointments!$M$5:$M$1204,"Cancelled"))</f>
        <v>0</v>
      </c>
      <c r="W253" s="25">
        <f>IF(B253="","",COUNTIFS(Appointments!$E$5:$E$1204,A253,Appointments!$M$5:$M$1204,"No show"))</f>
        <v>0</v>
      </c>
      <c r="X253" s="17">
        <f>IF(B253="","",IF(F253&lt;&gt;"",F253,IF(T253=0,"",SUMPRODUCT(MIN((Appointments!$E$5:$E$1204=A253)*(Appointments!$M$5:$M$1204="Completed")*Appointments!$B$5:$B$1204+(1-(Appointments!$E$5:$E$1204=A253)*(Appointments!$M$5:$M$1204="Completed"))*2958465)))))</f>
        <v>0</v>
      </c>
      <c r="Y253" s="17">
        <f>IF(B253="","",IF(T253=0,"",SUMPRODUCT(MAX((Appointments!$E$5:$E$1204=A253)*(Appointments!$M$5:$M$1204="Completed")*Appointments!$B$5:$B$1204))))</f>
        <v>0</v>
      </c>
      <c r="Z253" s="25">
        <f>IF(B253="","",IF(Y253="","",TodayDate-Y253))</f>
        <v>0</v>
      </c>
      <c r="AA253" s="42">
        <f>IF(B253="","",SUMPRODUCT(MIN((Appointments!$E$5:$E$1204=A253)*(Appointments!$M$5:$M$1204&lt;&gt;"Cancelled")*(Appointments!$M$5:$M$1204&lt;&gt;"Completed")*(Appointments!$M$5:$M$1204&lt;&gt;"No show")*(Appointments!$B$5:$B$1204&gt;=TodayDate)*Appointments!$B$5:$B$1204+(1-(Appointments!$E$5:$E$1204=A253)*(Appointments!$M$5:$M$1204&lt;&gt;"Cancelled")*(Appointments!$M$5:$M$1204&lt;&gt;"Completed")*(Appointments!$M$5:$M$1204&lt;&gt;"No show")*(Appointments!$B$5:$B$1204&gt;=TodayDate))*2958465)))</f>
        <v>0</v>
      </c>
      <c r="AB253" s="17">
        <f>IF(B253="","",IF(AA253&gt;=2958465,"",AA253))</f>
        <v>0</v>
      </c>
      <c r="AC253" s="25">
        <f>IF(B253="","",IF(T253&lt;2,"",ROUND((Y253-X253)/MAX(1,T253-1),0)))</f>
        <v>0</v>
      </c>
      <c r="AD253" s="17">
        <f>IF(B253="","",IF(Y253="","",Y253+IF(AC253="",RebookWeeks*7,MAX(14,AC253))))</f>
        <v>0</v>
      </c>
      <c r="AE253" s="26">
        <f>IF(B253="","",ROUND(SUMIFS(Sales!$Y$5:$Y$1204,Sales!$D$5:$D$1204,A253),2))</f>
        <v>0</v>
      </c>
      <c r="AF253" s="26">
        <f>IF(B253="","",ROUND(SUMIFS(Sales!$Y$5:$Y$1204,Sales!$D$5:$D$1204,A253,Sales!$H$5:$H$1204,"Service"),2))</f>
        <v>0</v>
      </c>
      <c r="AG253" s="26">
        <f>IF(B253="","",ROUND(SUMIFS(Sales!$Y$5:$Y$1204,Sales!$D$5:$D$1204,A253,Sales!$H$5:$H$1204,"Retail"),2))</f>
        <v>0</v>
      </c>
      <c r="AH253" s="26">
        <f>IF(B253="","",ROUND(SUMIFS(Sales!$Y$5:$Y$1204,Sales!$D$5:$D$1204,A253,Sales!$B$5:$B$1204,"&gt;="&amp;TodayDate-365),2))</f>
        <v>0</v>
      </c>
      <c r="AI253" s="26">
        <f>IF(B253="","",IF(T253=0,"",ROUND(AE253/T253,2)))</f>
        <v>0</v>
      </c>
      <c r="AJ253" s="26">
        <f>IF(B253="","",IF(AI253="","",IF(AC253="","",ROUND(AI253*(365/MAX(14,AC253)),2))))</f>
        <v>0</v>
      </c>
      <c r="AK253" s="26">
        <f>IF(B253="","",ROUND(SUMIFS(Sales!$AH$5:$AH$1204,Sales!$D$5:$D$1204,A253),2))</f>
        <v>0</v>
      </c>
      <c r="AL253" s="25">
        <f>IF(B253="","",IFERROR(INDEX(Loyalty!$P$5:$P$504,MATCH(A253,Loyalty!$B$5:$B$504,0))*1,0))</f>
        <v>0</v>
      </c>
      <c r="AM253" s="39">
        <f>IF(B253="","",IF(R253="Archived","Archived",IF(T253=0,"Not been yet",IF(Z253&gt;=InactiveDays,"Inactive",IF(Z253&gt;=LapsingDays,"Lapsing",IF(T253=1,"New",IF(AH253&gt;=VipSpend,"VIP",IF(U253&gt;=4,"Regular","Active"))))))))</f>
        <v>0</v>
      </c>
      <c r="AN253" s="38">
        <f>IF(B253="","",IF(T253&gt;=2,"Yes","No"))</f>
        <v>0</v>
      </c>
      <c r="AO253" s="25">
        <f>IF(B253="","",COUNTIFS($AE$5:$AE$504,"&gt;"&amp;AE253)+COUNTIFS($AE$5:AE253,AE253))</f>
        <v>0</v>
      </c>
      <c r="AP253" s="25">
        <f>IF(B253="","",COUNTIFS($T$5:$T$504,"&gt;"&amp;T253)+COUNTIFS($T$5:T253,T253))</f>
        <v>0</v>
      </c>
      <c r="AQ253" s="39">
        <f>IF(B253="","",IF(COUNTIF($B$5:$B$504,B253)&gt;1,"Duplicate - same name twice",IF(R253="Archived","",IF(AK253&gt;0.004,"Chase - balance outstanding",IF(AM253="Inactive","Gone - win-back offer",IF(AM253="Lapsing","Chase - lapsing, call them",IF(IF(N253="",FALSE,TodayDate-N253&gt;PatchTestDays),"Due - patch test out of date",IF(IF(AD253="",FALSE,IF(AB253&lt;&gt;"",FALSE,AD253&lt;=TodayDate+14)),"Rebook - due and nothing booked",IF(IF(K253="",FALSE,ABS(DATE(YEAR(TodayDate),MONTH(K253),DAY(K253))-TodayDate)&lt;=7),"Birthday - send the treat","OK")))))))))</f>
        <v>0</v>
      </c>
    </row>
    <row r="254" spans="1:43">
      <c r="A254" s="28">
        <f>IF(B254="","",ClientPrefix&amp;TEXT(ROW()-4,"0000"))</f>
        <v>0</v>
      </c>
      <c r="J254" s="15">
        <f>IF(I254="","",IFERROR(INDEX(Staff!$B$5:$B$44,MATCH(I254,Staff!$A$5:$A$44,0)),"Not in Staff"))</f>
        <v>0</v>
      </c>
      <c r="T254" s="25">
        <f>IF(B254="","",COUNTIFS(Appointments!$E$5:$E$1204,A254,Appointments!$M$5:$M$1204,"Completed"))</f>
        <v>0</v>
      </c>
      <c r="U254" s="25">
        <f>IF(B254="","",COUNTIFS(Appointments!$E$5:$E$1204,A254,Appointments!$M$5:$M$1204,"Completed",Appointments!$B$5:$B$1204,"&gt;="&amp;TodayDate-365))</f>
        <v>0</v>
      </c>
      <c r="V254" s="25">
        <f>IF(B254="","",COUNTIFS(Appointments!$E$5:$E$1204,A254,Appointments!$M$5:$M$1204,"Cancelled"))</f>
        <v>0</v>
      </c>
      <c r="W254" s="25">
        <f>IF(B254="","",COUNTIFS(Appointments!$E$5:$E$1204,A254,Appointments!$M$5:$M$1204,"No show"))</f>
        <v>0</v>
      </c>
      <c r="X254" s="17">
        <f>IF(B254="","",IF(F254&lt;&gt;"",F254,IF(T254=0,"",SUMPRODUCT(MIN((Appointments!$E$5:$E$1204=A254)*(Appointments!$M$5:$M$1204="Completed")*Appointments!$B$5:$B$1204+(1-(Appointments!$E$5:$E$1204=A254)*(Appointments!$M$5:$M$1204="Completed"))*2958465)))))</f>
        <v>0</v>
      </c>
      <c r="Y254" s="17">
        <f>IF(B254="","",IF(T254=0,"",SUMPRODUCT(MAX((Appointments!$E$5:$E$1204=A254)*(Appointments!$M$5:$M$1204="Completed")*Appointments!$B$5:$B$1204))))</f>
        <v>0</v>
      </c>
      <c r="Z254" s="25">
        <f>IF(B254="","",IF(Y254="","",TodayDate-Y254))</f>
        <v>0</v>
      </c>
      <c r="AA254" s="42">
        <f>IF(B254="","",SUMPRODUCT(MIN((Appointments!$E$5:$E$1204=A254)*(Appointments!$M$5:$M$1204&lt;&gt;"Cancelled")*(Appointments!$M$5:$M$1204&lt;&gt;"Completed")*(Appointments!$M$5:$M$1204&lt;&gt;"No show")*(Appointments!$B$5:$B$1204&gt;=TodayDate)*Appointments!$B$5:$B$1204+(1-(Appointments!$E$5:$E$1204=A254)*(Appointments!$M$5:$M$1204&lt;&gt;"Cancelled")*(Appointments!$M$5:$M$1204&lt;&gt;"Completed")*(Appointments!$M$5:$M$1204&lt;&gt;"No show")*(Appointments!$B$5:$B$1204&gt;=TodayDate))*2958465)))</f>
        <v>0</v>
      </c>
      <c r="AB254" s="17">
        <f>IF(B254="","",IF(AA254&gt;=2958465,"",AA254))</f>
        <v>0</v>
      </c>
      <c r="AC254" s="25">
        <f>IF(B254="","",IF(T254&lt;2,"",ROUND((Y254-X254)/MAX(1,T254-1),0)))</f>
        <v>0</v>
      </c>
      <c r="AD254" s="17">
        <f>IF(B254="","",IF(Y254="","",Y254+IF(AC254="",RebookWeeks*7,MAX(14,AC254))))</f>
        <v>0</v>
      </c>
      <c r="AE254" s="26">
        <f>IF(B254="","",ROUND(SUMIFS(Sales!$Y$5:$Y$1204,Sales!$D$5:$D$1204,A254),2))</f>
        <v>0</v>
      </c>
      <c r="AF254" s="26">
        <f>IF(B254="","",ROUND(SUMIFS(Sales!$Y$5:$Y$1204,Sales!$D$5:$D$1204,A254,Sales!$H$5:$H$1204,"Service"),2))</f>
        <v>0</v>
      </c>
      <c r="AG254" s="26">
        <f>IF(B254="","",ROUND(SUMIFS(Sales!$Y$5:$Y$1204,Sales!$D$5:$D$1204,A254,Sales!$H$5:$H$1204,"Retail"),2))</f>
        <v>0</v>
      </c>
      <c r="AH254" s="26">
        <f>IF(B254="","",ROUND(SUMIFS(Sales!$Y$5:$Y$1204,Sales!$D$5:$D$1204,A254,Sales!$B$5:$B$1204,"&gt;="&amp;TodayDate-365),2))</f>
        <v>0</v>
      </c>
      <c r="AI254" s="26">
        <f>IF(B254="","",IF(T254=0,"",ROUND(AE254/T254,2)))</f>
        <v>0</v>
      </c>
      <c r="AJ254" s="26">
        <f>IF(B254="","",IF(AI254="","",IF(AC254="","",ROUND(AI254*(365/MAX(14,AC254)),2))))</f>
        <v>0</v>
      </c>
      <c r="AK254" s="26">
        <f>IF(B254="","",ROUND(SUMIFS(Sales!$AH$5:$AH$1204,Sales!$D$5:$D$1204,A254),2))</f>
        <v>0</v>
      </c>
      <c r="AL254" s="25">
        <f>IF(B254="","",IFERROR(INDEX(Loyalty!$P$5:$P$504,MATCH(A254,Loyalty!$B$5:$B$504,0))*1,0))</f>
        <v>0</v>
      </c>
      <c r="AM254" s="39">
        <f>IF(B254="","",IF(R254="Archived","Archived",IF(T254=0,"Not been yet",IF(Z254&gt;=InactiveDays,"Inactive",IF(Z254&gt;=LapsingDays,"Lapsing",IF(T254=1,"New",IF(AH254&gt;=VipSpend,"VIP",IF(U254&gt;=4,"Regular","Active"))))))))</f>
        <v>0</v>
      </c>
      <c r="AN254" s="38">
        <f>IF(B254="","",IF(T254&gt;=2,"Yes","No"))</f>
        <v>0</v>
      </c>
      <c r="AO254" s="25">
        <f>IF(B254="","",COUNTIFS($AE$5:$AE$504,"&gt;"&amp;AE254)+COUNTIFS($AE$5:AE254,AE254))</f>
        <v>0</v>
      </c>
      <c r="AP254" s="25">
        <f>IF(B254="","",COUNTIFS($T$5:$T$504,"&gt;"&amp;T254)+COUNTIFS($T$5:T254,T254))</f>
        <v>0</v>
      </c>
      <c r="AQ254" s="39">
        <f>IF(B254="","",IF(COUNTIF($B$5:$B$504,B254)&gt;1,"Duplicate - same name twice",IF(R254="Archived","",IF(AK254&gt;0.004,"Chase - balance outstanding",IF(AM254="Inactive","Gone - win-back offer",IF(AM254="Lapsing","Chase - lapsing, call them",IF(IF(N254="",FALSE,TodayDate-N254&gt;PatchTestDays),"Due - patch test out of date",IF(IF(AD254="",FALSE,IF(AB254&lt;&gt;"",FALSE,AD254&lt;=TodayDate+14)),"Rebook - due and nothing booked",IF(IF(K254="",FALSE,ABS(DATE(YEAR(TodayDate),MONTH(K254),DAY(K254))-TodayDate)&lt;=7),"Birthday - send the treat","OK")))))))))</f>
        <v>0</v>
      </c>
    </row>
    <row r="255" spans="1:43">
      <c r="A255" s="28">
        <f>IF(B255="","",ClientPrefix&amp;TEXT(ROW()-4,"0000"))</f>
        <v>0</v>
      </c>
      <c r="J255" s="15">
        <f>IF(I255="","",IFERROR(INDEX(Staff!$B$5:$B$44,MATCH(I255,Staff!$A$5:$A$44,0)),"Not in Staff"))</f>
        <v>0</v>
      </c>
      <c r="T255" s="25">
        <f>IF(B255="","",COUNTIFS(Appointments!$E$5:$E$1204,A255,Appointments!$M$5:$M$1204,"Completed"))</f>
        <v>0</v>
      </c>
      <c r="U255" s="25">
        <f>IF(B255="","",COUNTIFS(Appointments!$E$5:$E$1204,A255,Appointments!$M$5:$M$1204,"Completed",Appointments!$B$5:$B$1204,"&gt;="&amp;TodayDate-365))</f>
        <v>0</v>
      </c>
      <c r="V255" s="25">
        <f>IF(B255="","",COUNTIFS(Appointments!$E$5:$E$1204,A255,Appointments!$M$5:$M$1204,"Cancelled"))</f>
        <v>0</v>
      </c>
      <c r="W255" s="25">
        <f>IF(B255="","",COUNTIFS(Appointments!$E$5:$E$1204,A255,Appointments!$M$5:$M$1204,"No show"))</f>
        <v>0</v>
      </c>
      <c r="X255" s="17">
        <f>IF(B255="","",IF(F255&lt;&gt;"",F255,IF(T255=0,"",SUMPRODUCT(MIN((Appointments!$E$5:$E$1204=A255)*(Appointments!$M$5:$M$1204="Completed")*Appointments!$B$5:$B$1204+(1-(Appointments!$E$5:$E$1204=A255)*(Appointments!$M$5:$M$1204="Completed"))*2958465)))))</f>
        <v>0</v>
      </c>
      <c r="Y255" s="17">
        <f>IF(B255="","",IF(T255=0,"",SUMPRODUCT(MAX((Appointments!$E$5:$E$1204=A255)*(Appointments!$M$5:$M$1204="Completed")*Appointments!$B$5:$B$1204))))</f>
        <v>0</v>
      </c>
      <c r="Z255" s="25">
        <f>IF(B255="","",IF(Y255="","",TodayDate-Y255))</f>
        <v>0</v>
      </c>
      <c r="AA255" s="42">
        <f>IF(B255="","",SUMPRODUCT(MIN((Appointments!$E$5:$E$1204=A255)*(Appointments!$M$5:$M$1204&lt;&gt;"Cancelled")*(Appointments!$M$5:$M$1204&lt;&gt;"Completed")*(Appointments!$M$5:$M$1204&lt;&gt;"No show")*(Appointments!$B$5:$B$1204&gt;=TodayDate)*Appointments!$B$5:$B$1204+(1-(Appointments!$E$5:$E$1204=A255)*(Appointments!$M$5:$M$1204&lt;&gt;"Cancelled")*(Appointments!$M$5:$M$1204&lt;&gt;"Completed")*(Appointments!$M$5:$M$1204&lt;&gt;"No show")*(Appointments!$B$5:$B$1204&gt;=TodayDate))*2958465)))</f>
        <v>0</v>
      </c>
      <c r="AB255" s="17">
        <f>IF(B255="","",IF(AA255&gt;=2958465,"",AA255))</f>
        <v>0</v>
      </c>
      <c r="AC255" s="25">
        <f>IF(B255="","",IF(T255&lt;2,"",ROUND((Y255-X255)/MAX(1,T255-1),0)))</f>
        <v>0</v>
      </c>
      <c r="AD255" s="17">
        <f>IF(B255="","",IF(Y255="","",Y255+IF(AC255="",RebookWeeks*7,MAX(14,AC255))))</f>
        <v>0</v>
      </c>
      <c r="AE255" s="26">
        <f>IF(B255="","",ROUND(SUMIFS(Sales!$Y$5:$Y$1204,Sales!$D$5:$D$1204,A255),2))</f>
        <v>0</v>
      </c>
      <c r="AF255" s="26">
        <f>IF(B255="","",ROUND(SUMIFS(Sales!$Y$5:$Y$1204,Sales!$D$5:$D$1204,A255,Sales!$H$5:$H$1204,"Service"),2))</f>
        <v>0</v>
      </c>
      <c r="AG255" s="26">
        <f>IF(B255="","",ROUND(SUMIFS(Sales!$Y$5:$Y$1204,Sales!$D$5:$D$1204,A255,Sales!$H$5:$H$1204,"Retail"),2))</f>
        <v>0</v>
      </c>
      <c r="AH255" s="26">
        <f>IF(B255="","",ROUND(SUMIFS(Sales!$Y$5:$Y$1204,Sales!$D$5:$D$1204,A255,Sales!$B$5:$B$1204,"&gt;="&amp;TodayDate-365),2))</f>
        <v>0</v>
      </c>
      <c r="AI255" s="26">
        <f>IF(B255="","",IF(T255=0,"",ROUND(AE255/T255,2)))</f>
        <v>0</v>
      </c>
      <c r="AJ255" s="26">
        <f>IF(B255="","",IF(AI255="","",IF(AC255="","",ROUND(AI255*(365/MAX(14,AC255)),2))))</f>
        <v>0</v>
      </c>
      <c r="AK255" s="26">
        <f>IF(B255="","",ROUND(SUMIFS(Sales!$AH$5:$AH$1204,Sales!$D$5:$D$1204,A255),2))</f>
        <v>0</v>
      </c>
      <c r="AL255" s="25">
        <f>IF(B255="","",IFERROR(INDEX(Loyalty!$P$5:$P$504,MATCH(A255,Loyalty!$B$5:$B$504,0))*1,0))</f>
        <v>0</v>
      </c>
      <c r="AM255" s="39">
        <f>IF(B255="","",IF(R255="Archived","Archived",IF(T255=0,"Not been yet",IF(Z255&gt;=InactiveDays,"Inactive",IF(Z255&gt;=LapsingDays,"Lapsing",IF(T255=1,"New",IF(AH255&gt;=VipSpend,"VIP",IF(U255&gt;=4,"Regular","Active"))))))))</f>
        <v>0</v>
      </c>
      <c r="AN255" s="38">
        <f>IF(B255="","",IF(T255&gt;=2,"Yes","No"))</f>
        <v>0</v>
      </c>
      <c r="AO255" s="25">
        <f>IF(B255="","",COUNTIFS($AE$5:$AE$504,"&gt;"&amp;AE255)+COUNTIFS($AE$5:AE255,AE255))</f>
        <v>0</v>
      </c>
      <c r="AP255" s="25">
        <f>IF(B255="","",COUNTIFS($T$5:$T$504,"&gt;"&amp;T255)+COUNTIFS($T$5:T255,T255))</f>
        <v>0</v>
      </c>
      <c r="AQ255" s="39">
        <f>IF(B255="","",IF(COUNTIF($B$5:$B$504,B255)&gt;1,"Duplicate - same name twice",IF(R255="Archived","",IF(AK255&gt;0.004,"Chase - balance outstanding",IF(AM255="Inactive","Gone - win-back offer",IF(AM255="Lapsing","Chase - lapsing, call them",IF(IF(N255="",FALSE,TodayDate-N255&gt;PatchTestDays),"Due - patch test out of date",IF(IF(AD255="",FALSE,IF(AB255&lt;&gt;"",FALSE,AD255&lt;=TodayDate+14)),"Rebook - due and nothing booked",IF(IF(K255="",FALSE,ABS(DATE(YEAR(TodayDate),MONTH(K255),DAY(K255))-TodayDate)&lt;=7),"Birthday - send the treat","OK")))))))))</f>
        <v>0</v>
      </c>
    </row>
    <row r="256" spans="1:43">
      <c r="A256" s="28">
        <f>IF(B256="","",ClientPrefix&amp;TEXT(ROW()-4,"0000"))</f>
        <v>0</v>
      </c>
      <c r="J256" s="15">
        <f>IF(I256="","",IFERROR(INDEX(Staff!$B$5:$B$44,MATCH(I256,Staff!$A$5:$A$44,0)),"Not in Staff"))</f>
        <v>0</v>
      </c>
      <c r="T256" s="25">
        <f>IF(B256="","",COUNTIFS(Appointments!$E$5:$E$1204,A256,Appointments!$M$5:$M$1204,"Completed"))</f>
        <v>0</v>
      </c>
      <c r="U256" s="25">
        <f>IF(B256="","",COUNTIFS(Appointments!$E$5:$E$1204,A256,Appointments!$M$5:$M$1204,"Completed",Appointments!$B$5:$B$1204,"&gt;="&amp;TodayDate-365))</f>
        <v>0</v>
      </c>
      <c r="V256" s="25">
        <f>IF(B256="","",COUNTIFS(Appointments!$E$5:$E$1204,A256,Appointments!$M$5:$M$1204,"Cancelled"))</f>
        <v>0</v>
      </c>
      <c r="W256" s="25">
        <f>IF(B256="","",COUNTIFS(Appointments!$E$5:$E$1204,A256,Appointments!$M$5:$M$1204,"No show"))</f>
        <v>0</v>
      </c>
      <c r="X256" s="17">
        <f>IF(B256="","",IF(F256&lt;&gt;"",F256,IF(T256=0,"",SUMPRODUCT(MIN((Appointments!$E$5:$E$1204=A256)*(Appointments!$M$5:$M$1204="Completed")*Appointments!$B$5:$B$1204+(1-(Appointments!$E$5:$E$1204=A256)*(Appointments!$M$5:$M$1204="Completed"))*2958465)))))</f>
        <v>0</v>
      </c>
      <c r="Y256" s="17">
        <f>IF(B256="","",IF(T256=0,"",SUMPRODUCT(MAX((Appointments!$E$5:$E$1204=A256)*(Appointments!$M$5:$M$1204="Completed")*Appointments!$B$5:$B$1204))))</f>
        <v>0</v>
      </c>
      <c r="Z256" s="25">
        <f>IF(B256="","",IF(Y256="","",TodayDate-Y256))</f>
        <v>0</v>
      </c>
      <c r="AA256" s="42">
        <f>IF(B256="","",SUMPRODUCT(MIN((Appointments!$E$5:$E$1204=A256)*(Appointments!$M$5:$M$1204&lt;&gt;"Cancelled")*(Appointments!$M$5:$M$1204&lt;&gt;"Completed")*(Appointments!$M$5:$M$1204&lt;&gt;"No show")*(Appointments!$B$5:$B$1204&gt;=TodayDate)*Appointments!$B$5:$B$1204+(1-(Appointments!$E$5:$E$1204=A256)*(Appointments!$M$5:$M$1204&lt;&gt;"Cancelled")*(Appointments!$M$5:$M$1204&lt;&gt;"Completed")*(Appointments!$M$5:$M$1204&lt;&gt;"No show")*(Appointments!$B$5:$B$1204&gt;=TodayDate))*2958465)))</f>
        <v>0</v>
      </c>
      <c r="AB256" s="17">
        <f>IF(B256="","",IF(AA256&gt;=2958465,"",AA256))</f>
        <v>0</v>
      </c>
      <c r="AC256" s="25">
        <f>IF(B256="","",IF(T256&lt;2,"",ROUND((Y256-X256)/MAX(1,T256-1),0)))</f>
        <v>0</v>
      </c>
      <c r="AD256" s="17">
        <f>IF(B256="","",IF(Y256="","",Y256+IF(AC256="",RebookWeeks*7,MAX(14,AC256))))</f>
        <v>0</v>
      </c>
      <c r="AE256" s="26">
        <f>IF(B256="","",ROUND(SUMIFS(Sales!$Y$5:$Y$1204,Sales!$D$5:$D$1204,A256),2))</f>
        <v>0</v>
      </c>
      <c r="AF256" s="26">
        <f>IF(B256="","",ROUND(SUMIFS(Sales!$Y$5:$Y$1204,Sales!$D$5:$D$1204,A256,Sales!$H$5:$H$1204,"Service"),2))</f>
        <v>0</v>
      </c>
      <c r="AG256" s="26">
        <f>IF(B256="","",ROUND(SUMIFS(Sales!$Y$5:$Y$1204,Sales!$D$5:$D$1204,A256,Sales!$H$5:$H$1204,"Retail"),2))</f>
        <v>0</v>
      </c>
      <c r="AH256" s="26">
        <f>IF(B256="","",ROUND(SUMIFS(Sales!$Y$5:$Y$1204,Sales!$D$5:$D$1204,A256,Sales!$B$5:$B$1204,"&gt;="&amp;TodayDate-365),2))</f>
        <v>0</v>
      </c>
      <c r="AI256" s="26">
        <f>IF(B256="","",IF(T256=0,"",ROUND(AE256/T256,2)))</f>
        <v>0</v>
      </c>
      <c r="AJ256" s="26">
        <f>IF(B256="","",IF(AI256="","",IF(AC256="","",ROUND(AI256*(365/MAX(14,AC256)),2))))</f>
        <v>0</v>
      </c>
      <c r="AK256" s="26">
        <f>IF(B256="","",ROUND(SUMIFS(Sales!$AH$5:$AH$1204,Sales!$D$5:$D$1204,A256),2))</f>
        <v>0</v>
      </c>
      <c r="AL256" s="25">
        <f>IF(B256="","",IFERROR(INDEX(Loyalty!$P$5:$P$504,MATCH(A256,Loyalty!$B$5:$B$504,0))*1,0))</f>
        <v>0</v>
      </c>
      <c r="AM256" s="39">
        <f>IF(B256="","",IF(R256="Archived","Archived",IF(T256=0,"Not been yet",IF(Z256&gt;=InactiveDays,"Inactive",IF(Z256&gt;=LapsingDays,"Lapsing",IF(T256=1,"New",IF(AH256&gt;=VipSpend,"VIP",IF(U256&gt;=4,"Regular","Active"))))))))</f>
        <v>0</v>
      </c>
      <c r="AN256" s="38">
        <f>IF(B256="","",IF(T256&gt;=2,"Yes","No"))</f>
        <v>0</v>
      </c>
      <c r="AO256" s="25">
        <f>IF(B256="","",COUNTIFS($AE$5:$AE$504,"&gt;"&amp;AE256)+COUNTIFS($AE$5:AE256,AE256))</f>
        <v>0</v>
      </c>
      <c r="AP256" s="25">
        <f>IF(B256="","",COUNTIFS($T$5:$T$504,"&gt;"&amp;T256)+COUNTIFS($T$5:T256,T256))</f>
        <v>0</v>
      </c>
      <c r="AQ256" s="39">
        <f>IF(B256="","",IF(COUNTIF($B$5:$B$504,B256)&gt;1,"Duplicate - same name twice",IF(R256="Archived","",IF(AK256&gt;0.004,"Chase - balance outstanding",IF(AM256="Inactive","Gone - win-back offer",IF(AM256="Lapsing","Chase - lapsing, call them",IF(IF(N256="",FALSE,TodayDate-N256&gt;PatchTestDays),"Due - patch test out of date",IF(IF(AD256="",FALSE,IF(AB256&lt;&gt;"",FALSE,AD256&lt;=TodayDate+14)),"Rebook - due and nothing booked",IF(IF(K256="",FALSE,ABS(DATE(YEAR(TodayDate),MONTH(K256),DAY(K256))-TodayDate)&lt;=7),"Birthday - send the treat","OK")))))))))</f>
        <v>0</v>
      </c>
    </row>
    <row r="257" spans="1:43">
      <c r="A257" s="28">
        <f>IF(B257="","",ClientPrefix&amp;TEXT(ROW()-4,"0000"))</f>
        <v>0</v>
      </c>
      <c r="J257" s="15">
        <f>IF(I257="","",IFERROR(INDEX(Staff!$B$5:$B$44,MATCH(I257,Staff!$A$5:$A$44,0)),"Not in Staff"))</f>
        <v>0</v>
      </c>
      <c r="T257" s="25">
        <f>IF(B257="","",COUNTIFS(Appointments!$E$5:$E$1204,A257,Appointments!$M$5:$M$1204,"Completed"))</f>
        <v>0</v>
      </c>
      <c r="U257" s="25">
        <f>IF(B257="","",COUNTIFS(Appointments!$E$5:$E$1204,A257,Appointments!$M$5:$M$1204,"Completed",Appointments!$B$5:$B$1204,"&gt;="&amp;TodayDate-365))</f>
        <v>0</v>
      </c>
      <c r="V257" s="25">
        <f>IF(B257="","",COUNTIFS(Appointments!$E$5:$E$1204,A257,Appointments!$M$5:$M$1204,"Cancelled"))</f>
        <v>0</v>
      </c>
      <c r="W257" s="25">
        <f>IF(B257="","",COUNTIFS(Appointments!$E$5:$E$1204,A257,Appointments!$M$5:$M$1204,"No show"))</f>
        <v>0</v>
      </c>
      <c r="X257" s="17">
        <f>IF(B257="","",IF(F257&lt;&gt;"",F257,IF(T257=0,"",SUMPRODUCT(MIN((Appointments!$E$5:$E$1204=A257)*(Appointments!$M$5:$M$1204="Completed")*Appointments!$B$5:$B$1204+(1-(Appointments!$E$5:$E$1204=A257)*(Appointments!$M$5:$M$1204="Completed"))*2958465)))))</f>
        <v>0</v>
      </c>
      <c r="Y257" s="17">
        <f>IF(B257="","",IF(T257=0,"",SUMPRODUCT(MAX((Appointments!$E$5:$E$1204=A257)*(Appointments!$M$5:$M$1204="Completed")*Appointments!$B$5:$B$1204))))</f>
        <v>0</v>
      </c>
      <c r="Z257" s="25">
        <f>IF(B257="","",IF(Y257="","",TodayDate-Y257))</f>
        <v>0</v>
      </c>
      <c r="AA257" s="42">
        <f>IF(B257="","",SUMPRODUCT(MIN((Appointments!$E$5:$E$1204=A257)*(Appointments!$M$5:$M$1204&lt;&gt;"Cancelled")*(Appointments!$M$5:$M$1204&lt;&gt;"Completed")*(Appointments!$M$5:$M$1204&lt;&gt;"No show")*(Appointments!$B$5:$B$1204&gt;=TodayDate)*Appointments!$B$5:$B$1204+(1-(Appointments!$E$5:$E$1204=A257)*(Appointments!$M$5:$M$1204&lt;&gt;"Cancelled")*(Appointments!$M$5:$M$1204&lt;&gt;"Completed")*(Appointments!$M$5:$M$1204&lt;&gt;"No show")*(Appointments!$B$5:$B$1204&gt;=TodayDate))*2958465)))</f>
        <v>0</v>
      </c>
      <c r="AB257" s="17">
        <f>IF(B257="","",IF(AA257&gt;=2958465,"",AA257))</f>
        <v>0</v>
      </c>
      <c r="AC257" s="25">
        <f>IF(B257="","",IF(T257&lt;2,"",ROUND((Y257-X257)/MAX(1,T257-1),0)))</f>
        <v>0</v>
      </c>
      <c r="AD257" s="17">
        <f>IF(B257="","",IF(Y257="","",Y257+IF(AC257="",RebookWeeks*7,MAX(14,AC257))))</f>
        <v>0</v>
      </c>
      <c r="AE257" s="26">
        <f>IF(B257="","",ROUND(SUMIFS(Sales!$Y$5:$Y$1204,Sales!$D$5:$D$1204,A257),2))</f>
        <v>0</v>
      </c>
      <c r="AF257" s="26">
        <f>IF(B257="","",ROUND(SUMIFS(Sales!$Y$5:$Y$1204,Sales!$D$5:$D$1204,A257,Sales!$H$5:$H$1204,"Service"),2))</f>
        <v>0</v>
      </c>
      <c r="AG257" s="26">
        <f>IF(B257="","",ROUND(SUMIFS(Sales!$Y$5:$Y$1204,Sales!$D$5:$D$1204,A257,Sales!$H$5:$H$1204,"Retail"),2))</f>
        <v>0</v>
      </c>
      <c r="AH257" s="26">
        <f>IF(B257="","",ROUND(SUMIFS(Sales!$Y$5:$Y$1204,Sales!$D$5:$D$1204,A257,Sales!$B$5:$B$1204,"&gt;="&amp;TodayDate-365),2))</f>
        <v>0</v>
      </c>
      <c r="AI257" s="26">
        <f>IF(B257="","",IF(T257=0,"",ROUND(AE257/T257,2)))</f>
        <v>0</v>
      </c>
      <c r="AJ257" s="26">
        <f>IF(B257="","",IF(AI257="","",IF(AC257="","",ROUND(AI257*(365/MAX(14,AC257)),2))))</f>
        <v>0</v>
      </c>
      <c r="AK257" s="26">
        <f>IF(B257="","",ROUND(SUMIFS(Sales!$AH$5:$AH$1204,Sales!$D$5:$D$1204,A257),2))</f>
        <v>0</v>
      </c>
      <c r="AL257" s="25">
        <f>IF(B257="","",IFERROR(INDEX(Loyalty!$P$5:$P$504,MATCH(A257,Loyalty!$B$5:$B$504,0))*1,0))</f>
        <v>0</v>
      </c>
      <c r="AM257" s="39">
        <f>IF(B257="","",IF(R257="Archived","Archived",IF(T257=0,"Not been yet",IF(Z257&gt;=InactiveDays,"Inactive",IF(Z257&gt;=LapsingDays,"Lapsing",IF(T257=1,"New",IF(AH257&gt;=VipSpend,"VIP",IF(U257&gt;=4,"Regular","Active"))))))))</f>
        <v>0</v>
      </c>
      <c r="AN257" s="38">
        <f>IF(B257="","",IF(T257&gt;=2,"Yes","No"))</f>
        <v>0</v>
      </c>
      <c r="AO257" s="25">
        <f>IF(B257="","",COUNTIFS($AE$5:$AE$504,"&gt;"&amp;AE257)+COUNTIFS($AE$5:AE257,AE257))</f>
        <v>0</v>
      </c>
      <c r="AP257" s="25">
        <f>IF(B257="","",COUNTIFS($T$5:$T$504,"&gt;"&amp;T257)+COUNTIFS($T$5:T257,T257))</f>
        <v>0</v>
      </c>
      <c r="AQ257" s="39">
        <f>IF(B257="","",IF(COUNTIF($B$5:$B$504,B257)&gt;1,"Duplicate - same name twice",IF(R257="Archived","",IF(AK257&gt;0.004,"Chase - balance outstanding",IF(AM257="Inactive","Gone - win-back offer",IF(AM257="Lapsing","Chase - lapsing, call them",IF(IF(N257="",FALSE,TodayDate-N257&gt;PatchTestDays),"Due - patch test out of date",IF(IF(AD257="",FALSE,IF(AB257&lt;&gt;"",FALSE,AD257&lt;=TodayDate+14)),"Rebook - due and nothing booked",IF(IF(K257="",FALSE,ABS(DATE(YEAR(TodayDate),MONTH(K257),DAY(K257))-TodayDate)&lt;=7),"Birthday - send the treat","OK")))))))))</f>
        <v>0</v>
      </c>
    </row>
    <row r="258" spans="1:43">
      <c r="A258" s="28">
        <f>IF(B258="","",ClientPrefix&amp;TEXT(ROW()-4,"0000"))</f>
        <v>0</v>
      </c>
      <c r="J258" s="15">
        <f>IF(I258="","",IFERROR(INDEX(Staff!$B$5:$B$44,MATCH(I258,Staff!$A$5:$A$44,0)),"Not in Staff"))</f>
        <v>0</v>
      </c>
      <c r="T258" s="25">
        <f>IF(B258="","",COUNTIFS(Appointments!$E$5:$E$1204,A258,Appointments!$M$5:$M$1204,"Completed"))</f>
        <v>0</v>
      </c>
      <c r="U258" s="25">
        <f>IF(B258="","",COUNTIFS(Appointments!$E$5:$E$1204,A258,Appointments!$M$5:$M$1204,"Completed",Appointments!$B$5:$B$1204,"&gt;="&amp;TodayDate-365))</f>
        <v>0</v>
      </c>
      <c r="V258" s="25">
        <f>IF(B258="","",COUNTIFS(Appointments!$E$5:$E$1204,A258,Appointments!$M$5:$M$1204,"Cancelled"))</f>
        <v>0</v>
      </c>
      <c r="W258" s="25">
        <f>IF(B258="","",COUNTIFS(Appointments!$E$5:$E$1204,A258,Appointments!$M$5:$M$1204,"No show"))</f>
        <v>0</v>
      </c>
      <c r="X258" s="17">
        <f>IF(B258="","",IF(F258&lt;&gt;"",F258,IF(T258=0,"",SUMPRODUCT(MIN((Appointments!$E$5:$E$1204=A258)*(Appointments!$M$5:$M$1204="Completed")*Appointments!$B$5:$B$1204+(1-(Appointments!$E$5:$E$1204=A258)*(Appointments!$M$5:$M$1204="Completed"))*2958465)))))</f>
        <v>0</v>
      </c>
      <c r="Y258" s="17">
        <f>IF(B258="","",IF(T258=0,"",SUMPRODUCT(MAX((Appointments!$E$5:$E$1204=A258)*(Appointments!$M$5:$M$1204="Completed")*Appointments!$B$5:$B$1204))))</f>
        <v>0</v>
      </c>
      <c r="Z258" s="25">
        <f>IF(B258="","",IF(Y258="","",TodayDate-Y258))</f>
        <v>0</v>
      </c>
      <c r="AA258" s="42">
        <f>IF(B258="","",SUMPRODUCT(MIN((Appointments!$E$5:$E$1204=A258)*(Appointments!$M$5:$M$1204&lt;&gt;"Cancelled")*(Appointments!$M$5:$M$1204&lt;&gt;"Completed")*(Appointments!$M$5:$M$1204&lt;&gt;"No show")*(Appointments!$B$5:$B$1204&gt;=TodayDate)*Appointments!$B$5:$B$1204+(1-(Appointments!$E$5:$E$1204=A258)*(Appointments!$M$5:$M$1204&lt;&gt;"Cancelled")*(Appointments!$M$5:$M$1204&lt;&gt;"Completed")*(Appointments!$M$5:$M$1204&lt;&gt;"No show")*(Appointments!$B$5:$B$1204&gt;=TodayDate))*2958465)))</f>
        <v>0</v>
      </c>
      <c r="AB258" s="17">
        <f>IF(B258="","",IF(AA258&gt;=2958465,"",AA258))</f>
        <v>0</v>
      </c>
      <c r="AC258" s="25">
        <f>IF(B258="","",IF(T258&lt;2,"",ROUND((Y258-X258)/MAX(1,T258-1),0)))</f>
        <v>0</v>
      </c>
      <c r="AD258" s="17">
        <f>IF(B258="","",IF(Y258="","",Y258+IF(AC258="",RebookWeeks*7,MAX(14,AC258))))</f>
        <v>0</v>
      </c>
      <c r="AE258" s="26">
        <f>IF(B258="","",ROUND(SUMIFS(Sales!$Y$5:$Y$1204,Sales!$D$5:$D$1204,A258),2))</f>
        <v>0</v>
      </c>
      <c r="AF258" s="26">
        <f>IF(B258="","",ROUND(SUMIFS(Sales!$Y$5:$Y$1204,Sales!$D$5:$D$1204,A258,Sales!$H$5:$H$1204,"Service"),2))</f>
        <v>0</v>
      </c>
      <c r="AG258" s="26">
        <f>IF(B258="","",ROUND(SUMIFS(Sales!$Y$5:$Y$1204,Sales!$D$5:$D$1204,A258,Sales!$H$5:$H$1204,"Retail"),2))</f>
        <v>0</v>
      </c>
      <c r="AH258" s="26">
        <f>IF(B258="","",ROUND(SUMIFS(Sales!$Y$5:$Y$1204,Sales!$D$5:$D$1204,A258,Sales!$B$5:$B$1204,"&gt;="&amp;TodayDate-365),2))</f>
        <v>0</v>
      </c>
      <c r="AI258" s="26">
        <f>IF(B258="","",IF(T258=0,"",ROUND(AE258/T258,2)))</f>
        <v>0</v>
      </c>
      <c r="AJ258" s="26">
        <f>IF(B258="","",IF(AI258="","",IF(AC258="","",ROUND(AI258*(365/MAX(14,AC258)),2))))</f>
        <v>0</v>
      </c>
      <c r="AK258" s="26">
        <f>IF(B258="","",ROUND(SUMIFS(Sales!$AH$5:$AH$1204,Sales!$D$5:$D$1204,A258),2))</f>
        <v>0</v>
      </c>
      <c r="AL258" s="25">
        <f>IF(B258="","",IFERROR(INDEX(Loyalty!$P$5:$P$504,MATCH(A258,Loyalty!$B$5:$B$504,0))*1,0))</f>
        <v>0</v>
      </c>
      <c r="AM258" s="39">
        <f>IF(B258="","",IF(R258="Archived","Archived",IF(T258=0,"Not been yet",IF(Z258&gt;=InactiveDays,"Inactive",IF(Z258&gt;=LapsingDays,"Lapsing",IF(T258=1,"New",IF(AH258&gt;=VipSpend,"VIP",IF(U258&gt;=4,"Regular","Active"))))))))</f>
        <v>0</v>
      </c>
      <c r="AN258" s="38">
        <f>IF(B258="","",IF(T258&gt;=2,"Yes","No"))</f>
        <v>0</v>
      </c>
      <c r="AO258" s="25">
        <f>IF(B258="","",COUNTIFS($AE$5:$AE$504,"&gt;"&amp;AE258)+COUNTIFS($AE$5:AE258,AE258))</f>
        <v>0</v>
      </c>
      <c r="AP258" s="25">
        <f>IF(B258="","",COUNTIFS($T$5:$T$504,"&gt;"&amp;T258)+COUNTIFS($T$5:T258,T258))</f>
        <v>0</v>
      </c>
      <c r="AQ258" s="39">
        <f>IF(B258="","",IF(COUNTIF($B$5:$B$504,B258)&gt;1,"Duplicate - same name twice",IF(R258="Archived","",IF(AK258&gt;0.004,"Chase - balance outstanding",IF(AM258="Inactive","Gone - win-back offer",IF(AM258="Lapsing","Chase - lapsing, call them",IF(IF(N258="",FALSE,TodayDate-N258&gt;PatchTestDays),"Due - patch test out of date",IF(IF(AD258="",FALSE,IF(AB258&lt;&gt;"",FALSE,AD258&lt;=TodayDate+14)),"Rebook - due and nothing booked",IF(IF(K258="",FALSE,ABS(DATE(YEAR(TodayDate),MONTH(K258),DAY(K258))-TodayDate)&lt;=7),"Birthday - send the treat","OK")))))))))</f>
        <v>0</v>
      </c>
    </row>
    <row r="259" spans="1:43">
      <c r="A259" s="28">
        <f>IF(B259="","",ClientPrefix&amp;TEXT(ROW()-4,"0000"))</f>
        <v>0</v>
      </c>
      <c r="J259" s="15">
        <f>IF(I259="","",IFERROR(INDEX(Staff!$B$5:$B$44,MATCH(I259,Staff!$A$5:$A$44,0)),"Not in Staff"))</f>
        <v>0</v>
      </c>
      <c r="T259" s="25">
        <f>IF(B259="","",COUNTIFS(Appointments!$E$5:$E$1204,A259,Appointments!$M$5:$M$1204,"Completed"))</f>
        <v>0</v>
      </c>
      <c r="U259" s="25">
        <f>IF(B259="","",COUNTIFS(Appointments!$E$5:$E$1204,A259,Appointments!$M$5:$M$1204,"Completed",Appointments!$B$5:$B$1204,"&gt;="&amp;TodayDate-365))</f>
        <v>0</v>
      </c>
      <c r="V259" s="25">
        <f>IF(B259="","",COUNTIFS(Appointments!$E$5:$E$1204,A259,Appointments!$M$5:$M$1204,"Cancelled"))</f>
        <v>0</v>
      </c>
      <c r="W259" s="25">
        <f>IF(B259="","",COUNTIFS(Appointments!$E$5:$E$1204,A259,Appointments!$M$5:$M$1204,"No show"))</f>
        <v>0</v>
      </c>
      <c r="X259" s="17">
        <f>IF(B259="","",IF(F259&lt;&gt;"",F259,IF(T259=0,"",SUMPRODUCT(MIN((Appointments!$E$5:$E$1204=A259)*(Appointments!$M$5:$M$1204="Completed")*Appointments!$B$5:$B$1204+(1-(Appointments!$E$5:$E$1204=A259)*(Appointments!$M$5:$M$1204="Completed"))*2958465)))))</f>
        <v>0</v>
      </c>
      <c r="Y259" s="17">
        <f>IF(B259="","",IF(T259=0,"",SUMPRODUCT(MAX((Appointments!$E$5:$E$1204=A259)*(Appointments!$M$5:$M$1204="Completed")*Appointments!$B$5:$B$1204))))</f>
        <v>0</v>
      </c>
      <c r="Z259" s="25">
        <f>IF(B259="","",IF(Y259="","",TodayDate-Y259))</f>
        <v>0</v>
      </c>
      <c r="AA259" s="42">
        <f>IF(B259="","",SUMPRODUCT(MIN((Appointments!$E$5:$E$1204=A259)*(Appointments!$M$5:$M$1204&lt;&gt;"Cancelled")*(Appointments!$M$5:$M$1204&lt;&gt;"Completed")*(Appointments!$M$5:$M$1204&lt;&gt;"No show")*(Appointments!$B$5:$B$1204&gt;=TodayDate)*Appointments!$B$5:$B$1204+(1-(Appointments!$E$5:$E$1204=A259)*(Appointments!$M$5:$M$1204&lt;&gt;"Cancelled")*(Appointments!$M$5:$M$1204&lt;&gt;"Completed")*(Appointments!$M$5:$M$1204&lt;&gt;"No show")*(Appointments!$B$5:$B$1204&gt;=TodayDate))*2958465)))</f>
        <v>0</v>
      </c>
      <c r="AB259" s="17">
        <f>IF(B259="","",IF(AA259&gt;=2958465,"",AA259))</f>
        <v>0</v>
      </c>
      <c r="AC259" s="25">
        <f>IF(B259="","",IF(T259&lt;2,"",ROUND((Y259-X259)/MAX(1,T259-1),0)))</f>
        <v>0</v>
      </c>
      <c r="AD259" s="17">
        <f>IF(B259="","",IF(Y259="","",Y259+IF(AC259="",RebookWeeks*7,MAX(14,AC259))))</f>
        <v>0</v>
      </c>
      <c r="AE259" s="26">
        <f>IF(B259="","",ROUND(SUMIFS(Sales!$Y$5:$Y$1204,Sales!$D$5:$D$1204,A259),2))</f>
        <v>0</v>
      </c>
      <c r="AF259" s="26">
        <f>IF(B259="","",ROUND(SUMIFS(Sales!$Y$5:$Y$1204,Sales!$D$5:$D$1204,A259,Sales!$H$5:$H$1204,"Service"),2))</f>
        <v>0</v>
      </c>
      <c r="AG259" s="26">
        <f>IF(B259="","",ROUND(SUMIFS(Sales!$Y$5:$Y$1204,Sales!$D$5:$D$1204,A259,Sales!$H$5:$H$1204,"Retail"),2))</f>
        <v>0</v>
      </c>
      <c r="AH259" s="26">
        <f>IF(B259="","",ROUND(SUMIFS(Sales!$Y$5:$Y$1204,Sales!$D$5:$D$1204,A259,Sales!$B$5:$B$1204,"&gt;="&amp;TodayDate-365),2))</f>
        <v>0</v>
      </c>
      <c r="AI259" s="26">
        <f>IF(B259="","",IF(T259=0,"",ROUND(AE259/T259,2)))</f>
        <v>0</v>
      </c>
      <c r="AJ259" s="26">
        <f>IF(B259="","",IF(AI259="","",IF(AC259="","",ROUND(AI259*(365/MAX(14,AC259)),2))))</f>
        <v>0</v>
      </c>
      <c r="AK259" s="26">
        <f>IF(B259="","",ROUND(SUMIFS(Sales!$AH$5:$AH$1204,Sales!$D$5:$D$1204,A259),2))</f>
        <v>0</v>
      </c>
      <c r="AL259" s="25">
        <f>IF(B259="","",IFERROR(INDEX(Loyalty!$P$5:$P$504,MATCH(A259,Loyalty!$B$5:$B$504,0))*1,0))</f>
        <v>0</v>
      </c>
      <c r="AM259" s="39">
        <f>IF(B259="","",IF(R259="Archived","Archived",IF(T259=0,"Not been yet",IF(Z259&gt;=InactiveDays,"Inactive",IF(Z259&gt;=LapsingDays,"Lapsing",IF(T259=1,"New",IF(AH259&gt;=VipSpend,"VIP",IF(U259&gt;=4,"Regular","Active"))))))))</f>
        <v>0</v>
      </c>
      <c r="AN259" s="38">
        <f>IF(B259="","",IF(T259&gt;=2,"Yes","No"))</f>
        <v>0</v>
      </c>
      <c r="AO259" s="25">
        <f>IF(B259="","",COUNTIFS($AE$5:$AE$504,"&gt;"&amp;AE259)+COUNTIFS($AE$5:AE259,AE259))</f>
        <v>0</v>
      </c>
      <c r="AP259" s="25">
        <f>IF(B259="","",COUNTIFS($T$5:$T$504,"&gt;"&amp;T259)+COUNTIFS($T$5:T259,T259))</f>
        <v>0</v>
      </c>
      <c r="AQ259" s="39">
        <f>IF(B259="","",IF(COUNTIF($B$5:$B$504,B259)&gt;1,"Duplicate - same name twice",IF(R259="Archived","",IF(AK259&gt;0.004,"Chase - balance outstanding",IF(AM259="Inactive","Gone - win-back offer",IF(AM259="Lapsing","Chase - lapsing, call them",IF(IF(N259="",FALSE,TodayDate-N259&gt;PatchTestDays),"Due - patch test out of date",IF(IF(AD259="",FALSE,IF(AB259&lt;&gt;"",FALSE,AD259&lt;=TodayDate+14)),"Rebook - due and nothing booked",IF(IF(K259="",FALSE,ABS(DATE(YEAR(TodayDate),MONTH(K259),DAY(K259))-TodayDate)&lt;=7),"Birthday - send the treat","OK")))))))))</f>
        <v>0</v>
      </c>
    </row>
    <row r="260" spans="1:43">
      <c r="A260" s="28">
        <f>IF(B260="","",ClientPrefix&amp;TEXT(ROW()-4,"0000"))</f>
        <v>0</v>
      </c>
      <c r="J260" s="15">
        <f>IF(I260="","",IFERROR(INDEX(Staff!$B$5:$B$44,MATCH(I260,Staff!$A$5:$A$44,0)),"Not in Staff"))</f>
        <v>0</v>
      </c>
      <c r="T260" s="25">
        <f>IF(B260="","",COUNTIFS(Appointments!$E$5:$E$1204,A260,Appointments!$M$5:$M$1204,"Completed"))</f>
        <v>0</v>
      </c>
      <c r="U260" s="25">
        <f>IF(B260="","",COUNTIFS(Appointments!$E$5:$E$1204,A260,Appointments!$M$5:$M$1204,"Completed",Appointments!$B$5:$B$1204,"&gt;="&amp;TodayDate-365))</f>
        <v>0</v>
      </c>
      <c r="V260" s="25">
        <f>IF(B260="","",COUNTIFS(Appointments!$E$5:$E$1204,A260,Appointments!$M$5:$M$1204,"Cancelled"))</f>
        <v>0</v>
      </c>
      <c r="W260" s="25">
        <f>IF(B260="","",COUNTIFS(Appointments!$E$5:$E$1204,A260,Appointments!$M$5:$M$1204,"No show"))</f>
        <v>0</v>
      </c>
      <c r="X260" s="17">
        <f>IF(B260="","",IF(F260&lt;&gt;"",F260,IF(T260=0,"",SUMPRODUCT(MIN((Appointments!$E$5:$E$1204=A260)*(Appointments!$M$5:$M$1204="Completed")*Appointments!$B$5:$B$1204+(1-(Appointments!$E$5:$E$1204=A260)*(Appointments!$M$5:$M$1204="Completed"))*2958465)))))</f>
        <v>0</v>
      </c>
      <c r="Y260" s="17">
        <f>IF(B260="","",IF(T260=0,"",SUMPRODUCT(MAX((Appointments!$E$5:$E$1204=A260)*(Appointments!$M$5:$M$1204="Completed")*Appointments!$B$5:$B$1204))))</f>
        <v>0</v>
      </c>
      <c r="Z260" s="25">
        <f>IF(B260="","",IF(Y260="","",TodayDate-Y260))</f>
        <v>0</v>
      </c>
      <c r="AA260" s="42">
        <f>IF(B260="","",SUMPRODUCT(MIN((Appointments!$E$5:$E$1204=A260)*(Appointments!$M$5:$M$1204&lt;&gt;"Cancelled")*(Appointments!$M$5:$M$1204&lt;&gt;"Completed")*(Appointments!$M$5:$M$1204&lt;&gt;"No show")*(Appointments!$B$5:$B$1204&gt;=TodayDate)*Appointments!$B$5:$B$1204+(1-(Appointments!$E$5:$E$1204=A260)*(Appointments!$M$5:$M$1204&lt;&gt;"Cancelled")*(Appointments!$M$5:$M$1204&lt;&gt;"Completed")*(Appointments!$M$5:$M$1204&lt;&gt;"No show")*(Appointments!$B$5:$B$1204&gt;=TodayDate))*2958465)))</f>
        <v>0</v>
      </c>
      <c r="AB260" s="17">
        <f>IF(B260="","",IF(AA260&gt;=2958465,"",AA260))</f>
        <v>0</v>
      </c>
      <c r="AC260" s="25">
        <f>IF(B260="","",IF(T260&lt;2,"",ROUND((Y260-X260)/MAX(1,T260-1),0)))</f>
        <v>0</v>
      </c>
      <c r="AD260" s="17">
        <f>IF(B260="","",IF(Y260="","",Y260+IF(AC260="",RebookWeeks*7,MAX(14,AC260))))</f>
        <v>0</v>
      </c>
      <c r="AE260" s="26">
        <f>IF(B260="","",ROUND(SUMIFS(Sales!$Y$5:$Y$1204,Sales!$D$5:$D$1204,A260),2))</f>
        <v>0</v>
      </c>
      <c r="AF260" s="26">
        <f>IF(B260="","",ROUND(SUMIFS(Sales!$Y$5:$Y$1204,Sales!$D$5:$D$1204,A260,Sales!$H$5:$H$1204,"Service"),2))</f>
        <v>0</v>
      </c>
      <c r="AG260" s="26">
        <f>IF(B260="","",ROUND(SUMIFS(Sales!$Y$5:$Y$1204,Sales!$D$5:$D$1204,A260,Sales!$H$5:$H$1204,"Retail"),2))</f>
        <v>0</v>
      </c>
      <c r="AH260" s="26">
        <f>IF(B260="","",ROUND(SUMIFS(Sales!$Y$5:$Y$1204,Sales!$D$5:$D$1204,A260,Sales!$B$5:$B$1204,"&gt;="&amp;TodayDate-365),2))</f>
        <v>0</v>
      </c>
      <c r="AI260" s="26">
        <f>IF(B260="","",IF(T260=0,"",ROUND(AE260/T260,2)))</f>
        <v>0</v>
      </c>
      <c r="AJ260" s="26">
        <f>IF(B260="","",IF(AI260="","",IF(AC260="","",ROUND(AI260*(365/MAX(14,AC260)),2))))</f>
        <v>0</v>
      </c>
      <c r="AK260" s="26">
        <f>IF(B260="","",ROUND(SUMIFS(Sales!$AH$5:$AH$1204,Sales!$D$5:$D$1204,A260),2))</f>
        <v>0</v>
      </c>
      <c r="AL260" s="25">
        <f>IF(B260="","",IFERROR(INDEX(Loyalty!$P$5:$P$504,MATCH(A260,Loyalty!$B$5:$B$504,0))*1,0))</f>
        <v>0</v>
      </c>
      <c r="AM260" s="39">
        <f>IF(B260="","",IF(R260="Archived","Archived",IF(T260=0,"Not been yet",IF(Z260&gt;=InactiveDays,"Inactive",IF(Z260&gt;=LapsingDays,"Lapsing",IF(T260=1,"New",IF(AH260&gt;=VipSpend,"VIP",IF(U260&gt;=4,"Regular","Active"))))))))</f>
        <v>0</v>
      </c>
      <c r="AN260" s="38">
        <f>IF(B260="","",IF(T260&gt;=2,"Yes","No"))</f>
        <v>0</v>
      </c>
      <c r="AO260" s="25">
        <f>IF(B260="","",COUNTIFS($AE$5:$AE$504,"&gt;"&amp;AE260)+COUNTIFS($AE$5:AE260,AE260))</f>
        <v>0</v>
      </c>
      <c r="AP260" s="25">
        <f>IF(B260="","",COUNTIFS($T$5:$T$504,"&gt;"&amp;T260)+COUNTIFS($T$5:T260,T260))</f>
        <v>0</v>
      </c>
      <c r="AQ260" s="39">
        <f>IF(B260="","",IF(COUNTIF($B$5:$B$504,B260)&gt;1,"Duplicate - same name twice",IF(R260="Archived","",IF(AK260&gt;0.004,"Chase - balance outstanding",IF(AM260="Inactive","Gone - win-back offer",IF(AM260="Lapsing","Chase - lapsing, call them",IF(IF(N260="",FALSE,TodayDate-N260&gt;PatchTestDays),"Due - patch test out of date",IF(IF(AD260="",FALSE,IF(AB260&lt;&gt;"",FALSE,AD260&lt;=TodayDate+14)),"Rebook - due and nothing booked",IF(IF(K260="",FALSE,ABS(DATE(YEAR(TodayDate),MONTH(K260),DAY(K260))-TodayDate)&lt;=7),"Birthday - send the treat","OK")))))))))</f>
        <v>0</v>
      </c>
    </row>
    <row r="261" spans="1:43">
      <c r="A261" s="28">
        <f>IF(B261="","",ClientPrefix&amp;TEXT(ROW()-4,"0000"))</f>
        <v>0</v>
      </c>
      <c r="J261" s="15">
        <f>IF(I261="","",IFERROR(INDEX(Staff!$B$5:$B$44,MATCH(I261,Staff!$A$5:$A$44,0)),"Not in Staff"))</f>
        <v>0</v>
      </c>
      <c r="T261" s="25">
        <f>IF(B261="","",COUNTIFS(Appointments!$E$5:$E$1204,A261,Appointments!$M$5:$M$1204,"Completed"))</f>
        <v>0</v>
      </c>
      <c r="U261" s="25">
        <f>IF(B261="","",COUNTIFS(Appointments!$E$5:$E$1204,A261,Appointments!$M$5:$M$1204,"Completed",Appointments!$B$5:$B$1204,"&gt;="&amp;TodayDate-365))</f>
        <v>0</v>
      </c>
      <c r="V261" s="25">
        <f>IF(B261="","",COUNTIFS(Appointments!$E$5:$E$1204,A261,Appointments!$M$5:$M$1204,"Cancelled"))</f>
        <v>0</v>
      </c>
      <c r="W261" s="25">
        <f>IF(B261="","",COUNTIFS(Appointments!$E$5:$E$1204,A261,Appointments!$M$5:$M$1204,"No show"))</f>
        <v>0</v>
      </c>
      <c r="X261" s="17">
        <f>IF(B261="","",IF(F261&lt;&gt;"",F261,IF(T261=0,"",SUMPRODUCT(MIN((Appointments!$E$5:$E$1204=A261)*(Appointments!$M$5:$M$1204="Completed")*Appointments!$B$5:$B$1204+(1-(Appointments!$E$5:$E$1204=A261)*(Appointments!$M$5:$M$1204="Completed"))*2958465)))))</f>
        <v>0</v>
      </c>
      <c r="Y261" s="17">
        <f>IF(B261="","",IF(T261=0,"",SUMPRODUCT(MAX((Appointments!$E$5:$E$1204=A261)*(Appointments!$M$5:$M$1204="Completed")*Appointments!$B$5:$B$1204))))</f>
        <v>0</v>
      </c>
      <c r="Z261" s="25">
        <f>IF(B261="","",IF(Y261="","",TodayDate-Y261))</f>
        <v>0</v>
      </c>
      <c r="AA261" s="42">
        <f>IF(B261="","",SUMPRODUCT(MIN((Appointments!$E$5:$E$1204=A261)*(Appointments!$M$5:$M$1204&lt;&gt;"Cancelled")*(Appointments!$M$5:$M$1204&lt;&gt;"Completed")*(Appointments!$M$5:$M$1204&lt;&gt;"No show")*(Appointments!$B$5:$B$1204&gt;=TodayDate)*Appointments!$B$5:$B$1204+(1-(Appointments!$E$5:$E$1204=A261)*(Appointments!$M$5:$M$1204&lt;&gt;"Cancelled")*(Appointments!$M$5:$M$1204&lt;&gt;"Completed")*(Appointments!$M$5:$M$1204&lt;&gt;"No show")*(Appointments!$B$5:$B$1204&gt;=TodayDate))*2958465)))</f>
        <v>0</v>
      </c>
      <c r="AB261" s="17">
        <f>IF(B261="","",IF(AA261&gt;=2958465,"",AA261))</f>
        <v>0</v>
      </c>
      <c r="AC261" s="25">
        <f>IF(B261="","",IF(T261&lt;2,"",ROUND((Y261-X261)/MAX(1,T261-1),0)))</f>
        <v>0</v>
      </c>
      <c r="AD261" s="17">
        <f>IF(B261="","",IF(Y261="","",Y261+IF(AC261="",RebookWeeks*7,MAX(14,AC261))))</f>
        <v>0</v>
      </c>
      <c r="AE261" s="26">
        <f>IF(B261="","",ROUND(SUMIFS(Sales!$Y$5:$Y$1204,Sales!$D$5:$D$1204,A261),2))</f>
        <v>0</v>
      </c>
      <c r="AF261" s="26">
        <f>IF(B261="","",ROUND(SUMIFS(Sales!$Y$5:$Y$1204,Sales!$D$5:$D$1204,A261,Sales!$H$5:$H$1204,"Service"),2))</f>
        <v>0</v>
      </c>
      <c r="AG261" s="26">
        <f>IF(B261="","",ROUND(SUMIFS(Sales!$Y$5:$Y$1204,Sales!$D$5:$D$1204,A261,Sales!$H$5:$H$1204,"Retail"),2))</f>
        <v>0</v>
      </c>
      <c r="AH261" s="26">
        <f>IF(B261="","",ROUND(SUMIFS(Sales!$Y$5:$Y$1204,Sales!$D$5:$D$1204,A261,Sales!$B$5:$B$1204,"&gt;="&amp;TodayDate-365),2))</f>
        <v>0</v>
      </c>
      <c r="AI261" s="26">
        <f>IF(B261="","",IF(T261=0,"",ROUND(AE261/T261,2)))</f>
        <v>0</v>
      </c>
      <c r="AJ261" s="26">
        <f>IF(B261="","",IF(AI261="","",IF(AC261="","",ROUND(AI261*(365/MAX(14,AC261)),2))))</f>
        <v>0</v>
      </c>
      <c r="AK261" s="26">
        <f>IF(B261="","",ROUND(SUMIFS(Sales!$AH$5:$AH$1204,Sales!$D$5:$D$1204,A261),2))</f>
        <v>0</v>
      </c>
      <c r="AL261" s="25">
        <f>IF(B261="","",IFERROR(INDEX(Loyalty!$P$5:$P$504,MATCH(A261,Loyalty!$B$5:$B$504,0))*1,0))</f>
        <v>0</v>
      </c>
      <c r="AM261" s="39">
        <f>IF(B261="","",IF(R261="Archived","Archived",IF(T261=0,"Not been yet",IF(Z261&gt;=InactiveDays,"Inactive",IF(Z261&gt;=LapsingDays,"Lapsing",IF(T261=1,"New",IF(AH261&gt;=VipSpend,"VIP",IF(U261&gt;=4,"Regular","Active"))))))))</f>
        <v>0</v>
      </c>
      <c r="AN261" s="38">
        <f>IF(B261="","",IF(T261&gt;=2,"Yes","No"))</f>
        <v>0</v>
      </c>
      <c r="AO261" s="25">
        <f>IF(B261="","",COUNTIFS($AE$5:$AE$504,"&gt;"&amp;AE261)+COUNTIFS($AE$5:AE261,AE261))</f>
        <v>0</v>
      </c>
      <c r="AP261" s="25">
        <f>IF(B261="","",COUNTIFS($T$5:$T$504,"&gt;"&amp;T261)+COUNTIFS($T$5:T261,T261))</f>
        <v>0</v>
      </c>
      <c r="AQ261" s="39">
        <f>IF(B261="","",IF(COUNTIF($B$5:$B$504,B261)&gt;1,"Duplicate - same name twice",IF(R261="Archived","",IF(AK261&gt;0.004,"Chase - balance outstanding",IF(AM261="Inactive","Gone - win-back offer",IF(AM261="Lapsing","Chase - lapsing, call them",IF(IF(N261="",FALSE,TodayDate-N261&gt;PatchTestDays),"Due - patch test out of date",IF(IF(AD261="",FALSE,IF(AB261&lt;&gt;"",FALSE,AD261&lt;=TodayDate+14)),"Rebook - due and nothing booked",IF(IF(K261="",FALSE,ABS(DATE(YEAR(TodayDate),MONTH(K261),DAY(K261))-TodayDate)&lt;=7),"Birthday - send the treat","OK")))))))))</f>
        <v>0</v>
      </c>
    </row>
    <row r="262" spans="1:43">
      <c r="A262" s="28">
        <f>IF(B262="","",ClientPrefix&amp;TEXT(ROW()-4,"0000"))</f>
        <v>0</v>
      </c>
      <c r="J262" s="15">
        <f>IF(I262="","",IFERROR(INDEX(Staff!$B$5:$B$44,MATCH(I262,Staff!$A$5:$A$44,0)),"Not in Staff"))</f>
        <v>0</v>
      </c>
      <c r="T262" s="25">
        <f>IF(B262="","",COUNTIFS(Appointments!$E$5:$E$1204,A262,Appointments!$M$5:$M$1204,"Completed"))</f>
        <v>0</v>
      </c>
      <c r="U262" s="25">
        <f>IF(B262="","",COUNTIFS(Appointments!$E$5:$E$1204,A262,Appointments!$M$5:$M$1204,"Completed",Appointments!$B$5:$B$1204,"&gt;="&amp;TodayDate-365))</f>
        <v>0</v>
      </c>
      <c r="V262" s="25">
        <f>IF(B262="","",COUNTIFS(Appointments!$E$5:$E$1204,A262,Appointments!$M$5:$M$1204,"Cancelled"))</f>
        <v>0</v>
      </c>
      <c r="W262" s="25">
        <f>IF(B262="","",COUNTIFS(Appointments!$E$5:$E$1204,A262,Appointments!$M$5:$M$1204,"No show"))</f>
        <v>0</v>
      </c>
      <c r="X262" s="17">
        <f>IF(B262="","",IF(F262&lt;&gt;"",F262,IF(T262=0,"",SUMPRODUCT(MIN((Appointments!$E$5:$E$1204=A262)*(Appointments!$M$5:$M$1204="Completed")*Appointments!$B$5:$B$1204+(1-(Appointments!$E$5:$E$1204=A262)*(Appointments!$M$5:$M$1204="Completed"))*2958465)))))</f>
        <v>0</v>
      </c>
      <c r="Y262" s="17">
        <f>IF(B262="","",IF(T262=0,"",SUMPRODUCT(MAX((Appointments!$E$5:$E$1204=A262)*(Appointments!$M$5:$M$1204="Completed")*Appointments!$B$5:$B$1204))))</f>
        <v>0</v>
      </c>
      <c r="Z262" s="25">
        <f>IF(B262="","",IF(Y262="","",TodayDate-Y262))</f>
        <v>0</v>
      </c>
      <c r="AA262" s="42">
        <f>IF(B262="","",SUMPRODUCT(MIN((Appointments!$E$5:$E$1204=A262)*(Appointments!$M$5:$M$1204&lt;&gt;"Cancelled")*(Appointments!$M$5:$M$1204&lt;&gt;"Completed")*(Appointments!$M$5:$M$1204&lt;&gt;"No show")*(Appointments!$B$5:$B$1204&gt;=TodayDate)*Appointments!$B$5:$B$1204+(1-(Appointments!$E$5:$E$1204=A262)*(Appointments!$M$5:$M$1204&lt;&gt;"Cancelled")*(Appointments!$M$5:$M$1204&lt;&gt;"Completed")*(Appointments!$M$5:$M$1204&lt;&gt;"No show")*(Appointments!$B$5:$B$1204&gt;=TodayDate))*2958465)))</f>
        <v>0</v>
      </c>
      <c r="AB262" s="17">
        <f>IF(B262="","",IF(AA262&gt;=2958465,"",AA262))</f>
        <v>0</v>
      </c>
      <c r="AC262" s="25">
        <f>IF(B262="","",IF(T262&lt;2,"",ROUND((Y262-X262)/MAX(1,T262-1),0)))</f>
        <v>0</v>
      </c>
      <c r="AD262" s="17">
        <f>IF(B262="","",IF(Y262="","",Y262+IF(AC262="",RebookWeeks*7,MAX(14,AC262))))</f>
        <v>0</v>
      </c>
      <c r="AE262" s="26">
        <f>IF(B262="","",ROUND(SUMIFS(Sales!$Y$5:$Y$1204,Sales!$D$5:$D$1204,A262),2))</f>
        <v>0</v>
      </c>
      <c r="AF262" s="26">
        <f>IF(B262="","",ROUND(SUMIFS(Sales!$Y$5:$Y$1204,Sales!$D$5:$D$1204,A262,Sales!$H$5:$H$1204,"Service"),2))</f>
        <v>0</v>
      </c>
      <c r="AG262" s="26">
        <f>IF(B262="","",ROUND(SUMIFS(Sales!$Y$5:$Y$1204,Sales!$D$5:$D$1204,A262,Sales!$H$5:$H$1204,"Retail"),2))</f>
        <v>0</v>
      </c>
      <c r="AH262" s="26">
        <f>IF(B262="","",ROUND(SUMIFS(Sales!$Y$5:$Y$1204,Sales!$D$5:$D$1204,A262,Sales!$B$5:$B$1204,"&gt;="&amp;TodayDate-365),2))</f>
        <v>0</v>
      </c>
      <c r="AI262" s="26">
        <f>IF(B262="","",IF(T262=0,"",ROUND(AE262/T262,2)))</f>
        <v>0</v>
      </c>
      <c r="AJ262" s="26">
        <f>IF(B262="","",IF(AI262="","",IF(AC262="","",ROUND(AI262*(365/MAX(14,AC262)),2))))</f>
        <v>0</v>
      </c>
      <c r="AK262" s="26">
        <f>IF(B262="","",ROUND(SUMIFS(Sales!$AH$5:$AH$1204,Sales!$D$5:$D$1204,A262),2))</f>
        <v>0</v>
      </c>
      <c r="AL262" s="25">
        <f>IF(B262="","",IFERROR(INDEX(Loyalty!$P$5:$P$504,MATCH(A262,Loyalty!$B$5:$B$504,0))*1,0))</f>
        <v>0</v>
      </c>
      <c r="AM262" s="39">
        <f>IF(B262="","",IF(R262="Archived","Archived",IF(T262=0,"Not been yet",IF(Z262&gt;=InactiveDays,"Inactive",IF(Z262&gt;=LapsingDays,"Lapsing",IF(T262=1,"New",IF(AH262&gt;=VipSpend,"VIP",IF(U262&gt;=4,"Regular","Active"))))))))</f>
        <v>0</v>
      </c>
      <c r="AN262" s="38">
        <f>IF(B262="","",IF(T262&gt;=2,"Yes","No"))</f>
        <v>0</v>
      </c>
      <c r="AO262" s="25">
        <f>IF(B262="","",COUNTIFS($AE$5:$AE$504,"&gt;"&amp;AE262)+COUNTIFS($AE$5:AE262,AE262))</f>
        <v>0</v>
      </c>
      <c r="AP262" s="25">
        <f>IF(B262="","",COUNTIFS($T$5:$T$504,"&gt;"&amp;T262)+COUNTIFS($T$5:T262,T262))</f>
        <v>0</v>
      </c>
      <c r="AQ262" s="39">
        <f>IF(B262="","",IF(COUNTIF($B$5:$B$504,B262)&gt;1,"Duplicate - same name twice",IF(R262="Archived","",IF(AK262&gt;0.004,"Chase - balance outstanding",IF(AM262="Inactive","Gone - win-back offer",IF(AM262="Lapsing","Chase - lapsing, call them",IF(IF(N262="",FALSE,TodayDate-N262&gt;PatchTestDays),"Due - patch test out of date",IF(IF(AD262="",FALSE,IF(AB262&lt;&gt;"",FALSE,AD262&lt;=TodayDate+14)),"Rebook - due and nothing booked",IF(IF(K262="",FALSE,ABS(DATE(YEAR(TodayDate),MONTH(K262),DAY(K262))-TodayDate)&lt;=7),"Birthday - send the treat","OK")))))))))</f>
        <v>0</v>
      </c>
    </row>
    <row r="263" spans="1:43">
      <c r="A263" s="28">
        <f>IF(B263="","",ClientPrefix&amp;TEXT(ROW()-4,"0000"))</f>
        <v>0</v>
      </c>
      <c r="J263" s="15">
        <f>IF(I263="","",IFERROR(INDEX(Staff!$B$5:$B$44,MATCH(I263,Staff!$A$5:$A$44,0)),"Not in Staff"))</f>
        <v>0</v>
      </c>
      <c r="T263" s="25">
        <f>IF(B263="","",COUNTIFS(Appointments!$E$5:$E$1204,A263,Appointments!$M$5:$M$1204,"Completed"))</f>
        <v>0</v>
      </c>
      <c r="U263" s="25">
        <f>IF(B263="","",COUNTIFS(Appointments!$E$5:$E$1204,A263,Appointments!$M$5:$M$1204,"Completed",Appointments!$B$5:$B$1204,"&gt;="&amp;TodayDate-365))</f>
        <v>0</v>
      </c>
      <c r="V263" s="25">
        <f>IF(B263="","",COUNTIFS(Appointments!$E$5:$E$1204,A263,Appointments!$M$5:$M$1204,"Cancelled"))</f>
        <v>0</v>
      </c>
      <c r="W263" s="25">
        <f>IF(B263="","",COUNTIFS(Appointments!$E$5:$E$1204,A263,Appointments!$M$5:$M$1204,"No show"))</f>
        <v>0</v>
      </c>
      <c r="X263" s="17">
        <f>IF(B263="","",IF(F263&lt;&gt;"",F263,IF(T263=0,"",SUMPRODUCT(MIN((Appointments!$E$5:$E$1204=A263)*(Appointments!$M$5:$M$1204="Completed")*Appointments!$B$5:$B$1204+(1-(Appointments!$E$5:$E$1204=A263)*(Appointments!$M$5:$M$1204="Completed"))*2958465)))))</f>
        <v>0</v>
      </c>
      <c r="Y263" s="17">
        <f>IF(B263="","",IF(T263=0,"",SUMPRODUCT(MAX((Appointments!$E$5:$E$1204=A263)*(Appointments!$M$5:$M$1204="Completed")*Appointments!$B$5:$B$1204))))</f>
        <v>0</v>
      </c>
      <c r="Z263" s="25">
        <f>IF(B263="","",IF(Y263="","",TodayDate-Y263))</f>
        <v>0</v>
      </c>
      <c r="AA263" s="42">
        <f>IF(B263="","",SUMPRODUCT(MIN((Appointments!$E$5:$E$1204=A263)*(Appointments!$M$5:$M$1204&lt;&gt;"Cancelled")*(Appointments!$M$5:$M$1204&lt;&gt;"Completed")*(Appointments!$M$5:$M$1204&lt;&gt;"No show")*(Appointments!$B$5:$B$1204&gt;=TodayDate)*Appointments!$B$5:$B$1204+(1-(Appointments!$E$5:$E$1204=A263)*(Appointments!$M$5:$M$1204&lt;&gt;"Cancelled")*(Appointments!$M$5:$M$1204&lt;&gt;"Completed")*(Appointments!$M$5:$M$1204&lt;&gt;"No show")*(Appointments!$B$5:$B$1204&gt;=TodayDate))*2958465)))</f>
        <v>0</v>
      </c>
      <c r="AB263" s="17">
        <f>IF(B263="","",IF(AA263&gt;=2958465,"",AA263))</f>
        <v>0</v>
      </c>
      <c r="AC263" s="25">
        <f>IF(B263="","",IF(T263&lt;2,"",ROUND((Y263-X263)/MAX(1,T263-1),0)))</f>
        <v>0</v>
      </c>
      <c r="AD263" s="17">
        <f>IF(B263="","",IF(Y263="","",Y263+IF(AC263="",RebookWeeks*7,MAX(14,AC263))))</f>
        <v>0</v>
      </c>
      <c r="AE263" s="26">
        <f>IF(B263="","",ROUND(SUMIFS(Sales!$Y$5:$Y$1204,Sales!$D$5:$D$1204,A263),2))</f>
        <v>0</v>
      </c>
      <c r="AF263" s="26">
        <f>IF(B263="","",ROUND(SUMIFS(Sales!$Y$5:$Y$1204,Sales!$D$5:$D$1204,A263,Sales!$H$5:$H$1204,"Service"),2))</f>
        <v>0</v>
      </c>
      <c r="AG263" s="26">
        <f>IF(B263="","",ROUND(SUMIFS(Sales!$Y$5:$Y$1204,Sales!$D$5:$D$1204,A263,Sales!$H$5:$H$1204,"Retail"),2))</f>
        <v>0</v>
      </c>
      <c r="AH263" s="26">
        <f>IF(B263="","",ROUND(SUMIFS(Sales!$Y$5:$Y$1204,Sales!$D$5:$D$1204,A263,Sales!$B$5:$B$1204,"&gt;="&amp;TodayDate-365),2))</f>
        <v>0</v>
      </c>
      <c r="AI263" s="26">
        <f>IF(B263="","",IF(T263=0,"",ROUND(AE263/T263,2)))</f>
        <v>0</v>
      </c>
      <c r="AJ263" s="26">
        <f>IF(B263="","",IF(AI263="","",IF(AC263="","",ROUND(AI263*(365/MAX(14,AC263)),2))))</f>
        <v>0</v>
      </c>
      <c r="AK263" s="26">
        <f>IF(B263="","",ROUND(SUMIFS(Sales!$AH$5:$AH$1204,Sales!$D$5:$D$1204,A263),2))</f>
        <v>0</v>
      </c>
      <c r="AL263" s="25">
        <f>IF(B263="","",IFERROR(INDEX(Loyalty!$P$5:$P$504,MATCH(A263,Loyalty!$B$5:$B$504,0))*1,0))</f>
        <v>0</v>
      </c>
      <c r="AM263" s="39">
        <f>IF(B263="","",IF(R263="Archived","Archived",IF(T263=0,"Not been yet",IF(Z263&gt;=InactiveDays,"Inactive",IF(Z263&gt;=LapsingDays,"Lapsing",IF(T263=1,"New",IF(AH263&gt;=VipSpend,"VIP",IF(U263&gt;=4,"Regular","Active"))))))))</f>
        <v>0</v>
      </c>
      <c r="AN263" s="38">
        <f>IF(B263="","",IF(T263&gt;=2,"Yes","No"))</f>
        <v>0</v>
      </c>
      <c r="AO263" s="25">
        <f>IF(B263="","",COUNTIFS($AE$5:$AE$504,"&gt;"&amp;AE263)+COUNTIFS($AE$5:AE263,AE263))</f>
        <v>0</v>
      </c>
      <c r="AP263" s="25">
        <f>IF(B263="","",COUNTIFS($T$5:$T$504,"&gt;"&amp;T263)+COUNTIFS($T$5:T263,T263))</f>
        <v>0</v>
      </c>
      <c r="AQ263" s="39">
        <f>IF(B263="","",IF(COUNTIF($B$5:$B$504,B263)&gt;1,"Duplicate - same name twice",IF(R263="Archived","",IF(AK263&gt;0.004,"Chase - balance outstanding",IF(AM263="Inactive","Gone - win-back offer",IF(AM263="Lapsing","Chase - lapsing, call them",IF(IF(N263="",FALSE,TodayDate-N263&gt;PatchTestDays),"Due - patch test out of date",IF(IF(AD263="",FALSE,IF(AB263&lt;&gt;"",FALSE,AD263&lt;=TodayDate+14)),"Rebook - due and nothing booked",IF(IF(K263="",FALSE,ABS(DATE(YEAR(TodayDate),MONTH(K263),DAY(K263))-TodayDate)&lt;=7),"Birthday - send the treat","OK")))))))))</f>
        <v>0</v>
      </c>
    </row>
    <row r="264" spans="1:43">
      <c r="A264" s="28">
        <f>IF(B264="","",ClientPrefix&amp;TEXT(ROW()-4,"0000"))</f>
        <v>0</v>
      </c>
      <c r="J264" s="15">
        <f>IF(I264="","",IFERROR(INDEX(Staff!$B$5:$B$44,MATCH(I264,Staff!$A$5:$A$44,0)),"Not in Staff"))</f>
        <v>0</v>
      </c>
      <c r="T264" s="25">
        <f>IF(B264="","",COUNTIFS(Appointments!$E$5:$E$1204,A264,Appointments!$M$5:$M$1204,"Completed"))</f>
        <v>0</v>
      </c>
      <c r="U264" s="25">
        <f>IF(B264="","",COUNTIFS(Appointments!$E$5:$E$1204,A264,Appointments!$M$5:$M$1204,"Completed",Appointments!$B$5:$B$1204,"&gt;="&amp;TodayDate-365))</f>
        <v>0</v>
      </c>
      <c r="V264" s="25">
        <f>IF(B264="","",COUNTIFS(Appointments!$E$5:$E$1204,A264,Appointments!$M$5:$M$1204,"Cancelled"))</f>
        <v>0</v>
      </c>
      <c r="W264" s="25">
        <f>IF(B264="","",COUNTIFS(Appointments!$E$5:$E$1204,A264,Appointments!$M$5:$M$1204,"No show"))</f>
        <v>0</v>
      </c>
      <c r="X264" s="17">
        <f>IF(B264="","",IF(F264&lt;&gt;"",F264,IF(T264=0,"",SUMPRODUCT(MIN((Appointments!$E$5:$E$1204=A264)*(Appointments!$M$5:$M$1204="Completed")*Appointments!$B$5:$B$1204+(1-(Appointments!$E$5:$E$1204=A264)*(Appointments!$M$5:$M$1204="Completed"))*2958465)))))</f>
        <v>0</v>
      </c>
      <c r="Y264" s="17">
        <f>IF(B264="","",IF(T264=0,"",SUMPRODUCT(MAX((Appointments!$E$5:$E$1204=A264)*(Appointments!$M$5:$M$1204="Completed")*Appointments!$B$5:$B$1204))))</f>
        <v>0</v>
      </c>
      <c r="Z264" s="25">
        <f>IF(B264="","",IF(Y264="","",TodayDate-Y264))</f>
        <v>0</v>
      </c>
      <c r="AA264" s="42">
        <f>IF(B264="","",SUMPRODUCT(MIN((Appointments!$E$5:$E$1204=A264)*(Appointments!$M$5:$M$1204&lt;&gt;"Cancelled")*(Appointments!$M$5:$M$1204&lt;&gt;"Completed")*(Appointments!$M$5:$M$1204&lt;&gt;"No show")*(Appointments!$B$5:$B$1204&gt;=TodayDate)*Appointments!$B$5:$B$1204+(1-(Appointments!$E$5:$E$1204=A264)*(Appointments!$M$5:$M$1204&lt;&gt;"Cancelled")*(Appointments!$M$5:$M$1204&lt;&gt;"Completed")*(Appointments!$M$5:$M$1204&lt;&gt;"No show")*(Appointments!$B$5:$B$1204&gt;=TodayDate))*2958465)))</f>
        <v>0</v>
      </c>
      <c r="AB264" s="17">
        <f>IF(B264="","",IF(AA264&gt;=2958465,"",AA264))</f>
        <v>0</v>
      </c>
      <c r="AC264" s="25">
        <f>IF(B264="","",IF(T264&lt;2,"",ROUND((Y264-X264)/MAX(1,T264-1),0)))</f>
        <v>0</v>
      </c>
      <c r="AD264" s="17">
        <f>IF(B264="","",IF(Y264="","",Y264+IF(AC264="",RebookWeeks*7,MAX(14,AC264))))</f>
        <v>0</v>
      </c>
      <c r="AE264" s="26">
        <f>IF(B264="","",ROUND(SUMIFS(Sales!$Y$5:$Y$1204,Sales!$D$5:$D$1204,A264),2))</f>
        <v>0</v>
      </c>
      <c r="AF264" s="26">
        <f>IF(B264="","",ROUND(SUMIFS(Sales!$Y$5:$Y$1204,Sales!$D$5:$D$1204,A264,Sales!$H$5:$H$1204,"Service"),2))</f>
        <v>0</v>
      </c>
      <c r="AG264" s="26">
        <f>IF(B264="","",ROUND(SUMIFS(Sales!$Y$5:$Y$1204,Sales!$D$5:$D$1204,A264,Sales!$H$5:$H$1204,"Retail"),2))</f>
        <v>0</v>
      </c>
      <c r="AH264" s="26">
        <f>IF(B264="","",ROUND(SUMIFS(Sales!$Y$5:$Y$1204,Sales!$D$5:$D$1204,A264,Sales!$B$5:$B$1204,"&gt;="&amp;TodayDate-365),2))</f>
        <v>0</v>
      </c>
      <c r="AI264" s="26">
        <f>IF(B264="","",IF(T264=0,"",ROUND(AE264/T264,2)))</f>
        <v>0</v>
      </c>
      <c r="AJ264" s="26">
        <f>IF(B264="","",IF(AI264="","",IF(AC264="","",ROUND(AI264*(365/MAX(14,AC264)),2))))</f>
        <v>0</v>
      </c>
      <c r="AK264" s="26">
        <f>IF(B264="","",ROUND(SUMIFS(Sales!$AH$5:$AH$1204,Sales!$D$5:$D$1204,A264),2))</f>
        <v>0</v>
      </c>
      <c r="AL264" s="25">
        <f>IF(B264="","",IFERROR(INDEX(Loyalty!$P$5:$P$504,MATCH(A264,Loyalty!$B$5:$B$504,0))*1,0))</f>
        <v>0</v>
      </c>
      <c r="AM264" s="39">
        <f>IF(B264="","",IF(R264="Archived","Archived",IF(T264=0,"Not been yet",IF(Z264&gt;=InactiveDays,"Inactive",IF(Z264&gt;=LapsingDays,"Lapsing",IF(T264=1,"New",IF(AH264&gt;=VipSpend,"VIP",IF(U264&gt;=4,"Regular","Active"))))))))</f>
        <v>0</v>
      </c>
      <c r="AN264" s="38">
        <f>IF(B264="","",IF(T264&gt;=2,"Yes","No"))</f>
        <v>0</v>
      </c>
      <c r="AO264" s="25">
        <f>IF(B264="","",COUNTIFS($AE$5:$AE$504,"&gt;"&amp;AE264)+COUNTIFS($AE$5:AE264,AE264))</f>
        <v>0</v>
      </c>
      <c r="AP264" s="25">
        <f>IF(B264="","",COUNTIFS($T$5:$T$504,"&gt;"&amp;T264)+COUNTIFS($T$5:T264,T264))</f>
        <v>0</v>
      </c>
      <c r="AQ264" s="39">
        <f>IF(B264="","",IF(COUNTIF($B$5:$B$504,B264)&gt;1,"Duplicate - same name twice",IF(R264="Archived","",IF(AK264&gt;0.004,"Chase - balance outstanding",IF(AM264="Inactive","Gone - win-back offer",IF(AM264="Lapsing","Chase - lapsing, call them",IF(IF(N264="",FALSE,TodayDate-N264&gt;PatchTestDays),"Due - patch test out of date",IF(IF(AD264="",FALSE,IF(AB264&lt;&gt;"",FALSE,AD264&lt;=TodayDate+14)),"Rebook - due and nothing booked",IF(IF(K264="",FALSE,ABS(DATE(YEAR(TodayDate),MONTH(K264),DAY(K264))-TodayDate)&lt;=7),"Birthday - send the treat","OK")))))))))</f>
        <v>0</v>
      </c>
    </row>
    <row r="265" spans="1:43">
      <c r="A265" s="28">
        <f>IF(B265="","",ClientPrefix&amp;TEXT(ROW()-4,"0000"))</f>
        <v>0</v>
      </c>
      <c r="J265" s="15">
        <f>IF(I265="","",IFERROR(INDEX(Staff!$B$5:$B$44,MATCH(I265,Staff!$A$5:$A$44,0)),"Not in Staff"))</f>
        <v>0</v>
      </c>
      <c r="T265" s="25">
        <f>IF(B265="","",COUNTIFS(Appointments!$E$5:$E$1204,A265,Appointments!$M$5:$M$1204,"Completed"))</f>
        <v>0</v>
      </c>
      <c r="U265" s="25">
        <f>IF(B265="","",COUNTIFS(Appointments!$E$5:$E$1204,A265,Appointments!$M$5:$M$1204,"Completed",Appointments!$B$5:$B$1204,"&gt;="&amp;TodayDate-365))</f>
        <v>0</v>
      </c>
      <c r="V265" s="25">
        <f>IF(B265="","",COUNTIFS(Appointments!$E$5:$E$1204,A265,Appointments!$M$5:$M$1204,"Cancelled"))</f>
        <v>0</v>
      </c>
      <c r="W265" s="25">
        <f>IF(B265="","",COUNTIFS(Appointments!$E$5:$E$1204,A265,Appointments!$M$5:$M$1204,"No show"))</f>
        <v>0</v>
      </c>
      <c r="X265" s="17">
        <f>IF(B265="","",IF(F265&lt;&gt;"",F265,IF(T265=0,"",SUMPRODUCT(MIN((Appointments!$E$5:$E$1204=A265)*(Appointments!$M$5:$M$1204="Completed")*Appointments!$B$5:$B$1204+(1-(Appointments!$E$5:$E$1204=A265)*(Appointments!$M$5:$M$1204="Completed"))*2958465)))))</f>
        <v>0</v>
      </c>
      <c r="Y265" s="17">
        <f>IF(B265="","",IF(T265=0,"",SUMPRODUCT(MAX((Appointments!$E$5:$E$1204=A265)*(Appointments!$M$5:$M$1204="Completed")*Appointments!$B$5:$B$1204))))</f>
        <v>0</v>
      </c>
      <c r="Z265" s="25">
        <f>IF(B265="","",IF(Y265="","",TodayDate-Y265))</f>
        <v>0</v>
      </c>
      <c r="AA265" s="42">
        <f>IF(B265="","",SUMPRODUCT(MIN((Appointments!$E$5:$E$1204=A265)*(Appointments!$M$5:$M$1204&lt;&gt;"Cancelled")*(Appointments!$M$5:$M$1204&lt;&gt;"Completed")*(Appointments!$M$5:$M$1204&lt;&gt;"No show")*(Appointments!$B$5:$B$1204&gt;=TodayDate)*Appointments!$B$5:$B$1204+(1-(Appointments!$E$5:$E$1204=A265)*(Appointments!$M$5:$M$1204&lt;&gt;"Cancelled")*(Appointments!$M$5:$M$1204&lt;&gt;"Completed")*(Appointments!$M$5:$M$1204&lt;&gt;"No show")*(Appointments!$B$5:$B$1204&gt;=TodayDate))*2958465)))</f>
        <v>0</v>
      </c>
      <c r="AB265" s="17">
        <f>IF(B265="","",IF(AA265&gt;=2958465,"",AA265))</f>
        <v>0</v>
      </c>
      <c r="AC265" s="25">
        <f>IF(B265="","",IF(T265&lt;2,"",ROUND((Y265-X265)/MAX(1,T265-1),0)))</f>
        <v>0</v>
      </c>
      <c r="AD265" s="17">
        <f>IF(B265="","",IF(Y265="","",Y265+IF(AC265="",RebookWeeks*7,MAX(14,AC265))))</f>
        <v>0</v>
      </c>
      <c r="AE265" s="26">
        <f>IF(B265="","",ROUND(SUMIFS(Sales!$Y$5:$Y$1204,Sales!$D$5:$D$1204,A265),2))</f>
        <v>0</v>
      </c>
      <c r="AF265" s="26">
        <f>IF(B265="","",ROUND(SUMIFS(Sales!$Y$5:$Y$1204,Sales!$D$5:$D$1204,A265,Sales!$H$5:$H$1204,"Service"),2))</f>
        <v>0</v>
      </c>
      <c r="AG265" s="26">
        <f>IF(B265="","",ROUND(SUMIFS(Sales!$Y$5:$Y$1204,Sales!$D$5:$D$1204,A265,Sales!$H$5:$H$1204,"Retail"),2))</f>
        <v>0</v>
      </c>
      <c r="AH265" s="26">
        <f>IF(B265="","",ROUND(SUMIFS(Sales!$Y$5:$Y$1204,Sales!$D$5:$D$1204,A265,Sales!$B$5:$B$1204,"&gt;="&amp;TodayDate-365),2))</f>
        <v>0</v>
      </c>
      <c r="AI265" s="26">
        <f>IF(B265="","",IF(T265=0,"",ROUND(AE265/T265,2)))</f>
        <v>0</v>
      </c>
      <c r="AJ265" s="26">
        <f>IF(B265="","",IF(AI265="","",IF(AC265="","",ROUND(AI265*(365/MAX(14,AC265)),2))))</f>
        <v>0</v>
      </c>
      <c r="AK265" s="26">
        <f>IF(B265="","",ROUND(SUMIFS(Sales!$AH$5:$AH$1204,Sales!$D$5:$D$1204,A265),2))</f>
        <v>0</v>
      </c>
      <c r="AL265" s="25">
        <f>IF(B265="","",IFERROR(INDEX(Loyalty!$P$5:$P$504,MATCH(A265,Loyalty!$B$5:$B$504,0))*1,0))</f>
        <v>0</v>
      </c>
      <c r="AM265" s="39">
        <f>IF(B265="","",IF(R265="Archived","Archived",IF(T265=0,"Not been yet",IF(Z265&gt;=InactiveDays,"Inactive",IF(Z265&gt;=LapsingDays,"Lapsing",IF(T265=1,"New",IF(AH265&gt;=VipSpend,"VIP",IF(U265&gt;=4,"Regular","Active"))))))))</f>
        <v>0</v>
      </c>
      <c r="AN265" s="38">
        <f>IF(B265="","",IF(T265&gt;=2,"Yes","No"))</f>
        <v>0</v>
      </c>
      <c r="AO265" s="25">
        <f>IF(B265="","",COUNTIFS($AE$5:$AE$504,"&gt;"&amp;AE265)+COUNTIFS($AE$5:AE265,AE265))</f>
        <v>0</v>
      </c>
      <c r="AP265" s="25">
        <f>IF(B265="","",COUNTIFS($T$5:$T$504,"&gt;"&amp;T265)+COUNTIFS($T$5:T265,T265))</f>
        <v>0</v>
      </c>
      <c r="AQ265" s="39">
        <f>IF(B265="","",IF(COUNTIF($B$5:$B$504,B265)&gt;1,"Duplicate - same name twice",IF(R265="Archived","",IF(AK265&gt;0.004,"Chase - balance outstanding",IF(AM265="Inactive","Gone - win-back offer",IF(AM265="Lapsing","Chase - lapsing, call them",IF(IF(N265="",FALSE,TodayDate-N265&gt;PatchTestDays),"Due - patch test out of date",IF(IF(AD265="",FALSE,IF(AB265&lt;&gt;"",FALSE,AD265&lt;=TodayDate+14)),"Rebook - due and nothing booked",IF(IF(K265="",FALSE,ABS(DATE(YEAR(TodayDate),MONTH(K265),DAY(K265))-TodayDate)&lt;=7),"Birthday - send the treat","OK")))))))))</f>
        <v>0</v>
      </c>
    </row>
    <row r="266" spans="1:43">
      <c r="A266" s="28">
        <f>IF(B266="","",ClientPrefix&amp;TEXT(ROW()-4,"0000"))</f>
        <v>0</v>
      </c>
      <c r="J266" s="15">
        <f>IF(I266="","",IFERROR(INDEX(Staff!$B$5:$B$44,MATCH(I266,Staff!$A$5:$A$44,0)),"Not in Staff"))</f>
        <v>0</v>
      </c>
      <c r="T266" s="25">
        <f>IF(B266="","",COUNTIFS(Appointments!$E$5:$E$1204,A266,Appointments!$M$5:$M$1204,"Completed"))</f>
        <v>0</v>
      </c>
      <c r="U266" s="25">
        <f>IF(B266="","",COUNTIFS(Appointments!$E$5:$E$1204,A266,Appointments!$M$5:$M$1204,"Completed",Appointments!$B$5:$B$1204,"&gt;="&amp;TodayDate-365))</f>
        <v>0</v>
      </c>
      <c r="V266" s="25">
        <f>IF(B266="","",COUNTIFS(Appointments!$E$5:$E$1204,A266,Appointments!$M$5:$M$1204,"Cancelled"))</f>
        <v>0</v>
      </c>
      <c r="W266" s="25">
        <f>IF(B266="","",COUNTIFS(Appointments!$E$5:$E$1204,A266,Appointments!$M$5:$M$1204,"No show"))</f>
        <v>0</v>
      </c>
      <c r="X266" s="17">
        <f>IF(B266="","",IF(F266&lt;&gt;"",F266,IF(T266=0,"",SUMPRODUCT(MIN((Appointments!$E$5:$E$1204=A266)*(Appointments!$M$5:$M$1204="Completed")*Appointments!$B$5:$B$1204+(1-(Appointments!$E$5:$E$1204=A266)*(Appointments!$M$5:$M$1204="Completed"))*2958465)))))</f>
        <v>0</v>
      </c>
      <c r="Y266" s="17">
        <f>IF(B266="","",IF(T266=0,"",SUMPRODUCT(MAX((Appointments!$E$5:$E$1204=A266)*(Appointments!$M$5:$M$1204="Completed")*Appointments!$B$5:$B$1204))))</f>
        <v>0</v>
      </c>
      <c r="Z266" s="25">
        <f>IF(B266="","",IF(Y266="","",TodayDate-Y266))</f>
        <v>0</v>
      </c>
      <c r="AA266" s="42">
        <f>IF(B266="","",SUMPRODUCT(MIN((Appointments!$E$5:$E$1204=A266)*(Appointments!$M$5:$M$1204&lt;&gt;"Cancelled")*(Appointments!$M$5:$M$1204&lt;&gt;"Completed")*(Appointments!$M$5:$M$1204&lt;&gt;"No show")*(Appointments!$B$5:$B$1204&gt;=TodayDate)*Appointments!$B$5:$B$1204+(1-(Appointments!$E$5:$E$1204=A266)*(Appointments!$M$5:$M$1204&lt;&gt;"Cancelled")*(Appointments!$M$5:$M$1204&lt;&gt;"Completed")*(Appointments!$M$5:$M$1204&lt;&gt;"No show")*(Appointments!$B$5:$B$1204&gt;=TodayDate))*2958465)))</f>
        <v>0</v>
      </c>
      <c r="AB266" s="17">
        <f>IF(B266="","",IF(AA266&gt;=2958465,"",AA266))</f>
        <v>0</v>
      </c>
      <c r="AC266" s="25">
        <f>IF(B266="","",IF(T266&lt;2,"",ROUND((Y266-X266)/MAX(1,T266-1),0)))</f>
        <v>0</v>
      </c>
      <c r="AD266" s="17">
        <f>IF(B266="","",IF(Y266="","",Y266+IF(AC266="",RebookWeeks*7,MAX(14,AC266))))</f>
        <v>0</v>
      </c>
      <c r="AE266" s="26">
        <f>IF(B266="","",ROUND(SUMIFS(Sales!$Y$5:$Y$1204,Sales!$D$5:$D$1204,A266),2))</f>
        <v>0</v>
      </c>
      <c r="AF266" s="26">
        <f>IF(B266="","",ROUND(SUMIFS(Sales!$Y$5:$Y$1204,Sales!$D$5:$D$1204,A266,Sales!$H$5:$H$1204,"Service"),2))</f>
        <v>0</v>
      </c>
      <c r="AG266" s="26">
        <f>IF(B266="","",ROUND(SUMIFS(Sales!$Y$5:$Y$1204,Sales!$D$5:$D$1204,A266,Sales!$H$5:$H$1204,"Retail"),2))</f>
        <v>0</v>
      </c>
      <c r="AH266" s="26">
        <f>IF(B266="","",ROUND(SUMIFS(Sales!$Y$5:$Y$1204,Sales!$D$5:$D$1204,A266,Sales!$B$5:$B$1204,"&gt;="&amp;TodayDate-365),2))</f>
        <v>0</v>
      </c>
      <c r="AI266" s="26">
        <f>IF(B266="","",IF(T266=0,"",ROUND(AE266/T266,2)))</f>
        <v>0</v>
      </c>
      <c r="AJ266" s="26">
        <f>IF(B266="","",IF(AI266="","",IF(AC266="","",ROUND(AI266*(365/MAX(14,AC266)),2))))</f>
        <v>0</v>
      </c>
      <c r="AK266" s="26">
        <f>IF(B266="","",ROUND(SUMIFS(Sales!$AH$5:$AH$1204,Sales!$D$5:$D$1204,A266),2))</f>
        <v>0</v>
      </c>
      <c r="AL266" s="25">
        <f>IF(B266="","",IFERROR(INDEX(Loyalty!$P$5:$P$504,MATCH(A266,Loyalty!$B$5:$B$504,0))*1,0))</f>
        <v>0</v>
      </c>
      <c r="AM266" s="39">
        <f>IF(B266="","",IF(R266="Archived","Archived",IF(T266=0,"Not been yet",IF(Z266&gt;=InactiveDays,"Inactive",IF(Z266&gt;=LapsingDays,"Lapsing",IF(T266=1,"New",IF(AH266&gt;=VipSpend,"VIP",IF(U266&gt;=4,"Regular","Active"))))))))</f>
        <v>0</v>
      </c>
      <c r="AN266" s="38">
        <f>IF(B266="","",IF(T266&gt;=2,"Yes","No"))</f>
        <v>0</v>
      </c>
      <c r="AO266" s="25">
        <f>IF(B266="","",COUNTIFS($AE$5:$AE$504,"&gt;"&amp;AE266)+COUNTIFS($AE$5:AE266,AE266))</f>
        <v>0</v>
      </c>
      <c r="AP266" s="25">
        <f>IF(B266="","",COUNTIFS($T$5:$T$504,"&gt;"&amp;T266)+COUNTIFS($T$5:T266,T266))</f>
        <v>0</v>
      </c>
      <c r="AQ266" s="39">
        <f>IF(B266="","",IF(COUNTIF($B$5:$B$504,B266)&gt;1,"Duplicate - same name twice",IF(R266="Archived","",IF(AK266&gt;0.004,"Chase - balance outstanding",IF(AM266="Inactive","Gone - win-back offer",IF(AM266="Lapsing","Chase - lapsing, call them",IF(IF(N266="",FALSE,TodayDate-N266&gt;PatchTestDays),"Due - patch test out of date",IF(IF(AD266="",FALSE,IF(AB266&lt;&gt;"",FALSE,AD266&lt;=TodayDate+14)),"Rebook - due and nothing booked",IF(IF(K266="",FALSE,ABS(DATE(YEAR(TodayDate),MONTH(K266),DAY(K266))-TodayDate)&lt;=7),"Birthday - send the treat","OK")))))))))</f>
        <v>0</v>
      </c>
    </row>
    <row r="267" spans="1:43">
      <c r="A267" s="28">
        <f>IF(B267="","",ClientPrefix&amp;TEXT(ROW()-4,"0000"))</f>
        <v>0</v>
      </c>
      <c r="J267" s="15">
        <f>IF(I267="","",IFERROR(INDEX(Staff!$B$5:$B$44,MATCH(I267,Staff!$A$5:$A$44,0)),"Not in Staff"))</f>
        <v>0</v>
      </c>
      <c r="T267" s="25">
        <f>IF(B267="","",COUNTIFS(Appointments!$E$5:$E$1204,A267,Appointments!$M$5:$M$1204,"Completed"))</f>
        <v>0</v>
      </c>
      <c r="U267" s="25">
        <f>IF(B267="","",COUNTIFS(Appointments!$E$5:$E$1204,A267,Appointments!$M$5:$M$1204,"Completed",Appointments!$B$5:$B$1204,"&gt;="&amp;TodayDate-365))</f>
        <v>0</v>
      </c>
      <c r="V267" s="25">
        <f>IF(B267="","",COUNTIFS(Appointments!$E$5:$E$1204,A267,Appointments!$M$5:$M$1204,"Cancelled"))</f>
        <v>0</v>
      </c>
      <c r="W267" s="25">
        <f>IF(B267="","",COUNTIFS(Appointments!$E$5:$E$1204,A267,Appointments!$M$5:$M$1204,"No show"))</f>
        <v>0</v>
      </c>
      <c r="X267" s="17">
        <f>IF(B267="","",IF(F267&lt;&gt;"",F267,IF(T267=0,"",SUMPRODUCT(MIN((Appointments!$E$5:$E$1204=A267)*(Appointments!$M$5:$M$1204="Completed")*Appointments!$B$5:$B$1204+(1-(Appointments!$E$5:$E$1204=A267)*(Appointments!$M$5:$M$1204="Completed"))*2958465)))))</f>
        <v>0</v>
      </c>
      <c r="Y267" s="17">
        <f>IF(B267="","",IF(T267=0,"",SUMPRODUCT(MAX((Appointments!$E$5:$E$1204=A267)*(Appointments!$M$5:$M$1204="Completed")*Appointments!$B$5:$B$1204))))</f>
        <v>0</v>
      </c>
      <c r="Z267" s="25">
        <f>IF(B267="","",IF(Y267="","",TodayDate-Y267))</f>
        <v>0</v>
      </c>
      <c r="AA267" s="42">
        <f>IF(B267="","",SUMPRODUCT(MIN((Appointments!$E$5:$E$1204=A267)*(Appointments!$M$5:$M$1204&lt;&gt;"Cancelled")*(Appointments!$M$5:$M$1204&lt;&gt;"Completed")*(Appointments!$M$5:$M$1204&lt;&gt;"No show")*(Appointments!$B$5:$B$1204&gt;=TodayDate)*Appointments!$B$5:$B$1204+(1-(Appointments!$E$5:$E$1204=A267)*(Appointments!$M$5:$M$1204&lt;&gt;"Cancelled")*(Appointments!$M$5:$M$1204&lt;&gt;"Completed")*(Appointments!$M$5:$M$1204&lt;&gt;"No show")*(Appointments!$B$5:$B$1204&gt;=TodayDate))*2958465)))</f>
        <v>0</v>
      </c>
      <c r="AB267" s="17">
        <f>IF(B267="","",IF(AA267&gt;=2958465,"",AA267))</f>
        <v>0</v>
      </c>
      <c r="AC267" s="25">
        <f>IF(B267="","",IF(T267&lt;2,"",ROUND((Y267-X267)/MAX(1,T267-1),0)))</f>
        <v>0</v>
      </c>
      <c r="AD267" s="17">
        <f>IF(B267="","",IF(Y267="","",Y267+IF(AC267="",RebookWeeks*7,MAX(14,AC267))))</f>
        <v>0</v>
      </c>
      <c r="AE267" s="26">
        <f>IF(B267="","",ROUND(SUMIFS(Sales!$Y$5:$Y$1204,Sales!$D$5:$D$1204,A267),2))</f>
        <v>0</v>
      </c>
      <c r="AF267" s="26">
        <f>IF(B267="","",ROUND(SUMIFS(Sales!$Y$5:$Y$1204,Sales!$D$5:$D$1204,A267,Sales!$H$5:$H$1204,"Service"),2))</f>
        <v>0</v>
      </c>
      <c r="AG267" s="26">
        <f>IF(B267="","",ROUND(SUMIFS(Sales!$Y$5:$Y$1204,Sales!$D$5:$D$1204,A267,Sales!$H$5:$H$1204,"Retail"),2))</f>
        <v>0</v>
      </c>
      <c r="AH267" s="26">
        <f>IF(B267="","",ROUND(SUMIFS(Sales!$Y$5:$Y$1204,Sales!$D$5:$D$1204,A267,Sales!$B$5:$B$1204,"&gt;="&amp;TodayDate-365),2))</f>
        <v>0</v>
      </c>
      <c r="AI267" s="26">
        <f>IF(B267="","",IF(T267=0,"",ROUND(AE267/T267,2)))</f>
        <v>0</v>
      </c>
      <c r="AJ267" s="26">
        <f>IF(B267="","",IF(AI267="","",IF(AC267="","",ROUND(AI267*(365/MAX(14,AC267)),2))))</f>
        <v>0</v>
      </c>
      <c r="AK267" s="26">
        <f>IF(B267="","",ROUND(SUMIFS(Sales!$AH$5:$AH$1204,Sales!$D$5:$D$1204,A267),2))</f>
        <v>0</v>
      </c>
      <c r="AL267" s="25">
        <f>IF(B267="","",IFERROR(INDEX(Loyalty!$P$5:$P$504,MATCH(A267,Loyalty!$B$5:$B$504,0))*1,0))</f>
        <v>0</v>
      </c>
      <c r="AM267" s="39">
        <f>IF(B267="","",IF(R267="Archived","Archived",IF(T267=0,"Not been yet",IF(Z267&gt;=InactiveDays,"Inactive",IF(Z267&gt;=LapsingDays,"Lapsing",IF(T267=1,"New",IF(AH267&gt;=VipSpend,"VIP",IF(U267&gt;=4,"Regular","Active"))))))))</f>
        <v>0</v>
      </c>
      <c r="AN267" s="38">
        <f>IF(B267="","",IF(T267&gt;=2,"Yes","No"))</f>
        <v>0</v>
      </c>
      <c r="AO267" s="25">
        <f>IF(B267="","",COUNTIFS($AE$5:$AE$504,"&gt;"&amp;AE267)+COUNTIFS($AE$5:AE267,AE267))</f>
        <v>0</v>
      </c>
      <c r="AP267" s="25">
        <f>IF(B267="","",COUNTIFS($T$5:$T$504,"&gt;"&amp;T267)+COUNTIFS($T$5:T267,T267))</f>
        <v>0</v>
      </c>
      <c r="AQ267" s="39">
        <f>IF(B267="","",IF(COUNTIF($B$5:$B$504,B267)&gt;1,"Duplicate - same name twice",IF(R267="Archived","",IF(AK267&gt;0.004,"Chase - balance outstanding",IF(AM267="Inactive","Gone - win-back offer",IF(AM267="Lapsing","Chase - lapsing, call them",IF(IF(N267="",FALSE,TodayDate-N267&gt;PatchTestDays),"Due - patch test out of date",IF(IF(AD267="",FALSE,IF(AB267&lt;&gt;"",FALSE,AD267&lt;=TodayDate+14)),"Rebook - due and nothing booked",IF(IF(K267="",FALSE,ABS(DATE(YEAR(TodayDate),MONTH(K267),DAY(K267))-TodayDate)&lt;=7),"Birthday - send the treat","OK")))))))))</f>
        <v>0</v>
      </c>
    </row>
    <row r="268" spans="1:43">
      <c r="A268" s="28">
        <f>IF(B268="","",ClientPrefix&amp;TEXT(ROW()-4,"0000"))</f>
        <v>0</v>
      </c>
      <c r="J268" s="15">
        <f>IF(I268="","",IFERROR(INDEX(Staff!$B$5:$B$44,MATCH(I268,Staff!$A$5:$A$44,0)),"Not in Staff"))</f>
        <v>0</v>
      </c>
      <c r="T268" s="25">
        <f>IF(B268="","",COUNTIFS(Appointments!$E$5:$E$1204,A268,Appointments!$M$5:$M$1204,"Completed"))</f>
        <v>0</v>
      </c>
      <c r="U268" s="25">
        <f>IF(B268="","",COUNTIFS(Appointments!$E$5:$E$1204,A268,Appointments!$M$5:$M$1204,"Completed",Appointments!$B$5:$B$1204,"&gt;="&amp;TodayDate-365))</f>
        <v>0</v>
      </c>
      <c r="V268" s="25">
        <f>IF(B268="","",COUNTIFS(Appointments!$E$5:$E$1204,A268,Appointments!$M$5:$M$1204,"Cancelled"))</f>
        <v>0</v>
      </c>
      <c r="W268" s="25">
        <f>IF(B268="","",COUNTIFS(Appointments!$E$5:$E$1204,A268,Appointments!$M$5:$M$1204,"No show"))</f>
        <v>0</v>
      </c>
      <c r="X268" s="17">
        <f>IF(B268="","",IF(F268&lt;&gt;"",F268,IF(T268=0,"",SUMPRODUCT(MIN((Appointments!$E$5:$E$1204=A268)*(Appointments!$M$5:$M$1204="Completed")*Appointments!$B$5:$B$1204+(1-(Appointments!$E$5:$E$1204=A268)*(Appointments!$M$5:$M$1204="Completed"))*2958465)))))</f>
        <v>0</v>
      </c>
      <c r="Y268" s="17">
        <f>IF(B268="","",IF(T268=0,"",SUMPRODUCT(MAX((Appointments!$E$5:$E$1204=A268)*(Appointments!$M$5:$M$1204="Completed")*Appointments!$B$5:$B$1204))))</f>
        <v>0</v>
      </c>
      <c r="Z268" s="25">
        <f>IF(B268="","",IF(Y268="","",TodayDate-Y268))</f>
        <v>0</v>
      </c>
      <c r="AA268" s="42">
        <f>IF(B268="","",SUMPRODUCT(MIN((Appointments!$E$5:$E$1204=A268)*(Appointments!$M$5:$M$1204&lt;&gt;"Cancelled")*(Appointments!$M$5:$M$1204&lt;&gt;"Completed")*(Appointments!$M$5:$M$1204&lt;&gt;"No show")*(Appointments!$B$5:$B$1204&gt;=TodayDate)*Appointments!$B$5:$B$1204+(1-(Appointments!$E$5:$E$1204=A268)*(Appointments!$M$5:$M$1204&lt;&gt;"Cancelled")*(Appointments!$M$5:$M$1204&lt;&gt;"Completed")*(Appointments!$M$5:$M$1204&lt;&gt;"No show")*(Appointments!$B$5:$B$1204&gt;=TodayDate))*2958465)))</f>
        <v>0</v>
      </c>
      <c r="AB268" s="17">
        <f>IF(B268="","",IF(AA268&gt;=2958465,"",AA268))</f>
        <v>0</v>
      </c>
      <c r="AC268" s="25">
        <f>IF(B268="","",IF(T268&lt;2,"",ROUND((Y268-X268)/MAX(1,T268-1),0)))</f>
        <v>0</v>
      </c>
      <c r="AD268" s="17">
        <f>IF(B268="","",IF(Y268="","",Y268+IF(AC268="",RebookWeeks*7,MAX(14,AC268))))</f>
        <v>0</v>
      </c>
      <c r="AE268" s="26">
        <f>IF(B268="","",ROUND(SUMIFS(Sales!$Y$5:$Y$1204,Sales!$D$5:$D$1204,A268),2))</f>
        <v>0</v>
      </c>
      <c r="AF268" s="26">
        <f>IF(B268="","",ROUND(SUMIFS(Sales!$Y$5:$Y$1204,Sales!$D$5:$D$1204,A268,Sales!$H$5:$H$1204,"Service"),2))</f>
        <v>0</v>
      </c>
      <c r="AG268" s="26">
        <f>IF(B268="","",ROUND(SUMIFS(Sales!$Y$5:$Y$1204,Sales!$D$5:$D$1204,A268,Sales!$H$5:$H$1204,"Retail"),2))</f>
        <v>0</v>
      </c>
      <c r="AH268" s="26">
        <f>IF(B268="","",ROUND(SUMIFS(Sales!$Y$5:$Y$1204,Sales!$D$5:$D$1204,A268,Sales!$B$5:$B$1204,"&gt;="&amp;TodayDate-365),2))</f>
        <v>0</v>
      </c>
      <c r="AI268" s="26">
        <f>IF(B268="","",IF(T268=0,"",ROUND(AE268/T268,2)))</f>
        <v>0</v>
      </c>
      <c r="AJ268" s="26">
        <f>IF(B268="","",IF(AI268="","",IF(AC268="","",ROUND(AI268*(365/MAX(14,AC268)),2))))</f>
        <v>0</v>
      </c>
      <c r="AK268" s="26">
        <f>IF(B268="","",ROUND(SUMIFS(Sales!$AH$5:$AH$1204,Sales!$D$5:$D$1204,A268),2))</f>
        <v>0</v>
      </c>
      <c r="AL268" s="25">
        <f>IF(B268="","",IFERROR(INDEX(Loyalty!$P$5:$P$504,MATCH(A268,Loyalty!$B$5:$B$504,0))*1,0))</f>
        <v>0</v>
      </c>
      <c r="AM268" s="39">
        <f>IF(B268="","",IF(R268="Archived","Archived",IF(T268=0,"Not been yet",IF(Z268&gt;=InactiveDays,"Inactive",IF(Z268&gt;=LapsingDays,"Lapsing",IF(T268=1,"New",IF(AH268&gt;=VipSpend,"VIP",IF(U268&gt;=4,"Regular","Active"))))))))</f>
        <v>0</v>
      </c>
      <c r="AN268" s="38">
        <f>IF(B268="","",IF(T268&gt;=2,"Yes","No"))</f>
        <v>0</v>
      </c>
      <c r="AO268" s="25">
        <f>IF(B268="","",COUNTIFS($AE$5:$AE$504,"&gt;"&amp;AE268)+COUNTIFS($AE$5:AE268,AE268))</f>
        <v>0</v>
      </c>
      <c r="AP268" s="25">
        <f>IF(B268="","",COUNTIFS($T$5:$T$504,"&gt;"&amp;T268)+COUNTIFS($T$5:T268,T268))</f>
        <v>0</v>
      </c>
      <c r="AQ268" s="39">
        <f>IF(B268="","",IF(COUNTIF($B$5:$B$504,B268)&gt;1,"Duplicate - same name twice",IF(R268="Archived","",IF(AK268&gt;0.004,"Chase - balance outstanding",IF(AM268="Inactive","Gone - win-back offer",IF(AM268="Lapsing","Chase - lapsing, call them",IF(IF(N268="",FALSE,TodayDate-N268&gt;PatchTestDays),"Due - patch test out of date",IF(IF(AD268="",FALSE,IF(AB268&lt;&gt;"",FALSE,AD268&lt;=TodayDate+14)),"Rebook - due and nothing booked",IF(IF(K268="",FALSE,ABS(DATE(YEAR(TodayDate),MONTH(K268),DAY(K268))-TodayDate)&lt;=7),"Birthday - send the treat","OK")))))))))</f>
        <v>0</v>
      </c>
    </row>
    <row r="269" spans="1:43">
      <c r="A269" s="28">
        <f>IF(B269="","",ClientPrefix&amp;TEXT(ROW()-4,"0000"))</f>
        <v>0</v>
      </c>
      <c r="J269" s="15">
        <f>IF(I269="","",IFERROR(INDEX(Staff!$B$5:$B$44,MATCH(I269,Staff!$A$5:$A$44,0)),"Not in Staff"))</f>
        <v>0</v>
      </c>
      <c r="T269" s="25">
        <f>IF(B269="","",COUNTIFS(Appointments!$E$5:$E$1204,A269,Appointments!$M$5:$M$1204,"Completed"))</f>
        <v>0</v>
      </c>
      <c r="U269" s="25">
        <f>IF(B269="","",COUNTIFS(Appointments!$E$5:$E$1204,A269,Appointments!$M$5:$M$1204,"Completed",Appointments!$B$5:$B$1204,"&gt;="&amp;TodayDate-365))</f>
        <v>0</v>
      </c>
      <c r="V269" s="25">
        <f>IF(B269="","",COUNTIFS(Appointments!$E$5:$E$1204,A269,Appointments!$M$5:$M$1204,"Cancelled"))</f>
        <v>0</v>
      </c>
      <c r="W269" s="25">
        <f>IF(B269="","",COUNTIFS(Appointments!$E$5:$E$1204,A269,Appointments!$M$5:$M$1204,"No show"))</f>
        <v>0</v>
      </c>
      <c r="X269" s="17">
        <f>IF(B269="","",IF(F269&lt;&gt;"",F269,IF(T269=0,"",SUMPRODUCT(MIN((Appointments!$E$5:$E$1204=A269)*(Appointments!$M$5:$M$1204="Completed")*Appointments!$B$5:$B$1204+(1-(Appointments!$E$5:$E$1204=A269)*(Appointments!$M$5:$M$1204="Completed"))*2958465)))))</f>
        <v>0</v>
      </c>
      <c r="Y269" s="17">
        <f>IF(B269="","",IF(T269=0,"",SUMPRODUCT(MAX((Appointments!$E$5:$E$1204=A269)*(Appointments!$M$5:$M$1204="Completed")*Appointments!$B$5:$B$1204))))</f>
        <v>0</v>
      </c>
      <c r="Z269" s="25">
        <f>IF(B269="","",IF(Y269="","",TodayDate-Y269))</f>
        <v>0</v>
      </c>
      <c r="AA269" s="42">
        <f>IF(B269="","",SUMPRODUCT(MIN((Appointments!$E$5:$E$1204=A269)*(Appointments!$M$5:$M$1204&lt;&gt;"Cancelled")*(Appointments!$M$5:$M$1204&lt;&gt;"Completed")*(Appointments!$M$5:$M$1204&lt;&gt;"No show")*(Appointments!$B$5:$B$1204&gt;=TodayDate)*Appointments!$B$5:$B$1204+(1-(Appointments!$E$5:$E$1204=A269)*(Appointments!$M$5:$M$1204&lt;&gt;"Cancelled")*(Appointments!$M$5:$M$1204&lt;&gt;"Completed")*(Appointments!$M$5:$M$1204&lt;&gt;"No show")*(Appointments!$B$5:$B$1204&gt;=TodayDate))*2958465)))</f>
        <v>0</v>
      </c>
      <c r="AB269" s="17">
        <f>IF(B269="","",IF(AA269&gt;=2958465,"",AA269))</f>
        <v>0</v>
      </c>
      <c r="AC269" s="25">
        <f>IF(B269="","",IF(T269&lt;2,"",ROUND((Y269-X269)/MAX(1,T269-1),0)))</f>
        <v>0</v>
      </c>
      <c r="AD269" s="17">
        <f>IF(B269="","",IF(Y269="","",Y269+IF(AC269="",RebookWeeks*7,MAX(14,AC269))))</f>
        <v>0</v>
      </c>
      <c r="AE269" s="26">
        <f>IF(B269="","",ROUND(SUMIFS(Sales!$Y$5:$Y$1204,Sales!$D$5:$D$1204,A269),2))</f>
        <v>0</v>
      </c>
      <c r="AF269" s="26">
        <f>IF(B269="","",ROUND(SUMIFS(Sales!$Y$5:$Y$1204,Sales!$D$5:$D$1204,A269,Sales!$H$5:$H$1204,"Service"),2))</f>
        <v>0</v>
      </c>
      <c r="AG269" s="26">
        <f>IF(B269="","",ROUND(SUMIFS(Sales!$Y$5:$Y$1204,Sales!$D$5:$D$1204,A269,Sales!$H$5:$H$1204,"Retail"),2))</f>
        <v>0</v>
      </c>
      <c r="AH269" s="26">
        <f>IF(B269="","",ROUND(SUMIFS(Sales!$Y$5:$Y$1204,Sales!$D$5:$D$1204,A269,Sales!$B$5:$B$1204,"&gt;="&amp;TodayDate-365),2))</f>
        <v>0</v>
      </c>
      <c r="AI269" s="26">
        <f>IF(B269="","",IF(T269=0,"",ROUND(AE269/T269,2)))</f>
        <v>0</v>
      </c>
      <c r="AJ269" s="26">
        <f>IF(B269="","",IF(AI269="","",IF(AC269="","",ROUND(AI269*(365/MAX(14,AC269)),2))))</f>
        <v>0</v>
      </c>
      <c r="AK269" s="26">
        <f>IF(B269="","",ROUND(SUMIFS(Sales!$AH$5:$AH$1204,Sales!$D$5:$D$1204,A269),2))</f>
        <v>0</v>
      </c>
      <c r="AL269" s="25">
        <f>IF(B269="","",IFERROR(INDEX(Loyalty!$P$5:$P$504,MATCH(A269,Loyalty!$B$5:$B$504,0))*1,0))</f>
        <v>0</v>
      </c>
      <c r="AM269" s="39">
        <f>IF(B269="","",IF(R269="Archived","Archived",IF(T269=0,"Not been yet",IF(Z269&gt;=InactiveDays,"Inactive",IF(Z269&gt;=LapsingDays,"Lapsing",IF(T269=1,"New",IF(AH269&gt;=VipSpend,"VIP",IF(U269&gt;=4,"Regular","Active"))))))))</f>
        <v>0</v>
      </c>
      <c r="AN269" s="38">
        <f>IF(B269="","",IF(T269&gt;=2,"Yes","No"))</f>
        <v>0</v>
      </c>
      <c r="AO269" s="25">
        <f>IF(B269="","",COUNTIFS($AE$5:$AE$504,"&gt;"&amp;AE269)+COUNTIFS($AE$5:AE269,AE269))</f>
        <v>0</v>
      </c>
      <c r="AP269" s="25">
        <f>IF(B269="","",COUNTIFS($T$5:$T$504,"&gt;"&amp;T269)+COUNTIFS($T$5:T269,T269))</f>
        <v>0</v>
      </c>
      <c r="AQ269" s="39">
        <f>IF(B269="","",IF(COUNTIF($B$5:$B$504,B269)&gt;1,"Duplicate - same name twice",IF(R269="Archived","",IF(AK269&gt;0.004,"Chase - balance outstanding",IF(AM269="Inactive","Gone - win-back offer",IF(AM269="Lapsing","Chase - lapsing, call them",IF(IF(N269="",FALSE,TodayDate-N269&gt;PatchTestDays),"Due - patch test out of date",IF(IF(AD269="",FALSE,IF(AB269&lt;&gt;"",FALSE,AD269&lt;=TodayDate+14)),"Rebook - due and nothing booked",IF(IF(K269="",FALSE,ABS(DATE(YEAR(TodayDate),MONTH(K269),DAY(K269))-TodayDate)&lt;=7),"Birthday - send the treat","OK")))))))))</f>
        <v>0</v>
      </c>
    </row>
    <row r="270" spans="1:43">
      <c r="A270" s="28">
        <f>IF(B270="","",ClientPrefix&amp;TEXT(ROW()-4,"0000"))</f>
        <v>0</v>
      </c>
      <c r="J270" s="15">
        <f>IF(I270="","",IFERROR(INDEX(Staff!$B$5:$B$44,MATCH(I270,Staff!$A$5:$A$44,0)),"Not in Staff"))</f>
        <v>0</v>
      </c>
      <c r="T270" s="25">
        <f>IF(B270="","",COUNTIFS(Appointments!$E$5:$E$1204,A270,Appointments!$M$5:$M$1204,"Completed"))</f>
        <v>0</v>
      </c>
      <c r="U270" s="25">
        <f>IF(B270="","",COUNTIFS(Appointments!$E$5:$E$1204,A270,Appointments!$M$5:$M$1204,"Completed",Appointments!$B$5:$B$1204,"&gt;="&amp;TodayDate-365))</f>
        <v>0</v>
      </c>
      <c r="V270" s="25">
        <f>IF(B270="","",COUNTIFS(Appointments!$E$5:$E$1204,A270,Appointments!$M$5:$M$1204,"Cancelled"))</f>
        <v>0</v>
      </c>
      <c r="W270" s="25">
        <f>IF(B270="","",COUNTIFS(Appointments!$E$5:$E$1204,A270,Appointments!$M$5:$M$1204,"No show"))</f>
        <v>0</v>
      </c>
      <c r="X270" s="17">
        <f>IF(B270="","",IF(F270&lt;&gt;"",F270,IF(T270=0,"",SUMPRODUCT(MIN((Appointments!$E$5:$E$1204=A270)*(Appointments!$M$5:$M$1204="Completed")*Appointments!$B$5:$B$1204+(1-(Appointments!$E$5:$E$1204=A270)*(Appointments!$M$5:$M$1204="Completed"))*2958465)))))</f>
        <v>0</v>
      </c>
      <c r="Y270" s="17">
        <f>IF(B270="","",IF(T270=0,"",SUMPRODUCT(MAX((Appointments!$E$5:$E$1204=A270)*(Appointments!$M$5:$M$1204="Completed")*Appointments!$B$5:$B$1204))))</f>
        <v>0</v>
      </c>
      <c r="Z270" s="25">
        <f>IF(B270="","",IF(Y270="","",TodayDate-Y270))</f>
        <v>0</v>
      </c>
      <c r="AA270" s="42">
        <f>IF(B270="","",SUMPRODUCT(MIN((Appointments!$E$5:$E$1204=A270)*(Appointments!$M$5:$M$1204&lt;&gt;"Cancelled")*(Appointments!$M$5:$M$1204&lt;&gt;"Completed")*(Appointments!$M$5:$M$1204&lt;&gt;"No show")*(Appointments!$B$5:$B$1204&gt;=TodayDate)*Appointments!$B$5:$B$1204+(1-(Appointments!$E$5:$E$1204=A270)*(Appointments!$M$5:$M$1204&lt;&gt;"Cancelled")*(Appointments!$M$5:$M$1204&lt;&gt;"Completed")*(Appointments!$M$5:$M$1204&lt;&gt;"No show")*(Appointments!$B$5:$B$1204&gt;=TodayDate))*2958465)))</f>
        <v>0</v>
      </c>
      <c r="AB270" s="17">
        <f>IF(B270="","",IF(AA270&gt;=2958465,"",AA270))</f>
        <v>0</v>
      </c>
      <c r="AC270" s="25">
        <f>IF(B270="","",IF(T270&lt;2,"",ROUND((Y270-X270)/MAX(1,T270-1),0)))</f>
        <v>0</v>
      </c>
      <c r="AD270" s="17">
        <f>IF(B270="","",IF(Y270="","",Y270+IF(AC270="",RebookWeeks*7,MAX(14,AC270))))</f>
        <v>0</v>
      </c>
      <c r="AE270" s="26">
        <f>IF(B270="","",ROUND(SUMIFS(Sales!$Y$5:$Y$1204,Sales!$D$5:$D$1204,A270),2))</f>
        <v>0</v>
      </c>
      <c r="AF270" s="26">
        <f>IF(B270="","",ROUND(SUMIFS(Sales!$Y$5:$Y$1204,Sales!$D$5:$D$1204,A270,Sales!$H$5:$H$1204,"Service"),2))</f>
        <v>0</v>
      </c>
      <c r="AG270" s="26">
        <f>IF(B270="","",ROUND(SUMIFS(Sales!$Y$5:$Y$1204,Sales!$D$5:$D$1204,A270,Sales!$H$5:$H$1204,"Retail"),2))</f>
        <v>0</v>
      </c>
      <c r="AH270" s="26">
        <f>IF(B270="","",ROUND(SUMIFS(Sales!$Y$5:$Y$1204,Sales!$D$5:$D$1204,A270,Sales!$B$5:$B$1204,"&gt;="&amp;TodayDate-365),2))</f>
        <v>0</v>
      </c>
      <c r="AI270" s="26">
        <f>IF(B270="","",IF(T270=0,"",ROUND(AE270/T270,2)))</f>
        <v>0</v>
      </c>
      <c r="AJ270" s="26">
        <f>IF(B270="","",IF(AI270="","",IF(AC270="","",ROUND(AI270*(365/MAX(14,AC270)),2))))</f>
        <v>0</v>
      </c>
      <c r="AK270" s="26">
        <f>IF(B270="","",ROUND(SUMIFS(Sales!$AH$5:$AH$1204,Sales!$D$5:$D$1204,A270),2))</f>
        <v>0</v>
      </c>
      <c r="AL270" s="25">
        <f>IF(B270="","",IFERROR(INDEX(Loyalty!$P$5:$P$504,MATCH(A270,Loyalty!$B$5:$B$504,0))*1,0))</f>
        <v>0</v>
      </c>
      <c r="AM270" s="39">
        <f>IF(B270="","",IF(R270="Archived","Archived",IF(T270=0,"Not been yet",IF(Z270&gt;=InactiveDays,"Inactive",IF(Z270&gt;=LapsingDays,"Lapsing",IF(T270=1,"New",IF(AH270&gt;=VipSpend,"VIP",IF(U270&gt;=4,"Regular","Active"))))))))</f>
        <v>0</v>
      </c>
      <c r="AN270" s="38">
        <f>IF(B270="","",IF(T270&gt;=2,"Yes","No"))</f>
        <v>0</v>
      </c>
      <c r="AO270" s="25">
        <f>IF(B270="","",COUNTIFS($AE$5:$AE$504,"&gt;"&amp;AE270)+COUNTIFS($AE$5:AE270,AE270))</f>
        <v>0</v>
      </c>
      <c r="AP270" s="25">
        <f>IF(B270="","",COUNTIFS($T$5:$T$504,"&gt;"&amp;T270)+COUNTIFS($T$5:T270,T270))</f>
        <v>0</v>
      </c>
      <c r="AQ270" s="39">
        <f>IF(B270="","",IF(COUNTIF($B$5:$B$504,B270)&gt;1,"Duplicate - same name twice",IF(R270="Archived","",IF(AK270&gt;0.004,"Chase - balance outstanding",IF(AM270="Inactive","Gone - win-back offer",IF(AM270="Lapsing","Chase - lapsing, call them",IF(IF(N270="",FALSE,TodayDate-N270&gt;PatchTestDays),"Due - patch test out of date",IF(IF(AD270="",FALSE,IF(AB270&lt;&gt;"",FALSE,AD270&lt;=TodayDate+14)),"Rebook - due and nothing booked",IF(IF(K270="",FALSE,ABS(DATE(YEAR(TodayDate),MONTH(K270),DAY(K270))-TodayDate)&lt;=7),"Birthday - send the treat","OK")))))))))</f>
        <v>0</v>
      </c>
    </row>
    <row r="271" spans="1:43">
      <c r="A271" s="28">
        <f>IF(B271="","",ClientPrefix&amp;TEXT(ROW()-4,"0000"))</f>
        <v>0</v>
      </c>
      <c r="J271" s="15">
        <f>IF(I271="","",IFERROR(INDEX(Staff!$B$5:$B$44,MATCH(I271,Staff!$A$5:$A$44,0)),"Not in Staff"))</f>
        <v>0</v>
      </c>
      <c r="T271" s="25">
        <f>IF(B271="","",COUNTIFS(Appointments!$E$5:$E$1204,A271,Appointments!$M$5:$M$1204,"Completed"))</f>
        <v>0</v>
      </c>
      <c r="U271" s="25">
        <f>IF(B271="","",COUNTIFS(Appointments!$E$5:$E$1204,A271,Appointments!$M$5:$M$1204,"Completed",Appointments!$B$5:$B$1204,"&gt;="&amp;TodayDate-365))</f>
        <v>0</v>
      </c>
      <c r="V271" s="25">
        <f>IF(B271="","",COUNTIFS(Appointments!$E$5:$E$1204,A271,Appointments!$M$5:$M$1204,"Cancelled"))</f>
        <v>0</v>
      </c>
      <c r="W271" s="25">
        <f>IF(B271="","",COUNTIFS(Appointments!$E$5:$E$1204,A271,Appointments!$M$5:$M$1204,"No show"))</f>
        <v>0</v>
      </c>
      <c r="X271" s="17">
        <f>IF(B271="","",IF(F271&lt;&gt;"",F271,IF(T271=0,"",SUMPRODUCT(MIN((Appointments!$E$5:$E$1204=A271)*(Appointments!$M$5:$M$1204="Completed")*Appointments!$B$5:$B$1204+(1-(Appointments!$E$5:$E$1204=A271)*(Appointments!$M$5:$M$1204="Completed"))*2958465)))))</f>
        <v>0</v>
      </c>
      <c r="Y271" s="17">
        <f>IF(B271="","",IF(T271=0,"",SUMPRODUCT(MAX((Appointments!$E$5:$E$1204=A271)*(Appointments!$M$5:$M$1204="Completed")*Appointments!$B$5:$B$1204))))</f>
        <v>0</v>
      </c>
      <c r="Z271" s="25">
        <f>IF(B271="","",IF(Y271="","",TodayDate-Y271))</f>
        <v>0</v>
      </c>
      <c r="AA271" s="42">
        <f>IF(B271="","",SUMPRODUCT(MIN((Appointments!$E$5:$E$1204=A271)*(Appointments!$M$5:$M$1204&lt;&gt;"Cancelled")*(Appointments!$M$5:$M$1204&lt;&gt;"Completed")*(Appointments!$M$5:$M$1204&lt;&gt;"No show")*(Appointments!$B$5:$B$1204&gt;=TodayDate)*Appointments!$B$5:$B$1204+(1-(Appointments!$E$5:$E$1204=A271)*(Appointments!$M$5:$M$1204&lt;&gt;"Cancelled")*(Appointments!$M$5:$M$1204&lt;&gt;"Completed")*(Appointments!$M$5:$M$1204&lt;&gt;"No show")*(Appointments!$B$5:$B$1204&gt;=TodayDate))*2958465)))</f>
        <v>0</v>
      </c>
      <c r="AB271" s="17">
        <f>IF(B271="","",IF(AA271&gt;=2958465,"",AA271))</f>
        <v>0</v>
      </c>
      <c r="AC271" s="25">
        <f>IF(B271="","",IF(T271&lt;2,"",ROUND((Y271-X271)/MAX(1,T271-1),0)))</f>
        <v>0</v>
      </c>
      <c r="AD271" s="17">
        <f>IF(B271="","",IF(Y271="","",Y271+IF(AC271="",RebookWeeks*7,MAX(14,AC271))))</f>
        <v>0</v>
      </c>
      <c r="AE271" s="26">
        <f>IF(B271="","",ROUND(SUMIFS(Sales!$Y$5:$Y$1204,Sales!$D$5:$D$1204,A271),2))</f>
        <v>0</v>
      </c>
      <c r="AF271" s="26">
        <f>IF(B271="","",ROUND(SUMIFS(Sales!$Y$5:$Y$1204,Sales!$D$5:$D$1204,A271,Sales!$H$5:$H$1204,"Service"),2))</f>
        <v>0</v>
      </c>
      <c r="AG271" s="26">
        <f>IF(B271="","",ROUND(SUMIFS(Sales!$Y$5:$Y$1204,Sales!$D$5:$D$1204,A271,Sales!$H$5:$H$1204,"Retail"),2))</f>
        <v>0</v>
      </c>
      <c r="AH271" s="26">
        <f>IF(B271="","",ROUND(SUMIFS(Sales!$Y$5:$Y$1204,Sales!$D$5:$D$1204,A271,Sales!$B$5:$B$1204,"&gt;="&amp;TodayDate-365),2))</f>
        <v>0</v>
      </c>
      <c r="AI271" s="26">
        <f>IF(B271="","",IF(T271=0,"",ROUND(AE271/T271,2)))</f>
        <v>0</v>
      </c>
      <c r="AJ271" s="26">
        <f>IF(B271="","",IF(AI271="","",IF(AC271="","",ROUND(AI271*(365/MAX(14,AC271)),2))))</f>
        <v>0</v>
      </c>
      <c r="AK271" s="26">
        <f>IF(B271="","",ROUND(SUMIFS(Sales!$AH$5:$AH$1204,Sales!$D$5:$D$1204,A271),2))</f>
        <v>0</v>
      </c>
      <c r="AL271" s="25">
        <f>IF(B271="","",IFERROR(INDEX(Loyalty!$P$5:$P$504,MATCH(A271,Loyalty!$B$5:$B$504,0))*1,0))</f>
        <v>0</v>
      </c>
      <c r="AM271" s="39">
        <f>IF(B271="","",IF(R271="Archived","Archived",IF(T271=0,"Not been yet",IF(Z271&gt;=InactiveDays,"Inactive",IF(Z271&gt;=LapsingDays,"Lapsing",IF(T271=1,"New",IF(AH271&gt;=VipSpend,"VIP",IF(U271&gt;=4,"Regular","Active"))))))))</f>
        <v>0</v>
      </c>
      <c r="AN271" s="38">
        <f>IF(B271="","",IF(T271&gt;=2,"Yes","No"))</f>
        <v>0</v>
      </c>
      <c r="AO271" s="25">
        <f>IF(B271="","",COUNTIFS($AE$5:$AE$504,"&gt;"&amp;AE271)+COUNTIFS($AE$5:AE271,AE271))</f>
        <v>0</v>
      </c>
      <c r="AP271" s="25">
        <f>IF(B271="","",COUNTIFS($T$5:$T$504,"&gt;"&amp;T271)+COUNTIFS($T$5:T271,T271))</f>
        <v>0</v>
      </c>
      <c r="AQ271" s="39">
        <f>IF(B271="","",IF(COUNTIF($B$5:$B$504,B271)&gt;1,"Duplicate - same name twice",IF(R271="Archived","",IF(AK271&gt;0.004,"Chase - balance outstanding",IF(AM271="Inactive","Gone - win-back offer",IF(AM271="Lapsing","Chase - lapsing, call them",IF(IF(N271="",FALSE,TodayDate-N271&gt;PatchTestDays),"Due - patch test out of date",IF(IF(AD271="",FALSE,IF(AB271&lt;&gt;"",FALSE,AD271&lt;=TodayDate+14)),"Rebook - due and nothing booked",IF(IF(K271="",FALSE,ABS(DATE(YEAR(TodayDate),MONTH(K271),DAY(K271))-TodayDate)&lt;=7),"Birthday - send the treat","OK")))))))))</f>
        <v>0</v>
      </c>
    </row>
    <row r="272" spans="1:43">
      <c r="A272" s="28">
        <f>IF(B272="","",ClientPrefix&amp;TEXT(ROW()-4,"0000"))</f>
        <v>0</v>
      </c>
      <c r="J272" s="15">
        <f>IF(I272="","",IFERROR(INDEX(Staff!$B$5:$B$44,MATCH(I272,Staff!$A$5:$A$44,0)),"Not in Staff"))</f>
        <v>0</v>
      </c>
      <c r="T272" s="25">
        <f>IF(B272="","",COUNTIFS(Appointments!$E$5:$E$1204,A272,Appointments!$M$5:$M$1204,"Completed"))</f>
        <v>0</v>
      </c>
      <c r="U272" s="25">
        <f>IF(B272="","",COUNTIFS(Appointments!$E$5:$E$1204,A272,Appointments!$M$5:$M$1204,"Completed",Appointments!$B$5:$B$1204,"&gt;="&amp;TodayDate-365))</f>
        <v>0</v>
      </c>
      <c r="V272" s="25">
        <f>IF(B272="","",COUNTIFS(Appointments!$E$5:$E$1204,A272,Appointments!$M$5:$M$1204,"Cancelled"))</f>
        <v>0</v>
      </c>
      <c r="W272" s="25">
        <f>IF(B272="","",COUNTIFS(Appointments!$E$5:$E$1204,A272,Appointments!$M$5:$M$1204,"No show"))</f>
        <v>0</v>
      </c>
      <c r="X272" s="17">
        <f>IF(B272="","",IF(F272&lt;&gt;"",F272,IF(T272=0,"",SUMPRODUCT(MIN((Appointments!$E$5:$E$1204=A272)*(Appointments!$M$5:$M$1204="Completed")*Appointments!$B$5:$B$1204+(1-(Appointments!$E$5:$E$1204=A272)*(Appointments!$M$5:$M$1204="Completed"))*2958465)))))</f>
        <v>0</v>
      </c>
      <c r="Y272" s="17">
        <f>IF(B272="","",IF(T272=0,"",SUMPRODUCT(MAX((Appointments!$E$5:$E$1204=A272)*(Appointments!$M$5:$M$1204="Completed")*Appointments!$B$5:$B$1204))))</f>
        <v>0</v>
      </c>
      <c r="Z272" s="25">
        <f>IF(B272="","",IF(Y272="","",TodayDate-Y272))</f>
        <v>0</v>
      </c>
      <c r="AA272" s="42">
        <f>IF(B272="","",SUMPRODUCT(MIN((Appointments!$E$5:$E$1204=A272)*(Appointments!$M$5:$M$1204&lt;&gt;"Cancelled")*(Appointments!$M$5:$M$1204&lt;&gt;"Completed")*(Appointments!$M$5:$M$1204&lt;&gt;"No show")*(Appointments!$B$5:$B$1204&gt;=TodayDate)*Appointments!$B$5:$B$1204+(1-(Appointments!$E$5:$E$1204=A272)*(Appointments!$M$5:$M$1204&lt;&gt;"Cancelled")*(Appointments!$M$5:$M$1204&lt;&gt;"Completed")*(Appointments!$M$5:$M$1204&lt;&gt;"No show")*(Appointments!$B$5:$B$1204&gt;=TodayDate))*2958465)))</f>
        <v>0</v>
      </c>
      <c r="AB272" s="17">
        <f>IF(B272="","",IF(AA272&gt;=2958465,"",AA272))</f>
        <v>0</v>
      </c>
      <c r="AC272" s="25">
        <f>IF(B272="","",IF(T272&lt;2,"",ROUND((Y272-X272)/MAX(1,T272-1),0)))</f>
        <v>0</v>
      </c>
      <c r="AD272" s="17">
        <f>IF(B272="","",IF(Y272="","",Y272+IF(AC272="",RebookWeeks*7,MAX(14,AC272))))</f>
        <v>0</v>
      </c>
      <c r="AE272" s="26">
        <f>IF(B272="","",ROUND(SUMIFS(Sales!$Y$5:$Y$1204,Sales!$D$5:$D$1204,A272),2))</f>
        <v>0</v>
      </c>
      <c r="AF272" s="26">
        <f>IF(B272="","",ROUND(SUMIFS(Sales!$Y$5:$Y$1204,Sales!$D$5:$D$1204,A272,Sales!$H$5:$H$1204,"Service"),2))</f>
        <v>0</v>
      </c>
      <c r="AG272" s="26">
        <f>IF(B272="","",ROUND(SUMIFS(Sales!$Y$5:$Y$1204,Sales!$D$5:$D$1204,A272,Sales!$H$5:$H$1204,"Retail"),2))</f>
        <v>0</v>
      </c>
      <c r="AH272" s="26">
        <f>IF(B272="","",ROUND(SUMIFS(Sales!$Y$5:$Y$1204,Sales!$D$5:$D$1204,A272,Sales!$B$5:$B$1204,"&gt;="&amp;TodayDate-365),2))</f>
        <v>0</v>
      </c>
      <c r="AI272" s="26">
        <f>IF(B272="","",IF(T272=0,"",ROUND(AE272/T272,2)))</f>
        <v>0</v>
      </c>
      <c r="AJ272" s="26">
        <f>IF(B272="","",IF(AI272="","",IF(AC272="","",ROUND(AI272*(365/MAX(14,AC272)),2))))</f>
        <v>0</v>
      </c>
      <c r="AK272" s="26">
        <f>IF(B272="","",ROUND(SUMIFS(Sales!$AH$5:$AH$1204,Sales!$D$5:$D$1204,A272),2))</f>
        <v>0</v>
      </c>
      <c r="AL272" s="25">
        <f>IF(B272="","",IFERROR(INDEX(Loyalty!$P$5:$P$504,MATCH(A272,Loyalty!$B$5:$B$504,0))*1,0))</f>
        <v>0</v>
      </c>
      <c r="AM272" s="39">
        <f>IF(B272="","",IF(R272="Archived","Archived",IF(T272=0,"Not been yet",IF(Z272&gt;=InactiveDays,"Inactive",IF(Z272&gt;=LapsingDays,"Lapsing",IF(T272=1,"New",IF(AH272&gt;=VipSpend,"VIP",IF(U272&gt;=4,"Regular","Active"))))))))</f>
        <v>0</v>
      </c>
      <c r="AN272" s="38">
        <f>IF(B272="","",IF(T272&gt;=2,"Yes","No"))</f>
        <v>0</v>
      </c>
      <c r="AO272" s="25">
        <f>IF(B272="","",COUNTIFS($AE$5:$AE$504,"&gt;"&amp;AE272)+COUNTIFS($AE$5:AE272,AE272))</f>
        <v>0</v>
      </c>
      <c r="AP272" s="25">
        <f>IF(B272="","",COUNTIFS($T$5:$T$504,"&gt;"&amp;T272)+COUNTIFS($T$5:T272,T272))</f>
        <v>0</v>
      </c>
      <c r="AQ272" s="39">
        <f>IF(B272="","",IF(COUNTIF($B$5:$B$504,B272)&gt;1,"Duplicate - same name twice",IF(R272="Archived","",IF(AK272&gt;0.004,"Chase - balance outstanding",IF(AM272="Inactive","Gone - win-back offer",IF(AM272="Lapsing","Chase - lapsing, call them",IF(IF(N272="",FALSE,TodayDate-N272&gt;PatchTestDays),"Due - patch test out of date",IF(IF(AD272="",FALSE,IF(AB272&lt;&gt;"",FALSE,AD272&lt;=TodayDate+14)),"Rebook - due and nothing booked",IF(IF(K272="",FALSE,ABS(DATE(YEAR(TodayDate),MONTH(K272),DAY(K272))-TodayDate)&lt;=7),"Birthday - send the treat","OK")))))))))</f>
        <v>0</v>
      </c>
    </row>
    <row r="273" spans="1:43">
      <c r="A273" s="28">
        <f>IF(B273="","",ClientPrefix&amp;TEXT(ROW()-4,"0000"))</f>
        <v>0</v>
      </c>
      <c r="J273" s="15">
        <f>IF(I273="","",IFERROR(INDEX(Staff!$B$5:$B$44,MATCH(I273,Staff!$A$5:$A$44,0)),"Not in Staff"))</f>
        <v>0</v>
      </c>
      <c r="T273" s="25">
        <f>IF(B273="","",COUNTIFS(Appointments!$E$5:$E$1204,A273,Appointments!$M$5:$M$1204,"Completed"))</f>
        <v>0</v>
      </c>
      <c r="U273" s="25">
        <f>IF(B273="","",COUNTIFS(Appointments!$E$5:$E$1204,A273,Appointments!$M$5:$M$1204,"Completed",Appointments!$B$5:$B$1204,"&gt;="&amp;TodayDate-365))</f>
        <v>0</v>
      </c>
      <c r="V273" s="25">
        <f>IF(B273="","",COUNTIFS(Appointments!$E$5:$E$1204,A273,Appointments!$M$5:$M$1204,"Cancelled"))</f>
        <v>0</v>
      </c>
      <c r="W273" s="25">
        <f>IF(B273="","",COUNTIFS(Appointments!$E$5:$E$1204,A273,Appointments!$M$5:$M$1204,"No show"))</f>
        <v>0</v>
      </c>
      <c r="X273" s="17">
        <f>IF(B273="","",IF(F273&lt;&gt;"",F273,IF(T273=0,"",SUMPRODUCT(MIN((Appointments!$E$5:$E$1204=A273)*(Appointments!$M$5:$M$1204="Completed")*Appointments!$B$5:$B$1204+(1-(Appointments!$E$5:$E$1204=A273)*(Appointments!$M$5:$M$1204="Completed"))*2958465)))))</f>
        <v>0</v>
      </c>
      <c r="Y273" s="17">
        <f>IF(B273="","",IF(T273=0,"",SUMPRODUCT(MAX((Appointments!$E$5:$E$1204=A273)*(Appointments!$M$5:$M$1204="Completed")*Appointments!$B$5:$B$1204))))</f>
        <v>0</v>
      </c>
      <c r="Z273" s="25">
        <f>IF(B273="","",IF(Y273="","",TodayDate-Y273))</f>
        <v>0</v>
      </c>
      <c r="AA273" s="42">
        <f>IF(B273="","",SUMPRODUCT(MIN((Appointments!$E$5:$E$1204=A273)*(Appointments!$M$5:$M$1204&lt;&gt;"Cancelled")*(Appointments!$M$5:$M$1204&lt;&gt;"Completed")*(Appointments!$M$5:$M$1204&lt;&gt;"No show")*(Appointments!$B$5:$B$1204&gt;=TodayDate)*Appointments!$B$5:$B$1204+(1-(Appointments!$E$5:$E$1204=A273)*(Appointments!$M$5:$M$1204&lt;&gt;"Cancelled")*(Appointments!$M$5:$M$1204&lt;&gt;"Completed")*(Appointments!$M$5:$M$1204&lt;&gt;"No show")*(Appointments!$B$5:$B$1204&gt;=TodayDate))*2958465)))</f>
        <v>0</v>
      </c>
      <c r="AB273" s="17">
        <f>IF(B273="","",IF(AA273&gt;=2958465,"",AA273))</f>
        <v>0</v>
      </c>
      <c r="AC273" s="25">
        <f>IF(B273="","",IF(T273&lt;2,"",ROUND((Y273-X273)/MAX(1,T273-1),0)))</f>
        <v>0</v>
      </c>
      <c r="AD273" s="17">
        <f>IF(B273="","",IF(Y273="","",Y273+IF(AC273="",RebookWeeks*7,MAX(14,AC273))))</f>
        <v>0</v>
      </c>
      <c r="AE273" s="26">
        <f>IF(B273="","",ROUND(SUMIFS(Sales!$Y$5:$Y$1204,Sales!$D$5:$D$1204,A273),2))</f>
        <v>0</v>
      </c>
      <c r="AF273" s="26">
        <f>IF(B273="","",ROUND(SUMIFS(Sales!$Y$5:$Y$1204,Sales!$D$5:$D$1204,A273,Sales!$H$5:$H$1204,"Service"),2))</f>
        <v>0</v>
      </c>
      <c r="AG273" s="26">
        <f>IF(B273="","",ROUND(SUMIFS(Sales!$Y$5:$Y$1204,Sales!$D$5:$D$1204,A273,Sales!$H$5:$H$1204,"Retail"),2))</f>
        <v>0</v>
      </c>
      <c r="AH273" s="26">
        <f>IF(B273="","",ROUND(SUMIFS(Sales!$Y$5:$Y$1204,Sales!$D$5:$D$1204,A273,Sales!$B$5:$B$1204,"&gt;="&amp;TodayDate-365),2))</f>
        <v>0</v>
      </c>
      <c r="AI273" s="26">
        <f>IF(B273="","",IF(T273=0,"",ROUND(AE273/T273,2)))</f>
        <v>0</v>
      </c>
      <c r="AJ273" s="26">
        <f>IF(B273="","",IF(AI273="","",IF(AC273="","",ROUND(AI273*(365/MAX(14,AC273)),2))))</f>
        <v>0</v>
      </c>
      <c r="AK273" s="26">
        <f>IF(B273="","",ROUND(SUMIFS(Sales!$AH$5:$AH$1204,Sales!$D$5:$D$1204,A273),2))</f>
        <v>0</v>
      </c>
      <c r="AL273" s="25">
        <f>IF(B273="","",IFERROR(INDEX(Loyalty!$P$5:$P$504,MATCH(A273,Loyalty!$B$5:$B$504,0))*1,0))</f>
        <v>0</v>
      </c>
      <c r="AM273" s="39">
        <f>IF(B273="","",IF(R273="Archived","Archived",IF(T273=0,"Not been yet",IF(Z273&gt;=InactiveDays,"Inactive",IF(Z273&gt;=LapsingDays,"Lapsing",IF(T273=1,"New",IF(AH273&gt;=VipSpend,"VIP",IF(U273&gt;=4,"Regular","Active"))))))))</f>
        <v>0</v>
      </c>
      <c r="AN273" s="38">
        <f>IF(B273="","",IF(T273&gt;=2,"Yes","No"))</f>
        <v>0</v>
      </c>
      <c r="AO273" s="25">
        <f>IF(B273="","",COUNTIFS($AE$5:$AE$504,"&gt;"&amp;AE273)+COUNTIFS($AE$5:AE273,AE273))</f>
        <v>0</v>
      </c>
      <c r="AP273" s="25">
        <f>IF(B273="","",COUNTIFS($T$5:$T$504,"&gt;"&amp;T273)+COUNTIFS($T$5:T273,T273))</f>
        <v>0</v>
      </c>
      <c r="AQ273" s="39">
        <f>IF(B273="","",IF(COUNTIF($B$5:$B$504,B273)&gt;1,"Duplicate - same name twice",IF(R273="Archived","",IF(AK273&gt;0.004,"Chase - balance outstanding",IF(AM273="Inactive","Gone - win-back offer",IF(AM273="Lapsing","Chase - lapsing, call them",IF(IF(N273="",FALSE,TodayDate-N273&gt;PatchTestDays),"Due - patch test out of date",IF(IF(AD273="",FALSE,IF(AB273&lt;&gt;"",FALSE,AD273&lt;=TodayDate+14)),"Rebook - due and nothing booked",IF(IF(K273="",FALSE,ABS(DATE(YEAR(TodayDate),MONTH(K273),DAY(K273))-TodayDate)&lt;=7),"Birthday - send the treat","OK")))))))))</f>
        <v>0</v>
      </c>
    </row>
    <row r="274" spans="1:43">
      <c r="A274" s="28">
        <f>IF(B274="","",ClientPrefix&amp;TEXT(ROW()-4,"0000"))</f>
        <v>0</v>
      </c>
      <c r="J274" s="15">
        <f>IF(I274="","",IFERROR(INDEX(Staff!$B$5:$B$44,MATCH(I274,Staff!$A$5:$A$44,0)),"Not in Staff"))</f>
        <v>0</v>
      </c>
      <c r="T274" s="25">
        <f>IF(B274="","",COUNTIFS(Appointments!$E$5:$E$1204,A274,Appointments!$M$5:$M$1204,"Completed"))</f>
        <v>0</v>
      </c>
      <c r="U274" s="25">
        <f>IF(B274="","",COUNTIFS(Appointments!$E$5:$E$1204,A274,Appointments!$M$5:$M$1204,"Completed",Appointments!$B$5:$B$1204,"&gt;="&amp;TodayDate-365))</f>
        <v>0</v>
      </c>
      <c r="V274" s="25">
        <f>IF(B274="","",COUNTIFS(Appointments!$E$5:$E$1204,A274,Appointments!$M$5:$M$1204,"Cancelled"))</f>
        <v>0</v>
      </c>
      <c r="W274" s="25">
        <f>IF(B274="","",COUNTIFS(Appointments!$E$5:$E$1204,A274,Appointments!$M$5:$M$1204,"No show"))</f>
        <v>0</v>
      </c>
      <c r="X274" s="17">
        <f>IF(B274="","",IF(F274&lt;&gt;"",F274,IF(T274=0,"",SUMPRODUCT(MIN((Appointments!$E$5:$E$1204=A274)*(Appointments!$M$5:$M$1204="Completed")*Appointments!$B$5:$B$1204+(1-(Appointments!$E$5:$E$1204=A274)*(Appointments!$M$5:$M$1204="Completed"))*2958465)))))</f>
        <v>0</v>
      </c>
      <c r="Y274" s="17">
        <f>IF(B274="","",IF(T274=0,"",SUMPRODUCT(MAX((Appointments!$E$5:$E$1204=A274)*(Appointments!$M$5:$M$1204="Completed")*Appointments!$B$5:$B$1204))))</f>
        <v>0</v>
      </c>
      <c r="Z274" s="25">
        <f>IF(B274="","",IF(Y274="","",TodayDate-Y274))</f>
        <v>0</v>
      </c>
      <c r="AA274" s="42">
        <f>IF(B274="","",SUMPRODUCT(MIN((Appointments!$E$5:$E$1204=A274)*(Appointments!$M$5:$M$1204&lt;&gt;"Cancelled")*(Appointments!$M$5:$M$1204&lt;&gt;"Completed")*(Appointments!$M$5:$M$1204&lt;&gt;"No show")*(Appointments!$B$5:$B$1204&gt;=TodayDate)*Appointments!$B$5:$B$1204+(1-(Appointments!$E$5:$E$1204=A274)*(Appointments!$M$5:$M$1204&lt;&gt;"Cancelled")*(Appointments!$M$5:$M$1204&lt;&gt;"Completed")*(Appointments!$M$5:$M$1204&lt;&gt;"No show")*(Appointments!$B$5:$B$1204&gt;=TodayDate))*2958465)))</f>
        <v>0</v>
      </c>
      <c r="AB274" s="17">
        <f>IF(B274="","",IF(AA274&gt;=2958465,"",AA274))</f>
        <v>0</v>
      </c>
      <c r="AC274" s="25">
        <f>IF(B274="","",IF(T274&lt;2,"",ROUND((Y274-X274)/MAX(1,T274-1),0)))</f>
        <v>0</v>
      </c>
      <c r="AD274" s="17">
        <f>IF(B274="","",IF(Y274="","",Y274+IF(AC274="",RebookWeeks*7,MAX(14,AC274))))</f>
        <v>0</v>
      </c>
      <c r="AE274" s="26">
        <f>IF(B274="","",ROUND(SUMIFS(Sales!$Y$5:$Y$1204,Sales!$D$5:$D$1204,A274),2))</f>
        <v>0</v>
      </c>
      <c r="AF274" s="26">
        <f>IF(B274="","",ROUND(SUMIFS(Sales!$Y$5:$Y$1204,Sales!$D$5:$D$1204,A274,Sales!$H$5:$H$1204,"Service"),2))</f>
        <v>0</v>
      </c>
      <c r="AG274" s="26">
        <f>IF(B274="","",ROUND(SUMIFS(Sales!$Y$5:$Y$1204,Sales!$D$5:$D$1204,A274,Sales!$H$5:$H$1204,"Retail"),2))</f>
        <v>0</v>
      </c>
      <c r="AH274" s="26">
        <f>IF(B274="","",ROUND(SUMIFS(Sales!$Y$5:$Y$1204,Sales!$D$5:$D$1204,A274,Sales!$B$5:$B$1204,"&gt;="&amp;TodayDate-365),2))</f>
        <v>0</v>
      </c>
      <c r="AI274" s="26">
        <f>IF(B274="","",IF(T274=0,"",ROUND(AE274/T274,2)))</f>
        <v>0</v>
      </c>
      <c r="AJ274" s="26">
        <f>IF(B274="","",IF(AI274="","",IF(AC274="","",ROUND(AI274*(365/MAX(14,AC274)),2))))</f>
        <v>0</v>
      </c>
      <c r="AK274" s="26">
        <f>IF(B274="","",ROUND(SUMIFS(Sales!$AH$5:$AH$1204,Sales!$D$5:$D$1204,A274),2))</f>
        <v>0</v>
      </c>
      <c r="AL274" s="25">
        <f>IF(B274="","",IFERROR(INDEX(Loyalty!$P$5:$P$504,MATCH(A274,Loyalty!$B$5:$B$504,0))*1,0))</f>
        <v>0</v>
      </c>
      <c r="AM274" s="39">
        <f>IF(B274="","",IF(R274="Archived","Archived",IF(T274=0,"Not been yet",IF(Z274&gt;=InactiveDays,"Inactive",IF(Z274&gt;=LapsingDays,"Lapsing",IF(T274=1,"New",IF(AH274&gt;=VipSpend,"VIP",IF(U274&gt;=4,"Regular","Active"))))))))</f>
        <v>0</v>
      </c>
      <c r="AN274" s="38">
        <f>IF(B274="","",IF(T274&gt;=2,"Yes","No"))</f>
        <v>0</v>
      </c>
      <c r="AO274" s="25">
        <f>IF(B274="","",COUNTIFS($AE$5:$AE$504,"&gt;"&amp;AE274)+COUNTIFS($AE$5:AE274,AE274))</f>
        <v>0</v>
      </c>
      <c r="AP274" s="25">
        <f>IF(B274="","",COUNTIFS($T$5:$T$504,"&gt;"&amp;T274)+COUNTIFS($T$5:T274,T274))</f>
        <v>0</v>
      </c>
      <c r="AQ274" s="39">
        <f>IF(B274="","",IF(COUNTIF($B$5:$B$504,B274)&gt;1,"Duplicate - same name twice",IF(R274="Archived","",IF(AK274&gt;0.004,"Chase - balance outstanding",IF(AM274="Inactive","Gone - win-back offer",IF(AM274="Lapsing","Chase - lapsing, call them",IF(IF(N274="",FALSE,TodayDate-N274&gt;PatchTestDays),"Due - patch test out of date",IF(IF(AD274="",FALSE,IF(AB274&lt;&gt;"",FALSE,AD274&lt;=TodayDate+14)),"Rebook - due and nothing booked",IF(IF(K274="",FALSE,ABS(DATE(YEAR(TodayDate),MONTH(K274),DAY(K274))-TodayDate)&lt;=7),"Birthday - send the treat","OK")))))))))</f>
        <v>0</v>
      </c>
    </row>
    <row r="275" spans="1:43">
      <c r="A275" s="28">
        <f>IF(B275="","",ClientPrefix&amp;TEXT(ROW()-4,"0000"))</f>
        <v>0</v>
      </c>
      <c r="J275" s="15">
        <f>IF(I275="","",IFERROR(INDEX(Staff!$B$5:$B$44,MATCH(I275,Staff!$A$5:$A$44,0)),"Not in Staff"))</f>
        <v>0</v>
      </c>
      <c r="T275" s="25">
        <f>IF(B275="","",COUNTIFS(Appointments!$E$5:$E$1204,A275,Appointments!$M$5:$M$1204,"Completed"))</f>
        <v>0</v>
      </c>
      <c r="U275" s="25">
        <f>IF(B275="","",COUNTIFS(Appointments!$E$5:$E$1204,A275,Appointments!$M$5:$M$1204,"Completed",Appointments!$B$5:$B$1204,"&gt;="&amp;TodayDate-365))</f>
        <v>0</v>
      </c>
      <c r="V275" s="25">
        <f>IF(B275="","",COUNTIFS(Appointments!$E$5:$E$1204,A275,Appointments!$M$5:$M$1204,"Cancelled"))</f>
        <v>0</v>
      </c>
      <c r="W275" s="25">
        <f>IF(B275="","",COUNTIFS(Appointments!$E$5:$E$1204,A275,Appointments!$M$5:$M$1204,"No show"))</f>
        <v>0</v>
      </c>
      <c r="X275" s="17">
        <f>IF(B275="","",IF(F275&lt;&gt;"",F275,IF(T275=0,"",SUMPRODUCT(MIN((Appointments!$E$5:$E$1204=A275)*(Appointments!$M$5:$M$1204="Completed")*Appointments!$B$5:$B$1204+(1-(Appointments!$E$5:$E$1204=A275)*(Appointments!$M$5:$M$1204="Completed"))*2958465)))))</f>
        <v>0</v>
      </c>
      <c r="Y275" s="17">
        <f>IF(B275="","",IF(T275=0,"",SUMPRODUCT(MAX((Appointments!$E$5:$E$1204=A275)*(Appointments!$M$5:$M$1204="Completed")*Appointments!$B$5:$B$1204))))</f>
        <v>0</v>
      </c>
      <c r="Z275" s="25">
        <f>IF(B275="","",IF(Y275="","",TodayDate-Y275))</f>
        <v>0</v>
      </c>
      <c r="AA275" s="42">
        <f>IF(B275="","",SUMPRODUCT(MIN((Appointments!$E$5:$E$1204=A275)*(Appointments!$M$5:$M$1204&lt;&gt;"Cancelled")*(Appointments!$M$5:$M$1204&lt;&gt;"Completed")*(Appointments!$M$5:$M$1204&lt;&gt;"No show")*(Appointments!$B$5:$B$1204&gt;=TodayDate)*Appointments!$B$5:$B$1204+(1-(Appointments!$E$5:$E$1204=A275)*(Appointments!$M$5:$M$1204&lt;&gt;"Cancelled")*(Appointments!$M$5:$M$1204&lt;&gt;"Completed")*(Appointments!$M$5:$M$1204&lt;&gt;"No show")*(Appointments!$B$5:$B$1204&gt;=TodayDate))*2958465)))</f>
        <v>0</v>
      </c>
      <c r="AB275" s="17">
        <f>IF(B275="","",IF(AA275&gt;=2958465,"",AA275))</f>
        <v>0</v>
      </c>
      <c r="AC275" s="25">
        <f>IF(B275="","",IF(T275&lt;2,"",ROUND((Y275-X275)/MAX(1,T275-1),0)))</f>
        <v>0</v>
      </c>
      <c r="AD275" s="17">
        <f>IF(B275="","",IF(Y275="","",Y275+IF(AC275="",RebookWeeks*7,MAX(14,AC275))))</f>
        <v>0</v>
      </c>
      <c r="AE275" s="26">
        <f>IF(B275="","",ROUND(SUMIFS(Sales!$Y$5:$Y$1204,Sales!$D$5:$D$1204,A275),2))</f>
        <v>0</v>
      </c>
      <c r="AF275" s="26">
        <f>IF(B275="","",ROUND(SUMIFS(Sales!$Y$5:$Y$1204,Sales!$D$5:$D$1204,A275,Sales!$H$5:$H$1204,"Service"),2))</f>
        <v>0</v>
      </c>
      <c r="AG275" s="26">
        <f>IF(B275="","",ROUND(SUMIFS(Sales!$Y$5:$Y$1204,Sales!$D$5:$D$1204,A275,Sales!$H$5:$H$1204,"Retail"),2))</f>
        <v>0</v>
      </c>
      <c r="AH275" s="26">
        <f>IF(B275="","",ROUND(SUMIFS(Sales!$Y$5:$Y$1204,Sales!$D$5:$D$1204,A275,Sales!$B$5:$B$1204,"&gt;="&amp;TodayDate-365),2))</f>
        <v>0</v>
      </c>
      <c r="AI275" s="26">
        <f>IF(B275="","",IF(T275=0,"",ROUND(AE275/T275,2)))</f>
        <v>0</v>
      </c>
      <c r="AJ275" s="26">
        <f>IF(B275="","",IF(AI275="","",IF(AC275="","",ROUND(AI275*(365/MAX(14,AC275)),2))))</f>
        <v>0</v>
      </c>
      <c r="AK275" s="26">
        <f>IF(B275="","",ROUND(SUMIFS(Sales!$AH$5:$AH$1204,Sales!$D$5:$D$1204,A275),2))</f>
        <v>0</v>
      </c>
      <c r="AL275" s="25">
        <f>IF(B275="","",IFERROR(INDEX(Loyalty!$P$5:$P$504,MATCH(A275,Loyalty!$B$5:$B$504,0))*1,0))</f>
        <v>0</v>
      </c>
      <c r="AM275" s="39">
        <f>IF(B275="","",IF(R275="Archived","Archived",IF(T275=0,"Not been yet",IF(Z275&gt;=InactiveDays,"Inactive",IF(Z275&gt;=LapsingDays,"Lapsing",IF(T275=1,"New",IF(AH275&gt;=VipSpend,"VIP",IF(U275&gt;=4,"Regular","Active"))))))))</f>
        <v>0</v>
      </c>
      <c r="AN275" s="38">
        <f>IF(B275="","",IF(T275&gt;=2,"Yes","No"))</f>
        <v>0</v>
      </c>
      <c r="AO275" s="25">
        <f>IF(B275="","",COUNTIFS($AE$5:$AE$504,"&gt;"&amp;AE275)+COUNTIFS($AE$5:AE275,AE275))</f>
        <v>0</v>
      </c>
      <c r="AP275" s="25">
        <f>IF(B275="","",COUNTIFS($T$5:$T$504,"&gt;"&amp;T275)+COUNTIFS($T$5:T275,T275))</f>
        <v>0</v>
      </c>
      <c r="AQ275" s="39">
        <f>IF(B275="","",IF(COUNTIF($B$5:$B$504,B275)&gt;1,"Duplicate - same name twice",IF(R275="Archived","",IF(AK275&gt;0.004,"Chase - balance outstanding",IF(AM275="Inactive","Gone - win-back offer",IF(AM275="Lapsing","Chase - lapsing, call them",IF(IF(N275="",FALSE,TodayDate-N275&gt;PatchTestDays),"Due - patch test out of date",IF(IF(AD275="",FALSE,IF(AB275&lt;&gt;"",FALSE,AD275&lt;=TodayDate+14)),"Rebook - due and nothing booked",IF(IF(K275="",FALSE,ABS(DATE(YEAR(TodayDate),MONTH(K275),DAY(K275))-TodayDate)&lt;=7),"Birthday - send the treat","OK")))))))))</f>
        <v>0</v>
      </c>
    </row>
    <row r="276" spans="1:43">
      <c r="A276" s="28">
        <f>IF(B276="","",ClientPrefix&amp;TEXT(ROW()-4,"0000"))</f>
        <v>0</v>
      </c>
      <c r="J276" s="15">
        <f>IF(I276="","",IFERROR(INDEX(Staff!$B$5:$B$44,MATCH(I276,Staff!$A$5:$A$44,0)),"Not in Staff"))</f>
        <v>0</v>
      </c>
      <c r="T276" s="25">
        <f>IF(B276="","",COUNTIFS(Appointments!$E$5:$E$1204,A276,Appointments!$M$5:$M$1204,"Completed"))</f>
        <v>0</v>
      </c>
      <c r="U276" s="25">
        <f>IF(B276="","",COUNTIFS(Appointments!$E$5:$E$1204,A276,Appointments!$M$5:$M$1204,"Completed",Appointments!$B$5:$B$1204,"&gt;="&amp;TodayDate-365))</f>
        <v>0</v>
      </c>
      <c r="V276" s="25">
        <f>IF(B276="","",COUNTIFS(Appointments!$E$5:$E$1204,A276,Appointments!$M$5:$M$1204,"Cancelled"))</f>
        <v>0</v>
      </c>
      <c r="W276" s="25">
        <f>IF(B276="","",COUNTIFS(Appointments!$E$5:$E$1204,A276,Appointments!$M$5:$M$1204,"No show"))</f>
        <v>0</v>
      </c>
      <c r="X276" s="17">
        <f>IF(B276="","",IF(F276&lt;&gt;"",F276,IF(T276=0,"",SUMPRODUCT(MIN((Appointments!$E$5:$E$1204=A276)*(Appointments!$M$5:$M$1204="Completed")*Appointments!$B$5:$B$1204+(1-(Appointments!$E$5:$E$1204=A276)*(Appointments!$M$5:$M$1204="Completed"))*2958465)))))</f>
        <v>0</v>
      </c>
      <c r="Y276" s="17">
        <f>IF(B276="","",IF(T276=0,"",SUMPRODUCT(MAX((Appointments!$E$5:$E$1204=A276)*(Appointments!$M$5:$M$1204="Completed")*Appointments!$B$5:$B$1204))))</f>
        <v>0</v>
      </c>
      <c r="Z276" s="25">
        <f>IF(B276="","",IF(Y276="","",TodayDate-Y276))</f>
        <v>0</v>
      </c>
      <c r="AA276" s="42">
        <f>IF(B276="","",SUMPRODUCT(MIN((Appointments!$E$5:$E$1204=A276)*(Appointments!$M$5:$M$1204&lt;&gt;"Cancelled")*(Appointments!$M$5:$M$1204&lt;&gt;"Completed")*(Appointments!$M$5:$M$1204&lt;&gt;"No show")*(Appointments!$B$5:$B$1204&gt;=TodayDate)*Appointments!$B$5:$B$1204+(1-(Appointments!$E$5:$E$1204=A276)*(Appointments!$M$5:$M$1204&lt;&gt;"Cancelled")*(Appointments!$M$5:$M$1204&lt;&gt;"Completed")*(Appointments!$M$5:$M$1204&lt;&gt;"No show")*(Appointments!$B$5:$B$1204&gt;=TodayDate))*2958465)))</f>
        <v>0</v>
      </c>
      <c r="AB276" s="17">
        <f>IF(B276="","",IF(AA276&gt;=2958465,"",AA276))</f>
        <v>0</v>
      </c>
      <c r="AC276" s="25">
        <f>IF(B276="","",IF(T276&lt;2,"",ROUND((Y276-X276)/MAX(1,T276-1),0)))</f>
        <v>0</v>
      </c>
      <c r="AD276" s="17">
        <f>IF(B276="","",IF(Y276="","",Y276+IF(AC276="",RebookWeeks*7,MAX(14,AC276))))</f>
        <v>0</v>
      </c>
      <c r="AE276" s="26">
        <f>IF(B276="","",ROUND(SUMIFS(Sales!$Y$5:$Y$1204,Sales!$D$5:$D$1204,A276),2))</f>
        <v>0</v>
      </c>
      <c r="AF276" s="26">
        <f>IF(B276="","",ROUND(SUMIFS(Sales!$Y$5:$Y$1204,Sales!$D$5:$D$1204,A276,Sales!$H$5:$H$1204,"Service"),2))</f>
        <v>0</v>
      </c>
      <c r="AG276" s="26">
        <f>IF(B276="","",ROUND(SUMIFS(Sales!$Y$5:$Y$1204,Sales!$D$5:$D$1204,A276,Sales!$H$5:$H$1204,"Retail"),2))</f>
        <v>0</v>
      </c>
      <c r="AH276" s="26">
        <f>IF(B276="","",ROUND(SUMIFS(Sales!$Y$5:$Y$1204,Sales!$D$5:$D$1204,A276,Sales!$B$5:$B$1204,"&gt;="&amp;TodayDate-365),2))</f>
        <v>0</v>
      </c>
      <c r="AI276" s="26">
        <f>IF(B276="","",IF(T276=0,"",ROUND(AE276/T276,2)))</f>
        <v>0</v>
      </c>
      <c r="AJ276" s="26">
        <f>IF(B276="","",IF(AI276="","",IF(AC276="","",ROUND(AI276*(365/MAX(14,AC276)),2))))</f>
        <v>0</v>
      </c>
      <c r="AK276" s="26">
        <f>IF(B276="","",ROUND(SUMIFS(Sales!$AH$5:$AH$1204,Sales!$D$5:$D$1204,A276),2))</f>
        <v>0</v>
      </c>
      <c r="AL276" s="25">
        <f>IF(B276="","",IFERROR(INDEX(Loyalty!$P$5:$P$504,MATCH(A276,Loyalty!$B$5:$B$504,0))*1,0))</f>
        <v>0</v>
      </c>
      <c r="AM276" s="39">
        <f>IF(B276="","",IF(R276="Archived","Archived",IF(T276=0,"Not been yet",IF(Z276&gt;=InactiveDays,"Inactive",IF(Z276&gt;=LapsingDays,"Lapsing",IF(T276=1,"New",IF(AH276&gt;=VipSpend,"VIP",IF(U276&gt;=4,"Regular","Active"))))))))</f>
        <v>0</v>
      </c>
      <c r="AN276" s="38">
        <f>IF(B276="","",IF(T276&gt;=2,"Yes","No"))</f>
        <v>0</v>
      </c>
      <c r="AO276" s="25">
        <f>IF(B276="","",COUNTIFS($AE$5:$AE$504,"&gt;"&amp;AE276)+COUNTIFS($AE$5:AE276,AE276))</f>
        <v>0</v>
      </c>
      <c r="AP276" s="25">
        <f>IF(B276="","",COUNTIFS($T$5:$T$504,"&gt;"&amp;T276)+COUNTIFS($T$5:T276,T276))</f>
        <v>0</v>
      </c>
      <c r="AQ276" s="39">
        <f>IF(B276="","",IF(COUNTIF($B$5:$B$504,B276)&gt;1,"Duplicate - same name twice",IF(R276="Archived","",IF(AK276&gt;0.004,"Chase - balance outstanding",IF(AM276="Inactive","Gone - win-back offer",IF(AM276="Lapsing","Chase - lapsing, call them",IF(IF(N276="",FALSE,TodayDate-N276&gt;PatchTestDays),"Due - patch test out of date",IF(IF(AD276="",FALSE,IF(AB276&lt;&gt;"",FALSE,AD276&lt;=TodayDate+14)),"Rebook - due and nothing booked",IF(IF(K276="",FALSE,ABS(DATE(YEAR(TodayDate),MONTH(K276),DAY(K276))-TodayDate)&lt;=7),"Birthday - send the treat","OK")))))))))</f>
        <v>0</v>
      </c>
    </row>
    <row r="277" spans="1:43">
      <c r="A277" s="28">
        <f>IF(B277="","",ClientPrefix&amp;TEXT(ROW()-4,"0000"))</f>
        <v>0</v>
      </c>
      <c r="J277" s="15">
        <f>IF(I277="","",IFERROR(INDEX(Staff!$B$5:$B$44,MATCH(I277,Staff!$A$5:$A$44,0)),"Not in Staff"))</f>
        <v>0</v>
      </c>
      <c r="T277" s="25">
        <f>IF(B277="","",COUNTIFS(Appointments!$E$5:$E$1204,A277,Appointments!$M$5:$M$1204,"Completed"))</f>
        <v>0</v>
      </c>
      <c r="U277" s="25">
        <f>IF(B277="","",COUNTIFS(Appointments!$E$5:$E$1204,A277,Appointments!$M$5:$M$1204,"Completed",Appointments!$B$5:$B$1204,"&gt;="&amp;TodayDate-365))</f>
        <v>0</v>
      </c>
      <c r="V277" s="25">
        <f>IF(B277="","",COUNTIFS(Appointments!$E$5:$E$1204,A277,Appointments!$M$5:$M$1204,"Cancelled"))</f>
        <v>0</v>
      </c>
      <c r="W277" s="25">
        <f>IF(B277="","",COUNTIFS(Appointments!$E$5:$E$1204,A277,Appointments!$M$5:$M$1204,"No show"))</f>
        <v>0</v>
      </c>
      <c r="X277" s="17">
        <f>IF(B277="","",IF(F277&lt;&gt;"",F277,IF(T277=0,"",SUMPRODUCT(MIN((Appointments!$E$5:$E$1204=A277)*(Appointments!$M$5:$M$1204="Completed")*Appointments!$B$5:$B$1204+(1-(Appointments!$E$5:$E$1204=A277)*(Appointments!$M$5:$M$1204="Completed"))*2958465)))))</f>
        <v>0</v>
      </c>
      <c r="Y277" s="17">
        <f>IF(B277="","",IF(T277=0,"",SUMPRODUCT(MAX((Appointments!$E$5:$E$1204=A277)*(Appointments!$M$5:$M$1204="Completed")*Appointments!$B$5:$B$1204))))</f>
        <v>0</v>
      </c>
      <c r="Z277" s="25">
        <f>IF(B277="","",IF(Y277="","",TodayDate-Y277))</f>
        <v>0</v>
      </c>
      <c r="AA277" s="42">
        <f>IF(B277="","",SUMPRODUCT(MIN((Appointments!$E$5:$E$1204=A277)*(Appointments!$M$5:$M$1204&lt;&gt;"Cancelled")*(Appointments!$M$5:$M$1204&lt;&gt;"Completed")*(Appointments!$M$5:$M$1204&lt;&gt;"No show")*(Appointments!$B$5:$B$1204&gt;=TodayDate)*Appointments!$B$5:$B$1204+(1-(Appointments!$E$5:$E$1204=A277)*(Appointments!$M$5:$M$1204&lt;&gt;"Cancelled")*(Appointments!$M$5:$M$1204&lt;&gt;"Completed")*(Appointments!$M$5:$M$1204&lt;&gt;"No show")*(Appointments!$B$5:$B$1204&gt;=TodayDate))*2958465)))</f>
        <v>0</v>
      </c>
      <c r="AB277" s="17">
        <f>IF(B277="","",IF(AA277&gt;=2958465,"",AA277))</f>
        <v>0</v>
      </c>
      <c r="AC277" s="25">
        <f>IF(B277="","",IF(T277&lt;2,"",ROUND((Y277-X277)/MAX(1,T277-1),0)))</f>
        <v>0</v>
      </c>
      <c r="AD277" s="17">
        <f>IF(B277="","",IF(Y277="","",Y277+IF(AC277="",RebookWeeks*7,MAX(14,AC277))))</f>
        <v>0</v>
      </c>
      <c r="AE277" s="26">
        <f>IF(B277="","",ROUND(SUMIFS(Sales!$Y$5:$Y$1204,Sales!$D$5:$D$1204,A277),2))</f>
        <v>0</v>
      </c>
      <c r="AF277" s="26">
        <f>IF(B277="","",ROUND(SUMIFS(Sales!$Y$5:$Y$1204,Sales!$D$5:$D$1204,A277,Sales!$H$5:$H$1204,"Service"),2))</f>
        <v>0</v>
      </c>
      <c r="AG277" s="26">
        <f>IF(B277="","",ROUND(SUMIFS(Sales!$Y$5:$Y$1204,Sales!$D$5:$D$1204,A277,Sales!$H$5:$H$1204,"Retail"),2))</f>
        <v>0</v>
      </c>
      <c r="AH277" s="26">
        <f>IF(B277="","",ROUND(SUMIFS(Sales!$Y$5:$Y$1204,Sales!$D$5:$D$1204,A277,Sales!$B$5:$B$1204,"&gt;="&amp;TodayDate-365),2))</f>
        <v>0</v>
      </c>
      <c r="AI277" s="26">
        <f>IF(B277="","",IF(T277=0,"",ROUND(AE277/T277,2)))</f>
        <v>0</v>
      </c>
      <c r="AJ277" s="26">
        <f>IF(B277="","",IF(AI277="","",IF(AC277="","",ROUND(AI277*(365/MAX(14,AC277)),2))))</f>
        <v>0</v>
      </c>
      <c r="AK277" s="26">
        <f>IF(B277="","",ROUND(SUMIFS(Sales!$AH$5:$AH$1204,Sales!$D$5:$D$1204,A277),2))</f>
        <v>0</v>
      </c>
      <c r="AL277" s="25">
        <f>IF(B277="","",IFERROR(INDEX(Loyalty!$P$5:$P$504,MATCH(A277,Loyalty!$B$5:$B$504,0))*1,0))</f>
        <v>0</v>
      </c>
      <c r="AM277" s="39">
        <f>IF(B277="","",IF(R277="Archived","Archived",IF(T277=0,"Not been yet",IF(Z277&gt;=InactiveDays,"Inactive",IF(Z277&gt;=LapsingDays,"Lapsing",IF(T277=1,"New",IF(AH277&gt;=VipSpend,"VIP",IF(U277&gt;=4,"Regular","Active"))))))))</f>
        <v>0</v>
      </c>
      <c r="AN277" s="38">
        <f>IF(B277="","",IF(T277&gt;=2,"Yes","No"))</f>
        <v>0</v>
      </c>
      <c r="AO277" s="25">
        <f>IF(B277="","",COUNTIFS($AE$5:$AE$504,"&gt;"&amp;AE277)+COUNTIFS($AE$5:AE277,AE277))</f>
        <v>0</v>
      </c>
      <c r="AP277" s="25">
        <f>IF(B277="","",COUNTIFS($T$5:$T$504,"&gt;"&amp;T277)+COUNTIFS($T$5:T277,T277))</f>
        <v>0</v>
      </c>
      <c r="AQ277" s="39">
        <f>IF(B277="","",IF(COUNTIF($B$5:$B$504,B277)&gt;1,"Duplicate - same name twice",IF(R277="Archived","",IF(AK277&gt;0.004,"Chase - balance outstanding",IF(AM277="Inactive","Gone - win-back offer",IF(AM277="Lapsing","Chase - lapsing, call them",IF(IF(N277="",FALSE,TodayDate-N277&gt;PatchTestDays),"Due - patch test out of date",IF(IF(AD277="",FALSE,IF(AB277&lt;&gt;"",FALSE,AD277&lt;=TodayDate+14)),"Rebook - due and nothing booked",IF(IF(K277="",FALSE,ABS(DATE(YEAR(TodayDate),MONTH(K277),DAY(K277))-TodayDate)&lt;=7),"Birthday - send the treat","OK")))))))))</f>
        <v>0</v>
      </c>
    </row>
    <row r="278" spans="1:43">
      <c r="A278" s="28">
        <f>IF(B278="","",ClientPrefix&amp;TEXT(ROW()-4,"0000"))</f>
        <v>0</v>
      </c>
      <c r="J278" s="15">
        <f>IF(I278="","",IFERROR(INDEX(Staff!$B$5:$B$44,MATCH(I278,Staff!$A$5:$A$44,0)),"Not in Staff"))</f>
        <v>0</v>
      </c>
      <c r="T278" s="25">
        <f>IF(B278="","",COUNTIFS(Appointments!$E$5:$E$1204,A278,Appointments!$M$5:$M$1204,"Completed"))</f>
        <v>0</v>
      </c>
      <c r="U278" s="25">
        <f>IF(B278="","",COUNTIFS(Appointments!$E$5:$E$1204,A278,Appointments!$M$5:$M$1204,"Completed",Appointments!$B$5:$B$1204,"&gt;="&amp;TodayDate-365))</f>
        <v>0</v>
      </c>
      <c r="V278" s="25">
        <f>IF(B278="","",COUNTIFS(Appointments!$E$5:$E$1204,A278,Appointments!$M$5:$M$1204,"Cancelled"))</f>
        <v>0</v>
      </c>
      <c r="W278" s="25">
        <f>IF(B278="","",COUNTIFS(Appointments!$E$5:$E$1204,A278,Appointments!$M$5:$M$1204,"No show"))</f>
        <v>0</v>
      </c>
      <c r="X278" s="17">
        <f>IF(B278="","",IF(F278&lt;&gt;"",F278,IF(T278=0,"",SUMPRODUCT(MIN((Appointments!$E$5:$E$1204=A278)*(Appointments!$M$5:$M$1204="Completed")*Appointments!$B$5:$B$1204+(1-(Appointments!$E$5:$E$1204=A278)*(Appointments!$M$5:$M$1204="Completed"))*2958465)))))</f>
        <v>0</v>
      </c>
      <c r="Y278" s="17">
        <f>IF(B278="","",IF(T278=0,"",SUMPRODUCT(MAX((Appointments!$E$5:$E$1204=A278)*(Appointments!$M$5:$M$1204="Completed")*Appointments!$B$5:$B$1204))))</f>
        <v>0</v>
      </c>
      <c r="Z278" s="25">
        <f>IF(B278="","",IF(Y278="","",TodayDate-Y278))</f>
        <v>0</v>
      </c>
      <c r="AA278" s="42">
        <f>IF(B278="","",SUMPRODUCT(MIN((Appointments!$E$5:$E$1204=A278)*(Appointments!$M$5:$M$1204&lt;&gt;"Cancelled")*(Appointments!$M$5:$M$1204&lt;&gt;"Completed")*(Appointments!$M$5:$M$1204&lt;&gt;"No show")*(Appointments!$B$5:$B$1204&gt;=TodayDate)*Appointments!$B$5:$B$1204+(1-(Appointments!$E$5:$E$1204=A278)*(Appointments!$M$5:$M$1204&lt;&gt;"Cancelled")*(Appointments!$M$5:$M$1204&lt;&gt;"Completed")*(Appointments!$M$5:$M$1204&lt;&gt;"No show")*(Appointments!$B$5:$B$1204&gt;=TodayDate))*2958465)))</f>
        <v>0</v>
      </c>
      <c r="AB278" s="17">
        <f>IF(B278="","",IF(AA278&gt;=2958465,"",AA278))</f>
        <v>0</v>
      </c>
      <c r="AC278" s="25">
        <f>IF(B278="","",IF(T278&lt;2,"",ROUND((Y278-X278)/MAX(1,T278-1),0)))</f>
        <v>0</v>
      </c>
      <c r="AD278" s="17">
        <f>IF(B278="","",IF(Y278="","",Y278+IF(AC278="",RebookWeeks*7,MAX(14,AC278))))</f>
        <v>0</v>
      </c>
      <c r="AE278" s="26">
        <f>IF(B278="","",ROUND(SUMIFS(Sales!$Y$5:$Y$1204,Sales!$D$5:$D$1204,A278),2))</f>
        <v>0</v>
      </c>
      <c r="AF278" s="26">
        <f>IF(B278="","",ROUND(SUMIFS(Sales!$Y$5:$Y$1204,Sales!$D$5:$D$1204,A278,Sales!$H$5:$H$1204,"Service"),2))</f>
        <v>0</v>
      </c>
      <c r="AG278" s="26">
        <f>IF(B278="","",ROUND(SUMIFS(Sales!$Y$5:$Y$1204,Sales!$D$5:$D$1204,A278,Sales!$H$5:$H$1204,"Retail"),2))</f>
        <v>0</v>
      </c>
      <c r="AH278" s="26">
        <f>IF(B278="","",ROUND(SUMIFS(Sales!$Y$5:$Y$1204,Sales!$D$5:$D$1204,A278,Sales!$B$5:$B$1204,"&gt;="&amp;TodayDate-365),2))</f>
        <v>0</v>
      </c>
      <c r="AI278" s="26">
        <f>IF(B278="","",IF(T278=0,"",ROUND(AE278/T278,2)))</f>
        <v>0</v>
      </c>
      <c r="AJ278" s="26">
        <f>IF(B278="","",IF(AI278="","",IF(AC278="","",ROUND(AI278*(365/MAX(14,AC278)),2))))</f>
        <v>0</v>
      </c>
      <c r="AK278" s="26">
        <f>IF(B278="","",ROUND(SUMIFS(Sales!$AH$5:$AH$1204,Sales!$D$5:$D$1204,A278),2))</f>
        <v>0</v>
      </c>
      <c r="AL278" s="25">
        <f>IF(B278="","",IFERROR(INDEX(Loyalty!$P$5:$P$504,MATCH(A278,Loyalty!$B$5:$B$504,0))*1,0))</f>
        <v>0</v>
      </c>
      <c r="AM278" s="39">
        <f>IF(B278="","",IF(R278="Archived","Archived",IF(T278=0,"Not been yet",IF(Z278&gt;=InactiveDays,"Inactive",IF(Z278&gt;=LapsingDays,"Lapsing",IF(T278=1,"New",IF(AH278&gt;=VipSpend,"VIP",IF(U278&gt;=4,"Regular","Active"))))))))</f>
        <v>0</v>
      </c>
      <c r="AN278" s="38">
        <f>IF(B278="","",IF(T278&gt;=2,"Yes","No"))</f>
        <v>0</v>
      </c>
      <c r="AO278" s="25">
        <f>IF(B278="","",COUNTIFS($AE$5:$AE$504,"&gt;"&amp;AE278)+COUNTIFS($AE$5:AE278,AE278))</f>
        <v>0</v>
      </c>
      <c r="AP278" s="25">
        <f>IF(B278="","",COUNTIFS($T$5:$T$504,"&gt;"&amp;T278)+COUNTIFS($T$5:T278,T278))</f>
        <v>0</v>
      </c>
      <c r="AQ278" s="39">
        <f>IF(B278="","",IF(COUNTIF($B$5:$B$504,B278)&gt;1,"Duplicate - same name twice",IF(R278="Archived","",IF(AK278&gt;0.004,"Chase - balance outstanding",IF(AM278="Inactive","Gone - win-back offer",IF(AM278="Lapsing","Chase - lapsing, call them",IF(IF(N278="",FALSE,TodayDate-N278&gt;PatchTestDays),"Due - patch test out of date",IF(IF(AD278="",FALSE,IF(AB278&lt;&gt;"",FALSE,AD278&lt;=TodayDate+14)),"Rebook - due and nothing booked",IF(IF(K278="",FALSE,ABS(DATE(YEAR(TodayDate),MONTH(K278),DAY(K278))-TodayDate)&lt;=7),"Birthday - send the treat","OK")))))))))</f>
        <v>0</v>
      </c>
    </row>
    <row r="279" spans="1:43">
      <c r="A279" s="28">
        <f>IF(B279="","",ClientPrefix&amp;TEXT(ROW()-4,"0000"))</f>
        <v>0</v>
      </c>
      <c r="J279" s="15">
        <f>IF(I279="","",IFERROR(INDEX(Staff!$B$5:$B$44,MATCH(I279,Staff!$A$5:$A$44,0)),"Not in Staff"))</f>
        <v>0</v>
      </c>
      <c r="T279" s="25">
        <f>IF(B279="","",COUNTIFS(Appointments!$E$5:$E$1204,A279,Appointments!$M$5:$M$1204,"Completed"))</f>
        <v>0</v>
      </c>
      <c r="U279" s="25">
        <f>IF(B279="","",COUNTIFS(Appointments!$E$5:$E$1204,A279,Appointments!$M$5:$M$1204,"Completed",Appointments!$B$5:$B$1204,"&gt;="&amp;TodayDate-365))</f>
        <v>0</v>
      </c>
      <c r="V279" s="25">
        <f>IF(B279="","",COUNTIFS(Appointments!$E$5:$E$1204,A279,Appointments!$M$5:$M$1204,"Cancelled"))</f>
        <v>0</v>
      </c>
      <c r="W279" s="25">
        <f>IF(B279="","",COUNTIFS(Appointments!$E$5:$E$1204,A279,Appointments!$M$5:$M$1204,"No show"))</f>
        <v>0</v>
      </c>
      <c r="X279" s="17">
        <f>IF(B279="","",IF(F279&lt;&gt;"",F279,IF(T279=0,"",SUMPRODUCT(MIN((Appointments!$E$5:$E$1204=A279)*(Appointments!$M$5:$M$1204="Completed")*Appointments!$B$5:$B$1204+(1-(Appointments!$E$5:$E$1204=A279)*(Appointments!$M$5:$M$1204="Completed"))*2958465)))))</f>
        <v>0</v>
      </c>
      <c r="Y279" s="17">
        <f>IF(B279="","",IF(T279=0,"",SUMPRODUCT(MAX((Appointments!$E$5:$E$1204=A279)*(Appointments!$M$5:$M$1204="Completed")*Appointments!$B$5:$B$1204))))</f>
        <v>0</v>
      </c>
      <c r="Z279" s="25">
        <f>IF(B279="","",IF(Y279="","",TodayDate-Y279))</f>
        <v>0</v>
      </c>
      <c r="AA279" s="42">
        <f>IF(B279="","",SUMPRODUCT(MIN((Appointments!$E$5:$E$1204=A279)*(Appointments!$M$5:$M$1204&lt;&gt;"Cancelled")*(Appointments!$M$5:$M$1204&lt;&gt;"Completed")*(Appointments!$M$5:$M$1204&lt;&gt;"No show")*(Appointments!$B$5:$B$1204&gt;=TodayDate)*Appointments!$B$5:$B$1204+(1-(Appointments!$E$5:$E$1204=A279)*(Appointments!$M$5:$M$1204&lt;&gt;"Cancelled")*(Appointments!$M$5:$M$1204&lt;&gt;"Completed")*(Appointments!$M$5:$M$1204&lt;&gt;"No show")*(Appointments!$B$5:$B$1204&gt;=TodayDate))*2958465)))</f>
        <v>0</v>
      </c>
      <c r="AB279" s="17">
        <f>IF(B279="","",IF(AA279&gt;=2958465,"",AA279))</f>
        <v>0</v>
      </c>
      <c r="AC279" s="25">
        <f>IF(B279="","",IF(T279&lt;2,"",ROUND((Y279-X279)/MAX(1,T279-1),0)))</f>
        <v>0</v>
      </c>
      <c r="AD279" s="17">
        <f>IF(B279="","",IF(Y279="","",Y279+IF(AC279="",RebookWeeks*7,MAX(14,AC279))))</f>
        <v>0</v>
      </c>
      <c r="AE279" s="26">
        <f>IF(B279="","",ROUND(SUMIFS(Sales!$Y$5:$Y$1204,Sales!$D$5:$D$1204,A279),2))</f>
        <v>0</v>
      </c>
      <c r="AF279" s="26">
        <f>IF(B279="","",ROUND(SUMIFS(Sales!$Y$5:$Y$1204,Sales!$D$5:$D$1204,A279,Sales!$H$5:$H$1204,"Service"),2))</f>
        <v>0</v>
      </c>
      <c r="AG279" s="26">
        <f>IF(B279="","",ROUND(SUMIFS(Sales!$Y$5:$Y$1204,Sales!$D$5:$D$1204,A279,Sales!$H$5:$H$1204,"Retail"),2))</f>
        <v>0</v>
      </c>
      <c r="AH279" s="26">
        <f>IF(B279="","",ROUND(SUMIFS(Sales!$Y$5:$Y$1204,Sales!$D$5:$D$1204,A279,Sales!$B$5:$B$1204,"&gt;="&amp;TodayDate-365),2))</f>
        <v>0</v>
      </c>
      <c r="AI279" s="26">
        <f>IF(B279="","",IF(T279=0,"",ROUND(AE279/T279,2)))</f>
        <v>0</v>
      </c>
      <c r="AJ279" s="26">
        <f>IF(B279="","",IF(AI279="","",IF(AC279="","",ROUND(AI279*(365/MAX(14,AC279)),2))))</f>
        <v>0</v>
      </c>
      <c r="AK279" s="26">
        <f>IF(B279="","",ROUND(SUMIFS(Sales!$AH$5:$AH$1204,Sales!$D$5:$D$1204,A279),2))</f>
        <v>0</v>
      </c>
      <c r="AL279" s="25">
        <f>IF(B279="","",IFERROR(INDEX(Loyalty!$P$5:$P$504,MATCH(A279,Loyalty!$B$5:$B$504,0))*1,0))</f>
        <v>0</v>
      </c>
      <c r="AM279" s="39">
        <f>IF(B279="","",IF(R279="Archived","Archived",IF(T279=0,"Not been yet",IF(Z279&gt;=InactiveDays,"Inactive",IF(Z279&gt;=LapsingDays,"Lapsing",IF(T279=1,"New",IF(AH279&gt;=VipSpend,"VIP",IF(U279&gt;=4,"Regular","Active"))))))))</f>
        <v>0</v>
      </c>
      <c r="AN279" s="38">
        <f>IF(B279="","",IF(T279&gt;=2,"Yes","No"))</f>
        <v>0</v>
      </c>
      <c r="AO279" s="25">
        <f>IF(B279="","",COUNTIFS($AE$5:$AE$504,"&gt;"&amp;AE279)+COUNTIFS($AE$5:AE279,AE279))</f>
        <v>0</v>
      </c>
      <c r="AP279" s="25">
        <f>IF(B279="","",COUNTIFS($T$5:$T$504,"&gt;"&amp;T279)+COUNTIFS($T$5:T279,T279))</f>
        <v>0</v>
      </c>
      <c r="AQ279" s="39">
        <f>IF(B279="","",IF(COUNTIF($B$5:$B$504,B279)&gt;1,"Duplicate - same name twice",IF(R279="Archived","",IF(AK279&gt;0.004,"Chase - balance outstanding",IF(AM279="Inactive","Gone - win-back offer",IF(AM279="Lapsing","Chase - lapsing, call them",IF(IF(N279="",FALSE,TodayDate-N279&gt;PatchTestDays),"Due - patch test out of date",IF(IF(AD279="",FALSE,IF(AB279&lt;&gt;"",FALSE,AD279&lt;=TodayDate+14)),"Rebook - due and nothing booked",IF(IF(K279="",FALSE,ABS(DATE(YEAR(TodayDate),MONTH(K279),DAY(K279))-TodayDate)&lt;=7),"Birthday - send the treat","OK")))))))))</f>
        <v>0</v>
      </c>
    </row>
    <row r="280" spans="1:43">
      <c r="A280" s="28">
        <f>IF(B280="","",ClientPrefix&amp;TEXT(ROW()-4,"0000"))</f>
        <v>0</v>
      </c>
      <c r="J280" s="15">
        <f>IF(I280="","",IFERROR(INDEX(Staff!$B$5:$B$44,MATCH(I280,Staff!$A$5:$A$44,0)),"Not in Staff"))</f>
        <v>0</v>
      </c>
      <c r="T280" s="25">
        <f>IF(B280="","",COUNTIFS(Appointments!$E$5:$E$1204,A280,Appointments!$M$5:$M$1204,"Completed"))</f>
        <v>0</v>
      </c>
      <c r="U280" s="25">
        <f>IF(B280="","",COUNTIFS(Appointments!$E$5:$E$1204,A280,Appointments!$M$5:$M$1204,"Completed",Appointments!$B$5:$B$1204,"&gt;="&amp;TodayDate-365))</f>
        <v>0</v>
      </c>
      <c r="V280" s="25">
        <f>IF(B280="","",COUNTIFS(Appointments!$E$5:$E$1204,A280,Appointments!$M$5:$M$1204,"Cancelled"))</f>
        <v>0</v>
      </c>
      <c r="W280" s="25">
        <f>IF(B280="","",COUNTIFS(Appointments!$E$5:$E$1204,A280,Appointments!$M$5:$M$1204,"No show"))</f>
        <v>0</v>
      </c>
      <c r="X280" s="17">
        <f>IF(B280="","",IF(F280&lt;&gt;"",F280,IF(T280=0,"",SUMPRODUCT(MIN((Appointments!$E$5:$E$1204=A280)*(Appointments!$M$5:$M$1204="Completed")*Appointments!$B$5:$B$1204+(1-(Appointments!$E$5:$E$1204=A280)*(Appointments!$M$5:$M$1204="Completed"))*2958465)))))</f>
        <v>0</v>
      </c>
      <c r="Y280" s="17">
        <f>IF(B280="","",IF(T280=0,"",SUMPRODUCT(MAX((Appointments!$E$5:$E$1204=A280)*(Appointments!$M$5:$M$1204="Completed")*Appointments!$B$5:$B$1204))))</f>
        <v>0</v>
      </c>
      <c r="Z280" s="25">
        <f>IF(B280="","",IF(Y280="","",TodayDate-Y280))</f>
        <v>0</v>
      </c>
      <c r="AA280" s="42">
        <f>IF(B280="","",SUMPRODUCT(MIN((Appointments!$E$5:$E$1204=A280)*(Appointments!$M$5:$M$1204&lt;&gt;"Cancelled")*(Appointments!$M$5:$M$1204&lt;&gt;"Completed")*(Appointments!$M$5:$M$1204&lt;&gt;"No show")*(Appointments!$B$5:$B$1204&gt;=TodayDate)*Appointments!$B$5:$B$1204+(1-(Appointments!$E$5:$E$1204=A280)*(Appointments!$M$5:$M$1204&lt;&gt;"Cancelled")*(Appointments!$M$5:$M$1204&lt;&gt;"Completed")*(Appointments!$M$5:$M$1204&lt;&gt;"No show")*(Appointments!$B$5:$B$1204&gt;=TodayDate))*2958465)))</f>
        <v>0</v>
      </c>
      <c r="AB280" s="17">
        <f>IF(B280="","",IF(AA280&gt;=2958465,"",AA280))</f>
        <v>0</v>
      </c>
      <c r="AC280" s="25">
        <f>IF(B280="","",IF(T280&lt;2,"",ROUND((Y280-X280)/MAX(1,T280-1),0)))</f>
        <v>0</v>
      </c>
      <c r="AD280" s="17">
        <f>IF(B280="","",IF(Y280="","",Y280+IF(AC280="",RebookWeeks*7,MAX(14,AC280))))</f>
        <v>0</v>
      </c>
      <c r="AE280" s="26">
        <f>IF(B280="","",ROUND(SUMIFS(Sales!$Y$5:$Y$1204,Sales!$D$5:$D$1204,A280),2))</f>
        <v>0</v>
      </c>
      <c r="AF280" s="26">
        <f>IF(B280="","",ROUND(SUMIFS(Sales!$Y$5:$Y$1204,Sales!$D$5:$D$1204,A280,Sales!$H$5:$H$1204,"Service"),2))</f>
        <v>0</v>
      </c>
      <c r="AG280" s="26">
        <f>IF(B280="","",ROUND(SUMIFS(Sales!$Y$5:$Y$1204,Sales!$D$5:$D$1204,A280,Sales!$H$5:$H$1204,"Retail"),2))</f>
        <v>0</v>
      </c>
      <c r="AH280" s="26">
        <f>IF(B280="","",ROUND(SUMIFS(Sales!$Y$5:$Y$1204,Sales!$D$5:$D$1204,A280,Sales!$B$5:$B$1204,"&gt;="&amp;TodayDate-365),2))</f>
        <v>0</v>
      </c>
      <c r="AI280" s="26">
        <f>IF(B280="","",IF(T280=0,"",ROUND(AE280/T280,2)))</f>
        <v>0</v>
      </c>
      <c r="AJ280" s="26">
        <f>IF(B280="","",IF(AI280="","",IF(AC280="","",ROUND(AI280*(365/MAX(14,AC280)),2))))</f>
        <v>0</v>
      </c>
      <c r="AK280" s="26">
        <f>IF(B280="","",ROUND(SUMIFS(Sales!$AH$5:$AH$1204,Sales!$D$5:$D$1204,A280),2))</f>
        <v>0</v>
      </c>
      <c r="AL280" s="25">
        <f>IF(B280="","",IFERROR(INDEX(Loyalty!$P$5:$P$504,MATCH(A280,Loyalty!$B$5:$B$504,0))*1,0))</f>
        <v>0</v>
      </c>
      <c r="AM280" s="39">
        <f>IF(B280="","",IF(R280="Archived","Archived",IF(T280=0,"Not been yet",IF(Z280&gt;=InactiveDays,"Inactive",IF(Z280&gt;=LapsingDays,"Lapsing",IF(T280=1,"New",IF(AH280&gt;=VipSpend,"VIP",IF(U280&gt;=4,"Regular","Active"))))))))</f>
        <v>0</v>
      </c>
      <c r="AN280" s="38">
        <f>IF(B280="","",IF(T280&gt;=2,"Yes","No"))</f>
        <v>0</v>
      </c>
      <c r="AO280" s="25">
        <f>IF(B280="","",COUNTIFS($AE$5:$AE$504,"&gt;"&amp;AE280)+COUNTIFS($AE$5:AE280,AE280))</f>
        <v>0</v>
      </c>
      <c r="AP280" s="25">
        <f>IF(B280="","",COUNTIFS($T$5:$T$504,"&gt;"&amp;T280)+COUNTIFS($T$5:T280,T280))</f>
        <v>0</v>
      </c>
      <c r="AQ280" s="39">
        <f>IF(B280="","",IF(COUNTIF($B$5:$B$504,B280)&gt;1,"Duplicate - same name twice",IF(R280="Archived","",IF(AK280&gt;0.004,"Chase - balance outstanding",IF(AM280="Inactive","Gone - win-back offer",IF(AM280="Lapsing","Chase - lapsing, call them",IF(IF(N280="",FALSE,TodayDate-N280&gt;PatchTestDays),"Due - patch test out of date",IF(IF(AD280="",FALSE,IF(AB280&lt;&gt;"",FALSE,AD280&lt;=TodayDate+14)),"Rebook - due and nothing booked",IF(IF(K280="",FALSE,ABS(DATE(YEAR(TodayDate),MONTH(K280),DAY(K280))-TodayDate)&lt;=7),"Birthday - send the treat","OK")))))))))</f>
        <v>0</v>
      </c>
    </row>
    <row r="281" spans="1:43">
      <c r="A281" s="28">
        <f>IF(B281="","",ClientPrefix&amp;TEXT(ROW()-4,"0000"))</f>
        <v>0</v>
      </c>
      <c r="J281" s="15">
        <f>IF(I281="","",IFERROR(INDEX(Staff!$B$5:$B$44,MATCH(I281,Staff!$A$5:$A$44,0)),"Not in Staff"))</f>
        <v>0</v>
      </c>
      <c r="T281" s="25">
        <f>IF(B281="","",COUNTIFS(Appointments!$E$5:$E$1204,A281,Appointments!$M$5:$M$1204,"Completed"))</f>
        <v>0</v>
      </c>
      <c r="U281" s="25">
        <f>IF(B281="","",COUNTIFS(Appointments!$E$5:$E$1204,A281,Appointments!$M$5:$M$1204,"Completed",Appointments!$B$5:$B$1204,"&gt;="&amp;TodayDate-365))</f>
        <v>0</v>
      </c>
      <c r="V281" s="25">
        <f>IF(B281="","",COUNTIFS(Appointments!$E$5:$E$1204,A281,Appointments!$M$5:$M$1204,"Cancelled"))</f>
        <v>0</v>
      </c>
      <c r="W281" s="25">
        <f>IF(B281="","",COUNTIFS(Appointments!$E$5:$E$1204,A281,Appointments!$M$5:$M$1204,"No show"))</f>
        <v>0</v>
      </c>
      <c r="X281" s="17">
        <f>IF(B281="","",IF(F281&lt;&gt;"",F281,IF(T281=0,"",SUMPRODUCT(MIN((Appointments!$E$5:$E$1204=A281)*(Appointments!$M$5:$M$1204="Completed")*Appointments!$B$5:$B$1204+(1-(Appointments!$E$5:$E$1204=A281)*(Appointments!$M$5:$M$1204="Completed"))*2958465)))))</f>
        <v>0</v>
      </c>
      <c r="Y281" s="17">
        <f>IF(B281="","",IF(T281=0,"",SUMPRODUCT(MAX((Appointments!$E$5:$E$1204=A281)*(Appointments!$M$5:$M$1204="Completed")*Appointments!$B$5:$B$1204))))</f>
        <v>0</v>
      </c>
      <c r="Z281" s="25">
        <f>IF(B281="","",IF(Y281="","",TodayDate-Y281))</f>
        <v>0</v>
      </c>
      <c r="AA281" s="42">
        <f>IF(B281="","",SUMPRODUCT(MIN((Appointments!$E$5:$E$1204=A281)*(Appointments!$M$5:$M$1204&lt;&gt;"Cancelled")*(Appointments!$M$5:$M$1204&lt;&gt;"Completed")*(Appointments!$M$5:$M$1204&lt;&gt;"No show")*(Appointments!$B$5:$B$1204&gt;=TodayDate)*Appointments!$B$5:$B$1204+(1-(Appointments!$E$5:$E$1204=A281)*(Appointments!$M$5:$M$1204&lt;&gt;"Cancelled")*(Appointments!$M$5:$M$1204&lt;&gt;"Completed")*(Appointments!$M$5:$M$1204&lt;&gt;"No show")*(Appointments!$B$5:$B$1204&gt;=TodayDate))*2958465)))</f>
        <v>0</v>
      </c>
      <c r="AB281" s="17">
        <f>IF(B281="","",IF(AA281&gt;=2958465,"",AA281))</f>
        <v>0</v>
      </c>
      <c r="AC281" s="25">
        <f>IF(B281="","",IF(T281&lt;2,"",ROUND((Y281-X281)/MAX(1,T281-1),0)))</f>
        <v>0</v>
      </c>
      <c r="AD281" s="17">
        <f>IF(B281="","",IF(Y281="","",Y281+IF(AC281="",RebookWeeks*7,MAX(14,AC281))))</f>
        <v>0</v>
      </c>
      <c r="AE281" s="26">
        <f>IF(B281="","",ROUND(SUMIFS(Sales!$Y$5:$Y$1204,Sales!$D$5:$D$1204,A281),2))</f>
        <v>0</v>
      </c>
      <c r="AF281" s="26">
        <f>IF(B281="","",ROUND(SUMIFS(Sales!$Y$5:$Y$1204,Sales!$D$5:$D$1204,A281,Sales!$H$5:$H$1204,"Service"),2))</f>
        <v>0</v>
      </c>
      <c r="AG281" s="26">
        <f>IF(B281="","",ROUND(SUMIFS(Sales!$Y$5:$Y$1204,Sales!$D$5:$D$1204,A281,Sales!$H$5:$H$1204,"Retail"),2))</f>
        <v>0</v>
      </c>
      <c r="AH281" s="26">
        <f>IF(B281="","",ROUND(SUMIFS(Sales!$Y$5:$Y$1204,Sales!$D$5:$D$1204,A281,Sales!$B$5:$B$1204,"&gt;="&amp;TodayDate-365),2))</f>
        <v>0</v>
      </c>
      <c r="AI281" s="26">
        <f>IF(B281="","",IF(T281=0,"",ROUND(AE281/T281,2)))</f>
        <v>0</v>
      </c>
      <c r="AJ281" s="26">
        <f>IF(B281="","",IF(AI281="","",IF(AC281="","",ROUND(AI281*(365/MAX(14,AC281)),2))))</f>
        <v>0</v>
      </c>
      <c r="AK281" s="26">
        <f>IF(B281="","",ROUND(SUMIFS(Sales!$AH$5:$AH$1204,Sales!$D$5:$D$1204,A281),2))</f>
        <v>0</v>
      </c>
      <c r="AL281" s="25">
        <f>IF(B281="","",IFERROR(INDEX(Loyalty!$P$5:$P$504,MATCH(A281,Loyalty!$B$5:$B$504,0))*1,0))</f>
        <v>0</v>
      </c>
      <c r="AM281" s="39">
        <f>IF(B281="","",IF(R281="Archived","Archived",IF(T281=0,"Not been yet",IF(Z281&gt;=InactiveDays,"Inactive",IF(Z281&gt;=LapsingDays,"Lapsing",IF(T281=1,"New",IF(AH281&gt;=VipSpend,"VIP",IF(U281&gt;=4,"Regular","Active"))))))))</f>
        <v>0</v>
      </c>
      <c r="AN281" s="38">
        <f>IF(B281="","",IF(T281&gt;=2,"Yes","No"))</f>
        <v>0</v>
      </c>
      <c r="AO281" s="25">
        <f>IF(B281="","",COUNTIFS($AE$5:$AE$504,"&gt;"&amp;AE281)+COUNTIFS($AE$5:AE281,AE281))</f>
        <v>0</v>
      </c>
      <c r="AP281" s="25">
        <f>IF(B281="","",COUNTIFS($T$5:$T$504,"&gt;"&amp;T281)+COUNTIFS($T$5:T281,T281))</f>
        <v>0</v>
      </c>
      <c r="AQ281" s="39">
        <f>IF(B281="","",IF(COUNTIF($B$5:$B$504,B281)&gt;1,"Duplicate - same name twice",IF(R281="Archived","",IF(AK281&gt;0.004,"Chase - balance outstanding",IF(AM281="Inactive","Gone - win-back offer",IF(AM281="Lapsing","Chase - lapsing, call them",IF(IF(N281="",FALSE,TodayDate-N281&gt;PatchTestDays),"Due - patch test out of date",IF(IF(AD281="",FALSE,IF(AB281&lt;&gt;"",FALSE,AD281&lt;=TodayDate+14)),"Rebook - due and nothing booked",IF(IF(K281="",FALSE,ABS(DATE(YEAR(TodayDate),MONTH(K281),DAY(K281))-TodayDate)&lt;=7),"Birthday - send the treat","OK")))))))))</f>
        <v>0</v>
      </c>
    </row>
    <row r="282" spans="1:43">
      <c r="A282" s="28">
        <f>IF(B282="","",ClientPrefix&amp;TEXT(ROW()-4,"0000"))</f>
        <v>0</v>
      </c>
      <c r="J282" s="15">
        <f>IF(I282="","",IFERROR(INDEX(Staff!$B$5:$B$44,MATCH(I282,Staff!$A$5:$A$44,0)),"Not in Staff"))</f>
        <v>0</v>
      </c>
      <c r="T282" s="25">
        <f>IF(B282="","",COUNTIFS(Appointments!$E$5:$E$1204,A282,Appointments!$M$5:$M$1204,"Completed"))</f>
        <v>0</v>
      </c>
      <c r="U282" s="25">
        <f>IF(B282="","",COUNTIFS(Appointments!$E$5:$E$1204,A282,Appointments!$M$5:$M$1204,"Completed",Appointments!$B$5:$B$1204,"&gt;="&amp;TodayDate-365))</f>
        <v>0</v>
      </c>
      <c r="V282" s="25">
        <f>IF(B282="","",COUNTIFS(Appointments!$E$5:$E$1204,A282,Appointments!$M$5:$M$1204,"Cancelled"))</f>
        <v>0</v>
      </c>
      <c r="W282" s="25">
        <f>IF(B282="","",COUNTIFS(Appointments!$E$5:$E$1204,A282,Appointments!$M$5:$M$1204,"No show"))</f>
        <v>0</v>
      </c>
      <c r="X282" s="17">
        <f>IF(B282="","",IF(F282&lt;&gt;"",F282,IF(T282=0,"",SUMPRODUCT(MIN((Appointments!$E$5:$E$1204=A282)*(Appointments!$M$5:$M$1204="Completed")*Appointments!$B$5:$B$1204+(1-(Appointments!$E$5:$E$1204=A282)*(Appointments!$M$5:$M$1204="Completed"))*2958465)))))</f>
        <v>0</v>
      </c>
      <c r="Y282" s="17">
        <f>IF(B282="","",IF(T282=0,"",SUMPRODUCT(MAX((Appointments!$E$5:$E$1204=A282)*(Appointments!$M$5:$M$1204="Completed")*Appointments!$B$5:$B$1204))))</f>
        <v>0</v>
      </c>
      <c r="Z282" s="25">
        <f>IF(B282="","",IF(Y282="","",TodayDate-Y282))</f>
        <v>0</v>
      </c>
      <c r="AA282" s="42">
        <f>IF(B282="","",SUMPRODUCT(MIN((Appointments!$E$5:$E$1204=A282)*(Appointments!$M$5:$M$1204&lt;&gt;"Cancelled")*(Appointments!$M$5:$M$1204&lt;&gt;"Completed")*(Appointments!$M$5:$M$1204&lt;&gt;"No show")*(Appointments!$B$5:$B$1204&gt;=TodayDate)*Appointments!$B$5:$B$1204+(1-(Appointments!$E$5:$E$1204=A282)*(Appointments!$M$5:$M$1204&lt;&gt;"Cancelled")*(Appointments!$M$5:$M$1204&lt;&gt;"Completed")*(Appointments!$M$5:$M$1204&lt;&gt;"No show")*(Appointments!$B$5:$B$1204&gt;=TodayDate))*2958465)))</f>
        <v>0</v>
      </c>
      <c r="AB282" s="17">
        <f>IF(B282="","",IF(AA282&gt;=2958465,"",AA282))</f>
        <v>0</v>
      </c>
      <c r="AC282" s="25">
        <f>IF(B282="","",IF(T282&lt;2,"",ROUND((Y282-X282)/MAX(1,T282-1),0)))</f>
        <v>0</v>
      </c>
      <c r="AD282" s="17">
        <f>IF(B282="","",IF(Y282="","",Y282+IF(AC282="",RebookWeeks*7,MAX(14,AC282))))</f>
        <v>0</v>
      </c>
      <c r="AE282" s="26">
        <f>IF(B282="","",ROUND(SUMIFS(Sales!$Y$5:$Y$1204,Sales!$D$5:$D$1204,A282),2))</f>
        <v>0</v>
      </c>
      <c r="AF282" s="26">
        <f>IF(B282="","",ROUND(SUMIFS(Sales!$Y$5:$Y$1204,Sales!$D$5:$D$1204,A282,Sales!$H$5:$H$1204,"Service"),2))</f>
        <v>0</v>
      </c>
      <c r="AG282" s="26">
        <f>IF(B282="","",ROUND(SUMIFS(Sales!$Y$5:$Y$1204,Sales!$D$5:$D$1204,A282,Sales!$H$5:$H$1204,"Retail"),2))</f>
        <v>0</v>
      </c>
      <c r="AH282" s="26">
        <f>IF(B282="","",ROUND(SUMIFS(Sales!$Y$5:$Y$1204,Sales!$D$5:$D$1204,A282,Sales!$B$5:$B$1204,"&gt;="&amp;TodayDate-365),2))</f>
        <v>0</v>
      </c>
      <c r="AI282" s="26">
        <f>IF(B282="","",IF(T282=0,"",ROUND(AE282/T282,2)))</f>
        <v>0</v>
      </c>
      <c r="AJ282" s="26">
        <f>IF(B282="","",IF(AI282="","",IF(AC282="","",ROUND(AI282*(365/MAX(14,AC282)),2))))</f>
        <v>0</v>
      </c>
      <c r="AK282" s="26">
        <f>IF(B282="","",ROUND(SUMIFS(Sales!$AH$5:$AH$1204,Sales!$D$5:$D$1204,A282),2))</f>
        <v>0</v>
      </c>
      <c r="AL282" s="25">
        <f>IF(B282="","",IFERROR(INDEX(Loyalty!$P$5:$P$504,MATCH(A282,Loyalty!$B$5:$B$504,0))*1,0))</f>
        <v>0</v>
      </c>
      <c r="AM282" s="39">
        <f>IF(B282="","",IF(R282="Archived","Archived",IF(T282=0,"Not been yet",IF(Z282&gt;=InactiveDays,"Inactive",IF(Z282&gt;=LapsingDays,"Lapsing",IF(T282=1,"New",IF(AH282&gt;=VipSpend,"VIP",IF(U282&gt;=4,"Regular","Active"))))))))</f>
        <v>0</v>
      </c>
      <c r="AN282" s="38">
        <f>IF(B282="","",IF(T282&gt;=2,"Yes","No"))</f>
        <v>0</v>
      </c>
      <c r="AO282" s="25">
        <f>IF(B282="","",COUNTIFS($AE$5:$AE$504,"&gt;"&amp;AE282)+COUNTIFS($AE$5:AE282,AE282))</f>
        <v>0</v>
      </c>
      <c r="AP282" s="25">
        <f>IF(B282="","",COUNTIFS($T$5:$T$504,"&gt;"&amp;T282)+COUNTIFS($T$5:T282,T282))</f>
        <v>0</v>
      </c>
      <c r="AQ282" s="39">
        <f>IF(B282="","",IF(COUNTIF($B$5:$B$504,B282)&gt;1,"Duplicate - same name twice",IF(R282="Archived","",IF(AK282&gt;0.004,"Chase - balance outstanding",IF(AM282="Inactive","Gone - win-back offer",IF(AM282="Lapsing","Chase - lapsing, call them",IF(IF(N282="",FALSE,TodayDate-N282&gt;PatchTestDays),"Due - patch test out of date",IF(IF(AD282="",FALSE,IF(AB282&lt;&gt;"",FALSE,AD282&lt;=TodayDate+14)),"Rebook - due and nothing booked",IF(IF(K282="",FALSE,ABS(DATE(YEAR(TodayDate),MONTH(K282),DAY(K282))-TodayDate)&lt;=7),"Birthday - send the treat","OK")))))))))</f>
        <v>0</v>
      </c>
    </row>
    <row r="283" spans="1:43">
      <c r="A283" s="28">
        <f>IF(B283="","",ClientPrefix&amp;TEXT(ROW()-4,"0000"))</f>
        <v>0</v>
      </c>
      <c r="J283" s="15">
        <f>IF(I283="","",IFERROR(INDEX(Staff!$B$5:$B$44,MATCH(I283,Staff!$A$5:$A$44,0)),"Not in Staff"))</f>
        <v>0</v>
      </c>
      <c r="T283" s="25">
        <f>IF(B283="","",COUNTIFS(Appointments!$E$5:$E$1204,A283,Appointments!$M$5:$M$1204,"Completed"))</f>
        <v>0</v>
      </c>
      <c r="U283" s="25">
        <f>IF(B283="","",COUNTIFS(Appointments!$E$5:$E$1204,A283,Appointments!$M$5:$M$1204,"Completed",Appointments!$B$5:$B$1204,"&gt;="&amp;TodayDate-365))</f>
        <v>0</v>
      </c>
      <c r="V283" s="25">
        <f>IF(B283="","",COUNTIFS(Appointments!$E$5:$E$1204,A283,Appointments!$M$5:$M$1204,"Cancelled"))</f>
        <v>0</v>
      </c>
      <c r="W283" s="25">
        <f>IF(B283="","",COUNTIFS(Appointments!$E$5:$E$1204,A283,Appointments!$M$5:$M$1204,"No show"))</f>
        <v>0</v>
      </c>
      <c r="X283" s="17">
        <f>IF(B283="","",IF(F283&lt;&gt;"",F283,IF(T283=0,"",SUMPRODUCT(MIN((Appointments!$E$5:$E$1204=A283)*(Appointments!$M$5:$M$1204="Completed")*Appointments!$B$5:$B$1204+(1-(Appointments!$E$5:$E$1204=A283)*(Appointments!$M$5:$M$1204="Completed"))*2958465)))))</f>
        <v>0</v>
      </c>
      <c r="Y283" s="17">
        <f>IF(B283="","",IF(T283=0,"",SUMPRODUCT(MAX((Appointments!$E$5:$E$1204=A283)*(Appointments!$M$5:$M$1204="Completed")*Appointments!$B$5:$B$1204))))</f>
        <v>0</v>
      </c>
      <c r="Z283" s="25">
        <f>IF(B283="","",IF(Y283="","",TodayDate-Y283))</f>
        <v>0</v>
      </c>
      <c r="AA283" s="42">
        <f>IF(B283="","",SUMPRODUCT(MIN((Appointments!$E$5:$E$1204=A283)*(Appointments!$M$5:$M$1204&lt;&gt;"Cancelled")*(Appointments!$M$5:$M$1204&lt;&gt;"Completed")*(Appointments!$M$5:$M$1204&lt;&gt;"No show")*(Appointments!$B$5:$B$1204&gt;=TodayDate)*Appointments!$B$5:$B$1204+(1-(Appointments!$E$5:$E$1204=A283)*(Appointments!$M$5:$M$1204&lt;&gt;"Cancelled")*(Appointments!$M$5:$M$1204&lt;&gt;"Completed")*(Appointments!$M$5:$M$1204&lt;&gt;"No show")*(Appointments!$B$5:$B$1204&gt;=TodayDate))*2958465)))</f>
        <v>0</v>
      </c>
      <c r="AB283" s="17">
        <f>IF(B283="","",IF(AA283&gt;=2958465,"",AA283))</f>
        <v>0</v>
      </c>
      <c r="AC283" s="25">
        <f>IF(B283="","",IF(T283&lt;2,"",ROUND((Y283-X283)/MAX(1,T283-1),0)))</f>
        <v>0</v>
      </c>
      <c r="AD283" s="17">
        <f>IF(B283="","",IF(Y283="","",Y283+IF(AC283="",RebookWeeks*7,MAX(14,AC283))))</f>
        <v>0</v>
      </c>
      <c r="AE283" s="26">
        <f>IF(B283="","",ROUND(SUMIFS(Sales!$Y$5:$Y$1204,Sales!$D$5:$D$1204,A283),2))</f>
        <v>0</v>
      </c>
      <c r="AF283" s="26">
        <f>IF(B283="","",ROUND(SUMIFS(Sales!$Y$5:$Y$1204,Sales!$D$5:$D$1204,A283,Sales!$H$5:$H$1204,"Service"),2))</f>
        <v>0</v>
      </c>
      <c r="AG283" s="26">
        <f>IF(B283="","",ROUND(SUMIFS(Sales!$Y$5:$Y$1204,Sales!$D$5:$D$1204,A283,Sales!$H$5:$H$1204,"Retail"),2))</f>
        <v>0</v>
      </c>
      <c r="AH283" s="26">
        <f>IF(B283="","",ROUND(SUMIFS(Sales!$Y$5:$Y$1204,Sales!$D$5:$D$1204,A283,Sales!$B$5:$B$1204,"&gt;="&amp;TodayDate-365),2))</f>
        <v>0</v>
      </c>
      <c r="AI283" s="26">
        <f>IF(B283="","",IF(T283=0,"",ROUND(AE283/T283,2)))</f>
        <v>0</v>
      </c>
      <c r="AJ283" s="26">
        <f>IF(B283="","",IF(AI283="","",IF(AC283="","",ROUND(AI283*(365/MAX(14,AC283)),2))))</f>
        <v>0</v>
      </c>
      <c r="AK283" s="26">
        <f>IF(B283="","",ROUND(SUMIFS(Sales!$AH$5:$AH$1204,Sales!$D$5:$D$1204,A283),2))</f>
        <v>0</v>
      </c>
      <c r="AL283" s="25">
        <f>IF(B283="","",IFERROR(INDEX(Loyalty!$P$5:$P$504,MATCH(A283,Loyalty!$B$5:$B$504,0))*1,0))</f>
        <v>0</v>
      </c>
      <c r="AM283" s="39">
        <f>IF(B283="","",IF(R283="Archived","Archived",IF(T283=0,"Not been yet",IF(Z283&gt;=InactiveDays,"Inactive",IF(Z283&gt;=LapsingDays,"Lapsing",IF(T283=1,"New",IF(AH283&gt;=VipSpend,"VIP",IF(U283&gt;=4,"Regular","Active"))))))))</f>
        <v>0</v>
      </c>
      <c r="AN283" s="38">
        <f>IF(B283="","",IF(T283&gt;=2,"Yes","No"))</f>
        <v>0</v>
      </c>
      <c r="AO283" s="25">
        <f>IF(B283="","",COUNTIFS($AE$5:$AE$504,"&gt;"&amp;AE283)+COUNTIFS($AE$5:AE283,AE283))</f>
        <v>0</v>
      </c>
      <c r="AP283" s="25">
        <f>IF(B283="","",COUNTIFS($T$5:$T$504,"&gt;"&amp;T283)+COUNTIFS($T$5:T283,T283))</f>
        <v>0</v>
      </c>
      <c r="AQ283" s="39">
        <f>IF(B283="","",IF(COUNTIF($B$5:$B$504,B283)&gt;1,"Duplicate - same name twice",IF(R283="Archived","",IF(AK283&gt;0.004,"Chase - balance outstanding",IF(AM283="Inactive","Gone - win-back offer",IF(AM283="Lapsing","Chase - lapsing, call them",IF(IF(N283="",FALSE,TodayDate-N283&gt;PatchTestDays),"Due - patch test out of date",IF(IF(AD283="",FALSE,IF(AB283&lt;&gt;"",FALSE,AD283&lt;=TodayDate+14)),"Rebook - due and nothing booked",IF(IF(K283="",FALSE,ABS(DATE(YEAR(TodayDate),MONTH(K283),DAY(K283))-TodayDate)&lt;=7),"Birthday - send the treat","OK")))))))))</f>
        <v>0</v>
      </c>
    </row>
    <row r="284" spans="1:43">
      <c r="A284" s="28">
        <f>IF(B284="","",ClientPrefix&amp;TEXT(ROW()-4,"0000"))</f>
        <v>0</v>
      </c>
      <c r="J284" s="15">
        <f>IF(I284="","",IFERROR(INDEX(Staff!$B$5:$B$44,MATCH(I284,Staff!$A$5:$A$44,0)),"Not in Staff"))</f>
        <v>0</v>
      </c>
      <c r="T284" s="25">
        <f>IF(B284="","",COUNTIFS(Appointments!$E$5:$E$1204,A284,Appointments!$M$5:$M$1204,"Completed"))</f>
        <v>0</v>
      </c>
      <c r="U284" s="25">
        <f>IF(B284="","",COUNTIFS(Appointments!$E$5:$E$1204,A284,Appointments!$M$5:$M$1204,"Completed",Appointments!$B$5:$B$1204,"&gt;="&amp;TodayDate-365))</f>
        <v>0</v>
      </c>
      <c r="V284" s="25">
        <f>IF(B284="","",COUNTIFS(Appointments!$E$5:$E$1204,A284,Appointments!$M$5:$M$1204,"Cancelled"))</f>
        <v>0</v>
      </c>
      <c r="W284" s="25">
        <f>IF(B284="","",COUNTIFS(Appointments!$E$5:$E$1204,A284,Appointments!$M$5:$M$1204,"No show"))</f>
        <v>0</v>
      </c>
      <c r="X284" s="17">
        <f>IF(B284="","",IF(F284&lt;&gt;"",F284,IF(T284=0,"",SUMPRODUCT(MIN((Appointments!$E$5:$E$1204=A284)*(Appointments!$M$5:$M$1204="Completed")*Appointments!$B$5:$B$1204+(1-(Appointments!$E$5:$E$1204=A284)*(Appointments!$M$5:$M$1204="Completed"))*2958465)))))</f>
        <v>0</v>
      </c>
      <c r="Y284" s="17">
        <f>IF(B284="","",IF(T284=0,"",SUMPRODUCT(MAX((Appointments!$E$5:$E$1204=A284)*(Appointments!$M$5:$M$1204="Completed")*Appointments!$B$5:$B$1204))))</f>
        <v>0</v>
      </c>
      <c r="Z284" s="25">
        <f>IF(B284="","",IF(Y284="","",TodayDate-Y284))</f>
        <v>0</v>
      </c>
      <c r="AA284" s="42">
        <f>IF(B284="","",SUMPRODUCT(MIN((Appointments!$E$5:$E$1204=A284)*(Appointments!$M$5:$M$1204&lt;&gt;"Cancelled")*(Appointments!$M$5:$M$1204&lt;&gt;"Completed")*(Appointments!$M$5:$M$1204&lt;&gt;"No show")*(Appointments!$B$5:$B$1204&gt;=TodayDate)*Appointments!$B$5:$B$1204+(1-(Appointments!$E$5:$E$1204=A284)*(Appointments!$M$5:$M$1204&lt;&gt;"Cancelled")*(Appointments!$M$5:$M$1204&lt;&gt;"Completed")*(Appointments!$M$5:$M$1204&lt;&gt;"No show")*(Appointments!$B$5:$B$1204&gt;=TodayDate))*2958465)))</f>
        <v>0</v>
      </c>
      <c r="AB284" s="17">
        <f>IF(B284="","",IF(AA284&gt;=2958465,"",AA284))</f>
        <v>0</v>
      </c>
      <c r="AC284" s="25">
        <f>IF(B284="","",IF(T284&lt;2,"",ROUND((Y284-X284)/MAX(1,T284-1),0)))</f>
        <v>0</v>
      </c>
      <c r="AD284" s="17">
        <f>IF(B284="","",IF(Y284="","",Y284+IF(AC284="",RebookWeeks*7,MAX(14,AC284))))</f>
        <v>0</v>
      </c>
      <c r="AE284" s="26">
        <f>IF(B284="","",ROUND(SUMIFS(Sales!$Y$5:$Y$1204,Sales!$D$5:$D$1204,A284),2))</f>
        <v>0</v>
      </c>
      <c r="AF284" s="26">
        <f>IF(B284="","",ROUND(SUMIFS(Sales!$Y$5:$Y$1204,Sales!$D$5:$D$1204,A284,Sales!$H$5:$H$1204,"Service"),2))</f>
        <v>0</v>
      </c>
      <c r="AG284" s="26">
        <f>IF(B284="","",ROUND(SUMIFS(Sales!$Y$5:$Y$1204,Sales!$D$5:$D$1204,A284,Sales!$H$5:$H$1204,"Retail"),2))</f>
        <v>0</v>
      </c>
      <c r="AH284" s="26">
        <f>IF(B284="","",ROUND(SUMIFS(Sales!$Y$5:$Y$1204,Sales!$D$5:$D$1204,A284,Sales!$B$5:$B$1204,"&gt;="&amp;TodayDate-365),2))</f>
        <v>0</v>
      </c>
      <c r="AI284" s="26">
        <f>IF(B284="","",IF(T284=0,"",ROUND(AE284/T284,2)))</f>
        <v>0</v>
      </c>
      <c r="AJ284" s="26">
        <f>IF(B284="","",IF(AI284="","",IF(AC284="","",ROUND(AI284*(365/MAX(14,AC284)),2))))</f>
        <v>0</v>
      </c>
      <c r="AK284" s="26">
        <f>IF(B284="","",ROUND(SUMIFS(Sales!$AH$5:$AH$1204,Sales!$D$5:$D$1204,A284),2))</f>
        <v>0</v>
      </c>
      <c r="AL284" s="25">
        <f>IF(B284="","",IFERROR(INDEX(Loyalty!$P$5:$P$504,MATCH(A284,Loyalty!$B$5:$B$504,0))*1,0))</f>
        <v>0</v>
      </c>
      <c r="AM284" s="39">
        <f>IF(B284="","",IF(R284="Archived","Archived",IF(T284=0,"Not been yet",IF(Z284&gt;=InactiveDays,"Inactive",IF(Z284&gt;=LapsingDays,"Lapsing",IF(T284=1,"New",IF(AH284&gt;=VipSpend,"VIP",IF(U284&gt;=4,"Regular","Active"))))))))</f>
        <v>0</v>
      </c>
      <c r="AN284" s="38">
        <f>IF(B284="","",IF(T284&gt;=2,"Yes","No"))</f>
        <v>0</v>
      </c>
      <c r="AO284" s="25">
        <f>IF(B284="","",COUNTIFS($AE$5:$AE$504,"&gt;"&amp;AE284)+COUNTIFS($AE$5:AE284,AE284))</f>
        <v>0</v>
      </c>
      <c r="AP284" s="25">
        <f>IF(B284="","",COUNTIFS($T$5:$T$504,"&gt;"&amp;T284)+COUNTIFS($T$5:T284,T284))</f>
        <v>0</v>
      </c>
      <c r="AQ284" s="39">
        <f>IF(B284="","",IF(COUNTIF($B$5:$B$504,B284)&gt;1,"Duplicate - same name twice",IF(R284="Archived","",IF(AK284&gt;0.004,"Chase - balance outstanding",IF(AM284="Inactive","Gone - win-back offer",IF(AM284="Lapsing","Chase - lapsing, call them",IF(IF(N284="",FALSE,TodayDate-N284&gt;PatchTestDays),"Due - patch test out of date",IF(IF(AD284="",FALSE,IF(AB284&lt;&gt;"",FALSE,AD284&lt;=TodayDate+14)),"Rebook - due and nothing booked",IF(IF(K284="",FALSE,ABS(DATE(YEAR(TodayDate),MONTH(K284),DAY(K284))-TodayDate)&lt;=7),"Birthday - send the treat","OK")))))))))</f>
        <v>0</v>
      </c>
    </row>
    <row r="285" spans="1:43">
      <c r="A285" s="28">
        <f>IF(B285="","",ClientPrefix&amp;TEXT(ROW()-4,"0000"))</f>
        <v>0</v>
      </c>
      <c r="J285" s="15">
        <f>IF(I285="","",IFERROR(INDEX(Staff!$B$5:$B$44,MATCH(I285,Staff!$A$5:$A$44,0)),"Not in Staff"))</f>
        <v>0</v>
      </c>
      <c r="T285" s="25">
        <f>IF(B285="","",COUNTIFS(Appointments!$E$5:$E$1204,A285,Appointments!$M$5:$M$1204,"Completed"))</f>
        <v>0</v>
      </c>
      <c r="U285" s="25">
        <f>IF(B285="","",COUNTIFS(Appointments!$E$5:$E$1204,A285,Appointments!$M$5:$M$1204,"Completed",Appointments!$B$5:$B$1204,"&gt;="&amp;TodayDate-365))</f>
        <v>0</v>
      </c>
      <c r="V285" s="25">
        <f>IF(B285="","",COUNTIFS(Appointments!$E$5:$E$1204,A285,Appointments!$M$5:$M$1204,"Cancelled"))</f>
        <v>0</v>
      </c>
      <c r="W285" s="25">
        <f>IF(B285="","",COUNTIFS(Appointments!$E$5:$E$1204,A285,Appointments!$M$5:$M$1204,"No show"))</f>
        <v>0</v>
      </c>
      <c r="X285" s="17">
        <f>IF(B285="","",IF(F285&lt;&gt;"",F285,IF(T285=0,"",SUMPRODUCT(MIN((Appointments!$E$5:$E$1204=A285)*(Appointments!$M$5:$M$1204="Completed")*Appointments!$B$5:$B$1204+(1-(Appointments!$E$5:$E$1204=A285)*(Appointments!$M$5:$M$1204="Completed"))*2958465)))))</f>
        <v>0</v>
      </c>
      <c r="Y285" s="17">
        <f>IF(B285="","",IF(T285=0,"",SUMPRODUCT(MAX((Appointments!$E$5:$E$1204=A285)*(Appointments!$M$5:$M$1204="Completed")*Appointments!$B$5:$B$1204))))</f>
        <v>0</v>
      </c>
      <c r="Z285" s="25">
        <f>IF(B285="","",IF(Y285="","",TodayDate-Y285))</f>
        <v>0</v>
      </c>
      <c r="AA285" s="42">
        <f>IF(B285="","",SUMPRODUCT(MIN((Appointments!$E$5:$E$1204=A285)*(Appointments!$M$5:$M$1204&lt;&gt;"Cancelled")*(Appointments!$M$5:$M$1204&lt;&gt;"Completed")*(Appointments!$M$5:$M$1204&lt;&gt;"No show")*(Appointments!$B$5:$B$1204&gt;=TodayDate)*Appointments!$B$5:$B$1204+(1-(Appointments!$E$5:$E$1204=A285)*(Appointments!$M$5:$M$1204&lt;&gt;"Cancelled")*(Appointments!$M$5:$M$1204&lt;&gt;"Completed")*(Appointments!$M$5:$M$1204&lt;&gt;"No show")*(Appointments!$B$5:$B$1204&gt;=TodayDate))*2958465)))</f>
        <v>0</v>
      </c>
      <c r="AB285" s="17">
        <f>IF(B285="","",IF(AA285&gt;=2958465,"",AA285))</f>
        <v>0</v>
      </c>
      <c r="AC285" s="25">
        <f>IF(B285="","",IF(T285&lt;2,"",ROUND((Y285-X285)/MAX(1,T285-1),0)))</f>
        <v>0</v>
      </c>
      <c r="AD285" s="17">
        <f>IF(B285="","",IF(Y285="","",Y285+IF(AC285="",RebookWeeks*7,MAX(14,AC285))))</f>
        <v>0</v>
      </c>
      <c r="AE285" s="26">
        <f>IF(B285="","",ROUND(SUMIFS(Sales!$Y$5:$Y$1204,Sales!$D$5:$D$1204,A285),2))</f>
        <v>0</v>
      </c>
      <c r="AF285" s="26">
        <f>IF(B285="","",ROUND(SUMIFS(Sales!$Y$5:$Y$1204,Sales!$D$5:$D$1204,A285,Sales!$H$5:$H$1204,"Service"),2))</f>
        <v>0</v>
      </c>
      <c r="AG285" s="26">
        <f>IF(B285="","",ROUND(SUMIFS(Sales!$Y$5:$Y$1204,Sales!$D$5:$D$1204,A285,Sales!$H$5:$H$1204,"Retail"),2))</f>
        <v>0</v>
      </c>
      <c r="AH285" s="26">
        <f>IF(B285="","",ROUND(SUMIFS(Sales!$Y$5:$Y$1204,Sales!$D$5:$D$1204,A285,Sales!$B$5:$B$1204,"&gt;="&amp;TodayDate-365),2))</f>
        <v>0</v>
      </c>
      <c r="AI285" s="26">
        <f>IF(B285="","",IF(T285=0,"",ROUND(AE285/T285,2)))</f>
        <v>0</v>
      </c>
      <c r="AJ285" s="26">
        <f>IF(B285="","",IF(AI285="","",IF(AC285="","",ROUND(AI285*(365/MAX(14,AC285)),2))))</f>
        <v>0</v>
      </c>
      <c r="AK285" s="26">
        <f>IF(B285="","",ROUND(SUMIFS(Sales!$AH$5:$AH$1204,Sales!$D$5:$D$1204,A285),2))</f>
        <v>0</v>
      </c>
      <c r="AL285" s="25">
        <f>IF(B285="","",IFERROR(INDEX(Loyalty!$P$5:$P$504,MATCH(A285,Loyalty!$B$5:$B$504,0))*1,0))</f>
        <v>0</v>
      </c>
      <c r="AM285" s="39">
        <f>IF(B285="","",IF(R285="Archived","Archived",IF(T285=0,"Not been yet",IF(Z285&gt;=InactiveDays,"Inactive",IF(Z285&gt;=LapsingDays,"Lapsing",IF(T285=1,"New",IF(AH285&gt;=VipSpend,"VIP",IF(U285&gt;=4,"Regular","Active"))))))))</f>
        <v>0</v>
      </c>
      <c r="AN285" s="38">
        <f>IF(B285="","",IF(T285&gt;=2,"Yes","No"))</f>
        <v>0</v>
      </c>
      <c r="AO285" s="25">
        <f>IF(B285="","",COUNTIFS($AE$5:$AE$504,"&gt;"&amp;AE285)+COUNTIFS($AE$5:AE285,AE285))</f>
        <v>0</v>
      </c>
      <c r="AP285" s="25">
        <f>IF(B285="","",COUNTIFS($T$5:$T$504,"&gt;"&amp;T285)+COUNTIFS($T$5:T285,T285))</f>
        <v>0</v>
      </c>
      <c r="AQ285" s="39">
        <f>IF(B285="","",IF(COUNTIF($B$5:$B$504,B285)&gt;1,"Duplicate - same name twice",IF(R285="Archived","",IF(AK285&gt;0.004,"Chase - balance outstanding",IF(AM285="Inactive","Gone - win-back offer",IF(AM285="Lapsing","Chase - lapsing, call them",IF(IF(N285="",FALSE,TodayDate-N285&gt;PatchTestDays),"Due - patch test out of date",IF(IF(AD285="",FALSE,IF(AB285&lt;&gt;"",FALSE,AD285&lt;=TodayDate+14)),"Rebook - due and nothing booked",IF(IF(K285="",FALSE,ABS(DATE(YEAR(TodayDate),MONTH(K285),DAY(K285))-TodayDate)&lt;=7),"Birthday - send the treat","OK")))))))))</f>
        <v>0</v>
      </c>
    </row>
    <row r="286" spans="1:43">
      <c r="A286" s="28">
        <f>IF(B286="","",ClientPrefix&amp;TEXT(ROW()-4,"0000"))</f>
        <v>0</v>
      </c>
      <c r="J286" s="15">
        <f>IF(I286="","",IFERROR(INDEX(Staff!$B$5:$B$44,MATCH(I286,Staff!$A$5:$A$44,0)),"Not in Staff"))</f>
        <v>0</v>
      </c>
      <c r="T286" s="25">
        <f>IF(B286="","",COUNTIFS(Appointments!$E$5:$E$1204,A286,Appointments!$M$5:$M$1204,"Completed"))</f>
        <v>0</v>
      </c>
      <c r="U286" s="25">
        <f>IF(B286="","",COUNTIFS(Appointments!$E$5:$E$1204,A286,Appointments!$M$5:$M$1204,"Completed",Appointments!$B$5:$B$1204,"&gt;="&amp;TodayDate-365))</f>
        <v>0</v>
      </c>
      <c r="V286" s="25">
        <f>IF(B286="","",COUNTIFS(Appointments!$E$5:$E$1204,A286,Appointments!$M$5:$M$1204,"Cancelled"))</f>
        <v>0</v>
      </c>
      <c r="W286" s="25">
        <f>IF(B286="","",COUNTIFS(Appointments!$E$5:$E$1204,A286,Appointments!$M$5:$M$1204,"No show"))</f>
        <v>0</v>
      </c>
      <c r="X286" s="17">
        <f>IF(B286="","",IF(F286&lt;&gt;"",F286,IF(T286=0,"",SUMPRODUCT(MIN((Appointments!$E$5:$E$1204=A286)*(Appointments!$M$5:$M$1204="Completed")*Appointments!$B$5:$B$1204+(1-(Appointments!$E$5:$E$1204=A286)*(Appointments!$M$5:$M$1204="Completed"))*2958465)))))</f>
        <v>0</v>
      </c>
      <c r="Y286" s="17">
        <f>IF(B286="","",IF(T286=0,"",SUMPRODUCT(MAX((Appointments!$E$5:$E$1204=A286)*(Appointments!$M$5:$M$1204="Completed")*Appointments!$B$5:$B$1204))))</f>
        <v>0</v>
      </c>
      <c r="Z286" s="25">
        <f>IF(B286="","",IF(Y286="","",TodayDate-Y286))</f>
        <v>0</v>
      </c>
      <c r="AA286" s="42">
        <f>IF(B286="","",SUMPRODUCT(MIN((Appointments!$E$5:$E$1204=A286)*(Appointments!$M$5:$M$1204&lt;&gt;"Cancelled")*(Appointments!$M$5:$M$1204&lt;&gt;"Completed")*(Appointments!$M$5:$M$1204&lt;&gt;"No show")*(Appointments!$B$5:$B$1204&gt;=TodayDate)*Appointments!$B$5:$B$1204+(1-(Appointments!$E$5:$E$1204=A286)*(Appointments!$M$5:$M$1204&lt;&gt;"Cancelled")*(Appointments!$M$5:$M$1204&lt;&gt;"Completed")*(Appointments!$M$5:$M$1204&lt;&gt;"No show")*(Appointments!$B$5:$B$1204&gt;=TodayDate))*2958465)))</f>
        <v>0</v>
      </c>
      <c r="AB286" s="17">
        <f>IF(B286="","",IF(AA286&gt;=2958465,"",AA286))</f>
        <v>0</v>
      </c>
      <c r="AC286" s="25">
        <f>IF(B286="","",IF(T286&lt;2,"",ROUND((Y286-X286)/MAX(1,T286-1),0)))</f>
        <v>0</v>
      </c>
      <c r="AD286" s="17">
        <f>IF(B286="","",IF(Y286="","",Y286+IF(AC286="",RebookWeeks*7,MAX(14,AC286))))</f>
        <v>0</v>
      </c>
      <c r="AE286" s="26">
        <f>IF(B286="","",ROUND(SUMIFS(Sales!$Y$5:$Y$1204,Sales!$D$5:$D$1204,A286),2))</f>
        <v>0</v>
      </c>
      <c r="AF286" s="26">
        <f>IF(B286="","",ROUND(SUMIFS(Sales!$Y$5:$Y$1204,Sales!$D$5:$D$1204,A286,Sales!$H$5:$H$1204,"Service"),2))</f>
        <v>0</v>
      </c>
      <c r="AG286" s="26">
        <f>IF(B286="","",ROUND(SUMIFS(Sales!$Y$5:$Y$1204,Sales!$D$5:$D$1204,A286,Sales!$H$5:$H$1204,"Retail"),2))</f>
        <v>0</v>
      </c>
      <c r="AH286" s="26">
        <f>IF(B286="","",ROUND(SUMIFS(Sales!$Y$5:$Y$1204,Sales!$D$5:$D$1204,A286,Sales!$B$5:$B$1204,"&gt;="&amp;TodayDate-365),2))</f>
        <v>0</v>
      </c>
      <c r="AI286" s="26">
        <f>IF(B286="","",IF(T286=0,"",ROUND(AE286/T286,2)))</f>
        <v>0</v>
      </c>
      <c r="AJ286" s="26">
        <f>IF(B286="","",IF(AI286="","",IF(AC286="","",ROUND(AI286*(365/MAX(14,AC286)),2))))</f>
        <v>0</v>
      </c>
      <c r="AK286" s="26">
        <f>IF(B286="","",ROUND(SUMIFS(Sales!$AH$5:$AH$1204,Sales!$D$5:$D$1204,A286),2))</f>
        <v>0</v>
      </c>
      <c r="AL286" s="25">
        <f>IF(B286="","",IFERROR(INDEX(Loyalty!$P$5:$P$504,MATCH(A286,Loyalty!$B$5:$B$504,0))*1,0))</f>
        <v>0</v>
      </c>
      <c r="AM286" s="39">
        <f>IF(B286="","",IF(R286="Archived","Archived",IF(T286=0,"Not been yet",IF(Z286&gt;=InactiveDays,"Inactive",IF(Z286&gt;=LapsingDays,"Lapsing",IF(T286=1,"New",IF(AH286&gt;=VipSpend,"VIP",IF(U286&gt;=4,"Regular","Active"))))))))</f>
        <v>0</v>
      </c>
      <c r="AN286" s="38">
        <f>IF(B286="","",IF(T286&gt;=2,"Yes","No"))</f>
        <v>0</v>
      </c>
      <c r="AO286" s="25">
        <f>IF(B286="","",COUNTIFS($AE$5:$AE$504,"&gt;"&amp;AE286)+COUNTIFS($AE$5:AE286,AE286))</f>
        <v>0</v>
      </c>
      <c r="AP286" s="25">
        <f>IF(B286="","",COUNTIFS($T$5:$T$504,"&gt;"&amp;T286)+COUNTIFS($T$5:T286,T286))</f>
        <v>0</v>
      </c>
      <c r="AQ286" s="39">
        <f>IF(B286="","",IF(COUNTIF($B$5:$B$504,B286)&gt;1,"Duplicate - same name twice",IF(R286="Archived","",IF(AK286&gt;0.004,"Chase - balance outstanding",IF(AM286="Inactive","Gone - win-back offer",IF(AM286="Lapsing","Chase - lapsing, call them",IF(IF(N286="",FALSE,TodayDate-N286&gt;PatchTestDays),"Due - patch test out of date",IF(IF(AD286="",FALSE,IF(AB286&lt;&gt;"",FALSE,AD286&lt;=TodayDate+14)),"Rebook - due and nothing booked",IF(IF(K286="",FALSE,ABS(DATE(YEAR(TodayDate),MONTH(K286),DAY(K286))-TodayDate)&lt;=7),"Birthday - send the treat","OK")))))))))</f>
        <v>0</v>
      </c>
    </row>
    <row r="287" spans="1:43">
      <c r="A287" s="28">
        <f>IF(B287="","",ClientPrefix&amp;TEXT(ROW()-4,"0000"))</f>
        <v>0</v>
      </c>
      <c r="J287" s="15">
        <f>IF(I287="","",IFERROR(INDEX(Staff!$B$5:$B$44,MATCH(I287,Staff!$A$5:$A$44,0)),"Not in Staff"))</f>
        <v>0</v>
      </c>
      <c r="T287" s="25">
        <f>IF(B287="","",COUNTIFS(Appointments!$E$5:$E$1204,A287,Appointments!$M$5:$M$1204,"Completed"))</f>
        <v>0</v>
      </c>
      <c r="U287" s="25">
        <f>IF(B287="","",COUNTIFS(Appointments!$E$5:$E$1204,A287,Appointments!$M$5:$M$1204,"Completed",Appointments!$B$5:$B$1204,"&gt;="&amp;TodayDate-365))</f>
        <v>0</v>
      </c>
      <c r="V287" s="25">
        <f>IF(B287="","",COUNTIFS(Appointments!$E$5:$E$1204,A287,Appointments!$M$5:$M$1204,"Cancelled"))</f>
        <v>0</v>
      </c>
      <c r="W287" s="25">
        <f>IF(B287="","",COUNTIFS(Appointments!$E$5:$E$1204,A287,Appointments!$M$5:$M$1204,"No show"))</f>
        <v>0</v>
      </c>
      <c r="X287" s="17">
        <f>IF(B287="","",IF(F287&lt;&gt;"",F287,IF(T287=0,"",SUMPRODUCT(MIN((Appointments!$E$5:$E$1204=A287)*(Appointments!$M$5:$M$1204="Completed")*Appointments!$B$5:$B$1204+(1-(Appointments!$E$5:$E$1204=A287)*(Appointments!$M$5:$M$1204="Completed"))*2958465)))))</f>
        <v>0</v>
      </c>
      <c r="Y287" s="17">
        <f>IF(B287="","",IF(T287=0,"",SUMPRODUCT(MAX((Appointments!$E$5:$E$1204=A287)*(Appointments!$M$5:$M$1204="Completed")*Appointments!$B$5:$B$1204))))</f>
        <v>0</v>
      </c>
      <c r="Z287" s="25">
        <f>IF(B287="","",IF(Y287="","",TodayDate-Y287))</f>
        <v>0</v>
      </c>
      <c r="AA287" s="42">
        <f>IF(B287="","",SUMPRODUCT(MIN((Appointments!$E$5:$E$1204=A287)*(Appointments!$M$5:$M$1204&lt;&gt;"Cancelled")*(Appointments!$M$5:$M$1204&lt;&gt;"Completed")*(Appointments!$M$5:$M$1204&lt;&gt;"No show")*(Appointments!$B$5:$B$1204&gt;=TodayDate)*Appointments!$B$5:$B$1204+(1-(Appointments!$E$5:$E$1204=A287)*(Appointments!$M$5:$M$1204&lt;&gt;"Cancelled")*(Appointments!$M$5:$M$1204&lt;&gt;"Completed")*(Appointments!$M$5:$M$1204&lt;&gt;"No show")*(Appointments!$B$5:$B$1204&gt;=TodayDate))*2958465)))</f>
        <v>0</v>
      </c>
      <c r="AB287" s="17">
        <f>IF(B287="","",IF(AA287&gt;=2958465,"",AA287))</f>
        <v>0</v>
      </c>
      <c r="AC287" s="25">
        <f>IF(B287="","",IF(T287&lt;2,"",ROUND((Y287-X287)/MAX(1,T287-1),0)))</f>
        <v>0</v>
      </c>
      <c r="AD287" s="17">
        <f>IF(B287="","",IF(Y287="","",Y287+IF(AC287="",RebookWeeks*7,MAX(14,AC287))))</f>
        <v>0</v>
      </c>
      <c r="AE287" s="26">
        <f>IF(B287="","",ROUND(SUMIFS(Sales!$Y$5:$Y$1204,Sales!$D$5:$D$1204,A287),2))</f>
        <v>0</v>
      </c>
      <c r="AF287" s="26">
        <f>IF(B287="","",ROUND(SUMIFS(Sales!$Y$5:$Y$1204,Sales!$D$5:$D$1204,A287,Sales!$H$5:$H$1204,"Service"),2))</f>
        <v>0</v>
      </c>
      <c r="AG287" s="26">
        <f>IF(B287="","",ROUND(SUMIFS(Sales!$Y$5:$Y$1204,Sales!$D$5:$D$1204,A287,Sales!$H$5:$H$1204,"Retail"),2))</f>
        <v>0</v>
      </c>
      <c r="AH287" s="26">
        <f>IF(B287="","",ROUND(SUMIFS(Sales!$Y$5:$Y$1204,Sales!$D$5:$D$1204,A287,Sales!$B$5:$B$1204,"&gt;="&amp;TodayDate-365),2))</f>
        <v>0</v>
      </c>
      <c r="AI287" s="26">
        <f>IF(B287="","",IF(T287=0,"",ROUND(AE287/T287,2)))</f>
        <v>0</v>
      </c>
      <c r="AJ287" s="26">
        <f>IF(B287="","",IF(AI287="","",IF(AC287="","",ROUND(AI287*(365/MAX(14,AC287)),2))))</f>
        <v>0</v>
      </c>
      <c r="AK287" s="26">
        <f>IF(B287="","",ROUND(SUMIFS(Sales!$AH$5:$AH$1204,Sales!$D$5:$D$1204,A287),2))</f>
        <v>0</v>
      </c>
      <c r="AL287" s="25">
        <f>IF(B287="","",IFERROR(INDEX(Loyalty!$P$5:$P$504,MATCH(A287,Loyalty!$B$5:$B$504,0))*1,0))</f>
        <v>0</v>
      </c>
      <c r="AM287" s="39">
        <f>IF(B287="","",IF(R287="Archived","Archived",IF(T287=0,"Not been yet",IF(Z287&gt;=InactiveDays,"Inactive",IF(Z287&gt;=LapsingDays,"Lapsing",IF(T287=1,"New",IF(AH287&gt;=VipSpend,"VIP",IF(U287&gt;=4,"Regular","Active"))))))))</f>
        <v>0</v>
      </c>
      <c r="AN287" s="38">
        <f>IF(B287="","",IF(T287&gt;=2,"Yes","No"))</f>
        <v>0</v>
      </c>
      <c r="AO287" s="25">
        <f>IF(B287="","",COUNTIFS($AE$5:$AE$504,"&gt;"&amp;AE287)+COUNTIFS($AE$5:AE287,AE287))</f>
        <v>0</v>
      </c>
      <c r="AP287" s="25">
        <f>IF(B287="","",COUNTIFS($T$5:$T$504,"&gt;"&amp;T287)+COUNTIFS($T$5:T287,T287))</f>
        <v>0</v>
      </c>
      <c r="AQ287" s="39">
        <f>IF(B287="","",IF(COUNTIF($B$5:$B$504,B287)&gt;1,"Duplicate - same name twice",IF(R287="Archived","",IF(AK287&gt;0.004,"Chase - balance outstanding",IF(AM287="Inactive","Gone - win-back offer",IF(AM287="Lapsing","Chase - lapsing, call them",IF(IF(N287="",FALSE,TodayDate-N287&gt;PatchTestDays),"Due - patch test out of date",IF(IF(AD287="",FALSE,IF(AB287&lt;&gt;"",FALSE,AD287&lt;=TodayDate+14)),"Rebook - due and nothing booked",IF(IF(K287="",FALSE,ABS(DATE(YEAR(TodayDate),MONTH(K287),DAY(K287))-TodayDate)&lt;=7),"Birthday - send the treat","OK")))))))))</f>
        <v>0</v>
      </c>
    </row>
    <row r="288" spans="1:43">
      <c r="A288" s="28">
        <f>IF(B288="","",ClientPrefix&amp;TEXT(ROW()-4,"0000"))</f>
        <v>0</v>
      </c>
      <c r="J288" s="15">
        <f>IF(I288="","",IFERROR(INDEX(Staff!$B$5:$B$44,MATCH(I288,Staff!$A$5:$A$44,0)),"Not in Staff"))</f>
        <v>0</v>
      </c>
      <c r="T288" s="25">
        <f>IF(B288="","",COUNTIFS(Appointments!$E$5:$E$1204,A288,Appointments!$M$5:$M$1204,"Completed"))</f>
        <v>0</v>
      </c>
      <c r="U288" s="25">
        <f>IF(B288="","",COUNTIFS(Appointments!$E$5:$E$1204,A288,Appointments!$M$5:$M$1204,"Completed",Appointments!$B$5:$B$1204,"&gt;="&amp;TodayDate-365))</f>
        <v>0</v>
      </c>
      <c r="V288" s="25">
        <f>IF(B288="","",COUNTIFS(Appointments!$E$5:$E$1204,A288,Appointments!$M$5:$M$1204,"Cancelled"))</f>
        <v>0</v>
      </c>
      <c r="W288" s="25">
        <f>IF(B288="","",COUNTIFS(Appointments!$E$5:$E$1204,A288,Appointments!$M$5:$M$1204,"No show"))</f>
        <v>0</v>
      </c>
      <c r="X288" s="17">
        <f>IF(B288="","",IF(F288&lt;&gt;"",F288,IF(T288=0,"",SUMPRODUCT(MIN((Appointments!$E$5:$E$1204=A288)*(Appointments!$M$5:$M$1204="Completed")*Appointments!$B$5:$B$1204+(1-(Appointments!$E$5:$E$1204=A288)*(Appointments!$M$5:$M$1204="Completed"))*2958465)))))</f>
        <v>0</v>
      </c>
      <c r="Y288" s="17">
        <f>IF(B288="","",IF(T288=0,"",SUMPRODUCT(MAX((Appointments!$E$5:$E$1204=A288)*(Appointments!$M$5:$M$1204="Completed")*Appointments!$B$5:$B$1204))))</f>
        <v>0</v>
      </c>
      <c r="Z288" s="25">
        <f>IF(B288="","",IF(Y288="","",TodayDate-Y288))</f>
        <v>0</v>
      </c>
      <c r="AA288" s="42">
        <f>IF(B288="","",SUMPRODUCT(MIN((Appointments!$E$5:$E$1204=A288)*(Appointments!$M$5:$M$1204&lt;&gt;"Cancelled")*(Appointments!$M$5:$M$1204&lt;&gt;"Completed")*(Appointments!$M$5:$M$1204&lt;&gt;"No show")*(Appointments!$B$5:$B$1204&gt;=TodayDate)*Appointments!$B$5:$B$1204+(1-(Appointments!$E$5:$E$1204=A288)*(Appointments!$M$5:$M$1204&lt;&gt;"Cancelled")*(Appointments!$M$5:$M$1204&lt;&gt;"Completed")*(Appointments!$M$5:$M$1204&lt;&gt;"No show")*(Appointments!$B$5:$B$1204&gt;=TodayDate))*2958465)))</f>
        <v>0</v>
      </c>
      <c r="AB288" s="17">
        <f>IF(B288="","",IF(AA288&gt;=2958465,"",AA288))</f>
        <v>0</v>
      </c>
      <c r="AC288" s="25">
        <f>IF(B288="","",IF(T288&lt;2,"",ROUND((Y288-X288)/MAX(1,T288-1),0)))</f>
        <v>0</v>
      </c>
      <c r="AD288" s="17">
        <f>IF(B288="","",IF(Y288="","",Y288+IF(AC288="",RebookWeeks*7,MAX(14,AC288))))</f>
        <v>0</v>
      </c>
      <c r="AE288" s="26">
        <f>IF(B288="","",ROUND(SUMIFS(Sales!$Y$5:$Y$1204,Sales!$D$5:$D$1204,A288),2))</f>
        <v>0</v>
      </c>
      <c r="AF288" s="26">
        <f>IF(B288="","",ROUND(SUMIFS(Sales!$Y$5:$Y$1204,Sales!$D$5:$D$1204,A288,Sales!$H$5:$H$1204,"Service"),2))</f>
        <v>0</v>
      </c>
      <c r="AG288" s="26">
        <f>IF(B288="","",ROUND(SUMIFS(Sales!$Y$5:$Y$1204,Sales!$D$5:$D$1204,A288,Sales!$H$5:$H$1204,"Retail"),2))</f>
        <v>0</v>
      </c>
      <c r="AH288" s="26">
        <f>IF(B288="","",ROUND(SUMIFS(Sales!$Y$5:$Y$1204,Sales!$D$5:$D$1204,A288,Sales!$B$5:$B$1204,"&gt;="&amp;TodayDate-365),2))</f>
        <v>0</v>
      </c>
      <c r="AI288" s="26">
        <f>IF(B288="","",IF(T288=0,"",ROUND(AE288/T288,2)))</f>
        <v>0</v>
      </c>
      <c r="AJ288" s="26">
        <f>IF(B288="","",IF(AI288="","",IF(AC288="","",ROUND(AI288*(365/MAX(14,AC288)),2))))</f>
        <v>0</v>
      </c>
      <c r="AK288" s="26">
        <f>IF(B288="","",ROUND(SUMIFS(Sales!$AH$5:$AH$1204,Sales!$D$5:$D$1204,A288),2))</f>
        <v>0</v>
      </c>
      <c r="AL288" s="25">
        <f>IF(B288="","",IFERROR(INDEX(Loyalty!$P$5:$P$504,MATCH(A288,Loyalty!$B$5:$B$504,0))*1,0))</f>
        <v>0</v>
      </c>
      <c r="AM288" s="39">
        <f>IF(B288="","",IF(R288="Archived","Archived",IF(T288=0,"Not been yet",IF(Z288&gt;=InactiveDays,"Inactive",IF(Z288&gt;=LapsingDays,"Lapsing",IF(T288=1,"New",IF(AH288&gt;=VipSpend,"VIP",IF(U288&gt;=4,"Regular","Active"))))))))</f>
        <v>0</v>
      </c>
      <c r="AN288" s="38">
        <f>IF(B288="","",IF(T288&gt;=2,"Yes","No"))</f>
        <v>0</v>
      </c>
      <c r="AO288" s="25">
        <f>IF(B288="","",COUNTIFS($AE$5:$AE$504,"&gt;"&amp;AE288)+COUNTIFS($AE$5:AE288,AE288))</f>
        <v>0</v>
      </c>
      <c r="AP288" s="25">
        <f>IF(B288="","",COUNTIFS($T$5:$T$504,"&gt;"&amp;T288)+COUNTIFS($T$5:T288,T288))</f>
        <v>0</v>
      </c>
      <c r="AQ288" s="39">
        <f>IF(B288="","",IF(COUNTIF($B$5:$B$504,B288)&gt;1,"Duplicate - same name twice",IF(R288="Archived","",IF(AK288&gt;0.004,"Chase - balance outstanding",IF(AM288="Inactive","Gone - win-back offer",IF(AM288="Lapsing","Chase - lapsing, call them",IF(IF(N288="",FALSE,TodayDate-N288&gt;PatchTestDays),"Due - patch test out of date",IF(IF(AD288="",FALSE,IF(AB288&lt;&gt;"",FALSE,AD288&lt;=TodayDate+14)),"Rebook - due and nothing booked",IF(IF(K288="",FALSE,ABS(DATE(YEAR(TodayDate),MONTH(K288),DAY(K288))-TodayDate)&lt;=7),"Birthday - send the treat","OK")))))))))</f>
        <v>0</v>
      </c>
    </row>
    <row r="289" spans="1:43">
      <c r="A289" s="28">
        <f>IF(B289="","",ClientPrefix&amp;TEXT(ROW()-4,"0000"))</f>
        <v>0</v>
      </c>
      <c r="J289" s="15">
        <f>IF(I289="","",IFERROR(INDEX(Staff!$B$5:$B$44,MATCH(I289,Staff!$A$5:$A$44,0)),"Not in Staff"))</f>
        <v>0</v>
      </c>
      <c r="T289" s="25">
        <f>IF(B289="","",COUNTIFS(Appointments!$E$5:$E$1204,A289,Appointments!$M$5:$M$1204,"Completed"))</f>
        <v>0</v>
      </c>
      <c r="U289" s="25">
        <f>IF(B289="","",COUNTIFS(Appointments!$E$5:$E$1204,A289,Appointments!$M$5:$M$1204,"Completed",Appointments!$B$5:$B$1204,"&gt;="&amp;TodayDate-365))</f>
        <v>0</v>
      </c>
      <c r="V289" s="25">
        <f>IF(B289="","",COUNTIFS(Appointments!$E$5:$E$1204,A289,Appointments!$M$5:$M$1204,"Cancelled"))</f>
        <v>0</v>
      </c>
      <c r="W289" s="25">
        <f>IF(B289="","",COUNTIFS(Appointments!$E$5:$E$1204,A289,Appointments!$M$5:$M$1204,"No show"))</f>
        <v>0</v>
      </c>
      <c r="X289" s="17">
        <f>IF(B289="","",IF(F289&lt;&gt;"",F289,IF(T289=0,"",SUMPRODUCT(MIN((Appointments!$E$5:$E$1204=A289)*(Appointments!$M$5:$M$1204="Completed")*Appointments!$B$5:$B$1204+(1-(Appointments!$E$5:$E$1204=A289)*(Appointments!$M$5:$M$1204="Completed"))*2958465)))))</f>
        <v>0</v>
      </c>
      <c r="Y289" s="17">
        <f>IF(B289="","",IF(T289=0,"",SUMPRODUCT(MAX((Appointments!$E$5:$E$1204=A289)*(Appointments!$M$5:$M$1204="Completed")*Appointments!$B$5:$B$1204))))</f>
        <v>0</v>
      </c>
      <c r="Z289" s="25">
        <f>IF(B289="","",IF(Y289="","",TodayDate-Y289))</f>
        <v>0</v>
      </c>
      <c r="AA289" s="42">
        <f>IF(B289="","",SUMPRODUCT(MIN((Appointments!$E$5:$E$1204=A289)*(Appointments!$M$5:$M$1204&lt;&gt;"Cancelled")*(Appointments!$M$5:$M$1204&lt;&gt;"Completed")*(Appointments!$M$5:$M$1204&lt;&gt;"No show")*(Appointments!$B$5:$B$1204&gt;=TodayDate)*Appointments!$B$5:$B$1204+(1-(Appointments!$E$5:$E$1204=A289)*(Appointments!$M$5:$M$1204&lt;&gt;"Cancelled")*(Appointments!$M$5:$M$1204&lt;&gt;"Completed")*(Appointments!$M$5:$M$1204&lt;&gt;"No show")*(Appointments!$B$5:$B$1204&gt;=TodayDate))*2958465)))</f>
        <v>0</v>
      </c>
      <c r="AB289" s="17">
        <f>IF(B289="","",IF(AA289&gt;=2958465,"",AA289))</f>
        <v>0</v>
      </c>
      <c r="AC289" s="25">
        <f>IF(B289="","",IF(T289&lt;2,"",ROUND((Y289-X289)/MAX(1,T289-1),0)))</f>
        <v>0</v>
      </c>
      <c r="AD289" s="17">
        <f>IF(B289="","",IF(Y289="","",Y289+IF(AC289="",RebookWeeks*7,MAX(14,AC289))))</f>
        <v>0</v>
      </c>
      <c r="AE289" s="26">
        <f>IF(B289="","",ROUND(SUMIFS(Sales!$Y$5:$Y$1204,Sales!$D$5:$D$1204,A289),2))</f>
        <v>0</v>
      </c>
      <c r="AF289" s="26">
        <f>IF(B289="","",ROUND(SUMIFS(Sales!$Y$5:$Y$1204,Sales!$D$5:$D$1204,A289,Sales!$H$5:$H$1204,"Service"),2))</f>
        <v>0</v>
      </c>
      <c r="AG289" s="26">
        <f>IF(B289="","",ROUND(SUMIFS(Sales!$Y$5:$Y$1204,Sales!$D$5:$D$1204,A289,Sales!$H$5:$H$1204,"Retail"),2))</f>
        <v>0</v>
      </c>
      <c r="AH289" s="26">
        <f>IF(B289="","",ROUND(SUMIFS(Sales!$Y$5:$Y$1204,Sales!$D$5:$D$1204,A289,Sales!$B$5:$B$1204,"&gt;="&amp;TodayDate-365),2))</f>
        <v>0</v>
      </c>
      <c r="AI289" s="26">
        <f>IF(B289="","",IF(T289=0,"",ROUND(AE289/T289,2)))</f>
        <v>0</v>
      </c>
      <c r="AJ289" s="26">
        <f>IF(B289="","",IF(AI289="","",IF(AC289="","",ROUND(AI289*(365/MAX(14,AC289)),2))))</f>
        <v>0</v>
      </c>
      <c r="AK289" s="26">
        <f>IF(B289="","",ROUND(SUMIFS(Sales!$AH$5:$AH$1204,Sales!$D$5:$D$1204,A289),2))</f>
        <v>0</v>
      </c>
      <c r="AL289" s="25">
        <f>IF(B289="","",IFERROR(INDEX(Loyalty!$P$5:$P$504,MATCH(A289,Loyalty!$B$5:$B$504,0))*1,0))</f>
        <v>0</v>
      </c>
      <c r="AM289" s="39">
        <f>IF(B289="","",IF(R289="Archived","Archived",IF(T289=0,"Not been yet",IF(Z289&gt;=InactiveDays,"Inactive",IF(Z289&gt;=LapsingDays,"Lapsing",IF(T289=1,"New",IF(AH289&gt;=VipSpend,"VIP",IF(U289&gt;=4,"Regular","Active"))))))))</f>
        <v>0</v>
      </c>
      <c r="AN289" s="38">
        <f>IF(B289="","",IF(T289&gt;=2,"Yes","No"))</f>
        <v>0</v>
      </c>
      <c r="AO289" s="25">
        <f>IF(B289="","",COUNTIFS($AE$5:$AE$504,"&gt;"&amp;AE289)+COUNTIFS($AE$5:AE289,AE289))</f>
        <v>0</v>
      </c>
      <c r="AP289" s="25">
        <f>IF(B289="","",COUNTIFS($T$5:$T$504,"&gt;"&amp;T289)+COUNTIFS($T$5:T289,T289))</f>
        <v>0</v>
      </c>
      <c r="AQ289" s="39">
        <f>IF(B289="","",IF(COUNTIF($B$5:$B$504,B289)&gt;1,"Duplicate - same name twice",IF(R289="Archived","",IF(AK289&gt;0.004,"Chase - balance outstanding",IF(AM289="Inactive","Gone - win-back offer",IF(AM289="Lapsing","Chase - lapsing, call them",IF(IF(N289="",FALSE,TodayDate-N289&gt;PatchTestDays),"Due - patch test out of date",IF(IF(AD289="",FALSE,IF(AB289&lt;&gt;"",FALSE,AD289&lt;=TodayDate+14)),"Rebook - due and nothing booked",IF(IF(K289="",FALSE,ABS(DATE(YEAR(TodayDate),MONTH(K289),DAY(K289))-TodayDate)&lt;=7),"Birthday - send the treat","OK")))))))))</f>
        <v>0</v>
      </c>
    </row>
    <row r="290" spans="1:43">
      <c r="A290" s="28">
        <f>IF(B290="","",ClientPrefix&amp;TEXT(ROW()-4,"0000"))</f>
        <v>0</v>
      </c>
      <c r="J290" s="15">
        <f>IF(I290="","",IFERROR(INDEX(Staff!$B$5:$B$44,MATCH(I290,Staff!$A$5:$A$44,0)),"Not in Staff"))</f>
        <v>0</v>
      </c>
      <c r="T290" s="25">
        <f>IF(B290="","",COUNTIFS(Appointments!$E$5:$E$1204,A290,Appointments!$M$5:$M$1204,"Completed"))</f>
        <v>0</v>
      </c>
      <c r="U290" s="25">
        <f>IF(B290="","",COUNTIFS(Appointments!$E$5:$E$1204,A290,Appointments!$M$5:$M$1204,"Completed",Appointments!$B$5:$B$1204,"&gt;="&amp;TodayDate-365))</f>
        <v>0</v>
      </c>
      <c r="V290" s="25">
        <f>IF(B290="","",COUNTIFS(Appointments!$E$5:$E$1204,A290,Appointments!$M$5:$M$1204,"Cancelled"))</f>
        <v>0</v>
      </c>
      <c r="W290" s="25">
        <f>IF(B290="","",COUNTIFS(Appointments!$E$5:$E$1204,A290,Appointments!$M$5:$M$1204,"No show"))</f>
        <v>0</v>
      </c>
      <c r="X290" s="17">
        <f>IF(B290="","",IF(F290&lt;&gt;"",F290,IF(T290=0,"",SUMPRODUCT(MIN((Appointments!$E$5:$E$1204=A290)*(Appointments!$M$5:$M$1204="Completed")*Appointments!$B$5:$B$1204+(1-(Appointments!$E$5:$E$1204=A290)*(Appointments!$M$5:$M$1204="Completed"))*2958465)))))</f>
        <v>0</v>
      </c>
      <c r="Y290" s="17">
        <f>IF(B290="","",IF(T290=0,"",SUMPRODUCT(MAX((Appointments!$E$5:$E$1204=A290)*(Appointments!$M$5:$M$1204="Completed")*Appointments!$B$5:$B$1204))))</f>
        <v>0</v>
      </c>
      <c r="Z290" s="25">
        <f>IF(B290="","",IF(Y290="","",TodayDate-Y290))</f>
        <v>0</v>
      </c>
      <c r="AA290" s="42">
        <f>IF(B290="","",SUMPRODUCT(MIN((Appointments!$E$5:$E$1204=A290)*(Appointments!$M$5:$M$1204&lt;&gt;"Cancelled")*(Appointments!$M$5:$M$1204&lt;&gt;"Completed")*(Appointments!$M$5:$M$1204&lt;&gt;"No show")*(Appointments!$B$5:$B$1204&gt;=TodayDate)*Appointments!$B$5:$B$1204+(1-(Appointments!$E$5:$E$1204=A290)*(Appointments!$M$5:$M$1204&lt;&gt;"Cancelled")*(Appointments!$M$5:$M$1204&lt;&gt;"Completed")*(Appointments!$M$5:$M$1204&lt;&gt;"No show")*(Appointments!$B$5:$B$1204&gt;=TodayDate))*2958465)))</f>
        <v>0</v>
      </c>
      <c r="AB290" s="17">
        <f>IF(B290="","",IF(AA290&gt;=2958465,"",AA290))</f>
        <v>0</v>
      </c>
      <c r="AC290" s="25">
        <f>IF(B290="","",IF(T290&lt;2,"",ROUND((Y290-X290)/MAX(1,T290-1),0)))</f>
        <v>0</v>
      </c>
      <c r="AD290" s="17">
        <f>IF(B290="","",IF(Y290="","",Y290+IF(AC290="",RebookWeeks*7,MAX(14,AC290))))</f>
        <v>0</v>
      </c>
      <c r="AE290" s="26">
        <f>IF(B290="","",ROUND(SUMIFS(Sales!$Y$5:$Y$1204,Sales!$D$5:$D$1204,A290),2))</f>
        <v>0</v>
      </c>
      <c r="AF290" s="26">
        <f>IF(B290="","",ROUND(SUMIFS(Sales!$Y$5:$Y$1204,Sales!$D$5:$D$1204,A290,Sales!$H$5:$H$1204,"Service"),2))</f>
        <v>0</v>
      </c>
      <c r="AG290" s="26">
        <f>IF(B290="","",ROUND(SUMIFS(Sales!$Y$5:$Y$1204,Sales!$D$5:$D$1204,A290,Sales!$H$5:$H$1204,"Retail"),2))</f>
        <v>0</v>
      </c>
      <c r="AH290" s="26">
        <f>IF(B290="","",ROUND(SUMIFS(Sales!$Y$5:$Y$1204,Sales!$D$5:$D$1204,A290,Sales!$B$5:$B$1204,"&gt;="&amp;TodayDate-365),2))</f>
        <v>0</v>
      </c>
      <c r="AI290" s="26">
        <f>IF(B290="","",IF(T290=0,"",ROUND(AE290/T290,2)))</f>
        <v>0</v>
      </c>
      <c r="AJ290" s="26">
        <f>IF(B290="","",IF(AI290="","",IF(AC290="","",ROUND(AI290*(365/MAX(14,AC290)),2))))</f>
        <v>0</v>
      </c>
      <c r="AK290" s="26">
        <f>IF(B290="","",ROUND(SUMIFS(Sales!$AH$5:$AH$1204,Sales!$D$5:$D$1204,A290),2))</f>
        <v>0</v>
      </c>
      <c r="AL290" s="25">
        <f>IF(B290="","",IFERROR(INDEX(Loyalty!$P$5:$P$504,MATCH(A290,Loyalty!$B$5:$B$504,0))*1,0))</f>
        <v>0</v>
      </c>
      <c r="AM290" s="39">
        <f>IF(B290="","",IF(R290="Archived","Archived",IF(T290=0,"Not been yet",IF(Z290&gt;=InactiveDays,"Inactive",IF(Z290&gt;=LapsingDays,"Lapsing",IF(T290=1,"New",IF(AH290&gt;=VipSpend,"VIP",IF(U290&gt;=4,"Regular","Active"))))))))</f>
        <v>0</v>
      </c>
      <c r="AN290" s="38">
        <f>IF(B290="","",IF(T290&gt;=2,"Yes","No"))</f>
        <v>0</v>
      </c>
      <c r="AO290" s="25">
        <f>IF(B290="","",COUNTIFS($AE$5:$AE$504,"&gt;"&amp;AE290)+COUNTIFS($AE$5:AE290,AE290))</f>
        <v>0</v>
      </c>
      <c r="AP290" s="25">
        <f>IF(B290="","",COUNTIFS($T$5:$T$504,"&gt;"&amp;T290)+COUNTIFS($T$5:T290,T290))</f>
        <v>0</v>
      </c>
      <c r="AQ290" s="39">
        <f>IF(B290="","",IF(COUNTIF($B$5:$B$504,B290)&gt;1,"Duplicate - same name twice",IF(R290="Archived","",IF(AK290&gt;0.004,"Chase - balance outstanding",IF(AM290="Inactive","Gone - win-back offer",IF(AM290="Lapsing","Chase - lapsing, call them",IF(IF(N290="",FALSE,TodayDate-N290&gt;PatchTestDays),"Due - patch test out of date",IF(IF(AD290="",FALSE,IF(AB290&lt;&gt;"",FALSE,AD290&lt;=TodayDate+14)),"Rebook - due and nothing booked",IF(IF(K290="",FALSE,ABS(DATE(YEAR(TodayDate),MONTH(K290),DAY(K290))-TodayDate)&lt;=7),"Birthday - send the treat","OK")))))))))</f>
        <v>0</v>
      </c>
    </row>
    <row r="291" spans="1:43">
      <c r="A291" s="28">
        <f>IF(B291="","",ClientPrefix&amp;TEXT(ROW()-4,"0000"))</f>
        <v>0</v>
      </c>
      <c r="J291" s="15">
        <f>IF(I291="","",IFERROR(INDEX(Staff!$B$5:$B$44,MATCH(I291,Staff!$A$5:$A$44,0)),"Not in Staff"))</f>
        <v>0</v>
      </c>
      <c r="T291" s="25">
        <f>IF(B291="","",COUNTIFS(Appointments!$E$5:$E$1204,A291,Appointments!$M$5:$M$1204,"Completed"))</f>
        <v>0</v>
      </c>
      <c r="U291" s="25">
        <f>IF(B291="","",COUNTIFS(Appointments!$E$5:$E$1204,A291,Appointments!$M$5:$M$1204,"Completed",Appointments!$B$5:$B$1204,"&gt;="&amp;TodayDate-365))</f>
        <v>0</v>
      </c>
      <c r="V291" s="25">
        <f>IF(B291="","",COUNTIFS(Appointments!$E$5:$E$1204,A291,Appointments!$M$5:$M$1204,"Cancelled"))</f>
        <v>0</v>
      </c>
      <c r="W291" s="25">
        <f>IF(B291="","",COUNTIFS(Appointments!$E$5:$E$1204,A291,Appointments!$M$5:$M$1204,"No show"))</f>
        <v>0</v>
      </c>
      <c r="X291" s="17">
        <f>IF(B291="","",IF(F291&lt;&gt;"",F291,IF(T291=0,"",SUMPRODUCT(MIN((Appointments!$E$5:$E$1204=A291)*(Appointments!$M$5:$M$1204="Completed")*Appointments!$B$5:$B$1204+(1-(Appointments!$E$5:$E$1204=A291)*(Appointments!$M$5:$M$1204="Completed"))*2958465)))))</f>
        <v>0</v>
      </c>
      <c r="Y291" s="17">
        <f>IF(B291="","",IF(T291=0,"",SUMPRODUCT(MAX((Appointments!$E$5:$E$1204=A291)*(Appointments!$M$5:$M$1204="Completed")*Appointments!$B$5:$B$1204))))</f>
        <v>0</v>
      </c>
      <c r="Z291" s="25">
        <f>IF(B291="","",IF(Y291="","",TodayDate-Y291))</f>
        <v>0</v>
      </c>
      <c r="AA291" s="42">
        <f>IF(B291="","",SUMPRODUCT(MIN((Appointments!$E$5:$E$1204=A291)*(Appointments!$M$5:$M$1204&lt;&gt;"Cancelled")*(Appointments!$M$5:$M$1204&lt;&gt;"Completed")*(Appointments!$M$5:$M$1204&lt;&gt;"No show")*(Appointments!$B$5:$B$1204&gt;=TodayDate)*Appointments!$B$5:$B$1204+(1-(Appointments!$E$5:$E$1204=A291)*(Appointments!$M$5:$M$1204&lt;&gt;"Cancelled")*(Appointments!$M$5:$M$1204&lt;&gt;"Completed")*(Appointments!$M$5:$M$1204&lt;&gt;"No show")*(Appointments!$B$5:$B$1204&gt;=TodayDate))*2958465)))</f>
        <v>0</v>
      </c>
      <c r="AB291" s="17">
        <f>IF(B291="","",IF(AA291&gt;=2958465,"",AA291))</f>
        <v>0</v>
      </c>
      <c r="AC291" s="25">
        <f>IF(B291="","",IF(T291&lt;2,"",ROUND((Y291-X291)/MAX(1,T291-1),0)))</f>
        <v>0</v>
      </c>
      <c r="AD291" s="17">
        <f>IF(B291="","",IF(Y291="","",Y291+IF(AC291="",RebookWeeks*7,MAX(14,AC291))))</f>
        <v>0</v>
      </c>
      <c r="AE291" s="26">
        <f>IF(B291="","",ROUND(SUMIFS(Sales!$Y$5:$Y$1204,Sales!$D$5:$D$1204,A291),2))</f>
        <v>0</v>
      </c>
      <c r="AF291" s="26">
        <f>IF(B291="","",ROUND(SUMIFS(Sales!$Y$5:$Y$1204,Sales!$D$5:$D$1204,A291,Sales!$H$5:$H$1204,"Service"),2))</f>
        <v>0</v>
      </c>
      <c r="AG291" s="26">
        <f>IF(B291="","",ROUND(SUMIFS(Sales!$Y$5:$Y$1204,Sales!$D$5:$D$1204,A291,Sales!$H$5:$H$1204,"Retail"),2))</f>
        <v>0</v>
      </c>
      <c r="AH291" s="26">
        <f>IF(B291="","",ROUND(SUMIFS(Sales!$Y$5:$Y$1204,Sales!$D$5:$D$1204,A291,Sales!$B$5:$B$1204,"&gt;="&amp;TodayDate-365),2))</f>
        <v>0</v>
      </c>
      <c r="AI291" s="26">
        <f>IF(B291="","",IF(T291=0,"",ROUND(AE291/T291,2)))</f>
        <v>0</v>
      </c>
      <c r="AJ291" s="26">
        <f>IF(B291="","",IF(AI291="","",IF(AC291="","",ROUND(AI291*(365/MAX(14,AC291)),2))))</f>
        <v>0</v>
      </c>
      <c r="AK291" s="26">
        <f>IF(B291="","",ROUND(SUMIFS(Sales!$AH$5:$AH$1204,Sales!$D$5:$D$1204,A291),2))</f>
        <v>0</v>
      </c>
      <c r="AL291" s="25">
        <f>IF(B291="","",IFERROR(INDEX(Loyalty!$P$5:$P$504,MATCH(A291,Loyalty!$B$5:$B$504,0))*1,0))</f>
        <v>0</v>
      </c>
      <c r="AM291" s="39">
        <f>IF(B291="","",IF(R291="Archived","Archived",IF(T291=0,"Not been yet",IF(Z291&gt;=InactiveDays,"Inactive",IF(Z291&gt;=LapsingDays,"Lapsing",IF(T291=1,"New",IF(AH291&gt;=VipSpend,"VIP",IF(U291&gt;=4,"Regular","Active"))))))))</f>
        <v>0</v>
      </c>
      <c r="AN291" s="38">
        <f>IF(B291="","",IF(T291&gt;=2,"Yes","No"))</f>
        <v>0</v>
      </c>
      <c r="AO291" s="25">
        <f>IF(B291="","",COUNTIFS($AE$5:$AE$504,"&gt;"&amp;AE291)+COUNTIFS($AE$5:AE291,AE291))</f>
        <v>0</v>
      </c>
      <c r="AP291" s="25">
        <f>IF(B291="","",COUNTIFS($T$5:$T$504,"&gt;"&amp;T291)+COUNTIFS($T$5:T291,T291))</f>
        <v>0</v>
      </c>
      <c r="AQ291" s="39">
        <f>IF(B291="","",IF(COUNTIF($B$5:$B$504,B291)&gt;1,"Duplicate - same name twice",IF(R291="Archived","",IF(AK291&gt;0.004,"Chase - balance outstanding",IF(AM291="Inactive","Gone - win-back offer",IF(AM291="Lapsing","Chase - lapsing, call them",IF(IF(N291="",FALSE,TodayDate-N291&gt;PatchTestDays),"Due - patch test out of date",IF(IF(AD291="",FALSE,IF(AB291&lt;&gt;"",FALSE,AD291&lt;=TodayDate+14)),"Rebook - due and nothing booked",IF(IF(K291="",FALSE,ABS(DATE(YEAR(TodayDate),MONTH(K291),DAY(K291))-TodayDate)&lt;=7),"Birthday - send the treat","OK")))))))))</f>
        <v>0</v>
      </c>
    </row>
    <row r="292" spans="1:43">
      <c r="A292" s="28">
        <f>IF(B292="","",ClientPrefix&amp;TEXT(ROW()-4,"0000"))</f>
        <v>0</v>
      </c>
      <c r="J292" s="15">
        <f>IF(I292="","",IFERROR(INDEX(Staff!$B$5:$B$44,MATCH(I292,Staff!$A$5:$A$44,0)),"Not in Staff"))</f>
        <v>0</v>
      </c>
      <c r="T292" s="25">
        <f>IF(B292="","",COUNTIFS(Appointments!$E$5:$E$1204,A292,Appointments!$M$5:$M$1204,"Completed"))</f>
        <v>0</v>
      </c>
      <c r="U292" s="25">
        <f>IF(B292="","",COUNTIFS(Appointments!$E$5:$E$1204,A292,Appointments!$M$5:$M$1204,"Completed",Appointments!$B$5:$B$1204,"&gt;="&amp;TodayDate-365))</f>
        <v>0</v>
      </c>
      <c r="V292" s="25">
        <f>IF(B292="","",COUNTIFS(Appointments!$E$5:$E$1204,A292,Appointments!$M$5:$M$1204,"Cancelled"))</f>
        <v>0</v>
      </c>
      <c r="W292" s="25">
        <f>IF(B292="","",COUNTIFS(Appointments!$E$5:$E$1204,A292,Appointments!$M$5:$M$1204,"No show"))</f>
        <v>0</v>
      </c>
      <c r="X292" s="17">
        <f>IF(B292="","",IF(F292&lt;&gt;"",F292,IF(T292=0,"",SUMPRODUCT(MIN((Appointments!$E$5:$E$1204=A292)*(Appointments!$M$5:$M$1204="Completed")*Appointments!$B$5:$B$1204+(1-(Appointments!$E$5:$E$1204=A292)*(Appointments!$M$5:$M$1204="Completed"))*2958465)))))</f>
        <v>0</v>
      </c>
      <c r="Y292" s="17">
        <f>IF(B292="","",IF(T292=0,"",SUMPRODUCT(MAX((Appointments!$E$5:$E$1204=A292)*(Appointments!$M$5:$M$1204="Completed")*Appointments!$B$5:$B$1204))))</f>
        <v>0</v>
      </c>
      <c r="Z292" s="25">
        <f>IF(B292="","",IF(Y292="","",TodayDate-Y292))</f>
        <v>0</v>
      </c>
      <c r="AA292" s="42">
        <f>IF(B292="","",SUMPRODUCT(MIN((Appointments!$E$5:$E$1204=A292)*(Appointments!$M$5:$M$1204&lt;&gt;"Cancelled")*(Appointments!$M$5:$M$1204&lt;&gt;"Completed")*(Appointments!$M$5:$M$1204&lt;&gt;"No show")*(Appointments!$B$5:$B$1204&gt;=TodayDate)*Appointments!$B$5:$B$1204+(1-(Appointments!$E$5:$E$1204=A292)*(Appointments!$M$5:$M$1204&lt;&gt;"Cancelled")*(Appointments!$M$5:$M$1204&lt;&gt;"Completed")*(Appointments!$M$5:$M$1204&lt;&gt;"No show")*(Appointments!$B$5:$B$1204&gt;=TodayDate))*2958465)))</f>
        <v>0</v>
      </c>
      <c r="AB292" s="17">
        <f>IF(B292="","",IF(AA292&gt;=2958465,"",AA292))</f>
        <v>0</v>
      </c>
      <c r="AC292" s="25">
        <f>IF(B292="","",IF(T292&lt;2,"",ROUND((Y292-X292)/MAX(1,T292-1),0)))</f>
        <v>0</v>
      </c>
      <c r="AD292" s="17">
        <f>IF(B292="","",IF(Y292="","",Y292+IF(AC292="",RebookWeeks*7,MAX(14,AC292))))</f>
        <v>0</v>
      </c>
      <c r="AE292" s="26">
        <f>IF(B292="","",ROUND(SUMIFS(Sales!$Y$5:$Y$1204,Sales!$D$5:$D$1204,A292),2))</f>
        <v>0</v>
      </c>
      <c r="AF292" s="26">
        <f>IF(B292="","",ROUND(SUMIFS(Sales!$Y$5:$Y$1204,Sales!$D$5:$D$1204,A292,Sales!$H$5:$H$1204,"Service"),2))</f>
        <v>0</v>
      </c>
      <c r="AG292" s="26">
        <f>IF(B292="","",ROUND(SUMIFS(Sales!$Y$5:$Y$1204,Sales!$D$5:$D$1204,A292,Sales!$H$5:$H$1204,"Retail"),2))</f>
        <v>0</v>
      </c>
      <c r="AH292" s="26">
        <f>IF(B292="","",ROUND(SUMIFS(Sales!$Y$5:$Y$1204,Sales!$D$5:$D$1204,A292,Sales!$B$5:$B$1204,"&gt;="&amp;TodayDate-365),2))</f>
        <v>0</v>
      </c>
      <c r="AI292" s="26">
        <f>IF(B292="","",IF(T292=0,"",ROUND(AE292/T292,2)))</f>
        <v>0</v>
      </c>
      <c r="AJ292" s="26">
        <f>IF(B292="","",IF(AI292="","",IF(AC292="","",ROUND(AI292*(365/MAX(14,AC292)),2))))</f>
        <v>0</v>
      </c>
      <c r="AK292" s="26">
        <f>IF(B292="","",ROUND(SUMIFS(Sales!$AH$5:$AH$1204,Sales!$D$5:$D$1204,A292),2))</f>
        <v>0</v>
      </c>
      <c r="AL292" s="25">
        <f>IF(B292="","",IFERROR(INDEX(Loyalty!$P$5:$P$504,MATCH(A292,Loyalty!$B$5:$B$504,0))*1,0))</f>
        <v>0</v>
      </c>
      <c r="AM292" s="39">
        <f>IF(B292="","",IF(R292="Archived","Archived",IF(T292=0,"Not been yet",IF(Z292&gt;=InactiveDays,"Inactive",IF(Z292&gt;=LapsingDays,"Lapsing",IF(T292=1,"New",IF(AH292&gt;=VipSpend,"VIP",IF(U292&gt;=4,"Regular","Active"))))))))</f>
        <v>0</v>
      </c>
      <c r="AN292" s="38">
        <f>IF(B292="","",IF(T292&gt;=2,"Yes","No"))</f>
        <v>0</v>
      </c>
      <c r="AO292" s="25">
        <f>IF(B292="","",COUNTIFS($AE$5:$AE$504,"&gt;"&amp;AE292)+COUNTIFS($AE$5:AE292,AE292))</f>
        <v>0</v>
      </c>
      <c r="AP292" s="25">
        <f>IF(B292="","",COUNTIFS($T$5:$T$504,"&gt;"&amp;T292)+COUNTIFS($T$5:T292,T292))</f>
        <v>0</v>
      </c>
      <c r="AQ292" s="39">
        <f>IF(B292="","",IF(COUNTIF($B$5:$B$504,B292)&gt;1,"Duplicate - same name twice",IF(R292="Archived","",IF(AK292&gt;0.004,"Chase - balance outstanding",IF(AM292="Inactive","Gone - win-back offer",IF(AM292="Lapsing","Chase - lapsing, call them",IF(IF(N292="",FALSE,TodayDate-N292&gt;PatchTestDays),"Due - patch test out of date",IF(IF(AD292="",FALSE,IF(AB292&lt;&gt;"",FALSE,AD292&lt;=TodayDate+14)),"Rebook - due and nothing booked",IF(IF(K292="",FALSE,ABS(DATE(YEAR(TodayDate),MONTH(K292),DAY(K292))-TodayDate)&lt;=7),"Birthday - send the treat","OK")))))))))</f>
        <v>0</v>
      </c>
    </row>
    <row r="293" spans="1:43">
      <c r="A293" s="28">
        <f>IF(B293="","",ClientPrefix&amp;TEXT(ROW()-4,"0000"))</f>
        <v>0</v>
      </c>
      <c r="J293" s="15">
        <f>IF(I293="","",IFERROR(INDEX(Staff!$B$5:$B$44,MATCH(I293,Staff!$A$5:$A$44,0)),"Not in Staff"))</f>
        <v>0</v>
      </c>
      <c r="T293" s="25">
        <f>IF(B293="","",COUNTIFS(Appointments!$E$5:$E$1204,A293,Appointments!$M$5:$M$1204,"Completed"))</f>
        <v>0</v>
      </c>
      <c r="U293" s="25">
        <f>IF(B293="","",COUNTIFS(Appointments!$E$5:$E$1204,A293,Appointments!$M$5:$M$1204,"Completed",Appointments!$B$5:$B$1204,"&gt;="&amp;TodayDate-365))</f>
        <v>0</v>
      </c>
      <c r="V293" s="25">
        <f>IF(B293="","",COUNTIFS(Appointments!$E$5:$E$1204,A293,Appointments!$M$5:$M$1204,"Cancelled"))</f>
        <v>0</v>
      </c>
      <c r="W293" s="25">
        <f>IF(B293="","",COUNTIFS(Appointments!$E$5:$E$1204,A293,Appointments!$M$5:$M$1204,"No show"))</f>
        <v>0</v>
      </c>
      <c r="X293" s="17">
        <f>IF(B293="","",IF(F293&lt;&gt;"",F293,IF(T293=0,"",SUMPRODUCT(MIN((Appointments!$E$5:$E$1204=A293)*(Appointments!$M$5:$M$1204="Completed")*Appointments!$B$5:$B$1204+(1-(Appointments!$E$5:$E$1204=A293)*(Appointments!$M$5:$M$1204="Completed"))*2958465)))))</f>
        <v>0</v>
      </c>
      <c r="Y293" s="17">
        <f>IF(B293="","",IF(T293=0,"",SUMPRODUCT(MAX((Appointments!$E$5:$E$1204=A293)*(Appointments!$M$5:$M$1204="Completed")*Appointments!$B$5:$B$1204))))</f>
        <v>0</v>
      </c>
      <c r="Z293" s="25">
        <f>IF(B293="","",IF(Y293="","",TodayDate-Y293))</f>
        <v>0</v>
      </c>
      <c r="AA293" s="42">
        <f>IF(B293="","",SUMPRODUCT(MIN((Appointments!$E$5:$E$1204=A293)*(Appointments!$M$5:$M$1204&lt;&gt;"Cancelled")*(Appointments!$M$5:$M$1204&lt;&gt;"Completed")*(Appointments!$M$5:$M$1204&lt;&gt;"No show")*(Appointments!$B$5:$B$1204&gt;=TodayDate)*Appointments!$B$5:$B$1204+(1-(Appointments!$E$5:$E$1204=A293)*(Appointments!$M$5:$M$1204&lt;&gt;"Cancelled")*(Appointments!$M$5:$M$1204&lt;&gt;"Completed")*(Appointments!$M$5:$M$1204&lt;&gt;"No show")*(Appointments!$B$5:$B$1204&gt;=TodayDate))*2958465)))</f>
        <v>0</v>
      </c>
      <c r="AB293" s="17">
        <f>IF(B293="","",IF(AA293&gt;=2958465,"",AA293))</f>
        <v>0</v>
      </c>
      <c r="AC293" s="25">
        <f>IF(B293="","",IF(T293&lt;2,"",ROUND((Y293-X293)/MAX(1,T293-1),0)))</f>
        <v>0</v>
      </c>
      <c r="AD293" s="17">
        <f>IF(B293="","",IF(Y293="","",Y293+IF(AC293="",RebookWeeks*7,MAX(14,AC293))))</f>
        <v>0</v>
      </c>
      <c r="AE293" s="26">
        <f>IF(B293="","",ROUND(SUMIFS(Sales!$Y$5:$Y$1204,Sales!$D$5:$D$1204,A293),2))</f>
        <v>0</v>
      </c>
      <c r="AF293" s="26">
        <f>IF(B293="","",ROUND(SUMIFS(Sales!$Y$5:$Y$1204,Sales!$D$5:$D$1204,A293,Sales!$H$5:$H$1204,"Service"),2))</f>
        <v>0</v>
      </c>
      <c r="AG293" s="26">
        <f>IF(B293="","",ROUND(SUMIFS(Sales!$Y$5:$Y$1204,Sales!$D$5:$D$1204,A293,Sales!$H$5:$H$1204,"Retail"),2))</f>
        <v>0</v>
      </c>
      <c r="AH293" s="26">
        <f>IF(B293="","",ROUND(SUMIFS(Sales!$Y$5:$Y$1204,Sales!$D$5:$D$1204,A293,Sales!$B$5:$B$1204,"&gt;="&amp;TodayDate-365),2))</f>
        <v>0</v>
      </c>
      <c r="AI293" s="26">
        <f>IF(B293="","",IF(T293=0,"",ROUND(AE293/T293,2)))</f>
        <v>0</v>
      </c>
      <c r="AJ293" s="26">
        <f>IF(B293="","",IF(AI293="","",IF(AC293="","",ROUND(AI293*(365/MAX(14,AC293)),2))))</f>
        <v>0</v>
      </c>
      <c r="AK293" s="26">
        <f>IF(B293="","",ROUND(SUMIFS(Sales!$AH$5:$AH$1204,Sales!$D$5:$D$1204,A293),2))</f>
        <v>0</v>
      </c>
      <c r="AL293" s="25">
        <f>IF(B293="","",IFERROR(INDEX(Loyalty!$P$5:$P$504,MATCH(A293,Loyalty!$B$5:$B$504,0))*1,0))</f>
        <v>0</v>
      </c>
      <c r="AM293" s="39">
        <f>IF(B293="","",IF(R293="Archived","Archived",IF(T293=0,"Not been yet",IF(Z293&gt;=InactiveDays,"Inactive",IF(Z293&gt;=LapsingDays,"Lapsing",IF(T293=1,"New",IF(AH293&gt;=VipSpend,"VIP",IF(U293&gt;=4,"Regular","Active"))))))))</f>
        <v>0</v>
      </c>
      <c r="AN293" s="38">
        <f>IF(B293="","",IF(T293&gt;=2,"Yes","No"))</f>
        <v>0</v>
      </c>
      <c r="AO293" s="25">
        <f>IF(B293="","",COUNTIFS($AE$5:$AE$504,"&gt;"&amp;AE293)+COUNTIFS($AE$5:AE293,AE293))</f>
        <v>0</v>
      </c>
      <c r="AP293" s="25">
        <f>IF(B293="","",COUNTIFS($T$5:$T$504,"&gt;"&amp;T293)+COUNTIFS($T$5:T293,T293))</f>
        <v>0</v>
      </c>
      <c r="AQ293" s="39">
        <f>IF(B293="","",IF(COUNTIF($B$5:$B$504,B293)&gt;1,"Duplicate - same name twice",IF(R293="Archived","",IF(AK293&gt;0.004,"Chase - balance outstanding",IF(AM293="Inactive","Gone - win-back offer",IF(AM293="Lapsing","Chase - lapsing, call them",IF(IF(N293="",FALSE,TodayDate-N293&gt;PatchTestDays),"Due - patch test out of date",IF(IF(AD293="",FALSE,IF(AB293&lt;&gt;"",FALSE,AD293&lt;=TodayDate+14)),"Rebook - due and nothing booked",IF(IF(K293="",FALSE,ABS(DATE(YEAR(TodayDate),MONTH(K293),DAY(K293))-TodayDate)&lt;=7),"Birthday - send the treat","OK")))))))))</f>
        <v>0</v>
      </c>
    </row>
    <row r="294" spans="1:43">
      <c r="A294" s="28">
        <f>IF(B294="","",ClientPrefix&amp;TEXT(ROW()-4,"0000"))</f>
        <v>0</v>
      </c>
      <c r="J294" s="15">
        <f>IF(I294="","",IFERROR(INDEX(Staff!$B$5:$B$44,MATCH(I294,Staff!$A$5:$A$44,0)),"Not in Staff"))</f>
        <v>0</v>
      </c>
      <c r="T294" s="25">
        <f>IF(B294="","",COUNTIFS(Appointments!$E$5:$E$1204,A294,Appointments!$M$5:$M$1204,"Completed"))</f>
        <v>0</v>
      </c>
      <c r="U294" s="25">
        <f>IF(B294="","",COUNTIFS(Appointments!$E$5:$E$1204,A294,Appointments!$M$5:$M$1204,"Completed",Appointments!$B$5:$B$1204,"&gt;="&amp;TodayDate-365))</f>
        <v>0</v>
      </c>
      <c r="V294" s="25">
        <f>IF(B294="","",COUNTIFS(Appointments!$E$5:$E$1204,A294,Appointments!$M$5:$M$1204,"Cancelled"))</f>
        <v>0</v>
      </c>
      <c r="W294" s="25">
        <f>IF(B294="","",COUNTIFS(Appointments!$E$5:$E$1204,A294,Appointments!$M$5:$M$1204,"No show"))</f>
        <v>0</v>
      </c>
      <c r="X294" s="17">
        <f>IF(B294="","",IF(F294&lt;&gt;"",F294,IF(T294=0,"",SUMPRODUCT(MIN((Appointments!$E$5:$E$1204=A294)*(Appointments!$M$5:$M$1204="Completed")*Appointments!$B$5:$B$1204+(1-(Appointments!$E$5:$E$1204=A294)*(Appointments!$M$5:$M$1204="Completed"))*2958465)))))</f>
        <v>0</v>
      </c>
      <c r="Y294" s="17">
        <f>IF(B294="","",IF(T294=0,"",SUMPRODUCT(MAX((Appointments!$E$5:$E$1204=A294)*(Appointments!$M$5:$M$1204="Completed")*Appointments!$B$5:$B$1204))))</f>
        <v>0</v>
      </c>
      <c r="Z294" s="25">
        <f>IF(B294="","",IF(Y294="","",TodayDate-Y294))</f>
        <v>0</v>
      </c>
      <c r="AA294" s="42">
        <f>IF(B294="","",SUMPRODUCT(MIN((Appointments!$E$5:$E$1204=A294)*(Appointments!$M$5:$M$1204&lt;&gt;"Cancelled")*(Appointments!$M$5:$M$1204&lt;&gt;"Completed")*(Appointments!$M$5:$M$1204&lt;&gt;"No show")*(Appointments!$B$5:$B$1204&gt;=TodayDate)*Appointments!$B$5:$B$1204+(1-(Appointments!$E$5:$E$1204=A294)*(Appointments!$M$5:$M$1204&lt;&gt;"Cancelled")*(Appointments!$M$5:$M$1204&lt;&gt;"Completed")*(Appointments!$M$5:$M$1204&lt;&gt;"No show")*(Appointments!$B$5:$B$1204&gt;=TodayDate))*2958465)))</f>
        <v>0</v>
      </c>
      <c r="AB294" s="17">
        <f>IF(B294="","",IF(AA294&gt;=2958465,"",AA294))</f>
        <v>0</v>
      </c>
      <c r="AC294" s="25">
        <f>IF(B294="","",IF(T294&lt;2,"",ROUND((Y294-X294)/MAX(1,T294-1),0)))</f>
        <v>0</v>
      </c>
      <c r="AD294" s="17">
        <f>IF(B294="","",IF(Y294="","",Y294+IF(AC294="",RebookWeeks*7,MAX(14,AC294))))</f>
        <v>0</v>
      </c>
      <c r="AE294" s="26">
        <f>IF(B294="","",ROUND(SUMIFS(Sales!$Y$5:$Y$1204,Sales!$D$5:$D$1204,A294),2))</f>
        <v>0</v>
      </c>
      <c r="AF294" s="26">
        <f>IF(B294="","",ROUND(SUMIFS(Sales!$Y$5:$Y$1204,Sales!$D$5:$D$1204,A294,Sales!$H$5:$H$1204,"Service"),2))</f>
        <v>0</v>
      </c>
      <c r="AG294" s="26">
        <f>IF(B294="","",ROUND(SUMIFS(Sales!$Y$5:$Y$1204,Sales!$D$5:$D$1204,A294,Sales!$H$5:$H$1204,"Retail"),2))</f>
        <v>0</v>
      </c>
      <c r="AH294" s="26">
        <f>IF(B294="","",ROUND(SUMIFS(Sales!$Y$5:$Y$1204,Sales!$D$5:$D$1204,A294,Sales!$B$5:$B$1204,"&gt;="&amp;TodayDate-365),2))</f>
        <v>0</v>
      </c>
      <c r="AI294" s="26">
        <f>IF(B294="","",IF(T294=0,"",ROUND(AE294/T294,2)))</f>
        <v>0</v>
      </c>
      <c r="AJ294" s="26">
        <f>IF(B294="","",IF(AI294="","",IF(AC294="","",ROUND(AI294*(365/MAX(14,AC294)),2))))</f>
        <v>0</v>
      </c>
      <c r="AK294" s="26">
        <f>IF(B294="","",ROUND(SUMIFS(Sales!$AH$5:$AH$1204,Sales!$D$5:$D$1204,A294),2))</f>
        <v>0</v>
      </c>
      <c r="AL294" s="25">
        <f>IF(B294="","",IFERROR(INDEX(Loyalty!$P$5:$P$504,MATCH(A294,Loyalty!$B$5:$B$504,0))*1,0))</f>
        <v>0</v>
      </c>
      <c r="AM294" s="39">
        <f>IF(B294="","",IF(R294="Archived","Archived",IF(T294=0,"Not been yet",IF(Z294&gt;=InactiveDays,"Inactive",IF(Z294&gt;=LapsingDays,"Lapsing",IF(T294=1,"New",IF(AH294&gt;=VipSpend,"VIP",IF(U294&gt;=4,"Regular","Active"))))))))</f>
        <v>0</v>
      </c>
      <c r="AN294" s="38">
        <f>IF(B294="","",IF(T294&gt;=2,"Yes","No"))</f>
        <v>0</v>
      </c>
      <c r="AO294" s="25">
        <f>IF(B294="","",COUNTIFS($AE$5:$AE$504,"&gt;"&amp;AE294)+COUNTIFS($AE$5:AE294,AE294))</f>
        <v>0</v>
      </c>
      <c r="AP294" s="25">
        <f>IF(B294="","",COUNTIFS($T$5:$T$504,"&gt;"&amp;T294)+COUNTIFS($T$5:T294,T294))</f>
        <v>0</v>
      </c>
      <c r="AQ294" s="39">
        <f>IF(B294="","",IF(COUNTIF($B$5:$B$504,B294)&gt;1,"Duplicate - same name twice",IF(R294="Archived","",IF(AK294&gt;0.004,"Chase - balance outstanding",IF(AM294="Inactive","Gone - win-back offer",IF(AM294="Lapsing","Chase - lapsing, call them",IF(IF(N294="",FALSE,TodayDate-N294&gt;PatchTestDays),"Due - patch test out of date",IF(IF(AD294="",FALSE,IF(AB294&lt;&gt;"",FALSE,AD294&lt;=TodayDate+14)),"Rebook - due and nothing booked",IF(IF(K294="",FALSE,ABS(DATE(YEAR(TodayDate),MONTH(K294),DAY(K294))-TodayDate)&lt;=7),"Birthday - send the treat","OK")))))))))</f>
        <v>0</v>
      </c>
    </row>
    <row r="295" spans="1:43">
      <c r="A295" s="28">
        <f>IF(B295="","",ClientPrefix&amp;TEXT(ROW()-4,"0000"))</f>
        <v>0</v>
      </c>
      <c r="J295" s="15">
        <f>IF(I295="","",IFERROR(INDEX(Staff!$B$5:$B$44,MATCH(I295,Staff!$A$5:$A$44,0)),"Not in Staff"))</f>
        <v>0</v>
      </c>
      <c r="T295" s="25">
        <f>IF(B295="","",COUNTIFS(Appointments!$E$5:$E$1204,A295,Appointments!$M$5:$M$1204,"Completed"))</f>
        <v>0</v>
      </c>
      <c r="U295" s="25">
        <f>IF(B295="","",COUNTIFS(Appointments!$E$5:$E$1204,A295,Appointments!$M$5:$M$1204,"Completed",Appointments!$B$5:$B$1204,"&gt;="&amp;TodayDate-365))</f>
        <v>0</v>
      </c>
      <c r="V295" s="25">
        <f>IF(B295="","",COUNTIFS(Appointments!$E$5:$E$1204,A295,Appointments!$M$5:$M$1204,"Cancelled"))</f>
        <v>0</v>
      </c>
      <c r="W295" s="25">
        <f>IF(B295="","",COUNTIFS(Appointments!$E$5:$E$1204,A295,Appointments!$M$5:$M$1204,"No show"))</f>
        <v>0</v>
      </c>
      <c r="X295" s="17">
        <f>IF(B295="","",IF(F295&lt;&gt;"",F295,IF(T295=0,"",SUMPRODUCT(MIN((Appointments!$E$5:$E$1204=A295)*(Appointments!$M$5:$M$1204="Completed")*Appointments!$B$5:$B$1204+(1-(Appointments!$E$5:$E$1204=A295)*(Appointments!$M$5:$M$1204="Completed"))*2958465)))))</f>
        <v>0</v>
      </c>
      <c r="Y295" s="17">
        <f>IF(B295="","",IF(T295=0,"",SUMPRODUCT(MAX((Appointments!$E$5:$E$1204=A295)*(Appointments!$M$5:$M$1204="Completed")*Appointments!$B$5:$B$1204))))</f>
        <v>0</v>
      </c>
      <c r="Z295" s="25">
        <f>IF(B295="","",IF(Y295="","",TodayDate-Y295))</f>
        <v>0</v>
      </c>
      <c r="AA295" s="42">
        <f>IF(B295="","",SUMPRODUCT(MIN((Appointments!$E$5:$E$1204=A295)*(Appointments!$M$5:$M$1204&lt;&gt;"Cancelled")*(Appointments!$M$5:$M$1204&lt;&gt;"Completed")*(Appointments!$M$5:$M$1204&lt;&gt;"No show")*(Appointments!$B$5:$B$1204&gt;=TodayDate)*Appointments!$B$5:$B$1204+(1-(Appointments!$E$5:$E$1204=A295)*(Appointments!$M$5:$M$1204&lt;&gt;"Cancelled")*(Appointments!$M$5:$M$1204&lt;&gt;"Completed")*(Appointments!$M$5:$M$1204&lt;&gt;"No show")*(Appointments!$B$5:$B$1204&gt;=TodayDate))*2958465)))</f>
        <v>0</v>
      </c>
      <c r="AB295" s="17">
        <f>IF(B295="","",IF(AA295&gt;=2958465,"",AA295))</f>
        <v>0</v>
      </c>
      <c r="AC295" s="25">
        <f>IF(B295="","",IF(T295&lt;2,"",ROUND((Y295-X295)/MAX(1,T295-1),0)))</f>
        <v>0</v>
      </c>
      <c r="AD295" s="17">
        <f>IF(B295="","",IF(Y295="","",Y295+IF(AC295="",RebookWeeks*7,MAX(14,AC295))))</f>
        <v>0</v>
      </c>
      <c r="AE295" s="26">
        <f>IF(B295="","",ROUND(SUMIFS(Sales!$Y$5:$Y$1204,Sales!$D$5:$D$1204,A295),2))</f>
        <v>0</v>
      </c>
      <c r="AF295" s="26">
        <f>IF(B295="","",ROUND(SUMIFS(Sales!$Y$5:$Y$1204,Sales!$D$5:$D$1204,A295,Sales!$H$5:$H$1204,"Service"),2))</f>
        <v>0</v>
      </c>
      <c r="AG295" s="26">
        <f>IF(B295="","",ROUND(SUMIFS(Sales!$Y$5:$Y$1204,Sales!$D$5:$D$1204,A295,Sales!$H$5:$H$1204,"Retail"),2))</f>
        <v>0</v>
      </c>
      <c r="AH295" s="26">
        <f>IF(B295="","",ROUND(SUMIFS(Sales!$Y$5:$Y$1204,Sales!$D$5:$D$1204,A295,Sales!$B$5:$B$1204,"&gt;="&amp;TodayDate-365),2))</f>
        <v>0</v>
      </c>
      <c r="AI295" s="26">
        <f>IF(B295="","",IF(T295=0,"",ROUND(AE295/T295,2)))</f>
        <v>0</v>
      </c>
      <c r="AJ295" s="26">
        <f>IF(B295="","",IF(AI295="","",IF(AC295="","",ROUND(AI295*(365/MAX(14,AC295)),2))))</f>
        <v>0</v>
      </c>
      <c r="AK295" s="26">
        <f>IF(B295="","",ROUND(SUMIFS(Sales!$AH$5:$AH$1204,Sales!$D$5:$D$1204,A295),2))</f>
        <v>0</v>
      </c>
      <c r="AL295" s="25">
        <f>IF(B295="","",IFERROR(INDEX(Loyalty!$P$5:$P$504,MATCH(A295,Loyalty!$B$5:$B$504,0))*1,0))</f>
        <v>0</v>
      </c>
      <c r="AM295" s="39">
        <f>IF(B295="","",IF(R295="Archived","Archived",IF(T295=0,"Not been yet",IF(Z295&gt;=InactiveDays,"Inactive",IF(Z295&gt;=LapsingDays,"Lapsing",IF(T295=1,"New",IF(AH295&gt;=VipSpend,"VIP",IF(U295&gt;=4,"Regular","Active"))))))))</f>
        <v>0</v>
      </c>
      <c r="AN295" s="38">
        <f>IF(B295="","",IF(T295&gt;=2,"Yes","No"))</f>
        <v>0</v>
      </c>
      <c r="AO295" s="25">
        <f>IF(B295="","",COUNTIFS($AE$5:$AE$504,"&gt;"&amp;AE295)+COUNTIFS($AE$5:AE295,AE295))</f>
        <v>0</v>
      </c>
      <c r="AP295" s="25">
        <f>IF(B295="","",COUNTIFS($T$5:$T$504,"&gt;"&amp;T295)+COUNTIFS($T$5:T295,T295))</f>
        <v>0</v>
      </c>
      <c r="AQ295" s="39">
        <f>IF(B295="","",IF(COUNTIF($B$5:$B$504,B295)&gt;1,"Duplicate - same name twice",IF(R295="Archived","",IF(AK295&gt;0.004,"Chase - balance outstanding",IF(AM295="Inactive","Gone - win-back offer",IF(AM295="Lapsing","Chase - lapsing, call them",IF(IF(N295="",FALSE,TodayDate-N295&gt;PatchTestDays),"Due - patch test out of date",IF(IF(AD295="",FALSE,IF(AB295&lt;&gt;"",FALSE,AD295&lt;=TodayDate+14)),"Rebook - due and nothing booked",IF(IF(K295="",FALSE,ABS(DATE(YEAR(TodayDate),MONTH(K295),DAY(K295))-TodayDate)&lt;=7),"Birthday - send the treat","OK")))))))))</f>
        <v>0</v>
      </c>
    </row>
    <row r="296" spans="1:43">
      <c r="A296" s="28">
        <f>IF(B296="","",ClientPrefix&amp;TEXT(ROW()-4,"0000"))</f>
        <v>0</v>
      </c>
      <c r="J296" s="15">
        <f>IF(I296="","",IFERROR(INDEX(Staff!$B$5:$B$44,MATCH(I296,Staff!$A$5:$A$44,0)),"Not in Staff"))</f>
        <v>0</v>
      </c>
      <c r="T296" s="25">
        <f>IF(B296="","",COUNTIFS(Appointments!$E$5:$E$1204,A296,Appointments!$M$5:$M$1204,"Completed"))</f>
        <v>0</v>
      </c>
      <c r="U296" s="25">
        <f>IF(B296="","",COUNTIFS(Appointments!$E$5:$E$1204,A296,Appointments!$M$5:$M$1204,"Completed",Appointments!$B$5:$B$1204,"&gt;="&amp;TodayDate-365))</f>
        <v>0</v>
      </c>
      <c r="V296" s="25">
        <f>IF(B296="","",COUNTIFS(Appointments!$E$5:$E$1204,A296,Appointments!$M$5:$M$1204,"Cancelled"))</f>
        <v>0</v>
      </c>
      <c r="W296" s="25">
        <f>IF(B296="","",COUNTIFS(Appointments!$E$5:$E$1204,A296,Appointments!$M$5:$M$1204,"No show"))</f>
        <v>0</v>
      </c>
      <c r="X296" s="17">
        <f>IF(B296="","",IF(F296&lt;&gt;"",F296,IF(T296=0,"",SUMPRODUCT(MIN((Appointments!$E$5:$E$1204=A296)*(Appointments!$M$5:$M$1204="Completed")*Appointments!$B$5:$B$1204+(1-(Appointments!$E$5:$E$1204=A296)*(Appointments!$M$5:$M$1204="Completed"))*2958465)))))</f>
        <v>0</v>
      </c>
      <c r="Y296" s="17">
        <f>IF(B296="","",IF(T296=0,"",SUMPRODUCT(MAX((Appointments!$E$5:$E$1204=A296)*(Appointments!$M$5:$M$1204="Completed")*Appointments!$B$5:$B$1204))))</f>
        <v>0</v>
      </c>
      <c r="Z296" s="25">
        <f>IF(B296="","",IF(Y296="","",TodayDate-Y296))</f>
        <v>0</v>
      </c>
      <c r="AA296" s="42">
        <f>IF(B296="","",SUMPRODUCT(MIN((Appointments!$E$5:$E$1204=A296)*(Appointments!$M$5:$M$1204&lt;&gt;"Cancelled")*(Appointments!$M$5:$M$1204&lt;&gt;"Completed")*(Appointments!$M$5:$M$1204&lt;&gt;"No show")*(Appointments!$B$5:$B$1204&gt;=TodayDate)*Appointments!$B$5:$B$1204+(1-(Appointments!$E$5:$E$1204=A296)*(Appointments!$M$5:$M$1204&lt;&gt;"Cancelled")*(Appointments!$M$5:$M$1204&lt;&gt;"Completed")*(Appointments!$M$5:$M$1204&lt;&gt;"No show")*(Appointments!$B$5:$B$1204&gt;=TodayDate))*2958465)))</f>
        <v>0</v>
      </c>
      <c r="AB296" s="17">
        <f>IF(B296="","",IF(AA296&gt;=2958465,"",AA296))</f>
        <v>0</v>
      </c>
      <c r="AC296" s="25">
        <f>IF(B296="","",IF(T296&lt;2,"",ROUND((Y296-X296)/MAX(1,T296-1),0)))</f>
        <v>0</v>
      </c>
      <c r="AD296" s="17">
        <f>IF(B296="","",IF(Y296="","",Y296+IF(AC296="",RebookWeeks*7,MAX(14,AC296))))</f>
        <v>0</v>
      </c>
      <c r="AE296" s="26">
        <f>IF(B296="","",ROUND(SUMIFS(Sales!$Y$5:$Y$1204,Sales!$D$5:$D$1204,A296),2))</f>
        <v>0</v>
      </c>
      <c r="AF296" s="26">
        <f>IF(B296="","",ROUND(SUMIFS(Sales!$Y$5:$Y$1204,Sales!$D$5:$D$1204,A296,Sales!$H$5:$H$1204,"Service"),2))</f>
        <v>0</v>
      </c>
      <c r="AG296" s="26">
        <f>IF(B296="","",ROUND(SUMIFS(Sales!$Y$5:$Y$1204,Sales!$D$5:$D$1204,A296,Sales!$H$5:$H$1204,"Retail"),2))</f>
        <v>0</v>
      </c>
      <c r="AH296" s="26">
        <f>IF(B296="","",ROUND(SUMIFS(Sales!$Y$5:$Y$1204,Sales!$D$5:$D$1204,A296,Sales!$B$5:$B$1204,"&gt;="&amp;TodayDate-365),2))</f>
        <v>0</v>
      </c>
      <c r="AI296" s="26">
        <f>IF(B296="","",IF(T296=0,"",ROUND(AE296/T296,2)))</f>
        <v>0</v>
      </c>
      <c r="AJ296" s="26">
        <f>IF(B296="","",IF(AI296="","",IF(AC296="","",ROUND(AI296*(365/MAX(14,AC296)),2))))</f>
        <v>0</v>
      </c>
      <c r="AK296" s="26">
        <f>IF(B296="","",ROUND(SUMIFS(Sales!$AH$5:$AH$1204,Sales!$D$5:$D$1204,A296),2))</f>
        <v>0</v>
      </c>
      <c r="AL296" s="25">
        <f>IF(B296="","",IFERROR(INDEX(Loyalty!$P$5:$P$504,MATCH(A296,Loyalty!$B$5:$B$504,0))*1,0))</f>
        <v>0</v>
      </c>
      <c r="AM296" s="39">
        <f>IF(B296="","",IF(R296="Archived","Archived",IF(T296=0,"Not been yet",IF(Z296&gt;=InactiveDays,"Inactive",IF(Z296&gt;=LapsingDays,"Lapsing",IF(T296=1,"New",IF(AH296&gt;=VipSpend,"VIP",IF(U296&gt;=4,"Regular","Active"))))))))</f>
        <v>0</v>
      </c>
      <c r="AN296" s="38">
        <f>IF(B296="","",IF(T296&gt;=2,"Yes","No"))</f>
        <v>0</v>
      </c>
      <c r="AO296" s="25">
        <f>IF(B296="","",COUNTIFS($AE$5:$AE$504,"&gt;"&amp;AE296)+COUNTIFS($AE$5:AE296,AE296))</f>
        <v>0</v>
      </c>
      <c r="AP296" s="25">
        <f>IF(B296="","",COUNTIFS($T$5:$T$504,"&gt;"&amp;T296)+COUNTIFS($T$5:T296,T296))</f>
        <v>0</v>
      </c>
      <c r="AQ296" s="39">
        <f>IF(B296="","",IF(COUNTIF($B$5:$B$504,B296)&gt;1,"Duplicate - same name twice",IF(R296="Archived","",IF(AK296&gt;0.004,"Chase - balance outstanding",IF(AM296="Inactive","Gone - win-back offer",IF(AM296="Lapsing","Chase - lapsing, call them",IF(IF(N296="",FALSE,TodayDate-N296&gt;PatchTestDays),"Due - patch test out of date",IF(IF(AD296="",FALSE,IF(AB296&lt;&gt;"",FALSE,AD296&lt;=TodayDate+14)),"Rebook - due and nothing booked",IF(IF(K296="",FALSE,ABS(DATE(YEAR(TodayDate),MONTH(K296),DAY(K296))-TodayDate)&lt;=7),"Birthday - send the treat","OK")))))))))</f>
        <v>0</v>
      </c>
    </row>
    <row r="297" spans="1:43">
      <c r="A297" s="28">
        <f>IF(B297="","",ClientPrefix&amp;TEXT(ROW()-4,"0000"))</f>
        <v>0</v>
      </c>
      <c r="J297" s="15">
        <f>IF(I297="","",IFERROR(INDEX(Staff!$B$5:$B$44,MATCH(I297,Staff!$A$5:$A$44,0)),"Not in Staff"))</f>
        <v>0</v>
      </c>
      <c r="T297" s="25">
        <f>IF(B297="","",COUNTIFS(Appointments!$E$5:$E$1204,A297,Appointments!$M$5:$M$1204,"Completed"))</f>
        <v>0</v>
      </c>
      <c r="U297" s="25">
        <f>IF(B297="","",COUNTIFS(Appointments!$E$5:$E$1204,A297,Appointments!$M$5:$M$1204,"Completed",Appointments!$B$5:$B$1204,"&gt;="&amp;TodayDate-365))</f>
        <v>0</v>
      </c>
      <c r="V297" s="25">
        <f>IF(B297="","",COUNTIFS(Appointments!$E$5:$E$1204,A297,Appointments!$M$5:$M$1204,"Cancelled"))</f>
        <v>0</v>
      </c>
      <c r="W297" s="25">
        <f>IF(B297="","",COUNTIFS(Appointments!$E$5:$E$1204,A297,Appointments!$M$5:$M$1204,"No show"))</f>
        <v>0</v>
      </c>
      <c r="X297" s="17">
        <f>IF(B297="","",IF(F297&lt;&gt;"",F297,IF(T297=0,"",SUMPRODUCT(MIN((Appointments!$E$5:$E$1204=A297)*(Appointments!$M$5:$M$1204="Completed")*Appointments!$B$5:$B$1204+(1-(Appointments!$E$5:$E$1204=A297)*(Appointments!$M$5:$M$1204="Completed"))*2958465)))))</f>
        <v>0</v>
      </c>
      <c r="Y297" s="17">
        <f>IF(B297="","",IF(T297=0,"",SUMPRODUCT(MAX((Appointments!$E$5:$E$1204=A297)*(Appointments!$M$5:$M$1204="Completed")*Appointments!$B$5:$B$1204))))</f>
        <v>0</v>
      </c>
      <c r="Z297" s="25">
        <f>IF(B297="","",IF(Y297="","",TodayDate-Y297))</f>
        <v>0</v>
      </c>
      <c r="AA297" s="42">
        <f>IF(B297="","",SUMPRODUCT(MIN((Appointments!$E$5:$E$1204=A297)*(Appointments!$M$5:$M$1204&lt;&gt;"Cancelled")*(Appointments!$M$5:$M$1204&lt;&gt;"Completed")*(Appointments!$M$5:$M$1204&lt;&gt;"No show")*(Appointments!$B$5:$B$1204&gt;=TodayDate)*Appointments!$B$5:$B$1204+(1-(Appointments!$E$5:$E$1204=A297)*(Appointments!$M$5:$M$1204&lt;&gt;"Cancelled")*(Appointments!$M$5:$M$1204&lt;&gt;"Completed")*(Appointments!$M$5:$M$1204&lt;&gt;"No show")*(Appointments!$B$5:$B$1204&gt;=TodayDate))*2958465)))</f>
        <v>0</v>
      </c>
      <c r="AB297" s="17">
        <f>IF(B297="","",IF(AA297&gt;=2958465,"",AA297))</f>
        <v>0</v>
      </c>
      <c r="AC297" s="25">
        <f>IF(B297="","",IF(T297&lt;2,"",ROUND((Y297-X297)/MAX(1,T297-1),0)))</f>
        <v>0</v>
      </c>
      <c r="AD297" s="17">
        <f>IF(B297="","",IF(Y297="","",Y297+IF(AC297="",RebookWeeks*7,MAX(14,AC297))))</f>
        <v>0</v>
      </c>
      <c r="AE297" s="26">
        <f>IF(B297="","",ROUND(SUMIFS(Sales!$Y$5:$Y$1204,Sales!$D$5:$D$1204,A297),2))</f>
        <v>0</v>
      </c>
      <c r="AF297" s="26">
        <f>IF(B297="","",ROUND(SUMIFS(Sales!$Y$5:$Y$1204,Sales!$D$5:$D$1204,A297,Sales!$H$5:$H$1204,"Service"),2))</f>
        <v>0</v>
      </c>
      <c r="AG297" s="26">
        <f>IF(B297="","",ROUND(SUMIFS(Sales!$Y$5:$Y$1204,Sales!$D$5:$D$1204,A297,Sales!$H$5:$H$1204,"Retail"),2))</f>
        <v>0</v>
      </c>
      <c r="AH297" s="26">
        <f>IF(B297="","",ROUND(SUMIFS(Sales!$Y$5:$Y$1204,Sales!$D$5:$D$1204,A297,Sales!$B$5:$B$1204,"&gt;="&amp;TodayDate-365),2))</f>
        <v>0</v>
      </c>
      <c r="AI297" s="26">
        <f>IF(B297="","",IF(T297=0,"",ROUND(AE297/T297,2)))</f>
        <v>0</v>
      </c>
      <c r="AJ297" s="26">
        <f>IF(B297="","",IF(AI297="","",IF(AC297="","",ROUND(AI297*(365/MAX(14,AC297)),2))))</f>
        <v>0</v>
      </c>
      <c r="AK297" s="26">
        <f>IF(B297="","",ROUND(SUMIFS(Sales!$AH$5:$AH$1204,Sales!$D$5:$D$1204,A297),2))</f>
        <v>0</v>
      </c>
      <c r="AL297" s="25">
        <f>IF(B297="","",IFERROR(INDEX(Loyalty!$P$5:$P$504,MATCH(A297,Loyalty!$B$5:$B$504,0))*1,0))</f>
        <v>0</v>
      </c>
      <c r="AM297" s="39">
        <f>IF(B297="","",IF(R297="Archived","Archived",IF(T297=0,"Not been yet",IF(Z297&gt;=InactiveDays,"Inactive",IF(Z297&gt;=LapsingDays,"Lapsing",IF(T297=1,"New",IF(AH297&gt;=VipSpend,"VIP",IF(U297&gt;=4,"Regular","Active"))))))))</f>
        <v>0</v>
      </c>
      <c r="AN297" s="38">
        <f>IF(B297="","",IF(T297&gt;=2,"Yes","No"))</f>
        <v>0</v>
      </c>
      <c r="AO297" s="25">
        <f>IF(B297="","",COUNTIFS($AE$5:$AE$504,"&gt;"&amp;AE297)+COUNTIFS($AE$5:AE297,AE297))</f>
        <v>0</v>
      </c>
      <c r="AP297" s="25">
        <f>IF(B297="","",COUNTIFS($T$5:$T$504,"&gt;"&amp;T297)+COUNTIFS($T$5:T297,T297))</f>
        <v>0</v>
      </c>
      <c r="AQ297" s="39">
        <f>IF(B297="","",IF(COUNTIF($B$5:$B$504,B297)&gt;1,"Duplicate - same name twice",IF(R297="Archived","",IF(AK297&gt;0.004,"Chase - balance outstanding",IF(AM297="Inactive","Gone - win-back offer",IF(AM297="Lapsing","Chase - lapsing, call them",IF(IF(N297="",FALSE,TodayDate-N297&gt;PatchTestDays),"Due - patch test out of date",IF(IF(AD297="",FALSE,IF(AB297&lt;&gt;"",FALSE,AD297&lt;=TodayDate+14)),"Rebook - due and nothing booked",IF(IF(K297="",FALSE,ABS(DATE(YEAR(TodayDate),MONTH(K297),DAY(K297))-TodayDate)&lt;=7),"Birthday - send the treat","OK")))))))))</f>
        <v>0</v>
      </c>
    </row>
    <row r="298" spans="1:43">
      <c r="A298" s="28">
        <f>IF(B298="","",ClientPrefix&amp;TEXT(ROW()-4,"0000"))</f>
        <v>0</v>
      </c>
      <c r="J298" s="15">
        <f>IF(I298="","",IFERROR(INDEX(Staff!$B$5:$B$44,MATCH(I298,Staff!$A$5:$A$44,0)),"Not in Staff"))</f>
        <v>0</v>
      </c>
      <c r="T298" s="25">
        <f>IF(B298="","",COUNTIFS(Appointments!$E$5:$E$1204,A298,Appointments!$M$5:$M$1204,"Completed"))</f>
        <v>0</v>
      </c>
      <c r="U298" s="25">
        <f>IF(B298="","",COUNTIFS(Appointments!$E$5:$E$1204,A298,Appointments!$M$5:$M$1204,"Completed",Appointments!$B$5:$B$1204,"&gt;="&amp;TodayDate-365))</f>
        <v>0</v>
      </c>
      <c r="V298" s="25">
        <f>IF(B298="","",COUNTIFS(Appointments!$E$5:$E$1204,A298,Appointments!$M$5:$M$1204,"Cancelled"))</f>
        <v>0</v>
      </c>
      <c r="W298" s="25">
        <f>IF(B298="","",COUNTIFS(Appointments!$E$5:$E$1204,A298,Appointments!$M$5:$M$1204,"No show"))</f>
        <v>0</v>
      </c>
      <c r="X298" s="17">
        <f>IF(B298="","",IF(F298&lt;&gt;"",F298,IF(T298=0,"",SUMPRODUCT(MIN((Appointments!$E$5:$E$1204=A298)*(Appointments!$M$5:$M$1204="Completed")*Appointments!$B$5:$B$1204+(1-(Appointments!$E$5:$E$1204=A298)*(Appointments!$M$5:$M$1204="Completed"))*2958465)))))</f>
        <v>0</v>
      </c>
      <c r="Y298" s="17">
        <f>IF(B298="","",IF(T298=0,"",SUMPRODUCT(MAX((Appointments!$E$5:$E$1204=A298)*(Appointments!$M$5:$M$1204="Completed")*Appointments!$B$5:$B$1204))))</f>
        <v>0</v>
      </c>
      <c r="Z298" s="25">
        <f>IF(B298="","",IF(Y298="","",TodayDate-Y298))</f>
        <v>0</v>
      </c>
      <c r="AA298" s="42">
        <f>IF(B298="","",SUMPRODUCT(MIN((Appointments!$E$5:$E$1204=A298)*(Appointments!$M$5:$M$1204&lt;&gt;"Cancelled")*(Appointments!$M$5:$M$1204&lt;&gt;"Completed")*(Appointments!$M$5:$M$1204&lt;&gt;"No show")*(Appointments!$B$5:$B$1204&gt;=TodayDate)*Appointments!$B$5:$B$1204+(1-(Appointments!$E$5:$E$1204=A298)*(Appointments!$M$5:$M$1204&lt;&gt;"Cancelled")*(Appointments!$M$5:$M$1204&lt;&gt;"Completed")*(Appointments!$M$5:$M$1204&lt;&gt;"No show")*(Appointments!$B$5:$B$1204&gt;=TodayDate))*2958465)))</f>
        <v>0</v>
      </c>
      <c r="AB298" s="17">
        <f>IF(B298="","",IF(AA298&gt;=2958465,"",AA298))</f>
        <v>0</v>
      </c>
      <c r="AC298" s="25">
        <f>IF(B298="","",IF(T298&lt;2,"",ROUND((Y298-X298)/MAX(1,T298-1),0)))</f>
        <v>0</v>
      </c>
      <c r="AD298" s="17">
        <f>IF(B298="","",IF(Y298="","",Y298+IF(AC298="",RebookWeeks*7,MAX(14,AC298))))</f>
        <v>0</v>
      </c>
      <c r="AE298" s="26">
        <f>IF(B298="","",ROUND(SUMIFS(Sales!$Y$5:$Y$1204,Sales!$D$5:$D$1204,A298),2))</f>
        <v>0</v>
      </c>
      <c r="AF298" s="26">
        <f>IF(B298="","",ROUND(SUMIFS(Sales!$Y$5:$Y$1204,Sales!$D$5:$D$1204,A298,Sales!$H$5:$H$1204,"Service"),2))</f>
        <v>0</v>
      </c>
      <c r="AG298" s="26">
        <f>IF(B298="","",ROUND(SUMIFS(Sales!$Y$5:$Y$1204,Sales!$D$5:$D$1204,A298,Sales!$H$5:$H$1204,"Retail"),2))</f>
        <v>0</v>
      </c>
      <c r="AH298" s="26">
        <f>IF(B298="","",ROUND(SUMIFS(Sales!$Y$5:$Y$1204,Sales!$D$5:$D$1204,A298,Sales!$B$5:$B$1204,"&gt;="&amp;TodayDate-365),2))</f>
        <v>0</v>
      </c>
      <c r="AI298" s="26">
        <f>IF(B298="","",IF(T298=0,"",ROUND(AE298/T298,2)))</f>
        <v>0</v>
      </c>
      <c r="AJ298" s="26">
        <f>IF(B298="","",IF(AI298="","",IF(AC298="","",ROUND(AI298*(365/MAX(14,AC298)),2))))</f>
        <v>0</v>
      </c>
      <c r="AK298" s="26">
        <f>IF(B298="","",ROUND(SUMIFS(Sales!$AH$5:$AH$1204,Sales!$D$5:$D$1204,A298),2))</f>
        <v>0</v>
      </c>
      <c r="AL298" s="25">
        <f>IF(B298="","",IFERROR(INDEX(Loyalty!$P$5:$P$504,MATCH(A298,Loyalty!$B$5:$B$504,0))*1,0))</f>
        <v>0</v>
      </c>
      <c r="AM298" s="39">
        <f>IF(B298="","",IF(R298="Archived","Archived",IF(T298=0,"Not been yet",IF(Z298&gt;=InactiveDays,"Inactive",IF(Z298&gt;=LapsingDays,"Lapsing",IF(T298=1,"New",IF(AH298&gt;=VipSpend,"VIP",IF(U298&gt;=4,"Regular","Active"))))))))</f>
        <v>0</v>
      </c>
      <c r="AN298" s="38">
        <f>IF(B298="","",IF(T298&gt;=2,"Yes","No"))</f>
        <v>0</v>
      </c>
      <c r="AO298" s="25">
        <f>IF(B298="","",COUNTIFS($AE$5:$AE$504,"&gt;"&amp;AE298)+COUNTIFS($AE$5:AE298,AE298))</f>
        <v>0</v>
      </c>
      <c r="AP298" s="25">
        <f>IF(B298="","",COUNTIFS($T$5:$T$504,"&gt;"&amp;T298)+COUNTIFS($T$5:T298,T298))</f>
        <v>0</v>
      </c>
      <c r="AQ298" s="39">
        <f>IF(B298="","",IF(COUNTIF($B$5:$B$504,B298)&gt;1,"Duplicate - same name twice",IF(R298="Archived","",IF(AK298&gt;0.004,"Chase - balance outstanding",IF(AM298="Inactive","Gone - win-back offer",IF(AM298="Lapsing","Chase - lapsing, call them",IF(IF(N298="",FALSE,TodayDate-N298&gt;PatchTestDays),"Due - patch test out of date",IF(IF(AD298="",FALSE,IF(AB298&lt;&gt;"",FALSE,AD298&lt;=TodayDate+14)),"Rebook - due and nothing booked",IF(IF(K298="",FALSE,ABS(DATE(YEAR(TodayDate),MONTH(K298),DAY(K298))-TodayDate)&lt;=7),"Birthday - send the treat","OK")))))))))</f>
        <v>0</v>
      </c>
    </row>
    <row r="299" spans="1:43">
      <c r="A299" s="28">
        <f>IF(B299="","",ClientPrefix&amp;TEXT(ROW()-4,"0000"))</f>
        <v>0</v>
      </c>
      <c r="J299" s="15">
        <f>IF(I299="","",IFERROR(INDEX(Staff!$B$5:$B$44,MATCH(I299,Staff!$A$5:$A$44,0)),"Not in Staff"))</f>
        <v>0</v>
      </c>
      <c r="T299" s="25">
        <f>IF(B299="","",COUNTIFS(Appointments!$E$5:$E$1204,A299,Appointments!$M$5:$M$1204,"Completed"))</f>
        <v>0</v>
      </c>
      <c r="U299" s="25">
        <f>IF(B299="","",COUNTIFS(Appointments!$E$5:$E$1204,A299,Appointments!$M$5:$M$1204,"Completed",Appointments!$B$5:$B$1204,"&gt;="&amp;TodayDate-365))</f>
        <v>0</v>
      </c>
      <c r="V299" s="25">
        <f>IF(B299="","",COUNTIFS(Appointments!$E$5:$E$1204,A299,Appointments!$M$5:$M$1204,"Cancelled"))</f>
        <v>0</v>
      </c>
      <c r="W299" s="25">
        <f>IF(B299="","",COUNTIFS(Appointments!$E$5:$E$1204,A299,Appointments!$M$5:$M$1204,"No show"))</f>
        <v>0</v>
      </c>
      <c r="X299" s="17">
        <f>IF(B299="","",IF(F299&lt;&gt;"",F299,IF(T299=0,"",SUMPRODUCT(MIN((Appointments!$E$5:$E$1204=A299)*(Appointments!$M$5:$M$1204="Completed")*Appointments!$B$5:$B$1204+(1-(Appointments!$E$5:$E$1204=A299)*(Appointments!$M$5:$M$1204="Completed"))*2958465)))))</f>
        <v>0</v>
      </c>
      <c r="Y299" s="17">
        <f>IF(B299="","",IF(T299=0,"",SUMPRODUCT(MAX((Appointments!$E$5:$E$1204=A299)*(Appointments!$M$5:$M$1204="Completed")*Appointments!$B$5:$B$1204))))</f>
        <v>0</v>
      </c>
      <c r="Z299" s="25">
        <f>IF(B299="","",IF(Y299="","",TodayDate-Y299))</f>
        <v>0</v>
      </c>
      <c r="AA299" s="42">
        <f>IF(B299="","",SUMPRODUCT(MIN((Appointments!$E$5:$E$1204=A299)*(Appointments!$M$5:$M$1204&lt;&gt;"Cancelled")*(Appointments!$M$5:$M$1204&lt;&gt;"Completed")*(Appointments!$M$5:$M$1204&lt;&gt;"No show")*(Appointments!$B$5:$B$1204&gt;=TodayDate)*Appointments!$B$5:$B$1204+(1-(Appointments!$E$5:$E$1204=A299)*(Appointments!$M$5:$M$1204&lt;&gt;"Cancelled")*(Appointments!$M$5:$M$1204&lt;&gt;"Completed")*(Appointments!$M$5:$M$1204&lt;&gt;"No show")*(Appointments!$B$5:$B$1204&gt;=TodayDate))*2958465)))</f>
        <v>0</v>
      </c>
      <c r="AB299" s="17">
        <f>IF(B299="","",IF(AA299&gt;=2958465,"",AA299))</f>
        <v>0</v>
      </c>
      <c r="AC299" s="25">
        <f>IF(B299="","",IF(T299&lt;2,"",ROUND((Y299-X299)/MAX(1,T299-1),0)))</f>
        <v>0</v>
      </c>
      <c r="AD299" s="17">
        <f>IF(B299="","",IF(Y299="","",Y299+IF(AC299="",RebookWeeks*7,MAX(14,AC299))))</f>
        <v>0</v>
      </c>
      <c r="AE299" s="26">
        <f>IF(B299="","",ROUND(SUMIFS(Sales!$Y$5:$Y$1204,Sales!$D$5:$D$1204,A299),2))</f>
        <v>0</v>
      </c>
      <c r="AF299" s="26">
        <f>IF(B299="","",ROUND(SUMIFS(Sales!$Y$5:$Y$1204,Sales!$D$5:$D$1204,A299,Sales!$H$5:$H$1204,"Service"),2))</f>
        <v>0</v>
      </c>
      <c r="AG299" s="26">
        <f>IF(B299="","",ROUND(SUMIFS(Sales!$Y$5:$Y$1204,Sales!$D$5:$D$1204,A299,Sales!$H$5:$H$1204,"Retail"),2))</f>
        <v>0</v>
      </c>
      <c r="AH299" s="26">
        <f>IF(B299="","",ROUND(SUMIFS(Sales!$Y$5:$Y$1204,Sales!$D$5:$D$1204,A299,Sales!$B$5:$B$1204,"&gt;="&amp;TodayDate-365),2))</f>
        <v>0</v>
      </c>
      <c r="AI299" s="26">
        <f>IF(B299="","",IF(T299=0,"",ROUND(AE299/T299,2)))</f>
        <v>0</v>
      </c>
      <c r="AJ299" s="26">
        <f>IF(B299="","",IF(AI299="","",IF(AC299="","",ROUND(AI299*(365/MAX(14,AC299)),2))))</f>
        <v>0</v>
      </c>
      <c r="AK299" s="26">
        <f>IF(B299="","",ROUND(SUMIFS(Sales!$AH$5:$AH$1204,Sales!$D$5:$D$1204,A299),2))</f>
        <v>0</v>
      </c>
      <c r="AL299" s="25">
        <f>IF(B299="","",IFERROR(INDEX(Loyalty!$P$5:$P$504,MATCH(A299,Loyalty!$B$5:$B$504,0))*1,0))</f>
        <v>0</v>
      </c>
      <c r="AM299" s="39">
        <f>IF(B299="","",IF(R299="Archived","Archived",IF(T299=0,"Not been yet",IF(Z299&gt;=InactiveDays,"Inactive",IF(Z299&gt;=LapsingDays,"Lapsing",IF(T299=1,"New",IF(AH299&gt;=VipSpend,"VIP",IF(U299&gt;=4,"Regular","Active"))))))))</f>
        <v>0</v>
      </c>
      <c r="AN299" s="38">
        <f>IF(B299="","",IF(T299&gt;=2,"Yes","No"))</f>
        <v>0</v>
      </c>
      <c r="AO299" s="25">
        <f>IF(B299="","",COUNTIFS($AE$5:$AE$504,"&gt;"&amp;AE299)+COUNTIFS($AE$5:AE299,AE299))</f>
        <v>0</v>
      </c>
      <c r="AP299" s="25">
        <f>IF(B299="","",COUNTIFS($T$5:$T$504,"&gt;"&amp;T299)+COUNTIFS($T$5:T299,T299))</f>
        <v>0</v>
      </c>
      <c r="AQ299" s="39">
        <f>IF(B299="","",IF(COUNTIF($B$5:$B$504,B299)&gt;1,"Duplicate - same name twice",IF(R299="Archived","",IF(AK299&gt;0.004,"Chase - balance outstanding",IF(AM299="Inactive","Gone - win-back offer",IF(AM299="Lapsing","Chase - lapsing, call them",IF(IF(N299="",FALSE,TodayDate-N299&gt;PatchTestDays),"Due - patch test out of date",IF(IF(AD299="",FALSE,IF(AB299&lt;&gt;"",FALSE,AD299&lt;=TodayDate+14)),"Rebook - due and nothing booked",IF(IF(K299="",FALSE,ABS(DATE(YEAR(TodayDate),MONTH(K299),DAY(K299))-TodayDate)&lt;=7),"Birthday - send the treat","OK")))))))))</f>
        <v>0</v>
      </c>
    </row>
    <row r="300" spans="1:43">
      <c r="A300" s="28">
        <f>IF(B300="","",ClientPrefix&amp;TEXT(ROW()-4,"0000"))</f>
        <v>0</v>
      </c>
      <c r="J300" s="15">
        <f>IF(I300="","",IFERROR(INDEX(Staff!$B$5:$B$44,MATCH(I300,Staff!$A$5:$A$44,0)),"Not in Staff"))</f>
        <v>0</v>
      </c>
      <c r="T300" s="25">
        <f>IF(B300="","",COUNTIFS(Appointments!$E$5:$E$1204,A300,Appointments!$M$5:$M$1204,"Completed"))</f>
        <v>0</v>
      </c>
      <c r="U300" s="25">
        <f>IF(B300="","",COUNTIFS(Appointments!$E$5:$E$1204,A300,Appointments!$M$5:$M$1204,"Completed",Appointments!$B$5:$B$1204,"&gt;="&amp;TodayDate-365))</f>
        <v>0</v>
      </c>
      <c r="V300" s="25">
        <f>IF(B300="","",COUNTIFS(Appointments!$E$5:$E$1204,A300,Appointments!$M$5:$M$1204,"Cancelled"))</f>
        <v>0</v>
      </c>
      <c r="W300" s="25">
        <f>IF(B300="","",COUNTIFS(Appointments!$E$5:$E$1204,A300,Appointments!$M$5:$M$1204,"No show"))</f>
        <v>0</v>
      </c>
      <c r="X300" s="17">
        <f>IF(B300="","",IF(F300&lt;&gt;"",F300,IF(T300=0,"",SUMPRODUCT(MIN((Appointments!$E$5:$E$1204=A300)*(Appointments!$M$5:$M$1204="Completed")*Appointments!$B$5:$B$1204+(1-(Appointments!$E$5:$E$1204=A300)*(Appointments!$M$5:$M$1204="Completed"))*2958465)))))</f>
        <v>0</v>
      </c>
      <c r="Y300" s="17">
        <f>IF(B300="","",IF(T300=0,"",SUMPRODUCT(MAX((Appointments!$E$5:$E$1204=A300)*(Appointments!$M$5:$M$1204="Completed")*Appointments!$B$5:$B$1204))))</f>
        <v>0</v>
      </c>
      <c r="Z300" s="25">
        <f>IF(B300="","",IF(Y300="","",TodayDate-Y300))</f>
        <v>0</v>
      </c>
      <c r="AA300" s="42">
        <f>IF(B300="","",SUMPRODUCT(MIN((Appointments!$E$5:$E$1204=A300)*(Appointments!$M$5:$M$1204&lt;&gt;"Cancelled")*(Appointments!$M$5:$M$1204&lt;&gt;"Completed")*(Appointments!$M$5:$M$1204&lt;&gt;"No show")*(Appointments!$B$5:$B$1204&gt;=TodayDate)*Appointments!$B$5:$B$1204+(1-(Appointments!$E$5:$E$1204=A300)*(Appointments!$M$5:$M$1204&lt;&gt;"Cancelled")*(Appointments!$M$5:$M$1204&lt;&gt;"Completed")*(Appointments!$M$5:$M$1204&lt;&gt;"No show")*(Appointments!$B$5:$B$1204&gt;=TodayDate))*2958465)))</f>
        <v>0</v>
      </c>
      <c r="AB300" s="17">
        <f>IF(B300="","",IF(AA300&gt;=2958465,"",AA300))</f>
        <v>0</v>
      </c>
      <c r="AC300" s="25">
        <f>IF(B300="","",IF(T300&lt;2,"",ROUND((Y300-X300)/MAX(1,T300-1),0)))</f>
        <v>0</v>
      </c>
      <c r="AD300" s="17">
        <f>IF(B300="","",IF(Y300="","",Y300+IF(AC300="",RebookWeeks*7,MAX(14,AC300))))</f>
        <v>0</v>
      </c>
      <c r="AE300" s="26">
        <f>IF(B300="","",ROUND(SUMIFS(Sales!$Y$5:$Y$1204,Sales!$D$5:$D$1204,A300),2))</f>
        <v>0</v>
      </c>
      <c r="AF300" s="26">
        <f>IF(B300="","",ROUND(SUMIFS(Sales!$Y$5:$Y$1204,Sales!$D$5:$D$1204,A300,Sales!$H$5:$H$1204,"Service"),2))</f>
        <v>0</v>
      </c>
      <c r="AG300" s="26">
        <f>IF(B300="","",ROUND(SUMIFS(Sales!$Y$5:$Y$1204,Sales!$D$5:$D$1204,A300,Sales!$H$5:$H$1204,"Retail"),2))</f>
        <v>0</v>
      </c>
      <c r="AH300" s="26">
        <f>IF(B300="","",ROUND(SUMIFS(Sales!$Y$5:$Y$1204,Sales!$D$5:$D$1204,A300,Sales!$B$5:$B$1204,"&gt;="&amp;TodayDate-365),2))</f>
        <v>0</v>
      </c>
      <c r="AI300" s="26">
        <f>IF(B300="","",IF(T300=0,"",ROUND(AE300/T300,2)))</f>
        <v>0</v>
      </c>
      <c r="AJ300" s="26">
        <f>IF(B300="","",IF(AI300="","",IF(AC300="","",ROUND(AI300*(365/MAX(14,AC300)),2))))</f>
        <v>0</v>
      </c>
      <c r="AK300" s="26">
        <f>IF(B300="","",ROUND(SUMIFS(Sales!$AH$5:$AH$1204,Sales!$D$5:$D$1204,A300),2))</f>
        <v>0</v>
      </c>
      <c r="AL300" s="25">
        <f>IF(B300="","",IFERROR(INDEX(Loyalty!$P$5:$P$504,MATCH(A300,Loyalty!$B$5:$B$504,0))*1,0))</f>
        <v>0</v>
      </c>
      <c r="AM300" s="39">
        <f>IF(B300="","",IF(R300="Archived","Archived",IF(T300=0,"Not been yet",IF(Z300&gt;=InactiveDays,"Inactive",IF(Z300&gt;=LapsingDays,"Lapsing",IF(T300=1,"New",IF(AH300&gt;=VipSpend,"VIP",IF(U300&gt;=4,"Regular","Active"))))))))</f>
        <v>0</v>
      </c>
      <c r="AN300" s="38">
        <f>IF(B300="","",IF(T300&gt;=2,"Yes","No"))</f>
        <v>0</v>
      </c>
      <c r="AO300" s="25">
        <f>IF(B300="","",COUNTIFS($AE$5:$AE$504,"&gt;"&amp;AE300)+COUNTIFS($AE$5:AE300,AE300))</f>
        <v>0</v>
      </c>
      <c r="AP300" s="25">
        <f>IF(B300="","",COUNTIFS($T$5:$T$504,"&gt;"&amp;T300)+COUNTIFS($T$5:T300,T300))</f>
        <v>0</v>
      </c>
      <c r="AQ300" s="39">
        <f>IF(B300="","",IF(COUNTIF($B$5:$B$504,B300)&gt;1,"Duplicate - same name twice",IF(R300="Archived","",IF(AK300&gt;0.004,"Chase - balance outstanding",IF(AM300="Inactive","Gone - win-back offer",IF(AM300="Lapsing","Chase - lapsing, call them",IF(IF(N300="",FALSE,TodayDate-N300&gt;PatchTestDays),"Due - patch test out of date",IF(IF(AD300="",FALSE,IF(AB300&lt;&gt;"",FALSE,AD300&lt;=TodayDate+14)),"Rebook - due and nothing booked",IF(IF(K300="",FALSE,ABS(DATE(YEAR(TodayDate),MONTH(K300),DAY(K300))-TodayDate)&lt;=7),"Birthday - send the treat","OK")))))))))</f>
        <v>0</v>
      </c>
    </row>
    <row r="301" spans="1:43">
      <c r="A301" s="28">
        <f>IF(B301="","",ClientPrefix&amp;TEXT(ROW()-4,"0000"))</f>
        <v>0</v>
      </c>
      <c r="J301" s="15">
        <f>IF(I301="","",IFERROR(INDEX(Staff!$B$5:$B$44,MATCH(I301,Staff!$A$5:$A$44,0)),"Not in Staff"))</f>
        <v>0</v>
      </c>
      <c r="T301" s="25">
        <f>IF(B301="","",COUNTIFS(Appointments!$E$5:$E$1204,A301,Appointments!$M$5:$M$1204,"Completed"))</f>
        <v>0</v>
      </c>
      <c r="U301" s="25">
        <f>IF(B301="","",COUNTIFS(Appointments!$E$5:$E$1204,A301,Appointments!$M$5:$M$1204,"Completed",Appointments!$B$5:$B$1204,"&gt;="&amp;TodayDate-365))</f>
        <v>0</v>
      </c>
      <c r="V301" s="25">
        <f>IF(B301="","",COUNTIFS(Appointments!$E$5:$E$1204,A301,Appointments!$M$5:$M$1204,"Cancelled"))</f>
        <v>0</v>
      </c>
      <c r="W301" s="25">
        <f>IF(B301="","",COUNTIFS(Appointments!$E$5:$E$1204,A301,Appointments!$M$5:$M$1204,"No show"))</f>
        <v>0</v>
      </c>
      <c r="X301" s="17">
        <f>IF(B301="","",IF(F301&lt;&gt;"",F301,IF(T301=0,"",SUMPRODUCT(MIN((Appointments!$E$5:$E$1204=A301)*(Appointments!$M$5:$M$1204="Completed")*Appointments!$B$5:$B$1204+(1-(Appointments!$E$5:$E$1204=A301)*(Appointments!$M$5:$M$1204="Completed"))*2958465)))))</f>
        <v>0</v>
      </c>
      <c r="Y301" s="17">
        <f>IF(B301="","",IF(T301=0,"",SUMPRODUCT(MAX((Appointments!$E$5:$E$1204=A301)*(Appointments!$M$5:$M$1204="Completed")*Appointments!$B$5:$B$1204))))</f>
        <v>0</v>
      </c>
      <c r="Z301" s="25">
        <f>IF(B301="","",IF(Y301="","",TodayDate-Y301))</f>
        <v>0</v>
      </c>
      <c r="AA301" s="42">
        <f>IF(B301="","",SUMPRODUCT(MIN((Appointments!$E$5:$E$1204=A301)*(Appointments!$M$5:$M$1204&lt;&gt;"Cancelled")*(Appointments!$M$5:$M$1204&lt;&gt;"Completed")*(Appointments!$M$5:$M$1204&lt;&gt;"No show")*(Appointments!$B$5:$B$1204&gt;=TodayDate)*Appointments!$B$5:$B$1204+(1-(Appointments!$E$5:$E$1204=A301)*(Appointments!$M$5:$M$1204&lt;&gt;"Cancelled")*(Appointments!$M$5:$M$1204&lt;&gt;"Completed")*(Appointments!$M$5:$M$1204&lt;&gt;"No show")*(Appointments!$B$5:$B$1204&gt;=TodayDate))*2958465)))</f>
        <v>0</v>
      </c>
      <c r="AB301" s="17">
        <f>IF(B301="","",IF(AA301&gt;=2958465,"",AA301))</f>
        <v>0</v>
      </c>
      <c r="AC301" s="25">
        <f>IF(B301="","",IF(T301&lt;2,"",ROUND((Y301-X301)/MAX(1,T301-1),0)))</f>
        <v>0</v>
      </c>
      <c r="AD301" s="17">
        <f>IF(B301="","",IF(Y301="","",Y301+IF(AC301="",RebookWeeks*7,MAX(14,AC301))))</f>
        <v>0</v>
      </c>
      <c r="AE301" s="26">
        <f>IF(B301="","",ROUND(SUMIFS(Sales!$Y$5:$Y$1204,Sales!$D$5:$D$1204,A301),2))</f>
        <v>0</v>
      </c>
      <c r="AF301" s="26">
        <f>IF(B301="","",ROUND(SUMIFS(Sales!$Y$5:$Y$1204,Sales!$D$5:$D$1204,A301,Sales!$H$5:$H$1204,"Service"),2))</f>
        <v>0</v>
      </c>
      <c r="AG301" s="26">
        <f>IF(B301="","",ROUND(SUMIFS(Sales!$Y$5:$Y$1204,Sales!$D$5:$D$1204,A301,Sales!$H$5:$H$1204,"Retail"),2))</f>
        <v>0</v>
      </c>
      <c r="AH301" s="26">
        <f>IF(B301="","",ROUND(SUMIFS(Sales!$Y$5:$Y$1204,Sales!$D$5:$D$1204,A301,Sales!$B$5:$B$1204,"&gt;="&amp;TodayDate-365),2))</f>
        <v>0</v>
      </c>
      <c r="AI301" s="26">
        <f>IF(B301="","",IF(T301=0,"",ROUND(AE301/T301,2)))</f>
        <v>0</v>
      </c>
      <c r="AJ301" s="26">
        <f>IF(B301="","",IF(AI301="","",IF(AC301="","",ROUND(AI301*(365/MAX(14,AC301)),2))))</f>
        <v>0</v>
      </c>
      <c r="AK301" s="26">
        <f>IF(B301="","",ROUND(SUMIFS(Sales!$AH$5:$AH$1204,Sales!$D$5:$D$1204,A301),2))</f>
        <v>0</v>
      </c>
      <c r="AL301" s="25">
        <f>IF(B301="","",IFERROR(INDEX(Loyalty!$P$5:$P$504,MATCH(A301,Loyalty!$B$5:$B$504,0))*1,0))</f>
        <v>0</v>
      </c>
      <c r="AM301" s="39">
        <f>IF(B301="","",IF(R301="Archived","Archived",IF(T301=0,"Not been yet",IF(Z301&gt;=InactiveDays,"Inactive",IF(Z301&gt;=LapsingDays,"Lapsing",IF(T301=1,"New",IF(AH301&gt;=VipSpend,"VIP",IF(U301&gt;=4,"Regular","Active"))))))))</f>
        <v>0</v>
      </c>
      <c r="AN301" s="38">
        <f>IF(B301="","",IF(T301&gt;=2,"Yes","No"))</f>
        <v>0</v>
      </c>
      <c r="AO301" s="25">
        <f>IF(B301="","",COUNTIFS($AE$5:$AE$504,"&gt;"&amp;AE301)+COUNTIFS($AE$5:AE301,AE301))</f>
        <v>0</v>
      </c>
      <c r="AP301" s="25">
        <f>IF(B301="","",COUNTIFS($T$5:$T$504,"&gt;"&amp;T301)+COUNTIFS($T$5:T301,T301))</f>
        <v>0</v>
      </c>
      <c r="AQ301" s="39">
        <f>IF(B301="","",IF(COUNTIF($B$5:$B$504,B301)&gt;1,"Duplicate - same name twice",IF(R301="Archived","",IF(AK301&gt;0.004,"Chase - balance outstanding",IF(AM301="Inactive","Gone - win-back offer",IF(AM301="Lapsing","Chase - lapsing, call them",IF(IF(N301="",FALSE,TodayDate-N301&gt;PatchTestDays),"Due - patch test out of date",IF(IF(AD301="",FALSE,IF(AB301&lt;&gt;"",FALSE,AD301&lt;=TodayDate+14)),"Rebook - due and nothing booked",IF(IF(K301="",FALSE,ABS(DATE(YEAR(TodayDate),MONTH(K301),DAY(K301))-TodayDate)&lt;=7),"Birthday - send the treat","OK")))))))))</f>
        <v>0</v>
      </c>
    </row>
    <row r="302" spans="1:43">
      <c r="A302" s="28">
        <f>IF(B302="","",ClientPrefix&amp;TEXT(ROW()-4,"0000"))</f>
        <v>0</v>
      </c>
      <c r="J302" s="15">
        <f>IF(I302="","",IFERROR(INDEX(Staff!$B$5:$B$44,MATCH(I302,Staff!$A$5:$A$44,0)),"Not in Staff"))</f>
        <v>0</v>
      </c>
      <c r="T302" s="25">
        <f>IF(B302="","",COUNTIFS(Appointments!$E$5:$E$1204,A302,Appointments!$M$5:$M$1204,"Completed"))</f>
        <v>0</v>
      </c>
      <c r="U302" s="25">
        <f>IF(B302="","",COUNTIFS(Appointments!$E$5:$E$1204,A302,Appointments!$M$5:$M$1204,"Completed",Appointments!$B$5:$B$1204,"&gt;="&amp;TodayDate-365))</f>
        <v>0</v>
      </c>
      <c r="V302" s="25">
        <f>IF(B302="","",COUNTIFS(Appointments!$E$5:$E$1204,A302,Appointments!$M$5:$M$1204,"Cancelled"))</f>
        <v>0</v>
      </c>
      <c r="W302" s="25">
        <f>IF(B302="","",COUNTIFS(Appointments!$E$5:$E$1204,A302,Appointments!$M$5:$M$1204,"No show"))</f>
        <v>0</v>
      </c>
      <c r="X302" s="17">
        <f>IF(B302="","",IF(F302&lt;&gt;"",F302,IF(T302=0,"",SUMPRODUCT(MIN((Appointments!$E$5:$E$1204=A302)*(Appointments!$M$5:$M$1204="Completed")*Appointments!$B$5:$B$1204+(1-(Appointments!$E$5:$E$1204=A302)*(Appointments!$M$5:$M$1204="Completed"))*2958465)))))</f>
        <v>0</v>
      </c>
      <c r="Y302" s="17">
        <f>IF(B302="","",IF(T302=0,"",SUMPRODUCT(MAX((Appointments!$E$5:$E$1204=A302)*(Appointments!$M$5:$M$1204="Completed")*Appointments!$B$5:$B$1204))))</f>
        <v>0</v>
      </c>
      <c r="Z302" s="25">
        <f>IF(B302="","",IF(Y302="","",TodayDate-Y302))</f>
        <v>0</v>
      </c>
      <c r="AA302" s="42">
        <f>IF(B302="","",SUMPRODUCT(MIN((Appointments!$E$5:$E$1204=A302)*(Appointments!$M$5:$M$1204&lt;&gt;"Cancelled")*(Appointments!$M$5:$M$1204&lt;&gt;"Completed")*(Appointments!$M$5:$M$1204&lt;&gt;"No show")*(Appointments!$B$5:$B$1204&gt;=TodayDate)*Appointments!$B$5:$B$1204+(1-(Appointments!$E$5:$E$1204=A302)*(Appointments!$M$5:$M$1204&lt;&gt;"Cancelled")*(Appointments!$M$5:$M$1204&lt;&gt;"Completed")*(Appointments!$M$5:$M$1204&lt;&gt;"No show")*(Appointments!$B$5:$B$1204&gt;=TodayDate))*2958465)))</f>
        <v>0</v>
      </c>
      <c r="AB302" s="17">
        <f>IF(B302="","",IF(AA302&gt;=2958465,"",AA302))</f>
        <v>0</v>
      </c>
      <c r="AC302" s="25">
        <f>IF(B302="","",IF(T302&lt;2,"",ROUND((Y302-X302)/MAX(1,T302-1),0)))</f>
        <v>0</v>
      </c>
      <c r="AD302" s="17">
        <f>IF(B302="","",IF(Y302="","",Y302+IF(AC302="",RebookWeeks*7,MAX(14,AC302))))</f>
        <v>0</v>
      </c>
      <c r="AE302" s="26">
        <f>IF(B302="","",ROUND(SUMIFS(Sales!$Y$5:$Y$1204,Sales!$D$5:$D$1204,A302),2))</f>
        <v>0</v>
      </c>
      <c r="AF302" s="26">
        <f>IF(B302="","",ROUND(SUMIFS(Sales!$Y$5:$Y$1204,Sales!$D$5:$D$1204,A302,Sales!$H$5:$H$1204,"Service"),2))</f>
        <v>0</v>
      </c>
      <c r="AG302" s="26">
        <f>IF(B302="","",ROUND(SUMIFS(Sales!$Y$5:$Y$1204,Sales!$D$5:$D$1204,A302,Sales!$H$5:$H$1204,"Retail"),2))</f>
        <v>0</v>
      </c>
      <c r="AH302" s="26">
        <f>IF(B302="","",ROUND(SUMIFS(Sales!$Y$5:$Y$1204,Sales!$D$5:$D$1204,A302,Sales!$B$5:$B$1204,"&gt;="&amp;TodayDate-365),2))</f>
        <v>0</v>
      </c>
      <c r="AI302" s="26">
        <f>IF(B302="","",IF(T302=0,"",ROUND(AE302/T302,2)))</f>
        <v>0</v>
      </c>
      <c r="AJ302" s="26">
        <f>IF(B302="","",IF(AI302="","",IF(AC302="","",ROUND(AI302*(365/MAX(14,AC302)),2))))</f>
        <v>0</v>
      </c>
      <c r="AK302" s="26">
        <f>IF(B302="","",ROUND(SUMIFS(Sales!$AH$5:$AH$1204,Sales!$D$5:$D$1204,A302),2))</f>
        <v>0</v>
      </c>
      <c r="AL302" s="25">
        <f>IF(B302="","",IFERROR(INDEX(Loyalty!$P$5:$P$504,MATCH(A302,Loyalty!$B$5:$B$504,0))*1,0))</f>
        <v>0</v>
      </c>
      <c r="AM302" s="39">
        <f>IF(B302="","",IF(R302="Archived","Archived",IF(T302=0,"Not been yet",IF(Z302&gt;=InactiveDays,"Inactive",IF(Z302&gt;=LapsingDays,"Lapsing",IF(T302=1,"New",IF(AH302&gt;=VipSpend,"VIP",IF(U302&gt;=4,"Regular","Active"))))))))</f>
        <v>0</v>
      </c>
      <c r="AN302" s="38">
        <f>IF(B302="","",IF(T302&gt;=2,"Yes","No"))</f>
        <v>0</v>
      </c>
      <c r="AO302" s="25">
        <f>IF(B302="","",COUNTIFS($AE$5:$AE$504,"&gt;"&amp;AE302)+COUNTIFS($AE$5:AE302,AE302))</f>
        <v>0</v>
      </c>
      <c r="AP302" s="25">
        <f>IF(B302="","",COUNTIFS($T$5:$T$504,"&gt;"&amp;T302)+COUNTIFS($T$5:T302,T302))</f>
        <v>0</v>
      </c>
      <c r="AQ302" s="39">
        <f>IF(B302="","",IF(COUNTIF($B$5:$B$504,B302)&gt;1,"Duplicate - same name twice",IF(R302="Archived","",IF(AK302&gt;0.004,"Chase - balance outstanding",IF(AM302="Inactive","Gone - win-back offer",IF(AM302="Lapsing","Chase - lapsing, call them",IF(IF(N302="",FALSE,TodayDate-N302&gt;PatchTestDays),"Due - patch test out of date",IF(IF(AD302="",FALSE,IF(AB302&lt;&gt;"",FALSE,AD302&lt;=TodayDate+14)),"Rebook - due and nothing booked",IF(IF(K302="",FALSE,ABS(DATE(YEAR(TodayDate),MONTH(K302),DAY(K302))-TodayDate)&lt;=7),"Birthday - send the treat","OK")))))))))</f>
        <v>0</v>
      </c>
    </row>
    <row r="303" spans="1:43">
      <c r="A303" s="28">
        <f>IF(B303="","",ClientPrefix&amp;TEXT(ROW()-4,"0000"))</f>
        <v>0</v>
      </c>
      <c r="J303" s="15">
        <f>IF(I303="","",IFERROR(INDEX(Staff!$B$5:$B$44,MATCH(I303,Staff!$A$5:$A$44,0)),"Not in Staff"))</f>
        <v>0</v>
      </c>
      <c r="T303" s="25">
        <f>IF(B303="","",COUNTIFS(Appointments!$E$5:$E$1204,A303,Appointments!$M$5:$M$1204,"Completed"))</f>
        <v>0</v>
      </c>
      <c r="U303" s="25">
        <f>IF(B303="","",COUNTIFS(Appointments!$E$5:$E$1204,A303,Appointments!$M$5:$M$1204,"Completed",Appointments!$B$5:$B$1204,"&gt;="&amp;TodayDate-365))</f>
        <v>0</v>
      </c>
      <c r="V303" s="25">
        <f>IF(B303="","",COUNTIFS(Appointments!$E$5:$E$1204,A303,Appointments!$M$5:$M$1204,"Cancelled"))</f>
        <v>0</v>
      </c>
      <c r="W303" s="25">
        <f>IF(B303="","",COUNTIFS(Appointments!$E$5:$E$1204,A303,Appointments!$M$5:$M$1204,"No show"))</f>
        <v>0</v>
      </c>
      <c r="X303" s="17">
        <f>IF(B303="","",IF(F303&lt;&gt;"",F303,IF(T303=0,"",SUMPRODUCT(MIN((Appointments!$E$5:$E$1204=A303)*(Appointments!$M$5:$M$1204="Completed")*Appointments!$B$5:$B$1204+(1-(Appointments!$E$5:$E$1204=A303)*(Appointments!$M$5:$M$1204="Completed"))*2958465)))))</f>
        <v>0</v>
      </c>
      <c r="Y303" s="17">
        <f>IF(B303="","",IF(T303=0,"",SUMPRODUCT(MAX((Appointments!$E$5:$E$1204=A303)*(Appointments!$M$5:$M$1204="Completed")*Appointments!$B$5:$B$1204))))</f>
        <v>0</v>
      </c>
      <c r="Z303" s="25">
        <f>IF(B303="","",IF(Y303="","",TodayDate-Y303))</f>
        <v>0</v>
      </c>
      <c r="AA303" s="42">
        <f>IF(B303="","",SUMPRODUCT(MIN((Appointments!$E$5:$E$1204=A303)*(Appointments!$M$5:$M$1204&lt;&gt;"Cancelled")*(Appointments!$M$5:$M$1204&lt;&gt;"Completed")*(Appointments!$M$5:$M$1204&lt;&gt;"No show")*(Appointments!$B$5:$B$1204&gt;=TodayDate)*Appointments!$B$5:$B$1204+(1-(Appointments!$E$5:$E$1204=A303)*(Appointments!$M$5:$M$1204&lt;&gt;"Cancelled")*(Appointments!$M$5:$M$1204&lt;&gt;"Completed")*(Appointments!$M$5:$M$1204&lt;&gt;"No show")*(Appointments!$B$5:$B$1204&gt;=TodayDate))*2958465)))</f>
        <v>0</v>
      </c>
      <c r="AB303" s="17">
        <f>IF(B303="","",IF(AA303&gt;=2958465,"",AA303))</f>
        <v>0</v>
      </c>
      <c r="AC303" s="25">
        <f>IF(B303="","",IF(T303&lt;2,"",ROUND((Y303-X303)/MAX(1,T303-1),0)))</f>
        <v>0</v>
      </c>
      <c r="AD303" s="17">
        <f>IF(B303="","",IF(Y303="","",Y303+IF(AC303="",RebookWeeks*7,MAX(14,AC303))))</f>
        <v>0</v>
      </c>
      <c r="AE303" s="26">
        <f>IF(B303="","",ROUND(SUMIFS(Sales!$Y$5:$Y$1204,Sales!$D$5:$D$1204,A303),2))</f>
        <v>0</v>
      </c>
      <c r="AF303" s="26">
        <f>IF(B303="","",ROUND(SUMIFS(Sales!$Y$5:$Y$1204,Sales!$D$5:$D$1204,A303,Sales!$H$5:$H$1204,"Service"),2))</f>
        <v>0</v>
      </c>
      <c r="AG303" s="26">
        <f>IF(B303="","",ROUND(SUMIFS(Sales!$Y$5:$Y$1204,Sales!$D$5:$D$1204,A303,Sales!$H$5:$H$1204,"Retail"),2))</f>
        <v>0</v>
      </c>
      <c r="AH303" s="26">
        <f>IF(B303="","",ROUND(SUMIFS(Sales!$Y$5:$Y$1204,Sales!$D$5:$D$1204,A303,Sales!$B$5:$B$1204,"&gt;="&amp;TodayDate-365),2))</f>
        <v>0</v>
      </c>
      <c r="AI303" s="26">
        <f>IF(B303="","",IF(T303=0,"",ROUND(AE303/T303,2)))</f>
        <v>0</v>
      </c>
      <c r="AJ303" s="26">
        <f>IF(B303="","",IF(AI303="","",IF(AC303="","",ROUND(AI303*(365/MAX(14,AC303)),2))))</f>
        <v>0</v>
      </c>
      <c r="AK303" s="26">
        <f>IF(B303="","",ROUND(SUMIFS(Sales!$AH$5:$AH$1204,Sales!$D$5:$D$1204,A303),2))</f>
        <v>0</v>
      </c>
      <c r="AL303" s="25">
        <f>IF(B303="","",IFERROR(INDEX(Loyalty!$P$5:$P$504,MATCH(A303,Loyalty!$B$5:$B$504,0))*1,0))</f>
        <v>0</v>
      </c>
      <c r="AM303" s="39">
        <f>IF(B303="","",IF(R303="Archived","Archived",IF(T303=0,"Not been yet",IF(Z303&gt;=InactiveDays,"Inactive",IF(Z303&gt;=LapsingDays,"Lapsing",IF(T303=1,"New",IF(AH303&gt;=VipSpend,"VIP",IF(U303&gt;=4,"Regular","Active"))))))))</f>
        <v>0</v>
      </c>
      <c r="AN303" s="38">
        <f>IF(B303="","",IF(T303&gt;=2,"Yes","No"))</f>
        <v>0</v>
      </c>
      <c r="AO303" s="25">
        <f>IF(B303="","",COUNTIFS($AE$5:$AE$504,"&gt;"&amp;AE303)+COUNTIFS($AE$5:AE303,AE303))</f>
        <v>0</v>
      </c>
      <c r="AP303" s="25">
        <f>IF(B303="","",COUNTIFS($T$5:$T$504,"&gt;"&amp;T303)+COUNTIFS($T$5:T303,T303))</f>
        <v>0</v>
      </c>
      <c r="AQ303" s="39">
        <f>IF(B303="","",IF(COUNTIF($B$5:$B$504,B303)&gt;1,"Duplicate - same name twice",IF(R303="Archived","",IF(AK303&gt;0.004,"Chase - balance outstanding",IF(AM303="Inactive","Gone - win-back offer",IF(AM303="Lapsing","Chase - lapsing, call them",IF(IF(N303="",FALSE,TodayDate-N303&gt;PatchTestDays),"Due - patch test out of date",IF(IF(AD303="",FALSE,IF(AB303&lt;&gt;"",FALSE,AD303&lt;=TodayDate+14)),"Rebook - due and nothing booked",IF(IF(K303="",FALSE,ABS(DATE(YEAR(TodayDate),MONTH(K303),DAY(K303))-TodayDate)&lt;=7),"Birthday - send the treat","OK")))))))))</f>
        <v>0</v>
      </c>
    </row>
    <row r="304" spans="1:43">
      <c r="A304" s="28">
        <f>IF(B304="","",ClientPrefix&amp;TEXT(ROW()-4,"0000"))</f>
        <v>0</v>
      </c>
      <c r="J304" s="15">
        <f>IF(I304="","",IFERROR(INDEX(Staff!$B$5:$B$44,MATCH(I304,Staff!$A$5:$A$44,0)),"Not in Staff"))</f>
        <v>0</v>
      </c>
      <c r="T304" s="25">
        <f>IF(B304="","",COUNTIFS(Appointments!$E$5:$E$1204,A304,Appointments!$M$5:$M$1204,"Completed"))</f>
        <v>0</v>
      </c>
      <c r="U304" s="25">
        <f>IF(B304="","",COUNTIFS(Appointments!$E$5:$E$1204,A304,Appointments!$M$5:$M$1204,"Completed",Appointments!$B$5:$B$1204,"&gt;="&amp;TodayDate-365))</f>
        <v>0</v>
      </c>
      <c r="V304" s="25">
        <f>IF(B304="","",COUNTIFS(Appointments!$E$5:$E$1204,A304,Appointments!$M$5:$M$1204,"Cancelled"))</f>
        <v>0</v>
      </c>
      <c r="W304" s="25">
        <f>IF(B304="","",COUNTIFS(Appointments!$E$5:$E$1204,A304,Appointments!$M$5:$M$1204,"No show"))</f>
        <v>0</v>
      </c>
      <c r="X304" s="17">
        <f>IF(B304="","",IF(F304&lt;&gt;"",F304,IF(T304=0,"",SUMPRODUCT(MIN((Appointments!$E$5:$E$1204=A304)*(Appointments!$M$5:$M$1204="Completed")*Appointments!$B$5:$B$1204+(1-(Appointments!$E$5:$E$1204=A304)*(Appointments!$M$5:$M$1204="Completed"))*2958465)))))</f>
        <v>0</v>
      </c>
      <c r="Y304" s="17">
        <f>IF(B304="","",IF(T304=0,"",SUMPRODUCT(MAX((Appointments!$E$5:$E$1204=A304)*(Appointments!$M$5:$M$1204="Completed")*Appointments!$B$5:$B$1204))))</f>
        <v>0</v>
      </c>
      <c r="Z304" s="25">
        <f>IF(B304="","",IF(Y304="","",TodayDate-Y304))</f>
        <v>0</v>
      </c>
      <c r="AA304" s="42">
        <f>IF(B304="","",SUMPRODUCT(MIN((Appointments!$E$5:$E$1204=A304)*(Appointments!$M$5:$M$1204&lt;&gt;"Cancelled")*(Appointments!$M$5:$M$1204&lt;&gt;"Completed")*(Appointments!$M$5:$M$1204&lt;&gt;"No show")*(Appointments!$B$5:$B$1204&gt;=TodayDate)*Appointments!$B$5:$B$1204+(1-(Appointments!$E$5:$E$1204=A304)*(Appointments!$M$5:$M$1204&lt;&gt;"Cancelled")*(Appointments!$M$5:$M$1204&lt;&gt;"Completed")*(Appointments!$M$5:$M$1204&lt;&gt;"No show")*(Appointments!$B$5:$B$1204&gt;=TodayDate))*2958465)))</f>
        <v>0</v>
      </c>
      <c r="AB304" s="17">
        <f>IF(B304="","",IF(AA304&gt;=2958465,"",AA304))</f>
        <v>0</v>
      </c>
      <c r="AC304" s="25">
        <f>IF(B304="","",IF(T304&lt;2,"",ROUND((Y304-X304)/MAX(1,T304-1),0)))</f>
        <v>0</v>
      </c>
      <c r="AD304" s="17">
        <f>IF(B304="","",IF(Y304="","",Y304+IF(AC304="",RebookWeeks*7,MAX(14,AC304))))</f>
        <v>0</v>
      </c>
      <c r="AE304" s="26">
        <f>IF(B304="","",ROUND(SUMIFS(Sales!$Y$5:$Y$1204,Sales!$D$5:$D$1204,A304),2))</f>
        <v>0</v>
      </c>
      <c r="AF304" s="26">
        <f>IF(B304="","",ROUND(SUMIFS(Sales!$Y$5:$Y$1204,Sales!$D$5:$D$1204,A304,Sales!$H$5:$H$1204,"Service"),2))</f>
        <v>0</v>
      </c>
      <c r="AG304" s="26">
        <f>IF(B304="","",ROUND(SUMIFS(Sales!$Y$5:$Y$1204,Sales!$D$5:$D$1204,A304,Sales!$H$5:$H$1204,"Retail"),2))</f>
        <v>0</v>
      </c>
      <c r="AH304" s="26">
        <f>IF(B304="","",ROUND(SUMIFS(Sales!$Y$5:$Y$1204,Sales!$D$5:$D$1204,A304,Sales!$B$5:$B$1204,"&gt;="&amp;TodayDate-365),2))</f>
        <v>0</v>
      </c>
      <c r="AI304" s="26">
        <f>IF(B304="","",IF(T304=0,"",ROUND(AE304/T304,2)))</f>
        <v>0</v>
      </c>
      <c r="AJ304" s="26">
        <f>IF(B304="","",IF(AI304="","",IF(AC304="","",ROUND(AI304*(365/MAX(14,AC304)),2))))</f>
        <v>0</v>
      </c>
      <c r="AK304" s="26">
        <f>IF(B304="","",ROUND(SUMIFS(Sales!$AH$5:$AH$1204,Sales!$D$5:$D$1204,A304),2))</f>
        <v>0</v>
      </c>
      <c r="AL304" s="25">
        <f>IF(B304="","",IFERROR(INDEX(Loyalty!$P$5:$P$504,MATCH(A304,Loyalty!$B$5:$B$504,0))*1,0))</f>
        <v>0</v>
      </c>
      <c r="AM304" s="39">
        <f>IF(B304="","",IF(R304="Archived","Archived",IF(T304=0,"Not been yet",IF(Z304&gt;=InactiveDays,"Inactive",IF(Z304&gt;=LapsingDays,"Lapsing",IF(T304=1,"New",IF(AH304&gt;=VipSpend,"VIP",IF(U304&gt;=4,"Regular","Active"))))))))</f>
        <v>0</v>
      </c>
      <c r="AN304" s="38">
        <f>IF(B304="","",IF(T304&gt;=2,"Yes","No"))</f>
        <v>0</v>
      </c>
      <c r="AO304" s="25">
        <f>IF(B304="","",COUNTIFS($AE$5:$AE$504,"&gt;"&amp;AE304)+COUNTIFS($AE$5:AE304,AE304))</f>
        <v>0</v>
      </c>
      <c r="AP304" s="25">
        <f>IF(B304="","",COUNTIFS($T$5:$T$504,"&gt;"&amp;T304)+COUNTIFS($T$5:T304,T304))</f>
        <v>0</v>
      </c>
      <c r="AQ304" s="39">
        <f>IF(B304="","",IF(COUNTIF($B$5:$B$504,B304)&gt;1,"Duplicate - same name twice",IF(R304="Archived","",IF(AK304&gt;0.004,"Chase - balance outstanding",IF(AM304="Inactive","Gone - win-back offer",IF(AM304="Lapsing","Chase - lapsing, call them",IF(IF(N304="",FALSE,TodayDate-N304&gt;PatchTestDays),"Due - patch test out of date",IF(IF(AD304="",FALSE,IF(AB304&lt;&gt;"",FALSE,AD304&lt;=TodayDate+14)),"Rebook - due and nothing booked",IF(IF(K304="",FALSE,ABS(DATE(YEAR(TodayDate),MONTH(K304),DAY(K304))-TodayDate)&lt;=7),"Birthday - send the treat","OK")))))))))</f>
        <v>0</v>
      </c>
    </row>
    <row r="305" spans="1:43">
      <c r="A305" s="28">
        <f>IF(B305="","",ClientPrefix&amp;TEXT(ROW()-4,"0000"))</f>
        <v>0</v>
      </c>
      <c r="J305" s="15">
        <f>IF(I305="","",IFERROR(INDEX(Staff!$B$5:$B$44,MATCH(I305,Staff!$A$5:$A$44,0)),"Not in Staff"))</f>
        <v>0</v>
      </c>
      <c r="T305" s="25">
        <f>IF(B305="","",COUNTIFS(Appointments!$E$5:$E$1204,A305,Appointments!$M$5:$M$1204,"Completed"))</f>
        <v>0</v>
      </c>
      <c r="U305" s="25">
        <f>IF(B305="","",COUNTIFS(Appointments!$E$5:$E$1204,A305,Appointments!$M$5:$M$1204,"Completed",Appointments!$B$5:$B$1204,"&gt;="&amp;TodayDate-365))</f>
        <v>0</v>
      </c>
      <c r="V305" s="25">
        <f>IF(B305="","",COUNTIFS(Appointments!$E$5:$E$1204,A305,Appointments!$M$5:$M$1204,"Cancelled"))</f>
        <v>0</v>
      </c>
      <c r="W305" s="25">
        <f>IF(B305="","",COUNTIFS(Appointments!$E$5:$E$1204,A305,Appointments!$M$5:$M$1204,"No show"))</f>
        <v>0</v>
      </c>
      <c r="X305" s="17">
        <f>IF(B305="","",IF(F305&lt;&gt;"",F305,IF(T305=0,"",SUMPRODUCT(MIN((Appointments!$E$5:$E$1204=A305)*(Appointments!$M$5:$M$1204="Completed")*Appointments!$B$5:$B$1204+(1-(Appointments!$E$5:$E$1204=A305)*(Appointments!$M$5:$M$1204="Completed"))*2958465)))))</f>
        <v>0</v>
      </c>
      <c r="Y305" s="17">
        <f>IF(B305="","",IF(T305=0,"",SUMPRODUCT(MAX((Appointments!$E$5:$E$1204=A305)*(Appointments!$M$5:$M$1204="Completed")*Appointments!$B$5:$B$1204))))</f>
        <v>0</v>
      </c>
      <c r="Z305" s="25">
        <f>IF(B305="","",IF(Y305="","",TodayDate-Y305))</f>
        <v>0</v>
      </c>
      <c r="AA305" s="42">
        <f>IF(B305="","",SUMPRODUCT(MIN((Appointments!$E$5:$E$1204=A305)*(Appointments!$M$5:$M$1204&lt;&gt;"Cancelled")*(Appointments!$M$5:$M$1204&lt;&gt;"Completed")*(Appointments!$M$5:$M$1204&lt;&gt;"No show")*(Appointments!$B$5:$B$1204&gt;=TodayDate)*Appointments!$B$5:$B$1204+(1-(Appointments!$E$5:$E$1204=A305)*(Appointments!$M$5:$M$1204&lt;&gt;"Cancelled")*(Appointments!$M$5:$M$1204&lt;&gt;"Completed")*(Appointments!$M$5:$M$1204&lt;&gt;"No show")*(Appointments!$B$5:$B$1204&gt;=TodayDate))*2958465)))</f>
        <v>0</v>
      </c>
      <c r="AB305" s="17">
        <f>IF(B305="","",IF(AA305&gt;=2958465,"",AA305))</f>
        <v>0</v>
      </c>
      <c r="AC305" s="25">
        <f>IF(B305="","",IF(T305&lt;2,"",ROUND((Y305-X305)/MAX(1,T305-1),0)))</f>
        <v>0</v>
      </c>
      <c r="AD305" s="17">
        <f>IF(B305="","",IF(Y305="","",Y305+IF(AC305="",RebookWeeks*7,MAX(14,AC305))))</f>
        <v>0</v>
      </c>
      <c r="AE305" s="26">
        <f>IF(B305="","",ROUND(SUMIFS(Sales!$Y$5:$Y$1204,Sales!$D$5:$D$1204,A305),2))</f>
        <v>0</v>
      </c>
      <c r="AF305" s="26">
        <f>IF(B305="","",ROUND(SUMIFS(Sales!$Y$5:$Y$1204,Sales!$D$5:$D$1204,A305,Sales!$H$5:$H$1204,"Service"),2))</f>
        <v>0</v>
      </c>
      <c r="AG305" s="26">
        <f>IF(B305="","",ROUND(SUMIFS(Sales!$Y$5:$Y$1204,Sales!$D$5:$D$1204,A305,Sales!$H$5:$H$1204,"Retail"),2))</f>
        <v>0</v>
      </c>
      <c r="AH305" s="26">
        <f>IF(B305="","",ROUND(SUMIFS(Sales!$Y$5:$Y$1204,Sales!$D$5:$D$1204,A305,Sales!$B$5:$B$1204,"&gt;="&amp;TodayDate-365),2))</f>
        <v>0</v>
      </c>
      <c r="AI305" s="26">
        <f>IF(B305="","",IF(T305=0,"",ROUND(AE305/T305,2)))</f>
        <v>0</v>
      </c>
      <c r="AJ305" s="26">
        <f>IF(B305="","",IF(AI305="","",IF(AC305="","",ROUND(AI305*(365/MAX(14,AC305)),2))))</f>
        <v>0</v>
      </c>
      <c r="AK305" s="26">
        <f>IF(B305="","",ROUND(SUMIFS(Sales!$AH$5:$AH$1204,Sales!$D$5:$D$1204,A305),2))</f>
        <v>0</v>
      </c>
      <c r="AL305" s="25">
        <f>IF(B305="","",IFERROR(INDEX(Loyalty!$P$5:$P$504,MATCH(A305,Loyalty!$B$5:$B$504,0))*1,0))</f>
        <v>0</v>
      </c>
      <c r="AM305" s="39">
        <f>IF(B305="","",IF(R305="Archived","Archived",IF(T305=0,"Not been yet",IF(Z305&gt;=InactiveDays,"Inactive",IF(Z305&gt;=LapsingDays,"Lapsing",IF(T305=1,"New",IF(AH305&gt;=VipSpend,"VIP",IF(U305&gt;=4,"Regular","Active"))))))))</f>
        <v>0</v>
      </c>
      <c r="AN305" s="38">
        <f>IF(B305="","",IF(T305&gt;=2,"Yes","No"))</f>
        <v>0</v>
      </c>
      <c r="AO305" s="25">
        <f>IF(B305="","",COUNTIFS($AE$5:$AE$504,"&gt;"&amp;AE305)+COUNTIFS($AE$5:AE305,AE305))</f>
        <v>0</v>
      </c>
      <c r="AP305" s="25">
        <f>IF(B305="","",COUNTIFS($T$5:$T$504,"&gt;"&amp;T305)+COUNTIFS($T$5:T305,T305))</f>
        <v>0</v>
      </c>
      <c r="AQ305" s="39">
        <f>IF(B305="","",IF(COUNTIF($B$5:$B$504,B305)&gt;1,"Duplicate - same name twice",IF(R305="Archived","",IF(AK305&gt;0.004,"Chase - balance outstanding",IF(AM305="Inactive","Gone - win-back offer",IF(AM305="Lapsing","Chase - lapsing, call them",IF(IF(N305="",FALSE,TodayDate-N305&gt;PatchTestDays),"Due - patch test out of date",IF(IF(AD305="",FALSE,IF(AB305&lt;&gt;"",FALSE,AD305&lt;=TodayDate+14)),"Rebook - due and nothing booked",IF(IF(K305="",FALSE,ABS(DATE(YEAR(TodayDate),MONTH(K305),DAY(K305))-TodayDate)&lt;=7),"Birthday - send the treat","OK")))))))))</f>
        <v>0</v>
      </c>
    </row>
    <row r="306" spans="1:43">
      <c r="A306" s="28">
        <f>IF(B306="","",ClientPrefix&amp;TEXT(ROW()-4,"0000"))</f>
        <v>0</v>
      </c>
      <c r="J306" s="15">
        <f>IF(I306="","",IFERROR(INDEX(Staff!$B$5:$B$44,MATCH(I306,Staff!$A$5:$A$44,0)),"Not in Staff"))</f>
        <v>0</v>
      </c>
      <c r="T306" s="25">
        <f>IF(B306="","",COUNTIFS(Appointments!$E$5:$E$1204,A306,Appointments!$M$5:$M$1204,"Completed"))</f>
        <v>0</v>
      </c>
      <c r="U306" s="25">
        <f>IF(B306="","",COUNTIFS(Appointments!$E$5:$E$1204,A306,Appointments!$M$5:$M$1204,"Completed",Appointments!$B$5:$B$1204,"&gt;="&amp;TodayDate-365))</f>
        <v>0</v>
      </c>
      <c r="V306" s="25">
        <f>IF(B306="","",COUNTIFS(Appointments!$E$5:$E$1204,A306,Appointments!$M$5:$M$1204,"Cancelled"))</f>
        <v>0</v>
      </c>
      <c r="W306" s="25">
        <f>IF(B306="","",COUNTIFS(Appointments!$E$5:$E$1204,A306,Appointments!$M$5:$M$1204,"No show"))</f>
        <v>0</v>
      </c>
      <c r="X306" s="17">
        <f>IF(B306="","",IF(F306&lt;&gt;"",F306,IF(T306=0,"",SUMPRODUCT(MIN((Appointments!$E$5:$E$1204=A306)*(Appointments!$M$5:$M$1204="Completed")*Appointments!$B$5:$B$1204+(1-(Appointments!$E$5:$E$1204=A306)*(Appointments!$M$5:$M$1204="Completed"))*2958465)))))</f>
        <v>0</v>
      </c>
      <c r="Y306" s="17">
        <f>IF(B306="","",IF(T306=0,"",SUMPRODUCT(MAX((Appointments!$E$5:$E$1204=A306)*(Appointments!$M$5:$M$1204="Completed")*Appointments!$B$5:$B$1204))))</f>
        <v>0</v>
      </c>
      <c r="Z306" s="25">
        <f>IF(B306="","",IF(Y306="","",TodayDate-Y306))</f>
        <v>0</v>
      </c>
      <c r="AA306" s="42">
        <f>IF(B306="","",SUMPRODUCT(MIN((Appointments!$E$5:$E$1204=A306)*(Appointments!$M$5:$M$1204&lt;&gt;"Cancelled")*(Appointments!$M$5:$M$1204&lt;&gt;"Completed")*(Appointments!$M$5:$M$1204&lt;&gt;"No show")*(Appointments!$B$5:$B$1204&gt;=TodayDate)*Appointments!$B$5:$B$1204+(1-(Appointments!$E$5:$E$1204=A306)*(Appointments!$M$5:$M$1204&lt;&gt;"Cancelled")*(Appointments!$M$5:$M$1204&lt;&gt;"Completed")*(Appointments!$M$5:$M$1204&lt;&gt;"No show")*(Appointments!$B$5:$B$1204&gt;=TodayDate))*2958465)))</f>
        <v>0</v>
      </c>
      <c r="AB306" s="17">
        <f>IF(B306="","",IF(AA306&gt;=2958465,"",AA306))</f>
        <v>0</v>
      </c>
      <c r="AC306" s="25">
        <f>IF(B306="","",IF(T306&lt;2,"",ROUND((Y306-X306)/MAX(1,T306-1),0)))</f>
        <v>0</v>
      </c>
      <c r="AD306" s="17">
        <f>IF(B306="","",IF(Y306="","",Y306+IF(AC306="",RebookWeeks*7,MAX(14,AC306))))</f>
        <v>0</v>
      </c>
      <c r="AE306" s="26">
        <f>IF(B306="","",ROUND(SUMIFS(Sales!$Y$5:$Y$1204,Sales!$D$5:$D$1204,A306),2))</f>
        <v>0</v>
      </c>
      <c r="AF306" s="26">
        <f>IF(B306="","",ROUND(SUMIFS(Sales!$Y$5:$Y$1204,Sales!$D$5:$D$1204,A306,Sales!$H$5:$H$1204,"Service"),2))</f>
        <v>0</v>
      </c>
      <c r="AG306" s="26">
        <f>IF(B306="","",ROUND(SUMIFS(Sales!$Y$5:$Y$1204,Sales!$D$5:$D$1204,A306,Sales!$H$5:$H$1204,"Retail"),2))</f>
        <v>0</v>
      </c>
      <c r="AH306" s="26">
        <f>IF(B306="","",ROUND(SUMIFS(Sales!$Y$5:$Y$1204,Sales!$D$5:$D$1204,A306,Sales!$B$5:$B$1204,"&gt;="&amp;TodayDate-365),2))</f>
        <v>0</v>
      </c>
      <c r="AI306" s="26">
        <f>IF(B306="","",IF(T306=0,"",ROUND(AE306/T306,2)))</f>
        <v>0</v>
      </c>
      <c r="AJ306" s="26">
        <f>IF(B306="","",IF(AI306="","",IF(AC306="","",ROUND(AI306*(365/MAX(14,AC306)),2))))</f>
        <v>0</v>
      </c>
      <c r="AK306" s="26">
        <f>IF(B306="","",ROUND(SUMIFS(Sales!$AH$5:$AH$1204,Sales!$D$5:$D$1204,A306),2))</f>
        <v>0</v>
      </c>
      <c r="AL306" s="25">
        <f>IF(B306="","",IFERROR(INDEX(Loyalty!$P$5:$P$504,MATCH(A306,Loyalty!$B$5:$B$504,0))*1,0))</f>
        <v>0</v>
      </c>
      <c r="AM306" s="39">
        <f>IF(B306="","",IF(R306="Archived","Archived",IF(T306=0,"Not been yet",IF(Z306&gt;=InactiveDays,"Inactive",IF(Z306&gt;=LapsingDays,"Lapsing",IF(T306=1,"New",IF(AH306&gt;=VipSpend,"VIP",IF(U306&gt;=4,"Regular","Active"))))))))</f>
        <v>0</v>
      </c>
      <c r="AN306" s="38">
        <f>IF(B306="","",IF(T306&gt;=2,"Yes","No"))</f>
        <v>0</v>
      </c>
      <c r="AO306" s="25">
        <f>IF(B306="","",COUNTIFS($AE$5:$AE$504,"&gt;"&amp;AE306)+COUNTIFS($AE$5:AE306,AE306))</f>
        <v>0</v>
      </c>
      <c r="AP306" s="25">
        <f>IF(B306="","",COUNTIFS($T$5:$T$504,"&gt;"&amp;T306)+COUNTIFS($T$5:T306,T306))</f>
        <v>0</v>
      </c>
      <c r="AQ306" s="39">
        <f>IF(B306="","",IF(COUNTIF($B$5:$B$504,B306)&gt;1,"Duplicate - same name twice",IF(R306="Archived","",IF(AK306&gt;0.004,"Chase - balance outstanding",IF(AM306="Inactive","Gone - win-back offer",IF(AM306="Lapsing","Chase - lapsing, call them",IF(IF(N306="",FALSE,TodayDate-N306&gt;PatchTestDays),"Due - patch test out of date",IF(IF(AD306="",FALSE,IF(AB306&lt;&gt;"",FALSE,AD306&lt;=TodayDate+14)),"Rebook - due and nothing booked",IF(IF(K306="",FALSE,ABS(DATE(YEAR(TodayDate),MONTH(K306),DAY(K306))-TodayDate)&lt;=7),"Birthday - send the treat","OK")))))))))</f>
        <v>0</v>
      </c>
    </row>
    <row r="307" spans="1:43">
      <c r="A307" s="28">
        <f>IF(B307="","",ClientPrefix&amp;TEXT(ROW()-4,"0000"))</f>
        <v>0</v>
      </c>
      <c r="J307" s="15">
        <f>IF(I307="","",IFERROR(INDEX(Staff!$B$5:$B$44,MATCH(I307,Staff!$A$5:$A$44,0)),"Not in Staff"))</f>
        <v>0</v>
      </c>
      <c r="T307" s="25">
        <f>IF(B307="","",COUNTIFS(Appointments!$E$5:$E$1204,A307,Appointments!$M$5:$M$1204,"Completed"))</f>
        <v>0</v>
      </c>
      <c r="U307" s="25">
        <f>IF(B307="","",COUNTIFS(Appointments!$E$5:$E$1204,A307,Appointments!$M$5:$M$1204,"Completed",Appointments!$B$5:$B$1204,"&gt;="&amp;TodayDate-365))</f>
        <v>0</v>
      </c>
      <c r="V307" s="25">
        <f>IF(B307="","",COUNTIFS(Appointments!$E$5:$E$1204,A307,Appointments!$M$5:$M$1204,"Cancelled"))</f>
        <v>0</v>
      </c>
      <c r="W307" s="25">
        <f>IF(B307="","",COUNTIFS(Appointments!$E$5:$E$1204,A307,Appointments!$M$5:$M$1204,"No show"))</f>
        <v>0</v>
      </c>
      <c r="X307" s="17">
        <f>IF(B307="","",IF(F307&lt;&gt;"",F307,IF(T307=0,"",SUMPRODUCT(MIN((Appointments!$E$5:$E$1204=A307)*(Appointments!$M$5:$M$1204="Completed")*Appointments!$B$5:$B$1204+(1-(Appointments!$E$5:$E$1204=A307)*(Appointments!$M$5:$M$1204="Completed"))*2958465)))))</f>
        <v>0</v>
      </c>
      <c r="Y307" s="17">
        <f>IF(B307="","",IF(T307=0,"",SUMPRODUCT(MAX((Appointments!$E$5:$E$1204=A307)*(Appointments!$M$5:$M$1204="Completed")*Appointments!$B$5:$B$1204))))</f>
        <v>0</v>
      </c>
      <c r="Z307" s="25">
        <f>IF(B307="","",IF(Y307="","",TodayDate-Y307))</f>
        <v>0</v>
      </c>
      <c r="AA307" s="42">
        <f>IF(B307="","",SUMPRODUCT(MIN((Appointments!$E$5:$E$1204=A307)*(Appointments!$M$5:$M$1204&lt;&gt;"Cancelled")*(Appointments!$M$5:$M$1204&lt;&gt;"Completed")*(Appointments!$M$5:$M$1204&lt;&gt;"No show")*(Appointments!$B$5:$B$1204&gt;=TodayDate)*Appointments!$B$5:$B$1204+(1-(Appointments!$E$5:$E$1204=A307)*(Appointments!$M$5:$M$1204&lt;&gt;"Cancelled")*(Appointments!$M$5:$M$1204&lt;&gt;"Completed")*(Appointments!$M$5:$M$1204&lt;&gt;"No show")*(Appointments!$B$5:$B$1204&gt;=TodayDate))*2958465)))</f>
        <v>0</v>
      </c>
      <c r="AB307" s="17">
        <f>IF(B307="","",IF(AA307&gt;=2958465,"",AA307))</f>
        <v>0</v>
      </c>
      <c r="AC307" s="25">
        <f>IF(B307="","",IF(T307&lt;2,"",ROUND((Y307-X307)/MAX(1,T307-1),0)))</f>
        <v>0</v>
      </c>
      <c r="AD307" s="17">
        <f>IF(B307="","",IF(Y307="","",Y307+IF(AC307="",RebookWeeks*7,MAX(14,AC307))))</f>
        <v>0</v>
      </c>
      <c r="AE307" s="26">
        <f>IF(B307="","",ROUND(SUMIFS(Sales!$Y$5:$Y$1204,Sales!$D$5:$D$1204,A307),2))</f>
        <v>0</v>
      </c>
      <c r="AF307" s="26">
        <f>IF(B307="","",ROUND(SUMIFS(Sales!$Y$5:$Y$1204,Sales!$D$5:$D$1204,A307,Sales!$H$5:$H$1204,"Service"),2))</f>
        <v>0</v>
      </c>
      <c r="AG307" s="26">
        <f>IF(B307="","",ROUND(SUMIFS(Sales!$Y$5:$Y$1204,Sales!$D$5:$D$1204,A307,Sales!$H$5:$H$1204,"Retail"),2))</f>
        <v>0</v>
      </c>
      <c r="AH307" s="26">
        <f>IF(B307="","",ROUND(SUMIFS(Sales!$Y$5:$Y$1204,Sales!$D$5:$D$1204,A307,Sales!$B$5:$B$1204,"&gt;="&amp;TodayDate-365),2))</f>
        <v>0</v>
      </c>
      <c r="AI307" s="26">
        <f>IF(B307="","",IF(T307=0,"",ROUND(AE307/T307,2)))</f>
        <v>0</v>
      </c>
      <c r="AJ307" s="26">
        <f>IF(B307="","",IF(AI307="","",IF(AC307="","",ROUND(AI307*(365/MAX(14,AC307)),2))))</f>
        <v>0</v>
      </c>
      <c r="AK307" s="26">
        <f>IF(B307="","",ROUND(SUMIFS(Sales!$AH$5:$AH$1204,Sales!$D$5:$D$1204,A307),2))</f>
        <v>0</v>
      </c>
      <c r="AL307" s="25">
        <f>IF(B307="","",IFERROR(INDEX(Loyalty!$P$5:$P$504,MATCH(A307,Loyalty!$B$5:$B$504,0))*1,0))</f>
        <v>0</v>
      </c>
      <c r="AM307" s="39">
        <f>IF(B307="","",IF(R307="Archived","Archived",IF(T307=0,"Not been yet",IF(Z307&gt;=InactiveDays,"Inactive",IF(Z307&gt;=LapsingDays,"Lapsing",IF(T307=1,"New",IF(AH307&gt;=VipSpend,"VIP",IF(U307&gt;=4,"Regular","Active"))))))))</f>
        <v>0</v>
      </c>
      <c r="AN307" s="38">
        <f>IF(B307="","",IF(T307&gt;=2,"Yes","No"))</f>
        <v>0</v>
      </c>
      <c r="AO307" s="25">
        <f>IF(B307="","",COUNTIFS($AE$5:$AE$504,"&gt;"&amp;AE307)+COUNTIFS($AE$5:AE307,AE307))</f>
        <v>0</v>
      </c>
      <c r="AP307" s="25">
        <f>IF(B307="","",COUNTIFS($T$5:$T$504,"&gt;"&amp;T307)+COUNTIFS($T$5:T307,T307))</f>
        <v>0</v>
      </c>
      <c r="AQ307" s="39">
        <f>IF(B307="","",IF(COUNTIF($B$5:$B$504,B307)&gt;1,"Duplicate - same name twice",IF(R307="Archived","",IF(AK307&gt;0.004,"Chase - balance outstanding",IF(AM307="Inactive","Gone - win-back offer",IF(AM307="Lapsing","Chase - lapsing, call them",IF(IF(N307="",FALSE,TodayDate-N307&gt;PatchTestDays),"Due - patch test out of date",IF(IF(AD307="",FALSE,IF(AB307&lt;&gt;"",FALSE,AD307&lt;=TodayDate+14)),"Rebook - due and nothing booked",IF(IF(K307="",FALSE,ABS(DATE(YEAR(TodayDate),MONTH(K307),DAY(K307))-TodayDate)&lt;=7),"Birthday - send the treat","OK")))))))))</f>
        <v>0</v>
      </c>
    </row>
    <row r="308" spans="1:43">
      <c r="A308" s="28">
        <f>IF(B308="","",ClientPrefix&amp;TEXT(ROW()-4,"0000"))</f>
        <v>0</v>
      </c>
      <c r="J308" s="15">
        <f>IF(I308="","",IFERROR(INDEX(Staff!$B$5:$B$44,MATCH(I308,Staff!$A$5:$A$44,0)),"Not in Staff"))</f>
        <v>0</v>
      </c>
      <c r="T308" s="25">
        <f>IF(B308="","",COUNTIFS(Appointments!$E$5:$E$1204,A308,Appointments!$M$5:$M$1204,"Completed"))</f>
        <v>0</v>
      </c>
      <c r="U308" s="25">
        <f>IF(B308="","",COUNTIFS(Appointments!$E$5:$E$1204,A308,Appointments!$M$5:$M$1204,"Completed",Appointments!$B$5:$B$1204,"&gt;="&amp;TodayDate-365))</f>
        <v>0</v>
      </c>
      <c r="V308" s="25">
        <f>IF(B308="","",COUNTIFS(Appointments!$E$5:$E$1204,A308,Appointments!$M$5:$M$1204,"Cancelled"))</f>
        <v>0</v>
      </c>
      <c r="W308" s="25">
        <f>IF(B308="","",COUNTIFS(Appointments!$E$5:$E$1204,A308,Appointments!$M$5:$M$1204,"No show"))</f>
        <v>0</v>
      </c>
      <c r="X308" s="17">
        <f>IF(B308="","",IF(F308&lt;&gt;"",F308,IF(T308=0,"",SUMPRODUCT(MIN((Appointments!$E$5:$E$1204=A308)*(Appointments!$M$5:$M$1204="Completed")*Appointments!$B$5:$B$1204+(1-(Appointments!$E$5:$E$1204=A308)*(Appointments!$M$5:$M$1204="Completed"))*2958465)))))</f>
        <v>0</v>
      </c>
      <c r="Y308" s="17">
        <f>IF(B308="","",IF(T308=0,"",SUMPRODUCT(MAX((Appointments!$E$5:$E$1204=A308)*(Appointments!$M$5:$M$1204="Completed")*Appointments!$B$5:$B$1204))))</f>
        <v>0</v>
      </c>
      <c r="Z308" s="25">
        <f>IF(B308="","",IF(Y308="","",TodayDate-Y308))</f>
        <v>0</v>
      </c>
      <c r="AA308" s="42">
        <f>IF(B308="","",SUMPRODUCT(MIN((Appointments!$E$5:$E$1204=A308)*(Appointments!$M$5:$M$1204&lt;&gt;"Cancelled")*(Appointments!$M$5:$M$1204&lt;&gt;"Completed")*(Appointments!$M$5:$M$1204&lt;&gt;"No show")*(Appointments!$B$5:$B$1204&gt;=TodayDate)*Appointments!$B$5:$B$1204+(1-(Appointments!$E$5:$E$1204=A308)*(Appointments!$M$5:$M$1204&lt;&gt;"Cancelled")*(Appointments!$M$5:$M$1204&lt;&gt;"Completed")*(Appointments!$M$5:$M$1204&lt;&gt;"No show")*(Appointments!$B$5:$B$1204&gt;=TodayDate))*2958465)))</f>
        <v>0</v>
      </c>
      <c r="AB308" s="17">
        <f>IF(B308="","",IF(AA308&gt;=2958465,"",AA308))</f>
        <v>0</v>
      </c>
      <c r="AC308" s="25">
        <f>IF(B308="","",IF(T308&lt;2,"",ROUND((Y308-X308)/MAX(1,T308-1),0)))</f>
        <v>0</v>
      </c>
      <c r="AD308" s="17">
        <f>IF(B308="","",IF(Y308="","",Y308+IF(AC308="",RebookWeeks*7,MAX(14,AC308))))</f>
        <v>0</v>
      </c>
      <c r="AE308" s="26">
        <f>IF(B308="","",ROUND(SUMIFS(Sales!$Y$5:$Y$1204,Sales!$D$5:$D$1204,A308),2))</f>
        <v>0</v>
      </c>
      <c r="AF308" s="26">
        <f>IF(B308="","",ROUND(SUMIFS(Sales!$Y$5:$Y$1204,Sales!$D$5:$D$1204,A308,Sales!$H$5:$H$1204,"Service"),2))</f>
        <v>0</v>
      </c>
      <c r="AG308" s="26">
        <f>IF(B308="","",ROUND(SUMIFS(Sales!$Y$5:$Y$1204,Sales!$D$5:$D$1204,A308,Sales!$H$5:$H$1204,"Retail"),2))</f>
        <v>0</v>
      </c>
      <c r="AH308" s="26">
        <f>IF(B308="","",ROUND(SUMIFS(Sales!$Y$5:$Y$1204,Sales!$D$5:$D$1204,A308,Sales!$B$5:$B$1204,"&gt;="&amp;TodayDate-365),2))</f>
        <v>0</v>
      </c>
      <c r="AI308" s="26">
        <f>IF(B308="","",IF(T308=0,"",ROUND(AE308/T308,2)))</f>
        <v>0</v>
      </c>
      <c r="AJ308" s="26">
        <f>IF(B308="","",IF(AI308="","",IF(AC308="","",ROUND(AI308*(365/MAX(14,AC308)),2))))</f>
        <v>0</v>
      </c>
      <c r="AK308" s="26">
        <f>IF(B308="","",ROUND(SUMIFS(Sales!$AH$5:$AH$1204,Sales!$D$5:$D$1204,A308),2))</f>
        <v>0</v>
      </c>
      <c r="AL308" s="25">
        <f>IF(B308="","",IFERROR(INDEX(Loyalty!$P$5:$P$504,MATCH(A308,Loyalty!$B$5:$B$504,0))*1,0))</f>
        <v>0</v>
      </c>
      <c r="AM308" s="39">
        <f>IF(B308="","",IF(R308="Archived","Archived",IF(T308=0,"Not been yet",IF(Z308&gt;=InactiveDays,"Inactive",IF(Z308&gt;=LapsingDays,"Lapsing",IF(T308=1,"New",IF(AH308&gt;=VipSpend,"VIP",IF(U308&gt;=4,"Regular","Active"))))))))</f>
        <v>0</v>
      </c>
      <c r="AN308" s="38">
        <f>IF(B308="","",IF(T308&gt;=2,"Yes","No"))</f>
        <v>0</v>
      </c>
      <c r="AO308" s="25">
        <f>IF(B308="","",COUNTIFS($AE$5:$AE$504,"&gt;"&amp;AE308)+COUNTIFS($AE$5:AE308,AE308))</f>
        <v>0</v>
      </c>
      <c r="AP308" s="25">
        <f>IF(B308="","",COUNTIFS($T$5:$T$504,"&gt;"&amp;T308)+COUNTIFS($T$5:T308,T308))</f>
        <v>0</v>
      </c>
      <c r="AQ308" s="39">
        <f>IF(B308="","",IF(COUNTIF($B$5:$B$504,B308)&gt;1,"Duplicate - same name twice",IF(R308="Archived","",IF(AK308&gt;0.004,"Chase - balance outstanding",IF(AM308="Inactive","Gone - win-back offer",IF(AM308="Lapsing","Chase - lapsing, call them",IF(IF(N308="",FALSE,TodayDate-N308&gt;PatchTestDays),"Due - patch test out of date",IF(IF(AD308="",FALSE,IF(AB308&lt;&gt;"",FALSE,AD308&lt;=TodayDate+14)),"Rebook - due and nothing booked",IF(IF(K308="",FALSE,ABS(DATE(YEAR(TodayDate),MONTH(K308),DAY(K308))-TodayDate)&lt;=7),"Birthday - send the treat","OK")))))))))</f>
        <v>0</v>
      </c>
    </row>
    <row r="309" spans="1:43">
      <c r="A309" s="28">
        <f>IF(B309="","",ClientPrefix&amp;TEXT(ROW()-4,"0000"))</f>
        <v>0</v>
      </c>
      <c r="J309" s="15">
        <f>IF(I309="","",IFERROR(INDEX(Staff!$B$5:$B$44,MATCH(I309,Staff!$A$5:$A$44,0)),"Not in Staff"))</f>
        <v>0</v>
      </c>
      <c r="T309" s="25">
        <f>IF(B309="","",COUNTIFS(Appointments!$E$5:$E$1204,A309,Appointments!$M$5:$M$1204,"Completed"))</f>
        <v>0</v>
      </c>
      <c r="U309" s="25">
        <f>IF(B309="","",COUNTIFS(Appointments!$E$5:$E$1204,A309,Appointments!$M$5:$M$1204,"Completed",Appointments!$B$5:$B$1204,"&gt;="&amp;TodayDate-365))</f>
        <v>0</v>
      </c>
      <c r="V309" s="25">
        <f>IF(B309="","",COUNTIFS(Appointments!$E$5:$E$1204,A309,Appointments!$M$5:$M$1204,"Cancelled"))</f>
        <v>0</v>
      </c>
      <c r="W309" s="25">
        <f>IF(B309="","",COUNTIFS(Appointments!$E$5:$E$1204,A309,Appointments!$M$5:$M$1204,"No show"))</f>
        <v>0</v>
      </c>
      <c r="X309" s="17">
        <f>IF(B309="","",IF(F309&lt;&gt;"",F309,IF(T309=0,"",SUMPRODUCT(MIN((Appointments!$E$5:$E$1204=A309)*(Appointments!$M$5:$M$1204="Completed")*Appointments!$B$5:$B$1204+(1-(Appointments!$E$5:$E$1204=A309)*(Appointments!$M$5:$M$1204="Completed"))*2958465)))))</f>
        <v>0</v>
      </c>
      <c r="Y309" s="17">
        <f>IF(B309="","",IF(T309=0,"",SUMPRODUCT(MAX((Appointments!$E$5:$E$1204=A309)*(Appointments!$M$5:$M$1204="Completed")*Appointments!$B$5:$B$1204))))</f>
        <v>0</v>
      </c>
      <c r="Z309" s="25">
        <f>IF(B309="","",IF(Y309="","",TodayDate-Y309))</f>
        <v>0</v>
      </c>
      <c r="AA309" s="42">
        <f>IF(B309="","",SUMPRODUCT(MIN((Appointments!$E$5:$E$1204=A309)*(Appointments!$M$5:$M$1204&lt;&gt;"Cancelled")*(Appointments!$M$5:$M$1204&lt;&gt;"Completed")*(Appointments!$M$5:$M$1204&lt;&gt;"No show")*(Appointments!$B$5:$B$1204&gt;=TodayDate)*Appointments!$B$5:$B$1204+(1-(Appointments!$E$5:$E$1204=A309)*(Appointments!$M$5:$M$1204&lt;&gt;"Cancelled")*(Appointments!$M$5:$M$1204&lt;&gt;"Completed")*(Appointments!$M$5:$M$1204&lt;&gt;"No show")*(Appointments!$B$5:$B$1204&gt;=TodayDate))*2958465)))</f>
        <v>0</v>
      </c>
      <c r="AB309" s="17">
        <f>IF(B309="","",IF(AA309&gt;=2958465,"",AA309))</f>
        <v>0</v>
      </c>
      <c r="AC309" s="25">
        <f>IF(B309="","",IF(T309&lt;2,"",ROUND((Y309-X309)/MAX(1,T309-1),0)))</f>
        <v>0</v>
      </c>
      <c r="AD309" s="17">
        <f>IF(B309="","",IF(Y309="","",Y309+IF(AC309="",RebookWeeks*7,MAX(14,AC309))))</f>
        <v>0</v>
      </c>
      <c r="AE309" s="26">
        <f>IF(B309="","",ROUND(SUMIFS(Sales!$Y$5:$Y$1204,Sales!$D$5:$D$1204,A309),2))</f>
        <v>0</v>
      </c>
      <c r="AF309" s="26">
        <f>IF(B309="","",ROUND(SUMIFS(Sales!$Y$5:$Y$1204,Sales!$D$5:$D$1204,A309,Sales!$H$5:$H$1204,"Service"),2))</f>
        <v>0</v>
      </c>
      <c r="AG309" s="26">
        <f>IF(B309="","",ROUND(SUMIFS(Sales!$Y$5:$Y$1204,Sales!$D$5:$D$1204,A309,Sales!$H$5:$H$1204,"Retail"),2))</f>
        <v>0</v>
      </c>
      <c r="AH309" s="26">
        <f>IF(B309="","",ROUND(SUMIFS(Sales!$Y$5:$Y$1204,Sales!$D$5:$D$1204,A309,Sales!$B$5:$B$1204,"&gt;="&amp;TodayDate-365),2))</f>
        <v>0</v>
      </c>
      <c r="AI309" s="26">
        <f>IF(B309="","",IF(T309=0,"",ROUND(AE309/T309,2)))</f>
        <v>0</v>
      </c>
      <c r="AJ309" s="26">
        <f>IF(B309="","",IF(AI309="","",IF(AC309="","",ROUND(AI309*(365/MAX(14,AC309)),2))))</f>
        <v>0</v>
      </c>
      <c r="AK309" s="26">
        <f>IF(B309="","",ROUND(SUMIFS(Sales!$AH$5:$AH$1204,Sales!$D$5:$D$1204,A309),2))</f>
        <v>0</v>
      </c>
      <c r="AL309" s="25">
        <f>IF(B309="","",IFERROR(INDEX(Loyalty!$P$5:$P$504,MATCH(A309,Loyalty!$B$5:$B$504,0))*1,0))</f>
        <v>0</v>
      </c>
      <c r="AM309" s="39">
        <f>IF(B309="","",IF(R309="Archived","Archived",IF(T309=0,"Not been yet",IF(Z309&gt;=InactiveDays,"Inactive",IF(Z309&gt;=LapsingDays,"Lapsing",IF(T309=1,"New",IF(AH309&gt;=VipSpend,"VIP",IF(U309&gt;=4,"Regular","Active"))))))))</f>
        <v>0</v>
      </c>
      <c r="AN309" s="38">
        <f>IF(B309="","",IF(T309&gt;=2,"Yes","No"))</f>
        <v>0</v>
      </c>
      <c r="AO309" s="25">
        <f>IF(B309="","",COUNTIFS($AE$5:$AE$504,"&gt;"&amp;AE309)+COUNTIFS($AE$5:AE309,AE309))</f>
        <v>0</v>
      </c>
      <c r="AP309" s="25">
        <f>IF(B309="","",COUNTIFS($T$5:$T$504,"&gt;"&amp;T309)+COUNTIFS($T$5:T309,T309))</f>
        <v>0</v>
      </c>
      <c r="AQ309" s="39">
        <f>IF(B309="","",IF(COUNTIF($B$5:$B$504,B309)&gt;1,"Duplicate - same name twice",IF(R309="Archived","",IF(AK309&gt;0.004,"Chase - balance outstanding",IF(AM309="Inactive","Gone - win-back offer",IF(AM309="Lapsing","Chase - lapsing, call them",IF(IF(N309="",FALSE,TodayDate-N309&gt;PatchTestDays),"Due - patch test out of date",IF(IF(AD309="",FALSE,IF(AB309&lt;&gt;"",FALSE,AD309&lt;=TodayDate+14)),"Rebook - due and nothing booked",IF(IF(K309="",FALSE,ABS(DATE(YEAR(TodayDate),MONTH(K309),DAY(K309))-TodayDate)&lt;=7),"Birthday - send the treat","OK")))))))))</f>
        <v>0</v>
      </c>
    </row>
    <row r="310" spans="1:43">
      <c r="A310" s="28">
        <f>IF(B310="","",ClientPrefix&amp;TEXT(ROW()-4,"0000"))</f>
        <v>0</v>
      </c>
      <c r="J310" s="15">
        <f>IF(I310="","",IFERROR(INDEX(Staff!$B$5:$B$44,MATCH(I310,Staff!$A$5:$A$44,0)),"Not in Staff"))</f>
        <v>0</v>
      </c>
      <c r="T310" s="25">
        <f>IF(B310="","",COUNTIFS(Appointments!$E$5:$E$1204,A310,Appointments!$M$5:$M$1204,"Completed"))</f>
        <v>0</v>
      </c>
      <c r="U310" s="25">
        <f>IF(B310="","",COUNTIFS(Appointments!$E$5:$E$1204,A310,Appointments!$M$5:$M$1204,"Completed",Appointments!$B$5:$B$1204,"&gt;="&amp;TodayDate-365))</f>
        <v>0</v>
      </c>
      <c r="V310" s="25">
        <f>IF(B310="","",COUNTIFS(Appointments!$E$5:$E$1204,A310,Appointments!$M$5:$M$1204,"Cancelled"))</f>
        <v>0</v>
      </c>
      <c r="W310" s="25">
        <f>IF(B310="","",COUNTIFS(Appointments!$E$5:$E$1204,A310,Appointments!$M$5:$M$1204,"No show"))</f>
        <v>0</v>
      </c>
      <c r="X310" s="17">
        <f>IF(B310="","",IF(F310&lt;&gt;"",F310,IF(T310=0,"",SUMPRODUCT(MIN((Appointments!$E$5:$E$1204=A310)*(Appointments!$M$5:$M$1204="Completed")*Appointments!$B$5:$B$1204+(1-(Appointments!$E$5:$E$1204=A310)*(Appointments!$M$5:$M$1204="Completed"))*2958465)))))</f>
        <v>0</v>
      </c>
      <c r="Y310" s="17">
        <f>IF(B310="","",IF(T310=0,"",SUMPRODUCT(MAX((Appointments!$E$5:$E$1204=A310)*(Appointments!$M$5:$M$1204="Completed")*Appointments!$B$5:$B$1204))))</f>
        <v>0</v>
      </c>
      <c r="Z310" s="25">
        <f>IF(B310="","",IF(Y310="","",TodayDate-Y310))</f>
        <v>0</v>
      </c>
      <c r="AA310" s="42">
        <f>IF(B310="","",SUMPRODUCT(MIN((Appointments!$E$5:$E$1204=A310)*(Appointments!$M$5:$M$1204&lt;&gt;"Cancelled")*(Appointments!$M$5:$M$1204&lt;&gt;"Completed")*(Appointments!$M$5:$M$1204&lt;&gt;"No show")*(Appointments!$B$5:$B$1204&gt;=TodayDate)*Appointments!$B$5:$B$1204+(1-(Appointments!$E$5:$E$1204=A310)*(Appointments!$M$5:$M$1204&lt;&gt;"Cancelled")*(Appointments!$M$5:$M$1204&lt;&gt;"Completed")*(Appointments!$M$5:$M$1204&lt;&gt;"No show")*(Appointments!$B$5:$B$1204&gt;=TodayDate))*2958465)))</f>
        <v>0</v>
      </c>
      <c r="AB310" s="17">
        <f>IF(B310="","",IF(AA310&gt;=2958465,"",AA310))</f>
        <v>0</v>
      </c>
      <c r="AC310" s="25">
        <f>IF(B310="","",IF(T310&lt;2,"",ROUND((Y310-X310)/MAX(1,T310-1),0)))</f>
        <v>0</v>
      </c>
      <c r="AD310" s="17">
        <f>IF(B310="","",IF(Y310="","",Y310+IF(AC310="",RebookWeeks*7,MAX(14,AC310))))</f>
        <v>0</v>
      </c>
      <c r="AE310" s="26">
        <f>IF(B310="","",ROUND(SUMIFS(Sales!$Y$5:$Y$1204,Sales!$D$5:$D$1204,A310),2))</f>
        <v>0</v>
      </c>
      <c r="AF310" s="26">
        <f>IF(B310="","",ROUND(SUMIFS(Sales!$Y$5:$Y$1204,Sales!$D$5:$D$1204,A310,Sales!$H$5:$H$1204,"Service"),2))</f>
        <v>0</v>
      </c>
      <c r="AG310" s="26">
        <f>IF(B310="","",ROUND(SUMIFS(Sales!$Y$5:$Y$1204,Sales!$D$5:$D$1204,A310,Sales!$H$5:$H$1204,"Retail"),2))</f>
        <v>0</v>
      </c>
      <c r="AH310" s="26">
        <f>IF(B310="","",ROUND(SUMIFS(Sales!$Y$5:$Y$1204,Sales!$D$5:$D$1204,A310,Sales!$B$5:$B$1204,"&gt;="&amp;TodayDate-365),2))</f>
        <v>0</v>
      </c>
      <c r="AI310" s="26">
        <f>IF(B310="","",IF(T310=0,"",ROUND(AE310/T310,2)))</f>
        <v>0</v>
      </c>
      <c r="AJ310" s="26">
        <f>IF(B310="","",IF(AI310="","",IF(AC310="","",ROUND(AI310*(365/MAX(14,AC310)),2))))</f>
        <v>0</v>
      </c>
      <c r="AK310" s="26">
        <f>IF(B310="","",ROUND(SUMIFS(Sales!$AH$5:$AH$1204,Sales!$D$5:$D$1204,A310),2))</f>
        <v>0</v>
      </c>
      <c r="AL310" s="25">
        <f>IF(B310="","",IFERROR(INDEX(Loyalty!$P$5:$P$504,MATCH(A310,Loyalty!$B$5:$B$504,0))*1,0))</f>
        <v>0</v>
      </c>
      <c r="AM310" s="39">
        <f>IF(B310="","",IF(R310="Archived","Archived",IF(T310=0,"Not been yet",IF(Z310&gt;=InactiveDays,"Inactive",IF(Z310&gt;=LapsingDays,"Lapsing",IF(T310=1,"New",IF(AH310&gt;=VipSpend,"VIP",IF(U310&gt;=4,"Regular","Active"))))))))</f>
        <v>0</v>
      </c>
      <c r="AN310" s="38">
        <f>IF(B310="","",IF(T310&gt;=2,"Yes","No"))</f>
        <v>0</v>
      </c>
      <c r="AO310" s="25">
        <f>IF(B310="","",COUNTIFS($AE$5:$AE$504,"&gt;"&amp;AE310)+COUNTIFS($AE$5:AE310,AE310))</f>
        <v>0</v>
      </c>
      <c r="AP310" s="25">
        <f>IF(B310="","",COUNTIFS($T$5:$T$504,"&gt;"&amp;T310)+COUNTIFS($T$5:T310,T310))</f>
        <v>0</v>
      </c>
      <c r="AQ310" s="39">
        <f>IF(B310="","",IF(COUNTIF($B$5:$B$504,B310)&gt;1,"Duplicate - same name twice",IF(R310="Archived","",IF(AK310&gt;0.004,"Chase - balance outstanding",IF(AM310="Inactive","Gone - win-back offer",IF(AM310="Lapsing","Chase - lapsing, call them",IF(IF(N310="",FALSE,TodayDate-N310&gt;PatchTestDays),"Due - patch test out of date",IF(IF(AD310="",FALSE,IF(AB310&lt;&gt;"",FALSE,AD310&lt;=TodayDate+14)),"Rebook - due and nothing booked",IF(IF(K310="",FALSE,ABS(DATE(YEAR(TodayDate),MONTH(K310),DAY(K310))-TodayDate)&lt;=7),"Birthday - send the treat","OK")))))))))</f>
        <v>0</v>
      </c>
    </row>
    <row r="311" spans="1:43">
      <c r="A311" s="28">
        <f>IF(B311="","",ClientPrefix&amp;TEXT(ROW()-4,"0000"))</f>
        <v>0</v>
      </c>
      <c r="J311" s="15">
        <f>IF(I311="","",IFERROR(INDEX(Staff!$B$5:$B$44,MATCH(I311,Staff!$A$5:$A$44,0)),"Not in Staff"))</f>
        <v>0</v>
      </c>
      <c r="T311" s="25">
        <f>IF(B311="","",COUNTIFS(Appointments!$E$5:$E$1204,A311,Appointments!$M$5:$M$1204,"Completed"))</f>
        <v>0</v>
      </c>
      <c r="U311" s="25">
        <f>IF(B311="","",COUNTIFS(Appointments!$E$5:$E$1204,A311,Appointments!$M$5:$M$1204,"Completed",Appointments!$B$5:$B$1204,"&gt;="&amp;TodayDate-365))</f>
        <v>0</v>
      </c>
      <c r="V311" s="25">
        <f>IF(B311="","",COUNTIFS(Appointments!$E$5:$E$1204,A311,Appointments!$M$5:$M$1204,"Cancelled"))</f>
        <v>0</v>
      </c>
      <c r="W311" s="25">
        <f>IF(B311="","",COUNTIFS(Appointments!$E$5:$E$1204,A311,Appointments!$M$5:$M$1204,"No show"))</f>
        <v>0</v>
      </c>
      <c r="X311" s="17">
        <f>IF(B311="","",IF(F311&lt;&gt;"",F311,IF(T311=0,"",SUMPRODUCT(MIN((Appointments!$E$5:$E$1204=A311)*(Appointments!$M$5:$M$1204="Completed")*Appointments!$B$5:$B$1204+(1-(Appointments!$E$5:$E$1204=A311)*(Appointments!$M$5:$M$1204="Completed"))*2958465)))))</f>
        <v>0</v>
      </c>
      <c r="Y311" s="17">
        <f>IF(B311="","",IF(T311=0,"",SUMPRODUCT(MAX((Appointments!$E$5:$E$1204=A311)*(Appointments!$M$5:$M$1204="Completed")*Appointments!$B$5:$B$1204))))</f>
        <v>0</v>
      </c>
      <c r="Z311" s="25">
        <f>IF(B311="","",IF(Y311="","",TodayDate-Y311))</f>
        <v>0</v>
      </c>
      <c r="AA311" s="42">
        <f>IF(B311="","",SUMPRODUCT(MIN((Appointments!$E$5:$E$1204=A311)*(Appointments!$M$5:$M$1204&lt;&gt;"Cancelled")*(Appointments!$M$5:$M$1204&lt;&gt;"Completed")*(Appointments!$M$5:$M$1204&lt;&gt;"No show")*(Appointments!$B$5:$B$1204&gt;=TodayDate)*Appointments!$B$5:$B$1204+(1-(Appointments!$E$5:$E$1204=A311)*(Appointments!$M$5:$M$1204&lt;&gt;"Cancelled")*(Appointments!$M$5:$M$1204&lt;&gt;"Completed")*(Appointments!$M$5:$M$1204&lt;&gt;"No show")*(Appointments!$B$5:$B$1204&gt;=TodayDate))*2958465)))</f>
        <v>0</v>
      </c>
      <c r="AB311" s="17">
        <f>IF(B311="","",IF(AA311&gt;=2958465,"",AA311))</f>
        <v>0</v>
      </c>
      <c r="AC311" s="25">
        <f>IF(B311="","",IF(T311&lt;2,"",ROUND((Y311-X311)/MAX(1,T311-1),0)))</f>
        <v>0</v>
      </c>
      <c r="AD311" s="17">
        <f>IF(B311="","",IF(Y311="","",Y311+IF(AC311="",RebookWeeks*7,MAX(14,AC311))))</f>
        <v>0</v>
      </c>
      <c r="AE311" s="26">
        <f>IF(B311="","",ROUND(SUMIFS(Sales!$Y$5:$Y$1204,Sales!$D$5:$D$1204,A311),2))</f>
        <v>0</v>
      </c>
      <c r="AF311" s="26">
        <f>IF(B311="","",ROUND(SUMIFS(Sales!$Y$5:$Y$1204,Sales!$D$5:$D$1204,A311,Sales!$H$5:$H$1204,"Service"),2))</f>
        <v>0</v>
      </c>
      <c r="AG311" s="26">
        <f>IF(B311="","",ROUND(SUMIFS(Sales!$Y$5:$Y$1204,Sales!$D$5:$D$1204,A311,Sales!$H$5:$H$1204,"Retail"),2))</f>
        <v>0</v>
      </c>
      <c r="AH311" s="26">
        <f>IF(B311="","",ROUND(SUMIFS(Sales!$Y$5:$Y$1204,Sales!$D$5:$D$1204,A311,Sales!$B$5:$B$1204,"&gt;="&amp;TodayDate-365),2))</f>
        <v>0</v>
      </c>
      <c r="AI311" s="26">
        <f>IF(B311="","",IF(T311=0,"",ROUND(AE311/T311,2)))</f>
        <v>0</v>
      </c>
      <c r="AJ311" s="26">
        <f>IF(B311="","",IF(AI311="","",IF(AC311="","",ROUND(AI311*(365/MAX(14,AC311)),2))))</f>
        <v>0</v>
      </c>
      <c r="AK311" s="26">
        <f>IF(B311="","",ROUND(SUMIFS(Sales!$AH$5:$AH$1204,Sales!$D$5:$D$1204,A311),2))</f>
        <v>0</v>
      </c>
      <c r="AL311" s="25">
        <f>IF(B311="","",IFERROR(INDEX(Loyalty!$P$5:$P$504,MATCH(A311,Loyalty!$B$5:$B$504,0))*1,0))</f>
        <v>0</v>
      </c>
      <c r="AM311" s="39">
        <f>IF(B311="","",IF(R311="Archived","Archived",IF(T311=0,"Not been yet",IF(Z311&gt;=InactiveDays,"Inactive",IF(Z311&gt;=LapsingDays,"Lapsing",IF(T311=1,"New",IF(AH311&gt;=VipSpend,"VIP",IF(U311&gt;=4,"Regular","Active"))))))))</f>
        <v>0</v>
      </c>
      <c r="AN311" s="38">
        <f>IF(B311="","",IF(T311&gt;=2,"Yes","No"))</f>
        <v>0</v>
      </c>
      <c r="AO311" s="25">
        <f>IF(B311="","",COUNTIFS($AE$5:$AE$504,"&gt;"&amp;AE311)+COUNTIFS($AE$5:AE311,AE311))</f>
        <v>0</v>
      </c>
      <c r="AP311" s="25">
        <f>IF(B311="","",COUNTIFS($T$5:$T$504,"&gt;"&amp;T311)+COUNTIFS($T$5:T311,T311))</f>
        <v>0</v>
      </c>
      <c r="AQ311" s="39">
        <f>IF(B311="","",IF(COUNTIF($B$5:$B$504,B311)&gt;1,"Duplicate - same name twice",IF(R311="Archived","",IF(AK311&gt;0.004,"Chase - balance outstanding",IF(AM311="Inactive","Gone - win-back offer",IF(AM311="Lapsing","Chase - lapsing, call them",IF(IF(N311="",FALSE,TodayDate-N311&gt;PatchTestDays),"Due - patch test out of date",IF(IF(AD311="",FALSE,IF(AB311&lt;&gt;"",FALSE,AD311&lt;=TodayDate+14)),"Rebook - due and nothing booked",IF(IF(K311="",FALSE,ABS(DATE(YEAR(TodayDate),MONTH(K311),DAY(K311))-TodayDate)&lt;=7),"Birthday - send the treat","OK")))))))))</f>
        <v>0</v>
      </c>
    </row>
    <row r="312" spans="1:43">
      <c r="A312" s="28">
        <f>IF(B312="","",ClientPrefix&amp;TEXT(ROW()-4,"0000"))</f>
        <v>0</v>
      </c>
      <c r="J312" s="15">
        <f>IF(I312="","",IFERROR(INDEX(Staff!$B$5:$B$44,MATCH(I312,Staff!$A$5:$A$44,0)),"Not in Staff"))</f>
        <v>0</v>
      </c>
      <c r="T312" s="25">
        <f>IF(B312="","",COUNTIFS(Appointments!$E$5:$E$1204,A312,Appointments!$M$5:$M$1204,"Completed"))</f>
        <v>0</v>
      </c>
      <c r="U312" s="25">
        <f>IF(B312="","",COUNTIFS(Appointments!$E$5:$E$1204,A312,Appointments!$M$5:$M$1204,"Completed",Appointments!$B$5:$B$1204,"&gt;="&amp;TodayDate-365))</f>
        <v>0</v>
      </c>
      <c r="V312" s="25">
        <f>IF(B312="","",COUNTIFS(Appointments!$E$5:$E$1204,A312,Appointments!$M$5:$M$1204,"Cancelled"))</f>
        <v>0</v>
      </c>
      <c r="W312" s="25">
        <f>IF(B312="","",COUNTIFS(Appointments!$E$5:$E$1204,A312,Appointments!$M$5:$M$1204,"No show"))</f>
        <v>0</v>
      </c>
      <c r="X312" s="17">
        <f>IF(B312="","",IF(F312&lt;&gt;"",F312,IF(T312=0,"",SUMPRODUCT(MIN((Appointments!$E$5:$E$1204=A312)*(Appointments!$M$5:$M$1204="Completed")*Appointments!$B$5:$B$1204+(1-(Appointments!$E$5:$E$1204=A312)*(Appointments!$M$5:$M$1204="Completed"))*2958465)))))</f>
        <v>0</v>
      </c>
      <c r="Y312" s="17">
        <f>IF(B312="","",IF(T312=0,"",SUMPRODUCT(MAX((Appointments!$E$5:$E$1204=A312)*(Appointments!$M$5:$M$1204="Completed")*Appointments!$B$5:$B$1204))))</f>
        <v>0</v>
      </c>
      <c r="Z312" s="25">
        <f>IF(B312="","",IF(Y312="","",TodayDate-Y312))</f>
        <v>0</v>
      </c>
      <c r="AA312" s="42">
        <f>IF(B312="","",SUMPRODUCT(MIN((Appointments!$E$5:$E$1204=A312)*(Appointments!$M$5:$M$1204&lt;&gt;"Cancelled")*(Appointments!$M$5:$M$1204&lt;&gt;"Completed")*(Appointments!$M$5:$M$1204&lt;&gt;"No show")*(Appointments!$B$5:$B$1204&gt;=TodayDate)*Appointments!$B$5:$B$1204+(1-(Appointments!$E$5:$E$1204=A312)*(Appointments!$M$5:$M$1204&lt;&gt;"Cancelled")*(Appointments!$M$5:$M$1204&lt;&gt;"Completed")*(Appointments!$M$5:$M$1204&lt;&gt;"No show")*(Appointments!$B$5:$B$1204&gt;=TodayDate))*2958465)))</f>
        <v>0</v>
      </c>
      <c r="AB312" s="17">
        <f>IF(B312="","",IF(AA312&gt;=2958465,"",AA312))</f>
        <v>0</v>
      </c>
      <c r="AC312" s="25">
        <f>IF(B312="","",IF(T312&lt;2,"",ROUND((Y312-X312)/MAX(1,T312-1),0)))</f>
        <v>0</v>
      </c>
      <c r="AD312" s="17">
        <f>IF(B312="","",IF(Y312="","",Y312+IF(AC312="",RebookWeeks*7,MAX(14,AC312))))</f>
        <v>0</v>
      </c>
      <c r="AE312" s="26">
        <f>IF(B312="","",ROUND(SUMIFS(Sales!$Y$5:$Y$1204,Sales!$D$5:$D$1204,A312),2))</f>
        <v>0</v>
      </c>
      <c r="AF312" s="26">
        <f>IF(B312="","",ROUND(SUMIFS(Sales!$Y$5:$Y$1204,Sales!$D$5:$D$1204,A312,Sales!$H$5:$H$1204,"Service"),2))</f>
        <v>0</v>
      </c>
      <c r="AG312" s="26">
        <f>IF(B312="","",ROUND(SUMIFS(Sales!$Y$5:$Y$1204,Sales!$D$5:$D$1204,A312,Sales!$H$5:$H$1204,"Retail"),2))</f>
        <v>0</v>
      </c>
      <c r="AH312" s="26">
        <f>IF(B312="","",ROUND(SUMIFS(Sales!$Y$5:$Y$1204,Sales!$D$5:$D$1204,A312,Sales!$B$5:$B$1204,"&gt;="&amp;TodayDate-365),2))</f>
        <v>0</v>
      </c>
      <c r="AI312" s="26">
        <f>IF(B312="","",IF(T312=0,"",ROUND(AE312/T312,2)))</f>
        <v>0</v>
      </c>
      <c r="AJ312" s="26">
        <f>IF(B312="","",IF(AI312="","",IF(AC312="","",ROUND(AI312*(365/MAX(14,AC312)),2))))</f>
        <v>0</v>
      </c>
      <c r="AK312" s="26">
        <f>IF(B312="","",ROUND(SUMIFS(Sales!$AH$5:$AH$1204,Sales!$D$5:$D$1204,A312),2))</f>
        <v>0</v>
      </c>
      <c r="AL312" s="25">
        <f>IF(B312="","",IFERROR(INDEX(Loyalty!$P$5:$P$504,MATCH(A312,Loyalty!$B$5:$B$504,0))*1,0))</f>
        <v>0</v>
      </c>
      <c r="AM312" s="39">
        <f>IF(B312="","",IF(R312="Archived","Archived",IF(T312=0,"Not been yet",IF(Z312&gt;=InactiveDays,"Inactive",IF(Z312&gt;=LapsingDays,"Lapsing",IF(T312=1,"New",IF(AH312&gt;=VipSpend,"VIP",IF(U312&gt;=4,"Regular","Active"))))))))</f>
        <v>0</v>
      </c>
      <c r="AN312" s="38">
        <f>IF(B312="","",IF(T312&gt;=2,"Yes","No"))</f>
        <v>0</v>
      </c>
      <c r="AO312" s="25">
        <f>IF(B312="","",COUNTIFS($AE$5:$AE$504,"&gt;"&amp;AE312)+COUNTIFS($AE$5:AE312,AE312))</f>
        <v>0</v>
      </c>
      <c r="AP312" s="25">
        <f>IF(B312="","",COUNTIFS($T$5:$T$504,"&gt;"&amp;T312)+COUNTIFS($T$5:T312,T312))</f>
        <v>0</v>
      </c>
      <c r="AQ312" s="39">
        <f>IF(B312="","",IF(COUNTIF($B$5:$B$504,B312)&gt;1,"Duplicate - same name twice",IF(R312="Archived","",IF(AK312&gt;0.004,"Chase - balance outstanding",IF(AM312="Inactive","Gone - win-back offer",IF(AM312="Lapsing","Chase - lapsing, call them",IF(IF(N312="",FALSE,TodayDate-N312&gt;PatchTestDays),"Due - patch test out of date",IF(IF(AD312="",FALSE,IF(AB312&lt;&gt;"",FALSE,AD312&lt;=TodayDate+14)),"Rebook - due and nothing booked",IF(IF(K312="",FALSE,ABS(DATE(YEAR(TodayDate),MONTH(K312),DAY(K312))-TodayDate)&lt;=7),"Birthday - send the treat","OK")))))))))</f>
        <v>0</v>
      </c>
    </row>
    <row r="313" spans="1:43">
      <c r="A313" s="28">
        <f>IF(B313="","",ClientPrefix&amp;TEXT(ROW()-4,"0000"))</f>
        <v>0</v>
      </c>
      <c r="J313" s="15">
        <f>IF(I313="","",IFERROR(INDEX(Staff!$B$5:$B$44,MATCH(I313,Staff!$A$5:$A$44,0)),"Not in Staff"))</f>
        <v>0</v>
      </c>
      <c r="T313" s="25">
        <f>IF(B313="","",COUNTIFS(Appointments!$E$5:$E$1204,A313,Appointments!$M$5:$M$1204,"Completed"))</f>
        <v>0</v>
      </c>
      <c r="U313" s="25">
        <f>IF(B313="","",COUNTIFS(Appointments!$E$5:$E$1204,A313,Appointments!$M$5:$M$1204,"Completed",Appointments!$B$5:$B$1204,"&gt;="&amp;TodayDate-365))</f>
        <v>0</v>
      </c>
      <c r="V313" s="25">
        <f>IF(B313="","",COUNTIFS(Appointments!$E$5:$E$1204,A313,Appointments!$M$5:$M$1204,"Cancelled"))</f>
        <v>0</v>
      </c>
      <c r="W313" s="25">
        <f>IF(B313="","",COUNTIFS(Appointments!$E$5:$E$1204,A313,Appointments!$M$5:$M$1204,"No show"))</f>
        <v>0</v>
      </c>
      <c r="X313" s="17">
        <f>IF(B313="","",IF(F313&lt;&gt;"",F313,IF(T313=0,"",SUMPRODUCT(MIN((Appointments!$E$5:$E$1204=A313)*(Appointments!$M$5:$M$1204="Completed")*Appointments!$B$5:$B$1204+(1-(Appointments!$E$5:$E$1204=A313)*(Appointments!$M$5:$M$1204="Completed"))*2958465)))))</f>
        <v>0</v>
      </c>
      <c r="Y313" s="17">
        <f>IF(B313="","",IF(T313=0,"",SUMPRODUCT(MAX((Appointments!$E$5:$E$1204=A313)*(Appointments!$M$5:$M$1204="Completed")*Appointments!$B$5:$B$1204))))</f>
        <v>0</v>
      </c>
      <c r="Z313" s="25">
        <f>IF(B313="","",IF(Y313="","",TodayDate-Y313))</f>
        <v>0</v>
      </c>
      <c r="AA313" s="42">
        <f>IF(B313="","",SUMPRODUCT(MIN((Appointments!$E$5:$E$1204=A313)*(Appointments!$M$5:$M$1204&lt;&gt;"Cancelled")*(Appointments!$M$5:$M$1204&lt;&gt;"Completed")*(Appointments!$M$5:$M$1204&lt;&gt;"No show")*(Appointments!$B$5:$B$1204&gt;=TodayDate)*Appointments!$B$5:$B$1204+(1-(Appointments!$E$5:$E$1204=A313)*(Appointments!$M$5:$M$1204&lt;&gt;"Cancelled")*(Appointments!$M$5:$M$1204&lt;&gt;"Completed")*(Appointments!$M$5:$M$1204&lt;&gt;"No show")*(Appointments!$B$5:$B$1204&gt;=TodayDate))*2958465)))</f>
        <v>0</v>
      </c>
      <c r="AB313" s="17">
        <f>IF(B313="","",IF(AA313&gt;=2958465,"",AA313))</f>
        <v>0</v>
      </c>
      <c r="AC313" s="25">
        <f>IF(B313="","",IF(T313&lt;2,"",ROUND((Y313-X313)/MAX(1,T313-1),0)))</f>
        <v>0</v>
      </c>
      <c r="AD313" s="17">
        <f>IF(B313="","",IF(Y313="","",Y313+IF(AC313="",RebookWeeks*7,MAX(14,AC313))))</f>
        <v>0</v>
      </c>
      <c r="AE313" s="26">
        <f>IF(B313="","",ROUND(SUMIFS(Sales!$Y$5:$Y$1204,Sales!$D$5:$D$1204,A313),2))</f>
        <v>0</v>
      </c>
      <c r="AF313" s="26">
        <f>IF(B313="","",ROUND(SUMIFS(Sales!$Y$5:$Y$1204,Sales!$D$5:$D$1204,A313,Sales!$H$5:$H$1204,"Service"),2))</f>
        <v>0</v>
      </c>
      <c r="AG313" s="26">
        <f>IF(B313="","",ROUND(SUMIFS(Sales!$Y$5:$Y$1204,Sales!$D$5:$D$1204,A313,Sales!$H$5:$H$1204,"Retail"),2))</f>
        <v>0</v>
      </c>
      <c r="AH313" s="26">
        <f>IF(B313="","",ROUND(SUMIFS(Sales!$Y$5:$Y$1204,Sales!$D$5:$D$1204,A313,Sales!$B$5:$B$1204,"&gt;="&amp;TodayDate-365),2))</f>
        <v>0</v>
      </c>
      <c r="AI313" s="26">
        <f>IF(B313="","",IF(T313=0,"",ROUND(AE313/T313,2)))</f>
        <v>0</v>
      </c>
      <c r="AJ313" s="26">
        <f>IF(B313="","",IF(AI313="","",IF(AC313="","",ROUND(AI313*(365/MAX(14,AC313)),2))))</f>
        <v>0</v>
      </c>
      <c r="AK313" s="26">
        <f>IF(B313="","",ROUND(SUMIFS(Sales!$AH$5:$AH$1204,Sales!$D$5:$D$1204,A313),2))</f>
        <v>0</v>
      </c>
      <c r="AL313" s="25">
        <f>IF(B313="","",IFERROR(INDEX(Loyalty!$P$5:$P$504,MATCH(A313,Loyalty!$B$5:$B$504,0))*1,0))</f>
        <v>0</v>
      </c>
      <c r="AM313" s="39">
        <f>IF(B313="","",IF(R313="Archived","Archived",IF(T313=0,"Not been yet",IF(Z313&gt;=InactiveDays,"Inactive",IF(Z313&gt;=LapsingDays,"Lapsing",IF(T313=1,"New",IF(AH313&gt;=VipSpend,"VIP",IF(U313&gt;=4,"Regular","Active"))))))))</f>
        <v>0</v>
      </c>
      <c r="AN313" s="38">
        <f>IF(B313="","",IF(T313&gt;=2,"Yes","No"))</f>
        <v>0</v>
      </c>
      <c r="AO313" s="25">
        <f>IF(B313="","",COUNTIFS($AE$5:$AE$504,"&gt;"&amp;AE313)+COUNTIFS($AE$5:AE313,AE313))</f>
        <v>0</v>
      </c>
      <c r="AP313" s="25">
        <f>IF(B313="","",COUNTIFS($T$5:$T$504,"&gt;"&amp;T313)+COUNTIFS($T$5:T313,T313))</f>
        <v>0</v>
      </c>
      <c r="AQ313" s="39">
        <f>IF(B313="","",IF(COUNTIF($B$5:$B$504,B313)&gt;1,"Duplicate - same name twice",IF(R313="Archived","",IF(AK313&gt;0.004,"Chase - balance outstanding",IF(AM313="Inactive","Gone - win-back offer",IF(AM313="Lapsing","Chase - lapsing, call them",IF(IF(N313="",FALSE,TodayDate-N313&gt;PatchTestDays),"Due - patch test out of date",IF(IF(AD313="",FALSE,IF(AB313&lt;&gt;"",FALSE,AD313&lt;=TodayDate+14)),"Rebook - due and nothing booked",IF(IF(K313="",FALSE,ABS(DATE(YEAR(TodayDate),MONTH(K313),DAY(K313))-TodayDate)&lt;=7),"Birthday - send the treat","OK")))))))))</f>
        <v>0</v>
      </c>
    </row>
    <row r="314" spans="1:43">
      <c r="A314" s="28">
        <f>IF(B314="","",ClientPrefix&amp;TEXT(ROW()-4,"0000"))</f>
        <v>0</v>
      </c>
      <c r="J314" s="15">
        <f>IF(I314="","",IFERROR(INDEX(Staff!$B$5:$B$44,MATCH(I314,Staff!$A$5:$A$44,0)),"Not in Staff"))</f>
        <v>0</v>
      </c>
      <c r="T314" s="25">
        <f>IF(B314="","",COUNTIFS(Appointments!$E$5:$E$1204,A314,Appointments!$M$5:$M$1204,"Completed"))</f>
        <v>0</v>
      </c>
      <c r="U314" s="25">
        <f>IF(B314="","",COUNTIFS(Appointments!$E$5:$E$1204,A314,Appointments!$M$5:$M$1204,"Completed",Appointments!$B$5:$B$1204,"&gt;="&amp;TodayDate-365))</f>
        <v>0</v>
      </c>
      <c r="V314" s="25">
        <f>IF(B314="","",COUNTIFS(Appointments!$E$5:$E$1204,A314,Appointments!$M$5:$M$1204,"Cancelled"))</f>
        <v>0</v>
      </c>
      <c r="W314" s="25">
        <f>IF(B314="","",COUNTIFS(Appointments!$E$5:$E$1204,A314,Appointments!$M$5:$M$1204,"No show"))</f>
        <v>0</v>
      </c>
      <c r="X314" s="17">
        <f>IF(B314="","",IF(F314&lt;&gt;"",F314,IF(T314=0,"",SUMPRODUCT(MIN((Appointments!$E$5:$E$1204=A314)*(Appointments!$M$5:$M$1204="Completed")*Appointments!$B$5:$B$1204+(1-(Appointments!$E$5:$E$1204=A314)*(Appointments!$M$5:$M$1204="Completed"))*2958465)))))</f>
        <v>0</v>
      </c>
      <c r="Y314" s="17">
        <f>IF(B314="","",IF(T314=0,"",SUMPRODUCT(MAX((Appointments!$E$5:$E$1204=A314)*(Appointments!$M$5:$M$1204="Completed")*Appointments!$B$5:$B$1204))))</f>
        <v>0</v>
      </c>
      <c r="Z314" s="25">
        <f>IF(B314="","",IF(Y314="","",TodayDate-Y314))</f>
        <v>0</v>
      </c>
      <c r="AA314" s="42">
        <f>IF(B314="","",SUMPRODUCT(MIN((Appointments!$E$5:$E$1204=A314)*(Appointments!$M$5:$M$1204&lt;&gt;"Cancelled")*(Appointments!$M$5:$M$1204&lt;&gt;"Completed")*(Appointments!$M$5:$M$1204&lt;&gt;"No show")*(Appointments!$B$5:$B$1204&gt;=TodayDate)*Appointments!$B$5:$B$1204+(1-(Appointments!$E$5:$E$1204=A314)*(Appointments!$M$5:$M$1204&lt;&gt;"Cancelled")*(Appointments!$M$5:$M$1204&lt;&gt;"Completed")*(Appointments!$M$5:$M$1204&lt;&gt;"No show")*(Appointments!$B$5:$B$1204&gt;=TodayDate))*2958465)))</f>
        <v>0</v>
      </c>
      <c r="AB314" s="17">
        <f>IF(B314="","",IF(AA314&gt;=2958465,"",AA314))</f>
        <v>0</v>
      </c>
      <c r="AC314" s="25">
        <f>IF(B314="","",IF(T314&lt;2,"",ROUND((Y314-X314)/MAX(1,T314-1),0)))</f>
        <v>0</v>
      </c>
      <c r="AD314" s="17">
        <f>IF(B314="","",IF(Y314="","",Y314+IF(AC314="",RebookWeeks*7,MAX(14,AC314))))</f>
        <v>0</v>
      </c>
      <c r="AE314" s="26">
        <f>IF(B314="","",ROUND(SUMIFS(Sales!$Y$5:$Y$1204,Sales!$D$5:$D$1204,A314),2))</f>
        <v>0</v>
      </c>
      <c r="AF314" s="26">
        <f>IF(B314="","",ROUND(SUMIFS(Sales!$Y$5:$Y$1204,Sales!$D$5:$D$1204,A314,Sales!$H$5:$H$1204,"Service"),2))</f>
        <v>0</v>
      </c>
      <c r="AG314" s="26">
        <f>IF(B314="","",ROUND(SUMIFS(Sales!$Y$5:$Y$1204,Sales!$D$5:$D$1204,A314,Sales!$H$5:$H$1204,"Retail"),2))</f>
        <v>0</v>
      </c>
      <c r="AH314" s="26">
        <f>IF(B314="","",ROUND(SUMIFS(Sales!$Y$5:$Y$1204,Sales!$D$5:$D$1204,A314,Sales!$B$5:$B$1204,"&gt;="&amp;TodayDate-365),2))</f>
        <v>0</v>
      </c>
      <c r="AI314" s="26">
        <f>IF(B314="","",IF(T314=0,"",ROUND(AE314/T314,2)))</f>
        <v>0</v>
      </c>
      <c r="AJ314" s="26">
        <f>IF(B314="","",IF(AI314="","",IF(AC314="","",ROUND(AI314*(365/MAX(14,AC314)),2))))</f>
        <v>0</v>
      </c>
      <c r="AK314" s="26">
        <f>IF(B314="","",ROUND(SUMIFS(Sales!$AH$5:$AH$1204,Sales!$D$5:$D$1204,A314),2))</f>
        <v>0</v>
      </c>
      <c r="AL314" s="25">
        <f>IF(B314="","",IFERROR(INDEX(Loyalty!$P$5:$P$504,MATCH(A314,Loyalty!$B$5:$B$504,0))*1,0))</f>
        <v>0</v>
      </c>
      <c r="AM314" s="39">
        <f>IF(B314="","",IF(R314="Archived","Archived",IF(T314=0,"Not been yet",IF(Z314&gt;=InactiveDays,"Inactive",IF(Z314&gt;=LapsingDays,"Lapsing",IF(T314=1,"New",IF(AH314&gt;=VipSpend,"VIP",IF(U314&gt;=4,"Regular","Active"))))))))</f>
        <v>0</v>
      </c>
      <c r="AN314" s="38">
        <f>IF(B314="","",IF(T314&gt;=2,"Yes","No"))</f>
        <v>0</v>
      </c>
      <c r="AO314" s="25">
        <f>IF(B314="","",COUNTIFS($AE$5:$AE$504,"&gt;"&amp;AE314)+COUNTIFS($AE$5:AE314,AE314))</f>
        <v>0</v>
      </c>
      <c r="AP314" s="25">
        <f>IF(B314="","",COUNTIFS($T$5:$T$504,"&gt;"&amp;T314)+COUNTIFS($T$5:T314,T314))</f>
        <v>0</v>
      </c>
      <c r="AQ314" s="39">
        <f>IF(B314="","",IF(COUNTIF($B$5:$B$504,B314)&gt;1,"Duplicate - same name twice",IF(R314="Archived","",IF(AK314&gt;0.004,"Chase - balance outstanding",IF(AM314="Inactive","Gone - win-back offer",IF(AM314="Lapsing","Chase - lapsing, call them",IF(IF(N314="",FALSE,TodayDate-N314&gt;PatchTestDays),"Due - patch test out of date",IF(IF(AD314="",FALSE,IF(AB314&lt;&gt;"",FALSE,AD314&lt;=TodayDate+14)),"Rebook - due and nothing booked",IF(IF(K314="",FALSE,ABS(DATE(YEAR(TodayDate),MONTH(K314),DAY(K314))-TodayDate)&lt;=7),"Birthday - send the treat","OK")))))))))</f>
        <v>0</v>
      </c>
    </row>
    <row r="315" spans="1:43">
      <c r="A315" s="28">
        <f>IF(B315="","",ClientPrefix&amp;TEXT(ROW()-4,"0000"))</f>
        <v>0</v>
      </c>
      <c r="J315" s="15">
        <f>IF(I315="","",IFERROR(INDEX(Staff!$B$5:$B$44,MATCH(I315,Staff!$A$5:$A$44,0)),"Not in Staff"))</f>
        <v>0</v>
      </c>
      <c r="T315" s="25">
        <f>IF(B315="","",COUNTIFS(Appointments!$E$5:$E$1204,A315,Appointments!$M$5:$M$1204,"Completed"))</f>
        <v>0</v>
      </c>
      <c r="U315" s="25">
        <f>IF(B315="","",COUNTIFS(Appointments!$E$5:$E$1204,A315,Appointments!$M$5:$M$1204,"Completed",Appointments!$B$5:$B$1204,"&gt;="&amp;TodayDate-365))</f>
        <v>0</v>
      </c>
      <c r="V315" s="25">
        <f>IF(B315="","",COUNTIFS(Appointments!$E$5:$E$1204,A315,Appointments!$M$5:$M$1204,"Cancelled"))</f>
        <v>0</v>
      </c>
      <c r="W315" s="25">
        <f>IF(B315="","",COUNTIFS(Appointments!$E$5:$E$1204,A315,Appointments!$M$5:$M$1204,"No show"))</f>
        <v>0</v>
      </c>
      <c r="X315" s="17">
        <f>IF(B315="","",IF(F315&lt;&gt;"",F315,IF(T315=0,"",SUMPRODUCT(MIN((Appointments!$E$5:$E$1204=A315)*(Appointments!$M$5:$M$1204="Completed")*Appointments!$B$5:$B$1204+(1-(Appointments!$E$5:$E$1204=A315)*(Appointments!$M$5:$M$1204="Completed"))*2958465)))))</f>
        <v>0</v>
      </c>
      <c r="Y315" s="17">
        <f>IF(B315="","",IF(T315=0,"",SUMPRODUCT(MAX((Appointments!$E$5:$E$1204=A315)*(Appointments!$M$5:$M$1204="Completed")*Appointments!$B$5:$B$1204))))</f>
        <v>0</v>
      </c>
      <c r="Z315" s="25">
        <f>IF(B315="","",IF(Y315="","",TodayDate-Y315))</f>
        <v>0</v>
      </c>
      <c r="AA315" s="42">
        <f>IF(B315="","",SUMPRODUCT(MIN((Appointments!$E$5:$E$1204=A315)*(Appointments!$M$5:$M$1204&lt;&gt;"Cancelled")*(Appointments!$M$5:$M$1204&lt;&gt;"Completed")*(Appointments!$M$5:$M$1204&lt;&gt;"No show")*(Appointments!$B$5:$B$1204&gt;=TodayDate)*Appointments!$B$5:$B$1204+(1-(Appointments!$E$5:$E$1204=A315)*(Appointments!$M$5:$M$1204&lt;&gt;"Cancelled")*(Appointments!$M$5:$M$1204&lt;&gt;"Completed")*(Appointments!$M$5:$M$1204&lt;&gt;"No show")*(Appointments!$B$5:$B$1204&gt;=TodayDate))*2958465)))</f>
        <v>0</v>
      </c>
      <c r="AB315" s="17">
        <f>IF(B315="","",IF(AA315&gt;=2958465,"",AA315))</f>
        <v>0</v>
      </c>
      <c r="AC315" s="25">
        <f>IF(B315="","",IF(T315&lt;2,"",ROUND((Y315-X315)/MAX(1,T315-1),0)))</f>
        <v>0</v>
      </c>
      <c r="AD315" s="17">
        <f>IF(B315="","",IF(Y315="","",Y315+IF(AC315="",RebookWeeks*7,MAX(14,AC315))))</f>
        <v>0</v>
      </c>
      <c r="AE315" s="26">
        <f>IF(B315="","",ROUND(SUMIFS(Sales!$Y$5:$Y$1204,Sales!$D$5:$D$1204,A315),2))</f>
        <v>0</v>
      </c>
      <c r="AF315" s="26">
        <f>IF(B315="","",ROUND(SUMIFS(Sales!$Y$5:$Y$1204,Sales!$D$5:$D$1204,A315,Sales!$H$5:$H$1204,"Service"),2))</f>
        <v>0</v>
      </c>
      <c r="AG315" s="26">
        <f>IF(B315="","",ROUND(SUMIFS(Sales!$Y$5:$Y$1204,Sales!$D$5:$D$1204,A315,Sales!$H$5:$H$1204,"Retail"),2))</f>
        <v>0</v>
      </c>
      <c r="AH315" s="26">
        <f>IF(B315="","",ROUND(SUMIFS(Sales!$Y$5:$Y$1204,Sales!$D$5:$D$1204,A315,Sales!$B$5:$B$1204,"&gt;="&amp;TodayDate-365),2))</f>
        <v>0</v>
      </c>
      <c r="AI315" s="26">
        <f>IF(B315="","",IF(T315=0,"",ROUND(AE315/T315,2)))</f>
        <v>0</v>
      </c>
      <c r="AJ315" s="26">
        <f>IF(B315="","",IF(AI315="","",IF(AC315="","",ROUND(AI315*(365/MAX(14,AC315)),2))))</f>
        <v>0</v>
      </c>
      <c r="AK315" s="26">
        <f>IF(B315="","",ROUND(SUMIFS(Sales!$AH$5:$AH$1204,Sales!$D$5:$D$1204,A315),2))</f>
        <v>0</v>
      </c>
      <c r="AL315" s="25">
        <f>IF(B315="","",IFERROR(INDEX(Loyalty!$P$5:$P$504,MATCH(A315,Loyalty!$B$5:$B$504,0))*1,0))</f>
        <v>0</v>
      </c>
      <c r="AM315" s="39">
        <f>IF(B315="","",IF(R315="Archived","Archived",IF(T315=0,"Not been yet",IF(Z315&gt;=InactiveDays,"Inactive",IF(Z315&gt;=LapsingDays,"Lapsing",IF(T315=1,"New",IF(AH315&gt;=VipSpend,"VIP",IF(U315&gt;=4,"Regular","Active"))))))))</f>
        <v>0</v>
      </c>
      <c r="AN315" s="38">
        <f>IF(B315="","",IF(T315&gt;=2,"Yes","No"))</f>
        <v>0</v>
      </c>
      <c r="AO315" s="25">
        <f>IF(B315="","",COUNTIFS($AE$5:$AE$504,"&gt;"&amp;AE315)+COUNTIFS($AE$5:AE315,AE315))</f>
        <v>0</v>
      </c>
      <c r="AP315" s="25">
        <f>IF(B315="","",COUNTIFS($T$5:$T$504,"&gt;"&amp;T315)+COUNTIFS($T$5:T315,T315))</f>
        <v>0</v>
      </c>
      <c r="AQ315" s="39">
        <f>IF(B315="","",IF(COUNTIF($B$5:$B$504,B315)&gt;1,"Duplicate - same name twice",IF(R315="Archived","",IF(AK315&gt;0.004,"Chase - balance outstanding",IF(AM315="Inactive","Gone - win-back offer",IF(AM315="Lapsing","Chase - lapsing, call them",IF(IF(N315="",FALSE,TodayDate-N315&gt;PatchTestDays),"Due - patch test out of date",IF(IF(AD315="",FALSE,IF(AB315&lt;&gt;"",FALSE,AD315&lt;=TodayDate+14)),"Rebook - due and nothing booked",IF(IF(K315="",FALSE,ABS(DATE(YEAR(TodayDate),MONTH(K315),DAY(K315))-TodayDate)&lt;=7),"Birthday - send the treat","OK")))))))))</f>
        <v>0</v>
      </c>
    </row>
    <row r="316" spans="1:43">
      <c r="A316" s="28">
        <f>IF(B316="","",ClientPrefix&amp;TEXT(ROW()-4,"0000"))</f>
        <v>0</v>
      </c>
      <c r="J316" s="15">
        <f>IF(I316="","",IFERROR(INDEX(Staff!$B$5:$B$44,MATCH(I316,Staff!$A$5:$A$44,0)),"Not in Staff"))</f>
        <v>0</v>
      </c>
      <c r="T316" s="25">
        <f>IF(B316="","",COUNTIFS(Appointments!$E$5:$E$1204,A316,Appointments!$M$5:$M$1204,"Completed"))</f>
        <v>0</v>
      </c>
      <c r="U316" s="25">
        <f>IF(B316="","",COUNTIFS(Appointments!$E$5:$E$1204,A316,Appointments!$M$5:$M$1204,"Completed",Appointments!$B$5:$B$1204,"&gt;="&amp;TodayDate-365))</f>
        <v>0</v>
      </c>
      <c r="V316" s="25">
        <f>IF(B316="","",COUNTIFS(Appointments!$E$5:$E$1204,A316,Appointments!$M$5:$M$1204,"Cancelled"))</f>
        <v>0</v>
      </c>
      <c r="W316" s="25">
        <f>IF(B316="","",COUNTIFS(Appointments!$E$5:$E$1204,A316,Appointments!$M$5:$M$1204,"No show"))</f>
        <v>0</v>
      </c>
      <c r="X316" s="17">
        <f>IF(B316="","",IF(F316&lt;&gt;"",F316,IF(T316=0,"",SUMPRODUCT(MIN((Appointments!$E$5:$E$1204=A316)*(Appointments!$M$5:$M$1204="Completed")*Appointments!$B$5:$B$1204+(1-(Appointments!$E$5:$E$1204=A316)*(Appointments!$M$5:$M$1204="Completed"))*2958465)))))</f>
        <v>0</v>
      </c>
      <c r="Y316" s="17">
        <f>IF(B316="","",IF(T316=0,"",SUMPRODUCT(MAX((Appointments!$E$5:$E$1204=A316)*(Appointments!$M$5:$M$1204="Completed")*Appointments!$B$5:$B$1204))))</f>
        <v>0</v>
      </c>
      <c r="Z316" s="25">
        <f>IF(B316="","",IF(Y316="","",TodayDate-Y316))</f>
        <v>0</v>
      </c>
      <c r="AA316" s="42">
        <f>IF(B316="","",SUMPRODUCT(MIN((Appointments!$E$5:$E$1204=A316)*(Appointments!$M$5:$M$1204&lt;&gt;"Cancelled")*(Appointments!$M$5:$M$1204&lt;&gt;"Completed")*(Appointments!$M$5:$M$1204&lt;&gt;"No show")*(Appointments!$B$5:$B$1204&gt;=TodayDate)*Appointments!$B$5:$B$1204+(1-(Appointments!$E$5:$E$1204=A316)*(Appointments!$M$5:$M$1204&lt;&gt;"Cancelled")*(Appointments!$M$5:$M$1204&lt;&gt;"Completed")*(Appointments!$M$5:$M$1204&lt;&gt;"No show")*(Appointments!$B$5:$B$1204&gt;=TodayDate))*2958465)))</f>
        <v>0</v>
      </c>
      <c r="AB316" s="17">
        <f>IF(B316="","",IF(AA316&gt;=2958465,"",AA316))</f>
        <v>0</v>
      </c>
      <c r="AC316" s="25">
        <f>IF(B316="","",IF(T316&lt;2,"",ROUND((Y316-X316)/MAX(1,T316-1),0)))</f>
        <v>0</v>
      </c>
      <c r="AD316" s="17">
        <f>IF(B316="","",IF(Y316="","",Y316+IF(AC316="",RebookWeeks*7,MAX(14,AC316))))</f>
        <v>0</v>
      </c>
      <c r="AE316" s="26">
        <f>IF(B316="","",ROUND(SUMIFS(Sales!$Y$5:$Y$1204,Sales!$D$5:$D$1204,A316),2))</f>
        <v>0</v>
      </c>
      <c r="AF316" s="26">
        <f>IF(B316="","",ROUND(SUMIFS(Sales!$Y$5:$Y$1204,Sales!$D$5:$D$1204,A316,Sales!$H$5:$H$1204,"Service"),2))</f>
        <v>0</v>
      </c>
      <c r="AG316" s="26">
        <f>IF(B316="","",ROUND(SUMIFS(Sales!$Y$5:$Y$1204,Sales!$D$5:$D$1204,A316,Sales!$H$5:$H$1204,"Retail"),2))</f>
        <v>0</v>
      </c>
      <c r="AH316" s="26">
        <f>IF(B316="","",ROUND(SUMIFS(Sales!$Y$5:$Y$1204,Sales!$D$5:$D$1204,A316,Sales!$B$5:$B$1204,"&gt;="&amp;TodayDate-365),2))</f>
        <v>0</v>
      </c>
      <c r="AI316" s="26">
        <f>IF(B316="","",IF(T316=0,"",ROUND(AE316/T316,2)))</f>
        <v>0</v>
      </c>
      <c r="AJ316" s="26">
        <f>IF(B316="","",IF(AI316="","",IF(AC316="","",ROUND(AI316*(365/MAX(14,AC316)),2))))</f>
        <v>0</v>
      </c>
      <c r="AK316" s="26">
        <f>IF(B316="","",ROUND(SUMIFS(Sales!$AH$5:$AH$1204,Sales!$D$5:$D$1204,A316),2))</f>
        <v>0</v>
      </c>
      <c r="AL316" s="25">
        <f>IF(B316="","",IFERROR(INDEX(Loyalty!$P$5:$P$504,MATCH(A316,Loyalty!$B$5:$B$504,0))*1,0))</f>
        <v>0</v>
      </c>
      <c r="AM316" s="39">
        <f>IF(B316="","",IF(R316="Archived","Archived",IF(T316=0,"Not been yet",IF(Z316&gt;=InactiveDays,"Inactive",IF(Z316&gt;=LapsingDays,"Lapsing",IF(T316=1,"New",IF(AH316&gt;=VipSpend,"VIP",IF(U316&gt;=4,"Regular","Active"))))))))</f>
        <v>0</v>
      </c>
      <c r="AN316" s="38">
        <f>IF(B316="","",IF(T316&gt;=2,"Yes","No"))</f>
        <v>0</v>
      </c>
      <c r="AO316" s="25">
        <f>IF(B316="","",COUNTIFS($AE$5:$AE$504,"&gt;"&amp;AE316)+COUNTIFS($AE$5:AE316,AE316))</f>
        <v>0</v>
      </c>
      <c r="AP316" s="25">
        <f>IF(B316="","",COUNTIFS($T$5:$T$504,"&gt;"&amp;T316)+COUNTIFS($T$5:T316,T316))</f>
        <v>0</v>
      </c>
      <c r="AQ316" s="39">
        <f>IF(B316="","",IF(COUNTIF($B$5:$B$504,B316)&gt;1,"Duplicate - same name twice",IF(R316="Archived","",IF(AK316&gt;0.004,"Chase - balance outstanding",IF(AM316="Inactive","Gone - win-back offer",IF(AM316="Lapsing","Chase - lapsing, call them",IF(IF(N316="",FALSE,TodayDate-N316&gt;PatchTestDays),"Due - patch test out of date",IF(IF(AD316="",FALSE,IF(AB316&lt;&gt;"",FALSE,AD316&lt;=TodayDate+14)),"Rebook - due and nothing booked",IF(IF(K316="",FALSE,ABS(DATE(YEAR(TodayDate),MONTH(K316),DAY(K316))-TodayDate)&lt;=7),"Birthday - send the treat","OK")))))))))</f>
        <v>0</v>
      </c>
    </row>
    <row r="317" spans="1:43">
      <c r="A317" s="28">
        <f>IF(B317="","",ClientPrefix&amp;TEXT(ROW()-4,"0000"))</f>
        <v>0</v>
      </c>
      <c r="J317" s="15">
        <f>IF(I317="","",IFERROR(INDEX(Staff!$B$5:$B$44,MATCH(I317,Staff!$A$5:$A$44,0)),"Not in Staff"))</f>
        <v>0</v>
      </c>
      <c r="T317" s="25">
        <f>IF(B317="","",COUNTIFS(Appointments!$E$5:$E$1204,A317,Appointments!$M$5:$M$1204,"Completed"))</f>
        <v>0</v>
      </c>
      <c r="U317" s="25">
        <f>IF(B317="","",COUNTIFS(Appointments!$E$5:$E$1204,A317,Appointments!$M$5:$M$1204,"Completed",Appointments!$B$5:$B$1204,"&gt;="&amp;TodayDate-365))</f>
        <v>0</v>
      </c>
      <c r="V317" s="25">
        <f>IF(B317="","",COUNTIFS(Appointments!$E$5:$E$1204,A317,Appointments!$M$5:$M$1204,"Cancelled"))</f>
        <v>0</v>
      </c>
      <c r="W317" s="25">
        <f>IF(B317="","",COUNTIFS(Appointments!$E$5:$E$1204,A317,Appointments!$M$5:$M$1204,"No show"))</f>
        <v>0</v>
      </c>
      <c r="X317" s="17">
        <f>IF(B317="","",IF(F317&lt;&gt;"",F317,IF(T317=0,"",SUMPRODUCT(MIN((Appointments!$E$5:$E$1204=A317)*(Appointments!$M$5:$M$1204="Completed")*Appointments!$B$5:$B$1204+(1-(Appointments!$E$5:$E$1204=A317)*(Appointments!$M$5:$M$1204="Completed"))*2958465)))))</f>
        <v>0</v>
      </c>
      <c r="Y317" s="17">
        <f>IF(B317="","",IF(T317=0,"",SUMPRODUCT(MAX((Appointments!$E$5:$E$1204=A317)*(Appointments!$M$5:$M$1204="Completed")*Appointments!$B$5:$B$1204))))</f>
        <v>0</v>
      </c>
      <c r="Z317" s="25">
        <f>IF(B317="","",IF(Y317="","",TodayDate-Y317))</f>
        <v>0</v>
      </c>
      <c r="AA317" s="42">
        <f>IF(B317="","",SUMPRODUCT(MIN((Appointments!$E$5:$E$1204=A317)*(Appointments!$M$5:$M$1204&lt;&gt;"Cancelled")*(Appointments!$M$5:$M$1204&lt;&gt;"Completed")*(Appointments!$M$5:$M$1204&lt;&gt;"No show")*(Appointments!$B$5:$B$1204&gt;=TodayDate)*Appointments!$B$5:$B$1204+(1-(Appointments!$E$5:$E$1204=A317)*(Appointments!$M$5:$M$1204&lt;&gt;"Cancelled")*(Appointments!$M$5:$M$1204&lt;&gt;"Completed")*(Appointments!$M$5:$M$1204&lt;&gt;"No show")*(Appointments!$B$5:$B$1204&gt;=TodayDate))*2958465)))</f>
        <v>0</v>
      </c>
      <c r="AB317" s="17">
        <f>IF(B317="","",IF(AA317&gt;=2958465,"",AA317))</f>
        <v>0</v>
      </c>
      <c r="AC317" s="25">
        <f>IF(B317="","",IF(T317&lt;2,"",ROUND((Y317-X317)/MAX(1,T317-1),0)))</f>
        <v>0</v>
      </c>
      <c r="AD317" s="17">
        <f>IF(B317="","",IF(Y317="","",Y317+IF(AC317="",RebookWeeks*7,MAX(14,AC317))))</f>
        <v>0</v>
      </c>
      <c r="AE317" s="26">
        <f>IF(B317="","",ROUND(SUMIFS(Sales!$Y$5:$Y$1204,Sales!$D$5:$D$1204,A317),2))</f>
        <v>0</v>
      </c>
      <c r="AF317" s="26">
        <f>IF(B317="","",ROUND(SUMIFS(Sales!$Y$5:$Y$1204,Sales!$D$5:$D$1204,A317,Sales!$H$5:$H$1204,"Service"),2))</f>
        <v>0</v>
      </c>
      <c r="AG317" s="26">
        <f>IF(B317="","",ROUND(SUMIFS(Sales!$Y$5:$Y$1204,Sales!$D$5:$D$1204,A317,Sales!$H$5:$H$1204,"Retail"),2))</f>
        <v>0</v>
      </c>
      <c r="AH317" s="26">
        <f>IF(B317="","",ROUND(SUMIFS(Sales!$Y$5:$Y$1204,Sales!$D$5:$D$1204,A317,Sales!$B$5:$B$1204,"&gt;="&amp;TodayDate-365),2))</f>
        <v>0</v>
      </c>
      <c r="AI317" s="26">
        <f>IF(B317="","",IF(T317=0,"",ROUND(AE317/T317,2)))</f>
        <v>0</v>
      </c>
      <c r="AJ317" s="26">
        <f>IF(B317="","",IF(AI317="","",IF(AC317="","",ROUND(AI317*(365/MAX(14,AC317)),2))))</f>
        <v>0</v>
      </c>
      <c r="AK317" s="26">
        <f>IF(B317="","",ROUND(SUMIFS(Sales!$AH$5:$AH$1204,Sales!$D$5:$D$1204,A317),2))</f>
        <v>0</v>
      </c>
      <c r="AL317" s="25">
        <f>IF(B317="","",IFERROR(INDEX(Loyalty!$P$5:$P$504,MATCH(A317,Loyalty!$B$5:$B$504,0))*1,0))</f>
        <v>0</v>
      </c>
      <c r="AM317" s="39">
        <f>IF(B317="","",IF(R317="Archived","Archived",IF(T317=0,"Not been yet",IF(Z317&gt;=InactiveDays,"Inactive",IF(Z317&gt;=LapsingDays,"Lapsing",IF(T317=1,"New",IF(AH317&gt;=VipSpend,"VIP",IF(U317&gt;=4,"Regular","Active"))))))))</f>
        <v>0</v>
      </c>
      <c r="AN317" s="38">
        <f>IF(B317="","",IF(T317&gt;=2,"Yes","No"))</f>
        <v>0</v>
      </c>
      <c r="AO317" s="25">
        <f>IF(B317="","",COUNTIFS($AE$5:$AE$504,"&gt;"&amp;AE317)+COUNTIFS($AE$5:AE317,AE317))</f>
        <v>0</v>
      </c>
      <c r="AP317" s="25">
        <f>IF(B317="","",COUNTIFS($T$5:$T$504,"&gt;"&amp;T317)+COUNTIFS($T$5:T317,T317))</f>
        <v>0</v>
      </c>
      <c r="AQ317" s="39">
        <f>IF(B317="","",IF(COUNTIF($B$5:$B$504,B317)&gt;1,"Duplicate - same name twice",IF(R317="Archived","",IF(AK317&gt;0.004,"Chase - balance outstanding",IF(AM317="Inactive","Gone - win-back offer",IF(AM317="Lapsing","Chase - lapsing, call them",IF(IF(N317="",FALSE,TodayDate-N317&gt;PatchTestDays),"Due - patch test out of date",IF(IF(AD317="",FALSE,IF(AB317&lt;&gt;"",FALSE,AD317&lt;=TodayDate+14)),"Rebook - due and nothing booked",IF(IF(K317="",FALSE,ABS(DATE(YEAR(TodayDate),MONTH(K317),DAY(K317))-TodayDate)&lt;=7),"Birthday - send the treat","OK")))))))))</f>
        <v>0</v>
      </c>
    </row>
    <row r="318" spans="1:43">
      <c r="A318" s="28">
        <f>IF(B318="","",ClientPrefix&amp;TEXT(ROW()-4,"0000"))</f>
        <v>0</v>
      </c>
      <c r="J318" s="15">
        <f>IF(I318="","",IFERROR(INDEX(Staff!$B$5:$B$44,MATCH(I318,Staff!$A$5:$A$44,0)),"Not in Staff"))</f>
        <v>0</v>
      </c>
      <c r="T318" s="25">
        <f>IF(B318="","",COUNTIFS(Appointments!$E$5:$E$1204,A318,Appointments!$M$5:$M$1204,"Completed"))</f>
        <v>0</v>
      </c>
      <c r="U318" s="25">
        <f>IF(B318="","",COUNTIFS(Appointments!$E$5:$E$1204,A318,Appointments!$M$5:$M$1204,"Completed",Appointments!$B$5:$B$1204,"&gt;="&amp;TodayDate-365))</f>
        <v>0</v>
      </c>
      <c r="V318" s="25">
        <f>IF(B318="","",COUNTIFS(Appointments!$E$5:$E$1204,A318,Appointments!$M$5:$M$1204,"Cancelled"))</f>
        <v>0</v>
      </c>
      <c r="W318" s="25">
        <f>IF(B318="","",COUNTIFS(Appointments!$E$5:$E$1204,A318,Appointments!$M$5:$M$1204,"No show"))</f>
        <v>0</v>
      </c>
      <c r="X318" s="17">
        <f>IF(B318="","",IF(F318&lt;&gt;"",F318,IF(T318=0,"",SUMPRODUCT(MIN((Appointments!$E$5:$E$1204=A318)*(Appointments!$M$5:$M$1204="Completed")*Appointments!$B$5:$B$1204+(1-(Appointments!$E$5:$E$1204=A318)*(Appointments!$M$5:$M$1204="Completed"))*2958465)))))</f>
        <v>0</v>
      </c>
      <c r="Y318" s="17">
        <f>IF(B318="","",IF(T318=0,"",SUMPRODUCT(MAX((Appointments!$E$5:$E$1204=A318)*(Appointments!$M$5:$M$1204="Completed")*Appointments!$B$5:$B$1204))))</f>
        <v>0</v>
      </c>
      <c r="Z318" s="25">
        <f>IF(B318="","",IF(Y318="","",TodayDate-Y318))</f>
        <v>0</v>
      </c>
      <c r="AA318" s="42">
        <f>IF(B318="","",SUMPRODUCT(MIN((Appointments!$E$5:$E$1204=A318)*(Appointments!$M$5:$M$1204&lt;&gt;"Cancelled")*(Appointments!$M$5:$M$1204&lt;&gt;"Completed")*(Appointments!$M$5:$M$1204&lt;&gt;"No show")*(Appointments!$B$5:$B$1204&gt;=TodayDate)*Appointments!$B$5:$B$1204+(1-(Appointments!$E$5:$E$1204=A318)*(Appointments!$M$5:$M$1204&lt;&gt;"Cancelled")*(Appointments!$M$5:$M$1204&lt;&gt;"Completed")*(Appointments!$M$5:$M$1204&lt;&gt;"No show")*(Appointments!$B$5:$B$1204&gt;=TodayDate))*2958465)))</f>
        <v>0</v>
      </c>
      <c r="AB318" s="17">
        <f>IF(B318="","",IF(AA318&gt;=2958465,"",AA318))</f>
        <v>0</v>
      </c>
      <c r="AC318" s="25">
        <f>IF(B318="","",IF(T318&lt;2,"",ROUND((Y318-X318)/MAX(1,T318-1),0)))</f>
        <v>0</v>
      </c>
      <c r="AD318" s="17">
        <f>IF(B318="","",IF(Y318="","",Y318+IF(AC318="",RebookWeeks*7,MAX(14,AC318))))</f>
        <v>0</v>
      </c>
      <c r="AE318" s="26">
        <f>IF(B318="","",ROUND(SUMIFS(Sales!$Y$5:$Y$1204,Sales!$D$5:$D$1204,A318),2))</f>
        <v>0</v>
      </c>
      <c r="AF318" s="26">
        <f>IF(B318="","",ROUND(SUMIFS(Sales!$Y$5:$Y$1204,Sales!$D$5:$D$1204,A318,Sales!$H$5:$H$1204,"Service"),2))</f>
        <v>0</v>
      </c>
      <c r="AG318" s="26">
        <f>IF(B318="","",ROUND(SUMIFS(Sales!$Y$5:$Y$1204,Sales!$D$5:$D$1204,A318,Sales!$H$5:$H$1204,"Retail"),2))</f>
        <v>0</v>
      </c>
      <c r="AH318" s="26">
        <f>IF(B318="","",ROUND(SUMIFS(Sales!$Y$5:$Y$1204,Sales!$D$5:$D$1204,A318,Sales!$B$5:$B$1204,"&gt;="&amp;TodayDate-365),2))</f>
        <v>0</v>
      </c>
      <c r="AI318" s="26">
        <f>IF(B318="","",IF(T318=0,"",ROUND(AE318/T318,2)))</f>
        <v>0</v>
      </c>
      <c r="AJ318" s="26">
        <f>IF(B318="","",IF(AI318="","",IF(AC318="","",ROUND(AI318*(365/MAX(14,AC318)),2))))</f>
        <v>0</v>
      </c>
      <c r="AK318" s="26">
        <f>IF(B318="","",ROUND(SUMIFS(Sales!$AH$5:$AH$1204,Sales!$D$5:$D$1204,A318),2))</f>
        <v>0</v>
      </c>
      <c r="AL318" s="25">
        <f>IF(B318="","",IFERROR(INDEX(Loyalty!$P$5:$P$504,MATCH(A318,Loyalty!$B$5:$B$504,0))*1,0))</f>
        <v>0</v>
      </c>
      <c r="AM318" s="39">
        <f>IF(B318="","",IF(R318="Archived","Archived",IF(T318=0,"Not been yet",IF(Z318&gt;=InactiveDays,"Inactive",IF(Z318&gt;=LapsingDays,"Lapsing",IF(T318=1,"New",IF(AH318&gt;=VipSpend,"VIP",IF(U318&gt;=4,"Regular","Active"))))))))</f>
        <v>0</v>
      </c>
      <c r="AN318" s="38">
        <f>IF(B318="","",IF(T318&gt;=2,"Yes","No"))</f>
        <v>0</v>
      </c>
      <c r="AO318" s="25">
        <f>IF(B318="","",COUNTIFS($AE$5:$AE$504,"&gt;"&amp;AE318)+COUNTIFS($AE$5:AE318,AE318))</f>
        <v>0</v>
      </c>
      <c r="AP318" s="25">
        <f>IF(B318="","",COUNTIFS($T$5:$T$504,"&gt;"&amp;T318)+COUNTIFS($T$5:T318,T318))</f>
        <v>0</v>
      </c>
      <c r="AQ318" s="39">
        <f>IF(B318="","",IF(COUNTIF($B$5:$B$504,B318)&gt;1,"Duplicate - same name twice",IF(R318="Archived","",IF(AK318&gt;0.004,"Chase - balance outstanding",IF(AM318="Inactive","Gone - win-back offer",IF(AM318="Lapsing","Chase - lapsing, call them",IF(IF(N318="",FALSE,TodayDate-N318&gt;PatchTestDays),"Due - patch test out of date",IF(IF(AD318="",FALSE,IF(AB318&lt;&gt;"",FALSE,AD318&lt;=TodayDate+14)),"Rebook - due and nothing booked",IF(IF(K318="",FALSE,ABS(DATE(YEAR(TodayDate),MONTH(K318),DAY(K318))-TodayDate)&lt;=7),"Birthday - send the treat","OK")))))))))</f>
        <v>0</v>
      </c>
    </row>
    <row r="319" spans="1:43">
      <c r="A319" s="28">
        <f>IF(B319="","",ClientPrefix&amp;TEXT(ROW()-4,"0000"))</f>
        <v>0</v>
      </c>
      <c r="J319" s="15">
        <f>IF(I319="","",IFERROR(INDEX(Staff!$B$5:$B$44,MATCH(I319,Staff!$A$5:$A$44,0)),"Not in Staff"))</f>
        <v>0</v>
      </c>
      <c r="T319" s="25">
        <f>IF(B319="","",COUNTIFS(Appointments!$E$5:$E$1204,A319,Appointments!$M$5:$M$1204,"Completed"))</f>
        <v>0</v>
      </c>
      <c r="U319" s="25">
        <f>IF(B319="","",COUNTIFS(Appointments!$E$5:$E$1204,A319,Appointments!$M$5:$M$1204,"Completed",Appointments!$B$5:$B$1204,"&gt;="&amp;TodayDate-365))</f>
        <v>0</v>
      </c>
      <c r="V319" s="25">
        <f>IF(B319="","",COUNTIFS(Appointments!$E$5:$E$1204,A319,Appointments!$M$5:$M$1204,"Cancelled"))</f>
        <v>0</v>
      </c>
      <c r="W319" s="25">
        <f>IF(B319="","",COUNTIFS(Appointments!$E$5:$E$1204,A319,Appointments!$M$5:$M$1204,"No show"))</f>
        <v>0</v>
      </c>
      <c r="X319" s="17">
        <f>IF(B319="","",IF(F319&lt;&gt;"",F319,IF(T319=0,"",SUMPRODUCT(MIN((Appointments!$E$5:$E$1204=A319)*(Appointments!$M$5:$M$1204="Completed")*Appointments!$B$5:$B$1204+(1-(Appointments!$E$5:$E$1204=A319)*(Appointments!$M$5:$M$1204="Completed"))*2958465)))))</f>
        <v>0</v>
      </c>
      <c r="Y319" s="17">
        <f>IF(B319="","",IF(T319=0,"",SUMPRODUCT(MAX((Appointments!$E$5:$E$1204=A319)*(Appointments!$M$5:$M$1204="Completed")*Appointments!$B$5:$B$1204))))</f>
        <v>0</v>
      </c>
      <c r="Z319" s="25">
        <f>IF(B319="","",IF(Y319="","",TodayDate-Y319))</f>
        <v>0</v>
      </c>
      <c r="AA319" s="42">
        <f>IF(B319="","",SUMPRODUCT(MIN((Appointments!$E$5:$E$1204=A319)*(Appointments!$M$5:$M$1204&lt;&gt;"Cancelled")*(Appointments!$M$5:$M$1204&lt;&gt;"Completed")*(Appointments!$M$5:$M$1204&lt;&gt;"No show")*(Appointments!$B$5:$B$1204&gt;=TodayDate)*Appointments!$B$5:$B$1204+(1-(Appointments!$E$5:$E$1204=A319)*(Appointments!$M$5:$M$1204&lt;&gt;"Cancelled")*(Appointments!$M$5:$M$1204&lt;&gt;"Completed")*(Appointments!$M$5:$M$1204&lt;&gt;"No show")*(Appointments!$B$5:$B$1204&gt;=TodayDate))*2958465)))</f>
        <v>0</v>
      </c>
      <c r="AB319" s="17">
        <f>IF(B319="","",IF(AA319&gt;=2958465,"",AA319))</f>
        <v>0</v>
      </c>
      <c r="AC319" s="25">
        <f>IF(B319="","",IF(T319&lt;2,"",ROUND((Y319-X319)/MAX(1,T319-1),0)))</f>
        <v>0</v>
      </c>
      <c r="AD319" s="17">
        <f>IF(B319="","",IF(Y319="","",Y319+IF(AC319="",RebookWeeks*7,MAX(14,AC319))))</f>
        <v>0</v>
      </c>
      <c r="AE319" s="26">
        <f>IF(B319="","",ROUND(SUMIFS(Sales!$Y$5:$Y$1204,Sales!$D$5:$D$1204,A319),2))</f>
        <v>0</v>
      </c>
      <c r="AF319" s="26">
        <f>IF(B319="","",ROUND(SUMIFS(Sales!$Y$5:$Y$1204,Sales!$D$5:$D$1204,A319,Sales!$H$5:$H$1204,"Service"),2))</f>
        <v>0</v>
      </c>
      <c r="AG319" s="26">
        <f>IF(B319="","",ROUND(SUMIFS(Sales!$Y$5:$Y$1204,Sales!$D$5:$D$1204,A319,Sales!$H$5:$H$1204,"Retail"),2))</f>
        <v>0</v>
      </c>
      <c r="AH319" s="26">
        <f>IF(B319="","",ROUND(SUMIFS(Sales!$Y$5:$Y$1204,Sales!$D$5:$D$1204,A319,Sales!$B$5:$B$1204,"&gt;="&amp;TodayDate-365),2))</f>
        <v>0</v>
      </c>
      <c r="AI319" s="26">
        <f>IF(B319="","",IF(T319=0,"",ROUND(AE319/T319,2)))</f>
        <v>0</v>
      </c>
      <c r="AJ319" s="26">
        <f>IF(B319="","",IF(AI319="","",IF(AC319="","",ROUND(AI319*(365/MAX(14,AC319)),2))))</f>
        <v>0</v>
      </c>
      <c r="AK319" s="26">
        <f>IF(B319="","",ROUND(SUMIFS(Sales!$AH$5:$AH$1204,Sales!$D$5:$D$1204,A319),2))</f>
        <v>0</v>
      </c>
      <c r="AL319" s="25">
        <f>IF(B319="","",IFERROR(INDEX(Loyalty!$P$5:$P$504,MATCH(A319,Loyalty!$B$5:$B$504,0))*1,0))</f>
        <v>0</v>
      </c>
      <c r="AM319" s="39">
        <f>IF(B319="","",IF(R319="Archived","Archived",IF(T319=0,"Not been yet",IF(Z319&gt;=InactiveDays,"Inactive",IF(Z319&gt;=LapsingDays,"Lapsing",IF(T319=1,"New",IF(AH319&gt;=VipSpend,"VIP",IF(U319&gt;=4,"Regular","Active"))))))))</f>
        <v>0</v>
      </c>
      <c r="AN319" s="38">
        <f>IF(B319="","",IF(T319&gt;=2,"Yes","No"))</f>
        <v>0</v>
      </c>
      <c r="AO319" s="25">
        <f>IF(B319="","",COUNTIFS($AE$5:$AE$504,"&gt;"&amp;AE319)+COUNTIFS($AE$5:AE319,AE319))</f>
        <v>0</v>
      </c>
      <c r="AP319" s="25">
        <f>IF(B319="","",COUNTIFS($T$5:$T$504,"&gt;"&amp;T319)+COUNTIFS($T$5:T319,T319))</f>
        <v>0</v>
      </c>
      <c r="AQ319" s="39">
        <f>IF(B319="","",IF(COUNTIF($B$5:$B$504,B319)&gt;1,"Duplicate - same name twice",IF(R319="Archived","",IF(AK319&gt;0.004,"Chase - balance outstanding",IF(AM319="Inactive","Gone - win-back offer",IF(AM319="Lapsing","Chase - lapsing, call them",IF(IF(N319="",FALSE,TodayDate-N319&gt;PatchTestDays),"Due - patch test out of date",IF(IF(AD319="",FALSE,IF(AB319&lt;&gt;"",FALSE,AD319&lt;=TodayDate+14)),"Rebook - due and nothing booked",IF(IF(K319="",FALSE,ABS(DATE(YEAR(TodayDate),MONTH(K319),DAY(K319))-TodayDate)&lt;=7),"Birthday - send the treat","OK")))))))))</f>
        <v>0</v>
      </c>
    </row>
    <row r="320" spans="1:43">
      <c r="A320" s="28">
        <f>IF(B320="","",ClientPrefix&amp;TEXT(ROW()-4,"0000"))</f>
        <v>0</v>
      </c>
      <c r="J320" s="15">
        <f>IF(I320="","",IFERROR(INDEX(Staff!$B$5:$B$44,MATCH(I320,Staff!$A$5:$A$44,0)),"Not in Staff"))</f>
        <v>0</v>
      </c>
      <c r="T320" s="25">
        <f>IF(B320="","",COUNTIFS(Appointments!$E$5:$E$1204,A320,Appointments!$M$5:$M$1204,"Completed"))</f>
        <v>0</v>
      </c>
      <c r="U320" s="25">
        <f>IF(B320="","",COUNTIFS(Appointments!$E$5:$E$1204,A320,Appointments!$M$5:$M$1204,"Completed",Appointments!$B$5:$B$1204,"&gt;="&amp;TodayDate-365))</f>
        <v>0</v>
      </c>
      <c r="V320" s="25">
        <f>IF(B320="","",COUNTIFS(Appointments!$E$5:$E$1204,A320,Appointments!$M$5:$M$1204,"Cancelled"))</f>
        <v>0</v>
      </c>
      <c r="W320" s="25">
        <f>IF(B320="","",COUNTIFS(Appointments!$E$5:$E$1204,A320,Appointments!$M$5:$M$1204,"No show"))</f>
        <v>0</v>
      </c>
      <c r="X320" s="17">
        <f>IF(B320="","",IF(F320&lt;&gt;"",F320,IF(T320=0,"",SUMPRODUCT(MIN((Appointments!$E$5:$E$1204=A320)*(Appointments!$M$5:$M$1204="Completed")*Appointments!$B$5:$B$1204+(1-(Appointments!$E$5:$E$1204=A320)*(Appointments!$M$5:$M$1204="Completed"))*2958465)))))</f>
        <v>0</v>
      </c>
      <c r="Y320" s="17">
        <f>IF(B320="","",IF(T320=0,"",SUMPRODUCT(MAX((Appointments!$E$5:$E$1204=A320)*(Appointments!$M$5:$M$1204="Completed")*Appointments!$B$5:$B$1204))))</f>
        <v>0</v>
      </c>
      <c r="Z320" s="25">
        <f>IF(B320="","",IF(Y320="","",TodayDate-Y320))</f>
        <v>0</v>
      </c>
      <c r="AA320" s="42">
        <f>IF(B320="","",SUMPRODUCT(MIN((Appointments!$E$5:$E$1204=A320)*(Appointments!$M$5:$M$1204&lt;&gt;"Cancelled")*(Appointments!$M$5:$M$1204&lt;&gt;"Completed")*(Appointments!$M$5:$M$1204&lt;&gt;"No show")*(Appointments!$B$5:$B$1204&gt;=TodayDate)*Appointments!$B$5:$B$1204+(1-(Appointments!$E$5:$E$1204=A320)*(Appointments!$M$5:$M$1204&lt;&gt;"Cancelled")*(Appointments!$M$5:$M$1204&lt;&gt;"Completed")*(Appointments!$M$5:$M$1204&lt;&gt;"No show")*(Appointments!$B$5:$B$1204&gt;=TodayDate))*2958465)))</f>
        <v>0</v>
      </c>
      <c r="AB320" s="17">
        <f>IF(B320="","",IF(AA320&gt;=2958465,"",AA320))</f>
        <v>0</v>
      </c>
      <c r="AC320" s="25">
        <f>IF(B320="","",IF(T320&lt;2,"",ROUND((Y320-X320)/MAX(1,T320-1),0)))</f>
        <v>0</v>
      </c>
      <c r="AD320" s="17">
        <f>IF(B320="","",IF(Y320="","",Y320+IF(AC320="",RebookWeeks*7,MAX(14,AC320))))</f>
        <v>0</v>
      </c>
      <c r="AE320" s="26">
        <f>IF(B320="","",ROUND(SUMIFS(Sales!$Y$5:$Y$1204,Sales!$D$5:$D$1204,A320),2))</f>
        <v>0</v>
      </c>
      <c r="AF320" s="26">
        <f>IF(B320="","",ROUND(SUMIFS(Sales!$Y$5:$Y$1204,Sales!$D$5:$D$1204,A320,Sales!$H$5:$H$1204,"Service"),2))</f>
        <v>0</v>
      </c>
      <c r="AG320" s="26">
        <f>IF(B320="","",ROUND(SUMIFS(Sales!$Y$5:$Y$1204,Sales!$D$5:$D$1204,A320,Sales!$H$5:$H$1204,"Retail"),2))</f>
        <v>0</v>
      </c>
      <c r="AH320" s="26">
        <f>IF(B320="","",ROUND(SUMIFS(Sales!$Y$5:$Y$1204,Sales!$D$5:$D$1204,A320,Sales!$B$5:$B$1204,"&gt;="&amp;TodayDate-365),2))</f>
        <v>0</v>
      </c>
      <c r="AI320" s="26">
        <f>IF(B320="","",IF(T320=0,"",ROUND(AE320/T320,2)))</f>
        <v>0</v>
      </c>
      <c r="AJ320" s="26">
        <f>IF(B320="","",IF(AI320="","",IF(AC320="","",ROUND(AI320*(365/MAX(14,AC320)),2))))</f>
        <v>0</v>
      </c>
      <c r="AK320" s="26">
        <f>IF(B320="","",ROUND(SUMIFS(Sales!$AH$5:$AH$1204,Sales!$D$5:$D$1204,A320),2))</f>
        <v>0</v>
      </c>
      <c r="AL320" s="25">
        <f>IF(B320="","",IFERROR(INDEX(Loyalty!$P$5:$P$504,MATCH(A320,Loyalty!$B$5:$B$504,0))*1,0))</f>
        <v>0</v>
      </c>
      <c r="AM320" s="39">
        <f>IF(B320="","",IF(R320="Archived","Archived",IF(T320=0,"Not been yet",IF(Z320&gt;=InactiveDays,"Inactive",IF(Z320&gt;=LapsingDays,"Lapsing",IF(T320=1,"New",IF(AH320&gt;=VipSpend,"VIP",IF(U320&gt;=4,"Regular","Active"))))))))</f>
        <v>0</v>
      </c>
      <c r="AN320" s="38">
        <f>IF(B320="","",IF(T320&gt;=2,"Yes","No"))</f>
        <v>0</v>
      </c>
      <c r="AO320" s="25">
        <f>IF(B320="","",COUNTIFS($AE$5:$AE$504,"&gt;"&amp;AE320)+COUNTIFS($AE$5:AE320,AE320))</f>
        <v>0</v>
      </c>
      <c r="AP320" s="25">
        <f>IF(B320="","",COUNTIFS($T$5:$T$504,"&gt;"&amp;T320)+COUNTIFS($T$5:T320,T320))</f>
        <v>0</v>
      </c>
      <c r="AQ320" s="39">
        <f>IF(B320="","",IF(COUNTIF($B$5:$B$504,B320)&gt;1,"Duplicate - same name twice",IF(R320="Archived","",IF(AK320&gt;0.004,"Chase - balance outstanding",IF(AM320="Inactive","Gone - win-back offer",IF(AM320="Lapsing","Chase - lapsing, call them",IF(IF(N320="",FALSE,TodayDate-N320&gt;PatchTestDays),"Due - patch test out of date",IF(IF(AD320="",FALSE,IF(AB320&lt;&gt;"",FALSE,AD320&lt;=TodayDate+14)),"Rebook - due and nothing booked",IF(IF(K320="",FALSE,ABS(DATE(YEAR(TodayDate),MONTH(K320),DAY(K320))-TodayDate)&lt;=7),"Birthday - send the treat","OK")))))))))</f>
        <v>0</v>
      </c>
    </row>
    <row r="321" spans="1:43">
      <c r="A321" s="28">
        <f>IF(B321="","",ClientPrefix&amp;TEXT(ROW()-4,"0000"))</f>
        <v>0</v>
      </c>
      <c r="J321" s="15">
        <f>IF(I321="","",IFERROR(INDEX(Staff!$B$5:$B$44,MATCH(I321,Staff!$A$5:$A$44,0)),"Not in Staff"))</f>
        <v>0</v>
      </c>
      <c r="T321" s="25">
        <f>IF(B321="","",COUNTIFS(Appointments!$E$5:$E$1204,A321,Appointments!$M$5:$M$1204,"Completed"))</f>
        <v>0</v>
      </c>
      <c r="U321" s="25">
        <f>IF(B321="","",COUNTIFS(Appointments!$E$5:$E$1204,A321,Appointments!$M$5:$M$1204,"Completed",Appointments!$B$5:$B$1204,"&gt;="&amp;TodayDate-365))</f>
        <v>0</v>
      </c>
      <c r="V321" s="25">
        <f>IF(B321="","",COUNTIFS(Appointments!$E$5:$E$1204,A321,Appointments!$M$5:$M$1204,"Cancelled"))</f>
        <v>0</v>
      </c>
      <c r="W321" s="25">
        <f>IF(B321="","",COUNTIFS(Appointments!$E$5:$E$1204,A321,Appointments!$M$5:$M$1204,"No show"))</f>
        <v>0</v>
      </c>
      <c r="X321" s="17">
        <f>IF(B321="","",IF(F321&lt;&gt;"",F321,IF(T321=0,"",SUMPRODUCT(MIN((Appointments!$E$5:$E$1204=A321)*(Appointments!$M$5:$M$1204="Completed")*Appointments!$B$5:$B$1204+(1-(Appointments!$E$5:$E$1204=A321)*(Appointments!$M$5:$M$1204="Completed"))*2958465)))))</f>
        <v>0</v>
      </c>
      <c r="Y321" s="17">
        <f>IF(B321="","",IF(T321=0,"",SUMPRODUCT(MAX((Appointments!$E$5:$E$1204=A321)*(Appointments!$M$5:$M$1204="Completed")*Appointments!$B$5:$B$1204))))</f>
        <v>0</v>
      </c>
      <c r="Z321" s="25">
        <f>IF(B321="","",IF(Y321="","",TodayDate-Y321))</f>
        <v>0</v>
      </c>
      <c r="AA321" s="42">
        <f>IF(B321="","",SUMPRODUCT(MIN((Appointments!$E$5:$E$1204=A321)*(Appointments!$M$5:$M$1204&lt;&gt;"Cancelled")*(Appointments!$M$5:$M$1204&lt;&gt;"Completed")*(Appointments!$M$5:$M$1204&lt;&gt;"No show")*(Appointments!$B$5:$B$1204&gt;=TodayDate)*Appointments!$B$5:$B$1204+(1-(Appointments!$E$5:$E$1204=A321)*(Appointments!$M$5:$M$1204&lt;&gt;"Cancelled")*(Appointments!$M$5:$M$1204&lt;&gt;"Completed")*(Appointments!$M$5:$M$1204&lt;&gt;"No show")*(Appointments!$B$5:$B$1204&gt;=TodayDate))*2958465)))</f>
        <v>0</v>
      </c>
      <c r="AB321" s="17">
        <f>IF(B321="","",IF(AA321&gt;=2958465,"",AA321))</f>
        <v>0</v>
      </c>
      <c r="AC321" s="25">
        <f>IF(B321="","",IF(T321&lt;2,"",ROUND((Y321-X321)/MAX(1,T321-1),0)))</f>
        <v>0</v>
      </c>
      <c r="AD321" s="17">
        <f>IF(B321="","",IF(Y321="","",Y321+IF(AC321="",RebookWeeks*7,MAX(14,AC321))))</f>
        <v>0</v>
      </c>
      <c r="AE321" s="26">
        <f>IF(B321="","",ROUND(SUMIFS(Sales!$Y$5:$Y$1204,Sales!$D$5:$D$1204,A321),2))</f>
        <v>0</v>
      </c>
      <c r="AF321" s="26">
        <f>IF(B321="","",ROUND(SUMIFS(Sales!$Y$5:$Y$1204,Sales!$D$5:$D$1204,A321,Sales!$H$5:$H$1204,"Service"),2))</f>
        <v>0</v>
      </c>
      <c r="AG321" s="26">
        <f>IF(B321="","",ROUND(SUMIFS(Sales!$Y$5:$Y$1204,Sales!$D$5:$D$1204,A321,Sales!$H$5:$H$1204,"Retail"),2))</f>
        <v>0</v>
      </c>
      <c r="AH321" s="26">
        <f>IF(B321="","",ROUND(SUMIFS(Sales!$Y$5:$Y$1204,Sales!$D$5:$D$1204,A321,Sales!$B$5:$B$1204,"&gt;="&amp;TodayDate-365),2))</f>
        <v>0</v>
      </c>
      <c r="AI321" s="26">
        <f>IF(B321="","",IF(T321=0,"",ROUND(AE321/T321,2)))</f>
        <v>0</v>
      </c>
      <c r="AJ321" s="26">
        <f>IF(B321="","",IF(AI321="","",IF(AC321="","",ROUND(AI321*(365/MAX(14,AC321)),2))))</f>
        <v>0</v>
      </c>
      <c r="AK321" s="26">
        <f>IF(B321="","",ROUND(SUMIFS(Sales!$AH$5:$AH$1204,Sales!$D$5:$D$1204,A321),2))</f>
        <v>0</v>
      </c>
      <c r="AL321" s="25">
        <f>IF(B321="","",IFERROR(INDEX(Loyalty!$P$5:$P$504,MATCH(A321,Loyalty!$B$5:$B$504,0))*1,0))</f>
        <v>0</v>
      </c>
      <c r="AM321" s="39">
        <f>IF(B321="","",IF(R321="Archived","Archived",IF(T321=0,"Not been yet",IF(Z321&gt;=InactiveDays,"Inactive",IF(Z321&gt;=LapsingDays,"Lapsing",IF(T321=1,"New",IF(AH321&gt;=VipSpend,"VIP",IF(U321&gt;=4,"Regular","Active"))))))))</f>
        <v>0</v>
      </c>
      <c r="AN321" s="38">
        <f>IF(B321="","",IF(T321&gt;=2,"Yes","No"))</f>
        <v>0</v>
      </c>
      <c r="AO321" s="25">
        <f>IF(B321="","",COUNTIFS($AE$5:$AE$504,"&gt;"&amp;AE321)+COUNTIFS($AE$5:AE321,AE321))</f>
        <v>0</v>
      </c>
      <c r="AP321" s="25">
        <f>IF(B321="","",COUNTIFS($T$5:$T$504,"&gt;"&amp;T321)+COUNTIFS($T$5:T321,T321))</f>
        <v>0</v>
      </c>
      <c r="AQ321" s="39">
        <f>IF(B321="","",IF(COUNTIF($B$5:$B$504,B321)&gt;1,"Duplicate - same name twice",IF(R321="Archived","",IF(AK321&gt;0.004,"Chase - balance outstanding",IF(AM321="Inactive","Gone - win-back offer",IF(AM321="Lapsing","Chase - lapsing, call them",IF(IF(N321="",FALSE,TodayDate-N321&gt;PatchTestDays),"Due - patch test out of date",IF(IF(AD321="",FALSE,IF(AB321&lt;&gt;"",FALSE,AD321&lt;=TodayDate+14)),"Rebook - due and nothing booked",IF(IF(K321="",FALSE,ABS(DATE(YEAR(TodayDate),MONTH(K321),DAY(K321))-TodayDate)&lt;=7),"Birthday - send the treat","OK")))))))))</f>
        <v>0</v>
      </c>
    </row>
    <row r="322" spans="1:43">
      <c r="A322" s="28">
        <f>IF(B322="","",ClientPrefix&amp;TEXT(ROW()-4,"0000"))</f>
        <v>0</v>
      </c>
      <c r="J322" s="15">
        <f>IF(I322="","",IFERROR(INDEX(Staff!$B$5:$B$44,MATCH(I322,Staff!$A$5:$A$44,0)),"Not in Staff"))</f>
        <v>0</v>
      </c>
      <c r="T322" s="25">
        <f>IF(B322="","",COUNTIFS(Appointments!$E$5:$E$1204,A322,Appointments!$M$5:$M$1204,"Completed"))</f>
        <v>0</v>
      </c>
      <c r="U322" s="25">
        <f>IF(B322="","",COUNTIFS(Appointments!$E$5:$E$1204,A322,Appointments!$M$5:$M$1204,"Completed",Appointments!$B$5:$B$1204,"&gt;="&amp;TodayDate-365))</f>
        <v>0</v>
      </c>
      <c r="V322" s="25">
        <f>IF(B322="","",COUNTIFS(Appointments!$E$5:$E$1204,A322,Appointments!$M$5:$M$1204,"Cancelled"))</f>
        <v>0</v>
      </c>
      <c r="W322" s="25">
        <f>IF(B322="","",COUNTIFS(Appointments!$E$5:$E$1204,A322,Appointments!$M$5:$M$1204,"No show"))</f>
        <v>0</v>
      </c>
      <c r="X322" s="17">
        <f>IF(B322="","",IF(F322&lt;&gt;"",F322,IF(T322=0,"",SUMPRODUCT(MIN((Appointments!$E$5:$E$1204=A322)*(Appointments!$M$5:$M$1204="Completed")*Appointments!$B$5:$B$1204+(1-(Appointments!$E$5:$E$1204=A322)*(Appointments!$M$5:$M$1204="Completed"))*2958465)))))</f>
        <v>0</v>
      </c>
      <c r="Y322" s="17">
        <f>IF(B322="","",IF(T322=0,"",SUMPRODUCT(MAX((Appointments!$E$5:$E$1204=A322)*(Appointments!$M$5:$M$1204="Completed")*Appointments!$B$5:$B$1204))))</f>
        <v>0</v>
      </c>
      <c r="Z322" s="25">
        <f>IF(B322="","",IF(Y322="","",TodayDate-Y322))</f>
        <v>0</v>
      </c>
      <c r="AA322" s="42">
        <f>IF(B322="","",SUMPRODUCT(MIN((Appointments!$E$5:$E$1204=A322)*(Appointments!$M$5:$M$1204&lt;&gt;"Cancelled")*(Appointments!$M$5:$M$1204&lt;&gt;"Completed")*(Appointments!$M$5:$M$1204&lt;&gt;"No show")*(Appointments!$B$5:$B$1204&gt;=TodayDate)*Appointments!$B$5:$B$1204+(1-(Appointments!$E$5:$E$1204=A322)*(Appointments!$M$5:$M$1204&lt;&gt;"Cancelled")*(Appointments!$M$5:$M$1204&lt;&gt;"Completed")*(Appointments!$M$5:$M$1204&lt;&gt;"No show")*(Appointments!$B$5:$B$1204&gt;=TodayDate))*2958465)))</f>
        <v>0</v>
      </c>
      <c r="AB322" s="17">
        <f>IF(B322="","",IF(AA322&gt;=2958465,"",AA322))</f>
        <v>0</v>
      </c>
      <c r="AC322" s="25">
        <f>IF(B322="","",IF(T322&lt;2,"",ROUND((Y322-X322)/MAX(1,T322-1),0)))</f>
        <v>0</v>
      </c>
      <c r="AD322" s="17">
        <f>IF(B322="","",IF(Y322="","",Y322+IF(AC322="",RebookWeeks*7,MAX(14,AC322))))</f>
        <v>0</v>
      </c>
      <c r="AE322" s="26">
        <f>IF(B322="","",ROUND(SUMIFS(Sales!$Y$5:$Y$1204,Sales!$D$5:$D$1204,A322),2))</f>
        <v>0</v>
      </c>
      <c r="AF322" s="26">
        <f>IF(B322="","",ROUND(SUMIFS(Sales!$Y$5:$Y$1204,Sales!$D$5:$D$1204,A322,Sales!$H$5:$H$1204,"Service"),2))</f>
        <v>0</v>
      </c>
      <c r="AG322" s="26">
        <f>IF(B322="","",ROUND(SUMIFS(Sales!$Y$5:$Y$1204,Sales!$D$5:$D$1204,A322,Sales!$H$5:$H$1204,"Retail"),2))</f>
        <v>0</v>
      </c>
      <c r="AH322" s="26">
        <f>IF(B322="","",ROUND(SUMIFS(Sales!$Y$5:$Y$1204,Sales!$D$5:$D$1204,A322,Sales!$B$5:$B$1204,"&gt;="&amp;TodayDate-365),2))</f>
        <v>0</v>
      </c>
      <c r="AI322" s="26">
        <f>IF(B322="","",IF(T322=0,"",ROUND(AE322/T322,2)))</f>
        <v>0</v>
      </c>
      <c r="AJ322" s="26">
        <f>IF(B322="","",IF(AI322="","",IF(AC322="","",ROUND(AI322*(365/MAX(14,AC322)),2))))</f>
        <v>0</v>
      </c>
      <c r="AK322" s="26">
        <f>IF(B322="","",ROUND(SUMIFS(Sales!$AH$5:$AH$1204,Sales!$D$5:$D$1204,A322),2))</f>
        <v>0</v>
      </c>
      <c r="AL322" s="25">
        <f>IF(B322="","",IFERROR(INDEX(Loyalty!$P$5:$P$504,MATCH(A322,Loyalty!$B$5:$B$504,0))*1,0))</f>
        <v>0</v>
      </c>
      <c r="AM322" s="39">
        <f>IF(B322="","",IF(R322="Archived","Archived",IF(T322=0,"Not been yet",IF(Z322&gt;=InactiveDays,"Inactive",IF(Z322&gt;=LapsingDays,"Lapsing",IF(T322=1,"New",IF(AH322&gt;=VipSpend,"VIP",IF(U322&gt;=4,"Regular","Active"))))))))</f>
        <v>0</v>
      </c>
      <c r="AN322" s="38">
        <f>IF(B322="","",IF(T322&gt;=2,"Yes","No"))</f>
        <v>0</v>
      </c>
      <c r="AO322" s="25">
        <f>IF(B322="","",COUNTIFS($AE$5:$AE$504,"&gt;"&amp;AE322)+COUNTIFS($AE$5:AE322,AE322))</f>
        <v>0</v>
      </c>
      <c r="AP322" s="25">
        <f>IF(B322="","",COUNTIFS($T$5:$T$504,"&gt;"&amp;T322)+COUNTIFS($T$5:T322,T322))</f>
        <v>0</v>
      </c>
      <c r="AQ322" s="39">
        <f>IF(B322="","",IF(COUNTIF($B$5:$B$504,B322)&gt;1,"Duplicate - same name twice",IF(R322="Archived","",IF(AK322&gt;0.004,"Chase - balance outstanding",IF(AM322="Inactive","Gone - win-back offer",IF(AM322="Lapsing","Chase - lapsing, call them",IF(IF(N322="",FALSE,TodayDate-N322&gt;PatchTestDays),"Due - patch test out of date",IF(IF(AD322="",FALSE,IF(AB322&lt;&gt;"",FALSE,AD322&lt;=TodayDate+14)),"Rebook - due and nothing booked",IF(IF(K322="",FALSE,ABS(DATE(YEAR(TodayDate),MONTH(K322),DAY(K322))-TodayDate)&lt;=7),"Birthday - send the treat","OK")))))))))</f>
        <v>0</v>
      </c>
    </row>
    <row r="323" spans="1:43">
      <c r="A323" s="28">
        <f>IF(B323="","",ClientPrefix&amp;TEXT(ROW()-4,"0000"))</f>
        <v>0</v>
      </c>
      <c r="J323" s="15">
        <f>IF(I323="","",IFERROR(INDEX(Staff!$B$5:$B$44,MATCH(I323,Staff!$A$5:$A$44,0)),"Not in Staff"))</f>
        <v>0</v>
      </c>
      <c r="T323" s="25">
        <f>IF(B323="","",COUNTIFS(Appointments!$E$5:$E$1204,A323,Appointments!$M$5:$M$1204,"Completed"))</f>
        <v>0</v>
      </c>
      <c r="U323" s="25">
        <f>IF(B323="","",COUNTIFS(Appointments!$E$5:$E$1204,A323,Appointments!$M$5:$M$1204,"Completed",Appointments!$B$5:$B$1204,"&gt;="&amp;TodayDate-365))</f>
        <v>0</v>
      </c>
      <c r="V323" s="25">
        <f>IF(B323="","",COUNTIFS(Appointments!$E$5:$E$1204,A323,Appointments!$M$5:$M$1204,"Cancelled"))</f>
        <v>0</v>
      </c>
      <c r="W323" s="25">
        <f>IF(B323="","",COUNTIFS(Appointments!$E$5:$E$1204,A323,Appointments!$M$5:$M$1204,"No show"))</f>
        <v>0</v>
      </c>
      <c r="X323" s="17">
        <f>IF(B323="","",IF(F323&lt;&gt;"",F323,IF(T323=0,"",SUMPRODUCT(MIN((Appointments!$E$5:$E$1204=A323)*(Appointments!$M$5:$M$1204="Completed")*Appointments!$B$5:$B$1204+(1-(Appointments!$E$5:$E$1204=A323)*(Appointments!$M$5:$M$1204="Completed"))*2958465)))))</f>
        <v>0</v>
      </c>
      <c r="Y323" s="17">
        <f>IF(B323="","",IF(T323=0,"",SUMPRODUCT(MAX((Appointments!$E$5:$E$1204=A323)*(Appointments!$M$5:$M$1204="Completed")*Appointments!$B$5:$B$1204))))</f>
        <v>0</v>
      </c>
      <c r="Z323" s="25">
        <f>IF(B323="","",IF(Y323="","",TodayDate-Y323))</f>
        <v>0</v>
      </c>
      <c r="AA323" s="42">
        <f>IF(B323="","",SUMPRODUCT(MIN((Appointments!$E$5:$E$1204=A323)*(Appointments!$M$5:$M$1204&lt;&gt;"Cancelled")*(Appointments!$M$5:$M$1204&lt;&gt;"Completed")*(Appointments!$M$5:$M$1204&lt;&gt;"No show")*(Appointments!$B$5:$B$1204&gt;=TodayDate)*Appointments!$B$5:$B$1204+(1-(Appointments!$E$5:$E$1204=A323)*(Appointments!$M$5:$M$1204&lt;&gt;"Cancelled")*(Appointments!$M$5:$M$1204&lt;&gt;"Completed")*(Appointments!$M$5:$M$1204&lt;&gt;"No show")*(Appointments!$B$5:$B$1204&gt;=TodayDate))*2958465)))</f>
        <v>0</v>
      </c>
      <c r="AB323" s="17">
        <f>IF(B323="","",IF(AA323&gt;=2958465,"",AA323))</f>
        <v>0</v>
      </c>
      <c r="AC323" s="25">
        <f>IF(B323="","",IF(T323&lt;2,"",ROUND((Y323-X323)/MAX(1,T323-1),0)))</f>
        <v>0</v>
      </c>
      <c r="AD323" s="17">
        <f>IF(B323="","",IF(Y323="","",Y323+IF(AC323="",RebookWeeks*7,MAX(14,AC323))))</f>
        <v>0</v>
      </c>
      <c r="AE323" s="26">
        <f>IF(B323="","",ROUND(SUMIFS(Sales!$Y$5:$Y$1204,Sales!$D$5:$D$1204,A323),2))</f>
        <v>0</v>
      </c>
      <c r="AF323" s="26">
        <f>IF(B323="","",ROUND(SUMIFS(Sales!$Y$5:$Y$1204,Sales!$D$5:$D$1204,A323,Sales!$H$5:$H$1204,"Service"),2))</f>
        <v>0</v>
      </c>
      <c r="AG323" s="26">
        <f>IF(B323="","",ROUND(SUMIFS(Sales!$Y$5:$Y$1204,Sales!$D$5:$D$1204,A323,Sales!$H$5:$H$1204,"Retail"),2))</f>
        <v>0</v>
      </c>
      <c r="AH323" s="26">
        <f>IF(B323="","",ROUND(SUMIFS(Sales!$Y$5:$Y$1204,Sales!$D$5:$D$1204,A323,Sales!$B$5:$B$1204,"&gt;="&amp;TodayDate-365),2))</f>
        <v>0</v>
      </c>
      <c r="AI323" s="26">
        <f>IF(B323="","",IF(T323=0,"",ROUND(AE323/T323,2)))</f>
        <v>0</v>
      </c>
      <c r="AJ323" s="26">
        <f>IF(B323="","",IF(AI323="","",IF(AC323="","",ROUND(AI323*(365/MAX(14,AC323)),2))))</f>
        <v>0</v>
      </c>
      <c r="AK323" s="26">
        <f>IF(B323="","",ROUND(SUMIFS(Sales!$AH$5:$AH$1204,Sales!$D$5:$D$1204,A323),2))</f>
        <v>0</v>
      </c>
      <c r="AL323" s="25">
        <f>IF(B323="","",IFERROR(INDEX(Loyalty!$P$5:$P$504,MATCH(A323,Loyalty!$B$5:$B$504,0))*1,0))</f>
        <v>0</v>
      </c>
      <c r="AM323" s="39">
        <f>IF(B323="","",IF(R323="Archived","Archived",IF(T323=0,"Not been yet",IF(Z323&gt;=InactiveDays,"Inactive",IF(Z323&gt;=LapsingDays,"Lapsing",IF(T323=1,"New",IF(AH323&gt;=VipSpend,"VIP",IF(U323&gt;=4,"Regular","Active"))))))))</f>
        <v>0</v>
      </c>
      <c r="AN323" s="38">
        <f>IF(B323="","",IF(T323&gt;=2,"Yes","No"))</f>
        <v>0</v>
      </c>
      <c r="AO323" s="25">
        <f>IF(B323="","",COUNTIFS($AE$5:$AE$504,"&gt;"&amp;AE323)+COUNTIFS($AE$5:AE323,AE323))</f>
        <v>0</v>
      </c>
      <c r="AP323" s="25">
        <f>IF(B323="","",COUNTIFS($T$5:$T$504,"&gt;"&amp;T323)+COUNTIFS($T$5:T323,T323))</f>
        <v>0</v>
      </c>
      <c r="AQ323" s="39">
        <f>IF(B323="","",IF(COUNTIF($B$5:$B$504,B323)&gt;1,"Duplicate - same name twice",IF(R323="Archived","",IF(AK323&gt;0.004,"Chase - balance outstanding",IF(AM323="Inactive","Gone - win-back offer",IF(AM323="Lapsing","Chase - lapsing, call them",IF(IF(N323="",FALSE,TodayDate-N323&gt;PatchTestDays),"Due - patch test out of date",IF(IF(AD323="",FALSE,IF(AB323&lt;&gt;"",FALSE,AD323&lt;=TodayDate+14)),"Rebook - due and nothing booked",IF(IF(K323="",FALSE,ABS(DATE(YEAR(TodayDate),MONTH(K323),DAY(K323))-TodayDate)&lt;=7),"Birthday - send the treat","OK")))))))))</f>
        <v>0</v>
      </c>
    </row>
    <row r="324" spans="1:43">
      <c r="A324" s="28">
        <f>IF(B324="","",ClientPrefix&amp;TEXT(ROW()-4,"0000"))</f>
        <v>0</v>
      </c>
      <c r="J324" s="15">
        <f>IF(I324="","",IFERROR(INDEX(Staff!$B$5:$B$44,MATCH(I324,Staff!$A$5:$A$44,0)),"Not in Staff"))</f>
        <v>0</v>
      </c>
      <c r="T324" s="25">
        <f>IF(B324="","",COUNTIFS(Appointments!$E$5:$E$1204,A324,Appointments!$M$5:$M$1204,"Completed"))</f>
        <v>0</v>
      </c>
      <c r="U324" s="25">
        <f>IF(B324="","",COUNTIFS(Appointments!$E$5:$E$1204,A324,Appointments!$M$5:$M$1204,"Completed",Appointments!$B$5:$B$1204,"&gt;="&amp;TodayDate-365))</f>
        <v>0</v>
      </c>
      <c r="V324" s="25">
        <f>IF(B324="","",COUNTIFS(Appointments!$E$5:$E$1204,A324,Appointments!$M$5:$M$1204,"Cancelled"))</f>
        <v>0</v>
      </c>
      <c r="W324" s="25">
        <f>IF(B324="","",COUNTIFS(Appointments!$E$5:$E$1204,A324,Appointments!$M$5:$M$1204,"No show"))</f>
        <v>0</v>
      </c>
      <c r="X324" s="17">
        <f>IF(B324="","",IF(F324&lt;&gt;"",F324,IF(T324=0,"",SUMPRODUCT(MIN((Appointments!$E$5:$E$1204=A324)*(Appointments!$M$5:$M$1204="Completed")*Appointments!$B$5:$B$1204+(1-(Appointments!$E$5:$E$1204=A324)*(Appointments!$M$5:$M$1204="Completed"))*2958465)))))</f>
        <v>0</v>
      </c>
      <c r="Y324" s="17">
        <f>IF(B324="","",IF(T324=0,"",SUMPRODUCT(MAX((Appointments!$E$5:$E$1204=A324)*(Appointments!$M$5:$M$1204="Completed")*Appointments!$B$5:$B$1204))))</f>
        <v>0</v>
      </c>
      <c r="Z324" s="25">
        <f>IF(B324="","",IF(Y324="","",TodayDate-Y324))</f>
        <v>0</v>
      </c>
      <c r="AA324" s="42">
        <f>IF(B324="","",SUMPRODUCT(MIN((Appointments!$E$5:$E$1204=A324)*(Appointments!$M$5:$M$1204&lt;&gt;"Cancelled")*(Appointments!$M$5:$M$1204&lt;&gt;"Completed")*(Appointments!$M$5:$M$1204&lt;&gt;"No show")*(Appointments!$B$5:$B$1204&gt;=TodayDate)*Appointments!$B$5:$B$1204+(1-(Appointments!$E$5:$E$1204=A324)*(Appointments!$M$5:$M$1204&lt;&gt;"Cancelled")*(Appointments!$M$5:$M$1204&lt;&gt;"Completed")*(Appointments!$M$5:$M$1204&lt;&gt;"No show")*(Appointments!$B$5:$B$1204&gt;=TodayDate))*2958465)))</f>
        <v>0</v>
      </c>
      <c r="AB324" s="17">
        <f>IF(B324="","",IF(AA324&gt;=2958465,"",AA324))</f>
        <v>0</v>
      </c>
      <c r="AC324" s="25">
        <f>IF(B324="","",IF(T324&lt;2,"",ROUND((Y324-X324)/MAX(1,T324-1),0)))</f>
        <v>0</v>
      </c>
      <c r="AD324" s="17">
        <f>IF(B324="","",IF(Y324="","",Y324+IF(AC324="",RebookWeeks*7,MAX(14,AC324))))</f>
        <v>0</v>
      </c>
      <c r="AE324" s="26">
        <f>IF(B324="","",ROUND(SUMIFS(Sales!$Y$5:$Y$1204,Sales!$D$5:$D$1204,A324),2))</f>
        <v>0</v>
      </c>
      <c r="AF324" s="26">
        <f>IF(B324="","",ROUND(SUMIFS(Sales!$Y$5:$Y$1204,Sales!$D$5:$D$1204,A324,Sales!$H$5:$H$1204,"Service"),2))</f>
        <v>0</v>
      </c>
      <c r="AG324" s="26">
        <f>IF(B324="","",ROUND(SUMIFS(Sales!$Y$5:$Y$1204,Sales!$D$5:$D$1204,A324,Sales!$H$5:$H$1204,"Retail"),2))</f>
        <v>0</v>
      </c>
      <c r="AH324" s="26">
        <f>IF(B324="","",ROUND(SUMIFS(Sales!$Y$5:$Y$1204,Sales!$D$5:$D$1204,A324,Sales!$B$5:$B$1204,"&gt;="&amp;TodayDate-365),2))</f>
        <v>0</v>
      </c>
      <c r="AI324" s="26">
        <f>IF(B324="","",IF(T324=0,"",ROUND(AE324/T324,2)))</f>
        <v>0</v>
      </c>
      <c r="AJ324" s="26">
        <f>IF(B324="","",IF(AI324="","",IF(AC324="","",ROUND(AI324*(365/MAX(14,AC324)),2))))</f>
        <v>0</v>
      </c>
      <c r="AK324" s="26">
        <f>IF(B324="","",ROUND(SUMIFS(Sales!$AH$5:$AH$1204,Sales!$D$5:$D$1204,A324),2))</f>
        <v>0</v>
      </c>
      <c r="AL324" s="25">
        <f>IF(B324="","",IFERROR(INDEX(Loyalty!$P$5:$P$504,MATCH(A324,Loyalty!$B$5:$B$504,0))*1,0))</f>
        <v>0</v>
      </c>
      <c r="AM324" s="39">
        <f>IF(B324="","",IF(R324="Archived","Archived",IF(T324=0,"Not been yet",IF(Z324&gt;=InactiveDays,"Inactive",IF(Z324&gt;=LapsingDays,"Lapsing",IF(T324=1,"New",IF(AH324&gt;=VipSpend,"VIP",IF(U324&gt;=4,"Regular","Active"))))))))</f>
        <v>0</v>
      </c>
      <c r="AN324" s="38">
        <f>IF(B324="","",IF(T324&gt;=2,"Yes","No"))</f>
        <v>0</v>
      </c>
      <c r="AO324" s="25">
        <f>IF(B324="","",COUNTIFS($AE$5:$AE$504,"&gt;"&amp;AE324)+COUNTIFS($AE$5:AE324,AE324))</f>
        <v>0</v>
      </c>
      <c r="AP324" s="25">
        <f>IF(B324="","",COUNTIFS($T$5:$T$504,"&gt;"&amp;T324)+COUNTIFS($T$5:T324,T324))</f>
        <v>0</v>
      </c>
      <c r="AQ324" s="39">
        <f>IF(B324="","",IF(COUNTIF($B$5:$B$504,B324)&gt;1,"Duplicate - same name twice",IF(R324="Archived","",IF(AK324&gt;0.004,"Chase - balance outstanding",IF(AM324="Inactive","Gone - win-back offer",IF(AM324="Lapsing","Chase - lapsing, call them",IF(IF(N324="",FALSE,TodayDate-N324&gt;PatchTestDays),"Due - patch test out of date",IF(IF(AD324="",FALSE,IF(AB324&lt;&gt;"",FALSE,AD324&lt;=TodayDate+14)),"Rebook - due and nothing booked",IF(IF(K324="",FALSE,ABS(DATE(YEAR(TodayDate),MONTH(K324),DAY(K324))-TodayDate)&lt;=7),"Birthday - send the treat","OK")))))))))</f>
        <v>0</v>
      </c>
    </row>
    <row r="325" spans="1:43">
      <c r="A325" s="28">
        <f>IF(B325="","",ClientPrefix&amp;TEXT(ROW()-4,"0000"))</f>
        <v>0</v>
      </c>
      <c r="J325" s="15">
        <f>IF(I325="","",IFERROR(INDEX(Staff!$B$5:$B$44,MATCH(I325,Staff!$A$5:$A$44,0)),"Not in Staff"))</f>
        <v>0</v>
      </c>
      <c r="T325" s="25">
        <f>IF(B325="","",COUNTIFS(Appointments!$E$5:$E$1204,A325,Appointments!$M$5:$M$1204,"Completed"))</f>
        <v>0</v>
      </c>
      <c r="U325" s="25">
        <f>IF(B325="","",COUNTIFS(Appointments!$E$5:$E$1204,A325,Appointments!$M$5:$M$1204,"Completed",Appointments!$B$5:$B$1204,"&gt;="&amp;TodayDate-365))</f>
        <v>0</v>
      </c>
      <c r="V325" s="25">
        <f>IF(B325="","",COUNTIFS(Appointments!$E$5:$E$1204,A325,Appointments!$M$5:$M$1204,"Cancelled"))</f>
        <v>0</v>
      </c>
      <c r="W325" s="25">
        <f>IF(B325="","",COUNTIFS(Appointments!$E$5:$E$1204,A325,Appointments!$M$5:$M$1204,"No show"))</f>
        <v>0</v>
      </c>
      <c r="X325" s="17">
        <f>IF(B325="","",IF(F325&lt;&gt;"",F325,IF(T325=0,"",SUMPRODUCT(MIN((Appointments!$E$5:$E$1204=A325)*(Appointments!$M$5:$M$1204="Completed")*Appointments!$B$5:$B$1204+(1-(Appointments!$E$5:$E$1204=A325)*(Appointments!$M$5:$M$1204="Completed"))*2958465)))))</f>
        <v>0</v>
      </c>
      <c r="Y325" s="17">
        <f>IF(B325="","",IF(T325=0,"",SUMPRODUCT(MAX((Appointments!$E$5:$E$1204=A325)*(Appointments!$M$5:$M$1204="Completed")*Appointments!$B$5:$B$1204))))</f>
        <v>0</v>
      </c>
      <c r="Z325" s="25">
        <f>IF(B325="","",IF(Y325="","",TodayDate-Y325))</f>
        <v>0</v>
      </c>
      <c r="AA325" s="42">
        <f>IF(B325="","",SUMPRODUCT(MIN((Appointments!$E$5:$E$1204=A325)*(Appointments!$M$5:$M$1204&lt;&gt;"Cancelled")*(Appointments!$M$5:$M$1204&lt;&gt;"Completed")*(Appointments!$M$5:$M$1204&lt;&gt;"No show")*(Appointments!$B$5:$B$1204&gt;=TodayDate)*Appointments!$B$5:$B$1204+(1-(Appointments!$E$5:$E$1204=A325)*(Appointments!$M$5:$M$1204&lt;&gt;"Cancelled")*(Appointments!$M$5:$M$1204&lt;&gt;"Completed")*(Appointments!$M$5:$M$1204&lt;&gt;"No show")*(Appointments!$B$5:$B$1204&gt;=TodayDate))*2958465)))</f>
        <v>0</v>
      </c>
      <c r="AB325" s="17">
        <f>IF(B325="","",IF(AA325&gt;=2958465,"",AA325))</f>
        <v>0</v>
      </c>
      <c r="AC325" s="25">
        <f>IF(B325="","",IF(T325&lt;2,"",ROUND((Y325-X325)/MAX(1,T325-1),0)))</f>
        <v>0</v>
      </c>
      <c r="AD325" s="17">
        <f>IF(B325="","",IF(Y325="","",Y325+IF(AC325="",RebookWeeks*7,MAX(14,AC325))))</f>
        <v>0</v>
      </c>
      <c r="AE325" s="26">
        <f>IF(B325="","",ROUND(SUMIFS(Sales!$Y$5:$Y$1204,Sales!$D$5:$D$1204,A325),2))</f>
        <v>0</v>
      </c>
      <c r="AF325" s="26">
        <f>IF(B325="","",ROUND(SUMIFS(Sales!$Y$5:$Y$1204,Sales!$D$5:$D$1204,A325,Sales!$H$5:$H$1204,"Service"),2))</f>
        <v>0</v>
      </c>
      <c r="AG325" s="26">
        <f>IF(B325="","",ROUND(SUMIFS(Sales!$Y$5:$Y$1204,Sales!$D$5:$D$1204,A325,Sales!$H$5:$H$1204,"Retail"),2))</f>
        <v>0</v>
      </c>
      <c r="AH325" s="26">
        <f>IF(B325="","",ROUND(SUMIFS(Sales!$Y$5:$Y$1204,Sales!$D$5:$D$1204,A325,Sales!$B$5:$B$1204,"&gt;="&amp;TodayDate-365),2))</f>
        <v>0</v>
      </c>
      <c r="AI325" s="26">
        <f>IF(B325="","",IF(T325=0,"",ROUND(AE325/T325,2)))</f>
        <v>0</v>
      </c>
      <c r="AJ325" s="26">
        <f>IF(B325="","",IF(AI325="","",IF(AC325="","",ROUND(AI325*(365/MAX(14,AC325)),2))))</f>
        <v>0</v>
      </c>
      <c r="AK325" s="26">
        <f>IF(B325="","",ROUND(SUMIFS(Sales!$AH$5:$AH$1204,Sales!$D$5:$D$1204,A325),2))</f>
        <v>0</v>
      </c>
      <c r="AL325" s="25">
        <f>IF(B325="","",IFERROR(INDEX(Loyalty!$P$5:$P$504,MATCH(A325,Loyalty!$B$5:$B$504,0))*1,0))</f>
        <v>0</v>
      </c>
      <c r="AM325" s="39">
        <f>IF(B325="","",IF(R325="Archived","Archived",IF(T325=0,"Not been yet",IF(Z325&gt;=InactiveDays,"Inactive",IF(Z325&gt;=LapsingDays,"Lapsing",IF(T325=1,"New",IF(AH325&gt;=VipSpend,"VIP",IF(U325&gt;=4,"Regular","Active"))))))))</f>
        <v>0</v>
      </c>
      <c r="AN325" s="38">
        <f>IF(B325="","",IF(T325&gt;=2,"Yes","No"))</f>
        <v>0</v>
      </c>
      <c r="AO325" s="25">
        <f>IF(B325="","",COUNTIFS($AE$5:$AE$504,"&gt;"&amp;AE325)+COUNTIFS($AE$5:AE325,AE325))</f>
        <v>0</v>
      </c>
      <c r="AP325" s="25">
        <f>IF(B325="","",COUNTIFS($T$5:$T$504,"&gt;"&amp;T325)+COUNTIFS($T$5:T325,T325))</f>
        <v>0</v>
      </c>
      <c r="AQ325" s="39">
        <f>IF(B325="","",IF(COUNTIF($B$5:$B$504,B325)&gt;1,"Duplicate - same name twice",IF(R325="Archived","",IF(AK325&gt;0.004,"Chase - balance outstanding",IF(AM325="Inactive","Gone - win-back offer",IF(AM325="Lapsing","Chase - lapsing, call them",IF(IF(N325="",FALSE,TodayDate-N325&gt;PatchTestDays),"Due - patch test out of date",IF(IF(AD325="",FALSE,IF(AB325&lt;&gt;"",FALSE,AD325&lt;=TodayDate+14)),"Rebook - due and nothing booked",IF(IF(K325="",FALSE,ABS(DATE(YEAR(TodayDate),MONTH(K325),DAY(K325))-TodayDate)&lt;=7),"Birthday - send the treat","OK")))))))))</f>
        <v>0</v>
      </c>
    </row>
    <row r="326" spans="1:43">
      <c r="A326" s="28">
        <f>IF(B326="","",ClientPrefix&amp;TEXT(ROW()-4,"0000"))</f>
        <v>0</v>
      </c>
      <c r="J326" s="15">
        <f>IF(I326="","",IFERROR(INDEX(Staff!$B$5:$B$44,MATCH(I326,Staff!$A$5:$A$44,0)),"Not in Staff"))</f>
        <v>0</v>
      </c>
      <c r="T326" s="25">
        <f>IF(B326="","",COUNTIFS(Appointments!$E$5:$E$1204,A326,Appointments!$M$5:$M$1204,"Completed"))</f>
        <v>0</v>
      </c>
      <c r="U326" s="25">
        <f>IF(B326="","",COUNTIFS(Appointments!$E$5:$E$1204,A326,Appointments!$M$5:$M$1204,"Completed",Appointments!$B$5:$B$1204,"&gt;="&amp;TodayDate-365))</f>
        <v>0</v>
      </c>
      <c r="V326" s="25">
        <f>IF(B326="","",COUNTIFS(Appointments!$E$5:$E$1204,A326,Appointments!$M$5:$M$1204,"Cancelled"))</f>
        <v>0</v>
      </c>
      <c r="W326" s="25">
        <f>IF(B326="","",COUNTIFS(Appointments!$E$5:$E$1204,A326,Appointments!$M$5:$M$1204,"No show"))</f>
        <v>0</v>
      </c>
      <c r="X326" s="17">
        <f>IF(B326="","",IF(F326&lt;&gt;"",F326,IF(T326=0,"",SUMPRODUCT(MIN((Appointments!$E$5:$E$1204=A326)*(Appointments!$M$5:$M$1204="Completed")*Appointments!$B$5:$B$1204+(1-(Appointments!$E$5:$E$1204=A326)*(Appointments!$M$5:$M$1204="Completed"))*2958465)))))</f>
        <v>0</v>
      </c>
      <c r="Y326" s="17">
        <f>IF(B326="","",IF(T326=0,"",SUMPRODUCT(MAX((Appointments!$E$5:$E$1204=A326)*(Appointments!$M$5:$M$1204="Completed")*Appointments!$B$5:$B$1204))))</f>
        <v>0</v>
      </c>
      <c r="Z326" s="25">
        <f>IF(B326="","",IF(Y326="","",TodayDate-Y326))</f>
        <v>0</v>
      </c>
      <c r="AA326" s="42">
        <f>IF(B326="","",SUMPRODUCT(MIN((Appointments!$E$5:$E$1204=A326)*(Appointments!$M$5:$M$1204&lt;&gt;"Cancelled")*(Appointments!$M$5:$M$1204&lt;&gt;"Completed")*(Appointments!$M$5:$M$1204&lt;&gt;"No show")*(Appointments!$B$5:$B$1204&gt;=TodayDate)*Appointments!$B$5:$B$1204+(1-(Appointments!$E$5:$E$1204=A326)*(Appointments!$M$5:$M$1204&lt;&gt;"Cancelled")*(Appointments!$M$5:$M$1204&lt;&gt;"Completed")*(Appointments!$M$5:$M$1204&lt;&gt;"No show")*(Appointments!$B$5:$B$1204&gt;=TodayDate))*2958465)))</f>
        <v>0</v>
      </c>
      <c r="AB326" s="17">
        <f>IF(B326="","",IF(AA326&gt;=2958465,"",AA326))</f>
        <v>0</v>
      </c>
      <c r="AC326" s="25">
        <f>IF(B326="","",IF(T326&lt;2,"",ROUND((Y326-X326)/MAX(1,T326-1),0)))</f>
        <v>0</v>
      </c>
      <c r="AD326" s="17">
        <f>IF(B326="","",IF(Y326="","",Y326+IF(AC326="",RebookWeeks*7,MAX(14,AC326))))</f>
        <v>0</v>
      </c>
      <c r="AE326" s="26">
        <f>IF(B326="","",ROUND(SUMIFS(Sales!$Y$5:$Y$1204,Sales!$D$5:$D$1204,A326),2))</f>
        <v>0</v>
      </c>
      <c r="AF326" s="26">
        <f>IF(B326="","",ROUND(SUMIFS(Sales!$Y$5:$Y$1204,Sales!$D$5:$D$1204,A326,Sales!$H$5:$H$1204,"Service"),2))</f>
        <v>0</v>
      </c>
      <c r="AG326" s="26">
        <f>IF(B326="","",ROUND(SUMIFS(Sales!$Y$5:$Y$1204,Sales!$D$5:$D$1204,A326,Sales!$H$5:$H$1204,"Retail"),2))</f>
        <v>0</v>
      </c>
      <c r="AH326" s="26">
        <f>IF(B326="","",ROUND(SUMIFS(Sales!$Y$5:$Y$1204,Sales!$D$5:$D$1204,A326,Sales!$B$5:$B$1204,"&gt;="&amp;TodayDate-365),2))</f>
        <v>0</v>
      </c>
      <c r="AI326" s="26">
        <f>IF(B326="","",IF(T326=0,"",ROUND(AE326/T326,2)))</f>
        <v>0</v>
      </c>
      <c r="AJ326" s="26">
        <f>IF(B326="","",IF(AI326="","",IF(AC326="","",ROUND(AI326*(365/MAX(14,AC326)),2))))</f>
        <v>0</v>
      </c>
      <c r="AK326" s="26">
        <f>IF(B326="","",ROUND(SUMIFS(Sales!$AH$5:$AH$1204,Sales!$D$5:$D$1204,A326),2))</f>
        <v>0</v>
      </c>
      <c r="AL326" s="25">
        <f>IF(B326="","",IFERROR(INDEX(Loyalty!$P$5:$P$504,MATCH(A326,Loyalty!$B$5:$B$504,0))*1,0))</f>
        <v>0</v>
      </c>
      <c r="AM326" s="39">
        <f>IF(B326="","",IF(R326="Archived","Archived",IF(T326=0,"Not been yet",IF(Z326&gt;=InactiveDays,"Inactive",IF(Z326&gt;=LapsingDays,"Lapsing",IF(T326=1,"New",IF(AH326&gt;=VipSpend,"VIP",IF(U326&gt;=4,"Regular","Active"))))))))</f>
        <v>0</v>
      </c>
      <c r="AN326" s="38">
        <f>IF(B326="","",IF(T326&gt;=2,"Yes","No"))</f>
        <v>0</v>
      </c>
      <c r="AO326" s="25">
        <f>IF(B326="","",COUNTIFS($AE$5:$AE$504,"&gt;"&amp;AE326)+COUNTIFS($AE$5:AE326,AE326))</f>
        <v>0</v>
      </c>
      <c r="AP326" s="25">
        <f>IF(B326="","",COUNTIFS($T$5:$T$504,"&gt;"&amp;T326)+COUNTIFS($T$5:T326,T326))</f>
        <v>0</v>
      </c>
      <c r="AQ326" s="39">
        <f>IF(B326="","",IF(COUNTIF($B$5:$B$504,B326)&gt;1,"Duplicate - same name twice",IF(R326="Archived","",IF(AK326&gt;0.004,"Chase - balance outstanding",IF(AM326="Inactive","Gone - win-back offer",IF(AM326="Lapsing","Chase - lapsing, call them",IF(IF(N326="",FALSE,TodayDate-N326&gt;PatchTestDays),"Due - patch test out of date",IF(IF(AD326="",FALSE,IF(AB326&lt;&gt;"",FALSE,AD326&lt;=TodayDate+14)),"Rebook - due and nothing booked",IF(IF(K326="",FALSE,ABS(DATE(YEAR(TodayDate),MONTH(K326),DAY(K326))-TodayDate)&lt;=7),"Birthday - send the treat","OK")))))))))</f>
        <v>0</v>
      </c>
    </row>
    <row r="327" spans="1:43">
      <c r="A327" s="28">
        <f>IF(B327="","",ClientPrefix&amp;TEXT(ROW()-4,"0000"))</f>
        <v>0</v>
      </c>
      <c r="J327" s="15">
        <f>IF(I327="","",IFERROR(INDEX(Staff!$B$5:$B$44,MATCH(I327,Staff!$A$5:$A$44,0)),"Not in Staff"))</f>
        <v>0</v>
      </c>
      <c r="T327" s="25">
        <f>IF(B327="","",COUNTIFS(Appointments!$E$5:$E$1204,A327,Appointments!$M$5:$M$1204,"Completed"))</f>
        <v>0</v>
      </c>
      <c r="U327" s="25">
        <f>IF(B327="","",COUNTIFS(Appointments!$E$5:$E$1204,A327,Appointments!$M$5:$M$1204,"Completed",Appointments!$B$5:$B$1204,"&gt;="&amp;TodayDate-365))</f>
        <v>0</v>
      </c>
      <c r="V327" s="25">
        <f>IF(B327="","",COUNTIFS(Appointments!$E$5:$E$1204,A327,Appointments!$M$5:$M$1204,"Cancelled"))</f>
        <v>0</v>
      </c>
      <c r="W327" s="25">
        <f>IF(B327="","",COUNTIFS(Appointments!$E$5:$E$1204,A327,Appointments!$M$5:$M$1204,"No show"))</f>
        <v>0</v>
      </c>
      <c r="X327" s="17">
        <f>IF(B327="","",IF(F327&lt;&gt;"",F327,IF(T327=0,"",SUMPRODUCT(MIN((Appointments!$E$5:$E$1204=A327)*(Appointments!$M$5:$M$1204="Completed")*Appointments!$B$5:$B$1204+(1-(Appointments!$E$5:$E$1204=A327)*(Appointments!$M$5:$M$1204="Completed"))*2958465)))))</f>
        <v>0</v>
      </c>
      <c r="Y327" s="17">
        <f>IF(B327="","",IF(T327=0,"",SUMPRODUCT(MAX((Appointments!$E$5:$E$1204=A327)*(Appointments!$M$5:$M$1204="Completed")*Appointments!$B$5:$B$1204))))</f>
        <v>0</v>
      </c>
      <c r="Z327" s="25">
        <f>IF(B327="","",IF(Y327="","",TodayDate-Y327))</f>
        <v>0</v>
      </c>
      <c r="AA327" s="42">
        <f>IF(B327="","",SUMPRODUCT(MIN((Appointments!$E$5:$E$1204=A327)*(Appointments!$M$5:$M$1204&lt;&gt;"Cancelled")*(Appointments!$M$5:$M$1204&lt;&gt;"Completed")*(Appointments!$M$5:$M$1204&lt;&gt;"No show")*(Appointments!$B$5:$B$1204&gt;=TodayDate)*Appointments!$B$5:$B$1204+(1-(Appointments!$E$5:$E$1204=A327)*(Appointments!$M$5:$M$1204&lt;&gt;"Cancelled")*(Appointments!$M$5:$M$1204&lt;&gt;"Completed")*(Appointments!$M$5:$M$1204&lt;&gt;"No show")*(Appointments!$B$5:$B$1204&gt;=TodayDate))*2958465)))</f>
        <v>0</v>
      </c>
      <c r="AB327" s="17">
        <f>IF(B327="","",IF(AA327&gt;=2958465,"",AA327))</f>
        <v>0</v>
      </c>
      <c r="AC327" s="25">
        <f>IF(B327="","",IF(T327&lt;2,"",ROUND((Y327-X327)/MAX(1,T327-1),0)))</f>
        <v>0</v>
      </c>
      <c r="AD327" s="17">
        <f>IF(B327="","",IF(Y327="","",Y327+IF(AC327="",RebookWeeks*7,MAX(14,AC327))))</f>
        <v>0</v>
      </c>
      <c r="AE327" s="26">
        <f>IF(B327="","",ROUND(SUMIFS(Sales!$Y$5:$Y$1204,Sales!$D$5:$D$1204,A327),2))</f>
        <v>0</v>
      </c>
      <c r="AF327" s="26">
        <f>IF(B327="","",ROUND(SUMIFS(Sales!$Y$5:$Y$1204,Sales!$D$5:$D$1204,A327,Sales!$H$5:$H$1204,"Service"),2))</f>
        <v>0</v>
      </c>
      <c r="AG327" s="26">
        <f>IF(B327="","",ROUND(SUMIFS(Sales!$Y$5:$Y$1204,Sales!$D$5:$D$1204,A327,Sales!$H$5:$H$1204,"Retail"),2))</f>
        <v>0</v>
      </c>
      <c r="AH327" s="26">
        <f>IF(B327="","",ROUND(SUMIFS(Sales!$Y$5:$Y$1204,Sales!$D$5:$D$1204,A327,Sales!$B$5:$B$1204,"&gt;="&amp;TodayDate-365),2))</f>
        <v>0</v>
      </c>
      <c r="AI327" s="26">
        <f>IF(B327="","",IF(T327=0,"",ROUND(AE327/T327,2)))</f>
        <v>0</v>
      </c>
      <c r="AJ327" s="26">
        <f>IF(B327="","",IF(AI327="","",IF(AC327="","",ROUND(AI327*(365/MAX(14,AC327)),2))))</f>
        <v>0</v>
      </c>
      <c r="AK327" s="26">
        <f>IF(B327="","",ROUND(SUMIFS(Sales!$AH$5:$AH$1204,Sales!$D$5:$D$1204,A327),2))</f>
        <v>0</v>
      </c>
      <c r="AL327" s="25">
        <f>IF(B327="","",IFERROR(INDEX(Loyalty!$P$5:$P$504,MATCH(A327,Loyalty!$B$5:$B$504,0))*1,0))</f>
        <v>0</v>
      </c>
      <c r="AM327" s="39">
        <f>IF(B327="","",IF(R327="Archived","Archived",IF(T327=0,"Not been yet",IF(Z327&gt;=InactiveDays,"Inactive",IF(Z327&gt;=LapsingDays,"Lapsing",IF(T327=1,"New",IF(AH327&gt;=VipSpend,"VIP",IF(U327&gt;=4,"Regular","Active"))))))))</f>
        <v>0</v>
      </c>
      <c r="AN327" s="38">
        <f>IF(B327="","",IF(T327&gt;=2,"Yes","No"))</f>
        <v>0</v>
      </c>
      <c r="AO327" s="25">
        <f>IF(B327="","",COUNTIFS($AE$5:$AE$504,"&gt;"&amp;AE327)+COUNTIFS($AE$5:AE327,AE327))</f>
        <v>0</v>
      </c>
      <c r="AP327" s="25">
        <f>IF(B327="","",COUNTIFS($T$5:$T$504,"&gt;"&amp;T327)+COUNTIFS($T$5:T327,T327))</f>
        <v>0</v>
      </c>
      <c r="AQ327" s="39">
        <f>IF(B327="","",IF(COUNTIF($B$5:$B$504,B327)&gt;1,"Duplicate - same name twice",IF(R327="Archived","",IF(AK327&gt;0.004,"Chase - balance outstanding",IF(AM327="Inactive","Gone - win-back offer",IF(AM327="Lapsing","Chase - lapsing, call them",IF(IF(N327="",FALSE,TodayDate-N327&gt;PatchTestDays),"Due - patch test out of date",IF(IF(AD327="",FALSE,IF(AB327&lt;&gt;"",FALSE,AD327&lt;=TodayDate+14)),"Rebook - due and nothing booked",IF(IF(K327="",FALSE,ABS(DATE(YEAR(TodayDate),MONTH(K327),DAY(K327))-TodayDate)&lt;=7),"Birthday - send the treat","OK")))))))))</f>
        <v>0</v>
      </c>
    </row>
    <row r="328" spans="1:43">
      <c r="A328" s="28">
        <f>IF(B328="","",ClientPrefix&amp;TEXT(ROW()-4,"0000"))</f>
        <v>0</v>
      </c>
      <c r="J328" s="15">
        <f>IF(I328="","",IFERROR(INDEX(Staff!$B$5:$B$44,MATCH(I328,Staff!$A$5:$A$44,0)),"Not in Staff"))</f>
        <v>0</v>
      </c>
      <c r="T328" s="25">
        <f>IF(B328="","",COUNTIFS(Appointments!$E$5:$E$1204,A328,Appointments!$M$5:$M$1204,"Completed"))</f>
        <v>0</v>
      </c>
      <c r="U328" s="25">
        <f>IF(B328="","",COUNTIFS(Appointments!$E$5:$E$1204,A328,Appointments!$M$5:$M$1204,"Completed",Appointments!$B$5:$B$1204,"&gt;="&amp;TodayDate-365))</f>
        <v>0</v>
      </c>
      <c r="V328" s="25">
        <f>IF(B328="","",COUNTIFS(Appointments!$E$5:$E$1204,A328,Appointments!$M$5:$M$1204,"Cancelled"))</f>
        <v>0</v>
      </c>
      <c r="W328" s="25">
        <f>IF(B328="","",COUNTIFS(Appointments!$E$5:$E$1204,A328,Appointments!$M$5:$M$1204,"No show"))</f>
        <v>0</v>
      </c>
      <c r="X328" s="17">
        <f>IF(B328="","",IF(F328&lt;&gt;"",F328,IF(T328=0,"",SUMPRODUCT(MIN((Appointments!$E$5:$E$1204=A328)*(Appointments!$M$5:$M$1204="Completed")*Appointments!$B$5:$B$1204+(1-(Appointments!$E$5:$E$1204=A328)*(Appointments!$M$5:$M$1204="Completed"))*2958465)))))</f>
        <v>0</v>
      </c>
      <c r="Y328" s="17">
        <f>IF(B328="","",IF(T328=0,"",SUMPRODUCT(MAX((Appointments!$E$5:$E$1204=A328)*(Appointments!$M$5:$M$1204="Completed")*Appointments!$B$5:$B$1204))))</f>
        <v>0</v>
      </c>
      <c r="Z328" s="25">
        <f>IF(B328="","",IF(Y328="","",TodayDate-Y328))</f>
        <v>0</v>
      </c>
      <c r="AA328" s="42">
        <f>IF(B328="","",SUMPRODUCT(MIN((Appointments!$E$5:$E$1204=A328)*(Appointments!$M$5:$M$1204&lt;&gt;"Cancelled")*(Appointments!$M$5:$M$1204&lt;&gt;"Completed")*(Appointments!$M$5:$M$1204&lt;&gt;"No show")*(Appointments!$B$5:$B$1204&gt;=TodayDate)*Appointments!$B$5:$B$1204+(1-(Appointments!$E$5:$E$1204=A328)*(Appointments!$M$5:$M$1204&lt;&gt;"Cancelled")*(Appointments!$M$5:$M$1204&lt;&gt;"Completed")*(Appointments!$M$5:$M$1204&lt;&gt;"No show")*(Appointments!$B$5:$B$1204&gt;=TodayDate))*2958465)))</f>
        <v>0</v>
      </c>
      <c r="AB328" s="17">
        <f>IF(B328="","",IF(AA328&gt;=2958465,"",AA328))</f>
        <v>0</v>
      </c>
      <c r="AC328" s="25">
        <f>IF(B328="","",IF(T328&lt;2,"",ROUND((Y328-X328)/MAX(1,T328-1),0)))</f>
        <v>0</v>
      </c>
      <c r="AD328" s="17">
        <f>IF(B328="","",IF(Y328="","",Y328+IF(AC328="",RebookWeeks*7,MAX(14,AC328))))</f>
        <v>0</v>
      </c>
      <c r="AE328" s="26">
        <f>IF(B328="","",ROUND(SUMIFS(Sales!$Y$5:$Y$1204,Sales!$D$5:$D$1204,A328),2))</f>
        <v>0</v>
      </c>
      <c r="AF328" s="26">
        <f>IF(B328="","",ROUND(SUMIFS(Sales!$Y$5:$Y$1204,Sales!$D$5:$D$1204,A328,Sales!$H$5:$H$1204,"Service"),2))</f>
        <v>0</v>
      </c>
      <c r="AG328" s="26">
        <f>IF(B328="","",ROUND(SUMIFS(Sales!$Y$5:$Y$1204,Sales!$D$5:$D$1204,A328,Sales!$H$5:$H$1204,"Retail"),2))</f>
        <v>0</v>
      </c>
      <c r="AH328" s="26">
        <f>IF(B328="","",ROUND(SUMIFS(Sales!$Y$5:$Y$1204,Sales!$D$5:$D$1204,A328,Sales!$B$5:$B$1204,"&gt;="&amp;TodayDate-365),2))</f>
        <v>0</v>
      </c>
      <c r="AI328" s="26">
        <f>IF(B328="","",IF(T328=0,"",ROUND(AE328/T328,2)))</f>
        <v>0</v>
      </c>
      <c r="AJ328" s="26">
        <f>IF(B328="","",IF(AI328="","",IF(AC328="","",ROUND(AI328*(365/MAX(14,AC328)),2))))</f>
        <v>0</v>
      </c>
      <c r="AK328" s="26">
        <f>IF(B328="","",ROUND(SUMIFS(Sales!$AH$5:$AH$1204,Sales!$D$5:$D$1204,A328),2))</f>
        <v>0</v>
      </c>
      <c r="AL328" s="25">
        <f>IF(B328="","",IFERROR(INDEX(Loyalty!$P$5:$P$504,MATCH(A328,Loyalty!$B$5:$B$504,0))*1,0))</f>
        <v>0</v>
      </c>
      <c r="AM328" s="39">
        <f>IF(B328="","",IF(R328="Archived","Archived",IF(T328=0,"Not been yet",IF(Z328&gt;=InactiveDays,"Inactive",IF(Z328&gt;=LapsingDays,"Lapsing",IF(T328=1,"New",IF(AH328&gt;=VipSpend,"VIP",IF(U328&gt;=4,"Regular","Active"))))))))</f>
        <v>0</v>
      </c>
      <c r="AN328" s="38">
        <f>IF(B328="","",IF(T328&gt;=2,"Yes","No"))</f>
        <v>0</v>
      </c>
      <c r="AO328" s="25">
        <f>IF(B328="","",COUNTIFS($AE$5:$AE$504,"&gt;"&amp;AE328)+COUNTIFS($AE$5:AE328,AE328))</f>
        <v>0</v>
      </c>
      <c r="AP328" s="25">
        <f>IF(B328="","",COUNTIFS($T$5:$T$504,"&gt;"&amp;T328)+COUNTIFS($T$5:T328,T328))</f>
        <v>0</v>
      </c>
      <c r="AQ328" s="39">
        <f>IF(B328="","",IF(COUNTIF($B$5:$B$504,B328)&gt;1,"Duplicate - same name twice",IF(R328="Archived","",IF(AK328&gt;0.004,"Chase - balance outstanding",IF(AM328="Inactive","Gone - win-back offer",IF(AM328="Lapsing","Chase - lapsing, call them",IF(IF(N328="",FALSE,TodayDate-N328&gt;PatchTestDays),"Due - patch test out of date",IF(IF(AD328="",FALSE,IF(AB328&lt;&gt;"",FALSE,AD328&lt;=TodayDate+14)),"Rebook - due and nothing booked",IF(IF(K328="",FALSE,ABS(DATE(YEAR(TodayDate),MONTH(K328),DAY(K328))-TodayDate)&lt;=7),"Birthday - send the treat","OK")))))))))</f>
        <v>0</v>
      </c>
    </row>
    <row r="329" spans="1:43">
      <c r="A329" s="28">
        <f>IF(B329="","",ClientPrefix&amp;TEXT(ROW()-4,"0000"))</f>
        <v>0</v>
      </c>
      <c r="J329" s="15">
        <f>IF(I329="","",IFERROR(INDEX(Staff!$B$5:$B$44,MATCH(I329,Staff!$A$5:$A$44,0)),"Not in Staff"))</f>
        <v>0</v>
      </c>
      <c r="T329" s="25">
        <f>IF(B329="","",COUNTIFS(Appointments!$E$5:$E$1204,A329,Appointments!$M$5:$M$1204,"Completed"))</f>
        <v>0</v>
      </c>
      <c r="U329" s="25">
        <f>IF(B329="","",COUNTIFS(Appointments!$E$5:$E$1204,A329,Appointments!$M$5:$M$1204,"Completed",Appointments!$B$5:$B$1204,"&gt;="&amp;TodayDate-365))</f>
        <v>0</v>
      </c>
      <c r="V329" s="25">
        <f>IF(B329="","",COUNTIFS(Appointments!$E$5:$E$1204,A329,Appointments!$M$5:$M$1204,"Cancelled"))</f>
        <v>0</v>
      </c>
      <c r="W329" s="25">
        <f>IF(B329="","",COUNTIFS(Appointments!$E$5:$E$1204,A329,Appointments!$M$5:$M$1204,"No show"))</f>
        <v>0</v>
      </c>
      <c r="X329" s="17">
        <f>IF(B329="","",IF(F329&lt;&gt;"",F329,IF(T329=0,"",SUMPRODUCT(MIN((Appointments!$E$5:$E$1204=A329)*(Appointments!$M$5:$M$1204="Completed")*Appointments!$B$5:$B$1204+(1-(Appointments!$E$5:$E$1204=A329)*(Appointments!$M$5:$M$1204="Completed"))*2958465)))))</f>
        <v>0</v>
      </c>
      <c r="Y329" s="17">
        <f>IF(B329="","",IF(T329=0,"",SUMPRODUCT(MAX((Appointments!$E$5:$E$1204=A329)*(Appointments!$M$5:$M$1204="Completed")*Appointments!$B$5:$B$1204))))</f>
        <v>0</v>
      </c>
      <c r="Z329" s="25">
        <f>IF(B329="","",IF(Y329="","",TodayDate-Y329))</f>
        <v>0</v>
      </c>
      <c r="AA329" s="42">
        <f>IF(B329="","",SUMPRODUCT(MIN((Appointments!$E$5:$E$1204=A329)*(Appointments!$M$5:$M$1204&lt;&gt;"Cancelled")*(Appointments!$M$5:$M$1204&lt;&gt;"Completed")*(Appointments!$M$5:$M$1204&lt;&gt;"No show")*(Appointments!$B$5:$B$1204&gt;=TodayDate)*Appointments!$B$5:$B$1204+(1-(Appointments!$E$5:$E$1204=A329)*(Appointments!$M$5:$M$1204&lt;&gt;"Cancelled")*(Appointments!$M$5:$M$1204&lt;&gt;"Completed")*(Appointments!$M$5:$M$1204&lt;&gt;"No show")*(Appointments!$B$5:$B$1204&gt;=TodayDate))*2958465)))</f>
        <v>0</v>
      </c>
      <c r="AB329" s="17">
        <f>IF(B329="","",IF(AA329&gt;=2958465,"",AA329))</f>
        <v>0</v>
      </c>
      <c r="AC329" s="25">
        <f>IF(B329="","",IF(T329&lt;2,"",ROUND((Y329-X329)/MAX(1,T329-1),0)))</f>
        <v>0</v>
      </c>
      <c r="AD329" s="17">
        <f>IF(B329="","",IF(Y329="","",Y329+IF(AC329="",RebookWeeks*7,MAX(14,AC329))))</f>
        <v>0</v>
      </c>
      <c r="AE329" s="26">
        <f>IF(B329="","",ROUND(SUMIFS(Sales!$Y$5:$Y$1204,Sales!$D$5:$D$1204,A329),2))</f>
        <v>0</v>
      </c>
      <c r="AF329" s="26">
        <f>IF(B329="","",ROUND(SUMIFS(Sales!$Y$5:$Y$1204,Sales!$D$5:$D$1204,A329,Sales!$H$5:$H$1204,"Service"),2))</f>
        <v>0</v>
      </c>
      <c r="AG329" s="26">
        <f>IF(B329="","",ROUND(SUMIFS(Sales!$Y$5:$Y$1204,Sales!$D$5:$D$1204,A329,Sales!$H$5:$H$1204,"Retail"),2))</f>
        <v>0</v>
      </c>
      <c r="AH329" s="26">
        <f>IF(B329="","",ROUND(SUMIFS(Sales!$Y$5:$Y$1204,Sales!$D$5:$D$1204,A329,Sales!$B$5:$B$1204,"&gt;="&amp;TodayDate-365),2))</f>
        <v>0</v>
      </c>
      <c r="AI329" s="26">
        <f>IF(B329="","",IF(T329=0,"",ROUND(AE329/T329,2)))</f>
        <v>0</v>
      </c>
      <c r="AJ329" s="26">
        <f>IF(B329="","",IF(AI329="","",IF(AC329="","",ROUND(AI329*(365/MAX(14,AC329)),2))))</f>
        <v>0</v>
      </c>
      <c r="AK329" s="26">
        <f>IF(B329="","",ROUND(SUMIFS(Sales!$AH$5:$AH$1204,Sales!$D$5:$D$1204,A329),2))</f>
        <v>0</v>
      </c>
      <c r="AL329" s="25">
        <f>IF(B329="","",IFERROR(INDEX(Loyalty!$P$5:$P$504,MATCH(A329,Loyalty!$B$5:$B$504,0))*1,0))</f>
        <v>0</v>
      </c>
      <c r="AM329" s="39">
        <f>IF(B329="","",IF(R329="Archived","Archived",IF(T329=0,"Not been yet",IF(Z329&gt;=InactiveDays,"Inactive",IF(Z329&gt;=LapsingDays,"Lapsing",IF(T329=1,"New",IF(AH329&gt;=VipSpend,"VIP",IF(U329&gt;=4,"Regular","Active"))))))))</f>
        <v>0</v>
      </c>
      <c r="AN329" s="38">
        <f>IF(B329="","",IF(T329&gt;=2,"Yes","No"))</f>
        <v>0</v>
      </c>
      <c r="AO329" s="25">
        <f>IF(B329="","",COUNTIFS($AE$5:$AE$504,"&gt;"&amp;AE329)+COUNTIFS($AE$5:AE329,AE329))</f>
        <v>0</v>
      </c>
      <c r="AP329" s="25">
        <f>IF(B329="","",COUNTIFS($T$5:$T$504,"&gt;"&amp;T329)+COUNTIFS($T$5:T329,T329))</f>
        <v>0</v>
      </c>
      <c r="AQ329" s="39">
        <f>IF(B329="","",IF(COUNTIF($B$5:$B$504,B329)&gt;1,"Duplicate - same name twice",IF(R329="Archived","",IF(AK329&gt;0.004,"Chase - balance outstanding",IF(AM329="Inactive","Gone - win-back offer",IF(AM329="Lapsing","Chase - lapsing, call them",IF(IF(N329="",FALSE,TodayDate-N329&gt;PatchTestDays),"Due - patch test out of date",IF(IF(AD329="",FALSE,IF(AB329&lt;&gt;"",FALSE,AD329&lt;=TodayDate+14)),"Rebook - due and nothing booked",IF(IF(K329="",FALSE,ABS(DATE(YEAR(TodayDate),MONTH(K329),DAY(K329))-TodayDate)&lt;=7),"Birthday - send the treat","OK")))))))))</f>
        <v>0</v>
      </c>
    </row>
    <row r="330" spans="1:43">
      <c r="A330" s="28">
        <f>IF(B330="","",ClientPrefix&amp;TEXT(ROW()-4,"0000"))</f>
        <v>0</v>
      </c>
      <c r="J330" s="15">
        <f>IF(I330="","",IFERROR(INDEX(Staff!$B$5:$B$44,MATCH(I330,Staff!$A$5:$A$44,0)),"Not in Staff"))</f>
        <v>0</v>
      </c>
      <c r="T330" s="25">
        <f>IF(B330="","",COUNTIFS(Appointments!$E$5:$E$1204,A330,Appointments!$M$5:$M$1204,"Completed"))</f>
        <v>0</v>
      </c>
      <c r="U330" s="25">
        <f>IF(B330="","",COUNTIFS(Appointments!$E$5:$E$1204,A330,Appointments!$M$5:$M$1204,"Completed",Appointments!$B$5:$B$1204,"&gt;="&amp;TodayDate-365))</f>
        <v>0</v>
      </c>
      <c r="V330" s="25">
        <f>IF(B330="","",COUNTIFS(Appointments!$E$5:$E$1204,A330,Appointments!$M$5:$M$1204,"Cancelled"))</f>
        <v>0</v>
      </c>
      <c r="W330" s="25">
        <f>IF(B330="","",COUNTIFS(Appointments!$E$5:$E$1204,A330,Appointments!$M$5:$M$1204,"No show"))</f>
        <v>0</v>
      </c>
      <c r="X330" s="17">
        <f>IF(B330="","",IF(F330&lt;&gt;"",F330,IF(T330=0,"",SUMPRODUCT(MIN((Appointments!$E$5:$E$1204=A330)*(Appointments!$M$5:$M$1204="Completed")*Appointments!$B$5:$B$1204+(1-(Appointments!$E$5:$E$1204=A330)*(Appointments!$M$5:$M$1204="Completed"))*2958465)))))</f>
        <v>0</v>
      </c>
      <c r="Y330" s="17">
        <f>IF(B330="","",IF(T330=0,"",SUMPRODUCT(MAX((Appointments!$E$5:$E$1204=A330)*(Appointments!$M$5:$M$1204="Completed")*Appointments!$B$5:$B$1204))))</f>
        <v>0</v>
      </c>
      <c r="Z330" s="25">
        <f>IF(B330="","",IF(Y330="","",TodayDate-Y330))</f>
        <v>0</v>
      </c>
      <c r="AA330" s="42">
        <f>IF(B330="","",SUMPRODUCT(MIN((Appointments!$E$5:$E$1204=A330)*(Appointments!$M$5:$M$1204&lt;&gt;"Cancelled")*(Appointments!$M$5:$M$1204&lt;&gt;"Completed")*(Appointments!$M$5:$M$1204&lt;&gt;"No show")*(Appointments!$B$5:$B$1204&gt;=TodayDate)*Appointments!$B$5:$B$1204+(1-(Appointments!$E$5:$E$1204=A330)*(Appointments!$M$5:$M$1204&lt;&gt;"Cancelled")*(Appointments!$M$5:$M$1204&lt;&gt;"Completed")*(Appointments!$M$5:$M$1204&lt;&gt;"No show")*(Appointments!$B$5:$B$1204&gt;=TodayDate))*2958465)))</f>
        <v>0</v>
      </c>
      <c r="AB330" s="17">
        <f>IF(B330="","",IF(AA330&gt;=2958465,"",AA330))</f>
        <v>0</v>
      </c>
      <c r="AC330" s="25">
        <f>IF(B330="","",IF(T330&lt;2,"",ROUND((Y330-X330)/MAX(1,T330-1),0)))</f>
        <v>0</v>
      </c>
      <c r="AD330" s="17">
        <f>IF(B330="","",IF(Y330="","",Y330+IF(AC330="",RebookWeeks*7,MAX(14,AC330))))</f>
        <v>0</v>
      </c>
      <c r="AE330" s="26">
        <f>IF(B330="","",ROUND(SUMIFS(Sales!$Y$5:$Y$1204,Sales!$D$5:$D$1204,A330),2))</f>
        <v>0</v>
      </c>
      <c r="AF330" s="26">
        <f>IF(B330="","",ROUND(SUMIFS(Sales!$Y$5:$Y$1204,Sales!$D$5:$D$1204,A330,Sales!$H$5:$H$1204,"Service"),2))</f>
        <v>0</v>
      </c>
      <c r="AG330" s="26">
        <f>IF(B330="","",ROUND(SUMIFS(Sales!$Y$5:$Y$1204,Sales!$D$5:$D$1204,A330,Sales!$H$5:$H$1204,"Retail"),2))</f>
        <v>0</v>
      </c>
      <c r="AH330" s="26">
        <f>IF(B330="","",ROUND(SUMIFS(Sales!$Y$5:$Y$1204,Sales!$D$5:$D$1204,A330,Sales!$B$5:$B$1204,"&gt;="&amp;TodayDate-365),2))</f>
        <v>0</v>
      </c>
      <c r="AI330" s="26">
        <f>IF(B330="","",IF(T330=0,"",ROUND(AE330/T330,2)))</f>
        <v>0</v>
      </c>
      <c r="AJ330" s="26">
        <f>IF(B330="","",IF(AI330="","",IF(AC330="","",ROUND(AI330*(365/MAX(14,AC330)),2))))</f>
        <v>0</v>
      </c>
      <c r="AK330" s="26">
        <f>IF(B330="","",ROUND(SUMIFS(Sales!$AH$5:$AH$1204,Sales!$D$5:$D$1204,A330),2))</f>
        <v>0</v>
      </c>
      <c r="AL330" s="25">
        <f>IF(B330="","",IFERROR(INDEX(Loyalty!$P$5:$P$504,MATCH(A330,Loyalty!$B$5:$B$504,0))*1,0))</f>
        <v>0</v>
      </c>
      <c r="AM330" s="39">
        <f>IF(B330="","",IF(R330="Archived","Archived",IF(T330=0,"Not been yet",IF(Z330&gt;=InactiveDays,"Inactive",IF(Z330&gt;=LapsingDays,"Lapsing",IF(T330=1,"New",IF(AH330&gt;=VipSpend,"VIP",IF(U330&gt;=4,"Regular","Active"))))))))</f>
        <v>0</v>
      </c>
      <c r="AN330" s="38">
        <f>IF(B330="","",IF(T330&gt;=2,"Yes","No"))</f>
        <v>0</v>
      </c>
      <c r="AO330" s="25">
        <f>IF(B330="","",COUNTIFS($AE$5:$AE$504,"&gt;"&amp;AE330)+COUNTIFS($AE$5:AE330,AE330))</f>
        <v>0</v>
      </c>
      <c r="AP330" s="25">
        <f>IF(B330="","",COUNTIFS($T$5:$T$504,"&gt;"&amp;T330)+COUNTIFS($T$5:T330,T330))</f>
        <v>0</v>
      </c>
      <c r="AQ330" s="39">
        <f>IF(B330="","",IF(COUNTIF($B$5:$B$504,B330)&gt;1,"Duplicate - same name twice",IF(R330="Archived","",IF(AK330&gt;0.004,"Chase - balance outstanding",IF(AM330="Inactive","Gone - win-back offer",IF(AM330="Lapsing","Chase - lapsing, call them",IF(IF(N330="",FALSE,TodayDate-N330&gt;PatchTestDays),"Due - patch test out of date",IF(IF(AD330="",FALSE,IF(AB330&lt;&gt;"",FALSE,AD330&lt;=TodayDate+14)),"Rebook - due and nothing booked",IF(IF(K330="",FALSE,ABS(DATE(YEAR(TodayDate),MONTH(K330),DAY(K330))-TodayDate)&lt;=7),"Birthday - send the treat","OK")))))))))</f>
        <v>0</v>
      </c>
    </row>
    <row r="331" spans="1:43">
      <c r="A331" s="28">
        <f>IF(B331="","",ClientPrefix&amp;TEXT(ROW()-4,"0000"))</f>
        <v>0</v>
      </c>
      <c r="J331" s="15">
        <f>IF(I331="","",IFERROR(INDEX(Staff!$B$5:$B$44,MATCH(I331,Staff!$A$5:$A$44,0)),"Not in Staff"))</f>
        <v>0</v>
      </c>
      <c r="T331" s="25">
        <f>IF(B331="","",COUNTIFS(Appointments!$E$5:$E$1204,A331,Appointments!$M$5:$M$1204,"Completed"))</f>
        <v>0</v>
      </c>
      <c r="U331" s="25">
        <f>IF(B331="","",COUNTIFS(Appointments!$E$5:$E$1204,A331,Appointments!$M$5:$M$1204,"Completed",Appointments!$B$5:$B$1204,"&gt;="&amp;TodayDate-365))</f>
        <v>0</v>
      </c>
      <c r="V331" s="25">
        <f>IF(B331="","",COUNTIFS(Appointments!$E$5:$E$1204,A331,Appointments!$M$5:$M$1204,"Cancelled"))</f>
        <v>0</v>
      </c>
      <c r="W331" s="25">
        <f>IF(B331="","",COUNTIFS(Appointments!$E$5:$E$1204,A331,Appointments!$M$5:$M$1204,"No show"))</f>
        <v>0</v>
      </c>
      <c r="X331" s="17">
        <f>IF(B331="","",IF(F331&lt;&gt;"",F331,IF(T331=0,"",SUMPRODUCT(MIN((Appointments!$E$5:$E$1204=A331)*(Appointments!$M$5:$M$1204="Completed")*Appointments!$B$5:$B$1204+(1-(Appointments!$E$5:$E$1204=A331)*(Appointments!$M$5:$M$1204="Completed"))*2958465)))))</f>
        <v>0</v>
      </c>
      <c r="Y331" s="17">
        <f>IF(B331="","",IF(T331=0,"",SUMPRODUCT(MAX((Appointments!$E$5:$E$1204=A331)*(Appointments!$M$5:$M$1204="Completed")*Appointments!$B$5:$B$1204))))</f>
        <v>0</v>
      </c>
      <c r="Z331" s="25">
        <f>IF(B331="","",IF(Y331="","",TodayDate-Y331))</f>
        <v>0</v>
      </c>
      <c r="AA331" s="42">
        <f>IF(B331="","",SUMPRODUCT(MIN((Appointments!$E$5:$E$1204=A331)*(Appointments!$M$5:$M$1204&lt;&gt;"Cancelled")*(Appointments!$M$5:$M$1204&lt;&gt;"Completed")*(Appointments!$M$5:$M$1204&lt;&gt;"No show")*(Appointments!$B$5:$B$1204&gt;=TodayDate)*Appointments!$B$5:$B$1204+(1-(Appointments!$E$5:$E$1204=A331)*(Appointments!$M$5:$M$1204&lt;&gt;"Cancelled")*(Appointments!$M$5:$M$1204&lt;&gt;"Completed")*(Appointments!$M$5:$M$1204&lt;&gt;"No show")*(Appointments!$B$5:$B$1204&gt;=TodayDate))*2958465)))</f>
        <v>0</v>
      </c>
      <c r="AB331" s="17">
        <f>IF(B331="","",IF(AA331&gt;=2958465,"",AA331))</f>
        <v>0</v>
      </c>
      <c r="AC331" s="25">
        <f>IF(B331="","",IF(T331&lt;2,"",ROUND((Y331-X331)/MAX(1,T331-1),0)))</f>
        <v>0</v>
      </c>
      <c r="AD331" s="17">
        <f>IF(B331="","",IF(Y331="","",Y331+IF(AC331="",RebookWeeks*7,MAX(14,AC331))))</f>
        <v>0</v>
      </c>
      <c r="AE331" s="26">
        <f>IF(B331="","",ROUND(SUMIFS(Sales!$Y$5:$Y$1204,Sales!$D$5:$D$1204,A331),2))</f>
        <v>0</v>
      </c>
      <c r="AF331" s="26">
        <f>IF(B331="","",ROUND(SUMIFS(Sales!$Y$5:$Y$1204,Sales!$D$5:$D$1204,A331,Sales!$H$5:$H$1204,"Service"),2))</f>
        <v>0</v>
      </c>
      <c r="AG331" s="26">
        <f>IF(B331="","",ROUND(SUMIFS(Sales!$Y$5:$Y$1204,Sales!$D$5:$D$1204,A331,Sales!$H$5:$H$1204,"Retail"),2))</f>
        <v>0</v>
      </c>
      <c r="AH331" s="26">
        <f>IF(B331="","",ROUND(SUMIFS(Sales!$Y$5:$Y$1204,Sales!$D$5:$D$1204,A331,Sales!$B$5:$B$1204,"&gt;="&amp;TodayDate-365),2))</f>
        <v>0</v>
      </c>
      <c r="AI331" s="26">
        <f>IF(B331="","",IF(T331=0,"",ROUND(AE331/T331,2)))</f>
        <v>0</v>
      </c>
      <c r="AJ331" s="26">
        <f>IF(B331="","",IF(AI331="","",IF(AC331="","",ROUND(AI331*(365/MAX(14,AC331)),2))))</f>
        <v>0</v>
      </c>
      <c r="AK331" s="26">
        <f>IF(B331="","",ROUND(SUMIFS(Sales!$AH$5:$AH$1204,Sales!$D$5:$D$1204,A331),2))</f>
        <v>0</v>
      </c>
      <c r="AL331" s="25">
        <f>IF(B331="","",IFERROR(INDEX(Loyalty!$P$5:$P$504,MATCH(A331,Loyalty!$B$5:$B$504,0))*1,0))</f>
        <v>0</v>
      </c>
      <c r="AM331" s="39">
        <f>IF(B331="","",IF(R331="Archived","Archived",IF(T331=0,"Not been yet",IF(Z331&gt;=InactiveDays,"Inactive",IF(Z331&gt;=LapsingDays,"Lapsing",IF(T331=1,"New",IF(AH331&gt;=VipSpend,"VIP",IF(U331&gt;=4,"Regular","Active"))))))))</f>
        <v>0</v>
      </c>
      <c r="AN331" s="38">
        <f>IF(B331="","",IF(T331&gt;=2,"Yes","No"))</f>
        <v>0</v>
      </c>
      <c r="AO331" s="25">
        <f>IF(B331="","",COUNTIFS($AE$5:$AE$504,"&gt;"&amp;AE331)+COUNTIFS($AE$5:AE331,AE331))</f>
        <v>0</v>
      </c>
      <c r="AP331" s="25">
        <f>IF(B331="","",COUNTIFS($T$5:$T$504,"&gt;"&amp;T331)+COUNTIFS($T$5:T331,T331))</f>
        <v>0</v>
      </c>
      <c r="AQ331" s="39">
        <f>IF(B331="","",IF(COUNTIF($B$5:$B$504,B331)&gt;1,"Duplicate - same name twice",IF(R331="Archived","",IF(AK331&gt;0.004,"Chase - balance outstanding",IF(AM331="Inactive","Gone - win-back offer",IF(AM331="Lapsing","Chase - lapsing, call them",IF(IF(N331="",FALSE,TodayDate-N331&gt;PatchTestDays),"Due - patch test out of date",IF(IF(AD331="",FALSE,IF(AB331&lt;&gt;"",FALSE,AD331&lt;=TodayDate+14)),"Rebook - due and nothing booked",IF(IF(K331="",FALSE,ABS(DATE(YEAR(TodayDate),MONTH(K331),DAY(K331))-TodayDate)&lt;=7),"Birthday - send the treat","OK")))))))))</f>
        <v>0</v>
      </c>
    </row>
    <row r="332" spans="1:43">
      <c r="A332" s="28">
        <f>IF(B332="","",ClientPrefix&amp;TEXT(ROW()-4,"0000"))</f>
        <v>0</v>
      </c>
      <c r="J332" s="15">
        <f>IF(I332="","",IFERROR(INDEX(Staff!$B$5:$B$44,MATCH(I332,Staff!$A$5:$A$44,0)),"Not in Staff"))</f>
        <v>0</v>
      </c>
      <c r="T332" s="25">
        <f>IF(B332="","",COUNTIFS(Appointments!$E$5:$E$1204,A332,Appointments!$M$5:$M$1204,"Completed"))</f>
        <v>0</v>
      </c>
      <c r="U332" s="25">
        <f>IF(B332="","",COUNTIFS(Appointments!$E$5:$E$1204,A332,Appointments!$M$5:$M$1204,"Completed",Appointments!$B$5:$B$1204,"&gt;="&amp;TodayDate-365))</f>
        <v>0</v>
      </c>
      <c r="V332" s="25">
        <f>IF(B332="","",COUNTIFS(Appointments!$E$5:$E$1204,A332,Appointments!$M$5:$M$1204,"Cancelled"))</f>
        <v>0</v>
      </c>
      <c r="W332" s="25">
        <f>IF(B332="","",COUNTIFS(Appointments!$E$5:$E$1204,A332,Appointments!$M$5:$M$1204,"No show"))</f>
        <v>0</v>
      </c>
      <c r="X332" s="17">
        <f>IF(B332="","",IF(F332&lt;&gt;"",F332,IF(T332=0,"",SUMPRODUCT(MIN((Appointments!$E$5:$E$1204=A332)*(Appointments!$M$5:$M$1204="Completed")*Appointments!$B$5:$B$1204+(1-(Appointments!$E$5:$E$1204=A332)*(Appointments!$M$5:$M$1204="Completed"))*2958465)))))</f>
        <v>0</v>
      </c>
      <c r="Y332" s="17">
        <f>IF(B332="","",IF(T332=0,"",SUMPRODUCT(MAX((Appointments!$E$5:$E$1204=A332)*(Appointments!$M$5:$M$1204="Completed")*Appointments!$B$5:$B$1204))))</f>
        <v>0</v>
      </c>
      <c r="Z332" s="25">
        <f>IF(B332="","",IF(Y332="","",TodayDate-Y332))</f>
        <v>0</v>
      </c>
      <c r="AA332" s="42">
        <f>IF(B332="","",SUMPRODUCT(MIN((Appointments!$E$5:$E$1204=A332)*(Appointments!$M$5:$M$1204&lt;&gt;"Cancelled")*(Appointments!$M$5:$M$1204&lt;&gt;"Completed")*(Appointments!$M$5:$M$1204&lt;&gt;"No show")*(Appointments!$B$5:$B$1204&gt;=TodayDate)*Appointments!$B$5:$B$1204+(1-(Appointments!$E$5:$E$1204=A332)*(Appointments!$M$5:$M$1204&lt;&gt;"Cancelled")*(Appointments!$M$5:$M$1204&lt;&gt;"Completed")*(Appointments!$M$5:$M$1204&lt;&gt;"No show")*(Appointments!$B$5:$B$1204&gt;=TodayDate))*2958465)))</f>
        <v>0</v>
      </c>
      <c r="AB332" s="17">
        <f>IF(B332="","",IF(AA332&gt;=2958465,"",AA332))</f>
        <v>0</v>
      </c>
      <c r="AC332" s="25">
        <f>IF(B332="","",IF(T332&lt;2,"",ROUND((Y332-X332)/MAX(1,T332-1),0)))</f>
        <v>0</v>
      </c>
      <c r="AD332" s="17">
        <f>IF(B332="","",IF(Y332="","",Y332+IF(AC332="",RebookWeeks*7,MAX(14,AC332))))</f>
        <v>0</v>
      </c>
      <c r="AE332" s="26">
        <f>IF(B332="","",ROUND(SUMIFS(Sales!$Y$5:$Y$1204,Sales!$D$5:$D$1204,A332),2))</f>
        <v>0</v>
      </c>
      <c r="AF332" s="26">
        <f>IF(B332="","",ROUND(SUMIFS(Sales!$Y$5:$Y$1204,Sales!$D$5:$D$1204,A332,Sales!$H$5:$H$1204,"Service"),2))</f>
        <v>0</v>
      </c>
      <c r="AG332" s="26">
        <f>IF(B332="","",ROUND(SUMIFS(Sales!$Y$5:$Y$1204,Sales!$D$5:$D$1204,A332,Sales!$H$5:$H$1204,"Retail"),2))</f>
        <v>0</v>
      </c>
      <c r="AH332" s="26">
        <f>IF(B332="","",ROUND(SUMIFS(Sales!$Y$5:$Y$1204,Sales!$D$5:$D$1204,A332,Sales!$B$5:$B$1204,"&gt;="&amp;TodayDate-365),2))</f>
        <v>0</v>
      </c>
      <c r="AI332" s="26">
        <f>IF(B332="","",IF(T332=0,"",ROUND(AE332/T332,2)))</f>
        <v>0</v>
      </c>
      <c r="AJ332" s="26">
        <f>IF(B332="","",IF(AI332="","",IF(AC332="","",ROUND(AI332*(365/MAX(14,AC332)),2))))</f>
        <v>0</v>
      </c>
      <c r="AK332" s="26">
        <f>IF(B332="","",ROUND(SUMIFS(Sales!$AH$5:$AH$1204,Sales!$D$5:$D$1204,A332),2))</f>
        <v>0</v>
      </c>
      <c r="AL332" s="25">
        <f>IF(B332="","",IFERROR(INDEX(Loyalty!$P$5:$P$504,MATCH(A332,Loyalty!$B$5:$B$504,0))*1,0))</f>
        <v>0</v>
      </c>
      <c r="AM332" s="39">
        <f>IF(B332="","",IF(R332="Archived","Archived",IF(T332=0,"Not been yet",IF(Z332&gt;=InactiveDays,"Inactive",IF(Z332&gt;=LapsingDays,"Lapsing",IF(T332=1,"New",IF(AH332&gt;=VipSpend,"VIP",IF(U332&gt;=4,"Regular","Active"))))))))</f>
        <v>0</v>
      </c>
      <c r="AN332" s="38">
        <f>IF(B332="","",IF(T332&gt;=2,"Yes","No"))</f>
        <v>0</v>
      </c>
      <c r="AO332" s="25">
        <f>IF(B332="","",COUNTIFS($AE$5:$AE$504,"&gt;"&amp;AE332)+COUNTIFS($AE$5:AE332,AE332))</f>
        <v>0</v>
      </c>
      <c r="AP332" s="25">
        <f>IF(B332="","",COUNTIFS($T$5:$T$504,"&gt;"&amp;T332)+COUNTIFS($T$5:T332,T332))</f>
        <v>0</v>
      </c>
      <c r="AQ332" s="39">
        <f>IF(B332="","",IF(COUNTIF($B$5:$B$504,B332)&gt;1,"Duplicate - same name twice",IF(R332="Archived","",IF(AK332&gt;0.004,"Chase - balance outstanding",IF(AM332="Inactive","Gone - win-back offer",IF(AM332="Lapsing","Chase - lapsing, call them",IF(IF(N332="",FALSE,TodayDate-N332&gt;PatchTestDays),"Due - patch test out of date",IF(IF(AD332="",FALSE,IF(AB332&lt;&gt;"",FALSE,AD332&lt;=TodayDate+14)),"Rebook - due and nothing booked",IF(IF(K332="",FALSE,ABS(DATE(YEAR(TodayDate),MONTH(K332),DAY(K332))-TodayDate)&lt;=7),"Birthday - send the treat","OK")))))))))</f>
        <v>0</v>
      </c>
    </row>
    <row r="333" spans="1:43">
      <c r="A333" s="28">
        <f>IF(B333="","",ClientPrefix&amp;TEXT(ROW()-4,"0000"))</f>
        <v>0</v>
      </c>
      <c r="J333" s="15">
        <f>IF(I333="","",IFERROR(INDEX(Staff!$B$5:$B$44,MATCH(I333,Staff!$A$5:$A$44,0)),"Not in Staff"))</f>
        <v>0</v>
      </c>
      <c r="T333" s="25">
        <f>IF(B333="","",COUNTIFS(Appointments!$E$5:$E$1204,A333,Appointments!$M$5:$M$1204,"Completed"))</f>
        <v>0</v>
      </c>
      <c r="U333" s="25">
        <f>IF(B333="","",COUNTIFS(Appointments!$E$5:$E$1204,A333,Appointments!$M$5:$M$1204,"Completed",Appointments!$B$5:$B$1204,"&gt;="&amp;TodayDate-365))</f>
        <v>0</v>
      </c>
      <c r="V333" s="25">
        <f>IF(B333="","",COUNTIFS(Appointments!$E$5:$E$1204,A333,Appointments!$M$5:$M$1204,"Cancelled"))</f>
        <v>0</v>
      </c>
      <c r="W333" s="25">
        <f>IF(B333="","",COUNTIFS(Appointments!$E$5:$E$1204,A333,Appointments!$M$5:$M$1204,"No show"))</f>
        <v>0</v>
      </c>
      <c r="X333" s="17">
        <f>IF(B333="","",IF(F333&lt;&gt;"",F333,IF(T333=0,"",SUMPRODUCT(MIN((Appointments!$E$5:$E$1204=A333)*(Appointments!$M$5:$M$1204="Completed")*Appointments!$B$5:$B$1204+(1-(Appointments!$E$5:$E$1204=A333)*(Appointments!$M$5:$M$1204="Completed"))*2958465)))))</f>
        <v>0</v>
      </c>
      <c r="Y333" s="17">
        <f>IF(B333="","",IF(T333=0,"",SUMPRODUCT(MAX((Appointments!$E$5:$E$1204=A333)*(Appointments!$M$5:$M$1204="Completed")*Appointments!$B$5:$B$1204))))</f>
        <v>0</v>
      </c>
      <c r="Z333" s="25">
        <f>IF(B333="","",IF(Y333="","",TodayDate-Y333))</f>
        <v>0</v>
      </c>
      <c r="AA333" s="42">
        <f>IF(B333="","",SUMPRODUCT(MIN((Appointments!$E$5:$E$1204=A333)*(Appointments!$M$5:$M$1204&lt;&gt;"Cancelled")*(Appointments!$M$5:$M$1204&lt;&gt;"Completed")*(Appointments!$M$5:$M$1204&lt;&gt;"No show")*(Appointments!$B$5:$B$1204&gt;=TodayDate)*Appointments!$B$5:$B$1204+(1-(Appointments!$E$5:$E$1204=A333)*(Appointments!$M$5:$M$1204&lt;&gt;"Cancelled")*(Appointments!$M$5:$M$1204&lt;&gt;"Completed")*(Appointments!$M$5:$M$1204&lt;&gt;"No show")*(Appointments!$B$5:$B$1204&gt;=TodayDate))*2958465)))</f>
        <v>0</v>
      </c>
      <c r="AB333" s="17">
        <f>IF(B333="","",IF(AA333&gt;=2958465,"",AA333))</f>
        <v>0</v>
      </c>
      <c r="AC333" s="25">
        <f>IF(B333="","",IF(T333&lt;2,"",ROUND((Y333-X333)/MAX(1,T333-1),0)))</f>
        <v>0</v>
      </c>
      <c r="AD333" s="17">
        <f>IF(B333="","",IF(Y333="","",Y333+IF(AC333="",RebookWeeks*7,MAX(14,AC333))))</f>
        <v>0</v>
      </c>
      <c r="AE333" s="26">
        <f>IF(B333="","",ROUND(SUMIFS(Sales!$Y$5:$Y$1204,Sales!$D$5:$D$1204,A333),2))</f>
        <v>0</v>
      </c>
      <c r="AF333" s="26">
        <f>IF(B333="","",ROUND(SUMIFS(Sales!$Y$5:$Y$1204,Sales!$D$5:$D$1204,A333,Sales!$H$5:$H$1204,"Service"),2))</f>
        <v>0</v>
      </c>
      <c r="AG333" s="26">
        <f>IF(B333="","",ROUND(SUMIFS(Sales!$Y$5:$Y$1204,Sales!$D$5:$D$1204,A333,Sales!$H$5:$H$1204,"Retail"),2))</f>
        <v>0</v>
      </c>
      <c r="AH333" s="26">
        <f>IF(B333="","",ROUND(SUMIFS(Sales!$Y$5:$Y$1204,Sales!$D$5:$D$1204,A333,Sales!$B$5:$B$1204,"&gt;="&amp;TodayDate-365),2))</f>
        <v>0</v>
      </c>
      <c r="AI333" s="26">
        <f>IF(B333="","",IF(T333=0,"",ROUND(AE333/T333,2)))</f>
        <v>0</v>
      </c>
      <c r="AJ333" s="26">
        <f>IF(B333="","",IF(AI333="","",IF(AC333="","",ROUND(AI333*(365/MAX(14,AC333)),2))))</f>
        <v>0</v>
      </c>
      <c r="AK333" s="26">
        <f>IF(B333="","",ROUND(SUMIFS(Sales!$AH$5:$AH$1204,Sales!$D$5:$D$1204,A333),2))</f>
        <v>0</v>
      </c>
      <c r="AL333" s="25">
        <f>IF(B333="","",IFERROR(INDEX(Loyalty!$P$5:$P$504,MATCH(A333,Loyalty!$B$5:$B$504,0))*1,0))</f>
        <v>0</v>
      </c>
      <c r="AM333" s="39">
        <f>IF(B333="","",IF(R333="Archived","Archived",IF(T333=0,"Not been yet",IF(Z333&gt;=InactiveDays,"Inactive",IF(Z333&gt;=LapsingDays,"Lapsing",IF(T333=1,"New",IF(AH333&gt;=VipSpend,"VIP",IF(U333&gt;=4,"Regular","Active"))))))))</f>
        <v>0</v>
      </c>
      <c r="AN333" s="38">
        <f>IF(B333="","",IF(T333&gt;=2,"Yes","No"))</f>
        <v>0</v>
      </c>
      <c r="AO333" s="25">
        <f>IF(B333="","",COUNTIFS($AE$5:$AE$504,"&gt;"&amp;AE333)+COUNTIFS($AE$5:AE333,AE333))</f>
        <v>0</v>
      </c>
      <c r="AP333" s="25">
        <f>IF(B333="","",COUNTIFS($T$5:$T$504,"&gt;"&amp;T333)+COUNTIFS($T$5:T333,T333))</f>
        <v>0</v>
      </c>
      <c r="AQ333" s="39">
        <f>IF(B333="","",IF(COUNTIF($B$5:$B$504,B333)&gt;1,"Duplicate - same name twice",IF(R333="Archived","",IF(AK333&gt;0.004,"Chase - balance outstanding",IF(AM333="Inactive","Gone - win-back offer",IF(AM333="Lapsing","Chase - lapsing, call them",IF(IF(N333="",FALSE,TodayDate-N333&gt;PatchTestDays),"Due - patch test out of date",IF(IF(AD333="",FALSE,IF(AB333&lt;&gt;"",FALSE,AD333&lt;=TodayDate+14)),"Rebook - due and nothing booked",IF(IF(K333="",FALSE,ABS(DATE(YEAR(TodayDate),MONTH(K333),DAY(K333))-TodayDate)&lt;=7),"Birthday - send the treat","OK")))))))))</f>
        <v>0</v>
      </c>
    </row>
    <row r="334" spans="1:43">
      <c r="A334" s="28">
        <f>IF(B334="","",ClientPrefix&amp;TEXT(ROW()-4,"0000"))</f>
        <v>0</v>
      </c>
      <c r="J334" s="15">
        <f>IF(I334="","",IFERROR(INDEX(Staff!$B$5:$B$44,MATCH(I334,Staff!$A$5:$A$44,0)),"Not in Staff"))</f>
        <v>0</v>
      </c>
      <c r="T334" s="25">
        <f>IF(B334="","",COUNTIFS(Appointments!$E$5:$E$1204,A334,Appointments!$M$5:$M$1204,"Completed"))</f>
        <v>0</v>
      </c>
      <c r="U334" s="25">
        <f>IF(B334="","",COUNTIFS(Appointments!$E$5:$E$1204,A334,Appointments!$M$5:$M$1204,"Completed",Appointments!$B$5:$B$1204,"&gt;="&amp;TodayDate-365))</f>
        <v>0</v>
      </c>
      <c r="V334" s="25">
        <f>IF(B334="","",COUNTIFS(Appointments!$E$5:$E$1204,A334,Appointments!$M$5:$M$1204,"Cancelled"))</f>
        <v>0</v>
      </c>
      <c r="W334" s="25">
        <f>IF(B334="","",COUNTIFS(Appointments!$E$5:$E$1204,A334,Appointments!$M$5:$M$1204,"No show"))</f>
        <v>0</v>
      </c>
      <c r="X334" s="17">
        <f>IF(B334="","",IF(F334&lt;&gt;"",F334,IF(T334=0,"",SUMPRODUCT(MIN((Appointments!$E$5:$E$1204=A334)*(Appointments!$M$5:$M$1204="Completed")*Appointments!$B$5:$B$1204+(1-(Appointments!$E$5:$E$1204=A334)*(Appointments!$M$5:$M$1204="Completed"))*2958465)))))</f>
        <v>0</v>
      </c>
      <c r="Y334" s="17">
        <f>IF(B334="","",IF(T334=0,"",SUMPRODUCT(MAX((Appointments!$E$5:$E$1204=A334)*(Appointments!$M$5:$M$1204="Completed")*Appointments!$B$5:$B$1204))))</f>
        <v>0</v>
      </c>
      <c r="Z334" s="25">
        <f>IF(B334="","",IF(Y334="","",TodayDate-Y334))</f>
        <v>0</v>
      </c>
      <c r="AA334" s="42">
        <f>IF(B334="","",SUMPRODUCT(MIN((Appointments!$E$5:$E$1204=A334)*(Appointments!$M$5:$M$1204&lt;&gt;"Cancelled")*(Appointments!$M$5:$M$1204&lt;&gt;"Completed")*(Appointments!$M$5:$M$1204&lt;&gt;"No show")*(Appointments!$B$5:$B$1204&gt;=TodayDate)*Appointments!$B$5:$B$1204+(1-(Appointments!$E$5:$E$1204=A334)*(Appointments!$M$5:$M$1204&lt;&gt;"Cancelled")*(Appointments!$M$5:$M$1204&lt;&gt;"Completed")*(Appointments!$M$5:$M$1204&lt;&gt;"No show")*(Appointments!$B$5:$B$1204&gt;=TodayDate))*2958465)))</f>
        <v>0</v>
      </c>
      <c r="AB334" s="17">
        <f>IF(B334="","",IF(AA334&gt;=2958465,"",AA334))</f>
        <v>0</v>
      </c>
      <c r="AC334" s="25">
        <f>IF(B334="","",IF(T334&lt;2,"",ROUND((Y334-X334)/MAX(1,T334-1),0)))</f>
        <v>0</v>
      </c>
      <c r="AD334" s="17">
        <f>IF(B334="","",IF(Y334="","",Y334+IF(AC334="",RebookWeeks*7,MAX(14,AC334))))</f>
        <v>0</v>
      </c>
      <c r="AE334" s="26">
        <f>IF(B334="","",ROUND(SUMIFS(Sales!$Y$5:$Y$1204,Sales!$D$5:$D$1204,A334),2))</f>
        <v>0</v>
      </c>
      <c r="AF334" s="26">
        <f>IF(B334="","",ROUND(SUMIFS(Sales!$Y$5:$Y$1204,Sales!$D$5:$D$1204,A334,Sales!$H$5:$H$1204,"Service"),2))</f>
        <v>0</v>
      </c>
      <c r="AG334" s="26">
        <f>IF(B334="","",ROUND(SUMIFS(Sales!$Y$5:$Y$1204,Sales!$D$5:$D$1204,A334,Sales!$H$5:$H$1204,"Retail"),2))</f>
        <v>0</v>
      </c>
      <c r="AH334" s="26">
        <f>IF(B334="","",ROUND(SUMIFS(Sales!$Y$5:$Y$1204,Sales!$D$5:$D$1204,A334,Sales!$B$5:$B$1204,"&gt;="&amp;TodayDate-365),2))</f>
        <v>0</v>
      </c>
      <c r="AI334" s="26">
        <f>IF(B334="","",IF(T334=0,"",ROUND(AE334/T334,2)))</f>
        <v>0</v>
      </c>
      <c r="AJ334" s="26">
        <f>IF(B334="","",IF(AI334="","",IF(AC334="","",ROUND(AI334*(365/MAX(14,AC334)),2))))</f>
        <v>0</v>
      </c>
      <c r="AK334" s="26">
        <f>IF(B334="","",ROUND(SUMIFS(Sales!$AH$5:$AH$1204,Sales!$D$5:$D$1204,A334),2))</f>
        <v>0</v>
      </c>
      <c r="AL334" s="25">
        <f>IF(B334="","",IFERROR(INDEX(Loyalty!$P$5:$P$504,MATCH(A334,Loyalty!$B$5:$B$504,0))*1,0))</f>
        <v>0</v>
      </c>
      <c r="AM334" s="39">
        <f>IF(B334="","",IF(R334="Archived","Archived",IF(T334=0,"Not been yet",IF(Z334&gt;=InactiveDays,"Inactive",IF(Z334&gt;=LapsingDays,"Lapsing",IF(T334=1,"New",IF(AH334&gt;=VipSpend,"VIP",IF(U334&gt;=4,"Regular","Active"))))))))</f>
        <v>0</v>
      </c>
      <c r="AN334" s="38">
        <f>IF(B334="","",IF(T334&gt;=2,"Yes","No"))</f>
        <v>0</v>
      </c>
      <c r="AO334" s="25">
        <f>IF(B334="","",COUNTIFS($AE$5:$AE$504,"&gt;"&amp;AE334)+COUNTIFS($AE$5:AE334,AE334))</f>
        <v>0</v>
      </c>
      <c r="AP334" s="25">
        <f>IF(B334="","",COUNTIFS($T$5:$T$504,"&gt;"&amp;T334)+COUNTIFS($T$5:T334,T334))</f>
        <v>0</v>
      </c>
      <c r="AQ334" s="39">
        <f>IF(B334="","",IF(COUNTIF($B$5:$B$504,B334)&gt;1,"Duplicate - same name twice",IF(R334="Archived","",IF(AK334&gt;0.004,"Chase - balance outstanding",IF(AM334="Inactive","Gone - win-back offer",IF(AM334="Lapsing","Chase - lapsing, call them",IF(IF(N334="",FALSE,TodayDate-N334&gt;PatchTestDays),"Due - patch test out of date",IF(IF(AD334="",FALSE,IF(AB334&lt;&gt;"",FALSE,AD334&lt;=TodayDate+14)),"Rebook - due and nothing booked",IF(IF(K334="",FALSE,ABS(DATE(YEAR(TodayDate),MONTH(K334),DAY(K334))-TodayDate)&lt;=7),"Birthday - send the treat","OK")))))))))</f>
        <v>0</v>
      </c>
    </row>
    <row r="335" spans="1:43">
      <c r="A335" s="28">
        <f>IF(B335="","",ClientPrefix&amp;TEXT(ROW()-4,"0000"))</f>
        <v>0</v>
      </c>
      <c r="J335" s="15">
        <f>IF(I335="","",IFERROR(INDEX(Staff!$B$5:$B$44,MATCH(I335,Staff!$A$5:$A$44,0)),"Not in Staff"))</f>
        <v>0</v>
      </c>
      <c r="T335" s="25">
        <f>IF(B335="","",COUNTIFS(Appointments!$E$5:$E$1204,A335,Appointments!$M$5:$M$1204,"Completed"))</f>
        <v>0</v>
      </c>
      <c r="U335" s="25">
        <f>IF(B335="","",COUNTIFS(Appointments!$E$5:$E$1204,A335,Appointments!$M$5:$M$1204,"Completed",Appointments!$B$5:$B$1204,"&gt;="&amp;TodayDate-365))</f>
        <v>0</v>
      </c>
      <c r="V335" s="25">
        <f>IF(B335="","",COUNTIFS(Appointments!$E$5:$E$1204,A335,Appointments!$M$5:$M$1204,"Cancelled"))</f>
        <v>0</v>
      </c>
      <c r="W335" s="25">
        <f>IF(B335="","",COUNTIFS(Appointments!$E$5:$E$1204,A335,Appointments!$M$5:$M$1204,"No show"))</f>
        <v>0</v>
      </c>
      <c r="X335" s="17">
        <f>IF(B335="","",IF(F335&lt;&gt;"",F335,IF(T335=0,"",SUMPRODUCT(MIN((Appointments!$E$5:$E$1204=A335)*(Appointments!$M$5:$M$1204="Completed")*Appointments!$B$5:$B$1204+(1-(Appointments!$E$5:$E$1204=A335)*(Appointments!$M$5:$M$1204="Completed"))*2958465)))))</f>
        <v>0</v>
      </c>
      <c r="Y335" s="17">
        <f>IF(B335="","",IF(T335=0,"",SUMPRODUCT(MAX((Appointments!$E$5:$E$1204=A335)*(Appointments!$M$5:$M$1204="Completed")*Appointments!$B$5:$B$1204))))</f>
        <v>0</v>
      </c>
      <c r="Z335" s="25">
        <f>IF(B335="","",IF(Y335="","",TodayDate-Y335))</f>
        <v>0</v>
      </c>
      <c r="AA335" s="42">
        <f>IF(B335="","",SUMPRODUCT(MIN((Appointments!$E$5:$E$1204=A335)*(Appointments!$M$5:$M$1204&lt;&gt;"Cancelled")*(Appointments!$M$5:$M$1204&lt;&gt;"Completed")*(Appointments!$M$5:$M$1204&lt;&gt;"No show")*(Appointments!$B$5:$B$1204&gt;=TodayDate)*Appointments!$B$5:$B$1204+(1-(Appointments!$E$5:$E$1204=A335)*(Appointments!$M$5:$M$1204&lt;&gt;"Cancelled")*(Appointments!$M$5:$M$1204&lt;&gt;"Completed")*(Appointments!$M$5:$M$1204&lt;&gt;"No show")*(Appointments!$B$5:$B$1204&gt;=TodayDate))*2958465)))</f>
        <v>0</v>
      </c>
      <c r="AB335" s="17">
        <f>IF(B335="","",IF(AA335&gt;=2958465,"",AA335))</f>
        <v>0</v>
      </c>
      <c r="AC335" s="25">
        <f>IF(B335="","",IF(T335&lt;2,"",ROUND((Y335-X335)/MAX(1,T335-1),0)))</f>
        <v>0</v>
      </c>
      <c r="AD335" s="17">
        <f>IF(B335="","",IF(Y335="","",Y335+IF(AC335="",RebookWeeks*7,MAX(14,AC335))))</f>
        <v>0</v>
      </c>
      <c r="AE335" s="26">
        <f>IF(B335="","",ROUND(SUMIFS(Sales!$Y$5:$Y$1204,Sales!$D$5:$D$1204,A335),2))</f>
        <v>0</v>
      </c>
      <c r="AF335" s="26">
        <f>IF(B335="","",ROUND(SUMIFS(Sales!$Y$5:$Y$1204,Sales!$D$5:$D$1204,A335,Sales!$H$5:$H$1204,"Service"),2))</f>
        <v>0</v>
      </c>
      <c r="AG335" s="26">
        <f>IF(B335="","",ROUND(SUMIFS(Sales!$Y$5:$Y$1204,Sales!$D$5:$D$1204,A335,Sales!$H$5:$H$1204,"Retail"),2))</f>
        <v>0</v>
      </c>
      <c r="AH335" s="26">
        <f>IF(B335="","",ROUND(SUMIFS(Sales!$Y$5:$Y$1204,Sales!$D$5:$D$1204,A335,Sales!$B$5:$B$1204,"&gt;="&amp;TodayDate-365),2))</f>
        <v>0</v>
      </c>
      <c r="AI335" s="26">
        <f>IF(B335="","",IF(T335=0,"",ROUND(AE335/T335,2)))</f>
        <v>0</v>
      </c>
      <c r="AJ335" s="26">
        <f>IF(B335="","",IF(AI335="","",IF(AC335="","",ROUND(AI335*(365/MAX(14,AC335)),2))))</f>
        <v>0</v>
      </c>
      <c r="AK335" s="26">
        <f>IF(B335="","",ROUND(SUMIFS(Sales!$AH$5:$AH$1204,Sales!$D$5:$D$1204,A335),2))</f>
        <v>0</v>
      </c>
      <c r="AL335" s="25">
        <f>IF(B335="","",IFERROR(INDEX(Loyalty!$P$5:$P$504,MATCH(A335,Loyalty!$B$5:$B$504,0))*1,0))</f>
        <v>0</v>
      </c>
      <c r="AM335" s="39">
        <f>IF(B335="","",IF(R335="Archived","Archived",IF(T335=0,"Not been yet",IF(Z335&gt;=InactiveDays,"Inactive",IF(Z335&gt;=LapsingDays,"Lapsing",IF(T335=1,"New",IF(AH335&gt;=VipSpend,"VIP",IF(U335&gt;=4,"Regular","Active"))))))))</f>
        <v>0</v>
      </c>
      <c r="AN335" s="38">
        <f>IF(B335="","",IF(T335&gt;=2,"Yes","No"))</f>
        <v>0</v>
      </c>
      <c r="AO335" s="25">
        <f>IF(B335="","",COUNTIFS($AE$5:$AE$504,"&gt;"&amp;AE335)+COUNTIFS($AE$5:AE335,AE335))</f>
        <v>0</v>
      </c>
      <c r="AP335" s="25">
        <f>IF(B335="","",COUNTIFS($T$5:$T$504,"&gt;"&amp;T335)+COUNTIFS($T$5:T335,T335))</f>
        <v>0</v>
      </c>
      <c r="AQ335" s="39">
        <f>IF(B335="","",IF(COUNTIF($B$5:$B$504,B335)&gt;1,"Duplicate - same name twice",IF(R335="Archived","",IF(AK335&gt;0.004,"Chase - balance outstanding",IF(AM335="Inactive","Gone - win-back offer",IF(AM335="Lapsing","Chase - lapsing, call them",IF(IF(N335="",FALSE,TodayDate-N335&gt;PatchTestDays),"Due - patch test out of date",IF(IF(AD335="",FALSE,IF(AB335&lt;&gt;"",FALSE,AD335&lt;=TodayDate+14)),"Rebook - due and nothing booked",IF(IF(K335="",FALSE,ABS(DATE(YEAR(TodayDate),MONTH(K335),DAY(K335))-TodayDate)&lt;=7),"Birthday - send the treat","OK")))))))))</f>
        <v>0</v>
      </c>
    </row>
    <row r="336" spans="1:43">
      <c r="A336" s="28">
        <f>IF(B336="","",ClientPrefix&amp;TEXT(ROW()-4,"0000"))</f>
        <v>0</v>
      </c>
      <c r="J336" s="15">
        <f>IF(I336="","",IFERROR(INDEX(Staff!$B$5:$B$44,MATCH(I336,Staff!$A$5:$A$44,0)),"Not in Staff"))</f>
        <v>0</v>
      </c>
      <c r="T336" s="25">
        <f>IF(B336="","",COUNTIFS(Appointments!$E$5:$E$1204,A336,Appointments!$M$5:$M$1204,"Completed"))</f>
        <v>0</v>
      </c>
      <c r="U336" s="25">
        <f>IF(B336="","",COUNTIFS(Appointments!$E$5:$E$1204,A336,Appointments!$M$5:$M$1204,"Completed",Appointments!$B$5:$B$1204,"&gt;="&amp;TodayDate-365))</f>
        <v>0</v>
      </c>
      <c r="V336" s="25">
        <f>IF(B336="","",COUNTIFS(Appointments!$E$5:$E$1204,A336,Appointments!$M$5:$M$1204,"Cancelled"))</f>
        <v>0</v>
      </c>
      <c r="W336" s="25">
        <f>IF(B336="","",COUNTIFS(Appointments!$E$5:$E$1204,A336,Appointments!$M$5:$M$1204,"No show"))</f>
        <v>0</v>
      </c>
      <c r="X336" s="17">
        <f>IF(B336="","",IF(F336&lt;&gt;"",F336,IF(T336=0,"",SUMPRODUCT(MIN((Appointments!$E$5:$E$1204=A336)*(Appointments!$M$5:$M$1204="Completed")*Appointments!$B$5:$B$1204+(1-(Appointments!$E$5:$E$1204=A336)*(Appointments!$M$5:$M$1204="Completed"))*2958465)))))</f>
        <v>0</v>
      </c>
      <c r="Y336" s="17">
        <f>IF(B336="","",IF(T336=0,"",SUMPRODUCT(MAX((Appointments!$E$5:$E$1204=A336)*(Appointments!$M$5:$M$1204="Completed")*Appointments!$B$5:$B$1204))))</f>
        <v>0</v>
      </c>
      <c r="Z336" s="25">
        <f>IF(B336="","",IF(Y336="","",TodayDate-Y336))</f>
        <v>0</v>
      </c>
      <c r="AA336" s="42">
        <f>IF(B336="","",SUMPRODUCT(MIN((Appointments!$E$5:$E$1204=A336)*(Appointments!$M$5:$M$1204&lt;&gt;"Cancelled")*(Appointments!$M$5:$M$1204&lt;&gt;"Completed")*(Appointments!$M$5:$M$1204&lt;&gt;"No show")*(Appointments!$B$5:$B$1204&gt;=TodayDate)*Appointments!$B$5:$B$1204+(1-(Appointments!$E$5:$E$1204=A336)*(Appointments!$M$5:$M$1204&lt;&gt;"Cancelled")*(Appointments!$M$5:$M$1204&lt;&gt;"Completed")*(Appointments!$M$5:$M$1204&lt;&gt;"No show")*(Appointments!$B$5:$B$1204&gt;=TodayDate))*2958465)))</f>
        <v>0</v>
      </c>
      <c r="AB336" s="17">
        <f>IF(B336="","",IF(AA336&gt;=2958465,"",AA336))</f>
        <v>0</v>
      </c>
      <c r="AC336" s="25">
        <f>IF(B336="","",IF(T336&lt;2,"",ROUND((Y336-X336)/MAX(1,T336-1),0)))</f>
        <v>0</v>
      </c>
      <c r="AD336" s="17">
        <f>IF(B336="","",IF(Y336="","",Y336+IF(AC336="",RebookWeeks*7,MAX(14,AC336))))</f>
        <v>0</v>
      </c>
      <c r="AE336" s="26">
        <f>IF(B336="","",ROUND(SUMIFS(Sales!$Y$5:$Y$1204,Sales!$D$5:$D$1204,A336),2))</f>
        <v>0</v>
      </c>
      <c r="AF336" s="26">
        <f>IF(B336="","",ROUND(SUMIFS(Sales!$Y$5:$Y$1204,Sales!$D$5:$D$1204,A336,Sales!$H$5:$H$1204,"Service"),2))</f>
        <v>0</v>
      </c>
      <c r="AG336" s="26">
        <f>IF(B336="","",ROUND(SUMIFS(Sales!$Y$5:$Y$1204,Sales!$D$5:$D$1204,A336,Sales!$H$5:$H$1204,"Retail"),2))</f>
        <v>0</v>
      </c>
      <c r="AH336" s="26">
        <f>IF(B336="","",ROUND(SUMIFS(Sales!$Y$5:$Y$1204,Sales!$D$5:$D$1204,A336,Sales!$B$5:$B$1204,"&gt;="&amp;TodayDate-365),2))</f>
        <v>0</v>
      </c>
      <c r="AI336" s="26">
        <f>IF(B336="","",IF(T336=0,"",ROUND(AE336/T336,2)))</f>
        <v>0</v>
      </c>
      <c r="AJ336" s="26">
        <f>IF(B336="","",IF(AI336="","",IF(AC336="","",ROUND(AI336*(365/MAX(14,AC336)),2))))</f>
        <v>0</v>
      </c>
      <c r="AK336" s="26">
        <f>IF(B336="","",ROUND(SUMIFS(Sales!$AH$5:$AH$1204,Sales!$D$5:$D$1204,A336),2))</f>
        <v>0</v>
      </c>
      <c r="AL336" s="25">
        <f>IF(B336="","",IFERROR(INDEX(Loyalty!$P$5:$P$504,MATCH(A336,Loyalty!$B$5:$B$504,0))*1,0))</f>
        <v>0</v>
      </c>
      <c r="AM336" s="39">
        <f>IF(B336="","",IF(R336="Archived","Archived",IF(T336=0,"Not been yet",IF(Z336&gt;=InactiveDays,"Inactive",IF(Z336&gt;=LapsingDays,"Lapsing",IF(T336=1,"New",IF(AH336&gt;=VipSpend,"VIP",IF(U336&gt;=4,"Regular","Active"))))))))</f>
        <v>0</v>
      </c>
      <c r="AN336" s="38">
        <f>IF(B336="","",IF(T336&gt;=2,"Yes","No"))</f>
        <v>0</v>
      </c>
      <c r="AO336" s="25">
        <f>IF(B336="","",COUNTIFS($AE$5:$AE$504,"&gt;"&amp;AE336)+COUNTIFS($AE$5:AE336,AE336))</f>
        <v>0</v>
      </c>
      <c r="AP336" s="25">
        <f>IF(B336="","",COUNTIFS($T$5:$T$504,"&gt;"&amp;T336)+COUNTIFS($T$5:T336,T336))</f>
        <v>0</v>
      </c>
      <c r="AQ336" s="39">
        <f>IF(B336="","",IF(COUNTIF($B$5:$B$504,B336)&gt;1,"Duplicate - same name twice",IF(R336="Archived","",IF(AK336&gt;0.004,"Chase - balance outstanding",IF(AM336="Inactive","Gone - win-back offer",IF(AM336="Lapsing","Chase - lapsing, call them",IF(IF(N336="",FALSE,TodayDate-N336&gt;PatchTestDays),"Due - patch test out of date",IF(IF(AD336="",FALSE,IF(AB336&lt;&gt;"",FALSE,AD336&lt;=TodayDate+14)),"Rebook - due and nothing booked",IF(IF(K336="",FALSE,ABS(DATE(YEAR(TodayDate),MONTH(K336),DAY(K336))-TodayDate)&lt;=7),"Birthday - send the treat","OK")))))))))</f>
        <v>0</v>
      </c>
    </row>
    <row r="337" spans="1:43">
      <c r="A337" s="28">
        <f>IF(B337="","",ClientPrefix&amp;TEXT(ROW()-4,"0000"))</f>
        <v>0</v>
      </c>
      <c r="J337" s="15">
        <f>IF(I337="","",IFERROR(INDEX(Staff!$B$5:$B$44,MATCH(I337,Staff!$A$5:$A$44,0)),"Not in Staff"))</f>
        <v>0</v>
      </c>
      <c r="T337" s="25">
        <f>IF(B337="","",COUNTIFS(Appointments!$E$5:$E$1204,A337,Appointments!$M$5:$M$1204,"Completed"))</f>
        <v>0</v>
      </c>
      <c r="U337" s="25">
        <f>IF(B337="","",COUNTIFS(Appointments!$E$5:$E$1204,A337,Appointments!$M$5:$M$1204,"Completed",Appointments!$B$5:$B$1204,"&gt;="&amp;TodayDate-365))</f>
        <v>0</v>
      </c>
      <c r="V337" s="25">
        <f>IF(B337="","",COUNTIFS(Appointments!$E$5:$E$1204,A337,Appointments!$M$5:$M$1204,"Cancelled"))</f>
        <v>0</v>
      </c>
      <c r="W337" s="25">
        <f>IF(B337="","",COUNTIFS(Appointments!$E$5:$E$1204,A337,Appointments!$M$5:$M$1204,"No show"))</f>
        <v>0</v>
      </c>
      <c r="X337" s="17">
        <f>IF(B337="","",IF(F337&lt;&gt;"",F337,IF(T337=0,"",SUMPRODUCT(MIN((Appointments!$E$5:$E$1204=A337)*(Appointments!$M$5:$M$1204="Completed")*Appointments!$B$5:$B$1204+(1-(Appointments!$E$5:$E$1204=A337)*(Appointments!$M$5:$M$1204="Completed"))*2958465)))))</f>
        <v>0</v>
      </c>
      <c r="Y337" s="17">
        <f>IF(B337="","",IF(T337=0,"",SUMPRODUCT(MAX((Appointments!$E$5:$E$1204=A337)*(Appointments!$M$5:$M$1204="Completed")*Appointments!$B$5:$B$1204))))</f>
        <v>0</v>
      </c>
      <c r="Z337" s="25">
        <f>IF(B337="","",IF(Y337="","",TodayDate-Y337))</f>
        <v>0</v>
      </c>
      <c r="AA337" s="42">
        <f>IF(B337="","",SUMPRODUCT(MIN((Appointments!$E$5:$E$1204=A337)*(Appointments!$M$5:$M$1204&lt;&gt;"Cancelled")*(Appointments!$M$5:$M$1204&lt;&gt;"Completed")*(Appointments!$M$5:$M$1204&lt;&gt;"No show")*(Appointments!$B$5:$B$1204&gt;=TodayDate)*Appointments!$B$5:$B$1204+(1-(Appointments!$E$5:$E$1204=A337)*(Appointments!$M$5:$M$1204&lt;&gt;"Cancelled")*(Appointments!$M$5:$M$1204&lt;&gt;"Completed")*(Appointments!$M$5:$M$1204&lt;&gt;"No show")*(Appointments!$B$5:$B$1204&gt;=TodayDate))*2958465)))</f>
        <v>0</v>
      </c>
      <c r="AB337" s="17">
        <f>IF(B337="","",IF(AA337&gt;=2958465,"",AA337))</f>
        <v>0</v>
      </c>
      <c r="AC337" s="25">
        <f>IF(B337="","",IF(T337&lt;2,"",ROUND((Y337-X337)/MAX(1,T337-1),0)))</f>
        <v>0</v>
      </c>
      <c r="AD337" s="17">
        <f>IF(B337="","",IF(Y337="","",Y337+IF(AC337="",RebookWeeks*7,MAX(14,AC337))))</f>
        <v>0</v>
      </c>
      <c r="AE337" s="26">
        <f>IF(B337="","",ROUND(SUMIFS(Sales!$Y$5:$Y$1204,Sales!$D$5:$D$1204,A337),2))</f>
        <v>0</v>
      </c>
      <c r="AF337" s="26">
        <f>IF(B337="","",ROUND(SUMIFS(Sales!$Y$5:$Y$1204,Sales!$D$5:$D$1204,A337,Sales!$H$5:$H$1204,"Service"),2))</f>
        <v>0</v>
      </c>
      <c r="AG337" s="26">
        <f>IF(B337="","",ROUND(SUMIFS(Sales!$Y$5:$Y$1204,Sales!$D$5:$D$1204,A337,Sales!$H$5:$H$1204,"Retail"),2))</f>
        <v>0</v>
      </c>
      <c r="AH337" s="26">
        <f>IF(B337="","",ROUND(SUMIFS(Sales!$Y$5:$Y$1204,Sales!$D$5:$D$1204,A337,Sales!$B$5:$B$1204,"&gt;="&amp;TodayDate-365),2))</f>
        <v>0</v>
      </c>
      <c r="AI337" s="26">
        <f>IF(B337="","",IF(T337=0,"",ROUND(AE337/T337,2)))</f>
        <v>0</v>
      </c>
      <c r="AJ337" s="26">
        <f>IF(B337="","",IF(AI337="","",IF(AC337="","",ROUND(AI337*(365/MAX(14,AC337)),2))))</f>
        <v>0</v>
      </c>
      <c r="AK337" s="26">
        <f>IF(B337="","",ROUND(SUMIFS(Sales!$AH$5:$AH$1204,Sales!$D$5:$D$1204,A337),2))</f>
        <v>0</v>
      </c>
      <c r="AL337" s="25">
        <f>IF(B337="","",IFERROR(INDEX(Loyalty!$P$5:$P$504,MATCH(A337,Loyalty!$B$5:$B$504,0))*1,0))</f>
        <v>0</v>
      </c>
      <c r="AM337" s="39">
        <f>IF(B337="","",IF(R337="Archived","Archived",IF(T337=0,"Not been yet",IF(Z337&gt;=InactiveDays,"Inactive",IF(Z337&gt;=LapsingDays,"Lapsing",IF(T337=1,"New",IF(AH337&gt;=VipSpend,"VIP",IF(U337&gt;=4,"Regular","Active"))))))))</f>
        <v>0</v>
      </c>
      <c r="AN337" s="38">
        <f>IF(B337="","",IF(T337&gt;=2,"Yes","No"))</f>
        <v>0</v>
      </c>
      <c r="AO337" s="25">
        <f>IF(B337="","",COUNTIFS($AE$5:$AE$504,"&gt;"&amp;AE337)+COUNTIFS($AE$5:AE337,AE337))</f>
        <v>0</v>
      </c>
      <c r="AP337" s="25">
        <f>IF(B337="","",COUNTIFS($T$5:$T$504,"&gt;"&amp;T337)+COUNTIFS($T$5:T337,T337))</f>
        <v>0</v>
      </c>
      <c r="AQ337" s="39">
        <f>IF(B337="","",IF(COUNTIF($B$5:$B$504,B337)&gt;1,"Duplicate - same name twice",IF(R337="Archived","",IF(AK337&gt;0.004,"Chase - balance outstanding",IF(AM337="Inactive","Gone - win-back offer",IF(AM337="Lapsing","Chase - lapsing, call them",IF(IF(N337="",FALSE,TodayDate-N337&gt;PatchTestDays),"Due - patch test out of date",IF(IF(AD337="",FALSE,IF(AB337&lt;&gt;"",FALSE,AD337&lt;=TodayDate+14)),"Rebook - due and nothing booked",IF(IF(K337="",FALSE,ABS(DATE(YEAR(TodayDate),MONTH(K337),DAY(K337))-TodayDate)&lt;=7),"Birthday - send the treat","OK")))))))))</f>
        <v>0</v>
      </c>
    </row>
    <row r="338" spans="1:43">
      <c r="A338" s="28">
        <f>IF(B338="","",ClientPrefix&amp;TEXT(ROW()-4,"0000"))</f>
        <v>0</v>
      </c>
      <c r="J338" s="15">
        <f>IF(I338="","",IFERROR(INDEX(Staff!$B$5:$B$44,MATCH(I338,Staff!$A$5:$A$44,0)),"Not in Staff"))</f>
        <v>0</v>
      </c>
      <c r="T338" s="25">
        <f>IF(B338="","",COUNTIFS(Appointments!$E$5:$E$1204,A338,Appointments!$M$5:$M$1204,"Completed"))</f>
        <v>0</v>
      </c>
      <c r="U338" s="25">
        <f>IF(B338="","",COUNTIFS(Appointments!$E$5:$E$1204,A338,Appointments!$M$5:$M$1204,"Completed",Appointments!$B$5:$B$1204,"&gt;="&amp;TodayDate-365))</f>
        <v>0</v>
      </c>
      <c r="V338" s="25">
        <f>IF(B338="","",COUNTIFS(Appointments!$E$5:$E$1204,A338,Appointments!$M$5:$M$1204,"Cancelled"))</f>
        <v>0</v>
      </c>
      <c r="W338" s="25">
        <f>IF(B338="","",COUNTIFS(Appointments!$E$5:$E$1204,A338,Appointments!$M$5:$M$1204,"No show"))</f>
        <v>0</v>
      </c>
      <c r="X338" s="17">
        <f>IF(B338="","",IF(F338&lt;&gt;"",F338,IF(T338=0,"",SUMPRODUCT(MIN((Appointments!$E$5:$E$1204=A338)*(Appointments!$M$5:$M$1204="Completed")*Appointments!$B$5:$B$1204+(1-(Appointments!$E$5:$E$1204=A338)*(Appointments!$M$5:$M$1204="Completed"))*2958465)))))</f>
        <v>0</v>
      </c>
      <c r="Y338" s="17">
        <f>IF(B338="","",IF(T338=0,"",SUMPRODUCT(MAX((Appointments!$E$5:$E$1204=A338)*(Appointments!$M$5:$M$1204="Completed")*Appointments!$B$5:$B$1204))))</f>
        <v>0</v>
      </c>
      <c r="Z338" s="25">
        <f>IF(B338="","",IF(Y338="","",TodayDate-Y338))</f>
        <v>0</v>
      </c>
      <c r="AA338" s="42">
        <f>IF(B338="","",SUMPRODUCT(MIN((Appointments!$E$5:$E$1204=A338)*(Appointments!$M$5:$M$1204&lt;&gt;"Cancelled")*(Appointments!$M$5:$M$1204&lt;&gt;"Completed")*(Appointments!$M$5:$M$1204&lt;&gt;"No show")*(Appointments!$B$5:$B$1204&gt;=TodayDate)*Appointments!$B$5:$B$1204+(1-(Appointments!$E$5:$E$1204=A338)*(Appointments!$M$5:$M$1204&lt;&gt;"Cancelled")*(Appointments!$M$5:$M$1204&lt;&gt;"Completed")*(Appointments!$M$5:$M$1204&lt;&gt;"No show")*(Appointments!$B$5:$B$1204&gt;=TodayDate))*2958465)))</f>
        <v>0</v>
      </c>
      <c r="AB338" s="17">
        <f>IF(B338="","",IF(AA338&gt;=2958465,"",AA338))</f>
        <v>0</v>
      </c>
      <c r="AC338" s="25">
        <f>IF(B338="","",IF(T338&lt;2,"",ROUND((Y338-X338)/MAX(1,T338-1),0)))</f>
        <v>0</v>
      </c>
      <c r="AD338" s="17">
        <f>IF(B338="","",IF(Y338="","",Y338+IF(AC338="",RebookWeeks*7,MAX(14,AC338))))</f>
        <v>0</v>
      </c>
      <c r="AE338" s="26">
        <f>IF(B338="","",ROUND(SUMIFS(Sales!$Y$5:$Y$1204,Sales!$D$5:$D$1204,A338),2))</f>
        <v>0</v>
      </c>
      <c r="AF338" s="26">
        <f>IF(B338="","",ROUND(SUMIFS(Sales!$Y$5:$Y$1204,Sales!$D$5:$D$1204,A338,Sales!$H$5:$H$1204,"Service"),2))</f>
        <v>0</v>
      </c>
      <c r="AG338" s="26">
        <f>IF(B338="","",ROUND(SUMIFS(Sales!$Y$5:$Y$1204,Sales!$D$5:$D$1204,A338,Sales!$H$5:$H$1204,"Retail"),2))</f>
        <v>0</v>
      </c>
      <c r="AH338" s="26">
        <f>IF(B338="","",ROUND(SUMIFS(Sales!$Y$5:$Y$1204,Sales!$D$5:$D$1204,A338,Sales!$B$5:$B$1204,"&gt;="&amp;TodayDate-365),2))</f>
        <v>0</v>
      </c>
      <c r="AI338" s="26">
        <f>IF(B338="","",IF(T338=0,"",ROUND(AE338/T338,2)))</f>
        <v>0</v>
      </c>
      <c r="AJ338" s="26">
        <f>IF(B338="","",IF(AI338="","",IF(AC338="","",ROUND(AI338*(365/MAX(14,AC338)),2))))</f>
        <v>0</v>
      </c>
      <c r="AK338" s="26">
        <f>IF(B338="","",ROUND(SUMIFS(Sales!$AH$5:$AH$1204,Sales!$D$5:$D$1204,A338),2))</f>
        <v>0</v>
      </c>
      <c r="AL338" s="25">
        <f>IF(B338="","",IFERROR(INDEX(Loyalty!$P$5:$P$504,MATCH(A338,Loyalty!$B$5:$B$504,0))*1,0))</f>
        <v>0</v>
      </c>
      <c r="AM338" s="39">
        <f>IF(B338="","",IF(R338="Archived","Archived",IF(T338=0,"Not been yet",IF(Z338&gt;=InactiveDays,"Inactive",IF(Z338&gt;=LapsingDays,"Lapsing",IF(T338=1,"New",IF(AH338&gt;=VipSpend,"VIP",IF(U338&gt;=4,"Regular","Active"))))))))</f>
        <v>0</v>
      </c>
      <c r="AN338" s="38">
        <f>IF(B338="","",IF(T338&gt;=2,"Yes","No"))</f>
        <v>0</v>
      </c>
      <c r="AO338" s="25">
        <f>IF(B338="","",COUNTIFS($AE$5:$AE$504,"&gt;"&amp;AE338)+COUNTIFS($AE$5:AE338,AE338))</f>
        <v>0</v>
      </c>
      <c r="AP338" s="25">
        <f>IF(B338="","",COUNTIFS($T$5:$T$504,"&gt;"&amp;T338)+COUNTIFS($T$5:T338,T338))</f>
        <v>0</v>
      </c>
      <c r="AQ338" s="39">
        <f>IF(B338="","",IF(COUNTIF($B$5:$B$504,B338)&gt;1,"Duplicate - same name twice",IF(R338="Archived","",IF(AK338&gt;0.004,"Chase - balance outstanding",IF(AM338="Inactive","Gone - win-back offer",IF(AM338="Lapsing","Chase - lapsing, call them",IF(IF(N338="",FALSE,TodayDate-N338&gt;PatchTestDays),"Due - patch test out of date",IF(IF(AD338="",FALSE,IF(AB338&lt;&gt;"",FALSE,AD338&lt;=TodayDate+14)),"Rebook - due and nothing booked",IF(IF(K338="",FALSE,ABS(DATE(YEAR(TodayDate),MONTH(K338),DAY(K338))-TodayDate)&lt;=7),"Birthday - send the treat","OK")))))))))</f>
        <v>0</v>
      </c>
    </row>
    <row r="339" spans="1:43">
      <c r="A339" s="28">
        <f>IF(B339="","",ClientPrefix&amp;TEXT(ROW()-4,"0000"))</f>
        <v>0</v>
      </c>
      <c r="J339" s="15">
        <f>IF(I339="","",IFERROR(INDEX(Staff!$B$5:$B$44,MATCH(I339,Staff!$A$5:$A$44,0)),"Not in Staff"))</f>
        <v>0</v>
      </c>
      <c r="T339" s="25">
        <f>IF(B339="","",COUNTIFS(Appointments!$E$5:$E$1204,A339,Appointments!$M$5:$M$1204,"Completed"))</f>
        <v>0</v>
      </c>
      <c r="U339" s="25">
        <f>IF(B339="","",COUNTIFS(Appointments!$E$5:$E$1204,A339,Appointments!$M$5:$M$1204,"Completed",Appointments!$B$5:$B$1204,"&gt;="&amp;TodayDate-365))</f>
        <v>0</v>
      </c>
      <c r="V339" s="25">
        <f>IF(B339="","",COUNTIFS(Appointments!$E$5:$E$1204,A339,Appointments!$M$5:$M$1204,"Cancelled"))</f>
        <v>0</v>
      </c>
      <c r="W339" s="25">
        <f>IF(B339="","",COUNTIFS(Appointments!$E$5:$E$1204,A339,Appointments!$M$5:$M$1204,"No show"))</f>
        <v>0</v>
      </c>
      <c r="X339" s="17">
        <f>IF(B339="","",IF(F339&lt;&gt;"",F339,IF(T339=0,"",SUMPRODUCT(MIN((Appointments!$E$5:$E$1204=A339)*(Appointments!$M$5:$M$1204="Completed")*Appointments!$B$5:$B$1204+(1-(Appointments!$E$5:$E$1204=A339)*(Appointments!$M$5:$M$1204="Completed"))*2958465)))))</f>
        <v>0</v>
      </c>
      <c r="Y339" s="17">
        <f>IF(B339="","",IF(T339=0,"",SUMPRODUCT(MAX((Appointments!$E$5:$E$1204=A339)*(Appointments!$M$5:$M$1204="Completed")*Appointments!$B$5:$B$1204))))</f>
        <v>0</v>
      </c>
      <c r="Z339" s="25">
        <f>IF(B339="","",IF(Y339="","",TodayDate-Y339))</f>
        <v>0</v>
      </c>
      <c r="AA339" s="42">
        <f>IF(B339="","",SUMPRODUCT(MIN((Appointments!$E$5:$E$1204=A339)*(Appointments!$M$5:$M$1204&lt;&gt;"Cancelled")*(Appointments!$M$5:$M$1204&lt;&gt;"Completed")*(Appointments!$M$5:$M$1204&lt;&gt;"No show")*(Appointments!$B$5:$B$1204&gt;=TodayDate)*Appointments!$B$5:$B$1204+(1-(Appointments!$E$5:$E$1204=A339)*(Appointments!$M$5:$M$1204&lt;&gt;"Cancelled")*(Appointments!$M$5:$M$1204&lt;&gt;"Completed")*(Appointments!$M$5:$M$1204&lt;&gt;"No show")*(Appointments!$B$5:$B$1204&gt;=TodayDate))*2958465)))</f>
        <v>0</v>
      </c>
      <c r="AB339" s="17">
        <f>IF(B339="","",IF(AA339&gt;=2958465,"",AA339))</f>
        <v>0</v>
      </c>
      <c r="AC339" s="25">
        <f>IF(B339="","",IF(T339&lt;2,"",ROUND((Y339-X339)/MAX(1,T339-1),0)))</f>
        <v>0</v>
      </c>
      <c r="AD339" s="17">
        <f>IF(B339="","",IF(Y339="","",Y339+IF(AC339="",RebookWeeks*7,MAX(14,AC339))))</f>
        <v>0</v>
      </c>
      <c r="AE339" s="26">
        <f>IF(B339="","",ROUND(SUMIFS(Sales!$Y$5:$Y$1204,Sales!$D$5:$D$1204,A339),2))</f>
        <v>0</v>
      </c>
      <c r="AF339" s="26">
        <f>IF(B339="","",ROUND(SUMIFS(Sales!$Y$5:$Y$1204,Sales!$D$5:$D$1204,A339,Sales!$H$5:$H$1204,"Service"),2))</f>
        <v>0</v>
      </c>
      <c r="AG339" s="26">
        <f>IF(B339="","",ROUND(SUMIFS(Sales!$Y$5:$Y$1204,Sales!$D$5:$D$1204,A339,Sales!$H$5:$H$1204,"Retail"),2))</f>
        <v>0</v>
      </c>
      <c r="AH339" s="26">
        <f>IF(B339="","",ROUND(SUMIFS(Sales!$Y$5:$Y$1204,Sales!$D$5:$D$1204,A339,Sales!$B$5:$B$1204,"&gt;="&amp;TodayDate-365),2))</f>
        <v>0</v>
      </c>
      <c r="AI339" s="26">
        <f>IF(B339="","",IF(T339=0,"",ROUND(AE339/T339,2)))</f>
        <v>0</v>
      </c>
      <c r="AJ339" s="26">
        <f>IF(B339="","",IF(AI339="","",IF(AC339="","",ROUND(AI339*(365/MAX(14,AC339)),2))))</f>
        <v>0</v>
      </c>
      <c r="AK339" s="26">
        <f>IF(B339="","",ROUND(SUMIFS(Sales!$AH$5:$AH$1204,Sales!$D$5:$D$1204,A339),2))</f>
        <v>0</v>
      </c>
      <c r="AL339" s="25">
        <f>IF(B339="","",IFERROR(INDEX(Loyalty!$P$5:$P$504,MATCH(A339,Loyalty!$B$5:$B$504,0))*1,0))</f>
        <v>0</v>
      </c>
      <c r="AM339" s="39">
        <f>IF(B339="","",IF(R339="Archived","Archived",IF(T339=0,"Not been yet",IF(Z339&gt;=InactiveDays,"Inactive",IF(Z339&gt;=LapsingDays,"Lapsing",IF(T339=1,"New",IF(AH339&gt;=VipSpend,"VIP",IF(U339&gt;=4,"Regular","Active"))))))))</f>
        <v>0</v>
      </c>
      <c r="AN339" s="38">
        <f>IF(B339="","",IF(T339&gt;=2,"Yes","No"))</f>
        <v>0</v>
      </c>
      <c r="AO339" s="25">
        <f>IF(B339="","",COUNTIFS($AE$5:$AE$504,"&gt;"&amp;AE339)+COUNTIFS($AE$5:AE339,AE339))</f>
        <v>0</v>
      </c>
      <c r="AP339" s="25">
        <f>IF(B339="","",COUNTIFS($T$5:$T$504,"&gt;"&amp;T339)+COUNTIFS($T$5:T339,T339))</f>
        <v>0</v>
      </c>
      <c r="AQ339" s="39">
        <f>IF(B339="","",IF(COUNTIF($B$5:$B$504,B339)&gt;1,"Duplicate - same name twice",IF(R339="Archived","",IF(AK339&gt;0.004,"Chase - balance outstanding",IF(AM339="Inactive","Gone - win-back offer",IF(AM339="Lapsing","Chase - lapsing, call them",IF(IF(N339="",FALSE,TodayDate-N339&gt;PatchTestDays),"Due - patch test out of date",IF(IF(AD339="",FALSE,IF(AB339&lt;&gt;"",FALSE,AD339&lt;=TodayDate+14)),"Rebook - due and nothing booked",IF(IF(K339="",FALSE,ABS(DATE(YEAR(TodayDate),MONTH(K339),DAY(K339))-TodayDate)&lt;=7),"Birthday - send the treat","OK")))))))))</f>
        <v>0</v>
      </c>
    </row>
    <row r="340" spans="1:43">
      <c r="A340" s="28">
        <f>IF(B340="","",ClientPrefix&amp;TEXT(ROW()-4,"0000"))</f>
        <v>0</v>
      </c>
      <c r="J340" s="15">
        <f>IF(I340="","",IFERROR(INDEX(Staff!$B$5:$B$44,MATCH(I340,Staff!$A$5:$A$44,0)),"Not in Staff"))</f>
        <v>0</v>
      </c>
      <c r="T340" s="25">
        <f>IF(B340="","",COUNTIFS(Appointments!$E$5:$E$1204,A340,Appointments!$M$5:$M$1204,"Completed"))</f>
        <v>0</v>
      </c>
      <c r="U340" s="25">
        <f>IF(B340="","",COUNTIFS(Appointments!$E$5:$E$1204,A340,Appointments!$M$5:$M$1204,"Completed",Appointments!$B$5:$B$1204,"&gt;="&amp;TodayDate-365))</f>
        <v>0</v>
      </c>
      <c r="V340" s="25">
        <f>IF(B340="","",COUNTIFS(Appointments!$E$5:$E$1204,A340,Appointments!$M$5:$M$1204,"Cancelled"))</f>
        <v>0</v>
      </c>
      <c r="W340" s="25">
        <f>IF(B340="","",COUNTIFS(Appointments!$E$5:$E$1204,A340,Appointments!$M$5:$M$1204,"No show"))</f>
        <v>0</v>
      </c>
      <c r="X340" s="17">
        <f>IF(B340="","",IF(F340&lt;&gt;"",F340,IF(T340=0,"",SUMPRODUCT(MIN((Appointments!$E$5:$E$1204=A340)*(Appointments!$M$5:$M$1204="Completed")*Appointments!$B$5:$B$1204+(1-(Appointments!$E$5:$E$1204=A340)*(Appointments!$M$5:$M$1204="Completed"))*2958465)))))</f>
        <v>0</v>
      </c>
      <c r="Y340" s="17">
        <f>IF(B340="","",IF(T340=0,"",SUMPRODUCT(MAX((Appointments!$E$5:$E$1204=A340)*(Appointments!$M$5:$M$1204="Completed")*Appointments!$B$5:$B$1204))))</f>
        <v>0</v>
      </c>
      <c r="Z340" s="25">
        <f>IF(B340="","",IF(Y340="","",TodayDate-Y340))</f>
        <v>0</v>
      </c>
      <c r="AA340" s="42">
        <f>IF(B340="","",SUMPRODUCT(MIN((Appointments!$E$5:$E$1204=A340)*(Appointments!$M$5:$M$1204&lt;&gt;"Cancelled")*(Appointments!$M$5:$M$1204&lt;&gt;"Completed")*(Appointments!$M$5:$M$1204&lt;&gt;"No show")*(Appointments!$B$5:$B$1204&gt;=TodayDate)*Appointments!$B$5:$B$1204+(1-(Appointments!$E$5:$E$1204=A340)*(Appointments!$M$5:$M$1204&lt;&gt;"Cancelled")*(Appointments!$M$5:$M$1204&lt;&gt;"Completed")*(Appointments!$M$5:$M$1204&lt;&gt;"No show")*(Appointments!$B$5:$B$1204&gt;=TodayDate))*2958465)))</f>
        <v>0</v>
      </c>
      <c r="AB340" s="17">
        <f>IF(B340="","",IF(AA340&gt;=2958465,"",AA340))</f>
        <v>0</v>
      </c>
      <c r="AC340" s="25">
        <f>IF(B340="","",IF(T340&lt;2,"",ROUND((Y340-X340)/MAX(1,T340-1),0)))</f>
        <v>0</v>
      </c>
      <c r="AD340" s="17">
        <f>IF(B340="","",IF(Y340="","",Y340+IF(AC340="",RebookWeeks*7,MAX(14,AC340))))</f>
        <v>0</v>
      </c>
      <c r="AE340" s="26">
        <f>IF(B340="","",ROUND(SUMIFS(Sales!$Y$5:$Y$1204,Sales!$D$5:$D$1204,A340),2))</f>
        <v>0</v>
      </c>
      <c r="AF340" s="26">
        <f>IF(B340="","",ROUND(SUMIFS(Sales!$Y$5:$Y$1204,Sales!$D$5:$D$1204,A340,Sales!$H$5:$H$1204,"Service"),2))</f>
        <v>0</v>
      </c>
      <c r="AG340" s="26">
        <f>IF(B340="","",ROUND(SUMIFS(Sales!$Y$5:$Y$1204,Sales!$D$5:$D$1204,A340,Sales!$H$5:$H$1204,"Retail"),2))</f>
        <v>0</v>
      </c>
      <c r="AH340" s="26">
        <f>IF(B340="","",ROUND(SUMIFS(Sales!$Y$5:$Y$1204,Sales!$D$5:$D$1204,A340,Sales!$B$5:$B$1204,"&gt;="&amp;TodayDate-365),2))</f>
        <v>0</v>
      </c>
      <c r="AI340" s="26">
        <f>IF(B340="","",IF(T340=0,"",ROUND(AE340/T340,2)))</f>
        <v>0</v>
      </c>
      <c r="AJ340" s="26">
        <f>IF(B340="","",IF(AI340="","",IF(AC340="","",ROUND(AI340*(365/MAX(14,AC340)),2))))</f>
        <v>0</v>
      </c>
      <c r="AK340" s="26">
        <f>IF(B340="","",ROUND(SUMIFS(Sales!$AH$5:$AH$1204,Sales!$D$5:$D$1204,A340),2))</f>
        <v>0</v>
      </c>
      <c r="AL340" s="25">
        <f>IF(B340="","",IFERROR(INDEX(Loyalty!$P$5:$P$504,MATCH(A340,Loyalty!$B$5:$B$504,0))*1,0))</f>
        <v>0</v>
      </c>
      <c r="AM340" s="39">
        <f>IF(B340="","",IF(R340="Archived","Archived",IF(T340=0,"Not been yet",IF(Z340&gt;=InactiveDays,"Inactive",IF(Z340&gt;=LapsingDays,"Lapsing",IF(T340=1,"New",IF(AH340&gt;=VipSpend,"VIP",IF(U340&gt;=4,"Regular","Active"))))))))</f>
        <v>0</v>
      </c>
      <c r="AN340" s="38">
        <f>IF(B340="","",IF(T340&gt;=2,"Yes","No"))</f>
        <v>0</v>
      </c>
      <c r="AO340" s="25">
        <f>IF(B340="","",COUNTIFS($AE$5:$AE$504,"&gt;"&amp;AE340)+COUNTIFS($AE$5:AE340,AE340))</f>
        <v>0</v>
      </c>
      <c r="AP340" s="25">
        <f>IF(B340="","",COUNTIFS($T$5:$T$504,"&gt;"&amp;T340)+COUNTIFS($T$5:T340,T340))</f>
        <v>0</v>
      </c>
      <c r="AQ340" s="39">
        <f>IF(B340="","",IF(COUNTIF($B$5:$B$504,B340)&gt;1,"Duplicate - same name twice",IF(R340="Archived","",IF(AK340&gt;0.004,"Chase - balance outstanding",IF(AM340="Inactive","Gone - win-back offer",IF(AM340="Lapsing","Chase - lapsing, call them",IF(IF(N340="",FALSE,TodayDate-N340&gt;PatchTestDays),"Due - patch test out of date",IF(IF(AD340="",FALSE,IF(AB340&lt;&gt;"",FALSE,AD340&lt;=TodayDate+14)),"Rebook - due and nothing booked",IF(IF(K340="",FALSE,ABS(DATE(YEAR(TodayDate),MONTH(K340),DAY(K340))-TodayDate)&lt;=7),"Birthday - send the treat","OK")))))))))</f>
        <v>0</v>
      </c>
    </row>
    <row r="341" spans="1:43">
      <c r="A341" s="28">
        <f>IF(B341="","",ClientPrefix&amp;TEXT(ROW()-4,"0000"))</f>
        <v>0</v>
      </c>
      <c r="J341" s="15">
        <f>IF(I341="","",IFERROR(INDEX(Staff!$B$5:$B$44,MATCH(I341,Staff!$A$5:$A$44,0)),"Not in Staff"))</f>
        <v>0</v>
      </c>
      <c r="T341" s="25">
        <f>IF(B341="","",COUNTIFS(Appointments!$E$5:$E$1204,A341,Appointments!$M$5:$M$1204,"Completed"))</f>
        <v>0</v>
      </c>
      <c r="U341" s="25">
        <f>IF(B341="","",COUNTIFS(Appointments!$E$5:$E$1204,A341,Appointments!$M$5:$M$1204,"Completed",Appointments!$B$5:$B$1204,"&gt;="&amp;TodayDate-365))</f>
        <v>0</v>
      </c>
      <c r="V341" s="25">
        <f>IF(B341="","",COUNTIFS(Appointments!$E$5:$E$1204,A341,Appointments!$M$5:$M$1204,"Cancelled"))</f>
        <v>0</v>
      </c>
      <c r="W341" s="25">
        <f>IF(B341="","",COUNTIFS(Appointments!$E$5:$E$1204,A341,Appointments!$M$5:$M$1204,"No show"))</f>
        <v>0</v>
      </c>
      <c r="X341" s="17">
        <f>IF(B341="","",IF(F341&lt;&gt;"",F341,IF(T341=0,"",SUMPRODUCT(MIN((Appointments!$E$5:$E$1204=A341)*(Appointments!$M$5:$M$1204="Completed")*Appointments!$B$5:$B$1204+(1-(Appointments!$E$5:$E$1204=A341)*(Appointments!$M$5:$M$1204="Completed"))*2958465)))))</f>
        <v>0</v>
      </c>
      <c r="Y341" s="17">
        <f>IF(B341="","",IF(T341=0,"",SUMPRODUCT(MAX((Appointments!$E$5:$E$1204=A341)*(Appointments!$M$5:$M$1204="Completed")*Appointments!$B$5:$B$1204))))</f>
        <v>0</v>
      </c>
      <c r="Z341" s="25">
        <f>IF(B341="","",IF(Y341="","",TodayDate-Y341))</f>
        <v>0</v>
      </c>
      <c r="AA341" s="42">
        <f>IF(B341="","",SUMPRODUCT(MIN((Appointments!$E$5:$E$1204=A341)*(Appointments!$M$5:$M$1204&lt;&gt;"Cancelled")*(Appointments!$M$5:$M$1204&lt;&gt;"Completed")*(Appointments!$M$5:$M$1204&lt;&gt;"No show")*(Appointments!$B$5:$B$1204&gt;=TodayDate)*Appointments!$B$5:$B$1204+(1-(Appointments!$E$5:$E$1204=A341)*(Appointments!$M$5:$M$1204&lt;&gt;"Cancelled")*(Appointments!$M$5:$M$1204&lt;&gt;"Completed")*(Appointments!$M$5:$M$1204&lt;&gt;"No show")*(Appointments!$B$5:$B$1204&gt;=TodayDate))*2958465)))</f>
        <v>0</v>
      </c>
      <c r="AB341" s="17">
        <f>IF(B341="","",IF(AA341&gt;=2958465,"",AA341))</f>
        <v>0</v>
      </c>
      <c r="AC341" s="25">
        <f>IF(B341="","",IF(T341&lt;2,"",ROUND((Y341-X341)/MAX(1,T341-1),0)))</f>
        <v>0</v>
      </c>
      <c r="AD341" s="17">
        <f>IF(B341="","",IF(Y341="","",Y341+IF(AC341="",RebookWeeks*7,MAX(14,AC341))))</f>
        <v>0</v>
      </c>
      <c r="AE341" s="26">
        <f>IF(B341="","",ROUND(SUMIFS(Sales!$Y$5:$Y$1204,Sales!$D$5:$D$1204,A341),2))</f>
        <v>0</v>
      </c>
      <c r="AF341" s="26">
        <f>IF(B341="","",ROUND(SUMIFS(Sales!$Y$5:$Y$1204,Sales!$D$5:$D$1204,A341,Sales!$H$5:$H$1204,"Service"),2))</f>
        <v>0</v>
      </c>
      <c r="AG341" s="26">
        <f>IF(B341="","",ROUND(SUMIFS(Sales!$Y$5:$Y$1204,Sales!$D$5:$D$1204,A341,Sales!$H$5:$H$1204,"Retail"),2))</f>
        <v>0</v>
      </c>
      <c r="AH341" s="26">
        <f>IF(B341="","",ROUND(SUMIFS(Sales!$Y$5:$Y$1204,Sales!$D$5:$D$1204,A341,Sales!$B$5:$B$1204,"&gt;="&amp;TodayDate-365),2))</f>
        <v>0</v>
      </c>
      <c r="AI341" s="26">
        <f>IF(B341="","",IF(T341=0,"",ROUND(AE341/T341,2)))</f>
        <v>0</v>
      </c>
      <c r="AJ341" s="26">
        <f>IF(B341="","",IF(AI341="","",IF(AC341="","",ROUND(AI341*(365/MAX(14,AC341)),2))))</f>
        <v>0</v>
      </c>
      <c r="AK341" s="26">
        <f>IF(B341="","",ROUND(SUMIFS(Sales!$AH$5:$AH$1204,Sales!$D$5:$D$1204,A341),2))</f>
        <v>0</v>
      </c>
      <c r="AL341" s="25">
        <f>IF(B341="","",IFERROR(INDEX(Loyalty!$P$5:$P$504,MATCH(A341,Loyalty!$B$5:$B$504,0))*1,0))</f>
        <v>0</v>
      </c>
      <c r="AM341" s="39">
        <f>IF(B341="","",IF(R341="Archived","Archived",IF(T341=0,"Not been yet",IF(Z341&gt;=InactiveDays,"Inactive",IF(Z341&gt;=LapsingDays,"Lapsing",IF(T341=1,"New",IF(AH341&gt;=VipSpend,"VIP",IF(U341&gt;=4,"Regular","Active"))))))))</f>
        <v>0</v>
      </c>
      <c r="AN341" s="38">
        <f>IF(B341="","",IF(T341&gt;=2,"Yes","No"))</f>
        <v>0</v>
      </c>
      <c r="AO341" s="25">
        <f>IF(B341="","",COUNTIFS($AE$5:$AE$504,"&gt;"&amp;AE341)+COUNTIFS($AE$5:AE341,AE341))</f>
        <v>0</v>
      </c>
      <c r="AP341" s="25">
        <f>IF(B341="","",COUNTIFS($T$5:$T$504,"&gt;"&amp;T341)+COUNTIFS($T$5:T341,T341))</f>
        <v>0</v>
      </c>
      <c r="AQ341" s="39">
        <f>IF(B341="","",IF(COUNTIF($B$5:$B$504,B341)&gt;1,"Duplicate - same name twice",IF(R341="Archived","",IF(AK341&gt;0.004,"Chase - balance outstanding",IF(AM341="Inactive","Gone - win-back offer",IF(AM341="Lapsing","Chase - lapsing, call them",IF(IF(N341="",FALSE,TodayDate-N341&gt;PatchTestDays),"Due - patch test out of date",IF(IF(AD341="",FALSE,IF(AB341&lt;&gt;"",FALSE,AD341&lt;=TodayDate+14)),"Rebook - due and nothing booked",IF(IF(K341="",FALSE,ABS(DATE(YEAR(TodayDate),MONTH(K341),DAY(K341))-TodayDate)&lt;=7),"Birthday - send the treat","OK")))))))))</f>
        <v>0</v>
      </c>
    </row>
    <row r="342" spans="1:43">
      <c r="A342" s="28">
        <f>IF(B342="","",ClientPrefix&amp;TEXT(ROW()-4,"0000"))</f>
        <v>0</v>
      </c>
      <c r="J342" s="15">
        <f>IF(I342="","",IFERROR(INDEX(Staff!$B$5:$B$44,MATCH(I342,Staff!$A$5:$A$44,0)),"Not in Staff"))</f>
        <v>0</v>
      </c>
      <c r="T342" s="25">
        <f>IF(B342="","",COUNTIFS(Appointments!$E$5:$E$1204,A342,Appointments!$M$5:$M$1204,"Completed"))</f>
        <v>0</v>
      </c>
      <c r="U342" s="25">
        <f>IF(B342="","",COUNTIFS(Appointments!$E$5:$E$1204,A342,Appointments!$M$5:$M$1204,"Completed",Appointments!$B$5:$B$1204,"&gt;="&amp;TodayDate-365))</f>
        <v>0</v>
      </c>
      <c r="V342" s="25">
        <f>IF(B342="","",COUNTIFS(Appointments!$E$5:$E$1204,A342,Appointments!$M$5:$M$1204,"Cancelled"))</f>
        <v>0</v>
      </c>
      <c r="W342" s="25">
        <f>IF(B342="","",COUNTIFS(Appointments!$E$5:$E$1204,A342,Appointments!$M$5:$M$1204,"No show"))</f>
        <v>0</v>
      </c>
      <c r="X342" s="17">
        <f>IF(B342="","",IF(F342&lt;&gt;"",F342,IF(T342=0,"",SUMPRODUCT(MIN((Appointments!$E$5:$E$1204=A342)*(Appointments!$M$5:$M$1204="Completed")*Appointments!$B$5:$B$1204+(1-(Appointments!$E$5:$E$1204=A342)*(Appointments!$M$5:$M$1204="Completed"))*2958465)))))</f>
        <v>0</v>
      </c>
      <c r="Y342" s="17">
        <f>IF(B342="","",IF(T342=0,"",SUMPRODUCT(MAX((Appointments!$E$5:$E$1204=A342)*(Appointments!$M$5:$M$1204="Completed")*Appointments!$B$5:$B$1204))))</f>
        <v>0</v>
      </c>
      <c r="Z342" s="25">
        <f>IF(B342="","",IF(Y342="","",TodayDate-Y342))</f>
        <v>0</v>
      </c>
      <c r="AA342" s="42">
        <f>IF(B342="","",SUMPRODUCT(MIN((Appointments!$E$5:$E$1204=A342)*(Appointments!$M$5:$M$1204&lt;&gt;"Cancelled")*(Appointments!$M$5:$M$1204&lt;&gt;"Completed")*(Appointments!$M$5:$M$1204&lt;&gt;"No show")*(Appointments!$B$5:$B$1204&gt;=TodayDate)*Appointments!$B$5:$B$1204+(1-(Appointments!$E$5:$E$1204=A342)*(Appointments!$M$5:$M$1204&lt;&gt;"Cancelled")*(Appointments!$M$5:$M$1204&lt;&gt;"Completed")*(Appointments!$M$5:$M$1204&lt;&gt;"No show")*(Appointments!$B$5:$B$1204&gt;=TodayDate))*2958465)))</f>
        <v>0</v>
      </c>
      <c r="AB342" s="17">
        <f>IF(B342="","",IF(AA342&gt;=2958465,"",AA342))</f>
        <v>0</v>
      </c>
      <c r="AC342" s="25">
        <f>IF(B342="","",IF(T342&lt;2,"",ROUND((Y342-X342)/MAX(1,T342-1),0)))</f>
        <v>0</v>
      </c>
      <c r="AD342" s="17">
        <f>IF(B342="","",IF(Y342="","",Y342+IF(AC342="",RebookWeeks*7,MAX(14,AC342))))</f>
        <v>0</v>
      </c>
      <c r="AE342" s="26">
        <f>IF(B342="","",ROUND(SUMIFS(Sales!$Y$5:$Y$1204,Sales!$D$5:$D$1204,A342),2))</f>
        <v>0</v>
      </c>
      <c r="AF342" s="26">
        <f>IF(B342="","",ROUND(SUMIFS(Sales!$Y$5:$Y$1204,Sales!$D$5:$D$1204,A342,Sales!$H$5:$H$1204,"Service"),2))</f>
        <v>0</v>
      </c>
      <c r="AG342" s="26">
        <f>IF(B342="","",ROUND(SUMIFS(Sales!$Y$5:$Y$1204,Sales!$D$5:$D$1204,A342,Sales!$H$5:$H$1204,"Retail"),2))</f>
        <v>0</v>
      </c>
      <c r="AH342" s="26">
        <f>IF(B342="","",ROUND(SUMIFS(Sales!$Y$5:$Y$1204,Sales!$D$5:$D$1204,A342,Sales!$B$5:$B$1204,"&gt;="&amp;TodayDate-365),2))</f>
        <v>0</v>
      </c>
      <c r="AI342" s="26">
        <f>IF(B342="","",IF(T342=0,"",ROUND(AE342/T342,2)))</f>
        <v>0</v>
      </c>
      <c r="AJ342" s="26">
        <f>IF(B342="","",IF(AI342="","",IF(AC342="","",ROUND(AI342*(365/MAX(14,AC342)),2))))</f>
        <v>0</v>
      </c>
      <c r="AK342" s="26">
        <f>IF(B342="","",ROUND(SUMIFS(Sales!$AH$5:$AH$1204,Sales!$D$5:$D$1204,A342),2))</f>
        <v>0</v>
      </c>
      <c r="AL342" s="25">
        <f>IF(B342="","",IFERROR(INDEX(Loyalty!$P$5:$P$504,MATCH(A342,Loyalty!$B$5:$B$504,0))*1,0))</f>
        <v>0</v>
      </c>
      <c r="AM342" s="39">
        <f>IF(B342="","",IF(R342="Archived","Archived",IF(T342=0,"Not been yet",IF(Z342&gt;=InactiveDays,"Inactive",IF(Z342&gt;=LapsingDays,"Lapsing",IF(T342=1,"New",IF(AH342&gt;=VipSpend,"VIP",IF(U342&gt;=4,"Regular","Active"))))))))</f>
        <v>0</v>
      </c>
      <c r="AN342" s="38">
        <f>IF(B342="","",IF(T342&gt;=2,"Yes","No"))</f>
        <v>0</v>
      </c>
      <c r="AO342" s="25">
        <f>IF(B342="","",COUNTIFS($AE$5:$AE$504,"&gt;"&amp;AE342)+COUNTIFS($AE$5:AE342,AE342))</f>
        <v>0</v>
      </c>
      <c r="AP342" s="25">
        <f>IF(B342="","",COUNTIFS($T$5:$T$504,"&gt;"&amp;T342)+COUNTIFS($T$5:T342,T342))</f>
        <v>0</v>
      </c>
      <c r="AQ342" s="39">
        <f>IF(B342="","",IF(COUNTIF($B$5:$B$504,B342)&gt;1,"Duplicate - same name twice",IF(R342="Archived","",IF(AK342&gt;0.004,"Chase - balance outstanding",IF(AM342="Inactive","Gone - win-back offer",IF(AM342="Lapsing","Chase - lapsing, call them",IF(IF(N342="",FALSE,TodayDate-N342&gt;PatchTestDays),"Due - patch test out of date",IF(IF(AD342="",FALSE,IF(AB342&lt;&gt;"",FALSE,AD342&lt;=TodayDate+14)),"Rebook - due and nothing booked",IF(IF(K342="",FALSE,ABS(DATE(YEAR(TodayDate),MONTH(K342),DAY(K342))-TodayDate)&lt;=7),"Birthday - send the treat","OK")))))))))</f>
        <v>0</v>
      </c>
    </row>
    <row r="343" spans="1:43">
      <c r="A343" s="28">
        <f>IF(B343="","",ClientPrefix&amp;TEXT(ROW()-4,"0000"))</f>
        <v>0</v>
      </c>
      <c r="J343" s="15">
        <f>IF(I343="","",IFERROR(INDEX(Staff!$B$5:$B$44,MATCH(I343,Staff!$A$5:$A$44,0)),"Not in Staff"))</f>
        <v>0</v>
      </c>
      <c r="T343" s="25">
        <f>IF(B343="","",COUNTIFS(Appointments!$E$5:$E$1204,A343,Appointments!$M$5:$M$1204,"Completed"))</f>
        <v>0</v>
      </c>
      <c r="U343" s="25">
        <f>IF(B343="","",COUNTIFS(Appointments!$E$5:$E$1204,A343,Appointments!$M$5:$M$1204,"Completed",Appointments!$B$5:$B$1204,"&gt;="&amp;TodayDate-365))</f>
        <v>0</v>
      </c>
      <c r="V343" s="25">
        <f>IF(B343="","",COUNTIFS(Appointments!$E$5:$E$1204,A343,Appointments!$M$5:$M$1204,"Cancelled"))</f>
        <v>0</v>
      </c>
      <c r="W343" s="25">
        <f>IF(B343="","",COUNTIFS(Appointments!$E$5:$E$1204,A343,Appointments!$M$5:$M$1204,"No show"))</f>
        <v>0</v>
      </c>
      <c r="X343" s="17">
        <f>IF(B343="","",IF(F343&lt;&gt;"",F343,IF(T343=0,"",SUMPRODUCT(MIN((Appointments!$E$5:$E$1204=A343)*(Appointments!$M$5:$M$1204="Completed")*Appointments!$B$5:$B$1204+(1-(Appointments!$E$5:$E$1204=A343)*(Appointments!$M$5:$M$1204="Completed"))*2958465)))))</f>
        <v>0</v>
      </c>
      <c r="Y343" s="17">
        <f>IF(B343="","",IF(T343=0,"",SUMPRODUCT(MAX((Appointments!$E$5:$E$1204=A343)*(Appointments!$M$5:$M$1204="Completed")*Appointments!$B$5:$B$1204))))</f>
        <v>0</v>
      </c>
      <c r="Z343" s="25">
        <f>IF(B343="","",IF(Y343="","",TodayDate-Y343))</f>
        <v>0</v>
      </c>
      <c r="AA343" s="42">
        <f>IF(B343="","",SUMPRODUCT(MIN((Appointments!$E$5:$E$1204=A343)*(Appointments!$M$5:$M$1204&lt;&gt;"Cancelled")*(Appointments!$M$5:$M$1204&lt;&gt;"Completed")*(Appointments!$M$5:$M$1204&lt;&gt;"No show")*(Appointments!$B$5:$B$1204&gt;=TodayDate)*Appointments!$B$5:$B$1204+(1-(Appointments!$E$5:$E$1204=A343)*(Appointments!$M$5:$M$1204&lt;&gt;"Cancelled")*(Appointments!$M$5:$M$1204&lt;&gt;"Completed")*(Appointments!$M$5:$M$1204&lt;&gt;"No show")*(Appointments!$B$5:$B$1204&gt;=TodayDate))*2958465)))</f>
        <v>0</v>
      </c>
      <c r="AB343" s="17">
        <f>IF(B343="","",IF(AA343&gt;=2958465,"",AA343))</f>
        <v>0</v>
      </c>
      <c r="AC343" s="25">
        <f>IF(B343="","",IF(T343&lt;2,"",ROUND((Y343-X343)/MAX(1,T343-1),0)))</f>
        <v>0</v>
      </c>
      <c r="AD343" s="17">
        <f>IF(B343="","",IF(Y343="","",Y343+IF(AC343="",RebookWeeks*7,MAX(14,AC343))))</f>
        <v>0</v>
      </c>
      <c r="AE343" s="26">
        <f>IF(B343="","",ROUND(SUMIFS(Sales!$Y$5:$Y$1204,Sales!$D$5:$D$1204,A343),2))</f>
        <v>0</v>
      </c>
      <c r="AF343" s="26">
        <f>IF(B343="","",ROUND(SUMIFS(Sales!$Y$5:$Y$1204,Sales!$D$5:$D$1204,A343,Sales!$H$5:$H$1204,"Service"),2))</f>
        <v>0</v>
      </c>
      <c r="AG343" s="26">
        <f>IF(B343="","",ROUND(SUMIFS(Sales!$Y$5:$Y$1204,Sales!$D$5:$D$1204,A343,Sales!$H$5:$H$1204,"Retail"),2))</f>
        <v>0</v>
      </c>
      <c r="AH343" s="26">
        <f>IF(B343="","",ROUND(SUMIFS(Sales!$Y$5:$Y$1204,Sales!$D$5:$D$1204,A343,Sales!$B$5:$B$1204,"&gt;="&amp;TodayDate-365),2))</f>
        <v>0</v>
      </c>
      <c r="AI343" s="26">
        <f>IF(B343="","",IF(T343=0,"",ROUND(AE343/T343,2)))</f>
        <v>0</v>
      </c>
      <c r="AJ343" s="26">
        <f>IF(B343="","",IF(AI343="","",IF(AC343="","",ROUND(AI343*(365/MAX(14,AC343)),2))))</f>
        <v>0</v>
      </c>
      <c r="AK343" s="26">
        <f>IF(B343="","",ROUND(SUMIFS(Sales!$AH$5:$AH$1204,Sales!$D$5:$D$1204,A343),2))</f>
        <v>0</v>
      </c>
      <c r="AL343" s="25">
        <f>IF(B343="","",IFERROR(INDEX(Loyalty!$P$5:$P$504,MATCH(A343,Loyalty!$B$5:$B$504,0))*1,0))</f>
        <v>0</v>
      </c>
      <c r="AM343" s="39">
        <f>IF(B343="","",IF(R343="Archived","Archived",IF(T343=0,"Not been yet",IF(Z343&gt;=InactiveDays,"Inactive",IF(Z343&gt;=LapsingDays,"Lapsing",IF(T343=1,"New",IF(AH343&gt;=VipSpend,"VIP",IF(U343&gt;=4,"Regular","Active"))))))))</f>
        <v>0</v>
      </c>
      <c r="AN343" s="38">
        <f>IF(B343="","",IF(T343&gt;=2,"Yes","No"))</f>
        <v>0</v>
      </c>
      <c r="AO343" s="25">
        <f>IF(B343="","",COUNTIFS($AE$5:$AE$504,"&gt;"&amp;AE343)+COUNTIFS($AE$5:AE343,AE343))</f>
        <v>0</v>
      </c>
      <c r="AP343" s="25">
        <f>IF(B343="","",COUNTIFS($T$5:$T$504,"&gt;"&amp;T343)+COUNTIFS($T$5:T343,T343))</f>
        <v>0</v>
      </c>
      <c r="AQ343" s="39">
        <f>IF(B343="","",IF(COUNTIF($B$5:$B$504,B343)&gt;1,"Duplicate - same name twice",IF(R343="Archived","",IF(AK343&gt;0.004,"Chase - balance outstanding",IF(AM343="Inactive","Gone - win-back offer",IF(AM343="Lapsing","Chase - lapsing, call them",IF(IF(N343="",FALSE,TodayDate-N343&gt;PatchTestDays),"Due - patch test out of date",IF(IF(AD343="",FALSE,IF(AB343&lt;&gt;"",FALSE,AD343&lt;=TodayDate+14)),"Rebook - due and nothing booked",IF(IF(K343="",FALSE,ABS(DATE(YEAR(TodayDate),MONTH(K343),DAY(K343))-TodayDate)&lt;=7),"Birthday - send the treat","OK")))))))))</f>
        <v>0</v>
      </c>
    </row>
    <row r="344" spans="1:43">
      <c r="A344" s="28">
        <f>IF(B344="","",ClientPrefix&amp;TEXT(ROW()-4,"0000"))</f>
        <v>0</v>
      </c>
      <c r="J344" s="15">
        <f>IF(I344="","",IFERROR(INDEX(Staff!$B$5:$B$44,MATCH(I344,Staff!$A$5:$A$44,0)),"Not in Staff"))</f>
        <v>0</v>
      </c>
      <c r="T344" s="25">
        <f>IF(B344="","",COUNTIFS(Appointments!$E$5:$E$1204,A344,Appointments!$M$5:$M$1204,"Completed"))</f>
        <v>0</v>
      </c>
      <c r="U344" s="25">
        <f>IF(B344="","",COUNTIFS(Appointments!$E$5:$E$1204,A344,Appointments!$M$5:$M$1204,"Completed",Appointments!$B$5:$B$1204,"&gt;="&amp;TodayDate-365))</f>
        <v>0</v>
      </c>
      <c r="V344" s="25">
        <f>IF(B344="","",COUNTIFS(Appointments!$E$5:$E$1204,A344,Appointments!$M$5:$M$1204,"Cancelled"))</f>
        <v>0</v>
      </c>
      <c r="W344" s="25">
        <f>IF(B344="","",COUNTIFS(Appointments!$E$5:$E$1204,A344,Appointments!$M$5:$M$1204,"No show"))</f>
        <v>0</v>
      </c>
      <c r="X344" s="17">
        <f>IF(B344="","",IF(F344&lt;&gt;"",F344,IF(T344=0,"",SUMPRODUCT(MIN((Appointments!$E$5:$E$1204=A344)*(Appointments!$M$5:$M$1204="Completed")*Appointments!$B$5:$B$1204+(1-(Appointments!$E$5:$E$1204=A344)*(Appointments!$M$5:$M$1204="Completed"))*2958465)))))</f>
        <v>0</v>
      </c>
      <c r="Y344" s="17">
        <f>IF(B344="","",IF(T344=0,"",SUMPRODUCT(MAX((Appointments!$E$5:$E$1204=A344)*(Appointments!$M$5:$M$1204="Completed")*Appointments!$B$5:$B$1204))))</f>
        <v>0</v>
      </c>
      <c r="Z344" s="25">
        <f>IF(B344="","",IF(Y344="","",TodayDate-Y344))</f>
        <v>0</v>
      </c>
      <c r="AA344" s="42">
        <f>IF(B344="","",SUMPRODUCT(MIN((Appointments!$E$5:$E$1204=A344)*(Appointments!$M$5:$M$1204&lt;&gt;"Cancelled")*(Appointments!$M$5:$M$1204&lt;&gt;"Completed")*(Appointments!$M$5:$M$1204&lt;&gt;"No show")*(Appointments!$B$5:$B$1204&gt;=TodayDate)*Appointments!$B$5:$B$1204+(1-(Appointments!$E$5:$E$1204=A344)*(Appointments!$M$5:$M$1204&lt;&gt;"Cancelled")*(Appointments!$M$5:$M$1204&lt;&gt;"Completed")*(Appointments!$M$5:$M$1204&lt;&gt;"No show")*(Appointments!$B$5:$B$1204&gt;=TodayDate))*2958465)))</f>
        <v>0</v>
      </c>
      <c r="AB344" s="17">
        <f>IF(B344="","",IF(AA344&gt;=2958465,"",AA344))</f>
        <v>0</v>
      </c>
      <c r="AC344" s="25">
        <f>IF(B344="","",IF(T344&lt;2,"",ROUND((Y344-X344)/MAX(1,T344-1),0)))</f>
        <v>0</v>
      </c>
      <c r="AD344" s="17">
        <f>IF(B344="","",IF(Y344="","",Y344+IF(AC344="",RebookWeeks*7,MAX(14,AC344))))</f>
        <v>0</v>
      </c>
      <c r="AE344" s="26">
        <f>IF(B344="","",ROUND(SUMIFS(Sales!$Y$5:$Y$1204,Sales!$D$5:$D$1204,A344),2))</f>
        <v>0</v>
      </c>
      <c r="AF344" s="26">
        <f>IF(B344="","",ROUND(SUMIFS(Sales!$Y$5:$Y$1204,Sales!$D$5:$D$1204,A344,Sales!$H$5:$H$1204,"Service"),2))</f>
        <v>0</v>
      </c>
      <c r="AG344" s="26">
        <f>IF(B344="","",ROUND(SUMIFS(Sales!$Y$5:$Y$1204,Sales!$D$5:$D$1204,A344,Sales!$H$5:$H$1204,"Retail"),2))</f>
        <v>0</v>
      </c>
      <c r="AH344" s="26">
        <f>IF(B344="","",ROUND(SUMIFS(Sales!$Y$5:$Y$1204,Sales!$D$5:$D$1204,A344,Sales!$B$5:$B$1204,"&gt;="&amp;TodayDate-365),2))</f>
        <v>0</v>
      </c>
      <c r="AI344" s="26">
        <f>IF(B344="","",IF(T344=0,"",ROUND(AE344/T344,2)))</f>
        <v>0</v>
      </c>
      <c r="AJ344" s="26">
        <f>IF(B344="","",IF(AI344="","",IF(AC344="","",ROUND(AI344*(365/MAX(14,AC344)),2))))</f>
        <v>0</v>
      </c>
      <c r="AK344" s="26">
        <f>IF(B344="","",ROUND(SUMIFS(Sales!$AH$5:$AH$1204,Sales!$D$5:$D$1204,A344),2))</f>
        <v>0</v>
      </c>
      <c r="AL344" s="25">
        <f>IF(B344="","",IFERROR(INDEX(Loyalty!$P$5:$P$504,MATCH(A344,Loyalty!$B$5:$B$504,0))*1,0))</f>
        <v>0</v>
      </c>
      <c r="AM344" s="39">
        <f>IF(B344="","",IF(R344="Archived","Archived",IF(T344=0,"Not been yet",IF(Z344&gt;=InactiveDays,"Inactive",IF(Z344&gt;=LapsingDays,"Lapsing",IF(T344=1,"New",IF(AH344&gt;=VipSpend,"VIP",IF(U344&gt;=4,"Regular","Active"))))))))</f>
        <v>0</v>
      </c>
      <c r="AN344" s="38">
        <f>IF(B344="","",IF(T344&gt;=2,"Yes","No"))</f>
        <v>0</v>
      </c>
      <c r="AO344" s="25">
        <f>IF(B344="","",COUNTIFS($AE$5:$AE$504,"&gt;"&amp;AE344)+COUNTIFS($AE$5:AE344,AE344))</f>
        <v>0</v>
      </c>
      <c r="AP344" s="25">
        <f>IF(B344="","",COUNTIFS($T$5:$T$504,"&gt;"&amp;T344)+COUNTIFS($T$5:T344,T344))</f>
        <v>0</v>
      </c>
      <c r="AQ344" s="39">
        <f>IF(B344="","",IF(COUNTIF($B$5:$B$504,B344)&gt;1,"Duplicate - same name twice",IF(R344="Archived","",IF(AK344&gt;0.004,"Chase - balance outstanding",IF(AM344="Inactive","Gone - win-back offer",IF(AM344="Lapsing","Chase - lapsing, call them",IF(IF(N344="",FALSE,TodayDate-N344&gt;PatchTestDays),"Due - patch test out of date",IF(IF(AD344="",FALSE,IF(AB344&lt;&gt;"",FALSE,AD344&lt;=TodayDate+14)),"Rebook - due and nothing booked",IF(IF(K344="",FALSE,ABS(DATE(YEAR(TodayDate),MONTH(K344),DAY(K344))-TodayDate)&lt;=7),"Birthday - send the treat","OK")))))))))</f>
        <v>0</v>
      </c>
    </row>
    <row r="345" spans="1:43">
      <c r="A345" s="28">
        <f>IF(B345="","",ClientPrefix&amp;TEXT(ROW()-4,"0000"))</f>
        <v>0</v>
      </c>
      <c r="J345" s="15">
        <f>IF(I345="","",IFERROR(INDEX(Staff!$B$5:$B$44,MATCH(I345,Staff!$A$5:$A$44,0)),"Not in Staff"))</f>
        <v>0</v>
      </c>
      <c r="T345" s="25">
        <f>IF(B345="","",COUNTIFS(Appointments!$E$5:$E$1204,A345,Appointments!$M$5:$M$1204,"Completed"))</f>
        <v>0</v>
      </c>
      <c r="U345" s="25">
        <f>IF(B345="","",COUNTIFS(Appointments!$E$5:$E$1204,A345,Appointments!$M$5:$M$1204,"Completed",Appointments!$B$5:$B$1204,"&gt;="&amp;TodayDate-365))</f>
        <v>0</v>
      </c>
      <c r="V345" s="25">
        <f>IF(B345="","",COUNTIFS(Appointments!$E$5:$E$1204,A345,Appointments!$M$5:$M$1204,"Cancelled"))</f>
        <v>0</v>
      </c>
      <c r="W345" s="25">
        <f>IF(B345="","",COUNTIFS(Appointments!$E$5:$E$1204,A345,Appointments!$M$5:$M$1204,"No show"))</f>
        <v>0</v>
      </c>
      <c r="X345" s="17">
        <f>IF(B345="","",IF(F345&lt;&gt;"",F345,IF(T345=0,"",SUMPRODUCT(MIN((Appointments!$E$5:$E$1204=A345)*(Appointments!$M$5:$M$1204="Completed")*Appointments!$B$5:$B$1204+(1-(Appointments!$E$5:$E$1204=A345)*(Appointments!$M$5:$M$1204="Completed"))*2958465)))))</f>
        <v>0</v>
      </c>
      <c r="Y345" s="17">
        <f>IF(B345="","",IF(T345=0,"",SUMPRODUCT(MAX((Appointments!$E$5:$E$1204=A345)*(Appointments!$M$5:$M$1204="Completed")*Appointments!$B$5:$B$1204))))</f>
        <v>0</v>
      </c>
      <c r="Z345" s="25">
        <f>IF(B345="","",IF(Y345="","",TodayDate-Y345))</f>
        <v>0</v>
      </c>
      <c r="AA345" s="42">
        <f>IF(B345="","",SUMPRODUCT(MIN((Appointments!$E$5:$E$1204=A345)*(Appointments!$M$5:$M$1204&lt;&gt;"Cancelled")*(Appointments!$M$5:$M$1204&lt;&gt;"Completed")*(Appointments!$M$5:$M$1204&lt;&gt;"No show")*(Appointments!$B$5:$B$1204&gt;=TodayDate)*Appointments!$B$5:$B$1204+(1-(Appointments!$E$5:$E$1204=A345)*(Appointments!$M$5:$M$1204&lt;&gt;"Cancelled")*(Appointments!$M$5:$M$1204&lt;&gt;"Completed")*(Appointments!$M$5:$M$1204&lt;&gt;"No show")*(Appointments!$B$5:$B$1204&gt;=TodayDate))*2958465)))</f>
        <v>0</v>
      </c>
      <c r="AB345" s="17">
        <f>IF(B345="","",IF(AA345&gt;=2958465,"",AA345))</f>
        <v>0</v>
      </c>
      <c r="AC345" s="25">
        <f>IF(B345="","",IF(T345&lt;2,"",ROUND((Y345-X345)/MAX(1,T345-1),0)))</f>
        <v>0</v>
      </c>
      <c r="AD345" s="17">
        <f>IF(B345="","",IF(Y345="","",Y345+IF(AC345="",RebookWeeks*7,MAX(14,AC345))))</f>
        <v>0</v>
      </c>
      <c r="AE345" s="26">
        <f>IF(B345="","",ROUND(SUMIFS(Sales!$Y$5:$Y$1204,Sales!$D$5:$D$1204,A345),2))</f>
        <v>0</v>
      </c>
      <c r="AF345" s="26">
        <f>IF(B345="","",ROUND(SUMIFS(Sales!$Y$5:$Y$1204,Sales!$D$5:$D$1204,A345,Sales!$H$5:$H$1204,"Service"),2))</f>
        <v>0</v>
      </c>
      <c r="AG345" s="26">
        <f>IF(B345="","",ROUND(SUMIFS(Sales!$Y$5:$Y$1204,Sales!$D$5:$D$1204,A345,Sales!$H$5:$H$1204,"Retail"),2))</f>
        <v>0</v>
      </c>
      <c r="AH345" s="26">
        <f>IF(B345="","",ROUND(SUMIFS(Sales!$Y$5:$Y$1204,Sales!$D$5:$D$1204,A345,Sales!$B$5:$B$1204,"&gt;="&amp;TodayDate-365),2))</f>
        <v>0</v>
      </c>
      <c r="AI345" s="26">
        <f>IF(B345="","",IF(T345=0,"",ROUND(AE345/T345,2)))</f>
        <v>0</v>
      </c>
      <c r="AJ345" s="26">
        <f>IF(B345="","",IF(AI345="","",IF(AC345="","",ROUND(AI345*(365/MAX(14,AC345)),2))))</f>
        <v>0</v>
      </c>
      <c r="AK345" s="26">
        <f>IF(B345="","",ROUND(SUMIFS(Sales!$AH$5:$AH$1204,Sales!$D$5:$D$1204,A345),2))</f>
        <v>0</v>
      </c>
      <c r="AL345" s="25">
        <f>IF(B345="","",IFERROR(INDEX(Loyalty!$P$5:$P$504,MATCH(A345,Loyalty!$B$5:$B$504,0))*1,0))</f>
        <v>0</v>
      </c>
      <c r="AM345" s="39">
        <f>IF(B345="","",IF(R345="Archived","Archived",IF(T345=0,"Not been yet",IF(Z345&gt;=InactiveDays,"Inactive",IF(Z345&gt;=LapsingDays,"Lapsing",IF(T345=1,"New",IF(AH345&gt;=VipSpend,"VIP",IF(U345&gt;=4,"Regular","Active"))))))))</f>
        <v>0</v>
      </c>
      <c r="AN345" s="38">
        <f>IF(B345="","",IF(T345&gt;=2,"Yes","No"))</f>
        <v>0</v>
      </c>
      <c r="AO345" s="25">
        <f>IF(B345="","",COUNTIFS($AE$5:$AE$504,"&gt;"&amp;AE345)+COUNTIFS($AE$5:AE345,AE345))</f>
        <v>0</v>
      </c>
      <c r="AP345" s="25">
        <f>IF(B345="","",COUNTIFS($T$5:$T$504,"&gt;"&amp;T345)+COUNTIFS($T$5:T345,T345))</f>
        <v>0</v>
      </c>
      <c r="AQ345" s="39">
        <f>IF(B345="","",IF(COUNTIF($B$5:$B$504,B345)&gt;1,"Duplicate - same name twice",IF(R345="Archived","",IF(AK345&gt;0.004,"Chase - balance outstanding",IF(AM345="Inactive","Gone - win-back offer",IF(AM345="Lapsing","Chase - lapsing, call them",IF(IF(N345="",FALSE,TodayDate-N345&gt;PatchTestDays),"Due - patch test out of date",IF(IF(AD345="",FALSE,IF(AB345&lt;&gt;"",FALSE,AD345&lt;=TodayDate+14)),"Rebook - due and nothing booked",IF(IF(K345="",FALSE,ABS(DATE(YEAR(TodayDate),MONTH(K345),DAY(K345))-TodayDate)&lt;=7),"Birthday - send the treat","OK")))))))))</f>
        <v>0</v>
      </c>
    </row>
    <row r="346" spans="1:43">
      <c r="A346" s="28">
        <f>IF(B346="","",ClientPrefix&amp;TEXT(ROW()-4,"0000"))</f>
        <v>0</v>
      </c>
      <c r="J346" s="15">
        <f>IF(I346="","",IFERROR(INDEX(Staff!$B$5:$B$44,MATCH(I346,Staff!$A$5:$A$44,0)),"Not in Staff"))</f>
        <v>0</v>
      </c>
      <c r="T346" s="25">
        <f>IF(B346="","",COUNTIFS(Appointments!$E$5:$E$1204,A346,Appointments!$M$5:$M$1204,"Completed"))</f>
        <v>0</v>
      </c>
      <c r="U346" s="25">
        <f>IF(B346="","",COUNTIFS(Appointments!$E$5:$E$1204,A346,Appointments!$M$5:$M$1204,"Completed",Appointments!$B$5:$B$1204,"&gt;="&amp;TodayDate-365))</f>
        <v>0</v>
      </c>
      <c r="V346" s="25">
        <f>IF(B346="","",COUNTIFS(Appointments!$E$5:$E$1204,A346,Appointments!$M$5:$M$1204,"Cancelled"))</f>
        <v>0</v>
      </c>
      <c r="W346" s="25">
        <f>IF(B346="","",COUNTIFS(Appointments!$E$5:$E$1204,A346,Appointments!$M$5:$M$1204,"No show"))</f>
        <v>0</v>
      </c>
      <c r="X346" s="17">
        <f>IF(B346="","",IF(F346&lt;&gt;"",F346,IF(T346=0,"",SUMPRODUCT(MIN((Appointments!$E$5:$E$1204=A346)*(Appointments!$M$5:$M$1204="Completed")*Appointments!$B$5:$B$1204+(1-(Appointments!$E$5:$E$1204=A346)*(Appointments!$M$5:$M$1204="Completed"))*2958465)))))</f>
        <v>0</v>
      </c>
      <c r="Y346" s="17">
        <f>IF(B346="","",IF(T346=0,"",SUMPRODUCT(MAX((Appointments!$E$5:$E$1204=A346)*(Appointments!$M$5:$M$1204="Completed")*Appointments!$B$5:$B$1204))))</f>
        <v>0</v>
      </c>
      <c r="Z346" s="25">
        <f>IF(B346="","",IF(Y346="","",TodayDate-Y346))</f>
        <v>0</v>
      </c>
      <c r="AA346" s="42">
        <f>IF(B346="","",SUMPRODUCT(MIN((Appointments!$E$5:$E$1204=A346)*(Appointments!$M$5:$M$1204&lt;&gt;"Cancelled")*(Appointments!$M$5:$M$1204&lt;&gt;"Completed")*(Appointments!$M$5:$M$1204&lt;&gt;"No show")*(Appointments!$B$5:$B$1204&gt;=TodayDate)*Appointments!$B$5:$B$1204+(1-(Appointments!$E$5:$E$1204=A346)*(Appointments!$M$5:$M$1204&lt;&gt;"Cancelled")*(Appointments!$M$5:$M$1204&lt;&gt;"Completed")*(Appointments!$M$5:$M$1204&lt;&gt;"No show")*(Appointments!$B$5:$B$1204&gt;=TodayDate))*2958465)))</f>
        <v>0</v>
      </c>
      <c r="AB346" s="17">
        <f>IF(B346="","",IF(AA346&gt;=2958465,"",AA346))</f>
        <v>0</v>
      </c>
      <c r="AC346" s="25">
        <f>IF(B346="","",IF(T346&lt;2,"",ROUND((Y346-X346)/MAX(1,T346-1),0)))</f>
        <v>0</v>
      </c>
      <c r="AD346" s="17">
        <f>IF(B346="","",IF(Y346="","",Y346+IF(AC346="",RebookWeeks*7,MAX(14,AC346))))</f>
        <v>0</v>
      </c>
      <c r="AE346" s="26">
        <f>IF(B346="","",ROUND(SUMIFS(Sales!$Y$5:$Y$1204,Sales!$D$5:$D$1204,A346),2))</f>
        <v>0</v>
      </c>
      <c r="AF346" s="26">
        <f>IF(B346="","",ROUND(SUMIFS(Sales!$Y$5:$Y$1204,Sales!$D$5:$D$1204,A346,Sales!$H$5:$H$1204,"Service"),2))</f>
        <v>0</v>
      </c>
      <c r="AG346" s="26">
        <f>IF(B346="","",ROUND(SUMIFS(Sales!$Y$5:$Y$1204,Sales!$D$5:$D$1204,A346,Sales!$H$5:$H$1204,"Retail"),2))</f>
        <v>0</v>
      </c>
      <c r="AH346" s="26">
        <f>IF(B346="","",ROUND(SUMIFS(Sales!$Y$5:$Y$1204,Sales!$D$5:$D$1204,A346,Sales!$B$5:$B$1204,"&gt;="&amp;TodayDate-365),2))</f>
        <v>0</v>
      </c>
      <c r="AI346" s="26">
        <f>IF(B346="","",IF(T346=0,"",ROUND(AE346/T346,2)))</f>
        <v>0</v>
      </c>
      <c r="AJ346" s="26">
        <f>IF(B346="","",IF(AI346="","",IF(AC346="","",ROUND(AI346*(365/MAX(14,AC346)),2))))</f>
        <v>0</v>
      </c>
      <c r="AK346" s="26">
        <f>IF(B346="","",ROUND(SUMIFS(Sales!$AH$5:$AH$1204,Sales!$D$5:$D$1204,A346),2))</f>
        <v>0</v>
      </c>
      <c r="AL346" s="25">
        <f>IF(B346="","",IFERROR(INDEX(Loyalty!$P$5:$P$504,MATCH(A346,Loyalty!$B$5:$B$504,0))*1,0))</f>
        <v>0</v>
      </c>
      <c r="AM346" s="39">
        <f>IF(B346="","",IF(R346="Archived","Archived",IF(T346=0,"Not been yet",IF(Z346&gt;=InactiveDays,"Inactive",IF(Z346&gt;=LapsingDays,"Lapsing",IF(T346=1,"New",IF(AH346&gt;=VipSpend,"VIP",IF(U346&gt;=4,"Regular","Active"))))))))</f>
        <v>0</v>
      </c>
      <c r="AN346" s="38">
        <f>IF(B346="","",IF(T346&gt;=2,"Yes","No"))</f>
        <v>0</v>
      </c>
      <c r="AO346" s="25">
        <f>IF(B346="","",COUNTIFS($AE$5:$AE$504,"&gt;"&amp;AE346)+COUNTIFS($AE$5:AE346,AE346))</f>
        <v>0</v>
      </c>
      <c r="AP346" s="25">
        <f>IF(B346="","",COUNTIFS($T$5:$T$504,"&gt;"&amp;T346)+COUNTIFS($T$5:T346,T346))</f>
        <v>0</v>
      </c>
      <c r="AQ346" s="39">
        <f>IF(B346="","",IF(COUNTIF($B$5:$B$504,B346)&gt;1,"Duplicate - same name twice",IF(R346="Archived","",IF(AK346&gt;0.004,"Chase - balance outstanding",IF(AM346="Inactive","Gone - win-back offer",IF(AM346="Lapsing","Chase - lapsing, call them",IF(IF(N346="",FALSE,TodayDate-N346&gt;PatchTestDays),"Due - patch test out of date",IF(IF(AD346="",FALSE,IF(AB346&lt;&gt;"",FALSE,AD346&lt;=TodayDate+14)),"Rebook - due and nothing booked",IF(IF(K346="",FALSE,ABS(DATE(YEAR(TodayDate),MONTH(K346),DAY(K346))-TodayDate)&lt;=7),"Birthday - send the treat","OK")))))))))</f>
        <v>0</v>
      </c>
    </row>
    <row r="347" spans="1:43">
      <c r="A347" s="28">
        <f>IF(B347="","",ClientPrefix&amp;TEXT(ROW()-4,"0000"))</f>
        <v>0</v>
      </c>
      <c r="J347" s="15">
        <f>IF(I347="","",IFERROR(INDEX(Staff!$B$5:$B$44,MATCH(I347,Staff!$A$5:$A$44,0)),"Not in Staff"))</f>
        <v>0</v>
      </c>
      <c r="T347" s="25">
        <f>IF(B347="","",COUNTIFS(Appointments!$E$5:$E$1204,A347,Appointments!$M$5:$M$1204,"Completed"))</f>
        <v>0</v>
      </c>
      <c r="U347" s="25">
        <f>IF(B347="","",COUNTIFS(Appointments!$E$5:$E$1204,A347,Appointments!$M$5:$M$1204,"Completed",Appointments!$B$5:$B$1204,"&gt;="&amp;TodayDate-365))</f>
        <v>0</v>
      </c>
      <c r="V347" s="25">
        <f>IF(B347="","",COUNTIFS(Appointments!$E$5:$E$1204,A347,Appointments!$M$5:$M$1204,"Cancelled"))</f>
        <v>0</v>
      </c>
      <c r="W347" s="25">
        <f>IF(B347="","",COUNTIFS(Appointments!$E$5:$E$1204,A347,Appointments!$M$5:$M$1204,"No show"))</f>
        <v>0</v>
      </c>
      <c r="X347" s="17">
        <f>IF(B347="","",IF(F347&lt;&gt;"",F347,IF(T347=0,"",SUMPRODUCT(MIN((Appointments!$E$5:$E$1204=A347)*(Appointments!$M$5:$M$1204="Completed")*Appointments!$B$5:$B$1204+(1-(Appointments!$E$5:$E$1204=A347)*(Appointments!$M$5:$M$1204="Completed"))*2958465)))))</f>
        <v>0</v>
      </c>
      <c r="Y347" s="17">
        <f>IF(B347="","",IF(T347=0,"",SUMPRODUCT(MAX((Appointments!$E$5:$E$1204=A347)*(Appointments!$M$5:$M$1204="Completed")*Appointments!$B$5:$B$1204))))</f>
        <v>0</v>
      </c>
      <c r="Z347" s="25">
        <f>IF(B347="","",IF(Y347="","",TodayDate-Y347))</f>
        <v>0</v>
      </c>
      <c r="AA347" s="42">
        <f>IF(B347="","",SUMPRODUCT(MIN((Appointments!$E$5:$E$1204=A347)*(Appointments!$M$5:$M$1204&lt;&gt;"Cancelled")*(Appointments!$M$5:$M$1204&lt;&gt;"Completed")*(Appointments!$M$5:$M$1204&lt;&gt;"No show")*(Appointments!$B$5:$B$1204&gt;=TodayDate)*Appointments!$B$5:$B$1204+(1-(Appointments!$E$5:$E$1204=A347)*(Appointments!$M$5:$M$1204&lt;&gt;"Cancelled")*(Appointments!$M$5:$M$1204&lt;&gt;"Completed")*(Appointments!$M$5:$M$1204&lt;&gt;"No show")*(Appointments!$B$5:$B$1204&gt;=TodayDate))*2958465)))</f>
        <v>0</v>
      </c>
      <c r="AB347" s="17">
        <f>IF(B347="","",IF(AA347&gt;=2958465,"",AA347))</f>
        <v>0</v>
      </c>
      <c r="AC347" s="25">
        <f>IF(B347="","",IF(T347&lt;2,"",ROUND((Y347-X347)/MAX(1,T347-1),0)))</f>
        <v>0</v>
      </c>
      <c r="AD347" s="17">
        <f>IF(B347="","",IF(Y347="","",Y347+IF(AC347="",RebookWeeks*7,MAX(14,AC347))))</f>
        <v>0</v>
      </c>
      <c r="AE347" s="26">
        <f>IF(B347="","",ROUND(SUMIFS(Sales!$Y$5:$Y$1204,Sales!$D$5:$D$1204,A347),2))</f>
        <v>0</v>
      </c>
      <c r="AF347" s="26">
        <f>IF(B347="","",ROUND(SUMIFS(Sales!$Y$5:$Y$1204,Sales!$D$5:$D$1204,A347,Sales!$H$5:$H$1204,"Service"),2))</f>
        <v>0</v>
      </c>
      <c r="AG347" s="26">
        <f>IF(B347="","",ROUND(SUMIFS(Sales!$Y$5:$Y$1204,Sales!$D$5:$D$1204,A347,Sales!$H$5:$H$1204,"Retail"),2))</f>
        <v>0</v>
      </c>
      <c r="AH347" s="26">
        <f>IF(B347="","",ROUND(SUMIFS(Sales!$Y$5:$Y$1204,Sales!$D$5:$D$1204,A347,Sales!$B$5:$B$1204,"&gt;="&amp;TodayDate-365),2))</f>
        <v>0</v>
      </c>
      <c r="AI347" s="26">
        <f>IF(B347="","",IF(T347=0,"",ROUND(AE347/T347,2)))</f>
        <v>0</v>
      </c>
      <c r="AJ347" s="26">
        <f>IF(B347="","",IF(AI347="","",IF(AC347="","",ROUND(AI347*(365/MAX(14,AC347)),2))))</f>
        <v>0</v>
      </c>
      <c r="AK347" s="26">
        <f>IF(B347="","",ROUND(SUMIFS(Sales!$AH$5:$AH$1204,Sales!$D$5:$D$1204,A347),2))</f>
        <v>0</v>
      </c>
      <c r="AL347" s="25">
        <f>IF(B347="","",IFERROR(INDEX(Loyalty!$P$5:$P$504,MATCH(A347,Loyalty!$B$5:$B$504,0))*1,0))</f>
        <v>0</v>
      </c>
      <c r="AM347" s="39">
        <f>IF(B347="","",IF(R347="Archived","Archived",IF(T347=0,"Not been yet",IF(Z347&gt;=InactiveDays,"Inactive",IF(Z347&gt;=LapsingDays,"Lapsing",IF(T347=1,"New",IF(AH347&gt;=VipSpend,"VIP",IF(U347&gt;=4,"Regular","Active"))))))))</f>
        <v>0</v>
      </c>
      <c r="AN347" s="38">
        <f>IF(B347="","",IF(T347&gt;=2,"Yes","No"))</f>
        <v>0</v>
      </c>
      <c r="AO347" s="25">
        <f>IF(B347="","",COUNTIFS($AE$5:$AE$504,"&gt;"&amp;AE347)+COUNTIFS($AE$5:AE347,AE347))</f>
        <v>0</v>
      </c>
      <c r="AP347" s="25">
        <f>IF(B347="","",COUNTIFS($T$5:$T$504,"&gt;"&amp;T347)+COUNTIFS($T$5:T347,T347))</f>
        <v>0</v>
      </c>
      <c r="AQ347" s="39">
        <f>IF(B347="","",IF(COUNTIF($B$5:$B$504,B347)&gt;1,"Duplicate - same name twice",IF(R347="Archived","",IF(AK347&gt;0.004,"Chase - balance outstanding",IF(AM347="Inactive","Gone - win-back offer",IF(AM347="Lapsing","Chase - lapsing, call them",IF(IF(N347="",FALSE,TodayDate-N347&gt;PatchTestDays),"Due - patch test out of date",IF(IF(AD347="",FALSE,IF(AB347&lt;&gt;"",FALSE,AD347&lt;=TodayDate+14)),"Rebook - due and nothing booked",IF(IF(K347="",FALSE,ABS(DATE(YEAR(TodayDate),MONTH(K347),DAY(K347))-TodayDate)&lt;=7),"Birthday - send the treat","OK")))))))))</f>
        <v>0</v>
      </c>
    </row>
    <row r="348" spans="1:43">
      <c r="A348" s="28">
        <f>IF(B348="","",ClientPrefix&amp;TEXT(ROW()-4,"0000"))</f>
        <v>0</v>
      </c>
      <c r="J348" s="15">
        <f>IF(I348="","",IFERROR(INDEX(Staff!$B$5:$B$44,MATCH(I348,Staff!$A$5:$A$44,0)),"Not in Staff"))</f>
        <v>0</v>
      </c>
      <c r="T348" s="25">
        <f>IF(B348="","",COUNTIFS(Appointments!$E$5:$E$1204,A348,Appointments!$M$5:$M$1204,"Completed"))</f>
        <v>0</v>
      </c>
      <c r="U348" s="25">
        <f>IF(B348="","",COUNTIFS(Appointments!$E$5:$E$1204,A348,Appointments!$M$5:$M$1204,"Completed",Appointments!$B$5:$B$1204,"&gt;="&amp;TodayDate-365))</f>
        <v>0</v>
      </c>
      <c r="V348" s="25">
        <f>IF(B348="","",COUNTIFS(Appointments!$E$5:$E$1204,A348,Appointments!$M$5:$M$1204,"Cancelled"))</f>
        <v>0</v>
      </c>
      <c r="W348" s="25">
        <f>IF(B348="","",COUNTIFS(Appointments!$E$5:$E$1204,A348,Appointments!$M$5:$M$1204,"No show"))</f>
        <v>0</v>
      </c>
      <c r="X348" s="17">
        <f>IF(B348="","",IF(F348&lt;&gt;"",F348,IF(T348=0,"",SUMPRODUCT(MIN((Appointments!$E$5:$E$1204=A348)*(Appointments!$M$5:$M$1204="Completed")*Appointments!$B$5:$B$1204+(1-(Appointments!$E$5:$E$1204=A348)*(Appointments!$M$5:$M$1204="Completed"))*2958465)))))</f>
        <v>0</v>
      </c>
      <c r="Y348" s="17">
        <f>IF(B348="","",IF(T348=0,"",SUMPRODUCT(MAX((Appointments!$E$5:$E$1204=A348)*(Appointments!$M$5:$M$1204="Completed")*Appointments!$B$5:$B$1204))))</f>
        <v>0</v>
      </c>
      <c r="Z348" s="25">
        <f>IF(B348="","",IF(Y348="","",TodayDate-Y348))</f>
        <v>0</v>
      </c>
      <c r="AA348" s="42">
        <f>IF(B348="","",SUMPRODUCT(MIN((Appointments!$E$5:$E$1204=A348)*(Appointments!$M$5:$M$1204&lt;&gt;"Cancelled")*(Appointments!$M$5:$M$1204&lt;&gt;"Completed")*(Appointments!$M$5:$M$1204&lt;&gt;"No show")*(Appointments!$B$5:$B$1204&gt;=TodayDate)*Appointments!$B$5:$B$1204+(1-(Appointments!$E$5:$E$1204=A348)*(Appointments!$M$5:$M$1204&lt;&gt;"Cancelled")*(Appointments!$M$5:$M$1204&lt;&gt;"Completed")*(Appointments!$M$5:$M$1204&lt;&gt;"No show")*(Appointments!$B$5:$B$1204&gt;=TodayDate))*2958465)))</f>
        <v>0</v>
      </c>
      <c r="AB348" s="17">
        <f>IF(B348="","",IF(AA348&gt;=2958465,"",AA348))</f>
        <v>0</v>
      </c>
      <c r="AC348" s="25">
        <f>IF(B348="","",IF(T348&lt;2,"",ROUND((Y348-X348)/MAX(1,T348-1),0)))</f>
        <v>0</v>
      </c>
      <c r="AD348" s="17">
        <f>IF(B348="","",IF(Y348="","",Y348+IF(AC348="",RebookWeeks*7,MAX(14,AC348))))</f>
        <v>0</v>
      </c>
      <c r="AE348" s="26">
        <f>IF(B348="","",ROUND(SUMIFS(Sales!$Y$5:$Y$1204,Sales!$D$5:$D$1204,A348),2))</f>
        <v>0</v>
      </c>
      <c r="AF348" s="26">
        <f>IF(B348="","",ROUND(SUMIFS(Sales!$Y$5:$Y$1204,Sales!$D$5:$D$1204,A348,Sales!$H$5:$H$1204,"Service"),2))</f>
        <v>0</v>
      </c>
      <c r="AG348" s="26">
        <f>IF(B348="","",ROUND(SUMIFS(Sales!$Y$5:$Y$1204,Sales!$D$5:$D$1204,A348,Sales!$H$5:$H$1204,"Retail"),2))</f>
        <v>0</v>
      </c>
      <c r="AH348" s="26">
        <f>IF(B348="","",ROUND(SUMIFS(Sales!$Y$5:$Y$1204,Sales!$D$5:$D$1204,A348,Sales!$B$5:$B$1204,"&gt;="&amp;TodayDate-365),2))</f>
        <v>0</v>
      </c>
      <c r="AI348" s="26">
        <f>IF(B348="","",IF(T348=0,"",ROUND(AE348/T348,2)))</f>
        <v>0</v>
      </c>
      <c r="AJ348" s="26">
        <f>IF(B348="","",IF(AI348="","",IF(AC348="","",ROUND(AI348*(365/MAX(14,AC348)),2))))</f>
        <v>0</v>
      </c>
      <c r="AK348" s="26">
        <f>IF(B348="","",ROUND(SUMIFS(Sales!$AH$5:$AH$1204,Sales!$D$5:$D$1204,A348),2))</f>
        <v>0</v>
      </c>
      <c r="AL348" s="25">
        <f>IF(B348="","",IFERROR(INDEX(Loyalty!$P$5:$P$504,MATCH(A348,Loyalty!$B$5:$B$504,0))*1,0))</f>
        <v>0</v>
      </c>
      <c r="AM348" s="39">
        <f>IF(B348="","",IF(R348="Archived","Archived",IF(T348=0,"Not been yet",IF(Z348&gt;=InactiveDays,"Inactive",IF(Z348&gt;=LapsingDays,"Lapsing",IF(T348=1,"New",IF(AH348&gt;=VipSpend,"VIP",IF(U348&gt;=4,"Regular","Active"))))))))</f>
        <v>0</v>
      </c>
      <c r="AN348" s="38">
        <f>IF(B348="","",IF(T348&gt;=2,"Yes","No"))</f>
        <v>0</v>
      </c>
      <c r="AO348" s="25">
        <f>IF(B348="","",COUNTIFS($AE$5:$AE$504,"&gt;"&amp;AE348)+COUNTIFS($AE$5:AE348,AE348))</f>
        <v>0</v>
      </c>
      <c r="AP348" s="25">
        <f>IF(B348="","",COUNTIFS($T$5:$T$504,"&gt;"&amp;T348)+COUNTIFS($T$5:T348,T348))</f>
        <v>0</v>
      </c>
      <c r="AQ348" s="39">
        <f>IF(B348="","",IF(COUNTIF($B$5:$B$504,B348)&gt;1,"Duplicate - same name twice",IF(R348="Archived","",IF(AK348&gt;0.004,"Chase - balance outstanding",IF(AM348="Inactive","Gone - win-back offer",IF(AM348="Lapsing","Chase - lapsing, call them",IF(IF(N348="",FALSE,TodayDate-N348&gt;PatchTestDays),"Due - patch test out of date",IF(IF(AD348="",FALSE,IF(AB348&lt;&gt;"",FALSE,AD348&lt;=TodayDate+14)),"Rebook - due and nothing booked",IF(IF(K348="",FALSE,ABS(DATE(YEAR(TodayDate),MONTH(K348),DAY(K348))-TodayDate)&lt;=7),"Birthday - send the treat","OK")))))))))</f>
        <v>0</v>
      </c>
    </row>
    <row r="349" spans="1:43">
      <c r="A349" s="28">
        <f>IF(B349="","",ClientPrefix&amp;TEXT(ROW()-4,"0000"))</f>
        <v>0</v>
      </c>
      <c r="J349" s="15">
        <f>IF(I349="","",IFERROR(INDEX(Staff!$B$5:$B$44,MATCH(I349,Staff!$A$5:$A$44,0)),"Not in Staff"))</f>
        <v>0</v>
      </c>
      <c r="T349" s="25">
        <f>IF(B349="","",COUNTIFS(Appointments!$E$5:$E$1204,A349,Appointments!$M$5:$M$1204,"Completed"))</f>
        <v>0</v>
      </c>
      <c r="U349" s="25">
        <f>IF(B349="","",COUNTIFS(Appointments!$E$5:$E$1204,A349,Appointments!$M$5:$M$1204,"Completed",Appointments!$B$5:$B$1204,"&gt;="&amp;TodayDate-365))</f>
        <v>0</v>
      </c>
      <c r="V349" s="25">
        <f>IF(B349="","",COUNTIFS(Appointments!$E$5:$E$1204,A349,Appointments!$M$5:$M$1204,"Cancelled"))</f>
        <v>0</v>
      </c>
      <c r="W349" s="25">
        <f>IF(B349="","",COUNTIFS(Appointments!$E$5:$E$1204,A349,Appointments!$M$5:$M$1204,"No show"))</f>
        <v>0</v>
      </c>
      <c r="X349" s="17">
        <f>IF(B349="","",IF(F349&lt;&gt;"",F349,IF(T349=0,"",SUMPRODUCT(MIN((Appointments!$E$5:$E$1204=A349)*(Appointments!$M$5:$M$1204="Completed")*Appointments!$B$5:$B$1204+(1-(Appointments!$E$5:$E$1204=A349)*(Appointments!$M$5:$M$1204="Completed"))*2958465)))))</f>
        <v>0</v>
      </c>
      <c r="Y349" s="17">
        <f>IF(B349="","",IF(T349=0,"",SUMPRODUCT(MAX((Appointments!$E$5:$E$1204=A349)*(Appointments!$M$5:$M$1204="Completed")*Appointments!$B$5:$B$1204))))</f>
        <v>0</v>
      </c>
      <c r="Z349" s="25">
        <f>IF(B349="","",IF(Y349="","",TodayDate-Y349))</f>
        <v>0</v>
      </c>
      <c r="AA349" s="42">
        <f>IF(B349="","",SUMPRODUCT(MIN((Appointments!$E$5:$E$1204=A349)*(Appointments!$M$5:$M$1204&lt;&gt;"Cancelled")*(Appointments!$M$5:$M$1204&lt;&gt;"Completed")*(Appointments!$M$5:$M$1204&lt;&gt;"No show")*(Appointments!$B$5:$B$1204&gt;=TodayDate)*Appointments!$B$5:$B$1204+(1-(Appointments!$E$5:$E$1204=A349)*(Appointments!$M$5:$M$1204&lt;&gt;"Cancelled")*(Appointments!$M$5:$M$1204&lt;&gt;"Completed")*(Appointments!$M$5:$M$1204&lt;&gt;"No show")*(Appointments!$B$5:$B$1204&gt;=TodayDate))*2958465)))</f>
        <v>0</v>
      </c>
      <c r="AB349" s="17">
        <f>IF(B349="","",IF(AA349&gt;=2958465,"",AA349))</f>
        <v>0</v>
      </c>
      <c r="AC349" s="25">
        <f>IF(B349="","",IF(T349&lt;2,"",ROUND((Y349-X349)/MAX(1,T349-1),0)))</f>
        <v>0</v>
      </c>
      <c r="AD349" s="17">
        <f>IF(B349="","",IF(Y349="","",Y349+IF(AC349="",RebookWeeks*7,MAX(14,AC349))))</f>
        <v>0</v>
      </c>
      <c r="AE349" s="26">
        <f>IF(B349="","",ROUND(SUMIFS(Sales!$Y$5:$Y$1204,Sales!$D$5:$D$1204,A349),2))</f>
        <v>0</v>
      </c>
      <c r="AF349" s="26">
        <f>IF(B349="","",ROUND(SUMIFS(Sales!$Y$5:$Y$1204,Sales!$D$5:$D$1204,A349,Sales!$H$5:$H$1204,"Service"),2))</f>
        <v>0</v>
      </c>
      <c r="AG349" s="26">
        <f>IF(B349="","",ROUND(SUMIFS(Sales!$Y$5:$Y$1204,Sales!$D$5:$D$1204,A349,Sales!$H$5:$H$1204,"Retail"),2))</f>
        <v>0</v>
      </c>
      <c r="AH349" s="26">
        <f>IF(B349="","",ROUND(SUMIFS(Sales!$Y$5:$Y$1204,Sales!$D$5:$D$1204,A349,Sales!$B$5:$B$1204,"&gt;="&amp;TodayDate-365),2))</f>
        <v>0</v>
      </c>
      <c r="AI349" s="26">
        <f>IF(B349="","",IF(T349=0,"",ROUND(AE349/T349,2)))</f>
        <v>0</v>
      </c>
      <c r="AJ349" s="26">
        <f>IF(B349="","",IF(AI349="","",IF(AC349="","",ROUND(AI349*(365/MAX(14,AC349)),2))))</f>
        <v>0</v>
      </c>
      <c r="AK349" s="26">
        <f>IF(B349="","",ROUND(SUMIFS(Sales!$AH$5:$AH$1204,Sales!$D$5:$D$1204,A349),2))</f>
        <v>0</v>
      </c>
      <c r="AL349" s="25">
        <f>IF(B349="","",IFERROR(INDEX(Loyalty!$P$5:$P$504,MATCH(A349,Loyalty!$B$5:$B$504,0))*1,0))</f>
        <v>0</v>
      </c>
      <c r="AM349" s="39">
        <f>IF(B349="","",IF(R349="Archived","Archived",IF(T349=0,"Not been yet",IF(Z349&gt;=InactiveDays,"Inactive",IF(Z349&gt;=LapsingDays,"Lapsing",IF(T349=1,"New",IF(AH349&gt;=VipSpend,"VIP",IF(U349&gt;=4,"Regular","Active"))))))))</f>
        <v>0</v>
      </c>
      <c r="AN349" s="38">
        <f>IF(B349="","",IF(T349&gt;=2,"Yes","No"))</f>
        <v>0</v>
      </c>
      <c r="AO349" s="25">
        <f>IF(B349="","",COUNTIFS($AE$5:$AE$504,"&gt;"&amp;AE349)+COUNTIFS($AE$5:AE349,AE349))</f>
        <v>0</v>
      </c>
      <c r="AP349" s="25">
        <f>IF(B349="","",COUNTIFS($T$5:$T$504,"&gt;"&amp;T349)+COUNTIFS($T$5:T349,T349))</f>
        <v>0</v>
      </c>
      <c r="AQ349" s="39">
        <f>IF(B349="","",IF(COUNTIF($B$5:$B$504,B349)&gt;1,"Duplicate - same name twice",IF(R349="Archived","",IF(AK349&gt;0.004,"Chase - balance outstanding",IF(AM349="Inactive","Gone - win-back offer",IF(AM349="Lapsing","Chase - lapsing, call them",IF(IF(N349="",FALSE,TodayDate-N349&gt;PatchTestDays),"Due - patch test out of date",IF(IF(AD349="",FALSE,IF(AB349&lt;&gt;"",FALSE,AD349&lt;=TodayDate+14)),"Rebook - due and nothing booked",IF(IF(K349="",FALSE,ABS(DATE(YEAR(TodayDate),MONTH(K349),DAY(K349))-TodayDate)&lt;=7),"Birthday - send the treat","OK")))))))))</f>
        <v>0</v>
      </c>
    </row>
    <row r="350" spans="1:43">
      <c r="A350" s="28">
        <f>IF(B350="","",ClientPrefix&amp;TEXT(ROW()-4,"0000"))</f>
        <v>0</v>
      </c>
      <c r="J350" s="15">
        <f>IF(I350="","",IFERROR(INDEX(Staff!$B$5:$B$44,MATCH(I350,Staff!$A$5:$A$44,0)),"Not in Staff"))</f>
        <v>0</v>
      </c>
      <c r="T350" s="25">
        <f>IF(B350="","",COUNTIFS(Appointments!$E$5:$E$1204,A350,Appointments!$M$5:$M$1204,"Completed"))</f>
        <v>0</v>
      </c>
      <c r="U350" s="25">
        <f>IF(B350="","",COUNTIFS(Appointments!$E$5:$E$1204,A350,Appointments!$M$5:$M$1204,"Completed",Appointments!$B$5:$B$1204,"&gt;="&amp;TodayDate-365))</f>
        <v>0</v>
      </c>
      <c r="V350" s="25">
        <f>IF(B350="","",COUNTIFS(Appointments!$E$5:$E$1204,A350,Appointments!$M$5:$M$1204,"Cancelled"))</f>
        <v>0</v>
      </c>
      <c r="W350" s="25">
        <f>IF(B350="","",COUNTIFS(Appointments!$E$5:$E$1204,A350,Appointments!$M$5:$M$1204,"No show"))</f>
        <v>0</v>
      </c>
      <c r="X350" s="17">
        <f>IF(B350="","",IF(F350&lt;&gt;"",F350,IF(T350=0,"",SUMPRODUCT(MIN((Appointments!$E$5:$E$1204=A350)*(Appointments!$M$5:$M$1204="Completed")*Appointments!$B$5:$B$1204+(1-(Appointments!$E$5:$E$1204=A350)*(Appointments!$M$5:$M$1204="Completed"))*2958465)))))</f>
        <v>0</v>
      </c>
      <c r="Y350" s="17">
        <f>IF(B350="","",IF(T350=0,"",SUMPRODUCT(MAX((Appointments!$E$5:$E$1204=A350)*(Appointments!$M$5:$M$1204="Completed")*Appointments!$B$5:$B$1204))))</f>
        <v>0</v>
      </c>
      <c r="Z350" s="25">
        <f>IF(B350="","",IF(Y350="","",TodayDate-Y350))</f>
        <v>0</v>
      </c>
      <c r="AA350" s="42">
        <f>IF(B350="","",SUMPRODUCT(MIN((Appointments!$E$5:$E$1204=A350)*(Appointments!$M$5:$M$1204&lt;&gt;"Cancelled")*(Appointments!$M$5:$M$1204&lt;&gt;"Completed")*(Appointments!$M$5:$M$1204&lt;&gt;"No show")*(Appointments!$B$5:$B$1204&gt;=TodayDate)*Appointments!$B$5:$B$1204+(1-(Appointments!$E$5:$E$1204=A350)*(Appointments!$M$5:$M$1204&lt;&gt;"Cancelled")*(Appointments!$M$5:$M$1204&lt;&gt;"Completed")*(Appointments!$M$5:$M$1204&lt;&gt;"No show")*(Appointments!$B$5:$B$1204&gt;=TodayDate))*2958465)))</f>
        <v>0</v>
      </c>
      <c r="AB350" s="17">
        <f>IF(B350="","",IF(AA350&gt;=2958465,"",AA350))</f>
        <v>0</v>
      </c>
      <c r="AC350" s="25">
        <f>IF(B350="","",IF(T350&lt;2,"",ROUND((Y350-X350)/MAX(1,T350-1),0)))</f>
        <v>0</v>
      </c>
      <c r="AD350" s="17">
        <f>IF(B350="","",IF(Y350="","",Y350+IF(AC350="",RebookWeeks*7,MAX(14,AC350))))</f>
        <v>0</v>
      </c>
      <c r="AE350" s="26">
        <f>IF(B350="","",ROUND(SUMIFS(Sales!$Y$5:$Y$1204,Sales!$D$5:$D$1204,A350),2))</f>
        <v>0</v>
      </c>
      <c r="AF350" s="26">
        <f>IF(B350="","",ROUND(SUMIFS(Sales!$Y$5:$Y$1204,Sales!$D$5:$D$1204,A350,Sales!$H$5:$H$1204,"Service"),2))</f>
        <v>0</v>
      </c>
      <c r="AG350" s="26">
        <f>IF(B350="","",ROUND(SUMIFS(Sales!$Y$5:$Y$1204,Sales!$D$5:$D$1204,A350,Sales!$H$5:$H$1204,"Retail"),2))</f>
        <v>0</v>
      </c>
      <c r="AH350" s="26">
        <f>IF(B350="","",ROUND(SUMIFS(Sales!$Y$5:$Y$1204,Sales!$D$5:$D$1204,A350,Sales!$B$5:$B$1204,"&gt;="&amp;TodayDate-365),2))</f>
        <v>0</v>
      </c>
      <c r="AI350" s="26">
        <f>IF(B350="","",IF(T350=0,"",ROUND(AE350/T350,2)))</f>
        <v>0</v>
      </c>
      <c r="AJ350" s="26">
        <f>IF(B350="","",IF(AI350="","",IF(AC350="","",ROUND(AI350*(365/MAX(14,AC350)),2))))</f>
        <v>0</v>
      </c>
      <c r="AK350" s="26">
        <f>IF(B350="","",ROUND(SUMIFS(Sales!$AH$5:$AH$1204,Sales!$D$5:$D$1204,A350),2))</f>
        <v>0</v>
      </c>
      <c r="AL350" s="25">
        <f>IF(B350="","",IFERROR(INDEX(Loyalty!$P$5:$P$504,MATCH(A350,Loyalty!$B$5:$B$504,0))*1,0))</f>
        <v>0</v>
      </c>
      <c r="AM350" s="39">
        <f>IF(B350="","",IF(R350="Archived","Archived",IF(T350=0,"Not been yet",IF(Z350&gt;=InactiveDays,"Inactive",IF(Z350&gt;=LapsingDays,"Lapsing",IF(T350=1,"New",IF(AH350&gt;=VipSpend,"VIP",IF(U350&gt;=4,"Regular","Active"))))))))</f>
        <v>0</v>
      </c>
      <c r="AN350" s="38">
        <f>IF(B350="","",IF(T350&gt;=2,"Yes","No"))</f>
        <v>0</v>
      </c>
      <c r="AO350" s="25">
        <f>IF(B350="","",COUNTIFS($AE$5:$AE$504,"&gt;"&amp;AE350)+COUNTIFS($AE$5:AE350,AE350))</f>
        <v>0</v>
      </c>
      <c r="AP350" s="25">
        <f>IF(B350="","",COUNTIFS($T$5:$T$504,"&gt;"&amp;T350)+COUNTIFS($T$5:T350,T350))</f>
        <v>0</v>
      </c>
      <c r="AQ350" s="39">
        <f>IF(B350="","",IF(COUNTIF($B$5:$B$504,B350)&gt;1,"Duplicate - same name twice",IF(R350="Archived","",IF(AK350&gt;0.004,"Chase - balance outstanding",IF(AM350="Inactive","Gone - win-back offer",IF(AM350="Lapsing","Chase - lapsing, call them",IF(IF(N350="",FALSE,TodayDate-N350&gt;PatchTestDays),"Due - patch test out of date",IF(IF(AD350="",FALSE,IF(AB350&lt;&gt;"",FALSE,AD350&lt;=TodayDate+14)),"Rebook - due and nothing booked",IF(IF(K350="",FALSE,ABS(DATE(YEAR(TodayDate),MONTH(K350),DAY(K350))-TodayDate)&lt;=7),"Birthday - send the treat","OK")))))))))</f>
        <v>0</v>
      </c>
    </row>
    <row r="351" spans="1:43">
      <c r="A351" s="28">
        <f>IF(B351="","",ClientPrefix&amp;TEXT(ROW()-4,"0000"))</f>
        <v>0</v>
      </c>
      <c r="J351" s="15">
        <f>IF(I351="","",IFERROR(INDEX(Staff!$B$5:$B$44,MATCH(I351,Staff!$A$5:$A$44,0)),"Not in Staff"))</f>
        <v>0</v>
      </c>
      <c r="T351" s="25">
        <f>IF(B351="","",COUNTIFS(Appointments!$E$5:$E$1204,A351,Appointments!$M$5:$M$1204,"Completed"))</f>
        <v>0</v>
      </c>
      <c r="U351" s="25">
        <f>IF(B351="","",COUNTIFS(Appointments!$E$5:$E$1204,A351,Appointments!$M$5:$M$1204,"Completed",Appointments!$B$5:$B$1204,"&gt;="&amp;TodayDate-365))</f>
        <v>0</v>
      </c>
      <c r="V351" s="25">
        <f>IF(B351="","",COUNTIFS(Appointments!$E$5:$E$1204,A351,Appointments!$M$5:$M$1204,"Cancelled"))</f>
        <v>0</v>
      </c>
      <c r="W351" s="25">
        <f>IF(B351="","",COUNTIFS(Appointments!$E$5:$E$1204,A351,Appointments!$M$5:$M$1204,"No show"))</f>
        <v>0</v>
      </c>
      <c r="X351" s="17">
        <f>IF(B351="","",IF(F351&lt;&gt;"",F351,IF(T351=0,"",SUMPRODUCT(MIN((Appointments!$E$5:$E$1204=A351)*(Appointments!$M$5:$M$1204="Completed")*Appointments!$B$5:$B$1204+(1-(Appointments!$E$5:$E$1204=A351)*(Appointments!$M$5:$M$1204="Completed"))*2958465)))))</f>
        <v>0</v>
      </c>
      <c r="Y351" s="17">
        <f>IF(B351="","",IF(T351=0,"",SUMPRODUCT(MAX((Appointments!$E$5:$E$1204=A351)*(Appointments!$M$5:$M$1204="Completed")*Appointments!$B$5:$B$1204))))</f>
        <v>0</v>
      </c>
      <c r="Z351" s="25">
        <f>IF(B351="","",IF(Y351="","",TodayDate-Y351))</f>
        <v>0</v>
      </c>
      <c r="AA351" s="42">
        <f>IF(B351="","",SUMPRODUCT(MIN((Appointments!$E$5:$E$1204=A351)*(Appointments!$M$5:$M$1204&lt;&gt;"Cancelled")*(Appointments!$M$5:$M$1204&lt;&gt;"Completed")*(Appointments!$M$5:$M$1204&lt;&gt;"No show")*(Appointments!$B$5:$B$1204&gt;=TodayDate)*Appointments!$B$5:$B$1204+(1-(Appointments!$E$5:$E$1204=A351)*(Appointments!$M$5:$M$1204&lt;&gt;"Cancelled")*(Appointments!$M$5:$M$1204&lt;&gt;"Completed")*(Appointments!$M$5:$M$1204&lt;&gt;"No show")*(Appointments!$B$5:$B$1204&gt;=TodayDate))*2958465)))</f>
        <v>0</v>
      </c>
      <c r="AB351" s="17">
        <f>IF(B351="","",IF(AA351&gt;=2958465,"",AA351))</f>
        <v>0</v>
      </c>
      <c r="AC351" s="25">
        <f>IF(B351="","",IF(T351&lt;2,"",ROUND((Y351-X351)/MAX(1,T351-1),0)))</f>
        <v>0</v>
      </c>
      <c r="AD351" s="17">
        <f>IF(B351="","",IF(Y351="","",Y351+IF(AC351="",RebookWeeks*7,MAX(14,AC351))))</f>
        <v>0</v>
      </c>
      <c r="AE351" s="26">
        <f>IF(B351="","",ROUND(SUMIFS(Sales!$Y$5:$Y$1204,Sales!$D$5:$D$1204,A351),2))</f>
        <v>0</v>
      </c>
      <c r="AF351" s="26">
        <f>IF(B351="","",ROUND(SUMIFS(Sales!$Y$5:$Y$1204,Sales!$D$5:$D$1204,A351,Sales!$H$5:$H$1204,"Service"),2))</f>
        <v>0</v>
      </c>
      <c r="AG351" s="26">
        <f>IF(B351="","",ROUND(SUMIFS(Sales!$Y$5:$Y$1204,Sales!$D$5:$D$1204,A351,Sales!$H$5:$H$1204,"Retail"),2))</f>
        <v>0</v>
      </c>
      <c r="AH351" s="26">
        <f>IF(B351="","",ROUND(SUMIFS(Sales!$Y$5:$Y$1204,Sales!$D$5:$D$1204,A351,Sales!$B$5:$B$1204,"&gt;="&amp;TodayDate-365),2))</f>
        <v>0</v>
      </c>
      <c r="AI351" s="26">
        <f>IF(B351="","",IF(T351=0,"",ROUND(AE351/T351,2)))</f>
        <v>0</v>
      </c>
      <c r="AJ351" s="26">
        <f>IF(B351="","",IF(AI351="","",IF(AC351="","",ROUND(AI351*(365/MAX(14,AC351)),2))))</f>
        <v>0</v>
      </c>
      <c r="AK351" s="26">
        <f>IF(B351="","",ROUND(SUMIFS(Sales!$AH$5:$AH$1204,Sales!$D$5:$D$1204,A351),2))</f>
        <v>0</v>
      </c>
      <c r="AL351" s="25">
        <f>IF(B351="","",IFERROR(INDEX(Loyalty!$P$5:$P$504,MATCH(A351,Loyalty!$B$5:$B$504,0))*1,0))</f>
        <v>0</v>
      </c>
      <c r="AM351" s="39">
        <f>IF(B351="","",IF(R351="Archived","Archived",IF(T351=0,"Not been yet",IF(Z351&gt;=InactiveDays,"Inactive",IF(Z351&gt;=LapsingDays,"Lapsing",IF(T351=1,"New",IF(AH351&gt;=VipSpend,"VIP",IF(U351&gt;=4,"Regular","Active"))))))))</f>
        <v>0</v>
      </c>
      <c r="AN351" s="38">
        <f>IF(B351="","",IF(T351&gt;=2,"Yes","No"))</f>
        <v>0</v>
      </c>
      <c r="AO351" s="25">
        <f>IF(B351="","",COUNTIFS($AE$5:$AE$504,"&gt;"&amp;AE351)+COUNTIFS($AE$5:AE351,AE351))</f>
        <v>0</v>
      </c>
      <c r="AP351" s="25">
        <f>IF(B351="","",COUNTIFS($T$5:$T$504,"&gt;"&amp;T351)+COUNTIFS($T$5:T351,T351))</f>
        <v>0</v>
      </c>
      <c r="AQ351" s="39">
        <f>IF(B351="","",IF(COUNTIF($B$5:$B$504,B351)&gt;1,"Duplicate - same name twice",IF(R351="Archived","",IF(AK351&gt;0.004,"Chase - balance outstanding",IF(AM351="Inactive","Gone - win-back offer",IF(AM351="Lapsing","Chase - lapsing, call them",IF(IF(N351="",FALSE,TodayDate-N351&gt;PatchTestDays),"Due - patch test out of date",IF(IF(AD351="",FALSE,IF(AB351&lt;&gt;"",FALSE,AD351&lt;=TodayDate+14)),"Rebook - due and nothing booked",IF(IF(K351="",FALSE,ABS(DATE(YEAR(TodayDate),MONTH(K351),DAY(K351))-TodayDate)&lt;=7),"Birthday - send the treat","OK")))))))))</f>
        <v>0</v>
      </c>
    </row>
    <row r="352" spans="1:43">
      <c r="A352" s="28">
        <f>IF(B352="","",ClientPrefix&amp;TEXT(ROW()-4,"0000"))</f>
        <v>0</v>
      </c>
      <c r="J352" s="15">
        <f>IF(I352="","",IFERROR(INDEX(Staff!$B$5:$B$44,MATCH(I352,Staff!$A$5:$A$44,0)),"Not in Staff"))</f>
        <v>0</v>
      </c>
      <c r="T352" s="25">
        <f>IF(B352="","",COUNTIFS(Appointments!$E$5:$E$1204,A352,Appointments!$M$5:$M$1204,"Completed"))</f>
        <v>0</v>
      </c>
      <c r="U352" s="25">
        <f>IF(B352="","",COUNTIFS(Appointments!$E$5:$E$1204,A352,Appointments!$M$5:$M$1204,"Completed",Appointments!$B$5:$B$1204,"&gt;="&amp;TodayDate-365))</f>
        <v>0</v>
      </c>
      <c r="V352" s="25">
        <f>IF(B352="","",COUNTIFS(Appointments!$E$5:$E$1204,A352,Appointments!$M$5:$M$1204,"Cancelled"))</f>
        <v>0</v>
      </c>
      <c r="W352" s="25">
        <f>IF(B352="","",COUNTIFS(Appointments!$E$5:$E$1204,A352,Appointments!$M$5:$M$1204,"No show"))</f>
        <v>0</v>
      </c>
      <c r="X352" s="17">
        <f>IF(B352="","",IF(F352&lt;&gt;"",F352,IF(T352=0,"",SUMPRODUCT(MIN((Appointments!$E$5:$E$1204=A352)*(Appointments!$M$5:$M$1204="Completed")*Appointments!$B$5:$B$1204+(1-(Appointments!$E$5:$E$1204=A352)*(Appointments!$M$5:$M$1204="Completed"))*2958465)))))</f>
        <v>0</v>
      </c>
      <c r="Y352" s="17">
        <f>IF(B352="","",IF(T352=0,"",SUMPRODUCT(MAX((Appointments!$E$5:$E$1204=A352)*(Appointments!$M$5:$M$1204="Completed")*Appointments!$B$5:$B$1204))))</f>
        <v>0</v>
      </c>
      <c r="Z352" s="25">
        <f>IF(B352="","",IF(Y352="","",TodayDate-Y352))</f>
        <v>0</v>
      </c>
      <c r="AA352" s="42">
        <f>IF(B352="","",SUMPRODUCT(MIN((Appointments!$E$5:$E$1204=A352)*(Appointments!$M$5:$M$1204&lt;&gt;"Cancelled")*(Appointments!$M$5:$M$1204&lt;&gt;"Completed")*(Appointments!$M$5:$M$1204&lt;&gt;"No show")*(Appointments!$B$5:$B$1204&gt;=TodayDate)*Appointments!$B$5:$B$1204+(1-(Appointments!$E$5:$E$1204=A352)*(Appointments!$M$5:$M$1204&lt;&gt;"Cancelled")*(Appointments!$M$5:$M$1204&lt;&gt;"Completed")*(Appointments!$M$5:$M$1204&lt;&gt;"No show")*(Appointments!$B$5:$B$1204&gt;=TodayDate))*2958465)))</f>
        <v>0</v>
      </c>
      <c r="AB352" s="17">
        <f>IF(B352="","",IF(AA352&gt;=2958465,"",AA352))</f>
        <v>0</v>
      </c>
      <c r="AC352" s="25">
        <f>IF(B352="","",IF(T352&lt;2,"",ROUND((Y352-X352)/MAX(1,T352-1),0)))</f>
        <v>0</v>
      </c>
      <c r="AD352" s="17">
        <f>IF(B352="","",IF(Y352="","",Y352+IF(AC352="",RebookWeeks*7,MAX(14,AC352))))</f>
        <v>0</v>
      </c>
      <c r="AE352" s="26">
        <f>IF(B352="","",ROUND(SUMIFS(Sales!$Y$5:$Y$1204,Sales!$D$5:$D$1204,A352),2))</f>
        <v>0</v>
      </c>
      <c r="AF352" s="26">
        <f>IF(B352="","",ROUND(SUMIFS(Sales!$Y$5:$Y$1204,Sales!$D$5:$D$1204,A352,Sales!$H$5:$H$1204,"Service"),2))</f>
        <v>0</v>
      </c>
      <c r="AG352" s="26">
        <f>IF(B352="","",ROUND(SUMIFS(Sales!$Y$5:$Y$1204,Sales!$D$5:$D$1204,A352,Sales!$H$5:$H$1204,"Retail"),2))</f>
        <v>0</v>
      </c>
      <c r="AH352" s="26">
        <f>IF(B352="","",ROUND(SUMIFS(Sales!$Y$5:$Y$1204,Sales!$D$5:$D$1204,A352,Sales!$B$5:$B$1204,"&gt;="&amp;TodayDate-365),2))</f>
        <v>0</v>
      </c>
      <c r="AI352" s="26">
        <f>IF(B352="","",IF(T352=0,"",ROUND(AE352/T352,2)))</f>
        <v>0</v>
      </c>
      <c r="AJ352" s="26">
        <f>IF(B352="","",IF(AI352="","",IF(AC352="","",ROUND(AI352*(365/MAX(14,AC352)),2))))</f>
        <v>0</v>
      </c>
      <c r="AK352" s="26">
        <f>IF(B352="","",ROUND(SUMIFS(Sales!$AH$5:$AH$1204,Sales!$D$5:$D$1204,A352),2))</f>
        <v>0</v>
      </c>
      <c r="AL352" s="25">
        <f>IF(B352="","",IFERROR(INDEX(Loyalty!$P$5:$P$504,MATCH(A352,Loyalty!$B$5:$B$504,0))*1,0))</f>
        <v>0</v>
      </c>
      <c r="AM352" s="39">
        <f>IF(B352="","",IF(R352="Archived","Archived",IF(T352=0,"Not been yet",IF(Z352&gt;=InactiveDays,"Inactive",IF(Z352&gt;=LapsingDays,"Lapsing",IF(T352=1,"New",IF(AH352&gt;=VipSpend,"VIP",IF(U352&gt;=4,"Regular","Active"))))))))</f>
        <v>0</v>
      </c>
      <c r="AN352" s="38">
        <f>IF(B352="","",IF(T352&gt;=2,"Yes","No"))</f>
        <v>0</v>
      </c>
      <c r="AO352" s="25">
        <f>IF(B352="","",COUNTIFS($AE$5:$AE$504,"&gt;"&amp;AE352)+COUNTIFS($AE$5:AE352,AE352))</f>
        <v>0</v>
      </c>
      <c r="AP352" s="25">
        <f>IF(B352="","",COUNTIFS($T$5:$T$504,"&gt;"&amp;T352)+COUNTIFS($T$5:T352,T352))</f>
        <v>0</v>
      </c>
      <c r="AQ352" s="39">
        <f>IF(B352="","",IF(COUNTIF($B$5:$B$504,B352)&gt;1,"Duplicate - same name twice",IF(R352="Archived","",IF(AK352&gt;0.004,"Chase - balance outstanding",IF(AM352="Inactive","Gone - win-back offer",IF(AM352="Lapsing","Chase - lapsing, call them",IF(IF(N352="",FALSE,TodayDate-N352&gt;PatchTestDays),"Due - patch test out of date",IF(IF(AD352="",FALSE,IF(AB352&lt;&gt;"",FALSE,AD352&lt;=TodayDate+14)),"Rebook - due and nothing booked",IF(IF(K352="",FALSE,ABS(DATE(YEAR(TodayDate),MONTH(K352),DAY(K352))-TodayDate)&lt;=7),"Birthday - send the treat","OK")))))))))</f>
        <v>0</v>
      </c>
    </row>
    <row r="353" spans="1:43">
      <c r="A353" s="28">
        <f>IF(B353="","",ClientPrefix&amp;TEXT(ROW()-4,"0000"))</f>
        <v>0</v>
      </c>
      <c r="J353" s="15">
        <f>IF(I353="","",IFERROR(INDEX(Staff!$B$5:$B$44,MATCH(I353,Staff!$A$5:$A$44,0)),"Not in Staff"))</f>
        <v>0</v>
      </c>
      <c r="T353" s="25">
        <f>IF(B353="","",COUNTIFS(Appointments!$E$5:$E$1204,A353,Appointments!$M$5:$M$1204,"Completed"))</f>
        <v>0</v>
      </c>
      <c r="U353" s="25">
        <f>IF(B353="","",COUNTIFS(Appointments!$E$5:$E$1204,A353,Appointments!$M$5:$M$1204,"Completed",Appointments!$B$5:$B$1204,"&gt;="&amp;TodayDate-365))</f>
        <v>0</v>
      </c>
      <c r="V353" s="25">
        <f>IF(B353="","",COUNTIFS(Appointments!$E$5:$E$1204,A353,Appointments!$M$5:$M$1204,"Cancelled"))</f>
        <v>0</v>
      </c>
      <c r="W353" s="25">
        <f>IF(B353="","",COUNTIFS(Appointments!$E$5:$E$1204,A353,Appointments!$M$5:$M$1204,"No show"))</f>
        <v>0</v>
      </c>
      <c r="X353" s="17">
        <f>IF(B353="","",IF(F353&lt;&gt;"",F353,IF(T353=0,"",SUMPRODUCT(MIN((Appointments!$E$5:$E$1204=A353)*(Appointments!$M$5:$M$1204="Completed")*Appointments!$B$5:$B$1204+(1-(Appointments!$E$5:$E$1204=A353)*(Appointments!$M$5:$M$1204="Completed"))*2958465)))))</f>
        <v>0</v>
      </c>
      <c r="Y353" s="17">
        <f>IF(B353="","",IF(T353=0,"",SUMPRODUCT(MAX((Appointments!$E$5:$E$1204=A353)*(Appointments!$M$5:$M$1204="Completed")*Appointments!$B$5:$B$1204))))</f>
        <v>0</v>
      </c>
      <c r="Z353" s="25">
        <f>IF(B353="","",IF(Y353="","",TodayDate-Y353))</f>
        <v>0</v>
      </c>
      <c r="AA353" s="42">
        <f>IF(B353="","",SUMPRODUCT(MIN((Appointments!$E$5:$E$1204=A353)*(Appointments!$M$5:$M$1204&lt;&gt;"Cancelled")*(Appointments!$M$5:$M$1204&lt;&gt;"Completed")*(Appointments!$M$5:$M$1204&lt;&gt;"No show")*(Appointments!$B$5:$B$1204&gt;=TodayDate)*Appointments!$B$5:$B$1204+(1-(Appointments!$E$5:$E$1204=A353)*(Appointments!$M$5:$M$1204&lt;&gt;"Cancelled")*(Appointments!$M$5:$M$1204&lt;&gt;"Completed")*(Appointments!$M$5:$M$1204&lt;&gt;"No show")*(Appointments!$B$5:$B$1204&gt;=TodayDate))*2958465)))</f>
        <v>0</v>
      </c>
      <c r="AB353" s="17">
        <f>IF(B353="","",IF(AA353&gt;=2958465,"",AA353))</f>
        <v>0</v>
      </c>
      <c r="AC353" s="25">
        <f>IF(B353="","",IF(T353&lt;2,"",ROUND((Y353-X353)/MAX(1,T353-1),0)))</f>
        <v>0</v>
      </c>
      <c r="AD353" s="17">
        <f>IF(B353="","",IF(Y353="","",Y353+IF(AC353="",RebookWeeks*7,MAX(14,AC353))))</f>
        <v>0</v>
      </c>
      <c r="AE353" s="26">
        <f>IF(B353="","",ROUND(SUMIFS(Sales!$Y$5:$Y$1204,Sales!$D$5:$D$1204,A353),2))</f>
        <v>0</v>
      </c>
      <c r="AF353" s="26">
        <f>IF(B353="","",ROUND(SUMIFS(Sales!$Y$5:$Y$1204,Sales!$D$5:$D$1204,A353,Sales!$H$5:$H$1204,"Service"),2))</f>
        <v>0</v>
      </c>
      <c r="AG353" s="26">
        <f>IF(B353="","",ROUND(SUMIFS(Sales!$Y$5:$Y$1204,Sales!$D$5:$D$1204,A353,Sales!$H$5:$H$1204,"Retail"),2))</f>
        <v>0</v>
      </c>
      <c r="AH353" s="26">
        <f>IF(B353="","",ROUND(SUMIFS(Sales!$Y$5:$Y$1204,Sales!$D$5:$D$1204,A353,Sales!$B$5:$B$1204,"&gt;="&amp;TodayDate-365),2))</f>
        <v>0</v>
      </c>
      <c r="AI353" s="26">
        <f>IF(B353="","",IF(T353=0,"",ROUND(AE353/T353,2)))</f>
        <v>0</v>
      </c>
      <c r="AJ353" s="26">
        <f>IF(B353="","",IF(AI353="","",IF(AC353="","",ROUND(AI353*(365/MAX(14,AC353)),2))))</f>
        <v>0</v>
      </c>
      <c r="AK353" s="26">
        <f>IF(B353="","",ROUND(SUMIFS(Sales!$AH$5:$AH$1204,Sales!$D$5:$D$1204,A353),2))</f>
        <v>0</v>
      </c>
      <c r="AL353" s="25">
        <f>IF(B353="","",IFERROR(INDEX(Loyalty!$P$5:$P$504,MATCH(A353,Loyalty!$B$5:$B$504,0))*1,0))</f>
        <v>0</v>
      </c>
      <c r="AM353" s="39">
        <f>IF(B353="","",IF(R353="Archived","Archived",IF(T353=0,"Not been yet",IF(Z353&gt;=InactiveDays,"Inactive",IF(Z353&gt;=LapsingDays,"Lapsing",IF(T353=1,"New",IF(AH353&gt;=VipSpend,"VIP",IF(U353&gt;=4,"Regular","Active"))))))))</f>
        <v>0</v>
      </c>
      <c r="AN353" s="38">
        <f>IF(B353="","",IF(T353&gt;=2,"Yes","No"))</f>
        <v>0</v>
      </c>
      <c r="AO353" s="25">
        <f>IF(B353="","",COUNTIFS($AE$5:$AE$504,"&gt;"&amp;AE353)+COUNTIFS($AE$5:AE353,AE353))</f>
        <v>0</v>
      </c>
      <c r="AP353" s="25">
        <f>IF(B353="","",COUNTIFS($T$5:$T$504,"&gt;"&amp;T353)+COUNTIFS($T$5:T353,T353))</f>
        <v>0</v>
      </c>
      <c r="AQ353" s="39">
        <f>IF(B353="","",IF(COUNTIF($B$5:$B$504,B353)&gt;1,"Duplicate - same name twice",IF(R353="Archived","",IF(AK353&gt;0.004,"Chase - balance outstanding",IF(AM353="Inactive","Gone - win-back offer",IF(AM353="Lapsing","Chase - lapsing, call them",IF(IF(N353="",FALSE,TodayDate-N353&gt;PatchTestDays),"Due - patch test out of date",IF(IF(AD353="",FALSE,IF(AB353&lt;&gt;"",FALSE,AD353&lt;=TodayDate+14)),"Rebook - due and nothing booked",IF(IF(K353="",FALSE,ABS(DATE(YEAR(TodayDate),MONTH(K353),DAY(K353))-TodayDate)&lt;=7),"Birthday - send the treat","OK")))))))))</f>
        <v>0</v>
      </c>
    </row>
    <row r="354" spans="1:43">
      <c r="A354" s="28">
        <f>IF(B354="","",ClientPrefix&amp;TEXT(ROW()-4,"0000"))</f>
        <v>0</v>
      </c>
      <c r="J354" s="15">
        <f>IF(I354="","",IFERROR(INDEX(Staff!$B$5:$B$44,MATCH(I354,Staff!$A$5:$A$44,0)),"Not in Staff"))</f>
        <v>0</v>
      </c>
      <c r="T354" s="25">
        <f>IF(B354="","",COUNTIFS(Appointments!$E$5:$E$1204,A354,Appointments!$M$5:$M$1204,"Completed"))</f>
        <v>0</v>
      </c>
      <c r="U354" s="25">
        <f>IF(B354="","",COUNTIFS(Appointments!$E$5:$E$1204,A354,Appointments!$M$5:$M$1204,"Completed",Appointments!$B$5:$B$1204,"&gt;="&amp;TodayDate-365))</f>
        <v>0</v>
      </c>
      <c r="V354" s="25">
        <f>IF(B354="","",COUNTIFS(Appointments!$E$5:$E$1204,A354,Appointments!$M$5:$M$1204,"Cancelled"))</f>
        <v>0</v>
      </c>
      <c r="W354" s="25">
        <f>IF(B354="","",COUNTIFS(Appointments!$E$5:$E$1204,A354,Appointments!$M$5:$M$1204,"No show"))</f>
        <v>0</v>
      </c>
      <c r="X354" s="17">
        <f>IF(B354="","",IF(F354&lt;&gt;"",F354,IF(T354=0,"",SUMPRODUCT(MIN((Appointments!$E$5:$E$1204=A354)*(Appointments!$M$5:$M$1204="Completed")*Appointments!$B$5:$B$1204+(1-(Appointments!$E$5:$E$1204=A354)*(Appointments!$M$5:$M$1204="Completed"))*2958465)))))</f>
        <v>0</v>
      </c>
      <c r="Y354" s="17">
        <f>IF(B354="","",IF(T354=0,"",SUMPRODUCT(MAX((Appointments!$E$5:$E$1204=A354)*(Appointments!$M$5:$M$1204="Completed")*Appointments!$B$5:$B$1204))))</f>
        <v>0</v>
      </c>
      <c r="Z354" s="25">
        <f>IF(B354="","",IF(Y354="","",TodayDate-Y354))</f>
        <v>0</v>
      </c>
      <c r="AA354" s="42">
        <f>IF(B354="","",SUMPRODUCT(MIN((Appointments!$E$5:$E$1204=A354)*(Appointments!$M$5:$M$1204&lt;&gt;"Cancelled")*(Appointments!$M$5:$M$1204&lt;&gt;"Completed")*(Appointments!$M$5:$M$1204&lt;&gt;"No show")*(Appointments!$B$5:$B$1204&gt;=TodayDate)*Appointments!$B$5:$B$1204+(1-(Appointments!$E$5:$E$1204=A354)*(Appointments!$M$5:$M$1204&lt;&gt;"Cancelled")*(Appointments!$M$5:$M$1204&lt;&gt;"Completed")*(Appointments!$M$5:$M$1204&lt;&gt;"No show")*(Appointments!$B$5:$B$1204&gt;=TodayDate))*2958465)))</f>
        <v>0</v>
      </c>
      <c r="AB354" s="17">
        <f>IF(B354="","",IF(AA354&gt;=2958465,"",AA354))</f>
        <v>0</v>
      </c>
      <c r="AC354" s="25">
        <f>IF(B354="","",IF(T354&lt;2,"",ROUND((Y354-X354)/MAX(1,T354-1),0)))</f>
        <v>0</v>
      </c>
      <c r="AD354" s="17">
        <f>IF(B354="","",IF(Y354="","",Y354+IF(AC354="",RebookWeeks*7,MAX(14,AC354))))</f>
        <v>0</v>
      </c>
      <c r="AE354" s="26">
        <f>IF(B354="","",ROUND(SUMIFS(Sales!$Y$5:$Y$1204,Sales!$D$5:$D$1204,A354),2))</f>
        <v>0</v>
      </c>
      <c r="AF354" s="26">
        <f>IF(B354="","",ROUND(SUMIFS(Sales!$Y$5:$Y$1204,Sales!$D$5:$D$1204,A354,Sales!$H$5:$H$1204,"Service"),2))</f>
        <v>0</v>
      </c>
      <c r="AG354" s="26">
        <f>IF(B354="","",ROUND(SUMIFS(Sales!$Y$5:$Y$1204,Sales!$D$5:$D$1204,A354,Sales!$H$5:$H$1204,"Retail"),2))</f>
        <v>0</v>
      </c>
      <c r="AH354" s="26">
        <f>IF(B354="","",ROUND(SUMIFS(Sales!$Y$5:$Y$1204,Sales!$D$5:$D$1204,A354,Sales!$B$5:$B$1204,"&gt;="&amp;TodayDate-365),2))</f>
        <v>0</v>
      </c>
      <c r="AI354" s="26">
        <f>IF(B354="","",IF(T354=0,"",ROUND(AE354/T354,2)))</f>
        <v>0</v>
      </c>
      <c r="AJ354" s="26">
        <f>IF(B354="","",IF(AI354="","",IF(AC354="","",ROUND(AI354*(365/MAX(14,AC354)),2))))</f>
        <v>0</v>
      </c>
      <c r="AK354" s="26">
        <f>IF(B354="","",ROUND(SUMIFS(Sales!$AH$5:$AH$1204,Sales!$D$5:$D$1204,A354),2))</f>
        <v>0</v>
      </c>
      <c r="AL354" s="25">
        <f>IF(B354="","",IFERROR(INDEX(Loyalty!$P$5:$P$504,MATCH(A354,Loyalty!$B$5:$B$504,0))*1,0))</f>
        <v>0</v>
      </c>
      <c r="AM354" s="39">
        <f>IF(B354="","",IF(R354="Archived","Archived",IF(T354=0,"Not been yet",IF(Z354&gt;=InactiveDays,"Inactive",IF(Z354&gt;=LapsingDays,"Lapsing",IF(T354=1,"New",IF(AH354&gt;=VipSpend,"VIP",IF(U354&gt;=4,"Regular","Active"))))))))</f>
        <v>0</v>
      </c>
      <c r="AN354" s="38">
        <f>IF(B354="","",IF(T354&gt;=2,"Yes","No"))</f>
        <v>0</v>
      </c>
      <c r="AO354" s="25">
        <f>IF(B354="","",COUNTIFS($AE$5:$AE$504,"&gt;"&amp;AE354)+COUNTIFS($AE$5:AE354,AE354))</f>
        <v>0</v>
      </c>
      <c r="AP354" s="25">
        <f>IF(B354="","",COUNTIFS($T$5:$T$504,"&gt;"&amp;T354)+COUNTIFS($T$5:T354,T354))</f>
        <v>0</v>
      </c>
      <c r="AQ354" s="39">
        <f>IF(B354="","",IF(COUNTIF($B$5:$B$504,B354)&gt;1,"Duplicate - same name twice",IF(R354="Archived","",IF(AK354&gt;0.004,"Chase - balance outstanding",IF(AM354="Inactive","Gone - win-back offer",IF(AM354="Lapsing","Chase - lapsing, call them",IF(IF(N354="",FALSE,TodayDate-N354&gt;PatchTestDays),"Due - patch test out of date",IF(IF(AD354="",FALSE,IF(AB354&lt;&gt;"",FALSE,AD354&lt;=TodayDate+14)),"Rebook - due and nothing booked",IF(IF(K354="",FALSE,ABS(DATE(YEAR(TodayDate),MONTH(K354),DAY(K354))-TodayDate)&lt;=7),"Birthday - send the treat","OK")))))))))</f>
        <v>0</v>
      </c>
    </row>
    <row r="355" spans="1:43">
      <c r="A355" s="28">
        <f>IF(B355="","",ClientPrefix&amp;TEXT(ROW()-4,"0000"))</f>
        <v>0</v>
      </c>
      <c r="J355" s="15">
        <f>IF(I355="","",IFERROR(INDEX(Staff!$B$5:$B$44,MATCH(I355,Staff!$A$5:$A$44,0)),"Not in Staff"))</f>
        <v>0</v>
      </c>
      <c r="T355" s="25">
        <f>IF(B355="","",COUNTIFS(Appointments!$E$5:$E$1204,A355,Appointments!$M$5:$M$1204,"Completed"))</f>
        <v>0</v>
      </c>
      <c r="U355" s="25">
        <f>IF(B355="","",COUNTIFS(Appointments!$E$5:$E$1204,A355,Appointments!$M$5:$M$1204,"Completed",Appointments!$B$5:$B$1204,"&gt;="&amp;TodayDate-365))</f>
        <v>0</v>
      </c>
      <c r="V355" s="25">
        <f>IF(B355="","",COUNTIFS(Appointments!$E$5:$E$1204,A355,Appointments!$M$5:$M$1204,"Cancelled"))</f>
        <v>0</v>
      </c>
      <c r="W355" s="25">
        <f>IF(B355="","",COUNTIFS(Appointments!$E$5:$E$1204,A355,Appointments!$M$5:$M$1204,"No show"))</f>
        <v>0</v>
      </c>
      <c r="X355" s="17">
        <f>IF(B355="","",IF(F355&lt;&gt;"",F355,IF(T355=0,"",SUMPRODUCT(MIN((Appointments!$E$5:$E$1204=A355)*(Appointments!$M$5:$M$1204="Completed")*Appointments!$B$5:$B$1204+(1-(Appointments!$E$5:$E$1204=A355)*(Appointments!$M$5:$M$1204="Completed"))*2958465)))))</f>
        <v>0</v>
      </c>
      <c r="Y355" s="17">
        <f>IF(B355="","",IF(T355=0,"",SUMPRODUCT(MAX((Appointments!$E$5:$E$1204=A355)*(Appointments!$M$5:$M$1204="Completed")*Appointments!$B$5:$B$1204))))</f>
        <v>0</v>
      </c>
      <c r="Z355" s="25">
        <f>IF(B355="","",IF(Y355="","",TodayDate-Y355))</f>
        <v>0</v>
      </c>
      <c r="AA355" s="42">
        <f>IF(B355="","",SUMPRODUCT(MIN((Appointments!$E$5:$E$1204=A355)*(Appointments!$M$5:$M$1204&lt;&gt;"Cancelled")*(Appointments!$M$5:$M$1204&lt;&gt;"Completed")*(Appointments!$M$5:$M$1204&lt;&gt;"No show")*(Appointments!$B$5:$B$1204&gt;=TodayDate)*Appointments!$B$5:$B$1204+(1-(Appointments!$E$5:$E$1204=A355)*(Appointments!$M$5:$M$1204&lt;&gt;"Cancelled")*(Appointments!$M$5:$M$1204&lt;&gt;"Completed")*(Appointments!$M$5:$M$1204&lt;&gt;"No show")*(Appointments!$B$5:$B$1204&gt;=TodayDate))*2958465)))</f>
        <v>0</v>
      </c>
      <c r="AB355" s="17">
        <f>IF(B355="","",IF(AA355&gt;=2958465,"",AA355))</f>
        <v>0</v>
      </c>
      <c r="AC355" s="25">
        <f>IF(B355="","",IF(T355&lt;2,"",ROUND((Y355-X355)/MAX(1,T355-1),0)))</f>
        <v>0</v>
      </c>
      <c r="AD355" s="17">
        <f>IF(B355="","",IF(Y355="","",Y355+IF(AC355="",RebookWeeks*7,MAX(14,AC355))))</f>
        <v>0</v>
      </c>
      <c r="AE355" s="26">
        <f>IF(B355="","",ROUND(SUMIFS(Sales!$Y$5:$Y$1204,Sales!$D$5:$D$1204,A355),2))</f>
        <v>0</v>
      </c>
      <c r="AF355" s="26">
        <f>IF(B355="","",ROUND(SUMIFS(Sales!$Y$5:$Y$1204,Sales!$D$5:$D$1204,A355,Sales!$H$5:$H$1204,"Service"),2))</f>
        <v>0</v>
      </c>
      <c r="AG355" s="26">
        <f>IF(B355="","",ROUND(SUMIFS(Sales!$Y$5:$Y$1204,Sales!$D$5:$D$1204,A355,Sales!$H$5:$H$1204,"Retail"),2))</f>
        <v>0</v>
      </c>
      <c r="AH355" s="26">
        <f>IF(B355="","",ROUND(SUMIFS(Sales!$Y$5:$Y$1204,Sales!$D$5:$D$1204,A355,Sales!$B$5:$B$1204,"&gt;="&amp;TodayDate-365),2))</f>
        <v>0</v>
      </c>
      <c r="AI355" s="26">
        <f>IF(B355="","",IF(T355=0,"",ROUND(AE355/T355,2)))</f>
        <v>0</v>
      </c>
      <c r="AJ355" s="26">
        <f>IF(B355="","",IF(AI355="","",IF(AC355="","",ROUND(AI355*(365/MAX(14,AC355)),2))))</f>
        <v>0</v>
      </c>
      <c r="AK355" s="26">
        <f>IF(B355="","",ROUND(SUMIFS(Sales!$AH$5:$AH$1204,Sales!$D$5:$D$1204,A355),2))</f>
        <v>0</v>
      </c>
      <c r="AL355" s="25">
        <f>IF(B355="","",IFERROR(INDEX(Loyalty!$P$5:$P$504,MATCH(A355,Loyalty!$B$5:$B$504,0))*1,0))</f>
        <v>0</v>
      </c>
      <c r="AM355" s="39">
        <f>IF(B355="","",IF(R355="Archived","Archived",IF(T355=0,"Not been yet",IF(Z355&gt;=InactiveDays,"Inactive",IF(Z355&gt;=LapsingDays,"Lapsing",IF(T355=1,"New",IF(AH355&gt;=VipSpend,"VIP",IF(U355&gt;=4,"Regular","Active"))))))))</f>
        <v>0</v>
      </c>
      <c r="AN355" s="38">
        <f>IF(B355="","",IF(T355&gt;=2,"Yes","No"))</f>
        <v>0</v>
      </c>
      <c r="AO355" s="25">
        <f>IF(B355="","",COUNTIFS($AE$5:$AE$504,"&gt;"&amp;AE355)+COUNTIFS($AE$5:AE355,AE355))</f>
        <v>0</v>
      </c>
      <c r="AP355" s="25">
        <f>IF(B355="","",COUNTIFS($T$5:$T$504,"&gt;"&amp;T355)+COUNTIFS($T$5:T355,T355))</f>
        <v>0</v>
      </c>
      <c r="AQ355" s="39">
        <f>IF(B355="","",IF(COUNTIF($B$5:$B$504,B355)&gt;1,"Duplicate - same name twice",IF(R355="Archived","",IF(AK355&gt;0.004,"Chase - balance outstanding",IF(AM355="Inactive","Gone - win-back offer",IF(AM355="Lapsing","Chase - lapsing, call them",IF(IF(N355="",FALSE,TodayDate-N355&gt;PatchTestDays),"Due - patch test out of date",IF(IF(AD355="",FALSE,IF(AB355&lt;&gt;"",FALSE,AD355&lt;=TodayDate+14)),"Rebook - due and nothing booked",IF(IF(K355="",FALSE,ABS(DATE(YEAR(TodayDate),MONTH(K355),DAY(K355))-TodayDate)&lt;=7),"Birthday - send the treat","OK")))))))))</f>
        <v>0</v>
      </c>
    </row>
    <row r="356" spans="1:43">
      <c r="A356" s="28">
        <f>IF(B356="","",ClientPrefix&amp;TEXT(ROW()-4,"0000"))</f>
        <v>0</v>
      </c>
      <c r="J356" s="15">
        <f>IF(I356="","",IFERROR(INDEX(Staff!$B$5:$B$44,MATCH(I356,Staff!$A$5:$A$44,0)),"Not in Staff"))</f>
        <v>0</v>
      </c>
      <c r="T356" s="25">
        <f>IF(B356="","",COUNTIFS(Appointments!$E$5:$E$1204,A356,Appointments!$M$5:$M$1204,"Completed"))</f>
        <v>0</v>
      </c>
      <c r="U356" s="25">
        <f>IF(B356="","",COUNTIFS(Appointments!$E$5:$E$1204,A356,Appointments!$M$5:$M$1204,"Completed",Appointments!$B$5:$B$1204,"&gt;="&amp;TodayDate-365))</f>
        <v>0</v>
      </c>
      <c r="V356" s="25">
        <f>IF(B356="","",COUNTIFS(Appointments!$E$5:$E$1204,A356,Appointments!$M$5:$M$1204,"Cancelled"))</f>
        <v>0</v>
      </c>
      <c r="W356" s="25">
        <f>IF(B356="","",COUNTIFS(Appointments!$E$5:$E$1204,A356,Appointments!$M$5:$M$1204,"No show"))</f>
        <v>0</v>
      </c>
      <c r="X356" s="17">
        <f>IF(B356="","",IF(F356&lt;&gt;"",F356,IF(T356=0,"",SUMPRODUCT(MIN((Appointments!$E$5:$E$1204=A356)*(Appointments!$M$5:$M$1204="Completed")*Appointments!$B$5:$B$1204+(1-(Appointments!$E$5:$E$1204=A356)*(Appointments!$M$5:$M$1204="Completed"))*2958465)))))</f>
        <v>0</v>
      </c>
      <c r="Y356" s="17">
        <f>IF(B356="","",IF(T356=0,"",SUMPRODUCT(MAX((Appointments!$E$5:$E$1204=A356)*(Appointments!$M$5:$M$1204="Completed")*Appointments!$B$5:$B$1204))))</f>
        <v>0</v>
      </c>
      <c r="Z356" s="25">
        <f>IF(B356="","",IF(Y356="","",TodayDate-Y356))</f>
        <v>0</v>
      </c>
      <c r="AA356" s="42">
        <f>IF(B356="","",SUMPRODUCT(MIN((Appointments!$E$5:$E$1204=A356)*(Appointments!$M$5:$M$1204&lt;&gt;"Cancelled")*(Appointments!$M$5:$M$1204&lt;&gt;"Completed")*(Appointments!$M$5:$M$1204&lt;&gt;"No show")*(Appointments!$B$5:$B$1204&gt;=TodayDate)*Appointments!$B$5:$B$1204+(1-(Appointments!$E$5:$E$1204=A356)*(Appointments!$M$5:$M$1204&lt;&gt;"Cancelled")*(Appointments!$M$5:$M$1204&lt;&gt;"Completed")*(Appointments!$M$5:$M$1204&lt;&gt;"No show")*(Appointments!$B$5:$B$1204&gt;=TodayDate))*2958465)))</f>
        <v>0</v>
      </c>
      <c r="AB356" s="17">
        <f>IF(B356="","",IF(AA356&gt;=2958465,"",AA356))</f>
        <v>0</v>
      </c>
      <c r="AC356" s="25">
        <f>IF(B356="","",IF(T356&lt;2,"",ROUND((Y356-X356)/MAX(1,T356-1),0)))</f>
        <v>0</v>
      </c>
      <c r="AD356" s="17">
        <f>IF(B356="","",IF(Y356="","",Y356+IF(AC356="",RebookWeeks*7,MAX(14,AC356))))</f>
        <v>0</v>
      </c>
      <c r="AE356" s="26">
        <f>IF(B356="","",ROUND(SUMIFS(Sales!$Y$5:$Y$1204,Sales!$D$5:$D$1204,A356),2))</f>
        <v>0</v>
      </c>
      <c r="AF356" s="26">
        <f>IF(B356="","",ROUND(SUMIFS(Sales!$Y$5:$Y$1204,Sales!$D$5:$D$1204,A356,Sales!$H$5:$H$1204,"Service"),2))</f>
        <v>0</v>
      </c>
      <c r="AG356" s="26">
        <f>IF(B356="","",ROUND(SUMIFS(Sales!$Y$5:$Y$1204,Sales!$D$5:$D$1204,A356,Sales!$H$5:$H$1204,"Retail"),2))</f>
        <v>0</v>
      </c>
      <c r="AH356" s="26">
        <f>IF(B356="","",ROUND(SUMIFS(Sales!$Y$5:$Y$1204,Sales!$D$5:$D$1204,A356,Sales!$B$5:$B$1204,"&gt;="&amp;TodayDate-365),2))</f>
        <v>0</v>
      </c>
      <c r="AI356" s="26">
        <f>IF(B356="","",IF(T356=0,"",ROUND(AE356/T356,2)))</f>
        <v>0</v>
      </c>
      <c r="AJ356" s="26">
        <f>IF(B356="","",IF(AI356="","",IF(AC356="","",ROUND(AI356*(365/MAX(14,AC356)),2))))</f>
        <v>0</v>
      </c>
      <c r="AK356" s="26">
        <f>IF(B356="","",ROUND(SUMIFS(Sales!$AH$5:$AH$1204,Sales!$D$5:$D$1204,A356),2))</f>
        <v>0</v>
      </c>
      <c r="AL356" s="25">
        <f>IF(B356="","",IFERROR(INDEX(Loyalty!$P$5:$P$504,MATCH(A356,Loyalty!$B$5:$B$504,0))*1,0))</f>
        <v>0</v>
      </c>
      <c r="AM356" s="39">
        <f>IF(B356="","",IF(R356="Archived","Archived",IF(T356=0,"Not been yet",IF(Z356&gt;=InactiveDays,"Inactive",IF(Z356&gt;=LapsingDays,"Lapsing",IF(T356=1,"New",IF(AH356&gt;=VipSpend,"VIP",IF(U356&gt;=4,"Regular","Active"))))))))</f>
        <v>0</v>
      </c>
      <c r="AN356" s="38">
        <f>IF(B356="","",IF(T356&gt;=2,"Yes","No"))</f>
        <v>0</v>
      </c>
      <c r="AO356" s="25">
        <f>IF(B356="","",COUNTIFS($AE$5:$AE$504,"&gt;"&amp;AE356)+COUNTIFS($AE$5:AE356,AE356))</f>
        <v>0</v>
      </c>
      <c r="AP356" s="25">
        <f>IF(B356="","",COUNTIFS($T$5:$T$504,"&gt;"&amp;T356)+COUNTIFS($T$5:T356,T356))</f>
        <v>0</v>
      </c>
      <c r="AQ356" s="39">
        <f>IF(B356="","",IF(COUNTIF($B$5:$B$504,B356)&gt;1,"Duplicate - same name twice",IF(R356="Archived","",IF(AK356&gt;0.004,"Chase - balance outstanding",IF(AM356="Inactive","Gone - win-back offer",IF(AM356="Lapsing","Chase - lapsing, call them",IF(IF(N356="",FALSE,TodayDate-N356&gt;PatchTestDays),"Due - patch test out of date",IF(IF(AD356="",FALSE,IF(AB356&lt;&gt;"",FALSE,AD356&lt;=TodayDate+14)),"Rebook - due and nothing booked",IF(IF(K356="",FALSE,ABS(DATE(YEAR(TodayDate),MONTH(K356),DAY(K356))-TodayDate)&lt;=7),"Birthday - send the treat","OK")))))))))</f>
        <v>0</v>
      </c>
    </row>
    <row r="357" spans="1:43">
      <c r="A357" s="28">
        <f>IF(B357="","",ClientPrefix&amp;TEXT(ROW()-4,"0000"))</f>
        <v>0</v>
      </c>
      <c r="J357" s="15">
        <f>IF(I357="","",IFERROR(INDEX(Staff!$B$5:$B$44,MATCH(I357,Staff!$A$5:$A$44,0)),"Not in Staff"))</f>
        <v>0</v>
      </c>
      <c r="T357" s="25">
        <f>IF(B357="","",COUNTIFS(Appointments!$E$5:$E$1204,A357,Appointments!$M$5:$M$1204,"Completed"))</f>
        <v>0</v>
      </c>
      <c r="U357" s="25">
        <f>IF(B357="","",COUNTIFS(Appointments!$E$5:$E$1204,A357,Appointments!$M$5:$M$1204,"Completed",Appointments!$B$5:$B$1204,"&gt;="&amp;TodayDate-365))</f>
        <v>0</v>
      </c>
      <c r="V357" s="25">
        <f>IF(B357="","",COUNTIFS(Appointments!$E$5:$E$1204,A357,Appointments!$M$5:$M$1204,"Cancelled"))</f>
        <v>0</v>
      </c>
      <c r="W357" s="25">
        <f>IF(B357="","",COUNTIFS(Appointments!$E$5:$E$1204,A357,Appointments!$M$5:$M$1204,"No show"))</f>
        <v>0</v>
      </c>
      <c r="X357" s="17">
        <f>IF(B357="","",IF(F357&lt;&gt;"",F357,IF(T357=0,"",SUMPRODUCT(MIN((Appointments!$E$5:$E$1204=A357)*(Appointments!$M$5:$M$1204="Completed")*Appointments!$B$5:$B$1204+(1-(Appointments!$E$5:$E$1204=A357)*(Appointments!$M$5:$M$1204="Completed"))*2958465)))))</f>
        <v>0</v>
      </c>
      <c r="Y357" s="17">
        <f>IF(B357="","",IF(T357=0,"",SUMPRODUCT(MAX((Appointments!$E$5:$E$1204=A357)*(Appointments!$M$5:$M$1204="Completed")*Appointments!$B$5:$B$1204))))</f>
        <v>0</v>
      </c>
      <c r="Z357" s="25">
        <f>IF(B357="","",IF(Y357="","",TodayDate-Y357))</f>
        <v>0</v>
      </c>
      <c r="AA357" s="42">
        <f>IF(B357="","",SUMPRODUCT(MIN((Appointments!$E$5:$E$1204=A357)*(Appointments!$M$5:$M$1204&lt;&gt;"Cancelled")*(Appointments!$M$5:$M$1204&lt;&gt;"Completed")*(Appointments!$M$5:$M$1204&lt;&gt;"No show")*(Appointments!$B$5:$B$1204&gt;=TodayDate)*Appointments!$B$5:$B$1204+(1-(Appointments!$E$5:$E$1204=A357)*(Appointments!$M$5:$M$1204&lt;&gt;"Cancelled")*(Appointments!$M$5:$M$1204&lt;&gt;"Completed")*(Appointments!$M$5:$M$1204&lt;&gt;"No show")*(Appointments!$B$5:$B$1204&gt;=TodayDate))*2958465)))</f>
        <v>0</v>
      </c>
      <c r="AB357" s="17">
        <f>IF(B357="","",IF(AA357&gt;=2958465,"",AA357))</f>
        <v>0</v>
      </c>
      <c r="AC357" s="25">
        <f>IF(B357="","",IF(T357&lt;2,"",ROUND((Y357-X357)/MAX(1,T357-1),0)))</f>
        <v>0</v>
      </c>
      <c r="AD357" s="17">
        <f>IF(B357="","",IF(Y357="","",Y357+IF(AC357="",RebookWeeks*7,MAX(14,AC357))))</f>
        <v>0</v>
      </c>
      <c r="AE357" s="26">
        <f>IF(B357="","",ROUND(SUMIFS(Sales!$Y$5:$Y$1204,Sales!$D$5:$D$1204,A357),2))</f>
        <v>0</v>
      </c>
      <c r="AF357" s="26">
        <f>IF(B357="","",ROUND(SUMIFS(Sales!$Y$5:$Y$1204,Sales!$D$5:$D$1204,A357,Sales!$H$5:$H$1204,"Service"),2))</f>
        <v>0</v>
      </c>
      <c r="AG357" s="26">
        <f>IF(B357="","",ROUND(SUMIFS(Sales!$Y$5:$Y$1204,Sales!$D$5:$D$1204,A357,Sales!$H$5:$H$1204,"Retail"),2))</f>
        <v>0</v>
      </c>
      <c r="AH357" s="26">
        <f>IF(B357="","",ROUND(SUMIFS(Sales!$Y$5:$Y$1204,Sales!$D$5:$D$1204,A357,Sales!$B$5:$B$1204,"&gt;="&amp;TodayDate-365),2))</f>
        <v>0</v>
      </c>
      <c r="AI357" s="26">
        <f>IF(B357="","",IF(T357=0,"",ROUND(AE357/T357,2)))</f>
        <v>0</v>
      </c>
      <c r="AJ357" s="26">
        <f>IF(B357="","",IF(AI357="","",IF(AC357="","",ROUND(AI357*(365/MAX(14,AC357)),2))))</f>
        <v>0</v>
      </c>
      <c r="AK357" s="26">
        <f>IF(B357="","",ROUND(SUMIFS(Sales!$AH$5:$AH$1204,Sales!$D$5:$D$1204,A357),2))</f>
        <v>0</v>
      </c>
      <c r="AL357" s="25">
        <f>IF(B357="","",IFERROR(INDEX(Loyalty!$P$5:$P$504,MATCH(A357,Loyalty!$B$5:$B$504,0))*1,0))</f>
        <v>0</v>
      </c>
      <c r="AM357" s="39">
        <f>IF(B357="","",IF(R357="Archived","Archived",IF(T357=0,"Not been yet",IF(Z357&gt;=InactiveDays,"Inactive",IF(Z357&gt;=LapsingDays,"Lapsing",IF(T357=1,"New",IF(AH357&gt;=VipSpend,"VIP",IF(U357&gt;=4,"Regular","Active"))))))))</f>
        <v>0</v>
      </c>
      <c r="AN357" s="38">
        <f>IF(B357="","",IF(T357&gt;=2,"Yes","No"))</f>
        <v>0</v>
      </c>
      <c r="AO357" s="25">
        <f>IF(B357="","",COUNTIFS($AE$5:$AE$504,"&gt;"&amp;AE357)+COUNTIFS($AE$5:AE357,AE357))</f>
        <v>0</v>
      </c>
      <c r="AP357" s="25">
        <f>IF(B357="","",COUNTIFS($T$5:$T$504,"&gt;"&amp;T357)+COUNTIFS($T$5:T357,T357))</f>
        <v>0</v>
      </c>
      <c r="AQ357" s="39">
        <f>IF(B357="","",IF(COUNTIF($B$5:$B$504,B357)&gt;1,"Duplicate - same name twice",IF(R357="Archived","",IF(AK357&gt;0.004,"Chase - balance outstanding",IF(AM357="Inactive","Gone - win-back offer",IF(AM357="Lapsing","Chase - lapsing, call them",IF(IF(N357="",FALSE,TodayDate-N357&gt;PatchTestDays),"Due - patch test out of date",IF(IF(AD357="",FALSE,IF(AB357&lt;&gt;"",FALSE,AD357&lt;=TodayDate+14)),"Rebook - due and nothing booked",IF(IF(K357="",FALSE,ABS(DATE(YEAR(TodayDate),MONTH(K357),DAY(K357))-TodayDate)&lt;=7),"Birthday - send the treat","OK")))))))))</f>
        <v>0</v>
      </c>
    </row>
    <row r="358" spans="1:43">
      <c r="A358" s="28">
        <f>IF(B358="","",ClientPrefix&amp;TEXT(ROW()-4,"0000"))</f>
        <v>0</v>
      </c>
      <c r="J358" s="15">
        <f>IF(I358="","",IFERROR(INDEX(Staff!$B$5:$B$44,MATCH(I358,Staff!$A$5:$A$44,0)),"Not in Staff"))</f>
        <v>0</v>
      </c>
      <c r="T358" s="25">
        <f>IF(B358="","",COUNTIFS(Appointments!$E$5:$E$1204,A358,Appointments!$M$5:$M$1204,"Completed"))</f>
        <v>0</v>
      </c>
      <c r="U358" s="25">
        <f>IF(B358="","",COUNTIFS(Appointments!$E$5:$E$1204,A358,Appointments!$M$5:$M$1204,"Completed",Appointments!$B$5:$B$1204,"&gt;="&amp;TodayDate-365))</f>
        <v>0</v>
      </c>
      <c r="V358" s="25">
        <f>IF(B358="","",COUNTIFS(Appointments!$E$5:$E$1204,A358,Appointments!$M$5:$M$1204,"Cancelled"))</f>
        <v>0</v>
      </c>
      <c r="W358" s="25">
        <f>IF(B358="","",COUNTIFS(Appointments!$E$5:$E$1204,A358,Appointments!$M$5:$M$1204,"No show"))</f>
        <v>0</v>
      </c>
      <c r="X358" s="17">
        <f>IF(B358="","",IF(F358&lt;&gt;"",F358,IF(T358=0,"",SUMPRODUCT(MIN((Appointments!$E$5:$E$1204=A358)*(Appointments!$M$5:$M$1204="Completed")*Appointments!$B$5:$B$1204+(1-(Appointments!$E$5:$E$1204=A358)*(Appointments!$M$5:$M$1204="Completed"))*2958465)))))</f>
        <v>0</v>
      </c>
      <c r="Y358" s="17">
        <f>IF(B358="","",IF(T358=0,"",SUMPRODUCT(MAX((Appointments!$E$5:$E$1204=A358)*(Appointments!$M$5:$M$1204="Completed")*Appointments!$B$5:$B$1204))))</f>
        <v>0</v>
      </c>
      <c r="Z358" s="25">
        <f>IF(B358="","",IF(Y358="","",TodayDate-Y358))</f>
        <v>0</v>
      </c>
      <c r="AA358" s="42">
        <f>IF(B358="","",SUMPRODUCT(MIN((Appointments!$E$5:$E$1204=A358)*(Appointments!$M$5:$M$1204&lt;&gt;"Cancelled")*(Appointments!$M$5:$M$1204&lt;&gt;"Completed")*(Appointments!$M$5:$M$1204&lt;&gt;"No show")*(Appointments!$B$5:$B$1204&gt;=TodayDate)*Appointments!$B$5:$B$1204+(1-(Appointments!$E$5:$E$1204=A358)*(Appointments!$M$5:$M$1204&lt;&gt;"Cancelled")*(Appointments!$M$5:$M$1204&lt;&gt;"Completed")*(Appointments!$M$5:$M$1204&lt;&gt;"No show")*(Appointments!$B$5:$B$1204&gt;=TodayDate))*2958465)))</f>
        <v>0</v>
      </c>
      <c r="AB358" s="17">
        <f>IF(B358="","",IF(AA358&gt;=2958465,"",AA358))</f>
        <v>0</v>
      </c>
      <c r="AC358" s="25">
        <f>IF(B358="","",IF(T358&lt;2,"",ROUND((Y358-X358)/MAX(1,T358-1),0)))</f>
        <v>0</v>
      </c>
      <c r="AD358" s="17">
        <f>IF(B358="","",IF(Y358="","",Y358+IF(AC358="",RebookWeeks*7,MAX(14,AC358))))</f>
        <v>0</v>
      </c>
      <c r="AE358" s="26">
        <f>IF(B358="","",ROUND(SUMIFS(Sales!$Y$5:$Y$1204,Sales!$D$5:$D$1204,A358),2))</f>
        <v>0</v>
      </c>
      <c r="AF358" s="26">
        <f>IF(B358="","",ROUND(SUMIFS(Sales!$Y$5:$Y$1204,Sales!$D$5:$D$1204,A358,Sales!$H$5:$H$1204,"Service"),2))</f>
        <v>0</v>
      </c>
      <c r="AG358" s="26">
        <f>IF(B358="","",ROUND(SUMIFS(Sales!$Y$5:$Y$1204,Sales!$D$5:$D$1204,A358,Sales!$H$5:$H$1204,"Retail"),2))</f>
        <v>0</v>
      </c>
      <c r="AH358" s="26">
        <f>IF(B358="","",ROUND(SUMIFS(Sales!$Y$5:$Y$1204,Sales!$D$5:$D$1204,A358,Sales!$B$5:$B$1204,"&gt;="&amp;TodayDate-365),2))</f>
        <v>0</v>
      </c>
      <c r="AI358" s="26">
        <f>IF(B358="","",IF(T358=0,"",ROUND(AE358/T358,2)))</f>
        <v>0</v>
      </c>
      <c r="AJ358" s="26">
        <f>IF(B358="","",IF(AI358="","",IF(AC358="","",ROUND(AI358*(365/MAX(14,AC358)),2))))</f>
        <v>0</v>
      </c>
      <c r="AK358" s="26">
        <f>IF(B358="","",ROUND(SUMIFS(Sales!$AH$5:$AH$1204,Sales!$D$5:$D$1204,A358),2))</f>
        <v>0</v>
      </c>
      <c r="AL358" s="25">
        <f>IF(B358="","",IFERROR(INDEX(Loyalty!$P$5:$P$504,MATCH(A358,Loyalty!$B$5:$B$504,0))*1,0))</f>
        <v>0</v>
      </c>
      <c r="AM358" s="39">
        <f>IF(B358="","",IF(R358="Archived","Archived",IF(T358=0,"Not been yet",IF(Z358&gt;=InactiveDays,"Inactive",IF(Z358&gt;=LapsingDays,"Lapsing",IF(T358=1,"New",IF(AH358&gt;=VipSpend,"VIP",IF(U358&gt;=4,"Regular","Active"))))))))</f>
        <v>0</v>
      </c>
      <c r="AN358" s="38">
        <f>IF(B358="","",IF(T358&gt;=2,"Yes","No"))</f>
        <v>0</v>
      </c>
      <c r="AO358" s="25">
        <f>IF(B358="","",COUNTIFS($AE$5:$AE$504,"&gt;"&amp;AE358)+COUNTIFS($AE$5:AE358,AE358))</f>
        <v>0</v>
      </c>
      <c r="AP358" s="25">
        <f>IF(B358="","",COUNTIFS($T$5:$T$504,"&gt;"&amp;T358)+COUNTIFS($T$5:T358,T358))</f>
        <v>0</v>
      </c>
      <c r="AQ358" s="39">
        <f>IF(B358="","",IF(COUNTIF($B$5:$B$504,B358)&gt;1,"Duplicate - same name twice",IF(R358="Archived","",IF(AK358&gt;0.004,"Chase - balance outstanding",IF(AM358="Inactive","Gone - win-back offer",IF(AM358="Lapsing","Chase - lapsing, call them",IF(IF(N358="",FALSE,TodayDate-N358&gt;PatchTestDays),"Due - patch test out of date",IF(IF(AD358="",FALSE,IF(AB358&lt;&gt;"",FALSE,AD358&lt;=TodayDate+14)),"Rebook - due and nothing booked",IF(IF(K358="",FALSE,ABS(DATE(YEAR(TodayDate),MONTH(K358),DAY(K358))-TodayDate)&lt;=7),"Birthday - send the treat","OK")))))))))</f>
        <v>0</v>
      </c>
    </row>
    <row r="359" spans="1:43">
      <c r="A359" s="28">
        <f>IF(B359="","",ClientPrefix&amp;TEXT(ROW()-4,"0000"))</f>
        <v>0</v>
      </c>
      <c r="J359" s="15">
        <f>IF(I359="","",IFERROR(INDEX(Staff!$B$5:$B$44,MATCH(I359,Staff!$A$5:$A$44,0)),"Not in Staff"))</f>
        <v>0</v>
      </c>
      <c r="T359" s="25">
        <f>IF(B359="","",COUNTIFS(Appointments!$E$5:$E$1204,A359,Appointments!$M$5:$M$1204,"Completed"))</f>
        <v>0</v>
      </c>
      <c r="U359" s="25">
        <f>IF(B359="","",COUNTIFS(Appointments!$E$5:$E$1204,A359,Appointments!$M$5:$M$1204,"Completed",Appointments!$B$5:$B$1204,"&gt;="&amp;TodayDate-365))</f>
        <v>0</v>
      </c>
      <c r="V359" s="25">
        <f>IF(B359="","",COUNTIFS(Appointments!$E$5:$E$1204,A359,Appointments!$M$5:$M$1204,"Cancelled"))</f>
        <v>0</v>
      </c>
      <c r="W359" s="25">
        <f>IF(B359="","",COUNTIFS(Appointments!$E$5:$E$1204,A359,Appointments!$M$5:$M$1204,"No show"))</f>
        <v>0</v>
      </c>
      <c r="X359" s="17">
        <f>IF(B359="","",IF(F359&lt;&gt;"",F359,IF(T359=0,"",SUMPRODUCT(MIN((Appointments!$E$5:$E$1204=A359)*(Appointments!$M$5:$M$1204="Completed")*Appointments!$B$5:$B$1204+(1-(Appointments!$E$5:$E$1204=A359)*(Appointments!$M$5:$M$1204="Completed"))*2958465)))))</f>
        <v>0</v>
      </c>
      <c r="Y359" s="17">
        <f>IF(B359="","",IF(T359=0,"",SUMPRODUCT(MAX((Appointments!$E$5:$E$1204=A359)*(Appointments!$M$5:$M$1204="Completed")*Appointments!$B$5:$B$1204))))</f>
        <v>0</v>
      </c>
      <c r="Z359" s="25">
        <f>IF(B359="","",IF(Y359="","",TodayDate-Y359))</f>
        <v>0</v>
      </c>
      <c r="AA359" s="42">
        <f>IF(B359="","",SUMPRODUCT(MIN((Appointments!$E$5:$E$1204=A359)*(Appointments!$M$5:$M$1204&lt;&gt;"Cancelled")*(Appointments!$M$5:$M$1204&lt;&gt;"Completed")*(Appointments!$M$5:$M$1204&lt;&gt;"No show")*(Appointments!$B$5:$B$1204&gt;=TodayDate)*Appointments!$B$5:$B$1204+(1-(Appointments!$E$5:$E$1204=A359)*(Appointments!$M$5:$M$1204&lt;&gt;"Cancelled")*(Appointments!$M$5:$M$1204&lt;&gt;"Completed")*(Appointments!$M$5:$M$1204&lt;&gt;"No show")*(Appointments!$B$5:$B$1204&gt;=TodayDate))*2958465)))</f>
        <v>0</v>
      </c>
      <c r="AB359" s="17">
        <f>IF(B359="","",IF(AA359&gt;=2958465,"",AA359))</f>
        <v>0</v>
      </c>
      <c r="AC359" s="25">
        <f>IF(B359="","",IF(T359&lt;2,"",ROUND((Y359-X359)/MAX(1,T359-1),0)))</f>
        <v>0</v>
      </c>
      <c r="AD359" s="17">
        <f>IF(B359="","",IF(Y359="","",Y359+IF(AC359="",RebookWeeks*7,MAX(14,AC359))))</f>
        <v>0</v>
      </c>
      <c r="AE359" s="26">
        <f>IF(B359="","",ROUND(SUMIFS(Sales!$Y$5:$Y$1204,Sales!$D$5:$D$1204,A359),2))</f>
        <v>0</v>
      </c>
      <c r="AF359" s="26">
        <f>IF(B359="","",ROUND(SUMIFS(Sales!$Y$5:$Y$1204,Sales!$D$5:$D$1204,A359,Sales!$H$5:$H$1204,"Service"),2))</f>
        <v>0</v>
      </c>
      <c r="AG359" s="26">
        <f>IF(B359="","",ROUND(SUMIFS(Sales!$Y$5:$Y$1204,Sales!$D$5:$D$1204,A359,Sales!$H$5:$H$1204,"Retail"),2))</f>
        <v>0</v>
      </c>
      <c r="AH359" s="26">
        <f>IF(B359="","",ROUND(SUMIFS(Sales!$Y$5:$Y$1204,Sales!$D$5:$D$1204,A359,Sales!$B$5:$B$1204,"&gt;="&amp;TodayDate-365),2))</f>
        <v>0</v>
      </c>
      <c r="AI359" s="26">
        <f>IF(B359="","",IF(T359=0,"",ROUND(AE359/T359,2)))</f>
        <v>0</v>
      </c>
      <c r="AJ359" s="26">
        <f>IF(B359="","",IF(AI359="","",IF(AC359="","",ROUND(AI359*(365/MAX(14,AC359)),2))))</f>
        <v>0</v>
      </c>
      <c r="AK359" s="26">
        <f>IF(B359="","",ROUND(SUMIFS(Sales!$AH$5:$AH$1204,Sales!$D$5:$D$1204,A359),2))</f>
        <v>0</v>
      </c>
      <c r="AL359" s="25">
        <f>IF(B359="","",IFERROR(INDEX(Loyalty!$P$5:$P$504,MATCH(A359,Loyalty!$B$5:$B$504,0))*1,0))</f>
        <v>0</v>
      </c>
      <c r="AM359" s="39">
        <f>IF(B359="","",IF(R359="Archived","Archived",IF(T359=0,"Not been yet",IF(Z359&gt;=InactiveDays,"Inactive",IF(Z359&gt;=LapsingDays,"Lapsing",IF(T359=1,"New",IF(AH359&gt;=VipSpend,"VIP",IF(U359&gt;=4,"Regular","Active"))))))))</f>
        <v>0</v>
      </c>
      <c r="AN359" s="38">
        <f>IF(B359="","",IF(T359&gt;=2,"Yes","No"))</f>
        <v>0</v>
      </c>
      <c r="AO359" s="25">
        <f>IF(B359="","",COUNTIFS($AE$5:$AE$504,"&gt;"&amp;AE359)+COUNTIFS($AE$5:AE359,AE359))</f>
        <v>0</v>
      </c>
      <c r="AP359" s="25">
        <f>IF(B359="","",COUNTIFS($T$5:$T$504,"&gt;"&amp;T359)+COUNTIFS($T$5:T359,T359))</f>
        <v>0</v>
      </c>
      <c r="AQ359" s="39">
        <f>IF(B359="","",IF(COUNTIF($B$5:$B$504,B359)&gt;1,"Duplicate - same name twice",IF(R359="Archived","",IF(AK359&gt;0.004,"Chase - balance outstanding",IF(AM359="Inactive","Gone - win-back offer",IF(AM359="Lapsing","Chase - lapsing, call them",IF(IF(N359="",FALSE,TodayDate-N359&gt;PatchTestDays),"Due - patch test out of date",IF(IF(AD359="",FALSE,IF(AB359&lt;&gt;"",FALSE,AD359&lt;=TodayDate+14)),"Rebook - due and nothing booked",IF(IF(K359="",FALSE,ABS(DATE(YEAR(TodayDate),MONTH(K359),DAY(K359))-TodayDate)&lt;=7),"Birthday - send the treat","OK")))))))))</f>
        <v>0</v>
      </c>
    </row>
    <row r="360" spans="1:43">
      <c r="A360" s="28">
        <f>IF(B360="","",ClientPrefix&amp;TEXT(ROW()-4,"0000"))</f>
        <v>0</v>
      </c>
      <c r="J360" s="15">
        <f>IF(I360="","",IFERROR(INDEX(Staff!$B$5:$B$44,MATCH(I360,Staff!$A$5:$A$44,0)),"Not in Staff"))</f>
        <v>0</v>
      </c>
      <c r="T360" s="25">
        <f>IF(B360="","",COUNTIFS(Appointments!$E$5:$E$1204,A360,Appointments!$M$5:$M$1204,"Completed"))</f>
        <v>0</v>
      </c>
      <c r="U360" s="25">
        <f>IF(B360="","",COUNTIFS(Appointments!$E$5:$E$1204,A360,Appointments!$M$5:$M$1204,"Completed",Appointments!$B$5:$B$1204,"&gt;="&amp;TodayDate-365))</f>
        <v>0</v>
      </c>
      <c r="V360" s="25">
        <f>IF(B360="","",COUNTIFS(Appointments!$E$5:$E$1204,A360,Appointments!$M$5:$M$1204,"Cancelled"))</f>
        <v>0</v>
      </c>
      <c r="W360" s="25">
        <f>IF(B360="","",COUNTIFS(Appointments!$E$5:$E$1204,A360,Appointments!$M$5:$M$1204,"No show"))</f>
        <v>0</v>
      </c>
      <c r="X360" s="17">
        <f>IF(B360="","",IF(F360&lt;&gt;"",F360,IF(T360=0,"",SUMPRODUCT(MIN((Appointments!$E$5:$E$1204=A360)*(Appointments!$M$5:$M$1204="Completed")*Appointments!$B$5:$B$1204+(1-(Appointments!$E$5:$E$1204=A360)*(Appointments!$M$5:$M$1204="Completed"))*2958465)))))</f>
        <v>0</v>
      </c>
      <c r="Y360" s="17">
        <f>IF(B360="","",IF(T360=0,"",SUMPRODUCT(MAX((Appointments!$E$5:$E$1204=A360)*(Appointments!$M$5:$M$1204="Completed")*Appointments!$B$5:$B$1204))))</f>
        <v>0</v>
      </c>
      <c r="Z360" s="25">
        <f>IF(B360="","",IF(Y360="","",TodayDate-Y360))</f>
        <v>0</v>
      </c>
      <c r="AA360" s="42">
        <f>IF(B360="","",SUMPRODUCT(MIN((Appointments!$E$5:$E$1204=A360)*(Appointments!$M$5:$M$1204&lt;&gt;"Cancelled")*(Appointments!$M$5:$M$1204&lt;&gt;"Completed")*(Appointments!$M$5:$M$1204&lt;&gt;"No show")*(Appointments!$B$5:$B$1204&gt;=TodayDate)*Appointments!$B$5:$B$1204+(1-(Appointments!$E$5:$E$1204=A360)*(Appointments!$M$5:$M$1204&lt;&gt;"Cancelled")*(Appointments!$M$5:$M$1204&lt;&gt;"Completed")*(Appointments!$M$5:$M$1204&lt;&gt;"No show")*(Appointments!$B$5:$B$1204&gt;=TodayDate))*2958465)))</f>
        <v>0</v>
      </c>
      <c r="AB360" s="17">
        <f>IF(B360="","",IF(AA360&gt;=2958465,"",AA360))</f>
        <v>0</v>
      </c>
      <c r="AC360" s="25">
        <f>IF(B360="","",IF(T360&lt;2,"",ROUND((Y360-X360)/MAX(1,T360-1),0)))</f>
        <v>0</v>
      </c>
      <c r="AD360" s="17">
        <f>IF(B360="","",IF(Y360="","",Y360+IF(AC360="",RebookWeeks*7,MAX(14,AC360))))</f>
        <v>0</v>
      </c>
      <c r="AE360" s="26">
        <f>IF(B360="","",ROUND(SUMIFS(Sales!$Y$5:$Y$1204,Sales!$D$5:$D$1204,A360),2))</f>
        <v>0</v>
      </c>
      <c r="AF360" s="26">
        <f>IF(B360="","",ROUND(SUMIFS(Sales!$Y$5:$Y$1204,Sales!$D$5:$D$1204,A360,Sales!$H$5:$H$1204,"Service"),2))</f>
        <v>0</v>
      </c>
      <c r="AG360" s="26">
        <f>IF(B360="","",ROUND(SUMIFS(Sales!$Y$5:$Y$1204,Sales!$D$5:$D$1204,A360,Sales!$H$5:$H$1204,"Retail"),2))</f>
        <v>0</v>
      </c>
      <c r="AH360" s="26">
        <f>IF(B360="","",ROUND(SUMIFS(Sales!$Y$5:$Y$1204,Sales!$D$5:$D$1204,A360,Sales!$B$5:$B$1204,"&gt;="&amp;TodayDate-365),2))</f>
        <v>0</v>
      </c>
      <c r="AI360" s="26">
        <f>IF(B360="","",IF(T360=0,"",ROUND(AE360/T360,2)))</f>
        <v>0</v>
      </c>
      <c r="AJ360" s="26">
        <f>IF(B360="","",IF(AI360="","",IF(AC360="","",ROUND(AI360*(365/MAX(14,AC360)),2))))</f>
        <v>0</v>
      </c>
      <c r="AK360" s="26">
        <f>IF(B360="","",ROUND(SUMIFS(Sales!$AH$5:$AH$1204,Sales!$D$5:$D$1204,A360),2))</f>
        <v>0</v>
      </c>
      <c r="AL360" s="25">
        <f>IF(B360="","",IFERROR(INDEX(Loyalty!$P$5:$P$504,MATCH(A360,Loyalty!$B$5:$B$504,0))*1,0))</f>
        <v>0</v>
      </c>
      <c r="AM360" s="39">
        <f>IF(B360="","",IF(R360="Archived","Archived",IF(T360=0,"Not been yet",IF(Z360&gt;=InactiveDays,"Inactive",IF(Z360&gt;=LapsingDays,"Lapsing",IF(T360=1,"New",IF(AH360&gt;=VipSpend,"VIP",IF(U360&gt;=4,"Regular","Active"))))))))</f>
        <v>0</v>
      </c>
      <c r="AN360" s="38">
        <f>IF(B360="","",IF(T360&gt;=2,"Yes","No"))</f>
        <v>0</v>
      </c>
      <c r="AO360" s="25">
        <f>IF(B360="","",COUNTIFS($AE$5:$AE$504,"&gt;"&amp;AE360)+COUNTIFS($AE$5:AE360,AE360))</f>
        <v>0</v>
      </c>
      <c r="AP360" s="25">
        <f>IF(B360="","",COUNTIFS($T$5:$T$504,"&gt;"&amp;T360)+COUNTIFS($T$5:T360,T360))</f>
        <v>0</v>
      </c>
      <c r="AQ360" s="39">
        <f>IF(B360="","",IF(COUNTIF($B$5:$B$504,B360)&gt;1,"Duplicate - same name twice",IF(R360="Archived","",IF(AK360&gt;0.004,"Chase - balance outstanding",IF(AM360="Inactive","Gone - win-back offer",IF(AM360="Lapsing","Chase - lapsing, call them",IF(IF(N360="",FALSE,TodayDate-N360&gt;PatchTestDays),"Due - patch test out of date",IF(IF(AD360="",FALSE,IF(AB360&lt;&gt;"",FALSE,AD360&lt;=TodayDate+14)),"Rebook - due and nothing booked",IF(IF(K360="",FALSE,ABS(DATE(YEAR(TodayDate),MONTH(K360),DAY(K360))-TodayDate)&lt;=7),"Birthday - send the treat","OK")))))))))</f>
        <v>0</v>
      </c>
    </row>
    <row r="361" spans="1:43">
      <c r="A361" s="28">
        <f>IF(B361="","",ClientPrefix&amp;TEXT(ROW()-4,"0000"))</f>
        <v>0</v>
      </c>
      <c r="J361" s="15">
        <f>IF(I361="","",IFERROR(INDEX(Staff!$B$5:$B$44,MATCH(I361,Staff!$A$5:$A$44,0)),"Not in Staff"))</f>
        <v>0</v>
      </c>
      <c r="T361" s="25">
        <f>IF(B361="","",COUNTIFS(Appointments!$E$5:$E$1204,A361,Appointments!$M$5:$M$1204,"Completed"))</f>
        <v>0</v>
      </c>
      <c r="U361" s="25">
        <f>IF(B361="","",COUNTIFS(Appointments!$E$5:$E$1204,A361,Appointments!$M$5:$M$1204,"Completed",Appointments!$B$5:$B$1204,"&gt;="&amp;TodayDate-365))</f>
        <v>0</v>
      </c>
      <c r="V361" s="25">
        <f>IF(B361="","",COUNTIFS(Appointments!$E$5:$E$1204,A361,Appointments!$M$5:$M$1204,"Cancelled"))</f>
        <v>0</v>
      </c>
      <c r="W361" s="25">
        <f>IF(B361="","",COUNTIFS(Appointments!$E$5:$E$1204,A361,Appointments!$M$5:$M$1204,"No show"))</f>
        <v>0</v>
      </c>
      <c r="X361" s="17">
        <f>IF(B361="","",IF(F361&lt;&gt;"",F361,IF(T361=0,"",SUMPRODUCT(MIN((Appointments!$E$5:$E$1204=A361)*(Appointments!$M$5:$M$1204="Completed")*Appointments!$B$5:$B$1204+(1-(Appointments!$E$5:$E$1204=A361)*(Appointments!$M$5:$M$1204="Completed"))*2958465)))))</f>
        <v>0</v>
      </c>
      <c r="Y361" s="17">
        <f>IF(B361="","",IF(T361=0,"",SUMPRODUCT(MAX((Appointments!$E$5:$E$1204=A361)*(Appointments!$M$5:$M$1204="Completed")*Appointments!$B$5:$B$1204))))</f>
        <v>0</v>
      </c>
      <c r="Z361" s="25">
        <f>IF(B361="","",IF(Y361="","",TodayDate-Y361))</f>
        <v>0</v>
      </c>
      <c r="AA361" s="42">
        <f>IF(B361="","",SUMPRODUCT(MIN((Appointments!$E$5:$E$1204=A361)*(Appointments!$M$5:$M$1204&lt;&gt;"Cancelled")*(Appointments!$M$5:$M$1204&lt;&gt;"Completed")*(Appointments!$M$5:$M$1204&lt;&gt;"No show")*(Appointments!$B$5:$B$1204&gt;=TodayDate)*Appointments!$B$5:$B$1204+(1-(Appointments!$E$5:$E$1204=A361)*(Appointments!$M$5:$M$1204&lt;&gt;"Cancelled")*(Appointments!$M$5:$M$1204&lt;&gt;"Completed")*(Appointments!$M$5:$M$1204&lt;&gt;"No show")*(Appointments!$B$5:$B$1204&gt;=TodayDate))*2958465)))</f>
        <v>0</v>
      </c>
      <c r="AB361" s="17">
        <f>IF(B361="","",IF(AA361&gt;=2958465,"",AA361))</f>
        <v>0</v>
      </c>
      <c r="AC361" s="25">
        <f>IF(B361="","",IF(T361&lt;2,"",ROUND((Y361-X361)/MAX(1,T361-1),0)))</f>
        <v>0</v>
      </c>
      <c r="AD361" s="17">
        <f>IF(B361="","",IF(Y361="","",Y361+IF(AC361="",RebookWeeks*7,MAX(14,AC361))))</f>
        <v>0</v>
      </c>
      <c r="AE361" s="26">
        <f>IF(B361="","",ROUND(SUMIFS(Sales!$Y$5:$Y$1204,Sales!$D$5:$D$1204,A361),2))</f>
        <v>0</v>
      </c>
      <c r="AF361" s="26">
        <f>IF(B361="","",ROUND(SUMIFS(Sales!$Y$5:$Y$1204,Sales!$D$5:$D$1204,A361,Sales!$H$5:$H$1204,"Service"),2))</f>
        <v>0</v>
      </c>
      <c r="AG361" s="26">
        <f>IF(B361="","",ROUND(SUMIFS(Sales!$Y$5:$Y$1204,Sales!$D$5:$D$1204,A361,Sales!$H$5:$H$1204,"Retail"),2))</f>
        <v>0</v>
      </c>
      <c r="AH361" s="26">
        <f>IF(B361="","",ROUND(SUMIFS(Sales!$Y$5:$Y$1204,Sales!$D$5:$D$1204,A361,Sales!$B$5:$B$1204,"&gt;="&amp;TodayDate-365),2))</f>
        <v>0</v>
      </c>
      <c r="AI361" s="26">
        <f>IF(B361="","",IF(T361=0,"",ROUND(AE361/T361,2)))</f>
        <v>0</v>
      </c>
      <c r="AJ361" s="26">
        <f>IF(B361="","",IF(AI361="","",IF(AC361="","",ROUND(AI361*(365/MAX(14,AC361)),2))))</f>
        <v>0</v>
      </c>
      <c r="AK361" s="26">
        <f>IF(B361="","",ROUND(SUMIFS(Sales!$AH$5:$AH$1204,Sales!$D$5:$D$1204,A361),2))</f>
        <v>0</v>
      </c>
      <c r="AL361" s="25">
        <f>IF(B361="","",IFERROR(INDEX(Loyalty!$P$5:$P$504,MATCH(A361,Loyalty!$B$5:$B$504,0))*1,0))</f>
        <v>0</v>
      </c>
      <c r="AM361" s="39">
        <f>IF(B361="","",IF(R361="Archived","Archived",IF(T361=0,"Not been yet",IF(Z361&gt;=InactiveDays,"Inactive",IF(Z361&gt;=LapsingDays,"Lapsing",IF(T361=1,"New",IF(AH361&gt;=VipSpend,"VIP",IF(U361&gt;=4,"Regular","Active"))))))))</f>
        <v>0</v>
      </c>
      <c r="AN361" s="38">
        <f>IF(B361="","",IF(T361&gt;=2,"Yes","No"))</f>
        <v>0</v>
      </c>
      <c r="AO361" s="25">
        <f>IF(B361="","",COUNTIFS($AE$5:$AE$504,"&gt;"&amp;AE361)+COUNTIFS($AE$5:AE361,AE361))</f>
        <v>0</v>
      </c>
      <c r="AP361" s="25">
        <f>IF(B361="","",COUNTIFS($T$5:$T$504,"&gt;"&amp;T361)+COUNTIFS($T$5:T361,T361))</f>
        <v>0</v>
      </c>
      <c r="AQ361" s="39">
        <f>IF(B361="","",IF(COUNTIF($B$5:$B$504,B361)&gt;1,"Duplicate - same name twice",IF(R361="Archived","",IF(AK361&gt;0.004,"Chase - balance outstanding",IF(AM361="Inactive","Gone - win-back offer",IF(AM361="Lapsing","Chase - lapsing, call them",IF(IF(N361="",FALSE,TodayDate-N361&gt;PatchTestDays),"Due - patch test out of date",IF(IF(AD361="",FALSE,IF(AB361&lt;&gt;"",FALSE,AD361&lt;=TodayDate+14)),"Rebook - due and nothing booked",IF(IF(K361="",FALSE,ABS(DATE(YEAR(TodayDate),MONTH(K361),DAY(K361))-TodayDate)&lt;=7),"Birthday - send the treat","OK")))))))))</f>
        <v>0</v>
      </c>
    </row>
    <row r="362" spans="1:43">
      <c r="A362" s="28">
        <f>IF(B362="","",ClientPrefix&amp;TEXT(ROW()-4,"0000"))</f>
        <v>0</v>
      </c>
      <c r="J362" s="15">
        <f>IF(I362="","",IFERROR(INDEX(Staff!$B$5:$B$44,MATCH(I362,Staff!$A$5:$A$44,0)),"Not in Staff"))</f>
        <v>0</v>
      </c>
      <c r="T362" s="25">
        <f>IF(B362="","",COUNTIFS(Appointments!$E$5:$E$1204,A362,Appointments!$M$5:$M$1204,"Completed"))</f>
        <v>0</v>
      </c>
      <c r="U362" s="25">
        <f>IF(B362="","",COUNTIFS(Appointments!$E$5:$E$1204,A362,Appointments!$M$5:$M$1204,"Completed",Appointments!$B$5:$B$1204,"&gt;="&amp;TodayDate-365))</f>
        <v>0</v>
      </c>
      <c r="V362" s="25">
        <f>IF(B362="","",COUNTIFS(Appointments!$E$5:$E$1204,A362,Appointments!$M$5:$M$1204,"Cancelled"))</f>
        <v>0</v>
      </c>
      <c r="W362" s="25">
        <f>IF(B362="","",COUNTIFS(Appointments!$E$5:$E$1204,A362,Appointments!$M$5:$M$1204,"No show"))</f>
        <v>0</v>
      </c>
      <c r="X362" s="17">
        <f>IF(B362="","",IF(F362&lt;&gt;"",F362,IF(T362=0,"",SUMPRODUCT(MIN((Appointments!$E$5:$E$1204=A362)*(Appointments!$M$5:$M$1204="Completed")*Appointments!$B$5:$B$1204+(1-(Appointments!$E$5:$E$1204=A362)*(Appointments!$M$5:$M$1204="Completed"))*2958465)))))</f>
        <v>0</v>
      </c>
      <c r="Y362" s="17">
        <f>IF(B362="","",IF(T362=0,"",SUMPRODUCT(MAX((Appointments!$E$5:$E$1204=A362)*(Appointments!$M$5:$M$1204="Completed")*Appointments!$B$5:$B$1204))))</f>
        <v>0</v>
      </c>
      <c r="Z362" s="25">
        <f>IF(B362="","",IF(Y362="","",TodayDate-Y362))</f>
        <v>0</v>
      </c>
      <c r="AA362" s="42">
        <f>IF(B362="","",SUMPRODUCT(MIN((Appointments!$E$5:$E$1204=A362)*(Appointments!$M$5:$M$1204&lt;&gt;"Cancelled")*(Appointments!$M$5:$M$1204&lt;&gt;"Completed")*(Appointments!$M$5:$M$1204&lt;&gt;"No show")*(Appointments!$B$5:$B$1204&gt;=TodayDate)*Appointments!$B$5:$B$1204+(1-(Appointments!$E$5:$E$1204=A362)*(Appointments!$M$5:$M$1204&lt;&gt;"Cancelled")*(Appointments!$M$5:$M$1204&lt;&gt;"Completed")*(Appointments!$M$5:$M$1204&lt;&gt;"No show")*(Appointments!$B$5:$B$1204&gt;=TodayDate))*2958465)))</f>
        <v>0</v>
      </c>
      <c r="AB362" s="17">
        <f>IF(B362="","",IF(AA362&gt;=2958465,"",AA362))</f>
        <v>0</v>
      </c>
      <c r="AC362" s="25">
        <f>IF(B362="","",IF(T362&lt;2,"",ROUND((Y362-X362)/MAX(1,T362-1),0)))</f>
        <v>0</v>
      </c>
      <c r="AD362" s="17">
        <f>IF(B362="","",IF(Y362="","",Y362+IF(AC362="",RebookWeeks*7,MAX(14,AC362))))</f>
        <v>0</v>
      </c>
      <c r="AE362" s="26">
        <f>IF(B362="","",ROUND(SUMIFS(Sales!$Y$5:$Y$1204,Sales!$D$5:$D$1204,A362),2))</f>
        <v>0</v>
      </c>
      <c r="AF362" s="26">
        <f>IF(B362="","",ROUND(SUMIFS(Sales!$Y$5:$Y$1204,Sales!$D$5:$D$1204,A362,Sales!$H$5:$H$1204,"Service"),2))</f>
        <v>0</v>
      </c>
      <c r="AG362" s="26">
        <f>IF(B362="","",ROUND(SUMIFS(Sales!$Y$5:$Y$1204,Sales!$D$5:$D$1204,A362,Sales!$H$5:$H$1204,"Retail"),2))</f>
        <v>0</v>
      </c>
      <c r="AH362" s="26">
        <f>IF(B362="","",ROUND(SUMIFS(Sales!$Y$5:$Y$1204,Sales!$D$5:$D$1204,A362,Sales!$B$5:$B$1204,"&gt;="&amp;TodayDate-365),2))</f>
        <v>0</v>
      </c>
      <c r="AI362" s="26">
        <f>IF(B362="","",IF(T362=0,"",ROUND(AE362/T362,2)))</f>
        <v>0</v>
      </c>
      <c r="AJ362" s="26">
        <f>IF(B362="","",IF(AI362="","",IF(AC362="","",ROUND(AI362*(365/MAX(14,AC362)),2))))</f>
        <v>0</v>
      </c>
      <c r="AK362" s="26">
        <f>IF(B362="","",ROUND(SUMIFS(Sales!$AH$5:$AH$1204,Sales!$D$5:$D$1204,A362),2))</f>
        <v>0</v>
      </c>
      <c r="AL362" s="25">
        <f>IF(B362="","",IFERROR(INDEX(Loyalty!$P$5:$P$504,MATCH(A362,Loyalty!$B$5:$B$504,0))*1,0))</f>
        <v>0</v>
      </c>
      <c r="AM362" s="39">
        <f>IF(B362="","",IF(R362="Archived","Archived",IF(T362=0,"Not been yet",IF(Z362&gt;=InactiveDays,"Inactive",IF(Z362&gt;=LapsingDays,"Lapsing",IF(T362=1,"New",IF(AH362&gt;=VipSpend,"VIP",IF(U362&gt;=4,"Regular","Active"))))))))</f>
        <v>0</v>
      </c>
      <c r="AN362" s="38">
        <f>IF(B362="","",IF(T362&gt;=2,"Yes","No"))</f>
        <v>0</v>
      </c>
      <c r="AO362" s="25">
        <f>IF(B362="","",COUNTIFS($AE$5:$AE$504,"&gt;"&amp;AE362)+COUNTIFS($AE$5:AE362,AE362))</f>
        <v>0</v>
      </c>
      <c r="AP362" s="25">
        <f>IF(B362="","",COUNTIFS($T$5:$T$504,"&gt;"&amp;T362)+COUNTIFS($T$5:T362,T362))</f>
        <v>0</v>
      </c>
      <c r="AQ362" s="39">
        <f>IF(B362="","",IF(COUNTIF($B$5:$B$504,B362)&gt;1,"Duplicate - same name twice",IF(R362="Archived","",IF(AK362&gt;0.004,"Chase - balance outstanding",IF(AM362="Inactive","Gone - win-back offer",IF(AM362="Lapsing","Chase - lapsing, call them",IF(IF(N362="",FALSE,TodayDate-N362&gt;PatchTestDays),"Due - patch test out of date",IF(IF(AD362="",FALSE,IF(AB362&lt;&gt;"",FALSE,AD362&lt;=TodayDate+14)),"Rebook - due and nothing booked",IF(IF(K362="",FALSE,ABS(DATE(YEAR(TodayDate),MONTH(K362),DAY(K362))-TodayDate)&lt;=7),"Birthday - send the treat","OK")))))))))</f>
        <v>0</v>
      </c>
    </row>
    <row r="363" spans="1:43">
      <c r="A363" s="28">
        <f>IF(B363="","",ClientPrefix&amp;TEXT(ROW()-4,"0000"))</f>
        <v>0</v>
      </c>
      <c r="J363" s="15">
        <f>IF(I363="","",IFERROR(INDEX(Staff!$B$5:$B$44,MATCH(I363,Staff!$A$5:$A$44,0)),"Not in Staff"))</f>
        <v>0</v>
      </c>
      <c r="T363" s="25">
        <f>IF(B363="","",COUNTIFS(Appointments!$E$5:$E$1204,A363,Appointments!$M$5:$M$1204,"Completed"))</f>
        <v>0</v>
      </c>
      <c r="U363" s="25">
        <f>IF(B363="","",COUNTIFS(Appointments!$E$5:$E$1204,A363,Appointments!$M$5:$M$1204,"Completed",Appointments!$B$5:$B$1204,"&gt;="&amp;TodayDate-365))</f>
        <v>0</v>
      </c>
      <c r="V363" s="25">
        <f>IF(B363="","",COUNTIFS(Appointments!$E$5:$E$1204,A363,Appointments!$M$5:$M$1204,"Cancelled"))</f>
        <v>0</v>
      </c>
      <c r="W363" s="25">
        <f>IF(B363="","",COUNTIFS(Appointments!$E$5:$E$1204,A363,Appointments!$M$5:$M$1204,"No show"))</f>
        <v>0</v>
      </c>
      <c r="X363" s="17">
        <f>IF(B363="","",IF(F363&lt;&gt;"",F363,IF(T363=0,"",SUMPRODUCT(MIN((Appointments!$E$5:$E$1204=A363)*(Appointments!$M$5:$M$1204="Completed")*Appointments!$B$5:$B$1204+(1-(Appointments!$E$5:$E$1204=A363)*(Appointments!$M$5:$M$1204="Completed"))*2958465)))))</f>
        <v>0</v>
      </c>
      <c r="Y363" s="17">
        <f>IF(B363="","",IF(T363=0,"",SUMPRODUCT(MAX((Appointments!$E$5:$E$1204=A363)*(Appointments!$M$5:$M$1204="Completed")*Appointments!$B$5:$B$1204))))</f>
        <v>0</v>
      </c>
      <c r="Z363" s="25">
        <f>IF(B363="","",IF(Y363="","",TodayDate-Y363))</f>
        <v>0</v>
      </c>
      <c r="AA363" s="42">
        <f>IF(B363="","",SUMPRODUCT(MIN((Appointments!$E$5:$E$1204=A363)*(Appointments!$M$5:$M$1204&lt;&gt;"Cancelled")*(Appointments!$M$5:$M$1204&lt;&gt;"Completed")*(Appointments!$M$5:$M$1204&lt;&gt;"No show")*(Appointments!$B$5:$B$1204&gt;=TodayDate)*Appointments!$B$5:$B$1204+(1-(Appointments!$E$5:$E$1204=A363)*(Appointments!$M$5:$M$1204&lt;&gt;"Cancelled")*(Appointments!$M$5:$M$1204&lt;&gt;"Completed")*(Appointments!$M$5:$M$1204&lt;&gt;"No show")*(Appointments!$B$5:$B$1204&gt;=TodayDate))*2958465)))</f>
        <v>0</v>
      </c>
      <c r="AB363" s="17">
        <f>IF(B363="","",IF(AA363&gt;=2958465,"",AA363))</f>
        <v>0</v>
      </c>
      <c r="AC363" s="25">
        <f>IF(B363="","",IF(T363&lt;2,"",ROUND((Y363-X363)/MAX(1,T363-1),0)))</f>
        <v>0</v>
      </c>
      <c r="AD363" s="17">
        <f>IF(B363="","",IF(Y363="","",Y363+IF(AC363="",RebookWeeks*7,MAX(14,AC363))))</f>
        <v>0</v>
      </c>
      <c r="AE363" s="26">
        <f>IF(B363="","",ROUND(SUMIFS(Sales!$Y$5:$Y$1204,Sales!$D$5:$D$1204,A363),2))</f>
        <v>0</v>
      </c>
      <c r="AF363" s="26">
        <f>IF(B363="","",ROUND(SUMIFS(Sales!$Y$5:$Y$1204,Sales!$D$5:$D$1204,A363,Sales!$H$5:$H$1204,"Service"),2))</f>
        <v>0</v>
      </c>
      <c r="AG363" s="26">
        <f>IF(B363="","",ROUND(SUMIFS(Sales!$Y$5:$Y$1204,Sales!$D$5:$D$1204,A363,Sales!$H$5:$H$1204,"Retail"),2))</f>
        <v>0</v>
      </c>
      <c r="AH363" s="26">
        <f>IF(B363="","",ROUND(SUMIFS(Sales!$Y$5:$Y$1204,Sales!$D$5:$D$1204,A363,Sales!$B$5:$B$1204,"&gt;="&amp;TodayDate-365),2))</f>
        <v>0</v>
      </c>
      <c r="AI363" s="26">
        <f>IF(B363="","",IF(T363=0,"",ROUND(AE363/T363,2)))</f>
        <v>0</v>
      </c>
      <c r="AJ363" s="26">
        <f>IF(B363="","",IF(AI363="","",IF(AC363="","",ROUND(AI363*(365/MAX(14,AC363)),2))))</f>
        <v>0</v>
      </c>
      <c r="AK363" s="26">
        <f>IF(B363="","",ROUND(SUMIFS(Sales!$AH$5:$AH$1204,Sales!$D$5:$D$1204,A363),2))</f>
        <v>0</v>
      </c>
      <c r="AL363" s="25">
        <f>IF(B363="","",IFERROR(INDEX(Loyalty!$P$5:$P$504,MATCH(A363,Loyalty!$B$5:$B$504,0))*1,0))</f>
        <v>0</v>
      </c>
      <c r="AM363" s="39">
        <f>IF(B363="","",IF(R363="Archived","Archived",IF(T363=0,"Not been yet",IF(Z363&gt;=InactiveDays,"Inactive",IF(Z363&gt;=LapsingDays,"Lapsing",IF(T363=1,"New",IF(AH363&gt;=VipSpend,"VIP",IF(U363&gt;=4,"Regular","Active"))))))))</f>
        <v>0</v>
      </c>
      <c r="AN363" s="38">
        <f>IF(B363="","",IF(T363&gt;=2,"Yes","No"))</f>
        <v>0</v>
      </c>
      <c r="AO363" s="25">
        <f>IF(B363="","",COUNTIFS($AE$5:$AE$504,"&gt;"&amp;AE363)+COUNTIFS($AE$5:AE363,AE363))</f>
        <v>0</v>
      </c>
      <c r="AP363" s="25">
        <f>IF(B363="","",COUNTIFS($T$5:$T$504,"&gt;"&amp;T363)+COUNTIFS($T$5:T363,T363))</f>
        <v>0</v>
      </c>
      <c r="AQ363" s="39">
        <f>IF(B363="","",IF(COUNTIF($B$5:$B$504,B363)&gt;1,"Duplicate - same name twice",IF(R363="Archived","",IF(AK363&gt;0.004,"Chase - balance outstanding",IF(AM363="Inactive","Gone - win-back offer",IF(AM363="Lapsing","Chase - lapsing, call them",IF(IF(N363="",FALSE,TodayDate-N363&gt;PatchTestDays),"Due - patch test out of date",IF(IF(AD363="",FALSE,IF(AB363&lt;&gt;"",FALSE,AD363&lt;=TodayDate+14)),"Rebook - due and nothing booked",IF(IF(K363="",FALSE,ABS(DATE(YEAR(TodayDate),MONTH(K363),DAY(K363))-TodayDate)&lt;=7),"Birthday - send the treat","OK")))))))))</f>
        <v>0</v>
      </c>
    </row>
    <row r="364" spans="1:43">
      <c r="A364" s="28">
        <f>IF(B364="","",ClientPrefix&amp;TEXT(ROW()-4,"0000"))</f>
        <v>0</v>
      </c>
      <c r="J364" s="15">
        <f>IF(I364="","",IFERROR(INDEX(Staff!$B$5:$B$44,MATCH(I364,Staff!$A$5:$A$44,0)),"Not in Staff"))</f>
        <v>0</v>
      </c>
      <c r="T364" s="25">
        <f>IF(B364="","",COUNTIFS(Appointments!$E$5:$E$1204,A364,Appointments!$M$5:$M$1204,"Completed"))</f>
        <v>0</v>
      </c>
      <c r="U364" s="25">
        <f>IF(B364="","",COUNTIFS(Appointments!$E$5:$E$1204,A364,Appointments!$M$5:$M$1204,"Completed",Appointments!$B$5:$B$1204,"&gt;="&amp;TodayDate-365))</f>
        <v>0</v>
      </c>
      <c r="V364" s="25">
        <f>IF(B364="","",COUNTIFS(Appointments!$E$5:$E$1204,A364,Appointments!$M$5:$M$1204,"Cancelled"))</f>
        <v>0</v>
      </c>
      <c r="W364" s="25">
        <f>IF(B364="","",COUNTIFS(Appointments!$E$5:$E$1204,A364,Appointments!$M$5:$M$1204,"No show"))</f>
        <v>0</v>
      </c>
      <c r="X364" s="17">
        <f>IF(B364="","",IF(F364&lt;&gt;"",F364,IF(T364=0,"",SUMPRODUCT(MIN((Appointments!$E$5:$E$1204=A364)*(Appointments!$M$5:$M$1204="Completed")*Appointments!$B$5:$B$1204+(1-(Appointments!$E$5:$E$1204=A364)*(Appointments!$M$5:$M$1204="Completed"))*2958465)))))</f>
        <v>0</v>
      </c>
      <c r="Y364" s="17">
        <f>IF(B364="","",IF(T364=0,"",SUMPRODUCT(MAX((Appointments!$E$5:$E$1204=A364)*(Appointments!$M$5:$M$1204="Completed")*Appointments!$B$5:$B$1204))))</f>
        <v>0</v>
      </c>
      <c r="Z364" s="25">
        <f>IF(B364="","",IF(Y364="","",TodayDate-Y364))</f>
        <v>0</v>
      </c>
      <c r="AA364" s="42">
        <f>IF(B364="","",SUMPRODUCT(MIN((Appointments!$E$5:$E$1204=A364)*(Appointments!$M$5:$M$1204&lt;&gt;"Cancelled")*(Appointments!$M$5:$M$1204&lt;&gt;"Completed")*(Appointments!$M$5:$M$1204&lt;&gt;"No show")*(Appointments!$B$5:$B$1204&gt;=TodayDate)*Appointments!$B$5:$B$1204+(1-(Appointments!$E$5:$E$1204=A364)*(Appointments!$M$5:$M$1204&lt;&gt;"Cancelled")*(Appointments!$M$5:$M$1204&lt;&gt;"Completed")*(Appointments!$M$5:$M$1204&lt;&gt;"No show")*(Appointments!$B$5:$B$1204&gt;=TodayDate))*2958465)))</f>
        <v>0</v>
      </c>
      <c r="AB364" s="17">
        <f>IF(B364="","",IF(AA364&gt;=2958465,"",AA364))</f>
        <v>0</v>
      </c>
      <c r="AC364" s="25">
        <f>IF(B364="","",IF(T364&lt;2,"",ROUND((Y364-X364)/MAX(1,T364-1),0)))</f>
        <v>0</v>
      </c>
      <c r="AD364" s="17">
        <f>IF(B364="","",IF(Y364="","",Y364+IF(AC364="",RebookWeeks*7,MAX(14,AC364))))</f>
        <v>0</v>
      </c>
      <c r="AE364" s="26">
        <f>IF(B364="","",ROUND(SUMIFS(Sales!$Y$5:$Y$1204,Sales!$D$5:$D$1204,A364),2))</f>
        <v>0</v>
      </c>
      <c r="AF364" s="26">
        <f>IF(B364="","",ROUND(SUMIFS(Sales!$Y$5:$Y$1204,Sales!$D$5:$D$1204,A364,Sales!$H$5:$H$1204,"Service"),2))</f>
        <v>0</v>
      </c>
      <c r="AG364" s="26">
        <f>IF(B364="","",ROUND(SUMIFS(Sales!$Y$5:$Y$1204,Sales!$D$5:$D$1204,A364,Sales!$H$5:$H$1204,"Retail"),2))</f>
        <v>0</v>
      </c>
      <c r="AH364" s="26">
        <f>IF(B364="","",ROUND(SUMIFS(Sales!$Y$5:$Y$1204,Sales!$D$5:$D$1204,A364,Sales!$B$5:$B$1204,"&gt;="&amp;TodayDate-365),2))</f>
        <v>0</v>
      </c>
      <c r="AI364" s="26">
        <f>IF(B364="","",IF(T364=0,"",ROUND(AE364/T364,2)))</f>
        <v>0</v>
      </c>
      <c r="AJ364" s="26">
        <f>IF(B364="","",IF(AI364="","",IF(AC364="","",ROUND(AI364*(365/MAX(14,AC364)),2))))</f>
        <v>0</v>
      </c>
      <c r="AK364" s="26">
        <f>IF(B364="","",ROUND(SUMIFS(Sales!$AH$5:$AH$1204,Sales!$D$5:$D$1204,A364),2))</f>
        <v>0</v>
      </c>
      <c r="AL364" s="25">
        <f>IF(B364="","",IFERROR(INDEX(Loyalty!$P$5:$P$504,MATCH(A364,Loyalty!$B$5:$B$504,0))*1,0))</f>
        <v>0</v>
      </c>
      <c r="AM364" s="39">
        <f>IF(B364="","",IF(R364="Archived","Archived",IF(T364=0,"Not been yet",IF(Z364&gt;=InactiveDays,"Inactive",IF(Z364&gt;=LapsingDays,"Lapsing",IF(T364=1,"New",IF(AH364&gt;=VipSpend,"VIP",IF(U364&gt;=4,"Regular","Active"))))))))</f>
        <v>0</v>
      </c>
      <c r="AN364" s="38">
        <f>IF(B364="","",IF(T364&gt;=2,"Yes","No"))</f>
        <v>0</v>
      </c>
      <c r="AO364" s="25">
        <f>IF(B364="","",COUNTIFS($AE$5:$AE$504,"&gt;"&amp;AE364)+COUNTIFS($AE$5:AE364,AE364))</f>
        <v>0</v>
      </c>
      <c r="AP364" s="25">
        <f>IF(B364="","",COUNTIFS($T$5:$T$504,"&gt;"&amp;T364)+COUNTIFS($T$5:T364,T364))</f>
        <v>0</v>
      </c>
      <c r="AQ364" s="39">
        <f>IF(B364="","",IF(COUNTIF($B$5:$B$504,B364)&gt;1,"Duplicate - same name twice",IF(R364="Archived","",IF(AK364&gt;0.004,"Chase - balance outstanding",IF(AM364="Inactive","Gone - win-back offer",IF(AM364="Lapsing","Chase - lapsing, call them",IF(IF(N364="",FALSE,TodayDate-N364&gt;PatchTestDays),"Due - patch test out of date",IF(IF(AD364="",FALSE,IF(AB364&lt;&gt;"",FALSE,AD364&lt;=TodayDate+14)),"Rebook - due and nothing booked",IF(IF(K364="",FALSE,ABS(DATE(YEAR(TodayDate),MONTH(K364),DAY(K364))-TodayDate)&lt;=7),"Birthday - send the treat","OK")))))))))</f>
        <v>0</v>
      </c>
    </row>
    <row r="365" spans="1:43">
      <c r="A365" s="28">
        <f>IF(B365="","",ClientPrefix&amp;TEXT(ROW()-4,"0000"))</f>
        <v>0</v>
      </c>
      <c r="J365" s="15">
        <f>IF(I365="","",IFERROR(INDEX(Staff!$B$5:$B$44,MATCH(I365,Staff!$A$5:$A$44,0)),"Not in Staff"))</f>
        <v>0</v>
      </c>
      <c r="T365" s="25">
        <f>IF(B365="","",COUNTIFS(Appointments!$E$5:$E$1204,A365,Appointments!$M$5:$M$1204,"Completed"))</f>
        <v>0</v>
      </c>
      <c r="U365" s="25">
        <f>IF(B365="","",COUNTIFS(Appointments!$E$5:$E$1204,A365,Appointments!$M$5:$M$1204,"Completed",Appointments!$B$5:$B$1204,"&gt;="&amp;TodayDate-365))</f>
        <v>0</v>
      </c>
      <c r="V365" s="25">
        <f>IF(B365="","",COUNTIFS(Appointments!$E$5:$E$1204,A365,Appointments!$M$5:$M$1204,"Cancelled"))</f>
        <v>0</v>
      </c>
      <c r="W365" s="25">
        <f>IF(B365="","",COUNTIFS(Appointments!$E$5:$E$1204,A365,Appointments!$M$5:$M$1204,"No show"))</f>
        <v>0</v>
      </c>
      <c r="X365" s="17">
        <f>IF(B365="","",IF(F365&lt;&gt;"",F365,IF(T365=0,"",SUMPRODUCT(MIN((Appointments!$E$5:$E$1204=A365)*(Appointments!$M$5:$M$1204="Completed")*Appointments!$B$5:$B$1204+(1-(Appointments!$E$5:$E$1204=A365)*(Appointments!$M$5:$M$1204="Completed"))*2958465)))))</f>
        <v>0</v>
      </c>
      <c r="Y365" s="17">
        <f>IF(B365="","",IF(T365=0,"",SUMPRODUCT(MAX((Appointments!$E$5:$E$1204=A365)*(Appointments!$M$5:$M$1204="Completed")*Appointments!$B$5:$B$1204))))</f>
        <v>0</v>
      </c>
      <c r="Z365" s="25">
        <f>IF(B365="","",IF(Y365="","",TodayDate-Y365))</f>
        <v>0</v>
      </c>
      <c r="AA365" s="42">
        <f>IF(B365="","",SUMPRODUCT(MIN((Appointments!$E$5:$E$1204=A365)*(Appointments!$M$5:$M$1204&lt;&gt;"Cancelled")*(Appointments!$M$5:$M$1204&lt;&gt;"Completed")*(Appointments!$M$5:$M$1204&lt;&gt;"No show")*(Appointments!$B$5:$B$1204&gt;=TodayDate)*Appointments!$B$5:$B$1204+(1-(Appointments!$E$5:$E$1204=A365)*(Appointments!$M$5:$M$1204&lt;&gt;"Cancelled")*(Appointments!$M$5:$M$1204&lt;&gt;"Completed")*(Appointments!$M$5:$M$1204&lt;&gt;"No show")*(Appointments!$B$5:$B$1204&gt;=TodayDate))*2958465)))</f>
        <v>0</v>
      </c>
      <c r="AB365" s="17">
        <f>IF(B365="","",IF(AA365&gt;=2958465,"",AA365))</f>
        <v>0</v>
      </c>
      <c r="AC365" s="25">
        <f>IF(B365="","",IF(T365&lt;2,"",ROUND((Y365-X365)/MAX(1,T365-1),0)))</f>
        <v>0</v>
      </c>
      <c r="AD365" s="17">
        <f>IF(B365="","",IF(Y365="","",Y365+IF(AC365="",RebookWeeks*7,MAX(14,AC365))))</f>
        <v>0</v>
      </c>
      <c r="AE365" s="26">
        <f>IF(B365="","",ROUND(SUMIFS(Sales!$Y$5:$Y$1204,Sales!$D$5:$D$1204,A365),2))</f>
        <v>0</v>
      </c>
      <c r="AF365" s="26">
        <f>IF(B365="","",ROUND(SUMIFS(Sales!$Y$5:$Y$1204,Sales!$D$5:$D$1204,A365,Sales!$H$5:$H$1204,"Service"),2))</f>
        <v>0</v>
      </c>
      <c r="AG365" s="26">
        <f>IF(B365="","",ROUND(SUMIFS(Sales!$Y$5:$Y$1204,Sales!$D$5:$D$1204,A365,Sales!$H$5:$H$1204,"Retail"),2))</f>
        <v>0</v>
      </c>
      <c r="AH365" s="26">
        <f>IF(B365="","",ROUND(SUMIFS(Sales!$Y$5:$Y$1204,Sales!$D$5:$D$1204,A365,Sales!$B$5:$B$1204,"&gt;="&amp;TodayDate-365),2))</f>
        <v>0</v>
      </c>
      <c r="AI365" s="26">
        <f>IF(B365="","",IF(T365=0,"",ROUND(AE365/T365,2)))</f>
        <v>0</v>
      </c>
      <c r="AJ365" s="26">
        <f>IF(B365="","",IF(AI365="","",IF(AC365="","",ROUND(AI365*(365/MAX(14,AC365)),2))))</f>
        <v>0</v>
      </c>
      <c r="AK365" s="26">
        <f>IF(B365="","",ROUND(SUMIFS(Sales!$AH$5:$AH$1204,Sales!$D$5:$D$1204,A365),2))</f>
        <v>0</v>
      </c>
      <c r="AL365" s="25">
        <f>IF(B365="","",IFERROR(INDEX(Loyalty!$P$5:$P$504,MATCH(A365,Loyalty!$B$5:$B$504,0))*1,0))</f>
        <v>0</v>
      </c>
      <c r="AM365" s="39">
        <f>IF(B365="","",IF(R365="Archived","Archived",IF(T365=0,"Not been yet",IF(Z365&gt;=InactiveDays,"Inactive",IF(Z365&gt;=LapsingDays,"Lapsing",IF(T365=1,"New",IF(AH365&gt;=VipSpend,"VIP",IF(U365&gt;=4,"Regular","Active"))))))))</f>
        <v>0</v>
      </c>
      <c r="AN365" s="38">
        <f>IF(B365="","",IF(T365&gt;=2,"Yes","No"))</f>
        <v>0</v>
      </c>
      <c r="AO365" s="25">
        <f>IF(B365="","",COUNTIFS($AE$5:$AE$504,"&gt;"&amp;AE365)+COUNTIFS($AE$5:AE365,AE365))</f>
        <v>0</v>
      </c>
      <c r="AP365" s="25">
        <f>IF(B365="","",COUNTIFS($T$5:$T$504,"&gt;"&amp;T365)+COUNTIFS($T$5:T365,T365))</f>
        <v>0</v>
      </c>
      <c r="AQ365" s="39">
        <f>IF(B365="","",IF(COUNTIF($B$5:$B$504,B365)&gt;1,"Duplicate - same name twice",IF(R365="Archived","",IF(AK365&gt;0.004,"Chase - balance outstanding",IF(AM365="Inactive","Gone - win-back offer",IF(AM365="Lapsing","Chase - lapsing, call them",IF(IF(N365="",FALSE,TodayDate-N365&gt;PatchTestDays),"Due - patch test out of date",IF(IF(AD365="",FALSE,IF(AB365&lt;&gt;"",FALSE,AD365&lt;=TodayDate+14)),"Rebook - due and nothing booked",IF(IF(K365="",FALSE,ABS(DATE(YEAR(TodayDate),MONTH(K365),DAY(K365))-TodayDate)&lt;=7),"Birthday - send the treat","OK")))))))))</f>
        <v>0</v>
      </c>
    </row>
    <row r="366" spans="1:43">
      <c r="A366" s="28">
        <f>IF(B366="","",ClientPrefix&amp;TEXT(ROW()-4,"0000"))</f>
        <v>0</v>
      </c>
      <c r="J366" s="15">
        <f>IF(I366="","",IFERROR(INDEX(Staff!$B$5:$B$44,MATCH(I366,Staff!$A$5:$A$44,0)),"Not in Staff"))</f>
        <v>0</v>
      </c>
      <c r="T366" s="25">
        <f>IF(B366="","",COUNTIFS(Appointments!$E$5:$E$1204,A366,Appointments!$M$5:$M$1204,"Completed"))</f>
        <v>0</v>
      </c>
      <c r="U366" s="25">
        <f>IF(B366="","",COUNTIFS(Appointments!$E$5:$E$1204,A366,Appointments!$M$5:$M$1204,"Completed",Appointments!$B$5:$B$1204,"&gt;="&amp;TodayDate-365))</f>
        <v>0</v>
      </c>
      <c r="V366" s="25">
        <f>IF(B366="","",COUNTIFS(Appointments!$E$5:$E$1204,A366,Appointments!$M$5:$M$1204,"Cancelled"))</f>
        <v>0</v>
      </c>
      <c r="W366" s="25">
        <f>IF(B366="","",COUNTIFS(Appointments!$E$5:$E$1204,A366,Appointments!$M$5:$M$1204,"No show"))</f>
        <v>0</v>
      </c>
      <c r="X366" s="17">
        <f>IF(B366="","",IF(F366&lt;&gt;"",F366,IF(T366=0,"",SUMPRODUCT(MIN((Appointments!$E$5:$E$1204=A366)*(Appointments!$M$5:$M$1204="Completed")*Appointments!$B$5:$B$1204+(1-(Appointments!$E$5:$E$1204=A366)*(Appointments!$M$5:$M$1204="Completed"))*2958465)))))</f>
        <v>0</v>
      </c>
      <c r="Y366" s="17">
        <f>IF(B366="","",IF(T366=0,"",SUMPRODUCT(MAX((Appointments!$E$5:$E$1204=A366)*(Appointments!$M$5:$M$1204="Completed")*Appointments!$B$5:$B$1204))))</f>
        <v>0</v>
      </c>
      <c r="Z366" s="25">
        <f>IF(B366="","",IF(Y366="","",TodayDate-Y366))</f>
        <v>0</v>
      </c>
      <c r="AA366" s="42">
        <f>IF(B366="","",SUMPRODUCT(MIN((Appointments!$E$5:$E$1204=A366)*(Appointments!$M$5:$M$1204&lt;&gt;"Cancelled")*(Appointments!$M$5:$M$1204&lt;&gt;"Completed")*(Appointments!$M$5:$M$1204&lt;&gt;"No show")*(Appointments!$B$5:$B$1204&gt;=TodayDate)*Appointments!$B$5:$B$1204+(1-(Appointments!$E$5:$E$1204=A366)*(Appointments!$M$5:$M$1204&lt;&gt;"Cancelled")*(Appointments!$M$5:$M$1204&lt;&gt;"Completed")*(Appointments!$M$5:$M$1204&lt;&gt;"No show")*(Appointments!$B$5:$B$1204&gt;=TodayDate))*2958465)))</f>
        <v>0</v>
      </c>
      <c r="AB366" s="17">
        <f>IF(B366="","",IF(AA366&gt;=2958465,"",AA366))</f>
        <v>0</v>
      </c>
      <c r="AC366" s="25">
        <f>IF(B366="","",IF(T366&lt;2,"",ROUND((Y366-X366)/MAX(1,T366-1),0)))</f>
        <v>0</v>
      </c>
      <c r="AD366" s="17">
        <f>IF(B366="","",IF(Y366="","",Y366+IF(AC366="",RebookWeeks*7,MAX(14,AC366))))</f>
        <v>0</v>
      </c>
      <c r="AE366" s="26">
        <f>IF(B366="","",ROUND(SUMIFS(Sales!$Y$5:$Y$1204,Sales!$D$5:$D$1204,A366),2))</f>
        <v>0</v>
      </c>
      <c r="AF366" s="26">
        <f>IF(B366="","",ROUND(SUMIFS(Sales!$Y$5:$Y$1204,Sales!$D$5:$D$1204,A366,Sales!$H$5:$H$1204,"Service"),2))</f>
        <v>0</v>
      </c>
      <c r="AG366" s="26">
        <f>IF(B366="","",ROUND(SUMIFS(Sales!$Y$5:$Y$1204,Sales!$D$5:$D$1204,A366,Sales!$H$5:$H$1204,"Retail"),2))</f>
        <v>0</v>
      </c>
      <c r="AH366" s="26">
        <f>IF(B366="","",ROUND(SUMIFS(Sales!$Y$5:$Y$1204,Sales!$D$5:$D$1204,A366,Sales!$B$5:$B$1204,"&gt;="&amp;TodayDate-365),2))</f>
        <v>0</v>
      </c>
      <c r="AI366" s="26">
        <f>IF(B366="","",IF(T366=0,"",ROUND(AE366/T366,2)))</f>
        <v>0</v>
      </c>
      <c r="AJ366" s="26">
        <f>IF(B366="","",IF(AI366="","",IF(AC366="","",ROUND(AI366*(365/MAX(14,AC366)),2))))</f>
        <v>0</v>
      </c>
      <c r="AK366" s="26">
        <f>IF(B366="","",ROUND(SUMIFS(Sales!$AH$5:$AH$1204,Sales!$D$5:$D$1204,A366),2))</f>
        <v>0</v>
      </c>
      <c r="AL366" s="25">
        <f>IF(B366="","",IFERROR(INDEX(Loyalty!$P$5:$P$504,MATCH(A366,Loyalty!$B$5:$B$504,0))*1,0))</f>
        <v>0</v>
      </c>
      <c r="AM366" s="39">
        <f>IF(B366="","",IF(R366="Archived","Archived",IF(T366=0,"Not been yet",IF(Z366&gt;=InactiveDays,"Inactive",IF(Z366&gt;=LapsingDays,"Lapsing",IF(T366=1,"New",IF(AH366&gt;=VipSpend,"VIP",IF(U366&gt;=4,"Regular","Active"))))))))</f>
        <v>0</v>
      </c>
      <c r="AN366" s="38">
        <f>IF(B366="","",IF(T366&gt;=2,"Yes","No"))</f>
        <v>0</v>
      </c>
      <c r="AO366" s="25">
        <f>IF(B366="","",COUNTIFS($AE$5:$AE$504,"&gt;"&amp;AE366)+COUNTIFS($AE$5:AE366,AE366))</f>
        <v>0</v>
      </c>
      <c r="AP366" s="25">
        <f>IF(B366="","",COUNTIFS($T$5:$T$504,"&gt;"&amp;T366)+COUNTIFS($T$5:T366,T366))</f>
        <v>0</v>
      </c>
      <c r="AQ366" s="39">
        <f>IF(B366="","",IF(COUNTIF($B$5:$B$504,B366)&gt;1,"Duplicate - same name twice",IF(R366="Archived","",IF(AK366&gt;0.004,"Chase - balance outstanding",IF(AM366="Inactive","Gone - win-back offer",IF(AM366="Lapsing","Chase - lapsing, call them",IF(IF(N366="",FALSE,TodayDate-N366&gt;PatchTestDays),"Due - patch test out of date",IF(IF(AD366="",FALSE,IF(AB366&lt;&gt;"",FALSE,AD366&lt;=TodayDate+14)),"Rebook - due and nothing booked",IF(IF(K366="",FALSE,ABS(DATE(YEAR(TodayDate),MONTH(K366),DAY(K366))-TodayDate)&lt;=7),"Birthday - send the treat","OK")))))))))</f>
        <v>0</v>
      </c>
    </row>
    <row r="367" spans="1:43">
      <c r="A367" s="28">
        <f>IF(B367="","",ClientPrefix&amp;TEXT(ROW()-4,"0000"))</f>
        <v>0</v>
      </c>
      <c r="J367" s="15">
        <f>IF(I367="","",IFERROR(INDEX(Staff!$B$5:$B$44,MATCH(I367,Staff!$A$5:$A$44,0)),"Not in Staff"))</f>
        <v>0</v>
      </c>
      <c r="T367" s="25">
        <f>IF(B367="","",COUNTIFS(Appointments!$E$5:$E$1204,A367,Appointments!$M$5:$M$1204,"Completed"))</f>
        <v>0</v>
      </c>
      <c r="U367" s="25">
        <f>IF(B367="","",COUNTIFS(Appointments!$E$5:$E$1204,A367,Appointments!$M$5:$M$1204,"Completed",Appointments!$B$5:$B$1204,"&gt;="&amp;TodayDate-365))</f>
        <v>0</v>
      </c>
      <c r="V367" s="25">
        <f>IF(B367="","",COUNTIFS(Appointments!$E$5:$E$1204,A367,Appointments!$M$5:$M$1204,"Cancelled"))</f>
        <v>0</v>
      </c>
      <c r="W367" s="25">
        <f>IF(B367="","",COUNTIFS(Appointments!$E$5:$E$1204,A367,Appointments!$M$5:$M$1204,"No show"))</f>
        <v>0</v>
      </c>
      <c r="X367" s="17">
        <f>IF(B367="","",IF(F367&lt;&gt;"",F367,IF(T367=0,"",SUMPRODUCT(MIN((Appointments!$E$5:$E$1204=A367)*(Appointments!$M$5:$M$1204="Completed")*Appointments!$B$5:$B$1204+(1-(Appointments!$E$5:$E$1204=A367)*(Appointments!$M$5:$M$1204="Completed"))*2958465)))))</f>
        <v>0</v>
      </c>
      <c r="Y367" s="17">
        <f>IF(B367="","",IF(T367=0,"",SUMPRODUCT(MAX((Appointments!$E$5:$E$1204=A367)*(Appointments!$M$5:$M$1204="Completed")*Appointments!$B$5:$B$1204))))</f>
        <v>0</v>
      </c>
      <c r="Z367" s="25">
        <f>IF(B367="","",IF(Y367="","",TodayDate-Y367))</f>
        <v>0</v>
      </c>
      <c r="AA367" s="42">
        <f>IF(B367="","",SUMPRODUCT(MIN((Appointments!$E$5:$E$1204=A367)*(Appointments!$M$5:$M$1204&lt;&gt;"Cancelled")*(Appointments!$M$5:$M$1204&lt;&gt;"Completed")*(Appointments!$M$5:$M$1204&lt;&gt;"No show")*(Appointments!$B$5:$B$1204&gt;=TodayDate)*Appointments!$B$5:$B$1204+(1-(Appointments!$E$5:$E$1204=A367)*(Appointments!$M$5:$M$1204&lt;&gt;"Cancelled")*(Appointments!$M$5:$M$1204&lt;&gt;"Completed")*(Appointments!$M$5:$M$1204&lt;&gt;"No show")*(Appointments!$B$5:$B$1204&gt;=TodayDate))*2958465)))</f>
        <v>0</v>
      </c>
      <c r="AB367" s="17">
        <f>IF(B367="","",IF(AA367&gt;=2958465,"",AA367))</f>
        <v>0</v>
      </c>
      <c r="AC367" s="25">
        <f>IF(B367="","",IF(T367&lt;2,"",ROUND((Y367-X367)/MAX(1,T367-1),0)))</f>
        <v>0</v>
      </c>
      <c r="AD367" s="17">
        <f>IF(B367="","",IF(Y367="","",Y367+IF(AC367="",RebookWeeks*7,MAX(14,AC367))))</f>
        <v>0</v>
      </c>
      <c r="AE367" s="26">
        <f>IF(B367="","",ROUND(SUMIFS(Sales!$Y$5:$Y$1204,Sales!$D$5:$D$1204,A367),2))</f>
        <v>0</v>
      </c>
      <c r="AF367" s="26">
        <f>IF(B367="","",ROUND(SUMIFS(Sales!$Y$5:$Y$1204,Sales!$D$5:$D$1204,A367,Sales!$H$5:$H$1204,"Service"),2))</f>
        <v>0</v>
      </c>
      <c r="AG367" s="26">
        <f>IF(B367="","",ROUND(SUMIFS(Sales!$Y$5:$Y$1204,Sales!$D$5:$D$1204,A367,Sales!$H$5:$H$1204,"Retail"),2))</f>
        <v>0</v>
      </c>
      <c r="AH367" s="26">
        <f>IF(B367="","",ROUND(SUMIFS(Sales!$Y$5:$Y$1204,Sales!$D$5:$D$1204,A367,Sales!$B$5:$B$1204,"&gt;="&amp;TodayDate-365),2))</f>
        <v>0</v>
      </c>
      <c r="AI367" s="26">
        <f>IF(B367="","",IF(T367=0,"",ROUND(AE367/T367,2)))</f>
        <v>0</v>
      </c>
      <c r="AJ367" s="26">
        <f>IF(B367="","",IF(AI367="","",IF(AC367="","",ROUND(AI367*(365/MAX(14,AC367)),2))))</f>
        <v>0</v>
      </c>
      <c r="AK367" s="26">
        <f>IF(B367="","",ROUND(SUMIFS(Sales!$AH$5:$AH$1204,Sales!$D$5:$D$1204,A367),2))</f>
        <v>0</v>
      </c>
      <c r="AL367" s="25">
        <f>IF(B367="","",IFERROR(INDEX(Loyalty!$P$5:$P$504,MATCH(A367,Loyalty!$B$5:$B$504,0))*1,0))</f>
        <v>0</v>
      </c>
      <c r="AM367" s="39">
        <f>IF(B367="","",IF(R367="Archived","Archived",IF(T367=0,"Not been yet",IF(Z367&gt;=InactiveDays,"Inactive",IF(Z367&gt;=LapsingDays,"Lapsing",IF(T367=1,"New",IF(AH367&gt;=VipSpend,"VIP",IF(U367&gt;=4,"Regular","Active"))))))))</f>
        <v>0</v>
      </c>
      <c r="AN367" s="38">
        <f>IF(B367="","",IF(T367&gt;=2,"Yes","No"))</f>
        <v>0</v>
      </c>
      <c r="AO367" s="25">
        <f>IF(B367="","",COUNTIFS($AE$5:$AE$504,"&gt;"&amp;AE367)+COUNTIFS($AE$5:AE367,AE367))</f>
        <v>0</v>
      </c>
      <c r="AP367" s="25">
        <f>IF(B367="","",COUNTIFS($T$5:$T$504,"&gt;"&amp;T367)+COUNTIFS($T$5:T367,T367))</f>
        <v>0</v>
      </c>
      <c r="AQ367" s="39">
        <f>IF(B367="","",IF(COUNTIF($B$5:$B$504,B367)&gt;1,"Duplicate - same name twice",IF(R367="Archived","",IF(AK367&gt;0.004,"Chase - balance outstanding",IF(AM367="Inactive","Gone - win-back offer",IF(AM367="Lapsing","Chase - lapsing, call them",IF(IF(N367="",FALSE,TodayDate-N367&gt;PatchTestDays),"Due - patch test out of date",IF(IF(AD367="",FALSE,IF(AB367&lt;&gt;"",FALSE,AD367&lt;=TodayDate+14)),"Rebook - due and nothing booked",IF(IF(K367="",FALSE,ABS(DATE(YEAR(TodayDate),MONTH(K367),DAY(K367))-TodayDate)&lt;=7),"Birthday - send the treat","OK")))))))))</f>
        <v>0</v>
      </c>
    </row>
    <row r="368" spans="1:43">
      <c r="A368" s="28">
        <f>IF(B368="","",ClientPrefix&amp;TEXT(ROW()-4,"0000"))</f>
        <v>0</v>
      </c>
      <c r="J368" s="15">
        <f>IF(I368="","",IFERROR(INDEX(Staff!$B$5:$B$44,MATCH(I368,Staff!$A$5:$A$44,0)),"Not in Staff"))</f>
        <v>0</v>
      </c>
      <c r="T368" s="25">
        <f>IF(B368="","",COUNTIFS(Appointments!$E$5:$E$1204,A368,Appointments!$M$5:$M$1204,"Completed"))</f>
        <v>0</v>
      </c>
      <c r="U368" s="25">
        <f>IF(B368="","",COUNTIFS(Appointments!$E$5:$E$1204,A368,Appointments!$M$5:$M$1204,"Completed",Appointments!$B$5:$B$1204,"&gt;="&amp;TodayDate-365))</f>
        <v>0</v>
      </c>
      <c r="V368" s="25">
        <f>IF(B368="","",COUNTIFS(Appointments!$E$5:$E$1204,A368,Appointments!$M$5:$M$1204,"Cancelled"))</f>
        <v>0</v>
      </c>
      <c r="W368" s="25">
        <f>IF(B368="","",COUNTIFS(Appointments!$E$5:$E$1204,A368,Appointments!$M$5:$M$1204,"No show"))</f>
        <v>0</v>
      </c>
      <c r="X368" s="17">
        <f>IF(B368="","",IF(F368&lt;&gt;"",F368,IF(T368=0,"",SUMPRODUCT(MIN((Appointments!$E$5:$E$1204=A368)*(Appointments!$M$5:$M$1204="Completed")*Appointments!$B$5:$B$1204+(1-(Appointments!$E$5:$E$1204=A368)*(Appointments!$M$5:$M$1204="Completed"))*2958465)))))</f>
        <v>0</v>
      </c>
      <c r="Y368" s="17">
        <f>IF(B368="","",IF(T368=0,"",SUMPRODUCT(MAX((Appointments!$E$5:$E$1204=A368)*(Appointments!$M$5:$M$1204="Completed")*Appointments!$B$5:$B$1204))))</f>
        <v>0</v>
      </c>
      <c r="Z368" s="25">
        <f>IF(B368="","",IF(Y368="","",TodayDate-Y368))</f>
        <v>0</v>
      </c>
      <c r="AA368" s="42">
        <f>IF(B368="","",SUMPRODUCT(MIN((Appointments!$E$5:$E$1204=A368)*(Appointments!$M$5:$M$1204&lt;&gt;"Cancelled")*(Appointments!$M$5:$M$1204&lt;&gt;"Completed")*(Appointments!$M$5:$M$1204&lt;&gt;"No show")*(Appointments!$B$5:$B$1204&gt;=TodayDate)*Appointments!$B$5:$B$1204+(1-(Appointments!$E$5:$E$1204=A368)*(Appointments!$M$5:$M$1204&lt;&gt;"Cancelled")*(Appointments!$M$5:$M$1204&lt;&gt;"Completed")*(Appointments!$M$5:$M$1204&lt;&gt;"No show")*(Appointments!$B$5:$B$1204&gt;=TodayDate))*2958465)))</f>
        <v>0</v>
      </c>
      <c r="AB368" s="17">
        <f>IF(B368="","",IF(AA368&gt;=2958465,"",AA368))</f>
        <v>0</v>
      </c>
      <c r="AC368" s="25">
        <f>IF(B368="","",IF(T368&lt;2,"",ROUND((Y368-X368)/MAX(1,T368-1),0)))</f>
        <v>0</v>
      </c>
      <c r="AD368" s="17">
        <f>IF(B368="","",IF(Y368="","",Y368+IF(AC368="",RebookWeeks*7,MAX(14,AC368))))</f>
        <v>0</v>
      </c>
      <c r="AE368" s="26">
        <f>IF(B368="","",ROUND(SUMIFS(Sales!$Y$5:$Y$1204,Sales!$D$5:$D$1204,A368),2))</f>
        <v>0</v>
      </c>
      <c r="AF368" s="26">
        <f>IF(B368="","",ROUND(SUMIFS(Sales!$Y$5:$Y$1204,Sales!$D$5:$D$1204,A368,Sales!$H$5:$H$1204,"Service"),2))</f>
        <v>0</v>
      </c>
      <c r="AG368" s="26">
        <f>IF(B368="","",ROUND(SUMIFS(Sales!$Y$5:$Y$1204,Sales!$D$5:$D$1204,A368,Sales!$H$5:$H$1204,"Retail"),2))</f>
        <v>0</v>
      </c>
      <c r="AH368" s="26">
        <f>IF(B368="","",ROUND(SUMIFS(Sales!$Y$5:$Y$1204,Sales!$D$5:$D$1204,A368,Sales!$B$5:$B$1204,"&gt;="&amp;TodayDate-365),2))</f>
        <v>0</v>
      </c>
      <c r="AI368" s="26">
        <f>IF(B368="","",IF(T368=0,"",ROUND(AE368/T368,2)))</f>
        <v>0</v>
      </c>
      <c r="AJ368" s="26">
        <f>IF(B368="","",IF(AI368="","",IF(AC368="","",ROUND(AI368*(365/MAX(14,AC368)),2))))</f>
        <v>0</v>
      </c>
      <c r="AK368" s="26">
        <f>IF(B368="","",ROUND(SUMIFS(Sales!$AH$5:$AH$1204,Sales!$D$5:$D$1204,A368),2))</f>
        <v>0</v>
      </c>
      <c r="AL368" s="25">
        <f>IF(B368="","",IFERROR(INDEX(Loyalty!$P$5:$P$504,MATCH(A368,Loyalty!$B$5:$B$504,0))*1,0))</f>
        <v>0</v>
      </c>
      <c r="AM368" s="39">
        <f>IF(B368="","",IF(R368="Archived","Archived",IF(T368=0,"Not been yet",IF(Z368&gt;=InactiveDays,"Inactive",IF(Z368&gt;=LapsingDays,"Lapsing",IF(T368=1,"New",IF(AH368&gt;=VipSpend,"VIP",IF(U368&gt;=4,"Regular","Active"))))))))</f>
        <v>0</v>
      </c>
      <c r="AN368" s="38">
        <f>IF(B368="","",IF(T368&gt;=2,"Yes","No"))</f>
        <v>0</v>
      </c>
      <c r="AO368" s="25">
        <f>IF(B368="","",COUNTIFS($AE$5:$AE$504,"&gt;"&amp;AE368)+COUNTIFS($AE$5:AE368,AE368))</f>
        <v>0</v>
      </c>
      <c r="AP368" s="25">
        <f>IF(B368="","",COUNTIFS($T$5:$T$504,"&gt;"&amp;T368)+COUNTIFS($T$5:T368,T368))</f>
        <v>0</v>
      </c>
      <c r="AQ368" s="39">
        <f>IF(B368="","",IF(COUNTIF($B$5:$B$504,B368)&gt;1,"Duplicate - same name twice",IF(R368="Archived","",IF(AK368&gt;0.004,"Chase - balance outstanding",IF(AM368="Inactive","Gone - win-back offer",IF(AM368="Lapsing","Chase - lapsing, call them",IF(IF(N368="",FALSE,TodayDate-N368&gt;PatchTestDays),"Due - patch test out of date",IF(IF(AD368="",FALSE,IF(AB368&lt;&gt;"",FALSE,AD368&lt;=TodayDate+14)),"Rebook - due and nothing booked",IF(IF(K368="",FALSE,ABS(DATE(YEAR(TodayDate),MONTH(K368),DAY(K368))-TodayDate)&lt;=7),"Birthday - send the treat","OK")))))))))</f>
        <v>0</v>
      </c>
    </row>
    <row r="369" spans="1:43">
      <c r="A369" s="28">
        <f>IF(B369="","",ClientPrefix&amp;TEXT(ROW()-4,"0000"))</f>
        <v>0</v>
      </c>
      <c r="J369" s="15">
        <f>IF(I369="","",IFERROR(INDEX(Staff!$B$5:$B$44,MATCH(I369,Staff!$A$5:$A$44,0)),"Not in Staff"))</f>
        <v>0</v>
      </c>
      <c r="T369" s="25">
        <f>IF(B369="","",COUNTIFS(Appointments!$E$5:$E$1204,A369,Appointments!$M$5:$M$1204,"Completed"))</f>
        <v>0</v>
      </c>
      <c r="U369" s="25">
        <f>IF(B369="","",COUNTIFS(Appointments!$E$5:$E$1204,A369,Appointments!$M$5:$M$1204,"Completed",Appointments!$B$5:$B$1204,"&gt;="&amp;TodayDate-365))</f>
        <v>0</v>
      </c>
      <c r="V369" s="25">
        <f>IF(B369="","",COUNTIFS(Appointments!$E$5:$E$1204,A369,Appointments!$M$5:$M$1204,"Cancelled"))</f>
        <v>0</v>
      </c>
      <c r="W369" s="25">
        <f>IF(B369="","",COUNTIFS(Appointments!$E$5:$E$1204,A369,Appointments!$M$5:$M$1204,"No show"))</f>
        <v>0</v>
      </c>
      <c r="X369" s="17">
        <f>IF(B369="","",IF(F369&lt;&gt;"",F369,IF(T369=0,"",SUMPRODUCT(MIN((Appointments!$E$5:$E$1204=A369)*(Appointments!$M$5:$M$1204="Completed")*Appointments!$B$5:$B$1204+(1-(Appointments!$E$5:$E$1204=A369)*(Appointments!$M$5:$M$1204="Completed"))*2958465)))))</f>
        <v>0</v>
      </c>
      <c r="Y369" s="17">
        <f>IF(B369="","",IF(T369=0,"",SUMPRODUCT(MAX((Appointments!$E$5:$E$1204=A369)*(Appointments!$M$5:$M$1204="Completed")*Appointments!$B$5:$B$1204))))</f>
        <v>0</v>
      </c>
      <c r="Z369" s="25">
        <f>IF(B369="","",IF(Y369="","",TodayDate-Y369))</f>
        <v>0</v>
      </c>
      <c r="AA369" s="42">
        <f>IF(B369="","",SUMPRODUCT(MIN((Appointments!$E$5:$E$1204=A369)*(Appointments!$M$5:$M$1204&lt;&gt;"Cancelled")*(Appointments!$M$5:$M$1204&lt;&gt;"Completed")*(Appointments!$M$5:$M$1204&lt;&gt;"No show")*(Appointments!$B$5:$B$1204&gt;=TodayDate)*Appointments!$B$5:$B$1204+(1-(Appointments!$E$5:$E$1204=A369)*(Appointments!$M$5:$M$1204&lt;&gt;"Cancelled")*(Appointments!$M$5:$M$1204&lt;&gt;"Completed")*(Appointments!$M$5:$M$1204&lt;&gt;"No show")*(Appointments!$B$5:$B$1204&gt;=TodayDate))*2958465)))</f>
        <v>0</v>
      </c>
      <c r="AB369" s="17">
        <f>IF(B369="","",IF(AA369&gt;=2958465,"",AA369))</f>
        <v>0</v>
      </c>
      <c r="AC369" s="25">
        <f>IF(B369="","",IF(T369&lt;2,"",ROUND((Y369-X369)/MAX(1,T369-1),0)))</f>
        <v>0</v>
      </c>
      <c r="AD369" s="17">
        <f>IF(B369="","",IF(Y369="","",Y369+IF(AC369="",RebookWeeks*7,MAX(14,AC369))))</f>
        <v>0</v>
      </c>
      <c r="AE369" s="26">
        <f>IF(B369="","",ROUND(SUMIFS(Sales!$Y$5:$Y$1204,Sales!$D$5:$D$1204,A369),2))</f>
        <v>0</v>
      </c>
      <c r="AF369" s="26">
        <f>IF(B369="","",ROUND(SUMIFS(Sales!$Y$5:$Y$1204,Sales!$D$5:$D$1204,A369,Sales!$H$5:$H$1204,"Service"),2))</f>
        <v>0</v>
      </c>
      <c r="AG369" s="26">
        <f>IF(B369="","",ROUND(SUMIFS(Sales!$Y$5:$Y$1204,Sales!$D$5:$D$1204,A369,Sales!$H$5:$H$1204,"Retail"),2))</f>
        <v>0</v>
      </c>
      <c r="AH369" s="26">
        <f>IF(B369="","",ROUND(SUMIFS(Sales!$Y$5:$Y$1204,Sales!$D$5:$D$1204,A369,Sales!$B$5:$B$1204,"&gt;="&amp;TodayDate-365),2))</f>
        <v>0</v>
      </c>
      <c r="AI369" s="26">
        <f>IF(B369="","",IF(T369=0,"",ROUND(AE369/T369,2)))</f>
        <v>0</v>
      </c>
      <c r="AJ369" s="26">
        <f>IF(B369="","",IF(AI369="","",IF(AC369="","",ROUND(AI369*(365/MAX(14,AC369)),2))))</f>
        <v>0</v>
      </c>
      <c r="AK369" s="26">
        <f>IF(B369="","",ROUND(SUMIFS(Sales!$AH$5:$AH$1204,Sales!$D$5:$D$1204,A369),2))</f>
        <v>0</v>
      </c>
      <c r="AL369" s="25">
        <f>IF(B369="","",IFERROR(INDEX(Loyalty!$P$5:$P$504,MATCH(A369,Loyalty!$B$5:$B$504,0))*1,0))</f>
        <v>0</v>
      </c>
      <c r="AM369" s="39">
        <f>IF(B369="","",IF(R369="Archived","Archived",IF(T369=0,"Not been yet",IF(Z369&gt;=InactiveDays,"Inactive",IF(Z369&gt;=LapsingDays,"Lapsing",IF(T369=1,"New",IF(AH369&gt;=VipSpend,"VIP",IF(U369&gt;=4,"Regular","Active"))))))))</f>
        <v>0</v>
      </c>
      <c r="AN369" s="38">
        <f>IF(B369="","",IF(T369&gt;=2,"Yes","No"))</f>
        <v>0</v>
      </c>
      <c r="AO369" s="25">
        <f>IF(B369="","",COUNTIFS($AE$5:$AE$504,"&gt;"&amp;AE369)+COUNTIFS($AE$5:AE369,AE369))</f>
        <v>0</v>
      </c>
      <c r="AP369" s="25">
        <f>IF(B369="","",COUNTIFS($T$5:$T$504,"&gt;"&amp;T369)+COUNTIFS($T$5:T369,T369))</f>
        <v>0</v>
      </c>
      <c r="AQ369" s="39">
        <f>IF(B369="","",IF(COUNTIF($B$5:$B$504,B369)&gt;1,"Duplicate - same name twice",IF(R369="Archived","",IF(AK369&gt;0.004,"Chase - balance outstanding",IF(AM369="Inactive","Gone - win-back offer",IF(AM369="Lapsing","Chase - lapsing, call them",IF(IF(N369="",FALSE,TodayDate-N369&gt;PatchTestDays),"Due - patch test out of date",IF(IF(AD369="",FALSE,IF(AB369&lt;&gt;"",FALSE,AD369&lt;=TodayDate+14)),"Rebook - due and nothing booked",IF(IF(K369="",FALSE,ABS(DATE(YEAR(TodayDate),MONTH(K369),DAY(K369))-TodayDate)&lt;=7),"Birthday - send the treat","OK")))))))))</f>
        <v>0</v>
      </c>
    </row>
    <row r="370" spans="1:43">
      <c r="A370" s="28">
        <f>IF(B370="","",ClientPrefix&amp;TEXT(ROW()-4,"0000"))</f>
        <v>0</v>
      </c>
      <c r="J370" s="15">
        <f>IF(I370="","",IFERROR(INDEX(Staff!$B$5:$B$44,MATCH(I370,Staff!$A$5:$A$44,0)),"Not in Staff"))</f>
        <v>0</v>
      </c>
      <c r="T370" s="25">
        <f>IF(B370="","",COUNTIFS(Appointments!$E$5:$E$1204,A370,Appointments!$M$5:$M$1204,"Completed"))</f>
        <v>0</v>
      </c>
      <c r="U370" s="25">
        <f>IF(B370="","",COUNTIFS(Appointments!$E$5:$E$1204,A370,Appointments!$M$5:$M$1204,"Completed",Appointments!$B$5:$B$1204,"&gt;="&amp;TodayDate-365))</f>
        <v>0</v>
      </c>
      <c r="V370" s="25">
        <f>IF(B370="","",COUNTIFS(Appointments!$E$5:$E$1204,A370,Appointments!$M$5:$M$1204,"Cancelled"))</f>
        <v>0</v>
      </c>
      <c r="W370" s="25">
        <f>IF(B370="","",COUNTIFS(Appointments!$E$5:$E$1204,A370,Appointments!$M$5:$M$1204,"No show"))</f>
        <v>0</v>
      </c>
      <c r="X370" s="17">
        <f>IF(B370="","",IF(F370&lt;&gt;"",F370,IF(T370=0,"",SUMPRODUCT(MIN((Appointments!$E$5:$E$1204=A370)*(Appointments!$M$5:$M$1204="Completed")*Appointments!$B$5:$B$1204+(1-(Appointments!$E$5:$E$1204=A370)*(Appointments!$M$5:$M$1204="Completed"))*2958465)))))</f>
        <v>0</v>
      </c>
      <c r="Y370" s="17">
        <f>IF(B370="","",IF(T370=0,"",SUMPRODUCT(MAX((Appointments!$E$5:$E$1204=A370)*(Appointments!$M$5:$M$1204="Completed")*Appointments!$B$5:$B$1204))))</f>
        <v>0</v>
      </c>
      <c r="Z370" s="25">
        <f>IF(B370="","",IF(Y370="","",TodayDate-Y370))</f>
        <v>0</v>
      </c>
      <c r="AA370" s="42">
        <f>IF(B370="","",SUMPRODUCT(MIN((Appointments!$E$5:$E$1204=A370)*(Appointments!$M$5:$M$1204&lt;&gt;"Cancelled")*(Appointments!$M$5:$M$1204&lt;&gt;"Completed")*(Appointments!$M$5:$M$1204&lt;&gt;"No show")*(Appointments!$B$5:$B$1204&gt;=TodayDate)*Appointments!$B$5:$B$1204+(1-(Appointments!$E$5:$E$1204=A370)*(Appointments!$M$5:$M$1204&lt;&gt;"Cancelled")*(Appointments!$M$5:$M$1204&lt;&gt;"Completed")*(Appointments!$M$5:$M$1204&lt;&gt;"No show")*(Appointments!$B$5:$B$1204&gt;=TodayDate))*2958465)))</f>
        <v>0</v>
      </c>
      <c r="AB370" s="17">
        <f>IF(B370="","",IF(AA370&gt;=2958465,"",AA370))</f>
        <v>0</v>
      </c>
      <c r="AC370" s="25">
        <f>IF(B370="","",IF(T370&lt;2,"",ROUND((Y370-X370)/MAX(1,T370-1),0)))</f>
        <v>0</v>
      </c>
      <c r="AD370" s="17">
        <f>IF(B370="","",IF(Y370="","",Y370+IF(AC370="",RebookWeeks*7,MAX(14,AC370))))</f>
        <v>0</v>
      </c>
      <c r="AE370" s="26">
        <f>IF(B370="","",ROUND(SUMIFS(Sales!$Y$5:$Y$1204,Sales!$D$5:$D$1204,A370),2))</f>
        <v>0</v>
      </c>
      <c r="AF370" s="26">
        <f>IF(B370="","",ROUND(SUMIFS(Sales!$Y$5:$Y$1204,Sales!$D$5:$D$1204,A370,Sales!$H$5:$H$1204,"Service"),2))</f>
        <v>0</v>
      </c>
      <c r="AG370" s="26">
        <f>IF(B370="","",ROUND(SUMIFS(Sales!$Y$5:$Y$1204,Sales!$D$5:$D$1204,A370,Sales!$H$5:$H$1204,"Retail"),2))</f>
        <v>0</v>
      </c>
      <c r="AH370" s="26">
        <f>IF(B370="","",ROUND(SUMIFS(Sales!$Y$5:$Y$1204,Sales!$D$5:$D$1204,A370,Sales!$B$5:$B$1204,"&gt;="&amp;TodayDate-365),2))</f>
        <v>0</v>
      </c>
      <c r="AI370" s="26">
        <f>IF(B370="","",IF(T370=0,"",ROUND(AE370/T370,2)))</f>
        <v>0</v>
      </c>
      <c r="AJ370" s="26">
        <f>IF(B370="","",IF(AI370="","",IF(AC370="","",ROUND(AI370*(365/MAX(14,AC370)),2))))</f>
        <v>0</v>
      </c>
      <c r="AK370" s="26">
        <f>IF(B370="","",ROUND(SUMIFS(Sales!$AH$5:$AH$1204,Sales!$D$5:$D$1204,A370),2))</f>
        <v>0</v>
      </c>
      <c r="AL370" s="25">
        <f>IF(B370="","",IFERROR(INDEX(Loyalty!$P$5:$P$504,MATCH(A370,Loyalty!$B$5:$B$504,0))*1,0))</f>
        <v>0</v>
      </c>
      <c r="AM370" s="39">
        <f>IF(B370="","",IF(R370="Archived","Archived",IF(T370=0,"Not been yet",IF(Z370&gt;=InactiveDays,"Inactive",IF(Z370&gt;=LapsingDays,"Lapsing",IF(T370=1,"New",IF(AH370&gt;=VipSpend,"VIP",IF(U370&gt;=4,"Regular","Active"))))))))</f>
        <v>0</v>
      </c>
      <c r="AN370" s="38">
        <f>IF(B370="","",IF(T370&gt;=2,"Yes","No"))</f>
        <v>0</v>
      </c>
      <c r="AO370" s="25">
        <f>IF(B370="","",COUNTIFS($AE$5:$AE$504,"&gt;"&amp;AE370)+COUNTIFS($AE$5:AE370,AE370))</f>
        <v>0</v>
      </c>
      <c r="AP370" s="25">
        <f>IF(B370="","",COUNTIFS($T$5:$T$504,"&gt;"&amp;T370)+COUNTIFS($T$5:T370,T370))</f>
        <v>0</v>
      </c>
      <c r="AQ370" s="39">
        <f>IF(B370="","",IF(COUNTIF($B$5:$B$504,B370)&gt;1,"Duplicate - same name twice",IF(R370="Archived","",IF(AK370&gt;0.004,"Chase - balance outstanding",IF(AM370="Inactive","Gone - win-back offer",IF(AM370="Lapsing","Chase - lapsing, call them",IF(IF(N370="",FALSE,TodayDate-N370&gt;PatchTestDays),"Due - patch test out of date",IF(IF(AD370="",FALSE,IF(AB370&lt;&gt;"",FALSE,AD370&lt;=TodayDate+14)),"Rebook - due and nothing booked",IF(IF(K370="",FALSE,ABS(DATE(YEAR(TodayDate),MONTH(K370),DAY(K370))-TodayDate)&lt;=7),"Birthday - send the treat","OK")))))))))</f>
        <v>0</v>
      </c>
    </row>
    <row r="371" spans="1:43">
      <c r="A371" s="28">
        <f>IF(B371="","",ClientPrefix&amp;TEXT(ROW()-4,"0000"))</f>
        <v>0</v>
      </c>
      <c r="J371" s="15">
        <f>IF(I371="","",IFERROR(INDEX(Staff!$B$5:$B$44,MATCH(I371,Staff!$A$5:$A$44,0)),"Not in Staff"))</f>
        <v>0</v>
      </c>
      <c r="T371" s="25">
        <f>IF(B371="","",COUNTIFS(Appointments!$E$5:$E$1204,A371,Appointments!$M$5:$M$1204,"Completed"))</f>
        <v>0</v>
      </c>
      <c r="U371" s="25">
        <f>IF(B371="","",COUNTIFS(Appointments!$E$5:$E$1204,A371,Appointments!$M$5:$M$1204,"Completed",Appointments!$B$5:$B$1204,"&gt;="&amp;TodayDate-365))</f>
        <v>0</v>
      </c>
      <c r="V371" s="25">
        <f>IF(B371="","",COUNTIFS(Appointments!$E$5:$E$1204,A371,Appointments!$M$5:$M$1204,"Cancelled"))</f>
        <v>0</v>
      </c>
      <c r="W371" s="25">
        <f>IF(B371="","",COUNTIFS(Appointments!$E$5:$E$1204,A371,Appointments!$M$5:$M$1204,"No show"))</f>
        <v>0</v>
      </c>
      <c r="X371" s="17">
        <f>IF(B371="","",IF(F371&lt;&gt;"",F371,IF(T371=0,"",SUMPRODUCT(MIN((Appointments!$E$5:$E$1204=A371)*(Appointments!$M$5:$M$1204="Completed")*Appointments!$B$5:$B$1204+(1-(Appointments!$E$5:$E$1204=A371)*(Appointments!$M$5:$M$1204="Completed"))*2958465)))))</f>
        <v>0</v>
      </c>
      <c r="Y371" s="17">
        <f>IF(B371="","",IF(T371=0,"",SUMPRODUCT(MAX((Appointments!$E$5:$E$1204=A371)*(Appointments!$M$5:$M$1204="Completed")*Appointments!$B$5:$B$1204))))</f>
        <v>0</v>
      </c>
      <c r="Z371" s="25">
        <f>IF(B371="","",IF(Y371="","",TodayDate-Y371))</f>
        <v>0</v>
      </c>
      <c r="AA371" s="42">
        <f>IF(B371="","",SUMPRODUCT(MIN((Appointments!$E$5:$E$1204=A371)*(Appointments!$M$5:$M$1204&lt;&gt;"Cancelled")*(Appointments!$M$5:$M$1204&lt;&gt;"Completed")*(Appointments!$M$5:$M$1204&lt;&gt;"No show")*(Appointments!$B$5:$B$1204&gt;=TodayDate)*Appointments!$B$5:$B$1204+(1-(Appointments!$E$5:$E$1204=A371)*(Appointments!$M$5:$M$1204&lt;&gt;"Cancelled")*(Appointments!$M$5:$M$1204&lt;&gt;"Completed")*(Appointments!$M$5:$M$1204&lt;&gt;"No show")*(Appointments!$B$5:$B$1204&gt;=TodayDate))*2958465)))</f>
        <v>0</v>
      </c>
      <c r="AB371" s="17">
        <f>IF(B371="","",IF(AA371&gt;=2958465,"",AA371))</f>
        <v>0</v>
      </c>
      <c r="AC371" s="25">
        <f>IF(B371="","",IF(T371&lt;2,"",ROUND((Y371-X371)/MAX(1,T371-1),0)))</f>
        <v>0</v>
      </c>
      <c r="AD371" s="17">
        <f>IF(B371="","",IF(Y371="","",Y371+IF(AC371="",RebookWeeks*7,MAX(14,AC371))))</f>
        <v>0</v>
      </c>
      <c r="AE371" s="26">
        <f>IF(B371="","",ROUND(SUMIFS(Sales!$Y$5:$Y$1204,Sales!$D$5:$D$1204,A371),2))</f>
        <v>0</v>
      </c>
      <c r="AF371" s="26">
        <f>IF(B371="","",ROUND(SUMIFS(Sales!$Y$5:$Y$1204,Sales!$D$5:$D$1204,A371,Sales!$H$5:$H$1204,"Service"),2))</f>
        <v>0</v>
      </c>
      <c r="AG371" s="26">
        <f>IF(B371="","",ROUND(SUMIFS(Sales!$Y$5:$Y$1204,Sales!$D$5:$D$1204,A371,Sales!$H$5:$H$1204,"Retail"),2))</f>
        <v>0</v>
      </c>
      <c r="AH371" s="26">
        <f>IF(B371="","",ROUND(SUMIFS(Sales!$Y$5:$Y$1204,Sales!$D$5:$D$1204,A371,Sales!$B$5:$B$1204,"&gt;="&amp;TodayDate-365),2))</f>
        <v>0</v>
      </c>
      <c r="AI371" s="26">
        <f>IF(B371="","",IF(T371=0,"",ROUND(AE371/T371,2)))</f>
        <v>0</v>
      </c>
      <c r="AJ371" s="26">
        <f>IF(B371="","",IF(AI371="","",IF(AC371="","",ROUND(AI371*(365/MAX(14,AC371)),2))))</f>
        <v>0</v>
      </c>
      <c r="AK371" s="26">
        <f>IF(B371="","",ROUND(SUMIFS(Sales!$AH$5:$AH$1204,Sales!$D$5:$D$1204,A371),2))</f>
        <v>0</v>
      </c>
      <c r="AL371" s="25">
        <f>IF(B371="","",IFERROR(INDEX(Loyalty!$P$5:$P$504,MATCH(A371,Loyalty!$B$5:$B$504,0))*1,0))</f>
        <v>0</v>
      </c>
      <c r="AM371" s="39">
        <f>IF(B371="","",IF(R371="Archived","Archived",IF(T371=0,"Not been yet",IF(Z371&gt;=InactiveDays,"Inactive",IF(Z371&gt;=LapsingDays,"Lapsing",IF(T371=1,"New",IF(AH371&gt;=VipSpend,"VIP",IF(U371&gt;=4,"Regular","Active"))))))))</f>
        <v>0</v>
      </c>
      <c r="AN371" s="38">
        <f>IF(B371="","",IF(T371&gt;=2,"Yes","No"))</f>
        <v>0</v>
      </c>
      <c r="AO371" s="25">
        <f>IF(B371="","",COUNTIFS($AE$5:$AE$504,"&gt;"&amp;AE371)+COUNTIFS($AE$5:AE371,AE371))</f>
        <v>0</v>
      </c>
      <c r="AP371" s="25">
        <f>IF(B371="","",COUNTIFS($T$5:$T$504,"&gt;"&amp;T371)+COUNTIFS($T$5:T371,T371))</f>
        <v>0</v>
      </c>
      <c r="AQ371" s="39">
        <f>IF(B371="","",IF(COUNTIF($B$5:$B$504,B371)&gt;1,"Duplicate - same name twice",IF(R371="Archived","",IF(AK371&gt;0.004,"Chase - balance outstanding",IF(AM371="Inactive","Gone - win-back offer",IF(AM371="Lapsing","Chase - lapsing, call them",IF(IF(N371="",FALSE,TodayDate-N371&gt;PatchTestDays),"Due - patch test out of date",IF(IF(AD371="",FALSE,IF(AB371&lt;&gt;"",FALSE,AD371&lt;=TodayDate+14)),"Rebook - due and nothing booked",IF(IF(K371="",FALSE,ABS(DATE(YEAR(TodayDate),MONTH(K371),DAY(K371))-TodayDate)&lt;=7),"Birthday - send the treat","OK")))))))))</f>
        <v>0</v>
      </c>
    </row>
    <row r="372" spans="1:43">
      <c r="A372" s="28">
        <f>IF(B372="","",ClientPrefix&amp;TEXT(ROW()-4,"0000"))</f>
        <v>0</v>
      </c>
      <c r="J372" s="15">
        <f>IF(I372="","",IFERROR(INDEX(Staff!$B$5:$B$44,MATCH(I372,Staff!$A$5:$A$44,0)),"Not in Staff"))</f>
        <v>0</v>
      </c>
      <c r="T372" s="25">
        <f>IF(B372="","",COUNTIFS(Appointments!$E$5:$E$1204,A372,Appointments!$M$5:$M$1204,"Completed"))</f>
        <v>0</v>
      </c>
      <c r="U372" s="25">
        <f>IF(B372="","",COUNTIFS(Appointments!$E$5:$E$1204,A372,Appointments!$M$5:$M$1204,"Completed",Appointments!$B$5:$B$1204,"&gt;="&amp;TodayDate-365))</f>
        <v>0</v>
      </c>
      <c r="V372" s="25">
        <f>IF(B372="","",COUNTIFS(Appointments!$E$5:$E$1204,A372,Appointments!$M$5:$M$1204,"Cancelled"))</f>
        <v>0</v>
      </c>
      <c r="W372" s="25">
        <f>IF(B372="","",COUNTIFS(Appointments!$E$5:$E$1204,A372,Appointments!$M$5:$M$1204,"No show"))</f>
        <v>0</v>
      </c>
      <c r="X372" s="17">
        <f>IF(B372="","",IF(F372&lt;&gt;"",F372,IF(T372=0,"",SUMPRODUCT(MIN((Appointments!$E$5:$E$1204=A372)*(Appointments!$M$5:$M$1204="Completed")*Appointments!$B$5:$B$1204+(1-(Appointments!$E$5:$E$1204=A372)*(Appointments!$M$5:$M$1204="Completed"))*2958465)))))</f>
        <v>0</v>
      </c>
      <c r="Y372" s="17">
        <f>IF(B372="","",IF(T372=0,"",SUMPRODUCT(MAX((Appointments!$E$5:$E$1204=A372)*(Appointments!$M$5:$M$1204="Completed")*Appointments!$B$5:$B$1204))))</f>
        <v>0</v>
      </c>
      <c r="Z372" s="25">
        <f>IF(B372="","",IF(Y372="","",TodayDate-Y372))</f>
        <v>0</v>
      </c>
      <c r="AA372" s="42">
        <f>IF(B372="","",SUMPRODUCT(MIN((Appointments!$E$5:$E$1204=A372)*(Appointments!$M$5:$M$1204&lt;&gt;"Cancelled")*(Appointments!$M$5:$M$1204&lt;&gt;"Completed")*(Appointments!$M$5:$M$1204&lt;&gt;"No show")*(Appointments!$B$5:$B$1204&gt;=TodayDate)*Appointments!$B$5:$B$1204+(1-(Appointments!$E$5:$E$1204=A372)*(Appointments!$M$5:$M$1204&lt;&gt;"Cancelled")*(Appointments!$M$5:$M$1204&lt;&gt;"Completed")*(Appointments!$M$5:$M$1204&lt;&gt;"No show")*(Appointments!$B$5:$B$1204&gt;=TodayDate))*2958465)))</f>
        <v>0</v>
      </c>
      <c r="AB372" s="17">
        <f>IF(B372="","",IF(AA372&gt;=2958465,"",AA372))</f>
        <v>0</v>
      </c>
      <c r="AC372" s="25">
        <f>IF(B372="","",IF(T372&lt;2,"",ROUND((Y372-X372)/MAX(1,T372-1),0)))</f>
        <v>0</v>
      </c>
      <c r="AD372" s="17">
        <f>IF(B372="","",IF(Y372="","",Y372+IF(AC372="",RebookWeeks*7,MAX(14,AC372))))</f>
        <v>0</v>
      </c>
      <c r="AE372" s="26">
        <f>IF(B372="","",ROUND(SUMIFS(Sales!$Y$5:$Y$1204,Sales!$D$5:$D$1204,A372),2))</f>
        <v>0</v>
      </c>
      <c r="AF372" s="26">
        <f>IF(B372="","",ROUND(SUMIFS(Sales!$Y$5:$Y$1204,Sales!$D$5:$D$1204,A372,Sales!$H$5:$H$1204,"Service"),2))</f>
        <v>0</v>
      </c>
      <c r="AG372" s="26">
        <f>IF(B372="","",ROUND(SUMIFS(Sales!$Y$5:$Y$1204,Sales!$D$5:$D$1204,A372,Sales!$H$5:$H$1204,"Retail"),2))</f>
        <v>0</v>
      </c>
      <c r="AH372" s="26">
        <f>IF(B372="","",ROUND(SUMIFS(Sales!$Y$5:$Y$1204,Sales!$D$5:$D$1204,A372,Sales!$B$5:$B$1204,"&gt;="&amp;TodayDate-365),2))</f>
        <v>0</v>
      </c>
      <c r="AI372" s="26">
        <f>IF(B372="","",IF(T372=0,"",ROUND(AE372/T372,2)))</f>
        <v>0</v>
      </c>
      <c r="AJ372" s="26">
        <f>IF(B372="","",IF(AI372="","",IF(AC372="","",ROUND(AI372*(365/MAX(14,AC372)),2))))</f>
        <v>0</v>
      </c>
      <c r="AK372" s="26">
        <f>IF(B372="","",ROUND(SUMIFS(Sales!$AH$5:$AH$1204,Sales!$D$5:$D$1204,A372),2))</f>
        <v>0</v>
      </c>
      <c r="AL372" s="25">
        <f>IF(B372="","",IFERROR(INDEX(Loyalty!$P$5:$P$504,MATCH(A372,Loyalty!$B$5:$B$504,0))*1,0))</f>
        <v>0</v>
      </c>
      <c r="AM372" s="39">
        <f>IF(B372="","",IF(R372="Archived","Archived",IF(T372=0,"Not been yet",IF(Z372&gt;=InactiveDays,"Inactive",IF(Z372&gt;=LapsingDays,"Lapsing",IF(T372=1,"New",IF(AH372&gt;=VipSpend,"VIP",IF(U372&gt;=4,"Regular","Active"))))))))</f>
        <v>0</v>
      </c>
      <c r="AN372" s="38">
        <f>IF(B372="","",IF(T372&gt;=2,"Yes","No"))</f>
        <v>0</v>
      </c>
      <c r="AO372" s="25">
        <f>IF(B372="","",COUNTIFS($AE$5:$AE$504,"&gt;"&amp;AE372)+COUNTIFS($AE$5:AE372,AE372))</f>
        <v>0</v>
      </c>
      <c r="AP372" s="25">
        <f>IF(B372="","",COUNTIFS($T$5:$T$504,"&gt;"&amp;T372)+COUNTIFS($T$5:T372,T372))</f>
        <v>0</v>
      </c>
      <c r="AQ372" s="39">
        <f>IF(B372="","",IF(COUNTIF($B$5:$B$504,B372)&gt;1,"Duplicate - same name twice",IF(R372="Archived","",IF(AK372&gt;0.004,"Chase - balance outstanding",IF(AM372="Inactive","Gone - win-back offer",IF(AM372="Lapsing","Chase - lapsing, call them",IF(IF(N372="",FALSE,TodayDate-N372&gt;PatchTestDays),"Due - patch test out of date",IF(IF(AD372="",FALSE,IF(AB372&lt;&gt;"",FALSE,AD372&lt;=TodayDate+14)),"Rebook - due and nothing booked",IF(IF(K372="",FALSE,ABS(DATE(YEAR(TodayDate),MONTH(K372),DAY(K372))-TodayDate)&lt;=7),"Birthday - send the treat","OK")))))))))</f>
        <v>0</v>
      </c>
    </row>
    <row r="373" spans="1:43">
      <c r="A373" s="28">
        <f>IF(B373="","",ClientPrefix&amp;TEXT(ROW()-4,"0000"))</f>
        <v>0</v>
      </c>
      <c r="J373" s="15">
        <f>IF(I373="","",IFERROR(INDEX(Staff!$B$5:$B$44,MATCH(I373,Staff!$A$5:$A$44,0)),"Not in Staff"))</f>
        <v>0</v>
      </c>
      <c r="T373" s="25">
        <f>IF(B373="","",COUNTIFS(Appointments!$E$5:$E$1204,A373,Appointments!$M$5:$M$1204,"Completed"))</f>
        <v>0</v>
      </c>
      <c r="U373" s="25">
        <f>IF(B373="","",COUNTIFS(Appointments!$E$5:$E$1204,A373,Appointments!$M$5:$M$1204,"Completed",Appointments!$B$5:$B$1204,"&gt;="&amp;TodayDate-365))</f>
        <v>0</v>
      </c>
      <c r="V373" s="25">
        <f>IF(B373="","",COUNTIFS(Appointments!$E$5:$E$1204,A373,Appointments!$M$5:$M$1204,"Cancelled"))</f>
        <v>0</v>
      </c>
      <c r="W373" s="25">
        <f>IF(B373="","",COUNTIFS(Appointments!$E$5:$E$1204,A373,Appointments!$M$5:$M$1204,"No show"))</f>
        <v>0</v>
      </c>
      <c r="X373" s="17">
        <f>IF(B373="","",IF(F373&lt;&gt;"",F373,IF(T373=0,"",SUMPRODUCT(MIN((Appointments!$E$5:$E$1204=A373)*(Appointments!$M$5:$M$1204="Completed")*Appointments!$B$5:$B$1204+(1-(Appointments!$E$5:$E$1204=A373)*(Appointments!$M$5:$M$1204="Completed"))*2958465)))))</f>
        <v>0</v>
      </c>
      <c r="Y373" s="17">
        <f>IF(B373="","",IF(T373=0,"",SUMPRODUCT(MAX((Appointments!$E$5:$E$1204=A373)*(Appointments!$M$5:$M$1204="Completed")*Appointments!$B$5:$B$1204))))</f>
        <v>0</v>
      </c>
      <c r="Z373" s="25">
        <f>IF(B373="","",IF(Y373="","",TodayDate-Y373))</f>
        <v>0</v>
      </c>
      <c r="AA373" s="42">
        <f>IF(B373="","",SUMPRODUCT(MIN((Appointments!$E$5:$E$1204=A373)*(Appointments!$M$5:$M$1204&lt;&gt;"Cancelled")*(Appointments!$M$5:$M$1204&lt;&gt;"Completed")*(Appointments!$M$5:$M$1204&lt;&gt;"No show")*(Appointments!$B$5:$B$1204&gt;=TodayDate)*Appointments!$B$5:$B$1204+(1-(Appointments!$E$5:$E$1204=A373)*(Appointments!$M$5:$M$1204&lt;&gt;"Cancelled")*(Appointments!$M$5:$M$1204&lt;&gt;"Completed")*(Appointments!$M$5:$M$1204&lt;&gt;"No show")*(Appointments!$B$5:$B$1204&gt;=TodayDate))*2958465)))</f>
        <v>0</v>
      </c>
      <c r="AB373" s="17">
        <f>IF(B373="","",IF(AA373&gt;=2958465,"",AA373))</f>
        <v>0</v>
      </c>
      <c r="AC373" s="25">
        <f>IF(B373="","",IF(T373&lt;2,"",ROUND((Y373-X373)/MAX(1,T373-1),0)))</f>
        <v>0</v>
      </c>
      <c r="AD373" s="17">
        <f>IF(B373="","",IF(Y373="","",Y373+IF(AC373="",RebookWeeks*7,MAX(14,AC373))))</f>
        <v>0</v>
      </c>
      <c r="AE373" s="26">
        <f>IF(B373="","",ROUND(SUMIFS(Sales!$Y$5:$Y$1204,Sales!$D$5:$D$1204,A373),2))</f>
        <v>0</v>
      </c>
      <c r="AF373" s="26">
        <f>IF(B373="","",ROUND(SUMIFS(Sales!$Y$5:$Y$1204,Sales!$D$5:$D$1204,A373,Sales!$H$5:$H$1204,"Service"),2))</f>
        <v>0</v>
      </c>
      <c r="AG373" s="26">
        <f>IF(B373="","",ROUND(SUMIFS(Sales!$Y$5:$Y$1204,Sales!$D$5:$D$1204,A373,Sales!$H$5:$H$1204,"Retail"),2))</f>
        <v>0</v>
      </c>
      <c r="AH373" s="26">
        <f>IF(B373="","",ROUND(SUMIFS(Sales!$Y$5:$Y$1204,Sales!$D$5:$D$1204,A373,Sales!$B$5:$B$1204,"&gt;="&amp;TodayDate-365),2))</f>
        <v>0</v>
      </c>
      <c r="AI373" s="26">
        <f>IF(B373="","",IF(T373=0,"",ROUND(AE373/T373,2)))</f>
        <v>0</v>
      </c>
      <c r="AJ373" s="26">
        <f>IF(B373="","",IF(AI373="","",IF(AC373="","",ROUND(AI373*(365/MAX(14,AC373)),2))))</f>
        <v>0</v>
      </c>
      <c r="AK373" s="26">
        <f>IF(B373="","",ROUND(SUMIFS(Sales!$AH$5:$AH$1204,Sales!$D$5:$D$1204,A373),2))</f>
        <v>0</v>
      </c>
      <c r="AL373" s="25">
        <f>IF(B373="","",IFERROR(INDEX(Loyalty!$P$5:$P$504,MATCH(A373,Loyalty!$B$5:$B$504,0))*1,0))</f>
        <v>0</v>
      </c>
      <c r="AM373" s="39">
        <f>IF(B373="","",IF(R373="Archived","Archived",IF(T373=0,"Not been yet",IF(Z373&gt;=InactiveDays,"Inactive",IF(Z373&gt;=LapsingDays,"Lapsing",IF(T373=1,"New",IF(AH373&gt;=VipSpend,"VIP",IF(U373&gt;=4,"Regular","Active"))))))))</f>
        <v>0</v>
      </c>
      <c r="AN373" s="38">
        <f>IF(B373="","",IF(T373&gt;=2,"Yes","No"))</f>
        <v>0</v>
      </c>
      <c r="AO373" s="25">
        <f>IF(B373="","",COUNTIFS($AE$5:$AE$504,"&gt;"&amp;AE373)+COUNTIFS($AE$5:AE373,AE373))</f>
        <v>0</v>
      </c>
      <c r="AP373" s="25">
        <f>IF(B373="","",COUNTIFS($T$5:$T$504,"&gt;"&amp;T373)+COUNTIFS($T$5:T373,T373))</f>
        <v>0</v>
      </c>
      <c r="AQ373" s="39">
        <f>IF(B373="","",IF(COUNTIF($B$5:$B$504,B373)&gt;1,"Duplicate - same name twice",IF(R373="Archived","",IF(AK373&gt;0.004,"Chase - balance outstanding",IF(AM373="Inactive","Gone - win-back offer",IF(AM373="Lapsing","Chase - lapsing, call them",IF(IF(N373="",FALSE,TodayDate-N373&gt;PatchTestDays),"Due - patch test out of date",IF(IF(AD373="",FALSE,IF(AB373&lt;&gt;"",FALSE,AD373&lt;=TodayDate+14)),"Rebook - due and nothing booked",IF(IF(K373="",FALSE,ABS(DATE(YEAR(TodayDate),MONTH(K373),DAY(K373))-TodayDate)&lt;=7),"Birthday - send the treat","OK")))))))))</f>
        <v>0</v>
      </c>
    </row>
    <row r="374" spans="1:43">
      <c r="A374" s="28">
        <f>IF(B374="","",ClientPrefix&amp;TEXT(ROW()-4,"0000"))</f>
        <v>0</v>
      </c>
      <c r="J374" s="15">
        <f>IF(I374="","",IFERROR(INDEX(Staff!$B$5:$B$44,MATCH(I374,Staff!$A$5:$A$44,0)),"Not in Staff"))</f>
        <v>0</v>
      </c>
      <c r="T374" s="25">
        <f>IF(B374="","",COUNTIFS(Appointments!$E$5:$E$1204,A374,Appointments!$M$5:$M$1204,"Completed"))</f>
        <v>0</v>
      </c>
      <c r="U374" s="25">
        <f>IF(B374="","",COUNTIFS(Appointments!$E$5:$E$1204,A374,Appointments!$M$5:$M$1204,"Completed",Appointments!$B$5:$B$1204,"&gt;="&amp;TodayDate-365))</f>
        <v>0</v>
      </c>
      <c r="V374" s="25">
        <f>IF(B374="","",COUNTIFS(Appointments!$E$5:$E$1204,A374,Appointments!$M$5:$M$1204,"Cancelled"))</f>
        <v>0</v>
      </c>
      <c r="W374" s="25">
        <f>IF(B374="","",COUNTIFS(Appointments!$E$5:$E$1204,A374,Appointments!$M$5:$M$1204,"No show"))</f>
        <v>0</v>
      </c>
      <c r="X374" s="17">
        <f>IF(B374="","",IF(F374&lt;&gt;"",F374,IF(T374=0,"",SUMPRODUCT(MIN((Appointments!$E$5:$E$1204=A374)*(Appointments!$M$5:$M$1204="Completed")*Appointments!$B$5:$B$1204+(1-(Appointments!$E$5:$E$1204=A374)*(Appointments!$M$5:$M$1204="Completed"))*2958465)))))</f>
        <v>0</v>
      </c>
      <c r="Y374" s="17">
        <f>IF(B374="","",IF(T374=0,"",SUMPRODUCT(MAX((Appointments!$E$5:$E$1204=A374)*(Appointments!$M$5:$M$1204="Completed")*Appointments!$B$5:$B$1204))))</f>
        <v>0</v>
      </c>
      <c r="Z374" s="25">
        <f>IF(B374="","",IF(Y374="","",TodayDate-Y374))</f>
        <v>0</v>
      </c>
      <c r="AA374" s="42">
        <f>IF(B374="","",SUMPRODUCT(MIN((Appointments!$E$5:$E$1204=A374)*(Appointments!$M$5:$M$1204&lt;&gt;"Cancelled")*(Appointments!$M$5:$M$1204&lt;&gt;"Completed")*(Appointments!$M$5:$M$1204&lt;&gt;"No show")*(Appointments!$B$5:$B$1204&gt;=TodayDate)*Appointments!$B$5:$B$1204+(1-(Appointments!$E$5:$E$1204=A374)*(Appointments!$M$5:$M$1204&lt;&gt;"Cancelled")*(Appointments!$M$5:$M$1204&lt;&gt;"Completed")*(Appointments!$M$5:$M$1204&lt;&gt;"No show")*(Appointments!$B$5:$B$1204&gt;=TodayDate))*2958465)))</f>
        <v>0</v>
      </c>
      <c r="AB374" s="17">
        <f>IF(B374="","",IF(AA374&gt;=2958465,"",AA374))</f>
        <v>0</v>
      </c>
      <c r="AC374" s="25">
        <f>IF(B374="","",IF(T374&lt;2,"",ROUND((Y374-X374)/MAX(1,T374-1),0)))</f>
        <v>0</v>
      </c>
      <c r="AD374" s="17">
        <f>IF(B374="","",IF(Y374="","",Y374+IF(AC374="",RebookWeeks*7,MAX(14,AC374))))</f>
        <v>0</v>
      </c>
      <c r="AE374" s="26">
        <f>IF(B374="","",ROUND(SUMIFS(Sales!$Y$5:$Y$1204,Sales!$D$5:$D$1204,A374),2))</f>
        <v>0</v>
      </c>
      <c r="AF374" s="26">
        <f>IF(B374="","",ROUND(SUMIFS(Sales!$Y$5:$Y$1204,Sales!$D$5:$D$1204,A374,Sales!$H$5:$H$1204,"Service"),2))</f>
        <v>0</v>
      </c>
      <c r="AG374" s="26">
        <f>IF(B374="","",ROUND(SUMIFS(Sales!$Y$5:$Y$1204,Sales!$D$5:$D$1204,A374,Sales!$H$5:$H$1204,"Retail"),2))</f>
        <v>0</v>
      </c>
      <c r="AH374" s="26">
        <f>IF(B374="","",ROUND(SUMIFS(Sales!$Y$5:$Y$1204,Sales!$D$5:$D$1204,A374,Sales!$B$5:$B$1204,"&gt;="&amp;TodayDate-365),2))</f>
        <v>0</v>
      </c>
      <c r="AI374" s="26">
        <f>IF(B374="","",IF(T374=0,"",ROUND(AE374/T374,2)))</f>
        <v>0</v>
      </c>
      <c r="AJ374" s="26">
        <f>IF(B374="","",IF(AI374="","",IF(AC374="","",ROUND(AI374*(365/MAX(14,AC374)),2))))</f>
        <v>0</v>
      </c>
      <c r="AK374" s="26">
        <f>IF(B374="","",ROUND(SUMIFS(Sales!$AH$5:$AH$1204,Sales!$D$5:$D$1204,A374),2))</f>
        <v>0</v>
      </c>
      <c r="AL374" s="25">
        <f>IF(B374="","",IFERROR(INDEX(Loyalty!$P$5:$P$504,MATCH(A374,Loyalty!$B$5:$B$504,0))*1,0))</f>
        <v>0</v>
      </c>
      <c r="AM374" s="39">
        <f>IF(B374="","",IF(R374="Archived","Archived",IF(T374=0,"Not been yet",IF(Z374&gt;=InactiveDays,"Inactive",IF(Z374&gt;=LapsingDays,"Lapsing",IF(T374=1,"New",IF(AH374&gt;=VipSpend,"VIP",IF(U374&gt;=4,"Regular","Active"))))))))</f>
        <v>0</v>
      </c>
      <c r="AN374" s="38">
        <f>IF(B374="","",IF(T374&gt;=2,"Yes","No"))</f>
        <v>0</v>
      </c>
      <c r="AO374" s="25">
        <f>IF(B374="","",COUNTIFS($AE$5:$AE$504,"&gt;"&amp;AE374)+COUNTIFS($AE$5:AE374,AE374))</f>
        <v>0</v>
      </c>
      <c r="AP374" s="25">
        <f>IF(B374="","",COUNTIFS($T$5:$T$504,"&gt;"&amp;T374)+COUNTIFS($T$5:T374,T374))</f>
        <v>0</v>
      </c>
      <c r="AQ374" s="39">
        <f>IF(B374="","",IF(COUNTIF($B$5:$B$504,B374)&gt;1,"Duplicate - same name twice",IF(R374="Archived","",IF(AK374&gt;0.004,"Chase - balance outstanding",IF(AM374="Inactive","Gone - win-back offer",IF(AM374="Lapsing","Chase - lapsing, call them",IF(IF(N374="",FALSE,TodayDate-N374&gt;PatchTestDays),"Due - patch test out of date",IF(IF(AD374="",FALSE,IF(AB374&lt;&gt;"",FALSE,AD374&lt;=TodayDate+14)),"Rebook - due and nothing booked",IF(IF(K374="",FALSE,ABS(DATE(YEAR(TodayDate),MONTH(K374),DAY(K374))-TodayDate)&lt;=7),"Birthday - send the treat","OK")))))))))</f>
        <v>0</v>
      </c>
    </row>
    <row r="375" spans="1:43">
      <c r="A375" s="28">
        <f>IF(B375="","",ClientPrefix&amp;TEXT(ROW()-4,"0000"))</f>
        <v>0</v>
      </c>
      <c r="J375" s="15">
        <f>IF(I375="","",IFERROR(INDEX(Staff!$B$5:$B$44,MATCH(I375,Staff!$A$5:$A$44,0)),"Not in Staff"))</f>
        <v>0</v>
      </c>
      <c r="T375" s="25">
        <f>IF(B375="","",COUNTIFS(Appointments!$E$5:$E$1204,A375,Appointments!$M$5:$M$1204,"Completed"))</f>
        <v>0</v>
      </c>
      <c r="U375" s="25">
        <f>IF(B375="","",COUNTIFS(Appointments!$E$5:$E$1204,A375,Appointments!$M$5:$M$1204,"Completed",Appointments!$B$5:$B$1204,"&gt;="&amp;TodayDate-365))</f>
        <v>0</v>
      </c>
      <c r="V375" s="25">
        <f>IF(B375="","",COUNTIFS(Appointments!$E$5:$E$1204,A375,Appointments!$M$5:$M$1204,"Cancelled"))</f>
        <v>0</v>
      </c>
      <c r="W375" s="25">
        <f>IF(B375="","",COUNTIFS(Appointments!$E$5:$E$1204,A375,Appointments!$M$5:$M$1204,"No show"))</f>
        <v>0</v>
      </c>
      <c r="X375" s="17">
        <f>IF(B375="","",IF(F375&lt;&gt;"",F375,IF(T375=0,"",SUMPRODUCT(MIN((Appointments!$E$5:$E$1204=A375)*(Appointments!$M$5:$M$1204="Completed")*Appointments!$B$5:$B$1204+(1-(Appointments!$E$5:$E$1204=A375)*(Appointments!$M$5:$M$1204="Completed"))*2958465)))))</f>
        <v>0</v>
      </c>
      <c r="Y375" s="17">
        <f>IF(B375="","",IF(T375=0,"",SUMPRODUCT(MAX((Appointments!$E$5:$E$1204=A375)*(Appointments!$M$5:$M$1204="Completed")*Appointments!$B$5:$B$1204))))</f>
        <v>0</v>
      </c>
      <c r="Z375" s="25">
        <f>IF(B375="","",IF(Y375="","",TodayDate-Y375))</f>
        <v>0</v>
      </c>
      <c r="AA375" s="42">
        <f>IF(B375="","",SUMPRODUCT(MIN((Appointments!$E$5:$E$1204=A375)*(Appointments!$M$5:$M$1204&lt;&gt;"Cancelled")*(Appointments!$M$5:$M$1204&lt;&gt;"Completed")*(Appointments!$M$5:$M$1204&lt;&gt;"No show")*(Appointments!$B$5:$B$1204&gt;=TodayDate)*Appointments!$B$5:$B$1204+(1-(Appointments!$E$5:$E$1204=A375)*(Appointments!$M$5:$M$1204&lt;&gt;"Cancelled")*(Appointments!$M$5:$M$1204&lt;&gt;"Completed")*(Appointments!$M$5:$M$1204&lt;&gt;"No show")*(Appointments!$B$5:$B$1204&gt;=TodayDate))*2958465)))</f>
        <v>0</v>
      </c>
      <c r="AB375" s="17">
        <f>IF(B375="","",IF(AA375&gt;=2958465,"",AA375))</f>
        <v>0</v>
      </c>
      <c r="AC375" s="25">
        <f>IF(B375="","",IF(T375&lt;2,"",ROUND((Y375-X375)/MAX(1,T375-1),0)))</f>
        <v>0</v>
      </c>
      <c r="AD375" s="17">
        <f>IF(B375="","",IF(Y375="","",Y375+IF(AC375="",RebookWeeks*7,MAX(14,AC375))))</f>
        <v>0</v>
      </c>
      <c r="AE375" s="26">
        <f>IF(B375="","",ROUND(SUMIFS(Sales!$Y$5:$Y$1204,Sales!$D$5:$D$1204,A375),2))</f>
        <v>0</v>
      </c>
      <c r="AF375" s="26">
        <f>IF(B375="","",ROUND(SUMIFS(Sales!$Y$5:$Y$1204,Sales!$D$5:$D$1204,A375,Sales!$H$5:$H$1204,"Service"),2))</f>
        <v>0</v>
      </c>
      <c r="AG375" s="26">
        <f>IF(B375="","",ROUND(SUMIFS(Sales!$Y$5:$Y$1204,Sales!$D$5:$D$1204,A375,Sales!$H$5:$H$1204,"Retail"),2))</f>
        <v>0</v>
      </c>
      <c r="AH375" s="26">
        <f>IF(B375="","",ROUND(SUMIFS(Sales!$Y$5:$Y$1204,Sales!$D$5:$D$1204,A375,Sales!$B$5:$B$1204,"&gt;="&amp;TodayDate-365),2))</f>
        <v>0</v>
      </c>
      <c r="AI375" s="26">
        <f>IF(B375="","",IF(T375=0,"",ROUND(AE375/T375,2)))</f>
        <v>0</v>
      </c>
      <c r="AJ375" s="26">
        <f>IF(B375="","",IF(AI375="","",IF(AC375="","",ROUND(AI375*(365/MAX(14,AC375)),2))))</f>
        <v>0</v>
      </c>
      <c r="AK375" s="26">
        <f>IF(B375="","",ROUND(SUMIFS(Sales!$AH$5:$AH$1204,Sales!$D$5:$D$1204,A375),2))</f>
        <v>0</v>
      </c>
      <c r="AL375" s="25">
        <f>IF(B375="","",IFERROR(INDEX(Loyalty!$P$5:$P$504,MATCH(A375,Loyalty!$B$5:$B$504,0))*1,0))</f>
        <v>0</v>
      </c>
      <c r="AM375" s="39">
        <f>IF(B375="","",IF(R375="Archived","Archived",IF(T375=0,"Not been yet",IF(Z375&gt;=InactiveDays,"Inactive",IF(Z375&gt;=LapsingDays,"Lapsing",IF(T375=1,"New",IF(AH375&gt;=VipSpend,"VIP",IF(U375&gt;=4,"Regular","Active"))))))))</f>
        <v>0</v>
      </c>
      <c r="AN375" s="38">
        <f>IF(B375="","",IF(T375&gt;=2,"Yes","No"))</f>
        <v>0</v>
      </c>
      <c r="AO375" s="25">
        <f>IF(B375="","",COUNTIFS($AE$5:$AE$504,"&gt;"&amp;AE375)+COUNTIFS($AE$5:AE375,AE375))</f>
        <v>0</v>
      </c>
      <c r="AP375" s="25">
        <f>IF(B375="","",COUNTIFS($T$5:$T$504,"&gt;"&amp;T375)+COUNTIFS($T$5:T375,T375))</f>
        <v>0</v>
      </c>
      <c r="AQ375" s="39">
        <f>IF(B375="","",IF(COUNTIF($B$5:$B$504,B375)&gt;1,"Duplicate - same name twice",IF(R375="Archived","",IF(AK375&gt;0.004,"Chase - balance outstanding",IF(AM375="Inactive","Gone - win-back offer",IF(AM375="Lapsing","Chase - lapsing, call them",IF(IF(N375="",FALSE,TodayDate-N375&gt;PatchTestDays),"Due - patch test out of date",IF(IF(AD375="",FALSE,IF(AB375&lt;&gt;"",FALSE,AD375&lt;=TodayDate+14)),"Rebook - due and nothing booked",IF(IF(K375="",FALSE,ABS(DATE(YEAR(TodayDate),MONTH(K375),DAY(K375))-TodayDate)&lt;=7),"Birthday - send the treat","OK")))))))))</f>
        <v>0</v>
      </c>
    </row>
    <row r="376" spans="1:43">
      <c r="A376" s="28">
        <f>IF(B376="","",ClientPrefix&amp;TEXT(ROW()-4,"0000"))</f>
        <v>0</v>
      </c>
      <c r="J376" s="15">
        <f>IF(I376="","",IFERROR(INDEX(Staff!$B$5:$B$44,MATCH(I376,Staff!$A$5:$A$44,0)),"Not in Staff"))</f>
        <v>0</v>
      </c>
      <c r="T376" s="25">
        <f>IF(B376="","",COUNTIFS(Appointments!$E$5:$E$1204,A376,Appointments!$M$5:$M$1204,"Completed"))</f>
        <v>0</v>
      </c>
      <c r="U376" s="25">
        <f>IF(B376="","",COUNTIFS(Appointments!$E$5:$E$1204,A376,Appointments!$M$5:$M$1204,"Completed",Appointments!$B$5:$B$1204,"&gt;="&amp;TodayDate-365))</f>
        <v>0</v>
      </c>
      <c r="V376" s="25">
        <f>IF(B376="","",COUNTIFS(Appointments!$E$5:$E$1204,A376,Appointments!$M$5:$M$1204,"Cancelled"))</f>
        <v>0</v>
      </c>
      <c r="W376" s="25">
        <f>IF(B376="","",COUNTIFS(Appointments!$E$5:$E$1204,A376,Appointments!$M$5:$M$1204,"No show"))</f>
        <v>0</v>
      </c>
      <c r="X376" s="17">
        <f>IF(B376="","",IF(F376&lt;&gt;"",F376,IF(T376=0,"",SUMPRODUCT(MIN((Appointments!$E$5:$E$1204=A376)*(Appointments!$M$5:$M$1204="Completed")*Appointments!$B$5:$B$1204+(1-(Appointments!$E$5:$E$1204=A376)*(Appointments!$M$5:$M$1204="Completed"))*2958465)))))</f>
        <v>0</v>
      </c>
      <c r="Y376" s="17">
        <f>IF(B376="","",IF(T376=0,"",SUMPRODUCT(MAX((Appointments!$E$5:$E$1204=A376)*(Appointments!$M$5:$M$1204="Completed")*Appointments!$B$5:$B$1204))))</f>
        <v>0</v>
      </c>
      <c r="Z376" s="25">
        <f>IF(B376="","",IF(Y376="","",TodayDate-Y376))</f>
        <v>0</v>
      </c>
      <c r="AA376" s="42">
        <f>IF(B376="","",SUMPRODUCT(MIN((Appointments!$E$5:$E$1204=A376)*(Appointments!$M$5:$M$1204&lt;&gt;"Cancelled")*(Appointments!$M$5:$M$1204&lt;&gt;"Completed")*(Appointments!$M$5:$M$1204&lt;&gt;"No show")*(Appointments!$B$5:$B$1204&gt;=TodayDate)*Appointments!$B$5:$B$1204+(1-(Appointments!$E$5:$E$1204=A376)*(Appointments!$M$5:$M$1204&lt;&gt;"Cancelled")*(Appointments!$M$5:$M$1204&lt;&gt;"Completed")*(Appointments!$M$5:$M$1204&lt;&gt;"No show")*(Appointments!$B$5:$B$1204&gt;=TodayDate))*2958465)))</f>
        <v>0</v>
      </c>
      <c r="AB376" s="17">
        <f>IF(B376="","",IF(AA376&gt;=2958465,"",AA376))</f>
        <v>0</v>
      </c>
      <c r="AC376" s="25">
        <f>IF(B376="","",IF(T376&lt;2,"",ROUND((Y376-X376)/MAX(1,T376-1),0)))</f>
        <v>0</v>
      </c>
      <c r="AD376" s="17">
        <f>IF(B376="","",IF(Y376="","",Y376+IF(AC376="",RebookWeeks*7,MAX(14,AC376))))</f>
        <v>0</v>
      </c>
      <c r="AE376" s="26">
        <f>IF(B376="","",ROUND(SUMIFS(Sales!$Y$5:$Y$1204,Sales!$D$5:$D$1204,A376),2))</f>
        <v>0</v>
      </c>
      <c r="AF376" s="26">
        <f>IF(B376="","",ROUND(SUMIFS(Sales!$Y$5:$Y$1204,Sales!$D$5:$D$1204,A376,Sales!$H$5:$H$1204,"Service"),2))</f>
        <v>0</v>
      </c>
      <c r="AG376" s="26">
        <f>IF(B376="","",ROUND(SUMIFS(Sales!$Y$5:$Y$1204,Sales!$D$5:$D$1204,A376,Sales!$H$5:$H$1204,"Retail"),2))</f>
        <v>0</v>
      </c>
      <c r="AH376" s="26">
        <f>IF(B376="","",ROUND(SUMIFS(Sales!$Y$5:$Y$1204,Sales!$D$5:$D$1204,A376,Sales!$B$5:$B$1204,"&gt;="&amp;TodayDate-365),2))</f>
        <v>0</v>
      </c>
      <c r="AI376" s="26">
        <f>IF(B376="","",IF(T376=0,"",ROUND(AE376/T376,2)))</f>
        <v>0</v>
      </c>
      <c r="AJ376" s="26">
        <f>IF(B376="","",IF(AI376="","",IF(AC376="","",ROUND(AI376*(365/MAX(14,AC376)),2))))</f>
        <v>0</v>
      </c>
      <c r="AK376" s="26">
        <f>IF(B376="","",ROUND(SUMIFS(Sales!$AH$5:$AH$1204,Sales!$D$5:$D$1204,A376),2))</f>
        <v>0</v>
      </c>
      <c r="AL376" s="25">
        <f>IF(B376="","",IFERROR(INDEX(Loyalty!$P$5:$P$504,MATCH(A376,Loyalty!$B$5:$B$504,0))*1,0))</f>
        <v>0</v>
      </c>
      <c r="AM376" s="39">
        <f>IF(B376="","",IF(R376="Archived","Archived",IF(T376=0,"Not been yet",IF(Z376&gt;=InactiveDays,"Inactive",IF(Z376&gt;=LapsingDays,"Lapsing",IF(T376=1,"New",IF(AH376&gt;=VipSpend,"VIP",IF(U376&gt;=4,"Regular","Active"))))))))</f>
        <v>0</v>
      </c>
      <c r="AN376" s="38">
        <f>IF(B376="","",IF(T376&gt;=2,"Yes","No"))</f>
        <v>0</v>
      </c>
      <c r="AO376" s="25">
        <f>IF(B376="","",COUNTIFS($AE$5:$AE$504,"&gt;"&amp;AE376)+COUNTIFS($AE$5:AE376,AE376))</f>
        <v>0</v>
      </c>
      <c r="AP376" s="25">
        <f>IF(B376="","",COUNTIFS($T$5:$T$504,"&gt;"&amp;T376)+COUNTIFS($T$5:T376,T376))</f>
        <v>0</v>
      </c>
      <c r="AQ376" s="39">
        <f>IF(B376="","",IF(COUNTIF($B$5:$B$504,B376)&gt;1,"Duplicate - same name twice",IF(R376="Archived","",IF(AK376&gt;0.004,"Chase - balance outstanding",IF(AM376="Inactive","Gone - win-back offer",IF(AM376="Lapsing","Chase - lapsing, call them",IF(IF(N376="",FALSE,TodayDate-N376&gt;PatchTestDays),"Due - patch test out of date",IF(IF(AD376="",FALSE,IF(AB376&lt;&gt;"",FALSE,AD376&lt;=TodayDate+14)),"Rebook - due and nothing booked",IF(IF(K376="",FALSE,ABS(DATE(YEAR(TodayDate),MONTH(K376),DAY(K376))-TodayDate)&lt;=7),"Birthday - send the treat","OK")))))))))</f>
        <v>0</v>
      </c>
    </row>
    <row r="377" spans="1:43">
      <c r="A377" s="28">
        <f>IF(B377="","",ClientPrefix&amp;TEXT(ROW()-4,"0000"))</f>
        <v>0</v>
      </c>
      <c r="J377" s="15">
        <f>IF(I377="","",IFERROR(INDEX(Staff!$B$5:$B$44,MATCH(I377,Staff!$A$5:$A$44,0)),"Not in Staff"))</f>
        <v>0</v>
      </c>
      <c r="T377" s="25">
        <f>IF(B377="","",COUNTIFS(Appointments!$E$5:$E$1204,A377,Appointments!$M$5:$M$1204,"Completed"))</f>
        <v>0</v>
      </c>
      <c r="U377" s="25">
        <f>IF(B377="","",COUNTIFS(Appointments!$E$5:$E$1204,A377,Appointments!$M$5:$M$1204,"Completed",Appointments!$B$5:$B$1204,"&gt;="&amp;TodayDate-365))</f>
        <v>0</v>
      </c>
      <c r="V377" s="25">
        <f>IF(B377="","",COUNTIFS(Appointments!$E$5:$E$1204,A377,Appointments!$M$5:$M$1204,"Cancelled"))</f>
        <v>0</v>
      </c>
      <c r="W377" s="25">
        <f>IF(B377="","",COUNTIFS(Appointments!$E$5:$E$1204,A377,Appointments!$M$5:$M$1204,"No show"))</f>
        <v>0</v>
      </c>
      <c r="X377" s="17">
        <f>IF(B377="","",IF(F377&lt;&gt;"",F377,IF(T377=0,"",SUMPRODUCT(MIN((Appointments!$E$5:$E$1204=A377)*(Appointments!$M$5:$M$1204="Completed")*Appointments!$B$5:$B$1204+(1-(Appointments!$E$5:$E$1204=A377)*(Appointments!$M$5:$M$1204="Completed"))*2958465)))))</f>
        <v>0</v>
      </c>
      <c r="Y377" s="17">
        <f>IF(B377="","",IF(T377=0,"",SUMPRODUCT(MAX((Appointments!$E$5:$E$1204=A377)*(Appointments!$M$5:$M$1204="Completed")*Appointments!$B$5:$B$1204))))</f>
        <v>0</v>
      </c>
      <c r="Z377" s="25">
        <f>IF(B377="","",IF(Y377="","",TodayDate-Y377))</f>
        <v>0</v>
      </c>
      <c r="AA377" s="42">
        <f>IF(B377="","",SUMPRODUCT(MIN((Appointments!$E$5:$E$1204=A377)*(Appointments!$M$5:$M$1204&lt;&gt;"Cancelled")*(Appointments!$M$5:$M$1204&lt;&gt;"Completed")*(Appointments!$M$5:$M$1204&lt;&gt;"No show")*(Appointments!$B$5:$B$1204&gt;=TodayDate)*Appointments!$B$5:$B$1204+(1-(Appointments!$E$5:$E$1204=A377)*(Appointments!$M$5:$M$1204&lt;&gt;"Cancelled")*(Appointments!$M$5:$M$1204&lt;&gt;"Completed")*(Appointments!$M$5:$M$1204&lt;&gt;"No show")*(Appointments!$B$5:$B$1204&gt;=TodayDate))*2958465)))</f>
        <v>0</v>
      </c>
      <c r="AB377" s="17">
        <f>IF(B377="","",IF(AA377&gt;=2958465,"",AA377))</f>
        <v>0</v>
      </c>
      <c r="AC377" s="25">
        <f>IF(B377="","",IF(T377&lt;2,"",ROUND((Y377-X377)/MAX(1,T377-1),0)))</f>
        <v>0</v>
      </c>
      <c r="AD377" s="17">
        <f>IF(B377="","",IF(Y377="","",Y377+IF(AC377="",RebookWeeks*7,MAX(14,AC377))))</f>
        <v>0</v>
      </c>
      <c r="AE377" s="26">
        <f>IF(B377="","",ROUND(SUMIFS(Sales!$Y$5:$Y$1204,Sales!$D$5:$D$1204,A377),2))</f>
        <v>0</v>
      </c>
      <c r="AF377" s="26">
        <f>IF(B377="","",ROUND(SUMIFS(Sales!$Y$5:$Y$1204,Sales!$D$5:$D$1204,A377,Sales!$H$5:$H$1204,"Service"),2))</f>
        <v>0</v>
      </c>
      <c r="AG377" s="26">
        <f>IF(B377="","",ROUND(SUMIFS(Sales!$Y$5:$Y$1204,Sales!$D$5:$D$1204,A377,Sales!$H$5:$H$1204,"Retail"),2))</f>
        <v>0</v>
      </c>
      <c r="AH377" s="26">
        <f>IF(B377="","",ROUND(SUMIFS(Sales!$Y$5:$Y$1204,Sales!$D$5:$D$1204,A377,Sales!$B$5:$B$1204,"&gt;="&amp;TodayDate-365),2))</f>
        <v>0</v>
      </c>
      <c r="AI377" s="26">
        <f>IF(B377="","",IF(T377=0,"",ROUND(AE377/T377,2)))</f>
        <v>0</v>
      </c>
      <c r="AJ377" s="26">
        <f>IF(B377="","",IF(AI377="","",IF(AC377="","",ROUND(AI377*(365/MAX(14,AC377)),2))))</f>
        <v>0</v>
      </c>
      <c r="AK377" s="26">
        <f>IF(B377="","",ROUND(SUMIFS(Sales!$AH$5:$AH$1204,Sales!$D$5:$D$1204,A377),2))</f>
        <v>0</v>
      </c>
      <c r="AL377" s="25">
        <f>IF(B377="","",IFERROR(INDEX(Loyalty!$P$5:$P$504,MATCH(A377,Loyalty!$B$5:$B$504,0))*1,0))</f>
        <v>0</v>
      </c>
      <c r="AM377" s="39">
        <f>IF(B377="","",IF(R377="Archived","Archived",IF(T377=0,"Not been yet",IF(Z377&gt;=InactiveDays,"Inactive",IF(Z377&gt;=LapsingDays,"Lapsing",IF(T377=1,"New",IF(AH377&gt;=VipSpend,"VIP",IF(U377&gt;=4,"Regular","Active"))))))))</f>
        <v>0</v>
      </c>
      <c r="AN377" s="38">
        <f>IF(B377="","",IF(T377&gt;=2,"Yes","No"))</f>
        <v>0</v>
      </c>
      <c r="AO377" s="25">
        <f>IF(B377="","",COUNTIFS($AE$5:$AE$504,"&gt;"&amp;AE377)+COUNTIFS($AE$5:AE377,AE377))</f>
        <v>0</v>
      </c>
      <c r="AP377" s="25">
        <f>IF(B377="","",COUNTIFS($T$5:$T$504,"&gt;"&amp;T377)+COUNTIFS($T$5:T377,T377))</f>
        <v>0</v>
      </c>
      <c r="AQ377" s="39">
        <f>IF(B377="","",IF(COUNTIF($B$5:$B$504,B377)&gt;1,"Duplicate - same name twice",IF(R377="Archived","",IF(AK377&gt;0.004,"Chase - balance outstanding",IF(AM377="Inactive","Gone - win-back offer",IF(AM377="Lapsing","Chase - lapsing, call them",IF(IF(N377="",FALSE,TodayDate-N377&gt;PatchTestDays),"Due - patch test out of date",IF(IF(AD377="",FALSE,IF(AB377&lt;&gt;"",FALSE,AD377&lt;=TodayDate+14)),"Rebook - due and nothing booked",IF(IF(K377="",FALSE,ABS(DATE(YEAR(TodayDate),MONTH(K377),DAY(K377))-TodayDate)&lt;=7),"Birthday - send the treat","OK")))))))))</f>
        <v>0</v>
      </c>
    </row>
    <row r="378" spans="1:43">
      <c r="A378" s="28">
        <f>IF(B378="","",ClientPrefix&amp;TEXT(ROW()-4,"0000"))</f>
        <v>0</v>
      </c>
      <c r="J378" s="15">
        <f>IF(I378="","",IFERROR(INDEX(Staff!$B$5:$B$44,MATCH(I378,Staff!$A$5:$A$44,0)),"Not in Staff"))</f>
        <v>0</v>
      </c>
      <c r="T378" s="25">
        <f>IF(B378="","",COUNTIFS(Appointments!$E$5:$E$1204,A378,Appointments!$M$5:$M$1204,"Completed"))</f>
        <v>0</v>
      </c>
      <c r="U378" s="25">
        <f>IF(B378="","",COUNTIFS(Appointments!$E$5:$E$1204,A378,Appointments!$M$5:$M$1204,"Completed",Appointments!$B$5:$B$1204,"&gt;="&amp;TodayDate-365))</f>
        <v>0</v>
      </c>
      <c r="V378" s="25">
        <f>IF(B378="","",COUNTIFS(Appointments!$E$5:$E$1204,A378,Appointments!$M$5:$M$1204,"Cancelled"))</f>
        <v>0</v>
      </c>
      <c r="W378" s="25">
        <f>IF(B378="","",COUNTIFS(Appointments!$E$5:$E$1204,A378,Appointments!$M$5:$M$1204,"No show"))</f>
        <v>0</v>
      </c>
      <c r="X378" s="17">
        <f>IF(B378="","",IF(F378&lt;&gt;"",F378,IF(T378=0,"",SUMPRODUCT(MIN((Appointments!$E$5:$E$1204=A378)*(Appointments!$M$5:$M$1204="Completed")*Appointments!$B$5:$B$1204+(1-(Appointments!$E$5:$E$1204=A378)*(Appointments!$M$5:$M$1204="Completed"))*2958465)))))</f>
        <v>0</v>
      </c>
      <c r="Y378" s="17">
        <f>IF(B378="","",IF(T378=0,"",SUMPRODUCT(MAX((Appointments!$E$5:$E$1204=A378)*(Appointments!$M$5:$M$1204="Completed")*Appointments!$B$5:$B$1204))))</f>
        <v>0</v>
      </c>
      <c r="Z378" s="25">
        <f>IF(B378="","",IF(Y378="","",TodayDate-Y378))</f>
        <v>0</v>
      </c>
      <c r="AA378" s="42">
        <f>IF(B378="","",SUMPRODUCT(MIN((Appointments!$E$5:$E$1204=A378)*(Appointments!$M$5:$M$1204&lt;&gt;"Cancelled")*(Appointments!$M$5:$M$1204&lt;&gt;"Completed")*(Appointments!$M$5:$M$1204&lt;&gt;"No show")*(Appointments!$B$5:$B$1204&gt;=TodayDate)*Appointments!$B$5:$B$1204+(1-(Appointments!$E$5:$E$1204=A378)*(Appointments!$M$5:$M$1204&lt;&gt;"Cancelled")*(Appointments!$M$5:$M$1204&lt;&gt;"Completed")*(Appointments!$M$5:$M$1204&lt;&gt;"No show")*(Appointments!$B$5:$B$1204&gt;=TodayDate))*2958465)))</f>
        <v>0</v>
      </c>
      <c r="AB378" s="17">
        <f>IF(B378="","",IF(AA378&gt;=2958465,"",AA378))</f>
        <v>0</v>
      </c>
      <c r="AC378" s="25">
        <f>IF(B378="","",IF(T378&lt;2,"",ROUND((Y378-X378)/MAX(1,T378-1),0)))</f>
        <v>0</v>
      </c>
      <c r="AD378" s="17">
        <f>IF(B378="","",IF(Y378="","",Y378+IF(AC378="",RebookWeeks*7,MAX(14,AC378))))</f>
        <v>0</v>
      </c>
      <c r="AE378" s="26">
        <f>IF(B378="","",ROUND(SUMIFS(Sales!$Y$5:$Y$1204,Sales!$D$5:$D$1204,A378),2))</f>
        <v>0</v>
      </c>
      <c r="AF378" s="26">
        <f>IF(B378="","",ROUND(SUMIFS(Sales!$Y$5:$Y$1204,Sales!$D$5:$D$1204,A378,Sales!$H$5:$H$1204,"Service"),2))</f>
        <v>0</v>
      </c>
      <c r="AG378" s="26">
        <f>IF(B378="","",ROUND(SUMIFS(Sales!$Y$5:$Y$1204,Sales!$D$5:$D$1204,A378,Sales!$H$5:$H$1204,"Retail"),2))</f>
        <v>0</v>
      </c>
      <c r="AH378" s="26">
        <f>IF(B378="","",ROUND(SUMIFS(Sales!$Y$5:$Y$1204,Sales!$D$5:$D$1204,A378,Sales!$B$5:$B$1204,"&gt;="&amp;TodayDate-365),2))</f>
        <v>0</v>
      </c>
      <c r="AI378" s="26">
        <f>IF(B378="","",IF(T378=0,"",ROUND(AE378/T378,2)))</f>
        <v>0</v>
      </c>
      <c r="AJ378" s="26">
        <f>IF(B378="","",IF(AI378="","",IF(AC378="","",ROUND(AI378*(365/MAX(14,AC378)),2))))</f>
        <v>0</v>
      </c>
      <c r="AK378" s="26">
        <f>IF(B378="","",ROUND(SUMIFS(Sales!$AH$5:$AH$1204,Sales!$D$5:$D$1204,A378),2))</f>
        <v>0</v>
      </c>
      <c r="AL378" s="25">
        <f>IF(B378="","",IFERROR(INDEX(Loyalty!$P$5:$P$504,MATCH(A378,Loyalty!$B$5:$B$504,0))*1,0))</f>
        <v>0</v>
      </c>
      <c r="AM378" s="39">
        <f>IF(B378="","",IF(R378="Archived","Archived",IF(T378=0,"Not been yet",IF(Z378&gt;=InactiveDays,"Inactive",IF(Z378&gt;=LapsingDays,"Lapsing",IF(T378=1,"New",IF(AH378&gt;=VipSpend,"VIP",IF(U378&gt;=4,"Regular","Active"))))))))</f>
        <v>0</v>
      </c>
      <c r="AN378" s="38">
        <f>IF(B378="","",IF(T378&gt;=2,"Yes","No"))</f>
        <v>0</v>
      </c>
      <c r="AO378" s="25">
        <f>IF(B378="","",COUNTIFS($AE$5:$AE$504,"&gt;"&amp;AE378)+COUNTIFS($AE$5:AE378,AE378))</f>
        <v>0</v>
      </c>
      <c r="AP378" s="25">
        <f>IF(B378="","",COUNTIFS($T$5:$T$504,"&gt;"&amp;T378)+COUNTIFS($T$5:T378,T378))</f>
        <v>0</v>
      </c>
      <c r="AQ378" s="39">
        <f>IF(B378="","",IF(COUNTIF($B$5:$B$504,B378)&gt;1,"Duplicate - same name twice",IF(R378="Archived","",IF(AK378&gt;0.004,"Chase - balance outstanding",IF(AM378="Inactive","Gone - win-back offer",IF(AM378="Lapsing","Chase - lapsing, call them",IF(IF(N378="",FALSE,TodayDate-N378&gt;PatchTestDays),"Due - patch test out of date",IF(IF(AD378="",FALSE,IF(AB378&lt;&gt;"",FALSE,AD378&lt;=TodayDate+14)),"Rebook - due and nothing booked",IF(IF(K378="",FALSE,ABS(DATE(YEAR(TodayDate),MONTH(K378),DAY(K378))-TodayDate)&lt;=7),"Birthday - send the treat","OK")))))))))</f>
        <v>0</v>
      </c>
    </row>
    <row r="379" spans="1:43">
      <c r="A379" s="28">
        <f>IF(B379="","",ClientPrefix&amp;TEXT(ROW()-4,"0000"))</f>
        <v>0</v>
      </c>
      <c r="J379" s="15">
        <f>IF(I379="","",IFERROR(INDEX(Staff!$B$5:$B$44,MATCH(I379,Staff!$A$5:$A$44,0)),"Not in Staff"))</f>
        <v>0</v>
      </c>
      <c r="T379" s="25">
        <f>IF(B379="","",COUNTIFS(Appointments!$E$5:$E$1204,A379,Appointments!$M$5:$M$1204,"Completed"))</f>
        <v>0</v>
      </c>
      <c r="U379" s="25">
        <f>IF(B379="","",COUNTIFS(Appointments!$E$5:$E$1204,A379,Appointments!$M$5:$M$1204,"Completed",Appointments!$B$5:$B$1204,"&gt;="&amp;TodayDate-365))</f>
        <v>0</v>
      </c>
      <c r="V379" s="25">
        <f>IF(B379="","",COUNTIFS(Appointments!$E$5:$E$1204,A379,Appointments!$M$5:$M$1204,"Cancelled"))</f>
        <v>0</v>
      </c>
      <c r="W379" s="25">
        <f>IF(B379="","",COUNTIFS(Appointments!$E$5:$E$1204,A379,Appointments!$M$5:$M$1204,"No show"))</f>
        <v>0</v>
      </c>
      <c r="X379" s="17">
        <f>IF(B379="","",IF(F379&lt;&gt;"",F379,IF(T379=0,"",SUMPRODUCT(MIN((Appointments!$E$5:$E$1204=A379)*(Appointments!$M$5:$M$1204="Completed")*Appointments!$B$5:$B$1204+(1-(Appointments!$E$5:$E$1204=A379)*(Appointments!$M$5:$M$1204="Completed"))*2958465)))))</f>
        <v>0</v>
      </c>
      <c r="Y379" s="17">
        <f>IF(B379="","",IF(T379=0,"",SUMPRODUCT(MAX((Appointments!$E$5:$E$1204=A379)*(Appointments!$M$5:$M$1204="Completed")*Appointments!$B$5:$B$1204))))</f>
        <v>0</v>
      </c>
      <c r="Z379" s="25">
        <f>IF(B379="","",IF(Y379="","",TodayDate-Y379))</f>
        <v>0</v>
      </c>
      <c r="AA379" s="42">
        <f>IF(B379="","",SUMPRODUCT(MIN((Appointments!$E$5:$E$1204=A379)*(Appointments!$M$5:$M$1204&lt;&gt;"Cancelled")*(Appointments!$M$5:$M$1204&lt;&gt;"Completed")*(Appointments!$M$5:$M$1204&lt;&gt;"No show")*(Appointments!$B$5:$B$1204&gt;=TodayDate)*Appointments!$B$5:$B$1204+(1-(Appointments!$E$5:$E$1204=A379)*(Appointments!$M$5:$M$1204&lt;&gt;"Cancelled")*(Appointments!$M$5:$M$1204&lt;&gt;"Completed")*(Appointments!$M$5:$M$1204&lt;&gt;"No show")*(Appointments!$B$5:$B$1204&gt;=TodayDate))*2958465)))</f>
        <v>0</v>
      </c>
      <c r="AB379" s="17">
        <f>IF(B379="","",IF(AA379&gt;=2958465,"",AA379))</f>
        <v>0</v>
      </c>
      <c r="AC379" s="25">
        <f>IF(B379="","",IF(T379&lt;2,"",ROUND((Y379-X379)/MAX(1,T379-1),0)))</f>
        <v>0</v>
      </c>
      <c r="AD379" s="17">
        <f>IF(B379="","",IF(Y379="","",Y379+IF(AC379="",RebookWeeks*7,MAX(14,AC379))))</f>
        <v>0</v>
      </c>
      <c r="AE379" s="26">
        <f>IF(B379="","",ROUND(SUMIFS(Sales!$Y$5:$Y$1204,Sales!$D$5:$D$1204,A379),2))</f>
        <v>0</v>
      </c>
      <c r="AF379" s="26">
        <f>IF(B379="","",ROUND(SUMIFS(Sales!$Y$5:$Y$1204,Sales!$D$5:$D$1204,A379,Sales!$H$5:$H$1204,"Service"),2))</f>
        <v>0</v>
      </c>
      <c r="AG379" s="26">
        <f>IF(B379="","",ROUND(SUMIFS(Sales!$Y$5:$Y$1204,Sales!$D$5:$D$1204,A379,Sales!$H$5:$H$1204,"Retail"),2))</f>
        <v>0</v>
      </c>
      <c r="AH379" s="26">
        <f>IF(B379="","",ROUND(SUMIFS(Sales!$Y$5:$Y$1204,Sales!$D$5:$D$1204,A379,Sales!$B$5:$B$1204,"&gt;="&amp;TodayDate-365),2))</f>
        <v>0</v>
      </c>
      <c r="AI379" s="26">
        <f>IF(B379="","",IF(T379=0,"",ROUND(AE379/T379,2)))</f>
        <v>0</v>
      </c>
      <c r="AJ379" s="26">
        <f>IF(B379="","",IF(AI379="","",IF(AC379="","",ROUND(AI379*(365/MAX(14,AC379)),2))))</f>
        <v>0</v>
      </c>
      <c r="AK379" s="26">
        <f>IF(B379="","",ROUND(SUMIFS(Sales!$AH$5:$AH$1204,Sales!$D$5:$D$1204,A379),2))</f>
        <v>0</v>
      </c>
      <c r="AL379" s="25">
        <f>IF(B379="","",IFERROR(INDEX(Loyalty!$P$5:$P$504,MATCH(A379,Loyalty!$B$5:$B$504,0))*1,0))</f>
        <v>0</v>
      </c>
      <c r="AM379" s="39">
        <f>IF(B379="","",IF(R379="Archived","Archived",IF(T379=0,"Not been yet",IF(Z379&gt;=InactiveDays,"Inactive",IF(Z379&gt;=LapsingDays,"Lapsing",IF(T379=1,"New",IF(AH379&gt;=VipSpend,"VIP",IF(U379&gt;=4,"Regular","Active"))))))))</f>
        <v>0</v>
      </c>
      <c r="AN379" s="38">
        <f>IF(B379="","",IF(T379&gt;=2,"Yes","No"))</f>
        <v>0</v>
      </c>
      <c r="AO379" s="25">
        <f>IF(B379="","",COUNTIFS($AE$5:$AE$504,"&gt;"&amp;AE379)+COUNTIFS($AE$5:AE379,AE379))</f>
        <v>0</v>
      </c>
      <c r="AP379" s="25">
        <f>IF(B379="","",COUNTIFS($T$5:$T$504,"&gt;"&amp;T379)+COUNTIFS($T$5:T379,T379))</f>
        <v>0</v>
      </c>
      <c r="AQ379" s="39">
        <f>IF(B379="","",IF(COUNTIF($B$5:$B$504,B379)&gt;1,"Duplicate - same name twice",IF(R379="Archived","",IF(AK379&gt;0.004,"Chase - balance outstanding",IF(AM379="Inactive","Gone - win-back offer",IF(AM379="Lapsing","Chase - lapsing, call them",IF(IF(N379="",FALSE,TodayDate-N379&gt;PatchTestDays),"Due - patch test out of date",IF(IF(AD379="",FALSE,IF(AB379&lt;&gt;"",FALSE,AD379&lt;=TodayDate+14)),"Rebook - due and nothing booked",IF(IF(K379="",FALSE,ABS(DATE(YEAR(TodayDate),MONTH(K379),DAY(K379))-TodayDate)&lt;=7),"Birthday - send the treat","OK")))))))))</f>
        <v>0</v>
      </c>
    </row>
    <row r="380" spans="1:43">
      <c r="A380" s="28">
        <f>IF(B380="","",ClientPrefix&amp;TEXT(ROW()-4,"0000"))</f>
        <v>0</v>
      </c>
      <c r="J380" s="15">
        <f>IF(I380="","",IFERROR(INDEX(Staff!$B$5:$B$44,MATCH(I380,Staff!$A$5:$A$44,0)),"Not in Staff"))</f>
        <v>0</v>
      </c>
      <c r="T380" s="25">
        <f>IF(B380="","",COUNTIFS(Appointments!$E$5:$E$1204,A380,Appointments!$M$5:$M$1204,"Completed"))</f>
        <v>0</v>
      </c>
      <c r="U380" s="25">
        <f>IF(B380="","",COUNTIFS(Appointments!$E$5:$E$1204,A380,Appointments!$M$5:$M$1204,"Completed",Appointments!$B$5:$B$1204,"&gt;="&amp;TodayDate-365))</f>
        <v>0</v>
      </c>
      <c r="V380" s="25">
        <f>IF(B380="","",COUNTIFS(Appointments!$E$5:$E$1204,A380,Appointments!$M$5:$M$1204,"Cancelled"))</f>
        <v>0</v>
      </c>
      <c r="W380" s="25">
        <f>IF(B380="","",COUNTIFS(Appointments!$E$5:$E$1204,A380,Appointments!$M$5:$M$1204,"No show"))</f>
        <v>0</v>
      </c>
      <c r="X380" s="17">
        <f>IF(B380="","",IF(F380&lt;&gt;"",F380,IF(T380=0,"",SUMPRODUCT(MIN((Appointments!$E$5:$E$1204=A380)*(Appointments!$M$5:$M$1204="Completed")*Appointments!$B$5:$B$1204+(1-(Appointments!$E$5:$E$1204=A380)*(Appointments!$M$5:$M$1204="Completed"))*2958465)))))</f>
        <v>0</v>
      </c>
      <c r="Y380" s="17">
        <f>IF(B380="","",IF(T380=0,"",SUMPRODUCT(MAX((Appointments!$E$5:$E$1204=A380)*(Appointments!$M$5:$M$1204="Completed")*Appointments!$B$5:$B$1204))))</f>
        <v>0</v>
      </c>
      <c r="Z380" s="25">
        <f>IF(B380="","",IF(Y380="","",TodayDate-Y380))</f>
        <v>0</v>
      </c>
      <c r="AA380" s="42">
        <f>IF(B380="","",SUMPRODUCT(MIN((Appointments!$E$5:$E$1204=A380)*(Appointments!$M$5:$M$1204&lt;&gt;"Cancelled")*(Appointments!$M$5:$M$1204&lt;&gt;"Completed")*(Appointments!$M$5:$M$1204&lt;&gt;"No show")*(Appointments!$B$5:$B$1204&gt;=TodayDate)*Appointments!$B$5:$B$1204+(1-(Appointments!$E$5:$E$1204=A380)*(Appointments!$M$5:$M$1204&lt;&gt;"Cancelled")*(Appointments!$M$5:$M$1204&lt;&gt;"Completed")*(Appointments!$M$5:$M$1204&lt;&gt;"No show")*(Appointments!$B$5:$B$1204&gt;=TodayDate))*2958465)))</f>
        <v>0</v>
      </c>
      <c r="AB380" s="17">
        <f>IF(B380="","",IF(AA380&gt;=2958465,"",AA380))</f>
        <v>0</v>
      </c>
      <c r="AC380" s="25">
        <f>IF(B380="","",IF(T380&lt;2,"",ROUND((Y380-X380)/MAX(1,T380-1),0)))</f>
        <v>0</v>
      </c>
      <c r="AD380" s="17">
        <f>IF(B380="","",IF(Y380="","",Y380+IF(AC380="",RebookWeeks*7,MAX(14,AC380))))</f>
        <v>0</v>
      </c>
      <c r="AE380" s="26">
        <f>IF(B380="","",ROUND(SUMIFS(Sales!$Y$5:$Y$1204,Sales!$D$5:$D$1204,A380),2))</f>
        <v>0</v>
      </c>
      <c r="AF380" s="26">
        <f>IF(B380="","",ROUND(SUMIFS(Sales!$Y$5:$Y$1204,Sales!$D$5:$D$1204,A380,Sales!$H$5:$H$1204,"Service"),2))</f>
        <v>0</v>
      </c>
      <c r="AG380" s="26">
        <f>IF(B380="","",ROUND(SUMIFS(Sales!$Y$5:$Y$1204,Sales!$D$5:$D$1204,A380,Sales!$H$5:$H$1204,"Retail"),2))</f>
        <v>0</v>
      </c>
      <c r="AH380" s="26">
        <f>IF(B380="","",ROUND(SUMIFS(Sales!$Y$5:$Y$1204,Sales!$D$5:$D$1204,A380,Sales!$B$5:$B$1204,"&gt;="&amp;TodayDate-365),2))</f>
        <v>0</v>
      </c>
      <c r="AI380" s="26">
        <f>IF(B380="","",IF(T380=0,"",ROUND(AE380/T380,2)))</f>
        <v>0</v>
      </c>
      <c r="AJ380" s="26">
        <f>IF(B380="","",IF(AI380="","",IF(AC380="","",ROUND(AI380*(365/MAX(14,AC380)),2))))</f>
        <v>0</v>
      </c>
      <c r="AK380" s="26">
        <f>IF(B380="","",ROUND(SUMIFS(Sales!$AH$5:$AH$1204,Sales!$D$5:$D$1204,A380),2))</f>
        <v>0</v>
      </c>
      <c r="AL380" s="25">
        <f>IF(B380="","",IFERROR(INDEX(Loyalty!$P$5:$P$504,MATCH(A380,Loyalty!$B$5:$B$504,0))*1,0))</f>
        <v>0</v>
      </c>
      <c r="AM380" s="39">
        <f>IF(B380="","",IF(R380="Archived","Archived",IF(T380=0,"Not been yet",IF(Z380&gt;=InactiveDays,"Inactive",IF(Z380&gt;=LapsingDays,"Lapsing",IF(T380=1,"New",IF(AH380&gt;=VipSpend,"VIP",IF(U380&gt;=4,"Regular","Active"))))))))</f>
        <v>0</v>
      </c>
      <c r="AN380" s="38">
        <f>IF(B380="","",IF(T380&gt;=2,"Yes","No"))</f>
        <v>0</v>
      </c>
      <c r="AO380" s="25">
        <f>IF(B380="","",COUNTIFS($AE$5:$AE$504,"&gt;"&amp;AE380)+COUNTIFS($AE$5:AE380,AE380))</f>
        <v>0</v>
      </c>
      <c r="AP380" s="25">
        <f>IF(B380="","",COUNTIFS($T$5:$T$504,"&gt;"&amp;T380)+COUNTIFS($T$5:T380,T380))</f>
        <v>0</v>
      </c>
      <c r="AQ380" s="39">
        <f>IF(B380="","",IF(COUNTIF($B$5:$B$504,B380)&gt;1,"Duplicate - same name twice",IF(R380="Archived","",IF(AK380&gt;0.004,"Chase - balance outstanding",IF(AM380="Inactive","Gone - win-back offer",IF(AM380="Lapsing","Chase - lapsing, call them",IF(IF(N380="",FALSE,TodayDate-N380&gt;PatchTestDays),"Due - patch test out of date",IF(IF(AD380="",FALSE,IF(AB380&lt;&gt;"",FALSE,AD380&lt;=TodayDate+14)),"Rebook - due and nothing booked",IF(IF(K380="",FALSE,ABS(DATE(YEAR(TodayDate),MONTH(K380),DAY(K380))-TodayDate)&lt;=7),"Birthday - send the treat","OK")))))))))</f>
        <v>0</v>
      </c>
    </row>
    <row r="381" spans="1:43">
      <c r="A381" s="28">
        <f>IF(B381="","",ClientPrefix&amp;TEXT(ROW()-4,"0000"))</f>
        <v>0</v>
      </c>
      <c r="J381" s="15">
        <f>IF(I381="","",IFERROR(INDEX(Staff!$B$5:$B$44,MATCH(I381,Staff!$A$5:$A$44,0)),"Not in Staff"))</f>
        <v>0</v>
      </c>
      <c r="T381" s="25">
        <f>IF(B381="","",COUNTIFS(Appointments!$E$5:$E$1204,A381,Appointments!$M$5:$M$1204,"Completed"))</f>
        <v>0</v>
      </c>
      <c r="U381" s="25">
        <f>IF(B381="","",COUNTIFS(Appointments!$E$5:$E$1204,A381,Appointments!$M$5:$M$1204,"Completed",Appointments!$B$5:$B$1204,"&gt;="&amp;TodayDate-365))</f>
        <v>0</v>
      </c>
      <c r="V381" s="25">
        <f>IF(B381="","",COUNTIFS(Appointments!$E$5:$E$1204,A381,Appointments!$M$5:$M$1204,"Cancelled"))</f>
        <v>0</v>
      </c>
      <c r="W381" s="25">
        <f>IF(B381="","",COUNTIFS(Appointments!$E$5:$E$1204,A381,Appointments!$M$5:$M$1204,"No show"))</f>
        <v>0</v>
      </c>
      <c r="X381" s="17">
        <f>IF(B381="","",IF(F381&lt;&gt;"",F381,IF(T381=0,"",SUMPRODUCT(MIN((Appointments!$E$5:$E$1204=A381)*(Appointments!$M$5:$M$1204="Completed")*Appointments!$B$5:$B$1204+(1-(Appointments!$E$5:$E$1204=A381)*(Appointments!$M$5:$M$1204="Completed"))*2958465)))))</f>
        <v>0</v>
      </c>
      <c r="Y381" s="17">
        <f>IF(B381="","",IF(T381=0,"",SUMPRODUCT(MAX((Appointments!$E$5:$E$1204=A381)*(Appointments!$M$5:$M$1204="Completed")*Appointments!$B$5:$B$1204))))</f>
        <v>0</v>
      </c>
      <c r="Z381" s="25">
        <f>IF(B381="","",IF(Y381="","",TodayDate-Y381))</f>
        <v>0</v>
      </c>
      <c r="AA381" s="42">
        <f>IF(B381="","",SUMPRODUCT(MIN((Appointments!$E$5:$E$1204=A381)*(Appointments!$M$5:$M$1204&lt;&gt;"Cancelled")*(Appointments!$M$5:$M$1204&lt;&gt;"Completed")*(Appointments!$M$5:$M$1204&lt;&gt;"No show")*(Appointments!$B$5:$B$1204&gt;=TodayDate)*Appointments!$B$5:$B$1204+(1-(Appointments!$E$5:$E$1204=A381)*(Appointments!$M$5:$M$1204&lt;&gt;"Cancelled")*(Appointments!$M$5:$M$1204&lt;&gt;"Completed")*(Appointments!$M$5:$M$1204&lt;&gt;"No show")*(Appointments!$B$5:$B$1204&gt;=TodayDate))*2958465)))</f>
        <v>0</v>
      </c>
      <c r="AB381" s="17">
        <f>IF(B381="","",IF(AA381&gt;=2958465,"",AA381))</f>
        <v>0</v>
      </c>
      <c r="AC381" s="25">
        <f>IF(B381="","",IF(T381&lt;2,"",ROUND((Y381-X381)/MAX(1,T381-1),0)))</f>
        <v>0</v>
      </c>
      <c r="AD381" s="17">
        <f>IF(B381="","",IF(Y381="","",Y381+IF(AC381="",RebookWeeks*7,MAX(14,AC381))))</f>
        <v>0</v>
      </c>
      <c r="AE381" s="26">
        <f>IF(B381="","",ROUND(SUMIFS(Sales!$Y$5:$Y$1204,Sales!$D$5:$D$1204,A381),2))</f>
        <v>0</v>
      </c>
      <c r="AF381" s="26">
        <f>IF(B381="","",ROUND(SUMIFS(Sales!$Y$5:$Y$1204,Sales!$D$5:$D$1204,A381,Sales!$H$5:$H$1204,"Service"),2))</f>
        <v>0</v>
      </c>
      <c r="AG381" s="26">
        <f>IF(B381="","",ROUND(SUMIFS(Sales!$Y$5:$Y$1204,Sales!$D$5:$D$1204,A381,Sales!$H$5:$H$1204,"Retail"),2))</f>
        <v>0</v>
      </c>
      <c r="AH381" s="26">
        <f>IF(B381="","",ROUND(SUMIFS(Sales!$Y$5:$Y$1204,Sales!$D$5:$D$1204,A381,Sales!$B$5:$B$1204,"&gt;="&amp;TodayDate-365),2))</f>
        <v>0</v>
      </c>
      <c r="AI381" s="26">
        <f>IF(B381="","",IF(T381=0,"",ROUND(AE381/T381,2)))</f>
        <v>0</v>
      </c>
      <c r="AJ381" s="26">
        <f>IF(B381="","",IF(AI381="","",IF(AC381="","",ROUND(AI381*(365/MAX(14,AC381)),2))))</f>
        <v>0</v>
      </c>
      <c r="AK381" s="26">
        <f>IF(B381="","",ROUND(SUMIFS(Sales!$AH$5:$AH$1204,Sales!$D$5:$D$1204,A381),2))</f>
        <v>0</v>
      </c>
      <c r="AL381" s="25">
        <f>IF(B381="","",IFERROR(INDEX(Loyalty!$P$5:$P$504,MATCH(A381,Loyalty!$B$5:$B$504,0))*1,0))</f>
        <v>0</v>
      </c>
      <c r="AM381" s="39">
        <f>IF(B381="","",IF(R381="Archived","Archived",IF(T381=0,"Not been yet",IF(Z381&gt;=InactiveDays,"Inactive",IF(Z381&gt;=LapsingDays,"Lapsing",IF(T381=1,"New",IF(AH381&gt;=VipSpend,"VIP",IF(U381&gt;=4,"Regular","Active"))))))))</f>
        <v>0</v>
      </c>
      <c r="AN381" s="38">
        <f>IF(B381="","",IF(T381&gt;=2,"Yes","No"))</f>
        <v>0</v>
      </c>
      <c r="AO381" s="25">
        <f>IF(B381="","",COUNTIFS($AE$5:$AE$504,"&gt;"&amp;AE381)+COUNTIFS($AE$5:AE381,AE381))</f>
        <v>0</v>
      </c>
      <c r="AP381" s="25">
        <f>IF(B381="","",COUNTIFS($T$5:$T$504,"&gt;"&amp;T381)+COUNTIFS($T$5:T381,T381))</f>
        <v>0</v>
      </c>
      <c r="AQ381" s="39">
        <f>IF(B381="","",IF(COUNTIF($B$5:$B$504,B381)&gt;1,"Duplicate - same name twice",IF(R381="Archived","",IF(AK381&gt;0.004,"Chase - balance outstanding",IF(AM381="Inactive","Gone - win-back offer",IF(AM381="Lapsing","Chase - lapsing, call them",IF(IF(N381="",FALSE,TodayDate-N381&gt;PatchTestDays),"Due - patch test out of date",IF(IF(AD381="",FALSE,IF(AB381&lt;&gt;"",FALSE,AD381&lt;=TodayDate+14)),"Rebook - due and nothing booked",IF(IF(K381="",FALSE,ABS(DATE(YEAR(TodayDate),MONTH(K381),DAY(K381))-TodayDate)&lt;=7),"Birthday - send the treat","OK")))))))))</f>
        <v>0</v>
      </c>
    </row>
    <row r="382" spans="1:43">
      <c r="A382" s="28">
        <f>IF(B382="","",ClientPrefix&amp;TEXT(ROW()-4,"0000"))</f>
        <v>0</v>
      </c>
      <c r="J382" s="15">
        <f>IF(I382="","",IFERROR(INDEX(Staff!$B$5:$B$44,MATCH(I382,Staff!$A$5:$A$44,0)),"Not in Staff"))</f>
        <v>0</v>
      </c>
      <c r="T382" s="25">
        <f>IF(B382="","",COUNTIFS(Appointments!$E$5:$E$1204,A382,Appointments!$M$5:$M$1204,"Completed"))</f>
        <v>0</v>
      </c>
      <c r="U382" s="25">
        <f>IF(B382="","",COUNTIFS(Appointments!$E$5:$E$1204,A382,Appointments!$M$5:$M$1204,"Completed",Appointments!$B$5:$B$1204,"&gt;="&amp;TodayDate-365))</f>
        <v>0</v>
      </c>
      <c r="V382" s="25">
        <f>IF(B382="","",COUNTIFS(Appointments!$E$5:$E$1204,A382,Appointments!$M$5:$M$1204,"Cancelled"))</f>
        <v>0</v>
      </c>
      <c r="W382" s="25">
        <f>IF(B382="","",COUNTIFS(Appointments!$E$5:$E$1204,A382,Appointments!$M$5:$M$1204,"No show"))</f>
        <v>0</v>
      </c>
      <c r="X382" s="17">
        <f>IF(B382="","",IF(F382&lt;&gt;"",F382,IF(T382=0,"",SUMPRODUCT(MIN((Appointments!$E$5:$E$1204=A382)*(Appointments!$M$5:$M$1204="Completed")*Appointments!$B$5:$B$1204+(1-(Appointments!$E$5:$E$1204=A382)*(Appointments!$M$5:$M$1204="Completed"))*2958465)))))</f>
        <v>0</v>
      </c>
      <c r="Y382" s="17">
        <f>IF(B382="","",IF(T382=0,"",SUMPRODUCT(MAX((Appointments!$E$5:$E$1204=A382)*(Appointments!$M$5:$M$1204="Completed")*Appointments!$B$5:$B$1204))))</f>
        <v>0</v>
      </c>
      <c r="Z382" s="25">
        <f>IF(B382="","",IF(Y382="","",TodayDate-Y382))</f>
        <v>0</v>
      </c>
      <c r="AA382" s="42">
        <f>IF(B382="","",SUMPRODUCT(MIN((Appointments!$E$5:$E$1204=A382)*(Appointments!$M$5:$M$1204&lt;&gt;"Cancelled")*(Appointments!$M$5:$M$1204&lt;&gt;"Completed")*(Appointments!$M$5:$M$1204&lt;&gt;"No show")*(Appointments!$B$5:$B$1204&gt;=TodayDate)*Appointments!$B$5:$B$1204+(1-(Appointments!$E$5:$E$1204=A382)*(Appointments!$M$5:$M$1204&lt;&gt;"Cancelled")*(Appointments!$M$5:$M$1204&lt;&gt;"Completed")*(Appointments!$M$5:$M$1204&lt;&gt;"No show")*(Appointments!$B$5:$B$1204&gt;=TodayDate))*2958465)))</f>
        <v>0</v>
      </c>
      <c r="AB382" s="17">
        <f>IF(B382="","",IF(AA382&gt;=2958465,"",AA382))</f>
        <v>0</v>
      </c>
      <c r="AC382" s="25">
        <f>IF(B382="","",IF(T382&lt;2,"",ROUND((Y382-X382)/MAX(1,T382-1),0)))</f>
        <v>0</v>
      </c>
      <c r="AD382" s="17">
        <f>IF(B382="","",IF(Y382="","",Y382+IF(AC382="",RebookWeeks*7,MAX(14,AC382))))</f>
        <v>0</v>
      </c>
      <c r="AE382" s="26">
        <f>IF(B382="","",ROUND(SUMIFS(Sales!$Y$5:$Y$1204,Sales!$D$5:$D$1204,A382),2))</f>
        <v>0</v>
      </c>
      <c r="AF382" s="26">
        <f>IF(B382="","",ROUND(SUMIFS(Sales!$Y$5:$Y$1204,Sales!$D$5:$D$1204,A382,Sales!$H$5:$H$1204,"Service"),2))</f>
        <v>0</v>
      </c>
      <c r="AG382" s="26">
        <f>IF(B382="","",ROUND(SUMIFS(Sales!$Y$5:$Y$1204,Sales!$D$5:$D$1204,A382,Sales!$H$5:$H$1204,"Retail"),2))</f>
        <v>0</v>
      </c>
      <c r="AH382" s="26">
        <f>IF(B382="","",ROUND(SUMIFS(Sales!$Y$5:$Y$1204,Sales!$D$5:$D$1204,A382,Sales!$B$5:$B$1204,"&gt;="&amp;TodayDate-365),2))</f>
        <v>0</v>
      </c>
      <c r="AI382" s="26">
        <f>IF(B382="","",IF(T382=0,"",ROUND(AE382/T382,2)))</f>
        <v>0</v>
      </c>
      <c r="AJ382" s="26">
        <f>IF(B382="","",IF(AI382="","",IF(AC382="","",ROUND(AI382*(365/MAX(14,AC382)),2))))</f>
        <v>0</v>
      </c>
      <c r="AK382" s="26">
        <f>IF(B382="","",ROUND(SUMIFS(Sales!$AH$5:$AH$1204,Sales!$D$5:$D$1204,A382),2))</f>
        <v>0</v>
      </c>
      <c r="AL382" s="25">
        <f>IF(B382="","",IFERROR(INDEX(Loyalty!$P$5:$P$504,MATCH(A382,Loyalty!$B$5:$B$504,0))*1,0))</f>
        <v>0</v>
      </c>
      <c r="AM382" s="39">
        <f>IF(B382="","",IF(R382="Archived","Archived",IF(T382=0,"Not been yet",IF(Z382&gt;=InactiveDays,"Inactive",IF(Z382&gt;=LapsingDays,"Lapsing",IF(T382=1,"New",IF(AH382&gt;=VipSpend,"VIP",IF(U382&gt;=4,"Regular","Active"))))))))</f>
        <v>0</v>
      </c>
      <c r="AN382" s="38">
        <f>IF(B382="","",IF(T382&gt;=2,"Yes","No"))</f>
        <v>0</v>
      </c>
      <c r="AO382" s="25">
        <f>IF(B382="","",COUNTIFS($AE$5:$AE$504,"&gt;"&amp;AE382)+COUNTIFS($AE$5:AE382,AE382))</f>
        <v>0</v>
      </c>
      <c r="AP382" s="25">
        <f>IF(B382="","",COUNTIFS($T$5:$T$504,"&gt;"&amp;T382)+COUNTIFS($T$5:T382,T382))</f>
        <v>0</v>
      </c>
      <c r="AQ382" s="39">
        <f>IF(B382="","",IF(COUNTIF($B$5:$B$504,B382)&gt;1,"Duplicate - same name twice",IF(R382="Archived","",IF(AK382&gt;0.004,"Chase - balance outstanding",IF(AM382="Inactive","Gone - win-back offer",IF(AM382="Lapsing","Chase - lapsing, call them",IF(IF(N382="",FALSE,TodayDate-N382&gt;PatchTestDays),"Due - patch test out of date",IF(IF(AD382="",FALSE,IF(AB382&lt;&gt;"",FALSE,AD382&lt;=TodayDate+14)),"Rebook - due and nothing booked",IF(IF(K382="",FALSE,ABS(DATE(YEAR(TodayDate),MONTH(K382),DAY(K382))-TodayDate)&lt;=7),"Birthday - send the treat","OK")))))))))</f>
        <v>0</v>
      </c>
    </row>
    <row r="383" spans="1:43">
      <c r="A383" s="28">
        <f>IF(B383="","",ClientPrefix&amp;TEXT(ROW()-4,"0000"))</f>
        <v>0</v>
      </c>
      <c r="J383" s="15">
        <f>IF(I383="","",IFERROR(INDEX(Staff!$B$5:$B$44,MATCH(I383,Staff!$A$5:$A$44,0)),"Not in Staff"))</f>
        <v>0</v>
      </c>
      <c r="T383" s="25">
        <f>IF(B383="","",COUNTIFS(Appointments!$E$5:$E$1204,A383,Appointments!$M$5:$M$1204,"Completed"))</f>
        <v>0</v>
      </c>
      <c r="U383" s="25">
        <f>IF(B383="","",COUNTIFS(Appointments!$E$5:$E$1204,A383,Appointments!$M$5:$M$1204,"Completed",Appointments!$B$5:$B$1204,"&gt;="&amp;TodayDate-365))</f>
        <v>0</v>
      </c>
      <c r="V383" s="25">
        <f>IF(B383="","",COUNTIFS(Appointments!$E$5:$E$1204,A383,Appointments!$M$5:$M$1204,"Cancelled"))</f>
        <v>0</v>
      </c>
      <c r="W383" s="25">
        <f>IF(B383="","",COUNTIFS(Appointments!$E$5:$E$1204,A383,Appointments!$M$5:$M$1204,"No show"))</f>
        <v>0</v>
      </c>
      <c r="X383" s="17">
        <f>IF(B383="","",IF(F383&lt;&gt;"",F383,IF(T383=0,"",SUMPRODUCT(MIN((Appointments!$E$5:$E$1204=A383)*(Appointments!$M$5:$M$1204="Completed")*Appointments!$B$5:$B$1204+(1-(Appointments!$E$5:$E$1204=A383)*(Appointments!$M$5:$M$1204="Completed"))*2958465)))))</f>
        <v>0</v>
      </c>
      <c r="Y383" s="17">
        <f>IF(B383="","",IF(T383=0,"",SUMPRODUCT(MAX((Appointments!$E$5:$E$1204=A383)*(Appointments!$M$5:$M$1204="Completed")*Appointments!$B$5:$B$1204))))</f>
        <v>0</v>
      </c>
      <c r="Z383" s="25">
        <f>IF(B383="","",IF(Y383="","",TodayDate-Y383))</f>
        <v>0</v>
      </c>
      <c r="AA383" s="42">
        <f>IF(B383="","",SUMPRODUCT(MIN((Appointments!$E$5:$E$1204=A383)*(Appointments!$M$5:$M$1204&lt;&gt;"Cancelled")*(Appointments!$M$5:$M$1204&lt;&gt;"Completed")*(Appointments!$M$5:$M$1204&lt;&gt;"No show")*(Appointments!$B$5:$B$1204&gt;=TodayDate)*Appointments!$B$5:$B$1204+(1-(Appointments!$E$5:$E$1204=A383)*(Appointments!$M$5:$M$1204&lt;&gt;"Cancelled")*(Appointments!$M$5:$M$1204&lt;&gt;"Completed")*(Appointments!$M$5:$M$1204&lt;&gt;"No show")*(Appointments!$B$5:$B$1204&gt;=TodayDate))*2958465)))</f>
        <v>0</v>
      </c>
      <c r="AB383" s="17">
        <f>IF(B383="","",IF(AA383&gt;=2958465,"",AA383))</f>
        <v>0</v>
      </c>
      <c r="AC383" s="25">
        <f>IF(B383="","",IF(T383&lt;2,"",ROUND((Y383-X383)/MAX(1,T383-1),0)))</f>
        <v>0</v>
      </c>
      <c r="AD383" s="17">
        <f>IF(B383="","",IF(Y383="","",Y383+IF(AC383="",RebookWeeks*7,MAX(14,AC383))))</f>
        <v>0</v>
      </c>
      <c r="AE383" s="26">
        <f>IF(B383="","",ROUND(SUMIFS(Sales!$Y$5:$Y$1204,Sales!$D$5:$D$1204,A383),2))</f>
        <v>0</v>
      </c>
      <c r="AF383" s="26">
        <f>IF(B383="","",ROUND(SUMIFS(Sales!$Y$5:$Y$1204,Sales!$D$5:$D$1204,A383,Sales!$H$5:$H$1204,"Service"),2))</f>
        <v>0</v>
      </c>
      <c r="AG383" s="26">
        <f>IF(B383="","",ROUND(SUMIFS(Sales!$Y$5:$Y$1204,Sales!$D$5:$D$1204,A383,Sales!$H$5:$H$1204,"Retail"),2))</f>
        <v>0</v>
      </c>
      <c r="AH383" s="26">
        <f>IF(B383="","",ROUND(SUMIFS(Sales!$Y$5:$Y$1204,Sales!$D$5:$D$1204,A383,Sales!$B$5:$B$1204,"&gt;="&amp;TodayDate-365),2))</f>
        <v>0</v>
      </c>
      <c r="AI383" s="26">
        <f>IF(B383="","",IF(T383=0,"",ROUND(AE383/T383,2)))</f>
        <v>0</v>
      </c>
      <c r="AJ383" s="26">
        <f>IF(B383="","",IF(AI383="","",IF(AC383="","",ROUND(AI383*(365/MAX(14,AC383)),2))))</f>
        <v>0</v>
      </c>
      <c r="AK383" s="26">
        <f>IF(B383="","",ROUND(SUMIFS(Sales!$AH$5:$AH$1204,Sales!$D$5:$D$1204,A383),2))</f>
        <v>0</v>
      </c>
      <c r="AL383" s="25">
        <f>IF(B383="","",IFERROR(INDEX(Loyalty!$P$5:$P$504,MATCH(A383,Loyalty!$B$5:$B$504,0))*1,0))</f>
        <v>0</v>
      </c>
      <c r="AM383" s="39">
        <f>IF(B383="","",IF(R383="Archived","Archived",IF(T383=0,"Not been yet",IF(Z383&gt;=InactiveDays,"Inactive",IF(Z383&gt;=LapsingDays,"Lapsing",IF(T383=1,"New",IF(AH383&gt;=VipSpend,"VIP",IF(U383&gt;=4,"Regular","Active"))))))))</f>
        <v>0</v>
      </c>
      <c r="AN383" s="38">
        <f>IF(B383="","",IF(T383&gt;=2,"Yes","No"))</f>
        <v>0</v>
      </c>
      <c r="AO383" s="25">
        <f>IF(B383="","",COUNTIFS($AE$5:$AE$504,"&gt;"&amp;AE383)+COUNTIFS($AE$5:AE383,AE383))</f>
        <v>0</v>
      </c>
      <c r="AP383" s="25">
        <f>IF(B383="","",COUNTIFS($T$5:$T$504,"&gt;"&amp;T383)+COUNTIFS($T$5:T383,T383))</f>
        <v>0</v>
      </c>
      <c r="AQ383" s="39">
        <f>IF(B383="","",IF(COUNTIF($B$5:$B$504,B383)&gt;1,"Duplicate - same name twice",IF(R383="Archived","",IF(AK383&gt;0.004,"Chase - balance outstanding",IF(AM383="Inactive","Gone - win-back offer",IF(AM383="Lapsing","Chase - lapsing, call them",IF(IF(N383="",FALSE,TodayDate-N383&gt;PatchTestDays),"Due - patch test out of date",IF(IF(AD383="",FALSE,IF(AB383&lt;&gt;"",FALSE,AD383&lt;=TodayDate+14)),"Rebook - due and nothing booked",IF(IF(K383="",FALSE,ABS(DATE(YEAR(TodayDate),MONTH(K383),DAY(K383))-TodayDate)&lt;=7),"Birthday - send the treat","OK")))))))))</f>
        <v>0</v>
      </c>
    </row>
    <row r="384" spans="1:43">
      <c r="A384" s="28">
        <f>IF(B384="","",ClientPrefix&amp;TEXT(ROW()-4,"0000"))</f>
        <v>0</v>
      </c>
      <c r="J384" s="15">
        <f>IF(I384="","",IFERROR(INDEX(Staff!$B$5:$B$44,MATCH(I384,Staff!$A$5:$A$44,0)),"Not in Staff"))</f>
        <v>0</v>
      </c>
      <c r="T384" s="25">
        <f>IF(B384="","",COUNTIFS(Appointments!$E$5:$E$1204,A384,Appointments!$M$5:$M$1204,"Completed"))</f>
        <v>0</v>
      </c>
      <c r="U384" s="25">
        <f>IF(B384="","",COUNTIFS(Appointments!$E$5:$E$1204,A384,Appointments!$M$5:$M$1204,"Completed",Appointments!$B$5:$B$1204,"&gt;="&amp;TodayDate-365))</f>
        <v>0</v>
      </c>
      <c r="V384" s="25">
        <f>IF(B384="","",COUNTIFS(Appointments!$E$5:$E$1204,A384,Appointments!$M$5:$M$1204,"Cancelled"))</f>
        <v>0</v>
      </c>
      <c r="W384" s="25">
        <f>IF(B384="","",COUNTIFS(Appointments!$E$5:$E$1204,A384,Appointments!$M$5:$M$1204,"No show"))</f>
        <v>0</v>
      </c>
      <c r="X384" s="17">
        <f>IF(B384="","",IF(F384&lt;&gt;"",F384,IF(T384=0,"",SUMPRODUCT(MIN((Appointments!$E$5:$E$1204=A384)*(Appointments!$M$5:$M$1204="Completed")*Appointments!$B$5:$B$1204+(1-(Appointments!$E$5:$E$1204=A384)*(Appointments!$M$5:$M$1204="Completed"))*2958465)))))</f>
        <v>0</v>
      </c>
      <c r="Y384" s="17">
        <f>IF(B384="","",IF(T384=0,"",SUMPRODUCT(MAX((Appointments!$E$5:$E$1204=A384)*(Appointments!$M$5:$M$1204="Completed")*Appointments!$B$5:$B$1204))))</f>
        <v>0</v>
      </c>
      <c r="Z384" s="25">
        <f>IF(B384="","",IF(Y384="","",TodayDate-Y384))</f>
        <v>0</v>
      </c>
      <c r="AA384" s="42">
        <f>IF(B384="","",SUMPRODUCT(MIN((Appointments!$E$5:$E$1204=A384)*(Appointments!$M$5:$M$1204&lt;&gt;"Cancelled")*(Appointments!$M$5:$M$1204&lt;&gt;"Completed")*(Appointments!$M$5:$M$1204&lt;&gt;"No show")*(Appointments!$B$5:$B$1204&gt;=TodayDate)*Appointments!$B$5:$B$1204+(1-(Appointments!$E$5:$E$1204=A384)*(Appointments!$M$5:$M$1204&lt;&gt;"Cancelled")*(Appointments!$M$5:$M$1204&lt;&gt;"Completed")*(Appointments!$M$5:$M$1204&lt;&gt;"No show")*(Appointments!$B$5:$B$1204&gt;=TodayDate))*2958465)))</f>
        <v>0</v>
      </c>
      <c r="AB384" s="17">
        <f>IF(B384="","",IF(AA384&gt;=2958465,"",AA384))</f>
        <v>0</v>
      </c>
      <c r="AC384" s="25">
        <f>IF(B384="","",IF(T384&lt;2,"",ROUND((Y384-X384)/MAX(1,T384-1),0)))</f>
        <v>0</v>
      </c>
      <c r="AD384" s="17">
        <f>IF(B384="","",IF(Y384="","",Y384+IF(AC384="",RebookWeeks*7,MAX(14,AC384))))</f>
        <v>0</v>
      </c>
      <c r="AE384" s="26">
        <f>IF(B384="","",ROUND(SUMIFS(Sales!$Y$5:$Y$1204,Sales!$D$5:$D$1204,A384),2))</f>
        <v>0</v>
      </c>
      <c r="AF384" s="26">
        <f>IF(B384="","",ROUND(SUMIFS(Sales!$Y$5:$Y$1204,Sales!$D$5:$D$1204,A384,Sales!$H$5:$H$1204,"Service"),2))</f>
        <v>0</v>
      </c>
      <c r="AG384" s="26">
        <f>IF(B384="","",ROUND(SUMIFS(Sales!$Y$5:$Y$1204,Sales!$D$5:$D$1204,A384,Sales!$H$5:$H$1204,"Retail"),2))</f>
        <v>0</v>
      </c>
      <c r="AH384" s="26">
        <f>IF(B384="","",ROUND(SUMIFS(Sales!$Y$5:$Y$1204,Sales!$D$5:$D$1204,A384,Sales!$B$5:$B$1204,"&gt;="&amp;TodayDate-365),2))</f>
        <v>0</v>
      </c>
      <c r="AI384" s="26">
        <f>IF(B384="","",IF(T384=0,"",ROUND(AE384/T384,2)))</f>
        <v>0</v>
      </c>
      <c r="AJ384" s="26">
        <f>IF(B384="","",IF(AI384="","",IF(AC384="","",ROUND(AI384*(365/MAX(14,AC384)),2))))</f>
        <v>0</v>
      </c>
      <c r="AK384" s="26">
        <f>IF(B384="","",ROUND(SUMIFS(Sales!$AH$5:$AH$1204,Sales!$D$5:$D$1204,A384),2))</f>
        <v>0</v>
      </c>
      <c r="AL384" s="25">
        <f>IF(B384="","",IFERROR(INDEX(Loyalty!$P$5:$P$504,MATCH(A384,Loyalty!$B$5:$B$504,0))*1,0))</f>
        <v>0</v>
      </c>
      <c r="AM384" s="39">
        <f>IF(B384="","",IF(R384="Archived","Archived",IF(T384=0,"Not been yet",IF(Z384&gt;=InactiveDays,"Inactive",IF(Z384&gt;=LapsingDays,"Lapsing",IF(T384=1,"New",IF(AH384&gt;=VipSpend,"VIP",IF(U384&gt;=4,"Regular","Active"))))))))</f>
        <v>0</v>
      </c>
      <c r="AN384" s="38">
        <f>IF(B384="","",IF(T384&gt;=2,"Yes","No"))</f>
        <v>0</v>
      </c>
      <c r="AO384" s="25">
        <f>IF(B384="","",COUNTIFS($AE$5:$AE$504,"&gt;"&amp;AE384)+COUNTIFS($AE$5:AE384,AE384))</f>
        <v>0</v>
      </c>
      <c r="AP384" s="25">
        <f>IF(B384="","",COUNTIFS($T$5:$T$504,"&gt;"&amp;T384)+COUNTIFS($T$5:T384,T384))</f>
        <v>0</v>
      </c>
      <c r="AQ384" s="39">
        <f>IF(B384="","",IF(COUNTIF($B$5:$B$504,B384)&gt;1,"Duplicate - same name twice",IF(R384="Archived","",IF(AK384&gt;0.004,"Chase - balance outstanding",IF(AM384="Inactive","Gone - win-back offer",IF(AM384="Lapsing","Chase - lapsing, call them",IF(IF(N384="",FALSE,TodayDate-N384&gt;PatchTestDays),"Due - patch test out of date",IF(IF(AD384="",FALSE,IF(AB384&lt;&gt;"",FALSE,AD384&lt;=TodayDate+14)),"Rebook - due and nothing booked",IF(IF(K384="",FALSE,ABS(DATE(YEAR(TodayDate),MONTH(K384),DAY(K384))-TodayDate)&lt;=7),"Birthday - send the treat","OK")))))))))</f>
        <v>0</v>
      </c>
    </row>
    <row r="385" spans="1:43">
      <c r="A385" s="28">
        <f>IF(B385="","",ClientPrefix&amp;TEXT(ROW()-4,"0000"))</f>
        <v>0</v>
      </c>
      <c r="J385" s="15">
        <f>IF(I385="","",IFERROR(INDEX(Staff!$B$5:$B$44,MATCH(I385,Staff!$A$5:$A$44,0)),"Not in Staff"))</f>
        <v>0</v>
      </c>
      <c r="T385" s="25">
        <f>IF(B385="","",COUNTIFS(Appointments!$E$5:$E$1204,A385,Appointments!$M$5:$M$1204,"Completed"))</f>
        <v>0</v>
      </c>
      <c r="U385" s="25">
        <f>IF(B385="","",COUNTIFS(Appointments!$E$5:$E$1204,A385,Appointments!$M$5:$M$1204,"Completed",Appointments!$B$5:$B$1204,"&gt;="&amp;TodayDate-365))</f>
        <v>0</v>
      </c>
      <c r="V385" s="25">
        <f>IF(B385="","",COUNTIFS(Appointments!$E$5:$E$1204,A385,Appointments!$M$5:$M$1204,"Cancelled"))</f>
        <v>0</v>
      </c>
      <c r="W385" s="25">
        <f>IF(B385="","",COUNTIFS(Appointments!$E$5:$E$1204,A385,Appointments!$M$5:$M$1204,"No show"))</f>
        <v>0</v>
      </c>
      <c r="X385" s="17">
        <f>IF(B385="","",IF(F385&lt;&gt;"",F385,IF(T385=0,"",SUMPRODUCT(MIN((Appointments!$E$5:$E$1204=A385)*(Appointments!$M$5:$M$1204="Completed")*Appointments!$B$5:$B$1204+(1-(Appointments!$E$5:$E$1204=A385)*(Appointments!$M$5:$M$1204="Completed"))*2958465)))))</f>
        <v>0</v>
      </c>
      <c r="Y385" s="17">
        <f>IF(B385="","",IF(T385=0,"",SUMPRODUCT(MAX((Appointments!$E$5:$E$1204=A385)*(Appointments!$M$5:$M$1204="Completed")*Appointments!$B$5:$B$1204))))</f>
        <v>0</v>
      </c>
      <c r="Z385" s="25">
        <f>IF(B385="","",IF(Y385="","",TodayDate-Y385))</f>
        <v>0</v>
      </c>
      <c r="AA385" s="42">
        <f>IF(B385="","",SUMPRODUCT(MIN((Appointments!$E$5:$E$1204=A385)*(Appointments!$M$5:$M$1204&lt;&gt;"Cancelled")*(Appointments!$M$5:$M$1204&lt;&gt;"Completed")*(Appointments!$M$5:$M$1204&lt;&gt;"No show")*(Appointments!$B$5:$B$1204&gt;=TodayDate)*Appointments!$B$5:$B$1204+(1-(Appointments!$E$5:$E$1204=A385)*(Appointments!$M$5:$M$1204&lt;&gt;"Cancelled")*(Appointments!$M$5:$M$1204&lt;&gt;"Completed")*(Appointments!$M$5:$M$1204&lt;&gt;"No show")*(Appointments!$B$5:$B$1204&gt;=TodayDate))*2958465)))</f>
        <v>0</v>
      </c>
      <c r="AB385" s="17">
        <f>IF(B385="","",IF(AA385&gt;=2958465,"",AA385))</f>
        <v>0</v>
      </c>
      <c r="AC385" s="25">
        <f>IF(B385="","",IF(T385&lt;2,"",ROUND((Y385-X385)/MAX(1,T385-1),0)))</f>
        <v>0</v>
      </c>
      <c r="AD385" s="17">
        <f>IF(B385="","",IF(Y385="","",Y385+IF(AC385="",RebookWeeks*7,MAX(14,AC385))))</f>
        <v>0</v>
      </c>
      <c r="AE385" s="26">
        <f>IF(B385="","",ROUND(SUMIFS(Sales!$Y$5:$Y$1204,Sales!$D$5:$D$1204,A385),2))</f>
        <v>0</v>
      </c>
      <c r="AF385" s="26">
        <f>IF(B385="","",ROUND(SUMIFS(Sales!$Y$5:$Y$1204,Sales!$D$5:$D$1204,A385,Sales!$H$5:$H$1204,"Service"),2))</f>
        <v>0</v>
      </c>
      <c r="AG385" s="26">
        <f>IF(B385="","",ROUND(SUMIFS(Sales!$Y$5:$Y$1204,Sales!$D$5:$D$1204,A385,Sales!$H$5:$H$1204,"Retail"),2))</f>
        <v>0</v>
      </c>
      <c r="AH385" s="26">
        <f>IF(B385="","",ROUND(SUMIFS(Sales!$Y$5:$Y$1204,Sales!$D$5:$D$1204,A385,Sales!$B$5:$B$1204,"&gt;="&amp;TodayDate-365),2))</f>
        <v>0</v>
      </c>
      <c r="AI385" s="26">
        <f>IF(B385="","",IF(T385=0,"",ROUND(AE385/T385,2)))</f>
        <v>0</v>
      </c>
      <c r="AJ385" s="26">
        <f>IF(B385="","",IF(AI385="","",IF(AC385="","",ROUND(AI385*(365/MAX(14,AC385)),2))))</f>
        <v>0</v>
      </c>
      <c r="AK385" s="26">
        <f>IF(B385="","",ROUND(SUMIFS(Sales!$AH$5:$AH$1204,Sales!$D$5:$D$1204,A385),2))</f>
        <v>0</v>
      </c>
      <c r="AL385" s="25">
        <f>IF(B385="","",IFERROR(INDEX(Loyalty!$P$5:$P$504,MATCH(A385,Loyalty!$B$5:$B$504,0))*1,0))</f>
        <v>0</v>
      </c>
      <c r="AM385" s="39">
        <f>IF(B385="","",IF(R385="Archived","Archived",IF(T385=0,"Not been yet",IF(Z385&gt;=InactiveDays,"Inactive",IF(Z385&gt;=LapsingDays,"Lapsing",IF(T385=1,"New",IF(AH385&gt;=VipSpend,"VIP",IF(U385&gt;=4,"Regular","Active"))))))))</f>
        <v>0</v>
      </c>
      <c r="AN385" s="38">
        <f>IF(B385="","",IF(T385&gt;=2,"Yes","No"))</f>
        <v>0</v>
      </c>
      <c r="AO385" s="25">
        <f>IF(B385="","",COUNTIFS($AE$5:$AE$504,"&gt;"&amp;AE385)+COUNTIFS($AE$5:AE385,AE385))</f>
        <v>0</v>
      </c>
      <c r="AP385" s="25">
        <f>IF(B385="","",COUNTIFS($T$5:$T$504,"&gt;"&amp;T385)+COUNTIFS($T$5:T385,T385))</f>
        <v>0</v>
      </c>
      <c r="AQ385" s="39">
        <f>IF(B385="","",IF(COUNTIF($B$5:$B$504,B385)&gt;1,"Duplicate - same name twice",IF(R385="Archived","",IF(AK385&gt;0.004,"Chase - balance outstanding",IF(AM385="Inactive","Gone - win-back offer",IF(AM385="Lapsing","Chase - lapsing, call them",IF(IF(N385="",FALSE,TodayDate-N385&gt;PatchTestDays),"Due - patch test out of date",IF(IF(AD385="",FALSE,IF(AB385&lt;&gt;"",FALSE,AD385&lt;=TodayDate+14)),"Rebook - due and nothing booked",IF(IF(K385="",FALSE,ABS(DATE(YEAR(TodayDate),MONTH(K385),DAY(K385))-TodayDate)&lt;=7),"Birthday - send the treat","OK")))))))))</f>
        <v>0</v>
      </c>
    </row>
    <row r="386" spans="1:43">
      <c r="A386" s="28">
        <f>IF(B386="","",ClientPrefix&amp;TEXT(ROW()-4,"0000"))</f>
        <v>0</v>
      </c>
      <c r="J386" s="15">
        <f>IF(I386="","",IFERROR(INDEX(Staff!$B$5:$B$44,MATCH(I386,Staff!$A$5:$A$44,0)),"Not in Staff"))</f>
        <v>0</v>
      </c>
      <c r="T386" s="25">
        <f>IF(B386="","",COUNTIFS(Appointments!$E$5:$E$1204,A386,Appointments!$M$5:$M$1204,"Completed"))</f>
        <v>0</v>
      </c>
      <c r="U386" s="25">
        <f>IF(B386="","",COUNTIFS(Appointments!$E$5:$E$1204,A386,Appointments!$M$5:$M$1204,"Completed",Appointments!$B$5:$B$1204,"&gt;="&amp;TodayDate-365))</f>
        <v>0</v>
      </c>
      <c r="V386" s="25">
        <f>IF(B386="","",COUNTIFS(Appointments!$E$5:$E$1204,A386,Appointments!$M$5:$M$1204,"Cancelled"))</f>
        <v>0</v>
      </c>
      <c r="W386" s="25">
        <f>IF(B386="","",COUNTIFS(Appointments!$E$5:$E$1204,A386,Appointments!$M$5:$M$1204,"No show"))</f>
        <v>0</v>
      </c>
      <c r="X386" s="17">
        <f>IF(B386="","",IF(F386&lt;&gt;"",F386,IF(T386=0,"",SUMPRODUCT(MIN((Appointments!$E$5:$E$1204=A386)*(Appointments!$M$5:$M$1204="Completed")*Appointments!$B$5:$B$1204+(1-(Appointments!$E$5:$E$1204=A386)*(Appointments!$M$5:$M$1204="Completed"))*2958465)))))</f>
        <v>0</v>
      </c>
      <c r="Y386" s="17">
        <f>IF(B386="","",IF(T386=0,"",SUMPRODUCT(MAX((Appointments!$E$5:$E$1204=A386)*(Appointments!$M$5:$M$1204="Completed")*Appointments!$B$5:$B$1204))))</f>
        <v>0</v>
      </c>
      <c r="Z386" s="25">
        <f>IF(B386="","",IF(Y386="","",TodayDate-Y386))</f>
        <v>0</v>
      </c>
      <c r="AA386" s="42">
        <f>IF(B386="","",SUMPRODUCT(MIN((Appointments!$E$5:$E$1204=A386)*(Appointments!$M$5:$M$1204&lt;&gt;"Cancelled")*(Appointments!$M$5:$M$1204&lt;&gt;"Completed")*(Appointments!$M$5:$M$1204&lt;&gt;"No show")*(Appointments!$B$5:$B$1204&gt;=TodayDate)*Appointments!$B$5:$B$1204+(1-(Appointments!$E$5:$E$1204=A386)*(Appointments!$M$5:$M$1204&lt;&gt;"Cancelled")*(Appointments!$M$5:$M$1204&lt;&gt;"Completed")*(Appointments!$M$5:$M$1204&lt;&gt;"No show")*(Appointments!$B$5:$B$1204&gt;=TodayDate))*2958465)))</f>
        <v>0</v>
      </c>
      <c r="AB386" s="17">
        <f>IF(B386="","",IF(AA386&gt;=2958465,"",AA386))</f>
        <v>0</v>
      </c>
      <c r="AC386" s="25">
        <f>IF(B386="","",IF(T386&lt;2,"",ROUND((Y386-X386)/MAX(1,T386-1),0)))</f>
        <v>0</v>
      </c>
      <c r="AD386" s="17">
        <f>IF(B386="","",IF(Y386="","",Y386+IF(AC386="",RebookWeeks*7,MAX(14,AC386))))</f>
        <v>0</v>
      </c>
      <c r="AE386" s="26">
        <f>IF(B386="","",ROUND(SUMIFS(Sales!$Y$5:$Y$1204,Sales!$D$5:$D$1204,A386),2))</f>
        <v>0</v>
      </c>
      <c r="AF386" s="26">
        <f>IF(B386="","",ROUND(SUMIFS(Sales!$Y$5:$Y$1204,Sales!$D$5:$D$1204,A386,Sales!$H$5:$H$1204,"Service"),2))</f>
        <v>0</v>
      </c>
      <c r="AG386" s="26">
        <f>IF(B386="","",ROUND(SUMIFS(Sales!$Y$5:$Y$1204,Sales!$D$5:$D$1204,A386,Sales!$H$5:$H$1204,"Retail"),2))</f>
        <v>0</v>
      </c>
      <c r="AH386" s="26">
        <f>IF(B386="","",ROUND(SUMIFS(Sales!$Y$5:$Y$1204,Sales!$D$5:$D$1204,A386,Sales!$B$5:$B$1204,"&gt;="&amp;TodayDate-365),2))</f>
        <v>0</v>
      </c>
      <c r="AI386" s="26">
        <f>IF(B386="","",IF(T386=0,"",ROUND(AE386/T386,2)))</f>
        <v>0</v>
      </c>
      <c r="AJ386" s="26">
        <f>IF(B386="","",IF(AI386="","",IF(AC386="","",ROUND(AI386*(365/MAX(14,AC386)),2))))</f>
        <v>0</v>
      </c>
      <c r="AK386" s="26">
        <f>IF(B386="","",ROUND(SUMIFS(Sales!$AH$5:$AH$1204,Sales!$D$5:$D$1204,A386),2))</f>
        <v>0</v>
      </c>
      <c r="AL386" s="25">
        <f>IF(B386="","",IFERROR(INDEX(Loyalty!$P$5:$P$504,MATCH(A386,Loyalty!$B$5:$B$504,0))*1,0))</f>
        <v>0</v>
      </c>
      <c r="AM386" s="39">
        <f>IF(B386="","",IF(R386="Archived","Archived",IF(T386=0,"Not been yet",IF(Z386&gt;=InactiveDays,"Inactive",IF(Z386&gt;=LapsingDays,"Lapsing",IF(T386=1,"New",IF(AH386&gt;=VipSpend,"VIP",IF(U386&gt;=4,"Regular","Active"))))))))</f>
        <v>0</v>
      </c>
      <c r="AN386" s="38">
        <f>IF(B386="","",IF(T386&gt;=2,"Yes","No"))</f>
        <v>0</v>
      </c>
      <c r="AO386" s="25">
        <f>IF(B386="","",COUNTIFS($AE$5:$AE$504,"&gt;"&amp;AE386)+COUNTIFS($AE$5:AE386,AE386))</f>
        <v>0</v>
      </c>
      <c r="AP386" s="25">
        <f>IF(B386="","",COUNTIFS($T$5:$T$504,"&gt;"&amp;T386)+COUNTIFS($T$5:T386,T386))</f>
        <v>0</v>
      </c>
      <c r="AQ386" s="39">
        <f>IF(B386="","",IF(COUNTIF($B$5:$B$504,B386)&gt;1,"Duplicate - same name twice",IF(R386="Archived","",IF(AK386&gt;0.004,"Chase - balance outstanding",IF(AM386="Inactive","Gone - win-back offer",IF(AM386="Lapsing","Chase - lapsing, call them",IF(IF(N386="",FALSE,TodayDate-N386&gt;PatchTestDays),"Due - patch test out of date",IF(IF(AD386="",FALSE,IF(AB386&lt;&gt;"",FALSE,AD386&lt;=TodayDate+14)),"Rebook - due and nothing booked",IF(IF(K386="",FALSE,ABS(DATE(YEAR(TodayDate),MONTH(K386),DAY(K386))-TodayDate)&lt;=7),"Birthday - send the treat","OK")))))))))</f>
        <v>0</v>
      </c>
    </row>
    <row r="387" spans="1:43">
      <c r="A387" s="28">
        <f>IF(B387="","",ClientPrefix&amp;TEXT(ROW()-4,"0000"))</f>
        <v>0</v>
      </c>
      <c r="J387" s="15">
        <f>IF(I387="","",IFERROR(INDEX(Staff!$B$5:$B$44,MATCH(I387,Staff!$A$5:$A$44,0)),"Not in Staff"))</f>
        <v>0</v>
      </c>
      <c r="T387" s="25">
        <f>IF(B387="","",COUNTIFS(Appointments!$E$5:$E$1204,A387,Appointments!$M$5:$M$1204,"Completed"))</f>
        <v>0</v>
      </c>
      <c r="U387" s="25">
        <f>IF(B387="","",COUNTIFS(Appointments!$E$5:$E$1204,A387,Appointments!$M$5:$M$1204,"Completed",Appointments!$B$5:$B$1204,"&gt;="&amp;TodayDate-365))</f>
        <v>0</v>
      </c>
      <c r="V387" s="25">
        <f>IF(B387="","",COUNTIFS(Appointments!$E$5:$E$1204,A387,Appointments!$M$5:$M$1204,"Cancelled"))</f>
        <v>0</v>
      </c>
      <c r="W387" s="25">
        <f>IF(B387="","",COUNTIFS(Appointments!$E$5:$E$1204,A387,Appointments!$M$5:$M$1204,"No show"))</f>
        <v>0</v>
      </c>
      <c r="X387" s="17">
        <f>IF(B387="","",IF(F387&lt;&gt;"",F387,IF(T387=0,"",SUMPRODUCT(MIN((Appointments!$E$5:$E$1204=A387)*(Appointments!$M$5:$M$1204="Completed")*Appointments!$B$5:$B$1204+(1-(Appointments!$E$5:$E$1204=A387)*(Appointments!$M$5:$M$1204="Completed"))*2958465)))))</f>
        <v>0</v>
      </c>
      <c r="Y387" s="17">
        <f>IF(B387="","",IF(T387=0,"",SUMPRODUCT(MAX((Appointments!$E$5:$E$1204=A387)*(Appointments!$M$5:$M$1204="Completed")*Appointments!$B$5:$B$1204))))</f>
        <v>0</v>
      </c>
      <c r="Z387" s="25">
        <f>IF(B387="","",IF(Y387="","",TodayDate-Y387))</f>
        <v>0</v>
      </c>
      <c r="AA387" s="42">
        <f>IF(B387="","",SUMPRODUCT(MIN((Appointments!$E$5:$E$1204=A387)*(Appointments!$M$5:$M$1204&lt;&gt;"Cancelled")*(Appointments!$M$5:$M$1204&lt;&gt;"Completed")*(Appointments!$M$5:$M$1204&lt;&gt;"No show")*(Appointments!$B$5:$B$1204&gt;=TodayDate)*Appointments!$B$5:$B$1204+(1-(Appointments!$E$5:$E$1204=A387)*(Appointments!$M$5:$M$1204&lt;&gt;"Cancelled")*(Appointments!$M$5:$M$1204&lt;&gt;"Completed")*(Appointments!$M$5:$M$1204&lt;&gt;"No show")*(Appointments!$B$5:$B$1204&gt;=TodayDate))*2958465)))</f>
        <v>0</v>
      </c>
      <c r="AB387" s="17">
        <f>IF(B387="","",IF(AA387&gt;=2958465,"",AA387))</f>
        <v>0</v>
      </c>
      <c r="AC387" s="25">
        <f>IF(B387="","",IF(T387&lt;2,"",ROUND((Y387-X387)/MAX(1,T387-1),0)))</f>
        <v>0</v>
      </c>
      <c r="AD387" s="17">
        <f>IF(B387="","",IF(Y387="","",Y387+IF(AC387="",RebookWeeks*7,MAX(14,AC387))))</f>
        <v>0</v>
      </c>
      <c r="AE387" s="26">
        <f>IF(B387="","",ROUND(SUMIFS(Sales!$Y$5:$Y$1204,Sales!$D$5:$D$1204,A387),2))</f>
        <v>0</v>
      </c>
      <c r="AF387" s="26">
        <f>IF(B387="","",ROUND(SUMIFS(Sales!$Y$5:$Y$1204,Sales!$D$5:$D$1204,A387,Sales!$H$5:$H$1204,"Service"),2))</f>
        <v>0</v>
      </c>
      <c r="AG387" s="26">
        <f>IF(B387="","",ROUND(SUMIFS(Sales!$Y$5:$Y$1204,Sales!$D$5:$D$1204,A387,Sales!$H$5:$H$1204,"Retail"),2))</f>
        <v>0</v>
      </c>
      <c r="AH387" s="26">
        <f>IF(B387="","",ROUND(SUMIFS(Sales!$Y$5:$Y$1204,Sales!$D$5:$D$1204,A387,Sales!$B$5:$B$1204,"&gt;="&amp;TodayDate-365),2))</f>
        <v>0</v>
      </c>
      <c r="AI387" s="26">
        <f>IF(B387="","",IF(T387=0,"",ROUND(AE387/T387,2)))</f>
        <v>0</v>
      </c>
      <c r="AJ387" s="26">
        <f>IF(B387="","",IF(AI387="","",IF(AC387="","",ROUND(AI387*(365/MAX(14,AC387)),2))))</f>
        <v>0</v>
      </c>
      <c r="AK387" s="26">
        <f>IF(B387="","",ROUND(SUMIFS(Sales!$AH$5:$AH$1204,Sales!$D$5:$D$1204,A387),2))</f>
        <v>0</v>
      </c>
      <c r="AL387" s="25">
        <f>IF(B387="","",IFERROR(INDEX(Loyalty!$P$5:$P$504,MATCH(A387,Loyalty!$B$5:$B$504,0))*1,0))</f>
        <v>0</v>
      </c>
      <c r="AM387" s="39">
        <f>IF(B387="","",IF(R387="Archived","Archived",IF(T387=0,"Not been yet",IF(Z387&gt;=InactiveDays,"Inactive",IF(Z387&gt;=LapsingDays,"Lapsing",IF(T387=1,"New",IF(AH387&gt;=VipSpend,"VIP",IF(U387&gt;=4,"Regular","Active"))))))))</f>
        <v>0</v>
      </c>
      <c r="AN387" s="38">
        <f>IF(B387="","",IF(T387&gt;=2,"Yes","No"))</f>
        <v>0</v>
      </c>
      <c r="AO387" s="25">
        <f>IF(B387="","",COUNTIFS($AE$5:$AE$504,"&gt;"&amp;AE387)+COUNTIFS($AE$5:AE387,AE387))</f>
        <v>0</v>
      </c>
      <c r="AP387" s="25">
        <f>IF(B387="","",COUNTIFS($T$5:$T$504,"&gt;"&amp;T387)+COUNTIFS($T$5:T387,T387))</f>
        <v>0</v>
      </c>
      <c r="AQ387" s="39">
        <f>IF(B387="","",IF(COUNTIF($B$5:$B$504,B387)&gt;1,"Duplicate - same name twice",IF(R387="Archived","",IF(AK387&gt;0.004,"Chase - balance outstanding",IF(AM387="Inactive","Gone - win-back offer",IF(AM387="Lapsing","Chase - lapsing, call them",IF(IF(N387="",FALSE,TodayDate-N387&gt;PatchTestDays),"Due - patch test out of date",IF(IF(AD387="",FALSE,IF(AB387&lt;&gt;"",FALSE,AD387&lt;=TodayDate+14)),"Rebook - due and nothing booked",IF(IF(K387="",FALSE,ABS(DATE(YEAR(TodayDate),MONTH(K387),DAY(K387))-TodayDate)&lt;=7),"Birthday - send the treat","OK")))))))))</f>
        <v>0</v>
      </c>
    </row>
    <row r="388" spans="1:43">
      <c r="A388" s="28">
        <f>IF(B388="","",ClientPrefix&amp;TEXT(ROW()-4,"0000"))</f>
        <v>0</v>
      </c>
      <c r="J388" s="15">
        <f>IF(I388="","",IFERROR(INDEX(Staff!$B$5:$B$44,MATCH(I388,Staff!$A$5:$A$44,0)),"Not in Staff"))</f>
        <v>0</v>
      </c>
      <c r="T388" s="25">
        <f>IF(B388="","",COUNTIFS(Appointments!$E$5:$E$1204,A388,Appointments!$M$5:$M$1204,"Completed"))</f>
        <v>0</v>
      </c>
      <c r="U388" s="25">
        <f>IF(B388="","",COUNTIFS(Appointments!$E$5:$E$1204,A388,Appointments!$M$5:$M$1204,"Completed",Appointments!$B$5:$B$1204,"&gt;="&amp;TodayDate-365))</f>
        <v>0</v>
      </c>
      <c r="V388" s="25">
        <f>IF(B388="","",COUNTIFS(Appointments!$E$5:$E$1204,A388,Appointments!$M$5:$M$1204,"Cancelled"))</f>
        <v>0</v>
      </c>
      <c r="W388" s="25">
        <f>IF(B388="","",COUNTIFS(Appointments!$E$5:$E$1204,A388,Appointments!$M$5:$M$1204,"No show"))</f>
        <v>0</v>
      </c>
      <c r="X388" s="17">
        <f>IF(B388="","",IF(F388&lt;&gt;"",F388,IF(T388=0,"",SUMPRODUCT(MIN((Appointments!$E$5:$E$1204=A388)*(Appointments!$M$5:$M$1204="Completed")*Appointments!$B$5:$B$1204+(1-(Appointments!$E$5:$E$1204=A388)*(Appointments!$M$5:$M$1204="Completed"))*2958465)))))</f>
        <v>0</v>
      </c>
      <c r="Y388" s="17">
        <f>IF(B388="","",IF(T388=0,"",SUMPRODUCT(MAX((Appointments!$E$5:$E$1204=A388)*(Appointments!$M$5:$M$1204="Completed")*Appointments!$B$5:$B$1204))))</f>
        <v>0</v>
      </c>
      <c r="Z388" s="25">
        <f>IF(B388="","",IF(Y388="","",TodayDate-Y388))</f>
        <v>0</v>
      </c>
      <c r="AA388" s="42">
        <f>IF(B388="","",SUMPRODUCT(MIN((Appointments!$E$5:$E$1204=A388)*(Appointments!$M$5:$M$1204&lt;&gt;"Cancelled")*(Appointments!$M$5:$M$1204&lt;&gt;"Completed")*(Appointments!$M$5:$M$1204&lt;&gt;"No show")*(Appointments!$B$5:$B$1204&gt;=TodayDate)*Appointments!$B$5:$B$1204+(1-(Appointments!$E$5:$E$1204=A388)*(Appointments!$M$5:$M$1204&lt;&gt;"Cancelled")*(Appointments!$M$5:$M$1204&lt;&gt;"Completed")*(Appointments!$M$5:$M$1204&lt;&gt;"No show")*(Appointments!$B$5:$B$1204&gt;=TodayDate))*2958465)))</f>
        <v>0</v>
      </c>
      <c r="AB388" s="17">
        <f>IF(B388="","",IF(AA388&gt;=2958465,"",AA388))</f>
        <v>0</v>
      </c>
      <c r="AC388" s="25">
        <f>IF(B388="","",IF(T388&lt;2,"",ROUND((Y388-X388)/MAX(1,T388-1),0)))</f>
        <v>0</v>
      </c>
      <c r="AD388" s="17">
        <f>IF(B388="","",IF(Y388="","",Y388+IF(AC388="",RebookWeeks*7,MAX(14,AC388))))</f>
        <v>0</v>
      </c>
      <c r="AE388" s="26">
        <f>IF(B388="","",ROUND(SUMIFS(Sales!$Y$5:$Y$1204,Sales!$D$5:$D$1204,A388),2))</f>
        <v>0</v>
      </c>
      <c r="AF388" s="26">
        <f>IF(B388="","",ROUND(SUMIFS(Sales!$Y$5:$Y$1204,Sales!$D$5:$D$1204,A388,Sales!$H$5:$H$1204,"Service"),2))</f>
        <v>0</v>
      </c>
      <c r="AG388" s="26">
        <f>IF(B388="","",ROUND(SUMIFS(Sales!$Y$5:$Y$1204,Sales!$D$5:$D$1204,A388,Sales!$H$5:$H$1204,"Retail"),2))</f>
        <v>0</v>
      </c>
      <c r="AH388" s="26">
        <f>IF(B388="","",ROUND(SUMIFS(Sales!$Y$5:$Y$1204,Sales!$D$5:$D$1204,A388,Sales!$B$5:$B$1204,"&gt;="&amp;TodayDate-365),2))</f>
        <v>0</v>
      </c>
      <c r="AI388" s="26">
        <f>IF(B388="","",IF(T388=0,"",ROUND(AE388/T388,2)))</f>
        <v>0</v>
      </c>
      <c r="AJ388" s="26">
        <f>IF(B388="","",IF(AI388="","",IF(AC388="","",ROUND(AI388*(365/MAX(14,AC388)),2))))</f>
        <v>0</v>
      </c>
      <c r="AK388" s="26">
        <f>IF(B388="","",ROUND(SUMIFS(Sales!$AH$5:$AH$1204,Sales!$D$5:$D$1204,A388),2))</f>
        <v>0</v>
      </c>
      <c r="AL388" s="25">
        <f>IF(B388="","",IFERROR(INDEX(Loyalty!$P$5:$P$504,MATCH(A388,Loyalty!$B$5:$B$504,0))*1,0))</f>
        <v>0</v>
      </c>
      <c r="AM388" s="39">
        <f>IF(B388="","",IF(R388="Archived","Archived",IF(T388=0,"Not been yet",IF(Z388&gt;=InactiveDays,"Inactive",IF(Z388&gt;=LapsingDays,"Lapsing",IF(T388=1,"New",IF(AH388&gt;=VipSpend,"VIP",IF(U388&gt;=4,"Regular","Active"))))))))</f>
        <v>0</v>
      </c>
      <c r="AN388" s="38">
        <f>IF(B388="","",IF(T388&gt;=2,"Yes","No"))</f>
        <v>0</v>
      </c>
      <c r="AO388" s="25">
        <f>IF(B388="","",COUNTIFS($AE$5:$AE$504,"&gt;"&amp;AE388)+COUNTIFS($AE$5:AE388,AE388))</f>
        <v>0</v>
      </c>
      <c r="AP388" s="25">
        <f>IF(B388="","",COUNTIFS($T$5:$T$504,"&gt;"&amp;T388)+COUNTIFS($T$5:T388,T388))</f>
        <v>0</v>
      </c>
      <c r="AQ388" s="39">
        <f>IF(B388="","",IF(COUNTIF($B$5:$B$504,B388)&gt;1,"Duplicate - same name twice",IF(R388="Archived","",IF(AK388&gt;0.004,"Chase - balance outstanding",IF(AM388="Inactive","Gone - win-back offer",IF(AM388="Lapsing","Chase - lapsing, call them",IF(IF(N388="",FALSE,TodayDate-N388&gt;PatchTestDays),"Due - patch test out of date",IF(IF(AD388="",FALSE,IF(AB388&lt;&gt;"",FALSE,AD388&lt;=TodayDate+14)),"Rebook - due and nothing booked",IF(IF(K388="",FALSE,ABS(DATE(YEAR(TodayDate),MONTH(K388),DAY(K388))-TodayDate)&lt;=7),"Birthday - send the treat","OK")))))))))</f>
        <v>0</v>
      </c>
    </row>
    <row r="389" spans="1:43">
      <c r="A389" s="28">
        <f>IF(B389="","",ClientPrefix&amp;TEXT(ROW()-4,"0000"))</f>
        <v>0</v>
      </c>
      <c r="J389" s="15">
        <f>IF(I389="","",IFERROR(INDEX(Staff!$B$5:$B$44,MATCH(I389,Staff!$A$5:$A$44,0)),"Not in Staff"))</f>
        <v>0</v>
      </c>
      <c r="T389" s="25">
        <f>IF(B389="","",COUNTIFS(Appointments!$E$5:$E$1204,A389,Appointments!$M$5:$M$1204,"Completed"))</f>
        <v>0</v>
      </c>
      <c r="U389" s="25">
        <f>IF(B389="","",COUNTIFS(Appointments!$E$5:$E$1204,A389,Appointments!$M$5:$M$1204,"Completed",Appointments!$B$5:$B$1204,"&gt;="&amp;TodayDate-365))</f>
        <v>0</v>
      </c>
      <c r="V389" s="25">
        <f>IF(B389="","",COUNTIFS(Appointments!$E$5:$E$1204,A389,Appointments!$M$5:$M$1204,"Cancelled"))</f>
        <v>0</v>
      </c>
      <c r="W389" s="25">
        <f>IF(B389="","",COUNTIFS(Appointments!$E$5:$E$1204,A389,Appointments!$M$5:$M$1204,"No show"))</f>
        <v>0</v>
      </c>
      <c r="X389" s="17">
        <f>IF(B389="","",IF(F389&lt;&gt;"",F389,IF(T389=0,"",SUMPRODUCT(MIN((Appointments!$E$5:$E$1204=A389)*(Appointments!$M$5:$M$1204="Completed")*Appointments!$B$5:$B$1204+(1-(Appointments!$E$5:$E$1204=A389)*(Appointments!$M$5:$M$1204="Completed"))*2958465)))))</f>
        <v>0</v>
      </c>
      <c r="Y389" s="17">
        <f>IF(B389="","",IF(T389=0,"",SUMPRODUCT(MAX((Appointments!$E$5:$E$1204=A389)*(Appointments!$M$5:$M$1204="Completed")*Appointments!$B$5:$B$1204))))</f>
        <v>0</v>
      </c>
      <c r="Z389" s="25">
        <f>IF(B389="","",IF(Y389="","",TodayDate-Y389))</f>
        <v>0</v>
      </c>
      <c r="AA389" s="42">
        <f>IF(B389="","",SUMPRODUCT(MIN((Appointments!$E$5:$E$1204=A389)*(Appointments!$M$5:$M$1204&lt;&gt;"Cancelled")*(Appointments!$M$5:$M$1204&lt;&gt;"Completed")*(Appointments!$M$5:$M$1204&lt;&gt;"No show")*(Appointments!$B$5:$B$1204&gt;=TodayDate)*Appointments!$B$5:$B$1204+(1-(Appointments!$E$5:$E$1204=A389)*(Appointments!$M$5:$M$1204&lt;&gt;"Cancelled")*(Appointments!$M$5:$M$1204&lt;&gt;"Completed")*(Appointments!$M$5:$M$1204&lt;&gt;"No show")*(Appointments!$B$5:$B$1204&gt;=TodayDate))*2958465)))</f>
        <v>0</v>
      </c>
      <c r="AB389" s="17">
        <f>IF(B389="","",IF(AA389&gt;=2958465,"",AA389))</f>
        <v>0</v>
      </c>
      <c r="AC389" s="25">
        <f>IF(B389="","",IF(T389&lt;2,"",ROUND((Y389-X389)/MAX(1,T389-1),0)))</f>
        <v>0</v>
      </c>
      <c r="AD389" s="17">
        <f>IF(B389="","",IF(Y389="","",Y389+IF(AC389="",RebookWeeks*7,MAX(14,AC389))))</f>
        <v>0</v>
      </c>
      <c r="AE389" s="26">
        <f>IF(B389="","",ROUND(SUMIFS(Sales!$Y$5:$Y$1204,Sales!$D$5:$D$1204,A389),2))</f>
        <v>0</v>
      </c>
      <c r="AF389" s="26">
        <f>IF(B389="","",ROUND(SUMIFS(Sales!$Y$5:$Y$1204,Sales!$D$5:$D$1204,A389,Sales!$H$5:$H$1204,"Service"),2))</f>
        <v>0</v>
      </c>
      <c r="AG389" s="26">
        <f>IF(B389="","",ROUND(SUMIFS(Sales!$Y$5:$Y$1204,Sales!$D$5:$D$1204,A389,Sales!$H$5:$H$1204,"Retail"),2))</f>
        <v>0</v>
      </c>
      <c r="AH389" s="26">
        <f>IF(B389="","",ROUND(SUMIFS(Sales!$Y$5:$Y$1204,Sales!$D$5:$D$1204,A389,Sales!$B$5:$B$1204,"&gt;="&amp;TodayDate-365),2))</f>
        <v>0</v>
      </c>
      <c r="AI389" s="26">
        <f>IF(B389="","",IF(T389=0,"",ROUND(AE389/T389,2)))</f>
        <v>0</v>
      </c>
      <c r="AJ389" s="26">
        <f>IF(B389="","",IF(AI389="","",IF(AC389="","",ROUND(AI389*(365/MAX(14,AC389)),2))))</f>
        <v>0</v>
      </c>
      <c r="AK389" s="26">
        <f>IF(B389="","",ROUND(SUMIFS(Sales!$AH$5:$AH$1204,Sales!$D$5:$D$1204,A389),2))</f>
        <v>0</v>
      </c>
      <c r="AL389" s="25">
        <f>IF(B389="","",IFERROR(INDEX(Loyalty!$P$5:$P$504,MATCH(A389,Loyalty!$B$5:$B$504,0))*1,0))</f>
        <v>0</v>
      </c>
      <c r="AM389" s="39">
        <f>IF(B389="","",IF(R389="Archived","Archived",IF(T389=0,"Not been yet",IF(Z389&gt;=InactiveDays,"Inactive",IF(Z389&gt;=LapsingDays,"Lapsing",IF(T389=1,"New",IF(AH389&gt;=VipSpend,"VIP",IF(U389&gt;=4,"Regular","Active"))))))))</f>
        <v>0</v>
      </c>
      <c r="AN389" s="38">
        <f>IF(B389="","",IF(T389&gt;=2,"Yes","No"))</f>
        <v>0</v>
      </c>
      <c r="AO389" s="25">
        <f>IF(B389="","",COUNTIFS($AE$5:$AE$504,"&gt;"&amp;AE389)+COUNTIFS($AE$5:AE389,AE389))</f>
        <v>0</v>
      </c>
      <c r="AP389" s="25">
        <f>IF(B389="","",COUNTIFS($T$5:$T$504,"&gt;"&amp;T389)+COUNTIFS($T$5:T389,T389))</f>
        <v>0</v>
      </c>
      <c r="AQ389" s="39">
        <f>IF(B389="","",IF(COUNTIF($B$5:$B$504,B389)&gt;1,"Duplicate - same name twice",IF(R389="Archived","",IF(AK389&gt;0.004,"Chase - balance outstanding",IF(AM389="Inactive","Gone - win-back offer",IF(AM389="Lapsing","Chase - lapsing, call them",IF(IF(N389="",FALSE,TodayDate-N389&gt;PatchTestDays),"Due - patch test out of date",IF(IF(AD389="",FALSE,IF(AB389&lt;&gt;"",FALSE,AD389&lt;=TodayDate+14)),"Rebook - due and nothing booked",IF(IF(K389="",FALSE,ABS(DATE(YEAR(TodayDate),MONTH(K389),DAY(K389))-TodayDate)&lt;=7),"Birthday - send the treat","OK")))))))))</f>
        <v>0</v>
      </c>
    </row>
    <row r="390" spans="1:43">
      <c r="A390" s="28">
        <f>IF(B390="","",ClientPrefix&amp;TEXT(ROW()-4,"0000"))</f>
        <v>0</v>
      </c>
      <c r="J390" s="15">
        <f>IF(I390="","",IFERROR(INDEX(Staff!$B$5:$B$44,MATCH(I390,Staff!$A$5:$A$44,0)),"Not in Staff"))</f>
        <v>0</v>
      </c>
      <c r="T390" s="25">
        <f>IF(B390="","",COUNTIFS(Appointments!$E$5:$E$1204,A390,Appointments!$M$5:$M$1204,"Completed"))</f>
        <v>0</v>
      </c>
      <c r="U390" s="25">
        <f>IF(B390="","",COUNTIFS(Appointments!$E$5:$E$1204,A390,Appointments!$M$5:$M$1204,"Completed",Appointments!$B$5:$B$1204,"&gt;="&amp;TodayDate-365))</f>
        <v>0</v>
      </c>
      <c r="V390" s="25">
        <f>IF(B390="","",COUNTIFS(Appointments!$E$5:$E$1204,A390,Appointments!$M$5:$M$1204,"Cancelled"))</f>
        <v>0</v>
      </c>
      <c r="W390" s="25">
        <f>IF(B390="","",COUNTIFS(Appointments!$E$5:$E$1204,A390,Appointments!$M$5:$M$1204,"No show"))</f>
        <v>0</v>
      </c>
      <c r="X390" s="17">
        <f>IF(B390="","",IF(F390&lt;&gt;"",F390,IF(T390=0,"",SUMPRODUCT(MIN((Appointments!$E$5:$E$1204=A390)*(Appointments!$M$5:$M$1204="Completed")*Appointments!$B$5:$B$1204+(1-(Appointments!$E$5:$E$1204=A390)*(Appointments!$M$5:$M$1204="Completed"))*2958465)))))</f>
        <v>0</v>
      </c>
      <c r="Y390" s="17">
        <f>IF(B390="","",IF(T390=0,"",SUMPRODUCT(MAX((Appointments!$E$5:$E$1204=A390)*(Appointments!$M$5:$M$1204="Completed")*Appointments!$B$5:$B$1204))))</f>
        <v>0</v>
      </c>
      <c r="Z390" s="25">
        <f>IF(B390="","",IF(Y390="","",TodayDate-Y390))</f>
        <v>0</v>
      </c>
      <c r="AA390" s="42">
        <f>IF(B390="","",SUMPRODUCT(MIN((Appointments!$E$5:$E$1204=A390)*(Appointments!$M$5:$M$1204&lt;&gt;"Cancelled")*(Appointments!$M$5:$M$1204&lt;&gt;"Completed")*(Appointments!$M$5:$M$1204&lt;&gt;"No show")*(Appointments!$B$5:$B$1204&gt;=TodayDate)*Appointments!$B$5:$B$1204+(1-(Appointments!$E$5:$E$1204=A390)*(Appointments!$M$5:$M$1204&lt;&gt;"Cancelled")*(Appointments!$M$5:$M$1204&lt;&gt;"Completed")*(Appointments!$M$5:$M$1204&lt;&gt;"No show")*(Appointments!$B$5:$B$1204&gt;=TodayDate))*2958465)))</f>
        <v>0</v>
      </c>
      <c r="AB390" s="17">
        <f>IF(B390="","",IF(AA390&gt;=2958465,"",AA390))</f>
        <v>0</v>
      </c>
      <c r="AC390" s="25">
        <f>IF(B390="","",IF(T390&lt;2,"",ROUND((Y390-X390)/MAX(1,T390-1),0)))</f>
        <v>0</v>
      </c>
      <c r="AD390" s="17">
        <f>IF(B390="","",IF(Y390="","",Y390+IF(AC390="",RebookWeeks*7,MAX(14,AC390))))</f>
        <v>0</v>
      </c>
      <c r="AE390" s="26">
        <f>IF(B390="","",ROUND(SUMIFS(Sales!$Y$5:$Y$1204,Sales!$D$5:$D$1204,A390),2))</f>
        <v>0</v>
      </c>
      <c r="AF390" s="26">
        <f>IF(B390="","",ROUND(SUMIFS(Sales!$Y$5:$Y$1204,Sales!$D$5:$D$1204,A390,Sales!$H$5:$H$1204,"Service"),2))</f>
        <v>0</v>
      </c>
      <c r="AG390" s="26">
        <f>IF(B390="","",ROUND(SUMIFS(Sales!$Y$5:$Y$1204,Sales!$D$5:$D$1204,A390,Sales!$H$5:$H$1204,"Retail"),2))</f>
        <v>0</v>
      </c>
      <c r="AH390" s="26">
        <f>IF(B390="","",ROUND(SUMIFS(Sales!$Y$5:$Y$1204,Sales!$D$5:$D$1204,A390,Sales!$B$5:$B$1204,"&gt;="&amp;TodayDate-365),2))</f>
        <v>0</v>
      </c>
      <c r="AI390" s="26">
        <f>IF(B390="","",IF(T390=0,"",ROUND(AE390/T390,2)))</f>
        <v>0</v>
      </c>
      <c r="AJ390" s="26">
        <f>IF(B390="","",IF(AI390="","",IF(AC390="","",ROUND(AI390*(365/MAX(14,AC390)),2))))</f>
        <v>0</v>
      </c>
      <c r="AK390" s="26">
        <f>IF(B390="","",ROUND(SUMIFS(Sales!$AH$5:$AH$1204,Sales!$D$5:$D$1204,A390),2))</f>
        <v>0</v>
      </c>
      <c r="AL390" s="25">
        <f>IF(B390="","",IFERROR(INDEX(Loyalty!$P$5:$P$504,MATCH(A390,Loyalty!$B$5:$B$504,0))*1,0))</f>
        <v>0</v>
      </c>
      <c r="AM390" s="39">
        <f>IF(B390="","",IF(R390="Archived","Archived",IF(T390=0,"Not been yet",IF(Z390&gt;=InactiveDays,"Inactive",IF(Z390&gt;=LapsingDays,"Lapsing",IF(T390=1,"New",IF(AH390&gt;=VipSpend,"VIP",IF(U390&gt;=4,"Regular","Active"))))))))</f>
        <v>0</v>
      </c>
      <c r="AN390" s="38">
        <f>IF(B390="","",IF(T390&gt;=2,"Yes","No"))</f>
        <v>0</v>
      </c>
      <c r="AO390" s="25">
        <f>IF(B390="","",COUNTIFS($AE$5:$AE$504,"&gt;"&amp;AE390)+COUNTIFS($AE$5:AE390,AE390))</f>
        <v>0</v>
      </c>
      <c r="AP390" s="25">
        <f>IF(B390="","",COUNTIFS($T$5:$T$504,"&gt;"&amp;T390)+COUNTIFS($T$5:T390,T390))</f>
        <v>0</v>
      </c>
      <c r="AQ390" s="39">
        <f>IF(B390="","",IF(COUNTIF($B$5:$B$504,B390)&gt;1,"Duplicate - same name twice",IF(R390="Archived","",IF(AK390&gt;0.004,"Chase - balance outstanding",IF(AM390="Inactive","Gone - win-back offer",IF(AM390="Lapsing","Chase - lapsing, call them",IF(IF(N390="",FALSE,TodayDate-N390&gt;PatchTestDays),"Due - patch test out of date",IF(IF(AD390="",FALSE,IF(AB390&lt;&gt;"",FALSE,AD390&lt;=TodayDate+14)),"Rebook - due and nothing booked",IF(IF(K390="",FALSE,ABS(DATE(YEAR(TodayDate),MONTH(K390),DAY(K390))-TodayDate)&lt;=7),"Birthday - send the treat","OK")))))))))</f>
        <v>0</v>
      </c>
    </row>
    <row r="391" spans="1:43">
      <c r="A391" s="28">
        <f>IF(B391="","",ClientPrefix&amp;TEXT(ROW()-4,"0000"))</f>
        <v>0</v>
      </c>
      <c r="J391" s="15">
        <f>IF(I391="","",IFERROR(INDEX(Staff!$B$5:$B$44,MATCH(I391,Staff!$A$5:$A$44,0)),"Not in Staff"))</f>
        <v>0</v>
      </c>
      <c r="T391" s="25">
        <f>IF(B391="","",COUNTIFS(Appointments!$E$5:$E$1204,A391,Appointments!$M$5:$M$1204,"Completed"))</f>
        <v>0</v>
      </c>
      <c r="U391" s="25">
        <f>IF(B391="","",COUNTIFS(Appointments!$E$5:$E$1204,A391,Appointments!$M$5:$M$1204,"Completed",Appointments!$B$5:$B$1204,"&gt;="&amp;TodayDate-365))</f>
        <v>0</v>
      </c>
      <c r="V391" s="25">
        <f>IF(B391="","",COUNTIFS(Appointments!$E$5:$E$1204,A391,Appointments!$M$5:$M$1204,"Cancelled"))</f>
        <v>0</v>
      </c>
      <c r="W391" s="25">
        <f>IF(B391="","",COUNTIFS(Appointments!$E$5:$E$1204,A391,Appointments!$M$5:$M$1204,"No show"))</f>
        <v>0</v>
      </c>
      <c r="X391" s="17">
        <f>IF(B391="","",IF(F391&lt;&gt;"",F391,IF(T391=0,"",SUMPRODUCT(MIN((Appointments!$E$5:$E$1204=A391)*(Appointments!$M$5:$M$1204="Completed")*Appointments!$B$5:$B$1204+(1-(Appointments!$E$5:$E$1204=A391)*(Appointments!$M$5:$M$1204="Completed"))*2958465)))))</f>
        <v>0</v>
      </c>
      <c r="Y391" s="17">
        <f>IF(B391="","",IF(T391=0,"",SUMPRODUCT(MAX((Appointments!$E$5:$E$1204=A391)*(Appointments!$M$5:$M$1204="Completed")*Appointments!$B$5:$B$1204))))</f>
        <v>0</v>
      </c>
      <c r="Z391" s="25">
        <f>IF(B391="","",IF(Y391="","",TodayDate-Y391))</f>
        <v>0</v>
      </c>
      <c r="AA391" s="42">
        <f>IF(B391="","",SUMPRODUCT(MIN((Appointments!$E$5:$E$1204=A391)*(Appointments!$M$5:$M$1204&lt;&gt;"Cancelled")*(Appointments!$M$5:$M$1204&lt;&gt;"Completed")*(Appointments!$M$5:$M$1204&lt;&gt;"No show")*(Appointments!$B$5:$B$1204&gt;=TodayDate)*Appointments!$B$5:$B$1204+(1-(Appointments!$E$5:$E$1204=A391)*(Appointments!$M$5:$M$1204&lt;&gt;"Cancelled")*(Appointments!$M$5:$M$1204&lt;&gt;"Completed")*(Appointments!$M$5:$M$1204&lt;&gt;"No show")*(Appointments!$B$5:$B$1204&gt;=TodayDate))*2958465)))</f>
        <v>0</v>
      </c>
      <c r="AB391" s="17">
        <f>IF(B391="","",IF(AA391&gt;=2958465,"",AA391))</f>
        <v>0</v>
      </c>
      <c r="AC391" s="25">
        <f>IF(B391="","",IF(T391&lt;2,"",ROUND((Y391-X391)/MAX(1,T391-1),0)))</f>
        <v>0</v>
      </c>
      <c r="AD391" s="17">
        <f>IF(B391="","",IF(Y391="","",Y391+IF(AC391="",RebookWeeks*7,MAX(14,AC391))))</f>
        <v>0</v>
      </c>
      <c r="AE391" s="26">
        <f>IF(B391="","",ROUND(SUMIFS(Sales!$Y$5:$Y$1204,Sales!$D$5:$D$1204,A391),2))</f>
        <v>0</v>
      </c>
      <c r="AF391" s="26">
        <f>IF(B391="","",ROUND(SUMIFS(Sales!$Y$5:$Y$1204,Sales!$D$5:$D$1204,A391,Sales!$H$5:$H$1204,"Service"),2))</f>
        <v>0</v>
      </c>
      <c r="AG391" s="26">
        <f>IF(B391="","",ROUND(SUMIFS(Sales!$Y$5:$Y$1204,Sales!$D$5:$D$1204,A391,Sales!$H$5:$H$1204,"Retail"),2))</f>
        <v>0</v>
      </c>
      <c r="AH391" s="26">
        <f>IF(B391="","",ROUND(SUMIFS(Sales!$Y$5:$Y$1204,Sales!$D$5:$D$1204,A391,Sales!$B$5:$B$1204,"&gt;="&amp;TodayDate-365),2))</f>
        <v>0</v>
      </c>
      <c r="AI391" s="26">
        <f>IF(B391="","",IF(T391=0,"",ROUND(AE391/T391,2)))</f>
        <v>0</v>
      </c>
      <c r="AJ391" s="26">
        <f>IF(B391="","",IF(AI391="","",IF(AC391="","",ROUND(AI391*(365/MAX(14,AC391)),2))))</f>
        <v>0</v>
      </c>
      <c r="AK391" s="26">
        <f>IF(B391="","",ROUND(SUMIFS(Sales!$AH$5:$AH$1204,Sales!$D$5:$D$1204,A391),2))</f>
        <v>0</v>
      </c>
      <c r="AL391" s="25">
        <f>IF(B391="","",IFERROR(INDEX(Loyalty!$P$5:$P$504,MATCH(A391,Loyalty!$B$5:$B$504,0))*1,0))</f>
        <v>0</v>
      </c>
      <c r="AM391" s="39">
        <f>IF(B391="","",IF(R391="Archived","Archived",IF(T391=0,"Not been yet",IF(Z391&gt;=InactiveDays,"Inactive",IF(Z391&gt;=LapsingDays,"Lapsing",IF(T391=1,"New",IF(AH391&gt;=VipSpend,"VIP",IF(U391&gt;=4,"Regular","Active"))))))))</f>
        <v>0</v>
      </c>
      <c r="AN391" s="38">
        <f>IF(B391="","",IF(T391&gt;=2,"Yes","No"))</f>
        <v>0</v>
      </c>
      <c r="AO391" s="25">
        <f>IF(B391="","",COUNTIFS($AE$5:$AE$504,"&gt;"&amp;AE391)+COUNTIFS($AE$5:AE391,AE391))</f>
        <v>0</v>
      </c>
      <c r="AP391" s="25">
        <f>IF(B391="","",COUNTIFS($T$5:$T$504,"&gt;"&amp;T391)+COUNTIFS($T$5:T391,T391))</f>
        <v>0</v>
      </c>
      <c r="AQ391" s="39">
        <f>IF(B391="","",IF(COUNTIF($B$5:$B$504,B391)&gt;1,"Duplicate - same name twice",IF(R391="Archived","",IF(AK391&gt;0.004,"Chase - balance outstanding",IF(AM391="Inactive","Gone - win-back offer",IF(AM391="Lapsing","Chase - lapsing, call them",IF(IF(N391="",FALSE,TodayDate-N391&gt;PatchTestDays),"Due - patch test out of date",IF(IF(AD391="",FALSE,IF(AB391&lt;&gt;"",FALSE,AD391&lt;=TodayDate+14)),"Rebook - due and nothing booked",IF(IF(K391="",FALSE,ABS(DATE(YEAR(TodayDate),MONTH(K391),DAY(K391))-TodayDate)&lt;=7),"Birthday - send the treat","OK")))))))))</f>
        <v>0</v>
      </c>
    </row>
    <row r="392" spans="1:43">
      <c r="A392" s="28">
        <f>IF(B392="","",ClientPrefix&amp;TEXT(ROW()-4,"0000"))</f>
        <v>0</v>
      </c>
      <c r="J392" s="15">
        <f>IF(I392="","",IFERROR(INDEX(Staff!$B$5:$B$44,MATCH(I392,Staff!$A$5:$A$44,0)),"Not in Staff"))</f>
        <v>0</v>
      </c>
      <c r="T392" s="25">
        <f>IF(B392="","",COUNTIFS(Appointments!$E$5:$E$1204,A392,Appointments!$M$5:$M$1204,"Completed"))</f>
        <v>0</v>
      </c>
      <c r="U392" s="25">
        <f>IF(B392="","",COUNTIFS(Appointments!$E$5:$E$1204,A392,Appointments!$M$5:$M$1204,"Completed",Appointments!$B$5:$B$1204,"&gt;="&amp;TodayDate-365))</f>
        <v>0</v>
      </c>
      <c r="V392" s="25">
        <f>IF(B392="","",COUNTIFS(Appointments!$E$5:$E$1204,A392,Appointments!$M$5:$M$1204,"Cancelled"))</f>
        <v>0</v>
      </c>
      <c r="W392" s="25">
        <f>IF(B392="","",COUNTIFS(Appointments!$E$5:$E$1204,A392,Appointments!$M$5:$M$1204,"No show"))</f>
        <v>0</v>
      </c>
      <c r="X392" s="17">
        <f>IF(B392="","",IF(F392&lt;&gt;"",F392,IF(T392=0,"",SUMPRODUCT(MIN((Appointments!$E$5:$E$1204=A392)*(Appointments!$M$5:$M$1204="Completed")*Appointments!$B$5:$B$1204+(1-(Appointments!$E$5:$E$1204=A392)*(Appointments!$M$5:$M$1204="Completed"))*2958465)))))</f>
        <v>0</v>
      </c>
      <c r="Y392" s="17">
        <f>IF(B392="","",IF(T392=0,"",SUMPRODUCT(MAX((Appointments!$E$5:$E$1204=A392)*(Appointments!$M$5:$M$1204="Completed")*Appointments!$B$5:$B$1204))))</f>
        <v>0</v>
      </c>
      <c r="Z392" s="25">
        <f>IF(B392="","",IF(Y392="","",TodayDate-Y392))</f>
        <v>0</v>
      </c>
      <c r="AA392" s="42">
        <f>IF(B392="","",SUMPRODUCT(MIN((Appointments!$E$5:$E$1204=A392)*(Appointments!$M$5:$M$1204&lt;&gt;"Cancelled")*(Appointments!$M$5:$M$1204&lt;&gt;"Completed")*(Appointments!$M$5:$M$1204&lt;&gt;"No show")*(Appointments!$B$5:$B$1204&gt;=TodayDate)*Appointments!$B$5:$B$1204+(1-(Appointments!$E$5:$E$1204=A392)*(Appointments!$M$5:$M$1204&lt;&gt;"Cancelled")*(Appointments!$M$5:$M$1204&lt;&gt;"Completed")*(Appointments!$M$5:$M$1204&lt;&gt;"No show")*(Appointments!$B$5:$B$1204&gt;=TodayDate))*2958465)))</f>
        <v>0</v>
      </c>
      <c r="AB392" s="17">
        <f>IF(B392="","",IF(AA392&gt;=2958465,"",AA392))</f>
        <v>0</v>
      </c>
      <c r="AC392" s="25">
        <f>IF(B392="","",IF(T392&lt;2,"",ROUND((Y392-X392)/MAX(1,T392-1),0)))</f>
        <v>0</v>
      </c>
      <c r="AD392" s="17">
        <f>IF(B392="","",IF(Y392="","",Y392+IF(AC392="",RebookWeeks*7,MAX(14,AC392))))</f>
        <v>0</v>
      </c>
      <c r="AE392" s="26">
        <f>IF(B392="","",ROUND(SUMIFS(Sales!$Y$5:$Y$1204,Sales!$D$5:$D$1204,A392),2))</f>
        <v>0</v>
      </c>
      <c r="AF392" s="26">
        <f>IF(B392="","",ROUND(SUMIFS(Sales!$Y$5:$Y$1204,Sales!$D$5:$D$1204,A392,Sales!$H$5:$H$1204,"Service"),2))</f>
        <v>0</v>
      </c>
      <c r="AG392" s="26">
        <f>IF(B392="","",ROUND(SUMIFS(Sales!$Y$5:$Y$1204,Sales!$D$5:$D$1204,A392,Sales!$H$5:$H$1204,"Retail"),2))</f>
        <v>0</v>
      </c>
      <c r="AH392" s="26">
        <f>IF(B392="","",ROUND(SUMIFS(Sales!$Y$5:$Y$1204,Sales!$D$5:$D$1204,A392,Sales!$B$5:$B$1204,"&gt;="&amp;TodayDate-365),2))</f>
        <v>0</v>
      </c>
      <c r="AI392" s="26">
        <f>IF(B392="","",IF(T392=0,"",ROUND(AE392/T392,2)))</f>
        <v>0</v>
      </c>
      <c r="AJ392" s="26">
        <f>IF(B392="","",IF(AI392="","",IF(AC392="","",ROUND(AI392*(365/MAX(14,AC392)),2))))</f>
        <v>0</v>
      </c>
      <c r="AK392" s="26">
        <f>IF(B392="","",ROUND(SUMIFS(Sales!$AH$5:$AH$1204,Sales!$D$5:$D$1204,A392),2))</f>
        <v>0</v>
      </c>
      <c r="AL392" s="25">
        <f>IF(B392="","",IFERROR(INDEX(Loyalty!$P$5:$P$504,MATCH(A392,Loyalty!$B$5:$B$504,0))*1,0))</f>
        <v>0</v>
      </c>
      <c r="AM392" s="39">
        <f>IF(B392="","",IF(R392="Archived","Archived",IF(T392=0,"Not been yet",IF(Z392&gt;=InactiveDays,"Inactive",IF(Z392&gt;=LapsingDays,"Lapsing",IF(T392=1,"New",IF(AH392&gt;=VipSpend,"VIP",IF(U392&gt;=4,"Regular","Active"))))))))</f>
        <v>0</v>
      </c>
      <c r="AN392" s="38">
        <f>IF(B392="","",IF(T392&gt;=2,"Yes","No"))</f>
        <v>0</v>
      </c>
      <c r="AO392" s="25">
        <f>IF(B392="","",COUNTIFS($AE$5:$AE$504,"&gt;"&amp;AE392)+COUNTIFS($AE$5:AE392,AE392))</f>
        <v>0</v>
      </c>
      <c r="AP392" s="25">
        <f>IF(B392="","",COUNTIFS($T$5:$T$504,"&gt;"&amp;T392)+COUNTIFS($T$5:T392,T392))</f>
        <v>0</v>
      </c>
      <c r="AQ392" s="39">
        <f>IF(B392="","",IF(COUNTIF($B$5:$B$504,B392)&gt;1,"Duplicate - same name twice",IF(R392="Archived","",IF(AK392&gt;0.004,"Chase - balance outstanding",IF(AM392="Inactive","Gone - win-back offer",IF(AM392="Lapsing","Chase - lapsing, call them",IF(IF(N392="",FALSE,TodayDate-N392&gt;PatchTestDays),"Due - patch test out of date",IF(IF(AD392="",FALSE,IF(AB392&lt;&gt;"",FALSE,AD392&lt;=TodayDate+14)),"Rebook - due and nothing booked",IF(IF(K392="",FALSE,ABS(DATE(YEAR(TodayDate),MONTH(K392),DAY(K392))-TodayDate)&lt;=7),"Birthday - send the treat","OK")))))))))</f>
        <v>0</v>
      </c>
    </row>
    <row r="393" spans="1:43">
      <c r="A393" s="28">
        <f>IF(B393="","",ClientPrefix&amp;TEXT(ROW()-4,"0000"))</f>
        <v>0</v>
      </c>
      <c r="J393" s="15">
        <f>IF(I393="","",IFERROR(INDEX(Staff!$B$5:$B$44,MATCH(I393,Staff!$A$5:$A$44,0)),"Not in Staff"))</f>
        <v>0</v>
      </c>
      <c r="T393" s="25">
        <f>IF(B393="","",COUNTIFS(Appointments!$E$5:$E$1204,A393,Appointments!$M$5:$M$1204,"Completed"))</f>
        <v>0</v>
      </c>
      <c r="U393" s="25">
        <f>IF(B393="","",COUNTIFS(Appointments!$E$5:$E$1204,A393,Appointments!$M$5:$M$1204,"Completed",Appointments!$B$5:$B$1204,"&gt;="&amp;TodayDate-365))</f>
        <v>0</v>
      </c>
      <c r="V393" s="25">
        <f>IF(B393="","",COUNTIFS(Appointments!$E$5:$E$1204,A393,Appointments!$M$5:$M$1204,"Cancelled"))</f>
        <v>0</v>
      </c>
      <c r="W393" s="25">
        <f>IF(B393="","",COUNTIFS(Appointments!$E$5:$E$1204,A393,Appointments!$M$5:$M$1204,"No show"))</f>
        <v>0</v>
      </c>
      <c r="X393" s="17">
        <f>IF(B393="","",IF(F393&lt;&gt;"",F393,IF(T393=0,"",SUMPRODUCT(MIN((Appointments!$E$5:$E$1204=A393)*(Appointments!$M$5:$M$1204="Completed")*Appointments!$B$5:$B$1204+(1-(Appointments!$E$5:$E$1204=A393)*(Appointments!$M$5:$M$1204="Completed"))*2958465)))))</f>
        <v>0</v>
      </c>
      <c r="Y393" s="17">
        <f>IF(B393="","",IF(T393=0,"",SUMPRODUCT(MAX((Appointments!$E$5:$E$1204=A393)*(Appointments!$M$5:$M$1204="Completed")*Appointments!$B$5:$B$1204))))</f>
        <v>0</v>
      </c>
      <c r="Z393" s="25">
        <f>IF(B393="","",IF(Y393="","",TodayDate-Y393))</f>
        <v>0</v>
      </c>
      <c r="AA393" s="42">
        <f>IF(B393="","",SUMPRODUCT(MIN((Appointments!$E$5:$E$1204=A393)*(Appointments!$M$5:$M$1204&lt;&gt;"Cancelled")*(Appointments!$M$5:$M$1204&lt;&gt;"Completed")*(Appointments!$M$5:$M$1204&lt;&gt;"No show")*(Appointments!$B$5:$B$1204&gt;=TodayDate)*Appointments!$B$5:$B$1204+(1-(Appointments!$E$5:$E$1204=A393)*(Appointments!$M$5:$M$1204&lt;&gt;"Cancelled")*(Appointments!$M$5:$M$1204&lt;&gt;"Completed")*(Appointments!$M$5:$M$1204&lt;&gt;"No show")*(Appointments!$B$5:$B$1204&gt;=TodayDate))*2958465)))</f>
        <v>0</v>
      </c>
      <c r="AB393" s="17">
        <f>IF(B393="","",IF(AA393&gt;=2958465,"",AA393))</f>
        <v>0</v>
      </c>
      <c r="AC393" s="25">
        <f>IF(B393="","",IF(T393&lt;2,"",ROUND((Y393-X393)/MAX(1,T393-1),0)))</f>
        <v>0</v>
      </c>
      <c r="AD393" s="17">
        <f>IF(B393="","",IF(Y393="","",Y393+IF(AC393="",RebookWeeks*7,MAX(14,AC393))))</f>
        <v>0</v>
      </c>
      <c r="AE393" s="26">
        <f>IF(B393="","",ROUND(SUMIFS(Sales!$Y$5:$Y$1204,Sales!$D$5:$D$1204,A393),2))</f>
        <v>0</v>
      </c>
      <c r="AF393" s="26">
        <f>IF(B393="","",ROUND(SUMIFS(Sales!$Y$5:$Y$1204,Sales!$D$5:$D$1204,A393,Sales!$H$5:$H$1204,"Service"),2))</f>
        <v>0</v>
      </c>
      <c r="AG393" s="26">
        <f>IF(B393="","",ROUND(SUMIFS(Sales!$Y$5:$Y$1204,Sales!$D$5:$D$1204,A393,Sales!$H$5:$H$1204,"Retail"),2))</f>
        <v>0</v>
      </c>
      <c r="AH393" s="26">
        <f>IF(B393="","",ROUND(SUMIFS(Sales!$Y$5:$Y$1204,Sales!$D$5:$D$1204,A393,Sales!$B$5:$B$1204,"&gt;="&amp;TodayDate-365),2))</f>
        <v>0</v>
      </c>
      <c r="AI393" s="26">
        <f>IF(B393="","",IF(T393=0,"",ROUND(AE393/T393,2)))</f>
        <v>0</v>
      </c>
      <c r="AJ393" s="26">
        <f>IF(B393="","",IF(AI393="","",IF(AC393="","",ROUND(AI393*(365/MAX(14,AC393)),2))))</f>
        <v>0</v>
      </c>
      <c r="AK393" s="26">
        <f>IF(B393="","",ROUND(SUMIFS(Sales!$AH$5:$AH$1204,Sales!$D$5:$D$1204,A393),2))</f>
        <v>0</v>
      </c>
      <c r="AL393" s="25">
        <f>IF(B393="","",IFERROR(INDEX(Loyalty!$P$5:$P$504,MATCH(A393,Loyalty!$B$5:$B$504,0))*1,0))</f>
        <v>0</v>
      </c>
      <c r="AM393" s="39">
        <f>IF(B393="","",IF(R393="Archived","Archived",IF(T393=0,"Not been yet",IF(Z393&gt;=InactiveDays,"Inactive",IF(Z393&gt;=LapsingDays,"Lapsing",IF(T393=1,"New",IF(AH393&gt;=VipSpend,"VIP",IF(U393&gt;=4,"Regular","Active"))))))))</f>
        <v>0</v>
      </c>
      <c r="AN393" s="38">
        <f>IF(B393="","",IF(T393&gt;=2,"Yes","No"))</f>
        <v>0</v>
      </c>
      <c r="AO393" s="25">
        <f>IF(B393="","",COUNTIFS($AE$5:$AE$504,"&gt;"&amp;AE393)+COUNTIFS($AE$5:AE393,AE393))</f>
        <v>0</v>
      </c>
      <c r="AP393" s="25">
        <f>IF(B393="","",COUNTIFS($T$5:$T$504,"&gt;"&amp;T393)+COUNTIFS($T$5:T393,T393))</f>
        <v>0</v>
      </c>
      <c r="AQ393" s="39">
        <f>IF(B393="","",IF(COUNTIF($B$5:$B$504,B393)&gt;1,"Duplicate - same name twice",IF(R393="Archived","",IF(AK393&gt;0.004,"Chase - balance outstanding",IF(AM393="Inactive","Gone - win-back offer",IF(AM393="Lapsing","Chase - lapsing, call them",IF(IF(N393="",FALSE,TodayDate-N393&gt;PatchTestDays),"Due - patch test out of date",IF(IF(AD393="",FALSE,IF(AB393&lt;&gt;"",FALSE,AD393&lt;=TodayDate+14)),"Rebook - due and nothing booked",IF(IF(K393="",FALSE,ABS(DATE(YEAR(TodayDate),MONTH(K393),DAY(K393))-TodayDate)&lt;=7),"Birthday - send the treat","OK")))))))))</f>
        <v>0</v>
      </c>
    </row>
    <row r="394" spans="1:43">
      <c r="A394" s="28">
        <f>IF(B394="","",ClientPrefix&amp;TEXT(ROW()-4,"0000"))</f>
        <v>0</v>
      </c>
      <c r="J394" s="15">
        <f>IF(I394="","",IFERROR(INDEX(Staff!$B$5:$B$44,MATCH(I394,Staff!$A$5:$A$44,0)),"Not in Staff"))</f>
        <v>0</v>
      </c>
      <c r="T394" s="25">
        <f>IF(B394="","",COUNTIFS(Appointments!$E$5:$E$1204,A394,Appointments!$M$5:$M$1204,"Completed"))</f>
        <v>0</v>
      </c>
      <c r="U394" s="25">
        <f>IF(B394="","",COUNTIFS(Appointments!$E$5:$E$1204,A394,Appointments!$M$5:$M$1204,"Completed",Appointments!$B$5:$B$1204,"&gt;="&amp;TodayDate-365))</f>
        <v>0</v>
      </c>
      <c r="V394" s="25">
        <f>IF(B394="","",COUNTIFS(Appointments!$E$5:$E$1204,A394,Appointments!$M$5:$M$1204,"Cancelled"))</f>
        <v>0</v>
      </c>
      <c r="W394" s="25">
        <f>IF(B394="","",COUNTIFS(Appointments!$E$5:$E$1204,A394,Appointments!$M$5:$M$1204,"No show"))</f>
        <v>0</v>
      </c>
      <c r="X394" s="17">
        <f>IF(B394="","",IF(F394&lt;&gt;"",F394,IF(T394=0,"",SUMPRODUCT(MIN((Appointments!$E$5:$E$1204=A394)*(Appointments!$M$5:$M$1204="Completed")*Appointments!$B$5:$B$1204+(1-(Appointments!$E$5:$E$1204=A394)*(Appointments!$M$5:$M$1204="Completed"))*2958465)))))</f>
        <v>0</v>
      </c>
      <c r="Y394" s="17">
        <f>IF(B394="","",IF(T394=0,"",SUMPRODUCT(MAX((Appointments!$E$5:$E$1204=A394)*(Appointments!$M$5:$M$1204="Completed")*Appointments!$B$5:$B$1204))))</f>
        <v>0</v>
      </c>
      <c r="Z394" s="25">
        <f>IF(B394="","",IF(Y394="","",TodayDate-Y394))</f>
        <v>0</v>
      </c>
      <c r="AA394" s="42">
        <f>IF(B394="","",SUMPRODUCT(MIN((Appointments!$E$5:$E$1204=A394)*(Appointments!$M$5:$M$1204&lt;&gt;"Cancelled")*(Appointments!$M$5:$M$1204&lt;&gt;"Completed")*(Appointments!$M$5:$M$1204&lt;&gt;"No show")*(Appointments!$B$5:$B$1204&gt;=TodayDate)*Appointments!$B$5:$B$1204+(1-(Appointments!$E$5:$E$1204=A394)*(Appointments!$M$5:$M$1204&lt;&gt;"Cancelled")*(Appointments!$M$5:$M$1204&lt;&gt;"Completed")*(Appointments!$M$5:$M$1204&lt;&gt;"No show")*(Appointments!$B$5:$B$1204&gt;=TodayDate))*2958465)))</f>
        <v>0</v>
      </c>
      <c r="AB394" s="17">
        <f>IF(B394="","",IF(AA394&gt;=2958465,"",AA394))</f>
        <v>0</v>
      </c>
      <c r="AC394" s="25">
        <f>IF(B394="","",IF(T394&lt;2,"",ROUND((Y394-X394)/MAX(1,T394-1),0)))</f>
        <v>0</v>
      </c>
      <c r="AD394" s="17">
        <f>IF(B394="","",IF(Y394="","",Y394+IF(AC394="",RebookWeeks*7,MAX(14,AC394))))</f>
        <v>0</v>
      </c>
      <c r="AE394" s="26">
        <f>IF(B394="","",ROUND(SUMIFS(Sales!$Y$5:$Y$1204,Sales!$D$5:$D$1204,A394),2))</f>
        <v>0</v>
      </c>
      <c r="AF394" s="26">
        <f>IF(B394="","",ROUND(SUMIFS(Sales!$Y$5:$Y$1204,Sales!$D$5:$D$1204,A394,Sales!$H$5:$H$1204,"Service"),2))</f>
        <v>0</v>
      </c>
      <c r="AG394" s="26">
        <f>IF(B394="","",ROUND(SUMIFS(Sales!$Y$5:$Y$1204,Sales!$D$5:$D$1204,A394,Sales!$H$5:$H$1204,"Retail"),2))</f>
        <v>0</v>
      </c>
      <c r="AH394" s="26">
        <f>IF(B394="","",ROUND(SUMIFS(Sales!$Y$5:$Y$1204,Sales!$D$5:$D$1204,A394,Sales!$B$5:$B$1204,"&gt;="&amp;TodayDate-365),2))</f>
        <v>0</v>
      </c>
      <c r="AI394" s="26">
        <f>IF(B394="","",IF(T394=0,"",ROUND(AE394/T394,2)))</f>
        <v>0</v>
      </c>
      <c r="AJ394" s="26">
        <f>IF(B394="","",IF(AI394="","",IF(AC394="","",ROUND(AI394*(365/MAX(14,AC394)),2))))</f>
        <v>0</v>
      </c>
      <c r="AK394" s="26">
        <f>IF(B394="","",ROUND(SUMIFS(Sales!$AH$5:$AH$1204,Sales!$D$5:$D$1204,A394),2))</f>
        <v>0</v>
      </c>
      <c r="AL394" s="25">
        <f>IF(B394="","",IFERROR(INDEX(Loyalty!$P$5:$P$504,MATCH(A394,Loyalty!$B$5:$B$504,0))*1,0))</f>
        <v>0</v>
      </c>
      <c r="AM394" s="39">
        <f>IF(B394="","",IF(R394="Archived","Archived",IF(T394=0,"Not been yet",IF(Z394&gt;=InactiveDays,"Inactive",IF(Z394&gt;=LapsingDays,"Lapsing",IF(T394=1,"New",IF(AH394&gt;=VipSpend,"VIP",IF(U394&gt;=4,"Regular","Active"))))))))</f>
        <v>0</v>
      </c>
      <c r="AN394" s="38">
        <f>IF(B394="","",IF(T394&gt;=2,"Yes","No"))</f>
        <v>0</v>
      </c>
      <c r="AO394" s="25">
        <f>IF(B394="","",COUNTIFS($AE$5:$AE$504,"&gt;"&amp;AE394)+COUNTIFS($AE$5:AE394,AE394))</f>
        <v>0</v>
      </c>
      <c r="AP394" s="25">
        <f>IF(B394="","",COUNTIFS($T$5:$T$504,"&gt;"&amp;T394)+COUNTIFS($T$5:T394,T394))</f>
        <v>0</v>
      </c>
      <c r="AQ394" s="39">
        <f>IF(B394="","",IF(COUNTIF($B$5:$B$504,B394)&gt;1,"Duplicate - same name twice",IF(R394="Archived","",IF(AK394&gt;0.004,"Chase - balance outstanding",IF(AM394="Inactive","Gone - win-back offer",IF(AM394="Lapsing","Chase - lapsing, call them",IF(IF(N394="",FALSE,TodayDate-N394&gt;PatchTestDays),"Due - patch test out of date",IF(IF(AD394="",FALSE,IF(AB394&lt;&gt;"",FALSE,AD394&lt;=TodayDate+14)),"Rebook - due and nothing booked",IF(IF(K394="",FALSE,ABS(DATE(YEAR(TodayDate),MONTH(K394),DAY(K394))-TodayDate)&lt;=7),"Birthday - send the treat","OK")))))))))</f>
        <v>0</v>
      </c>
    </row>
    <row r="395" spans="1:43">
      <c r="A395" s="28">
        <f>IF(B395="","",ClientPrefix&amp;TEXT(ROW()-4,"0000"))</f>
        <v>0</v>
      </c>
      <c r="J395" s="15">
        <f>IF(I395="","",IFERROR(INDEX(Staff!$B$5:$B$44,MATCH(I395,Staff!$A$5:$A$44,0)),"Not in Staff"))</f>
        <v>0</v>
      </c>
      <c r="T395" s="25">
        <f>IF(B395="","",COUNTIFS(Appointments!$E$5:$E$1204,A395,Appointments!$M$5:$M$1204,"Completed"))</f>
        <v>0</v>
      </c>
      <c r="U395" s="25">
        <f>IF(B395="","",COUNTIFS(Appointments!$E$5:$E$1204,A395,Appointments!$M$5:$M$1204,"Completed",Appointments!$B$5:$B$1204,"&gt;="&amp;TodayDate-365))</f>
        <v>0</v>
      </c>
      <c r="V395" s="25">
        <f>IF(B395="","",COUNTIFS(Appointments!$E$5:$E$1204,A395,Appointments!$M$5:$M$1204,"Cancelled"))</f>
        <v>0</v>
      </c>
      <c r="W395" s="25">
        <f>IF(B395="","",COUNTIFS(Appointments!$E$5:$E$1204,A395,Appointments!$M$5:$M$1204,"No show"))</f>
        <v>0</v>
      </c>
      <c r="X395" s="17">
        <f>IF(B395="","",IF(F395&lt;&gt;"",F395,IF(T395=0,"",SUMPRODUCT(MIN((Appointments!$E$5:$E$1204=A395)*(Appointments!$M$5:$M$1204="Completed")*Appointments!$B$5:$B$1204+(1-(Appointments!$E$5:$E$1204=A395)*(Appointments!$M$5:$M$1204="Completed"))*2958465)))))</f>
        <v>0</v>
      </c>
      <c r="Y395" s="17">
        <f>IF(B395="","",IF(T395=0,"",SUMPRODUCT(MAX((Appointments!$E$5:$E$1204=A395)*(Appointments!$M$5:$M$1204="Completed")*Appointments!$B$5:$B$1204))))</f>
        <v>0</v>
      </c>
      <c r="Z395" s="25">
        <f>IF(B395="","",IF(Y395="","",TodayDate-Y395))</f>
        <v>0</v>
      </c>
      <c r="AA395" s="42">
        <f>IF(B395="","",SUMPRODUCT(MIN((Appointments!$E$5:$E$1204=A395)*(Appointments!$M$5:$M$1204&lt;&gt;"Cancelled")*(Appointments!$M$5:$M$1204&lt;&gt;"Completed")*(Appointments!$M$5:$M$1204&lt;&gt;"No show")*(Appointments!$B$5:$B$1204&gt;=TodayDate)*Appointments!$B$5:$B$1204+(1-(Appointments!$E$5:$E$1204=A395)*(Appointments!$M$5:$M$1204&lt;&gt;"Cancelled")*(Appointments!$M$5:$M$1204&lt;&gt;"Completed")*(Appointments!$M$5:$M$1204&lt;&gt;"No show")*(Appointments!$B$5:$B$1204&gt;=TodayDate))*2958465)))</f>
        <v>0</v>
      </c>
      <c r="AB395" s="17">
        <f>IF(B395="","",IF(AA395&gt;=2958465,"",AA395))</f>
        <v>0</v>
      </c>
      <c r="AC395" s="25">
        <f>IF(B395="","",IF(T395&lt;2,"",ROUND((Y395-X395)/MAX(1,T395-1),0)))</f>
        <v>0</v>
      </c>
      <c r="AD395" s="17">
        <f>IF(B395="","",IF(Y395="","",Y395+IF(AC395="",RebookWeeks*7,MAX(14,AC395))))</f>
        <v>0</v>
      </c>
      <c r="AE395" s="26">
        <f>IF(B395="","",ROUND(SUMIFS(Sales!$Y$5:$Y$1204,Sales!$D$5:$D$1204,A395),2))</f>
        <v>0</v>
      </c>
      <c r="AF395" s="26">
        <f>IF(B395="","",ROUND(SUMIFS(Sales!$Y$5:$Y$1204,Sales!$D$5:$D$1204,A395,Sales!$H$5:$H$1204,"Service"),2))</f>
        <v>0</v>
      </c>
      <c r="AG395" s="26">
        <f>IF(B395="","",ROUND(SUMIFS(Sales!$Y$5:$Y$1204,Sales!$D$5:$D$1204,A395,Sales!$H$5:$H$1204,"Retail"),2))</f>
        <v>0</v>
      </c>
      <c r="AH395" s="26">
        <f>IF(B395="","",ROUND(SUMIFS(Sales!$Y$5:$Y$1204,Sales!$D$5:$D$1204,A395,Sales!$B$5:$B$1204,"&gt;="&amp;TodayDate-365),2))</f>
        <v>0</v>
      </c>
      <c r="AI395" s="26">
        <f>IF(B395="","",IF(T395=0,"",ROUND(AE395/T395,2)))</f>
        <v>0</v>
      </c>
      <c r="AJ395" s="26">
        <f>IF(B395="","",IF(AI395="","",IF(AC395="","",ROUND(AI395*(365/MAX(14,AC395)),2))))</f>
        <v>0</v>
      </c>
      <c r="AK395" s="26">
        <f>IF(B395="","",ROUND(SUMIFS(Sales!$AH$5:$AH$1204,Sales!$D$5:$D$1204,A395),2))</f>
        <v>0</v>
      </c>
      <c r="AL395" s="25">
        <f>IF(B395="","",IFERROR(INDEX(Loyalty!$P$5:$P$504,MATCH(A395,Loyalty!$B$5:$B$504,0))*1,0))</f>
        <v>0</v>
      </c>
      <c r="AM395" s="39">
        <f>IF(B395="","",IF(R395="Archived","Archived",IF(T395=0,"Not been yet",IF(Z395&gt;=InactiveDays,"Inactive",IF(Z395&gt;=LapsingDays,"Lapsing",IF(T395=1,"New",IF(AH395&gt;=VipSpend,"VIP",IF(U395&gt;=4,"Regular","Active"))))))))</f>
        <v>0</v>
      </c>
      <c r="AN395" s="38">
        <f>IF(B395="","",IF(T395&gt;=2,"Yes","No"))</f>
        <v>0</v>
      </c>
      <c r="AO395" s="25">
        <f>IF(B395="","",COUNTIFS($AE$5:$AE$504,"&gt;"&amp;AE395)+COUNTIFS($AE$5:AE395,AE395))</f>
        <v>0</v>
      </c>
      <c r="AP395" s="25">
        <f>IF(B395="","",COUNTIFS($T$5:$T$504,"&gt;"&amp;T395)+COUNTIFS($T$5:T395,T395))</f>
        <v>0</v>
      </c>
      <c r="AQ395" s="39">
        <f>IF(B395="","",IF(COUNTIF($B$5:$B$504,B395)&gt;1,"Duplicate - same name twice",IF(R395="Archived","",IF(AK395&gt;0.004,"Chase - balance outstanding",IF(AM395="Inactive","Gone - win-back offer",IF(AM395="Lapsing","Chase - lapsing, call them",IF(IF(N395="",FALSE,TodayDate-N395&gt;PatchTestDays),"Due - patch test out of date",IF(IF(AD395="",FALSE,IF(AB395&lt;&gt;"",FALSE,AD395&lt;=TodayDate+14)),"Rebook - due and nothing booked",IF(IF(K395="",FALSE,ABS(DATE(YEAR(TodayDate),MONTH(K395),DAY(K395))-TodayDate)&lt;=7),"Birthday - send the treat","OK")))))))))</f>
        <v>0</v>
      </c>
    </row>
    <row r="396" spans="1:43">
      <c r="A396" s="28">
        <f>IF(B396="","",ClientPrefix&amp;TEXT(ROW()-4,"0000"))</f>
        <v>0</v>
      </c>
      <c r="J396" s="15">
        <f>IF(I396="","",IFERROR(INDEX(Staff!$B$5:$B$44,MATCH(I396,Staff!$A$5:$A$44,0)),"Not in Staff"))</f>
        <v>0</v>
      </c>
      <c r="T396" s="25">
        <f>IF(B396="","",COUNTIFS(Appointments!$E$5:$E$1204,A396,Appointments!$M$5:$M$1204,"Completed"))</f>
        <v>0</v>
      </c>
      <c r="U396" s="25">
        <f>IF(B396="","",COUNTIFS(Appointments!$E$5:$E$1204,A396,Appointments!$M$5:$M$1204,"Completed",Appointments!$B$5:$B$1204,"&gt;="&amp;TodayDate-365))</f>
        <v>0</v>
      </c>
      <c r="V396" s="25">
        <f>IF(B396="","",COUNTIFS(Appointments!$E$5:$E$1204,A396,Appointments!$M$5:$M$1204,"Cancelled"))</f>
        <v>0</v>
      </c>
      <c r="W396" s="25">
        <f>IF(B396="","",COUNTIFS(Appointments!$E$5:$E$1204,A396,Appointments!$M$5:$M$1204,"No show"))</f>
        <v>0</v>
      </c>
      <c r="X396" s="17">
        <f>IF(B396="","",IF(F396&lt;&gt;"",F396,IF(T396=0,"",SUMPRODUCT(MIN((Appointments!$E$5:$E$1204=A396)*(Appointments!$M$5:$M$1204="Completed")*Appointments!$B$5:$B$1204+(1-(Appointments!$E$5:$E$1204=A396)*(Appointments!$M$5:$M$1204="Completed"))*2958465)))))</f>
        <v>0</v>
      </c>
      <c r="Y396" s="17">
        <f>IF(B396="","",IF(T396=0,"",SUMPRODUCT(MAX((Appointments!$E$5:$E$1204=A396)*(Appointments!$M$5:$M$1204="Completed")*Appointments!$B$5:$B$1204))))</f>
        <v>0</v>
      </c>
      <c r="Z396" s="25">
        <f>IF(B396="","",IF(Y396="","",TodayDate-Y396))</f>
        <v>0</v>
      </c>
      <c r="AA396" s="42">
        <f>IF(B396="","",SUMPRODUCT(MIN((Appointments!$E$5:$E$1204=A396)*(Appointments!$M$5:$M$1204&lt;&gt;"Cancelled")*(Appointments!$M$5:$M$1204&lt;&gt;"Completed")*(Appointments!$M$5:$M$1204&lt;&gt;"No show")*(Appointments!$B$5:$B$1204&gt;=TodayDate)*Appointments!$B$5:$B$1204+(1-(Appointments!$E$5:$E$1204=A396)*(Appointments!$M$5:$M$1204&lt;&gt;"Cancelled")*(Appointments!$M$5:$M$1204&lt;&gt;"Completed")*(Appointments!$M$5:$M$1204&lt;&gt;"No show")*(Appointments!$B$5:$B$1204&gt;=TodayDate))*2958465)))</f>
        <v>0</v>
      </c>
      <c r="AB396" s="17">
        <f>IF(B396="","",IF(AA396&gt;=2958465,"",AA396))</f>
        <v>0</v>
      </c>
      <c r="AC396" s="25">
        <f>IF(B396="","",IF(T396&lt;2,"",ROUND((Y396-X396)/MAX(1,T396-1),0)))</f>
        <v>0</v>
      </c>
      <c r="AD396" s="17">
        <f>IF(B396="","",IF(Y396="","",Y396+IF(AC396="",RebookWeeks*7,MAX(14,AC396))))</f>
        <v>0</v>
      </c>
      <c r="AE396" s="26">
        <f>IF(B396="","",ROUND(SUMIFS(Sales!$Y$5:$Y$1204,Sales!$D$5:$D$1204,A396),2))</f>
        <v>0</v>
      </c>
      <c r="AF396" s="26">
        <f>IF(B396="","",ROUND(SUMIFS(Sales!$Y$5:$Y$1204,Sales!$D$5:$D$1204,A396,Sales!$H$5:$H$1204,"Service"),2))</f>
        <v>0</v>
      </c>
      <c r="AG396" s="26">
        <f>IF(B396="","",ROUND(SUMIFS(Sales!$Y$5:$Y$1204,Sales!$D$5:$D$1204,A396,Sales!$H$5:$H$1204,"Retail"),2))</f>
        <v>0</v>
      </c>
      <c r="AH396" s="26">
        <f>IF(B396="","",ROUND(SUMIFS(Sales!$Y$5:$Y$1204,Sales!$D$5:$D$1204,A396,Sales!$B$5:$B$1204,"&gt;="&amp;TodayDate-365),2))</f>
        <v>0</v>
      </c>
      <c r="AI396" s="26">
        <f>IF(B396="","",IF(T396=0,"",ROUND(AE396/T396,2)))</f>
        <v>0</v>
      </c>
      <c r="AJ396" s="26">
        <f>IF(B396="","",IF(AI396="","",IF(AC396="","",ROUND(AI396*(365/MAX(14,AC396)),2))))</f>
        <v>0</v>
      </c>
      <c r="AK396" s="26">
        <f>IF(B396="","",ROUND(SUMIFS(Sales!$AH$5:$AH$1204,Sales!$D$5:$D$1204,A396),2))</f>
        <v>0</v>
      </c>
      <c r="AL396" s="25">
        <f>IF(B396="","",IFERROR(INDEX(Loyalty!$P$5:$P$504,MATCH(A396,Loyalty!$B$5:$B$504,0))*1,0))</f>
        <v>0</v>
      </c>
      <c r="AM396" s="39">
        <f>IF(B396="","",IF(R396="Archived","Archived",IF(T396=0,"Not been yet",IF(Z396&gt;=InactiveDays,"Inactive",IF(Z396&gt;=LapsingDays,"Lapsing",IF(T396=1,"New",IF(AH396&gt;=VipSpend,"VIP",IF(U396&gt;=4,"Regular","Active"))))))))</f>
        <v>0</v>
      </c>
      <c r="AN396" s="38">
        <f>IF(B396="","",IF(T396&gt;=2,"Yes","No"))</f>
        <v>0</v>
      </c>
      <c r="AO396" s="25">
        <f>IF(B396="","",COUNTIFS($AE$5:$AE$504,"&gt;"&amp;AE396)+COUNTIFS($AE$5:AE396,AE396))</f>
        <v>0</v>
      </c>
      <c r="AP396" s="25">
        <f>IF(B396="","",COUNTIFS($T$5:$T$504,"&gt;"&amp;T396)+COUNTIFS($T$5:T396,T396))</f>
        <v>0</v>
      </c>
      <c r="AQ396" s="39">
        <f>IF(B396="","",IF(COUNTIF($B$5:$B$504,B396)&gt;1,"Duplicate - same name twice",IF(R396="Archived","",IF(AK396&gt;0.004,"Chase - balance outstanding",IF(AM396="Inactive","Gone - win-back offer",IF(AM396="Lapsing","Chase - lapsing, call them",IF(IF(N396="",FALSE,TodayDate-N396&gt;PatchTestDays),"Due - patch test out of date",IF(IF(AD396="",FALSE,IF(AB396&lt;&gt;"",FALSE,AD396&lt;=TodayDate+14)),"Rebook - due and nothing booked",IF(IF(K396="",FALSE,ABS(DATE(YEAR(TodayDate),MONTH(K396),DAY(K396))-TodayDate)&lt;=7),"Birthday - send the treat","OK")))))))))</f>
        <v>0</v>
      </c>
    </row>
    <row r="397" spans="1:43">
      <c r="A397" s="28">
        <f>IF(B397="","",ClientPrefix&amp;TEXT(ROW()-4,"0000"))</f>
        <v>0</v>
      </c>
      <c r="J397" s="15">
        <f>IF(I397="","",IFERROR(INDEX(Staff!$B$5:$B$44,MATCH(I397,Staff!$A$5:$A$44,0)),"Not in Staff"))</f>
        <v>0</v>
      </c>
      <c r="T397" s="25">
        <f>IF(B397="","",COUNTIFS(Appointments!$E$5:$E$1204,A397,Appointments!$M$5:$M$1204,"Completed"))</f>
        <v>0</v>
      </c>
      <c r="U397" s="25">
        <f>IF(B397="","",COUNTIFS(Appointments!$E$5:$E$1204,A397,Appointments!$M$5:$M$1204,"Completed",Appointments!$B$5:$B$1204,"&gt;="&amp;TodayDate-365))</f>
        <v>0</v>
      </c>
      <c r="V397" s="25">
        <f>IF(B397="","",COUNTIFS(Appointments!$E$5:$E$1204,A397,Appointments!$M$5:$M$1204,"Cancelled"))</f>
        <v>0</v>
      </c>
      <c r="W397" s="25">
        <f>IF(B397="","",COUNTIFS(Appointments!$E$5:$E$1204,A397,Appointments!$M$5:$M$1204,"No show"))</f>
        <v>0</v>
      </c>
      <c r="X397" s="17">
        <f>IF(B397="","",IF(F397&lt;&gt;"",F397,IF(T397=0,"",SUMPRODUCT(MIN((Appointments!$E$5:$E$1204=A397)*(Appointments!$M$5:$M$1204="Completed")*Appointments!$B$5:$B$1204+(1-(Appointments!$E$5:$E$1204=A397)*(Appointments!$M$5:$M$1204="Completed"))*2958465)))))</f>
        <v>0</v>
      </c>
      <c r="Y397" s="17">
        <f>IF(B397="","",IF(T397=0,"",SUMPRODUCT(MAX((Appointments!$E$5:$E$1204=A397)*(Appointments!$M$5:$M$1204="Completed")*Appointments!$B$5:$B$1204))))</f>
        <v>0</v>
      </c>
      <c r="Z397" s="25">
        <f>IF(B397="","",IF(Y397="","",TodayDate-Y397))</f>
        <v>0</v>
      </c>
      <c r="AA397" s="42">
        <f>IF(B397="","",SUMPRODUCT(MIN((Appointments!$E$5:$E$1204=A397)*(Appointments!$M$5:$M$1204&lt;&gt;"Cancelled")*(Appointments!$M$5:$M$1204&lt;&gt;"Completed")*(Appointments!$M$5:$M$1204&lt;&gt;"No show")*(Appointments!$B$5:$B$1204&gt;=TodayDate)*Appointments!$B$5:$B$1204+(1-(Appointments!$E$5:$E$1204=A397)*(Appointments!$M$5:$M$1204&lt;&gt;"Cancelled")*(Appointments!$M$5:$M$1204&lt;&gt;"Completed")*(Appointments!$M$5:$M$1204&lt;&gt;"No show")*(Appointments!$B$5:$B$1204&gt;=TodayDate))*2958465)))</f>
        <v>0</v>
      </c>
      <c r="AB397" s="17">
        <f>IF(B397="","",IF(AA397&gt;=2958465,"",AA397))</f>
        <v>0</v>
      </c>
      <c r="AC397" s="25">
        <f>IF(B397="","",IF(T397&lt;2,"",ROUND((Y397-X397)/MAX(1,T397-1),0)))</f>
        <v>0</v>
      </c>
      <c r="AD397" s="17">
        <f>IF(B397="","",IF(Y397="","",Y397+IF(AC397="",RebookWeeks*7,MAX(14,AC397))))</f>
        <v>0</v>
      </c>
      <c r="AE397" s="26">
        <f>IF(B397="","",ROUND(SUMIFS(Sales!$Y$5:$Y$1204,Sales!$D$5:$D$1204,A397),2))</f>
        <v>0</v>
      </c>
      <c r="AF397" s="26">
        <f>IF(B397="","",ROUND(SUMIFS(Sales!$Y$5:$Y$1204,Sales!$D$5:$D$1204,A397,Sales!$H$5:$H$1204,"Service"),2))</f>
        <v>0</v>
      </c>
      <c r="AG397" s="26">
        <f>IF(B397="","",ROUND(SUMIFS(Sales!$Y$5:$Y$1204,Sales!$D$5:$D$1204,A397,Sales!$H$5:$H$1204,"Retail"),2))</f>
        <v>0</v>
      </c>
      <c r="AH397" s="26">
        <f>IF(B397="","",ROUND(SUMIFS(Sales!$Y$5:$Y$1204,Sales!$D$5:$D$1204,A397,Sales!$B$5:$B$1204,"&gt;="&amp;TodayDate-365),2))</f>
        <v>0</v>
      </c>
      <c r="AI397" s="26">
        <f>IF(B397="","",IF(T397=0,"",ROUND(AE397/T397,2)))</f>
        <v>0</v>
      </c>
      <c r="AJ397" s="26">
        <f>IF(B397="","",IF(AI397="","",IF(AC397="","",ROUND(AI397*(365/MAX(14,AC397)),2))))</f>
        <v>0</v>
      </c>
      <c r="AK397" s="26">
        <f>IF(B397="","",ROUND(SUMIFS(Sales!$AH$5:$AH$1204,Sales!$D$5:$D$1204,A397),2))</f>
        <v>0</v>
      </c>
      <c r="AL397" s="25">
        <f>IF(B397="","",IFERROR(INDEX(Loyalty!$P$5:$P$504,MATCH(A397,Loyalty!$B$5:$B$504,0))*1,0))</f>
        <v>0</v>
      </c>
      <c r="AM397" s="39">
        <f>IF(B397="","",IF(R397="Archived","Archived",IF(T397=0,"Not been yet",IF(Z397&gt;=InactiveDays,"Inactive",IF(Z397&gt;=LapsingDays,"Lapsing",IF(T397=1,"New",IF(AH397&gt;=VipSpend,"VIP",IF(U397&gt;=4,"Regular","Active"))))))))</f>
        <v>0</v>
      </c>
      <c r="AN397" s="38">
        <f>IF(B397="","",IF(T397&gt;=2,"Yes","No"))</f>
        <v>0</v>
      </c>
      <c r="AO397" s="25">
        <f>IF(B397="","",COUNTIFS($AE$5:$AE$504,"&gt;"&amp;AE397)+COUNTIFS($AE$5:AE397,AE397))</f>
        <v>0</v>
      </c>
      <c r="AP397" s="25">
        <f>IF(B397="","",COUNTIFS($T$5:$T$504,"&gt;"&amp;T397)+COUNTIFS($T$5:T397,T397))</f>
        <v>0</v>
      </c>
      <c r="AQ397" s="39">
        <f>IF(B397="","",IF(COUNTIF($B$5:$B$504,B397)&gt;1,"Duplicate - same name twice",IF(R397="Archived","",IF(AK397&gt;0.004,"Chase - balance outstanding",IF(AM397="Inactive","Gone - win-back offer",IF(AM397="Lapsing","Chase - lapsing, call them",IF(IF(N397="",FALSE,TodayDate-N397&gt;PatchTestDays),"Due - patch test out of date",IF(IF(AD397="",FALSE,IF(AB397&lt;&gt;"",FALSE,AD397&lt;=TodayDate+14)),"Rebook - due and nothing booked",IF(IF(K397="",FALSE,ABS(DATE(YEAR(TodayDate),MONTH(K397),DAY(K397))-TodayDate)&lt;=7),"Birthday - send the treat","OK")))))))))</f>
        <v>0</v>
      </c>
    </row>
    <row r="398" spans="1:43">
      <c r="A398" s="28">
        <f>IF(B398="","",ClientPrefix&amp;TEXT(ROW()-4,"0000"))</f>
        <v>0</v>
      </c>
      <c r="J398" s="15">
        <f>IF(I398="","",IFERROR(INDEX(Staff!$B$5:$B$44,MATCH(I398,Staff!$A$5:$A$44,0)),"Not in Staff"))</f>
        <v>0</v>
      </c>
      <c r="T398" s="25">
        <f>IF(B398="","",COUNTIFS(Appointments!$E$5:$E$1204,A398,Appointments!$M$5:$M$1204,"Completed"))</f>
        <v>0</v>
      </c>
      <c r="U398" s="25">
        <f>IF(B398="","",COUNTIFS(Appointments!$E$5:$E$1204,A398,Appointments!$M$5:$M$1204,"Completed",Appointments!$B$5:$B$1204,"&gt;="&amp;TodayDate-365))</f>
        <v>0</v>
      </c>
      <c r="V398" s="25">
        <f>IF(B398="","",COUNTIFS(Appointments!$E$5:$E$1204,A398,Appointments!$M$5:$M$1204,"Cancelled"))</f>
        <v>0</v>
      </c>
      <c r="W398" s="25">
        <f>IF(B398="","",COUNTIFS(Appointments!$E$5:$E$1204,A398,Appointments!$M$5:$M$1204,"No show"))</f>
        <v>0</v>
      </c>
      <c r="X398" s="17">
        <f>IF(B398="","",IF(F398&lt;&gt;"",F398,IF(T398=0,"",SUMPRODUCT(MIN((Appointments!$E$5:$E$1204=A398)*(Appointments!$M$5:$M$1204="Completed")*Appointments!$B$5:$B$1204+(1-(Appointments!$E$5:$E$1204=A398)*(Appointments!$M$5:$M$1204="Completed"))*2958465)))))</f>
        <v>0</v>
      </c>
      <c r="Y398" s="17">
        <f>IF(B398="","",IF(T398=0,"",SUMPRODUCT(MAX((Appointments!$E$5:$E$1204=A398)*(Appointments!$M$5:$M$1204="Completed")*Appointments!$B$5:$B$1204))))</f>
        <v>0</v>
      </c>
      <c r="Z398" s="25">
        <f>IF(B398="","",IF(Y398="","",TodayDate-Y398))</f>
        <v>0</v>
      </c>
      <c r="AA398" s="42">
        <f>IF(B398="","",SUMPRODUCT(MIN((Appointments!$E$5:$E$1204=A398)*(Appointments!$M$5:$M$1204&lt;&gt;"Cancelled")*(Appointments!$M$5:$M$1204&lt;&gt;"Completed")*(Appointments!$M$5:$M$1204&lt;&gt;"No show")*(Appointments!$B$5:$B$1204&gt;=TodayDate)*Appointments!$B$5:$B$1204+(1-(Appointments!$E$5:$E$1204=A398)*(Appointments!$M$5:$M$1204&lt;&gt;"Cancelled")*(Appointments!$M$5:$M$1204&lt;&gt;"Completed")*(Appointments!$M$5:$M$1204&lt;&gt;"No show")*(Appointments!$B$5:$B$1204&gt;=TodayDate))*2958465)))</f>
        <v>0</v>
      </c>
      <c r="AB398" s="17">
        <f>IF(B398="","",IF(AA398&gt;=2958465,"",AA398))</f>
        <v>0</v>
      </c>
      <c r="AC398" s="25">
        <f>IF(B398="","",IF(T398&lt;2,"",ROUND((Y398-X398)/MAX(1,T398-1),0)))</f>
        <v>0</v>
      </c>
      <c r="AD398" s="17">
        <f>IF(B398="","",IF(Y398="","",Y398+IF(AC398="",RebookWeeks*7,MAX(14,AC398))))</f>
        <v>0</v>
      </c>
      <c r="AE398" s="26">
        <f>IF(B398="","",ROUND(SUMIFS(Sales!$Y$5:$Y$1204,Sales!$D$5:$D$1204,A398),2))</f>
        <v>0</v>
      </c>
      <c r="AF398" s="26">
        <f>IF(B398="","",ROUND(SUMIFS(Sales!$Y$5:$Y$1204,Sales!$D$5:$D$1204,A398,Sales!$H$5:$H$1204,"Service"),2))</f>
        <v>0</v>
      </c>
      <c r="AG398" s="26">
        <f>IF(B398="","",ROUND(SUMIFS(Sales!$Y$5:$Y$1204,Sales!$D$5:$D$1204,A398,Sales!$H$5:$H$1204,"Retail"),2))</f>
        <v>0</v>
      </c>
      <c r="AH398" s="26">
        <f>IF(B398="","",ROUND(SUMIFS(Sales!$Y$5:$Y$1204,Sales!$D$5:$D$1204,A398,Sales!$B$5:$B$1204,"&gt;="&amp;TodayDate-365),2))</f>
        <v>0</v>
      </c>
      <c r="AI398" s="26">
        <f>IF(B398="","",IF(T398=0,"",ROUND(AE398/T398,2)))</f>
        <v>0</v>
      </c>
      <c r="AJ398" s="26">
        <f>IF(B398="","",IF(AI398="","",IF(AC398="","",ROUND(AI398*(365/MAX(14,AC398)),2))))</f>
        <v>0</v>
      </c>
      <c r="AK398" s="26">
        <f>IF(B398="","",ROUND(SUMIFS(Sales!$AH$5:$AH$1204,Sales!$D$5:$D$1204,A398),2))</f>
        <v>0</v>
      </c>
      <c r="AL398" s="25">
        <f>IF(B398="","",IFERROR(INDEX(Loyalty!$P$5:$P$504,MATCH(A398,Loyalty!$B$5:$B$504,0))*1,0))</f>
        <v>0</v>
      </c>
      <c r="AM398" s="39">
        <f>IF(B398="","",IF(R398="Archived","Archived",IF(T398=0,"Not been yet",IF(Z398&gt;=InactiveDays,"Inactive",IF(Z398&gt;=LapsingDays,"Lapsing",IF(T398=1,"New",IF(AH398&gt;=VipSpend,"VIP",IF(U398&gt;=4,"Regular","Active"))))))))</f>
        <v>0</v>
      </c>
      <c r="AN398" s="38">
        <f>IF(B398="","",IF(T398&gt;=2,"Yes","No"))</f>
        <v>0</v>
      </c>
      <c r="AO398" s="25">
        <f>IF(B398="","",COUNTIFS($AE$5:$AE$504,"&gt;"&amp;AE398)+COUNTIFS($AE$5:AE398,AE398))</f>
        <v>0</v>
      </c>
      <c r="AP398" s="25">
        <f>IF(B398="","",COUNTIFS($T$5:$T$504,"&gt;"&amp;T398)+COUNTIFS($T$5:T398,T398))</f>
        <v>0</v>
      </c>
      <c r="AQ398" s="39">
        <f>IF(B398="","",IF(COUNTIF($B$5:$B$504,B398)&gt;1,"Duplicate - same name twice",IF(R398="Archived","",IF(AK398&gt;0.004,"Chase - balance outstanding",IF(AM398="Inactive","Gone - win-back offer",IF(AM398="Lapsing","Chase - lapsing, call them",IF(IF(N398="",FALSE,TodayDate-N398&gt;PatchTestDays),"Due - patch test out of date",IF(IF(AD398="",FALSE,IF(AB398&lt;&gt;"",FALSE,AD398&lt;=TodayDate+14)),"Rebook - due and nothing booked",IF(IF(K398="",FALSE,ABS(DATE(YEAR(TodayDate),MONTH(K398),DAY(K398))-TodayDate)&lt;=7),"Birthday - send the treat","OK")))))))))</f>
        <v>0</v>
      </c>
    </row>
    <row r="399" spans="1:43">
      <c r="A399" s="28">
        <f>IF(B399="","",ClientPrefix&amp;TEXT(ROW()-4,"0000"))</f>
        <v>0</v>
      </c>
      <c r="J399" s="15">
        <f>IF(I399="","",IFERROR(INDEX(Staff!$B$5:$B$44,MATCH(I399,Staff!$A$5:$A$44,0)),"Not in Staff"))</f>
        <v>0</v>
      </c>
      <c r="T399" s="25">
        <f>IF(B399="","",COUNTIFS(Appointments!$E$5:$E$1204,A399,Appointments!$M$5:$M$1204,"Completed"))</f>
        <v>0</v>
      </c>
      <c r="U399" s="25">
        <f>IF(B399="","",COUNTIFS(Appointments!$E$5:$E$1204,A399,Appointments!$M$5:$M$1204,"Completed",Appointments!$B$5:$B$1204,"&gt;="&amp;TodayDate-365))</f>
        <v>0</v>
      </c>
      <c r="V399" s="25">
        <f>IF(B399="","",COUNTIFS(Appointments!$E$5:$E$1204,A399,Appointments!$M$5:$M$1204,"Cancelled"))</f>
        <v>0</v>
      </c>
      <c r="W399" s="25">
        <f>IF(B399="","",COUNTIFS(Appointments!$E$5:$E$1204,A399,Appointments!$M$5:$M$1204,"No show"))</f>
        <v>0</v>
      </c>
      <c r="X399" s="17">
        <f>IF(B399="","",IF(F399&lt;&gt;"",F399,IF(T399=0,"",SUMPRODUCT(MIN((Appointments!$E$5:$E$1204=A399)*(Appointments!$M$5:$M$1204="Completed")*Appointments!$B$5:$B$1204+(1-(Appointments!$E$5:$E$1204=A399)*(Appointments!$M$5:$M$1204="Completed"))*2958465)))))</f>
        <v>0</v>
      </c>
      <c r="Y399" s="17">
        <f>IF(B399="","",IF(T399=0,"",SUMPRODUCT(MAX((Appointments!$E$5:$E$1204=A399)*(Appointments!$M$5:$M$1204="Completed")*Appointments!$B$5:$B$1204))))</f>
        <v>0</v>
      </c>
      <c r="Z399" s="25">
        <f>IF(B399="","",IF(Y399="","",TodayDate-Y399))</f>
        <v>0</v>
      </c>
      <c r="AA399" s="42">
        <f>IF(B399="","",SUMPRODUCT(MIN((Appointments!$E$5:$E$1204=A399)*(Appointments!$M$5:$M$1204&lt;&gt;"Cancelled")*(Appointments!$M$5:$M$1204&lt;&gt;"Completed")*(Appointments!$M$5:$M$1204&lt;&gt;"No show")*(Appointments!$B$5:$B$1204&gt;=TodayDate)*Appointments!$B$5:$B$1204+(1-(Appointments!$E$5:$E$1204=A399)*(Appointments!$M$5:$M$1204&lt;&gt;"Cancelled")*(Appointments!$M$5:$M$1204&lt;&gt;"Completed")*(Appointments!$M$5:$M$1204&lt;&gt;"No show")*(Appointments!$B$5:$B$1204&gt;=TodayDate))*2958465)))</f>
        <v>0</v>
      </c>
      <c r="AB399" s="17">
        <f>IF(B399="","",IF(AA399&gt;=2958465,"",AA399))</f>
        <v>0</v>
      </c>
      <c r="AC399" s="25">
        <f>IF(B399="","",IF(T399&lt;2,"",ROUND((Y399-X399)/MAX(1,T399-1),0)))</f>
        <v>0</v>
      </c>
      <c r="AD399" s="17">
        <f>IF(B399="","",IF(Y399="","",Y399+IF(AC399="",RebookWeeks*7,MAX(14,AC399))))</f>
        <v>0</v>
      </c>
      <c r="AE399" s="26">
        <f>IF(B399="","",ROUND(SUMIFS(Sales!$Y$5:$Y$1204,Sales!$D$5:$D$1204,A399),2))</f>
        <v>0</v>
      </c>
      <c r="AF399" s="26">
        <f>IF(B399="","",ROUND(SUMIFS(Sales!$Y$5:$Y$1204,Sales!$D$5:$D$1204,A399,Sales!$H$5:$H$1204,"Service"),2))</f>
        <v>0</v>
      </c>
      <c r="AG399" s="26">
        <f>IF(B399="","",ROUND(SUMIFS(Sales!$Y$5:$Y$1204,Sales!$D$5:$D$1204,A399,Sales!$H$5:$H$1204,"Retail"),2))</f>
        <v>0</v>
      </c>
      <c r="AH399" s="26">
        <f>IF(B399="","",ROUND(SUMIFS(Sales!$Y$5:$Y$1204,Sales!$D$5:$D$1204,A399,Sales!$B$5:$B$1204,"&gt;="&amp;TodayDate-365),2))</f>
        <v>0</v>
      </c>
      <c r="AI399" s="26">
        <f>IF(B399="","",IF(T399=0,"",ROUND(AE399/T399,2)))</f>
        <v>0</v>
      </c>
      <c r="AJ399" s="26">
        <f>IF(B399="","",IF(AI399="","",IF(AC399="","",ROUND(AI399*(365/MAX(14,AC399)),2))))</f>
        <v>0</v>
      </c>
      <c r="AK399" s="26">
        <f>IF(B399="","",ROUND(SUMIFS(Sales!$AH$5:$AH$1204,Sales!$D$5:$D$1204,A399),2))</f>
        <v>0</v>
      </c>
      <c r="AL399" s="25">
        <f>IF(B399="","",IFERROR(INDEX(Loyalty!$P$5:$P$504,MATCH(A399,Loyalty!$B$5:$B$504,0))*1,0))</f>
        <v>0</v>
      </c>
      <c r="AM399" s="39">
        <f>IF(B399="","",IF(R399="Archived","Archived",IF(T399=0,"Not been yet",IF(Z399&gt;=InactiveDays,"Inactive",IF(Z399&gt;=LapsingDays,"Lapsing",IF(T399=1,"New",IF(AH399&gt;=VipSpend,"VIP",IF(U399&gt;=4,"Regular","Active"))))))))</f>
        <v>0</v>
      </c>
      <c r="AN399" s="38">
        <f>IF(B399="","",IF(T399&gt;=2,"Yes","No"))</f>
        <v>0</v>
      </c>
      <c r="AO399" s="25">
        <f>IF(B399="","",COUNTIFS($AE$5:$AE$504,"&gt;"&amp;AE399)+COUNTIFS($AE$5:AE399,AE399))</f>
        <v>0</v>
      </c>
      <c r="AP399" s="25">
        <f>IF(B399="","",COUNTIFS($T$5:$T$504,"&gt;"&amp;T399)+COUNTIFS($T$5:T399,T399))</f>
        <v>0</v>
      </c>
      <c r="AQ399" s="39">
        <f>IF(B399="","",IF(COUNTIF($B$5:$B$504,B399)&gt;1,"Duplicate - same name twice",IF(R399="Archived","",IF(AK399&gt;0.004,"Chase - balance outstanding",IF(AM399="Inactive","Gone - win-back offer",IF(AM399="Lapsing","Chase - lapsing, call them",IF(IF(N399="",FALSE,TodayDate-N399&gt;PatchTestDays),"Due - patch test out of date",IF(IF(AD399="",FALSE,IF(AB399&lt;&gt;"",FALSE,AD399&lt;=TodayDate+14)),"Rebook - due and nothing booked",IF(IF(K399="",FALSE,ABS(DATE(YEAR(TodayDate),MONTH(K399),DAY(K399))-TodayDate)&lt;=7),"Birthday - send the treat","OK")))))))))</f>
        <v>0</v>
      </c>
    </row>
    <row r="400" spans="1:43">
      <c r="A400" s="28">
        <f>IF(B400="","",ClientPrefix&amp;TEXT(ROW()-4,"0000"))</f>
        <v>0</v>
      </c>
      <c r="J400" s="15">
        <f>IF(I400="","",IFERROR(INDEX(Staff!$B$5:$B$44,MATCH(I400,Staff!$A$5:$A$44,0)),"Not in Staff"))</f>
        <v>0</v>
      </c>
      <c r="T400" s="25">
        <f>IF(B400="","",COUNTIFS(Appointments!$E$5:$E$1204,A400,Appointments!$M$5:$M$1204,"Completed"))</f>
        <v>0</v>
      </c>
      <c r="U400" s="25">
        <f>IF(B400="","",COUNTIFS(Appointments!$E$5:$E$1204,A400,Appointments!$M$5:$M$1204,"Completed",Appointments!$B$5:$B$1204,"&gt;="&amp;TodayDate-365))</f>
        <v>0</v>
      </c>
      <c r="V400" s="25">
        <f>IF(B400="","",COUNTIFS(Appointments!$E$5:$E$1204,A400,Appointments!$M$5:$M$1204,"Cancelled"))</f>
        <v>0</v>
      </c>
      <c r="W400" s="25">
        <f>IF(B400="","",COUNTIFS(Appointments!$E$5:$E$1204,A400,Appointments!$M$5:$M$1204,"No show"))</f>
        <v>0</v>
      </c>
      <c r="X400" s="17">
        <f>IF(B400="","",IF(F400&lt;&gt;"",F400,IF(T400=0,"",SUMPRODUCT(MIN((Appointments!$E$5:$E$1204=A400)*(Appointments!$M$5:$M$1204="Completed")*Appointments!$B$5:$B$1204+(1-(Appointments!$E$5:$E$1204=A400)*(Appointments!$M$5:$M$1204="Completed"))*2958465)))))</f>
        <v>0</v>
      </c>
      <c r="Y400" s="17">
        <f>IF(B400="","",IF(T400=0,"",SUMPRODUCT(MAX((Appointments!$E$5:$E$1204=A400)*(Appointments!$M$5:$M$1204="Completed")*Appointments!$B$5:$B$1204))))</f>
        <v>0</v>
      </c>
      <c r="Z400" s="25">
        <f>IF(B400="","",IF(Y400="","",TodayDate-Y400))</f>
        <v>0</v>
      </c>
      <c r="AA400" s="42">
        <f>IF(B400="","",SUMPRODUCT(MIN((Appointments!$E$5:$E$1204=A400)*(Appointments!$M$5:$M$1204&lt;&gt;"Cancelled")*(Appointments!$M$5:$M$1204&lt;&gt;"Completed")*(Appointments!$M$5:$M$1204&lt;&gt;"No show")*(Appointments!$B$5:$B$1204&gt;=TodayDate)*Appointments!$B$5:$B$1204+(1-(Appointments!$E$5:$E$1204=A400)*(Appointments!$M$5:$M$1204&lt;&gt;"Cancelled")*(Appointments!$M$5:$M$1204&lt;&gt;"Completed")*(Appointments!$M$5:$M$1204&lt;&gt;"No show")*(Appointments!$B$5:$B$1204&gt;=TodayDate))*2958465)))</f>
        <v>0</v>
      </c>
      <c r="AB400" s="17">
        <f>IF(B400="","",IF(AA400&gt;=2958465,"",AA400))</f>
        <v>0</v>
      </c>
      <c r="AC400" s="25">
        <f>IF(B400="","",IF(T400&lt;2,"",ROUND((Y400-X400)/MAX(1,T400-1),0)))</f>
        <v>0</v>
      </c>
      <c r="AD400" s="17">
        <f>IF(B400="","",IF(Y400="","",Y400+IF(AC400="",RebookWeeks*7,MAX(14,AC400))))</f>
        <v>0</v>
      </c>
      <c r="AE400" s="26">
        <f>IF(B400="","",ROUND(SUMIFS(Sales!$Y$5:$Y$1204,Sales!$D$5:$D$1204,A400),2))</f>
        <v>0</v>
      </c>
      <c r="AF400" s="26">
        <f>IF(B400="","",ROUND(SUMIFS(Sales!$Y$5:$Y$1204,Sales!$D$5:$D$1204,A400,Sales!$H$5:$H$1204,"Service"),2))</f>
        <v>0</v>
      </c>
      <c r="AG400" s="26">
        <f>IF(B400="","",ROUND(SUMIFS(Sales!$Y$5:$Y$1204,Sales!$D$5:$D$1204,A400,Sales!$H$5:$H$1204,"Retail"),2))</f>
        <v>0</v>
      </c>
      <c r="AH400" s="26">
        <f>IF(B400="","",ROUND(SUMIFS(Sales!$Y$5:$Y$1204,Sales!$D$5:$D$1204,A400,Sales!$B$5:$B$1204,"&gt;="&amp;TodayDate-365),2))</f>
        <v>0</v>
      </c>
      <c r="AI400" s="26">
        <f>IF(B400="","",IF(T400=0,"",ROUND(AE400/T400,2)))</f>
        <v>0</v>
      </c>
      <c r="AJ400" s="26">
        <f>IF(B400="","",IF(AI400="","",IF(AC400="","",ROUND(AI400*(365/MAX(14,AC400)),2))))</f>
        <v>0</v>
      </c>
      <c r="AK400" s="26">
        <f>IF(B400="","",ROUND(SUMIFS(Sales!$AH$5:$AH$1204,Sales!$D$5:$D$1204,A400),2))</f>
        <v>0</v>
      </c>
      <c r="AL400" s="25">
        <f>IF(B400="","",IFERROR(INDEX(Loyalty!$P$5:$P$504,MATCH(A400,Loyalty!$B$5:$B$504,0))*1,0))</f>
        <v>0</v>
      </c>
      <c r="AM400" s="39">
        <f>IF(B400="","",IF(R400="Archived","Archived",IF(T400=0,"Not been yet",IF(Z400&gt;=InactiveDays,"Inactive",IF(Z400&gt;=LapsingDays,"Lapsing",IF(T400=1,"New",IF(AH400&gt;=VipSpend,"VIP",IF(U400&gt;=4,"Regular","Active"))))))))</f>
        <v>0</v>
      </c>
      <c r="AN400" s="38">
        <f>IF(B400="","",IF(T400&gt;=2,"Yes","No"))</f>
        <v>0</v>
      </c>
      <c r="AO400" s="25">
        <f>IF(B400="","",COUNTIFS($AE$5:$AE$504,"&gt;"&amp;AE400)+COUNTIFS($AE$5:AE400,AE400))</f>
        <v>0</v>
      </c>
      <c r="AP400" s="25">
        <f>IF(B400="","",COUNTIFS($T$5:$T$504,"&gt;"&amp;T400)+COUNTIFS($T$5:T400,T400))</f>
        <v>0</v>
      </c>
      <c r="AQ400" s="39">
        <f>IF(B400="","",IF(COUNTIF($B$5:$B$504,B400)&gt;1,"Duplicate - same name twice",IF(R400="Archived","",IF(AK400&gt;0.004,"Chase - balance outstanding",IF(AM400="Inactive","Gone - win-back offer",IF(AM400="Lapsing","Chase - lapsing, call them",IF(IF(N400="",FALSE,TodayDate-N400&gt;PatchTestDays),"Due - patch test out of date",IF(IF(AD400="",FALSE,IF(AB400&lt;&gt;"",FALSE,AD400&lt;=TodayDate+14)),"Rebook - due and nothing booked",IF(IF(K400="",FALSE,ABS(DATE(YEAR(TodayDate),MONTH(K400),DAY(K400))-TodayDate)&lt;=7),"Birthday - send the treat","OK")))))))))</f>
        <v>0</v>
      </c>
    </row>
    <row r="401" spans="1:43">
      <c r="A401" s="28">
        <f>IF(B401="","",ClientPrefix&amp;TEXT(ROW()-4,"0000"))</f>
        <v>0</v>
      </c>
      <c r="J401" s="15">
        <f>IF(I401="","",IFERROR(INDEX(Staff!$B$5:$B$44,MATCH(I401,Staff!$A$5:$A$44,0)),"Not in Staff"))</f>
        <v>0</v>
      </c>
      <c r="T401" s="25">
        <f>IF(B401="","",COUNTIFS(Appointments!$E$5:$E$1204,A401,Appointments!$M$5:$M$1204,"Completed"))</f>
        <v>0</v>
      </c>
      <c r="U401" s="25">
        <f>IF(B401="","",COUNTIFS(Appointments!$E$5:$E$1204,A401,Appointments!$M$5:$M$1204,"Completed",Appointments!$B$5:$B$1204,"&gt;="&amp;TodayDate-365))</f>
        <v>0</v>
      </c>
      <c r="V401" s="25">
        <f>IF(B401="","",COUNTIFS(Appointments!$E$5:$E$1204,A401,Appointments!$M$5:$M$1204,"Cancelled"))</f>
        <v>0</v>
      </c>
      <c r="W401" s="25">
        <f>IF(B401="","",COUNTIFS(Appointments!$E$5:$E$1204,A401,Appointments!$M$5:$M$1204,"No show"))</f>
        <v>0</v>
      </c>
      <c r="X401" s="17">
        <f>IF(B401="","",IF(F401&lt;&gt;"",F401,IF(T401=0,"",SUMPRODUCT(MIN((Appointments!$E$5:$E$1204=A401)*(Appointments!$M$5:$M$1204="Completed")*Appointments!$B$5:$B$1204+(1-(Appointments!$E$5:$E$1204=A401)*(Appointments!$M$5:$M$1204="Completed"))*2958465)))))</f>
        <v>0</v>
      </c>
      <c r="Y401" s="17">
        <f>IF(B401="","",IF(T401=0,"",SUMPRODUCT(MAX((Appointments!$E$5:$E$1204=A401)*(Appointments!$M$5:$M$1204="Completed")*Appointments!$B$5:$B$1204))))</f>
        <v>0</v>
      </c>
      <c r="Z401" s="25">
        <f>IF(B401="","",IF(Y401="","",TodayDate-Y401))</f>
        <v>0</v>
      </c>
      <c r="AA401" s="42">
        <f>IF(B401="","",SUMPRODUCT(MIN((Appointments!$E$5:$E$1204=A401)*(Appointments!$M$5:$M$1204&lt;&gt;"Cancelled")*(Appointments!$M$5:$M$1204&lt;&gt;"Completed")*(Appointments!$M$5:$M$1204&lt;&gt;"No show")*(Appointments!$B$5:$B$1204&gt;=TodayDate)*Appointments!$B$5:$B$1204+(1-(Appointments!$E$5:$E$1204=A401)*(Appointments!$M$5:$M$1204&lt;&gt;"Cancelled")*(Appointments!$M$5:$M$1204&lt;&gt;"Completed")*(Appointments!$M$5:$M$1204&lt;&gt;"No show")*(Appointments!$B$5:$B$1204&gt;=TodayDate))*2958465)))</f>
        <v>0</v>
      </c>
      <c r="AB401" s="17">
        <f>IF(B401="","",IF(AA401&gt;=2958465,"",AA401))</f>
        <v>0</v>
      </c>
      <c r="AC401" s="25">
        <f>IF(B401="","",IF(T401&lt;2,"",ROUND((Y401-X401)/MAX(1,T401-1),0)))</f>
        <v>0</v>
      </c>
      <c r="AD401" s="17">
        <f>IF(B401="","",IF(Y401="","",Y401+IF(AC401="",RebookWeeks*7,MAX(14,AC401))))</f>
        <v>0</v>
      </c>
      <c r="AE401" s="26">
        <f>IF(B401="","",ROUND(SUMIFS(Sales!$Y$5:$Y$1204,Sales!$D$5:$D$1204,A401),2))</f>
        <v>0</v>
      </c>
      <c r="AF401" s="26">
        <f>IF(B401="","",ROUND(SUMIFS(Sales!$Y$5:$Y$1204,Sales!$D$5:$D$1204,A401,Sales!$H$5:$H$1204,"Service"),2))</f>
        <v>0</v>
      </c>
      <c r="AG401" s="26">
        <f>IF(B401="","",ROUND(SUMIFS(Sales!$Y$5:$Y$1204,Sales!$D$5:$D$1204,A401,Sales!$H$5:$H$1204,"Retail"),2))</f>
        <v>0</v>
      </c>
      <c r="AH401" s="26">
        <f>IF(B401="","",ROUND(SUMIFS(Sales!$Y$5:$Y$1204,Sales!$D$5:$D$1204,A401,Sales!$B$5:$B$1204,"&gt;="&amp;TodayDate-365),2))</f>
        <v>0</v>
      </c>
      <c r="AI401" s="26">
        <f>IF(B401="","",IF(T401=0,"",ROUND(AE401/T401,2)))</f>
        <v>0</v>
      </c>
      <c r="AJ401" s="26">
        <f>IF(B401="","",IF(AI401="","",IF(AC401="","",ROUND(AI401*(365/MAX(14,AC401)),2))))</f>
        <v>0</v>
      </c>
      <c r="AK401" s="26">
        <f>IF(B401="","",ROUND(SUMIFS(Sales!$AH$5:$AH$1204,Sales!$D$5:$D$1204,A401),2))</f>
        <v>0</v>
      </c>
      <c r="AL401" s="25">
        <f>IF(B401="","",IFERROR(INDEX(Loyalty!$P$5:$P$504,MATCH(A401,Loyalty!$B$5:$B$504,0))*1,0))</f>
        <v>0</v>
      </c>
      <c r="AM401" s="39">
        <f>IF(B401="","",IF(R401="Archived","Archived",IF(T401=0,"Not been yet",IF(Z401&gt;=InactiveDays,"Inactive",IF(Z401&gt;=LapsingDays,"Lapsing",IF(T401=1,"New",IF(AH401&gt;=VipSpend,"VIP",IF(U401&gt;=4,"Regular","Active"))))))))</f>
        <v>0</v>
      </c>
      <c r="AN401" s="38">
        <f>IF(B401="","",IF(T401&gt;=2,"Yes","No"))</f>
        <v>0</v>
      </c>
      <c r="AO401" s="25">
        <f>IF(B401="","",COUNTIFS($AE$5:$AE$504,"&gt;"&amp;AE401)+COUNTIFS($AE$5:AE401,AE401))</f>
        <v>0</v>
      </c>
      <c r="AP401" s="25">
        <f>IF(B401="","",COUNTIFS($T$5:$T$504,"&gt;"&amp;T401)+COUNTIFS($T$5:T401,T401))</f>
        <v>0</v>
      </c>
      <c r="AQ401" s="39">
        <f>IF(B401="","",IF(COUNTIF($B$5:$B$504,B401)&gt;1,"Duplicate - same name twice",IF(R401="Archived","",IF(AK401&gt;0.004,"Chase - balance outstanding",IF(AM401="Inactive","Gone - win-back offer",IF(AM401="Lapsing","Chase - lapsing, call them",IF(IF(N401="",FALSE,TodayDate-N401&gt;PatchTestDays),"Due - patch test out of date",IF(IF(AD401="",FALSE,IF(AB401&lt;&gt;"",FALSE,AD401&lt;=TodayDate+14)),"Rebook - due and nothing booked",IF(IF(K401="",FALSE,ABS(DATE(YEAR(TodayDate),MONTH(K401),DAY(K401))-TodayDate)&lt;=7),"Birthday - send the treat","OK")))))))))</f>
        <v>0</v>
      </c>
    </row>
    <row r="402" spans="1:43">
      <c r="A402" s="28">
        <f>IF(B402="","",ClientPrefix&amp;TEXT(ROW()-4,"0000"))</f>
        <v>0</v>
      </c>
      <c r="J402" s="15">
        <f>IF(I402="","",IFERROR(INDEX(Staff!$B$5:$B$44,MATCH(I402,Staff!$A$5:$A$44,0)),"Not in Staff"))</f>
        <v>0</v>
      </c>
      <c r="T402" s="25">
        <f>IF(B402="","",COUNTIFS(Appointments!$E$5:$E$1204,A402,Appointments!$M$5:$M$1204,"Completed"))</f>
        <v>0</v>
      </c>
      <c r="U402" s="25">
        <f>IF(B402="","",COUNTIFS(Appointments!$E$5:$E$1204,A402,Appointments!$M$5:$M$1204,"Completed",Appointments!$B$5:$B$1204,"&gt;="&amp;TodayDate-365))</f>
        <v>0</v>
      </c>
      <c r="V402" s="25">
        <f>IF(B402="","",COUNTIFS(Appointments!$E$5:$E$1204,A402,Appointments!$M$5:$M$1204,"Cancelled"))</f>
        <v>0</v>
      </c>
      <c r="W402" s="25">
        <f>IF(B402="","",COUNTIFS(Appointments!$E$5:$E$1204,A402,Appointments!$M$5:$M$1204,"No show"))</f>
        <v>0</v>
      </c>
      <c r="X402" s="17">
        <f>IF(B402="","",IF(F402&lt;&gt;"",F402,IF(T402=0,"",SUMPRODUCT(MIN((Appointments!$E$5:$E$1204=A402)*(Appointments!$M$5:$M$1204="Completed")*Appointments!$B$5:$B$1204+(1-(Appointments!$E$5:$E$1204=A402)*(Appointments!$M$5:$M$1204="Completed"))*2958465)))))</f>
        <v>0</v>
      </c>
      <c r="Y402" s="17">
        <f>IF(B402="","",IF(T402=0,"",SUMPRODUCT(MAX((Appointments!$E$5:$E$1204=A402)*(Appointments!$M$5:$M$1204="Completed")*Appointments!$B$5:$B$1204))))</f>
        <v>0</v>
      </c>
      <c r="Z402" s="25">
        <f>IF(B402="","",IF(Y402="","",TodayDate-Y402))</f>
        <v>0</v>
      </c>
      <c r="AA402" s="42">
        <f>IF(B402="","",SUMPRODUCT(MIN((Appointments!$E$5:$E$1204=A402)*(Appointments!$M$5:$M$1204&lt;&gt;"Cancelled")*(Appointments!$M$5:$M$1204&lt;&gt;"Completed")*(Appointments!$M$5:$M$1204&lt;&gt;"No show")*(Appointments!$B$5:$B$1204&gt;=TodayDate)*Appointments!$B$5:$B$1204+(1-(Appointments!$E$5:$E$1204=A402)*(Appointments!$M$5:$M$1204&lt;&gt;"Cancelled")*(Appointments!$M$5:$M$1204&lt;&gt;"Completed")*(Appointments!$M$5:$M$1204&lt;&gt;"No show")*(Appointments!$B$5:$B$1204&gt;=TodayDate))*2958465)))</f>
        <v>0</v>
      </c>
      <c r="AB402" s="17">
        <f>IF(B402="","",IF(AA402&gt;=2958465,"",AA402))</f>
        <v>0</v>
      </c>
      <c r="AC402" s="25">
        <f>IF(B402="","",IF(T402&lt;2,"",ROUND((Y402-X402)/MAX(1,T402-1),0)))</f>
        <v>0</v>
      </c>
      <c r="AD402" s="17">
        <f>IF(B402="","",IF(Y402="","",Y402+IF(AC402="",RebookWeeks*7,MAX(14,AC402))))</f>
        <v>0</v>
      </c>
      <c r="AE402" s="26">
        <f>IF(B402="","",ROUND(SUMIFS(Sales!$Y$5:$Y$1204,Sales!$D$5:$D$1204,A402),2))</f>
        <v>0</v>
      </c>
      <c r="AF402" s="26">
        <f>IF(B402="","",ROUND(SUMIFS(Sales!$Y$5:$Y$1204,Sales!$D$5:$D$1204,A402,Sales!$H$5:$H$1204,"Service"),2))</f>
        <v>0</v>
      </c>
      <c r="AG402" s="26">
        <f>IF(B402="","",ROUND(SUMIFS(Sales!$Y$5:$Y$1204,Sales!$D$5:$D$1204,A402,Sales!$H$5:$H$1204,"Retail"),2))</f>
        <v>0</v>
      </c>
      <c r="AH402" s="26">
        <f>IF(B402="","",ROUND(SUMIFS(Sales!$Y$5:$Y$1204,Sales!$D$5:$D$1204,A402,Sales!$B$5:$B$1204,"&gt;="&amp;TodayDate-365),2))</f>
        <v>0</v>
      </c>
      <c r="AI402" s="26">
        <f>IF(B402="","",IF(T402=0,"",ROUND(AE402/T402,2)))</f>
        <v>0</v>
      </c>
      <c r="AJ402" s="26">
        <f>IF(B402="","",IF(AI402="","",IF(AC402="","",ROUND(AI402*(365/MAX(14,AC402)),2))))</f>
        <v>0</v>
      </c>
      <c r="AK402" s="26">
        <f>IF(B402="","",ROUND(SUMIFS(Sales!$AH$5:$AH$1204,Sales!$D$5:$D$1204,A402),2))</f>
        <v>0</v>
      </c>
      <c r="AL402" s="25">
        <f>IF(B402="","",IFERROR(INDEX(Loyalty!$P$5:$P$504,MATCH(A402,Loyalty!$B$5:$B$504,0))*1,0))</f>
        <v>0</v>
      </c>
      <c r="AM402" s="39">
        <f>IF(B402="","",IF(R402="Archived","Archived",IF(T402=0,"Not been yet",IF(Z402&gt;=InactiveDays,"Inactive",IF(Z402&gt;=LapsingDays,"Lapsing",IF(T402=1,"New",IF(AH402&gt;=VipSpend,"VIP",IF(U402&gt;=4,"Regular","Active"))))))))</f>
        <v>0</v>
      </c>
      <c r="AN402" s="38">
        <f>IF(B402="","",IF(T402&gt;=2,"Yes","No"))</f>
        <v>0</v>
      </c>
      <c r="AO402" s="25">
        <f>IF(B402="","",COUNTIFS($AE$5:$AE$504,"&gt;"&amp;AE402)+COUNTIFS($AE$5:AE402,AE402))</f>
        <v>0</v>
      </c>
      <c r="AP402" s="25">
        <f>IF(B402="","",COUNTIFS($T$5:$T$504,"&gt;"&amp;T402)+COUNTIFS($T$5:T402,T402))</f>
        <v>0</v>
      </c>
      <c r="AQ402" s="39">
        <f>IF(B402="","",IF(COUNTIF($B$5:$B$504,B402)&gt;1,"Duplicate - same name twice",IF(R402="Archived","",IF(AK402&gt;0.004,"Chase - balance outstanding",IF(AM402="Inactive","Gone - win-back offer",IF(AM402="Lapsing","Chase - lapsing, call them",IF(IF(N402="",FALSE,TodayDate-N402&gt;PatchTestDays),"Due - patch test out of date",IF(IF(AD402="",FALSE,IF(AB402&lt;&gt;"",FALSE,AD402&lt;=TodayDate+14)),"Rebook - due and nothing booked",IF(IF(K402="",FALSE,ABS(DATE(YEAR(TodayDate),MONTH(K402),DAY(K402))-TodayDate)&lt;=7),"Birthday - send the treat","OK")))))))))</f>
        <v>0</v>
      </c>
    </row>
    <row r="403" spans="1:43">
      <c r="A403" s="28">
        <f>IF(B403="","",ClientPrefix&amp;TEXT(ROW()-4,"0000"))</f>
        <v>0</v>
      </c>
      <c r="J403" s="15">
        <f>IF(I403="","",IFERROR(INDEX(Staff!$B$5:$B$44,MATCH(I403,Staff!$A$5:$A$44,0)),"Not in Staff"))</f>
        <v>0</v>
      </c>
      <c r="T403" s="25">
        <f>IF(B403="","",COUNTIFS(Appointments!$E$5:$E$1204,A403,Appointments!$M$5:$M$1204,"Completed"))</f>
        <v>0</v>
      </c>
      <c r="U403" s="25">
        <f>IF(B403="","",COUNTIFS(Appointments!$E$5:$E$1204,A403,Appointments!$M$5:$M$1204,"Completed",Appointments!$B$5:$B$1204,"&gt;="&amp;TodayDate-365))</f>
        <v>0</v>
      </c>
      <c r="V403" s="25">
        <f>IF(B403="","",COUNTIFS(Appointments!$E$5:$E$1204,A403,Appointments!$M$5:$M$1204,"Cancelled"))</f>
        <v>0</v>
      </c>
      <c r="W403" s="25">
        <f>IF(B403="","",COUNTIFS(Appointments!$E$5:$E$1204,A403,Appointments!$M$5:$M$1204,"No show"))</f>
        <v>0</v>
      </c>
      <c r="X403" s="17">
        <f>IF(B403="","",IF(F403&lt;&gt;"",F403,IF(T403=0,"",SUMPRODUCT(MIN((Appointments!$E$5:$E$1204=A403)*(Appointments!$M$5:$M$1204="Completed")*Appointments!$B$5:$B$1204+(1-(Appointments!$E$5:$E$1204=A403)*(Appointments!$M$5:$M$1204="Completed"))*2958465)))))</f>
        <v>0</v>
      </c>
      <c r="Y403" s="17">
        <f>IF(B403="","",IF(T403=0,"",SUMPRODUCT(MAX((Appointments!$E$5:$E$1204=A403)*(Appointments!$M$5:$M$1204="Completed")*Appointments!$B$5:$B$1204))))</f>
        <v>0</v>
      </c>
      <c r="Z403" s="25">
        <f>IF(B403="","",IF(Y403="","",TodayDate-Y403))</f>
        <v>0</v>
      </c>
      <c r="AA403" s="42">
        <f>IF(B403="","",SUMPRODUCT(MIN((Appointments!$E$5:$E$1204=A403)*(Appointments!$M$5:$M$1204&lt;&gt;"Cancelled")*(Appointments!$M$5:$M$1204&lt;&gt;"Completed")*(Appointments!$M$5:$M$1204&lt;&gt;"No show")*(Appointments!$B$5:$B$1204&gt;=TodayDate)*Appointments!$B$5:$B$1204+(1-(Appointments!$E$5:$E$1204=A403)*(Appointments!$M$5:$M$1204&lt;&gt;"Cancelled")*(Appointments!$M$5:$M$1204&lt;&gt;"Completed")*(Appointments!$M$5:$M$1204&lt;&gt;"No show")*(Appointments!$B$5:$B$1204&gt;=TodayDate))*2958465)))</f>
        <v>0</v>
      </c>
      <c r="AB403" s="17">
        <f>IF(B403="","",IF(AA403&gt;=2958465,"",AA403))</f>
        <v>0</v>
      </c>
      <c r="AC403" s="25">
        <f>IF(B403="","",IF(T403&lt;2,"",ROUND((Y403-X403)/MAX(1,T403-1),0)))</f>
        <v>0</v>
      </c>
      <c r="AD403" s="17">
        <f>IF(B403="","",IF(Y403="","",Y403+IF(AC403="",RebookWeeks*7,MAX(14,AC403))))</f>
        <v>0</v>
      </c>
      <c r="AE403" s="26">
        <f>IF(B403="","",ROUND(SUMIFS(Sales!$Y$5:$Y$1204,Sales!$D$5:$D$1204,A403),2))</f>
        <v>0</v>
      </c>
      <c r="AF403" s="26">
        <f>IF(B403="","",ROUND(SUMIFS(Sales!$Y$5:$Y$1204,Sales!$D$5:$D$1204,A403,Sales!$H$5:$H$1204,"Service"),2))</f>
        <v>0</v>
      </c>
      <c r="AG403" s="26">
        <f>IF(B403="","",ROUND(SUMIFS(Sales!$Y$5:$Y$1204,Sales!$D$5:$D$1204,A403,Sales!$H$5:$H$1204,"Retail"),2))</f>
        <v>0</v>
      </c>
      <c r="AH403" s="26">
        <f>IF(B403="","",ROUND(SUMIFS(Sales!$Y$5:$Y$1204,Sales!$D$5:$D$1204,A403,Sales!$B$5:$B$1204,"&gt;="&amp;TodayDate-365),2))</f>
        <v>0</v>
      </c>
      <c r="AI403" s="26">
        <f>IF(B403="","",IF(T403=0,"",ROUND(AE403/T403,2)))</f>
        <v>0</v>
      </c>
      <c r="AJ403" s="26">
        <f>IF(B403="","",IF(AI403="","",IF(AC403="","",ROUND(AI403*(365/MAX(14,AC403)),2))))</f>
        <v>0</v>
      </c>
      <c r="AK403" s="26">
        <f>IF(B403="","",ROUND(SUMIFS(Sales!$AH$5:$AH$1204,Sales!$D$5:$D$1204,A403),2))</f>
        <v>0</v>
      </c>
      <c r="AL403" s="25">
        <f>IF(B403="","",IFERROR(INDEX(Loyalty!$P$5:$P$504,MATCH(A403,Loyalty!$B$5:$B$504,0))*1,0))</f>
        <v>0</v>
      </c>
      <c r="AM403" s="39">
        <f>IF(B403="","",IF(R403="Archived","Archived",IF(T403=0,"Not been yet",IF(Z403&gt;=InactiveDays,"Inactive",IF(Z403&gt;=LapsingDays,"Lapsing",IF(T403=1,"New",IF(AH403&gt;=VipSpend,"VIP",IF(U403&gt;=4,"Regular","Active"))))))))</f>
        <v>0</v>
      </c>
      <c r="AN403" s="38">
        <f>IF(B403="","",IF(T403&gt;=2,"Yes","No"))</f>
        <v>0</v>
      </c>
      <c r="AO403" s="25">
        <f>IF(B403="","",COUNTIFS($AE$5:$AE$504,"&gt;"&amp;AE403)+COUNTIFS($AE$5:AE403,AE403))</f>
        <v>0</v>
      </c>
      <c r="AP403" s="25">
        <f>IF(B403="","",COUNTIFS($T$5:$T$504,"&gt;"&amp;T403)+COUNTIFS($T$5:T403,T403))</f>
        <v>0</v>
      </c>
      <c r="AQ403" s="39">
        <f>IF(B403="","",IF(COUNTIF($B$5:$B$504,B403)&gt;1,"Duplicate - same name twice",IF(R403="Archived","",IF(AK403&gt;0.004,"Chase - balance outstanding",IF(AM403="Inactive","Gone - win-back offer",IF(AM403="Lapsing","Chase - lapsing, call them",IF(IF(N403="",FALSE,TodayDate-N403&gt;PatchTestDays),"Due - patch test out of date",IF(IF(AD403="",FALSE,IF(AB403&lt;&gt;"",FALSE,AD403&lt;=TodayDate+14)),"Rebook - due and nothing booked",IF(IF(K403="",FALSE,ABS(DATE(YEAR(TodayDate),MONTH(K403),DAY(K403))-TodayDate)&lt;=7),"Birthday - send the treat","OK")))))))))</f>
        <v>0</v>
      </c>
    </row>
    <row r="404" spans="1:43">
      <c r="A404" s="28">
        <f>IF(B404="","",ClientPrefix&amp;TEXT(ROW()-4,"0000"))</f>
        <v>0</v>
      </c>
      <c r="J404" s="15">
        <f>IF(I404="","",IFERROR(INDEX(Staff!$B$5:$B$44,MATCH(I404,Staff!$A$5:$A$44,0)),"Not in Staff"))</f>
        <v>0</v>
      </c>
      <c r="T404" s="25">
        <f>IF(B404="","",COUNTIFS(Appointments!$E$5:$E$1204,A404,Appointments!$M$5:$M$1204,"Completed"))</f>
        <v>0</v>
      </c>
      <c r="U404" s="25">
        <f>IF(B404="","",COUNTIFS(Appointments!$E$5:$E$1204,A404,Appointments!$M$5:$M$1204,"Completed",Appointments!$B$5:$B$1204,"&gt;="&amp;TodayDate-365))</f>
        <v>0</v>
      </c>
      <c r="V404" s="25">
        <f>IF(B404="","",COUNTIFS(Appointments!$E$5:$E$1204,A404,Appointments!$M$5:$M$1204,"Cancelled"))</f>
        <v>0</v>
      </c>
      <c r="W404" s="25">
        <f>IF(B404="","",COUNTIFS(Appointments!$E$5:$E$1204,A404,Appointments!$M$5:$M$1204,"No show"))</f>
        <v>0</v>
      </c>
      <c r="X404" s="17">
        <f>IF(B404="","",IF(F404&lt;&gt;"",F404,IF(T404=0,"",SUMPRODUCT(MIN((Appointments!$E$5:$E$1204=A404)*(Appointments!$M$5:$M$1204="Completed")*Appointments!$B$5:$B$1204+(1-(Appointments!$E$5:$E$1204=A404)*(Appointments!$M$5:$M$1204="Completed"))*2958465)))))</f>
        <v>0</v>
      </c>
      <c r="Y404" s="17">
        <f>IF(B404="","",IF(T404=0,"",SUMPRODUCT(MAX((Appointments!$E$5:$E$1204=A404)*(Appointments!$M$5:$M$1204="Completed")*Appointments!$B$5:$B$1204))))</f>
        <v>0</v>
      </c>
      <c r="Z404" s="25">
        <f>IF(B404="","",IF(Y404="","",TodayDate-Y404))</f>
        <v>0</v>
      </c>
      <c r="AA404" s="42">
        <f>IF(B404="","",SUMPRODUCT(MIN((Appointments!$E$5:$E$1204=A404)*(Appointments!$M$5:$M$1204&lt;&gt;"Cancelled")*(Appointments!$M$5:$M$1204&lt;&gt;"Completed")*(Appointments!$M$5:$M$1204&lt;&gt;"No show")*(Appointments!$B$5:$B$1204&gt;=TodayDate)*Appointments!$B$5:$B$1204+(1-(Appointments!$E$5:$E$1204=A404)*(Appointments!$M$5:$M$1204&lt;&gt;"Cancelled")*(Appointments!$M$5:$M$1204&lt;&gt;"Completed")*(Appointments!$M$5:$M$1204&lt;&gt;"No show")*(Appointments!$B$5:$B$1204&gt;=TodayDate))*2958465)))</f>
        <v>0</v>
      </c>
      <c r="AB404" s="17">
        <f>IF(B404="","",IF(AA404&gt;=2958465,"",AA404))</f>
        <v>0</v>
      </c>
      <c r="AC404" s="25">
        <f>IF(B404="","",IF(T404&lt;2,"",ROUND((Y404-X404)/MAX(1,T404-1),0)))</f>
        <v>0</v>
      </c>
      <c r="AD404" s="17">
        <f>IF(B404="","",IF(Y404="","",Y404+IF(AC404="",RebookWeeks*7,MAX(14,AC404))))</f>
        <v>0</v>
      </c>
      <c r="AE404" s="26">
        <f>IF(B404="","",ROUND(SUMIFS(Sales!$Y$5:$Y$1204,Sales!$D$5:$D$1204,A404),2))</f>
        <v>0</v>
      </c>
      <c r="AF404" s="26">
        <f>IF(B404="","",ROUND(SUMIFS(Sales!$Y$5:$Y$1204,Sales!$D$5:$D$1204,A404,Sales!$H$5:$H$1204,"Service"),2))</f>
        <v>0</v>
      </c>
      <c r="AG404" s="26">
        <f>IF(B404="","",ROUND(SUMIFS(Sales!$Y$5:$Y$1204,Sales!$D$5:$D$1204,A404,Sales!$H$5:$H$1204,"Retail"),2))</f>
        <v>0</v>
      </c>
      <c r="AH404" s="26">
        <f>IF(B404="","",ROUND(SUMIFS(Sales!$Y$5:$Y$1204,Sales!$D$5:$D$1204,A404,Sales!$B$5:$B$1204,"&gt;="&amp;TodayDate-365),2))</f>
        <v>0</v>
      </c>
      <c r="AI404" s="26">
        <f>IF(B404="","",IF(T404=0,"",ROUND(AE404/T404,2)))</f>
        <v>0</v>
      </c>
      <c r="AJ404" s="26">
        <f>IF(B404="","",IF(AI404="","",IF(AC404="","",ROUND(AI404*(365/MAX(14,AC404)),2))))</f>
        <v>0</v>
      </c>
      <c r="AK404" s="26">
        <f>IF(B404="","",ROUND(SUMIFS(Sales!$AH$5:$AH$1204,Sales!$D$5:$D$1204,A404),2))</f>
        <v>0</v>
      </c>
      <c r="AL404" s="25">
        <f>IF(B404="","",IFERROR(INDEX(Loyalty!$P$5:$P$504,MATCH(A404,Loyalty!$B$5:$B$504,0))*1,0))</f>
        <v>0</v>
      </c>
      <c r="AM404" s="39">
        <f>IF(B404="","",IF(R404="Archived","Archived",IF(T404=0,"Not been yet",IF(Z404&gt;=InactiveDays,"Inactive",IF(Z404&gt;=LapsingDays,"Lapsing",IF(T404=1,"New",IF(AH404&gt;=VipSpend,"VIP",IF(U404&gt;=4,"Regular","Active"))))))))</f>
        <v>0</v>
      </c>
      <c r="AN404" s="38">
        <f>IF(B404="","",IF(T404&gt;=2,"Yes","No"))</f>
        <v>0</v>
      </c>
      <c r="AO404" s="25">
        <f>IF(B404="","",COUNTIFS($AE$5:$AE$504,"&gt;"&amp;AE404)+COUNTIFS($AE$5:AE404,AE404))</f>
        <v>0</v>
      </c>
      <c r="AP404" s="25">
        <f>IF(B404="","",COUNTIFS($T$5:$T$504,"&gt;"&amp;T404)+COUNTIFS($T$5:T404,T404))</f>
        <v>0</v>
      </c>
      <c r="AQ404" s="39">
        <f>IF(B404="","",IF(COUNTIF($B$5:$B$504,B404)&gt;1,"Duplicate - same name twice",IF(R404="Archived","",IF(AK404&gt;0.004,"Chase - balance outstanding",IF(AM404="Inactive","Gone - win-back offer",IF(AM404="Lapsing","Chase - lapsing, call them",IF(IF(N404="",FALSE,TodayDate-N404&gt;PatchTestDays),"Due - patch test out of date",IF(IF(AD404="",FALSE,IF(AB404&lt;&gt;"",FALSE,AD404&lt;=TodayDate+14)),"Rebook - due and nothing booked",IF(IF(K404="",FALSE,ABS(DATE(YEAR(TodayDate),MONTH(K404),DAY(K404))-TodayDate)&lt;=7),"Birthday - send the treat","OK")))))))))</f>
        <v>0</v>
      </c>
    </row>
    <row r="405" spans="1:43">
      <c r="A405" s="28">
        <f>IF(B405="","",ClientPrefix&amp;TEXT(ROW()-4,"0000"))</f>
        <v>0</v>
      </c>
      <c r="J405" s="15">
        <f>IF(I405="","",IFERROR(INDEX(Staff!$B$5:$B$44,MATCH(I405,Staff!$A$5:$A$44,0)),"Not in Staff"))</f>
        <v>0</v>
      </c>
      <c r="T405" s="25">
        <f>IF(B405="","",COUNTIFS(Appointments!$E$5:$E$1204,A405,Appointments!$M$5:$M$1204,"Completed"))</f>
        <v>0</v>
      </c>
      <c r="U405" s="25">
        <f>IF(B405="","",COUNTIFS(Appointments!$E$5:$E$1204,A405,Appointments!$M$5:$M$1204,"Completed",Appointments!$B$5:$B$1204,"&gt;="&amp;TodayDate-365))</f>
        <v>0</v>
      </c>
      <c r="V405" s="25">
        <f>IF(B405="","",COUNTIFS(Appointments!$E$5:$E$1204,A405,Appointments!$M$5:$M$1204,"Cancelled"))</f>
        <v>0</v>
      </c>
      <c r="W405" s="25">
        <f>IF(B405="","",COUNTIFS(Appointments!$E$5:$E$1204,A405,Appointments!$M$5:$M$1204,"No show"))</f>
        <v>0</v>
      </c>
      <c r="X405" s="17">
        <f>IF(B405="","",IF(F405&lt;&gt;"",F405,IF(T405=0,"",SUMPRODUCT(MIN((Appointments!$E$5:$E$1204=A405)*(Appointments!$M$5:$M$1204="Completed")*Appointments!$B$5:$B$1204+(1-(Appointments!$E$5:$E$1204=A405)*(Appointments!$M$5:$M$1204="Completed"))*2958465)))))</f>
        <v>0</v>
      </c>
      <c r="Y405" s="17">
        <f>IF(B405="","",IF(T405=0,"",SUMPRODUCT(MAX((Appointments!$E$5:$E$1204=A405)*(Appointments!$M$5:$M$1204="Completed")*Appointments!$B$5:$B$1204))))</f>
        <v>0</v>
      </c>
      <c r="Z405" s="25">
        <f>IF(B405="","",IF(Y405="","",TodayDate-Y405))</f>
        <v>0</v>
      </c>
      <c r="AA405" s="42">
        <f>IF(B405="","",SUMPRODUCT(MIN((Appointments!$E$5:$E$1204=A405)*(Appointments!$M$5:$M$1204&lt;&gt;"Cancelled")*(Appointments!$M$5:$M$1204&lt;&gt;"Completed")*(Appointments!$M$5:$M$1204&lt;&gt;"No show")*(Appointments!$B$5:$B$1204&gt;=TodayDate)*Appointments!$B$5:$B$1204+(1-(Appointments!$E$5:$E$1204=A405)*(Appointments!$M$5:$M$1204&lt;&gt;"Cancelled")*(Appointments!$M$5:$M$1204&lt;&gt;"Completed")*(Appointments!$M$5:$M$1204&lt;&gt;"No show")*(Appointments!$B$5:$B$1204&gt;=TodayDate))*2958465)))</f>
        <v>0</v>
      </c>
      <c r="AB405" s="17">
        <f>IF(B405="","",IF(AA405&gt;=2958465,"",AA405))</f>
        <v>0</v>
      </c>
      <c r="AC405" s="25">
        <f>IF(B405="","",IF(T405&lt;2,"",ROUND((Y405-X405)/MAX(1,T405-1),0)))</f>
        <v>0</v>
      </c>
      <c r="AD405" s="17">
        <f>IF(B405="","",IF(Y405="","",Y405+IF(AC405="",RebookWeeks*7,MAX(14,AC405))))</f>
        <v>0</v>
      </c>
      <c r="AE405" s="26">
        <f>IF(B405="","",ROUND(SUMIFS(Sales!$Y$5:$Y$1204,Sales!$D$5:$D$1204,A405),2))</f>
        <v>0</v>
      </c>
      <c r="AF405" s="26">
        <f>IF(B405="","",ROUND(SUMIFS(Sales!$Y$5:$Y$1204,Sales!$D$5:$D$1204,A405,Sales!$H$5:$H$1204,"Service"),2))</f>
        <v>0</v>
      </c>
      <c r="AG405" s="26">
        <f>IF(B405="","",ROUND(SUMIFS(Sales!$Y$5:$Y$1204,Sales!$D$5:$D$1204,A405,Sales!$H$5:$H$1204,"Retail"),2))</f>
        <v>0</v>
      </c>
      <c r="AH405" s="26">
        <f>IF(B405="","",ROUND(SUMIFS(Sales!$Y$5:$Y$1204,Sales!$D$5:$D$1204,A405,Sales!$B$5:$B$1204,"&gt;="&amp;TodayDate-365),2))</f>
        <v>0</v>
      </c>
      <c r="AI405" s="26">
        <f>IF(B405="","",IF(T405=0,"",ROUND(AE405/T405,2)))</f>
        <v>0</v>
      </c>
      <c r="AJ405" s="26">
        <f>IF(B405="","",IF(AI405="","",IF(AC405="","",ROUND(AI405*(365/MAX(14,AC405)),2))))</f>
        <v>0</v>
      </c>
      <c r="AK405" s="26">
        <f>IF(B405="","",ROUND(SUMIFS(Sales!$AH$5:$AH$1204,Sales!$D$5:$D$1204,A405),2))</f>
        <v>0</v>
      </c>
      <c r="AL405" s="25">
        <f>IF(B405="","",IFERROR(INDEX(Loyalty!$P$5:$P$504,MATCH(A405,Loyalty!$B$5:$B$504,0))*1,0))</f>
        <v>0</v>
      </c>
      <c r="AM405" s="39">
        <f>IF(B405="","",IF(R405="Archived","Archived",IF(T405=0,"Not been yet",IF(Z405&gt;=InactiveDays,"Inactive",IF(Z405&gt;=LapsingDays,"Lapsing",IF(T405=1,"New",IF(AH405&gt;=VipSpend,"VIP",IF(U405&gt;=4,"Regular","Active"))))))))</f>
        <v>0</v>
      </c>
      <c r="AN405" s="38">
        <f>IF(B405="","",IF(T405&gt;=2,"Yes","No"))</f>
        <v>0</v>
      </c>
      <c r="AO405" s="25">
        <f>IF(B405="","",COUNTIFS($AE$5:$AE$504,"&gt;"&amp;AE405)+COUNTIFS($AE$5:AE405,AE405))</f>
        <v>0</v>
      </c>
      <c r="AP405" s="25">
        <f>IF(B405="","",COUNTIFS($T$5:$T$504,"&gt;"&amp;T405)+COUNTIFS($T$5:T405,T405))</f>
        <v>0</v>
      </c>
      <c r="AQ405" s="39">
        <f>IF(B405="","",IF(COUNTIF($B$5:$B$504,B405)&gt;1,"Duplicate - same name twice",IF(R405="Archived","",IF(AK405&gt;0.004,"Chase - balance outstanding",IF(AM405="Inactive","Gone - win-back offer",IF(AM405="Lapsing","Chase - lapsing, call them",IF(IF(N405="",FALSE,TodayDate-N405&gt;PatchTestDays),"Due - patch test out of date",IF(IF(AD405="",FALSE,IF(AB405&lt;&gt;"",FALSE,AD405&lt;=TodayDate+14)),"Rebook - due and nothing booked",IF(IF(K405="",FALSE,ABS(DATE(YEAR(TodayDate),MONTH(K405),DAY(K405))-TodayDate)&lt;=7),"Birthday - send the treat","OK")))))))))</f>
        <v>0</v>
      </c>
    </row>
    <row r="406" spans="1:43">
      <c r="A406" s="28">
        <f>IF(B406="","",ClientPrefix&amp;TEXT(ROW()-4,"0000"))</f>
        <v>0</v>
      </c>
      <c r="J406" s="15">
        <f>IF(I406="","",IFERROR(INDEX(Staff!$B$5:$B$44,MATCH(I406,Staff!$A$5:$A$44,0)),"Not in Staff"))</f>
        <v>0</v>
      </c>
      <c r="T406" s="25">
        <f>IF(B406="","",COUNTIFS(Appointments!$E$5:$E$1204,A406,Appointments!$M$5:$M$1204,"Completed"))</f>
        <v>0</v>
      </c>
      <c r="U406" s="25">
        <f>IF(B406="","",COUNTIFS(Appointments!$E$5:$E$1204,A406,Appointments!$M$5:$M$1204,"Completed",Appointments!$B$5:$B$1204,"&gt;="&amp;TodayDate-365))</f>
        <v>0</v>
      </c>
      <c r="V406" s="25">
        <f>IF(B406="","",COUNTIFS(Appointments!$E$5:$E$1204,A406,Appointments!$M$5:$M$1204,"Cancelled"))</f>
        <v>0</v>
      </c>
      <c r="W406" s="25">
        <f>IF(B406="","",COUNTIFS(Appointments!$E$5:$E$1204,A406,Appointments!$M$5:$M$1204,"No show"))</f>
        <v>0</v>
      </c>
      <c r="X406" s="17">
        <f>IF(B406="","",IF(F406&lt;&gt;"",F406,IF(T406=0,"",SUMPRODUCT(MIN((Appointments!$E$5:$E$1204=A406)*(Appointments!$M$5:$M$1204="Completed")*Appointments!$B$5:$B$1204+(1-(Appointments!$E$5:$E$1204=A406)*(Appointments!$M$5:$M$1204="Completed"))*2958465)))))</f>
        <v>0</v>
      </c>
      <c r="Y406" s="17">
        <f>IF(B406="","",IF(T406=0,"",SUMPRODUCT(MAX((Appointments!$E$5:$E$1204=A406)*(Appointments!$M$5:$M$1204="Completed")*Appointments!$B$5:$B$1204))))</f>
        <v>0</v>
      </c>
      <c r="Z406" s="25">
        <f>IF(B406="","",IF(Y406="","",TodayDate-Y406))</f>
        <v>0</v>
      </c>
      <c r="AA406" s="42">
        <f>IF(B406="","",SUMPRODUCT(MIN((Appointments!$E$5:$E$1204=A406)*(Appointments!$M$5:$M$1204&lt;&gt;"Cancelled")*(Appointments!$M$5:$M$1204&lt;&gt;"Completed")*(Appointments!$M$5:$M$1204&lt;&gt;"No show")*(Appointments!$B$5:$B$1204&gt;=TodayDate)*Appointments!$B$5:$B$1204+(1-(Appointments!$E$5:$E$1204=A406)*(Appointments!$M$5:$M$1204&lt;&gt;"Cancelled")*(Appointments!$M$5:$M$1204&lt;&gt;"Completed")*(Appointments!$M$5:$M$1204&lt;&gt;"No show")*(Appointments!$B$5:$B$1204&gt;=TodayDate))*2958465)))</f>
        <v>0</v>
      </c>
      <c r="AB406" s="17">
        <f>IF(B406="","",IF(AA406&gt;=2958465,"",AA406))</f>
        <v>0</v>
      </c>
      <c r="AC406" s="25">
        <f>IF(B406="","",IF(T406&lt;2,"",ROUND((Y406-X406)/MAX(1,T406-1),0)))</f>
        <v>0</v>
      </c>
      <c r="AD406" s="17">
        <f>IF(B406="","",IF(Y406="","",Y406+IF(AC406="",RebookWeeks*7,MAX(14,AC406))))</f>
        <v>0</v>
      </c>
      <c r="AE406" s="26">
        <f>IF(B406="","",ROUND(SUMIFS(Sales!$Y$5:$Y$1204,Sales!$D$5:$D$1204,A406),2))</f>
        <v>0</v>
      </c>
      <c r="AF406" s="26">
        <f>IF(B406="","",ROUND(SUMIFS(Sales!$Y$5:$Y$1204,Sales!$D$5:$D$1204,A406,Sales!$H$5:$H$1204,"Service"),2))</f>
        <v>0</v>
      </c>
      <c r="AG406" s="26">
        <f>IF(B406="","",ROUND(SUMIFS(Sales!$Y$5:$Y$1204,Sales!$D$5:$D$1204,A406,Sales!$H$5:$H$1204,"Retail"),2))</f>
        <v>0</v>
      </c>
      <c r="AH406" s="26">
        <f>IF(B406="","",ROUND(SUMIFS(Sales!$Y$5:$Y$1204,Sales!$D$5:$D$1204,A406,Sales!$B$5:$B$1204,"&gt;="&amp;TodayDate-365),2))</f>
        <v>0</v>
      </c>
      <c r="AI406" s="26">
        <f>IF(B406="","",IF(T406=0,"",ROUND(AE406/T406,2)))</f>
        <v>0</v>
      </c>
      <c r="AJ406" s="26">
        <f>IF(B406="","",IF(AI406="","",IF(AC406="","",ROUND(AI406*(365/MAX(14,AC406)),2))))</f>
        <v>0</v>
      </c>
      <c r="AK406" s="26">
        <f>IF(B406="","",ROUND(SUMIFS(Sales!$AH$5:$AH$1204,Sales!$D$5:$D$1204,A406),2))</f>
        <v>0</v>
      </c>
      <c r="AL406" s="25">
        <f>IF(B406="","",IFERROR(INDEX(Loyalty!$P$5:$P$504,MATCH(A406,Loyalty!$B$5:$B$504,0))*1,0))</f>
        <v>0</v>
      </c>
      <c r="AM406" s="39">
        <f>IF(B406="","",IF(R406="Archived","Archived",IF(T406=0,"Not been yet",IF(Z406&gt;=InactiveDays,"Inactive",IF(Z406&gt;=LapsingDays,"Lapsing",IF(T406=1,"New",IF(AH406&gt;=VipSpend,"VIP",IF(U406&gt;=4,"Regular","Active"))))))))</f>
        <v>0</v>
      </c>
      <c r="AN406" s="38">
        <f>IF(B406="","",IF(T406&gt;=2,"Yes","No"))</f>
        <v>0</v>
      </c>
      <c r="AO406" s="25">
        <f>IF(B406="","",COUNTIFS($AE$5:$AE$504,"&gt;"&amp;AE406)+COUNTIFS($AE$5:AE406,AE406))</f>
        <v>0</v>
      </c>
      <c r="AP406" s="25">
        <f>IF(B406="","",COUNTIFS($T$5:$T$504,"&gt;"&amp;T406)+COUNTIFS($T$5:T406,T406))</f>
        <v>0</v>
      </c>
      <c r="AQ406" s="39">
        <f>IF(B406="","",IF(COUNTIF($B$5:$B$504,B406)&gt;1,"Duplicate - same name twice",IF(R406="Archived","",IF(AK406&gt;0.004,"Chase - balance outstanding",IF(AM406="Inactive","Gone - win-back offer",IF(AM406="Lapsing","Chase - lapsing, call them",IF(IF(N406="",FALSE,TodayDate-N406&gt;PatchTestDays),"Due - patch test out of date",IF(IF(AD406="",FALSE,IF(AB406&lt;&gt;"",FALSE,AD406&lt;=TodayDate+14)),"Rebook - due and nothing booked",IF(IF(K406="",FALSE,ABS(DATE(YEAR(TodayDate),MONTH(K406),DAY(K406))-TodayDate)&lt;=7),"Birthday - send the treat","OK")))))))))</f>
        <v>0</v>
      </c>
    </row>
    <row r="407" spans="1:43">
      <c r="A407" s="28">
        <f>IF(B407="","",ClientPrefix&amp;TEXT(ROW()-4,"0000"))</f>
        <v>0</v>
      </c>
      <c r="J407" s="15">
        <f>IF(I407="","",IFERROR(INDEX(Staff!$B$5:$B$44,MATCH(I407,Staff!$A$5:$A$44,0)),"Not in Staff"))</f>
        <v>0</v>
      </c>
      <c r="T407" s="25">
        <f>IF(B407="","",COUNTIFS(Appointments!$E$5:$E$1204,A407,Appointments!$M$5:$M$1204,"Completed"))</f>
        <v>0</v>
      </c>
      <c r="U407" s="25">
        <f>IF(B407="","",COUNTIFS(Appointments!$E$5:$E$1204,A407,Appointments!$M$5:$M$1204,"Completed",Appointments!$B$5:$B$1204,"&gt;="&amp;TodayDate-365))</f>
        <v>0</v>
      </c>
      <c r="V407" s="25">
        <f>IF(B407="","",COUNTIFS(Appointments!$E$5:$E$1204,A407,Appointments!$M$5:$M$1204,"Cancelled"))</f>
        <v>0</v>
      </c>
      <c r="W407" s="25">
        <f>IF(B407="","",COUNTIFS(Appointments!$E$5:$E$1204,A407,Appointments!$M$5:$M$1204,"No show"))</f>
        <v>0</v>
      </c>
      <c r="X407" s="17">
        <f>IF(B407="","",IF(F407&lt;&gt;"",F407,IF(T407=0,"",SUMPRODUCT(MIN((Appointments!$E$5:$E$1204=A407)*(Appointments!$M$5:$M$1204="Completed")*Appointments!$B$5:$B$1204+(1-(Appointments!$E$5:$E$1204=A407)*(Appointments!$M$5:$M$1204="Completed"))*2958465)))))</f>
        <v>0</v>
      </c>
      <c r="Y407" s="17">
        <f>IF(B407="","",IF(T407=0,"",SUMPRODUCT(MAX((Appointments!$E$5:$E$1204=A407)*(Appointments!$M$5:$M$1204="Completed")*Appointments!$B$5:$B$1204))))</f>
        <v>0</v>
      </c>
      <c r="Z407" s="25">
        <f>IF(B407="","",IF(Y407="","",TodayDate-Y407))</f>
        <v>0</v>
      </c>
      <c r="AA407" s="42">
        <f>IF(B407="","",SUMPRODUCT(MIN((Appointments!$E$5:$E$1204=A407)*(Appointments!$M$5:$M$1204&lt;&gt;"Cancelled")*(Appointments!$M$5:$M$1204&lt;&gt;"Completed")*(Appointments!$M$5:$M$1204&lt;&gt;"No show")*(Appointments!$B$5:$B$1204&gt;=TodayDate)*Appointments!$B$5:$B$1204+(1-(Appointments!$E$5:$E$1204=A407)*(Appointments!$M$5:$M$1204&lt;&gt;"Cancelled")*(Appointments!$M$5:$M$1204&lt;&gt;"Completed")*(Appointments!$M$5:$M$1204&lt;&gt;"No show")*(Appointments!$B$5:$B$1204&gt;=TodayDate))*2958465)))</f>
        <v>0</v>
      </c>
      <c r="AB407" s="17">
        <f>IF(B407="","",IF(AA407&gt;=2958465,"",AA407))</f>
        <v>0</v>
      </c>
      <c r="AC407" s="25">
        <f>IF(B407="","",IF(T407&lt;2,"",ROUND((Y407-X407)/MAX(1,T407-1),0)))</f>
        <v>0</v>
      </c>
      <c r="AD407" s="17">
        <f>IF(B407="","",IF(Y407="","",Y407+IF(AC407="",RebookWeeks*7,MAX(14,AC407))))</f>
        <v>0</v>
      </c>
      <c r="AE407" s="26">
        <f>IF(B407="","",ROUND(SUMIFS(Sales!$Y$5:$Y$1204,Sales!$D$5:$D$1204,A407),2))</f>
        <v>0</v>
      </c>
      <c r="AF407" s="26">
        <f>IF(B407="","",ROUND(SUMIFS(Sales!$Y$5:$Y$1204,Sales!$D$5:$D$1204,A407,Sales!$H$5:$H$1204,"Service"),2))</f>
        <v>0</v>
      </c>
      <c r="AG407" s="26">
        <f>IF(B407="","",ROUND(SUMIFS(Sales!$Y$5:$Y$1204,Sales!$D$5:$D$1204,A407,Sales!$H$5:$H$1204,"Retail"),2))</f>
        <v>0</v>
      </c>
      <c r="AH407" s="26">
        <f>IF(B407="","",ROUND(SUMIFS(Sales!$Y$5:$Y$1204,Sales!$D$5:$D$1204,A407,Sales!$B$5:$B$1204,"&gt;="&amp;TodayDate-365),2))</f>
        <v>0</v>
      </c>
      <c r="AI407" s="26">
        <f>IF(B407="","",IF(T407=0,"",ROUND(AE407/T407,2)))</f>
        <v>0</v>
      </c>
      <c r="AJ407" s="26">
        <f>IF(B407="","",IF(AI407="","",IF(AC407="","",ROUND(AI407*(365/MAX(14,AC407)),2))))</f>
        <v>0</v>
      </c>
      <c r="AK407" s="26">
        <f>IF(B407="","",ROUND(SUMIFS(Sales!$AH$5:$AH$1204,Sales!$D$5:$D$1204,A407),2))</f>
        <v>0</v>
      </c>
      <c r="AL407" s="25">
        <f>IF(B407="","",IFERROR(INDEX(Loyalty!$P$5:$P$504,MATCH(A407,Loyalty!$B$5:$B$504,0))*1,0))</f>
        <v>0</v>
      </c>
      <c r="AM407" s="39">
        <f>IF(B407="","",IF(R407="Archived","Archived",IF(T407=0,"Not been yet",IF(Z407&gt;=InactiveDays,"Inactive",IF(Z407&gt;=LapsingDays,"Lapsing",IF(T407=1,"New",IF(AH407&gt;=VipSpend,"VIP",IF(U407&gt;=4,"Regular","Active"))))))))</f>
        <v>0</v>
      </c>
      <c r="AN407" s="38">
        <f>IF(B407="","",IF(T407&gt;=2,"Yes","No"))</f>
        <v>0</v>
      </c>
      <c r="AO407" s="25">
        <f>IF(B407="","",COUNTIFS($AE$5:$AE$504,"&gt;"&amp;AE407)+COUNTIFS($AE$5:AE407,AE407))</f>
        <v>0</v>
      </c>
      <c r="AP407" s="25">
        <f>IF(B407="","",COUNTIFS($T$5:$T$504,"&gt;"&amp;T407)+COUNTIFS($T$5:T407,T407))</f>
        <v>0</v>
      </c>
      <c r="AQ407" s="39">
        <f>IF(B407="","",IF(COUNTIF($B$5:$B$504,B407)&gt;1,"Duplicate - same name twice",IF(R407="Archived","",IF(AK407&gt;0.004,"Chase - balance outstanding",IF(AM407="Inactive","Gone - win-back offer",IF(AM407="Lapsing","Chase - lapsing, call them",IF(IF(N407="",FALSE,TodayDate-N407&gt;PatchTestDays),"Due - patch test out of date",IF(IF(AD407="",FALSE,IF(AB407&lt;&gt;"",FALSE,AD407&lt;=TodayDate+14)),"Rebook - due and nothing booked",IF(IF(K407="",FALSE,ABS(DATE(YEAR(TodayDate),MONTH(K407),DAY(K407))-TodayDate)&lt;=7),"Birthday - send the treat","OK")))))))))</f>
        <v>0</v>
      </c>
    </row>
    <row r="408" spans="1:43">
      <c r="A408" s="28">
        <f>IF(B408="","",ClientPrefix&amp;TEXT(ROW()-4,"0000"))</f>
        <v>0</v>
      </c>
      <c r="J408" s="15">
        <f>IF(I408="","",IFERROR(INDEX(Staff!$B$5:$B$44,MATCH(I408,Staff!$A$5:$A$44,0)),"Not in Staff"))</f>
        <v>0</v>
      </c>
      <c r="T408" s="25">
        <f>IF(B408="","",COUNTIFS(Appointments!$E$5:$E$1204,A408,Appointments!$M$5:$M$1204,"Completed"))</f>
        <v>0</v>
      </c>
      <c r="U408" s="25">
        <f>IF(B408="","",COUNTIFS(Appointments!$E$5:$E$1204,A408,Appointments!$M$5:$M$1204,"Completed",Appointments!$B$5:$B$1204,"&gt;="&amp;TodayDate-365))</f>
        <v>0</v>
      </c>
      <c r="V408" s="25">
        <f>IF(B408="","",COUNTIFS(Appointments!$E$5:$E$1204,A408,Appointments!$M$5:$M$1204,"Cancelled"))</f>
        <v>0</v>
      </c>
      <c r="W408" s="25">
        <f>IF(B408="","",COUNTIFS(Appointments!$E$5:$E$1204,A408,Appointments!$M$5:$M$1204,"No show"))</f>
        <v>0</v>
      </c>
      <c r="X408" s="17">
        <f>IF(B408="","",IF(F408&lt;&gt;"",F408,IF(T408=0,"",SUMPRODUCT(MIN((Appointments!$E$5:$E$1204=A408)*(Appointments!$M$5:$M$1204="Completed")*Appointments!$B$5:$B$1204+(1-(Appointments!$E$5:$E$1204=A408)*(Appointments!$M$5:$M$1204="Completed"))*2958465)))))</f>
        <v>0</v>
      </c>
      <c r="Y408" s="17">
        <f>IF(B408="","",IF(T408=0,"",SUMPRODUCT(MAX((Appointments!$E$5:$E$1204=A408)*(Appointments!$M$5:$M$1204="Completed")*Appointments!$B$5:$B$1204))))</f>
        <v>0</v>
      </c>
      <c r="Z408" s="25">
        <f>IF(B408="","",IF(Y408="","",TodayDate-Y408))</f>
        <v>0</v>
      </c>
      <c r="AA408" s="42">
        <f>IF(B408="","",SUMPRODUCT(MIN((Appointments!$E$5:$E$1204=A408)*(Appointments!$M$5:$M$1204&lt;&gt;"Cancelled")*(Appointments!$M$5:$M$1204&lt;&gt;"Completed")*(Appointments!$M$5:$M$1204&lt;&gt;"No show")*(Appointments!$B$5:$B$1204&gt;=TodayDate)*Appointments!$B$5:$B$1204+(1-(Appointments!$E$5:$E$1204=A408)*(Appointments!$M$5:$M$1204&lt;&gt;"Cancelled")*(Appointments!$M$5:$M$1204&lt;&gt;"Completed")*(Appointments!$M$5:$M$1204&lt;&gt;"No show")*(Appointments!$B$5:$B$1204&gt;=TodayDate))*2958465)))</f>
        <v>0</v>
      </c>
      <c r="AB408" s="17">
        <f>IF(B408="","",IF(AA408&gt;=2958465,"",AA408))</f>
        <v>0</v>
      </c>
      <c r="AC408" s="25">
        <f>IF(B408="","",IF(T408&lt;2,"",ROUND((Y408-X408)/MAX(1,T408-1),0)))</f>
        <v>0</v>
      </c>
      <c r="AD408" s="17">
        <f>IF(B408="","",IF(Y408="","",Y408+IF(AC408="",RebookWeeks*7,MAX(14,AC408))))</f>
        <v>0</v>
      </c>
      <c r="AE408" s="26">
        <f>IF(B408="","",ROUND(SUMIFS(Sales!$Y$5:$Y$1204,Sales!$D$5:$D$1204,A408),2))</f>
        <v>0</v>
      </c>
      <c r="AF408" s="26">
        <f>IF(B408="","",ROUND(SUMIFS(Sales!$Y$5:$Y$1204,Sales!$D$5:$D$1204,A408,Sales!$H$5:$H$1204,"Service"),2))</f>
        <v>0</v>
      </c>
      <c r="AG408" s="26">
        <f>IF(B408="","",ROUND(SUMIFS(Sales!$Y$5:$Y$1204,Sales!$D$5:$D$1204,A408,Sales!$H$5:$H$1204,"Retail"),2))</f>
        <v>0</v>
      </c>
      <c r="AH408" s="26">
        <f>IF(B408="","",ROUND(SUMIFS(Sales!$Y$5:$Y$1204,Sales!$D$5:$D$1204,A408,Sales!$B$5:$B$1204,"&gt;="&amp;TodayDate-365),2))</f>
        <v>0</v>
      </c>
      <c r="AI408" s="26">
        <f>IF(B408="","",IF(T408=0,"",ROUND(AE408/T408,2)))</f>
        <v>0</v>
      </c>
      <c r="AJ408" s="26">
        <f>IF(B408="","",IF(AI408="","",IF(AC408="","",ROUND(AI408*(365/MAX(14,AC408)),2))))</f>
        <v>0</v>
      </c>
      <c r="AK408" s="26">
        <f>IF(B408="","",ROUND(SUMIFS(Sales!$AH$5:$AH$1204,Sales!$D$5:$D$1204,A408),2))</f>
        <v>0</v>
      </c>
      <c r="AL408" s="25">
        <f>IF(B408="","",IFERROR(INDEX(Loyalty!$P$5:$P$504,MATCH(A408,Loyalty!$B$5:$B$504,0))*1,0))</f>
        <v>0</v>
      </c>
      <c r="AM408" s="39">
        <f>IF(B408="","",IF(R408="Archived","Archived",IF(T408=0,"Not been yet",IF(Z408&gt;=InactiveDays,"Inactive",IF(Z408&gt;=LapsingDays,"Lapsing",IF(T408=1,"New",IF(AH408&gt;=VipSpend,"VIP",IF(U408&gt;=4,"Regular","Active"))))))))</f>
        <v>0</v>
      </c>
      <c r="AN408" s="38">
        <f>IF(B408="","",IF(T408&gt;=2,"Yes","No"))</f>
        <v>0</v>
      </c>
      <c r="AO408" s="25">
        <f>IF(B408="","",COUNTIFS($AE$5:$AE$504,"&gt;"&amp;AE408)+COUNTIFS($AE$5:AE408,AE408))</f>
        <v>0</v>
      </c>
      <c r="AP408" s="25">
        <f>IF(B408="","",COUNTIFS($T$5:$T$504,"&gt;"&amp;T408)+COUNTIFS($T$5:T408,T408))</f>
        <v>0</v>
      </c>
      <c r="AQ408" s="39">
        <f>IF(B408="","",IF(COUNTIF($B$5:$B$504,B408)&gt;1,"Duplicate - same name twice",IF(R408="Archived","",IF(AK408&gt;0.004,"Chase - balance outstanding",IF(AM408="Inactive","Gone - win-back offer",IF(AM408="Lapsing","Chase - lapsing, call them",IF(IF(N408="",FALSE,TodayDate-N408&gt;PatchTestDays),"Due - patch test out of date",IF(IF(AD408="",FALSE,IF(AB408&lt;&gt;"",FALSE,AD408&lt;=TodayDate+14)),"Rebook - due and nothing booked",IF(IF(K408="",FALSE,ABS(DATE(YEAR(TodayDate),MONTH(K408),DAY(K408))-TodayDate)&lt;=7),"Birthday - send the treat","OK")))))))))</f>
        <v>0</v>
      </c>
    </row>
    <row r="409" spans="1:43">
      <c r="A409" s="28">
        <f>IF(B409="","",ClientPrefix&amp;TEXT(ROW()-4,"0000"))</f>
        <v>0</v>
      </c>
      <c r="J409" s="15">
        <f>IF(I409="","",IFERROR(INDEX(Staff!$B$5:$B$44,MATCH(I409,Staff!$A$5:$A$44,0)),"Not in Staff"))</f>
        <v>0</v>
      </c>
      <c r="T409" s="25">
        <f>IF(B409="","",COUNTIFS(Appointments!$E$5:$E$1204,A409,Appointments!$M$5:$M$1204,"Completed"))</f>
        <v>0</v>
      </c>
      <c r="U409" s="25">
        <f>IF(B409="","",COUNTIFS(Appointments!$E$5:$E$1204,A409,Appointments!$M$5:$M$1204,"Completed",Appointments!$B$5:$B$1204,"&gt;="&amp;TodayDate-365))</f>
        <v>0</v>
      </c>
      <c r="V409" s="25">
        <f>IF(B409="","",COUNTIFS(Appointments!$E$5:$E$1204,A409,Appointments!$M$5:$M$1204,"Cancelled"))</f>
        <v>0</v>
      </c>
      <c r="W409" s="25">
        <f>IF(B409="","",COUNTIFS(Appointments!$E$5:$E$1204,A409,Appointments!$M$5:$M$1204,"No show"))</f>
        <v>0</v>
      </c>
      <c r="X409" s="17">
        <f>IF(B409="","",IF(F409&lt;&gt;"",F409,IF(T409=0,"",SUMPRODUCT(MIN((Appointments!$E$5:$E$1204=A409)*(Appointments!$M$5:$M$1204="Completed")*Appointments!$B$5:$B$1204+(1-(Appointments!$E$5:$E$1204=A409)*(Appointments!$M$5:$M$1204="Completed"))*2958465)))))</f>
        <v>0</v>
      </c>
      <c r="Y409" s="17">
        <f>IF(B409="","",IF(T409=0,"",SUMPRODUCT(MAX((Appointments!$E$5:$E$1204=A409)*(Appointments!$M$5:$M$1204="Completed")*Appointments!$B$5:$B$1204))))</f>
        <v>0</v>
      </c>
      <c r="Z409" s="25">
        <f>IF(B409="","",IF(Y409="","",TodayDate-Y409))</f>
        <v>0</v>
      </c>
      <c r="AA409" s="42">
        <f>IF(B409="","",SUMPRODUCT(MIN((Appointments!$E$5:$E$1204=A409)*(Appointments!$M$5:$M$1204&lt;&gt;"Cancelled")*(Appointments!$M$5:$M$1204&lt;&gt;"Completed")*(Appointments!$M$5:$M$1204&lt;&gt;"No show")*(Appointments!$B$5:$B$1204&gt;=TodayDate)*Appointments!$B$5:$B$1204+(1-(Appointments!$E$5:$E$1204=A409)*(Appointments!$M$5:$M$1204&lt;&gt;"Cancelled")*(Appointments!$M$5:$M$1204&lt;&gt;"Completed")*(Appointments!$M$5:$M$1204&lt;&gt;"No show")*(Appointments!$B$5:$B$1204&gt;=TodayDate))*2958465)))</f>
        <v>0</v>
      </c>
      <c r="AB409" s="17">
        <f>IF(B409="","",IF(AA409&gt;=2958465,"",AA409))</f>
        <v>0</v>
      </c>
      <c r="AC409" s="25">
        <f>IF(B409="","",IF(T409&lt;2,"",ROUND((Y409-X409)/MAX(1,T409-1),0)))</f>
        <v>0</v>
      </c>
      <c r="AD409" s="17">
        <f>IF(B409="","",IF(Y409="","",Y409+IF(AC409="",RebookWeeks*7,MAX(14,AC409))))</f>
        <v>0</v>
      </c>
      <c r="AE409" s="26">
        <f>IF(B409="","",ROUND(SUMIFS(Sales!$Y$5:$Y$1204,Sales!$D$5:$D$1204,A409),2))</f>
        <v>0</v>
      </c>
      <c r="AF409" s="26">
        <f>IF(B409="","",ROUND(SUMIFS(Sales!$Y$5:$Y$1204,Sales!$D$5:$D$1204,A409,Sales!$H$5:$H$1204,"Service"),2))</f>
        <v>0</v>
      </c>
      <c r="AG409" s="26">
        <f>IF(B409="","",ROUND(SUMIFS(Sales!$Y$5:$Y$1204,Sales!$D$5:$D$1204,A409,Sales!$H$5:$H$1204,"Retail"),2))</f>
        <v>0</v>
      </c>
      <c r="AH409" s="26">
        <f>IF(B409="","",ROUND(SUMIFS(Sales!$Y$5:$Y$1204,Sales!$D$5:$D$1204,A409,Sales!$B$5:$B$1204,"&gt;="&amp;TodayDate-365),2))</f>
        <v>0</v>
      </c>
      <c r="AI409" s="26">
        <f>IF(B409="","",IF(T409=0,"",ROUND(AE409/T409,2)))</f>
        <v>0</v>
      </c>
      <c r="AJ409" s="26">
        <f>IF(B409="","",IF(AI409="","",IF(AC409="","",ROUND(AI409*(365/MAX(14,AC409)),2))))</f>
        <v>0</v>
      </c>
      <c r="AK409" s="26">
        <f>IF(B409="","",ROUND(SUMIFS(Sales!$AH$5:$AH$1204,Sales!$D$5:$D$1204,A409),2))</f>
        <v>0</v>
      </c>
      <c r="AL409" s="25">
        <f>IF(B409="","",IFERROR(INDEX(Loyalty!$P$5:$P$504,MATCH(A409,Loyalty!$B$5:$B$504,0))*1,0))</f>
        <v>0</v>
      </c>
      <c r="AM409" s="39">
        <f>IF(B409="","",IF(R409="Archived","Archived",IF(T409=0,"Not been yet",IF(Z409&gt;=InactiveDays,"Inactive",IF(Z409&gt;=LapsingDays,"Lapsing",IF(T409=1,"New",IF(AH409&gt;=VipSpend,"VIP",IF(U409&gt;=4,"Regular","Active"))))))))</f>
        <v>0</v>
      </c>
      <c r="AN409" s="38">
        <f>IF(B409="","",IF(T409&gt;=2,"Yes","No"))</f>
        <v>0</v>
      </c>
      <c r="AO409" s="25">
        <f>IF(B409="","",COUNTIFS($AE$5:$AE$504,"&gt;"&amp;AE409)+COUNTIFS($AE$5:AE409,AE409))</f>
        <v>0</v>
      </c>
      <c r="AP409" s="25">
        <f>IF(B409="","",COUNTIFS($T$5:$T$504,"&gt;"&amp;T409)+COUNTIFS($T$5:T409,T409))</f>
        <v>0</v>
      </c>
      <c r="AQ409" s="39">
        <f>IF(B409="","",IF(COUNTIF($B$5:$B$504,B409)&gt;1,"Duplicate - same name twice",IF(R409="Archived","",IF(AK409&gt;0.004,"Chase - balance outstanding",IF(AM409="Inactive","Gone - win-back offer",IF(AM409="Lapsing","Chase - lapsing, call them",IF(IF(N409="",FALSE,TodayDate-N409&gt;PatchTestDays),"Due - patch test out of date",IF(IF(AD409="",FALSE,IF(AB409&lt;&gt;"",FALSE,AD409&lt;=TodayDate+14)),"Rebook - due and nothing booked",IF(IF(K409="",FALSE,ABS(DATE(YEAR(TodayDate),MONTH(K409),DAY(K409))-TodayDate)&lt;=7),"Birthday - send the treat","OK")))))))))</f>
        <v>0</v>
      </c>
    </row>
    <row r="410" spans="1:43">
      <c r="A410" s="28">
        <f>IF(B410="","",ClientPrefix&amp;TEXT(ROW()-4,"0000"))</f>
        <v>0</v>
      </c>
      <c r="J410" s="15">
        <f>IF(I410="","",IFERROR(INDEX(Staff!$B$5:$B$44,MATCH(I410,Staff!$A$5:$A$44,0)),"Not in Staff"))</f>
        <v>0</v>
      </c>
      <c r="T410" s="25">
        <f>IF(B410="","",COUNTIFS(Appointments!$E$5:$E$1204,A410,Appointments!$M$5:$M$1204,"Completed"))</f>
        <v>0</v>
      </c>
      <c r="U410" s="25">
        <f>IF(B410="","",COUNTIFS(Appointments!$E$5:$E$1204,A410,Appointments!$M$5:$M$1204,"Completed",Appointments!$B$5:$B$1204,"&gt;="&amp;TodayDate-365))</f>
        <v>0</v>
      </c>
      <c r="V410" s="25">
        <f>IF(B410="","",COUNTIFS(Appointments!$E$5:$E$1204,A410,Appointments!$M$5:$M$1204,"Cancelled"))</f>
        <v>0</v>
      </c>
      <c r="W410" s="25">
        <f>IF(B410="","",COUNTIFS(Appointments!$E$5:$E$1204,A410,Appointments!$M$5:$M$1204,"No show"))</f>
        <v>0</v>
      </c>
      <c r="X410" s="17">
        <f>IF(B410="","",IF(F410&lt;&gt;"",F410,IF(T410=0,"",SUMPRODUCT(MIN((Appointments!$E$5:$E$1204=A410)*(Appointments!$M$5:$M$1204="Completed")*Appointments!$B$5:$B$1204+(1-(Appointments!$E$5:$E$1204=A410)*(Appointments!$M$5:$M$1204="Completed"))*2958465)))))</f>
        <v>0</v>
      </c>
      <c r="Y410" s="17">
        <f>IF(B410="","",IF(T410=0,"",SUMPRODUCT(MAX((Appointments!$E$5:$E$1204=A410)*(Appointments!$M$5:$M$1204="Completed")*Appointments!$B$5:$B$1204))))</f>
        <v>0</v>
      </c>
      <c r="Z410" s="25">
        <f>IF(B410="","",IF(Y410="","",TodayDate-Y410))</f>
        <v>0</v>
      </c>
      <c r="AA410" s="42">
        <f>IF(B410="","",SUMPRODUCT(MIN((Appointments!$E$5:$E$1204=A410)*(Appointments!$M$5:$M$1204&lt;&gt;"Cancelled")*(Appointments!$M$5:$M$1204&lt;&gt;"Completed")*(Appointments!$M$5:$M$1204&lt;&gt;"No show")*(Appointments!$B$5:$B$1204&gt;=TodayDate)*Appointments!$B$5:$B$1204+(1-(Appointments!$E$5:$E$1204=A410)*(Appointments!$M$5:$M$1204&lt;&gt;"Cancelled")*(Appointments!$M$5:$M$1204&lt;&gt;"Completed")*(Appointments!$M$5:$M$1204&lt;&gt;"No show")*(Appointments!$B$5:$B$1204&gt;=TodayDate))*2958465)))</f>
        <v>0</v>
      </c>
      <c r="AB410" s="17">
        <f>IF(B410="","",IF(AA410&gt;=2958465,"",AA410))</f>
        <v>0</v>
      </c>
      <c r="AC410" s="25">
        <f>IF(B410="","",IF(T410&lt;2,"",ROUND((Y410-X410)/MAX(1,T410-1),0)))</f>
        <v>0</v>
      </c>
      <c r="AD410" s="17">
        <f>IF(B410="","",IF(Y410="","",Y410+IF(AC410="",RebookWeeks*7,MAX(14,AC410))))</f>
        <v>0</v>
      </c>
      <c r="AE410" s="26">
        <f>IF(B410="","",ROUND(SUMIFS(Sales!$Y$5:$Y$1204,Sales!$D$5:$D$1204,A410),2))</f>
        <v>0</v>
      </c>
      <c r="AF410" s="26">
        <f>IF(B410="","",ROUND(SUMIFS(Sales!$Y$5:$Y$1204,Sales!$D$5:$D$1204,A410,Sales!$H$5:$H$1204,"Service"),2))</f>
        <v>0</v>
      </c>
      <c r="AG410" s="26">
        <f>IF(B410="","",ROUND(SUMIFS(Sales!$Y$5:$Y$1204,Sales!$D$5:$D$1204,A410,Sales!$H$5:$H$1204,"Retail"),2))</f>
        <v>0</v>
      </c>
      <c r="AH410" s="26">
        <f>IF(B410="","",ROUND(SUMIFS(Sales!$Y$5:$Y$1204,Sales!$D$5:$D$1204,A410,Sales!$B$5:$B$1204,"&gt;="&amp;TodayDate-365),2))</f>
        <v>0</v>
      </c>
      <c r="AI410" s="26">
        <f>IF(B410="","",IF(T410=0,"",ROUND(AE410/T410,2)))</f>
        <v>0</v>
      </c>
      <c r="AJ410" s="26">
        <f>IF(B410="","",IF(AI410="","",IF(AC410="","",ROUND(AI410*(365/MAX(14,AC410)),2))))</f>
        <v>0</v>
      </c>
      <c r="AK410" s="26">
        <f>IF(B410="","",ROUND(SUMIFS(Sales!$AH$5:$AH$1204,Sales!$D$5:$D$1204,A410),2))</f>
        <v>0</v>
      </c>
      <c r="AL410" s="25">
        <f>IF(B410="","",IFERROR(INDEX(Loyalty!$P$5:$P$504,MATCH(A410,Loyalty!$B$5:$B$504,0))*1,0))</f>
        <v>0</v>
      </c>
      <c r="AM410" s="39">
        <f>IF(B410="","",IF(R410="Archived","Archived",IF(T410=0,"Not been yet",IF(Z410&gt;=InactiveDays,"Inactive",IF(Z410&gt;=LapsingDays,"Lapsing",IF(T410=1,"New",IF(AH410&gt;=VipSpend,"VIP",IF(U410&gt;=4,"Regular","Active"))))))))</f>
        <v>0</v>
      </c>
      <c r="AN410" s="38">
        <f>IF(B410="","",IF(T410&gt;=2,"Yes","No"))</f>
        <v>0</v>
      </c>
      <c r="AO410" s="25">
        <f>IF(B410="","",COUNTIFS($AE$5:$AE$504,"&gt;"&amp;AE410)+COUNTIFS($AE$5:AE410,AE410))</f>
        <v>0</v>
      </c>
      <c r="AP410" s="25">
        <f>IF(B410="","",COUNTIFS($T$5:$T$504,"&gt;"&amp;T410)+COUNTIFS($T$5:T410,T410))</f>
        <v>0</v>
      </c>
      <c r="AQ410" s="39">
        <f>IF(B410="","",IF(COUNTIF($B$5:$B$504,B410)&gt;1,"Duplicate - same name twice",IF(R410="Archived","",IF(AK410&gt;0.004,"Chase - balance outstanding",IF(AM410="Inactive","Gone - win-back offer",IF(AM410="Lapsing","Chase - lapsing, call them",IF(IF(N410="",FALSE,TodayDate-N410&gt;PatchTestDays),"Due - patch test out of date",IF(IF(AD410="",FALSE,IF(AB410&lt;&gt;"",FALSE,AD410&lt;=TodayDate+14)),"Rebook - due and nothing booked",IF(IF(K410="",FALSE,ABS(DATE(YEAR(TodayDate),MONTH(K410),DAY(K410))-TodayDate)&lt;=7),"Birthday - send the treat","OK")))))))))</f>
        <v>0</v>
      </c>
    </row>
    <row r="411" spans="1:43">
      <c r="A411" s="28">
        <f>IF(B411="","",ClientPrefix&amp;TEXT(ROW()-4,"0000"))</f>
        <v>0</v>
      </c>
      <c r="J411" s="15">
        <f>IF(I411="","",IFERROR(INDEX(Staff!$B$5:$B$44,MATCH(I411,Staff!$A$5:$A$44,0)),"Not in Staff"))</f>
        <v>0</v>
      </c>
      <c r="T411" s="25">
        <f>IF(B411="","",COUNTIFS(Appointments!$E$5:$E$1204,A411,Appointments!$M$5:$M$1204,"Completed"))</f>
        <v>0</v>
      </c>
      <c r="U411" s="25">
        <f>IF(B411="","",COUNTIFS(Appointments!$E$5:$E$1204,A411,Appointments!$M$5:$M$1204,"Completed",Appointments!$B$5:$B$1204,"&gt;="&amp;TodayDate-365))</f>
        <v>0</v>
      </c>
      <c r="V411" s="25">
        <f>IF(B411="","",COUNTIFS(Appointments!$E$5:$E$1204,A411,Appointments!$M$5:$M$1204,"Cancelled"))</f>
        <v>0</v>
      </c>
      <c r="W411" s="25">
        <f>IF(B411="","",COUNTIFS(Appointments!$E$5:$E$1204,A411,Appointments!$M$5:$M$1204,"No show"))</f>
        <v>0</v>
      </c>
      <c r="X411" s="17">
        <f>IF(B411="","",IF(F411&lt;&gt;"",F411,IF(T411=0,"",SUMPRODUCT(MIN((Appointments!$E$5:$E$1204=A411)*(Appointments!$M$5:$M$1204="Completed")*Appointments!$B$5:$B$1204+(1-(Appointments!$E$5:$E$1204=A411)*(Appointments!$M$5:$M$1204="Completed"))*2958465)))))</f>
        <v>0</v>
      </c>
      <c r="Y411" s="17">
        <f>IF(B411="","",IF(T411=0,"",SUMPRODUCT(MAX((Appointments!$E$5:$E$1204=A411)*(Appointments!$M$5:$M$1204="Completed")*Appointments!$B$5:$B$1204))))</f>
        <v>0</v>
      </c>
      <c r="Z411" s="25">
        <f>IF(B411="","",IF(Y411="","",TodayDate-Y411))</f>
        <v>0</v>
      </c>
      <c r="AA411" s="42">
        <f>IF(B411="","",SUMPRODUCT(MIN((Appointments!$E$5:$E$1204=A411)*(Appointments!$M$5:$M$1204&lt;&gt;"Cancelled")*(Appointments!$M$5:$M$1204&lt;&gt;"Completed")*(Appointments!$M$5:$M$1204&lt;&gt;"No show")*(Appointments!$B$5:$B$1204&gt;=TodayDate)*Appointments!$B$5:$B$1204+(1-(Appointments!$E$5:$E$1204=A411)*(Appointments!$M$5:$M$1204&lt;&gt;"Cancelled")*(Appointments!$M$5:$M$1204&lt;&gt;"Completed")*(Appointments!$M$5:$M$1204&lt;&gt;"No show")*(Appointments!$B$5:$B$1204&gt;=TodayDate))*2958465)))</f>
        <v>0</v>
      </c>
      <c r="AB411" s="17">
        <f>IF(B411="","",IF(AA411&gt;=2958465,"",AA411))</f>
        <v>0</v>
      </c>
      <c r="AC411" s="25">
        <f>IF(B411="","",IF(T411&lt;2,"",ROUND((Y411-X411)/MAX(1,T411-1),0)))</f>
        <v>0</v>
      </c>
      <c r="AD411" s="17">
        <f>IF(B411="","",IF(Y411="","",Y411+IF(AC411="",RebookWeeks*7,MAX(14,AC411))))</f>
        <v>0</v>
      </c>
      <c r="AE411" s="26">
        <f>IF(B411="","",ROUND(SUMIFS(Sales!$Y$5:$Y$1204,Sales!$D$5:$D$1204,A411),2))</f>
        <v>0</v>
      </c>
      <c r="AF411" s="26">
        <f>IF(B411="","",ROUND(SUMIFS(Sales!$Y$5:$Y$1204,Sales!$D$5:$D$1204,A411,Sales!$H$5:$H$1204,"Service"),2))</f>
        <v>0</v>
      </c>
      <c r="AG411" s="26">
        <f>IF(B411="","",ROUND(SUMIFS(Sales!$Y$5:$Y$1204,Sales!$D$5:$D$1204,A411,Sales!$H$5:$H$1204,"Retail"),2))</f>
        <v>0</v>
      </c>
      <c r="AH411" s="26">
        <f>IF(B411="","",ROUND(SUMIFS(Sales!$Y$5:$Y$1204,Sales!$D$5:$D$1204,A411,Sales!$B$5:$B$1204,"&gt;="&amp;TodayDate-365),2))</f>
        <v>0</v>
      </c>
      <c r="AI411" s="26">
        <f>IF(B411="","",IF(T411=0,"",ROUND(AE411/T411,2)))</f>
        <v>0</v>
      </c>
      <c r="AJ411" s="26">
        <f>IF(B411="","",IF(AI411="","",IF(AC411="","",ROUND(AI411*(365/MAX(14,AC411)),2))))</f>
        <v>0</v>
      </c>
      <c r="AK411" s="26">
        <f>IF(B411="","",ROUND(SUMIFS(Sales!$AH$5:$AH$1204,Sales!$D$5:$D$1204,A411),2))</f>
        <v>0</v>
      </c>
      <c r="AL411" s="25">
        <f>IF(B411="","",IFERROR(INDEX(Loyalty!$P$5:$P$504,MATCH(A411,Loyalty!$B$5:$B$504,0))*1,0))</f>
        <v>0</v>
      </c>
      <c r="AM411" s="39">
        <f>IF(B411="","",IF(R411="Archived","Archived",IF(T411=0,"Not been yet",IF(Z411&gt;=InactiveDays,"Inactive",IF(Z411&gt;=LapsingDays,"Lapsing",IF(T411=1,"New",IF(AH411&gt;=VipSpend,"VIP",IF(U411&gt;=4,"Regular","Active"))))))))</f>
        <v>0</v>
      </c>
      <c r="AN411" s="38">
        <f>IF(B411="","",IF(T411&gt;=2,"Yes","No"))</f>
        <v>0</v>
      </c>
      <c r="AO411" s="25">
        <f>IF(B411="","",COUNTIFS($AE$5:$AE$504,"&gt;"&amp;AE411)+COUNTIFS($AE$5:AE411,AE411))</f>
        <v>0</v>
      </c>
      <c r="AP411" s="25">
        <f>IF(B411="","",COUNTIFS($T$5:$T$504,"&gt;"&amp;T411)+COUNTIFS($T$5:T411,T411))</f>
        <v>0</v>
      </c>
      <c r="AQ411" s="39">
        <f>IF(B411="","",IF(COUNTIF($B$5:$B$504,B411)&gt;1,"Duplicate - same name twice",IF(R411="Archived","",IF(AK411&gt;0.004,"Chase - balance outstanding",IF(AM411="Inactive","Gone - win-back offer",IF(AM411="Lapsing","Chase - lapsing, call them",IF(IF(N411="",FALSE,TodayDate-N411&gt;PatchTestDays),"Due - patch test out of date",IF(IF(AD411="",FALSE,IF(AB411&lt;&gt;"",FALSE,AD411&lt;=TodayDate+14)),"Rebook - due and nothing booked",IF(IF(K411="",FALSE,ABS(DATE(YEAR(TodayDate),MONTH(K411),DAY(K411))-TodayDate)&lt;=7),"Birthday - send the treat","OK")))))))))</f>
        <v>0</v>
      </c>
    </row>
    <row r="412" spans="1:43">
      <c r="A412" s="28">
        <f>IF(B412="","",ClientPrefix&amp;TEXT(ROW()-4,"0000"))</f>
        <v>0</v>
      </c>
      <c r="J412" s="15">
        <f>IF(I412="","",IFERROR(INDEX(Staff!$B$5:$B$44,MATCH(I412,Staff!$A$5:$A$44,0)),"Not in Staff"))</f>
        <v>0</v>
      </c>
      <c r="T412" s="25">
        <f>IF(B412="","",COUNTIFS(Appointments!$E$5:$E$1204,A412,Appointments!$M$5:$M$1204,"Completed"))</f>
        <v>0</v>
      </c>
      <c r="U412" s="25">
        <f>IF(B412="","",COUNTIFS(Appointments!$E$5:$E$1204,A412,Appointments!$M$5:$M$1204,"Completed",Appointments!$B$5:$B$1204,"&gt;="&amp;TodayDate-365))</f>
        <v>0</v>
      </c>
      <c r="V412" s="25">
        <f>IF(B412="","",COUNTIFS(Appointments!$E$5:$E$1204,A412,Appointments!$M$5:$M$1204,"Cancelled"))</f>
        <v>0</v>
      </c>
      <c r="W412" s="25">
        <f>IF(B412="","",COUNTIFS(Appointments!$E$5:$E$1204,A412,Appointments!$M$5:$M$1204,"No show"))</f>
        <v>0</v>
      </c>
      <c r="X412" s="17">
        <f>IF(B412="","",IF(F412&lt;&gt;"",F412,IF(T412=0,"",SUMPRODUCT(MIN((Appointments!$E$5:$E$1204=A412)*(Appointments!$M$5:$M$1204="Completed")*Appointments!$B$5:$B$1204+(1-(Appointments!$E$5:$E$1204=A412)*(Appointments!$M$5:$M$1204="Completed"))*2958465)))))</f>
        <v>0</v>
      </c>
      <c r="Y412" s="17">
        <f>IF(B412="","",IF(T412=0,"",SUMPRODUCT(MAX((Appointments!$E$5:$E$1204=A412)*(Appointments!$M$5:$M$1204="Completed")*Appointments!$B$5:$B$1204))))</f>
        <v>0</v>
      </c>
      <c r="Z412" s="25">
        <f>IF(B412="","",IF(Y412="","",TodayDate-Y412))</f>
        <v>0</v>
      </c>
      <c r="AA412" s="42">
        <f>IF(B412="","",SUMPRODUCT(MIN((Appointments!$E$5:$E$1204=A412)*(Appointments!$M$5:$M$1204&lt;&gt;"Cancelled")*(Appointments!$M$5:$M$1204&lt;&gt;"Completed")*(Appointments!$M$5:$M$1204&lt;&gt;"No show")*(Appointments!$B$5:$B$1204&gt;=TodayDate)*Appointments!$B$5:$B$1204+(1-(Appointments!$E$5:$E$1204=A412)*(Appointments!$M$5:$M$1204&lt;&gt;"Cancelled")*(Appointments!$M$5:$M$1204&lt;&gt;"Completed")*(Appointments!$M$5:$M$1204&lt;&gt;"No show")*(Appointments!$B$5:$B$1204&gt;=TodayDate))*2958465)))</f>
        <v>0</v>
      </c>
      <c r="AB412" s="17">
        <f>IF(B412="","",IF(AA412&gt;=2958465,"",AA412))</f>
        <v>0</v>
      </c>
      <c r="AC412" s="25">
        <f>IF(B412="","",IF(T412&lt;2,"",ROUND((Y412-X412)/MAX(1,T412-1),0)))</f>
        <v>0</v>
      </c>
      <c r="AD412" s="17">
        <f>IF(B412="","",IF(Y412="","",Y412+IF(AC412="",RebookWeeks*7,MAX(14,AC412))))</f>
        <v>0</v>
      </c>
      <c r="AE412" s="26">
        <f>IF(B412="","",ROUND(SUMIFS(Sales!$Y$5:$Y$1204,Sales!$D$5:$D$1204,A412),2))</f>
        <v>0</v>
      </c>
      <c r="AF412" s="26">
        <f>IF(B412="","",ROUND(SUMIFS(Sales!$Y$5:$Y$1204,Sales!$D$5:$D$1204,A412,Sales!$H$5:$H$1204,"Service"),2))</f>
        <v>0</v>
      </c>
      <c r="AG412" s="26">
        <f>IF(B412="","",ROUND(SUMIFS(Sales!$Y$5:$Y$1204,Sales!$D$5:$D$1204,A412,Sales!$H$5:$H$1204,"Retail"),2))</f>
        <v>0</v>
      </c>
      <c r="AH412" s="26">
        <f>IF(B412="","",ROUND(SUMIFS(Sales!$Y$5:$Y$1204,Sales!$D$5:$D$1204,A412,Sales!$B$5:$B$1204,"&gt;="&amp;TodayDate-365),2))</f>
        <v>0</v>
      </c>
      <c r="AI412" s="26">
        <f>IF(B412="","",IF(T412=0,"",ROUND(AE412/T412,2)))</f>
        <v>0</v>
      </c>
      <c r="AJ412" s="26">
        <f>IF(B412="","",IF(AI412="","",IF(AC412="","",ROUND(AI412*(365/MAX(14,AC412)),2))))</f>
        <v>0</v>
      </c>
      <c r="AK412" s="26">
        <f>IF(B412="","",ROUND(SUMIFS(Sales!$AH$5:$AH$1204,Sales!$D$5:$D$1204,A412),2))</f>
        <v>0</v>
      </c>
      <c r="AL412" s="25">
        <f>IF(B412="","",IFERROR(INDEX(Loyalty!$P$5:$P$504,MATCH(A412,Loyalty!$B$5:$B$504,0))*1,0))</f>
        <v>0</v>
      </c>
      <c r="AM412" s="39">
        <f>IF(B412="","",IF(R412="Archived","Archived",IF(T412=0,"Not been yet",IF(Z412&gt;=InactiveDays,"Inactive",IF(Z412&gt;=LapsingDays,"Lapsing",IF(T412=1,"New",IF(AH412&gt;=VipSpend,"VIP",IF(U412&gt;=4,"Regular","Active"))))))))</f>
        <v>0</v>
      </c>
      <c r="AN412" s="38">
        <f>IF(B412="","",IF(T412&gt;=2,"Yes","No"))</f>
        <v>0</v>
      </c>
      <c r="AO412" s="25">
        <f>IF(B412="","",COUNTIFS($AE$5:$AE$504,"&gt;"&amp;AE412)+COUNTIFS($AE$5:AE412,AE412))</f>
        <v>0</v>
      </c>
      <c r="AP412" s="25">
        <f>IF(B412="","",COUNTIFS($T$5:$T$504,"&gt;"&amp;T412)+COUNTIFS($T$5:T412,T412))</f>
        <v>0</v>
      </c>
      <c r="AQ412" s="39">
        <f>IF(B412="","",IF(COUNTIF($B$5:$B$504,B412)&gt;1,"Duplicate - same name twice",IF(R412="Archived","",IF(AK412&gt;0.004,"Chase - balance outstanding",IF(AM412="Inactive","Gone - win-back offer",IF(AM412="Lapsing","Chase - lapsing, call them",IF(IF(N412="",FALSE,TodayDate-N412&gt;PatchTestDays),"Due - patch test out of date",IF(IF(AD412="",FALSE,IF(AB412&lt;&gt;"",FALSE,AD412&lt;=TodayDate+14)),"Rebook - due and nothing booked",IF(IF(K412="",FALSE,ABS(DATE(YEAR(TodayDate),MONTH(K412),DAY(K412))-TodayDate)&lt;=7),"Birthday - send the treat","OK")))))))))</f>
        <v>0</v>
      </c>
    </row>
    <row r="413" spans="1:43">
      <c r="A413" s="28">
        <f>IF(B413="","",ClientPrefix&amp;TEXT(ROW()-4,"0000"))</f>
        <v>0</v>
      </c>
      <c r="J413" s="15">
        <f>IF(I413="","",IFERROR(INDEX(Staff!$B$5:$B$44,MATCH(I413,Staff!$A$5:$A$44,0)),"Not in Staff"))</f>
        <v>0</v>
      </c>
      <c r="T413" s="25">
        <f>IF(B413="","",COUNTIFS(Appointments!$E$5:$E$1204,A413,Appointments!$M$5:$M$1204,"Completed"))</f>
        <v>0</v>
      </c>
      <c r="U413" s="25">
        <f>IF(B413="","",COUNTIFS(Appointments!$E$5:$E$1204,A413,Appointments!$M$5:$M$1204,"Completed",Appointments!$B$5:$B$1204,"&gt;="&amp;TodayDate-365))</f>
        <v>0</v>
      </c>
      <c r="V413" s="25">
        <f>IF(B413="","",COUNTIFS(Appointments!$E$5:$E$1204,A413,Appointments!$M$5:$M$1204,"Cancelled"))</f>
        <v>0</v>
      </c>
      <c r="W413" s="25">
        <f>IF(B413="","",COUNTIFS(Appointments!$E$5:$E$1204,A413,Appointments!$M$5:$M$1204,"No show"))</f>
        <v>0</v>
      </c>
      <c r="X413" s="17">
        <f>IF(B413="","",IF(F413&lt;&gt;"",F413,IF(T413=0,"",SUMPRODUCT(MIN((Appointments!$E$5:$E$1204=A413)*(Appointments!$M$5:$M$1204="Completed")*Appointments!$B$5:$B$1204+(1-(Appointments!$E$5:$E$1204=A413)*(Appointments!$M$5:$M$1204="Completed"))*2958465)))))</f>
        <v>0</v>
      </c>
      <c r="Y413" s="17">
        <f>IF(B413="","",IF(T413=0,"",SUMPRODUCT(MAX((Appointments!$E$5:$E$1204=A413)*(Appointments!$M$5:$M$1204="Completed")*Appointments!$B$5:$B$1204))))</f>
        <v>0</v>
      </c>
      <c r="Z413" s="25">
        <f>IF(B413="","",IF(Y413="","",TodayDate-Y413))</f>
        <v>0</v>
      </c>
      <c r="AA413" s="42">
        <f>IF(B413="","",SUMPRODUCT(MIN((Appointments!$E$5:$E$1204=A413)*(Appointments!$M$5:$M$1204&lt;&gt;"Cancelled")*(Appointments!$M$5:$M$1204&lt;&gt;"Completed")*(Appointments!$M$5:$M$1204&lt;&gt;"No show")*(Appointments!$B$5:$B$1204&gt;=TodayDate)*Appointments!$B$5:$B$1204+(1-(Appointments!$E$5:$E$1204=A413)*(Appointments!$M$5:$M$1204&lt;&gt;"Cancelled")*(Appointments!$M$5:$M$1204&lt;&gt;"Completed")*(Appointments!$M$5:$M$1204&lt;&gt;"No show")*(Appointments!$B$5:$B$1204&gt;=TodayDate))*2958465)))</f>
        <v>0</v>
      </c>
      <c r="AB413" s="17">
        <f>IF(B413="","",IF(AA413&gt;=2958465,"",AA413))</f>
        <v>0</v>
      </c>
      <c r="AC413" s="25">
        <f>IF(B413="","",IF(T413&lt;2,"",ROUND((Y413-X413)/MAX(1,T413-1),0)))</f>
        <v>0</v>
      </c>
      <c r="AD413" s="17">
        <f>IF(B413="","",IF(Y413="","",Y413+IF(AC413="",RebookWeeks*7,MAX(14,AC413))))</f>
        <v>0</v>
      </c>
      <c r="AE413" s="26">
        <f>IF(B413="","",ROUND(SUMIFS(Sales!$Y$5:$Y$1204,Sales!$D$5:$D$1204,A413),2))</f>
        <v>0</v>
      </c>
      <c r="AF413" s="26">
        <f>IF(B413="","",ROUND(SUMIFS(Sales!$Y$5:$Y$1204,Sales!$D$5:$D$1204,A413,Sales!$H$5:$H$1204,"Service"),2))</f>
        <v>0</v>
      </c>
      <c r="AG413" s="26">
        <f>IF(B413="","",ROUND(SUMIFS(Sales!$Y$5:$Y$1204,Sales!$D$5:$D$1204,A413,Sales!$H$5:$H$1204,"Retail"),2))</f>
        <v>0</v>
      </c>
      <c r="AH413" s="26">
        <f>IF(B413="","",ROUND(SUMIFS(Sales!$Y$5:$Y$1204,Sales!$D$5:$D$1204,A413,Sales!$B$5:$B$1204,"&gt;="&amp;TodayDate-365),2))</f>
        <v>0</v>
      </c>
      <c r="AI413" s="26">
        <f>IF(B413="","",IF(T413=0,"",ROUND(AE413/T413,2)))</f>
        <v>0</v>
      </c>
      <c r="AJ413" s="26">
        <f>IF(B413="","",IF(AI413="","",IF(AC413="","",ROUND(AI413*(365/MAX(14,AC413)),2))))</f>
        <v>0</v>
      </c>
      <c r="AK413" s="26">
        <f>IF(B413="","",ROUND(SUMIFS(Sales!$AH$5:$AH$1204,Sales!$D$5:$D$1204,A413),2))</f>
        <v>0</v>
      </c>
      <c r="AL413" s="25">
        <f>IF(B413="","",IFERROR(INDEX(Loyalty!$P$5:$P$504,MATCH(A413,Loyalty!$B$5:$B$504,0))*1,0))</f>
        <v>0</v>
      </c>
      <c r="AM413" s="39">
        <f>IF(B413="","",IF(R413="Archived","Archived",IF(T413=0,"Not been yet",IF(Z413&gt;=InactiveDays,"Inactive",IF(Z413&gt;=LapsingDays,"Lapsing",IF(T413=1,"New",IF(AH413&gt;=VipSpend,"VIP",IF(U413&gt;=4,"Regular","Active"))))))))</f>
        <v>0</v>
      </c>
      <c r="AN413" s="38">
        <f>IF(B413="","",IF(T413&gt;=2,"Yes","No"))</f>
        <v>0</v>
      </c>
      <c r="AO413" s="25">
        <f>IF(B413="","",COUNTIFS($AE$5:$AE$504,"&gt;"&amp;AE413)+COUNTIFS($AE$5:AE413,AE413))</f>
        <v>0</v>
      </c>
      <c r="AP413" s="25">
        <f>IF(B413="","",COUNTIFS($T$5:$T$504,"&gt;"&amp;T413)+COUNTIFS($T$5:T413,T413))</f>
        <v>0</v>
      </c>
      <c r="AQ413" s="39">
        <f>IF(B413="","",IF(COUNTIF($B$5:$B$504,B413)&gt;1,"Duplicate - same name twice",IF(R413="Archived","",IF(AK413&gt;0.004,"Chase - balance outstanding",IF(AM413="Inactive","Gone - win-back offer",IF(AM413="Lapsing","Chase - lapsing, call them",IF(IF(N413="",FALSE,TodayDate-N413&gt;PatchTestDays),"Due - patch test out of date",IF(IF(AD413="",FALSE,IF(AB413&lt;&gt;"",FALSE,AD413&lt;=TodayDate+14)),"Rebook - due and nothing booked",IF(IF(K413="",FALSE,ABS(DATE(YEAR(TodayDate),MONTH(K413),DAY(K413))-TodayDate)&lt;=7),"Birthday - send the treat","OK")))))))))</f>
        <v>0</v>
      </c>
    </row>
    <row r="414" spans="1:43">
      <c r="A414" s="28">
        <f>IF(B414="","",ClientPrefix&amp;TEXT(ROW()-4,"0000"))</f>
        <v>0</v>
      </c>
      <c r="J414" s="15">
        <f>IF(I414="","",IFERROR(INDEX(Staff!$B$5:$B$44,MATCH(I414,Staff!$A$5:$A$44,0)),"Not in Staff"))</f>
        <v>0</v>
      </c>
      <c r="T414" s="25">
        <f>IF(B414="","",COUNTIFS(Appointments!$E$5:$E$1204,A414,Appointments!$M$5:$M$1204,"Completed"))</f>
        <v>0</v>
      </c>
      <c r="U414" s="25">
        <f>IF(B414="","",COUNTIFS(Appointments!$E$5:$E$1204,A414,Appointments!$M$5:$M$1204,"Completed",Appointments!$B$5:$B$1204,"&gt;="&amp;TodayDate-365))</f>
        <v>0</v>
      </c>
      <c r="V414" s="25">
        <f>IF(B414="","",COUNTIFS(Appointments!$E$5:$E$1204,A414,Appointments!$M$5:$M$1204,"Cancelled"))</f>
        <v>0</v>
      </c>
      <c r="W414" s="25">
        <f>IF(B414="","",COUNTIFS(Appointments!$E$5:$E$1204,A414,Appointments!$M$5:$M$1204,"No show"))</f>
        <v>0</v>
      </c>
      <c r="X414" s="17">
        <f>IF(B414="","",IF(F414&lt;&gt;"",F414,IF(T414=0,"",SUMPRODUCT(MIN((Appointments!$E$5:$E$1204=A414)*(Appointments!$M$5:$M$1204="Completed")*Appointments!$B$5:$B$1204+(1-(Appointments!$E$5:$E$1204=A414)*(Appointments!$M$5:$M$1204="Completed"))*2958465)))))</f>
        <v>0</v>
      </c>
      <c r="Y414" s="17">
        <f>IF(B414="","",IF(T414=0,"",SUMPRODUCT(MAX((Appointments!$E$5:$E$1204=A414)*(Appointments!$M$5:$M$1204="Completed")*Appointments!$B$5:$B$1204))))</f>
        <v>0</v>
      </c>
      <c r="Z414" s="25">
        <f>IF(B414="","",IF(Y414="","",TodayDate-Y414))</f>
        <v>0</v>
      </c>
      <c r="AA414" s="42">
        <f>IF(B414="","",SUMPRODUCT(MIN((Appointments!$E$5:$E$1204=A414)*(Appointments!$M$5:$M$1204&lt;&gt;"Cancelled")*(Appointments!$M$5:$M$1204&lt;&gt;"Completed")*(Appointments!$M$5:$M$1204&lt;&gt;"No show")*(Appointments!$B$5:$B$1204&gt;=TodayDate)*Appointments!$B$5:$B$1204+(1-(Appointments!$E$5:$E$1204=A414)*(Appointments!$M$5:$M$1204&lt;&gt;"Cancelled")*(Appointments!$M$5:$M$1204&lt;&gt;"Completed")*(Appointments!$M$5:$M$1204&lt;&gt;"No show")*(Appointments!$B$5:$B$1204&gt;=TodayDate))*2958465)))</f>
        <v>0</v>
      </c>
      <c r="AB414" s="17">
        <f>IF(B414="","",IF(AA414&gt;=2958465,"",AA414))</f>
        <v>0</v>
      </c>
      <c r="AC414" s="25">
        <f>IF(B414="","",IF(T414&lt;2,"",ROUND((Y414-X414)/MAX(1,T414-1),0)))</f>
        <v>0</v>
      </c>
      <c r="AD414" s="17">
        <f>IF(B414="","",IF(Y414="","",Y414+IF(AC414="",RebookWeeks*7,MAX(14,AC414))))</f>
        <v>0</v>
      </c>
      <c r="AE414" s="26">
        <f>IF(B414="","",ROUND(SUMIFS(Sales!$Y$5:$Y$1204,Sales!$D$5:$D$1204,A414),2))</f>
        <v>0</v>
      </c>
      <c r="AF414" s="26">
        <f>IF(B414="","",ROUND(SUMIFS(Sales!$Y$5:$Y$1204,Sales!$D$5:$D$1204,A414,Sales!$H$5:$H$1204,"Service"),2))</f>
        <v>0</v>
      </c>
      <c r="AG414" s="26">
        <f>IF(B414="","",ROUND(SUMIFS(Sales!$Y$5:$Y$1204,Sales!$D$5:$D$1204,A414,Sales!$H$5:$H$1204,"Retail"),2))</f>
        <v>0</v>
      </c>
      <c r="AH414" s="26">
        <f>IF(B414="","",ROUND(SUMIFS(Sales!$Y$5:$Y$1204,Sales!$D$5:$D$1204,A414,Sales!$B$5:$B$1204,"&gt;="&amp;TodayDate-365),2))</f>
        <v>0</v>
      </c>
      <c r="AI414" s="26">
        <f>IF(B414="","",IF(T414=0,"",ROUND(AE414/T414,2)))</f>
        <v>0</v>
      </c>
      <c r="AJ414" s="26">
        <f>IF(B414="","",IF(AI414="","",IF(AC414="","",ROUND(AI414*(365/MAX(14,AC414)),2))))</f>
        <v>0</v>
      </c>
      <c r="AK414" s="26">
        <f>IF(B414="","",ROUND(SUMIFS(Sales!$AH$5:$AH$1204,Sales!$D$5:$D$1204,A414),2))</f>
        <v>0</v>
      </c>
      <c r="AL414" s="25">
        <f>IF(B414="","",IFERROR(INDEX(Loyalty!$P$5:$P$504,MATCH(A414,Loyalty!$B$5:$B$504,0))*1,0))</f>
        <v>0</v>
      </c>
      <c r="AM414" s="39">
        <f>IF(B414="","",IF(R414="Archived","Archived",IF(T414=0,"Not been yet",IF(Z414&gt;=InactiveDays,"Inactive",IF(Z414&gt;=LapsingDays,"Lapsing",IF(T414=1,"New",IF(AH414&gt;=VipSpend,"VIP",IF(U414&gt;=4,"Regular","Active"))))))))</f>
        <v>0</v>
      </c>
      <c r="AN414" s="38">
        <f>IF(B414="","",IF(T414&gt;=2,"Yes","No"))</f>
        <v>0</v>
      </c>
      <c r="AO414" s="25">
        <f>IF(B414="","",COUNTIFS($AE$5:$AE$504,"&gt;"&amp;AE414)+COUNTIFS($AE$5:AE414,AE414))</f>
        <v>0</v>
      </c>
      <c r="AP414" s="25">
        <f>IF(B414="","",COUNTIFS($T$5:$T$504,"&gt;"&amp;T414)+COUNTIFS($T$5:T414,T414))</f>
        <v>0</v>
      </c>
      <c r="AQ414" s="39">
        <f>IF(B414="","",IF(COUNTIF($B$5:$B$504,B414)&gt;1,"Duplicate - same name twice",IF(R414="Archived","",IF(AK414&gt;0.004,"Chase - balance outstanding",IF(AM414="Inactive","Gone - win-back offer",IF(AM414="Lapsing","Chase - lapsing, call them",IF(IF(N414="",FALSE,TodayDate-N414&gt;PatchTestDays),"Due - patch test out of date",IF(IF(AD414="",FALSE,IF(AB414&lt;&gt;"",FALSE,AD414&lt;=TodayDate+14)),"Rebook - due and nothing booked",IF(IF(K414="",FALSE,ABS(DATE(YEAR(TodayDate),MONTH(K414),DAY(K414))-TodayDate)&lt;=7),"Birthday - send the treat","OK")))))))))</f>
        <v>0</v>
      </c>
    </row>
    <row r="415" spans="1:43">
      <c r="A415" s="28">
        <f>IF(B415="","",ClientPrefix&amp;TEXT(ROW()-4,"0000"))</f>
        <v>0</v>
      </c>
      <c r="J415" s="15">
        <f>IF(I415="","",IFERROR(INDEX(Staff!$B$5:$B$44,MATCH(I415,Staff!$A$5:$A$44,0)),"Not in Staff"))</f>
        <v>0</v>
      </c>
      <c r="T415" s="25">
        <f>IF(B415="","",COUNTIFS(Appointments!$E$5:$E$1204,A415,Appointments!$M$5:$M$1204,"Completed"))</f>
        <v>0</v>
      </c>
      <c r="U415" s="25">
        <f>IF(B415="","",COUNTIFS(Appointments!$E$5:$E$1204,A415,Appointments!$M$5:$M$1204,"Completed",Appointments!$B$5:$B$1204,"&gt;="&amp;TodayDate-365))</f>
        <v>0</v>
      </c>
      <c r="V415" s="25">
        <f>IF(B415="","",COUNTIFS(Appointments!$E$5:$E$1204,A415,Appointments!$M$5:$M$1204,"Cancelled"))</f>
        <v>0</v>
      </c>
      <c r="W415" s="25">
        <f>IF(B415="","",COUNTIFS(Appointments!$E$5:$E$1204,A415,Appointments!$M$5:$M$1204,"No show"))</f>
        <v>0</v>
      </c>
      <c r="X415" s="17">
        <f>IF(B415="","",IF(F415&lt;&gt;"",F415,IF(T415=0,"",SUMPRODUCT(MIN((Appointments!$E$5:$E$1204=A415)*(Appointments!$M$5:$M$1204="Completed")*Appointments!$B$5:$B$1204+(1-(Appointments!$E$5:$E$1204=A415)*(Appointments!$M$5:$M$1204="Completed"))*2958465)))))</f>
        <v>0</v>
      </c>
      <c r="Y415" s="17">
        <f>IF(B415="","",IF(T415=0,"",SUMPRODUCT(MAX((Appointments!$E$5:$E$1204=A415)*(Appointments!$M$5:$M$1204="Completed")*Appointments!$B$5:$B$1204))))</f>
        <v>0</v>
      </c>
      <c r="Z415" s="25">
        <f>IF(B415="","",IF(Y415="","",TodayDate-Y415))</f>
        <v>0</v>
      </c>
      <c r="AA415" s="42">
        <f>IF(B415="","",SUMPRODUCT(MIN((Appointments!$E$5:$E$1204=A415)*(Appointments!$M$5:$M$1204&lt;&gt;"Cancelled")*(Appointments!$M$5:$M$1204&lt;&gt;"Completed")*(Appointments!$M$5:$M$1204&lt;&gt;"No show")*(Appointments!$B$5:$B$1204&gt;=TodayDate)*Appointments!$B$5:$B$1204+(1-(Appointments!$E$5:$E$1204=A415)*(Appointments!$M$5:$M$1204&lt;&gt;"Cancelled")*(Appointments!$M$5:$M$1204&lt;&gt;"Completed")*(Appointments!$M$5:$M$1204&lt;&gt;"No show")*(Appointments!$B$5:$B$1204&gt;=TodayDate))*2958465)))</f>
        <v>0</v>
      </c>
      <c r="AB415" s="17">
        <f>IF(B415="","",IF(AA415&gt;=2958465,"",AA415))</f>
        <v>0</v>
      </c>
      <c r="AC415" s="25">
        <f>IF(B415="","",IF(T415&lt;2,"",ROUND((Y415-X415)/MAX(1,T415-1),0)))</f>
        <v>0</v>
      </c>
      <c r="AD415" s="17">
        <f>IF(B415="","",IF(Y415="","",Y415+IF(AC415="",RebookWeeks*7,MAX(14,AC415))))</f>
        <v>0</v>
      </c>
      <c r="AE415" s="26">
        <f>IF(B415="","",ROUND(SUMIFS(Sales!$Y$5:$Y$1204,Sales!$D$5:$D$1204,A415),2))</f>
        <v>0</v>
      </c>
      <c r="AF415" s="26">
        <f>IF(B415="","",ROUND(SUMIFS(Sales!$Y$5:$Y$1204,Sales!$D$5:$D$1204,A415,Sales!$H$5:$H$1204,"Service"),2))</f>
        <v>0</v>
      </c>
      <c r="AG415" s="26">
        <f>IF(B415="","",ROUND(SUMIFS(Sales!$Y$5:$Y$1204,Sales!$D$5:$D$1204,A415,Sales!$H$5:$H$1204,"Retail"),2))</f>
        <v>0</v>
      </c>
      <c r="AH415" s="26">
        <f>IF(B415="","",ROUND(SUMIFS(Sales!$Y$5:$Y$1204,Sales!$D$5:$D$1204,A415,Sales!$B$5:$B$1204,"&gt;="&amp;TodayDate-365),2))</f>
        <v>0</v>
      </c>
      <c r="AI415" s="26">
        <f>IF(B415="","",IF(T415=0,"",ROUND(AE415/T415,2)))</f>
        <v>0</v>
      </c>
      <c r="AJ415" s="26">
        <f>IF(B415="","",IF(AI415="","",IF(AC415="","",ROUND(AI415*(365/MAX(14,AC415)),2))))</f>
        <v>0</v>
      </c>
      <c r="AK415" s="26">
        <f>IF(B415="","",ROUND(SUMIFS(Sales!$AH$5:$AH$1204,Sales!$D$5:$D$1204,A415),2))</f>
        <v>0</v>
      </c>
      <c r="AL415" s="25">
        <f>IF(B415="","",IFERROR(INDEX(Loyalty!$P$5:$P$504,MATCH(A415,Loyalty!$B$5:$B$504,0))*1,0))</f>
        <v>0</v>
      </c>
      <c r="AM415" s="39">
        <f>IF(B415="","",IF(R415="Archived","Archived",IF(T415=0,"Not been yet",IF(Z415&gt;=InactiveDays,"Inactive",IF(Z415&gt;=LapsingDays,"Lapsing",IF(T415=1,"New",IF(AH415&gt;=VipSpend,"VIP",IF(U415&gt;=4,"Regular","Active"))))))))</f>
        <v>0</v>
      </c>
      <c r="AN415" s="38">
        <f>IF(B415="","",IF(T415&gt;=2,"Yes","No"))</f>
        <v>0</v>
      </c>
      <c r="AO415" s="25">
        <f>IF(B415="","",COUNTIFS($AE$5:$AE$504,"&gt;"&amp;AE415)+COUNTIFS($AE$5:AE415,AE415))</f>
        <v>0</v>
      </c>
      <c r="AP415" s="25">
        <f>IF(B415="","",COUNTIFS($T$5:$T$504,"&gt;"&amp;T415)+COUNTIFS($T$5:T415,T415))</f>
        <v>0</v>
      </c>
      <c r="AQ415" s="39">
        <f>IF(B415="","",IF(COUNTIF($B$5:$B$504,B415)&gt;1,"Duplicate - same name twice",IF(R415="Archived","",IF(AK415&gt;0.004,"Chase - balance outstanding",IF(AM415="Inactive","Gone - win-back offer",IF(AM415="Lapsing","Chase - lapsing, call them",IF(IF(N415="",FALSE,TodayDate-N415&gt;PatchTestDays),"Due - patch test out of date",IF(IF(AD415="",FALSE,IF(AB415&lt;&gt;"",FALSE,AD415&lt;=TodayDate+14)),"Rebook - due and nothing booked",IF(IF(K415="",FALSE,ABS(DATE(YEAR(TodayDate),MONTH(K415),DAY(K415))-TodayDate)&lt;=7),"Birthday - send the treat","OK")))))))))</f>
        <v>0</v>
      </c>
    </row>
    <row r="416" spans="1:43">
      <c r="A416" s="28">
        <f>IF(B416="","",ClientPrefix&amp;TEXT(ROW()-4,"0000"))</f>
        <v>0</v>
      </c>
      <c r="J416" s="15">
        <f>IF(I416="","",IFERROR(INDEX(Staff!$B$5:$B$44,MATCH(I416,Staff!$A$5:$A$44,0)),"Not in Staff"))</f>
        <v>0</v>
      </c>
      <c r="T416" s="25">
        <f>IF(B416="","",COUNTIFS(Appointments!$E$5:$E$1204,A416,Appointments!$M$5:$M$1204,"Completed"))</f>
        <v>0</v>
      </c>
      <c r="U416" s="25">
        <f>IF(B416="","",COUNTIFS(Appointments!$E$5:$E$1204,A416,Appointments!$M$5:$M$1204,"Completed",Appointments!$B$5:$B$1204,"&gt;="&amp;TodayDate-365))</f>
        <v>0</v>
      </c>
      <c r="V416" s="25">
        <f>IF(B416="","",COUNTIFS(Appointments!$E$5:$E$1204,A416,Appointments!$M$5:$M$1204,"Cancelled"))</f>
        <v>0</v>
      </c>
      <c r="W416" s="25">
        <f>IF(B416="","",COUNTIFS(Appointments!$E$5:$E$1204,A416,Appointments!$M$5:$M$1204,"No show"))</f>
        <v>0</v>
      </c>
      <c r="X416" s="17">
        <f>IF(B416="","",IF(F416&lt;&gt;"",F416,IF(T416=0,"",SUMPRODUCT(MIN((Appointments!$E$5:$E$1204=A416)*(Appointments!$M$5:$M$1204="Completed")*Appointments!$B$5:$B$1204+(1-(Appointments!$E$5:$E$1204=A416)*(Appointments!$M$5:$M$1204="Completed"))*2958465)))))</f>
        <v>0</v>
      </c>
      <c r="Y416" s="17">
        <f>IF(B416="","",IF(T416=0,"",SUMPRODUCT(MAX((Appointments!$E$5:$E$1204=A416)*(Appointments!$M$5:$M$1204="Completed")*Appointments!$B$5:$B$1204))))</f>
        <v>0</v>
      </c>
      <c r="Z416" s="25">
        <f>IF(B416="","",IF(Y416="","",TodayDate-Y416))</f>
        <v>0</v>
      </c>
      <c r="AA416" s="42">
        <f>IF(B416="","",SUMPRODUCT(MIN((Appointments!$E$5:$E$1204=A416)*(Appointments!$M$5:$M$1204&lt;&gt;"Cancelled")*(Appointments!$M$5:$M$1204&lt;&gt;"Completed")*(Appointments!$M$5:$M$1204&lt;&gt;"No show")*(Appointments!$B$5:$B$1204&gt;=TodayDate)*Appointments!$B$5:$B$1204+(1-(Appointments!$E$5:$E$1204=A416)*(Appointments!$M$5:$M$1204&lt;&gt;"Cancelled")*(Appointments!$M$5:$M$1204&lt;&gt;"Completed")*(Appointments!$M$5:$M$1204&lt;&gt;"No show")*(Appointments!$B$5:$B$1204&gt;=TodayDate))*2958465)))</f>
        <v>0</v>
      </c>
      <c r="AB416" s="17">
        <f>IF(B416="","",IF(AA416&gt;=2958465,"",AA416))</f>
        <v>0</v>
      </c>
      <c r="AC416" s="25">
        <f>IF(B416="","",IF(T416&lt;2,"",ROUND((Y416-X416)/MAX(1,T416-1),0)))</f>
        <v>0</v>
      </c>
      <c r="AD416" s="17">
        <f>IF(B416="","",IF(Y416="","",Y416+IF(AC416="",RebookWeeks*7,MAX(14,AC416))))</f>
        <v>0</v>
      </c>
      <c r="AE416" s="26">
        <f>IF(B416="","",ROUND(SUMIFS(Sales!$Y$5:$Y$1204,Sales!$D$5:$D$1204,A416),2))</f>
        <v>0</v>
      </c>
      <c r="AF416" s="26">
        <f>IF(B416="","",ROUND(SUMIFS(Sales!$Y$5:$Y$1204,Sales!$D$5:$D$1204,A416,Sales!$H$5:$H$1204,"Service"),2))</f>
        <v>0</v>
      </c>
      <c r="AG416" s="26">
        <f>IF(B416="","",ROUND(SUMIFS(Sales!$Y$5:$Y$1204,Sales!$D$5:$D$1204,A416,Sales!$H$5:$H$1204,"Retail"),2))</f>
        <v>0</v>
      </c>
      <c r="AH416" s="26">
        <f>IF(B416="","",ROUND(SUMIFS(Sales!$Y$5:$Y$1204,Sales!$D$5:$D$1204,A416,Sales!$B$5:$B$1204,"&gt;="&amp;TodayDate-365),2))</f>
        <v>0</v>
      </c>
      <c r="AI416" s="26">
        <f>IF(B416="","",IF(T416=0,"",ROUND(AE416/T416,2)))</f>
        <v>0</v>
      </c>
      <c r="AJ416" s="26">
        <f>IF(B416="","",IF(AI416="","",IF(AC416="","",ROUND(AI416*(365/MAX(14,AC416)),2))))</f>
        <v>0</v>
      </c>
      <c r="AK416" s="26">
        <f>IF(B416="","",ROUND(SUMIFS(Sales!$AH$5:$AH$1204,Sales!$D$5:$D$1204,A416),2))</f>
        <v>0</v>
      </c>
      <c r="AL416" s="25">
        <f>IF(B416="","",IFERROR(INDEX(Loyalty!$P$5:$P$504,MATCH(A416,Loyalty!$B$5:$B$504,0))*1,0))</f>
        <v>0</v>
      </c>
      <c r="AM416" s="39">
        <f>IF(B416="","",IF(R416="Archived","Archived",IF(T416=0,"Not been yet",IF(Z416&gt;=InactiveDays,"Inactive",IF(Z416&gt;=LapsingDays,"Lapsing",IF(T416=1,"New",IF(AH416&gt;=VipSpend,"VIP",IF(U416&gt;=4,"Regular","Active"))))))))</f>
        <v>0</v>
      </c>
      <c r="AN416" s="38">
        <f>IF(B416="","",IF(T416&gt;=2,"Yes","No"))</f>
        <v>0</v>
      </c>
      <c r="AO416" s="25">
        <f>IF(B416="","",COUNTIFS($AE$5:$AE$504,"&gt;"&amp;AE416)+COUNTIFS($AE$5:AE416,AE416))</f>
        <v>0</v>
      </c>
      <c r="AP416" s="25">
        <f>IF(B416="","",COUNTIFS($T$5:$T$504,"&gt;"&amp;T416)+COUNTIFS($T$5:T416,T416))</f>
        <v>0</v>
      </c>
      <c r="AQ416" s="39">
        <f>IF(B416="","",IF(COUNTIF($B$5:$B$504,B416)&gt;1,"Duplicate - same name twice",IF(R416="Archived","",IF(AK416&gt;0.004,"Chase - balance outstanding",IF(AM416="Inactive","Gone - win-back offer",IF(AM416="Lapsing","Chase - lapsing, call them",IF(IF(N416="",FALSE,TodayDate-N416&gt;PatchTestDays),"Due - patch test out of date",IF(IF(AD416="",FALSE,IF(AB416&lt;&gt;"",FALSE,AD416&lt;=TodayDate+14)),"Rebook - due and nothing booked",IF(IF(K416="",FALSE,ABS(DATE(YEAR(TodayDate),MONTH(K416),DAY(K416))-TodayDate)&lt;=7),"Birthday - send the treat","OK")))))))))</f>
        <v>0</v>
      </c>
    </row>
    <row r="417" spans="1:43">
      <c r="A417" s="28">
        <f>IF(B417="","",ClientPrefix&amp;TEXT(ROW()-4,"0000"))</f>
        <v>0</v>
      </c>
      <c r="J417" s="15">
        <f>IF(I417="","",IFERROR(INDEX(Staff!$B$5:$B$44,MATCH(I417,Staff!$A$5:$A$44,0)),"Not in Staff"))</f>
        <v>0</v>
      </c>
      <c r="T417" s="25">
        <f>IF(B417="","",COUNTIFS(Appointments!$E$5:$E$1204,A417,Appointments!$M$5:$M$1204,"Completed"))</f>
        <v>0</v>
      </c>
      <c r="U417" s="25">
        <f>IF(B417="","",COUNTIFS(Appointments!$E$5:$E$1204,A417,Appointments!$M$5:$M$1204,"Completed",Appointments!$B$5:$B$1204,"&gt;="&amp;TodayDate-365))</f>
        <v>0</v>
      </c>
      <c r="V417" s="25">
        <f>IF(B417="","",COUNTIFS(Appointments!$E$5:$E$1204,A417,Appointments!$M$5:$M$1204,"Cancelled"))</f>
        <v>0</v>
      </c>
      <c r="W417" s="25">
        <f>IF(B417="","",COUNTIFS(Appointments!$E$5:$E$1204,A417,Appointments!$M$5:$M$1204,"No show"))</f>
        <v>0</v>
      </c>
      <c r="X417" s="17">
        <f>IF(B417="","",IF(F417&lt;&gt;"",F417,IF(T417=0,"",SUMPRODUCT(MIN((Appointments!$E$5:$E$1204=A417)*(Appointments!$M$5:$M$1204="Completed")*Appointments!$B$5:$B$1204+(1-(Appointments!$E$5:$E$1204=A417)*(Appointments!$M$5:$M$1204="Completed"))*2958465)))))</f>
        <v>0</v>
      </c>
      <c r="Y417" s="17">
        <f>IF(B417="","",IF(T417=0,"",SUMPRODUCT(MAX((Appointments!$E$5:$E$1204=A417)*(Appointments!$M$5:$M$1204="Completed")*Appointments!$B$5:$B$1204))))</f>
        <v>0</v>
      </c>
      <c r="Z417" s="25">
        <f>IF(B417="","",IF(Y417="","",TodayDate-Y417))</f>
        <v>0</v>
      </c>
      <c r="AA417" s="42">
        <f>IF(B417="","",SUMPRODUCT(MIN((Appointments!$E$5:$E$1204=A417)*(Appointments!$M$5:$M$1204&lt;&gt;"Cancelled")*(Appointments!$M$5:$M$1204&lt;&gt;"Completed")*(Appointments!$M$5:$M$1204&lt;&gt;"No show")*(Appointments!$B$5:$B$1204&gt;=TodayDate)*Appointments!$B$5:$B$1204+(1-(Appointments!$E$5:$E$1204=A417)*(Appointments!$M$5:$M$1204&lt;&gt;"Cancelled")*(Appointments!$M$5:$M$1204&lt;&gt;"Completed")*(Appointments!$M$5:$M$1204&lt;&gt;"No show")*(Appointments!$B$5:$B$1204&gt;=TodayDate))*2958465)))</f>
        <v>0</v>
      </c>
      <c r="AB417" s="17">
        <f>IF(B417="","",IF(AA417&gt;=2958465,"",AA417))</f>
        <v>0</v>
      </c>
      <c r="AC417" s="25">
        <f>IF(B417="","",IF(T417&lt;2,"",ROUND((Y417-X417)/MAX(1,T417-1),0)))</f>
        <v>0</v>
      </c>
      <c r="AD417" s="17">
        <f>IF(B417="","",IF(Y417="","",Y417+IF(AC417="",RebookWeeks*7,MAX(14,AC417))))</f>
        <v>0</v>
      </c>
      <c r="AE417" s="26">
        <f>IF(B417="","",ROUND(SUMIFS(Sales!$Y$5:$Y$1204,Sales!$D$5:$D$1204,A417),2))</f>
        <v>0</v>
      </c>
      <c r="AF417" s="26">
        <f>IF(B417="","",ROUND(SUMIFS(Sales!$Y$5:$Y$1204,Sales!$D$5:$D$1204,A417,Sales!$H$5:$H$1204,"Service"),2))</f>
        <v>0</v>
      </c>
      <c r="AG417" s="26">
        <f>IF(B417="","",ROUND(SUMIFS(Sales!$Y$5:$Y$1204,Sales!$D$5:$D$1204,A417,Sales!$H$5:$H$1204,"Retail"),2))</f>
        <v>0</v>
      </c>
      <c r="AH417" s="26">
        <f>IF(B417="","",ROUND(SUMIFS(Sales!$Y$5:$Y$1204,Sales!$D$5:$D$1204,A417,Sales!$B$5:$B$1204,"&gt;="&amp;TodayDate-365),2))</f>
        <v>0</v>
      </c>
      <c r="AI417" s="26">
        <f>IF(B417="","",IF(T417=0,"",ROUND(AE417/T417,2)))</f>
        <v>0</v>
      </c>
      <c r="AJ417" s="26">
        <f>IF(B417="","",IF(AI417="","",IF(AC417="","",ROUND(AI417*(365/MAX(14,AC417)),2))))</f>
        <v>0</v>
      </c>
      <c r="AK417" s="26">
        <f>IF(B417="","",ROUND(SUMIFS(Sales!$AH$5:$AH$1204,Sales!$D$5:$D$1204,A417),2))</f>
        <v>0</v>
      </c>
      <c r="AL417" s="25">
        <f>IF(B417="","",IFERROR(INDEX(Loyalty!$P$5:$P$504,MATCH(A417,Loyalty!$B$5:$B$504,0))*1,0))</f>
        <v>0</v>
      </c>
      <c r="AM417" s="39">
        <f>IF(B417="","",IF(R417="Archived","Archived",IF(T417=0,"Not been yet",IF(Z417&gt;=InactiveDays,"Inactive",IF(Z417&gt;=LapsingDays,"Lapsing",IF(T417=1,"New",IF(AH417&gt;=VipSpend,"VIP",IF(U417&gt;=4,"Regular","Active"))))))))</f>
        <v>0</v>
      </c>
      <c r="AN417" s="38">
        <f>IF(B417="","",IF(T417&gt;=2,"Yes","No"))</f>
        <v>0</v>
      </c>
      <c r="AO417" s="25">
        <f>IF(B417="","",COUNTIFS($AE$5:$AE$504,"&gt;"&amp;AE417)+COUNTIFS($AE$5:AE417,AE417))</f>
        <v>0</v>
      </c>
      <c r="AP417" s="25">
        <f>IF(B417="","",COUNTIFS($T$5:$T$504,"&gt;"&amp;T417)+COUNTIFS($T$5:T417,T417))</f>
        <v>0</v>
      </c>
      <c r="AQ417" s="39">
        <f>IF(B417="","",IF(COUNTIF($B$5:$B$504,B417)&gt;1,"Duplicate - same name twice",IF(R417="Archived","",IF(AK417&gt;0.004,"Chase - balance outstanding",IF(AM417="Inactive","Gone - win-back offer",IF(AM417="Lapsing","Chase - lapsing, call them",IF(IF(N417="",FALSE,TodayDate-N417&gt;PatchTestDays),"Due - patch test out of date",IF(IF(AD417="",FALSE,IF(AB417&lt;&gt;"",FALSE,AD417&lt;=TodayDate+14)),"Rebook - due and nothing booked",IF(IF(K417="",FALSE,ABS(DATE(YEAR(TodayDate),MONTH(K417),DAY(K417))-TodayDate)&lt;=7),"Birthday - send the treat","OK")))))))))</f>
        <v>0</v>
      </c>
    </row>
    <row r="418" spans="1:43">
      <c r="A418" s="28">
        <f>IF(B418="","",ClientPrefix&amp;TEXT(ROW()-4,"0000"))</f>
        <v>0</v>
      </c>
      <c r="J418" s="15">
        <f>IF(I418="","",IFERROR(INDEX(Staff!$B$5:$B$44,MATCH(I418,Staff!$A$5:$A$44,0)),"Not in Staff"))</f>
        <v>0</v>
      </c>
      <c r="T418" s="25">
        <f>IF(B418="","",COUNTIFS(Appointments!$E$5:$E$1204,A418,Appointments!$M$5:$M$1204,"Completed"))</f>
        <v>0</v>
      </c>
      <c r="U418" s="25">
        <f>IF(B418="","",COUNTIFS(Appointments!$E$5:$E$1204,A418,Appointments!$M$5:$M$1204,"Completed",Appointments!$B$5:$B$1204,"&gt;="&amp;TodayDate-365))</f>
        <v>0</v>
      </c>
      <c r="V418" s="25">
        <f>IF(B418="","",COUNTIFS(Appointments!$E$5:$E$1204,A418,Appointments!$M$5:$M$1204,"Cancelled"))</f>
        <v>0</v>
      </c>
      <c r="W418" s="25">
        <f>IF(B418="","",COUNTIFS(Appointments!$E$5:$E$1204,A418,Appointments!$M$5:$M$1204,"No show"))</f>
        <v>0</v>
      </c>
      <c r="X418" s="17">
        <f>IF(B418="","",IF(F418&lt;&gt;"",F418,IF(T418=0,"",SUMPRODUCT(MIN((Appointments!$E$5:$E$1204=A418)*(Appointments!$M$5:$M$1204="Completed")*Appointments!$B$5:$B$1204+(1-(Appointments!$E$5:$E$1204=A418)*(Appointments!$M$5:$M$1204="Completed"))*2958465)))))</f>
        <v>0</v>
      </c>
      <c r="Y418" s="17">
        <f>IF(B418="","",IF(T418=0,"",SUMPRODUCT(MAX((Appointments!$E$5:$E$1204=A418)*(Appointments!$M$5:$M$1204="Completed")*Appointments!$B$5:$B$1204))))</f>
        <v>0</v>
      </c>
      <c r="Z418" s="25">
        <f>IF(B418="","",IF(Y418="","",TodayDate-Y418))</f>
        <v>0</v>
      </c>
      <c r="AA418" s="42">
        <f>IF(B418="","",SUMPRODUCT(MIN((Appointments!$E$5:$E$1204=A418)*(Appointments!$M$5:$M$1204&lt;&gt;"Cancelled")*(Appointments!$M$5:$M$1204&lt;&gt;"Completed")*(Appointments!$M$5:$M$1204&lt;&gt;"No show")*(Appointments!$B$5:$B$1204&gt;=TodayDate)*Appointments!$B$5:$B$1204+(1-(Appointments!$E$5:$E$1204=A418)*(Appointments!$M$5:$M$1204&lt;&gt;"Cancelled")*(Appointments!$M$5:$M$1204&lt;&gt;"Completed")*(Appointments!$M$5:$M$1204&lt;&gt;"No show")*(Appointments!$B$5:$B$1204&gt;=TodayDate))*2958465)))</f>
        <v>0</v>
      </c>
      <c r="AB418" s="17">
        <f>IF(B418="","",IF(AA418&gt;=2958465,"",AA418))</f>
        <v>0</v>
      </c>
      <c r="AC418" s="25">
        <f>IF(B418="","",IF(T418&lt;2,"",ROUND((Y418-X418)/MAX(1,T418-1),0)))</f>
        <v>0</v>
      </c>
      <c r="AD418" s="17">
        <f>IF(B418="","",IF(Y418="","",Y418+IF(AC418="",RebookWeeks*7,MAX(14,AC418))))</f>
        <v>0</v>
      </c>
      <c r="AE418" s="26">
        <f>IF(B418="","",ROUND(SUMIFS(Sales!$Y$5:$Y$1204,Sales!$D$5:$D$1204,A418),2))</f>
        <v>0</v>
      </c>
      <c r="AF418" s="26">
        <f>IF(B418="","",ROUND(SUMIFS(Sales!$Y$5:$Y$1204,Sales!$D$5:$D$1204,A418,Sales!$H$5:$H$1204,"Service"),2))</f>
        <v>0</v>
      </c>
      <c r="AG418" s="26">
        <f>IF(B418="","",ROUND(SUMIFS(Sales!$Y$5:$Y$1204,Sales!$D$5:$D$1204,A418,Sales!$H$5:$H$1204,"Retail"),2))</f>
        <v>0</v>
      </c>
      <c r="AH418" s="26">
        <f>IF(B418="","",ROUND(SUMIFS(Sales!$Y$5:$Y$1204,Sales!$D$5:$D$1204,A418,Sales!$B$5:$B$1204,"&gt;="&amp;TodayDate-365),2))</f>
        <v>0</v>
      </c>
      <c r="AI418" s="26">
        <f>IF(B418="","",IF(T418=0,"",ROUND(AE418/T418,2)))</f>
        <v>0</v>
      </c>
      <c r="AJ418" s="26">
        <f>IF(B418="","",IF(AI418="","",IF(AC418="","",ROUND(AI418*(365/MAX(14,AC418)),2))))</f>
        <v>0</v>
      </c>
      <c r="AK418" s="26">
        <f>IF(B418="","",ROUND(SUMIFS(Sales!$AH$5:$AH$1204,Sales!$D$5:$D$1204,A418),2))</f>
        <v>0</v>
      </c>
      <c r="AL418" s="25">
        <f>IF(B418="","",IFERROR(INDEX(Loyalty!$P$5:$P$504,MATCH(A418,Loyalty!$B$5:$B$504,0))*1,0))</f>
        <v>0</v>
      </c>
      <c r="AM418" s="39">
        <f>IF(B418="","",IF(R418="Archived","Archived",IF(T418=0,"Not been yet",IF(Z418&gt;=InactiveDays,"Inactive",IF(Z418&gt;=LapsingDays,"Lapsing",IF(T418=1,"New",IF(AH418&gt;=VipSpend,"VIP",IF(U418&gt;=4,"Regular","Active"))))))))</f>
        <v>0</v>
      </c>
      <c r="AN418" s="38">
        <f>IF(B418="","",IF(T418&gt;=2,"Yes","No"))</f>
        <v>0</v>
      </c>
      <c r="AO418" s="25">
        <f>IF(B418="","",COUNTIFS($AE$5:$AE$504,"&gt;"&amp;AE418)+COUNTIFS($AE$5:AE418,AE418))</f>
        <v>0</v>
      </c>
      <c r="AP418" s="25">
        <f>IF(B418="","",COUNTIFS($T$5:$T$504,"&gt;"&amp;T418)+COUNTIFS($T$5:T418,T418))</f>
        <v>0</v>
      </c>
      <c r="AQ418" s="39">
        <f>IF(B418="","",IF(COUNTIF($B$5:$B$504,B418)&gt;1,"Duplicate - same name twice",IF(R418="Archived","",IF(AK418&gt;0.004,"Chase - balance outstanding",IF(AM418="Inactive","Gone - win-back offer",IF(AM418="Lapsing","Chase - lapsing, call them",IF(IF(N418="",FALSE,TodayDate-N418&gt;PatchTestDays),"Due - patch test out of date",IF(IF(AD418="",FALSE,IF(AB418&lt;&gt;"",FALSE,AD418&lt;=TodayDate+14)),"Rebook - due and nothing booked",IF(IF(K418="",FALSE,ABS(DATE(YEAR(TodayDate),MONTH(K418),DAY(K418))-TodayDate)&lt;=7),"Birthday - send the treat","OK")))))))))</f>
        <v>0</v>
      </c>
    </row>
    <row r="419" spans="1:43">
      <c r="A419" s="28">
        <f>IF(B419="","",ClientPrefix&amp;TEXT(ROW()-4,"0000"))</f>
        <v>0</v>
      </c>
      <c r="J419" s="15">
        <f>IF(I419="","",IFERROR(INDEX(Staff!$B$5:$B$44,MATCH(I419,Staff!$A$5:$A$44,0)),"Not in Staff"))</f>
        <v>0</v>
      </c>
      <c r="T419" s="25">
        <f>IF(B419="","",COUNTIFS(Appointments!$E$5:$E$1204,A419,Appointments!$M$5:$M$1204,"Completed"))</f>
        <v>0</v>
      </c>
      <c r="U419" s="25">
        <f>IF(B419="","",COUNTIFS(Appointments!$E$5:$E$1204,A419,Appointments!$M$5:$M$1204,"Completed",Appointments!$B$5:$B$1204,"&gt;="&amp;TodayDate-365))</f>
        <v>0</v>
      </c>
      <c r="V419" s="25">
        <f>IF(B419="","",COUNTIFS(Appointments!$E$5:$E$1204,A419,Appointments!$M$5:$M$1204,"Cancelled"))</f>
        <v>0</v>
      </c>
      <c r="W419" s="25">
        <f>IF(B419="","",COUNTIFS(Appointments!$E$5:$E$1204,A419,Appointments!$M$5:$M$1204,"No show"))</f>
        <v>0</v>
      </c>
      <c r="X419" s="17">
        <f>IF(B419="","",IF(F419&lt;&gt;"",F419,IF(T419=0,"",SUMPRODUCT(MIN((Appointments!$E$5:$E$1204=A419)*(Appointments!$M$5:$M$1204="Completed")*Appointments!$B$5:$B$1204+(1-(Appointments!$E$5:$E$1204=A419)*(Appointments!$M$5:$M$1204="Completed"))*2958465)))))</f>
        <v>0</v>
      </c>
      <c r="Y419" s="17">
        <f>IF(B419="","",IF(T419=0,"",SUMPRODUCT(MAX((Appointments!$E$5:$E$1204=A419)*(Appointments!$M$5:$M$1204="Completed")*Appointments!$B$5:$B$1204))))</f>
        <v>0</v>
      </c>
      <c r="Z419" s="25">
        <f>IF(B419="","",IF(Y419="","",TodayDate-Y419))</f>
        <v>0</v>
      </c>
      <c r="AA419" s="42">
        <f>IF(B419="","",SUMPRODUCT(MIN((Appointments!$E$5:$E$1204=A419)*(Appointments!$M$5:$M$1204&lt;&gt;"Cancelled")*(Appointments!$M$5:$M$1204&lt;&gt;"Completed")*(Appointments!$M$5:$M$1204&lt;&gt;"No show")*(Appointments!$B$5:$B$1204&gt;=TodayDate)*Appointments!$B$5:$B$1204+(1-(Appointments!$E$5:$E$1204=A419)*(Appointments!$M$5:$M$1204&lt;&gt;"Cancelled")*(Appointments!$M$5:$M$1204&lt;&gt;"Completed")*(Appointments!$M$5:$M$1204&lt;&gt;"No show")*(Appointments!$B$5:$B$1204&gt;=TodayDate))*2958465)))</f>
        <v>0</v>
      </c>
      <c r="AB419" s="17">
        <f>IF(B419="","",IF(AA419&gt;=2958465,"",AA419))</f>
        <v>0</v>
      </c>
      <c r="AC419" s="25">
        <f>IF(B419="","",IF(T419&lt;2,"",ROUND((Y419-X419)/MAX(1,T419-1),0)))</f>
        <v>0</v>
      </c>
      <c r="AD419" s="17">
        <f>IF(B419="","",IF(Y419="","",Y419+IF(AC419="",RebookWeeks*7,MAX(14,AC419))))</f>
        <v>0</v>
      </c>
      <c r="AE419" s="26">
        <f>IF(B419="","",ROUND(SUMIFS(Sales!$Y$5:$Y$1204,Sales!$D$5:$D$1204,A419),2))</f>
        <v>0</v>
      </c>
      <c r="AF419" s="26">
        <f>IF(B419="","",ROUND(SUMIFS(Sales!$Y$5:$Y$1204,Sales!$D$5:$D$1204,A419,Sales!$H$5:$H$1204,"Service"),2))</f>
        <v>0</v>
      </c>
      <c r="AG419" s="26">
        <f>IF(B419="","",ROUND(SUMIFS(Sales!$Y$5:$Y$1204,Sales!$D$5:$D$1204,A419,Sales!$H$5:$H$1204,"Retail"),2))</f>
        <v>0</v>
      </c>
      <c r="AH419" s="26">
        <f>IF(B419="","",ROUND(SUMIFS(Sales!$Y$5:$Y$1204,Sales!$D$5:$D$1204,A419,Sales!$B$5:$B$1204,"&gt;="&amp;TodayDate-365),2))</f>
        <v>0</v>
      </c>
      <c r="AI419" s="26">
        <f>IF(B419="","",IF(T419=0,"",ROUND(AE419/T419,2)))</f>
        <v>0</v>
      </c>
      <c r="AJ419" s="26">
        <f>IF(B419="","",IF(AI419="","",IF(AC419="","",ROUND(AI419*(365/MAX(14,AC419)),2))))</f>
        <v>0</v>
      </c>
      <c r="AK419" s="26">
        <f>IF(B419="","",ROUND(SUMIFS(Sales!$AH$5:$AH$1204,Sales!$D$5:$D$1204,A419),2))</f>
        <v>0</v>
      </c>
      <c r="AL419" s="25">
        <f>IF(B419="","",IFERROR(INDEX(Loyalty!$P$5:$P$504,MATCH(A419,Loyalty!$B$5:$B$504,0))*1,0))</f>
        <v>0</v>
      </c>
      <c r="AM419" s="39">
        <f>IF(B419="","",IF(R419="Archived","Archived",IF(T419=0,"Not been yet",IF(Z419&gt;=InactiveDays,"Inactive",IF(Z419&gt;=LapsingDays,"Lapsing",IF(T419=1,"New",IF(AH419&gt;=VipSpend,"VIP",IF(U419&gt;=4,"Regular","Active"))))))))</f>
        <v>0</v>
      </c>
      <c r="AN419" s="38">
        <f>IF(B419="","",IF(T419&gt;=2,"Yes","No"))</f>
        <v>0</v>
      </c>
      <c r="AO419" s="25">
        <f>IF(B419="","",COUNTIFS($AE$5:$AE$504,"&gt;"&amp;AE419)+COUNTIFS($AE$5:AE419,AE419))</f>
        <v>0</v>
      </c>
      <c r="AP419" s="25">
        <f>IF(B419="","",COUNTIFS($T$5:$T$504,"&gt;"&amp;T419)+COUNTIFS($T$5:T419,T419))</f>
        <v>0</v>
      </c>
      <c r="AQ419" s="39">
        <f>IF(B419="","",IF(COUNTIF($B$5:$B$504,B419)&gt;1,"Duplicate - same name twice",IF(R419="Archived","",IF(AK419&gt;0.004,"Chase - balance outstanding",IF(AM419="Inactive","Gone - win-back offer",IF(AM419="Lapsing","Chase - lapsing, call them",IF(IF(N419="",FALSE,TodayDate-N419&gt;PatchTestDays),"Due - patch test out of date",IF(IF(AD419="",FALSE,IF(AB419&lt;&gt;"",FALSE,AD419&lt;=TodayDate+14)),"Rebook - due and nothing booked",IF(IF(K419="",FALSE,ABS(DATE(YEAR(TodayDate),MONTH(K419),DAY(K419))-TodayDate)&lt;=7),"Birthday - send the treat","OK")))))))))</f>
        <v>0</v>
      </c>
    </row>
    <row r="420" spans="1:43">
      <c r="A420" s="28">
        <f>IF(B420="","",ClientPrefix&amp;TEXT(ROW()-4,"0000"))</f>
        <v>0</v>
      </c>
      <c r="J420" s="15">
        <f>IF(I420="","",IFERROR(INDEX(Staff!$B$5:$B$44,MATCH(I420,Staff!$A$5:$A$44,0)),"Not in Staff"))</f>
        <v>0</v>
      </c>
      <c r="T420" s="25">
        <f>IF(B420="","",COUNTIFS(Appointments!$E$5:$E$1204,A420,Appointments!$M$5:$M$1204,"Completed"))</f>
        <v>0</v>
      </c>
      <c r="U420" s="25">
        <f>IF(B420="","",COUNTIFS(Appointments!$E$5:$E$1204,A420,Appointments!$M$5:$M$1204,"Completed",Appointments!$B$5:$B$1204,"&gt;="&amp;TodayDate-365))</f>
        <v>0</v>
      </c>
      <c r="V420" s="25">
        <f>IF(B420="","",COUNTIFS(Appointments!$E$5:$E$1204,A420,Appointments!$M$5:$M$1204,"Cancelled"))</f>
        <v>0</v>
      </c>
      <c r="W420" s="25">
        <f>IF(B420="","",COUNTIFS(Appointments!$E$5:$E$1204,A420,Appointments!$M$5:$M$1204,"No show"))</f>
        <v>0</v>
      </c>
      <c r="X420" s="17">
        <f>IF(B420="","",IF(F420&lt;&gt;"",F420,IF(T420=0,"",SUMPRODUCT(MIN((Appointments!$E$5:$E$1204=A420)*(Appointments!$M$5:$M$1204="Completed")*Appointments!$B$5:$B$1204+(1-(Appointments!$E$5:$E$1204=A420)*(Appointments!$M$5:$M$1204="Completed"))*2958465)))))</f>
        <v>0</v>
      </c>
      <c r="Y420" s="17">
        <f>IF(B420="","",IF(T420=0,"",SUMPRODUCT(MAX((Appointments!$E$5:$E$1204=A420)*(Appointments!$M$5:$M$1204="Completed")*Appointments!$B$5:$B$1204))))</f>
        <v>0</v>
      </c>
      <c r="Z420" s="25">
        <f>IF(B420="","",IF(Y420="","",TodayDate-Y420))</f>
        <v>0</v>
      </c>
      <c r="AA420" s="42">
        <f>IF(B420="","",SUMPRODUCT(MIN((Appointments!$E$5:$E$1204=A420)*(Appointments!$M$5:$M$1204&lt;&gt;"Cancelled")*(Appointments!$M$5:$M$1204&lt;&gt;"Completed")*(Appointments!$M$5:$M$1204&lt;&gt;"No show")*(Appointments!$B$5:$B$1204&gt;=TodayDate)*Appointments!$B$5:$B$1204+(1-(Appointments!$E$5:$E$1204=A420)*(Appointments!$M$5:$M$1204&lt;&gt;"Cancelled")*(Appointments!$M$5:$M$1204&lt;&gt;"Completed")*(Appointments!$M$5:$M$1204&lt;&gt;"No show")*(Appointments!$B$5:$B$1204&gt;=TodayDate))*2958465)))</f>
        <v>0</v>
      </c>
      <c r="AB420" s="17">
        <f>IF(B420="","",IF(AA420&gt;=2958465,"",AA420))</f>
        <v>0</v>
      </c>
      <c r="AC420" s="25">
        <f>IF(B420="","",IF(T420&lt;2,"",ROUND((Y420-X420)/MAX(1,T420-1),0)))</f>
        <v>0</v>
      </c>
      <c r="AD420" s="17">
        <f>IF(B420="","",IF(Y420="","",Y420+IF(AC420="",RebookWeeks*7,MAX(14,AC420))))</f>
        <v>0</v>
      </c>
      <c r="AE420" s="26">
        <f>IF(B420="","",ROUND(SUMIFS(Sales!$Y$5:$Y$1204,Sales!$D$5:$D$1204,A420),2))</f>
        <v>0</v>
      </c>
      <c r="AF420" s="26">
        <f>IF(B420="","",ROUND(SUMIFS(Sales!$Y$5:$Y$1204,Sales!$D$5:$D$1204,A420,Sales!$H$5:$H$1204,"Service"),2))</f>
        <v>0</v>
      </c>
      <c r="AG420" s="26">
        <f>IF(B420="","",ROUND(SUMIFS(Sales!$Y$5:$Y$1204,Sales!$D$5:$D$1204,A420,Sales!$H$5:$H$1204,"Retail"),2))</f>
        <v>0</v>
      </c>
      <c r="AH420" s="26">
        <f>IF(B420="","",ROUND(SUMIFS(Sales!$Y$5:$Y$1204,Sales!$D$5:$D$1204,A420,Sales!$B$5:$B$1204,"&gt;="&amp;TodayDate-365),2))</f>
        <v>0</v>
      </c>
      <c r="AI420" s="26">
        <f>IF(B420="","",IF(T420=0,"",ROUND(AE420/T420,2)))</f>
        <v>0</v>
      </c>
      <c r="AJ420" s="26">
        <f>IF(B420="","",IF(AI420="","",IF(AC420="","",ROUND(AI420*(365/MAX(14,AC420)),2))))</f>
        <v>0</v>
      </c>
      <c r="AK420" s="26">
        <f>IF(B420="","",ROUND(SUMIFS(Sales!$AH$5:$AH$1204,Sales!$D$5:$D$1204,A420),2))</f>
        <v>0</v>
      </c>
      <c r="AL420" s="25">
        <f>IF(B420="","",IFERROR(INDEX(Loyalty!$P$5:$P$504,MATCH(A420,Loyalty!$B$5:$B$504,0))*1,0))</f>
        <v>0</v>
      </c>
      <c r="AM420" s="39">
        <f>IF(B420="","",IF(R420="Archived","Archived",IF(T420=0,"Not been yet",IF(Z420&gt;=InactiveDays,"Inactive",IF(Z420&gt;=LapsingDays,"Lapsing",IF(T420=1,"New",IF(AH420&gt;=VipSpend,"VIP",IF(U420&gt;=4,"Regular","Active"))))))))</f>
        <v>0</v>
      </c>
      <c r="AN420" s="38">
        <f>IF(B420="","",IF(T420&gt;=2,"Yes","No"))</f>
        <v>0</v>
      </c>
      <c r="AO420" s="25">
        <f>IF(B420="","",COUNTIFS($AE$5:$AE$504,"&gt;"&amp;AE420)+COUNTIFS($AE$5:AE420,AE420))</f>
        <v>0</v>
      </c>
      <c r="AP420" s="25">
        <f>IF(B420="","",COUNTIFS($T$5:$T$504,"&gt;"&amp;T420)+COUNTIFS($T$5:T420,T420))</f>
        <v>0</v>
      </c>
      <c r="AQ420" s="39">
        <f>IF(B420="","",IF(COUNTIF($B$5:$B$504,B420)&gt;1,"Duplicate - same name twice",IF(R420="Archived","",IF(AK420&gt;0.004,"Chase - balance outstanding",IF(AM420="Inactive","Gone - win-back offer",IF(AM420="Lapsing","Chase - lapsing, call them",IF(IF(N420="",FALSE,TodayDate-N420&gt;PatchTestDays),"Due - patch test out of date",IF(IF(AD420="",FALSE,IF(AB420&lt;&gt;"",FALSE,AD420&lt;=TodayDate+14)),"Rebook - due and nothing booked",IF(IF(K420="",FALSE,ABS(DATE(YEAR(TodayDate),MONTH(K420),DAY(K420))-TodayDate)&lt;=7),"Birthday - send the treat","OK")))))))))</f>
        <v>0</v>
      </c>
    </row>
    <row r="421" spans="1:43">
      <c r="A421" s="28">
        <f>IF(B421="","",ClientPrefix&amp;TEXT(ROW()-4,"0000"))</f>
        <v>0</v>
      </c>
      <c r="J421" s="15">
        <f>IF(I421="","",IFERROR(INDEX(Staff!$B$5:$B$44,MATCH(I421,Staff!$A$5:$A$44,0)),"Not in Staff"))</f>
        <v>0</v>
      </c>
      <c r="T421" s="25">
        <f>IF(B421="","",COUNTIFS(Appointments!$E$5:$E$1204,A421,Appointments!$M$5:$M$1204,"Completed"))</f>
        <v>0</v>
      </c>
      <c r="U421" s="25">
        <f>IF(B421="","",COUNTIFS(Appointments!$E$5:$E$1204,A421,Appointments!$M$5:$M$1204,"Completed",Appointments!$B$5:$B$1204,"&gt;="&amp;TodayDate-365))</f>
        <v>0</v>
      </c>
      <c r="V421" s="25">
        <f>IF(B421="","",COUNTIFS(Appointments!$E$5:$E$1204,A421,Appointments!$M$5:$M$1204,"Cancelled"))</f>
        <v>0</v>
      </c>
      <c r="W421" s="25">
        <f>IF(B421="","",COUNTIFS(Appointments!$E$5:$E$1204,A421,Appointments!$M$5:$M$1204,"No show"))</f>
        <v>0</v>
      </c>
      <c r="X421" s="17">
        <f>IF(B421="","",IF(F421&lt;&gt;"",F421,IF(T421=0,"",SUMPRODUCT(MIN((Appointments!$E$5:$E$1204=A421)*(Appointments!$M$5:$M$1204="Completed")*Appointments!$B$5:$B$1204+(1-(Appointments!$E$5:$E$1204=A421)*(Appointments!$M$5:$M$1204="Completed"))*2958465)))))</f>
        <v>0</v>
      </c>
      <c r="Y421" s="17">
        <f>IF(B421="","",IF(T421=0,"",SUMPRODUCT(MAX((Appointments!$E$5:$E$1204=A421)*(Appointments!$M$5:$M$1204="Completed")*Appointments!$B$5:$B$1204))))</f>
        <v>0</v>
      </c>
      <c r="Z421" s="25">
        <f>IF(B421="","",IF(Y421="","",TodayDate-Y421))</f>
        <v>0</v>
      </c>
      <c r="AA421" s="42">
        <f>IF(B421="","",SUMPRODUCT(MIN((Appointments!$E$5:$E$1204=A421)*(Appointments!$M$5:$M$1204&lt;&gt;"Cancelled")*(Appointments!$M$5:$M$1204&lt;&gt;"Completed")*(Appointments!$M$5:$M$1204&lt;&gt;"No show")*(Appointments!$B$5:$B$1204&gt;=TodayDate)*Appointments!$B$5:$B$1204+(1-(Appointments!$E$5:$E$1204=A421)*(Appointments!$M$5:$M$1204&lt;&gt;"Cancelled")*(Appointments!$M$5:$M$1204&lt;&gt;"Completed")*(Appointments!$M$5:$M$1204&lt;&gt;"No show")*(Appointments!$B$5:$B$1204&gt;=TodayDate))*2958465)))</f>
        <v>0</v>
      </c>
      <c r="AB421" s="17">
        <f>IF(B421="","",IF(AA421&gt;=2958465,"",AA421))</f>
        <v>0</v>
      </c>
      <c r="AC421" s="25">
        <f>IF(B421="","",IF(T421&lt;2,"",ROUND((Y421-X421)/MAX(1,T421-1),0)))</f>
        <v>0</v>
      </c>
      <c r="AD421" s="17">
        <f>IF(B421="","",IF(Y421="","",Y421+IF(AC421="",RebookWeeks*7,MAX(14,AC421))))</f>
        <v>0</v>
      </c>
      <c r="AE421" s="26">
        <f>IF(B421="","",ROUND(SUMIFS(Sales!$Y$5:$Y$1204,Sales!$D$5:$D$1204,A421),2))</f>
        <v>0</v>
      </c>
      <c r="AF421" s="26">
        <f>IF(B421="","",ROUND(SUMIFS(Sales!$Y$5:$Y$1204,Sales!$D$5:$D$1204,A421,Sales!$H$5:$H$1204,"Service"),2))</f>
        <v>0</v>
      </c>
      <c r="AG421" s="26">
        <f>IF(B421="","",ROUND(SUMIFS(Sales!$Y$5:$Y$1204,Sales!$D$5:$D$1204,A421,Sales!$H$5:$H$1204,"Retail"),2))</f>
        <v>0</v>
      </c>
      <c r="AH421" s="26">
        <f>IF(B421="","",ROUND(SUMIFS(Sales!$Y$5:$Y$1204,Sales!$D$5:$D$1204,A421,Sales!$B$5:$B$1204,"&gt;="&amp;TodayDate-365),2))</f>
        <v>0</v>
      </c>
      <c r="AI421" s="26">
        <f>IF(B421="","",IF(T421=0,"",ROUND(AE421/T421,2)))</f>
        <v>0</v>
      </c>
      <c r="AJ421" s="26">
        <f>IF(B421="","",IF(AI421="","",IF(AC421="","",ROUND(AI421*(365/MAX(14,AC421)),2))))</f>
        <v>0</v>
      </c>
      <c r="AK421" s="26">
        <f>IF(B421="","",ROUND(SUMIFS(Sales!$AH$5:$AH$1204,Sales!$D$5:$D$1204,A421),2))</f>
        <v>0</v>
      </c>
      <c r="AL421" s="25">
        <f>IF(B421="","",IFERROR(INDEX(Loyalty!$P$5:$P$504,MATCH(A421,Loyalty!$B$5:$B$504,0))*1,0))</f>
        <v>0</v>
      </c>
      <c r="AM421" s="39">
        <f>IF(B421="","",IF(R421="Archived","Archived",IF(T421=0,"Not been yet",IF(Z421&gt;=InactiveDays,"Inactive",IF(Z421&gt;=LapsingDays,"Lapsing",IF(T421=1,"New",IF(AH421&gt;=VipSpend,"VIP",IF(U421&gt;=4,"Regular","Active"))))))))</f>
        <v>0</v>
      </c>
      <c r="AN421" s="38">
        <f>IF(B421="","",IF(T421&gt;=2,"Yes","No"))</f>
        <v>0</v>
      </c>
      <c r="AO421" s="25">
        <f>IF(B421="","",COUNTIFS($AE$5:$AE$504,"&gt;"&amp;AE421)+COUNTIFS($AE$5:AE421,AE421))</f>
        <v>0</v>
      </c>
      <c r="AP421" s="25">
        <f>IF(B421="","",COUNTIFS($T$5:$T$504,"&gt;"&amp;T421)+COUNTIFS($T$5:T421,T421))</f>
        <v>0</v>
      </c>
      <c r="AQ421" s="39">
        <f>IF(B421="","",IF(COUNTIF($B$5:$B$504,B421)&gt;1,"Duplicate - same name twice",IF(R421="Archived","",IF(AK421&gt;0.004,"Chase - balance outstanding",IF(AM421="Inactive","Gone - win-back offer",IF(AM421="Lapsing","Chase - lapsing, call them",IF(IF(N421="",FALSE,TodayDate-N421&gt;PatchTestDays),"Due - patch test out of date",IF(IF(AD421="",FALSE,IF(AB421&lt;&gt;"",FALSE,AD421&lt;=TodayDate+14)),"Rebook - due and nothing booked",IF(IF(K421="",FALSE,ABS(DATE(YEAR(TodayDate),MONTH(K421),DAY(K421))-TodayDate)&lt;=7),"Birthday - send the treat","OK")))))))))</f>
        <v>0</v>
      </c>
    </row>
    <row r="422" spans="1:43">
      <c r="A422" s="28">
        <f>IF(B422="","",ClientPrefix&amp;TEXT(ROW()-4,"0000"))</f>
        <v>0</v>
      </c>
      <c r="J422" s="15">
        <f>IF(I422="","",IFERROR(INDEX(Staff!$B$5:$B$44,MATCH(I422,Staff!$A$5:$A$44,0)),"Not in Staff"))</f>
        <v>0</v>
      </c>
      <c r="T422" s="25">
        <f>IF(B422="","",COUNTIFS(Appointments!$E$5:$E$1204,A422,Appointments!$M$5:$M$1204,"Completed"))</f>
        <v>0</v>
      </c>
      <c r="U422" s="25">
        <f>IF(B422="","",COUNTIFS(Appointments!$E$5:$E$1204,A422,Appointments!$M$5:$M$1204,"Completed",Appointments!$B$5:$B$1204,"&gt;="&amp;TodayDate-365))</f>
        <v>0</v>
      </c>
      <c r="V422" s="25">
        <f>IF(B422="","",COUNTIFS(Appointments!$E$5:$E$1204,A422,Appointments!$M$5:$M$1204,"Cancelled"))</f>
        <v>0</v>
      </c>
      <c r="W422" s="25">
        <f>IF(B422="","",COUNTIFS(Appointments!$E$5:$E$1204,A422,Appointments!$M$5:$M$1204,"No show"))</f>
        <v>0</v>
      </c>
      <c r="X422" s="17">
        <f>IF(B422="","",IF(F422&lt;&gt;"",F422,IF(T422=0,"",SUMPRODUCT(MIN((Appointments!$E$5:$E$1204=A422)*(Appointments!$M$5:$M$1204="Completed")*Appointments!$B$5:$B$1204+(1-(Appointments!$E$5:$E$1204=A422)*(Appointments!$M$5:$M$1204="Completed"))*2958465)))))</f>
        <v>0</v>
      </c>
      <c r="Y422" s="17">
        <f>IF(B422="","",IF(T422=0,"",SUMPRODUCT(MAX((Appointments!$E$5:$E$1204=A422)*(Appointments!$M$5:$M$1204="Completed")*Appointments!$B$5:$B$1204))))</f>
        <v>0</v>
      </c>
      <c r="Z422" s="25">
        <f>IF(B422="","",IF(Y422="","",TodayDate-Y422))</f>
        <v>0</v>
      </c>
      <c r="AA422" s="42">
        <f>IF(B422="","",SUMPRODUCT(MIN((Appointments!$E$5:$E$1204=A422)*(Appointments!$M$5:$M$1204&lt;&gt;"Cancelled")*(Appointments!$M$5:$M$1204&lt;&gt;"Completed")*(Appointments!$M$5:$M$1204&lt;&gt;"No show")*(Appointments!$B$5:$B$1204&gt;=TodayDate)*Appointments!$B$5:$B$1204+(1-(Appointments!$E$5:$E$1204=A422)*(Appointments!$M$5:$M$1204&lt;&gt;"Cancelled")*(Appointments!$M$5:$M$1204&lt;&gt;"Completed")*(Appointments!$M$5:$M$1204&lt;&gt;"No show")*(Appointments!$B$5:$B$1204&gt;=TodayDate))*2958465)))</f>
        <v>0</v>
      </c>
      <c r="AB422" s="17">
        <f>IF(B422="","",IF(AA422&gt;=2958465,"",AA422))</f>
        <v>0</v>
      </c>
      <c r="AC422" s="25">
        <f>IF(B422="","",IF(T422&lt;2,"",ROUND((Y422-X422)/MAX(1,T422-1),0)))</f>
        <v>0</v>
      </c>
      <c r="AD422" s="17">
        <f>IF(B422="","",IF(Y422="","",Y422+IF(AC422="",RebookWeeks*7,MAX(14,AC422))))</f>
        <v>0</v>
      </c>
      <c r="AE422" s="26">
        <f>IF(B422="","",ROUND(SUMIFS(Sales!$Y$5:$Y$1204,Sales!$D$5:$D$1204,A422),2))</f>
        <v>0</v>
      </c>
      <c r="AF422" s="26">
        <f>IF(B422="","",ROUND(SUMIFS(Sales!$Y$5:$Y$1204,Sales!$D$5:$D$1204,A422,Sales!$H$5:$H$1204,"Service"),2))</f>
        <v>0</v>
      </c>
      <c r="AG422" s="26">
        <f>IF(B422="","",ROUND(SUMIFS(Sales!$Y$5:$Y$1204,Sales!$D$5:$D$1204,A422,Sales!$H$5:$H$1204,"Retail"),2))</f>
        <v>0</v>
      </c>
      <c r="AH422" s="26">
        <f>IF(B422="","",ROUND(SUMIFS(Sales!$Y$5:$Y$1204,Sales!$D$5:$D$1204,A422,Sales!$B$5:$B$1204,"&gt;="&amp;TodayDate-365),2))</f>
        <v>0</v>
      </c>
      <c r="AI422" s="26">
        <f>IF(B422="","",IF(T422=0,"",ROUND(AE422/T422,2)))</f>
        <v>0</v>
      </c>
      <c r="AJ422" s="26">
        <f>IF(B422="","",IF(AI422="","",IF(AC422="","",ROUND(AI422*(365/MAX(14,AC422)),2))))</f>
        <v>0</v>
      </c>
      <c r="AK422" s="26">
        <f>IF(B422="","",ROUND(SUMIFS(Sales!$AH$5:$AH$1204,Sales!$D$5:$D$1204,A422),2))</f>
        <v>0</v>
      </c>
      <c r="AL422" s="25">
        <f>IF(B422="","",IFERROR(INDEX(Loyalty!$P$5:$P$504,MATCH(A422,Loyalty!$B$5:$B$504,0))*1,0))</f>
        <v>0</v>
      </c>
      <c r="AM422" s="39">
        <f>IF(B422="","",IF(R422="Archived","Archived",IF(T422=0,"Not been yet",IF(Z422&gt;=InactiveDays,"Inactive",IF(Z422&gt;=LapsingDays,"Lapsing",IF(T422=1,"New",IF(AH422&gt;=VipSpend,"VIP",IF(U422&gt;=4,"Regular","Active"))))))))</f>
        <v>0</v>
      </c>
      <c r="AN422" s="38">
        <f>IF(B422="","",IF(T422&gt;=2,"Yes","No"))</f>
        <v>0</v>
      </c>
      <c r="AO422" s="25">
        <f>IF(B422="","",COUNTIFS($AE$5:$AE$504,"&gt;"&amp;AE422)+COUNTIFS($AE$5:AE422,AE422))</f>
        <v>0</v>
      </c>
      <c r="AP422" s="25">
        <f>IF(B422="","",COUNTIFS($T$5:$T$504,"&gt;"&amp;T422)+COUNTIFS($T$5:T422,T422))</f>
        <v>0</v>
      </c>
      <c r="AQ422" s="39">
        <f>IF(B422="","",IF(COUNTIF($B$5:$B$504,B422)&gt;1,"Duplicate - same name twice",IF(R422="Archived","",IF(AK422&gt;0.004,"Chase - balance outstanding",IF(AM422="Inactive","Gone - win-back offer",IF(AM422="Lapsing","Chase - lapsing, call them",IF(IF(N422="",FALSE,TodayDate-N422&gt;PatchTestDays),"Due - patch test out of date",IF(IF(AD422="",FALSE,IF(AB422&lt;&gt;"",FALSE,AD422&lt;=TodayDate+14)),"Rebook - due and nothing booked",IF(IF(K422="",FALSE,ABS(DATE(YEAR(TodayDate),MONTH(K422),DAY(K422))-TodayDate)&lt;=7),"Birthday - send the treat","OK")))))))))</f>
        <v>0</v>
      </c>
    </row>
    <row r="423" spans="1:43">
      <c r="A423" s="28">
        <f>IF(B423="","",ClientPrefix&amp;TEXT(ROW()-4,"0000"))</f>
        <v>0</v>
      </c>
      <c r="J423" s="15">
        <f>IF(I423="","",IFERROR(INDEX(Staff!$B$5:$B$44,MATCH(I423,Staff!$A$5:$A$44,0)),"Not in Staff"))</f>
        <v>0</v>
      </c>
      <c r="T423" s="25">
        <f>IF(B423="","",COUNTIFS(Appointments!$E$5:$E$1204,A423,Appointments!$M$5:$M$1204,"Completed"))</f>
        <v>0</v>
      </c>
      <c r="U423" s="25">
        <f>IF(B423="","",COUNTIFS(Appointments!$E$5:$E$1204,A423,Appointments!$M$5:$M$1204,"Completed",Appointments!$B$5:$B$1204,"&gt;="&amp;TodayDate-365))</f>
        <v>0</v>
      </c>
      <c r="V423" s="25">
        <f>IF(B423="","",COUNTIFS(Appointments!$E$5:$E$1204,A423,Appointments!$M$5:$M$1204,"Cancelled"))</f>
        <v>0</v>
      </c>
      <c r="W423" s="25">
        <f>IF(B423="","",COUNTIFS(Appointments!$E$5:$E$1204,A423,Appointments!$M$5:$M$1204,"No show"))</f>
        <v>0</v>
      </c>
      <c r="X423" s="17">
        <f>IF(B423="","",IF(F423&lt;&gt;"",F423,IF(T423=0,"",SUMPRODUCT(MIN((Appointments!$E$5:$E$1204=A423)*(Appointments!$M$5:$M$1204="Completed")*Appointments!$B$5:$B$1204+(1-(Appointments!$E$5:$E$1204=A423)*(Appointments!$M$5:$M$1204="Completed"))*2958465)))))</f>
        <v>0</v>
      </c>
      <c r="Y423" s="17">
        <f>IF(B423="","",IF(T423=0,"",SUMPRODUCT(MAX((Appointments!$E$5:$E$1204=A423)*(Appointments!$M$5:$M$1204="Completed")*Appointments!$B$5:$B$1204))))</f>
        <v>0</v>
      </c>
      <c r="Z423" s="25">
        <f>IF(B423="","",IF(Y423="","",TodayDate-Y423))</f>
        <v>0</v>
      </c>
      <c r="AA423" s="42">
        <f>IF(B423="","",SUMPRODUCT(MIN((Appointments!$E$5:$E$1204=A423)*(Appointments!$M$5:$M$1204&lt;&gt;"Cancelled")*(Appointments!$M$5:$M$1204&lt;&gt;"Completed")*(Appointments!$M$5:$M$1204&lt;&gt;"No show")*(Appointments!$B$5:$B$1204&gt;=TodayDate)*Appointments!$B$5:$B$1204+(1-(Appointments!$E$5:$E$1204=A423)*(Appointments!$M$5:$M$1204&lt;&gt;"Cancelled")*(Appointments!$M$5:$M$1204&lt;&gt;"Completed")*(Appointments!$M$5:$M$1204&lt;&gt;"No show")*(Appointments!$B$5:$B$1204&gt;=TodayDate))*2958465)))</f>
        <v>0</v>
      </c>
      <c r="AB423" s="17">
        <f>IF(B423="","",IF(AA423&gt;=2958465,"",AA423))</f>
        <v>0</v>
      </c>
      <c r="AC423" s="25">
        <f>IF(B423="","",IF(T423&lt;2,"",ROUND((Y423-X423)/MAX(1,T423-1),0)))</f>
        <v>0</v>
      </c>
      <c r="AD423" s="17">
        <f>IF(B423="","",IF(Y423="","",Y423+IF(AC423="",RebookWeeks*7,MAX(14,AC423))))</f>
        <v>0</v>
      </c>
      <c r="AE423" s="26">
        <f>IF(B423="","",ROUND(SUMIFS(Sales!$Y$5:$Y$1204,Sales!$D$5:$D$1204,A423),2))</f>
        <v>0</v>
      </c>
      <c r="AF423" s="26">
        <f>IF(B423="","",ROUND(SUMIFS(Sales!$Y$5:$Y$1204,Sales!$D$5:$D$1204,A423,Sales!$H$5:$H$1204,"Service"),2))</f>
        <v>0</v>
      </c>
      <c r="AG423" s="26">
        <f>IF(B423="","",ROUND(SUMIFS(Sales!$Y$5:$Y$1204,Sales!$D$5:$D$1204,A423,Sales!$H$5:$H$1204,"Retail"),2))</f>
        <v>0</v>
      </c>
      <c r="AH423" s="26">
        <f>IF(B423="","",ROUND(SUMIFS(Sales!$Y$5:$Y$1204,Sales!$D$5:$D$1204,A423,Sales!$B$5:$B$1204,"&gt;="&amp;TodayDate-365),2))</f>
        <v>0</v>
      </c>
      <c r="AI423" s="26">
        <f>IF(B423="","",IF(T423=0,"",ROUND(AE423/T423,2)))</f>
        <v>0</v>
      </c>
      <c r="AJ423" s="26">
        <f>IF(B423="","",IF(AI423="","",IF(AC423="","",ROUND(AI423*(365/MAX(14,AC423)),2))))</f>
        <v>0</v>
      </c>
      <c r="AK423" s="26">
        <f>IF(B423="","",ROUND(SUMIFS(Sales!$AH$5:$AH$1204,Sales!$D$5:$D$1204,A423),2))</f>
        <v>0</v>
      </c>
      <c r="AL423" s="25">
        <f>IF(B423="","",IFERROR(INDEX(Loyalty!$P$5:$P$504,MATCH(A423,Loyalty!$B$5:$B$504,0))*1,0))</f>
        <v>0</v>
      </c>
      <c r="AM423" s="39">
        <f>IF(B423="","",IF(R423="Archived","Archived",IF(T423=0,"Not been yet",IF(Z423&gt;=InactiveDays,"Inactive",IF(Z423&gt;=LapsingDays,"Lapsing",IF(T423=1,"New",IF(AH423&gt;=VipSpend,"VIP",IF(U423&gt;=4,"Regular","Active"))))))))</f>
        <v>0</v>
      </c>
      <c r="AN423" s="38">
        <f>IF(B423="","",IF(T423&gt;=2,"Yes","No"))</f>
        <v>0</v>
      </c>
      <c r="AO423" s="25">
        <f>IF(B423="","",COUNTIFS($AE$5:$AE$504,"&gt;"&amp;AE423)+COUNTIFS($AE$5:AE423,AE423))</f>
        <v>0</v>
      </c>
      <c r="AP423" s="25">
        <f>IF(B423="","",COUNTIFS($T$5:$T$504,"&gt;"&amp;T423)+COUNTIFS($T$5:T423,T423))</f>
        <v>0</v>
      </c>
      <c r="AQ423" s="39">
        <f>IF(B423="","",IF(COUNTIF($B$5:$B$504,B423)&gt;1,"Duplicate - same name twice",IF(R423="Archived","",IF(AK423&gt;0.004,"Chase - balance outstanding",IF(AM423="Inactive","Gone - win-back offer",IF(AM423="Lapsing","Chase - lapsing, call them",IF(IF(N423="",FALSE,TodayDate-N423&gt;PatchTestDays),"Due - patch test out of date",IF(IF(AD423="",FALSE,IF(AB423&lt;&gt;"",FALSE,AD423&lt;=TodayDate+14)),"Rebook - due and nothing booked",IF(IF(K423="",FALSE,ABS(DATE(YEAR(TodayDate),MONTH(K423),DAY(K423))-TodayDate)&lt;=7),"Birthday - send the treat","OK")))))))))</f>
        <v>0</v>
      </c>
    </row>
    <row r="424" spans="1:43">
      <c r="A424" s="28">
        <f>IF(B424="","",ClientPrefix&amp;TEXT(ROW()-4,"0000"))</f>
        <v>0</v>
      </c>
      <c r="J424" s="15">
        <f>IF(I424="","",IFERROR(INDEX(Staff!$B$5:$B$44,MATCH(I424,Staff!$A$5:$A$44,0)),"Not in Staff"))</f>
        <v>0</v>
      </c>
      <c r="T424" s="25">
        <f>IF(B424="","",COUNTIFS(Appointments!$E$5:$E$1204,A424,Appointments!$M$5:$M$1204,"Completed"))</f>
        <v>0</v>
      </c>
      <c r="U424" s="25">
        <f>IF(B424="","",COUNTIFS(Appointments!$E$5:$E$1204,A424,Appointments!$M$5:$M$1204,"Completed",Appointments!$B$5:$B$1204,"&gt;="&amp;TodayDate-365))</f>
        <v>0</v>
      </c>
      <c r="V424" s="25">
        <f>IF(B424="","",COUNTIFS(Appointments!$E$5:$E$1204,A424,Appointments!$M$5:$M$1204,"Cancelled"))</f>
        <v>0</v>
      </c>
      <c r="W424" s="25">
        <f>IF(B424="","",COUNTIFS(Appointments!$E$5:$E$1204,A424,Appointments!$M$5:$M$1204,"No show"))</f>
        <v>0</v>
      </c>
      <c r="X424" s="17">
        <f>IF(B424="","",IF(F424&lt;&gt;"",F424,IF(T424=0,"",SUMPRODUCT(MIN((Appointments!$E$5:$E$1204=A424)*(Appointments!$M$5:$M$1204="Completed")*Appointments!$B$5:$B$1204+(1-(Appointments!$E$5:$E$1204=A424)*(Appointments!$M$5:$M$1204="Completed"))*2958465)))))</f>
        <v>0</v>
      </c>
      <c r="Y424" s="17">
        <f>IF(B424="","",IF(T424=0,"",SUMPRODUCT(MAX((Appointments!$E$5:$E$1204=A424)*(Appointments!$M$5:$M$1204="Completed")*Appointments!$B$5:$B$1204))))</f>
        <v>0</v>
      </c>
      <c r="Z424" s="25">
        <f>IF(B424="","",IF(Y424="","",TodayDate-Y424))</f>
        <v>0</v>
      </c>
      <c r="AA424" s="42">
        <f>IF(B424="","",SUMPRODUCT(MIN((Appointments!$E$5:$E$1204=A424)*(Appointments!$M$5:$M$1204&lt;&gt;"Cancelled")*(Appointments!$M$5:$M$1204&lt;&gt;"Completed")*(Appointments!$M$5:$M$1204&lt;&gt;"No show")*(Appointments!$B$5:$B$1204&gt;=TodayDate)*Appointments!$B$5:$B$1204+(1-(Appointments!$E$5:$E$1204=A424)*(Appointments!$M$5:$M$1204&lt;&gt;"Cancelled")*(Appointments!$M$5:$M$1204&lt;&gt;"Completed")*(Appointments!$M$5:$M$1204&lt;&gt;"No show")*(Appointments!$B$5:$B$1204&gt;=TodayDate))*2958465)))</f>
        <v>0</v>
      </c>
      <c r="AB424" s="17">
        <f>IF(B424="","",IF(AA424&gt;=2958465,"",AA424))</f>
        <v>0</v>
      </c>
      <c r="AC424" s="25">
        <f>IF(B424="","",IF(T424&lt;2,"",ROUND((Y424-X424)/MAX(1,T424-1),0)))</f>
        <v>0</v>
      </c>
      <c r="AD424" s="17">
        <f>IF(B424="","",IF(Y424="","",Y424+IF(AC424="",RebookWeeks*7,MAX(14,AC424))))</f>
        <v>0</v>
      </c>
      <c r="AE424" s="26">
        <f>IF(B424="","",ROUND(SUMIFS(Sales!$Y$5:$Y$1204,Sales!$D$5:$D$1204,A424),2))</f>
        <v>0</v>
      </c>
      <c r="AF424" s="26">
        <f>IF(B424="","",ROUND(SUMIFS(Sales!$Y$5:$Y$1204,Sales!$D$5:$D$1204,A424,Sales!$H$5:$H$1204,"Service"),2))</f>
        <v>0</v>
      </c>
      <c r="AG424" s="26">
        <f>IF(B424="","",ROUND(SUMIFS(Sales!$Y$5:$Y$1204,Sales!$D$5:$D$1204,A424,Sales!$H$5:$H$1204,"Retail"),2))</f>
        <v>0</v>
      </c>
      <c r="AH424" s="26">
        <f>IF(B424="","",ROUND(SUMIFS(Sales!$Y$5:$Y$1204,Sales!$D$5:$D$1204,A424,Sales!$B$5:$B$1204,"&gt;="&amp;TodayDate-365),2))</f>
        <v>0</v>
      </c>
      <c r="AI424" s="26">
        <f>IF(B424="","",IF(T424=0,"",ROUND(AE424/T424,2)))</f>
        <v>0</v>
      </c>
      <c r="AJ424" s="26">
        <f>IF(B424="","",IF(AI424="","",IF(AC424="","",ROUND(AI424*(365/MAX(14,AC424)),2))))</f>
        <v>0</v>
      </c>
      <c r="AK424" s="26">
        <f>IF(B424="","",ROUND(SUMIFS(Sales!$AH$5:$AH$1204,Sales!$D$5:$D$1204,A424),2))</f>
        <v>0</v>
      </c>
      <c r="AL424" s="25">
        <f>IF(B424="","",IFERROR(INDEX(Loyalty!$P$5:$P$504,MATCH(A424,Loyalty!$B$5:$B$504,0))*1,0))</f>
        <v>0</v>
      </c>
      <c r="AM424" s="39">
        <f>IF(B424="","",IF(R424="Archived","Archived",IF(T424=0,"Not been yet",IF(Z424&gt;=InactiveDays,"Inactive",IF(Z424&gt;=LapsingDays,"Lapsing",IF(T424=1,"New",IF(AH424&gt;=VipSpend,"VIP",IF(U424&gt;=4,"Regular","Active"))))))))</f>
        <v>0</v>
      </c>
      <c r="AN424" s="38">
        <f>IF(B424="","",IF(T424&gt;=2,"Yes","No"))</f>
        <v>0</v>
      </c>
      <c r="AO424" s="25">
        <f>IF(B424="","",COUNTIFS($AE$5:$AE$504,"&gt;"&amp;AE424)+COUNTIFS($AE$5:AE424,AE424))</f>
        <v>0</v>
      </c>
      <c r="AP424" s="25">
        <f>IF(B424="","",COUNTIFS($T$5:$T$504,"&gt;"&amp;T424)+COUNTIFS($T$5:T424,T424))</f>
        <v>0</v>
      </c>
      <c r="AQ424" s="39">
        <f>IF(B424="","",IF(COUNTIF($B$5:$B$504,B424)&gt;1,"Duplicate - same name twice",IF(R424="Archived","",IF(AK424&gt;0.004,"Chase - balance outstanding",IF(AM424="Inactive","Gone - win-back offer",IF(AM424="Lapsing","Chase - lapsing, call them",IF(IF(N424="",FALSE,TodayDate-N424&gt;PatchTestDays),"Due - patch test out of date",IF(IF(AD424="",FALSE,IF(AB424&lt;&gt;"",FALSE,AD424&lt;=TodayDate+14)),"Rebook - due and nothing booked",IF(IF(K424="",FALSE,ABS(DATE(YEAR(TodayDate),MONTH(K424),DAY(K424))-TodayDate)&lt;=7),"Birthday - send the treat","OK")))))))))</f>
        <v>0</v>
      </c>
    </row>
    <row r="425" spans="1:43">
      <c r="A425" s="28">
        <f>IF(B425="","",ClientPrefix&amp;TEXT(ROW()-4,"0000"))</f>
        <v>0</v>
      </c>
      <c r="J425" s="15">
        <f>IF(I425="","",IFERROR(INDEX(Staff!$B$5:$B$44,MATCH(I425,Staff!$A$5:$A$44,0)),"Not in Staff"))</f>
        <v>0</v>
      </c>
      <c r="T425" s="25">
        <f>IF(B425="","",COUNTIFS(Appointments!$E$5:$E$1204,A425,Appointments!$M$5:$M$1204,"Completed"))</f>
        <v>0</v>
      </c>
      <c r="U425" s="25">
        <f>IF(B425="","",COUNTIFS(Appointments!$E$5:$E$1204,A425,Appointments!$M$5:$M$1204,"Completed",Appointments!$B$5:$B$1204,"&gt;="&amp;TodayDate-365))</f>
        <v>0</v>
      </c>
      <c r="V425" s="25">
        <f>IF(B425="","",COUNTIFS(Appointments!$E$5:$E$1204,A425,Appointments!$M$5:$M$1204,"Cancelled"))</f>
        <v>0</v>
      </c>
      <c r="W425" s="25">
        <f>IF(B425="","",COUNTIFS(Appointments!$E$5:$E$1204,A425,Appointments!$M$5:$M$1204,"No show"))</f>
        <v>0</v>
      </c>
      <c r="X425" s="17">
        <f>IF(B425="","",IF(F425&lt;&gt;"",F425,IF(T425=0,"",SUMPRODUCT(MIN((Appointments!$E$5:$E$1204=A425)*(Appointments!$M$5:$M$1204="Completed")*Appointments!$B$5:$B$1204+(1-(Appointments!$E$5:$E$1204=A425)*(Appointments!$M$5:$M$1204="Completed"))*2958465)))))</f>
        <v>0</v>
      </c>
      <c r="Y425" s="17">
        <f>IF(B425="","",IF(T425=0,"",SUMPRODUCT(MAX((Appointments!$E$5:$E$1204=A425)*(Appointments!$M$5:$M$1204="Completed")*Appointments!$B$5:$B$1204))))</f>
        <v>0</v>
      </c>
      <c r="Z425" s="25">
        <f>IF(B425="","",IF(Y425="","",TodayDate-Y425))</f>
        <v>0</v>
      </c>
      <c r="AA425" s="42">
        <f>IF(B425="","",SUMPRODUCT(MIN((Appointments!$E$5:$E$1204=A425)*(Appointments!$M$5:$M$1204&lt;&gt;"Cancelled")*(Appointments!$M$5:$M$1204&lt;&gt;"Completed")*(Appointments!$M$5:$M$1204&lt;&gt;"No show")*(Appointments!$B$5:$B$1204&gt;=TodayDate)*Appointments!$B$5:$B$1204+(1-(Appointments!$E$5:$E$1204=A425)*(Appointments!$M$5:$M$1204&lt;&gt;"Cancelled")*(Appointments!$M$5:$M$1204&lt;&gt;"Completed")*(Appointments!$M$5:$M$1204&lt;&gt;"No show")*(Appointments!$B$5:$B$1204&gt;=TodayDate))*2958465)))</f>
        <v>0</v>
      </c>
      <c r="AB425" s="17">
        <f>IF(B425="","",IF(AA425&gt;=2958465,"",AA425))</f>
        <v>0</v>
      </c>
      <c r="AC425" s="25">
        <f>IF(B425="","",IF(T425&lt;2,"",ROUND((Y425-X425)/MAX(1,T425-1),0)))</f>
        <v>0</v>
      </c>
      <c r="AD425" s="17">
        <f>IF(B425="","",IF(Y425="","",Y425+IF(AC425="",RebookWeeks*7,MAX(14,AC425))))</f>
        <v>0</v>
      </c>
      <c r="AE425" s="26">
        <f>IF(B425="","",ROUND(SUMIFS(Sales!$Y$5:$Y$1204,Sales!$D$5:$D$1204,A425),2))</f>
        <v>0</v>
      </c>
      <c r="AF425" s="26">
        <f>IF(B425="","",ROUND(SUMIFS(Sales!$Y$5:$Y$1204,Sales!$D$5:$D$1204,A425,Sales!$H$5:$H$1204,"Service"),2))</f>
        <v>0</v>
      </c>
      <c r="AG425" s="26">
        <f>IF(B425="","",ROUND(SUMIFS(Sales!$Y$5:$Y$1204,Sales!$D$5:$D$1204,A425,Sales!$H$5:$H$1204,"Retail"),2))</f>
        <v>0</v>
      </c>
      <c r="AH425" s="26">
        <f>IF(B425="","",ROUND(SUMIFS(Sales!$Y$5:$Y$1204,Sales!$D$5:$D$1204,A425,Sales!$B$5:$B$1204,"&gt;="&amp;TodayDate-365),2))</f>
        <v>0</v>
      </c>
      <c r="AI425" s="26">
        <f>IF(B425="","",IF(T425=0,"",ROUND(AE425/T425,2)))</f>
        <v>0</v>
      </c>
      <c r="AJ425" s="26">
        <f>IF(B425="","",IF(AI425="","",IF(AC425="","",ROUND(AI425*(365/MAX(14,AC425)),2))))</f>
        <v>0</v>
      </c>
      <c r="AK425" s="26">
        <f>IF(B425="","",ROUND(SUMIFS(Sales!$AH$5:$AH$1204,Sales!$D$5:$D$1204,A425),2))</f>
        <v>0</v>
      </c>
      <c r="AL425" s="25">
        <f>IF(B425="","",IFERROR(INDEX(Loyalty!$P$5:$P$504,MATCH(A425,Loyalty!$B$5:$B$504,0))*1,0))</f>
        <v>0</v>
      </c>
      <c r="AM425" s="39">
        <f>IF(B425="","",IF(R425="Archived","Archived",IF(T425=0,"Not been yet",IF(Z425&gt;=InactiveDays,"Inactive",IF(Z425&gt;=LapsingDays,"Lapsing",IF(T425=1,"New",IF(AH425&gt;=VipSpend,"VIP",IF(U425&gt;=4,"Regular","Active"))))))))</f>
        <v>0</v>
      </c>
      <c r="AN425" s="38">
        <f>IF(B425="","",IF(T425&gt;=2,"Yes","No"))</f>
        <v>0</v>
      </c>
      <c r="AO425" s="25">
        <f>IF(B425="","",COUNTIFS($AE$5:$AE$504,"&gt;"&amp;AE425)+COUNTIFS($AE$5:AE425,AE425))</f>
        <v>0</v>
      </c>
      <c r="AP425" s="25">
        <f>IF(B425="","",COUNTIFS($T$5:$T$504,"&gt;"&amp;T425)+COUNTIFS($T$5:T425,T425))</f>
        <v>0</v>
      </c>
      <c r="AQ425" s="39">
        <f>IF(B425="","",IF(COUNTIF($B$5:$B$504,B425)&gt;1,"Duplicate - same name twice",IF(R425="Archived","",IF(AK425&gt;0.004,"Chase - balance outstanding",IF(AM425="Inactive","Gone - win-back offer",IF(AM425="Lapsing","Chase - lapsing, call them",IF(IF(N425="",FALSE,TodayDate-N425&gt;PatchTestDays),"Due - patch test out of date",IF(IF(AD425="",FALSE,IF(AB425&lt;&gt;"",FALSE,AD425&lt;=TodayDate+14)),"Rebook - due and nothing booked",IF(IF(K425="",FALSE,ABS(DATE(YEAR(TodayDate),MONTH(K425),DAY(K425))-TodayDate)&lt;=7),"Birthday - send the treat","OK")))))))))</f>
        <v>0</v>
      </c>
    </row>
    <row r="426" spans="1:43">
      <c r="A426" s="28">
        <f>IF(B426="","",ClientPrefix&amp;TEXT(ROW()-4,"0000"))</f>
        <v>0</v>
      </c>
      <c r="J426" s="15">
        <f>IF(I426="","",IFERROR(INDEX(Staff!$B$5:$B$44,MATCH(I426,Staff!$A$5:$A$44,0)),"Not in Staff"))</f>
        <v>0</v>
      </c>
      <c r="T426" s="25">
        <f>IF(B426="","",COUNTIFS(Appointments!$E$5:$E$1204,A426,Appointments!$M$5:$M$1204,"Completed"))</f>
        <v>0</v>
      </c>
      <c r="U426" s="25">
        <f>IF(B426="","",COUNTIFS(Appointments!$E$5:$E$1204,A426,Appointments!$M$5:$M$1204,"Completed",Appointments!$B$5:$B$1204,"&gt;="&amp;TodayDate-365))</f>
        <v>0</v>
      </c>
      <c r="V426" s="25">
        <f>IF(B426="","",COUNTIFS(Appointments!$E$5:$E$1204,A426,Appointments!$M$5:$M$1204,"Cancelled"))</f>
        <v>0</v>
      </c>
      <c r="W426" s="25">
        <f>IF(B426="","",COUNTIFS(Appointments!$E$5:$E$1204,A426,Appointments!$M$5:$M$1204,"No show"))</f>
        <v>0</v>
      </c>
      <c r="X426" s="17">
        <f>IF(B426="","",IF(F426&lt;&gt;"",F426,IF(T426=0,"",SUMPRODUCT(MIN((Appointments!$E$5:$E$1204=A426)*(Appointments!$M$5:$M$1204="Completed")*Appointments!$B$5:$B$1204+(1-(Appointments!$E$5:$E$1204=A426)*(Appointments!$M$5:$M$1204="Completed"))*2958465)))))</f>
        <v>0</v>
      </c>
      <c r="Y426" s="17">
        <f>IF(B426="","",IF(T426=0,"",SUMPRODUCT(MAX((Appointments!$E$5:$E$1204=A426)*(Appointments!$M$5:$M$1204="Completed")*Appointments!$B$5:$B$1204))))</f>
        <v>0</v>
      </c>
      <c r="Z426" s="25">
        <f>IF(B426="","",IF(Y426="","",TodayDate-Y426))</f>
        <v>0</v>
      </c>
      <c r="AA426" s="42">
        <f>IF(B426="","",SUMPRODUCT(MIN((Appointments!$E$5:$E$1204=A426)*(Appointments!$M$5:$M$1204&lt;&gt;"Cancelled")*(Appointments!$M$5:$M$1204&lt;&gt;"Completed")*(Appointments!$M$5:$M$1204&lt;&gt;"No show")*(Appointments!$B$5:$B$1204&gt;=TodayDate)*Appointments!$B$5:$B$1204+(1-(Appointments!$E$5:$E$1204=A426)*(Appointments!$M$5:$M$1204&lt;&gt;"Cancelled")*(Appointments!$M$5:$M$1204&lt;&gt;"Completed")*(Appointments!$M$5:$M$1204&lt;&gt;"No show")*(Appointments!$B$5:$B$1204&gt;=TodayDate))*2958465)))</f>
        <v>0</v>
      </c>
      <c r="AB426" s="17">
        <f>IF(B426="","",IF(AA426&gt;=2958465,"",AA426))</f>
        <v>0</v>
      </c>
      <c r="AC426" s="25">
        <f>IF(B426="","",IF(T426&lt;2,"",ROUND((Y426-X426)/MAX(1,T426-1),0)))</f>
        <v>0</v>
      </c>
      <c r="AD426" s="17">
        <f>IF(B426="","",IF(Y426="","",Y426+IF(AC426="",RebookWeeks*7,MAX(14,AC426))))</f>
        <v>0</v>
      </c>
      <c r="AE426" s="26">
        <f>IF(B426="","",ROUND(SUMIFS(Sales!$Y$5:$Y$1204,Sales!$D$5:$D$1204,A426),2))</f>
        <v>0</v>
      </c>
      <c r="AF426" s="26">
        <f>IF(B426="","",ROUND(SUMIFS(Sales!$Y$5:$Y$1204,Sales!$D$5:$D$1204,A426,Sales!$H$5:$H$1204,"Service"),2))</f>
        <v>0</v>
      </c>
      <c r="AG426" s="26">
        <f>IF(B426="","",ROUND(SUMIFS(Sales!$Y$5:$Y$1204,Sales!$D$5:$D$1204,A426,Sales!$H$5:$H$1204,"Retail"),2))</f>
        <v>0</v>
      </c>
      <c r="AH426" s="26">
        <f>IF(B426="","",ROUND(SUMIFS(Sales!$Y$5:$Y$1204,Sales!$D$5:$D$1204,A426,Sales!$B$5:$B$1204,"&gt;="&amp;TodayDate-365),2))</f>
        <v>0</v>
      </c>
      <c r="AI426" s="26">
        <f>IF(B426="","",IF(T426=0,"",ROUND(AE426/T426,2)))</f>
        <v>0</v>
      </c>
      <c r="AJ426" s="26">
        <f>IF(B426="","",IF(AI426="","",IF(AC426="","",ROUND(AI426*(365/MAX(14,AC426)),2))))</f>
        <v>0</v>
      </c>
      <c r="AK426" s="26">
        <f>IF(B426="","",ROUND(SUMIFS(Sales!$AH$5:$AH$1204,Sales!$D$5:$D$1204,A426),2))</f>
        <v>0</v>
      </c>
      <c r="AL426" s="25">
        <f>IF(B426="","",IFERROR(INDEX(Loyalty!$P$5:$P$504,MATCH(A426,Loyalty!$B$5:$B$504,0))*1,0))</f>
        <v>0</v>
      </c>
      <c r="AM426" s="39">
        <f>IF(B426="","",IF(R426="Archived","Archived",IF(T426=0,"Not been yet",IF(Z426&gt;=InactiveDays,"Inactive",IF(Z426&gt;=LapsingDays,"Lapsing",IF(T426=1,"New",IF(AH426&gt;=VipSpend,"VIP",IF(U426&gt;=4,"Regular","Active"))))))))</f>
        <v>0</v>
      </c>
      <c r="AN426" s="38">
        <f>IF(B426="","",IF(T426&gt;=2,"Yes","No"))</f>
        <v>0</v>
      </c>
      <c r="AO426" s="25">
        <f>IF(B426="","",COUNTIFS($AE$5:$AE$504,"&gt;"&amp;AE426)+COUNTIFS($AE$5:AE426,AE426))</f>
        <v>0</v>
      </c>
      <c r="AP426" s="25">
        <f>IF(B426="","",COUNTIFS($T$5:$T$504,"&gt;"&amp;T426)+COUNTIFS($T$5:T426,T426))</f>
        <v>0</v>
      </c>
      <c r="AQ426" s="39">
        <f>IF(B426="","",IF(COUNTIF($B$5:$B$504,B426)&gt;1,"Duplicate - same name twice",IF(R426="Archived","",IF(AK426&gt;0.004,"Chase - balance outstanding",IF(AM426="Inactive","Gone - win-back offer",IF(AM426="Lapsing","Chase - lapsing, call them",IF(IF(N426="",FALSE,TodayDate-N426&gt;PatchTestDays),"Due - patch test out of date",IF(IF(AD426="",FALSE,IF(AB426&lt;&gt;"",FALSE,AD426&lt;=TodayDate+14)),"Rebook - due and nothing booked",IF(IF(K426="",FALSE,ABS(DATE(YEAR(TodayDate),MONTH(K426),DAY(K426))-TodayDate)&lt;=7),"Birthday - send the treat","OK")))))))))</f>
        <v>0</v>
      </c>
    </row>
    <row r="427" spans="1:43">
      <c r="A427" s="28">
        <f>IF(B427="","",ClientPrefix&amp;TEXT(ROW()-4,"0000"))</f>
        <v>0</v>
      </c>
      <c r="J427" s="15">
        <f>IF(I427="","",IFERROR(INDEX(Staff!$B$5:$B$44,MATCH(I427,Staff!$A$5:$A$44,0)),"Not in Staff"))</f>
        <v>0</v>
      </c>
      <c r="T427" s="25">
        <f>IF(B427="","",COUNTIFS(Appointments!$E$5:$E$1204,A427,Appointments!$M$5:$M$1204,"Completed"))</f>
        <v>0</v>
      </c>
      <c r="U427" s="25">
        <f>IF(B427="","",COUNTIFS(Appointments!$E$5:$E$1204,A427,Appointments!$M$5:$M$1204,"Completed",Appointments!$B$5:$B$1204,"&gt;="&amp;TodayDate-365))</f>
        <v>0</v>
      </c>
      <c r="V427" s="25">
        <f>IF(B427="","",COUNTIFS(Appointments!$E$5:$E$1204,A427,Appointments!$M$5:$M$1204,"Cancelled"))</f>
        <v>0</v>
      </c>
      <c r="W427" s="25">
        <f>IF(B427="","",COUNTIFS(Appointments!$E$5:$E$1204,A427,Appointments!$M$5:$M$1204,"No show"))</f>
        <v>0</v>
      </c>
      <c r="X427" s="17">
        <f>IF(B427="","",IF(F427&lt;&gt;"",F427,IF(T427=0,"",SUMPRODUCT(MIN((Appointments!$E$5:$E$1204=A427)*(Appointments!$M$5:$M$1204="Completed")*Appointments!$B$5:$B$1204+(1-(Appointments!$E$5:$E$1204=A427)*(Appointments!$M$5:$M$1204="Completed"))*2958465)))))</f>
        <v>0</v>
      </c>
      <c r="Y427" s="17">
        <f>IF(B427="","",IF(T427=0,"",SUMPRODUCT(MAX((Appointments!$E$5:$E$1204=A427)*(Appointments!$M$5:$M$1204="Completed")*Appointments!$B$5:$B$1204))))</f>
        <v>0</v>
      </c>
      <c r="Z427" s="25">
        <f>IF(B427="","",IF(Y427="","",TodayDate-Y427))</f>
        <v>0</v>
      </c>
      <c r="AA427" s="42">
        <f>IF(B427="","",SUMPRODUCT(MIN((Appointments!$E$5:$E$1204=A427)*(Appointments!$M$5:$M$1204&lt;&gt;"Cancelled")*(Appointments!$M$5:$M$1204&lt;&gt;"Completed")*(Appointments!$M$5:$M$1204&lt;&gt;"No show")*(Appointments!$B$5:$B$1204&gt;=TodayDate)*Appointments!$B$5:$B$1204+(1-(Appointments!$E$5:$E$1204=A427)*(Appointments!$M$5:$M$1204&lt;&gt;"Cancelled")*(Appointments!$M$5:$M$1204&lt;&gt;"Completed")*(Appointments!$M$5:$M$1204&lt;&gt;"No show")*(Appointments!$B$5:$B$1204&gt;=TodayDate))*2958465)))</f>
        <v>0</v>
      </c>
      <c r="AB427" s="17">
        <f>IF(B427="","",IF(AA427&gt;=2958465,"",AA427))</f>
        <v>0</v>
      </c>
      <c r="AC427" s="25">
        <f>IF(B427="","",IF(T427&lt;2,"",ROUND((Y427-X427)/MAX(1,T427-1),0)))</f>
        <v>0</v>
      </c>
      <c r="AD427" s="17">
        <f>IF(B427="","",IF(Y427="","",Y427+IF(AC427="",RebookWeeks*7,MAX(14,AC427))))</f>
        <v>0</v>
      </c>
      <c r="AE427" s="26">
        <f>IF(B427="","",ROUND(SUMIFS(Sales!$Y$5:$Y$1204,Sales!$D$5:$D$1204,A427),2))</f>
        <v>0</v>
      </c>
      <c r="AF427" s="26">
        <f>IF(B427="","",ROUND(SUMIFS(Sales!$Y$5:$Y$1204,Sales!$D$5:$D$1204,A427,Sales!$H$5:$H$1204,"Service"),2))</f>
        <v>0</v>
      </c>
      <c r="AG427" s="26">
        <f>IF(B427="","",ROUND(SUMIFS(Sales!$Y$5:$Y$1204,Sales!$D$5:$D$1204,A427,Sales!$H$5:$H$1204,"Retail"),2))</f>
        <v>0</v>
      </c>
      <c r="AH427" s="26">
        <f>IF(B427="","",ROUND(SUMIFS(Sales!$Y$5:$Y$1204,Sales!$D$5:$D$1204,A427,Sales!$B$5:$B$1204,"&gt;="&amp;TodayDate-365),2))</f>
        <v>0</v>
      </c>
      <c r="AI427" s="26">
        <f>IF(B427="","",IF(T427=0,"",ROUND(AE427/T427,2)))</f>
        <v>0</v>
      </c>
      <c r="AJ427" s="26">
        <f>IF(B427="","",IF(AI427="","",IF(AC427="","",ROUND(AI427*(365/MAX(14,AC427)),2))))</f>
        <v>0</v>
      </c>
      <c r="AK427" s="26">
        <f>IF(B427="","",ROUND(SUMIFS(Sales!$AH$5:$AH$1204,Sales!$D$5:$D$1204,A427),2))</f>
        <v>0</v>
      </c>
      <c r="AL427" s="25">
        <f>IF(B427="","",IFERROR(INDEX(Loyalty!$P$5:$P$504,MATCH(A427,Loyalty!$B$5:$B$504,0))*1,0))</f>
        <v>0</v>
      </c>
      <c r="AM427" s="39">
        <f>IF(B427="","",IF(R427="Archived","Archived",IF(T427=0,"Not been yet",IF(Z427&gt;=InactiveDays,"Inactive",IF(Z427&gt;=LapsingDays,"Lapsing",IF(T427=1,"New",IF(AH427&gt;=VipSpend,"VIP",IF(U427&gt;=4,"Regular","Active"))))))))</f>
        <v>0</v>
      </c>
      <c r="AN427" s="38">
        <f>IF(B427="","",IF(T427&gt;=2,"Yes","No"))</f>
        <v>0</v>
      </c>
      <c r="AO427" s="25">
        <f>IF(B427="","",COUNTIFS($AE$5:$AE$504,"&gt;"&amp;AE427)+COUNTIFS($AE$5:AE427,AE427))</f>
        <v>0</v>
      </c>
      <c r="AP427" s="25">
        <f>IF(B427="","",COUNTIFS($T$5:$T$504,"&gt;"&amp;T427)+COUNTIFS($T$5:T427,T427))</f>
        <v>0</v>
      </c>
      <c r="AQ427" s="39">
        <f>IF(B427="","",IF(COUNTIF($B$5:$B$504,B427)&gt;1,"Duplicate - same name twice",IF(R427="Archived","",IF(AK427&gt;0.004,"Chase - balance outstanding",IF(AM427="Inactive","Gone - win-back offer",IF(AM427="Lapsing","Chase - lapsing, call them",IF(IF(N427="",FALSE,TodayDate-N427&gt;PatchTestDays),"Due - patch test out of date",IF(IF(AD427="",FALSE,IF(AB427&lt;&gt;"",FALSE,AD427&lt;=TodayDate+14)),"Rebook - due and nothing booked",IF(IF(K427="",FALSE,ABS(DATE(YEAR(TodayDate),MONTH(K427),DAY(K427))-TodayDate)&lt;=7),"Birthday - send the treat","OK")))))))))</f>
        <v>0</v>
      </c>
    </row>
    <row r="428" spans="1:43">
      <c r="A428" s="28">
        <f>IF(B428="","",ClientPrefix&amp;TEXT(ROW()-4,"0000"))</f>
        <v>0</v>
      </c>
      <c r="J428" s="15">
        <f>IF(I428="","",IFERROR(INDEX(Staff!$B$5:$B$44,MATCH(I428,Staff!$A$5:$A$44,0)),"Not in Staff"))</f>
        <v>0</v>
      </c>
      <c r="T428" s="25">
        <f>IF(B428="","",COUNTIFS(Appointments!$E$5:$E$1204,A428,Appointments!$M$5:$M$1204,"Completed"))</f>
        <v>0</v>
      </c>
      <c r="U428" s="25">
        <f>IF(B428="","",COUNTIFS(Appointments!$E$5:$E$1204,A428,Appointments!$M$5:$M$1204,"Completed",Appointments!$B$5:$B$1204,"&gt;="&amp;TodayDate-365))</f>
        <v>0</v>
      </c>
      <c r="V428" s="25">
        <f>IF(B428="","",COUNTIFS(Appointments!$E$5:$E$1204,A428,Appointments!$M$5:$M$1204,"Cancelled"))</f>
        <v>0</v>
      </c>
      <c r="W428" s="25">
        <f>IF(B428="","",COUNTIFS(Appointments!$E$5:$E$1204,A428,Appointments!$M$5:$M$1204,"No show"))</f>
        <v>0</v>
      </c>
      <c r="X428" s="17">
        <f>IF(B428="","",IF(F428&lt;&gt;"",F428,IF(T428=0,"",SUMPRODUCT(MIN((Appointments!$E$5:$E$1204=A428)*(Appointments!$M$5:$M$1204="Completed")*Appointments!$B$5:$B$1204+(1-(Appointments!$E$5:$E$1204=A428)*(Appointments!$M$5:$M$1204="Completed"))*2958465)))))</f>
        <v>0</v>
      </c>
      <c r="Y428" s="17">
        <f>IF(B428="","",IF(T428=0,"",SUMPRODUCT(MAX((Appointments!$E$5:$E$1204=A428)*(Appointments!$M$5:$M$1204="Completed")*Appointments!$B$5:$B$1204))))</f>
        <v>0</v>
      </c>
      <c r="Z428" s="25">
        <f>IF(B428="","",IF(Y428="","",TodayDate-Y428))</f>
        <v>0</v>
      </c>
      <c r="AA428" s="42">
        <f>IF(B428="","",SUMPRODUCT(MIN((Appointments!$E$5:$E$1204=A428)*(Appointments!$M$5:$M$1204&lt;&gt;"Cancelled")*(Appointments!$M$5:$M$1204&lt;&gt;"Completed")*(Appointments!$M$5:$M$1204&lt;&gt;"No show")*(Appointments!$B$5:$B$1204&gt;=TodayDate)*Appointments!$B$5:$B$1204+(1-(Appointments!$E$5:$E$1204=A428)*(Appointments!$M$5:$M$1204&lt;&gt;"Cancelled")*(Appointments!$M$5:$M$1204&lt;&gt;"Completed")*(Appointments!$M$5:$M$1204&lt;&gt;"No show")*(Appointments!$B$5:$B$1204&gt;=TodayDate))*2958465)))</f>
        <v>0</v>
      </c>
      <c r="AB428" s="17">
        <f>IF(B428="","",IF(AA428&gt;=2958465,"",AA428))</f>
        <v>0</v>
      </c>
      <c r="AC428" s="25">
        <f>IF(B428="","",IF(T428&lt;2,"",ROUND((Y428-X428)/MAX(1,T428-1),0)))</f>
        <v>0</v>
      </c>
      <c r="AD428" s="17">
        <f>IF(B428="","",IF(Y428="","",Y428+IF(AC428="",RebookWeeks*7,MAX(14,AC428))))</f>
        <v>0</v>
      </c>
      <c r="AE428" s="26">
        <f>IF(B428="","",ROUND(SUMIFS(Sales!$Y$5:$Y$1204,Sales!$D$5:$D$1204,A428),2))</f>
        <v>0</v>
      </c>
      <c r="AF428" s="26">
        <f>IF(B428="","",ROUND(SUMIFS(Sales!$Y$5:$Y$1204,Sales!$D$5:$D$1204,A428,Sales!$H$5:$H$1204,"Service"),2))</f>
        <v>0</v>
      </c>
      <c r="AG428" s="26">
        <f>IF(B428="","",ROUND(SUMIFS(Sales!$Y$5:$Y$1204,Sales!$D$5:$D$1204,A428,Sales!$H$5:$H$1204,"Retail"),2))</f>
        <v>0</v>
      </c>
      <c r="AH428" s="26">
        <f>IF(B428="","",ROUND(SUMIFS(Sales!$Y$5:$Y$1204,Sales!$D$5:$D$1204,A428,Sales!$B$5:$B$1204,"&gt;="&amp;TodayDate-365),2))</f>
        <v>0</v>
      </c>
      <c r="AI428" s="26">
        <f>IF(B428="","",IF(T428=0,"",ROUND(AE428/T428,2)))</f>
        <v>0</v>
      </c>
      <c r="AJ428" s="26">
        <f>IF(B428="","",IF(AI428="","",IF(AC428="","",ROUND(AI428*(365/MAX(14,AC428)),2))))</f>
        <v>0</v>
      </c>
      <c r="AK428" s="26">
        <f>IF(B428="","",ROUND(SUMIFS(Sales!$AH$5:$AH$1204,Sales!$D$5:$D$1204,A428),2))</f>
        <v>0</v>
      </c>
      <c r="AL428" s="25">
        <f>IF(B428="","",IFERROR(INDEX(Loyalty!$P$5:$P$504,MATCH(A428,Loyalty!$B$5:$B$504,0))*1,0))</f>
        <v>0</v>
      </c>
      <c r="AM428" s="39">
        <f>IF(B428="","",IF(R428="Archived","Archived",IF(T428=0,"Not been yet",IF(Z428&gt;=InactiveDays,"Inactive",IF(Z428&gt;=LapsingDays,"Lapsing",IF(T428=1,"New",IF(AH428&gt;=VipSpend,"VIP",IF(U428&gt;=4,"Regular","Active"))))))))</f>
        <v>0</v>
      </c>
      <c r="AN428" s="38">
        <f>IF(B428="","",IF(T428&gt;=2,"Yes","No"))</f>
        <v>0</v>
      </c>
      <c r="AO428" s="25">
        <f>IF(B428="","",COUNTIFS($AE$5:$AE$504,"&gt;"&amp;AE428)+COUNTIFS($AE$5:AE428,AE428))</f>
        <v>0</v>
      </c>
      <c r="AP428" s="25">
        <f>IF(B428="","",COUNTIFS($T$5:$T$504,"&gt;"&amp;T428)+COUNTIFS($T$5:T428,T428))</f>
        <v>0</v>
      </c>
      <c r="AQ428" s="39">
        <f>IF(B428="","",IF(COUNTIF($B$5:$B$504,B428)&gt;1,"Duplicate - same name twice",IF(R428="Archived","",IF(AK428&gt;0.004,"Chase - balance outstanding",IF(AM428="Inactive","Gone - win-back offer",IF(AM428="Lapsing","Chase - lapsing, call them",IF(IF(N428="",FALSE,TodayDate-N428&gt;PatchTestDays),"Due - patch test out of date",IF(IF(AD428="",FALSE,IF(AB428&lt;&gt;"",FALSE,AD428&lt;=TodayDate+14)),"Rebook - due and nothing booked",IF(IF(K428="",FALSE,ABS(DATE(YEAR(TodayDate),MONTH(K428),DAY(K428))-TodayDate)&lt;=7),"Birthday - send the treat","OK")))))))))</f>
        <v>0</v>
      </c>
    </row>
    <row r="429" spans="1:43">
      <c r="A429" s="28">
        <f>IF(B429="","",ClientPrefix&amp;TEXT(ROW()-4,"0000"))</f>
        <v>0</v>
      </c>
      <c r="J429" s="15">
        <f>IF(I429="","",IFERROR(INDEX(Staff!$B$5:$B$44,MATCH(I429,Staff!$A$5:$A$44,0)),"Not in Staff"))</f>
        <v>0</v>
      </c>
      <c r="T429" s="25">
        <f>IF(B429="","",COUNTIFS(Appointments!$E$5:$E$1204,A429,Appointments!$M$5:$M$1204,"Completed"))</f>
        <v>0</v>
      </c>
      <c r="U429" s="25">
        <f>IF(B429="","",COUNTIFS(Appointments!$E$5:$E$1204,A429,Appointments!$M$5:$M$1204,"Completed",Appointments!$B$5:$B$1204,"&gt;="&amp;TodayDate-365))</f>
        <v>0</v>
      </c>
      <c r="V429" s="25">
        <f>IF(B429="","",COUNTIFS(Appointments!$E$5:$E$1204,A429,Appointments!$M$5:$M$1204,"Cancelled"))</f>
        <v>0</v>
      </c>
      <c r="W429" s="25">
        <f>IF(B429="","",COUNTIFS(Appointments!$E$5:$E$1204,A429,Appointments!$M$5:$M$1204,"No show"))</f>
        <v>0</v>
      </c>
      <c r="X429" s="17">
        <f>IF(B429="","",IF(F429&lt;&gt;"",F429,IF(T429=0,"",SUMPRODUCT(MIN((Appointments!$E$5:$E$1204=A429)*(Appointments!$M$5:$M$1204="Completed")*Appointments!$B$5:$B$1204+(1-(Appointments!$E$5:$E$1204=A429)*(Appointments!$M$5:$M$1204="Completed"))*2958465)))))</f>
        <v>0</v>
      </c>
      <c r="Y429" s="17">
        <f>IF(B429="","",IF(T429=0,"",SUMPRODUCT(MAX((Appointments!$E$5:$E$1204=A429)*(Appointments!$M$5:$M$1204="Completed")*Appointments!$B$5:$B$1204))))</f>
        <v>0</v>
      </c>
      <c r="Z429" s="25">
        <f>IF(B429="","",IF(Y429="","",TodayDate-Y429))</f>
        <v>0</v>
      </c>
      <c r="AA429" s="42">
        <f>IF(B429="","",SUMPRODUCT(MIN((Appointments!$E$5:$E$1204=A429)*(Appointments!$M$5:$M$1204&lt;&gt;"Cancelled")*(Appointments!$M$5:$M$1204&lt;&gt;"Completed")*(Appointments!$M$5:$M$1204&lt;&gt;"No show")*(Appointments!$B$5:$B$1204&gt;=TodayDate)*Appointments!$B$5:$B$1204+(1-(Appointments!$E$5:$E$1204=A429)*(Appointments!$M$5:$M$1204&lt;&gt;"Cancelled")*(Appointments!$M$5:$M$1204&lt;&gt;"Completed")*(Appointments!$M$5:$M$1204&lt;&gt;"No show")*(Appointments!$B$5:$B$1204&gt;=TodayDate))*2958465)))</f>
        <v>0</v>
      </c>
      <c r="AB429" s="17">
        <f>IF(B429="","",IF(AA429&gt;=2958465,"",AA429))</f>
        <v>0</v>
      </c>
      <c r="AC429" s="25">
        <f>IF(B429="","",IF(T429&lt;2,"",ROUND((Y429-X429)/MAX(1,T429-1),0)))</f>
        <v>0</v>
      </c>
      <c r="AD429" s="17">
        <f>IF(B429="","",IF(Y429="","",Y429+IF(AC429="",RebookWeeks*7,MAX(14,AC429))))</f>
        <v>0</v>
      </c>
      <c r="AE429" s="26">
        <f>IF(B429="","",ROUND(SUMIFS(Sales!$Y$5:$Y$1204,Sales!$D$5:$D$1204,A429),2))</f>
        <v>0</v>
      </c>
      <c r="AF429" s="26">
        <f>IF(B429="","",ROUND(SUMIFS(Sales!$Y$5:$Y$1204,Sales!$D$5:$D$1204,A429,Sales!$H$5:$H$1204,"Service"),2))</f>
        <v>0</v>
      </c>
      <c r="AG429" s="26">
        <f>IF(B429="","",ROUND(SUMIFS(Sales!$Y$5:$Y$1204,Sales!$D$5:$D$1204,A429,Sales!$H$5:$H$1204,"Retail"),2))</f>
        <v>0</v>
      </c>
      <c r="AH429" s="26">
        <f>IF(B429="","",ROUND(SUMIFS(Sales!$Y$5:$Y$1204,Sales!$D$5:$D$1204,A429,Sales!$B$5:$B$1204,"&gt;="&amp;TodayDate-365),2))</f>
        <v>0</v>
      </c>
      <c r="AI429" s="26">
        <f>IF(B429="","",IF(T429=0,"",ROUND(AE429/T429,2)))</f>
        <v>0</v>
      </c>
      <c r="AJ429" s="26">
        <f>IF(B429="","",IF(AI429="","",IF(AC429="","",ROUND(AI429*(365/MAX(14,AC429)),2))))</f>
        <v>0</v>
      </c>
      <c r="AK429" s="26">
        <f>IF(B429="","",ROUND(SUMIFS(Sales!$AH$5:$AH$1204,Sales!$D$5:$D$1204,A429),2))</f>
        <v>0</v>
      </c>
      <c r="AL429" s="25">
        <f>IF(B429="","",IFERROR(INDEX(Loyalty!$P$5:$P$504,MATCH(A429,Loyalty!$B$5:$B$504,0))*1,0))</f>
        <v>0</v>
      </c>
      <c r="AM429" s="39">
        <f>IF(B429="","",IF(R429="Archived","Archived",IF(T429=0,"Not been yet",IF(Z429&gt;=InactiveDays,"Inactive",IF(Z429&gt;=LapsingDays,"Lapsing",IF(T429=1,"New",IF(AH429&gt;=VipSpend,"VIP",IF(U429&gt;=4,"Regular","Active"))))))))</f>
        <v>0</v>
      </c>
      <c r="AN429" s="38">
        <f>IF(B429="","",IF(T429&gt;=2,"Yes","No"))</f>
        <v>0</v>
      </c>
      <c r="AO429" s="25">
        <f>IF(B429="","",COUNTIFS($AE$5:$AE$504,"&gt;"&amp;AE429)+COUNTIFS($AE$5:AE429,AE429))</f>
        <v>0</v>
      </c>
      <c r="AP429" s="25">
        <f>IF(B429="","",COUNTIFS($T$5:$T$504,"&gt;"&amp;T429)+COUNTIFS($T$5:T429,T429))</f>
        <v>0</v>
      </c>
      <c r="AQ429" s="39">
        <f>IF(B429="","",IF(COUNTIF($B$5:$B$504,B429)&gt;1,"Duplicate - same name twice",IF(R429="Archived","",IF(AK429&gt;0.004,"Chase - balance outstanding",IF(AM429="Inactive","Gone - win-back offer",IF(AM429="Lapsing","Chase - lapsing, call them",IF(IF(N429="",FALSE,TodayDate-N429&gt;PatchTestDays),"Due - patch test out of date",IF(IF(AD429="",FALSE,IF(AB429&lt;&gt;"",FALSE,AD429&lt;=TodayDate+14)),"Rebook - due and nothing booked",IF(IF(K429="",FALSE,ABS(DATE(YEAR(TodayDate),MONTH(K429),DAY(K429))-TodayDate)&lt;=7),"Birthday - send the treat","OK")))))))))</f>
        <v>0</v>
      </c>
    </row>
    <row r="430" spans="1:43">
      <c r="A430" s="28">
        <f>IF(B430="","",ClientPrefix&amp;TEXT(ROW()-4,"0000"))</f>
        <v>0</v>
      </c>
      <c r="J430" s="15">
        <f>IF(I430="","",IFERROR(INDEX(Staff!$B$5:$B$44,MATCH(I430,Staff!$A$5:$A$44,0)),"Not in Staff"))</f>
        <v>0</v>
      </c>
      <c r="T430" s="25">
        <f>IF(B430="","",COUNTIFS(Appointments!$E$5:$E$1204,A430,Appointments!$M$5:$M$1204,"Completed"))</f>
        <v>0</v>
      </c>
      <c r="U430" s="25">
        <f>IF(B430="","",COUNTIFS(Appointments!$E$5:$E$1204,A430,Appointments!$M$5:$M$1204,"Completed",Appointments!$B$5:$B$1204,"&gt;="&amp;TodayDate-365))</f>
        <v>0</v>
      </c>
      <c r="V430" s="25">
        <f>IF(B430="","",COUNTIFS(Appointments!$E$5:$E$1204,A430,Appointments!$M$5:$M$1204,"Cancelled"))</f>
        <v>0</v>
      </c>
      <c r="W430" s="25">
        <f>IF(B430="","",COUNTIFS(Appointments!$E$5:$E$1204,A430,Appointments!$M$5:$M$1204,"No show"))</f>
        <v>0</v>
      </c>
      <c r="X430" s="17">
        <f>IF(B430="","",IF(F430&lt;&gt;"",F430,IF(T430=0,"",SUMPRODUCT(MIN((Appointments!$E$5:$E$1204=A430)*(Appointments!$M$5:$M$1204="Completed")*Appointments!$B$5:$B$1204+(1-(Appointments!$E$5:$E$1204=A430)*(Appointments!$M$5:$M$1204="Completed"))*2958465)))))</f>
        <v>0</v>
      </c>
      <c r="Y430" s="17">
        <f>IF(B430="","",IF(T430=0,"",SUMPRODUCT(MAX((Appointments!$E$5:$E$1204=A430)*(Appointments!$M$5:$M$1204="Completed")*Appointments!$B$5:$B$1204))))</f>
        <v>0</v>
      </c>
      <c r="Z430" s="25">
        <f>IF(B430="","",IF(Y430="","",TodayDate-Y430))</f>
        <v>0</v>
      </c>
      <c r="AA430" s="42">
        <f>IF(B430="","",SUMPRODUCT(MIN((Appointments!$E$5:$E$1204=A430)*(Appointments!$M$5:$M$1204&lt;&gt;"Cancelled")*(Appointments!$M$5:$M$1204&lt;&gt;"Completed")*(Appointments!$M$5:$M$1204&lt;&gt;"No show")*(Appointments!$B$5:$B$1204&gt;=TodayDate)*Appointments!$B$5:$B$1204+(1-(Appointments!$E$5:$E$1204=A430)*(Appointments!$M$5:$M$1204&lt;&gt;"Cancelled")*(Appointments!$M$5:$M$1204&lt;&gt;"Completed")*(Appointments!$M$5:$M$1204&lt;&gt;"No show")*(Appointments!$B$5:$B$1204&gt;=TodayDate))*2958465)))</f>
        <v>0</v>
      </c>
      <c r="AB430" s="17">
        <f>IF(B430="","",IF(AA430&gt;=2958465,"",AA430))</f>
        <v>0</v>
      </c>
      <c r="AC430" s="25">
        <f>IF(B430="","",IF(T430&lt;2,"",ROUND((Y430-X430)/MAX(1,T430-1),0)))</f>
        <v>0</v>
      </c>
      <c r="AD430" s="17">
        <f>IF(B430="","",IF(Y430="","",Y430+IF(AC430="",RebookWeeks*7,MAX(14,AC430))))</f>
        <v>0</v>
      </c>
      <c r="AE430" s="26">
        <f>IF(B430="","",ROUND(SUMIFS(Sales!$Y$5:$Y$1204,Sales!$D$5:$D$1204,A430),2))</f>
        <v>0</v>
      </c>
      <c r="AF430" s="26">
        <f>IF(B430="","",ROUND(SUMIFS(Sales!$Y$5:$Y$1204,Sales!$D$5:$D$1204,A430,Sales!$H$5:$H$1204,"Service"),2))</f>
        <v>0</v>
      </c>
      <c r="AG430" s="26">
        <f>IF(B430="","",ROUND(SUMIFS(Sales!$Y$5:$Y$1204,Sales!$D$5:$D$1204,A430,Sales!$H$5:$H$1204,"Retail"),2))</f>
        <v>0</v>
      </c>
      <c r="AH430" s="26">
        <f>IF(B430="","",ROUND(SUMIFS(Sales!$Y$5:$Y$1204,Sales!$D$5:$D$1204,A430,Sales!$B$5:$B$1204,"&gt;="&amp;TodayDate-365),2))</f>
        <v>0</v>
      </c>
      <c r="AI430" s="26">
        <f>IF(B430="","",IF(T430=0,"",ROUND(AE430/T430,2)))</f>
        <v>0</v>
      </c>
      <c r="AJ430" s="26">
        <f>IF(B430="","",IF(AI430="","",IF(AC430="","",ROUND(AI430*(365/MAX(14,AC430)),2))))</f>
        <v>0</v>
      </c>
      <c r="AK430" s="26">
        <f>IF(B430="","",ROUND(SUMIFS(Sales!$AH$5:$AH$1204,Sales!$D$5:$D$1204,A430),2))</f>
        <v>0</v>
      </c>
      <c r="AL430" s="25">
        <f>IF(B430="","",IFERROR(INDEX(Loyalty!$P$5:$P$504,MATCH(A430,Loyalty!$B$5:$B$504,0))*1,0))</f>
        <v>0</v>
      </c>
      <c r="AM430" s="39">
        <f>IF(B430="","",IF(R430="Archived","Archived",IF(T430=0,"Not been yet",IF(Z430&gt;=InactiveDays,"Inactive",IF(Z430&gt;=LapsingDays,"Lapsing",IF(T430=1,"New",IF(AH430&gt;=VipSpend,"VIP",IF(U430&gt;=4,"Regular","Active"))))))))</f>
        <v>0</v>
      </c>
      <c r="AN430" s="38">
        <f>IF(B430="","",IF(T430&gt;=2,"Yes","No"))</f>
        <v>0</v>
      </c>
      <c r="AO430" s="25">
        <f>IF(B430="","",COUNTIFS($AE$5:$AE$504,"&gt;"&amp;AE430)+COUNTIFS($AE$5:AE430,AE430))</f>
        <v>0</v>
      </c>
      <c r="AP430" s="25">
        <f>IF(B430="","",COUNTIFS($T$5:$T$504,"&gt;"&amp;T430)+COUNTIFS($T$5:T430,T430))</f>
        <v>0</v>
      </c>
      <c r="AQ430" s="39">
        <f>IF(B430="","",IF(COUNTIF($B$5:$B$504,B430)&gt;1,"Duplicate - same name twice",IF(R430="Archived","",IF(AK430&gt;0.004,"Chase - balance outstanding",IF(AM430="Inactive","Gone - win-back offer",IF(AM430="Lapsing","Chase - lapsing, call them",IF(IF(N430="",FALSE,TodayDate-N430&gt;PatchTestDays),"Due - patch test out of date",IF(IF(AD430="",FALSE,IF(AB430&lt;&gt;"",FALSE,AD430&lt;=TodayDate+14)),"Rebook - due and nothing booked",IF(IF(K430="",FALSE,ABS(DATE(YEAR(TodayDate),MONTH(K430),DAY(K430))-TodayDate)&lt;=7),"Birthday - send the treat","OK")))))))))</f>
        <v>0</v>
      </c>
    </row>
    <row r="431" spans="1:43">
      <c r="A431" s="28">
        <f>IF(B431="","",ClientPrefix&amp;TEXT(ROW()-4,"0000"))</f>
        <v>0</v>
      </c>
      <c r="J431" s="15">
        <f>IF(I431="","",IFERROR(INDEX(Staff!$B$5:$B$44,MATCH(I431,Staff!$A$5:$A$44,0)),"Not in Staff"))</f>
        <v>0</v>
      </c>
      <c r="T431" s="25">
        <f>IF(B431="","",COUNTIFS(Appointments!$E$5:$E$1204,A431,Appointments!$M$5:$M$1204,"Completed"))</f>
        <v>0</v>
      </c>
      <c r="U431" s="25">
        <f>IF(B431="","",COUNTIFS(Appointments!$E$5:$E$1204,A431,Appointments!$M$5:$M$1204,"Completed",Appointments!$B$5:$B$1204,"&gt;="&amp;TodayDate-365))</f>
        <v>0</v>
      </c>
      <c r="V431" s="25">
        <f>IF(B431="","",COUNTIFS(Appointments!$E$5:$E$1204,A431,Appointments!$M$5:$M$1204,"Cancelled"))</f>
        <v>0</v>
      </c>
      <c r="W431" s="25">
        <f>IF(B431="","",COUNTIFS(Appointments!$E$5:$E$1204,A431,Appointments!$M$5:$M$1204,"No show"))</f>
        <v>0</v>
      </c>
      <c r="X431" s="17">
        <f>IF(B431="","",IF(F431&lt;&gt;"",F431,IF(T431=0,"",SUMPRODUCT(MIN((Appointments!$E$5:$E$1204=A431)*(Appointments!$M$5:$M$1204="Completed")*Appointments!$B$5:$B$1204+(1-(Appointments!$E$5:$E$1204=A431)*(Appointments!$M$5:$M$1204="Completed"))*2958465)))))</f>
        <v>0</v>
      </c>
      <c r="Y431" s="17">
        <f>IF(B431="","",IF(T431=0,"",SUMPRODUCT(MAX((Appointments!$E$5:$E$1204=A431)*(Appointments!$M$5:$M$1204="Completed")*Appointments!$B$5:$B$1204))))</f>
        <v>0</v>
      </c>
      <c r="Z431" s="25">
        <f>IF(B431="","",IF(Y431="","",TodayDate-Y431))</f>
        <v>0</v>
      </c>
      <c r="AA431" s="42">
        <f>IF(B431="","",SUMPRODUCT(MIN((Appointments!$E$5:$E$1204=A431)*(Appointments!$M$5:$M$1204&lt;&gt;"Cancelled")*(Appointments!$M$5:$M$1204&lt;&gt;"Completed")*(Appointments!$M$5:$M$1204&lt;&gt;"No show")*(Appointments!$B$5:$B$1204&gt;=TodayDate)*Appointments!$B$5:$B$1204+(1-(Appointments!$E$5:$E$1204=A431)*(Appointments!$M$5:$M$1204&lt;&gt;"Cancelled")*(Appointments!$M$5:$M$1204&lt;&gt;"Completed")*(Appointments!$M$5:$M$1204&lt;&gt;"No show")*(Appointments!$B$5:$B$1204&gt;=TodayDate))*2958465)))</f>
        <v>0</v>
      </c>
      <c r="AB431" s="17">
        <f>IF(B431="","",IF(AA431&gt;=2958465,"",AA431))</f>
        <v>0</v>
      </c>
      <c r="AC431" s="25">
        <f>IF(B431="","",IF(T431&lt;2,"",ROUND((Y431-X431)/MAX(1,T431-1),0)))</f>
        <v>0</v>
      </c>
      <c r="AD431" s="17">
        <f>IF(B431="","",IF(Y431="","",Y431+IF(AC431="",RebookWeeks*7,MAX(14,AC431))))</f>
        <v>0</v>
      </c>
      <c r="AE431" s="26">
        <f>IF(B431="","",ROUND(SUMIFS(Sales!$Y$5:$Y$1204,Sales!$D$5:$D$1204,A431),2))</f>
        <v>0</v>
      </c>
      <c r="AF431" s="26">
        <f>IF(B431="","",ROUND(SUMIFS(Sales!$Y$5:$Y$1204,Sales!$D$5:$D$1204,A431,Sales!$H$5:$H$1204,"Service"),2))</f>
        <v>0</v>
      </c>
      <c r="AG431" s="26">
        <f>IF(B431="","",ROUND(SUMIFS(Sales!$Y$5:$Y$1204,Sales!$D$5:$D$1204,A431,Sales!$H$5:$H$1204,"Retail"),2))</f>
        <v>0</v>
      </c>
      <c r="AH431" s="26">
        <f>IF(B431="","",ROUND(SUMIFS(Sales!$Y$5:$Y$1204,Sales!$D$5:$D$1204,A431,Sales!$B$5:$B$1204,"&gt;="&amp;TodayDate-365),2))</f>
        <v>0</v>
      </c>
      <c r="AI431" s="26">
        <f>IF(B431="","",IF(T431=0,"",ROUND(AE431/T431,2)))</f>
        <v>0</v>
      </c>
      <c r="AJ431" s="26">
        <f>IF(B431="","",IF(AI431="","",IF(AC431="","",ROUND(AI431*(365/MAX(14,AC431)),2))))</f>
        <v>0</v>
      </c>
      <c r="AK431" s="26">
        <f>IF(B431="","",ROUND(SUMIFS(Sales!$AH$5:$AH$1204,Sales!$D$5:$D$1204,A431),2))</f>
        <v>0</v>
      </c>
      <c r="AL431" s="25">
        <f>IF(B431="","",IFERROR(INDEX(Loyalty!$P$5:$P$504,MATCH(A431,Loyalty!$B$5:$B$504,0))*1,0))</f>
        <v>0</v>
      </c>
      <c r="AM431" s="39">
        <f>IF(B431="","",IF(R431="Archived","Archived",IF(T431=0,"Not been yet",IF(Z431&gt;=InactiveDays,"Inactive",IF(Z431&gt;=LapsingDays,"Lapsing",IF(T431=1,"New",IF(AH431&gt;=VipSpend,"VIP",IF(U431&gt;=4,"Regular","Active"))))))))</f>
        <v>0</v>
      </c>
      <c r="AN431" s="38">
        <f>IF(B431="","",IF(T431&gt;=2,"Yes","No"))</f>
        <v>0</v>
      </c>
      <c r="AO431" s="25">
        <f>IF(B431="","",COUNTIFS($AE$5:$AE$504,"&gt;"&amp;AE431)+COUNTIFS($AE$5:AE431,AE431))</f>
        <v>0</v>
      </c>
      <c r="AP431" s="25">
        <f>IF(B431="","",COUNTIFS($T$5:$T$504,"&gt;"&amp;T431)+COUNTIFS($T$5:T431,T431))</f>
        <v>0</v>
      </c>
      <c r="AQ431" s="39">
        <f>IF(B431="","",IF(COUNTIF($B$5:$B$504,B431)&gt;1,"Duplicate - same name twice",IF(R431="Archived","",IF(AK431&gt;0.004,"Chase - balance outstanding",IF(AM431="Inactive","Gone - win-back offer",IF(AM431="Lapsing","Chase - lapsing, call them",IF(IF(N431="",FALSE,TodayDate-N431&gt;PatchTestDays),"Due - patch test out of date",IF(IF(AD431="",FALSE,IF(AB431&lt;&gt;"",FALSE,AD431&lt;=TodayDate+14)),"Rebook - due and nothing booked",IF(IF(K431="",FALSE,ABS(DATE(YEAR(TodayDate),MONTH(K431),DAY(K431))-TodayDate)&lt;=7),"Birthday - send the treat","OK")))))))))</f>
        <v>0</v>
      </c>
    </row>
    <row r="432" spans="1:43">
      <c r="A432" s="28">
        <f>IF(B432="","",ClientPrefix&amp;TEXT(ROW()-4,"0000"))</f>
        <v>0</v>
      </c>
      <c r="J432" s="15">
        <f>IF(I432="","",IFERROR(INDEX(Staff!$B$5:$B$44,MATCH(I432,Staff!$A$5:$A$44,0)),"Not in Staff"))</f>
        <v>0</v>
      </c>
      <c r="T432" s="25">
        <f>IF(B432="","",COUNTIFS(Appointments!$E$5:$E$1204,A432,Appointments!$M$5:$M$1204,"Completed"))</f>
        <v>0</v>
      </c>
      <c r="U432" s="25">
        <f>IF(B432="","",COUNTIFS(Appointments!$E$5:$E$1204,A432,Appointments!$M$5:$M$1204,"Completed",Appointments!$B$5:$B$1204,"&gt;="&amp;TodayDate-365))</f>
        <v>0</v>
      </c>
      <c r="V432" s="25">
        <f>IF(B432="","",COUNTIFS(Appointments!$E$5:$E$1204,A432,Appointments!$M$5:$M$1204,"Cancelled"))</f>
        <v>0</v>
      </c>
      <c r="W432" s="25">
        <f>IF(B432="","",COUNTIFS(Appointments!$E$5:$E$1204,A432,Appointments!$M$5:$M$1204,"No show"))</f>
        <v>0</v>
      </c>
      <c r="X432" s="17">
        <f>IF(B432="","",IF(F432&lt;&gt;"",F432,IF(T432=0,"",SUMPRODUCT(MIN((Appointments!$E$5:$E$1204=A432)*(Appointments!$M$5:$M$1204="Completed")*Appointments!$B$5:$B$1204+(1-(Appointments!$E$5:$E$1204=A432)*(Appointments!$M$5:$M$1204="Completed"))*2958465)))))</f>
        <v>0</v>
      </c>
      <c r="Y432" s="17">
        <f>IF(B432="","",IF(T432=0,"",SUMPRODUCT(MAX((Appointments!$E$5:$E$1204=A432)*(Appointments!$M$5:$M$1204="Completed")*Appointments!$B$5:$B$1204))))</f>
        <v>0</v>
      </c>
      <c r="Z432" s="25">
        <f>IF(B432="","",IF(Y432="","",TodayDate-Y432))</f>
        <v>0</v>
      </c>
      <c r="AA432" s="42">
        <f>IF(B432="","",SUMPRODUCT(MIN((Appointments!$E$5:$E$1204=A432)*(Appointments!$M$5:$M$1204&lt;&gt;"Cancelled")*(Appointments!$M$5:$M$1204&lt;&gt;"Completed")*(Appointments!$M$5:$M$1204&lt;&gt;"No show")*(Appointments!$B$5:$B$1204&gt;=TodayDate)*Appointments!$B$5:$B$1204+(1-(Appointments!$E$5:$E$1204=A432)*(Appointments!$M$5:$M$1204&lt;&gt;"Cancelled")*(Appointments!$M$5:$M$1204&lt;&gt;"Completed")*(Appointments!$M$5:$M$1204&lt;&gt;"No show")*(Appointments!$B$5:$B$1204&gt;=TodayDate))*2958465)))</f>
        <v>0</v>
      </c>
      <c r="AB432" s="17">
        <f>IF(B432="","",IF(AA432&gt;=2958465,"",AA432))</f>
        <v>0</v>
      </c>
      <c r="AC432" s="25">
        <f>IF(B432="","",IF(T432&lt;2,"",ROUND((Y432-X432)/MAX(1,T432-1),0)))</f>
        <v>0</v>
      </c>
      <c r="AD432" s="17">
        <f>IF(B432="","",IF(Y432="","",Y432+IF(AC432="",RebookWeeks*7,MAX(14,AC432))))</f>
        <v>0</v>
      </c>
      <c r="AE432" s="26">
        <f>IF(B432="","",ROUND(SUMIFS(Sales!$Y$5:$Y$1204,Sales!$D$5:$D$1204,A432),2))</f>
        <v>0</v>
      </c>
      <c r="AF432" s="26">
        <f>IF(B432="","",ROUND(SUMIFS(Sales!$Y$5:$Y$1204,Sales!$D$5:$D$1204,A432,Sales!$H$5:$H$1204,"Service"),2))</f>
        <v>0</v>
      </c>
      <c r="AG432" s="26">
        <f>IF(B432="","",ROUND(SUMIFS(Sales!$Y$5:$Y$1204,Sales!$D$5:$D$1204,A432,Sales!$H$5:$H$1204,"Retail"),2))</f>
        <v>0</v>
      </c>
      <c r="AH432" s="26">
        <f>IF(B432="","",ROUND(SUMIFS(Sales!$Y$5:$Y$1204,Sales!$D$5:$D$1204,A432,Sales!$B$5:$B$1204,"&gt;="&amp;TodayDate-365),2))</f>
        <v>0</v>
      </c>
      <c r="AI432" s="26">
        <f>IF(B432="","",IF(T432=0,"",ROUND(AE432/T432,2)))</f>
        <v>0</v>
      </c>
      <c r="AJ432" s="26">
        <f>IF(B432="","",IF(AI432="","",IF(AC432="","",ROUND(AI432*(365/MAX(14,AC432)),2))))</f>
        <v>0</v>
      </c>
      <c r="AK432" s="26">
        <f>IF(B432="","",ROUND(SUMIFS(Sales!$AH$5:$AH$1204,Sales!$D$5:$D$1204,A432),2))</f>
        <v>0</v>
      </c>
      <c r="AL432" s="25">
        <f>IF(B432="","",IFERROR(INDEX(Loyalty!$P$5:$P$504,MATCH(A432,Loyalty!$B$5:$B$504,0))*1,0))</f>
        <v>0</v>
      </c>
      <c r="AM432" s="39">
        <f>IF(B432="","",IF(R432="Archived","Archived",IF(T432=0,"Not been yet",IF(Z432&gt;=InactiveDays,"Inactive",IF(Z432&gt;=LapsingDays,"Lapsing",IF(T432=1,"New",IF(AH432&gt;=VipSpend,"VIP",IF(U432&gt;=4,"Regular","Active"))))))))</f>
        <v>0</v>
      </c>
      <c r="AN432" s="38">
        <f>IF(B432="","",IF(T432&gt;=2,"Yes","No"))</f>
        <v>0</v>
      </c>
      <c r="AO432" s="25">
        <f>IF(B432="","",COUNTIFS($AE$5:$AE$504,"&gt;"&amp;AE432)+COUNTIFS($AE$5:AE432,AE432))</f>
        <v>0</v>
      </c>
      <c r="AP432" s="25">
        <f>IF(B432="","",COUNTIFS($T$5:$T$504,"&gt;"&amp;T432)+COUNTIFS($T$5:T432,T432))</f>
        <v>0</v>
      </c>
      <c r="AQ432" s="39">
        <f>IF(B432="","",IF(COUNTIF($B$5:$B$504,B432)&gt;1,"Duplicate - same name twice",IF(R432="Archived","",IF(AK432&gt;0.004,"Chase - balance outstanding",IF(AM432="Inactive","Gone - win-back offer",IF(AM432="Lapsing","Chase - lapsing, call them",IF(IF(N432="",FALSE,TodayDate-N432&gt;PatchTestDays),"Due - patch test out of date",IF(IF(AD432="",FALSE,IF(AB432&lt;&gt;"",FALSE,AD432&lt;=TodayDate+14)),"Rebook - due and nothing booked",IF(IF(K432="",FALSE,ABS(DATE(YEAR(TodayDate),MONTH(K432),DAY(K432))-TodayDate)&lt;=7),"Birthday - send the treat","OK")))))))))</f>
        <v>0</v>
      </c>
    </row>
    <row r="433" spans="1:43">
      <c r="A433" s="28">
        <f>IF(B433="","",ClientPrefix&amp;TEXT(ROW()-4,"0000"))</f>
        <v>0</v>
      </c>
      <c r="J433" s="15">
        <f>IF(I433="","",IFERROR(INDEX(Staff!$B$5:$B$44,MATCH(I433,Staff!$A$5:$A$44,0)),"Not in Staff"))</f>
        <v>0</v>
      </c>
      <c r="T433" s="25">
        <f>IF(B433="","",COUNTIFS(Appointments!$E$5:$E$1204,A433,Appointments!$M$5:$M$1204,"Completed"))</f>
        <v>0</v>
      </c>
      <c r="U433" s="25">
        <f>IF(B433="","",COUNTIFS(Appointments!$E$5:$E$1204,A433,Appointments!$M$5:$M$1204,"Completed",Appointments!$B$5:$B$1204,"&gt;="&amp;TodayDate-365))</f>
        <v>0</v>
      </c>
      <c r="V433" s="25">
        <f>IF(B433="","",COUNTIFS(Appointments!$E$5:$E$1204,A433,Appointments!$M$5:$M$1204,"Cancelled"))</f>
        <v>0</v>
      </c>
      <c r="W433" s="25">
        <f>IF(B433="","",COUNTIFS(Appointments!$E$5:$E$1204,A433,Appointments!$M$5:$M$1204,"No show"))</f>
        <v>0</v>
      </c>
      <c r="X433" s="17">
        <f>IF(B433="","",IF(F433&lt;&gt;"",F433,IF(T433=0,"",SUMPRODUCT(MIN((Appointments!$E$5:$E$1204=A433)*(Appointments!$M$5:$M$1204="Completed")*Appointments!$B$5:$B$1204+(1-(Appointments!$E$5:$E$1204=A433)*(Appointments!$M$5:$M$1204="Completed"))*2958465)))))</f>
        <v>0</v>
      </c>
      <c r="Y433" s="17">
        <f>IF(B433="","",IF(T433=0,"",SUMPRODUCT(MAX((Appointments!$E$5:$E$1204=A433)*(Appointments!$M$5:$M$1204="Completed")*Appointments!$B$5:$B$1204))))</f>
        <v>0</v>
      </c>
      <c r="Z433" s="25">
        <f>IF(B433="","",IF(Y433="","",TodayDate-Y433))</f>
        <v>0</v>
      </c>
      <c r="AA433" s="42">
        <f>IF(B433="","",SUMPRODUCT(MIN((Appointments!$E$5:$E$1204=A433)*(Appointments!$M$5:$M$1204&lt;&gt;"Cancelled")*(Appointments!$M$5:$M$1204&lt;&gt;"Completed")*(Appointments!$M$5:$M$1204&lt;&gt;"No show")*(Appointments!$B$5:$B$1204&gt;=TodayDate)*Appointments!$B$5:$B$1204+(1-(Appointments!$E$5:$E$1204=A433)*(Appointments!$M$5:$M$1204&lt;&gt;"Cancelled")*(Appointments!$M$5:$M$1204&lt;&gt;"Completed")*(Appointments!$M$5:$M$1204&lt;&gt;"No show")*(Appointments!$B$5:$B$1204&gt;=TodayDate))*2958465)))</f>
        <v>0</v>
      </c>
      <c r="AB433" s="17">
        <f>IF(B433="","",IF(AA433&gt;=2958465,"",AA433))</f>
        <v>0</v>
      </c>
      <c r="AC433" s="25">
        <f>IF(B433="","",IF(T433&lt;2,"",ROUND((Y433-X433)/MAX(1,T433-1),0)))</f>
        <v>0</v>
      </c>
      <c r="AD433" s="17">
        <f>IF(B433="","",IF(Y433="","",Y433+IF(AC433="",RebookWeeks*7,MAX(14,AC433))))</f>
        <v>0</v>
      </c>
      <c r="AE433" s="26">
        <f>IF(B433="","",ROUND(SUMIFS(Sales!$Y$5:$Y$1204,Sales!$D$5:$D$1204,A433),2))</f>
        <v>0</v>
      </c>
      <c r="AF433" s="26">
        <f>IF(B433="","",ROUND(SUMIFS(Sales!$Y$5:$Y$1204,Sales!$D$5:$D$1204,A433,Sales!$H$5:$H$1204,"Service"),2))</f>
        <v>0</v>
      </c>
      <c r="AG433" s="26">
        <f>IF(B433="","",ROUND(SUMIFS(Sales!$Y$5:$Y$1204,Sales!$D$5:$D$1204,A433,Sales!$H$5:$H$1204,"Retail"),2))</f>
        <v>0</v>
      </c>
      <c r="AH433" s="26">
        <f>IF(B433="","",ROUND(SUMIFS(Sales!$Y$5:$Y$1204,Sales!$D$5:$D$1204,A433,Sales!$B$5:$B$1204,"&gt;="&amp;TodayDate-365),2))</f>
        <v>0</v>
      </c>
      <c r="AI433" s="26">
        <f>IF(B433="","",IF(T433=0,"",ROUND(AE433/T433,2)))</f>
        <v>0</v>
      </c>
      <c r="AJ433" s="26">
        <f>IF(B433="","",IF(AI433="","",IF(AC433="","",ROUND(AI433*(365/MAX(14,AC433)),2))))</f>
        <v>0</v>
      </c>
      <c r="AK433" s="26">
        <f>IF(B433="","",ROUND(SUMIFS(Sales!$AH$5:$AH$1204,Sales!$D$5:$D$1204,A433),2))</f>
        <v>0</v>
      </c>
      <c r="AL433" s="25">
        <f>IF(B433="","",IFERROR(INDEX(Loyalty!$P$5:$P$504,MATCH(A433,Loyalty!$B$5:$B$504,0))*1,0))</f>
        <v>0</v>
      </c>
      <c r="AM433" s="39">
        <f>IF(B433="","",IF(R433="Archived","Archived",IF(T433=0,"Not been yet",IF(Z433&gt;=InactiveDays,"Inactive",IF(Z433&gt;=LapsingDays,"Lapsing",IF(T433=1,"New",IF(AH433&gt;=VipSpend,"VIP",IF(U433&gt;=4,"Regular","Active"))))))))</f>
        <v>0</v>
      </c>
      <c r="AN433" s="38">
        <f>IF(B433="","",IF(T433&gt;=2,"Yes","No"))</f>
        <v>0</v>
      </c>
      <c r="AO433" s="25">
        <f>IF(B433="","",COUNTIFS($AE$5:$AE$504,"&gt;"&amp;AE433)+COUNTIFS($AE$5:AE433,AE433))</f>
        <v>0</v>
      </c>
      <c r="AP433" s="25">
        <f>IF(B433="","",COUNTIFS($T$5:$T$504,"&gt;"&amp;T433)+COUNTIFS($T$5:T433,T433))</f>
        <v>0</v>
      </c>
      <c r="AQ433" s="39">
        <f>IF(B433="","",IF(COUNTIF($B$5:$B$504,B433)&gt;1,"Duplicate - same name twice",IF(R433="Archived","",IF(AK433&gt;0.004,"Chase - balance outstanding",IF(AM433="Inactive","Gone - win-back offer",IF(AM433="Lapsing","Chase - lapsing, call them",IF(IF(N433="",FALSE,TodayDate-N433&gt;PatchTestDays),"Due - patch test out of date",IF(IF(AD433="",FALSE,IF(AB433&lt;&gt;"",FALSE,AD433&lt;=TodayDate+14)),"Rebook - due and nothing booked",IF(IF(K433="",FALSE,ABS(DATE(YEAR(TodayDate),MONTH(K433),DAY(K433))-TodayDate)&lt;=7),"Birthday - send the treat","OK")))))))))</f>
        <v>0</v>
      </c>
    </row>
    <row r="434" spans="1:43">
      <c r="A434" s="28">
        <f>IF(B434="","",ClientPrefix&amp;TEXT(ROW()-4,"0000"))</f>
        <v>0</v>
      </c>
      <c r="J434" s="15">
        <f>IF(I434="","",IFERROR(INDEX(Staff!$B$5:$B$44,MATCH(I434,Staff!$A$5:$A$44,0)),"Not in Staff"))</f>
        <v>0</v>
      </c>
      <c r="T434" s="25">
        <f>IF(B434="","",COUNTIFS(Appointments!$E$5:$E$1204,A434,Appointments!$M$5:$M$1204,"Completed"))</f>
        <v>0</v>
      </c>
      <c r="U434" s="25">
        <f>IF(B434="","",COUNTIFS(Appointments!$E$5:$E$1204,A434,Appointments!$M$5:$M$1204,"Completed",Appointments!$B$5:$B$1204,"&gt;="&amp;TodayDate-365))</f>
        <v>0</v>
      </c>
      <c r="V434" s="25">
        <f>IF(B434="","",COUNTIFS(Appointments!$E$5:$E$1204,A434,Appointments!$M$5:$M$1204,"Cancelled"))</f>
        <v>0</v>
      </c>
      <c r="W434" s="25">
        <f>IF(B434="","",COUNTIFS(Appointments!$E$5:$E$1204,A434,Appointments!$M$5:$M$1204,"No show"))</f>
        <v>0</v>
      </c>
      <c r="X434" s="17">
        <f>IF(B434="","",IF(F434&lt;&gt;"",F434,IF(T434=0,"",SUMPRODUCT(MIN((Appointments!$E$5:$E$1204=A434)*(Appointments!$M$5:$M$1204="Completed")*Appointments!$B$5:$B$1204+(1-(Appointments!$E$5:$E$1204=A434)*(Appointments!$M$5:$M$1204="Completed"))*2958465)))))</f>
        <v>0</v>
      </c>
      <c r="Y434" s="17">
        <f>IF(B434="","",IF(T434=0,"",SUMPRODUCT(MAX((Appointments!$E$5:$E$1204=A434)*(Appointments!$M$5:$M$1204="Completed")*Appointments!$B$5:$B$1204))))</f>
        <v>0</v>
      </c>
      <c r="Z434" s="25">
        <f>IF(B434="","",IF(Y434="","",TodayDate-Y434))</f>
        <v>0</v>
      </c>
      <c r="AA434" s="42">
        <f>IF(B434="","",SUMPRODUCT(MIN((Appointments!$E$5:$E$1204=A434)*(Appointments!$M$5:$M$1204&lt;&gt;"Cancelled")*(Appointments!$M$5:$M$1204&lt;&gt;"Completed")*(Appointments!$M$5:$M$1204&lt;&gt;"No show")*(Appointments!$B$5:$B$1204&gt;=TodayDate)*Appointments!$B$5:$B$1204+(1-(Appointments!$E$5:$E$1204=A434)*(Appointments!$M$5:$M$1204&lt;&gt;"Cancelled")*(Appointments!$M$5:$M$1204&lt;&gt;"Completed")*(Appointments!$M$5:$M$1204&lt;&gt;"No show")*(Appointments!$B$5:$B$1204&gt;=TodayDate))*2958465)))</f>
        <v>0</v>
      </c>
      <c r="AB434" s="17">
        <f>IF(B434="","",IF(AA434&gt;=2958465,"",AA434))</f>
        <v>0</v>
      </c>
      <c r="AC434" s="25">
        <f>IF(B434="","",IF(T434&lt;2,"",ROUND((Y434-X434)/MAX(1,T434-1),0)))</f>
        <v>0</v>
      </c>
      <c r="AD434" s="17">
        <f>IF(B434="","",IF(Y434="","",Y434+IF(AC434="",RebookWeeks*7,MAX(14,AC434))))</f>
        <v>0</v>
      </c>
      <c r="AE434" s="26">
        <f>IF(B434="","",ROUND(SUMIFS(Sales!$Y$5:$Y$1204,Sales!$D$5:$D$1204,A434),2))</f>
        <v>0</v>
      </c>
      <c r="AF434" s="26">
        <f>IF(B434="","",ROUND(SUMIFS(Sales!$Y$5:$Y$1204,Sales!$D$5:$D$1204,A434,Sales!$H$5:$H$1204,"Service"),2))</f>
        <v>0</v>
      </c>
      <c r="AG434" s="26">
        <f>IF(B434="","",ROUND(SUMIFS(Sales!$Y$5:$Y$1204,Sales!$D$5:$D$1204,A434,Sales!$H$5:$H$1204,"Retail"),2))</f>
        <v>0</v>
      </c>
      <c r="AH434" s="26">
        <f>IF(B434="","",ROUND(SUMIFS(Sales!$Y$5:$Y$1204,Sales!$D$5:$D$1204,A434,Sales!$B$5:$B$1204,"&gt;="&amp;TodayDate-365),2))</f>
        <v>0</v>
      </c>
      <c r="AI434" s="26">
        <f>IF(B434="","",IF(T434=0,"",ROUND(AE434/T434,2)))</f>
        <v>0</v>
      </c>
      <c r="AJ434" s="26">
        <f>IF(B434="","",IF(AI434="","",IF(AC434="","",ROUND(AI434*(365/MAX(14,AC434)),2))))</f>
        <v>0</v>
      </c>
      <c r="AK434" s="26">
        <f>IF(B434="","",ROUND(SUMIFS(Sales!$AH$5:$AH$1204,Sales!$D$5:$D$1204,A434),2))</f>
        <v>0</v>
      </c>
      <c r="AL434" s="25">
        <f>IF(B434="","",IFERROR(INDEX(Loyalty!$P$5:$P$504,MATCH(A434,Loyalty!$B$5:$B$504,0))*1,0))</f>
        <v>0</v>
      </c>
      <c r="AM434" s="39">
        <f>IF(B434="","",IF(R434="Archived","Archived",IF(T434=0,"Not been yet",IF(Z434&gt;=InactiveDays,"Inactive",IF(Z434&gt;=LapsingDays,"Lapsing",IF(T434=1,"New",IF(AH434&gt;=VipSpend,"VIP",IF(U434&gt;=4,"Regular","Active"))))))))</f>
        <v>0</v>
      </c>
      <c r="AN434" s="38">
        <f>IF(B434="","",IF(T434&gt;=2,"Yes","No"))</f>
        <v>0</v>
      </c>
      <c r="AO434" s="25">
        <f>IF(B434="","",COUNTIFS($AE$5:$AE$504,"&gt;"&amp;AE434)+COUNTIFS($AE$5:AE434,AE434))</f>
        <v>0</v>
      </c>
      <c r="AP434" s="25">
        <f>IF(B434="","",COUNTIFS($T$5:$T$504,"&gt;"&amp;T434)+COUNTIFS($T$5:T434,T434))</f>
        <v>0</v>
      </c>
      <c r="AQ434" s="39">
        <f>IF(B434="","",IF(COUNTIF($B$5:$B$504,B434)&gt;1,"Duplicate - same name twice",IF(R434="Archived","",IF(AK434&gt;0.004,"Chase - balance outstanding",IF(AM434="Inactive","Gone - win-back offer",IF(AM434="Lapsing","Chase - lapsing, call them",IF(IF(N434="",FALSE,TodayDate-N434&gt;PatchTestDays),"Due - patch test out of date",IF(IF(AD434="",FALSE,IF(AB434&lt;&gt;"",FALSE,AD434&lt;=TodayDate+14)),"Rebook - due and nothing booked",IF(IF(K434="",FALSE,ABS(DATE(YEAR(TodayDate),MONTH(K434),DAY(K434))-TodayDate)&lt;=7),"Birthday - send the treat","OK")))))))))</f>
        <v>0</v>
      </c>
    </row>
    <row r="435" spans="1:43">
      <c r="A435" s="28">
        <f>IF(B435="","",ClientPrefix&amp;TEXT(ROW()-4,"0000"))</f>
        <v>0</v>
      </c>
      <c r="J435" s="15">
        <f>IF(I435="","",IFERROR(INDEX(Staff!$B$5:$B$44,MATCH(I435,Staff!$A$5:$A$44,0)),"Not in Staff"))</f>
        <v>0</v>
      </c>
      <c r="T435" s="25">
        <f>IF(B435="","",COUNTIFS(Appointments!$E$5:$E$1204,A435,Appointments!$M$5:$M$1204,"Completed"))</f>
        <v>0</v>
      </c>
      <c r="U435" s="25">
        <f>IF(B435="","",COUNTIFS(Appointments!$E$5:$E$1204,A435,Appointments!$M$5:$M$1204,"Completed",Appointments!$B$5:$B$1204,"&gt;="&amp;TodayDate-365))</f>
        <v>0</v>
      </c>
      <c r="V435" s="25">
        <f>IF(B435="","",COUNTIFS(Appointments!$E$5:$E$1204,A435,Appointments!$M$5:$M$1204,"Cancelled"))</f>
        <v>0</v>
      </c>
      <c r="W435" s="25">
        <f>IF(B435="","",COUNTIFS(Appointments!$E$5:$E$1204,A435,Appointments!$M$5:$M$1204,"No show"))</f>
        <v>0</v>
      </c>
      <c r="X435" s="17">
        <f>IF(B435="","",IF(F435&lt;&gt;"",F435,IF(T435=0,"",SUMPRODUCT(MIN((Appointments!$E$5:$E$1204=A435)*(Appointments!$M$5:$M$1204="Completed")*Appointments!$B$5:$B$1204+(1-(Appointments!$E$5:$E$1204=A435)*(Appointments!$M$5:$M$1204="Completed"))*2958465)))))</f>
        <v>0</v>
      </c>
      <c r="Y435" s="17">
        <f>IF(B435="","",IF(T435=0,"",SUMPRODUCT(MAX((Appointments!$E$5:$E$1204=A435)*(Appointments!$M$5:$M$1204="Completed")*Appointments!$B$5:$B$1204))))</f>
        <v>0</v>
      </c>
      <c r="Z435" s="25">
        <f>IF(B435="","",IF(Y435="","",TodayDate-Y435))</f>
        <v>0</v>
      </c>
      <c r="AA435" s="42">
        <f>IF(B435="","",SUMPRODUCT(MIN((Appointments!$E$5:$E$1204=A435)*(Appointments!$M$5:$M$1204&lt;&gt;"Cancelled")*(Appointments!$M$5:$M$1204&lt;&gt;"Completed")*(Appointments!$M$5:$M$1204&lt;&gt;"No show")*(Appointments!$B$5:$B$1204&gt;=TodayDate)*Appointments!$B$5:$B$1204+(1-(Appointments!$E$5:$E$1204=A435)*(Appointments!$M$5:$M$1204&lt;&gt;"Cancelled")*(Appointments!$M$5:$M$1204&lt;&gt;"Completed")*(Appointments!$M$5:$M$1204&lt;&gt;"No show")*(Appointments!$B$5:$B$1204&gt;=TodayDate))*2958465)))</f>
        <v>0</v>
      </c>
      <c r="AB435" s="17">
        <f>IF(B435="","",IF(AA435&gt;=2958465,"",AA435))</f>
        <v>0</v>
      </c>
      <c r="AC435" s="25">
        <f>IF(B435="","",IF(T435&lt;2,"",ROUND((Y435-X435)/MAX(1,T435-1),0)))</f>
        <v>0</v>
      </c>
      <c r="AD435" s="17">
        <f>IF(B435="","",IF(Y435="","",Y435+IF(AC435="",RebookWeeks*7,MAX(14,AC435))))</f>
        <v>0</v>
      </c>
      <c r="AE435" s="26">
        <f>IF(B435="","",ROUND(SUMIFS(Sales!$Y$5:$Y$1204,Sales!$D$5:$D$1204,A435),2))</f>
        <v>0</v>
      </c>
      <c r="AF435" s="26">
        <f>IF(B435="","",ROUND(SUMIFS(Sales!$Y$5:$Y$1204,Sales!$D$5:$D$1204,A435,Sales!$H$5:$H$1204,"Service"),2))</f>
        <v>0</v>
      </c>
      <c r="AG435" s="26">
        <f>IF(B435="","",ROUND(SUMIFS(Sales!$Y$5:$Y$1204,Sales!$D$5:$D$1204,A435,Sales!$H$5:$H$1204,"Retail"),2))</f>
        <v>0</v>
      </c>
      <c r="AH435" s="26">
        <f>IF(B435="","",ROUND(SUMIFS(Sales!$Y$5:$Y$1204,Sales!$D$5:$D$1204,A435,Sales!$B$5:$B$1204,"&gt;="&amp;TodayDate-365),2))</f>
        <v>0</v>
      </c>
      <c r="AI435" s="26">
        <f>IF(B435="","",IF(T435=0,"",ROUND(AE435/T435,2)))</f>
        <v>0</v>
      </c>
      <c r="AJ435" s="26">
        <f>IF(B435="","",IF(AI435="","",IF(AC435="","",ROUND(AI435*(365/MAX(14,AC435)),2))))</f>
        <v>0</v>
      </c>
      <c r="AK435" s="26">
        <f>IF(B435="","",ROUND(SUMIFS(Sales!$AH$5:$AH$1204,Sales!$D$5:$D$1204,A435),2))</f>
        <v>0</v>
      </c>
      <c r="AL435" s="25">
        <f>IF(B435="","",IFERROR(INDEX(Loyalty!$P$5:$P$504,MATCH(A435,Loyalty!$B$5:$B$504,0))*1,0))</f>
        <v>0</v>
      </c>
      <c r="AM435" s="39">
        <f>IF(B435="","",IF(R435="Archived","Archived",IF(T435=0,"Not been yet",IF(Z435&gt;=InactiveDays,"Inactive",IF(Z435&gt;=LapsingDays,"Lapsing",IF(T435=1,"New",IF(AH435&gt;=VipSpend,"VIP",IF(U435&gt;=4,"Regular","Active"))))))))</f>
        <v>0</v>
      </c>
      <c r="AN435" s="38">
        <f>IF(B435="","",IF(T435&gt;=2,"Yes","No"))</f>
        <v>0</v>
      </c>
      <c r="AO435" s="25">
        <f>IF(B435="","",COUNTIFS($AE$5:$AE$504,"&gt;"&amp;AE435)+COUNTIFS($AE$5:AE435,AE435))</f>
        <v>0</v>
      </c>
      <c r="AP435" s="25">
        <f>IF(B435="","",COUNTIFS($T$5:$T$504,"&gt;"&amp;T435)+COUNTIFS($T$5:T435,T435))</f>
        <v>0</v>
      </c>
      <c r="AQ435" s="39">
        <f>IF(B435="","",IF(COUNTIF($B$5:$B$504,B435)&gt;1,"Duplicate - same name twice",IF(R435="Archived","",IF(AK435&gt;0.004,"Chase - balance outstanding",IF(AM435="Inactive","Gone - win-back offer",IF(AM435="Lapsing","Chase - lapsing, call them",IF(IF(N435="",FALSE,TodayDate-N435&gt;PatchTestDays),"Due - patch test out of date",IF(IF(AD435="",FALSE,IF(AB435&lt;&gt;"",FALSE,AD435&lt;=TodayDate+14)),"Rebook - due and nothing booked",IF(IF(K435="",FALSE,ABS(DATE(YEAR(TodayDate),MONTH(K435),DAY(K435))-TodayDate)&lt;=7),"Birthday - send the treat","OK")))))))))</f>
        <v>0</v>
      </c>
    </row>
    <row r="436" spans="1:43">
      <c r="A436" s="28">
        <f>IF(B436="","",ClientPrefix&amp;TEXT(ROW()-4,"0000"))</f>
        <v>0</v>
      </c>
      <c r="J436" s="15">
        <f>IF(I436="","",IFERROR(INDEX(Staff!$B$5:$B$44,MATCH(I436,Staff!$A$5:$A$44,0)),"Not in Staff"))</f>
        <v>0</v>
      </c>
      <c r="T436" s="25">
        <f>IF(B436="","",COUNTIFS(Appointments!$E$5:$E$1204,A436,Appointments!$M$5:$M$1204,"Completed"))</f>
        <v>0</v>
      </c>
      <c r="U436" s="25">
        <f>IF(B436="","",COUNTIFS(Appointments!$E$5:$E$1204,A436,Appointments!$M$5:$M$1204,"Completed",Appointments!$B$5:$B$1204,"&gt;="&amp;TodayDate-365))</f>
        <v>0</v>
      </c>
      <c r="V436" s="25">
        <f>IF(B436="","",COUNTIFS(Appointments!$E$5:$E$1204,A436,Appointments!$M$5:$M$1204,"Cancelled"))</f>
        <v>0</v>
      </c>
      <c r="W436" s="25">
        <f>IF(B436="","",COUNTIFS(Appointments!$E$5:$E$1204,A436,Appointments!$M$5:$M$1204,"No show"))</f>
        <v>0</v>
      </c>
      <c r="X436" s="17">
        <f>IF(B436="","",IF(F436&lt;&gt;"",F436,IF(T436=0,"",SUMPRODUCT(MIN((Appointments!$E$5:$E$1204=A436)*(Appointments!$M$5:$M$1204="Completed")*Appointments!$B$5:$B$1204+(1-(Appointments!$E$5:$E$1204=A436)*(Appointments!$M$5:$M$1204="Completed"))*2958465)))))</f>
        <v>0</v>
      </c>
      <c r="Y436" s="17">
        <f>IF(B436="","",IF(T436=0,"",SUMPRODUCT(MAX((Appointments!$E$5:$E$1204=A436)*(Appointments!$M$5:$M$1204="Completed")*Appointments!$B$5:$B$1204))))</f>
        <v>0</v>
      </c>
      <c r="Z436" s="25">
        <f>IF(B436="","",IF(Y436="","",TodayDate-Y436))</f>
        <v>0</v>
      </c>
      <c r="AA436" s="42">
        <f>IF(B436="","",SUMPRODUCT(MIN((Appointments!$E$5:$E$1204=A436)*(Appointments!$M$5:$M$1204&lt;&gt;"Cancelled")*(Appointments!$M$5:$M$1204&lt;&gt;"Completed")*(Appointments!$M$5:$M$1204&lt;&gt;"No show")*(Appointments!$B$5:$B$1204&gt;=TodayDate)*Appointments!$B$5:$B$1204+(1-(Appointments!$E$5:$E$1204=A436)*(Appointments!$M$5:$M$1204&lt;&gt;"Cancelled")*(Appointments!$M$5:$M$1204&lt;&gt;"Completed")*(Appointments!$M$5:$M$1204&lt;&gt;"No show")*(Appointments!$B$5:$B$1204&gt;=TodayDate))*2958465)))</f>
        <v>0</v>
      </c>
      <c r="AB436" s="17">
        <f>IF(B436="","",IF(AA436&gt;=2958465,"",AA436))</f>
        <v>0</v>
      </c>
      <c r="AC436" s="25">
        <f>IF(B436="","",IF(T436&lt;2,"",ROUND((Y436-X436)/MAX(1,T436-1),0)))</f>
        <v>0</v>
      </c>
      <c r="AD436" s="17">
        <f>IF(B436="","",IF(Y436="","",Y436+IF(AC436="",RebookWeeks*7,MAX(14,AC436))))</f>
        <v>0</v>
      </c>
      <c r="AE436" s="26">
        <f>IF(B436="","",ROUND(SUMIFS(Sales!$Y$5:$Y$1204,Sales!$D$5:$D$1204,A436),2))</f>
        <v>0</v>
      </c>
      <c r="AF436" s="26">
        <f>IF(B436="","",ROUND(SUMIFS(Sales!$Y$5:$Y$1204,Sales!$D$5:$D$1204,A436,Sales!$H$5:$H$1204,"Service"),2))</f>
        <v>0</v>
      </c>
      <c r="AG436" s="26">
        <f>IF(B436="","",ROUND(SUMIFS(Sales!$Y$5:$Y$1204,Sales!$D$5:$D$1204,A436,Sales!$H$5:$H$1204,"Retail"),2))</f>
        <v>0</v>
      </c>
      <c r="AH436" s="26">
        <f>IF(B436="","",ROUND(SUMIFS(Sales!$Y$5:$Y$1204,Sales!$D$5:$D$1204,A436,Sales!$B$5:$B$1204,"&gt;="&amp;TodayDate-365),2))</f>
        <v>0</v>
      </c>
      <c r="AI436" s="26">
        <f>IF(B436="","",IF(T436=0,"",ROUND(AE436/T436,2)))</f>
        <v>0</v>
      </c>
      <c r="AJ436" s="26">
        <f>IF(B436="","",IF(AI436="","",IF(AC436="","",ROUND(AI436*(365/MAX(14,AC436)),2))))</f>
        <v>0</v>
      </c>
      <c r="AK436" s="26">
        <f>IF(B436="","",ROUND(SUMIFS(Sales!$AH$5:$AH$1204,Sales!$D$5:$D$1204,A436),2))</f>
        <v>0</v>
      </c>
      <c r="AL436" s="25">
        <f>IF(B436="","",IFERROR(INDEX(Loyalty!$P$5:$P$504,MATCH(A436,Loyalty!$B$5:$B$504,0))*1,0))</f>
        <v>0</v>
      </c>
      <c r="AM436" s="39">
        <f>IF(B436="","",IF(R436="Archived","Archived",IF(T436=0,"Not been yet",IF(Z436&gt;=InactiveDays,"Inactive",IF(Z436&gt;=LapsingDays,"Lapsing",IF(T436=1,"New",IF(AH436&gt;=VipSpend,"VIP",IF(U436&gt;=4,"Regular","Active"))))))))</f>
        <v>0</v>
      </c>
      <c r="AN436" s="38">
        <f>IF(B436="","",IF(T436&gt;=2,"Yes","No"))</f>
        <v>0</v>
      </c>
      <c r="AO436" s="25">
        <f>IF(B436="","",COUNTIFS($AE$5:$AE$504,"&gt;"&amp;AE436)+COUNTIFS($AE$5:AE436,AE436))</f>
        <v>0</v>
      </c>
      <c r="AP436" s="25">
        <f>IF(B436="","",COUNTIFS($T$5:$T$504,"&gt;"&amp;T436)+COUNTIFS($T$5:T436,T436))</f>
        <v>0</v>
      </c>
      <c r="AQ436" s="39">
        <f>IF(B436="","",IF(COUNTIF($B$5:$B$504,B436)&gt;1,"Duplicate - same name twice",IF(R436="Archived","",IF(AK436&gt;0.004,"Chase - balance outstanding",IF(AM436="Inactive","Gone - win-back offer",IF(AM436="Lapsing","Chase - lapsing, call them",IF(IF(N436="",FALSE,TodayDate-N436&gt;PatchTestDays),"Due - patch test out of date",IF(IF(AD436="",FALSE,IF(AB436&lt;&gt;"",FALSE,AD436&lt;=TodayDate+14)),"Rebook - due and nothing booked",IF(IF(K436="",FALSE,ABS(DATE(YEAR(TodayDate),MONTH(K436),DAY(K436))-TodayDate)&lt;=7),"Birthday - send the treat","OK")))))))))</f>
        <v>0</v>
      </c>
    </row>
    <row r="437" spans="1:43">
      <c r="A437" s="28">
        <f>IF(B437="","",ClientPrefix&amp;TEXT(ROW()-4,"0000"))</f>
        <v>0</v>
      </c>
      <c r="J437" s="15">
        <f>IF(I437="","",IFERROR(INDEX(Staff!$B$5:$B$44,MATCH(I437,Staff!$A$5:$A$44,0)),"Not in Staff"))</f>
        <v>0</v>
      </c>
      <c r="T437" s="25">
        <f>IF(B437="","",COUNTIFS(Appointments!$E$5:$E$1204,A437,Appointments!$M$5:$M$1204,"Completed"))</f>
        <v>0</v>
      </c>
      <c r="U437" s="25">
        <f>IF(B437="","",COUNTIFS(Appointments!$E$5:$E$1204,A437,Appointments!$M$5:$M$1204,"Completed",Appointments!$B$5:$B$1204,"&gt;="&amp;TodayDate-365))</f>
        <v>0</v>
      </c>
      <c r="V437" s="25">
        <f>IF(B437="","",COUNTIFS(Appointments!$E$5:$E$1204,A437,Appointments!$M$5:$M$1204,"Cancelled"))</f>
        <v>0</v>
      </c>
      <c r="W437" s="25">
        <f>IF(B437="","",COUNTIFS(Appointments!$E$5:$E$1204,A437,Appointments!$M$5:$M$1204,"No show"))</f>
        <v>0</v>
      </c>
      <c r="X437" s="17">
        <f>IF(B437="","",IF(F437&lt;&gt;"",F437,IF(T437=0,"",SUMPRODUCT(MIN((Appointments!$E$5:$E$1204=A437)*(Appointments!$M$5:$M$1204="Completed")*Appointments!$B$5:$B$1204+(1-(Appointments!$E$5:$E$1204=A437)*(Appointments!$M$5:$M$1204="Completed"))*2958465)))))</f>
        <v>0</v>
      </c>
      <c r="Y437" s="17">
        <f>IF(B437="","",IF(T437=0,"",SUMPRODUCT(MAX((Appointments!$E$5:$E$1204=A437)*(Appointments!$M$5:$M$1204="Completed")*Appointments!$B$5:$B$1204))))</f>
        <v>0</v>
      </c>
      <c r="Z437" s="25">
        <f>IF(B437="","",IF(Y437="","",TodayDate-Y437))</f>
        <v>0</v>
      </c>
      <c r="AA437" s="42">
        <f>IF(B437="","",SUMPRODUCT(MIN((Appointments!$E$5:$E$1204=A437)*(Appointments!$M$5:$M$1204&lt;&gt;"Cancelled")*(Appointments!$M$5:$M$1204&lt;&gt;"Completed")*(Appointments!$M$5:$M$1204&lt;&gt;"No show")*(Appointments!$B$5:$B$1204&gt;=TodayDate)*Appointments!$B$5:$B$1204+(1-(Appointments!$E$5:$E$1204=A437)*(Appointments!$M$5:$M$1204&lt;&gt;"Cancelled")*(Appointments!$M$5:$M$1204&lt;&gt;"Completed")*(Appointments!$M$5:$M$1204&lt;&gt;"No show")*(Appointments!$B$5:$B$1204&gt;=TodayDate))*2958465)))</f>
        <v>0</v>
      </c>
      <c r="AB437" s="17">
        <f>IF(B437="","",IF(AA437&gt;=2958465,"",AA437))</f>
        <v>0</v>
      </c>
      <c r="AC437" s="25">
        <f>IF(B437="","",IF(T437&lt;2,"",ROUND((Y437-X437)/MAX(1,T437-1),0)))</f>
        <v>0</v>
      </c>
      <c r="AD437" s="17">
        <f>IF(B437="","",IF(Y437="","",Y437+IF(AC437="",RebookWeeks*7,MAX(14,AC437))))</f>
        <v>0</v>
      </c>
      <c r="AE437" s="26">
        <f>IF(B437="","",ROUND(SUMIFS(Sales!$Y$5:$Y$1204,Sales!$D$5:$D$1204,A437),2))</f>
        <v>0</v>
      </c>
      <c r="AF437" s="26">
        <f>IF(B437="","",ROUND(SUMIFS(Sales!$Y$5:$Y$1204,Sales!$D$5:$D$1204,A437,Sales!$H$5:$H$1204,"Service"),2))</f>
        <v>0</v>
      </c>
      <c r="AG437" s="26">
        <f>IF(B437="","",ROUND(SUMIFS(Sales!$Y$5:$Y$1204,Sales!$D$5:$D$1204,A437,Sales!$H$5:$H$1204,"Retail"),2))</f>
        <v>0</v>
      </c>
      <c r="AH437" s="26">
        <f>IF(B437="","",ROUND(SUMIFS(Sales!$Y$5:$Y$1204,Sales!$D$5:$D$1204,A437,Sales!$B$5:$B$1204,"&gt;="&amp;TodayDate-365),2))</f>
        <v>0</v>
      </c>
      <c r="AI437" s="26">
        <f>IF(B437="","",IF(T437=0,"",ROUND(AE437/T437,2)))</f>
        <v>0</v>
      </c>
      <c r="AJ437" s="26">
        <f>IF(B437="","",IF(AI437="","",IF(AC437="","",ROUND(AI437*(365/MAX(14,AC437)),2))))</f>
        <v>0</v>
      </c>
      <c r="AK437" s="26">
        <f>IF(B437="","",ROUND(SUMIFS(Sales!$AH$5:$AH$1204,Sales!$D$5:$D$1204,A437),2))</f>
        <v>0</v>
      </c>
      <c r="AL437" s="25">
        <f>IF(B437="","",IFERROR(INDEX(Loyalty!$P$5:$P$504,MATCH(A437,Loyalty!$B$5:$B$504,0))*1,0))</f>
        <v>0</v>
      </c>
      <c r="AM437" s="39">
        <f>IF(B437="","",IF(R437="Archived","Archived",IF(T437=0,"Not been yet",IF(Z437&gt;=InactiveDays,"Inactive",IF(Z437&gt;=LapsingDays,"Lapsing",IF(T437=1,"New",IF(AH437&gt;=VipSpend,"VIP",IF(U437&gt;=4,"Regular","Active"))))))))</f>
        <v>0</v>
      </c>
      <c r="AN437" s="38">
        <f>IF(B437="","",IF(T437&gt;=2,"Yes","No"))</f>
        <v>0</v>
      </c>
      <c r="AO437" s="25">
        <f>IF(B437="","",COUNTIFS($AE$5:$AE$504,"&gt;"&amp;AE437)+COUNTIFS($AE$5:AE437,AE437))</f>
        <v>0</v>
      </c>
      <c r="AP437" s="25">
        <f>IF(B437="","",COUNTIFS($T$5:$T$504,"&gt;"&amp;T437)+COUNTIFS($T$5:T437,T437))</f>
        <v>0</v>
      </c>
      <c r="AQ437" s="39">
        <f>IF(B437="","",IF(COUNTIF($B$5:$B$504,B437)&gt;1,"Duplicate - same name twice",IF(R437="Archived","",IF(AK437&gt;0.004,"Chase - balance outstanding",IF(AM437="Inactive","Gone - win-back offer",IF(AM437="Lapsing","Chase - lapsing, call them",IF(IF(N437="",FALSE,TodayDate-N437&gt;PatchTestDays),"Due - patch test out of date",IF(IF(AD437="",FALSE,IF(AB437&lt;&gt;"",FALSE,AD437&lt;=TodayDate+14)),"Rebook - due and nothing booked",IF(IF(K437="",FALSE,ABS(DATE(YEAR(TodayDate),MONTH(K437),DAY(K437))-TodayDate)&lt;=7),"Birthday - send the treat","OK")))))))))</f>
        <v>0</v>
      </c>
    </row>
    <row r="438" spans="1:43">
      <c r="A438" s="28">
        <f>IF(B438="","",ClientPrefix&amp;TEXT(ROW()-4,"0000"))</f>
        <v>0</v>
      </c>
      <c r="J438" s="15">
        <f>IF(I438="","",IFERROR(INDEX(Staff!$B$5:$B$44,MATCH(I438,Staff!$A$5:$A$44,0)),"Not in Staff"))</f>
        <v>0</v>
      </c>
      <c r="T438" s="25">
        <f>IF(B438="","",COUNTIFS(Appointments!$E$5:$E$1204,A438,Appointments!$M$5:$M$1204,"Completed"))</f>
        <v>0</v>
      </c>
      <c r="U438" s="25">
        <f>IF(B438="","",COUNTIFS(Appointments!$E$5:$E$1204,A438,Appointments!$M$5:$M$1204,"Completed",Appointments!$B$5:$B$1204,"&gt;="&amp;TodayDate-365))</f>
        <v>0</v>
      </c>
      <c r="V438" s="25">
        <f>IF(B438="","",COUNTIFS(Appointments!$E$5:$E$1204,A438,Appointments!$M$5:$M$1204,"Cancelled"))</f>
        <v>0</v>
      </c>
      <c r="W438" s="25">
        <f>IF(B438="","",COUNTIFS(Appointments!$E$5:$E$1204,A438,Appointments!$M$5:$M$1204,"No show"))</f>
        <v>0</v>
      </c>
      <c r="X438" s="17">
        <f>IF(B438="","",IF(F438&lt;&gt;"",F438,IF(T438=0,"",SUMPRODUCT(MIN((Appointments!$E$5:$E$1204=A438)*(Appointments!$M$5:$M$1204="Completed")*Appointments!$B$5:$B$1204+(1-(Appointments!$E$5:$E$1204=A438)*(Appointments!$M$5:$M$1204="Completed"))*2958465)))))</f>
        <v>0</v>
      </c>
      <c r="Y438" s="17">
        <f>IF(B438="","",IF(T438=0,"",SUMPRODUCT(MAX((Appointments!$E$5:$E$1204=A438)*(Appointments!$M$5:$M$1204="Completed")*Appointments!$B$5:$B$1204))))</f>
        <v>0</v>
      </c>
      <c r="Z438" s="25">
        <f>IF(B438="","",IF(Y438="","",TodayDate-Y438))</f>
        <v>0</v>
      </c>
      <c r="AA438" s="42">
        <f>IF(B438="","",SUMPRODUCT(MIN((Appointments!$E$5:$E$1204=A438)*(Appointments!$M$5:$M$1204&lt;&gt;"Cancelled")*(Appointments!$M$5:$M$1204&lt;&gt;"Completed")*(Appointments!$M$5:$M$1204&lt;&gt;"No show")*(Appointments!$B$5:$B$1204&gt;=TodayDate)*Appointments!$B$5:$B$1204+(1-(Appointments!$E$5:$E$1204=A438)*(Appointments!$M$5:$M$1204&lt;&gt;"Cancelled")*(Appointments!$M$5:$M$1204&lt;&gt;"Completed")*(Appointments!$M$5:$M$1204&lt;&gt;"No show")*(Appointments!$B$5:$B$1204&gt;=TodayDate))*2958465)))</f>
        <v>0</v>
      </c>
      <c r="AB438" s="17">
        <f>IF(B438="","",IF(AA438&gt;=2958465,"",AA438))</f>
        <v>0</v>
      </c>
      <c r="AC438" s="25">
        <f>IF(B438="","",IF(T438&lt;2,"",ROUND((Y438-X438)/MAX(1,T438-1),0)))</f>
        <v>0</v>
      </c>
      <c r="AD438" s="17">
        <f>IF(B438="","",IF(Y438="","",Y438+IF(AC438="",RebookWeeks*7,MAX(14,AC438))))</f>
        <v>0</v>
      </c>
      <c r="AE438" s="26">
        <f>IF(B438="","",ROUND(SUMIFS(Sales!$Y$5:$Y$1204,Sales!$D$5:$D$1204,A438),2))</f>
        <v>0</v>
      </c>
      <c r="AF438" s="26">
        <f>IF(B438="","",ROUND(SUMIFS(Sales!$Y$5:$Y$1204,Sales!$D$5:$D$1204,A438,Sales!$H$5:$H$1204,"Service"),2))</f>
        <v>0</v>
      </c>
      <c r="AG438" s="26">
        <f>IF(B438="","",ROUND(SUMIFS(Sales!$Y$5:$Y$1204,Sales!$D$5:$D$1204,A438,Sales!$H$5:$H$1204,"Retail"),2))</f>
        <v>0</v>
      </c>
      <c r="AH438" s="26">
        <f>IF(B438="","",ROUND(SUMIFS(Sales!$Y$5:$Y$1204,Sales!$D$5:$D$1204,A438,Sales!$B$5:$B$1204,"&gt;="&amp;TodayDate-365),2))</f>
        <v>0</v>
      </c>
      <c r="AI438" s="26">
        <f>IF(B438="","",IF(T438=0,"",ROUND(AE438/T438,2)))</f>
        <v>0</v>
      </c>
      <c r="AJ438" s="26">
        <f>IF(B438="","",IF(AI438="","",IF(AC438="","",ROUND(AI438*(365/MAX(14,AC438)),2))))</f>
        <v>0</v>
      </c>
      <c r="AK438" s="26">
        <f>IF(B438="","",ROUND(SUMIFS(Sales!$AH$5:$AH$1204,Sales!$D$5:$D$1204,A438),2))</f>
        <v>0</v>
      </c>
      <c r="AL438" s="25">
        <f>IF(B438="","",IFERROR(INDEX(Loyalty!$P$5:$P$504,MATCH(A438,Loyalty!$B$5:$B$504,0))*1,0))</f>
        <v>0</v>
      </c>
      <c r="AM438" s="39">
        <f>IF(B438="","",IF(R438="Archived","Archived",IF(T438=0,"Not been yet",IF(Z438&gt;=InactiveDays,"Inactive",IF(Z438&gt;=LapsingDays,"Lapsing",IF(T438=1,"New",IF(AH438&gt;=VipSpend,"VIP",IF(U438&gt;=4,"Regular","Active"))))))))</f>
        <v>0</v>
      </c>
      <c r="AN438" s="38">
        <f>IF(B438="","",IF(T438&gt;=2,"Yes","No"))</f>
        <v>0</v>
      </c>
      <c r="AO438" s="25">
        <f>IF(B438="","",COUNTIFS($AE$5:$AE$504,"&gt;"&amp;AE438)+COUNTIFS($AE$5:AE438,AE438))</f>
        <v>0</v>
      </c>
      <c r="AP438" s="25">
        <f>IF(B438="","",COUNTIFS($T$5:$T$504,"&gt;"&amp;T438)+COUNTIFS($T$5:T438,T438))</f>
        <v>0</v>
      </c>
      <c r="AQ438" s="39">
        <f>IF(B438="","",IF(COUNTIF($B$5:$B$504,B438)&gt;1,"Duplicate - same name twice",IF(R438="Archived","",IF(AK438&gt;0.004,"Chase - balance outstanding",IF(AM438="Inactive","Gone - win-back offer",IF(AM438="Lapsing","Chase - lapsing, call them",IF(IF(N438="",FALSE,TodayDate-N438&gt;PatchTestDays),"Due - patch test out of date",IF(IF(AD438="",FALSE,IF(AB438&lt;&gt;"",FALSE,AD438&lt;=TodayDate+14)),"Rebook - due and nothing booked",IF(IF(K438="",FALSE,ABS(DATE(YEAR(TodayDate),MONTH(K438),DAY(K438))-TodayDate)&lt;=7),"Birthday - send the treat","OK")))))))))</f>
        <v>0</v>
      </c>
    </row>
    <row r="439" spans="1:43">
      <c r="A439" s="28">
        <f>IF(B439="","",ClientPrefix&amp;TEXT(ROW()-4,"0000"))</f>
        <v>0</v>
      </c>
      <c r="J439" s="15">
        <f>IF(I439="","",IFERROR(INDEX(Staff!$B$5:$B$44,MATCH(I439,Staff!$A$5:$A$44,0)),"Not in Staff"))</f>
        <v>0</v>
      </c>
      <c r="T439" s="25">
        <f>IF(B439="","",COUNTIFS(Appointments!$E$5:$E$1204,A439,Appointments!$M$5:$M$1204,"Completed"))</f>
        <v>0</v>
      </c>
      <c r="U439" s="25">
        <f>IF(B439="","",COUNTIFS(Appointments!$E$5:$E$1204,A439,Appointments!$M$5:$M$1204,"Completed",Appointments!$B$5:$B$1204,"&gt;="&amp;TodayDate-365))</f>
        <v>0</v>
      </c>
      <c r="V439" s="25">
        <f>IF(B439="","",COUNTIFS(Appointments!$E$5:$E$1204,A439,Appointments!$M$5:$M$1204,"Cancelled"))</f>
        <v>0</v>
      </c>
      <c r="W439" s="25">
        <f>IF(B439="","",COUNTIFS(Appointments!$E$5:$E$1204,A439,Appointments!$M$5:$M$1204,"No show"))</f>
        <v>0</v>
      </c>
      <c r="X439" s="17">
        <f>IF(B439="","",IF(F439&lt;&gt;"",F439,IF(T439=0,"",SUMPRODUCT(MIN((Appointments!$E$5:$E$1204=A439)*(Appointments!$M$5:$M$1204="Completed")*Appointments!$B$5:$B$1204+(1-(Appointments!$E$5:$E$1204=A439)*(Appointments!$M$5:$M$1204="Completed"))*2958465)))))</f>
        <v>0</v>
      </c>
      <c r="Y439" s="17">
        <f>IF(B439="","",IF(T439=0,"",SUMPRODUCT(MAX((Appointments!$E$5:$E$1204=A439)*(Appointments!$M$5:$M$1204="Completed")*Appointments!$B$5:$B$1204))))</f>
        <v>0</v>
      </c>
      <c r="Z439" s="25">
        <f>IF(B439="","",IF(Y439="","",TodayDate-Y439))</f>
        <v>0</v>
      </c>
      <c r="AA439" s="42">
        <f>IF(B439="","",SUMPRODUCT(MIN((Appointments!$E$5:$E$1204=A439)*(Appointments!$M$5:$M$1204&lt;&gt;"Cancelled")*(Appointments!$M$5:$M$1204&lt;&gt;"Completed")*(Appointments!$M$5:$M$1204&lt;&gt;"No show")*(Appointments!$B$5:$B$1204&gt;=TodayDate)*Appointments!$B$5:$B$1204+(1-(Appointments!$E$5:$E$1204=A439)*(Appointments!$M$5:$M$1204&lt;&gt;"Cancelled")*(Appointments!$M$5:$M$1204&lt;&gt;"Completed")*(Appointments!$M$5:$M$1204&lt;&gt;"No show")*(Appointments!$B$5:$B$1204&gt;=TodayDate))*2958465)))</f>
        <v>0</v>
      </c>
      <c r="AB439" s="17">
        <f>IF(B439="","",IF(AA439&gt;=2958465,"",AA439))</f>
        <v>0</v>
      </c>
      <c r="AC439" s="25">
        <f>IF(B439="","",IF(T439&lt;2,"",ROUND((Y439-X439)/MAX(1,T439-1),0)))</f>
        <v>0</v>
      </c>
      <c r="AD439" s="17">
        <f>IF(B439="","",IF(Y439="","",Y439+IF(AC439="",RebookWeeks*7,MAX(14,AC439))))</f>
        <v>0</v>
      </c>
      <c r="AE439" s="26">
        <f>IF(B439="","",ROUND(SUMIFS(Sales!$Y$5:$Y$1204,Sales!$D$5:$D$1204,A439),2))</f>
        <v>0</v>
      </c>
      <c r="AF439" s="26">
        <f>IF(B439="","",ROUND(SUMIFS(Sales!$Y$5:$Y$1204,Sales!$D$5:$D$1204,A439,Sales!$H$5:$H$1204,"Service"),2))</f>
        <v>0</v>
      </c>
      <c r="AG439" s="26">
        <f>IF(B439="","",ROUND(SUMIFS(Sales!$Y$5:$Y$1204,Sales!$D$5:$D$1204,A439,Sales!$H$5:$H$1204,"Retail"),2))</f>
        <v>0</v>
      </c>
      <c r="AH439" s="26">
        <f>IF(B439="","",ROUND(SUMIFS(Sales!$Y$5:$Y$1204,Sales!$D$5:$D$1204,A439,Sales!$B$5:$B$1204,"&gt;="&amp;TodayDate-365),2))</f>
        <v>0</v>
      </c>
      <c r="AI439" s="26">
        <f>IF(B439="","",IF(T439=0,"",ROUND(AE439/T439,2)))</f>
        <v>0</v>
      </c>
      <c r="AJ439" s="26">
        <f>IF(B439="","",IF(AI439="","",IF(AC439="","",ROUND(AI439*(365/MAX(14,AC439)),2))))</f>
        <v>0</v>
      </c>
      <c r="AK439" s="26">
        <f>IF(B439="","",ROUND(SUMIFS(Sales!$AH$5:$AH$1204,Sales!$D$5:$D$1204,A439),2))</f>
        <v>0</v>
      </c>
      <c r="AL439" s="25">
        <f>IF(B439="","",IFERROR(INDEX(Loyalty!$P$5:$P$504,MATCH(A439,Loyalty!$B$5:$B$504,0))*1,0))</f>
        <v>0</v>
      </c>
      <c r="AM439" s="39">
        <f>IF(B439="","",IF(R439="Archived","Archived",IF(T439=0,"Not been yet",IF(Z439&gt;=InactiveDays,"Inactive",IF(Z439&gt;=LapsingDays,"Lapsing",IF(T439=1,"New",IF(AH439&gt;=VipSpend,"VIP",IF(U439&gt;=4,"Regular","Active"))))))))</f>
        <v>0</v>
      </c>
      <c r="AN439" s="38">
        <f>IF(B439="","",IF(T439&gt;=2,"Yes","No"))</f>
        <v>0</v>
      </c>
      <c r="AO439" s="25">
        <f>IF(B439="","",COUNTIFS($AE$5:$AE$504,"&gt;"&amp;AE439)+COUNTIFS($AE$5:AE439,AE439))</f>
        <v>0</v>
      </c>
      <c r="AP439" s="25">
        <f>IF(B439="","",COUNTIFS($T$5:$T$504,"&gt;"&amp;T439)+COUNTIFS($T$5:T439,T439))</f>
        <v>0</v>
      </c>
      <c r="AQ439" s="39">
        <f>IF(B439="","",IF(COUNTIF($B$5:$B$504,B439)&gt;1,"Duplicate - same name twice",IF(R439="Archived","",IF(AK439&gt;0.004,"Chase - balance outstanding",IF(AM439="Inactive","Gone - win-back offer",IF(AM439="Lapsing","Chase - lapsing, call them",IF(IF(N439="",FALSE,TodayDate-N439&gt;PatchTestDays),"Due - patch test out of date",IF(IF(AD439="",FALSE,IF(AB439&lt;&gt;"",FALSE,AD439&lt;=TodayDate+14)),"Rebook - due and nothing booked",IF(IF(K439="",FALSE,ABS(DATE(YEAR(TodayDate),MONTH(K439),DAY(K439))-TodayDate)&lt;=7),"Birthday - send the treat","OK")))))))))</f>
        <v>0</v>
      </c>
    </row>
    <row r="440" spans="1:43">
      <c r="A440" s="28">
        <f>IF(B440="","",ClientPrefix&amp;TEXT(ROW()-4,"0000"))</f>
        <v>0</v>
      </c>
      <c r="J440" s="15">
        <f>IF(I440="","",IFERROR(INDEX(Staff!$B$5:$B$44,MATCH(I440,Staff!$A$5:$A$44,0)),"Not in Staff"))</f>
        <v>0</v>
      </c>
      <c r="T440" s="25">
        <f>IF(B440="","",COUNTIFS(Appointments!$E$5:$E$1204,A440,Appointments!$M$5:$M$1204,"Completed"))</f>
        <v>0</v>
      </c>
      <c r="U440" s="25">
        <f>IF(B440="","",COUNTIFS(Appointments!$E$5:$E$1204,A440,Appointments!$M$5:$M$1204,"Completed",Appointments!$B$5:$B$1204,"&gt;="&amp;TodayDate-365))</f>
        <v>0</v>
      </c>
      <c r="V440" s="25">
        <f>IF(B440="","",COUNTIFS(Appointments!$E$5:$E$1204,A440,Appointments!$M$5:$M$1204,"Cancelled"))</f>
        <v>0</v>
      </c>
      <c r="W440" s="25">
        <f>IF(B440="","",COUNTIFS(Appointments!$E$5:$E$1204,A440,Appointments!$M$5:$M$1204,"No show"))</f>
        <v>0</v>
      </c>
      <c r="X440" s="17">
        <f>IF(B440="","",IF(F440&lt;&gt;"",F440,IF(T440=0,"",SUMPRODUCT(MIN((Appointments!$E$5:$E$1204=A440)*(Appointments!$M$5:$M$1204="Completed")*Appointments!$B$5:$B$1204+(1-(Appointments!$E$5:$E$1204=A440)*(Appointments!$M$5:$M$1204="Completed"))*2958465)))))</f>
        <v>0</v>
      </c>
      <c r="Y440" s="17">
        <f>IF(B440="","",IF(T440=0,"",SUMPRODUCT(MAX((Appointments!$E$5:$E$1204=A440)*(Appointments!$M$5:$M$1204="Completed")*Appointments!$B$5:$B$1204))))</f>
        <v>0</v>
      </c>
      <c r="Z440" s="25">
        <f>IF(B440="","",IF(Y440="","",TodayDate-Y440))</f>
        <v>0</v>
      </c>
      <c r="AA440" s="42">
        <f>IF(B440="","",SUMPRODUCT(MIN((Appointments!$E$5:$E$1204=A440)*(Appointments!$M$5:$M$1204&lt;&gt;"Cancelled")*(Appointments!$M$5:$M$1204&lt;&gt;"Completed")*(Appointments!$M$5:$M$1204&lt;&gt;"No show")*(Appointments!$B$5:$B$1204&gt;=TodayDate)*Appointments!$B$5:$B$1204+(1-(Appointments!$E$5:$E$1204=A440)*(Appointments!$M$5:$M$1204&lt;&gt;"Cancelled")*(Appointments!$M$5:$M$1204&lt;&gt;"Completed")*(Appointments!$M$5:$M$1204&lt;&gt;"No show")*(Appointments!$B$5:$B$1204&gt;=TodayDate))*2958465)))</f>
        <v>0</v>
      </c>
      <c r="AB440" s="17">
        <f>IF(B440="","",IF(AA440&gt;=2958465,"",AA440))</f>
        <v>0</v>
      </c>
      <c r="AC440" s="25">
        <f>IF(B440="","",IF(T440&lt;2,"",ROUND((Y440-X440)/MAX(1,T440-1),0)))</f>
        <v>0</v>
      </c>
      <c r="AD440" s="17">
        <f>IF(B440="","",IF(Y440="","",Y440+IF(AC440="",RebookWeeks*7,MAX(14,AC440))))</f>
        <v>0</v>
      </c>
      <c r="AE440" s="26">
        <f>IF(B440="","",ROUND(SUMIFS(Sales!$Y$5:$Y$1204,Sales!$D$5:$D$1204,A440),2))</f>
        <v>0</v>
      </c>
      <c r="AF440" s="26">
        <f>IF(B440="","",ROUND(SUMIFS(Sales!$Y$5:$Y$1204,Sales!$D$5:$D$1204,A440,Sales!$H$5:$H$1204,"Service"),2))</f>
        <v>0</v>
      </c>
      <c r="AG440" s="26">
        <f>IF(B440="","",ROUND(SUMIFS(Sales!$Y$5:$Y$1204,Sales!$D$5:$D$1204,A440,Sales!$H$5:$H$1204,"Retail"),2))</f>
        <v>0</v>
      </c>
      <c r="AH440" s="26">
        <f>IF(B440="","",ROUND(SUMIFS(Sales!$Y$5:$Y$1204,Sales!$D$5:$D$1204,A440,Sales!$B$5:$B$1204,"&gt;="&amp;TodayDate-365),2))</f>
        <v>0</v>
      </c>
      <c r="AI440" s="26">
        <f>IF(B440="","",IF(T440=0,"",ROUND(AE440/T440,2)))</f>
        <v>0</v>
      </c>
      <c r="AJ440" s="26">
        <f>IF(B440="","",IF(AI440="","",IF(AC440="","",ROUND(AI440*(365/MAX(14,AC440)),2))))</f>
        <v>0</v>
      </c>
      <c r="AK440" s="26">
        <f>IF(B440="","",ROUND(SUMIFS(Sales!$AH$5:$AH$1204,Sales!$D$5:$D$1204,A440),2))</f>
        <v>0</v>
      </c>
      <c r="AL440" s="25">
        <f>IF(B440="","",IFERROR(INDEX(Loyalty!$P$5:$P$504,MATCH(A440,Loyalty!$B$5:$B$504,0))*1,0))</f>
        <v>0</v>
      </c>
      <c r="AM440" s="39">
        <f>IF(B440="","",IF(R440="Archived","Archived",IF(T440=0,"Not been yet",IF(Z440&gt;=InactiveDays,"Inactive",IF(Z440&gt;=LapsingDays,"Lapsing",IF(T440=1,"New",IF(AH440&gt;=VipSpend,"VIP",IF(U440&gt;=4,"Regular","Active"))))))))</f>
        <v>0</v>
      </c>
      <c r="AN440" s="38">
        <f>IF(B440="","",IF(T440&gt;=2,"Yes","No"))</f>
        <v>0</v>
      </c>
      <c r="AO440" s="25">
        <f>IF(B440="","",COUNTIFS($AE$5:$AE$504,"&gt;"&amp;AE440)+COUNTIFS($AE$5:AE440,AE440))</f>
        <v>0</v>
      </c>
      <c r="AP440" s="25">
        <f>IF(B440="","",COUNTIFS($T$5:$T$504,"&gt;"&amp;T440)+COUNTIFS($T$5:T440,T440))</f>
        <v>0</v>
      </c>
      <c r="AQ440" s="39">
        <f>IF(B440="","",IF(COUNTIF($B$5:$B$504,B440)&gt;1,"Duplicate - same name twice",IF(R440="Archived","",IF(AK440&gt;0.004,"Chase - balance outstanding",IF(AM440="Inactive","Gone - win-back offer",IF(AM440="Lapsing","Chase - lapsing, call them",IF(IF(N440="",FALSE,TodayDate-N440&gt;PatchTestDays),"Due - patch test out of date",IF(IF(AD440="",FALSE,IF(AB440&lt;&gt;"",FALSE,AD440&lt;=TodayDate+14)),"Rebook - due and nothing booked",IF(IF(K440="",FALSE,ABS(DATE(YEAR(TodayDate),MONTH(K440),DAY(K440))-TodayDate)&lt;=7),"Birthday - send the treat","OK")))))))))</f>
        <v>0</v>
      </c>
    </row>
    <row r="441" spans="1:43">
      <c r="A441" s="28">
        <f>IF(B441="","",ClientPrefix&amp;TEXT(ROW()-4,"0000"))</f>
        <v>0</v>
      </c>
      <c r="J441" s="15">
        <f>IF(I441="","",IFERROR(INDEX(Staff!$B$5:$B$44,MATCH(I441,Staff!$A$5:$A$44,0)),"Not in Staff"))</f>
        <v>0</v>
      </c>
      <c r="T441" s="25">
        <f>IF(B441="","",COUNTIFS(Appointments!$E$5:$E$1204,A441,Appointments!$M$5:$M$1204,"Completed"))</f>
        <v>0</v>
      </c>
      <c r="U441" s="25">
        <f>IF(B441="","",COUNTIFS(Appointments!$E$5:$E$1204,A441,Appointments!$M$5:$M$1204,"Completed",Appointments!$B$5:$B$1204,"&gt;="&amp;TodayDate-365))</f>
        <v>0</v>
      </c>
      <c r="V441" s="25">
        <f>IF(B441="","",COUNTIFS(Appointments!$E$5:$E$1204,A441,Appointments!$M$5:$M$1204,"Cancelled"))</f>
        <v>0</v>
      </c>
      <c r="W441" s="25">
        <f>IF(B441="","",COUNTIFS(Appointments!$E$5:$E$1204,A441,Appointments!$M$5:$M$1204,"No show"))</f>
        <v>0</v>
      </c>
      <c r="X441" s="17">
        <f>IF(B441="","",IF(F441&lt;&gt;"",F441,IF(T441=0,"",SUMPRODUCT(MIN((Appointments!$E$5:$E$1204=A441)*(Appointments!$M$5:$M$1204="Completed")*Appointments!$B$5:$B$1204+(1-(Appointments!$E$5:$E$1204=A441)*(Appointments!$M$5:$M$1204="Completed"))*2958465)))))</f>
        <v>0</v>
      </c>
      <c r="Y441" s="17">
        <f>IF(B441="","",IF(T441=0,"",SUMPRODUCT(MAX((Appointments!$E$5:$E$1204=A441)*(Appointments!$M$5:$M$1204="Completed")*Appointments!$B$5:$B$1204))))</f>
        <v>0</v>
      </c>
      <c r="Z441" s="25">
        <f>IF(B441="","",IF(Y441="","",TodayDate-Y441))</f>
        <v>0</v>
      </c>
      <c r="AA441" s="42">
        <f>IF(B441="","",SUMPRODUCT(MIN((Appointments!$E$5:$E$1204=A441)*(Appointments!$M$5:$M$1204&lt;&gt;"Cancelled")*(Appointments!$M$5:$M$1204&lt;&gt;"Completed")*(Appointments!$M$5:$M$1204&lt;&gt;"No show")*(Appointments!$B$5:$B$1204&gt;=TodayDate)*Appointments!$B$5:$B$1204+(1-(Appointments!$E$5:$E$1204=A441)*(Appointments!$M$5:$M$1204&lt;&gt;"Cancelled")*(Appointments!$M$5:$M$1204&lt;&gt;"Completed")*(Appointments!$M$5:$M$1204&lt;&gt;"No show")*(Appointments!$B$5:$B$1204&gt;=TodayDate))*2958465)))</f>
        <v>0</v>
      </c>
      <c r="AB441" s="17">
        <f>IF(B441="","",IF(AA441&gt;=2958465,"",AA441))</f>
        <v>0</v>
      </c>
      <c r="AC441" s="25">
        <f>IF(B441="","",IF(T441&lt;2,"",ROUND((Y441-X441)/MAX(1,T441-1),0)))</f>
        <v>0</v>
      </c>
      <c r="AD441" s="17">
        <f>IF(B441="","",IF(Y441="","",Y441+IF(AC441="",RebookWeeks*7,MAX(14,AC441))))</f>
        <v>0</v>
      </c>
      <c r="AE441" s="26">
        <f>IF(B441="","",ROUND(SUMIFS(Sales!$Y$5:$Y$1204,Sales!$D$5:$D$1204,A441),2))</f>
        <v>0</v>
      </c>
      <c r="AF441" s="26">
        <f>IF(B441="","",ROUND(SUMIFS(Sales!$Y$5:$Y$1204,Sales!$D$5:$D$1204,A441,Sales!$H$5:$H$1204,"Service"),2))</f>
        <v>0</v>
      </c>
      <c r="AG441" s="26">
        <f>IF(B441="","",ROUND(SUMIFS(Sales!$Y$5:$Y$1204,Sales!$D$5:$D$1204,A441,Sales!$H$5:$H$1204,"Retail"),2))</f>
        <v>0</v>
      </c>
      <c r="AH441" s="26">
        <f>IF(B441="","",ROUND(SUMIFS(Sales!$Y$5:$Y$1204,Sales!$D$5:$D$1204,A441,Sales!$B$5:$B$1204,"&gt;="&amp;TodayDate-365),2))</f>
        <v>0</v>
      </c>
      <c r="AI441" s="26">
        <f>IF(B441="","",IF(T441=0,"",ROUND(AE441/T441,2)))</f>
        <v>0</v>
      </c>
      <c r="AJ441" s="26">
        <f>IF(B441="","",IF(AI441="","",IF(AC441="","",ROUND(AI441*(365/MAX(14,AC441)),2))))</f>
        <v>0</v>
      </c>
      <c r="AK441" s="26">
        <f>IF(B441="","",ROUND(SUMIFS(Sales!$AH$5:$AH$1204,Sales!$D$5:$D$1204,A441),2))</f>
        <v>0</v>
      </c>
      <c r="AL441" s="25">
        <f>IF(B441="","",IFERROR(INDEX(Loyalty!$P$5:$P$504,MATCH(A441,Loyalty!$B$5:$B$504,0))*1,0))</f>
        <v>0</v>
      </c>
      <c r="AM441" s="39">
        <f>IF(B441="","",IF(R441="Archived","Archived",IF(T441=0,"Not been yet",IF(Z441&gt;=InactiveDays,"Inactive",IF(Z441&gt;=LapsingDays,"Lapsing",IF(T441=1,"New",IF(AH441&gt;=VipSpend,"VIP",IF(U441&gt;=4,"Regular","Active"))))))))</f>
        <v>0</v>
      </c>
      <c r="AN441" s="38">
        <f>IF(B441="","",IF(T441&gt;=2,"Yes","No"))</f>
        <v>0</v>
      </c>
      <c r="AO441" s="25">
        <f>IF(B441="","",COUNTIFS($AE$5:$AE$504,"&gt;"&amp;AE441)+COUNTIFS($AE$5:AE441,AE441))</f>
        <v>0</v>
      </c>
      <c r="AP441" s="25">
        <f>IF(B441="","",COUNTIFS($T$5:$T$504,"&gt;"&amp;T441)+COUNTIFS($T$5:T441,T441))</f>
        <v>0</v>
      </c>
      <c r="AQ441" s="39">
        <f>IF(B441="","",IF(COUNTIF($B$5:$B$504,B441)&gt;1,"Duplicate - same name twice",IF(R441="Archived","",IF(AK441&gt;0.004,"Chase - balance outstanding",IF(AM441="Inactive","Gone - win-back offer",IF(AM441="Lapsing","Chase - lapsing, call them",IF(IF(N441="",FALSE,TodayDate-N441&gt;PatchTestDays),"Due - patch test out of date",IF(IF(AD441="",FALSE,IF(AB441&lt;&gt;"",FALSE,AD441&lt;=TodayDate+14)),"Rebook - due and nothing booked",IF(IF(K441="",FALSE,ABS(DATE(YEAR(TodayDate),MONTH(K441),DAY(K441))-TodayDate)&lt;=7),"Birthday - send the treat","OK")))))))))</f>
        <v>0</v>
      </c>
    </row>
    <row r="442" spans="1:43">
      <c r="A442" s="28">
        <f>IF(B442="","",ClientPrefix&amp;TEXT(ROW()-4,"0000"))</f>
        <v>0</v>
      </c>
      <c r="J442" s="15">
        <f>IF(I442="","",IFERROR(INDEX(Staff!$B$5:$B$44,MATCH(I442,Staff!$A$5:$A$44,0)),"Not in Staff"))</f>
        <v>0</v>
      </c>
      <c r="T442" s="25">
        <f>IF(B442="","",COUNTIFS(Appointments!$E$5:$E$1204,A442,Appointments!$M$5:$M$1204,"Completed"))</f>
        <v>0</v>
      </c>
      <c r="U442" s="25">
        <f>IF(B442="","",COUNTIFS(Appointments!$E$5:$E$1204,A442,Appointments!$M$5:$M$1204,"Completed",Appointments!$B$5:$B$1204,"&gt;="&amp;TodayDate-365))</f>
        <v>0</v>
      </c>
      <c r="V442" s="25">
        <f>IF(B442="","",COUNTIFS(Appointments!$E$5:$E$1204,A442,Appointments!$M$5:$M$1204,"Cancelled"))</f>
        <v>0</v>
      </c>
      <c r="W442" s="25">
        <f>IF(B442="","",COUNTIFS(Appointments!$E$5:$E$1204,A442,Appointments!$M$5:$M$1204,"No show"))</f>
        <v>0</v>
      </c>
      <c r="X442" s="17">
        <f>IF(B442="","",IF(F442&lt;&gt;"",F442,IF(T442=0,"",SUMPRODUCT(MIN((Appointments!$E$5:$E$1204=A442)*(Appointments!$M$5:$M$1204="Completed")*Appointments!$B$5:$B$1204+(1-(Appointments!$E$5:$E$1204=A442)*(Appointments!$M$5:$M$1204="Completed"))*2958465)))))</f>
        <v>0</v>
      </c>
      <c r="Y442" s="17">
        <f>IF(B442="","",IF(T442=0,"",SUMPRODUCT(MAX((Appointments!$E$5:$E$1204=A442)*(Appointments!$M$5:$M$1204="Completed")*Appointments!$B$5:$B$1204))))</f>
        <v>0</v>
      </c>
      <c r="Z442" s="25">
        <f>IF(B442="","",IF(Y442="","",TodayDate-Y442))</f>
        <v>0</v>
      </c>
      <c r="AA442" s="42">
        <f>IF(B442="","",SUMPRODUCT(MIN((Appointments!$E$5:$E$1204=A442)*(Appointments!$M$5:$M$1204&lt;&gt;"Cancelled")*(Appointments!$M$5:$M$1204&lt;&gt;"Completed")*(Appointments!$M$5:$M$1204&lt;&gt;"No show")*(Appointments!$B$5:$B$1204&gt;=TodayDate)*Appointments!$B$5:$B$1204+(1-(Appointments!$E$5:$E$1204=A442)*(Appointments!$M$5:$M$1204&lt;&gt;"Cancelled")*(Appointments!$M$5:$M$1204&lt;&gt;"Completed")*(Appointments!$M$5:$M$1204&lt;&gt;"No show")*(Appointments!$B$5:$B$1204&gt;=TodayDate))*2958465)))</f>
        <v>0</v>
      </c>
      <c r="AB442" s="17">
        <f>IF(B442="","",IF(AA442&gt;=2958465,"",AA442))</f>
        <v>0</v>
      </c>
      <c r="AC442" s="25">
        <f>IF(B442="","",IF(T442&lt;2,"",ROUND((Y442-X442)/MAX(1,T442-1),0)))</f>
        <v>0</v>
      </c>
      <c r="AD442" s="17">
        <f>IF(B442="","",IF(Y442="","",Y442+IF(AC442="",RebookWeeks*7,MAX(14,AC442))))</f>
        <v>0</v>
      </c>
      <c r="AE442" s="26">
        <f>IF(B442="","",ROUND(SUMIFS(Sales!$Y$5:$Y$1204,Sales!$D$5:$D$1204,A442),2))</f>
        <v>0</v>
      </c>
      <c r="AF442" s="26">
        <f>IF(B442="","",ROUND(SUMIFS(Sales!$Y$5:$Y$1204,Sales!$D$5:$D$1204,A442,Sales!$H$5:$H$1204,"Service"),2))</f>
        <v>0</v>
      </c>
      <c r="AG442" s="26">
        <f>IF(B442="","",ROUND(SUMIFS(Sales!$Y$5:$Y$1204,Sales!$D$5:$D$1204,A442,Sales!$H$5:$H$1204,"Retail"),2))</f>
        <v>0</v>
      </c>
      <c r="AH442" s="26">
        <f>IF(B442="","",ROUND(SUMIFS(Sales!$Y$5:$Y$1204,Sales!$D$5:$D$1204,A442,Sales!$B$5:$B$1204,"&gt;="&amp;TodayDate-365),2))</f>
        <v>0</v>
      </c>
      <c r="AI442" s="26">
        <f>IF(B442="","",IF(T442=0,"",ROUND(AE442/T442,2)))</f>
        <v>0</v>
      </c>
      <c r="AJ442" s="26">
        <f>IF(B442="","",IF(AI442="","",IF(AC442="","",ROUND(AI442*(365/MAX(14,AC442)),2))))</f>
        <v>0</v>
      </c>
      <c r="AK442" s="26">
        <f>IF(B442="","",ROUND(SUMIFS(Sales!$AH$5:$AH$1204,Sales!$D$5:$D$1204,A442),2))</f>
        <v>0</v>
      </c>
      <c r="AL442" s="25">
        <f>IF(B442="","",IFERROR(INDEX(Loyalty!$P$5:$P$504,MATCH(A442,Loyalty!$B$5:$B$504,0))*1,0))</f>
        <v>0</v>
      </c>
      <c r="AM442" s="39">
        <f>IF(B442="","",IF(R442="Archived","Archived",IF(T442=0,"Not been yet",IF(Z442&gt;=InactiveDays,"Inactive",IF(Z442&gt;=LapsingDays,"Lapsing",IF(T442=1,"New",IF(AH442&gt;=VipSpend,"VIP",IF(U442&gt;=4,"Regular","Active"))))))))</f>
        <v>0</v>
      </c>
      <c r="AN442" s="38">
        <f>IF(B442="","",IF(T442&gt;=2,"Yes","No"))</f>
        <v>0</v>
      </c>
      <c r="AO442" s="25">
        <f>IF(B442="","",COUNTIFS($AE$5:$AE$504,"&gt;"&amp;AE442)+COUNTIFS($AE$5:AE442,AE442))</f>
        <v>0</v>
      </c>
      <c r="AP442" s="25">
        <f>IF(B442="","",COUNTIFS($T$5:$T$504,"&gt;"&amp;T442)+COUNTIFS($T$5:T442,T442))</f>
        <v>0</v>
      </c>
      <c r="AQ442" s="39">
        <f>IF(B442="","",IF(COUNTIF($B$5:$B$504,B442)&gt;1,"Duplicate - same name twice",IF(R442="Archived","",IF(AK442&gt;0.004,"Chase - balance outstanding",IF(AM442="Inactive","Gone - win-back offer",IF(AM442="Lapsing","Chase - lapsing, call them",IF(IF(N442="",FALSE,TodayDate-N442&gt;PatchTestDays),"Due - patch test out of date",IF(IF(AD442="",FALSE,IF(AB442&lt;&gt;"",FALSE,AD442&lt;=TodayDate+14)),"Rebook - due and nothing booked",IF(IF(K442="",FALSE,ABS(DATE(YEAR(TodayDate),MONTH(K442),DAY(K442))-TodayDate)&lt;=7),"Birthday - send the treat","OK")))))))))</f>
        <v>0</v>
      </c>
    </row>
    <row r="443" spans="1:43">
      <c r="A443" s="28">
        <f>IF(B443="","",ClientPrefix&amp;TEXT(ROW()-4,"0000"))</f>
        <v>0</v>
      </c>
      <c r="J443" s="15">
        <f>IF(I443="","",IFERROR(INDEX(Staff!$B$5:$B$44,MATCH(I443,Staff!$A$5:$A$44,0)),"Not in Staff"))</f>
        <v>0</v>
      </c>
      <c r="T443" s="25">
        <f>IF(B443="","",COUNTIFS(Appointments!$E$5:$E$1204,A443,Appointments!$M$5:$M$1204,"Completed"))</f>
        <v>0</v>
      </c>
      <c r="U443" s="25">
        <f>IF(B443="","",COUNTIFS(Appointments!$E$5:$E$1204,A443,Appointments!$M$5:$M$1204,"Completed",Appointments!$B$5:$B$1204,"&gt;="&amp;TodayDate-365))</f>
        <v>0</v>
      </c>
      <c r="V443" s="25">
        <f>IF(B443="","",COUNTIFS(Appointments!$E$5:$E$1204,A443,Appointments!$M$5:$M$1204,"Cancelled"))</f>
        <v>0</v>
      </c>
      <c r="W443" s="25">
        <f>IF(B443="","",COUNTIFS(Appointments!$E$5:$E$1204,A443,Appointments!$M$5:$M$1204,"No show"))</f>
        <v>0</v>
      </c>
      <c r="X443" s="17">
        <f>IF(B443="","",IF(F443&lt;&gt;"",F443,IF(T443=0,"",SUMPRODUCT(MIN((Appointments!$E$5:$E$1204=A443)*(Appointments!$M$5:$M$1204="Completed")*Appointments!$B$5:$B$1204+(1-(Appointments!$E$5:$E$1204=A443)*(Appointments!$M$5:$M$1204="Completed"))*2958465)))))</f>
        <v>0</v>
      </c>
      <c r="Y443" s="17">
        <f>IF(B443="","",IF(T443=0,"",SUMPRODUCT(MAX((Appointments!$E$5:$E$1204=A443)*(Appointments!$M$5:$M$1204="Completed")*Appointments!$B$5:$B$1204))))</f>
        <v>0</v>
      </c>
      <c r="Z443" s="25">
        <f>IF(B443="","",IF(Y443="","",TodayDate-Y443))</f>
        <v>0</v>
      </c>
      <c r="AA443" s="42">
        <f>IF(B443="","",SUMPRODUCT(MIN((Appointments!$E$5:$E$1204=A443)*(Appointments!$M$5:$M$1204&lt;&gt;"Cancelled")*(Appointments!$M$5:$M$1204&lt;&gt;"Completed")*(Appointments!$M$5:$M$1204&lt;&gt;"No show")*(Appointments!$B$5:$B$1204&gt;=TodayDate)*Appointments!$B$5:$B$1204+(1-(Appointments!$E$5:$E$1204=A443)*(Appointments!$M$5:$M$1204&lt;&gt;"Cancelled")*(Appointments!$M$5:$M$1204&lt;&gt;"Completed")*(Appointments!$M$5:$M$1204&lt;&gt;"No show")*(Appointments!$B$5:$B$1204&gt;=TodayDate))*2958465)))</f>
        <v>0</v>
      </c>
      <c r="AB443" s="17">
        <f>IF(B443="","",IF(AA443&gt;=2958465,"",AA443))</f>
        <v>0</v>
      </c>
      <c r="AC443" s="25">
        <f>IF(B443="","",IF(T443&lt;2,"",ROUND((Y443-X443)/MAX(1,T443-1),0)))</f>
        <v>0</v>
      </c>
      <c r="AD443" s="17">
        <f>IF(B443="","",IF(Y443="","",Y443+IF(AC443="",RebookWeeks*7,MAX(14,AC443))))</f>
        <v>0</v>
      </c>
      <c r="AE443" s="26">
        <f>IF(B443="","",ROUND(SUMIFS(Sales!$Y$5:$Y$1204,Sales!$D$5:$D$1204,A443),2))</f>
        <v>0</v>
      </c>
      <c r="AF443" s="26">
        <f>IF(B443="","",ROUND(SUMIFS(Sales!$Y$5:$Y$1204,Sales!$D$5:$D$1204,A443,Sales!$H$5:$H$1204,"Service"),2))</f>
        <v>0</v>
      </c>
      <c r="AG443" s="26">
        <f>IF(B443="","",ROUND(SUMIFS(Sales!$Y$5:$Y$1204,Sales!$D$5:$D$1204,A443,Sales!$H$5:$H$1204,"Retail"),2))</f>
        <v>0</v>
      </c>
      <c r="AH443" s="26">
        <f>IF(B443="","",ROUND(SUMIFS(Sales!$Y$5:$Y$1204,Sales!$D$5:$D$1204,A443,Sales!$B$5:$B$1204,"&gt;="&amp;TodayDate-365),2))</f>
        <v>0</v>
      </c>
      <c r="AI443" s="26">
        <f>IF(B443="","",IF(T443=0,"",ROUND(AE443/T443,2)))</f>
        <v>0</v>
      </c>
      <c r="AJ443" s="26">
        <f>IF(B443="","",IF(AI443="","",IF(AC443="","",ROUND(AI443*(365/MAX(14,AC443)),2))))</f>
        <v>0</v>
      </c>
      <c r="AK443" s="26">
        <f>IF(B443="","",ROUND(SUMIFS(Sales!$AH$5:$AH$1204,Sales!$D$5:$D$1204,A443),2))</f>
        <v>0</v>
      </c>
      <c r="AL443" s="25">
        <f>IF(B443="","",IFERROR(INDEX(Loyalty!$P$5:$P$504,MATCH(A443,Loyalty!$B$5:$B$504,0))*1,0))</f>
        <v>0</v>
      </c>
      <c r="AM443" s="39">
        <f>IF(B443="","",IF(R443="Archived","Archived",IF(T443=0,"Not been yet",IF(Z443&gt;=InactiveDays,"Inactive",IF(Z443&gt;=LapsingDays,"Lapsing",IF(T443=1,"New",IF(AH443&gt;=VipSpend,"VIP",IF(U443&gt;=4,"Regular","Active"))))))))</f>
        <v>0</v>
      </c>
      <c r="AN443" s="38">
        <f>IF(B443="","",IF(T443&gt;=2,"Yes","No"))</f>
        <v>0</v>
      </c>
      <c r="AO443" s="25">
        <f>IF(B443="","",COUNTIFS($AE$5:$AE$504,"&gt;"&amp;AE443)+COUNTIFS($AE$5:AE443,AE443))</f>
        <v>0</v>
      </c>
      <c r="AP443" s="25">
        <f>IF(B443="","",COUNTIFS($T$5:$T$504,"&gt;"&amp;T443)+COUNTIFS($T$5:T443,T443))</f>
        <v>0</v>
      </c>
      <c r="AQ443" s="39">
        <f>IF(B443="","",IF(COUNTIF($B$5:$B$504,B443)&gt;1,"Duplicate - same name twice",IF(R443="Archived","",IF(AK443&gt;0.004,"Chase - balance outstanding",IF(AM443="Inactive","Gone - win-back offer",IF(AM443="Lapsing","Chase - lapsing, call them",IF(IF(N443="",FALSE,TodayDate-N443&gt;PatchTestDays),"Due - patch test out of date",IF(IF(AD443="",FALSE,IF(AB443&lt;&gt;"",FALSE,AD443&lt;=TodayDate+14)),"Rebook - due and nothing booked",IF(IF(K443="",FALSE,ABS(DATE(YEAR(TodayDate),MONTH(K443),DAY(K443))-TodayDate)&lt;=7),"Birthday - send the treat","OK")))))))))</f>
        <v>0</v>
      </c>
    </row>
    <row r="444" spans="1:43">
      <c r="A444" s="28">
        <f>IF(B444="","",ClientPrefix&amp;TEXT(ROW()-4,"0000"))</f>
        <v>0</v>
      </c>
      <c r="J444" s="15">
        <f>IF(I444="","",IFERROR(INDEX(Staff!$B$5:$B$44,MATCH(I444,Staff!$A$5:$A$44,0)),"Not in Staff"))</f>
        <v>0</v>
      </c>
      <c r="T444" s="25">
        <f>IF(B444="","",COUNTIFS(Appointments!$E$5:$E$1204,A444,Appointments!$M$5:$M$1204,"Completed"))</f>
        <v>0</v>
      </c>
      <c r="U444" s="25">
        <f>IF(B444="","",COUNTIFS(Appointments!$E$5:$E$1204,A444,Appointments!$M$5:$M$1204,"Completed",Appointments!$B$5:$B$1204,"&gt;="&amp;TodayDate-365))</f>
        <v>0</v>
      </c>
      <c r="V444" s="25">
        <f>IF(B444="","",COUNTIFS(Appointments!$E$5:$E$1204,A444,Appointments!$M$5:$M$1204,"Cancelled"))</f>
        <v>0</v>
      </c>
      <c r="W444" s="25">
        <f>IF(B444="","",COUNTIFS(Appointments!$E$5:$E$1204,A444,Appointments!$M$5:$M$1204,"No show"))</f>
        <v>0</v>
      </c>
      <c r="X444" s="17">
        <f>IF(B444="","",IF(F444&lt;&gt;"",F444,IF(T444=0,"",SUMPRODUCT(MIN((Appointments!$E$5:$E$1204=A444)*(Appointments!$M$5:$M$1204="Completed")*Appointments!$B$5:$B$1204+(1-(Appointments!$E$5:$E$1204=A444)*(Appointments!$M$5:$M$1204="Completed"))*2958465)))))</f>
        <v>0</v>
      </c>
      <c r="Y444" s="17">
        <f>IF(B444="","",IF(T444=0,"",SUMPRODUCT(MAX((Appointments!$E$5:$E$1204=A444)*(Appointments!$M$5:$M$1204="Completed")*Appointments!$B$5:$B$1204))))</f>
        <v>0</v>
      </c>
      <c r="Z444" s="25">
        <f>IF(B444="","",IF(Y444="","",TodayDate-Y444))</f>
        <v>0</v>
      </c>
      <c r="AA444" s="42">
        <f>IF(B444="","",SUMPRODUCT(MIN((Appointments!$E$5:$E$1204=A444)*(Appointments!$M$5:$M$1204&lt;&gt;"Cancelled")*(Appointments!$M$5:$M$1204&lt;&gt;"Completed")*(Appointments!$M$5:$M$1204&lt;&gt;"No show")*(Appointments!$B$5:$B$1204&gt;=TodayDate)*Appointments!$B$5:$B$1204+(1-(Appointments!$E$5:$E$1204=A444)*(Appointments!$M$5:$M$1204&lt;&gt;"Cancelled")*(Appointments!$M$5:$M$1204&lt;&gt;"Completed")*(Appointments!$M$5:$M$1204&lt;&gt;"No show")*(Appointments!$B$5:$B$1204&gt;=TodayDate))*2958465)))</f>
        <v>0</v>
      </c>
      <c r="AB444" s="17">
        <f>IF(B444="","",IF(AA444&gt;=2958465,"",AA444))</f>
        <v>0</v>
      </c>
      <c r="AC444" s="25">
        <f>IF(B444="","",IF(T444&lt;2,"",ROUND((Y444-X444)/MAX(1,T444-1),0)))</f>
        <v>0</v>
      </c>
      <c r="AD444" s="17">
        <f>IF(B444="","",IF(Y444="","",Y444+IF(AC444="",RebookWeeks*7,MAX(14,AC444))))</f>
        <v>0</v>
      </c>
      <c r="AE444" s="26">
        <f>IF(B444="","",ROUND(SUMIFS(Sales!$Y$5:$Y$1204,Sales!$D$5:$D$1204,A444),2))</f>
        <v>0</v>
      </c>
      <c r="AF444" s="26">
        <f>IF(B444="","",ROUND(SUMIFS(Sales!$Y$5:$Y$1204,Sales!$D$5:$D$1204,A444,Sales!$H$5:$H$1204,"Service"),2))</f>
        <v>0</v>
      </c>
      <c r="AG444" s="26">
        <f>IF(B444="","",ROUND(SUMIFS(Sales!$Y$5:$Y$1204,Sales!$D$5:$D$1204,A444,Sales!$H$5:$H$1204,"Retail"),2))</f>
        <v>0</v>
      </c>
      <c r="AH444" s="26">
        <f>IF(B444="","",ROUND(SUMIFS(Sales!$Y$5:$Y$1204,Sales!$D$5:$D$1204,A444,Sales!$B$5:$B$1204,"&gt;="&amp;TodayDate-365),2))</f>
        <v>0</v>
      </c>
      <c r="AI444" s="26">
        <f>IF(B444="","",IF(T444=0,"",ROUND(AE444/T444,2)))</f>
        <v>0</v>
      </c>
      <c r="AJ444" s="26">
        <f>IF(B444="","",IF(AI444="","",IF(AC444="","",ROUND(AI444*(365/MAX(14,AC444)),2))))</f>
        <v>0</v>
      </c>
      <c r="AK444" s="26">
        <f>IF(B444="","",ROUND(SUMIFS(Sales!$AH$5:$AH$1204,Sales!$D$5:$D$1204,A444),2))</f>
        <v>0</v>
      </c>
      <c r="AL444" s="25">
        <f>IF(B444="","",IFERROR(INDEX(Loyalty!$P$5:$P$504,MATCH(A444,Loyalty!$B$5:$B$504,0))*1,0))</f>
        <v>0</v>
      </c>
      <c r="AM444" s="39">
        <f>IF(B444="","",IF(R444="Archived","Archived",IF(T444=0,"Not been yet",IF(Z444&gt;=InactiveDays,"Inactive",IF(Z444&gt;=LapsingDays,"Lapsing",IF(T444=1,"New",IF(AH444&gt;=VipSpend,"VIP",IF(U444&gt;=4,"Regular","Active"))))))))</f>
        <v>0</v>
      </c>
      <c r="AN444" s="38">
        <f>IF(B444="","",IF(T444&gt;=2,"Yes","No"))</f>
        <v>0</v>
      </c>
      <c r="AO444" s="25">
        <f>IF(B444="","",COUNTIFS($AE$5:$AE$504,"&gt;"&amp;AE444)+COUNTIFS($AE$5:AE444,AE444))</f>
        <v>0</v>
      </c>
      <c r="AP444" s="25">
        <f>IF(B444="","",COUNTIFS($T$5:$T$504,"&gt;"&amp;T444)+COUNTIFS($T$5:T444,T444))</f>
        <v>0</v>
      </c>
      <c r="AQ444" s="39">
        <f>IF(B444="","",IF(COUNTIF($B$5:$B$504,B444)&gt;1,"Duplicate - same name twice",IF(R444="Archived","",IF(AK444&gt;0.004,"Chase - balance outstanding",IF(AM444="Inactive","Gone - win-back offer",IF(AM444="Lapsing","Chase - lapsing, call them",IF(IF(N444="",FALSE,TodayDate-N444&gt;PatchTestDays),"Due - patch test out of date",IF(IF(AD444="",FALSE,IF(AB444&lt;&gt;"",FALSE,AD444&lt;=TodayDate+14)),"Rebook - due and nothing booked",IF(IF(K444="",FALSE,ABS(DATE(YEAR(TodayDate),MONTH(K444),DAY(K444))-TodayDate)&lt;=7),"Birthday - send the treat","OK")))))))))</f>
        <v>0</v>
      </c>
    </row>
    <row r="445" spans="1:43">
      <c r="A445" s="28">
        <f>IF(B445="","",ClientPrefix&amp;TEXT(ROW()-4,"0000"))</f>
        <v>0</v>
      </c>
      <c r="J445" s="15">
        <f>IF(I445="","",IFERROR(INDEX(Staff!$B$5:$B$44,MATCH(I445,Staff!$A$5:$A$44,0)),"Not in Staff"))</f>
        <v>0</v>
      </c>
      <c r="T445" s="25">
        <f>IF(B445="","",COUNTIFS(Appointments!$E$5:$E$1204,A445,Appointments!$M$5:$M$1204,"Completed"))</f>
        <v>0</v>
      </c>
      <c r="U445" s="25">
        <f>IF(B445="","",COUNTIFS(Appointments!$E$5:$E$1204,A445,Appointments!$M$5:$M$1204,"Completed",Appointments!$B$5:$B$1204,"&gt;="&amp;TodayDate-365))</f>
        <v>0</v>
      </c>
      <c r="V445" s="25">
        <f>IF(B445="","",COUNTIFS(Appointments!$E$5:$E$1204,A445,Appointments!$M$5:$M$1204,"Cancelled"))</f>
        <v>0</v>
      </c>
      <c r="W445" s="25">
        <f>IF(B445="","",COUNTIFS(Appointments!$E$5:$E$1204,A445,Appointments!$M$5:$M$1204,"No show"))</f>
        <v>0</v>
      </c>
      <c r="X445" s="17">
        <f>IF(B445="","",IF(F445&lt;&gt;"",F445,IF(T445=0,"",SUMPRODUCT(MIN((Appointments!$E$5:$E$1204=A445)*(Appointments!$M$5:$M$1204="Completed")*Appointments!$B$5:$B$1204+(1-(Appointments!$E$5:$E$1204=A445)*(Appointments!$M$5:$M$1204="Completed"))*2958465)))))</f>
        <v>0</v>
      </c>
      <c r="Y445" s="17">
        <f>IF(B445="","",IF(T445=0,"",SUMPRODUCT(MAX((Appointments!$E$5:$E$1204=A445)*(Appointments!$M$5:$M$1204="Completed")*Appointments!$B$5:$B$1204))))</f>
        <v>0</v>
      </c>
      <c r="Z445" s="25">
        <f>IF(B445="","",IF(Y445="","",TodayDate-Y445))</f>
        <v>0</v>
      </c>
      <c r="AA445" s="42">
        <f>IF(B445="","",SUMPRODUCT(MIN((Appointments!$E$5:$E$1204=A445)*(Appointments!$M$5:$M$1204&lt;&gt;"Cancelled")*(Appointments!$M$5:$M$1204&lt;&gt;"Completed")*(Appointments!$M$5:$M$1204&lt;&gt;"No show")*(Appointments!$B$5:$B$1204&gt;=TodayDate)*Appointments!$B$5:$B$1204+(1-(Appointments!$E$5:$E$1204=A445)*(Appointments!$M$5:$M$1204&lt;&gt;"Cancelled")*(Appointments!$M$5:$M$1204&lt;&gt;"Completed")*(Appointments!$M$5:$M$1204&lt;&gt;"No show")*(Appointments!$B$5:$B$1204&gt;=TodayDate))*2958465)))</f>
        <v>0</v>
      </c>
      <c r="AB445" s="17">
        <f>IF(B445="","",IF(AA445&gt;=2958465,"",AA445))</f>
        <v>0</v>
      </c>
      <c r="AC445" s="25">
        <f>IF(B445="","",IF(T445&lt;2,"",ROUND((Y445-X445)/MAX(1,T445-1),0)))</f>
        <v>0</v>
      </c>
      <c r="AD445" s="17">
        <f>IF(B445="","",IF(Y445="","",Y445+IF(AC445="",RebookWeeks*7,MAX(14,AC445))))</f>
        <v>0</v>
      </c>
      <c r="AE445" s="26">
        <f>IF(B445="","",ROUND(SUMIFS(Sales!$Y$5:$Y$1204,Sales!$D$5:$D$1204,A445),2))</f>
        <v>0</v>
      </c>
      <c r="AF445" s="26">
        <f>IF(B445="","",ROUND(SUMIFS(Sales!$Y$5:$Y$1204,Sales!$D$5:$D$1204,A445,Sales!$H$5:$H$1204,"Service"),2))</f>
        <v>0</v>
      </c>
      <c r="AG445" s="26">
        <f>IF(B445="","",ROUND(SUMIFS(Sales!$Y$5:$Y$1204,Sales!$D$5:$D$1204,A445,Sales!$H$5:$H$1204,"Retail"),2))</f>
        <v>0</v>
      </c>
      <c r="AH445" s="26">
        <f>IF(B445="","",ROUND(SUMIFS(Sales!$Y$5:$Y$1204,Sales!$D$5:$D$1204,A445,Sales!$B$5:$B$1204,"&gt;="&amp;TodayDate-365),2))</f>
        <v>0</v>
      </c>
      <c r="AI445" s="26">
        <f>IF(B445="","",IF(T445=0,"",ROUND(AE445/T445,2)))</f>
        <v>0</v>
      </c>
      <c r="AJ445" s="26">
        <f>IF(B445="","",IF(AI445="","",IF(AC445="","",ROUND(AI445*(365/MAX(14,AC445)),2))))</f>
        <v>0</v>
      </c>
      <c r="AK445" s="26">
        <f>IF(B445="","",ROUND(SUMIFS(Sales!$AH$5:$AH$1204,Sales!$D$5:$D$1204,A445),2))</f>
        <v>0</v>
      </c>
      <c r="AL445" s="25">
        <f>IF(B445="","",IFERROR(INDEX(Loyalty!$P$5:$P$504,MATCH(A445,Loyalty!$B$5:$B$504,0))*1,0))</f>
        <v>0</v>
      </c>
      <c r="AM445" s="39">
        <f>IF(B445="","",IF(R445="Archived","Archived",IF(T445=0,"Not been yet",IF(Z445&gt;=InactiveDays,"Inactive",IF(Z445&gt;=LapsingDays,"Lapsing",IF(T445=1,"New",IF(AH445&gt;=VipSpend,"VIP",IF(U445&gt;=4,"Regular","Active"))))))))</f>
        <v>0</v>
      </c>
      <c r="AN445" s="38">
        <f>IF(B445="","",IF(T445&gt;=2,"Yes","No"))</f>
        <v>0</v>
      </c>
      <c r="AO445" s="25">
        <f>IF(B445="","",COUNTIFS($AE$5:$AE$504,"&gt;"&amp;AE445)+COUNTIFS($AE$5:AE445,AE445))</f>
        <v>0</v>
      </c>
      <c r="AP445" s="25">
        <f>IF(B445="","",COUNTIFS($T$5:$T$504,"&gt;"&amp;T445)+COUNTIFS($T$5:T445,T445))</f>
        <v>0</v>
      </c>
      <c r="AQ445" s="39">
        <f>IF(B445="","",IF(COUNTIF($B$5:$B$504,B445)&gt;1,"Duplicate - same name twice",IF(R445="Archived","",IF(AK445&gt;0.004,"Chase - balance outstanding",IF(AM445="Inactive","Gone - win-back offer",IF(AM445="Lapsing","Chase - lapsing, call them",IF(IF(N445="",FALSE,TodayDate-N445&gt;PatchTestDays),"Due - patch test out of date",IF(IF(AD445="",FALSE,IF(AB445&lt;&gt;"",FALSE,AD445&lt;=TodayDate+14)),"Rebook - due and nothing booked",IF(IF(K445="",FALSE,ABS(DATE(YEAR(TodayDate),MONTH(K445),DAY(K445))-TodayDate)&lt;=7),"Birthday - send the treat","OK")))))))))</f>
        <v>0</v>
      </c>
    </row>
    <row r="446" spans="1:43">
      <c r="A446" s="28">
        <f>IF(B446="","",ClientPrefix&amp;TEXT(ROW()-4,"0000"))</f>
        <v>0</v>
      </c>
      <c r="J446" s="15">
        <f>IF(I446="","",IFERROR(INDEX(Staff!$B$5:$B$44,MATCH(I446,Staff!$A$5:$A$44,0)),"Not in Staff"))</f>
        <v>0</v>
      </c>
      <c r="T446" s="25">
        <f>IF(B446="","",COUNTIFS(Appointments!$E$5:$E$1204,A446,Appointments!$M$5:$M$1204,"Completed"))</f>
        <v>0</v>
      </c>
      <c r="U446" s="25">
        <f>IF(B446="","",COUNTIFS(Appointments!$E$5:$E$1204,A446,Appointments!$M$5:$M$1204,"Completed",Appointments!$B$5:$B$1204,"&gt;="&amp;TodayDate-365))</f>
        <v>0</v>
      </c>
      <c r="V446" s="25">
        <f>IF(B446="","",COUNTIFS(Appointments!$E$5:$E$1204,A446,Appointments!$M$5:$M$1204,"Cancelled"))</f>
        <v>0</v>
      </c>
      <c r="W446" s="25">
        <f>IF(B446="","",COUNTIFS(Appointments!$E$5:$E$1204,A446,Appointments!$M$5:$M$1204,"No show"))</f>
        <v>0</v>
      </c>
      <c r="X446" s="17">
        <f>IF(B446="","",IF(F446&lt;&gt;"",F446,IF(T446=0,"",SUMPRODUCT(MIN((Appointments!$E$5:$E$1204=A446)*(Appointments!$M$5:$M$1204="Completed")*Appointments!$B$5:$B$1204+(1-(Appointments!$E$5:$E$1204=A446)*(Appointments!$M$5:$M$1204="Completed"))*2958465)))))</f>
        <v>0</v>
      </c>
      <c r="Y446" s="17">
        <f>IF(B446="","",IF(T446=0,"",SUMPRODUCT(MAX((Appointments!$E$5:$E$1204=A446)*(Appointments!$M$5:$M$1204="Completed")*Appointments!$B$5:$B$1204))))</f>
        <v>0</v>
      </c>
      <c r="Z446" s="25">
        <f>IF(B446="","",IF(Y446="","",TodayDate-Y446))</f>
        <v>0</v>
      </c>
      <c r="AA446" s="42">
        <f>IF(B446="","",SUMPRODUCT(MIN((Appointments!$E$5:$E$1204=A446)*(Appointments!$M$5:$M$1204&lt;&gt;"Cancelled")*(Appointments!$M$5:$M$1204&lt;&gt;"Completed")*(Appointments!$M$5:$M$1204&lt;&gt;"No show")*(Appointments!$B$5:$B$1204&gt;=TodayDate)*Appointments!$B$5:$B$1204+(1-(Appointments!$E$5:$E$1204=A446)*(Appointments!$M$5:$M$1204&lt;&gt;"Cancelled")*(Appointments!$M$5:$M$1204&lt;&gt;"Completed")*(Appointments!$M$5:$M$1204&lt;&gt;"No show")*(Appointments!$B$5:$B$1204&gt;=TodayDate))*2958465)))</f>
        <v>0</v>
      </c>
      <c r="AB446" s="17">
        <f>IF(B446="","",IF(AA446&gt;=2958465,"",AA446))</f>
        <v>0</v>
      </c>
      <c r="AC446" s="25">
        <f>IF(B446="","",IF(T446&lt;2,"",ROUND((Y446-X446)/MAX(1,T446-1),0)))</f>
        <v>0</v>
      </c>
      <c r="AD446" s="17">
        <f>IF(B446="","",IF(Y446="","",Y446+IF(AC446="",RebookWeeks*7,MAX(14,AC446))))</f>
        <v>0</v>
      </c>
      <c r="AE446" s="26">
        <f>IF(B446="","",ROUND(SUMIFS(Sales!$Y$5:$Y$1204,Sales!$D$5:$D$1204,A446),2))</f>
        <v>0</v>
      </c>
      <c r="AF446" s="26">
        <f>IF(B446="","",ROUND(SUMIFS(Sales!$Y$5:$Y$1204,Sales!$D$5:$D$1204,A446,Sales!$H$5:$H$1204,"Service"),2))</f>
        <v>0</v>
      </c>
      <c r="AG446" s="26">
        <f>IF(B446="","",ROUND(SUMIFS(Sales!$Y$5:$Y$1204,Sales!$D$5:$D$1204,A446,Sales!$H$5:$H$1204,"Retail"),2))</f>
        <v>0</v>
      </c>
      <c r="AH446" s="26">
        <f>IF(B446="","",ROUND(SUMIFS(Sales!$Y$5:$Y$1204,Sales!$D$5:$D$1204,A446,Sales!$B$5:$B$1204,"&gt;="&amp;TodayDate-365),2))</f>
        <v>0</v>
      </c>
      <c r="AI446" s="26">
        <f>IF(B446="","",IF(T446=0,"",ROUND(AE446/T446,2)))</f>
        <v>0</v>
      </c>
      <c r="AJ446" s="26">
        <f>IF(B446="","",IF(AI446="","",IF(AC446="","",ROUND(AI446*(365/MAX(14,AC446)),2))))</f>
        <v>0</v>
      </c>
      <c r="AK446" s="26">
        <f>IF(B446="","",ROUND(SUMIFS(Sales!$AH$5:$AH$1204,Sales!$D$5:$D$1204,A446),2))</f>
        <v>0</v>
      </c>
      <c r="AL446" s="25">
        <f>IF(B446="","",IFERROR(INDEX(Loyalty!$P$5:$P$504,MATCH(A446,Loyalty!$B$5:$B$504,0))*1,0))</f>
        <v>0</v>
      </c>
      <c r="AM446" s="39">
        <f>IF(B446="","",IF(R446="Archived","Archived",IF(T446=0,"Not been yet",IF(Z446&gt;=InactiveDays,"Inactive",IF(Z446&gt;=LapsingDays,"Lapsing",IF(T446=1,"New",IF(AH446&gt;=VipSpend,"VIP",IF(U446&gt;=4,"Regular","Active"))))))))</f>
        <v>0</v>
      </c>
      <c r="AN446" s="38">
        <f>IF(B446="","",IF(T446&gt;=2,"Yes","No"))</f>
        <v>0</v>
      </c>
      <c r="AO446" s="25">
        <f>IF(B446="","",COUNTIFS($AE$5:$AE$504,"&gt;"&amp;AE446)+COUNTIFS($AE$5:AE446,AE446))</f>
        <v>0</v>
      </c>
      <c r="AP446" s="25">
        <f>IF(B446="","",COUNTIFS($T$5:$T$504,"&gt;"&amp;T446)+COUNTIFS($T$5:T446,T446))</f>
        <v>0</v>
      </c>
      <c r="AQ446" s="39">
        <f>IF(B446="","",IF(COUNTIF($B$5:$B$504,B446)&gt;1,"Duplicate - same name twice",IF(R446="Archived","",IF(AK446&gt;0.004,"Chase - balance outstanding",IF(AM446="Inactive","Gone - win-back offer",IF(AM446="Lapsing","Chase - lapsing, call them",IF(IF(N446="",FALSE,TodayDate-N446&gt;PatchTestDays),"Due - patch test out of date",IF(IF(AD446="",FALSE,IF(AB446&lt;&gt;"",FALSE,AD446&lt;=TodayDate+14)),"Rebook - due and nothing booked",IF(IF(K446="",FALSE,ABS(DATE(YEAR(TodayDate),MONTH(K446),DAY(K446))-TodayDate)&lt;=7),"Birthday - send the treat","OK")))))))))</f>
        <v>0</v>
      </c>
    </row>
    <row r="447" spans="1:43">
      <c r="A447" s="28">
        <f>IF(B447="","",ClientPrefix&amp;TEXT(ROW()-4,"0000"))</f>
        <v>0</v>
      </c>
      <c r="J447" s="15">
        <f>IF(I447="","",IFERROR(INDEX(Staff!$B$5:$B$44,MATCH(I447,Staff!$A$5:$A$44,0)),"Not in Staff"))</f>
        <v>0</v>
      </c>
      <c r="T447" s="25">
        <f>IF(B447="","",COUNTIFS(Appointments!$E$5:$E$1204,A447,Appointments!$M$5:$M$1204,"Completed"))</f>
        <v>0</v>
      </c>
      <c r="U447" s="25">
        <f>IF(B447="","",COUNTIFS(Appointments!$E$5:$E$1204,A447,Appointments!$M$5:$M$1204,"Completed",Appointments!$B$5:$B$1204,"&gt;="&amp;TodayDate-365))</f>
        <v>0</v>
      </c>
      <c r="V447" s="25">
        <f>IF(B447="","",COUNTIFS(Appointments!$E$5:$E$1204,A447,Appointments!$M$5:$M$1204,"Cancelled"))</f>
        <v>0</v>
      </c>
      <c r="W447" s="25">
        <f>IF(B447="","",COUNTIFS(Appointments!$E$5:$E$1204,A447,Appointments!$M$5:$M$1204,"No show"))</f>
        <v>0</v>
      </c>
      <c r="X447" s="17">
        <f>IF(B447="","",IF(F447&lt;&gt;"",F447,IF(T447=0,"",SUMPRODUCT(MIN((Appointments!$E$5:$E$1204=A447)*(Appointments!$M$5:$M$1204="Completed")*Appointments!$B$5:$B$1204+(1-(Appointments!$E$5:$E$1204=A447)*(Appointments!$M$5:$M$1204="Completed"))*2958465)))))</f>
        <v>0</v>
      </c>
      <c r="Y447" s="17">
        <f>IF(B447="","",IF(T447=0,"",SUMPRODUCT(MAX((Appointments!$E$5:$E$1204=A447)*(Appointments!$M$5:$M$1204="Completed")*Appointments!$B$5:$B$1204))))</f>
        <v>0</v>
      </c>
      <c r="Z447" s="25">
        <f>IF(B447="","",IF(Y447="","",TodayDate-Y447))</f>
        <v>0</v>
      </c>
      <c r="AA447" s="42">
        <f>IF(B447="","",SUMPRODUCT(MIN((Appointments!$E$5:$E$1204=A447)*(Appointments!$M$5:$M$1204&lt;&gt;"Cancelled")*(Appointments!$M$5:$M$1204&lt;&gt;"Completed")*(Appointments!$M$5:$M$1204&lt;&gt;"No show")*(Appointments!$B$5:$B$1204&gt;=TodayDate)*Appointments!$B$5:$B$1204+(1-(Appointments!$E$5:$E$1204=A447)*(Appointments!$M$5:$M$1204&lt;&gt;"Cancelled")*(Appointments!$M$5:$M$1204&lt;&gt;"Completed")*(Appointments!$M$5:$M$1204&lt;&gt;"No show")*(Appointments!$B$5:$B$1204&gt;=TodayDate))*2958465)))</f>
        <v>0</v>
      </c>
      <c r="AB447" s="17">
        <f>IF(B447="","",IF(AA447&gt;=2958465,"",AA447))</f>
        <v>0</v>
      </c>
      <c r="AC447" s="25">
        <f>IF(B447="","",IF(T447&lt;2,"",ROUND((Y447-X447)/MAX(1,T447-1),0)))</f>
        <v>0</v>
      </c>
      <c r="AD447" s="17">
        <f>IF(B447="","",IF(Y447="","",Y447+IF(AC447="",RebookWeeks*7,MAX(14,AC447))))</f>
        <v>0</v>
      </c>
      <c r="AE447" s="26">
        <f>IF(B447="","",ROUND(SUMIFS(Sales!$Y$5:$Y$1204,Sales!$D$5:$D$1204,A447),2))</f>
        <v>0</v>
      </c>
      <c r="AF447" s="26">
        <f>IF(B447="","",ROUND(SUMIFS(Sales!$Y$5:$Y$1204,Sales!$D$5:$D$1204,A447,Sales!$H$5:$H$1204,"Service"),2))</f>
        <v>0</v>
      </c>
      <c r="AG447" s="26">
        <f>IF(B447="","",ROUND(SUMIFS(Sales!$Y$5:$Y$1204,Sales!$D$5:$D$1204,A447,Sales!$H$5:$H$1204,"Retail"),2))</f>
        <v>0</v>
      </c>
      <c r="AH447" s="26">
        <f>IF(B447="","",ROUND(SUMIFS(Sales!$Y$5:$Y$1204,Sales!$D$5:$D$1204,A447,Sales!$B$5:$B$1204,"&gt;="&amp;TodayDate-365),2))</f>
        <v>0</v>
      </c>
      <c r="AI447" s="26">
        <f>IF(B447="","",IF(T447=0,"",ROUND(AE447/T447,2)))</f>
        <v>0</v>
      </c>
      <c r="AJ447" s="26">
        <f>IF(B447="","",IF(AI447="","",IF(AC447="","",ROUND(AI447*(365/MAX(14,AC447)),2))))</f>
        <v>0</v>
      </c>
      <c r="AK447" s="26">
        <f>IF(B447="","",ROUND(SUMIFS(Sales!$AH$5:$AH$1204,Sales!$D$5:$D$1204,A447),2))</f>
        <v>0</v>
      </c>
      <c r="AL447" s="25">
        <f>IF(B447="","",IFERROR(INDEX(Loyalty!$P$5:$P$504,MATCH(A447,Loyalty!$B$5:$B$504,0))*1,0))</f>
        <v>0</v>
      </c>
      <c r="AM447" s="39">
        <f>IF(B447="","",IF(R447="Archived","Archived",IF(T447=0,"Not been yet",IF(Z447&gt;=InactiveDays,"Inactive",IF(Z447&gt;=LapsingDays,"Lapsing",IF(T447=1,"New",IF(AH447&gt;=VipSpend,"VIP",IF(U447&gt;=4,"Regular","Active"))))))))</f>
        <v>0</v>
      </c>
      <c r="AN447" s="38">
        <f>IF(B447="","",IF(T447&gt;=2,"Yes","No"))</f>
        <v>0</v>
      </c>
      <c r="AO447" s="25">
        <f>IF(B447="","",COUNTIFS($AE$5:$AE$504,"&gt;"&amp;AE447)+COUNTIFS($AE$5:AE447,AE447))</f>
        <v>0</v>
      </c>
      <c r="AP447" s="25">
        <f>IF(B447="","",COUNTIFS($T$5:$T$504,"&gt;"&amp;T447)+COUNTIFS($T$5:T447,T447))</f>
        <v>0</v>
      </c>
      <c r="AQ447" s="39">
        <f>IF(B447="","",IF(COUNTIF($B$5:$B$504,B447)&gt;1,"Duplicate - same name twice",IF(R447="Archived","",IF(AK447&gt;0.004,"Chase - balance outstanding",IF(AM447="Inactive","Gone - win-back offer",IF(AM447="Lapsing","Chase - lapsing, call them",IF(IF(N447="",FALSE,TodayDate-N447&gt;PatchTestDays),"Due - patch test out of date",IF(IF(AD447="",FALSE,IF(AB447&lt;&gt;"",FALSE,AD447&lt;=TodayDate+14)),"Rebook - due and nothing booked",IF(IF(K447="",FALSE,ABS(DATE(YEAR(TodayDate),MONTH(K447),DAY(K447))-TodayDate)&lt;=7),"Birthday - send the treat","OK")))))))))</f>
        <v>0</v>
      </c>
    </row>
    <row r="448" spans="1:43">
      <c r="A448" s="28">
        <f>IF(B448="","",ClientPrefix&amp;TEXT(ROW()-4,"0000"))</f>
        <v>0</v>
      </c>
      <c r="J448" s="15">
        <f>IF(I448="","",IFERROR(INDEX(Staff!$B$5:$B$44,MATCH(I448,Staff!$A$5:$A$44,0)),"Not in Staff"))</f>
        <v>0</v>
      </c>
      <c r="T448" s="25">
        <f>IF(B448="","",COUNTIFS(Appointments!$E$5:$E$1204,A448,Appointments!$M$5:$M$1204,"Completed"))</f>
        <v>0</v>
      </c>
      <c r="U448" s="25">
        <f>IF(B448="","",COUNTIFS(Appointments!$E$5:$E$1204,A448,Appointments!$M$5:$M$1204,"Completed",Appointments!$B$5:$B$1204,"&gt;="&amp;TodayDate-365))</f>
        <v>0</v>
      </c>
      <c r="V448" s="25">
        <f>IF(B448="","",COUNTIFS(Appointments!$E$5:$E$1204,A448,Appointments!$M$5:$M$1204,"Cancelled"))</f>
        <v>0</v>
      </c>
      <c r="W448" s="25">
        <f>IF(B448="","",COUNTIFS(Appointments!$E$5:$E$1204,A448,Appointments!$M$5:$M$1204,"No show"))</f>
        <v>0</v>
      </c>
      <c r="X448" s="17">
        <f>IF(B448="","",IF(F448&lt;&gt;"",F448,IF(T448=0,"",SUMPRODUCT(MIN((Appointments!$E$5:$E$1204=A448)*(Appointments!$M$5:$M$1204="Completed")*Appointments!$B$5:$B$1204+(1-(Appointments!$E$5:$E$1204=A448)*(Appointments!$M$5:$M$1204="Completed"))*2958465)))))</f>
        <v>0</v>
      </c>
      <c r="Y448" s="17">
        <f>IF(B448="","",IF(T448=0,"",SUMPRODUCT(MAX((Appointments!$E$5:$E$1204=A448)*(Appointments!$M$5:$M$1204="Completed")*Appointments!$B$5:$B$1204))))</f>
        <v>0</v>
      </c>
      <c r="Z448" s="25">
        <f>IF(B448="","",IF(Y448="","",TodayDate-Y448))</f>
        <v>0</v>
      </c>
      <c r="AA448" s="42">
        <f>IF(B448="","",SUMPRODUCT(MIN((Appointments!$E$5:$E$1204=A448)*(Appointments!$M$5:$M$1204&lt;&gt;"Cancelled")*(Appointments!$M$5:$M$1204&lt;&gt;"Completed")*(Appointments!$M$5:$M$1204&lt;&gt;"No show")*(Appointments!$B$5:$B$1204&gt;=TodayDate)*Appointments!$B$5:$B$1204+(1-(Appointments!$E$5:$E$1204=A448)*(Appointments!$M$5:$M$1204&lt;&gt;"Cancelled")*(Appointments!$M$5:$M$1204&lt;&gt;"Completed")*(Appointments!$M$5:$M$1204&lt;&gt;"No show")*(Appointments!$B$5:$B$1204&gt;=TodayDate))*2958465)))</f>
        <v>0</v>
      </c>
      <c r="AB448" s="17">
        <f>IF(B448="","",IF(AA448&gt;=2958465,"",AA448))</f>
        <v>0</v>
      </c>
      <c r="AC448" s="25">
        <f>IF(B448="","",IF(T448&lt;2,"",ROUND((Y448-X448)/MAX(1,T448-1),0)))</f>
        <v>0</v>
      </c>
      <c r="AD448" s="17">
        <f>IF(B448="","",IF(Y448="","",Y448+IF(AC448="",RebookWeeks*7,MAX(14,AC448))))</f>
        <v>0</v>
      </c>
      <c r="AE448" s="26">
        <f>IF(B448="","",ROUND(SUMIFS(Sales!$Y$5:$Y$1204,Sales!$D$5:$D$1204,A448),2))</f>
        <v>0</v>
      </c>
      <c r="AF448" s="26">
        <f>IF(B448="","",ROUND(SUMIFS(Sales!$Y$5:$Y$1204,Sales!$D$5:$D$1204,A448,Sales!$H$5:$H$1204,"Service"),2))</f>
        <v>0</v>
      </c>
      <c r="AG448" s="26">
        <f>IF(B448="","",ROUND(SUMIFS(Sales!$Y$5:$Y$1204,Sales!$D$5:$D$1204,A448,Sales!$H$5:$H$1204,"Retail"),2))</f>
        <v>0</v>
      </c>
      <c r="AH448" s="26">
        <f>IF(B448="","",ROUND(SUMIFS(Sales!$Y$5:$Y$1204,Sales!$D$5:$D$1204,A448,Sales!$B$5:$B$1204,"&gt;="&amp;TodayDate-365),2))</f>
        <v>0</v>
      </c>
      <c r="AI448" s="26">
        <f>IF(B448="","",IF(T448=0,"",ROUND(AE448/T448,2)))</f>
        <v>0</v>
      </c>
      <c r="AJ448" s="26">
        <f>IF(B448="","",IF(AI448="","",IF(AC448="","",ROUND(AI448*(365/MAX(14,AC448)),2))))</f>
        <v>0</v>
      </c>
      <c r="AK448" s="26">
        <f>IF(B448="","",ROUND(SUMIFS(Sales!$AH$5:$AH$1204,Sales!$D$5:$D$1204,A448),2))</f>
        <v>0</v>
      </c>
      <c r="AL448" s="25">
        <f>IF(B448="","",IFERROR(INDEX(Loyalty!$P$5:$P$504,MATCH(A448,Loyalty!$B$5:$B$504,0))*1,0))</f>
        <v>0</v>
      </c>
      <c r="AM448" s="39">
        <f>IF(B448="","",IF(R448="Archived","Archived",IF(T448=0,"Not been yet",IF(Z448&gt;=InactiveDays,"Inactive",IF(Z448&gt;=LapsingDays,"Lapsing",IF(T448=1,"New",IF(AH448&gt;=VipSpend,"VIP",IF(U448&gt;=4,"Regular","Active"))))))))</f>
        <v>0</v>
      </c>
      <c r="AN448" s="38">
        <f>IF(B448="","",IF(T448&gt;=2,"Yes","No"))</f>
        <v>0</v>
      </c>
      <c r="AO448" s="25">
        <f>IF(B448="","",COUNTIFS($AE$5:$AE$504,"&gt;"&amp;AE448)+COUNTIFS($AE$5:AE448,AE448))</f>
        <v>0</v>
      </c>
      <c r="AP448" s="25">
        <f>IF(B448="","",COUNTIFS($T$5:$T$504,"&gt;"&amp;T448)+COUNTIFS($T$5:T448,T448))</f>
        <v>0</v>
      </c>
      <c r="AQ448" s="39">
        <f>IF(B448="","",IF(COUNTIF($B$5:$B$504,B448)&gt;1,"Duplicate - same name twice",IF(R448="Archived","",IF(AK448&gt;0.004,"Chase - balance outstanding",IF(AM448="Inactive","Gone - win-back offer",IF(AM448="Lapsing","Chase - lapsing, call them",IF(IF(N448="",FALSE,TodayDate-N448&gt;PatchTestDays),"Due - patch test out of date",IF(IF(AD448="",FALSE,IF(AB448&lt;&gt;"",FALSE,AD448&lt;=TodayDate+14)),"Rebook - due and nothing booked",IF(IF(K448="",FALSE,ABS(DATE(YEAR(TodayDate),MONTH(K448),DAY(K448))-TodayDate)&lt;=7),"Birthday - send the treat","OK")))))))))</f>
        <v>0</v>
      </c>
    </row>
    <row r="449" spans="1:43">
      <c r="A449" s="28">
        <f>IF(B449="","",ClientPrefix&amp;TEXT(ROW()-4,"0000"))</f>
        <v>0</v>
      </c>
      <c r="J449" s="15">
        <f>IF(I449="","",IFERROR(INDEX(Staff!$B$5:$B$44,MATCH(I449,Staff!$A$5:$A$44,0)),"Not in Staff"))</f>
        <v>0</v>
      </c>
      <c r="T449" s="25">
        <f>IF(B449="","",COUNTIFS(Appointments!$E$5:$E$1204,A449,Appointments!$M$5:$M$1204,"Completed"))</f>
        <v>0</v>
      </c>
      <c r="U449" s="25">
        <f>IF(B449="","",COUNTIFS(Appointments!$E$5:$E$1204,A449,Appointments!$M$5:$M$1204,"Completed",Appointments!$B$5:$B$1204,"&gt;="&amp;TodayDate-365))</f>
        <v>0</v>
      </c>
      <c r="V449" s="25">
        <f>IF(B449="","",COUNTIFS(Appointments!$E$5:$E$1204,A449,Appointments!$M$5:$M$1204,"Cancelled"))</f>
        <v>0</v>
      </c>
      <c r="W449" s="25">
        <f>IF(B449="","",COUNTIFS(Appointments!$E$5:$E$1204,A449,Appointments!$M$5:$M$1204,"No show"))</f>
        <v>0</v>
      </c>
      <c r="X449" s="17">
        <f>IF(B449="","",IF(F449&lt;&gt;"",F449,IF(T449=0,"",SUMPRODUCT(MIN((Appointments!$E$5:$E$1204=A449)*(Appointments!$M$5:$M$1204="Completed")*Appointments!$B$5:$B$1204+(1-(Appointments!$E$5:$E$1204=A449)*(Appointments!$M$5:$M$1204="Completed"))*2958465)))))</f>
        <v>0</v>
      </c>
      <c r="Y449" s="17">
        <f>IF(B449="","",IF(T449=0,"",SUMPRODUCT(MAX((Appointments!$E$5:$E$1204=A449)*(Appointments!$M$5:$M$1204="Completed")*Appointments!$B$5:$B$1204))))</f>
        <v>0</v>
      </c>
      <c r="Z449" s="25">
        <f>IF(B449="","",IF(Y449="","",TodayDate-Y449))</f>
        <v>0</v>
      </c>
      <c r="AA449" s="42">
        <f>IF(B449="","",SUMPRODUCT(MIN((Appointments!$E$5:$E$1204=A449)*(Appointments!$M$5:$M$1204&lt;&gt;"Cancelled")*(Appointments!$M$5:$M$1204&lt;&gt;"Completed")*(Appointments!$M$5:$M$1204&lt;&gt;"No show")*(Appointments!$B$5:$B$1204&gt;=TodayDate)*Appointments!$B$5:$B$1204+(1-(Appointments!$E$5:$E$1204=A449)*(Appointments!$M$5:$M$1204&lt;&gt;"Cancelled")*(Appointments!$M$5:$M$1204&lt;&gt;"Completed")*(Appointments!$M$5:$M$1204&lt;&gt;"No show")*(Appointments!$B$5:$B$1204&gt;=TodayDate))*2958465)))</f>
        <v>0</v>
      </c>
      <c r="AB449" s="17">
        <f>IF(B449="","",IF(AA449&gt;=2958465,"",AA449))</f>
        <v>0</v>
      </c>
      <c r="AC449" s="25">
        <f>IF(B449="","",IF(T449&lt;2,"",ROUND((Y449-X449)/MAX(1,T449-1),0)))</f>
        <v>0</v>
      </c>
      <c r="AD449" s="17">
        <f>IF(B449="","",IF(Y449="","",Y449+IF(AC449="",RebookWeeks*7,MAX(14,AC449))))</f>
        <v>0</v>
      </c>
      <c r="AE449" s="26">
        <f>IF(B449="","",ROUND(SUMIFS(Sales!$Y$5:$Y$1204,Sales!$D$5:$D$1204,A449),2))</f>
        <v>0</v>
      </c>
      <c r="AF449" s="26">
        <f>IF(B449="","",ROUND(SUMIFS(Sales!$Y$5:$Y$1204,Sales!$D$5:$D$1204,A449,Sales!$H$5:$H$1204,"Service"),2))</f>
        <v>0</v>
      </c>
      <c r="AG449" s="26">
        <f>IF(B449="","",ROUND(SUMIFS(Sales!$Y$5:$Y$1204,Sales!$D$5:$D$1204,A449,Sales!$H$5:$H$1204,"Retail"),2))</f>
        <v>0</v>
      </c>
      <c r="AH449" s="26">
        <f>IF(B449="","",ROUND(SUMIFS(Sales!$Y$5:$Y$1204,Sales!$D$5:$D$1204,A449,Sales!$B$5:$B$1204,"&gt;="&amp;TodayDate-365),2))</f>
        <v>0</v>
      </c>
      <c r="AI449" s="26">
        <f>IF(B449="","",IF(T449=0,"",ROUND(AE449/T449,2)))</f>
        <v>0</v>
      </c>
      <c r="AJ449" s="26">
        <f>IF(B449="","",IF(AI449="","",IF(AC449="","",ROUND(AI449*(365/MAX(14,AC449)),2))))</f>
        <v>0</v>
      </c>
      <c r="AK449" s="26">
        <f>IF(B449="","",ROUND(SUMIFS(Sales!$AH$5:$AH$1204,Sales!$D$5:$D$1204,A449),2))</f>
        <v>0</v>
      </c>
      <c r="AL449" s="25">
        <f>IF(B449="","",IFERROR(INDEX(Loyalty!$P$5:$P$504,MATCH(A449,Loyalty!$B$5:$B$504,0))*1,0))</f>
        <v>0</v>
      </c>
      <c r="AM449" s="39">
        <f>IF(B449="","",IF(R449="Archived","Archived",IF(T449=0,"Not been yet",IF(Z449&gt;=InactiveDays,"Inactive",IF(Z449&gt;=LapsingDays,"Lapsing",IF(T449=1,"New",IF(AH449&gt;=VipSpend,"VIP",IF(U449&gt;=4,"Regular","Active"))))))))</f>
        <v>0</v>
      </c>
      <c r="AN449" s="38">
        <f>IF(B449="","",IF(T449&gt;=2,"Yes","No"))</f>
        <v>0</v>
      </c>
      <c r="AO449" s="25">
        <f>IF(B449="","",COUNTIFS($AE$5:$AE$504,"&gt;"&amp;AE449)+COUNTIFS($AE$5:AE449,AE449))</f>
        <v>0</v>
      </c>
      <c r="AP449" s="25">
        <f>IF(B449="","",COUNTIFS($T$5:$T$504,"&gt;"&amp;T449)+COUNTIFS($T$5:T449,T449))</f>
        <v>0</v>
      </c>
      <c r="AQ449" s="39">
        <f>IF(B449="","",IF(COUNTIF($B$5:$B$504,B449)&gt;1,"Duplicate - same name twice",IF(R449="Archived","",IF(AK449&gt;0.004,"Chase - balance outstanding",IF(AM449="Inactive","Gone - win-back offer",IF(AM449="Lapsing","Chase - lapsing, call them",IF(IF(N449="",FALSE,TodayDate-N449&gt;PatchTestDays),"Due - patch test out of date",IF(IF(AD449="",FALSE,IF(AB449&lt;&gt;"",FALSE,AD449&lt;=TodayDate+14)),"Rebook - due and nothing booked",IF(IF(K449="",FALSE,ABS(DATE(YEAR(TodayDate),MONTH(K449),DAY(K449))-TodayDate)&lt;=7),"Birthday - send the treat","OK")))))))))</f>
        <v>0</v>
      </c>
    </row>
    <row r="450" spans="1:43">
      <c r="A450" s="28">
        <f>IF(B450="","",ClientPrefix&amp;TEXT(ROW()-4,"0000"))</f>
        <v>0</v>
      </c>
      <c r="J450" s="15">
        <f>IF(I450="","",IFERROR(INDEX(Staff!$B$5:$B$44,MATCH(I450,Staff!$A$5:$A$44,0)),"Not in Staff"))</f>
        <v>0</v>
      </c>
      <c r="T450" s="25">
        <f>IF(B450="","",COUNTIFS(Appointments!$E$5:$E$1204,A450,Appointments!$M$5:$M$1204,"Completed"))</f>
        <v>0</v>
      </c>
      <c r="U450" s="25">
        <f>IF(B450="","",COUNTIFS(Appointments!$E$5:$E$1204,A450,Appointments!$M$5:$M$1204,"Completed",Appointments!$B$5:$B$1204,"&gt;="&amp;TodayDate-365))</f>
        <v>0</v>
      </c>
      <c r="V450" s="25">
        <f>IF(B450="","",COUNTIFS(Appointments!$E$5:$E$1204,A450,Appointments!$M$5:$M$1204,"Cancelled"))</f>
        <v>0</v>
      </c>
      <c r="W450" s="25">
        <f>IF(B450="","",COUNTIFS(Appointments!$E$5:$E$1204,A450,Appointments!$M$5:$M$1204,"No show"))</f>
        <v>0</v>
      </c>
      <c r="X450" s="17">
        <f>IF(B450="","",IF(F450&lt;&gt;"",F450,IF(T450=0,"",SUMPRODUCT(MIN((Appointments!$E$5:$E$1204=A450)*(Appointments!$M$5:$M$1204="Completed")*Appointments!$B$5:$B$1204+(1-(Appointments!$E$5:$E$1204=A450)*(Appointments!$M$5:$M$1204="Completed"))*2958465)))))</f>
        <v>0</v>
      </c>
      <c r="Y450" s="17">
        <f>IF(B450="","",IF(T450=0,"",SUMPRODUCT(MAX((Appointments!$E$5:$E$1204=A450)*(Appointments!$M$5:$M$1204="Completed")*Appointments!$B$5:$B$1204))))</f>
        <v>0</v>
      </c>
      <c r="Z450" s="25">
        <f>IF(B450="","",IF(Y450="","",TodayDate-Y450))</f>
        <v>0</v>
      </c>
      <c r="AA450" s="42">
        <f>IF(B450="","",SUMPRODUCT(MIN((Appointments!$E$5:$E$1204=A450)*(Appointments!$M$5:$M$1204&lt;&gt;"Cancelled")*(Appointments!$M$5:$M$1204&lt;&gt;"Completed")*(Appointments!$M$5:$M$1204&lt;&gt;"No show")*(Appointments!$B$5:$B$1204&gt;=TodayDate)*Appointments!$B$5:$B$1204+(1-(Appointments!$E$5:$E$1204=A450)*(Appointments!$M$5:$M$1204&lt;&gt;"Cancelled")*(Appointments!$M$5:$M$1204&lt;&gt;"Completed")*(Appointments!$M$5:$M$1204&lt;&gt;"No show")*(Appointments!$B$5:$B$1204&gt;=TodayDate))*2958465)))</f>
        <v>0</v>
      </c>
      <c r="AB450" s="17">
        <f>IF(B450="","",IF(AA450&gt;=2958465,"",AA450))</f>
        <v>0</v>
      </c>
      <c r="AC450" s="25">
        <f>IF(B450="","",IF(T450&lt;2,"",ROUND((Y450-X450)/MAX(1,T450-1),0)))</f>
        <v>0</v>
      </c>
      <c r="AD450" s="17">
        <f>IF(B450="","",IF(Y450="","",Y450+IF(AC450="",RebookWeeks*7,MAX(14,AC450))))</f>
        <v>0</v>
      </c>
      <c r="AE450" s="26">
        <f>IF(B450="","",ROUND(SUMIFS(Sales!$Y$5:$Y$1204,Sales!$D$5:$D$1204,A450),2))</f>
        <v>0</v>
      </c>
      <c r="AF450" s="26">
        <f>IF(B450="","",ROUND(SUMIFS(Sales!$Y$5:$Y$1204,Sales!$D$5:$D$1204,A450,Sales!$H$5:$H$1204,"Service"),2))</f>
        <v>0</v>
      </c>
      <c r="AG450" s="26">
        <f>IF(B450="","",ROUND(SUMIFS(Sales!$Y$5:$Y$1204,Sales!$D$5:$D$1204,A450,Sales!$H$5:$H$1204,"Retail"),2))</f>
        <v>0</v>
      </c>
      <c r="AH450" s="26">
        <f>IF(B450="","",ROUND(SUMIFS(Sales!$Y$5:$Y$1204,Sales!$D$5:$D$1204,A450,Sales!$B$5:$B$1204,"&gt;="&amp;TodayDate-365),2))</f>
        <v>0</v>
      </c>
      <c r="AI450" s="26">
        <f>IF(B450="","",IF(T450=0,"",ROUND(AE450/T450,2)))</f>
        <v>0</v>
      </c>
      <c r="AJ450" s="26">
        <f>IF(B450="","",IF(AI450="","",IF(AC450="","",ROUND(AI450*(365/MAX(14,AC450)),2))))</f>
        <v>0</v>
      </c>
      <c r="AK450" s="26">
        <f>IF(B450="","",ROUND(SUMIFS(Sales!$AH$5:$AH$1204,Sales!$D$5:$D$1204,A450),2))</f>
        <v>0</v>
      </c>
      <c r="AL450" s="25">
        <f>IF(B450="","",IFERROR(INDEX(Loyalty!$P$5:$P$504,MATCH(A450,Loyalty!$B$5:$B$504,0))*1,0))</f>
        <v>0</v>
      </c>
      <c r="AM450" s="39">
        <f>IF(B450="","",IF(R450="Archived","Archived",IF(T450=0,"Not been yet",IF(Z450&gt;=InactiveDays,"Inactive",IF(Z450&gt;=LapsingDays,"Lapsing",IF(T450=1,"New",IF(AH450&gt;=VipSpend,"VIP",IF(U450&gt;=4,"Regular","Active"))))))))</f>
        <v>0</v>
      </c>
      <c r="AN450" s="38">
        <f>IF(B450="","",IF(T450&gt;=2,"Yes","No"))</f>
        <v>0</v>
      </c>
      <c r="AO450" s="25">
        <f>IF(B450="","",COUNTIFS($AE$5:$AE$504,"&gt;"&amp;AE450)+COUNTIFS($AE$5:AE450,AE450))</f>
        <v>0</v>
      </c>
      <c r="AP450" s="25">
        <f>IF(B450="","",COUNTIFS($T$5:$T$504,"&gt;"&amp;T450)+COUNTIFS($T$5:T450,T450))</f>
        <v>0</v>
      </c>
      <c r="AQ450" s="39">
        <f>IF(B450="","",IF(COUNTIF($B$5:$B$504,B450)&gt;1,"Duplicate - same name twice",IF(R450="Archived","",IF(AK450&gt;0.004,"Chase - balance outstanding",IF(AM450="Inactive","Gone - win-back offer",IF(AM450="Lapsing","Chase - lapsing, call them",IF(IF(N450="",FALSE,TodayDate-N450&gt;PatchTestDays),"Due - patch test out of date",IF(IF(AD450="",FALSE,IF(AB450&lt;&gt;"",FALSE,AD450&lt;=TodayDate+14)),"Rebook - due and nothing booked",IF(IF(K450="",FALSE,ABS(DATE(YEAR(TodayDate),MONTH(K450),DAY(K450))-TodayDate)&lt;=7),"Birthday - send the treat","OK")))))))))</f>
        <v>0</v>
      </c>
    </row>
    <row r="451" spans="1:43">
      <c r="A451" s="28">
        <f>IF(B451="","",ClientPrefix&amp;TEXT(ROW()-4,"0000"))</f>
        <v>0</v>
      </c>
      <c r="J451" s="15">
        <f>IF(I451="","",IFERROR(INDEX(Staff!$B$5:$B$44,MATCH(I451,Staff!$A$5:$A$44,0)),"Not in Staff"))</f>
        <v>0</v>
      </c>
      <c r="T451" s="25">
        <f>IF(B451="","",COUNTIFS(Appointments!$E$5:$E$1204,A451,Appointments!$M$5:$M$1204,"Completed"))</f>
        <v>0</v>
      </c>
      <c r="U451" s="25">
        <f>IF(B451="","",COUNTIFS(Appointments!$E$5:$E$1204,A451,Appointments!$M$5:$M$1204,"Completed",Appointments!$B$5:$B$1204,"&gt;="&amp;TodayDate-365))</f>
        <v>0</v>
      </c>
      <c r="V451" s="25">
        <f>IF(B451="","",COUNTIFS(Appointments!$E$5:$E$1204,A451,Appointments!$M$5:$M$1204,"Cancelled"))</f>
        <v>0</v>
      </c>
      <c r="W451" s="25">
        <f>IF(B451="","",COUNTIFS(Appointments!$E$5:$E$1204,A451,Appointments!$M$5:$M$1204,"No show"))</f>
        <v>0</v>
      </c>
      <c r="X451" s="17">
        <f>IF(B451="","",IF(F451&lt;&gt;"",F451,IF(T451=0,"",SUMPRODUCT(MIN((Appointments!$E$5:$E$1204=A451)*(Appointments!$M$5:$M$1204="Completed")*Appointments!$B$5:$B$1204+(1-(Appointments!$E$5:$E$1204=A451)*(Appointments!$M$5:$M$1204="Completed"))*2958465)))))</f>
        <v>0</v>
      </c>
      <c r="Y451" s="17">
        <f>IF(B451="","",IF(T451=0,"",SUMPRODUCT(MAX((Appointments!$E$5:$E$1204=A451)*(Appointments!$M$5:$M$1204="Completed")*Appointments!$B$5:$B$1204))))</f>
        <v>0</v>
      </c>
      <c r="Z451" s="25">
        <f>IF(B451="","",IF(Y451="","",TodayDate-Y451))</f>
        <v>0</v>
      </c>
      <c r="AA451" s="42">
        <f>IF(B451="","",SUMPRODUCT(MIN((Appointments!$E$5:$E$1204=A451)*(Appointments!$M$5:$M$1204&lt;&gt;"Cancelled")*(Appointments!$M$5:$M$1204&lt;&gt;"Completed")*(Appointments!$M$5:$M$1204&lt;&gt;"No show")*(Appointments!$B$5:$B$1204&gt;=TodayDate)*Appointments!$B$5:$B$1204+(1-(Appointments!$E$5:$E$1204=A451)*(Appointments!$M$5:$M$1204&lt;&gt;"Cancelled")*(Appointments!$M$5:$M$1204&lt;&gt;"Completed")*(Appointments!$M$5:$M$1204&lt;&gt;"No show")*(Appointments!$B$5:$B$1204&gt;=TodayDate))*2958465)))</f>
        <v>0</v>
      </c>
      <c r="AB451" s="17">
        <f>IF(B451="","",IF(AA451&gt;=2958465,"",AA451))</f>
        <v>0</v>
      </c>
      <c r="AC451" s="25">
        <f>IF(B451="","",IF(T451&lt;2,"",ROUND((Y451-X451)/MAX(1,T451-1),0)))</f>
        <v>0</v>
      </c>
      <c r="AD451" s="17">
        <f>IF(B451="","",IF(Y451="","",Y451+IF(AC451="",RebookWeeks*7,MAX(14,AC451))))</f>
        <v>0</v>
      </c>
      <c r="AE451" s="26">
        <f>IF(B451="","",ROUND(SUMIFS(Sales!$Y$5:$Y$1204,Sales!$D$5:$D$1204,A451),2))</f>
        <v>0</v>
      </c>
      <c r="AF451" s="26">
        <f>IF(B451="","",ROUND(SUMIFS(Sales!$Y$5:$Y$1204,Sales!$D$5:$D$1204,A451,Sales!$H$5:$H$1204,"Service"),2))</f>
        <v>0</v>
      </c>
      <c r="AG451" s="26">
        <f>IF(B451="","",ROUND(SUMIFS(Sales!$Y$5:$Y$1204,Sales!$D$5:$D$1204,A451,Sales!$H$5:$H$1204,"Retail"),2))</f>
        <v>0</v>
      </c>
      <c r="AH451" s="26">
        <f>IF(B451="","",ROUND(SUMIFS(Sales!$Y$5:$Y$1204,Sales!$D$5:$D$1204,A451,Sales!$B$5:$B$1204,"&gt;="&amp;TodayDate-365),2))</f>
        <v>0</v>
      </c>
      <c r="AI451" s="26">
        <f>IF(B451="","",IF(T451=0,"",ROUND(AE451/T451,2)))</f>
        <v>0</v>
      </c>
      <c r="AJ451" s="26">
        <f>IF(B451="","",IF(AI451="","",IF(AC451="","",ROUND(AI451*(365/MAX(14,AC451)),2))))</f>
        <v>0</v>
      </c>
      <c r="AK451" s="26">
        <f>IF(B451="","",ROUND(SUMIFS(Sales!$AH$5:$AH$1204,Sales!$D$5:$D$1204,A451),2))</f>
        <v>0</v>
      </c>
      <c r="AL451" s="25">
        <f>IF(B451="","",IFERROR(INDEX(Loyalty!$P$5:$P$504,MATCH(A451,Loyalty!$B$5:$B$504,0))*1,0))</f>
        <v>0</v>
      </c>
      <c r="AM451" s="39">
        <f>IF(B451="","",IF(R451="Archived","Archived",IF(T451=0,"Not been yet",IF(Z451&gt;=InactiveDays,"Inactive",IF(Z451&gt;=LapsingDays,"Lapsing",IF(T451=1,"New",IF(AH451&gt;=VipSpend,"VIP",IF(U451&gt;=4,"Regular","Active"))))))))</f>
        <v>0</v>
      </c>
      <c r="AN451" s="38">
        <f>IF(B451="","",IF(T451&gt;=2,"Yes","No"))</f>
        <v>0</v>
      </c>
      <c r="AO451" s="25">
        <f>IF(B451="","",COUNTIFS($AE$5:$AE$504,"&gt;"&amp;AE451)+COUNTIFS($AE$5:AE451,AE451))</f>
        <v>0</v>
      </c>
      <c r="AP451" s="25">
        <f>IF(B451="","",COUNTIFS($T$5:$T$504,"&gt;"&amp;T451)+COUNTIFS($T$5:T451,T451))</f>
        <v>0</v>
      </c>
      <c r="AQ451" s="39">
        <f>IF(B451="","",IF(COUNTIF($B$5:$B$504,B451)&gt;1,"Duplicate - same name twice",IF(R451="Archived","",IF(AK451&gt;0.004,"Chase - balance outstanding",IF(AM451="Inactive","Gone - win-back offer",IF(AM451="Lapsing","Chase - lapsing, call them",IF(IF(N451="",FALSE,TodayDate-N451&gt;PatchTestDays),"Due - patch test out of date",IF(IF(AD451="",FALSE,IF(AB451&lt;&gt;"",FALSE,AD451&lt;=TodayDate+14)),"Rebook - due and nothing booked",IF(IF(K451="",FALSE,ABS(DATE(YEAR(TodayDate),MONTH(K451),DAY(K451))-TodayDate)&lt;=7),"Birthday - send the treat","OK")))))))))</f>
        <v>0</v>
      </c>
    </row>
    <row r="452" spans="1:43">
      <c r="A452" s="28">
        <f>IF(B452="","",ClientPrefix&amp;TEXT(ROW()-4,"0000"))</f>
        <v>0</v>
      </c>
      <c r="J452" s="15">
        <f>IF(I452="","",IFERROR(INDEX(Staff!$B$5:$B$44,MATCH(I452,Staff!$A$5:$A$44,0)),"Not in Staff"))</f>
        <v>0</v>
      </c>
      <c r="T452" s="25">
        <f>IF(B452="","",COUNTIFS(Appointments!$E$5:$E$1204,A452,Appointments!$M$5:$M$1204,"Completed"))</f>
        <v>0</v>
      </c>
      <c r="U452" s="25">
        <f>IF(B452="","",COUNTIFS(Appointments!$E$5:$E$1204,A452,Appointments!$M$5:$M$1204,"Completed",Appointments!$B$5:$B$1204,"&gt;="&amp;TodayDate-365))</f>
        <v>0</v>
      </c>
      <c r="V452" s="25">
        <f>IF(B452="","",COUNTIFS(Appointments!$E$5:$E$1204,A452,Appointments!$M$5:$M$1204,"Cancelled"))</f>
        <v>0</v>
      </c>
      <c r="W452" s="25">
        <f>IF(B452="","",COUNTIFS(Appointments!$E$5:$E$1204,A452,Appointments!$M$5:$M$1204,"No show"))</f>
        <v>0</v>
      </c>
      <c r="X452" s="17">
        <f>IF(B452="","",IF(F452&lt;&gt;"",F452,IF(T452=0,"",SUMPRODUCT(MIN((Appointments!$E$5:$E$1204=A452)*(Appointments!$M$5:$M$1204="Completed")*Appointments!$B$5:$B$1204+(1-(Appointments!$E$5:$E$1204=A452)*(Appointments!$M$5:$M$1204="Completed"))*2958465)))))</f>
        <v>0</v>
      </c>
      <c r="Y452" s="17">
        <f>IF(B452="","",IF(T452=0,"",SUMPRODUCT(MAX((Appointments!$E$5:$E$1204=A452)*(Appointments!$M$5:$M$1204="Completed")*Appointments!$B$5:$B$1204))))</f>
        <v>0</v>
      </c>
      <c r="Z452" s="25">
        <f>IF(B452="","",IF(Y452="","",TodayDate-Y452))</f>
        <v>0</v>
      </c>
      <c r="AA452" s="42">
        <f>IF(B452="","",SUMPRODUCT(MIN((Appointments!$E$5:$E$1204=A452)*(Appointments!$M$5:$M$1204&lt;&gt;"Cancelled")*(Appointments!$M$5:$M$1204&lt;&gt;"Completed")*(Appointments!$M$5:$M$1204&lt;&gt;"No show")*(Appointments!$B$5:$B$1204&gt;=TodayDate)*Appointments!$B$5:$B$1204+(1-(Appointments!$E$5:$E$1204=A452)*(Appointments!$M$5:$M$1204&lt;&gt;"Cancelled")*(Appointments!$M$5:$M$1204&lt;&gt;"Completed")*(Appointments!$M$5:$M$1204&lt;&gt;"No show")*(Appointments!$B$5:$B$1204&gt;=TodayDate))*2958465)))</f>
        <v>0</v>
      </c>
      <c r="AB452" s="17">
        <f>IF(B452="","",IF(AA452&gt;=2958465,"",AA452))</f>
        <v>0</v>
      </c>
      <c r="AC452" s="25">
        <f>IF(B452="","",IF(T452&lt;2,"",ROUND((Y452-X452)/MAX(1,T452-1),0)))</f>
        <v>0</v>
      </c>
      <c r="AD452" s="17">
        <f>IF(B452="","",IF(Y452="","",Y452+IF(AC452="",RebookWeeks*7,MAX(14,AC452))))</f>
        <v>0</v>
      </c>
      <c r="AE452" s="26">
        <f>IF(B452="","",ROUND(SUMIFS(Sales!$Y$5:$Y$1204,Sales!$D$5:$D$1204,A452),2))</f>
        <v>0</v>
      </c>
      <c r="AF452" s="26">
        <f>IF(B452="","",ROUND(SUMIFS(Sales!$Y$5:$Y$1204,Sales!$D$5:$D$1204,A452,Sales!$H$5:$H$1204,"Service"),2))</f>
        <v>0</v>
      </c>
      <c r="AG452" s="26">
        <f>IF(B452="","",ROUND(SUMIFS(Sales!$Y$5:$Y$1204,Sales!$D$5:$D$1204,A452,Sales!$H$5:$H$1204,"Retail"),2))</f>
        <v>0</v>
      </c>
      <c r="AH452" s="26">
        <f>IF(B452="","",ROUND(SUMIFS(Sales!$Y$5:$Y$1204,Sales!$D$5:$D$1204,A452,Sales!$B$5:$B$1204,"&gt;="&amp;TodayDate-365),2))</f>
        <v>0</v>
      </c>
      <c r="AI452" s="26">
        <f>IF(B452="","",IF(T452=0,"",ROUND(AE452/T452,2)))</f>
        <v>0</v>
      </c>
      <c r="AJ452" s="26">
        <f>IF(B452="","",IF(AI452="","",IF(AC452="","",ROUND(AI452*(365/MAX(14,AC452)),2))))</f>
        <v>0</v>
      </c>
      <c r="AK452" s="26">
        <f>IF(B452="","",ROUND(SUMIFS(Sales!$AH$5:$AH$1204,Sales!$D$5:$D$1204,A452),2))</f>
        <v>0</v>
      </c>
      <c r="AL452" s="25">
        <f>IF(B452="","",IFERROR(INDEX(Loyalty!$P$5:$P$504,MATCH(A452,Loyalty!$B$5:$B$504,0))*1,0))</f>
        <v>0</v>
      </c>
      <c r="AM452" s="39">
        <f>IF(B452="","",IF(R452="Archived","Archived",IF(T452=0,"Not been yet",IF(Z452&gt;=InactiveDays,"Inactive",IF(Z452&gt;=LapsingDays,"Lapsing",IF(T452=1,"New",IF(AH452&gt;=VipSpend,"VIP",IF(U452&gt;=4,"Regular","Active"))))))))</f>
        <v>0</v>
      </c>
      <c r="AN452" s="38">
        <f>IF(B452="","",IF(T452&gt;=2,"Yes","No"))</f>
        <v>0</v>
      </c>
      <c r="AO452" s="25">
        <f>IF(B452="","",COUNTIFS($AE$5:$AE$504,"&gt;"&amp;AE452)+COUNTIFS($AE$5:AE452,AE452))</f>
        <v>0</v>
      </c>
      <c r="AP452" s="25">
        <f>IF(B452="","",COUNTIFS($T$5:$T$504,"&gt;"&amp;T452)+COUNTIFS($T$5:T452,T452))</f>
        <v>0</v>
      </c>
      <c r="AQ452" s="39">
        <f>IF(B452="","",IF(COUNTIF($B$5:$B$504,B452)&gt;1,"Duplicate - same name twice",IF(R452="Archived","",IF(AK452&gt;0.004,"Chase - balance outstanding",IF(AM452="Inactive","Gone - win-back offer",IF(AM452="Lapsing","Chase - lapsing, call them",IF(IF(N452="",FALSE,TodayDate-N452&gt;PatchTestDays),"Due - patch test out of date",IF(IF(AD452="",FALSE,IF(AB452&lt;&gt;"",FALSE,AD452&lt;=TodayDate+14)),"Rebook - due and nothing booked",IF(IF(K452="",FALSE,ABS(DATE(YEAR(TodayDate),MONTH(K452),DAY(K452))-TodayDate)&lt;=7),"Birthday - send the treat","OK")))))))))</f>
        <v>0</v>
      </c>
    </row>
    <row r="453" spans="1:43">
      <c r="A453" s="28">
        <f>IF(B453="","",ClientPrefix&amp;TEXT(ROW()-4,"0000"))</f>
        <v>0</v>
      </c>
      <c r="J453" s="15">
        <f>IF(I453="","",IFERROR(INDEX(Staff!$B$5:$B$44,MATCH(I453,Staff!$A$5:$A$44,0)),"Not in Staff"))</f>
        <v>0</v>
      </c>
      <c r="T453" s="25">
        <f>IF(B453="","",COUNTIFS(Appointments!$E$5:$E$1204,A453,Appointments!$M$5:$M$1204,"Completed"))</f>
        <v>0</v>
      </c>
      <c r="U453" s="25">
        <f>IF(B453="","",COUNTIFS(Appointments!$E$5:$E$1204,A453,Appointments!$M$5:$M$1204,"Completed",Appointments!$B$5:$B$1204,"&gt;="&amp;TodayDate-365))</f>
        <v>0</v>
      </c>
      <c r="V453" s="25">
        <f>IF(B453="","",COUNTIFS(Appointments!$E$5:$E$1204,A453,Appointments!$M$5:$M$1204,"Cancelled"))</f>
        <v>0</v>
      </c>
      <c r="W453" s="25">
        <f>IF(B453="","",COUNTIFS(Appointments!$E$5:$E$1204,A453,Appointments!$M$5:$M$1204,"No show"))</f>
        <v>0</v>
      </c>
      <c r="X453" s="17">
        <f>IF(B453="","",IF(F453&lt;&gt;"",F453,IF(T453=0,"",SUMPRODUCT(MIN((Appointments!$E$5:$E$1204=A453)*(Appointments!$M$5:$M$1204="Completed")*Appointments!$B$5:$B$1204+(1-(Appointments!$E$5:$E$1204=A453)*(Appointments!$M$5:$M$1204="Completed"))*2958465)))))</f>
        <v>0</v>
      </c>
      <c r="Y453" s="17">
        <f>IF(B453="","",IF(T453=0,"",SUMPRODUCT(MAX((Appointments!$E$5:$E$1204=A453)*(Appointments!$M$5:$M$1204="Completed")*Appointments!$B$5:$B$1204))))</f>
        <v>0</v>
      </c>
      <c r="Z453" s="25">
        <f>IF(B453="","",IF(Y453="","",TodayDate-Y453))</f>
        <v>0</v>
      </c>
      <c r="AA453" s="42">
        <f>IF(B453="","",SUMPRODUCT(MIN((Appointments!$E$5:$E$1204=A453)*(Appointments!$M$5:$M$1204&lt;&gt;"Cancelled")*(Appointments!$M$5:$M$1204&lt;&gt;"Completed")*(Appointments!$M$5:$M$1204&lt;&gt;"No show")*(Appointments!$B$5:$B$1204&gt;=TodayDate)*Appointments!$B$5:$B$1204+(1-(Appointments!$E$5:$E$1204=A453)*(Appointments!$M$5:$M$1204&lt;&gt;"Cancelled")*(Appointments!$M$5:$M$1204&lt;&gt;"Completed")*(Appointments!$M$5:$M$1204&lt;&gt;"No show")*(Appointments!$B$5:$B$1204&gt;=TodayDate))*2958465)))</f>
        <v>0</v>
      </c>
      <c r="AB453" s="17">
        <f>IF(B453="","",IF(AA453&gt;=2958465,"",AA453))</f>
        <v>0</v>
      </c>
      <c r="AC453" s="25">
        <f>IF(B453="","",IF(T453&lt;2,"",ROUND((Y453-X453)/MAX(1,T453-1),0)))</f>
        <v>0</v>
      </c>
      <c r="AD453" s="17">
        <f>IF(B453="","",IF(Y453="","",Y453+IF(AC453="",RebookWeeks*7,MAX(14,AC453))))</f>
        <v>0</v>
      </c>
      <c r="AE453" s="26">
        <f>IF(B453="","",ROUND(SUMIFS(Sales!$Y$5:$Y$1204,Sales!$D$5:$D$1204,A453),2))</f>
        <v>0</v>
      </c>
      <c r="AF453" s="26">
        <f>IF(B453="","",ROUND(SUMIFS(Sales!$Y$5:$Y$1204,Sales!$D$5:$D$1204,A453,Sales!$H$5:$H$1204,"Service"),2))</f>
        <v>0</v>
      </c>
      <c r="AG453" s="26">
        <f>IF(B453="","",ROUND(SUMIFS(Sales!$Y$5:$Y$1204,Sales!$D$5:$D$1204,A453,Sales!$H$5:$H$1204,"Retail"),2))</f>
        <v>0</v>
      </c>
      <c r="AH453" s="26">
        <f>IF(B453="","",ROUND(SUMIFS(Sales!$Y$5:$Y$1204,Sales!$D$5:$D$1204,A453,Sales!$B$5:$B$1204,"&gt;="&amp;TodayDate-365),2))</f>
        <v>0</v>
      </c>
      <c r="AI453" s="26">
        <f>IF(B453="","",IF(T453=0,"",ROUND(AE453/T453,2)))</f>
        <v>0</v>
      </c>
      <c r="AJ453" s="26">
        <f>IF(B453="","",IF(AI453="","",IF(AC453="","",ROUND(AI453*(365/MAX(14,AC453)),2))))</f>
        <v>0</v>
      </c>
      <c r="AK453" s="26">
        <f>IF(B453="","",ROUND(SUMIFS(Sales!$AH$5:$AH$1204,Sales!$D$5:$D$1204,A453),2))</f>
        <v>0</v>
      </c>
      <c r="AL453" s="25">
        <f>IF(B453="","",IFERROR(INDEX(Loyalty!$P$5:$P$504,MATCH(A453,Loyalty!$B$5:$B$504,0))*1,0))</f>
        <v>0</v>
      </c>
      <c r="AM453" s="39">
        <f>IF(B453="","",IF(R453="Archived","Archived",IF(T453=0,"Not been yet",IF(Z453&gt;=InactiveDays,"Inactive",IF(Z453&gt;=LapsingDays,"Lapsing",IF(T453=1,"New",IF(AH453&gt;=VipSpend,"VIP",IF(U453&gt;=4,"Regular","Active"))))))))</f>
        <v>0</v>
      </c>
      <c r="AN453" s="38">
        <f>IF(B453="","",IF(T453&gt;=2,"Yes","No"))</f>
        <v>0</v>
      </c>
      <c r="AO453" s="25">
        <f>IF(B453="","",COUNTIFS($AE$5:$AE$504,"&gt;"&amp;AE453)+COUNTIFS($AE$5:AE453,AE453))</f>
        <v>0</v>
      </c>
      <c r="AP453" s="25">
        <f>IF(B453="","",COUNTIFS($T$5:$T$504,"&gt;"&amp;T453)+COUNTIFS($T$5:T453,T453))</f>
        <v>0</v>
      </c>
      <c r="AQ453" s="39">
        <f>IF(B453="","",IF(COUNTIF($B$5:$B$504,B453)&gt;1,"Duplicate - same name twice",IF(R453="Archived","",IF(AK453&gt;0.004,"Chase - balance outstanding",IF(AM453="Inactive","Gone - win-back offer",IF(AM453="Lapsing","Chase - lapsing, call them",IF(IF(N453="",FALSE,TodayDate-N453&gt;PatchTestDays),"Due - patch test out of date",IF(IF(AD453="",FALSE,IF(AB453&lt;&gt;"",FALSE,AD453&lt;=TodayDate+14)),"Rebook - due and nothing booked",IF(IF(K453="",FALSE,ABS(DATE(YEAR(TodayDate),MONTH(K453),DAY(K453))-TodayDate)&lt;=7),"Birthday - send the treat","OK")))))))))</f>
        <v>0</v>
      </c>
    </row>
    <row r="454" spans="1:43">
      <c r="A454" s="28">
        <f>IF(B454="","",ClientPrefix&amp;TEXT(ROW()-4,"0000"))</f>
        <v>0</v>
      </c>
      <c r="J454" s="15">
        <f>IF(I454="","",IFERROR(INDEX(Staff!$B$5:$B$44,MATCH(I454,Staff!$A$5:$A$44,0)),"Not in Staff"))</f>
        <v>0</v>
      </c>
      <c r="T454" s="25">
        <f>IF(B454="","",COUNTIFS(Appointments!$E$5:$E$1204,A454,Appointments!$M$5:$M$1204,"Completed"))</f>
        <v>0</v>
      </c>
      <c r="U454" s="25">
        <f>IF(B454="","",COUNTIFS(Appointments!$E$5:$E$1204,A454,Appointments!$M$5:$M$1204,"Completed",Appointments!$B$5:$B$1204,"&gt;="&amp;TodayDate-365))</f>
        <v>0</v>
      </c>
      <c r="V454" s="25">
        <f>IF(B454="","",COUNTIFS(Appointments!$E$5:$E$1204,A454,Appointments!$M$5:$M$1204,"Cancelled"))</f>
        <v>0</v>
      </c>
      <c r="W454" s="25">
        <f>IF(B454="","",COUNTIFS(Appointments!$E$5:$E$1204,A454,Appointments!$M$5:$M$1204,"No show"))</f>
        <v>0</v>
      </c>
      <c r="X454" s="17">
        <f>IF(B454="","",IF(F454&lt;&gt;"",F454,IF(T454=0,"",SUMPRODUCT(MIN((Appointments!$E$5:$E$1204=A454)*(Appointments!$M$5:$M$1204="Completed")*Appointments!$B$5:$B$1204+(1-(Appointments!$E$5:$E$1204=A454)*(Appointments!$M$5:$M$1204="Completed"))*2958465)))))</f>
        <v>0</v>
      </c>
      <c r="Y454" s="17">
        <f>IF(B454="","",IF(T454=0,"",SUMPRODUCT(MAX((Appointments!$E$5:$E$1204=A454)*(Appointments!$M$5:$M$1204="Completed")*Appointments!$B$5:$B$1204))))</f>
        <v>0</v>
      </c>
      <c r="Z454" s="25">
        <f>IF(B454="","",IF(Y454="","",TodayDate-Y454))</f>
        <v>0</v>
      </c>
      <c r="AA454" s="42">
        <f>IF(B454="","",SUMPRODUCT(MIN((Appointments!$E$5:$E$1204=A454)*(Appointments!$M$5:$M$1204&lt;&gt;"Cancelled")*(Appointments!$M$5:$M$1204&lt;&gt;"Completed")*(Appointments!$M$5:$M$1204&lt;&gt;"No show")*(Appointments!$B$5:$B$1204&gt;=TodayDate)*Appointments!$B$5:$B$1204+(1-(Appointments!$E$5:$E$1204=A454)*(Appointments!$M$5:$M$1204&lt;&gt;"Cancelled")*(Appointments!$M$5:$M$1204&lt;&gt;"Completed")*(Appointments!$M$5:$M$1204&lt;&gt;"No show")*(Appointments!$B$5:$B$1204&gt;=TodayDate))*2958465)))</f>
        <v>0</v>
      </c>
      <c r="AB454" s="17">
        <f>IF(B454="","",IF(AA454&gt;=2958465,"",AA454))</f>
        <v>0</v>
      </c>
      <c r="AC454" s="25">
        <f>IF(B454="","",IF(T454&lt;2,"",ROUND((Y454-X454)/MAX(1,T454-1),0)))</f>
        <v>0</v>
      </c>
      <c r="AD454" s="17">
        <f>IF(B454="","",IF(Y454="","",Y454+IF(AC454="",RebookWeeks*7,MAX(14,AC454))))</f>
        <v>0</v>
      </c>
      <c r="AE454" s="26">
        <f>IF(B454="","",ROUND(SUMIFS(Sales!$Y$5:$Y$1204,Sales!$D$5:$D$1204,A454),2))</f>
        <v>0</v>
      </c>
      <c r="AF454" s="26">
        <f>IF(B454="","",ROUND(SUMIFS(Sales!$Y$5:$Y$1204,Sales!$D$5:$D$1204,A454,Sales!$H$5:$H$1204,"Service"),2))</f>
        <v>0</v>
      </c>
      <c r="AG454" s="26">
        <f>IF(B454="","",ROUND(SUMIFS(Sales!$Y$5:$Y$1204,Sales!$D$5:$D$1204,A454,Sales!$H$5:$H$1204,"Retail"),2))</f>
        <v>0</v>
      </c>
      <c r="AH454" s="26">
        <f>IF(B454="","",ROUND(SUMIFS(Sales!$Y$5:$Y$1204,Sales!$D$5:$D$1204,A454,Sales!$B$5:$B$1204,"&gt;="&amp;TodayDate-365),2))</f>
        <v>0</v>
      </c>
      <c r="AI454" s="26">
        <f>IF(B454="","",IF(T454=0,"",ROUND(AE454/T454,2)))</f>
        <v>0</v>
      </c>
      <c r="AJ454" s="26">
        <f>IF(B454="","",IF(AI454="","",IF(AC454="","",ROUND(AI454*(365/MAX(14,AC454)),2))))</f>
        <v>0</v>
      </c>
      <c r="AK454" s="26">
        <f>IF(B454="","",ROUND(SUMIFS(Sales!$AH$5:$AH$1204,Sales!$D$5:$D$1204,A454),2))</f>
        <v>0</v>
      </c>
      <c r="AL454" s="25">
        <f>IF(B454="","",IFERROR(INDEX(Loyalty!$P$5:$P$504,MATCH(A454,Loyalty!$B$5:$B$504,0))*1,0))</f>
        <v>0</v>
      </c>
      <c r="AM454" s="39">
        <f>IF(B454="","",IF(R454="Archived","Archived",IF(T454=0,"Not been yet",IF(Z454&gt;=InactiveDays,"Inactive",IF(Z454&gt;=LapsingDays,"Lapsing",IF(T454=1,"New",IF(AH454&gt;=VipSpend,"VIP",IF(U454&gt;=4,"Regular","Active"))))))))</f>
        <v>0</v>
      </c>
      <c r="AN454" s="38">
        <f>IF(B454="","",IF(T454&gt;=2,"Yes","No"))</f>
        <v>0</v>
      </c>
      <c r="AO454" s="25">
        <f>IF(B454="","",COUNTIFS($AE$5:$AE$504,"&gt;"&amp;AE454)+COUNTIFS($AE$5:AE454,AE454))</f>
        <v>0</v>
      </c>
      <c r="AP454" s="25">
        <f>IF(B454="","",COUNTIFS($T$5:$T$504,"&gt;"&amp;T454)+COUNTIFS($T$5:T454,T454))</f>
        <v>0</v>
      </c>
      <c r="AQ454" s="39">
        <f>IF(B454="","",IF(COUNTIF($B$5:$B$504,B454)&gt;1,"Duplicate - same name twice",IF(R454="Archived","",IF(AK454&gt;0.004,"Chase - balance outstanding",IF(AM454="Inactive","Gone - win-back offer",IF(AM454="Lapsing","Chase - lapsing, call them",IF(IF(N454="",FALSE,TodayDate-N454&gt;PatchTestDays),"Due - patch test out of date",IF(IF(AD454="",FALSE,IF(AB454&lt;&gt;"",FALSE,AD454&lt;=TodayDate+14)),"Rebook - due and nothing booked",IF(IF(K454="",FALSE,ABS(DATE(YEAR(TodayDate),MONTH(K454),DAY(K454))-TodayDate)&lt;=7),"Birthday - send the treat","OK")))))))))</f>
        <v>0</v>
      </c>
    </row>
    <row r="455" spans="1:43">
      <c r="A455" s="28">
        <f>IF(B455="","",ClientPrefix&amp;TEXT(ROW()-4,"0000"))</f>
        <v>0</v>
      </c>
      <c r="J455" s="15">
        <f>IF(I455="","",IFERROR(INDEX(Staff!$B$5:$B$44,MATCH(I455,Staff!$A$5:$A$44,0)),"Not in Staff"))</f>
        <v>0</v>
      </c>
      <c r="T455" s="25">
        <f>IF(B455="","",COUNTIFS(Appointments!$E$5:$E$1204,A455,Appointments!$M$5:$M$1204,"Completed"))</f>
        <v>0</v>
      </c>
      <c r="U455" s="25">
        <f>IF(B455="","",COUNTIFS(Appointments!$E$5:$E$1204,A455,Appointments!$M$5:$M$1204,"Completed",Appointments!$B$5:$B$1204,"&gt;="&amp;TodayDate-365))</f>
        <v>0</v>
      </c>
      <c r="V455" s="25">
        <f>IF(B455="","",COUNTIFS(Appointments!$E$5:$E$1204,A455,Appointments!$M$5:$M$1204,"Cancelled"))</f>
        <v>0</v>
      </c>
      <c r="W455" s="25">
        <f>IF(B455="","",COUNTIFS(Appointments!$E$5:$E$1204,A455,Appointments!$M$5:$M$1204,"No show"))</f>
        <v>0</v>
      </c>
      <c r="X455" s="17">
        <f>IF(B455="","",IF(F455&lt;&gt;"",F455,IF(T455=0,"",SUMPRODUCT(MIN((Appointments!$E$5:$E$1204=A455)*(Appointments!$M$5:$M$1204="Completed")*Appointments!$B$5:$B$1204+(1-(Appointments!$E$5:$E$1204=A455)*(Appointments!$M$5:$M$1204="Completed"))*2958465)))))</f>
        <v>0</v>
      </c>
      <c r="Y455" s="17">
        <f>IF(B455="","",IF(T455=0,"",SUMPRODUCT(MAX((Appointments!$E$5:$E$1204=A455)*(Appointments!$M$5:$M$1204="Completed")*Appointments!$B$5:$B$1204))))</f>
        <v>0</v>
      </c>
      <c r="Z455" s="25">
        <f>IF(B455="","",IF(Y455="","",TodayDate-Y455))</f>
        <v>0</v>
      </c>
      <c r="AA455" s="42">
        <f>IF(B455="","",SUMPRODUCT(MIN((Appointments!$E$5:$E$1204=A455)*(Appointments!$M$5:$M$1204&lt;&gt;"Cancelled")*(Appointments!$M$5:$M$1204&lt;&gt;"Completed")*(Appointments!$M$5:$M$1204&lt;&gt;"No show")*(Appointments!$B$5:$B$1204&gt;=TodayDate)*Appointments!$B$5:$B$1204+(1-(Appointments!$E$5:$E$1204=A455)*(Appointments!$M$5:$M$1204&lt;&gt;"Cancelled")*(Appointments!$M$5:$M$1204&lt;&gt;"Completed")*(Appointments!$M$5:$M$1204&lt;&gt;"No show")*(Appointments!$B$5:$B$1204&gt;=TodayDate))*2958465)))</f>
        <v>0</v>
      </c>
      <c r="AB455" s="17">
        <f>IF(B455="","",IF(AA455&gt;=2958465,"",AA455))</f>
        <v>0</v>
      </c>
      <c r="AC455" s="25">
        <f>IF(B455="","",IF(T455&lt;2,"",ROUND((Y455-X455)/MAX(1,T455-1),0)))</f>
        <v>0</v>
      </c>
      <c r="AD455" s="17">
        <f>IF(B455="","",IF(Y455="","",Y455+IF(AC455="",RebookWeeks*7,MAX(14,AC455))))</f>
        <v>0</v>
      </c>
      <c r="AE455" s="26">
        <f>IF(B455="","",ROUND(SUMIFS(Sales!$Y$5:$Y$1204,Sales!$D$5:$D$1204,A455),2))</f>
        <v>0</v>
      </c>
      <c r="AF455" s="26">
        <f>IF(B455="","",ROUND(SUMIFS(Sales!$Y$5:$Y$1204,Sales!$D$5:$D$1204,A455,Sales!$H$5:$H$1204,"Service"),2))</f>
        <v>0</v>
      </c>
      <c r="AG455" s="26">
        <f>IF(B455="","",ROUND(SUMIFS(Sales!$Y$5:$Y$1204,Sales!$D$5:$D$1204,A455,Sales!$H$5:$H$1204,"Retail"),2))</f>
        <v>0</v>
      </c>
      <c r="AH455" s="26">
        <f>IF(B455="","",ROUND(SUMIFS(Sales!$Y$5:$Y$1204,Sales!$D$5:$D$1204,A455,Sales!$B$5:$B$1204,"&gt;="&amp;TodayDate-365),2))</f>
        <v>0</v>
      </c>
      <c r="AI455" s="26">
        <f>IF(B455="","",IF(T455=0,"",ROUND(AE455/T455,2)))</f>
        <v>0</v>
      </c>
      <c r="AJ455" s="26">
        <f>IF(B455="","",IF(AI455="","",IF(AC455="","",ROUND(AI455*(365/MAX(14,AC455)),2))))</f>
        <v>0</v>
      </c>
      <c r="AK455" s="26">
        <f>IF(B455="","",ROUND(SUMIFS(Sales!$AH$5:$AH$1204,Sales!$D$5:$D$1204,A455),2))</f>
        <v>0</v>
      </c>
      <c r="AL455" s="25">
        <f>IF(B455="","",IFERROR(INDEX(Loyalty!$P$5:$P$504,MATCH(A455,Loyalty!$B$5:$B$504,0))*1,0))</f>
        <v>0</v>
      </c>
      <c r="AM455" s="39">
        <f>IF(B455="","",IF(R455="Archived","Archived",IF(T455=0,"Not been yet",IF(Z455&gt;=InactiveDays,"Inactive",IF(Z455&gt;=LapsingDays,"Lapsing",IF(T455=1,"New",IF(AH455&gt;=VipSpend,"VIP",IF(U455&gt;=4,"Regular","Active"))))))))</f>
        <v>0</v>
      </c>
      <c r="AN455" s="38">
        <f>IF(B455="","",IF(T455&gt;=2,"Yes","No"))</f>
        <v>0</v>
      </c>
      <c r="AO455" s="25">
        <f>IF(B455="","",COUNTIFS($AE$5:$AE$504,"&gt;"&amp;AE455)+COUNTIFS($AE$5:AE455,AE455))</f>
        <v>0</v>
      </c>
      <c r="AP455" s="25">
        <f>IF(B455="","",COUNTIFS($T$5:$T$504,"&gt;"&amp;T455)+COUNTIFS($T$5:T455,T455))</f>
        <v>0</v>
      </c>
      <c r="AQ455" s="39">
        <f>IF(B455="","",IF(COUNTIF($B$5:$B$504,B455)&gt;1,"Duplicate - same name twice",IF(R455="Archived","",IF(AK455&gt;0.004,"Chase - balance outstanding",IF(AM455="Inactive","Gone - win-back offer",IF(AM455="Lapsing","Chase - lapsing, call them",IF(IF(N455="",FALSE,TodayDate-N455&gt;PatchTestDays),"Due - patch test out of date",IF(IF(AD455="",FALSE,IF(AB455&lt;&gt;"",FALSE,AD455&lt;=TodayDate+14)),"Rebook - due and nothing booked",IF(IF(K455="",FALSE,ABS(DATE(YEAR(TodayDate),MONTH(K455),DAY(K455))-TodayDate)&lt;=7),"Birthday - send the treat","OK")))))))))</f>
        <v>0</v>
      </c>
    </row>
    <row r="456" spans="1:43">
      <c r="A456" s="28">
        <f>IF(B456="","",ClientPrefix&amp;TEXT(ROW()-4,"0000"))</f>
        <v>0</v>
      </c>
      <c r="J456" s="15">
        <f>IF(I456="","",IFERROR(INDEX(Staff!$B$5:$B$44,MATCH(I456,Staff!$A$5:$A$44,0)),"Not in Staff"))</f>
        <v>0</v>
      </c>
      <c r="T456" s="25">
        <f>IF(B456="","",COUNTIFS(Appointments!$E$5:$E$1204,A456,Appointments!$M$5:$M$1204,"Completed"))</f>
        <v>0</v>
      </c>
      <c r="U456" s="25">
        <f>IF(B456="","",COUNTIFS(Appointments!$E$5:$E$1204,A456,Appointments!$M$5:$M$1204,"Completed",Appointments!$B$5:$B$1204,"&gt;="&amp;TodayDate-365))</f>
        <v>0</v>
      </c>
      <c r="V456" s="25">
        <f>IF(B456="","",COUNTIFS(Appointments!$E$5:$E$1204,A456,Appointments!$M$5:$M$1204,"Cancelled"))</f>
        <v>0</v>
      </c>
      <c r="W456" s="25">
        <f>IF(B456="","",COUNTIFS(Appointments!$E$5:$E$1204,A456,Appointments!$M$5:$M$1204,"No show"))</f>
        <v>0</v>
      </c>
      <c r="X456" s="17">
        <f>IF(B456="","",IF(F456&lt;&gt;"",F456,IF(T456=0,"",SUMPRODUCT(MIN((Appointments!$E$5:$E$1204=A456)*(Appointments!$M$5:$M$1204="Completed")*Appointments!$B$5:$B$1204+(1-(Appointments!$E$5:$E$1204=A456)*(Appointments!$M$5:$M$1204="Completed"))*2958465)))))</f>
        <v>0</v>
      </c>
      <c r="Y456" s="17">
        <f>IF(B456="","",IF(T456=0,"",SUMPRODUCT(MAX((Appointments!$E$5:$E$1204=A456)*(Appointments!$M$5:$M$1204="Completed")*Appointments!$B$5:$B$1204))))</f>
        <v>0</v>
      </c>
      <c r="Z456" s="25">
        <f>IF(B456="","",IF(Y456="","",TodayDate-Y456))</f>
        <v>0</v>
      </c>
      <c r="AA456" s="42">
        <f>IF(B456="","",SUMPRODUCT(MIN((Appointments!$E$5:$E$1204=A456)*(Appointments!$M$5:$M$1204&lt;&gt;"Cancelled")*(Appointments!$M$5:$M$1204&lt;&gt;"Completed")*(Appointments!$M$5:$M$1204&lt;&gt;"No show")*(Appointments!$B$5:$B$1204&gt;=TodayDate)*Appointments!$B$5:$B$1204+(1-(Appointments!$E$5:$E$1204=A456)*(Appointments!$M$5:$M$1204&lt;&gt;"Cancelled")*(Appointments!$M$5:$M$1204&lt;&gt;"Completed")*(Appointments!$M$5:$M$1204&lt;&gt;"No show")*(Appointments!$B$5:$B$1204&gt;=TodayDate))*2958465)))</f>
        <v>0</v>
      </c>
      <c r="AB456" s="17">
        <f>IF(B456="","",IF(AA456&gt;=2958465,"",AA456))</f>
        <v>0</v>
      </c>
      <c r="AC456" s="25">
        <f>IF(B456="","",IF(T456&lt;2,"",ROUND((Y456-X456)/MAX(1,T456-1),0)))</f>
        <v>0</v>
      </c>
      <c r="AD456" s="17">
        <f>IF(B456="","",IF(Y456="","",Y456+IF(AC456="",RebookWeeks*7,MAX(14,AC456))))</f>
        <v>0</v>
      </c>
      <c r="AE456" s="26">
        <f>IF(B456="","",ROUND(SUMIFS(Sales!$Y$5:$Y$1204,Sales!$D$5:$D$1204,A456),2))</f>
        <v>0</v>
      </c>
      <c r="AF456" s="26">
        <f>IF(B456="","",ROUND(SUMIFS(Sales!$Y$5:$Y$1204,Sales!$D$5:$D$1204,A456,Sales!$H$5:$H$1204,"Service"),2))</f>
        <v>0</v>
      </c>
      <c r="AG456" s="26">
        <f>IF(B456="","",ROUND(SUMIFS(Sales!$Y$5:$Y$1204,Sales!$D$5:$D$1204,A456,Sales!$H$5:$H$1204,"Retail"),2))</f>
        <v>0</v>
      </c>
      <c r="AH456" s="26">
        <f>IF(B456="","",ROUND(SUMIFS(Sales!$Y$5:$Y$1204,Sales!$D$5:$D$1204,A456,Sales!$B$5:$B$1204,"&gt;="&amp;TodayDate-365),2))</f>
        <v>0</v>
      </c>
      <c r="AI456" s="26">
        <f>IF(B456="","",IF(T456=0,"",ROUND(AE456/T456,2)))</f>
        <v>0</v>
      </c>
      <c r="AJ456" s="26">
        <f>IF(B456="","",IF(AI456="","",IF(AC456="","",ROUND(AI456*(365/MAX(14,AC456)),2))))</f>
        <v>0</v>
      </c>
      <c r="AK456" s="26">
        <f>IF(B456="","",ROUND(SUMIFS(Sales!$AH$5:$AH$1204,Sales!$D$5:$D$1204,A456),2))</f>
        <v>0</v>
      </c>
      <c r="AL456" s="25">
        <f>IF(B456="","",IFERROR(INDEX(Loyalty!$P$5:$P$504,MATCH(A456,Loyalty!$B$5:$B$504,0))*1,0))</f>
        <v>0</v>
      </c>
      <c r="AM456" s="39">
        <f>IF(B456="","",IF(R456="Archived","Archived",IF(T456=0,"Not been yet",IF(Z456&gt;=InactiveDays,"Inactive",IF(Z456&gt;=LapsingDays,"Lapsing",IF(T456=1,"New",IF(AH456&gt;=VipSpend,"VIP",IF(U456&gt;=4,"Regular","Active"))))))))</f>
        <v>0</v>
      </c>
      <c r="AN456" s="38">
        <f>IF(B456="","",IF(T456&gt;=2,"Yes","No"))</f>
        <v>0</v>
      </c>
      <c r="AO456" s="25">
        <f>IF(B456="","",COUNTIFS($AE$5:$AE$504,"&gt;"&amp;AE456)+COUNTIFS($AE$5:AE456,AE456))</f>
        <v>0</v>
      </c>
      <c r="AP456" s="25">
        <f>IF(B456="","",COUNTIFS($T$5:$T$504,"&gt;"&amp;T456)+COUNTIFS($T$5:T456,T456))</f>
        <v>0</v>
      </c>
      <c r="AQ456" s="39">
        <f>IF(B456="","",IF(COUNTIF($B$5:$B$504,B456)&gt;1,"Duplicate - same name twice",IF(R456="Archived","",IF(AK456&gt;0.004,"Chase - balance outstanding",IF(AM456="Inactive","Gone - win-back offer",IF(AM456="Lapsing","Chase - lapsing, call them",IF(IF(N456="",FALSE,TodayDate-N456&gt;PatchTestDays),"Due - patch test out of date",IF(IF(AD456="",FALSE,IF(AB456&lt;&gt;"",FALSE,AD456&lt;=TodayDate+14)),"Rebook - due and nothing booked",IF(IF(K456="",FALSE,ABS(DATE(YEAR(TodayDate),MONTH(K456),DAY(K456))-TodayDate)&lt;=7),"Birthday - send the treat","OK")))))))))</f>
        <v>0</v>
      </c>
    </row>
    <row r="457" spans="1:43">
      <c r="A457" s="28">
        <f>IF(B457="","",ClientPrefix&amp;TEXT(ROW()-4,"0000"))</f>
        <v>0</v>
      </c>
      <c r="J457" s="15">
        <f>IF(I457="","",IFERROR(INDEX(Staff!$B$5:$B$44,MATCH(I457,Staff!$A$5:$A$44,0)),"Not in Staff"))</f>
        <v>0</v>
      </c>
      <c r="T457" s="25">
        <f>IF(B457="","",COUNTIFS(Appointments!$E$5:$E$1204,A457,Appointments!$M$5:$M$1204,"Completed"))</f>
        <v>0</v>
      </c>
      <c r="U457" s="25">
        <f>IF(B457="","",COUNTIFS(Appointments!$E$5:$E$1204,A457,Appointments!$M$5:$M$1204,"Completed",Appointments!$B$5:$B$1204,"&gt;="&amp;TodayDate-365))</f>
        <v>0</v>
      </c>
      <c r="V457" s="25">
        <f>IF(B457="","",COUNTIFS(Appointments!$E$5:$E$1204,A457,Appointments!$M$5:$M$1204,"Cancelled"))</f>
        <v>0</v>
      </c>
      <c r="W457" s="25">
        <f>IF(B457="","",COUNTIFS(Appointments!$E$5:$E$1204,A457,Appointments!$M$5:$M$1204,"No show"))</f>
        <v>0</v>
      </c>
      <c r="X457" s="17">
        <f>IF(B457="","",IF(F457&lt;&gt;"",F457,IF(T457=0,"",SUMPRODUCT(MIN((Appointments!$E$5:$E$1204=A457)*(Appointments!$M$5:$M$1204="Completed")*Appointments!$B$5:$B$1204+(1-(Appointments!$E$5:$E$1204=A457)*(Appointments!$M$5:$M$1204="Completed"))*2958465)))))</f>
        <v>0</v>
      </c>
      <c r="Y457" s="17">
        <f>IF(B457="","",IF(T457=0,"",SUMPRODUCT(MAX((Appointments!$E$5:$E$1204=A457)*(Appointments!$M$5:$M$1204="Completed")*Appointments!$B$5:$B$1204))))</f>
        <v>0</v>
      </c>
      <c r="Z457" s="25">
        <f>IF(B457="","",IF(Y457="","",TodayDate-Y457))</f>
        <v>0</v>
      </c>
      <c r="AA457" s="42">
        <f>IF(B457="","",SUMPRODUCT(MIN((Appointments!$E$5:$E$1204=A457)*(Appointments!$M$5:$M$1204&lt;&gt;"Cancelled")*(Appointments!$M$5:$M$1204&lt;&gt;"Completed")*(Appointments!$M$5:$M$1204&lt;&gt;"No show")*(Appointments!$B$5:$B$1204&gt;=TodayDate)*Appointments!$B$5:$B$1204+(1-(Appointments!$E$5:$E$1204=A457)*(Appointments!$M$5:$M$1204&lt;&gt;"Cancelled")*(Appointments!$M$5:$M$1204&lt;&gt;"Completed")*(Appointments!$M$5:$M$1204&lt;&gt;"No show")*(Appointments!$B$5:$B$1204&gt;=TodayDate))*2958465)))</f>
        <v>0</v>
      </c>
      <c r="AB457" s="17">
        <f>IF(B457="","",IF(AA457&gt;=2958465,"",AA457))</f>
        <v>0</v>
      </c>
      <c r="AC457" s="25">
        <f>IF(B457="","",IF(T457&lt;2,"",ROUND((Y457-X457)/MAX(1,T457-1),0)))</f>
        <v>0</v>
      </c>
      <c r="AD457" s="17">
        <f>IF(B457="","",IF(Y457="","",Y457+IF(AC457="",RebookWeeks*7,MAX(14,AC457))))</f>
        <v>0</v>
      </c>
      <c r="AE457" s="26">
        <f>IF(B457="","",ROUND(SUMIFS(Sales!$Y$5:$Y$1204,Sales!$D$5:$D$1204,A457),2))</f>
        <v>0</v>
      </c>
      <c r="AF457" s="26">
        <f>IF(B457="","",ROUND(SUMIFS(Sales!$Y$5:$Y$1204,Sales!$D$5:$D$1204,A457,Sales!$H$5:$H$1204,"Service"),2))</f>
        <v>0</v>
      </c>
      <c r="AG457" s="26">
        <f>IF(B457="","",ROUND(SUMIFS(Sales!$Y$5:$Y$1204,Sales!$D$5:$D$1204,A457,Sales!$H$5:$H$1204,"Retail"),2))</f>
        <v>0</v>
      </c>
      <c r="AH457" s="26">
        <f>IF(B457="","",ROUND(SUMIFS(Sales!$Y$5:$Y$1204,Sales!$D$5:$D$1204,A457,Sales!$B$5:$B$1204,"&gt;="&amp;TodayDate-365),2))</f>
        <v>0</v>
      </c>
      <c r="AI457" s="26">
        <f>IF(B457="","",IF(T457=0,"",ROUND(AE457/T457,2)))</f>
        <v>0</v>
      </c>
      <c r="AJ457" s="26">
        <f>IF(B457="","",IF(AI457="","",IF(AC457="","",ROUND(AI457*(365/MAX(14,AC457)),2))))</f>
        <v>0</v>
      </c>
      <c r="AK457" s="26">
        <f>IF(B457="","",ROUND(SUMIFS(Sales!$AH$5:$AH$1204,Sales!$D$5:$D$1204,A457),2))</f>
        <v>0</v>
      </c>
      <c r="AL457" s="25">
        <f>IF(B457="","",IFERROR(INDEX(Loyalty!$P$5:$P$504,MATCH(A457,Loyalty!$B$5:$B$504,0))*1,0))</f>
        <v>0</v>
      </c>
      <c r="AM457" s="39">
        <f>IF(B457="","",IF(R457="Archived","Archived",IF(T457=0,"Not been yet",IF(Z457&gt;=InactiveDays,"Inactive",IF(Z457&gt;=LapsingDays,"Lapsing",IF(T457=1,"New",IF(AH457&gt;=VipSpend,"VIP",IF(U457&gt;=4,"Regular","Active"))))))))</f>
        <v>0</v>
      </c>
      <c r="AN457" s="38">
        <f>IF(B457="","",IF(T457&gt;=2,"Yes","No"))</f>
        <v>0</v>
      </c>
      <c r="AO457" s="25">
        <f>IF(B457="","",COUNTIFS($AE$5:$AE$504,"&gt;"&amp;AE457)+COUNTIFS($AE$5:AE457,AE457))</f>
        <v>0</v>
      </c>
      <c r="AP457" s="25">
        <f>IF(B457="","",COUNTIFS($T$5:$T$504,"&gt;"&amp;T457)+COUNTIFS($T$5:T457,T457))</f>
        <v>0</v>
      </c>
      <c r="AQ457" s="39">
        <f>IF(B457="","",IF(COUNTIF($B$5:$B$504,B457)&gt;1,"Duplicate - same name twice",IF(R457="Archived","",IF(AK457&gt;0.004,"Chase - balance outstanding",IF(AM457="Inactive","Gone - win-back offer",IF(AM457="Lapsing","Chase - lapsing, call them",IF(IF(N457="",FALSE,TodayDate-N457&gt;PatchTestDays),"Due - patch test out of date",IF(IF(AD457="",FALSE,IF(AB457&lt;&gt;"",FALSE,AD457&lt;=TodayDate+14)),"Rebook - due and nothing booked",IF(IF(K457="",FALSE,ABS(DATE(YEAR(TodayDate),MONTH(K457),DAY(K457))-TodayDate)&lt;=7),"Birthday - send the treat","OK")))))))))</f>
        <v>0</v>
      </c>
    </row>
    <row r="458" spans="1:43">
      <c r="A458" s="28">
        <f>IF(B458="","",ClientPrefix&amp;TEXT(ROW()-4,"0000"))</f>
        <v>0</v>
      </c>
      <c r="J458" s="15">
        <f>IF(I458="","",IFERROR(INDEX(Staff!$B$5:$B$44,MATCH(I458,Staff!$A$5:$A$44,0)),"Not in Staff"))</f>
        <v>0</v>
      </c>
      <c r="T458" s="25">
        <f>IF(B458="","",COUNTIFS(Appointments!$E$5:$E$1204,A458,Appointments!$M$5:$M$1204,"Completed"))</f>
        <v>0</v>
      </c>
      <c r="U458" s="25">
        <f>IF(B458="","",COUNTIFS(Appointments!$E$5:$E$1204,A458,Appointments!$M$5:$M$1204,"Completed",Appointments!$B$5:$B$1204,"&gt;="&amp;TodayDate-365))</f>
        <v>0</v>
      </c>
      <c r="V458" s="25">
        <f>IF(B458="","",COUNTIFS(Appointments!$E$5:$E$1204,A458,Appointments!$M$5:$M$1204,"Cancelled"))</f>
        <v>0</v>
      </c>
      <c r="W458" s="25">
        <f>IF(B458="","",COUNTIFS(Appointments!$E$5:$E$1204,A458,Appointments!$M$5:$M$1204,"No show"))</f>
        <v>0</v>
      </c>
      <c r="X458" s="17">
        <f>IF(B458="","",IF(F458&lt;&gt;"",F458,IF(T458=0,"",SUMPRODUCT(MIN((Appointments!$E$5:$E$1204=A458)*(Appointments!$M$5:$M$1204="Completed")*Appointments!$B$5:$B$1204+(1-(Appointments!$E$5:$E$1204=A458)*(Appointments!$M$5:$M$1204="Completed"))*2958465)))))</f>
        <v>0</v>
      </c>
      <c r="Y458" s="17">
        <f>IF(B458="","",IF(T458=0,"",SUMPRODUCT(MAX((Appointments!$E$5:$E$1204=A458)*(Appointments!$M$5:$M$1204="Completed")*Appointments!$B$5:$B$1204))))</f>
        <v>0</v>
      </c>
      <c r="Z458" s="25">
        <f>IF(B458="","",IF(Y458="","",TodayDate-Y458))</f>
        <v>0</v>
      </c>
      <c r="AA458" s="42">
        <f>IF(B458="","",SUMPRODUCT(MIN((Appointments!$E$5:$E$1204=A458)*(Appointments!$M$5:$M$1204&lt;&gt;"Cancelled")*(Appointments!$M$5:$M$1204&lt;&gt;"Completed")*(Appointments!$M$5:$M$1204&lt;&gt;"No show")*(Appointments!$B$5:$B$1204&gt;=TodayDate)*Appointments!$B$5:$B$1204+(1-(Appointments!$E$5:$E$1204=A458)*(Appointments!$M$5:$M$1204&lt;&gt;"Cancelled")*(Appointments!$M$5:$M$1204&lt;&gt;"Completed")*(Appointments!$M$5:$M$1204&lt;&gt;"No show")*(Appointments!$B$5:$B$1204&gt;=TodayDate))*2958465)))</f>
        <v>0</v>
      </c>
      <c r="AB458" s="17">
        <f>IF(B458="","",IF(AA458&gt;=2958465,"",AA458))</f>
        <v>0</v>
      </c>
      <c r="AC458" s="25">
        <f>IF(B458="","",IF(T458&lt;2,"",ROUND((Y458-X458)/MAX(1,T458-1),0)))</f>
        <v>0</v>
      </c>
      <c r="AD458" s="17">
        <f>IF(B458="","",IF(Y458="","",Y458+IF(AC458="",RebookWeeks*7,MAX(14,AC458))))</f>
        <v>0</v>
      </c>
      <c r="AE458" s="26">
        <f>IF(B458="","",ROUND(SUMIFS(Sales!$Y$5:$Y$1204,Sales!$D$5:$D$1204,A458),2))</f>
        <v>0</v>
      </c>
      <c r="AF458" s="26">
        <f>IF(B458="","",ROUND(SUMIFS(Sales!$Y$5:$Y$1204,Sales!$D$5:$D$1204,A458,Sales!$H$5:$H$1204,"Service"),2))</f>
        <v>0</v>
      </c>
      <c r="AG458" s="26">
        <f>IF(B458="","",ROUND(SUMIFS(Sales!$Y$5:$Y$1204,Sales!$D$5:$D$1204,A458,Sales!$H$5:$H$1204,"Retail"),2))</f>
        <v>0</v>
      </c>
      <c r="AH458" s="26">
        <f>IF(B458="","",ROUND(SUMIFS(Sales!$Y$5:$Y$1204,Sales!$D$5:$D$1204,A458,Sales!$B$5:$B$1204,"&gt;="&amp;TodayDate-365),2))</f>
        <v>0</v>
      </c>
      <c r="AI458" s="26">
        <f>IF(B458="","",IF(T458=0,"",ROUND(AE458/T458,2)))</f>
        <v>0</v>
      </c>
      <c r="AJ458" s="26">
        <f>IF(B458="","",IF(AI458="","",IF(AC458="","",ROUND(AI458*(365/MAX(14,AC458)),2))))</f>
        <v>0</v>
      </c>
      <c r="AK458" s="26">
        <f>IF(B458="","",ROUND(SUMIFS(Sales!$AH$5:$AH$1204,Sales!$D$5:$D$1204,A458),2))</f>
        <v>0</v>
      </c>
      <c r="AL458" s="25">
        <f>IF(B458="","",IFERROR(INDEX(Loyalty!$P$5:$P$504,MATCH(A458,Loyalty!$B$5:$B$504,0))*1,0))</f>
        <v>0</v>
      </c>
      <c r="AM458" s="39">
        <f>IF(B458="","",IF(R458="Archived","Archived",IF(T458=0,"Not been yet",IF(Z458&gt;=InactiveDays,"Inactive",IF(Z458&gt;=LapsingDays,"Lapsing",IF(T458=1,"New",IF(AH458&gt;=VipSpend,"VIP",IF(U458&gt;=4,"Regular","Active"))))))))</f>
        <v>0</v>
      </c>
      <c r="AN458" s="38">
        <f>IF(B458="","",IF(T458&gt;=2,"Yes","No"))</f>
        <v>0</v>
      </c>
      <c r="AO458" s="25">
        <f>IF(B458="","",COUNTIFS($AE$5:$AE$504,"&gt;"&amp;AE458)+COUNTIFS($AE$5:AE458,AE458))</f>
        <v>0</v>
      </c>
      <c r="AP458" s="25">
        <f>IF(B458="","",COUNTIFS($T$5:$T$504,"&gt;"&amp;T458)+COUNTIFS($T$5:T458,T458))</f>
        <v>0</v>
      </c>
      <c r="AQ458" s="39">
        <f>IF(B458="","",IF(COUNTIF($B$5:$B$504,B458)&gt;1,"Duplicate - same name twice",IF(R458="Archived","",IF(AK458&gt;0.004,"Chase - balance outstanding",IF(AM458="Inactive","Gone - win-back offer",IF(AM458="Lapsing","Chase - lapsing, call them",IF(IF(N458="",FALSE,TodayDate-N458&gt;PatchTestDays),"Due - patch test out of date",IF(IF(AD458="",FALSE,IF(AB458&lt;&gt;"",FALSE,AD458&lt;=TodayDate+14)),"Rebook - due and nothing booked",IF(IF(K458="",FALSE,ABS(DATE(YEAR(TodayDate),MONTH(K458),DAY(K458))-TodayDate)&lt;=7),"Birthday - send the treat","OK")))))))))</f>
        <v>0</v>
      </c>
    </row>
    <row r="459" spans="1:43">
      <c r="A459" s="28">
        <f>IF(B459="","",ClientPrefix&amp;TEXT(ROW()-4,"0000"))</f>
        <v>0</v>
      </c>
      <c r="J459" s="15">
        <f>IF(I459="","",IFERROR(INDEX(Staff!$B$5:$B$44,MATCH(I459,Staff!$A$5:$A$44,0)),"Not in Staff"))</f>
        <v>0</v>
      </c>
      <c r="T459" s="25">
        <f>IF(B459="","",COUNTIFS(Appointments!$E$5:$E$1204,A459,Appointments!$M$5:$M$1204,"Completed"))</f>
        <v>0</v>
      </c>
      <c r="U459" s="25">
        <f>IF(B459="","",COUNTIFS(Appointments!$E$5:$E$1204,A459,Appointments!$M$5:$M$1204,"Completed",Appointments!$B$5:$B$1204,"&gt;="&amp;TodayDate-365))</f>
        <v>0</v>
      </c>
      <c r="V459" s="25">
        <f>IF(B459="","",COUNTIFS(Appointments!$E$5:$E$1204,A459,Appointments!$M$5:$M$1204,"Cancelled"))</f>
        <v>0</v>
      </c>
      <c r="W459" s="25">
        <f>IF(B459="","",COUNTIFS(Appointments!$E$5:$E$1204,A459,Appointments!$M$5:$M$1204,"No show"))</f>
        <v>0</v>
      </c>
      <c r="X459" s="17">
        <f>IF(B459="","",IF(F459&lt;&gt;"",F459,IF(T459=0,"",SUMPRODUCT(MIN((Appointments!$E$5:$E$1204=A459)*(Appointments!$M$5:$M$1204="Completed")*Appointments!$B$5:$B$1204+(1-(Appointments!$E$5:$E$1204=A459)*(Appointments!$M$5:$M$1204="Completed"))*2958465)))))</f>
        <v>0</v>
      </c>
      <c r="Y459" s="17">
        <f>IF(B459="","",IF(T459=0,"",SUMPRODUCT(MAX((Appointments!$E$5:$E$1204=A459)*(Appointments!$M$5:$M$1204="Completed")*Appointments!$B$5:$B$1204))))</f>
        <v>0</v>
      </c>
      <c r="Z459" s="25">
        <f>IF(B459="","",IF(Y459="","",TodayDate-Y459))</f>
        <v>0</v>
      </c>
      <c r="AA459" s="42">
        <f>IF(B459="","",SUMPRODUCT(MIN((Appointments!$E$5:$E$1204=A459)*(Appointments!$M$5:$M$1204&lt;&gt;"Cancelled")*(Appointments!$M$5:$M$1204&lt;&gt;"Completed")*(Appointments!$M$5:$M$1204&lt;&gt;"No show")*(Appointments!$B$5:$B$1204&gt;=TodayDate)*Appointments!$B$5:$B$1204+(1-(Appointments!$E$5:$E$1204=A459)*(Appointments!$M$5:$M$1204&lt;&gt;"Cancelled")*(Appointments!$M$5:$M$1204&lt;&gt;"Completed")*(Appointments!$M$5:$M$1204&lt;&gt;"No show")*(Appointments!$B$5:$B$1204&gt;=TodayDate))*2958465)))</f>
        <v>0</v>
      </c>
      <c r="AB459" s="17">
        <f>IF(B459="","",IF(AA459&gt;=2958465,"",AA459))</f>
        <v>0</v>
      </c>
      <c r="AC459" s="25">
        <f>IF(B459="","",IF(T459&lt;2,"",ROUND((Y459-X459)/MAX(1,T459-1),0)))</f>
        <v>0</v>
      </c>
      <c r="AD459" s="17">
        <f>IF(B459="","",IF(Y459="","",Y459+IF(AC459="",RebookWeeks*7,MAX(14,AC459))))</f>
        <v>0</v>
      </c>
      <c r="AE459" s="26">
        <f>IF(B459="","",ROUND(SUMIFS(Sales!$Y$5:$Y$1204,Sales!$D$5:$D$1204,A459),2))</f>
        <v>0</v>
      </c>
      <c r="AF459" s="26">
        <f>IF(B459="","",ROUND(SUMIFS(Sales!$Y$5:$Y$1204,Sales!$D$5:$D$1204,A459,Sales!$H$5:$H$1204,"Service"),2))</f>
        <v>0</v>
      </c>
      <c r="AG459" s="26">
        <f>IF(B459="","",ROUND(SUMIFS(Sales!$Y$5:$Y$1204,Sales!$D$5:$D$1204,A459,Sales!$H$5:$H$1204,"Retail"),2))</f>
        <v>0</v>
      </c>
      <c r="AH459" s="26">
        <f>IF(B459="","",ROUND(SUMIFS(Sales!$Y$5:$Y$1204,Sales!$D$5:$D$1204,A459,Sales!$B$5:$B$1204,"&gt;="&amp;TodayDate-365),2))</f>
        <v>0</v>
      </c>
      <c r="AI459" s="26">
        <f>IF(B459="","",IF(T459=0,"",ROUND(AE459/T459,2)))</f>
        <v>0</v>
      </c>
      <c r="AJ459" s="26">
        <f>IF(B459="","",IF(AI459="","",IF(AC459="","",ROUND(AI459*(365/MAX(14,AC459)),2))))</f>
        <v>0</v>
      </c>
      <c r="AK459" s="26">
        <f>IF(B459="","",ROUND(SUMIFS(Sales!$AH$5:$AH$1204,Sales!$D$5:$D$1204,A459),2))</f>
        <v>0</v>
      </c>
      <c r="AL459" s="25">
        <f>IF(B459="","",IFERROR(INDEX(Loyalty!$P$5:$P$504,MATCH(A459,Loyalty!$B$5:$B$504,0))*1,0))</f>
        <v>0</v>
      </c>
      <c r="AM459" s="39">
        <f>IF(B459="","",IF(R459="Archived","Archived",IF(T459=0,"Not been yet",IF(Z459&gt;=InactiveDays,"Inactive",IF(Z459&gt;=LapsingDays,"Lapsing",IF(T459=1,"New",IF(AH459&gt;=VipSpend,"VIP",IF(U459&gt;=4,"Regular","Active"))))))))</f>
        <v>0</v>
      </c>
      <c r="AN459" s="38">
        <f>IF(B459="","",IF(T459&gt;=2,"Yes","No"))</f>
        <v>0</v>
      </c>
      <c r="AO459" s="25">
        <f>IF(B459="","",COUNTIFS($AE$5:$AE$504,"&gt;"&amp;AE459)+COUNTIFS($AE$5:AE459,AE459))</f>
        <v>0</v>
      </c>
      <c r="AP459" s="25">
        <f>IF(B459="","",COUNTIFS($T$5:$T$504,"&gt;"&amp;T459)+COUNTIFS($T$5:T459,T459))</f>
        <v>0</v>
      </c>
      <c r="AQ459" s="39">
        <f>IF(B459="","",IF(COUNTIF($B$5:$B$504,B459)&gt;1,"Duplicate - same name twice",IF(R459="Archived","",IF(AK459&gt;0.004,"Chase - balance outstanding",IF(AM459="Inactive","Gone - win-back offer",IF(AM459="Lapsing","Chase - lapsing, call them",IF(IF(N459="",FALSE,TodayDate-N459&gt;PatchTestDays),"Due - patch test out of date",IF(IF(AD459="",FALSE,IF(AB459&lt;&gt;"",FALSE,AD459&lt;=TodayDate+14)),"Rebook - due and nothing booked",IF(IF(K459="",FALSE,ABS(DATE(YEAR(TodayDate),MONTH(K459),DAY(K459))-TodayDate)&lt;=7),"Birthday - send the treat","OK")))))))))</f>
        <v>0</v>
      </c>
    </row>
    <row r="460" spans="1:43">
      <c r="A460" s="28">
        <f>IF(B460="","",ClientPrefix&amp;TEXT(ROW()-4,"0000"))</f>
        <v>0</v>
      </c>
      <c r="J460" s="15">
        <f>IF(I460="","",IFERROR(INDEX(Staff!$B$5:$B$44,MATCH(I460,Staff!$A$5:$A$44,0)),"Not in Staff"))</f>
        <v>0</v>
      </c>
      <c r="T460" s="25">
        <f>IF(B460="","",COUNTIFS(Appointments!$E$5:$E$1204,A460,Appointments!$M$5:$M$1204,"Completed"))</f>
        <v>0</v>
      </c>
      <c r="U460" s="25">
        <f>IF(B460="","",COUNTIFS(Appointments!$E$5:$E$1204,A460,Appointments!$M$5:$M$1204,"Completed",Appointments!$B$5:$B$1204,"&gt;="&amp;TodayDate-365))</f>
        <v>0</v>
      </c>
      <c r="V460" s="25">
        <f>IF(B460="","",COUNTIFS(Appointments!$E$5:$E$1204,A460,Appointments!$M$5:$M$1204,"Cancelled"))</f>
        <v>0</v>
      </c>
      <c r="W460" s="25">
        <f>IF(B460="","",COUNTIFS(Appointments!$E$5:$E$1204,A460,Appointments!$M$5:$M$1204,"No show"))</f>
        <v>0</v>
      </c>
      <c r="X460" s="17">
        <f>IF(B460="","",IF(F460&lt;&gt;"",F460,IF(T460=0,"",SUMPRODUCT(MIN((Appointments!$E$5:$E$1204=A460)*(Appointments!$M$5:$M$1204="Completed")*Appointments!$B$5:$B$1204+(1-(Appointments!$E$5:$E$1204=A460)*(Appointments!$M$5:$M$1204="Completed"))*2958465)))))</f>
        <v>0</v>
      </c>
      <c r="Y460" s="17">
        <f>IF(B460="","",IF(T460=0,"",SUMPRODUCT(MAX((Appointments!$E$5:$E$1204=A460)*(Appointments!$M$5:$M$1204="Completed")*Appointments!$B$5:$B$1204))))</f>
        <v>0</v>
      </c>
      <c r="Z460" s="25">
        <f>IF(B460="","",IF(Y460="","",TodayDate-Y460))</f>
        <v>0</v>
      </c>
      <c r="AA460" s="42">
        <f>IF(B460="","",SUMPRODUCT(MIN((Appointments!$E$5:$E$1204=A460)*(Appointments!$M$5:$M$1204&lt;&gt;"Cancelled")*(Appointments!$M$5:$M$1204&lt;&gt;"Completed")*(Appointments!$M$5:$M$1204&lt;&gt;"No show")*(Appointments!$B$5:$B$1204&gt;=TodayDate)*Appointments!$B$5:$B$1204+(1-(Appointments!$E$5:$E$1204=A460)*(Appointments!$M$5:$M$1204&lt;&gt;"Cancelled")*(Appointments!$M$5:$M$1204&lt;&gt;"Completed")*(Appointments!$M$5:$M$1204&lt;&gt;"No show")*(Appointments!$B$5:$B$1204&gt;=TodayDate))*2958465)))</f>
        <v>0</v>
      </c>
      <c r="AB460" s="17">
        <f>IF(B460="","",IF(AA460&gt;=2958465,"",AA460))</f>
        <v>0</v>
      </c>
      <c r="AC460" s="25">
        <f>IF(B460="","",IF(T460&lt;2,"",ROUND((Y460-X460)/MAX(1,T460-1),0)))</f>
        <v>0</v>
      </c>
      <c r="AD460" s="17">
        <f>IF(B460="","",IF(Y460="","",Y460+IF(AC460="",RebookWeeks*7,MAX(14,AC460))))</f>
        <v>0</v>
      </c>
      <c r="AE460" s="26">
        <f>IF(B460="","",ROUND(SUMIFS(Sales!$Y$5:$Y$1204,Sales!$D$5:$D$1204,A460),2))</f>
        <v>0</v>
      </c>
      <c r="AF460" s="26">
        <f>IF(B460="","",ROUND(SUMIFS(Sales!$Y$5:$Y$1204,Sales!$D$5:$D$1204,A460,Sales!$H$5:$H$1204,"Service"),2))</f>
        <v>0</v>
      </c>
      <c r="AG460" s="26">
        <f>IF(B460="","",ROUND(SUMIFS(Sales!$Y$5:$Y$1204,Sales!$D$5:$D$1204,A460,Sales!$H$5:$H$1204,"Retail"),2))</f>
        <v>0</v>
      </c>
      <c r="AH460" s="26">
        <f>IF(B460="","",ROUND(SUMIFS(Sales!$Y$5:$Y$1204,Sales!$D$5:$D$1204,A460,Sales!$B$5:$B$1204,"&gt;="&amp;TodayDate-365),2))</f>
        <v>0</v>
      </c>
      <c r="AI460" s="26">
        <f>IF(B460="","",IF(T460=0,"",ROUND(AE460/T460,2)))</f>
        <v>0</v>
      </c>
      <c r="AJ460" s="26">
        <f>IF(B460="","",IF(AI460="","",IF(AC460="","",ROUND(AI460*(365/MAX(14,AC460)),2))))</f>
        <v>0</v>
      </c>
      <c r="AK460" s="26">
        <f>IF(B460="","",ROUND(SUMIFS(Sales!$AH$5:$AH$1204,Sales!$D$5:$D$1204,A460),2))</f>
        <v>0</v>
      </c>
      <c r="AL460" s="25">
        <f>IF(B460="","",IFERROR(INDEX(Loyalty!$P$5:$P$504,MATCH(A460,Loyalty!$B$5:$B$504,0))*1,0))</f>
        <v>0</v>
      </c>
      <c r="AM460" s="39">
        <f>IF(B460="","",IF(R460="Archived","Archived",IF(T460=0,"Not been yet",IF(Z460&gt;=InactiveDays,"Inactive",IF(Z460&gt;=LapsingDays,"Lapsing",IF(T460=1,"New",IF(AH460&gt;=VipSpend,"VIP",IF(U460&gt;=4,"Regular","Active"))))))))</f>
        <v>0</v>
      </c>
      <c r="AN460" s="38">
        <f>IF(B460="","",IF(T460&gt;=2,"Yes","No"))</f>
        <v>0</v>
      </c>
      <c r="AO460" s="25">
        <f>IF(B460="","",COUNTIFS($AE$5:$AE$504,"&gt;"&amp;AE460)+COUNTIFS($AE$5:AE460,AE460))</f>
        <v>0</v>
      </c>
      <c r="AP460" s="25">
        <f>IF(B460="","",COUNTIFS($T$5:$T$504,"&gt;"&amp;T460)+COUNTIFS($T$5:T460,T460))</f>
        <v>0</v>
      </c>
      <c r="AQ460" s="39">
        <f>IF(B460="","",IF(COUNTIF($B$5:$B$504,B460)&gt;1,"Duplicate - same name twice",IF(R460="Archived","",IF(AK460&gt;0.004,"Chase - balance outstanding",IF(AM460="Inactive","Gone - win-back offer",IF(AM460="Lapsing","Chase - lapsing, call them",IF(IF(N460="",FALSE,TodayDate-N460&gt;PatchTestDays),"Due - patch test out of date",IF(IF(AD460="",FALSE,IF(AB460&lt;&gt;"",FALSE,AD460&lt;=TodayDate+14)),"Rebook - due and nothing booked",IF(IF(K460="",FALSE,ABS(DATE(YEAR(TodayDate),MONTH(K460),DAY(K460))-TodayDate)&lt;=7),"Birthday - send the treat","OK")))))))))</f>
        <v>0</v>
      </c>
    </row>
    <row r="461" spans="1:43">
      <c r="A461" s="28">
        <f>IF(B461="","",ClientPrefix&amp;TEXT(ROW()-4,"0000"))</f>
        <v>0</v>
      </c>
      <c r="J461" s="15">
        <f>IF(I461="","",IFERROR(INDEX(Staff!$B$5:$B$44,MATCH(I461,Staff!$A$5:$A$44,0)),"Not in Staff"))</f>
        <v>0</v>
      </c>
      <c r="T461" s="25">
        <f>IF(B461="","",COUNTIFS(Appointments!$E$5:$E$1204,A461,Appointments!$M$5:$M$1204,"Completed"))</f>
        <v>0</v>
      </c>
      <c r="U461" s="25">
        <f>IF(B461="","",COUNTIFS(Appointments!$E$5:$E$1204,A461,Appointments!$M$5:$M$1204,"Completed",Appointments!$B$5:$B$1204,"&gt;="&amp;TodayDate-365))</f>
        <v>0</v>
      </c>
      <c r="V461" s="25">
        <f>IF(B461="","",COUNTIFS(Appointments!$E$5:$E$1204,A461,Appointments!$M$5:$M$1204,"Cancelled"))</f>
        <v>0</v>
      </c>
      <c r="W461" s="25">
        <f>IF(B461="","",COUNTIFS(Appointments!$E$5:$E$1204,A461,Appointments!$M$5:$M$1204,"No show"))</f>
        <v>0</v>
      </c>
      <c r="X461" s="17">
        <f>IF(B461="","",IF(F461&lt;&gt;"",F461,IF(T461=0,"",SUMPRODUCT(MIN((Appointments!$E$5:$E$1204=A461)*(Appointments!$M$5:$M$1204="Completed")*Appointments!$B$5:$B$1204+(1-(Appointments!$E$5:$E$1204=A461)*(Appointments!$M$5:$M$1204="Completed"))*2958465)))))</f>
        <v>0</v>
      </c>
      <c r="Y461" s="17">
        <f>IF(B461="","",IF(T461=0,"",SUMPRODUCT(MAX((Appointments!$E$5:$E$1204=A461)*(Appointments!$M$5:$M$1204="Completed")*Appointments!$B$5:$B$1204))))</f>
        <v>0</v>
      </c>
      <c r="Z461" s="25">
        <f>IF(B461="","",IF(Y461="","",TodayDate-Y461))</f>
        <v>0</v>
      </c>
      <c r="AA461" s="42">
        <f>IF(B461="","",SUMPRODUCT(MIN((Appointments!$E$5:$E$1204=A461)*(Appointments!$M$5:$M$1204&lt;&gt;"Cancelled")*(Appointments!$M$5:$M$1204&lt;&gt;"Completed")*(Appointments!$M$5:$M$1204&lt;&gt;"No show")*(Appointments!$B$5:$B$1204&gt;=TodayDate)*Appointments!$B$5:$B$1204+(1-(Appointments!$E$5:$E$1204=A461)*(Appointments!$M$5:$M$1204&lt;&gt;"Cancelled")*(Appointments!$M$5:$M$1204&lt;&gt;"Completed")*(Appointments!$M$5:$M$1204&lt;&gt;"No show")*(Appointments!$B$5:$B$1204&gt;=TodayDate))*2958465)))</f>
        <v>0</v>
      </c>
      <c r="AB461" s="17">
        <f>IF(B461="","",IF(AA461&gt;=2958465,"",AA461))</f>
        <v>0</v>
      </c>
      <c r="AC461" s="25">
        <f>IF(B461="","",IF(T461&lt;2,"",ROUND((Y461-X461)/MAX(1,T461-1),0)))</f>
        <v>0</v>
      </c>
      <c r="AD461" s="17">
        <f>IF(B461="","",IF(Y461="","",Y461+IF(AC461="",RebookWeeks*7,MAX(14,AC461))))</f>
        <v>0</v>
      </c>
      <c r="AE461" s="26">
        <f>IF(B461="","",ROUND(SUMIFS(Sales!$Y$5:$Y$1204,Sales!$D$5:$D$1204,A461),2))</f>
        <v>0</v>
      </c>
      <c r="AF461" s="26">
        <f>IF(B461="","",ROUND(SUMIFS(Sales!$Y$5:$Y$1204,Sales!$D$5:$D$1204,A461,Sales!$H$5:$H$1204,"Service"),2))</f>
        <v>0</v>
      </c>
      <c r="AG461" s="26">
        <f>IF(B461="","",ROUND(SUMIFS(Sales!$Y$5:$Y$1204,Sales!$D$5:$D$1204,A461,Sales!$H$5:$H$1204,"Retail"),2))</f>
        <v>0</v>
      </c>
      <c r="AH461" s="26">
        <f>IF(B461="","",ROUND(SUMIFS(Sales!$Y$5:$Y$1204,Sales!$D$5:$D$1204,A461,Sales!$B$5:$B$1204,"&gt;="&amp;TodayDate-365),2))</f>
        <v>0</v>
      </c>
      <c r="AI461" s="26">
        <f>IF(B461="","",IF(T461=0,"",ROUND(AE461/T461,2)))</f>
        <v>0</v>
      </c>
      <c r="AJ461" s="26">
        <f>IF(B461="","",IF(AI461="","",IF(AC461="","",ROUND(AI461*(365/MAX(14,AC461)),2))))</f>
        <v>0</v>
      </c>
      <c r="AK461" s="26">
        <f>IF(B461="","",ROUND(SUMIFS(Sales!$AH$5:$AH$1204,Sales!$D$5:$D$1204,A461),2))</f>
        <v>0</v>
      </c>
      <c r="AL461" s="25">
        <f>IF(B461="","",IFERROR(INDEX(Loyalty!$P$5:$P$504,MATCH(A461,Loyalty!$B$5:$B$504,0))*1,0))</f>
        <v>0</v>
      </c>
      <c r="AM461" s="39">
        <f>IF(B461="","",IF(R461="Archived","Archived",IF(T461=0,"Not been yet",IF(Z461&gt;=InactiveDays,"Inactive",IF(Z461&gt;=LapsingDays,"Lapsing",IF(T461=1,"New",IF(AH461&gt;=VipSpend,"VIP",IF(U461&gt;=4,"Regular","Active"))))))))</f>
        <v>0</v>
      </c>
      <c r="AN461" s="38">
        <f>IF(B461="","",IF(T461&gt;=2,"Yes","No"))</f>
        <v>0</v>
      </c>
      <c r="AO461" s="25">
        <f>IF(B461="","",COUNTIFS($AE$5:$AE$504,"&gt;"&amp;AE461)+COUNTIFS($AE$5:AE461,AE461))</f>
        <v>0</v>
      </c>
      <c r="AP461" s="25">
        <f>IF(B461="","",COUNTIFS($T$5:$T$504,"&gt;"&amp;T461)+COUNTIFS($T$5:T461,T461))</f>
        <v>0</v>
      </c>
      <c r="AQ461" s="39">
        <f>IF(B461="","",IF(COUNTIF($B$5:$B$504,B461)&gt;1,"Duplicate - same name twice",IF(R461="Archived","",IF(AK461&gt;0.004,"Chase - balance outstanding",IF(AM461="Inactive","Gone - win-back offer",IF(AM461="Lapsing","Chase - lapsing, call them",IF(IF(N461="",FALSE,TodayDate-N461&gt;PatchTestDays),"Due - patch test out of date",IF(IF(AD461="",FALSE,IF(AB461&lt;&gt;"",FALSE,AD461&lt;=TodayDate+14)),"Rebook - due and nothing booked",IF(IF(K461="",FALSE,ABS(DATE(YEAR(TodayDate),MONTH(K461),DAY(K461))-TodayDate)&lt;=7),"Birthday - send the treat","OK")))))))))</f>
        <v>0</v>
      </c>
    </row>
    <row r="462" spans="1:43">
      <c r="A462" s="28">
        <f>IF(B462="","",ClientPrefix&amp;TEXT(ROW()-4,"0000"))</f>
        <v>0</v>
      </c>
      <c r="J462" s="15">
        <f>IF(I462="","",IFERROR(INDEX(Staff!$B$5:$B$44,MATCH(I462,Staff!$A$5:$A$44,0)),"Not in Staff"))</f>
        <v>0</v>
      </c>
      <c r="T462" s="25">
        <f>IF(B462="","",COUNTIFS(Appointments!$E$5:$E$1204,A462,Appointments!$M$5:$M$1204,"Completed"))</f>
        <v>0</v>
      </c>
      <c r="U462" s="25">
        <f>IF(B462="","",COUNTIFS(Appointments!$E$5:$E$1204,A462,Appointments!$M$5:$M$1204,"Completed",Appointments!$B$5:$B$1204,"&gt;="&amp;TodayDate-365))</f>
        <v>0</v>
      </c>
      <c r="V462" s="25">
        <f>IF(B462="","",COUNTIFS(Appointments!$E$5:$E$1204,A462,Appointments!$M$5:$M$1204,"Cancelled"))</f>
        <v>0</v>
      </c>
      <c r="W462" s="25">
        <f>IF(B462="","",COUNTIFS(Appointments!$E$5:$E$1204,A462,Appointments!$M$5:$M$1204,"No show"))</f>
        <v>0</v>
      </c>
      <c r="X462" s="17">
        <f>IF(B462="","",IF(F462&lt;&gt;"",F462,IF(T462=0,"",SUMPRODUCT(MIN((Appointments!$E$5:$E$1204=A462)*(Appointments!$M$5:$M$1204="Completed")*Appointments!$B$5:$B$1204+(1-(Appointments!$E$5:$E$1204=A462)*(Appointments!$M$5:$M$1204="Completed"))*2958465)))))</f>
        <v>0</v>
      </c>
      <c r="Y462" s="17">
        <f>IF(B462="","",IF(T462=0,"",SUMPRODUCT(MAX((Appointments!$E$5:$E$1204=A462)*(Appointments!$M$5:$M$1204="Completed")*Appointments!$B$5:$B$1204))))</f>
        <v>0</v>
      </c>
      <c r="Z462" s="25">
        <f>IF(B462="","",IF(Y462="","",TodayDate-Y462))</f>
        <v>0</v>
      </c>
      <c r="AA462" s="42">
        <f>IF(B462="","",SUMPRODUCT(MIN((Appointments!$E$5:$E$1204=A462)*(Appointments!$M$5:$M$1204&lt;&gt;"Cancelled")*(Appointments!$M$5:$M$1204&lt;&gt;"Completed")*(Appointments!$M$5:$M$1204&lt;&gt;"No show")*(Appointments!$B$5:$B$1204&gt;=TodayDate)*Appointments!$B$5:$B$1204+(1-(Appointments!$E$5:$E$1204=A462)*(Appointments!$M$5:$M$1204&lt;&gt;"Cancelled")*(Appointments!$M$5:$M$1204&lt;&gt;"Completed")*(Appointments!$M$5:$M$1204&lt;&gt;"No show")*(Appointments!$B$5:$B$1204&gt;=TodayDate))*2958465)))</f>
        <v>0</v>
      </c>
      <c r="AB462" s="17">
        <f>IF(B462="","",IF(AA462&gt;=2958465,"",AA462))</f>
        <v>0</v>
      </c>
      <c r="AC462" s="25">
        <f>IF(B462="","",IF(T462&lt;2,"",ROUND((Y462-X462)/MAX(1,T462-1),0)))</f>
        <v>0</v>
      </c>
      <c r="AD462" s="17">
        <f>IF(B462="","",IF(Y462="","",Y462+IF(AC462="",RebookWeeks*7,MAX(14,AC462))))</f>
        <v>0</v>
      </c>
      <c r="AE462" s="26">
        <f>IF(B462="","",ROUND(SUMIFS(Sales!$Y$5:$Y$1204,Sales!$D$5:$D$1204,A462),2))</f>
        <v>0</v>
      </c>
      <c r="AF462" s="26">
        <f>IF(B462="","",ROUND(SUMIFS(Sales!$Y$5:$Y$1204,Sales!$D$5:$D$1204,A462,Sales!$H$5:$H$1204,"Service"),2))</f>
        <v>0</v>
      </c>
      <c r="AG462" s="26">
        <f>IF(B462="","",ROUND(SUMIFS(Sales!$Y$5:$Y$1204,Sales!$D$5:$D$1204,A462,Sales!$H$5:$H$1204,"Retail"),2))</f>
        <v>0</v>
      </c>
      <c r="AH462" s="26">
        <f>IF(B462="","",ROUND(SUMIFS(Sales!$Y$5:$Y$1204,Sales!$D$5:$D$1204,A462,Sales!$B$5:$B$1204,"&gt;="&amp;TodayDate-365),2))</f>
        <v>0</v>
      </c>
      <c r="AI462" s="26">
        <f>IF(B462="","",IF(T462=0,"",ROUND(AE462/T462,2)))</f>
        <v>0</v>
      </c>
      <c r="AJ462" s="26">
        <f>IF(B462="","",IF(AI462="","",IF(AC462="","",ROUND(AI462*(365/MAX(14,AC462)),2))))</f>
        <v>0</v>
      </c>
      <c r="AK462" s="26">
        <f>IF(B462="","",ROUND(SUMIFS(Sales!$AH$5:$AH$1204,Sales!$D$5:$D$1204,A462),2))</f>
        <v>0</v>
      </c>
      <c r="AL462" s="25">
        <f>IF(B462="","",IFERROR(INDEX(Loyalty!$P$5:$P$504,MATCH(A462,Loyalty!$B$5:$B$504,0))*1,0))</f>
        <v>0</v>
      </c>
      <c r="AM462" s="39">
        <f>IF(B462="","",IF(R462="Archived","Archived",IF(T462=0,"Not been yet",IF(Z462&gt;=InactiveDays,"Inactive",IF(Z462&gt;=LapsingDays,"Lapsing",IF(T462=1,"New",IF(AH462&gt;=VipSpend,"VIP",IF(U462&gt;=4,"Regular","Active"))))))))</f>
        <v>0</v>
      </c>
      <c r="AN462" s="38">
        <f>IF(B462="","",IF(T462&gt;=2,"Yes","No"))</f>
        <v>0</v>
      </c>
      <c r="AO462" s="25">
        <f>IF(B462="","",COUNTIFS($AE$5:$AE$504,"&gt;"&amp;AE462)+COUNTIFS($AE$5:AE462,AE462))</f>
        <v>0</v>
      </c>
      <c r="AP462" s="25">
        <f>IF(B462="","",COUNTIFS($T$5:$T$504,"&gt;"&amp;T462)+COUNTIFS($T$5:T462,T462))</f>
        <v>0</v>
      </c>
      <c r="AQ462" s="39">
        <f>IF(B462="","",IF(COUNTIF($B$5:$B$504,B462)&gt;1,"Duplicate - same name twice",IF(R462="Archived","",IF(AK462&gt;0.004,"Chase - balance outstanding",IF(AM462="Inactive","Gone - win-back offer",IF(AM462="Lapsing","Chase - lapsing, call them",IF(IF(N462="",FALSE,TodayDate-N462&gt;PatchTestDays),"Due - patch test out of date",IF(IF(AD462="",FALSE,IF(AB462&lt;&gt;"",FALSE,AD462&lt;=TodayDate+14)),"Rebook - due and nothing booked",IF(IF(K462="",FALSE,ABS(DATE(YEAR(TodayDate),MONTH(K462),DAY(K462))-TodayDate)&lt;=7),"Birthday - send the treat","OK")))))))))</f>
        <v>0</v>
      </c>
    </row>
    <row r="463" spans="1:43">
      <c r="A463" s="28">
        <f>IF(B463="","",ClientPrefix&amp;TEXT(ROW()-4,"0000"))</f>
        <v>0</v>
      </c>
      <c r="J463" s="15">
        <f>IF(I463="","",IFERROR(INDEX(Staff!$B$5:$B$44,MATCH(I463,Staff!$A$5:$A$44,0)),"Not in Staff"))</f>
        <v>0</v>
      </c>
      <c r="T463" s="25">
        <f>IF(B463="","",COUNTIFS(Appointments!$E$5:$E$1204,A463,Appointments!$M$5:$M$1204,"Completed"))</f>
        <v>0</v>
      </c>
      <c r="U463" s="25">
        <f>IF(B463="","",COUNTIFS(Appointments!$E$5:$E$1204,A463,Appointments!$M$5:$M$1204,"Completed",Appointments!$B$5:$B$1204,"&gt;="&amp;TodayDate-365))</f>
        <v>0</v>
      </c>
      <c r="V463" s="25">
        <f>IF(B463="","",COUNTIFS(Appointments!$E$5:$E$1204,A463,Appointments!$M$5:$M$1204,"Cancelled"))</f>
        <v>0</v>
      </c>
      <c r="W463" s="25">
        <f>IF(B463="","",COUNTIFS(Appointments!$E$5:$E$1204,A463,Appointments!$M$5:$M$1204,"No show"))</f>
        <v>0</v>
      </c>
      <c r="X463" s="17">
        <f>IF(B463="","",IF(F463&lt;&gt;"",F463,IF(T463=0,"",SUMPRODUCT(MIN((Appointments!$E$5:$E$1204=A463)*(Appointments!$M$5:$M$1204="Completed")*Appointments!$B$5:$B$1204+(1-(Appointments!$E$5:$E$1204=A463)*(Appointments!$M$5:$M$1204="Completed"))*2958465)))))</f>
        <v>0</v>
      </c>
      <c r="Y463" s="17">
        <f>IF(B463="","",IF(T463=0,"",SUMPRODUCT(MAX((Appointments!$E$5:$E$1204=A463)*(Appointments!$M$5:$M$1204="Completed")*Appointments!$B$5:$B$1204))))</f>
        <v>0</v>
      </c>
      <c r="Z463" s="25">
        <f>IF(B463="","",IF(Y463="","",TodayDate-Y463))</f>
        <v>0</v>
      </c>
      <c r="AA463" s="42">
        <f>IF(B463="","",SUMPRODUCT(MIN((Appointments!$E$5:$E$1204=A463)*(Appointments!$M$5:$M$1204&lt;&gt;"Cancelled")*(Appointments!$M$5:$M$1204&lt;&gt;"Completed")*(Appointments!$M$5:$M$1204&lt;&gt;"No show")*(Appointments!$B$5:$B$1204&gt;=TodayDate)*Appointments!$B$5:$B$1204+(1-(Appointments!$E$5:$E$1204=A463)*(Appointments!$M$5:$M$1204&lt;&gt;"Cancelled")*(Appointments!$M$5:$M$1204&lt;&gt;"Completed")*(Appointments!$M$5:$M$1204&lt;&gt;"No show")*(Appointments!$B$5:$B$1204&gt;=TodayDate))*2958465)))</f>
        <v>0</v>
      </c>
      <c r="AB463" s="17">
        <f>IF(B463="","",IF(AA463&gt;=2958465,"",AA463))</f>
        <v>0</v>
      </c>
      <c r="AC463" s="25">
        <f>IF(B463="","",IF(T463&lt;2,"",ROUND((Y463-X463)/MAX(1,T463-1),0)))</f>
        <v>0</v>
      </c>
      <c r="AD463" s="17">
        <f>IF(B463="","",IF(Y463="","",Y463+IF(AC463="",RebookWeeks*7,MAX(14,AC463))))</f>
        <v>0</v>
      </c>
      <c r="AE463" s="26">
        <f>IF(B463="","",ROUND(SUMIFS(Sales!$Y$5:$Y$1204,Sales!$D$5:$D$1204,A463),2))</f>
        <v>0</v>
      </c>
      <c r="AF463" s="26">
        <f>IF(B463="","",ROUND(SUMIFS(Sales!$Y$5:$Y$1204,Sales!$D$5:$D$1204,A463,Sales!$H$5:$H$1204,"Service"),2))</f>
        <v>0</v>
      </c>
      <c r="AG463" s="26">
        <f>IF(B463="","",ROUND(SUMIFS(Sales!$Y$5:$Y$1204,Sales!$D$5:$D$1204,A463,Sales!$H$5:$H$1204,"Retail"),2))</f>
        <v>0</v>
      </c>
      <c r="AH463" s="26">
        <f>IF(B463="","",ROUND(SUMIFS(Sales!$Y$5:$Y$1204,Sales!$D$5:$D$1204,A463,Sales!$B$5:$B$1204,"&gt;="&amp;TodayDate-365),2))</f>
        <v>0</v>
      </c>
      <c r="AI463" s="26">
        <f>IF(B463="","",IF(T463=0,"",ROUND(AE463/T463,2)))</f>
        <v>0</v>
      </c>
      <c r="AJ463" s="26">
        <f>IF(B463="","",IF(AI463="","",IF(AC463="","",ROUND(AI463*(365/MAX(14,AC463)),2))))</f>
        <v>0</v>
      </c>
      <c r="AK463" s="26">
        <f>IF(B463="","",ROUND(SUMIFS(Sales!$AH$5:$AH$1204,Sales!$D$5:$D$1204,A463),2))</f>
        <v>0</v>
      </c>
      <c r="AL463" s="25">
        <f>IF(B463="","",IFERROR(INDEX(Loyalty!$P$5:$P$504,MATCH(A463,Loyalty!$B$5:$B$504,0))*1,0))</f>
        <v>0</v>
      </c>
      <c r="AM463" s="39">
        <f>IF(B463="","",IF(R463="Archived","Archived",IF(T463=0,"Not been yet",IF(Z463&gt;=InactiveDays,"Inactive",IF(Z463&gt;=LapsingDays,"Lapsing",IF(T463=1,"New",IF(AH463&gt;=VipSpend,"VIP",IF(U463&gt;=4,"Regular","Active"))))))))</f>
        <v>0</v>
      </c>
      <c r="AN463" s="38">
        <f>IF(B463="","",IF(T463&gt;=2,"Yes","No"))</f>
        <v>0</v>
      </c>
      <c r="AO463" s="25">
        <f>IF(B463="","",COUNTIFS($AE$5:$AE$504,"&gt;"&amp;AE463)+COUNTIFS($AE$5:AE463,AE463))</f>
        <v>0</v>
      </c>
      <c r="AP463" s="25">
        <f>IF(B463="","",COUNTIFS($T$5:$T$504,"&gt;"&amp;T463)+COUNTIFS($T$5:T463,T463))</f>
        <v>0</v>
      </c>
      <c r="AQ463" s="39">
        <f>IF(B463="","",IF(COUNTIF($B$5:$B$504,B463)&gt;1,"Duplicate - same name twice",IF(R463="Archived","",IF(AK463&gt;0.004,"Chase - balance outstanding",IF(AM463="Inactive","Gone - win-back offer",IF(AM463="Lapsing","Chase - lapsing, call them",IF(IF(N463="",FALSE,TodayDate-N463&gt;PatchTestDays),"Due - patch test out of date",IF(IF(AD463="",FALSE,IF(AB463&lt;&gt;"",FALSE,AD463&lt;=TodayDate+14)),"Rebook - due and nothing booked",IF(IF(K463="",FALSE,ABS(DATE(YEAR(TodayDate),MONTH(K463),DAY(K463))-TodayDate)&lt;=7),"Birthday - send the treat","OK")))))))))</f>
        <v>0</v>
      </c>
    </row>
    <row r="464" spans="1:43">
      <c r="A464" s="28">
        <f>IF(B464="","",ClientPrefix&amp;TEXT(ROW()-4,"0000"))</f>
        <v>0</v>
      </c>
      <c r="J464" s="15">
        <f>IF(I464="","",IFERROR(INDEX(Staff!$B$5:$B$44,MATCH(I464,Staff!$A$5:$A$44,0)),"Not in Staff"))</f>
        <v>0</v>
      </c>
      <c r="T464" s="25">
        <f>IF(B464="","",COUNTIFS(Appointments!$E$5:$E$1204,A464,Appointments!$M$5:$M$1204,"Completed"))</f>
        <v>0</v>
      </c>
      <c r="U464" s="25">
        <f>IF(B464="","",COUNTIFS(Appointments!$E$5:$E$1204,A464,Appointments!$M$5:$M$1204,"Completed",Appointments!$B$5:$B$1204,"&gt;="&amp;TodayDate-365))</f>
        <v>0</v>
      </c>
      <c r="V464" s="25">
        <f>IF(B464="","",COUNTIFS(Appointments!$E$5:$E$1204,A464,Appointments!$M$5:$M$1204,"Cancelled"))</f>
        <v>0</v>
      </c>
      <c r="W464" s="25">
        <f>IF(B464="","",COUNTIFS(Appointments!$E$5:$E$1204,A464,Appointments!$M$5:$M$1204,"No show"))</f>
        <v>0</v>
      </c>
      <c r="X464" s="17">
        <f>IF(B464="","",IF(F464&lt;&gt;"",F464,IF(T464=0,"",SUMPRODUCT(MIN((Appointments!$E$5:$E$1204=A464)*(Appointments!$M$5:$M$1204="Completed")*Appointments!$B$5:$B$1204+(1-(Appointments!$E$5:$E$1204=A464)*(Appointments!$M$5:$M$1204="Completed"))*2958465)))))</f>
        <v>0</v>
      </c>
      <c r="Y464" s="17">
        <f>IF(B464="","",IF(T464=0,"",SUMPRODUCT(MAX((Appointments!$E$5:$E$1204=A464)*(Appointments!$M$5:$M$1204="Completed")*Appointments!$B$5:$B$1204))))</f>
        <v>0</v>
      </c>
      <c r="Z464" s="25">
        <f>IF(B464="","",IF(Y464="","",TodayDate-Y464))</f>
        <v>0</v>
      </c>
      <c r="AA464" s="42">
        <f>IF(B464="","",SUMPRODUCT(MIN((Appointments!$E$5:$E$1204=A464)*(Appointments!$M$5:$M$1204&lt;&gt;"Cancelled")*(Appointments!$M$5:$M$1204&lt;&gt;"Completed")*(Appointments!$M$5:$M$1204&lt;&gt;"No show")*(Appointments!$B$5:$B$1204&gt;=TodayDate)*Appointments!$B$5:$B$1204+(1-(Appointments!$E$5:$E$1204=A464)*(Appointments!$M$5:$M$1204&lt;&gt;"Cancelled")*(Appointments!$M$5:$M$1204&lt;&gt;"Completed")*(Appointments!$M$5:$M$1204&lt;&gt;"No show")*(Appointments!$B$5:$B$1204&gt;=TodayDate))*2958465)))</f>
        <v>0</v>
      </c>
      <c r="AB464" s="17">
        <f>IF(B464="","",IF(AA464&gt;=2958465,"",AA464))</f>
        <v>0</v>
      </c>
      <c r="AC464" s="25">
        <f>IF(B464="","",IF(T464&lt;2,"",ROUND((Y464-X464)/MAX(1,T464-1),0)))</f>
        <v>0</v>
      </c>
      <c r="AD464" s="17">
        <f>IF(B464="","",IF(Y464="","",Y464+IF(AC464="",RebookWeeks*7,MAX(14,AC464))))</f>
        <v>0</v>
      </c>
      <c r="AE464" s="26">
        <f>IF(B464="","",ROUND(SUMIFS(Sales!$Y$5:$Y$1204,Sales!$D$5:$D$1204,A464),2))</f>
        <v>0</v>
      </c>
      <c r="AF464" s="26">
        <f>IF(B464="","",ROUND(SUMIFS(Sales!$Y$5:$Y$1204,Sales!$D$5:$D$1204,A464,Sales!$H$5:$H$1204,"Service"),2))</f>
        <v>0</v>
      </c>
      <c r="AG464" s="26">
        <f>IF(B464="","",ROUND(SUMIFS(Sales!$Y$5:$Y$1204,Sales!$D$5:$D$1204,A464,Sales!$H$5:$H$1204,"Retail"),2))</f>
        <v>0</v>
      </c>
      <c r="AH464" s="26">
        <f>IF(B464="","",ROUND(SUMIFS(Sales!$Y$5:$Y$1204,Sales!$D$5:$D$1204,A464,Sales!$B$5:$B$1204,"&gt;="&amp;TodayDate-365),2))</f>
        <v>0</v>
      </c>
      <c r="AI464" s="26">
        <f>IF(B464="","",IF(T464=0,"",ROUND(AE464/T464,2)))</f>
        <v>0</v>
      </c>
      <c r="AJ464" s="26">
        <f>IF(B464="","",IF(AI464="","",IF(AC464="","",ROUND(AI464*(365/MAX(14,AC464)),2))))</f>
        <v>0</v>
      </c>
      <c r="AK464" s="26">
        <f>IF(B464="","",ROUND(SUMIFS(Sales!$AH$5:$AH$1204,Sales!$D$5:$D$1204,A464),2))</f>
        <v>0</v>
      </c>
      <c r="AL464" s="25">
        <f>IF(B464="","",IFERROR(INDEX(Loyalty!$P$5:$P$504,MATCH(A464,Loyalty!$B$5:$B$504,0))*1,0))</f>
        <v>0</v>
      </c>
      <c r="AM464" s="39">
        <f>IF(B464="","",IF(R464="Archived","Archived",IF(T464=0,"Not been yet",IF(Z464&gt;=InactiveDays,"Inactive",IF(Z464&gt;=LapsingDays,"Lapsing",IF(T464=1,"New",IF(AH464&gt;=VipSpend,"VIP",IF(U464&gt;=4,"Regular","Active"))))))))</f>
        <v>0</v>
      </c>
      <c r="AN464" s="38">
        <f>IF(B464="","",IF(T464&gt;=2,"Yes","No"))</f>
        <v>0</v>
      </c>
      <c r="AO464" s="25">
        <f>IF(B464="","",COUNTIFS($AE$5:$AE$504,"&gt;"&amp;AE464)+COUNTIFS($AE$5:AE464,AE464))</f>
        <v>0</v>
      </c>
      <c r="AP464" s="25">
        <f>IF(B464="","",COUNTIFS($T$5:$T$504,"&gt;"&amp;T464)+COUNTIFS($T$5:T464,T464))</f>
        <v>0</v>
      </c>
      <c r="AQ464" s="39">
        <f>IF(B464="","",IF(COUNTIF($B$5:$B$504,B464)&gt;1,"Duplicate - same name twice",IF(R464="Archived","",IF(AK464&gt;0.004,"Chase - balance outstanding",IF(AM464="Inactive","Gone - win-back offer",IF(AM464="Lapsing","Chase - lapsing, call them",IF(IF(N464="",FALSE,TodayDate-N464&gt;PatchTestDays),"Due - patch test out of date",IF(IF(AD464="",FALSE,IF(AB464&lt;&gt;"",FALSE,AD464&lt;=TodayDate+14)),"Rebook - due and nothing booked",IF(IF(K464="",FALSE,ABS(DATE(YEAR(TodayDate),MONTH(K464),DAY(K464))-TodayDate)&lt;=7),"Birthday - send the treat","OK")))))))))</f>
        <v>0</v>
      </c>
    </row>
    <row r="465" spans="1:43">
      <c r="A465" s="28">
        <f>IF(B465="","",ClientPrefix&amp;TEXT(ROW()-4,"0000"))</f>
        <v>0</v>
      </c>
      <c r="J465" s="15">
        <f>IF(I465="","",IFERROR(INDEX(Staff!$B$5:$B$44,MATCH(I465,Staff!$A$5:$A$44,0)),"Not in Staff"))</f>
        <v>0</v>
      </c>
      <c r="T465" s="25">
        <f>IF(B465="","",COUNTIFS(Appointments!$E$5:$E$1204,A465,Appointments!$M$5:$M$1204,"Completed"))</f>
        <v>0</v>
      </c>
      <c r="U465" s="25">
        <f>IF(B465="","",COUNTIFS(Appointments!$E$5:$E$1204,A465,Appointments!$M$5:$M$1204,"Completed",Appointments!$B$5:$B$1204,"&gt;="&amp;TodayDate-365))</f>
        <v>0</v>
      </c>
      <c r="V465" s="25">
        <f>IF(B465="","",COUNTIFS(Appointments!$E$5:$E$1204,A465,Appointments!$M$5:$M$1204,"Cancelled"))</f>
        <v>0</v>
      </c>
      <c r="W465" s="25">
        <f>IF(B465="","",COUNTIFS(Appointments!$E$5:$E$1204,A465,Appointments!$M$5:$M$1204,"No show"))</f>
        <v>0</v>
      </c>
      <c r="X465" s="17">
        <f>IF(B465="","",IF(F465&lt;&gt;"",F465,IF(T465=0,"",SUMPRODUCT(MIN((Appointments!$E$5:$E$1204=A465)*(Appointments!$M$5:$M$1204="Completed")*Appointments!$B$5:$B$1204+(1-(Appointments!$E$5:$E$1204=A465)*(Appointments!$M$5:$M$1204="Completed"))*2958465)))))</f>
        <v>0</v>
      </c>
      <c r="Y465" s="17">
        <f>IF(B465="","",IF(T465=0,"",SUMPRODUCT(MAX((Appointments!$E$5:$E$1204=A465)*(Appointments!$M$5:$M$1204="Completed")*Appointments!$B$5:$B$1204))))</f>
        <v>0</v>
      </c>
      <c r="Z465" s="25">
        <f>IF(B465="","",IF(Y465="","",TodayDate-Y465))</f>
        <v>0</v>
      </c>
      <c r="AA465" s="42">
        <f>IF(B465="","",SUMPRODUCT(MIN((Appointments!$E$5:$E$1204=A465)*(Appointments!$M$5:$M$1204&lt;&gt;"Cancelled")*(Appointments!$M$5:$M$1204&lt;&gt;"Completed")*(Appointments!$M$5:$M$1204&lt;&gt;"No show")*(Appointments!$B$5:$B$1204&gt;=TodayDate)*Appointments!$B$5:$B$1204+(1-(Appointments!$E$5:$E$1204=A465)*(Appointments!$M$5:$M$1204&lt;&gt;"Cancelled")*(Appointments!$M$5:$M$1204&lt;&gt;"Completed")*(Appointments!$M$5:$M$1204&lt;&gt;"No show")*(Appointments!$B$5:$B$1204&gt;=TodayDate))*2958465)))</f>
        <v>0</v>
      </c>
      <c r="AB465" s="17">
        <f>IF(B465="","",IF(AA465&gt;=2958465,"",AA465))</f>
        <v>0</v>
      </c>
      <c r="AC465" s="25">
        <f>IF(B465="","",IF(T465&lt;2,"",ROUND((Y465-X465)/MAX(1,T465-1),0)))</f>
        <v>0</v>
      </c>
      <c r="AD465" s="17">
        <f>IF(B465="","",IF(Y465="","",Y465+IF(AC465="",RebookWeeks*7,MAX(14,AC465))))</f>
        <v>0</v>
      </c>
      <c r="AE465" s="26">
        <f>IF(B465="","",ROUND(SUMIFS(Sales!$Y$5:$Y$1204,Sales!$D$5:$D$1204,A465),2))</f>
        <v>0</v>
      </c>
      <c r="AF465" s="26">
        <f>IF(B465="","",ROUND(SUMIFS(Sales!$Y$5:$Y$1204,Sales!$D$5:$D$1204,A465,Sales!$H$5:$H$1204,"Service"),2))</f>
        <v>0</v>
      </c>
      <c r="AG465" s="26">
        <f>IF(B465="","",ROUND(SUMIFS(Sales!$Y$5:$Y$1204,Sales!$D$5:$D$1204,A465,Sales!$H$5:$H$1204,"Retail"),2))</f>
        <v>0</v>
      </c>
      <c r="AH465" s="26">
        <f>IF(B465="","",ROUND(SUMIFS(Sales!$Y$5:$Y$1204,Sales!$D$5:$D$1204,A465,Sales!$B$5:$B$1204,"&gt;="&amp;TodayDate-365),2))</f>
        <v>0</v>
      </c>
      <c r="AI465" s="26">
        <f>IF(B465="","",IF(T465=0,"",ROUND(AE465/T465,2)))</f>
        <v>0</v>
      </c>
      <c r="AJ465" s="26">
        <f>IF(B465="","",IF(AI465="","",IF(AC465="","",ROUND(AI465*(365/MAX(14,AC465)),2))))</f>
        <v>0</v>
      </c>
      <c r="AK465" s="26">
        <f>IF(B465="","",ROUND(SUMIFS(Sales!$AH$5:$AH$1204,Sales!$D$5:$D$1204,A465),2))</f>
        <v>0</v>
      </c>
      <c r="AL465" s="25">
        <f>IF(B465="","",IFERROR(INDEX(Loyalty!$P$5:$P$504,MATCH(A465,Loyalty!$B$5:$B$504,0))*1,0))</f>
        <v>0</v>
      </c>
      <c r="AM465" s="39">
        <f>IF(B465="","",IF(R465="Archived","Archived",IF(T465=0,"Not been yet",IF(Z465&gt;=InactiveDays,"Inactive",IF(Z465&gt;=LapsingDays,"Lapsing",IF(T465=1,"New",IF(AH465&gt;=VipSpend,"VIP",IF(U465&gt;=4,"Regular","Active"))))))))</f>
        <v>0</v>
      </c>
      <c r="AN465" s="38">
        <f>IF(B465="","",IF(T465&gt;=2,"Yes","No"))</f>
        <v>0</v>
      </c>
      <c r="AO465" s="25">
        <f>IF(B465="","",COUNTIFS($AE$5:$AE$504,"&gt;"&amp;AE465)+COUNTIFS($AE$5:AE465,AE465))</f>
        <v>0</v>
      </c>
      <c r="AP465" s="25">
        <f>IF(B465="","",COUNTIFS($T$5:$T$504,"&gt;"&amp;T465)+COUNTIFS($T$5:T465,T465))</f>
        <v>0</v>
      </c>
      <c r="AQ465" s="39">
        <f>IF(B465="","",IF(COUNTIF($B$5:$B$504,B465)&gt;1,"Duplicate - same name twice",IF(R465="Archived","",IF(AK465&gt;0.004,"Chase - balance outstanding",IF(AM465="Inactive","Gone - win-back offer",IF(AM465="Lapsing","Chase - lapsing, call them",IF(IF(N465="",FALSE,TodayDate-N465&gt;PatchTestDays),"Due - patch test out of date",IF(IF(AD465="",FALSE,IF(AB465&lt;&gt;"",FALSE,AD465&lt;=TodayDate+14)),"Rebook - due and nothing booked",IF(IF(K465="",FALSE,ABS(DATE(YEAR(TodayDate),MONTH(K465),DAY(K465))-TodayDate)&lt;=7),"Birthday - send the treat","OK")))))))))</f>
        <v>0</v>
      </c>
    </row>
    <row r="466" spans="1:43">
      <c r="A466" s="28">
        <f>IF(B466="","",ClientPrefix&amp;TEXT(ROW()-4,"0000"))</f>
        <v>0</v>
      </c>
      <c r="J466" s="15">
        <f>IF(I466="","",IFERROR(INDEX(Staff!$B$5:$B$44,MATCH(I466,Staff!$A$5:$A$44,0)),"Not in Staff"))</f>
        <v>0</v>
      </c>
      <c r="T466" s="25">
        <f>IF(B466="","",COUNTIFS(Appointments!$E$5:$E$1204,A466,Appointments!$M$5:$M$1204,"Completed"))</f>
        <v>0</v>
      </c>
      <c r="U466" s="25">
        <f>IF(B466="","",COUNTIFS(Appointments!$E$5:$E$1204,A466,Appointments!$M$5:$M$1204,"Completed",Appointments!$B$5:$B$1204,"&gt;="&amp;TodayDate-365))</f>
        <v>0</v>
      </c>
      <c r="V466" s="25">
        <f>IF(B466="","",COUNTIFS(Appointments!$E$5:$E$1204,A466,Appointments!$M$5:$M$1204,"Cancelled"))</f>
        <v>0</v>
      </c>
      <c r="W466" s="25">
        <f>IF(B466="","",COUNTIFS(Appointments!$E$5:$E$1204,A466,Appointments!$M$5:$M$1204,"No show"))</f>
        <v>0</v>
      </c>
      <c r="X466" s="17">
        <f>IF(B466="","",IF(F466&lt;&gt;"",F466,IF(T466=0,"",SUMPRODUCT(MIN((Appointments!$E$5:$E$1204=A466)*(Appointments!$M$5:$M$1204="Completed")*Appointments!$B$5:$B$1204+(1-(Appointments!$E$5:$E$1204=A466)*(Appointments!$M$5:$M$1204="Completed"))*2958465)))))</f>
        <v>0</v>
      </c>
      <c r="Y466" s="17">
        <f>IF(B466="","",IF(T466=0,"",SUMPRODUCT(MAX((Appointments!$E$5:$E$1204=A466)*(Appointments!$M$5:$M$1204="Completed")*Appointments!$B$5:$B$1204))))</f>
        <v>0</v>
      </c>
      <c r="Z466" s="25">
        <f>IF(B466="","",IF(Y466="","",TodayDate-Y466))</f>
        <v>0</v>
      </c>
      <c r="AA466" s="42">
        <f>IF(B466="","",SUMPRODUCT(MIN((Appointments!$E$5:$E$1204=A466)*(Appointments!$M$5:$M$1204&lt;&gt;"Cancelled")*(Appointments!$M$5:$M$1204&lt;&gt;"Completed")*(Appointments!$M$5:$M$1204&lt;&gt;"No show")*(Appointments!$B$5:$B$1204&gt;=TodayDate)*Appointments!$B$5:$B$1204+(1-(Appointments!$E$5:$E$1204=A466)*(Appointments!$M$5:$M$1204&lt;&gt;"Cancelled")*(Appointments!$M$5:$M$1204&lt;&gt;"Completed")*(Appointments!$M$5:$M$1204&lt;&gt;"No show")*(Appointments!$B$5:$B$1204&gt;=TodayDate))*2958465)))</f>
        <v>0</v>
      </c>
      <c r="AB466" s="17">
        <f>IF(B466="","",IF(AA466&gt;=2958465,"",AA466))</f>
        <v>0</v>
      </c>
      <c r="AC466" s="25">
        <f>IF(B466="","",IF(T466&lt;2,"",ROUND((Y466-X466)/MAX(1,T466-1),0)))</f>
        <v>0</v>
      </c>
      <c r="AD466" s="17">
        <f>IF(B466="","",IF(Y466="","",Y466+IF(AC466="",RebookWeeks*7,MAX(14,AC466))))</f>
        <v>0</v>
      </c>
      <c r="AE466" s="26">
        <f>IF(B466="","",ROUND(SUMIFS(Sales!$Y$5:$Y$1204,Sales!$D$5:$D$1204,A466),2))</f>
        <v>0</v>
      </c>
      <c r="AF466" s="26">
        <f>IF(B466="","",ROUND(SUMIFS(Sales!$Y$5:$Y$1204,Sales!$D$5:$D$1204,A466,Sales!$H$5:$H$1204,"Service"),2))</f>
        <v>0</v>
      </c>
      <c r="AG466" s="26">
        <f>IF(B466="","",ROUND(SUMIFS(Sales!$Y$5:$Y$1204,Sales!$D$5:$D$1204,A466,Sales!$H$5:$H$1204,"Retail"),2))</f>
        <v>0</v>
      </c>
      <c r="AH466" s="26">
        <f>IF(B466="","",ROUND(SUMIFS(Sales!$Y$5:$Y$1204,Sales!$D$5:$D$1204,A466,Sales!$B$5:$B$1204,"&gt;="&amp;TodayDate-365),2))</f>
        <v>0</v>
      </c>
      <c r="AI466" s="26">
        <f>IF(B466="","",IF(T466=0,"",ROUND(AE466/T466,2)))</f>
        <v>0</v>
      </c>
      <c r="AJ466" s="26">
        <f>IF(B466="","",IF(AI466="","",IF(AC466="","",ROUND(AI466*(365/MAX(14,AC466)),2))))</f>
        <v>0</v>
      </c>
      <c r="AK466" s="26">
        <f>IF(B466="","",ROUND(SUMIFS(Sales!$AH$5:$AH$1204,Sales!$D$5:$D$1204,A466),2))</f>
        <v>0</v>
      </c>
      <c r="AL466" s="25">
        <f>IF(B466="","",IFERROR(INDEX(Loyalty!$P$5:$P$504,MATCH(A466,Loyalty!$B$5:$B$504,0))*1,0))</f>
        <v>0</v>
      </c>
      <c r="AM466" s="39">
        <f>IF(B466="","",IF(R466="Archived","Archived",IF(T466=0,"Not been yet",IF(Z466&gt;=InactiveDays,"Inactive",IF(Z466&gt;=LapsingDays,"Lapsing",IF(T466=1,"New",IF(AH466&gt;=VipSpend,"VIP",IF(U466&gt;=4,"Regular","Active"))))))))</f>
        <v>0</v>
      </c>
      <c r="AN466" s="38">
        <f>IF(B466="","",IF(T466&gt;=2,"Yes","No"))</f>
        <v>0</v>
      </c>
      <c r="AO466" s="25">
        <f>IF(B466="","",COUNTIFS($AE$5:$AE$504,"&gt;"&amp;AE466)+COUNTIFS($AE$5:AE466,AE466))</f>
        <v>0</v>
      </c>
      <c r="AP466" s="25">
        <f>IF(B466="","",COUNTIFS($T$5:$T$504,"&gt;"&amp;T466)+COUNTIFS($T$5:T466,T466))</f>
        <v>0</v>
      </c>
      <c r="AQ466" s="39">
        <f>IF(B466="","",IF(COUNTIF($B$5:$B$504,B466)&gt;1,"Duplicate - same name twice",IF(R466="Archived","",IF(AK466&gt;0.004,"Chase - balance outstanding",IF(AM466="Inactive","Gone - win-back offer",IF(AM466="Lapsing","Chase - lapsing, call them",IF(IF(N466="",FALSE,TodayDate-N466&gt;PatchTestDays),"Due - patch test out of date",IF(IF(AD466="",FALSE,IF(AB466&lt;&gt;"",FALSE,AD466&lt;=TodayDate+14)),"Rebook - due and nothing booked",IF(IF(K466="",FALSE,ABS(DATE(YEAR(TodayDate),MONTH(K466),DAY(K466))-TodayDate)&lt;=7),"Birthday - send the treat","OK")))))))))</f>
        <v>0</v>
      </c>
    </row>
    <row r="467" spans="1:43">
      <c r="A467" s="28">
        <f>IF(B467="","",ClientPrefix&amp;TEXT(ROW()-4,"0000"))</f>
        <v>0</v>
      </c>
      <c r="J467" s="15">
        <f>IF(I467="","",IFERROR(INDEX(Staff!$B$5:$B$44,MATCH(I467,Staff!$A$5:$A$44,0)),"Not in Staff"))</f>
        <v>0</v>
      </c>
      <c r="T467" s="25">
        <f>IF(B467="","",COUNTIFS(Appointments!$E$5:$E$1204,A467,Appointments!$M$5:$M$1204,"Completed"))</f>
        <v>0</v>
      </c>
      <c r="U467" s="25">
        <f>IF(B467="","",COUNTIFS(Appointments!$E$5:$E$1204,A467,Appointments!$M$5:$M$1204,"Completed",Appointments!$B$5:$B$1204,"&gt;="&amp;TodayDate-365))</f>
        <v>0</v>
      </c>
      <c r="V467" s="25">
        <f>IF(B467="","",COUNTIFS(Appointments!$E$5:$E$1204,A467,Appointments!$M$5:$M$1204,"Cancelled"))</f>
        <v>0</v>
      </c>
      <c r="W467" s="25">
        <f>IF(B467="","",COUNTIFS(Appointments!$E$5:$E$1204,A467,Appointments!$M$5:$M$1204,"No show"))</f>
        <v>0</v>
      </c>
      <c r="X467" s="17">
        <f>IF(B467="","",IF(F467&lt;&gt;"",F467,IF(T467=0,"",SUMPRODUCT(MIN((Appointments!$E$5:$E$1204=A467)*(Appointments!$M$5:$M$1204="Completed")*Appointments!$B$5:$B$1204+(1-(Appointments!$E$5:$E$1204=A467)*(Appointments!$M$5:$M$1204="Completed"))*2958465)))))</f>
        <v>0</v>
      </c>
      <c r="Y467" s="17">
        <f>IF(B467="","",IF(T467=0,"",SUMPRODUCT(MAX((Appointments!$E$5:$E$1204=A467)*(Appointments!$M$5:$M$1204="Completed")*Appointments!$B$5:$B$1204))))</f>
        <v>0</v>
      </c>
      <c r="Z467" s="25">
        <f>IF(B467="","",IF(Y467="","",TodayDate-Y467))</f>
        <v>0</v>
      </c>
      <c r="AA467" s="42">
        <f>IF(B467="","",SUMPRODUCT(MIN((Appointments!$E$5:$E$1204=A467)*(Appointments!$M$5:$M$1204&lt;&gt;"Cancelled")*(Appointments!$M$5:$M$1204&lt;&gt;"Completed")*(Appointments!$M$5:$M$1204&lt;&gt;"No show")*(Appointments!$B$5:$B$1204&gt;=TodayDate)*Appointments!$B$5:$B$1204+(1-(Appointments!$E$5:$E$1204=A467)*(Appointments!$M$5:$M$1204&lt;&gt;"Cancelled")*(Appointments!$M$5:$M$1204&lt;&gt;"Completed")*(Appointments!$M$5:$M$1204&lt;&gt;"No show")*(Appointments!$B$5:$B$1204&gt;=TodayDate))*2958465)))</f>
        <v>0</v>
      </c>
      <c r="AB467" s="17">
        <f>IF(B467="","",IF(AA467&gt;=2958465,"",AA467))</f>
        <v>0</v>
      </c>
      <c r="AC467" s="25">
        <f>IF(B467="","",IF(T467&lt;2,"",ROUND((Y467-X467)/MAX(1,T467-1),0)))</f>
        <v>0</v>
      </c>
      <c r="AD467" s="17">
        <f>IF(B467="","",IF(Y467="","",Y467+IF(AC467="",RebookWeeks*7,MAX(14,AC467))))</f>
        <v>0</v>
      </c>
      <c r="AE467" s="26">
        <f>IF(B467="","",ROUND(SUMIFS(Sales!$Y$5:$Y$1204,Sales!$D$5:$D$1204,A467),2))</f>
        <v>0</v>
      </c>
      <c r="AF467" s="26">
        <f>IF(B467="","",ROUND(SUMIFS(Sales!$Y$5:$Y$1204,Sales!$D$5:$D$1204,A467,Sales!$H$5:$H$1204,"Service"),2))</f>
        <v>0</v>
      </c>
      <c r="AG467" s="26">
        <f>IF(B467="","",ROUND(SUMIFS(Sales!$Y$5:$Y$1204,Sales!$D$5:$D$1204,A467,Sales!$H$5:$H$1204,"Retail"),2))</f>
        <v>0</v>
      </c>
      <c r="AH467" s="26">
        <f>IF(B467="","",ROUND(SUMIFS(Sales!$Y$5:$Y$1204,Sales!$D$5:$D$1204,A467,Sales!$B$5:$B$1204,"&gt;="&amp;TodayDate-365),2))</f>
        <v>0</v>
      </c>
      <c r="AI467" s="26">
        <f>IF(B467="","",IF(T467=0,"",ROUND(AE467/T467,2)))</f>
        <v>0</v>
      </c>
      <c r="AJ467" s="26">
        <f>IF(B467="","",IF(AI467="","",IF(AC467="","",ROUND(AI467*(365/MAX(14,AC467)),2))))</f>
        <v>0</v>
      </c>
      <c r="AK467" s="26">
        <f>IF(B467="","",ROUND(SUMIFS(Sales!$AH$5:$AH$1204,Sales!$D$5:$D$1204,A467),2))</f>
        <v>0</v>
      </c>
      <c r="AL467" s="25">
        <f>IF(B467="","",IFERROR(INDEX(Loyalty!$P$5:$P$504,MATCH(A467,Loyalty!$B$5:$B$504,0))*1,0))</f>
        <v>0</v>
      </c>
      <c r="AM467" s="39">
        <f>IF(B467="","",IF(R467="Archived","Archived",IF(T467=0,"Not been yet",IF(Z467&gt;=InactiveDays,"Inactive",IF(Z467&gt;=LapsingDays,"Lapsing",IF(T467=1,"New",IF(AH467&gt;=VipSpend,"VIP",IF(U467&gt;=4,"Regular","Active"))))))))</f>
        <v>0</v>
      </c>
      <c r="AN467" s="38">
        <f>IF(B467="","",IF(T467&gt;=2,"Yes","No"))</f>
        <v>0</v>
      </c>
      <c r="AO467" s="25">
        <f>IF(B467="","",COUNTIFS($AE$5:$AE$504,"&gt;"&amp;AE467)+COUNTIFS($AE$5:AE467,AE467))</f>
        <v>0</v>
      </c>
      <c r="AP467" s="25">
        <f>IF(B467="","",COUNTIFS($T$5:$T$504,"&gt;"&amp;T467)+COUNTIFS($T$5:T467,T467))</f>
        <v>0</v>
      </c>
      <c r="AQ467" s="39">
        <f>IF(B467="","",IF(COUNTIF($B$5:$B$504,B467)&gt;1,"Duplicate - same name twice",IF(R467="Archived","",IF(AK467&gt;0.004,"Chase - balance outstanding",IF(AM467="Inactive","Gone - win-back offer",IF(AM467="Lapsing","Chase - lapsing, call them",IF(IF(N467="",FALSE,TodayDate-N467&gt;PatchTestDays),"Due - patch test out of date",IF(IF(AD467="",FALSE,IF(AB467&lt;&gt;"",FALSE,AD467&lt;=TodayDate+14)),"Rebook - due and nothing booked",IF(IF(K467="",FALSE,ABS(DATE(YEAR(TodayDate),MONTH(K467),DAY(K467))-TodayDate)&lt;=7),"Birthday - send the treat","OK")))))))))</f>
        <v>0</v>
      </c>
    </row>
    <row r="468" spans="1:43">
      <c r="A468" s="28">
        <f>IF(B468="","",ClientPrefix&amp;TEXT(ROW()-4,"0000"))</f>
        <v>0</v>
      </c>
      <c r="J468" s="15">
        <f>IF(I468="","",IFERROR(INDEX(Staff!$B$5:$B$44,MATCH(I468,Staff!$A$5:$A$44,0)),"Not in Staff"))</f>
        <v>0</v>
      </c>
      <c r="T468" s="25">
        <f>IF(B468="","",COUNTIFS(Appointments!$E$5:$E$1204,A468,Appointments!$M$5:$M$1204,"Completed"))</f>
        <v>0</v>
      </c>
      <c r="U468" s="25">
        <f>IF(B468="","",COUNTIFS(Appointments!$E$5:$E$1204,A468,Appointments!$M$5:$M$1204,"Completed",Appointments!$B$5:$B$1204,"&gt;="&amp;TodayDate-365))</f>
        <v>0</v>
      </c>
      <c r="V468" s="25">
        <f>IF(B468="","",COUNTIFS(Appointments!$E$5:$E$1204,A468,Appointments!$M$5:$M$1204,"Cancelled"))</f>
        <v>0</v>
      </c>
      <c r="W468" s="25">
        <f>IF(B468="","",COUNTIFS(Appointments!$E$5:$E$1204,A468,Appointments!$M$5:$M$1204,"No show"))</f>
        <v>0</v>
      </c>
      <c r="X468" s="17">
        <f>IF(B468="","",IF(F468&lt;&gt;"",F468,IF(T468=0,"",SUMPRODUCT(MIN((Appointments!$E$5:$E$1204=A468)*(Appointments!$M$5:$M$1204="Completed")*Appointments!$B$5:$B$1204+(1-(Appointments!$E$5:$E$1204=A468)*(Appointments!$M$5:$M$1204="Completed"))*2958465)))))</f>
        <v>0</v>
      </c>
      <c r="Y468" s="17">
        <f>IF(B468="","",IF(T468=0,"",SUMPRODUCT(MAX((Appointments!$E$5:$E$1204=A468)*(Appointments!$M$5:$M$1204="Completed")*Appointments!$B$5:$B$1204))))</f>
        <v>0</v>
      </c>
      <c r="Z468" s="25">
        <f>IF(B468="","",IF(Y468="","",TodayDate-Y468))</f>
        <v>0</v>
      </c>
      <c r="AA468" s="42">
        <f>IF(B468="","",SUMPRODUCT(MIN((Appointments!$E$5:$E$1204=A468)*(Appointments!$M$5:$M$1204&lt;&gt;"Cancelled")*(Appointments!$M$5:$M$1204&lt;&gt;"Completed")*(Appointments!$M$5:$M$1204&lt;&gt;"No show")*(Appointments!$B$5:$B$1204&gt;=TodayDate)*Appointments!$B$5:$B$1204+(1-(Appointments!$E$5:$E$1204=A468)*(Appointments!$M$5:$M$1204&lt;&gt;"Cancelled")*(Appointments!$M$5:$M$1204&lt;&gt;"Completed")*(Appointments!$M$5:$M$1204&lt;&gt;"No show")*(Appointments!$B$5:$B$1204&gt;=TodayDate))*2958465)))</f>
        <v>0</v>
      </c>
      <c r="AB468" s="17">
        <f>IF(B468="","",IF(AA468&gt;=2958465,"",AA468))</f>
        <v>0</v>
      </c>
      <c r="AC468" s="25">
        <f>IF(B468="","",IF(T468&lt;2,"",ROUND((Y468-X468)/MAX(1,T468-1),0)))</f>
        <v>0</v>
      </c>
      <c r="AD468" s="17">
        <f>IF(B468="","",IF(Y468="","",Y468+IF(AC468="",RebookWeeks*7,MAX(14,AC468))))</f>
        <v>0</v>
      </c>
      <c r="AE468" s="26">
        <f>IF(B468="","",ROUND(SUMIFS(Sales!$Y$5:$Y$1204,Sales!$D$5:$D$1204,A468),2))</f>
        <v>0</v>
      </c>
      <c r="AF468" s="26">
        <f>IF(B468="","",ROUND(SUMIFS(Sales!$Y$5:$Y$1204,Sales!$D$5:$D$1204,A468,Sales!$H$5:$H$1204,"Service"),2))</f>
        <v>0</v>
      </c>
      <c r="AG468" s="26">
        <f>IF(B468="","",ROUND(SUMIFS(Sales!$Y$5:$Y$1204,Sales!$D$5:$D$1204,A468,Sales!$H$5:$H$1204,"Retail"),2))</f>
        <v>0</v>
      </c>
      <c r="AH468" s="26">
        <f>IF(B468="","",ROUND(SUMIFS(Sales!$Y$5:$Y$1204,Sales!$D$5:$D$1204,A468,Sales!$B$5:$B$1204,"&gt;="&amp;TodayDate-365),2))</f>
        <v>0</v>
      </c>
      <c r="AI468" s="26">
        <f>IF(B468="","",IF(T468=0,"",ROUND(AE468/T468,2)))</f>
        <v>0</v>
      </c>
      <c r="AJ468" s="26">
        <f>IF(B468="","",IF(AI468="","",IF(AC468="","",ROUND(AI468*(365/MAX(14,AC468)),2))))</f>
        <v>0</v>
      </c>
      <c r="AK468" s="26">
        <f>IF(B468="","",ROUND(SUMIFS(Sales!$AH$5:$AH$1204,Sales!$D$5:$D$1204,A468),2))</f>
        <v>0</v>
      </c>
      <c r="AL468" s="25">
        <f>IF(B468="","",IFERROR(INDEX(Loyalty!$P$5:$P$504,MATCH(A468,Loyalty!$B$5:$B$504,0))*1,0))</f>
        <v>0</v>
      </c>
      <c r="AM468" s="39">
        <f>IF(B468="","",IF(R468="Archived","Archived",IF(T468=0,"Not been yet",IF(Z468&gt;=InactiveDays,"Inactive",IF(Z468&gt;=LapsingDays,"Lapsing",IF(T468=1,"New",IF(AH468&gt;=VipSpend,"VIP",IF(U468&gt;=4,"Regular","Active"))))))))</f>
        <v>0</v>
      </c>
      <c r="AN468" s="38">
        <f>IF(B468="","",IF(T468&gt;=2,"Yes","No"))</f>
        <v>0</v>
      </c>
      <c r="AO468" s="25">
        <f>IF(B468="","",COUNTIFS($AE$5:$AE$504,"&gt;"&amp;AE468)+COUNTIFS($AE$5:AE468,AE468))</f>
        <v>0</v>
      </c>
      <c r="AP468" s="25">
        <f>IF(B468="","",COUNTIFS($T$5:$T$504,"&gt;"&amp;T468)+COUNTIFS($T$5:T468,T468))</f>
        <v>0</v>
      </c>
      <c r="AQ468" s="39">
        <f>IF(B468="","",IF(COUNTIF($B$5:$B$504,B468)&gt;1,"Duplicate - same name twice",IF(R468="Archived","",IF(AK468&gt;0.004,"Chase - balance outstanding",IF(AM468="Inactive","Gone - win-back offer",IF(AM468="Lapsing","Chase - lapsing, call them",IF(IF(N468="",FALSE,TodayDate-N468&gt;PatchTestDays),"Due - patch test out of date",IF(IF(AD468="",FALSE,IF(AB468&lt;&gt;"",FALSE,AD468&lt;=TodayDate+14)),"Rebook - due and nothing booked",IF(IF(K468="",FALSE,ABS(DATE(YEAR(TodayDate),MONTH(K468),DAY(K468))-TodayDate)&lt;=7),"Birthday - send the treat","OK")))))))))</f>
        <v>0</v>
      </c>
    </row>
    <row r="469" spans="1:43">
      <c r="A469" s="28">
        <f>IF(B469="","",ClientPrefix&amp;TEXT(ROW()-4,"0000"))</f>
        <v>0</v>
      </c>
      <c r="J469" s="15">
        <f>IF(I469="","",IFERROR(INDEX(Staff!$B$5:$B$44,MATCH(I469,Staff!$A$5:$A$44,0)),"Not in Staff"))</f>
        <v>0</v>
      </c>
      <c r="T469" s="25">
        <f>IF(B469="","",COUNTIFS(Appointments!$E$5:$E$1204,A469,Appointments!$M$5:$M$1204,"Completed"))</f>
        <v>0</v>
      </c>
      <c r="U469" s="25">
        <f>IF(B469="","",COUNTIFS(Appointments!$E$5:$E$1204,A469,Appointments!$M$5:$M$1204,"Completed",Appointments!$B$5:$B$1204,"&gt;="&amp;TodayDate-365))</f>
        <v>0</v>
      </c>
      <c r="V469" s="25">
        <f>IF(B469="","",COUNTIFS(Appointments!$E$5:$E$1204,A469,Appointments!$M$5:$M$1204,"Cancelled"))</f>
        <v>0</v>
      </c>
      <c r="W469" s="25">
        <f>IF(B469="","",COUNTIFS(Appointments!$E$5:$E$1204,A469,Appointments!$M$5:$M$1204,"No show"))</f>
        <v>0</v>
      </c>
      <c r="X469" s="17">
        <f>IF(B469="","",IF(F469&lt;&gt;"",F469,IF(T469=0,"",SUMPRODUCT(MIN((Appointments!$E$5:$E$1204=A469)*(Appointments!$M$5:$M$1204="Completed")*Appointments!$B$5:$B$1204+(1-(Appointments!$E$5:$E$1204=A469)*(Appointments!$M$5:$M$1204="Completed"))*2958465)))))</f>
        <v>0</v>
      </c>
      <c r="Y469" s="17">
        <f>IF(B469="","",IF(T469=0,"",SUMPRODUCT(MAX((Appointments!$E$5:$E$1204=A469)*(Appointments!$M$5:$M$1204="Completed")*Appointments!$B$5:$B$1204))))</f>
        <v>0</v>
      </c>
      <c r="Z469" s="25">
        <f>IF(B469="","",IF(Y469="","",TodayDate-Y469))</f>
        <v>0</v>
      </c>
      <c r="AA469" s="42">
        <f>IF(B469="","",SUMPRODUCT(MIN((Appointments!$E$5:$E$1204=A469)*(Appointments!$M$5:$M$1204&lt;&gt;"Cancelled")*(Appointments!$M$5:$M$1204&lt;&gt;"Completed")*(Appointments!$M$5:$M$1204&lt;&gt;"No show")*(Appointments!$B$5:$B$1204&gt;=TodayDate)*Appointments!$B$5:$B$1204+(1-(Appointments!$E$5:$E$1204=A469)*(Appointments!$M$5:$M$1204&lt;&gt;"Cancelled")*(Appointments!$M$5:$M$1204&lt;&gt;"Completed")*(Appointments!$M$5:$M$1204&lt;&gt;"No show")*(Appointments!$B$5:$B$1204&gt;=TodayDate))*2958465)))</f>
        <v>0</v>
      </c>
      <c r="AB469" s="17">
        <f>IF(B469="","",IF(AA469&gt;=2958465,"",AA469))</f>
        <v>0</v>
      </c>
      <c r="AC469" s="25">
        <f>IF(B469="","",IF(T469&lt;2,"",ROUND((Y469-X469)/MAX(1,T469-1),0)))</f>
        <v>0</v>
      </c>
      <c r="AD469" s="17">
        <f>IF(B469="","",IF(Y469="","",Y469+IF(AC469="",RebookWeeks*7,MAX(14,AC469))))</f>
        <v>0</v>
      </c>
      <c r="AE469" s="26">
        <f>IF(B469="","",ROUND(SUMIFS(Sales!$Y$5:$Y$1204,Sales!$D$5:$D$1204,A469),2))</f>
        <v>0</v>
      </c>
      <c r="AF469" s="26">
        <f>IF(B469="","",ROUND(SUMIFS(Sales!$Y$5:$Y$1204,Sales!$D$5:$D$1204,A469,Sales!$H$5:$H$1204,"Service"),2))</f>
        <v>0</v>
      </c>
      <c r="AG469" s="26">
        <f>IF(B469="","",ROUND(SUMIFS(Sales!$Y$5:$Y$1204,Sales!$D$5:$D$1204,A469,Sales!$H$5:$H$1204,"Retail"),2))</f>
        <v>0</v>
      </c>
      <c r="AH469" s="26">
        <f>IF(B469="","",ROUND(SUMIFS(Sales!$Y$5:$Y$1204,Sales!$D$5:$D$1204,A469,Sales!$B$5:$B$1204,"&gt;="&amp;TodayDate-365),2))</f>
        <v>0</v>
      </c>
      <c r="AI469" s="26">
        <f>IF(B469="","",IF(T469=0,"",ROUND(AE469/T469,2)))</f>
        <v>0</v>
      </c>
      <c r="AJ469" s="26">
        <f>IF(B469="","",IF(AI469="","",IF(AC469="","",ROUND(AI469*(365/MAX(14,AC469)),2))))</f>
        <v>0</v>
      </c>
      <c r="AK469" s="26">
        <f>IF(B469="","",ROUND(SUMIFS(Sales!$AH$5:$AH$1204,Sales!$D$5:$D$1204,A469),2))</f>
        <v>0</v>
      </c>
      <c r="AL469" s="25">
        <f>IF(B469="","",IFERROR(INDEX(Loyalty!$P$5:$P$504,MATCH(A469,Loyalty!$B$5:$B$504,0))*1,0))</f>
        <v>0</v>
      </c>
      <c r="AM469" s="39">
        <f>IF(B469="","",IF(R469="Archived","Archived",IF(T469=0,"Not been yet",IF(Z469&gt;=InactiveDays,"Inactive",IF(Z469&gt;=LapsingDays,"Lapsing",IF(T469=1,"New",IF(AH469&gt;=VipSpend,"VIP",IF(U469&gt;=4,"Regular","Active"))))))))</f>
        <v>0</v>
      </c>
      <c r="AN469" s="38">
        <f>IF(B469="","",IF(T469&gt;=2,"Yes","No"))</f>
        <v>0</v>
      </c>
      <c r="AO469" s="25">
        <f>IF(B469="","",COUNTIFS($AE$5:$AE$504,"&gt;"&amp;AE469)+COUNTIFS($AE$5:AE469,AE469))</f>
        <v>0</v>
      </c>
      <c r="AP469" s="25">
        <f>IF(B469="","",COUNTIFS($T$5:$T$504,"&gt;"&amp;T469)+COUNTIFS($T$5:T469,T469))</f>
        <v>0</v>
      </c>
      <c r="AQ469" s="39">
        <f>IF(B469="","",IF(COUNTIF($B$5:$B$504,B469)&gt;1,"Duplicate - same name twice",IF(R469="Archived","",IF(AK469&gt;0.004,"Chase - balance outstanding",IF(AM469="Inactive","Gone - win-back offer",IF(AM469="Lapsing","Chase - lapsing, call them",IF(IF(N469="",FALSE,TodayDate-N469&gt;PatchTestDays),"Due - patch test out of date",IF(IF(AD469="",FALSE,IF(AB469&lt;&gt;"",FALSE,AD469&lt;=TodayDate+14)),"Rebook - due and nothing booked",IF(IF(K469="",FALSE,ABS(DATE(YEAR(TodayDate),MONTH(K469),DAY(K469))-TodayDate)&lt;=7),"Birthday - send the treat","OK")))))))))</f>
        <v>0</v>
      </c>
    </row>
    <row r="470" spans="1:43">
      <c r="A470" s="28">
        <f>IF(B470="","",ClientPrefix&amp;TEXT(ROW()-4,"0000"))</f>
        <v>0</v>
      </c>
      <c r="J470" s="15">
        <f>IF(I470="","",IFERROR(INDEX(Staff!$B$5:$B$44,MATCH(I470,Staff!$A$5:$A$44,0)),"Not in Staff"))</f>
        <v>0</v>
      </c>
      <c r="T470" s="25">
        <f>IF(B470="","",COUNTIFS(Appointments!$E$5:$E$1204,A470,Appointments!$M$5:$M$1204,"Completed"))</f>
        <v>0</v>
      </c>
      <c r="U470" s="25">
        <f>IF(B470="","",COUNTIFS(Appointments!$E$5:$E$1204,A470,Appointments!$M$5:$M$1204,"Completed",Appointments!$B$5:$B$1204,"&gt;="&amp;TodayDate-365))</f>
        <v>0</v>
      </c>
      <c r="V470" s="25">
        <f>IF(B470="","",COUNTIFS(Appointments!$E$5:$E$1204,A470,Appointments!$M$5:$M$1204,"Cancelled"))</f>
        <v>0</v>
      </c>
      <c r="W470" s="25">
        <f>IF(B470="","",COUNTIFS(Appointments!$E$5:$E$1204,A470,Appointments!$M$5:$M$1204,"No show"))</f>
        <v>0</v>
      </c>
      <c r="X470" s="17">
        <f>IF(B470="","",IF(F470&lt;&gt;"",F470,IF(T470=0,"",SUMPRODUCT(MIN((Appointments!$E$5:$E$1204=A470)*(Appointments!$M$5:$M$1204="Completed")*Appointments!$B$5:$B$1204+(1-(Appointments!$E$5:$E$1204=A470)*(Appointments!$M$5:$M$1204="Completed"))*2958465)))))</f>
        <v>0</v>
      </c>
      <c r="Y470" s="17">
        <f>IF(B470="","",IF(T470=0,"",SUMPRODUCT(MAX((Appointments!$E$5:$E$1204=A470)*(Appointments!$M$5:$M$1204="Completed")*Appointments!$B$5:$B$1204))))</f>
        <v>0</v>
      </c>
      <c r="Z470" s="25">
        <f>IF(B470="","",IF(Y470="","",TodayDate-Y470))</f>
        <v>0</v>
      </c>
      <c r="AA470" s="42">
        <f>IF(B470="","",SUMPRODUCT(MIN((Appointments!$E$5:$E$1204=A470)*(Appointments!$M$5:$M$1204&lt;&gt;"Cancelled")*(Appointments!$M$5:$M$1204&lt;&gt;"Completed")*(Appointments!$M$5:$M$1204&lt;&gt;"No show")*(Appointments!$B$5:$B$1204&gt;=TodayDate)*Appointments!$B$5:$B$1204+(1-(Appointments!$E$5:$E$1204=A470)*(Appointments!$M$5:$M$1204&lt;&gt;"Cancelled")*(Appointments!$M$5:$M$1204&lt;&gt;"Completed")*(Appointments!$M$5:$M$1204&lt;&gt;"No show")*(Appointments!$B$5:$B$1204&gt;=TodayDate))*2958465)))</f>
        <v>0</v>
      </c>
      <c r="AB470" s="17">
        <f>IF(B470="","",IF(AA470&gt;=2958465,"",AA470))</f>
        <v>0</v>
      </c>
      <c r="AC470" s="25">
        <f>IF(B470="","",IF(T470&lt;2,"",ROUND((Y470-X470)/MAX(1,T470-1),0)))</f>
        <v>0</v>
      </c>
      <c r="AD470" s="17">
        <f>IF(B470="","",IF(Y470="","",Y470+IF(AC470="",RebookWeeks*7,MAX(14,AC470))))</f>
        <v>0</v>
      </c>
      <c r="AE470" s="26">
        <f>IF(B470="","",ROUND(SUMIFS(Sales!$Y$5:$Y$1204,Sales!$D$5:$D$1204,A470),2))</f>
        <v>0</v>
      </c>
      <c r="AF470" s="26">
        <f>IF(B470="","",ROUND(SUMIFS(Sales!$Y$5:$Y$1204,Sales!$D$5:$D$1204,A470,Sales!$H$5:$H$1204,"Service"),2))</f>
        <v>0</v>
      </c>
      <c r="AG470" s="26">
        <f>IF(B470="","",ROUND(SUMIFS(Sales!$Y$5:$Y$1204,Sales!$D$5:$D$1204,A470,Sales!$H$5:$H$1204,"Retail"),2))</f>
        <v>0</v>
      </c>
      <c r="AH470" s="26">
        <f>IF(B470="","",ROUND(SUMIFS(Sales!$Y$5:$Y$1204,Sales!$D$5:$D$1204,A470,Sales!$B$5:$B$1204,"&gt;="&amp;TodayDate-365),2))</f>
        <v>0</v>
      </c>
      <c r="AI470" s="26">
        <f>IF(B470="","",IF(T470=0,"",ROUND(AE470/T470,2)))</f>
        <v>0</v>
      </c>
      <c r="AJ470" s="26">
        <f>IF(B470="","",IF(AI470="","",IF(AC470="","",ROUND(AI470*(365/MAX(14,AC470)),2))))</f>
        <v>0</v>
      </c>
      <c r="AK470" s="26">
        <f>IF(B470="","",ROUND(SUMIFS(Sales!$AH$5:$AH$1204,Sales!$D$5:$D$1204,A470),2))</f>
        <v>0</v>
      </c>
      <c r="AL470" s="25">
        <f>IF(B470="","",IFERROR(INDEX(Loyalty!$P$5:$P$504,MATCH(A470,Loyalty!$B$5:$B$504,0))*1,0))</f>
        <v>0</v>
      </c>
      <c r="AM470" s="39">
        <f>IF(B470="","",IF(R470="Archived","Archived",IF(T470=0,"Not been yet",IF(Z470&gt;=InactiveDays,"Inactive",IF(Z470&gt;=LapsingDays,"Lapsing",IF(T470=1,"New",IF(AH470&gt;=VipSpend,"VIP",IF(U470&gt;=4,"Regular","Active"))))))))</f>
        <v>0</v>
      </c>
      <c r="AN470" s="38">
        <f>IF(B470="","",IF(T470&gt;=2,"Yes","No"))</f>
        <v>0</v>
      </c>
      <c r="AO470" s="25">
        <f>IF(B470="","",COUNTIFS($AE$5:$AE$504,"&gt;"&amp;AE470)+COUNTIFS($AE$5:AE470,AE470))</f>
        <v>0</v>
      </c>
      <c r="AP470" s="25">
        <f>IF(B470="","",COUNTIFS($T$5:$T$504,"&gt;"&amp;T470)+COUNTIFS($T$5:T470,T470))</f>
        <v>0</v>
      </c>
      <c r="AQ470" s="39">
        <f>IF(B470="","",IF(COUNTIF($B$5:$B$504,B470)&gt;1,"Duplicate - same name twice",IF(R470="Archived","",IF(AK470&gt;0.004,"Chase - balance outstanding",IF(AM470="Inactive","Gone - win-back offer",IF(AM470="Lapsing","Chase - lapsing, call them",IF(IF(N470="",FALSE,TodayDate-N470&gt;PatchTestDays),"Due - patch test out of date",IF(IF(AD470="",FALSE,IF(AB470&lt;&gt;"",FALSE,AD470&lt;=TodayDate+14)),"Rebook - due and nothing booked",IF(IF(K470="",FALSE,ABS(DATE(YEAR(TodayDate),MONTH(K470),DAY(K470))-TodayDate)&lt;=7),"Birthday - send the treat","OK")))))))))</f>
        <v>0</v>
      </c>
    </row>
    <row r="471" spans="1:43">
      <c r="A471" s="28">
        <f>IF(B471="","",ClientPrefix&amp;TEXT(ROW()-4,"0000"))</f>
        <v>0</v>
      </c>
      <c r="J471" s="15">
        <f>IF(I471="","",IFERROR(INDEX(Staff!$B$5:$B$44,MATCH(I471,Staff!$A$5:$A$44,0)),"Not in Staff"))</f>
        <v>0</v>
      </c>
      <c r="T471" s="25">
        <f>IF(B471="","",COUNTIFS(Appointments!$E$5:$E$1204,A471,Appointments!$M$5:$M$1204,"Completed"))</f>
        <v>0</v>
      </c>
      <c r="U471" s="25">
        <f>IF(B471="","",COUNTIFS(Appointments!$E$5:$E$1204,A471,Appointments!$M$5:$M$1204,"Completed",Appointments!$B$5:$B$1204,"&gt;="&amp;TodayDate-365))</f>
        <v>0</v>
      </c>
      <c r="V471" s="25">
        <f>IF(B471="","",COUNTIFS(Appointments!$E$5:$E$1204,A471,Appointments!$M$5:$M$1204,"Cancelled"))</f>
        <v>0</v>
      </c>
      <c r="W471" s="25">
        <f>IF(B471="","",COUNTIFS(Appointments!$E$5:$E$1204,A471,Appointments!$M$5:$M$1204,"No show"))</f>
        <v>0</v>
      </c>
      <c r="X471" s="17">
        <f>IF(B471="","",IF(F471&lt;&gt;"",F471,IF(T471=0,"",SUMPRODUCT(MIN((Appointments!$E$5:$E$1204=A471)*(Appointments!$M$5:$M$1204="Completed")*Appointments!$B$5:$B$1204+(1-(Appointments!$E$5:$E$1204=A471)*(Appointments!$M$5:$M$1204="Completed"))*2958465)))))</f>
        <v>0</v>
      </c>
      <c r="Y471" s="17">
        <f>IF(B471="","",IF(T471=0,"",SUMPRODUCT(MAX((Appointments!$E$5:$E$1204=A471)*(Appointments!$M$5:$M$1204="Completed")*Appointments!$B$5:$B$1204))))</f>
        <v>0</v>
      </c>
      <c r="Z471" s="25">
        <f>IF(B471="","",IF(Y471="","",TodayDate-Y471))</f>
        <v>0</v>
      </c>
      <c r="AA471" s="42">
        <f>IF(B471="","",SUMPRODUCT(MIN((Appointments!$E$5:$E$1204=A471)*(Appointments!$M$5:$M$1204&lt;&gt;"Cancelled")*(Appointments!$M$5:$M$1204&lt;&gt;"Completed")*(Appointments!$M$5:$M$1204&lt;&gt;"No show")*(Appointments!$B$5:$B$1204&gt;=TodayDate)*Appointments!$B$5:$B$1204+(1-(Appointments!$E$5:$E$1204=A471)*(Appointments!$M$5:$M$1204&lt;&gt;"Cancelled")*(Appointments!$M$5:$M$1204&lt;&gt;"Completed")*(Appointments!$M$5:$M$1204&lt;&gt;"No show")*(Appointments!$B$5:$B$1204&gt;=TodayDate))*2958465)))</f>
        <v>0</v>
      </c>
      <c r="AB471" s="17">
        <f>IF(B471="","",IF(AA471&gt;=2958465,"",AA471))</f>
        <v>0</v>
      </c>
      <c r="AC471" s="25">
        <f>IF(B471="","",IF(T471&lt;2,"",ROUND((Y471-X471)/MAX(1,T471-1),0)))</f>
        <v>0</v>
      </c>
      <c r="AD471" s="17">
        <f>IF(B471="","",IF(Y471="","",Y471+IF(AC471="",RebookWeeks*7,MAX(14,AC471))))</f>
        <v>0</v>
      </c>
      <c r="AE471" s="26">
        <f>IF(B471="","",ROUND(SUMIFS(Sales!$Y$5:$Y$1204,Sales!$D$5:$D$1204,A471),2))</f>
        <v>0</v>
      </c>
      <c r="AF471" s="26">
        <f>IF(B471="","",ROUND(SUMIFS(Sales!$Y$5:$Y$1204,Sales!$D$5:$D$1204,A471,Sales!$H$5:$H$1204,"Service"),2))</f>
        <v>0</v>
      </c>
      <c r="AG471" s="26">
        <f>IF(B471="","",ROUND(SUMIFS(Sales!$Y$5:$Y$1204,Sales!$D$5:$D$1204,A471,Sales!$H$5:$H$1204,"Retail"),2))</f>
        <v>0</v>
      </c>
      <c r="AH471" s="26">
        <f>IF(B471="","",ROUND(SUMIFS(Sales!$Y$5:$Y$1204,Sales!$D$5:$D$1204,A471,Sales!$B$5:$B$1204,"&gt;="&amp;TodayDate-365),2))</f>
        <v>0</v>
      </c>
      <c r="AI471" s="26">
        <f>IF(B471="","",IF(T471=0,"",ROUND(AE471/T471,2)))</f>
        <v>0</v>
      </c>
      <c r="AJ471" s="26">
        <f>IF(B471="","",IF(AI471="","",IF(AC471="","",ROUND(AI471*(365/MAX(14,AC471)),2))))</f>
        <v>0</v>
      </c>
      <c r="AK471" s="26">
        <f>IF(B471="","",ROUND(SUMIFS(Sales!$AH$5:$AH$1204,Sales!$D$5:$D$1204,A471),2))</f>
        <v>0</v>
      </c>
      <c r="AL471" s="25">
        <f>IF(B471="","",IFERROR(INDEX(Loyalty!$P$5:$P$504,MATCH(A471,Loyalty!$B$5:$B$504,0))*1,0))</f>
        <v>0</v>
      </c>
      <c r="AM471" s="39">
        <f>IF(B471="","",IF(R471="Archived","Archived",IF(T471=0,"Not been yet",IF(Z471&gt;=InactiveDays,"Inactive",IF(Z471&gt;=LapsingDays,"Lapsing",IF(T471=1,"New",IF(AH471&gt;=VipSpend,"VIP",IF(U471&gt;=4,"Regular","Active"))))))))</f>
        <v>0</v>
      </c>
      <c r="AN471" s="38">
        <f>IF(B471="","",IF(T471&gt;=2,"Yes","No"))</f>
        <v>0</v>
      </c>
      <c r="AO471" s="25">
        <f>IF(B471="","",COUNTIFS($AE$5:$AE$504,"&gt;"&amp;AE471)+COUNTIFS($AE$5:AE471,AE471))</f>
        <v>0</v>
      </c>
      <c r="AP471" s="25">
        <f>IF(B471="","",COUNTIFS($T$5:$T$504,"&gt;"&amp;T471)+COUNTIFS($T$5:T471,T471))</f>
        <v>0</v>
      </c>
      <c r="AQ471" s="39">
        <f>IF(B471="","",IF(COUNTIF($B$5:$B$504,B471)&gt;1,"Duplicate - same name twice",IF(R471="Archived","",IF(AK471&gt;0.004,"Chase - balance outstanding",IF(AM471="Inactive","Gone - win-back offer",IF(AM471="Lapsing","Chase - lapsing, call them",IF(IF(N471="",FALSE,TodayDate-N471&gt;PatchTestDays),"Due - patch test out of date",IF(IF(AD471="",FALSE,IF(AB471&lt;&gt;"",FALSE,AD471&lt;=TodayDate+14)),"Rebook - due and nothing booked",IF(IF(K471="",FALSE,ABS(DATE(YEAR(TodayDate),MONTH(K471),DAY(K471))-TodayDate)&lt;=7),"Birthday - send the treat","OK")))))))))</f>
        <v>0</v>
      </c>
    </row>
    <row r="472" spans="1:43">
      <c r="A472" s="28">
        <f>IF(B472="","",ClientPrefix&amp;TEXT(ROW()-4,"0000"))</f>
        <v>0</v>
      </c>
      <c r="J472" s="15">
        <f>IF(I472="","",IFERROR(INDEX(Staff!$B$5:$B$44,MATCH(I472,Staff!$A$5:$A$44,0)),"Not in Staff"))</f>
        <v>0</v>
      </c>
      <c r="T472" s="25">
        <f>IF(B472="","",COUNTIFS(Appointments!$E$5:$E$1204,A472,Appointments!$M$5:$M$1204,"Completed"))</f>
        <v>0</v>
      </c>
      <c r="U472" s="25">
        <f>IF(B472="","",COUNTIFS(Appointments!$E$5:$E$1204,A472,Appointments!$M$5:$M$1204,"Completed",Appointments!$B$5:$B$1204,"&gt;="&amp;TodayDate-365))</f>
        <v>0</v>
      </c>
      <c r="V472" s="25">
        <f>IF(B472="","",COUNTIFS(Appointments!$E$5:$E$1204,A472,Appointments!$M$5:$M$1204,"Cancelled"))</f>
        <v>0</v>
      </c>
      <c r="W472" s="25">
        <f>IF(B472="","",COUNTIFS(Appointments!$E$5:$E$1204,A472,Appointments!$M$5:$M$1204,"No show"))</f>
        <v>0</v>
      </c>
      <c r="X472" s="17">
        <f>IF(B472="","",IF(F472&lt;&gt;"",F472,IF(T472=0,"",SUMPRODUCT(MIN((Appointments!$E$5:$E$1204=A472)*(Appointments!$M$5:$M$1204="Completed")*Appointments!$B$5:$B$1204+(1-(Appointments!$E$5:$E$1204=A472)*(Appointments!$M$5:$M$1204="Completed"))*2958465)))))</f>
        <v>0</v>
      </c>
      <c r="Y472" s="17">
        <f>IF(B472="","",IF(T472=0,"",SUMPRODUCT(MAX((Appointments!$E$5:$E$1204=A472)*(Appointments!$M$5:$M$1204="Completed")*Appointments!$B$5:$B$1204))))</f>
        <v>0</v>
      </c>
      <c r="Z472" s="25">
        <f>IF(B472="","",IF(Y472="","",TodayDate-Y472))</f>
        <v>0</v>
      </c>
      <c r="AA472" s="42">
        <f>IF(B472="","",SUMPRODUCT(MIN((Appointments!$E$5:$E$1204=A472)*(Appointments!$M$5:$M$1204&lt;&gt;"Cancelled")*(Appointments!$M$5:$M$1204&lt;&gt;"Completed")*(Appointments!$M$5:$M$1204&lt;&gt;"No show")*(Appointments!$B$5:$B$1204&gt;=TodayDate)*Appointments!$B$5:$B$1204+(1-(Appointments!$E$5:$E$1204=A472)*(Appointments!$M$5:$M$1204&lt;&gt;"Cancelled")*(Appointments!$M$5:$M$1204&lt;&gt;"Completed")*(Appointments!$M$5:$M$1204&lt;&gt;"No show")*(Appointments!$B$5:$B$1204&gt;=TodayDate))*2958465)))</f>
        <v>0</v>
      </c>
      <c r="AB472" s="17">
        <f>IF(B472="","",IF(AA472&gt;=2958465,"",AA472))</f>
        <v>0</v>
      </c>
      <c r="AC472" s="25">
        <f>IF(B472="","",IF(T472&lt;2,"",ROUND((Y472-X472)/MAX(1,T472-1),0)))</f>
        <v>0</v>
      </c>
      <c r="AD472" s="17">
        <f>IF(B472="","",IF(Y472="","",Y472+IF(AC472="",RebookWeeks*7,MAX(14,AC472))))</f>
        <v>0</v>
      </c>
      <c r="AE472" s="26">
        <f>IF(B472="","",ROUND(SUMIFS(Sales!$Y$5:$Y$1204,Sales!$D$5:$D$1204,A472),2))</f>
        <v>0</v>
      </c>
      <c r="AF472" s="26">
        <f>IF(B472="","",ROUND(SUMIFS(Sales!$Y$5:$Y$1204,Sales!$D$5:$D$1204,A472,Sales!$H$5:$H$1204,"Service"),2))</f>
        <v>0</v>
      </c>
      <c r="AG472" s="26">
        <f>IF(B472="","",ROUND(SUMIFS(Sales!$Y$5:$Y$1204,Sales!$D$5:$D$1204,A472,Sales!$H$5:$H$1204,"Retail"),2))</f>
        <v>0</v>
      </c>
      <c r="AH472" s="26">
        <f>IF(B472="","",ROUND(SUMIFS(Sales!$Y$5:$Y$1204,Sales!$D$5:$D$1204,A472,Sales!$B$5:$B$1204,"&gt;="&amp;TodayDate-365),2))</f>
        <v>0</v>
      </c>
      <c r="AI472" s="26">
        <f>IF(B472="","",IF(T472=0,"",ROUND(AE472/T472,2)))</f>
        <v>0</v>
      </c>
      <c r="AJ472" s="26">
        <f>IF(B472="","",IF(AI472="","",IF(AC472="","",ROUND(AI472*(365/MAX(14,AC472)),2))))</f>
        <v>0</v>
      </c>
      <c r="AK472" s="26">
        <f>IF(B472="","",ROUND(SUMIFS(Sales!$AH$5:$AH$1204,Sales!$D$5:$D$1204,A472),2))</f>
        <v>0</v>
      </c>
      <c r="AL472" s="25">
        <f>IF(B472="","",IFERROR(INDEX(Loyalty!$P$5:$P$504,MATCH(A472,Loyalty!$B$5:$B$504,0))*1,0))</f>
        <v>0</v>
      </c>
      <c r="AM472" s="39">
        <f>IF(B472="","",IF(R472="Archived","Archived",IF(T472=0,"Not been yet",IF(Z472&gt;=InactiveDays,"Inactive",IF(Z472&gt;=LapsingDays,"Lapsing",IF(T472=1,"New",IF(AH472&gt;=VipSpend,"VIP",IF(U472&gt;=4,"Regular","Active"))))))))</f>
        <v>0</v>
      </c>
      <c r="AN472" s="38">
        <f>IF(B472="","",IF(T472&gt;=2,"Yes","No"))</f>
        <v>0</v>
      </c>
      <c r="AO472" s="25">
        <f>IF(B472="","",COUNTIFS($AE$5:$AE$504,"&gt;"&amp;AE472)+COUNTIFS($AE$5:AE472,AE472))</f>
        <v>0</v>
      </c>
      <c r="AP472" s="25">
        <f>IF(B472="","",COUNTIFS($T$5:$T$504,"&gt;"&amp;T472)+COUNTIFS($T$5:T472,T472))</f>
        <v>0</v>
      </c>
      <c r="AQ472" s="39">
        <f>IF(B472="","",IF(COUNTIF($B$5:$B$504,B472)&gt;1,"Duplicate - same name twice",IF(R472="Archived","",IF(AK472&gt;0.004,"Chase - balance outstanding",IF(AM472="Inactive","Gone - win-back offer",IF(AM472="Lapsing","Chase - lapsing, call them",IF(IF(N472="",FALSE,TodayDate-N472&gt;PatchTestDays),"Due - patch test out of date",IF(IF(AD472="",FALSE,IF(AB472&lt;&gt;"",FALSE,AD472&lt;=TodayDate+14)),"Rebook - due and nothing booked",IF(IF(K472="",FALSE,ABS(DATE(YEAR(TodayDate),MONTH(K472),DAY(K472))-TodayDate)&lt;=7),"Birthday - send the treat","OK")))))))))</f>
        <v>0</v>
      </c>
    </row>
    <row r="473" spans="1:43">
      <c r="A473" s="28">
        <f>IF(B473="","",ClientPrefix&amp;TEXT(ROW()-4,"0000"))</f>
        <v>0</v>
      </c>
      <c r="J473" s="15">
        <f>IF(I473="","",IFERROR(INDEX(Staff!$B$5:$B$44,MATCH(I473,Staff!$A$5:$A$44,0)),"Not in Staff"))</f>
        <v>0</v>
      </c>
      <c r="T473" s="25">
        <f>IF(B473="","",COUNTIFS(Appointments!$E$5:$E$1204,A473,Appointments!$M$5:$M$1204,"Completed"))</f>
        <v>0</v>
      </c>
      <c r="U473" s="25">
        <f>IF(B473="","",COUNTIFS(Appointments!$E$5:$E$1204,A473,Appointments!$M$5:$M$1204,"Completed",Appointments!$B$5:$B$1204,"&gt;="&amp;TodayDate-365))</f>
        <v>0</v>
      </c>
      <c r="V473" s="25">
        <f>IF(B473="","",COUNTIFS(Appointments!$E$5:$E$1204,A473,Appointments!$M$5:$M$1204,"Cancelled"))</f>
        <v>0</v>
      </c>
      <c r="W473" s="25">
        <f>IF(B473="","",COUNTIFS(Appointments!$E$5:$E$1204,A473,Appointments!$M$5:$M$1204,"No show"))</f>
        <v>0</v>
      </c>
      <c r="X473" s="17">
        <f>IF(B473="","",IF(F473&lt;&gt;"",F473,IF(T473=0,"",SUMPRODUCT(MIN((Appointments!$E$5:$E$1204=A473)*(Appointments!$M$5:$M$1204="Completed")*Appointments!$B$5:$B$1204+(1-(Appointments!$E$5:$E$1204=A473)*(Appointments!$M$5:$M$1204="Completed"))*2958465)))))</f>
        <v>0</v>
      </c>
      <c r="Y473" s="17">
        <f>IF(B473="","",IF(T473=0,"",SUMPRODUCT(MAX((Appointments!$E$5:$E$1204=A473)*(Appointments!$M$5:$M$1204="Completed")*Appointments!$B$5:$B$1204))))</f>
        <v>0</v>
      </c>
      <c r="Z473" s="25">
        <f>IF(B473="","",IF(Y473="","",TodayDate-Y473))</f>
        <v>0</v>
      </c>
      <c r="AA473" s="42">
        <f>IF(B473="","",SUMPRODUCT(MIN((Appointments!$E$5:$E$1204=A473)*(Appointments!$M$5:$M$1204&lt;&gt;"Cancelled")*(Appointments!$M$5:$M$1204&lt;&gt;"Completed")*(Appointments!$M$5:$M$1204&lt;&gt;"No show")*(Appointments!$B$5:$B$1204&gt;=TodayDate)*Appointments!$B$5:$B$1204+(1-(Appointments!$E$5:$E$1204=A473)*(Appointments!$M$5:$M$1204&lt;&gt;"Cancelled")*(Appointments!$M$5:$M$1204&lt;&gt;"Completed")*(Appointments!$M$5:$M$1204&lt;&gt;"No show")*(Appointments!$B$5:$B$1204&gt;=TodayDate))*2958465)))</f>
        <v>0</v>
      </c>
      <c r="AB473" s="17">
        <f>IF(B473="","",IF(AA473&gt;=2958465,"",AA473))</f>
        <v>0</v>
      </c>
      <c r="AC473" s="25">
        <f>IF(B473="","",IF(T473&lt;2,"",ROUND((Y473-X473)/MAX(1,T473-1),0)))</f>
        <v>0</v>
      </c>
      <c r="AD473" s="17">
        <f>IF(B473="","",IF(Y473="","",Y473+IF(AC473="",RebookWeeks*7,MAX(14,AC473))))</f>
        <v>0</v>
      </c>
      <c r="AE473" s="26">
        <f>IF(B473="","",ROUND(SUMIFS(Sales!$Y$5:$Y$1204,Sales!$D$5:$D$1204,A473),2))</f>
        <v>0</v>
      </c>
      <c r="AF473" s="26">
        <f>IF(B473="","",ROUND(SUMIFS(Sales!$Y$5:$Y$1204,Sales!$D$5:$D$1204,A473,Sales!$H$5:$H$1204,"Service"),2))</f>
        <v>0</v>
      </c>
      <c r="AG473" s="26">
        <f>IF(B473="","",ROUND(SUMIFS(Sales!$Y$5:$Y$1204,Sales!$D$5:$D$1204,A473,Sales!$H$5:$H$1204,"Retail"),2))</f>
        <v>0</v>
      </c>
      <c r="AH473" s="26">
        <f>IF(B473="","",ROUND(SUMIFS(Sales!$Y$5:$Y$1204,Sales!$D$5:$D$1204,A473,Sales!$B$5:$B$1204,"&gt;="&amp;TodayDate-365),2))</f>
        <v>0</v>
      </c>
      <c r="AI473" s="26">
        <f>IF(B473="","",IF(T473=0,"",ROUND(AE473/T473,2)))</f>
        <v>0</v>
      </c>
      <c r="AJ473" s="26">
        <f>IF(B473="","",IF(AI473="","",IF(AC473="","",ROUND(AI473*(365/MAX(14,AC473)),2))))</f>
        <v>0</v>
      </c>
      <c r="AK473" s="26">
        <f>IF(B473="","",ROUND(SUMIFS(Sales!$AH$5:$AH$1204,Sales!$D$5:$D$1204,A473),2))</f>
        <v>0</v>
      </c>
      <c r="AL473" s="25">
        <f>IF(B473="","",IFERROR(INDEX(Loyalty!$P$5:$P$504,MATCH(A473,Loyalty!$B$5:$B$504,0))*1,0))</f>
        <v>0</v>
      </c>
      <c r="AM473" s="39">
        <f>IF(B473="","",IF(R473="Archived","Archived",IF(T473=0,"Not been yet",IF(Z473&gt;=InactiveDays,"Inactive",IF(Z473&gt;=LapsingDays,"Lapsing",IF(T473=1,"New",IF(AH473&gt;=VipSpend,"VIP",IF(U473&gt;=4,"Regular","Active"))))))))</f>
        <v>0</v>
      </c>
      <c r="AN473" s="38">
        <f>IF(B473="","",IF(T473&gt;=2,"Yes","No"))</f>
        <v>0</v>
      </c>
      <c r="AO473" s="25">
        <f>IF(B473="","",COUNTIFS($AE$5:$AE$504,"&gt;"&amp;AE473)+COUNTIFS($AE$5:AE473,AE473))</f>
        <v>0</v>
      </c>
      <c r="AP473" s="25">
        <f>IF(B473="","",COUNTIFS($T$5:$T$504,"&gt;"&amp;T473)+COUNTIFS($T$5:T473,T473))</f>
        <v>0</v>
      </c>
      <c r="AQ473" s="39">
        <f>IF(B473="","",IF(COUNTIF($B$5:$B$504,B473)&gt;1,"Duplicate - same name twice",IF(R473="Archived","",IF(AK473&gt;0.004,"Chase - balance outstanding",IF(AM473="Inactive","Gone - win-back offer",IF(AM473="Lapsing","Chase - lapsing, call them",IF(IF(N473="",FALSE,TodayDate-N473&gt;PatchTestDays),"Due - patch test out of date",IF(IF(AD473="",FALSE,IF(AB473&lt;&gt;"",FALSE,AD473&lt;=TodayDate+14)),"Rebook - due and nothing booked",IF(IF(K473="",FALSE,ABS(DATE(YEAR(TodayDate),MONTH(K473),DAY(K473))-TodayDate)&lt;=7),"Birthday - send the treat","OK")))))))))</f>
        <v>0</v>
      </c>
    </row>
    <row r="474" spans="1:43">
      <c r="A474" s="28">
        <f>IF(B474="","",ClientPrefix&amp;TEXT(ROW()-4,"0000"))</f>
        <v>0</v>
      </c>
      <c r="J474" s="15">
        <f>IF(I474="","",IFERROR(INDEX(Staff!$B$5:$B$44,MATCH(I474,Staff!$A$5:$A$44,0)),"Not in Staff"))</f>
        <v>0</v>
      </c>
      <c r="T474" s="25">
        <f>IF(B474="","",COUNTIFS(Appointments!$E$5:$E$1204,A474,Appointments!$M$5:$M$1204,"Completed"))</f>
        <v>0</v>
      </c>
      <c r="U474" s="25">
        <f>IF(B474="","",COUNTIFS(Appointments!$E$5:$E$1204,A474,Appointments!$M$5:$M$1204,"Completed",Appointments!$B$5:$B$1204,"&gt;="&amp;TodayDate-365))</f>
        <v>0</v>
      </c>
      <c r="V474" s="25">
        <f>IF(B474="","",COUNTIFS(Appointments!$E$5:$E$1204,A474,Appointments!$M$5:$M$1204,"Cancelled"))</f>
        <v>0</v>
      </c>
      <c r="W474" s="25">
        <f>IF(B474="","",COUNTIFS(Appointments!$E$5:$E$1204,A474,Appointments!$M$5:$M$1204,"No show"))</f>
        <v>0</v>
      </c>
      <c r="X474" s="17">
        <f>IF(B474="","",IF(F474&lt;&gt;"",F474,IF(T474=0,"",SUMPRODUCT(MIN((Appointments!$E$5:$E$1204=A474)*(Appointments!$M$5:$M$1204="Completed")*Appointments!$B$5:$B$1204+(1-(Appointments!$E$5:$E$1204=A474)*(Appointments!$M$5:$M$1204="Completed"))*2958465)))))</f>
        <v>0</v>
      </c>
      <c r="Y474" s="17">
        <f>IF(B474="","",IF(T474=0,"",SUMPRODUCT(MAX((Appointments!$E$5:$E$1204=A474)*(Appointments!$M$5:$M$1204="Completed")*Appointments!$B$5:$B$1204))))</f>
        <v>0</v>
      </c>
      <c r="Z474" s="25">
        <f>IF(B474="","",IF(Y474="","",TodayDate-Y474))</f>
        <v>0</v>
      </c>
      <c r="AA474" s="42">
        <f>IF(B474="","",SUMPRODUCT(MIN((Appointments!$E$5:$E$1204=A474)*(Appointments!$M$5:$M$1204&lt;&gt;"Cancelled")*(Appointments!$M$5:$M$1204&lt;&gt;"Completed")*(Appointments!$M$5:$M$1204&lt;&gt;"No show")*(Appointments!$B$5:$B$1204&gt;=TodayDate)*Appointments!$B$5:$B$1204+(1-(Appointments!$E$5:$E$1204=A474)*(Appointments!$M$5:$M$1204&lt;&gt;"Cancelled")*(Appointments!$M$5:$M$1204&lt;&gt;"Completed")*(Appointments!$M$5:$M$1204&lt;&gt;"No show")*(Appointments!$B$5:$B$1204&gt;=TodayDate))*2958465)))</f>
        <v>0</v>
      </c>
      <c r="AB474" s="17">
        <f>IF(B474="","",IF(AA474&gt;=2958465,"",AA474))</f>
        <v>0</v>
      </c>
      <c r="AC474" s="25">
        <f>IF(B474="","",IF(T474&lt;2,"",ROUND((Y474-X474)/MAX(1,T474-1),0)))</f>
        <v>0</v>
      </c>
      <c r="AD474" s="17">
        <f>IF(B474="","",IF(Y474="","",Y474+IF(AC474="",RebookWeeks*7,MAX(14,AC474))))</f>
        <v>0</v>
      </c>
      <c r="AE474" s="26">
        <f>IF(B474="","",ROUND(SUMIFS(Sales!$Y$5:$Y$1204,Sales!$D$5:$D$1204,A474),2))</f>
        <v>0</v>
      </c>
      <c r="AF474" s="26">
        <f>IF(B474="","",ROUND(SUMIFS(Sales!$Y$5:$Y$1204,Sales!$D$5:$D$1204,A474,Sales!$H$5:$H$1204,"Service"),2))</f>
        <v>0</v>
      </c>
      <c r="AG474" s="26">
        <f>IF(B474="","",ROUND(SUMIFS(Sales!$Y$5:$Y$1204,Sales!$D$5:$D$1204,A474,Sales!$H$5:$H$1204,"Retail"),2))</f>
        <v>0</v>
      </c>
      <c r="AH474" s="26">
        <f>IF(B474="","",ROUND(SUMIFS(Sales!$Y$5:$Y$1204,Sales!$D$5:$D$1204,A474,Sales!$B$5:$B$1204,"&gt;="&amp;TodayDate-365),2))</f>
        <v>0</v>
      </c>
      <c r="AI474" s="26">
        <f>IF(B474="","",IF(T474=0,"",ROUND(AE474/T474,2)))</f>
        <v>0</v>
      </c>
      <c r="AJ474" s="26">
        <f>IF(B474="","",IF(AI474="","",IF(AC474="","",ROUND(AI474*(365/MAX(14,AC474)),2))))</f>
        <v>0</v>
      </c>
      <c r="AK474" s="26">
        <f>IF(B474="","",ROUND(SUMIFS(Sales!$AH$5:$AH$1204,Sales!$D$5:$D$1204,A474),2))</f>
        <v>0</v>
      </c>
      <c r="AL474" s="25">
        <f>IF(B474="","",IFERROR(INDEX(Loyalty!$P$5:$P$504,MATCH(A474,Loyalty!$B$5:$B$504,0))*1,0))</f>
        <v>0</v>
      </c>
      <c r="AM474" s="39">
        <f>IF(B474="","",IF(R474="Archived","Archived",IF(T474=0,"Not been yet",IF(Z474&gt;=InactiveDays,"Inactive",IF(Z474&gt;=LapsingDays,"Lapsing",IF(T474=1,"New",IF(AH474&gt;=VipSpend,"VIP",IF(U474&gt;=4,"Regular","Active"))))))))</f>
        <v>0</v>
      </c>
      <c r="AN474" s="38">
        <f>IF(B474="","",IF(T474&gt;=2,"Yes","No"))</f>
        <v>0</v>
      </c>
      <c r="AO474" s="25">
        <f>IF(B474="","",COUNTIFS($AE$5:$AE$504,"&gt;"&amp;AE474)+COUNTIFS($AE$5:AE474,AE474))</f>
        <v>0</v>
      </c>
      <c r="AP474" s="25">
        <f>IF(B474="","",COUNTIFS($T$5:$T$504,"&gt;"&amp;T474)+COUNTIFS($T$5:T474,T474))</f>
        <v>0</v>
      </c>
      <c r="AQ474" s="39">
        <f>IF(B474="","",IF(COUNTIF($B$5:$B$504,B474)&gt;1,"Duplicate - same name twice",IF(R474="Archived","",IF(AK474&gt;0.004,"Chase - balance outstanding",IF(AM474="Inactive","Gone - win-back offer",IF(AM474="Lapsing","Chase - lapsing, call them",IF(IF(N474="",FALSE,TodayDate-N474&gt;PatchTestDays),"Due - patch test out of date",IF(IF(AD474="",FALSE,IF(AB474&lt;&gt;"",FALSE,AD474&lt;=TodayDate+14)),"Rebook - due and nothing booked",IF(IF(K474="",FALSE,ABS(DATE(YEAR(TodayDate),MONTH(K474),DAY(K474))-TodayDate)&lt;=7),"Birthday - send the treat","OK")))))))))</f>
        <v>0</v>
      </c>
    </row>
    <row r="475" spans="1:43">
      <c r="A475" s="28">
        <f>IF(B475="","",ClientPrefix&amp;TEXT(ROW()-4,"0000"))</f>
        <v>0</v>
      </c>
      <c r="J475" s="15">
        <f>IF(I475="","",IFERROR(INDEX(Staff!$B$5:$B$44,MATCH(I475,Staff!$A$5:$A$44,0)),"Not in Staff"))</f>
        <v>0</v>
      </c>
      <c r="T475" s="25">
        <f>IF(B475="","",COUNTIFS(Appointments!$E$5:$E$1204,A475,Appointments!$M$5:$M$1204,"Completed"))</f>
        <v>0</v>
      </c>
      <c r="U475" s="25">
        <f>IF(B475="","",COUNTIFS(Appointments!$E$5:$E$1204,A475,Appointments!$M$5:$M$1204,"Completed",Appointments!$B$5:$B$1204,"&gt;="&amp;TodayDate-365))</f>
        <v>0</v>
      </c>
      <c r="V475" s="25">
        <f>IF(B475="","",COUNTIFS(Appointments!$E$5:$E$1204,A475,Appointments!$M$5:$M$1204,"Cancelled"))</f>
        <v>0</v>
      </c>
      <c r="W475" s="25">
        <f>IF(B475="","",COUNTIFS(Appointments!$E$5:$E$1204,A475,Appointments!$M$5:$M$1204,"No show"))</f>
        <v>0</v>
      </c>
      <c r="X475" s="17">
        <f>IF(B475="","",IF(F475&lt;&gt;"",F475,IF(T475=0,"",SUMPRODUCT(MIN((Appointments!$E$5:$E$1204=A475)*(Appointments!$M$5:$M$1204="Completed")*Appointments!$B$5:$B$1204+(1-(Appointments!$E$5:$E$1204=A475)*(Appointments!$M$5:$M$1204="Completed"))*2958465)))))</f>
        <v>0</v>
      </c>
      <c r="Y475" s="17">
        <f>IF(B475="","",IF(T475=0,"",SUMPRODUCT(MAX((Appointments!$E$5:$E$1204=A475)*(Appointments!$M$5:$M$1204="Completed")*Appointments!$B$5:$B$1204))))</f>
        <v>0</v>
      </c>
      <c r="Z475" s="25">
        <f>IF(B475="","",IF(Y475="","",TodayDate-Y475))</f>
        <v>0</v>
      </c>
      <c r="AA475" s="42">
        <f>IF(B475="","",SUMPRODUCT(MIN((Appointments!$E$5:$E$1204=A475)*(Appointments!$M$5:$M$1204&lt;&gt;"Cancelled")*(Appointments!$M$5:$M$1204&lt;&gt;"Completed")*(Appointments!$M$5:$M$1204&lt;&gt;"No show")*(Appointments!$B$5:$B$1204&gt;=TodayDate)*Appointments!$B$5:$B$1204+(1-(Appointments!$E$5:$E$1204=A475)*(Appointments!$M$5:$M$1204&lt;&gt;"Cancelled")*(Appointments!$M$5:$M$1204&lt;&gt;"Completed")*(Appointments!$M$5:$M$1204&lt;&gt;"No show")*(Appointments!$B$5:$B$1204&gt;=TodayDate))*2958465)))</f>
        <v>0</v>
      </c>
      <c r="AB475" s="17">
        <f>IF(B475="","",IF(AA475&gt;=2958465,"",AA475))</f>
        <v>0</v>
      </c>
      <c r="AC475" s="25">
        <f>IF(B475="","",IF(T475&lt;2,"",ROUND((Y475-X475)/MAX(1,T475-1),0)))</f>
        <v>0</v>
      </c>
      <c r="AD475" s="17">
        <f>IF(B475="","",IF(Y475="","",Y475+IF(AC475="",RebookWeeks*7,MAX(14,AC475))))</f>
        <v>0</v>
      </c>
      <c r="AE475" s="26">
        <f>IF(B475="","",ROUND(SUMIFS(Sales!$Y$5:$Y$1204,Sales!$D$5:$D$1204,A475),2))</f>
        <v>0</v>
      </c>
      <c r="AF475" s="26">
        <f>IF(B475="","",ROUND(SUMIFS(Sales!$Y$5:$Y$1204,Sales!$D$5:$D$1204,A475,Sales!$H$5:$H$1204,"Service"),2))</f>
        <v>0</v>
      </c>
      <c r="AG475" s="26">
        <f>IF(B475="","",ROUND(SUMIFS(Sales!$Y$5:$Y$1204,Sales!$D$5:$D$1204,A475,Sales!$H$5:$H$1204,"Retail"),2))</f>
        <v>0</v>
      </c>
      <c r="AH475" s="26">
        <f>IF(B475="","",ROUND(SUMIFS(Sales!$Y$5:$Y$1204,Sales!$D$5:$D$1204,A475,Sales!$B$5:$B$1204,"&gt;="&amp;TodayDate-365),2))</f>
        <v>0</v>
      </c>
      <c r="AI475" s="26">
        <f>IF(B475="","",IF(T475=0,"",ROUND(AE475/T475,2)))</f>
        <v>0</v>
      </c>
      <c r="AJ475" s="26">
        <f>IF(B475="","",IF(AI475="","",IF(AC475="","",ROUND(AI475*(365/MAX(14,AC475)),2))))</f>
        <v>0</v>
      </c>
      <c r="AK475" s="26">
        <f>IF(B475="","",ROUND(SUMIFS(Sales!$AH$5:$AH$1204,Sales!$D$5:$D$1204,A475),2))</f>
        <v>0</v>
      </c>
      <c r="AL475" s="25">
        <f>IF(B475="","",IFERROR(INDEX(Loyalty!$P$5:$P$504,MATCH(A475,Loyalty!$B$5:$B$504,0))*1,0))</f>
        <v>0</v>
      </c>
      <c r="AM475" s="39">
        <f>IF(B475="","",IF(R475="Archived","Archived",IF(T475=0,"Not been yet",IF(Z475&gt;=InactiveDays,"Inactive",IF(Z475&gt;=LapsingDays,"Lapsing",IF(T475=1,"New",IF(AH475&gt;=VipSpend,"VIP",IF(U475&gt;=4,"Regular","Active"))))))))</f>
        <v>0</v>
      </c>
      <c r="AN475" s="38">
        <f>IF(B475="","",IF(T475&gt;=2,"Yes","No"))</f>
        <v>0</v>
      </c>
      <c r="AO475" s="25">
        <f>IF(B475="","",COUNTIFS($AE$5:$AE$504,"&gt;"&amp;AE475)+COUNTIFS($AE$5:AE475,AE475))</f>
        <v>0</v>
      </c>
      <c r="AP475" s="25">
        <f>IF(B475="","",COUNTIFS($T$5:$T$504,"&gt;"&amp;T475)+COUNTIFS($T$5:T475,T475))</f>
        <v>0</v>
      </c>
      <c r="AQ475" s="39">
        <f>IF(B475="","",IF(COUNTIF($B$5:$B$504,B475)&gt;1,"Duplicate - same name twice",IF(R475="Archived","",IF(AK475&gt;0.004,"Chase - balance outstanding",IF(AM475="Inactive","Gone - win-back offer",IF(AM475="Lapsing","Chase - lapsing, call them",IF(IF(N475="",FALSE,TodayDate-N475&gt;PatchTestDays),"Due - patch test out of date",IF(IF(AD475="",FALSE,IF(AB475&lt;&gt;"",FALSE,AD475&lt;=TodayDate+14)),"Rebook - due and nothing booked",IF(IF(K475="",FALSE,ABS(DATE(YEAR(TodayDate),MONTH(K475),DAY(K475))-TodayDate)&lt;=7),"Birthday - send the treat","OK")))))))))</f>
        <v>0</v>
      </c>
    </row>
    <row r="476" spans="1:43">
      <c r="A476" s="28">
        <f>IF(B476="","",ClientPrefix&amp;TEXT(ROW()-4,"0000"))</f>
        <v>0</v>
      </c>
      <c r="J476" s="15">
        <f>IF(I476="","",IFERROR(INDEX(Staff!$B$5:$B$44,MATCH(I476,Staff!$A$5:$A$44,0)),"Not in Staff"))</f>
        <v>0</v>
      </c>
      <c r="T476" s="25">
        <f>IF(B476="","",COUNTIFS(Appointments!$E$5:$E$1204,A476,Appointments!$M$5:$M$1204,"Completed"))</f>
        <v>0</v>
      </c>
      <c r="U476" s="25">
        <f>IF(B476="","",COUNTIFS(Appointments!$E$5:$E$1204,A476,Appointments!$M$5:$M$1204,"Completed",Appointments!$B$5:$B$1204,"&gt;="&amp;TodayDate-365))</f>
        <v>0</v>
      </c>
      <c r="V476" s="25">
        <f>IF(B476="","",COUNTIFS(Appointments!$E$5:$E$1204,A476,Appointments!$M$5:$M$1204,"Cancelled"))</f>
        <v>0</v>
      </c>
      <c r="W476" s="25">
        <f>IF(B476="","",COUNTIFS(Appointments!$E$5:$E$1204,A476,Appointments!$M$5:$M$1204,"No show"))</f>
        <v>0</v>
      </c>
      <c r="X476" s="17">
        <f>IF(B476="","",IF(F476&lt;&gt;"",F476,IF(T476=0,"",SUMPRODUCT(MIN((Appointments!$E$5:$E$1204=A476)*(Appointments!$M$5:$M$1204="Completed")*Appointments!$B$5:$B$1204+(1-(Appointments!$E$5:$E$1204=A476)*(Appointments!$M$5:$M$1204="Completed"))*2958465)))))</f>
        <v>0</v>
      </c>
      <c r="Y476" s="17">
        <f>IF(B476="","",IF(T476=0,"",SUMPRODUCT(MAX((Appointments!$E$5:$E$1204=A476)*(Appointments!$M$5:$M$1204="Completed")*Appointments!$B$5:$B$1204))))</f>
        <v>0</v>
      </c>
      <c r="Z476" s="25">
        <f>IF(B476="","",IF(Y476="","",TodayDate-Y476))</f>
        <v>0</v>
      </c>
      <c r="AA476" s="42">
        <f>IF(B476="","",SUMPRODUCT(MIN((Appointments!$E$5:$E$1204=A476)*(Appointments!$M$5:$M$1204&lt;&gt;"Cancelled")*(Appointments!$M$5:$M$1204&lt;&gt;"Completed")*(Appointments!$M$5:$M$1204&lt;&gt;"No show")*(Appointments!$B$5:$B$1204&gt;=TodayDate)*Appointments!$B$5:$B$1204+(1-(Appointments!$E$5:$E$1204=A476)*(Appointments!$M$5:$M$1204&lt;&gt;"Cancelled")*(Appointments!$M$5:$M$1204&lt;&gt;"Completed")*(Appointments!$M$5:$M$1204&lt;&gt;"No show")*(Appointments!$B$5:$B$1204&gt;=TodayDate))*2958465)))</f>
        <v>0</v>
      </c>
      <c r="AB476" s="17">
        <f>IF(B476="","",IF(AA476&gt;=2958465,"",AA476))</f>
        <v>0</v>
      </c>
      <c r="AC476" s="25">
        <f>IF(B476="","",IF(T476&lt;2,"",ROUND((Y476-X476)/MAX(1,T476-1),0)))</f>
        <v>0</v>
      </c>
      <c r="AD476" s="17">
        <f>IF(B476="","",IF(Y476="","",Y476+IF(AC476="",RebookWeeks*7,MAX(14,AC476))))</f>
        <v>0</v>
      </c>
      <c r="AE476" s="26">
        <f>IF(B476="","",ROUND(SUMIFS(Sales!$Y$5:$Y$1204,Sales!$D$5:$D$1204,A476),2))</f>
        <v>0</v>
      </c>
      <c r="AF476" s="26">
        <f>IF(B476="","",ROUND(SUMIFS(Sales!$Y$5:$Y$1204,Sales!$D$5:$D$1204,A476,Sales!$H$5:$H$1204,"Service"),2))</f>
        <v>0</v>
      </c>
      <c r="AG476" s="26">
        <f>IF(B476="","",ROUND(SUMIFS(Sales!$Y$5:$Y$1204,Sales!$D$5:$D$1204,A476,Sales!$H$5:$H$1204,"Retail"),2))</f>
        <v>0</v>
      </c>
      <c r="AH476" s="26">
        <f>IF(B476="","",ROUND(SUMIFS(Sales!$Y$5:$Y$1204,Sales!$D$5:$D$1204,A476,Sales!$B$5:$B$1204,"&gt;="&amp;TodayDate-365),2))</f>
        <v>0</v>
      </c>
      <c r="AI476" s="26">
        <f>IF(B476="","",IF(T476=0,"",ROUND(AE476/T476,2)))</f>
        <v>0</v>
      </c>
      <c r="AJ476" s="26">
        <f>IF(B476="","",IF(AI476="","",IF(AC476="","",ROUND(AI476*(365/MAX(14,AC476)),2))))</f>
        <v>0</v>
      </c>
      <c r="AK476" s="26">
        <f>IF(B476="","",ROUND(SUMIFS(Sales!$AH$5:$AH$1204,Sales!$D$5:$D$1204,A476),2))</f>
        <v>0</v>
      </c>
      <c r="AL476" s="25">
        <f>IF(B476="","",IFERROR(INDEX(Loyalty!$P$5:$P$504,MATCH(A476,Loyalty!$B$5:$B$504,0))*1,0))</f>
        <v>0</v>
      </c>
      <c r="AM476" s="39">
        <f>IF(B476="","",IF(R476="Archived","Archived",IF(T476=0,"Not been yet",IF(Z476&gt;=InactiveDays,"Inactive",IF(Z476&gt;=LapsingDays,"Lapsing",IF(T476=1,"New",IF(AH476&gt;=VipSpend,"VIP",IF(U476&gt;=4,"Regular","Active"))))))))</f>
        <v>0</v>
      </c>
      <c r="AN476" s="38">
        <f>IF(B476="","",IF(T476&gt;=2,"Yes","No"))</f>
        <v>0</v>
      </c>
      <c r="AO476" s="25">
        <f>IF(B476="","",COUNTIFS($AE$5:$AE$504,"&gt;"&amp;AE476)+COUNTIFS($AE$5:AE476,AE476))</f>
        <v>0</v>
      </c>
      <c r="AP476" s="25">
        <f>IF(B476="","",COUNTIFS($T$5:$T$504,"&gt;"&amp;T476)+COUNTIFS($T$5:T476,T476))</f>
        <v>0</v>
      </c>
      <c r="AQ476" s="39">
        <f>IF(B476="","",IF(COUNTIF($B$5:$B$504,B476)&gt;1,"Duplicate - same name twice",IF(R476="Archived","",IF(AK476&gt;0.004,"Chase - balance outstanding",IF(AM476="Inactive","Gone - win-back offer",IF(AM476="Lapsing","Chase - lapsing, call them",IF(IF(N476="",FALSE,TodayDate-N476&gt;PatchTestDays),"Due - patch test out of date",IF(IF(AD476="",FALSE,IF(AB476&lt;&gt;"",FALSE,AD476&lt;=TodayDate+14)),"Rebook - due and nothing booked",IF(IF(K476="",FALSE,ABS(DATE(YEAR(TodayDate),MONTH(K476),DAY(K476))-TodayDate)&lt;=7),"Birthday - send the treat","OK")))))))))</f>
        <v>0</v>
      </c>
    </row>
    <row r="477" spans="1:43">
      <c r="A477" s="28">
        <f>IF(B477="","",ClientPrefix&amp;TEXT(ROW()-4,"0000"))</f>
        <v>0</v>
      </c>
      <c r="J477" s="15">
        <f>IF(I477="","",IFERROR(INDEX(Staff!$B$5:$B$44,MATCH(I477,Staff!$A$5:$A$44,0)),"Not in Staff"))</f>
        <v>0</v>
      </c>
      <c r="T477" s="25">
        <f>IF(B477="","",COUNTIFS(Appointments!$E$5:$E$1204,A477,Appointments!$M$5:$M$1204,"Completed"))</f>
        <v>0</v>
      </c>
      <c r="U477" s="25">
        <f>IF(B477="","",COUNTIFS(Appointments!$E$5:$E$1204,A477,Appointments!$M$5:$M$1204,"Completed",Appointments!$B$5:$B$1204,"&gt;="&amp;TodayDate-365))</f>
        <v>0</v>
      </c>
      <c r="V477" s="25">
        <f>IF(B477="","",COUNTIFS(Appointments!$E$5:$E$1204,A477,Appointments!$M$5:$M$1204,"Cancelled"))</f>
        <v>0</v>
      </c>
      <c r="W477" s="25">
        <f>IF(B477="","",COUNTIFS(Appointments!$E$5:$E$1204,A477,Appointments!$M$5:$M$1204,"No show"))</f>
        <v>0</v>
      </c>
      <c r="X477" s="17">
        <f>IF(B477="","",IF(F477&lt;&gt;"",F477,IF(T477=0,"",SUMPRODUCT(MIN((Appointments!$E$5:$E$1204=A477)*(Appointments!$M$5:$M$1204="Completed")*Appointments!$B$5:$B$1204+(1-(Appointments!$E$5:$E$1204=A477)*(Appointments!$M$5:$M$1204="Completed"))*2958465)))))</f>
        <v>0</v>
      </c>
      <c r="Y477" s="17">
        <f>IF(B477="","",IF(T477=0,"",SUMPRODUCT(MAX((Appointments!$E$5:$E$1204=A477)*(Appointments!$M$5:$M$1204="Completed")*Appointments!$B$5:$B$1204))))</f>
        <v>0</v>
      </c>
      <c r="Z477" s="25">
        <f>IF(B477="","",IF(Y477="","",TodayDate-Y477))</f>
        <v>0</v>
      </c>
      <c r="AA477" s="42">
        <f>IF(B477="","",SUMPRODUCT(MIN((Appointments!$E$5:$E$1204=A477)*(Appointments!$M$5:$M$1204&lt;&gt;"Cancelled")*(Appointments!$M$5:$M$1204&lt;&gt;"Completed")*(Appointments!$M$5:$M$1204&lt;&gt;"No show")*(Appointments!$B$5:$B$1204&gt;=TodayDate)*Appointments!$B$5:$B$1204+(1-(Appointments!$E$5:$E$1204=A477)*(Appointments!$M$5:$M$1204&lt;&gt;"Cancelled")*(Appointments!$M$5:$M$1204&lt;&gt;"Completed")*(Appointments!$M$5:$M$1204&lt;&gt;"No show")*(Appointments!$B$5:$B$1204&gt;=TodayDate))*2958465)))</f>
        <v>0</v>
      </c>
      <c r="AB477" s="17">
        <f>IF(B477="","",IF(AA477&gt;=2958465,"",AA477))</f>
        <v>0</v>
      </c>
      <c r="AC477" s="25">
        <f>IF(B477="","",IF(T477&lt;2,"",ROUND((Y477-X477)/MAX(1,T477-1),0)))</f>
        <v>0</v>
      </c>
      <c r="AD477" s="17">
        <f>IF(B477="","",IF(Y477="","",Y477+IF(AC477="",RebookWeeks*7,MAX(14,AC477))))</f>
        <v>0</v>
      </c>
      <c r="AE477" s="26">
        <f>IF(B477="","",ROUND(SUMIFS(Sales!$Y$5:$Y$1204,Sales!$D$5:$D$1204,A477),2))</f>
        <v>0</v>
      </c>
      <c r="AF477" s="26">
        <f>IF(B477="","",ROUND(SUMIFS(Sales!$Y$5:$Y$1204,Sales!$D$5:$D$1204,A477,Sales!$H$5:$H$1204,"Service"),2))</f>
        <v>0</v>
      </c>
      <c r="AG477" s="26">
        <f>IF(B477="","",ROUND(SUMIFS(Sales!$Y$5:$Y$1204,Sales!$D$5:$D$1204,A477,Sales!$H$5:$H$1204,"Retail"),2))</f>
        <v>0</v>
      </c>
      <c r="AH477" s="26">
        <f>IF(B477="","",ROUND(SUMIFS(Sales!$Y$5:$Y$1204,Sales!$D$5:$D$1204,A477,Sales!$B$5:$B$1204,"&gt;="&amp;TodayDate-365),2))</f>
        <v>0</v>
      </c>
      <c r="AI477" s="26">
        <f>IF(B477="","",IF(T477=0,"",ROUND(AE477/T477,2)))</f>
        <v>0</v>
      </c>
      <c r="AJ477" s="26">
        <f>IF(B477="","",IF(AI477="","",IF(AC477="","",ROUND(AI477*(365/MAX(14,AC477)),2))))</f>
        <v>0</v>
      </c>
      <c r="AK477" s="26">
        <f>IF(B477="","",ROUND(SUMIFS(Sales!$AH$5:$AH$1204,Sales!$D$5:$D$1204,A477),2))</f>
        <v>0</v>
      </c>
      <c r="AL477" s="25">
        <f>IF(B477="","",IFERROR(INDEX(Loyalty!$P$5:$P$504,MATCH(A477,Loyalty!$B$5:$B$504,0))*1,0))</f>
        <v>0</v>
      </c>
      <c r="AM477" s="39">
        <f>IF(B477="","",IF(R477="Archived","Archived",IF(T477=0,"Not been yet",IF(Z477&gt;=InactiveDays,"Inactive",IF(Z477&gt;=LapsingDays,"Lapsing",IF(T477=1,"New",IF(AH477&gt;=VipSpend,"VIP",IF(U477&gt;=4,"Regular","Active"))))))))</f>
        <v>0</v>
      </c>
      <c r="AN477" s="38">
        <f>IF(B477="","",IF(T477&gt;=2,"Yes","No"))</f>
        <v>0</v>
      </c>
      <c r="AO477" s="25">
        <f>IF(B477="","",COUNTIFS($AE$5:$AE$504,"&gt;"&amp;AE477)+COUNTIFS($AE$5:AE477,AE477))</f>
        <v>0</v>
      </c>
      <c r="AP477" s="25">
        <f>IF(B477="","",COUNTIFS($T$5:$T$504,"&gt;"&amp;T477)+COUNTIFS($T$5:T477,T477))</f>
        <v>0</v>
      </c>
      <c r="AQ477" s="39">
        <f>IF(B477="","",IF(COUNTIF($B$5:$B$504,B477)&gt;1,"Duplicate - same name twice",IF(R477="Archived","",IF(AK477&gt;0.004,"Chase - balance outstanding",IF(AM477="Inactive","Gone - win-back offer",IF(AM477="Lapsing","Chase - lapsing, call them",IF(IF(N477="",FALSE,TodayDate-N477&gt;PatchTestDays),"Due - patch test out of date",IF(IF(AD477="",FALSE,IF(AB477&lt;&gt;"",FALSE,AD477&lt;=TodayDate+14)),"Rebook - due and nothing booked",IF(IF(K477="",FALSE,ABS(DATE(YEAR(TodayDate),MONTH(K477),DAY(K477))-TodayDate)&lt;=7),"Birthday - send the treat","OK")))))))))</f>
        <v>0</v>
      </c>
    </row>
    <row r="478" spans="1:43">
      <c r="A478" s="28">
        <f>IF(B478="","",ClientPrefix&amp;TEXT(ROW()-4,"0000"))</f>
        <v>0</v>
      </c>
      <c r="J478" s="15">
        <f>IF(I478="","",IFERROR(INDEX(Staff!$B$5:$B$44,MATCH(I478,Staff!$A$5:$A$44,0)),"Not in Staff"))</f>
        <v>0</v>
      </c>
      <c r="T478" s="25">
        <f>IF(B478="","",COUNTIFS(Appointments!$E$5:$E$1204,A478,Appointments!$M$5:$M$1204,"Completed"))</f>
        <v>0</v>
      </c>
      <c r="U478" s="25">
        <f>IF(B478="","",COUNTIFS(Appointments!$E$5:$E$1204,A478,Appointments!$M$5:$M$1204,"Completed",Appointments!$B$5:$B$1204,"&gt;="&amp;TodayDate-365))</f>
        <v>0</v>
      </c>
      <c r="V478" s="25">
        <f>IF(B478="","",COUNTIFS(Appointments!$E$5:$E$1204,A478,Appointments!$M$5:$M$1204,"Cancelled"))</f>
        <v>0</v>
      </c>
      <c r="W478" s="25">
        <f>IF(B478="","",COUNTIFS(Appointments!$E$5:$E$1204,A478,Appointments!$M$5:$M$1204,"No show"))</f>
        <v>0</v>
      </c>
      <c r="X478" s="17">
        <f>IF(B478="","",IF(F478&lt;&gt;"",F478,IF(T478=0,"",SUMPRODUCT(MIN((Appointments!$E$5:$E$1204=A478)*(Appointments!$M$5:$M$1204="Completed")*Appointments!$B$5:$B$1204+(1-(Appointments!$E$5:$E$1204=A478)*(Appointments!$M$5:$M$1204="Completed"))*2958465)))))</f>
        <v>0</v>
      </c>
      <c r="Y478" s="17">
        <f>IF(B478="","",IF(T478=0,"",SUMPRODUCT(MAX((Appointments!$E$5:$E$1204=A478)*(Appointments!$M$5:$M$1204="Completed")*Appointments!$B$5:$B$1204))))</f>
        <v>0</v>
      </c>
      <c r="Z478" s="25">
        <f>IF(B478="","",IF(Y478="","",TodayDate-Y478))</f>
        <v>0</v>
      </c>
      <c r="AA478" s="42">
        <f>IF(B478="","",SUMPRODUCT(MIN((Appointments!$E$5:$E$1204=A478)*(Appointments!$M$5:$M$1204&lt;&gt;"Cancelled")*(Appointments!$M$5:$M$1204&lt;&gt;"Completed")*(Appointments!$M$5:$M$1204&lt;&gt;"No show")*(Appointments!$B$5:$B$1204&gt;=TodayDate)*Appointments!$B$5:$B$1204+(1-(Appointments!$E$5:$E$1204=A478)*(Appointments!$M$5:$M$1204&lt;&gt;"Cancelled")*(Appointments!$M$5:$M$1204&lt;&gt;"Completed")*(Appointments!$M$5:$M$1204&lt;&gt;"No show")*(Appointments!$B$5:$B$1204&gt;=TodayDate))*2958465)))</f>
        <v>0</v>
      </c>
      <c r="AB478" s="17">
        <f>IF(B478="","",IF(AA478&gt;=2958465,"",AA478))</f>
        <v>0</v>
      </c>
      <c r="AC478" s="25">
        <f>IF(B478="","",IF(T478&lt;2,"",ROUND((Y478-X478)/MAX(1,T478-1),0)))</f>
        <v>0</v>
      </c>
      <c r="AD478" s="17">
        <f>IF(B478="","",IF(Y478="","",Y478+IF(AC478="",RebookWeeks*7,MAX(14,AC478))))</f>
        <v>0</v>
      </c>
      <c r="AE478" s="26">
        <f>IF(B478="","",ROUND(SUMIFS(Sales!$Y$5:$Y$1204,Sales!$D$5:$D$1204,A478),2))</f>
        <v>0</v>
      </c>
      <c r="AF478" s="26">
        <f>IF(B478="","",ROUND(SUMIFS(Sales!$Y$5:$Y$1204,Sales!$D$5:$D$1204,A478,Sales!$H$5:$H$1204,"Service"),2))</f>
        <v>0</v>
      </c>
      <c r="AG478" s="26">
        <f>IF(B478="","",ROUND(SUMIFS(Sales!$Y$5:$Y$1204,Sales!$D$5:$D$1204,A478,Sales!$H$5:$H$1204,"Retail"),2))</f>
        <v>0</v>
      </c>
      <c r="AH478" s="26">
        <f>IF(B478="","",ROUND(SUMIFS(Sales!$Y$5:$Y$1204,Sales!$D$5:$D$1204,A478,Sales!$B$5:$B$1204,"&gt;="&amp;TodayDate-365),2))</f>
        <v>0</v>
      </c>
      <c r="AI478" s="26">
        <f>IF(B478="","",IF(T478=0,"",ROUND(AE478/T478,2)))</f>
        <v>0</v>
      </c>
      <c r="AJ478" s="26">
        <f>IF(B478="","",IF(AI478="","",IF(AC478="","",ROUND(AI478*(365/MAX(14,AC478)),2))))</f>
        <v>0</v>
      </c>
      <c r="AK478" s="26">
        <f>IF(B478="","",ROUND(SUMIFS(Sales!$AH$5:$AH$1204,Sales!$D$5:$D$1204,A478),2))</f>
        <v>0</v>
      </c>
      <c r="AL478" s="25">
        <f>IF(B478="","",IFERROR(INDEX(Loyalty!$P$5:$P$504,MATCH(A478,Loyalty!$B$5:$B$504,0))*1,0))</f>
        <v>0</v>
      </c>
      <c r="AM478" s="39">
        <f>IF(B478="","",IF(R478="Archived","Archived",IF(T478=0,"Not been yet",IF(Z478&gt;=InactiveDays,"Inactive",IF(Z478&gt;=LapsingDays,"Lapsing",IF(T478=1,"New",IF(AH478&gt;=VipSpend,"VIP",IF(U478&gt;=4,"Regular","Active"))))))))</f>
        <v>0</v>
      </c>
      <c r="AN478" s="38">
        <f>IF(B478="","",IF(T478&gt;=2,"Yes","No"))</f>
        <v>0</v>
      </c>
      <c r="AO478" s="25">
        <f>IF(B478="","",COUNTIFS($AE$5:$AE$504,"&gt;"&amp;AE478)+COUNTIFS($AE$5:AE478,AE478))</f>
        <v>0</v>
      </c>
      <c r="AP478" s="25">
        <f>IF(B478="","",COUNTIFS($T$5:$T$504,"&gt;"&amp;T478)+COUNTIFS($T$5:T478,T478))</f>
        <v>0</v>
      </c>
      <c r="AQ478" s="39">
        <f>IF(B478="","",IF(COUNTIF($B$5:$B$504,B478)&gt;1,"Duplicate - same name twice",IF(R478="Archived","",IF(AK478&gt;0.004,"Chase - balance outstanding",IF(AM478="Inactive","Gone - win-back offer",IF(AM478="Lapsing","Chase - lapsing, call them",IF(IF(N478="",FALSE,TodayDate-N478&gt;PatchTestDays),"Due - patch test out of date",IF(IF(AD478="",FALSE,IF(AB478&lt;&gt;"",FALSE,AD478&lt;=TodayDate+14)),"Rebook - due and nothing booked",IF(IF(K478="",FALSE,ABS(DATE(YEAR(TodayDate),MONTH(K478),DAY(K478))-TodayDate)&lt;=7),"Birthday - send the treat","OK")))))))))</f>
        <v>0</v>
      </c>
    </row>
    <row r="479" spans="1:43">
      <c r="A479" s="28">
        <f>IF(B479="","",ClientPrefix&amp;TEXT(ROW()-4,"0000"))</f>
        <v>0</v>
      </c>
      <c r="J479" s="15">
        <f>IF(I479="","",IFERROR(INDEX(Staff!$B$5:$B$44,MATCH(I479,Staff!$A$5:$A$44,0)),"Not in Staff"))</f>
        <v>0</v>
      </c>
      <c r="T479" s="25">
        <f>IF(B479="","",COUNTIFS(Appointments!$E$5:$E$1204,A479,Appointments!$M$5:$M$1204,"Completed"))</f>
        <v>0</v>
      </c>
      <c r="U479" s="25">
        <f>IF(B479="","",COUNTIFS(Appointments!$E$5:$E$1204,A479,Appointments!$M$5:$M$1204,"Completed",Appointments!$B$5:$B$1204,"&gt;="&amp;TodayDate-365))</f>
        <v>0</v>
      </c>
      <c r="V479" s="25">
        <f>IF(B479="","",COUNTIFS(Appointments!$E$5:$E$1204,A479,Appointments!$M$5:$M$1204,"Cancelled"))</f>
        <v>0</v>
      </c>
      <c r="W479" s="25">
        <f>IF(B479="","",COUNTIFS(Appointments!$E$5:$E$1204,A479,Appointments!$M$5:$M$1204,"No show"))</f>
        <v>0</v>
      </c>
      <c r="X479" s="17">
        <f>IF(B479="","",IF(F479&lt;&gt;"",F479,IF(T479=0,"",SUMPRODUCT(MIN((Appointments!$E$5:$E$1204=A479)*(Appointments!$M$5:$M$1204="Completed")*Appointments!$B$5:$B$1204+(1-(Appointments!$E$5:$E$1204=A479)*(Appointments!$M$5:$M$1204="Completed"))*2958465)))))</f>
        <v>0</v>
      </c>
      <c r="Y479" s="17">
        <f>IF(B479="","",IF(T479=0,"",SUMPRODUCT(MAX((Appointments!$E$5:$E$1204=A479)*(Appointments!$M$5:$M$1204="Completed")*Appointments!$B$5:$B$1204))))</f>
        <v>0</v>
      </c>
      <c r="Z479" s="25">
        <f>IF(B479="","",IF(Y479="","",TodayDate-Y479))</f>
        <v>0</v>
      </c>
      <c r="AA479" s="42">
        <f>IF(B479="","",SUMPRODUCT(MIN((Appointments!$E$5:$E$1204=A479)*(Appointments!$M$5:$M$1204&lt;&gt;"Cancelled")*(Appointments!$M$5:$M$1204&lt;&gt;"Completed")*(Appointments!$M$5:$M$1204&lt;&gt;"No show")*(Appointments!$B$5:$B$1204&gt;=TodayDate)*Appointments!$B$5:$B$1204+(1-(Appointments!$E$5:$E$1204=A479)*(Appointments!$M$5:$M$1204&lt;&gt;"Cancelled")*(Appointments!$M$5:$M$1204&lt;&gt;"Completed")*(Appointments!$M$5:$M$1204&lt;&gt;"No show")*(Appointments!$B$5:$B$1204&gt;=TodayDate))*2958465)))</f>
        <v>0</v>
      </c>
      <c r="AB479" s="17">
        <f>IF(B479="","",IF(AA479&gt;=2958465,"",AA479))</f>
        <v>0</v>
      </c>
      <c r="AC479" s="25">
        <f>IF(B479="","",IF(T479&lt;2,"",ROUND((Y479-X479)/MAX(1,T479-1),0)))</f>
        <v>0</v>
      </c>
      <c r="AD479" s="17">
        <f>IF(B479="","",IF(Y479="","",Y479+IF(AC479="",RebookWeeks*7,MAX(14,AC479))))</f>
        <v>0</v>
      </c>
      <c r="AE479" s="26">
        <f>IF(B479="","",ROUND(SUMIFS(Sales!$Y$5:$Y$1204,Sales!$D$5:$D$1204,A479),2))</f>
        <v>0</v>
      </c>
      <c r="AF479" s="26">
        <f>IF(B479="","",ROUND(SUMIFS(Sales!$Y$5:$Y$1204,Sales!$D$5:$D$1204,A479,Sales!$H$5:$H$1204,"Service"),2))</f>
        <v>0</v>
      </c>
      <c r="AG479" s="26">
        <f>IF(B479="","",ROUND(SUMIFS(Sales!$Y$5:$Y$1204,Sales!$D$5:$D$1204,A479,Sales!$H$5:$H$1204,"Retail"),2))</f>
        <v>0</v>
      </c>
      <c r="AH479" s="26">
        <f>IF(B479="","",ROUND(SUMIFS(Sales!$Y$5:$Y$1204,Sales!$D$5:$D$1204,A479,Sales!$B$5:$B$1204,"&gt;="&amp;TodayDate-365),2))</f>
        <v>0</v>
      </c>
      <c r="AI479" s="26">
        <f>IF(B479="","",IF(T479=0,"",ROUND(AE479/T479,2)))</f>
        <v>0</v>
      </c>
      <c r="AJ479" s="26">
        <f>IF(B479="","",IF(AI479="","",IF(AC479="","",ROUND(AI479*(365/MAX(14,AC479)),2))))</f>
        <v>0</v>
      </c>
      <c r="AK479" s="26">
        <f>IF(B479="","",ROUND(SUMIFS(Sales!$AH$5:$AH$1204,Sales!$D$5:$D$1204,A479),2))</f>
        <v>0</v>
      </c>
      <c r="AL479" s="25">
        <f>IF(B479="","",IFERROR(INDEX(Loyalty!$P$5:$P$504,MATCH(A479,Loyalty!$B$5:$B$504,0))*1,0))</f>
        <v>0</v>
      </c>
      <c r="AM479" s="39">
        <f>IF(B479="","",IF(R479="Archived","Archived",IF(T479=0,"Not been yet",IF(Z479&gt;=InactiveDays,"Inactive",IF(Z479&gt;=LapsingDays,"Lapsing",IF(T479=1,"New",IF(AH479&gt;=VipSpend,"VIP",IF(U479&gt;=4,"Regular","Active"))))))))</f>
        <v>0</v>
      </c>
      <c r="AN479" s="38">
        <f>IF(B479="","",IF(T479&gt;=2,"Yes","No"))</f>
        <v>0</v>
      </c>
      <c r="AO479" s="25">
        <f>IF(B479="","",COUNTIFS($AE$5:$AE$504,"&gt;"&amp;AE479)+COUNTIFS($AE$5:AE479,AE479))</f>
        <v>0</v>
      </c>
      <c r="AP479" s="25">
        <f>IF(B479="","",COUNTIFS($T$5:$T$504,"&gt;"&amp;T479)+COUNTIFS($T$5:T479,T479))</f>
        <v>0</v>
      </c>
      <c r="AQ479" s="39">
        <f>IF(B479="","",IF(COUNTIF($B$5:$B$504,B479)&gt;1,"Duplicate - same name twice",IF(R479="Archived","",IF(AK479&gt;0.004,"Chase - balance outstanding",IF(AM479="Inactive","Gone - win-back offer",IF(AM479="Lapsing","Chase - lapsing, call them",IF(IF(N479="",FALSE,TodayDate-N479&gt;PatchTestDays),"Due - patch test out of date",IF(IF(AD479="",FALSE,IF(AB479&lt;&gt;"",FALSE,AD479&lt;=TodayDate+14)),"Rebook - due and nothing booked",IF(IF(K479="",FALSE,ABS(DATE(YEAR(TodayDate),MONTH(K479),DAY(K479))-TodayDate)&lt;=7),"Birthday - send the treat","OK")))))))))</f>
        <v>0</v>
      </c>
    </row>
    <row r="480" spans="1:43">
      <c r="A480" s="28">
        <f>IF(B480="","",ClientPrefix&amp;TEXT(ROW()-4,"0000"))</f>
        <v>0</v>
      </c>
      <c r="J480" s="15">
        <f>IF(I480="","",IFERROR(INDEX(Staff!$B$5:$B$44,MATCH(I480,Staff!$A$5:$A$44,0)),"Not in Staff"))</f>
        <v>0</v>
      </c>
      <c r="T480" s="25">
        <f>IF(B480="","",COUNTIFS(Appointments!$E$5:$E$1204,A480,Appointments!$M$5:$M$1204,"Completed"))</f>
        <v>0</v>
      </c>
      <c r="U480" s="25">
        <f>IF(B480="","",COUNTIFS(Appointments!$E$5:$E$1204,A480,Appointments!$M$5:$M$1204,"Completed",Appointments!$B$5:$B$1204,"&gt;="&amp;TodayDate-365))</f>
        <v>0</v>
      </c>
      <c r="V480" s="25">
        <f>IF(B480="","",COUNTIFS(Appointments!$E$5:$E$1204,A480,Appointments!$M$5:$M$1204,"Cancelled"))</f>
        <v>0</v>
      </c>
      <c r="W480" s="25">
        <f>IF(B480="","",COUNTIFS(Appointments!$E$5:$E$1204,A480,Appointments!$M$5:$M$1204,"No show"))</f>
        <v>0</v>
      </c>
      <c r="X480" s="17">
        <f>IF(B480="","",IF(F480&lt;&gt;"",F480,IF(T480=0,"",SUMPRODUCT(MIN((Appointments!$E$5:$E$1204=A480)*(Appointments!$M$5:$M$1204="Completed")*Appointments!$B$5:$B$1204+(1-(Appointments!$E$5:$E$1204=A480)*(Appointments!$M$5:$M$1204="Completed"))*2958465)))))</f>
        <v>0</v>
      </c>
      <c r="Y480" s="17">
        <f>IF(B480="","",IF(T480=0,"",SUMPRODUCT(MAX((Appointments!$E$5:$E$1204=A480)*(Appointments!$M$5:$M$1204="Completed")*Appointments!$B$5:$B$1204))))</f>
        <v>0</v>
      </c>
      <c r="Z480" s="25">
        <f>IF(B480="","",IF(Y480="","",TodayDate-Y480))</f>
        <v>0</v>
      </c>
      <c r="AA480" s="42">
        <f>IF(B480="","",SUMPRODUCT(MIN((Appointments!$E$5:$E$1204=A480)*(Appointments!$M$5:$M$1204&lt;&gt;"Cancelled")*(Appointments!$M$5:$M$1204&lt;&gt;"Completed")*(Appointments!$M$5:$M$1204&lt;&gt;"No show")*(Appointments!$B$5:$B$1204&gt;=TodayDate)*Appointments!$B$5:$B$1204+(1-(Appointments!$E$5:$E$1204=A480)*(Appointments!$M$5:$M$1204&lt;&gt;"Cancelled")*(Appointments!$M$5:$M$1204&lt;&gt;"Completed")*(Appointments!$M$5:$M$1204&lt;&gt;"No show")*(Appointments!$B$5:$B$1204&gt;=TodayDate))*2958465)))</f>
        <v>0</v>
      </c>
      <c r="AB480" s="17">
        <f>IF(B480="","",IF(AA480&gt;=2958465,"",AA480))</f>
        <v>0</v>
      </c>
      <c r="AC480" s="25">
        <f>IF(B480="","",IF(T480&lt;2,"",ROUND((Y480-X480)/MAX(1,T480-1),0)))</f>
        <v>0</v>
      </c>
      <c r="AD480" s="17">
        <f>IF(B480="","",IF(Y480="","",Y480+IF(AC480="",RebookWeeks*7,MAX(14,AC480))))</f>
        <v>0</v>
      </c>
      <c r="AE480" s="26">
        <f>IF(B480="","",ROUND(SUMIFS(Sales!$Y$5:$Y$1204,Sales!$D$5:$D$1204,A480),2))</f>
        <v>0</v>
      </c>
      <c r="AF480" s="26">
        <f>IF(B480="","",ROUND(SUMIFS(Sales!$Y$5:$Y$1204,Sales!$D$5:$D$1204,A480,Sales!$H$5:$H$1204,"Service"),2))</f>
        <v>0</v>
      </c>
      <c r="AG480" s="26">
        <f>IF(B480="","",ROUND(SUMIFS(Sales!$Y$5:$Y$1204,Sales!$D$5:$D$1204,A480,Sales!$H$5:$H$1204,"Retail"),2))</f>
        <v>0</v>
      </c>
      <c r="AH480" s="26">
        <f>IF(B480="","",ROUND(SUMIFS(Sales!$Y$5:$Y$1204,Sales!$D$5:$D$1204,A480,Sales!$B$5:$B$1204,"&gt;="&amp;TodayDate-365),2))</f>
        <v>0</v>
      </c>
      <c r="AI480" s="26">
        <f>IF(B480="","",IF(T480=0,"",ROUND(AE480/T480,2)))</f>
        <v>0</v>
      </c>
      <c r="AJ480" s="26">
        <f>IF(B480="","",IF(AI480="","",IF(AC480="","",ROUND(AI480*(365/MAX(14,AC480)),2))))</f>
        <v>0</v>
      </c>
      <c r="AK480" s="26">
        <f>IF(B480="","",ROUND(SUMIFS(Sales!$AH$5:$AH$1204,Sales!$D$5:$D$1204,A480),2))</f>
        <v>0</v>
      </c>
      <c r="AL480" s="25">
        <f>IF(B480="","",IFERROR(INDEX(Loyalty!$P$5:$P$504,MATCH(A480,Loyalty!$B$5:$B$504,0))*1,0))</f>
        <v>0</v>
      </c>
      <c r="AM480" s="39">
        <f>IF(B480="","",IF(R480="Archived","Archived",IF(T480=0,"Not been yet",IF(Z480&gt;=InactiveDays,"Inactive",IF(Z480&gt;=LapsingDays,"Lapsing",IF(T480=1,"New",IF(AH480&gt;=VipSpend,"VIP",IF(U480&gt;=4,"Regular","Active"))))))))</f>
        <v>0</v>
      </c>
      <c r="AN480" s="38">
        <f>IF(B480="","",IF(T480&gt;=2,"Yes","No"))</f>
        <v>0</v>
      </c>
      <c r="AO480" s="25">
        <f>IF(B480="","",COUNTIFS($AE$5:$AE$504,"&gt;"&amp;AE480)+COUNTIFS($AE$5:AE480,AE480))</f>
        <v>0</v>
      </c>
      <c r="AP480" s="25">
        <f>IF(B480="","",COUNTIFS($T$5:$T$504,"&gt;"&amp;T480)+COUNTIFS($T$5:T480,T480))</f>
        <v>0</v>
      </c>
      <c r="AQ480" s="39">
        <f>IF(B480="","",IF(COUNTIF($B$5:$B$504,B480)&gt;1,"Duplicate - same name twice",IF(R480="Archived","",IF(AK480&gt;0.004,"Chase - balance outstanding",IF(AM480="Inactive","Gone - win-back offer",IF(AM480="Lapsing","Chase - lapsing, call them",IF(IF(N480="",FALSE,TodayDate-N480&gt;PatchTestDays),"Due - patch test out of date",IF(IF(AD480="",FALSE,IF(AB480&lt;&gt;"",FALSE,AD480&lt;=TodayDate+14)),"Rebook - due and nothing booked",IF(IF(K480="",FALSE,ABS(DATE(YEAR(TodayDate),MONTH(K480),DAY(K480))-TodayDate)&lt;=7),"Birthday - send the treat","OK")))))))))</f>
        <v>0</v>
      </c>
    </row>
    <row r="481" spans="1:43">
      <c r="A481" s="28">
        <f>IF(B481="","",ClientPrefix&amp;TEXT(ROW()-4,"0000"))</f>
        <v>0</v>
      </c>
      <c r="J481" s="15">
        <f>IF(I481="","",IFERROR(INDEX(Staff!$B$5:$B$44,MATCH(I481,Staff!$A$5:$A$44,0)),"Not in Staff"))</f>
        <v>0</v>
      </c>
      <c r="T481" s="25">
        <f>IF(B481="","",COUNTIFS(Appointments!$E$5:$E$1204,A481,Appointments!$M$5:$M$1204,"Completed"))</f>
        <v>0</v>
      </c>
      <c r="U481" s="25">
        <f>IF(B481="","",COUNTIFS(Appointments!$E$5:$E$1204,A481,Appointments!$M$5:$M$1204,"Completed",Appointments!$B$5:$B$1204,"&gt;="&amp;TodayDate-365))</f>
        <v>0</v>
      </c>
      <c r="V481" s="25">
        <f>IF(B481="","",COUNTIFS(Appointments!$E$5:$E$1204,A481,Appointments!$M$5:$M$1204,"Cancelled"))</f>
        <v>0</v>
      </c>
      <c r="W481" s="25">
        <f>IF(B481="","",COUNTIFS(Appointments!$E$5:$E$1204,A481,Appointments!$M$5:$M$1204,"No show"))</f>
        <v>0</v>
      </c>
      <c r="X481" s="17">
        <f>IF(B481="","",IF(F481&lt;&gt;"",F481,IF(T481=0,"",SUMPRODUCT(MIN((Appointments!$E$5:$E$1204=A481)*(Appointments!$M$5:$M$1204="Completed")*Appointments!$B$5:$B$1204+(1-(Appointments!$E$5:$E$1204=A481)*(Appointments!$M$5:$M$1204="Completed"))*2958465)))))</f>
        <v>0</v>
      </c>
      <c r="Y481" s="17">
        <f>IF(B481="","",IF(T481=0,"",SUMPRODUCT(MAX((Appointments!$E$5:$E$1204=A481)*(Appointments!$M$5:$M$1204="Completed")*Appointments!$B$5:$B$1204))))</f>
        <v>0</v>
      </c>
      <c r="Z481" s="25">
        <f>IF(B481="","",IF(Y481="","",TodayDate-Y481))</f>
        <v>0</v>
      </c>
      <c r="AA481" s="42">
        <f>IF(B481="","",SUMPRODUCT(MIN((Appointments!$E$5:$E$1204=A481)*(Appointments!$M$5:$M$1204&lt;&gt;"Cancelled")*(Appointments!$M$5:$M$1204&lt;&gt;"Completed")*(Appointments!$M$5:$M$1204&lt;&gt;"No show")*(Appointments!$B$5:$B$1204&gt;=TodayDate)*Appointments!$B$5:$B$1204+(1-(Appointments!$E$5:$E$1204=A481)*(Appointments!$M$5:$M$1204&lt;&gt;"Cancelled")*(Appointments!$M$5:$M$1204&lt;&gt;"Completed")*(Appointments!$M$5:$M$1204&lt;&gt;"No show")*(Appointments!$B$5:$B$1204&gt;=TodayDate))*2958465)))</f>
        <v>0</v>
      </c>
      <c r="AB481" s="17">
        <f>IF(B481="","",IF(AA481&gt;=2958465,"",AA481))</f>
        <v>0</v>
      </c>
      <c r="AC481" s="25">
        <f>IF(B481="","",IF(T481&lt;2,"",ROUND((Y481-X481)/MAX(1,T481-1),0)))</f>
        <v>0</v>
      </c>
      <c r="AD481" s="17">
        <f>IF(B481="","",IF(Y481="","",Y481+IF(AC481="",RebookWeeks*7,MAX(14,AC481))))</f>
        <v>0</v>
      </c>
      <c r="AE481" s="26">
        <f>IF(B481="","",ROUND(SUMIFS(Sales!$Y$5:$Y$1204,Sales!$D$5:$D$1204,A481),2))</f>
        <v>0</v>
      </c>
      <c r="AF481" s="26">
        <f>IF(B481="","",ROUND(SUMIFS(Sales!$Y$5:$Y$1204,Sales!$D$5:$D$1204,A481,Sales!$H$5:$H$1204,"Service"),2))</f>
        <v>0</v>
      </c>
      <c r="AG481" s="26">
        <f>IF(B481="","",ROUND(SUMIFS(Sales!$Y$5:$Y$1204,Sales!$D$5:$D$1204,A481,Sales!$H$5:$H$1204,"Retail"),2))</f>
        <v>0</v>
      </c>
      <c r="AH481" s="26">
        <f>IF(B481="","",ROUND(SUMIFS(Sales!$Y$5:$Y$1204,Sales!$D$5:$D$1204,A481,Sales!$B$5:$B$1204,"&gt;="&amp;TodayDate-365),2))</f>
        <v>0</v>
      </c>
      <c r="AI481" s="26">
        <f>IF(B481="","",IF(T481=0,"",ROUND(AE481/T481,2)))</f>
        <v>0</v>
      </c>
      <c r="AJ481" s="26">
        <f>IF(B481="","",IF(AI481="","",IF(AC481="","",ROUND(AI481*(365/MAX(14,AC481)),2))))</f>
        <v>0</v>
      </c>
      <c r="AK481" s="26">
        <f>IF(B481="","",ROUND(SUMIFS(Sales!$AH$5:$AH$1204,Sales!$D$5:$D$1204,A481),2))</f>
        <v>0</v>
      </c>
      <c r="AL481" s="25">
        <f>IF(B481="","",IFERROR(INDEX(Loyalty!$P$5:$P$504,MATCH(A481,Loyalty!$B$5:$B$504,0))*1,0))</f>
        <v>0</v>
      </c>
      <c r="AM481" s="39">
        <f>IF(B481="","",IF(R481="Archived","Archived",IF(T481=0,"Not been yet",IF(Z481&gt;=InactiveDays,"Inactive",IF(Z481&gt;=LapsingDays,"Lapsing",IF(T481=1,"New",IF(AH481&gt;=VipSpend,"VIP",IF(U481&gt;=4,"Regular","Active"))))))))</f>
        <v>0</v>
      </c>
      <c r="AN481" s="38">
        <f>IF(B481="","",IF(T481&gt;=2,"Yes","No"))</f>
        <v>0</v>
      </c>
      <c r="AO481" s="25">
        <f>IF(B481="","",COUNTIFS($AE$5:$AE$504,"&gt;"&amp;AE481)+COUNTIFS($AE$5:AE481,AE481))</f>
        <v>0</v>
      </c>
      <c r="AP481" s="25">
        <f>IF(B481="","",COUNTIFS($T$5:$T$504,"&gt;"&amp;T481)+COUNTIFS($T$5:T481,T481))</f>
        <v>0</v>
      </c>
      <c r="AQ481" s="39">
        <f>IF(B481="","",IF(COUNTIF($B$5:$B$504,B481)&gt;1,"Duplicate - same name twice",IF(R481="Archived","",IF(AK481&gt;0.004,"Chase - balance outstanding",IF(AM481="Inactive","Gone - win-back offer",IF(AM481="Lapsing","Chase - lapsing, call them",IF(IF(N481="",FALSE,TodayDate-N481&gt;PatchTestDays),"Due - patch test out of date",IF(IF(AD481="",FALSE,IF(AB481&lt;&gt;"",FALSE,AD481&lt;=TodayDate+14)),"Rebook - due and nothing booked",IF(IF(K481="",FALSE,ABS(DATE(YEAR(TodayDate),MONTH(K481),DAY(K481))-TodayDate)&lt;=7),"Birthday - send the treat","OK")))))))))</f>
        <v>0</v>
      </c>
    </row>
    <row r="482" spans="1:43">
      <c r="A482" s="28">
        <f>IF(B482="","",ClientPrefix&amp;TEXT(ROW()-4,"0000"))</f>
        <v>0</v>
      </c>
      <c r="J482" s="15">
        <f>IF(I482="","",IFERROR(INDEX(Staff!$B$5:$B$44,MATCH(I482,Staff!$A$5:$A$44,0)),"Not in Staff"))</f>
        <v>0</v>
      </c>
      <c r="T482" s="25">
        <f>IF(B482="","",COUNTIFS(Appointments!$E$5:$E$1204,A482,Appointments!$M$5:$M$1204,"Completed"))</f>
        <v>0</v>
      </c>
      <c r="U482" s="25">
        <f>IF(B482="","",COUNTIFS(Appointments!$E$5:$E$1204,A482,Appointments!$M$5:$M$1204,"Completed",Appointments!$B$5:$B$1204,"&gt;="&amp;TodayDate-365))</f>
        <v>0</v>
      </c>
      <c r="V482" s="25">
        <f>IF(B482="","",COUNTIFS(Appointments!$E$5:$E$1204,A482,Appointments!$M$5:$M$1204,"Cancelled"))</f>
        <v>0</v>
      </c>
      <c r="W482" s="25">
        <f>IF(B482="","",COUNTIFS(Appointments!$E$5:$E$1204,A482,Appointments!$M$5:$M$1204,"No show"))</f>
        <v>0</v>
      </c>
      <c r="X482" s="17">
        <f>IF(B482="","",IF(F482&lt;&gt;"",F482,IF(T482=0,"",SUMPRODUCT(MIN((Appointments!$E$5:$E$1204=A482)*(Appointments!$M$5:$M$1204="Completed")*Appointments!$B$5:$B$1204+(1-(Appointments!$E$5:$E$1204=A482)*(Appointments!$M$5:$M$1204="Completed"))*2958465)))))</f>
        <v>0</v>
      </c>
      <c r="Y482" s="17">
        <f>IF(B482="","",IF(T482=0,"",SUMPRODUCT(MAX((Appointments!$E$5:$E$1204=A482)*(Appointments!$M$5:$M$1204="Completed")*Appointments!$B$5:$B$1204))))</f>
        <v>0</v>
      </c>
      <c r="Z482" s="25">
        <f>IF(B482="","",IF(Y482="","",TodayDate-Y482))</f>
        <v>0</v>
      </c>
      <c r="AA482" s="42">
        <f>IF(B482="","",SUMPRODUCT(MIN((Appointments!$E$5:$E$1204=A482)*(Appointments!$M$5:$M$1204&lt;&gt;"Cancelled")*(Appointments!$M$5:$M$1204&lt;&gt;"Completed")*(Appointments!$M$5:$M$1204&lt;&gt;"No show")*(Appointments!$B$5:$B$1204&gt;=TodayDate)*Appointments!$B$5:$B$1204+(1-(Appointments!$E$5:$E$1204=A482)*(Appointments!$M$5:$M$1204&lt;&gt;"Cancelled")*(Appointments!$M$5:$M$1204&lt;&gt;"Completed")*(Appointments!$M$5:$M$1204&lt;&gt;"No show")*(Appointments!$B$5:$B$1204&gt;=TodayDate))*2958465)))</f>
        <v>0</v>
      </c>
      <c r="AB482" s="17">
        <f>IF(B482="","",IF(AA482&gt;=2958465,"",AA482))</f>
        <v>0</v>
      </c>
      <c r="AC482" s="25">
        <f>IF(B482="","",IF(T482&lt;2,"",ROUND((Y482-X482)/MAX(1,T482-1),0)))</f>
        <v>0</v>
      </c>
      <c r="AD482" s="17">
        <f>IF(B482="","",IF(Y482="","",Y482+IF(AC482="",RebookWeeks*7,MAX(14,AC482))))</f>
        <v>0</v>
      </c>
      <c r="AE482" s="26">
        <f>IF(B482="","",ROUND(SUMIFS(Sales!$Y$5:$Y$1204,Sales!$D$5:$D$1204,A482),2))</f>
        <v>0</v>
      </c>
      <c r="AF482" s="26">
        <f>IF(B482="","",ROUND(SUMIFS(Sales!$Y$5:$Y$1204,Sales!$D$5:$D$1204,A482,Sales!$H$5:$H$1204,"Service"),2))</f>
        <v>0</v>
      </c>
      <c r="AG482" s="26">
        <f>IF(B482="","",ROUND(SUMIFS(Sales!$Y$5:$Y$1204,Sales!$D$5:$D$1204,A482,Sales!$H$5:$H$1204,"Retail"),2))</f>
        <v>0</v>
      </c>
      <c r="AH482" s="26">
        <f>IF(B482="","",ROUND(SUMIFS(Sales!$Y$5:$Y$1204,Sales!$D$5:$D$1204,A482,Sales!$B$5:$B$1204,"&gt;="&amp;TodayDate-365),2))</f>
        <v>0</v>
      </c>
      <c r="AI482" s="26">
        <f>IF(B482="","",IF(T482=0,"",ROUND(AE482/T482,2)))</f>
        <v>0</v>
      </c>
      <c r="AJ482" s="26">
        <f>IF(B482="","",IF(AI482="","",IF(AC482="","",ROUND(AI482*(365/MAX(14,AC482)),2))))</f>
        <v>0</v>
      </c>
      <c r="AK482" s="26">
        <f>IF(B482="","",ROUND(SUMIFS(Sales!$AH$5:$AH$1204,Sales!$D$5:$D$1204,A482),2))</f>
        <v>0</v>
      </c>
      <c r="AL482" s="25">
        <f>IF(B482="","",IFERROR(INDEX(Loyalty!$P$5:$P$504,MATCH(A482,Loyalty!$B$5:$B$504,0))*1,0))</f>
        <v>0</v>
      </c>
      <c r="AM482" s="39">
        <f>IF(B482="","",IF(R482="Archived","Archived",IF(T482=0,"Not been yet",IF(Z482&gt;=InactiveDays,"Inactive",IF(Z482&gt;=LapsingDays,"Lapsing",IF(T482=1,"New",IF(AH482&gt;=VipSpend,"VIP",IF(U482&gt;=4,"Regular","Active"))))))))</f>
        <v>0</v>
      </c>
      <c r="AN482" s="38">
        <f>IF(B482="","",IF(T482&gt;=2,"Yes","No"))</f>
        <v>0</v>
      </c>
      <c r="AO482" s="25">
        <f>IF(B482="","",COUNTIFS($AE$5:$AE$504,"&gt;"&amp;AE482)+COUNTIFS($AE$5:AE482,AE482))</f>
        <v>0</v>
      </c>
      <c r="AP482" s="25">
        <f>IF(B482="","",COUNTIFS($T$5:$T$504,"&gt;"&amp;T482)+COUNTIFS($T$5:T482,T482))</f>
        <v>0</v>
      </c>
      <c r="AQ482" s="39">
        <f>IF(B482="","",IF(COUNTIF($B$5:$B$504,B482)&gt;1,"Duplicate - same name twice",IF(R482="Archived","",IF(AK482&gt;0.004,"Chase - balance outstanding",IF(AM482="Inactive","Gone - win-back offer",IF(AM482="Lapsing","Chase - lapsing, call them",IF(IF(N482="",FALSE,TodayDate-N482&gt;PatchTestDays),"Due - patch test out of date",IF(IF(AD482="",FALSE,IF(AB482&lt;&gt;"",FALSE,AD482&lt;=TodayDate+14)),"Rebook - due and nothing booked",IF(IF(K482="",FALSE,ABS(DATE(YEAR(TodayDate),MONTH(K482),DAY(K482))-TodayDate)&lt;=7),"Birthday - send the treat","OK")))))))))</f>
        <v>0</v>
      </c>
    </row>
    <row r="483" spans="1:43">
      <c r="A483" s="28">
        <f>IF(B483="","",ClientPrefix&amp;TEXT(ROW()-4,"0000"))</f>
        <v>0</v>
      </c>
      <c r="J483" s="15">
        <f>IF(I483="","",IFERROR(INDEX(Staff!$B$5:$B$44,MATCH(I483,Staff!$A$5:$A$44,0)),"Not in Staff"))</f>
        <v>0</v>
      </c>
      <c r="T483" s="25">
        <f>IF(B483="","",COUNTIFS(Appointments!$E$5:$E$1204,A483,Appointments!$M$5:$M$1204,"Completed"))</f>
        <v>0</v>
      </c>
      <c r="U483" s="25">
        <f>IF(B483="","",COUNTIFS(Appointments!$E$5:$E$1204,A483,Appointments!$M$5:$M$1204,"Completed",Appointments!$B$5:$B$1204,"&gt;="&amp;TodayDate-365))</f>
        <v>0</v>
      </c>
      <c r="V483" s="25">
        <f>IF(B483="","",COUNTIFS(Appointments!$E$5:$E$1204,A483,Appointments!$M$5:$M$1204,"Cancelled"))</f>
        <v>0</v>
      </c>
      <c r="W483" s="25">
        <f>IF(B483="","",COUNTIFS(Appointments!$E$5:$E$1204,A483,Appointments!$M$5:$M$1204,"No show"))</f>
        <v>0</v>
      </c>
      <c r="X483" s="17">
        <f>IF(B483="","",IF(F483&lt;&gt;"",F483,IF(T483=0,"",SUMPRODUCT(MIN((Appointments!$E$5:$E$1204=A483)*(Appointments!$M$5:$M$1204="Completed")*Appointments!$B$5:$B$1204+(1-(Appointments!$E$5:$E$1204=A483)*(Appointments!$M$5:$M$1204="Completed"))*2958465)))))</f>
        <v>0</v>
      </c>
      <c r="Y483" s="17">
        <f>IF(B483="","",IF(T483=0,"",SUMPRODUCT(MAX((Appointments!$E$5:$E$1204=A483)*(Appointments!$M$5:$M$1204="Completed")*Appointments!$B$5:$B$1204))))</f>
        <v>0</v>
      </c>
      <c r="Z483" s="25">
        <f>IF(B483="","",IF(Y483="","",TodayDate-Y483))</f>
        <v>0</v>
      </c>
      <c r="AA483" s="42">
        <f>IF(B483="","",SUMPRODUCT(MIN((Appointments!$E$5:$E$1204=A483)*(Appointments!$M$5:$M$1204&lt;&gt;"Cancelled")*(Appointments!$M$5:$M$1204&lt;&gt;"Completed")*(Appointments!$M$5:$M$1204&lt;&gt;"No show")*(Appointments!$B$5:$B$1204&gt;=TodayDate)*Appointments!$B$5:$B$1204+(1-(Appointments!$E$5:$E$1204=A483)*(Appointments!$M$5:$M$1204&lt;&gt;"Cancelled")*(Appointments!$M$5:$M$1204&lt;&gt;"Completed")*(Appointments!$M$5:$M$1204&lt;&gt;"No show")*(Appointments!$B$5:$B$1204&gt;=TodayDate))*2958465)))</f>
        <v>0</v>
      </c>
      <c r="AB483" s="17">
        <f>IF(B483="","",IF(AA483&gt;=2958465,"",AA483))</f>
        <v>0</v>
      </c>
      <c r="AC483" s="25">
        <f>IF(B483="","",IF(T483&lt;2,"",ROUND((Y483-X483)/MAX(1,T483-1),0)))</f>
        <v>0</v>
      </c>
      <c r="AD483" s="17">
        <f>IF(B483="","",IF(Y483="","",Y483+IF(AC483="",RebookWeeks*7,MAX(14,AC483))))</f>
        <v>0</v>
      </c>
      <c r="AE483" s="26">
        <f>IF(B483="","",ROUND(SUMIFS(Sales!$Y$5:$Y$1204,Sales!$D$5:$D$1204,A483),2))</f>
        <v>0</v>
      </c>
      <c r="AF483" s="26">
        <f>IF(B483="","",ROUND(SUMIFS(Sales!$Y$5:$Y$1204,Sales!$D$5:$D$1204,A483,Sales!$H$5:$H$1204,"Service"),2))</f>
        <v>0</v>
      </c>
      <c r="AG483" s="26">
        <f>IF(B483="","",ROUND(SUMIFS(Sales!$Y$5:$Y$1204,Sales!$D$5:$D$1204,A483,Sales!$H$5:$H$1204,"Retail"),2))</f>
        <v>0</v>
      </c>
      <c r="AH483" s="26">
        <f>IF(B483="","",ROUND(SUMIFS(Sales!$Y$5:$Y$1204,Sales!$D$5:$D$1204,A483,Sales!$B$5:$B$1204,"&gt;="&amp;TodayDate-365),2))</f>
        <v>0</v>
      </c>
      <c r="AI483" s="26">
        <f>IF(B483="","",IF(T483=0,"",ROUND(AE483/T483,2)))</f>
        <v>0</v>
      </c>
      <c r="AJ483" s="26">
        <f>IF(B483="","",IF(AI483="","",IF(AC483="","",ROUND(AI483*(365/MAX(14,AC483)),2))))</f>
        <v>0</v>
      </c>
      <c r="AK483" s="26">
        <f>IF(B483="","",ROUND(SUMIFS(Sales!$AH$5:$AH$1204,Sales!$D$5:$D$1204,A483),2))</f>
        <v>0</v>
      </c>
      <c r="AL483" s="25">
        <f>IF(B483="","",IFERROR(INDEX(Loyalty!$P$5:$P$504,MATCH(A483,Loyalty!$B$5:$B$504,0))*1,0))</f>
        <v>0</v>
      </c>
      <c r="AM483" s="39">
        <f>IF(B483="","",IF(R483="Archived","Archived",IF(T483=0,"Not been yet",IF(Z483&gt;=InactiveDays,"Inactive",IF(Z483&gt;=LapsingDays,"Lapsing",IF(T483=1,"New",IF(AH483&gt;=VipSpend,"VIP",IF(U483&gt;=4,"Regular","Active"))))))))</f>
        <v>0</v>
      </c>
      <c r="AN483" s="38">
        <f>IF(B483="","",IF(T483&gt;=2,"Yes","No"))</f>
        <v>0</v>
      </c>
      <c r="AO483" s="25">
        <f>IF(B483="","",COUNTIFS($AE$5:$AE$504,"&gt;"&amp;AE483)+COUNTIFS($AE$5:AE483,AE483))</f>
        <v>0</v>
      </c>
      <c r="AP483" s="25">
        <f>IF(B483="","",COUNTIFS($T$5:$T$504,"&gt;"&amp;T483)+COUNTIFS($T$5:T483,T483))</f>
        <v>0</v>
      </c>
      <c r="AQ483" s="39">
        <f>IF(B483="","",IF(COUNTIF($B$5:$B$504,B483)&gt;1,"Duplicate - same name twice",IF(R483="Archived","",IF(AK483&gt;0.004,"Chase - balance outstanding",IF(AM483="Inactive","Gone - win-back offer",IF(AM483="Lapsing","Chase - lapsing, call them",IF(IF(N483="",FALSE,TodayDate-N483&gt;PatchTestDays),"Due - patch test out of date",IF(IF(AD483="",FALSE,IF(AB483&lt;&gt;"",FALSE,AD483&lt;=TodayDate+14)),"Rebook - due and nothing booked",IF(IF(K483="",FALSE,ABS(DATE(YEAR(TodayDate),MONTH(K483),DAY(K483))-TodayDate)&lt;=7),"Birthday - send the treat","OK")))))))))</f>
        <v>0</v>
      </c>
    </row>
    <row r="484" spans="1:43">
      <c r="A484" s="28">
        <f>IF(B484="","",ClientPrefix&amp;TEXT(ROW()-4,"0000"))</f>
        <v>0</v>
      </c>
      <c r="J484" s="15">
        <f>IF(I484="","",IFERROR(INDEX(Staff!$B$5:$B$44,MATCH(I484,Staff!$A$5:$A$44,0)),"Not in Staff"))</f>
        <v>0</v>
      </c>
      <c r="T484" s="25">
        <f>IF(B484="","",COUNTIFS(Appointments!$E$5:$E$1204,A484,Appointments!$M$5:$M$1204,"Completed"))</f>
        <v>0</v>
      </c>
      <c r="U484" s="25">
        <f>IF(B484="","",COUNTIFS(Appointments!$E$5:$E$1204,A484,Appointments!$M$5:$M$1204,"Completed",Appointments!$B$5:$B$1204,"&gt;="&amp;TodayDate-365))</f>
        <v>0</v>
      </c>
      <c r="V484" s="25">
        <f>IF(B484="","",COUNTIFS(Appointments!$E$5:$E$1204,A484,Appointments!$M$5:$M$1204,"Cancelled"))</f>
        <v>0</v>
      </c>
      <c r="W484" s="25">
        <f>IF(B484="","",COUNTIFS(Appointments!$E$5:$E$1204,A484,Appointments!$M$5:$M$1204,"No show"))</f>
        <v>0</v>
      </c>
      <c r="X484" s="17">
        <f>IF(B484="","",IF(F484&lt;&gt;"",F484,IF(T484=0,"",SUMPRODUCT(MIN((Appointments!$E$5:$E$1204=A484)*(Appointments!$M$5:$M$1204="Completed")*Appointments!$B$5:$B$1204+(1-(Appointments!$E$5:$E$1204=A484)*(Appointments!$M$5:$M$1204="Completed"))*2958465)))))</f>
        <v>0</v>
      </c>
      <c r="Y484" s="17">
        <f>IF(B484="","",IF(T484=0,"",SUMPRODUCT(MAX((Appointments!$E$5:$E$1204=A484)*(Appointments!$M$5:$M$1204="Completed")*Appointments!$B$5:$B$1204))))</f>
        <v>0</v>
      </c>
      <c r="Z484" s="25">
        <f>IF(B484="","",IF(Y484="","",TodayDate-Y484))</f>
        <v>0</v>
      </c>
      <c r="AA484" s="42">
        <f>IF(B484="","",SUMPRODUCT(MIN((Appointments!$E$5:$E$1204=A484)*(Appointments!$M$5:$M$1204&lt;&gt;"Cancelled")*(Appointments!$M$5:$M$1204&lt;&gt;"Completed")*(Appointments!$M$5:$M$1204&lt;&gt;"No show")*(Appointments!$B$5:$B$1204&gt;=TodayDate)*Appointments!$B$5:$B$1204+(1-(Appointments!$E$5:$E$1204=A484)*(Appointments!$M$5:$M$1204&lt;&gt;"Cancelled")*(Appointments!$M$5:$M$1204&lt;&gt;"Completed")*(Appointments!$M$5:$M$1204&lt;&gt;"No show")*(Appointments!$B$5:$B$1204&gt;=TodayDate))*2958465)))</f>
        <v>0</v>
      </c>
      <c r="AB484" s="17">
        <f>IF(B484="","",IF(AA484&gt;=2958465,"",AA484))</f>
        <v>0</v>
      </c>
      <c r="AC484" s="25">
        <f>IF(B484="","",IF(T484&lt;2,"",ROUND((Y484-X484)/MAX(1,T484-1),0)))</f>
        <v>0</v>
      </c>
      <c r="AD484" s="17">
        <f>IF(B484="","",IF(Y484="","",Y484+IF(AC484="",RebookWeeks*7,MAX(14,AC484))))</f>
        <v>0</v>
      </c>
      <c r="AE484" s="26">
        <f>IF(B484="","",ROUND(SUMIFS(Sales!$Y$5:$Y$1204,Sales!$D$5:$D$1204,A484),2))</f>
        <v>0</v>
      </c>
      <c r="AF484" s="26">
        <f>IF(B484="","",ROUND(SUMIFS(Sales!$Y$5:$Y$1204,Sales!$D$5:$D$1204,A484,Sales!$H$5:$H$1204,"Service"),2))</f>
        <v>0</v>
      </c>
      <c r="AG484" s="26">
        <f>IF(B484="","",ROUND(SUMIFS(Sales!$Y$5:$Y$1204,Sales!$D$5:$D$1204,A484,Sales!$H$5:$H$1204,"Retail"),2))</f>
        <v>0</v>
      </c>
      <c r="AH484" s="26">
        <f>IF(B484="","",ROUND(SUMIFS(Sales!$Y$5:$Y$1204,Sales!$D$5:$D$1204,A484,Sales!$B$5:$B$1204,"&gt;="&amp;TodayDate-365),2))</f>
        <v>0</v>
      </c>
      <c r="AI484" s="26">
        <f>IF(B484="","",IF(T484=0,"",ROUND(AE484/T484,2)))</f>
        <v>0</v>
      </c>
      <c r="AJ484" s="26">
        <f>IF(B484="","",IF(AI484="","",IF(AC484="","",ROUND(AI484*(365/MAX(14,AC484)),2))))</f>
        <v>0</v>
      </c>
      <c r="AK484" s="26">
        <f>IF(B484="","",ROUND(SUMIFS(Sales!$AH$5:$AH$1204,Sales!$D$5:$D$1204,A484),2))</f>
        <v>0</v>
      </c>
      <c r="AL484" s="25">
        <f>IF(B484="","",IFERROR(INDEX(Loyalty!$P$5:$P$504,MATCH(A484,Loyalty!$B$5:$B$504,0))*1,0))</f>
        <v>0</v>
      </c>
      <c r="AM484" s="39">
        <f>IF(B484="","",IF(R484="Archived","Archived",IF(T484=0,"Not been yet",IF(Z484&gt;=InactiveDays,"Inactive",IF(Z484&gt;=LapsingDays,"Lapsing",IF(T484=1,"New",IF(AH484&gt;=VipSpend,"VIP",IF(U484&gt;=4,"Regular","Active"))))))))</f>
        <v>0</v>
      </c>
      <c r="AN484" s="38">
        <f>IF(B484="","",IF(T484&gt;=2,"Yes","No"))</f>
        <v>0</v>
      </c>
      <c r="AO484" s="25">
        <f>IF(B484="","",COUNTIFS($AE$5:$AE$504,"&gt;"&amp;AE484)+COUNTIFS($AE$5:AE484,AE484))</f>
        <v>0</v>
      </c>
      <c r="AP484" s="25">
        <f>IF(B484="","",COUNTIFS($T$5:$T$504,"&gt;"&amp;T484)+COUNTIFS($T$5:T484,T484))</f>
        <v>0</v>
      </c>
      <c r="AQ484" s="39">
        <f>IF(B484="","",IF(COUNTIF($B$5:$B$504,B484)&gt;1,"Duplicate - same name twice",IF(R484="Archived","",IF(AK484&gt;0.004,"Chase - balance outstanding",IF(AM484="Inactive","Gone - win-back offer",IF(AM484="Lapsing","Chase - lapsing, call them",IF(IF(N484="",FALSE,TodayDate-N484&gt;PatchTestDays),"Due - patch test out of date",IF(IF(AD484="",FALSE,IF(AB484&lt;&gt;"",FALSE,AD484&lt;=TodayDate+14)),"Rebook - due and nothing booked",IF(IF(K484="",FALSE,ABS(DATE(YEAR(TodayDate),MONTH(K484),DAY(K484))-TodayDate)&lt;=7),"Birthday - send the treat","OK")))))))))</f>
        <v>0</v>
      </c>
    </row>
    <row r="485" spans="1:43">
      <c r="A485" s="28">
        <f>IF(B485="","",ClientPrefix&amp;TEXT(ROW()-4,"0000"))</f>
        <v>0</v>
      </c>
      <c r="J485" s="15">
        <f>IF(I485="","",IFERROR(INDEX(Staff!$B$5:$B$44,MATCH(I485,Staff!$A$5:$A$44,0)),"Not in Staff"))</f>
        <v>0</v>
      </c>
      <c r="T485" s="25">
        <f>IF(B485="","",COUNTIFS(Appointments!$E$5:$E$1204,A485,Appointments!$M$5:$M$1204,"Completed"))</f>
        <v>0</v>
      </c>
      <c r="U485" s="25">
        <f>IF(B485="","",COUNTIFS(Appointments!$E$5:$E$1204,A485,Appointments!$M$5:$M$1204,"Completed",Appointments!$B$5:$B$1204,"&gt;="&amp;TodayDate-365))</f>
        <v>0</v>
      </c>
      <c r="V485" s="25">
        <f>IF(B485="","",COUNTIFS(Appointments!$E$5:$E$1204,A485,Appointments!$M$5:$M$1204,"Cancelled"))</f>
        <v>0</v>
      </c>
      <c r="W485" s="25">
        <f>IF(B485="","",COUNTIFS(Appointments!$E$5:$E$1204,A485,Appointments!$M$5:$M$1204,"No show"))</f>
        <v>0</v>
      </c>
      <c r="X485" s="17">
        <f>IF(B485="","",IF(F485&lt;&gt;"",F485,IF(T485=0,"",SUMPRODUCT(MIN((Appointments!$E$5:$E$1204=A485)*(Appointments!$M$5:$M$1204="Completed")*Appointments!$B$5:$B$1204+(1-(Appointments!$E$5:$E$1204=A485)*(Appointments!$M$5:$M$1204="Completed"))*2958465)))))</f>
        <v>0</v>
      </c>
      <c r="Y485" s="17">
        <f>IF(B485="","",IF(T485=0,"",SUMPRODUCT(MAX((Appointments!$E$5:$E$1204=A485)*(Appointments!$M$5:$M$1204="Completed")*Appointments!$B$5:$B$1204))))</f>
        <v>0</v>
      </c>
      <c r="Z485" s="25">
        <f>IF(B485="","",IF(Y485="","",TodayDate-Y485))</f>
        <v>0</v>
      </c>
      <c r="AA485" s="42">
        <f>IF(B485="","",SUMPRODUCT(MIN((Appointments!$E$5:$E$1204=A485)*(Appointments!$M$5:$M$1204&lt;&gt;"Cancelled")*(Appointments!$M$5:$M$1204&lt;&gt;"Completed")*(Appointments!$M$5:$M$1204&lt;&gt;"No show")*(Appointments!$B$5:$B$1204&gt;=TodayDate)*Appointments!$B$5:$B$1204+(1-(Appointments!$E$5:$E$1204=A485)*(Appointments!$M$5:$M$1204&lt;&gt;"Cancelled")*(Appointments!$M$5:$M$1204&lt;&gt;"Completed")*(Appointments!$M$5:$M$1204&lt;&gt;"No show")*(Appointments!$B$5:$B$1204&gt;=TodayDate))*2958465)))</f>
        <v>0</v>
      </c>
      <c r="AB485" s="17">
        <f>IF(B485="","",IF(AA485&gt;=2958465,"",AA485))</f>
        <v>0</v>
      </c>
      <c r="AC485" s="25">
        <f>IF(B485="","",IF(T485&lt;2,"",ROUND((Y485-X485)/MAX(1,T485-1),0)))</f>
        <v>0</v>
      </c>
      <c r="AD485" s="17">
        <f>IF(B485="","",IF(Y485="","",Y485+IF(AC485="",RebookWeeks*7,MAX(14,AC485))))</f>
        <v>0</v>
      </c>
      <c r="AE485" s="26">
        <f>IF(B485="","",ROUND(SUMIFS(Sales!$Y$5:$Y$1204,Sales!$D$5:$D$1204,A485),2))</f>
        <v>0</v>
      </c>
      <c r="AF485" s="26">
        <f>IF(B485="","",ROUND(SUMIFS(Sales!$Y$5:$Y$1204,Sales!$D$5:$D$1204,A485,Sales!$H$5:$H$1204,"Service"),2))</f>
        <v>0</v>
      </c>
      <c r="AG485" s="26">
        <f>IF(B485="","",ROUND(SUMIFS(Sales!$Y$5:$Y$1204,Sales!$D$5:$D$1204,A485,Sales!$H$5:$H$1204,"Retail"),2))</f>
        <v>0</v>
      </c>
      <c r="AH485" s="26">
        <f>IF(B485="","",ROUND(SUMIFS(Sales!$Y$5:$Y$1204,Sales!$D$5:$D$1204,A485,Sales!$B$5:$B$1204,"&gt;="&amp;TodayDate-365),2))</f>
        <v>0</v>
      </c>
      <c r="AI485" s="26">
        <f>IF(B485="","",IF(T485=0,"",ROUND(AE485/T485,2)))</f>
        <v>0</v>
      </c>
      <c r="AJ485" s="26">
        <f>IF(B485="","",IF(AI485="","",IF(AC485="","",ROUND(AI485*(365/MAX(14,AC485)),2))))</f>
        <v>0</v>
      </c>
      <c r="AK485" s="26">
        <f>IF(B485="","",ROUND(SUMIFS(Sales!$AH$5:$AH$1204,Sales!$D$5:$D$1204,A485),2))</f>
        <v>0</v>
      </c>
      <c r="AL485" s="25">
        <f>IF(B485="","",IFERROR(INDEX(Loyalty!$P$5:$P$504,MATCH(A485,Loyalty!$B$5:$B$504,0))*1,0))</f>
        <v>0</v>
      </c>
      <c r="AM485" s="39">
        <f>IF(B485="","",IF(R485="Archived","Archived",IF(T485=0,"Not been yet",IF(Z485&gt;=InactiveDays,"Inactive",IF(Z485&gt;=LapsingDays,"Lapsing",IF(T485=1,"New",IF(AH485&gt;=VipSpend,"VIP",IF(U485&gt;=4,"Regular","Active"))))))))</f>
        <v>0</v>
      </c>
      <c r="AN485" s="38">
        <f>IF(B485="","",IF(T485&gt;=2,"Yes","No"))</f>
        <v>0</v>
      </c>
      <c r="AO485" s="25">
        <f>IF(B485="","",COUNTIFS($AE$5:$AE$504,"&gt;"&amp;AE485)+COUNTIFS($AE$5:AE485,AE485))</f>
        <v>0</v>
      </c>
      <c r="AP485" s="25">
        <f>IF(B485="","",COUNTIFS($T$5:$T$504,"&gt;"&amp;T485)+COUNTIFS($T$5:T485,T485))</f>
        <v>0</v>
      </c>
      <c r="AQ485" s="39">
        <f>IF(B485="","",IF(COUNTIF($B$5:$B$504,B485)&gt;1,"Duplicate - same name twice",IF(R485="Archived","",IF(AK485&gt;0.004,"Chase - balance outstanding",IF(AM485="Inactive","Gone - win-back offer",IF(AM485="Lapsing","Chase - lapsing, call them",IF(IF(N485="",FALSE,TodayDate-N485&gt;PatchTestDays),"Due - patch test out of date",IF(IF(AD485="",FALSE,IF(AB485&lt;&gt;"",FALSE,AD485&lt;=TodayDate+14)),"Rebook - due and nothing booked",IF(IF(K485="",FALSE,ABS(DATE(YEAR(TodayDate),MONTH(K485),DAY(K485))-TodayDate)&lt;=7),"Birthday - send the treat","OK")))))))))</f>
        <v>0</v>
      </c>
    </row>
    <row r="486" spans="1:43">
      <c r="A486" s="28">
        <f>IF(B486="","",ClientPrefix&amp;TEXT(ROW()-4,"0000"))</f>
        <v>0</v>
      </c>
      <c r="J486" s="15">
        <f>IF(I486="","",IFERROR(INDEX(Staff!$B$5:$B$44,MATCH(I486,Staff!$A$5:$A$44,0)),"Not in Staff"))</f>
        <v>0</v>
      </c>
      <c r="T486" s="25">
        <f>IF(B486="","",COUNTIFS(Appointments!$E$5:$E$1204,A486,Appointments!$M$5:$M$1204,"Completed"))</f>
        <v>0</v>
      </c>
      <c r="U486" s="25">
        <f>IF(B486="","",COUNTIFS(Appointments!$E$5:$E$1204,A486,Appointments!$M$5:$M$1204,"Completed",Appointments!$B$5:$B$1204,"&gt;="&amp;TodayDate-365))</f>
        <v>0</v>
      </c>
      <c r="V486" s="25">
        <f>IF(B486="","",COUNTIFS(Appointments!$E$5:$E$1204,A486,Appointments!$M$5:$M$1204,"Cancelled"))</f>
        <v>0</v>
      </c>
      <c r="W486" s="25">
        <f>IF(B486="","",COUNTIFS(Appointments!$E$5:$E$1204,A486,Appointments!$M$5:$M$1204,"No show"))</f>
        <v>0</v>
      </c>
      <c r="X486" s="17">
        <f>IF(B486="","",IF(F486&lt;&gt;"",F486,IF(T486=0,"",SUMPRODUCT(MIN((Appointments!$E$5:$E$1204=A486)*(Appointments!$M$5:$M$1204="Completed")*Appointments!$B$5:$B$1204+(1-(Appointments!$E$5:$E$1204=A486)*(Appointments!$M$5:$M$1204="Completed"))*2958465)))))</f>
        <v>0</v>
      </c>
      <c r="Y486" s="17">
        <f>IF(B486="","",IF(T486=0,"",SUMPRODUCT(MAX((Appointments!$E$5:$E$1204=A486)*(Appointments!$M$5:$M$1204="Completed")*Appointments!$B$5:$B$1204))))</f>
        <v>0</v>
      </c>
      <c r="Z486" s="25">
        <f>IF(B486="","",IF(Y486="","",TodayDate-Y486))</f>
        <v>0</v>
      </c>
      <c r="AA486" s="42">
        <f>IF(B486="","",SUMPRODUCT(MIN((Appointments!$E$5:$E$1204=A486)*(Appointments!$M$5:$M$1204&lt;&gt;"Cancelled")*(Appointments!$M$5:$M$1204&lt;&gt;"Completed")*(Appointments!$M$5:$M$1204&lt;&gt;"No show")*(Appointments!$B$5:$B$1204&gt;=TodayDate)*Appointments!$B$5:$B$1204+(1-(Appointments!$E$5:$E$1204=A486)*(Appointments!$M$5:$M$1204&lt;&gt;"Cancelled")*(Appointments!$M$5:$M$1204&lt;&gt;"Completed")*(Appointments!$M$5:$M$1204&lt;&gt;"No show")*(Appointments!$B$5:$B$1204&gt;=TodayDate))*2958465)))</f>
        <v>0</v>
      </c>
      <c r="AB486" s="17">
        <f>IF(B486="","",IF(AA486&gt;=2958465,"",AA486))</f>
        <v>0</v>
      </c>
      <c r="AC486" s="25">
        <f>IF(B486="","",IF(T486&lt;2,"",ROUND((Y486-X486)/MAX(1,T486-1),0)))</f>
        <v>0</v>
      </c>
      <c r="AD486" s="17">
        <f>IF(B486="","",IF(Y486="","",Y486+IF(AC486="",RebookWeeks*7,MAX(14,AC486))))</f>
        <v>0</v>
      </c>
      <c r="AE486" s="26">
        <f>IF(B486="","",ROUND(SUMIFS(Sales!$Y$5:$Y$1204,Sales!$D$5:$D$1204,A486),2))</f>
        <v>0</v>
      </c>
      <c r="AF486" s="26">
        <f>IF(B486="","",ROUND(SUMIFS(Sales!$Y$5:$Y$1204,Sales!$D$5:$D$1204,A486,Sales!$H$5:$H$1204,"Service"),2))</f>
        <v>0</v>
      </c>
      <c r="AG486" s="26">
        <f>IF(B486="","",ROUND(SUMIFS(Sales!$Y$5:$Y$1204,Sales!$D$5:$D$1204,A486,Sales!$H$5:$H$1204,"Retail"),2))</f>
        <v>0</v>
      </c>
      <c r="AH486" s="26">
        <f>IF(B486="","",ROUND(SUMIFS(Sales!$Y$5:$Y$1204,Sales!$D$5:$D$1204,A486,Sales!$B$5:$B$1204,"&gt;="&amp;TodayDate-365),2))</f>
        <v>0</v>
      </c>
      <c r="AI486" s="26">
        <f>IF(B486="","",IF(T486=0,"",ROUND(AE486/T486,2)))</f>
        <v>0</v>
      </c>
      <c r="AJ486" s="26">
        <f>IF(B486="","",IF(AI486="","",IF(AC486="","",ROUND(AI486*(365/MAX(14,AC486)),2))))</f>
        <v>0</v>
      </c>
      <c r="AK486" s="26">
        <f>IF(B486="","",ROUND(SUMIFS(Sales!$AH$5:$AH$1204,Sales!$D$5:$D$1204,A486),2))</f>
        <v>0</v>
      </c>
      <c r="AL486" s="25">
        <f>IF(B486="","",IFERROR(INDEX(Loyalty!$P$5:$P$504,MATCH(A486,Loyalty!$B$5:$B$504,0))*1,0))</f>
        <v>0</v>
      </c>
      <c r="AM486" s="39">
        <f>IF(B486="","",IF(R486="Archived","Archived",IF(T486=0,"Not been yet",IF(Z486&gt;=InactiveDays,"Inactive",IF(Z486&gt;=LapsingDays,"Lapsing",IF(T486=1,"New",IF(AH486&gt;=VipSpend,"VIP",IF(U486&gt;=4,"Regular","Active"))))))))</f>
        <v>0</v>
      </c>
      <c r="AN486" s="38">
        <f>IF(B486="","",IF(T486&gt;=2,"Yes","No"))</f>
        <v>0</v>
      </c>
      <c r="AO486" s="25">
        <f>IF(B486="","",COUNTIFS($AE$5:$AE$504,"&gt;"&amp;AE486)+COUNTIFS($AE$5:AE486,AE486))</f>
        <v>0</v>
      </c>
      <c r="AP486" s="25">
        <f>IF(B486="","",COUNTIFS($T$5:$T$504,"&gt;"&amp;T486)+COUNTIFS($T$5:T486,T486))</f>
        <v>0</v>
      </c>
      <c r="AQ486" s="39">
        <f>IF(B486="","",IF(COUNTIF($B$5:$B$504,B486)&gt;1,"Duplicate - same name twice",IF(R486="Archived","",IF(AK486&gt;0.004,"Chase - balance outstanding",IF(AM486="Inactive","Gone - win-back offer",IF(AM486="Lapsing","Chase - lapsing, call them",IF(IF(N486="",FALSE,TodayDate-N486&gt;PatchTestDays),"Due - patch test out of date",IF(IF(AD486="",FALSE,IF(AB486&lt;&gt;"",FALSE,AD486&lt;=TodayDate+14)),"Rebook - due and nothing booked",IF(IF(K486="",FALSE,ABS(DATE(YEAR(TodayDate),MONTH(K486),DAY(K486))-TodayDate)&lt;=7),"Birthday - send the treat","OK")))))))))</f>
        <v>0</v>
      </c>
    </row>
    <row r="487" spans="1:43">
      <c r="A487" s="28">
        <f>IF(B487="","",ClientPrefix&amp;TEXT(ROW()-4,"0000"))</f>
        <v>0</v>
      </c>
      <c r="J487" s="15">
        <f>IF(I487="","",IFERROR(INDEX(Staff!$B$5:$B$44,MATCH(I487,Staff!$A$5:$A$44,0)),"Not in Staff"))</f>
        <v>0</v>
      </c>
      <c r="T487" s="25">
        <f>IF(B487="","",COUNTIFS(Appointments!$E$5:$E$1204,A487,Appointments!$M$5:$M$1204,"Completed"))</f>
        <v>0</v>
      </c>
      <c r="U487" s="25">
        <f>IF(B487="","",COUNTIFS(Appointments!$E$5:$E$1204,A487,Appointments!$M$5:$M$1204,"Completed",Appointments!$B$5:$B$1204,"&gt;="&amp;TodayDate-365))</f>
        <v>0</v>
      </c>
      <c r="V487" s="25">
        <f>IF(B487="","",COUNTIFS(Appointments!$E$5:$E$1204,A487,Appointments!$M$5:$M$1204,"Cancelled"))</f>
        <v>0</v>
      </c>
      <c r="W487" s="25">
        <f>IF(B487="","",COUNTIFS(Appointments!$E$5:$E$1204,A487,Appointments!$M$5:$M$1204,"No show"))</f>
        <v>0</v>
      </c>
      <c r="X487" s="17">
        <f>IF(B487="","",IF(F487&lt;&gt;"",F487,IF(T487=0,"",SUMPRODUCT(MIN((Appointments!$E$5:$E$1204=A487)*(Appointments!$M$5:$M$1204="Completed")*Appointments!$B$5:$B$1204+(1-(Appointments!$E$5:$E$1204=A487)*(Appointments!$M$5:$M$1204="Completed"))*2958465)))))</f>
        <v>0</v>
      </c>
      <c r="Y487" s="17">
        <f>IF(B487="","",IF(T487=0,"",SUMPRODUCT(MAX((Appointments!$E$5:$E$1204=A487)*(Appointments!$M$5:$M$1204="Completed")*Appointments!$B$5:$B$1204))))</f>
        <v>0</v>
      </c>
      <c r="Z487" s="25">
        <f>IF(B487="","",IF(Y487="","",TodayDate-Y487))</f>
        <v>0</v>
      </c>
      <c r="AA487" s="42">
        <f>IF(B487="","",SUMPRODUCT(MIN((Appointments!$E$5:$E$1204=A487)*(Appointments!$M$5:$M$1204&lt;&gt;"Cancelled")*(Appointments!$M$5:$M$1204&lt;&gt;"Completed")*(Appointments!$M$5:$M$1204&lt;&gt;"No show")*(Appointments!$B$5:$B$1204&gt;=TodayDate)*Appointments!$B$5:$B$1204+(1-(Appointments!$E$5:$E$1204=A487)*(Appointments!$M$5:$M$1204&lt;&gt;"Cancelled")*(Appointments!$M$5:$M$1204&lt;&gt;"Completed")*(Appointments!$M$5:$M$1204&lt;&gt;"No show")*(Appointments!$B$5:$B$1204&gt;=TodayDate))*2958465)))</f>
        <v>0</v>
      </c>
      <c r="AB487" s="17">
        <f>IF(B487="","",IF(AA487&gt;=2958465,"",AA487))</f>
        <v>0</v>
      </c>
      <c r="AC487" s="25">
        <f>IF(B487="","",IF(T487&lt;2,"",ROUND((Y487-X487)/MAX(1,T487-1),0)))</f>
        <v>0</v>
      </c>
      <c r="AD487" s="17">
        <f>IF(B487="","",IF(Y487="","",Y487+IF(AC487="",RebookWeeks*7,MAX(14,AC487))))</f>
        <v>0</v>
      </c>
      <c r="AE487" s="26">
        <f>IF(B487="","",ROUND(SUMIFS(Sales!$Y$5:$Y$1204,Sales!$D$5:$D$1204,A487),2))</f>
        <v>0</v>
      </c>
      <c r="AF487" s="26">
        <f>IF(B487="","",ROUND(SUMIFS(Sales!$Y$5:$Y$1204,Sales!$D$5:$D$1204,A487,Sales!$H$5:$H$1204,"Service"),2))</f>
        <v>0</v>
      </c>
      <c r="AG487" s="26">
        <f>IF(B487="","",ROUND(SUMIFS(Sales!$Y$5:$Y$1204,Sales!$D$5:$D$1204,A487,Sales!$H$5:$H$1204,"Retail"),2))</f>
        <v>0</v>
      </c>
      <c r="AH487" s="26">
        <f>IF(B487="","",ROUND(SUMIFS(Sales!$Y$5:$Y$1204,Sales!$D$5:$D$1204,A487,Sales!$B$5:$B$1204,"&gt;="&amp;TodayDate-365),2))</f>
        <v>0</v>
      </c>
      <c r="AI487" s="26">
        <f>IF(B487="","",IF(T487=0,"",ROUND(AE487/T487,2)))</f>
        <v>0</v>
      </c>
      <c r="AJ487" s="26">
        <f>IF(B487="","",IF(AI487="","",IF(AC487="","",ROUND(AI487*(365/MAX(14,AC487)),2))))</f>
        <v>0</v>
      </c>
      <c r="AK487" s="26">
        <f>IF(B487="","",ROUND(SUMIFS(Sales!$AH$5:$AH$1204,Sales!$D$5:$D$1204,A487),2))</f>
        <v>0</v>
      </c>
      <c r="AL487" s="25">
        <f>IF(B487="","",IFERROR(INDEX(Loyalty!$P$5:$P$504,MATCH(A487,Loyalty!$B$5:$B$504,0))*1,0))</f>
        <v>0</v>
      </c>
      <c r="AM487" s="39">
        <f>IF(B487="","",IF(R487="Archived","Archived",IF(T487=0,"Not been yet",IF(Z487&gt;=InactiveDays,"Inactive",IF(Z487&gt;=LapsingDays,"Lapsing",IF(T487=1,"New",IF(AH487&gt;=VipSpend,"VIP",IF(U487&gt;=4,"Regular","Active"))))))))</f>
        <v>0</v>
      </c>
      <c r="AN487" s="38">
        <f>IF(B487="","",IF(T487&gt;=2,"Yes","No"))</f>
        <v>0</v>
      </c>
      <c r="AO487" s="25">
        <f>IF(B487="","",COUNTIFS($AE$5:$AE$504,"&gt;"&amp;AE487)+COUNTIFS($AE$5:AE487,AE487))</f>
        <v>0</v>
      </c>
      <c r="AP487" s="25">
        <f>IF(B487="","",COUNTIFS($T$5:$T$504,"&gt;"&amp;T487)+COUNTIFS($T$5:T487,T487))</f>
        <v>0</v>
      </c>
      <c r="AQ487" s="39">
        <f>IF(B487="","",IF(COUNTIF($B$5:$B$504,B487)&gt;1,"Duplicate - same name twice",IF(R487="Archived","",IF(AK487&gt;0.004,"Chase - balance outstanding",IF(AM487="Inactive","Gone - win-back offer",IF(AM487="Lapsing","Chase - lapsing, call them",IF(IF(N487="",FALSE,TodayDate-N487&gt;PatchTestDays),"Due - patch test out of date",IF(IF(AD487="",FALSE,IF(AB487&lt;&gt;"",FALSE,AD487&lt;=TodayDate+14)),"Rebook - due and nothing booked",IF(IF(K487="",FALSE,ABS(DATE(YEAR(TodayDate),MONTH(K487),DAY(K487))-TodayDate)&lt;=7),"Birthday - send the treat","OK")))))))))</f>
        <v>0</v>
      </c>
    </row>
    <row r="488" spans="1:43">
      <c r="A488" s="28">
        <f>IF(B488="","",ClientPrefix&amp;TEXT(ROW()-4,"0000"))</f>
        <v>0</v>
      </c>
      <c r="J488" s="15">
        <f>IF(I488="","",IFERROR(INDEX(Staff!$B$5:$B$44,MATCH(I488,Staff!$A$5:$A$44,0)),"Not in Staff"))</f>
        <v>0</v>
      </c>
      <c r="T488" s="25">
        <f>IF(B488="","",COUNTIFS(Appointments!$E$5:$E$1204,A488,Appointments!$M$5:$M$1204,"Completed"))</f>
        <v>0</v>
      </c>
      <c r="U488" s="25">
        <f>IF(B488="","",COUNTIFS(Appointments!$E$5:$E$1204,A488,Appointments!$M$5:$M$1204,"Completed",Appointments!$B$5:$B$1204,"&gt;="&amp;TodayDate-365))</f>
        <v>0</v>
      </c>
      <c r="V488" s="25">
        <f>IF(B488="","",COUNTIFS(Appointments!$E$5:$E$1204,A488,Appointments!$M$5:$M$1204,"Cancelled"))</f>
        <v>0</v>
      </c>
      <c r="W488" s="25">
        <f>IF(B488="","",COUNTIFS(Appointments!$E$5:$E$1204,A488,Appointments!$M$5:$M$1204,"No show"))</f>
        <v>0</v>
      </c>
      <c r="X488" s="17">
        <f>IF(B488="","",IF(F488&lt;&gt;"",F488,IF(T488=0,"",SUMPRODUCT(MIN((Appointments!$E$5:$E$1204=A488)*(Appointments!$M$5:$M$1204="Completed")*Appointments!$B$5:$B$1204+(1-(Appointments!$E$5:$E$1204=A488)*(Appointments!$M$5:$M$1204="Completed"))*2958465)))))</f>
        <v>0</v>
      </c>
      <c r="Y488" s="17">
        <f>IF(B488="","",IF(T488=0,"",SUMPRODUCT(MAX((Appointments!$E$5:$E$1204=A488)*(Appointments!$M$5:$M$1204="Completed")*Appointments!$B$5:$B$1204))))</f>
        <v>0</v>
      </c>
      <c r="Z488" s="25">
        <f>IF(B488="","",IF(Y488="","",TodayDate-Y488))</f>
        <v>0</v>
      </c>
      <c r="AA488" s="42">
        <f>IF(B488="","",SUMPRODUCT(MIN((Appointments!$E$5:$E$1204=A488)*(Appointments!$M$5:$M$1204&lt;&gt;"Cancelled")*(Appointments!$M$5:$M$1204&lt;&gt;"Completed")*(Appointments!$M$5:$M$1204&lt;&gt;"No show")*(Appointments!$B$5:$B$1204&gt;=TodayDate)*Appointments!$B$5:$B$1204+(1-(Appointments!$E$5:$E$1204=A488)*(Appointments!$M$5:$M$1204&lt;&gt;"Cancelled")*(Appointments!$M$5:$M$1204&lt;&gt;"Completed")*(Appointments!$M$5:$M$1204&lt;&gt;"No show")*(Appointments!$B$5:$B$1204&gt;=TodayDate))*2958465)))</f>
        <v>0</v>
      </c>
      <c r="AB488" s="17">
        <f>IF(B488="","",IF(AA488&gt;=2958465,"",AA488))</f>
        <v>0</v>
      </c>
      <c r="AC488" s="25">
        <f>IF(B488="","",IF(T488&lt;2,"",ROUND((Y488-X488)/MAX(1,T488-1),0)))</f>
        <v>0</v>
      </c>
      <c r="AD488" s="17">
        <f>IF(B488="","",IF(Y488="","",Y488+IF(AC488="",RebookWeeks*7,MAX(14,AC488))))</f>
        <v>0</v>
      </c>
      <c r="AE488" s="26">
        <f>IF(B488="","",ROUND(SUMIFS(Sales!$Y$5:$Y$1204,Sales!$D$5:$D$1204,A488),2))</f>
        <v>0</v>
      </c>
      <c r="AF488" s="26">
        <f>IF(B488="","",ROUND(SUMIFS(Sales!$Y$5:$Y$1204,Sales!$D$5:$D$1204,A488,Sales!$H$5:$H$1204,"Service"),2))</f>
        <v>0</v>
      </c>
      <c r="AG488" s="26">
        <f>IF(B488="","",ROUND(SUMIFS(Sales!$Y$5:$Y$1204,Sales!$D$5:$D$1204,A488,Sales!$H$5:$H$1204,"Retail"),2))</f>
        <v>0</v>
      </c>
      <c r="AH488" s="26">
        <f>IF(B488="","",ROUND(SUMIFS(Sales!$Y$5:$Y$1204,Sales!$D$5:$D$1204,A488,Sales!$B$5:$B$1204,"&gt;="&amp;TodayDate-365),2))</f>
        <v>0</v>
      </c>
      <c r="AI488" s="26">
        <f>IF(B488="","",IF(T488=0,"",ROUND(AE488/T488,2)))</f>
        <v>0</v>
      </c>
      <c r="AJ488" s="26">
        <f>IF(B488="","",IF(AI488="","",IF(AC488="","",ROUND(AI488*(365/MAX(14,AC488)),2))))</f>
        <v>0</v>
      </c>
      <c r="AK488" s="26">
        <f>IF(B488="","",ROUND(SUMIFS(Sales!$AH$5:$AH$1204,Sales!$D$5:$D$1204,A488),2))</f>
        <v>0</v>
      </c>
      <c r="AL488" s="25">
        <f>IF(B488="","",IFERROR(INDEX(Loyalty!$P$5:$P$504,MATCH(A488,Loyalty!$B$5:$B$504,0))*1,0))</f>
        <v>0</v>
      </c>
      <c r="AM488" s="39">
        <f>IF(B488="","",IF(R488="Archived","Archived",IF(T488=0,"Not been yet",IF(Z488&gt;=InactiveDays,"Inactive",IF(Z488&gt;=LapsingDays,"Lapsing",IF(T488=1,"New",IF(AH488&gt;=VipSpend,"VIP",IF(U488&gt;=4,"Regular","Active"))))))))</f>
        <v>0</v>
      </c>
      <c r="AN488" s="38">
        <f>IF(B488="","",IF(T488&gt;=2,"Yes","No"))</f>
        <v>0</v>
      </c>
      <c r="AO488" s="25">
        <f>IF(B488="","",COUNTIFS($AE$5:$AE$504,"&gt;"&amp;AE488)+COUNTIFS($AE$5:AE488,AE488))</f>
        <v>0</v>
      </c>
      <c r="AP488" s="25">
        <f>IF(B488="","",COUNTIFS($T$5:$T$504,"&gt;"&amp;T488)+COUNTIFS($T$5:T488,T488))</f>
        <v>0</v>
      </c>
      <c r="AQ488" s="39">
        <f>IF(B488="","",IF(COUNTIF($B$5:$B$504,B488)&gt;1,"Duplicate - same name twice",IF(R488="Archived","",IF(AK488&gt;0.004,"Chase - balance outstanding",IF(AM488="Inactive","Gone - win-back offer",IF(AM488="Lapsing","Chase - lapsing, call them",IF(IF(N488="",FALSE,TodayDate-N488&gt;PatchTestDays),"Due - patch test out of date",IF(IF(AD488="",FALSE,IF(AB488&lt;&gt;"",FALSE,AD488&lt;=TodayDate+14)),"Rebook - due and nothing booked",IF(IF(K488="",FALSE,ABS(DATE(YEAR(TodayDate),MONTH(K488),DAY(K488))-TodayDate)&lt;=7),"Birthday - send the treat","OK")))))))))</f>
        <v>0</v>
      </c>
    </row>
    <row r="489" spans="1:43">
      <c r="A489" s="28">
        <f>IF(B489="","",ClientPrefix&amp;TEXT(ROW()-4,"0000"))</f>
        <v>0</v>
      </c>
      <c r="J489" s="15">
        <f>IF(I489="","",IFERROR(INDEX(Staff!$B$5:$B$44,MATCH(I489,Staff!$A$5:$A$44,0)),"Not in Staff"))</f>
        <v>0</v>
      </c>
      <c r="T489" s="25">
        <f>IF(B489="","",COUNTIFS(Appointments!$E$5:$E$1204,A489,Appointments!$M$5:$M$1204,"Completed"))</f>
        <v>0</v>
      </c>
      <c r="U489" s="25">
        <f>IF(B489="","",COUNTIFS(Appointments!$E$5:$E$1204,A489,Appointments!$M$5:$M$1204,"Completed",Appointments!$B$5:$B$1204,"&gt;="&amp;TodayDate-365))</f>
        <v>0</v>
      </c>
      <c r="V489" s="25">
        <f>IF(B489="","",COUNTIFS(Appointments!$E$5:$E$1204,A489,Appointments!$M$5:$M$1204,"Cancelled"))</f>
        <v>0</v>
      </c>
      <c r="W489" s="25">
        <f>IF(B489="","",COUNTIFS(Appointments!$E$5:$E$1204,A489,Appointments!$M$5:$M$1204,"No show"))</f>
        <v>0</v>
      </c>
      <c r="X489" s="17">
        <f>IF(B489="","",IF(F489&lt;&gt;"",F489,IF(T489=0,"",SUMPRODUCT(MIN((Appointments!$E$5:$E$1204=A489)*(Appointments!$M$5:$M$1204="Completed")*Appointments!$B$5:$B$1204+(1-(Appointments!$E$5:$E$1204=A489)*(Appointments!$M$5:$M$1204="Completed"))*2958465)))))</f>
        <v>0</v>
      </c>
      <c r="Y489" s="17">
        <f>IF(B489="","",IF(T489=0,"",SUMPRODUCT(MAX((Appointments!$E$5:$E$1204=A489)*(Appointments!$M$5:$M$1204="Completed")*Appointments!$B$5:$B$1204))))</f>
        <v>0</v>
      </c>
      <c r="Z489" s="25">
        <f>IF(B489="","",IF(Y489="","",TodayDate-Y489))</f>
        <v>0</v>
      </c>
      <c r="AA489" s="42">
        <f>IF(B489="","",SUMPRODUCT(MIN((Appointments!$E$5:$E$1204=A489)*(Appointments!$M$5:$M$1204&lt;&gt;"Cancelled")*(Appointments!$M$5:$M$1204&lt;&gt;"Completed")*(Appointments!$M$5:$M$1204&lt;&gt;"No show")*(Appointments!$B$5:$B$1204&gt;=TodayDate)*Appointments!$B$5:$B$1204+(1-(Appointments!$E$5:$E$1204=A489)*(Appointments!$M$5:$M$1204&lt;&gt;"Cancelled")*(Appointments!$M$5:$M$1204&lt;&gt;"Completed")*(Appointments!$M$5:$M$1204&lt;&gt;"No show")*(Appointments!$B$5:$B$1204&gt;=TodayDate))*2958465)))</f>
        <v>0</v>
      </c>
      <c r="AB489" s="17">
        <f>IF(B489="","",IF(AA489&gt;=2958465,"",AA489))</f>
        <v>0</v>
      </c>
      <c r="AC489" s="25">
        <f>IF(B489="","",IF(T489&lt;2,"",ROUND((Y489-X489)/MAX(1,T489-1),0)))</f>
        <v>0</v>
      </c>
      <c r="AD489" s="17">
        <f>IF(B489="","",IF(Y489="","",Y489+IF(AC489="",RebookWeeks*7,MAX(14,AC489))))</f>
        <v>0</v>
      </c>
      <c r="AE489" s="26">
        <f>IF(B489="","",ROUND(SUMIFS(Sales!$Y$5:$Y$1204,Sales!$D$5:$D$1204,A489),2))</f>
        <v>0</v>
      </c>
      <c r="AF489" s="26">
        <f>IF(B489="","",ROUND(SUMIFS(Sales!$Y$5:$Y$1204,Sales!$D$5:$D$1204,A489,Sales!$H$5:$H$1204,"Service"),2))</f>
        <v>0</v>
      </c>
      <c r="AG489" s="26">
        <f>IF(B489="","",ROUND(SUMIFS(Sales!$Y$5:$Y$1204,Sales!$D$5:$D$1204,A489,Sales!$H$5:$H$1204,"Retail"),2))</f>
        <v>0</v>
      </c>
      <c r="AH489" s="26">
        <f>IF(B489="","",ROUND(SUMIFS(Sales!$Y$5:$Y$1204,Sales!$D$5:$D$1204,A489,Sales!$B$5:$B$1204,"&gt;="&amp;TodayDate-365),2))</f>
        <v>0</v>
      </c>
      <c r="AI489" s="26">
        <f>IF(B489="","",IF(T489=0,"",ROUND(AE489/T489,2)))</f>
        <v>0</v>
      </c>
      <c r="AJ489" s="26">
        <f>IF(B489="","",IF(AI489="","",IF(AC489="","",ROUND(AI489*(365/MAX(14,AC489)),2))))</f>
        <v>0</v>
      </c>
      <c r="AK489" s="26">
        <f>IF(B489="","",ROUND(SUMIFS(Sales!$AH$5:$AH$1204,Sales!$D$5:$D$1204,A489),2))</f>
        <v>0</v>
      </c>
      <c r="AL489" s="25">
        <f>IF(B489="","",IFERROR(INDEX(Loyalty!$P$5:$P$504,MATCH(A489,Loyalty!$B$5:$B$504,0))*1,0))</f>
        <v>0</v>
      </c>
      <c r="AM489" s="39">
        <f>IF(B489="","",IF(R489="Archived","Archived",IF(T489=0,"Not been yet",IF(Z489&gt;=InactiveDays,"Inactive",IF(Z489&gt;=LapsingDays,"Lapsing",IF(T489=1,"New",IF(AH489&gt;=VipSpend,"VIP",IF(U489&gt;=4,"Regular","Active"))))))))</f>
        <v>0</v>
      </c>
      <c r="AN489" s="38">
        <f>IF(B489="","",IF(T489&gt;=2,"Yes","No"))</f>
        <v>0</v>
      </c>
      <c r="AO489" s="25">
        <f>IF(B489="","",COUNTIFS($AE$5:$AE$504,"&gt;"&amp;AE489)+COUNTIFS($AE$5:AE489,AE489))</f>
        <v>0</v>
      </c>
      <c r="AP489" s="25">
        <f>IF(B489="","",COUNTIFS($T$5:$T$504,"&gt;"&amp;T489)+COUNTIFS($T$5:T489,T489))</f>
        <v>0</v>
      </c>
      <c r="AQ489" s="39">
        <f>IF(B489="","",IF(COUNTIF($B$5:$B$504,B489)&gt;1,"Duplicate - same name twice",IF(R489="Archived","",IF(AK489&gt;0.004,"Chase - balance outstanding",IF(AM489="Inactive","Gone - win-back offer",IF(AM489="Lapsing","Chase - lapsing, call them",IF(IF(N489="",FALSE,TodayDate-N489&gt;PatchTestDays),"Due - patch test out of date",IF(IF(AD489="",FALSE,IF(AB489&lt;&gt;"",FALSE,AD489&lt;=TodayDate+14)),"Rebook - due and nothing booked",IF(IF(K489="",FALSE,ABS(DATE(YEAR(TodayDate),MONTH(K489),DAY(K489))-TodayDate)&lt;=7),"Birthday - send the treat","OK")))))))))</f>
        <v>0</v>
      </c>
    </row>
    <row r="490" spans="1:43">
      <c r="A490" s="28">
        <f>IF(B490="","",ClientPrefix&amp;TEXT(ROW()-4,"0000"))</f>
        <v>0</v>
      </c>
      <c r="J490" s="15">
        <f>IF(I490="","",IFERROR(INDEX(Staff!$B$5:$B$44,MATCH(I490,Staff!$A$5:$A$44,0)),"Not in Staff"))</f>
        <v>0</v>
      </c>
      <c r="T490" s="25">
        <f>IF(B490="","",COUNTIFS(Appointments!$E$5:$E$1204,A490,Appointments!$M$5:$M$1204,"Completed"))</f>
        <v>0</v>
      </c>
      <c r="U490" s="25">
        <f>IF(B490="","",COUNTIFS(Appointments!$E$5:$E$1204,A490,Appointments!$M$5:$M$1204,"Completed",Appointments!$B$5:$B$1204,"&gt;="&amp;TodayDate-365))</f>
        <v>0</v>
      </c>
      <c r="V490" s="25">
        <f>IF(B490="","",COUNTIFS(Appointments!$E$5:$E$1204,A490,Appointments!$M$5:$M$1204,"Cancelled"))</f>
        <v>0</v>
      </c>
      <c r="W490" s="25">
        <f>IF(B490="","",COUNTIFS(Appointments!$E$5:$E$1204,A490,Appointments!$M$5:$M$1204,"No show"))</f>
        <v>0</v>
      </c>
      <c r="X490" s="17">
        <f>IF(B490="","",IF(F490&lt;&gt;"",F490,IF(T490=0,"",SUMPRODUCT(MIN((Appointments!$E$5:$E$1204=A490)*(Appointments!$M$5:$M$1204="Completed")*Appointments!$B$5:$B$1204+(1-(Appointments!$E$5:$E$1204=A490)*(Appointments!$M$5:$M$1204="Completed"))*2958465)))))</f>
        <v>0</v>
      </c>
      <c r="Y490" s="17">
        <f>IF(B490="","",IF(T490=0,"",SUMPRODUCT(MAX((Appointments!$E$5:$E$1204=A490)*(Appointments!$M$5:$M$1204="Completed")*Appointments!$B$5:$B$1204))))</f>
        <v>0</v>
      </c>
      <c r="Z490" s="25">
        <f>IF(B490="","",IF(Y490="","",TodayDate-Y490))</f>
        <v>0</v>
      </c>
      <c r="AA490" s="42">
        <f>IF(B490="","",SUMPRODUCT(MIN((Appointments!$E$5:$E$1204=A490)*(Appointments!$M$5:$M$1204&lt;&gt;"Cancelled")*(Appointments!$M$5:$M$1204&lt;&gt;"Completed")*(Appointments!$M$5:$M$1204&lt;&gt;"No show")*(Appointments!$B$5:$B$1204&gt;=TodayDate)*Appointments!$B$5:$B$1204+(1-(Appointments!$E$5:$E$1204=A490)*(Appointments!$M$5:$M$1204&lt;&gt;"Cancelled")*(Appointments!$M$5:$M$1204&lt;&gt;"Completed")*(Appointments!$M$5:$M$1204&lt;&gt;"No show")*(Appointments!$B$5:$B$1204&gt;=TodayDate))*2958465)))</f>
        <v>0</v>
      </c>
      <c r="AB490" s="17">
        <f>IF(B490="","",IF(AA490&gt;=2958465,"",AA490))</f>
        <v>0</v>
      </c>
      <c r="AC490" s="25">
        <f>IF(B490="","",IF(T490&lt;2,"",ROUND((Y490-X490)/MAX(1,T490-1),0)))</f>
        <v>0</v>
      </c>
      <c r="AD490" s="17">
        <f>IF(B490="","",IF(Y490="","",Y490+IF(AC490="",RebookWeeks*7,MAX(14,AC490))))</f>
        <v>0</v>
      </c>
      <c r="AE490" s="26">
        <f>IF(B490="","",ROUND(SUMIFS(Sales!$Y$5:$Y$1204,Sales!$D$5:$D$1204,A490),2))</f>
        <v>0</v>
      </c>
      <c r="AF490" s="26">
        <f>IF(B490="","",ROUND(SUMIFS(Sales!$Y$5:$Y$1204,Sales!$D$5:$D$1204,A490,Sales!$H$5:$H$1204,"Service"),2))</f>
        <v>0</v>
      </c>
      <c r="AG490" s="26">
        <f>IF(B490="","",ROUND(SUMIFS(Sales!$Y$5:$Y$1204,Sales!$D$5:$D$1204,A490,Sales!$H$5:$H$1204,"Retail"),2))</f>
        <v>0</v>
      </c>
      <c r="AH490" s="26">
        <f>IF(B490="","",ROUND(SUMIFS(Sales!$Y$5:$Y$1204,Sales!$D$5:$D$1204,A490,Sales!$B$5:$B$1204,"&gt;="&amp;TodayDate-365),2))</f>
        <v>0</v>
      </c>
      <c r="AI490" s="26">
        <f>IF(B490="","",IF(T490=0,"",ROUND(AE490/T490,2)))</f>
        <v>0</v>
      </c>
      <c r="AJ490" s="26">
        <f>IF(B490="","",IF(AI490="","",IF(AC490="","",ROUND(AI490*(365/MAX(14,AC490)),2))))</f>
        <v>0</v>
      </c>
      <c r="AK490" s="26">
        <f>IF(B490="","",ROUND(SUMIFS(Sales!$AH$5:$AH$1204,Sales!$D$5:$D$1204,A490),2))</f>
        <v>0</v>
      </c>
      <c r="AL490" s="25">
        <f>IF(B490="","",IFERROR(INDEX(Loyalty!$P$5:$P$504,MATCH(A490,Loyalty!$B$5:$B$504,0))*1,0))</f>
        <v>0</v>
      </c>
      <c r="AM490" s="39">
        <f>IF(B490="","",IF(R490="Archived","Archived",IF(T490=0,"Not been yet",IF(Z490&gt;=InactiveDays,"Inactive",IF(Z490&gt;=LapsingDays,"Lapsing",IF(T490=1,"New",IF(AH490&gt;=VipSpend,"VIP",IF(U490&gt;=4,"Regular","Active"))))))))</f>
        <v>0</v>
      </c>
      <c r="AN490" s="38">
        <f>IF(B490="","",IF(T490&gt;=2,"Yes","No"))</f>
        <v>0</v>
      </c>
      <c r="AO490" s="25">
        <f>IF(B490="","",COUNTIFS($AE$5:$AE$504,"&gt;"&amp;AE490)+COUNTIFS($AE$5:AE490,AE490))</f>
        <v>0</v>
      </c>
      <c r="AP490" s="25">
        <f>IF(B490="","",COUNTIFS($T$5:$T$504,"&gt;"&amp;T490)+COUNTIFS($T$5:T490,T490))</f>
        <v>0</v>
      </c>
      <c r="AQ490" s="39">
        <f>IF(B490="","",IF(COUNTIF($B$5:$B$504,B490)&gt;1,"Duplicate - same name twice",IF(R490="Archived","",IF(AK490&gt;0.004,"Chase - balance outstanding",IF(AM490="Inactive","Gone - win-back offer",IF(AM490="Lapsing","Chase - lapsing, call them",IF(IF(N490="",FALSE,TodayDate-N490&gt;PatchTestDays),"Due - patch test out of date",IF(IF(AD490="",FALSE,IF(AB490&lt;&gt;"",FALSE,AD490&lt;=TodayDate+14)),"Rebook - due and nothing booked",IF(IF(K490="",FALSE,ABS(DATE(YEAR(TodayDate),MONTH(K490),DAY(K490))-TodayDate)&lt;=7),"Birthday - send the treat","OK")))))))))</f>
        <v>0</v>
      </c>
    </row>
    <row r="491" spans="1:43">
      <c r="A491" s="28">
        <f>IF(B491="","",ClientPrefix&amp;TEXT(ROW()-4,"0000"))</f>
        <v>0</v>
      </c>
      <c r="J491" s="15">
        <f>IF(I491="","",IFERROR(INDEX(Staff!$B$5:$B$44,MATCH(I491,Staff!$A$5:$A$44,0)),"Not in Staff"))</f>
        <v>0</v>
      </c>
      <c r="T491" s="25">
        <f>IF(B491="","",COUNTIFS(Appointments!$E$5:$E$1204,A491,Appointments!$M$5:$M$1204,"Completed"))</f>
        <v>0</v>
      </c>
      <c r="U491" s="25">
        <f>IF(B491="","",COUNTIFS(Appointments!$E$5:$E$1204,A491,Appointments!$M$5:$M$1204,"Completed",Appointments!$B$5:$B$1204,"&gt;="&amp;TodayDate-365))</f>
        <v>0</v>
      </c>
      <c r="V491" s="25">
        <f>IF(B491="","",COUNTIFS(Appointments!$E$5:$E$1204,A491,Appointments!$M$5:$M$1204,"Cancelled"))</f>
        <v>0</v>
      </c>
      <c r="W491" s="25">
        <f>IF(B491="","",COUNTIFS(Appointments!$E$5:$E$1204,A491,Appointments!$M$5:$M$1204,"No show"))</f>
        <v>0</v>
      </c>
      <c r="X491" s="17">
        <f>IF(B491="","",IF(F491&lt;&gt;"",F491,IF(T491=0,"",SUMPRODUCT(MIN((Appointments!$E$5:$E$1204=A491)*(Appointments!$M$5:$M$1204="Completed")*Appointments!$B$5:$B$1204+(1-(Appointments!$E$5:$E$1204=A491)*(Appointments!$M$5:$M$1204="Completed"))*2958465)))))</f>
        <v>0</v>
      </c>
      <c r="Y491" s="17">
        <f>IF(B491="","",IF(T491=0,"",SUMPRODUCT(MAX((Appointments!$E$5:$E$1204=A491)*(Appointments!$M$5:$M$1204="Completed")*Appointments!$B$5:$B$1204))))</f>
        <v>0</v>
      </c>
      <c r="Z491" s="25">
        <f>IF(B491="","",IF(Y491="","",TodayDate-Y491))</f>
        <v>0</v>
      </c>
      <c r="AA491" s="42">
        <f>IF(B491="","",SUMPRODUCT(MIN((Appointments!$E$5:$E$1204=A491)*(Appointments!$M$5:$M$1204&lt;&gt;"Cancelled")*(Appointments!$M$5:$M$1204&lt;&gt;"Completed")*(Appointments!$M$5:$M$1204&lt;&gt;"No show")*(Appointments!$B$5:$B$1204&gt;=TodayDate)*Appointments!$B$5:$B$1204+(1-(Appointments!$E$5:$E$1204=A491)*(Appointments!$M$5:$M$1204&lt;&gt;"Cancelled")*(Appointments!$M$5:$M$1204&lt;&gt;"Completed")*(Appointments!$M$5:$M$1204&lt;&gt;"No show")*(Appointments!$B$5:$B$1204&gt;=TodayDate))*2958465)))</f>
        <v>0</v>
      </c>
      <c r="AB491" s="17">
        <f>IF(B491="","",IF(AA491&gt;=2958465,"",AA491))</f>
        <v>0</v>
      </c>
      <c r="AC491" s="25">
        <f>IF(B491="","",IF(T491&lt;2,"",ROUND((Y491-X491)/MAX(1,T491-1),0)))</f>
        <v>0</v>
      </c>
      <c r="AD491" s="17">
        <f>IF(B491="","",IF(Y491="","",Y491+IF(AC491="",RebookWeeks*7,MAX(14,AC491))))</f>
        <v>0</v>
      </c>
      <c r="AE491" s="26">
        <f>IF(B491="","",ROUND(SUMIFS(Sales!$Y$5:$Y$1204,Sales!$D$5:$D$1204,A491),2))</f>
        <v>0</v>
      </c>
      <c r="AF491" s="26">
        <f>IF(B491="","",ROUND(SUMIFS(Sales!$Y$5:$Y$1204,Sales!$D$5:$D$1204,A491,Sales!$H$5:$H$1204,"Service"),2))</f>
        <v>0</v>
      </c>
      <c r="AG491" s="26">
        <f>IF(B491="","",ROUND(SUMIFS(Sales!$Y$5:$Y$1204,Sales!$D$5:$D$1204,A491,Sales!$H$5:$H$1204,"Retail"),2))</f>
        <v>0</v>
      </c>
      <c r="AH491" s="26">
        <f>IF(B491="","",ROUND(SUMIFS(Sales!$Y$5:$Y$1204,Sales!$D$5:$D$1204,A491,Sales!$B$5:$B$1204,"&gt;="&amp;TodayDate-365),2))</f>
        <v>0</v>
      </c>
      <c r="AI491" s="26">
        <f>IF(B491="","",IF(T491=0,"",ROUND(AE491/T491,2)))</f>
        <v>0</v>
      </c>
      <c r="AJ491" s="26">
        <f>IF(B491="","",IF(AI491="","",IF(AC491="","",ROUND(AI491*(365/MAX(14,AC491)),2))))</f>
        <v>0</v>
      </c>
      <c r="AK491" s="26">
        <f>IF(B491="","",ROUND(SUMIFS(Sales!$AH$5:$AH$1204,Sales!$D$5:$D$1204,A491),2))</f>
        <v>0</v>
      </c>
      <c r="AL491" s="25">
        <f>IF(B491="","",IFERROR(INDEX(Loyalty!$P$5:$P$504,MATCH(A491,Loyalty!$B$5:$B$504,0))*1,0))</f>
        <v>0</v>
      </c>
      <c r="AM491" s="39">
        <f>IF(B491="","",IF(R491="Archived","Archived",IF(T491=0,"Not been yet",IF(Z491&gt;=InactiveDays,"Inactive",IF(Z491&gt;=LapsingDays,"Lapsing",IF(T491=1,"New",IF(AH491&gt;=VipSpend,"VIP",IF(U491&gt;=4,"Regular","Active"))))))))</f>
        <v>0</v>
      </c>
      <c r="AN491" s="38">
        <f>IF(B491="","",IF(T491&gt;=2,"Yes","No"))</f>
        <v>0</v>
      </c>
      <c r="AO491" s="25">
        <f>IF(B491="","",COUNTIFS($AE$5:$AE$504,"&gt;"&amp;AE491)+COUNTIFS($AE$5:AE491,AE491))</f>
        <v>0</v>
      </c>
      <c r="AP491" s="25">
        <f>IF(B491="","",COUNTIFS($T$5:$T$504,"&gt;"&amp;T491)+COUNTIFS($T$5:T491,T491))</f>
        <v>0</v>
      </c>
      <c r="AQ491" s="39">
        <f>IF(B491="","",IF(COUNTIF($B$5:$B$504,B491)&gt;1,"Duplicate - same name twice",IF(R491="Archived","",IF(AK491&gt;0.004,"Chase - balance outstanding",IF(AM491="Inactive","Gone - win-back offer",IF(AM491="Lapsing","Chase - lapsing, call them",IF(IF(N491="",FALSE,TodayDate-N491&gt;PatchTestDays),"Due - patch test out of date",IF(IF(AD491="",FALSE,IF(AB491&lt;&gt;"",FALSE,AD491&lt;=TodayDate+14)),"Rebook - due and nothing booked",IF(IF(K491="",FALSE,ABS(DATE(YEAR(TodayDate),MONTH(K491),DAY(K491))-TodayDate)&lt;=7),"Birthday - send the treat","OK")))))))))</f>
        <v>0</v>
      </c>
    </row>
    <row r="492" spans="1:43">
      <c r="A492" s="28">
        <f>IF(B492="","",ClientPrefix&amp;TEXT(ROW()-4,"0000"))</f>
        <v>0</v>
      </c>
      <c r="J492" s="15">
        <f>IF(I492="","",IFERROR(INDEX(Staff!$B$5:$B$44,MATCH(I492,Staff!$A$5:$A$44,0)),"Not in Staff"))</f>
        <v>0</v>
      </c>
      <c r="T492" s="25">
        <f>IF(B492="","",COUNTIFS(Appointments!$E$5:$E$1204,A492,Appointments!$M$5:$M$1204,"Completed"))</f>
        <v>0</v>
      </c>
      <c r="U492" s="25">
        <f>IF(B492="","",COUNTIFS(Appointments!$E$5:$E$1204,A492,Appointments!$M$5:$M$1204,"Completed",Appointments!$B$5:$B$1204,"&gt;="&amp;TodayDate-365))</f>
        <v>0</v>
      </c>
      <c r="V492" s="25">
        <f>IF(B492="","",COUNTIFS(Appointments!$E$5:$E$1204,A492,Appointments!$M$5:$M$1204,"Cancelled"))</f>
        <v>0</v>
      </c>
      <c r="W492" s="25">
        <f>IF(B492="","",COUNTIFS(Appointments!$E$5:$E$1204,A492,Appointments!$M$5:$M$1204,"No show"))</f>
        <v>0</v>
      </c>
      <c r="X492" s="17">
        <f>IF(B492="","",IF(F492&lt;&gt;"",F492,IF(T492=0,"",SUMPRODUCT(MIN((Appointments!$E$5:$E$1204=A492)*(Appointments!$M$5:$M$1204="Completed")*Appointments!$B$5:$B$1204+(1-(Appointments!$E$5:$E$1204=A492)*(Appointments!$M$5:$M$1204="Completed"))*2958465)))))</f>
        <v>0</v>
      </c>
      <c r="Y492" s="17">
        <f>IF(B492="","",IF(T492=0,"",SUMPRODUCT(MAX((Appointments!$E$5:$E$1204=A492)*(Appointments!$M$5:$M$1204="Completed")*Appointments!$B$5:$B$1204))))</f>
        <v>0</v>
      </c>
      <c r="Z492" s="25">
        <f>IF(B492="","",IF(Y492="","",TodayDate-Y492))</f>
        <v>0</v>
      </c>
      <c r="AA492" s="42">
        <f>IF(B492="","",SUMPRODUCT(MIN((Appointments!$E$5:$E$1204=A492)*(Appointments!$M$5:$M$1204&lt;&gt;"Cancelled")*(Appointments!$M$5:$M$1204&lt;&gt;"Completed")*(Appointments!$M$5:$M$1204&lt;&gt;"No show")*(Appointments!$B$5:$B$1204&gt;=TodayDate)*Appointments!$B$5:$B$1204+(1-(Appointments!$E$5:$E$1204=A492)*(Appointments!$M$5:$M$1204&lt;&gt;"Cancelled")*(Appointments!$M$5:$M$1204&lt;&gt;"Completed")*(Appointments!$M$5:$M$1204&lt;&gt;"No show")*(Appointments!$B$5:$B$1204&gt;=TodayDate))*2958465)))</f>
        <v>0</v>
      </c>
      <c r="AB492" s="17">
        <f>IF(B492="","",IF(AA492&gt;=2958465,"",AA492))</f>
        <v>0</v>
      </c>
      <c r="AC492" s="25">
        <f>IF(B492="","",IF(T492&lt;2,"",ROUND((Y492-X492)/MAX(1,T492-1),0)))</f>
        <v>0</v>
      </c>
      <c r="AD492" s="17">
        <f>IF(B492="","",IF(Y492="","",Y492+IF(AC492="",RebookWeeks*7,MAX(14,AC492))))</f>
        <v>0</v>
      </c>
      <c r="AE492" s="26">
        <f>IF(B492="","",ROUND(SUMIFS(Sales!$Y$5:$Y$1204,Sales!$D$5:$D$1204,A492),2))</f>
        <v>0</v>
      </c>
      <c r="AF492" s="26">
        <f>IF(B492="","",ROUND(SUMIFS(Sales!$Y$5:$Y$1204,Sales!$D$5:$D$1204,A492,Sales!$H$5:$H$1204,"Service"),2))</f>
        <v>0</v>
      </c>
      <c r="AG492" s="26">
        <f>IF(B492="","",ROUND(SUMIFS(Sales!$Y$5:$Y$1204,Sales!$D$5:$D$1204,A492,Sales!$H$5:$H$1204,"Retail"),2))</f>
        <v>0</v>
      </c>
      <c r="AH492" s="26">
        <f>IF(B492="","",ROUND(SUMIFS(Sales!$Y$5:$Y$1204,Sales!$D$5:$D$1204,A492,Sales!$B$5:$B$1204,"&gt;="&amp;TodayDate-365),2))</f>
        <v>0</v>
      </c>
      <c r="AI492" s="26">
        <f>IF(B492="","",IF(T492=0,"",ROUND(AE492/T492,2)))</f>
        <v>0</v>
      </c>
      <c r="AJ492" s="26">
        <f>IF(B492="","",IF(AI492="","",IF(AC492="","",ROUND(AI492*(365/MAX(14,AC492)),2))))</f>
        <v>0</v>
      </c>
      <c r="AK492" s="26">
        <f>IF(B492="","",ROUND(SUMIFS(Sales!$AH$5:$AH$1204,Sales!$D$5:$D$1204,A492),2))</f>
        <v>0</v>
      </c>
      <c r="AL492" s="25">
        <f>IF(B492="","",IFERROR(INDEX(Loyalty!$P$5:$P$504,MATCH(A492,Loyalty!$B$5:$B$504,0))*1,0))</f>
        <v>0</v>
      </c>
      <c r="AM492" s="39">
        <f>IF(B492="","",IF(R492="Archived","Archived",IF(T492=0,"Not been yet",IF(Z492&gt;=InactiveDays,"Inactive",IF(Z492&gt;=LapsingDays,"Lapsing",IF(T492=1,"New",IF(AH492&gt;=VipSpend,"VIP",IF(U492&gt;=4,"Regular","Active"))))))))</f>
        <v>0</v>
      </c>
      <c r="AN492" s="38">
        <f>IF(B492="","",IF(T492&gt;=2,"Yes","No"))</f>
        <v>0</v>
      </c>
      <c r="AO492" s="25">
        <f>IF(B492="","",COUNTIFS($AE$5:$AE$504,"&gt;"&amp;AE492)+COUNTIFS($AE$5:AE492,AE492))</f>
        <v>0</v>
      </c>
      <c r="AP492" s="25">
        <f>IF(B492="","",COUNTIFS($T$5:$T$504,"&gt;"&amp;T492)+COUNTIFS($T$5:T492,T492))</f>
        <v>0</v>
      </c>
      <c r="AQ492" s="39">
        <f>IF(B492="","",IF(COUNTIF($B$5:$B$504,B492)&gt;1,"Duplicate - same name twice",IF(R492="Archived","",IF(AK492&gt;0.004,"Chase - balance outstanding",IF(AM492="Inactive","Gone - win-back offer",IF(AM492="Lapsing","Chase - lapsing, call them",IF(IF(N492="",FALSE,TodayDate-N492&gt;PatchTestDays),"Due - patch test out of date",IF(IF(AD492="",FALSE,IF(AB492&lt;&gt;"",FALSE,AD492&lt;=TodayDate+14)),"Rebook - due and nothing booked",IF(IF(K492="",FALSE,ABS(DATE(YEAR(TodayDate),MONTH(K492),DAY(K492))-TodayDate)&lt;=7),"Birthday - send the treat","OK")))))))))</f>
        <v>0</v>
      </c>
    </row>
    <row r="493" spans="1:43">
      <c r="A493" s="28">
        <f>IF(B493="","",ClientPrefix&amp;TEXT(ROW()-4,"0000"))</f>
        <v>0</v>
      </c>
      <c r="J493" s="15">
        <f>IF(I493="","",IFERROR(INDEX(Staff!$B$5:$B$44,MATCH(I493,Staff!$A$5:$A$44,0)),"Not in Staff"))</f>
        <v>0</v>
      </c>
      <c r="T493" s="25">
        <f>IF(B493="","",COUNTIFS(Appointments!$E$5:$E$1204,A493,Appointments!$M$5:$M$1204,"Completed"))</f>
        <v>0</v>
      </c>
      <c r="U493" s="25">
        <f>IF(B493="","",COUNTIFS(Appointments!$E$5:$E$1204,A493,Appointments!$M$5:$M$1204,"Completed",Appointments!$B$5:$B$1204,"&gt;="&amp;TodayDate-365))</f>
        <v>0</v>
      </c>
      <c r="V493" s="25">
        <f>IF(B493="","",COUNTIFS(Appointments!$E$5:$E$1204,A493,Appointments!$M$5:$M$1204,"Cancelled"))</f>
        <v>0</v>
      </c>
      <c r="W493" s="25">
        <f>IF(B493="","",COUNTIFS(Appointments!$E$5:$E$1204,A493,Appointments!$M$5:$M$1204,"No show"))</f>
        <v>0</v>
      </c>
      <c r="X493" s="17">
        <f>IF(B493="","",IF(F493&lt;&gt;"",F493,IF(T493=0,"",SUMPRODUCT(MIN((Appointments!$E$5:$E$1204=A493)*(Appointments!$M$5:$M$1204="Completed")*Appointments!$B$5:$B$1204+(1-(Appointments!$E$5:$E$1204=A493)*(Appointments!$M$5:$M$1204="Completed"))*2958465)))))</f>
        <v>0</v>
      </c>
      <c r="Y493" s="17">
        <f>IF(B493="","",IF(T493=0,"",SUMPRODUCT(MAX((Appointments!$E$5:$E$1204=A493)*(Appointments!$M$5:$M$1204="Completed")*Appointments!$B$5:$B$1204))))</f>
        <v>0</v>
      </c>
      <c r="Z493" s="25">
        <f>IF(B493="","",IF(Y493="","",TodayDate-Y493))</f>
        <v>0</v>
      </c>
      <c r="AA493" s="42">
        <f>IF(B493="","",SUMPRODUCT(MIN((Appointments!$E$5:$E$1204=A493)*(Appointments!$M$5:$M$1204&lt;&gt;"Cancelled")*(Appointments!$M$5:$M$1204&lt;&gt;"Completed")*(Appointments!$M$5:$M$1204&lt;&gt;"No show")*(Appointments!$B$5:$B$1204&gt;=TodayDate)*Appointments!$B$5:$B$1204+(1-(Appointments!$E$5:$E$1204=A493)*(Appointments!$M$5:$M$1204&lt;&gt;"Cancelled")*(Appointments!$M$5:$M$1204&lt;&gt;"Completed")*(Appointments!$M$5:$M$1204&lt;&gt;"No show")*(Appointments!$B$5:$B$1204&gt;=TodayDate))*2958465)))</f>
        <v>0</v>
      </c>
      <c r="AB493" s="17">
        <f>IF(B493="","",IF(AA493&gt;=2958465,"",AA493))</f>
        <v>0</v>
      </c>
      <c r="AC493" s="25">
        <f>IF(B493="","",IF(T493&lt;2,"",ROUND((Y493-X493)/MAX(1,T493-1),0)))</f>
        <v>0</v>
      </c>
      <c r="AD493" s="17">
        <f>IF(B493="","",IF(Y493="","",Y493+IF(AC493="",RebookWeeks*7,MAX(14,AC493))))</f>
        <v>0</v>
      </c>
      <c r="AE493" s="26">
        <f>IF(B493="","",ROUND(SUMIFS(Sales!$Y$5:$Y$1204,Sales!$D$5:$D$1204,A493),2))</f>
        <v>0</v>
      </c>
      <c r="AF493" s="26">
        <f>IF(B493="","",ROUND(SUMIFS(Sales!$Y$5:$Y$1204,Sales!$D$5:$D$1204,A493,Sales!$H$5:$H$1204,"Service"),2))</f>
        <v>0</v>
      </c>
      <c r="AG493" s="26">
        <f>IF(B493="","",ROUND(SUMIFS(Sales!$Y$5:$Y$1204,Sales!$D$5:$D$1204,A493,Sales!$H$5:$H$1204,"Retail"),2))</f>
        <v>0</v>
      </c>
      <c r="AH493" s="26">
        <f>IF(B493="","",ROUND(SUMIFS(Sales!$Y$5:$Y$1204,Sales!$D$5:$D$1204,A493,Sales!$B$5:$B$1204,"&gt;="&amp;TodayDate-365),2))</f>
        <v>0</v>
      </c>
      <c r="AI493" s="26">
        <f>IF(B493="","",IF(T493=0,"",ROUND(AE493/T493,2)))</f>
        <v>0</v>
      </c>
      <c r="AJ493" s="26">
        <f>IF(B493="","",IF(AI493="","",IF(AC493="","",ROUND(AI493*(365/MAX(14,AC493)),2))))</f>
        <v>0</v>
      </c>
      <c r="AK493" s="26">
        <f>IF(B493="","",ROUND(SUMIFS(Sales!$AH$5:$AH$1204,Sales!$D$5:$D$1204,A493),2))</f>
        <v>0</v>
      </c>
      <c r="AL493" s="25">
        <f>IF(B493="","",IFERROR(INDEX(Loyalty!$P$5:$P$504,MATCH(A493,Loyalty!$B$5:$B$504,0))*1,0))</f>
        <v>0</v>
      </c>
      <c r="AM493" s="39">
        <f>IF(B493="","",IF(R493="Archived","Archived",IF(T493=0,"Not been yet",IF(Z493&gt;=InactiveDays,"Inactive",IF(Z493&gt;=LapsingDays,"Lapsing",IF(T493=1,"New",IF(AH493&gt;=VipSpend,"VIP",IF(U493&gt;=4,"Regular","Active"))))))))</f>
        <v>0</v>
      </c>
      <c r="AN493" s="38">
        <f>IF(B493="","",IF(T493&gt;=2,"Yes","No"))</f>
        <v>0</v>
      </c>
      <c r="AO493" s="25">
        <f>IF(B493="","",COUNTIFS($AE$5:$AE$504,"&gt;"&amp;AE493)+COUNTIFS($AE$5:AE493,AE493))</f>
        <v>0</v>
      </c>
      <c r="AP493" s="25">
        <f>IF(B493="","",COUNTIFS($T$5:$T$504,"&gt;"&amp;T493)+COUNTIFS($T$5:T493,T493))</f>
        <v>0</v>
      </c>
      <c r="AQ493" s="39">
        <f>IF(B493="","",IF(COUNTIF($B$5:$B$504,B493)&gt;1,"Duplicate - same name twice",IF(R493="Archived","",IF(AK493&gt;0.004,"Chase - balance outstanding",IF(AM493="Inactive","Gone - win-back offer",IF(AM493="Lapsing","Chase - lapsing, call them",IF(IF(N493="",FALSE,TodayDate-N493&gt;PatchTestDays),"Due - patch test out of date",IF(IF(AD493="",FALSE,IF(AB493&lt;&gt;"",FALSE,AD493&lt;=TodayDate+14)),"Rebook - due and nothing booked",IF(IF(K493="",FALSE,ABS(DATE(YEAR(TodayDate),MONTH(K493),DAY(K493))-TodayDate)&lt;=7),"Birthday - send the treat","OK")))))))))</f>
        <v>0</v>
      </c>
    </row>
    <row r="494" spans="1:43">
      <c r="A494" s="28">
        <f>IF(B494="","",ClientPrefix&amp;TEXT(ROW()-4,"0000"))</f>
        <v>0</v>
      </c>
      <c r="J494" s="15">
        <f>IF(I494="","",IFERROR(INDEX(Staff!$B$5:$B$44,MATCH(I494,Staff!$A$5:$A$44,0)),"Not in Staff"))</f>
        <v>0</v>
      </c>
      <c r="T494" s="25">
        <f>IF(B494="","",COUNTIFS(Appointments!$E$5:$E$1204,A494,Appointments!$M$5:$M$1204,"Completed"))</f>
        <v>0</v>
      </c>
      <c r="U494" s="25">
        <f>IF(B494="","",COUNTIFS(Appointments!$E$5:$E$1204,A494,Appointments!$M$5:$M$1204,"Completed",Appointments!$B$5:$B$1204,"&gt;="&amp;TodayDate-365))</f>
        <v>0</v>
      </c>
      <c r="V494" s="25">
        <f>IF(B494="","",COUNTIFS(Appointments!$E$5:$E$1204,A494,Appointments!$M$5:$M$1204,"Cancelled"))</f>
        <v>0</v>
      </c>
      <c r="W494" s="25">
        <f>IF(B494="","",COUNTIFS(Appointments!$E$5:$E$1204,A494,Appointments!$M$5:$M$1204,"No show"))</f>
        <v>0</v>
      </c>
      <c r="X494" s="17">
        <f>IF(B494="","",IF(F494&lt;&gt;"",F494,IF(T494=0,"",SUMPRODUCT(MIN((Appointments!$E$5:$E$1204=A494)*(Appointments!$M$5:$M$1204="Completed")*Appointments!$B$5:$B$1204+(1-(Appointments!$E$5:$E$1204=A494)*(Appointments!$M$5:$M$1204="Completed"))*2958465)))))</f>
        <v>0</v>
      </c>
      <c r="Y494" s="17">
        <f>IF(B494="","",IF(T494=0,"",SUMPRODUCT(MAX((Appointments!$E$5:$E$1204=A494)*(Appointments!$M$5:$M$1204="Completed")*Appointments!$B$5:$B$1204))))</f>
        <v>0</v>
      </c>
      <c r="Z494" s="25">
        <f>IF(B494="","",IF(Y494="","",TodayDate-Y494))</f>
        <v>0</v>
      </c>
      <c r="AA494" s="42">
        <f>IF(B494="","",SUMPRODUCT(MIN((Appointments!$E$5:$E$1204=A494)*(Appointments!$M$5:$M$1204&lt;&gt;"Cancelled")*(Appointments!$M$5:$M$1204&lt;&gt;"Completed")*(Appointments!$M$5:$M$1204&lt;&gt;"No show")*(Appointments!$B$5:$B$1204&gt;=TodayDate)*Appointments!$B$5:$B$1204+(1-(Appointments!$E$5:$E$1204=A494)*(Appointments!$M$5:$M$1204&lt;&gt;"Cancelled")*(Appointments!$M$5:$M$1204&lt;&gt;"Completed")*(Appointments!$M$5:$M$1204&lt;&gt;"No show")*(Appointments!$B$5:$B$1204&gt;=TodayDate))*2958465)))</f>
        <v>0</v>
      </c>
      <c r="AB494" s="17">
        <f>IF(B494="","",IF(AA494&gt;=2958465,"",AA494))</f>
        <v>0</v>
      </c>
      <c r="AC494" s="25">
        <f>IF(B494="","",IF(T494&lt;2,"",ROUND((Y494-X494)/MAX(1,T494-1),0)))</f>
        <v>0</v>
      </c>
      <c r="AD494" s="17">
        <f>IF(B494="","",IF(Y494="","",Y494+IF(AC494="",RebookWeeks*7,MAX(14,AC494))))</f>
        <v>0</v>
      </c>
      <c r="AE494" s="26">
        <f>IF(B494="","",ROUND(SUMIFS(Sales!$Y$5:$Y$1204,Sales!$D$5:$D$1204,A494),2))</f>
        <v>0</v>
      </c>
      <c r="AF494" s="26">
        <f>IF(B494="","",ROUND(SUMIFS(Sales!$Y$5:$Y$1204,Sales!$D$5:$D$1204,A494,Sales!$H$5:$H$1204,"Service"),2))</f>
        <v>0</v>
      </c>
      <c r="AG494" s="26">
        <f>IF(B494="","",ROUND(SUMIFS(Sales!$Y$5:$Y$1204,Sales!$D$5:$D$1204,A494,Sales!$H$5:$H$1204,"Retail"),2))</f>
        <v>0</v>
      </c>
      <c r="AH494" s="26">
        <f>IF(B494="","",ROUND(SUMIFS(Sales!$Y$5:$Y$1204,Sales!$D$5:$D$1204,A494,Sales!$B$5:$B$1204,"&gt;="&amp;TodayDate-365),2))</f>
        <v>0</v>
      </c>
      <c r="AI494" s="26">
        <f>IF(B494="","",IF(T494=0,"",ROUND(AE494/T494,2)))</f>
        <v>0</v>
      </c>
      <c r="AJ494" s="26">
        <f>IF(B494="","",IF(AI494="","",IF(AC494="","",ROUND(AI494*(365/MAX(14,AC494)),2))))</f>
        <v>0</v>
      </c>
      <c r="AK494" s="26">
        <f>IF(B494="","",ROUND(SUMIFS(Sales!$AH$5:$AH$1204,Sales!$D$5:$D$1204,A494),2))</f>
        <v>0</v>
      </c>
      <c r="AL494" s="25">
        <f>IF(B494="","",IFERROR(INDEX(Loyalty!$P$5:$P$504,MATCH(A494,Loyalty!$B$5:$B$504,0))*1,0))</f>
        <v>0</v>
      </c>
      <c r="AM494" s="39">
        <f>IF(B494="","",IF(R494="Archived","Archived",IF(T494=0,"Not been yet",IF(Z494&gt;=InactiveDays,"Inactive",IF(Z494&gt;=LapsingDays,"Lapsing",IF(T494=1,"New",IF(AH494&gt;=VipSpend,"VIP",IF(U494&gt;=4,"Regular","Active"))))))))</f>
        <v>0</v>
      </c>
      <c r="AN494" s="38">
        <f>IF(B494="","",IF(T494&gt;=2,"Yes","No"))</f>
        <v>0</v>
      </c>
      <c r="AO494" s="25">
        <f>IF(B494="","",COUNTIFS($AE$5:$AE$504,"&gt;"&amp;AE494)+COUNTIFS($AE$5:AE494,AE494))</f>
        <v>0</v>
      </c>
      <c r="AP494" s="25">
        <f>IF(B494="","",COUNTIFS($T$5:$T$504,"&gt;"&amp;T494)+COUNTIFS($T$5:T494,T494))</f>
        <v>0</v>
      </c>
      <c r="AQ494" s="39">
        <f>IF(B494="","",IF(COUNTIF($B$5:$B$504,B494)&gt;1,"Duplicate - same name twice",IF(R494="Archived","",IF(AK494&gt;0.004,"Chase - balance outstanding",IF(AM494="Inactive","Gone - win-back offer",IF(AM494="Lapsing","Chase - lapsing, call them",IF(IF(N494="",FALSE,TodayDate-N494&gt;PatchTestDays),"Due - patch test out of date",IF(IF(AD494="",FALSE,IF(AB494&lt;&gt;"",FALSE,AD494&lt;=TodayDate+14)),"Rebook - due and nothing booked",IF(IF(K494="",FALSE,ABS(DATE(YEAR(TodayDate),MONTH(K494),DAY(K494))-TodayDate)&lt;=7),"Birthday - send the treat","OK")))))))))</f>
        <v>0</v>
      </c>
    </row>
    <row r="495" spans="1:43">
      <c r="A495" s="28">
        <f>IF(B495="","",ClientPrefix&amp;TEXT(ROW()-4,"0000"))</f>
        <v>0</v>
      </c>
      <c r="J495" s="15">
        <f>IF(I495="","",IFERROR(INDEX(Staff!$B$5:$B$44,MATCH(I495,Staff!$A$5:$A$44,0)),"Not in Staff"))</f>
        <v>0</v>
      </c>
      <c r="T495" s="25">
        <f>IF(B495="","",COUNTIFS(Appointments!$E$5:$E$1204,A495,Appointments!$M$5:$M$1204,"Completed"))</f>
        <v>0</v>
      </c>
      <c r="U495" s="25">
        <f>IF(B495="","",COUNTIFS(Appointments!$E$5:$E$1204,A495,Appointments!$M$5:$M$1204,"Completed",Appointments!$B$5:$B$1204,"&gt;="&amp;TodayDate-365))</f>
        <v>0</v>
      </c>
      <c r="V495" s="25">
        <f>IF(B495="","",COUNTIFS(Appointments!$E$5:$E$1204,A495,Appointments!$M$5:$M$1204,"Cancelled"))</f>
        <v>0</v>
      </c>
      <c r="W495" s="25">
        <f>IF(B495="","",COUNTIFS(Appointments!$E$5:$E$1204,A495,Appointments!$M$5:$M$1204,"No show"))</f>
        <v>0</v>
      </c>
      <c r="X495" s="17">
        <f>IF(B495="","",IF(F495&lt;&gt;"",F495,IF(T495=0,"",SUMPRODUCT(MIN((Appointments!$E$5:$E$1204=A495)*(Appointments!$M$5:$M$1204="Completed")*Appointments!$B$5:$B$1204+(1-(Appointments!$E$5:$E$1204=A495)*(Appointments!$M$5:$M$1204="Completed"))*2958465)))))</f>
        <v>0</v>
      </c>
      <c r="Y495" s="17">
        <f>IF(B495="","",IF(T495=0,"",SUMPRODUCT(MAX((Appointments!$E$5:$E$1204=A495)*(Appointments!$M$5:$M$1204="Completed")*Appointments!$B$5:$B$1204))))</f>
        <v>0</v>
      </c>
      <c r="Z495" s="25">
        <f>IF(B495="","",IF(Y495="","",TodayDate-Y495))</f>
        <v>0</v>
      </c>
      <c r="AA495" s="42">
        <f>IF(B495="","",SUMPRODUCT(MIN((Appointments!$E$5:$E$1204=A495)*(Appointments!$M$5:$M$1204&lt;&gt;"Cancelled")*(Appointments!$M$5:$M$1204&lt;&gt;"Completed")*(Appointments!$M$5:$M$1204&lt;&gt;"No show")*(Appointments!$B$5:$B$1204&gt;=TodayDate)*Appointments!$B$5:$B$1204+(1-(Appointments!$E$5:$E$1204=A495)*(Appointments!$M$5:$M$1204&lt;&gt;"Cancelled")*(Appointments!$M$5:$M$1204&lt;&gt;"Completed")*(Appointments!$M$5:$M$1204&lt;&gt;"No show")*(Appointments!$B$5:$B$1204&gt;=TodayDate))*2958465)))</f>
        <v>0</v>
      </c>
      <c r="AB495" s="17">
        <f>IF(B495="","",IF(AA495&gt;=2958465,"",AA495))</f>
        <v>0</v>
      </c>
      <c r="AC495" s="25">
        <f>IF(B495="","",IF(T495&lt;2,"",ROUND((Y495-X495)/MAX(1,T495-1),0)))</f>
        <v>0</v>
      </c>
      <c r="AD495" s="17">
        <f>IF(B495="","",IF(Y495="","",Y495+IF(AC495="",RebookWeeks*7,MAX(14,AC495))))</f>
        <v>0</v>
      </c>
      <c r="AE495" s="26">
        <f>IF(B495="","",ROUND(SUMIFS(Sales!$Y$5:$Y$1204,Sales!$D$5:$D$1204,A495),2))</f>
        <v>0</v>
      </c>
      <c r="AF495" s="26">
        <f>IF(B495="","",ROUND(SUMIFS(Sales!$Y$5:$Y$1204,Sales!$D$5:$D$1204,A495,Sales!$H$5:$H$1204,"Service"),2))</f>
        <v>0</v>
      </c>
      <c r="AG495" s="26">
        <f>IF(B495="","",ROUND(SUMIFS(Sales!$Y$5:$Y$1204,Sales!$D$5:$D$1204,A495,Sales!$H$5:$H$1204,"Retail"),2))</f>
        <v>0</v>
      </c>
      <c r="AH495" s="26">
        <f>IF(B495="","",ROUND(SUMIFS(Sales!$Y$5:$Y$1204,Sales!$D$5:$D$1204,A495,Sales!$B$5:$B$1204,"&gt;="&amp;TodayDate-365),2))</f>
        <v>0</v>
      </c>
      <c r="AI495" s="26">
        <f>IF(B495="","",IF(T495=0,"",ROUND(AE495/T495,2)))</f>
        <v>0</v>
      </c>
      <c r="AJ495" s="26">
        <f>IF(B495="","",IF(AI495="","",IF(AC495="","",ROUND(AI495*(365/MAX(14,AC495)),2))))</f>
        <v>0</v>
      </c>
      <c r="AK495" s="26">
        <f>IF(B495="","",ROUND(SUMIFS(Sales!$AH$5:$AH$1204,Sales!$D$5:$D$1204,A495),2))</f>
        <v>0</v>
      </c>
      <c r="AL495" s="25">
        <f>IF(B495="","",IFERROR(INDEX(Loyalty!$P$5:$P$504,MATCH(A495,Loyalty!$B$5:$B$504,0))*1,0))</f>
        <v>0</v>
      </c>
      <c r="AM495" s="39">
        <f>IF(B495="","",IF(R495="Archived","Archived",IF(T495=0,"Not been yet",IF(Z495&gt;=InactiveDays,"Inactive",IF(Z495&gt;=LapsingDays,"Lapsing",IF(T495=1,"New",IF(AH495&gt;=VipSpend,"VIP",IF(U495&gt;=4,"Regular","Active"))))))))</f>
        <v>0</v>
      </c>
      <c r="AN495" s="38">
        <f>IF(B495="","",IF(T495&gt;=2,"Yes","No"))</f>
        <v>0</v>
      </c>
      <c r="AO495" s="25">
        <f>IF(B495="","",COUNTIFS($AE$5:$AE$504,"&gt;"&amp;AE495)+COUNTIFS($AE$5:AE495,AE495))</f>
        <v>0</v>
      </c>
      <c r="AP495" s="25">
        <f>IF(B495="","",COUNTIFS($T$5:$T$504,"&gt;"&amp;T495)+COUNTIFS($T$5:T495,T495))</f>
        <v>0</v>
      </c>
      <c r="AQ495" s="39">
        <f>IF(B495="","",IF(COUNTIF($B$5:$B$504,B495)&gt;1,"Duplicate - same name twice",IF(R495="Archived","",IF(AK495&gt;0.004,"Chase - balance outstanding",IF(AM495="Inactive","Gone - win-back offer",IF(AM495="Lapsing","Chase - lapsing, call them",IF(IF(N495="",FALSE,TodayDate-N495&gt;PatchTestDays),"Due - patch test out of date",IF(IF(AD495="",FALSE,IF(AB495&lt;&gt;"",FALSE,AD495&lt;=TodayDate+14)),"Rebook - due and nothing booked",IF(IF(K495="",FALSE,ABS(DATE(YEAR(TodayDate),MONTH(K495),DAY(K495))-TodayDate)&lt;=7),"Birthday - send the treat","OK")))))))))</f>
        <v>0</v>
      </c>
    </row>
    <row r="496" spans="1:43">
      <c r="A496" s="28">
        <f>IF(B496="","",ClientPrefix&amp;TEXT(ROW()-4,"0000"))</f>
        <v>0</v>
      </c>
      <c r="J496" s="15">
        <f>IF(I496="","",IFERROR(INDEX(Staff!$B$5:$B$44,MATCH(I496,Staff!$A$5:$A$44,0)),"Not in Staff"))</f>
        <v>0</v>
      </c>
      <c r="T496" s="25">
        <f>IF(B496="","",COUNTIFS(Appointments!$E$5:$E$1204,A496,Appointments!$M$5:$M$1204,"Completed"))</f>
        <v>0</v>
      </c>
      <c r="U496" s="25">
        <f>IF(B496="","",COUNTIFS(Appointments!$E$5:$E$1204,A496,Appointments!$M$5:$M$1204,"Completed",Appointments!$B$5:$B$1204,"&gt;="&amp;TodayDate-365))</f>
        <v>0</v>
      </c>
      <c r="V496" s="25">
        <f>IF(B496="","",COUNTIFS(Appointments!$E$5:$E$1204,A496,Appointments!$M$5:$M$1204,"Cancelled"))</f>
        <v>0</v>
      </c>
      <c r="W496" s="25">
        <f>IF(B496="","",COUNTIFS(Appointments!$E$5:$E$1204,A496,Appointments!$M$5:$M$1204,"No show"))</f>
        <v>0</v>
      </c>
      <c r="X496" s="17">
        <f>IF(B496="","",IF(F496&lt;&gt;"",F496,IF(T496=0,"",SUMPRODUCT(MIN((Appointments!$E$5:$E$1204=A496)*(Appointments!$M$5:$M$1204="Completed")*Appointments!$B$5:$B$1204+(1-(Appointments!$E$5:$E$1204=A496)*(Appointments!$M$5:$M$1204="Completed"))*2958465)))))</f>
        <v>0</v>
      </c>
      <c r="Y496" s="17">
        <f>IF(B496="","",IF(T496=0,"",SUMPRODUCT(MAX((Appointments!$E$5:$E$1204=A496)*(Appointments!$M$5:$M$1204="Completed")*Appointments!$B$5:$B$1204))))</f>
        <v>0</v>
      </c>
      <c r="Z496" s="25">
        <f>IF(B496="","",IF(Y496="","",TodayDate-Y496))</f>
        <v>0</v>
      </c>
      <c r="AA496" s="42">
        <f>IF(B496="","",SUMPRODUCT(MIN((Appointments!$E$5:$E$1204=A496)*(Appointments!$M$5:$M$1204&lt;&gt;"Cancelled")*(Appointments!$M$5:$M$1204&lt;&gt;"Completed")*(Appointments!$M$5:$M$1204&lt;&gt;"No show")*(Appointments!$B$5:$B$1204&gt;=TodayDate)*Appointments!$B$5:$B$1204+(1-(Appointments!$E$5:$E$1204=A496)*(Appointments!$M$5:$M$1204&lt;&gt;"Cancelled")*(Appointments!$M$5:$M$1204&lt;&gt;"Completed")*(Appointments!$M$5:$M$1204&lt;&gt;"No show")*(Appointments!$B$5:$B$1204&gt;=TodayDate))*2958465)))</f>
        <v>0</v>
      </c>
      <c r="AB496" s="17">
        <f>IF(B496="","",IF(AA496&gt;=2958465,"",AA496))</f>
        <v>0</v>
      </c>
      <c r="AC496" s="25">
        <f>IF(B496="","",IF(T496&lt;2,"",ROUND((Y496-X496)/MAX(1,T496-1),0)))</f>
        <v>0</v>
      </c>
      <c r="AD496" s="17">
        <f>IF(B496="","",IF(Y496="","",Y496+IF(AC496="",RebookWeeks*7,MAX(14,AC496))))</f>
        <v>0</v>
      </c>
      <c r="AE496" s="26">
        <f>IF(B496="","",ROUND(SUMIFS(Sales!$Y$5:$Y$1204,Sales!$D$5:$D$1204,A496),2))</f>
        <v>0</v>
      </c>
      <c r="AF496" s="26">
        <f>IF(B496="","",ROUND(SUMIFS(Sales!$Y$5:$Y$1204,Sales!$D$5:$D$1204,A496,Sales!$H$5:$H$1204,"Service"),2))</f>
        <v>0</v>
      </c>
      <c r="AG496" s="26">
        <f>IF(B496="","",ROUND(SUMIFS(Sales!$Y$5:$Y$1204,Sales!$D$5:$D$1204,A496,Sales!$H$5:$H$1204,"Retail"),2))</f>
        <v>0</v>
      </c>
      <c r="AH496" s="26">
        <f>IF(B496="","",ROUND(SUMIFS(Sales!$Y$5:$Y$1204,Sales!$D$5:$D$1204,A496,Sales!$B$5:$B$1204,"&gt;="&amp;TodayDate-365),2))</f>
        <v>0</v>
      </c>
      <c r="AI496" s="26">
        <f>IF(B496="","",IF(T496=0,"",ROUND(AE496/T496,2)))</f>
        <v>0</v>
      </c>
      <c r="AJ496" s="26">
        <f>IF(B496="","",IF(AI496="","",IF(AC496="","",ROUND(AI496*(365/MAX(14,AC496)),2))))</f>
        <v>0</v>
      </c>
      <c r="AK496" s="26">
        <f>IF(B496="","",ROUND(SUMIFS(Sales!$AH$5:$AH$1204,Sales!$D$5:$D$1204,A496),2))</f>
        <v>0</v>
      </c>
      <c r="AL496" s="25">
        <f>IF(B496="","",IFERROR(INDEX(Loyalty!$P$5:$P$504,MATCH(A496,Loyalty!$B$5:$B$504,0))*1,0))</f>
        <v>0</v>
      </c>
      <c r="AM496" s="39">
        <f>IF(B496="","",IF(R496="Archived","Archived",IF(T496=0,"Not been yet",IF(Z496&gt;=InactiveDays,"Inactive",IF(Z496&gt;=LapsingDays,"Lapsing",IF(T496=1,"New",IF(AH496&gt;=VipSpend,"VIP",IF(U496&gt;=4,"Regular","Active"))))))))</f>
        <v>0</v>
      </c>
      <c r="AN496" s="38">
        <f>IF(B496="","",IF(T496&gt;=2,"Yes","No"))</f>
        <v>0</v>
      </c>
      <c r="AO496" s="25">
        <f>IF(B496="","",COUNTIFS($AE$5:$AE$504,"&gt;"&amp;AE496)+COUNTIFS($AE$5:AE496,AE496))</f>
        <v>0</v>
      </c>
      <c r="AP496" s="25">
        <f>IF(B496="","",COUNTIFS($T$5:$T$504,"&gt;"&amp;T496)+COUNTIFS($T$5:T496,T496))</f>
        <v>0</v>
      </c>
      <c r="AQ496" s="39">
        <f>IF(B496="","",IF(COUNTIF($B$5:$B$504,B496)&gt;1,"Duplicate - same name twice",IF(R496="Archived","",IF(AK496&gt;0.004,"Chase - balance outstanding",IF(AM496="Inactive","Gone - win-back offer",IF(AM496="Lapsing","Chase - lapsing, call them",IF(IF(N496="",FALSE,TodayDate-N496&gt;PatchTestDays),"Due - patch test out of date",IF(IF(AD496="",FALSE,IF(AB496&lt;&gt;"",FALSE,AD496&lt;=TodayDate+14)),"Rebook - due and nothing booked",IF(IF(K496="",FALSE,ABS(DATE(YEAR(TodayDate),MONTH(K496),DAY(K496))-TodayDate)&lt;=7),"Birthday - send the treat","OK")))))))))</f>
        <v>0</v>
      </c>
    </row>
    <row r="497" spans="1:43">
      <c r="A497" s="28">
        <f>IF(B497="","",ClientPrefix&amp;TEXT(ROW()-4,"0000"))</f>
        <v>0</v>
      </c>
      <c r="J497" s="15">
        <f>IF(I497="","",IFERROR(INDEX(Staff!$B$5:$B$44,MATCH(I497,Staff!$A$5:$A$44,0)),"Not in Staff"))</f>
        <v>0</v>
      </c>
      <c r="T497" s="25">
        <f>IF(B497="","",COUNTIFS(Appointments!$E$5:$E$1204,A497,Appointments!$M$5:$M$1204,"Completed"))</f>
        <v>0</v>
      </c>
      <c r="U497" s="25">
        <f>IF(B497="","",COUNTIFS(Appointments!$E$5:$E$1204,A497,Appointments!$M$5:$M$1204,"Completed",Appointments!$B$5:$B$1204,"&gt;="&amp;TodayDate-365))</f>
        <v>0</v>
      </c>
      <c r="V497" s="25">
        <f>IF(B497="","",COUNTIFS(Appointments!$E$5:$E$1204,A497,Appointments!$M$5:$M$1204,"Cancelled"))</f>
        <v>0</v>
      </c>
      <c r="W497" s="25">
        <f>IF(B497="","",COUNTIFS(Appointments!$E$5:$E$1204,A497,Appointments!$M$5:$M$1204,"No show"))</f>
        <v>0</v>
      </c>
      <c r="X497" s="17">
        <f>IF(B497="","",IF(F497&lt;&gt;"",F497,IF(T497=0,"",SUMPRODUCT(MIN((Appointments!$E$5:$E$1204=A497)*(Appointments!$M$5:$M$1204="Completed")*Appointments!$B$5:$B$1204+(1-(Appointments!$E$5:$E$1204=A497)*(Appointments!$M$5:$M$1204="Completed"))*2958465)))))</f>
        <v>0</v>
      </c>
      <c r="Y497" s="17">
        <f>IF(B497="","",IF(T497=0,"",SUMPRODUCT(MAX((Appointments!$E$5:$E$1204=A497)*(Appointments!$M$5:$M$1204="Completed")*Appointments!$B$5:$B$1204))))</f>
        <v>0</v>
      </c>
      <c r="Z497" s="25">
        <f>IF(B497="","",IF(Y497="","",TodayDate-Y497))</f>
        <v>0</v>
      </c>
      <c r="AA497" s="42">
        <f>IF(B497="","",SUMPRODUCT(MIN((Appointments!$E$5:$E$1204=A497)*(Appointments!$M$5:$M$1204&lt;&gt;"Cancelled")*(Appointments!$M$5:$M$1204&lt;&gt;"Completed")*(Appointments!$M$5:$M$1204&lt;&gt;"No show")*(Appointments!$B$5:$B$1204&gt;=TodayDate)*Appointments!$B$5:$B$1204+(1-(Appointments!$E$5:$E$1204=A497)*(Appointments!$M$5:$M$1204&lt;&gt;"Cancelled")*(Appointments!$M$5:$M$1204&lt;&gt;"Completed")*(Appointments!$M$5:$M$1204&lt;&gt;"No show")*(Appointments!$B$5:$B$1204&gt;=TodayDate))*2958465)))</f>
        <v>0</v>
      </c>
      <c r="AB497" s="17">
        <f>IF(B497="","",IF(AA497&gt;=2958465,"",AA497))</f>
        <v>0</v>
      </c>
      <c r="AC497" s="25">
        <f>IF(B497="","",IF(T497&lt;2,"",ROUND((Y497-X497)/MAX(1,T497-1),0)))</f>
        <v>0</v>
      </c>
      <c r="AD497" s="17">
        <f>IF(B497="","",IF(Y497="","",Y497+IF(AC497="",RebookWeeks*7,MAX(14,AC497))))</f>
        <v>0</v>
      </c>
      <c r="AE497" s="26">
        <f>IF(B497="","",ROUND(SUMIFS(Sales!$Y$5:$Y$1204,Sales!$D$5:$D$1204,A497),2))</f>
        <v>0</v>
      </c>
      <c r="AF497" s="26">
        <f>IF(B497="","",ROUND(SUMIFS(Sales!$Y$5:$Y$1204,Sales!$D$5:$D$1204,A497,Sales!$H$5:$H$1204,"Service"),2))</f>
        <v>0</v>
      </c>
      <c r="AG497" s="26">
        <f>IF(B497="","",ROUND(SUMIFS(Sales!$Y$5:$Y$1204,Sales!$D$5:$D$1204,A497,Sales!$H$5:$H$1204,"Retail"),2))</f>
        <v>0</v>
      </c>
      <c r="AH497" s="26">
        <f>IF(B497="","",ROUND(SUMIFS(Sales!$Y$5:$Y$1204,Sales!$D$5:$D$1204,A497,Sales!$B$5:$B$1204,"&gt;="&amp;TodayDate-365),2))</f>
        <v>0</v>
      </c>
      <c r="AI497" s="26">
        <f>IF(B497="","",IF(T497=0,"",ROUND(AE497/T497,2)))</f>
        <v>0</v>
      </c>
      <c r="AJ497" s="26">
        <f>IF(B497="","",IF(AI497="","",IF(AC497="","",ROUND(AI497*(365/MAX(14,AC497)),2))))</f>
        <v>0</v>
      </c>
      <c r="AK497" s="26">
        <f>IF(B497="","",ROUND(SUMIFS(Sales!$AH$5:$AH$1204,Sales!$D$5:$D$1204,A497),2))</f>
        <v>0</v>
      </c>
      <c r="AL497" s="25">
        <f>IF(B497="","",IFERROR(INDEX(Loyalty!$P$5:$P$504,MATCH(A497,Loyalty!$B$5:$B$504,0))*1,0))</f>
        <v>0</v>
      </c>
      <c r="AM497" s="39">
        <f>IF(B497="","",IF(R497="Archived","Archived",IF(T497=0,"Not been yet",IF(Z497&gt;=InactiveDays,"Inactive",IF(Z497&gt;=LapsingDays,"Lapsing",IF(T497=1,"New",IF(AH497&gt;=VipSpend,"VIP",IF(U497&gt;=4,"Regular","Active"))))))))</f>
        <v>0</v>
      </c>
      <c r="AN497" s="38">
        <f>IF(B497="","",IF(T497&gt;=2,"Yes","No"))</f>
        <v>0</v>
      </c>
      <c r="AO497" s="25">
        <f>IF(B497="","",COUNTIFS($AE$5:$AE$504,"&gt;"&amp;AE497)+COUNTIFS($AE$5:AE497,AE497))</f>
        <v>0</v>
      </c>
      <c r="AP497" s="25">
        <f>IF(B497="","",COUNTIFS($T$5:$T$504,"&gt;"&amp;T497)+COUNTIFS($T$5:T497,T497))</f>
        <v>0</v>
      </c>
      <c r="AQ497" s="39">
        <f>IF(B497="","",IF(COUNTIF($B$5:$B$504,B497)&gt;1,"Duplicate - same name twice",IF(R497="Archived","",IF(AK497&gt;0.004,"Chase - balance outstanding",IF(AM497="Inactive","Gone - win-back offer",IF(AM497="Lapsing","Chase - lapsing, call them",IF(IF(N497="",FALSE,TodayDate-N497&gt;PatchTestDays),"Due - patch test out of date",IF(IF(AD497="",FALSE,IF(AB497&lt;&gt;"",FALSE,AD497&lt;=TodayDate+14)),"Rebook - due and nothing booked",IF(IF(K497="",FALSE,ABS(DATE(YEAR(TodayDate),MONTH(K497),DAY(K497))-TodayDate)&lt;=7),"Birthday - send the treat","OK")))))))))</f>
        <v>0</v>
      </c>
    </row>
    <row r="498" spans="1:43">
      <c r="A498" s="28">
        <f>IF(B498="","",ClientPrefix&amp;TEXT(ROW()-4,"0000"))</f>
        <v>0</v>
      </c>
      <c r="J498" s="15">
        <f>IF(I498="","",IFERROR(INDEX(Staff!$B$5:$B$44,MATCH(I498,Staff!$A$5:$A$44,0)),"Not in Staff"))</f>
        <v>0</v>
      </c>
      <c r="T498" s="25">
        <f>IF(B498="","",COUNTIFS(Appointments!$E$5:$E$1204,A498,Appointments!$M$5:$M$1204,"Completed"))</f>
        <v>0</v>
      </c>
      <c r="U498" s="25">
        <f>IF(B498="","",COUNTIFS(Appointments!$E$5:$E$1204,A498,Appointments!$M$5:$M$1204,"Completed",Appointments!$B$5:$B$1204,"&gt;="&amp;TodayDate-365))</f>
        <v>0</v>
      </c>
      <c r="V498" s="25">
        <f>IF(B498="","",COUNTIFS(Appointments!$E$5:$E$1204,A498,Appointments!$M$5:$M$1204,"Cancelled"))</f>
        <v>0</v>
      </c>
      <c r="W498" s="25">
        <f>IF(B498="","",COUNTIFS(Appointments!$E$5:$E$1204,A498,Appointments!$M$5:$M$1204,"No show"))</f>
        <v>0</v>
      </c>
      <c r="X498" s="17">
        <f>IF(B498="","",IF(F498&lt;&gt;"",F498,IF(T498=0,"",SUMPRODUCT(MIN((Appointments!$E$5:$E$1204=A498)*(Appointments!$M$5:$M$1204="Completed")*Appointments!$B$5:$B$1204+(1-(Appointments!$E$5:$E$1204=A498)*(Appointments!$M$5:$M$1204="Completed"))*2958465)))))</f>
        <v>0</v>
      </c>
      <c r="Y498" s="17">
        <f>IF(B498="","",IF(T498=0,"",SUMPRODUCT(MAX((Appointments!$E$5:$E$1204=A498)*(Appointments!$M$5:$M$1204="Completed")*Appointments!$B$5:$B$1204))))</f>
        <v>0</v>
      </c>
      <c r="Z498" s="25">
        <f>IF(B498="","",IF(Y498="","",TodayDate-Y498))</f>
        <v>0</v>
      </c>
      <c r="AA498" s="42">
        <f>IF(B498="","",SUMPRODUCT(MIN((Appointments!$E$5:$E$1204=A498)*(Appointments!$M$5:$M$1204&lt;&gt;"Cancelled")*(Appointments!$M$5:$M$1204&lt;&gt;"Completed")*(Appointments!$M$5:$M$1204&lt;&gt;"No show")*(Appointments!$B$5:$B$1204&gt;=TodayDate)*Appointments!$B$5:$B$1204+(1-(Appointments!$E$5:$E$1204=A498)*(Appointments!$M$5:$M$1204&lt;&gt;"Cancelled")*(Appointments!$M$5:$M$1204&lt;&gt;"Completed")*(Appointments!$M$5:$M$1204&lt;&gt;"No show")*(Appointments!$B$5:$B$1204&gt;=TodayDate))*2958465)))</f>
        <v>0</v>
      </c>
      <c r="AB498" s="17">
        <f>IF(B498="","",IF(AA498&gt;=2958465,"",AA498))</f>
        <v>0</v>
      </c>
      <c r="AC498" s="25">
        <f>IF(B498="","",IF(T498&lt;2,"",ROUND((Y498-X498)/MAX(1,T498-1),0)))</f>
        <v>0</v>
      </c>
      <c r="AD498" s="17">
        <f>IF(B498="","",IF(Y498="","",Y498+IF(AC498="",RebookWeeks*7,MAX(14,AC498))))</f>
        <v>0</v>
      </c>
      <c r="AE498" s="26">
        <f>IF(B498="","",ROUND(SUMIFS(Sales!$Y$5:$Y$1204,Sales!$D$5:$D$1204,A498),2))</f>
        <v>0</v>
      </c>
      <c r="AF498" s="26">
        <f>IF(B498="","",ROUND(SUMIFS(Sales!$Y$5:$Y$1204,Sales!$D$5:$D$1204,A498,Sales!$H$5:$H$1204,"Service"),2))</f>
        <v>0</v>
      </c>
      <c r="AG498" s="26">
        <f>IF(B498="","",ROUND(SUMIFS(Sales!$Y$5:$Y$1204,Sales!$D$5:$D$1204,A498,Sales!$H$5:$H$1204,"Retail"),2))</f>
        <v>0</v>
      </c>
      <c r="AH498" s="26">
        <f>IF(B498="","",ROUND(SUMIFS(Sales!$Y$5:$Y$1204,Sales!$D$5:$D$1204,A498,Sales!$B$5:$B$1204,"&gt;="&amp;TodayDate-365),2))</f>
        <v>0</v>
      </c>
      <c r="AI498" s="26">
        <f>IF(B498="","",IF(T498=0,"",ROUND(AE498/T498,2)))</f>
        <v>0</v>
      </c>
      <c r="AJ498" s="26">
        <f>IF(B498="","",IF(AI498="","",IF(AC498="","",ROUND(AI498*(365/MAX(14,AC498)),2))))</f>
        <v>0</v>
      </c>
      <c r="AK498" s="26">
        <f>IF(B498="","",ROUND(SUMIFS(Sales!$AH$5:$AH$1204,Sales!$D$5:$D$1204,A498),2))</f>
        <v>0</v>
      </c>
      <c r="AL498" s="25">
        <f>IF(B498="","",IFERROR(INDEX(Loyalty!$P$5:$P$504,MATCH(A498,Loyalty!$B$5:$B$504,0))*1,0))</f>
        <v>0</v>
      </c>
      <c r="AM498" s="39">
        <f>IF(B498="","",IF(R498="Archived","Archived",IF(T498=0,"Not been yet",IF(Z498&gt;=InactiveDays,"Inactive",IF(Z498&gt;=LapsingDays,"Lapsing",IF(T498=1,"New",IF(AH498&gt;=VipSpend,"VIP",IF(U498&gt;=4,"Regular","Active"))))))))</f>
        <v>0</v>
      </c>
      <c r="AN498" s="38">
        <f>IF(B498="","",IF(T498&gt;=2,"Yes","No"))</f>
        <v>0</v>
      </c>
      <c r="AO498" s="25">
        <f>IF(B498="","",COUNTIFS($AE$5:$AE$504,"&gt;"&amp;AE498)+COUNTIFS($AE$5:AE498,AE498))</f>
        <v>0</v>
      </c>
      <c r="AP498" s="25">
        <f>IF(B498="","",COUNTIFS($T$5:$T$504,"&gt;"&amp;T498)+COUNTIFS($T$5:T498,T498))</f>
        <v>0</v>
      </c>
      <c r="AQ498" s="39">
        <f>IF(B498="","",IF(COUNTIF($B$5:$B$504,B498)&gt;1,"Duplicate - same name twice",IF(R498="Archived","",IF(AK498&gt;0.004,"Chase - balance outstanding",IF(AM498="Inactive","Gone - win-back offer",IF(AM498="Lapsing","Chase - lapsing, call them",IF(IF(N498="",FALSE,TodayDate-N498&gt;PatchTestDays),"Due - patch test out of date",IF(IF(AD498="",FALSE,IF(AB498&lt;&gt;"",FALSE,AD498&lt;=TodayDate+14)),"Rebook - due and nothing booked",IF(IF(K498="",FALSE,ABS(DATE(YEAR(TodayDate),MONTH(K498),DAY(K498))-TodayDate)&lt;=7),"Birthday - send the treat","OK")))))))))</f>
        <v>0</v>
      </c>
    </row>
    <row r="499" spans="1:43">
      <c r="A499" s="28">
        <f>IF(B499="","",ClientPrefix&amp;TEXT(ROW()-4,"0000"))</f>
        <v>0</v>
      </c>
      <c r="J499" s="15">
        <f>IF(I499="","",IFERROR(INDEX(Staff!$B$5:$B$44,MATCH(I499,Staff!$A$5:$A$44,0)),"Not in Staff"))</f>
        <v>0</v>
      </c>
      <c r="T499" s="25">
        <f>IF(B499="","",COUNTIFS(Appointments!$E$5:$E$1204,A499,Appointments!$M$5:$M$1204,"Completed"))</f>
        <v>0</v>
      </c>
      <c r="U499" s="25">
        <f>IF(B499="","",COUNTIFS(Appointments!$E$5:$E$1204,A499,Appointments!$M$5:$M$1204,"Completed",Appointments!$B$5:$B$1204,"&gt;="&amp;TodayDate-365))</f>
        <v>0</v>
      </c>
      <c r="V499" s="25">
        <f>IF(B499="","",COUNTIFS(Appointments!$E$5:$E$1204,A499,Appointments!$M$5:$M$1204,"Cancelled"))</f>
        <v>0</v>
      </c>
      <c r="W499" s="25">
        <f>IF(B499="","",COUNTIFS(Appointments!$E$5:$E$1204,A499,Appointments!$M$5:$M$1204,"No show"))</f>
        <v>0</v>
      </c>
      <c r="X499" s="17">
        <f>IF(B499="","",IF(F499&lt;&gt;"",F499,IF(T499=0,"",SUMPRODUCT(MIN((Appointments!$E$5:$E$1204=A499)*(Appointments!$M$5:$M$1204="Completed")*Appointments!$B$5:$B$1204+(1-(Appointments!$E$5:$E$1204=A499)*(Appointments!$M$5:$M$1204="Completed"))*2958465)))))</f>
        <v>0</v>
      </c>
      <c r="Y499" s="17">
        <f>IF(B499="","",IF(T499=0,"",SUMPRODUCT(MAX((Appointments!$E$5:$E$1204=A499)*(Appointments!$M$5:$M$1204="Completed")*Appointments!$B$5:$B$1204))))</f>
        <v>0</v>
      </c>
      <c r="Z499" s="25">
        <f>IF(B499="","",IF(Y499="","",TodayDate-Y499))</f>
        <v>0</v>
      </c>
      <c r="AA499" s="42">
        <f>IF(B499="","",SUMPRODUCT(MIN((Appointments!$E$5:$E$1204=A499)*(Appointments!$M$5:$M$1204&lt;&gt;"Cancelled")*(Appointments!$M$5:$M$1204&lt;&gt;"Completed")*(Appointments!$M$5:$M$1204&lt;&gt;"No show")*(Appointments!$B$5:$B$1204&gt;=TodayDate)*Appointments!$B$5:$B$1204+(1-(Appointments!$E$5:$E$1204=A499)*(Appointments!$M$5:$M$1204&lt;&gt;"Cancelled")*(Appointments!$M$5:$M$1204&lt;&gt;"Completed")*(Appointments!$M$5:$M$1204&lt;&gt;"No show")*(Appointments!$B$5:$B$1204&gt;=TodayDate))*2958465)))</f>
        <v>0</v>
      </c>
      <c r="AB499" s="17">
        <f>IF(B499="","",IF(AA499&gt;=2958465,"",AA499))</f>
        <v>0</v>
      </c>
      <c r="AC499" s="25">
        <f>IF(B499="","",IF(T499&lt;2,"",ROUND((Y499-X499)/MAX(1,T499-1),0)))</f>
        <v>0</v>
      </c>
      <c r="AD499" s="17">
        <f>IF(B499="","",IF(Y499="","",Y499+IF(AC499="",RebookWeeks*7,MAX(14,AC499))))</f>
        <v>0</v>
      </c>
      <c r="AE499" s="26">
        <f>IF(B499="","",ROUND(SUMIFS(Sales!$Y$5:$Y$1204,Sales!$D$5:$D$1204,A499),2))</f>
        <v>0</v>
      </c>
      <c r="AF499" s="26">
        <f>IF(B499="","",ROUND(SUMIFS(Sales!$Y$5:$Y$1204,Sales!$D$5:$D$1204,A499,Sales!$H$5:$H$1204,"Service"),2))</f>
        <v>0</v>
      </c>
      <c r="AG499" s="26">
        <f>IF(B499="","",ROUND(SUMIFS(Sales!$Y$5:$Y$1204,Sales!$D$5:$D$1204,A499,Sales!$H$5:$H$1204,"Retail"),2))</f>
        <v>0</v>
      </c>
      <c r="AH499" s="26">
        <f>IF(B499="","",ROUND(SUMIFS(Sales!$Y$5:$Y$1204,Sales!$D$5:$D$1204,A499,Sales!$B$5:$B$1204,"&gt;="&amp;TodayDate-365),2))</f>
        <v>0</v>
      </c>
      <c r="AI499" s="26">
        <f>IF(B499="","",IF(T499=0,"",ROUND(AE499/T499,2)))</f>
        <v>0</v>
      </c>
      <c r="AJ499" s="26">
        <f>IF(B499="","",IF(AI499="","",IF(AC499="","",ROUND(AI499*(365/MAX(14,AC499)),2))))</f>
        <v>0</v>
      </c>
      <c r="AK499" s="26">
        <f>IF(B499="","",ROUND(SUMIFS(Sales!$AH$5:$AH$1204,Sales!$D$5:$D$1204,A499),2))</f>
        <v>0</v>
      </c>
      <c r="AL499" s="25">
        <f>IF(B499="","",IFERROR(INDEX(Loyalty!$P$5:$P$504,MATCH(A499,Loyalty!$B$5:$B$504,0))*1,0))</f>
        <v>0</v>
      </c>
      <c r="AM499" s="39">
        <f>IF(B499="","",IF(R499="Archived","Archived",IF(T499=0,"Not been yet",IF(Z499&gt;=InactiveDays,"Inactive",IF(Z499&gt;=LapsingDays,"Lapsing",IF(T499=1,"New",IF(AH499&gt;=VipSpend,"VIP",IF(U499&gt;=4,"Regular","Active"))))))))</f>
        <v>0</v>
      </c>
      <c r="AN499" s="38">
        <f>IF(B499="","",IF(T499&gt;=2,"Yes","No"))</f>
        <v>0</v>
      </c>
      <c r="AO499" s="25">
        <f>IF(B499="","",COUNTIFS($AE$5:$AE$504,"&gt;"&amp;AE499)+COUNTIFS($AE$5:AE499,AE499))</f>
        <v>0</v>
      </c>
      <c r="AP499" s="25">
        <f>IF(B499="","",COUNTIFS($T$5:$T$504,"&gt;"&amp;T499)+COUNTIFS($T$5:T499,T499))</f>
        <v>0</v>
      </c>
      <c r="AQ499" s="39">
        <f>IF(B499="","",IF(COUNTIF($B$5:$B$504,B499)&gt;1,"Duplicate - same name twice",IF(R499="Archived","",IF(AK499&gt;0.004,"Chase - balance outstanding",IF(AM499="Inactive","Gone - win-back offer",IF(AM499="Lapsing","Chase - lapsing, call them",IF(IF(N499="",FALSE,TodayDate-N499&gt;PatchTestDays),"Due - patch test out of date",IF(IF(AD499="",FALSE,IF(AB499&lt;&gt;"",FALSE,AD499&lt;=TodayDate+14)),"Rebook - due and nothing booked",IF(IF(K499="",FALSE,ABS(DATE(YEAR(TodayDate),MONTH(K499),DAY(K499))-TodayDate)&lt;=7),"Birthday - send the treat","OK")))))))))</f>
        <v>0</v>
      </c>
    </row>
    <row r="500" spans="1:43">
      <c r="A500" s="28">
        <f>IF(B500="","",ClientPrefix&amp;TEXT(ROW()-4,"0000"))</f>
        <v>0</v>
      </c>
      <c r="J500" s="15">
        <f>IF(I500="","",IFERROR(INDEX(Staff!$B$5:$B$44,MATCH(I500,Staff!$A$5:$A$44,0)),"Not in Staff"))</f>
        <v>0</v>
      </c>
      <c r="T500" s="25">
        <f>IF(B500="","",COUNTIFS(Appointments!$E$5:$E$1204,A500,Appointments!$M$5:$M$1204,"Completed"))</f>
        <v>0</v>
      </c>
      <c r="U500" s="25">
        <f>IF(B500="","",COUNTIFS(Appointments!$E$5:$E$1204,A500,Appointments!$M$5:$M$1204,"Completed",Appointments!$B$5:$B$1204,"&gt;="&amp;TodayDate-365))</f>
        <v>0</v>
      </c>
      <c r="V500" s="25">
        <f>IF(B500="","",COUNTIFS(Appointments!$E$5:$E$1204,A500,Appointments!$M$5:$M$1204,"Cancelled"))</f>
        <v>0</v>
      </c>
      <c r="W500" s="25">
        <f>IF(B500="","",COUNTIFS(Appointments!$E$5:$E$1204,A500,Appointments!$M$5:$M$1204,"No show"))</f>
        <v>0</v>
      </c>
      <c r="X500" s="17">
        <f>IF(B500="","",IF(F500&lt;&gt;"",F500,IF(T500=0,"",SUMPRODUCT(MIN((Appointments!$E$5:$E$1204=A500)*(Appointments!$M$5:$M$1204="Completed")*Appointments!$B$5:$B$1204+(1-(Appointments!$E$5:$E$1204=A500)*(Appointments!$M$5:$M$1204="Completed"))*2958465)))))</f>
        <v>0</v>
      </c>
      <c r="Y500" s="17">
        <f>IF(B500="","",IF(T500=0,"",SUMPRODUCT(MAX((Appointments!$E$5:$E$1204=A500)*(Appointments!$M$5:$M$1204="Completed")*Appointments!$B$5:$B$1204))))</f>
        <v>0</v>
      </c>
      <c r="Z500" s="25">
        <f>IF(B500="","",IF(Y500="","",TodayDate-Y500))</f>
        <v>0</v>
      </c>
      <c r="AA500" s="42">
        <f>IF(B500="","",SUMPRODUCT(MIN((Appointments!$E$5:$E$1204=A500)*(Appointments!$M$5:$M$1204&lt;&gt;"Cancelled")*(Appointments!$M$5:$M$1204&lt;&gt;"Completed")*(Appointments!$M$5:$M$1204&lt;&gt;"No show")*(Appointments!$B$5:$B$1204&gt;=TodayDate)*Appointments!$B$5:$B$1204+(1-(Appointments!$E$5:$E$1204=A500)*(Appointments!$M$5:$M$1204&lt;&gt;"Cancelled")*(Appointments!$M$5:$M$1204&lt;&gt;"Completed")*(Appointments!$M$5:$M$1204&lt;&gt;"No show")*(Appointments!$B$5:$B$1204&gt;=TodayDate))*2958465)))</f>
        <v>0</v>
      </c>
      <c r="AB500" s="17">
        <f>IF(B500="","",IF(AA500&gt;=2958465,"",AA500))</f>
        <v>0</v>
      </c>
      <c r="AC500" s="25">
        <f>IF(B500="","",IF(T500&lt;2,"",ROUND((Y500-X500)/MAX(1,T500-1),0)))</f>
        <v>0</v>
      </c>
      <c r="AD500" s="17">
        <f>IF(B500="","",IF(Y500="","",Y500+IF(AC500="",RebookWeeks*7,MAX(14,AC500))))</f>
        <v>0</v>
      </c>
      <c r="AE500" s="26">
        <f>IF(B500="","",ROUND(SUMIFS(Sales!$Y$5:$Y$1204,Sales!$D$5:$D$1204,A500),2))</f>
        <v>0</v>
      </c>
      <c r="AF500" s="26">
        <f>IF(B500="","",ROUND(SUMIFS(Sales!$Y$5:$Y$1204,Sales!$D$5:$D$1204,A500,Sales!$H$5:$H$1204,"Service"),2))</f>
        <v>0</v>
      </c>
      <c r="AG500" s="26">
        <f>IF(B500="","",ROUND(SUMIFS(Sales!$Y$5:$Y$1204,Sales!$D$5:$D$1204,A500,Sales!$H$5:$H$1204,"Retail"),2))</f>
        <v>0</v>
      </c>
      <c r="AH500" s="26">
        <f>IF(B500="","",ROUND(SUMIFS(Sales!$Y$5:$Y$1204,Sales!$D$5:$D$1204,A500,Sales!$B$5:$B$1204,"&gt;="&amp;TodayDate-365),2))</f>
        <v>0</v>
      </c>
      <c r="AI500" s="26">
        <f>IF(B500="","",IF(T500=0,"",ROUND(AE500/T500,2)))</f>
        <v>0</v>
      </c>
      <c r="AJ500" s="26">
        <f>IF(B500="","",IF(AI500="","",IF(AC500="","",ROUND(AI500*(365/MAX(14,AC500)),2))))</f>
        <v>0</v>
      </c>
      <c r="AK500" s="26">
        <f>IF(B500="","",ROUND(SUMIFS(Sales!$AH$5:$AH$1204,Sales!$D$5:$D$1204,A500),2))</f>
        <v>0</v>
      </c>
      <c r="AL500" s="25">
        <f>IF(B500="","",IFERROR(INDEX(Loyalty!$P$5:$P$504,MATCH(A500,Loyalty!$B$5:$B$504,0))*1,0))</f>
        <v>0</v>
      </c>
      <c r="AM500" s="39">
        <f>IF(B500="","",IF(R500="Archived","Archived",IF(T500=0,"Not been yet",IF(Z500&gt;=InactiveDays,"Inactive",IF(Z500&gt;=LapsingDays,"Lapsing",IF(T500=1,"New",IF(AH500&gt;=VipSpend,"VIP",IF(U500&gt;=4,"Regular","Active"))))))))</f>
        <v>0</v>
      </c>
      <c r="AN500" s="38">
        <f>IF(B500="","",IF(T500&gt;=2,"Yes","No"))</f>
        <v>0</v>
      </c>
      <c r="AO500" s="25">
        <f>IF(B500="","",COUNTIFS($AE$5:$AE$504,"&gt;"&amp;AE500)+COUNTIFS($AE$5:AE500,AE500))</f>
        <v>0</v>
      </c>
      <c r="AP500" s="25">
        <f>IF(B500="","",COUNTIFS($T$5:$T$504,"&gt;"&amp;T500)+COUNTIFS($T$5:T500,T500))</f>
        <v>0</v>
      </c>
      <c r="AQ500" s="39">
        <f>IF(B500="","",IF(COUNTIF($B$5:$B$504,B500)&gt;1,"Duplicate - same name twice",IF(R500="Archived","",IF(AK500&gt;0.004,"Chase - balance outstanding",IF(AM500="Inactive","Gone - win-back offer",IF(AM500="Lapsing","Chase - lapsing, call them",IF(IF(N500="",FALSE,TodayDate-N500&gt;PatchTestDays),"Due - patch test out of date",IF(IF(AD500="",FALSE,IF(AB500&lt;&gt;"",FALSE,AD500&lt;=TodayDate+14)),"Rebook - due and nothing booked",IF(IF(K500="",FALSE,ABS(DATE(YEAR(TodayDate),MONTH(K500),DAY(K500))-TodayDate)&lt;=7),"Birthday - send the treat","OK")))))))))</f>
        <v>0</v>
      </c>
    </row>
    <row r="501" spans="1:43">
      <c r="A501" s="28">
        <f>IF(B501="","",ClientPrefix&amp;TEXT(ROW()-4,"0000"))</f>
        <v>0</v>
      </c>
      <c r="J501" s="15">
        <f>IF(I501="","",IFERROR(INDEX(Staff!$B$5:$B$44,MATCH(I501,Staff!$A$5:$A$44,0)),"Not in Staff"))</f>
        <v>0</v>
      </c>
      <c r="T501" s="25">
        <f>IF(B501="","",COUNTIFS(Appointments!$E$5:$E$1204,A501,Appointments!$M$5:$M$1204,"Completed"))</f>
        <v>0</v>
      </c>
      <c r="U501" s="25">
        <f>IF(B501="","",COUNTIFS(Appointments!$E$5:$E$1204,A501,Appointments!$M$5:$M$1204,"Completed",Appointments!$B$5:$B$1204,"&gt;="&amp;TodayDate-365))</f>
        <v>0</v>
      </c>
      <c r="V501" s="25">
        <f>IF(B501="","",COUNTIFS(Appointments!$E$5:$E$1204,A501,Appointments!$M$5:$M$1204,"Cancelled"))</f>
        <v>0</v>
      </c>
      <c r="W501" s="25">
        <f>IF(B501="","",COUNTIFS(Appointments!$E$5:$E$1204,A501,Appointments!$M$5:$M$1204,"No show"))</f>
        <v>0</v>
      </c>
      <c r="X501" s="17">
        <f>IF(B501="","",IF(F501&lt;&gt;"",F501,IF(T501=0,"",SUMPRODUCT(MIN((Appointments!$E$5:$E$1204=A501)*(Appointments!$M$5:$M$1204="Completed")*Appointments!$B$5:$B$1204+(1-(Appointments!$E$5:$E$1204=A501)*(Appointments!$M$5:$M$1204="Completed"))*2958465)))))</f>
        <v>0</v>
      </c>
      <c r="Y501" s="17">
        <f>IF(B501="","",IF(T501=0,"",SUMPRODUCT(MAX((Appointments!$E$5:$E$1204=A501)*(Appointments!$M$5:$M$1204="Completed")*Appointments!$B$5:$B$1204))))</f>
        <v>0</v>
      </c>
      <c r="Z501" s="25">
        <f>IF(B501="","",IF(Y501="","",TodayDate-Y501))</f>
        <v>0</v>
      </c>
      <c r="AA501" s="42">
        <f>IF(B501="","",SUMPRODUCT(MIN((Appointments!$E$5:$E$1204=A501)*(Appointments!$M$5:$M$1204&lt;&gt;"Cancelled")*(Appointments!$M$5:$M$1204&lt;&gt;"Completed")*(Appointments!$M$5:$M$1204&lt;&gt;"No show")*(Appointments!$B$5:$B$1204&gt;=TodayDate)*Appointments!$B$5:$B$1204+(1-(Appointments!$E$5:$E$1204=A501)*(Appointments!$M$5:$M$1204&lt;&gt;"Cancelled")*(Appointments!$M$5:$M$1204&lt;&gt;"Completed")*(Appointments!$M$5:$M$1204&lt;&gt;"No show")*(Appointments!$B$5:$B$1204&gt;=TodayDate))*2958465)))</f>
        <v>0</v>
      </c>
      <c r="AB501" s="17">
        <f>IF(B501="","",IF(AA501&gt;=2958465,"",AA501))</f>
        <v>0</v>
      </c>
      <c r="AC501" s="25">
        <f>IF(B501="","",IF(T501&lt;2,"",ROUND((Y501-X501)/MAX(1,T501-1),0)))</f>
        <v>0</v>
      </c>
      <c r="AD501" s="17">
        <f>IF(B501="","",IF(Y501="","",Y501+IF(AC501="",RebookWeeks*7,MAX(14,AC501))))</f>
        <v>0</v>
      </c>
      <c r="AE501" s="26">
        <f>IF(B501="","",ROUND(SUMIFS(Sales!$Y$5:$Y$1204,Sales!$D$5:$D$1204,A501),2))</f>
        <v>0</v>
      </c>
      <c r="AF501" s="26">
        <f>IF(B501="","",ROUND(SUMIFS(Sales!$Y$5:$Y$1204,Sales!$D$5:$D$1204,A501,Sales!$H$5:$H$1204,"Service"),2))</f>
        <v>0</v>
      </c>
      <c r="AG501" s="26">
        <f>IF(B501="","",ROUND(SUMIFS(Sales!$Y$5:$Y$1204,Sales!$D$5:$D$1204,A501,Sales!$H$5:$H$1204,"Retail"),2))</f>
        <v>0</v>
      </c>
      <c r="AH501" s="26">
        <f>IF(B501="","",ROUND(SUMIFS(Sales!$Y$5:$Y$1204,Sales!$D$5:$D$1204,A501,Sales!$B$5:$B$1204,"&gt;="&amp;TodayDate-365),2))</f>
        <v>0</v>
      </c>
      <c r="AI501" s="26">
        <f>IF(B501="","",IF(T501=0,"",ROUND(AE501/T501,2)))</f>
        <v>0</v>
      </c>
      <c r="AJ501" s="26">
        <f>IF(B501="","",IF(AI501="","",IF(AC501="","",ROUND(AI501*(365/MAX(14,AC501)),2))))</f>
        <v>0</v>
      </c>
      <c r="AK501" s="26">
        <f>IF(B501="","",ROUND(SUMIFS(Sales!$AH$5:$AH$1204,Sales!$D$5:$D$1204,A501),2))</f>
        <v>0</v>
      </c>
      <c r="AL501" s="25">
        <f>IF(B501="","",IFERROR(INDEX(Loyalty!$P$5:$P$504,MATCH(A501,Loyalty!$B$5:$B$504,0))*1,0))</f>
        <v>0</v>
      </c>
      <c r="AM501" s="39">
        <f>IF(B501="","",IF(R501="Archived","Archived",IF(T501=0,"Not been yet",IF(Z501&gt;=InactiveDays,"Inactive",IF(Z501&gt;=LapsingDays,"Lapsing",IF(T501=1,"New",IF(AH501&gt;=VipSpend,"VIP",IF(U501&gt;=4,"Regular","Active"))))))))</f>
        <v>0</v>
      </c>
      <c r="AN501" s="38">
        <f>IF(B501="","",IF(T501&gt;=2,"Yes","No"))</f>
        <v>0</v>
      </c>
      <c r="AO501" s="25">
        <f>IF(B501="","",COUNTIFS($AE$5:$AE$504,"&gt;"&amp;AE501)+COUNTIFS($AE$5:AE501,AE501))</f>
        <v>0</v>
      </c>
      <c r="AP501" s="25">
        <f>IF(B501="","",COUNTIFS($T$5:$T$504,"&gt;"&amp;T501)+COUNTIFS($T$5:T501,T501))</f>
        <v>0</v>
      </c>
      <c r="AQ501" s="39">
        <f>IF(B501="","",IF(COUNTIF($B$5:$B$504,B501)&gt;1,"Duplicate - same name twice",IF(R501="Archived","",IF(AK501&gt;0.004,"Chase - balance outstanding",IF(AM501="Inactive","Gone - win-back offer",IF(AM501="Lapsing","Chase - lapsing, call them",IF(IF(N501="",FALSE,TodayDate-N501&gt;PatchTestDays),"Due - patch test out of date",IF(IF(AD501="",FALSE,IF(AB501&lt;&gt;"",FALSE,AD501&lt;=TodayDate+14)),"Rebook - due and nothing booked",IF(IF(K501="",FALSE,ABS(DATE(YEAR(TodayDate),MONTH(K501),DAY(K501))-TodayDate)&lt;=7),"Birthday - send the treat","OK")))))))))</f>
        <v>0</v>
      </c>
    </row>
    <row r="502" spans="1:43">
      <c r="A502" s="28">
        <f>IF(B502="","",ClientPrefix&amp;TEXT(ROW()-4,"0000"))</f>
        <v>0</v>
      </c>
      <c r="J502" s="15">
        <f>IF(I502="","",IFERROR(INDEX(Staff!$B$5:$B$44,MATCH(I502,Staff!$A$5:$A$44,0)),"Not in Staff"))</f>
        <v>0</v>
      </c>
      <c r="T502" s="25">
        <f>IF(B502="","",COUNTIFS(Appointments!$E$5:$E$1204,A502,Appointments!$M$5:$M$1204,"Completed"))</f>
        <v>0</v>
      </c>
      <c r="U502" s="25">
        <f>IF(B502="","",COUNTIFS(Appointments!$E$5:$E$1204,A502,Appointments!$M$5:$M$1204,"Completed",Appointments!$B$5:$B$1204,"&gt;="&amp;TodayDate-365))</f>
        <v>0</v>
      </c>
      <c r="V502" s="25">
        <f>IF(B502="","",COUNTIFS(Appointments!$E$5:$E$1204,A502,Appointments!$M$5:$M$1204,"Cancelled"))</f>
        <v>0</v>
      </c>
      <c r="W502" s="25">
        <f>IF(B502="","",COUNTIFS(Appointments!$E$5:$E$1204,A502,Appointments!$M$5:$M$1204,"No show"))</f>
        <v>0</v>
      </c>
      <c r="X502" s="17">
        <f>IF(B502="","",IF(F502&lt;&gt;"",F502,IF(T502=0,"",SUMPRODUCT(MIN((Appointments!$E$5:$E$1204=A502)*(Appointments!$M$5:$M$1204="Completed")*Appointments!$B$5:$B$1204+(1-(Appointments!$E$5:$E$1204=A502)*(Appointments!$M$5:$M$1204="Completed"))*2958465)))))</f>
        <v>0</v>
      </c>
      <c r="Y502" s="17">
        <f>IF(B502="","",IF(T502=0,"",SUMPRODUCT(MAX((Appointments!$E$5:$E$1204=A502)*(Appointments!$M$5:$M$1204="Completed")*Appointments!$B$5:$B$1204))))</f>
        <v>0</v>
      </c>
      <c r="Z502" s="25">
        <f>IF(B502="","",IF(Y502="","",TodayDate-Y502))</f>
        <v>0</v>
      </c>
      <c r="AA502" s="42">
        <f>IF(B502="","",SUMPRODUCT(MIN((Appointments!$E$5:$E$1204=A502)*(Appointments!$M$5:$M$1204&lt;&gt;"Cancelled")*(Appointments!$M$5:$M$1204&lt;&gt;"Completed")*(Appointments!$M$5:$M$1204&lt;&gt;"No show")*(Appointments!$B$5:$B$1204&gt;=TodayDate)*Appointments!$B$5:$B$1204+(1-(Appointments!$E$5:$E$1204=A502)*(Appointments!$M$5:$M$1204&lt;&gt;"Cancelled")*(Appointments!$M$5:$M$1204&lt;&gt;"Completed")*(Appointments!$M$5:$M$1204&lt;&gt;"No show")*(Appointments!$B$5:$B$1204&gt;=TodayDate))*2958465)))</f>
        <v>0</v>
      </c>
      <c r="AB502" s="17">
        <f>IF(B502="","",IF(AA502&gt;=2958465,"",AA502))</f>
        <v>0</v>
      </c>
      <c r="AC502" s="25">
        <f>IF(B502="","",IF(T502&lt;2,"",ROUND((Y502-X502)/MAX(1,T502-1),0)))</f>
        <v>0</v>
      </c>
      <c r="AD502" s="17">
        <f>IF(B502="","",IF(Y502="","",Y502+IF(AC502="",RebookWeeks*7,MAX(14,AC502))))</f>
        <v>0</v>
      </c>
      <c r="AE502" s="26">
        <f>IF(B502="","",ROUND(SUMIFS(Sales!$Y$5:$Y$1204,Sales!$D$5:$D$1204,A502),2))</f>
        <v>0</v>
      </c>
      <c r="AF502" s="26">
        <f>IF(B502="","",ROUND(SUMIFS(Sales!$Y$5:$Y$1204,Sales!$D$5:$D$1204,A502,Sales!$H$5:$H$1204,"Service"),2))</f>
        <v>0</v>
      </c>
      <c r="AG502" s="26">
        <f>IF(B502="","",ROUND(SUMIFS(Sales!$Y$5:$Y$1204,Sales!$D$5:$D$1204,A502,Sales!$H$5:$H$1204,"Retail"),2))</f>
        <v>0</v>
      </c>
      <c r="AH502" s="26">
        <f>IF(B502="","",ROUND(SUMIFS(Sales!$Y$5:$Y$1204,Sales!$D$5:$D$1204,A502,Sales!$B$5:$B$1204,"&gt;="&amp;TodayDate-365),2))</f>
        <v>0</v>
      </c>
      <c r="AI502" s="26">
        <f>IF(B502="","",IF(T502=0,"",ROUND(AE502/T502,2)))</f>
        <v>0</v>
      </c>
      <c r="AJ502" s="26">
        <f>IF(B502="","",IF(AI502="","",IF(AC502="","",ROUND(AI502*(365/MAX(14,AC502)),2))))</f>
        <v>0</v>
      </c>
      <c r="AK502" s="26">
        <f>IF(B502="","",ROUND(SUMIFS(Sales!$AH$5:$AH$1204,Sales!$D$5:$D$1204,A502),2))</f>
        <v>0</v>
      </c>
      <c r="AL502" s="25">
        <f>IF(B502="","",IFERROR(INDEX(Loyalty!$P$5:$P$504,MATCH(A502,Loyalty!$B$5:$B$504,0))*1,0))</f>
        <v>0</v>
      </c>
      <c r="AM502" s="39">
        <f>IF(B502="","",IF(R502="Archived","Archived",IF(T502=0,"Not been yet",IF(Z502&gt;=InactiveDays,"Inactive",IF(Z502&gt;=LapsingDays,"Lapsing",IF(T502=1,"New",IF(AH502&gt;=VipSpend,"VIP",IF(U502&gt;=4,"Regular","Active"))))))))</f>
        <v>0</v>
      </c>
      <c r="AN502" s="38">
        <f>IF(B502="","",IF(T502&gt;=2,"Yes","No"))</f>
        <v>0</v>
      </c>
      <c r="AO502" s="25">
        <f>IF(B502="","",COUNTIFS($AE$5:$AE$504,"&gt;"&amp;AE502)+COUNTIFS($AE$5:AE502,AE502))</f>
        <v>0</v>
      </c>
      <c r="AP502" s="25">
        <f>IF(B502="","",COUNTIFS($T$5:$T$504,"&gt;"&amp;T502)+COUNTIFS($T$5:T502,T502))</f>
        <v>0</v>
      </c>
      <c r="AQ502" s="39">
        <f>IF(B502="","",IF(COUNTIF($B$5:$B$504,B502)&gt;1,"Duplicate - same name twice",IF(R502="Archived","",IF(AK502&gt;0.004,"Chase - balance outstanding",IF(AM502="Inactive","Gone - win-back offer",IF(AM502="Lapsing","Chase - lapsing, call them",IF(IF(N502="",FALSE,TodayDate-N502&gt;PatchTestDays),"Due - patch test out of date",IF(IF(AD502="",FALSE,IF(AB502&lt;&gt;"",FALSE,AD502&lt;=TodayDate+14)),"Rebook - due and nothing booked",IF(IF(K502="",FALSE,ABS(DATE(YEAR(TodayDate),MONTH(K502),DAY(K502))-TodayDate)&lt;=7),"Birthday - send the treat","OK")))))))))</f>
        <v>0</v>
      </c>
    </row>
    <row r="503" spans="1:43">
      <c r="A503" s="28">
        <f>IF(B503="","",ClientPrefix&amp;TEXT(ROW()-4,"0000"))</f>
        <v>0</v>
      </c>
      <c r="J503" s="15">
        <f>IF(I503="","",IFERROR(INDEX(Staff!$B$5:$B$44,MATCH(I503,Staff!$A$5:$A$44,0)),"Not in Staff"))</f>
        <v>0</v>
      </c>
      <c r="T503" s="25">
        <f>IF(B503="","",COUNTIFS(Appointments!$E$5:$E$1204,A503,Appointments!$M$5:$M$1204,"Completed"))</f>
        <v>0</v>
      </c>
      <c r="U503" s="25">
        <f>IF(B503="","",COUNTIFS(Appointments!$E$5:$E$1204,A503,Appointments!$M$5:$M$1204,"Completed",Appointments!$B$5:$B$1204,"&gt;="&amp;TodayDate-365))</f>
        <v>0</v>
      </c>
      <c r="V503" s="25">
        <f>IF(B503="","",COUNTIFS(Appointments!$E$5:$E$1204,A503,Appointments!$M$5:$M$1204,"Cancelled"))</f>
        <v>0</v>
      </c>
      <c r="W503" s="25">
        <f>IF(B503="","",COUNTIFS(Appointments!$E$5:$E$1204,A503,Appointments!$M$5:$M$1204,"No show"))</f>
        <v>0</v>
      </c>
      <c r="X503" s="17">
        <f>IF(B503="","",IF(F503&lt;&gt;"",F503,IF(T503=0,"",SUMPRODUCT(MIN((Appointments!$E$5:$E$1204=A503)*(Appointments!$M$5:$M$1204="Completed")*Appointments!$B$5:$B$1204+(1-(Appointments!$E$5:$E$1204=A503)*(Appointments!$M$5:$M$1204="Completed"))*2958465)))))</f>
        <v>0</v>
      </c>
      <c r="Y503" s="17">
        <f>IF(B503="","",IF(T503=0,"",SUMPRODUCT(MAX((Appointments!$E$5:$E$1204=A503)*(Appointments!$M$5:$M$1204="Completed")*Appointments!$B$5:$B$1204))))</f>
        <v>0</v>
      </c>
      <c r="Z503" s="25">
        <f>IF(B503="","",IF(Y503="","",TodayDate-Y503))</f>
        <v>0</v>
      </c>
      <c r="AA503" s="42">
        <f>IF(B503="","",SUMPRODUCT(MIN((Appointments!$E$5:$E$1204=A503)*(Appointments!$M$5:$M$1204&lt;&gt;"Cancelled")*(Appointments!$M$5:$M$1204&lt;&gt;"Completed")*(Appointments!$M$5:$M$1204&lt;&gt;"No show")*(Appointments!$B$5:$B$1204&gt;=TodayDate)*Appointments!$B$5:$B$1204+(1-(Appointments!$E$5:$E$1204=A503)*(Appointments!$M$5:$M$1204&lt;&gt;"Cancelled")*(Appointments!$M$5:$M$1204&lt;&gt;"Completed")*(Appointments!$M$5:$M$1204&lt;&gt;"No show")*(Appointments!$B$5:$B$1204&gt;=TodayDate))*2958465)))</f>
        <v>0</v>
      </c>
      <c r="AB503" s="17">
        <f>IF(B503="","",IF(AA503&gt;=2958465,"",AA503))</f>
        <v>0</v>
      </c>
      <c r="AC503" s="25">
        <f>IF(B503="","",IF(T503&lt;2,"",ROUND((Y503-X503)/MAX(1,T503-1),0)))</f>
        <v>0</v>
      </c>
      <c r="AD503" s="17">
        <f>IF(B503="","",IF(Y503="","",Y503+IF(AC503="",RebookWeeks*7,MAX(14,AC503))))</f>
        <v>0</v>
      </c>
      <c r="AE503" s="26">
        <f>IF(B503="","",ROUND(SUMIFS(Sales!$Y$5:$Y$1204,Sales!$D$5:$D$1204,A503),2))</f>
        <v>0</v>
      </c>
      <c r="AF503" s="26">
        <f>IF(B503="","",ROUND(SUMIFS(Sales!$Y$5:$Y$1204,Sales!$D$5:$D$1204,A503,Sales!$H$5:$H$1204,"Service"),2))</f>
        <v>0</v>
      </c>
      <c r="AG503" s="26">
        <f>IF(B503="","",ROUND(SUMIFS(Sales!$Y$5:$Y$1204,Sales!$D$5:$D$1204,A503,Sales!$H$5:$H$1204,"Retail"),2))</f>
        <v>0</v>
      </c>
      <c r="AH503" s="26">
        <f>IF(B503="","",ROUND(SUMIFS(Sales!$Y$5:$Y$1204,Sales!$D$5:$D$1204,A503,Sales!$B$5:$B$1204,"&gt;="&amp;TodayDate-365),2))</f>
        <v>0</v>
      </c>
      <c r="AI503" s="26">
        <f>IF(B503="","",IF(T503=0,"",ROUND(AE503/T503,2)))</f>
        <v>0</v>
      </c>
      <c r="AJ503" s="26">
        <f>IF(B503="","",IF(AI503="","",IF(AC503="","",ROUND(AI503*(365/MAX(14,AC503)),2))))</f>
        <v>0</v>
      </c>
      <c r="AK503" s="26">
        <f>IF(B503="","",ROUND(SUMIFS(Sales!$AH$5:$AH$1204,Sales!$D$5:$D$1204,A503),2))</f>
        <v>0</v>
      </c>
      <c r="AL503" s="25">
        <f>IF(B503="","",IFERROR(INDEX(Loyalty!$P$5:$P$504,MATCH(A503,Loyalty!$B$5:$B$504,0))*1,0))</f>
        <v>0</v>
      </c>
      <c r="AM503" s="39">
        <f>IF(B503="","",IF(R503="Archived","Archived",IF(T503=0,"Not been yet",IF(Z503&gt;=InactiveDays,"Inactive",IF(Z503&gt;=LapsingDays,"Lapsing",IF(T503=1,"New",IF(AH503&gt;=VipSpend,"VIP",IF(U503&gt;=4,"Regular","Active"))))))))</f>
        <v>0</v>
      </c>
      <c r="AN503" s="38">
        <f>IF(B503="","",IF(T503&gt;=2,"Yes","No"))</f>
        <v>0</v>
      </c>
      <c r="AO503" s="25">
        <f>IF(B503="","",COUNTIFS($AE$5:$AE$504,"&gt;"&amp;AE503)+COUNTIFS($AE$5:AE503,AE503))</f>
        <v>0</v>
      </c>
      <c r="AP503" s="25">
        <f>IF(B503="","",COUNTIFS($T$5:$T$504,"&gt;"&amp;T503)+COUNTIFS($T$5:T503,T503))</f>
        <v>0</v>
      </c>
      <c r="AQ503" s="39">
        <f>IF(B503="","",IF(COUNTIF($B$5:$B$504,B503)&gt;1,"Duplicate - same name twice",IF(R503="Archived","",IF(AK503&gt;0.004,"Chase - balance outstanding",IF(AM503="Inactive","Gone - win-back offer",IF(AM503="Lapsing","Chase - lapsing, call them",IF(IF(N503="",FALSE,TodayDate-N503&gt;PatchTestDays),"Due - patch test out of date",IF(IF(AD503="",FALSE,IF(AB503&lt;&gt;"",FALSE,AD503&lt;=TodayDate+14)),"Rebook - due and nothing booked",IF(IF(K503="",FALSE,ABS(DATE(YEAR(TodayDate),MONTH(K503),DAY(K503))-TodayDate)&lt;=7),"Birthday - send the treat","OK")))))))))</f>
        <v>0</v>
      </c>
    </row>
    <row r="504" spans="1:43">
      <c r="A504" s="28">
        <f>IF(B504="","",ClientPrefix&amp;TEXT(ROW()-4,"0000"))</f>
        <v>0</v>
      </c>
      <c r="J504" s="15">
        <f>IF(I504="","",IFERROR(INDEX(Staff!$B$5:$B$44,MATCH(I504,Staff!$A$5:$A$44,0)),"Not in Staff"))</f>
        <v>0</v>
      </c>
      <c r="T504" s="25">
        <f>IF(B504="","",COUNTIFS(Appointments!$E$5:$E$1204,A504,Appointments!$M$5:$M$1204,"Completed"))</f>
        <v>0</v>
      </c>
      <c r="U504" s="25">
        <f>IF(B504="","",COUNTIFS(Appointments!$E$5:$E$1204,A504,Appointments!$M$5:$M$1204,"Completed",Appointments!$B$5:$B$1204,"&gt;="&amp;TodayDate-365))</f>
        <v>0</v>
      </c>
      <c r="V504" s="25">
        <f>IF(B504="","",COUNTIFS(Appointments!$E$5:$E$1204,A504,Appointments!$M$5:$M$1204,"Cancelled"))</f>
        <v>0</v>
      </c>
      <c r="W504" s="25">
        <f>IF(B504="","",COUNTIFS(Appointments!$E$5:$E$1204,A504,Appointments!$M$5:$M$1204,"No show"))</f>
        <v>0</v>
      </c>
      <c r="X504" s="17">
        <f>IF(B504="","",IF(F504&lt;&gt;"",F504,IF(T504=0,"",SUMPRODUCT(MIN((Appointments!$E$5:$E$1204=A504)*(Appointments!$M$5:$M$1204="Completed")*Appointments!$B$5:$B$1204+(1-(Appointments!$E$5:$E$1204=A504)*(Appointments!$M$5:$M$1204="Completed"))*2958465)))))</f>
        <v>0</v>
      </c>
      <c r="Y504" s="17">
        <f>IF(B504="","",IF(T504=0,"",SUMPRODUCT(MAX((Appointments!$E$5:$E$1204=A504)*(Appointments!$M$5:$M$1204="Completed")*Appointments!$B$5:$B$1204))))</f>
        <v>0</v>
      </c>
      <c r="Z504" s="25">
        <f>IF(B504="","",IF(Y504="","",TodayDate-Y504))</f>
        <v>0</v>
      </c>
      <c r="AA504" s="42">
        <f>IF(B504="","",SUMPRODUCT(MIN((Appointments!$E$5:$E$1204=A504)*(Appointments!$M$5:$M$1204&lt;&gt;"Cancelled")*(Appointments!$M$5:$M$1204&lt;&gt;"Completed")*(Appointments!$M$5:$M$1204&lt;&gt;"No show")*(Appointments!$B$5:$B$1204&gt;=TodayDate)*Appointments!$B$5:$B$1204+(1-(Appointments!$E$5:$E$1204=A504)*(Appointments!$M$5:$M$1204&lt;&gt;"Cancelled")*(Appointments!$M$5:$M$1204&lt;&gt;"Completed")*(Appointments!$M$5:$M$1204&lt;&gt;"No show")*(Appointments!$B$5:$B$1204&gt;=TodayDate))*2958465)))</f>
        <v>0</v>
      </c>
      <c r="AB504" s="17">
        <f>IF(B504="","",IF(AA504&gt;=2958465,"",AA504))</f>
        <v>0</v>
      </c>
      <c r="AC504" s="25">
        <f>IF(B504="","",IF(T504&lt;2,"",ROUND((Y504-X504)/MAX(1,T504-1),0)))</f>
        <v>0</v>
      </c>
      <c r="AD504" s="17">
        <f>IF(B504="","",IF(Y504="","",Y504+IF(AC504="",RebookWeeks*7,MAX(14,AC504))))</f>
        <v>0</v>
      </c>
      <c r="AE504" s="26">
        <f>IF(B504="","",ROUND(SUMIFS(Sales!$Y$5:$Y$1204,Sales!$D$5:$D$1204,A504),2))</f>
        <v>0</v>
      </c>
      <c r="AF504" s="26">
        <f>IF(B504="","",ROUND(SUMIFS(Sales!$Y$5:$Y$1204,Sales!$D$5:$D$1204,A504,Sales!$H$5:$H$1204,"Service"),2))</f>
        <v>0</v>
      </c>
      <c r="AG504" s="26">
        <f>IF(B504="","",ROUND(SUMIFS(Sales!$Y$5:$Y$1204,Sales!$D$5:$D$1204,A504,Sales!$H$5:$H$1204,"Retail"),2))</f>
        <v>0</v>
      </c>
      <c r="AH504" s="26">
        <f>IF(B504="","",ROUND(SUMIFS(Sales!$Y$5:$Y$1204,Sales!$D$5:$D$1204,A504,Sales!$B$5:$B$1204,"&gt;="&amp;TodayDate-365),2))</f>
        <v>0</v>
      </c>
      <c r="AI504" s="26">
        <f>IF(B504="","",IF(T504=0,"",ROUND(AE504/T504,2)))</f>
        <v>0</v>
      </c>
      <c r="AJ504" s="26">
        <f>IF(B504="","",IF(AI504="","",IF(AC504="","",ROUND(AI504*(365/MAX(14,AC504)),2))))</f>
        <v>0</v>
      </c>
      <c r="AK504" s="26">
        <f>IF(B504="","",ROUND(SUMIFS(Sales!$AH$5:$AH$1204,Sales!$D$5:$D$1204,A504),2))</f>
        <v>0</v>
      </c>
      <c r="AL504" s="25">
        <f>IF(B504="","",IFERROR(INDEX(Loyalty!$P$5:$P$504,MATCH(A504,Loyalty!$B$5:$B$504,0))*1,0))</f>
        <v>0</v>
      </c>
      <c r="AM504" s="39">
        <f>IF(B504="","",IF(R504="Archived","Archived",IF(T504=0,"Not been yet",IF(Z504&gt;=InactiveDays,"Inactive",IF(Z504&gt;=LapsingDays,"Lapsing",IF(T504=1,"New",IF(AH504&gt;=VipSpend,"VIP",IF(U504&gt;=4,"Regular","Active"))))))))</f>
        <v>0</v>
      </c>
      <c r="AN504" s="38">
        <f>IF(B504="","",IF(T504&gt;=2,"Yes","No"))</f>
        <v>0</v>
      </c>
      <c r="AO504" s="25">
        <f>IF(B504="","",COUNTIFS($AE$5:$AE$504,"&gt;"&amp;AE504)+COUNTIFS($AE$5:AE504,AE504))</f>
        <v>0</v>
      </c>
      <c r="AP504" s="25">
        <f>IF(B504="","",COUNTIFS($T$5:$T$504,"&gt;"&amp;T504)+COUNTIFS($T$5:T504,T504))</f>
        <v>0</v>
      </c>
      <c r="AQ504" s="39">
        <f>IF(B504="","",IF(COUNTIF($B$5:$B$504,B504)&gt;1,"Duplicate - same name twice",IF(R504="Archived","",IF(AK504&gt;0.004,"Chase - balance outstanding",IF(AM504="Inactive","Gone - win-back offer",IF(AM504="Lapsing","Chase - lapsing, call them",IF(IF(N504="",FALSE,TodayDate-N504&gt;PatchTestDays),"Due - patch test out of date",IF(IF(AD504="",FALSE,IF(AB504&lt;&gt;"",FALSE,AD504&lt;=TodayDate+14)),"Rebook - due and nothing booked",IF(IF(K504="",FALSE,ABS(DATE(YEAR(TodayDate),MONTH(K504),DAY(K504))-TodayDate)&lt;=7),"Birthday - send the treat","OK")))))))))</f>
        <v>0</v>
      </c>
    </row>
    <row r="506" spans="1:43" ht="20" customHeight="1">
      <c r="A506" s="7" t="s">
        <v>287</v>
      </c>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row>
    <row r="507" spans="1:43" ht="26" customHeight="1">
      <c r="A507" s="10" t="s">
        <v>288</v>
      </c>
      <c r="B507" s="11" t="s">
        <v>289</v>
      </c>
      <c r="C507" s="11" t="s">
        <v>290</v>
      </c>
      <c r="D507" s="11" t="s">
        <v>291</v>
      </c>
      <c r="E507" s="11" t="s">
        <v>292</v>
      </c>
      <c r="F507" s="11" t="s">
        <v>293</v>
      </c>
      <c r="G507" s="11" t="s">
        <v>294</v>
      </c>
      <c r="H507" s="11" t="s">
        <v>295</v>
      </c>
      <c r="I507" s="11" t="s">
        <v>296</v>
      </c>
    </row>
    <row r="508" spans="1:43">
      <c r="A508" s="25">
        <f>COUNTIF(Clients!$B$5:$B$504,"&lt;&gt;")</f>
        <v>0</v>
      </c>
      <c r="B508" s="25">
        <f>COUNTIFS(Clients!$AM$5:$AM$504,"Active")+COUNTIFS(Clients!$AM$5:$AM$504,"Regular")+COUNTIFS(Clients!$AM$5:$AM$504,"VIP")+COUNTIFS(Clients!$AM$5:$AM$504,"New")</f>
        <v>0</v>
      </c>
      <c r="C508" s="25">
        <f>COUNTIFS(Clients!$X$5:$X$504,"&gt;="&amp;TodayDate-365)</f>
        <v>0</v>
      </c>
      <c r="D508" s="25">
        <f>COUNTIFS(Clients!$AM$5:$AM$504,"Lapsing")</f>
        <v>0</v>
      </c>
      <c r="E508" s="25">
        <f>COUNTIFS(Clients!$AM$5:$AM$504,"Inactive")</f>
        <v>0</v>
      </c>
      <c r="F508" s="26">
        <f>IFERROR(ROUND(SUM(Clients!$AE$5:$AE$504)/MAX(1,COUNTIF(Clients!$B$5:$B$504,"&lt;&gt;")),2),0)</f>
        <v>0</v>
      </c>
      <c r="G508" s="37">
        <f>IFERROR(ROUND(SUM(Clients!$T$5:$T$504)/MAX(1,COUNTIF(Clients!$B$5:$B$504,"&lt;&gt;")),1),0)</f>
        <v>0</v>
      </c>
      <c r="H508" s="25">
        <f>COUNTIFS(Clients!$AK$5:$AK$504,"&gt;0.004")</f>
        <v>0</v>
      </c>
      <c r="I508" s="25">
        <f>COUNTIFS(Clients!$O$5:$O$504,"Yes")</f>
        <v>0</v>
      </c>
    </row>
  </sheetData>
  <sheetProtection password="EC7C" sheet="1" objects="1" scenarios="1" formatCells="0" formatColumns="0" formatRows="0" insertRows="0" insertHyperlinks="0" deleteRows="0" autoFilter="0"/>
  <autoFilter ref="A4:AQ504"/>
  <mergeCells count="14">
    <mergeCell ref="A1:AN1"/>
    <mergeCell ref="AO1:AQ1"/>
    <mergeCell ref="A2:AQ2"/>
    <mergeCell ref="A3:B3"/>
    <mergeCell ref="C3:D3"/>
    <mergeCell ref="E3:F3"/>
    <mergeCell ref="G3:H3"/>
    <mergeCell ref="I3:J3"/>
    <mergeCell ref="K3:L3"/>
    <mergeCell ref="M3:N3"/>
    <mergeCell ref="O3:P3"/>
    <mergeCell ref="Q3:R3"/>
    <mergeCell ref="S3:AQ3"/>
    <mergeCell ref="A506:AQ506"/>
  </mergeCells>
  <conditionalFormatting sqref="AE5:AE504">
    <cfRule type="dataBar" priority="41">
      <dataBar>
        <cfvo type="min" val="0"/>
        <cfvo type="max" val="0"/>
        <color rgb="FF9A5C86"/>
      </dataBar>
    </cfRule>
  </conditionalFormatting>
  <conditionalFormatting sqref="AI5:AI504">
    <cfRule type="cellIs" dxfId="1" priority="42" operator="greaterThanOrEqual">
      <formula>TargetTicket</formula>
    </cfRule>
  </conditionalFormatting>
  <conditionalFormatting sqref="AK5:AK504">
    <cfRule type="cellIs" dxfId="0" priority="43" operator="greaterThan">
      <formula>0.004</formula>
    </cfRule>
    <cfRule type="cellIs" dxfId="3" priority="44" operator="lessThan">
      <formula>-0.004</formula>
    </cfRule>
  </conditionalFormatting>
  <conditionalFormatting sqref="AM5:AM504">
    <cfRule type="containsText" dxfId="1" priority="45" operator="containsText" text="Completed">
      <formula>NOT(ISERROR(SEARCH("Completed",AM5)))</formula>
    </cfRule>
    <cfRule type="containsText" dxfId="1" priority="46" operator="containsText" text="Complete">
      <formula>NOT(ISERROR(SEARCH("Complete",AM5)))</formula>
    </cfRule>
    <cfRule type="containsText" dxfId="1" priority="47" operator="containsText" text="Paid">
      <formula>NOT(ISERROR(SEARCH("Paid",AM5)))</formula>
    </cfRule>
    <cfRule type="containsText" dxfId="1" priority="48" operator="containsText" text="Settled">
      <formula>NOT(ISERROR(SEARCH("Settled",AM5)))</formula>
    </cfRule>
    <cfRule type="containsText" dxfId="1" priority="49" operator="containsText" text="Arrived">
      <formula>NOT(ISERROR(SEARCH("Arrived",AM5)))</formula>
    </cfRule>
    <cfRule type="containsText" dxfId="1" priority="50" operator="containsText" text="Active">
      <formula>NOT(ISERROR(SEARCH("Active",AM5)))</formula>
    </cfRule>
    <cfRule type="containsText" dxfId="1" priority="51" operator="containsText" text="Regular">
      <formula>NOT(ISERROR(SEARCH("Regular",AM5)))</formula>
    </cfRule>
    <cfRule type="containsText" dxfId="1" priority="52" operator="containsText" text="VIP">
      <formula>NOT(ISERROR(SEARCH("VIP",AM5)))</formula>
    </cfRule>
    <cfRule type="containsText" dxfId="1" priority="53" operator="containsText" text="In stock">
      <formula>NOT(ISERROR(SEARCH("In stock",AM5)))</formula>
    </cfRule>
    <cfRule type="containsText" dxfId="1" priority="54" operator="containsText" text="Received">
      <formula>NOT(ISERROR(SEARCH("Received",AM5)))</formula>
    </cfRule>
    <cfRule type="containsText" dxfId="1" priority="55" operator="containsText" text="Approved">
      <formula>NOT(ISERROR(SEARCH("Approved",AM5)))</formula>
    </cfRule>
    <cfRule type="containsText" dxfId="1" priority="56" operator="containsText" text="Yes">
      <formula>NOT(ISERROR(SEARCH("Yes",AM5)))</formula>
    </cfRule>
    <cfRule type="containsText" dxfId="3" priority="57" operator="containsText" text="Booked">
      <formula>NOT(ISERROR(SEARCH("Booked",AM5)))</formula>
    </cfRule>
    <cfRule type="containsText" dxfId="3" priority="58" operator="containsText" text="Confirmed">
      <formula>NOT(ISERROR(SEARCH("Confirmed",AM5)))</formula>
    </cfRule>
    <cfRule type="containsText" dxfId="3" priority="59" operator="containsText" text="Scheduled">
      <formula>NOT(ISERROR(SEARCH("Scheduled",AM5)))</formula>
    </cfRule>
    <cfRule type="containsText" dxfId="3" priority="60" operator="containsText" text="New">
      <formula>NOT(ISERROR(SEARCH("New",AM5)))</formula>
    </cfRule>
    <cfRule type="containsText" dxfId="3" priority="61" operator="containsText" text="Ordered">
      <formula>NOT(ISERROR(SEARCH("Ordered",AM5)))</formula>
    </cfRule>
    <cfRule type="containsText" dxfId="3" priority="62" operator="containsText" text="Running">
      <formula>NOT(ISERROR(SEARCH("Running",AM5)))</formula>
    </cfRule>
    <cfRule type="containsText" dxfId="0" priority="63" operator="containsText" text="Part paid">
      <formula>NOT(ISERROR(SEARCH("Part paid",AM5)))</formula>
    </cfRule>
    <cfRule type="containsText" dxfId="0" priority="64" operator="containsText" text="Pending">
      <formula>NOT(ISERROR(SEARCH("Pending",AM5)))</formula>
    </cfRule>
    <cfRule type="containsText" dxfId="0" priority="65" operator="containsText" text="Enquiry">
      <formula>NOT(ISERROR(SEARCH("Enquiry",AM5)))</formula>
    </cfRule>
    <cfRule type="containsText" dxfId="0" priority="66" operator="containsText" text="Rescheduled">
      <formula>NOT(ISERROR(SEARCH("Rescheduled",AM5)))</formula>
    </cfRule>
    <cfRule type="containsText" dxfId="0" priority="67" operator="containsText" text="Low stock">
      <formula>NOT(ISERROR(SEARCH("Low stock",AM5)))</formula>
    </cfRule>
    <cfRule type="containsText" dxfId="0" priority="68" operator="containsText" text="Lapsing">
      <formula>NOT(ISERROR(SEARCH("Lapsing",AM5)))</formula>
    </cfRule>
    <cfRule type="containsText" dxfId="0" priority="69" operator="containsText" text="Planned">
      <formula>NOT(ISERROR(SEARCH("Planned",AM5)))</formula>
    </cfRule>
    <cfRule type="containsText" dxfId="0" priority="70" operator="containsText" text="On hold">
      <formula>NOT(ISERROR(SEARCH("On hold",AM5)))</formula>
    </cfRule>
    <cfRule type="containsText" dxfId="0" priority="71" operator="containsText" text="Draft">
      <formula>NOT(ISERROR(SEARCH("Draft",AM5)))</formula>
    </cfRule>
    <cfRule type="containsText" dxfId="2" priority="72" operator="containsText" text="Cancelled">
      <formula>NOT(ISERROR(SEARCH("Cancelled",AM5)))</formula>
    </cfRule>
    <cfRule type="containsText" dxfId="2" priority="73" operator="containsText" text="No show">
      <formula>NOT(ISERROR(SEARCH("No show",AM5)))</formula>
    </cfRule>
    <cfRule type="containsText" dxfId="2" priority="74" operator="containsText" text="Refunded">
      <formula>NOT(ISERROR(SEARCH("Refunded",AM5)))</formula>
    </cfRule>
    <cfRule type="containsText" dxfId="2" priority="75" operator="containsText" text="Out of stock">
      <formula>NOT(ISERROR(SEARCH("Out of stock",AM5)))</formula>
    </cfRule>
    <cfRule type="containsText" dxfId="2" priority="76" operator="containsText" text="Overdue">
      <formula>NOT(ISERROR(SEARCH("Overdue",AM5)))</formula>
    </cfRule>
    <cfRule type="containsText" dxfId="2" priority="77" operator="containsText" text="Written off">
      <formula>NOT(ISERROR(SEARCH("Written off",AM5)))</formula>
    </cfRule>
    <cfRule type="containsText" dxfId="4" priority="78" operator="containsText" text="Inactive">
      <formula>NOT(ISERROR(SEARCH("Inactive",AM5)))</formula>
    </cfRule>
    <cfRule type="containsText" dxfId="4" priority="79" operator="containsText" text="Archived">
      <formula>NOT(ISERROR(SEARCH("Archived",AM5)))</formula>
    </cfRule>
    <cfRule type="containsText" dxfId="4" priority="80" operator="containsText" text="Finished">
      <formula>NOT(ISERROR(SEARCH("Finished",AM5)))</formula>
    </cfRule>
    <cfRule type="containsText" dxfId="4" priority="81" operator="containsText" text="Discontinued">
      <formula>NOT(ISERROR(SEARCH("Discontinued",AM5)))</formula>
    </cfRule>
  </conditionalFormatting>
  <conditionalFormatting sqref="AN5:AN504">
    <cfRule type="containsText" dxfId="1" priority="82" operator="containsText" text="Yes">
      <formula>NOT(ISERROR(SEARCH("Yes",AN5)))</formula>
    </cfRule>
  </conditionalFormatting>
  <conditionalFormatting sqref="AQ5:AQ504">
    <cfRule type="beginsWith" dxfId="1" priority="83" operator="beginsWith" text="OK">
      <formula>LEFT(AQ5,2)="OK"</formula>
    </cfRule>
    <cfRule type="containsText" dxfId="2" priority="84" operator="containsText" text="Overdue">
      <formula>NOT(ISERROR(SEARCH("Overdue",AQ5)))</formula>
    </cfRule>
    <cfRule type="containsText" dxfId="2" priority="85" operator="containsText" text="Late">
      <formula>NOT(ISERROR(SEARCH("Late",AQ5)))</formula>
    </cfRule>
    <cfRule type="containsText" dxfId="2" priority="86" operator="containsText" text="Missing">
      <formula>NOT(ISERROR(SEARCH("Missing",AQ5)))</formula>
    </cfRule>
    <cfRule type="containsText" dxfId="2" priority="87" operator="containsText" text="Clash">
      <formula>NOT(ISERROR(SEARCH("Clash",AQ5)))</formula>
    </cfRule>
    <cfRule type="containsText" dxfId="2" priority="88" operator="containsText" text="Conflict">
      <formula>NOT(ISERROR(SEARCH("Conflict",AQ5)))</formula>
    </cfRule>
    <cfRule type="containsText" dxfId="2" priority="89" operator="containsText" text="Duplicate">
      <formula>NOT(ISERROR(SEARCH("Duplicate",AQ5)))</formula>
    </cfRule>
    <cfRule type="containsText" dxfId="2" priority="90" operator="containsText" text="Unpaid">
      <formula>NOT(ISERROR(SEARCH("Unpaid",AQ5)))</formula>
    </cfRule>
    <cfRule type="containsText" dxfId="2" priority="91" operator="containsText" text="Loss">
      <formula>NOT(ISERROR(SEARCH("Loss",AQ5)))</formula>
    </cfRule>
    <cfRule type="containsText" dxfId="2" priority="92" operator="containsText" text="Below">
      <formula>NOT(ISERROR(SEARCH("Below",AQ5)))</formula>
    </cfRule>
    <cfRule type="containsText" dxfId="2" priority="93" operator="containsText" text="Out of stock">
      <formula>NOT(ISERROR(SEARCH("Out of stock",AQ5)))</formula>
    </cfRule>
    <cfRule type="containsText" dxfId="2" priority="94" operator="containsText" text="No show">
      <formula>NOT(ISERROR(SEARCH("No show",AQ5)))</formula>
    </cfRule>
    <cfRule type="containsText" dxfId="0" priority="95" operator="containsText" text="Action">
      <formula>NOT(ISERROR(SEARCH("Action",AQ5)))</formula>
    </cfRule>
    <cfRule type="containsText" dxfId="0" priority="96" operator="containsText" text="Due">
      <formula>NOT(ISERROR(SEARCH("Due",AQ5)))</formula>
    </cfRule>
    <cfRule type="containsText" dxfId="0" priority="97" operator="containsText" text="Check">
      <formula>NOT(ISERROR(SEARCH("Check",AQ5)))</formula>
    </cfRule>
    <cfRule type="containsText" dxfId="0" priority="98" operator="containsText" text="Chase">
      <formula>NOT(ISERROR(SEARCH("Chase",AQ5)))</formula>
    </cfRule>
    <cfRule type="containsText" dxfId="0" priority="99" operator="containsText" text="Assign">
      <formula>NOT(ISERROR(SEARCH("Assign",AQ5)))</formula>
    </cfRule>
    <cfRule type="containsText" dxfId="0" priority="100" operator="containsText" text="Confirm">
      <formula>NOT(ISERROR(SEARCH("Confirm",AQ5)))</formula>
    </cfRule>
    <cfRule type="containsText" dxfId="0" priority="101" operator="containsText" text="Order">
      <formula>NOT(ISERROR(SEARCH("Order",AQ5)))</formula>
    </cfRule>
    <cfRule type="containsText" dxfId="0" priority="102" operator="containsText" text="Rebook">
      <formula>NOT(ISERROR(SEARCH("Rebook",AQ5)))</formula>
    </cfRule>
    <cfRule type="containsText" dxfId="0" priority="103" operator="containsText" text="Add">
      <formula>NOT(ISERROR(SEARCH("Add",AQ5)))</formula>
    </cfRule>
    <cfRule type="containsText" dxfId="3" priority="104" operator="containsText" text="Today">
      <formula>NOT(ISERROR(SEARCH("Today",AQ5)))</formula>
    </cfRule>
    <cfRule type="containsText" dxfId="3" priority="105" operator="containsText" text="Tomorrow">
      <formula>NOT(ISERROR(SEARCH("Tomorrow",AQ5)))</formula>
    </cfRule>
    <cfRule type="containsText" dxfId="3" priority="106" operator="containsText" text="Upcoming">
      <formula>NOT(ISERROR(SEARCH("Upcoming",AQ5)))</formula>
    </cfRule>
  </conditionalFormatting>
  <conditionalFormatting sqref="R5:R504">
    <cfRule type="containsText" dxfId="1" priority="1" operator="containsText" text="Completed">
      <formula>NOT(ISERROR(SEARCH("Completed",R5)))</formula>
    </cfRule>
    <cfRule type="containsText" dxfId="1" priority="2" operator="containsText" text="Complete">
      <formula>NOT(ISERROR(SEARCH("Complete",R5)))</formula>
    </cfRule>
    <cfRule type="containsText" dxfId="1" priority="3" operator="containsText" text="Paid">
      <formula>NOT(ISERROR(SEARCH("Paid",R5)))</formula>
    </cfRule>
    <cfRule type="containsText" dxfId="1" priority="4" operator="containsText" text="Settled">
      <formula>NOT(ISERROR(SEARCH("Settled",R5)))</formula>
    </cfRule>
    <cfRule type="containsText" dxfId="1" priority="5" operator="containsText" text="Arrived">
      <formula>NOT(ISERROR(SEARCH("Arrived",R5)))</formula>
    </cfRule>
    <cfRule type="containsText" dxfId="1" priority="6" operator="containsText" text="Active">
      <formula>NOT(ISERROR(SEARCH("Active",R5)))</formula>
    </cfRule>
    <cfRule type="containsText" dxfId="1" priority="7" operator="containsText" text="Regular">
      <formula>NOT(ISERROR(SEARCH("Regular",R5)))</formula>
    </cfRule>
    <cfRule type="containsText" dxfId="1" priority="8" operator="containsText" text="VIP">
      <formula>NOT(ISERROR(SEARCH("VIP",R5)))</formula>
    </cfRule>
    <cfRule type="containsText" dxfId="1" priority="9" operator="containsText" text="In stock">
      <formula>NOT(ISERROR(SEARCH("In stock",R5)))</formula>
    </cfRule>
    <cfRule type="containsText" dxfId="1" priority="10" operator="containsText" text="Received">
      <formula>NOT(ISERROR(SEARCH("Received",R5)))</formula>
    </cfRule>
    <cfRule type="containsText" dxfId="1" priority="11" operator="containsText" text="Approved">
      <formula>NOT(ISERROR(SEARCH("Approved",R5)))</formula>
    </cfRule>
    <cfRule type="containsText" dxfId="1" priority="12" operator="containsText" text="Yes">
      <formula>NOT(ISERROR(SEARCH("Yes",R5)))</formula>
    </cfRule>
    <cfRule type="containsText" dxfId="3" priority="13" operator="containsText" text="Booked">
      <formula>NOT(ISERROR(SEARCH("Booked",R5)))</formula>
    </cfRule>
    <cfRule type="containsText" dxfId="3" priority="14" operator="containsText" text="Confirmed">
      <formula>NOT(ISERROR(SEARCH("Confirmed",R5)))</formula>
    </cfRule>
    <cfRule type="containsText" dxfId="3" priority="15" operator="containsText" text="Scheduled">
      <formula>NOT(ISERROR(SEARCH("Scheduled",R5)))</formula>
    </cfRule>
    <cfRule type="containsText" dxfId="3" priority="16" operator="containsText" text="New">
      <formula>NOT(ISERROR(SEARCH("New",R5)))</formula>
    </cfRule>
    <cfRule type="containsText" dxfId="3" priority="17" operator="containsText" text="Ordered">
      <formula>NOT(ISERROR(SEARCH("Ordered",R5)))</formula>
    </cfRule>
    <cfRule type="containsText" dxfId="3" priority="18" operator="containsText" text="Running">
      <formula>NOT(ISERROR(SEARCH("Running",R5)))</formula>
    </cfRule>
    <cfRule type="containsText" dxfId="0" priority="19" operator="containsText" text="Part paid">
      <formula>NOT(ISERROR(SEARCH("Part paid",R5)))</formula>
    </cfRule>
    <cfRule type="containsText" dxfId="0" priority="20" operator="containsText" text="Pending">
      <formula>NOT(ISERROR(SEARCH("Pending",R5)))</formula>
    </cfRule>
    <cfRule type="containsText" dxfId="0" priority="21" operator="containsText" text="Enquiry">
      <formula>NOT(ISERROR(SEARCH("Enquiry",R5)))</formula>
    </cfRule>
    <cfRule type="containsText" dxfId="0" priority="22" operator="containsText" text="Rescheduled">
      <formula>NOT(ISERROR(SEARCH("Rescheduled",R5)))</formula>
    </cfRule>
    <cfRule type="containsText" dxfId="0" priority="23" operator="containsText" text="Low stock">
      <formula>NOT(ISERROR(SEARCH("Low stock",R5)))</formula>
    </cfRule>
    <cfRule type="containsText" dxfId="0" priority="24" operator="containsText" text="Lapsing">
      <formula>NOT(ISERROR(SEARCH("Lapsing",R5)))</formula>
    </cfRule>
    <cfRule type="containsText" dxfId="0" priority="25" operator="containsText" text="Planned">
      <formula>NOT(ISERROR(SEARCH("Planned",R5)))</formula>
    </cfRule>
    <cfRule type="containsText" dxfId="0" priority="26" operator="containsText" text="On hold">
      <formula>NOT(ISERROR(SEARCH("On hold",R5)))</formula>
    </cfRule>
    <cfRule type="containsText" dxfId="0" priority="27" operator="containsText" text="Draft">
      <formula>NOT(ISERROR(SEARCH("Draft",R5)))</formula>
    </cfRule>
    <cfRule type="containsText" dxfId="2" priority="28" operator="containsText" text="Cancelled">
      <formula>NOT(ISERROR(SEARCH("Cancelled",R5)))</formula>
    </cfRule>
    <cfRule type="containsText" dxfId="2" priority="29" operator="containsText" text="No show">
      <formula>NOT(ISERROR(SEARCH("No show",R5)))</formula>
    </cfRule>
    <cfRule type="containsText" dxfId="2" priority="30" operator="containsText" text="Refunded">
      <formula>NOT(ISERROR(SEARCH("Refunded",R5)))</formula>
    </cfRule>
    <cfRule type="containsText" dxfId="2" priority="31" operator="containsText" text="Out of stock">
      <formula>NOT(ISERROR(SEARCH("Out of stock",R5)))</formula>
    </cfRule>
    <cfRule type="containsText" dxfId="2" priority="32" operator="containsText" text="Overdue">
      <formula>NOT(ISERROR(SEARCH("Overdue",R5)))</formula>
    </cfRule>
    <cfRule type="containsText" dxfId="2" priority="33" operator="containsText" text="Written off">
      <formula>NOT(ISERROR(SEARCH("Written off",R5)))</formula>
    </cfRule>
    <cfRule type="containsText" dxfId="4" priority="34" operator="containsText" text="Inactive">
      <formula>NOT(ISERROR(SEARCH("Inactive",R5)))</formula>
    </cfRule>
    <cfRule type="containsText" dxfId="4" priority="35" operator="containsText" text="Archived">
      <formula>NOT(ISERROR(SEARCH("Archived",R5)))</formula>
    </cfRule>
    <cfRule type="containsText" dxfId="4" priority="36" operator="containsText" text="Finished">
      <formula>NOT(ISERROR(SEARCH("Finished",R5)))</formula>
    </cfRule>
    <cfRule type="containsText" dxfId="4" priority="37" operator="containsText" text="Discontinued">
      <formula>NOT(ISERROR(SEARCH("Discontinued",R5)))</formula>
    </cfRule>
  </conditionalFormatting>
  <conditionalFormatting sqref="W5:W504">
    <cfRule type="cellIs" dxfId="2" priority="38" operator="greaterThanOrEqual">
      <formula>2</formula>
    </cfRule>
  </conditionalFormatting>
  <conditionalFormatting sqref="Z5:Z504">
    <cfRule type="cellIs" dxfId="2" priority="39" operator="greaterThanOrEqual">
      <formula>InactiveDays</formula>
    </cfRule>
    <cfRule type="cellIs" dxfId="0" priority="40" operator="greaterThanOrEqual">
      <formula>LapsingDays</formula>
    </cfRule>
  </conditionalFormatting>
  <dataValidations count="9">
    <dataValidation type="list" allowBlank="1" showInputMessage="1" showErrorMessage="1" sqref="E5:E504">
      <formula1>ContactList</formula1>
    </dataValidation>
    <dataValidation type="date" allowBlank="1" showInputMessage="1" showErrorMessage="1" errorTitle="Check the date" error="Enter a real date between 2000 and 2100." promptTitle="First seen" prompt="When they first came in. Leave it blank and the workbook uses their first completed appointment." sqref="F5:F504">
      <formula1>36526</formula1>
      <formula2>73415</formula2>
    </dataValidation>
    <dataValidation type="list" allowBlank="1" showInputMessage="1" showErrorMessage="1" promptTitle="Found you by" prompt="Where this client came from. The marketing tab counts new clients by this column." sqref="G5:G504">
      <formula1>SourceList</formula1>
    </dataValidation>
    <dataValidation type="list" allowBlank="1" showInputMessage="1" showErrorMessage="1" promptTitle="Usual stylist" prompt="Staff ID. Used for the rebooking reminders and the 'my clients' counts on the staff tab." sqref="I5:I504">
      <formula1>StaffList</formula1>
    </dataValidation>
    <dataValidation type="date" allowBlank="1" showInputMessage="1" showErrorMessage="1" errorTitle="Check the date" error="Enter a real date between 2000 and 2100." promptTitle="Birthday" prompt="Day and month are what matter - the year is up to the client. Drives the birthday list on the marketing tab." sqref="K5:K504">
      <formula1>36526</formula1>
      <formula2>73415</formula2>
    </dataValidation>
    <dataValidation type="date" allowBlank="1" showInputMessage="1" showErrorMessage="1" errorTitle="Check the date" error="Enter a real date between 2000 and 2100." promptTitle="Patch test" prompt="Last patch test date. The action column flags it when it is older than the period on Settings." sqref="N5:N504">
      <formula1>36526</formula1>
      <formula2>73415</formula2>
    </dataValidation>
    <dataValidation type="list" allowBlank="1" showInputMessage="1" showErrorMessage="1" promptTitle="Marketing OK?" prompt="Only email or text the clients who said yes." sqref="O5:O504">
      <formula1>"Yes,No"</formula1>
    </dataValidation>
    <dataValidation type="list" allowBlank="1" showInputMessage="1" showErrorMessage="1" sqref="P5:P504">
      <formula1>"Yes,No"</formula1>
    </dataValidation>
    <dataValidation type="list" allowBlank="1" showInputMessage="1" showErrorMessage="1" promptTitle="Status" prompt="Leave as Active for a normal client. Archived keeps the history but drops them out of the chase lists." sqref="R5:R504">
      <formula1>ClientStatusList</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&amp;L&amp;"Calibri,Bold"&amp;12&amp;C&amp;"Calibri,Bold"&amp;11Clients&amp;R&amp;"Calibri,Italic"&amp;9Salon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5.xml><?xml version="1.0" encoding="utf-8"?>
<worksheet xmlns="http://schemas.openxmlformats.org/spreadsheetml/2006/main" xmlns:r="http://schemas.openxmlformats.org/officeDocument/2006/relationships">
  <sheetPr>
    <tabColor rgb="FF6D3B5E"/>
    <pageSetUpPr fitToPage="1"/>
  </sheetPr>
  <dimension ref="A1:AM2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28" customWidth="1"/>
    <col min="2" max="2" width="30.7109375" style="34" customWidth="1"/>
    <col min="3" max="3" width="22.7109375" style="34" customWidth="1"/>
    <col min="4" max="4" width="34.7109375" style="35" customWidth="1"/>
    <col min="5" max="5" width="9.7109375" style="32" customWidth="1"/>
    <col min="6" max="6" width="10.7109375" style="32" customWidth="1"/>
    <col min="7" max="7" width="11.7109375" style="33" customWidth="1"/>
    <col min="8" max="8" width="11.7109375" style="33" customWidth="1"/>
    <col min="9" max="9" width="9.7109375" style="41" customWidth="1"/>
    <col min="10" max="10" width="13.7109375" style="41" customWidth="1"/>
    <col min="11" max="11" width="13.7109375" style="41" customWidth="1"/>
    <col min="12" max="12" width="14.7109375" style="34" customWidth="1"/>
    <col min="13" max="13" width="12.7109375" style="34" customWidth="1"/>
    <col min="14" max="14" width="11.7109375" style="29" customWidth="1"/>
    <col min="15" max="15" width="26.7109375" style="35" customWidth="1"/>
    <col min="16" max="16" width="10.7109375" style="42" hidden="1" customWidth="1"/>
    <col min="17" max="17" width="12.7109375" style="26" customWidth="1"/>
    <col min="18" max="18" width="11.7109375" style="26" customWidth="1"/>
    <col min="19" max="19" width="11.7109375" style="26" customWidth="1"/>
    <col min="20" max="20" width="11.7109375" style="26" customWidth="1"/>
    <col min="21" max="21" width="9.7109375" style="27" customWidth="1"/>
    <col min="22" max="22" width="11.7109375" style="26" customWidth="1"/>
    <col min="23" max="23" width="11.7109375" style="26" customWidth="1"/>
    <col min="24" max="24" width="11.7109375" style="26" hidden="1" customWidth="1"/>
    <col min="25" max="25" width="12.7109375" style="26" customWidth="1"/>
    <col min="26" max="26" width="10.7109375" style="26" customWidth="1"/>
    <col min="27" max="27" width="9.7109375" style="25" customWidth="1"/>
    <col min="28" max="28" width="10.7109375" style="25" customWidth="1"/>
    <col min="29" max="29" width="8.7109375" style="25" hidden="1" customWidth="1"/>
    <col min="30" max="30" width="12.7109375" style="26" customWidth="1"/>
    <col min="31" max="31" width="11.7109375" style="27" hidden="1" customWidth="1"/>
    <col min="32" max="32" width="12.7109375" style="26" hidden="1" customWidth="1"/>
    <col min="33" max="33" width="12.7109375" style="37" hidden="1" customWidth="1"/>
    <col min="34" max="34" width="11.7109375" style="27" customWidth="1"/>
    <col min="35" max="35" width="11.7109375" style="17" customWidth="1"/>
    <col min="36" max="36" width="9.7109375" style="25" hidden="1" customWidth="1"/>
    <col min="37" max="37" width="9.7109375" style="25" hidden="1" customWidth="1"/>
    <col min="38" max="38" width="9.7109375" style="25" hidden="1" customWidth="1"/>
    <col min="39" max="39" width="30.7109375" style="39" customWidth="1"/>
  </cols>
  <sheetData>
    <row r="1" spans="1:39" ht="34" customHeight="1">
      <c r="A1" s="2" t="s">
        <v>297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3" t="s">
        <v>1</v>
      </c>
      <c r="AL1" s="3"/>
      <c r="AM1" s="3"/>
    </row>
    <row r="2" spans="1:39" ht="18" customHeight="1">
      <c r="A2" s="4" t="s">
        <v>298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299</v>
      </c>
      <c r="T3" s="40"/>
      <c r="U3" s="40"/>
      <c r="V3" s="40"/>
      <c r="W3" s="40"/>
      <c r="X3" s="40"/>
      <c r="Y3" s="40"/>
      <c r="Z3" s="40"/>
      <c r="AA3" s="40"/>
      <c r="AB3" s="40"/>
      <c r="AC3" s="40"/>
      <c r="AD3" s="40"/>
      <c r="AE3" s="40"/>
      <c r="AF3" s="40"/>
      <c r="AG3" s="40"/>
      <c r="AH3" s="40"/>
      <c r="AI3" s="40"/>
      <c r="AJ3" s="40"/>
      <c r="AK3" s="40"/>
      <c r="AL3" s="40"/>
      <c r="AM3" s="40"/>
    </row>
    <row r="4" spans="1:39" ht="30" customHeight="1">
      <c r="A4" s="10" t="s">
        <v>211</v>
      </c>
      <c r="B4" s="10" t="s">
        <v>218</v>
      </c>
      <c r="C4" s="11" t="s">
        <v>300</v>
      </c>
      <c r="D4" s="11" t="s">
        <v>301</v>
      </c>
      <c r="E4" s="11" t="s">
        <v>220</v>
      </c>
      <c r="F4" s="11" t="s">
        <v>302</v>
      </c>
      <c r="G4" s="11" t="s">
        <v>221</v>
      </c>
      <c r="H4" s="11" t="s">
        <v>303</v>
      </c>
      <c r="I4" s="11" t="s">
        <v>304</v>
      </c>
      <c r="J4" s="11" t="s">
        <v>305</v>
      </c>
      <c r="K4" s="11" t="s">
        <v>306</v>
      </c>
      <c r="L4" s="11" t="s">
        <v>307</v>
      </c>
      <c r="M4" s="11" t="s">
        <v>222</v>
      </c>
      <c r="N4" s="11" t="s">
        <v>308</v>
      </c>
      <c r="O4" s="11" t="s">
        <v>225</v>
      </c>
      <c r="P4" s="11" t="s">
        <v>232</v>
      </c>
      <c r="Q4" s="11" t="s">
        <v>309</v>
      </c>
      <c r="R4" s="11" t="s">
        <v>96</v>
      </c>
      <c r="S4" s="11" t="s">
        <v>310</v>
      </c>
      <c r="T4" s="11" t="s">
        <v>201</v>
      </c>
      <c r="U4" s="11" t="s">
        <v>196</v>
      </c>
      <c r="V4" s="11" t="s">
        <v>311</v>
      </c>
      <c r="W4" s="11" t="s">
        <v>312</v>
      </c>
      <c r="X4" s="11" t="s">
        <v>313</v>
      </c>
      <c r="Y4" s="11" t="s">
        <v>314</v>
      </c>
      <c r="Z4" s="11" t="s">
        <v>315</v>
      </c>
      <c r="AA4" s="11" t="s">
        <v>316</v>
      </c>
      <c r="AB4" s="11" t="s">
        <v>177</v>
      </c>
      <c r="AC4" s="11" t="s">
        <v>317</v>
      </c>
      <c r="AD4" s="11" t="s">
        <v>186</v>
      </c>
      <c r="AE4" s="11" t="s">
        <v>318</v>
      </c>
      <c r="AF4" s="11" t="s">
        <v>319</v>
      </c>
      <c r="AG4" s="11" t="s">
        <v>320</v>
      </c>
      <c r="AH4" s="11" t="s">
        <v>321</v>
      </c>
      <c r="AI4" s="11" t="s">
        <v>322</v>
      </c>
      <c r="AJ4" s="11" t="s">
        <v>323</v>
      </c>
      <c r="AK4" s="11" t="s">
        <v>324</v>
      </c>
      <c r="AL4" s="11" t="s">
        <v>325</v>
      </c>
      <c r="AM4" s="11" t="s">
        <v>242</v>
      </c>
    </row>
    <row r="5" spans="1:39">
      <c r="A5" s="28">
        <f>IF(B5="","",ServicePrefix&amp;TEXT(ROW()-4,"000"))</f>
        <v>0</v>
      </c>
      <c r="P5" s="42">
        <f>IF(B5="","",ROUND((IF(E5="",0,E5)+IF(F5="",0,F5))/60,3))</f>
        <v>0</v>
      </c>
      <c r="Q5" s="26">
        <f>IF(B5="","",IF(H5&lt;&gt;"",H5,IF(G5="",0,ROUND(G5*ProductCostPercent,2))))</f>
        <v>0</v>
      </c>
      <c r="R5" s="26">
        <f>IF(B5="","",IF(J5="No",0,IF(G5="",0,ROUND(G5*ServiceCommission,2))))</f>
        <v>0</v>
      </c>
      <c r="S5" s="26">
        <f>IF(B5="","",ROUND(Q5+R5,2))</f>
        <v>0</v>
      </c>
      <c r="T5" s="26">
        <f>IF(B5="","",IF(G5="","",ROUND(G5-S5,2)))</f>
        <v>0</v>
      </c>
      <c r="U5" s="27">
        <f>IF(B5="","",IF(G5="","",IF(G5=0,"",T5/G5)))</f>
        <v>0</v>
      </c>
      <c r="V5" s="26">
        <f>IF(B5="","",IF(G5="","",IF(P5=0,"",ROUND(G5/P5,2))))</f>
        <v>0</v>
      </c>
      <c r="W5" s="26">
        <f>IF(B5="","",IF(T5="","",IF(P5=0,"",ROUND(T5/P5,2))))</f>
        <v>0</v>
      </c>
      <c r="X5" s="26">
        <f>IF(B5="","",IF(P5=0,"",IF(ServiceCommission&gt;=1,"",(Q5+TargetChairRate*P5)/IF(J5="No",1,1-ServiceCommission))))</f>
        <v>0</v>
      </c>
      <c r="Y5" s="26">
        <f>IF(B5="","",IF(X5="","",ROUND(IF(RoundingRule="None",X5,IF(RoundingRule="Nearest 0.99",MAX(0.99,CEILING(X5,1)-0.01),IF(RoundingRule="Nearest 0.95",MAX(0.95,CEILING(X5,1)-0.05),IF(RoundingRule="Nearest 0.50",CEILING(X5,0.5),IF(RoundingRule="Nearest 1",CEILING(X5,1),IF(RoundingRule="Nearest 5",CEILING(X5,5),IF(RoundingRule="Up to whole 1",CEILING(X5,1),IF(RoundingRule="Up to whole 5",CEILING(X5,5),ROUND(X5,2))))))))),2)))</f>
        <v>0</v>
      </c>
      <c r="Z5" s="26">
        <f>IF(B5="","",IF(Y5="","",IF(G5="","",ROUND(G5-Y5,2))))</f>
        <v>0</v>
      </c>
      <c r="AA5" s="25">
        <f>IF(B5="","",COUNTIFS(Appointments!$G$5:$G$1204,A5))</f>
        <v>0</v>
      </c>
      <c r="AB5" s="25">
        <f>IF(B5="","",COUNTIFS(Appointments!$G$5:$G$1204,A5,Appointments!$M$5:$M$1204,"Completed"))</f>
        <v>0</v>
      </c>
      <c r="AC5" s="25">
        <f>IF(B5="","",SUMIFS(Sales!$K$5:$K$1204,Sales!$I$5:$I$1204,A5,Sales!$H$5:$H$1204,"Service"))</f>
        <v>0</v>
      </c>
      <c r="AD5" s="26">
        <f>IF(B5="","",ROUND(SUMIFS(Sales!$Y$5:$Y$1204,Sales!$I$5:$I$1204,A5,Sales!$H$5:$H$1204,"Service"),2))</f>
        <v>0</v>
      </c>
      <c r="AE5" s="27">
        <f>IF(B5="","",IF(ServiceRevenueAll=0,"",AD5/ServiceRevenueAll))</f>
        <v>0</v>
      </c>
      <c r="AF5" s="26">
        <f>IF(B5="","",ROUND(AC5*T5,2))</f>
        <v>0</v>
      </c>
      <c r="AG5" s="37">
        <f>IF(B5="","",ROUND(AC5*P5,1))</f>
        <v>0</v>
      </c>
      <c r="AH5" s="27">
        <f>IF(B5="","",IF(AB5=0,"",COUNTIFS(Sales!$I$5:$I$1204,A5,Sales!$AJ$5:$AJ$1204,"Yes")/AB5))</f>
        <v>0</v>
      </c>
      <c r="AI5" s="17">
        <f>IF(B5="","",IFERROR(IF(COUNTIFS(Appointments!$G$5:$G$1204,A5)=0,"",SUMPRODUCT(MAX((Appointments!$G$5:$G$1204=A5)*IFERROR(Appointments!$B$5:$B$1204*1,0)))),""))</f>
        <v>0</v>
      </c>
      <c r="AJ5" s="25">
        <f>IF(B5="","",COUNTIFS($AD$5:$AD$204,"&gt;"&amp;AD5)+COUNTIFS($AD$5:AD5,AD5))</f>
        <v>0</v>
      </c>
      <c r="AK5" s="25">
        <f>IF(B5="","",COUNTIFS($W$5:$W$204,"&gt;"&amp;W5)+COUNTIFS($W$5:W5,W5))</f>
        <v>0</v>
      </c>
      <c r="AL5" s="25">
        <f>IF(B5="","",COUNTIFS($AB$5:$AB$204,"&gt;"&amp;AB5)+COUNTIFS($AB$5:AB5,AB5))</f>
        <v>0</v>
      </c>
      <c r="AM5" s="39">
        <f>IF(B5="","",IF(G5="","Add - no price yet",IF(E5="","Add - how long does it take?",IF(T5&lt;0,"Loss - this service costs you money",IF(V5&lt;TargetChairRate*0.7,"Check - well under your chair rate",IF(IF(N5="",FALSE,TodayDate-N5&gt;PriceReviewDays),"Due - price has not been reviewed",IF(IF(M5="Active",AB5=0,FALSE),"Check - on the menu but never booked","OK")))))))</f>
        <v>0</v>
      </c>
    </row>
    <row r="6" spans="1:39">
      <c r="A6" s="28">
        <f>IF(B6="","",ServicePrefix&amp;TEXT(ROW()-4,"000"))</f>
        <v>0</v>
      </c>
      <c r="P6" s="42">
        <f>IF(B6="","",ROUND((IF(E6="",0,E6)+IF(F6="",0,F6))/60,3))</f>
        <v>0</v>
      </c>
      <c r="Q6" s="26">
        <f>IF(B6="","",IF(H6&lt;&gt;"",H6,IF(G6="",0,ROUND(G6*ProductCostPercent,2))))</f>
        <v>0</v>
      </c>
      <c r="R6" s="26">
        <f>IF(B6="","",IF(J6="No",0,IF(G6="",0,ROUND(G6*ServiceCommission,2))))</f>
        <v>0</v>
      </c>
      <c r="S6" s="26">
        <f>IF(B6="","",ROUND(Q6+R6,2))</f>
        <v>0</v>
      </c>
      <c r="T6" s="26">
        <f>IF(B6="","",IF(G6="","",ROUND(G6-S6,2)))</f>
        <v>0</v>
      </c>
      <c r="U6" s="27">
        <f>IF(B6="","",IF(G6="","",IF(G6=0,"",T6/G6)))</f>
        <v>0</v>
      </c>
      <c r="V6" s="26">
        <f>IF(B6="","",IF(G6="","",IF(P6=0,"",ROUND(G6/P6,2))))</f>
        <v>0</v>
      </c>
      <c r="W6" s="26">
        <f>IF(B6="","",IF(T6="","",IF(P6=0,"",ROUND(T6/P6,2))))</f>
        <v>0</v>
      </c>
      <c r="X6" s="26">
        <f>IF(B6="","",IF(P6=0,"",IF(ServiceCommission&gt;=1,"",(Q6+TargetChairRate*P6)/IF(J6="No",1,1-ServiceCommission))))</f>
        <v>0</v>
      </c>
      <c r="Y6" s="26">
        <f>IF(B6="","",IF(X6="","",ROUND(IF(RoundingRule="None",X6,IF(RoundingRule="Nearest 0.99",MAX(0.99,CEILING(X6,1)-0.01),IF(RoundingRule="Nearest 0.95",MAX(0.95,CEILING(X6,1)-0.05),IF(RoundingRule="Nearest 0.50",CEILING(X6,0.5),IF(RoundingRule="Nearest 1",CEILING(X6,1),IF(RoundingRule="Nearest 5",CEILING(X6,5),IF(RoundingRule="Up to whole 1",CEILING(X6,1),IF(RoundingRule="Up to whole 5",CEILING(X6,5),ROUND(X6,2))))))))),2)))</f>
        <v>0</v>
      </c>
      <c r="Z6" s="26">
        <f>IF(B6="","",IF(Y6="","",IF(G6="","",ROUND(G6-Y6,2))))</f>
        <v>0</v>
      </c>
      <c r="AA6" s="25">
        <f>IF(B6="","",COUNTIFS(Appointments!$G$5:$G$1204,A6))</f>
        <v>0</v>
      </c>
      <c r="AB6" s="25">
        <f>IF(B6="","",COUNTIFS(Appointments!$G$5:$G$1204,A6,Appointments!$M$5:$M$1204,"Completed"))</f>
        <v>0</v>
      </c>
      <c r="AC6" s="25">
        <f>IF(B6="","",SUMIFS(Sales!$K$5:$K$1204,Sales!$I$5:$I$1204,A6,Sales!$H$5:$H$1204,"Service"))</f>
        <v>0</v>
      </c>
      <c r="AD6" s="26">
        <f>IF(B6="","",ROUND(SUMIFS(Sales!$Y$5:$Y$1204,Sales!$I$5:$I$1204,A6,Sales!$H$5:$H$1204,"Service"),2))</f>
        <v>0</v>
      </c>
      <c r="AE6" s="27">
        <f>IF(B6="","",IF(ServiceRevenueAll=0,"",AD6/ServiceRevenueAll))</f>
        <v>0</v>
      </c>
      <c r="AF6" s="26">
        <f>IF(B6="","",ROUND(AC6*T6,2))</f>
        <v>0</v>
      </c>
      <c r="AG6" s="37">
        <f>IF(B6="","",ROUND(AC6*P6,1))</f>
        <v>0</v>
      </c>
      <c r="AH6" s="27">
        <f>IF(B6="","",IF(AB6=0,"",COUNTIFS(Sales!$I$5:$I$1204,A6,Sales!$AJ$5:$AJ$1204,"Yes")/AB6))</f>
        <v>0</v>
      </c>
      <c r="AI6" s="17">
        <f>IF(B6="","",IFERROR(IF(COUNTIFS(Appointments!$G$5:$G$1204,A6)=0,"",SUMPRODUCT(MAX((Appointments!$G$5:$G$1204=A6)*IFERROR(Appointments!$B$5:$B$1204*1,0)))),""))</f>
        <v>0</v>
      </c>
      <c r="AJ6" s="25">
        <f>IF(B6="","",COUNTIFS($AD$5:$AD$204,"&gt;"&amp;AD6)+COUNTIFS($AD$5:AD6,AD6))</f>
        <v>0</v>
      </c>
      <c r="AK6" s="25">
        <f>IF(B6="","",COUNTIFS($W$5:$W$204,"&gt;"&amp;W6)+COUNTIFS($W$5:W6,W6))</f>
        <v>0</v>
      </c>
      <c r="AL6" s="25">
        <f>IF(B6="","",COUNTIFS($AB$5:$AB$204,"&gt;"&amp;AB6)+COUNTIFS($AB$5:AB6,AB6))</f>
        <v>0</v>
      </c>
      <c r="AM6" s="39">
        <f>IF(B6="","",IF(G6="","Add - no price yet",IF(E6="","Add - how long does it take?",IF(T6&lt;0,"Loss - this service costs you money",IF(V6&lt;TargetChairRate*0.7,"Check - well under your chair rate",IF(IF(N6="",FALSE,TodayDate-N6&gt;PriceReviewDays),"Due - price has not been reviewed",IF(IF(M6="Active",AB6=0,FALSE),"Check - on the menu but never booked","OK")))))))</f>
        <v>0</v>
      </c>
    </row>
    <row r="7" spans="1:39">
      <c r="A7" s="28">
        <f>IF(B7="","",ServicePrefix&amp;TEXT(ROW()-4,"000"))</f>
        <v>0</v>
      </c>
      <c r="P7" s="42">
        <f>IF(B7="","",ROUND((IF(E7="",0,E7)+IF(F7="",0,F7))/60,3))</f>
        <v>0</v>
      </c>
      <c r="Q7" s="26">
        <f>IF(B7="","",IF(H7&lt;&gt;"",H7,IF(G7="",0,ROUND(G7*ProductCostPercent,2))))</f>
        <v>0</v>
      </c>
      <c r="R7" s="26">
        <f>IF(B7="","",IF(J7="No",0,IF(G7="",0,ROUND(G7*ServiceCommission,2))))</f>
        <v>0</v>
      </c>
      <c r="S7" s="26">
        <f>IF(B7="","",ROUND(Q7+R7,2))</f>
        <v>0</v>
      </c>
      <c r="T7" s="26">
        <f>IF(B7="","",IF(G7="","",ROUND(G7-S7,2)))</f>
        <v>0</v>
      </c>
      <c r="U7" s="27">
        <f>IF(B7="","",IF(G7="","",IF(G7=0,"",T7/G7)))</f>
        <v>0</v>
      </c>
      <c r="V7" s="26">
        <f>IF(B7="","",IF(G7="","",IF(P7=0,"",ROUND(G7/P7,2))))</f>
        <v>0</v>
      </c>
      <c r="W7" s="26">
        <f>IF(B7="","",IF(T7="","",IF(P7=0,"",ROUND(T7/P7,2))))</f>
        <v>0</v>
      </c>
      <c r="X7" s="26">
        <f>IF(B7="","",IF(P7=0,"",IF(ServiceCommission&gt;=1,"",(Q7+TargetChairRate*P7)/IF(J7="No",1,1-ServiceCommission))))</f>
        <v>0</v>
      </c>
      <c r="Y7" s="26">
        <f>IF(B7="","",IF(X7="","",ROUND(IF(RoundingRule="None",X7,IF(RoundingRule="Nearest 0.99",MAX(0.99,CEILING(X7,1)-0.01),IF(RoundingRule="Nearest 0.95",MAX(0.95,CEILING(X7,1)-0.05),IF(RoundingRule="Nearest 0.50",CEILING(X7,0.5),IF(RoundingRule="Nearest 1",CEILING(X7,1),IF(RoundingRule="Nearest 5",CEILING(X7,5),IF(RoundingRule="Up to whole 1",CEILING(X7,1),IF(RoundingRule="Up to whole 5",CEILING(X7,5),ROUND(X7,2))))))))),2)))</f>
        <v>0</v>
      </c>
      <c r="Z7" s="26">
        <f>IF(B7="","",IF(Y7="","",IF(G7="","",ROUND(G7-Y7,2))))</f>
        <v>0</v>
      </c>
      <c r="AA7" s="25">
        <f>IF(B7="","",COUNTIFS(Appointments!$G$5:$G$1204,A7))</f>
        <v>0</v>
      </c>
      <c r="AB7" s="25">
        <f>IF(B7="","",COUNTIFS(Appointments!$G$5:$G$1204,A7,Appointments!$M$5:$M$1204,"Completed"))</f>
        <v>0</v>
      </c>
      <c r="AC7" s="25">
        <f>IF(B7="","",SUMIFS(Sales!$K$5:$K$1204,Sales!$I$5:$I$1204,A7,Sales!$H$5:$H$1204,"Service"))</f>
        <v>0</v>
      </c>
      <c r="AD7" s="26">
        <f>IF(B7="","",ROUND(SUMIFS(Sales!$Y$5:$Y$1204,Sales!$I$5:$I$1204,A7,Sales!$H$5:$H$1204,"Service"),2))</f>
        <v>0</v>
      </c>
      <c r="AE7" s="27">
        <f>IF(B7="","",IF(ServiceRevenueAll=0,"",AD7/ServiceRevenueAll))</f>
        <v>0</v>
      </c>
      <c r="AF7" s="26">
        <f>IF(B7="","",ROUND(AC7*T7,2))</f>
        <v>0</v>
      </c>
      <c r="AG7" s="37">
        <f>IF(B7="","",ROUND(AC7*P7,1))</f>
        <v>0</v>
      </c>
      <c r="AH7" s="27">
        <f>IF(B7="","",IF(AB7=0,"",COUNTIFS(Sales!$I$5:$I$1204,A7,Sales!$AJ$5:$AJ$1204,"Yes")/AB7))</f>
        <v>0</v>
      </c>
      <c r="AI7" s="17">
        <f>IF(B7="","",IFERROR(IF(COUNTIFS(Appointments!$G$5:$G$1204,A7)=0,"",SUMPRODUCT(MAX((Appointments!$G$5:$G$1204=A7)*IFERROR(Appointments!$B$5:$B$1204*1,0)))),""))</f>
        <v>0</v>
      </c>
      <c r="AJ7" s="25">
        <f>IF(B7="","",COUNTIFS($AD$5:$AD$204,"&gt;"&amp;AD7)+COUNTIFS($AD$5:AD7,AD7))</f>
        <v>0</v>
      </c>
      <c r="AK7" s="25">
        <f>IF(B7="","",COUNTIFS($W$5:$W$204,"&gt;"&amp;W7)+COUNTIFS($W$5:W7,W7))</f>
        <v>0</v>
      </c>
      <c r="AL7" s="25">
        <f>IF(B7="","",COUNTIFS($AB$5:$AB$204,"&gt;"&amp;AB7)+COUNTIFS($AB$5:AB7,AB7))</f>
        <v>0</v>
      </c>
      <c r="AM7" s="39">
        <f>IF(B7="","",IF(G7="","Add - no price yet",IF(E7="","Add - how long does it take?",IF(T7&lt;0,"Loss - this service costs you money",IF(V7&lt;TargetChairRate*0.7,"Check - well under your chair rate",IF(IF(N7="",FALSE,TodayDate-N7&gt;PriceReviewDays),"Due - price has not been reviewed",IF(IF(M7="Active",AB7=0,FALSE),"Check - on the menu but never booked","OK")))))))</f>
        <v>0</v>
      </c>
    </row>
    <row r="8" spans="1:39">
      <c r="A8" s="28">
        <f>IF(B8="","",ServicePrefix&amp;TEXT(ROW()-4,"000"))</f>
        <v>0</v>
      </c>
      <c r="P8" s="42">
        <f>IF(B8="","",ROUND((IF(E8="",0,E8)+IF(F8="",0,F8))/60,3))</f>
        <v>0</v>
      </c>
      <c r="Q8" s="26">
        <f>IF(B8="","",IF(H8&lt;&gt;"",H8,IF(G8="",0,ROUND(G8*ProductCostPercent,2))))</f>
        <v>0</v>
      </c>
      <c r="R8" s="26">
        <f>IF(B8="","",IF(J8="No",0,IF(G8="",0,ROUND(G8*ServiceCommission,2))))</f>
        <v>0</v>
      </c>
      <c r="S8" s="26">
        <f>IF(B8="","",ROUND(Q8+R8,2))</f>
        <v>0</v>
      </c>
      <c r="T8" s="26">
        <f>IF(B8="","",IF(G8="","",ROUND(G8-S8,2)))</f>
        <v>0</v>
      </c>
      <c r="U8" s="27">
        <f>IF(B8="","",IF(G8="","",IF(G8=0,"",T8/G8)))</f>
        <v>0</v>
      </c>
      <c r="V8" s="26">
        <f>IF(B8="","",IF(G8="","",IF(P8=0,"",ROUND(G8/P8,2))))</f>
        <v>0</v>
      </c>
      <c r="W8" s="26">
        <f>IF(B8="","",IF(T8="","",IF(P8=0,"",ROUND(T8/P8,2))))</f>
        <v>0</v>
      </c>
      <c r="X8" s="26">
        <f>IF(B8="","",IF(P8=0,"",IF(ServiceCommission&gt;=1,"",(Q8+TargetChairRate*P8)/IF(J8="No",1,1-ServiceCommission))))</f>
        <v>0</v>
      </c>
      <c r="Y8" s="26">
        <f>IF(B8="","",IF(X8="","",ROUND(IF(RoundingRule="None",X8,IF(RoundingRule="Nearest 0.99",MAX(0.99,CEILING(X8,1)-0.01),IF(RoundingRule="Nearest 0.95",MAX(0.95,CEILING(X8,1)-0.05),IF(RoundingRule="Nearest 0.50",CEILING(X8,0.5),IF(RoundingRule="Nearest 1",CEILING(X8,1),IF(RoundingRule="Nearest 5",CEILING(X8,5),IF(RoundingRule="Up to whole 1",CEILING(X8,1),IF(RoundingRule="Up to whole 5",CEILING(X8,5),ROUND(X8,2))))))))),2)))</f>
        <v>0</v>
      </c>
      <c r="Z8" s="26">
        <f>IF(B8="","",IF(Y8="","",IF(G8="","",ROUND(G8-Y8,2))))</f>
        <v>0</v>
      </c>
      <c r="AA8" s="25">
        <f>IF(B8="","",COUNTIFS(Appointments!$G$5:$G$1204,A8))</f>
        <v>0</v>
      </c>
      <c r="AB8" s="25">
        <f>IF(B8="","",COUNTIFS(Appointments!$G$5:$G$1204,A8,Appointments!$M$5:$M$1204,"Completed"))</f>
        <v>0</v>
      </c>
      <c r="AC8" s="25">
        <f>IF(B8="","",SUMIFS(Sales!$K$5:$K$1204,Sales!$I$5:$I$1204,A8,Sales!$H$5:$H$1204,"Service"))</f>
        <v>0</v>
      </c>
      <c r="AD8" s="26">
        <f>IF(B8="","",ROUND(SUMIFS(Sales!$Y$5:$Y$1204,Sales!$I$5:$I$1204,A8,Sales!$H$5:$H$1204,"Service"),2))</f>
        <v>0</v>
      </c>
      <c r="AE8" s="27">
        <f>IF(B8="","",IF(ServiceRevenueAll=0,"",AD8/ServiceRevenueAll))</f>
        <v>0</v>
      </c>
      <c r="AF8" s="26">
        <f>IF(B8="","",ROUND(AC8*T8,2))</f>
        <v>0</v>
      </c>
      <c r="AG8" s="37">
        <f>IF(B8="","",ROUND(AC8*P8,1))</f>
        <v>0</v>
      </c>
      <c r="AH8" s="27">
        <f>IF(B8="","",IF(AB8=0,"",COUNTIFS(Sales!$I$5:$I$1204,A8,Sales!$AJ$5:$AJ$1204,"Yes")/AB8))</f>
        <v>0</v>
      </c>
      <c r="AI8" s="17">
        <f>IF(B8="","",IFERROR(IF(COUNTIFS(Appointments!$G$5:$G$1204,A8)=0,"",SUMPRODUCT(MAX((Appointments!$G$5:$G$1204=A8)*IFERROR(Appointments!$B$5:$B$1204*1,0)))),""))</f>
        <v>0</v>
      </c>
      <c r="AJ8" s="25">
        <f>IF(B8="","",COUNTIFS($AD$5:$AD$204,"&gt;"&amp;AD8)+COUNTIFS($AD$5:AD8,AD8))</f>
        <v>0</v>
      </c>
      <c r="AK8" s="25">
        <f>IF(B8="","",COUNTIFS($W$5:$W$204,"&gt;"&amp;W8)+COUNTIFS($W$5:W8,W8))</f>
        <v>0</v>
      </c>
      <c r="AL8" s="25">
        <f>IF(B8="","",COUNTIFS($AB$5:$AB$204,"&gt;"&amp;AB8)+COUNTIFS($AB$5:AB8,AB8))</f>
        <v>0</v>
      </c>
      <c r="AM8" s="39">
        <f>IF(B8="","",IF(G8="","Add - no price yet",IF(E8="","Add - how long does it take?",IF(T8&lt;0,"Loss - this service costs you money",IF(V8&lt;TargetChairRate*0.7,"Check - well under your chair rate",IF(IF(N8="",FALSE,TodayDate-N8&gt;PriceReviewDays),"Due - price has not been reviewed",IF(IF(M8="Active",AB8=0,FALSE),"Check - on the menu but never booked","OK")))))))</f>
        <v>0</v>
      </c>
    </row>
    <row r="9" spans="1:39">
      <c r="A9" s="28">
        <f>IF(B9="","",ServicePrefix&amp;TEXT(ROW()-4,"000"))</f>
        <v>0</v>
      </c>
      <c r="P9" s="42">
        <f>IF(B9="","",ROUND((IF(E9="",0,E9)+IF(F9="",0,F9))/60,3))</f>
        <v>0</v>
      </c>
      <c r="Q9" s="26">
        <f>IF(B9="","",IF(H9&lt;&gt;"",H9,IF(G9="",0,ROUND(G9*ProductCostPercent,2))))</f>
        <v>0</v>
      </c>
      <c r="R9" s="26">
        <f>IF(B9="","",IF(J9="No",0,IF(G9="",0,ROUND(G9*ServiceCommission,2))))</f>
        <v>0</v>
      </c>
      <c r="S9" s="26">
        <f>IF(B9="","",ROUND(Q9+R9,2))</f>
        <v>0</v>
      </c>
      <c r="T9" s="26">
        <f>IF(B9="","",IF(G9="","",ROUND(G9-S9,2)))</f>
        <v>0</v>
      </c>
      <c r="U9" s="27">
        <f>IF(B9="","",IF(G9="","",IF(G9=0,"",T9/G9)))</f>
        <v>0</v>
      </c>
      <c r="V9" s="26">
        <f>IF(B9="","",IF(G9="","",IF(P9=0,"",ROUND(G9/P9,2))))</f>
        <v>0</v>
      </c>
      <c r="W9" s="26">
        <f>IF(B9="","",IF(T9="","",IF(P9=0,"",ROUND(T9/P9,2))))</f>
        <v>0</v>
      </c>
      <c r="X9" s="26">
        <f>IF(B9="","",IF(P9=0,"",IF(ServiceCommission&gt;=1,"",(Q9+TargetChairRate*P9)/IF(J9="No",1,1-ServiceCommission))))</f>
        <v>0</v>
      </c>
      <c r="Y9" s="26">
        <f>IF(B9="","",IF(X9="","",ROUND(IF(RoundingRule="None",X9,IF(RoundingRule="Nearest 0.99",MAX(0.99,CEILING(X9,1)-0.01),IF(RoundingRule="Nearest 0.95",MAX(0.95,CEILING(X9,1)-0.05),IF(RoundingRule="Nearest 0.50",CEILING(X9,0.5),IF(RoundingRule="Nearest 1",CEILING(X9,1),IF(RoundingRule="Nearest 5",CEILING(X9,5),IF(RoundingRule="Up to whole 1",CEILING(X9,1),IF(RoundingRule="Up to whole 5",CEILING(X9,5),ROUND(X9,2))))))))),2)))</f>
        <v>0</v>
      </c>
      <c r="Z9" s="26">
        <f>IF(B9="","",IF(Y9="","",IF(G9="","",ROUND(G9-Y9,2))))</f>
        <v>0</v>
      </c>
      <c r="AA9" s="25">
        <f>IF(B9="","",COUNTIFS(Appointments!$G$5:$G$1204,A9))</f>
        <v>0</v>
      </c>
      <c r="AB9" s="25">
        <f>IF(B9="","",COUNTIFS(Appointments!$G$5:$G$1204,A9,Appointments!$M$5:$M$1204,"Completed"))</f>
        <v>0</v>
      </c>
      <c r="AC9" s="25">
        <f>IF(B9="","",SUMIFS(Sales!$K$5:$K$1204,Sales!$I$5:$I$1204,A9,Sales!$H$5:$H$1204,"Service"))</f>
        <v>0</v>
      </c>
      <c r="AD9" s="26">
        <f>IF(B9="","",ROUND(SUMIFS(Sales!$Y$5:$Y$1204,Sales!$I$5:$I$1204,A9,Sales!$H$5:$H$1204,"Service"),2))</f>
        <v>0</v>
      </c>
      <c r="AE9" s="27">
        <f>IF(B9="","",IF(ServiceRevenueAll=0,"",AD9/ServiceRevenueAll))</f>
        <v>0</v>
      </c>
      <c r="AF9" s="26">
        <f>IF(B9="","",ROUND(AC9*T9,2))</f>
        <v>0</v>
      </c>
      <c r="AG9" s="37">
        <f>IF(B9="","",ROUND(AC9*P9,1))</f>
        <v>0</v>
      </c>
      <c r="AH9" s="27">
        <f>IF(B9="","",IF(AB9=0,"",COUNTIFS(Sales!$I$5:$I$1204,A9,Sales!$AJ$5:$AJ$1204,"Yes")/AB9))</f>
        <v>0</v>
      </c>
      <c r="AI9" s="17">
        <f>IF(B9="","",IFERROR(IF(COUNTIFS(Appointments!$G$5:$G$1204,A9)=0,"",SUMPRODUCT(MAX((Appointments!$G$5:$G$1204=A9)*IFERROR(Appointments!$B$5:$B$1204*1,0)))),""))</f>
        <v>0</v>
      </c>
      <c r="AJ9" s="25">
        <f>IF(B9="","",COUNTIFS($AD$5:$AD$204,"&gt;"&amp;AD9)+COUNTIFS($AD$5:AD9,AD9))</f>
        <v>0</v>
      </c>
      <c r="AK9" s="25">
        <f>IF(B9="","",COUNTIFS($W$5:$W$204,"&gt;"&amp;W9)+COUNTIFS($W$5:W9,W9))</f>
        <v>0</v>
      </c>
      <c r="AL9" s="25">
        <f>IF(B9="","",COUNTIFS($AB$5:$AB$204,"&gt;"&amp;AB9)+COUNTIFS($AB$5:AB9,AB9))</f>
        <v>0</v>
      </c>
      <c r="AM9" s="39">
        <f>IF(B9="","",IF(G9="","Add - no price yet",IF(E9="","Add - how long does it take?",IF(T9&lt;0,"Loss - this service costs you money",IF(V9&lt;TargetChairRate*0.7,"Check - well under your chair rate",IF(IF(N9="",FALSE,TodayDate-N9&gt;PriceReviewDays),"Due - price has not been reviewed",IF(IF(M9="Active",AB9=0,FALSE),"Check - on the menu but never booked","OK")))))))</f>
        <v>0</v>
      </c>
    </row>
    <row r="10" spans="1:39">
      <c r="A10" s="28">
        <f>IF(B10="","",ServicePrefix&amp;TEXT(ROW()-4,"000"))</f>
        <v>0</v>
      </c>
      <c r="P10" s="42">
        <f>IF(B10="","",ROUND((IF(E10="",0,E10)+IF(F10="",0,F10))/60,3))</f>
        <v>0</v>
      </c>
      <c r="Q10" s="26">
        <f>IF(B10="","",IF(H10&lt;&gt;"",H10,IF(G10="",0,ROUND(G10*ProductCostPercent,2))))</f>
        <v>0</v>
      </c>
      <c r="R10" s="26">
        <f>IF(B10="","",IF(J10="No",0,IF(G10="",0,ROUND(G10*ServiceCommission,2))))</f>
        <v>0</v>
      </c>
      <c r="S10" s="26">
        <f>IF(B10="","",ROUND(Q10+R10,2))</f>
        <v>0</v>
      </c>
      <c r="T10" s="26">
        <f>IF(B10="","",IF(G10="","",ROUND(G10-S10,2)))</f>
        <v>0</v>
      </c>
      <c r="U10" s="27">
        <f>IF(B10="","",IF(G10="","",IF(G10=0,"",T10/G10)))</f>
        <v>0</v>
      </c>
      <c r="V10" s="26">
        <f>IF(B10="","",IF(G10="","",IF(P10=0,"",ROUND(G10/P10,2))))</f>
        <v>0</v>
      </c>
      <c r="W10" s="26">
        <f>IF(B10="","",IF(T10="","",IF(P10=0,"",ROUND(T10/P10,2))))</f>
        <v>0</v>
      </c>
      <c r="X10" s="26">
        <f>IF(B10="","",IF(P10=0,"",IF(ServiceCommission&gt;=1,"",(Q10+TargetChairRate*P10)/IF(J10="No",1,1-ServiceCommission))))</f>
        <v>0</v>
      </c>
      <c r="Y10" s="26">
        <f>IF(B10="","",IF(X10="","",ROUND(IF(RoundingRule="None",X10,IF(RoundingRule="Nearest 0.99",MAX(0.99,CEILING(X10,1)-0.01),IF(RoundingRule="Nearest 0.95",MAX(0.95,CEILING(X10,1)-0.05),IF(RoundingRule="Nearest 0.50",CEILING(X10,0.5),IF(RoundingRule="Nearest 1",CEILING(X10,1),IF(RoundingRule="Nearest 5",CEILING(X10,5),IF(RoundingRule="Up to whole 1",CEILING(X10,1),IF(RoundingRule="Up to whole 5",CEILING(X10,5),ROUND(X10,2))))))))),2)))</f>
        <v>0</v>
      </c>
      <c r="Z10" s="26">
        <f>IF(B10="","",IF(Y10="","",IF(G10="","",ROUND(G10-Y10,2))))</f>
        <v>0</v>
      </c>
      <c r="AA10" s="25">
        <f>IF(B10="","",COUNTIFS(Appointments!$G$5:$G$1204,A10))</f>
        <v>0</v>
      </c>
      <c r="AB10" s="25">
        <f>IF(B10="","",COUNTIFS(Appointments!$G$5:$G$1204,A10,Appointments!$M$5:$M$1204,"Completed"))</f>
        <v>0</v>
      </c>
      <c r="AC10" s="25">
        <f>IF(B10="","",SUMIFS(Sales!$K$5:$K$1204,Sales!$I$5:$I$1204,A10,Sales!$H$5:$H$1204,"Service"))</f>
        <v>0</v>
      </c>
      <c r="AD10" s="26">
        <f>IF(B10="","",ROUND(SUMIFS(Sales!$Y$5:$Y$1204,Sales!$I$5:$I$1204,A10,Sales!$H$5:$H$1204,"Service"),2))</f>
        <v>0</v>
      </c>
      <c r="AE10" s="27">
        <f>IF(B10="","",IF(ServiceRevenueAll=0,"",AD10/ServiceRevenueAll))</f>
        <v>0</v>
      </c>
      <c r="AF10" s="26">
        <f>IF(B10="","",ROUND(AC10*T10,2))</f>
        <v>0</v>
      </c>
      <c r="AG10" s="37">
        <f>IF(B10="","",ROUND(AC10*P10,1))</f>
        <v>0</v>
      </c>
      <c r="AH10" s="27">
        <f>IF(B10="","",IF(AB10=0,"",COUNTIFS(Sales!$I$5:$I$1204,A10,Sales!$AJ$5:$AJ$1204,"Yes")/AB10))</f>
        <v>0</v>
      </c>
      <c r="AI10" s="17">
        <f>IF(B10="","",IFERROR(IF(COUNTIFS(Appointments!$G$5:$G$1204,A10)=0,"",SUMPRODUCT(MAX((Appointments!$G$5:$G$1204=A10)*IFERROR(Appointments!$B$5:$B$1204*1,0)))),""))</f>
        <v>0</v>
      </c>
      <c r="AJ10" s="25">
        <f>IF(B10="","",COUNTIFS($AD$5:$AD$204,"&gt;"&amp;AD10)+COUNTIFS($AD$5:AD10,AD10))</f>
        <v>0</v>
      </c>
      <c r="AK10" s="25">
        <f>IF(B10="","",COUNTIFS($W$5:$W$204,"&gt;"&amp;W10)+COUNTIFS($W$5:W10,W10))</f>
        <v>0</v>
      </c>
      <c r="AL10" s="25">
        <f>IF(B10="","",COUNTIFS($AB$5:$AB$204,"&gt;"&amp;AB10)+COUNTIFS($AB$5:AB10,AB10))</f>
        <v>0</v>
      </c>
      <c r="AM10" s="39">
        <f>IF(B10="","",IF(G10="","Add - no price yet",IF(E10="","Add - how long does it take?",IF(T10&lt;0,"Loss - this service costs you money",IF(V10&lt;TargetChairRate*0.7,"Check - well under your chair rate",IF(IF(N10="",FALSE,TodayDate-N10&gt;PriceReviewDays),"Due - price has not been reviewed",IF(IF(M10="Active",AB10=0,FALSE),"Check - on the menu but never booked","OK")))))))</f>
        <v>0</v>
      </c>
    </row>
    <row r="11" spans="1:39">
      <c r="A11" s="28">
        <f>IF(B11="","",ServicePrefix&amp;TEXT(ROW()-4,"000"))</f>
        <v>0</v>
      </c>
      <c r="P11" s="42">
        <f>IF(B11="","",ROUND((IF(E11="",0,E11)+IF(F11="",0,F11))/60,3))</f>
        <v>0</v>
      </c>
      <c r="Q11" s="26">
        <f>IF(B11="","",IF(H11&lt;&gt;"",H11,IF(G11="",0,ROUND(G11*ProductCostPercent,2))))</f>
        <v>0</v>
      </c>
      <c r="R11" s="26">
        <f>IF(B11="","",IF(J11="No",0,IF(G11="",0,ROUND(G11*ServiceCommission,2))))</f>
        <v>0</v>
      </c>
      <c r="S11" s="26">
        <f>IF(B11="","",ROUND(Q11+R11,2))</f>
        <v>0</v>
      </c>
      <c r="T11" s="26">
        <f>IF(B11="","",IF(G11="","",ROUND(G11-S11,2)))</f>
        <v>0</v>
      </c>
      <c r="U11" s="27">
        <f>IF(B11="","",IF(G11="","",IF(G11=0,"",T11/G11)))</f>
        <v>0</v>
      </c>
      <c r="V11" s="26">
        <f>IF(B11="","",IF(G11="","",IF(P11=0,"",ROUND(G11/P11,2))))</f>
        <v>0</v>
      </c>
      <c r="W11" s="26">
        <f>IF(B11="","",IF(T11="","",IF(P11=0,"",ROUND(T11/P11,2))))</f>
        <v>0</v>
      </c>
      <c r="X11" s="26">
        <f>IF(B11="","",IF(P11=0,"",IF(ServiceCommission&gt;=1,"",(Q11+TargetChairRate*P11)/IF(J11="No",1,1-ServiceCommission))))</f>
        <v>0</v>
      </c>
      <c r="Y11" s="26">
        <f>IF(B11="","",IF(X11="","",ROUND(IF(RoundingRule="None",X11,IF(RoundingRule="Nearest 0.99",MAX(0.99,CEILING(X11,1)-0.01),IF(RoundingRule="Nearest 0.95",MAX(0.95,CEILING(X11,1)-0.05),IF(RoundingRule="Nearest 0.50",CEILING(X11,0.5),IF(RoundingRule="Nearest 1",CEILING(X11,1),IF(RoundingRule="Nearest 5",CEILING(X11,5),IF(RoundingRule="Up to whole 1",CEILING(X11,1),IF(RoundingRule="Up to whole 5",CEILING(X11,5),ROUND(X11,2))))))))),2)))</f>
        <v>0</v>
      </c>
      <c r="Z11" s="26">
        <f>IF(B11="","",IF(Y11="","",IF(G11="","",ROUND(G11-Y11,2))))</f>
        <v>0</v>
      </c>
      <c r="AA11" s="25">
        <f>IF(B11="","",COUNTIFS(Appointments!$G$5:$G$1204,A11))</f>
        <v>0</v>
      </c>
      <c r="AB11" s="25">
        <f>IF(B11="","",COUNTIFS(Appointments!$G$5:$G$1204,A11,Appointments!$M$5:$M$1204,"Completed"))</f>
        <v>0</v>
      </c>
      <c r="AC11" s="25">
        <f>IF(B11="","",SUMIFS(Sales!$K$5:$K$1204,Sales!$I$5:$I$1204,A11,Sales!$H$5:$H$1204,"Service"))</f>
        <v>0</v>
      </c>
      <c r="AD11" s="26">
        <f>IF(B11="","",ROUND(SUMIFS(Sales!$Y$5:$Y$1204,Sales!$I$5:$I$1204,A11,Sales!$H$5:$H$1204,"Service"),2))</f>
        <v>0</v>
      </c>
      <c r="AE11" s="27">
        <f>IF(B11="","",IF(ServiceRevenueAll=0,"",AD11/ServiceRevenueAll))</f>
        <v>0</v>
      </c>
      <c r="AF11" s="26">
        <f>IF(B11="","",ROUND(AC11*T11,2))</f>
        <v>0</v>
      </c>
      <c r="AG11" s="37">
        <f>IF(B11="","",ROUND(AC11*P11,1))</f>
        <v>0</v>
      </c>
      <c r="AH11" s="27">
        <f>IF(B11="","",IF(AB11=0,"",COUNTIFS(Sales!$I$5:$I$1204,A11,Sales!$AJ$5:$AJ$1204,"Yes")/AB11))</f>
        <v>0</v>
      </c>
      <c r="AI11" s="17">
        <f>IF(B11="","",IFERROR(IF(COUNTIFS(Appointments!$G$5:$G$1204,A11)=0,"",SUMPRODUCT(MAX((Appointments!$G$5:$G$1204=A11)*IFERROR(Appointments!$B$5:$B$1204*1,0)))),""))</f>
        <v>0</v>
      </c>
      <c r="AJ11" s="25">
        <f>IF(B11="","",COUNTIFS($AD$5:$AD$204,"&gt;"&amp;AD11)+COUNTIFS($AD$5:AD11,AD11))</f>
        <v>0</v>
      </c>
      <c r="AK11" s="25">
        <f>IF(B11="","",COUNTIFS($W$5:$W$204,"&gt;"&amp;W11)+COUNTIFS($W$5:W11,W11))</f>
        <v>0</v>
      </c>
      <c r="AL11" s="25">
        <f>IF(B11="","",COUNTIFS($AB$5:$AB$204,"&gt;"&amp;AB11)+COUNTIFS($AB$5:AB11,AB11))</f>
        <v>0</v>
      </c>
      <c r="AM11" s="39">
        <f>IF(B11="","",IF(G11="","Add - no price yet",IF(E11="","Add - how long does it take?",IF(T11&lt;0,"Loss - this service costs you money",IF(V11&lt;TargetChairRate*0.7,"Check - well under your chair rate",IF(IF(N11="",FALSE,TodayDate-N11&gt;PriceReviewDays),"Due - price has not been reviewed",IF(IF(M11="Active",AB11=0,FALSE),"Check - on the menu but never booked","OK")))))))</f>
        <v>0</v>
      </c>
    </row>
    <row r="12" spans="1:39">
      <c r="A12" s="28">
        <f>IF(B12="","",ServicePrefix&amp;TEXT(ROW()-4,"000"))</f>
        <v>0</v>
      </c>
      <c r="P12" s="42">
        <f>IF(B12="","",ROUND((IF(E12="",0,E12)+IF(F12="",0,F12))/60,3))</f>
        <v>0</v>
      </c>
      <c r="Q12" s="26">
        <f>IF(B12="","",IF(H12&lt;&gt;"",H12,IF(G12="",0,ROUND(G12*ProductCostPercent,2))))</f>
        <v>0</v>
      </c>
      <c r="R12" s="26">
        <f>IF(B12="","",IF(J12="No",0,IF(G12="",0,ROUND(G12*ServiceCommission,2))))</f>
        <v>0</v>
      </c>
      <c r="S12" s="26">
        <f>IF(B12="","",ROUND(Q12+R12,2))</f>
        <v>0</v>
      </c>
      <c r="T12" s="26">
        <f>IF(B12="","",IF(G12="","",ROUND(G12-S12,2)))</f>
        <v>0</v>
      </c>
      <c r="U12" s="27">
        <f>IF(B12="","",IF(G12="","",IF(G12=0,"",T12/G12)))</f>
        <v>0</v>
      </c>
      <c r="V12" s="26">
        <f>IF(B12="","",IF(G12="","",IF(P12=0,"",ROUND(G12/P12,2))))</f>
        <v>0</v>
      </c>
      <c r="W12" s="26">
        <f>IF(B12="","",IF(T12="","",IF(P12=0,"",ROUND(T12/P12,2))))</f>
        <v>0</v>
      </c>
      <c r="X12" s="26">
        <f>IF(B12="","",IF(P12=0,"",IF(ServiceCommission&gt;=1,"",(Q12+TargetChairRate*P12)/IF(J12="No",1,1-ServiceCommission))))</f>
        <v>0</v>
      </c>
      <c r="Y12" s="26">
        <f>IF(B12="","",IF(X12="","",ROUND(IF(RoundingRule="None",X12,IF(RoundingRule="Nearest 0.99",MAX(0.99,CEILING(X12,1)-0.01),IF(RoundingRule="Nearest 0.95",MAX(0.95,CEILING(X12,1)-0.05),IF(RoundingRule="Nearest 0.50",CEILING(X12,0.5),IF(RoundingRule="Nearest 1",CEILING(X12,1),IF(RoundingRule="Nearest 5",CEILING(X12,5),IF(RoundingRule="Up to whole 1",CEILING(X12,1),IF(RoundingRule="Up to whole 5",CEILING(X12,5),ROUND(X12,2))))))))),2)))</f>
        <v>0</v>
      </c>
      <c r="Z12" s="26">
        <f>IF(B12="","",IF(Y12="","",IF(G12="","",ROUND(G12-Y12,2))))</f>
        <v>0</v>
      </c>
      <c r="AA12" s="25">
        <f>IF(B12="","",COUNTIFS(Appointments!$G$5:$G$1204,A12))</f>
        <v>0</v>
      </c>
      <c r="AB12" s="25">
        <f>IF(B12="","",COUNTIFS(Appointments!$G$5:$G$1204,A12,Appointments!$M$5:$M$1204,"Completed"))</f>
        <v>0</v>
      </c>
      <c r="AC12" s="25">
        <f>IF(B12="","",SUMIFS(Sales!$K$5:$K$1204,Sales!$I$5:$I$1204,A12,Sales!$H$5:$H$1204,"Service"))</f>
        <v>0</v>
      </c>
      <c r="AD12" s="26">
        <f>IF(B12="","",ROUND(SUMIFS(Sales!$Y$5:$Y$1204,Sales!$I$5:$I$1204,A12,Sales!$H$5:$H$1204,"Service"),2))</f>
        <v>0</v>
      </c>
      <c r="AE12" s="27">
        <f>IF(B12="","",IF(ServiceRevenueAll=0,"",AD12/ServiceRevenueAll))</f>
        <v>0</v>
      </c>
      <c r="AF12" s="26">
        <f>IF(B12="","",ROUND(AC12*T12,2))</f>
        <v>0</v>
      </c>
      <c r="AG12" s="37">
        <f>IF(B12="","",ROUND(AC12*P12,1))</f>
        <v>0</v>
      </c>
      <c r="AH12" s="27">
        <f>IF(B12="","",IF(AB12=0,"",COUNTIFS(Sales!$I$5:$I$1204,A12,Sales!$AJ$5:$AJ$1204,"Yes")/AB12))</f>
        <v>0</v>
      </c>
      <c r="AI12" s="17">
        <f>IF(B12="","",IFERROR(IF(COUNTIFS(Appointments!$G$5:$G$1204,A12)=0,"",SUMPRODUCT(MAX((Appointments!$G$5:$G$1204=A12)*IFERROR(Appointments!$B$5:$B$1204*1,0)))),""))</f>
        <v>0</v>
      </c>
      <c r="AJ12" s="25">
        <f>IF(B12="","",COUNTIFS($AD$5:$AD$204,"&gt;"&amp;AD12)+COUNTIFS($AD$5:AD12,AD12))</f>
        <v>0</v>
      </c>
      <c r="AK12" s="25">
        <f>IF(B12="","",COUNTIFS($W$5:$W$204,"&gt;"&amp;W12)+COUNTIFS($W$5:W12,W12))</f>
        <v>0</v>
      </c>
      <c r="AL12" s="25">
        <f>IF(B12="","",COUNTIFS($AB$5:$AB$204,"&gt;"&amp;AB12)+COUNTIFS($AB$5:AB12,AB12))</f>
        <v>0</v>
      </c>
      <c r="AM12" s="39">
        <f>IF(B12="","",IF(G12="","Add - no price yet",IF(E12="","Add - how long does it take?",IF(T12&lt;0,"Loss - this service costs you money",IF(V12&lt;TargetChairRate*0.7,"Check - well under your chair rate",IF(IF(N12="",FALSE,TodayDate-N12&gt;PriceReviewDays),"Due - price has not been reviewed",IF(IF(M12="Active",AB12=0,FALSE),"Check - on the menu but never booked","OK")))))))</f>
        <v>0</v>
      </c>
    </row>
    <row r="13" spans="1:39">
      <c r="A13" s="28">
        <f>IF(B13="","",ServicePrefix&amp;TEXT(ROW()-4,"000"))</f>
        <v>0</v>
      </c>
      <c r="P13" s="42">
        <f>IF(B13="","",ROUND((IF(E13="",0,E13)+IF(F13="",0,F13))/60,3))</f>
        <v>0</v>
      </c>
      <c r="Q13" s="26">
        <f>IF(B13="","",IF(H13&lt;&gt;"",H13,IF(G13="",0,ROUND(G13*ProductCostPercent,2))))</f>
        <v>0</v>
      </c>
      <c r="R13" s="26">
        <f>IF(B13="","",IF(J13="No",0,IF(G13="",0,ROUND(G13*ServiceCommission,2))))</f>
        <v>0</v>
      </c>
      <c r="S13" s="26">
        <f>IF(B13="","",ROUND(Q13+R13,2))</f>
        <v>0</v>
      </c>
      <c r="T13" s="26">
        <f>IF(B13="","",IF(G13="","",ROUND(G13-S13,2)))</f>
        <v>0</v>
      </c>
      <c r="U13" s="27">
        <f>IF(B13="","",IF(G13="","",IF(G13=0,"",T13/G13)))</f>
        <v>0</v>
      </c>
      <c r="V13" s="26">
        <f>IF(B13="","",IF(G13="","",IF(P13=0,"",ROUND(G13/P13,2))))</f>
        <v>0</v>
      </c>
      <c r="W13" s="26">
        <f>IF(B13="","",IF(T13="","",IF(P13=0,"",ROUND(T13/P13,2))))</f>
        <v>0</v>
      </c>
      <c r="X13" s="26">
        <f>IF(B13="","",IF(P13=0,"",IF(ServiceCommission&gt;=1,"",(Q13+TargetChairRate*P13)/IF(J13="No",1,1-ServiceCommission))))</f>
        <v>0</v>
      </c>
      <c r="Y13" s="26">
        <f>IF(B13="","",IF(X13="","",ROUND(IF(RoundingRule="None",X13,IF(RoundingRule="Nearest 0.99",MAX(0.99,CEILING(X13,1)-0.01),IF(RoundingRule="Nearest 0.95",MAX(0.95,CEILING(X13,1)-0.05),IF(RoundingRule="Nearest 0.50",CEILING(X13,0.5),IF(RoundingRule="Nearest 1",CEILING(X13,1),IF(RoundingRule="Nearest 5",CEILING(X13,5),IF(RoundingRule="Up to whole 1",CEILING(X13,1),IF(RoundingRule="Up to whole 5",CEILING(X13,5),ROUND(X13,2))))))))),2)))</f>
        <v>0</v>
      </c>
      <c r="Z13" s="26">
        <f>IF(B13="","",IF(Y13="","",IF(G13="","",ROUND(G13-Y13,2))))</f>
        <v>0</v>
      </c>
      <c r="AA13" s="25">
        <f>IF(B13="","",COUNTIFS(Appointments!$G$5:$G$1204,A13))</f>
        <v>0</v>
      </c>
      <c r="AB13" s="25">
        <f>IF(B13="","",COUNTIFS(Appointments!$G$5:$G$1204,A13,Appointments!$M$5:$M$1204,"Completed"))</f>
        <v>0</v>
      </c>
      <c r="AC13" s="25">
        <f>IF(B13="","",SUMIFS(Sales!$K$5:$K$1204,Sales!$I$5:$I$1204,A13,Sales!$H$5:$H$1204,"Service"))</f>
        <v>0</v>
      </c>
      <c r="AD13" s="26">
        <f>IF(B13="","",ROUND(SUMIFS(Sales!$Y$5:$Y$1204,Sales!$I$5:$I$1204,A13,Sales!$H$5:$H$1204,"Service"),2))</f>
        <v>0</v>
      </c>
      <c r="AE13" s="27">
        <f>IF(B13="","",IF(ServiceRevenueAll=0,"",AD13/ServiceRevenueAll))</f>
        <v>0</v>
      </c>
      <c r="AF13" s="26">
        <f>IF(B13="","",ROUND(AC13*T13,2))</f>
        <v>0</v>
      </c>
      <c r="AG13" s="37">
        <f>IF(B13="","",ROUND(AC13*P13,1))</f>
        <v>0</v>
      </c>
      <c r="AH13" s="27">
        <f>IF(B13="","",IF(AB13=0,"",COUNTIFS(Sales!$I$5:$I$1204,A13,Sales!$AJ$5:$AJ$1204,"Yes")/AB13))</f>
        <v>0</v>
      </c>
      <c r="AI13" s="17">
        <f>IF(B13="","",IFERROR(IF(COUNTIFS(Appointments!$G$5:$G$1204,A13)=0,"",SUMPRODUCT(MAX((Appointments!$G$5:$G$1204=A13)*IFERROR(Appointments!$B$5:$B$1204*1,0)))),""))</f>
        <v>0</v>
      </c>
      <c r="AJ13" s="25">
        <f>IF(B13="","",COUNTIFS($AD$5:$AD$204,"&gt;"&amp;AD13)+COUNTIFS($AD$5:AD13,AD13))</f>
        <v>0</v>
      </c>
      <c r="AK13" s="25">
        <f>IF(B13="","",COUNTIFS($W$5:$W$204,"&gt;"&amp;W13)+COUNTIFS($W$5:W13,W13))</f>
        <v>0</v>
      </c>
      <c r="AL13" s="25">
        <f>IF(B13="","",COUNTIFS($AB$5:$AB$204,"&gt;"&amp;AB13)+COUNTIFS($AB$5:AB13,AB13))</f>
        <v>0</v>
      </c>
      <c r="AM13" s="39">
        <f>IF(B13="","",IF(G13="","Add - no price yet",IF(E13="","Add - how long does it take?",IF(T13&lt;0,"Loss - this service costs you money",IF(V13&lt;TargetChairRate*0.7,"Check - well under your chair rate",IF(IF(N13="",FALSE,TodayDate-N13&gt;PriceReviewDays),"Due - price has not been reviewed",IF(IF(M13="Active",AB13=0,FALSE),"Check - on the menu but never booked","OK")))))))</f>
        <v>0</v>
      </c>
    </row>
    <row r="14" spans="1:39">
      <c r="A14" s="28">
        <f>IF(B14="","",ServicePrefix&amp;TEXT(ROW()-4,"000"))</f>
        <v>0</v>
      </c>
      <c r="P14" s="42">
        <f>IF(B14="","",ROUND((IF(E14="",0,E14)+IF(F14="",0,F14))/60,3))</f>
        <v>0</v>
      </c>
      <c r="Q14" s="26">
        <f>IF(B14="","",IF(H14&lt;&gt;"",H14,IF(G14="",0,ROUND(G14*ProductCostPercent,2))))</f>
        <v>0</v>
      </c>
      <c r="R14" s="26">
        <f>IF(B14="","",IF(J14="No",0,IF(G14="",0,ROUND(G14*ServiceCommission,2))))</f>
        <v>0</v>
      </c>
      <c r="S14" s="26">
        <f>IF(B14="","",ROUND(Q14+R14,2))</f>
        <v>0</v>
      </c>
      <c r="T14" s="26">
        <f>IF(B14="","",IF(G14="","",ROUND(G14-S14,2)))</f>
        <v>0</v>
      </c>
      <c r="U14" s="27">
        <f>IF(B14="","",IF(G14="","",IF(G14=0,"",T14/G14)))</f>
        <v>0</v>
      </c>
      <c r="V14" s="26">
        <f>IF(B14="","",IF(G14="","",IF(P14=0,"",ROUND(G14/P14,2))))</f>
        <v>0</v>
      </c>
      <c r="W14" s="26">
        <f>IF(B14="","",IF(T14="","",IF(P14=0,"",ROUND(T14/P14,2))))</f>
        <v>0</v>
      </c>
      <c r="X14" s="26">
        <f>IF(B14="","",IF(P14=0,"",IF(ServiceCommission&gt;=1,"",(Q14+TargetChairRate*P14)/IF(J14="No",1,1-ServiceCommission))))</f>
        <v>0</v>
      </c>
      <c r="Y14" s="26">
        <f>IF(B14="","",IF(X14="","",ROUND(IF(RoundingRule="None",X14,IF(RoundingRule="Nearest 0.99",MAX(0.99,CEILING(X14,1)-0.01),IF(RoundingRule="Nearest 0.95",MAX(0.95,CEILING(X14,1)-0.05),IF(RoundingRule="Nearest 0.50",CEILING(X14,0.5),IF(RoundingRule="Nearest 1",CEILING(X14,1),IF(RoundingRule="Nearest 5",CEILING(X14,5),IF(RoundingRule="Up to whole 1",CEILING(X14,1),IF(RoundingRule="Up to whole 5",CEILING(X14,5),ROUND(X14,2))))))))),2)))</f>
        <v>0</v>
      </c>
      <c r="Z14" s="26">
        <f>IF(B14="","",IF(Y14="","",IF(G14="","",ROUND(G14-Y14,2))))</f>
        <v>0</v>
      </c>
      <c r="AA14" s="25">
        <f>IF(B14="","",COUNTIFS(Appointments!$G$5:$G$1204,A14))</f>
        <v>0</v>
      </c>
      <c r="AB14" s="25">
        <f>IF(B14="","",COUNTIFS(Appointments!$G$5:$G$1204,A14,Appointments!$M$5:$M$1204,"Completed"))</f>
        <v>0</v>
      </c>
      <c r="AC14" s="25">
        <f>IF(B14="","",SUMIFS(Sales!$K$5:$K$1204,Sales!$I$5:$I$1204,A14,Sales!$H$5:$H$1204,"Service"))</f>
        <v>0</v>
      </c>
      <c r="AD14" s="26">
        <f>IF(B14="","",ROUND(SUMIFS(Sales!$Y$5:$Y$1204,Sales!$I$5:$I$1204,A14,Sales!$H$5:$H$1204,"Service"),2))</f>
        <v>0</v>
      </c>
      <c r="AE14" s="27">
        <f>IF(B14="","",IF(ServiceRevenueAll=0,"",AD14/ServiceRevenueAll))</f>
        <v>0</v>
      </c>
      <c r="AF14" s="26">
        <f>IF(B14="","",ROUND(AC14*T14,2))</f>
        <v>0</v>
      </c>
      <c r="AG14" s="37">
        <f>IF(B14="","",ROUND(AC14*P14,1))</f>
        <v>0</v>
      </c>
      <c r="AH14" s="27">
        <f>IF(B14="","",IF(AB14=0,"",COUNTIFS(Sales!$I$5:$I$1204,A14,Sales!$AJ$5:$AJ$1204,"Yes")/AB14))</f>
        <v>0</v>
      </c>
      <c r="AI14" s="17">
        <f>IF(B14="","",IFERROR(IF(COUNTIFS(Appointments!$G$5:$G$1204,A14)=0,"",SUMPRODUCT(MAX((Appointments!$G$5:$G$1204=A14)*IFERROR(Appointments!$B$5:$B$1204*1,0)))),""))</f>
        <v>0</v>
      </c>
      <c r="AJ14" s="25">
        <f>IF(B14="","",COUNTIFS($AD$5:$AD$204,"&gt;"&amp;AD14)+COUNTIFS($AD$5:AD14,AD14))</f>
        <v>0</v>
      </c>
      <c r="AK14" s="25">
        <f>IF(B14="","",COUNTIFS($W$5:$W$204,"&gt;"&amp;W14)+COUNTIFS($W$5:W14,W14))</f>
        <v>0</v>
      </c>
      <c r="AL14" s="25">
        <f>IF(B14="","",COUNTIFS($AB$5:$AB$204,"&gt;"&amp;AB14)+COUNTIFS($AB$5:AB14,AB14))</f>
        <v>0</v>
      </c>
      <c r="AM14" s="39">
        <f>IF(B14="","",IF(G14="","Add - no price yet",IF(E14="","Add - how long does it take?",IF(T14&lt;0,"Loss - this service costs you money",IF(V14&lt;TargetChairRate*0.7,"Check - well under your chair rate",IF(IF(N14="",FALSE,TodayDate-N14&gt;PriceReviewDays),"Due - price has not been reviewed",IF(IF(M14="Active",AB14=0,FALSE),"Check - on the menu but never booked","OK")))))))</f>
        <v>0</v>
      </c>
    </row>
    <row r="15" spans="1:39">
      <c r="A15" s="28">
        <f>IF(B15="","",ServicePrefix&amp;TEXT(ROW()-4,"000"))</f>
        <v>0</v>
      </c>
      <c r="P15" s="42">
        <f>IF(B15="","",ROUND((IF(E15="",0,E15)+IF(F15="",0,F15))/60,3))</f>
        <v>0</v>
      </c>
      <c r="Q15" s="26">
        <f>IF(B15="","",IF(H15&lt;&gt;"",H15,IF(G15="",0,ROUND(G15*ProductCostPercent,2))))</f>
        <v>0</v>
      </c>
      <c r="R15" s="26">
        <f>IF(B15="","",IF(J15="No",0,IF(G15="",0,ROUND(G15*ServiceCommission,2))))</f>
        <v>0</v>
      </c>
      <c r="S15" s="26">
        <f>IF(B15="","",ROUND(Q15+R15,2))</f>
        <v>0</v>
      </c>
      <c r="T15" s="26">
        <f>IF(B15="","",IF(G15="","",ROUND(G15-S15,2)))</f>
        <v>0</v>
      </c>
      <c r="U15" s="27">
        <f>IF(B15="","",IF(G15="","",IF(G15=0,"",T15/G15)))</f>
        <v>0</v>
      </c>
      <c r="V15" s="26">
        <f>IF(B15="","",IF(G15="","",IF(P15=0,"",ROUND(G15/P15,2))))</f>
        <v>0</v>
      </c>
      <c r="W15" s="26">
        <f>IF(B15="","",IF(T15="","",IF(P15=0,"",ROUND(T15/P15,2))))</f>
        <v>0</v>
      </c>
      <c r="X15" s="26">
        <f>IF(B15="","",IF(P15=0,"",IF(ServiceCommission&gt;=1,"",(Q15+TargetChairRate*P15)/IF(J15="No",1,1-ServiceCommission))))</f>
        <v>0</v>
      </c>
      <c r="Y15" s="26">
        <f>IF(B15="","",IF(X15="","",ROUND(IF(RoundingRule="None",X15,IF(RoundingRule="Nearest 0.99",MAX(0.99,CEILING(X15,1)-0.01),IF(RoundingRule="Nearest 0.95",MAX(0.95,CEILING(X15,1)-0.05),IF(RoundingRule="Nearest 0.50",CEILING(X15,0.5),IF(RoundingRule="Nearest 1",CEILING(X15,1),IF(RoundingRule="Nearest 5",CEILING(X15,5),IF(RoundingRule="Up to whole 1",CEILING(X15,1),IF(RoundingRule="Up to whole 5",CEILING(X15,5),ROUND(X15,2))))))))),2)))</f>
        <v>0</v>
      </c>
      <c r="Z15" s="26">
        <f>IF(B15="","",IF(Y15="","",IF(G15="","",ROUND(G15-Y15,2))))</f>
        <v>0</v>
      </c>
      <c r="AA15" s="25">
        <f>IF(B15="","",COUNTIFS(Appointments!$G$5:$G$1204,A15))</f>
        <v>0</v>
      </c>
      <c r="AB15" s="25">
        <f>IF(B15="","",COUNTIFS(Appointments!$G$5:$G$1204,A15,Appointments!$M$5:$M$1204,"Completed"))</f>
        <v>0</v>
      </c>
      <c r="AC15" s="25">
        <f>IF(B15="","",SUMIFS(Sales!$K$5:$K$1204,Sales!$I$5:$I$1204,A15,Sales!$H$5:$H$1204,"Service"))</f>
        <v>0</v>
      </c>
      <c r="AD15" s="26">
        <f>IF(B15="","",ROUND(SUMIFS(Sales!$Y$5:$Y$1204,Sales!$I$5:$I$1204,A15,Sales!$H$5:$H$1204,"Service"),2))</f>
        <v>0</v>
      </c>
      <c r="AE15" s="27">
        <f>IF(B15="","",IF(ServiceRevenueAll=0,"",AD15/ServiceRevenueAll))</f>
        <v>0</v>
      </c>
      <c r="AF15" s="26">
        <f>IF(B15="","",ROUND(AC15*T15,2))</f>
        <v>0</v>
      </c>
      <c r="AG15" s="37">
        <f>IF(B15="","",ROUND(AC15*P15,1))</f>
        <v>0</v>
      </c>
      <c r="AH15" s="27">
        <f>IF(B15="","",IF(AB15=0,"",COUNTIFS(Sales!$I$5:$I$1204,A15,Sales!$AJ$5:$AJ$1204,"Yes")/AB15))</f>
        <v>0</v>
      </c>
      <c r="AI15" s="17">
        <f>IF(B15="","",IFERROR(IF(COUNTIFS(Appointments!$G$5:$G$1204,A15)=0,"",SUMPRODUCT(MAX((Appointments!$G$5:$G$1204=A15)*IFERROR(Appointments!$B$5:$B$1204*1,0)))),""))</f>
        <v>0</v>
      </c>
      <c r="AJ15" s="25">
        <f>IF(B15="","",COUNTIFS($AD$5:$AD$204,"&gt;"&amp;AD15)+COUNTIFS($AD$5:AD15,AD15))</f>
        <v>0</v>
      </c>
      <c r="AK15" s="25">
        <f>IF(B15="","",COUNTIFS($W$5:$W$204,"&gt;"&amp;W15)+COUNTIFS($W$5:W15,W15))</f>
        <v>0</v>
      </c>
      <c r="AL15" s="25">
        <f>IF(B15="","",COUNTIFS($AB$5:$AB$204,"&gt;"&amp;AB15)+COUNTIFS($AB$5:AB15,AB15))</f>
        <v>0</v>
      </c>
      <c r="AM15" s="39">
        <f>IF(B15="","",IF(G15="","Add - no price yet",IF(E15="","Add - how long does it take?",IF(T15&lt;0,"Loss - this service costs you money",IF(V15&lt;TargetChairRate*0.7,"Check - well under your chair rate",IF(IF(N15="",FALSE,TodayDate-N15&gt;PriceReviewDays),"Due - price has not been reviewed",IF(IF(M15="Active",AB15=0,FALSE),"Check - on the menu but never booked","OK")))))))</f>
        <v>0</v>
      </c>
    </row>
    <row r="16" spans="1:39">
      <c r="A16" s="28">
        <f>IF(B16="","",ServicePrefix&amp;TEXT(ROW()-4,"000"))</f>
        <v>0</v>
      </c>
      <c r="P16" s="42">
        <f>IF(B16="","",ROUND((IF(E16="",0,E16)+IF(F16="",0,F16))/60,3))</f>
        <v>0</v>
      </c>
      <c r="Q16" s="26">
        <f>IF(B16="","",IF(H16&lt;&gt;"",H16,IF(G16="",0,ROUND(G16*ProductCostPercent,2))))</f>
        <v>0</v>
      </c>
      <c r="R16" s="26">
        <f>IF(B16="","",IF(J16="No",0,IF(G16="",0,ROUND(G16*ServiceCommission,2))))</f>
        <v>0</v>
      </c>
      <c r="S16" s="26">
        <f>IF(B16="","",ROUND(Q16+R16,2))</f>
        <v>0</v>
      </c>
      <c r="T16" s="26">
        <f>IF(B16="","",IF(G16="","",ROUND(G16-S16,2)))</f>
        <v>0</v>
      </c>
      <c r="U16" s="27">
        <f>IF(B16="","",IF(G16="","",IF(G16=0,"",T16/G16)))</f>
        <v>0</v>
      </c>
      <c r="V16" s="26">
        <f>IF(B16="","",IF(G16="","",IF(P16=0,"",ROUND(G16/P16,2))))</f>
        <v>0</v>
      </c>
      <c r="W16" s="26">
        <f>IF(B16="","",IF(T16="","",IF(P16=0,"",ROUND(T16/P16,2))))</f>
        <v>0</v>
      </c>
      <c r="X16" s="26">
        <f>IF(B16="","",IF(P16=0,"",IF(ServiceCommission&gt;=1,"",(Q16+TargetChairRate*P16)/IF(J16="No",1,1-ServiceCommission))))</f>
        <v>0</v>
      </c>
      <c r="Y16" s="26">
        <f>IF(B16="","",IF(X16="","",ROUND(IF(RoundingRule="None",X16,IF(RoundingRule="Nearest 0.99",MAX(0.99,CEILING(X16,1)-0.01),IF(RoundingRule="Nearest 0.95",MAX(0.95,CEILING(X16,1)-0.05),IF(RoundingRule="Nearest 0.50",CEILING(X16,0.5),IF(RoundingRule="Nearest 1",CEILING(X16,1),IF(RoundingRule="Nearest 5",CEILING(X16,5),IF(RoundingRule="Up to whole 1",CEILING(X16,1),IF(RoundingRule="Up to whole 5",CEILING(X16,5),ROUND(X16,2))))))))),2)))</f>
        <v>0</v>
      </c>
      <c r="Z16" s="26">
        <f>IF(B16="","",IF(Y16="","",IF(G16="","",ROUND(G16-Y16,2))))</f>
        <v>0</v>
      </c>
      <c r="AA16" s="25">
        <f>IF(B16="","",COUNTIFS(Appointments!$G$5:$G$1204,A16))</f>
        <v>0</v>
      </c>
      <c r="AB16" s="25">
        <f>IF(B16="","",COUNTIFS(Appointments!$G$5:$G$1204,A16,Appointments!$M$5:$M$1204,"Completed"))</f>
        <v>0</v>
      </c>
      <c r="AC16" s="25">
        <f>IF(B16="","",SUMIFS(Sales!$K$5:$K$1204,Sales!$I$5:$I$1204,A16,Sales!$H$5:$H$1204,"Service"))</f>
        <v>0</v>
      </c>
      <c r="AD16" s="26">
        <f>IF(B16="","",ROUND(SUMIFS(Sales!$Y$5:$Y$1204,Sales!$I$5:$I$1204,A16,Sales!$H$5:$H$1204,"Service"),2))</f>
        <v>0</v>
      </c>
      <c r="AE16" s="27">
        <f>IF(B16="","",IF(ServiceRevenueAll=0,"",AD16/ServiceRevenueAll))</f>
        <v>0</v>
      </c>
      <c r="AF16" s="26">
        <f>IF(B16="","",ROUND(AC16*T16,2))</f>
        <v>0</v>
      </c>
      <c r="AG16" s="37">
        <f>IF(B16="","",ROUND(AC16*P16,1))</f>
        <v>0</v>
      </c>
      <c r="AH16" s="27">
        <f>IF(B16="","",IF(AB16=0,"",COUNTIFS(Sales!$I$5:$I$1204,A16,Sales!$AJ$5:$AJ$1204,"Yes")/AB16))</f>
        <v>0</v>
      </c>
      <c r="AI16" s="17">
        <f>IF(B16="","",IFERROR(IF(COUNTIFS(Appointments!$G$5:$G$1204,A16)=0,"",SUMPRODUCT(MAX((Appointments!$G$5:$G$1204=A16)*IFERROR(Appointments!$B$5:$B$1204*1,0)))),""))</f>
        <v>0</v>
      </c>
      <c r="AJ16" s="25">
        <f>IF(B16="","",COUNTIFS($AD$5:$AD$204,"&gt;"&amp;AD16)+COUNTIFS($AD$5:AD16,AD16))</f>
        <v>0</v>
      </c>
      <c r="AK16" s="25">
        <f>IF(B16="","",COUNTIFS($W$5:$W$204,"&gt;"&amp;W16)+COUNTIFS($W$5:W16,W16))</f>
        <v>0</v>
      </c>
      <c r="AL16" s="25">
        <f>IF(B16="","",COUNTIFS($AB$5:$AB$204,"&gt;"&amp;AB16)+COUNTIFS($AB$5:AB16,AB16))</f>
        <v>0</v>
      </c>
      <c r="AM16" s="39">
        <f>IF(B16="","",IF(G16="","Add - no price yet",IF(E16="","Add - how long does it take?",IF(T16&lt;0,"Loss - this service costs you money",IF(V16&lt;TargetChairRate*0.7,"Check - well under your chair rate",IF(IF(N16="",FALSE,TodayDate-N16&gt;PriceReviewDays),"Due - price has not been reviewed",IF(IF(M16="Active",AB16=0,FALSE),"Check - on the menu but never booked","OK")))))))</f>
        <v>0</v>
      </c>
    </row>
    <row r="17" spans="1:39">
      <c r="A17" s="28">
        <f>IF(B17="","",ServicePrefix&amp;TEXT(ROW()-4,"000"))</f>
        <v>0</v>
      </c>
      <c r="P17" s="42">
        <f>IF(B17="","",ROUND((IF(E17="",0,E17)+IF(F17="",0,F17))/60,3))</f>
        <v>0</v>
      </c>
      <c r="Q17" s="26">
        <f>IF(B17="","",IF(H17&lt;&gt;"",H17,IF(G17="",0,ROUND(G17*ProductCostPercent,2))))</f>
        <v>0</v>
      </c>
      <c r="R17" s="26">
        <f>IF(B17="","",IF(J17="No",0,IF(G17="",0,ROUND(G17*ServiceCommission,2))))</f>
        <v>0</v>
      </c>
      <c r="S17" s="26">
        <f>IF(B17="","",ROUND(Q17+R17,2))</f>
        <v>0</v>
      </c>
      <c r="T17" s="26">
        <f>IF(B17="","",IF(G17="","",ROUND(G17-S17,2)))</f>
        <v>0</v>
      </c>
      <c r="U17" s="27">
        <f>IF(B17="","",IF(G17="","",IF(G17=0,"",T17/G17)))</f>
        <v>0</v>
      </c>
      <c r="V17" s="26">
        <f>IF(B17="","",IF(G17="","",IF(P17=0,"",ROUND(G17/P17,2))))</f>
        <v>0</v>
      </c>
      <c r="W17" s="26">
        <f>IF(B17="","",IF(T17="","",IF(P17=0,"",ROUND(T17/P17,2))))</f>
        <v>0</v>
      </c>
      <c r="X17" s="26">
        <f>IF(B17="","",IF(P17=0,"",IF(ServiceCommission&gt;=1,"",(Q17+TargetChairRate*P17)/IF(J17="No",1,1-ServiceCommission))))</f>
        <v>0</v>
      </c>
      <c r="Y17" s="26">
        <f>IF(B17="","",IF(X17="","",ROUND(IF(RoundingRule="None",X17,IF(RoundingRule="Nearest 0.99",MAX(0.99,CEILING(X17,1)-0.01),IF(RoundingRule="Nearest 0.95",MAX(0.95,CEILING(X17,1)-0.05),IF(RoundingRule="Nearest 0.50",CEILING(X17,0.5),IF(RoundingRule="Nearest 1",CEILING(X17,1),IF(RoundingRule="Nearest 5",CEILING(X17,5),IF(RoundingRule="Up to whole 1",CEILING(X17,1),IF(RoundingRule="Up to whole 5",CEILING(X17,5),ROUND(X17,2))))))))),2)))</f>
        <v>0</v>
      </c>
      <c r="Z17" s="26">
        <f>IF(B17="","",IF(Y17="","",IF(G17="","",ROUND(G17-Y17,2))))</f>
        <v>0</v>
      </c>
      <c r="AA17" s="25">
        <f>IF(B17="","",COUNTIFS(Appointments!$G$5:$G$1204,A17))</f>
        <v>0</v>
      </c>
      <c r="AB17" s="25">
        <f>IF(B17="","",COUNTIFS(Appointments!$G$5:$G$1204,A17,Appointments!$M$5:$M$1204,"Completed"))</f>
        <v>0</v>
      </c>
      <c r="AC17" s="25">
        <f>IF(B17="","",SUMIFS(Sales!$K$5:$K$1204,Sales!$I$5:$I$1204,A17,Sales!$H$5:$H$1204,"Service"))</f>
        <v>0</v>
      </c>
      <c r="AD17" s="26">
        <f>IF(B17="","",ROUND(SUMIFS(Sales!$Y$5:$Y$1204,Sales!$I$5:$I$1204,A17,Sales!$H$5:$H$1204,"Service"),2))</f>
        <v>0</v>
      </c>
      <c r="AE17" s="27">
        <f>IF(B17="","",IF(ServiceRevenueAll=0,"",AD17/ServiceRevenueAll))</f>
        <v>0</v>
      </c>
      <c r="AF17" s="26">
        <f>IF(B17="","",ROUND(AC17*T17,2))</f>
        <v>0</v>
      </c>
      <c r="AG17" s="37">
        <f>IF(B17="","",ROUND(AC17*P17,1))</f>
        <v>0</v>
      </c>
      <c r="AH17" s="27">
        <f>IF(B17="","",IF(AB17=0,"",COUNTIFS(Sales!$I$5:$I$1204,A17,Sales!$AJ$5:$AJ$1204,"Yes")/AB17))</f>
        <v>0</v>
      </c>
      <c r="AI17" s="17">
        <f>IF(B17="","",IFERROR(IF(COUNTIFS(Appointments!$G$5:$G$1204,A17)=0,"",SUMPRODUCT(MAX((Appointments!$G$5:$G$1204=A17)*IFERROR(Appointments!$B$5:$B$1204*1,0)))),""))</f>
        <v>0</v>
      </c>
      <c r="AJ17" s="25">
        <f>IF(B17="","",COUNTIFS($AD$5:$AD$204,"&gt;"&amp;AD17)+COUNTIFS($AD$5:AD17,AD17))</f>
        <v>0</v>
      </c>
      <c r="AK17" s="25">
        <f>IF(B17="","",COUNTIFS($W$5:$W$204,"&gt;"&amp;W17)+COUNTIFS($W$5:W17,W17))</f>
        <v>0</v>
      </c>
      <c r="AL17" s="25">
        <f>IF(B17="","",COUNTIFS($AB$5:$AB$204,"&gt;"&amp;AB17)+COUNTIFS($AB$5:AB17,AB17))</f>
        <v>0</v>
      </c>
      <c r="AM17" s="39">
        <f>IF(B17="","",IF(G17="","Add - no price yet",IF(E17="","Add - how long does it take?",IF(T17&lt;0,"Loss - this service costs you money",IF(V17&lt;TargetChairRate*0.7,"Check - well under your chair rate",IF(IF(N17="",FALSE,TodayDate-N17&gt;PriceReviewDays),"Due - price has not been reviewed",IF(IF(M17="Active",AB17=0,FALSE),"Check - on the menu but never booked","OK")))))))</f>
        <v>0</v>
      </c>
    </row>
    <row r="18" spans="1:39">
      <c r="A18" s="28">
        <f>IF(B18="","",ServicePrefix&amp;TEXT(ROW()-4,"000"))</f>
        <v>0</v>
      </c>
      <c r="P18" s="42">
        <f>IF(B18="","",ROUND((IF(E18="",0,E18)+IF(F18="",0,F18))/60,3))</f>
        <v>0</v>
      </c>
      <c r="Q18" s="26">
        <f>IF(B18="","",IF(H18&lt;&gt;"",H18,IF(G18="",0,ROUND(G18*ProductCostPercent,2))))</f>
        <v>0</v>
      </c>
      <c r="R18" s="26">
        <f>IF(B18="","",IF(J18="No",0,IF(G18="",0,ROUND(G18*ServiceCommission,2))))</f>
        <v>0</v>
      </c>
      <c r="S18" s="26">
        <f>IF(B18="","",ROUND(Q18+R18,2))</f>
        <v>0</v>
      </c>
      <c r="T18" s="26">
        <f>IF(B18="","",IF(G18="","",ROUND(G18-S18,2)))</f>
        <v>0</v>
      </c>
      <c r="U18" s="27">
        <f>IF(B18="","",IF(G18="","",IF(G18=0,"",T18/G18)))</f>
        <v>0</v>
      </c>
      <c r="V18" s="26">
        <f>IF(B18="","",IF(G18="","",IF(P18=0,"",ROUND(G18/P18,2))))</f>
        <v>0</v>
      </c>
      <c r="W18" s="26">
        <f>IF(B18="","",IF(T18="","",IF(P18=0,"",ROUND(T18/P18,2))))</f>
        <v>0</v>
      </c>
      <c r="X18" s="26">
        <f>IF(B18="","",IF(P18=0,"",IF(ServiceCommission&gt;=1,"",(Q18+TargetChairRate*P18)/IF(J18="No",1,1-ServiceCommission))))</f>
        <v>0</v>
      </c>
      <c r="Y18" s="26">
        <f>IF(B18="","",IF(X18="","",ROUND(IF(RoundingRule="None",X18,IF(RoundingRule="Nearest 0.99",MAX(0.99,CEILING(X18,1)-0.01),IF(RoundingRule="Nearest 0.95",MAX(0.95,CEILING(X18,1)-0.05),IF(RoundingRule="Nearest 0.50",CEILING(X18,0.5),IF(RoundingRule="Nearest 1",CEILING(X18,1),IF(RoundingRule="Nearest 5",CEILING(X18,5),IF(RoundingRule="Up to whole 1",CEILING(X18,1),IF(RoundingRule="Up to whole 5",CEILING(X18,5),ROUND(X18,2))))))))),2)))</f>
        <v>0</v>
      </c>
      <c r="Z18" s="26">
        <f>IF(B18="","",IF(Y18="","",IF(G18="","",ROUND(G18-Y18,2))))</f>
        <v>0</v>
      </c>
      <c r="AA18" s="25">
        <f>IF(B18="","",COUNTIFS(Appointments!$G$5:$G$1204,A18))</f>
        <v>0</v>
      </c>
      <c r="AB18" s="25">
        <f>IF(B18="","",COUNTIFS(Appointments!$G$5:$G$1204,A18,Appointments!$M$5:$M$1204,"Completed"))</f>
        <v>0</v>
      </c>
      <c r="AC18" s="25">
        <f>IF(B18="","",SUMIFS(Sales!$K$5:$K$1204,Sales!$I$5:$I$1204,A18,Sales!$H$5:$H$1204,"Service"))</f>
        <v>0</v>
      </c>
      <c r="AD18" s="26">
        <f>IF(B18="","",ROUND(SUMIFS(Sales!$Y$5:$Y$1204,Sales!$I$5:$I$1204,A18,Sales!$H$5:$H$1204,"Service"),2))</f>
        <v>0</v>
      </c>
      <c r="AE18" s="27">
        <f>IF(B18="","",IF(ServiceRevenueAll=0,"",AD18/ServiceRevenueAll))</f>
        <v>0</v>
      </c>
      <c r="AF18" s="26">
        <f>IF(B18="","",ROUND(AC18*T18,2))</f>
        <v>0</v>
      </c>
      <c r="AG18" s="37">
        <f>IF(B18="","",ROUND(AC18*P18,1))</f>
        <v>0</v>
      </c>
      <c r="AH18" s="27">
        <f>IF(B18="","",IF(AB18=0,"",COUNTIFS(Sales!$I$5:$I$1204,A18,Sales!$AJ$5:$AJ$1204,"Yes")/AB18))</f>
        <v>0</v>
      </c>
      <c r="AI18" s="17">
        <f>IF(B18="","",IFERROR(IF(COUNTIFS(Appointments!$G$5:$G$1204,A18)=0,"",SUMPRODUCT(MAX((Appointments!$G$5:$G$1204=A18)*IFERROR(Appointments!$B$5:$B$1204*1,0)))),""))</f>
        <v>0</v>
      </c>
      <c r="AJ18" s="25">
        <f>IF(B18="","",COUNTIFS($AD$5:$AD$204,"&gt;"&amp;AD18)+COUNTIFS($AD$5:AD18,AD18))</f>
        <v>0</v>
      </c>
      <c r="AK18" s="25">
        <f>IF(B18="","",COUNTIFS($W$5:$W$204,"&gt;"&amp;W18)+COUNTIFS($W$5:W18,W18))</f>
        <v>0</v>
      </c>
      <c r="AL18" s="25">
        <f>IF(B18="","",COUNTIFS($AB$5:$AB$204,"&gt;"&amp;AB18)+COUNTIFS($AB$5:AB18,AB18))</f>
        <v>0</v>
      </c>
      <c r="AM18" s="39">
        <f>IF(B18="","",IF(G18="","Add - no price yet",IF(E18="","Add - how long does it take?",IF(T18&lt;0,"Loss - this service costs you money",IF(V18&lt;TargetChairRate*0.7,"Check - well under your chair rate",IF(IF(N18="",FALSE,TodayDate-N18&gt;PriceReviewDays),"Due - price has not been reviewed",IF(IF(M18="Active",AB18=0,FALSE),"Check - on the menu but never booked","OK")))))))</f>
        <v>0</v>
      </c>
    </row>
    <row r="19" spans="1:39">
      <c r="A19" s="28">
        <f>IF(B19="","",ServicePrefix&amp;TEXT(ROW()-4,"000"))</f>
        <v>0</v>
      </c>
      <c r="P19" s="42">
        <f>IF(B19="","",ROUND((IF(E19="",0,E19)+IF(F19="",0,F19))/60,3))</f>
        <v>0</v>
      </c>
      <c r="Q19" s="26">
        <f>IF(B19="","",IF(H19&lt;&gt;"",H19,IF(G19="",0,ROUND(G19*ProductCostPercent,2))))</f>
        <v>0</v>
      </c>
      <c r="R19" s="26">
        <f>IF(B19="","",IF(J19="No",0,IF(G19="",0,ROUND(G19*ServiceCommission,2))))</f>
        <v>0</v>
      </c>
      <c r="S19" s="26">
        <f>IF(B19="","",ROUND(Q19+R19,2))</f>
        <v>0</v>
      </c>
      <c r="T19" s="26">
        <f>IF(B19="","",IF(G19="","",ROUND(G19-S19,2)))</f>
        <v>0</v>
      </c>
      <c r="U19" s="27">
        <f>IF(B19="","",IF(G19="","",IF(G19=0,"",T19/G19)))</f>
        <v>0</v>
      </c>
      <c r="V19" s="26">
        <f>IF(B19="","",IF(G19="","",IF(P19=0,"",ROUND(G19/P19,2))))</f>
        <v>0</v>
      </c>
      <c r="W19" s="26">
        <f>IF(B19="","",IF(T19="","",IF(P19=0,"",ROUND(T19/P19,2))))</f>
        <v>0</v>
      </c>
      <c r="X19" s="26">
        <f>IF(B19="","",IF(P19=0,"",IF(ServiceCommission&gt;=1,"",(Q19+TargetChairRate*P19)/IF(J19="No",1,1-ServiceCommission))))</f>
        <v>0</v>
      </c>
      <c r="Y19" s="26">
        <f>IF(B19="","",IF(X19="","",ROUND(IF(RoundingRule="None",X19,IF(RoundingRule="Nearest 0.99",MAX(0.99,CEILING(X19,1)-0.01),IF(RoundingRule="Nearest 0.95",MAX(0.95,CEILING(X19,1)-0.05),IF(RoundingRule="Nearest 0.50",CEILING(X19,0.5),IF(RoundingRule="Nearest 1",CEILING(X19,1),IF(RoundingRule="Nearest 5",CEILING(X19,5),IF(RoundingRule="Up to whole 1",CEILING(X19,1),IF(RoundingRule="Up to whole 5",CEILING(X19,5),ROUND(X19,2))))))))),2)))</f>
        <v>0</v>
      </c>
      <c r="Z19" s="26">
        <f>IF(B19="","",IF(Y19="","",IF(G19="","",ROUND(G19-Y19,2))))</f>
        <v>0</v>
      </c>
      <c r="AA19" s="25">
        <f>IF(B19="","",COUNTIFS(Appointments!$G$5:$G$1204,A19))</f>
        <v>0</v>
      </c>
      <c r="AB19" s="25">
        <f>IF(B19="","",COUNTIFS(Appointments!$G$5:$G$1204,A19,Appointments!$M$5:$M$1204,"Completed"))</f>
        <v>0</v>
      </c>
      <c r="AC19" s="25">
        <f>IF(B19="","",SUMIFS(Sales!$K$5:$K$1204,Sales!$I$5:$I$1204,A19,Sales!$H$5:$H$1204,"Service"))</f>
        <v>0</v>
      </c>
      <c r="AD19" s="26">
        <f>IF(B19="","",ROUND(SUMIFS(Sales!$Y$5:$Y$1204,Sales!$I$5:$I$1204,A19,Sales!$H$5:$H$1204,"Service"),2))</f>
        <v>0</v>
      </c>
      <c r="AE19" s="27">
        <f>IF(B19="","",IF(ServiceRevenueAll=0,"",AD19/ServiceRevenueAll))</f>
        <v>0</v>
      </c>
      <c r="AF19" s="26">
        <f>IF(B19="","",ROUND(AC19*T19,2))</f>
        <v>0</v>
      </c>
      <c r="AG19" s="37">
        <f>IF(B19="","",ROUND(AC19*P19,1))</f>
        <v>0</v>
      </c>
      <c r="AH19" s="27">
        <f>IF(B19="","",IF(AB19=0,"",COUNTIFS(Sales!$I$5:$I$1204,A19,Sales!$AJ$5:$AJ$1204,"Yes")/AB19))</f>
        <v>0</v>
      </c>
      <c r="AI19" s="17">
        <f>IF(B19="","",IFERROR(IF(COUNTIFS(Appointments!$G$5:$G$1204,A19)=0,"",SUMPRODUCT(MAX((Appointments!$G$5:$G$1204=A19)*IFERROR(Appointments!$B$5:$B$1204*1,0)))),""))</f>
        <v>0</v>
      </c>
      <c r="AJ19" s="25">
        <f>IF(B19="","",COUNTIFS($AD$5:$AD$204,"&gt;"&amp;AD19)+COUNTIFS($AD$5:AD19,AD19))</f>
        <v>0</v>
      </c>
      <c r="AK19" s="25">
        <f>IF(B19="","",COUNTIFS($W$5:$W$204,"&gt;"&amp;W19)+COUNTIFS($W$5:W19,W19))</f>
        <v>0</v>
      </c>
      <c r="AL19" s="25">
        <f>IF(B19="","",COUNTIFS($AB$5:$AB$204,"&gt;"&amp;AB19)+COUNTIFS($AB$5:AB19,AB19))</f>
        <v>0</v>
      </c>
      <c r="AM19" s="39">
        <f>IF(B19="","",IF(G19="","Add - no price yet",IF(E19="","Add - how long does it take?",IF(T19&lt;0,"Loss - this service costs you money",IF(V19&lt;TargetChairRate*0.7,"Check - well under your chair rate",IF(IF(N19="",FALSE,TodayDate-N19&gt;PriceReviewDays),"Due - price has not been reviewed",IF(IF(M19="Active",AB19=0,FALSE),"Check - on the menu but never booked","OK")))))))</f>
        <v>0</v>
      </c>
    </row>
    <row r="20" spans="1:39">
      <c r="A20" s="28">
        <f>IF(B20="","",ServicePrefix&amp;TEXT(ROW()-4,"000"))</f>
        <v>0</v>
      </c>
      <c r="P20" s="42">
        <f>IF(B20="","",ROUND((IF(E20="",0,E20)+IF(F20="",0,F20))/60,3))</f>
        <v>0</v>
      </c>
      <c r="Q20" s="26">
        <f>IF(B20="","",IF(H20&lt;&gt;"",H20,IF(G20="",0,ROUND(G20*ProductCostPercent,2))))</f>
        <v>0</v>
      </c>
      <c r="R20" s="26">
        <f>IF(B20="","",IF(J20="No",0,IF(G20="",0,ROUND(G20*ServiceCommission,2))))</f>
        <v>0</v>
      </c>
      <c r="S20" s="26">
        <f>IF(B20="","",ROUND(Q20+R20,2))</f>
        <v>0</v>
      </c>
      <c r="T20" s="26">
        <f>IF(B20="","",IF(G20="","",ROUND(G20-S20,2)))</f>
        <v>0</v>
      </c>
      <c r="U20" s="27">
        <f>IF(B20="","",IF(G20="","",IF(G20=0,"",T20/G20)))</f>
        <v>0</v>
      </c>
      <c r="V20" s="26">
        <f>IF(B20="","",IF(G20="","",IF(P20=0,"",ROUND(G20/P20,2))))</f>
        <v>0</v>
      </c>
      <c r="W20" s="26">
        <f>IF(B20="","",IF(T20="","",IF(P20=0,"",ROUND(T20/P20,2))))</f>
        <v>0</v>
      </c>
      <c r="X20" s="26">
        <f>IF(B20="","",IF(P20=0,"",IF(ServiceCommission&gt;=1,"",(Q20+TargetChairRate*P20)/IF(J20="No",1,1-ServiceCommission))))</f>
        <v>0</v>
      </c>
      <c r="Y20" s="26">
        <f>IF(B20="","",IF(X20="","",ROUND(IF(RoundingRule="None",X20,IF(RoundingRule="Nearest 0.99",MAX(0.99,CEILING(X20,1)-0.01),IF(RoundingRule="Nearest 0.95",MAX(0.95,CEILING(X20,1)-0.05),IF(RoundingRule="Nearest 0.50",CEILING(X20,0.5),IF(RoundingRule="Nearest 1",CEILING(X20,1),IF(RoundingRule="Nearest 5",CEILING(X20,5),IF(RoundingRule="Up to whole 1",CEILING(X20,1),IF(RoundingRule="Up to whole 5",CEILING(X20,5),ROUND(X20,2))))))))),2)))</f>
        <v>0</v>
      </c>
      <c r="Z20" s="26">
        <f>IF(B20="","",IF(Y20="","",IF(G20="","",ROUND(G20-Y20,2))))</f>
        <v>0</v>
      </c>
      <c r="AA20" s="25">
        <f>IF(B20="","",COUNTIFS(Appointments!$G$5:$G$1204,A20))</f>
        <v>0</v>
      </c>
      <c r="AB20" s="25">
        <f>IF(B20="","",COUNTIFS(Appointments!$G$5:$G$1204,A20,Appointments!$M$5:$M$1204,"Completed"))</f>
        <v>0</v>
      </c>
      <c r="AC20" s="25">
        <f>IF(B20="","",SUMIFS(Sales!$K$5:$K$1204,Sales!$I$5:$I$1204,A20,Sales!$H$5:$H$1204,"Service"))</f>
        <v>0</v>
      </c>
      <c r="AD20" s="26">
        <f>IF(B20="","",ROUND(SUMIFS(Sales!$Y$5:$Y$1204,Sales!$I$5:$I$1204,A20,Sales!$H$5:$H$1204,"Service"),2))</f>
        <v>0</v>
      </c>
      <c r="AE20" s="27">
        <f>IF(B20="","",IF(ServiceRevenueAll=0,"",AD20/ServiceRevenueAll))</f>
        <v>0</v>
      </c>
      <c r="AF20" s="26">
        <f>IF(B20="","",ROUND(AC20*T20,2))</f>
        <v>0</v>
      </c>
      <c r="AG20" s="37">
        <f>IF(B20="","",ROUND(AC20*P20,1))</f>
        <v>0</v>
      </c>
      <c r="AH20" s="27">
        <f>IF(B20="","",IF(AB20=0,"",COUNTIFS(Sales!$I$5:$I$1204,A20,Sales!$AJ$5:$AJ$1204,"Yes")/AB20))</f>
        <v>0</v>
      </c>
      <c r="AI20" s="17">
        <f>IF(B20="","",IFERROR(IF(COUNTIFS(Appointments!$G$5:$G$1204,A20)=0,"",SUMPRODUCT(MAX((Appointments!$G$5:$G$1204=A20)*IFERROR(Appointments!$B$5:$B$1204*1,0)))),""))</f>
        <v>0</v>
      </c>
      <c r="AJ20" s="25">
        <f>IF(B20="","",COUNTIFS($AD$5:$AD$204,"&gt;"&amp;AD20)+COUNTIFS($AD$5:AD20,AD20))</f>
        <v>0</v>
      </c>
      <c r="AK20" s="25">
        <f>IF(B20="","",COUNTIFS($W$5:$W$204,"&gt;"&amp;W20)+COUNTIFS($W$5:W20,W20))</f>
        <v>0</v>
      </c>
      <c r="AL20" s="25">
        <f>IF(B20="","",COUNTIFS($AB$5:$AB$204,"&gt;"&amp;AB20)+COUNTIFS($AB$5:AB20,AB20))</f>
        <v>0</v>
      </c>
      <c r="AM20" s="39">
        <f>IF(B20="","",IF(G20="","Add - no price yet",IF(E20="","Add - how long does it take?",IF(T20&lt;0,"Loss - this service costs you money",IF(V20&lt;TargetChairRate*0.7,"Check - well under your chair rate",IF(IF(N20="",FALSE,TodayDate-N20&gt;PriceReviewDays),"Due - price has not been reviewed",IF(IF(M20="Active",AB20=0,FALSE),"Check - on the menu but never booked","OK")))))))</f>
        <v>0</v>
      </c>
    </row>
    <row r="21" spans="1:39">
      <c r="A21" s="28">
        <f>IF(B21="","",ServicePrefix&amp;TEXT(ROW()-4,"000"))</f>
        <v>0</v>
      </c>
      <c r="P21" s="42">
        <f>IF(B21="","",ROUND((IF(E21="",0,E21)+IF(F21="",0,F21))/60,3))</f>
        <v>0</v>
      </c>
      <c r="Q21" s="26">
        <f>IF(B21="","",IF(H21&lt;&gt;"",H21,IF(G21="",0,ROUND(G21*ProductCostPercent,2))))</f>
        <v>0</v>
      </c>
      <c r="R21" s="26">
        <f>IF(B21="","",IF(J21="No",0,IF(G21="",0,ROUND(G21*ServiceCommission,2))))</f>
        <v>0</v>
      </c>
      <c r="S21" s="26">
        <f>IF(B21="","",ROUND(Q21+R21,2))</f>
        <v>0</v>
      </c>
      <c r="T21" s="26">
        <f>IF(B21="","",IF(G21="","",ROUND(G21-S21,2)))</f>
        <v>0</v>
      </c>
      <c r="U21" s="27">
        <f>IF(B21="","",IF(G21="","",IF(G21=0,"",T21/G21)))</f>
        <v>0</v>
      </c>
      <c r="V21" s="26">
        <f>IF(B21="","",IF(G21="","",IF(P21=0,"",ROUND(G21/P21,2))))</f>
        <v>0</v>
      </c>
      <c r="W21" s="26">
        <f>IF(B21="","",IF(T21="","",IF(P21=0,"",ROUND(T21/P21,2))))</f>
        <v>0</v>
      </c>
      <c r="X21" s="26">
        <f>IF(B21="","",IF(P21=0,"",IF(ServiceCommission&gt;=1,"",(Q21+TargetChairRate*P21)/IF(J21="No",1,1-ServiceCommission))))</f>
        <v>0</v>
      </c>
      <c r="Y21" s="26">
        <f>IF(B21="","",IF(X21="","",ROUND(IF(RoundingRule="None",X21,IF(RoundingRule="Nearest 0.99",MAX(0.99,CEILING(X21,1)-0.01),IF(RoundingRule="Nearest 0.95",MAX(0.95,CEILING(X21,1)-0.05),IF(RoundingRule="Nearest 0.50",CEILING(X21,0.5),IF(RoundingRule="Nearest 1",CEILING(X21,1),IF(RoundingRule="Nearest 5",CEILING(X21,5),IF(RoundingRule="Up to whole 1",CEILING(X21,1),IF(RoundingRule="Up to whole 5",CEILING(X21,5),ROUND(X21,2))))))))),2)))</f>
        <v>0</v>
      </c>
      <c r="Z21" s="26">
        <f>IF(B21="","",IF(Y21="","",IF(G21="","",ROUND(G21-Y21,2))))</f>
        <v>0</v>
      </c>
      <c r="AA21" s="25">
        <f>IF(B21="","",COUNTIFS(Appointments!$G$5:$G$1204,A21))</f>
        <v>0</v>
      </c>
      <c r="AB21" s="25">
        <f>IF(B21="","",COUNTIFS(Appointments!$G$5:$G$1204,A21,Appointments!$M$5:$M$1204,"Completed"))</f>
        <v>0</v>
      </c>
      <c r="AC21" s="25">
        <f>IF(B21="","",SUMIFS(Sales!$K$5:$K$1204,Sales!$I$5:$I$1204,A21,Sales!$H$5:$H$1204,"Service"))</f>
        <v>0</v>
      </c>
      <c r="AD21" s="26">
        <f>IF(B21="","",ROUND(SUMIFS(Sales!$Y$5:$Y$1204,Sales!$I$5:$I$1204,A21,Sales!$H$5:$H$1204,"Service"),2))</f>
        <v>0</v>
      </c>
      <c r="AE21" s="27">
        <f>IF(B21="","",IF(ServiceRevenueAll=0,"",AD21/ServiceRevenueAll))</f>
        <v>0</v>
      </c>
      <c r="AF21" s="26">
        <f>IF(B21="","",ROUND(AC21*T21,2))</f>
        <v>0</v>
      </c>
      <c r="AG21" s="37">
        <f>IF(B21="","",ROUND(AC21*P21,1))</f>
        <v>0</v>
      </c>
      <c r="AH21" s="27">
        <f>IF(B21="","",IF(AB21=0,"",COUNTIFS(Sales!$I$5:$I$1204,A21,Sales!$AJ$5:$AJ$1204,"Yes")/AB21))</f>
        <v>0</v>
      </c>
      <c r="AI21" s="17">
        <f>IF(B21="","",IFERROR(IF(COUNTIFS(Appointments!$G$5:$G$1204,A21)=0,"",SUMPRODUCT(MAX((Appointments!$G$5:$G$1204=A21)*IFERROR(Appointments!$B$5:$B$1204*1,0)))),""))</f>
        <v>0</v>
      </c>
      <c r="AJ21" s="25">
        <f>IF(B21="","",COUNTIFS($AD$5:$AD$204,"&gt;"&amp;AD21)+COUNTIFS($AD$5:AD21,AD21))</f>
        <v>0</v>
      </c>
      <c r="AK21" s="25">
        <f>IF(B21="","",COUNTIFS($W$5:$W$204,"&gt;"&amp;W21)+COUNTIFS($W$5:W21,W21))</f>
        <v>0</v>
      </c>
      <c r="AL21" s="25">
        <f>IF(B21="","",COUNTIFS($AB$5:$AB$204,"&gt;"&amp;AB21)+COUNTIFS($AB$5:AB21,AB21))</f>
        <v>0</v>
      </c>
      <c r="AM21" s="39">
        <f>IF(B21="","",IF(G21="","Add - no price yet",IF(E21="","Add - how long does it take?",IF(T21&lt;0,"Loss - this service costs you money",IF(V21&lt;TargetChairRate*0.7,"Check - well under your chair rate",IF(IF(N21="",FALSE,TodayDate-N21&gt;PriceReviewDays),"Due - price has not been reviewed",IF(IF(M21="Active",AB21=0,FALSE),"Check - on the menu but never booked","OK")))))))</f>
        <v>0</v>
      </c>
    </row>
    <row r="22" spans="1:39">
      <c r="A22" s="28">
        <f>IF(B22="","",ServicePrefix&amp;TEXT(ROW()-4,"000"))</f>
        <v>0</v>
      </c>
      <c r="P22" s="42">
        <f>IF(B22="","",ROUND((IF(E22="",0,E22)+IF(F22="",0,F22))/60,3))</f>
        <v>0</v>
      </c>
      <c r="Q22" s="26">
        <f>IF(B22="","",IF(H22&lt;&gt;"",H22,IF(G22="",0,ROUND(G22*ProductCostPercent,2))))</f>
        <v>0</v>
      </c>
      <c r="R22" s="26">
        <f>IF(B22="","",IF(J22="No",0,IF(G22="",0,ROUND(G22*ServiceCommission,2))))</f>
        <v>0</v>
      </c>
      <c r="S22" s="26">
        <f>IF(B22="","",ROUND(Q22+R22,2))</f>
        <v>0</v>
      </c>
      <c r="T22" s="26">
        <f>IF(B22="","",IF(G22="","",ROUND(G22-S22,2)))</f>
        <v>0</v>
      </c>
      <c r="U22" s="27">
        <f>IF(B22="","",IF(G22="","",IF(G22=0,"",T22/G22)))</f>
        <v>0</v>
      </c>
      <c r="V22" s="26">
        <f>IF(B22="","",IF(G22="","",IF(P22=0,"",ROUND(G22/P22,2))))</f>
        <v>0</v>
      </c>
      <c r="W22" s="26">
        <f>IF(B22="","",IF(T22="","",IF(P22=0,"",ROUND(T22/P22,2))))</f>
        <v>0</v>
      </c>
      <c r="X22" s="26">
        <f>IF(B22="","",IF(P22=0,"",IF(ServiceCommission&gt;=1,"",(Q22+TargetChairRate*P22)/IF(J22="No",1,1-ServiceCommission))))</f>
        <v>0</v>
      </c>
      <c r="Y22" s="26">
        <f>IF(B22="","",IF(X22="","",ROUND(IF(RoundingRule="None",X22,IF(RoundingRule="Nearest 0.99",MAX(0.99,CEILING(X22,1)-0.01),IF(RoundingRule="Nearest 0.95",MAX(0.95,CEILING(X22,1)-0.05),IF(RoundingRule="Nearest 0.50",CEILING(X22,0.5),IF(RoundingRule="Nearest 1",CEILING(X22,1),IF(RoundingRule="Nearest 5",CEILING(X22,5),IF(RoundingRule="Up to whole 1",CEILING(X22,1),IF(RoundingRule="Up to whole 5",CEILING(X22,5),ROUND(X22,2))))))))),2)))</f>
        <v>0</v>
      </c>
      <c r="Z22" s="26">
        <f>IF(B22="","",IF(Y22="","",IF(G22="","",ROUND(G22-Y22,2))))</f>
        <v>0</v>
      </c>
      <c r="AA22" s="25">
        <f>IF(B22="","",COUNTIFS(Appointments!$G$5:$G$1204,A22))</f>
        <v>0</v>
      </c>
      <c r="AB22" s="25">
        <f>IF(B22="","",COUNTIFS(Appointments!$G$5:$G$1204,A22,Appointments!$M$5:$M$1204,"Completed"))</f>
        <v>0</v>
      </c>
      <c r="AC22" s="25">
        <f>IF(B22="","",SUMIFS(Sales!$K$5:$K$1204,Sales!$I$5:$I$1204,A22,Sales!$H$5:$H$1204,"Service"))</f>
        <v>0</v>
      </c>
      <c r="AD22" s="26">
        <f>IF(B22="","",ROUND(SUMIFS(Sales!$Y$5:$Y$1204,Sales!$I$5:$I$1204,A22,Sales!$H$5:$H$1204,"Service"),2))</f>
        <v>0</v>
      </c>
      <c r="AE22" s="27">
        <f>IF(B22="","",IF(ServiceRevenueAll=0,"",AD22/ServiceRevenueAll))</f>
        <v>0</v>
      </c>
      <c r="AF22" s="26">
        <f>IF(B22="","",ROUND(AC22*T22,2))</f>
        <v>0</v>
      </c>
      <c r="AG22" s="37">
        <f>IF(B22="","",ROUND(AC22*P22,1))</f>
        <v>0</v>
      </c>
      <c r="AH22" s="27">
        <f>IF(B22="","",IF(AB22=0,"",COUNTIFS(Sales!$I$5:$I$1204,A22,Sales!$AJ$5:$AJ$1204,"Yes")/AB22))</f>
        <v>0</v>
      </c>
      <c r="AI22" s="17">
        <f>IF(B22="","",IFERROR(IF(COUNTIFS(Appointments!$G$5:$G$1204,A22)=0,"",SUMPRODUCT(MAX((Appointments!$G$5:$G$1204=A22)*IFERROR(Appointments!$B$5:$B$1204*1,0)))),""))</f>
        <v>0</v>
      </c>
      <c r="AJ22" s="25">
        <f>IF(B22="","",COUNTIFS($AD$5:$AD$204,"&gt;"&amp;AD22)+COUNTIFS($AD$5:AD22,AD22))</f>
        <v>0</v>
      </c>
      <c r="AK22" s="25">
        <f>IF(B22="","",COUNTIFS($W$5:$W$204,"&gt;"&amp;W22)+COUNTIFS($W$5:W22,W22))</f>
        <v>0</v>
      </c>
      <c r="AL22" s="25">
        <f>IF(B22="","",COUNTIFS($AB$5:$AB$204,"&gt;"&amp;AB22)+COUNTIFS($AB$5:AB22,AB22))</f>
        <v>0</v>
      </c>
      <c r="AM22" s="39">
        <f>IF(B22="","",IF(G22="","Add - no price yet",IF(E22="","Add - how long does it take?",IF(T22&lt;0,"Loss - this service costs you money",IF(V22&lt;TargetChairRate*0.7,"Check - well under your chair rate",IF(IF(N22="",FALSE,TodayDate-N22&gt;PriceReviewDays),"Due - price has not been reviewed",IF(IF(M22="Active",AB22=0,FALSE),"Check - on the menu but never booked","OK")))))))</f>
        <v>0</v>
      </c>
    </row>
    <row r="23" spans="1:39">
      <c r="A23" s="28">
        <f>IF(B23="","",ServicePrefix&amp;TEXT(ROW()-4,"000"))</f>
        <v>0</v>
      </c>
      <c r="P23" s="42">
        <f>IF(B23="","",ROUND((IF(E23="",0,E23)+IF(F23="",0,F23))/60,3))</f>
        <v>0</v>
      </c>
      <c r="Q23" s="26">
        <f>IF(B23="","",IF(H23&lt;&gt;"",H23,IF(G23="",0,ROUND(G23*ProductCostPercent,2))))</f>
        <v>0</v>
      </c>
      <c r="R23" s="26">
        <f>IF(B23="","",IF(J23="No",0,IF(G23="",0,ROUND(G23*ServiceCommission,2))))</f>
        <v>0</v>
      </c>
      <c r="S23" s="26">
        <f>IF(B23="","",ROUND(Q23+R23,2))</f>
        <v>0</v>
      </c>
      <c r="T23" s="26">
        <f>IF(B23="","",IF(G23="","",ROUND(G23-S23,2)))</f>
        <v>0</v>
      </c>
      <c r="U23" s="27">
        <f>IF(B23="","",IF(G23="","",IF(G23=0,"",T23/G23)))</f>
        <v>0</v>
      </c>
      <c r="V23" s="26">
        <f>IF(B23="","",IF(G23="","",IF(P23=0,"",ROUND(G23/P23,2))))</f>
        <v>0</v>
      </c>
      <c r="W23" s="26">
        <f>IF(B23="","",IF(T23="","",IF(P23=0,"",ROUND(T23/P23,2))))</f>
        <v>0</v>
      </c>
      <c r="X23" s="26">
        <f>IF(B23="","",IF(P23=0,"",IF(ServiceCommission&gt;=1,"",(Q23+TargetChairRate*P23)/IF(J23="No",1,1-ServiceCommission))))</f>
        <v>0</v>
      </c>
      <c r="Y23" s="26">
        <f>IF(B23="","",IF(X23="","",ROUND(IF(RoundingRule="None",X23,IF(RoundingRule="Nearest 0.99",MAX(0.99,CEILING(X23,1)-0.01),IF(RoundingRule="Nearest 0.95",MAX(0.95,CEILING(X23,1)-0.05),IF(RoundingRule="Nearest 0.50",CEILING(X23,0.5),IF(RoundingRule="Nearest 1",CEILING(X23,1),IF(RoundingRule="Nearest 5",CEILING(X23,5),IF(RoundingRule="Up to whole 1",CEILING(X23,1),IF(RoundingRule="Up to whole 5",CEILING(X23,5),ROUND(X23,2))))))))),2)))</f>
        <v>0</v>
      </c>
      <c r="Z23" s="26">
        <f>IF(B23="","",IF(Y23="","",IF(G23="","",ROUND(G23-Y23,2))))</f>
        <v>0</v>
      </c>
      <c r="AA23" s="25">
        <f>IF(B23="","",COUNTIFS(Appointments!$G$5:$G$1204,A23))</f>
        <v>0</v>
      </c>
      <c r="AB23" s="25">
        <f>IF(B23="","",COUNTIFS(Appointments!$G$5:$G$1204,A23,Appointments!$M$5:$M$1204,"Completed"))</f>
        <v>0</v>
      </c>
      <c r="AC23" s="25">
        <f>IF(B23="","",SUMIFS(Sales!$K$5:$K$1204,Sales!$I$5:$I$1204,A23,Sales!$H$5:$H$1204,"Service"))</f>
        <v>0</v>
      </c>
      <c r="AD23" s="26">
        <f>IF(B23="","",ROUND(SUMIFS(Sales!$Y$5:$Y$1204,Sales!$I$5:$I$1204,A23,Sales!$H$5:$H$1204,"Service"),2))</f>
        <v>0</v>
      </c>
      <c r="AE23" s="27">
        <f>IF(B23="","",IF(ServiceRevenueAll=0,"",AD23/ServiceRevenueAll))</f>
        <v>0</v>
      </c>
      <c r="AF23" s="26">
        <f>IF(B23="","",ROUND(AC23*T23,2))</f>
        <v>0</v>
      </c>
      <c r="AG23" s="37">
        <f>IF(B23="","",ROUND(AC23*P23,1))</f>
        <v>0</v>
      </c>
      <c r="AH23" s="27">
        <f>IF(B23="","",IF(AB23=0,"",COUNTIFS(Sales!$I$5:$I$1204,A23,Sales!$AJ$5:$AJ$1204,"Yes")/AB23))</f>
        <v>0</v>
      </c>
      <c r="AI23" s="17">
        <f>IF(B23="","",IFERROR(IF(COUNTIFS(Appointments!$G$5:$G$1204,A23)=0,"",SUMPRODUCT(MAX((Appointments!$G$5:$G$1204=A23)*IFERROR(Appointments!$B$5:$B$1204*1,0)))),""))</f>
        <v>0</v>
      </c>
      <c r="AJ23" s="25">
        <f>IF(B23="","",COUNTIFS($AD$5:$AD$204,"&gt;"&amp;AD23)+COUNTIFS($AD$5:AD23,AD23))</f>
        <v>0</v>
      </c>
      <c r="AK23" s="25">
        <f>IF(B23="","",COUNTIFS($W$5:$W$204,"&gt;"&amp;W23)+COUNTIFS($W$5:W23,W23))</f>
        <v>0</v>
      </c>
      <c r="AL23" s="25">
        <f>IF(B23="","",COUNTIFS($AB$5:$AB$204,"&gt;"&amp;AB23)+COUNTIFS($AB$5:AB23,AB23))</f>
        <v>0</v>
      </c>
      <c r="AM23" s="39">
        <f>IF(B23="","",IF(G23="","Add - no price yet",IF(E23="","Add - how long does it take?",IF(T23&lt;0,"Loss - this service costs you money",IF(V23&lt;TargetChairRate*0.7,"Check - well under your chair rate",IF(IF(N23="",FALSE,TodayDate-N23&gt;PriceReviewDays),"Due - price has not been reviewed",IF(IF(M23="Active",AB23=0,FALSE),"Check - on the menu but never booked","OK")))))))</f>
        <v>0</v>
      </c>
    </row>
    <row r="24" spans="1:39">
      <c r="A24" s="28">
        <f>IF(B24="","",ServicePrefix&amp;TEXT(ROW()-4,"000"))</f>
        <v>0</v>
      </c>
      <c r="P24" s="42">
        <f>IF(B24="","",ROUND((IF(E24="",0,E24)+IF(F24="",0,F24))/60,3))</f>
        <v>0</v>
      </c>
      <c r="Q24" s="26">
        <f>IF(B24="","",IF(H24&lt;&gt;"",H24,IF(G24="",0,ROUND(G24*ProductCostPercent,2))))</f>
        <v>0</v>
      </c>
      <c r="R24" s="26">
        <f>IF(B24="","",IF(J24="No",0,IF(G24="",0,ROUND(G24*ServiceCommission,2))))</f>
        <v>0</v>
      </c>
      <c r="S24" s="26">
        <f>IF(B24="","",ROUND(Q24+R24,2))</f>
        <v>0</v>
      </c>
      <c r="T24" s="26">
        <f>IF(B24="","",IF(G24="","",ROUND(G24-S24,2)))</f>
        <v>0</v>
      </c>
      <c r="U24" s="27">
        <f>IF(B24="","",IF(G24="","",IF(G24=0,"",T24/G24)))</f>
        <v>0</v>
      </c>
      <c r="V24" s="26">
        <f>IF(B24="","",IF(G24="","",IF(P24=0,"",ROUND(G24/P24,2))))</f>
        <v>0</v>
      </c>
      <c r="W24" s="26">
        <f>IF(B24="","",IF(T24="","",IF(P24=0,"",ROUND(T24/P24,2))))</f>
        <v>0</v>
      </c>
      <c r="X24" s="26">
        <f>IF(B24="","",IF(P24=0,"",IF(ServiceCommission&gt;=1,"",(Q24+TargetChairRate*P24)/IF(J24="No",1,1-ServiceCommission))))</f>
        <v>0</v>
      </c>
      <c r="Y24" s="26">
        <f>IF(B24="","",IF(X24="","",ROUND(IF(RoundingRule="None",X24,IF(RoundingRule="Nearest 0.99",MAX(0.99,CEILING(X24,1)-0.01),IF(RoundingRule="Nearest 0.95",MAX(0.95,CEILING(X24,1)-0.05),IF(RoundingRule="Nearest 0.50",CEILING(X24,0.5),IF(RoundingRule="Nearest 1",CEILING(X24,1),IF(RoundingRule="Nearest 5",CEILING(X24,5),IF(RoundingRule="Up to whole 1",CEILING(X24,1),IF(RoundingRule="Up to whole 5",CEILING(X24,5),ROUND(X24,2))))))))),2)))</f>
        <v>0</v>
      </c>
      <c r="Z24" s="26">
        <f>IF(B24="","",IF(Y24="","",IF(G24="","",ROUND(G24-Y24,2))))</f>
        <v>0</v>
      </c>
      <c r="AA24" s="25">
        <f>IF(B24="","",COUNTIFS(Appointments!$G$5:$G$1204,A24))</f>
        <v>0</v>
      </c>
      <c r="AB24" s="25">
        <f>IF(B24="","",COUNTIFS(Appointments!$G$5:$G$1204,A24,Appointments!$M$5:$M$1204,"Completed"))</f>
        <v>0</v>
      </c>
      <c r="AC24" s="25">
        <f>IF(B24="","",SUMIFS(Sales!$K$5:$K$1204,Sales!$I$5:$I$1204,A24,Sales!$H$5:$H$1204,"Service"))</f>
        <v>0</v>
      </c>
      <c r="AD24" s="26">
        <f>IF(B24="","",ROUND(SUMIFS(Sales!$Y$5:$Y$1204,Sales!$I$5:$I$1204,A24,Sales!$H$5:$H$1204,"Service"),2))</f>
        <v>0</v>
      </c>
      <c r="AE24" s="27">
        <f>IF(B24="","",IF(ServiceRevenueAll=0,"",AD24/ServiceRevenueAll))</f>
        <v>0</v>
      </c>
      <c r="AF24" s="26">
        <f>IF(B24="","",ROUND(AC24*T24,2))</f>
        <v>0</v>
      </c>
      <c r="AG24" s="37">
        <f>IF(B24="","",ROUND(AC24*P24,1))</f>
        <v>0</v>
      </c>
      <c r="AH24" s="27">
        <f>IF(B24="","",IF(AB24=0,"",COUNTIFS(Sales!$I$5:$I$1204,A24,Sales!$AJ$5:$AJ$1204,"Yes")/AB24))</f>
        <v>0</v>
      </c>
      <c r="AI24" s="17">
        <f>IF(B24="","",IFERROR(IF(COUNTIFS(Appointments!$G$5:$G$1204,A24)=0,"",SUMPRODUCT(MAX((Appointments!$G$5:$G$1204=A24)*IFERROR(Appointments!$B$5:$B$1204*1,0)))),""))</f>
        <v>0</v>
      </c>
      <c r="AJ24" s="25">
        <f>IF(B24="","",COUNTIFS($AD$5:$AD$204,"&gt;"&amp;AD24)+COUNTIFS($AD$5:AD24,AD24))</f>
        <v>0</v>
      </c>
      <c r="AK24" s="25">
        <f>IF(B24="","",COUNTIFS($W$5:$W$204,"&gt;"&amp;W24)+COUNTIFS($W$5:W24,W24))</f>
        <v>0</v>
      </c>
      <c r="AL24" s="25">
        <f>IF(B24="","",COUNTIFS($AB$5:$AB$204,"&gt;"&amp;AB24)+COUNTIFS($AB$5:AB24,AB24))</f>
        <v>0</v>
      </c>
      <c r="AM24" s="39">
        <f>IF(B24="","",IF(G24="","Add - no price yet",IF(E24="","Add - how long does it take?",IF(T24&lt;0,"Loss - this service costs you money",IF(V24&lt;TargetChairRate*0.7,"Check - well under your chair rate",IF(IF(N24="",FALSE,TodayDate-N24&gt;PriceReviewDays),"Due - price has not been reviewed",IF(IF(M24="Active",AB24=0,FALSE),"Check - on the menu but never booked","OK")))))))</f>
        <v>0</v>
      </c>
    </row>
    <row r="25" spans="1:39">
      <c r="A25" s="28">
        <f>IF(B25="","",ServicePrefix&amp;TEXT(ROW()-4,"000"))</f>
        <v>0</v>
      </c>
      <c r="P25" s="42">
        <f>IF(B25="","",ROUND((IF(E25="",0,E25)+IF(F25="",0,F25))/60,3))</f>
        <v>0</v>
      </c>
      <c r="Q25" s="26">
        <f>IF(B25="","",IF(H25&lt;&gt;"",H25,IF(G25="",0,ROUND(G25*ProductCostPercent,2))))</f>
        <v>0</v>
      </c>
      <c r="R25" s="26">
        <f>IF(B25="","",IF(J25="No",0,IF(G25="",0,ROUND(G25*ServiceCommission,2))))</f>
        <v>0</v>
      </c>
      <c r="S25" s="26">
        <f>IF(B25="","",ROUND(Q25+R25,2))</f>
        <v>0</v>
      </c>
      <c r="T25" s="26">
        <f>IF(B25="","",IF(G25="","",ROUND(G25-S25,2)))</f>
        <v>0</v>
      </c>
      <c r="U25" s="27">
        <f>IF(B25="","",IF(G25="","",IF(G25=0,"",T25/G25)))</f>
        <v>0</v>
      </c>
      <c r="V25" s="26">
        <f>IF(B25="","",IF(G25="","",IF(P25=0,"",ROUND(G25/P25,2))))</f>
        <v>0</v>
      </c>
      <c r="W25" s="26">
        <f>IF(B25="","",IF(T25="","",IF(P25=0,"",ROUND(T25/P25,2))))</f>
        <v>0</v>
      </c>
      <c r="X25" s="26">
        <f>IF(B25="","",IF(P25=0,"",IF(ServiceCommission&gt;=1,"",(Q25+TargetChairRate*P25)/IF(J25="No",1,1-ServiceCommission))))</f>
        <v>0</v>
      </c>
      <c r="Y25" s="26">
        <f>IF(B25="","",IF(X25="","",ROUND(IF(RoundingRule="None",X25,IF(RoundingRule="Nearest 0.99",MAX(0.99,CEILING(X25,1)-0.01),IF(RoundingRule="Nearest 0.95",MAX(0.95,CEILING(X25,1)-0.05),IF(RoundingRule="Nearest 0.50",CEILING(X25,0.5),IF(RoundingRule="Nearest 1",CEILING(X25,1),IF(RoundingRule="Nearest 5",CEILING(X25,5),IF(RoundingRule="Up to whole 1",CEILING(X25,1),IF(RoundingRule="Up to whole 5",CEILING(X25,5),ROUND(X25,2))))))))),2)))</f>
        <v>0</v>
      </c>
      <c r="Z25" s="26">
        <f>IF(B25="","",IF(Y25="","",IF(G25="","",ROUND(G25-Y25,2))))</f>
        <v>0</v>
      </c>
      <c r="AA25" s="25">
        <f>IF(B25="","",COUNTIFS(Appointments!$G$5:$G$1204,A25))</f>
        <v>0</v>
      </c>
      <c r="AB25" s="25">
        <f>IF(B25="","",COUNTIFS(Appointments!$G$5:$G$1204,A25,Appointments!$M$5:$M$1204,"Completed"))</f>
        <v>0</v>
      </c>
      <c r="AC25" s="25">
        <f>IF(B25="","",SUMIFS(Sales!$K$5:$K$1204,Sales!$I$5:$I$1204,A25,Sales!$H$5:$H$1204,"Service"))</f>
        <v>0</v>
      </c>
      <c r="AD25" s="26">
        <f>IF(B25="","",ROUND(SUMIFS(Sales!$Y$5:$Y$1204,Sales!$I$5:$I$1204,A25,Sales!$H$5:$H$1204,"Service"),2))</f>
        <v>0</v>
      </c>
      <c r="AE25" s="27">
        <f>IF(B25="","",IF(ServiceRevenueAll=0,"",AD25/ServiceRevenueAll))</f>
        <v>0</v>
      </c>
      <c r="AF25" s="26">
        <f>IF(B25="","",ROUND(AC25*T25,2))</f>
        <v>0</v>
      </c>
      <c r="AG25" s="37">
        <f>IF(B25="","",ROUND(AC25*P25,1))</f>
        <v>0</v>
      </c>
      <c r="AH25" s="27">
        <f>IF(B25="","",IF(AB25=0,"",COUNTIFS(Sales!$I$5:$I$1204,A25,Sales!$AJ$5:$AJ$1204,"Yes")/AB25))</f>
        <v>0</v>
      </c>
      <c r="AI25" s="17">
        <f>IF(B25="","",IFERROR(IF(COUNTIFS(Appointments!$G$5:$G$1204,A25)=0,"",SUMPRODUCT(MAX((Appointments!$G$5:$G$1204=A25)*IFERROR(Appointments!$B$5:$B$1204*1,0)))),""))</f>
        <v>0</v>
      </c>
      <c r="AJ25" s="25">
        <f>IF(B25="","",COUNTIFS($AD$5:$AD$204,"&gt;"&amp;AD25)+COUNTIFS($AD$5:AD25,AD25))</f>
        <v>0</v>
      </c>
      <c r="AK25" s="25">
        <f>IF(B25="","",COUNTIFS($W$5:$W$204,"&gt;"&amp;W25)+COUNTIFS($W$5:W25,W25))</f>
        <v>0</v>
      </c>
      <c r="AL25" s="25">
        <f>IF(B25="","",COUNTIFS($AB$5:$AB$204,"&gt;"&amp;AB25)+COUNTIFS($AB$5:AB25,AB25))</f>
        <v>0</v>
      </c>
      <c r="AM25" s="39">
        <f>IF(B25="","",IF(G25="","Add - no price yet",IF(E25="","Add - how long does it take?",IF(T25&lt;0,"Loss - this service costs you money",IF(V25&lt;TargetChairRate*0.7,"Check - well under your chair rate",IF(IF(N25="",FALSE,TodayDate-N25&gt;PriceReviewDays),"Due - price has not been reviewed",IF(IF(M25="Active",AB25=0,FALSE),"Check - on the menu but never booked","OK")))))))</f>
        <v>0</v>
      </c>
    </row>
    <row r="26" spans="1:39">
      <c r="A26" s="28">
        <f>IF(B26="","",ServicePrefix&amp;TEXT(ROW()-4,"000"))</f>
        <v>0</v>
      </c>
      <c r="P26" s="42">
        <f>IF(B26="","",ROUND((IF(E26="",0,E26)+IF(F26="",0,F26))/60,3))</f>
        <v>0</v>
      </c>
      <c r="Q26" s="26">
        <f>IF(B26="","",IF(H26&lt;&gt;"",H26,IF(G26="",0,ROUND(G26*ProductCostPercent,2))))</f>
        <v>0</v>
      </c>
      <c r="R26" s="26">
        <f>IF(B26="","",IF(J26="No",0,IF(G26="",0,ROUND(G26*ServiceCommission,2))))</f>
        <v>0</v>
      </c>
      <c r="S26" s="26">
        <f>IF(B26="","",ROUND(Q26+R26,2))</f>
        <v>0</v>
      </c>
      <c r="T26" s="26">
        <f>IF(B26="","",IF(G26="","",ROUND(G26-S26,2)))</f>
        <v>0</v>
      </c>
      <c r="U26" s="27">
        <f>IF(B26="","",IF(G26="","",IF(G26=0,"",T26/G26)))</f>
        <v>0</v>
      </c>
      <c r="V26" s="26">
        <f>IF(B26="","",IF(G26="","",IF(P26=0,"",ROUND(G26/P26,2))))</f>
        <v>0</v>
      </c>
      <c r="W26" s="26">
        <f>IF(B26="","",IF(T26="","",IF(P26=0,"",ROUND(T26/P26,2))))</f>
        <v>0</v>
      </c>
      <c r="X26" s="26">
        <f>IF(B26="","",IF(P26=0,"",IF(ServiceCommission&gt;=1,"",(Q26+TargetChairRate*P26)/IF(J26="No",1,1-ServiceCommission))))</f>
        <v>0</v>
      </c>
      <c r="Y26" s="26">
        <f>IF(B26="","",IF(X26="","",ROUND(IF(RoundingRule="None",X26,IF(RoundingRule="Nearest 0.99",MAX(0.99,CEILING(X26,1)-0.01),IF(RoundingRule="Nearest 0.95",MAX(0.95,CEILING(X26,1)-0.05),IF(RoundingRule="Nearest 0.50",CEILING(X26,0.5),IF(RoundingRule="Nearest 1",CEILING(X26,1),IF(RoundingRule="Nearest 5",CEILING(X26,5),IF(RoundingRule="Up to whole 1",CEILING(X26,1),IF(RoundingRule="Up to whole 5",CEILING(X26,5),ROUND(X26,2))))))))),2)))</f>
        <v>0</v>
      </c>
      <c r="Z26" s="26">
        <f>IF(B26="","",IF(Y26="","",IF(G26="","",ROUND(G26-Y26,2))))</f>
        <v>0</v>
      </c>
      <c r="AA26" s="25">
        <f>IF(B26="","",COUNTIFS(Appointments!$G$5:$G$1204,A26))</f>
        <v>0</v>
      </c>
      <c r="AB26" s="25">
        <f>IF(B26="","",COUNTIFS(Appointments!$G$5:$G$1204,A26,Appointments!$M$5:$M$1204,"Completed"))</f>
        <v>0</v>
      </c>
      <c r="AC26" s="25">
        <f>IF(B26="","",SUMIFS(Sales!$K$5:$K$1204,Sales!$I$5:$I$1204,A26,Sales!$H$5:$H$1204,"Service"))</f>
        <v>0</v>
      </c>
      <c r="AD26" s="26">
        <f>IF(B26="","",ROUND(SUMIFS(Sales!$Y$5:$Y$1204,Sales!$I$5:$I$1204,A26,Sales!$H$5:$H$1204,"Service"),2))</f>
        <v>0</v>
      </c>
      <c r="AE26" s="27">
        <f>IF(B26="","",IF(ServiceRevenueAll=0,"",AD26/ServiceRevenueAll))</f>
        <v>0</v>
      </c>
      <c r="AF26" s="26">
        <f>IF(B26="","",ROUND(AC26*T26,2))</f>
        <v>0</v>
      </c>
      <c r="AG26" s="37">
        <f>IF(B26="","",ROUND(AC26*P26,1))</f>
        <v>0</v>
      </c>
      <c r="AH26" s="27">
        <f>IF(B26="","",IF(AB26=0,"",COUNTIFS(Sales!$I$5:$I$1204,A26,Sales!$AJ$5:$AJ$1204,"Yes")/AB26))</f>
        <v>0</v>
      </c>
      <c r="AI26" s="17">
        <f>IF(B26="","",IFERROR(IF(COUNTIFS(Appointments!$G$5:$G$1204,A26)=0,"",SUMPRODUCT(MAX((Appointments!$G$5:$G$1204=A26)*IFERROR(Appointments!$B$5:$B$1204*1,0)))),""))</f>
        <v>0</v>
      </c>
      <c r="AJ26" s="25">
        <f>IF(B26="","",COUNTIFS($AD$5:$AD$204,"&gt;"&amp;AD26)+COUNTIFS($AD$5:AD26,AD26))</f>
        <v>0</v>
      </c>
      <c r="AK26" s="25">
        <f>IF(B26="","",COUNTIFS($W$5:$W$204,"&gt;"&amp;W26)+COUNTIFS($W$5:W26,W26))</f>
        <v>0</v>
      </c>
      <c r="AL26" s="25">
        <f>IF(B26="","",COUNTIFS($AB$5:$AB$204,"&gt;"&amp;AB26)+COUNTIFS($AB$5:AB26,AB26))</f>
        <v>0</v>
      </c>
      <c r="AM26" s="39">
        <f>IF(B26="","",IF(G26="","Add - no price yet",IF(E26="","Add - how long does it take?",IF(T26&lt;0,"Loss - this service costs you money",IF(V26&lt;TargetChairRate*0.7,"Check - well under your chair rate",IF(IF(N26="",FALSE,TodayDate-N26&gt;PriceReviewDays),"Due - price has not been reviewed",IF(IF(M26="Active",AB26=0,FALSE),"Check - on the menu but never booked","OK")))))))</f>
        <v>0</v>
      </c>
    </row>
    <row r="27" spans="1:39">
      <c r="A27" s="28">
        <f>IF(B27="","",ServicePrefix&amp;TEXT(ROW()-4,"000"))</f>
        <v>0</v>
      </c>
      <c r="P27" s="42">
        <f>IF(B27="","",ROUND((IF(E27="",0,E27)+IF(F27="",0,F27))/60,3))</f>
        <v>0</v>
      </c>
      <c r="Q27" s="26">
        <f>IF(B27="","",IF(H27&lt;&gt;"",H27,IF(G27="",0,ROUND(G27*ProductCostPercent,2))))</f>
        <v>0</v>
      </c>
      <c r="R27" s="26">
        <f>IF(B27="","",IF(J27="No",0,IF(G27="",0,ROUND(G27*ServiceCommission,2))))</f>
        <v>0</v>
      </c>
      <c r="S27" s="26">
        <f>IF(B27="","",ROUND(Q27+R27,2))</f>
        <v>0</v>
      </c>
      <c r="T27" s="26">
        <f>IF(B27="","",IF(G27="","",ROUND(G27-S27,2)))</f>
        <v>0</v>
      </c>
      <c r="U27" s="27">
        <f>IF(B27="","",IF(G27="","",IF(G27=0,"",T27/G27)))</f>
        <v>0</v>
      </c>
      <c r="V27" s="26">
        <f>IF(B27="","",IF(G27="","",IF(P27=0,"",ROUND(G27/P27,2))))</f>
        <v>0</v>
      </c>
      <c r="W27" s="26">
        <f>IF(B27="","",IF(T27="","",IF(P27=0,"",ROUND(T27/P27,2))))</f>
        <v>0</v>
      </c>
      <c r="X27" s="26">
        <f>IF(B27="","",IF(P27=0,"",IF(ServiceCommission&gt;=1,"",(Q27+TargetChairRate*P27)/IF(J27="No",1,1-ServiceCommission))))</f>
        <v>0</v>
      </c>
      <c r="Y27" s="26">
        <f>IF(B27="","",IF(X27="","",ROUND(IF(RoundingRule="None",X27,IF(RoundingRule="Nearest 0.99",MAX(0.99,CEILING(X27,1)-0.01),IF(RoundingRule="Nearest 0.95",MAX(0.95,CEILING(X27,1)-0.05),IF(RoundingRule="Nearest 0.50",CEILING(X27,0.5),IF(RoundingRule="Nearest 1",CEILING(X27,1),IF(RoundingRule="Nearest 5",CEILING(X27,5),IF(RoundingRule="Up to whole 1",CEILING(X27,1),IF(RoundingRule="Up to whole 5",CEILING(X27,5),ROUND(X27,2))))))))),2)))</f>
        <v>0</v>
      </c>
      <c r="Z27" s="26">
        <f>IF(B27="","",IF(Y27="","",IF(G27="","",ROUND(G27-Y27,2))))</f>
        <v>0</v>
      </c>
      <c r="AA27" s="25">
        <f>IF(B27="","",COUNTIFS(Appointments!$G$5:$G$1204,A27))</f>
        <v>0</v>
      </c>
      <c r="AB27" s="25">
        <f>IF(B27="","",COUNTIFS(Appointments!$G$5:$G$1204,A27,Appointments!$M$5:$M$1204,"Completed"))</f>
        <v>0</v>
      </c>
      <c r="AC27" s="25">
        <f>IF(B27="","",SUMIFS(Sales!$K$5:$K$1204,Sales!$I$5:$I$1204,A27,Sales!$H$5:$H$1204,"Service"))</f>
        <v>0</v>
      </c>
      <c r="AD27" s="26">
        <f>IF(B27="","",ROUND(SUMIFS(Sales!$Y$5:$Y$1204,Sales!$I$5:$I$1204,A27,Sales!$H$5:$H$1204,"Service"),2))</f>
        <v>0</v>
      </c>
      <c r="AE27" s="27">
        <f>IF(B27="","",IF(ServiceRevenueAll=0,"",AD27/ServiceRevenueAll))</f>
        <v>0</v>
      </c>
      <c r="AF27" s="26">
        <f>IF(B27="","",ROUND(AC27*T27,2))</f>
        <v>0</v>
      </c>
      <c r="AG27" s="37">
        <f>IF(B27="","",ROUND(AC27*P27,1))</f>
        <v>0</v>
      </c>
      <c r="AH27" s="27">
        <f>IF(B27="","",IF(AB27=0,"",COUNTIFS(Sales!$I$5:$I$1204,A27,Sales!$AJ$5:$AJ$1204,"Yes")/AB27))</f>
        <v>0</v>
      </c>
      <c r="AI27" s="17">
        <f>IF(B27="","",IFERROR(IF(COUNTIFS(Appointments!$G$5:$G$1204,A27)=0,"",SUMPRODUCT(MAX((Appointments!$G$5:$G$1204=A27)*IFERROR(Appointments!$B$5:$B$1204*1,0)))),""))</f>
        <v>0</v>
      </c>
      <c r="AJ27" s="25">
        <f>IF(B27="","",COUNTIFS($AD$5:$AD$204,"&gt;"&amp;AD27)+COUNTIFS($AD$5:AD27,AD27))</f>
        <v>0</v>
      </c>
      <c r="AK27" s="25">
        <f>IF(B27="","",COUNTIFS($W$5:$W$204,"&gt;"&amp;W27)+COUNTIFS($W$5:W27,W27))</f>
        <v>0</v>
      </c>
      <c r="AL27" s="25">
        <f>IF(B27="","",COUNTIFS($AB$5:$AB$204,"&gt;"&amp;AB27)+COUNTIFS($AB$5:AB27,AB27))</f>
        <v>0</v>
      </c>
      <c r="AM27" s="39">
        <f>IF(B27="","",IF(G27="","Add - no price yet",IF(E27="","Add - how long does it take?",IF(T27&lt;0,"Loss - this service costs you money",IF(V27&lt;TargetChairRate*0.7,"Check - well under your chair rate",IF(IF(N27="",FALSE,TodayDate-N27&gt;PriceReviewDays),"Due - price has not been reviewed",IF(IF(M27="Active",AB27=0,FALSE),"Check - on the menu but never booked","OK")))))))</f>
        <v>0</v>
      </c>
    </row>
    <row r="28" spans="1:39">
      <c r="A28" s="28">
        <f>IF(B28="","",ServicePrefix&amp;TEXT(ROW()-4,"000"))</f>
        <v>0</v>
      </c>
      <c r="P28" s="42">
        <f>IF(B28="","",ROUND((IF(E28="",0,E28)+IF(F28="",0,F28))/60,3))</f>
        <v>0</v>
      </c>
      <c r="Q28" s="26">
        <f>IF(B28="","",IF(H28&lt;&gt;"",H28,IF(G28="",0,ROUND(G28*ProductCostPercent,2))))</f>
        <v>0</v>
      </c>
      <c r="R28" s="26">
        <f>IF(B28="","",IF(J28="No",0,IF(G28="",0,ROUND(G28*ServiceCommission,2))))</f>
        <v>0</v>
      </c>
      <c r="S28" s="26">
        <f>IF(B28="","",ROUND(Q28+R28,2))</f>
        <v>0</v>
      </c>
      <c r="T28" s="26">
        <f>IF(B28="","",IF(G28="","",ROUND(G28-S28,2)))</f>
        <v>0</v>
      </c>
      <c r="U28" s="27">
        <f>IF(B28="","",IF(G28="","",IF(G28=0,"",T28/G28)))</f>
        <v>0</v>
      </c>
      <c r="V28" s="26">
        <f>IF(B28="","",IF(G28="","",IF(P28=0,"",ROUND(G28/P28,2))))</f>
        <v>0</v>
      </c>
      <c r="W28" s="26">
        <f>IF(B28="","",IF(T28="","",IF(P28=0,"",ROUND(T28/P28,2))))</f>
        <v>0</v>
      </c>
      <c r="X28" s="26">
        <f>IF(B28="","",IF(P28=0,"",IF(ServiceCommission&gt;=1,"",(Q28+TargetChairRate*P28)/IF(J28="No",1,1-ServiceCommission))))</f>
        <v>0</v>
      </c>
      <c r="Y28" s="26">
        <f>IF(B28="","",IF(X28="","",ROUND(IF(RoundingRule="None",X28,IF(RoundingRule="Nearest 0.99",MAX(0.99,CEILING(X28,1)-0.01),IF(RoundingRule="Nearest 0.95",MAX(0.95,CEILING(X28,1)-0.05),IF(RoundingRule="Nearest 0.50",CEILING(X28,0.5),IF(RoundingRule="Nearest 1",CEILING(X28,1),IF(RoundingRule="Nearest 5",CEILING(X28,5),IF(RoundingRule="Up to whole 1",CEILING(X28,1),IF(RoundingRule="Up to whole 5",CEILING(X28,5),ROUND(X28,2))))))))),2)))</f>
        <v>0</v>
      </c>
      <c r="Z28" s="26">
        <f>IF(B28="","",IF(Y28="","",IF(G28="","",ROUND(G28-Y28,2))))</f>
        <v>0</v>
      </c>
      <c r="AA28" s="25">
        <f>IF(B28="","",COUNTIFS(Appointments!$G$5:$G$1204,A28))</f>
        <v>0</v>
      </c>
      <c r="AB28" s="25">
        <f>IF(B28="","",COUNTIFS(Appointments!$G$5:$G$1204,A28,Appointments!$M$5:$M$1204,"Completed"))</f>
        <v>0</v>
      </c>
      <c r="AC28" s="25">
        <f>IF(B28="","",SUMIFS(Sales!$K$5:$K$1204,Sales!$I$5:$I$1204,A28,Sales!$H$5:$H$1204,"Service"))</f>
        <v>0</v>
      </c>
      <c r="AD28" s="26">
        <f>IF(B28="","",ROUND(SUMIFS(Sales!$Y$5:$Y$1204,Sales!$I$5:$I$1204,A28,Sales!$H$5:$H$1204,"Service"),2))</f>
        <v>0</v>
      </c>
      <c r="AE28" s="27">
        <f>IF(B28="","",IF(ServiceRevenueAll=0,"",AD28/ServiceRevenueAll))</f>
        <v>0</v>
      </c>
      <c r="AF28" s="26">
        <f>IF(B28="","",ROUND(AC28*T28,2))</f>
        <v>0</v>
      </c>
      <c r="AG28" s="37">
        <f>IF(B28="","",ROUND(AC28*P28,1))</f>
        <v>0</v>
      </c>
      <c r="AH28" s="27">
        <f>IF(B28="","",IF(AB28=0,"",COUNTIFS(Sales!$I$5:$I$1204,A28,Sales!$AJ$5:$AJ$1204,"Yes")/AB28))</f>
        <v>0</v>
      </c>
      <c r="AI28" s="17">
        <f>IF(B28="","",IFERROR(IF(COUNTIFS(Appointments!$G$5:$G$1204,A28)=0,"",SUMPRODUCT(MAX((Appointments!$G$5:$G$1204=A28)*IFERROR(Appointments!$B$5:$B$1204*1,0)))),""))</f>
        <v>0</v>
      </c>
      <c r="AJ28" s="25">
        <f>IF(B28="","",COUNTIFS($AD$5:$AD$204,"&gt;"&amp;AD28)+COUNTIFS($AD$5:AD28,AD28))</f>
        <v>0</v>
      </c>
      <c r="AK28" s="25">
        <f>IF(B28="","",COUNTIFS($W$5:$W$204,"&gt;"&amp;W28)+COUNTIFS($W$5:W28,W28))</f>
        <v>0</v>
      </c>
      <c r="AL28" s="25">
        <f>IF(B28="","",COUNTIFS($AB$5:$AB$204,"&gt;"&amp;AB28)+COUNTIFS($AB$5:AB28,AB28))</f>
        <v>0</v>
      </c>
      <c r="AM28" s="39">
        <f>IF(B28="","",IF(G28="","Add - no price yet",IF(E28="","Add - how long does it take?",IF(T28&lt;0,"Loss - this service costs you money",IF(V28&lt;TargetChairRate*0.7,"Check - well under your chair rate",IF(IF(N28="",FALSE,TodayDate-N28&gt;PriceReviewDays),"Due - price has not been reviewed",IF(IF(M28="Active",AB28=0,FALSE),"Check - on the menu but never booked","OK")))))))</f>
        <v>0</v>
      </c>
    </row>
    <row r="29" spans="1:39">
      <c r="A29" s="28">
        <f>IF(B29="","",ServicePrefix&amp;TEXT(ROW()-4,"000"))</f>
        <v>0</v>
      </c>
      <c r="P29" s="42">
        <f>IF(B29="","",ROUND((IF(E29="",0,E29)+IF(F29="",0,F29))/60,3))</f>
        <v>0</v>
      </c>
      <c r="Q29" s="26">
        <f>IF(B29="","",IF(H29&lt;&gt;"",H29,IF(G29="",0,ROUND(G29*ProductCostPercent,2))))</f>
        <v>0</v>
      </c>
      <c r="R29" s="26">
        <f>IF(B29="","",IF(J29="No",0,IF(G29="",0,ROUND(G29*ServiceCommission,2))))</f>
        <v>0</v>
      </c>
      <c r="S29" s="26">
        <f>IF(B29="","",ROUND(Q29+R29,2))</f>
        <v>0</v>
      </c>
      <c r="T29" s="26">
        <f>IF(B29="","",IF(G29="","",ROUND(G29-S29,2)))</f>
        <v>0</v>
      </c>
      <c r="U29" s="27">
        <f>IF(B29="","",IF(G29="","",IF(G29=0,"",T29/G29)))</f>
        <v>0</v>
      </c>
      <c r="V29" s="26">
        <f>IF(B29="","",IF(G29="","",IF(P29=0,"",ROUND(G29/P29,2))))</f>
        <v>0</v>
      </c>
      <c r="W29" s="26">
        <f>IF(B29="","",IF(T29="","",IF(P29=0,"",ROUND(T29/P29,2))))</f>
        <v>0</v>
      </c>
      <c r="X29" s="26">
        <f>IF(B29="","",IF(P29=0,"",IF(ServiceCommission&gt;=1,"",(Q29+TargetChairRate*P29)/IF(J29="No",1,1-ServiceCommission))))</f>
        <v>0</v>
      </c>
      <c r="Y29" s="26">
        <f>IF(B29="","",IF(X29="","",ROUND(IF(RoundingRule="None",X29,IF(RoundingRule="Nearest 0.99",MAX(0.99,CEILING(X29,1)-0.01),IF(RoundingRule="Nearest 0.95",MAX(0.95,CEILING(X29,1)-0.05),IF(RoundingRule="Nearest 0.50",CEILING(X29,0.5),IF(RoundingRule="Nearest 1",CEILING(X29,1),IF(RoundingRule="Nearest 5",CEILING(X29,5),IF(RoundingRule="Up to whole 1",CEILING(X29,1),IF(RoundingRule="Up to whole 5",CEILING(X29,5),ROUND(X29,2))))))))),2)))</f>
        <v>0</v>
      </c>
      <c r="Z29" s="26">
        <f>IF(B29="","",IF(Y29="","",IF(G29="","",ROUND(G29-Y29,2))))</f>
        <v>0</v>
      </c>
      <c r="AA29" s="25">
        <f>IF(B29="","",COUNTIFS(Appointments!$G$5:$G$1204,A29))</f>
        <v>0</v>
      </c>
      <c r="AB29" s="25">
        <f>IF(B29="","",COUNTIFS(Appointments!$G$5:$G$1204,A29,Appointments!$M$5:$M$1204,"Completed"))</f>
        <v>0</v>
      </c>
      <c r="AC29" s="25">
        <f>IF(B29="","",SUMIFS(Sales!$K$5:$K$1204,Sales!$I$5:$I$1204,A29,Sales!$H$5:$H$1204,"Service"))</f>
        <v>0</v>
      </c>
      <c r="AD29" s="26">
        <f>IF(B29="","",ROUND(SUMIFS(Sales!$Y$5:$Y$1204,Sales!$I$5:$I$1204,A29,Sales!$H$5:$H$1204,"Service"),2))</f>
        <v>0</v>
      </c>
      <c r="AE29" s="27">
        <f>IF(B29="","",IF(ServiceRevenueAll=0,"",AD29/ServiceRevenueAll))</f>
        <v>0</v>
      </c>
      <c r="AF29" s="26">
        <f>IF(B29="","",ROUND(AC29*T29,2))</f>
        <v>0</v>
      </c>
      <c r="AG29" s="37">
        <f>IF(B29="","",ROUND(AC29*P29,1))</f>
        <v>0</v>
      </c>
      <c r="AH29" s="27">
        <f>IF(B29="","",IF(AB29=0,"",COUNTIFS(Sales!$I$5:$I$1204,A29,Sales!$AJ$5:$AJ$1204,"Yes")/AB29))</f>
        <v>0</v>
      </c>
      <c r="AI29" s="17">
        <f>IF(B29="","",IFERROR(IF(COUNTIFS(Appointments!$G$5:$G$1204,A29)=0,"",SUMPRODUCT(MAX((Appointments!$G$5:$G$1204=A29)*IFERROR(Appointments!$B$5:$B$1204*1,0)))),""))</f>
        <v>0</v>
      </c>
      <c r="AJ29" s="25">
        <f>IF(B29="","",COUNTIFS($AD$5:$AD$204,"&gt;"&amp;AD29)+COUNTIFS($AD$5:AD29,AD29))</f>
        <v>0</v>
      </c>
      <c r="AK29" s="25">
        <f>IF(B29="","",COUNTIFS($W$5:$W$204,"&gt;"&amp;W29)+COUNTIFS($W$5:W29,W29))</f>
        <v>0</v>
      </c>
      <c r="AL29" s="25">
        <f>IF(B29="","",COUNTIFS($AB$5:$AB$204,"&gt;"&amp;AB29)+COUNTIFS($AB$5:AB29,AB29))</f>
        <v>0</v>
      </c>
      <c r="AM29" s="39">
        <f>IF(B29="","",IF(G29="","Add - no price yet",IF(E29="","Add - how long does it take?",IF(T29&lt;0,"Loss - this service costs you money",IF(V29&lt;TargetChairRate*0.7,"Check - well under your chair rate",IF(IF(N29="",FALSE,TodayDate-N29&gt;PriceReviewDays),"Due - price has not been reviewed",IF(IF(M29="Active",AB29=0,FALSE),"Check - on the menu but never booked","OK")))))))</f>
        <v>0</v>
      </c>
    </row>
    <row r="30" spans="1:39">
      <c r="A30" s="28">
        <f>IF(B30="","",ServicePrefix&amp;TEXT(ROW()-4,"000"))</f>
        <v>0</v>
      </c>
      <c r="P30" s="42">
        <f>IF(B30="","",ROUND((IF(E30="",0,E30)+IF(F30="",0,F30))/60,3))</f>
        <v>0</v>
      </c>
      <c r="Q30" s="26">
        <f>IF(B30="","",IF(H30&lt;&gt;"",H30,IF(G30="",0,ROUND(G30*ProductCostPercent,2))))</f>
        <v>0</v>
      </c>
      <c r="R30" s="26">
        <f>IF(B30="","",IF(J30="No",0,IF(G30="",0,ROUND(G30*ServiceCommission,2))))</f>
        <v>0</v>
      </c>
      <c r="S30" s="26">
        <f>IF(B30="","",ROUND(Q30+R30,2))</f>
        <v>0</v>
      </c>
      <c r="T30" s="26">
        <f>IF(B30="","",IF(G30="","",ROUND(G30-S30,2)))</f>
        <v>0</v>
      </c>
      <c r="U30" s="27">
        <f>IF(B30="","",IF(G30="","",IF(G30=0,"",T30/G30)))</f>
        <v>0</v>
      </c>
      <c r="V30" s="26">
        <f>IF(B30="","",IF(G30="","",IF(P30=0,"",ROUND(G30/P30,2))))</f>
        <v>0</v>
      </c>
      <c r="W30" s="26">
        <f>IF(B30="","",IF(T30="","",IF(P30=0,"",ROUND(T30/P30,2))))</f>
        <v>0</v>
      </c>
      <c r="X30" s="26">
        <f>IF(B30="","",IF(P30=0,"",IF(ServiceCommission&gt;=1,"",(Q30+TargetChairRate*P30)/IF(J30="No",1,1-ServiceCommission))))</f>
        <v>0</v>
      </c>
      <c r="Y30" s="26">
        <f>IF(B30="","",IF(X30="","",ROUND(IF(RoundingRule="None",X30,IF(RoundingRule="Nearest 0.99",MAX(0.99,CEILING(X30,1)-0.01),IF(RoundingRule="Nearest 0.95",MAX(0.95,CEILING(X30,1)-0.05),IF(RoundingRule="Nearest 0.50",CEILING(X30,0.5),IF(RoundingRule="Nearest 1",CEILING(X30,1),IF(RoundingRule="Nearest 5",CEILING(X30,5),IF(RoundingRule="Up to whole 1",CEILING(X30,1),IF(RoundingRule="Up to whole 5",CEILING(X30,5),ROUND(X30,2))))))))),2)))</f>
        <v>0</v>
      </c>
      <c r="Z30" s="26">
        <f>IF(B30="","",IF(Y30="","",IF(G30="","",ROUND(G30-Y30,2))))</f>
        <v>0</v>
      </c>
      <c r="AA30" s="25">
        <f>IF(B30="","",COUNTIFS(Appointments!$G$5:$G$1204,A30))</f>
        <v>0</v>
      </c>
      <c r="AB30" s="25">
        <f>IF(B30="","",COUNTIFS(Appointments!$G$5:$G$1204,A30,Appointments!$M$5:$M$1204,"Completed"))</f>
        <v>0</v>
      </c>
      <c r="AC30" s="25">
        <f>IF(B30="","",SUMIFS(Sales!$K$5:$K$1204,Sales!$I$5:$I$1204,A30,Sales!$H$5:$H$1204,"Service"))</f>
        <v>0</v>
      </c>
      <c r="AD30" s="26">
        <f>IF(B30="","",ROUND(SUMIFS(Sales!$Y$5:$Y$1204,Sales!$I$5:$I$1204,A30,Sales!$H$5:$H$1204,"Service"),2))</f>
        <v>0</v>
      </c>
      <c r="AE30" s="27">
        <f>IF(B30="","",IF(ServiceRevenueAll=0,"",AD30/ServiceRevenueAll))</f>
        <v>0</v>
      </c>
      <c r="AF30" s="26">
        <f>IF(B30="","",ROUND(AC30*T30,2))</f>
        <v>0</v>
      </c>
      <c r="AG30" s="37">
        <f>IF(B30="","",ROUND(AC30*P30,1))</f>
        <v>0</v>
      </c>
      <c r="AH30" s="27">
        <f>IF(B30="","",IF(AB30=0,"",COUNTIFS(Sales!$I$5:$I$1204,A30,Sales!$AJ$5:$AJ$1204,"Yes")/AB30))</f>
        <v>0</v>
      </c>
      <c r="AI30" s="17">
        <f>IF(B30="","",IFERROR(IF(COUNTIFS(Appointments!$G$5:$G$1204,A30)=0,"",SUMPRODUCT(MAX((Appointments!$G$5:$G$1204=A30)*IFERROR(Appointments!$B$5:$B$1204*1,0)))),""))</f>
        <v>0</v>
      </c>
      <c r="AJ30" s="25">
        <f>IF(B30="","",COUNTIFS($AD$5:$AD$204,"&gt;"&amp;AD30)+COUNTIFS($AD$5:AD30,AD30))</f>
        <v>0</v>
      </c>
      <c r="AK30" s="25">
        <f>IF(B30="","",COUNTIFS($W$5:$W$204,"&gt;"&amp;W30)+COUNTIFS($W$5:W30,W30))</f>
        <v>0</v>
      </c>
      <c r="AL30" s="25">
        <f>IF(B30="","",COUNTIFS($AB$5:$AB$204,"&gt;"&amp;AB30)+COUNTIFS($AB$5:AB30,AB30))</f>
        <v>0</v>
      </c>
      <c r="AM30" s="39">
        <f>IF(B30="","",IF(G30="","Add - no price yet",IF(E30="","Add - how long does it take?",IF(T30&lt;0,"Loss - this service costs you money",IF(V30&lt;TargetChairRate*0.7,"Check - well under your chair rate",IF(IF(N30="",FALSE,TodayDate-N30&gt;PriceReviewDays),"Due - price has not been reviewed",IF(IF(M30="Active",AB30=0,FALSE),"Check - on the menu but never booked","OK")))))))</f>
        <v>0</v>
      </c>
    </row>
    <row r="31" spans="1:39">
      <c r="A31" s="28">
        <f>IF(B31="","",ServicePrefix&amp;TEXT(ROW()-4,"000"))</f>
        <v>0</v>
      </c>
      <c r="P31" s="42">
        <f>IF(B31="","",ROUND((IF(E31="",0,E31)+IF(F31="",0,F31))/60,3))</f>
        <v>0</v>
      </c>
      <c r="Q31" s="26">
        <f>IF(B31="","",IF(H31&lt;&gt;"",H31,IF(G31="",0,ROUND(G31*ProductCostPercent,2))))</f>
        <v>0</v>
      </c>
      <c r="R31" s="26">
        <f>IF(B31="","",IF(J31="No",0,IF(G31="",0,ROUND(G31*ServiceCommission,2))))</f>
        <v>0</v>
      </c>
      <c r="S31" s="26">
        <f>IF(B31="","",ROUND(Q31+R31,2))</f>
        <v>0</v>
      </c>
      <c r="T31" s="26">
        <f>IF(B31="","",IF(G31="","",ROUND(G31-S31,2)))</f>
        <v>0</v>
      </c>
      <c r="U31" s="27">
        <f>IF(B31="","",IF(G31="","",IF(G31=0,"",T31/G31)))</f>
        <v>0</v>
      </c>
      <c r="V31" s="26">
        <f>IF(B31="","",IF(G31="","",IF(P31=0,"",ROUND(G31/P31,2))))</f>
        <v>0</v>
      </c>
      <c r="W31" s="26">
        <f>IF(B31="","",IF(T31="","",IF(P31=0,"",ROUND(T31/P31,2))))</f>
        <v>0</v>
      </c>
      <c r="X31" s="26">
        <f>IF(B31="","",IF(P31=0,"",IF(ServiceCommission&gt;=1,"",(Q31+TargetChairRate*P31)/IF(J31="No",1,1-ServiceCommission))))</f>
        <v>0</v>
      </c>
      <c r="Y31" s="26">
        <f>IF(B31="","",IF(X31="","",ROUND(IF(RoundingRule="None",X31,IF(RoundingRule="Nearest 0.99",MAX(0.99,CEILING(X31,1)-0.01),IF(RoundingRule="Nearest 0.95",MAX(0.95,CEILING(X31,1)-0.05),IF(RoundingRule="Nearest 0.50",CEILING(X31,0.5),IF(RoundingRule="Nearest 1",CEILING(X31,1),IF(RoundingRule="Nearest 5",CEILING(X31,5),IF(RoundingRule="Up to whole 1",CEILING(X31,1),IF(RoundingRule="Up to whole 5",CEILING(X31,5),ROUND(X31,2))))))))),2)))</f>
        <v>0</v>
      </c>
      <c r="Z31" s="26">
        <f>IF(B31="","",IF(Y31="","",IF(G31="","",ROUND(G31-Y31,2))))</f>
        <v>0</v>
      </c>
      <c r="AA31" s="25">
        <f>IF(B31="","",COUNTIFS(Appointments!$G$5:$G$1204,A31))</f>
        <v>0</v>
      </c>
      <c r="AB31" s="25">
        <f>IF(B31="","",COUNTIFS(Appointments!$G$5:$G$1204,A31,Appointments!$M$5:$M$1204,"Completed"))</f>
        <v>0</v>
      </c>
      <c r="AC31" s="25">
        <f>IF(B31="","",SUMIFS(Sales!$K$5:$K$1204,Sales!$I$5:$I$1204,A31,Sales!$H$5:$H$1204,"Service"))</f>
        <v>0</v>
      </c>
      <c r="AD31" s="26">
        <f>IF(B31="","",ROUND(SUMIFS(Sales!$Y$5:$Y$1204,Sales!$I$5:$I$1204,A31,Sales!$H$5:$H$1204,"Service"),2))</f>
        <v>0</v>
      </c>
      <c r="AE31" s="27">
        <f>IF(B31="","",IF(ServiceRevenueAll=0,"",AD31/ServiceRevenueAll))</f>
        <v>0</v>
      </c>
      <c r="AF31" s="26">
        <f>IF(B31="","",ROUND(AC31*T31,2))</f>
        <v>0</v>
      </c>
      <c r="AG31" s="37">
        <f>IF(B31="","",ROUND(AC31*P31,1))</f>
        <v>0</v>
      </c>
      <c r="AH31" s="27">
        <f>IF(B31="","",IF(AB31=0,"",COUNTIFS(Sales!$I$5:$I$1204,A31,Sales!$AJ$5:$AJ$1204,"Yes")/AB31))</f>
        <v>0</v>
      </c>
      <c r="AI31" s="17">
        <f>IF(B31="","",IFERROR(IF(COUNTIFS(Appointments!$G$5:$G$1204,A31)=0,"",SUMPRODUCT(MAX((Appointments!$G$5:$G$1204=A31)*IFERROR(Appointments!$B$5:$B$1204*1,0)))),""))</f>
        <v>0</v>
      </c>
      <c r="AJ31" s="25">
        <f>IF(B31="","",COUNTIFS($AD$5:$AD$204,"&gt;"&amp;AD31)+COUNTIFS($AD$5:AD31,AD31))</f>
        <v>0</v>
      </c>
      <c r="AK31" s="25">
        <f>IF(B31="","",COUNTIFS($W$5:$W$204,"&gt;"&amp;W31)+COUNTIFS($W$5:W31,W31))</f>
        <v>0</v>
      </c>
      <c r="AL31" s="25">
        <f>IF(B31="","",COUNTIFS($AB$5:$AB$204,"&gt;"&amp;AB31)+COUNTIFS($AB$5:AB31,AB31))</f>
        <v>0</v>
      </c>
      <c r="AM31" s="39">
        <f>IF(B31="","",IF(G31="","Add - no price yet",IF(E31="","Add - how long does it take?",IF(T31&lt;0,"Loss - this service costs you money",IF(V31&lt;TargetChairRate*0.7,"Check - well under your chair rate",IF(IF(N31="",FALSE,TodayDate-N31&gt;PriceReviewDays),"Due - price has not been reviewed",IF(IF(M31="Active",AB31=0,FALSE),"Check - on the menu but never booked","OK")))))))</f>
        <v>0</v>
      </c>
    </row>
    <row r="32" spans="1:39">
      <c r="A32" s="28">
        <f>IF(B32="","",ServicePrefix&amp;TEXT(ROW()-4,"000"))</f>
        <v>0</v>
      </c>
      <c r="P32" s="42">
        <f>IF(B32="","",ROUND((IF(E32="",0,E32)+IF(F32="",0,F32))/60,3))</f>
        <v>0</v>
      </c>
      <c r="Q32" s="26">
        <f>IF(B32="","",IF(H32&lt;&gt;"",H32,IF(G32="",0,ROUND(G32*ProductCostPercent,2))))</f>
        <v>0</v>
      </c>
      <c r="R32" s="26">
        <f>IF(B32="","",IF(J32="No",0,IF(G32="",0,ROUND(G32*ServiceCommission,2))))</f>
        <v>0</v>
      </c>
      <c r="S32" s="26">
        <f>IF(B32="","",ROUND(Q32+R32,2))</f>
        <v>0</v>
      </c>
      <c r="T32" s="26">
        <f>IF(B32="","",IF(G32="","",ROUND(G32-S32,2)))</f>
        <v>0</v>
      </c>
      <c r="U32" s="27">
        <f>IF(B32="","",IF(G32="","",IF(G32=0,"",T32/G32)))</f>
        <v>0</v>
      </c>
      <c r="V32" s="26">
        <f>IF(B32="","",IF(G32="","",IF(P32=0,"",ROUND(G32/P32,2))))</f>
        <v>0</v>
      </c>
      <c r="W32" s="26">
        <f>IF(B32="","",IF(T32="","",IF(P32=0,"",ROUND(T32/P32,2))))</f>
        <v>0</v>
      </c>
      <c r="X32" s="26">
        <f>IF(B32="","",IF(P32=0,"",IF(ServiceCommission&gt;=1,"",(Q32+TargetChairRate*P32)/IF(J32="No",1,1-ServiceCommission))))</f>
        <v>0</v>
      </c>
      <c r="Y32" s="26">
        <f>IF(B32="","",IF(X32="","",ROUND(IF(RoundingRule="None",X32,IF(RoundingRule="Nearest 0.99",MAX(0.99,CEILING(X32,1)-0.01),IF(RoundingRule="Nearest 0.95",MAX(0.95,CEILING(X32,1)-0.05),IF(RoundingRule="Nearest 0.50",CEILING(X32,0.5),IF(RoundingRule="Nearest 1",CEILING(X32,1),IF(RoundingRule="Nearest 5",CEILING(X32,5),IF(RoundingRule="Up to whole 1",CEILING(X32,1),IF(RoundingRule="Up to whole 5",CEILING(X32,5),ROUND(X32,2))))))))),2)))</f>
        <v>0</v>
      </c>
      <c r="Z32" s="26">
        <f>IF(B32="","",IF(Y32="","",IF(G32="","",ROUND(G32-Y32,2))))</f>
        <v>0</v>
      </c>
      <c r="AA32" s="25">
        <f>IF(B32="","",COUNTIFS(Appointments!$G$5:$G$1204,A32))</f>
        <v>0</v>
      </c>
      <c r="AB32" s="25">
        <f>IF(B32="","",COUNTIFS(Appointments!$G$5:$G$1204,A32,Appointments!$M$5:$M$1204,"Completed"))</f>
        <v>0</v>
      </c>
      <c r="AC32" s="25">
        <f>IF(B32="","",SUMIFS(Sales!$K$5:$K$1204,Sales!$I$5:$I$1204,A32,Sales!$H$5:$H$1204,"Service"))</f>
        <v>0</v>
      </c>
      <c r="AD32" s="26">
        <f>IF(B32="","",ROUND(SUMIFS(Sales!$Y$5:$Y$1204,Sales!$I$5:$I$1204,A32,Sales!$H$5:$H$1204,"Service"),2))</f>
        <v>0</v>
      </c>
      <c r="AE32" s="27">
        <f>IF(B32="","",IF(ServiceRevenueAll=0,"",AD32/ServiceRevenueAll))</f>
        <v>0</v>
      </c>
      <c r="AF32" s="26">
        <f>IF(B32="","",ROUND(AC32*T32,2))</f>
        <v>0</v>
      </c>
      <c r="AG32" s="37">
        <f>IF(B32="","",ROUND(AC32*P32,1))</f>
        <v>0</v>
      </c>
      <c r="AH32" s="27">
        <f>IF(B32="","",IF(AB32=0,"",COUNTIFS(Sales!$I$5:$I$1204,A32,Sales!$AJ$5:$AJ$1204,"Yes")/AB32))</f>
        <v>0</v>
      </c>
      <c r="AI32" s="17">
        <f>IF(B32="","",IFERROR(IF(COUNTIFS(Appointments!$G$5:$G$1204,A32)=0,"",SUMPRODUCT(MAX((Appointments!$G$5:$G$1204=A32)*IFERROR(Appointments!$B$5:$B$1204*1,0)))),""))</f>
        <v>0</v>
      </c>
      <c r="AJ32" s="25">
        <f>IF(B32="","",COUNTIFS($AD$5:$AD$204,"&gt;"&amp;AD32)+COUNTIFS($AD$5:AD32,AD32))</f>
        <v>0</v>
      </c>
      <c r="AK32" s="25">
        <f>IF(B32="","",COUNTIFS($W$5:$W$204,"&gt;"&amp;W32)+COUNTIFS($W$5:W32,W32))</f>
        <v>0</v>
      </c>
      <c r="AL32" s="25">
        <f>IF(B32="","",COUNTIFS($AB$5:$AB$204,"&gt;"&amp;AB32)+COUNTIFS($AB$5:AB32,AB32))</f>
        <v>0</v>
      </c>
      <c r="AM32" s="39">
        <f>IF(B32="","",IF(G32="","Add - no price yet",IF(E32="","Add - how long does it take?",IF(T32&lt;0,"Loss - this service costs you money",IF(V32&lt;TargetChairRate*0.7,"Check - well under your chair rate",IF(IF(N32="",FALSE,TodayDate-N32&gt;PriceReviewDays),"Due - price has not been reviewed",IF(IF(M32="Active",AB32=0,FALSE),"Check - on the menu but never booked","OK")))))))</f>
        <v>0</v>
      </c>
    </row>
    <row r="33" spans="1:39">
      <c r="A33" s="28">
        <f>IF(B33="","",ServicePrefix&amp;TEXT(ROW()-4,"000"))</f>
        <v>0</v>
      </c>
      <c r="P33" s="42">
        <f>IF(B33="","",ROUND((IF(E33="",0,E33)+IF(F33="",0,F33))/60,3))</f>
        <v>0</v>
      </c>
      <c r="Q33" s="26">
        <f>IF(B33="","",IF(H33&lt;&gt;"",H33,IF(G33="",0,ROUND(G33*ProductCostPercent,2))))</f>
        <v>0</v>
      </c>
      <c r="R33" s="26">
        <f>IF(B33="","",IF(J33="No",0,IF(G33="",0,ROUND(G33*ServiceCommission,2))))</f>
        <v>0</v>
      </c>
      <c r="S33" s="26">
        <f>IF(B33="","",ROUND(Q33+R33,2))</f>
        <v>0</v>
      </c>
      <c r="T33" s="26">
        <f>IF(B33="","",IF(G33="","",ROUND(G33-S33,2)))</f>
        <v>0</v>
      </c>
      <c r="U33" s="27">
        <f>IF(B33="","",IF(G33="","",IF(G33=0,"",T33/G33)))</f>
        <v>0</v>
      </c>
      <c r="V33" s="26">
        <f>IF(B33="","",IF(G33="","",IF(P33=0,"",ROUND(G33/P33,2))))</f>
        <v>0</v>
      </c>
      <c r="W33" s="26">
        <f>IF(B33="","",IF(T33="","",IF(P33=0,"",ROUND(T33/P33,2))))</f>
        <v>0</v>
      </c>
      <c r="X33" s="26">
        <f>IF(B33="","",IF(P33=0,"",IF(ServiceCommission&gt;=1,"",(Q33+TargetChairRate*P33)/IF(J33="No",1,1-ServiceCommission))))</f>
        <v>0</v>
      </c>
      <c r="Y33" s="26">
        <f>IF(B33="","",IF(X33="","",ROUND(IF(RoundingRule="None",X33,IF(RoundingRule="Nearest 0.99",MAX(0.99,CEILING(X33,1)-0.01),IF(RoundingRule="Nearest 0.95",MAX(0.95,CEILING(X33,1)-0.05),IF(RoundingRule="Nearest 0.50",CEILING(X33,0.5),IF(RoundingRule="Nearest 1",CEILING(X33,1),IF(RoundingRule="Nearest 5",CEILING(X33,5),IF(RoundingRule="Up to whole 1",CEILING(X33,1),IF(RoundingRule="Up to whole 5",CEILING(X33,5),ROUND(X33,2))))))))),2)))</f>
        <v>0</v>
      </c>
      <c r="Z33" s="26">
        <f>IF(B33="","",IF(Y33="","",IF(G33="","",ROUND(G33-Y33,2))))</f>
        <v>0</v>
      </c>
      <c r="AA33" s="25">
        <f>IF(B33="","",COUNTIFS(Appointments!$G$5:$G$1204,A33))</f>
        <v>0</v>
      </c>
      <c r="AB33" s="25">
        <f>IF(B33="","",COUNTIFS(Appointments!$G$5:$G$1204,A33,Appointments!$M$5:$M$1204,"Completed"))</f>
        <v>0</v>
      </c>
      <c r="AC33" s="25">
        <f>IF(B33="","",SUMIFS(Sales!$K$5:$K$1204,Sales!$I$5:$I$1204,A33,Sales!$H$5:$H$1204,"Service"))</f>
        <v>0</v>
      </c>
      <c r="AD33" s="26">
        <f>IF(B33="","",ROUND(SUMIFS(Sales!$Y$5:$Y$1204,Sales!$I$5:$I$1204,A33,Sales!$H$5:$H$1204,"Service"),2))</f>
        <v>0</v>
      </c>
      <c r="AE33" s="27">
        <f>IF(B33="","",IF(ServiceRevenueAll=0,"",AD33/ServiceRevenueAll))</f>
        <v>0</v>
      </c>
      <c r="AF33" s="26">
        <f>IF(B33="","",ROUND(AC33*T33,2))</f>
        <v>0</v>
      </c>
      <c r="AG33" s="37">
        <f>IF(B33="","",ROUND(AC33*P33,1))</f>
        <v>0</v>
      </c>
      <c r="AH33" s="27">
        <f>IF(B33="","",IF(AB33=0,"",COUNTIFS(Sales!$I$5:$I$1204,A33,Sales!$AJ$5:$AJ$1204,"Yes")/AB33))</f>
        <v>0</v>
      </c>
      <c r="AI33" s="17">
        <f>IF(B33="","",IFERROR(IF(COUNTIFS(Appointments!$G$5:$G$1204,A33)=0,"",SUMPRODUCT(MAX((Appointments!$G$5:$G$1204=A33)*IFERROR(Appointments!$B$5:$B$1204*1,0)))),""))</f>
        <v>0</v>
      </c>
      <c r="AJ33" s="25">
        <f>IF(B33="","",COUNTIFS($AD$5:$AD$204,"&gt;"&amp;AD33)+COUNTIFS($AD$5:AD33,AD33))</f>
        <v>0</v>
      </c>
      <c r="AK33" s="25">
        <f>IF(B33="","",COUNTIFS($W$5:$W$204,"&gt;"&amp;W33)+COUNTIFS($W$5:W33,W33))</f>
        <v>0</v>
      </c>
      <c r="AL33" s="25">
        <f>IF(B33="","",COUNTIFS($AB$5:$AB$204,"&gt;"&amp;AB33)+COUNTIFS($AB$5:AB33,AB33))</f>
        <v>0</v>
      </c>
      <c r="AM33" s="39">
        <f>IF(B33="","",IF(G33="","Add - no price yet",IF(E33="","Add - how long does it take?",IF(T33&lt;0,"Loss - this service costs you money",IF(V33&lt;TargetChairRate*0.7,"Check - well under your chair rate",IF(IF(N33="",FALSE,TodayDate-N33&gt;PriceReviewDays),"Due - price has not been reviewed",IF(IF(M33="Active",AB33=0,FALSE),"Check - on the menu but never booked","OK")))))))</f>
        <v>0</v>
      </c>
    </row>
    <row r="34" spans="1:39">
      <c r="A34" s="28">
        <f>IF(B34="","",ServicePrefix&amp;TEXT(ROW()-4,"000"))</f>
        <v>0</v>
      </c>
      <c r="P34" s="42">
        <f>IF(B34="","",ROUND((IF(E34="",0,E34)+IF(F34="",0,F34))/60,3))</f>
        <v>0</v>
      </c>
      <c r="Q34" s="26">
        <f>IF(B34="","",IF(H34&lt;&gt;"",H34,IF(G34="",0,ROUND(G34*ProductCostPercent,2))))</f>
        <v>0</v>
      </c>
      <c r="R34" s="26">
        <f>IF(B34="","",IF(J34="No",0,IF(G34="",0,ROUND(G34*ServiceCommission,2))))</f>
        <v>0</v>
      </c>
      <c r="S34" s="26">
        <f>IF(B34="","",ROUND(Q34+R34,2))</f>
        <v>0</v>
      </c>
      <c r="T34" s="26">
        <f>IF(B34="","",IF(G34="","",ROUND(G34-S34,2)))</f>
        <v>0</v>
      </c>
      <c r="U34" s="27">
        <f>IF(B34="","",IF(G34="","",IF(G34=0,"",T34/G34)))</f>
        <v>0</v>
      </c>
      <c r="V34" s="26">
        <f>IF(B34="","",IF(G34="","",IF(P34=0,"",ROUND(G34/P34,2))))</f>
        <v>0</v>
      </c>
      <c r="W34" s="26">
        <f>IF(B34="","",IF(T34="","",IF(P34=0,"",ROUND(T34/P34,2))))</f>
        <v>0</v>
      </c>
      <c r="X34" s="26">
        <f>IF(B34="","",IF(P34=0,"",IF(ServiceCommission&gt;=1,"",(Q34+TargetChairRate*P34)/IF(J34="No",1,1-ServiceCommission))))</f>
        <v>0</v>
      </c>
      <c r="Y34" s="26">
        <f>IF(B34="","",IF(X34="","",ROUND(IF(RoundingRule="None",X34,IF(RoundingRule="Nearest 0.99",MAX(0.99,CEILING(X34,1)-0.01),IF(RoundingRule="Nearest 0.95",MAX(0.95,CEILING(X34,1)-0.05),IF(RoundingRule="Nearest 0.50",CEILING(X34,0.5),IF(RoundingRule="Nearest 1",CEILING(X34,1),IF(RoundingRule="Nearest 5",CEILING(X34,5),IF(RoundingRule="Up to whole 1",CEILING(X34,1),IF(RoundingRule="Up to whole 5",CEILING(X34,5),ROUND(X34,2))))))))),2)))</f>
        <v>0</v>
      </c>
      <c r="Z34" s="26">
        <f>IF(B34="","",IF(Y34="","",IF(G34="","",ROUND(G34-Y34,2))))</f>
        <v>0</v>
      </c>
      <c r="AA34" s="25">
        <f>IF(B34="","",COUNTIFS(Appointments!$G$5:$G$1204,A34))</f>
        <v>0</v>
      </c>
      <c r="AB34" s="25">
        <f>IF(B34="","",COUNTIFS(Appointments!$G$5:$G$1204,A34,Appointments!$M$5:$M$1204,"Completed"))</f>
        <v>0</v>
      </c>
      <c r="AC34" s="25">
        <f>IF(B34="","",SUMIFS(Sales!$K$5:$K$1204,Sales!$I$5:$I$1204,A34,Sales!$H$5:$H$1204,"Service"))</f>
        <v>0</v>
      </c>
      <c r="AD34" s="26">
        <f>IF(B34="","",ROUND(SUMIFS(Sales!$Y$5:$Y$1204,Sales!$I$5:$I$1204,A34,Sales!$H$5:$H$1204,"Service"),2))</f>
        <v>0</v>
      </c>
      <c r="AE34" s="27">
        <f>IF(B34="","",IF(ServiceRevenueAll=0,"",AD34/ServiceRevenueAll))</f>
        <v>0</v>
      </c>
      <c r="AF34" s="26">
        <f>IF(B34="","",ROUND(AC34*T34,2))</f>
        <v>0</v>
      </c>
      <c r="AG34" s="37">
        <f>IF(B34="","",ROUND(AC34*P34,1))</f>
        <v>0</v>
      </c>
      <c r="AH34" s="27">
        <f>IF(B34="","",IF(AB34=0,"",COUNTIFS(Sales!$I$5:$I$1204,A34,Sales!$AJ$5:$AJ$1204,"Yes")/AB34))</f>
        <v>0</v>
      </c>
      <c r="AI34" s="17">
        <f>IF(B34="","",IFERROR(IF(COUNTIFS(Appointments!$G$5:$G$1204,A34)=0,"",SUMPRODUCT(MAX((Appointments!$G$5:$G$1204=A34)*IFERROR(Appointments!$B$5:$B$1204*1,0)))),""))</f>
        <v>0</v>
      </c>
      <c r="AJ34" s="25">
        <f>IF(B34="","",COUNTIFS($AD$5:$AD$204,"&gt;"&amp;AD34)+COUNTIFS($AD$5:AD34,AD34))</f>
        <v>0</v>
      </c>
      <c r="AK34" s="25">
        <f>IF(B34="","",COUNTIFS($W$5:$W$204,"&gt;"&amp;W34)+COUNTIFS($W$5:W34,W34))</f>
        <v>0</v>
      </c>
      <c r="AL34" s="25">
        <f>IF(B34="","",COUNTIFS($AB$5:$AB$204,"&gt;"&amp;AB34)+COUNTIFS($AB$5:AB34,AB34))</f>
        <v>0</v>
      </c>
      <c r="AM34" s="39">
        <f>IF(B34="","",IF(G34="","Add - no price yet",IF(E34="","Add - how long does it take?",IF(T34&lt;0,"Loss - this service costs you money",IF(V34&lt;TargetChairRate*0.7,"Check - well under your chair rate",IF(IF(N34="",FALSE,TodayDate-N34&gt;PriceReviewDays),"Due - price has not been reviewed",IF(IF(M34="Active",AB34=0,FALSE),"Check - on the menu but never booked","OK")))))))</f>
        <v>0</v>
      </c>
    </row>
    <row r="35" spans="1:39">
      <c r="A35" s="28">
        <f>IF(B35="","",ServicePrefix&amp;TEXT(ROW()-4,"000"))</f>
        <v>0</v>
      </c>
      <c r="P35" s="42">
        <f>IF(B35="","",ROUND((IF(E35="",0,E35)+IF(F35="",0,F35))/60,3))</f>
        <v>0</v>
      </c>
      <c r="Q35" s="26">
        <f>IF(B35="","",IF(H35&lt;&gt;"",H35,IF(G35="",0,ROUND(G35*ProductCostPercent,2))))</f>
        <v>0</v>
      </c>
      <c r="R35" s="26">
        <f>IF(B35="","",IF(J35="No",0,IF(G35="",0,ROUND(G35*ServiceCommission,2))))</f>
        <v>0</v>
      </c>
      <c r="S35" s="26">
        <f>IF(B35="","",ROUND(Q35+R35,2))</f>
        <v>0</v>
      </c>
      <c r="T35" s="26">
        <f>IF(B35="","",IF(G35="","",ROUND(G35-S35,2)))</f>
        <v>0</v>
      </c>
      <c r="U35" s="27">
        <f>IF(B35="","",IF(G35="","",IF(G35=0,"",T35/G35)))</f>
        <v>0</v>
      </c>
      <c r="V35" s="26">
        <f>IF(B35="","",IF(G35="","",IF(P35=0,"",ROUND(G35/P35,2))))</f>
        <v>0</v>
      </c>
      <c r="W35" s="26">
        <f>IF(B35="","",IF(T35="","",IF(P35=0,"",ROUND(T35/P35,2))))</f>
        <v>0</v>
      </c>
      <c r="X35" s="26">
        <f>IF(B35="","",IF(P35=0,"",IF(ServiceCommission&gt;=1,"",(Q35+TargetChairRate*P35)/IF(J35="No",1,1-ServiceCommission))))</f>
        <v>0</v>
      </c>
      <c r="Y35" s="26">
        <f>IF(B35="","",IF(X35="","",ROUND(IF(RoundingRule="None",X35,IF(RoundingRule="Nearest 0.99",MAX(0.99,CEILING(X35,1)-0.01),IF(RoundingRule="Nearest 0.95",MAX(0.95,CEILING(X35,1)-0.05),IF(RoundingRule="Nearest 0.50",CEILING(X35,0.5),IF(RoundingRule="Nearest 1",CEILING(X35,1),IF(RoundingRule="Nearest 5",CEILING(X35,5),IF(RoundingRule="Up to whole 1",CEILING(X35,1),IF(RoundingRule="Up to whole 5",CEILING(X35,5),ROUND(X35,2))))))))),2)))</f>
        <v>0</v>
      </c>
      <c r="Z35" s="26">
        <f>IF(B35="","",IF(Y35="","",IF(G35="","",ROUND(G35-Y35,2))))</f>
        <v>0</v>
      </c>
      <c r="AA35" s="25">
        <f>IF(B35="","",COUNTIFS(Appointments!$G$5:$G$1204,A35))</f>
        <v>0</v>
      </c>
      <c r="AB35" s="25">
        <f>IF(B35="","",COUNTIFS(Appointments!$G$5:$G$1204,A35,Appointments!$M$5:$M$1204,"Completed"))</f>
        <v>0</v>
      </c>
      <c r="AC35" s="25">
        <f>IF(B35="","",SUMIFS(Sales!$K$5:$K$1204,Sales!$I$5:$I$1204,A35,Sales!$H$5:$H$1204,"Service"))</f>
        <v>0</v>
      </c>
      <c r="AD35" s="26">
        <f>IF(B35="","",ROUND(SUMIFS(Sales!$Y$5:$Y$1204,Sales!$I$5:$I$1204,A35,Sales!$H$5:$H$1204,"Service"),2))</f>
        <v>0</v>
      </c>
      <c r="AE35" s="27">
        <f>IF(B35="","",IF(ServiceRevenueAll=0,"",AD35/ServiceRevenueAll))</f>
        <v>0</v>
      </c>
      <c r="AF35" s="26">
        <f>IF(B35="","",ROUND(AC35*T35,2))</f>
        <v>0</v>
      </c>
      <c r="AG35" s="37">
        <f>IF(B35="","",ROUND(AC35*P35,1))</f>
        <v>0</v>
      </c>
      <c r="AH35" s="27">
        <f>IF(B35="","",IF(AB35=0,"",COUNTIFS(Sales!$I$5:$I$1204,A35,Sales!$AJ$5:$AJ$1204,"Yes")/AB35))</f>
        <v>0</v>
      </c>
      <c r="AI35" s="17">
        <f>IF(B35="","",IFERROR(IF(COUNTIFS(Appointments!$G$5:$G$1204,A35)=0,"",SUMPRODUCT(MAX((Appointments!$G$5:$G$1204=A35)*IFERROR(Appointments!$B$5:$B$1204*1,0)))),""))</f>
        <v>0</v>
      </c>
      <c r="AJ35" s="25">
        <f>IF(B35="","",COUNTIFS($AD$5:$AD$204,"&gt;"&amp;AD35)+COUNTIFS($AD$5:AD35,AD35))</f>
        <v>0</v>
      </c>
      <c r="AK35" s="25">
        <f>IF(B35="","",COUNTIFS($W$5:$W$204,"&gt;"&amp;W35)+COUNTIFS($W$5:W35,W35))</f>
        <v>0</v>
      </c>
      <c r="AL35" s="25">
        <f>IF(B35="","",COUNTIFS($AB$5:$AB$204,"&gt;"&amp;AB35)+COUNTIFS($AB$5:AB35,AB35))</f>
        <v>0</v>
      </c>
      <c r="AM35" s="39">
        <f>IF(B35="","",IF(G35="","Add - no price yet",IF(E35="","Add - how long does it take?",IF(T35&lt;0,"Loss - this service costs you money",IF(V35&lt;TargetChairRate*0.7,"Check - well under your chair rate",IF(IF(N35="",FALSE,TodayDate-N35&gt;PriceReviewDays),"Due - price has not been reviewed",IF(IF(M35="Active",AB35=0,FALSE),"Check - on the menu but never booked","OK")))))))</f>
        <v>0</v>
      </c>
    </row>
    <row r="36" spans="1:39">
      <c r="A36" s="28">
        <f>IF(B36="","",ServicePrefix&amp;TEXT(ROW()-4,"000"))</f>
        <v>0</v>
      </c>
      <c r="P36" s="42">
        <f>IF(B36="","",ROUND((IF(E36="",0,E36)+IF(F36="",0,F36))/60,3))</f>
        <v>0</v>
      </c>
      <c r="Q36" s="26">
        <f>IF(B36="","",IF(H36&lt;&gt;"",H36,IF(G36="",0,ROUND(G36*ProductCostPercent,2))))</f>
        <v>0</v>
      </c>
      <c r="R36" s="26">
        <f>IF(B36="","",IF(J36="No",0,IF(G36="",0,ROUND(G36*ServiceCommission,2))))</f>
        <v>0</v>
      </c>
      <c r="S36" s="26">
        <f>IF(B36="","",ROUND(Q36+R36,2))</f>
        <v>0</v>
      </c>
      <c r="T36" s="26">
        <f>IF(B36="","",IF(G36="","",ROUND(G36-S36,2)))</f>
        <v>0</v>
      </c>
      <c r="U36" s="27">
        <f>IF(B36="","",IF(G36="","",IF(G36=0,"",T36/G36)))</f>
        <v>0</v>
      </c>
      <c r="V36" s="26">
        <f>IF(B36="","",IF(G36="","",IF(P36=0,"",ROUND(G36/P36,2))))</f>
        <v>0</v>
      </c>
      <c r="W36" s="26">
        <f>IF(B36="","",IF(T36="","",IF(P36=0,"",ROUND(T36/P36,2))))</f>
        <v>0</v>
      </c>
      <c r="X36" s="26">
        <f>IF(B36="","",IF(P36=0,"",IF(ServiceCommission&gt;=1,"",(Q36+TargetChairRate*P36)/IF(J36="No",1,1-ServiceCommission))))</f>
        <v>0</v>
      </c>
      <c r="Y36" s="26">
        <f>IF(B36="","",IF(X36="","",ROUND(IF(RoundingRule="None",X36,IF(RoundingRule="Nearest 0.99",MAX(0.99,CEILING(X36,1)-0.01),IF(RoundingRule="Nearest 0.95",MAX(0.95,CEILING(X36,1)-0.05),IF(RoundingRule="Nearest 0.50",CEILING(X36,0.5),IF(RoundingRule="Nearest 1",CEILING(X36,1),IF(RoundingRule="Nearest 5",CEILING(X36,5),IF(RoundingRule="Up to whole 1",CEILING(X36,1),IF(RoundingRule="Up to whole 5",CEILING(X36,5),ROUND(X36,2))))))))),2)))</f>
        <v>0</v>
      </c>
      <c r="Z36" s="26">
        <f>IF(B36="","",IF(Y36="","",IF(G36="","",ROUND(G36-Y36,2))))</f>
        <v>0</v>
      </c>
      <c r="AA36" s="25">
        <f>IF(B36="","",COUNTIFS(Appointments!$G$5:$G$1204,A36))</f>
        <v>0</v>
      </c>
      <c r="AB36" s="25">
        <f>IF(B36="","",COUNTIFS(Appointments!$G$5:$G$1204,A36,Appointments!$M$5:$M$1204,"Completed"))</f>
        <v>0</v>
      </c>
      <c r="AC36" s="25">
        <f>IF(B36="","",SUMIFS(Sales!$K$5:$K$1204,Sales!$I$5:$I$1204,A36,Sales!$H$5:$H$1204,"Service"))</f>
        <v>0</v>
      </c>
      <c r="AD36" s="26">
        <f>IF(B36="","",ROUND(SUMIFS(Sales!$Y$5:$Y$1204,Sales!$I$5:$I$1204,A36,Sales!$H$5:$H$1204,"Service"),2))</f>
        <v>0</v>
      </c>
      <c r="AE36" s="27">
        <f>IF(B36="","",IF(ServiceRevenueAll=0,"",AD36/ServiceRevenueAll))</f>
        <v>0</v>
      </c>
      <c r="AF36" s="26">
        <f>IF(B36="","",ROUND(AC36*T36,2))</f>
        <v>0</v>
      </c>
      <c r="AG36" s="37">
        <f>IF(B36="","",ROUND(AC36*P36,1))</f>
        <v>0</v>
      </c>
      <c r="AH36" s="27">
        <f>IF(B36="","",IF(AB36=0,"",COUNTIFS(Sales!$I$5:$I$1204,A36,Sales!$AJ$5:$AJ$1204,"Yes")/AB36))</f>
        <v>0</v>
      </c>
      <c r="AI36" s="17">
        <f>IF(B36="","",IFERROR(IF(COUNTIFS(Appointments!$G$5:$G$1204,A36)=0,"",SUMPRODUCT(MAX((Appointments!$G$5:$G$1204=A36)*IFERROR(Appointments!$B$5:$B$1204*1,0)))),""))</f>
        <v>0</v>
      </c>
      <c r="AJ36" s="25">
        <f>IF(B36="","",COUNTIFS($AD$5:$AD$204,"&gt;"&amp;AD36)+COUNTIFS($AD$5:AD36,AD36))</f>
        <v>0</v>
      </c>
      <c r="AK36" s="25">
        <f>IF(B36="","",COUNTIFS($W$5:$W$204,"&gt;"&amp;W36)+COUNTIFS($W$5:W36,W36))</f>
        <v>0</v>
      </c>
      <c r="AL36" s="25">
        <f>IF(B36="","",COUNTIFS($AB$5:$AB$204,"&gt;"&amp;AB36)+COUNTIFS($AB$5:AB36,AB36))</f>
        <v>0</v>
      </c>
      <c r="AM36" s="39">
        <f>IF(B36="","",IF(G36="","Add - no price yet",IF(E36="","Add - how long does it take?",IF(T36&lt;0,"Loss - this service costs you money",IF(V36&lt;TargetChairRate*0.7,"Check - well under your chair rate",IF(IF(N36="",FALSE,TodayDate-N36&gt;PriceReviewDays),"Due - price has not been reviewed",IF(IF(M36="Active",AB36=0,FALSE),"Check - on the menu but never booked","OK")))))))</f>
        <v>0</v>
      </c>
    </row>
    <row r="37" spans="1:39">
      <c r="A37" s="28">
        <f>IF(B37="","",ServicePrefix&amp;TEXT(ROW()-4,"000"))</f>
        <v>0</v>
      </c>
      <c r="P37" s="42">
        <f>IF(B37="","",ROUND((IF(E37="",0,E37)+IF(F37="",0,F37))/60,3))</f>
        <v>0</v>
      </c>
      <c r="Q37" s="26">
        <f>IF(B37="","",IF(H37&lt;&gt;"",H37,IF(G37="",0,ROUND(G37*ProductCostPercent,2))))</f>
        <v>0</v>
      </c>
      <c r="R37" s="26">
        <f>IF(B37="","",IF(J37="No",0,IF(G37="",0,ROUND(G37*ServiceCommission,2))))</f>
        <v>0</v>
      </c>
      <c r="S37" s="26">
        <f>IF(B37="","",ROUND(Q37+R37,2))</f>
        <v>0</v>
      </c>
      <c r="T37" s="26">
        <f>IF(B37="","",IF(G37="","",ROUND(G37-S37,2)))</f>
        <v>0</v>
      </c>
      <c r="U37" s="27">
        <f>IF(B37="","",IF(G37="","",IF(G37=0,"",T37/G37)))</f>
        <v>0</v>
      </c>
      <c r="V37" s="26">
        <f>IF(B37="","",IF(G37="","",IF(P37=0,"",ROUND(G37/P37,2))))</f>
        <v>0</v>
      </c>
      <c r="W37" s="26">
        <f>IF(B37="","",IF(T37="","",IF(P37=0,"",ROUND(T37/P37,2))))</f>
        <v>0</v>
      </c>
      <c r="X37" s="26">
        <f>IF(B37="","",IF(P37=0,"",IF(ServiceCommission&gt;=1,"",(Q37+TargetChairRate*P37)/IF(J37="No",1,1-ServiceCommission))))</f>
        <v>0</v>
      </c>
      <c r="Y37" s="26">
        <f>IF(B37="","",IF(X37="","",ROUND(IF(RoundingRule="None",X37,IF(RoundingRule="Nearest 0.99",MAX(0.99,CEILING(X37,1)-0.01),IF(RoundingRule="Nearest 0.95",MAX(0.95,CEILING(X37,1)-0.05),IF(RoundingRule="Nearest 0.50",CEILING(X37,0.5),IF(RoundingRule="Nearest 1",CEILING(X37,1),IF(RoundingRule="Nearest 5",CEILING(X37,5),IF(RoundingRule="Up to whole 1",CEILING(X37,1),IF(RoundingRule="Up to whole 5",CEILING(X37,5),ROUND(X37,2))))))))),2)))</f>
        <v>0</v>
      </c>
      <c r="Z37" s="26">
        <f>IF(B37="","",IF(Y37="","",IF(G37="","",ROUND(G37-Y37,2))))</f>
        <v>0</v>
      </c>
      <c r="AA37" s="25">
        <f>IF(B37="","",COUNTIFS(Appointments!$G$5:$G$1204,A37))</f>
        <v>0</v>
      </c>
      <c r="AB37" s="25">
        <f>IF(B37="","",COUNTIFS(Appointments!$G$5:$G$1204,A37,Appointments!$M$5:$M$1204,"Completed"))</f>
        <v>0</v>
      </c>
      <c r="AC37" s="25">
        <f>IF(B37="","",SUMIFS(Sales!$K$5:$K$1204,Sales!$I$5:$I$1204,A37,Sales!$H$5:$H$1204,"Service"))</f>
        <v>0</v>
      </c>
      <c r="AD37" s="26">
        <f>IF(B37="","",ROUND(SUMIFS(Sales!$Y$5:$Y$1204,Sales!$I$5:$I$1204,A37,Sales!$H$5:$H$1204,"Service"),2))</f>
        <v>0</v>
      </c>
      <c r="AE37" s="27">
        <f>IF(B37="","",IF(ServiceRevenueAll=0,"",AD37/ServiceRevenueAll))</f>
        <v>0</v>
      </c>
      <c r="AF37" s="26">
        <f>IF(B37="","",ROUND(AC37*T37,2))</f>
        <v>0</v>
      </c>
      <c r="AG37" s="37">
        <f>IF(B37="","",ROUND(AC37*P37,1))</f>
        <v>0</v>
      </c>
      <c r="AH37" s="27">
        <f>IF(B37="","",IF(AB37=0,"",COUNTIFS(Sales!$I$5:$I$1204,A37,Sales!$AJ$5:$AJ$1204,"Yes")/AB37))</f>
        <v>0</v>
      </c>
      <c r="AI37" s="17">
        <f>IF(B37="","",IFERROR(IF(COUNTIFS(Appointments!$G$5:$G$1204,A37)=0,"",SUMPRODUCT(MAX((Appointments!$G$5:$G$1204=A37)*IFERROR(Appointments!$B$5:$B$1204*1,0)))),""))</f>
        <v>0</v>
      </c>
      <c r="AJ37" s="25">
        <f>IF(B37="","",COUNTIFS($AD$5:$AD$204,"&gt;"&amp;AD37)+COUNTIFS($AD$5:AD37,AD37))</f>
        <v>0</v>
      </c>
      <c r="AK37" s="25">
        <f>IF(B37="","",COUNTIFS($W$5:$W$204,"&gt;"&amp;W37)+COUNTIFS($W$5:W37,W37))</f>
        <v>0</v>
      </c>
      <c r="AL37" s="25">
        <f>IF(B37="","",COUNTIFS($AB$5:$AB$204,"&gt;"&amp;AB37)+COUNTIFS($AB$5:AB37,AB37))</f>
        <v>0</v>
      </c>
      <c r="AM37" s="39">
        <f>IF(B37="","",IF(G37="","Add - no price yet",IF(E37="","Add - how long does it take?",IF(T37&lt;0,"Loss - this service costs you money",IF(V37&lt;TargetChairRate*0.7,"Check - well under your chair rate",IF(IF(N37="",FALSE,TodayDate-N37&gt;PriceReviewDays),"Due - price has not been reviewed",IF(IF(M37="Active",AB37=0,FALSE),"Check - on the menu but never booked","OK")))))))</f>
        <v>0</v>
      </c>
    </row>
    <row r="38" spans="1:39">
      <c r="A38" s="28">
        <f>IF(B38="","",ServicePrefix&amp;TEXT(ROW()-4,"000"))</f>
        <v>0</v>
      </c>
      <c r="P38" s="42">
        <f>IF(B38="","",ROUND((IF(E38="",0,E38)+IF(F38="",0,F38))/60,3))</f>
        <v>0</v>
      </c>
      <c r="Q38" s="26">
        <f>IF(B38="","",IF(H38&lt;&gt;"",H38,IF(G38="",0,ROUND(G38*ProductCostPercent,2))))</f>
        <v>0</v>
      </c>
      <c r="R38" s="26">
        <f>IF(B38="","",IF(J38="No",0,IF(G38="",0,ROUND(G38*ServiceCommission,2))))</f>
        <v>0</v>
      </c>
      <c r="S38" s="26">
        <f>IF(B38="","",ROUND(Q38+R38,2))</f>
        <v>0</v>
      </c>
      <c r="T38" s="26">
        <f>IF(B38="","",IF(G38="","",ROUND(G38-S38,2)))</f>
        <v>0</v>
      </c>
      <c r="U38" s="27">
        <f>IF(B38="","",IF(G38="","",IF(G38=0,"",T38/G38)))</f>
        <v>0</v>
      </c>
      <c r="V38" s="26">
        <f>IF(B38="","",IF(G38="","",IF(P38=0,"",ROUND(G38/P38,2))))</f>
        <v>0</v>
      </c>
      <c r="W38" s="26">
        <f>IF(B38="","",IF(T38="","",IF(P38=0,"",ROUND(T38/P38,2))))</f>
        <v>0</v>
      </c>
      <c r="X38" s="26">
        <f>IF(B38="","",IF(P38=0,"",IF(ServiceCommission&gt;=1,"",(Q38+TargetChairRate*P38)/IF(J38="No",1,1-ServiceCommission))))</f>
        <v>0</v>
      </c>
      <c r="Y38" s="26">
        <f>IF(B38="","",IF(X38="","",ROUND(IF(RoundingRule="None",X38,IF(RoundingRule="Nearest 0.99",MAX(0.99,CEILING(X38,1)-0.01),IF(RoundingRule="Nearest 0.95",MAX(0.95,CEILING(X38,1)-0.05),IF(RoundingRule="Nearest 0.50",CEILING(X38,0.5),IF(RoundingRule="Nearest 1",CEILING(X38,1),IF(RoundingRule="Nearest 5",CEILING(X38,5),IF(RoundingRule="Up to whole 1",CEILING(X38,1),IF(RoundingRule="Up to whole 5",CEILING(X38,5),ROUND(X38,2))))))))),2)))</f>
        <v>0</v>
      </c>
      <c r="Z38" s="26">
        <f>IF(B38="","",IF(Y38="","",IF(G38="","",ROUND(G38-Y38,2))))</f>
        <v>0</v>
      </c>
      <c r="AA38" s="25">
        <f>IF(B38="","",COUNTIFS(Appointments!$G$5:$G$1204,A38))</f>
        <v>0</v>
      </c>
      <c r="AB38" s="25">
        <f>IF(B38="","",COUNTIFS(Appointments!$G$5:$G$1204,A38,Appointments!$M$5:$M$1204,"Completed"))</f>
        <v>0</v>
      </c>
      <c r="AC38" s="25">
        <f>IF(B38="","",SUMIFS(Sales!$K$5:$K$1204,Sales!$I$5:$I$1204,A38,Sales!$H$5:$H$1204,"Service"))</f>
        <v>0</v>
      </c>
      <c r="AD38" s="26">
        <f>IF(B38="","",ROUND(SUMIFS(Sales!$Y$5:$Y$1204,Sales!$I$5:$I$1204,A38,Sales!$H$5:$H$1204,"Service"),2))</f>
        <v>0</v>
      </c>
      <c r="AE38" s="27">
        <f>IF(B38="","",IF(ServiceRevenueAll=0,"",AD38/ServiceRevenueAll))</f>
        <v>0</v>
      </c>
      <c r="AF38" s="26">
        <f>IF(B38="","",ROUND(AC38*T38,2))</f>
        <v>0</v>
      </c>
      <c r="AG38" s="37">
        <f>IF(B38="","",ROUND(AC38*P38,1))</f>
        <v>0</v>
      </c>
      <c r="AH38" s="27">
        <f>IF(B38="","",IF(AB38=0,"",COUNTIFS(Sales!$I$5:$I$1204,A38,Sales!$AJ$5:$AJ$1204,"Yes")/AB38))</f>
        <v>0</v>
      </c>
      <c r="AI38" s="17">
        <f>IF(B38="","",IFERROR(IF(COUNTIFS(Appointments!$G$5:$G$1204,A38)=0,"",SUMPRODUCT(MAX((Appointments!$G$5:$G$1204=A38)*IFERROR(Appointments!$B$5:$B$1204*1,0)))),""))</f>
        <v>0</v>
      </c>
      <c r="AJ38" s="25">
        <f>IF(B38="","",COUNTIFS($AD$5:$AD$204,"&gt;"&amp;AD38)+COUNTIFS($AD$5:AD38,AD38))</f>
        <v>0</v>
      </c>
      <c r="AK38" s="25">
        <f>IF(B38="","",COUNTIFS($W$5:$W$204,"&gt;"&amp;W38)+COUNTIFS($W$5:W38,W38))</f>
        <v>0</v>
      </c>
      <c r="AL38" s="25">
        <f>IF(B38="","",COUNTIFS($AB$5:$AB$204,"&gt;"&amp;AB38)+COUNTIFS($AB$5:AB38,AB38))</f>
        <v>0</v>
      </c>
      <c r="AM38" s="39">
        <f>IF(B38="","",IF(G38="","Add - no price yet",IF(E38="","Add - how long does it take?",IF(T38&lt;0,"Loss - this service costs you money",IF(V38&lt;TargetChairRate*0.7,"Check - well under your chair rate",IF(IF(N38="",FALSE,TodayDate-N38&gt;PriceReviewDays),"Due - price has not been reviewed",IF(IF(M38="Active",AB38=0,FALSE),"Check - on the menu but never booked","OK")))))))</f>
        <v>0</v>
      </c>
    </row>
    <row r="39" spans="1:39">
      <c r="A39" s="28">
        <f>IF(B39="","",ServicePrefix&amp;TEXT(ROW()-4,"000"))</f>
        <v>0</v>
      </c>
      <c r="P39" s="42">
        <f>IF(B39="","",ROUND((IF(E39="",0,E39)+IF(F39="",0,F39))/60,3))</f>
        <v>0</v>
      </c>
      <c r="Q39" s="26">
        <f>IF(B39="","",IF(H39&lt;&gt;"",H39,IF(G39="",0,ROUND(G39*ProductCostPercent,2))))</f>
        <v>0</v>
      </c>
      <c r="R39" s="26">
        <f>IF(B39="","",IF(J39="No",0,IF(G39="",0,ROUND(G39*ServiceCommission,2))))</f>
        <v>0</v>
      </c>
      <c r="S39" s="26">
        <f>IF(B39="","",ROUND(Q39+R39,2))</f>
        <v>0</v>
      </c>
      <c r="T39" s="26">
        <f>IF(B39="","",IF(G39="","",ROUND(G39-S39,2)))</f>
        <v>0</v>
      </c>
      <c r="U39" s="27">
        <f>IF(B39="","",IF(G39="","",IF(G39=0,"",T39/G39)))</f>
        <v>0</v>
      </c>
      <c r="V39" s="26">
        <f>IF(B39="","",IF(G39="","",IF(P39=0,"",ROUND(G39/P39,2))))</f>
        <v>0</v>
      </c>
      <c r="W39" s="26">
        <f>IF(B39="","",IF(T39="","",IF(P39=0,"",ROUND(T39/P39,2))))</f>
        <v>0</v>
      </c>
      <c r="X39" s="26">
        <f>IF(B39="","",IF(P39=0,"",IF(ServiceCommission&gt;=1,"",(Q39+TargetChairRate*P39)/IF(J39="No",1,1-ServiceCommission))))</f>
        <v>0</v>
      </c>
      <c r="Y39" s="26">
        <f>IF(B39="","",IF(X39="","",ROUND(IF(RoundingRule="None",X39,IF(RoundingRule="Nearest 0.99",MAX(0.99,CEILING(X39,1)-0.01),IF(RoundingRule="Nearest 0.95",MAX(0.95,CEILING(X39,1)-0.05),IF(RoundingRule="Nearest 0.50",CEILING(X39,0.5),IF(RoundingRule="Nearest 1",CEILING(X39,1),IF(RoundingRule="Nearest 5",CEILING(X39,5),IF(RoundingRule="Up to whole 1",CEILING(X39,1),IF(RoundingRule="Up to whole 5",CEILING(X39,5),ROUND(X39,2))))))))),2)))</f>
        <v>0</v>
      </c>
      <c r="Z39" s="26">
        <f>IF(B39="","",IF(Y39="","",IF(G39="","",ROUND(G39-Y39,2))))</f>
        <v>0</v>
      </c>
      <c r="AA39" s="25">
        <f>IF(B39="","",COUNTIFS(Appointments!$G$5:$G$1204,A39))</f>
        <v>0</v>
      </c>
      <c r="AB39" s="25">
        <f>IF(B39="","",COUNTIFS(Appointments!$G$5:$G$1204,A39,Appointments!$M$5:$M$1204,"Completed"))</f>
        <v>0</v>
      </c>
      <c r="AC39" s="25">
        <f>IF(B39="","",SUMIFS(Sales!$K$5:$K$1204,Sales!$I$5:$I$1204,A39,Sales!$H$5:$H$1204,"Service"))</f>
        <v>0</v>
      </c>
      <c r="AD39" s="26">
        <f>IF(B39="","",ROUND(SUMIFS(Sales!$Y$5:$Y$1204,Sales!$I$5:$I$1204,A39,Sales!$H$5:$H$1204,"Service"),2))</f>
        <v>0</v>
      </c>
      <c r="AE39" s="27">
        <f>IF(B39="","",IF(ServiceRevenueAll=0,"",AD39/ServiceRevenueAll))</f>
        <v>0</v>
      </c>
      <c r="AF39" s="26">
        <f>IF(B39="","",ROUND(AC39*T39,2))</f>
        <v>0</v>
      </c>
      <c r="AG39" s="37">
        <f>IF(B39="","",ROUND(AC39*P39,1))</f>
        <v>0</v>
      </c>
      <c r="AH39" s="27">
        <f>IF(B39="","",IF(AB39=0,"",COUNTIFS(Sales!$I$5:$I$1204,A39,Sales!$AJ$5:$AJ$1204,"Yes")/AB39))</f>
        <v>0</v>
      </c>
      <c r="AI39" s="17">
        <f>IF(B39="","",IFERROR(IF(COUNTIFS(Appointments!$G$5:$G$1204,A39)=0,"",SUMPRODUCT(MAX((Appointments!$G$5:$G$1204=A39)*IFERROR(Appointments!$B$5:$B$1204*1,0)))),""))</f>
        <v>0</v>
      </c>
      <c r="AJ39" s="25">
        <f>IF(B39="","",COUNTIFS($AD$5:$AD$204,"&gt;"&amp;AD39)+COUNTIFS($AD$5:AD39,AD39))</f>
        <v>0</v>
      </c>
      <c r="AK39" s="25">
        <f>IF(B39="","",COUNTIFS($W$5:$W$204,"&gt;"&amp;W39)+COUNTIFS($W$5:W39,W39))</f>
        <v>0</v>
      </c>
      <c r="AL39" s="25">
        <f>IF(B39="","",COUNTIFS($AB$5:$AB$204,"&gt;"&amp;AB39)+COUNTIFS($AB$5:AB39,AB39))</f>
        <v>0</v>
      </c>
      <c r="AM39" s="39">
        <f>IF(B39="","",IF(G39="","Add - no price yet",IF(E39="","Add - how long does it take?",IF(T39&lt;0,"Loss - this service costs you money",IF(V39&lt;TargetChairRate*0.7,"Check - well under your chair rate",IF(IF(N39="",FALSE,TodayDate-N39&gt;PriceReviewDays),"Due - price has not been reviewed",IF(IF(M39="Active",AB39=0,FALSE),"Check - on the menu but never booked","OK")))))))</f>
        <v>0</v>
      </c>
    </row>
    <row r="40" spans="1:39">
      <c r="A40" s="28">
        <f>IF(B40="","",ServicePrefix&amp;TEXT(ROW()-4,"000"))</f>
        <v>0</v>
      </c>
      <c r="P40" s="42">
        <f>IF(B40="","",ROUND((IF(E40="",0,E40)+IF(F40="",0,F40))/60,3))</f>
        <v>0</v>
      </c>
      <c r="Q40" s="26">
        <f>IF(B40="","",IF(H40&lt;&gt;"",H40,IF(G40="",0,ROUND(G40*ProductCostPercent,2))))</f>
        <v>0</v>
      </c>
      <c r="R40" s="26">
        <f>IF(B40="","",IF(J40="No",0,IF(G40="",0,ROUND(G40*ServiceCommission,2))))</f>
        <v>0</v>
      </c>
      <c r="S40" s="26">
        <f>IF(B40="","",ROUND(Q40+R40,2))</f>
        <v>0</v>
      </c>
      <c r="T40" s="26">
        <f>IF(B40="","",IF(G40="","",ROUND(G40-S40,2)))</f>
        <v>0</v>
      </c>
      <c r="U40" s="27">
        <f>IF(B40="","",IF(G40="","",IF(G40=0,"",T40/G40)))</f>
        <v>0</v>
      </c>
      <c r="V40" s="26">
        <f>IF(B40="","",IF(G40="","",IF(P40=0,"",ROUND(G40/P40,2))))</f>
        <v>0</v>
      </c>
      <c r="W40" s="26">
        <f>IF(B40="","",IF(T40="","",IF(P40=0,"",ROUND(T40/P40,2))))</f>
        <v>0</v>
      </c>
      <c r="X40" s="26">
        <f>IF(B40="","",IF(P40=0,"",IF(ServiceCommission&gt;=1,"",(Q40+TargetChairRate*P40)/IF(J40="No",1,1-ServiceCommission))))</f>
        <v>0</v>
      </c>
      <c r="Y40" s="26">
        <f>IF(B40="","",IF(X40="","",ROUND(IF(RoundingRule="None",X40,IF(RoundingRule="Nearest 0.99",MAX(0.99,CEILING(X40,1)-0.01),IF(RoundingRule="Nearest 0.95",MAX(0.95,CEILING(X40,1)-0.05),IF(RoundingRule="Nearest 0.50",CEILING(X40,0.5),IF(RoundingRule="Nearest 1",CEILING(X40,1),IF(RoundingRule="Nearest 5",CEILING(X40,5),IF(RoundingRule="Up to whole 1",CEILING(X40,1),IF(RoundingRule="Up to whole 5",CEILING(X40,5),ROUND(X40,2))))))))),2)))</f>
        <v>0</v>
      </c>
      <c r="Z40" s="26">
        <f>IF(B40="","",IF(Y40="","",IF(G40="","",ROUND(G40-Y40,2))))</f>
        <v>0</v>
      </c>
      <c r="AA40" s="25">
        <f>IF(B40="","",COUNTIFS(Appointments!$G$5:$G$1204,A40))</f>
        <v>0</v>
      </c>
      <c r="AB40" s="25">
        <f>IF(B40="","",COUNTIFS(Appointments!$G$5:$G$1204,A40,Appointments!$M$5:$M$1204,"Completed"))</f>
        <v>0</v>
      </c>
      <c r="AC40" s="25">
        <f>IF(B40="","",SUMIFS(Sales!$K$5:$K$1204,Sales!$I$5:$I$1204,A40,Sales!$H$5:$H$1204,"Service"))</f>
        <v>0</v>
      </c>
      <c r="AD40" s="26">
        <f>IF(B40="","",ROUND(SUMIFS(Sales!$Y$5:$Y$1204,Sales!$I$5:$I$1204,A40,Sales!$H$5:$H$1204,"Service"),2))</f>
        <v>0</v>
      </c>
      <c r="AE40" s="27">
        <f>IF(B40="","",IF(ServiceRevenueAll=0,"",AD40/ServiceRevenueAll))</f>
        <v>0</v>
      </c>
      <c r="AF40" s="26">
        <f>IF(B40="","",ROUND(AC40*T40,2))</f>
        <v>0</v>
      </c>
      <c r="AG40" s="37">
        <f>IF(B40="","",ROUND(AC40*P40,1))</f>
        <v>0</v>
      </c>
      <c r="AH40" s="27">
        <f>IF(B40="","",IF(AB40=0,"",COUNTIFS(Sales!$I$5:$I$1204,A40,Sales!$AJ$5:$AJ$1204,"Yes")/AB40))</f>
        <v>0</v>
      </c>
      <c r="AI40" s="17">
        <f>IF(B40="","",IFERROR(IF(COUNTIFS(Appointments!$G$5:$G$1204,A40)=0,"",SUMPRODUCT(MAX((Appointments!$G$5:$G$1204=A40)*IFERROR(Appointments!$B$5:$B$1204*1,0)))),""))</f>
        <v>0</v>
      </c>
      <c r="AJ40" s="25">
        <f>IF(B40="","",COUNTIFS($AD$5:$AD$204,"&gt;"&amp;AD40)+COUNTIFS($AD$5:AD40,AD40))</f>
        <v>0</v>
      </c>
      <c r="AK40" s="25">
        <f>IF(B40="","",COUNTIFS($W$5:$W$204,"&gt;"&amp;W40)+COUNTIFS($W$5:W40,W40))</f>
        <v>0</v>
      </c>
      <c r="AL40" s="25">
        <f>IF(B40="","",COUNTIFS($AB$5:$AB$204,"&gt;"&amp;AB40)+COUNTIFS($AB$5:AB40,AB40))</f>
        <v>0</v>
      </c>
      <c r="AM40" s="39">
        <f>IF(B40="","",IF(G40="","Add - no price yet",IF(E40="","Add - how long does it take?",IF(T40&lt;0,"Loss - this service costs you money",IF(V40&lt;TargetChairRate*0.7,"Check - well under your chair rate",IF(IF(N40="",FALSE,TodayDate-N40&gt;PriceReviewDays),"Due - price has not been reviewed",IF(IF(M40="Active",AB40=0,FALSE),"Check - on the menu but never booked","OK")))))))</f>
        <v>0</v>
      </c>
    </row>
    <row r="41" spans="1:39">
      <c r="A41" s="28">
        <f>IF(B41="","",ServicePrefix&amp;TEXT(ROW()-4,"000"))</f>
        <v>0</v>
      </c>
      <c r="P41" s="42">
        <f>IF(B41="","",ROUND((IF(E41="",0,E41)+IF(F41="",0,F41))/60,3))</f>
        <v>0</v>
      </c>
      <c r="Q41" s="26">
        <f>IF(B41="","",IF(H41&lt;&gt;"",H41,IF(G41="",0,ROUND(G41*ProductCostPercent,2))))</f>
        <v>0</v>
      </c>
      <c r="R41" s="26">
        <f>IF(B41="","",IF(J41="No",0,IF(G41="",0,ROUND(G41*ServiceCommission,2))))</f>
        <v>0</v>
      </c>
      <c r="S41" s="26">
        <f>IF(B41="","",ROUND(Q41+R41,2))</f>
        <v>0</v>
      </c>
      <c r="T41" s="26">
        <f>IF(B41="","",IF(G41="","",ROUND(G41-S41,2)))</f>
        <v>0</v>
      </c>
      <c r="U41" s="27">
        <f>IF(B41="","",IF(G41="","",IF(G41=0,"",T41/G41)))</f>
        <v>0</v>
      </c>
      <c r="V41" s="26">
        <f>IF(B41="","",IF(G41="","",IF(P41=0,"",ROUND(G41/P41,2))))</f>
        <v>0</v>
      </c>
      <c r="W41" s="26">
        <f>IF(B41="","",IF(T41="","",IF(P41=0,"",ROUND(T41/P41,2))))</f>
        <v>0</v>
      </c>
      <c r="X41" s="26">
        <f>IF(B41="","",IF(P41=0,"",IF(ServiceCommission&gt;=1,"",(Q41+TargetChairRate*P41)/IF(J41="No",1,1-ServiceCommission))))</f>
        <v>0</v>
      </c>
      <c r="Y41" s="26">
        <f>IF(B41="","",IF(X41="","",ROUND(IF(RoundingRule="None",X41,IF(RoundingRule="Nearest 0.99",MAX(0.99,CEILING(X41,1)-0.01),IF(RoundingRule="Nearest 0.95",MAX(0.95,CEILING(X41,1)-0.05),IF(RoundingRule="Nearest 0.50",CEILING(X41,0.5),IF(RoundingRule="Nearest 1",CEILING(X41,1),IF(RoundingRule="Nearest 5",CEILING(X41,5),IF(RoundingRule="Up to whole 1",CEILING(X41,1),IF(RoundingRule="Up to whole 5",CEILING(X41,5),ROUND(X41,2))))))))),2)))</f>
        <v>0</v>
      </c>
      <c r="Z41" s="26">
        <f>IF(B41="","",IF(Y41="","",IF(G41="","",ROUND(G41-Y41,2))))</f>
        <v>0</v>
      </c>
      <c r="AA41" s="25">
        <f>IF(B41="","",COUNTIFS(Appointments!$G$5:$G$1204,A41))</f>
        <v>0</v>
      </c>
      <c r="AB41" s="25">
        <f>IF(B41="","",COUNTIFS(Appointments!$G$5:$G$1204,A41,Appointments!$M$5:$M$1204,"Completed"))</f>
        <v>0</v>
      </c>
      <c r="AC41" s="25">
        <f>IF(B41="","",SUMIFS(Sales!$K$5:$K$1204,Sales!$I$5:$I$1204,A41,Sales!$H$5:$H$1204,"Service"))</f>
        <v>0</v>
      </c>
      <c r="AD41" s="26">
        <f>IF(B41="","",ROUND(SUMIFS(Sales!$Y$5:$Y$1204,Sales!$I$5:$I$1204,A41,Sales!$H$5:$H$1204,"Service"),2))</f>
        <v>0</v>
      </c>
      <c r="AE41" s="27">
        <f>IF(B41="","",IF(ServiceRevenueAll=0,"",AD41/ServiceRevenueAll))</f>
        <v>0</v>
      </c>
      <c r="AF41" s="26">
        <f>IF(B41="","",ROUND(AC41*T41,2))</f>
        <v>0</v>
      </c>
      <c r="AG41" s="37">
        <f>IF(B41="","",ROUND(AC41*P41,1))</f>
        <v>0</v>
      </c>
      <c r="AH41" s="27">
        <f>IF(B41="","",IF(AB41=0,"",COUNTIFS(Sales!$I$5:$I$1204,A41,Sales!$AJ$5:$AJ$1204,"Yes")/AB41))</f>
        <v>0</v>
      </c>
      <c r="AI41" s="17">
        <f>IF(B41="","",IFERROR(IF(COUNTIFS(Appointments!$G$5:$G$1204,A41)=0,"",SUMPRODUCT(MAX((Appointments!$G$5:$G$1204=A41)*IFERROR(Appointments!$B$5:$B$1204*1,0)))),""))</f>
        <v>0</v>
      </c>
      <c r="AJ41" s="25">
        <f>IF(B41="","",COUNTIFS($AD$5:$AD$204,"&gt;"&amp;AD41)+COUNTIFS($AD$5:AD41,AD41))</f>
        <v>0</v>
      </c>
      <c r="AK41" s="25">
        <f>IF(B41="","",COUNTIFS($W$5:$W$204,"&gt;"&amp;W41)+COUNTIFS($W$5:W41,W41))</f>
        <v>0</v>
      </c>
      <c r="AL41" s="25">
        <f>IF(B41="","",COUNTIFS($AB$5:$AB$204,"&gt;"&amp;AB41)+COUNTIFS($AB$5:AB41,AB41))</f>
        <v>0</v>
      </c>
      <c r="AM41" s="39">
        <f>IF(B41="","",IF(G41="","Add - no price yet",IF(E41="","Add - how long does it take?",IF(T41&lt;0,"Loss - this service costs you money",IF(V41&lt;TargetChairRate*0.7,"Check - well under your chair rate",IF(IF(N41="",FALSE,TodayDate-N41&gt;PriceReviewDays),"Due - price has not been reviewed",IF(IF(M41="Active",AB41=0,FALSE),"Check - on the menu but never booked","OK")))))))</f>
        <v>0</v>
      </c>
    </row>
    <row r="42" spans="1:39">
      <c r="A42" s="28">
        <f>IF(B42="","",ServicePrefix&amp;TEXT(ROW()-4,"000"))</f>
        <v>0</v>
      </c>
      <c r="P42" s="42">
        <f>IF(B42="","",ROUND((IF(E42="",0,E42)+IF(F42="",0,F42))/60,3))</f>
        <v>0</v>
      </c>
      <c r="Q42" s="26">
        <f>IF(B42="","",IF(H42&lt;&gt;"",H42,IF(G42="",0,ROUND(G42*ProductCostPercent,2))))</f>
        <v>0</v>
      </c>
      <c r="R42" s="26">
        <f>IF(B42="","",IF(J42="No",0,IF(G42="",0,ROUND(G42*ServiceCommission,2))))</f>
        <v>0</v>
      </c>
      <c r="S42" s="26">
        <f>IF(B42="","",ROUND(Q42+R42,2))</f>
        <v>0</v>
      </c>
      <c r="T42" s="26">
        <f>IF(B42="","",IF(G42="","",ROUND(G42-S42,2)))</f>
        <v>0</v>
      </c>
      <c r="U42" s="27">
        <f>IF(B42="","",IF(G42="","",IF(G42=0,"",T42/G42)))</f>
        <v>0</v>
      </c>
      <c r="V42" s="26">
        <f>IF(B42="","",IF(G42="","",IF(P42=0,"",ROUND(G42/P42,2))))</f>
        <v>0</v>
      </c>
      <c r="W42" s="26">
        <f>IF(B42="","",IF(T42="","",IF(P42=0,"",ROUND(T42/P42,2))))</f>
        <v>0</v>
      </c>
      <c r="X42" s="26">
        <f>IF(B42="","",IF(P42=0,"",IF(ServiceCommission&gt;=1,"",(Q42+TargetChairRate*P42)/IF(J42="No",1,1-ServiceCommission))))</f>
        <v>0</v>
      </c>
      <c r="Y42" s="26">
        <f>IF(B42="","",IF(X42="","",ROUND(IF(RoundingRule="None",X42,IF(RoundingRule="Nearest 0.99",MAX(0.99,CEILING(X42,1)-0.01),IF(RoundingRule="Nearest 0.95",MAX(0.95,CEILING(X42,1)-0.05),IF(RoundingRule="Nearest 0.50",CEILING(X42,0.5),IF(RoundingRule="Nearest 1",CEILING(X42,1),IF(RoundingRule="Nearest 5",CEILING(X42,5),IF(RoundingRule="Up to whole 1",CEILING(X42,1),IF(RoundingRule="Up to whole 5",CEILING(X42,5),ROUND(X42,2))))))))),2)))</f>
        <v>0</v>
      </c>
      <c r="Z42" s="26">
        <f>IF(B42="","",IF(Y42="","",IF(G42="","",ROUND(G42-Y42,2))))</f>
        <v>0</v>
      </c>
      <c r="AA42" s="25">
        <f>IF(B42="","",COUNTIFS(Appointments!$G$5:$G$1204,A42))</f>
        <v>0</v>
      </c>
      <c r="AB42" s="25">
        <f>IF(B42="","",COUNTIFS(Appointments!$G$5:$G$1204,A42,Appointments!$M$5:$M$1204,"Completed"))</f>
        <v>0</v>
      </c>
      <c r="AC42" s="25">
        <f>IF(B42="","",SUMIFS(Sales!$K$5:$K$1204,Sales!$I$5:$I$1204,A42,Sales!$H$5:$H$1204,"Service"))</f>
        <v>0</v>
      </c>
      <c r="AD42" s="26">
        <f>IF(B42="","",ROUND(SUMIFS(Sales!$Y$5:$Y$1204,Sales!$I$5:$I$1204,A42,Sales!$H$5:$H$1204,"Service"),2))</f>
        <v>0</v>
      </c>
      <c r="AE42" s="27">
        <f>IF(B42="","",IF(ServiceRevenueAll=0,"",AD42/ServiceRevenueAll))</f>
        <v>0</v>
      </c>
      <c r="AF42" s="26">
        <f>IF(B42="","",ROUND(AC42*T42,2))</f>
        <v>0</v>
      </c>
      <c r="AG42" s="37">
        <f>IF(B42="","",ROUND(AC42*P42,1))</f>
        <v>0</v>
      </c>
      <c r="AH42" s="27">
        <f>IF(B42="","",IF(AB42=0,"",COUNTIFS(Sales!$I$5:$I$1204,A42,Sales!$AJ$5:$AJ$1204,"Yes")/AB42))</f>
        <v>0</v>
      </c>
      <c r="AI42" s="17">
        <f>IF(B42="","",IFERROR(IF(COUNTIFS(Appointments!$G$5:$G$1204,A42)=0,"",SUMPRODUCT(MAX((Appointments!$G$5:$G$1204=A42)*IFERROR(Appointments!$B$5:$B$1204*1,0)))),""))</f>
        <v>0</v>
      </c>
      <c r="AJ42" s="25">
        <f>IF(B42="","",COUNTIFS($AD$5:$AD$204,"&gt;"&amp;AD42)+COUNTIFS($AD$5:AD42,AD42))</f>
        <v>0</v>
      </c>
      <c r="AK42" s="25">
        <f>IF(B42="","",COUNTIFS($W$5:$W$204,"&gt;"&amp;W42)+COUNTIFS($W$5:W42,W42))</f>
        <v>0</v>
      </c>
      <c r="AL42" s="25">
        <f>IF(B42="","",COUNTIFS($AB$5:$AB$204,"&gt;"&amp;AB42)+COUNTIFS($AB$5:AB42,AB42))</f>
        <v>0</v>
      </c>
      <c r="AM42" s="39">
        <f>IF(B42="","",IF(G42="","Add - no price yet",IF(E42="","Add - how long does it take?",IF(T42&lt;0,"Loss - this service costs you money",IF(V42&lt;TargetChairRate*0.7,"Check - well under your chair rate",IF(IF(N42="",FALSE,TodayDate-N42&gt;PriceReviewDays),"Due - price has not been reviewed",IF(IF(M42="Active",AB42=0,FALSE),"Check - on the menu but never booked","OK")))))))</f>
        <v>0</v>
      </c>
    </row>
    <row r="43" spans="1:39">
      <c r="A43" s="28">
        <f>IF(B43="","",ServicePrefix&amp;TEXT(ROW()-4,"000"))</f>
        <v>0</v>
      </c>
      <c r="P43" s="42">
        <f>IF(B43="","",ROUND((IF(E43="",0,E43)+IF(F43="",0,F43))/60,3))</f>
        <v>0</v>
      </c>
      <c r="Q43" s="26">
        <f>IF(B43="","",IF(H43&lt;&gt;"",H43,IF(G43="",0,ROUND(G43*ProductCostPercent,2))))</f>
        <v>0</v>
      </c>
      <c r="R43" s="26">
        <f>IF(B43="","",IF(J43="No",0,IF(G43="",0,ROUND(G43*ServiceCommission,2))))</f>
        <v>0</v>
      </c>
      <c r="S43" s="26">
        <f>IF(B43="","",ROUND(Q43+R43,2))</f>
        <v>0</v>
      </c>
      <c r="T43" s="26">
        <f>IF(B43="","",IF(G43="","",ROUND(G43-S43,2)))</f>
        <v>0</v>
      </c>
      <c r="U43" s="27">
        <f>IF(B43="","",IF(G43="","",IF(G43=0,"",T43/G43)))</f>
        <v>0</v>
      </c>
      <c r="V43" s="26">
        <f>IF(B43="","",IF(G43="","",IF(P43=0,"",ROUND(G43/P43,2))))</f>
        <v>0</v>
      </c>
      <c r="W43" s="26">
        <f>IF(B43="","",IF(T43="","",IF(P43=0,"",ROUND(T43/P43,2))))</f>
        <v>0</v>
      </c>
      <c r="X43" s="26">
        <f>IF(B43="","",IF(P43=0,"",IF(ServiceCommission&gt;=1,"",(Q43+TargetChairRate*P43)/IF(J43="No",1,1-ServiceCommission))))</f>
        <v>0</v>
      </c>
      <c r="Y43" s="26">
        <f>IF(B43="","",IF(X43="","",ROUND(IF(RoundingRule="None",X43,IF(RoundingRule="Nearest 0.99",MAX(0.99,CEILING(X43,1)-0.01),IF(RoundingRule="Nearest 0.95",MAX(0.95,CEILING(X43,1)-0.05),IF(RoundingRule="Nearest 0.50",CEILING(X43,0.5),IF(RoundingRule="Nearest 1",CEILING(X43,1),IF(RoundingRule="Nearest 5",CEILING(X43,5),IF(RoundingRule="Up to whole 1",CEILING(X43,1),IF(RoundingRule="Up to whole 5",CEILING(X43,5),ROUND(X43,2))))))))),2)))</f>
        <v>0</v>
      </c>
      <c r="Z43" s="26">
        <f>IF(B43="","",IF(Y43="","",IF(G43="","",ROUND(G43-Y43,2))))</f>
        <v>0</v>
      </c>
      <c r="AA43" s="25">
        <f>IF(B43="","",COUNTIFS(Appointments!$G$5:$G$1204,A43))</f>
        <v>0</v>
      </c>
      <c r="AB43" s="25">
        <f>IF(B43="","",COUNTIFS(Appointments!$G$5:$G$1204,A43,Appointments!$M$5:$M$1204,"Completed"))</f>
        <v>0</v>
      </c>
      <c r="AC43" s="25">
        <f>IF(B43="","",SUMIFS(Sales!$K$5:$K$1204,Sales!$I$5:$I$1204,A43,Sales!$H$5:$H$1204,"Service"))</f>
        <v>0</v>
      </c>
      <c r="AD43" s="26">
        <f>IF(B43="","",ROUND(SUMIFS(Sales!$Y$5:$Y$1204,Sales!$I$5:$I$1204,A43,Sales!$H$5:$H$1204,"Service"),2))</f>
        <v>0</v>
      </c>
      <c r="AE43" s="27">
        <f>IF(B43="","",IF(ServiceRevenueAll=0,"",AD43/ServiceRevenueAll))</f>
        <v>0</v>
      </c>
      <c r="AF43" s="26">
        <f>IF(B43="","",ROUND(AC43*T43,2))</f>
        <v>0</v>
      </c>
      <c r="AG43" s="37">
        <f>IF(B43="","",ROUND(AC43*P43,1))</f>
        <v>0</v>
      </c>
      <c r="AH43" s="27">
        <f>IF(B43="","",IF(AB43=0,"",COUNTIFS(Sales!$I$5:$I$1204,A43,Sales!$AJ$5:$AJ$1204,"Yes")/AB43))</f>
        <v>0</v>
      </c>
      <c r="AI43" s="17">
        <f>IF(B43="","",IFERROR(IF(COUNTIFS(Appointments!$G$5:$G$1204,A43)=0,"",SUMPRODUCT(MAX((Appointments!$G$5:$G$1204=A43)*IFERROR(Appointments!$B$5:$B$1204*1,0)))),""))</f>
        <v>0</v>
      </c>
      <c r="AJ43" s="25">
        <f>IF(B43="","",COUNTIFS($AD$5:$AD$204,"&gt;"&amp;AD43)+COUNTIFS($AD$5:AD43,AD43))</f>
        <v>0</v>
      </c>
      <c r="AK43" s="25">
        <f>IF(B43="","",COUNTIFS($W$5:$W$204,"&gt;"&amp;W43)+COUNTIFS($W$5:W43,W43))</f>
        <v>0</v>
      </c>
      <c r="AL43" s="25">
        <f>IF(B43="","",COUNTIFS($AB$5:$AB$204,"&gt;"&amp;AB43)+COUNTIFS($AB$5:AB43,AB43))</f>
        <v>0</v>
      </c>
      <c r="AM43" s="39">
        <f>IF(B43="","",IF(G43="","Add - no price yet",IF(E43="","Add - how long does it take?",IF(T43&lt;0,"Loss - this service costs you money",IF(V43&lt;TargetChairRate*0.7,"Check - well under your chair rate",IF(IF(N43="",FALSE,TodayDate-N43&gt;PriceReviewDays),"Due - price has not been reviewed",IF(IF(M43="Active",AB43=0,FALSE),"Check - on the menu but never booked","OK")))))))</f>
        <v>0</v>
      </c>
    </row>
    <row r="44" spans="1:39">
      <c r="A44" s="28">
        <f>IF(B44="","",ServicePrefix&amp;TEXT(ROW()-4,"000"))</f>
        <v>0</v>
      </c>
      <c r="P44" s="42">
        <f>IF(B44="","",ROUND((IF(E44="",0,E44)+IF(F44="",0,F44))/60,3))</f>
        <v>0</v>
      </c>
      <c r="Q44" s="26">
        <f>IF(B44="","",IF(H44&lt;&gt;"",H44,IF(G44="",0,ROUND(G44*ProductCostPercent,2))))</f>
        <v>0</v>
      </c>
      <c r="R44" s="26">
        <f>IF(B44="","",IF(J44="No",0,IF(G44="",0,ROUND(G44*ServiceCommission,2))))</f>
        <v>0</v>
      </c>
      <c r="S44" s="26">
        <f>IF(B44="","",ROUND(Q44+R44,2))</f>
        <v>0</v>
      </c>
      <c r="T44" s="26">
        <f>IF(B44="","",IF(G44="","",ROUND(G44-S44,2)))</f>
        <v>0</v>
      </c>
      <c r="U44" s="27">
        <f>IF(B44="","",IF(G44="","",IF(G44=0,"",T44/G44)))</f>
        <v>0</v>
      </c>
      <c r="V44" s="26">
        <f>IF(B44="","",IF(G44="","",IF(P44=0,"",ROUND(G44/P44,2))))</f>
        <v>0</v>
      </c>
      <c r="W44" s="26">
        <f>IF(B44="","",IF(T44="","",IF(P44=0,"",ROUND(T44/P44,2))))</f>
        <v>0</v>
      </c>
      <c r="X44" s="26">
        <f>IF(B44="","",IF(P44=0,"",IF(ServiceCommission&gt;=1,"",(Q44+TargetChairRate*P44)/IF(J44="No",1,1-ServiceCommission))))</f>
        <v>0</v>
      </c>
      <c r="Y44" s="26">
        <f>IF(B44="","",IF(X44="","",ROUND(IF(RoundingRule="None",X44,IF(RoundingRule="Nearest 0.99",MAX(0.99,CEILING(X44,1)-0.01),IF(RoundingRule="Nearest 0.95",MAX(0.95,CEILING(X44,1)-0.05),IF(RoundingRule="Nearest 0.50",CEILING(X44,0.5),IF(RoundingRule="Nearest 1",CEILING(X44,1),IF(RoundingRule="Nearest 5",CEILING(X44,5),IF(RoundingRule="Up to whole 1",CEILING(X44,1),IF(RoundingRule="Up to whole 5",CEILING(X44,5),ROUND(X44,2))))))))),2)))</f>
        <v>0</v>
      </c>
      <c r="Z44" s="26">
        <f>IF(B44="","",IF(Y44="","",IF(G44="","",ROUND(G44-Y44,2))))</f>
        <v>0</v>
      </c>
      <c r="AA44" s="25">
        <f>IF(B44="","",COUNTIFS(Appointments!$G$5:$G$1204,A44))</f>
        <v>0</v>
      </c>
      <c r="AB44" s="25">
        <f>IF(B44="","",COUNTIFS(Appointments!$G$5:$G$1204,A44,Appointments!$M$5:$M$1204,"Completed"))</f>
        <v>0</v>
      </c>
      <c r="AC44" s="25">
        <f>IF(B44="","",SUMIFS(Sales!$K$5:$K$1204,Sales!$I$5:$I$1204,A44,Sales!$H$5:$H$1204,"Service"))</f>
        <v>0</v>
      </c>
      <c r="AD44" s="26">
        <f>IF(B44="","",ROUND(SUMIFS(Sales!$Y$5:$Y$1204,Sales!$I$5:$I$1204,A44,Sales!$H$5:$H$1204,"Service"),2))</f>
        <v>0</v>
      </c>
      <c r="AE44" s="27">
        <f>IF(B44="","",IF(ServiceRevenueAll=0,"",AD44/ServiceRevenueAll))</f>
        <v>0</v>
      </c>
      <c r="AF44" s="26">
        <f>IF(B44="","",ROUND(AC44*T44,2))</f>
        <v>0</v>
      </c>
      <c r="AG44" s="37">
        <f>IF(B44="","",ROUND(AC44*P44,1))</f>
        <v>0</v>
      </c>
      <c r="AH44" s="27">
        <f>IF(B44="","",IF(AB44=0,"",COUNTIFS(Sales!$I$5:$I$1204,A44,Sales!$AJ$5:$AJ$1204,"Yes")/AB44))</f>
        <v>0</v>
      </c>
      <c r="AI44" s="17">
        <f>IF(B44="","",IFERROR(IF(COUNTIFS(Appointments!$G$5:$G$1204,A44)=0,"",SUMPRODUCT(MAX((Appointments!$G$5:$G$1204=A44)*IFERROR(Appointments!$B$5:$B$1204*1,0)))),""))</f>
        <v>0</v>
      </c>
      <c r="AJ44" s="25">
        <f>IF(B44="","",COUNTIFS($AD$5:$AD$204,"&gt;"&amp;AD44)+COUNTIFS($AD$5:AD44,AD44))</f>
        <v>0</v>
      </c>
      <c r="AK44" s="25">
        <f>IF(B44="","",COUNTIFS($W$5:$W$204,"&gt;"&amp;W44)+COUNTIFS($W$5:W44,W44))</f>
        <v>0</v>
      </c>
      <c r="AL44" s="25">
        <f>IF(B44="","",COUNTIFS($AB$5:$AB$204,"&gt;"&amp;AB44)+COUNTIFS($AB$5:AB44,AB44))</f>
        <v>0</v>
      </c>
      <c r="AM44" s="39">
        <f>IF(B44="","",IF(G44="","Add - no price yet",IF(E44="","Add - how long does it take?",IF(T44&lt;0,"Loss - this service costs you money",IF(V44&lt;TargetChairRate*0.7,"Check - well under your chair rate",IF(IF(N44="",FALSE,TodayDate-N44&gt;PriceReviewDays),"Due - price has not been reviewed",IF(IF(M44="Active",AB44=0,FALSE),"Check - on the menu but never booked","OK")))))))</f>
        <v>0</v>
      </c>
    </row>
    <row r="45" spans="1:39">
      <c r="A45" s="28">
        <f>IF(B45="","",ServicePrefix&amp;TEXT(ROW()-4,"000"))</f>
        <v>0</v>
      </c>
      <c r="P45" s="42">
        <f>IF(B45="","",ROUND((IF(E45="",0,E45)+IF(F45="",0,F45))/60,3))</f>
        <v>0</v>
      </c>
      <c r="Q45" s="26">
        <f>IF(B45="","",IF(H45&lt;&gt;"",H45,IF(G45="",0,ROUND(G45*ProductCostPercent,2))))</f>
        <v>0</v>
      </c>
      <c r="R45" s="26">
        <f>IF(B45="","",IF(J45="No",0,IF(G45="",0,ROUND(G45*ServiceCommission,2))))</f>
        <v>0</v>
      </c>
      <c r="S45" s="26">
        <f>IF(B45="","",ROUND(Q45+R45,2))</f>
        <v>0</v>
      </c>
      <c r="T45" s="26">
        <f>IF(B45="","",IF(G45="","",ROUND(G45-S45,2)))</f>
        <v>0</v>
      </c>
      <c r="U45" s="27">
        <f>IF(B45="","",IF(G45="","",IF(G45=0,"",T45/G45)))</f>
        <v>0</v>
      </c>
      <c r="V45" s="26">
        <f>IF(B45="","",IF(G45="","",IF(P45=0,"",ROUND(G45/P45,2))))</f>
        <v>0</v>
      </c>
      <c r="W45" s="26">
        <f>IF(B45="","",IF(T45="","",IF(P45=0,"",ROUND(T45/P45,2))))</f>
        <v>0</v>
      </c>
      <c r="X45" s="26">
        <f>IF(B45="","",IF(P45=0,"",IF(ServiceCommission&gt;=1,"",(Q45+TargetChairRate*P45)/IF(J45="No",1,1-ServiceCommission))))</f>
        <v>0</v>
      </c>
      <c r="Y45" s="26">
        <f>IF(B45="","",IF(X45="","",ROUND(IF(RoundingRule="None",X45,IF(RoundingRule="Nearest 0.99",MAX(0.99,CEILING(X45,1)-0.01),IF(RoundingRule="Nearest 0.95",MAX(0.95,CEILING(X45,1)-0.05),IF(RoundingRule="Nearest 0.50",CEILING(X45,0.5),IF(RoundingRule="Nearest 1",CEILING(X45,1),IF(RoundingRule="Nearest 5",CEILING(X45,5),IF(RoundingRule="Up to whole 1",CEILING(X45,1),IF(RoundingRule="Up to whole 5",CEILING(X45,5),ROUND(X45,2))))))))),2)))</f>
        <v>0</v>
      </c>
      <c r="Z45" s="26">
        <f>IF(B45="","",IF(Y45="","",IF(G45="","",ROUND(G45-Y45,2))))</f>
        <v>0</v>
      </c>
      <c r="AA45" s="25">
        <f>IF(B45="","",COUNTIFS(Appointments!$G$5:$G$1204,A45))</f>
        <v>0</v>
      </c>
      <c r="AB45" s="25">
        <f>IF(B45="","",COUNTIFS(Appointments!$G$5:$G$1204,A45,Appointments!$M$5:$M$1204,"Completed"))</f>
        <v>0</v>
      </c>
      <c r="AC45" s="25">
        <f>IF(B45="","",SUMIFS(Sales!$K$5:$K$1204,Sales!$I$5:$I$1204,A45,Sales!$H$5:$H$1204,"Service"))</f>
        <v>0</v>
      </c>
      <c r="AD45" s="26">
        <f>IF(B45="","",ROUND(SUMIFS(Sales!$Y$5:$Y$1204,Sales!$I$5:$I$1204,A45,Sales!$H$5:$H$1204,"Service"),2))</f>
        <v>0</v>
      </c>
      <c r="AE45" s="27">
        <f>IF(B45="","",IF(ServiceRevenueAll=0,"",AD45/ServiceRevenueAll))</f>
        <v>0</v>
      </c>
      <c r="AF45" s="26">
        <f>IF(B45="","",ROUND(AC45*T45,2))</f>
        <v>0</v>
      </c>
      <c r="AG45" s="37">
        <f>IF(B45="","",ROUND(AC45*P45,1))</f>
        <v>0</v>
      </c>
      <c r="AH45" s="27">
        <f>IF(B45="","",IF(AB45=0,"",COUNTIFS(Sales!$I$5:$I$1204,A45,Sales!$AJ$5:$AJ$1204,"Yes")/AB45))</f>
        <v>0</v>
      </c>
      <c r="AI45" s="17">
        <f>IF(B45="","",IFERROR(IF(COUNTIFS(Appointments!$G$5:$G$1204,A45)=0,"",SUMPRODUCT(MAX((Appointments!$G$5:$G$1204=A45)*IFERROR(Appointments!$B$5:$B$1204*1,0)))),""))</f>
        <v>0</v>
      </c>
      <c r="AJ45" s="25">
        <f>IF(B45="","",COUNTIFS($AD$5:$AD$204,"&gt;"&amp;AD45)+COUNTIFS($AD$5:AD45,AD45))</f>
        <v>0</v>
      </c>
      <c r="AK45" s="25">
        <f>IF(B45="","",COUNTIFS($W$5:$W$204,"&gt;"&amp;W45)+COUNTIFS($W$5:W45,W45))</f>
        <v>0</v>
      </c>
      <c r="AL45" s="25">
        <f>IF(B45="","",COUNTIFS($AB$5:$AB$204,"&gt;"&amp;AB45)+COUNTIFS($AB$5:AB45,AB45))</f>
        <v>0</v>
      </c>
      <c r="AM45" s="39">
        <f>IF(B45="","",IF(G45="","Add - no price yet",IF(E45="","Add - how long does it take?",IF(T45&lt;0,"Loss - this service costs you money",IF(V45&lt;TargetChairRate*0.7,"Check - well under your chair rate",IF(IF(N45="",FALSE,TodayDate-N45&gt;PriceReviewDays),"Due - price has not been reviewed",IF(IF(M45="Active",AB45=0,FALSE),"Check - on the menu but never booked","OK")))))))</f>
        <v>0</v>
      </c>
    </row>
    <row r="46" spans="1:39">
      <c r="A46" s="28">
        <f>IF(B46="","",ServicePrefix&amp;TEXT(ROW()-4,"000"))</f>
        <v>0</v>
      </c>
      <c r="P46" s="42">
        <f>IF(B46="","",ROUND((IF(E46="",0,E46)+IF(F46="",0,F46))/60,3))</f>
        <v>0</v>
      </c>
      <c r="Q46" s="26">
        <f>IF(B46="","",IF(H46&lt;&gt;"",H46,IF(G46="",0,ROUND(G46*ProductCostPercent,2))))</f>
        <v>0</v>
      </c>
      <c r="R46" s="26">
        <f>IF(B46="","",IF(J46="No",0,IF(G46="",0,ROUND(G46*ServiceCommission,2))))</f>
        <v>0</v>
      </c>
      <c r="S46" s="26">
        <f>IF(B46="","",ROUND(Q46+R46,2))</f>
        <v>0</v>
      </c>
      <c r="T46" s="26">
        <f>IF(B46="","",IF(G46="","",ROUND(G46-S46,2)))</f>
        <v>0</v>
      </c>
      <c r="U46" s="27">
        <f>IF(B46="","",IF(G46="","",IF(G46=0,"",T46/G46)))</f>
        <v>0</v>
      </c>
      <c r="V46" s="26">
        <f>IF(B46="","",IF(G46="","",IF(P46=0,"",ROUND(G46/P46,2))))</f>
        <v>0</v>
      </c>
      <c r="W46" s="26">
        <f>IF(B46="","",IF(T46="","",IF(P46=0,"",ROUND(T46/P46,2))))</f>
        <v>0</v>
      </c>
      <c r="X46" s="26">
        <f>IF(B46="","",IF(P46=0,"",IF(ServiceCommission&gt;=1,"",(Q46+TargetChairRate*P46)/IF(J46="No",1,1-ServiceCommission))))</f>
        <v>0</v>
      </c>
      <c r="Y46" s="26">
        <f>IF(B46="","",IF(X46="","",ROUND(IF(RoundingRule="None",X46,IF(RoundingRule="Nearest 0.99",MAX(0.99,CEILING(X46,1)-0.01),IF(RoundingRule="Nearest 0.95",MAX(0.95,CEILING(X46,1)-0.05),IF(RoundingRule="Nearest 0.50",CEILING(X46,0.5),IF(RoundingRule="Nearest 1",CEILING(X46,1),IF(RoundingRule="Nearest 5",CEILING(X46,5),IF(RoundingRule="Up to whole 1",CEILING(X46,1),IF(RoundingRule="Up to whole 5",CEILING(X46,5),ROUND(X46,2))))))))),2)))</f>
        <v>0</v>
      </c>
      <c r="Z46" s="26">
        <f>IF(B46="","",IF(Y46="","",IF(G46="","",ROUND(G46-Y46,2))))</f>
        <v>0</v>
      </c>
      <c r="AA46" s="25">
        <f>IF(B46="","",COUNTIFS(Appointments!$G$5:$G$1204,A46))</f>
        <v>0</v>
      </c>
      <c r="AB46" s="25">
        <f>IF(B46="","",COUNTIFS(Appointments!$G$5:$G$1204,A46,Appointments!$M$5:$M$1204,"Completed"))</f>
        <v>0</v>
      </c>
      <c r="AC46" s="25">
        <f>IF(B46="","",SUMIFS(Sales!$K$5:$K$1204,Sales!$I$5:$I$1204,A46,Sales!$H$5:$H$1204,"Service"))</f>
        <v>0</v>
      </c>
      <c r="AD46" s="26">
        <f>IF(B46="","",ROUND(SUMIFS(Sales!$Y$5:$Y$1204,Sales!$I$5:$I$1204,A46,Sales!$H$5:$H$1204,"Service"),2))</f>
        <v>0</v>
      </c>
      <c r="AE46" s="27">
        <f>IF(B46="","",IF(ServiceRevenueAll=0,"",AD46/ServiceRevenueAll))</f>
        <v>0</v>
      </c>
      <c r="AF46" s="26">
        <f>IF(B46="","",ROUND(AC46*T46,2))</f>
        <v>0</v>
      </c>
      <c r="AG46" s="37">
        <f>IF(B46="","",ROUND(AC46*P46,1))</f>
        <v>0</v>
      </c>
      <c r="AH46" s="27">
        <f>IF(B46="","",IF(AB46=0,"",COUNTIFS(Sales!$I$5:$I$1204,A46,Sales!$AJ$5:$AJ$1204,"Yes")/AB46))</f>
        <v>0</v>
      </c>
      <c r="AI46" s="17">
        <f>IF(B46="","",IFERROR(IF(COUNTIFS(Appointments!$G$5:$G$1204,A46)=0,"",SUMPRODUCT(MAX((Appointments!$G$5:$G$1204=A46)*IFERROR(Appointments!$B$5:$B$1204*1,0)))),""))</f>
        <v>0</v>
      </c>
      <c r="AJ46" s="25">
        <f>IF(B46="","",COUNTIFS($AD$5:$AD$204,"&gt;"&amp;AD46)+COUNTIFS($AD$5:AD46,AD46))</f>
        <v>0</v>
      </c>
      <c r="AK46" s="25">
        <f>IF(B46="","",COUNTIFS($W$5:$W$204,"&gt;"&amp;W46)+COUNTIFS($W$5:W46,W46))</f>
        <v>0</v>
      </c>
      <c r="AL46" s="25">
        <f>IF(B46="","",COUNTIFS($AB$5:$AB$204,"&gt;"&amp;AB46)+COUNTIFS($AB$5:AB46,AB46))</f>
        <v>0</v>
      </c>
      <c r="AM46" s="39">
        <f>IF(B46="","",IF(G46="","Add - no price yet",IF(E46="","Add - how long does it take?",IF(T46&lt;0,"Loss - this service costs you money",IF(V46&lt;TargetChairRate*0.7,"Check - well under your chair rate",IF(IF(N46="",FALSE,TodayDate-N46&gt;PriceReviewDays),"Due - price has not been reviewed",IF(IF(M46="Active",AB46=0,FALSE),"Check - on the menu but never booked","OK")))))))</f>
        <v>0</v>
      </c>
    </row>
    <row r="47" spans="1:39">
      <c r="A47" s="28">
        <f>IF(B47="","",ServicePrefix&amp;TEXT(ROW()-4,"000"))</f>
        <v>0</v>
      </c>
      <c r="P47" s="42">
        <f>IF(B47="","",ROUND((IF(E47="",0,E47)+IF(F47="",0,F47))/60,3))</f>
        <v>0</v>
      </c>
      <c r="Q47" s="26">
        <f>IF(B47="","",IF(H47&lt;&gt;"",H47,IF(G47="",0,ROUND(G47*ProductCostPercent,2))))</f>
        <v>0</v>
      </c>
      <c r="R47" s="26">
        <f>IF(B47="","",IF(J47="No",0,IF(G47="",0,ROUND(G47*ServiceCommission,2))))</f>
        <v>0</v>
      </c>
      <c r="S47" s="26">
        <f>IF(B47="","",ROUND(Q47+R47,2))</f>
        <v>0</v>
      </c>
      <c r="T47" s="26">
        <f>IF(B47="","",IF(G47="","",ROUND(G47-S47,2)))</f>
        <v>0</v>
      </c>
      <c r="U47" s="27">
        <f>IF(B47="","",IF(G47="","",IF(G47=0,"",T47/G47)))</f>
        <v>0</v>
      </c>
      <c r="V47" s="26">
        <f>IF(B47="","",IF(G47="","",IF(P47=0,"",ROUND(G47/P47,2))))</f>
        <v>0</v>
      </c>
      <c r="W47" s="26">
        <f>IF(B47="","",IF(T47="","",IF(P47=0,"",ROUND(T47/P47,2))))</f>
        <v>0</v>
      </c>
      <c r="X47" s="26">
        <f>IF(B47="","",IF(P47=0,"",IF(ServiceCommission&gt;=1,"",(Q47+TargetChairRate*P47)/IF(J47="No",1,1-ServiceCommission))))</f>
        <v>0</v>
      </c>
      <c r="Y47" s="26">
        <f>IF(B47="","",IF(X47="","",ROUND(IF(RoundingRule="None",X47,IF(RoundingRule="Nearest 0.99",MAX(0.99,CEILING(X47,1)-0.01),IF(RoundingRule="Nearest 0.95",MAX(0.95,CEILING(X47,1)-0.05),IF(RoundingRule="Nearest 0.50",CEILING(X47,0.5),IF(RoundingRule="Nearest 1",CEILING(X47,1),IF(RoundingRule="Nearest 5",CEILING(X47,5),IF(RoundingRule="Up to whole 1",CEILING(X47,1),IF(RoundingRule="Up to whole 5",CEILING(X47,5),ROUND(X47,2))))))))),2)))</f>
        <v>0</v>
      </c>
      <c r="Z47" s="26">
        <f>IF(B47="","",IF(Y47="","",IF(G47="","",ROUND(G47-Y47,2))))</f>
        <v>0</v>
      </c>
      <c r="AA47" s="25">
        <f>IF(B47="","",COUNTIFS(Appointments!$G$5:$G$1204,A47))</f>
        <v>0</v>
      </c>
      <c r="AB47" s="25">
        <f>IF(B47="","",COUNTIFS(Appointments!$G$5:$G$1204,A47,Appointments!$M$5:$M$1204,"Completed"))</f>
        <v>0</v>
      </c>
      <c r="AC47" s="25">
        <f>IF(B47="","",SUMIFS(Sales!$K$5:$K$1204,Sales!$I$5:$I$1204,A47,Sales!$H$5:$H$1204,"Service"))</f>
        <v>0</v>
      </c>
      <c r="AD47" s="26">
        <f>IF(B47="","",ROUND(SUMIFS(Sales!$Y$5:$Y$1204,Sales!$I$5:$I$1204,A47,Sales!$H$5:$H$1204,"Service"),2))</f>
        <v>0</v>
      </c>
      <c r="AE47" s="27">
        <f>IF(B47="","",IF(ServiceRevenueAll=0,"",AD47/ServiceRevenueAll))</f>
        <v>0</v>
      </c>
      <c r="AF47" s="26">
        <f>IF(B47="","",ROUND(AC47*T47,2))</f>
        <v>0</v>
      </c>
      <c r="AG47" s="37">
        <f>IF(B47="","",ROUND(AC47*P47,1))</f>
        <v>0</v>
      </c>
      <c r="AH47" s="27">
        <f>IF(B47="","",IF(AB47=0,"",COUNTIFS(Sales!$I$5:$I$1204,A47,Sales!$AJ$5:$AJ$1204,"Yes")/AB47))</f>
        <v>0</v>
      </c>
      <c r="AI47" s="17">
        <f>IF(B47="","",IFERROR(IF(COUNTIFS(Appointments!$G$5:$G$1204,A47)=0,"",SUMPRODUCT(MAX((Appointments!$G$5:$G$1204=A47)*IFERROR(Appointments!$B$5:$B$1204*1,0)))),""))</f>
        <v>0</v>
      </c>
      <c r="AJ47" s="25">
        <f>IF(B47="","",COUNTIFS($AD$5:$AD$204,"&gt;"&amp;AD47)+COUNTIFS($AD$5:AD47,AD47))</f>
        <v>0</v>
      </c>
      <c r="AK47" s="25">
        <f>IF(B47="","",COUNTIFS($W$5:$W$204,"&gt;"&amp;W47)+COUNTIFS($W$5:W47,W47))</f>
        <v>0</v>
      </c>
      <c r="AL47" s="25">
        <f>IF(B47="","",COUNTIFS($AB$5:$AB$204,"&gt;"&amp;AB47)+COUNTIFS($AB$5:AB47,AB47))</f>
        <v>0</v>
      </c>
      <c r="AM47" s="39">
        <f>IF(B47="","",IF(G47="","Add - no price yet",IF(E47="","Add - how long does it take?",IF(T47&lt;0,"Loss - this service costs you money",IF(V47&lt;TargetChairRate*0.7,"Check - well under your chair rate",IF(IF(N47="",FALSE,TodayDate-N47&gt;PriceReviewDays),"Due - price has not been reviewed",IF(IF(M47="Active",AB47=0,FALSE),"Check - on the menu but never booked","OK")))))))</f>
        <v>0</v>
      </c>
    </row>
    <row r="48" spans="1:39">
      <c r="A48" s="28">
        <f>IF(B48="","",ServicePrefix&amp;TEXT(ROW()-4,"000"))</f>
        <v>0</v>
      </c>
      <c r="P48" s="42">
        <f>IF(B48="","",ROUND((IF(E48="",0,E48)+IF(F48="",0,F48))/60,3))</f>
        <v>0</v>
      </c>
      <c r="Q48" s="26">
        <f>IF(B48="","",IF(H48&lt;&gt;"",H48,IF(G48="",0,ROUND(G48*ProductCostPercent,2))))</f>
        <v>0</v>
      </c>
      <c r="R48" s="26">
        <f>IF(B48="","",IF(J48="No",0,IF(G48="",0,ROUND(G48*ServiceCommission,2))))</f>
        <v>0</v>
      </c>
      <c r="S48" s="26">
        <f>IF(B48="","",ROUND(Q48+R48,2))</f>
        <v>0</v>
      </c>
      <c r="T48" s="26">
        <f>IF(B48="","",IF(G48="","",ROUND(G48-S48,2)))</f>
        <v>0</v>
      </c>
      <c r="U48" s="27">
        <f>IF(B48="","",IF(G48="","",IF(G48=0,"",T48/G48)))</f>
        <v>0</v>
      </c>
      <c r="V48" s="26">
        <f>IF(B48="","",IF(G48="","",IF(P48=0,"",ROUND(G48/P48,2))))</f>
        <v>0</v>
      </c>
      <c r="W48" s="26">
        <f>IF(B48="","",IF(T48="","",IF(P48=0,"",ROUND(T48/P48,2))))</f>
        <v>0</v>
      </c>
      <c r="X48" s="26">
        <f>IF(B48="","",IF(P48=0,"",IF(ServiceCommission&gt;=1,"",(Q48+TargetChairRate*P48)/IF(J48="No",1,1-ServiceCommission))))</f>
        <v>0</v>
      </c>
      <c r="Y48" s="26">
        <f>IF(B48="","",IF(X48="","",ROUND(IF(RoundingRule="None",X48,IF(RoundingRule="Nearest 0.99",MAX(0.99,CEILING(X48,1)-0.01),IF(RoundingRule="Nearest 0.95",MAX(0.95,CEILING(X48,1)-0.05),IF(RoundingRule="Nearest 0.50",CEILING(X48,0.5),IF(RoundingRule="Nearest 1",CEILING(X48,1),IF(RoundingRule="Nearest 5",CEILING(X48,5),IF(RoundingRule="Up to whole 1",CEILING(X48,1),IF(RoundingRule="Up to whole 5",CEILING(X48,5),ROUND(X48,2))))))))),2)))</f>
        <v>0</v>
      </c>
      <c r="Z48" s="26">
        <f>IF(B48="","",IF(Y48="","",IF(G48="","",ROUND(G48-Y48,2))))</f>
        <v>0</v>
      </c>
      <c r="AA48" s="25">
        <f>IF(B48="","",COUNTIFS(Appointments!$G$5:$G$1204,A48))</f>
        <v>0</v>
      </c>
      <c r="AB48" s="25">
        <f>IF(B48="","",COUNTIFS(Appointments!$G$5:$G$1204,A48,Appointments!$M$5:$M$1204,"Completed"))</f>
        <v>0</v>
      </c>
      <c r="AC48" s="25">
        <f>IF(B48="","",SUMIFS(Sales!$K$5:$K$1204,Sales!$I$5:$I$1204,A48,Sales!$H$5:$H$1204,"Service"))</f>
        <v>0</v>
      </c>
      <c r="AD48" s="26">
        <f>IF(B48="","",ROUND(SUMIFS(Sales!$Y$5:$Y$1204,Sales!$I$5:$I$1204,A48,Sales!$H$5:$H$1204,"Service"),2))</f>
        <v>0</v>
      </c>
      <c r="AE48" s="27">
        <f>IF(B48="","",IF(ServiceRevenueAll=0,"",AD48/ServiceRevenueAll))</f>
        <v>0</v>
      </c>
      <c r="AF48" s="26">
        <f>IF(B48="","",ROUND(AC48*T48,2))</f>
        <v>0</v>
      </c>
      <c r="AG48" s="37">
        <f>IF(B48="","",ROUND(AC48*P48,1))</f>
        <v>0</v>
      </c>
      <c r="AH48" s="27">
        <f>IF(B48="","",IF(AB48=0,"",COUNTIFS(Sales!$I$5:$I$1204,A48,Sales!$AJ$5:$AJ$1204,"Yes")/AB48))</f>
        <v>0</v>
      </c>
      <c r="AI48" s="17">
        <f>IF(B48="","",IFERROR(IF(COUNTIFS(Appointments!$G$5:$G$1204,A48)=0,"",SUMPRODUCT(MAX((Appointments!$G$5:$G$1204=A48)*IFERROR(Appointments!$B$5:$B$1204*1,0)))),""))</f>
        <v>0</v>
      </c>
      <c r="AJ48" s="25">
        <f>IF(B48="","",COUNTIFS($AD$5:$AD$204,"&gt;"&amp;AD48)+COUNTIFS($AD$5:AD48,AD48))</f>
        <v>0</v>
      </c>
      <c r="AK48" s="25">
        <f>IF(B48="","",COUNTIFS($W$5:$W$204,"&gt;"&amp;W48)+COUNTIFS($W$5:W48,W48))</f>
        <v>0</v>
      </c>
      <c r="AL48" s="25">
        <f>IF(B48="","",COUNTIFS($AB$5:$AB$204,"&gt;"&amp;AB48)+COUNTIFS($AB$5:AB48,AB48))</f>
        <v>0</v>
      </c>
      <c r="AM48" s="39">
        <f>IF(B48="","",IF(G48="","Add - no price yet",IF(E48="","Add - how long does it take?",IF(T48&lt;0,"Loss - this service costs you money",IF(V48&lt;TargetChairRate*0.7,"Check - well under your chair rate",IF(IF(N48="",FALSE,TodayDate-N48&gt;PriceReviewDays),"Due - price has not been reviewed",IF(IF(M48="Active",AB48=0,FALSE),"Check - on the menu but never booked","OK")))))))</f>
        <v>0</v>
      </c>
    </row>
    <row r="49" spans="1:39">
      <c r="A49" s="28">
        <f>IF(B49="","",ServicePrefix&amp;TEXT(ROW()-4,"000"))</f>
        <v>0</v>
      </c>
      <c r="P49" s="42">
        <f>IF(B49="","",ROUND((IF(E49="",0,E49)+IF(F49="",0,F49))/60,3))</f>
        <v>0</v>
      </c>
      <c r="Q49" s="26">
        <f>IF(B49="","",IF(H49&lt;&gt;"",H49,IF(G49="",0,ROUND(G49*ProductCostPercent,2))))</f>
        <v>0</v>
      </c>
      <c r="R49" s="26">
        <f>IF(B49="","",IF(J49="No",0,IF(G49="",0,ROUND(G49*ServiceCommission,2))))</f>
        <v>0</v>
      </c>
      <c r="S49" s="26">
        <f>IF(B49="","",ROUND(Q49+R49,2))</f>
        <v>0</v>
      </c>
      <c r="T49" s="26">
        <f>IF(B49="","",IF(G49="","",ROUND(G49-S49,2)))</f>
        <v>0</v>
      </c>
      <c r="U49" s="27">
        <f>IF(B49="","",IF(G49="","",IF(G49=0,"",T49/G49)))</f>
        <v>0</v>
      </c>
      <c r="V49" s="26">
        <f>IF(B49="","",IF(G49="","",IF(P49=0,"",ROUND(G49/P49,2))))</f>
        <v>0</v>
      </c>
      <c r="W49" s="26">
        <f>IF(B49="","",IF(T49="","",IF(P49=0,"",ROUND(T49/P49,2))))</f>
        <v>0</v>
      </c>
      <c r="X49" s="26">
        <f>IF(B49="","",IF(P49=0,"",IF(ServiceCommission&gt;=1,"",(Q49+TargetChairRate*P49)/IF(J49="No",1,1-ServiceCommission))))</f>
        <v>0</v>
      </c>
      <c r="Y49" s="26">
        <f>IF(B49="","",IF(X49="","",ROUND(IF(RoundingRule="None",X49,IF(RoundingRule="Nearest 0.99",MAX(0.99,CEILING(X49,1)-0.01),IF(RoundingRule="Nearest 0.95",MAX(0.95,CEILING(X49,1)-0.05),IF(RoundingRule="Nearest 0.50",CEILING(X49,0.5),IF(RoundingRule="Nearest 1",CEILING(X49,1),IF(RoundingRule="Nearest 5",CEILING(X49,5),IF(RoundingRule="Up to whole 1",CEILING(X49,1),IF(RoundingRule="Up to whole 5",CEILING(X49,5),ROUND(X49,2))))))))),2)))</f>
        <v>0</v>
      </c>
      <c r="Z49" s="26">
        <f>IF(B49="","",IF(Y49="","",IF(G49="","",ROUND(G49-Y49,2))))</f>
        <v>0</v>
      </c>
      <c r="AA49" s="25">
        <f>IF(B49="","",COUNTIFS(Appointments!$G$5:$G$1204,A49))</f>
        <v>0</v>
      </c>
      <c r="AB49" s="25">
        <f>IF(B49="","",COUNTIFS(Appointments!$G$5:$G$1204,A49,Appointments!$M$5:$M$1204,"Completed"))</f>
        <v>0</v>
      </c>
      <c r="AC49" s="25">
        <f>IF(B49="","",SUMIFS(Sales!$K$5:$K$1204,Sales!$I$5:$I$1204,A49,Sales!$H$5:$H$1204,"Service"))</f>
        <v>0</v>
      </c>
      <c r="AD49" s="26">
        <f>IF(B49="","",ROUND(SUMIFS(Sales!$Y$5:$Y$1204,Sales!$I$5:$I$1204,A49,Sales!$H$5:$H$1204,"Service"),2))</f>
        <v>0</v>
      </c>
      <c r="AE49" s="27">
        <f>IF(B49="","",IF(ServiceRevenueAll=0,"",AD49/ServiceRevenueAll))</f>
        <v>0</v>
      </c>
      <c r="AF49" s="26">
        <f>IF(B49="","",ROUND(AC49*T49,2))</f>
        <v>0</v>
      </c>
      <c r="AG49" s="37">
        <f>IF(B49="","",ROUND(AC49*P49,1))</f>
        <v>0</v>
      </c>
      <c r="AH49" s="27">
        <f>IF(B49="","",IF(AB49=0,"",COUNTIFS(Sales!$I$5:$I$1204,A49,Sales!$AJ$5:$AJ$1204,"Yes")/AB49))</f>
        <v>0</v>
      </c>
      <c r="AI49" s="17">
        <f>IF(B49="","",IFERROR(IF(COUNTIFS(Appointments!$G$5:$G$1204,A49)=0,"",SUMPRODUCT(MAX((Appointments!$G$5:$G$1204=A49)*IFERROR(Appointments!$B$5:$B$1204*1,0)))),""))</f>
        <v>0</v>
      </c>
      <c r="AJ49" s="25">
        <f>IF(B49="","",COUNTIFS($AD$5:$AD$204,"&gt;"&amp;AD49)+COUNTIFS($AD$5:AD49,AD49))</f>
        <v>0</v>
      </c>
      <c r="AK49" s="25">
        <f>IF(B49="","",COUNTIFS($W$5:$W$204,"&gt;"&amp;W49)+COUNTIFS($W$5:W49,W49))</f>
        <v>0</v>
      </c>
      <c r="AL49" s="25">
        <f>IF(B49="","",COUNTIFS($AB$5:$AB$204,"&gt;"&amp;AB49)+COUNTIFS($AB$5:AB49,AB49))</f>
        <v>0</v>
      </c>
      <c r="AM49" s="39">
        <f>IF(B49="","",IF(G49="","Add - no price yet",IF(E49="","Add - how long does it take?",IF(T49&lt;0,"Loss - this service costs you money",IF(V49&lt;TargetChairRate*0.7,"Check - well under your chair rate",IF(IF(N49="",FALSE,TodayDate-N49&gt;PriceReviewDays),"Due - price has not been reviewed",IF(IF(M49="Active",AB49=0,FALSE),"Check - on the menu but never booked","OK")))))))</f>
        <v>0</v>
      </c>
    </row>
    <row r="50" spans="1:39">
      <c r="A50" s="28">
        <f>IF(B50="","",ServicePrefix&amp;TEXT(ROW()-4,"000"))</f>
        <v>0</v>
      </c>
      <c r="P50" s="42">
        <f>IF(B50="","",ROUND((IF(E50="",0,E50)+IF(F50="",0,F50))/60,3))</f>
        <v>0</v>
      </c>
      <c r="Q50" s="26">
        <f>IF(B50="","",IF(H50&lt;&gt;"",H50,IF(G50="",0,ROUND(G50*ProductCostPercent,2))))</f>
        <v>0</v>
      </c>
      <c r="R50" s="26">
        <f>IF(B50="","",IF(J50="No",0,IF(G50="",0,ROUND(G50*ServiceCommission,2))))</f>
        <v>0</v>
      </c>
      <c r="S50" s="26">
        <f>IF(B50="","",ROUND(Q50+R50,2))</f>
        <v>0</v>
      </c>
      <c r="T50" s="26">
        <f>IF(B50="","",IF(G50="","",ROUND(G50-S50,2)))</f>
        <v>0</v>
      </c>
      <c r="U50" s="27">
        <f>IF(B50="","",IF(G50="","",IF(G50=0,"",T50/G50)))</f>
        <v>0</v>
      </c>
      <c r="V50" s="26">
        <f>IF(B50="","",IF(G50="","",IF(P50=0,"",ROUND(G50/P50,2))))</f>
        <v>0</v>
      </c>
      <c r="W50" s="26">
        <f>IF(B50="","",IF(T50="","",IF(P50=0,"",ROUND(T50/P50,2))))</f>
        <v>0</v>
      </c>
      <c r="X50" s="26">
        <f>IF(B50="","",IF(P50=0,"",IF(ServiceCommission&gt;=1,"",(Q50+TargetChairRate*P50)/IF(J50="No",1,1-ServiceCommission))))</f>
        <v>0</v>
      </c>
      <c r="Y50" s="26">
        <f>IF(B50="","",IF(X50="","",ROUND(IF(RoundingRule="None",X50,IF(RoundingRule="Nearest 0.99",MAX(0.99,CEILING(X50,1)-0.01),IF(RoundingRule="Nearest 0.95",MAX(0.95,CEILING(X50,1)-0.05),IF(RoundingRule="Nearest 0.50",CEILING(X50,0.5),IF(RoundingRule="Nearest 1",CEILING(X50,1),IF(RoundingRule="Nearest 5",CEILING(X50,5),IF(RoundingRule="Up to whole 1",CEILING(X50,1),IF(RoundingRule="Up to whole 5",CEILING(X50,5),ROUND(X50,2))))))))),2)))</f>
        <v>0</v>
      </c>
      <c r="Z50" s="26">
        <f>IF(B50="","",IF(Y50="","",IF(G50="","",ROUND(G50-Y50,2))))</f>
        <v>0</v>
      </c>
      <c r="AA50" s="25">
        <f>IF(B50="","",COUNTIFS(Appointments!$G$5:$G$1204,A50))</f>
        <v>0</v>
      </c>
      <c r="AB50" s="25">
        <f>IF(B50="","",COUNTIFS(Appointments!$G$5:$G$1204,A50,Appointments!$M$5:$M$1204,"Completed"))</f>
        <v>0</v>
      </c>
      <c r="AC50" s="25">
        <f>IF(B50="","",SUMIFS(Sales!$K$5:$K$1204,Sales!$I$5:$I$1204,A50,Sales!$H$5:$H$1204,"Service"))</f>
        <v>0</v>
      </c>
      <c r="AD50" s="26">
        <f>IF(B50="","",ROUND(SUMIFS(Sales!$Y$5:$Y$1204,Sales!$I$5:$I$1204,A50,Sales!$H$5:$H$1204,"Service"),2))</f>
        <v>0</v>
      </c>
      <c r="AE50" s="27">
        <f>IF(B50="","",IF(ServiceRevenueAll=0,"",AD50/ServiceRevenueAll))</f>
        <v>0</v>
      </c>
      <c r="AF50" s="26">
        <f>IF(B50="","",ROUND(AC50*T50,2))</f>
        <v>0</v>
      </c>
      <c r="AG50" s="37">
        <f>IF(B50="","",ROUND(AC50*P50,1))</f>
        <v>0</v>
      </c>
      <c r="AH50" s="27">
        <f>IF(B50="","",IF(AB50=0,"",COUNTIFS(Sales!$I$5:$I$1204,A50,Sales!$AJ$5:$AJ$1204,"Yes")/AB50))</f>
        <v>0</v>
      </c>
      <c r="AI50" s="17">
        <f>IF(B50="","",IFERROR(IF(COUNTIFS(Appointments!$G$5:$G$1204,A50)=0,"",SUMPRODUCT(MAX((Appointments!$G$5:$G$1204=A50)*IFERROR(Appointments!$B$5:$B$1204*1,0)))),""))</f>
        <v>0</v>
      </c>
      <c r="AJ50" s="25">
        <f>IF(B50="","",COUNTIFS($AD$5:$AD$204,"&gt;"&amp;AD50)+COUNTIFS($AD$5:AD50,AD50))</f>
        <v>0</v>
      </c>
      <c r="AK50" s="25">
        <f>IF(B50="","",COUNTIFS($W$5:$W$204,"&gt;"&amp;W50)+COUNTIFS($W$5:W50,W50))</f>
        <v>0</v>
      </c>
      <c r="AL50" s="25">
        <f>IF(B50="","",COUNTIFS($AB$5:$AB$204,"&gt;"&amp;AB50)+COUNTIFS($AB$5:AB50,AB50))</f>
        <v>0</v>
      </c>
      <c r="AM50" s="39">
        <f>IF(B50="","",IF(G50="","Add - no price yet",IF(E50="","Add - how long does it take?",IF(T50&lt;0,"Loss - this service costs you money",IF(V50&lt;TargetChairRate*0.7,"Check - well under your chair rate",IF(IF(N50="",FALSE,TodayDate-N50&gt;PriceReviewDays),"Due - price has not been reviewed",IF(IF(M50="Active",AB50=0,FALSE),"Check - on the menu but never booked","OK")))))))</f>
        <v>0</v>
      </c>
    </row>
    <row r="51" spans="1:39">
      <c r="A51" s="28">
        <f>IF(B51="","",ServicePrefix&amp;TEXT(ROW()-4,"000"))</f>
        <v>0</v>
      </c>
      <c r="P51" s="42">
        <f>IF(B51="","",ROUND((IF(E51="",0,E51)+IF(F51="",0,F51))/60,3))</f>
        <v>0</v>
      </c>
      <c r="Q51" s="26">
        <f>IF(B51="","",IF(H51&lt;&gt;"",H51,IF(G51="",0,ROUND(G51*ProductCostPercent,2))))</f>
        <v>0</v>
      </c>
      <c r="R51" s="26">
        <f>IF(B51="","",IF(J51="No",0,IF(G51="",0,ROUND(G51*ServiceCommission,2))))</f>
        <v>0</v>
      </c>
      <c r="S51" s="26">
        <f>IF(B51="","",ROUND(Q51+R51,2))</f>
        <v>0</v>
      </c>
      <c r="T51" s="26">
        <f>IF(B51="","",IF(G51="","",ROUND(G51-S51,2)))</f>
        <v>0</v>
      </c>
      <c r="U51" s="27">
        <f>IF(B51="","",IF(G51="","",IF(G51=0,"",T51/G51)))</f>
        <v>0</v>
      </c>
      <c r="V51" s="26">
        <f>IF(B51="","",IF(G51="","",IF(P51=0,"",ROUND(G51/P51,2))))</f>
        <v>0</v>
      </c>
      <c r="W51" s="26">
        <f>IF(B51="","",IF(T51="","",IF(P51=0,"",ROUND(T51/P51,2))))</f>
        <v>0</v>
      </c>
      <c r="X51" s="26">
        <f>IF(B51="","",IF(P51=0,"",IF(ServiceCommission&gt;=1,"",(Q51+TargetChairRate*P51)/IF(J51="No",1,1-ServiceCommission))))</f>
        <v>0</v>
      </c>
      <c r="Y51" s="26">
        <f>IF(B51="","",IF(X51="","",ROUND(IF(RoundingRule="None",X51,IF(RoundingRule="Nearest 0.99",MAX(0.99,CEILING(X51,1)-0.01),IF(RoundingRule="Nearest 0.95",MAX(0.95,CEILING(X51,1)-0.05),IF(RoundingRule="Nearest 0.50",CEILING(X51,0.5),IF(RoundingRule="Nearest 1",CEILING(X51,1),IF(RoundingRule="Nearest 5",CEILING(X51,5),IF(RoundingRule="Up to whole 1",CEILING(X51,1),IF(RoundingRule="Up to whole 5",CEILING(X51,5),ROUND(X51,2))))))))),2)))</f>
        <v>0</v>
      </c>
      <c r="Z51" s="26">
        <f>IF(B51="","",IF(Y51="","",IF(G51="","",ROUND(G51-Y51,2))))</f>
        <v>0</v>
      </c>
      <c r="AA51" s="25">
        <f>IF(B51="","",COUNTIFS(Appointments!$G$5:$G$1204,A51))</f>
        <v>0</v>
      </c>
      <c r="AB51" s="25">
        <f>IF(B51="","",COUNTIFS(Appointments!$G$5:$G$1204,A51,Appointments!$M$5:$M$1204,"Completed"))</f>
        <v>0</v>
      </c>
      <c r="AC51" s="25">
        <f>IF(B51="","",SUMIFS(Sales!$K$5:$K$1204,Sales!$I$5:$I$1204,A51,Sales!$H$5:$H$1204,"Service"))</f>
        <v>0</v>
      </c>
      <c r="AD51" s="26">
        <f>IF(B51="","",ROUND(SUMIFS(Sales!$Y$5:$Y$1204,Sales!$I$5:$I$1204,A51,Sales!$H$5:$H$1204,"Service"),2))</f>
        <v>0</v>
      </c>
      <c r="AE51" s="27">
        <f>IF(B51="","",IF(ServiceRevenueAll=0,"",AD51/ServiceRevenueAll))</f>
        <v>0</v>
      </c>
      <c r="AF51" s="26">
        <f>IF(B51="","",ROUND(AC51*T51,2))</f>
        <v>0</v>
      </c>
      <c r="AG51" s="37">
        <f>IF(B51="","",ROUND(AC51*P51,1))</f>
        <v>0</v>
      </c>
      <c r="AH51" s="27">
        <f>IF(B51="","",IF(AB51=0,"",COUNTIFS(Sales!$I$5:$I$1204,A51,Sales!$AJ$5:$AJ$1204,"Yes")/AB51))</f>
        <v>0</v>
      </c>
      <c r="AI51" s="17">
        <f>IF(B51="","",IFERROR(IF(COUNTIFS(Appointments!$G$5:$G$1204,A51)=0,"",SUMPRODUCT(MAX((Appointments!$G$5:$G$1204=A51)*IFERROR(Appointments!$B$5:$B$1204*1,0)))),""))</f>
        <v>0</v>
      </c>
      <c r="AJ51" s="25">
        <f>IF(B51="","",COUNTIFS($AD$5:$AD$204,"&gt;"&amp;AD51)+COUNTIFS($AD$5:AD51,AD51))</f>
        <v>0</v>
      </c>
      <c r="AK51" s="25">
        <f>IF(B51="","",COUNTIFS($W$5:$W$204,"&gt;"&amp;W51)+COUNTIFS($W$5:W51,W51))</f>
        <v>0</v>
      </c>
      <c r="AL51" s="25">
        <f>IF(B51="","",COUNTIFS($AB$5:$AB$204,"&gt;"&amp;AB51)+COUNTIFS($AB$5:AB51,AB51))</f>
        <v>0</v>
      </c>
      <c r="AM51" s="39">
        <f>IF(B51="","",IF(G51="","Add - no price yet",IF(E51="","Add - how long does it take?",IF(T51&lt;0,"Loss - this service costs you money",IF(V51&lt;TargetChairRate*0.7,"Check - well under your chair rate",IF(IF(N51="",FALSE,TodayDate-N51&gt;PriceReviewDays),"Due - price has not been reviewed",IF(IF(M51="Active",AB51=0,FALSE),"Check - on the menu but never booked","OK")))))))</f>
        <v>0</v>
      </c>
    </row>
    <row r="52" spans="1:39">
      <c r="A52" s="28">
        <f>IF(B52="","",ServicePrefix&amp;TEXT(ROW()-4,"000"))</f>
        <v>0</v>
      </c>
      <c r="P52" s="42">
        <f>IF(B52="","",ROUND((IF(E52="",0,E52)+IF(F52="",0,F52))/60,3))</f>
        <v>0</v>
      </c>
      <c r="Q52" s="26">
        <f>IF(B52="","",IF(H52&lt;&gt;"",H52,IF(G52="",0,ROUND(G52*ProductCostPercent,2))))</f>
        <v>0</v>
      </c>
      <c r="R52" s="26">
        <f>IF(B52="","",IF(J52="No",0,IF(G52="",0,ROUND(G52*ServiceCommission,2))))</f>
        <v>0</v>
      </c>
      <c r="S52" s="26">
        <f>IF(B52="","",ROUND(Q52+R52,2))</f>
        <v>0</v>
      </c>
      <c r="T52" s="26">
        <f>IF(B52="","",IF(G52="","",ROUND(G52-S52,2)))</f>
        <v>0</v>
      </c>
      <c r="U52" s="27">
        <f>IF(B52="","",IF(G52="","",IF(G52=0,"",T52/G52)))</f>
        <v>0</v>
      </c>
      <c r="V52" s="26">
        <f>IF(B52="","",IF(G52="","",IF(P52=0,"",ROUND(G52/P52,2))))</f>
        <v>0</v>
      </c>
      <c r="W52" s="26">
        <f>IF(B52="","",IF(T52="","",IF(P52=0,"",ROUND(T52/P52,2))))</f>
        <v>0</v>
      </c>
      <c r="X52" s="26">
        <f>IF(B52="","",IF(P52=0,"",IF(ServiceCommission&gt;=1,"",(Q52+TargetChairRate*P52)/IF(J52="No",1,1-ServiceCommission))))</f>
        <v>0</v>
      </c>
      <c r="Y52" s="26">
        <f>IF(B52="","",IF(X52="","",ROUND(IF(RoundingRule="None",X52,IF(RoundingRule="Nearest 0.99",MAX(0.99,CEILING(X52,1)-0.01),IF(RoundingRule="Nearest 0.95",MAX(0.95,CEILING(X52,1)-0.05),IF(RoundingRule="Nearest 0.50",CEILING(X52,0.5),IF(RoundingRule="Nearest 1",CEILING(X52,1),IF(RoundingRule="Nearest 5",CEILING(X52,5),IF(RoundingRule="Up to whole 1",CEILING(X52,1),IF(RoundingRule="Up to whole 5",CEILING(X52,5),ROUND(X52,2))))))))),2)))</f>
        <v>0</v>
      </c>
      <c r="Z52" s="26">
        <f>IF(B52="","",IF(Y52="","",IF(G52="","",ROUND(G52-Y52,2))))</f>
        <v>0</v>
      </c>
      <c r="AA52" s="25">
        <f>IF(B52="","",COUNTIFS(Appointments!$G$5:$G$1204,A52))</f>
        <v>0</v>
      </c>
      <c r="AB52" s="25">
        <f>IF(B52="","",COUNTIFS(Appointments!$G$5:$G$1204,A52,Appointments!$M$5:$M$1204,"Completed"))</f>
        <v>0</v>
      </c>
      <c r="AC52" s="25">
        <f>IF(B52="","",SUMIFS(Sales!$K$5:$K$1204,Sales!$I$5:$I$1204,A52,Sales!$H$5:$H$1204,"Service"))</f>
        <v>0</v>
      </c>
      <c r="AD52" s="26">
        <f>IF(B52="","",ROUND(SUMIFS(Sales!$Y$5:$Y$1204,Sales!$I$5:$I$1204,A52,Sales!$H$5:$H$1204,"Service"),2))</f>
        <v>0</v>
      </c>
      <c r="AE52" s="27">
        <f>IF(B52="","",IF(ServiceRevenueAll=0,"",AD52/ServiceRevenueAll))</f>
        <v>0</v>
      </c>
      <c r="AF52" s="26">
        <f>IF(B52="","",ROUND(AC52*T52,2))</f>
        <v>0</v>
      </c>
      <c r="AG52" s="37">
        <f>IF(B52="","",ROUND(AC52*P52,1))</f>
        <v>0</v>
      </c>
      <c r="AH52" s="27">
        <f>IF(B52="","",IF(AB52=0,"",COUNTIFS(Sales!$I$5:$I$1204,A52,Sales!$AJ$5:$AJ$1204,"Yes")/AB52))</f>
        <v>0</v>
      </c>
      <c r="AI52" s="17">
        <f>IF(B52="","",IFERROR(IF(COUNTIFS(Appointments!$G$5:$G$1204,A52)=0,"",SUMPRODUCT(MAX((Appointments!$G$5:$G$1204=A52)*IFERROR(Appointments!$B$5:$B$1204*1,0)))),""))</f>
        <v>0</v>
      </c>
      <c r="AJ52" s="25">
        <f>IF(B52="","",COUNTIFS($AD$5:$AD$204,"&gt;"&amp;AD52)+COUNTIFS($AD$5:AD52,AD52))</f>
        <v>0</v>
      </c>
      <c r="AK52" s="25">
        <f>IF(B52="","",COUNTIFS($W$5:$W$204,"&gt;"&amp;W52)+COUNTIFS($W$5:W52,W52))</f>
        <v>0</v>
      </c>
      <c r="AL52" s="25">
        <f>IF(B52="","",COUNTIFS($AB$5:$AB$204,"&gt;"&amp;AB52)+COUNTIFS($AB$5:AB52,AB52))</f>
        <v>0</v>
      </c>
      <c r="AM52" s="39">
        <f>IF(B52="","",IF(G52="","Add - no price yet",IF(E52="","Add - how long does it take?",IF(T52&lt;0,"Loss - this service costs you money",IF(V52&lt;TargetChairRate*0.7,"Check - well under your chair rate",IF(IF(N52="",FALSE,TodayDate-N52&gt;PriceReviewDays),"Due - price has not been reviewed",IF(IF(M52="Active",AB52=0,FALSE),"Check - on the menu but never booked","OK")))))))</f>
        <v>0</v>
      </c>
    </row>
    <row r="53" spans="1:39">
      <c r="A53" s="28">
        <f>IF(B53="","",ServicePrefix&amp;TEXT(ROW()-4,"000"))</f>
        <v>0</v>
      </c>
      <c r="P53" s="42">
        <f>IF(B53="","",ROUND((IF(E53="",0,E53)+IF(F53="",0,F53))/60,3))</f>
        <v>0</v>
      </c>
      <c r="Q53" s="26">
        <f>IF(B53="","",IF(H53&lt;&gt;"",H53,IF(G53="",0,ROUND(G53*ProductCostPercent,2))))</f>
        <v>0</v>
      </c>
      <c r="R53" s="26">
        <f>IF(B53="","",IF(J53="No",0,IF(G53="",0,ROUND(G53*ServiceCommission,2))))</f>
        <v>0</v>
      </c>
      <c r="S53" s="26">
        <f>IF(B53="","",ROUND(Q53+R53,2))</f>
        <v>0</v>
      </c>
      <c r="T53" s="26">
        <f>IF(B53="","",IF(G53="","",ROUND(G53-S53,2)))</f>
        <v>0</v>
      </c>
      <c r="U53" s="27">
        <f>IF(B53="","",IF(G53="","",IF(G53=0,"",T53/G53)))</f>
        <v>0</v>
      </c>
      <c r="V53" s="26">
        <f>IF(B53="","",IF(G53="","",IF(P53=0,"",ROUND(G53/P53,2))))</f>
        <v>0</v>
      </c>
      <c r="W53" s="26">
        <f>IF(B53="","",IF(T53="","",IF(P53=0,"",ROUND(T53/P53,2))))</f>
        <v>0</v>
      </c>
      <c r="X53" s="26">
        <f>IF(B53="","",IF(P53=0,"",IF(ServiceCommission&gt;=1,"",(Q53+TargetChairRate*P53)/IF(J53="No",1,1-ServiceCommission))))</f>
        <v>0</v>
      </c>
      <c r="Y53" s="26">
        <f>IF(B53="","",IF(X53="","",ROUND(IF(RoundingRule="None",X53,IF(RoundingRule="Nearest 0.99",MAX(0.99,CEILING(X53,1)-0.01),IF(RoundingRule="Nearest 0.95",MAX(0.95,CEILING(X53,1)-0.05),IF(RoundingRule="Nearest 0.50",CEILING(X53,0.5),IF(RoundingRule="Nearest 1",CEILING(X53,1),IF(RoundingRule="Nearest 5",CEILING(X53,5),IF(RoundingRule="Up to whole 1",CEILING(X53,1),IF(RoundingRule="Up to whole 5",CEILING(X53,5),ROUND(X53,2))))))))),2)))</f>
        <v>0</v>
      </c>
      <c r="Z53" s="26">
        <f>IF(B53="","",IF(Y53="","",IF(G53="","",ROUND(G53-Y53,2))))</f>
        <v>0</v>
      </c>
      <c r="AA53" s="25">
        <f>IF(B53="","",COUNTIFS(Appointments!$G$5:$G$1204,A53))</f>
        <v>0</v>
      </c>
      <c r="AB53" s="25">
        <f>IF(B53="","",COUNTIFS(Appointments!$G$5:$G$1204,A53,Appointments!$M$5:$M$1204,"Completed"))</f>
        <v>0</v>
      </c>
      <c r="AC53" s="25">
        <f>IF(B53="","",SUMIFS(Sales!$K$5:$K$1204,Sales!$I$5:$I$1204,A53,Sales!$H$5:$H$1204,"Service"))</f>
        <v>0</v>
      </c>
      <c r="AD53" s="26">
        <f>IF(B53="","",ROUND(SUMIFS(Sales!$Y$5:$Y$1204,Sales!$I$5:$I$1204,A53,Sales!$H$5:$H$1204,"Service"),2))</f>
        <v>0</v>
      </c>
      <c r="AE53" s="27">
        <f>IF(B53="","",IF(ServiceRevenueAll=0,"",AD53/ServiceRevenueAll))</f>
        <v>0</v>
      </c>
      <c r="AF53" s="26">
        <f>IF(B53="","",ROUND(AC53*T53,2))</f>
        <v>0</v>
      </c>
      <c r="AG53" s="37">
        <f>IF(B53="","",ROUND(AC53*P53,1))</f>
        <v>0</v>
      </c>
      <c r="AH53" s="27">
        <f>IF(B53="","",IF(AB53=0,"",COUNTIFS(Sales!$I$5:$I$1204,A53,Sales!$AJ$5:$AJ$1204,"Yes")/AB53))</f>
        <v>0</v>
      </c>
      <c r="AI53" s="17">
        <f>IF(B53="","",IFERROR(IF(COUNTIFS(Appointments!$G$5:$G$1204,A53)=0,"",SUMPRODUCT(MAX((Appointments!$G$5:$G$1204=A53)*IFERROR(Appointments!$B$5:$B$1204*1,0)))),""))</f>
        <v>0</v>
      </c>
      <c r="AJ53" s="25">
        <f>IF(B53="","",COUNTIFS($AD$5:$AD$204,"&gt;"&amp;AD53)+COUNTIFS($AD$5:AD53,AD53))</f>
        <v>0</v>
      </c>
      <c r="AK53" s="25">
        <f>IF(B53="","",COUNTIFS($W$5:$W$204,"&gt;"&amp;W53)+COUNTIFS($W$5:W53,W53))</f>
        <v>0</v>
      </c>
      <c r="AL53" s="25">
        <f>IF(B53="","",COUNTIFS($AB$5:$AB$204,"&gt;"&amp;AB53)+COUNTIFS($AB$5:AB53,AB53))</f>
        <v>0</v>
      </c>
      <c r="AM53" s="39">
        <f>IF(B53="","",IF(G53="","Add - no price yet",IF(E53="","Add - how long does it take?",IF(T53&lt;0,"Loss - this service costs you money",IF(V53&lt;TargetChairRate*0.7,"Check - well under your chair rate",IF(IF(N53="",FALSE,TodayDate-N53&gt;PriceReviewDays),"Due - price has not been reviewed",IF(IF(M53="Active",AB53=0,FALSE),"Check - on the menu but never booked","OK")))))))</f>
        <v>0</v>
      </c>
    </row>
    <row r="54" spans="1:39">
      <c r="A54" s="28">
        <f>IF(B54="","",ServicePrefix&amp;TEXT(ROW()-4,"000"))</f>
        <v>0</v>
      </c>
      <c r="P54" s="42">
        <f>IF(B54="","",ROUND((IF(E54="",0,E54)+IF(F54="",0,F54))/60,3))</f>
        <v>0</v>
      </c>
      <c r="Q54" s="26">
        <f>IF(B54="","",IF(H54&lt;&gt;"",H54,IF(G54="",0,ROUND(G54*ProductCostPercent,2))))</f>
        <v>0</v>
      </c>
      <c r="R54" s="26">
        <f>IF(B54="","",IF(J54="No",0,IF(G54="",0,ROUND(G54*ServiceCommission,2))))</f>
        <v>0</v>
      </c>
      <c r="S54" s="26">
        <f>IF(B54="","",ROUND(Q54+R54,2))</f>
        <v>0</v>
      </c>
      <c r="T54" s="26">
        <f>IF(B54="","",IF(G54="","",ROUND(G54-S54,2)))</f>
        <v>0</v>
      </c>
      <c r="U54" s="27">
        <f>IF(B54="","",IF(G54="","",IF(G54=0,"",T54/G54)))</f>
        <v>0</v>
      </c>
      <c r="V54" s="26">
        <f>IF(B54="","",IF(G54="","",IF(P54=0,"",ROUND(G54/P54,2))))</f>
        <v>0</v>
      </c>
      <c r="W54" s="26">
        <f>IF(B54="","",IF(T54="","",IF(P54=0,"",ROUND(T54/P54,2))))</f>
        <v>0</v>
      </c>
      <c r="X54" s="26">
        <f>IF(B54="","",IF(P54=0,"",IF(ServiceCommission&gt;=1,"",(Q54+TargetChairRate*P54)/IF(J54="No",1,1-ServiceCommission))))</f>
        <v>0</v>
      </c>
      <c r="Y54" s="26">
        <f>IF(B54="","",IF(X54="","",ROUND(IF(RoundingRule="None",X54,IF(RoundingRule="Nearest 0.99",MAX(0.99,CEILING(X54,1)-0.01),IF(RoundingRule="Nearest 0.95",MAX(0.95,CEILING(X54,1)-0.05),IF(RoundingRule="Nearest 0.50",CEILING(X54,0.5),IF(RoundingRule="Nearest 1",CEILING(X54,1),IF(RoundingRule="Nearest 5",CEILING(X54,5),IF(RoundingRule="Up to whole 1",CEILING(X54,1),IF(RoundingRule="Up to whole 5",CEILING(X54,5),ROUND(X54,2))))))))),2)))</f>
        <v>0</v>
      </c>
      <c r="Z54" s="26">
        <f>IF(B54="","",IF(Y54="","",IF(G54="","",ROUND(G54-Y54,2))))</f>
        <v>0</v>
      </c>
      <c r="AA54" s="25">
        <f>IF(B54="","",COUNTIFS(Appointments!$G$5:$G$1204,A54))</f>
        <v>0</v>
      </c>
      <c r="AB54" s="25">
        <f>IF(B54="","",COUNTIFS(Appointments!$G$5:$G$1204,A54,Appointments!$M$5:$M$1204,"Completed"))</f>
        <v>0</v>
      </c>
      <c r="AC54" s="25">
        <f>IF(B54="","",SUMIFS(Sales!$K$5:$K$1204,Sales!$I$5:$I$1204,A54,Sales!$H$5:$H$1204,"Service"))</f>
        <v>0</v>
      </c>
      <c r="AD54" s="26">
        <f>IF(B54="","",ROUND(SUMIFS(Sales!$Y$5:$Y$1204,Sales!$I$5:$I$1204,A54,Sales!$H$5:$H$1204,"Service"),2))</f>
        <v>0</v>
      </c>
      <c r="AE54" s="27">
        <f>IF(B54="","",IF(ServiceRevenueAll=0,"",AD54/ServiceRevenueAll))</f>
        <v>0</v>
      </c>
      <c r="AF54" s="26">
        <f>IF(B54="","",ROUND(AC54*T54,2))</f>
        <v>0</v>
      </c>
      <c r="AG54" s="37">
        <f>IF(B54="","",ROUND(AC54*P54,1))</f>
        <v>0</v>
      </c>
      <c r="AH54" s="27">
        <f>IF(B54="","",IF(AB54=0,"",COUNTIFS(Sales!$I$5:$I$1204,A54,Sales!$AJ$5:$AJ$1204,"Yes")/AB54))</f>
        <v>0</v>
      </c>
      <c r="AI54" s="17">
        <f>IF(B54="","",IFERROR(IF(COUNTIFS(Appointments!$G$5:$G$1204,A54)=0,"",SUMPRODUCT(MAX((Appointments!$G$5:$G$1204=A54)*IFERROR(Appointments!$B$5:$B$1204*1,0)))),""))</f>
        <v>0</v>
      </c>
      <c r="AJ54" s="25">
        <f>IF(B54="","",COUNTIFS($AD$5:$AD$204,"&gt;"&amp;AD54)+COUNTIFS($AD$5:AD54,AD54))</f>
        <v>0</v>
      </c>
      <c r="AK54" s="25">
        <f>IF(B54="","",COUNTIFS($W$5:$W$204,"&gt;"&amp;W54)+COUNTIFS($W$5:W54,W54))</f>
        <v>0</v>
      </c>
      <c r="AL54" s="25">
        <f>IF(B54="","",COUNTIFS($AB$5:$AB$204,"&gt;"&amp;AB54)+COUNTIFS($AB$5:AB54,AB54))</f>
        <v>0</v>
      </c>
      <c r="AM54" s="39">
        <f>IF(B54="","",IF(G54="","Add - no price yet",IF(E54="","Add - how long does it take?",IF(T54&lt;0,"Loss - this service costs you money",IF(V54&lt;TargetChairRate*0.7,"Check - well under your chair rate",IF(IF(N54="",FALSE,TodayDate-N54&gt;PriceReviewDays),"Due - price has not been reviewed",IF(IF(M54="Active",AB54=0,FALSE),"Check - on the menu but never booked","OK")))))))</f>
        <v>0</v>
      </c>
    </row>
    <row r="55" spans="1:39">
      <c r="A55" s="28">
        <f>IF(B55="","",ServicePrefix&amp;TEXT(ROW()-4,"000"))</f>
        <v>0</v>
      </c>
      <c r="P55" s="42">
        <f>IF(B55="","",ROUND((IF(E55="",0,E55)+IF(F55="",0,F55))/60,3))</f>
        <v>0</v>
      </c>
      <c r="Q55" s="26">
        <f>IF(B55="","",IF(H55&lt;&gt;"",H55,IF(G55="",0,ROUND(G55*ProductCostPercent,2))))</f>
        <v>0</v>
      </c>
      <c r="R55" s="26">
        <f>IF(B55="","",IF(J55="No",0,IF(G55="",0,ROUND(G55*ServiceCommission,2))))</f>
        <v>0</v>
      </c>
      <c r="S55" s="26">
        <f>IF(B55="","",ROUND(Q55+R55,2))</f>
        <v>0</v>
      </c>
      <c r="T55" s="26">
        <f>IF(B55="","",IF(G55="","",ROUND(G55-S55,2)))</f>
        <v>0</v>
      </c>
      <c r="U55" s="27">
        <f>IF(B55="","",IF(G55="","",IF(G55=0,"",T55/G55)))</f>
        <v>0</v>
      </c>
      <c r="V55" s="26">
        <f>IF(B55="","",IF(G55="","",IF(P55=0,"",ROUND(G55/P55,2))))</f>
        <v>0</v>
      </c>
      <c r="W55" s="26">
        <f>IF(B55="","",IF(T55="","",IF(P55=0,"",ROUND(T55/P55,2))))</f>
        <v>0</v>
      </c>
      <c r="X55" s="26">
        <f>IF(B55="","",IF(P55=0,"",IF(ServiceCommission&gt;=1,"",(Q55+TargetChairRate*P55)/IF(J55="No",1,1-ServiceCommission))))</f>
        <v>0</v>
      </c>
      <c r="Y55" s="26">
        <f>IF(B55="","",IF(X55="","",ROUND(IF(RoundingRule="None",X55,IF(RoundingRule="Nearest 0.99",MAX(0.99,CEILING(X55,1)-0.01),IF(RoundingRule="Nearest 0.95",MAX(0.95,CEILING(X55,1)-0.05),IF(RoundingRule="Nearest 0.50",CEILING(X55,0.5),IF(RoundingRule="Nearest 1",CEILING(X55,1),IF(RoundingRule="Nearest 5",CEILING(X55,5),IF(RoundingRule="Up to whole 1",CEILING(X55,1),IF(RoundingRule="Up to whole 5",CEILING(X55,5),ROUND(X55,2))))))))),2)))</f>
        <v>0</v>
      </c>
      <c r="Z55" s="26">
        <f>IF(B55="","",IF(Y55="","",IF(G55="","",ROUND(G55-Y55,2))))</f>
        <v>0</v>
      </c>
      <c r="AA55" s="25">
        <f>IF(B55="","",COUNTIFS(Appointments!$G$5:$G$1204,A55))</f>
        <v>0</v>
      </c>
      <c r="AB55" s="25">
        <f>IF(B55="","",COUNTIFS(Appointments!$G$5:$G$1204,A55,Appointments!$M$5:$M$1204,"Completed"))</f>
        <v>0</v>
      </c>
      <c r="AC55" s="25">
        <f>IF(B55="","",SUMIFS(Sales!$K$5:$K$1204,Sales!$I$5:$I$1204,A55,Sales!$H$5:$H$1204,"Service"))</f>
        <v>0</v>
      </c>
      <c r="AD55" s="26">
        <f>IF(B55="","",ROUND(SUMIFS(Sales!$Y$5:$Y$1204,Sales!$I$5:$I$1204,A55,Sales!$H$5:$H$1204,"Service"),2))</f>
        <v>0</v>
      </c>
      <c r="AE55" s="27">
        <f>IF(B55="","",IF(ServiceRevenueAll=0,"",AD55/ServiceRevenueAll))</f>
        <v>0</v>
      </c>
      <c r="AF55" s="26">
        <f>IF(B55="","",ROUND(AC55*T55,2))</f>
        <v>0</v>
      </c>
      <c r="AG55" s="37">
        <f>IF(B55="","",ROUND(AC55*P55,1))</f>
        <v>0</v>
      </c>
      <c r="AH55" s="27">
        <f>IF(B55="","",IF(AB55=0,"",COUNTIFS(Sales!$I$5:$I$1204,A55,Sales!$AJ$5:$AJ$1204,"Yes")/AB55))</f>
        <v>0</v>
      </c>
      <c r="AI55" s="17">
        <f>IF(B55="","",IFERROR(IF(COUNTIFS(Appointments!$G$5:$G$1204,A55)=0,"",SUMPRODUCT(MAX((Appointments!$G$5:$G$1204=A55)*IFERROR(Appointments!$B$5:$B$1204*1,0)))),""))</f>
        <v>0</v>
      </c>
      <c r="AJ55" s="25">
        <f>IF(B55="","",COUNTIFS($AD$5:$AD$204,"&gt;"&amp;AD55)+COUNTIFS($AD$5:AD55,AD55))</f>
        <v>0</v>
      </c>
      <c r="AK55" s="25">
        <f>IF(B55="","",COUNTIFS($W$5:$W$204,"&gt;"&amp;W55)+COUNTIFS($W$5:W55,W55))</f>
        <v>0</v>
      </c>
      <c r="AL55" s="25">
        <f>IF(B55="","",COUNTIFS($AB$5:$AB$204,"&gt;"&amp;AB55)+COUNTIFS($AB$5:AB55,AB55))</f>
        <v>0</v>
      </c>
      <c r="AM55" s="39">
        <f>IF(B55="","",IF(G55="","Add - no price yet",IF(E55="","Add - how long does it take?",IF(T55&lt;0,"Loss - this service costs you money",IF(V55&lt;TargetChairRate*0.7,"Check - well under your chair rate",IF(IF(N55="",FALSE,TodayDate-N55&gt;PriceReviewDays),"Due - price has not been reviewed",IF(IF(M55="Active",AB55=0,FALSE),"Check - on the menu but never booked","OK")))))))</f>
        <v>0</v>
      </c>
    </row>
    <row r="56" spans="1:39">
      <c r="A56" s="28">
        <f>IF(B56="","",ServicePrefix&amp;TEXT(ROW()-4,"000"))</f>
        <v>0</v>
      </c>
      <c r="P56" s="42">
        <f>IF(B56="","",ROUND((IF(E56="",0,E56)+IF(F56="",0,F56))/60,3))</f>
        <v>0</v>
      </c>
      <c r="Q56" s="26">
        <f>IF(B56="","",IF(H56&lt;&gt;"",H56,IF(G56="",0,ROUND(G56*ProductCostPercent,2))))</f>
        <v>0</v>
      </c>
      <c r="R56" s="26">
        <f>IF(B56="","",IF(J56="No",0,IF(G56="",0,ROUND(G56*ServiceCommission,2))))</f>
        <v>0</v>
      </c>
      <c r="S56" s="26">
        <f>IF(B56="","",ROUND(Q56+R56,2))</f>
        <v>0</v>
      </c>
      <c r="T56" s="26">
        <f>IF(B56="","",IF(G56="","",ROUND(G56-S56,2)))</f>
        <v>0</v>
      </c>
      <c r="U56" s="27">
        <f>IF(B56="","",IF(G56="","",IF(G56=0,"",T56/G56)))</f>
        <v>0</v>
      </c>
      <c r="V56" s="26">
        <f>IF(B56="","",IF(G56="","",IF(P56=0,"",ROUND(G56/P56,2))))</f>
        <v>0</v>
      </c>
      <c r="W56" s="26">
        <f>IF(B56="","",IF(T56="","",IF(P56=0,"",ROUND(T56/P56,2))))</f>
        <v>0</v>
      </c>
      <c r="X56" s="26">
        <f>IF(B56="","",IF(P56=0,"",IF(ServiceCommission&gt;=1,"",(Q56+TargetChairRate*P56)/IF(J56="No",1,1-ServiceCommission))))</f>
        <v>0</v>
      </c>
      <c r="Y56" s="26">
        <f>IF(B56="","",IF(X56="","",ROUND(IF(RoundingRule="None",X56,IF(RoundingRule="Nearest 0.99",MAX(0.99,CEILING(X56,1)-0.01),IF(RoundingRule="Nearest 0.95",MAX(0.95,CEILING(X56,1)-0.05),IF(RoundingRule="Nearest 0.50",CEILING(X56,0.5),IF(RoundingRule="Nearest 1",CEILING(X56,1),IF(RoundingRule="Nearest 5",CEILING(X56,5),IF(RoundingRule="Up to whole 1",CEILING(X56,1),IF(RoundingRule="Up to whole 5",CEILING(X56,5),ROUND(X56,2))))))))),2)))</f>
        <v>0</v>
      </c>
      <c r="Z56" s="26">
        <f>IF(B56="","",IF(Y56="","",IF(G56="","",ROUND(G56-Y56,2))))</f>
        <v>0</v>
      </c>
      <c r="AA56" s="25">
        <f>IF(B56="","",COUNTIFS(Appointments!$G$5:$G$1204,A56))</f>
        <v>0</v>
      </c>
      <c r="AB56" s="25">
        <f>IF(B56="","",COUNTIFS(Appointments!$G$5:$G$1204,A56,Appointments!$M$5:$M$1204,"Completed"))</f>
        <v>0</v>
      </c>
      <c r="AC56" s="25">
        <f>IF(B56="","",SUMIFS(Sales!$K$5:$K$1204,Sales!$I$5:$I$1204,A56,Sales!$H$5:$H$1204,"Service"))</f>
        <v>0</v>
      </c>
      <c r="AD56" s="26">
        <f>IF(B56="","",ROUND(SUMIFS(Sales!$Y$5:$Y$1204,Sales!$I$5:$I$1204,A56,Sales!$H$5:$H$1204,"Service"),2))</f>
        <v>0</v>
      </c>
      <c r="AE56" s="27">
        <f>IF(B56="","",IF(ServiceRevenueAll=0,"",AD56/ServiceRevenueAll))</f>
        <v>0</v>
      </c>
      <c r="AF56" s="26">
        <f>IF(B56="","",ROUND(AC56*T56,2))</f>
        <v>0</v>
      </c>
      <c r="AG56" s="37">
        <f>IF(B56="","",ROUND(AC56*P56,1))</f>
        <v>0</v>
      </c>
      <c r="AH56" s="27">
        <f>IF(B56="","",IF(AB56=0,"",COUNTIFS(Sales!$I$5:$I$1204,A56,Sales!$AJ$5:$AJ$1204,"Yes")/AB56))</f>
        <v>0</v>
      </c>
      <c r="AI56" s="17">
        <f>IF(B56="","",IFERROR(IF(COUNTIFS(Appointments!$G$5:$G$1204,A56)=0,"",SUMPRODUCT(MAX((Appointments!$G$5:$G$1204=A56)*IFERROR(Appointments!$B$5:$B$1204*1,0)))),""))</f>
        <v>0</v>
      </c>
      <c r="AJ56" s="25">
        <f>IF(B56="","",COUNTIFS($AD$5:$AD$204,"&gt;"&amp;AD56)+COUNTIFS($AD$5:AD56,AD56))</f>
        <v>0</v>
      </c>
      <c r="AK56" s="25">
        <f>IF(B56="","",COUNTIFS($W$5:$W$204,"&gt;"&amp;W56)+COUNTIFS($W$5:W56,W56))</f>
        <v>0</v>
      </c>
      <c r="AL56" s="25">
        <f>IF(B56="","",COUNTIFS($AB$5:$AB$204,"&gt;"&amp;AB56)+COUNTIFS($AB$5:AB56,AB56))</f>
        <v>0</v>
      </c>
      <c r="AM56" s="39">
        <f>IF(B56="","",IF(G56="","Add - no price yet",IF(E56="","Add - how long does it take?",IF(T56&lt;0,"Loss - this service costs you money",IF(V56&lt;TargetChairRate*0.7,"Check - well under your chair rate",IF(IF(N56="",FALSE,TodayDate-N56&gt;PriceReviewDays),"Due - price has not been reviewed",IF(IF(M56="Active",AB56=0,FALSE),"Check - on the menu but never booked","OK")))))))</f>
        <v>0</v>
      </c>
    </row>
    <row r="57" spans="1:39">
      <c r="A57" s="28">
        <f>IF(B57="","",ServicePrefix&amp;TEXT(ROW()-4,"000"))</f>
        <v>0</v>
      </c>
      <c r="P57" s="42">
        <f>IF(B57="","",ROUND((IF(E57="",0,E57)+IF(F57="",0,F57))/60,3))</f>
        <v>0</v>
      </c>
      <c r="Q57" s="26">
        <f>IF(B57="","",IF(H57&lt;&gt;"",H57,IF(G57="",0,ROUND(G57*ProductCostPercent,2))))</f>
        <v>0</v>
      </c>
      <c r="R57" s="26">
        <f>IF(B57="","",IF(J57="No",0,IF(G57="",0,ROUND(G57*ServiceCommission,2))))</f>
        <v>0</v>
      </c>
      <c r="S57" s="26">
        <f>IF(B57="","",ROUND(Q57+R57,2))</f>
        <v>0</v>
      </c>
      <c r="T57" s="26">
        <f>IF(B57="","",IF(G57="","",ROUND(G57-S57,2)))</f>
        <v>0</v>
      </c>
      <c r="U57" s="27">
        <f>IF(B57="","",IF(G57="","",IF(G57=0,"",T57/G57)))</f>
        <v>0</v>
      </c>
      <c r="V57" s="26">
        <f>IF(B57="","",IF(G57="","",IF(P57=0,"",ROUND(G57/P57,2))))</f>
        <v>0</v>
      </c>
      <c r="W57" s="26">
        <f>IF(B57="","",IF(T57="","",IF(P57=0,"",ROUND(T57/P57,2))))</f>
        <v>0</v>
      </c>
      <c r="X57" s="26">
        <f>IF(B57="","",IF(P57=0,"",IF(ServiceCommission&gt;=1,"",(Q57+TargetChairRate*P57)/IF(J57="No",1,1-ServiceCommission))))</f>
        <v>0</v>
      </c>
      <c r="Y57" s="26">
        <f>IF(B57="","",IF(X57="","",ROUND(IF(RoundingRule="None",X57,IF(RoundingRule="Nearest 0.99",MAX(0.99,CEILING(X57,1)-0.01),IF(RoundingRule="Nearest 0.95",MAX(0.95,CEILING(X57,1)-0.05),IF(RoundingRule="Nearest 0.50",CEILING(X57,0.5),IF(RoundingRule="Nearest 1",CEILING(X57,1),IF(RoundingRule="Nearest 5",CEILING(X57,5),IF(RoundingRule="Up to whole 1",CEILING(X57,1),IF(RoundingRule="Up to whole 5",CEILING(X57,5),ROUND(X57,2))))))))),2)))</f>
        <v>0</v>
      </c>
      <c r="Z57" s="26">
        <f>IF(B57="","",IF(Y57="","",IF(G57="","",ROUND(G57-Y57,2))))</f>
        <v>0</v>
      </c>
      <c r="AA57" s="25">
        <f>IF(B57="","",COUNTIFS(Appointments!$G$5:$G$1204,A57))</f>
        <v>0</v>
      </c>
      <c r="AB57" s="25">
        <f>IF(B57="","",COUNTIFS(Appointments!$G$5:$G$1204,A57,Appointments!$M$5:$M$1204,"Completed"))</f>
        <v>0</v>
      </c>
      <c r="AC57" s="25">
        <f>IF(B57="","",SUMIFS(Sales!$K$5:$K$1204,Sales!$I$5:$I$1204,A57,Sales!$H$5:$H$1204,"Service"))</f>
        <v>0</v>
      </c>
      <c r="AD57" s="26">
        <f>IF(B57="","",ROUND(SUMIFS(Sales!$Y$5:$Y$1204,Sales!$I$5:$I$1204,A57,Sales!$H$5:$H$1204,"Service"),2))</f>
        <v>0</v>
      </c>
      <c r="AE57" s="27">
        <f>IF(B57="","",IF(ServiceRevenueAll=0,"",AD57/ServiceRevenueAll))</f>
        <v>0</v>
      </c>
      <c r="AF57" s="26">
        <f>IF(B57="","",ROUND(AC57*T57,2))</f>
        <v>0</v>
      </c>
      <c r="AG57" s="37">
        <f>IF(B57="","",ROUND(AC57*P57,1))</f>
        <v>0</v>
      </c>
      <c r="AH57" s="27">
        <f>IF(B57="","",IF(AB57=0,"",COUNTIFS(Sales!$I$5:$I$1204,A57,Sales!$AJ$5:$AJ$1204,"Yes")/AB57))</f>
        <v>0</v>
      </c>
      <c r="AI57" s="17">
        <f>IF(B57="","",IFERROR(IF(COUNTIFS(Appointments!$G$5:$G$1204,A57)=0,"",SUMPRODUCT(MAX((Appointments!$G$5:$G$1204=A57)*IFERROR(Appointments!$B$5:$B$1204*1,0)))),""))</f>
        <v>0</v>
      </c>
      <c r="AJ57" s="25">
        <f>IF(B57="","",COUNTIFS($AD$5:$AD$204,"&gt;"&amp;AD57)+COUNTIFS($AD$5:AD57,AD57))</f>
        <v>0</v>
      </c>
      <c r="AK57" s="25">
        <f>IF(B57="","",COUNTIFS($W$5:$W$204,"&gt;"&amp;W57)+COUNTIFS($W$5:W57,W57))</f>
        <v>0</v>
      </c>
      <c r="AL57" s="25">
        <f>IF(B57="","",COUNTIFS($AB$5:$AB$204,"&gt;"&amp;AB57)+COUNTIFS($AB$5:AB57,AB57))</f>
        <v>0</v>
      </c>
      <c r="AM57" s="39">
        <f>IF(B57="","",IF(G57="","Add - no price yet",IF(E57="","Add - how long does it take?",IF(T57&lt;0,"Loss - this service costs you money",IF(V57&lt;TargetChairRate*0.7,"Check - well under your chair rate",IF(IF(N57="",FALSE,TodayDate-N57&gt;PriceReviewDays),"Due - price has not been reviewed",IF(IF(M57="Active",AB57=0,FALSE),"Check - on the menu but never booked","OK")))))))</f>
        <v>0</v>
      </c>
    </row>
    <row r="58" spans="1:39">
      <c r="A58" s="28">
        <f>IF(B58="","",ServicePrefix&amp;TEXT(ROW()-4,"000"))</f>
        <v>0</v>
      </c>
      <c r="P58" s="42">
        <f>IF(B58="","",ROUND((IF(E58="",0,E58)+IF(F58="",0,F58))/60,3))</f>
        <v>0</v>
      </c>
      <c r="Q58" s="26">
        <f>IF(B58="","",IF(H58&lt;&gt;"",H58,IF(G58="",0,ROUND(G58*ProductCostPercent,2))))</f>
        <v>0</v>
      </c>
      <c r="R58" s="26">
        <f>IF(B58="","",IF(J58="No",0,IF(G58="",0,ROUND(G58*ServiceCommission,2))))</f>
        <v>0</v>
      </c>
      <c r="S58" s="26">
        <f>IF(B58="","",ROUND(Q58+R58,2))</f>
        <v>0</v>
      </c>
      <c r="T58" s="26">
        <f>IF(B58="","",IF(G58="","",ROUND(G58-S58,2)))</f>
        <v>0</v>
      </c>
      <c r="U58" s="27">
        <f>IF(B58="","",IF(G58="","",IF(G58=0,"",T58/G58)))</f>
        <v>0</v>
      </c>
      <c r="V58" s="26">
        <f>IF(B58="","",IF(G58="","",IF(P58=0,"",ROUND(G58/P58,2))))</f>
        <v>0</v>
      </c>
      <c r="W58" s="26">
        <f>IF(B58="","",IF(T58="","",IF(P58=0,"",ROUND(T58/P58,2))))</f>
        <v>0</v>
      </c>
      <c r="X58" s="26">
        <f>IF(B58="","",IF(P58=0,"",IF(ServiceCommission&gt;=1,"",(Q58+TargetChairRate*P58)/IF(J58="No",1,1-ServiceCommission))))</f>
        <v>0</v>
      </c>
      <c r="Y58" s="26">
        <f>IF(B58="","",IF(X58="","",ROUND(IF(RoundingRule="None",X58,IF(RoundingRule="Nearest 0.99",MAX(0.99,CEILING(X58,1)-0.01),IF(RoundingRule="Nearest 0.95",MAX(0.95,CEILING(X58,1)-0.05),IF(RoundingRule="Nearest 0.50",CEILING(X58,0.5),IF(RoundingRule="Nearest 1",CEILING(X58,1),IF(RoundingRule="Nearest 5",CEILING(X58,5),IF(RoundingRule="Up to whole 1",CEILING(X58,1),IF(RoundingRule="Up to whole 5",CEILING(X58,5),ROUND(X58,2))))))))),2)))</f>
        <v>0</v>
      </c>
      <c r="Z58" s="26">
        <f>IF(B58="","",IF(Y58="","",IF(G58="","",ROUND(G58-Y58,2))))</f>
        <v>0</v>
      </c>
      <c r="AA58" s="25">
        <f>IF(B58="","",COUNTIFS(Appointments!$G$5:$G$1204,A58))</f>
        <v>0</v>
      </c>
      <c r="AB58" s="25">
        <f>IF(B58="","",COUNTIFS(Appointments!$G$5:$G$1204,A58,Appointments!$M$5:$M$1204,"Completed"))</f>
        <v>0</v>
      </c>
      <c r="AC58" s="25">
        <f>IF(B58="","",SUMIFS(Sales!$K$5:$K$1204,Sales!$I$5:$I$1204,A58,Sales!$H$5:$H$1204,"Service"))</f>
        <v>0</v>
      </c>
      <c r="AD58" s="26">
        <f>IF(B58="","",ROUND(SUMIFS(Sales!$Y$5:$Y$1204,Sales!$I$5:$I$1204,A58,Sales!$H$5:$H$1204,"Service"),2))</f>
        <v>0</v>
      </c>
      <c r="AE58" s="27">
        <f>IF(B58="","",IF(ServiceRevenueAll=0,"",AD58/ServiceRevenueAll))</f>
        <v>0</v>
      </c>
      <c r="AF58" s="26">
        <f>IF(B58="","",ROUND(AC58*T58,2))</f>
        <v>0</v>
      </c>
      <c r="AG58" s="37">
        <f>IF(B58="","",ROUND(AC58*P58,1))</f>
        <v>0</v>
      </c>
      <c r="AH58" s="27">
        <f>IF(B58="","",IF(AB58=0,"",COUNTIFS(Sales!$I$5:$I$1204,A58,Sales!$AJ$5:$AJ$1204,"Yes")/AB58))</f>
        <v>0</v>
      </c>
      <c r="AI58" s="17">
        <f>IF(B58="","",IFERROR(IF(COUNTIFS(Appointments!$G$5:$G$1204,A58)=0,"",SUMPRODUCT(MAX((Appointments!$G$5:$G$1204=A58)*IFERROR(Appointments!$B$5:$B$1204*1,0)))),""))</f>
        <v>0</v>
      </c>
      <c r="AJ58" s="25">
        <f>IF(B58="","",COUNTIFS($AD$5:$AD$204,"&gt;"&amp;AD58)+COUNTIFS($AD$5:AD58,AD58))</f>
        <v>0</v>
      </c>
      <c r="AK58" s="25">
        <f>IF(B58="","",COUNTIFS($W$5:$W$204,"&gt;"&amp;W58)+COUNTIFS($W$5:W58,W58))</f>
        <v>0</v>
      </c>
      <c r="AL58" s="25">
        <f>IF(B58="","",COUNTIFS($AB$5:$AB$204,"&gt;"&amp;AB58)+COUNTIFS($AB$5:AB58,AB58))</f>
        <v>0</v>
      </c>
      <c r="AM58" s="39">
        <f>IF(B58="","",IF(G58="","Add - no price yet",IF(E58="","Add - how long does it take?",IF(T58&lt;0,"Loss - this service costs you money",IF(V58&lt;TargetChairRate*0.7,"Check - well under your chair rate",IF(IF(N58="",FALSE,TodayDate-N58&gt;PriceReviewDays),"Due - price has not been reviewed",IF(IF(M58="Active",AB58=0,FALSE),"Check - on the menu but never booked","OK")))))))</f>
        <v>0</v>
      </c>
    </row>
    <row r="59" spans="1:39">
      <c r="A59" s="28">
        <f>IF(B59="","",ServicePrefix&amp;TEXT(ROW()-4,"000"))</f>
        <v>0</v>
      </c>
      <c r="P59" s="42">
        <f>IF(B59="","",ROUND((IF(E59="",0,E59)+IF(F59="",0,F59))/60,3))</f>
        <v>0</v>
      </c>
      <c r="Q59" s="26">
        <f>IF(B59="","",IF(H59&lt;&gt;"",H59,IF(G59="",0,ROUND(G59*ProductCostPercent,2))))</f>
        <v>0</v>
      </c>
      <c r="R59" s="26">
        <f>IF(B59="","",IF(J59="No",0,IF(G59="",0,ROUND(G59*ServiceCommission,2))))</f>
        <v>0</v>
      </c>
      <c r="S59" s="26">
        <f>IF(B59="","",ROUND(Q59+R59,2))</f>
        <v>0</v>
      </c>
      <c r="T59" s="26">
        <f>IF(B59="","",IF(G59="","",ROUND(G59-S59,2)))</f>
        <v>0</v>
      </c>
      <c r="U59" s="27">
        <f>IF(B59="","",IF(G59="","",IF(G59=0,"",T59/G59)))</f>
        <v>0</v>
      </c>
      <c r="V59" s="26">
        <f>IF(B59="","",IF(G59="","",IF(P59=0,"",ROUND(G59/P59,2))))</f>
        <v>0</v>
      </c>
      <c r="W59" s="26">
        <f>IF(B59="","",IF(T59="","",IF(P59=0,"",ROUND(T59/P59,2))))</f>
        <v>0</v>
      </c>
      <c r="X59" s="26">
        <f>IF(B59="","",IF(P59=0,"",IF(ServiceCommission&gt;=1,"",(Q59+TargetChairRate*P59)/IF(J59="No",1,1-ServiceCommission))))</f>
        <v>0</v>
      </c>
      <c r="Y59" s="26">
        <f>IF(B59="","",IF(X59="","",ROUND(IF(RoundingRule="None",X59,IF(RoundingRule="Nearest 0.99",MAX(0.99,CEILING(X59,1)-0.01),IF(RoundingRule="Nearest 0.95",MAX(0.95,CEILING(X59,1)-0.05),IF(RoundingRule="Nearest 0.50",CEILING(X59,0.5),IF(RoundingRule="Nearest 1",CEILING(X59,1),IF(RoundingRule="Nearest 5",CEILING(X59,5),IF(RoundingRule="Up to whole 1",CEILING(X59,1),IF(RoundingRule="Up to whole 5",CEILING(X59,5),ROUND(X59,2))))))))),2)))</f>
        <v>0</v>
      </c>
      <c r="Z59" s="26">
        <f>IF(B59="","",IF(Y59="","",IF(G59="","",ROUND(G59-Y59,2))))</f>
        <v>0</v>
      </c>
      <c r="AA59" s="25">
        <f>IF(B59="","",COUNTIFS(Appointments!$G$5:$G$1204,A59))</f>
        <v>0</v>
      </c>
      <c r="AB59" s="25">
        <f>IF(B59="","",COUNTIFS(Appointments!$G$5:$G$1204,A59,Appointments!$M$5:$M$1204,"Completed"))</f>
        <v>0</v>
      </c>
      <c r="AC59" s="25">
        <f>IF(B59="","",SUMIFS(Sales!$K$5:$K$1204,Sales!$I$5:$I$1204,A59,Sales!$H$5:$H$1204,"Service"))</f>
        <v>0</v>
      </c>
      <c r="AD59" s="26">
        <f>IF(B59="","",ROUND(SUMIFS(Sales!$Y$5:$Y$1204,Sales!$I$5:$I$1204,A59,Sales!$H$5:$H$1204,"Service"),2))</f>
        <v>0</v>
      </c>
      <c r="AE59" s="27">
        <f>IF(B59="","",IF(ServiceRevenueAll=0,"",AD59/ServiceRevenueAll))</f>
        <v>0</v>
      </c>
      <c r="AF59" s="26">
        <f>IF(B59="","",ROUND(AC59*T59,2))</f>
        <v>0</v>
      </c>
      <c r="AG59" s="37">
        <f>IF(B59="","",ROUND(AC59*P59,1))</f>
        <v>0</v>
      </c>
      <c r="AH59" s="27">
        <f>IF(B59="","",IF(AB59=0,"",COUNTIFS(Sales!$I$5:$I$1204,A59,Sales!$AJ$5:$AJ$1204,"Yes")/AB59))</f>
        <v>0</v>
      </c>
      <c r="AI59" s="17">
        <f>IF(B59="","",IFERROR(IF(COUNTIFS(Appointments!$G$5:$G$1204,A59)=0,"",SUMPRODUCT(MAX((Appointments!$G$5:$G$1204=A59)*IFERROR(Appointments!$B$5:$B$1204*1,0)))),""))</f>
        <v>0</v>
      </c>
      <c r="AJ59" s="25">
        <f>IF(B59="","",COUNTIFS($AD$5:$AD$204,"&gt;"&amp;AD59)+COUNTIFS($AD$5:AD59,AD59))</f>
        <v>0</v>
      </c>
      <c r="AK59" s="25">
        <f>IF(B59="","",COUNTIFS($W$5:$W$204,"&gt;"&amp;W59)+COUNTIFS($W$5:W59,W59))</f>
        <v>0</v>
      </c>
      <c r="AL59" s="25">
        <f>IF(B59="","",COUNTIFS($AB$5:$AB$204,"&gt;"&amp;AB59)+COUNTIFS($AB$5:AB59,AB59))</f>
        <v>0</v>
      </c>
      <c r="AM59" s="39">
        <f>IF(B59="","",IF(G59="","Add - no price yet",IF(E59="","Add - how long does it take?",IF(T59&lt;0,"Loss - this service costs you money",IF(V59&lt;TargetChairRate*0.7,"Check - well under your chair rate",IF(IF(N59="",FALSE,TodayDate-N59&gt;PriceReviewDays),"Due - price has not been reviewed",IF(IF(M59="Active",AB59=0,FALSE),"Check - on the menu but never booked","OK")))))))</f>
        <v>0</v>
      </c>
    </row>
    <row r="60" spans="1:39">
      <c r="A60" s="28">
        <f>IF(B60="","",ServicePrefix&amp;TEXT(ROW()-4,"000"))</f>
        <v>0</v>
      </c>
      <c r="P60" s="42">
        <f>IF(B60="","",ROUND((IF(E60="",0,E60)+IF(F60="",0,F60))/60,3))</f>
        <v>0</v>
      </c>
      <c r="Q60" s="26">
        <f>IF(B60="","",IF(H60&lt;&gt;"",H60,IF(G60="",0,ROUND(G60*ProductCostPercent,2))))</f>
        <v>0</v>
      </c>
      <c r="R60" s="26">
        <f>IF(B60="","",IF(J60="No",0,IF(G60="",0,ROUND(G60*ServiceCommission,2))))</f>
        <v>0</v>
      </c>
      <c r="S60" s="26">
        <f>IF(B60="","",ROUND(Q60+R60,2))</f>
        <v>0</v>
      </c>
      <c r="T60" s="26">
        <f>IF(B60="","",IF(G60="","",ROUND(G60-S60,2)))</f>
        <v>0</v>
      </c>
      <c r="U60" s="27">
        <f>IF(B60="","",IF(G60="","",IF(G60=0,"",T60/G60)))</f>
        <v>0</v>
      </c>
      <c r="V60" s="26">
        <f>IF(B60="","",IF(G60="","",IF(P60=0,"",ROUND(G60/P60,2))))</f>
        <v>0</v>
      </c>
      <c r="W60" s="26">
        <f>IF(B60="","",IF(T60="","",IF(P60=0,"",ROUND(T60/P60,2))))</f>
        <v>0</v>
      </c>
      <c r="X60" s="26">
        <f>IF(B60="","",IF(P60=0,"",IF(ServiceCommission&gt;=1,"",(Q60+TargetChairRate*P60)/IF(J60="No",1,1-ServiceCommission))))</f>
        <v>0</v>
      </c>
      <c r="Y60" s="26">
        <f>IF(B60="","",IF(X60="","",ROUND(IF(RoundingRule="None",X60,IF(RoundingRule="Nearest 0.99",MAX(0.99,CEILING(X60,1)-0.01),IF(RoundingRule="Nearest 0.95",MAX(0.95,CEILING(X60,1)-0.05),IF(RoundingRule="Nearest 0.50",CEILING(X60,0.5),IF(RoundingRule="Nearest 1",CEILING(X60,1),IF(RoundingRule="Nearest 5",CEILING(X60,5),IF(RoundingRule="Up to whole 1",CEILING(X60,1),IF(RoundingRule="Up to whole 5",CEILING(X60,5),ROUND(X60,2))))))))),2)))</f>
        <v>0</v>
      </c>
      <c r="Z60" s="26">
        <f>IF(B60="","",IF(Y60="","",IF(G60="","",ROUND(G60-Y60,2))))</f>
        <v>0</v>
      </c>
      <c r="AA60" s="25">
        <f>IF(B60="","",COUNTIFS(Appointments!$G$5:$G$1204,A60))</f>
        <v>0</v>
      </c>
      <c r="AB60" s="25">
        <f>IF(B60="","",COUNTIFS(Appointments!$G$5:$G$1204,A60,Appointments!$M$5:$M$1204,"Completed"))</f>
        <v>0</v>
      </c>
      <c r="AC60" s="25">
        <f>IF(B60="","",SUMIFS(Sales!$K$5:$K$1204,Sales!$I$5:$I$1204,A60,Sales!$H$5:$H$1204,"Service"))</f>
        <v>0</v>
      </c>
      <c r="AD60" s="26">
        <f>IF(B60="","",ROUND(SUMIFS(Sales!$Y$5:$Y$1204,Sales!$I$5:$I$1204,A60,Sales!$H$5:$H$1204,"Service"),2))</f>
        <v>0</v>
      </c>
      <c r="AE60" s="27">
        <f>IF(B60="","",IF(ServiceRevenueAll=0,"",AD60/ServiceRevenueAll))</f>
        <v>0</v>
      </c>
      <c r="AF60" s="26">
        <f>IF(B60="","",ROUND(AC60*T60,2))</f>
        <v>0</v>
      </c>
      <c r="AG60" s="37">
        <f>IF(B60="","",ROUND(AC60*P60,1))</f>
        <v>0</v>
      </c>
      <c r="AH60" s="27">
        <f>IF(B60="","",IF(AB60=0,"",COUNTIFS(Sales!$I$5:$I$1204,A60,Sales!$AJ$5:$AJ$1204,"Yes")/AB60))</f>
        <v>0</v>
      </c>
      <c r="AI60" s="17">
        <f>IF(B60="","",IFERROR(IF(COUNTIFS(Appointments!$G$5:$G$1204,A60)=0,"",SUMPRODUCT(MAX((Appointments!$G$5:$G$1204=A60)*IFERROR(Appointments!$B$5:$B$1204*1,0)))),""))</f>
        <v>0</v>
      </c>
      <c r="AJ60" s="25">
        <f>IF(B60="","",COUNTIFS($AD$5:$AD$204,"&gt;"&amp;AD60)+COUNTIFS($AD$5:AD60,AD60))</f>
        <v>0</v>
      </c>
      <c r="AK60" s="25">
        <f>IF(B60="","",COUNTIFS($W$5:$W$204,"&gt;"&amp;W60)+COUNTIFS($W$5:W60,W60))</f>
        <v>0</v>
      </c>
      <c r="AL60" s="25">
        <f>IF(B60="","",COUNTIFS($AB$5:$AB$204,"&gt;"&amp;AB60)+COUNTIFS($AB$5:AB60,AB60))</f>
        <v>0</v>
      </c>
      <c r="AM60" s="39">
        <f>IF(B60="","",IF(G60="","Add - no price yet",IF(E60="","Add - how long does it take?",IF(T60&lt;0,"Loss - this service costs you money",IF(V60&lt;TargetChairRate*0.7,"Check - well under your chair rate",IF(IF(N60="",FALSE,TodayDate-N60&gt;PriceReviewDays),"Due - price has not been reviewed",IF(IF(M60="Active",AB60=0,FALSE),"Check - on the menu but never booked","OK")))))))</f>
        <v>0</v>
      </c>
    </row>
    <row r="61" spans="1:39">
      <c r="A61" s="28">
        <f>IF(B61="","",ServicePrefix&amp;TEXT(ROW()-4,"000"))</f>
        <v>0</v>
      </c>
      <c r="P61" s="42">
        <f>IF(B61="","",ROUND((IF(E61="",0,E61)+IF(F61="",0,F61))/60,3))</f>
        <v>0</v>
      </c>
      <c r="Q61" s="26">
        <f>IF(B61="","",IF(H61&lt;&gt;"",H61,IF(G61="",0,ROUND(G61*ProductCostPercent,2))))</f>
        <v>0</v>
      </c>
      <c r="R61" s="26">
        <f>IF(B61="","",IF(J61="No",0,IF(G61="",0,ROUND(G61*ServiceCommission,2))))</f>
        <v>0</v>
      </c>
      <c r="S61" s="26">
        <f>IF(B61="","",ROUND(Q61+R61,2))</f>
        <v>0</v>
      </c>
      <c r="T61" s="26">
        <f>IF(B61="","",IF(G61="","",ROUND(G61-S61,2)))</f>
        <v>0</v>
      </c>
      <c r="U61" s="27">
        <f>IF(B61="","",IF(G61="","",IF(G61=0,"",T61/G61)))</f>
        <v>0</v>
      </c>
      <c r="V61" s="26">
        <f>IF(B61="","",IF(G61="","",IF(P61=0,"",ROUND(G61/P61,2))))</f>
        <v>0</v>
      </c>
      <c r="W61" s="26">
        <f>IF(B61="","",IF(T61="","",IF(P61=0,"",ROUND(T61/P61,2))))</f>
        <v>0</v>
      </c>
      <c r="X61" s="26">
        <f>IF(B61="","",IF(P61=0,"",IF(ServiceCommission&gt;=1,"",(Q61+TargetChairRate*P61)/IF(J61="No",1,1-ServiceCommission))))</f>
        <v>0</v>
      </c>
      <c r="Y61" s="26">
        <f>IF(B61="","",IF(X61="","",ROUND(IF(RoundingRule="None",X61,IF(RoundingRule="Nearest 0.99",MAX(0.99,CEILING(X61,1)-0.01),IF(RoundingRule="Nearest 0.95",MAX(0.95,CEILING(X61,1)-0.05),IF(RoundingRule="Nearest 0.50",CEILING(X61,0.5),IF(RoundingRule="Nearest 1",CEILING(X61,1),IF(RoundingRule="Nearest 5",CEILING(X61,5),IF(RoundingRule="Up to whole 1",CEILING(X61,1),IF(RoundingRule="Up to whole 5",CEILING(X61,5),ROUND(X61,2))))))))),2)))</f>
        <v>0</v>
      </c>
      <c r="Z61" s="26">
        <f>IF(B61="","",IF(Y61="","",IF(G61="","",ROUND(G61-Y61,2))))</f>
        <v>0</v>
      </c>
      <c r="AA61" s="25">
        <f>IF(B61="","",COUNTIFS(Appointments!$G$5:$G$1204,A61))</f>
        <v>0</v>
      </c>
      <c r="AB61" s="25">
        <f>IF(B61="","",COUNTIFS(Appointments!$G$5:$G$1204,A61,Appointments!$M$5:$M$1204,"Completed"))</f>
        <v>0</v>
      </c>
      <c r="AC61" s="25">
        <f>IF(B61="","",SUMIFS(Sales!$K$5:$K$1204,Sales!$I$5:$I$1204,A61,Sales!$H$5:$H$1204,"Service"))</f>
        <v>0</v>
      </c>
      <c r="AD61" s="26">
        <f>IF(B61="","",ROUND(SUMIFS(Sales!$Y$5:$Y$1204,Sales!$I$5:$I$1204,A61,Sales!$H$5:$H$1204,"Service"),2))</f>
        <v>0</v>
      </c>
      <c r="AE61" s="27">
        <f>IF(B61="","",IF(ServiceRevenueAll=0,"",AD61/ServiceRevenueAll))</f>
        <v>0</v>
      </c>
      <c r="AF61" s="26">
        <f>IF(B61="","",ROUND(AC61*T61,2))</f>
        <v>0</v>
      </c>
      <c r="AG61" s="37">
        <f>IF(B61="","",ROUND(AC61*P61,1))</f>
        <v>0</v>
      </c>
      <c r="AH61" s="27">
        <f>IF(B61="","",IF(AB61=0,"",COUNTIFS(Sales!$I$5:$I$1204,A61,Sales!$AJ$5:$AJ$1204,"Yes")/AB61))</f>
        <v>0</v>
      </c>
      <c r="AI61" s="17">
        <f>IF(B61="","",IFERROR(IF(COUNTIFS(Appointments!$G$5:$G$1204,A61)=0,"",SUMPRODUCT(MAX((Appointments!$G$5:$G$1204=A61)*IFERROR(Appointments!$B$5:$B$1204*1,0)))),""))</f>
        <v>0</v>
      </c>
      <c r="AJ61" s="25">
        <f>IF(B61="","",COUNTIFS($AD$5:$AD$204,"&gt;"&amp;AD61)+COUNTIFS($AD$5:AD61,AD61))</f>
        <v>0</v>
      </c>
      <c r="AK61" s="25">
        <f>IF(B61="","",COUNTIFS($W$5:$W$204,"&gt;"&amp;W61)+COUNTIFS($W$5:W61,W61))</f>
        <v>0</v>
      </c>
      <c r="AL61" s="25">
        <f>IF(B61="","",COUNTIFS($AB$5:$AB$204,"&gt;"&amp;AB61)+COUNTIFS($AB$5:AB61,AB61))</f>
        <v>0</v>
      </c>
      <c r="AM61" s="39">
        <f>IF(B61="","",IF(G61="","Add - no price yet",IF(E61="","Add - how long does it take?",IF(T61&lt;0,"Loss - this service costs you money",IF(V61&lt;TargetChairRate*0.7,"Check - well under your chair rate",IF(IF(N61="",FALSE,TodayDate-N61&gt;PriceReviewDays),"Due - price has not been reviewed",IF(IF(M61="Active",AB61=0,FALSE),"Check - on the menu but never booked","OK")))))))</f>
        <v>0</v>
      </c>
    </row>
    <row r="62" spans="1:39">
      <c r="A62" s="28">
        <f>IF(B62="","",ServicePrefix&amp;TEXT(ROW()-4,"000"))</f>
        <v>0</v>
      </c>
      <c r="P62" s="42">
        <f>IF(B62="","",ROUND((IF(E62="",0,E62)+IF(F62="",0,F62))/60,3))</f>
        <v>0</v>
      </c>
      <c r="Q62" s="26">
        <f>IF(B62="","",IF(H62&lt;&gt;"",H62,IF(G62="",0,ROUND(G62*ProductCostPercent,2))))</f>
        <v>0</v>
      </c>
      <c r="R62" s="26">
        <f>IF(B62="","",IF(J62="No",0,IF(G62="",0,ROUND(G62*ServiceCommission,2))))</f>
        <v>0</v>
      </c>
      <c r="S62" s="26">
        <f>IF(B62="","",ROUND(Q62+R62,2))</f>
        <v>0</v>
      </c>
      <c r="T62" s="26">
        <f>IF(B62="","",IF(G62="","",ROUND(G62-S62,2)))</f>
        <v>0</v>
      </c>
      <c r="U62" s="27">
        <f>IF(B62="","",IF(G62="","",IF(G62=0,"",T62/G62)))</f>
        <v>0</v>
      </c>
      <c r="V62" s="26">
        <f>IF(B62="","",IF(G62="","",IF(P62=0,"",ROUND(G62/P62,2))))</f>
        <v>0</v>
      </c>
      <c r="W62" s="26">
        <f>IF(B62="","",IF(T62="","",IF(P62=0,"",ROUND(T62/P62,2))))</f>
        <v>0</v>
      </c>
      <c r="X62" s="26">
        <f>IF(B62="","",IF(P62=0,"",IF(ServiceCommission&gt;=1,"",(Q62+TargetChairRate*P62)/IF(J62="No",1,1-ServiceCommission))))</f>
        <v>0</v>
      </c>
      <c r="Y62" s="26">
        <f>IF(B62="","",IF(X62="","",ROUND(IF(RoundingRule="None",X62,IF(RoundingRule="Nearest 0.99",MAX(0.99,CEILING(X62,1)-0.01),IF(RoundingRule="Nearest 0.95",MAX(0.95,CEILING(X62,1)-0.05),IF(RoundingRule="Nearest 0.50",CEILING(X62,0.5),IF(RoundingRule="Nearest 1",CEILING(X62,1),IF(RoundingRule="Nearest 5",CEILING(X62,5),IF(RoundingRule="Up to whole 1",CEILING(X62,1),IF(RoundingRule="Up to whole 5",CEILING(X62,5),ROUND(X62,2))))))))),2)))</f>
        <v>0</v>
      </c>
      <c r="Z62" s="26">
        <f>IF(B62="","",IF(Y62="","",IF(G62="","",ROUND(G62-Y62,2))))</f>
        <v>0</v>
      </c>
      <c r="AA62" s="25">
        <f>IF(B62="","",COUNTIFS(Appointments!$G$5:$G$1204,A62))</f>
        <v>0</v>
      </c>
      <c r="AB62" s="25">
        <f>IF(B62="","",COUNTIFS(Appointments!$G$5:$G$1204,A62,Appointments!$M$5:$M$1204,"Completed"))</f>
        <v>0</v>
      </c>
      <c r="AC62" s="25">
        <f>IF(B62="","",SUMIFS(Sales!$K$5:$K$1204,Sales!$I$5:$I$1204,A62,Sales!$H$5:$H$1204,"Service"))</f>
        <v>0</v>
      </c>
      <c r="AD62" s="26">
        <f>IF(B62="","",ROUND(SUMIFS(Sales!$Y$5:$Y$1204,Sales!$I$5:$I$1204,A62,Sales!$H$5:$H$1204,"Service"),2))</f>
        <v>0</v>
      </c>
      <c r="AE62" s="27">
        <f>IF(B62="","",IF(ServiceRevenueAll=0,"",AD62/ServiceRevenueAll))</f>
        <v>0</v>
      </c>
      <c r="AF62" s="26">
        <f>IF(B62="","",ROUND(AC62*T62,2))</f>
        <v>0</v>
      </c>
      <c r="AG62" s="37">
        <f>IF(B62="","",ROUND(AC62*P62,1))</f>
        <v>0</v>
      </c>
      <c r="AH62" s="27">
        <f>IF(B62="","",IF(AB62=0,"",COUNTIFS(Sales!$I$5:$I$1204,A62,Sales!$AJ$5:$AJ$1204,"Yes")/AB62))</f>
        <v>0</v>
      </c>
      <c r="AI62" s="17">
        <f>IF(B62="","",IFERROR(IF(COUNTIFS(Appointments!$G$5:$G$1204,A62)=0,"",SUMPRODUCT(MAX((Appointments!$G$5:$G$1204=A62)*IFERROR(Appointments!$B$5:$B$1204*1,0)))),""))</f>
        <v>0</v>
      </c>
      <c r="AJ62" s="25">
        <f>IF(B62="","",COUNTIFS($AD$5:$AD$204,"&gt;"&amp;AD62)+COUNTIFS($AD$5:AD62,AD62))</f>
        <v>0</v>
      </c>
      <c r="AK62" s="25">
        <f>IF(B62="","",COUNTIFS($W$5:$W$204,"&gt;"&amp;W62)+COUNTIFS($W$5:W62,W62))</f>
        <v>0</v>
      </c>
      <c r="AL62" s="25">
        <f>IF(B62="","",COUNTIFS($AB$5:$AB$204,"&gt;"&amp;AB62)+COUNTIFS($AB$5:AB62,AB62))</f>
        <v>0</v>
      </c>
      <c r="AM62" s="39">
        <f>IF(B62="","",IF(G62="","Add - no price yet",IF(E62="","Add - how long does it take?",IF(T62&lt;0,"Loss - this service costs you money",IF(V62&lt;TargetChairRate*0.7,"Check - well under your chair rate",IF(IF(N62="",FALSE,TodayDate-N62&gt;PriceReviewDays),"Due - price has not been reviewed",IF(IF(M62="Active",AB62=0,FALSE),"Check - on the menu but never booked","OK")))))))</f>
        <v>0</v>
      </c>
    </row>
    <row r="63" spans="1:39">
      <c r="A63" s="28">
        <f>IF(B63="","",ServicePrefix&amp;TEXT(ROW()-4,"000"))</f>
        <v>0</v>
      </c>
      <c r="P63" s="42">
        <f>IF(B63="","",ROUND((IF(E63="",0,E63)+IF(F63="",0,F63))/60,3))</f>
        <v>0</v>
      </c>
      <c r="Q63" s="26">
        <f>IF(B63="","",IF(H63&lt;&gt;"",H63,IF(G63="",0,ROUND(G63*ProductCostPercent,2))))</f>
        <v>0</v>
      </c>
      <c r="R63" s="26">
        <f>IF(B63="","",IF(J63="No",0,IF(G63="",0,ROUND(G63*ServiceCommission,2))))</f>
        <v>0</v>
      </c>
      <c r="S63" s="26">
        <f>IF(B63="","",ROUND(Q63+R63,2))</f>
        <v>0</v>
      </c>
      <c r="T63" s="26">
        <f>IF(B63="","",IF(G63="","",ROUND(G63-S63,2)))</f>
        <v>0</v>
      </c>
      <c r="U63" s="27">
        <f>IF(B63="","",IF(G63="","",IF(G63=0,"",T63/G63)))</f>
        <v>0</v>
      </c>
      <c r="V63" s="26">
        <f>IF(B63="","",IF(G63="","",IF(P63=0,"",ROUND(G63/P63,2))))</f>
        <v>0</v>
      </c>
      <c r="W63" s="26">
        <f>IF(B63="","",IF(T63="","",IF(P63=0,"",ROUND(T63/P63,2))))</f>
        <v>0</v>
      </c>
      <c r="X63" s="26">
        <f>IF(B63="","",IF(P63=0,"",IF(ServiceCommission&gt;=1,"",(Q63+TargetChairRate*P63)/IF(J63="No",1,1-ServiceCommission))))</f>
        <v>0</v>
      </c>
      <c r="Y63" s="26">
        <f>IF(B63="","",IF(X63="","",ROUND(IF(RoundingRule="None",X63,IF(RoundingRule="Nearest 0.99",MAX(0.99,CEILING(X63,1)-0.01),IF(RoundingRule="Nearest 0.95",MAX(0.95,CEILING(X63,1)-0.05),IF(RoundingRule="Nearest 0.50",CEILING(X63,0.5),IF(RoundingRule="Nearest 1",CEILING(X63,1),IF(RoundingRule="Nearest 5",CEILING(X63,5),IF(RoundingRule="Up to whole 1",CEILING(X63,1),IF(RoundingRule="Up to whole 5",CEILING(X63,5),ROUND(X63,2))))))))),2)))</f>
        <v>0</v>
      </c>
      <c r="Z63" s="26">
        <f>IF(B63="","",IF(Y63="","",IF(G63="","",ROUND(G63-Y63,2))))</f>
        <v>0</v>
      </c>
      <c r="AA63" s="25">
        <f>IF(B63="","",COUNTIFS(Appointments!$G$5:$G$1204,A63))</f>
        <v>0</v>
      </c>
      <c r="AB63" s="25">
        <f>IF(B63="","",COUNTIFS(Appointments!$G$5:$G$1204,A63,Appointments!$M$5:$M$1204,"Completed"))</f>
        <v>0</v>
      </c>
      <c r="AC63" s="25">
        <f>IF(B63="","",SUMIFS(Sales!$K$5:$K$1204,Sales!$I$5:$I$1204,A63,Sales!$H$5:$H$1204,"Service"))</f>
        <v>0</v>
      </c>
      <c r="AD63" s="26">
        <f>IF(B63="","",ROUND(SUMIFS(Sales!$Y$5:$Y$1204,Sales!$I$5:$I$1204,A63,Sales!$H$5:$H$1204,"Service"),2))</f>
        <v>0</v>
      </c>
      <c r="AE63" s="27">
        <f>IF(B63="","",IF(ServiceRevenueAll=0,"",AD63/ServiceRevenueAll))</f>
        <v>0</v>
      </c>
      <c r="AF63" s="26">
        <f>IF(B63="","",ROUND(AC63*T63,2))</f>
        <v>0</v>
      </c>
      <c r="AG63" s="37">
        <f>IF(B63="","",ROUND(AC63*P63,1))</f>
        <v>0</v>
      </c>
      <c r="AH63" s="27">
        <f>IF(B63="","",IF(AB63=0,"",COUNTIFS(Sales!$I$5:$I$1204,A63,Sales!$AJ$5:$AJ$1204,"Yes")/AB63))</f>
        <v>0</v>
      </c>
      <c r="AI63" s="17">
        <f>IF(B63="","",IFERROR(IF(COUNTIFS(Appointments!$G$5:$G$1204,A63)=0,"",SUMPRODUCT(MAX((Appointments!$G$5:$G$1204=A63)*IFERROR(Appointments!$B$5:$B$1204*1,0)))),""))</f>
        <v>0</v>
      </c>
      <c r="AJ63" s="25">
        <f>IF(B63="","",COUNTIFS($AD$5:$AD$204,"&gt;"&amp;AD63)+COUNTIFS($AD$5:AD63,AD63))</f>
        <v>0</v>
      </c>
      <c r="AK63" s="25">
        <f>IF(B63="","",COUNTIFS($W$5:$W$204,"&gt;"&amp;W63)+COUNTIFS($W$5:W63,W63))</f>
        <v>0</v>
      </c>
      <c r="AL63" s="25">
        <f>IF(B63="","",COUNTIFS($AB$5:$AB$204,"&gt;"&amp;AB63)+COUNTIFS($AB$5:AB63,AB63))</f>
        <v>0</v>
      </c>
      <c r="AM63" s="39">
        <f>IF(B63="","",IF(G63="","Add - no price yet",IF(E63="","Add - how long does it take?",IF(T63&lt;0,"Loss - this service costs you money",IF(V63&lt;TargetChairRate*0.7,"Check - well under your chair rate",IF(IF(N63="",FALSE,TodayDate-N63&gt;PriceReviewDays),"Due - price has not been reviewed",IF(IF(M63="Active",AB63=0,FALSE),"Check - on the menu but never booked","OK")))))))</f>
        <v>0</v>
      </c>
    </row>
    <row r="64" spans="1:39">
      <c r="A64" s="28">
        <f>IF(B64="","",ServicePrefix&amp;TEXT(ROW()-4,"000"))</f>
        <v>0</v>
      </c>
      <c r="P64" s="42">
        <f>IF(B64="","",ROUND((IF(E64="",0,E64)+IF(F64="",0,F64))/60,3))</f>
        <v>0</v>
      </c>
      <c r="Q64" s="26">
        <f>IF(B64="","",IF(H64&lt;&gt;"",H64,IF(G64="",0,ROUND(G64*ProductCostPercent,2))))</f>
        <v>0</v>
      </c>
      <c r="R64" s="26">
        <f>IF(B64="","",IF(J64="No",0,IF(G64="",0,ROUND(G64*ServiceCommission,2))))</f>
        <v>0</v>
      </c>
      <c r="S64" s="26">
        <f>IF(B64="","",ROUND(Q64+R64,2))</f>
        <v>0</v>
      </c>
      <c r="T64" s="26">
        <f>IF(B64="","",IF(G64="","",ROUND(G64-S64,2)))</f>
        <v>0</v>
      </c>
      <c r="U64" s="27">
        <f>IF(B64="","",IF(G64="","",IF(G64=0,"",T64/G64)))</f>
        <v>0</v>
      </c>
      <c r="V64" s="26">
        <f>IF(B64="","",IF(G64="","",IF(P64=0,"",ROUND(G64/P64,2))))</f>
        <v>0</v>
      </c>
      <c r="W64" s="26">
        <f>IF(B64="","",IF(T64="","",IF(P64=0,"",ROUND(T64/P64,2))))</f>
        <v>0</v>
      </c>
      <c r="X64" s="26">
        <f>IF(B64="","",IF(P64=0,"",IF(ServiceCommission&gt;=1,"",(Q64+TargetChairRate*P64)/IF(J64="No",1,1-ServiceCommission))))</f>
        <v>0</v>
      </c>
      <c r="Y64" s="26">
        <f>IF(B64="","",IF(X64="","",ROUND(IF(RoundingRule="None",X64,IF(RoundingRule="Nearest 0.99",MAX(0.99,CEILING(X64,1)-0.01),IF(RoundingRule="Nearest 0.95",MAX(0.95,CEILING(X64,1)-0.05),IF(RoundingRule="Nearest 0.50",CEILING(X64,0.5),IF(RoundingRule="Nearest 1",CEILING(X64,1),IF(RoundingRule="Nearest 5",CEILING(X64,5),IF(RoundingRule="Up to whole 1",CEILING(X64,1),IF(RoundingRule="Up to whole 5",CEILING(X64,5),ROUND(X64,2))))))))),2)))</f>
        <v>0</v>
      </c>
      <c r="Z64" s="26">
        <f>IF(B64="","",IF(Y64="","",IF(G64="","",ROUND(G64-Y64,2))))</f>
        <v>0</v>
      </c>
      <c r="AA64" s="25">
        <f>IF(B64="","",COUNTIFS(Appointments!$G$5:$G$1204,A64))</f>
        <v>0</v>
      </c>
      <c r="AB64" s="25">
        <f>IF(B64="","",COUNTIFS(Appointments!$G$5:$G$1204,A64,Appointments!$M$5:$M$1204,"Completed"))</f>
        <v>0</v>
      </c>
      <c r="AC64" s="25">
        <f>IF(B64="","",SUMIFS(Sales!$K$5:$K$1204,Sales!$I$5:$I$1204,A64,Sales!$H$5:$H$1204,"Service"))</f>
        <v>0</v>
      </c>
      <c r="AD64" s="26">
        <f>IF(B64="","",ROUND(SUMIFS(Sales!$Y$5:$Y$1204,Sales!$I$5:$I$1204,A64,Sales!$H$5:$H$1204,"Service"),2))</f>
        <v>0</v>
      </c>
      <c r="AE64" s="27">
        <f>IF(B64="","",IF(ServiceRevenueAll=0,"",AD64/ServiceRevenueAll))</f>
        <v>0</v>
      </c>
      <c r="AF64" s="26">
        <f>IF(B64="","",ROUND(AC64*T64,2))</f>
        <v>0</v>
      </c>
      <c r="AG64" s="37">
        <f>IF(B64="","",ROUND(AC64*P64,1))</f>
        <v>0</v>
      </c>
      <c r="AH64" s="27">
        <f>IF(B64="","",IF(AB64=0,"",COUNTIFS(Sales!$I$5:$I$1204,A64,Sales!$AJ$5:$AJ$1204,"Yes")/AB64))</f>
        <v>0</v>
      </c>
      <c r="AI64" s="17">
        <f>IF(B64="","",IFERROR(IF(COUNTIFS(Appointments!$G$5:$G$1204,A64)=0,"",SUMPRODUCT(MAX((Appointments!$G$5:$G$1204=A64)*IFERROR(Appointments!$B$5:$B$1204*1,0)))),""))</f>
        <v>0</v>
      </c>
      <c r="AJ64" s="25">
        <f>IF(B64="","",COUNTIFS($AD$5:$AD$204,"&gt;"&amp;AD64)+COUNTIFS($AD$5:AD64,AD64))</f>
        <v>0</v>
      </c>
      <c r="AK64" s="25">
        <f>IF(B64="","",COUNTIFS($W$5:$W$204,"&gt;"&amp;W64)+COUNTIFS($W$5:W64,W64))</f>
        <v>0</v>
      </c>
      <c r="AL64" s="25">
        <f>IF(B64="","",COUNTIFS($AB$5:$AB$204,"&gt;"&amp;AB64)+COUNTIFS($AB$5:AB64,AB64))</f>
        <v>0</v>
      </c>
      <c r="AM64" s="39">
        <f>IF(B64="","",IF(G64="","Add - no price yet",IF(E64="","Add - how long does it take?",IF(T64&lt;0,"Loss - this service costs you money",IF(V64&lt;TargetChairRate*0.7,"Check - well under your chair rate",IF(IF(N64="",FALSE,TodayDate-N64&gt;PriceReviewDays),"Due - price has not been reviewed",IF(IF(M64="Active",AB64=0,FALSE),"Check - on the menu but never booked","OK")))))))</f>
        <v>0</v>
      </c>
    </row>
    <row r="65" spans="1:39">
      <c r="A65" s="28">
        <f>IF(B65="","",ServicePrefix&amp;TEXT(ROW()-4,"000"))</f>
        <v>0</v>
      </c>
      <c r="P65" s="42">
        <f>IF(B65="","",ROUND((IF(E65="",0,E65)+IF(F65="",0,F65))/60,3))</f>
        <v>0</v>
      </c>
      <c r="Q65" s="26">
        <f>IF(B65="","",IF(H65&lt;&gt;"",H65,IF(G65="",0,ROUND(G65*ProductCostPercent,2))))</f>
        <v>0</v>
      </c>
      <c r="R65" s="26">
        <f>IF(B65="","",IF(J65="No",0,IF(G65="",0,ROUND(G65*ServiceCommission,2))))</f>
        <v>0</v>
      </c>
      <c r="S65" s="26">
        <f>IF(B65="","",ROUND(Q65+R65,2))</f>
        <v>0</v>
      </c>
      <c r="T65" s="26">
        <f>IF(B65="","",IF(G65="","",ROUND(G65-S65,2)))</f>
        <v>0</v>
      </c>
      <c r="U65" s="27">
        <f>IF(B65="","",IF(G65="","",IF(G65=0,"",T65/G65)))</f>
        <v>0</v>
      </c>
      <c r="V65" s="26">
        <f>IF(B65="","",IF(G65="","",IF(P65=0,"",ROUND(G65/P65,2))))</f>
        <v>0</v>
      </c>
      <c r="W65" s="26">
        <f>IF(B65="","",IF(T65="","",IF(P65=0,"",ROUND(T65/P65,2))))</f>
        <v>0</v>
      </c>
      <c r="X65" s="26">
        <f>IF(B65="","",IF(P65=0,"",IF(ServiceCommission&gt;=1,"",(Q65+TargetChairRate*P65)/IF(J65="No",1,1-ServiceCommission))))</f>
        <v>0</v>
      </c>
      <c r="Y65" s="26">
        <f>IF(B65="","",IF(X65="","",ROUND(IF(RoundingRule="None",X65,IF(RoundingRule="Nearest 0.99",MAX(0.99,CEILING(X65,1)-0.01),IF(RoundingRule="Nearest 0.95",MAX(0.95,CEILING(X65,1)-0.05),IF(RoundingRule="Nearest 0.50",CEILING(X65,0.5),IF(RoundingRule="Nearest 1",CEILING(X65,1),IF(RoundingRule="Nearest 5",CEILING(X65,5),IF(RoundingRule="Up to whole 1",CEILING(X65,1),IF(RoundingRule="Up to whole 5",CEILING(X65,5),ROUND(X65,2))))))))),2)))</f>
        <v>0</v>
      </c>
      <c r="Z65" s="26">
        <f>IF(B65="","",IF(Y65="","",IF(G65="","",ROUND(G65-Y65,2))))</f>
        <v>0</v>
      </c>
      <c r="AA65" s="25">
        <f>IF(B65="","",COUNTIFS(Appointments!$G$5:$G$1204,A65))</f>
        <v>0</v>
      </c>
      <c r="AB65" s="25">
        <f>IF(B65="","",COUNTIFS(Appointments!$G$5:$G$1204,A65,Appointments!$M$5:$M$1204,"Completed"))</f>
        <v>0</v>
      </c>
      <c r="AC65" s="25">
        <f>IF(B65="","",SUMIFS(Sales!$K$5:$K$1204,Sales!$I$5:$I$1204,A65,Sales!$H$5:$H$1204,"Service"))</f>
        <v>0</v>
      </c>
      <c r="AD65" s="26">
        <f>IF(B65="","",ROUND(SUMIFS(Sales!$Y$5:$Y$1204,Sales!$I$5:$I$1204,A65,Sales!$H$5:$H$1204,"Service"),2))</f>
        <v>0</v>
      </c>
      <c r="AE65" s="27">
        <f>IF(B65="","",IF(ServiceRevenueAll=0,"",AD65/ServiceRevenueAll))</f>
        <v>0</v>
      </c>
      <c r="AF65" s="26">
        <f>IF(B65="","",ROUND(AC65*T65,2))</f>
        <v>0</v>
      </c>
      <c r="AG65" s="37">
        <f>IF(B65="","",ROUND(AC65*P65,1))</f>
        <v>0</v>
      </c>
      <c r="AH65" s="27">
        <f>IF(B65="","",IF(AB65=0,"",COUNTIFS(Sales!$I$5:$I$1204,A65,Sales!$AJ$5:$AJ$1204,"Yes")/AB65))</f>
        <v>0</v>
      </c>
      <c r="AI65" s="17">
        <f>IF(B65="","",IFERROR(IF(COUNTIFS(Appointments!$G$5:$G$1204,A65)=0,"",SUMPRODUCT(MAX((Appointments!$G$5:$G$1204=A65)*IFERROR(Appointments!$B$5:$B$1204*1,0)))),""))</f>
        <v>0</v>
      </c>
      <c r="AJ65" s="25">
        <f>IF(B65="","",COUNTIFS($AD$5:$AD$204,"&gt;"&amp;AD65)+COUNTIFS($AD$5:AD65,AD65))</f>
        <v>0</v>
      </c>
      <c r="AK65" s="25">
        <f>IF(B65="","",COUNTIFS($W$5:$W$204,"&gt;"&amp;W65)+COUNTIFS($W$5:W65,W65))</f>
        <v>0</v>
      </c>
      <c r="AL65" s="25">
        <f>IF(B65="","",COUNTIFS($AB$5:$AB$204,"&gt;"&amp;AB65)+COUNTIFS($AB$5:AB65,AB65))</f>
        <v>0</v>
      </c>
      <c r="AM65" s="39">
        <f>IF(B65="","",IF(G65="","Add - no price yet",IF(E65="","Add - how long does it take?",IF(T65&lt;0,"Loss - this service costs you money",IF(V65&lt;TargetChairRate*0.7,"Check - well under your chair rate",IF(IF(N65="",FALSE,TodayDate-N65&gt;PriceReviewDays),"Due - price has not been reviewed",IF(IF(M65="Active",AB65=0,FALSE),"Check - on the menu but never booked","OK")))))))</f>
        <v>0</v>
      </c>
    </row>
    <row r="66" spans="1:39">
      <c r="A66" s="28">
        <f>IF(B66="","",ServicePrefix&amp;TEXT(ROW()-4,"000"))</f>
        <v>0</v>
      </c>
      <c r="P66" s="42">
        <f>IF(B66="","",ROUND((IF(E66="",0,E66)+IF(F66="",0,F66))/60,3))</f>
        <v>0</v>
      </c>
      <c r="Q66" s="26">
        <f>IF(B66="","",IF(H66&lt;&gt;"",H66,IF(G66="",0,ROUND(G66*ProductCostPercent,2))))</f>
        <v>0</v>
      </c>
      <c r="R66" s="26">
        <f>IF(B66="","",IF(J66="No",0,IF(G66="",0,ROUND(G66*ServiceCommission,2))))</f>
        <v>0</v>
      </c>
      <c r="S66" s="26">
        <f>IF(B66="","",ROUND(Q66+R66,2))</f>
        <v>0</v>
      </c>
      <c r="T66" s="26">
        <f>IF(B66="","",IF(G66="","",ROUND(G66-S66,2)))</f>
        <v>0</v>
      </c>
      <c r="U66" s="27">
        <f>IF(B66="","",IF(G66="","",IF(G66=0,"",T66/G66)))</f>
        <v>0</v>
      </c>
      <c r="V66" s="26">
        <f>IF(B66="","",IF(G66="","",IF(P66=0,"",ROUND(G66/P66,2))))</f>
        <v>0</v>
      </c>
      <c r="W66" s="26">
        <f>IF(B66="","",IF(T66="","",IF(P66=0,"",ROUND(T66/P66,2))))</f>
        <v>0</v>
      </c>
      <c r="X66" s="26">
        <f>IF(B66="","",IF(P66=0,"",IF(ServiceCommission&gt;=1,"",(Q66+TargetChairRate*P66)/IF(J66="No",1,1-ServiceCommission))))</f>
        <v>0</v>
      </c>
      <c r="Y66" s="26">
        <f>IF(B66="","",IF(X66="","",ROUND(IF(RoundingRule="None",X66,IF(RoundingRule="Nearest 0.99",MAX(0.99,CEILING(X66,1)-0.01),IF(RoundingRule="Nearest 0.95",MAX(0.95,CEILING(X66,1)-0.05),IF(RoundingRule="Nearest 0.50",CEILING(X66,0.5),IF(RoundingRule="Nearest 1",CEILING(X66,1),IF(RoundingRule="Nearest 5",CEILING(X66,5),IF(RoundingRule="Up to whole 1",CEILING(X66,1),IF(RoundingRule="Up to whole 5",CEILING(X66,5),ROUND(X66,2))))))))),2)))</f>
        <v>0</v>
      </c>
      <c r="Z66" s="26">
        <f>IF(B66="","",IF(Y66="","",IF(G66="","",ROUND(G66-Y66,2))))</f>
        <v>0</v>
      </c>
      <c r="AA66" s="25">
        <f>IF(B66="","",COUNTIFS(Appointments!$G$5:$G$1204,A66))</f>
        <v>0</v>
      </c>
      <c r="AB66" s="25">
        <f>IF(B66="","",COUNTIFS(Appointments!$G$5:$G$1204,A66,Appointments!$M$5:$M$1204,"Completed"))</f>
        <v>0</v>
      </c>
      <c r="AC66" s="25">
        <f>IF(B66="","",SUMIFS(Sales!$K$5:$K$1204,Sales!$I$5:$I$1204,A66,Sales!$H$5:$H$1204,"Service"))</f>
        <v>0</v>
      </c>
      <c r="AD66" s="26">
        <f>IF(B66="","",ROUND(SUMIFS(Sales!$Y$5:$Y$1204,Sales!$I$5:$I$1204,A66,Sales!$H$5:$H$1204,"Service"),2))</f>
        <v>0</v>
      </c>
      <c r="AE66" s="27">
        <f>IF(B66="","",IF(ServiceRevenueAll=0,"",AD66/ServiceRevenueAll))</f>
        <v>0</v>
      </c>
      <c r="AF66" s="26">
        <f>IF(B66="","",ROUND(AC66*T66,2))</f>
        <v>0</v>
      </c>
      <c r="AG66" s="37">
        <f>IF(B66="","",ROUND(AC66*P66,1))</f>
        <v>0</v>
      </c>
      <c r="AH66" s="27">
        <f>IF(B66="","",IF(AB66=0,"",COUNTIFS(Sales!$I$5:$I$1204,A66,Sales!$AJ$5:$AJ$1204,"Yes")/AB66))</f>
        <v>0</v>
      </c>
      <c r="AI66" s="17">
        <f>IF(B66="","",IFERROR(IF(COUNTIFS(Appointments!$G$5:$G$1204,A66)=0,"",SUMPRODUCT(MAX((Appointments!$G$5:$G$1204=A66)*IFERROR(Appointments!$B$5:$B$1204*1,0)))),""))</f>
        <v>0</v>
      </c>
      <c r="AJ66" s="25">
        <f>IF(B66="","",COUNTIFS($AD$5:$AD$204,"&gt;"&amp;AD66)+COUNTIFS($AD$5:AD66,AD66))</f>
        <v>0</v>
      </c>
      <c r="AK66" s="25">
        <f>IF(B66="","",COUNTIFS($W$5:$W$204,"&gt;"&amp;W66)+COUNTIFS($W$5:W66,W66))</f>
        <v>0</v>
      </c>
      <c r="AL66" s="25">
        <f>IF(B66="","",COUNTIFS($AB$5:$AB$204,"&gt;"&amp;AB66)+COUNTIFS($AB$5:AB66,AB66))</f>
        <v>0</v>
      </c>
      <c r="AM66" s="39">
        <f>IF(B66="","",IF(G66="","Add - no price yet",IF(E66="","Add - how long does it take?",IF(T66&lt;0,"Loss - this service costs you money",IF(V66&lt;TargetChairRate*0.7,"Check - well under your chair rate",IF(IF(N66="",FALSE,TodayDate-N66&gt;PriceReviewDays),"Due - price has not been reviewed",IF(IF(M66="Active",AB66=0,FALSE),"Check - on the menu but never booked","OK")))))))</f>
        <v>0</v>
      </c>
    </row>
    <row r="67" spans="1:39">
      <c r="A67" s="28">
        <f>IF(B67="","",ServicePrefix&amp;TEXT(ROW()-4,"000"))</f>
        <v>0</v>
      </c>
      <c r="P67" s="42">
        <f>IF(B67="","",ROUND((IF(E67="",0,E67)+IF(F67="",0,F67))/60,3))</f>
        <v>0</v>
      </c>
      <c r="Q67" s="26">
        <f>IF(B67="","",IF(H67&lt;&gt;"",H67,IF(G67="",0,ROUND(G67*ProductCostPercent,2))))</f>
        <v>0</v>
      </c>
      <c r="R67" s="26">
        <f>IF(B67="","",IF(J67="No",0,IF(G67="",0,ROUND(G67*ServiceCommission,2))))</f>
        <v>0</v>
      </c>
      <c r="S67" s="26">
        <f>IF(B67="","",ROUND(Q67+R67,2))</f>
        <v>0</v>
      </c>
      <c r="T67" s="26">
        <f>IF(B67="","",IF(G67="","",ROUND(G67-S67,2)))</f>
        <v>0</v>
      </c>
      <c r="U67" s="27">
        <f>IF(B67="","",IF(G67="","",IF(G67=0,"",T67/G67)))</f>
        <v>0</v>
      </c>
      <c r="V67" s="26">
        <f>IF(B67="","",IF(G67="","",IF(P67=0,"",ROUND(G67/P67,2))))</f>
        <v>0</v>
      </c>
      <c r="W67" s="26">
        <f>IF(B67="","",IF(T67="","",IF(P67=0,"",ROUND(T67/P67,2))))</f>
        <v>0</v>
      </c>
      <c r="X67" s="26">
        <f>IF(B67="","",IF(P67=0,"",IF(ServiceCommission&gt;=1,"",(Q67+TargetChairRate*P67)/IF(J67="No",1,1-ServiceCommission))))</f>
        <v>0</v>
      </c>
      <c r="Y67" s="26">
        <f>IF(B67="","",IF(X67="","",ROUND(IF(RoundingRule="None",X67,IF(RoundingRule="Nearest 0.99",MAX(0.99,CEILING(X67,1)-0.01),IF(RoundingRule="Nearest 0.95",MAX(0.95,CEILING(X67,1)-0.05),IF(RoundingRule="Nearest 0.50",CEILING(X67,0.5),IF(RoundingRule="Nearest 1",CEILING(X67,1),IF(RoundingRule="Nearest 5",CEILING(X67,5),IF(RoundingRule="Up to whole 1",CEILING(X67,1),IF(RoundingRule="Up to whole 5",CEILING(X67,5),ROUND(X67,2))))))))),2)))</f>
        <v>0</v>
      </c>
      <c r="Z67" s="26">
        <f>IF(B67="","",IF(Y67="","",IF(G67="","",ROUND(G67-Y67,2))))</f>
        <v>0</v>
      </c>
      <c r="AA67" s="25">
        <f>IF(B67="","",COUNTIFS(Appointments!$G$5:$G$1204,A67))</f>
        <v>0</v>
      </c>
      <c r="AB67" s="25">
        <f>IF(B67="","",COUNTIFS(Appointments!$G$5:$G$1204,A67,Appointments!$M$5:$M$1204,"Completed"))</f>
        <v>0</v>
      </c>
      <c r="AC67" s="25">
        <f>IF(B67="","",SUMIFS(Sales!$K$5:$K$1204,Sales!$I$5:$I$1204,A67,Sales!$H$5:$H$1204,"Service"))</f>
        <v>0</v>
      </c>
      <c r="AD67" s="26">
        <f>IF(B67="","",ROUND(SUMIFS(Sales!$Y$5:$Y$1204,Sales!$I$5:$I$1204,A67,Sales!$H$5:$H$1204,"Service"),2))</f>
        <v>0</v>
      </c>
      <c r="AE67" s="27">
        <f>IF(B67="","",IF(ServiceRevenueAll=0,"",AD67/ServiceRevenueAll))</f>
        <v>0</v>
      </c>
      <c r="AF67" s="26">
        <f>IF(B67="","",ROUND(AC67*T67,2))</f>
        <v>0</v>
      </c>
      <c r="AG67" s="37">
        <f>IF(B67="","",ROUND(AC67*P67,1))</f>
        <v>0</v>
      </c>
      <c r="AH67" s="27">
        <f>IF(B67="","",IF(AB67=0,"",COUNTIFS(Sales!$I$5:$I$1204,A67,Sales!$AJ$5:$AJ$1204,"Yes")/AB67))</f>
        <v>0</v>
      </c>
      <c r="AI67" s="17">
        <f>IF(B67="","",IFERROR(IF(COUNTIFS(Appointments!$G$5:$G$1204,A67)=0,"",SUMPRODUCT(MAX((Appointments!$G$5:$G$1204=A67)*IFERROR(Appointments!$B$5:$B$1204*1,0)))),""))</f>
        <v>0</v>
      </c>
      <c r="AJ67" s="25">
        <f>IF(B67="","",COUNTIFS($AD$5:$AD$204,"&gt;"&amp;AD67)+COUNTIFS($AD$5:AD67,AD67))</f>
        <v>0</v>
      </c>
      <c r="AK67" s="25">
        <f>IF(B67="","",COUNTIFS($W$5:$W$204,"&gt;"&amp;W67)+COUNTIFS($W$5:W67,W67))</f>
        <v>0</v>
      </c>
      <c r="AL67" s="25">
        <f>IF(B67="","",COUNTIFS($AB$5:$AB$204,"&gt;"&amp;AB67)+COUNTIFS($AB$5:AB67,AB67))</f>
        <v>0</v>
      </c>
      <c r="AM67" s="39">
        <f>IF(B67="","",IF(G67="","Add - no price yet",IF(E67="","Add - how long does it take?",IF(T67&lt;0,"Loss - this service costs you money",IF(V67&lt;TargetChairRate*0.7,"Check - well under your chair rate",IF(IF(N67="",FALSE,TodayDate-N67&gt;PriceReviewDays),"Due - price has not been reviewed",IF(IF(M67="Active",AB67=0,FALSE),"Check - on the menu but never booked","OK")))))))</f>
        <v>0</v>
      </c>
    </row>
    <row r="68" spans="1:39">
      <c r="A68" s="28">
        <f>IF(B68="","",ServicePrefix&amp;TEXT(ROW()-4,"000"))</f>
        <v>0</v>
      </c>
      <c r="P68" s="42">
        <f>IF(B68="","",ROUND((IF(E68="",0,E68)+IF(F68="",0,F68))/60,3))</f>
        <v>0</v>
      </c>
      <c r="Q68" s="26">
        <f>IF(B68="","",IF(H68&lt;&gt;"",H68,IF(G68="",0,ROUND(G68*ProductCostPercent,2))))</f>
        <v>0</v>
      </c>
      <c r="R68" s="26">
        <f>IF(B68="","",IF(J68="No",0,IF(G68="",0,ROUND(G68*ServiceCommission,2))))</f>
        <v>0</v>
      </c>
      <c r="S68" s="26">
        <f>IF(B68="","",ROUND(Q68+R68,2))</f>
        <v>0</v>
      </c>
      <c r="T68" s="26">
        <f>IF(B68="","",IF(G68="","",ROUND(G68-S68,2)))</f>
        <v>0</v>
      </c>
      <c r="U68" s="27">
        <f>IF(B68="","",IF(G68="","",IF(G68=0,"",T68/G68)))</f>
        <v>0</v>
      </c>
      <c r="V68" s="26">
        <f>IF(B68="","",IF(G68="","",IF(P68=0,"",ROUND(G68/P68,2))))</f>
        <v>0</v>
      </c>
      <c r="W68" s="26">
        <f>IF(B68="","",IF(T68="","",IF(P68=0,"",ROUND(T68/P68,2))))</f>
        <v>0</v>
      </c>
      <c r="X68" s="26">
        <f>IF(B68="","",IF(P68=0,"",IF(ServiceCommission&gt;=1,"",(Q68+TargetChairRate*P68)/IF(J68="No",1,1-ServiceCommission))))</f>
        <v>0</v>
      </c>
      <c r="Y68" s="26">
        <f>IF(B68="","",IF(X68="","",ROUND(IF(RoundingRule="None",X68,IF(RoundingRule="Nearest 0.99",MAX(0.99,CEILING(X68,1)-0.01),IF(RoundingRule="Nearest 0.95",MAX(0.95,CEILING(X68,1)-0.05),IF(RoundingRule="Nearest 0.50",CEILING(X68,0.5),IF(RoundingRule="Nearest 1",CEILING(X68,1),IF(RoundingRule="Nearest 5",CEILING(X68,5),IF(RoundingRule="Up to whole 1",CEILING(X68,1),IF(RoundingRule="Up to whole 5",CEILING(X68,5),ROUND(X68,2))))))))),2)))</f>
        <v>0</v>
      </c>
      <c r="Z68" s="26">
        <f>IF(B68="","",IF(Y68="","",IF(G68="","",ROUND(G68-Y68,2))))</f>
        <v>0</v>
      </c>
      <c r="AA68" s="25">
        <f>IF(B68="","",COUNTIFS(Appointments!$G$5:$G$1204,A68))</f>
        <v>0</v>
      </c>
      <c r="AB68" s="25">
        <f>IF(B68="","",COUNTIFS(Appointments!$G$5:$G$1204,A68,Appointments!$M$5:$M$1204,"Completed"))</f>
        <v>0</v>
      </c>
      <c r="AC68" s="25">
        <f>IF(B68="","",SUMIFS(Sales!$K$5:$K$1204,Sales!$I$5:$I$1204,A68,Sales!$H$5:$H$1204,"Service"))</f>
        <v>0</v>
      </c>
      <c r="AD68" s="26">
        <f>IF(B68="","",ROUND(SUMIFS(Sales!$Y$5:$Y$1204,Sales!$I$5:$I$1204,A68,Sales!$H$5:$H$1204,"Service"),2))</f>
        <v>0</v>
      </c>
      <c r="AE68" s="27">
        <f>IF(B68="","",IF(ServiceRevenueAll=0,"",AD68/ServiceRevenueAll))</f>
        <v>0</v>
      </c>
      <c r="AF68" s="26">
        <f>IF(B68="","",ROUND(AC68*T68,2))</f>
        <v>0</v>
      </c>
      <c r="AG68" s="37">
        <f>IF(B68="","",ROUND(AC68*P68,1))</f>
        <v>0</v>
      </c>
      <c r="AH68" s="27">
        <f>IF(B68="","",IF(AB68=0,"",COUNTIFS(Sales!$I$5:$I$1204,A68,Sales!$AJ$5:$AJ$1204,"Yes")/AB68))</f>
        <v>0</v>
      </c>
      <c r="AI68" s="17">
        <f>IF(B68="","",IFERROR(IF(COUNTIFS(Appointments!$G$5:$G$1204,A68)=0,"",SUMPRODUCT(MAX((Appointments!$G$5:$G$1204=A68)*IFERROR(Appointments!$B$5:$B$1204*1,0)))),""))</f>
        <v>0</v>
      </c>
      <c r="AJ68" s="25">
        <f>IF(B68="","",COUNTIFS($AD$5:$AD$204,"&gt;"&amp;AD68)+COUNTIFS($AD$5:AD68,AD68))</f>
        <v>0</v>
      </c>
      <c r="AK68" s="25">
        <f>IF(B68="","",COUNTIFS($W$5:$W$204,"&gt;"&amp;W68)+COUNTIFS($W$5:W68,W68))</f>
        <v>0</v>
      </c>
      <c r="AL68" s="25">
        <f>IF(B68="","",COUNTIFS($AB$5:$AB$204,"&gt;"&amp;AB68)+COUNTIFS($AB$5:AB68,AB68))</f>
        <v>0</v>
      </c>
      <c r="AM68" s="39">
        <f>IF(B68="","",IF(G68="","Add - no price yet",IF(E68="","Add - how long does it take?",IF(T68&lt;0,"Loss - this service costs you money",IF(V68&lt;TargetChairRate*0.7,"Check - well under your chair rate",IF(IF(N68="",FALSE,TodayDate-N68&gt;PriceReviewDays),"Due - price has not been reviewed",IF(IF(M68="Active",AB68=0,FALSE),"Check - on the menu but never booked","OK")))))))</f>
        <v>0</v>
      </c>
    </row>
    <row r="69" spans="1:39">
      <c r="A69" s="28">
        <f>IF(B69="","",ServicePrefix&amp;TEXT(ROW()-4,"000"))</f>
        <v>0</v>
      </c>
      <c r="P69" s="42">
        <f>IF(B69="","",ROUND((IF(E69="",0,E69)+IF(F69="",0,F69))/60,3))</f>
        <v>0</v>
      </c>
      <c r="Q69" s="26">
        <f>IF(B69="","",IF(H69&lt;&gt;"",H69,IF(G69="",0,ROUND(G69*ProductCostPercent,2))))</f>
        <v>0</v>
      </c>
      <c r="R69" s="26">
        <f>IF(B69="","",IF(J69="No",0,IF(G69="",0,ROUND(G69*ServiceCommission,2))))</f>
        <v>0</v>
      </c>
      <c r="S69" s="26">
        <f>IF(B69="","",ROUND(Q69+R69,2))</f>
        <v>0</v>
      </c>
      <c r="T69" s="26">
        <f>IF(B69="","",IF(G69="","",ROUND(G69-S69,2)))</f>
        <v>0</v>
      </c>
      <c r="U69" s="27">
        <f>IF(B69="","",IF(G69="","",IF(G69=0,"",T69/G69)))</f>
        <v>0</v>
      </c>
      <c r="V69" s="26">
        <f>IF(B69="","",IF(G69="","",IF(P69=0,"",ROUND(G69/P69,2))))</f>
        <v>0</v>
      </c>
      <c r="W69" s="26">
        <f>IF(B69="","",IF(T69="","",IF(P69=0,"",ROUND(T69/P69,2))))</f>
        <v>0</v>
      </c>
      <c r="X69" s="26">
        <f>IF(B69="","",IF(P69=0,"",IF(ServiceCommission&gt;=1,"",(Q69+TargetChairRate*P69)/IF(J69="No",1,1-ServiceCommission))))</f>
        <v>0</v>
      </c>
      <c r="Y69" s="26">
        <f>IF(B69="","",IF(X69="","",ROUND(IF(RoundingRule="None",X69,IF(RoundingRule="Nearest 0.99",MAX(0.99,CEILING(X69,1)-0.01),IF(RoundingRule="Nearest 0.95",MAX(0.95,CEILING(X69,1)-0.05),IF(RoundingRule="Nearest 0.50",CEILING(X69,0.5),IF(RoundingRule="Nearest 1",CEILING(X69,1),IF(RoundingRule="Nearest 5",CEILING(X69,5),IF(RoundingRule="Up to whole 1",CEILING(X69,1),IF(RoundingRule="Up to whole 5",CEILING(X69,5),ROUND(X69,2))))))))),2)))</f>
        <v>0</v>
      </c>
      <c r="Z69" s="26">
        <f>IF(B69="","",IF(Y69="","",IF(G69="","",ROUND(G69-Y69,2))))</f>
        <v>0</v>
      </c>
      <c r="AA69" s="25">
        <f>IF(B69="","",COUNTIFS(Appointments!$G$5:$G$1204,A69))</f>
        <v>0</v>
      </c>
      <c r="AB69" s="25">
        <f>IF(B69="","",COUNTIFS(Appointments!$G$5:$G$1204,A69,Appointments!$M$5:$M$1204,"Completed"))</f>
        <v>0</v>
      </c>
      <c r="AC69" s="25">
        <f>IF(B69="","",SUMIFS(Sales!$K$5:$K$1204,Sales!$I$5:$I$1204,A69,Sales!$H$5:$H$1204,"Service"))</f>
        <v>0</v>
      </c>
      <c r="AD69" s="26">
        <f>IF(B69="","",ROUND(SUMIFS(Sales!$Y$5:$Y$1204,Sales!$I$5:$I$1204,A69,Sales!$H$5:$H$1204,"Service"),2))</f>
        <v>0</v>
      </c>
      <c r="AE69" s="27">
        <f>IF(B69="","",IF(ServiceRevenueAll=0,"",AD69/ServiceRevenueAll))</f>
        <v>0</v>
      </c>
      <c r="AF69" s="26">
        <f>IF(B69="","",ROUND(AC69*T69,2))</f>
        <v>0</v>
      </c>
      <c r="AG69" s="37">
        <f>IF(B69="","",ROUND(AC69*P69,1))</f>
        <v>0</v>
      </c>
      <c r="AH69" s="27">
        <f>IF(B69="","",IF(AB69=0,"",COUNTIFS(Sales!$I$5:$I$1204,A69,Sales!$AJ$5:$AJ$1204,"Yes")/AB69))</f>
        <v>0</v>
      </c>
      <c r="AI69" s="17">
        <f>IF(B69="","",IFERROR(IF(COUNTIFS(Appointments!$G$5:$G$1204,A69)=0,"",SUMPRODUCT(MAX((Appointments!$G$5:$G$1204=A69)*IFERROR(Appointments!$B$5:$B$1204*1,0)))),""))</f>
        <v>0</v>
      </c>
      <c r="AJ69" s="25">
        <f>IF(B69="","",COUNTIFS($AD$5:$AD$204,"&gt;"&amp;AD69)+COUNTIFS($AD$5:AD69,AD69))</f>
        <v>0</v>
      </c>
      <c r="AK69" s="25">
        <f>IF(B69="","",COUNTIFS($W$5:$W$204,"&gt;"&amp;W69)+COUNTIFS($W$5:W69,W69))</f>
        <v>0</v>
      </c>
      <c r="AL69" s="25">
        <f>IF(B69="","",COUNTIFS($AB$5:$AB$204,"&gt;"&amp;AB69)+COUNTIFS($AB$5:AB69,AB69))</f>
        <v>0</v>
      </c>
      <c r="AM69" s="39">
        <f>IF(B69="","",IF(G69="","Add - no price yet",IF(E69="","Add - how long does it take?",IF(T69&lt;0,"Loss - this service costs you money",IF(V69&lt;TargetChairRate*0.7,"Check - well under your chair rate",IF(IF(N69="",FALSE,TodayDate-N69&gt;PriceReviewDays),"Due - price has not been reviewed",IF(IF(M69="Active",AB69=0,FALSE),"Check - on the menu but never booked","OK")))))))</f>
        <v>0</v>
      </c>
    </row>
    <row r="70" spans="1:39">
      <c r="A70" s="28">
        <f>IF(B70="","",ServicePrefix&amp;TEXT(ROW()-4,"000"))</f>
        <v>0</v>
      </c>
      <c r="P70" s="42">
        <f>IF(B70="","",ROUND((IF(E70="",0,E70)+IF(F70="",0,F70))/60,3))</f>
        <v>0</v>
      </c>
      <c r="Q70" s="26">
        <f>IF(B70="","",IF(H70&lt;&gt;"",H70,IF(G70="",0,ROUND(G70*ProductCostPercent,2))))</f>
        <v>0</v>
      </c>
      <c r="R70" s="26">
        <f>IF(B70="","",IF(J70="No",0,IF(G70="",0,ROUND(G70*ServiceCommission,2))))</f>
        <v>0</v>
      </c>
      <c r="S70" s="26">
        <f>IF(B70="","",ROUND(Q70+R70,2))</f>
        <v>0</v>
      </c>
      <c r="T70" s="26">
        <f>IF(B70="","",IF(G70="","",ROUND(G70-S70,2)))</f>
        <v>0</v>
      </c>
      <c r="U70" s="27">
        <f>IF(B70="","",IF(G70="","",IF(G70=0,"",T70/G70)))</f>
        <v>0</v>
      </c>
      <c r="V70" s="26">
        <f>IF(B70="","",IF(G70="","",IF(P70=0,"",ROUND(G70/P70,2))))</f>
        <v>0</v>
      </c>
      <c r="W70" s="26">
        <f>IF(B70="","",IF(T70="","",IF(P70=0,"",ROUND(T70/P70,2))))</f>
        <v>0</v>
      </c>
      <c r="X70" s="26">
        <f>IF(B70="","",IF(P70=0,"",IF(ServiceCommission&gt;=1,"",(Q70+TargetChairRate*P70)/IF(J70="No",1,1-ServiceCommission))))</f>
        <v>0</v>
      </c>
      <c r="Y70" s="26">
        <f>IF(B70="","",IF(X70="","",ROUND(IF(RoundingRule="None",X70,IF(RoundingRule="Nearest 0.99",MAX(0.99,CEILING(X70,1)-0.01),IF(RoundingRule="Nearest 0.95",MAX(0.95,CEILING(X70,1)-0.05),IF(RoundingRule="Nearest 0.50",CEILING(X70,0.5),IF(RoundingRule="Nearest 1",CEILING(X70,1),IF(RoundingRule="Nearest 5",CEILING(X70,5),IF(RoundingRule="Up to whole 1",CEILING(X70,1),IF(RoundingRule="Up to whole 5",CEILING(X70,5),ROUND(X70,2))))))))),2)))</f>
        <v>0</v>
      </c>
      <c r="Z70" s="26">
        <f>IF(B70="","",IF(Y70="","",IF(G70="","",ROUND(G70-Y70,2))))</f>
        <v>0</v>
      </c>
      <c r="AA70" s="25">
        <f>IF(B70="","",COUNTIFS(Appointments!$G$5:$G$1204,A70))</f>
        <v>0</v>
      </c>
      <c r="AB70" s="25">
        <f>IF(B70="","",COUNTIFS(Appointments!$G$5:$G$1204,A70,Appointments!$M$5:$M$1204,"Completed"))</f>
        <v>0</v>
      </c>
      <c r="AC70" s="25">
        <f>IF(B70="","",SUMIFS(Sales!$K$5:$K$1204,Sales!$I$5:$I$1204,A70,Sales!$H$5:$H$1204,"Service"))</f>
        <v>0</v>
      </c>
      <c r="AD70" s="26">
        <f>IF(B70="","",ROUND(SUMIFS(Sales!$Y$5:$Y$1204,Sales!$I$5:$I$1204,A70,Sales!$H$5:$H$1204,"Service"),2))</f>
        <v>0</v>
      </c>
      <c r="AE70" s="27">
        <f>IF(B70="","",IF(ServiceRevenueAll=0,"",AD70/ServiceRevenueAll))</f>
        <v>0</v>
      </c>
      <c r="AF70" s="26">
        <f>IF(B70="","",ROUND(AC70*T70,2))</f>
        <v>0</v>
      </c>
      <c r="AG70" s="37">
        <f>IF(B70="","",ROUND(AC70*P70,1))</f>
        <v>0</v>
      </c>
      <c r="AH70" s="27">
        <f>IF(B70="","",IF(AB70=0,"",COUNTIFS(Sales!$I$5:$I$1204,A70,Sales!$AJ$5:$AJ$1204,"Yes")/AB70))</f>
        <v>0</v>
      </c>
      <c r="AI70" s="17">
        <f>IF(B70="","",IFERROR(IF(COUNTIFS(Appointments!$G$5:$G$1204,A70)=0,"",SUMPRODUCT(MAX((Appointments!$G$5:$G$1204=A70)*IFERROR(Appointments!$B$5:$B$1204*1,0)))),""))</f>
        <v>0</v>
      </c>
      <c r="AJ70" s="25">
        <f>IF(B70="","",COUNTIFS($AD$5:$AD$204,"&gt;"&amp;AD70)+COUNTIFS($AD$5:AD70,AD70))</f>
        <v>0</v>
      </c>
      <c r="AK70" s="25">
        <f>IF(B70="","",COUNTIFS($W$5:$W$204,"&gt;"&amp;W70)+COUNTIFS($W$5:W70,W70))</f>
        <v>0</v>
      </c>
      <c r="AL70" s="25">
        <f>IF(B70="","",COUNTIFS($AB$5:$AB$204,"&gt;"&amp;AB70)+COUNTIFS($AB$5:AB70,AB70))</f>
        <v>0</v>
      </c>
      <c r="AM70" s="39">
        <f>IF(B70="","",IF(G70="","Add - no price yet",IF(E70="","Add - how long does it take?",IF(T70&lt;0,"Loss - this service costs you money",IF(V70&lt;TargetChairRate*0.7,"Check - well under your chair rate",IF(IF(N70="",FALSE,TodayDate-N70&gt;PriceReviewDays),"Due - price has not been reviewed",IF(IF(M70="Active",AB70=0,FALSE),"Check - on the menu but never booked","OK")))))))</f>
        <v>0</v>
      </c>
    </row>
    <row r="71" spans="1:39">
      <c r="A71" s="28">
        <f>IF(B71="","",ServicePrefix&amp;TEXT(ROW()-4,"000"))</f>
        <v>0</v>
      </c>
      <c r="P71" s="42">
        <f>IF(B71="","",ROUND((IF(E71="",0,E71)+IF(F71="",0,F71))/60,3))</f>
        <v>0</v>
      </c>
      <c r="Q71" s="26">
        <f>IF(B71="","",IF(H71&lt;&gt;"",H71,IF(G71="",0,ROUND(G71*ProductCostPercent,2))))</f>
        <v>0</v>
      </c>
      <c r="R71" s="26">
        <f>IF(B71="","",IF(J71="No",0,IF(G71="",0,ROUND(G71*ServiceCommission,2))))</f>
        <v>0</v>
      </c>
      <c r="S71" s="26">
        <f>IF(B71="","",ROUND(Q71+R71,2))</f>
        <v>0</v>
      </c>
      <c r="T71" s="26">
        <f>IF(B71="","",IF(G71="","",ROUND(G71-S71,2)))</f>
        <v>0</v>
      </c>
      <c r="U71" s="27">
        <f>IF(B71="","",IF(G71="","",IF(G71=0,"",T71/G71)))</f>
        <v>0</v>
      </c>
      <c r="V71" s="26">
        <f>IF(B71="","",IF(G71="","",IF(P71=0,"",ROUND(G71/P71,2))))</f>
        <v>0</v>
      </c>
      <c r="W71" s="26">
        <f>IF(B71="","",IF(T71="","",IF(P71=0,"",ROUND(T71/P71,2))))</f>
        <v>0</v>
      </c>
      <c r="X71" s="26">
        <f>IF(B71="","",IF(P71=0,"",IF(ServiceCommission&gt;=1,"",(Q71+TargetChairRate*P71)/IF(J71="No",1,1-ServiceCommission))))</f>
        <v>0</v>
      </c>
      <c r="Y71" s="26">
        <f>IF(B71="","",IF(X71="","",ROUND(IF(RoundingRule="None",X71,IF(RoundingRule="Nearest 0.99",MAX(0.99,CEILING(X71,1)-0.01),IF(RoundingRule="Nearest 0.95",MAX(0.95,CEILING(X71,1)-0.05),IF(RoundingRule="Nearest 0.50",CEILING(X71,0.5),IF(RoundingRule="Nearest 1",CEILING(X71,1),IF(RoundingRule="Nearest 5",CEILING(X71,5),IF(RoundingRule="Up to whole 1",CEILING(X71,1),IF(RoundingRule="Up to whole 5",CEILING(X71,5),ROUND(X71,2))))))))),2)))</f>
        <v>0</v>
      </c>
      <c r="Z71" s="26">
        <f>IF(B71="","",IF(Y71="","",IF(G71="","",ROUND(G71-Y71,2))))</f>
        <v>0</v>
      </c>
      <c r="AA71" s="25">
        <f>IF(B71="","",COUNTIFS(Appointments!$G$5:$G$1204,A71))</f>
        <v>0</v>
      </c>
      <c r="AB71" s="25">
        <f>IF(B71="","",COUNTIFS(Appointments!$G$5:$G$1204,A71,Appointments!$M$5:$M$1204,"Completed"))</f>
        <v>0</v>
      </c>
      <c r="AC71" s="25">
        <f>IF(B71="","",SUMIFS(Sales!$K$5:$K$1204,Sales!$I$5:$I$1204,A71,Sales!$H$5:$H$1204,"Service"))</f>
        <v>0</v>
      </c>
      <c r="AD71" s="26">
        <f>IF(B71="","",ROUND(SUMIFS(Sales!$Y$5:$Y$1204,Sales!$I$5:$I$1204,A71,Sales!$H$5:$H$1204,"Service"),2))</f>
        <v>0</v>
      </c>
      <c r="AE71" s="27">
        <f>IF(B71="","",IF(ServiceRevenueAll=0,"",AD71/ServiceRevenueAll))</f>
        <v>0</v>
      </c>
      <c r="AF71" s="26">
        <f>IF(B71="","",ROUND(AC71*T71,2))</f>
        <v>0</v>
      </c>
      <c r="AG71" s="37">
        <f>IF(B71="","",ROUND(AC71*P71,1))</f>
        <v>0</v>
      </c>
      <c r="AH71" s="27">
        <f>IF(B71="","",IF(AB71=0,"",COUNTIFS(Sales!$I$5:$I$1204,A71,Sales!$AJ$5:$AJ$1204,"Yes")/AB71))</f>
        <v>0</v>
      </c>
      <c r="AI71" s="17">
        <f>IF(B71="","",IFERROR(IF(COUNTIFS(Appointments!$G$5:$G$1204,A71)=0,"",SUMPRODUCT(MAX((Appointments!$G$5:$G$1204=A71)*IFERROR(Appointments!$B$5:$B$1204*1,0)))),""))</f>
        <v>0</v>
      </c>
      <c r="AJ71" s="25">
        <f>IF(B71="","",COUNTIFS($AD$5:$AD$204,"&gt;"&amp;AD71)+COUNTIFS($AD$5:AD71,AD71))</f>
        <v>0</v>
      </c>
      <c r="AK71" s="25">
        <f>IF(B71="","",COUNTIFS($W$5:$W$204,"&gt;"&amp;W71)+COUNTIFS($W$5:W71,W71))</f>
        <v>0</v>
      </c>
      <c r="AL71" s="25">
        <f>IF(B71="","",COUNTIFS($AB$5:$AB$204,"&gt;"&amp;AB71)+COUNTIFS($AB$5:AB71,AB71))</f>
        <v>0</v>
      </c>
      <c r="AM71" s="39">
        <f>IF(B71="","",IF(G71="","Add - no price yet",IF(E71="","Add - how long does it take?",IF(T71&lt;0,"Loss - this service costs you money",IF(V71&lt;TargetChairRate*0.7,"Check - well under your chair rate",IF(IF(N71="",FALSE,TodayDate-N71&gt;PriceReviewDays),"Due - price has not been reviewed",IF(IF(M71="Active",AB71=0,FALSE),"Check - on the menu but never booked","OK")))))))</f>
        <v>0</v>
      </c>
    </row>
    <row r="72" spans="1:39">
      <c r="A72" s="28">
        <f>IF(B72="","",ServicePrefix&amp;TEXT(ROW()-4,"000"))</f>
        <v>0</v>
      </c>
      <c r="P72" s="42">
        <f>IF(B72="","",ROUND((IF(E72="",0,E72)+IF(F72="",0,F72))/60,3))</f>
        <v>0</v>
      </c>
      <c r="Q72" s="26">
        <f>IF(B72="","",IF(H72&lt;&gt;"",H72,IF(G72="",0,ROUND(G72*ProductCostPercent,2))))</f>
        <v>0</v>
      </c>
      <c r="R72" s="26">
        <f>IF(B72="","",IF(J72="No",0,IF(G72="",0,ROUND(G72*ServiceCommission,2))))</f>
        <v>0</v>
      </c>
      <c r="S72" s="26">
        <f>IF(B72="","",ROUND(Q72+R72,2))</f>
        <v>0</v>
      </c>
      <c r="T72" s="26">
        <f>IF(B72="","",IF(G72="","",ROUND(G72-S72,2)))</f>
        <v>0</v>
      </c>
      <c r="U72" s="27">
        <f>IF(B72="","",IF(G72="","",IF(G72=0,"",T72/G72)))</f>
        <v>0</v>
      </c>
      <c r="V72" s="26">
        <f>IF(B72="","",IF(G72="","",IF(P72=0,"",ROUND(G72/P72,2))))</f>
        <v>0</v>
      </c>
      <c r="W72" s="26">
        <f>IF(B72="","",IF(T72="","",IF(P72=0,"",ROUND(T72/P72,2))))</f>
        <v>0</v>
      </c>
      <c r="X72" s="26">
        <f>IF(B72="","",IF(P72=0,"",IF(ServiceCommission&gt;=1,"",(Q72+TargetChairRate*P72)/IF(J72="No",1,1-ServiceCommission))))</f>
        <v>0</v>
      </c>
      <c r="Y72" s="26">
        <f>IF(B72="","",IF(X72="","",ROUND(IF(RoundingRule="None",X72,IF(RoundingRule="Nearest 0.99",MAX(0.99,CEILING(X72,1)-0.01),IF(RoundingRule="Nearest 0.95",MAX(0.95,CEILING(X72,1)-0.05),IF(RoundingRule="Nearest 0.50",CEILING(X72,0.5),IF(RoundingRule="Nearest 1",CEILING(X72,1),IF(RoundingRule="Nearest 5",CEILING(X72,5),IF(RoundingRule="Up to whole 1",CEILING(X72,1),IF(RoundingRule="Up to whole 5",CEILING(X72,5),ROUND(X72,2))))))))),2)))</f>
        <v>0</v>
      </c>
      <c r="Z72" s="26">
        <f>IF(B72="","",IF(Y72="","",IF(G72="","",ROUND(G72-Y72,2))))</f>
        <v>0</v>
      </c>
      <c r="AA72" s="25">
        <f>IF(B72="","",COUNTIFS(Appointments!$G$5:$G$1204,A72))</f>
        <v>0</v>
      </c>
      <c r="AB72" s="25">
        <f>IF(B72="","",COUNTIFS(Appointments!$G$5:$G$1204,A72,Appointments!$M$5:$M$1204,"Completed"))</f>
        <v>0</v>
      </c>
      <c r="AC72" s="25">
        <f>IF(B72="","",SUMIFS(Sales!$K$5:$K$1204,Sales!$I$5:$I$1204,A72,Sales!$H$5:$H$1204,"Service"))</f>
        <v>0</v>
      </c>
      <c r="AD72" s="26">
        <f>IF(B72="","",ROUND(SUMIFS(Sales!$Y$5:$Y$1204,Sales!$I$5:$I$1204,A72,Sales!$H$5:$H$1204,"Service"),2))</f>
        <v>0</v>
      </c>
      <c r="AE72" s="27">
        <f>IF(B72="","",IF(ServiceRevenueAll=0,"",AD72/ServiceRevenueAll))</f>
        <v>0</v>
      </c>
      <c r="AF72" s="26">
        <f>IF(B72="","",ROUND(AC72*T72,2))</f>
        <v>0</v>
      </c>
      <c r="AG72" s="37">
        <f>IF(B72="","",ROUND(AC72*P72,1))</f>
        <v>0</v>
      </c>
      <c r="AH72" s="27">
        <f>IF(B72="","",IF(AB72=0,"",COUNTIFS(Sales!$I$5:$I$1204,A72,Sales!$AJ$5:$AJ$1204,"Yes")/AB72))</f>
        <v>0</v>
      </c>
      <c r="AI72" s="17">
        <f>IF(B72="","",IFERROR(IF(COUNTIFS(Appointments!$G$5:$G$1204,A72)=0,"",SUMPRODUCT(MAX((Appointments!$G$5:$G$1204=A72)*IFERROR(Appointments!$B$5:$B$1204*1,0)))),""))</f>
        <v>0</v>
      </c>
      <c r="AJ72" s="25">
        <f>IF(B72="","",COUNTIFS($AD$5:$AD$204,"&gt;"&amp;AD72)+COUNTIFS($AD$5:AD72,AD72))</f>
        <v>0</v>
      </c>
      <c r="AK72" s="25">
        <f>IF(B72="","",COUNTIFS($W$5:$W$204,"&gt;"&amp;W72)+COUNTIFS($W$5:W72,W72))</f>
        <v>0</v>
      </c>
      <c r="AL72" s="25">
        <f>IF(B72="","",COUNTIFS($AB$5:$AB$204,"&gt;"&amp;AB72)+COUNTIFS($AB$5:AB72,AB72))</f>
        <v>0</v>
      </c>
      <c r="AM72" s="39">
        <f>IF(B72="","",IF(G72="","Add - no price yet",IF(E72="","Add - how long does it take?",IF(T72&lt;0,"Loss - this service costs you money",IF(V72&lt;TargetChairRate*0.7,"Check - well under your chair rate",IF(IF(N72="",FALSE,TodayDate-N72&gt;PriceReviewDays),"Due - price has not been reviewed",IF(IF(M72="Active",AB72=0,FALSE),"Check - on the menu but never booked","OK")))))))</f>
        <v>0</v>
      </c>
    </row>
    <row r="73" spans="1:39">
      <c r="A73" s="28">
        <f>IF(B73="","",ServicePrefix&amp;TEXT(ROW()-4,"000"))</f>
        <v>0</v>
      </c>
      <c r="P73" s="42">
        <f>IF(B73="","",ROUND((IF(E73="",0,E73)+IF(F73="",0,F73))/60,3))</f>
        <v>0</v>
      </c>
      <c r="Q73" s="26">
        <f>IF(B73="","",IF(H73&lt;&gt;"",H73,IF(G73="",0,ROUND(G73*ProductCostPercent,2))))</f>
        <v>0</v>
      </c>
      <c r="R73" s="26">
        <f>IF(B73="","",IF(J73="No",0,IF(G73="",0,ROUND(G73*ServiceCommission,2))))</f>
        <v>0</v>
      </c>
      <c r="S73" s="26">
        <f>IF(B73="","",ROUND(Q73+R73,2))</f>
        <v>0</v>
      </c>
      <c r="T73" s="26">
        <f>IF(B73="","",IF(G73="","",ROUND(G73-S73,2)))</f>
        <v>0</v>
      </c>
      <c r="U73" s="27">
        <f>IF(B73="","",IF(G73="","",IF(G73=0,"",T73/G73)))</f>
        <v>0</v>
      </c>
      <c r="V73" s="26">
        <f>IF(B73="","",IF(G73="","",IF(P73=0,"",ROUND(G73/P73,2))))</f>
        <v>0</v>
      </c>
      <c r="W73" s="26">
        <f>IF(B73="","",IF(T73="","",IF(P73=0,"",ROUND(T73/P73,2))))</f>
        <v>0</v>
      </c>
      <c r="X73" s="26">
        <f>IF(B73="","",IF(P73=0,"",IF(ServiceCommission&gt;=1,"",(Q73+TargetChairRate*P73)/IF(J73="No",1,1-ServiceCommission))))</f>
        <v>0</v>
      </c>
      <c r="Y73" s="26">
        <f>IF(B73="","",IF(X73="","",ROUND(IF(RoundingRule="None",X73,IF(RoundingRule="Nearest 0.99",MAX(0.99,CEILING(X73,1)-0.01),IF(RoundingRule="Nearest 0.95",MAX(0.95,CEILING(X73,1)-0.05),IF(RoundingRule="Nearest 0.50",CEILING(X73,0.5),IF(RoundingRule="Nearest 1",CEILING(X73,1),IF(RoundingRule="Nearest 5",CEILING(X73,5),IF(RoundingRule="Up to whole 1",CEILING(X73,1),IF(RoundingRule="Up to whole 5",CEILING(X73,5),ROUND(X73,2))))))))),2)))</f>
        <v>0</v>
      </c>
      <c r="Z73" s="26">
        <f>IF(B73="","",IF(Y73="","",IF(G73="","",ROUND(G73-Y73,2))))</f>
        <v>0</v>
      </c>
      <c r="AA73" s="25">
        <f>IF(B73="","",COUNTIFS(Appointments!$G$5:$G$1204,A73))</f>
        <v>0</v>
      </c>
      <c r="AB73" s="25">
        <f>IF(B73="","",COUNTIFS(Appointments!$G$5:$G$1204,A73,Appointments!$M$5:$M$1204,"Completed"))</f>
        <v>0</v>
      </c>
      <c r="AC73" s="25">
        <f>IF(B73="","",SUMIFS(Sales!$K$5:$K$1204,Sales!$I$5:$I$1204,A73,Sales!$H$5:$H$1204,"Service"))</f>
        <v>0</v>
      </c>
      <c r="AD73" s="26">
        <f>IF(B73="","",ROUND(SUMIFS(Sales!$Y$5:$Y$1204,Sales!$I$5:$I$1204,A73,Sales!$H$5:$H$1204,"Service"),2))</f>
        <v>0</v>
      </c>
      <c r="AE73" s="27">
        <f>IF(B73="","",IF(ServiceRevenueAll=0,"",AD73/ServiceRevenueAll))</f>
        <v>0</v>
      </c>
      <c r="AF73" s="26">
        <f>IF(B73="","",ROUND(AC73*T73,2))</f>
        <v>0</v>
      </c>
      <c r="AG73" s="37">
        <f>IF(B73="","",ROUND(AC73*P73,1))</f>
        <v>0</v>
      </c>
      <c r="AH73" s="27">
        <f>IF(B73="","",IF(AB73=0,"",COUNTIFS(Sales!$I$5:$I$1204,A73,Sales!$AJ$5:$AJ$1204,"Yes")/AB73))</f>
        <v>0</v>
      </c>
      <c r="AI73" s="17">
        <f>IF(B73="","",IFERROR(IF(COUNTIFS(Appointments!$G$5:$G$1204,A73)=0,"",SUMPRODUCT(MAX((Appointments!$G$5:$G$1204=A73)*IFERROR(Appointments!$B$5:$B$1204*1,0)))),""))</f>
        <v>0</v>
      </c>
      <c r="AJ73" s="25">
        <f>IF(B73="","",COUNTIFS($AD$5:$AD$204,"&gt;"&amp;AD73)+COUNTIFS($AD$5:AD73,AD73))</f>
        <v>0</v>
      </c>
      <c r="AK73" s="25">
        <f>IF(B73="","",COUNTIFS($W$5:$W$204,"&gt;"&amp;W73)+COUNTIFS($W$5:W73,W73))</f>
        <v>0</v>
      </c>
      <c r="AL73" s="25">
        <f>IF(B73="","",COUNTIFS($AB$5:$AB$204,"&gt;"&amp;AB73)+COUNTIFS($AB$5:AB73,AB73))</f>
        <v>0</v>
      </c>
      <c r="AM73" s="39">
        <f>IF(B73="","",IF(G73="","Add - no price yet",IF(E73="","Add - how long does it take?",IF(T73&lt;0,"Loss - this service costs you money",IF(V73&lt;TargetChairRate*0.7,"Check - well under your chair rate",IF(IF(N73="",FALSE,TodayDate-N73&gt;PriceReviewDays),"Due - price has not been reviewed",IF(IF(M73="Active",AB73=0,FALSE),"Check - on the menu but never booked","OK")))))))</f>
        <v>0</v>
      </c>
    </row>
    <row r="74" spans="1:39">
      <c r="A74" s="28">
        <f>IF(B74="","",ServicePrefix&amp;TEXT(ROW()-4,"000"))</f>
        <v>0</v>
      </c>
      <c r="P74" s="42">
        <f>IF(B74="","",ROUND((IF(E74="",0,E74)+IF(F74="",0,F74))/60,3))</f>
        <v>0</v>
      </c>
      <c r="Q74" s="26">
        <f>IF(B74="","",IF(H74&lt;&gt;"",H74,IF(G74="",0,ROUND(G74*ProductCostPercent,2))))</f>
        <v>0</v>
      </c>
      <c r="R74" s="26">
        <f>IF(B74="","",IF(J74="No",0,IF(G74="",0,ROUND(G74*ServiceCommission,2))))</f>
        <v>0</v>
      </c>
      <c r="S74" s="26">
        <f>IF(B74="","",ROUND(Q74+R74,2))</f>
        <v>0</v>
      </c>
      <c r="T74" s="26">
        <f>IF(B74="","",IF(G74="","",ROUND(G74-S74,2)))</f>
        <v>0</v>
      </c>
      <c r="U74" s="27">
        <f>IF(B74="","",IF(G74="","",IF(G74=0,"",T74/G74)))</f>
        <v>0</v>
      </c>
      <c r="V74" s="26">
        <f>IF(B74="","",IF(G74="","",IF(P74=0,"",ROUND(G74/P74,2))))</f>
        <v>0</v>
      </c>
      <c r="W74" s="26">
        <f>IF(B74="","",IF(T74="","",IF(P74=0,"",ROUND(T74/P74,2))))</f>
        <v>0</v>
      </c>
      <c r="X74" s="26">
        <f>IF(B74="","",IF(P74=0,"",IF(ServiceCommission&gt;=1,"",(Q74+TargetChairRate*P74)/IF(J74="No",1,1-ServiceCommission))))</f>
        <v>0</v>
      </c>
      <c r="Y74" s="26">
        <f>IF(B74="","",IF(X74="","",ROUND(IF(RoundingRule="None",X74,IF(RoundingRule="Nearest 0.99",MAX(0.99,CEILING(X74,1)-0.01),IF(RoundingRule="Nearest 0.95",MAX(0.95,CEILING(X74,1)-0.05),IF(RoundingRule="Nearest 0.50",CEILING(X74,0.5),IF(RoundingRule="Nearest 1",CEILING(X74,1),IF(RoundingRule="Nearest 5",CEILING(X74,5),IF(RoundingRule="Up to whole 1",CEILING(X74,1),IF(RoundingRule="Up to whole 5",CEILING(X74,5),ROUND(X74,2))))))))),2)))</f>
        <v>0</v>
      </c>
      <c r="Z74" s="26">
        <f>IF(B74="","",IF(Y74="","",IF(G74="","",ROUND(G74-Y74,2))))</f>
        <v>0</v>
      </c>
      <c r="AA74" s="25">
        <f>IF(B74="","",COUNTIFS(Appointments!$G$5:$G$1204,A74))</f>
        <v>0</v>
      </c>
      <c r="AB74" s="25">
        <f>IF(B74="","",COUNTIFS(Appointments!$G$5:$G$1204,A74,Appointments!$M$5:$M$1204,"Completed"))</f>
        <v>0</v>
      </c>
      <c r="AC74" s="25">
        <f>IF(B74="","",SUMIFS(Sales!$K$5:$K$1204,Sales!$I$5:$I$1204,A74,Sales!$H$5:$H$1204,"Service"))</f>
        <v>0</v>
      </c>
      <c r="AD74" s="26">
        <f>IF(B74="","",ROUND(SUMIFS(Sales!$Y$5:$Y$1204,Sales!$I$5:$I$1204,A74,Sales!$H$5:$H$1204,"Service"),2))</f>
        <v>0</v>
      </c>
      <c r="AE74" s="27">
        <f>IF(B74="","",IF(ServiceRevenueAll=0,"",AD74/ServiceRevenueAll))</f>
        <v>0</v>
      </c>
      <c r="AF74" s="26">
        <f>IF(B74="","",ROUND(AC74*T74,2))</f>
        <v>0</v>
      </c>
      <c r="AG74" s="37">
        <f>IF(B74="","",ROUND(AC74*P74,1))</f>
        <v>0</v>
      </c>
      <c r="AH74" s="27">
        <f>IF(B74="","",IF(AB74=0,"",COUNTIFS(Sales!$I$5:$I$1204,A74,Sales!$AJ$5:$AJ$1204,"Yes")/AB74))</f>
        <v>0</v>
      </c>
      <c r="AI74" s="17">
        <f>IF(B74="","",IFERROR(IF(COUNTIFS(Appointments!$G$5:$G$1204,A74)=0,"",SUMPRODUCT(MAX((Appointments!$G$5:$G$1204=A74)*IFERROR(Appointments!$B$5:$B$1204*1,0)))),""))</f>
        <v>0</v>
      </c>
      <c r="AJ74" s="25">
        <f>IF(B74="","",COUNTIFS($AD$5:$AD$204,"&gt;"&amp;AD74)+COUNTIFS($AD$5:AD74,AD74))</f>
        <v>0</v>
      </c>
      <c r="AK74" s="25">
        <f>IF(B74="","",COUNTIFS($W$5:$W$204,"&gt;"&amp;W74)+COUNTIFS($W$5:W74,W74))</f>
        <v>0</v>
      </c>
      <c r="AL74" s="25">
        <f>IF(B74="","",COUNTIFS($AB$5:$AB$204,"&gt;"&amp;AB74)+COUNTIFS($AB$5:AB74,AB74))</f>
        <v>0</v>
      </c>
      <c r="AM74" s="39">
        <f>IF(B74="","",IF(G74="","Add - no price yet",IF(E74="","Add - how long does it take?",IF(T74&lt;0,"Loss - this service costs you money",IF(V74&lt;TargetChairRate*0.7,"Check - well under your chair rate",IF(IF(N74="",FALSE,TodayDate-N74&gt;PriceReviewDays),"Due - price has not been reviewed",IF(IF(M74="Active",AB74=0,FALSE),"Check - on the menu but never booked","OK")))))))</f>
        <v>0</v>
      </c>
    </row>
    <row r="75" spans="1:39">
      <c r="A75" s="28">
        <f>IF(B75="","",ServicePrefix&amp;TEXT(ROW()-4,"000"))</f>
        <v>0</v>
      </c>
      <c r="P75" s="42">
        <f>IF(B75="","",ROUND((IF(E75="",0,E75)+IF(F75="",0,F75))/60,3))</f>
        <v>0</v>
      </c>
      <c r="Q75" s="26">
        <f>IF(B75="","",IF(H75&lt;&gt;"",H75,IF(G75="",0,ROUND(G75*ProductCostPercent,2))))</f>
        <v>0</v>
      </c>
      <c r="R75" s="26">
        <f>IF(B75="","",IF(J75="No",0,IF(G75="",0,ROUND(G75*ServiceCommission,2))))</f>
        <v>0</v>
      </c>
      <c r="S75" s="26">
        <f>IF(B75="","",ROUND(Q75+R75,2))</f>
        <v>0</v>
      </c>
      <c r="T75" s="26">
        <f>IF(B75="","",IF(G75="","",ROUND(G75-S75,2)))</f>
        <v>0</v>
      </c>
      <c r="U75" s="27">
        <f>IF(B75="","",IF(G75="","",IF(G75=0,"",T75/G75)))</f>
        <v>0</v>
      </c>
      <c r="V75" s="26">
        <f>IF(B75="","",IF(G75="","",IF(P75=0,"",ROUND(G75/P75,2))))</f>
        <v>0</v>
      </c>
      <c r="W75" s="26">
        <f>IF(B75="","",IF(T75="","",IF(P75=0,"",ROUND(T75/P75,2))))</f>
        <v>0</v>
      </c>
      <c r="X75" s="26">
        <f>IF(B75="","",IF(P75=0,"",IF(ServiceCommission&gt;=1,"",(Q75+TargetChairRate*P75)/IF(J75="No",1,1-ServiceCommission))))</f>
        <v>0</v>
      </c>
      <c r="Y75" s="26">
        <f>IF(B75="","",IF(X75="","",ROUND(IF(RoundingRule="None",X75,IF(RoundingRule="Nearest 0.99",MAX(0.99,CEILING(X75,1)-0.01),IF(RoundingRule="Nearest 0.95",MAX(0.95,CEILING(X75,1)-0.05),IF(RoundingRule="Nearest 0.50",CEILING(X75,0.5),IF(RoundingRule="Nearest 1",CEILING(X75,1),IF(RoundingRule="Nearest 5",CEILING(X75,5),IF(RoundingRule="Up to whole 1",CEILING(X75,1),IF(RoundingRule="Up to whole 5",CEILING(X75,5),ROUND(X75,2))))))))),2)))</f>
        <v>0</v>
      </c>
      <c r="Z75" s="26">
        <f>IF(B75="","",IF(Y75="","",IF(G75="","",ROUND(G75-Y75,2))))</f>
        <v>0</v>
      </c>
      <c r="AA75" s="25">
        <f>IF(B75="","",COUNTIFS(Appointments!$G$5:$G$1204,A75))</f>
        <v>0</v>
      </c>
      <c r="AB75" s="25">
        <f>IF(B75="","",COUNTIFS(Appointments!$G$5:$G$1204,A75,Appointments!$M$5:$M$1204,"Completed"))</f>
        <v>0</v>
      </c>
      <c r="AC75" s="25">
        <f>IF(B75="","",SUMIFS(Sales!$K$5:$K$1204,Sales!$I$5:$I$1204,A75,Sales!$H$5:$H$1204,"Service"))</f>
        <v>0</v>
      </c>
      <c r="AD75" s="26">
        <f>IF(B75="","",ROUND(SUMIFS(Sales!$Y$5:$Y$1204,Sales!$I$5:$I$1204,A75,Sales!$H$5:$H$1204,"Service"),2))</f>
        <v>0</v>
      </c>
      <c r="AE75" s="27">
        <f>IF(B75="","",IF(ServiceRevenueAll=0,"",AD75/ServiceRevenueAll))</f>
        <v>0</v>
      </c>
      <c r="AF75" s="26">
        <f>IF(B75="","",ROUND(AC75*T75,2))</f>
        <v>0</v>
      </c>
      <c r="AG75" s="37">
        <f>IF(B75="","",ROUND(AC75*P75,1))</f>
        <v>0</v>
      </c>
      <c r="AH75" s="27">
        <f>IF(B75="","",IF(AB75=0,"",COUNTIFS(Sales!$I$5:$I$1204,A75,Sales!$AJ$5:$AJ$1204,"Yes")/AB75))</f>
        <v>0</v>
      </c>
      <c r="AI75" s="17">
        <f>IF(B75="","",IFERROR(IF(COUNTIFS(Appointments!$G$5:$G$1204,A75)=0,"",SUMPRODUCT(MAX((Appointments!$G$5:$G$1204=A75)*IFERROR(Appointments!$B$5:$B$1204*1,0)))),""))</f>
        <v>0</v>
      </c>
      <c r="AJ75" s="25">
        <f>IF(B75="","",COUNTIFS($AD$5:$AD$204,"&gt;"&amp;AD75)+COUNTIFS($AD$5:AD75,AD75))</f>
        <v>0</v>
      </c>
      <c r="AK75" s="25">
        <f>IF(B75="","",COUNTIFS($W$5:$W$204,"&gt;"&amp;W75)+COUNTIFS($W$5:W75,W75))</f>
        <v>0</v>
      </c>
      <c r="AL75" s="25">
        <f>IF(B75="","",COUNTIFS($AB$5:$AB$204,"&gt;"&amp;AB75)+COUNTIFS($AB$5:AB75,AB75))</f>
        <v>0</v>
      </c>
      <c r="AM75" s="39">
        <f>IF(B75="","",IF(G75="","Add - no price yet",IF(E75="","Add - how long does it take?",IF(T75&lt;0,"Loss - this service costs you money",IF(V75&lt;TargetChairRate*0.7,"Check - well under your chair rate",IF(IF(N75="",FALSE,TodayDate-N75&gt;PriceReviewDays),"Due - price has not been reviewed",IF(IF(M75="Active",AB75=0,FALSE),"Check - on the menu but never booked","OK")))))))</f>
        <v>0</v>
      </c>
    </row>
    <row r="76" spans="1:39">
      <c r="A76" s="28">
        <f>IF(B76="","",ServicePrefix&amp;TEXT(ROW()-4,"000"))</f>
        <v>0</v>
      </c>
      <c r="P76" s="42">
        <f>IF(B76="","",ROUND((IF(E76="",0,E76)+IF(F76="",0,F76))/60,3))</f>
        <v>0</v>
      </c>
      <c r="Q76" s="26">
        <f>IF(B76="","",IF(H76&lt;&gt;"",H76,IF(G76="",0,ROUND(G76*ProductCostPercent,2))))</f>
        <v>0</v>
      </c>
      <c r="R76" s="26">
        <f>IF(B76="","",IF(J76="No",0,IF(G76="",0,ROUND(G76*ServiceCommission,2))))</f>
        <v>0</v>
      </c>
      <c r="S76" s="26">
        <f>IF(B76="","",ROUND(Q76+R76,2))</f>
        <v>0</v>
      </c>
      <c r="T76" s="26">
        <f>IF(B76="","",IF(G76="","",ROUND(G76-S76,2)))</f>
        <v>0</v>
      </c>
      <c r="U76" s="27">
        <f>IF(B76="","",IF(G76="","",IF(G76=0,"",T76/G76)))</f>
        <v>0</v>
      </c>
      <c r="V76" s="26">
        <f>IF(B76="","",IF(G76="","",IF(P76=0,"",ROUND(G76/P76,2))))</f>
        <v>0</v>
      </c>
      <c r="W76" s="26">
        <f>IF(B76="","",IF(T76="","",IF(P76=0,"",ROUND(T76/P76,2))))</f>
        <v>0</v>
      </c>
      <c r="X76" s="26">
        <f>IF(B76="","",IF(P76=0,"",IF(ServiceCommission&gt;=1,"",(Q76+TargetChairRate*P76)/IF(J76="No",1,1-ServiceCommission))))</f>
        <v>0</v>
      </c>
      <c r="Y76" s="26">
        <f>IF(B76="","",IF(X76="","",ROUND(IF(RoundingRule="None",X76,IF(RoundingRule="Nearest 0.99",MAX(0.99,CEILING(X76,1)-0.01),IF(RoundingRule="Nearest 0.95",MAX(0.95,CEILING(X76,1)-0.05),IF(RoundingRule="Nearest 0.50",CEILING(X76,0.5),IF(RoundingRule="Nearest 1",CEILING(X76,1),IF(RoundingRule="Nearest 5",CEILING(X76,5),IF(RoundingRule="Up to whole 1",CEILING(X76,1),IF(RoundingRule="Up to whole 5",CEILING(X76,5),ROUND(X76,2))))))))),2)))</f>
        <v>0</v>
      </c>
      <c r="Z76" s="26">
        <f>IF(B76="","",IF(Y76="","",IF(G76="","",ROUND(G76-Y76,2))))</f>
        <v>0</v>
      </c>
      <c r="AA76" s="25">
        <f>IF(B76="","",COUNTIFS(Appointments!$G$5:$G$1204,A76))</f>
        <v>0</v>
      </c>
      <c r="AB76" s="25">
        <f>IF(B76="","",COUNTIFS(Appointments!$G$5:$G$1204,A76,Appointments!$M$5:$M$1204,"Completed"))</f>
        <v>0</v>
      </c>
      <c r="AC76" s="25">
        <f>IF(B76="","",SUMIFS(Sales!$K$5:$K$1204,Sales!$I$5:$I$1204,A76,Sales!$H$5:$H$1204,"Service"))</f>
        <v>0</v>
      </c>
      <c r="AD76" s="26">
        <f>IF(B76="","",ROUND(SUMIFS(Sales!$Y$5:$Y$1204,Sales!$I$5:$I$1204,A76,Sales!$H$5:$H$1204,"Service"),2))</f>
        <v>0</v>
      </c>
      <c r="AE76" s="27">
        <f>IF(B76="","",IF(ServiceRevenueAll=0,"",AD76/ServiceRevenueAll))</f>
        <v>0</v>
      </c>
      <c r="AF76" s="26">
        <f>IF(B76="","",ROUND(AC76*T76,2))</f>
        <v>0</v>
      </c>
      <c r="AG76" s="37">
        <f>IF(B76="","",ROUND(AC76*P76,1))</f>
        <v>0</v>
      </c>
      <c r="AH76" s="27">
        <f>IF(B76="","",IF(AB76=0,"",COUNTIFS(Sales!$I$5:$I$1204,A76,Sales!$AJ$5:$AJ$1204,"Yes")/AB76))</f>
        <v>0</v>
      </c>
      <c r="AI76" s="17">
        <f>IF(B76="","",IFERROR(IF(COUNTIFS(Appointments!$G$5:$G$1204,A76)=0,"",SUMPRODUCT(MAX((Appointments!$G$5:$G$1204=A76)*IFERROR(Appointments!$B$5:$B$1204*1,0)))),""))</f>
        <v>0</v>
      </c>
      <c r="AJ76" s="25">
        <f>IF(B76="","",COUNTIFS($AD$5:$AD$204,"&gt;"&amp;AD76)+COUNTIFS($AD$5:AD76,AD76))</f>
        <v>0</v>
      </c>
      <c r="AK76" s="25">
        <f>IF(B76="","",COUNTIFS($W$5:$W$204,"&gt;"&amp;W76)+COUNTIFS($W$5:W76,W76))</f>
        <v>0</v>
      </c>
      <c r="AL76" s="25">
        <f>IF(B76="","",COUNTIFS($AB$5:$AB$204,"&gt;"&amp;AB76)+COUNTIFS($AB$5:AB76,AB76))</f>
        <v>0</v>
      </c>
      <c r="AM76" s="39">
        <f>IF(B76="","",IF(G76="","Add - no price yet",IF(E76="","Add - how long does it take?",IF(T76&lt;0,"Loss - this service costs you money",IF(V76&lt;TargetChairRate*0.7,"Check - well under your chair rate",IF(IF(N76="",FALSE,TodayDate-N76&gt;PriceReviewDays),"Due - price has not been reviewed",IF(IF(M76="Active",AB76=0,FALSE),"Check - on the menu but never booked","OK")))))))</f>
        <v>0</v>
      </c>
    </row>
    <row r="77" spans="1:39">
      <c r="A77" s="28">
        <f>IF(B77="","",ServicePrefix&amp;TEXT(ROW()-4,"000"))</f>
        <v>0</v>
      </c>
      <c r="P77" s="42">
        <f>IF(B77="","",ROUND((IF(E77="",0,E77)+IF(F77="",0,F77))/60,3))</f>
        <v>0</v>
      </c>
      <c r="Q77" s="26">
        <f>IF(B77="","",IF(H77&lt;&gt;"",H77,IF(G77="",0,ROUND(G77*ProductCostPercent,2))))</f>
        <v>0</v>
      </c>
      <c r="R77" s="26">
        <f>IF(B77="","",IF(J77="No",0,IF(G77="",0,ROUND(G77*ServiceCommission,2))))</f>
        <v>0</v>
      </c>
      <c r="S77" s="26">
        <f>IF(B77="","",ROUND(Q77+R77,2))</f>
        <v>0</v>
      </c>
      <c r="T77" s="26">
        <f>IF(B77="","",IF(G77="","",ROUND(G77-S77,2)))</f>
        <v>0</v>
      </c>
      <c r="U77" s="27">
        <f>IF(B77="","",IF(G77="","",IF(G77=0,"",T77/G77)))</f>
        <v>0</v>
      </c>
      <c r="V77" s="26">
        <f>IF(B77="","",IF(G77="","",IF(P77=0,"",ROUND(G77/P77,2))))</f>
        <v>0</v>
      </c>
      <c r="W77" s="26">
        <f>IF(B77="","",IF(T77="","",IF(P77=0,"",ROUND(T77/P77,2))))</f>
        <v>0</v>
      </c>
      <c r="X77" s="26">
        <f>IF(B77="","",IF(P77=0,"",IF(ServiceCommission&gt;=1,"",(Q77+TargetChairRate*P77)/IF(J77="No",1,1-ServiceCommission))))</f>
        <v>0</v>
      </c>
      <c r="Y77" s="26">
        <f>IF(B77="","",IF(X77="","",ROUND(IF(RoundingRule="None",X77,IF(RoundingRule="Nearest 0.99",MAX(0.99,CEILING(X77,1)-0.01),IF(RoundingRule="Nearest 0.95",MAX(0.95,CEILING(X77,1)-0.05),IF(RoundingRule="Nearest 0.50",CEILING(X77,0.5),IF(RoundingRule="Nearest 1",CEILING(X77,1),IF(RoundingRule="Nearest 5",CEILING(X77,5),IF(RoundingRule="Up to whole 1",CEILING(X77,1),IF(RoundingRule="Up to whole 5",CEILING(X77,5),ROUND(X77,2))))))))),2)))</f>
        <v>0</v>
      </c>
      <c r="Z77" s="26">
        <f>IF(B77="","",IF(Y77="","",IF(G77="","",ROUND(G77-Y77,2))))</f>
        <v>0</v>
      </c>
      <c r="AA77" s="25">
        <f>IF(B77="","",COUNTIFS(Appointments!$G$5:$G$1204,A77))</f>
        <v>0</v>
      </c>
      <c r="AB77" s="25">
        <f>IF(B77="","",COUNTIFS(Appointments!$G$5:$G$1204,A77,Appointments!$M$5:$M$1204,"Completed"))</f>
        <v>0</v>
      </c>
      <c r="AC77" s="25">
        <f>IF(B77="","",SUMIFS(Sales!$K$5:$K$1204,Sales!$I$5:$I$1204,A77,Sales!$H$5:$H$1204,"Service"))</f>
        <v>0</v>
      </c>
      <c r="AD77" s="26">
        <f>IF(B77="","",ROUND(SUMIFS(Sales!$Y$5:$Y$1204,Sales!$I$5:$I$1204,A77,Sales!$H$5:$H$1204,"Service"),2))</f>
        <v>0</v>
      </c>
      <c r="AE77" s="27">
        <f>IF(B77="","",IF(ServiceRevenueAll=0,"",AD77/ServiceRevenueAll))</f>
        <v>0</v>
      </c>
      <c r="AF77" s="26">
        <f>IF(B77="","",ROUND(AC77*T77,2))</f>
        <v>0</v>
      </c>
      <c r="AG77" s="37">
        <f>IF(B77="","",ROUND(AC77*P77,1))</f>
        <v>0</v>
      </c>
      <c r="AH77" s="27">
        <f>IF(B77="","",IF(AB77=0,"",COUNTIFS(Sales!$I$5:$I$1204,A77,Sales!$AJ$5:$AJ$1204,"Yes")/AB77))</f>
        <v>0</v>
      </c>
      <c r="AI77" s="17">
        <f>IF(B77="","",IFERROR(IF(COUNTIFS(Appointments!$G$5:$G$1204,A77)=0,"",SUMPRODUCT(MAX((Appointments!$G$5:$G$1204=A77)*IFERROR(Appointments!$B$5:$B$1204*1,0)))),""))</f>
        <v>0</v>
      </c>
      <c r="AJ77" s="25">
        <f>IF(B77="","",COUNTIFS($AD$5:$AD$204,"&gt;"&amp;AD77)+COUNTIFS($AD$5:AD77,AD77))</f>
        <v>0</v>
      </c>
      <c r="AK77" s="25">
        <f>IF(B77="","",COUNTIFS($W$5:$W$204,"&gt;"&amp;W77)+COUNTIFS($W$5:W77,W77))</f>
        <v>0</v>
      </c>
      <c r="AL77" s="25">
        <f>IF(B77="","",COUNTIFS($AB$5:$AB$204,"&gt;"&amp;AB77)+COUNTIFS($AB$5:AB77,AB77))</f>
        <v>0</v>
      </c>
      <c r="AM77" s="39">
        <f>IF(B77="","",IF(G77="","Add - no price yet",IF(E77="","Add - how long does it take?",IF(T77&lt;0,"Loss - this service costs you money",IF(V77&lt;TargetChairRate*0.7,"Check - well under your chair rate",IF(IF(N77="",FALSE,TodayDate-N77&gt;PriceReviewDays),"Due - price has not been reviewed",IF(IF(M77="Active",AB77=0,FALSE),"Check - on the menu but never booked","OK")))))))</f>
        <v>0</v>
      </c>
    </row>
    <row r="78" spans="1:39">
      <c r="A78" s="28">
        <f>IF(B78="","",ServicePrefix&amp;TEXT(ROW()-4,"000"))</f>
        <v>0</v>
      </c>
      <c r="P78" s="42">
        <f>IF(B78="","",ROUND((IF(E78="",0,E78)+IF(F78="",0,F78))/60,3))</f>
        <v>0</v>
      </c>
      <c r="Q78" s="26">
        <f>IF(B78="","",IF(H78&lt;&gt;"",H78,IF(G78="",0,ROUND(G78*ProductCostPercent,2))))</f>
        <v>0</v>
      </c>
      <c r="R78" s="26">
        <f>IF(B78="","",IF(J78="No",0,IF(G78="",0,ROUND(G78*ServiceCommission,2))))</f>
        <v>0</v>
      </c>
      <c r="S78" s="26">
        <f>IF(B78="","",ROUND(Q78+R78,2))</f>
        <v>0</v>
      </c>
      <c r="T78" s="26">
        <f>IF(B78="","",IF(G78="","",ROUND(G78-S78,2)))</f>
        <v>0</v>
      </c>
      <c r="U78" s="27">
        <f>IF(B78="","",IF(G78="","",IF(G78=0,"",T78/G78)))</f>
        <v>0</v>
      </c>
      <c r="V78" s="26">
        <f>IF(B78="","",IF(G78="","",IF(P78=0,"",ROUND(G78/P78,2))))</f>
        <v>0</v>
      </c>
      <c r="W78" s="26">
        <f>IF(B78="","",IF(T78="","",IF(P78=0,"",ROUND(T78/P78,2))))</f>
        <v>0</v>
      </c>
      <c r="X78" s="26">
        <f>IF(B78="","",IF(P78=0,"",IF(ServiceCommission&gt;=1,"",(Q78+TargetChairRate*P78)/IF(J78="No",1,1-ServiceCommission))))</f>
        <v>0</v>
      </c>
      <c r="Y78" s="26">
        <f>IF(B78="","",IF(X78="","",ROUND(IF(RoundingRule="None",X78,IF(RoundingRule="Nearest 0.99",MAX(0.99,CEILING(X78,1)-0.01),IF(RoundingRule="Nearest 0.95",MAX(0.95,CEILING(X78,1)-0.05),IF(RoundingRule="Nearest 0.50",CEILING(X78,0.5),IF(RoundingRule="Nearest 1",CEILING(X78,1),IF(RoundingRule="Nearest 5",CEILING(X78,5),IF(RoundingRule="Up to whole 1",CEILING(X78,1),IF(RoundingRule="Up to whole 5",CEILING(X78,5),ROUND(X78,2))))))))),2)))</f>
        <v>0</v>
      </c>
      <c r="Z78" s="26">
        <f>IF(B78="","",IF(Y78="","",IF(G78="","",ROUND(G78-Y78,2))))</f>
        <v>0</v>
      </c>
      <c r="AA78" s="25">
        <f>IF(B78="","",COUNTIFS(Appointments!$G$5:$G$1204,A78))</f>
        <v>0</v>
      </c>
      <c r="AB78" s="25">
        <f>IF(B78="","",COUNTIFS(Appointments!$G$5:$G$1204,A78,Appointments!$M$5:$M$1204,"Completed"))</f>
        <v>0</v>
      </c>
      <c r="AC78" s="25">
        <f>IF(B78="","",SUMIFS(Sales!$K$5:$K$1204,Sales!$I$5:$I$1204,A78,Sales!$H$5:$H$1204,"Service"))</f>
        <v>0</v>
      </c>
      <c r="AD78" s="26">
        <f>IF(B78="","",ROUND(SUMIFS(Sales!$Y$5:$Y$1204,Sales!$I$5:$I$1204,A78,Sales!$H$5:$H$1204,"Service"),2))</f>
        <v>0</v>
      </c>
      <c r="AE78" s="27">
        <f>IF(B78="","",IF(ServiceRevenueAll=0,"",AD78/ServiceRevenueAll))</f>
        <v>0</v>
      </c>
      <c r="AF78" s="26">
        <f>IF(B78="","",ROUND(AC78*T78,2))</f>
        <v>0</v>
      </c>
      <c r="AG78" s="37">
        <f>IF(B78="","",ROUND(AC78*P78,1))</f>
        <v>0</v>
      </c>
      <c r="AH78" s="27">
        <f>IF(B78="","",IF(AB78=0,"",COUNTIFS(Sales!$I$5:$I$1204,A78,Sales!$AJ$5:$AJ$1204,"Yes")/AB78))</f>
        <v>0</v>
      </c>
      <c r="AI78" s="17">
        <f>IF(B78="","",IFERROR(IF(COUNTIFS(Appointments!$G$5:$G$1204,A78)=0,"",SUMPRODUCT(MAX((Appointments!$G$5:$G$1204=A78)*IFERROR(Appointments!$B$5:$B$1204*1,0)))),""))</f>
        <v>0</v>
      </c>
      <c r="AJ78" s="25">
        <f>IF(B78="","",COUNTIFS($AD$5:$AD$204,"&gt;"&amp;AD78)+COUNTIFS($AD$5:AD78,AD78))</f>
        <v>0</v>
      </c>
      <c r="AK78" s="25">
        <f>IF(B78="","",COUNTIFS($W$5:$W$204,"&gt;"&amp;W78)+COUNTIFS($W$5:W78,W78))</f>
        <v>0</v>
      </c>
      <c r="AL78" s="25">
        <f>IF(B78="","",COUNTIFS($AB$5:$AB$204,"&gt;"&amp;AB78)+COUNTIFS($AB$5:AB78,AB78))</f>
        <v>0</v>
      </c>
      <c r="AM78" s="39">
        <f>IF(B78="","",IF(G78="","Add - no price yet",IF(E78="","Add - how long does it take?",IF(T78&lt;0,"Loss - this service costs you money",IF(V78&lt;TargetChairRate*0.7,"Check - well under your chair rate",IF(IF(N78="",FALSE,TodayDate-N78&gt;PriceReviewDays),"Due - price has not been reviewed",IF(IF(M78="Active",AB78=0,FALSE),"Check - on the menu but never booked","OK")))))))</f>
        <v>0</v>
      </c>
    </row>
    <row r="79" spans="1:39">
      <c r="A79" s="28">
        <f>IF(B79="","",ServicePrefix&amp;TEXT(ROW()-4,"000"))</f>
        <v>0</v>
      </c>
      <c r="P79" s="42">
        <f>IF(B79="","",ROUND((IF(E79="",0,E79)+IF(F79="",0,F79))/60,3))</f>
        <v>0</v>
      </c>
      <c r="Q79" s="26">
        <f>IF(B79="","",IF(H79&lt;&gt;"",H79,IF(G79="",0,ROUND(G79*ProductCostPercent,2))))</f>
        <v>0</v>
      </c>
      <c r="R79" s="26">
        <f>IF(B79="","",IF(J79="No",0,IF(G79="",0,ROUND(G79*ServiceCommission,2))))</f>
        <v>0</v>
      </c>
      <c r="S79" s="26">
        <f>IF(B79="","",ROUND(Q79+R79,2))</f>
        <v>0</v>
      </c>
      <c r="T79" s="26">
        <f>IF(B79="","",IF(G79="","",ROUND(G79-S79,2)))</f>
        <v>0</v>
      </c>
      <c r="U79" s="27">
        <f>IF(B79="","",IF(G79="","",IF(G79=0,"",T79/G79)))</f>
        <v>0</v>
      </c>
      <c r="V79" s="26">
        <f>IF(B79="","",IF(G79="","",IF(P79=0,"",ROUND(G79/P79,2))))</f>
        <v>0</v>
      </c>
      <c r="W79" s="26">
        <f>IF(B79="","",IF(T79="","",IF(P79=0,"",ROUND(T79/P79,2))))</f>
        <v>0</v>
      </c>
      <c r="X79" s="26">
        <f>IF(B79="","",IF(P79=0,"",IF(ServiceCommission&gt;=1,"",(Q79+TargetChairRate*P79)/IF(J79="No",1,1-ServiceCommission))))</f>
        <v>0</v>
      </c>
      <c r="Y79" s="26">
        <f>IF(B79="","",IF(X79="","",ROUND(IF(RoundingRule="None",X79,IF(RoundingRule="Nearest 0.99",MAX(0.99,CEILING(X79,1)-0.01),IF(RoundingRule="Nearest 0.95",MAX(0.95,CEILING(X79,1)-0.05),IF(RoundingRule="Nearest 0.50",CEILING(X79,0.5),IF(RoundingRule="Nearest 1",CEILING(X79,1),IF(RoundingRule="Nearest 5",CEILING(X79,5),IF(RoundingRule="Up to whole 1",CEILING(X79,1),IF(RoundingRule="Up to whole 5",CEILING(X79,5),ROUND(X79,2))))))))),2)))</f>
        <v>0</v>
      </c>
      <c r="Z79" s="26">
        <f>IF(B79="","",IF(Y79="","",IF(G79="","",ROUND(G79-Y79,2))))</f>
        <v>0</v>
      </c>
      <c r="AA79" s="25">
        <f>IF(B79="","",COUNTIFS(Appointments!$G$5:$G$1204,A79))</f>
        <v>0</v>
      </c>
      <c r="AB79" s="25">
        <f>IF(B79="","",COUNTIFS(Appointments!$G$5:$G$1204,A79,Appointments!$M$5:$M$1204,"Completed"))</f>
        <v>0</v>
      </c>
      <c r="AC79" s="25">
        <f>IF(B79="","",SUMIFS(Sales!$K$5:$K$1204,Sales!$I$5:$I$1204,A79,Sales!$H$5:$H$1204,"Service"))</f>
        <v>0</v>
      </c>
      <c r="AD79" s="26">
        <f>IF(B79="","",ROUND(SUMIFS(Sales!$Y$5:$Y$1204,Sales!$I$5:$I$1204,A79,Sales!$H$5:$H$1204,"Service"),2))</f>
        <v>0</v>
      </c>
      <c r="AE79" s="27">
        <f>IF(B79="","",IF(ServiceRevenueAll=0,"",AD79/ServiceRevenueAll))</f>
        <v>0</v>
      </c>
      <c r="AF79" s="26">
        <f>IF(B79="","",ROUND(AC79*T79,2))</f>
        <v>0</v>
      </c>
      <c r="AG79" s="37">
        <f>IF(B79="","",ROUND(AC79*P79,1))</f>
        <v>0</v>
      </c>
      <c r="AH79" s="27">
        <f>IF(B79="","",IF(AB79=0,"",COUNTIFS(Sales!$I$5:$I$1204,A79,Sales!$AJ$5:$AJ$1204,"Yes")/AB79))</f>
        <v>0</v>
      </c>
      <c r="AI79" s="17">
        <f>IF(B79="","",IFERROR(IF(COUNTIFS(Appointments!$G$5:$G$1204,A79)=0,"",SUMPRODUCT(MAX((Appointments!$G$5:$G$1204=A79)*IFERROR(Appointments!$B$5:$B$1204*1,0)))),""))</f>
        <v>0</v>
      </c>
      <c r="AJ79" s="25">
        <f>IF(B79="","",COUNTIFS($AD$5:$AD$204,"&gt;"&amp;AD79)+COUNTIFS($AD$5:AD79,AD79))</f>
        <v>0</v>
      </c>
      <c r="AK79" s="25">
        <f>IF(B79="","",COUNTIFS($W$5:$W$204,"&gt;"&amp;W79)+COUNTIFS($W$5:W79,W79))</f>
        <v>0</v>
      </c>
      <c r="AL79" s="25">
        <f>IF(B79="","",COUNTIFS($AB$5:$AB$204,"&gt;"&amp;AB79)+COUNTIFS($AB$5:AB79,AB79))</f>
        <v>0</v>
      </c>
      <c r="AM79" s="39">
        <f>IF(B79="","",IF(G79="","Add - no price yet",IF(E79="","Add - how long does it take?",IF(T79&lt;0,"Loss - this service costs you money",IF(V79&lt;TargetChairRate*0.7,"Check - well under your chair rate",IF(IF(N79="",FALSE,TodayDate-N79&gt;PriceReviewDays),"Due - price has not been reviewed",IF(IF(M79="Active",AB79=0,FALSE),"Check - on the menu but never booked","OK")))))))</f>
        <v>0</v>
      </c>
    </row>
    <row r="80" spans="1:39">
      <c r="A80" s="28">
        <f>IF(B80="","",ServicePrefix&amp;TEXT(ROW()-4,"000"))</f>
        <v>0</v>
      </c>
      <c r="P80" s="42">
        <f>IF(B80="","",ROUND((IF(E80="",0,E80)+IF(F80="",0,F80))/60,3))</f>
        <v>0</v>
      </c>
      <c r="Q80" s="26">
        <f>IF(B80="","",IF(H80&lt;&gt;"",H80,IF(G80="",0,ROUND(G80*ProductCostPercent,2))))</f>
        <v>0</v>
      </c>
      <c r="R80" s="26">
        <f>IF(B80="","",IF(J80="No",0,IF(G80="",0,ROUND(G80*ServiceCommission,2))))</f>
        <v>0</v>
      </c>
      <c r="S80" s="26">
        <f>IF(B80="","",ROUND(Q80+R80,2))</f>
        <v>0</v>
      </c>
      <c r="T80" s="26">
        <f>IF(B80="","",IF(G80="","",ROUND(G80-S80,2)))</f>
        <v>0</v>
      </c>
      <c r="U80" s="27">
        <f>IF(B80="","",IF(G80="","",IF(G80=0,"",T80/G80)))</f>
        <v>0</v>
      </c>
      <c r="V80" s="26">
        <f>IF(B80="","",IF(G80="","",IF(P80=0,"",ROUND(G80/P80,2))))</f>
        <v>0</v>
      </c>
      <c r="W80" s="26">
        <f>IF(B80="","",IF(T80="","",IF(P80=0,"",ROUND(T80/P80,2))))</f>
        <v>0</v>
      </c>
      <c r="X80" s="26">
        <f>IF(B80="","",IF(P80=0,"",IF(ServiceCommission&gt;=1,"",(Q80+TargetChairRate*P80)/IF(J80="No",1,1-ServiceCommission))))</f>
        <v>0</v>
      </c>
      <c r="Y80" s="26">
        <f>IF(B80="","",IF(X80="","",ROUND(IF(RoundingRule="None",X80,IF(RoundingRule="Nearest 0.99",MAX(0.99,CEILING(X80,1)-0.01),IF(RoundingRule="Nearest 0.95",MAX(0.95,CEILING(X80,1)-0.05),IF(RoundingRule="Nearest 0.50",CEILING(X80,0.5),IF(RoundingRule="Nearest 1",CEILING(X80,1),IF(RoundingRule="Nearest 5",CEILING(X80,5),IF(RoundingRule="Up to whole 1",CEILING(X80,1),IF(RoundingRule="Up to whole 5",CEILING(X80,5),ROUND(X80,2))))))))),2)))</f>
        <v>0</v>
      </c>
      <c r="Z80" s="26">
        <f>IF(B80="","",IF(Y80="","",IF(G80="","",ROUND(G80-Y80,2))))</f>
        <v>0</v>
      </c>
      <c r="AA80" s="25">
        <f>IF(B80="","",COUNTIFS(Appointments!$G$5:$G$1204,A80))</f>
        <v>0</v>
      </c>
      <c r="AB80" s="25">
        <f>IF(B80="","",COUNTIFS(Appointments!$G$5:$G$1204,A80,Appointments!$M$5:$M$1204,"Completed"))</f>
        <v>0</v>
      </c>
      <c r="AC80" s="25">
        <f>IF(B80="","",SUMIFS(Sales!$K$5:$K$1204,Sales!$I$5:$I$1204,A80,Sales!$H$5:$H$1204,"Service"))</f>
        <v>0</v>
      </c>
      <c r="AD80" s="26">
        <f>IF(B80="","",ROUND(SUMIFS(Sales!$Y$5:$Y$1204,Sales!$I$5:$I$1204,A80,Sales!$H$5:$H$1204,"Service"),2))</f>
        <v>0</v>
      </c>
      <c r="AE80" s="27">
        <f>IF(B80="","",IF(ServiceRevenueAll=0,"",AD80/ServiceRevenueAll))</f>
        <v>0</v>
      </c>
      <c r="AF80" s="26">
        <f>IF(B80="","",ROUND(AC80*T80,2))</f>
        <v>0</v>
      </c>
      <c r="AG80" s="37">
        <f>IF(B80="","",ROUND(AC80*P80,1))</f>
        <v>0</v>
      </c>
      <c r="AH80" s="27">
        <f>IF(B80="","",IF(AB80=0,"",COUNTIFS(Sales!$I$5:$I$1204,A80,Sales!$AJ$5:$AJ$1204,"Yes")/AB80))</f>
        <v>0</v>
      </c>
      <c r="AI80" s="17">
        <f>IF(B80="","",IFERROR(IF(COUNTIFS(Appointments!$G$5:$G$1204,A80)=0,"",SUMPRODUCT(MAX((Appointments!$G$5:$G$1204=A80)*IFERROR(Appointments!$B$5:$B$1204*1,0)))),""))</f>
        <v>0</v>
      </c>
      <c r="AJ80" s="25">
        <f>IF(B80="","",COUNTIFS($AD$5:$AD$204,"&gt;"&amp;AD80)+COUNTIFS($AD$5:AD80,AD80))</f>
        <v>0</v>
      </c>
      <c r="AK80" s="25">
        <f>IF(B80="","",COUNTIFS($W$5:$W$204,"&gt;"&amp;W80)+COUNTIFS($W$5:W80,W80))</f>
        <v>0</v>
      </c>
      <c r="AL80" s="25">
        <f>IF(B80="","",COUNTIFS($AB$5:$AB$204,"&gt;"&amp;AB80)+COUNTIFS($AB$5:AB80,AB80))</f>
        <v>0</v>
      </c>
      <c r="AM80" s="39">
        <f>IF(B80="","",IF(G80="","Add - no price yet",IF(E80="","Add - how long does it take?",IF(T80&lt;0,"Loss - this service costs you money",IF(V80&lt;TargetChairRate*0.7,"Check - well under your chair rate",IF(IF(N80="",FALSE,TodayDate-N80&gt;PriceReviewDays),"Due - price has not been reviewed",IF(IF(M80="Active",AB80=0,FALSE),"Check - on the menu but never booked","OK")))))))</f>
        <v>0</v>
      </c>
    </row>
    <row r="81" spans="1:39">
      <c r="A81" s="28">
        <f>IF(B81="","",ServicePrefix&amp;TEXT(ROW()-4,"000"))</f>
        <v>0</v>
      </c>
      <c r="P81" s="42">
        <f>IF(B81="","",ROUND((IF(E81="",0,E81)+IF(F81="",0,F81))/60,3))</f>
        <v>0</v>
      </c>
      <c r="Q81" s="26">
        <f>IF(B81="","",IF(H81&lt;&gt;"",H81,IF(G81="",0,ROUND(G81*ProductCostPercent,2))))</f>
        <v>0</v>
      </c>
      <c r="R81" s="26">
        <f>IF(B81="","",IF(J81="No",0,IF(G81="",0,ROUND(G81*ServiceCommission,2))))</f>
        <v>0</v>
      </c>
      <c r="S81" s="26">
        <f>IF(B81="","",ROUND(Q81+R81,2))</f>
        <v>0</v>
      </c>
      <c r="T81" s="26">
        <f>IF(B81="","",IF(G81="","",ROUND(G81-S81,2)))</f>
        <v>0</v>
      </c>
      <c r="U81" s="27">
        <f>IF(B81="","",IF(G81="","",IF(G81=0,"",T81/G81)))</f>
        <v>0</v>
      </c>
      <c r="V81" s="26">
        <f>IF(B81="","",IF(G81="","",IF(P81=0,"",ROUND(G81/P81,2))))</f>
        <v>0</v>
      </c>
      <c r="W81" s="26">
        <f>IF(B81="","",IF(T81="","",IF(P81=0,"",ROUND(T81/P81,2))))</f>
        <v>0</v>
      </c>
      <c r="X81" s="26">
        <f>IF(B81="","",IF(P81=0,"",IF(ServiceCommission&gt;=1,"",(Q81+TargetChairRate*P81)/IF(J81="No",1,1-ServiceCommission))))</f>
        <v>0</v>
      </c>
      <c r="Y81" s="26">
        <f>IF(B81="","",IF(X81="","",ROUND(IF(RoundingRule="None",X81,IF(RoundingRule="Nearest 0.99",MAX(0.99,CEILING(X81,1)-0.01),IF(RoundingRule="Nearest 0.95",MAX(0.95,CEILING(X81,1)-0.05),IF(RoundingRule="Nearest 0.50",CEILING(X81,0.5),IF(RoundingRule="Nearest 1",CEILING(X81,1),IF(RoundingRule="Nearest 5",CEILING(X81,5),IF(RoundingRule="Up to whole 1",CEILING(X81,1),IF(RoundingRule="Up to whole 5",CEILING(X81,5),ROUND(X81,2))))))))),2)))</f>
        <v>0</v>
      </c>
      <c r="Z81" s="26">
        <f>IF(B81="","",IF(Y81="","",IF(G81="","",ROUND(G81-Y81,2))))</f>
        <v>0</v>
      </c>
      <c r="AA81" s="25">
        <f>IF(B81="","",COUNTIFS(Appointments!$G$5:$G$1204,A81))</f>
        <v>0</v>
      </c>
      <c r="AB81" s="25">
        <f>IF(B81="","",COUNTIFS(Appointments!$G$5:$G$1204,A81,Appointments!$M$5:$M$1204,"Completed"))</f>
        <v>0</v>
      </c>
      <c r="AC81" s="25">
        <f>IF(B81="","",SUMIFS(Sales!$K$5:$K$1204,Sales!$I$5:$I$1204,A81,Sales!$H$5:$H$1204,"Service"))</f>
        <v>0</v>
      </c>
      <c r="AD81" s="26">
        <f>IF(B81="","",ROUND(SUMIFS(Sales!$Y$5:$Y$1204,Sales!$I$5:$I$1204,A81,Sales!$H$5:$H$1204,"Service"),2))</f>
        <v>0</v>
      </c>
      <c r="AE81" s="27">
        <f>IF(B81="","",IF(ServiceRevenueAll=0,"",AD81/ServiceRevenueAll))</f>
        <v>0</v>
      </c>
      <c r="AF81" s="26">
        <f>IF(B81="","",ROUND(AC81*T81,2))</f>
        <v>0</v>
      </c>
      <c r="AG81" s="37">
        <f>IF(B81="","",ROUND(AC81*P81,1))</f>
        <v>0</v>
      </c>
      <c r="AH81" s="27">
        <f>IF(B81="","",IF(AB81=0,"",COUNTIFS(Sales!$I$5:$I$1204,A81,Sales!$AJ$5:$AJ$1204,"Yes")/AB81))</f>
        <v>0</v>
      </c>
      <c r="AI81" s="17">
        <f>IF(B81="","",IFERROR(IF(COUNTIFS(Appointments!$G$5:$G$1204,A81)=0,"",SUMPRODUCT(MAX((Appointments!$G$5:$G$1204=A81)*IFERROR(Appointments!$B$5:$B$1204*1,0)))),""))</f>
        <v>0</v>
      </c>
      <c r="AJ81" s="25">
        <f>IF(B81="","",COUNTIFS($AD$5:$AD$204,"&gt;"&amp;AD81)+COUNTIFS($AD$5:AD81,AD81))</f>
        <v>0</v>
      </c>
      <c r="AK81" s="25">
        <f>IF(B81="","",COUNTIFS($W$5:$W$204,"&gt;"&amp;W81)+COUNTIFS($W$5:W81,W81))</f>
        <v>0</v>
      </c>
      <c r="AL81" s="25">
        <f>IF(B81="","",COUNTIFS($AB$5:$AB$204,"&gt;"&amp;AB81)+COUNTIFS($AB$5:AB81,AB81))</f>
        <v>0</v>
      </c>
      <c r="AM81" s="39">
        <f>IF(B81="","",IF(G81="","Add - no price yet",IF(E81="","Add - how long does it take?",IF(T81&lt;0,"Loss - this service costs you money",IF(V81&lt;TargetChairRate*0.7,"Check - well under your chair rate",IF(IF(N81="",FALSE,TodayDate-N81&gt;PriceReviewDays),"Due - price has not been reviewed",IF(IF(M81="Active",AB81=0,FALSE),"Check - on the menu but never booked","OK")))))))</f>
        <v>0</v>
      </c>
    </row>
    <row r="82" spans="1:39">
      <c r="A82" s="28">
        <f>IF(B82="","",ServicePrefix&amp;TEXT(ROW()-4,"000"))</f>
        <v>0</v>
      </c>
      <c r="P82" s="42">
        <f>IF(B82="","",ROUND((IF(E82="",0,E82)+IF(F82="",0,F82))/60,3))</f>
        <v>0</v>
      </c>
      <c r="Q82" s="26">
        <f>IF(B82="","",IF(H82&lt;&gt;"",H82,IF(G82="",0,ROUND(G82*ProductCostPercent,2))))</f>
        <v>0</v>
      </c>
      <c r="R82" s="26">
        <f>IF(B82="","",IF(J82="No",0,IF(G82="",0,ROUND(G82*ServiceCommission,2))))</f>
        <v>0</v>
      </c>
      <c r="S82" s="26">
        <f>IF(B82="","",ROUND(Q82+R82,2))</f>
        <v>0</v>
      </c>
      <c r="T82" s="26">
        <f>IF(B82="","",IF(G82="","",ROUND(G82-S82,2)))</f>
        <v>0</v>
      </c>
      <c r="U82" s="27">
        <f>IF(B82="","",IF(G82="","",IF(G82=0,"",T82/G82)))</f>
        <v>0</v>
      </c>
      <c r="V82" s="26">
        <f>IF(B82="","",IF(G82="","",IF(P82=0,"",ROUND(G82/P82,2))))</f>
        <v>0</v>
      </c>
      <c r="W82" s="26">
        <f>IF(B82="","",IF(T82="","",IF(P82=0,"",ROUND(T82/P82,2))))</f>
        <v>0</v>
      </c>
      <c r="X82" s="26">
        <f>IF(B82="","",IF(P82=0,"",IF(ServiceCommission&gt;=1,"",(Q82+TargetChairRate*P82)/IF(J82="No",1,1-ServiceCommission))))</f>
        <v>0</v>
      </c>
      <c r="Y82" s="26">
        <f>IF(B82="","",IF(X82="","",ROUND(IF(RoundingRule="None",X82,IF(RoundingRule="Nearest 0.99",MAX(0.99,CEILING(X82,1)-0.01),IF(RoundingRule="Nearest 0.95",MAX(0.95,CEILING(X82,1)-0.05),IF(RoundingRule="Nearest 0.50",CEILING(X82,0.5),IF(RoundingRule="Nearest 1",CEILING(X82,1),IF(RoundingRule="Nearest 5",CEILING(X82,5),IF(RoundingRule="Up to whole 1",CEILING(X82,1),IF(RoundingRule="Up to whole 5",CEILING(X82,5),ROUND(X82,2))))))))),2)))</f>
        <v>0</v>
      </c>
      <c r="Z82" s="26">
        <f>IF(B82="","",IF(Y82="","",IF(G82="","",ROUND(G82-Y82,2))))</f>
        <v>0</v>
      </c>
      <c r="AA82" s="25">
        <f>IF(B82="","",COUNTIFS(Appointments!$G$5:$G$1204,A82))</f>
        <v>0</v>
      </c>
      <c r="AB82" s="25">
        <f>IF(B82="","",COUNTIFS(Appointments!$G$5:$G$1204,A82,Appointments!$M$5:$M$1204,"Completed"))</f>
        <v>0</v>
      </c>
      <c r="AC82" s="25">
        <f>IF(B82="","",SUMIFS(Sales!$K$5:$K$1204,Sales!$I$5:$I$1204,A82,Sales!$H$5:$H$1204,"Service"))</f>
        <v>0</v>
      </c>
      <c r="AD82" s="26">
        <f>IF(B82="","",ROUND(SUMIFS(Sales!$Y$5:$Y$1204,Sales!$I$5:$I$1204,A82,Sales!$H$5:$H$1204,"Service"),2))</f>
        <v>0</v>
      </c>
      <c r="AE82" s="27">
        <f>IF(B82="","",IF(ServiceRevenueAll=0,"",AD82/ServiceRevenueAll))</f>
        <v>0</v>
      </c>
      <c r="AF82" s="26">
        <f>IF(B82="","",ROUND(AC82*T82,2))</f>
        <v>0</v>
      </c>
      <c r="AG82" s="37">
        <f>IF(B82="","",ROUND(AC82*P82,1))</f>
        <v>0</v>
      </c>
      <c r="AH82" s="27">
        <f>IF(B82="","",IF(AB82=0,"",COUNTIFS(Sales!$I$5:$I$1204,A82,Sales!$AJ$5:$AJ$1204,"Yes")/AB82))</f>
        <v>0</v>
      </c>
      <c r="AI82" s="17">
        <f>IF(B82="","",IFERROR(IF(COUNTIFS(Appointments!$G$5:$G$1204,A82)=0,"",SUMPRODUCT(MAX((Appointments!$G$5:$G$1204=A82)*IFERROR(Appointments!$B$5:$B$1204*1,0)))),""))</f>
        <v>0</v>
      </c>
      <c r="AJ82" s="25">
        <f>IF(B82="","",COUNTIFS($AD$5:$AD$204,"&gt;"&amp;AD82)+COUNTIFS($AD$5:AD82,AD82))</f>
        <v>0</v>
      </c>
      <c r="AK82" s="25">
        <f>IF(B82="","",COUNTIFS($W$5:$W$204,"&gt;"&amp;W82)+COUNTIFS($W$5:W82,W82))</f>
        <v>0</v>
      </c>
      <c r="AL82" s="25">
        <f>IF(B82="","",COUNTIFS($AB$5:$AB$204,"&gt;"&amp;AB82)+COUNTIFS($AB$5:AB82,AB82))</f>
        <v>0</v>
      </c>
      <c r="AM82" s="39">
        <f>IF(B82="","",IF(G82="","Add - no price yet",IF(E82="","Add - how long does it take?",IF(T82&lt;0,"Loss - this service costs you money",IF(V82&lt;TargetChairRate*0.7,"Check - well under your chair rate",IF(IF(N82="",FALSE,TodayDate-N82&gt;PriceReviewDays),"Due - price has not been reviewed",IF(IF(M82="Active",AB82=0,FALSE),"Check - on the menu but never booked","OK")))))))</f>
        <v>0</v>
      </c>
    </row>
    <row r="83" spans="1:39">
      <c r="A83" s="28">
        <f>IF(B83="","",ServicePrefix&amp;TEXT(ROW()-4,"000"))</f>
        <v>0</v>
      </c>
      <c r="P83" s="42">
        <f>IF(B83="","",ROUND((IF(E83="",0,E83)+IF(F83="",0,F83))/60,3))</f>
        <v>0</v>
      </c>
      <c r="Q83" s="26">
        <f>IF(B83="","",IF(H83&lt;&gt;"",H83,IF(G83="",0,ROUND(G83*ProductCostPercent,2))))</f>
        <v>0</v>
      </c>
      <c r="R83" s="26">
        <f>IF(B83="","",IF(J83="No",0,IF(G83="",0,ROUND(G83*ServiceCommission,2))))</f>
        <v>0</v>
      </c>
      <c r="S83" s="26">
        <f>IF(B83="","",ROUND(Q83+R83,2))</f>
        <v>0</v>
      </c>
      <c r="T83" s="26">
        <f>IF(B83="","",IF(G83="","",ROUND(G83-S83,2)))</f>
        <v>0</v>
      </c>
      <c r="U83" s="27">
        <f>IF(B83="","",IF(G83="","",IF(G83=0,"",T83/G83)))</f>
        <v>0</v>
      </c>
      <c r="V83" s="26">
        <f>IF(B83="","",IF(G83="","",IF(P83=0,"",ROUND(G83/P83,2))))</f>
        <v>0</v>
      </c>
      <c r="W83" s="26">
        <f>IF(B83="","",IF(T83="","",IF(P83=0,"",ROUND(T83/P83,2))))</f>
        <v>0</v>
      </c>
      <c r="X83" s="26">
        <f>IF(B83="","",IF(P83=0,"",IF(ServiceCommission&gt;=1,"",(Q83+TargetChairRate*P83)/IF(J83="No",1,1-ServiceCommission))))</f>
        <v>0</v>
      </c>
      <c r="Y83" s="26">
        <f>IF(B83="","",IF(X83="","",ROUND(IF(RoundingRule="None",X83,IF(RoundingRule="Nearest 0.99",MAX(0.99,CEILING(X83,1)-0.01),IF(RoundingRule="Nearest 0.95",MAX(0.95,CEILING(X83,1)-0.05),IF(RoundingRule="Nearest 0.50",CEILING(X83,0.5),IF(RoundingRule="Nearest 1",CEILING(X83,1),IF(RoundingRule="Nearest 5",CEILING(X83,5),IF(RoundingRule="Up to whole 1",CEILING(X83,1),IF(RoundingRule="Up to whole 5",CEILING(X83,5),ROUND(X83,2))))))))),2)))</f>
        <v>0</v>
      </c>
      <c r="Z83" s="26">
        <f>IF(B83="","",IF(Y83="","",IF(G83="","",ROUND(G83-Y83,2))))</f>
        <v>0</v>
      </c>
      <c r="AA83" s="25">
        <f>IF(B83="","",COUNTIFS(Appointments!$G$5:$G$1204,A83))</f>
        <v>0</v>
      </c>
      <c r="AB83" s="25">
        <f>IF(B83="","",COUNTIFS(Appointments!$G$5:$G$1204,A83,Appointments!$M$5:$M$1204,"Completed"))</f>
        <v>0</v>
      </c>
      <c r="AC83" s="25">
        <f>IF(B83="","",SUMIFS(Sales!$K$5:$K$1204,Sales!$I$5:$I$1204,A83,Sales!$H$5:$H$1204,"Service"))</f>
        <v>0</v>
      </c>
      <c r="AD83" s="26">
        <f>IF(B83="","",ROUND(SUMIFS(Sales!$Y$5:$Y$1204,Sales!$I$5:$I$1204,A83,Sales!$H$5:$H$1204,"Service"),2))</f>
        <v>0</v>
      </c>
      <c r="AE83" s="27">
        <f>IF(B83="","",IF(ServiceRevenueAll=0,"",AD83/ServiceRevenueAll))</f>
        <v>0</v>
      </c>
      <c r="AF83" s="26">
        <f>IF(B83="","",ROUND(AC83*T83,2))</f>
        <v>0</v>
      </c>
      <c r="AG83" s="37">
        <f>IF(B83="","",ROUND(AC83*P83,1))</f>
        <v>0</v>
      </c>
      <c r="AH83" s="27">
        <f>IF(B83="","",IF(AB83=0,"",COUNTIFS(Sales!$I$5:$I$1204,A83,Sales!$AJ$5:$AJ$1204,"Yes")/AB83))</f>
        <v>0</v>
      </c>
      <c r="AI83" s="17">
        <f>IF(B83="","",IFERROR(IF(COUNTIFS(Appointments!$G$5:$G$1204,A83)=0,"",SUMPRODUCT(MAX((Appointments!$G$5:$G$1204=A83)*IFERROR(Appointments!$B$5:$B$1204*1,0)))),""))</f>
        <v>0</v>
      </c>
      <c r="AJ83" s="25">
        <f>IF(B83="","",COUNTIFS($AD$5:$AD$204,"&gt;"&amp;AD83)+COUNTIFS($AD$5:AD83,AD83))</f>
        <v>0</v>
      </c>
      <c r="AK83" s="25">
        <f>IF(B83="","",COUNTIFS($W$5:$W$204,"&gt;"&amp;W83)+COUNTIFS($W$5:W83,W83))</f>
        <v>0</v>
      </c>
      <c r="AL83" s="25">
        <f>IF(B83="","",COUNTIFS($AB$5:$AB$204,"&gt;"&amp;AB83)+COUNTIFS($AB$5:AB83,AB83))</f>
        <v>0</v>
      </c>
      <c r="AM83" s="39">
        <f>IF(B83="","",IF(G83="","Add - no price yet",IF(E83="","Add - how long does it take?",IF(T83&lt;0,"Loss - this service costs you money",IF(V83&lt;TargetChairRate*0.7,"Check - well under your chair rate",IF(IF(N83="",FALSE,TodayDate-N83&gt;PriceReviewDays),"Due - price has not been reviewed",IF(IF(M83="Active",AB83=0,FALSE),"Check - on the menu but never booked","OK")))))))</f>
        <v>0</v>
      </c>
    </row>
    <row r="84" spans="1:39">
      <c r="A84" s="28">
        <f>IF(B84="","",ServicePrefix&amp;TEXT(ROW()-4,"000"))</f>
        <v>0</v>
      </c>
      <c r="P84" s="42">
        <f>IF(B84="","",ROUND((IF(E84="",0,E84)+IF(F84="",0,F84))/60,3))</f>
        <v>0</v>
      </c>
      <c r="Q84" s="26">
        <f>IF(B84="","",IF(H84&lt;&gt;"",H84,IF(G84="",0,ROUND(G84*ProductCostPercent,2))))</f>
        <v>0</v>
      </c>
      <c r="R84" s="26">
        <f>IF(B84="","",IF(J84="No",0,IF(G84="",0,ROUND(G84*ServiceCommission,2))))</f>
        <v>0</v>
      </c>
      <c r="S84" s="26">
        <f>IF(B84="","",ROUND(Q84+R84,2))</f>
        <v>0</v>
      </c>
      <c r="T84" s="26">
        <f>IF(B84="","",IF(G84="","",ROUND(G84-S84,2)))</f>
        <v>0</v>
      </c>
      <c r="U84" s="27">
        <f>IF(B84="","",IF(G84="","",IF(G84=0,"",T84/G84)))</f>
        <v>0</v>
      </c>
      <c r="V84" s="26">
        <f>IF(B84="","",IF(G84="","",IF(P84=0,"",ROUND(G84/P84,2))))</f>
        <v>0</v>
      </c>
      <c r="W84" s="26">
        <f>IF(B84="","",IF(T84="","",IF(P84=0,"",ROUND(T84/P84,2))))</f>
        <v>0</v>
      </c>
      <c r="X84" s="26">
        <f>IF(B84="","",IF(P84=0,"",IF(ServiceCommission&gt;=1,"",(Q84+TargetChairRate*P84)/IF(J84="No",1,1-ServiceCommission))))</f>
        <v>0</v>
      </c>
      <c r="Y84" s="26">
        <f>IF(B84="","",IF(X84="","",ROUND(IF(RoundingRule="None",X84,IF(RoundingRule="Nearest 0.99",MAX(0.99,CEILING(X84,1)-0.01),IF(RoundingRule="Nearest 0.95",MAX(0.95,CEILING(X84,1)-0.05),IF(RoundingRule="Nearest 0.50",CEILING(X84,0.5),IF(RoundingRule="Nearest 1",CEILING(X84,1),IF(RoundingRule="Nearest 5",CEILING(X84,5),IF(RoundingRule="Up to whole 1",CEILING(X84,1),IF(RoundingRule="Up to whole 5",CEILING(X84,5),ROUND(X84,2))))))))),2)))</f>
        <v>0</v>
      </c>
      <c r="Z84" s="26">
        <f>IF(B84="","",IF(Y84="","",IF(G84="","",ROUND(G84-Y84,2))))</f>
        <v>0</v>
      </c>
      <c r="AA84" s="25">
        <f>IF(B84="","",COUNTIFS(Appointments!$G$5:$G$1204,A84))</f>
        <v>0</v>
      </c>
      <c r="AB84" s="25">
        <f>IF(B84="","",COUNTIFS(Appointments!$G$5:$G$1204,A84,Appointments!$M$5:$M$1204,"Completed"))</f>
        <v>0</v>
      </c>
      <c r="AC84" s="25">
        <f>IF(B84="","",SUMIFS(Sales!$K$5:$K$1204,Sales!$I$5:$I$1204,A84,Sales!$H$5:$H$1204,"Service"))</f>
        <v>0</v>
      </c>
      <c r="AD84" s="26">
        <f>IF(B84="","",ROUND(SUMIFS(Sales!$Y$5:$Y$1204,Sales!$I$5:$I$1204,A84,Sales!$H$5:$H$1204,"Service"),2))</f>
        <v>0</v>
      </c>
      <c r="AE84" s="27">
        <f>IF(B84="","",IF(ServiceRevenueAll=0,"",AD84/ServiceRevenueAll))</f>
        <v>0</v>
      </c>
      <c r="AF84" s="26">
        <f>IF(B84="","",ROUND(AC84*T84,2))</f>
        <v>0</v>
      </c>
      <c r="AG84" s="37">
        <f>IF(B84="","",ROUND(AC84*P84,1))</f>
        <v>0</v>
      </c>
      <c r="AH84" s="27">
        <f>IF(B84="","",IF(AB84=0,"",COUNTIFS(Sales!$I$5:$I$1204,A84,Sales!$AJ$5:$AJ$1204,"Yes")/AB84))</f>
        <v>0</v>
      </c>
      <c r="AI84" s="17">
        <f>IF(B84="","",IFERROR(IF(COUNTIFS(Appointments!$G$5:$G$1204,A84)=0,"",SUMPRODUCT(MAX((Appointments!$G$5:$G$1204=A84)*IFERROR(Appointments!$B$5:$B$1204*1,0)))),""))</f>
        <v>0</v>
      </c>
      <c r="AJ84" s="25">
        <f>IF(B84="","",COUNTIFS($AD$5:$AD$204,"&gt;"&amp;AD84)+COUNTIFS($AD$5:AD84,AD84))</f>
        <v>0</v>
      </c>
      <c r="AK84" s="25">
        <f>IF(B84="","",COUNTIFS($W$5:$W$204,"&gt;"&amp;W84)+COUNTIFS($W$5:W84,W84))</f>
        <v>0</v>
      </c>
      <c r="AL84" s="25">
        <f>IF(B84="","",COUNTIFS($AB$5:$AB$204,"&gt;"&amp;AB84)+COUNTIFS($AB$5:AB84,AB84))</f>
        <v>0</v>
      </c>
      <c r="AM84" s="39">
        <f>IF(B84="","",IF(G84="","Add - no price yet",IF(E84="","Add - how long does it take?",IF(T84&lt;0,"Loss - this service costs you money",IF(V84&lt;TargetChairRate*0.7,"Check - well under your chair rate",IF(IF(N84="",FALSE,TodayDate-N84&gt;PriceReviewDays),"Due - price has not been reviewed",IF(IF(M84="Active",AB84=0,FALSE),"Check - on the menu but never booked","OK")))))))</f>
        <v>0</v>
      </c>
    </row>
    <row r="85" spans="1:39">
      <c r="A85" s="28">
        <f>IF(B85="","",ServicePrefix&amp;TEXT(ROW()-4,"000"))</f>
        <v>0</v>
      </c>
      <c r="P85" s="42">
        <f>IF(B85="","",ROUND((IF(E85="",0,E85)+IF(F85="",0,F85))/60,3))</f>
        <v>0</v>
      </c>
      <c r="Q85" s="26">
        <f>IF(B85="","",IF(H85&lt;&gt;"",H85,IF(G85="",0,ROUND(G85*ProductCostPercent,2))))</f>
        <v>0</v>
      </c>
      <c r="R85" s="26">
        <f>IF(B85="","",IF(J85="No",0,IF(G85="",0,ROUND(G85*ServiceCommission,2))))</f>
        <v>0</v>
      </c>
      <c r="S85" s="26">
        <f>IF(B85="","",ROUND(Q85+R85,2))</f>
        <v>0</v>
      </c>
      <c r="T85" s="26">
        <f>IF(B85="","",IF(G85="","",ROUND(G85-S85,2)))</f>
        <v>0</v>
      </c>
      <c r="U85" s="27">
        <f>IF(B85="","",IF(G85="","",IF(G85=0,"",T85/G85)))</f>
        <v>0</v>
      </c>
      <c r="V85" s="26">
        <f>IF(B85="","",IF(G85="","",IF(P85=0,"",ROUND(G85/P85,2))))</f>
        <v>0</v>
      </c>
      <c r="W85" s="26">
        <f>IF(B85="","",IF(T85="","",IF(P85=0,"",ROUND(T85/P85,2))))</f>
        <v>0</v>
      </c>
      <c r="X85" s="26">
        <f>IF(B85="","",IF(P85=0,"",IF(ServiceCommission&gt;=1,"",(Q85+TargetChairRate*P85)/IF(J85="No",1,1-ServiceCommission))))</f>
        <v>0</v>
      </c>
      <c r="Y85" s="26">
        <f>IF(B85="","",IF(X85="","",ROUND(IF(RoundingRule="None",X85,IF(RoundingRule="Nearest 0.99",MAX(0.99,CEILING(X85,1)-0.01),IF(RoundingRule="Nearest 0.95",MAX(0.95,CEILING(X85,1)-0.05),IF(RoundingRule="Nearest 0.50",CEILING(X85,0.5),IF(RoundingRule="Nearest 1",CEILING(X85,1),IF(RoundingRule="Nearest 5",CEILING(X85,5),IF(RoundingRule="Up to whole 1",CEILING(X85,1),IF(RoundingRule="Up to whole 5",CEILING(X85,5),ROUND(X85,2))))))))),2)))</f>
        <v>0</v>
      </c>
      <c r="Z85" s="26">
        <f>IF(B85="","",IF(Y85="","",IF(G85="","",ROUND(G85-Y85,2))))</f>
        <v>0</v>
      </c>
      <c r="AA85" s="25">
        <f>IF(B85="","",COUNTIFS(Appointments!$G$5:$G$1204,A85))</f>
        <v>0</v>
      </c>
      <c r="AB85" s="25">
        <f>IF(B85="","",COUNTIFS(Appointments!$G$5:$G$1204,A85,Appointments!$M$5:$M$1204,"Completed"))</f>
        <v>0</v>
      </c>
      <c r="AC85" s="25">
        <f>IF(B85="","",SUMIFS(Sales!$K$5:$K$1204,Sales!$I$5:$I$1204,A85,Sales!$H$5:$H$1204,"Service"))</f>
        <v>0</v>
      </c>
      <c r="AD85" s="26">
        <f>IF(B85="","",ROUND(SUMIFS(Sales!$Y$5:$Y$1204,Sales!$I$5:$I$1204,A85,Sales!$H$5:$H$1204,"Service"),2))</f>
        <v>0</v>
      </c>
      <c r="AE85" s="27">
        <f>IF(B85="","",IF(ServiceRevenueAll=0,"",AD85/ServiceRevenueAll))</f>
        <v>0</v>
      </c>
      <c r="AF85" s="26">
        <f>IF(B85="","",ROUND(AC85*T85,2))</f>
        <v>0</v>
      </c>
      <c r="AG85" s="37">
        <f>IF(B85="","",ROUND(AC85*P85,1))</f>
        <v>0</v>
      </c>
      <c r="AH85" s="27">
        <f>IF(B85="","",IF(AB85=0,"",COUNTIFS(Sales!$I$5:$I$1204,A85,Sales!$AJ$5:$AJ$1204,"Yes")/AB85))</f>
        <v>0</v>
      </c>
      <c r="AI85" s="17">
        <f>IF(B85="","",IFERROR(IF(COUNTIFS(Appointments!$G$5:$G$1204,A85)=0,"",SUMPRODUCT(MAX((Appointments!$G$5:$G$1204=A85)*IFERROR(Appointments!$B$5:$B$1204*1,0)))),""))</f>
        <v>0</v>
      </c>
      <c r="AJ85" s="25">
        <f>IF(B85="","",COUNTIFS($AD$5:$AD$204,"&gt;"&amp;AD85)+COUNTIFS($AD$5:AD85,AD85))</f>
        <v>0</v>
      </c>
      <c r="AK85" s="25">
        <f>IF(B85="","",COUNTIFS($W$5:$W$204,"&gt;"&amp;W85)+COUNTIFS($W$5:W85,W85))</f>
        <v>0</v>
      </c>
      <c r="AL85" s="25">
        <f>IF(B85="","",COUNTIFS($AB$5:$AB$204,"&gt;"&amp;AB85)+COUNTIFS($AB$5:AB85,AB85))</f>
        <v>0</v>
      </c>
      <c r="AM85" s="39">
        <f>IF(B85="","",IF(G85="","Add - no price yet",IF(E85="","Add - how long does it take?",IF(T85&lt;0,"Loss - this service costs you money",IF(V85&lt;TargetChairRate*0.7,"Check - well under your chair rate",IF(IF(N85="",FALSE,TodayDate-N85&gt;PriceReviewDays),"Due - price has not been reviewed",IF(IF(M85="Active",AB85=0,FALSE),"Check - on the menu but never booked","OK")))))))</f>
        <v>0</v>
      </c>
    </row>
    <row r="86" spans="1:39">
      <c r="A86" s="28">
        <f>IF(B86="","",ServicePrefix&amp;TEXT(ROW()-4,"000"))</f>
        <v>0</v>
      </c>
      <c r="P86" s="42">
        <f>IF(B86="","",ROUND((IF(E86="",0,E86)+IF(F86="",0,F86))/60,3))</f>
        <v>0</v>
      </c>
      <c r="Q86" s="26">
        <f>IF(B86="","",IF(H86&lt;&gt;"",H86,IF(G86="",0,ROUND(G86*ProductCostPercent,2))))</f>
        <v>0</v>
      </c>
      <c r="R86" s="26">
        <f>IF(B86="","",IF(J86="No",0,IF(G86="",0,ROUND(G86*ServiceCommission,2))))</f>
        <v>0</v>
      </c>
      <c r="S86" s="26">
        <f>IF(B86="","",ROUND(Q86+R86,2))</f>
        <v>0</v>
      </c>
      <c r="T86" s="26">
        <f>IF(B86="","",IF(G86="","",ROUND(G86-S86,2)))</f>
        <v>0</v>
      </c>
      <c r="U86" s="27">
        <f>IF(B86="","",IF(G86="","",IF(G86=0,"",T86/G86)))</f>
        <v>0</v>
      </c>
      <c r="V86" s="26">
        <f>IF(B86="","",IF(G86="","",IF(P86=0,"",ROUND(G86/P86,2))))</f>
        <v>0</v>
      </c>
      <c r="W86" s="26">
        <f>IF(B86="","",IF(T86="","",IF(P86=0,"",ROUND(T86/P86,2))))</f>
        <v>0</v>
      </c>
      <c r="X86" s="26">
        <f>IF(B86="","",IF(P86=0,"",IF(ServiceCommission&gt;=1,"",(Q86+TargetChairRate*P86)/IF(J86="No",1,1-ServiceCommission))))</f>
        <v>0</v>
      </c>
      <c r="Y86" s="26">
        <f>IF(B86="","",IF(X86="","",ROUND(IF(RoundingRule="None",X86,IF(RoundingRule="Nearest 0.99",MAX(0.99,CEILING(X86,1)-0.01),IF(RoundingRule="Nearest 0.95",MAX(0.95,CEILING(X86,1)-0.05),IF(RoundingRule="Nearest 0.50",CEILING(X86,0.5),IF(RoundingRule="Nearest 1",CEILING(X86,1),IF(RoundingRule="Nearest 5",CEILING(X86,5),IF(RoundingRule="Up to whole 1",CEILING(X86,1),IF(RoundingRule="Up to whole 5",CEILING(X86,5),ROUND(X86,2))))))))),2)))</f>
        <v>0</v>
      </c>
      <c r="Z86" s="26">
        <f>IF(B86="","",IF(Y86="","",IF(G86="","",ROUND(G86-Y86,2))))</f>
        <v>0</v>
      </c>
      <c r="AA86" s="25">
        <f>IF(B86="","",COUNTIFS(Appointments!$G$5:$G$1204,A86))</f>
        <v>0</v>
      </c>
      <c r="AB86" s="25">
        <f>IF(B86="","",COUNTIFS(Appointments!$G$5:$G$1204,A86,Appointments!$M$5:$M$1204,"Completed"))</f>
        <v>0</v>
      </c>
      <c r="AC86" s="25">
        <f>IF(B86="","",SUMIFS(Sales!$K$5:$K$1204,Sales!$I$5:$I$1204,A86,Sales!$H$5:$H$1204,"Service"))</f>
        <v>0</v>
      </c>
      <c r="AD86" s="26">
        <f>IF(B86="","",ROUND(SUMIFS(Sales!$Y$5:$Y$1204,Sales!$I$5:$I$1204,A86,Sales!$H$5:$H$1204,"Service"),2))</f>
        <v>0</v>
      </c>
      <c r="AE86" s="27">
        <f>IF(B86="","",IF(ServiceRevenueAll=0,"",AD86/ServiceRevenueAll))</f>
        <v>0</v>
      </c>
      <c r="AF86" s="26">
        <f>IF(B86="","",ROUND(AC86*T86,2))</f>
        <v>0</v>
      </c>
      <c r="AG86" s="37">
        <f>IF(B86="","",ROUND(AC86*P86,1))</f>
        <v>0</v>
      </c>
      <c r="AH86" s="27">
        <f>IF(B86="","",IF(AB86=0,"",COUNTIFS(Sales!$I$5:$I$1204,A86,Sales!$AJ$5:$AJ$1204,"Yes")/AB86))</f>
        <v>0</v>
      </c>
      <c r="AI86" s="17">
        <f>IF(B86="","",IFERROR(IF(COUNTIFS(Appointments!$G$5:$G$1204,A86)=0,"",SUMPRODUCT(MAX((Appointments!$G$5:$G$1204=A86)*IFERROR(Appointments!$B$5:$B$1204*1,0)))),""))</f>
        <v>0</v>
      </c>
      <c r="AJ86" s="25">
        <f>IF(B86="","",COUNTIFS($AD$5:$AD$204,"&gt;"&amp;AD86)+COUNTIFS($AD$5:AD86,AD86))</f>
        <v>0</v>
      </c>
      <c r="AK86" s="25">
        <f>IF(B86="","",COUNTIFS($W$5:$W$204,"&gt;"&amp;W86)+COUNTIFS($W$5:W86,W86))</f>
        <v>0</v>
      </c>
      <c r="AL86" s="25">
        <f>IF(B86="","",COUNTIFS($AB$5:$AB$204,"&gt;"&amp;AB86)+COUNTIFS($AB$5:AB86,AB86))</f>
        <v>0</v>
      </c>
      <c r="AM86" s="39">
        <f>IF(B86="","",IF(G86="","Add - no price yet",IF(E86="","Add - how long does it take?",IF(T86&lt;0,"Loss - this service costs you money",IF(V86&lt;TargetChairRate*0.7,"Check - well under your chair rate",IF(IF(N86="",FALSE,TodayDate-N86&gt;PriceReviewDays),"Due - price has not been reviewed",IF(IF(M86="Active",AB86=0,FALSE),"Check - on the menu but never booked","OK")))))))</f>
        <v>0</v>
      </c>
    </row>
    <row r="87" spans="1:39">
      <c r="A87" s="28">
        <f>IF(B87="","",ServicePrefix&amp;TEXT(ROW()-4,"000"))</f>
        <v>0</v>
      </c>
      <c r="P87" s="42">
        <f>IF(B87="","",ROUND((IF(E87="",0,E87)+IF(F87="",0,F87))/60,3))</f>
        <v>0</v>
      </c>
      <c r="Q87" s="26">
        <f>IF(B87="","",IF(H87&lt;&gt;"",H87,IF(G87="",0,ROUND(G87*ProductCostPercent,2))))</f>
        <v>0</v>
      </c>
      <c r="R87" s="26">
        <f>IF(B87="","",IF(J87="No",0,IF(G87="",0,ROUND(G87*ServiceCommission,2))))</f>
        <v>0</v>
      </c>
      <c r="S87" s="26">
        <f>IF(B87="","",ROUND(Q87+R87,2))</f>
        <v>0</v>
      </c>
      <c r="T87" s="26">
        <f>IF(B87="","",IF(G87="","",ROUND(G87-S87,2)))</f>
        <v>0</v>
      </c>
      <c r="U87" s="27">
        <f>IF(B87="","",IF(G87="","",IF(G87=0,"",T87/G87)))</f>
        <v>0</v>
      </c>
      <c r="V87" s="26">
        <f>IF(B87="","",IF(G87="","",IF(P87=0,"",ROUND(G87/P87,2))))</f>
        <v>0</v>
      </c>
      <c r="W87" s="26">
        <f>IF(B87="","",IF(T87="","",IF(P87=0,"",ROUND(T87/P87,2))))</f>
        <v>0</v>
      </c>
      <c r="X87" s="26">
        <f>IF(B87="","",IF(P87=0,"",IF(ServiceCommission&gt;=1,"",(Q87+TargetChairRate*P87)/IF(J87="No",1,1-ServiceCommission))))</f>
        <v>0</v>
      </c>
      <c r="Y87" s="26">
        <f>IF(B87="","",IF(X87="","",ROUND(IF(RoundingRule="None",X87,IF(RoundingRule="Nearest 0.99",MAX(0.99,CEILING(X87,1)-0.01),IF(RoundingRule="Nearest 0.95",MAX(0.95,CEILING(X87,1)-0.05),IF(RoundingRule="Nearest 0.50",CEILING(X87,0.5),IF(RoundingRule="Nearest 1",CEILING(X87,1),IF(RoundingRule="Nearest 5",CEILING(X87,5),IF(RoundingRule="Up to whole 1",CEILING(X87,1),IF(RoundingRule="Up to whole 5",CEILING(X87,5),ROUND(X87,2))))))))),2)))</f>
        <v>0</v>
      </c>
      <c r="Z87" s="26">
        <f>IF(B87="","",IF(Y87="","",IF(G87="","",ROUND(G87-Y87,2))))</f>
        <v>0</v>
      </c>
      <c r="AA87" s="25">
        <f>IF(B87="","",COUNTIFS(Appointments!$G$5:$G$1204,A87))</f>
        <v>0</v>
      </c>
      <c r="AB87" s="25">
        <f>IF(B87="","",COUNTIFS(Appointments!$G$5:$G$1204,A87,Appointments!$M$5:$M$1204,"Completed"))</f>
        <v>0</v>
      </c>
      <c r="AC87" s="25">
        <f>IF(B87="","",SUMIFS(Sales!$K$5:$K$1204,Sales!$I$5:$I$1204,A87,Sales!$H$5:$H$1204,"Service"))</f>
        <v>0</v>
      </c>
      <c r="AD87" s="26">
        <f>IF(B87="","",ROUND(SUMIFS(Sales!$Y$5:$Y$1204,Sales!$I$5:$I$1204,A87,Sales!$H$5:$H$1204,"Service"),2))</f>
        <v>0</v>
      </c>
      <c r="AE87" s="27">
        <f>IF(B87="","",IF(ServiceRevenueAll=0,"",AD87/ServiceRevenueAll))</f>
        <v>0</v>
      </c>
      <c r="AF87" s="26">
        <f>IF(B87="","",ROUND(AC87*T87,2))</f>
        <v>0</v>
      </c>
      <c r="AG87" s="37">
        <f>IF(B87="","",ROUND(AC87*P87,1))</f>
        <v>0</v>
      </c>
      <c r="AH87" s="27">
        <f>IF(B87="","",IF(AB87=0,"",COUNTIFS(Sales!$I$5:$I$1204,A87,Sales!$AJ$5:$AJ$1204,"Yes")/AB87))</f>
        <v>0</v>
      </c>
      <c r="AI87" s="17">
        <f>IF(B87="","",IFERROR(IF(COUNTIFS(Appointments!$G$5:$G$1204,A87)=0,"",SUMPRODUCT(MAX((Appointments!$G$5:$G$1204=A87)*IFERROR(Appointments!$B$5:$B$1204*1,0)))),""))</f>
        <v>0</v>
      </c>
      <c r="AJ87" s="25">
        <f>IF(B87="","",COUNTIFS($AD$5:$AD$204,"&gt;"&amp;AD87)+COUNTIFS($AD$5:AD87,AD87))</f>
        <v>0</v>
      </c>
      <c r="AK87" s="25">
        <f>IF(B87="","",COUNTIFS($W$5:$W$204,"&gt;"&amp;W87)+COUNTIFS($W$5:W87,W87))</f>
        <v>0</v>
      </c>
      <c r="AL87" s="25">
        <f>IF(B87="","",COUNTIFS($AB$5:$AB$204,"&gt;"&amp;AB87)+COUNTIFS($AB$5:AB87,AB87))</f>
        <v>0</v>
      </c>
      <c r="AM87" s="39">
        <f>IF(B87="","",IF(G87="","Add - no price yet",IF(E87="","Add - how long does it take?",IF(T87&lt;0,"Loss - this service costs you money",IF(V87&lt;TargetChairRate*0.7,"Check - well under your chair rate",IF(IF(N87="",FALSE,TodayDate-N87&gt;PriceReviewDays),"Due - price has not been reviewed",IF(IF(M87="Active",AB87=0,FALSE),"Check - on the menu but never booked","OK")))))))</f>
        <v>0</v>
      </c>
    </row>
    <row r="88" spans="1:39">
      <c r="A88" s="28">
        <f>IF(B88="","",ServicePrefix&amp;TEXT(ROW()-4,"000"))</f>
        <v>0</v>
      </c>
      <c r="P88" s="42">
        <f>IF(B88="","",ROUND((IF(E88="",0,E88)+IF(F88="",0,F88))/60,3))</f>
        <v>0</v>
      </c>
      <c r="Q88" s="26">
        <f>IF(B88="","",IF(H88&lt;&gt;"",H88,IF(G88="",0,ROUND(G88*ProductCostPercent,2))))</f>
        <v>0</v>
      </c>
      <c r="R88" s="26">
        <f>IF(B88="","",IF(J88="No",0,IF(G88="",0,ROUND(G88*ServiceCommission,2))))</f>
        <v>0</v>
      </c>
      <c r="S88" s="26">
        <f>IF(B88="","",ROUND(Q88+R88,2))</f>
        <v>0</v>
      </c>
      <c r="T88" s="26">
        <f>IF(B88="","",IF(G88="","",ROUND(G88-S88,2)))</f>
        <v>0</v>
      </c>
      <c r="U88" s="27">
        <f>IF(B88="","",IF(G88="","",IF(G88=0,"",T88/G88)))</f>
        <v>0</v>
      </c>
      <c r="V88" s="26">
        <f>IF(B88="","",IF(G88="","",IF(P88=0,"",ROUND(G88/P88,2))))</f>
        <v>0</v>
      </c>
      <c r="W88" s="26">
        <f>IF(B88="","",IF(T88="","",IF(P88=0,"",ROUND(T88/P88,2))))</f>
        <v>0</v>
      </c>
      <c r="X88" s="26">
        <f>IF(B88="","",IF(P88=0,"",IF(ServiceCommission&gt;=1,"",(Q88+TargetChairRate*P88)/IF(J88="No",1,1-ServiceCommission))))</f>
        <v>0</v>
      </c>
      <c r="Y88" s="26">
        <f>IF(B88="","",IF(X88="","",ROUND(IF(RoundingRule="None",X88,IF(RoundingRule="Nearest 0.99",MAX(0.99,CEILING(X88,1)-0.01),IF(RoundingRule="Nearest 0.95",MAX(0.95,CEILING(X88,1)-0.05),IF(RoundingRule="Nearest 0.50",CEILING(X88,0.5),IF(RoundingRule="Nearest 1",CEILING(X88,1),IF(RoundingRule="Nearest 5",CEILING(X88,5),IF(RoundingRule="Up to whole 1",CEILING(X88,1),IF(RoundingRule="Up to whole 5",CEILING(X88,5),ROUND(X88,2))))))))),2)))</f>
        <v>0</v>
      </c>
      <c r="Z88" s="26">
        <f>IF(B88="","",IF(Y88="","",IF(G88="","",ROUND(G88-Y88,2))))</f>
        <v>0</v>
      </c>
      <c r="AA88" s="25">
        <f>IF(B88="","",COUNTIFS(Appointments!$G$5:$G$1204,A88))</f>
        <v>0</v>
      </c>
      <c r="AB88" s="25">
        <f>IF(B88="","",COUNTIFS(Appointments!$G$5:$G$1204,A88,Appointments!$M$5:$M$1204,"Completed"))</f>
        <v>0</v>
      </c>
      <c r="AC88" s="25">
        <f>IF(B88="","",SUMIFS(Sales!$K$5:$K$1204,Sales!$I$5:$I$1204,A88,Sales!$H$5:$H$1204,"Service"))</f>
        <v>0</v>
      </c>
      <c r="AD88" s="26">
        <f>IF(B88="","",ROUND(SUMIFS(Sales!$Y$5:$Y$1204,Sales!$I$5:$I$1204,A88,Sales!$H$5:$H$1204,"Service"),2))</f>
        <v>0</v>
      </c>
      <c r="AE88" s="27">
        <f>IF(B88="","",IF(ServiceRevenueAll=0,"",AD88/ServiceRevenueAll))</f>
        <v>0</v>
      </c>
      <c r="AF88" s="26">
        <f>IF(B88="","",ROUND(AC88*T88,2))</f>
        <v>0</v>
      </c>
      <c r="AG88" s="37">
        <f>IF(B88="","",ROUND(AC88*P88,1))</f>
        <v>0</v>
      </c>
      <c r="AH88" s="27">
        <f>IF(B88="","",IF(AB88=0,"",COUNTIFS(Sales!$I$5:$I$1204,A88,Sales!$AJ$5:$AJ$1204,"Yes")/AB88))</f>
        <v>0</v>
      </c>
      <c r="AI88" s="17">
        <f>IF(B88="","",IFERROR(IF(COUNTIFS(Appointments!$G$5:$G$1204,A88)=0,"",SUMPRODUCT(MAX((Appointments!$G$5:$G$1204=A88)*IFERROR(Appointments!$B$5:$B$1204*1,0)))),""))</f>
        <v>0</v>
      </c>
      <c r="AJ88" s="25">
        <f>IF(B88="","",COUNTIFS($AD$5:$AD$204,"&gt;"&amp;AD88)+COUNTIFS($AD$5:AD88,AD88))</f>
        <v>0</v>
      </c>
      <c r="AK88" s="25">
        <f>IF(B88="","",COUNTIFS($W$5:$W$204,"&gt;"&amp;W88)+COUNTIFS($W$5:W88,W88))</f>
        <v>0</v>
      </c>
      <c r="AL88" s="25">
        <f>IF(B88="","",COUNTIFS($AB$5:$AB$204,"&gt;"&amp;AB88)+COUNTIFS($AB$5:AB88,AB88))</f>
        <v>0</v>
      </c>
      <c r="AM88" s="39">
        <f>IF(B88="","",IF(G88="","Add - no price yet",IF(E88="","Add - how long does it take?",IF(T88&lt;0,"Loss - this service costs you money",IF(V88&lt;TargetChairRate*0.7,"Check - well under your chair rate",IF(IF(N88="",FALSE,TodayDate-N88&gt;PriceReviewDays),"Due - price has not been reviewed",IF(IF(M88="Active",AB88=0,FALSE),"Check - on the menu but never booked","OK")))))))</f>
        <v>0</v>
      </c>
    </row>
    <row r="89" spans="1:39">
      <c r="A89" s="28">
        <f>IF(B89="","",ServicePrefix&amp;TEXT(ROW()-4,"000"))</f>
        <v>0</v>
      </c>
      <c r="P89" s="42">
        <f>IF(B89="","",ROUND((IF(E89="",0,E89)+IF(F89="",0,F89))/60,3))</f>
        <v>0</v>
      </c>
      <c r="Q89" s="26">
        <f>IF(B89="","",IF(H89&lt;&gt;"",H89,IF(G89="",0,ROUND(G89*ProductCostPercent,2))))</f>
        <v>0</v>
      </c>
      <c r="R89" s="26">
        <f>IF(B89="","",IF(J89="No",0,IF(G89="",0,ROUND(G89*ServiceCommission,2))))</f>
        <v>0</v>
      </c>
      <c r="S89" s="26">
        <f>IF(B89="","",ROUND(Q89+R89,2))</f>
        <v>0</v>
      </c>
      <c r="T89" s="26">
        <f>IF(B89="","",IF(G89="","",ROUND(G89-S89,2)))</f>
        <v>0</v>
      </c>
      <c r="U89" s="27">
        <f>IF(B89="","",IF(G89="","",IF(G89=0,"",T89/G89)))</f>
        <v>0</v>
      </c>
      <c r="V89" s="26">
        <f>IF(B89="","",IF(G89="","",IF(P89=0,"",ROUND(G89/P89,2))))</f>
        <v>0</v>
      </c>
      <c r="W89" s="26">
        <f>IF(B89="","",IF(T89="","",IF(P89=0,"",ROUND(T89/P89,2))))</f>
        <v>0</v>
      </c>
      <c r="X89" s="26">
        <f>IF(B89="","",IF(P89=0,"",IF(ServiceCommission&gt;=1,"",(Q89+TargetChairRate*P89)/IF(J89="No",1,1-ServiceCommission))))</f>
        <v>0</v>
      </c>
      <c r="Y89" s="26">
        <f>IF(B89="","",IF(X89="","",ROUND(IF(RoundingRule="None",X89,IF(RoundingRule="Nearest 0.99",MAX(0.99,CEILING(X89,1)-0.01),IF(RoundingRule="Nearest 0.95",MAX(0.95,CEILING(X89,1)-0.05),IF(RoundingRule="Nearest 0.50",CEILING(X89,0.5),IF(RoundingRule="Nearest 1",CEILING(X89,1),IF(RoundingRule="Nearest 5",CEILING(X89,5),IF(RoundingRule="Up to whole 1",CEILING(X89,1),IF(RoundingRule="Up to whole 5",CEILING(X89,5),ROUND(X89,2))))))))),2)))</f>
        <v>0</v>
      </c>
      <c r="Z89" s="26">
        <f>IF(B89="","",IF(Y89="","",IF(G89="","",ROUND(G89-Y89,2))))</f>
        <v>0</v>
      </c>
      <c r="AA89" s="25">
        <f>IF(B89="","",COUNTIFS(Appointments!$G$5:$G$1204,A89))</f>
        <v>0</v>
      </c>
      <c r="AB89" s="25">
        <f>IF(B89="","",COUNTIFS(Appointments!$G$5:$G$1204,A89,Appointments!$M$5:$M$1204,"Completed"))</f>
        <v>0</v>
      </c>
      <c r="AC89" s="25">
        <f>IF(B89="","",SUMIFS(Sales!$K$5:$K$1204,Sales!$I$5:$I$1204,A89,Sales!$H$5:$H$1204,"Service"))</f>
        <v>0</v>
      </c>
      <c r="AD89" s="26">
        <f>IF(B89="","",ROUND(SUMIFS(Sales!$Y$5:$Y$1204,Sales!$I$5:$I$1204,A89,Sales!$H$5:$H$1204,"Service"),2))</f>
        <v>0</v>
      </c>
      <c r="AE89" s="27">
        <f>IF(B89="","",IF(ServiceRevenueAll=0,"",AD89/ServiceRevenueAll))</f>
        <v>0</v>
      </c>
      <c r="AF89" s="26">
        <f>IF(B89="","",ROUND(AC89*T89,2))</f>
        <v>0</v>
      </c>
      <c r="AG89" s="37">
        <f>IF(B89="","",ROUND(AC89*P89,1))</f>
        <v>0</v>
      </c>
      <c r="AH89" s="27">
        <f>IF(B89="","",IF(AB89=0,"",COUNTIFS(Sales!$I$5:$I$1204,A89,Sales!$AJ$5:$AJ$1204,"Yes")/AB89))</f>
        <v>0</v>
      </c>
      <c r="AI89" s="17">
        <f>IF(B89="","",IFERROR(IF(COUNTIFS(Appointments!$G$5:$G$1204,A89)=0,"",SUMPRODUCT(MAX((Appointments!$G$5:$G$1204=A89)*IFERROR(Appointments!$B$5:$B$1204*1,0)))),""))</f>
        <v>0</v>
      </c>
      <c r="AJ89" s="25">
        <f>IF(B89="","",COUNTIFS($AD$5:$AD$204,"&gt;"&amp;AD89)+COUNTIFS($AD$5:AD89,AD89))</f>
        <v>0</v>
      </c>
      <c r="AK89" s="25">
        <f>IF(B89="","",COUNTIFS($W$5:$W$204,"&gt;"&amp;W89)+COUNTIFS($W$5:W89,W89))</f>
        <v>0</v>
      </c>
      <c r="AL89" s="25">
        <f>IF(B89="","",COUNTIFS($AB$5:$AB$204,"&gt;"&amp;AB89)+COUNTIFS($AB$5:AB89,AB89))</f>
        <v>0</v>
      </c>
      <c r="AM89" s="39">
        <f>IF(B89="","",IF(G89="","Add - no price yet",IF(E89="","Add - how long does it take?",IF(T89&lt;0,"Loss - this service costs you money",IF(V89&lt;TargetChairRate*0.7,"Check - well under your chair rate",IF(IF(N89="",FALSE,TodayDate-N89&gt;PriceReviewDays),"Due - price has not been reviewed",IF(IF(M89="Active",AB89=0,FALSE),"Check - on the menu but never booked","OK")))))))</f>
        <v>0</v>
      </c>
    </row>
    <row r="90" spans="1:39">
      <c r="A90" s="28">
        <f>IF(B90="","",ServicePrefix&amp;TEXT(ROW()-4,"000"))</f>
        <v>0</v>
      </c>
      <c r="P90" s="42">
        <f>IF(B90="","",ROUND((IF(E90="",0,E90)+IF(F90="",0,F90))/60,3))</f>
        <v>0</v>
      </c>
      <c r="Q90" s="26">
        <f>IF(B90="","",IF(H90&lt;&gt;"",H90,IF(G90="",0,ROUND(G90*ProductCostPercent,2))))</f>
        <v>0</v>
      </c>
      <c r="R90" s="26">
        <f>IF(B90="","",IF(J90="No",0,IF(G90="",0,ROUND(G90*ServiceCommission,2))))</f>
        <v>0</v>
      </c>
      <c r="S90" s="26">
        <f>IF(B90="","",ROUND(Q90+R90,2))</f>
        <v>0</v>
      </c>
      <c r="T90" s="26">
        <f>IF(B90="","",IF(G90="","",ROUND(G90-S90,2)))</f>
        <v>0</v>
      </c>
      <c r="U90" s="27">
        <f>IF(B90="","",IF(G90="","",IF(G90=0,"",T90/G90)))</f>
        <v>0</v>
      </c>
      <c r="V90" s="26">
        <f>IF(B90="","",IF(G90="","",IF(P90=0,"",ROUND(G90/P90,2))))</f>
        <v>0</v>
      </c>
      <c r="W90" s="26">
        <f>IF(B90="","",IF(T90="","",IF(P90=0,"",ROUND(T90/P90,2))))</f>
        <v>0</v>
      </c>
      <c r="X90" s="26">
        <f>IF(B90="","",IF(P90=0,"",IF(ServiceCommission&gt;=1,"",(Q90+TargetChairRate*P90)/IF(J90="No",1,1-ServiceCommission))))</f>
        <v>0</v>
      </c>
      <c r="Y90" s="26">
        <f>IF(B90="","",IF(X90="","",ROUND(IF(RoundingRule="None",X90,IF(RoundingRule="Nearest 0.99",MAX(0.99,CEILING(X90,1)-0.01),IF(RoundingRule="Nearest 0.95",MAX(0.95,CEILING(X90,1)-0.05),IF(RoundingRule="Nearest 0.50",CEILING(X90,0.5),IF(RoundingRule="Nearest 1",CEILING(X90,1),IF(RoundingRule="Nearest 5",CEILING(X90,5),IF(RoundingRule="Up to whole 1",CEILING(X90,1),IF(RoundingRule="Up to whole 5",CEILING(X90,5),ROUND(X90,2))))))))),2)))</f>
        <v>0</v>
      </c>
      <c r="Z90" s="26">
        <f>IF(B90="","",IF(Y90="","",IF(G90="","",ROUND(G90-Y90,2))))</f>
        <v>0</v>
      </c>
      <c r="AA90" s="25">
        <f>IF(B90="","",COUNTIFS(Appointments!$G$5:$G$1204,A90))</f>
        <v>0</v>
      </c>
      <c r="AB90" s="25">
        <f>IF(B90="","",COUNTIFS(Appointments!$G$5:$G$1204,A90,Appointments!$M$5:$M$1204,"Completed"))</f>
        <v>0</v>
      </c>
      <c r="AC90" s="25">
        <f>IF(B90="","",SUMIFS(Sales!$K$5:$K$1204,Sales!$I$5:$I$1204,A90,Sales!$H$5:$H$1204,"Service"))</f>
        <v>0</v>
      </c>
      <c r="AD90" s="26">
        <f>IF(B90="","",ROUND(SUMIFS(Sales!$Y$5:$Y$1204,Sales!$I$5:$I$1204,A90,Sales!$H$5:$H$1204,"Service"),2))</f>
        <v>0</v>
      </c>
      <c r="AE90" s="27">
        <f>IF(B90="","",IF(ServiceRevenueAll=0,"",AD90/ServiceRevenueAll))</f>
        <v>0</v>
      </c>
      <c r="AF90" s="26">
        <f>IF(B90="","",ROUND(AC90*T90,2))</f>
        <v>0</v>
      </c>
      <c r="AG90" s="37">
        <f>IF(B90="","",ROUND(AC90*P90,1))</f>
        <v>0</v>
      </c>
      <c r="AH90" s="27">
        <f>IF(B90="","",IF(AB90=0,"",COUNTIFS(Sales!$I$5:$I$1204,A90,Sales!$AJ$5:$AJ$1204,"Yes")/AB90))</f>
        <v>0</v>
      </c>
      <c r="AI90" s="17">
        <f>IF(B90="","",IFERROR(IF(COUNTIFS(Appointments!$G$5:$G$1204,A90)=0,"",SUMPRODUCT(MAX((Appointments!$G$5:$G$1204=A90)*IFERROR(Appointments!$B$5:$B$1204*1,0)))),""))</f>
        <v>0</v>
      </c>
      <c r="AJ90" s="25">
        <f>IF(B90="","",COUNTIFS($AD$5:$AD$204,"&gt;"&amp;AD90)+COUNTIFS($AD$5:AD90,AD90))</f>
        <v>0</v>
      </c>
      <c r="AK90" s="25">
        <f>IF(B90="","",COUNTIFS($W$5:$W$204,"&gt;"&amp;W90)+COUNTIFS($W$5:W90,W90))</f>
        <v>0</v>
      </c>
      <c r="AL90" s="25">
        <f>IF(B90="","",COUNTIFS($AB$5:$AB$204,"&gt;"&amp;AB90)+COUNTIFS($AB$5:AB90,AB90))</f>
        <v>0</v>
      </c>
      <c r="AM90" s="39">
        <f>IF(B90="","",IF(G90="","Add - no price yet",IF(E90="","Add - how long does it take?",IF(T90&lt;0,"Loss - this service costs you money",IF(V90&lt;TargetChairRate*0.7,"Check - well under your chair rate",IF(IF(N90="",FALSE,TodayDate-N90&gt;PriceReviewDays),"Due - price has not been reviewed",IF(IF(M90="Active",AB90=0,FALSE),"Check - on the menu but never booked","OK")))))))</f>
        <v>0</v>
      </c>
    </row>
    <row r="91" spans="1:39">
      <c r="A91" s="28">
        <f>IF(B91="","",ServicePrefix&amp;TEXT(ROW()-4,"000"))</f>
        <v>0</v>
      </c>
      <c r="P91" s="42">
        <f>IF(B91="","",ROUND((IF(E91="",0,E91)+IF(F91="",0,F91))/60,3))</f>
        <v>0</v>
      </c>
      <c r="Q91" s="26">
        <f>IF(B91="","",IF(H91&lt;&gt;"",H91,IF(G91="",0,ROUND(G91*ProductCostPercent,2))))</f>
        <v>0</v>
      </c>
      <c r="R91" s="26">
        <f>IF(B91="","",IF(J91="No",0,IF(G91="",0,ROUND(G91*ServiceCommission,2))))</f>
        <v>0</v>
      </c>
      <c r="S91" s="26">
        <f>IF(B91="","",ROUND(Q91+R91,2))</f>
        <v>0</v>
      </c>
      <c r="T91" s="26">
        <f>IF(B91="","",IF(G91="","",ROUND(G91-S91,2)))</f>
        <v>0</v>
      </c>
      <c r="U91" s="27">
        <f>IF(B91="","",IF(G91="","",IF(G91=0,"",T91/G91)))</f>
        <v>0</v>
      </c>
      <c r="V91" s="26">
        <f>IF(B91="","",IF(G91="","",IF(P91=0,"",ROUND(G91/P91,2))))</f>
        <v>0</v>
      </c>
      <c r="W91" s="26">
        <f>IF(B91="","",IF(T91="","",IF(P91=0,"",ROUND(T91/P91,2))))</f>
        <v>0</v>
      </c>
      <c r="X91" s="26">
        <f>IF(B91="","",IF(P91=0,"",IF(ServiceCommission&gt;=1,"",(Q91+TargetChairRate*P91)/IF(J91="No",1,1-ServiceCommission))))</f>
        <v>0</v>
      </c>
      <c r="Y91" s="26">
        <f>IF(B91="","",IF(X91="","",ROUND(IF(RoundingRule="None",X91,IF(RoundingRule="Nearest 0.99",MAX(0.99,CEILING(X91,1)-0.01),IF(RoundingRule="Nearest 0.95",MAX(0.95,CEILING(X91,1)-0.05),IF(RoundingRule="Nearest 0.50",CEILING(X91,0.5),IF(RoundingRule="Nearest 1",CEILING(X91,1),IF(RoundingRule="Nearest 5",CEILING(X91,5),IF(RoundingRule="Up to whole 1",CEILING(X91,1),IF(RoundingRule="Up to whole 5",CEILING(X91,5),ROUND(X91,2))))))))),2)))</f>
        <v>0</v>
      </c>
      <c r="Z91" s="26">
        <f>IF(B91="","",IF(Y91="","",IF(G91="","",ROUND(G91-Y91,2))))</f>
        <v>0</v>
      </c>
      <c r="AA91" s="25">
        <f>IF(B91="","",COUNTIFS(Appointments!$G$5:$G$1204,A91))</f>
        <v>0</v>
      </c>
      <c r="AB91" s="25">
        <f>IF(B91="","",COUNTIFS(Appointments!$G$5:$G$1204,A91,Appointments!$M$5:$M$1204,"Completed"))</f>
        <v>0</v>
      </c>
      <c r="AC91" s="25">
        <f>IF(B91="","",SUMIFS(Sales!$K$5:$K$1204,Sales!$I$5:$I$1204,A91,Sales!$H$5:$H$1204,"Service"))</f>
        <v>0</v>
      </c>
      <c r="AD91" s="26">
        <f>IF(B91="","",ROUND(SUMIFS(Sales!$Y$5:$Y$1204,Sales!$I$5:$I$1204,A91,Sales!$H$5:$H$1204,"Service"),2))</f>
        <v>0</v>
      </c>
      <c r="AE91" s="27">
        <f>IF(B91="","",IF(ServiceRevenueAll=0,"",AD91/ServiceRevenueAll))</f>
        <v>0</v>
      </c>
      <c r="AF91" s="26">
        <f>IF(B91="","",ROUND(AC91*T91,2))</f>
        <v>0</v>
      </c>
      <c r="AG91" s="37">
        <f>IF(B91="","",ROUND(AC91*P91,1))</f>
        <v>0</v>
      </c>
      <c r="AH91" s="27">
        <f>IF(B91="","",IF(AB91=0,"",COUNTIFS(Sales!$I$5:$I$1204,A91,Sales!$AJ$5:$AJ$1204,"Yes")/AB91))</f>
        <v>0</v>
      </c>
      <c r="AI91" s="17">
        <f>IF(B91="","",IFERROR(IF(COUNTIFS(Appointments!$G$5:$G$1204,A91)=0,"",SUMPRODUCT(MAX((Appointments!$G$5:$G$1204=A91)*IFERROR(Appointments!$B$5:$B$1204*1,0)))),""))</f>
        <v>0</v>
      </c>
      <c r="AJ91" s="25">
        <f>IF(B91="","",COUNTIFS($AD$5:$AD$204,"&gt;"&amp;AD91)+COUNTIFS($AD$5:AD91,AD91))</f>
        <v>0</v>
      </c>
      <c r="AK91" s="25">
        <f>IF(B91="","",COUNTIFS($W$5:$W$204,"&gt;"&amp;W91)+COUNTIFS($W$5:W91,W91))</f>
        <v>0</v>
      </c>
      <c r="AL91" s="25">
        <f>IF(B91="","",COUNTIFS($AB$5:$AB$204,"&gt;"&amp;AB91)+COUNTIFS($AB$5:AB91,AB91))</f>
        <v>0</v>
      </c>
      <c r="AM91" s="39">
        <f>IF(B91="","",IF(G91="","Add - no price yet",IF(E91="","Add - how long does it take?",IF(T91&lt;0,"Loss - this service costs you money",IF(V91&lt;TargetChairRate*0.7,"Check - well under your chair rate",IF(IF(N91="",FALSE,TodayDate-N91&gt;PriceReviewDays),"Due - price has not been reviewed",IF(IF(M91="Active",AB91=0,FALSE),"Check - on the menu but never booked","OK")))))))</f>
        <v>0</v>
      </c>
    </row>
    <row r="92" spans="1:39">
      <c r="A92" s="28">
        <f>IF(B92="","",ServicePrefix&amp;TEXT(ROW()-4,"000"))</f>
        <v>0</v>
      </c>
      <c r="P92" s="42">
        <f>IF(B92="","",ROUND((IF(E92="",0,E92)+IF(F92="",0,F92))/60,3))</f>
        <v>0</v>
      </c>
      <c r="Q92" s="26">
        <f>IF(B92="","",IF(H92&lt;&gt;"",H92,IF(G92="",0,ROUND(G92*ProductCostPercent,2))))</f>
        <v>0</v>
      </c>
      <c r="R92" s="26">
        <f>IF(B92="","",IF(J92="No",0,IF(G92="",0,ROUND(G92*ServiceCommission,2))))</f>
        <v>0</v>
      </c>
      <c r="S92" s="26">
        <f>IF(B92="","",ROUND(Q92+R92,2))</f>
        <v>0</v>
      </c>
      <c r="T92" s="26">
        <f>IF(B92="","",IF(G92="","",ROUND(G92-S92,2)))</f>
        <v>0</v>
      </c>
      <c r="U92" s="27">
        <f>IF(B92="","",IF(G92="","",IF(G92=0,"",T92/G92)))</f>
        <v>0</v>
      </c>
      <c r="V92" s="26">
        <f>IF(B92="","",IF(G92="","",IF(P92=0,"",ROUND(G92/P92,2))))</f>
        <v>0</v>
      </c>
      <c r="W92" s="26">
        <f>IF(B92="","",IF(T92="","",IF(P92=0,"",ROUND(T92/P92,2))))</f>
        <v>0</v>
      </c>
      <c r="X92" s="26">
        <f>IF(B92="","",IF(P92=0,"",IF(ServiceCommission&gt;=1,"",(Q92+TargetChairRate*P92)/IF(J92="No",1,1-ServiceCommission))))</f>
        <v>0</v>
      </c>
      <c r="Y92" s="26">
        <f>IF(B92="","",IF(X92="","",ROUND(IF(RoundingRule="None",X92,IF(RoundingRule="Nearest 0.99",MAX(0.99,CEILING(X92,1)-0.01),IF(RoundingRule="Nearest 0.95",MAX(0.95,CEILING(X92,1)-0.05),IF(RoundingRule="Nearest 0.50",CEILING(X92,0.5),IF(RoundingRule="Nearest 1",CEILING(X92,1),IF(RoundingRule="Nearest 5",CEILING(X92,5),IF(RoundingRule="Up to whole 1",CEILING(X92,1),IF(RoundingRule="Up to whole 5",CEILING(X92,5),ROUND(X92,2))))))))),2)))</f>
        <v>0</v>
      </c>
      <c r="Z92" s="26">
        <f>IF(B92="","",IF(Y92="","",IF(G92="","",ROUND(G92-Y92,2))))</f>
        <v>0</v>
      </c>
      <c r="AA92" s="25">
        <f>IF(B92="","",COUNTIFS(Appointments!$G$5:$G$1204,A92))</f>
        <v>0</v>
      </c>
      <c r="AB92" s="25">
        <f>IF(B92="","",COUNTIFS(Appointments!$G$5:$G$1204,A92,Appointments!$M$5:$M$1204,"Completed"))</f>
        <v>0</v>
      </c>
      <c r="AC92" s="25">
        <f>IF(B92="","",SUMIFS(Sales!$K$5:$K$1204,Sales!$I$5:$I$1204,A92,Sales!$H$5:$H$1204,"Service"))</f>
        <v>0</v>
      </c>
      <c r="AD92" s="26">
        <f>IF(B92="","",ROUND(SUMIFS(Sales!$Y$5:$Y$1204,Sales!$I$5:$I$1204,A92,Sales!$H$5:$H$1204,"Service"),2))</f>
        <v>0</v>
      </c>
      <c r="AE92" s="27">
        <f>IF(B92="","",IF(ServiceRevenueAll=0,"",AD92/ServiceRevenueAll))</f>
        <v>0</v>
      </c>
      <c r="AF92" s="26">
        <f>IF(B92="","",ROUND(AC92*T92,2))</f>
        <v>0</v>
      </c>
      <c r="AG92" s="37">
        <f>IF(B92="","",ROUND(AC92*P92,1))</f>
        <v>0</v>
      </c>
      <c r="AH92" s="27">
        <f>IF(B92="","",IF(AB92=0,"",COUNTIFS(Sales!$I$5:$I$1204,A92,Sales!$AJ$5:$AJ$1204,"Yes")/AB92))</f>
        <v>0</v>
      </c>
      <c r="AI92" s="17">
        <f>IF(B92="","",IFERROR(IF(COUNTIFS(Appointments!$G$5:$G$1204,A92)=0,"",SUMPRODUCT(MAX((Appointments!$G$5:$G$1204=A92)*IFERROR(Appointments!$B$5:$B$1204*1,0)))),""))</f>
        <v>0</v>
      </c>
      <c r="AJ92" s="25">
        <f>IF(B92="","",COUNTIFS($AD$5:$AD$204,"&gt;"&amp;AD92)+COUNTIFS($AD$5:AD92,AD92))</f>
        <v>0</v>
      </c>
      <c r="AK92" s="25">
        <f>IF(B92="","",COUNTIFS($W$5:$W$204,"&gt;"&amp;W92)+COUNTIFS($W$5:W92,W92))</f>
        <v>0</v>
      </c>
      <c r="AL92" s="25">
        <f>IF(B92="","",COUNTIFS($AB$5:$AB$204,"&gt;"&amp;AB92)+COUNTIFS($AB$5:AB92,AB92))</f>
        <v>0</v>
      </c>
      <c r="AM92" s="39">
        <f>IF(B92="","",IF(G92="","Add - no price yet",IF(E92="","Add - how long does it take?",IF(T92&lt;0,"Loss - this service costs you money",IF(V92&lt;TargetChairRate*0.7,"Check - well under your chair rate",IF(IF(N92="",FALSE,TodayDate-N92&gt;PriceReviewDays),"Due - price has not been reviewed",IF(IF(M92="Active",AB92=0,FALSE),"Check - on the menu but never booked","OK")))))))</f>
        <v>0</v>
      </c>
    </row>
    <row r="93" spans="1:39">
      <c r="A93" s="28">
        <f>IF(B93="","",ServicePrefix&amp;TEXT(ROW()-4,"000"))</f>
        <v>0</v>
      </c>
      <c r="P93" s="42">
        <f>IF(B93="","",ROUND((IF(E93="",0,E93)+IF(F93="",0,F93))/60,3))</f>
        <v>0</v>
      </c>
      <c r="Q93" s="26">
        <f>IF(B93="","",IF(H93&lt;&gt;"",H93,IF(G93="",0,ROUND(G93*ProductCostPercent,2))))</f>
        <v>0</v>
      </c>
      <c r="R93" s="26">
        <f>IF(B93="","",IF(J93="No",0,IF(G93="",0,ROUND(G93*ServiceCommission,2))))</f>
        <v>0</v>
      </c>
      <c r="S93" s="26">
        <f>IF(B93="","",ROUND(Q93+R93,2))</f>
        <v>0</v>
      </c>
      <c r="T93" s="26">
        <f>IF(B93="","",IF(G93="","",ROUND(G93-S93,2)))</f>
        <v>0</v>
      </c>
      <c r="U93" s="27">
        <f>IF(B93="","",IF(G93="","",IF(G93=0,"",T93/G93)))</f>
        <v>0</v>
      </c>
      <c r="V93" s="26">
        <f>IF(B93="","",IF(G93="","",IF(P93=0,"",ROUND(G93/P93,2))))</f>
        <v>0</v>
      </c>
      <c r="W93" s="26">
        <f>IF(B93="","",IF(T93="","",IF(P93=0,"",ROUND(T93/P93,2))))</f>
        <v>0</v>
      </c>
      <c r="X93" s="26">
        <f>IF(B93="","",IF(P93=0,"",IF(ServiceCommission&gt;=1,"",(Q93+TargetChairRate*P93)/IF(J93="No",1,1-ServiceCommission))))</f>
        <v>0</v>
      </c>
      <c r="Y93" s="26">
        <f>IF(B93="","",IF(X93="","",ROUND(IF(RoundingRule="None",X93,IF(RoundingRule="Nearest 0.99",MAX(0.99,CEILING(X93,1)-0.01),IF(RoundingRule="Nearest 0.95",MAX(0.95,CEILING(X93,1)-0.05),IF(RoundingRule="Nearest 0.50",CEILING(X93,0.5),IF(RoundingRule="Nearest 1",CEILING(X93,1),IF(RoundingRule="Nearest 5",CEILING(X93,5),IF(RoundingRule="Up to whole 1",CEILING(X93,1),IF(RoundingRule="Up to whole 5",CEILING(X93,5),ROUND(X93,2))))))))),2)))</f>
        <v>0</v>
      </c>
      <c r="Z93" s="26">
        <f>IF(B93="","",IF(Y93="","",IF(G93="","",ROUND(G93-Y93,2))))</f>
        <v>0</v>
      </c>
      <c r="AA93" s="25">
        <f>IF(B93="","",COUNTIFS(Appointments!$G$5:$G$1204,A93))</f>
        <v>0</v>
      </c>
      <c r="AB93" s="25">
        <f>IF(B93="","",COUNTIFS(Appointments!$G$5:$G$1204,A93,Appointments!$M$5:$M$1204,"Completed"))</f>
        <v>0</v>
      </c>
      <c r="AC93" s="25">
        <f>IF(B93="","",SUMIFS(Sales!$K$5:$K$1204,Sales!$I$5:$I$1204,A93,Sales!$H$5:$H$1204,"Service"))</f>
        <v>0</v>
      </c>
      <c r="AD93" s="26">
        <f>IF(B93="","",ROUND(SUMIFS(Sales!$Y$5:$Y$1204,Sales!$I$5:$I$1204,A93,Sales!$H$5:$H$1204,"Service"),2))</f>
        <v>0</v>
      </c>
      <c r="AE93" s="27">
        <f>IF(B93="","",IF(ServiceRevenueAll=0,"",AD93/ServiceRevenueAll))</f>
        <v>0</v>
      </c>
      <c r="AF93" s="26">
        <f>IF(B93="","",ROUND(AC93*T93,2))</f>
        <v>0</v>
      </c>
      <c r="AG93" s="37">
        <f>IF(B93="","",ROUND(AC93*P93,1))</f>
        <v>0</v>
      </c>
      <c r="AH93" s="27">
        <f>IF(B93="","",IF(AB93=0,"",COUNTIFS(Sales!$I$5:$I$1204,A93,Sales!$AJ$5:$AJ$1204,"Yes")/AB93))</f>
        <v>0</v>
      </c>
      <c r="AI93" s="17">
        <f>IF(B93="","",IFERROR(IF(COUNTIFS(Appointments!$G$5:$G$1204,A93)=0,"",SUMPRODUCT(MAX((Appointments!$G$5:$G$1204=A93)*IFERROR(Appointments!$B$5:$B$1204*1,0)))),""))</f>
        <v>0</v>
      </c>
      <c r="AJ93" s="25">
        <f>IF(B93="","",COUNTIFS($AD$5:$AD$204,"&gt;"&amp;AD93)+COUNTIFS($AD$5:AD93,AD93))</f>
        <v>0</v>
      </c>
      <c r="AK93" s="25">
        <f>IF(B93="","",COUNTIFS($W$5:$W$204,"&gt;"&amp;W93)+COUNTIFS($W$5:W93,W93))</f>
        <v>0</v>
      </c>
      <c r="AL93" s="25">
        <f>IF(B93="","",COUNTIFS($AB$5:$AB$204,"&gt;"&amp;AB93)+COUNTIFS($AB$5:AB93,AB93))</f>
        <v>0</v>
      </c>
      <c r="AM93" s="39">
        <f>IF(B93="","",IF(G93="","Add - no price yet",IF(E93="","Add - how long does it take?",IF(T93&lt;0,"Loss - this service costs you money",IF(V93&lt;TargetChairRate*0.7,"Check - well under your chair rate",IF(IF(N93="",FALSE,TodayDate-N93&gt;PriceReviewDays),"Due - price has not been reviewed",IF(IF(M93="Active",AB93=0,FALSE),"Check - on the menu but never booked","OK")))))))</f>
        <v>0</v>
      </c>
    </row>
    <row r="94" spans="1:39">
      <c r="A94" s="28">
        <f>IF(B94="","",ServicePrefix&amp;TEXT(ROW()-4,"000"))</f>
        <v>0</v>
      </c>
      <c r="P94" s="42">
        <f>IF(B94="","",ROUND((IF(E94="",0,E94)+IF(F94="",0,F94))/60,3))</f>
        <v>0</v>
      </c>
      <c r="Q94" s="26">
        <f>IF(B94="","",IF(H94&lt;&gt;"",H94,IF(G94="",0,ROUND(G94*ProductCostPercent,2))))</f>
        <v>0</v>
      </c>
      <c r="R94" s="26">
        <f>IF(B94="","",IF(J94="No",0,IF(G94="",0,ROUND(G94*ServiceCommission,2))))</f>
        <v>0</v>
      </c>
      <c r="S94" s="26">
        <f>IF(B94="","",ROUND(Q94+R94,2))</f>
        <v>0</v>
      </c>
      <c r="T94" s="26">
        <f>IF(B94="","",IF(G94="","",ROUND(G94-S94,2)))</f>
        <v>0</v>
      </c>
      <c r="U94" s="27">
        <f>IF(B94="","",IF(G94="","",IF(G94=0,"",T94/G94)))</f>
        <v>0</v>
      </c>
      <c r="V94" s="26">
        <f>IF(B94="","",IF(G94="","",IF(P94=0,"",ROUND(G94/P94,2))))</f>
        <v>0</v>
      </c>
      <c r="W94" s="26">
        <f>IF(B94="","",IF(T94="","",IF(P94=0,"",ROUND(T94/P94,2))))</f>
        <v>0</v>
      </c>
      <c r="X94" s="26">
        <f>IF(B94="","",IF(P94=0,"",IF(ServiceCommission&gt;=1,"",(Q94+TargetChairRate*P94)/IF(J94="No",1,1-ServiceCommission))))</f>
        <v>0</v>
      </c>
      <c r="Y94" s="26">
        <f>IF(B94="","",IF(X94="","",ROUND(IF(RoundingRule="None",X94,IF(RoundingRule="Nearest 0.99",MAX(0.99,CEILING(X94,1)-0.01),IF(RoundingRule="Nearest 0.95",MAX(0.95,CEILING(X94,1)-0.05),IF(RoundingRule="Nearest 0.50",CEILING(X94,0.5),IF(RoundingRule="Nearest 1",CEILING(X94,1),IF(RoundingRule="Nearest 5",CEILING(X94,5),IF(RoundingRule="Up to whole 1",CEILING(X94,1),IF(RoundingRule="Up to whole 5",CEILING(X94,5),ROUND(X94,2))))))))),2)))</f>
        <v>0</v>
      </c>
      <c r="Z94" s="26">
        <f>IF(B94="","",IF(Y94="","",IF(G94="","",ROUND(G94-Y94,2))))</f>
        <v>0</v>
      </c>
      <c r="AA94" s="25">
        <f>IF(B94="","",COUNTIFS(Appointments!$G$5:$G$1204,A94))</f>
        <v>0</v>
      </c>
      <c r="AB94" s="25">
        <f>IF(B94="","",COUNTIFS(Appointments!$G$5:$G$1204,A94,Appointments!$M$5:$M$1204,"Completed"))</f>
        <v>0</v>
      </c>
      <c r="AC94" s="25">
        <f>IF(B94="","",SUMIFS(Sales!$K$5:$K$1204,Sales!$I$5:$I$1204,A94,Sales!$H$5:$H$1204,"Service"))</f>
        <v>0</v>
      </c>
      <c r="AD94" s="26">
        <f>IF(B94="","",ROUND(SUMIFS(Sales!$Y$5:$Y$1204,Sales!$I$5:$I$1204,A94,Sales!$H$5:$H$1204,"Service"),2))</f>
        <v>0</v>
      </c>
      <c r="AE94" s="27">
        <f>IF(B94="","",IF(ServiceRevenueAll=0,"",AD94/ServiceRevenueAll))</f>
        <v>0</v>
      </c>
      <c r="AF94" s="26">
        <f>IF(B94="","",ROUND(AC94*T94,2))</f>
        <v>0</v>
      </c>
      <c r="AG94" s="37">
        <f>IF(B94="","",ROUND(AC94*P94,1))</f>
        <v>0</v>
      </c>
      <c r="AH94" s="27">
        <f>IF(B94="","",IF(AB94=0,"",COUNTIFS(Sales!$I$5:$I$1204,A94,Sales!$AJ$5:$AJ$1204,"Yes")/AB94))</f>
        <v>0</v>
      </c>
      <c r="AI94" s="17">
        <f>IF(B94="","",IFERROR(IF(COUNTIFS(Appointments!$G$5:$G$1204,A94)=0,"",SUMPRODUCT(MAX((Appointments!$G$5:$G$1204=A94)*IFERROR(Appointments!$B$5:$B$1204*1,0)))),""))</f>
        <v>0</v>
      </c>
      <c r="AJ94" s="25">
        <f>IF(B94="","",COUNTIFS($AD$5:$AD$204,"&gt;"&amp;AD94)+COUNTIFS($AD$5:AD94,AD94))</f>
        <v>0</v>
      </c>
      <c r="AK94" s="25">
        <f>IF(B94="","",COUNTIFS($W$5:$W$204,"&gt;"&amp;W94)+COUNTIFS($W$5:W94,W94))</f>
        <v>0</v>
      </c>
      <c r="AL94" s="25">
        <f>IF(B94="","",COUNTIFS($AB$5:$AB$204,"&gt;"&amp;AB94)+COUNTIFS($AB$5:AB94,AB94))</f>
        <v>0</v>
      </c>
      <c r="AM94" s="39">
        <f>IF(B94="","",IF(G94="","Add - no price yet",IF(E94="","Add - how long does it take?",IF(T94&lt;0,"Loss - this service costs you money",IF(V94&lt;TargetChairRate*0.7,"Check - well under your chair rate",IF(IF(N94="",FALSE,TodayDate-N94&gt;PriceReviewDays),"Due - price has not been reviewed",IF(IF(M94="Active",AB94=0,FALSE),"Check - on the menu but never booked","OK")))))))</f>
        <v>0</v>
      </c>
    </row>
    <row r="95" spans="1:39">
      <c r="A95" s="28">
        <f>IF(B95="","",ServicePrefix&amp;TEXT(ROW()-4,"000"))</f>
        <v>0</v>
      </c>
      <c r="P95" s="42">
        <f>IF(B95="","",ROUND((IF(E95="",0,E95)+IF(F95="",0,F95))/60,3))</f>
        <v>0</v>
      </c>
      <c r="Q95" s="26">
        <f>IF(B95="","",IF(H95&lt;&gt;"",H95,IF(G95="",0,ROUND(G95*ProductCostPercent,2))))</f>
        <v>0</v>
      </c>
      <c r="R95" s="26">
        <f>IF(B95="","",IF(J95="No",0,IF(G95="",0,ROUND(G95*ServiceCommission,2))))</f>
        <v>0</v>
      </c>
      <c r="S95" s="26">
        <f>IF(B95="","",ROUND(Q95+R95,2))</f>
        <v>0</v>
      </c>
      <c r="T95" s="26">
        <f>IF(B95="","",IF(G95="","",ROUND(G95-S95,2)))</f>
        <v>0</v>
      </c>
      <c r="U95" s="27">
        <f>IF(B95="","",IF(G95="","",IF(G95=0,"",T95/G95)))</f>
        <v>0</v>
      </c>
      <c r="V95" s="26">
        <f>IF(B95="","",IF(G95="","",IF(P95=0,"",ROUND(G95/P95,2))))</f>
        <v>0</v>
      </c>
      <c r="W95" s="26">
        <f>IF(B95="","",IF(T95="","",IF(P95=0,"",ROUND(T95/P95,2))))</f>
        <v>0</v>
      </c>
      <c r="X95" s="26">
        <f>IF(B95="","",IF(P95=0,"",IF(ServiceCommission&gt;=1,"",(Q95+TargetChairRate*P95)/IF(J95="No",1,1-ServiceCommission))))</f>
        <v>0</v>
      </c>
      <c r="Y95" s="26">
        <f>IF(B95="","",IF(X95="","",ROUND(IF(RoundingRule="None",X95,IF(RoundingRule="Nearest 0.99",MAX(0.99,CEILING(X95,1)-0.01),IF(RoundingRule="Nearest 0.95",MAX(0.95,CEILING(X95,1)-0.05),IF(RoundingRule="Nearest 0.50",CEILING(X95,0.5),IF(RoundingRule="Nearest 1",CEILING(X95,1),IF(RoundingRule="Nearest 5",CEILING(X95,5),IF(RoundingRule="Up to whole 1",CEILING(X95,1),IF(RoundingRule="Up to whole 5",CEILING(X95,5),ROUND(X95,2))))))))),2)))</f>
        <v>0</v>
      </c>
      <c r="Z95" s="26">
        <f>IF(B95="","",IF(Y95="","",IF(G95="","",ROUND(G95-Y95,2))))</f>
        <v>0</v>
      </c>
      <c r="AA95" s="25">
        <f>IF(B95="","",COUNTIFS(Appointments!$G$5:$G$1204,A95))</f>
        <v>0</v>
      </c>
      <c r="AB95" s="25">
        <f>IF(B95="","",COUNTIFS(Appointments!$G$5:$G$1204,A95,Appointments!$M$5:$M$1204,"Completed"))</f>
        <v>0</v>
      </c>
      <c r="AC95" s="25">
        <f>IF(B95="","",SUMIFS(Sales!$K$5:$K$1204,Sales!$I$5:$I$1204,A95,Sales!$H$5:$H$1204,"Service"))</f>
        <v>0</v>
      </c>
      <c r="AD95" s="26">
        <f>IF(B95="","",ROUND(SUMIFS(Sales!$Y$5:$Y$1204,Sales!$I$5:$I$1204,A95,Sales!$H$5:$H$1204,"Service"),2))</f>
        <v>0</v>
      </c>
      <c r="AE95" s="27">
        <f>IF(B95="","",IF(ServiceRevenueAll=0,"",AD95/ServiceRevenueAll))</f>
        <v>0</v>
      </c>
      <c r="AF95" s="26">
        <f>IF(B95="","",ROUND(AC95*T95,2))</f>
        <v>0</v>
      </c>
      <c r="AG95" s="37">
        <f>IF(B95="","",ROUND(AC95*P95,1))</f>
        <v>0</v>
      </c>
      <c r="AH95" s="27">
        <f>IF(B95="","",IF(AB95=0,"",COUNTIFS(Sales!$I$5:$I$1204,A95,Sales!$AJ$5:$AJ$1204,"Yes")/AB95))</f>
        <v>0</v>
      </c>
      <c r="AI95" s="17">
        <f>IF(B95="","",IFERROR(IF(COUNTIFS(Appointments!$G$5:$G$1204,A95)=0,"",SUMPRODUCT(MAX((Appointments!$G$5:$G$1204=A95)*IFERROR(Appointments!$B$5:$B$1204*1,0)))),""))</f>
        <v>0</v>
      </c>
      <c r="AJ95" s="25">
        <f>IF(B95="","",COUNTIFS($AD$5:$AD$204,"&gt;"&amp;AD95)+COUNTIFS($AD$5:AD95,AD95))</f>
        <v>0</v>
      </c>
      <c r="AK95" s="25">
        <f>IF(B95="","",COUNTIFS($W$5:$W$204,"&gt;"&amp;W95)+COUNTIFS($W$5:W95,W95))</f>
        <v>0</v>
      </c>
      <c r="AL95" s="25">
        <f>IF(B95="","",COUNTIFS($AB$5:$AB$204,"&gt;"&amp;AB95)+COUNTIFS($AB$5:AB95,AB95))</f>
        <v>0</v>
      </c>
      <c r="AM95" s="39">
        <f>IF(B95="","",IF(G95="","Add - no price yet",IF(E95="","Add - how long does it take?",IF(T95&lt;0,"Loss - this service costs you money",IF(V95&lt;TargetChairRate*0.7,"Check - well under your chair rate",IF(IF(N95="",FALSE,TodayDate-N95&gt;PriceReviewDays),"Due - price has not been reviewed",IF(IF(M95="Active",AB95=0,FALSE),"Check - on the menu but never booked","OK")))))))</f>
        <v>0</v>
      </c>
    </row>
    <row r="96" spans="1:39">
      <c r="A96" s="28">
        <f>IF(B96="","",ServicePrefix&amp;TEXT(ROW()-4,"000"))</f>
        <v>0</v>
      </c>
      <c r="P96" s="42">
        <f>IF(B96="","",ROUND((IF(E96="",0,E96)+IF(F96="",0,F96))/60,3))</f>
        <v>0</v>
      </c>
      <c r="Q96" s="26">
        <f>IF(B96="","",IF(H96&lt;&gt;"",H96,IF(G96="",0,ROUND(G96*ProductCostPercent,2))))</f>
        <v>0</v>
      </c>
      <c r="R96" s="26">
        <f>IF(B96="","",IF(J96="No",0,IF(G96="",0,ROUND(G96*ServiceCommission,2))))</f>
        <v>0</v>
      </c>
      <c r="S96" s="26">
        <f>IF(B96="","",ROUND(Q96+R96,2))</f>
        <v>0</v>
      </c>
      <c r="T96" s="26">
        <f>IF(B96="","",IF(G96="","",ROUND(G96-S96,2)))</f>
        <v>0</v>
      </c>
      <c r="U96" s="27">
        <f>IF(B96="","",IF(G96="","",IF(G96=0,"",T96/G96)))</f>
        <v>0</v>
      </c>
      <c r="V96" s="26">
        <f>IF(B96="","",IF(G96="","",IF(P96=0,"",ROUND(G96/P96,2))))</f>
        <v>0</v>
      </c>
      <c r="W96" s="26">
        <f>IF(B96="","",IF(T96="","",IF(P96=0,"",ROUND(T96/P96,2))))</f>
        <v>0</v>
      </c>
      <c r="X96" s="26">
        <f>IF(B96="","",IF(P96=0,"",IF(ServiceCommission&gt;=1,"",(Q96+TargetChairRate*P96)/IF(J96="No",1,1-ServiceCommission))))</f>
        <v>0</v>
      </c>
      <c r="Y96" s="26">
        <f>IF(B96="","",IF(X96="","",ROUND(IF(RoundingRule="None",X96,IF(RoundingRule="Nearest 0.99",MAX(0.99,CEILING(X96,1)-0.01),IF(RoundingRule="Nearest 0.95",MAX(0.95,CEILING(X96,1)-0.05),IF(RoundingRule="Nearest 0.50",CEILING(X96,0.5),IF(RoundingRule="Nearest 1",CEILING(X96,1),IF(RoundingRule="Nearest 5",CEILING(X96,5),IF(RoundingRule="Up to whole 1",CEILING(X96,1),IF(RoundingRule="Up to whole 5",CEILING(X96,5),ROUND(X96,2))))))))),2)))</f>
        <v>0</v>
      </c>
      <c r="Z96" s="26">
        <f>IF(B96="","",IF(Y96="","",IF(G96="","",ROUND(G96-Y96,2))))</f>
        <v>0</v>
      </c>
      <c r="AA96" s="25">
        <f>IF(B96="","",COUNTIFS(Appointments!$G$5:$G$1204,A96))</f>
        <v>0</v>
      </c>
      <c r="AB96" s="25">
        <f>IF(B96="","",COUNTIFS(Appointments!$G$5:$G$1204,A96,Appointments!$M$5:$M$1204,"Completed"))</f>
        <v>0</v>
      </c>
      <c r="AC96" s="25">
        <f>IF(B96="","",SUMIFS(Sales!$K$5:$K$1204,Sales!$I$5:$I$1204,A96,Sales!$H$5:$H$1204,"Service"))</f>
        <v>0</v>
      </c>
      <c r="AD96" s="26">
        <f>IF(B96="","",ROUND(SUMIFS(Sales!$Y$5:$Y$1204,Sales!$I$5:$I$1204,A96,Sales!$H$5:$H$1204,"Service"),2))</f>
        <v>0</v>
      </c>
      <c r="AE96" s="27">
        <f>IF(B96="","",IF(ServiceRevenueAll=0,"",AD96/ServiceRevenueAll))</f>
        <v>0</v>
      </c>
      <c r="AF96" s="26">
        <f>IF(B96="","",ROUND(AC96*T96,2))</f>
        <v>0</v>
      </c>
      <c r="AG96" s="37">
        <f>IF(B96="","",ROUND(AC96*P96,1))</f>
        <v>0</v>
      </c>
      <c r="AH96" s="27">
        <f>IF(B96="","",IF(AB96=0,"",COUNTIFS(Sales!$I$5:$I$1204,A96,Sales!$AJ$5:$AJ$1204,"Yes")/AB96))</f>
        <v>0</v>
      </c>
      <c r="AI96" s="17">
        <f>IF(B96="","",IFERROR(IF(COUNTIFS(Appointments!$G$5:$G$1204,A96)=0,"",SUMPRODUCT(MAX((Appointments!$G$5:$G$1204=A96)*IFERROR(Appointments!$B$5:$B$1204*1,0)))),""))</f>
        <v>0</v>
      </c>
      <c r="AJ96" s="25">
        <f>IF(B96="","",COUNTIFS($AD$5:$AD$204,"&gt;"&amp;AD96)+COUNTIFS($AD$5:AD96,AD96))</f>
        <v>0</v>
      </c>
      <c r="AK96" s="25">
        <f>IF(B96="","",COUNTIFS($W$5:$W$204,"&gt;"&amp;W96)+COUNTIFS($W$5:W96,W96))</f>
        <v>0</v>
      </c>
      <c r="AL96" s="25">
        <f>IF(B96="","",COUNTIFS($AB$5:$AB$204,"&gt;"&amp;AB96)+COUNTIFS($AB$5:AB96,AB96))</f>
        <v>0</v>
      </c>
      <c r="AM96" s="39">
        <f>IF(B96="","",IF(G96="","Add - no price yet",IF(E96="","Add - how long does it take?",IF(T96&lt;0,"Loss - this service costs you money",IF(V96&lt;TargetChairRate*0.7,"Check - well under your chair rate",IF(IF(N96="",FALSE,TodayDate-N96&gt;PriceReviewDays),"Due - price has not been reviewed",IF(IF(M96="Active",AB96=0,FALSE),"Check - on the menu but never booked","OK")))))))</f>
        <v>0</v>
      </c>
    </row>
    <row r="97" spans="1:39">
      <c r="A97" s="28">
        <f>IF(B97="","",ServicePrefix&amp;TEXT(ROW()-4,"000"))</f>
        <v>0</v>
      </c>
      <c r="P97" s="42">
        <f>IF(B97="","",ROUND((IF(E97="",0,E97)+IF(F97="",0,F97))/60,3))</f>
        <v>0</v>
      </c>
      <c r="Q97" s="26">
        <f>IF(B97="","",IF(H97&lt;&gt;"",H97,IF(G97="",0,ROUND(G97*ProductCostPercent,2))))</f>
        <v>0</v>
      </c>
      <c r="R97" s="26">
        <f>IF(B97="","",IF(J97="No",0,IF(G97="",0,ROUND(G97*ServiceCommission,2))))</f>
        <v>0</v>
      </c>
      <c r="S97" s="26">
        <f>IF(B97="","",ROUND(Q97+R97,2))</f>
        <v>0</v>
      </c>
      <c r="T97" s="26">
        <f>IF(B97="","",IF(G97="","",ROUND(G97-S97,2)))</f>
        <v>0</v>
      </c>
      <c r="U97" s="27">
        <f>IF(B97="","",IF(G97="","",IF(G97=0,"",T97/G97)))</f>
        <v>0</v>
      </c>
      <c r="V97" s="26">
        <f>IF(B97="","",IF(G97="","",IF(P97=0,"",ROUND(G97/P97,2))))</f>
        <v>0</v>
      </c>
      <c r="W97" s="26">
        <f>IF(B97="","",IF(T97="","",IF(P97=0,"",ROUND(T97/P97,2))))</f>
        <v>0</v>
      </c>
      <c r="X97" s="26">
        <f>IF(B97="","",IF(P97=0,"",IF(ServiceCommission&gt;=1,"",(Q97+TargetChairRate*P97)/IF(J97="No",1,1-ServiceCommission))))</f>
        <v>0</v>
      </c>
      <c r="Y97" s="26">
        <f>IF(B97="","",IF(X97="","",ROUND(IF(RoundingRule="None",X97,IF(RoundingRule="Nearest 0.99",MAX(0.99,CEILING(X97,1)-0.01),IF(RoundingRule="Nearest 0.95",MAX(0.95,CEILING(X97,1)-0.05),IF(RoundingRule="Nearest 0.50",CEILING(X97,0.5),IF(RoundingRule="Nearest 1",CEILING(X97,1),IF(RoundingRule="Nearest 5",CEILING(X97,5),IF(RoundingRule="Up to whole 1",CEILING(X97,1),IF(RoundingRule="Up to whole 5",CEILING(X97,5),ROUND(X97,2))))))))),2)))</f>
        <v>0</v>
      </c>
      <c r="Z97" s="26">
        <f>IF(B97="","",IF(Y97="","",IF(G97="","",ROUND(G97-Y97,2))))</f>
        <v>0</v>
      </c>
      <c r="AA97" s="25">
        <f>IF(B97="","",COUNTIFS(Appointments!$G$5:$G$1204,A97))</f>
        <v>0</v>
      </c>
      <c r="AB97" s="25">
        <f>IF(B97="","",COUNTIFS(Appointments!$G$5:$G$1204,A97,Appointments!$M$5:$M$1204,"Completed"))</f>
        <v>0</v>
      </c>
      <c r="AC97" s="25">
        <f>IF(B97="","",SUMIFS(Sales!$K$5:$K$1204,Sales!$I$5:$I$1204,A97,Sales!$H$5:$H$1204,"Service"))</f>
        <v>0</v>
      </c>
      <c r="AD97" s="26">
        <f>IF(B97="","",ROUND(SUMIFS(Sales!$Y$5:$Y$1204,Sales!$I$5:$I$1204,A97,Sales!$H$5:$H$1204,"Service"),2))</f>
        <v>0</v>
      </c>
      <c r="AE97" s="27">
        <f>IF(B97="","",IF(ServiceRevenueAll=0,"",AD97/ServiceRevenueAll))</f>
        <v>0</v>
      </c>
      <c r="AF97" s="26">
        <f>IF(B97="","",ROUND(AC97*T97,2))</f>
        <v>0</v>
      </c>
      <c r="AG97" s="37">
        <f>IF(B97="","",ROUND(AC97*P97,1))</f>
        <v>0</v>
      </c>
      <c r="AH97" s="27">
        <f>IF(B97="","",IF(AB97=0,"",COUNTIFS(Sales!$I$5:$I$1204,A97,Sales!$AJ$5:$AJ$1204,"Yes")/AB97))</f>
        <v>0</v>
      </c>
      <c r="AI97" s="17">
        <f>IF(B97="","",IFERROR(IF(COUNTIFS(Appointments!$G$5:$G$1204,A97)=0,"",SUMPRODUCT(MAX((Appointments!$G$5:$G$1204=A97)*IFERROR(Appointments!$B$5:$B$1204*1,0)))),""))</f>
        <v>0</v>
      </c>
      <c r="AJ97" s="25">
        <f>IF(B97="","",COUNTIFS($AD$5:$AD$204,"&gt;"&amp;AD97)+COUNTIFS($AD$5:AD97,AD97))</f>
        <v>0</v>
      </c>
      <c r="AK97" s="25">
        <f>IF(B97="","",COUNTIFS($W$5:$W$204,"&gt;"&amp;W97)+COUNTIFS($W$5:W97,W97))</f>
        <v>0</v>
      </c>
      <c r="AL97" s="25">
        <f>IF(B97="","",COUNTIFS($AB$5:$AB$204,"&gt;"&amp;AB97)+COUNTIFS($AB$5:AB97,AB97))</f>
        <v>0</v>
      </c>
      <c r="AM97" s="39">
        <f>IF(B97="","",IF(G97="","Add - no price yet",IF(E97="","Add - how long does it take?",IF(T97&lt;0,"Loss - this service costs you money",IF(V97&lt;TargetChairRate*0.7,"Check - well under your chair rate",IF(IF(N97="",FALSE,TodayDate-N97&gt;PriceReviewDays),"Due - price has not been reviewed",IF(IF(M97="Active",AB97=0,FALSE),"Check - on the menu but never booked","OK")))))))</f>
        <v>0</v>
      </c>
    </row>
    <row r="98" spans="1:39">
      <c r="A98" s="28">
        <f>IF(B98="","",ServicePrefix&amp;TEXT(ROW()-4,"000"))</f>
        <v>0</v>
      </c>
      <c r="P98" s="42">
        <f>IF(B98="","",ROUND((IF(E98="",0,E98)+IF(F98="",0,F98))/60,3))</f>
        <v>0</v>
      </c>
      <c r="Q98" s="26">
        <f>IF(B98="","",IF(H98&lt;&gt;"",H98,IF(G98="",0,ROUND(G98*ProductCostPercent,2))))</f>
        <v>0</v>
      </c>
      <c r="R98" s="26">
        <f>IF(B98="","",IF(J98="No",0,IF(G98="",0,ROUND(G98*ServiceCommission,2))))</f>
        <v>0</v>
      </c>
      <c r="S98" s="26">
        <f>IF(B98="","",ROUND(Q98+R98,2))</f>
        <v>0</v>
      </c>
      <c r="T98" s="26">
        <f>IF(B98="","",IF(G98="","",ROUND(G98-S98,2)))</f>
        <v>0</v>
      </c>
      <c r="U98" s="27">
        <f>IF(B98="","",IF(G98="","",IF(G98=0,"",T98/G98)))</f>
        <v>0</v>
      </c>
      <c r="V98" s="26">
        <f>IF(B98="","",IF(G98="","",IF(P98=0,"",ROUND(G98/P98,2))))</f>
        <v>0</v>
      </c>
      <c r="W98" s="26">
        <f>IF(B98="","",IF(T98="","",IF(P98=0,"",ROUND(T98/P98,2))))</f>
        <v>0</v>
      </c>
      <c r="X98" s="26">
        <f>IF(B98="","",IF(P98=0,"",IF(ServiceCommission&gt;=1,"",(Q98+TargetChairRate*P98)/IF(J98="No",1,1-ServiceCommission))))</f>
        <v>0</v>
      </c>
      <c r="Y98" s="26">
        <f>IF(B98="","",IF(X98="","",ROUND(IF(RoundingRule="None",X98,IF(RoundingRule="Nearest 0.99",MAX(0.99,CEILING(X98,1)-0.01),IF(RoundingRule="Nearest 0.95",MAX(0.95,CEILING(X98,1)-0.05),IF(RoundingRule="Nearest 0.50",CEILING(X98,0.5),IF(RoundingRule="Nearest 1",CEILING(X98,1),IF(RoundingRule="Nearest 5",CEILING(X98,5),IF(RoundingRule="Up to whole 1",CEILING(X98,1),IF(RoundingRule="Up to whole 5",CEILING(X98,5),ROUND(X98,2))))))))),2)))</f>
        <v>0</v>
      </c>
      <c r="Z98" s="26">
        <f>IF(B98="","",IF(Y98="","",IF(G98="","",ROUND(G98-Y98,2))))</f>
        <v>0</v>
      </c>
      <c r="AA98" s="25">
        <f>IF(B98="","",COUNTIFS(Appointments!$G$5:$G$1204,A98))</f>
        <v>0</v>
      </c>
      <c r="AB98" s="25">
        <f>IF(B98="","",COUNTIFS(Appointments!$G$5:$G$1204,A98,Appointments!$M$5:$M$1204,"Completed"))</f>
        <v>0</v>
      </c>
      <c r="AC98" s="25">
        <f>IF(B98="","",SUMIFS(Sales!$K$5:$K$1204,Sales!$I$5:$I$1204,A98,Sales!$H$5:$H$1204,"Service"))</f>
        <v>0</v>
      </c>
      <c r="AD98" s="26">
        <f>IF(B98="","",ROUND(SUMIFS(Sales!$Y$5:$Y$1204,Sales!$I$5:$I$1204,A98,Sales!$H$5:$H$1204,"Service"),2))</f>
        <v>0</v>
      </c>
      <c r="AE98" s="27">
        <f>IF(B98="","",IF(ServiceRevenueAll=0,"",AD98/ServiceRevenueAll))</f>
        <v>0</v>
      </c>
      <c r="AF98" s="26">
        <f>IF(B98="","",ROUND(AC98*T98,2))</f>
        <v>0</v>
      </c>
      <c r="AG98" s="37">
        <f>IF(B98="","",ROUND(AC98*P98,1))</f>
        <v>0</v>
      </c>
      <c r="AH98" s="27">
        <f>IF(B98="","",IF(AB98=0,"",COUNTIFS(Sales!$I$5:$I$1204,A98,Sales!$AJ$5:$AJ$1204,"Yes")/AB98))</f>
        <v>0</v>
      </c>
      <c r="AI98" s="17">
        <f>IF(B98="","",IFERROR(IF(COUNTIFS(Appointments!$G$5:$G$1204,A98)=0,"",SUMPRODUCT(MAX((Appointments!$G$5:$G$1204=A98)*IFERROR(Appointments!$B$5:$B$1204*1,0)))),""))</f>
        <v>0</v>
      </c>
      <c r="AJ98" s="25">
        <f>IF(B98="","",COUNTIFS($AD$5:$AD$204,"&gt;"&amp;AD98)+COUNTIFS($AD$5:AD98,AD98))</f>
        <v>0</v>
      </c>
      <c r="AK98" s="25">
        <f>IF(B98="","",COUNTIFS($W$5:$W$204,"&gt;"&amp;W98)+COUNTIFS($W$5:W98,W98))</f>
        <v>0</v>
      </c>
      <c r="AL98" s="25">
        <f>IF(B98="","",COUNTIFS($AB$5:$AB$204,"&gt;"&amp;AB98)+COUNTIFS($AB$5:AB98,AB98))</f>
        <v>0</v>
      </c>
      <c r="AM98" s="39">
        <f>IF(B98="","",IF(G98="","Add - no price yet",IF(E98="","Add - how long does it take?",IF(T98&lt;0,"Loss - this service costs you money",IF(V98&lt;TargetChairRate*0.7,"Check - well under your chair rate",IF(IF(N98="",FALSE,TodayDate-N98&gt;PriceReviewDays),"Due - price has not been reviewed",IF(IF(M98="Active",AB98=0,FALSE),"Check - on the menu but never booked","OK")))))))</f>
        <v>0</v>
      </c>
    </row>
    <row r="99" spans="1:39">
      <c r="A99" s="28">
        <f>IF(B99="","",ServicePrefix&amp;TEXT(ROW()-4,"000"))</f>
        <v>0</v>
      </c>
      <c r="P99" s="42">
        <f>IF(B99="","",ROUND((IF(E99="",0,E99)+IF(F99="",0,F99))/60,3))</f>
        <v>0</v>
      </c>
      <c r="Q99" s="26">
        <f>IF(B99="","",IF(H99&lt;&gt;"",H99,IF(G99="",0,ROUND(G99*ProductCostPercent,2))))</f>
        <v>0</v>
      </c>
      <c r="R99" s="26">
        <f>IF(B99="","",IF(J99="No",0,IF(G99="",0,ROUND(G99*ServiceCommission,2))))</f>
        <v>0</v>
      </c>
      <c r="S99" s="26">
        <f>IF(B99="","",ROUND(Q99+R99,2))</f>
        <v>0</v>
      </c>
      <c r="T99" s="26">
        <f>IF(B99="","",IF(G99="","",ROUND(G99-S99,2)))</f>
        <v>0</v>
      </c>
      <c r="U99" s="27">
        <f>IF(B99="","",IF(G99="","",IF(G99=0,"",T99/G99)))</f>
        <v>0</v>
      </c>
      <c r="V99" s="26">
        <f>IF(B99="","",IF(G99="","",IF(P99=0,"",ROUND(G99/P99,2))))</f>
        <v>0</v>
      </c>
      <c r="W99" s="26">
        <f>IF(B99="","",IF(T99="","",IF(P99=0,"",ROUND(T99/P99,2))))</f>
        <v>0</v>
      </c>
      <c r="X99" s="26">
        <f>IF(B99="","",IF(P99=0,"",IF(ServiceCommission&gt;=1,"",(Q99+TargetChairRate*P99)/IF(J99="No",1,1-ServiceCommission))))</f>
        <v>0</v>
      </c>
      <c r="Y99" s="26">
        <f>IF(B99="","",IF(X99="","",ROUND(IF(RoundingRule="None",X99,IF(RoundingRule="Nearest 0.99",MAX(0.99,CEILING(X99,1)-0.01),IF(RoundingRule="Nearest 0.95",MAX(0.95,CEILING(X99,1)-0.05),IF(RoundingRule="Nearest 0.50",CEILING(X99,0.5),IF(RoundingRule="Nearest 1",CEILING(X99,1),IF(RoundingRule="Nearest 5",CEILING(X99,5),IF(RoundingRule="Up to whole 1",CEILING(X99,1),IF(RoundingRule="Up to whole 5",CEILING(X99,5),ROUND(X99,2))))))))),2)))</f>
        <v>0</v>
      </c>
      <c r="Z99" s="26">
        <f>IF(B99="","",IF(Y99="","",IF(G99="","",ROUND(G99-Y99,2))))</f>
        <v>0</v>
      </c>
      <c r="AA99" s="25">
        <f>IF(B99="","",COUNTIFS(Appointments!$G$5:$G$1204,A99))</f>
        <v>0</v>
      </c>
      <c r="AB99" s="25">
        <f>IF(B99="","",COUNTIFS(Appointments!$G$5:$G$1204,A99,Appointments!$M$5:$M$1204,"Completed"))</f>
        <v>0</v>
      </c>
      <c r="AC99" s="25">
        <f>IF(B99="","",SUMIFS(Sales!$K$5:$K$1204,Sales!$I$5:$I$1204,A99,Sales!$H$5:$H$1204,"Service"))</f>
        <v>0</v>
      </c>
      <c r="AD99" s="26">
        <f>IF(B99="","",ROUND(SUMIFS(Sales!$Y$5:$Y$1204,Sales!$I$5:$I$1204,A99,Sales!$H$5:$H$1204,"Service"),2))</f>
        <v>0</v>
      </c>
      <c r="AE99" s="27">
        <f>IF(B99="","",IF(ServiceRevenueAll=0,"",AD99/ServiceRevenueAll))</f>
        <v>0</v>
      </c>
      <c r="AF99" s="26">
        <f>IF(B99="","",ROUND(AC99*T99,2))</f>
        <v>0</v>
      </c>
      <c r="AG99" s="37">
        <f>IF(B99="","",ROUND(AC99*P99,1))</f>
        <v>0</v>
      </c>
      <c r="AH99" s="27">
        <f>IF(B99="","",IF(AB99=0,"",COUNTIFS(Sales!$I$5:$I$1204,A99,Sales!$AJ$5:$AJ$1204,"Yes")/AB99))</f>
        <v>0</v>
      </c>
      <c r="AI99" s="17">
        <f>IF(B99="","",IFERROR(IF(COUNTIFS(Appointments!$G$5:$G$1204,A99)=0,"",SUMPRODUCT(MAX((Appointments!$G$5:$G$1204=A99)*IFERROR(Appointments!$B$5:$B$1204*1,0)))),""))</f>
        <v>0</v>
      </c>
      <c r="AJ99" s="25">
        <f>IF(B99="","",COUNTIFS($AD$5:$AD$204,"&gt;"&amp;AD99)+COUNTIFS($AD$5:AD99,AD99))</f>
        <v>0</v>
      </c>
      <c r="AK99" s="25">
        <f>IF(B99="","",COUNTIFS($W$5:$W$204,"&gt;"&amp;W99)+COUNTIFS($W$5:W99,W99))</f>
        <v>0</v>
      </c>
      <c r="AL99" s="25">
        <f>IF(B99="","",COUNTIFS($AB$5:$AB$204,"&gt;"&amp;AB99)+COUNTIFS($AB$5:AB99,AB99))</f>
        <v>0</v>
      </c>
      <c r="AM99" s="39">
        <f>IF(B99="","",IF(G99="","Add - no price yet",IF(E99="","Add - how long does it take?",IF(T99&lt;0,"Loss - this service costs you money",IF(V99&lt;TargetChairRate*0.7,"Check - well under your chair rate",IF(IF(N99="",FALSE,TodayDate-N99&gt;PriceReviewDays),"Due - price has not been reviewed",IF(IF(M99="Active",AB99=0,FALSE),"Check - on the menu but never booked","OK")))))))</f>
        <v>0</v>
      </c>
    </row>
    <row r="100" spans="1:39">
      <c r="A100" s="28">
        <f>IF(B100="","",ServicePrefix&amp;TEXT(ROW()-4,"000"))</f>
        <v>0</v>
      </c>
      <c r="P100" s="42">
        <f>IF(B100="","",ROUND((IF(E100="",0,E100)+IF(F100="",0,F100))/60,3))</f>
        <v>0</v>
      </c>
      <c r="Q100" s="26">
        <f>IF(B100="","",IF(H100&lt;&gt;"",H100,IF(G100="",0,ROUND(G100*ProductCostPercent,2))))</f>
        <v>0</v>
      </c>
      <c r="R100" s="26">
        <f>IF(B100="","",IF(J100="No",0,IF(G100="",0,ROUND(G100*ServiceCommission,2))))</f>
        <v>0</v>
      </c>
      <c r="S100" s="26">
        <f>IF(B100="","",ROUND(Q100+R100,2))</f>
        <v>0</v>
      </c>
      <c r="T100" s="26">
        <f>IF(B100="","",IF(G100="","",ROUND(G100-S100,2)))</f>
        <v>0</v>
      </c>
      <c r="U100" s="27">
        <f>IF(B100="","",IF(G100="","",IF(G100=0,"",T100/G100)))</f>
        <v>0</v>
      </c>
      <c r="V100" s="26">
        <f>IF(B100="","",IF(G100="","",IF(P100=0,"",ROUND(G100/P100,2))))</f>
        <v>0</v>
      </c>
      <c r="W100" s="26">
        <f>IF(B100="","",IF(T100="","",IF(P100=0,"",ROUND(T100/P100,2))))</f>
        <v>0</v>
      </c>
      <c r="X100" s="26">
        <f>IF(B100="","",IF(P100=0,"",IF(ServiceCommission&gt;=1,"",(Q100+TargetChairRate*P100)/IF(J100="No",1,1-ServiceCommission))))</f>
        <v>0</v>
      </c>
      <c r="Y100" s="26">
        <f>IF(B100="","",IF(X100="","",ROUND(IF(RoundingRule="None",X100,IF(RoundingRule="Nearest 0.99",MAX(0.99,CEILING(X100,1)-0.01),IF(RoundingRule="Nearest 0.95",MAX(0.95,CEILING(X100,1)-0.05),IF(RoundingRule="Nearest 0.50",CEILING(X100,0.5),IF(RoundingRule="Nearest 1",CEILING(X100,1),IF(RoundingRule="Nearest 5",CEILING(X100,5),IF(RoundingRule="Up to whole 1",CEILING(X100,1),IF(RoundingRule="Up to whole 5",CEILING(X100,5),ROUND(X100,2))))))))),2)))</f>
        <v>0</v>
      </c>
      <c r="Z100" s="26">
        <f>IF(B100="","",IF(Y100="","",IF(G100="","",ROUND(G100-Y100,2))))</f>
        <v>0</v>
      </c>
      <c r="AA100" s="25">
        <f>IF(B100="","",COUNTIFS(Appointments!$G$5:$G$1204,A100))</f>
        <v>0</v>
      </c>
      <c r="AB100" s="25">
        <f>IF(B100="","",COUNTIFS(Appointments!$G$5:$G$1204,A100,Appointments!$M$5:$M$1204,"Completed"))</f>
        <v>0</v>
      </c>
      <c r="AC100" s="25">
        <f>IF(B100="","",SUMIFS(Sales!$K$5:$K$1204,Sales!$I$5:$I$1204,A100,Sales!$H$5:$H$1204,"Service"))</f>
        <v>0</v>
      </c>
      <c r="AD100" s="26">
        <f>IF(B100="","",ROUND(SUMIFS(Sales!$Y$5:$Y$1204,Sales!$I$5:$I$1204,A100,Sales!$H$5:$H$1204,"Service"),2))</f>
        <v>0</v>
      </c>
      <c r="AE100" s="27">
        <f>IF(B100="","",IF(ServiceRevenueAll=0,"",AD100/ServiceRevenueAll))</f>
        <v>0</v>
      </c>
      <c r="AF100" s="26">
        <f>IF(B100="","",ROUND(AC100*T100,2))</f>
        <v>0</v>
      </c>
      <c r="AG100" s="37">
        <f>IF(B100="","",ROUND(AC100*P100,1))</f>
        <v>0</v>
      </c>
      <c r="AH100" s="27">
        <f>IF(B100="","",IF(AB100=0,"",COUNTIFS(Sales!$I$5:$I$1204,A100,Sales!$AJ$5:$AJ$1204,"Yes")/AB100))</f>
        <v>0</v>
      </c>
      <c r="AI100" s="17">
        <f>IF(B100="","",IFERROR(IF(COUNTIFS(Appointments!$G$5:$G$1204,A100)=0,"",SUMPRODUCT(MAX((Appointments!$G$5:$G$1204=A100)*IFERROR(Appointments!$B$5:$B$1204*1,0)))),""))</f>
        <v>0</v>
      </c>
      <c r="AJ100" s="25">
        <f>IF(B100="","",COUNTIFS($AD$5:$AD$204,"&gt;"&amp;AD100)+COUNTIFS($AD$5:AD100,AD100))</f>
        <v>0</v>
      </c>
      <c r="AK100" s="25">
        <f>IF(B100="","",COUNTIFS($W$5:$W$204,"&gt;"&amp;W100)+COUNTIFS($W$5:W100,W100))</f>
        <v>0</v>
      </c>
      <c r="AL100" s="25">
        <f>IF(B100="","",COUNTIFS($AB$5:$AB$204,"&gt;"&amp;AB100)+COUNTIFS($AB$5:AB100,AB100))</f>
        <v>0</v>
      </c>
      <c r="AM100" s="39">
        <f>IF(B100="","",IF(G100="","Add - no price yet",IF(E100="","Add - how long does it take?",IF(T100&lt;0,"Loss - this service costs you money",IF(V100&lt;TargetChairRate*0.7,"Check - well under your chair rate",IF(IF(N100="",FALSE,TodayDate-N100&gt;PriceReviewDays),"Due - price has not been reviewed",IF(IF(M100="Active",AB100=0,FALSE),"Check - on the menu but never booked","OK")))))))</f>
        <v>0</v>
      </c>
    </row>
    <row r="101" spans="1:39">
      <c r="A101" s="28">
        <f>IF(B101="","",ServicePrefix&amp;TEXT(ROW()-4,"000"))</f>
        <v>0</v>
      </c>
      <c r="P101" s="42">
        <f>IF(B101="","",ROUND((IF(E101="",0,E101)+IF(F101="",0,F101))/60,3))</f>
        <v>0</v>
      </c>
      <c r="Q101" s="26">
        <f>IF(B101="","",IF(H101&lt;&gt;"",H101,IF(G101="",0,ROUND(G101*ProductCostPercent,2))))</f>
        <v>0</v>
      </c>
      <c r="R101" s="26">
        <f>IF(B101="","",IF(J101="No",0,IF(G101="",0,ROUND(G101*ServiceCommission,2))))</f>
        <v>0</v>
      </c>
      <c r="S101" s="26">
        <f>IF(B101="","",ROUND(Q101+R101,2))</f>
        <v>0</v>
      </c>
      <c r="T101" s="26">
        <f>IF(B101="","",IF(G101="","",ROUND(G101-S101,2)))</f>
        <v>0</v>
      </c>
      <c r="U101" s="27">
        <f>IF(B101="","",IF(G101="","",IF(G101=0,"",T101/G101)))</f>
        <v>0</v>
      </c>
      <c r="V101" s="26">
        <f>IF(B101="","",IF(G101="","",IF(P101=0,"",ROUND(G101/P101,2))))</f>
        <v>0</v>
      </c>
      <c r="W101" s="26">
        <f>IF(B101="","",IF(T101="","",IF(P101=0,"",ROUND(T101/P101,2))))</f>
        <v>0</v>
      </c>
      <c r="X101" s="26">
        <f>IF(B101="","",IF(P101=0,"",IF(ServiceCommission&gt;=1,"",(Q101+TargetChairRate*P101)/IF(J101="No",1,1-ServiceCommission))))</f>
        <v>0</v>
      </c>
      <c r="Y101" s="26">
        <f>IF(B101="","",IF(X101="","",ROUND(IF(RoundingRule="None",X101,IF(RoundingRule="Nearest 0.99",MAX(0.99,CEILING(X101,1)-0.01),IF(RoundingRule="Nearest 0.95",MAX(0.95,CEILING(X101,1)-0.05),IF(RoundingRule="Nearest 0.50",CEILING(X101,0.5),IF(RoundingRule="Nearest 1",CEILING(X101,1),IF(RoundingRule="Nearest 5",CEILING(X101,5),IF(RoundingRule="Up to whole 1",CEILING(X101,1),IF(RoundingRule="Up to whole 5",CEILING(X101,5),ROUND(X101,2))))))))),2)))</f>
        <v>0</v>
      </c>
      <c r="Z101" s="26">
        <f>IF(B101="","",IF(Y101="","",IF(G101="","",ROUND(G101-Y101,2))))</f>
        <v>0</v>
      </c>
      <c r="AA101" s="25">
        <f>IF(B101="","",COUNTIFS(Appointments!$G$5:$G$1204,A101))</f>
        <v>0</v>
      </c>
      <c r="AB101" s="25">
        <f>IF(B101="","",COUNTIFS(Appointments!$G$5:$G$1204,A101,Appointments!$M$5:$M$1204,"Completed"))</f>
        <v>0</v>
      </c>
      <c r="AC101" s="25">
        <f>IF(B101="","",SUMIFS(Sales!$K$5:$K$1204,Sales!$I$5:$I$1204,A101,Sales!$H$5:$H$1204,"Service"))</f>
        <v>0</v>
      </c>
      <c r="AD101" s="26">
        <f>IF(B101="","",ROUND(SUMIFS(Sales!$Y$5:$Y$1204,Sales!$I$5:$I$1204,A101,Sales!$H$5:$H$1204,"Service"),2))</f>
        <v>0</v>
      </c>
      <c r="AE101" s="27">
        <f>IF(B101="","",IF(ServiceRevenueAll=0,"",AD101/ServiceRevenueAll))</f>
        <v>0</v>
      </c>
      <c r="AF101" s="26">
        <f>IF(B101="","",ROUND(AC101*T101,2))</f>
        <v>0</v>
      </c>
      <c r="AG101" s="37">
        <f>IF(B101="","",ROUND(AC101*P101,1))</f>
        <v>0</v>
      </c>
      <c r="AH101" s="27">
        <f>IF(B101="","",IF(AB101=0,"",COUNTIFS(Sales!$I$5:$I$1204,A101,Sales!$AJ$5:$AJ$1204,"Yes")/AB101))</f>
        <v>0</v>
      </c>
      <c r="AI101" s="17">
        <f>IF(B101="","",IFERROR(IF(COUNTIFS(Appointments!$G$5:$G$1204,A101)=0,"",SUMPRODUCT(MAX((Appointments!$G$5:$G$1204=A101)*IFERROR(Appointments!$B$5:$B$1204*1,0)))),""))</f>
        <v>0</v>
      </c>
      <c r="AJ101" s="25">
        <f>IF(B101="","",COUNTIFS($AD$5:$AD$204,"&gt;"&amp;AD101)+COUNTIFS($AD$5:AD101,AD101))</f>
        <v>0</v>
      </c>
      <c r="AK101" s="25">
        <f>IF(B101="","",COUNTIFS($W$5:$W$204,"&gt;"&amp;W101)+COUNTIFS($W$5:W101,W101))</f>
        <v>0</v>
      </c>
      <c r="AL101" s="25">
        <f>IF(B101="","",COUNTIFS($AB$5:$AB$204,"&gt;"&amp;AB101)+COUNTIFS($AB$5:AB101,AB101))</f>
        <v>0</v>
      </c>
      <c r="AM101" s="39">
        <f>IF(B101="","",IF(G101="","Add - no price yet",IF(E101="","Add - how long does it take?",IF(T101&lt;0,"Loss - this service costs you money",IF(V101&lt;TargetChairRate*0.7,"Check - well under your chair rate",IF(IF(N101="",FALSE,TodayDate-N101&gt;PriceReviewDays),"Due - price has not been reviewed",IF(IF(M101="Active",AB101=0,FALSE),"Check - on the menu but never booked","OK")))))))</f>
        <v>0</v>
      </c>
    </row>
    <row r="102" spans="1:39">
      <c r="A102" s="28">
        <f>IF(B102="","",ServicePrefix&amp;TEXT(ROW()-4,"000"))</f>
        <v>0</v>
      </c>
      <c r="P102" s="42">
        <f>IF(B102="","",ROUND((IF(E102="",0,E102)+IF(F102="",0,F102))/60,3))</f>
        <v>0</v>
      </c>
      <c r="Q102" s="26">
        <f>IF(B102="","",IF(H102&lt;&gt;"",H102,IF(G102="",0,ROUND(G102*ProductCostPercent,2))))</f>
        <v>0</v>
      </c>
      <c r="R102" s="26">
        <f>IF(B102="","",IF(J102="No",0,IF(G102="",0,ROUND(G102*ServiceCommission,2))))</f>
        <v>0</v>
      </c>
      <c r="S102" s="26">
        <f>IF(B102="","",ROUND(Q102+R102,2))</f>
        <v>0</v>
      </c>
      <c r="T102" s="26">
        <f>IF(B102="","",IF(G102="","",ROUND(G102-S102,2)))</f>
        <v>0</v>
      </c>
      <c r="U102" s="27">
        <f>IF(B102="","",IF(G102="","",IF(G102=0,"",T102/G102)))</f>
        <v>0</v>
      </c>
      <c r="V102" s="26">
        <f>IF(B102="","",IF(G102="","",IF(P102=0,"",ROUND(G102/P102,2))))</f>
        <v>0</v>
      </c>
      <c r="W102" s="26">
        <f>IF(B102="","",IF(T102="","",IF(P102=0,"",ROUND(T102/P102,2))))</f>
        <v>0</v>
      </c>
      <c r="X102" s="26">
        <f>IF(B102="","",IF(P102=0,"",IF(ServiceCommission&gt;=1,"",(Q102+TargetChairRate*P102)/IF(J102="No",1,1-ServiceCommission))))</f>
        <v>0</v>
      </c>
      <c r="Y102" s="26">
        <f>IF(B102="","",IF(X102="","",ROUND(IF(RoundingRule="None",X102,IF(RoundingRule="Nearest 0.99",MAX(0.99,CEILING(X102,1)-0.01),IF(RoundingRule="Nearest 0.95",MAX(0.95,CEILING(X102,1)-0.05),IF(RoundingRule="Nearest 0.50",CEILING(X102,0.5),IF(RoundingRule="Nearest 1",CEILING(X102,1),IF(RoundingRule="Nearest 5",CEILING(X102,5),IF(RoundingRule="Up to whole 1",CEILING(X102,1),IF(RoundingRule="Up to whole 5",CEILING(X102,5),ROUND(X102,2))))))))),2)))</f>
        <v>0</v>
      </c>
      <c r="Z102" s="26">
        <f>IF(B102="","",IF(Y102="","",IF(G102="","",ROUND(G102-Y102,2))))</f>
        <v>0</v>
      </c>
      <c r="AA102" s="25">
        <f>IF(B102="","",COUNTIFS(Appointments!$G$5:$G$1204,A102))</f>
        <v>0</v>
      </c>
      <c r="AB102" s="25">
        <f>IF(B102="","",COUNTIFS(Appointments!$G$5:$G$1204,A102,Appointments!$M$5:$M$1204,"Completed"))</f>
        <v>0</v>
      </c>
      <c r="AC102" s="25">
        <f>IF(B102="","",SUMIFS(Sales!$K$5:$K$1204,Sales!$I$5:$I$1204,A102,Sales!$H$5:$H$1204,"Service"))</f>
        <v>0</v>
      </c>
      <c r="AD102" s="26">
        <f>IF(B102="","",ROUND(SUMIFS(Sales!$Y$5:$Y$1204,Sales!$I$5:$I$1204,A102,Sales!$H$5:$H$1204,"Service"),2))</f>
        <v>0</v>
      </c>
      <c r="AE102" s="27">
        <f>IF(B102="","",IF(ServiceRevenueAll=0,"",AD102/ServiceRevenueAll))</f>
        <v>0</v>
      </c>
      <c r="AF102" s="26">
        <f>IF(B102="","",ROUND(AC102*T102,2))</f>
        <v>0</v>
      </c>
      <c r="AG102" s="37">
        <f>IF(B102="","",ROUND(AC102*P102,1))</f>
        <v>0</v>
      </c>
      <c r="AH102" s="27">
        <f>IF(B102="","",IF(AB102=0,"",COUNTIFS(Sales!$I$5:$I$1204,A102,Sales!$AJ$5:$AJ$1204,"Yes")/AB102))</f>
        <v>0</v>
      </c>
      <c r="AI102" s="17">
        <f>IF(B102="","",IFERROR(IF(COUNTIFS(Appointments!$G$5:$G$1204,A102)=0,"",SUMPRODUCT(MAX((Appointments!$G$5:$G$1204=A102)*IFERROR(Appointments!$B$5:$B$1204*1,0)))),""))</f>
        <v>0</v>
      </c>
      <c r="AJ102" s="25">
        <f>IF(B102="","",COUNTIFS($AD$5:$AD$204,"&gt;"&amp;AD102)+COUNTIFS($AD$5:AD102,AD102))</f>
        <v>0</v>
      </c>
      <c r="AK102" s="25">
        <f>IF(B102="","",COUNTIFS($W$5:$W$204,"&gt;"&amp;W102)+COUNTIFS($W$5:W102,W102))</f>
        <v>0</v>
      </c>
      <c r="AL102" s="25">
        <f>IF(B102="","",COUNTIFS($AB$5:$AB$204,"&gt;"&amp;AB102)+COUNTIFS($AB$5:AB102,AB102))</f>
        <v>0</v>
      </c>
      <c r="AM102" s="39">
        <f>IF(B102="","",IF(G102="","Add - no price yet",IF(E102="","Add - how long does it take?",IF(T102&lt;0,"Loss - this service costs you money",IF(V102&lt;TargetChairRate*0.7,"Check - well under your chair rate",IF(IF(N102="",FALSE,TodayDate-N102&gt;PriceReviewDays),"Due - price has not been reviewed",IF(IF(M102="Active",AB102=0,FALSE),"Check - on the menu but never booked","OK")))))))</f>
        <v>0</v>
      </c>
    </row>
    <row r="103" spans="1:39">
      <c r="A103" s="28">
        <f>IF(B103="","",ServicePrefix&amp;TEXT(ROW()-4,"000"))</f>
        <v>0</v>
      </c>
      <c r="P103" s="42">
        <f>IF(B103="","",ROUND((IF(E103="",0,E103)+IF(F103="",0,F103))/60,3))</f>
        <v>0</v>
      </c>
      <c r="Q103" s="26">
        <f>IF(B103="","",IF(H103&lt;&gt;"",H103,IF(G103="",0,ROUND(G103*ProductCostPercent,2))))</f>
        <v>0</v>
      </c>
      <c r="R103" s="26">
        <f>IF(B103="","",IF(J103="No",0,IF(G103="",0,ROUND(G103*ServiceCommission,2))))</f>
        <v>0</v>
      </c>
      <c r="S103" s="26">
        <f>IF(B103="","",ROUND(Q103+R103,2))</f>
        <v>0</v>
      </c>
      <c r="T103" s="26">
        <f>IF(B103="","",IF(G103="","",ROUND(G103-S103,2)))</f>
        <v>0</v>
      </c>
      <c r="U103" s="27">
        <f>IF(B103="","",IF(G103="","",IF(G103=0,"",T103/G103)))</f>
        <v>0</v>
      </c>
      <c r="V103" s="26">
        <f>IF(B103="","",IF(G103="","",IF(P103=0,"",ROUND(G103/P103,2))))</f>
        <v>0</v>
      </c>
      <c r="W103" s="26">
        <f>IF(B103="","",IF(T103="","",IF(P103=0,"",ROUND(T103/P103,2))))</f>
        <v>0</v>
      </c>
      <c r="X103" s="26">
        <f>IF(B103="","",IF(P103=0,"",IF(ServiceCommission&gt;=1,"",(Q103+TargetChairRate*P103)/IF(J103="No",1,1-ServiceCommission))))</f>
        <v>0</v>
      </c>
      <c r="Y103" s="26">
        <f>IF(B103="","",IF(X103="","",ROUND(IF(RoundingRule="None",X103,IF(RoundingRule="Nearest 0.99",MAX(0.99,CEILING(X103,1)-0.01),IF(RoundingRule="Nearest 0.95",MAX(0.95,CEILING(X103,1)-0.05),IF(RoundingRule="Nearest 0.50",CEILING(X103,0.5),IF(RoundingRule="Nearest 1",CEILING(X103,1),IF(RoundingRule="Nearest 5",CEILING(X103,5),IF(RoundingRule="Up to whole 1",CEILING(X103,1),IF(RoundingRule="Up to whole 5",CEILING(X103,5),ROUND(X103,2))))))))),2)))</f>
        <v>0</v>
      </c>
      <c r="Z103" s="26">
        <f>IF(B103="","",IF(Y103="","",IF(G103="","",ROUND(G103-Y103,2))))</f>
        <v>0</v>
      </c>
      <c r="AA103" s="25">
        <f>IF(B103="","",COUNTIFS(Appointments!$G$5:$G$1204,A103))</f>
        <v>0</v>
      </c>
      <c r="AB103" s="25">
        <f>IF(B103="","",COUNTIFS(Appointments!$G$5:$G$1204,A103,Appointments!$M$5:$M$1204,"Completed"))</f>
        <v>0</v>
      </c>
      <c r="AC103" s="25">
        <f>IF(B103="","",SUMIFS(Sales!$K$5:$K$1204,Sales!$I$5:$I$1204,A103,Sales!$H$5:$H$1204,"Service"))</f>
        <v>0</v>
      </c>
      <c r="AD103" s="26">
        <f>IF(B103="","",ROUND(SUMIFS(Sales!$Y$5:$Y$1204,Sales!$I$5:$I$1204,A103,Sales!$H$5:$H$1204,"Service"),2))</f>
        <v>0</v>
      </c>
      <c r="AE103" s="27">
        <f>IF(B103="","",IF(ServiceRevenueAll=0,"",AD103/ServiceRevenueAll))</f>
        <v>0</v>
      </c>
      <c r="AF103" s="26">
        <f>IF(B103="","",ROUND(AC103*T103,2))</f>
        <v>0</v>
      </c>
      <c r="AG103" s="37">
        <f>IF(B103="","",ROUND(AC103*P103,1))</f>
        <v>0</v>
      </c>
      <c r="AH103" s="27">
        <f>IF(B103="","",IF(AB103=0,"",COUNTIFS(Sales!$I$5:$I$1204,A103,Sales!$AJ$5:$AJ$1204,"Yes")/AB103))</f>
        <v>0</v>
      </c>
      <c r="AI103" s="17">
        <f>IF(B103="","",IFERROR(IF(COUNTIFS(Appointments!$G$5:$G$1204,A103)=0,"",SUMPRODUCT(MAX((Appointments!$G$5:$G$1204=A103)*IFERROR(Appointments!$B$5:$B$1204*1,0)))),""))</f>
        <v>0</v>
      </c>
      <c r="AJ103" s="25">
        <f>IF(B103="","",COUNTIFS($AD$5:$AD$204,"&gt;"&amp;AD103)+COUNTIFS($AD$5:AD103,AD103))</f>
        <v>0</v>
      </c>
      <c r="AK103" s="25">
        <f>IF(B103="","",COUNTIFS($W$5:$W$204,"&gt;"&amp;W103)+COUNTIFS($W$5:W103,W103))</f>
        <v>0</v>
      </c>
      <c r="AL103" s="25">
        <f>IF(B103="","",COUNTIFS($AB$5:$AB$204,"&gt;"&amp;AB103)+COUNTIFS($AB$5:AB103,AB103))</f>
        <v>0</v>
      </c>
      <c r="AM103" s="39">
        <f>IF(B103="","",IF(G103="","Add - no price yet",IF(E103="","Add - how long does it take?",IF(T103&lt;0,"Loss - this service costs you money",IF(V103&lt;TargetChairRate*0.7,"Check - well under your chair rate",IF(IF(N103="",FALSE,TodayDate-N103&gt;PriceReviewDays),"Due - price has not been reviewed",IF(IF(M103="Active",AB103=0,FALSE),"Check - on the menu but never booked","OK")))))))</f>
        <v>0</v>
      </c>
    </row>
    <row r="104" spans="1:39">
      <c r="A104" s="28">
        <f>IF(B104="","",ServicePrefix&amp;TEXT(ROW()-4,"000"))</f>
        <v>0</v>
      </c>
      <c r="P104" s="42">
        <f>IF(B104="","",ROUND((IF(E104="",0,E104)+IF(F104="",0,F104))/60,3))</f>
        <v>0</v>
      </c>
      <c r="Q104" s="26">
        <f>IF(B104="","",IF(H104&lt;&gt;"",H104,IF(G104="",0,ROUND(G104*ProductCostPercent,2))))</f>
        <v>0</v>
      </c>
      <c r="R104" s="26">
        <f>IF(B104="","",IF(J104="No",0,IF(G104="",0,ROUND(G104*ServiceCommission,2))))</f>
        <v>0</v>
      </c>
      <c r="S104" s="26">
        <f>IF(B104="","",ROUND(Q104+R104,2))</f>
        <v>0</v>
      </c>
      <c r="T104" s="26">
        <f>IF(B104="","",IF(G104="","",ROUND(G104-S104,2)))</f>
        <v>0</v>
      </c>
      <c r="U104" s="27">
        <f>IF(B104="","",IF(G104="","",IF(G104=0,"",T104/G104)))</f>
        <v>0</v>
      </c>
      <c r="V104" s="26">
        <f>IF(B104="","",IF(G104="","",IF(P104=0,"",ROUND(G104/P104,2))))</f>
        <v>0</v>
      </c>
      <c r="W104" s="26">
        <f>IF(B104="","",IF(T104="","",IF(P104=0,"",ROUND(T104/P104,2))))</f>
        <v>0</v>
      </c>
      <c r="X104" s="26">
        <f>IF(B104="","",IF(P104=0,"",IF(ServiceCommission&gt;=1,"",(Q104+TargetChairRate*P104)/IF(J104="No",1,1-ServiceCommission))))</f>
        <v>0</v>
      </c>
      <c r="Y104" s="26">
        <f>IF(B104="","",IF(X104="","",ROUND(IF(RoundingRule="None",X104,IF(RoundingRule="Nearest 0.99",MAX(0.99,CEILING(X104,1)-0.01),IF(RoundingRule="Nearest 0.95",MAX(0.95,CEILING(X104,1)-0.05),IF(RoundingRule="Nearest 0.50",CEILING(X104,0.5),IF(RoundingRule="Nearest 1",CEILING(X104,1),IF(RoundingRule="Nearest 5",CEILING(X104,5),IF(RoundingRule="Up to whole 1",CEILING(X104,1),IF(RoundingRule="Up to whole 5",CEILING(X104,5),ROUND(X104,2))))))))),2)))</f>
        <v>0</v>
      </c>
      <c r="Z104" s="26">
        <f>IF(B104="","",IF(Y104="","",IF(G104="","",ROUND(G104-Y104,2))))</f>
        <v>0</v>
      </c>
      <c r="AA104" s="25">
        <f>IF(B104="","",COUNTIFS(Appointments!$G$5:$G$1204,A104))</f>
        <v>0</v>
      </c>
      <c r="AB104" s="25">
        <f>IF(B104="","",COUNTIFS(Appointments!$G$5:$G$1204,A104,Appointments!$M$5:$M$1204,"Completed"))</f>
        <v>0</v>
      </c>
      <c r="AC104" s="25">
        <f>IF(B104="","",SUMIFS(Sales!$K$5:$K$1204,Sales!$I$5:$I$1204,A104,Sales!$H$5:$H$1204,"Service"))</f>
        <v>0</v>
      </c>
      <c r="AD104" s="26">
        <f>IF(B104="","",ROUND(SUMIFS(Sales!$Y$5:$Y$1204,Sales!$I$5:$I$1204,A104,Sales!$H$5:$H$1204,"Service"),2))</f>
        <v>0</v>
      </c>
      <c r="AE104" s="27">
        <f>IF(B104="","",IF(ServiceRevenueAll=0,"",AD104/ServiceRevenueAll))</f>
        <v>0</v>
      </c>
      <c r="AF104" s="26">
        <f>IF(B104="","",ROUND(AC104*T104,2))</f>
        <v>0</v>
      </c>
      <c r="AG104" s="37">
        <f>IF(B104="","",ROUND(AC104*P104,1))</f>
        <v>0</v>
      </c>
      <c r="AH104" s="27">
        <f>IF(B104="","",IF(AB104=0,"",COUNTIFS(Sales!$I$5:$I$1204,A104,Sales!$AJ$5:$AJ$1204,"Yes")/AB104))</f>
        <v>0</v>
      </c>
      <c r="AI104" s="17">
        <f>IF(B104="","",IFERROR(IF(COUNTIFS(Appointments!$G$5:$G$1204,A104)=0,"",SUMPRODUCT(MAX((Appointments!$G$5:$G$1204=A104)*IFERROR(Appointments!$B$5:$B$1204*1,0)))),""))</f>
        <v>0</v>
      </c>
      <c r="AJ104" s="25">
        <f>IF(B104="","",COUNTIFS($AD$5:$AD$204,"&gt;"&amp;AD104)+COUNTIFS($AD$5:AD104,AD104))</f>
        <v>0</v>
      </c>
      <c r="AK104" s="25">
        <f>IF(B104="","",COUNTIFS($W$5:$W$204,"&gt;"&amp;W104)+COUNTIFS($W$5:W104,W104))</f>
        <v>0</v>
      </c>
      <c r="AL104" s="25">
        <f>IF(B104="","",COUNTIFS($AB$5:$AB$204,"&gt;"&amp;AB104)+COUNTIFS($AB$5:AB104,AB104))</f>
        <v>0</v>
      </c>
      <c r="AM104" s="39">
        <f>IF(B104="","",IF(G104="","Add - no price yet",IF(E104="","Add - how long does it take?",IF(T104&lt;0,"Loss - this service costs you money",IF(V104&lt;TargetChairRate*0.7,"Check - well under your chair rate",IF(IF(N104="",FALSE,TodayDate-N104&gt;PriceReviewDays),"Due - price has not been reviewed",IF(IF(M104="Active",AB104=0,FALSE),"Check - on the menu but never booked","OK")))))))</f>
        <v>0</v>
      </c>
    </row>
    <row r="105" spans="1:39">
      <c r="A105" s="28">
        <f>IF(B105="","",ServicePrefix&amp;TEXT(ROW()-4,"000"))</f>
        <v>0</v>
      </c>
      <c r="P105" s="42">
        <f>IF(B105="","",ROUND((IF(E105="",0,E105)+IF(F105="",0,F105))/60,3))</f>
        <v>0</v>
      </c>
      <c r="Q105" s="26">
        <f>IF(B105="","",IF(H105&lt;&gt;"",H105,IF(G105="",0,ROUND(G105*ProductCostPercent,2))))</f>
        <v>0</v>
      </c>
      <c r="R105" s="26">
        <f>IF(B105="","",IF(J105="No",0,IF(G105="",0,ROUND(G105*ServiceCommission,2))))</f>
        <v>0</v>
      </c>
      <c r="S105" s="26">
        <f>IF(B105="","",ROUND(Q105+R105,2))</f>
        <v>0</v>
      </c>
      <c r="T105" s="26">
        <f>IF(B105="","",IF(G105="","",ROUND(G105-S105,2)))</f>
        <v>0</v>
      </c>
      <c r="U105" s="27">
        <f>IF(B105="","",IF(G105="","",IF(G105=0,"",T105/G105)))</f>
        <v>0</v>
      </c>
      <c r="V105" s="26">
        <f>IF(B105="","",IF(G105="","",IF(P105=0,"",ROUND(G105/P105,2))))</f>
        <v>0</v>
      </c>
      <c r="W105" s="26">
        <f>IF(B105="","",IF(T105="","",IF(P105=0,"",ROUND(T105/P105,2))))</f>
        <v>0</v>
      </c>
      <c r="X105" s="26">
        <f>IF(B105="","",IF(P105=0,"",IF(ServiceCommission&gt;=1,"",(Q105+TargetChairRate*P105)/IF(J105="No",1,1-ServiceCommission))))</f>
        <v>0</v>
      </c>
      <c r="Y105" s="26">
        <f>IF(B105="","",IF(X105="","",ROUND(IF(RoundingRule="None",X105,IF(RoundingRule="Nearest 0.99",MAX(0.99,CEILING(X105,1)-0.01),IF(RoundingRule="Nearest 0.95",MAX(0.95,CEILING(X105,1)-0.05),IF(RoundingRule="Nearest 0.50",CEILING(X105,0.5),IF(RoundingRule="Nearest 1",CEILING(X105,1),IF(RoundingRule="Nearest 5",CEILING(X105,5),IF(RoundingRule="Up to whole 1",CEILING(X105,1),IF(RoundingRule="Up to whole 5",CEILING(X105,5),ROUND(X105,2))))))))),2)))</f>
        <v>0</v>
      </c>
      <c r="Z105" s="26">
        <f>IF(B105="","",IF(Y105="","",IF(G105="","",ROUND(G105-Y105,2))))</f>
        <v>0</v>
      </c>
      <c r="AA105" s="25">
        <f>IF(B105="","",COUNTIFS(Appointments!$G$5:$G$1204,A105))</f>
        <v>0</v>
      </c>
      <c r="AB105" s="25">
        <f>IF(B105="","",COUNTIFS(Appointments!$G$5:$G$1204,A105,Appointments!$M$5:$M$1204,"Completed"))</f>
        <v>0</v>
      </c>
      <c r="AC105" s="25">
        <f>IF(B105="","",SUMIFS(Sales!$K$5:$K$1204,Sales!$I$5:$I$1204,A105,Sales!$H$5:$H$1204,"Service"))</f>
        <v>0</v>
      </c>
      <c r="AD105" s="26">
        <f>IF(B105="","",ROUND(SUMIFS(Sales!$Y$5:$Y$1204,Sales!$I$5:$I$1204,A105,Sales!$H$5:$H$1204,"Service"),2))</f>
        <v>0</v>
      </c>
      <c r="AE105" s="27">
        <f>IF(B105="","",IF(ServiceRevenueAll=0,"",AD105/ServiceRevenueAll))</f>
        <v>0</v>
      </c>
      <c r="AF105" s="26">
        <f>IF(B105="","",ROUND(AC105*T105,2))</f>
        <v>0</v>
      </c>
      <c r="AG105" s="37">
        <f>IF(B105="","",ROUND(AC105*P105,1))</f>
        <v>0</v>
      </c>
      <c r="AH105" s="27">
        <f>IF(B105="","",IF(AB105=0,"",COUNTIFS(Sales!$I$5:$I$1204,A105,Sales!$AJ$5:$AJ$1204,"Yes")/AB105))</f>
        <v>0</v>
      </c>
      <c r="AI105" s="17">
        <f>IF(B105="","",IFERROR(IF(COUNTIFS(Appointments!$G$5:$G$1204,A105)=0,"",SUMPRODUCT(MAX((Appointments!$G$5:$G$1204=A105)*IFERROR(Appointments!$B$5:$B$1204*1,0)))),""))</f>
        <v>0</v>
      </c>
      <c r="AJ105" s="25">
        <f>IF(B105="","",COUNTIFS($AD$5:$AD$204,"&gt;"&amp;AD105)+COUNTIFS($AD$5:AD105,AD105))</f>
        <v>0</v>
      </c>
      <c r="AK105" s="25">
        <f>IF(B105="","",COUNTIFS($W$5:$W$204,"&gt;"&amp;W105)+COUNTIFS($W$5:W105,W105))</f>
        <v>0</v>
      </c>
      <c r="AL105" s="25">
        <f>IF(B105="","",COUNTIFS($AB$5:$AB$204,"&gt;"&amp;AB105)+COUNTIFS($AB$5:AB105,AB105))</f>
        <v>0</v>
      </c>
      <c r="AM105" s="39">
        <f>IF(B105="","",IF(G105="","Add - no price yet",IF(E105="","Add - how long does it take?",IF(T105&lt;0,"Loss - this service costs you money",IF(V105&lt;TargetChairRate*0.7,"Check - well under your chair rate",IF(IF(N105="",FALSE,TodayDate-N105&gt;PriceReviewDays),"Due - price has not been reviewed",IF(IF(M105="Active",AB105=0,FALSE),"Check - on the menu but never booked","OK")))))))</f>
        <v>0</v>
      </c>
    </row>
    <row r="106" spans="1:39">
      <c r="A106" s="28">
        <f>IF(B106="","",ServicePrefix&amp;TEXT(ROW()-4,"000"))</f>
        <v>0</v>
      </c>
      <c r="P106" s="42">
        <f>IF(B106="","",ROUND((IF(E106="",0,E106)+IF(F106="",0,F106))/60,3))</f>
        <v>0</v>
      </c>
      <c r="Q106" s="26">
        <f>IF(B106="","",IF(H106&lt;&gt;"",H106,IF(G106="",0,ROUND(G106*ProductCostPercent,2))))</f>
        <v>0</v>
      </c>
      <c r="R106" s="26">
        <f>IF(B106="","",IF(J106="No",0,IF(G106="",0,ROUND(G106*ServiceCommission,2))))</f>
        <v>0</v>
      </c>
      <c r="S106" s="26">
        <f>IF(B106="","",ROUND(Q106+R106,2))</f>
        <v>0</v>
      </c>
      <c r="T106" s="26">
        <f>IF(B106="","",IF(G106="","",ROUND(G106-S106,2)))</f>
        <v>0</v>
      </c>
      <c r="U106" s="27">
        <f>IF(B106="","",IF(G106="","",IF(G106=0,"",T106/G106)))</f>
        <v>0</v>
      </c>
      <c r="V106" s="26">
        <f>IF(B106="","",IF(G106="","",IF(P106=0,"",ROUND(G106/P106,2))))</f>
        <v>0</v>
      </c>
      <c r="W106" s="26">
        <f>IF(B106="","",IF(T106="","",IF(P106=0,"",ROUND(T106/P106,2))))</f>
        <v>0</v>
      </c>
      <c r="X106" s="26">
        <f>IF(B106="","",IF(P106=0,"",IF(ServiceCommission&gt;=1,"",(Q106+TargetChairRate*P106)/IF(J106="No",1,1-ServiceCommission))))</f>
        <v>0</v>
      </c>
      <c r="Y106" s="26">
        <f>IF(B106="","",IF(X106="","",ROUND(IF(RoundingRule="None",X106,IF(RoundingRule="Nearest 0.99",MAX(0.99,CEILING(X106,1)-0.01),IF(RoundingRule="Nearest 0.95",MAX(0.95,CEILING(X106,1)-0.05),IF(RoundingRule="Nearest 0.50",CEILING(X106,0.5),IF(RoundingRule="Nearest 1",CEILING(X106,1),IF(RoundingRule="Nearest 5",CEILING(X106,5),IF(RoundingRule="Up to whole 1",CEILING(X106,1),IF(RoundingRule="Up to whole 5",CEILING(X106,5),ROUND(X106,2))))))))),2)))</f>
        <v>0</v>
      </c>
      <c r="Z106" s="26">
        <f>IF(B106="","",IF(Y106="","",IF(G106="","",ROUND(G106-Y106,2))))</f>
        <v>0</v>
      </c>
      <c r="AA106" s="25">
        <f>IF(B106="","",COUNTIFS(Appointments!$G$5:$G$1204,A106))</f>
        <v>0</v>
      </c>
      <c r="AB106" s="25">
        <f>IF(B106="","",COUNTIFS(Appointments!$G$5:$G$1204,A106,Appointments!$M$5:$M$1204,"Completed"))</f>
        <v>0</v>
      </c>
      <c r="AC106" s="25">
        <f>IF(B106="","",SUMIFS(Sales!$K$5:$K$1204,Sales!$I$5:$I$1204,A106,Sales!$H$5:$H$1204,"Service"))</f>
        <v>0</v>
      </c>
      <c r="AD106" s="26">
        <f>IF(B106="","",ROUND(SUMIFS(Sales!$Y$5:$Y$1204,Sales!$I$5:$I$1204,A106,Sales!$H$5:$H$1204,"Service"),2))</f>
        <v>0</v>
      </c>
      <c r="AE106" s="27">
        <f>IF(B106="","",IF(ServiceRevenueAll=0,"",AD106/ServiceRevenueAll))</f>
        <v>0</v>
      </c>
      <c r="AF106" s="26">
        <f>IF(B106="","",ROUND(AC106*T106,2))</f>
        <v>0</v>
      </c>
      <c r="AG106" s="37">
        <f>IF(B106="","",ROUND(AC106*P106,1))</f>
        <v>0</v>
      </c>
      <c r="AH106" s="27">
        <f>IF(B106="","",IF(AB106=0,"",COUNTIFS(Sales!$I$5:$I$1204,A106,Sales!$AJ$5:$AJ$1204,"Yes")/AB106))</f>
        <v>0</v>
      </c>
      <c r="AI106" s="17">
        <f>IF(B106="","",IFERROR(IF(COUNTIFS(Appointments!$G$5:$G$1204,A106)=0,"",SUMPRODUCT(MAX((Appointments!$G$5:$G$1204=A106)*IFERROR(Appointments!$B$5:$B$1204*1,0)))),""))</f>
        <v>0</v>
      </c>
      <c r="AJ106" s="25">
        <f>IF(B106="","",COUNTIFS($AD$5:$AD$204,"&gt;"&amp;AD106)+COUNTIFS($AD$5:AD106,AD106))</f>
        <v>0</v>
      </c>
      <c r="AK106" s="25">
        <f>IF(B106="","",COUNTIFS($W$5:$W$204,"&gt;"&amp;W106)+COUNTIFS($W$5:W106,W106))</f>
        <v>0</v>
      </c>
      <c r="AL106" s="25">
        <f>IF(B106="","",COUNTIFS($AB$5:$AB$204,"&gt;"&amp;AB106)+COUNTIFS($AB$5:AB106,AB106))</f>
        <v>0</v>
      </c>
      <c r="AM106" s="39">
        <f>IF(B106="","",IF(G106="","Add - no price yet",IF(E106="","Add - how long does it take?",IF(T106&lt;0,"Loss - this service costs you money",IF(V106&lt;TargetChairRate*0.7,"Check - well under your chair rate",IF(IF(N106="",FALSE,TodayDate-N106&gt;PriceReviewDays),"Due - price has not been reviewed",IF(IF(M106="Active",AB106=0,FALSE),"Check - on the menu but never booked","OK")))))))</f>
        <v>0</v>
      </c>
    </row>
    <row r="107" spans="1:39">
      <c r="A107" s="28">
        <f>IF(B107="","",ServicePrefix&amp;TEXT(ROW()-4,"000"))</f>
        <v>0</v>
      </c>
      <c r="P107" s="42">
        <f>IF(B107="","",ROUND((IF(E107="",0,E107)+IF(F107="",0,F107))/60,3))</f>
        <v>0</v>
      </c>
      <c r="Q107" s="26">
        <f>IF(B107="","",IF(H107&lt;&gt;"",H107,IF(G107="",0,ROUND(G107*ProductCostPercent,2))))</f>
        <v>0</v>
      </c>
      <c r="R107" s="26">
        <f>IF(B107="","",IF(J107="No",0,IF(G107="",0,ROUND(G107*ServiceCommission,2))))</f>
        <v>0</v>
      </c>
      <c r="S107" s="26">
        <f>IF(B107="","",ROUND(Q107+R107,2))</f>
        <v>0</v>
      </c>
      <c r="T107" s="26">
        <f>IF(B107="","",IF(G107="","",ROUND(G107-S107,2)))</f>
        <v>0</v>
      </c>
      <c r="U107" s="27">
        <f>IF(B107="","",IF(G107="","",IF(G107=0,"",T107/G107)))</f>
        <v>0</v>
      </c>
      <c r="V107" s="26">
        <f>IF(B107="","",IF(G107="","",IF(P107=0,"",ROUND(G107/P107,2))))</f>
        <v>0</v>
      </c>
      <c r="W107" s="26">
        <f>IF(B107="","",IF(T107="","",IF(P107=0,"",ROUND(T107/P107,2))))</f>
        <v>0</v>
      </c>
      <c r="X107" s="26">
        <f>IF(B107="","",IF(P107=0,"",IF(ServiceCommission&gt;=1,"",(Q107+TargetChairRate*P107)/IF(J107="No",1,1-ServiceCommission))))</f>
        <v>0</v>
      </c>
      <c r="Y107" s="26">
        <f>IF(B107="","",IF(X107="","",ROUND(IF(RoundingRule="None",X107,IF(RoundingRule="Nearest 0.99",MAX(0.99,CEILING(X107,1)-0.01),IF(RoundingRule="Nearest 0.95",MAX(0.95,CEILING(X107,1)-0.05),IF(RoundingRule="Nearest 0.50",CEILING(X107,0.5),IF(RoundingRule="Nearest 1",CEILING(X107,1),IF(RoundingRule="Nearest 5",CEILING(X107,5),IF(RoundingRule="Up to whole 1",CEILING(X107,1),IF(RoundingRule="Up to whole 5",CEILING(X107,5),ROUND(X107,2))))))))),2)))</f>
        <v>0</v>
      </c>
      <c r="Z107" s="26">
        <f>IF(B107="","",IF(Y107="","",IF(G107="","",ROUND(G107-Y107,2))))</f>
        <v>0</v>
      </c>
      <c r="AA107" s="25">
        <f>IF(B107="","",COUNTIFS(Appointments!$G$5:$G$1204,A107))</f>
        <v>0</v>
      </c>
      <c r="AB107" s="25">
        <f>IF(B107="","",COUNTIFS(Appointments!$G$5:$G$1204,A107,Appointments!$M$5:$M$1204,"Completed"))</f>
        <v>0</v>
      </c>
      <c r="AC107" s="25">
        <f>IF(B107="","",SUMIFS(Sales!$K$5:$K$1204,Sales!$I$5:$I$1204,A107,Sales!$H$5:$H$1204,"Service"))</f>
        <v>0</v>
      </c>
      <c r="AD107" s="26">
        <f>IF(B107="","",ROUND(SUMIFS(Sales!$Y$5:$Y$1204,Sales!$I$5:$I$1204,A107,Sales!$H$5:$H$1204,"Service"),2))</f>
        <v>0</v>
      </c>
      <c r="AE107" s="27">
        <f>IF(B107="","",IF(ServiceRevenueAll=0,"",AD107/ServiceRevenueAll))</f>
        <v>0</v>
      </c>
      <c r="AF107" s="26">
        <f>IF(B107="","",ROUND(AC107*T107,2))</f>
        <v>0</v>
      </c>
      <c r="AG107" s="37">
        <f>IF(B107="","",ROUND(AC107*P107,1))</f>
        <v>0</v>
      </c>
      <c r="AH107" s="27">
        <f>IF(B107="","",IF(AB107=0,"",COUNTIFS(Sales!$I$5:$I$1204,A107,Sales!$AJ$5:$AJ$1204,"Yes")/AB107))</f>
        <v>0</v>
      </c>
      <c r="AI107" s="17">
        <f>IF(B107="","",IFERROR(IF(COUNTIFS(Appointments!$G$5:$G$1204,A107)=0,"",SUMPRODUCT(MAX((Appointments!$G$5:$G$1204=A107)*IFERROR(Appointments!$B$5:$B$1204*1,0)))),""))</f>
        <v>0</v>
      </c>
      <c r="AJ107" s="25">
        <f>IF(B107="","",COUNTIFS($AD$5:$AD$204,"&gt;"&amp;AD107)+COUNTIFS($AD$5:AD107,AD107))</f>
        <v>0</v>
      </c>
      <c r="AK107" s="25">
        <f>IF(B107="","",COUNTIFS($W$5:$W$204,"&gt;"&amp;W107)+COUNTIFS($W$5:W107,W107))</f>
        <v>0</v>
      </c>
      <c r="AL107" s="25">
        <f>IF(B107="","",COUNTIFS($AB$5:$AB$204,"&gt;"&amp;AB107)+COUNTIFS($AB$5:AB107,AB107))</f>
        <v>0</v>
      </c>
      <c r="AM107" s="39">
        <f>IF(B107="","",IF(G107="","Add - no price yet",IF(E107="","Add - how long does it take?",IF(T107&lt;0,"Loss - this service costs you money",IF(V107&lt;TargetChairRate*0.7,"Check - well under your chair rate",IF(IF(N107="",FALSE,TodayDate-N107&gt;PriceReviewDays),"Due - price has not been reviewed",IF(IF(M107="Active",AB107=0,FALSE),"Check - on the menu but never booked","OK")))))))</f>
        <v>0</v>
      </c>
    </row>
    <row r="108" spans="1:39">
      <c r="A108" s="28">
        <f>IF(B108="","",ServicePrefix&amp;TEXT(ROW()-4,"000"))</f>
        <v>0</v>
      </c>
      <c r="P108" s="42">
        <f>IF(B108="","",ROUND((IF(E108="",0,E108)+IF(F108="",0,F108))/60,3))</f>
        <v>0</v>
      </c>
      <c r="Q108" s="26">
        <f>IF(B108="","",IF(H108&lt;&gt;"",H108,IF(G108="",0,ROUND(G108*ProductCostPercent,2))))</f>
        <v>0</v>
      </c>
      <c r="R108" s="26">
        <f>IF(B108="","",IF(J108="No",0,IF(G108="",0,ROUND(G108*ServiceCommission,2))))</f>
        <v>0</v>
      </c>
      <c r="S108" s="26">
        <f>IF(B108="","",ROUND(Q108+R108,2))</f>
        <v>0</v>
      </c>
      <c r="T108" s="26">
        <f>IF(B108="","",IF(G108="","",ROUND(G108-S108,2)))</f>
        <v>0</v>
      </c>
      <c r="U108" s="27">
        <f>IF(B108="","",IF(G108="","",IF(G108=0,"",T108/G108)))</f>
        <v>0</v>
      </c>
      <c r="V108" s="26">
        <f>IF(B108="","",IF(G108="","",IF(P108=0,"",ROUND(G108/P108,2))))</f>
        <v>0</v>
      </c>
      <c r="W108" s="26">
        <f>IF(B108="","",IF(T108="","",IF(P108=0,"",ROUND(T108/P108,2))))</f>
        <v>0</v>
      </c>
      <c r="X108" s="26">
        <f>IF(B108="","",IF(P108=0,"",IF(ServiceCommission&gt;=1,"",(Q108+TargetChairRate*P108)/IF(J108="No",1,1-ServiceCommission))))</f>
        <v>0</v>
      </c>
      <c r="Y108" s="26">
        <f>IF(B108="","",IF(X108="","",ROUND(IF(RoundingRule="None",X108,IF(RoundingRule="Nearest 0.99",MAX(0.99,CEILING(X108,1)-0.01),IF(RoundingRule="Nearest 0.95",MAX(0.95,CEILING(X108,1)-0.05),IF(RoundingRule="Nearest 0.50",CEILING(X108,0.5),IF(RoundingRule="Nearest 1",CEILING(X108,1),IF(RoundingRule="Nearest 5",CEILING(X108,5),IF(RoundingRule="Up to whole 1",CEILING(X108,1),IF(RoundingRule="Up to whole 5",CEILING(X108,5),ROUND(X108,2))))))))),2)))</f>
        <v>0</v>
      </c>
      <c r="Z108" s="26">
        <f>IF(B108="","",IF(Y108="","",IF(G108="","",ROUND(G108-Y108,2))))</f>
        <v>0</v>
      </c>
      <c r="AA108" s="25">
        <f>IF(B108="","",COUNTIFS(Appointments!$G$5:$G$1204,A108))</f>
        <v>0</v>
      </c>
      <c r="AB108" s="25">
        <f>IF(B108="","",COUNTIFS(Appointments!$G$5:$G$1204,A108,Appointments!$M$5:$M$1204,"Completed"))</f>
        <v>0</v>
      </c>
      <c r="AC108" s="25">
        <f>IF(B108="","",SUMIFS(Sales!$K$5:$K$1204,Sales!$I$5:$I$1204,A108,Sales!$H$5:$H$1204,"Service"))</f>
        <v>0</v>
      </c>
      <c r="AD108" s="26">
        <f>IF(B108="","",ROUND(SUMIFS(Sales!$Y$5:$Y$1204,Sales!$I$5:$I$1204,A108,Sales!$H$5:$H$1204,"Service"),2))</f>
        <v>0</v>
      </c>
      <c r="AE108" s="27">
        <f>IF(B108="","",IF(ServiceRevenueAll=0,"",AD108/ServiceRevenueAll))</f>
        <v>0</v>
      </c>
      <c r="AF108" s="26">
        <f>IF(B108="","",ROUND(AC108*T108,2))</f>
        <v>0</v>
      </c>
      <c r="AG108" s="37">
        <f>IF(B108="","",ROUND(AC108*P108,1))</f>
        <v>0</v>
      </c>
      <c r="AH108" s="27">
        <f>IF(B108="","",IF(AB108=0,"",COUNTIFS(Sales!$I$5:$I$1204,A108,Sales!$AJ$5:$AJ$1204,"Yes")/AB108))</f>
        <v>0</v>
      </c>
      <c r="AI108" s="17">
        <f>IF(B108="","",IFERROR(IF(COUNTIFS(Appointments!$G$5:$G$1204,A108)=0,"",SUMPRODUCT(MAX((Appointments!$G$5:$G$1204=A108)*IFERROR(Appointments!$B$5:$B$1204*1,0)))),""))</f>
        <v>0</v>
      </c>
      <c r="AJ108" s="25">
        <f>IF(B108="","",COUNTIFS($AD$5:$AD$204,"&gt;"&amp;AD108)+COUNTIFS($AD$5:AD108,AD108))</f>
        <v>0</v>
      </c>
      <c r="AK108" s="25">
        <f>IF(B108="","",COUNTIFS($W$5:$W$204,"&gt;"&amp;W108)+COUNTIFS($W$5:W108,W108))</f>
        <v>0</v>
      </c>
      <c r="AL108" s="25">
        <f>IF(B108="","",COUNTIFS($AB$5:$AB$204,"&gt;"&amp;AB108)+COUNTIFS($AB$5:AB108,AB108))</f>
        <v>0</v>
      </c>
      <c r="AM108" s="39">
        <f>IF(B108="","",IF(G108="","Add - no price yet",IF(E108="","Add - how long does it take?",IF(T108&lt;0,"Loss - this service costs you money",IF(V108&lt;TargetChairRate*0.7,"Check - well under your chair rate",IF(IF(N108="",FALSE,TodayDate-N108&gt;PriceReviewDays),"Due - price has not been reviewed",IF(IF(M108="Active",AB108=0,FALSE),"Check - on the menu but never booked","OK")))))))</f>
        <v>0</v>
      </c>
    </row>
    <row r="109" spans="1:39">
      <c r="A109" s="28">
        <f>IF(B109="","",ServicePrefix&amp;TEXT(ROW()-4,"000"))</f>
        <v>0</v>
      </c>
      <c r="P109" s="42">
        <f>IF(B109="","",ROUND((IF(E109="",0,E109)+IF(F109="",0,F109))/60,3))</f>
        <v>0</v>
      </c>
      <c r="Q109" s="26">
        <f>IF(B109="","",IF(H109&lt;&gt;"",H109,IF(G109="",0,ROUND(G109*ProductCostPercent,2))))</f>
        <v>0</v>
      </c>
      <c r="R109" s="26">
        <f>IF(B109="","",IF(J109="No",0,IF(G109="",0,ROUND(G109*ServiceCommission,2))))</f>
        <v>0</v>
      </c>
      <c r="S109" s="26">
        <f>IF(B109="","",ROUND(Q109+R109,2))</f>
        <v>0</v>
      </c>
      <c r="T109" s="26">
        <f>IF(B109="","",IF(G109="","",ROUND(G109-S109,2)))</f>
        <v>0</v>
      </c>
      <c r="U109" s="27">
        <f>IF(B109="","",IF(G109="","",IF(G109=0,"",T109/G109)))</f>
        <v>0</v>
      </c>
      <c r="V109" s="26">
        <f>IF(B109="","",IF(G109="","",IF(P109=0,"",ROUND(G109/P109,2))))</f>
        <v>0</v>
      </c>
      <c r="W109" s="26">
        <f>IF(B109="","",IF(T109="","",IF(P109=0,"",ROUND(T109/P109,2))))</f>
        <v>0</v>
      </c>
      <c r="X109" s="26">
        <f>IF(B109="","",IF(P109=0,"",IF(ServiceCommission&gt;=1,"",(Q109+TargetChairRate*P109)/IF(J109="No",1,1-ServiceCommission))))</f>
        <v>0</v>
      </c>
      <c r="Y109" s="26">
        <f>IF(B109="","",IF(X109="","",ROUND(IF(RoundingRule="None",X109,IF(RoundingRule="Nearest 0.99",MAX(0.99,CEILING(X109,1)-0.01),IF(RoundingRule="Nearest 0.95",MAX(0.95,CEILING(X109,1)-0.05),IF(RoundingRule="Nearest 0.50",CEILING(X109,0.5),IF(RoundingRule="Nearest 1",CEILING(X109,1),IF(RoundingRule="Nearest 5",CEILING(X109,5),IF(RoundingRule="Up to whole 1",CEILING(X109,1),IF(RoundingRule="Up to whole 5",CEILING(X109,5),ROUND(X109,2))))))))),2)))</f>
        <v>0</v>
      </c>
      <c r="Z109" s="26">
        <f>IF(B109="","",IF(Y109="","",IF(G109="","",ROUND(G109-Y109,2))))</f>
        <v>0</v>
      </c>
      <c r="AA109" s="25">
        <f>IF(B109="","",COUNTIFS(Appointments!$G$5:$G$1204,A109))</f>
        <v>0</v>
      </c>
      <c r="AB109" s="25">
        <f>IF(B109="","",COUNTIFS(Appointments!$G$5:$G$1204,A109,Appointments!$M$5:$M$1204,"Completed"))</f>
        <v>0</v>
      </c>
      <c r="AC109" s="25">
        <f>IF(B109="","",SUMIFS(Sales!$K$5:$K$1204,Sales!$I$5:$I$1204,A109,Sales!$H$5:$H$1204,"Service"))</f>
        <v>0</v>
      </c>
      <c r="AD109" s="26">
        <f>IF(B109="","",ROUND(SUMIFS(Sales!$Y$5:$Y$1204,Sales!$I$5:$I$1204,A109,Sales!$H$5:$H$1204,"Service"),2))</f>
        <v>0</v>
      </c>
      <c r="AE109" s="27">
        <f>IF(B109="","",IF(ServiceRevenueAll=0,"",AD109/ServiceRevenueAll))</f>
        <v>0</v>
      </c>
      <c r="AF109" s="26">
        <f>IF(B109="","",ROUND(AC109*T109,2))</f>
        <v>0</v>
      </c>
      <c r="AG109" s="37">
        <f>IF(B109="","",ROUND(AC109*P109,1))</f>
        <v>0</v>
      </c>
      <c r="AH109" s="27">
        <f>IF(B109="","",IF(AB109=0,"",COUNTIFS(Sales!$I$5:$I$1204,A109,Sales!$AJ$5:$AJ$1204,"Yes")/AB109))</f>
        <v>0</v>
      </c>
      <c r="AI109" s="17">
        <f>IF(B109="","",IFERROR(IF(COUNTIFS(Appointments!$G$5:$G$1204,A109)=0,"",SUMPRODUCT(MAX((Appointments!$G$5:$G$1204=A109)*IFERROR(Appointments!$B$5:$B$1204*1,0)))),""))</f>
        <v>0</v>
      </c>
      <c r="AJ109" s="25">
        <f>IF(B109="","",COUNTIFS($AD$5:$AD$204,"&gt;"&amp;AD109)+COUNTIFS($AD$5:AD109,AD109))</f>
        <v>0</v>
      </c>
      <c r="AK109" s="25">
        <f>IF(B109="","",COUNTIFS($W$5:$W$204,"&gt;"&amp;W109)+COUNTIFS($W$5:W109,W109))</f>
        <v>0</v>
      </c>
      <c r="AL109" s="25">
        <f>IF(B109="","",COUNTIFS($AB$5:$AB$204,"&gt;"&amp;AB109)+COUNTIFS($AB$5:AB109,AB109))</f>
        <v>0</v>
      </c>
      <c r="AM109" s="39">
        <f>IF(B109="","",IF(G109="","Add - no price yet",IF(E109="","Add - how long does it take?",IF(T109&lt;0,"Loss - this service costs you money",IF(V109&lt;TargetChairRate*0.7,"Check - well under your chair rate",IF(IF(N109="",FALSE,TodayDate-N109&gt;PriceReviewDays),"Due - price has not been reviewed",IF(IF(M109="Active",AB109=0,FALSE),"Check - on the menu but never booked","OK")))))))</f>
        <v>0</v>
      </c>
    </row>
    <row r="110" spans="1:39">
      <c r="A110" s="28">
        <f>IF(B110="","",ServicePrefix&amp;TEXT(ROW()-4,"000"))</f>
        <v>0</v>
      </c>
      <c r="P110" s="42">
        <f>IF(B110="","",ROUND((IF(E110="",0,E110)+IF(F110="",0,F110))/60,3))</f>
        <v>0</v>
      </c>
      <c r="Q110" s="26">
        <f>IF(B110="","",IF(H110&lt;&gt;"",H110,IF(G110="",0,ROUND(G110*ProductCostPercent,2))))</f>
        <v>0</v>
      </c>
      <c r="R110" s="26">
        <f>IF(B110="","",IF(J110="No",0,IF(G110="",0,ROUND(G110*ServiceCommission,2))))</f>
        <v>0</v>
      </c>
      <c r="S110" s="26">
        <f>IF(B110="","",ROUND(Q110+R110,2))</f>
        <v>0</v>
      </c>
      <c r="T110" s="26">
        <f>IF(B110="","",IF(G110="","",ROUND(G110-S110,2)))</f>
        <v>0</v>
      </c>
      <c r="U110" s="27">
        <f>IF(B110="","",IF(G110="","",IF(G110=0,"",T110/G110)))</f>
        <v>0</v>
      </c>
      <c r="V110" s="26">
        <f>IF(B110="","",IF(G110="","",IF(P110=0,"",ROUND(G110/P110,2))))</f>
        <v>0</v>
      </c>
      <c r="W110" s="26">
        <f>IF(B110="","",IF(T110="","",IF(P110=0,"",ROUND(T110/P110,2))))</f>
        <v>0</v>
      </c>
      <c r="X110" s="26">
        <f>IF(B110="","",IF(P110=0,"",IF(ServiceCommission&gt;=1,"",(Q110+TargetChairRate*P110)/IF(J110="No",1,1-ServiceCommission))))</f>
        <v>0</v>
      </c>
      <c r="Y110" s="26">
        <f>IF(B110="","",IF(X110="","",ROUND(IF(RoundingRule="None",X110,IF(RoundingRule="Nearest 0.99",MAX(0.99,CEILING(X110,1)-0.01),IF(RoundingRule="Nearest 0.95",MAX(0.95,CEILING(X110,1)-0.05),IF(RoundingRule="Nearest 0.50",CEILING(X110,0.5),IF(RoundingRule="Nearest 1",CEILING(X110,1),IF(RoundingRule="Nearest 5",CEILING(X110,5),IF(RoundingRule="Up to whole 1",CEILING(X110,1),IF(RoundingRule="Up to whole 5",CEILING(X110,5),ROUND(X110,2))))))))),2)))</f>
        <v>0</v>
      </c>
      <c r="Z110" s="26">
        <f>IF(B110="","",IF(Y110="","",IF(G110="","",ROUND(G110-Y110,2))))</f>
        <v>0</v>
      </c>
      <c r="AA110" s="25">
        <f>IF(B110="","",COUNTIFS(Appointments!$G$5:$G$1204,A110))</f>
        <v>0</v>
      </c>
      <c r="AB110" s="25">
        <f>IF(B110="","",COUNTIFS(Appointments!$G$5:$G$1204,A110,Appointments!$M$5:$M$1204,"Completed"))</f>
        <v>0</v>
      </c>
      <c r="AC110" s="25">
        <f>IF(B110="","",SUMIFS(Sales!$K$5:$K$1204,Sales!$I$5:$I$1204,A110,Sales!$H$5:$H$1204,"Service"))</f>
        <v>0</v>
      </c>
      <c r="AD110" s="26">
        <f>IF(B110="","",ROUND(SUMIFS(Sales!$Y$5:$Y$1204,Sales!$I$5:$I$1204,A110,Sales!$H$5:$H$1204,"Service"),2))</f>
        <v>0</v>
      </c>
      <c r="AE110" s="27">
        <f>IF(B110="","",IF(ServiceRevenueAll=0,"",AD110/ServiceRevenueAll))</f>
        <v>0</v>
      </c>
      <c r="AF110" s="26">
        <f>IF(B110="","",ROUND(AC110*T110,2))</f>
        <v>0</v>
      </c>
      <c r="AG110" s="37">
        <f>IF(B110="","",ROUND(AC110*P110,1))</f>
        <v>0</v>
      </c>
      <c r="AH110" s="27">
        <f>IF(B110="","",IF(AB110=0,"",COUNTIFS(Sales!$I$5:$I$1204,A110,Sales!$AJ$5:$AJ$1204,"Yes")/AB110))</f>
        <v>0</v>
      </c>
      <c r="AI110" s="17">
        <f>IF(B110="","",IFERROR(IF(COUNTIFS(Appointments!$G$5:$G$1204,A110)=0,"",SUMPRODUCT(MAX((Appointments!$G$5:$G$1204=A110)*IFERROR(Appointments!$B$5:$B$1204*1,0)))),""))</f>
        <v>0</v>
      </c>
      <c r="AJ110" s="25">
        <f>IF(B110="","",COUNTIFS($AD$5:$AD$204,"&gt;"&amp;AD110)+COUNTIFS($AD$5:AD110,AD110))</f>
        <v>0</v>
      </c>
      <c r="AK110" s="25">
        <f>IF(B110="","",COUNTIFS($W$5:$W$204,"&gt;"&amp;W110)+COUNTIFS($W$5:W110,W110))</f>
        <v>0</v>
      </c>
      <c r="AL110" s="25">
        <f>IF(B110="","",COUNTIFS($AB$5:$AB$204,"&gt;"&amp;AB110)+COUNTIFS($AB$5:AB110,AB110))</f>
        <v>0</v>
      </c>
      <c r="AM110" s="39">
        <f>IF(B110="","",IF(G110="","Add - no price yet",IF(E110="","Add - how long does it take?",IF(T110&lt;0,"Loss - this service costs you money",IF(V110&lt;TargetChairRate*0.7,"Check - well under your chair rate",IF(IF(N110="",FALSE,TodayDate-N110&gt;PriceReviewDays),"Due - price has not been reviewed",IF(IF(M110="Active",AB110=0,FALSE),"Check - on the menu but never booked","OK")))))))</f>
        <v>0</v>
      </c>
    </row>
    <row r="111" spans="1:39">
      <c r="A111" s="28">
        <f>IF(B111="","",ServicePrefix&amp;TEXT(ROW()-4,"000"))</f>
        <v>0</v>
      </c>
      <c r="P111" s="42">
        <f>IF(B111="","",ROUND((IF(E111="",0,E111)+IF(F111="",0,F111))/60,3))</f>
        <v>0</v>
      </c>
      <c r="Q111" s="26">
        <f>IF(B111="","",IF(H111&lt;&gt;"",H111,IF(G111="",0,ROUND(G111*ProductCostPercent,2))))</f>
        <v>0</v>
      </c>
      <c r="R111" s="26">
        <f>IF(B111="","",IF(J111="No",0,IF(G111="",0,ROUND(G111*ServiceCommission,2))))</f>
        <v>0</v>
      </c>
      <c r="S111" s="26">
        <f>IF(B111="","",ROUND(Q111+R111,2))</f>
        <v>0</v>
      </c>
      <c r="T111" s="26">
        <f>IF(B111="","",IF(G111="","",ROUND(G111-S111,2)))</f>
        <v>0</v>
      </c>
      <c r="U111" s="27">
        <f>IF(B111="","",IF(G111="","",IF(G111=0,"",T111/G111)))</f>
        <v>0</v>
      </c>
      <c r="V111" s="26">
        <f>IF(B111="","",IF(G111="","",IF(P111=0,"",ROUND(G111/P111,2))))</f>
        <v>0</v>
      </c>
      <c r="W111" s="26">
        <f>IF(B111="","",IF(T111="","",IF(P111=0,"",ROUND(T111/P111,2))))</f>
        <v>0</v>
      </c>
      <c r="X111" s="26">
        <f>IF(B111="","",IF(P111=0,"",IF(ServiceCommission&gt;=1,"",(Q111+TargetChairRate*P111)/IF(J111="No",1,1-ServiceCommission))))</f>
        <v>0</v>
      </c>
      <c r="Y111" s="26">
        <f>IF(B111="","",IF(X111="","",ROUND(IF(RoundingRule="None",X111,IF(RoundingRule="Nearest 0.99",MAX(0.99,CEILING(X111,1)-0.01),IF(RoundingRule="Nearest 0.95",MAX(0.95,CEILING(X111,1)-0.05),IF(RoundingRule="Nearest 0.50",CEILING(X111,0.5),IF(RoundingRule="Nearest 1",CEILING(X111,1),IF(RoundingRule="Nearest 5",CEILING(X111,5),IF(RoundingRule="Up to whole 1",CEILING(X111,1),IF(RoundingRule="Up to whole 5",CEILING(X111,5),ROUND(X111,2))))))))),2)))</f>
        <v>0</v>
      </c>
      <c r="Z111" s="26">
        <f>IF(B111="","",IF(Y111="","",IF(G111="","",ROUND(G111-Y111,2))))</f>
        <v>0</v>
      </c>
      <c r="AA111" s="25">
        <f>IF(B111="","",COUNTIFS(Appointments!$G$5:$G$1204,A111))</f>
        <v>0</v>
      </c>
      <c r="AB111" s="25">
        <f>IF(B111="","",COUNTIFS(Appointments!$G$5:$G$1204,A111,Appointments!$M$5:$M$1204,"Completed"))</f>
        <v>0</v>
      </c>
      <c r="AC111" s="25">
        <f>IF(B111="","",SUMIFS(Sales!$K$5:$K$1204,Sales!$I$5:$I$1204,A111,Sales!$H$5:$H$1204,"Service"))</f>
        <v>0</v>
      </c>
      <c r="AD111" s="26">
        <f>IF(B111="","",ROUND(SUMIFS(Sales!$Y$5:$Y$1204,Sales!$I$5:$I$1204,A111,Sales!$H$5:$H$1204,"Service"),2))</f>
        <v>0</v>
      </c>
      <c r="AE111" s="27">
        <f>IF(B111="","",IF(ServiceRevenueAll=0,"",AD111/ServiceRevenueAll))</f>
        <v>0</v>
      </c>
      <c r="AF111" s="26">
        <f>IF(B111="","",ROUND(AC111*T111,2))</f>
        <v>0</v>
      </c>
      <c r="AG111" s="37">
        <f>IF(B111="","",ROUND(AC111*P111,1))</f>
        <v>0</v>
      </c>
      <c r="AH111" s="27">
        <f>IF(B111="","",IF(AB111=0,"",COUNTIFS(Sales!$I$5:$I$1204,A111,Sales!$AJ$5:$AJ$1204,"Yes")/AB111))</f>
        <v>0</v>
      </c>
      <c r="AI111" s="17">
        <f>IF(B111="","",IFERROR(IF(COUNTIFS(Appointments!$G$5:$G$1204,A111)=0,"",SUMPRODUCT(MAX((Appointments!$G$5:$G$1204=A111)*IFERROR(Appointments!$B$5:$B$1204*1,0)))),""))</f>
        <v>0</v>
      </c>
      <c r="AJ111" s="25">
        <f>IF(B111="","",COUNTIFS($AD$5:$AD$204,"&gt;"&amp;AD111)+COUNTIFS($AD$5:AD111,AD111))</f>
        <v>0</v>
      </c>
      <c r="AK111" s="25">
        <f>IF(B111="","",COUNTIFS($W$5:$W$204,"&gt;"&amp;W111)+COUNTIFS($W$5:W111,W111))</f>
        <v>0</v>
      </c>
      <c r="AL111" s="25">
        <f>IF(B111="","",COUNTIFS($AB$5:$AB$204,"&gt;"&amp;AB111)+COUNTIFS($AB$5:AB111,AB111))</f>
        <v>0</v>
      </c>
      <c r="AM111" s="39">
        <f>IF(B111="","",IF(G111="","Add - no price yet",IF(E111="","Add - how long does it take?",IF(T111&lt;0,"Loss - this service costs you money",IF(V111&lt;TargetChairRate*0.7,"Check - well under your chair rate",IF(IF(N111="",FALSE,TodayDate-N111&gt;PriceReviewDays),"Due - price has not been reviewed",IF(IF(M111="Active",AB111=0,FALSE),"Check - on the menu but never booked","OK")))))))</f>
        <v>0</v>
      </c>
    </row>
    <row r="112" spans="1:39">
      <c r="A112" s="28">
        <f>IF(B112="","",ServicePrefix&amp;TEXT(ROW()-4,"000"))</f>
        <v>0</v>
      </c>
      <c r="P112" s="42">
        <f>IF(B112="","",ROUND((IF(E112="",0,E112)+IF(F112="",0,F112))/60,3))</f>
        <v>0</v>
      </c>
      <c r="Q112" s="26">
        <f>IF(B112="","",IF(H112&lt;&gt;"",H112,IF(G112="",0,ROUND(G112*ProductCostPercent,2))))</f>
        <v>0</v>
      </c>
      <c r="R112" s="26">
        <f>IF(B112="","",IF(J112="No",0,IF(G112="",0,ROUND(G112*ServiceCommission,2))))</f>
        <v>0</v>
      </c>
      <c r="S112" s="26">
        <f>IF(B112="","",ROUND(Q112+R112,2))</f>
        <v>0</v>
      </c>
      <c r="T112" s="26">
        <f>IF(B112="","",IF(G112="","",ROUND(G112-S112,2)))</f>
        <v>0</v>
      </c>
      <c r="U112" s="27">
        <f>IF(B112="","",IF(G112="","",IF(G112=0,"",T112/G112)))</f>
        <v>0</v>
      </c>
      <c r="V112" s="26">
        <f>IF(B112="","",IF(G112="","",IF(P112=0,"",ROUND(G112/P112,2))))</f>
        <v>0</v>
      </c>
      <c r="W112" s="26">
        <f>IF(B112="","",IF(T112="","",IF(P112=0,"",ROUND(T112/P112,2))))</f>
        <v>0</v>
      </c>
      <c r="X112" s="26">
        <f>IF(B112="","",IF(P112=0,"",IF(ServiceCommission&gt;=1,"",(Q112+TargetChairRate*P112)/IF(J112="No",1,1-ServiceCommission))))</f>
        <v>0</v>
      </c>
      <c r="Y112" s="26">
        <f>IF(B112="","",IF(X112="","",ROUND(IF(RoundingRule="None",X112,IF(RoundingRule="Nearest 0.99",MAX(0.99,CEILING(X112,1)-0.01),IF(RoundingRule="Nearest 0.95",MAX(0.95,CEILING(X112,1)-0.05),IF(RoundingRule="Nearest 0.50",CEILING(X112,0.5),IF(RoundingRule="Nearest 1",CEILING(X112,1),IF(RoundingRule="Nearest 5",CEILING(X112,5),IF(RoundingRule="Up to whole 1",CEILING(X112,1),IF(RoundingRule="Up to whole 5",CEILING(X112,5),ROUND(X112,2))))))))),2)))</f>
        <v>0</v>
      </c>
      <c r="Z112" s="26">
        <f>IF(B112="","",IF(Y112="","",IF(G112="","",ROUND(G112-Y112,2))))</f>
        <v>0</v>
      </c>
      <c r="AA112" s="25">
        <f>IF(B112="","",COUNTIFS(Appointments!$G$5:$G$1204,A112))</f>
        <v>0</v>
      </c>
      <c r="AB112" s="25">
        <f>IF(B112="","",COUNTIFS(Appointments!$G$5:$G$1204,A112,Appointments!$M$5:$M$1204,"Completed"))</f>
        <v>0</v>
      </c>
      <c r="AC112" s="25">
        <f>IF(B112="","",SUMIFS(Sales!$K$5:$K$1204,Sales!$I$5:$I$1204,A112,Sales!$H$5:$H$1204,"Service"))</f>
        <v>0</v>
      </c>
      <c r="AD112" s="26">
        <f>IF(B112="","",ROUND(SUMIFS(Sales!$Y$5:$Y$1204,Sales!$I$5:$I$1204,A112,Sales!$H$5:$H$1204,"Service"),2))</f>
        <v>0</v>
      </c>
      <c r="AE112" s="27">
        <f>IF(B112="","",IF(ServiceRevenueAll=0,"",AD112/ServiceRevenueAll))</f>
        <v>0</v>
      </c>
      <c r="AF112" s="26">
        <f>IF(B112="","",ROUND(AC112*T112,2))</f>
        <v>0</v>
      </c>
      <c r="AG112" s="37">
        <f>IF(B112="","",ROUND(AC112*P112,1))</f>
        <v>0</v>
      </c>
      <c r="AH112" s="27">
        <f>IF(B112="","",IF(AB112=0,"",COUNTIFS(Sales!$I$5:$I$1204,A112,Sales!$AJ$5:$AJ$1204,"Yes")/AB112))</f>
        <v>0</v>
      </c>
      <c r="AI112" s="17">
        <f>IF(B112="","",IFERROR(IF(COUNTIFS(Appointments!$G$5:$G$1204,A112)=0,"",SUMPRODUCT(MAX((Appointments!$G$5:$G$1204=A112)*IFERROR(Appointments!$B$5:$B$1204*1,0)))),""))</f>
        <v>0</v>
      </c>
      <c r="AJ112" s="25">
        <f>IF(B112="","",COUNTIFS($AD$5:$AD$204,"&gt;"&amp;AD112)+COUNTIFS($AD$5:AD112,AD112))</f>
        <v>0</v>
      </c>
      <c r="AK112" s="25">
        <f>IF(B112="","",COUNTIFS($W$5:$W$204,"&gt;"&amp;W112)+COUNTIFS($W$5:W112,W112))</f>
        <v>0</v>
      </c>
      <c r="AL112" s="25">
        <f>IF(B112="","",COUNTIFS($AB$5:$AB$204,"&gt;"&amp;AB112)+COUNTIFS($AB$5:AB112,AB112))</f>
        <v>0</v>
      </c>
      <c r="AM112" s="39">
        <f>IF(B112="","",IF(G112="","Add - no price yet",IF(E112="","Add - how long does it take?",IF(T112&lt;0,"Loss - this service costs you money",IF(V112&lt;TargetChairRate*0.7,"Check - well under your chair rate",IF(IF(N112="",FALSE,TodayDate-N112&gt;PriceReviewDays),"Due - price has not been reviewed",IF(IF(M112="Active",AB112=0,FALSE),"Check - on the menu but never booked","OK")))))))</f>
        <v>0</v>
      </c>
    </row>
    <row r="113" spans="1:39">
      <c r="A113" s="28">
        <f>IF(B113="","",ServicePrefix&amp;TEXT(ROW()-4,"000"))</f>
        <v>0</v>
      </c>
      <c r="P113" s="42">
        <f>IF(B113="","",ROUND((IF(E113="",0,E113)+IF(F113="",0,F113))/60,3))</f>
        <v>0</v>
      </c>
      <c r="Q113" s="26">
        <f>IF(B113="","",IF(H113&lt;&gt;"",H113,IF(G113="",0,ROUND(G113*ProductCostPercent,2))))</f>
        <v>0</v>
      </c>
      <c r="R113" s="26">
        <f>IF(B113="","",IF(J113="No",0,IF(G113="",0,ROUND(G113*ServiceCommission,2))))</f>
        <v>0</v>
      </c>
      <c r="S113" s="26">
        <f>IF(B113="","",ROUND(Q113+R113,2))</f>
        <v>0</v>
      </c>
      <c r="T113" s="26">
        <f>IF(B113="","",IF(G113="","",ROUND(G113-S113,2)))</f>
        <v>0</v>
      </c>
      <c r="U113" s="27">
        <f>IF(B113="","",IF(G113="","",IF(G113=0,"",T113/G113)))</f>
        <v>0</v>
      </c>
      <c r="V113" s="26">
        <f>IF(B113="","",IF(G113="","",IF(P113=0,"",ROUND(G113/P113,2))))</f>
        <v>0</v>
      </c>
      <c r="W113" s="26">
        <f>IF(B113="","",IF(T113="","",IF(P113=0,"",ROUND(T113/P113,2))))</f>
        <v>0</v>
      </c>
      <c r="X113" s="26">
        <f>IF(B113="","",IF(P113=0,"",IF(ServiceCommission&gt;=1,"",(Q113+TargetChairRate*P113)/IF(J113="No",1,1-ServiceCommission))))</f>
        <v>0</v>
      </c>
      <c r="Y113" s="26">
        <f>IF(B113="","",IF(X113="","",ROUND(IF(RoundingRule="None",X113,IF(RoundingRule="Nearest 0.99",MAX(0.99,CEILING(X113,1)-0.01),IF(RoundingRule="Nearest 0.95",MAX(0.95,CEILING(X113,1)-0.05),IF(RoundingRule="Nearest 0.50",CEILING(X113,0.5),IF(RoundingRule="Nearest 1",CEILING(X113,1),IF(RoundingRule="Nearest 5",CEILING(X113,5),IF(RoundingRule="Up to whole 1",CEILING(X113,1),IF(RoundingRule="Up to whole 5",CEILING(X113,5),ROUND(X113,2))))))))),2)))</f>
        <v>0</v>
      </c>
      <c r="Z113" s="26">
        <f>IF(B113="","",IF(Y113="","",IF(G113="","",ROUND(G113-Y113,2))))</f>
        <v>0</v>
      </c>
      <c r="AA113" s="25">
        <f>IF(B113="","",COUNTIFS(Appointments!$G$5:$G$1204,A113))</f>
        <v>0</v>
      </c>
      <c r="AB113" s="25">
        <f>IF(B113="","",COUNTIFS(Appointments!$G$5:$G$1204,A113,Appointments!$M$5:$M$1204,"Completed"))</f>
        <v>0</v>
      </c>
      <c r="AC113" s="25">
        <f>IF(B113="","",SUMIFS(Sales!$K$5:$K$1204,Sales!$I$5:$I$1204,A113,Sales!$H$5:$H$1204,"Service"))</f>
        <v>0</v>
      </c>
      <c r="AD113" s="26">
        <f>IF(B113="","",ROUND(SUMIFS(Sales!$Y$5:$Y$1204,Sales!$I$5:$I$1204,A113,Sales!$H$5:$H$1204,"Service"),2))</f>
        <v>0</v>
      </c>
      <c r="AE113" s="27">
        <f>IF(B113="","",IF(ServiceRevenueAll=0,"",AD113/ServiceRevenueAll))</f>
        <v>0</v>
      </c>
      <c r="AF113" s="26">
        <f>IF(B113="","",ROUND(AC113*T113,2))</f>
        <v>0</v>
      </c>
      <c r="AG113" s="37">
        <f>IF(B113="","",ROUND(AC113*P113,1))</f>
        <v>0</v>
      </c>
      <c r="AH113" s="27">
        <f>IF(B113="","",IF(AB113=0,"",COUNTIFS(Sales!$I$5:$I$1204,A113,Sales!$AJ$5:$AJ$1204,"Yes")/AB113))</f>
        <v>0</v>
      </c>
      <c r="AI113" s="17">
        <f>IF(B113="","",IFERROR(IF(COUNTIFS(Appointments!$G$5:$G$1204,A113)=0,"",SUMPRODUCT(MAX((Appointments!$G$5:$G$1204=A113)*IFERROR(Appointments!$B$5:$B$1204*1,0)))),""))</f>
        <v>0</v>
      </c>
      <c r="AJ113" s="25">
        <f>IF(B113="","",COUNTIFS($AD$5:$AD$204,"&gt;"&amp;AD113)+COUNTIFS($AD$5:AD113,AD113))</f>
        <v>0</v>
      </c>
      <c r="AK113" s="25">
        <f>IF(B113="","",COUNTIFS($W$5:$W$204,"&gt;"&amp;W113)+COUNTIFS($W$5:W113,W113))</f>
        <v>0</v>
      </c>
      <c r="AL113" s="25">
        <f>IF(B113="","",COUNTIFS($AB$5:$AB$204,"&gt;"&amp;AB113)+COUNTIFS($AB$5:AB113,AB113))</f>
        <v>0</v>
      </c>
      <c r="AM113" s="39">
        <f>IF(B113="","",IF(G113="","Add - no price yet",IF(E113="","Add - how long does it take?",IF(T113&lt;0,"Loss - this service costs you money",IF(V113&lt;TargetChairRate*0.7,"Check - well under your chair rate",IF(IF(N113="",FALSE,TodayDate-N113&gt;PriceReviewDays),"Due - price has not been reviewed",IF(IF(M113="Active",AB113=0,FALSE),"Check - on the menu but never booked","OK")))))))</f>
        <v>0</v>
      </c>
    </row>
    <row r="114" spans="1:39">
      <c r="A114" s="28">
        <f>IF(B114="","",ServicePrefix&amp;TEXT(ROW()-4,"000"))</f>
        <v>0</v>
      </c>
      <c r="P114" s="42">
        <f>IF(B114="","",ROUND((IF(E114="",0,E114)+IF(F114="",0,F114))/60,3))</f>
        <v>0</v>
      </c>
      <c r="Q114" s="26">
        <f>IF(B114="","",IF(H114&lt;&gt;"",H114,IF(G114="",0,ROUND(G114*ProductCostPercent,2))))</f>
        <v>0</v>
      </c>
      <c r="R114" s="26">
        <f>IF(B114="","",IF(J114="No",0,IF(G114="",0,ROUND(G114*ServiceCommission,2))))</f>
        <v>0</v>
      </c>
      <c r="S114" s="26">
        <f>IF(B114="","",ROUND(Q114+R114,2))</f>
        <v>0</v>
      </c>
      <c r="T114" s="26">
        <f>IF(B114="","",IF(G114="","",ROUND(G114-S114,2)))</f>
        <v>0</v>
      </c>
      <c r="U114" s="27">
        <f>IF(B114="","",IF(G114="","",IF(G114=0,"",T114/G114)))</f>
        <v>0</v>
      </c>
      <c r="V114" s="26">
        <f>IF(B114="","",IF(G114="","",IF(P114=0,"",ROUND(G114/P114,2))))</f>
        <v>0</v>
      </c>
      <c r="W114" s="26">
        <f>IF(B114="","",IF(T114="","",IF(P114=0,"",ROUND(T114/P114,2))))</f>
        <v>0</v>
      </c>
      <c r="X114" s="26">
        <f>IF(B114="","",IF(P114=0,"",IF(ServiceCommission&gt;=1,"",(Q114+TargetChairRate*P114)/IF(J114="No",1,1-ServiceCommission))))</f>
        <v>0</v>
      </c>
      <c r="Y114" s="26">
        <f>IF(B114="","",IF(X114="","",ROUND(IF(RoundingRule="None",X114,IF(RoundingRule="Nearest 0.99",MAX(0.99,CEILING(X114,1)-0.01),IF(RoundingRule="Nearest 0.95",MAX(0.95,CEILING(X114,1)-0.05),IF(RoundingRule="Nearest 0.50",CEILING(X114,0.5),IF(RoundingRule="Nearest 1",CEILING(X114,1),IF(RoundingRule="Nearest 5",CEILING(X114,5),IF(RoundingRule="Up to whole 1",CEILING(X114,1),IF(RoundingRule="Up to whole 5",CEILING(X114,5),ROUND(X114,2))))))))),2)))</f>
        <v>0</v>
      </c>
      <c r="Z114" s="26">
        <f>IF(B114="","",IF(Y114="","",IF(G114="","",ROUND(G114-Y114,2))))</f>
        <v>0</v>
      </c>
      <c r="AA114" s="25">
        <f>IF(B114="","",COUNTIFS(Appointments!$G$5:$G$1204,A114))</f>
        <v>0</v>
      </c>
      <c r="AB114" s="25">
        <f>IF(B114="","",COUNTIFS(Appointments!$G$5:$G$1204,A114,Appointments!$M$5:$M$1204,"Completed"))</f>
        <v>0</v>
      </c>
      <c r="AC114" s="25">
        <f>IF(B114="","",SUMIFS(Sales!$K$5:$K$1204,Sales!$I$5:$I$1204,A114,Sales!$H$5:$H$1204,"Service"))</f>
        <v>0</v>
      </c>
      <c r="AD114" s="26">
        <f>IF(B114="","",ROUND(SUMIFS(Sales!$Y$5:$Y$1204,Sales!$I$5:$I$1204,A114,Sales!$H$5:$H$1204,"Service"),2))</f>
        <v>0</v>
      </c>
      <c r="AE114" s="27">
        <f>IF(B114="","",IF(ServiceRevenueAll=0,"",AD114/ServiceRevenueAll))</f>
        <v>0</v>
      </c>
      <c r="AF114" s="26">
        <f>IF(B114="","",ROUND(AC114*T114,2))</f>
        <v>0</v>
      </c>
      <c r="AG114" s="37">
        <f>IF(B114="","",ROUND(AC114*P114,1))</f>
        <v>0</v>
      </c>
      <c r="AH114" s="27">
        <f>IF(B114="","",IF(AB114=0,"",COUNTIFS(Sales!$I$5:$I$1204,A114,Sales!$AJ$5:$AJ$1204,"Yes")/AB114))</f>
        <v>0</v>
      </c>
      <c r="AI114" s="17">
        <f>IF(B114="","",IFERROR(IF(COUNTIFS(Appointments!$G$5:$G$1204,A114)=0,"",SUMPRODUCT(MAX((Appointments!$G$5:$G$1204=A114)*IFERROR(Appointments!$B$5:$B$1204*1,0)))),""))</f>
        <v>0</v>
      </c>
      <c r="AJ114" s="25">
        <f>IF(B114="","",COUNTIFS($AD$5:$AD$204,"&gt;"&amp;AD114)+COUNTIFS($AD$5:AD114,AD114))</f>
        <v>0</v>
      </c>
      <c r="AK114" s="25">
        <f>IF(B114="","",COUNTIFS($W$5:$W$204,"&gt;"&amp;W114)+COUNTIFS($W$5:W114,W114))</f>
        <v>0</v>
      </c>
      <c r="AL114" s="25">
        <f>IF(B114="","",COUNTIFS($AB$5:$AB$204,"&gt;"&amp;AB114)+COUNTIFS($AB$5:AB114,AB114))</f>
        <v>0</v>
      </c>
      <c r="AM114" s="39">
        <f>IF(B114="","",IF(G114="","Add - no price yet",IF(E114="","Add - how long does it take?",IF(T114&lt;0,"Loss - this service costs you money",IF(V114&lt;TargetChairRate*0.7,"Check - well under your chair rate",IF(IF(N114="",FALSE,TodayDate-N114&gt;PriceReviewDays),"Due - price has not been reviewed",IF(IF(M114="Active",AB114=0,FALSE),"Check - on the menu but never booked","OK")))))))</f>
        <v>0</v>
      </c>
    </row>
    <row r="115" spans="1:39">
      <c r="A115" s="28">
        <f>IF(B115="","",ServicePrefix&amp;TEXT(ROW()-4,"000"))</f>
        <v>0</v>
      </c>
      <c r="P115" s="42">
        <f>IF(B115="","",ROUND((IF(E115="",0,E115)+IF(F115="",0,F115))/60,3))</f>
        <v>0</v>
      </c>
      <c r="Q115" s="26">
        <f>IF(B115="","",IF(H115&lt;&gt;"",H115,IF(G115="",0,ROUND(G115*ProductCostPercent,2))))</f>
        <v>0</v>
      </c>
      <c r="R115" s="26">
        <f>IF(B115="","",IF(J115="No",0,IF(G115="",0,ROUND(G115*ServiceCommission,2))))</f>
        <v>0</v>
      </c>
      <c r="S115" s="26">
        <f>IF(B115="","",ROUND(Q115+R115,2))</f>
        <v>0</v>
      </c>
      <c r="T115" s="26">
        <f>IF(B115="","",IF(G115="","",ROUND(G115-S115,2)))</f>
        <v>0</v>
      </c>
      <c r="U115" s="27">
        <f>IF(B115="","",IF(G115="","",IF(G115=0,"",T115/G115)))</f>
        <v>0</v>
      </c>
      <c r="V115" s="26">
        <f>IF(B115="","",IF(G115="","",IF(P115=0,"",ROUND(G115/P115,2))))</f>
        <v>0</v>
      </c>
      <c r="W115" s="26">
        <f>IF(B115="","",IF(T115="","",IF(P115=0,"",ROUND(T115/P115,2))))</f>
        <v>0</v>
      </c>
      <c r="X115" s="26">
        <f>IF(B115="","",IF(P115=0,"",IF(ServiceCommission&gt;=1,"",(Q115+TargetChairRate*P115)/IF(J115="No",1,1-ServiceCommission))))</f>
        <v>0</v>
      </c>
      <c r="Y115" s="26">
        <f>IF(B115="","",IF(X115="","",ROUND(IF(RoundingRule="None",X115,IF(RoundingRule="Nearest 0.99",MAX(0.99,CEILING(X115,1)-0.01),IF(RoundingRule="Nearest 0.95",MAX(0.95,CEILING(X115,1)-0.05),IF(RoundingRule="Nearest 0.50",CEILING(X115,0.5),IF(RoundingRule="Nearest 1",CEILING(X115,1),IF(RoundingRule="Nearest 5",CEILING(X115,5),IF(RoundingRule="Up to whole 1",CEILING(X115,1),IF(RoundingRule="Up to whole 5",CEILING(X115,5),ROUND(X115,2))))))))),2)))</f>
        <v>0</v>
      </c>
      <c r="Z115" s="26">
        <f>IF(B115="","",IF(Y115="","",IF(G115="","",ROUND(G115-Y115,2))))</f>
        <v>0</v>
      </c>
      <c r="AA115" s="25">
        <f>IF(B115="","",COUNTIFS(Appointments!$G$5:$G$1204,A115))</f>
        <v>0</v>
      </c>
      <c r="AB115" s="25">
        <f>IF(B115="","",COUNTIFS(Appointments!$G$5:$G$1204,A115,Appointments!$M$5:$M$1204,"Completed"))</f>
        <v>0</v>
      </c>
      <c r="AC115" s="25">
        <f>IF(B115="","",SUMIFS(Sales!$K$5:$K$1204,Sales!$I$5:$I$1204,A115,Sales!$H$5:$H$1204,"Service"))</f>
        <v>0</v>
      </c>
      <c r="AD115" s="26">
        <f>IF(B115="","",ROUND(SUMIFS(Sales!$Y$5:$Y$1204,Sales!$I$5:$I$1204,A115,Sales!$H$5:$H$1204,"Service"),2))</f>
        <v>0</v>
      </c>
      <c r="AE115" s="27">
        <f>IF(B115="","",IF(ServiceRevenueAll=0,"",AD115/ServiceRevenueAll))</f>
        <v>0</v>
      </c>
      <c r="AF115" s="26">
        <f>IF(B115="","",ROUND(AC115*T115,2))</f>
        <v>0</v>
      </c>
      <c r="AG115" s="37">
        <f>IF(B115="","",ROUND(AC115*P115,1))</f>
        <v>0</v>
      </c>
      <c r="AH115" s="27">
        <f>IF(B115="","",IF(AB115=0,"",COUNTIFS(Sales!$I$5:$I$1204,A115,Sales!$AJ$5:$AJ$1204,"Yes")/AB115))</f>
        <v>0</v>
      </c>
      <c r="AI115" s="17">
        <f>IF(B115="","",IFERROR(IF(COUNTIFS(Appointments!$G$5:$G$1204,A115)=0,"",SUMPRODUCT(MAX((Appointments!$G$5:$G$1204=A115)*IFERROR(Appointments!$B$5:$B$1204*1,0)))),""))</f>
        <v>0</v>
      </c>
      <c r="AJ115" s="25">
        <f>IF(B115="","",COUNTIFS($AD$5:$AD$204,"&gt;"&amp;AD115)+COUNTIFS($AD$5:AD115,AD115))</f>
        <v>0</v>
      </c>
      <c r="AK115" s="25">
        <f>IF(B115="","",COUNTIFS($W$5:$W$204,"&gt;"&amp;W115)+COUNTIFS($W$5:W115,W115))</f>
        <v>0</v>
      </c>
      <c r="AL115" s="25">
        <f>IF(B115="","",COUNTIFS($AB$5:$AB$204,"&gt;"&amp;AB115)+COUNTIFS($AB$5:AB115,AB115))</f>
        <v>0</v>
      </c>
      <c r="AM115" s="39">
        <f>IF(B115="","",IF(G115="","Add - no price yet",IF(E115="","Add - how long does it take?",IF(T115&lt;0,"Loss - this service costs you money",IF(V115&lt;TargetChairRate*0.7,"Check - well under your chair rate",IF(IF(N115="",FALSE,TodayDate-N115&gt;PriceReviewDays),"Due - price has not been reviewed",IF(IF(M115="Active",AB115=0,FALSE),"Check - on the menu but never booked","OK")))))))</f>
        <v>0</v>
      </c>
    </row>
    <row r="116" spans="1:39">
      <c r="A116" s="28">
        <f>IF(B116="","",ServicePrefix&amp;TEXT(ROW()-4,"000"))</f>
        <v>0</v>
      </c>
      <c r="P116" s="42">
        <f>IF(B116="","",ROUND((IF(E116="",0,E116)+IF(F116="",0,F116))/60,3))</f>
        <v>0</v>
      </c>
      <c r="Q116" s="26">
        <f>IF(B116="","",IF(H116&lt;&gt;"",H116,IF(G116="",0,ROUND(G116*ProductCostPercent,2))))</f>
        <v>0</v>
      </c>
      <c r="R116" s="26">
        <f>IF(B116="","",IF(J116="No",0,IF(G116="",0,ROUND(G116*ServiceCommission,2))))</f>
        <v>0</v>
      </c>
      <c r="S116" s="26">
        <f>IF(B116="","",ROUND(Q116+R116,2))</f>
        <v>0</v>
      </c>
      <c r="T116" s="26">
        <f>IF(B116="","",IF(G116="","",ROUND(G116-S116,2)))</f>
        <v>0</v>
      </c>
      <c r="U116" s="27">
        <f>IF(B116="","",IF(G116="","",IF(G116=0,"",T116/G116)))</f>
        <v>0</v>
      </c>
      <c r="V116" s="26">
        <f>IF(B116="","",IF(G116="","",IF(P116=0,"",ROUND(G116/P116,2))))</f>
        <v>0</v>
      </c>
      <c r="W116" s="26">
        <f>IF(B116="","",IF(T116="","",IF(P116=0,"",ROUND(T116/P116,2))))</f>
        <v>0</v>
      </c>
      <c r="X116" s="26">
        <f>IF(B116="","",IF(P116=0,"",IF(ServiceCommission&gt;=1,"",(Q116+TargetChairRate*P116)/IF(J116="No",1,1-ServiceCommission))))</f>
        <v>0</v>
      </c>
      <c r="Y116" s="26">
        <f>IF(B116="","",IF(X116="","",ROUND(IF(RoundingRule="None",X116,IF(RoundingRule="Nearest 0.99",MAX(0.99,CEILING(X116,1)-0.01),IF(RoundingRule="Nearest 0.95",MAX(0.95,CEILING(X116,1)-0.05),IF(RoundingRule="Nearest 0.50",CEILING(X116,0.5),IF(RoundingRule="Nearest 1",CEILING(X116,1),IF(RoundingRule="Nearest 5",CEILING(X116,5),IF(RoundingRule="Up to whole 1",CEILING(X116,1),IF(RoundingRule="Up to whole 5",CEILING(X116,5),ROUND(X116,2))))))))),2)))</f>
        <v>0</v>
      </c>
      <c r="Z116" s="26">
        <f>IF(B116="","",IF(Y116="","",IF(G116="","",ROUND(G116-Y116,2))))</f>
        <v>0</v>
      </c>
      <c r="AA116" s="25">
        <f>IF(B116="","",COUNTIFS(Appointments!$G$5:$G$1204,A116))</f>
        <v>0</v>
      </c>
      <c r="AB116" s="25">
        <f>IF(B116="","",COUNTIFS(Appointments!$G$5:$G$1204,A116,Appointments!$M$5:$M$1204,"Completed"))</f>
        <v>0</v>
      </c>
      <c r="AC116" s="25">
        <f>IF(B116="","",SUMIFS(Sales!$K$5:$K$1204,Sales!$I$5:$I$1204,A116,Sales!$H$5:$H$1204,"Service"))</f>
        <v>0</v>
      </c>
      <c r="AD116" s="26">
        <f>IF(B116="","",ROUND(SUMIFS(Sales!$Y$5:$Y$1204,Sales!$I$5:$I$1204,A116,Sales!$H$5:$H$1204,"Service"),2))</f>
        <v>0</v>
      </c>
      <c r="AE116" s="27">
        <f>IF(B116="","",IF(ServiceRevenueAll=0,"",AD116/ServiceRevenueAll))</f>
        <v>0</v>
      </c>
      <c r="AF116" s="26">
        <f>IF(B116="","",ROUND(AC116*T116,2))</f>
        <v>0</v>
      </c>
      <c r="AG116" s="37">
        <f>IF(B116="","",ROUND(AC116*P116,1))</f>
        <v>0</v>
      </c>
      <c r="AH116" s="27">
        <f>IF(B116="","",IF(AB116=0,"",COUNTIFS(Sales!$I$5:$I$1204,A116,Sales!$AJ$5:$AJ$1204,"Yes")/AB116))</f>
        <v>0</v>
      </c>
      <c r="AI116" s="17">
        <f>IF(B116="","",IFERROR(IF(COUNTIFS(Appointments!$G$5:$G$1204,A116)=0,"",SUMPRODUCT(MAX((Appointments!$G$5:$G$1204=A116)*IFERROR(Appointments!$B$5:$B$1204*1,0)))),""))</f>
        <v>0</v>
      </c>
      <c r="AJ116" s="25">
        <f>IF(B116="","",COUNTIFS($AD$5:$AD$204,"&gt;"&amp;AD116)+COUNTIFS($AD$5:AD116,AD116))</f>
        <v>0</v>
      </c>
      <c r="AK116" s="25">
        <f>IF(B116="","",COUNTIFS($W$5:$W$204,"&gt;"&amp;W116)+COUNTIFS($W$5:W116,W116))</f>
        <v>0</v>
      </c>
      <c r="AL116" s="25">
        <f>IF(B116="","",COUNTIFS($AB$5:$AB$204,"&gt;"&amp;AB116)+COUNTIFS($AB$5:AB116,AB116))</f>
        <v>0</v>
      </c>
      <c r="AM116" s="39">
        <f>IF(B116="","",IF(G116="","Add - no price yet",IF(E116="","Add - how long does it take?",IF(T116&lt;0,"Loss - this service costs you money",IF(V116&lt;TargetChairRate*0.7,"Check - well under your chair rate",IF(IF(N116="",FALSE,TodayDate-N116&gt;PriceReviewDays),"Due - price has not been reviewed",IF(IF(M116="Active",AB116=0,FALSE),"Check - on the menu but never booked","OK")))))))</f>
        <v>0</v>
      </c>
    </row>
    <row r="117" spans="1:39">
      <c r="A117" s="28">
        <f>IF(B117="","",ServicePrefix&amp;TEXT(ROW()-4,"000"))</f>
        <v>0</v>
      </c>
      <c r="P117" s="42">
        <f>IF(B117="","",ROUND((IF(E117="",0,E117)+IF(F117="",0,F117))/60,3))</f>
        <v>0</v>
      </c>
      <c r="Q117" s="26">
        <f>IF(B117="","",IF(H117&lt;&gt;"",H117,IF(G117="",0,ROUND(G117*ProductCostPercent,2))))</f>
        <v>0</v>
      </c>
      <c r="R117" s="26">
        <f>IF(B117="","",IF(J117="No",0,IF(G117="",0,ROUND(G117*ServiceCommission,2))))</f>
        <v>0</v>
      </c>
      <c r="S117" s="26">
        <f>IF(B117="","",ROUND(Q117+R117,2))</f>
        <v>0</v>
      </c>
      <c r="T117" s="26">
        <f>IF(B117="","",IF(G117="","",ROUND(G117-S117,2)))</f>
        <v>0</v>
      </c>
      <c r="U117" s="27">
        <f>IF(B117="","",IF(G117="","",IF(G117=0,"",T117/G117)))</f>
        <v>0</v>
      </c>
      <c r="V117" s="26">
        <f>IF(B117="","",IF(G117="","",IF(P117=0,"",ROUND(G117/P117,2))))</f>
        <v>0</v>
      </c>
      <c r="W117" s="26">
        <f>IF(B117="","",IF(T117="","",IF(P117=0,"",ROUND(T117/P117,2))))</f>
        <v>0</v>
      </c>
      <c r="X117" s="26">
        <f>IF(B117="","",IF(P117=0,"",IF(ServiceCommission&gt;=1,"",(Q117+TargetChairRate*P117)/IF(J117="No",1,1-ServiceCommission))))</f>
        <v>0</v>
      </c>
      <c r="Y117" s="26">
        <f>IF(B117="","",IF(X117="","",ROUND(IF(RoundingRule="None",X117,IF(RoundingRule="Nearest 0.99",MAX(0.99,CEILING(X117,1)-0.01),IF(RoundingRule="Nearest 0.95",MAX(0.95,CEILING(X117,1)-0.05),IF(RoundingRule="Nearest 0.50",CEILING(X117,0.5),IF(RoundingRule="Nearest 1",CEILING(X117,1),IF(RoundingRule="Nearest 5",CEILING(X117,5),IF(RoundingRule="Up to whole 1",CEILING(X117,1),IF(RoundingRule="Up to whole 5",CEILING(X117,5),ROUND(X117,2))))))))),2)))</f>
        <v>0</v>
      </c>
      <c r="Z117" s="26">
        <f>IF(B117="","",IF(Y117="","",IF(G117="","",ROUND(G117-Y117,2))))</f>
        <v>0</v>
      </c>
      <c r="AA117" s="25">
        <f>IF(B117="","",COUNTIFS(Appointments!$G$5:$G$1204,A117))</f>
        <v>0</v>
      </c>
      <c r="AB117" s="25">
        <f>IF(B117="","",COUNTIFS(Appointments!$G$5:$G$1204,A117,Appointments!$M$5:$M$1204,"Completed"))</f>
        <v>0</v>
      </c>
      <c r="AC117" s="25">
        <f>IF(B117="","",SUMIFS(Sales!$K$5:$K$1204,Sales!$I$5:$I$1204,A117,Sales!$H$5:$H$1204,"Service"))</f>
        <v>0</v>
      </c>
      <c r="AD117" s="26">
        <f>IF(B117="","",ROUND(SUMIFS(Sales!$Y$5:$Y$1204,Sales!$I$5:$I$1204,A117,Sales!$H$5:$H$1204,"Service"),2))</f>
        <v>0</v>
      </c>
      <c r="AE117" s="27">
        <f>IF(B117="","",IF(ServiceRevenueAll=0,"",AD117/ServiceRevenueAll))</f>
        <v>0</v>
      </c>
      <c r="AF117" s="26">
        <f>IF(B117="","",ROUND(AC117*T117,2))</f>
        <v>0</v>
      </c>
      <c r="AG117" s="37">
        <f>IF(B117="","",ROUND(AC117*P117,1))</f>
        <v>0</v>
      </c>
      <c r="AH117" s="27">
        <f>IF(B117="","",IF(AB117=0,"",COUNTIFS(Sales!$I$5:$I$1204,A117,Sales!$AJ$5:$AJ$1204,"Yes")/AB117))</f>
        <v>0</v>
      </c>
      <c r="AI117" s="17">
        <f>IF(B117="","",IFERROR(IF(COUNTIFS(Appointments!$G$5:$G$1204,A117)=0,"",SUMPRODUCT(MAX((Appointments!$G$5:$G$1204=A117)*IFERROR(Appointments!$B$5:$B$1204*1,0)))),""))</f>
        <v>0</v>
      </c>
      <c r="AJ117" s="25">
        <f>IF(B117="","",COUNTIFS($AD$5:$AD$204,"&gt;"&amp;AD117)+COUNTIFS($AD$5:AD117,AD117))</f>
        <v>0</v>
      </c>
      <c r="AK117" s="25">
        <f>IF(B117="","",COUNTIFS($W$5:$W$204,"&gt;"&amp;W117)+COUNTIFS($W$5:W117,W117))</f>
        <v>0</v>
      </c>
      <c r="AL117" s="25">
        <f>IF(B117="","",COUNTIFS($AB$5:$AB$204,"&gt;"&amp;AB117)+COUNTIFS($AB$5:AB117,AB117))</f>
        <v>0</v>
      </c>
      <c r="AM117" s="39">
        <f>IF(B117="","",IF(G117="","Add - no price yet",IF(E117="","Add - how long does it take?",IF(T117&lt;0,"Loss - this service costs you money",IF(V117&lt;TargetChairRate*0.7,"Check - well under your chair rate",IF(IF(N117="",FALSE,TodayDate-N117&gt;PriceReviewDays),"Due - price has not been reviewed",IF(IF(M117="Active",AB117=0,FALSE),"Check - on the menu but never booked","OK")))))))</f>
        <v>0</v>
      </c>
    </row>
    <row r="118" spans="1:39">
      <c r="A118" s="28">
        <f>IF(B118="","",ServicePrefix&amp;TEXT(ROW()-4,"000"))</f>
        <v>0</v>
      </c>
      <c r="P118" s="42">
        <f>IF(B118="","",ROUND((IF(E118="",0,E118)+IF(F118="",0,F118))/60,3))</f>
        <v>0</v>
      </c>
      <c r="Q118" s="26">
        <f>IF(B118="","",IF(H118&lt;&gt;"",H118,IF(G118="",0,ROUND(G118*ProductCostPercent,2))))</f>
        <v>0</v>
      </c>
      <c r="R118" s="26">
        <f>IF(B118="","",IF(J118="No",0,IF(G118="",0,ROUND(G118*ServiceCommission,2))))</f>
        <v>0</v>
      </c>
      <c r="S118" s="26">
        <f>IF(B118="","",ROUND(Q118+R118,2))</f>
        <v>0</v>
      </c>
      <c r="T118" s="26">
        <f>IF(B118="","",IF(G118="","",ROUND(G118-S118,2)))</f>
        <v>0</v>
      </c>
      <c r="U118" s="27">
        <f>IF(B118="","",IF(G118="","",IF(G118=0,"",T118/G118)))</f>
        <v>0</v>
      </c>
      <c r="V118" s="26">
        <f>IF(B118="","",IF(G118="","",IF(P118=0,"",ROUND(G118/P118,2))))</f>
        <v>0</v>
      </c>
      <c r="W118" s="26">
        <f>IF(B118="","",IF(T118="","",IF(P118=0,"",ROUND(T118/P118,2))))</f>
        <v>0</v>
      </c>
      <c r="X118" s="26">
        <f>IF(B118="","",IF(P118=0,"",IF(ServiceCommission&gt;=1,"",(Q118+TargetChairRate*P118)/IF(J118="No",1,1-ServiceCommission))))</f>
        <v>0</v>
      </c>
      <c r="Y118" s="26">
        <f>IF(B118="","",IF(X118="","",ROUND(IF(RoundingRule="None",X118,IF(RoundingRule="Nearest 0.99",MAX(0.99,CEILING(X118,1)-0.01),IF(RoundingRule="Nearest 0.95",MAX(0.95,CEILING(X118,1)-0.05),IF(RoundingRule="Nearest 0.50",CEILING(X118,0.5),IF(RoundingRule="Nearest 1",CEILING(X118,1),IF(RoundingRule="Nearest 5",CEILING(X118,5),IF(RoundingRule="Up to whole 1",CEILING(X118,1),IF(RoundingRule="Up to whole 5",CEILING(X118,5),ROUND(X118,2))))))))),2)))</f>
        <v>0</v>
      </c>
      <c r="Z118" s="26">
        <f>IF(B118="","",IF(Y118="","",IF(G118="","",ROUND(G118-Y118,2))))</f>
        <v>0</v>
      </c>
      <c r="AA118" s="25">
        <f>IF(B118="","",COUNTIFS(Appointments!$G$5:$G$1204,A118))</f>
        <v>0</v>
      </c>
      <c r="AB118" s="25">
        <f>IF(B118="","",COUNTIFS(Appointments!$G$5:$G$1204,A118,Appointments!$M$5:$M$1204,"Completed"))</f>
        <v>0</v>
      </c>
      <c r="AC118" s="25">
        <f>IF(B118="","",SUMIFS(Sales!$K$5:$K$1204,Sales!$I$5:$I$1204,A118,Sales!$H$5:$H$1204,"Service"))</f>
        <v>0</v>
      </c>
      <c r="AD118" s="26">
        <f>IF(B118="","",ROUND(SUMIFS(Sales!$Y$5:$Y$1204,Sales!$I$5:$I$1204,A118,Sales!$H$5:$H$1204,"Service"),2))</f>
        <v>0</v>
      </c>
      <c r="AE118" s="27">
        <f>IF(B118="","",IF(ServiceRevenueAll=0,"",AD118/ServiceRevenueAll))</f>
        <v>0</v>
      </c>
      <c r="AF118" s="26">
        <f>IF(B118="","",ROUND(AC118*T118,2))</f>
        <v>0</v>
      </c>
      <c r="AG118" s="37">
        <f>IF(B118="","",ROUND(AC118*P118,1))</f>
        <v>0</v>
      </c>
      <c r="AH118" s="27">
        <f>IF(B118="","",IF(AB118=0,"",COUNTIFS(Sales!$I$5:$I$1204,A118,Sales!$AJ$5:$AJ$1204,"Yes")/AB118))</f>
        <v>0</v>
      </c>
      <c r="AI118" s="17">
        <f>IF(B118="","",IFERROR(IF(COUNTIFS(Appointments!$G$5:$G$1204,A118)=0,"",SUMPRODUCT(MAX((Appointments!$G$5:$G$1204=A118)*IFERROR(Appointments!$B$5:$B$1204*1,0)))),""))</f>
        <v>0</v>
      </c>
      <c r="AJ118" s="25">
        <f>IF(B118="","",COUNTIFS($AD$5:$AD$204,"&gt;"&amp;AD118)+COUNTIFS($AD$5:AD118,AD118))</f>
        <v>0</v>
      </c>
      <c r="AK118" s="25">
        <f>IF(B118="","",COUNTIFS($W$5:$W$204,"&gt;"&amp;W118)+COUNTIFS($W$5:W118,W118))</f>
        <v>0</v>
      </c>
      <c r="AL118" s="25">
        <f>IF(B118="","",COUNTIFS($AB$5:$AB$204,"&gt;"&amp;AB118)+COUNTIFS($AB$5:AB118,AB118))</f>
        <v>0</v>
      </c>
      <c r="AM118" s="39">
        <f>IF(B118="","",IF(G118="","Add - no price yet",IF(E118="","Add - how long does it take?",IF(T118&lt;0,"Loss - this service costs you money",IF(V118&lt;TargetChairRate*0.7,"Check - well under your chair rate",IF(IF(N118="",FALSE,TodayDate-N118&gt;PriceReviewDays),"Due - price has not been reviewed",IF(IF(M118="Active",AB118=0,FALSE),"Check - on the menu but never booked","OK")))))))</f>
        <v>0</v>
      </c>
    </row>
    <row r="119" spans="1:39">
      <c r="A119" s="28">
        <f>IF(B119="","",ServicePrefix&amp;TEXT(ROW()-4,"000"))</f>
        <v>0</v>
      </c>
      <c r="P119" s="42">
        <f>IF(B119="","",ROUND((IF(E119="",0,E119)+IF(F119="",0,F119))/60,3))</f>
        <v>0</v>
      </c>
      <c r="Q119" s="26">
        <f>IF(B119="","",IF(H119&lt;&gt;"",H119,IF(G119="",0,ROUND(G119*ProductCostPercent,2))))</f>
        <v>0</v>
      </c>
      <c r="R119" s="26">
        <f>IF(B119="","",IF(J119="No",0,IF(G119="",0,ROUND(G119*ServiceCommission,2))))</f>
        <v>0</v>
      </c>
      <c r="S119" s="26">
        <f>IF(B119="","",ROUND(Q119+R119,2))</f>
        <v>0</v>
      </c>
      <c r="T119" s="26">
        <f>IF(B119="","",IF(G119="","",ROUND(G119-S119,2)))</f>
        <v>0</v>
      </c>
      <c r="U119" s="27">
        <f>IF(B119="","",IF(G119="","",IF(G119=0,"",T119/G119)))</f>
        <v>0</v>
      </c>
      <c r="V119" s="26">
        <f>IF(B119="","",IF(G119="","",IF(P119=0,"",ROUND(G119/P119,2))))</f>
        <v>0</v>
      </c>
      <c r="W119" s="26">
        <f>IF(B119="","",IF(T119="","",IF(P119=0,"",ROUND(T119/P119,2))))</f>
        <v>0</v>
      </c>
      <c r="X119" s="26">
        <f>IF(B119="","",IF(P119=0,"",IF(ServiceCommission&gt;=1,"",(Q119+TargetChairRate*P119)/IF(J119="No",1,1-ServiceCommission))))</f>
        <v>0</v>
      </c>
      <c r="Y119" s="26">
        <f>IF(B119="","",IF(X119="","",ROUND(IF(RoundingRule="None",X119,IF(RoundingRule="Nearest 0.99",MAX(0.99,CEILING(X119,1)-0.01),IF(RoundingRule="Nearest 0.95",MAX(0.95,CEILING(X119,1)-0.05),IF(RoundingRule="Nearest 0.50",CEILING(X119,0.5),IF(RoundingRule="Nearest 1",CEILING(X119,1),IF(RoundingRule="Nearest 5",CEILING(X119,5),IF(RoundingRule="Up to whole 1",CEILING(X119,1),IF(RoundingRule="Up to whole 5",CEILING(X119,5),ROUND(X119,2))))))))),2)))</f>
        <v>0</v>
      </c>
      <c r="Z119" s="26">
        <f>IF(B119="","",IF(Y119="","",IF(G119="","",ROUND(G119-Y119,2))))</f>
        <v>0</v>
      </c>
      <c r="AA119" s="25">
        <f>IF(B119="","",COUNTIFS(Appointments!$G$5:$G$1204,A119))</f>
        <v>0</v>
      </c>
      <c r="AB119" s="25">
        <f>IF(B119="","",COUNTIFS(Appointments!$G$5:$G$1204,A119,Appointments!$M$5:$M$1204,"Completed"))</f>
        <v>0</v>
      </c>
      <c r="AC119" s="25">
        <f>IF(B119="","",SUMIFS(Sales!$K$5:$K$1204,Sales!$I$5:$I$1204,A119,Sales!$H$5:$H$1204,"Service"))</f>
        <v>0</v>
      </c>
      <c r="AD119" s="26">
        <f>IF(B119="","",ROUND(SUMIFS(Sales!$Y$5:$Y$1204,Sales!$I$5:$I$1204,A119,Sales!$H$5:$H$1204,"Service"),2))</f>
        <v>0</v>
      </c>
      <c r="AE119" s="27">
        <f>IF(B119="","",IF(ServiceRevenueAll=0,"",AD119/ServiceRevenueAll))</f>
        <v>0</v>
      </c>
      <c r="AF119" s="26">
        <f>IF(B119="","",ROUND(AC119*T119,2))</f>
        <v>0</v>
      </c>
      <c r="AG119" s="37">
        <f>IF(B119="","",ROUND(AC119*P119,1))</f>
        <v>0</v>
      </c>
      <c r="AH119" s="27">
        <f>IF(B119="","",IF(AB119=0,"",COUNTIFS(Sales!$I$5:$I$1204,A119,Sales!$AJ$5:$AJ$1204,"Yes")/AB119))</f>
        <v>0</v>
      </c>
      <c r="AI119" s="17">
        <f>IF(B119="","",IFERROR(IF(COUNTIFS(Appointments!$G$5:$G$1204,A119)=0,"",SUMPRODUCT(MAX((Appointments!$G$5:$G$1204=A119)*IFERROR(Appointments!$B$5:$B$1204*1,0)))),""))</f>
        <v>0</v>
      </c>
      <c r="AJ119" s="25">
        <f>IF(B119="","",COUNTIFS($AD$5:$AD$204,"&gt;"&amp;AD119)+COUNTIFS($AD$5:AD119,AD119))</f>
        <v>0</v>
      </c>
      <c r="AK119" s="25">
        <f>IF(B119="","",COUNTIFS($W$5:$W$204,"&gt;"&amp;W119)+COUNTIFS($W$5:W119,W119))</f>
        <v>0</v>
      </c>
      <c r="AL119" s="25">
        <f>IF(B119="","",COUNTIFS($AB$5:$AB$204,"&gt;"&amp;AB119)+COUNTIFS($AB$5:AB119,AB119))</f>
        <v>0</v>
      </c>
      <c r="AM119" s="39">
        <f>IF(B119="","",IF(G119="","Add - no price yet",IF(E119="","Add - how long does it take?",IF(T119&lt;0,"Loss - this service costs you money",IF(V119&lt;TargetChairRate*0.7,"Check - well under your chair rate",IF(IF(N119="",FALSE,TodayDate-N119&gt;PriceReviewDays),"Due - price has not been reviewed",IF(IF(M119="Active",AB119=0,FALSE),"Check - on the menu but never booked","OK")))))))</f>
        <v>0</v>
      </c>
    </row>
    <row r="120" spans="1:39">
      <c r="A120" s="28">
        <f>IF(B120="","",ServicePrefix&amp;TEXT(ROW()-4,"000"))</f>
        <v>0</v>
      </c>
      <c r="P120" s="42">
        <f>IF(B120="","",ROUND((IF(E120="",0,E120)+IF(F120="",0,F120))/60,3))</f>
        <v>0</v>
      </c>
      <c r="Q120" s="26">
        <f>IF(B120="","",IF(H120&lt;&gt;"",H120,IF(G120="",0,ROUND(G120*ProductCostPercent,2))))</f>
        <v>0</v>
      </c>
      <c r="R120" s="26">
        <f>IF(B120="","",IF(J120="No",0,IF(G120="",0,ROUND(G120*ServiceCommission,2))))</f>
        <v>0</v>
      </c>
      <c r="S120" s="26">
        <f>IF(B120="","",ROUND(Q120+R120,2))</f>
        <v>0</v>
      </c>
      <c r="T120" s="26">
        <f>IF(B120="","",IF(G120="","",ROUND(G120-S120,2)))</f>
        <v>0</v>
      </c>
      <c r="U120" s="27">
        <f>IF(B120="","",IF(G120="","",IF(G120=0,"",T120/G120)))</f>
        <v>0</v>
      </c>
      <c r="V120" s="26">
        <f>IF(B120="","",IF(G120="","",IF(P120=0,"",ROUND(G120/P120,2))))</f>
        <v>0</v>
      </c>
      <c r="W120" s="26">
        <f>IF(B120="","",IF(T120="","",IF(P120=0,"",ROUND(T120/P120,2))))</f>
        <v>0</v>
      </c>
      <c r="X120" s="26">
        <f>IF(B120="","",IF(P120=0,"",IF(ServiceCommission&gt;=1,"",(Q120+TargetChairRate*P120)/IF(J120="No",1,1-ServiceCommission))))</f>
        <v>0</v>
      </c>
      <c r="Y120" s="26">
        <f>IF(B120="","",IF(X120="","",ROUND(IF(RoundingRule="None",X120,IF(RoundingRule="Nearest 0.99",MAX(0.99,CEILING(X120,1)-0.01),IF(RoundingRule="Nearest 0.95",MAX(0.95,CEILING(X120,1)-0.05),IF(RoundingRule="Nearest 0.50",CEILING(X120,0.5),IF(RoundingRule="Nearest 1",CEILING(X120,1),IF(RoundingRule="Nearest 5",CEILING(X120,5),IF(RoundingRule="Up to whole 1",CEILING(X120,1),IF(RoundingRule="Up to whole 5",CEILING(X120,5),ROUND(X120,2))))))))),2)))</f>
        <v>0</v>
      </c>
      <c r="Z120" s="26">
        <f>IF(B120="","",IF(Y120="","",IF(G120="","",ROUND(G120-Y120,2))))</f>
        <v>0</v>
      </c>
      <c r="AA120" s="25">
        <f>IF(B120="","",COUNTIFS(Appointments!$G$5:$G$1204,A120))</f>
        <v>0</v>
      </c>
      <c r="AB120" s="25">
        <f>IF(B120="","",COUNTIFS(Appointments!$G$5:$G$1204,A120,Appointments!$M$5:$M$1204,"Completed"))</f>
        <v>0</v>
      </c>
      <c r="AC120" s="25">
        <f>IF(B120="","",SUMIFS(Sales!$K$5:$K$1204,Sales!$I$5:$I$1204,A120,Sales!$H$5:$H$1204,"Service"))</f>
        <v>0</v>
      </c>
      <c r="AD120" s="26">
        <f>IF(B120="","",ROUND(SUMIFS(Sales!$Y$5:$Y$1204,Sales!$I$5:$I$1204,A120,Sales!$H$5:$H$1204,"Service"),2))</f>
        <v>0</v>
      </c>
      <c r="AE120" s="27">
        <f>IF(B120="","",IF(ServiceRevenueAll=0,"",AD120/ServiceRevenueAll))</f>
        <v>0</v>
      </c>
      <c r="AF120" s="26">
        <f>IF(B120="","",ROUND(AC120*T120,2))</f>
        <v>0</v>
      </c>
      <c r="AG120" s="37">
        <f>IF(B120="","",ROUND(AC120*P120,1))</f>
        <v>0</v>
      </c>
      <c r="AH120" s="27">
        <f>IF(B120="","",IF(AB120=0,"",COUNTIFS(Sales!$I$5:$I$1204,A120,Sales!$AJ$5:$AJ$1204,"Yes")/AB120))</f>
        <v>0</v>
      </c>
      <c r="AI120" s="17">
        <f>IF(B120="","",IFERROR(IF(COUNTIFS(Appointments!$G$5:$G$1204,A120)=0,"",SUMPRODUCT(MAX((Appointments!$G$5:$G$1204=A120)*IFERROR(Appointments!$B$5:$B$1204*1,0)))),""))</f>
        <v>0</v>
      </c>
      <c r="AJ120" s="25">
        <f>IF(B120="","",COUNTIFS($AD$5:$AD$204,"&gt;"&amp;AD120)+COUNTIFS($AD$5:AD120,AD120))</f>
        <v>0</v>
      </c>
      <c r="AK120" s="25">
        <f>IF(B120="","",COUNTIFS($W$5:$W$204,"&gt;"&amp;W120)+COUNTIFS($W$5:W120,W120))</f>
        <v>0</v>
      </c>
      <c r="AL120" s="25">
        <f>IF(B120="","",COUNTIFS($AB$5:$AB$204,"&gt;"&amp;AB120)+COUNTIFS($AB$5:AB120,AB120))</f>
        <v>0</v>
      </c>
      <c r="AM120" s="39">
        <f>IF(B120="","",IF(G120="","Add - no price yet",IF(E120="","Add - how long does it take?",IF(T120&lt;0,"Loss - this service costs you money",IF(V120&lt;TargetChairRate*0.7,"Check - well under your chair rate",IF(IF(N120="",FALSE,TodayDate-N120&gt;PriceReviewDays),"Due - price has not been reviewed",IF(IF(M120="Active",AB120=0,FALSE),"Check - on the menu but never booked","OK")))))))</f>
        <v>0</v>
      </c>
    </row>
    <row r="121" spans="1:39">
      <c r="A121" s="28">
        <f>IF(B121="","",ServicePrefix&amp;TEXT(ROW()-4,"000"))</f>
        <v>0</v>
      </c>
      <c r="P121" s="42">
        <f>IF(B121="","",ROUND((IF(E121="",0,E121)+IF(F121="",0,F121))/60,3))</f>
        <v>0</v>
      </c>
      <c r="Q121" s="26">
        <f>IF(B121="","",IF(H121&lt;&gt;"",H121,IF(G121="",0,ROUND(G121*ProductCostPercent,2))))</f>
        <v>0</v>
      </c>
      <c r="R121" s="26">
        <f>IF(B121="","",IF(J121="No",0,IF(G121="",0,ROUND(G121*ServiceCommission,2))))</f>
        <v>0</v>
      </c>
      <c r="S121" s="26">
        <f>IF(B121="","",ROUND(Q121+R121,2))</f>
        <v>0</v>
      </c>
      <c r="T121" s="26">
        <f>IF(B121="","",IF(G121="","",ROUND(G121-S121,2)))</f>
        <v>0</v>
      </c>
      <c r="U121" s="27">
        <f>IF(B121="","",IF(G121="","",IF(G121=0,"",T121/G121)))</f>
        <v>0</v>
      </c>
      <c r="V121" s="26">
        <f>IF(B121="","",IF(G121="","",IF(P121=0,"",ROUND(G121/P121,2))))</f>
        <v>0</v>
      </c>
      <c r="W121" s="26">
        <f>IF(B121="","",IF(T121="","",IF(P121=0,"",ROUND(T121/P121,2))))</f>
        <v>0</v>
      </c>
      <c r="X121" s="26">
        <f>IF(B121="","",IF(P121=0,"",IF(ServiceCommission&gt;=1,"",(Q121+TargetChairRate*P121)/IF(J121="No",1,1-ServiceCommission))))</f>
        <v>0</v>
      </c>
      <c r="Y121" s="26">
        <f>IF(B121="","",IF(X121="","",ROUND(IF(RoundingRule="None",X121,IF(RoundingRule="Nearest 0.99",MAX(0.99,CEILING(X121,1)-0.01),IF(RoundingRule="Nearest 0.95",MAX(0.95,CEILING(X121,1)-0.05),IF(RoundingRule="Nearest 0.50",CEILING(X121,0.5),IF(RoundingRule="Nearest 1",CEILING(X121,1),IF(RoundingRule="Nearest 5",CEILING(X121,5),IF(RoundingRule="Up to whole 1",CEILING(X121,1),IF(RoundingRule="Up to whole 5",CEILING(X121,5),ROUND(X121,2))))))))),2)))</f>
        <v>0</v>
      </c>
      <c r="Z121" s="26">
        <f>IF(B121="","",IF(Y121="","",IF(G121="","",ROUND(G121-Y121,2))))</f>
        <v>0</v>
      </c>
      <c r="AA121" s="25">
        <f>IF(B121="","",COUNTIFS(Appointments!$G$5:$G$1204,A121))</f>
        <v>0</v>
      </c>
      <c r="AB121" s="25">
        <f>IF(B121="","",COUNTIFS(Appointments!$G$5:$G$1204,A121,Appointments!$M$5:$M$1204,"Completed"))</f>
        <v>0</v>
      </c>
      <c r="AC121" s="25">
        <f>IF(B121="","",SUMIFS(Sales!$K$5:$K$1204,Sales!$I$5:$I$1204,A121,Sales!$H$5:$H$1204,"Service"))</f>
        <v>0</v>
      </c>
      <c r="AD121" s="26">
        <f>IF(B121="","",ROUND(SUMIFS(Sales!$Y$5:$Y$1204,Sales!$I$5:$I$1204,A121,Sales!$H$5:$H$1204,"Service"),2))</f>
        <v>0</v>
      </c>
      <c r="AE121" s="27">
        <f>IF(B121="","",IF(ServiceRevenueAll=0,"",AD121/ServiceRevenueAll))</f>
        <v>0</v>
      </c>
      <c r="AF121" s="26">
        <f>IF(B121="","",ROUND(AC121*T121,2))</f>
        <v>0</v>
      </c>
      <c r="AG121" s="37">
        <f>IF(B121="","",ROUND(AC121*P121,1))</f>
        <v>0</v>
      </c>
      <c r="AH121" s="27">
        <f>IF(B121="","",IF(AB121=0,"",COUNTIFS(Sales!$I$5:$I$1204,A121,Sales!$AJ$5:$AJ$1204,"Yes")/AB121))</f>
        <v>0</v>
      </c>
      <c r="AI121" s="17">
        <f>IF(B121="","",IFERROR(IF(COUNTIFS(Appointments!$G$5:$G$1204,A121)=0,"",SUMPRODUCT(MAX((Appointments!$G$5:$G$1204=A121)*IFERROR(Appointments!$B$5:$B$1204*1,0)))),""))</f>
        <v>0</v>
      </c>
      <c r="AJ121" s="25">
        <f>IF(B121="","",COUNTIFS($AD$5:$AD$204,"&gt;"&amp;AD121)+COUNTIFS($AD$5:AD121,AD121))</f>
        <v>0</v>
      </c>
      <c r="AK121" s="25">
        <f>IF(B121="","",COUNTIFS($W$5:$W$204,"&gt;"&amp;W121)+COUNTIFS($W$5:W121,W121))</f>
        <v>0</v>
      </c>
      <c r="AL121" s="25">
        <f>IF(B121="","",COUNTIFS($AB$5:$AB$204,"&gt;"&amp;AB121)+COUNTIFS($AB$5:AB121,AB121))</f>
        <v>0</v>
      </c>
      <c r="AM121" s="39">
        <f>IF(B121="","",IF(G121="","Add - no price yet",IF(E121="","Add - how long does it take?",IF(T121&lt;0,"Loss - this service costs you money",IF(V121&lt;TargetChairRate*0.7,"Check - well under your chair rate",IF(IF(N121="",FALSE,TodayDate-N121&gt;PriceReviewDays),"Due - price has not been reviewed",IF(IF(M121="Active",AB121=0,FALSE),"Check - on the menu but never booked","OK")))))))</f>
        <v>0</v>
      </c>
    </row>
    <row r="122" spans="1:39">
      <c r="A122" s="28">
        <f>IF(B122="","",ServicePrefix&amp;TEXT(ROW()-4,"000"))</f>
        <v>0</v>
      </c>
      <c r="P122" s="42">
        <f>IF(B122="","",ROUND((IF(E122="",0,E122)+IF(F122="",0,F122))/60,3))</f>
        <v>0</v>
      </c>
      <c r="Q122" s="26">
        <f>IF(B122="","",IF(H122&lt;&gt;"",H122,IF(G122="",0,ROUND(G122*ProductCostPercent,2))))</f>
        <v>0</v>
      </c>
      <c r="R122" s="26">
        <f>IF(B122="","",IF(J122="No",0,IF(G122="",0,ROUND(G122*ServiceCommission,2))))</f>
        <v>0</v>
      </c>
      <c r="S122" s="26">
        <f>IF(B122="","",ROUND(Q122+R122,2))</f>
        <v>0</v>
      </c>
      <c r="T122" s="26">
        <f>IF(B122="","",IF(G122="","",ROUND(G122-S122,2)))</f>
        <v>0</v>
      </c>
      <c r="U122" s="27">
        <f>IF(B122="","",IF(G122="","",IF(G122=0,"",T122/G122)))</f>
        <v>0</v>
      </c>
      <c r="V122" s="26">
        <f>IF(B122="","",IF(G122="","",IF(P122=0,"",ROUND(G122/P122,2))))</f>
        <v>0</v>
      </c>
      <c r="W122" s="26">
        <f>IF(B122="","",IF(T122="","",IF(P122=0,"",ROUND(T122/P122,2))))</f>
        <v>0</v>
      </c>
      <c r="X122" s="26">
        <f>IF(B122="","",IF(P122=0,"",IF(ServiceCommission&gt;=1,"",(Q122+TargetChairRate*P122)/IF(J122="No",1,1-ServiceCommission))))</f>
        <v>0</v>
      </c>
      <c r="Y122" s="26">
        <f>IF(B122="","",IF(X122="","",ROUND(IF(RoundingRule="None",X122,IF(RoundingRule="Nearest 0.99",MAX(0.99,CEILING(X122,1)-0.01),IF(RoundingRule="Nearest 0.95",MAX(0.95,CEILING(X122,1)-0.05),IF(RoundingRule="Nearest 0.50",CEILING(X122,0.5),IF(RoundingRule="Nearest 1",CEILING(X122,1),IF(RoundingRule="Nearest 5",CEILING(X122,5),IF(RoundingRule="Up to whole 1",CEILING(X122,1),IF(RoundingRule="Up to whole 5",CEILING(X122,5),ROUND(X122,2))))))))),2)))</f>
        <v>0</v>
      </c>
      <c r="Z122" s="26">
        <f>IF(B122="","",IF(Y122="","",IF(G122="","",ROUND(G122-Y122,2))))</f>
        <v>0</v>
      </c>
      <c r="AA122" s="25">
        <f>IF(B122="","",COUNTIFS(Appointments!$G$5:$G$1204,A122))</f>
        <v>0</v>
      </c>
      <c r="AB122" s="25">
        <f>IF(B122="","",COUNTIFS(Appointments!$G$5:$G$1204,A122,Appointments!$M$5:$M$1204,"Completed"))</f>
        <v>0</v>
      </c>
      <c r="AC122" s="25">
        <f>IF(B122="","",SUMIFS(Sales!$K$5:$K$1204,Sales!$I$5:$I$1204,A122,Sales!$H$5:$H$1204,"Service"))</f>
        <v>0</v>
      </c>
      <c r="AD122" s="26">
        <f>IF(B122="","",ROUND(SUMIFS(Sales!$Y$5:$Y$1204,Sales!$I$5:$I$1204,A122,Sales!$H$5:$H$1204,"Service"),2))</f>
        <v>0</v>
      </c>
      <c r="AE122" s="27">
        <f>IF(B122="","",IF(ServiceRevenueAll=0,"",AD122/ServiceRevenueAll))</f>
        <v>0</v>
      </c>
      <c r="AF122" s="26">
        <f>IF(B122="","",ROUND(AC122*T122,2))</f>
        <v>0</v>
      </c>
      <c r="AG122" s="37">
        <f>IF(B122="","",ROUND(AC122*P122,1))</f>
        <v>0</v>
      </c>
      <c r="AH122" s="27">
        <f>IF(B122="","",IF(AB122=0,"",COUNTIFS(Sales!$I$5:$I$1204,A122,Sales!$AJ$5:$AJ$1204,"Yes")/AB122))</f>
        <v>0</v>
      </c>
      <c r="AI122" s="17">
        <f>IF(B122="","",IFERROR(IF(COUNTIFS(Appointments!$G$5:$G$1204,A122)=0,"",SUMPRODUCT(MAX((Appointments!$G$5:$G$1204=A122)*IFERROR(Appointments!$B$5:$B$1204*1,0)))),""))</f>
        <v>0</v>
      </c>
      <c r="AJ122" s="25">
        <f>IF(B122="","",COUNTIFS($AD$5:$AD$204,"&gt;"&amp;AD122)+COUNTIFS($AD$5:AD122,AD122))</f>
        <v>0</v>
      </c>
      <c r="AK122" s="25">
        <f>IF(B122="","",COUNTIFS($W$5:$W$204,"&gt;"&amp;W122)+COUNTIFS($W$5:W122,W122))</f>
        <v>0</v>
      </c>
      <c r="AL122" s="25">
        <f>IF(B122="","",COUNTIFS($AB$5:$AB$204,"&gt;"&amp;AB122)+COUNTIFS($AB$5:AB122,AB122))</f>
        <v>0</v>
      </c>
      <c r="AM122" s="39">
        <f>IF(B122="","",IF(G122="","Add - no price yet",IF(E122="","Add - how long does it take?",IF(T122&lt;0,"Loss - this service costs you money",IF(V122&lt;TargetChairRate*0.7,"Check - well under your chair rate",IF(IF(N122="",FALSE,TodayDate-N122&gt;PriceReviewDays),"Due - price has not been reviewed",IF(IF(M122="Active",AB122=0,FALSE),"Check - on the menu but never booked","OK")))))))</f>
        <v>0</v>
      </c>
    </row>
    <row r="123" spans="1:39">
      <c r="A123" s="28">
        <f>IF(B123="","",ServicePrefix&amp;TEXT(ROW()-4,"000"))</f>
        <v>0</v>
      </c>
      <c r="P123" s="42">
        <f>IF(B123="","",ROUND((IF(E123="",0,E123)+IF(F123="",0,F123))/60,3))</f>
        <v>0</v>
      </c>
      <c r="Q123" s="26">
        <f>IF(B123="","",IF(H123&lt;&gt;"",H123,IF(G123="",0,ROUND(G123*ProductCostPercent,2))))</f>
        <v>0</v>
      </c>
      <c r="R123" s="26">
        <f>IF(B123="","",IF(J123="No",0,IF(G123="",0,ROUND(G123*ServiceCommission,2))))</f>
        <v>0</v>
      </c>
      <c r="S123" s="26">
        <f>IF(B123="","",ROUND(Q123+R123,2))</f>
        <v>0</v>
      </c>
      <c r="T123" s="26">
        <f>IF(B123="","",IF(G123="","",ROUND(G123-S123,2)))</f>
        <v>0</v>
      </c>
      <c r="U123" s="27">
        <f>IF(B123="","",IF(G123="","",IF(G123=0,"",T123/G123)))</f>
        <v>0</v>
      </c>
      <c r="V123" s="26">
        <f>IF(B123="","",IF(G123="","",IF(P123=0,"",ROUND(G123/P123,2))))</f>
        <v>0</v>
      </c>
      <c r="W123" s="26">
        <f>IF(B123="","",IF(T123="","",IF(P123=0,"",ROUND(T123/P123,2))))</f>
        <v>0</v>
      </c>
      <c r="X123" s="26">
        <f>IF(B123="","",IF(P123=0,"",IF(ServiceCommission&gt;=1,"",(Q123+TargetChairRate*P123)/IF(J123="No",1,1-ServiceCommission))))</f>
        <v>0</v>
      </c>
      <c r="Y123" s="26">
        <f>IF(B123="","",IF(X123="","",ROUND(IF(RoundingRule="None",X123,IF(RoundingRule="Nearest 0.99",MAX(0.99,CEILING(X123,1)-0.01),IF(RoundingRule="Nearest 0.95",MAX(0.95,CEILING(X123,1)-0.05),IF(RoundingRule="Nearest 0.50",CEILING(X123,0.5),IF(RoundingRule="Nearest 1",CEILING(X123,1),IF(RoundingRule="Nearest 5",CEILING(X123,5),IF(RoundingRule="Up to whole 1",CEILING(X123,1),IF(RoundingRule="Up to whole 5",CEILING(X123,5),ROUND(X123,2))))))))),2)))</f>
        <v>0</v>
      </c>
      <c r="Z123" s="26">
        <f>IF(B123="","",IF(Y123="","",IF(G123="","",ROUND(G123-Y123,2))))</f>
        <v>0</v>
      </c>
      <c r="AA123" s="25">
        <f>IF(B123="","",COUNTIFS(Appointments!$G$5:$G$1204,A123))</f>
        <v>0</v>
      </c>
      <c r="AB123" s="25">
        <f>IF(B123="","",COUNTIFS(Appointments!$G$5:$G$1204,A123,Appointments!$M$5:$M$1204,"Completed"))</f>
        <v>0</v>
      </c>
      <c r="AC123" s="25">
        <f>IF(B123="","",SUMIFS(Sales!$K$5:$K$1204,Sales!$I$5:$I$1204,A123,Sales!$H$5:$H$1204,"Service"))</f>
        <v>0</v>
      </c>
      <c r="AD123" s="26">
        <f>IF(B123="","",ROUND(SUMIFS(Sales!$Y$5:$Y$1204,Sales!$I$5:$I$1204,A123,Sales!$H$5:$H$1204,"Service"),2))</f>
        <v>0</v>
      </c>
      <c r="AE123" s="27">
        <f>IF(B123="","",IF(ServiceRevenueAll=0,"",AD123/ServiceRevenueAll))</f>
        <v>0</v>
      </c>
      <c r="AF123" s="26">
        <f>IF(B123="","",ROUND(AC123*T123,2))</f>
        <v>0</v>
      </c>
      <c r="AG123" s="37">
        <f>IF(B123="","",ROUND(AC123*P123,1))</f>
        <v>0</v>
      </c>
      <c r="AH123" s="27">
        <f>IF(B123="","",IF(AB123=0,"",COUNTIFS(Sales!$I$5:$I$1204,A123,Sales!$AJ$5:$AJ$1204,"Yes")/AB123))</f>
        <v>0</v>
      </c>
      <c r="AI123" s="17">
        <f>IF(B123="","",IFERROR(IF(COUNTIFS(Appointments!$G$5:$G$1204,A123)=0,"",SUMPRODUCT(MAX((Appointments!$G$5:$G$1204=A123)*IFERROR(Appointments!$B$5:$B$1204*1,0)))),""))</f>
        <v>0</v>
      </c>
      <c r="AJ123" s="25">
        <f>IF(B123="","",COUNTIFS($AD$5:$AD$204,"&gt;"&amp;AD123)+COUNTIFS($AD$5:AD123,AD123))</f>
        <v>0</v>
      </c>
      <c r="AK123" s="25">
        <f>IF(B123="","",COUNTIFS($W$5:$W$204,"&gt;"&amp;W123)+COUNTIFS($W$5:W123,W123))</f>
        <v>0</v>
      </c>
      <c r="AL123" s="25">
        <f>IF(B123="","",COUNTIFS($AB$5:$AB$204,"&gt;"&amp;AB123)+COUNTIFS($AB$5:AB123,AB123))</f>
        <v>0</v>
      </c>
      <c r="AM123" s="39">
        <f>IF(B123="","",IF(G123="","Add - no price yet",IF(E123="","Add - how long does it take?",IF(T123&lt;0,"Loss - this service costs you money",IF(V123&lt;TargetChairRate*0.7,"Check - well under your chair rate",IF(IF(N123="",FALSE,TodayDate-N123&gt;PriceReviewDays),"Due - price has not been reviewed",IF(IF(M123="Active",AB123=0,FALSE),"Check - on the menu but never booked","OK")))))))</f>
        <v>0</v>
      </c>
    </row>
    <row r="124" spans="1:39">
      <c r="A124" s="28">
        <f>IF(B124="","",ServicePrefix&amp;TEXT(ROW()-4,"000"))</f>
        <v>0</v>
      </c>
      <c r="P124" s="42">
        <f>IF(B124="","",ROUND((IF(E124="",0,E124)+IF(F124="",0,F124))/60,3))</f>
        <v>0</v>
      </c>
      <c r="Q124" s="26">
        <f>IF(B124="","",IF(H124&lt;&gt;"",H124,IF(G124="",0,ROUND(G124*ProductCostPercent,2))))</f>
        <v>0</v>
      </c>
      <c r="R124" s="26">
        <f>IF(B124="","",IF(J124="No",0,IF(G124="",0,ROUND(G124*ServiceCommission,2))))</f>
        <v>0</v>
      </c>
      <c r="S124" s="26">
        <f>IF(B124="","",ROUND(Q124+R124,2))</f>
        <v>0</v>
      </c>
      <c r="T124" s="26">
        <f>IF(B124="","",IF(G124="","",ROUND(G124-S124,2)))</f>
        <v>0</v>
      </c>
      <c r="U124" s="27">
        <f>IF(B124="","",IF(G124="","",IF(G124=0,"",T124/G124)))</f>
        <v>0</v>
      </c>
      <c r="V124" s="26">
        <f>IF(B124="","",IF(G124="","",IF(P124=0,"",ROUND(G124/P124,2))))</f>
        <v>0</v>
      </c>
      <c r="W124" s="26">
        <f>IF(B124="","",IF(T124="","",IF(P124=0,"",ROUND(T124/P124,2))))</f>
        <v>0</v>
      </c>
      <c r="X124" s="26">
        <f>IF(B124="","",IF(P124=0,"",IF(ServiceCommission&gt;=1,"",(Q124+TargetChairRate*P124)/IF(J124="No",1,1-ServiceCommission))))</f>
        <v>0</v>
      </c>
      <c r="Y124" s="26">
        <f>IF(B124="","",IF(X124="","",ROUND(IF(RoundingRule="None",X124,IF(RoundingRule="Nearest 0.99",MAX(0.99,CEILING(X124,1)-0.01),IF(RoundingRule="Nearest 0.95",MAX(0.95,CEILING(X124,1)-0.05),IF(RoundingRule="Nearest 0.50",CEILING(X124,0.5),IF(RoundingRule="Nearest 1",CEILING(X124,1),IF(RoundingRule="Nearest 5",CEILING(X124,5),IF(RoundingRule="Up to whole 1",CEILING(X124,1),IF(RoundingRule="Up to whole 5",CEILING(X124,5),ROUND(X124,2))))))))),2)))</f>
        <v>0</v>
      </c>
      <c r="Z124" s="26">
        <f>IF(B124="","",IF(Y124="","",IF(G124="","",ROUND(G124-Y124,2))))</f>
        <v>0</v>
      </c>
      <c r="AA124" s="25">
        <f>IF(B124="","",COUNTIFS(Appointments!$G$5:$G$1204,A124))</f>
        <v>0</v>
      </c>
      <c r="AB124" s="25">
        <f>IF(B124="","",COUNTIFS(Appointments!$G$5:$G$1204,A124,Appointments!$M$5:$M$1204,"Completed"))</f>
        <v>0</v>
      </c>
      <c r="AC124" s="25">
        <f>IF(B124="","",SUMIFS(Sales!$K$5:$K$1204,Sales!$I$5:$I$1204,A124,Sales!$H$5:$H$1204,"Service"))</f>
        <v>0</v>
      </c>
      <c r="AD124" s="26">
        <f>IF(B124="","",ROUND(SUMIFS(Sales!$Y$5:$Y$1204,Sales!$I$5:$I$1204,A124,Sales!$H$5:$H$1204,"Service"),2))</f>
        <v>0</v>
      </c>
      <c r="AE124" s="27">
        <f>IF(B124="","",IF(ServiceRevenueAll=0,"",AD124/ServiceRevenueAll))</f>
        <v>0</v>
      </c>
      <c r="AF124" s="26">
        <f>IF(B124="","",ROUND(AC124*T124,2))</f>
        <v>0</v>
      </c>
      <c r="AG124" s="37">
        <f>IF(B124="","",ROUND(AC124*P124,1))</f>
        <v>0</v>
      </c>
      <c r="AH124" s="27">
        <f>IF(B124="","",IF(AB124=0,"",COUNTIFS(Sales!$I$5:$I$1204,A124,Sales!$AJ$5:$AJ$1204,"Yes")/AB124))</f>
        <v>0</v>
      </c>
      <c r="AI124" s="17">
        <f>IF(B124="","",IFERROR(IF(COUNTIFS(Appointments!$G$5:$G$1204,A124)=0,"",SUMPRODUCT(MAX((Appointments!$G$5:$G$1204=A124)*IFERROR(Appointments!$B$5:$B$1204*1,0)))),""))</f>
        <v>0</v>
      </c>
      <c r="AJ124" s="25">
        <f>IF(B124="","",COUNTIFS($AD$5:$AD$204,"&gt;"&amp;AD124)+COUNTIFS($AD$5:AD124,AD124))</f>
        <v>0</v>
      </c>
      <c r="AK124" s="25">
        <f>IF(B124="","",COUNTIFS($W$5:$W$204,"&gt;"&amp;W124)+COUNTIFS($W$5:W124,W124))</f>
        <v>0</v>
      </c>
      <c r="AL124" s="25">
        <f>IF(B124="","",COUNTIFS($AB$5:$AB$204,"&gt;"&amp;AB124)+COUNTIFS($AB$5:AB124,AB124))</f>
        <v>0</v>
      </c>
      <c r="AM124" s="39">
        <f>IF(B124="","",IF(G124="","Add - no price yet",IF(E124="","Add - how long does it take?",IF(T124&lt;0,"Loss - this service costs you money",IF(V124&lt;TargetChairRate*0.7,"Check - well under your chair rate",IF(IF(N124="",FALSE,TodayDate-N124&gt;PriceReviewDays),"Due - price has not been reviewed",IF(IF(M124="Active",AB124=0,FALSE),"Check - on the menu but never booked","OK")))))))</f>
        <v>0</v>
      </c>
    </row>
    <row r="125" spans="1:39">
      <c r="A125" s="28">
        <f>IF(B125="","",ServicePrefix&amp;TEXT(ROW()-4,"000"))</f>
        <v>0</v>
      </c>
      <c r="P125" s="42">
        <f>IF(B125="","",ROUND((IF(E125="",0,E125)+IF(F125="",0,F125))/60,3))</f>
        <v>0</v>
      </c>
      <c r="Q125" s="26">
        <f>IF(B125="","",IF(H125&lt;&gt;"",H125,IF(G125="",0,ROUND(G125*ProductCostPercent,2))))</f>
        <v>0</v>
      </c>
      <c r="R125" s="26">
        <f>IF(B125="","",IF(J125="No",0,IF(G125="",0,ROUND(G125*ServiceCommission,2))))</f>
        <v>0</v>
      </c>
      <c r="S125" s="26">
        <f>IF(B125="","",ROUND(Q125+R125,2))</f>
        <v>0</v>
      </c>
      <c r="T125" s="26">
        <f>IF(B125="","",IF(G125="","",ROUND(G125-S125,2)))</f>
        <v>0</v>
      </c>
      <c r="U125" s="27">
        <f>IF(B125="","",IF(G125="","",IF(G125=0,"",T125/G125)))</f>
        <v>0</v>
      </c>
      <c r="V125" s="26">
        <f>IF(B125="","",IF(G125="","",IF(P125=0,"",ROUND(G125/P125,2))))</f>
        <v>0</v>
      </c>
      <c r="W125" s="26">
        <f>IF(B125="","",IF(T125="","",IF(P125=0,"",ROUND(T125/P125,2))))</f>
        <v>0</v>
      </c>
      <c r="X125" s="26">
        <f>IF(B125="","",IF(P125=0,"",IF(ServiceCommission&gt;=1,"",(Q125+TargetChairRate*P125)/IF(J125="No",1,1-ServiceCommission))))</f>
        <v>0</v>
      </c>
      <c r="Y125" s="26">
        <f>IF(B125="","",IF(X125="","",ROUND(IF(RoundingRule="None",X125,IF(RoundingRule="Nearest 0.99",MAX(0.99,CEILING(X125,1)-0.01),IF(RoundingRule="Nearest 0.95",MAX(0.95,CEILING(X125,1)-0.05),IF(RoundingRule="Nearest 0.50",CEILING(X125,0.5),IF(RoundingRule="Nearest 1",CEILING(X125,1),IF(RoundingRule="Nearest 5",CEILING(X125,5),IF(RoundingRule="Up to whole 1",CEILING(X125,1),IF(RoundingRule="Up to whole 5",CEILING(X125,5),ROUND(X125,2))))))))),2)))</f>
        <v>0</v>
      </c>
      <c r="Z125" s="26">
        <f>IF(B125="","",IF(Y125="","",IF(G125="","",ROUND(G125-Y125,2))))</f>
        <v>0</v>
      </c>
      <c r="AA125" s="25">
        <f>IF(B125="","",COUNTIFS(Appointments!$G$5:$G$1204,A125))</f>
        <v>0</v>
      </c>
      <c r="AB125" s="25">
        <f>IF(B125="","",COUNTIFS(Appointments!$G$5:$G$1204,A125,Appointments!$M$5:$M$1204,"Completed"))</f>
        <v>0</v>
      </c>
      <c r="AC125" s="25">
        <f>IF(B125="","",SUMIFS(Sales!$K$5:$K$1204,Sales!$I$5:$I$1204,A125,Sales!$H$5:$H$1204,"Service"))</f>
        <v>0</v>
      </c>
      <c r="AD125" s="26">
        <f>IF(B125="","",ROUND(SUMIFS(Sales!$Y$5:$Y$1204,Sales!$I$5:$I$1204,A125,Sales!$H$5:$H$1204,"Service"),2))</f>
        <v>0</v>
      </c>
      <c r="AE125" s="27">
        <f>IF(B125="","",IF(ServiceRevenueAll=0,"",AD125/ServiceRevenueAll))</f>
        <v>0</v>
      </c>
      <c r="AF125" s="26">
        <f>IF(B125="","",ROUND(AC125*T125,2))</f>
        <v>0</v>
      </c>
      <c r="AG125" s="37">
        <f>IF(B125="","",ROUND(AC125*P125,1))</f>
        <v>0</v>
      </c>
      <c r="AH125" s="27">
        <f>IF(B125="","",IF(AB125=0,"",COUNTIFS(Sales!$I$5:$I$1204,A125,Sales!$AJ$5:$AJ$1204,"Yes")/AB125))</f>
        <v>0</v>
      </c>
      <c r="AI125" s="17">
        <f>IF(B125="","",IFERROR(IF(COUNTIFS(Appointments!$G$5:$G$1204,A125)=0,"",SUMPRODUCT(MAX((Appointments!$G$5:$G$1204=A125)*IFERROR(Appointments!$B$5:$B$1204*1,0)))),""))</f>
        <v>0</v>
      </c>
      <c r="AJ125" s="25">
        <f>IF(B125="","",COUNTIFS($AD$5:$AD$204,"&gt;"&amp;AD125)+COUNTIFS($AD$5:AD125,AD125))</f>
        <v>0</v>
      </c>
      <c r="AK125" s="25">
        <f>IF(B125="","",COUNTIFS($W$5:$W$204,"&gt;"&amp;W125)+COUNTIFS($W$5:W125,W125))</f>
        <v>0</v>
      </c>
      <c r="AL125" s="25">
        <f>IF(B125="","",COUNTIFS($AB$5:$AB$204,"&gt;"&amp;AB125)+COUNTIFS($AB$5:AB125,AB125))</f>
        <v>0</v>
      </c>
      <c r="AM125" s="39">
        <f>IF(B125="","",IF(G125="","Add - no price yet",IF(E125="","Add - how long does it take?",IF(T125&lt;0,"Loss - this service costs you money",IF(V125&lt;TargetChairRate*0.7,"Check - well under your chair rate",IF(IF(N125="",FALSE,TodayDate-N125&gt;PriceReviewDays),"Due - price has not been reviewed",IF(IF(M125="Active",AB125=0,FALSE),"Check - on the menu but never booked","OK")))))))</f>
        <v>0</v>
      </c>
    </row>
    <row r="126" spans="1:39">
      <c r="A126" s="28">
        <f>IF(B126="","",ServicePrefix&amp;TEXT(ROW()-4,"000"))</f>
        <v>0</v>
      </c>
      <c r="P126" s="42">
        <f>IF(B126="","",ROUND((IF(E126="",0,E126)+IF(F126="",0,F126))/60,3))</f>
        <v>0</v>
      </c>
      <c r="Q126" s="26">
        <f>IF(B126="","",IF(H126&lt;&gt;"",H126,IF(G126="",0,ROUND(G126*ProductCostPercent,2))))</f>
        <v>0</v>
      </c>
      <c r="R126" s="26">
        <f>IF(B126="","",IF(J126="No",0,IF(G126="",0,ROUND(G126*ServiceCommission,2))))</f>
        <v>0</v>
      </c>
      <c r="S126" s="26">
        <f>IF(B126="","",ROUND(Q126+R126,2))</f>
        <v>0</v>
      </c>
      <c r="T126" s="26">
        <f>IF(B126="","",IF(G126="","",ROUND(G126-S126,2)))</f>
        <v>0</v>
      </c>
      <c r="U126" s="27">
        <f>IF(B126="","",IF(G126="","",IF(G126=0,"",T126/G126)))</f>
        <v>0</v>
      </c>
      <c r="V126" s="26">
        <f>IF(B126="","",IF(G126="","",IF(P126=0,"",ROUND(G126/P126,2))))</f>
        <v>0</v>
      </c>
      <c r="W126" s="26">
        <f>IF(B126="","",IF(T126="","",IF(P126=0,"",ROUND(T126/P126,2))))</f>
        <v>0</v>
      </c>
      <c r="X126" s="26">
        <f>IF(B126="","",IF(P126=0,"",IF(ServiceCommission&gt;=1,"",(Q126+TargetChairRate*P126)/IF(J126="No",1,1-ServiceCommission))))</f>
        <v>0</v>
      </c>
      <c r="Y126" s="26">
        <f>IF(B126="","",IF(X126="","",ROUND(IF(RoundingRule="None",X126,IF(RoundingRule="Nearest 0.99",MAX(0.99,CEILING(X126,1)-0.01),IF(RoundingRule="Nearest 0.95",MAX(0.95,CEILING(X126,1)-0.05),IF(RoundingRule="Nearest 0.50",CEILING(X126,0.5),IF(RoundingRule="Nearest 1",CEILING(X126,1),IF(RoundingRule="Nearest 5",CEILING(X126,5),IF(RoundingRule="Up to whole 1",CEILING(X126,1),IF(RoundingRule="Up to whole 5",CEILING(X126,5),ROUND(X126,2))))))))),2)))</f>
        <v>0</v>
      </c>
      <c r="Z126" s="26">
        <f>IF(B126="","",IF(Y126="","",IF(G126="","",ROUND(G126-Y126,2))))</f>
        <v>0</v>
      </c>
      <c r="AA126" s="25">
        <f>IF(B126="","",COUNTIFS(Appointments!$G$5:$G$1204,A126))</f>
        <v>0</v>
      </c>
      <c r="AB126" s="25">
        <f>IF(B126="","",COUNTIFS(Appointments!$G$5:$G$1204,A126,Appointments!$M$5:$M$1204,"Completed"))</f>
        <v>0</v>
      </c>
      <c r="AC126" s="25">
        <f>IF(B126="","",SUMIFS(Sales!$K$5:$K$1204,Sales!$I$5:$I$1204,A126,Sales!$H$5:$H$1204,"Service"))</f>
        <v>0</v>
      </c>
      <c r="AD126" s="26">
        <f>IF(B126="","",ROUND(SUMIFS(Sales!$Y$5:$Y$1204,Sales!$I$5:$I$1204,A126,Sales!$H$5:$H$1204,"Service"),2))</f>
        <v>0</v>
      </c>
      <c r="AE126" s="27">
        <f>IF(B126="","",IF(ServiceRevenueAll=0,"",AD126/ServiceRevenueAll))</f>
        <v>0</v>
      </c>
      <c r="AF126" s="26">
        <f>IF(B126="","",ROUND(AC126*T126,2))</f>
        <v>0</v>
      </c>
      <c r="AG126" s="37">
        <f>IF(B126="","",ROUND(AC126*P126,1))</f>
        <v>0</v>
      </c>
      <c r="AH126" s="27">
        <f>IF(B126="","",IF(AB126=0,"",COUNTIFS(Sales!$I$5:$I$1204,A126,Sales!$AJ$5:$AJ$1204,"Yes")/AB126))</f>
        <v>0</v>
      </c>
      <c r="AI126" s="17">
        <f>IF(B126="","",IFERROR(IF(COUNTIFS(Appointments!$G$5:$G$1204,A126)=0,"",SUMPRODUCT(MAX((Appointments!$G$5:$G$1204=A126)*IFERROR(Appointments!$B$5:$B$1204*1,0)))),""))</f>
        <v>0</v>
      </c>
      <c r="AJ126" s="25">
        <f>IF(B126="","",COUNTIFS($AD$5:$AD$204,"&gt;"&amp;AD126)+COUNTIFS($AD$5:AD126,AD126))</f>
        <v>0</v>
      </c>
      <c r="AK126" s="25">
        <f>IF(B126="","",COUNTIFS($W$5:$W$204,"&gt;"&amp;W126)+COUNTIFS($W$5:W126,W126))</f>
        <v>0</v>
      </c>
      <c r="AL126" s="25">
        <f>IF(B126="","",COUNTIFS($AB$5:$AB$204,"&gt;"&amp;AB126)+COUNTIFS($AB$5:AB126,AB126))</f>
        <v>0</v>
      </c>
      <c r="AM126" s="39">
        <f>IF(B126="","",IF(G126="","Add - no price yet",IF(E126="","Add - how long does it take?",IF(T126&lt;0,"Loss - this service costs you money",IF(V126&lt;TargetChairRate*0.7,"Check - well under your chair rate",IF(IF(N126="",FALSE,TodayDate-N126&gt;PriceReviewDays),"Due - price has not been reviewed",IF(IF(M126="Active",AB126=0,FALSE),"Check - on the menu but never booked","OK")))))))</f>
        <v>0</v>
      </c>
    </row>
    <row r="127" spans="1:39">
      <c r="A127" s="28">
        <f>IF(B127="","",ServicePrefix&amp;TEXT(ROW()-4,"000"))</f>
        <v>0</v>
      </c>
      <c r="P127" s="42">
        <f>IF(B127="","",ROUND((IF(E127="",0,E127)+IF(F127="",0,F127))/60,3))</f>
        <v>0</v>
      </c>
      <c r="Q127" s="26">
        <f>IF(B127="","",IF(H127&lt;&gt;"",H127,IF(G127="",0,ROUND(G127*ProductCostPercent,2))))</f>
        <v>0</v>
      </c>
      <c r="R127" s="26">
        <f>IF(B127="","",IF(J127="No",0,IF(G127="",0,ROUND(G127*ServiceCommission,2))))</f>
        <v>0</v>
      </c>
      <c r="S127" s="26">
        <f>IF(B127="","",ROUND(Q127+R127,2))</f>
        <v>0</v>
      </c>
      <c r="T127" s="26">
        <f>IF(B127="","",IF(G127="","",ROUND(G127-S127,2)))</f>
        <v>0</v>
      </c>
      <c r="U127" s="27">
        <f>IF(B127="","",IF(G127="","",IF(G127=0,"",T127/G127)))</f>
        <v>0</v>
      </c>
      <c r="V127" s="26">
        <f>IF(B127="","",IF(G127="","",IF(P127=0,"",ROUND(G127/P127,2))))</f>
        <v>0</v>
      </c>
      <c r="W127" s="26">
        <f>IF(B127="","",IF(T127="","",IF(P127=0,"",ROUND(T127/P127,2))))</f>
        <v>0</v>
      </c>
      <c r="X127" s="26">
        <f>IF(B127="","",IF(P127=0,"",IF(ServiceCommission&gt;=1,"",(Q127+TargetChairRate*P127)/IF(J127="No",1,1-ServiceCommission))))</f>
        <v>0</v>
      </c>
      <c r="Y127" s="26">
        <f>IF(B127="","",IF(X127="","",ROUND(IF(RoundingRule="None",X127,IF(RoundingRule="Nearest 0.99",MAX(0.99,CEILING(X127,1)-0.01),IF(RoundingRule="Nearest 0.95",MAX(0.95,CEILING(X127,1)-0.05),IF(RoundingRule="Nearest 0.50",CEILING(X127,0.5),IF(RoundingRule="Nearest 1",CEILING(X127,1),IF(RoundingRule="Nearest 5",CEILING(X127,5),IF(RoundingRule="Up to whole 1",CEILING(X127,1),IF(RoundingRule="Up to whole 5",CEILING(X127,5),ROUND(X127,2))))))))),2)))</f>
        <v>0</v>
      </c>
      <c r="Z127" s="26">
        <f>IF(B127="","",IF(Y127="","",IF(G127="","",ROUND(G127-Y127,2))))</f>
        <v>0</v>
      </c>
      <c r="AA127" s="25">
        <f>IF(B127="","",COUNTIFS(Appointments!$G$5:$G$1204,A127))</f>
        <v>0</v>
      </c>
      <c r="AB127" s="25">
        <f>IF(B127="","",COUNTIFS(Appointments!$G$5:$G$1204,A127,Appointments!$M$5:$M$1204,"Completed"))</f>
        <v>0</v>
      </c>
      <c r="AC127" s="25">
        <f>IF(B127="","",SUMIFS(Sales!$K$5:$K$1204,Sales!$I$5:$I$1204,A127,Sales!$H$5:$H$1204,"Service"))</f>
        <v>0</v>
      </c>
      <c r="AD127" s="26">
        <f>IF(B127="","",ROUND(SUMIFS(Sales!$Y$5:$Y$1204,Sales!$I$5:$I$1204,A127,Sales!$H$5:$H$1204,"Service"),2))</f>
        <v>0</v>
      </c>
      <c r="AE127" s="27">
        <f>IF(B127="","",IF(ServiceRevenueAll=0,"",AD127/ServiceRevenueAll))</f>
        <v>0</v>
      </c>
      <c r="AF127" s="26">
        <f>IF(B127="","",ROUND(AC127*T127,2))</f>
        <v>0</v>
      </c>
      <c r="AG127" s="37">
        <f>IF(B127="","",ROUND(AC127*P127,1))</f>
        <v>0</v>
      </c>
      <c r="AH127" s="27">
        <f>IF(B127="","",IF(AB127=0,"",COUNTIFS(Sales!$I$5:$I$1204,A127,Sales!$AJ$5:$AJ$1204,"Yes")/AB127))</f>
        <v>0</v>
      </c>
      <c r="AI127" s="17">
        <f>IF(B127="","",IFERROR(IF(COUNTIFS(Appointments!$G$5:$G$1204,A127)=0,"",SUMPRODUCT(MAX((Appointments!$G$5:$G$1204=A127)*IFERROR(Appointments!$B$5:$B$1204*1,0)))),""))</f>
        <v>0</v>
      </c>
      <c r="AJ127" s="25">
        <f>IF(B127="","",COUNTIFS($AD$5:$AD$204,"&gt;"&amp;AD127)+COUNTIFS($AD$5:AD127,AD127))</f>
        <v>0</v>
      </c>
      <c r="AK127" s="25">
        <f>IF(B127="","",COUNTIFS($W$5:$W$204,"&gt;"&amp;W127)+COUNTIFS($W$5:W127,W127))</f>
        <v>0</v>
      </c>
      <c r="AL127" s="25">
        <f>IF(B127="","",COUNTIFS($AB$5:$AB$204,"&gt;"&amp;AB127)+COUNTIFS($AB$5:AB127,AB127))</f>
        <v>0</v>
      </c>
      <c r="AM127" s="39">
        <f>IF(B127="","",IF(G127="","Add - no price yet",IF(E127="","Add - how long does it take?",IF(T127&lt;0,"Loss - this service costs you money",IF(V127&lt;TargetChairRate*0.7,"Check - well under your chair rate",IF(IF(N127="",FALSE,TodayDate-N127&gt;PriceReviewDays),"Due - price has not been reviewed",IF(IF(M127="Active",AB127=0,FALSE),"Check - on the menu but never booked","OK")))))))</f>
        <v>0</v>
      </c>
    </row>
    <row r="128" spans="1:39">
      <c r="A128" s="28">
        <f>IF(B128="","",ServicePrefix&amp;TEXT(ROW()-4,"000"))</f>
        <v>0</v>
      </c>
      <c r="P128" s="42">
        <f>IF(B128="","",ROUND((IF(E128="",0,E128)+IF(F128="",0,F128))/60,3))</f>
        <v>0</v>
      </c>
      <c r="Q128" s="26">
        <f>IF(B128="","",IF(H128&lt;&gt;"",H128,IF(G128="",0,ROUND(G128*ProductCostPercent,2))))</f>
        <v>0</v>
      </c>
      <c r="R128" s="26">
        <f>IF(B128="","",IF(J128="No",0,IF(G128="",0,ROUND(G128*ServiceCommission,2))))</f>
        <v>0</v>
      </c>
      <c r="S128" s="26">
        <f>IF(B128="","",ROUND(Q128+R128,2))</f>
        <v>0</v>
      </c>
      <c r="T128" s="26">
        <f>IF(B128="","",IF(G128="","",ROUND(G128-S128,2)))</f>
        <v>0</v>
      </c>
      <c r="U128" s="27">
        <f>IF(B128="","",IF(G128="","",IF(G128=0,"",T128/G128)))</f>
        <v>0</v>
      </c>
      <c r="V128" s="26">
        <f>IF(B128="","",IF(G128="","",IF(P128=0,"",ROUND(G128/P128,2))))</f>
        <v>0</v>
      </c>
      <c r="W128" s="26">
        <f>IF(B128="","",IF(T128="","",IF(P128=0,"",ROUND(T128/P128,2))))</f>
        <v>0</v>
      </c>
      <c r="X128" s="26">
        <f>IF(B128="","",IF(P128=0,"",IF(ServiceCommission&gt;=1,"",(Q128+TargetChairRate*P128)/IF(J128="No",1,1-ServiceCommission))))</f>
        <v>0</v>
      </c>
      <c r="Y128" s="26">
        <f>IF(B128="","",IF(X128="","",ROUND(IF(RoundingRule="None",X128,IF(RoundingRule="Nearest 0.99",MAX(0.99,CEILING(X128,1)-0.01),IF(RoundingRule="Nearest 0.95",MAX(0.95,CEILING(X128,1)-0.05),IF(RoundingRule="Nearest 0.50",CEILING(X128,0.5),IF(RoundingRule="Nearest 1",CEILING(X128,1),IF(RoundingRule="Nearest 5",CEILING(X128,5),IF(RoundingRule="Up to whole 1",CEILING(X128,1),IF(RoundingRule="Up to whole 5",CEILING(X128,5),ROUND(X128,2))))))))),2)))</f>
        <v>0</v>
      </c>
      <c r="Z128" s="26">
        <f>IF(B128="","",IF(Y128="","",IF(G128="","",ROUND(G128-Y128,2))))</f>
        <v>0</v>
      </c>
      <c r="AA128" s="25">
        <f>IF(B128="","",COUNTIFS(Appointments!$G$5:$G$1204,A128))</f>
        <v>0</v>
      </c>
      <c r="AB128" s="25">
        <f>IF(B128="","",COUNTIFS(Appointments!$G$5:$G$1204,A128,Appointments!$M$5:$M$1204,"Completed"))</f>
        <v>0</v>
      </c>
      <c r="AC128" s="25">
        <f>IF(B128="","",SUMIFS(Sales!$K$5:$K$1204,Sales!$I$5:$I$1204,A128,Sales!$H$5:$H$1204,"Service"))</f>
        <v>0</v>
      </c>
      <c r="AD128" s="26">
        <f>IF(B128="","",ROUND(SUMIFS(Sales!$Y$5:$Y$1204,Sales!$I$5:$I$1204,A128,Sales!$H$5:$H$1204,"Service"),2))</f>
        <v>0</v>
      </c>
      <c r="AE128" s="27">
        <f>IF(B128="","",IF(ServiceRevenueAll=0,"",AD128/ServiceRevenueAll))</f>
        <v>0</v>
      </c>
      <c r="AF128" s="26">
        <f>IF(B128="","",ROUND(AC128*T128,2))</f>
        <v>0</v>
      </c>
      <c r="AG128" s="37">
        <f>IF(B128="","",ROUND(AC128*P128,1))</f>
        <v>0</v>
      </c>
      <c r="AH128" s="27">
        <f>IF(B128="","",IF(AB128=0,"",COUNTIFS(Sales!$I$5:$I$1204,A128,Sales!$AJ$5:$AJ$1204,"Yes")/AB128))</f>
        <v>0</v>
      </c>
      <c r="AI128" s="17">
        <f>IF(B128="","",IFERROR(IF(COUNTIFS(Appointments!$G$5:$G$1204,A128)=0,"",SUMPRODUCT(MAX((Appointments!$G$5:$G$1204=A128)*IFERROR(Appointments!$B$5:$B$1204*1,0)))),""))</f>
        <v>0</v>
      </c>
      <c r="AJ128" s="25">
        <f>IF(B128="","",COUNTIFS($AD$5:$AD$204,"&gt;"&amp;AD128)+COUNTIFS($AD$5:AD128,AD128))</f>
        <v>0</v>
      </c>
      <c r="AK128" s="25">
        <f>IF(B128="","",COUNTIFS($W$5:$W$204,"&gt;"&amp;W128)+COUNTIFS($W$5:W128,W128))</f>
        <v>0</v>
      </c>
      <c r="AL128" s="25">
        <f>IF(B128="","",COUNTIFS($AB$5:$AB$204,"&gt;"&amp;AB128)+COUNTIFS($AB$5:AB128,AB128))</f>
        <v>0</v>
      </c>
      <c r="AM128" s="39">
        <f>IF(B128="","",IF(G128="","Add - no price yet",IF(E128="","Add - how long does it take?",IF(T128&lt;0,"Loss - this service costs you money",IF(V128&lt;TargetChairRate*0.7,"Check - well under your chair rate",IF(IF(N128="",FALSE,TodayDate-N128&gt;PriceReviewDays),"Due - price has not been reviewed",IF(IF(M128="Active",AB128=0,FALSE),"Check - on the menu but never booked","OK")))))))</f>
        <v>0</v>
      </c>
    </row>
    <row r="129" spans="1:39">
      <c r="A129" s="28">
        <f>IF(B129="","",ServicePrefix&amp;TEXT(ROW()-4,"000"))</f>
        <v>0</v>
      </c>
      <c r="P129" s="42">
        <f>IF(B129="","",ROUND((IF(E129="",0,E129)+IF(F129="",0,F129))/60,3))</f>
        <v>0</v>
      </c>
      <c r="Q129" s="26">
        <f>IF(B129="","",IF(H129&lt;&gt;"",H129,IF(G129="",0,ROUND(G129*ProductCostPercent,2))))</f>
        <v>0</v>
      </c>
      <c r="R129" s="26">
        <f>IF(B129="","",IF(J129="No",0,IF(G129="",0,ROUND(G129*ServiceCommission,2))))</f>
        <v>0</v>
      </c>
      <c r="S129" s="26">
        <f>IF(B129="","",ROUND(Q129+R129,2))</f>
        <v>0</v>
      </c>
      <c r="T129" s="26">
        <f>IF(B129="","",IF(G129="","",ROUND(G129-S129,2)))</f>
        <v>0</v>
      </c>
      <c r="U129" s="27">
        <f>IF(B129="","",IF(G129="","",IF(G129=0,"",T129/G129)))</f>
        <v>0</v>
      </c>
      <c r="V129" s="26">
        <f>IF(B129="","",IF(G129="","",IF(P129=0,"",ROUND(G129/P129,2))))</f>
        <v>0</v>
      </c>
      <c r="W129" s="26">
        <f>IF(B129="","",IF(T129="","",IF(P129=0,"",ROUND(T129/P129,2))))</f>
        <v>0</v>
      </c>
      <c r="X129" s="26">
        <f>IF(B129="","",IF(P129=0,"",IF(ServiceCommission&gt;=1,"",(Q129+TargetChairRate*P129)/IF(J129="No",1,1-ServiceCommission))))</f>
        <v>0</v>
      </c>
      <c r="Y129" s="26">
        <f>IF(B129="","",IF(X129="","",ROUND(IF(RoundingRule="None",X129,IF(RoundingRule="Nearest 0.99",MAX(0.99,CEILING(X129,1)-0.01),IF(RoundingRule="Nearest 0.95",MAX(0.95,CEILING(X129,1)-0.05),IF(RoundingRule="Nearest 0.50",CEILING(X129,0.5),IF(RoundingRule="Nearest 1",CEILING(X129,1),IF(RoundingRule="Nearest 5",CEILING(X129,5),IF(RoundingRule="Up to whole 1",CEILING(X129,1),IF(RoundingRule="Up to whole 5",CEILING(X129,5),ROUND(X129,2))))))))),2)))</f>
        <v>0</v>
      </c>
      <c r="Z129" s="26">
        <f>IF(B129="","",IF(Y129="","",IF(G129="","",ROUND(G129-Y129,2))))</f>
        <v>0</v>
      </c>
      <c r="AA129" s="25">
        <f>IF(B129="","",COUNTIFS(Appointments!$G$5:$G$1204,A129))</f>
        <v>0</v>
      </c>
      <c r="AB129" s="25">
        <f>IF(B129="","",COUNTIFS(Appointments!$G$5:$G$1204,A129,Appointments!$M$5:$M$1204,"Completed"))</f>
        <v>0</v>
      </c>
      <c r="AC129" s="25">
        <f>IF(B129="","",SUMIFS(Sales!$K$5:$K$1204,Sales!$I$5:$I$1204,A129,Sales!$H$5:$H$1204,"Service"))</f>
        <v>0</v>
      </c>
      <c r="AD129" s="26">
        <f>IF(B129="","",ROUND(SUMIFS(Sales!$Y$5:$Y$1204,Sales!$I$5:$I$1204,A129,Sales!$H$5:$H$1204,"Service"),2))</f>
        <v>0</v>
      </c>
      <c r="AE129" s="27">
        <f>IF(B129="","",IF(ServiceRevenueAll=0,"",AD129/ServiceRevenueAll))</f>
        <v>0</v>
      </c>
      <c r="AF129" s="26">
        <f>IF(B129="","",ROUND(AC129*T129,2))</f>
        <v>0</v>
      </c>
      <c r="AG129" s="37">
        <f>IF(B129="","",ROUND(AC129*P129,1))</f>
        <v>0</v>
      </c>
      <c r="AH129" s="27">
        <f>IF(B129="","",IF(AB129=0,"",COUNTIFS(Sales!$I$5:$I$1204,A129,Sales!$AJ$5:$AJ$1204,"Yes")/AB129))</f>
        <v>0</v>
      </c>
      <c r="AI129" s="17">
        <f>IF(B129="","",IFERROR(IF(COUNTIFS(Appointments!$G$5:$G$1204,A129)=0,"",SUMPRODUCT(MAX((Appointments!$G$5:$G$1204=A129)*IFERROR(Appointments!$B$5:$B$1204*1,0)))),""))</f>
        <v>0</v>
      </c>
      <c r="AJ129" s="25">
        <f>IF(B129="","",COUNTIFS($AD$5:$AD$204,"&gt;"&amp;AD129)+COUNTIFS($AD$5:AD129,AD129))</f>
        <v>0</v>
      </c>
      <c r="AK129" s="25">
        <f>IF(B129="","",COUNTIFS($W$5:$W$204,"&gt;"&amp;W129)+COUNTIFS($W$5:W129,W129))</f>
        <v>0</v>
      </c>
      <c r="AL129" s="25">
        <f>IF(B129="","",COUNTIFS($AB$5:$AB$204,"&gt;"&amp;AB129)+COUNTIFS($AB$5:AB129,AB129))</f>
        <v>0</v>
      </c>
      <c r="AM129" s="39">
        <f>IF(B129="","",IF(G129="","Add - no price yet",IF(E129="","Add - how long does it take?",IF(T129&lt;0,"Loss - this service costs you money",IF(V129&lt;TargetChairRate*0.7,"Check - well under your chair rate",IF(IF(N129="",FALSE,TodayDate-N129&gt;PriceReviewDays),"Due - price has not been reviewed",IF(IF(M129="Active",AB129=0,FALSE),"Check - on the menu but never booked","OK")))))))</f>
        <v>0</v>
      </c>
    </row>
    <row r="130" spans="1:39">
      <c r="A130" s="28">
        <f>IF(B130="","",ServicePrefix&amp;TEXT(ROW()-4,"000"))</f>
        <v>0</v>
      </c>
      <c r="P130" s="42">
        <f>IF(B130="","",ROUND((IF(E130="",0,E130)+IF(F130="",0,F130))/60,3))</f>
        <v>0</v>
      </c>
      <c r="Q130" s="26">
        <f>IF(B130="","",IF(H130&lt;&gt;"",H130,IF(G130="",0,ROUND(G130*ProductCostPercent,2))))</f>
        <v>0</v>
      </c>
      <c r="R130" s="26">
        <f>IF(B130="","",IF(J130="No",0,IF(G130="",0,ROUND(G130*ServiceCommission,2))))</f>
        <v>0</v>
      </c>
      <c r="S130" s="26">
        <f>IF(B130="","",ROUND(Q130+R130,2))</f>
        <v>0</v>
      </c>
      <c r="T130" s="26">
        <f>IF(B130="","",IF(G130="","",ROUND(G130-S130,2)))</f>
        <v>0</v>
      </c>
      <c r="U130" s="27">
        <f>IF(B130="","",IF(G130="","",IF(G130=0,"",T130/G130)))</f>
        <v>0</v>
      </c>
      <c r="V130" s="26">
        <f>IF(B130="","",IF(G130="","",IF(P130=0,"",ROUND(G130/P130,2))))</f>
        <v>0</v>
      </c>
      <c r="W130" s="26">
        <f>IF(B130="","",IF(T130="","",IF(P130=0,"",ROUND(T130/P130,2))))</f>
        <v>0</v>
      </c>
      <c r="X130" s="26">
        <f>IF(B130="","",IF(P130=0,"",IF(ServiceCommission&gt;=1,"",(Q130+TargetChairRate*P130)/IF(J130="No",1,1-ServiceCommission))))</f>
        <v>0</v>
      </c>
      <c r="Y130" s="26">
        <f>IF(B130="","",IF(X130="","",ROUND(IF(RoundingRule="None",X130,IF(RoundingRule="Nearest 0.99",MAX(0.99,CEILING(X130,1)-0.01),IF(RoundingRule="Nearest 0.95",MAX(0.95,CEILING(X130,1)-0.05),IF(RoundingRule="Nearest 0.50",CEILING(X130,0.5),IF(RoundingRule="Nearest 1",CEILING(X130,1),IF(RoundingRule="Nearest 5",CEILING(X130,5),IF(RoundingRule="Up to whole 1",CEILING(X130,1),IF(RoundingRule="Up to whole 5",CEILING(X130,5),ROUND(X130,2))))))))),2)))</f>
        <v>0</v>
      </c>
      <c r="Z130" s="26">
        <f>IF(B130="","",IF(Y130="","",IF(G130="","",ROUND(G130-Y130,2))))</f>
        <v>0</v>
      </c>
      <c r="AA130" s="25">
        <f>IF(B130="","",COUNTIFS(Appointments!$G$5:$G$1204,A130))</f>
        <v>0</v>
      </c>
      <c r="AB130" s="25">
        <f>IF(B130="","",COUNTIFS(Appointments!$G$5:$G$1204,A130,Appointments!$M$5:$M$1204,"Completed"))</f>
        <v>0</v>
      </c>
      <c r="AC130" s="25">
        <f>IF(B130="","",SUMIFS(Sales!$K$5:$K$1204,Sales!$I$5:$I$1204,A130,Sales!$H$5:$H$1204,"Service"))</f>
        <v>0</v>
      </c>
      <c r="AD130" s="26">
        <f>IF(B130="","",ROUND(SUMIFS(Sales!$Y$5:$Y$1204,Sales!$I$5:$I$1204,A130,Sales!$H$5:$H$1204,"Service"),2))</f>
        <v>0</v>
      </c>
      <c r="AE130" s="27">
        <f>IF(B130="","",IF(ServiceRevenueAll=0,"",AD130/ServiceRevenueAll))</f>
        <v>0</v>
      </c>
      <c r="AF130" s="26">
        <f>IF(B130="","",ROUND(AC130*T130,2))</f>
        <v>0</v>
      </c>
      <c r="AG130" s="37">
        <f>IF(B130="","",ROUND(AC130*P130,1))</f>
        <v>0</v>
      </c>
      <c r="AH130" s="27">
        <f>IF(B130="","",IF(AB130=0,"",COUNTIFS(Sales!$I$5:$I$1204,A130,Sales!$AJ$5:$AJ$1204,"Yes")/AB130))</f>
        <v>0</v>
      </c>
      <c r="AI130" s="17">
        <f>IF(B130="","",IFERROR(IF(COUNTIFS(Appointments!$G$5:$G$1204,A130)=0,"",SUMPRODUCT(MAX((Appointments!$G$5:$G$1204=A130)*IFERROR(Appointments!$B$5:$B$1204*1,0)))),""))</f>
        <v>0</v>
      </c>
      <c r="AJ130" s="25">
        <f>IF(B130="","",COUNTIFS($AD$5:$AD$204,"&gt;"&amp;AD130)+COUNTIFS($AD$5:AD130,AD130))</f>
        <v>0</v>
      </c>
      <c r="AK130" s="25">
        <f>IF(B130="","",COUNTIFS($W$5:$W$204,"&gt;"&amp;W130)+COUNTIFS($W$5:W130,W130))</f>
        <v>0</v>
      </c>
      <c r="AL130" s="25">
        <f>IF(B130="","",COUNTIFS($AB$5:$AB$204,"&gt;"&amp;AB130)+COUNTIFS($AB$5:AB130,AB130))</f>
        <v>0</v>
      </c>
      <c r="AM130" s="39">
        <f>IF(B130="","",IF(G130="","Add - no price yet",IF(E130="","Add - how long does it take?",IF(T130&lt;0,"Loss - this service costs you money",IF(V130&lt;TargetChairRate*0.7,"Check - well under your chair rate",IF(IF(N130="",FALSE,TodayDate-N130&gt;PriceReviewDays),"Due - price has not been reviewed",IF(IF(M130="Active",AB130=0,FALSE),"Check - on the menu but never booked","OK")))))))</f>
        <v>0</v>
      </c>
    </row>
    <row r="131" spans="1:39">
      <c r="A131" s="28">
        <f>IF(B131="","",ServicePrefix&amp;TEXT(ROW()-4,"000"))</f>
        <v>0</v>
      </c>
      <c r="P131" s="42">
        <f>IF(B131="","",ROUND((IF(E131="",0,E131)+IF(F131="",0,F131))/60,3))</f>
        <v>0</v>
      </c>
      <c r="Q131" s="26">
        <f>IF(B131="","",IF(H131&lt;&gt;"",H131,IF(G131="",0,ROUND(G131*ProductCostPercent,2))))</f>
        <v>0</v>
      </c>
      <c r="R131" s="26">
        <f>IF(B131="","",IF(J131="No",0,IF(G131="",0,ROUND(G131*ServiceCommission,2))))</f>
        <v>0</v>
      </c>
      <c r="S131" s="26">
        <f>IF(B131="","",ROUND(Q131+R131,2))</f>
        <v>0</v>
      </c>
      <c r="T131" s="26">
        <f>IF(B131="","",IF(G131="","",ROUND(G131-S131,2)))</f>
        <v>0</v>
      </c>
      <c r="U131" s="27">
        <f>IF(B131="","",IF(G131="","",IF(G131=0,"",T131/G131)))</f>
        <v>0</v>
      </c>
      <c r="V131" s="26">
        <f>IF(B131="","",IF(G131="","",IF(P131=0,"",ROUND(G131/P131,2))))</f>
        <v>0</v>
      </c>
      <c r="W131" s="26">
        <f>IF(B131="","",IF(T131="","",IF(P131=0,"",ROUND(T131/P131,2))))</f>
        <v>0</v>
      </c>
      <c r="X131" s="26">
        <f>IF(B131="","",IF(P131=0,"",IF(ServiceCommission&gt;=1,"",(Q131+TargetChairRate*P131)/IF(J131="No",1,1-ServiceCommission))))</f>
        <v>0</v>
      </c>
      <c r="Y131" s="26">
        <f>IF(B131="","",IF(X131="","",ROUND(IF(RoundingRule="None",X131,IF(RoundingRule="Nearest 0.99",MAX(0.99,CEILING(X131,1)-0.01),IF(RoundingRule="Nearest 0.95",MAX(0.95,CEILING(X131,1)-0.05),IF(RoundingRule="Nearest 0.50",CEILING(X131,0.5),IF(RoundingRule="Nearest 1",CEILING(X131,1),IF(RoundingRule="Nearest 5",CEILING(X131,5),IF(RoundingRule="Up to whole 1",CEILING(X131,1),IF(RoundingRule="Up to whole 5",CEILING(X131,5),ROUND(X131,2))))))))),2)))</f>
        <v>0</v>
      </c>
      <c r="Z131" s="26">
        <f>IF(B131="","",IF(Y131="","",IF(G131="","",ROUND(G131-Y131,2))))</f>
        <v>0</v>
      </c>
      <c r="AA131" s="25">
        <f>IF(B131="","",COUNTIFS(Appointments!$G$5:$G$1204,A131))</f>
        <v>0</v>
      </c>
      <c r="AB131" s="25">
        <f>IF(B131="","",COUNTIFS(Appointments!$G$5:$G$1204,A131,Appointments!$M$5:$M$1204,"Completed"))</f>
        <v>0</v>
      </c>
      <c r="AC131" s="25">
        <f>IF(B131="","",SUMIFS(Sales!$K$5:$K$1204,Sales!$I$5:$I$1204,A131,Sales!$H$5:$H$1204,"Service"))</f>
        <v>0</v>
      </c>
      <c r="AD131" s="26">
        <f>IF(B131="","",ROUND(SUMIFS(Sales!$Y$5:$Y$1204,Sales!$I$5:$I$1204,A131,Sales!$H$5:$H$1204,"Service"),2))</f>
        <v>0</v>
      </c>
      <c r="AE131" s="27">
        <f>IF(B131="","",IF(ServiceRevenueAll=0,"",AD131/ServiceRevenueAll))</f>
        <v>0</v>
      </c>
      <c r="AF131" s="26">
        <f>IF(B131="","",ROUND(AC131*T131,2))</f>
        <v>0</v>
      </c>
      <c r="AG131" s="37">
        <f>IF(B131="","",ROUND(AC131*P131,1))</f>
        <v>0</v>
      </c>
      <c r="AH131" s="27">
        <f>IF(B131="","",IF(AB131=0,"",COUNTIFS(Sales!$I$5:$I$1204,A131,Sales!$AJ$5:$AJ$1204,"Yes")/AB131))</f>
        <v>0</v>
      </c>
      <c r="AI131" s="17">
        <f>IF(B131="","",IFERROR(IF(COUNTIFS(Appointments!$G$5:$G$1204,A131)=0,"",SUMPRODUCT(MAX((Appointments!$G$5:$G$1204=A131)*IFERROR(Appointments!$B$5:$B$1204*1,0)))),""))</f>
        <v>0</v>
      </c>
      <c r="AJ131" s="25">
        <f>IF(B131="","",COUNTIFS($AD$5:$AD$204,"&gt;"&amp;AD131)+COUNTIFS($AD$5:AD131,AD131))</f>
        <v>0</v>
      </c>
      <c r="AK131" s="25">
        <f>IF(B131="","",COUNTIFS($W$5:$W$204,"&gt;"&amp;W131)+COUNTIFS($W$5:W131,W131))</f>
        <v>0</v>
      </c>
      <c r="AL131" s="25">
        <f>IF(B131="","",COUNTIFS($AB$5:$AB$204,"&gt;"&amp;AB131)+COUNTIFS($AB$5:AB131,AB131))</f>
        <v>0</v>
      </c>
      <c r="AM131" s="39">
        <f>IF(B131="","",IF(G131="","Add - no price yet",IF(E131="","Add - how long does it take?",IF(T131&lt;0,"Loss - this service costs you money",IF(V131&lt;TargetChairRate*0.7,"Check - well under your chair rate",IF(IF(N131="",FALSE,TodayDate-N131&gt;PriceReviewDays),"Due - price has not been reviewed",IF(IF(M131="Active",AB131=0,FALSE),"Check - on the menu but never booked","OK")))))))</f>
        <v>0</v>
      </c>
    </row>
    <row r="132" spans="1:39">
      <c r="A132" s="28">
        <f>IF(B132="","",ServicePrefix&amp;TEXT(ROW()-4,"000"))</f>
        <v>0</v>
      </c>
      <c r="P132" s="42">
        <f>IF(B132="","",ROUND((IF(E132="",0,E132)+IF(F132="",0,F132))/60,3))</f>
        <v>0</v>
      </c>
      <c r="Q132" s="26">
        <f>IF(B132="","",IF(H132&lt;&gt;"",H132,IF(G132="",0,ROUND(G132*ProductCostPercent,2))))</f>
        <v>0</v>
      </c>
      <c r="R132" s="26">
        <f>IF(B132="","",IF(J132="No",0,IF(G132="",0,ROUND(G132*ServiceCommission,2))))</f>
        <v>0</v>
      </c>
      <c r="S132" s="26">
        <f>IF(B132="","",ROUND(Q132+R132,2))</f>
        <v>0</v>
      </c>
      <c r="T132" s="26">
        <f>IF(B132="","",IF(G132="","",ROUND(G132-S132,2)))</f>
        <v>0</v>
      </c>
      <c r="U132" s="27">
        <f>IF(B132="","",IF(G132="","",IF(G132=0,"",T132/G132)))</f>
        <v>0</v>
      </c>
      <c r="V132" s="26">
        <f>IF(B132="","",IF(G132="","",IF(P132=0,"",ROUND(G132/P132,2))))</f>
        <v>0</v>
      </c>
      <c r="W132" s="26">
        <f>IF(B132="","",IF(T132="","",IF(P132=0,"",ROUND(T132/P132,2))))</f>
        <v>0</v>
      </c>
      <c r="X132" s="26">
        <f>IF(B132="","",IF(P132=0,"",IF(ServiceCommission&gt;=1,"",(Q132+TargetChairRate*P132)/IF(J132="No",1,1-ServiceCommission))))</f>
        <v>0</v>
      </c>
      <c r="Y132" s="26">
        <f>IF(B132="","",IF(X132="","",ROUND(IF(RoundingRule="None",X132,IF(RoundingRule="Nearest 0.99",MAX(0.99,CEILING(X132,1)-0.01),IF(RoundingRule="Nearest 0.95",MAX(0.95,CEILING(X132,1)-0.05),IF(RoundingRule="Nearest 0.50",CEILING(X132,0.5),IF(RoundingRule="Nearest 1",CEILING(X132,1),IF(RoundingRule="Nearest 5",CEILING(X132,5),IF(RoundingRule="Up to whole 1",CEILING(X132,1),IF(RoundingRule="Up to whole 5",CEILING(X132,5),ROUND(X132,2))))))))),2)))</f>
        <v>0</v>
      </c>
      <c r="Z132" s="26">
        <f>IF(B132="","",IF(Y132="","",IF(G132="","",ROUND(G132-Y132,2))))</f>
        <v>0</v>
      </c>
      <c r="AA132" s="25">
        <f>IF(B132="","",COUNTIFS(Appointments!$G$5:$G$1204,A132))</f>
        <v>0</v>
      </c>
      <c r="AB132" s="25">
        <f>IF(B132="","",COUNTIFS(Appointments!$G$5:$G$1204,A132,Appointments!$M$5:$M$1204,"Completed"))</f>
        <v>0</v>
      </c>
      <c r="AC132" s="25">
        <f>IF(B132="","",SUMIFS(Sales!$K$5:$K$1204,Sales!$I$5:$I$1204,A132,Sales!$H$5:$H$1204,"Service"))</f>
        <v>0</v>
      </c>
      <c r="AD132" s="26">
        <f>IF(B132="","",ROUND(SUMIFS(Sales!$Y$5:$Y$1204,Sales!$I$5:$I$1204,A132,Sales!$H$5:$H$1204,"Service"),2))</f>
        <v>0</v>
      </c>
      <c r="AE132" s="27">
        <f>IF(B132="","",IF(ServiceRevenueAll=0,"",AD132/ServiceRevenueAll))</f>
        <v>0</v>
      </c>
      <c r="AF132" s="26">
        <f>IF(B132="","",ROUND(AC132*T132,2))</f>
        <v>0</v>
      </c>
      <c r="AG132" s="37">
        <f>IF(B132="","",ROUND(AC132*P132,1))</f>
        <v>0</v>
      </c>
      <c r="AH132" s="27">
        <f>IF(B132="","",IF(AB132=0,"",COUNTIFS(Sales!$I$5:$I$1204,A132,Sales!$AJ$5:$AJ$1204,"Yes")/AB132))</f>
        <v>0</v>
      </c>
      <c r="AI132" s="17">
        <f>IF(B132="","",IFERROR(IF(COUNTIFS(Appointments!$G$5:$G$1204,A132)=0,"",SUMPRODUCT(MAX((Appointments!$G$5:$G$1204=A132)*IFERROR(Appointments!$B$5:$B$1204*1,0)))),""))</f>
        <v>0</v>
      </c>
      <c r="AJ132" s="25">
        <f>IF(B132="","",COUNTIFS($AD$5:$AD$204,"&gt;"&amp;AD132)+COUNTIFS($AD$5:AD132,AD132))</f>
        <v>0</v>
      </c>
      <c r="AK132" s="25">
        <f>IF(B132="","",COUNTIFS($W$5:$W$204,"&gt;"&amp;W132)+COUNTIFS($W$5:W132,W132))</f>
        <v>0</v>
      </c>
      <c r="AL132" s="25">
        <f>IF(B132="","",COUNTIFS($AB$5:$AB$204,"&gt;"&amp;AB132)+COUNTIFS($AB$5:AB132,AB132))</f>
        <v>0</v>
      </c>
      <c r="AM132" s="39">
        <f>IF(B132="","",IF(G132="","Add - no price yet",IF(E132="","Add - how long does it take?",IF(T132&lt;0,"Loss - this service costs you money",IF(V132&lt;TargetChairRate*0.7,"Check - well under your chair rate",IF(IF(N132="",FALSE,TodayDate-N132&gt;PriceReviewDays),"Due - price has not been reviewed",IF(IF(M132="Active",AB132=0,FALSE),"Check - on the menu but never booked","OK")))))))</f>
        <v>0</v>
      </c>
    </row>
    <row r="133" spans="1:39">
      <c r="A133" s="28">
        <f>IF(B133="","",ServicePrefix&amp;TEXT(ROW()-4,"000"))</f>
        <v>0</v>
      </c>
      <c r="P133" s="42">
        <f>IF(B133="","",ROUND((IF(E133="",0,E133)+IF(F133="",0,F133))/60,3))</f>
        <v>0</v>
      </c>
      <c r="Q133" s="26">
        <f>IF(B133="","",IF(H133&lt;&gt;"",H133,IF(G133="",0,ROUND(G133*ProductCostPercent,2))))</f>
        <v>0</v>
      </c>
      <c r="R133" s="26">
        <f>IF(B133="","",IF(J133="No",0,IF(G133="",0,ROUND(G133*ServiceCommission,2))))</f>
        <v>0</v>
      </c>
      <c r="S133" s="26">
        <f>IF(B133="","",ROUND(Q133+R133,2))</f>
        <v>0</v>
      </c>
      <c r="T133" s="26">
        <f>IF(B133="","",IF(G133="","",ROUND(G133-S133,2)))</f>
        <v>0</v>
      </c>
      <c r="U133" s="27">
        <f>IF(B133="","",IF(G133="","",IF(G133=0,"",T133/G133)))</f>
        <v>0</v>
      </c>
      <c r="V133" s="26">
        <f>IF(B133="","",IF(G133="","",IF(P133=0,"",ROUND(G133/P133,2))))</f>
        <v>0</v>
      </c>
      <c r="W133" s="26">
        <f>IF(B133="","",IF(T133="","",IF(P133=0,"",ROUND(T133/P133,2))))</f>
        <v>0</v>
      </c>
      <c r="X133" s="26">
        <f>IF(B133="","",IF(P133=0,"",IF(ServiceCommission&gt;=1,"",(Q133+TargetChairRate*P133)/IF(J133="No",1,1-ServiceCommission))))</f>
        <v>0</v>
      </c>
      <c r="Y133" s="26">
        <f>IF(B133="","",IF(X133="","",ROUND(IF(RoundingRule="None",X133,IF(RoundingRule="Nearest 0.99",MAX(0.99,CEILING(X133,1)-0.01),IF(RoundingRule="Nearest 0.95",MAX(0.95,CEILING(X133,1)-0.05),IF(RoundingRule="Nearest 0.50",CEILING(X133,0.5),IF(RoundingRule="Nearest 1",CEILING(X133,1),IF(RoundingRule="Nearest 5",CEILING(X133,5),IF(RoundingRule="Up to whole 1",CEILING(X133,1),IF(RoundingRule="Up to whole 5",CEILING(X133,5),ROUND(X133,2))))))))),2)))</f>
        <v>0</v>
      </c>
      <c r="Z133" s="26">
        <f>IF(B133="","",IF(Y133="","",IF(G133="","",ROUND(G133-Y133,2))))</f>
        <v>0</v>
      </c>
      <c r="AA133" s="25">
        <f>IF(B133="","",COUNTIFS(Appointments!$G$5:$G$1204,A133))</f>
        <v>0</v>
      </c>
      <c r="AB133" s="25">
        <f>IF(B133="","",COUNTIFS(Appointments!$G$5:$G$1204,A133,Appointments!$M$5:$M$1204,"Completed"))</f>
        <v>0</v>
      </c>
      <c r="AC133" s="25">
        <f>IF(B133="","",SUMIFS(Sales!$K$5:$K$1204,Sales!$I$5:$I$1204,A133,Sales!$H$5:$H$1204,"Service"))</f>
        <v>0</v>
      </c>
      <c r="AD133" s="26">
        <f>IF(B133="","",ROUND(SUMIFS(Sales!$Y$5:$Y$1204,Sales!$I$5:$I$1204,A133,Sales!$H$5:$H$1204,"Service"),2))</f>
        <v>0</v>
      </c>
      <c r="AE133" s="27">
        <f>IF(B133="","",IF(ServiceRevenueAll=0,"",AD133/ServiceRevenueAll))</f>
        <v>0</v>
      </c>
      <c r="AF133" s="26">
        <f>IF(B133="","",ROUND(AC133*T133,2))</f>
        <v>0</v>
      </c>
      <c r="AG133" s="37">
        <f>IF(B133="","",ROUND(AC133*P133,1))</f>
        <v>0</v>
      </c>
      <c r="AH133" s="27">
        <f>IF(B133="","",IF(AB133=0,"",COUNTIFS(Sales!$I$5:$I$1204,A133,Sales!$AJ$5:$AJ$1204,"Yes")/AB133))</f>
        <v>0</v>
      </c>
      <c r="AI133" s="17">
        <f>IF(B133="","",IFERROR(IF(COUNTIFS(Appointments!$G$5:$G$1204,A133)=0,"",SUMPRODUCT(MAX((Appointments!$G$5:$G$1204=A133)*IFERROR(Appointments!$B$5:$B$1204*1,0)))),""))</f>
        <v>0</v>
      </c>
      <c r="AJ133" s="25">
        <f>IF(B133="","",COUNTIFS($AD$5:$AD$204,"&gt;"&amp;AD133)+COUNTIFS($AD$5:AD133,AD133))</f>
        <v>0</v>
      </c>
      <c r="AK133" s="25">
        <f>IF(B133="","",COUNTIFS($W$5:$W$204,"&gt;"&amp;W133)+COUNTIFS($W$5:W133,W133))</f>
        <v>0</v>
      </c>
      <c r="AL133" s="25">
        <f>IF(B133="","",COUNTIFS($AB$5:$AB$204,"&gt;"&amp;AB133)+COUNTIFS($AB$5:AB133,AB133))</f>
        <v>0</v>
      </c>
      <c r="AM133" s="39">
        <f>IF(B133="","",IF(G133="","Add - no price yet",IF(E133="","Add - how long does it take?",IF(T133&lt;0,"Loss - this service costs you money",IF(V133&lt;TargetChairRate*0.7,"Check - well under your chair rate",IF(IF(N133="",FALSE,TodayDate-N133&gt;PriceReviewDays),"Due - price has not been reviewed",IF(IF(M133="Active",AB133=0,FALSE),"Check - on the menu but never booked","OK")))))))</f>
        <v>0</v>
      </c>
    </row>
    <row r="134" spans="1:39">
      <c r="A134" s="28">
        <f>IF(B134="","",ServicePrefix&amp;TEXT(ROW()-4,"000"))</f>
        <v>0</v>
      </c>
      <c r="P134" s="42">
        <f>IF(B134="","",ROUND((IF(E134="",0,E134)+IF(F134="",0,F134))/60,3))</f>
        <v>0</v>
      </c>
      <c r="Q134" s="26">
        <f>IF(B134="","",IF(H134&lt;&gt;"",H134,IF(G134="",0,ROUND(G134*ProductCostPercent,2))))</f>
        <v>0</v>
      </c>
      <c r="R134" s="26">
        <f>IF(B134="","",IF(J134="No",0,IF(G134="",0,ROUND(G134*ServiceCommission,2))))</f>
        <v>0</v>
      </c>
      <c r="S134" s="26">
        <f>IF(B134="","",ROUND(Q134+R134,2))</f>
        <v>0</v>
      </c>
      <c r="T134" s="26">
        <f>IF(B134="","",IF(G134="","",ROUND(G134-S134,2)))</f>
        <v>0</v>
      </c>
      <c r="U134" s="27">
        <f>IF(B134="","",IF(G134="","",IF(G134=0,"",T134/G134)))</f>
        <v>0</v>
      </c>
      <c r="V134" s="26">
        <f>IF(B134="","",IF(G134="","",IF(P134=0,"",ROUND(G134/P134,2))))</f>
        <v>0</v>
      </c>
      <c r="W134" s="26">
        <f>IF(B134="","",IF(T134="","",IF(P134=0,"",ROUND(T134/P134,2))))</f>
        <v>0</v>
      </c>
      <c r="X134" s="26">
        <f>IF(B134="","",IF(P134=0,"",IF(ServiceCommission&gt;=1,"",(Q134+TargetChairRate*P134)/IF(J134="No",1,1-ServiceCommission))))</f>
        <v>0</v>
      </c>
      <c r="Y134" s="26">
        <f>IF(B134="","",IF(X134="","",ROUND(IF(RoundingRule="None",X134,IF(RoundingRule="Nearest 0.99",MAX(0.99,CEILING(X134,1)-0.01),IF(RoundingRule="Nearest 0.95",MAX(0.95,CEILING(X134,1)-0.05),IF(RoundingRule="Nearest 0.50",CEILING(X134,0.5),IF(RoundingRule="Nearest 1",CEILING(X134,1),IF(RoundingRule="Nearest 5",CEILING(X134,5),IF(RoundingRule="Up to whole 1",CEILING(X134,1),IF(RoundingRule="Up to whole 5",CEILING(X134,5),ROUND(X134,2))))))))),2)))</f>
        <v>0</v>
      </c>
      <c r="Z134" s="26">
        <f>IF(B134="","",IF(Y134="","",IF(G134="","",ROUND(G134-Y134,2))))</f>
        <v>0</v>
      </c>
      <c r="AA134" s="25">
        <f>IF(B134="","",COUNTIFS(Appointments!$G$5:$G$1204,A134))</f>
        <v>0</v>
      </c>
      <c r="AB134" s="25">
        <f>IF(B134="","",COUNTIFS(Appointments!$G$5:$G$1204,A134,Appointments!$M$5:$M$1204,"Completed"))</f>
        <v>0</v>
      </c>
      <c r="AC134" s="25">
        <f>IF(B134="","",SUMIFS(Sales!$K$5:$K$1204,Sales!$I$5:$I$1204,A134,Sales!$H$5:$H$1204,"Service"))</f>
        <v>0</v>
      </c>
      <c r="AD134" s="26">
        <f>IF(B134="","",ROUND(SUMIFS(Sales!$Y$5:$Y$1204,Sales!$I$5:$I$1204,A134,Sales!$H$5:$H$1204,"Service"),2))</f>
        <v>0</v>
      </c>
      <c r="AE134" s="27">
        <f>IF(B134="","",IF(ServiceRevenueAll=0,"",AD134/ServiceRevenueAll))</f>
        <v>0</v>
      </c>
      <c r="AF134" s="26">
        <f>IF(B134="","",ROUND(AC134*T134,2))</f>
        <v>0</v>
      </c>
      <c r="AG134" s="37">
        <f>IF(B134="","",ROUND(AC134*P134,1))</f>
        <v>0</v>
      </c>
      <c r="AH134" s="27">
        <f>IF(B134="","",IF(AB134=0,"",COUNTIFS(Sales!$I$5:$I$1204,A134,Sales!$AJ$5:$AJ$1204,"Yes")/AB134))</f>
        <v>0</v>
      </c>
      <c r="AI134" s="17">
        <f>IF(B134="","",IFERROR(IF(COUNTIFS(Appointments!$G$5:$G$1204,A134)=0,"",SUMPRODUCT(MAX((Appointments!$G$5:$G$1204=A134)*IFERROR(Appointments!$B$5:$B$1204*1,0)))),""))</f>
        <v>0</v>
      </c>
      <c r="AJ134" s="25">
        <f>IF(B134="","",COUNTIFS($AD$5:$AD$204,"&gt;"&amp;AD134)+COUNTIFS($AD$5:AD134,AD134))</f>
        <v>0</v>
      </c>
      <c r="AK134" s="25">
        <f>IF(B134="","",COUNTIFS($W$5:$W$204,"&gt;"&amp;W134)+COUNTIFS($W$5:W134,W134))</f>
        <v>0</v>
      </c>
      <c r="AL134" s="25">
        <f>IF(B134="","",COUNTIFS($AB$5:$AB$204,"&gt;"&amp;AB134)+COUNTIFS($AB$5:AB134,AB134))</f>
        <v>0</v>
      </c>
      <c r="AM134" s="39">
        <f>IF(B134="","",IF(G134="","Add - no price yet",IF(E134="","Add - how long does it take?",IF(T134&lt;0,"Loss - this service costs you money",IF(V134&lt;TargetChairRate*0.7,"Check - well under your chair rate",IF(IF(N134="",FALSE,TodayDate-N134&gt;PriceReviewDays),"Due - price has not been reviewed",IF(IF(M134="Active",AB134=0,FALSE),"Check - on the menu but never booked","OK")))))))</f>
        <v>0</v>
      </c>
    </row>
    <row r="135" spans="1:39">
      <c r="A135" s="28">
        <f>IF(B135="","",ServicePrefix&amp;TEXT(ROW()-4,"000"))</f>
        <v>0</v>
      </c>
      <c r="P135" s="42">
        <f>IF(B135="","",ROUND((IF(E135="",0,E135)+IF(F135="",0,F135))/60,3))</f>
        <v>0</v>
      </c>
      <c r="Q135" s="26">
        <f>IF(B135="","",IF(H135&lt;&gt;"",H135,IF(G135="",0,ROUND(G135*ProductCostPercent,2))))</f>
        <v>0</v>
      </c>
      <c r="R135" s="26">
        <f>IF(B135="","",IF(J135="No",0,IF(G135="",0,ROUND(G135*ServiceCommission,2))))</f>
        <v>0</v>
      </c>
      <c r="S135" s="26">
        <f>IF(B135="","",ROUND(Q135+R135,2))</f>
        <v>0</v>
      </c>
      <c r="T135" s="26">
        <f>IF(B135="","",IF(G135="","",ROUND(G135-S135,2)))</f>
        <v>0</v>
      </c>
      <c r="U135" s="27">
        <f>IF(B135="","",IF(G135="","",IF(G135=0,"",T135/G135)))</f>
        <v>0</v>
      </c>
      <c r="V135" s="26">
        <f>IF(B135="","",IF(G135="","",IF(P135=0,"",ROUND(G135/P135,2))))</f>
        <v>0</v>
      </c>
      <c r="W135" s="26">
        <f>IF(B135="","",IF(T135="","",IF(P135=0,"",ROUND(T135/P135,2))))</f>
        <v>0</v>
      </c>
      <c r="X135" s="26">
        <f>IF(B135="","",IF(P135=0,"",IF(ServiceCommission&gt;=1,"",(Q135+TargetChairRate*P135)/IF(J135="No",1,1-ServiceCommission))))</f>
        <v>0</v>
      </c>
      <c r="Y135" s="26">
        <f>IF(B135="","",IF(X135="","",ROUND(IF(RoundingRule="None",X135,IF(RoundingRule="Nearest 0.99",MAX(0.99,CEILING(X135,1)-0.01),IF(RoundingRule="Nearest 0.95",MAX(0.95,CEILING(X135,1)-0.05),IF(RoundingRule="Nearest 0.50",CEILING(X135,0.5),IF(RoundingRule="Nearest 1",CEILING(X135,1),IF(RoundingRule="Nearest 5",CEILING(X135,5),IF(RoundingRule="Up to whole 1",CEILING(X135,1),IF(RoundingRule="Up to whole 5",CEILING(X135,5),ROUND(X135,2))))))))),2)))</f>
        <v>0</v>
      </c>
      <c r="Z135" s="26">
        <f>IF(B135="","",IF(Y135="","",IF(G135="","",ROUND(G135-Y135,2))))</f>
        <v>0</v>
      </c>
      <c r="AA135" s="25">
        <f>IF(B135="","",COUNTIFS(Appointments!$G$5:$G$1204,A135))</f>
        <v>0</v>
      </c>
      <c r="AB135" s="25">
        <f>IF(B135="","",COUNTIFS(Appointments!$G$5:$G$1204,A135,Appointments!$M$5:$M$1204,"Completed"))</f>
        <v>0</v>
      </c>
      <c r="AC135" s="25">
        <f>IF(B135="","",SUMIFS(Sales!$K$5:$K$1204,Sales!$I$5:$I$1204,A135,Sales!$H$5:$H$1204,"Service"))</f>
        <v>0</v>
      </c>
      <c r="AD135" s="26">
        <f>IF(B135="","",ROUND(SUMIFS(Sales!$Y$5:$Y$1204,Sales!$I$5:$I$1204,A135,Sales!$H$5:$H$1204,"Service"),2))</f>
        <v>0</v>
      </c>
      <c r="AE135" s="27">
        <f>IF(B135="","",IF(ServiceRevenueAll=0,"",AD135/ServiceRevenueAll))</f>
        <v>0</v>
      </c>
      <c r="AF135" s="26">
        <f>IF(B135="","",ROUND(AC135*T135,2))</f>
        <v>0</v>
      </c>
      <c r="AG135" s="37">
        <f>IF(B135="","",ROUND(AC135*P135,1))</f>
        <v>0</v>
      </c>
      <c r="AH135" s="27">
        <f>IF(B135="","",IF(AB135=0,"",COUNTIFS(Sales!$I$5:$I$1204,A135,Sales!$AJ$5:$AJ$1204,"Yes")/AB135))</f>
        <v>0</v>
      </c>
      <c r="AI135" s="17">
        <f>IF(B135="","",IFERROR(IF(COUNTIFS(Appointments!$G$5:$G$1204,A135)=0,"",SUMPRODUCT(MAX((Appointments!$G$5:$G$1204=A135)*IFERROR(Appointments!$B$5:$B$1204*1,0)))),""))</f>
        <v>0</v>
      </c>
      <c r="AJ135" s="25">
        <f>IF(B135="","",COUNTIFS($AD$5:$AD$204,"&gt;"&amp;AD135)+COUNTIFS($AD$5:AD135,AD135))</f>
        <v>0</v>
      </c>
      <c r="AK135" s="25">
        <f>IF(B135="","",COUNTIFS($W$5:$W$204,"&gt;"&amp;W135)+COUNTIFS($W$5:W135,W135))</f>
        <v>0</v>
      </c>
      <c r="AL135" s="25">
        <f>IF(B135="","",COUNTIFS($AB$5:$AB$204,"&gt;"&amp;AB135)+COUNTIFS($AB$5:AB135,AB135))</f>
        <v>0</v>
      </c>
      <c r="AM135" s="39">
        <f>IF(B135="","",IF(G135="","Add - no price yet",IF(E135="","Add - how long does it take?",IF(T135&lt;0,"Loss - this service costs you money",IF(V135&lt;TargetChairRate*0.7,"Check - well under your chair rate",IF(IF(N135="",FALSE,TodayDate-N135&gt;PriceReviewDays),"Due - price has not been reviewed",IF(IF(M135="Active",AB135=0,FALSE),"Check - on the menu but never booked","OK")))))))</f>
        <v>0</v>
      </c>
    </row>
    <row r="136" spans="1:39">
      <c r="A136" s="28">
        <f>IF(B136="","",ServicePrefix&amp;TEXT(ROW()-4,"000"))</f>
        <v>0</v>
      </c>
      <c r="P136" s="42">
        <f>IF(B136="","",ROUND((IF(E136="",0,E136)+IF(F136="",0,F136))/60,3))</f>
        <v>0</v>
      </c>
      <c r="Q136" s="26">
        <f>IF(B136="","",IF(H136&lt;&gt;"",H136,IF(G136="",0,ROUND(G136*ProductCostPercent,2))))</f>
        <v>0</v>
      </c>
      <c r="R136" s="26">
        <f>IF(B136="","",IF(J136="No",0,IF(G136="",0,ROUND(G136*ServiceCommission,2))))</f>
        <v>0</v>
      </c>
      <c r="S136" s="26">
        <f>IF(B136="","",ROUND(Q136+R136,2))</f>
        <v>0</v>
      </c>
      <c r="T136" s="26">
        <f>IF(B136="","",IF(G136="","",ROUND(G136-S136,2)))</f>
        <v>0</v>
      </c>
      <c r="U136" s="27">
        <f>IF(B136="","",IF(G136="","",IF(G136=0,"",T136/G136)))</f>
        <v>0</v>
      </c>
      <c r="V136" s="26">
        <f>IF(B136="","",IF(G136="","",IF(P136=0,"",ROUND(G136/P136,2))))</f>
        <v>0</v>
      </c>
      <c r="W136" s="26">
        <f>IF(B136="","",IF(T136="","",IF(P136=0,"",ROUND(T136/P136,2))))</f>
        <v>0</v>
      </c>
      <c r="X136" s="26">
        <f>IF(B136="","",IF(P136=0,"",IF(ServiceCommission&gt;=1,"",(Q136+TargetChairRate*P136)/IF(J136="No",1,1-ServiceCommission))))</f>
        <v>0</v>
      </c>
      <c r="Y136" s="26">
        <f>IF(B136="","",IF(X136="","",ROUND(IF(RoundingRule="None",X136,IF(RoundingRule="Nearest 0.99",MAX(0.99,CEILING(X136,1)-0.01),IF(RoundingRule="Nearest 0.95",MAX(0.95,CEILING(X136,1)-0.05),IF(RoundingRule="Nearest 0.50",CEILING(X136,0.5),IF(RoundingRule="Nearest 1",CEILING(X136,1),IF(RoundingRule="Nearest 5",CEILING(X136,5),IF(RoundingRule="Up to whole 1",CEILING(X136,1),IF(RoundingRule="Up to whole 5",CEILING(X136,5),ROUND(X136,2))))))))),2)))</f>
        <v>0</v>
      </c>
      <c r="Z136" s="26">
        <f>IF(B136="","",IF(Y136="","",IF(G136="","",ROUND(G136-Y136,2))))</f>
        <v>0</v>
      </c>
      <c r="AA136" s="25">
        <f>IF(B136="","",COUNTIFS(Appointments!$G$5:$G$1204,A136))</f>
        <v>0</v>
      </c>
      <c r="AB136" s="25">
        <f>IF(B136="","",COUNTIFS(Appointments!$G$5:$G$1204,A136,Appointments!$M$5:$M$1204,"Completed"))</f>
        <v>0</v>
      </c>
      <c r="AC136" s="25">
        <f>IF(B136="","",SUMIFS(Sales!$K$5:$K$1204,Sales!$I$5:$I$1204,A136,Sales!$H$5:$H$1204,"Service"))</f>
        <v>0</v>
      </c>
      <c r="AD136" s="26">
        <f>IF(B136="","",ROUND(SUMIFS(Sales!$Y$5:$Y$1204,Sales!$I$5:$I$1204,A136,Sales!$H$5:$H$1204,"Service"),2))</f>
        <v>0</v>
      </c>
      <c r="AE136" s="27">
        <f>IF(B136="","",IF(ServiceRevenueAll=0,"",AD136/ServiceRevenueAll))</f>
        <v>0</v>
      </c>
      <c r="AF136" s="26">
        <f>IF(B136="","",ROUND(AC136*T136,2))</f>
        <v>0</v>
      </c>
      <c r="AG136" s="37">
        <f>IF(B136="","",ROUND(AC136*P136,1))</f>
        <v>0</v>
      </c>
      <c r="AH136" s="27">
        <f>IF(B136="","",IF(AB136=0,"",COUNTIFS(Sales!$I$5:$I$1204,A136,Sales!$AJ$5:$AJ$1204,"Yes")/AB136))</f>
        <v>0</v>
      </c>
      <c r="AI136" s="17">
        <f>IF(B136="","",IFERROR(IF(COUNTIFS(Appointments!$G$5:$G$1204,A136)=0,"",SUMPRODUCT(MAX((Appointments!$G$5:$G$1204=A136)*IFERROR(Appointments!$B$5:$B$1204*1,0)))),""))</f>
        <v>0</v>
      </c>
      <c r="AJ136" s="25">
        <f>IF(B136="","",COUNTIFS($AD$5:$AD$204,"&gt;"&amp;AD136)+COUNTIFS($AD$5:AD136,AD136))</f>
        <v>0</v>
      </c>
      <c r="AK136" s="25">
        <f>IF(B136="","",COUNTIFS($W$5:$W$204,"&gt;"&amp;W136)+COUNTIFS($W$5:W136,W136))</f>
        <v>0</v>
      </c>
      <c r="AL136" s="25">
        <f>IF(B136="","",COUNTIFS($AB$5:$AB$204,"&gt;"&amp;AB136)+COUNTIFS($AB$5:AB136,AB136))</f>
        <v>0</v>
      </c>
      <c r="AM136" s="39">
        <f>IF(B136="","",IF(G136="","Add - no price yet",IF(E136="","Add - how long does it take?",IF(T136&lt;0,"Loss - this service costs you money",IF(V136&lt;TargetChairRate*0.7,"Check - well under your chair rate",IF(IF(N136="",FALSE,TodayDate-N136&gt;PriceReviewDays),"Due - price has not been reviewed",IF(IF(M136="Active",AB136=0,FALSE),"Check - on the menu but never booked","OK")))))))</f>
        <v>0</v>
      </c>
    </row>
    <row r="137" spans="1:39">
      <c r="A137" s="28">
        <f>IF(B137="","",ServicePrefix&amp;TEXT(ROW()-4,"000"))</f>
        <v>0</v>
      </c>
      <c r="P137" s="42">
        <f>IF(B137="","",ROUND((IF(E137="",0,E137)+IF(F137="",0,F137))/60,3))</f>
        <v>0</v>
      </c>
      <c r="Q137" s="26">
        <f>IF(B137="","",IF(H137&lt;&gt;"",H137,IF(G137="",0,ROUND(G137*ProductCostPercent,2))))</f>
        <v>0</v>
      </c>
      <c r="R137" s="26">
        <f>IF(B137="","",IF(J137="No",0,IF(G137="",0,ROUND(G137*ServiceCommission,2))))</f>
        <v>0</v>
      </c>
      <c r="S137" s="26">
        <f>IF(B137="","",ROUND(Q137+R137,2))</f>
        <v>0</v>
      </c>
      <c r="T137" s="26">
        <f>IF(B137="","",IF(G137="","",ROUND(G137-S137,2)))</f>
        <v>0</v>
      </c>
      <c r="U137" s="27">
        <f>IF(B137="","",IF(G137="","",IF(G137=0,"",T137/G137)))</f>
        <v>0</v>
      </c>
      <c r="V137" s="26">
        <f>IF(B137="","",IF(G137="","",IF(P137=0,"",ROUND(G137/P137,2))))</f>
        <v>0</v>
      </c>
      <c r="W137" s="26">
        <f>IF(B137="","",IF(T137="","",IF(P137=0,"",ROUND(T137/P137,2))))</f>
        <v>0</v>
      </c>
      <c r="X137" s="26">
        <f>IF(B137="","",IF(P137=0,"",IF(ServiceCommission&gt;=1,"",(Q137+TargetChairRate*P137)/IF(J137="No",1,1-ServiceCommission))))</f>
        <v>0</v>
      </c>
      <c r="Y137" s="26">
        <f>IF(B137="","",IF(X137="","",ROUND(IF(RoundingRule="None",X137,IF(RoundingRule="Nearest 0.99",MAX(0.99,CEILING(X137,1)-0.01),IF(RoundingRule="Nearest 0.95",MAX(0.95,CEILING(X137,1)-0.05),IF(RoundingRule="Nearest 0.50",CEILING(X137,0.5),IF(RoundingRule="Nearest 1",CEILING(X137,1),IF(RoundingRule="Nearest 5",CEILING(X137,5),IF(RoundingRule="Up to whole 1",CEILING(X137,1),IF(RoundingRule="Up to whole 5",CEILING(X137,5),ROUND(X137,2))))))))),2)))</f>
        <v>0</v>
      </c>
      <c r="Z137" s="26">
        <f>IF(B137="","",IF(Y137="","",IF(G137="","",ROUND(G137-Y137,2))))</f>
        <v>0</v>
      </c>
      <c r="AA137" s="25">
        <f>IF(B137="","",COUNTIFS(Appointments!$G$5:$G$1204,A137))</f>
        <v>0</v>
      </c>
      <c r="AB137" s="25">
        <f>IF(B137="","",COUNTIFS(Appointments!$G$5:$G$1204,A137,Appointments!$M$5:$M$1204,"Completed"))</f>
        <v>0</v>
      </c>
      <c r="AC137" s="25">
        <f>IF(B137="","",SUMIFS(Sales!$K$5:$K$1204,Sales!$I$5:$I$1204,A137,Sales!$H$5:$H$1204,"Service"))</f>
        <v>0</v>
      </c>
      <c r="AD137" s="26">
        <f>IF(B137="","",ROUND(SUMIFS(Sales!$Y$5:$Y$1204,Sales!$I$5:$I$1204,A137,Sales!$H$5:$H$1204,"Service"),2))</f>
        <v>0</v>
      </c>
      <c r="AE137" s="27">
        <f>IF(B137="","",IF(ServiceRevenueAll=0,"",AD137/ServiceRevenueAll))</f>
        <v>0</v>
      </c>
      <c r="AF137" s="26">
        <f>IF(B137="","",ROUND(AC137*T137,2))</f>
        <v>0</v>
      </c>
      <c r="AG137" s="37">
        <f>IF(B137="","",ROUND(AC137*P137,1))</f>
        <v>0</v>
      </c>
      <c r="AH137" s="27">
        <f>IF(B137="","",IF(AB137=0,"",COUNTIFS(Sales!$I$5:$I$1204,A137,Sales!$AJ$5:$AJ$1204,"Yes")/AB137))</f>
        <v>0</v>
      </c>
      <c r="AI137" s="17">
        <f>IF(B137="","",IFERROR(IF(COUNTIFS(Appointments!$G$5:$G$1204,A137)=0,"",SUMPRODUCT(MAX((Appointments!$G$5:$G$1204=A137)*IFERROR(Appointments!$B$5:$B$1204*1,0)))),""))</f>
        <v>0</v>
      </c>
      <c r="AJ137" s="25">
        <f>IF(B137="","",COUNTIFS($AD$5:$AD$204,"&gt;"&amp;AD137)+COUNTIFS($AD$5:AD137,AD137))</f>
        <v>0</v>
      </c>
      <c r="AK137" s="25">
        <f>IF(B137="","",COUNTIFS($W$5:$W$204,"&gt;"&amp;W137)+COUNTIFS($W$5:W137,W137))</f>
        <v>0</v>
      </c>
      <c r="AL137" s="25">
        <f>IF(B137="","",COUNTIFS($AB$5:$AB$204,"&gt;"&amp;AB137)+COUNTIFS($AB$5:AB137,AB137))</f>
        <v>0</v>
      </c>
      <c r="AM137" s="39">
        <f>IF(B137="","",IF(G137="","Add - no price yet",IF(E137="","Add - how long does it take?",IF(T137&lt;0,"Loss - this service costs you money",IF(V137&lt;TargetChairRate*0.7,"Check - well under your chair rate",IF(IF(N137="",FALSE,TodayDate-N137&gt;PriceReviewDays),"Due - price has not been reviewed",IF(IF(M137="Active",AB137=0,FALSE),"Check - on the menu but never booked","OK")))))))</f>
        <v>0</v>
      </c>
    </row>
    <row r="138" spans="1:39">
      <c r="A138" s="28">
        <f>IF(B138="","",ServicePrefix&amp;TEXT(ROW()-4,"000"))</f>
        <v>0</v>
      </c>
      <c r="P138" s="42">
        <f>IF(B138="","",ROUND((IF(E138="",0,E138)+IF(F138="",0,F138))/60,3))</f>
        <v>0</v>
      </c>
      <c r="Q138" s="26">
        <f>IF(B138="","",IF(H138&lt;&gt;"",H138,IF(G138="",0,ROUND(G138*ProductCostPercent,2))))</f>
        <v>0</v>
      </c>
      <c r="R138" s="26">
        <f>IF(B138="","",IF(J138="No",0,IF(G138="",0,ROUND(G138*ServiceCommission,2))))</f>
        <v>0</v>
      </c>
      <c r="S138" s="26">
        <f>IF(B138="","",ROUND(Q138+R138,2))</f>
        <v>0</v>
      </c>
      <c r="T138" s="26">
        <f>IF(B138="","",IF(G138="","",ROUND(G138-S138,2)))</f>
        <v>0</v>
      </c>
      <c r="U138" s="27">
        <f>IF(B138="","",IF(G138="","",IF(G138=0,"",T138/G138)))</f>
        <v>0</v>
      </c>
      <c r="V138" s="26">
        <f>IF(B138="","",IF(G138="","",IF(P138=0,"",ROUND(G138/P138,2))))</f>
        <v>0</v>
      </c>
      <c r="W138" s="26">
        <f>IF(B138="","",IF(T138="","",IF(P138=0,"",ROUND(T138/P138,2))))</f>
        <v>0</v>
      </c>
      <c r="X138" s="26">
        <f>IF(B138="","",IF(P138=0,"",IF(ServiceCommission&gt;=1,"",(Q138+TargetChairRate*P138)/IF(J138="No",1,1-ServiceCommission))))</f>
        <v>0</v>
      </c>
      <c r="Y138" s="26">
        <f>IF(B138="","",IF(X138="","",ROUND(IF(RoundingRule="None",X138,IF(RoundingRule="Nearest 0.99",MAX(0.99,CEILING(X138,1)-0.01),IF(RoundingRule="Nearest 0.95",MAX(0.95,CEILING(X138,1)-0.05),IF(RoundingRule="Nearest 0.50",CEILING(X138,0.5),IF(RoundingRule="Nearest 1",CEILING(X138,1),IF(RoundingRule="Nearest 5",CEILING(X138,5),IF(RoundingRule="Up to whole 1",CEILING(X138,1),IF(RoundingRule="Up to whole 5",CEILING(X138,5),ROUND(X138,2))))))))),2)))</f>
        <v>0</v>
      </c>
      <c r="Z138" s="26">
        <f>IF(B138="","",IF(Y138="","",IF(G138="","",ROUND(G138-Y138,2))))</f>
        <v>0</v>
      </c>
      <c r="AA138" s="25">
        <f>IF(B138="","",COUNTIFS(Appointments!$G$5:$G$1204,A138))</f>
        <v>0</v>
      </c>
      <c r="AB138" s="25">
        <f>IF(B138="","",COUNTIFS(Appointments!$G$5:$G$1204,A138,Appointments!$M$5:$M$1204,"Completed"))</f>
        <v>0</v>
      </c>
      <c r="AC138" s="25">
        <f>IF(B138="","",SUMIFS(Sales!$K$5:$K$1204,Sales!$I$5:$I$1204,A138,Sales!$H$5:$H$1204,"Service"))</f>
        <v>0</v>
      </c>
      <c r="AD138" s="26">
        <f>IF(B138="","",ROUND(SUMIFS(Sales!$Y$5:$Y$1204,Sales!$I$5:$I$1204,A138,Sales!$H$5:$H$1204,"Service"),2))</f>
        <v>0</v>
      </c>
      <c r="AE138" s="27">
        <f>IF(B138="","",IF(ServiceRevenueAll=0,"",AD138/ServiceRevenueAll))</f>
        <v>0</v>
      </c>
      <c r="AF138" s="26">
        <f>IF(B138="","",ROUND(AC138*T138,2))</f>
        <v>0</v>
      </c>
      <c r="AG138" s="37">
        <f>IF(B138="","",ROUND(AC138*P138,1))</f>
        <v>0</v>
      </c>
      <c r="AH138" s="27">
        <f>IF(B138="","",IF(AB138=0,"",COUNTIFS(Sales!$I$5:$I$1204,A138,Sales!$AJ$5:$AJ$1204,"Yes")/AB138))</f>
        <v>0</v>
      </c>
      <c r="AI138" s="17">
        <f>IF(B138="","",IFERROR(IF(COUNTIFS(Appointments!$G$5:$G$1204,A138)=0,"",SUMPRODUCT(MAX((Appointments!$G$5:$G$1204=A138)*IFERROR(Appointments!$B$5:$B$1204*1,0)))),""))</f>
        <v>0</v>
      </c>
      <c r="AJ138" s="25">
        <f>IF(B138="","",COUNTIFS($AD$5:$AD$204,"&gt;"&amp;AD138)+COUNTIFS($AD$5:AD138,AD138))</f>
        <v>0</v>
      </c>
      <c r="AK138" s="25">
        <f>IF(B138="","",COUNTIFS($W$5:$W$204,"&gt;"&amp;W138)+COUNTIFS($W$5:W138,W138))</f>
        <v>0</v>
      </c>
      <c r="AL138" s="25">
        <f>IF(B138="","",COUNTIFS($AB$5:$AB$204,"&gt;"&amp;AB138)+COUNTIFS($AB$5:AB138,AB138))</f>
        <v>0</v>
      </c>
      <c r="AM138" s="39">
        <f>IF(B138="","",IF(G138="","Add - no price yet",IF(E138="","Add - how long does it take?",IF(T138&lt;0,"Loss - this service costs you money",IF(V138&lt;TargetChairRate*0.7,"Check - well under your chair rate",IF(IF(N138="",FALSE,TodayDate-N138&gt;PriceReviewDays),"Due - price has not been reviewed",IF(IF(M138="Active",AB138=0,FALSE),"Check - on the menu but never booked","OK")))))))</f>
        <v>0</v>
      </c>
    </row>
    <row r="139" spans="1:39">
      <c r="A139" s="28">
        <f>IF(B139="","",ServicePrefix&amp;TEXT(ROW()-4,"000"))</f>
        <v>0</v>
      </c>
      <c r="P139" s="42">
        <f>IF(B139="","",ROUND((IF(E139="",0,E139)+IF(F139="",0,F139))/60,3))</f>
        <v>0</v>
      </c>
      <c r="Q139" s="26">
        <f>IF(B139="","",IF(H139&lt;&gt;"",H139,IF(G139="",0,ROUND(G139*ProductCostPercent,2))))</f>
        <v>0</v>
      </c>
      <c r="R139" s="26">
        <f>IF(B139="","",IF(J139="No",0,IF(G139="",0,ROUND(G139*ServiceCommission,2))))</f>
        <v>0</v>
      </c>
      <c r="S139" s="26">
        <f>IF(B139="","",ROUND(Q139+R139,2))</f>
        <v>0</v>
      </c>
      <c r="T139" s="26">
        <f>IF(B139="","",IF(G139="","",ROUND(G139-S139,2)))</f>
        <v>0</v>
      </c>
      <c r="U139" s="27">
        <f>IF(B139="","",IF(G139="","",IF(G139=0,"",T139/G139)))</f>
        <v>0</v>
      </c>
      <c r="V139" s="26">
        <f>IF(B139="","",IF(G139="","",IF(P139=0,"",ROUND(G139/P139,2))))</f>
        <v>0</v>
      </c>
      <c r="W139" s="26">
        <f>IF(B139="","",IF(T139="","",IF(P139=0,"",ROUND(T139/P139,2))))</f>
        <v>0</v>
      </c>
      <c r="X139" s="26">
        <f>IF(B139="","",IF(P139=0,"",IF(ServiceCommission&gt;=1,"",(Q139+TargetChairRate*P139)/IF(J139="No",1,1-ServiceCommission))))</f>
        <v>0</v>
      </c>
      <c r="Y139" s="26">
        <f>IF(B139="","",IF(X139="","",ROUND(IF(RoundingRule="None",X139,IF(RoundingRule="Nearest 0.99",MAX(0.99,CEILING(X139,1)-0.01),IF(RoundingRule="Nearest 0.95",MAX(0.95,CEILING(X139,1)-0.05),IF(RoundingRule="Nearest 0.50",CEILING(X139,0.5),IF(RoundingRule="Nearest 1",CEILING(X139,1),IF(RoundingRule="Nearest 5",CEILING(X139,5),IF(RoundingRule="Up to whole 1",CEILING(X139,1),IF(RoundingRule="Up to whole 5",CEILING(X139,5),ROUND(X139,2))))))))),2)))</f>
        <v>0</v>
      </c>
      <c r="Z139" s="26">
        <f>IF(B139="","",IF(Y139="","",IF(G139="","",ROUND(G139-Y139,2))))</f>
        <v>0</v>
      </c>
      <c r="AA139" s="25">
        <f>IF(B139="","",COUNTIFS(Appointments!$G$5:$G$1204,A139))</f>
        <v>0</v>
      </c>
      <c r="AB139" s="25">
        <f>IF(B139="","",COUNTIFS(Appointments!$G$5:$G$1204,A139,Appointments!$M$5:$M$1204,"Completed"))</f>
        <v>0</v>
      </c>
      <c r="AC139" s="25">
        <f>IF(B139="","",SUMIFS(Sales!$K$5:$K$1204,Sales!$I$5:$I$1204,A139,Sales!$H$5:$H$1204,"Service"))</f>
        <v>0</v>
      </c>
      <c r="AD139" s="26">
        <f>IF(B139="","",ROUND(SUMIFS(Sales!$Y$5:$Y$1204,Sales!$I$5:$I$1204,A139,Sales!$H$5:$H$1204,"Service"),2))</f>
        <v>0</v>
      </c>
      <c r="AE139" s="27">
        <f>IF(B139="","",IF(ServiceRevenueAll=0,"",AD139/ServiceRevenueAll))</f>
        <v>0</v>
      </c>
      <c r="AF139" s="26">
        <f>IF(B139="","",ROUND(AC139*T139,2))</f>
        <v>0</v>
      </c>
      <c r="AG139" s="37">
        <f>IF(B139="","",ROUND(AC139*P139,1))</f>
        <v>0</v>
      </c>
      <c r="AH139" s="27">
        <f>IF(B139="","",IF(AB139=0,"",COUNTIFS(Sales!$I$5:$I$1204,A139,Sales!$AJ$5:$AJ$1204,"Yes")/AB139))</f>
        <v>0</v>
      </c>
      <c r="AI139" s="17">
        <f>IF(B139="","",IFERROR(IF(COUNTIFS(Appointments!$G$5:$G$1204,A139)=0,"",SUMPRODUCT(MAX((Appointments!$G$5:$G$1204=A139)*IFERROR(Appointments!$B$5:$B$1204*1,0)))),""))</f>
        <v>0</v>
      </c>
      <c r="AJ139" s="25">
        <f>IF(B139="","",COUNTIFS($AD$5:$AD$204,"&gt;"&amp;AD139)+COUNTIFS($AD$5:AD139,AD139))</f>
        <v>0</v>
      </c>
      <c r="AK139" s="25">
        <f>IF(B139="","",COUNTIFS($W$5:$W$204,"&gt;"&amp;W139)+COUNTIFS($W$5:W139,W139))</f>
        <v>0</v>
      </c>
      <c r="AL139" s="25">
        <f>IF(B139="","",COUNTIFS($AB$5:$AB$204,"&gt;"&amp;AB139)+COUNTIFS($AB$5:AB139,AB139))</f>
        <v>0</v>
      </c>
      <c r="AM139" s="39">
        <f>IF(B139="","",IF(G139="","Add - no price yet",IF(E139="","Add - how long does it take?",IF(T139&lt;0,"Loss - this service costs you money",IF(V139&lt;TargetChairRate*0.7,"Check - well under your chair rate",IF(IF(N139="",FALSE,TodayDate-N139&gt;PriceReviewDays),"Due - price has not been reviewed",IF(IF(M139="Active",AB139=0,FALSE),"Check - on the menu but never booked","OK")))))))</f>
        <v>0</v>
      </c>
    </row>
    <row r="140" spans="1:39">
      <c r="A140" s="28">
        <f>IF(B140="","",ServicePrefix&amp;TEXT(ROW()-4,"000"))</f>
        <v>0</v>
      </c>
      <c r="P140" s="42">
        <f>IF(B140="","",ROUND((IF(E140="",0,E140)+IF(F140="",0,F140))/60,3))</f>
        <v>0</v>
      </c>
      <c r="Q140" s="26">
        <f>IF(B140="","",IF(H140&lt;&gt;"",H140,IF(G140="",0,ROUND(G140*ProductCostPercent,2))))</f>
        <v>0</v>
      </c>
      <c r="R140" s="26">
        <f>IF(B140="","",IF(J140="No",0,IF(G140="",0,ROUND(G140*ServiceCommission,2))))</f>
        <v>0</v>
      </c>
      <c r="S140" s="26">
        <f>IF(B140="","",ROUND(Q140+R140,2))</f>
        <v>0</v>
      </c>
      <c r="T140" s="26">
        <f>IF(B140="","",IF(G140="","",ROUND(G140-S140,2)))</f>
        <v>0</v>
      </c>
      <c r="U140" s="27">
        <f>IF(B140="","",IF(G140="","",IF(G140=0,"",T140/G140)))</f>
        <v>0</v>
      </c>
      <c r="V140" s="26">
        <f>IF(B140="","",IF(G140="","",IF(P140=0,"",ROUND(G140/P140,2))))</f>
        <v>0</v>
      </c>
      <c r="W140" s="26">
        <f>IF(B140="","",IF(T140="","",IF(P140=0,"",ROUND(T140/P140,2))))</f>
        <v>0</v>
      </c>
      <c r="X140" s="26">
        <f>IF(B140="","",IF(P140=0,"",IF(ServiceCommission&gt;=1,"",(Q140+TargetChairRate*P140)/IF(J140="No",1,1-ServiceCommission))))</f>
        <v>0</v>
      </c>
      <c r="Y140" s="26">
        <f>IF(B140="","",IF(X140="","",ROUND(IF(RoundingRule="None",X140,IF(RoundingRule="Nearest 0.99",MAX(0.99,CEILING(X140,1)-0.01),IF(RoundingRule="Nearest 0.95",MAX(0.95,CEILING(X140,1)-0.05),IF(RoundingRule="Nearest 0.50",CEILING(X140,0.5),IF(RoundingRule="Nearest 1",CEILING(X140,1),IF(RoundingRule="Nearest 5",CEILING(X140,5),IF(RoundingRule="Up to whole 1",CEILING(X140,1),IF(RoundingRule="Up to whole 5",CEILING(X140,5),ROUND(X140,2))))))))),2)))</f>
        <v>0</v>
      </c>
      <c r="Z140" s="26">
        <f>IF(B140="","",IF(Y140="","",IF(G140="","",ROUND(G140-Y140,2))))</f>
        <v>0</v>
      </c>
      <c r="AA140" s="25">
        <f>IF(B140="","",COUNTIFS(Appointments!$G$5:$G$1204,A140))</f>
        <v>0</v>
      </c>
      <c r="AB140" s="25">
        <f>IF(B140="","",COUNTIFS(Appointments!$G$5:$G$1204,A140,Appointments!$M$5:$M$1204,"Completed"))</f>
        <v>0</v>
      </c>
      <c r="AC140" s="25">
        <f>IF(B140="","",SUMIFS(Sales!$K$5:$K$1204,Sales!$I$5:$I$1204,A140,Sales!$H$5:$H$1204,"Service"))</f>
        <v>0</v>
      </c>
      <c r="AD140" s="26">
        <f>IF(B140="","",ROUND(SUMIFS(Sales!$Y$5:$Y$1204,Sales!$I$5:$I$1204,A140,Sales!$H$5:$H$1204,"Service"),2))</f>
        <v>0</v>
      </c>
      <c r="AE140" s="27">
        <f>IF(B140="","",IF(ServiceRevenueAll=0,"",AD140/ServiceRevenueAll))</f>
        <v>0</v>
      </c>
      <c r="AF140" s="26">
        <f>IF(B140="","",ROUND(AC140*T140,2))</f>
        <v>0</v>
      </c>
      <c r="AG140" s="37">
        <f>IF(B140="","",ROUND(AC140*P140,1))</f>
        <v>0</v>
      </c>
      <c r="AH140" s="27">
        <f>IF(B140="","",IF(AB140=0,"",COUNTIFS(Sales!$I$5:$I$1204,A140,Sales!$AJ$5:$AJ$1204,"Yes")/AB140))</f>
        <v>0</v>
      </c>
      <c r="AI140" s="17">
        <f>IF(B140="","",IFERROR(IF(COUNTIFS(Appointments!$G$5:$G$1204,A140)=0,"",SUMPRODUCT(MAX((Appointments!$G$5:$G$1204=A140)*IFERROR(Appointments!$B$5:$B$1204*1,0)))),""))</f>
        <v>0</v>
      </c>
      <c r="AJ140" s="25">
        <f>IF(B140="","",COUNTIFS($AD$5:$AD$204,"&gt;"&amp;AD140)+COUNTIFS($AD$5:AD140,AD140))</f>
        <v>0</v>
      </c>
      <c r="AK140" s="25">
        <f>IF(B140="","",COUNTIFS($W$5:$W$204,"&gt;"&amp;W140)+COUNTIFS($W$5:W140,W140))</f>
        <v>0</v>
      </c>
      <c r="AL140" s="25">
        <f>IF(B140="","",COUNTIFS($AB$5:$AB$204,"&gt;"&amp;AB140)+COUNTIFS($AB$5:AB140,AB140))</f>
        <v>0</v>
      </c>
      <c r="AM140" s="39">
        <f>IF(B140="","",IF(G140="","Add - no price yet",IF(E140="","Add - how long does it take?",IF(T140&lt;0,"Loss - this service costs you money",IF(V140&lt;TargetChairRate*0.7,"Check - well under your chair rate",IF(IF(N140="",FALSE,TodayDate-N140&gt;PriceReviewDays),"Due - price has not been reviewed",IF(IF(M140="Active",AB140=0,FALSE),"Check - on the menu but never booked","OK")))))))</f>
        <v>0</v>
      </c>
    </row>
    <row r="141" spans="1:39">
      <c r="A141" s="28">
        <f>IF(B141="","",ServicePrefix&amp;TEXT(ROW()-4,"000"))</f>
        <v>0</v>
      </c>
      <c r="P141" s="42">
        <f>IF(B141="","",ROUND((IF(E141="",0,E141)+IF(F141="",0,F141))/60,3))</f>
        <v>0</v>
      </c>
      <c r="Q141" s="26">
        <f>IF(B141="","",IF(H141&lt;&gt;"",H141,IF(G141="",0,ROUND(G141*ProductCostPercent,2))))</f>
        <v>0</v>
      </c>
      <c r="R141" s="26">
        <f>IF(B141="","",IF(J141="No",0,IF(G141="",0,ROUND(G141*ServiceCommission,2))))</f>
        <v>0</v>
      </c>
      <c r="S141" s="26">
        <f>IF(B141="","",ROUND(Q141+R141,2))</f>
        <v>0</v>
      </c>
      <c r="T141" s="26">
        <f>IF(B141="","",IF(G141="","",ROUND(G141-S141,2)))</f>
        <v>0</v>
      </c>
      <c r="U141" s="27">
        <f>IF(B141="","",IF(G141="","",IF(G141=0,"",T141/G141)))</f>
        <v>0</v>
      </c>
      <c r="V141" s="26">
        <f>IF(B141="","",IF(G141="","",IF(P141=0,"",ROUND(G141/P141,2))))</f>
        <v>0</v>
      </c>
      <c r="W141" s="26">
        <f>IF(B141="","",IF(T141="","",IF(P141=0,"",ROUND(T141/P141,2))))</f>
        <v>0</v>
      </c>
      <c r="X141" s="26">
        <f>IF(B141="","",IF(P141=0,"",IF(ServiceCommission&gt;=1,"",(Q141+TargetChairRate*P141)/IF(J141="No",1,1-ServiceCommission))))</f>
        <v>0</v>
      </c>
      <c r="Y141" s="26">
        <f>IF(B141="","",IF(X141="","",ROUND(IF(RoundingRule="None",X141,IF(RoundingRule="Nearest 0.99",MAX(0.99,CEILING(X141,1)-0.01),IF(RoundingRule="Nearest 0.95",MAX(0.95,CEILING(X141,1)-0.05),IF(RoundingRule="Nearest 0.50",CEILING(X141,0.5),IF(RoundingRule="Nearest 1",CEILING(X141,1),IF(RoundingRule="Nearest 5",CEILING(X141,5),IF(RoundingRule="Up to whole 1",CEILING(X141,1),IF(RoundingRule="Up to whole 5",CEILING(X141,5),ROUND(X141,2))))))))),2)))</f>
        <v>0</v>
      </c>
      <c r="Z141" s="26">
        <f>IF(B141="","",IF(Y141="","",IF(G141="","",ROUND(G141-Y141,2))))</f>
        <v>0</v>
      </c>
      <c r="AA141" s="25">
        <f>IF(B141="","",COUNTIFS(Appointments!$G$5:$G$1204,A141))</f>
        <v>0</v>
      </c>
      <c r="AB141" s="25">
        <f>IF(B141="","",COUNTIFS(Appointments!$G$5:$G$1204,A141,Appointments!$M$5:$M$1204,"Completed"))</f>
        <v>0</v>
      </c>
      <c r="AC141" s="25">
        <f>IF(B141="","",SUMIFS(Sales!$K$5:$K$1204,Sales!$I$5:$I$1204,A141,Sales!$H$5:$H$1204,"Service"))</f>
        <v>0</v>
      </c>
      <c r="AD141" s="26">
        <f>IF(B141="","",ROUND(SUMIFS(Sales!$Y$5:$Y$1204,Sales!$I$5:$I$1204,A141,Sales!$H$5:$H$1204,"Service"),2))</f>
        <v>0</v>
      </c>
      <c r="AE141" s="27">
        <f>IF(B141="","",IF(ServiceRevenueAll=0,"",AD141/ServiceRevenueAll))</f>
        <v>0</v>
      </c>
      <c r="AF141" s="26">
        <f>IF(B141="","",ROUND(AC141*T141,2))</f>
        <v>0</v>
      </c>
      <c r="AG141" s="37">
        <f>IF(B141="","",ROUND(AC141*P141,1))</f>
        <v>0</v>
      </c>
      <c r="AH141" s="27">
        <f>IF(B141="","",IF(AB141=0,"",COUNTIFS(Sales!$I$5:$I$1204,A141,Sales!$AJ$5:$AJ$1204,"Yes")/AB141))</f>
        <v>0</v>
      </c>
      <c r="AI141" s="17">
        <f>IF(B141="","",IFERROR(IF(COUNTIFS(Appointments!$G$5:$G$1204,A141)=0,"",SUMPRODUCT(MAX((Appointments!$G$5:$G$1204=A141)*IFERROR(Appointments!$B$5:$B$1204*1,0)))),""))</f>
        <v>0</v>
      </c>
      <c r="AJ141" s="25">
        <f>IF(B141="","",COUNTIFS($AD$5:$AD$204,"&gt;"&amp;AD141)+COUNTIFS($AD$5:AD141,AD141))</f>
        <v>0</v>
      </c>
      <c r="AK141" s="25">
        <f>IF(B141="","",COUNTIFS($W$5:$W$204,"&gt;"&amp;W141)+COUNTIFS($W$5:W141,W141))</f>
        <v>0</v>
      </c>
      <c r="AL141" s="25">
        <f>IF(B141="","",COUNTIFS($AB$5:$AB$204,"&gt;"&amp;AB141)+COUNTIFS($AB$5:AB141,AB141))</f>
        <v>0</v>
      </c>
      <c r="AM141" s="39">
        <f>IF(B141="","",IF(G141="","Add - no price yet",IF(E141="","Add - how long does it take?",IF(T141&lt;0,"Loss - this service costs you money",IF(V141&lt;TargetChairRate*0.7,"Check - well under your chair rate",IF(IF(N141="",FALSE,TodayDate-N141&gt;PriceReviewDays),"Due - price has not been reviewed",IF(IF(M141="Active",AB141=0,FALSE),"Check - on the menu but never booked","OK")))))))</f>
        <v>0</v>
      </c>
    </row>
    <row r="142" spans="1:39">
      <c r="A142" s="28">
        <f>IF(B142="","",ServicePrefix&amp;TEXT(ROW()-4,"000"))</f>
        <v>0</v>
      </c>
      <c r="P142" s="42">
        <f>IF(B142="","",ROUND((IF(E142="",0,E142)+IF(F142="",0,F142))/60,3))</f>
        <v>0</v>
      </c>
      <c r="Q142" s="26">
        <f>IF(B142="","",IF(H142&lt;&gt;"",H142,IF(G142="",0,ROUND(G142*ProductCostPercent,2))))</f>
        <v>0</v>
      </c>
      <c r="R142" s="26">
        <f>IF(B142="","",IF(J142="No",0,IF(G142="",0,ROUND(G142*ServiceCommission,2))))</f>
        <v>0</v>
      </c>
      <c r="S142" s="26">
        <f>IF(B142="","",ROUND(Q142+R142,2))</f>
        <v>0</v>
      </c>
      <c r="T142" s="26">
        <f>IF(B142="","",IF(G142="","",ROUND(G142-S142,2)))</f>
        <v>0</v>
      </c>
      <c r="U142" s="27">
        <f>IF(B142="","",IF(G142="","",IF(G142=0,"",T142/G142)))</f>
        <v>0</v>
      </c>
      <c r="V142" s="26">
        <f>IF(B142="","",IF(G142="","",IF(P142=0,"",ROUND(G142/P142,2))))</f>
        <v>0</v>
      </c>
      <c r="W142" s="26">
        <f>IF(B142="","",IF(T142="","",IF(P142=0,"",ROUND(T142/P142,2))))</f>
        <v>0</v>
      </c>
      <c r="X142" s="26">
        <f>IF(B142="","",IF(P142=0,"",IF(ServiceCommission&gt;=1,"",(Q142+TargetChairRate*P142)/IF(J142="No",1,1-ServiceCommission))))</f>
        <v>0</v>
      </c>
      <c r="Y142" s="26">
        <f>IF(B142="","",IF(X142="","",ROUND(IF(RoundingRule="None",X142,IF(RoundingRule="Nearest 0.99",MAX(0.99,CEILING(X142,1)-0.01),IF(RoundingRule="Nearest 0.95",MAX(0.95,CEILING(X142,1)-0.05),IF(RoundingRule="Nearest 0.50",CEILING(X142,0.5),IF(RoundingRule="Nearest 1",CEILING(X142,1),IF(RoundingRule="Nearest 5",CEILING(X142,5),IF(RoundingRule="Up to whole 1",CEILING(X142,1),IF(RoundingRule="Up to whole 5",CEILING(X142,5),ROUND(X142,2))))))))),2)))</f>
        <v>0</v>
      </c>
      <c r="Z142" s="26">
        <f>IF(B142="","",IF(Y142="","",IF(G142="","",ROUND(G142-Y142,2))))</f>
        <v>0</v>
      </c>
      <c r="AA142" s="25">
        <f>IF(B142="","",COUNTIFS(Appointments!$G$5:$G$1204,A142))</f>
        <v>0</v>
      </c>
      <c r="AB142" s="25">
        <f>IF(B142="","",COUNTIFS(Appointments!$G$5:$G$1204,A142,Appointments!$M$5:$M$1204,"Completed"))</f>
        <v>0</v>
      </c>
      <c r="AC142" s="25">
        <f>IF(B142="","",SUMIFS(Sales!$K$5:$K$1204,Sales!$I$5:$I$1204,A142,Sales!$H$5:$H$1204,"Service"))</f>
        <v>0</v>
      </c>
      <c r="AD142" s="26">
        <f>IF(B142="","",ROUND(SUMIFS(Sales!$Y$5:$Y$1204,Sales!$I$5:$I$1204,A142,Sales!$H$5:$H$1204,"Service"),2))</f>
        <v>0</v>
      </c>
      <c r="AE142" s="27">
        <f>IF(B142="","",IF(ServiceRevenueAll=0,"",AD142/ServiceRevenueAll))</f>
        <v>0</v>
      </c>
      <c r="AF142" s="26">
        <f>IF(B142="","",ROUND(AC142*T142,2))</f>
        <v>0</v>
      </c>
      <c r="AG142" s="37">
        <f>IF(B142="","",ROUND(AC142*P142,1))</f>
        <v>0</v>
      </c>
      <c r="AH142" s="27">
        <f>IF(B142="","",IF(AB142=0,"",COUNTIFS(Sales!$I$5:$I$1204,A142,Sales!$AJ$5:$AJ$1204,"Yes")/AB142))</f>
        <v>0</v>
      </c>
      <c r="AI142" s="17">
        <f>IF(B142="","",IFERROR(IF(COUNTIFS(Appointments!$G$5:$G$1204,A142)=0,"",SUMPRODUCT(MAX((Appointments!$G$5:$G$1204=A142)*IFERROR(Appointments!$B$5:$B$1204*1,0)))),""))</f>
        <v>0</v>
      </c>
      <c r="AJ142" s="25">
        <f>IF(B142="","",COUNTIFS($AD$5:$AD$204,"&gt;"&amp;AD142)+COUNTIFS($AD$5:AD142,AD142))</f>
        <v>0</v>
      </c>
      <c r="AK142" s="25">
        <f>IF(B142="","",COUNTIFS($W$5:$W$204,"&gt;"&amp;W142)+COUNTIFS($W$5:W142,W142))</f>
        <v>0</v>
      </c>
      <c r="AL142" s="25">
        <f>IF(B142="","",COUNTIFS($AB$5:$AB$204,"&gt;"&amp;AB142)+COUNTIFS($AB$5:AB142,AB142))</f>
        <v>0</v>
      </c>
      <c r="AM142" s="39">
        <f>IF(B142="","",IF(G142="","Add - no price yet",IF(E142="","Add - how long does it take?",IF(T142&lt;0,"Loss - this service costs you money",IF(V142&lt;TargetChairRate*0.7,"Check - well under your chair rate",IF(IF(N142="",FALSE,TodayDate-N142&gt;PriceReviewDays),"Due - price has not been reviewed",IF(IF(M142="Active",AB142=0,FALSE),"Check - on the menu but never booked","OK")))))))</f>
        <v>0</v>
      </c>
    </row>
    <row r="143" spans="1:39">
      <c r="A143" s="28">
        <f>IF(B143="","",ServicePrefix&amp;TEXT(ROW()-4,"000"))</f>
        <v>0</v>
      </c>
      <c r="P143" s="42">
        <f>IF(B143="","",ROUND((IF(E143="",0,E143)+IF(F143="",0,F143))/60,3))</f>
        <v>0</v>
      </c>
      <c r="Q143" s="26">
        <f>IF(B143="","",IF(H143&lt;&gt;"",H143,IF(G143="",0,ROUND(G143*ProductCostPercent,2))))</f>
        <v>0</v>
      </c>
      <c r="R143" s="26">
        <f>IF(B143="","",IF(J143="No",0,IF(G143="",0,ROUND(G143*ServiceCommission,2))))</f>
        <v>0</v>
      </c>
      <c r="S143" s="26">
        <f>IF(B143="","",ROUND(Q143+R143,2))</f>
        <v>0</v>
      </c>
      <c r="T143" s="26">
        <f>IF(B143="","",IF(G143="","",ROUND(G143-S143,2)))</f>
        <v>0</v>
      </c>
      <c r="U143" s="27">
        <f>IF(B143="","",IF(G143="","",IF(G143=0,"",T143/G143)))</f>
        <v>0</v>
      </c>
      <c r="V143" s="26">
        <f>IF(B143="","",IF(G143="","",IF(P143=0,"",ROUND(G143/P143,2))))</f>
        <v>0</v>
      </c>
      <c r="W143" s="26">
        <f>IF(B143="","",IF(T143="","",IF(P143=0,"",ROUND(T143/P143,2))))</f>
        <v>0</v>
      </c>
      <c r="X143" s="26">
        <f>IF(B143="","",IF(P143=0,"",IF(ServiceCommission&gt;=1,"",(Q143+TargetChairRate*P143)/IF(J143="No",1,1-ServiceCommission))))</f>
        <v>0</v>
      </c>
      <c r="Y143" s="26">
        <f>IF(B143="","",IF(X143="","",ROUND(IF(RoundingRule="None",X143,IF(RoundingRule="Nearest 0.99",MAX(0.99,CEILING(X143,1)-0.01),IF(RoundingRule="Nearest 0.95",MAX(0.95,CEILING(X143,1)-0.05),IF(RoundingRule="Nearest 0.50",CEILING(X143,0.5),IF(RoundingRule="Nearest 1",CEILING(X143,1),IF(RoundingRule="Nearest 5",CEILING(X143,5),IF(RoundingRule="Up to whole 1",CEILING(X143,1),IF(RoundingRule="Up to whole 5",CEILING(X143,5),ROUND(X143,2))))))))),2)))</f>
        <v>0</v>
      </c>
      <c r="Z143" s="26">
        <f>IF(B143="","",IF(Y143="","",IF(G143="","",ROUND(G143-Y143,2))))</f>
        <v>0</v>
      </c>
      <c r="AA143" s="25">
        <f>IF(B143="","",COUNTIFS(Appointments!$G$5:$G$1204,A143))</f>
        <v>0</v>
      </c>
      <c r="AB143" s="25">
        <f>IF(B143="","",COUNTIFS(Appointments!$G$5:$G$1204,A143,Appointments!$M$5:$M$1204,"Completed"))</f>
        <v>0</v>
      </c>
      <c r="AC143" s="25">
        <f>IF(B143="","",SUMIFS(Sales!$K$5:$K$1204,Sales!$I$5:$I$1204,A143,Sales!$H$5:$H$1204,"Service"))</f>
        <v>0</v>
      </c>
      <c r="AD143" s="26">
        <f>IF(B143="","",ROUND(SUMIFS(Sales!$Y$5:$Y$1204,Sales!$I$5:$I$1204,A143,Sales!$H$5:$H$1204,"Service"),2))</f>
        <v>0</v>
      </c>
      <c r="AE143" s="27">
        <f>IF(B143="","",IF(ServiceRevenueAll=0,"",AD143/ServiceRevenueAll))</f>
        <v>0</v>
      </c>
      <c r="AF143" s="26">
        <f>IF(B143="","",ROUND(AC143*T143,2))</f>
        <v>0</v>
      </c>
      <c r="AG143" s="37">
        <f>IF(B143="","",ROUND(AC143*P143,1))</f>
        <v>0</v>
      </c>
      <c r="AH143" s="27">
        <f>IF(B143="","",IF(AB143=0,"",COUNTIFS(Sales!$I$5:$I$1204,A143,Sales!$AJ$5:$AJ$1204,"Yes")/AB143))</f>
        <v>0</v>
      </c>
      <c r="AI143" s="17">
        <f>IF(B143="","",IFERROR(IF(COUNTIFS(Appointments!$G$5:$G$1204,A143)=0,"",SUMPRODUCT(MAX((Appointments!$G$5:$G$1204=A143)*IFERROR(Appointments!$B$5:$B$1204*1,0)))),""))</f>
        <v>0</v>
      </c>
      <c r="AJ143" s="25">
        <f>IF(B143="","",COUNTIFS($AD$5:$AD$204,"&gt;"&amp;AD143)+COUNTIFS($AD$5:AD143,AD143))</f>
        <v>0</v>
      </c>
      <c r="AK143" s="25">
        <f>IF(B143="","",COUNTIFS($W$5:$W$204,"&gt;"&amp;W143)+COUNTIFS($W$5:W143,W143))</f>
        <v>0</v>
      </c>
      <c r="AL143" s="25">
        <f>IF(B143="","",COUNTIFS($AB$5:$AB$204,"&gt;"&amp;AB143)+COUNTIFS($AB$5:AB143,AB143))</f>
        <v>0</v>
      </c>
      <c r="AM143" s="39">
        <f>IF(B143="","",IF(G143="","Add - no price yet",IF(E143="","Add - how long does it take?",IF(T143&lt;0,"Loss - this service costs you money",IF(V143&lt;TargetChairRate*0.7,"Check - well under your chair rate",IF(IF(N143="",FALSE,TodayDate-N143&gt;PriceReviewDays),"Due - price has not been reviewed",IF(IF(M143="Active",AB143=0,FALSE),"Check - on the menu but never booked","OK")))))))</f>
        <v>0</v>
      </c>
    </row>
    <row r="144" spans="1:39">
      <c r="A144" s="28">
        <f>IF(B144="","",ServicePrefix&amp;TEXT(ROW()-4,"000"))</f>
        <v>0</v>
      </c>
      <c r="P144" s="42">
        <f>IF(B144="","",ROUND((IF(E144="",0,E144)+IF(F144="",0,F144))/60,3))</f>
        <v>0</v>
      </c>
      <c r="Q144" s="26">
        <f>IF(B144="","",IF(H144&lt;&gt;"",H144,IF(G144="",0,ROUND(G144*ProductCostPercent,2))))</f>
        <v>0</v>
      </c>
      <c r="R144" s="26">
        <f>IF(B144="","",IF(J144="No",0,IF(G144="",0,ROUND(G144*ServiceCommission,2))))</f>
        <v>0</v>
      </c>
      <c r="S144" s="26">
        <f>IF(B144="","",ROUND(Q144+R144,2))</f>
        <v>0</v>
      </c>
      <c r="T144" s="26">
        <f>IF(B144="","",IF(G144="","",ROUND(G144-S144,2)))</f>
        <v>0</v>
      </c>
      <c r="U144" s="27">
        <f>IF(B144="","",IF(G144="","",IF(G144=0,"",T144/G144)))</f>
        <v>0</v>
      </c>
      <c r="V144" s="26">
        <f>IF(B144="","",IF(G144="","",IF(P144=0,"",ROUND(G144/P144,2))))</f>
        <v>0</v>
      </c>
      <c r="W144" s="26">
        <f>IF(B144="","",IF(T144="","",IF(P144=0,"",ROUND(T144/P144,2))))</f>
        <v>0</v>
      </c>
      <c r="X144" s="26">
        <f>IF(B144="","",IF(P144=0,"",IF(ServiceCommission&gt;=1,"",(Q144+TargetChairRate*P144)/IF(J144="No",1,1-ServiceCommission))))</f>
        <v>0</v>
      </c>
      <c r="Y144" s="26">
        <f>IF(B144="","",IF(X144="","",ROUND(IF(RoundingRule="None",X144,IF(RoundingRule="Nearest 0.99",MAX(0.99,CEILING(X144,1)-0.01),IF(RoundingRule="Nearest 0.95",MAX(0.95,CEILING(X144,1)-0.05),IF(RoundingRule="Nearest 0.50",CEILING(X144,0.5),IF(RoundingRule="Nearest 1",CEILING(X144,1),IF(RoundingRule="Nearest 5",CEILING(X144,5),IF(RoundingRule="Up to whole 1",CEILING(X144,1),IF(RoundingRule="Up to whole 5",CEILING(X144,5),ROUND(X144,2))))))))),2)))</f>
        <v>0</v>
      </c>
      <c r="Z144" s="26">
        <f>IF(B144="","",IF(Y144="","",IF(G144="","",ROUND(G144-Y144,2))))</f>
        <v>0</v>
      </c>
      <c r="AA144" s="25">
        <f>IF(B144="","",COUNTIFS(Appointments!$G$5:$G$1204,A144))</f>
        <v>0</v>
      </c>
      <c r="AB144" s="25">
        <f>IF(B144="","",COUNTIFS(Appointments!$G$5:$G$1204,A144,Appointments!$M$5:$M$1204,"Completed"))</f>
        <v>0</v>
      </c>
      <c r="AC144" s="25">
        <f>IF(B144="","",SUMIFS(Sales!$K$5:$K$1204,Sales!$I$5:$I$1204,A144,Sales!$H$5:$H$1204,"Service"))</f>
        <v>0</v>
      </c>
      <c r="AD144" s="26">
        <f>IF(B144="","",ROUND(SUMIFS(Sales!$Y$5:$Y$1204,Sales!$I$5:$I$1204,A144,Sales!$H$5:$H$1204,"Service"),2))</f>
        <v>0</v>
      </c>
      <c r="AE144" s="27">
        <f>IF(B144="","",IF(ServiceRevenueAll=0,"",AD144/ServiceRevenueAll))</f>
        <v>0</v>
      </c>
      <c r="AF144" s="26">
        <f>IF(B144="","",ROUND(AC144*T144,2))</f>
        <v>0</v>
      </c>
      <c r="AG144" s="37">
        <f>IF(B144="","",ROUND(AC144*P144,1))</f>
        <v>0</v>
      </c>
      <c r="AH144" s="27">
        <f>IF(B144="","",IF(AB144=0,"",COUNTIFS(Sales!$I$5:$I$1204,A144,Sales!$AJ$5:$AJ$1204,"Yes")/AB144))</f>
        <v>0</v>
      </c>
      <c r="AI144" s="17">
        <f>IF(B144="","",IFERROR(IF(COUNTIFS(Appointments!$G$5:$G$1204,A144)=0,"",SUMPRODUCT(MAX((Appointments!$G$5:$G$1204=A144)*IFERROR(Appointments!$B$5:$B$1204*1,0)))),""))</f>
        <v>0</v>
      </c>
      <c r="AJ144" s="25">
        <f>IF(B144="","",COUNTIFS($AD$5:$AD$204,"&gt;"&amp;AD144)+COUNTIFS($AD$5:AD144,AD144))</f>
        <v>0</v>
      </c>
      <c r="AK144" s="25">
        <f>IF(B144="","",COUNTIFS($W$5:$W$204,"&gt;"&amp;W144)+COUNTIFS($W$5:W144,W144))</f>
        <v>0</v>
      </c>
      <c r="AL144" s="25">
        <f>IF(B144="","",COUNTIFS($AB$5:$AB$204,"&gt;"&amp;AB144)+COUNTIFS($AB$5:AB144,AB144))</f>
        <v>0</v>
      </c>
      <c r="AM144" s="39">
        <f>IF(B144="","",IF(G144="","Add - no price yet",IF(E144="","Add - how long does it take?",IF(T144&lt;0,"Loss - this service costs you money",IF(V144&lt;TargetChairRate*0.7,"Check - well under your chair rate",IF(IF(N144="",FALSE,TodayDate-N144&gt;PriceReviewDays),"Due - price has not been reviewed",IF(IF(M144="Active",AB144=0,FALSE),"Check - on the menu but never booked","OK")))))))</f>
        <v>0</v>
      </c>
    </row>
    <row r="145" spans="1:39">
      <c r="A145" s="28">
        <f>IF(B145="","",ServicePrefix&amp;TEXT(ROW()-4,"000"))</f>
        <v>0</v>
      </c>
      <c r="P145" s="42">
        <f>IF(B145="","",ROUND((IF(E145="",0,E145)+IF(F145="",0,F145))/60,3))</f>
        <v>0</v>
      </c>
      <c r="Q145" s="26">
        <f>IF(B145="","",IF(H145&lt;&gt;"",H145,IF(G145="",0,ROUND(G145*ProductCostPercent,2))))</f>
        <v>0</v>
      </c>
      <c r="R145" s="26">
        <f>IF(B145="","",IF(J145="No",0,IF(G145="",0,ROUND(G145*ServiceCommission,2))))</f>
        <v>0</v>
      </c>
      <c r="S145" s="26">
        <f>IF(B145="","",ROUND(Q145+R145,2))</f>
        <v>0</v>
      </c>
      <c r="T145" s="26">
        <f>IF(B145="","",IF(G145="","",ROUND(G145-S145,2)))</f>
        <v>0</v>
      </c>
      <c r="U145" s="27">
        <f>IF(B145="","",IF(G145="","",IF(G145=0,"",T145/G145)))</f>
        <v>0</v>
      </c>
      <c r="V145" s="26">
        <f>IF(B145="","",IF(G145="","",IF(P145=0,"",ROUND(G145/P145,2))))</f>
        <v>0</v>
      </c>
      <c r="W145" s="26">
        <f>IF(B145="","",IF(T145="","",IF(P145=0,"",ROUND(T145/P145,2))))</f>
        <v>0</v>
      </c>
      <c r="X145" s="26">
        <f>IF(B145="","",IF(P145=0,"",IF(ServiceCommission&gt;=1,"",(Q145+TargetChairRate*P145)/IF(J145="No",1,1-ServiceCommission))))</f>
        <v>0</v>
      </c>
      <c r="Y145" s="26">
        <f>IF(B145="","",IF(X145="","",ROUND(IF(RoundingRule="None",X145,IF(RoundingRule="Nearest 0.99",MAX(0.99,CEILING(X145,1)-0.01),IF(RoundingRule="Nearest 0.95",MAX(0.95,CEILING(X145,1)-0.05),IF(RoundingRule="Nearest 0.50",CEILING(X145,0.5),IF(RoundingRule="Nearest 1",CEILING(X145,1),IF(RoundingRule="Nearest 5",CEILING(X145,5),IF(RoundingRule="Up to whole 1",CEILING(X145,1),IF(RoundingRule="Up to whole 5",CEILING(X145,5),ROUND(X145,2))))))))),2)))</f>
        <v>0</v>
      </c>
      <c r="Z145" s="26">
        <f>IF(B145="","",IF(Y145="","",IF(G145="","",ROUND(G145-Y145,2))))</f>
        <v>0</v>
      </c>
      <c r="AA145" s="25">
        <f>IF(B145="","",COUNTIFS(Appointments!$G$5:$G$1204,A145))</f>
        <v>0</v>
      </c>
      <c r="AB145" s="25">
        <f>IF(B145="","",COUNTIFS(Appointments!$G$5:$G$1204,A145,Appointments!$M$5:$M$1204,"Completed"))</f>
        <v>0</v>
      </c>
      <c r="AC145" s="25">
        <f>IF(B145="","",SUMIFS(Sales!$K$5:$K$1204,Sales!$I$5:$I$1204,A145,Sales!$H$5:$H$1204,"Service"))</f>
        <v>0</v>
      </c>
      <c r="AD145" s="26">
        <f>IF(B145="","",ROUND(SUMIFS(Sales!$Y$5:$Y$1204,Sales!$I$5:$I$1204,A145,Sales!$H$5:$H$1204,"Service"),2))</f>
        <v>0</v>
      </c>
      <c r="AE145" s="27">
        <f>IF(B145="","",IF(ServiceRevenueAll=0,"",AD145/ServiceRevenueAll))</f>
        <v>0</v>
      </c>
      <c r="AF145" s="26">
        <f>IF(B145="","",ROUND(AC145*T145,2))</f>
        <v>0</v>
      </c>
      <c r="AG145" s="37">
        <f>IF(B145="","",ROUND(AC145*P145,1))</f>
        <v>0</v>
      </c>
      <c r="AH145" s="27">
        <f>IF(B145="","",IF(AB145=0,"",COUNTIFS(Sales!$I$5:$I$1204,A145,Sales!$AJ$5:$AJ$1204,"Yes")/AB145))</f>
        <v>0</v>
      </c>
      <c r="AI145" s="17">
        <f>IF(B145="","",IFERROR(IF(COUNTIFS(Appointments!$G$5:$G$1204,A145)=0,"",SUMPRODUCT(MAX((Appointments!$G$5:$G$1204=A145)*IFERROR(Appointments!$B$5:$B$1204*1,0)))),""))</f>
        <v>0</v>
      </c>
      <c r="AJ145" s="25">
        <f>IF(B145="","",COUNTIFS($AD$5:$AD$204,"&gt;"&amp;AD145)+COUNTIFS($AD$5:AD145,AD145))</f>
        <v>0</v>
      </c>
      <c r="AK145" s="25">
        <f>IF(B145="","",COUNTIFS($W$5:$W$204,"&gt;"&amp;W145)+COUNTIFS($W$5:W145,W145))</f>
        <v>0</v>
      </c>
      <c r="AL145" s="25">
        <f>IF(B145="","",COUNTIFS($AB$5:$AB$204,"&gt;"&amp;AB145)+COUNTIFS($AB$5:AB145,AB145))</f>
        <v>0</v>
      </c>
      <c r="AM145" s="39">
        <f>IF(B145="","",IF(G145="","Add - no price yet",IF(E145="","Add - how long does it take?",IF(T145&lt;0,"Loss - this service costs you money",IF(V145&lt;TargetChairRate*0.7,"Check - well under your chair rate",IF(IF(N145="",FALSE,TodayDate-N145&gt;PriceReviewDays),"Due - price has not been reviewed",IF(IF(M145="Active",AB145=0,FALSE),"Check - on the menu but never booked","OK")))))))</f>
        <v>0</v>
      </c>
    </row>
    <row r="146" spans="1:39">
      <c r="A146" s="28">
        <f>IF(B146="","",ServicePrefix&amp;TEXT(ROW()-4,"000"))</f>
        <v>0</v>
      </c>
      <c r="P146" s="42">
        <f>IF(B146="","",ROUND((IF(E146="",0,E146)+IF(F146="",0,F146))/60,3))</f>
        <v>0</v>
      </c>
      <c r="Q146" s="26">
        <f>IF(B146="","",IF(H146&lt;&gt;"",H146,IF(G146="",0,ROUND(G146*ProductCostPercent,2))))</f>
        <v>0</v>
      </c>
      <c r="R146" s="26">
        <f>IF(B146="","",IF(J146="No",0,IF(G146="",0,ROUND(G146*ServiceCommission,2))))</f>
        <v>0</v>
      </c>
      <c r="S146" s="26">
        <f>IF(B146="","",ROUND(Q146+R146,2))</f>
        <v>0</v>
      </c>
      <c r="T146" s="26">
        <f>IF(B146="","",IF(G146="","",ROUND(G146-S146,2)))</f>
        <v>0</v>
      </c>
      <c r="U146" s="27">
        <f>IF(B146="","",IF(G146="","",IF(G146=0,"",T146/G146)))</f>
        <v>0</v>
      </c>
      <c r="V146" s="26">
        <f>IF(B146="","",IF(G146="","",IF(P146=0,"",ROUND(G146/P146,2))))</f>
        <v>0</v>
      </c>
      <c r="W146" s="26">
        <f>IF(B146="","",IF(T146="","",IF(P146=0,"",ROUND(T146/P146,2))))</f>
        <v>0</v>
      </c>
      <c r="X146" s="26">
        <f>IF(B146="","",IF(P146=0,"",IF(ServiceCommission&gt;=1,"",(Q146+TargetChairRate*P146)/IF(J146="No",1,1-ServiceCommission))))</f>
        <v>0</v>
      </c>
      <c r="Y146" s="26">
        <f>IF(B146="","",IF(X146="","",ROUND(IF(RoundingRule="None",X146,IF(RoundingRule="Nearest 0.99",MAX(0.99,CEILING(X146,1)-0.01),IF(RoundingRule="Nearest 0.95",MAX(0.95,CEILING(X146,1)-0.05),IF(RoundingRule="Nearest 0.50",CEILING(X146,0.5),IF(RoundingRule="Nearest 1",CEILING(X146,1),IF(RoundingRule="Nearest 5",CEILING(X146,5),IF(RoundingRule="Up to whole 1",CEILING(X146,1),IF(RoundingRule="Up to whole 5",CEILING(X146,5),ROUND(X146,2))))))))),2)))</f>
        <v>0</v>
      </c>
      <c r="Z146" s="26">
        <f>IF(B146="","",IF(Y146="","",IF(G146="","",ROUND(G146-Y146,2))))</f>
        <v>0</v>
      </c>
      <c r="AA146" s="25">
        <f>IF(B146="","",COUNTIFS(Appointments!$G$5:$G$1204,A146))</f>
        <v>0</v>
      </c>
      <c r="AB146" s="25">
        <f>IF(B146="","",COUNTIFS(Appointments!$G$5:$G$1204,A146,Appointments!$M$5:$M$1204,"Completed"))</f>
        <v>0</v>
      </c>
      <c r="AC146" s="25">
        <f>IF(B146="","",SUMIFS(Sales!$K$5:$K$1204,Sales!$I$5:$I$1204,A146,Sales!$H$5:$H$1204,"Service"))</f>
        <v>0</v>
      </c>
      <c r="AD146" s="26">
        <f>IF(B146="","",ROUND(SUMIFS(Sales!$Y$5:$Y$1204,Sales!$I$5:$I$1204,A146,Sales!$H$5:$H$1204,"Service"),2))</f>
        <v>0</v>
      </c>
      <c r="AE146" s="27">
        <f>IF(B146="","",IF(ServiceRevenueAll=0,"",AD146/ServiceRevenueAll))</f>
        <v>0</v>
      </c>
      <c r="AF146" s="26">
        <f>IF(B146="","",ROUND(AC146*T146,2))</f>
        <v>0</v>
      </c>
      <c r="AG146" s="37">
        <f>IF(B146="","",ROUND(AC146*P146,1))</f>
        <v>0</v>
      </c>
      <c r="AH146" s="27">
        <f>IF(B146="","",IF(AB146=0,"",COUNTIFS(Sales!$I$5:$I$1204,A146,Sales!$AJ$5:$AJ$1204,"Yes")/AB146))</f>
        <v>0</v>
      </c>
      <c r="AI146" s="17">
        <f>IF(B146="","",IFERROR(IF(COUNTIFS(Appointments!$G$5:$G$1204,A146)=0,"",SUMPRODUCT(MAX((Appointments!$G$5:$G$1204=A146)*IFERROR(Appointments!$B$5:$B$1204*1,0)))),""))</f>
        <v>0</v>
      </c>
      <c r="AJ146" s="25">
        <f>IF(B146="","",COUNTIFS($AD$5:$AD$204,"&gt;"&amp;AD146)+COUNTIFS($AD$5:AD146,AD146))</f>
        <v>0</v>
      </c>
      <c r="AK146" s="25">
        <f>IF(B146="","",COUNTIFS($W$5:$W$204,"&gt;"&amp;W146)+COUNTIFS($W$5:W146,W146))</f>
        <v>0</v>
      </c>
      <c r="AL146" s="25">
        <f>IF(B146="","",COUNTIFS($AB$5:$AB$204,"&gt;"&amp;AB146)+COUNTIFS($AB$5:AB146,AB146))</f>
        <v>0</v>
      </c>
      <c r="AM146" s="39">
        <f>IF(B146="","",IF(G146="","Add - no price yet",IF(E146="","Add - how long does it take?",IF(T146&lt;0,"Loss - this service costs you money",IF(V146&lt;TargetChairRate*0.7,"Check - well under your chair rate",IF(IF(N146="",FALSE,TodayDate-N146&gt;PriceReviewDays),"Due - price has not been reviewed",IF(IF(M146="Active",AB146=0,FALSE),"Check - on the menu but never booked","OK")))))))</f>
        <v>0</v>
      </c>
    </row>
    <row r="147" spans="1:39">
      <c r="A147" s="28">
        <f>IF(B147="","",ServicePrefix&amp;TEXT(ROW()-4,"000"))</f>
        <v>0</v>
      </c>
      <c r="P147" s="42">
        <f>IF(B147="","",ROUND((IF(E147="",0,E147)+IF(F147="",0,F147))/60,3))</f>
        <v>0</v>
      </c>
      <c r="Q147" s="26">
        <f>IF(B147="","",IF(H147&lt;&gt;"",H147,IF(G147="",0,ROUND(G147*ProductCostPercent,2))))</f>
        <v>0</v>
      </c>
      <c r="R147" s="26">
        <f>IF(B147="","",IF(J147="No",0,IF(G147="",0,ROUND(G147*ServiceCommission,2))))</f>
        <v>0</v>
      </c>
      <c r="S147" s="26">
        <f>IF(B147="","",ROUND(Q147+R147,2))</f>
        <v>0</v>
      </c>
      <c r="T147" s="26">
        <f>IF(B147="","",IF(G147="","",ROUND(G147-S147,2)))</f>
        <v>0</v>
      </c>
      <c r="U147" s="27">
        <f>IF(B147="","",IF(G147="","",IF(G147=0,"",T147/G147)))</f>
        <v>0</v>
      </c>
      <c r="V147" s="26">
        <f>IF(B147="","",IF(G147="","",IF(P147=0,"",ROUND(G147/P147,2))))</f>
        <v>0</v>
      </c>
      <c r="W147" s="26">
        <f>IF(B147="","",IF(T147="","",IF(P147=0,"",ROUND(T147/P147,2))))</f>
        <v>0</v>
      </c>
      <c r="X147" s="26">
        <f>IF(B147="","",IF(P147=0,"",IF(ServiceCommission&gt;=1,"",(Q147+TargetChairRate*P147)/IF(J147="No",1,1-ServiceCommission))))</f>
        <v>0</v>
      </c>
      <c r="Y147" s="26">
        <f>IF(B147="","",IF(X147="","",ROUND(IF(RoundingRule="None",X147,IF(RoundingRule="Nearest 0.99",MAX(0.99,CEILING(X147,1)-0.01),IF(RoundingRule="Nearest 0.95",MAX(0.95,CEILING(X147,1)-0.05),IF(RoundingRule="Nearest 0.50",CEILING(X147,0.5),IF(RoundingRule="Nearest 1",CEILING(X147,1),IF(RoundingRule="Nearest 5",CEILING(X147,5),IF(RoundingRule="Up to whole 1",CEILING(X147,1),IF(RoundingRule="Up to whole 5",CEILING(X147,5),ROUND(X147,2))))))))),2)))</f>
        <v>0</v>
      </c>
      <c r="Z147" s="26">
        <f>IF(B147="","",IF(Y147="","",IF(G147="","",ROUND(G147-Y147,2))))</f>
        <v>0</v>
      </c>
      <c r="AA147" s="25">
        <f>IF(B147="","",COUNTIFS(Appointments!$G$5:$G$1204,A147))</f>
        <v>0</v>
      </c>
      <c r="AB147" s="25">
        <f>IF(B147="","",COUNTIFS(Appointments!$G$5:$G$1204,A147,Appointments!$M$5:$M$1204,"Completed"))</f>
        <v>0</v>
      </c>
      <c r="AC147" s="25">
        <f>IF(B147="","",SUMIFS(Sales!$K$5:$K$1204,Sales!$I$5:$I$1204,A147,Sales!$H$5:$H$1204,"Service"))</f>
        <v>0</v>
      </c>
      <c r="AD147" s="26">
        <f>IF(B147="","",ROUND(SUMIFS(Sales!$Y$5:$Y$1204,Sales!$I$5:$I$1204,A147,Sales!$H$5:$H$1204,"Service"),2))</f>
        <v>0</v>
      </c>
      <c r="AE147" s="27">
        <f>IF(B147="","",IF(ServiceRevenueAll=0,"",AD147/ServiceRevenueAll))</f>
        <v>0</v>
      </c>
      <c r="AF147" s="26">
        <f>IF(B147="","",ROUND(AC147*T147,2))</f>
        <v>0</v>
      </c>
      <c r="AG147" s="37">
        <f>IF(B147="","",ROUND(AC147*P147,1))</f>
        <v>0</v>
      </c>
      <c r="AH147" s="27">
        <f>IF(B147="","",IF(AB147=0,"",COUNTIFS(Sales!$I$5:$I$1204,A147,Sales!$AJ$5:$AJ$1204,"Yes")/AB147))</f>
        <v>0</v>
      </c>
      <c r="AI147" s="17">
        <f>IF(B147="","",IFERROR(IF(COUNTIFS(Appointments!$G$5:$G$1204,A147)=0,"",SUMPRODUCT(MAX((Appointments!$G$5:$G$1204=A147)*IFERROR(Appointments!$B$5:$B$1204*1,0)))),""))</f>
        <v>0</v>
      </c>
      <c r="AJ147" s="25">
        <f>IF(B147="","",COUNTIFS($AD$5:$AD$204,"&gt;"&amp;AD147)+COUNTIFS($AD$5:AD147,AD147))</f>
        <v>0</v>
      </c>
      <c r="AK147" s="25">
        <f>IF(B147="","",COUNTIFS($W$5:$W$204,"&gt;"&amp;W147)+COUNTIFS($W$5:W147,W147))</f>
        <v>0</v>
      </c>
      <c r="AL147" s="25">
        <f>IF(B147="","",COUNTIFS($AB$5:$AB$204,"&gt;"&amp;AB147)+COUNTIFS($AB$5:AB147,AB147))</f>
        <v>0</v>
      </c>
      <c r="AM147" s="39">
        <f>IF(B147="","",IF(G147="","Add - no price yet",IF(E147="","Add - how long does it take?",IF(T147&lt;0,"Loss - this service costs you money",IF(V147&lt;TargetChairRate*0.7,"Check - well under your chair rate",IF(IF(N147="",FALSE,TodayDate-N147&gt;PriceReviewDays),"Due - price has not been reviewed",IF(IF(M147="Active",AB147=0,FALSE),"Check - on the menu but never booked","OK")))))))</f>
        <v>0</v>
      </c>
    </row>
    <row r="148" spans="1:39">
      <c r="A148" s="28">
        <f>IF(B148="","",ServicePrefix&amp;TEXT(ROW()-4,"000"))</f>
        <v>0</v>
      </c>
      <c r="P148" s="42">
        <f>IF(B148="","",ROUND((IF(E148="",0,E148)+IF(F148="",0,F148))/60,3))</f>
        <v>0</v>
      </c>
      <c r="Q148" s="26">
        <f>IF(B148="","",IF(H148&lt;&gt;"",H148,IF(G148="",0,ROUND(G148*ProductCostPercent,2))))</f>
        <v>0</v>
      </c>
      <c r="R148" s="26">
        <f>IF(B148="","",IF(J148="No",0,IF(G148="",0,ROUND(G148*ServiceCommission,2))))</f>
        <v>0</v>
      </c>
      <c r="S148" s="26">
        <f>IF(B148="","",ROUND(Q148+R148,2))</f>
        <v>0</v>
      </c>
      <c r="T148" s="26">
        <f>IF(B148="","",IF(G148="","",ROUND(G148-S148,2)))</f>
        <v>0</v>
      </c>
      <c r="U148" s="27">
        <f>IF(B148="","",IF(G148="","",IF(G148=0,"",T148/G148)))</f>
        <v>0</v>
      </c>
      <c r="V148" s="26">
        <f>IF(B148="","",IF(G148="","",IF(P148=0,"",ROUND(G148/P148,2))))</f>
        <v>0</v>
      </c>
      <c r="W148" s="26">
        <f>IF(B148="","",IF(T148="","",IF(P148=0,"",ROUND(T148/P148,2))))</f>
        <v>0</v>
      </c>
      <c r="X148" s="26">
        <f>IF(B148="","",IF(P148=0,"",IF(ServiceCommission&gt;=1,"",(Q148+TargetChairRate*P148)/IF(J148="No",1,1-ServiceCommission))))</f>
        <v>0</v>
      </c>
      <c r="Y148" s="26">
        <f>IF(B148="","",IF(X148="","",ROUND(IF(RoundingRule="None",X148,IF(RoundingRule="Nearest 0.99",MAX(0.99,CEILING(X148,1)-0.01),IF(RoundingRule="Nearest 0.95",MAX(0.95,CEILING(X148,1)-0.05),IF(RoundingRule="Nearest 0.50",CEILING(X148,0.5),IF(RoundingRule="Nearest 1",CEILING(X148,1),IF(RoundingRule="Nearest 5",CEILING(X148,5),IF(RoundingRule="Up to whole 1",CEILING(X148,1),IF(RoundingRule="Up to whole 5",CEILING(X148,5),ROUND(X148,2))))))))),2)))</f>
        <v>0</v>
      </c>
      <c r="Z148" s="26">
        <f>IF(B148="","",IF(Y148="","",IF(G148="","",ROUND(G148-Y148,2))))</f>
        <v>0</v>
      </c>
      <c r="AA148" s="25">
        <f>IF(B148="","",COUNTIFS(Appointments!$G$5:$G$1204,A148))</f>
        <v>0</v>
      </c>
      <c r="AB148" s="25">
        <f>IF(B148="","",COUNTIFS(Appointments!$G$5:$G$1204,A148,Appointments!$M$5:$M$1204,"Completed"))</f>
        <v>0</v>
      </c>
      <c r="AC148" s="25">
        <f>IF(B148="","",SUMIFS(Sales!$K$5:$K$1204,Sales!$I$5:$I$1204,A148,Sales!$H$5:$H$1204,"Service"))</f>
        <v>0</v>
      </c>
      <c r="AD148" s="26">
        <f>IF(B148="","",ROUND(SUMIFS(Sales!$Y$5:$Y$1204,Sales!$I$5:$I$1204,A148,Sales!$H$5:$H$1204,"Service"),2))</f>
        <v>0</v>
      </c>
      <c r="AE148" s="27">
        <f>IF(B148="","",IF(ServiceRevenueAll=0,"",AD148/ServiceRevenueAll))</f>
        <v>0</v>
      </c>
      <c r="AF148" s="26">
        <f>IF(B148="","",ROUND(AC148*T148,2))</f>
        <v>0</v>
      </c>
      <c r="AG148" s="37">
        <f>IF(B148="","",ROUND(AC148*P148,1))</f>
        <v>0</v>
      </c>
      <c r="AH148" s="27">
        <f>IF(B148="","",IF(AB148=0,"",COUNTIFS(Sales!$I$5:$I$1204,A148,Sales!$AJ$5:$AJ$1204,"Yes")/AB148))</f>
        <v>0</v>
      </c>
      <c r="AI148" s="17">
        <f>IF(B148="","",IFERROR(IF(COUNTIFS(Appointments!$G$5:$G$1204,A148)=0,"",SUMPRODUCT(MAX((Appointments!$G$5:$G$1204=A148)*IFERROR(Appointments!$B$5:$B$1204*1,0)))),""))</f>
        <v>0</v>
      </c>
      <c r="AJ148" s="25">
        <f>IF(B148="","",COUNTIFS($AD$5:$AD$204,"&gt;"&amp;AD148)+COUNTIFS($AD$5:AD148,AD148))</f>
        <v>0</v>
      </c>
      <c r="AK148" s="25">
        <f>IF(B148="","",COUNTIFS($W$5:$W$204,"&gt;"&amp;W148)+COUNTIFS($W$5:W148,W148))</f>
        <v>0</v>
      </c>
      <c r="AL148" s="25">
        <f>IF(B148="","",COUNTIFS($AB$5:$AB$204,"&gt;"&amp;AB148)+COUNTIFS($AB$5:AB148,AB148))</f>
        <v>0</v>
      </c>
      <c r="AM148" s="39">
        <f>IF(B148="","",IF(G148="","Add - no price yet",IF(E148="","Add - how long does it take?",IF(T148&lt;0,"Loss - this service costs you money",IF(V148&lt;TargetChairRate*0.7,"Check - well under your chair rate",IF(IF(N148="",FALSE,TodayDate-N148&gt;PriceReviewDays),"Due - price has not been reviewed",IF(IF(M148="Active",AB148=0,FALSE),"Check - on the menu but never booked","OK")))))))</f>
        <v>0</v>
      </c>
    </row>
    <row r="149" spans="1:39">
      <c r="A149" s="28">
        <f>IF(B149="","",ServicePrefix&amp;TEXT(ROW()-4,"000"))</f>
        <v>0</v>
      </c>
      <c r="P149" s="42">
        <f>IF(B149="","",ROUND((IF(E149="",0,E149)+IF(F149="",0,F149))/60,3))</f>
        <v>0</v>
      </c>
      <c r="Q149" s="26">
        <f>IF(B149="","",IF(H149&lt;&gt;"",H149,IF(G149="",0,ROUND(G149*ProductCostPercent,2))))</f>
        <v>0</v>
      </c>
      <c r="R149" s="26">
        <f>IF(B149="","",IF(J149="No",0,IF(G149="",0,ROUND(G149*ServiceCommission,2))))</f>
        <v>0</v>
      </c>
      <c r="S149" s="26">
        <f>IF(B149="","",ROUND(Q149+R149,2))</f>
        <v>0</v>
      </c>
      <c r="T149" s="26">
        <f>IF(B149="","",IF(G149="","",ROUND(G149-S149,2)))</f>
        <v>0</v>
      </c>
      <c r="U149" s="27">
        <f>IF(B149="","",IF(G149="","",IF(G149=0,"",T149/G149)))</f>
        <v>0</v>
      </c>
      <c r="V149" s="26">
        <f>IF(B149="","",IF(G149="","",IF(P149=0,"",ROUND(G149/P149,2))))</f>
        <v>0</v>
      </c>
      <c r="W149" s="26">
        <f>IF(B149="","",IF(T149="","",IF(P149=0,"",ROUND(T149/P149,2))))</f>
        <v>0</v>
      </c>
      <c r="X149" s="26">
        <f>IF(B149="","",IF(P149=0,"",IF(ServiceCommission&gt;=1,"",(Q149+TargetChairRate*P149)/IF(J149="No",1,1-ServiceCommission))))</f>
        <v>0</v>
      </c>
      <c r="Y149" s="26">
        <f>IF(B149="","",IF(X149="","",ROUND(IF(RoundingRule="None",X149,IF(RoundingRule="Nearest 0.99",MAX(0.99,CEILING(X149,1)-0.01),IF(RoundingRule="Nearest 0.95",MAX(0.95,CEILING(X149,1)-0.05),IF(RoundingRule="Nearest 0.50",CEILING(X149,0.5),IF(RoundingRule="Nearest 1",CEILING(X149,1),IF(RoundingRule="Nearest 5",CEILING(X149,5),IF(RoundingRule="Up to whole 1",CEILING(X149,1),IF(RoundingRule="Up to whole 5",CEILING(X149,5),ROUND(X149,2))))))))),2)))</f>
        <v>0</v>
      </c>
      <c r="Z149" s="26">
        <f>IF(B149="","",IF(Y149="","",IF(G149="","",ROUND(G149-Y149,2))))</f>
        <v>0</v>
      </c>
      <c r="AA149" s="25">
        <f>IF(B149="","",COUNTIFS(Appointments!$G$5:$G$1204,A149))</f>
        <v>0</v>
      </c>
      <c r="AB149" s="25">
        <f>IF(B149="","",COUNTIFS(Appointments!$G$5:$G$1204,A149,Appointments!$M$5:$M$1204,"Completed"))</f>
        <v>0</v>
      </c>
      <c r="AC149" s="25">
        <f>IF(B149="","",SUMIFS(Sales!$K$5:$K$1204,Sales!$I$5:$I$1204,A149,Sales!$H$5:$H$1204,"Service"))</f>
        <v>0</v>
      </c>
      <c r="AD149" s="26">
        <f>IF(B149="","",ROUND(SUMIFS(Sales!$Y$5:$Y$1204,Sales!$I$5:$I$1204,A149,Sales!$H$5:$H$1204,"Service"),2))</f>
        <v>0</v>
      </c>
      <c r="AE149" s="27">
        <f>IF(B149="","",IF(ServiceRevenueAll=0,"",AD149/ServiceRevenueAll))</f>
        <v>0</v>
      </c>
      <c r="AF149" s="26">
        <f>IF(B149="","",ROUND(AC149*T149,2))</f>
        <v>0</v>
      </c>
      <c r="AG149" s="37">
        <f>IF(B149="","",ROUND(AC149*P149,1))</f>
        <v>0</v>
      </c>
      <c r="AH149" s="27">
        <f>IF(B149="","",IF(AB149=0,"",COUNTIFS(Sales!$I$5:$I$1204,A149,Sales!$AJ$5:$AJ$1204,"Yes")/AB149))</f>
        <v>0</v>
      </c>
      <c r="AI149" s="17">
        <f>IF(B149="","",IFERROR(IF(COUNTIFS(Appointments!$G$5:$G$1204,A149)=0,"",SUMPRODUCT(MAX((Appointments!$G$5:$G$1204=A149)*IFERROR(Appointments!$B$5:$B$1204*1,0)))),""))</f>
        <v>0</v>
      </c>
      <c r="AJ149" s="25">
        <f>IF(B149="","",COUNTIFS($AD$5:$AD$204,"&gt;"&amp;AD149)+COUNTIFS($AD$5:AD149,AD149))</f>
        <v>0</v>
      </c>
      <c r="AK149" s="25">
        <f>IF(B149="","",COUNTIFS($W$5:$W$204,"&gt;"&amp;W149)+COUNTIFS($W$5:W149,W149))</f>
        <v>0</v>
      </c>
      <c r="AL149" s="25">
        <f>IF(B149="","",COUNTIFS($AB$5:$AB$204,"&gt;"&amp;AB149)+COUNTIFS($AB$5:AB149,AB149))</f>
        <v>0</v>
      </c>
      <c r="AM149" s="39">
        <f>IF(B149="","",IF(G149="","Add - no price yet",IF(E149="","Add - how long does it take?",IF(T149&lt;0,"Loss - this service costs you money",IF(V149&lt;TargetChairRate*0.7,"Check - well under your chair rate",IF(IF(N149="",FALSE,TodayDate-N149&gt;PriceReviewDays),"Due - price has not been reviewed",IF(IF(M149="Active",AB149=0,FALSE),"Check - on the menu but never booked","OK")))))))</f>
        <v>0</v>
      </c>
    </row>
    <row r="150" spans="1:39">
      <c r="A150" s="28">
        <f>IF(B150="","",ServicePrefix&amp;TEXT(ROW()-4,"000"))</f>
        <v>0</v>
      </c>
      <c r="P150" s="42">
        <f>IF(B150="","",ROUND((IF(E150="",0,E150)+IF(F150="",0,F150))/60,3))</f>
        <v>0</v>
      </c>
      <c r="Q150" s="26">
        <f>IF(B150="","",IF(H150&lt;&gt;"",H150,IF(G150="",0,ROUND(G150*ProductCostPercent,2))))</f>
        <v>0</v>
      </c>
      <c r="R150" s="26">
        <f>IF(B150="","",IF(J150="No",0,IF(G150="",0,ROUND(G150*ServiceCommission,2))))</f>
        <v>0</v>
      </c>
      <c r="S150" s="26">
        <f>IF(B150="","",ROUND(Q150+R150,2))</f>
        <v>0</v>
      </c>
      <c r="T150" s="26">
        <f>IF(B150="","",IF(G150="","",ROUND(G150-S150,2)))</f>
        <v>0</v>
      </c>
      <c r="U150" s="27">
        <f>IF(B150="","",IF(G150="","",IF(G150=0,"",T150/G150)))</f>
        <v>0</v>
      </c>
      <c r="V150" s="26">
        <f>IF(B150="","",IF(G150="","",IF(P150=0,"",ROUND(G150/P150,2))))</f>
        <v>0</v>
      </c>
      <c r="W150" s="26">
        <f>IF(B150="","",IF(T150="","",IF(P150=0,"",ROUND(T150/P150,2))))</f>
        <v>0</v>
      </c>
      <c r="X150" s="26">
        <f>IF(B150="","",IF(P150=0,"",IF(ServiceCommission&gt;=1,"",(Q150+TargetChairRate*P150)/IF(J150="No",1,1-ServiceCommission))))</f>
        <v>0</v>
      </c>
      <c r="Y150" s="26">
        <f>IF(B150="","",IF(X150="","",ROUND(IF(RoundingRule="None",X150,IF(RoundingRule="Nearest 0.99",MAX(0.99,CEILING(X150,1)-0.01),IF(RoundingRule="Nearest 0.95",MAX(0.95,CEILING(X150,1)-0.05),IF(RoundingRule="Nearest 0.50",CEILING(X150,0.5),IF(RoundingRule="Nearest 1",CEILING(X150,1),IF(RoundingRule="Nearest 5",CEILING(X150,5),IF(RoundingRule="Up to whole 1",CEILING(X150,1),IF(RoundingRule="Up to whole 5",CEILING(X150,5),ROUND(X150,2))))))))),2)))</f>
        <v>0</v>
      </c>
      <c r="Z150" s="26">
        <f>IF(B150="","",IF(Y150="","",IF(G150="","",ROUND(G150-Y150,2))))</f>
        <v>0</v>
      </c>
      <c r="AA150" s="25">
        <f>IF(B150="","",COUNTIFS(Appointments!$G$5:$G$1204,A150))</f>
        <v>0</v>
      </c>
      <c r="AB150" s="25">
        <f>IF(B150="","",COUNTIFS(Appointments!$G$5:$G$1204,A150,Appointments!$M$5:$M$1204,"Completed"))</f>
        <v>0</v>
      </c>
      <c r="AC150" s="25">
        <f>IF(B150="","",SUMIFS(Sales!$K$5:$K$1204,Sales!$I$5:$I$1204,A150,Sales!$H$5:$H$1204,"Service"))</f>
        <v>0</v>
      </c>
      <c r="AD150" s="26">
        <f>IF(B150="","",ROUND(SUMIFS(Sales!$Y$5:$Y$1204,Sales!$I$5:$I$1204,A150,Sales!$H$5:$H$1204,"Service"),2))</f>
        <v>0</v>
      </c>
      <c r="AE150" s="27">
        <f>IF(B150="","",IF(ServiceRevenueAll=0,"",AD150/ServiceRevenueAll))</f>
        <v>0</v>
      </c>
      <c r="AF150" s="26">
        <f>IF(B150="","",ROUND(AC150*T150,2))</f>
        <v>0</v>
      </c>
      <c r="AG150" s="37">
        <f>IF(B150="","",ROUND(AC150*P150,1))</f>
        <v>0</v>
      </c>
      <c r="AH150" s="27">
        <f>IF(B150="","",IF(AB150=0,"",COUNTIFS(Sales!$I$5:$I$1204,A150,Sales!$AJ$5:$AJ$1204,"Yes")/AB150))</f>
        <v>0</v>
      </c>
      <c r="AI150" s="17">
        <f>IF(B150="","",IFERROR(IF(COUNTIFS(Appointments!$G$5:$G$1204,A150)=0,"",SUMPRODUCT(MAX((Appointments!$G$5:$G$1204=A150)*IFERROR(Appointments!$B$5:$B$1204*1,0)))),""))</f>
        <v>0</v>
      </c>
      <c r="AJ150" s="25">
        <f>IF(B150="","",COUNTIFS($AD$5:$AD$204,"&gt;"&amp;AD150)+COUNTIFS($AD$5:AD150,AD150))</f>
        <v>0</v>
      </c>
      <c r="AK150" s="25">
        <f>IF(B150="","",COUNTIFS($W$5:$W$204,"&gt;"&amp;W150)+COUNTIFS($W$5:W150,W150))</f>
        <v>0</v>
      </c>
      <c r="AL150" s="25">
        <f>IF(B150="","",COUNTIFS($AB$5:$AB$204,"&gt;"&amp;AB150)+COUNTIFS($AB$5:AB150,AB150))</f>
        <v>0</v>
      </c>
      <c r="AM150" s="39">
        <f>IF(B150="","",IF(G150="","Add - no price yet",IF(E150="","Add - how long does it take?",IF(T150&lt;0,"Loss - this service costs you money",IF(V150&lt;TargetChairRate*0.7,"Check - well under your chair rate",IF(IF(N150="",FALSE,TodayDate-N150&gt;PriceReviewDays),"Due - price has not been reviewed",IF(IF(M150="Active",AB150=0,FALSE),"Check - on the menu but never booked","OK")))))))</f>
        <v>0</v>
      </c>
    </row>
    <row r="151" spans="1:39">
      <c r="A151" s="28">
        <f>IF(B151="","",ServicePrefix&amp;TEXT(ROW()-4,"000"))</f>
        <v>0</v>
      </c>
      <c r="P151" s="42">
        <f>IF(B151="","",ROUND((IF(E151="",0,E151)+IF(F151="",0,F151))/60,3))</f>
        <v>0</v>
      </c>
      <c r="Q151" s="26">
        <f>IF(B151="","",IF(H151&lt;&gt;"",H151,IF(G151="",0,ROUND(G151*ProductCostPercent,2))))</f>
        <v>0</v>
      </c>
      <c r="R151" s="26">
        <f>IF(B151="","",IF(J151="No",0,IF(G151="",0,ROUND(G151*ServiceCommission,2))))</f>
        <v>0</v>
      </c>
      <c r="S151" s="26">
        <f>IF(B151="","",ROUND(Q151+R151,2))</f>
        <v>0</v>
      </c>
      <c r="T151" s="26">
        <f>IF(B151="","",IF(G151="","",ROUND(G151-S151,2)))</f>
        <v>0</v>
      </c>
      <c r="U151" s="27">
        <f>IF(B151="","",IF(G151="","",IF(G151=0,"",T151/G151)))</f>
        <v>0</v>
      </c>
      <c r="V151" s="26">
        <f>IF(B151="","",IF(G151="","",IF(P151=0,"",ROUND(G151/P151,2))))</f>
        <v>0</v>
      </c>
      <c r="W151" s="26">
        <f>IF(B151="","",IF(T151="","",IF(P151=0,"",ROUND(T151/P151,2))))</f>
        <v>0</v>
      </c>
      <c r="X151" s="26">
        <f>IF(B151="","",IF(P151=0,"",IF(ServiceCommission&gt;=1,"",(Q151+TargetChairRate*P151)/IF(J151="No",1,1-ServiceCommission))))</f>
        <v>0</v>
      </c>
      <c r="Y151" s="26">
        <f>IF(B151="","",IF(X151="","",ROUND(IF(RoundingRule="None",X151,IF(RoundingRule="Nearest 0.99",MAX(0.99,CEILING(X151,1)-0.01),IF(RoundingRule="Nearest 0.95",MAX(0.95,CEILING(X151,1)-0.05),IF(RoundingRule="Nearest 0.50",CEILING(X151,0.5),IF(RoundingRule="Nearest 1",CEILING(X151,1),IF(RoundingRule="Nearest 5",CEILING(X151,5),IF(RoundingRule="Up to whole 1",CEILING(X151,1),IF(RoundingRule="Up to whole 5",CEILING(X151,5),ROUND(X151,2))))))))),2)))</f>
        <v>0</v>
      </c>
      <c r="Z151" s="26">
        <f>IF(B151="","",IF(Y151="","",IF(G151="","",ROUND(G151-Y151,2))))</f>
        <v>0</v>
      </c>
      <c r="AA151" s="25">
        <f>IF(B151="","",COUNTIFS(Appointments!$G$5:$G$1204,A151))</f>
        <v>0</v>
      </c>
      <c r="AB151" s="25">
        <f>IF(B151="","",COUNTIFS(Appointments!$G$5:$G$1204,A151,Appointments!$M$5:$M$1204,"Completed"))</f>
        <v>0</v>
      </c>
      <c r="AC151" s="25">
        <f>IF(B151="","",SUMIFS(Sales!$K$5:$K$1204,Sales!$I$5:$I$1204,A151,Sales!$H$5:$H$1204,"Service"))</f>
        <v>0</v>
      </c>
      <c r="AD151" s="26">
        <f>IF(B151="","",ROUND(SUMIFS(Sales!$Y$5:$Y$1204,Sales!$I$5:$I$1204,A151,Sales!$H$5:$H$1204,"Service"),2))</f>
        <v>0</v>
      </c>
      <c r="AE151" s="27">
        <f>IF(B151="","",IF(ServiceRevenueAll=0,"",AD151/ServiceRevenueAll))</f>
        <v>0</v>
      </c>
      <c r="AF151" s="26">
        <f>IF(B151="","",ROUND(AC151*T151,2))</f>
        <v>0</v>
      </c>
      <c r="AG151" s="37">
        <f>IF(B151="","",ROUND(AC151*P151,1))</f>
        <v>0</v>
      </c>
      <c r="AH151" s="27">
        <f>IF(B151="","",IF(AB151=0,"",COUNTIFS(Sales!$I$5:$I$1204,A151,Sales!$AJ$5:$AJ$1204,"Yes")/AB151))</f>
        <v>0</v>
      </c>
      <c r="AI151" s="17">
        <f>IF(B151="","",IFERROR(IF(COUNTIFS(Appointments!$G$5:$G$1204,A151)=0,"",SUMPRODUCT(MAX((Appointments!$G$5:$G$1204=A151)*IFERROR(Appointments!$B$5:$B$1204*1,0)))),""))</f>
        <v>0</v>
      </c>
      <c r="AJ151" s="25">
        <f>IF(B151="","",COUNTIFS($AD$5:$AD$204,"&gt;"&amp;AD151)+COUNTIFS($AD$5:AD151,AD151))</f>
        <v>0</v>
      </c>
      <c r="AK151" s="25">
        <f>IF(B151="","",COUNTIFS($W$5:$W$204,"&gt;"&amp;W151)+COUNTIFS($W$5:W151,W151))</f>
        <v>0</v>
      </c>
      <c r="AL151" s="25">
        <f>IF(B151="","",COUNTIFS($AB$5:$AB$204,"&gt;"&amp;AB151)+COUNTIFS($AB$5:AB151,AB151))</f>
        <v>0</v>
      </c>
      <c r="AM151" s="39">
        <f>IF(B151="","",IF(G151="","Add - no price yet",IF(E151="","Add - how long does it take?",IF(T151&lt;0,"Loss - this service costs you money",IF(V151&lt;TargetChairRate*0.7,"Check - well under your chair rate",IF(IF(N151="",FALSE,TodayDate-N151&gt;PriceReviewDays),"Due - price has not been reviewed",IF(IF(M151="Active",AB151=0,FALSE),"Check - on the menu but never booked","OK")))))))</f>
        <v>0</v>
      </c>
    </row>
    <row r="152" spans="1:39">
      <c r="A152" s="28">
        <f>IF(B152="","",ServicePrefix&amp;TEXT(ROW()-4,"000"))</f>
        <v>0</v>
      </c>
      <c r="P152" s="42">
        <f>IF(B152="","",ROUND((IF(E152="",0,E152)+IF(F152="",0,F152))/60,3))</f>
        <v>0</v>
      </c>
      <c r="Q152" s="26">
        <f>IF(B152="","",IF(H152&lt;&gt;"",H152,IF(G152="",0,ROUND(G152*ProductCostPercent,2))))</f>
        <v>0</v>
      </c>
      <c r="R152" s="26">
        <f>IF(B152="","",IF(J152="No",0,IF(G152="",0,ROUND(G152*ServiceCommission,2))))</f>
        <v>0</v>
      </c>
      <c r="S152" s="26">
        <f>IF(B152="","",ROUND(Q152+R152,2))</f>
        <v>0</v>
      </c>
      <c r="T152" s="26">
        <f>IF(B152="","",IF(G152="","",ROUND(G152-S152,2)))</f>
        <v>0</v>
      </c>
      <c r="U152" s="27">
        <f>IF(B152="","",IF(G152="","",IF(G152=0,"",T152/G152)))</f>
        <v>0</v>
      </c>
      <c r="V152" s="26">
        <f>IF(B152="","",IF(G152="","",IF(P152=0,"",ROUND(G152/P152,2))))</f>
        <v>0</v>
      </c>
      <c r="W152" s="26">
        <f>IF(B152="","",IF(T152="","",IF(P152=0,"",ROUND(T152/P152,2))))</f>
        <v>0</v>
      </c>
      <c r="X152" s="26">
        <f>IF(B152="","",IF(P152=0,"",IF(ServiceCommission&gt;=1,"",(Q152+TargetChairRate*P152)/IF(J152="No",1,1-ServiceCommission))))</f>
        <v>0</v>
      </c>
      <c r="Y152" s="26">
        <f>IF(B152="","",IF(X152="","",ROUND(IF(RoundingRule="None",X152,IF(RoundingRule="Nearest 0.99",MAX(0.99,CEILING(X152,1)-0.01),IF(RoundingRule="Nearest 0.95",MAX(0.95,CEILING(X152,1)-0.05),IF(RoundingRule="Nearest 0.50",CEILING(X152,0.5),IF(RoundingRule="Nearest 1",CEILING(X152,1),IF(RoundingRule="Nearest 5",CEILING(X152,5),IF(RoundingRule="Up to whole 1",CEILING(X152,1),IF(RoundingRule="Up to whole 5",CEILING(X152,5),ROUND(X152,2))))))))),2)))</f>
        <v>0</v>
      </c>
      <c r="Z152" s="26">
        <f>IF(B152="","",IF(Y152="","",IF(G152="","",ROUND(G152-Y152,2))))</f>
        <v>0</v>
      </c>
      <c r="AA152" s="25">
        <f>IF(B152="","",COUNTIFS(Appointments!$G$5:$G$1204,A152))</f>
        <v>0</v>
      </c>
      <c r="AB152" s="25">
        <f>IF(B152="","",COUNTIFS(Appointments!$G$5:$G$1204,A152,Appointments!$M$5:$M$1204,"Completed"))</f>
        <v>0</v>
      </c>
      <c r="AC152" s="25">
        <f>IF(B152="","",SUMIFS(Sales!$K$5:$K$1204,Sales!$I$5:$I$1204,A152,Sales!$H$5:$H$1204,"Service"))</f>
        <v>0</v>
      </c>
      <c r="AD152" s="26">
        <f>IF(B152="","",ROUND(SUMIFS(Sales!$Y$5:$Y$1204,Sales!$I$5:$I$1204,A152,Sales!$H$5:$H$1204,"Service"),2))</f>
        <v>0</v>
      </c>
      <c r="AE152" s="27">
        <f>IF(B152="","",IF(ServiceRevenueAll=0,"",AD152/ServiceRevenueAll))</f>
        <v>0</v>
      </c>
      <c r="AF152" s="26">
        <f>IF(B152="","",ROUND(AC152*T152,2))</f>
        <v>0</v>
      </c>
      <c r="AG152" s="37">
        <f>IF(B152="","",ROUND(AC152*P152,1))</f>
        <v>0</v>
      </c>
      <c r="AH152" s="27">
        <f>IF(B152="","",IF(AB152=0,"",COUNTIFS(Sales!$I$5:$I$1204,A152,Sales!$AJ$5:$AJ$1204,"Yes")/AB152))</f>
        <v>0</v>
      </c>
      <c r="AI152" s="17">
        <f>IF(B152="","",IFERROR(IF(COUNTIFS(Appointments!$G$5:$G$1204,A152)=0,"",SUMPRODUCT(MAX((Appointments!$G$5:$G$1204=A152)*IFERROR(Appointments!$B$5:$B$1204*1,0)))),""))</f>
        <v>0</v>
      </c>
      <c r="AJ152" s="25">
        <f>IF(B152="","",COUNTIFS($AD$5:$AD$204,"&gt;"&amp;AD152)+COUNTIFS($AD$5:AD152,AD152))</f>
        <v>0</v>
      </c>
      <c r="AK152" s="25">
        <f>IF(B152="","",COUNTIFS($W$5:$W$204,"&gt;"&amp;W152)+COUNTIFS($W$5:W152,W152))</f>
        <v>0</v>
      </c>
      <c r="AL152" s="25">
        <f>IF(B152="","",COUNTIFS($AB$5:$AB$204,"&gt;"&amp;AB152)+COUNTIFS($AB$5:AB152,AB152))</f>
        <v>0</v>
      </c>
      <c r="AM152" s="39">
        <f>IF(B152="","",IF(G152="","Add - no price yet",IF(E152="","Add - how long does it take?",IF(T152&lt;0,"Loss - this service costs you money",IF(V152&lt;TargetChairRate*0.7,"Check - well under your chair rate",IF(IF(N152="",FALSE,TodayDate-N152&gt;PriceReviewDays),"Due - price has not been reviewed",IF(IF(M152="Active",AB152=0,FALSE),"Check - on the menu but never booked","OK")))))))</f>
        <v>0</v>
      </c>
    </row>
    <row r="153" spans="1:39">
      <c r="A153" s="28">
        <f>IF(B153="","",ServicePrefix&amp;TEXT(ROW()-4,"000"))</f>
        <v>0</v>
      </c>
      <c r="P153" s="42">
        <f>IF(B153="","",ROUND((IF(E153="",0,E153)+IF(F153="",0,F153))/60,3))</f>
        <v>0</v>
      </c>
      <c r="Q153" s="26">
        <f>IF(B153="","",IF(H153&lt;&gt;"",H153,IF(G153="",0,ROUND(G153*ProductCostPercent,2))))</f>
        <v>0</v>
      </c>
      <c r="R153" s="26">
        <f>IF(B153="","",IF(J153="No",0,IF(G153="",0,ROUND(G153*ServiceCommission,2))))</f>
        <v>0</v>
      </c>
      <c r="S153" s="26">
        <f>IF(B153="","",ROUND(Q153+R153,2))</f>
        <v>0</v>
      </c>
      <c r="T153" s="26">
        <f>IF(B153="","",IF(G153="","",ROUND(G153-S153,2)))</f>
        <v>0</v>
      </c>
      <c r="U153" s="27">
        <f>IF(B153="","",IF(G153="","",IF(G153=0,"",T153/G153)))</f>
        <v>0</v>
      </c>
      <c r="V153" s="26">
        <f>IF(B153="","",IF(G153="","",IF(P153=0,"",ROUND(G153/P153,2))))</f>
        <v>0</v>
      </c>
      <c r="W153" s="26">
        <f>IF(B153="","",IF(T153="","",IF(P153=0,"",ROUND(T153/P153,2))))</f>
        <v>0</v>
      </c>
      <c r="X153" s="26">
        <f>IF(B153="","",IF(P153=0,"",IF(ServiceCommission&gt;=1,"",(Q153+TargetChairRate*P153)/IF(J153="No",1,1-ServiceCommission))))</f>
        <v>0</v>
      </c>
      <c r="Y153" s="26">
        <f>IF(B153="","",IF(X153="","",ROUND(IF(RoundingRule="None",X153,IF(RoundingRule="Nearest 0.99",MAX(0.99,CEILING(X153,1)-0.01),IF(RoundingRule="Nearest 0.95",MAX(0.95,CEILING(X153,1)-0.05),IF(RoundingRule="Nearest 0.50",CEILING(X153,0.5),IF(RoundingRule="Nearest 1",CEILING(X153,1),IF(RoundingRule="Nearest 5",CEILING(X153,5),IF(RoundingRule="Up to whole 1",CEILING(X153,1),IF(RoundingRule="Up to whole 5",CEILING(X153,5),ROUND(X153,2))))))))),2)))</f>
        <v>0</v>
      </c>
      <c r="Z153" s="26">
        <f>IF(B153="","",IF(Y153="","",IF(G153="","",ROUND(G153-Y153,2))))</f>
        <v>0</v>
      </c>
      <c r="AA153" s="25">
        <f>IF(B153="","",COUNTIFS(Appointments!$G$5:$G$1204,A153))</f>
        <v>0</v>
      </c>
      <c r="AB153" s="25">
        <f>IF(B153="","",COUNTIFS(Appointments!$G$5:$G$1204,A153,Appointments!$M$5:$M$1204,"Completed"))</f>
        <v>0</v>
      </c>
      <c r="AC153" s="25">
        <f>IF(B153="","",SUMIFS(Sales!$K$5:$K$1204,Sales!$I$5:$I$1204,A153,Sales!$H$5:$H$1204,"Service"))</f>
        <v>0</v>
      </c>
      <c r="AD153" s="26">
        <f>IF(B153="","",ROUND(SUMIFS(Sales!$Y$5:$Y$1204,Sales!$I$5:$I$1204,A153,Sales!$H$5:$H$1204,"Service"),2))</f>
        <v>0</v>
      </c>
      <c r="AE153" s="27">
        <f>IF(B153="","",IF(ServiceRevenueAll=0,"",AD153/ServiceRevenueAll))</f>
        <v>0</v>
      </c>
      <c r="AF153" s="26">
        <f>IF(B153="","",ROUND(AC153*T153,2))</f>
        <v>0</v>
      </c>
      <c r="AG153" s="37">
        <f>IF(B153="","",ROUND(AC153*P153,1))</f>
        <v>0</v>
      </c>
      <c r="AH153" s="27">
        <f>IF(B153="","",IF(AB153=0,"",COUNTIFS(Sales!$I$5:$I$1204,A153,Sales!$AJ$5:$AJ$1204,"Yes")/AB153))</f>
        <v>0</v>
      </c>
      <c r="AI153" s="17">
        <f>IF(B153="","",IFERROR(IF(COUNTIFS(Appointments!$G$5:$G$1204,A153)=0,"",SUMPRODUCT(MAX((Appointments!$G$5:$G$1204=A153)*IFERROR(Appointments!$B$5:$B$1204*1,0)))),""))</f>
        <v>0</v>
      </c>
      <c r="AJ153" s="25">
        <f>IF(B153="","",COUNTIFS($AD$5:$AD$204,"&gt;"&amp;AD153)+COUNTIFS($AD$5:AD153,AD153))</f>
        <v>0</v>
      </c>
      <c r="AK153" s="25">
        <f>IF(B153="","",COUNTIFS($W$5:$W$204,"&gt;"&amp;W153)+COUNTIFS($W$5:W153,W153))</f>
        <v>0</v>
      </c>
      <c r="AL153" s="25">
        <f>IF(B153="","",COUNTIFS($AB$5:$AB$204,"&gt;"&amp;AB153)+COUNTIFS($AB$5:AB153,AB153))</f>
        <v>0</v>
      </c>
      <c r="AM153" s="39">
        <f>IF(B153="","",IF(G153="","Add - no price yet",IF(E153="","Add - how long does it take?",IF(T153&lt;0,"Loss - this service costs you money",IF(V153&lt;TargetChairRate*0.7,"Check - well under your chair rate",IF(IF(N153="",FALSE,TodayDate-N153&gt;PriceReviewDays),"Due - price has not been reviewed",IF(IF(M153="Active",AB153=0,FALSE),"Check - on the menu but never booked","OK")))))))</f>
        <v>0</v>
      </c>
    </row>
    <row r="154" spans="1:39">
      <c r="A154" s="28">
        <f>IF(B154="","",ServicePrefix&amp;TEXT(ROW()-4,"000"))</f>
        <v>0</v>
      </c>
      <c r="P154" s="42">
        <f>IF(B154="","",ROUND((IF(E154="",0,E154)+IF(F154="",0,F154))/60,3))</f>
        <v>0</v>
      </c>
      <c r="Q154" s="26">
        <f>IF(B154="","",IF(H154&lt;&gt;"",H154,IF(G154="",0,ROUND(G154*ProductCostPercent,2))))</f>
        <v>0</v>
      </c>
      <c r="R154" s="26">
        <f>IF(B154="","",IF(J154="No",0,IF(G154="",0,ROUND(G154*ServiceCommission,2))))</f>
        <v>0</v>
      </c>
      <c r="S154" s="26">
        <f>IF(B154="","",ROUND(Q154+R154,2))</f>
        <v>0</v>
      </c>
      <c r="T154" s="26">
        <f>IF(B154="","",IF(G154="","",ROUND(G154-S154,2)))</f>
        <v>0</v>
      </c>
      <c r="U154" s="27">
        <f>IF(B154="","",IF(G154="","",IF(G154=0,"",T154/G154)))</f>
        <v>0</v>
      </c>
      <c r="V154" s="26">
        <f>IF(B154="","",IF(G154="","",IF(P154=0,"",ROUND(G154/P154,2))))</f>
        <v>0</v>
      </c>
      <c r="W154" s="26">
        <f>IF(B154="","",IF(T154="","",IF(P154=0,"",ROUND(T154/P154,2))))</f>
        <v>0</v>
      </c>
      <c r="X154" s="26">
        <f>IF(B154="","",IF(P154=0,"",IF(ServiceCommission&gt;=1,"",(Q154+TargetChairRate*P154)/IF(J154="No",1,1-ServiceCommission))))</f>
        <v>0</v>
      </c>
      <c r="Y154" s="26">
        <f>IF(B154="","",IF(X154="","",ROUND(IF(RoundingRule="None",X154,IF(RoundingRule="Nearest 0.99",MAX(0.99,CEILING(X154,1)-0.01),IF(RoundingRule="Nearest 0.95",MAX(0.95,CEILING(X154,1)-0.05),IF(RoundingRule="Nearest 0.50",CEILING(X154,0.5),IF(RoundingRule="Nearest 1",CEILING(X154,1),IF(RoundingRule="Nearest 5",CEILING(X154,5),IF(RoundingRule="Up to whole 1",CEILING(X154,1),IF(RoundingRule="Up to whole 5",CEILING(X154,5),ROUND(X154,2))))))))),2)))</f>
        <v>0</v>
      </c>
      <c r="Z154" s="26">
        <f>IF(B154="","",IF(Y154="","",IF(G154="","",ROUND(G154-Y154,2))))</f>
        <v>0</v>
      </c>
      <c r="AA154" s="25">
        <f>IF(B154="","",COUNTIFS(Appointments!$G$5:$G$1204,A154))</f>
        <v>0</v>
      </c>
      <c r="AB154" s="25">
        <f>IF(B154="","",COUNTIFS(Appointments!$G$5:$G$1204,A154,Appointments!$M$5:$M$1204,"Completed"))</f>
        <v>0</v>
      </c>
      <c r="AC154" s="25">
        <f>IF(B154="","",SUMIFS(Sales!$K$5:$K$1204,Sales!$I$5:$I$1204,A154,Sales!$H$5:$H$1204,"Service"))</f>
        <v>0</v>
      </c>
      <c r="AD154" s="26">
        <f>IF(B154="","",ROUND(SUMIFS(Sales!$Y$5:$Y$1204,Sales!$I$5:$I$1204,A154,Sales!$H$5:$H$1204,"Service"),2))</f>
        <v>0</v>
      </c>
      <c r="AE154" s="27">
        <f>IF(B154="","",IF(ServiceRevenueAll=0,"",AD154/ServiceRevenueAll))</f>
        <v>0</v>
      </c>
      <c r="AF154" s="26">
        <f>IF(B154="","",ROUND(AC154*T154,2))</f>
        <v>0</v>
      </c>
      <c r="AG154" s="37">
        <f>IF(B154="","",ROUND(AC154*P154,1))</f>
        <v>0</v>
      </c>
      <c r="AH154" s="27">
        <f>IF(B154="","",IF(AB154=0,"",COUNTIFS(Sales!$I$5:$I$1204,A154,Sales!$AJ$5:$AJ$1204,"Yes")/AB154))</f>
        <v>0</v>
      </c>
      <c r="AI154" s="17">
        <f>IF(B154="","",IFERROR(IF(COUNTIFS(Appointments!$G$5:$G$1204,A154)=0,"",SUMPRODUCT(MAX((Appointments!$G$5:$G$1204=A154)*IFERROR(Appointments!$B$5:$B$1204*1,0)))),""))</f>
        <v>0</v>
      </c>
      <c r="AJ154" s="25">
        <f>IF(B154="","",COUNTIFS($AD$5:$AD$204,"&gt;"&amp;AD154)+COUNTIFS($AD$5:AD154,AD154))</f>
        <v>0</v>
      </c>
      <c r="AK154" s="25">
        <f>IF(B154="","",COUNTIFS($W$5:$W$204,"&gt;"&amp;W154)+COUNTIFS($W$5:W154,W154))</f>
        <v>0</v>
      </c>
      <c r="AL154" s="25">
        <f>IF(B154="","",COUNTIFS($AB$5:$AB$204,"&gt;"&amp;AB154)+COUNTIFS($AB$5:AB154,AB154))</f>
        <v>0</v>
      </c>
      <c r="AM154" s="39">
        <f>IF(B154="","",IF(G154="","Add - no price yet",IF(E154="","Add - how long does it take?",IF(T154&lt;0,"Loss - this service costs you money",IF(V154&lt;TargetChairRate*0.7,"Check - well under your chair rate",IF(IF(N154="",FALSE,TodayDate-N154&gt;PriceReviewDays),"Due - price has not been reviewed",IF(IF(M154="Active",AB154=0,FALSE),"Check - on the menu but never booked","OK")))))))</f>
        <v>0</v>
      </c>
    </row>
    <row r="155" spans="1:39">
      <c r="A155" s="28">
        <f>IF(B155="","",ServicePrefix&amp;TEXT(ROW()-4,"000"))</f>
        <v>0</v>
      </c>
      <c r="P155" s="42">
        <f>IF(B155="","",ROUND((IF(E155="",0,E155)+IF(F155="",0,F155))/60,3))</f>
        <v>0</v>
      </c>
      <c r="Q155" s="26">
        <f>IF(B155="","",IF(H155&lt;&gt;"",H155,IF(G155="",0,ROUND(G155*ProductCostPercent,2))))</f>
        <v>0</v>
      </c>
      <c r="R155" s="26">
        <f>IF(B155="","",IF(J155="No",0,IF(G155="",0,ROUND(G155*ServiceCommission,2))))</f>
        <v>0</v>
      </c>
      <c r="S155" s="26">
        <f>IF(B155="","",ROUND(Q155+R155,2))</f>
        <v>0</v>
      </c>
      <c r="T155" s="26">
        <f>IF(B155="","",IF(G155="","",ROUND(G155-S155,2)))</f>
        <v>0</v>
      </c>
      <c r="U155" s="27">
        <f>IF(B155="","",IF(G155="","",IF(G155=0,"",T155/G155)))</f>
        <v>0</v>
      </c>
      <c r="V155" s="26">
        <f>IF(B155="","",IF(G155="","",IF(P155=0,"",ROUND(G155/P155,2))))</f>
        <v>0</v>
      </c>
      <c r="W155" s="26">
        <f>IF(B155="","",IF(T155="","",IF(P155=0,"",ROUND(T155/P155,2))))</f>
        <v>0</v>
      </c>
      <c r="X155" s="26">
        <f>IF(B155="","",IF(P155=0,"",IF(ServiceCommission&gt;=1,"",(Q155+TargetChairRate*P155)/IF(J155="No",1,1-ServiceCommission))))</f>
        <v>0</v>
      </c>
      <c r="Y155" s="26">
        <f>IF(B155="","",IF(X155="","",ROUND(IF(RoundingRule="None",X155,IF(RoundingRule="Nearest 0.99",MAX(0.99,CEILING(X155,1)-0.01),IF(RoundingRule="Nearest 0.95",MAX(0.95,CEILING(X155,1)-0.05),IF(RoundingRule="Nearest 0.50",CEILING(X155,0.5),IF(RoundingRule="Nearest 1",CEILING(X155,1),IF(RoundingRule="Nearest 5",CEILING(X155,5),IF(RoundingRule="Up to whole 1",CEILING(X155,1),IF(RoundingRule="Up to whole 5",CEILING(X155,5),ROUND(X155,2))))))))),2)))</f>
        <v>0</v>
      </c>
      <c r="Z155" s="26">
        <f>IF(B155="","",IF(Y155="","",IF(G155="","",ROUND(G155-Y155,2))))</f>
        <v>0</v>
      </c>
      <c r="AA155" s="25">
        <f>IF(B155="","",COUNTIFS(Appointments!$G$5:$G$1204,A155))</f>
        <v>0</v>
      </c>
      <c r="AB155" s="25">
        <f>IF(B155="","",COUNTIFS(Appointments!$G$5:$G$1204,A155,Appointments!$M$5:$M$1204,"Completed"))</f>
        <v>0</v>
      </c>
      <c r="AC155" s="25">
        <f>IF(B155="","",SUMIFS(Sales!$K$5:$K$1204,Sales!$I$5:$I$1204,A155,Sales!$H$5:$H$1204,"Service"))</f>
        <v>0</v>
      </c>
      <c r="AD155" s="26">
        <f>IF(B155="","",ROUND(SUMIFS(Sales!$Y$5:$Y$1204,Sales!$I$5:$I$1204,A155,Sales!$H$5:$H$1204,"Service"),2))</f>
        <v>0</v>
      </c>
      <c r="AE155" s="27">
        <f>IF(B155="","",IF(ServiceRevenueAll=0,"",AD155/ServiceRevenueAll))</f>
        <v>0</v>
      </c>
      <c r="AF155" s="26">
        <f>IF(B155="","",ROUND(AC155*T155,2))</f>
        <v>0</v>
      </c>
      <c r="AG155" s="37">
        <f>IF(B155="","",ROUND(AC155*P155,1))</f>
        <v>0</v>
      </c>
      <c r="AH155" s="27">
        <f>IF(B155="","",IF(AB155=0,"",COUNTIFS(Sales!$I$5:$I$1204,A155,Sales!$AJ$5:$AJ$1204,"Yes")/AB155))</f>
        <v>0</v>
      </c>
      <c r="AI155" s="17">
        <f>IF(B155="","",IFERROR(IF(COUNTIFS(Appointments!$G$5:$G$1204,A155)=0,"",SUMPRODUCT(MAX((Appointments!$G$5:$G$1204=A155)*IFERROR(Appointments!$B$5:$B$1204*1,0)))),""))</f>
        <v>0</v>
      </c>
      <c r="AJ155" s="25">
        <f>IF(B155="","",COUNTIFS($AD$5:$AD$204,"&gt;"&amp;AD155)+COUNTIFS($AD$5:AD155,AD155))</f>
        <v>0</v>
      </c>
      <c r="AK155" s="25">
        <f>IF(B155="","",COUNTIFS($W$5:$W$204,"&gt;"&amp;W155)+COUNTIFS($W$5:W155,W155))</f>
        <v>0</v>
      </c>
      <c r="AL155" s="25">
        <f>IF(B155="","",COUNTIFS($AB$5:$AB$204,"&gt;"&amp;AB155)+COUNTIFS($AB$5:AB155,AB155))</f>
        <v>0</v>
      </c>
      <c r="AM155" s="39">
        <f>IF(B155="","",IF(G155="","Add - no price yet",IF(E155="","Add - how long does it take?",IF(T155&lt;0,"Loss - this service costs you money",IF(V155&lt;TargetChairRate*0.7,"Check - well under your chair rate",IF(IF(N155="",FALSE,TodayDate-N155&gt;PriceReviewDays),"Due - price has not been reviewed",IF(IF(M155="Active",AB155=0,FALSE),"Check - on the menu but never booked","OK")))))))</f>
        <v>0</v>
      </c>
    </row>
    <row r="156" spans="1:39">
      <c r="A156" s="28">
        <f>IF(B156="","",ServicePrefix&amp;TEXT(ROW()-4,"000"))</f>
        <v>0</v>
      </c>
      <c r="P156" s="42">
        <f>IF(B156="","",ROUND((IF(E156="",0,E156)+IF(F156="",0,F156))/60,3))</f>
        <v>0</v>
      </c>
      <c r="Q156" s="26">
        <f>IF(B156="","",IF(H156&lt;&gt;"",H156,IF(G156="",0,ROUND(G156*ProductCostPercent,2))))</f>
        <v>0</v>
      </c>
      <c r="R156" s="26">
        <f>IF(B156="","",IF(J156="No",0,IF(G156="",0,ROUND(G156*ServiceCommission,2))))</f>
        <v>0</v>
      </c>
      <c r="S156" s="26">
        <f>IF(B156="","",ROUND(Q156+R156,2))</f>
        <v>0</v>
      </c>
      <c r="T156" s="26">
        <f>IF(B156="","",IF(G156="","",ROUND(G156-S156,2)))</f>
        <v>0</v>
      </c>
      <c r="U156" s="27">
        <f>IF(B156="","",IF(G156="","",IF(G156=0,"",T156/G156)))</f>
        <v>0</v>
      </c>
      <c r="V156" s="26">
        <f>IF(B156="","",IF(G156="","",IF(P156=0,"",ROUND(G156/P156,2))))</f>
        <v>0</v>
      </c>
      <c r="W156" s="26">
        <f>IF(B156="","",IF(T156="","",IF(P156=0,"",ROUND(T156/P156,2))))</f>
        <v>0</v>
      </c>
      <c r="X156" s="26">
        <f>IF(B156="","",IF(P156=0,"",IF(ServiceCommission&gt;=1,"",(Q156+TargetChairRate*P156)/IF(J156="No",1,1-ServiceCommission))))</f>
        <v>0</v>
      </c>
      <c r="Y156" s="26">
        <f>IF(B156="","",IF(X156="","",ROUND(IF(RoundingRule="None",X156,IF(RoundingRule="Nearest 0.99",MAX(0.99,CEILING(X156,1)-0.01),IF(RoundingRule="Nearest 0.95",MAX(0.95,CEILING(X156,1)-0.05),IF(RoundingRule="Nearest 0.50",CEILING(X156,0.5),IF(RoundingRule="Nearest 1",CEILING(X156,1),IF(RoundingRule="Nearest 5",CEILING(X156,5),IF(RoundingRule="Up to whole 1",CEILING(X156,1),IF(RoundingRule="Up to whole 5",CEILING(X156,5),ROUND(X156,2))))))))),2)))</f>
        <v>0</v>
      </c>
      <c r="Z156" s="26">
        <f>IF(B156="","",IF(Y156="","",IF(G156="","",ROUND(G156-Y156,2))))</f>
        <v>0</v>
      </c>
      <c r="AA156" s="25">
        <f>IF(B156="","",COUNTIFS(Appointments!$G$5:$G$1204,A156))</f>
        <v>0</v>
      </c>
      <c r="AB156" s="25">
        <f>IF(B156="","",COUNTIFS(Appointments!$G$5:$G$1204,A156,Appointments!$M$5:$M$1204,"Completed"))</f>
        <v>0</v>
      </c>
      <c r="AC156" s="25">
        <f>IF(B156="","",SUMIFS(Sales!$K$5:$K$1204,Sales!$I$5:$I$1204,A156,Sales!$H$5:$H$1204,"Service"))</f>
        <v>0</v>
      </c>
      <c r="AD156" s="26">
        <f>IF(B156="","",ROUND(SUMIFS(Sales!$Y$5:$Y$1204,Sales!$I$5:$I$1204,A156,Sales!$H$5:$H$1204,"Service"),2))</f>
        <v>0</v>
      </c>
      <c r="AE156" s="27">
        <f>IF(B156="","",IF(ServiceRevenueAll=0,"",AD156/ServiceRevenueAll))</f>
        <v>0</v>
      </c>
      <c r="AF156" s="26">
        <f>IF(B156="","",ROUND(AC156*T156,2))</f>
        <v>0</v>
      </c>
      <c r="AG156" s="37">
        <f>IF(B156="","",ROUND(AC156*P156,1))</f>
        <v>0</v>
      </c>
      <c r="AH156" s="27">
        <f>IF(B156="","",IF(AB156=0,"",COUNTIFS(Sales!$I$5:$I$1204,A156,Sales!$AJ$5:$AJ$1204,"Yes")/AB156))</f>
        <v>0</v>
      </c>
      <c r="AI156" s="17">
        <f>IF(B156="","",IFERROR(IF(COUNTIFS(Appointments!$G$5:$G$1204,A156)=0,"",SUMPRODUCT(MAX((Appointments!$G$5:$G$1204=A156)*IFERROR(Appointments!$B$5:$B$1204*1,0)))),""))</f>
        <v>0</v>
      </c>
      <c r="AJ156" s="25">
        <f>IF(B156="","",COUNTIFS($AD$5:$AD$204,"&gt;"&amp;AD156)+COUNTIFS($AD$5:AD156,AD156))</f>
        <v>0</v>
      </c>
      <c r="AK156" s="25">
        <f>IF(B156="","",COUNTIFS($W$5:$W$204,"&gt;"&amp;W156)+COUNTIFS($W$5:W156,W156))</f>
        <v>0</v>
      </c>
      <c r="AL156" s="25">
        <f>IF(B156="","",COUNTIFS($AB$5:$AB$204,"&gt;"&amp;AB156)+COUNTIFS($AB$5:AB156,AB156))</f>
        <v>0</v>
      </c>
      <c r="AM156" s="39">
        <f>IF(B156="","",IF(G156="","Add - no price yet",IF(E156="","Add - how long does it take?",IF(T156&lt;0,"Loss - this service costs you money",IF(V156&lt;TargetChairRate*0.7,"Check - well under your chair rate",IF(IF(N156="",FALSE,TodayDate-N156&gt;PriceReviewDays),"Due - price has not been reviewed",IF(IF(M156="Active",AB156=0,FALSE),"Check - on the menu but never booked","OK")))))))</f>
        <v>0</v>
      </c>
    </row>
    <row r="157" spans="1:39">
      <c r="A157" s="28">
        <f>IF(B157="","",ServicePrefix&amp;TEXT(ROW()-4,"000"))</f>
        <v>0</v>
      </c>
      <c r="P157" s="42">
        <f>IF(B157="","",ROUND((IF(E157="",0,E157)+IF(F157="",0,F157))/60,3))</f>
        <v>0</v>
      </c>
      <c r="Q157" s="26">
        <f>IF(B157="","",IF(H157&lt;&gt;"",H157,IF(G157="",0,ROUND(G157*ProductCostPercent,2))))</f>
        <v>0</v>
      </c>
      <c r="R157" s="26">
        <f>IF(B157="","",IF(J157="No",0,IF(G157="",0,ROUND(G157*ServiceCommission,2))))</f>
        <v>0</v>
      </c>
      <c r="S157" s="26">
        <f>IF(B157="","",ROUND(Q157+R157,2))</f>
        <v>0</v>
      </c>
      <c r="T157" s="26">
        <f>IF(B157="","",IF(G157="","",ROUND(G157-S157,2)))</f>
        <v>0</v>
      </c>
      <c r="U157" s="27">
        <f>IF(B157="","",IF(G157="","",IF(G157=0,"",T157/G157)))</f>
        <v>0</v>
      </c>
      <c r="V157" s="26">
        <f>IF(B157="","",IF(G157="","",IF(P157=0,"",ROUND(G157/P157,2))))</f>
        <v>0</v>
      </c>
      <c r="W157" s="26">
        <f>IF(B157="","",IF(T157="","",IF(P157=0,"",ROUND(T157/P157,2))))</f>
        <v>0</v>
      </c>
      <c r="X157" s="26">
        <f>IF(B157="","",IF(P157=0,"",IF(ServiceCommission&gt;=1,"",(Q157+TargetChairRate*P157)/IF(J157="No",1,1-ServiceCommission))))</f>
        <v>0</v>
      </c>
      <c r="Y157" s="26">
        <f>IF(B157="","",IF(X157="","",ROUND(IF(RoundingRule="None",X157,IF(RoundingRule="Nearest 0.99",MAX(0.99,CEILING(X157,1)-0.01),IF(RoundingRule="Nearest 0.95",MAX(0.95,CEILING(X157,1)-0.05),IF(RoundingRule="Nearest 0.50",CEILING(X157,0.5),IF(RoundingRule="Nearest 1",CEILING(X157,1),IF(RoundingRule="Nearest 5",CEILING(X157,5),IF(RoundingRule="Up to whole 1",CEILING(X157,1),IF(RoundingRule="Up to whole 5",CEILING(X157,5),ROUND(X157,2))))))))),2)))</f>
        <v>0</v>
      </c>
      <c r="Z157" s="26">
        <f>IF(B157="","",IF(Y157="","",IF(G157="","",ROUND(G157-Y157,2))))</f>
        <v>0</v>
      </c>
      <c r="AA157" s="25">
        <f>IF(B157="","",COUNTIFS(Appointments!$G$5:$G$1204,A157))</f>
        <v>0</v>
      </c>
      <c r="AB157" s="25">
        <f>IF(B157="","",COUNTIFS(Appointments!$G$5:$G$1204,A157,Appointments!$M$5:$M$1204,"Completed"))</f>
        <v>0</v>
      </c>
      <c r="AC157" s="25">
        <f>IF(B157="","",SUMIFS(Sales!$K$5:$K$1204,Sales!$I$5:$I$1204,A157,Sales!$H$5:$H$1204,"Service"))</f>
        <v>0</v>
      </c>
      <c r="AD157" s="26">
        <f>IF(B157="","",ROUND(SUMIFS(Sales!$Y$5:$Y$1204,Sales!$I$5:$I$1204,A157,Sales!$H$5:$H$1204,"Service"),2))</f>
        <v>0</v>
      </c>
      <c r="AE157" s="27">
        <f>IF(B157="","",IF(ServiceRevenueAll=0,"",AD157/ServiceRevenueAll))</f>
        <v>0</v>
      </c>
      <c r="AF157" s="26">
        <f>IF(B157="","",ROUND(AC157*T157,2))</f>
        <v>0</v>
      </c>
      <c r="AG157" s="37">
        <f>IF(B157="","",ROUND(AC157*P157,1))</f>
        <v>0</v>
      </c>
      <c r="AH157" s="27">
        <f>IF(B157="","",IF(AB157=0,"",COUNTIFS(Sales!$I$5:$I$1204,A157,Sales!$AJ$5:$AJ$1204,"Yes")/AB157))</f>
        <v>0</v>
      </c>
      <c r="AI157" s="17">
        <f>IF(B157="","",IFERROR(IF(COUNTIFS(Appointments!$G$5:$G$1204,A157)=0,"",SUMPRODUCT(MAX((Appointments!$G$5:$G$1204=A157)*IFERROR(Appointments!$B$5:$B$1204*1,0)))),""))</f>
        <v>0</v>
      </c>
      <c r="AJ157" s="25">
        <f>IF(B157="","",COUNTIFS($AD$5:$AD$204,"&gt;"&amp;AD157)+COUNTIFS($AD$5:AD157,AD157))</f>
        <v>0</v>
      </c>
      <c r="AK157" s="25">
        <f>IF(B157="","",COUNTIFS($W$5:$W$204,"&gt;"&amp;W157)+COUNTIFS($W$5:W157,W157))</f>
        <v>0</v>
      </c>
      <c r="AL157" s="25">
        <f>IF(B157="","",COUNTIFS($AB$5:$AB$204,"&gt;"&amp;AB157)+COUNTIFS($AB$5:AB157,AB157))</f>
        <v>0</v>
      </c>
      <c r="AM157" s="39">
        <f>IF(B157="","",IF(G157="","Add - no price yet",IF(E157="","Add - how long does it take?",IF(T157&lt;0,"Loss - this service costs you money",IF(V157&lt;TargetChairRate*0.7,"Check - well under your chair rate",IF(IF(N157="",FALSE,TodayDate-N157&gt;PriceReviewDays),"Due - price has not been reviewed",IF(IF(M157="Active",AB157=0,FALSE),"Check - on the menu but never booked","OK")))))))</f>
        <v>0</v>
      </c>
    </row>
    <row r="158" spans="1:39">
      <c r="A158" s="28">
        <f>IF(B158="","",ServicePrefix&amp;TEXT(ROW()-4,"000"))</f>
        <v>0</v>
      </c>
      <c r="P158" s="42">
        <f>IF(B158="","",ROUND((IF(E158="",0,E158)+IF(F158="",0,F158))/60,3))</f>
        <v>0</v>
      </c>
      <c r="Q158" s="26">
        <f>IF(B158="","",IF(H158&lt;&gt;"",H158,IF(G158="",0,ROUND(G158*ProductCostPercent,2))))</f>
        <v>0</v>
      </c>
      <c r="R158" s="26">
        <f>IF(B158="","",IF(J158="No",0,IF(G158="",0,ROUND(G158*ServiceCommission,2))))</f>
        <v>0</v>
      </c>
      <c r="S158" s="26">
        <f>IF(B158="","",ROUND(Q158+R158,2))</f>
        <v>0</v>
      </c>
      <c r="T158" s="26">
        <f>IF(B158="","",IF(G158="","",ROUND(G158-S158,2)))</f>
        <v>0</v>
      </c>
      <c r="U158" s="27">
        <f>IF(B158="","",IF(G158="","",IF(G158=0,"",T158/G158)))</f>
        <v>0</v>
      </c>
      <c r="V158" s="26">
        <f>IF(B158="","",IF(G158="","",IF(P158=0,"",ROUND(G158/P158,2))))</f>
        <v>0</v>
      </c>
      <c r="W158" s="26">
        <f>IF(B158="","",IF(T158="","",IF(P158=0,"",ROUND(T158/P158,2))))</f>
        <v>0</v>
      </c>
      <c r="X158" s="26">
        <f>IF(B158="","",IF(P158=0,"",IF(ServiceCommission&gt;=1,"",(Q158+TargetChairRate*P158)/IF(J158="No",1,1-ServiceCommission))))</f>
        <v>0</v>
      </c>
      <c r="Y158" s="26">
        <f>IF(B158="","",IF(X158="","",ROUND(IF(RoundingRule="None",X158,IF(RoundingRule="Nearest 0.99",MAX(0.99,CEILING(X158,1)-0.01),IF(RoundingRule="Nearest 0.95",MAX(0.95,CEILING(X158,1)-0.05),IF(RoundingRule="Nearest 0.50",CEILING(X158,0.5),IF(RoundingRule="Nearest 1",CEILING(X158,1),IF(RoundingRule="Nearest 5",CEILING(X158,5),IF(RoundingRule="Up to whole 1",CEILING(X158,1),IF(RoundingRule="Up to whole 5",CEILING(X158,5),ROUND(X158,2))))))))),2)))</f>
        <v>0</v>
      </c>
      <c r="Z158" s="26">
        <f>IF(B158="","",IF(Y158="","",IF(G158="","",ROUND(G158-Y158,2))))</f>
        <v>0</v>
      </c>
      <c r="AA158" s="25">
        <f>IF(B158="","",COUNTIFS(Appointments!$G$5:$G$1204,A158))</f>
        <v>0</v>
      </c>
      <c r="AB158" s="25">
        <f>IF(B158="","",COUNTIFS(Appointments!$G$5:$G$1204,A158,Appointments!$M$5:$M$1204,"Completed"))</f>
        <v>0</v>
      </c>
      <c r="AC158" s="25">
        <f>IF(B158="","",SUMIFS(Sales!$K$5:$K$1204,Sales!$I$5:$I$1204,A158,Sales!$H$5:$H$1204,"Service"))</f>
        <v>0</v>
      </c>
      <c r="AD158" s="26">
        <f>IF(B158="","",ROUND(SUMIFS(Sales!$Y$5:$Y$1204,Sales!$I$5:$I$1204,A158,Sales!$H$5:$H$1204,"Service"),2))</f>
        <v>0</v>
      </c>
      <c r="AE158" s="27">
        <f>IF(B158="","",IF(ServiceRevenueAll=0,"",AD158/ServiceRevenueAll))</f>
        <v>0</v>
      </c>
      <c r="AF158" s="26">
        <f>IF(B158="","",ROUND(AC158*T158,2))</f>
        <v>0</v>
      </c>
      <c r="AG158" s="37">
        <f>IF(B158="","",ROUND(AC158*P158,1))</f>
        <v>0</v>
      </c>
      <c r="AH158" s="27">
        <f>IF(B158="","",IF(AB158=0,"",COUNTIFS(Sales!$I$5:$I$1204,A158,Sales!$AJ$5:$AJ$1204,"Yes")/AB158))</f>
        <v>0</v>
      </c>
      <c r="AI158" s="17">
        <f>IF(B158="","",IFERROR(IF(COUNTIFS(Appointments!$G$5:$G$1204,A158)=0,"",SUMPRODUCT(MAX((Appointments!$G$5:$G$1204=A158)*IFERROR(Appointments!$B$5:$B$1204*1,0)))),""))</f>
        <v>0</v>
      </c>
      <c r="AJ158" s="25">
        <f>IF(B158="","",COUNTIFS($AD$5:$AD$204,"&gt;"&amp;AD158)+COUNTIFS($AD$5:AD158,AD158))</f>
        <v>0</v>
      </c>
      <c r="AK158" s="25">
        <f>IF(B158="","",COUNTIFS($W$5:$W$204,"&gt;"&amp;W158)+COUNTIFS($W$5:W158,W158))</f>
        <v>0</v>
      </c>
      <c r="AL158" s="25">
        <f>IF(B158="","",COUNTIFS($AB$5:$AB$204,"&gt;"&amp;AB158)+COUNTIFS($AB$5:AB158,AB158))</f>
        <v>0</v>
      </c>
      <c r="AM158" s="39">
        <f>IF(B158="","",IF(G158="","Add - no price yet",IF(E158="","Add - how long does it take?",IF(T158&lt;0,"Loss - this service costs you money",IF(V158&lt;TargetChairRate*0.7,"Check - well under your chair rate",IF(IF(N158="",FALSE,TodayDate-N158&gt;PriceReviewDays),"Due - price has not been reviewed",IF(IF(M158="Active",AB158=0,FALSE),"Check - on the menu but never booked","OK")))))))</f>
        <v>0</v>
      </c>
    </row>
    <row r="159" spans="1:39">
      <c r="A159" s="28">
        <f>IF(B159="","",ServicePrefix&amp;TEXT(ROW()-4,"000"))</f>
        <v>0</v>
      </c>
      <c r="P159" s="42">
        <f>IF(B159="","",ROUND((IF(E159="",0,E159)+IF(F159="",0,F159))/60,3))</f>
        <v>0</v>
      </c>
      <c r="Q159" s="26">
        <f>IF(B159="","",IF(H159&lt;&gt;"",H159,IF(G159="",0,ROUND(G159*ProductCostPercent,2))))</f>
        <v>0</v>
      </c>
      <c r="R159" s="26">
        <f>IF(B159="","",IF(J159="No",0,IF(G159="",0,ROUND(G159*ServiceCommission,2))))</f>
        <v>0</v>
      </c>
      <c r="S159" s="26">
        <f>IF(B159="","",ROUND(Q159+R159,2))</f>
        <v>0</v>
      </c>
      <c r="T159" s="26">
        <f>IF(B159="","",IF(G159="","",ROUND(G159-S159,2)))</f>
        <v>0</v>
      </c>
      <c r="U159" s="27">
        <f>IF(B159="","",IF(G159="","",IF(G159=0,"",T159/G159)))</f>
        <v>0</v>
      </c>
      <c r="V159" s="26">
        <f>IF(B159="","",IF(G159="","",IF(P159=0,"",ROUND(G159/P159,2))))</f>
        <v>0</v>
      </c>
      <c r="W159" s="26">
        <f>IF(B159="","",IF(T159="","",IF(P159=0,"",ROUND(T159/P159,2))))</f>
        <v>0</v>
      </c>
      <c r="X159" s="26">
        <f>IF(B159="","",IF(P159=0,"",IF(ServiceCommission&gt;=1,"",(Q159+TargetChairRate*P159)/IF(J159="No",1,1-ServiceCommission))))</f>
        <v>0</v>
      </c>
      <c r="Y159" s="26">
        <f>IF(B159="","",IF(X159="","",ROUND(IF(RoundingRule="None",X159,IF(RoundingRule="Nearest 0.99",MAX(0.99,CEILING(X159,1)-0.01),IF(RoundingRule="Nearest 0.95",MAX(0.95,CEILING(X159,1)-0.05),IF(RoundingRule="Nearest 0.50",CEILING(X159,0.5),IF(RoundingRule="Nearest 1",CEILING(X159,1),IF(RoundingRule="Nearest 5",CEILING(X159,5),IF(RoundingRule="Up to whole 1",CEILING(X159,1),IF(RoundingRule="Up to whole 5",CEILING(X159,5),ROUND(X159,2))))))))),2)))</f>
        <v>0</v>
      </c>
      <c r="Z159" s="26">
        <f>IF(B159="","",IF(Y159="","",IF(G159="","",ROUND(G159-Y159,2))))</f>
        <v>0</v>
      </c>
      <c r="AA159" s="25">
        <f>IF(B159="","",COUNTIFS(Appointments!$G$5:$G$1204,A159))</f>
        <v>0</v>
      </c>
      <c r="AB159" s="25">
        <f>IF(B159="","",COUNTIFS(Appointments!$G$5:$G$1204,A159,Appointments!$M$5:$M$1204,"Completed"))</f>
        <v>0</v>
      </c>
      <c r="AC159" s="25">
        <f>IF(B159="","",SUMIFS(Sales!$K$5:$K$1204,Sales!$I$5:$I$1204,A159,Sales!$H$5:$H$1204,"Service"))</f>
        <v>0</v>
      </c>
      <c r="AD159" s="26">
        <f>IF(B159="","",ROUND(SUMIFS(Sales!$Y$5:$Y$1204,Sales!$I$5:$I$1204,A159,Sales!$H$5:$H$1204,"Service"),2))</f>
        <v>0</v>
      </c>
      <c r="AE159" s="27">
        <f>IF(B159="","",IF(ServiceRevenueAll=0,"",AD159/ServiceRevenueAll))</f>
        <v>0</v>
      </c>
      <c r="AF159" s="26">
        <f>IF(B159="","",ROUND(AC159*T159,2))</f>
        <v>0</v>
      </c>
      <c r="AG159" s="37">
        <f>IF(B159="","",ROUND(AC159*P159,1))</f>
        <v>0</v>
      </c>
      <c r="AH159" s="27">
        <f>IF(B159="","",IF(AB159=0,"",COUNTIFS(Sales!$I$5:$I$1204,A159,Sales!$AJ$5:$AJ$1204,"Yes")/AB159))</f>
        <v>0</v>
      </c>
      <c r="AI159" s="17">
        <f>IF(B159="","",IFERROR(IF(COUNTIFS(Appointments!$G$5:$G$1204,A159)=0,"",SUMPRODUCT(MAX((Appointments!$G$5:$G$1204=A159)*IFERROR(Appointments!$B$5:$B$1204*1,0)))),""))</f>
        <v>0</v>
      </c>
      <c r="AJ159" s="25">
        <f>IF(B159="","",COUNTIFS($AD$5:$AD$204,"&gt;"&amp;AD159)+COUNTIFS($AD$5:AD159,AD159))</f>
        <v>0</v>
      </c>
      <c r="AK159" s="25">
        <f>IF(B159="","",COUNTIFS($W$5:$W$204,"&gt;"&amp;W159)+COUNTIFS($W$5:W159,W159))</f>
        <v>0</v>
      </c>
      <c r="AL159" s="25">
        <f>IF(B159="","",COUNTIFS($AB$5:$AB$204,"&gt;"&amp;AB159)+COUNTIFS($AB$5:AB159,AB159))</f>
        <v>0</v>
      </c>
      <c r="AM159" s="39">
        <f>IF(B159="","",IF(G159="","Add - no price yet",IF(E159="","Add - how long does it take?",IF(T159&lt;0,"Loss - this service costs you money",IF(V159&lt;TargetChairRate*0.7,"Check - well under your chair rate",IF(IF(N159="",FALSE,TodayDate-N159&gt;PriceReviewDays),"Due - price has not been reviewed",IF(IF(M159="Active",AB159=0,FALSE),"Check - on the menu but never booked","OK")))))))</f>
        <v>0</v>
      </c>
    </row>
    <row r="160" spans="1:39">
      <c r="A160" s="28">
        <f>IF(B160="","",ServicePrefix&amp;TEXT(ROW()-4,"000"))</f>
        <v>0</v>
      </c>
      <c r="P160" s="42">
        <f>IF(B160="","",ROUND((IF(E160="",0,E160)+IF(F160="",0,F160))/60,3))</f>
        <v>0</v>
      </c>
      <c r="Q160" s="26">
        <f>IF(B160="","",IF(H160&lt;&gt;"",H160,IF(G160="",0,ROUND(G160*ProductCostPercent,2))))</f>
        <v>0</v>
      </c>
      <c r="R160" s="26">
        <f>IF(B160="","",IF(J160="No",0,IF(G160="",0,ROUND(G160*ServiceCommission,2))))</f>
        <v>0</v>
      </c>
      <c r="S160" s="26">
        <f>IF(B160="","",ROUND(Q160+R160,2))</f>
        <v>0</v>
      </c>
      <c r="T160" s="26">
        <f>IF(B160="","",IF(G160="","",ROUND(G160-S160,2)))</f>
        <v>0</v>
      </c>
      <c r="U160" s="27">
        <f>IF(B160="","",IF(G160="","",IF(G160=0,"",T160/G160)))</f>
        <v>0</v>
      </c>
      <c r="V160" s="26">
        <f>IF(B160="","",IF(G160="","",IF(P160=0,"",ROUND(G160/P160,2))))</f>
        <v>0</v>
      </c>
      <c r="W160" s="26">
        <f>IF(B160="","",IF(T160="","",IF(P160=0,"",ROUND(T160/P160,2))))</f>
        <v>0</v>
      </c>
      <c r="X160" s="26">
        <f>IF(B160="","",IF(P160=0,"",IF(ServiceCommission&gt;=1,"",(Q160+TargetChairRate*P160)/IF(J160="No",1,1-ServiceCommission))))</f>
        <v>0</v>
      </c>
      <c r="Y160" s="26">
        <f>IF(B160="","",IF(X160="","",ROUND(IF(RoundingRule="None",X160,IF(RoundingRule="Nearest 0.99",MAX(0.99,CEILING(X160,1)-0.01),IF(RoundingRule="Nearest 0.95",MAX(0.95,CEILING(X160,1)-0.05),IF(RoundingRule="Nearest 0.50",CEILING(X160,0.5),IF(RoundingRule="Nearest 1",CEILING(X160,1),IF(RoundingRule="Nearest 5",CEILING(X160,5),IF(RoundingRule="Up to whole 1",CEILING(X160,1),IF(RoundingRule="Up to whole 5",CEILING(X160,5),ROUND(X160,2))))))))),2)))</f>
        <v>0</v>
      </c>
      <c r="Z160" s="26">
        <f>IF(B160="","",IF(Y160="","",IF(G160="","",ROUND(G160-Y160,2))))</f>
        <v>0</v>
      </c>
      <c r="AA160" s="25">
        <f>IF(B160="","",COUNTIFS(Appointments!$G$5:$G$1204,A160))</f>
        <v>0</v>
      </c>
      <c r="AB160" s="25">
        <f>IF(B160="","",COUNTIFS(Appointments!$G$5:$G$1204,A160,Appointments!$M$5:$M$1204,"Completed"))</f>
        <v>0</v>
      </c>
      <c r="AC160" s="25">
        <f>IF(B160="","",SUMIFS(Sales!$K$5:$K$1204,Sales!$I$5:$I$1204,A160,Sales!$H$5:$H$1204,"Service"))</f>
        <v>0</v>
      </c>
      <c r="AD160" s="26">
        <f>IF(B160="","",ROUND(SUMIFS(Sales!$Y$5:$Y$1204,Sales!$I$5:$I$1204,A160,Sales!$H$5:$H$1204,"Service"),2))</f>
        <v>0</v>
      </c>
      <c r="AE160" s="27">
        <f>IF(B160="","",IF(ServiceRevenueAll=0,"",AD160/ServiceRevenueAll))</f>
        <v>0</v>
      </c>
      <c r="AF160" s="26">
        <f>IF(B160="","",ROUND(AC160*T160,2))</f>
        <v>0</v>
      </c>
      <c r="AG160" s="37">
        <f>IF(B160="","",ROUND(AC160*P160,1))</f>
        <v>0</v>
      </c>
      <c r="AH160" s="27">
        <f>IF(B160="","",IF(AB160=0,"",COUNTIFS(Sales!$I$5:$I$1204,A160,Sales!$AJ$5:$AJ$1204,"Yes")/AB160))</f>
        <v>0</v>
      </c>
      <c r="AI160" s="17">
        <f>IF(B160="","",IFERROR(IF(COUNTIFS(Appointments!$G$5:$G$1204,A160)=0,"",SUMPRODUCT(MAX((Appointments!$G$5:$G$1204=A160)*IFERROR(Appointments!$B$5:$B$1204*1,0)))),""))</f>
        <v>0</v>
      </c>
      <c r="AJ160" s="25">
        <f>IF(B160="","",COUNTIFS($AD$5:$AD$204,"&gt;"&amp;AD160)+COUNTIFS($AD$5:AD160,AD160))</f>
        <v>0</v>
      </c>
      <c r="AK160" s="25">
        <f>IF(B160="","",COUNTIFS($W$5:$W$204,"&gt;"&amp;W160)+COUNTIFS($W$5:W160,W160))</f>
        <v>0</v>
      </c>
      <c r="AL160" s="25">
        <f>IF(B160="","",COUNTIFS($AB$5:$AB$204,"&gt;"&amp;AB160)+COUNTIFS($AB$5:AB160,AB160))</f>
        <v>0</v>
      </c>
      <c r="AM160" s="39">
        <f>IF(B160="","",IF(G160="","Add - no price yet",IF(E160="","Add - how long does it take?",IF(T160&lt;0,"Loss - this service costs you money",IF(V160&lt;TargetChairRate*0.7,"Check - well under your chair rate",IF(IF(N160="",FALSE,TodayDate-N160&gt;PriceReviewDays),"Due - price has not been reviewed",IF(IF(M160="Active",AB160=0,FALSE),"Check - on the menu but never booked","OK")))))))</f>
        <v>0</v>
      </c>
    </row>
    <row r="161" spans="1:39">
      <c r="A161" s="28">
        <f>IF(B161="","",ServicePrefix&amp;TEXT(ROW()-4,"000"))</f>
        <v>0</v>
      </c>
      <c r="P161" s="42">
        <f>IF(B161="","",ROUND((IF(E161="",0,E161)+IF(F161="",0,F161))/60,3))</f>
        <v>0</v>
      </c>
      <c r="Q161" s="26">
        <f>IF(B161="","",IF(H161&lt;&gt;"",H161,IF(G161="",0,ROUND(G161*ProductCostPercent,2))))</f>
        <v>0</v>
      </c>
      <c r="R161" s="26">
        <f>IF(B161="","",IF(J161="No",0,IF(G161="",0,ROUND(G161*ServiceCommission,2))))</f>
        <v>0</v>
      </c>
      <c r="S161" s="26">
        <f>IF(B161="","",ROUND(Q161+R161,2))</f>
        <v>0</v>
      </c>
      <c r="T161" s="26">
        <f>IF(B161="","",IF(G161="","",ROUND(G161-S161,2)))</f>
        <v>0</v>
      </c>
      <c r="U161" s="27">
        <f>IF(B161="","",IF(G161="","",IF(G161=0,"",T161/G161)))</f>
        <v>0</v>
      </c>
      <c r="V161" s="26">
        <f>IF(B161="","",IF(G161="","",IF(P161=0,"",ROUND(G161/P161,2))))</f>
        <v>0</v>
      </c>
      <c r="W161" s="26">
        <f>IF(B161="","",IF(T161="","",IF(P161=0,"",ROUND(T161/P161,2))))</f>
        <v>0</v>
      </c>
      <c r="X161" s="26">
        <f>IF(B161="","",IF(P161=0,"",IF(ServiceCommission&gt;=1,"",(Q161+TargetChairRate*P161)/IF(J161="No",1,1-ServiceCommission))))</f>
        <v>0</v>
      </c>
      <c r="Y161" s="26">
        <f>IF(B161="","",IF(X161="","",ROUND(IF(RoundingRule="None",X161,IF(RoundingRule="Nearest 0.99",MAX(0.99,CEILING(X161,1)-0.01),IF(RoundingRule="Nearest 0.95",MAX(0.95,CEILING(X161,1)-0.05),IF(RoundingRule="Nearest 0.50",CEILING(X161,0.5),IF(RoundingRule="Nearest 1",CEILING(X161,1),IF(RoundingRule="Nearest 5",CEILING(X161,5),IF(RoundingRule="Up to whole 1",CEILING(X161,1),IF(RoundingRule="Up to whole 5",CEILING(X161,5),ROUND(X161,2))))))))),2)))</f>
        <v>0</v>
      </c>
      <c r="Z161" s="26">
        <f>IF(B161="","",IF(Y161="","",IF(G161="","",ROUND(G161-Y161,2))))</f>
        <v>0</v>
      </c>
      <c r="AA161" s="25">
        <f>IF(B161="","",COUNTIFS(Appointments!$G$5:$G$1204,A161))</f>
        <v>0</v>
      </c>
      <c r="AB161" s="25">
        <f>IF(B161="","",COUNTIFS(Appointments!$G$5:$G$1204,A161,Appointments!$M$5:$M$1204,"Completed"))</f>
        <v>0</v>
      </c>
      <c r="AC161" s="25">
        <f>IF(B161="","",SUMIFS(Sales!$K$5:$K$1204,Sales!$I$5:$I$1204,A161,Sales!$H$5:$H$1204,"Service"))</f>
        <v>0</v>
      </c>
      <c r="AD161" s="26">
        <f>IF(B161="","",ROUND(SUMIFS(Sales!$Y$5:$Y$1204,Sales!$I$5:$I$1204,A161,Sales!$H$5:$H$1204,"Service"),2))</f>
        <v>0</v>
      </c>
      <c r="AE161" s="27">
        <f>IF(B161="","",IF(ServiceRevenueAll=0,"",AD161/ServiceRevenueAll))</f>
        <v>0</v>
      </c>
      <c r="AF161" s="26">
        <f>IF(B161="","",ROUND(AC161*T161,2))</f>
        <v>0</v>
      </c>
      <c r="AG161" s="37">
        <f>IF(B161="","",ROUND(AC161*P161,1))</f>
        <v>0</v>
      </c>
      <c r="AH161" s="27">
        <f>IF(B161="","",IF(AB161=0,"",COUNTIFS(Sales!$I$5:$I$1204,A161,Sales!$AJ$5:$AJ$1204,"Yes")/AB161))</f>
        <v>0</v>
      </c>
      <c r="AI161" s="17">
        <f>IF(B161="","",IFERROR(IF(COUNTIFS(Appointments!$G$5:$G$1204,A161)=0,"",SUMPRODUCT(MAX((Appointments!$G$5:$G$1204=A161)*IFERROR(Appointments!$B$5:$B$1204*1,0)))),""))</f>
        <v>0</v>
      </c>
      <c r="AJ161" s="25">
        <f>IF(B161="","",COUNTIFS($AD$5:$AD$204,"&gt;"&amp;AD161)+COUNTIFS($AD$5:AD161,AD161))</f>
        <v>0</v>
      </c>
      <c r="AK161" s="25">
        <f>IF(B161="","",COUNTIFS($W$5:$W$204,"&gt;"&amp;W161)+COUNTIFS($W$5:W161,W161))</f>
        <v>0</v>
      </c>
      <c r="AL161" s="25">
        <f>IF(B161="","",COUNTIFS($AB$5:$AB$204,"&gt;"&amp;AB161)+COUNTIFS($AB$5:AB161,AB161))</f>
        <v>0</v>
      </c>
      <c r="AM161" s="39">
        <f>IF(B161="","",IF(G161="","Add - no price yet",IF(E161="","Add - how long does it take?",IF(T161&lt;0,"Loss - this service costs you money",IF(V161&lt;TargetChairRate*0.7,"Check - well under your chair rate",IF(IF(N161="",FALSE,TodayDate-N161&gt;PriceReviewDays),"Due - price has not been reviewed",IF(IF(M161="Active",AB161=0,FALSE),"Check - on the menu but never booked","OK")))))))</f>
        <v>0</v>
      </c>
    </row>
    <row r="162" spans="1:39">
      <c r="A162" s="28">
        <f>IF(B162="","",ServicePrefix&amp;TEXT(ROW()-4,"000"))</f>
        <v>0</v>
      </c>
      <c r="P162" s="42">
        <f>IF(B162="","",ROUND((IF(E162="",0,E162)+IF(F162="",0,F162))/60,3))</f>
        <v>0</v>
      </c>
      <c r="Q162" s="26">
        <f>IF(B162="","",IF(H162&lt;&gt;"",H162,IF(G162="",0,ROUND(G162*ProductCostPercent,2))))</f>
        <v>0</v>
      </c>
      <c r="R162" s="26">
        <f>IF(B162="","",IF(J162="No",0,IF(G162="",0,ROUND(G162*ServiceCommission,2))))</f>
        <v>0</v>
      </c>
      <c r="S162" s="26">
        <f>IF(B162="","",ROUND(Q162+R162,2))</f>
        <v>0</v>
      </c>
      <c r="T162" s="26">
        <f>IF(B162="","",IF(G162="","",ROUND(G162-S162,2)))</f>
        <v>0</v>
      </c>
      <c r="U162" s="27">
        <f>IF(B162="","",IF(G162="","",IF(G162=0,"",T162/G162)))</f>
        <v>0</v>
      </c>
      <c r="V162" s="26">
        <f>IF(B162="","",IF(G162="","",IF(P162=0,"",ROUND(G162/P162,2))))</f>
        <v>0</v>
      </c>
      <c r="W162" s="26">
        <f>IF(B162="","",IF(T162="","",IF(P162=0,"",ROUND(T162/P162,2))))</f>
        <v>0</v>
      </c>
      <c r="X162" s="26">
        <f>IF(B162="","",IF(P162=0,"",IF(ServiceCommission&gt;=1,"",(Q162+TargetChairRate*P162)/IF(J162="No",1,1-ServiceCommission))))</f>
        <v>0</v>
      </c>
      <c r="Y162" s="26">
        <f>IF(B162="","",IF(X162="","",ROUND(IF(RoundingRule="None",X162,IF(RoundingRule="Nearest 0.99",MAX(0.99,CEILING(X162,1)-0.01),IF(RoundingRule="Nearest 0.95",MAX(0.95,CEILING(X162,1)-0.05),IF(RoundingRule="Nearest 0.50",CEILING(X162,0.5),IF(RoundingRule="Nearest 1",CEILING(X162,1),IF(RoundingRule="Nearest 5",CEILING(X162,5),IF(RoundingRule="Up to whole 1",CEILING(X162,1),IF(RoundingRule="Up to whole 5",CEILING(X162,5),ROUND(X162,2))))))))),2)))</f>
        <v>0</v>
      </c>
      <c r="Z162" s="26">
        <f>IF(B162="","",IF(Y162="","",IF(G162="","",ROUND(G162-Y162,2))))</f>
        <v>0</v>
      </c>
      <c r="AA162" s="25">
        <f>IF(B162="","",COUNTIFS(Appointments!$G$5:$G$1204,A162))</f>
        <v>0</v>
      </c>
      <c r="AB162" s="25">
        <f>IF(B162="","",COUNTIFS(Appointments!$G$5:$G$1204,A162,Appointments!$M$5:$M$1204,"Completed"))</f>
        <v>0</v>
      </c>
      <c r="AC162" s="25">
        <f>IF(B162="","",SUMIFS(Sales!$K$5:$K$1204,Sales!$I$5:$I$1204,A162,Sales!$H$5:$H$1204,"Service"))</f>
        <v>0</v>
      </c>
      <c r="AD162" s="26">
        <f>IF(B162="","",ROUND(SUMIFS(Sales!$Y$5:$Y$1204,Sales!$I$5:$I$1204,A162,Sales!$H$5:$H$1204,"Service"),2))</f>
        <v>0</v>
      </c>
      <c r="AE162" s="27">
        <f>IF(B162="","",IF(ServiceRevenueAll=0,"",AD162/ServiceRevenueAll))</f>
        <v>0</v>
      </c>
      <c r="AF162" s="26">
        <f>IF(B162="","",ROUND(AC162*T162,2))</f>
        <v>0</v>
      </c>
      <c r="AG162" s="37">
        <f>IF(B162="","",ROUND(AC162*P162,1))</f>
        <v>0</v>
      </c>
      <c r="AH162" s="27">
        <f>IF(B162="","",IF(AB162=0,"",COUNTIFS(Sales!$I$5:$I$1204,A162,Sales!$AJ$5:$AJ$1204,"Yes")/AB162))</f>
        <v>0</v>
      </c>
      <c r="AI162" s="17">
        <f>IF(B162="","",IFERROR(IF(COUNTIFS(Appointments!$G$5:$G$1204,A162)=0,"",SUMPRODUCT(MAX((Appointments!$G$5:$G$1204=A162)*IFERROR(Appointments!$B$5:$B$1204*1,0)))),""))</f>
        <v>0</v>
      </c>
      <c r="AJ162" s="25">
        <f>IF(B162="","",COUNTIFS($AD$5:$AD$204,"&gt;"&amp;AD162)+COUNTIFS($AD$5:AD162,AD162))</f>
        <v>0</v>
      </c>
      <c r="AK162" s="25">
        <f>IF(B162="","",COUNTIFS($W$5:$W$204,"&gt;"&amp;W162)+COUNTIFS($W$5:W162,W162))</f>
        <v>0</v>
      </c>
      <c r="AL162" s="25">
        <f>IF(B162="","",COUNTIFS($AB$5:$AB$204,"&gt;"&amp;AB162)+COUNTIFS($AB$5:AB162,AB162))</f>
        <v>0</v>
      </c>
      <c r="AM162" s="39">
        <f>IF(B162="","",IF(G162="","Add - no price yet",IF(E162="","Add - how long does it take?",IF(T162&lt;0,"Loss - this service costs you money",IF(V162&lt;TargetChairRate*0.7,"Check - well under your chair rate",IF(IF(N162="",FALSE,TodayDate-N162&gt;PriceReviewDays),"Due - price has not been reviewed",IF(IF(M162="Active",AB162=0,FALSE),"Check - on the menu but never booked","OK")))))))</f>
        <v>0</v>
      </c>
    </row>
    <row r="163" spans="1:39">
      <c r="A163" s="28">
        <f>IF(B163="","",ServicePrefix&amp;TEXT(ROW()-4,"000"))</f>
        <v>0</v>
      </c>
      <c r="P163" s="42">
        <f>IF(B163="","",ROUND((IF(E163="",0,E163)+IF(F163="",0,F163))/60,3))</f>
        <v>0</v>
      </c>
      <c r="Q163" s="26">
        <f>IF(B163="","",IF(H163&lt;&gt;"",H163,IF(G163="",0,ROUND(G163*ProductCostPercent,2))))</f>
        <v>0</v>
      </c>
      <c r="R163" s="26">
        <f>IF(B163="","",IF(J163="No",0,IF(G163="",0,ROUND(G163*ServiceCommission,2))))</f>
        <v>0</v>
      </c>
      <c r="S163" s="26">
        <f>IF(B163="","",ROUND(Q163+R163,2))</f>
        <v>0</v>
      </c>
      <c r="T163" s="26">
        <f>IF(B163="","",IF(G163="","",ROUND(G163-S163,2)))</f>
        <v>0</v>
      </c>
      <c r="U163" s="27">
        <f>IF(B163="","",IF(G163="","",IF(G163=0,"",T163/G163)))</f>
        <v>0</v>
      </c>
      <c r="V163" s="26">
        <f>IF(B163="","",IF(G163="","",IF(P163=0,"",ROUND(G163/P163,2))))</f>
        <v>0</v>
      </c>
      <c r="W163" s="26">
        <f>IF(B163="","",IF(T163="","",IF(P163=0,"",ROUND(T163/P163,2))))</f>
        <v>0</v>
      </c>
      <c r="X163" s="26">
        <f>IF(B163="","",IF(P163=0,"",IF(ServiceCommission&gt;=1,"",(Q163+TargetChairRate*P163)/IF(J163="No",1,1-ServiceCommission))))</f>
        <v>0</v>
      </c>
      <c r="Y163" s="26">
        <f>IF(B163="","",IF(X163="","",ROUND(IF(RoundingRule="None",X163,IF(RoundingRule="Nearest 0.99",MAX(0.99,CEILING(X163,1)-0.01),IF(RoundingRule="Nearest 0.95",MAX(0.95,CEILING(X163,1)-0.05),IF(RoundingRule="Nearest 0.50",CEILING(X163,0.5),IF(RoundingRule="Nearest 1",CEILING(X163,1),IF(RoundingRule="Nearest 5",CEILING(X163,5),IF(RoundingRule="Up to whole 1",CEILING(X163,1),IF(RoundingRule="Up to whole 5",CEILING(X163,5),ROUND(X163,2))))))))),2)))</f>
        <v>0</v>
      </c>
      <c r="Z163" s="26">
        <f>IF(B163="","",IF(Y163="","",IF(G163="","",ROUND(G163-Y163,2))))</f>
        <v>0</v>
      </c>
      <c r="AA163" s="25">
        <f>IF(B163="","",COUNTIFS(Appointments!$G$5:$G$1204,A163))</f>
        <v>0</v>
      </c>
      <c r="AB163" s="25">
        <f>IF(B163="","",COUNTIFS(Appointments!$G$5:$G$1204,A163,Appointments!$M$5:$M$1204,"Completed"))</f>
        <v>0</v>
      </c>
      <c r="AC163" s="25">
        <f>IF(B163="","",SUMIFS(Sales!$K$5:$K$1204,Sales!$I$5:$I$1204,A163,Sales!$H$5:$H$1204,"Service"))</f>
        <v>0</v>
      </c>
      <c r="AD163" s="26">
        <f>IF(B163="","",ROUND(SUMIFS(Sales!$Y$5:$Y$1204,Sales!$I$5:$I$1204,A163,Sales!$H$5:$H$1204,"Service"),2))</f>
        <v>0</v>
      </c>
      <c r="AE163" s="27">
        <f>IF(B163="","",IF(ServiceRevenueAll=0,"",AD163/ServiceRevenueAll))</f>
        <v>0</v>
      </c>
      <c r="AF163" s="26">
        <f>IF(B163="","",ROUND(AC163*T163,2))</f>
        <v>0</v>
      </c>
      <c r="AG163" s="37">
        <f>IF(B163="","",ROUND(AC163*P163,1))</f>
        <v>0</v>
      </c>
      <c r="AH163" s="27">
        <f>IF(B163="","",IF(AB163=0,"",COUNTIFS(Sales!$I$5:$I$1204,A163,Sales!$AJ$5:$AJ$1204,"Yes")/AB163))</f>
        <v>0</v>
      </c>
      <c r="AI163" s="17">
        <f>IF(B163="","",IFERROR(IF(COUNTIFS(Appointments!$G$5:$G$1204,A163)=0,"",SUMPRODUCT(MAX((Appointments!$G$5:$G$1204=A163)*IFERROR(Appointments!$B$5:$B$1204*1,0)))),""))</f>
        <v>0</v>
      </c>
      <c r="AJ163" s="25">
        <f>IF(B163="","",COUNTIFS($AD$5:$AD$204,"&gt;"&amp;AD163)+COUNTIFS($AD$5:AD163,AD163))</f>
        <v>0</v>
      </c>
      <c r="AK163" s="25">
        <f>IF(B163="","",COUNTIFS($W$5:$W$204,"&gt;"&amp;W163)+COUNTIFS($W$5:W163,W163))</f>
        <v>0</v>
      </c>
      <c r="AL163" s="25">
        <f>IF(B163="","",COUNTIFS($AB$5:$AB$204,"&gt;"&amp;AB163)+COUNTIFS($AB$5:AB163,AB163))</f>
        <v>0</v>
      </c>
      <c r="AM163" s="39">
        <f>IF(B163="","",IF(G163="","Add - no price yet",IF(E163="","Add - how long does it take?",IF(T163&lt;0,"Loss - this service costs you money",IF(V163&lt;TargetChairRate*0.7,"Check - well under your chair rate",IF(IF(N163="",FALSE,TodayDate-N163&gt;PriceReviewDays),"Due - price has not been reviewed",IF(IF(M163="Active",AB163=0,FALSE),"Check - on the menu but never booked","OK")))))))</f>
        <v>0</v>
      </c>
    </row>
    <row r="164" spans="1:39">
      <c r="A164" s="28">
        <f>IF(B164="","",ServicePrefix&amp;TEXT(ROW()-4,"000"))</f>
        <v>0</v>
      </c>
      <c r="P164" s="42">
        <f>IF(B164="","",ROUND((IF(E164="",0,E164)+IF(F164="",0,F164))/60,3))</f>
        <v>0</v>
      </c>
      <c r="Q164" s="26">
        <f>IF(B164="","",IF(H164&lt;&gt;"",H164,IF(G164="",0,ROUND(G164*ProductCostPercent,2))))</f>
        <v>0</v>
      </c>
      <c r="R164" s="26">
        <f>IF(B164="","",IF(J164="No",0,IF(G164="",0,ROUND(G164*ServiceCommission,2))))</f>
        <v>0</v>
      </c>
      <c r="S164" s="26">
        <f>IF(B164="","",ROUND(Q164+R164,2))</f>
        <v>0</v>
      </c>
      <c r="T164" s="26">
        <f>IF(B164="","",IF(G164="","",ROUND(G164-S164,2)))</f>
        <v>0</v>
      </c>
      <c r="U164" s="27">
        <f>IF(B164="","",IF(G164="","",IF(G164=0,"",T164/G164)))</f>
        <v>0</v>
      </c>
      <c r="V164" s="26">
        <f>IF(B164="","",IF(G164="","",IF(P164=0,"",ROUND(G164/P164,2))))</f>
        <v>0</v>
      </c>
      <c r="W164" s="26">
        <f>IF(B164="","",IF(T164="","",IF(P164=0,"",ROUND(T164/P164,2))))</f>
        <v>0</v>
      </c>
      <c r="X164" s="26">
        <f>IF(B164="","",IF(P164=0,"",IF(ServiceCommission&gt;=1,"",(Q164+TargetChairRate*P164)/IF(J164="No",1,1-ServiceCommission))))</f>
        <v>0</v>
      </c>
      <c r="Y164" s="26">
        <f>IF(B164="","",IF(X164="","",ROUND(IF(RoundingRule="None",X164,IF(RoundingRule="Nearest 0.99",MAX(0.99,CEILING(X164,1)-0.01),IF(RoundingRule="Nearest 0.95",MAX(0.95,CEILING(X164,1)-0.05),IF(RoundingRule="Nearest 0.50",CEILING(X164,0.5),IF(RoundingRule="Nearest 1",CEILING(X164,1),IF(RoundingRule="Nearest 5",CEILING(X164,5),IF(RoundingRule="Up to whole 1",CEILING(X164,1),IF(RoundingRule="Up to whole 5",CEILING(X164,5),ROUND(X164,2))))))))),2)))</f>
        <v>0</v>
      </c>
      <c r="Z164" s="26">
        <f>IF(B164="","",IF(Y164="","",IF(G164="","",ROUND(G164-Y164,2))))</f>
        <v>0</v>
      </c>
      <c r="AA164" s="25">
        <f>IF(B164="","",COUNTIFS(Appointments!$G$5:$G$1204,A164))</f>
        <v>0</v>
      </c>
      <c r="AB164" s="25">
        <f>IF(B164="","",COUNTIFS(Appointments!$G$5:$G$1204,A164,Appointments!$M$5:$M$1204,"Completed"))</f>
        <v>0</v>
      </c>
      <c r="AC164" s="25">
        <f>IF(B164="","",SUMIFS(Sales!$K$5:$K$1204,Sales!$I$5:$I$1204,A164,Sales!$H$5:$H$1204,"Service"))</f>
        <v>0</v>
      </c>
      <c r="AD164" s="26">
        <f>IF(B164="","",ROUND(SUMIFS(Sales!$Y$5:$Y$1204,Sales!$I$5:$I$1204,A164,Sales!$H$5:$H$1204,"Service"),2))</f>
        <v>0</v>
      </c>
      <c r="AE164" s="27">
        <f>IF(B164="","",IF(ServiceRevenueAll=0,"",AD164/ServiceRevenueAll))</f>
        <v>0</v>
      </c>
      <c r="AF164" s="26">
        <f>IF(B164="","",ROUND(AC164*T164,2))</f>
        <v>0</v>
      </c>
      <c r="AG164" s="37">
        <f>IF(B164="","",ROUND(AC164*P164,1))</f>
        <v>0</v>
      </c>
      <c r="AH164" s="27">
        <f>IF(B164="","",IF(AB164=0,"",COUNTIFS(Sales!$I$5:$I$1204,A164,Sales!$AJ$5:$AJ$1204,"Yes")/AB164))</f>
        <v>0</v>
      </c>
      <c r="AI164" s="17">
        <f>IF(B164="","",IFERROR(IF(COUNTIFS(Appointments!$G$5:$G$1204,A164)=0,"",SUMPRODUCT(MAX((Appointments!$G$5:$G$1204=A164)*IFERROR(Appointments!$B$5:$B$1204*1,0)))),""))</f>
        <v>0</v>
      </c>
      <c r="AJ164" s="25">
        <f>IF(B164="","",COUNTIFS($AD$5:$AD$204,"&gt;"&amp;AD164)+COUNTIFS($AD$5:AD164,AD164))</f>
        <v>0</v>
      </c>
      <c r="AK164" s="25">
        <f>IF(B164="","",COUNTIFS($W$5:$W$204,"&gt;"&amp;W164)+COUNTIFS($W$5:W164,W164))</f>
        <v>0</v>
      </c>
      <c r="AL164" s="25">
        <f>IF(B164="","",COUNTIFS($AB$5:$AB$204,"&gt;"&amp;AB164)+COUNTIFS($AB$5:AB164,AB164))</f>
        <v>0</v>
      </c>
      <c r="AM164" s="39">
        <f>IF(B164="","",IF(G164="","Add - no price yet",IF(E164="","Add - how long does it take?",IF(T164&lt;0,"Loss - this service costs you money",IF(V164&lt;TargetChairRate*0.7,"Check - well under your chair rate",IF(IF(N164="",FALSE,TodayDate-N164&gt;PriceReviewDays),"Due - price has not been reviewed",IF(IF(M164="Active",AB164=0,FALSE),"Check - on the menu but never booked","OK")))))))</f>
        <v>0</v>
      </c>
    </row>
    <row r="165" spans="1:39">
      <c r="A165" s="28">
        <f>IF(B165="","",ServicePrefix&amp;TEXT(ROW()-4,"000"))</f>
        <v>0</v>
      </c>
      <c r="P165" s="42">
        <f>IF(B165="","",ROUND((IF(E165="",0,E165)+IF(F165="",0,F165))/60,3))</f>
        <v>0</v>
      </c>
      <c r="Q165" s="26">
        <f>IF(B165="","",IF(H165&lt;&gt;"",H165,IF(G165="",0,ROUND(G165*ProductCostPercent,2))))</f>
        <v>0</v>
      </c>
      <c r="R165" s="26">
        <f>IF(B165="","",IF(J165="No",0,IF(G165="",0,ROUND(G165*ServiceCommission,2))))</f>
        <v>0</v>
      </c>
      <c r="S165" s="26">
        <f>IF(B165="","",ROUND(Q165+R165,2))</f>
        <v>0</v>
      </c>
      <c r="T165" s="26">
        <f>IF(B165="","",IF(G165="","",ROUND(G165-S165,2)))</f>
        <v>0</v>
      </c>
      <c r="U165" s="27">
        <f>IF(B165="","",IF(G165="","",IF(G165=0,"",T165/G165)))</f>
        <v>0</v>
      </c>
      <c r="V165" s="26">
        <f>IF(B165="","",IF(G165="","",IF(P165=0,"",ROUND(G165/P165,2))))</f>
        <v>0</v>
      </c>
      <c r="W165" s="26">
        <f>IF(B165="","",IF(T165="","",IF(P165=0,"",ROUND(T165/P165,2))))</f>
        <v>0</v>
      </c>
      <c r="X165" s="26">
        <f>IF(B165="","",IF(P165=0,"",IF(ServiceCommission&gt;=1,"",(Q165+TargetChairRate*P165)/IF(J165="No",1,1-ServiceCommission))))</f>
        <v>0</v>
      </c>
      <c r="Y165" s="26">
        <f>IF(B165="","",IF(X165="","",ROUND(IF(RoundingRule="None",X165,IF(RoundingRule="Nearest 0.99",MAX(0.99,CEILING(X165,1)-0.01),IF(RoundingRule="Nearest 0.95",MAX(0.95,CEILING(X165,1)-0.05),IF(RoundingRule="Nearest 0.50",CEILING(X165,0.5),IF(RoundingRule="Nearest 1",CEILING(X165,1),IF(RoundingRule="Nearest 5",CEILING(X165,5),IF(RoundingRule="Up to whole 1",CEILING(X165,1),IF(RoundingRule="Up to whole 5",CEILING(X165,5),ROUND(X165,2))))))))),2)))</f>
        <v>0</v>
      </c>
      <c r="Z165" s="26">
        <f>IF(B165="","",IF(Y165="","",IF(G165="","",ROUND(G165-Y165,2))))</f>
        <v>0</v>
      </c>
      <c r="AA165" s="25">
        <f>IF(B165="","",COUNTIFS(Appointments!$G$5:$G$1204,A165))</f>
        <v>0</v>
      </c>
      <c r="AB165" s="25">
        <f>IF(B165="","",COUNTIFS(Appointments!$G$5:$G$1204,A165,Appointments!$M$5:$M$1204,"Completed"))</f>
        <v>0</v>
      </c>
      <c r="AC165" s="25">
        <f>IF(B165="","",SUMIFS(Sales!$K$5:$K$1204,Sales!$I$5:$I$1204,A165,Sales!$H$5:$H$1204,"Service"))</f>
        <v>0</v>
      </c>
      <c r="AD165" s="26">
        <f>IF(B165="","",ROUND(SUMIFS(Sales!$Y$5:$Y$1204,Sales!$I$5:$I$1204,A165,Sales!$H$5:$H$1204,"Service"),2))</f>
        <v>0</v>
      </c>
      <c r="AE165" s="27">
        <f>IF(B165="","",IF(ServiceRevenueAll=0,"",AD165/ServiceRevenueAll))</f>
        <v>0</v>
      </c>
      <c r="AF165" s="26">
        <f>IF(B165="","",ROUND(AC165*T165,2))</f>
        <v>0</v>
      </c>
      <c r="AG165" s="37">
        <f>IF(B165="","",ROUND(AC165*P165,1))</f>
        <v>0</v>
      </c>
      <c r="AH165" s="27">
        <f>IF(B165="","",IF(AB165=0,"",COUNTIFS(Sales!$I$5:$I$1204,A165,Sales!$AJ$5:$AJ$1204,"Yes")/AB165))</f>
        <v>0</v>
      </c>
      <c r="AI165" s="17">
        <f>IF(B165="","",IFERROR(IF(COUNTIFS(Appointments!$G$5:$G$1204,A165)=0,"",SUMPRODUCT(MAX((Appointments!$G$5:$G$1204=A165)*IFERROR(Appointments!$B$5:$B$1204*1,0)))),""))</f>
        <v>0</v>
      </c>
      <c r="AJ165" s="25">
        <f>IF(B165="","",COUNTIFS($AD$5:$AD$204,"&gt;"&amp;AD165)+COUNTIFS($AD$5:AD165,AD165))</f>
        <v>0</v>
      </c>
      <c r="AK165" s="25">
        <f>IF(B165="","",COUNTIFS($W$5:$W$204,"&gt;"&amp;W165)+COUNTIFS($W$5:W165,W165))</f>
        <v>0</v>
      </c>
      <c r="AL165" s="25">
        <f>IF(B165="","",COUNTIFS($AB$5:$AB$204,"&gt;"&amp;AB165)+COUNTIFS($AB$5:AB165,AB165))</f>
        <v>0</v>
      </c>
      <c r="AM165" s="39">
        <f>IF(B165="","",IF(G165="","Add - no price yet",IF(E165="","Add - how long does it take?",IF(T165&lt;0,"Loss - this service costs you money",IF(V165&lt;TargetChairRate*0.7,"Check - well under your chair rate",IF(IF(N165="",FALSE,TodayDate-N165&gt;PriceReviewDays),"Due - price has not been reviewed",IF(IF(M165="Active",AB165=0,FALSE),"Check - on the menu but never booked","OK")))))))</f>
        <v>0</v>
      </c>
    </row>
    <row r="166" spans="1:39">
      <c r="A166" s="28">
        <f>IF(B166="","",ServicePrefix&amp;TEXT(ROW()-4,"000"))</f>
        <v>0</v>
      </c>
      <c r="P166" s="42">
        <f>IF(B166="","",ROUND((IF(E166="",0,E166)+IF(F166="",0,F166))/60,3))</f>
        <v>0</v>
      </c>
      <c r="Q166" s="26">
        <f>IF(B166="","",IF(H166&lt;&gt;"",H166,IF(G166="",0,ROUND(G166*ProductCostPercent,2))))</f>
        <v>0</v>
      </c>
      <c r="R166" s="26">
        <f>IF(B166="","",IF(J166="No",0,IF(G166="",0,ROUND(G166*ServiceCommission,2))))</f>
        <v>0</v>
      </c>
      <c r="S166" s="26">
        <f>IF(B166="","",ROUND(Q166+R166,2))</f>
        <v>0</v>
      </c>
      <c r="T166" s="26">
        <f>IF(B166="","",IF(G166="","",ROUND(G166-S166,2)))</f>
        <v>0</v>
      </c>
      <c r="U166" s="27">
        <f>IF(B166="","",IF(G166="","",IF(G166=0,"",T166/G166)))</f>
        <v>0</v>
      </c>
      <c r="V166" s="26">
        <f>IF(B166="","",IF(G166="","",IF(P166=0,"",ROUND(G166/P166,2))))</f>
        <v>0</v>
      </c>
      <c r="W166" s="26">
        <f>IF(B166="","",IF(T166="","",IF(P166=0,"",ROUND(T166/P166,2))))</f>
        <v>0</v>
      </c>
      <c r="X166" s="26">
        <f>IF(B166="","",IF(P166=0,"",IF(ServiceCommission&gt;=1,"",(Q166+TargetChairRate*P166)/IF(J166="No",1,1-ServiceCommission))))</f>
        <v>0</v>
      </c>
      <c r="Y166" s="26">
        <f>IF(B166="","",IF(X166="","",ROUND(IF(RoundingRule="None",X166,IF(RoundingRule="Nearest 0.99",MAX(0.99,CEILING(X166,1)-0.01),IF(RoundingRule="Nearest 0.95",MAX(0.95,CEILING(X166,1)-0.05),IF(RoundingRule="Nearest 0.50",CEILING(X166,0.5),IF(RoundingRule="Nearest 1",CEILING(X166,1),IF(RoundingRule="Nearest 5",CEILING(X166,5),IF(RoundingRule="Up to whole 1",CEILING(X166,1),IF(RoundingRule="Up to whole 5",CEILING(X166,5),ROUND(X166,2))))))))),2)))</f>
        <v>0</v>
      </c>
      <c r="Z166" s="26">
        <f>IF(B166="","",IF(Y166="","",IF(G166="","",ROUND(G166-Y166,2))))</f>
        <v>0</v>
      </c>
      <c r="AA166" s="25">
        <f>IF(B166="","",COUNTIFS(Appointments!$G$5:$G$1204,A166))</f>
        <v>0</v>
      </c>
      <c r="AB166" s="25">
        <f>IF(B166="","",COUNTIFS(Appointments!$G$5:$G$1204,A166,Appointments!$M$5:$M$1204,"Completed"))</f>
        <v>0</v>
      </c>
      <c r="AC166" s="25">
        <f>IF(B166="","",SUMIFS(Sales!$K$5:$K$1204,Sales!$I$5:$I$1204,A166,Sales!$H$5:$H$1204,"Service"))</f>
        <v>0</v>
      </c>
      <c r="AD166" s="26">
        <f>IF(B166="","",ROUND(SUMIFS(Sales!$Y$5:$Y$1204,Sales!$I$5:$I$1204,A166,Sales!$H$5:$H$1204,"Service"),2))</f>
        <v>0</v>
      </c>
      <c r="AE166" s="27">
        <f>IF(B166="","",IF(ServiceRevenueAll=0,"",AD166/ServiceRevenueAll))</f>
        <v>0</v>
      </c>
      <c r="AF166" s="26">
        <f>IF(B166="","",ROUND(AC166*T166,2))</f>
        <v>0</v>
      </c>
      <c r="AG166" s="37">
        <f>IF(B166="","",ROUND(AC166*P166,1))</f>
        <v>0</v>
      </c>
      <c r="AH166" s="27">
        <f>IF(B166="","",IF(AB166=0,"",COUNTIFS(Sales!$I$5:$I$1204,A166,Sales!$AJ$5:$AJ$1204,"Yes")/AB166))</f>
        <v>0</v>
      </c>
      <c r="AI166" s="17">
        <f>IF(B166="","",IFERROR(IF(COUNTIFS(Appointments!$G$5:$G$1204,A166)=0,"",SUMPRODUCT(MAX((Appointments!$G$5:$G$1204=A166)*IFERROR(Appointments!$B$5:$B$1204*1,0)))),""))</f>
        <v>0</v>
      </c>
      <c r="AJ166" s="25">
        <f>IF(B166="","",COUNTIFS($AD$5:$AD$204,"&gt;"&amp;AD166)+COUNTIFS($AD$5:AD166,AD166))</f>
        <v>0</v>
      </c>
      <c r="AK166" s="25">
        <f>IF(B166="","",COUNTIFS($W$5:$W$204,"&gt;"&amp;W166)+COUNTIFS($W$5:W166,W166))</f>
        <v>0</v>
      </c>
      <c r="AL166" s="25">
        <f>IF(B166="","",COUNTIFS($AB$5:$AB$204,"&gt;"&amp;AB166)+COUNTIFS($AB$5:AB166,AB166))</f>
        <v>0</v>
      </c>
      <c r="AM166" s="39">
        <f>IF(B166="","",IF(G166="","Add - no price yet",IF(E166="","Add - how long does it take?",IF(T166&lt;0,"Loss - this service costs you money",IF(V166&lt;TargetChairRate*0.7,"Check - well under your chair rate",IF(IF(N166="",FALSE,TodayDate-N166&gt;PriceReviewDays),"Due - price has not been reviewed",IF(IF(M166="Active",AB166=0,FALSE),"Check - on the menu but never booked","OK")))))))</f>
        <v>0</v>
      </c>
    </row>
    <row r="167" spans="1:39">
      <c r="A167" s="28">
        <f>IF(B167="","",ServicePrefix&amp;TEXT(ROW()-4,"000"))</f>
        <v>0</v>
      </c>
      <c r="P167" s="42">
        <f>IF(B167="","",ROUND((IF(E167="",0,E167)+IF(F167="",0,F167))/60,3))</f>
        <v>0</v>
      </c>
      <c r="Q167" s="26">
        <f>IF(B167="","",IF(H167&lt;&gt;"",H167,IF(G167="",0,ROUND(G167*ProductCostPercent,2))))</f>
        <v>0</v>
      </c>
      <c r="R167" s="26">
        <f>IF(B167="","",IF(J167="No",0,IF(G167="",0,ROUND(G167*ServiceCommission,2))))</f>
        <v>0</v>
      </c>
      <c r="S167" s="26">
        <f>IF(B167="","",ROUND(Q167+R167,2))</f>
        <v>0</v>
      </c>
      <c r="T167" s="26">
        <f>IF(B167="","",IF(G167="","",ROUND(G167-S167,2)))</f>
        <v>0</v>
      </c>
      <c r="U167" s="27">
        <f>IF(B167="","",IF(G167="","",IF(G167=0,"",T167/G167)))</f>
        <v>0</v>
      </c>
      <c r="V167" s="26">
        <f>IF(B167="","",IF(G167="","",IF(P167=0,"",ROUND(G167/P167,2))))</f>
        <v>0</v>
      </c>
      <c r="W167" s="26">
        <f>IF(B167="","",IF(T167="","",IF(P167=0,"",ROUND(T167/P167,2))))</f>
        <v>0</v>
      </c>
      <c r="X167" s="26">
        <f>IF(B167="","",IF(P167=0,"",IF(ServiceCommission&gt;=1,"",(Q167+TargetChairRate*P167)/IF(J167="No",1,1-ServiceCommission))))</f>
        <v>0</v>
      </c>
      <c r="Y167" s="26">
        <f>IF(B167="","",IF(X167="","",ROUND(IF(RoundingRule="None",X167,IF(RoundingRule="Nearest 0.99",MAX(0.99,CEILING(X167,1)-0.01),IF(RoundingRule="Nearest 0.95",MAX(0.95,CEILING(X167,1)-0.05),IF(RoundingRule="Nearest 0.50",CEILING(X167,0.5),IF(RoundingRule="Nearest 1",CEILING(X167,1),IF(RoundingRule="Nearest 5",CEILING(X167,5),IF(RoundingRule="Up to whole 1",CEILING(X167,1),IF(RoundingRule="Up to whole 5",CEILING(X167,5),ROUND(X167,2))))))))),2)))</f>
        <v>0</v>
      </c>
      <c r="Z167" s="26">
        <f>IF(B167="","",IF(Y167="","",IF(G167="","",ROUND(G167-Y167,2))))</f>
        <v>0</v>
      </c>
      <c r="AA167" s="25">
        <f>IF(B167="","",COUNTIFS(Appointments!$G$5:$G$1204,A167))</f>
        <v>0</v>
      </c>
      <c r="AB167" s="25">
        <f>IF(B167="","",COUNTIFS(Appointments!$G$5:$G$1204,A167,Appointments!$M$5:$M$1204,"Completed"))</f>
        <v>0</v>
      </c>
      <c r="AC167" s="25">
        <f>IF(B167="","",SUMIFS(Sales!$K$5:$K$1204,Sales!$I$5:$I$1204,A167,Sales!$H$5:$H$1204,"Service"))</f>
        <v>0</v>
      </c>
      <c r="AD167" s="26">
        <f>IF(B167="","",ROUND(SUMIFS(Sales!$Y$5:$Y$1204,Sales!$I$5:$I$1204,A167,Sales!$H$5:$H$1204,"Service"),2))</f>
        <v>0</v>
      </c>
      <c r="AE167" s="27">
        <f>IF(B167="","",IF(ServiceRevenueAll=0,"",AD167/ServiceRevenueAll))</f>
        <v>0</v>
      </c>
      <c r="AF167" s="26">
        <f>IF(B167="","",ROUND(AC167*T167,2))</f>
        <v>0</v>
      </c>
      <c r="AG167" s="37">
        <f>IF(B167="","",ROUND(AC167*P167,1))</f>
        <v>0</v>
      </c>
      <c r="AH167" s="27">
        <f>IF(B167="","",IF(AB167=0,"",COUNTIFS(Sales!$I$5:$I$1204,A167,Sales!$AJ$5:$AJ$1204,"Yes")/AB167))</f>
        <v>0</v>
      </c>
      <c r="AI167" s="17">
        <f>IF(B167="","",IFERROR(IF(COUNTIFS(Appointments!$G$5:$G$1204,A167)=0,"",SUMPRODUCT(MAX((Appointments!$G$5:$G$1204=A167)*IFERROR(Appointments!$B$5:$B$1204*1,0)))),""))</f>
        <v>0</v>
      </c>
      <c r="AJ167" s="25">
        <f>IF(B167="","",COUNTIFS($AD$5:$AD$204,"&gt;"&amp;AD167)+COUNTIFS($AD$5:AD167,AD167))</f>
        <v>0</v>
      </c>
      <c r="AK167" s="25">
        <f>IF(B167="","",COUNTIFS($W$5:$W$204,"&gt;"&amp;W167)+COUNTIFS($W$5:W167,W167))</f>
        <v>0</v>
      </c>
      <c r="AL167" s="25">
        <f>IF(B167="","",COUNTIFS($AB$5:$AB$204,"&gt;"&amp;AB167)+COUNTIFS($AB$5:AB167,AB167))</f>
        <v>0</v>
      </c>
      <c r="AM167" s="39">
        <f>IF(B167="","",IF(G167="","Add - no price yet",IF(E167="","Add - how long does it take?",IF(T167&lt;0,"Loss - this service costs you money",IF(V167&lt;TargetChairRate*0.7,"Check - well under your chair rate",IF(IF(N167="",FALSE,TodayDate-N167&gt;PriceReviewDays),"Due - price has not been reviewed",IF(IF(M167="Active",AB167=0,FALSE),"Check - on the menu but never booked","OK")))))))</f>
        <v>0</v>
      </c>
    </row>
    <row r="168" spans="1:39">
      <c r="A168" s="28">
        <f>IF(B168="","",ServicePrefix&amp;TEXT(ROW()-4,"000"))</f>
        <v>0</v>
      </c>
      <c r="P168" s="42">
        <f>IF(B168="","",ROUND((IF(E168="",0,E168)+IF(F168="",0,F168))/60,3))</f>
        <v>0</v>
      </c>
      <c r="Q168" s="26">
        <f>IF(B168="","",IF(H168&lt;&gt;"",H168,IF(G168="",0,ROUND(G168*ProductCostPercent,2))))</f>
        <v>0</v>
      </c>
      <c r="R168" s="26">
        <f>IF(B168="","",IF(J168="No",0,IF(G168="",0,ROUND(G168*ServiceCommission,2))))</f>
        <v>0</v>
      </c>
      <c r="S168" s="26">
        <f>IF(B168="","",ROUND(Q168+R168,2))</f>
        <v>0</v>
      </c>
      <c r="T168" s="26">
        <f>IF(B168="","",IF(G168="","",ROUND(G168-S168,2)))</f>
        <v>0</v>
      </c>
      <c r="U168" s="27">
        <f>IF(B168="","",IF(G168="","",IF(G168=0,"",T168/G168)))</f>
        <v>0</v>
      </c>
      <c r="V168" s="26">
        <f>IF(B168="","",IF(G168="","",IF(P168=0,"",ROUND(G168/P168,2))))</f>
        <v>0</v>
      </c>
      <c r="W168" s="26">
        <f>IF(B168="","",IF(T168="","",IF(P168=0,"",ROUND(T168/P168,2))))</f>
        <v>0</v>
      </c>
      <c r="X168" s="26">
        <f>IF(B168="","",IF(P168=0,"",IF(ServiceCommission&gt;=1,"",(Q168+TargetChairRate*P168)/IF(J168="No",1,1-ServiceCommission))))</f>
        <v>0</v>
      </c>
      <c r="Y168" s="26">
        <f>IF(B168="","",IF(X168="","",ROUND(IF(RoundingRule="None",X168,IF(RoundingRule="Nearest 0.99",MAX(0.99,CEILING(X168,1)-0.01),IF(RoundingRule="Nearest 0.95",MAX(0.95,CEILING(X168,1)-0.05),IF(RoundingRule="Nearest 0.50",CEILING(X168,0.5),IF(RoundingRule="Nearest 1",CEILING(X168,1),IF(RoundingRule="Nearest 5",CEILING(X168,5),IF(RoundingRule="Up to whole 1",CEILING(X168,1),IF(RoundingRule="Up to whole 5",CEILING(X168,5),ROUND(X168,2))))))))),2)))</f>
        <v>0</v>
      </c>
      <c r="Z168" s="26">
        <f>IF(B168="","",IF(Y168="","",IF(G168="","",ROUND(G168-Y168,2))))</f>
        <v>0</v>
      </c>
      <c r="AA168" s="25">
        <f>IF(B168="","",COUNTIFS(Appointments!$G$5:$G$1204,A168))</f>
        <v>0</v>
      </c>
      <c r="AB168" s="25">
        <f>IF(B168="","",COUNTIFS(Appointments!$G$5:$G$1204,A168,Appointments!$M$5:$M$1204,"Completed"))</f>
        <v>0</v>
      </c>
      <c r="AC168" s="25">
        <f>IF(B168="","",SUMIFS(Sales!$K$5:$K$1204,Sales!$I$5:$I$1204,A168,Sales!$H$5:$H$1204,"Service"))</f>
        <v>0</v>
      </c>
      <c r="AD168" s="26">
        <f>IF(B168="","",ROUND(SUMIFS(Sales!$Y$5:$Y$1204,Sales!$I$5:$I$1204,A168,Sales!$H$5:$H$1204,"Service"),2))</f>
        <v>0</v>
      </c>
      <c r="AE168" s="27">
        <f>IF(B168="","",IF(ServiceRevenueAll=0,"",AD168/ServiceRevenueAll))</f>
        <v>0</v>
      </c>
      <c r="AF168" s="26">
        <f>IF(B168="","",ROUND(AC168*T168,2))</f>
        <v>0</v>
      </c>
      <c r="AG168" s="37">
        <f>IF(B168="","",ROUND(AC168*P168,1))</f>
        <v>0</v>
      </c>
      <c r="AH168" s="27">
        <f>IF(B168="","",IF(AB168=0,"",COUNTIFS(Sales!$I$5:$I$1204,A168,Sales!$AJ$5:$AJ$1204,"Yes")/AB168))</f>
        <v>0</v>
      </c>
      <c r="AI168" s="17">
        <f>IF(B168="","",IFERROR(IF(COUNTIFS(Appointments!$G$5:$G$1204,A168)=0,"",SUMPRODUCT(MAX((Appointments!$G$5:$G$1204=A168)*IFERROR(Appointments!$B$5:$B$1204*1,0)))),""))</f>
        <v>0</v>
      </c>
      <c r="AJ168" s="25">
        <f>IF(B168="","",COUNTIFS($AD$5:$AD$204,"&gt;"&amp;AD168)+COUNTIFS($AD$5:AD168,AD168))</f>
        <v>0</v>
      </c>
      <c r="AK168" s="25">
        <f>IF(B168="","",COUNTIFS($W$5:$W$204,"&gt;"&amp;W168)+COUNTIFS($W$5:W168,W168))</f>
        <v>0</v>
      </c>
      <c r="AL168" s="25">
        <f>IF(B168="","",COUNTIFS($AB$5:$AB$204,"&gt;"&amp;AB168)+COUNTIFS($AB$5:AB168,AB168))</f>
        <v>0</v>
      </c>
      <c r="AM168" s="39">
        <f>IF(B168="","",IF(G168="","Add - no price yet",IF(E168="","Add - how long does it take?",IF(T168&lt;0,"Loss - this service costs you money",IF(V168&lt;TargetChairRate*0.7,"Check - well under your chair rate",IF(IF(N168="",FALSE,TodayDate-N168&gt;PriceReviewDays),"Due - price has not been reviewed",IF(IF(M168="Active",AB168=0,FALSE),"Check - on the menu but never booked","OK")))))))</f>
        <v>0</v>
      </c>
    </row>
    <row r="169" spans="1:39">
      <c r="A169" s="28">
        <f>IF(B169="","",ServicePrefix&amp;TEXT(ROW()-4,"000"))</f>
        <v>0</v>
      </c>
      <c r="P169" s="42">
        <f>IF(B169="","",ROUND((IF(E169="",0,E169)+IF(F169="",0,F169))/60,3))</f>
        <v>0</v>
      </c>
      <c r="Q169" s="26">
        <f>IF(B169="","",IF(H169&lt;&gt;"",H169,IF(G169="",0,ROUND(G169*ProductCostPercent,2))))</f>
        <v>0</v>
      </c>
      <c r="R169" s="26">
        <f>IF(B169="","",IF(J169="No",0,IF(G169="",0,ROUND(G169*ServiceCommission,2))))</f>
        <v>0</v>
      </c>
      <c r="S169" s="26">
        <f>IF(B169="","",ROUND(Q169+R169,2))</f>
        <v>0</v>
      </c>
      <c r="T169" s="26">
        <f>IF(B169="","",IF(G169="","",ROUND(G169-S169,2)))</f>
        <v>0</v>
      </c>
      <c r="U169" s="27">
        <f>IF(B169="","",IF(G169="","",IF(G169=0,"",T169/G169)))</f>
        <v>0</v>
      </c>
      <c r="V169" s="26">
        <f>IF(B169="","",IF(G169="","",IF(P169=0,"",ROUND(G169/P169,2))))</f>
        <v>0</v>
      </c>
      <c r="W169" s="26">
        <f>IF(B169="","",IF(T169="","",IF(P169=0,"",ROUND(T169/P169,2))))</f>
        <v>0</v>
      </c>
      <c r="X169" s="26">
        <f>IF(B169="","",IF(P169=0,"",IF(ServiceCommission&gt;=1,"",(Q169+TargetChairRate*P169)/IF(J169="No",1,1-ServiceCommission))))</f>
        <v>0</v>
      </c>
      <c r="Y169" s="26">
        <f>IF(B169="","",IF(X169="","",ROUND(IF(RoundingRule="None",X169,IF(RoundingRule="Nearest 0.99",MAX(0.99,CEILING(X169,1)-0.01),IF(RoundingRule="Nearest 0.95",MAX(0.95,CEILING(X169,1)-0.05),IF(RoundingRule="Nearest 0.50",CEILING(X169,0.5),IF(RoundingRule="Nearest 1",CEILING(X169,1),IF(RoundingRule="Nearest 5",CEILING(X169,5),IF(RoundingRule="Up to whole 1",CEILING(X169,1),IF(RoundingRule="Up to whole 5",CEILING(X169,5),ROUND(X169,2))))))))),2)))</f>
        <v>0</v>
      </c>
      <c r="Z169" s="26">
        <f>IF(B169="","",IF(Y169="","",IF(G169="","",ROUND(G169-Y169,2))))</f>
        <v>0</v>
      </c>
      <c r="AA169" s="25">
        <f>IF(B169="","",COUNTIFS(Appointments!$G$5:$G$1204,A169))</f>
        <v>0</v>
      </c>
      <c r="AB169" s="25">
        <f>IF(B169="","",COUNTIFS(Appointments!$G$5:$G$1204,A169,Appointments!$M$5:$M$1204,"Completed"))</f>
        <v>0</v>
      </c>
      <c r="AC169" s="25">
        <f>IF(B169="","",SUMIFS(Sales!$K$5:$K$1204,Sales!$I$5:$I$1204,A169,Sales!$H$5:$H$1204,"Service"))</f>
        <v>0</v>
      </c>
      <c r="AD169" s="26">
        <f>IF(B169="","",ROUND(SUMIFS(Sales!$Y$5:$Y$1204,Sales!$I$5:$I$1204,A169,Sales!$H$5:$H$1204,"Service"),2))</f>
        <v>0</v>
      </c>
      <c r="AE169" s="27">
        <f>IF(B169="","",IF(ServiceRevenueAll=0,"",AD169/ServiceRevenueAll))</f>
        <v>0</v>
      </c>
      <c r="AF169" s="26">
        <f>IF(B169="","",ROUND(AC169*T169,2))</f>
        <v>0</v>
      </c>
      <c r="AG169" s="37">
        <f>IF(B169="","",ROUND(AC169*P169,1))</f>
        <v>0</v>
      </c>
      <c r="AH169" s="27">
        <f>IF(B169="","",IF(AB169=0,"",COUNTIFS(Sales!$I$5:$I$1204,A169,Sales!$AJ$5:$AJ$1204,"Yes")/AB169))</f>
        <v>0</v>
      </c>
      <c r="AI169" s="17">
        <f>IF(B169="","",IFERROR(IF(COUNTIFS(Appointments!$G$5:$G$1204,A169)=0,"",SUMPRODUCT(MAX((Appointments!$G$5:$G$1204=A169)*IFERROR(Appointments!$B$5:$B$1204*1,0)))),""))</f>
        <v>0</v>
      </c>
      <c r="AJ169" s="25">
        <f>IF(B169="","",COUNTIFS($AD$5:$AD$204,"&gt;"&amp;AD169)+COUNTIFS($AD$5:AD169,AD169))</f>
        <v>0</v>
      </c>
      <c r="AK169" s="25">
        <f>IF(B169="","",COUNTIFS($W$5:$W$204,"&gt;"&amp;W169)+COUNTIFS($W$5:W169,W169))</f>
        <v>0</v>
      </c>
      <c r="AL169" s="25">
        <f>IF(B169="","",COUNTIFS($AB$5:$AB$204,"&gt;"&amp;AB169)+COUNTIFS($AB$5:AB169,AB169))</f>
        <v>0</v>
      </c>
      <c r="AM169" s="39">
        <f>IF(B169="","",IF(G169="","Add - no price yet",IF(E169="","Add - how long does it take?",IF(T169&lt;0,"Loss - this service costs you money",IF(V169&lt;TargetChairRate*0.7,"Check - well under your chair rate",IF(IF(N169="",FALSE,TodayDate-N169&gt;PriceReviewDays),"Due - price has not been reviewed",IF(IF(M169="Active",AB169=0,FALSE),"Check - on the menu but never booked","OK")))))))</f>
        <v>0</v>
      </c>
    </row>
    <row r="170" spans="1:39">
      <c r="A170" s="28">
        <f>IF(B170="","",ServicePrefix&amp;TEXT(ROW()-4,"000"))</f>
        <v>0</v>
      </c>
      <c r="P170" s="42">
        <f>IF(B170="","",ROUND((IF(E170="",0,E170)+IF(F170="",0,F170))/60,3))</f>
        <v>0</v>
      </c>
      <c r="Q170" s="26">
        <f>IF(B170="","",IF(H170&lt;&gt;"",H170,IF(G170="",0,ROUND(G170*ProductCostPercent,2))))</f>
        <v>0</v>
      </c>
      <c r="R170" s="26">
        <f>IF(B170="","",IF(J170="No",0,IF(G170="",0,ROUND(G170*ServiceCommission,2))))</f>
        <v>0</v>
      </c>
      <c r="S170" s="26">
        <f>IF(B170="","",ROUND(Q170+R170,2))</f>
        <v>0</v>
      </c>
      <c r="T170" s="26">
        <f>IF(B170="","",IF(G170="","",ROUND(G170-S170,2)))</f>
        <v>0</v>
      </c>
      <c r="U170" s="27">
        <f>IF(B170="","",IF(G170="","",IF(G170=0,"",T170/G170)))</f>
        <v>0</v>
      </c>
      <c r="V170" s="26">
        <f>IF(B170="","",IF(G170="","",IF(P170=0,"",ROUND(G170/P170,2))))</f>
        <v>0</v>
      </c>
      <c r="W170" s="26">
        <f>IF(B170="","",IF(T170="","",IF(P170=0,"",ROUND(T170/P170,2))))</f>
        <v>0</v>
      </c>
      <c r="X170" s="26">
        <f>IF(B170="","",IF(P170=0,"",IF(ServiceCommission&gt;=1,"",(Q170+TargetChairRate*P170)/IF(J170="No",1,1-ServiceCommission))))</f>
        <v>0</v>
      </c>
      <c r="Y170" s="26">
        <f>IF(B170="","",IF(X170="","",ROUND(IF(RoundingRule="None",X170,IF(RoundingRule="Nearest 0.99",MAX(0.99,CEILING(X170,1)-0.01),IF(RoundingRule="Nearest 0.95",MAX(0.95,CEILING(X170,1)-0.05),IF(RoundingRule="Nearest 0.50",CEILING(X170,0.5),IF(RoundingRule="Nearest 1",CEILING(X170,1),IF(RoundingRule="Nearest 5",CEILING(X170,5),IF(RoundingRule="Up to whole 1",CEILING(X170,1),IF(RoundingRule="Up to whole 5",CEILING(X170,5),ROUND(X170,2))))))))),2)))</f>
        <v>0</v>
      </c>
      <c r="Z170" s="26">
        <f>IF(B170="","",IF(Y170="","",IF(G170="","",ROUND(G170-Y170,2))))</f>
        <v>0</v>
      </c>
      <c r="AA170" s="25">
        <f>IF(B170="","",COUNTIFS(Appointments!$G$5:$G$1204,A170))</f>
        <v>0</v>
      </c>
      <c r="AB170" s="25">
        <f>IF(B170="","",COUNTIFS(Appointments!$G$5:$G$1204,A170,Appointments!$M$5:$M$1204,"Completed"))</f>
        <v>0</v>
      </c>
      <c r="AC170" s="25">
        <f>IF(B170="","",SUMIFS(Sales!$K$5:$K$1204,Sales!$I$5:$I$1204,A170,Sales!$H$5:$H$1204,"Service"))</f>
        <v>0</v>
      </c>
      <c r="AD170" s="26">
        <f>IF(B170="","",ROUND(SUMIFS(Sales!$Y$5:$Y$1204,Sales!$I$5:$I$1204,A170,Sales!$H$5:$H$1204,"Service"),2))</f>
        <v>0</v>
      </c>
      <c r="AE170" s="27">
        <f>IF(B170="","",IF(ServiceRevenueAll=0,"",AD170/ServiceRevenueAll))</f>
        <v>0</v>
      </c>
      <c r="AF170" s="26">
        <f>IF(B170="","",ROUND(AC170*T170,2))</f>
        <v>0</v>
      </c>
      <c r="AG170" s="37">
        <f>IF(B170="","",ROUND(AC170*P170,1))</f>
        <v>0</v>
      </c>
      <c r="AH170" s="27">
        <f>IF(B170="","",IF(AB170=0,"",COUNTIFS(Sales!$I$5:$I$1204,A170,Sales!$AJ$5:$AJ$1204,"Yes")/AB170))</f>
        <v>0</v>
      </c>
      <c r="AI170" s="17">
        <f>IF(B170="","",IFERROR(IF(COUNTIFS(Appointments!$G$5:$G$1204,A170)=0,"",SUMPRODUCT(MAX((Appointments!$G$5:$G$1204=A170)*IFERROR(Appointments!$B$5:$B$1204*1,0)))),""))</f>
        <v>0</v>
      </c>
      <c r="AJ170" s="25">
        <f>IF(B170="","",COUNTIFS($AD$5:$AD$204,"&gt;"&amp;AD170)+COUNTIFS($AD$5:AD170,AD170))</f>
        <v>0</v>
      </c>
      <c r="AK170" s="25">
        <f>IF(B170="","",COUNTIFS($W$5:$W$204,"&gt;"&amp;W170)+COUNTIFS($W$5:W170,W170))</f>
        <v>0</v>
      </c>
      <c r="AL170" s="25">
        <f>IF(B170="","",COUNTIFS($AB$5:$AB$204,"&gt;"&amp;AB170)+COUNTIFS($AB$5:AB170,AB170))</f>
        <v>0</v>
      </c>
      <c r="AM170" s="39">
        <f>IF(B170="","",IF(G170="","Add - no price yet",IF(E170="","Add - how long does it take?",IF(T170&lt;0,"Loss - this service costs you money",IF(V170&lt;TargetChairRate*0.7,"Check - well under your chair rate",IF(IF(N170="",FALSE,TodayDate-N170&gt;PriceReviewDays),"Due - price has not been reviewed",IF(IF(M170="Active",AB170=0,FALSE),"Check - on the menu but never booked","OK")))))))</f>
        <v>0</v>
      </c>
    </row>
    <row r="171" spans="1:39">
      <c r="A171" s="28">
        <f>IF(B171="","",ServicePrefix&amp;TEXT(ROW()-4,"000"))</f>
        <v>0</v>
      </c>
      <c r="P171" s="42">
        <f>IF(B171="","",ROUND((IF(E171="",0,E171)+IF(F171="",0,F171))/60,3))</f>
        <v>0</v>
      </c>
      <c r="Q171" s="26">
        <f>IF(B171="","",IF(H171&lt;&gt;"",H171,IF(G171="",0,ROUND(G171*ProductCostPercent,2))))</f>
        <v>0</v>
      </c>
      <c r="R171" s="26">
        <f>IF(B171="","",IF(J171="No",0,IF(G171="",0,ROUND(G171*ServiceCommission,2))))</f>
        <v>0</v>
      </c>
      <c r="S171" s="26">
        <f>IF(B171="","",ROUND(Q171+R171,2))</f>
        <v>0</v>
      </c>
      <c r="T171" s="26">
        <f>IF(B171="","",IF(G171="","",ROUND(G171-S171,2)))</f>
        <v>0</v>
      </c>
      <c r="U171" s="27">
        <f>IF(B171="","",IF(G171="","",IF(G171=0,"",T171/G171)))</f>
        <v>0</v>
      </c>
      <c r="V171" s="26">
        <f>IF(B171="","",IF(G171="","",IF(P171=0,"",ROUND(G171/P171,2))))</f>
        <v>0</v>
      </c>
      <c r="W171" s="26">
        <f>IF(B171="","",IF(T171="","",IF(P171=0,"",ROUND(T171/P171,2))))</f>
        <v>0</v>
      </c>
      <c r="X171" s="26">
        <f>IF(B171="","",IF(P171=0,"",IF(ServiceCommission&gt;=1,"",(Q171+TargetChairRate*P171)/IF(J171="No",1,1-ServiceCommission))))</f>
        <v>0</v>
      </c>
      <c r="Y171" s="26">
        <f>IF(B171="","",IF(X171="","",ROUND(IF(RoundingRule="None",X171,IF(RoundingRule="Nearest 0.99",MAX(0.99,CEILING(X171,1)-0.01),IF(RoundingRule="Nearest 0.95",MAX(0.95,CEILING(X171,1)-0.05),IF(RoundingRule="Nearest 0.50",CEILING(X171,0.5),IF(RoundingRule="Nearest 1",CEILING(X171,1),IF(RoundingRule="Nearest 5",CEILING(X171,5),IF(RoundingRule="Up to whole 1",CEILING(X171,1),IF(RoundingRule="Up to whole 5",CEILING(X171,5),ROUND(X171,2))))))))),2)))</f>
        <v>0</v>
      </c>
      <c r="Z171" s="26">
        <f>IF(B171="","",IF(Y171="","",IF(G171="","",ROUND(G171-Y171,2))))</f>
        <v>0</v>
      </c>
      <c r="AA171" s="25">
        <f>IF(B171="","",COUNTIFS(Appointments!$G$5:$G$1204,A171))</f>
        <v>0</v>
      </c>
      <c r="AB171" s="25">
        <f>IF(B171="","",COUNTIFS(Appointments!$G$5:$G$1204,A171,Appointments!$M$5:$M$1204,"Completed"))</f>
        <v>0</v>
      </c>
      <c r="AC171" s="25">
        <f>IF(B171="","",SUMIFS(Sales!$K$5:$K$1204,Sales!$I$5:$I$1204,A171,Sales!$H$5:$H$1204,"Service"))</f>
        <v>0</v>
      </c>
      <c r="AD171" s="26">
        <f>IF(B171="","",ROUND(SUMIFS(Sales!$Y$5:$Y$1204,Sales!$I$5:$I$1204,A171,Sales!$H$5:$H$1204,"Service"),2))</f>
        <v>0</v>
      </c>
      <c r="AE171" s="27">
        <f>IF(B171="","",IF(ServiceRevenueAll=0,"",AD171/ServiceRevenueAll))</f>
        <v>0</v>
      </c>
      <c r="AF171" s="26">
        <f>IF(B171="","",ROUND(AC171*T171,2))</f>
        <v>0</v>
      </c>
      <c r="AG171" s="37">
        <f>IF(B171="","",ROUND(AC171*P171,1))</f>
        <v>0</v>
      </c>
      <c r="AH171" s="27">
        <f>IF(B171="","",IF(AB171=0,"",COUNTIFS(Sales!$I$5:$I$1204,A171,Sales!$AJ$5:$AJ$1204,"Yes")/AB171))</f>
        <v>0</v>
      </c>
      <c r="AI171" s="17">
        <f>IF(B171="","",IFERROR(IF(COUNTIFS(Appointments!$G$5:$G$1204,A171)=0,"",SUMPRODUCT(MAX((Appointments!$G$5:$G$1204=A171)*IFERROR(Appointments!$B$5:$B$1204*1,0)))),""))</f>
        <v>0</v>
      </c>
      <c r="AJ171" s="25">
        <f>IF(B171="","",COUNTIFS($AD$5:$AD$204,"&gt;"&amp;AD171)+COUNTIFS($AD$5:AD171,AD171))</f>
        <v>0</v>
      </c>
      <c r="AK171" s="25">
        <f>IF(B171="","",COUNTIFS($W$5:$W$204,"&gt;"&amp;W171)+COUNTIFS($W$5:W171,W171))</f>
        <v>0</v>
      </c>
      <c r="AL171" s="25">
        <f>IF(B171="","",COUNTIFS($AB$5:$AB$204,"&gt;"&amp;AB171)+COUNTIFS($AB$5:AB171,AB171))</f>
        <v>0</v>
      </c>
      <c r="AM171" s="39">
        <f>IF(B171="","",IF(G171="","Add - no price yet",IF(E171="","Add - how long does it take?",IF(T171&lt;0,"Loss - this service costs you money",IF(V171&lt;TargetChairRate*0.7,"Check - well under your chair rate",IF(IF(N171="",FALSE,TodayDate-N171&gt;PriceReviewDays),"Due - price has not been reviewed",IF(IF(M171="Active",AB171=0,FALSE),"Check - on the menu but never booked","OK")))))))</f>
        <v>0</v>
      </c>
    </row>
    <row r="172" spans="1:39">
      <c r="A172" s="28">
        <f>IF(B172="","",ServicePrefix&amp;TEXT(ROW()-4,"000"))</f>
        <v>0</v>
      </c>
      <c r="P172" s="42">
        <f>IF(B172="","",ROUND((IF(E172="",0,E172)+IF(F172="",0,F172))/60,3))</f>
        <v>0</v>
      </c>
      <c r="Q172" s="26">
        <f>IF(B172="","",IF(H172&lt;&gt;"",H172,IF(G172="",0,ROUND(G172*ProductCostPercent,2))))</f>
        <v>0</v>
      </c>
      <c r="R172" s="26">
        <f>IF(B172="","",IF(J172="No",0,IF(G172="",0,ROUND(G172*ServiceCommission,2))))</f>
        <v>0</v>
      </c>
      <c r="S172" s="26">
        <f>IF(B172="","",ROUND(Q172+R172,2))</f>
        <v>0</v>
      </c>
      <c r="T172" s="26">
        <f>IF(B172="","",IF(G172="","",ROUND(G172-S172,2)))</f>
        <v>0</v>
      </c>
      <c r="U172" s="27">
        <f>IF(B172="","",IF(G172="","",IF(G172=0,"",T172/G172)))</f>
        <v>0</v>
      </c>
      <c r="V172" s="26">
        <f>IF(B172="","",IF(G172="","",IF(P172=0,"",ROUND(G172/P172,2))))</f>
        <v>0</v>
      </c>
      <c r="W172" s="26">
        <f>IF(B172="","",IF(T172="","",IF(P172=0,"",ROUND(T172/P172,2))))</f>
        <v>0</v>
      </c>
      <c r="X172" s="26">
        <f>IF(B172="","",IF(P172=0,"",IF(ServiceCommission&gt;=1,"",(Q172+TargetChairRate*P172)/IF(J172="No",1,1-ServiceCommission))))</f>
        <v>0</v>
      </c>
      <c r="Y172" s="26">
        <f>IF(B172="","",IF(X172="","",ROUND(IF(RoundingRule="None",X172,IF(RoundingRule="Nearest 0.99",MAX(0.99,CEILING(X172,1)-0.01),IF(RoundingRule="Nearest 0.95",MAX(0.95,CEILING(X172,1)-0.05),IF(RoundingRule="Nearest 0.50",CEILING(X172,0.5),IF(RoundingRule="Nearest 1",CEILING(X172,1),IF(RoundingRule="Nearest 5",CEILING(X172,5),IF(RoundingRule="Up to whole 1",CEILING(X172,1),IF(RoundingRule="Up to whole 5",CEILING(X172,5),ROUND(X172,2))))))))),2)))</f>
        <v>0</v>
      </c>
      <c r="Z172" s="26">
        <f>IF(B172="","",IF(Y172="","",IF(G172="","",ROUND(G172-Y172,2))))</f>
        <v>0</v>
      </c>
      <c r="AA172" s="25">
        <f>IF(B172="","",COUNTIFS(Appointments!$G$5:$G$1204,A172))</f>
        <v>0</v>
      </c>
      <c r="AB172" s="25">
        <f>IF(B172="","",COUNTIFS(Appointments!$G$5:$G$1204,A172,Appointments!$M$5:$M$1204,"Completed"))</f>
        <v>0</v>
      </c>
      <c r="AC172" s="25">
        <f>IF(B172="","",SUMIFS(Sales!$K$5:$K$1204,Sales!$I$5:$I$1204,A172,Sales!$H$5:$H$1204,"Service"))</f>
        <v>0</v>
      </c>
      <c r="AD172" s="26">
        <f>IF(B172="","",ROUND(SUMIFS(Sales!$Y$5:$Y$1204,Sales!$I$5:$I$1204,A172,Sales!$H$5:$H$1204,"Service"),2))</f>
        <v>0</v>
      </c>
      <c r="AE172" s="27">
        <f>IF(B172="","",IF(ServiceRevenueAll=0,"",AD172/ServiceRevenueAll))</f>
        <v>0</v>
      </c>
      <c r="AF172" s="26">
        <f>IF(B172="","",ROUND(AC172*T172,2))</f>
        <v>0</v>
      </c>
      <c r="AG172" s="37">
        <f>IF(B172="","",ROUND(AC172*P172,1))</f>
        <v>0</v>
      </c>
      <c r="AH172" s="27">
        <f>IF(B172="","",IF(AB172=0,"",COUNTIFS(Sales!$I$5:$I$1204,A172,Sales!$AJ$5:$AJ$1204,"Yes")/AB172))</f>
        <v>0</v>
      </c>
      <c r="AI172" s="17">
        <f>IF(B172="","",IFERROR(IF(COUNTIFS(Appointments!$G$5:$G$1204,A172)=0,"",SUMPRODUCT(MAX((Appointments!$G$5:$G$1204=A172)*IFERROR(Appointments!$B$5:$B$1204*1,0)))),""))</f>
        <v>0</v>
      </c>
      <c r="AJ172" s="25">
        <f>IF(B172="","",COUNTIFS($AD$5:$AD$204,"&gt;"&amp;AD172)+COUNTIFS($AD$5:AD172,AD172))</f>
        <v>0</v>
      </c>
      <c r="AK172" s="25">
        <f>IF(B172="","",COUNTIFS($W$5:$W$204,"&gt;"&amp;W172)+COUNTIFS($W$5:W172,W172))</f>
        <v>0</v>
      </c>
      <c r="AL172" s="25">
        <f>IF(B172="","",COUNTIFS($AB$5:$AB$204,"&gt;"&amp;AB172)+COUNTIFS($AB$5:AB172,AB172))</f>
        <v>0</v>
      </c>
      <c r="AM172" s="39">
        <f>IF(B172="","",IF(G172="","Add - no price yet",IF(E172="","Add - how long does it take?",IF(T172&lt;0,"Loss - this service costs you money",IF(V172&lt;TargetChairRate*0.7,"Check - well under your chair rate",IF(IF(N172="",FALSE,TodayDate-N172&gt;PriceReviewDays),"Due - price has not been reviewed",IF(IF(M172="Active",AB172=0,FALSE),"Check - on the menu but never booked","OK")))))))</f>
        <v>0</v>
      </c>
    </row>
    <row r="173" spans="1:39">
      <c r="A173" s="28">
        <f>IF(B173="","",ServicePrefix&amp;TEXT(ROW()-4,"000"))</f>
        <v>0</v>
      </c>
      <c r="P173" s="42">
        <f>IF(B173="","",ROUND((IF(E173="",0,E173)+IF(F173="",0,F173))/60,3))</f>
        <v>0</v>
      </c>
      <c r="Q173" s="26">
        <f>IF(B173="","",IF(H173&lt;&gt;"",H173,IF(G173="",0,ROUND(G173*ProductCostPercent,2))))</f>
        <v>0</v>
      </c>
      <c r="R173" s="26">
        <f>IF(B173="","",IF(J173="No",0,IF(G173="",0,ROUND(G173*ServiceCommission,2))))</f>
        <v>0</v>
      </c>
      <c r="S173" s="26">
        <f>IF(B173="","",ROUND(Q173+R173,2))</f>
        <v>0</v>
      </c>
      <c r="T173" s="26">
        <f>IF(B173="","",IF(G173="","",ROUND(G173-S173,2)))</f>
        <v>0</v>
      </c>
      <c r="U173" s="27">
        <f>IF(B173="","",IF(G173="","",IF(G173=0,"",T173/G173)))</f>
        <v>0</v>
      </c>
      <c r="V173" s="26">
        <f>IF(B173="","",IF(G173="","",IF(P173=0,"",ROUND(G173/P173,2))))</f>
        <v>0</v>
      </c>
      <c r="W173" s="26">
        <f>IF(B173="","",IF(T173="","",IF(P173=0,"",ROUND(T173/P173,2))))</f>
        <v>0</v>
      </c>
      <c r="X173" s="26">
        <f>IF(B173="","",IF(P173=0,"",IF(ServiceCommission&gt;=1,"",(Q173+TargetChairRate*P173)/IF(J173="No",1,1-ServiceCommission))))</f>
        <v>0</v>
      </c>
      <c r="Y173" s="26">
        <f>IF(B173="","",IF(X173="","",ROUND(IF(RoundingRule="None",X173,IF(RoundingRule="Nearest 0.99",MAX(0.99,CEILING(X173,1)-0.01),IF(RoundingRule="Nearest 0.95",MAX(0.95,CEILING(X173,1)-0.05),IF(RoundingRule="Nearest 0.50",CEILING(X173,0.5),IF(RoundingRule="Nearest 1",CEILING(X173,1),IF(RoundingRule="Nearest 5",CEILING(X173,5),IF(RoundingRule="Up to whole 1",CEILING(X173,1),IF(RoundingRule="Up to whole 5",CEILING(X173,5),ROUND(X173,2))))))))),2)))</f>
        <v>0</v>
      </c>
      <c r="Z173" s="26">
        <f>IF(B173="","",IF(Y173="","",IF(G173="","",ROUND(G173-Y173,2))))</f>
        <v>0</v>
      </c>
      <c r="AA173" s="25">
        <f>IF(B173="","",COUNTIFS(Appointments!$G$5:$G$1204,A173))</f>
        <v>0</v>
      </c>
      <c r="AB173" s="25">
        <f>IF(B173="","",COUNTIFS(Appointments!$G$5:$G$1204,A173,Appointments!$M$5:$M$1204,"Completed"))</f>
        <v>0</v>
      </c>
      <c r="AC173" s="25">
        <f>IF(B173="","",SUMIFS(Sales!$K$5:$K$1204,Sales!$I$5:$I$1204,A173,Sales!$H$5:$H$1204,"Service"))</f>
        <v>0</v>
      </c>
      <c r="AD173" s="26">
        <f>IF(B173="","",ROUND(SUMIFS(Sales!$Y$5:$Y$1204,Sales!$I$5:$I$1204,A173,Sales!$H$5:$H$1204,"Service"),2))</f>
        <v>0</v>
      </c>
      <c r="AE173" s="27">
        <f>IF(B173="","",IF(ServiceRevenueAll=0,"",AD173/ServiceRevenueAll))</f>
        <v>0</v>
      </c>
      <c r="AF173" s="26">
        <f>IF(B173="","",ROUND(AC173*T173,2))</f>
        <v>0</v>
      </c>
      <c r="AG173" s="37">
        <f>IF(B173="","",ROUND(AC173*P173,1))</f>
        <v>0</v>
      </c>
      <c r="AH173" s="27">
        <f>IF(B173="","",IF(AB173=0,"",COUNTIFS(Sales!$I$5:$I$1204,A173,Sales!$AJ$5:$AJ$1204,"Yes")/AB173))</f>
        <v>0</v>
      </c>
      <c r="AI173" s="17">
        <f>IF(B173="","",IFERROR(IF(COUNTIFS(Appointments!$G$5:$G$1204,A173)=0,"",SUMPRODUCT(MAX((Appointments!$G$5:$G$1204=A173)*IFERROR(Appointments!$B$5:$B$1204*1,0)))),""))</f>
        <v>0</v>
      </c>
      <c r="AJ173" s="25">
        <f>IF(B173="","",COUNTIFS($AD$5:$AD$204,"&gt;"&amp;AD173)+COUNTIFS($AD$5:AD173,AD173))</f>
        <v>0</v>
      </c>
      <c r="AK173" s="25">
        <f>IF(B173="","",COUNTIFS($W$5:$W$204,"&gt;"&amp;W173)+COUNTIFS($W$5:W173,W173))</f>
        <v>0</v>
      </c>
      <c r="AL173" s="25">
        <f>IF(B173="","",COUNTIFS($AB$5:$AB$204,"&gt;"&amp;AB173)+COUNTIFS($AB$5:AB173,AB173))</f>
        <v>0</v>
      </c>
      <c r="AM173" s="39">
        <f>IF(B173="","",IF(G173="","Add - no price yet",IF(E173="","Add - how long does it take?",IF(T173&lt;0,"Loss - this service costs you money",IF(V173&lt;TargetChairRate*0.7,"Check - well under your chair rate",IF(IF(N173="",FALSE,TodayDate-N173&gt;PriceReviewDays),"Due - price has not been reviewed",IF(IF(M173="Active",AB173=0,FALSE),"Check - on the menu but never booked","OK")))))))</f>
        <v>0</v>
      </c>
    </row>
    <row r="174" spans="1:39">
      <c r="A174" s="28">
        <f>IF(B174="","",ServicePrefix&amp;TEXT(ROW()-4,"000"))</f>
        <v>0</v>
      </c>
      <c r="P174" s="42">
        <f>IF(B174="","",ROUND((IF(E174="",0,E174)+IF(F174="",0,F174))/60,3))</f>
        <v>0</v>
      </c>
      <c r="Q174" s="26">
        <f>IF(B174="","",IF(H174&lt;&gt;"",H174,IF(G174="",0,ROUND(G174*ProductCostPercent,2))))</f>
        <v>0</v>
      </c>
      <c r="R174" s="26">
        <f>IF(B174="","",IF(J174="No",0,IF(G174="",0,ROUND(G174*ServiceCommission,2))))</f>
        <v>0</v>
      </c>
      <c r="S174" s="26">
        <f>IF(B174="","",ROUND(Q174+R174,2))</f>
        <v>0</v>
      </c>
      <c r="T174" s="26">
        <f>IF(B174="","",IF(G174="","",ROUND(G174-S174,2)))</f>
        <v>0</v>
      </c>
      <c r="U174" s="27">
        <f>IF(B174="","",IF(G174="","",IF(G174=0,"",T174/G174)))</f>
        <v>0</v>
      </c>
      <c r="V174" s="26">
        <f>IF(B174="","",IF(G174="","",IF(P174=0,"",ROUND(G174/P174,2))))</f>
        <v>0</v>
      </c>
      <c r="W174" s="26">
        <f>IF(B174="","",IF(T174="","",IF(P174=0,"",ROUND(T174/P174,2))))</f>
        <v>0</v>
      </c>
      <c r="X174" s="26">
        <f>IF(B174="","",IF(P174=0,"",IF(ServiceCommission&gt;=1,"",(Q174+TargetChairRate*P174)/IF(J174="No",1,1-ServiceCommission))))</f>
        <v>0</v>
      </c>
      <c r="Y174" s="26">
        <f>IF(B174="","",IF(X174="","",ROUND(IF(RoundingRule="None",X174,IF(RoundingRule="Nearest 0.99",MAX(0.99,CEILING(X174,1)-0.01),IF(RoundingRule="Nearest 0.95",MAX(0.95,CEILING(X174,1)-0.05),IF(RoundingRule="Nearest 0.50",CEILING(X174,0.5),IF(RoundingRule="Nearest 1",CEILING(X174,1),IF(RoundingRule="Nearest 5",CEILING(X174,5),IF(RoundingRule="Up to whole 1",CEILING(X174,1),IF(RoundingRule="Up to whole 5",CEILING(X174,5),ROUND(X174,2))))))))),2)))</f>
        <v>0</v>
      </c>
      <c r="Z174" s="26">
        <f>IF(B174="","",IF(Y174="","",IF(G174="","",ROUND(G174-Y174,2))))</f>
        <v>0</v>
      </c>
      <c r="AA174" s="25">
        <f>IF(B174="","",COUNTIFS(Appointments!$G$5:$G$1204,A174))</f>
        <v>0</v>
      </c>
      <c r="AB174" s="25">
        <f>IF(B174="","",COUNTIFS(Appointments!$G$5:$G$1204,A174,Appointments!$M$5:$M$1204,"Completed"))</f>
        <v>0</v>
      </c>
      <c r="AC174" s="25">
        <f>IF(B174="","",SUMIFS(Sales!$K$5:$K$1204,Sales!$I$5:$I$1204,A174,Sales!$H$5:$H$1204,"Service"))</f>
        <v>0</v>
      </c>
      <c r="AD174" s="26">
        <f>IF(B174="","",ROUND(SUMIFS(Sales!$Y$5:$Y$1204,Sales!$I$5:$I$1204,A174,Sales!$H$5:$H$1204,"Service"),2))</f>
        <v>0</v>
      </c>
      <c r="AE174" s="27">
        <f>IF(B174="","",IF(ServiceRevenueAll=0,"",AD174/ServiceRevenueAll))</f>
        <v>0</v>
      </c>
      <c r="AF174" s="26">
        <f>IF(B174="","",ROUND(AC174*T174,2))</f>
        <v>0</v>
      </c>
      <c r="AG174" s="37">
        <f>IF(B174="","",ROUND(AC174*P174,1))</f>
        <v>0</v>
      </c>
      <c r="AH174" s="27">
        <f>IF(B174="","",IF(AB174=0,"",COUNTIFS(Sales!$I$5:$I$1204,A174,Sales!$AJ$5:$AJ$1204,"Yes")/AB174))</f>
        <v>0</v>
      </c>
      <c r="AI174" s="17">
        <f>IF(B174="","",IFERROR(IF(COUNTIFS(Appointments!$G$5:$G$1204,A174)=0,"",SUMPRODUCT(MAX((Appointments!$G$5:$G$1204=A174)*IFERROR(Appointments!$B$5:$B$1204*1,0)))),""))</f>
        <v>0</v>
      </c>
      <c r="AJ174" s="25">
        <f>IF(B174="","",COUNTIFS($AD$5:$AD$204,"&gt;"&amp;AD174)+COUNTIFS($AD$5:AD174,AD174))</f>
        <v>0</v>
      </c>
      <c r="AK174" s="25">
        <f>IF(B174="","",COUNTIFS($W$5:$W$204,"&gt;"&amp;W174)+COUNTIFS($W$5:W174,W174))</f>
        <v>0</v>
      </c>
      <c r="AL174" s="25">
        <f>IF(B174="","",COUNTIFS($AB$5:$AB$204,"&gt;"&amp;AB174)+COUNTIFS($AB$5:AB174,AB174))</f>
        <v>0</v>
      </c>
      <c r="AM174" s="39">
        <f>IF(B174="","",IF(G174="","Add - no price yet",IF(E174="","Add - how long does it take?",IF(T174&lt;0,"Loss - this service costs you money",IF(V174&lt;TargetChairRate*0.7,"Check - well under your chair rate",IF(IF(N174="",FALSE,TodayDate-N174&gt;PriceReviewDays),"Due - price has not been reviewed",IF(IF(M174="Active",AB174=0,FALSE),"Check - on the menu but never booked","OK")))))))</f>
        <v>0</v>
      </c>
    </row>
    <row r="175" spans="1:39">
      <c r="A175" s="28">
        <f>IF(B175="","",ServicePrefix&amp;TEXT(ROW()-4,"000"))</f>
        <v>0</v>
      </c>
      <c r="P175" s="42">
        <f>IF(B175="","",ROUND((IF(E175="",0,E175)+IF(F175="",0,F175))/60,3))</f>
        <v>0</v>
      </c>
      <c r="Q175" s="26">
        <f>IF(B175="","",IF(H175&lt;&gt;"",H175,IF(G175="",0,ROUND(G175*ProductCostPercent,2))))</f>
        <v>0</v>
      </c>
      <c r="R175" s="26">
        <f>IF(B175="","",IF(J175="No",0,IF(G175="",0,ROUND(G175*ServiceCommission,2))))</f>
        <v>0</v>
      </c>
      <c r="S175" s="26">
        <f>IF(B175="","",ROUND(Q175+R175,2))</f>
        <v>0</v>
      </c>
      <c r="T175" s="26">
        <f>IF(B175="","",IF(G175="","",ROUND(G175-S175,2)))</f>
        <v>0</v>
      </c>
      <c r="U175" s="27">
        <f>IF(B175="","",IF(G175="","",IF(G175=0,"",T175/G175)))</f>
        <v>0</v>
      </c>
      <c r="V175" s="26">
        <f>IF(B175="","",IF(G175="","",IF(P175=0,"",ROUND(G175/P175,2))))</f>
        <v>0</v>
      </c>
      <c r="W175" s="26">
        <f>IF(B175="","",IF(T175="","",IF(P175=0,"",ROUND(T175/P175,2))))</f>
        <v>0</v>
      </c>
      <c r="X175" s="26">
        <f>IF(B175="","",IF(P175=0,"",IF(ServiceCommission&gt;=1,"",(Q175+TargetChairRate*P175)/IF(J175="No",1,1-ServiceCommission))))</f>
        <v>0</v>
      </c>
      <c r="Y175" s="26">
        <f>IF(B175="","",IF(X175="","",ROUND(IF(RoundingRule="None",X175,IF(RoundingRule="Nearest 0.99",MAX(0.99,CEILING(X175,1)-0.01),IF(RoundingRule="Nearest 0.95",MAX(0.95,CEILING(X175,1)-0.05),IF(RoundingRule="Nearest 0.50",CEILING(X175,0.5),IF(RoundingRule="Nearest 1",CEILING(X175,1),IF(RoundingRule="Nearest 5",CEILING(X175,5),IF(RoundingRule="Up to whole 1",CEILING(X175,1),IF(RoundingRule="Up to whole 5",CEILING(X175,5),ROUND(X175,2))))))))),2)))</f>
        <v>0</v>
      </c>
      <c r="Z175" s="26">
        <f>IF(B175="","",IF(Y175="","",IF(G175="","",ROUND(G175-Y175,2))))</f>
        <v>0</v>
      </c>
      <c r="AA175" s="25">
        <f>IF(B175="","",COUNTIFS(Appointments!$G$5:$G$1204,A175))</f>
        <v>0</v>
      </c>
      <c r="AB175" s="25">
        <f>IF(B175="","",COUNTIFS(Appointments!$G$5:$G$1204,A175,Appointments!$M$5:$M$1204,"Completed"))</f>
        <v>0</v>
      </c>
      <c r="AC175" s="25">
        <f>IF(B175="","",SUMIFS(Sales!$K$5:$K$1204,Sales!$I$5:$I$1204,A175,Sales!$H$5:$H$1204,"Service"))</f>
        <v>0</v>
      </c>
      <c r="AD175" s="26">
        <f>IF(B175="","",ROUND(SUMIFS(Sales!$Y$5:$Y$1204,Sales!$I$5:$I$1204,A175,Sales!$H$5:$H$1204,"Service"),2))</f>
        <v>0</v>
      </c>
      <c r="AE175" s="27">
        <f>IF(B175="","",IF(ServiceRevenueAll=0,"",AD175/ServiceRevenueAll))</f>
        <v>0</v>
      </c>
      <c r="AF175" s="26">
        <f>IF(B175="","",ROUND(AC175*T175,2))</f>
        <v>0</v>
      </c>
      <c r="AG175" s="37">
        <f>IF(B175="","",ROUND(AC175*P175,1))</f>
        <v>0</v>
      </c>
      <c r="AH175" s="27">
        <f>IF(B175="","",IF(AB175=0,"",COUNTIFS(Sales!$I$5:$I$1204,A175,Sales!$AJ$5:$AJ$1204,"Yes")/AB175))</f>
        <v>0</v>
      </c>
      <c r="AI175" s="17">
        <f>IF(B175="","",IFERROR(IF(COUNTIFS(Appointments!$G$5:$G$1204,A175)=0,"",SUMPRODUCT(MAX((Appointments!$G$5:$G$1204=A175)*IFERROR(Appointments!$B$5:$B$1204*1,0)))),""))</f>
        <v>0</v>
      </c>
      <c r="AJ175" s="25">
        <f>IF(B175="","",COUNTIFS($AD$5:$AD$204,"&gt;"&amp;AD175)+COUNTIFS($AD$5:AD175,AD175))</f>
        <v>0</v>
      </c>
      <c r="AK175" s="25">
        <f>IF(B175="","",COUNTIFS($W$5:$W$204,"&gt;"&amp;W175)+COUNTIFS($W$5:W175,W175))</f>
        <v>0</v>
      </c>
      <c r="AL175" s="25">
        <f>IF(B175="","",COUNTIFS($AB$5:$AB$204,"&gt;"&amp;AB175)+COUNTIFS($AB$5:AB175,AB175))</f>
        <v>0</v>
      </c>
      <c r="AM175" s="39">
        <f>IF(B175="","",IF(G175="","Add - no price yet",IF(E175="","Add - how long does it take?",IF(T175&lt;0,"Loss - this service costs you money",IF(V175&lt;TargetChairRate*0.7,"Check - well under your chair rate",IF(IF(N175="",FALSE,TodayDate-N175&gt;PriceReviewDays),"Due - price has not been reviewed",IF(IF(M175="Active",AB175=0,FALSE),"Check - on the menu but never booked","OK")))))))</f>
        <v>0</v>
      </c>
    </row>
    <row r="176" spans="1:39">
      <c r="A176" s="28">
        <f>IF(B176="","",ServicePrefix&amp;TEXT(ROW()-4,"000"))</f>
        <v>0</v>
      </c>
      <c r="P176" s="42">
        <f>IF(B176="","",ROUND((IF(E176="",0,E176)+IF(F176="",0,F176))/60,3))</f>
        <v>0</v>
      </c>
      <c r="Q176" s="26">
        <f>IF(B176="","",IF(H176&lt;&gt;"",H176,IF(G176="",0,ROUND(G176*ProductCostPercent,2))))</f>
        <v>0</v>
      </c>
      <c r="R176" s="26">
        <f>IF(B176="","",IF(J176="No",0,IF(G176="",0,ROUND(G176*ServiceCommission,2))))</f>
        <v>0</v>
      </c>
      <c r="S176" s="26">
        <f>IF(B176="","",ROUND(Q176+R176,2))</f>
        <v>0</v>
      </c>
      <c r="T176" s="26">
        <f>IF(B176="","",IF(G176="","",ROUND(G176-S176,2)))</f>
        <v>0</v>
      </c>
      <c r="U176" s="27">
        <f>IF(B176="","",IF(G176="","",IF(G176=0,"",T176/G176)))</f>
        <v>0</v>
      </c>
      <c r="V176" s="26">
        <f>IF(B176="","",IF(G176="","",IF(P176=0,"",ROUND(G176/P176,2))))</f>
        <v>0</v>
      </c>
      <c r="W176" s="26">
        <f>IF(B176="","",IF(T176="","",IF(P176=0,"",ROUND(T176/P176,2))))</f>
        <v>0</v>
      </c>
      <c r="X176" s="26">
        <f>IF(B176="","",IF(P176=0,"",IF(ServiceCommission&gt;=1,"",(Q176+TargetChairRate*P176)/IF(J176="No",1,1-ServiceCommission))))</f>
        <v>0</v>
      </c>
      <c r="Y176" s="26">
        <f>IF(B176="","",IF(X176="","",ROUND(IF(RoundingRule="None",X176,IF(RoundingRule="Nearest 0.99",MAX(0.99,CEILING(X176,1)-0.01),IF(RoundingRule="Nearest 0.95",MAX(0.95,CEILING(X176,1)-0.05),IF(RoundingRule="Nearest 0.50",CEILING(X176,0.5),IF(RoundingRule="Nearest 1",CEILING(X176,1),IF(RoundingRule="Nearest 5",CEILING(X176,5),IF(RoundingRule="Up to whole 1",CEILING(X176,1),IF(RoundingRule="Up to whole 5",CEILING(X176,5),ROUND(X176,2))))))))),2)))</f>
        <v>0</v>
      </c>
      <c r="Z176" s="26">
        <f>IF(B176="","",IF(Y176="","",IF(G176="","",ROUND(G176-Y176,2))))</f>
        <v>0</v>
      </c>
      <c r="AA176" s="25">
        <f>IF(B176="","",COUNTIFS(Appointments!$G$5:$G$1204,A176))</f>
        <v>0</v>
      </c>
      <c r="AB176" s="25">
        <f>IF(B176="","",COUNTIFS(Appointments!$G$5:$G$1204,A176,Appointments!$M$5:$M$1204,"Completed"))</f>
        <v>0</v>
      </c>
      <c r="AC176" s="25">
        <f>IF(B176="","",SUMIFS(Sales!$K$5:$K$1204,Sales!$I$5:$I$1204,A176,Sales!$H$5:$H$1204,"Service"))</f>
        <v>0</v>
      </c>
      <c r="AD176" s="26">
        <f>IF(B176="","",ROUND(SUMIFS(Sales!$Y$5:$Y$1204,Sales!$I$5:$I$1204,A176,Sales!$H$5:$H$1204,"Service"),2))</f>
        <v>0</v>
      </c>
      <c r="AE176" s="27">
        <f>IF(B176="","",IF(ServiceRevenueAll=0,"",AD176/ServiceRevenueAll))</f>
        <v>0</v>
      </c>
      <c r="AF176" s="26">
        <f>IF(B176="","",ROUND(AC176*T176,2))</f>
        <v>0</v>
      </c>
      <c r="AG176" s="37">
        <f>IF(B176="","",ROUND(AC176*P176,1))</f>
        <v>0</v>
      </c>
      <c r="AH176" s="27">
        <f>IF(B176="","",IF(AB176=0,"",COUNTIFS(Sales!$I$5:$I$1204,A176,Sales!$AJ$5:$AJ$1204,"Yes")/AB176))</f>
        <v>0</v>
      </c>
      <c r="AI176" s="17">
        <f>IF(B176="","",IFERROR(IF(COUNTIFS(Appointments!$G$5:$G$1204,A176)=0,"",SUMPRODUCT(MAX((Appointments!$G$5:$G$1204=A176)*IFERROR(Appointments!$B$5:$B$1204*1,0)))),""))</f>
        <v>0</v>
      </c>
      <c r="AJ176" s="25">
        <f>IF(B176="","",COUNTIFS($AD$5:$AD$204,"&gt;"&amp;AD176)+COUNTIFS($AD$5:AD176,AD176))</f>
        <v>0</v>
      </c>
      <c r="AK176" s="25">
        <f>IF(B176="","",COUNTIFS($W$5:$W$204,"&gt;"&amp;W176)+COUNTIFS($W$5:W176,W176))</f>
        <v>0</v>
      </c>
      <c r="AL176" s="25">
        <f>IF(B176="","",COUNTIFS($AB$5:$AB$204,"&gt;"&amp;AB176)+COUNTIFS($AB$5:AB176,AB176))</f>
        <v>0</v>
      </c>
      <c r="AM176" s="39">
        <f>IF(B176="","",IF(G176="","Add - no price yet",IF(E176="","Add - how long does it take?",IF(T176&lt;0,"Loss - this service costs you money",IF(V176&lt;TargetChairRate*0.7,"Check - well under your chair rate",IF(IF(N176="",FALSE,TodayDate-N176&gt;PriceReviewDays),"Due - price has not been reviewed",IF(IF(M176="Active",AB176=0,FALSE),"Check - on the menu but never booked","OK")))))))</f>
        <v>0</v>
      </c>
    </row>
    <row r="177" spans="1:39">
      <c r="A177" s="28">
        <f>IF(B177="","",ServicePrefix&amp;TEXT(ROW()-4,"000"))</f>
        <v>0</v>
      </c>
      <c r="P177" s="42">
        <f>IF(B177="","",ROUND((IF(E177="",0,E177)+IF(F177="",0,F177))/60,3))</f>
        <v>0</v>
      </c>
      <c r="Q177" s="26">
        <f>IF(B177="","",IF(H177&lt;&gt;"",H177,IF(G177="",0,ROUND(G177*ProductCostPercent,2))))</f>
        <v>0</v>
      </c>
      <c r="R177" s="26">
        <f>IF(B177="","",IF(J177="No",0,IF(G177="",0,ROUND(G177*ServiceCommission,2))))</f>
        <v>0</v>
      </c>
      <c r="S177" s="26">
        <f>IF(B177="","",ROUND(Q177+R177,2))</f>
        <v>0</v>
      </c>
      <c r="T177" s="26">
        <f>IF(B177="","",IF(G177="","",ROUND(G177-S177,2)))</f>
        <v>0</v>
      </c>
      <c r="U177" s="27">
        <f>IF(B177="","",IF(G177="","",IF(G177=0,"",T177/G177)))</f>
        <v>0</v>
      </c>
      <c r="V177" s="26">
        <f>IF(B177="","",IF(G177="","",IF(P177=0,"",ROUND(G177/P177,2))))</f>
        <v>0</v>
      </c>
      <c r="W177" s="26">
        <f>IF(B177="","",IF(T177="","",IF(P177=0,"",ROUND(T177/P177,2))))</f>
        <v>0</v>
      </c>
      <c r="X177" s="26">
        <f>IF(B177="","",IF(P177=0,"",IF(ServiceCommission&gt;=1,"",(Q177+TargetChairRate*P177)/IF(J177="No",1,1-ServiceCommission))))</f>
        <v>0</v>
      </c>
      <c r="Y177" s="26">
        <f>IF(B177="","",IF(X177="","",ROUND(IF(RoundingRule="None",X177,IF(RoundingRule="Nearest 0.99",MAX(0.99,CEILING(X177,1)-0.01),IF(RoundingRule="Nearest 0.95",MAX(0.95,CEILING(X177,1)-0.05),IF(RoundingRule="Nearest 0.50",CEILING(X177,0.5),IF(RoundingRule="Nearest 1",CEILING(X177,1),IF(RoundingRule="Nearest 5",CEILING(X177,5),IF(RoundingRule="Up to whole 1",CEILING(X177,1),IF(RoundingRule="Up to whole 5",CEILING(X177,5),ROUND(X177,2))))))))),2)))</f>
        <v>0</v>
      </c>
      <c r="Z177" s="26">
        <f>IF(B177="","",IF(Y177="","",IF(G177="","",ROUND(G177-Y177,2))))</f>
        <v>0</v>
      </c>
      <c r="AA177" s="25">
        <f>IF(B177="","",COUNTIFS(Appointments!$G$5:$G$1204,A177))</f>
        <v>0</v>
      </c>
      <c r="AB177" s="25">
        <f>IF(B177="","",COUNTIFS(Appointments!$G$5:$G$1204,A177,Appointments!$M$5:$M$1204,"Completed"))</f>
        <v>0</v>
      </c>
      <c r="AC177" s="25">
        <f>IF(B177="","",SUMIFS(Sales!$K$5:$K$1204,Sales!$I$5:$I$1204,A177,Sales!$H$5:$H$1204,"Service"))</f>
        <v>0</v>
      </c>
      <c r="AD177" s="26">
        <f>IF(B177="","",ROUND(SUMIFS(Sales!$Y$5:$Y$1204,Sales!$I$5:$I$1204,A177,Sales!$H$5:$H$1204,"Service"),2))</f>
        <v>0</v>
      </c>
      <c r="AE177" s="27">
        <f>IF(B177="","",IF(ServiceRevenueAll=0,"",AD177/ServiceRevenueAll))</f>
        <v>0</v>
      </c>
      <c r="AF177" s="26">
        <f>IF(B177="","",ROUND(AC177*T177,2))</f>
        <v>0</v>
      </c>
      <c r="AG177" s="37">
        <f>IF(B177="","",ROUND(AC177*P177,1))</f>
        <v>0</v>
      </c>
      <c r="AH177" s="27">
        <f>IF(B177="","",IF(AB177=0,"",COUNTIFS(Sales!$I$5:$I$1204,A177,Sales!$AJ$5:$AJ$1204,"Yes")/AB177))</f>
        <v>0</v>
      </c>
      <c r="AI177" s="17">
        <f>IF(B177="","",IFERROR(IF(COUNTIFS(Appointments!$G$5:$G$1204,A177)=0,"",SUMPRODUCT(MAX((Appointments!$G$5:$G$1204=A177)*IFERROR(Appointments!$B$5:$B$1204*1,0)))),""))</f>
        <v>0</v>
      </c>
      <c r="AJ177" s="25">
        <f>IF(B177="","",COUNTIFS($AD$5:$AD$204,"&gt;"&amp;AD177)+COUNTIFS($AD$5:AD177,AD177))</f>
        <v>0</v>
      </c>
      <c r="AK177" s="25">
        <f>IF(B177="","",COUNTIFS($W$5:$W$204,"&gt;"&amp;W177)+COUNTIFS($W$5:W177,W177))</f>
        <v>0</v>
      </c>
      <c r="AL177" s="25">
        <f>IF(B177="","",COUNTIFS($AB$5:$AB$204,"&gt;"&amp;AB177)+COUNTIFS($AB$5:AB177,AB177))</f>
        <v>0</v>
      </c>
      <c r="AM177" s="39">
        <f>IF(B177="","",IF(G177="","Add - no price yet",IF(E177="","Add - how long does it take?",IF(T177&lt;0,"Loss - this service costs you money",IF(V177&lt;TargetChairRate*0.7,"Check - well under your chair rate",IF(IF(N177="",FALSE,TodayDate-N177&gt;PriceReviewDays),"Due - price has not been reviewed",IF(IF(M177="Active",AB177=0,FALSE),"Check - on the menu but never booked","OK")))))))</f>
        <v>0</v>
      </c>
    </row>
    <row r="178" spans="1:39">
      <c r="A178" s="28">
        <f>IF(B178="","",ServicePrefix&amp;TEXT(ROW()-4,"000"))</f>
        <v>0</v>
      </c>
      <c r="P178" s="42">
        <f>IF(B178="","",ROUND((IF(E178="",0,E178)+IF(F178="",0,F178))/60,3))</f>
        <v>0</v>
      </c>
      <c r="Q178" s="26">
        <f>IF(B178="","",IF(H178&lt;&gt;"",H178,IF(G178="",0,ROUND(G178*ProductCostPercent,2))))</f>
        <v>0</v>
      </c>
      <c r="R178" s="26">
        <f>IF(B178="","",IF(J178="No",0,IF(G178="",0,ROUND(G178*ServiceCommission,2))))</f>
        <v>0</v>
      </c>
      <c r="S178" s="26">
        <f>IF(B178="","",ROUND(Q178+R178,2))</f>
        <v>0</v>
      </c>
      <c r="T178" s="26">
        <f>IF(B178="","",IF(G178="","",ROUND(G178-S178,2)))</f>
        <v>0</v>
      </c>
      <c r="U178" s="27">
        <f>IF(B178="","",IF(G178="","",IF(G178=0,"",T178/G178)))</f>
        <v>0</v>
      </c>
      <c r="V178" s="26">
        <f>IF(B178="","",IF(G178="","",IF(P178=0,"",ROUND(G178/P178,2))))</f>
        <v>0</v>
      </c>
      <c r="W178" s="26">
        <f>IF(B178="","",IF(T178="","",IF(P178=0,"",ROUND(T178/P178,2))))</f>
        <v>0</v>
      </c>
      <c r="X178" s="26">
        <f>IF(B178="","",IF(P178=0,"",IF(ServiceCommission&gt;=1,"",(Q178+TargetChairRate*P178)/IF(J178="No",1,1-ServiceCommission))))</f>
        <v>0</v>
      </c>
      <c r="Y178" s="26">
        <f>IF(B178="","",IF(X178="","",ROUND(IF(RoundingRule="None",X178,IF(RoundingRule="Nearest 0.99",MAX(0.99,CEILING(X178,1)-0.01),IF(RoundingRule="Nearest 0.95",MAX(0.95,CEILING(X178,1)-0.05),IF(RoundingRule="Nearest 0.50",CEILING(X178,0.5),IF(RoundingRule="Nearest 1",CEILING(X178,1),IF(RoundingRule="Nearest 5",CEILING(X178,5),IF(RoundingRule="Up to whole 1",CEILING(X178,1),IF(RoundingRule="Up to whole 5",CEILING(X178,5),ROUND(X178,2))))))))),2)))</f>
        <v>0</v>
      </c>
      <c r="Z178" s="26">
        <f>IF(B178="","",IF(Y178="","",IF(G178="","",ROUND(G178-Y178,2))))</f>
        <v>0</v>
      </c>
      <c r="AA178" s="25">
        <f>IF(B178="","",COUNTIFS(Appointments!$G$5:$G$1204,A178))</f>
        <v>0</v>
      </c>
      <c r="AB178" s="25">
        <f>IF(B178="","",COUNTIFS(Appointments!$G$5:$G$1204,A178,Appointments!$M$5:$M$1204,"Completed"))</f>
        <v>0</v>
      </c>
      <c r="AC178" s="25">
        <f>IF(B178="","",SUMIFS(Sales!$K$5:$K$1204,Sales!$I$5:$I$1204,A178,Sales!$H$5:$H$1204,"Service"))</f>
        <v>0</v>
      </c>
      <c r="AD178" s="26">
        <f>IF(B178="","",ROUND(SUMIFS(Sales!$Y$5:$Y$1204,Sales!$I$5:$I$1204,A178,Sales!$H$5:$H$1204,"Service"),2))</f>
        <v>0</v>
      </c>
      <c r="AE178" s="27">
        <f>IF(B178="","",IF(ServiceRevenueAll=0,"",AD178/ServiceRevenueAll))</f>
        <v>0</v>
      </c>
      <c r="AF178" s="26">
        <f>IF(B178="","",ROUND(AC178*T178,2))</f>
        <v>0</v>
      </c>
      <c r="AG178" s="37">
        <f>IF(B178="","",ROUND(AC178*P178,1))</f>
        <v>0</v>
      </c>
      <c r="AH178" s="27">
        <f>IF(B178="","",IF(AB178=0,"",COUNTIFS(Sales!$I$5:$I$1204,A178,Sales!$AJ$5:$AJ$1204,"Yes")/AB178))</f>
        <v>0</v>
      </c>
      <c r="AI178" s="17">
        <f>IF(B178="","",IFERROR(IF(COUNTIFS(Appointments!$G$5:$G$1204,A178)=0,"",SUMPRODUCT(MAX((Appointments!$G$5:$G$1204=A178)*IFERROR(Appointments!$B$5:$B$1204*1,0)))),""))</f>
        <v>0</v>
      </c>
      <c r="AJ178" s="25">
        <f>IF(B178="","",COUNTIFS($AD$5:$AD$204,"&gt;"&amp;AD178)+COUNTIFS($AD$5:AD178,AD178))</f>
        <v>0</v>
      </c>
      <c r="AK178" s="25">
        <f>IF(B178="","",COUNTIFS($W$5:$W$204,"&gt;"&amp;W178)+COUNTIFS($W$5:W178,W178))</f>
        <v>0</v>
      </c>
      <c r="AL178" s="25">
        <f>IF(B178="","",COUNTIFS($AB$5:$AB$204,"&gt;"&amp;AB178)+COUNTIFS($AB$5:AB178,AB178))</f>
        <v>0</v>
      </c>
      <c r="AM178" s="39">
        <f>IF(B178="","",IF(G178="","Add - no price yet",IF(E178="","Add - how long does it take?",IF(T178&lt;0,"Loss - this service costs you money",IF(V178&lt;TargetChairRate*0.7,"Check - well under your chair rate",IF(IF(N178="",FALSE,TodayDate-N178&gt;PriceReviewDays),"Due - price has not been reviewed",IF(IF(M178="Active",AB178=0,FALSE),"Check - on the menu but never booked","OK")))))))</f>
        <v>0</v>
      </c>
    </row>
    <row r="179" spans="1:39">
      <c r="A179" s="28">
        <f>IF(B179="","",ServicePrefix&amp;TEXT(ROW()-4,"000"))</f>
        <v>0</v>
      </c>
      <c r="P179" s="42">
        <f>IF(B179="","",ROUND((IF(E179="",0,E179)+IF(F179="",0,F179))/60,3))</f>
        <v>0</v>
      </c>
      <c r="Q179" s="26">
        <f>IF(B179="","",IF(H179&lt;&gt;"",H179,IF(G179="",0,ROUND(G179*ProductCostPercent,2))))</f>
        <v>0</v>
      </c>
      <c r="R179" s="26">
        <f>IF(B179="","",IF(J179="No",0,IF(G179="",0,ROUND(G179*ServiceCommission,2))))</f>
        <v>0</v>
      </c>
      <c r="S179" s="26">
        <f>IF(B179="","",ROUND(Q179+R179,2))</f>
        <v>0</v>
      </c>
      <c r="T179" s="26">
        <f>IF(B179="","",IF(G179="","",ROUND(G179-S179,2)))</f>
        <v>0</v>
      </c>
      <c r="U179" s="27">
        <f>IF(B179="","",IF(G179="","",IF(G179=0,"",T179/G179)))</f>
        <v>0</v>
      </c>
      <c r="V179" s="26">
        <f>IF(B179="","",IF(G179="","",IF(P179=0,"",ROUND(G179/P179,2))))</f>
        <v>0</v>
      </c>
      <c r="W179" s="26">
        <f>IF(B179="","",IF(T179="","",IF(P179=0,"",ROUND(T179/P179,2))))</f>
        <v>0</v>
      </c>
      <c r="X179" s="26">
        <f>IF(B179="","",IF(P179=0,"",IF(ServiceCommission&gt;=1,"",(Q179+TargetChairRate*P179)/IF(J179="No",1,1-ServiceCommission))))</f>
        <v>0</v>
      </c>
      <c r="Y179" s="26">
        <f>IF(B179="","",IF(X179="","",ROUND(IF(RoundingRule="None",X179,IF(RoundingRule="Nearest 0.99",MAX(0.99,CEILING(X179,1)-0.01),IF(RoundingRule="Nearest 0.95",MAX(0.95,CEILING(X179,1)-0.05),IF(RoundingRule="Nearest 0.50",CEILING(X179,0.5),IF(RoundingRule="Nearest 1",CEILING(X179,1),IF(RoundingRule="Nearest 5",CEILING(X179,5),IF(RoundingRule="Up to whole 1",CEILING(X179,1),IF(RoundingRule="Up to whole 5",CEILING(X179,5),ROUND(X179,2))))))))),2)))</f>
        <v>0</v>
      </c>
      <c r="Z179" s="26">
        <f>IF(B179="","",IF(Y179="","",IF(G179="","",ROUND(G179-Y179,2))))</f>
        <v>0</v>
      </c>
      <c r="AA179" s="25">
        <f>IF(B179="","",COUNTIFS(Appointments!$G$5:$G$1204,A179))</f>
        <v>0</v>
      </c>
      <c r="AB179" s="25">
        <f>IF(B179="","",COUNTIFS(Appointments!$G$5:$G$1204,A179,Appointments!$M$5:$M$1204,"Completed"))</f>
        <v>0</v>
      </c>
      <c r="AC179" s="25">
        <f>IF(B179="","",SUMIFS(Sales!$K$5:$K$1204,Sales!$I$5:$I$1204,A179,Sales!$H$5:$H$1204,"Service"))</f>
        <v>0</v>
      </c>
      <c r="AD179" s="26">
        <f>IF(B179="","",ROUND(SUMIFS(Sales!$Y$5:$Y$1204,Sales!$I$5:$I$1204,A179,Sales!$H$5:$H$1204,"Service"),2))</f>
        <v>0</v>
      </c>
      <c r="AE179" s="27">
        <f>IF(B179="","",IF(ServiceRevenueAll=0,"",AD179/ServiceRevenueAll))</f>
        <v>0</v>
      </c>
      <c r="AF179" s="26">
        <f>IF(B179="","",ROUND(AC179*T179,2))</f>
        <v>0</v>
      </c>
      <c r="AG179" s="37">
        <f>IF(B179="","",ROUND(AC179*P179,1))</f>
        <v>0</v>
      </c>
      <c r="AH179" s="27">
        <f>IF(B179="","",IF(AB179=0,"",COUNTIFS(Sales!$I$5:$I$1204,A179,Sales!$AJ$5:$AJ$1204,"Yes")/AB179))</f>
        <v>0</v>
      </c>
      <c r="AI179" s="17">
        <f>IF(B179="","",IFERROR(IF(COUNTIFS(Appointments!$G$5:$G$1204,A179)=0,"",SUMPRODUCT(MAX((Appointments!$G$5:$G$1204=A179)*IFERROR(Appointments!$B$5:$B$1204*1,0)))),""))</f>
        <v>0</v>
      </c>
      <c r="AJ179" s="25">
        <f>IF(B179="","",COUNTIFS($AD$5:$AD$204,"&gt;"&amp;AD179)+COUNTIFS($AD$5:AD179,AD179))</f>
        <v>0</v>
      </c>
      <c r="AK179" s="25">
        <f>IF(B179="","",COUNTIFS($W$5:$W$204,"&gt;"&amp;W179)+COUNTIFS($W$5:W179,W179))</f>
        <v>0</v>
      </c>
      <c r="AL179" s="25">
        <f>IF(B179="","",COUNTIFS($AB$5:$AB$204,"&gt;"&amp;AB179)+COUNTIFS($AB$5:AB179,AB179))</f>
        <v>0</v>
      </c>
      <c r="AM179" s="39">
        <f>IF(B179="","",IF(G179="","Add - no price yet",IF(E179="","Add - how long does it take?",IF(T179&lt;0,"Loss - this service costs you money",IF(V179&lt;TargetChairRate*0.7,"Check - well under your chair rate",IF(IF(N179="",FALSE,TodayDate-N179&gt;PriceReviewDays),"Due - price has not been reviewed",IF(IF(M179="Active",AB179=0,FALSE),"Check - on the menu but never booked","OK")))))))</f>
        <v>0</v>
      </c>
    </row>
    <row r="180" spans="1:39">
      <c r="A180" s="28">
        <f>IF(B180="","",ServicePrefix&amp;TEXT(ROW()-4,"000"))</f>
        <v>0</v>
      </c>
      <c r="P180" s="42">
        <f>IF(B180="","",ROUND((IF(E180="",0,E180)+IF(F180="",0,F180))/60,3))</f>
        <v>0</v>
      </c>
      <c r="Q180" s="26">
        <f>IF(B180="","",IF(H180&lt;&gt;"",H180,IF(G180="",0,ROUND(G180*ProductCostPercent,2))))</f>
        <v>0</v>
      </c>
      <c r="R180" s="26">
        <f>IF(B180="","",IF(J180="No",0,IF(G180="",0,ROUND(G180*ServiceCommission,2))))</f>
        <v>0</v>
      </c>
      <c r="S180" s="26">
        <f>IF(B180="","",ROUND(Q180+R180,2))</f>
        <v>0</v>
      </c>
      <c r="T180" s="26">
        <f>IF(B180="","",IF(G180="","",ROUND(G180-S180,2)))</f>
        <v>0</v>
      </c>
      <c r="U180" s="27">
        <f>IF(B180="","",IF(G180="","",IF(G180=0,"",T180/G180)))</f>
        <v>0</v>
      </c>
      <c r="V180" s="26">
        <f>IF(B180="","",IF(G180="","",IF(P180=0,"",ROUND(G180/P180,2))))</f>
        <v>0</v>
      </c>
      <c r="W180" s="26">
        <f>IF(B180="","",IF(T180="","",IF(P180=0,"",ROUND(T180/P180,2))))</f>
        <v>0</v>
      </c>
      <c r="X180" s="26">
        <f>IF(B180="","",IF(P180=0,"",IF(ServiceCommission&gt;=1,"",(Q180+TargetChairRate*P180)/IF(J180="No",1,1-ServiceCommission))))</f>
        <v>0</v>
      </c>
      <c r="Y180" s="26">
        <f>IF(B180="","",IF(X180="","",ROUND(IF(RoundingRule="None",X180,IF(RoundingRule="Nearest 0.99",MAX(0.99,CEILING(X180,1)-0.01),IF(RoundingRule="Nearest 0.95",MAX(0.95,CEILING(X180,1)-0.05),IF(RoundingRule="Nearest 0.50",CEILING(X180,0.5),IF(RoundingRule="Nearest 1",CEILING(X180,1),IF(RoundingRule="Nearest 5",CEILING(X180,5),IF(RoundingRule="Up to whole 1",CEILING(X180,1),IF(RoundingRule="Up to whole 5",CEILING(X180,5),ROUND(X180,2))))))))),2)))</f>
        <v>0</v>
      </c>
      <c r="Z180" s="26">
        <f>IF(B180="","",IF(Y180="","",IF(G180="","",ROUND(G180-Y180,2))))</f>
        <v>0</v>
      </c>
      <c r="AA180" s="25">
        <f>IF(B180="","",COUNTIFS(Appointments!$G$5:$G$1204,A180))</f>
        <v>0</v>
      </c>
      <c r="AB180" s="25">
        <f>IF(B180="","",COUNTIFS(Appointments!$G$5:$G$1204,A180,Appointments!$M$5:$M$1204,"Completed"))</f>
        <v>0</v>
      </c>
      <c r="AC180" s="25">
        <f>IF(B180="","",SUMIFS(Sales!$K$5:$K$1204,Sales!$I$5:$I$1204,A180,Sales!$H$5:$H$1204,"Service"))</f>
        <v>0</v>
      </c>
      <c r="AD180" s="26">
        <f>IF(B180="","",ROUND(SUMIFS(Sales!$Y$5:$Y$1204,Sales!$I$5:$I$1204,A180,Sales!$H$5:$H$1204,"Service"),2))</f>
        <v>0</v>
      </c>
      <c r="AE180" s="27">
        <f>IF(B180="","",IF(ServiceRevenueAll=0,"",AD180/ServiceRevenueAll))</f>
        <v>0</v>
      </c>
      <c r="AF180" s="26">
        <f>IF(B180="","",ROUND(AC180*T180,2))</f>
        <v>0</v>
      </c>
      <c r="AG180" s="37">
        <f>IF(B180="","",ROUND(AC180*P180,1))</f>
        <v>0</v>
      </c>
      <c r="AH180" s="27">
        <f>IF(B180="","",IF(AB180=0,"",COUNTIFS(Sales!$I$5:$I$1204,A180,Sales!$AJ$5:$AJ$1204,"Yes")/AB180))</f>
        <v>0</v>
      </c>
      <c r="AI180" s="17">
        <f>IF(B180="","",IFERROR(IF(COUNTIFS(Appointments!$G$5:$G$1204,A180)=0,"",SUMPRODUCT(MAX((Appointments!$G$5:$G$1204=A180)*IFERROR(Appointments!$B$5:$B$1204*1,0)))),""))</f>
        <v>0</v>
      </c>
      <c r="AJ180" s="25">
        <f>IF(B180="","",COUNTIFS($AD$5:$AD$204,"&gt;"&amp;AD180)+COUNTIFS($AD$5:AD180,AD180))</f>
        <v>0</v>
      </c>
      <c r="AK180" s="25">
        <f>IF(B180="","",COUNTIFS($W$5:$W$204,"&gt;"&amp;W180)+COUNTIFS($W$5:W180,W180))</f>
        <v>0</v>
      </c>
      <c r="AL180" s="25">
        <f>IF(B180="","",COUNTIFS($AB$5:$AB$204,"&gt;"&amp;AB180)+COUNTIFS($AB$5:AB180,AB180))</f>
        <v>0</v>
      </c>
      <c r="AM180" s="39">
        <f>IF(B180="","",IF(G180="","Add - no price yet",IF(E180="","Add - how long does it take?",IF(T180&lt;0,"Loss - this service costs you money",IF(V180&lt;TargetChairRate*0.7,"Check - well under your chair rate",IF(IF(N180="",FALSE,TodayDate-N180&gt;PriceReviewDays),"Due - price has not been reviewed",IF(IF(M180="Active",AB180=0,FALSE),"Check - on the menu but never booked","OK")))))))</f>
        <v>0</v>
      </c>
    </row>
    <row r="181" spans="1:39">
      <c r="A181" s="28">
        <f>IF(B181="","",ServicePrefix&amp;TEXT(ROW()-4,"000"))</f>
        <v>0</v>
      </c>
      <c r="P181" s="42">
        <f>IF(B181="","",ROUND((IF(E181="",0,E181)+IF(F181="",0,F181))/60,3))</f>
        <v>0</v>
      </c>
      <c r="Q181" s="26">
        <f>IF(B181="","",IF(H181&lt;&gt;"",H181,IF(G181="",0,ROUND(G181*ProductCostPercent,2))))</f>
        <v>0</v>
      </c>
      <c r="R181" s="26">
        <f>IF(B181="","",IF(J181="No",0,IF(G181="",0,ROUND(G181*ServiceCommission,2))))</f>
        <v>0</v>
      </c>
      <c r="S181" s="26">
        <f>IF(B181="","",ROUND(Q181+R181,2))</f>
        <v>0</v>
      </c>
      <c r="T181" s="26">
        <f>IF(B181="","",IF(G181="","",ROUND(G181-S181,2)))</f>
        <v>0</v>
      </c>
      <c r="U181" s="27">
        <f>IF(B181="","",IF(G181="","",IF(G181=0,"",T181/G181)))</f>
        <v>0</v>
      </c>
      <c r="V181" s="26">
        <f>IF(B181="","",IF(G181="","",IF(P181=0,"",ROUND(G181/P181,2))))</f>
        <v>0</v>
      </c>
      <c r="W181" s="26">
        <f>IF(B181="","",IF(T181="","",IF(P181=0,"",ROUND(T181/P181,2))))</f>
        <v>0</v>
      </c>
      <c r="X181" s="26">
        <f>IF(B181="","",IF(P181=0,"",IF(ServiceCommission&gt;=1,"",(Q181+TargetChairRate*P181)/IF(J181="No",1,1-ServiceCommission))))</f>
        <v>0</v>
      </c>
      <c r="Y181" s="26">
        <f>IF(B181="","",IF(X181="","",ROUND(IF(RoundingRule="None",X181,IF(RoundingRule="Nearest 0.99",MAX(0.99,CEILING(X181,1)-0.01),IF(RoundingRule="Nearest 0.95",MAX(0.95,CEILING(X181,1)-0.05),IF(RoundingRule="Nearest 0.50",CEILING(X181,0.5),IF(RoundingRule="Nearest 1",CEILING(X181,1),IF(RoundingRule="Nearest 5",CEILING(X181,5),IF(RoundingRule="Up to whole 1",CEILING(X181,1),IF(RoundingRule="Up to whole 5",CEILING(X181,5),ROUND(X181,2))))))))),2)))</f>
        <v>0</v>
      </c>
      <c r="Z181" s="26">
        <f>IF(B181="","",IF(Y181="","",IF(G181="","",ROUND(G181-Y181,2))))</f>
        <v>0</v>
      </c>
      <c r="AA181" s="25">
        <f>IF(B181="","",COUNTIFS(Appointments!$G$5:$G$1204,A181))</f>
        <v>0</v>
      </c>
      <c r="AB181" s="25">
        <f>IF(B181="","",COUNTIFS(Appointments!$G$5:$G$1204,A181,Appointments!$M$5:$M$1204,"Completed"))</f>
        <v>0</v>
      </c>
      <c r="AC181" s="25">
        <f>IF(B181="","",SUMIFS(Sales!$K$5:$K$1204,Sales!$I$5:$I$1204,A181,Sales!$H$5:$H$1204,"Service"))</f>
        <v>0</v>
      </c>
      <c r="AD181" s="26">
        <f>IF(B181="","",ROUND(SUMIFS(Sales!$Y$5:$Y$1204,Sales!$I$5:$I$1204,A181,Sales!$H$5:$H$1204,"Service"),2))</f>
        <v>0</v>
      </c>
      <c r="AE181" s="27">
        <f>IF(B181="","",IF(ServiceRevenueAll=0,"",AD181/ServiceRevenueAll))</f>
        <v>0</v>
      </c>
      <c r="AF181" s="26">
        <f>IF(B181="","",ROUND(AC181*T181,2))</f>
        <v>0</v>
      </c>
      <c r="AG181" s="37">
        <f>IF(B181="","",ROUND(AC181*P181,1))</f>
        <v>0</v>
      </c>
      <c r="AH181" s="27">
        <f>IF(B181="","",IF(AB181=0,"",COUNTIFS(Sales!$I$5:$I$1204,A181,Sales!$AJ$5:$AJ$1204,"Yes")/AB181))</f>
        <v>0</v>
      </c>
      <c r="AI181" s="17">
        <f>IF(B181="","",IFERROR(IF(COUNTIFS(Appointments!$G$5:$G$1204,A181)=0,"",SUMPRODUCT(MAX((Appointments!$G$5:$G$1204=A181)*IFERROR(Appointments!$B$5:$B$1204*1,0)))),""))</f>
        <v>0</v>
      </c>
      <c r="AJ181" s="25">
        <f>IF(B181="","",COUNTIFS($AD$5:$AD$204,"&gt;"&amp;AD181)+COUNTIFS($AD$5:AD181,AD181))</f>
        <v>0</v>
      </c>
      <c r="AK181" s="25">
        <f>IF(B181="","",COUNTIFS($W$5:$W$204,"&gt;"&amp;W181)+COUNTIFS($W$5:W181,W181))</f>
        <v>0</v>
      </c>
      <c r="AL181" s="25">
        <f>IF(B181="","",COUNTIFS($AB$5:$AB$204,"&gt;"&amp;AB181)+COUNTIFS($AB$5:AB181,AB181))</f>
        <v>0</v>
      </c>
      <c r="AM181" s="39">
        <f>IF(B181="","",IF(G181="","Add - no price yet",IF(E181="","Add - how long does it take?",IF(T181&lt;0,"Loss - this service costs you money",IF(V181&lt;TargetChairRate*0.7,"Check - well under your chair rate",IF(IF(N181="",FALSE,TodayDate-N181&gt;PriceReviewDays),"Due - price has not been reviewed",IF(IF(M181="Active",AB181=0,FALSE),"Check - on the menu but never booked","OK")))))))</f>
        <v>0</v>
      </c>
    </row>
    <row r="182" spans="1:39">
      <c r="A182" s="28">
        <f>IF(B182="","",ServicePrefix&amp;TEXT(ROW()-4,"000"))</f>
        <v>0</v>
      </c>
      <c r="P182" s="42">
        <f>IF(B182="","",ROUND((IF(E182="",0,E182)+IF(F182="",0,F182))/60,3))</f>
        <v>0</v>
      </c>
      <c r="Q182" s="26">
        <f>IF(B182="","",IF(H182&lt;&gt;"",H182,IF(G182="",0,ROUND(G182*ProductCostPercent,2))))</f>
        <v>0</v>
      </c>
      <c r="R182" s="26">
        <f>IF(B182="","",IF(J182="No",0,IF(G182="",0,ROUND(G182*ServiceCommission,2))))</f>
        <v>0</v>
      </c>
      <c r="S182" s="26">
        <f>IF(B182="","",ROUND(Q182+R182,2))</f>
        <v>0</v>
      </c>
      <c r="T182" s="26">
        <f>IF(B182="","",IF(G182="","",ROUND(G182-S182,2)))</f>
        <v>0</v>
      </c>
      <c r="U182" s="27">
        <f>IF(B182="","",IF(G182="","",IF(G182=0,"",T182/G182)))</f>
        <v>0</v>
      </c>
      <c r="V182" s="26">
        <f>IF(B182="","",IF(G182="","",IF(P182=0,"",ROUND(G182/P182,2))))</f>
        <v>0</v>
      </c>
      <c r="W182" s="26">
        <f>IF(B182="","",IF(T182="","",IF(P182=0,"",ROUND(T182/P182,2))))</f>
        <v>0</v>
      </c>
      <c r="X182" s="26">
        <f>IF(B182="","",IF(P182=0,"",IF(ServiceCommission&gt;=1,"",(Q182+TargetChairRate*P182)/IF(J182="No",1,1-ServiceCommission))))</f>
        <v>0</v>
      </c>
      <c r="Y182" s="26">
        <f>IF(B182="","",IF(X182="","",ROUND(IF(RoundingRule="None",X182,IF(RoundingRule="Nearest 0.99",MAX(0.99,CEILING(X182,1)-0.01),IF(RoundingRule="Nearest 0.95",MAX(0.95,CEILING(X182,1)-0.05),IF(RoundingRule="Nearest 0.50",CEILING(X182,0.5),IF(RoundingRule="Nearest 1",CEILING(X182,1),IF(RoundingRule="Nearest 5",CEILING(X182,5),IF(RoundingRule="Up to whole 1",CEILING(X182,1),IF(RoundingRule="Up to whole 5",CEILING(X182,5),ROUND(X182,2))))))))),2)))</f>
        <v>0</v>
      </c>
      <c r="Z182" s="26">
        <f>IF(B182="","",IF(Y182="","",IF(G182="","",ROUND(G182-Y182,2))))</f>
        <v>0</v>
      </c>
      <c r="AA182" s="25">
        <f>IF(B182="","",COUNTIFS(Appointments!$G$5:$G$1204,A182))</f>
        <v>0</v>
      </c>
      <c r="AB182" s="25">
        <f>IF(B182="","",COUNTIFS(Appointments!$G$5:$G$1204,A182,Appointments!$M$5:$M$1204,"Completed"))</f>
        <v>0</v>
      </c>
      <c r="AC182" s="25">
        <f>IF(B182="","",SUMIFS(Sales!$K$5:$K$1204,Sales!$I$5:$I$1204,A182,Sales!$H$5:$H$1204,"Service"))</f>
        <v>0</v>
      </c>
      <c r="AD182" s="26">
        <f>IF(B182="","",ROUND(SUMIFS(Sales!$Y$5:$Y$1204,Sales!$I$5:$I$1204,A182,Sales!$H$5:$H$1204,"Service"),2))</f>
        <v>0</v>
      </c>
      <c r="AE182" s="27">
        <f>IF(B182="","",IF(ServiceRevenueAll=0,"",AD182/ServiceRevenueAll))</f>
        <v>0</v>
      </c>
      <c r="AF182" s="26">
        <f>IF(B182="","",ROUND(AC182*T182,2))</f>
        <v>0</v>
      </c>
      <c r="AG182" s="37">
        <f>IF(B182="","",ROUND(AC182*P182,1))</f>
        <v>0</v>
      </c>
      <c r="AH182" s="27">
        <f>IF(B182="","",IF(AB182=0,"",COUNTIFS(Sales!$I$5:$I$1204,A182,Sales!$AJ$5:$AJ$1204,"Yes")/AB182))</f>
        <v>0</v>
      </c>
      <c r="AI182" s="17">
        <f>IF(B182="","",IFERROR(IF(COUNTIFS(Appointments!$G$5:$G$1204,A182)=0,"",SUMPRODUCT(MAX((Appointments!$G$5:$G$1204=A182)*IFERROR(Appointments!$B$5:$B$1204*1,0)))),""))</f>
        <v>0</v>
      </c>
      <c r="AJ182" s="25">
        <f>IF(B182="","",COUNTIFS($AD$5:$AD$204,"&gt;"&amp;AD182)+COUNTIFS($AD$5:AD182,AD182))</f>
        <v>0</v>
      </c>
      <c r="AK182" s="25">
        <f>IF(B182="","",COUNTIFS($W$5:$W$204,"&gt;"&amp;W182)+COUNTIFS($W$5:W182,W182))</f>
        <v>0</v>
      </c>
      <c r="AL182" s="25">
        <f>IF(B182="","",COUNTIFS($AB$5:$AB$204,"&gt;"&amp;AB182)+COUNTIFS($AB$5:AB182,AB182))</f>
        <v>0</v>
      </c>
      <c r="AM182" s="39">
        <f>IF(B182="","",IF(G182="","Add - no price yet",IF(E182="","Add - how long does it take?",IF(T182&lt;0,"Loss - this service costs you money",IF(V182&lt;TargetChairRate*0.7,"Check - well under your chair rate",IF(IF(N182="",FALSE,TodayDate-N182&gt;PriceReviewDays),"Due - price has not been reviewed",IF(IF(M182="Active",AB182=0,FALSE),"Check - on the menu but never booked","OK")))))))</f>
        <v>0</v>
      </c>
    </row>
    <row r="183" spans="1:39">
      <c r="A183" s="28">
        <f>IF(B183="","",ServicePrefix&amp;TEXT(ROW()-4,"000"))</f>
        <v>0</v>
      </c>
      <c r="P183" s="42">
        <f>IF(B183="","",ROUND((IF(E183="",0,E183)+IF(F183="",0,F183))/60,3))</f>
        <v>0</v>
      </c>
      <c r="Q183" s="26">
        <f>IF(B183="","",IF(H183&lt;&gt;"",H183,IF(G183="",0,ROUND(G183*ProductCostPercent,2))))</f>
        <v>0</v>
      </c>
      <c r="R183" s="26">
        <f>IF(B183="","",IF(J183="No",0,IF(G183="",0,ROUND(G183*ServiceCommission,2))))</f>
        <v>0</v>
      </c>
      <c r="S183" s="26">
        <f>IF(B183="","",ROUND(Q183+R183,2))</f>
        <v>0</v>
      </c>
      <c r="T183" s="26">
        <f>IF(B183="","",IF(G183="","",ROUND(G183-S183,2)))</f>
        <v>0</v>
      </c>
      <c r="U183" s="27">
        <f>IF(B183="","",IF(G183="","",IF(G183=0,"",T183/G183)))</f>
        <v>0</v>
      </c>
      <c r="V183" s="26">
        <f>IF(B183="","",IF(G183="","",IF(P183=0,"",ROUND(G183/P183,2))))</f>
        <v>0</v>
      </c>
      <c r="W183" s="26">
        <f>IF(B183="","",IF(T183="","",IF(P183=0,"",ROUND(T183/P183,2))))</f>
        <v>0</v>
      </c>
      <c r="X183" s="26">
        <f>IF(B183="","",IF(P183=0,"",IF(ServiceCommission&gt;=1,"",(Q183+TargetChairRate*P183)/IF(J183="No",1,1-ServiceCommission))))</f>
        <v>0</v>
      </c>
      <c r="Y183" s="26">
        <f>IF(B183="","",IF(X183="","",ROUND(IF(RoundingRule="None",X183,IF(RoundingRule="Nearest 0.99",MAX(0.99,CEILING(X183,1)-0.01),IF(RoundingRule="Nearest 0.95",MAX(0.95,CEILING(X183,1)-0.05),IF(RoundingRule="Nearest 0.50",CEILING(X183,0.5),IF(RoundingRule="Nearest 1",CEILING(X183,1),IF(RoundingRule="Nearest 5",CEILING(X183,5),IF(RoundingRule="Up to whole 1",CEILING(X183,1),IF(RoundingRule="Up to whole 5",CEILING(X183,5),ROUND(X183,2))))))))),2)))</f>
        <v>0</v>
      </c>
      <c r="Z183" s="26">
        <f>IF(B183="","",IF(Y183="","",IF(G183="","",ROUND(G183-Y183,2))))</f>
        <v>0</v>
      </c>
      <c r="AA183" s="25">
        <f>IF(B183="","",COUNTIFS(Appointments!$G$5:$G$1204,A183))</f>
        <v>0</v>
      </c>
      <c r="AB183" s="25">
        <f>IF(B183="","",COUNTIFS(Appointments!$G$5:$G$1204,A183,Appointments!$M$5:$M$1204,"Completed"))</f>
        <v>0</v>
      </c>
      <c r="AC183" s="25">
        <f>IF(B183="","",SUMIFS(Sales!$K$5:$K$1204,Sales!$I$5:$I$1204,A183,Sales!$H$5:$H$1204,"Service"))</f>
        <v>0</v>
      </c>
      <c r="AD183" s="26">
        <f>IF(B183="","",ROUND(SUMIFS(Sales!$Y$5:$Y$1204,Sales!$I$5:$I$1204,A183,Sales!$H$5:$H$1204,"Service"),2))</f>
        <v>0</v>
      </c>
      <c r="AE183" s="27">
        <f>IF(B183="","",IF(ServiceRevenueAll=0,"",AD183/ServiceRevenueAll))</f>
        <v>0</v>
      </c>
      <c r="AF183" s="26">
        <f>IF(B183="","",ROUND(AC183*T183,2))</f>
        <v>0</v>
      </c>
      <c r="AG183" s="37">
        <f>IF(B183="","",ROUND(AC183*P183,1))</f>
        <v>0</v>
      </c>
      <c r="AH183" s="27">
        <f>IF(B183="","",IF(AB183=0,"",COUNTIFS(Sales!$I$5:$I$1204,A183,Sales!$AJ$5:$AJ$1204,"Yes")/AB183))</f>
        <v>0</v>
      </c>
      <c r="AI183" s="17">
        <f>IF(B183="","",IFERROR(IF(COUNTIFS(Appointments!$G$5:$G$1204,A183)=0,"",SUMPRODUCT(MAX((Appointments!$G$5:$G$1204=A183)*IFERROR(Appointments!$B$5:$B$1204*1,0)))),""))</f>
        <v>0</v>
      </c>
      <c r="AJ183" s="25">
        <f>IF(B183="","",COUNTIFS($AD$5:$AD$204,"&gt;"&amp;AD183)+COUNTIFS($AD$5:AD183,AD183))</f>
        <v>0</v>
      </c>
      <c r="AK183" s="25">
        <f>IF(B183="","",COUNTIFS($W$5:$W$204,"&gt;"&amp;W183)+COUNTIFS($W$5:W183,W183))</f>
        <v>0</v>
      </c>
      <c r="AL183" s="25">
        <f>IF(B183="","",COUNTIFS($AB$5:$AB$204,"&gt;"&amp;AB183)+COUNTIFS($AB$5:AB183,AB183))</f>
        <v>0</v>
      </c>
      <c r="AM183" s="39">
        <f>IF(B183="","",IF(G183="","Add - no price yet",IF(E183="","Add - how long does it take?",IF(T183&lt;0,"Loss - this service costs you money",IF(V183&lt;TargetChairRate*0.7,"Check - well under your chair rate",IF(IF(N183="",FALSE,TodayDate-N183&gt;PriceReviewDays),"Due - price has not been reviewed",IF(IF(M183="Active",AB183=0,FALSE),"Check - on the menu but never booked","OK")))))))</f>
        <v>0</v>
      </c>
    </row>
    <row r="184" spans="1:39">
      <c r="A184" s="28">
        <f>IF(B184="","",ServicePrefix&amp;TEXT(ROW()-4,"000"))</f>
        <v>0</v>
      </c>
      <c r="P184" s="42">
        <f>IF(B184="","",ROUND((IF(E184="",0,E184)+IF(F184="",0,F184))/60,3))</f>
        <v>0</v>
      </c>
      <c r="Q184" s="26">
        <f>IF(B184="","",IF(H184&lt;&gt;"",H184,IF(G184="",0,ROUND(G184*ProductCostPercent,2))))</f>
        <v>0</v>
      </c>
      <c r="R184" s="26">
        <f>IF(B184="","",IF(J184="No",0,IF(G184="",0,ROUND(G184*ServiceCommission,2))))</f>
        <v>0</v>
      </c>
      <c r="S184" s="26">
        <f>IF(B184="","",ROUND(Q184+R184,2))</f>
        <v>0</v>
      </c>
      <c r="T184" s="26">
        <f>IF(B184="","",IF(G184="","",ROUND(G184-S184,2)))</f>
        <v>0</v>
      </c>
      <c r="U184" s="27">
        <f>IF(B184="","",IF(G184="","",IF(G184=0,"",T184/G184)))</f>
        <v>0</v>
      </c>
      <c r="V184" s="26">
        <f>IF(B184="","",IF(G184="","",IF(P184=0,"",ROUND(G184/P184,2))))</f>
        <v>0</v>
      </c>
      <c r="W184" s="26">
        <f>IF(B184="","",IF(T184="","",IF(P184=0,"",ROUND(T184/P184,2))))</f>
        <v>0</v>
      </c>
      <c r="X184" s="26">
        <f>IF(B184="","",IF(P184=0,"",IF(ServiceCommission&gt;=1,"",(Q184+TargetChairRate*P184)/IF(J184="No",1,1-ServiceCommission))))</f>
        <v>0</v>
      </c>
      <c r="Y184" s="26">
        <f>IF(B184="","",IF(X184="","",ROUND(IF(RoundingRule="None",X184,IF(RoundingRule="Nearest 0.99",MAX(0.99,CEILING(X184,1)-0.01),IF(RoundingRule="Nearest 0.95",MAX(0.95,CEILING(X184,1)-0.05),IF(RoundingRule="Nearest 0.50",CEILING(X184,0.5),IF(RoundingRule="Nearest 1",CEILING(X184,1),IF(RoundingRule="Nearest 5",CEILING(X184,5),IF(RoundingRule="Up to whole 1",CEILING(X184,1),IF(RoundingRule="Up to whole 5",CEILING(X184,5),ROUND(X184,2))))))))),2)))</f>
        <v>0</v>
      </c>
      <c r="Z184" s="26">
        <f>IF(B184="","",IF(Y184="","",IF(G184="","",ROUND(G184-Y184,2))))</f>
        <v>0</v>
      </c>
      <c r="AA184" s="25">
        <f>IF(B184="","",COUNTIFS(Appointments!$G$5:$G$1204,A184))</f>
        <v>0</v>
      </c>
      <c r="AB184" s="25">
        <f>IF(B184="","",COUNTIFS(Appointments!$G$5:$G$1204,A184,Appointments!$M$5:$M$1204,"Completed"))</f>
        <v>0</v>
      </c>
      <c r="AC184" s="25">
        <f>IF(B184="","",SUMIFS(Sales!$K$5:$K$1204,Sales!$I$5:$I$1204,A184,Sales!$H$5:$H$1204,"Service"))</f>
        <v>0</v>
      </c>
      <c r="AD184" s="26">
        <f>IF(B184="","",ROUND(SUMIFS(Sales!$Y$5:$Y$1204,Sales!$I$5:$I$1204,A184,Sales!$H$5:$H$1204,"Service"),2))</f>
        <v>0</v>
      </c>
      <c r="AE184" s="27">
        <f>IF(B184="","",IF(ServiceRevenueAll=0,"",AD184/ServiceRevenueAll))</f>
        <v>0</v>
      </c>
      <c r="AF184" s="26">
        <f>IF(B184="","",ROUND(AC184*T184,2))</f>
        <v>0</v>
      </c>
      <c r="AG184" s="37">
        <f>IF(B184="","",ROUND(AC184*P184,1))</f>
        <v>0</v>
      </c>
      <c r="AH184" s="27">
        <f>IF(B184="","",IF(AB184=0,"",COUNTIFS(Sales!$I$5:$I$1204,A184,Sales!$AJ$5:$AJ$1204,"Yes")/AB184))</f>
        <v>0</v>
      </c>
      <c r="AI184" s="17">
        <f>IF(B184="","",IFERROR(IF(COUNTIFS(Appointments!$G$5:$G$1204,A184)=0,"",SUMPRODUCT(MAX((Appointments!$G$5:$G$1204=A184)*IFERROR(Appointments!$B$5:$B$1204*1,0)))),""))</f>
        <v>0</v>
      </c>
      <c r="AJ184" s="25">
        <f>IF(B184="","",COUNTIFS($AD$5:$AD$204,"&gt;"&amp;AD184)+COUNTIFS($AD$5:AD184,AD184))</f>
        <v>0</v>
      </c>
      <c r="AK184" s="25">
        <f>IF(B184="","",COUNTIFS($W$5:$W$204,"&gt;"&amp;W184)+COUNTIFS($W$5:W184,W184))</f>
        <v>0</v>
      </c>
      <c r="AL184" s="25">
        <f>IF(B184="","",COUNTIFS($AB$5:$AB$204,"&gt;"&amp;AB184)+COUNTIFS($AB$5:AB184,AB184))</f>
        <v>0</v>
      </c>
      <c r="AM184" s="39">
        <f>IF(B184="","",IF(G184="","Add - no price yet",IF(E184="","Add - how long does it take?",IF(T184&lt;0,"Loss - this service costs you money",IF(V184&lt;TargetChairRate*0.7,"Check - well under your chair rate",IF(IF(N184="",FALSE,TodayDate-N184&gt;PriceReviewDays),"Due - price has not been reviewed",IF(IF(M184="Active",AB184=0,FALSE),"Check - on the menu but never booked","OK")))))))</f>
        <v>0</v>
      </c>
    </row>
    <row r="185" spans="1:39">
      <c r="A185" s="28">
        <f>IF(B185="","",ServicePrefix&amp;TEXT(ROW()-4,"000"))</f>
        <v>0</v>
      </c>
      <c r="P185" s="42">
        <f>IF(B185="","",ROUND((IF(E185="",0,E185)+IF(F185="",0,F185))/60,3))</f>
        <v>0</v>
      </c>
      <c r="Q185" s="26">
        <f>IF(B185="","",IF(H185&lt;&gt;"",H185,IF(G185="",0,ROUND(G185*ProductCostPercent,2))))</f>
        <v>0</v>
      </c>
      <c r="R185" s="26">
        <f>IF(B185="","",IF(J185="No",0,IF(G185="",0,ROUND(G185*ServiceCommission,2))))</f>
        <v>0</v>
      </c>
      <c r="S185" s="26">
        <f>IF(B185="","",ROUND(Q185+R185,2))</f>
        <v>0</v>
      </c>
      <c r="T185" s="26">
        <f>IF(B185="","",IF(G185="","",ROUND(G185-S185,2)))</f>
        <v>0</v>
      </c>
      <c r="U185" s="27">
        <f>IF(B185="","",IF(G185="","",IF(G185=0,"",T185/G185)))</f>
        <v>0</v>
      </c>
      <c r="V185" s="26">
        <f>IF(B185="","",IF(G185="","",IF(P185=0,"",ROUND(G185/P185,2))))</f>
        <v>0</v>
      </c>
      <c r="W185" s="26">
        <f>IF(B185="","",IF(T185="","",IF(P185=0,"",ROUND(T185/P185,2))))</f>
        <v>0</v>
      </c>
      <c r="X185" s="26">
        <f>IF(B185="","",IF(P185=0,"",IF(ServiceCommission&gt;=1,"",(Q185+TargetChairRate*P185)/IF(J185="No",1,1-ServiceCommission))))</f>
        <v>0</v>
      </c>
      <c r="Y185" s="26">
        <f>IF(B185="","",IF(X185="","",ROUND(IF(RoundingRule="None",X185,IF(RoundingRule="Nearest 0.99",MAX(0.99,CEILING(X185,1)-0.01),IF(RoundingRule="Nearest 0.95",MAX(0.95,CEILING(X185,1)-0.05),IF(RoundingRule="Nearest 0.50",CEILING(X185,0.5),IF(RoundingRule="Nearest 1",CEILING(X185,1),IF(RoundingRule="Nearest 5",CEILING(X185,5),IF(RoundingRule="Up to whole 1",CEILING(X185,1),IF(RoundingRule="Up to whole 5",CEILING(X185,5),ROUND(X185,2))))))))),2)))</f>
        <v>0</v>
      </c>
      <c r="Z185" s="26">
        <f>IF(B185="","",IF(Y185="","",IF(G185="","",ROUND(G185-Y185,2))))</f>
        <v>0</v>
      </c>
      <c r="AA185" s="25">
        <f>IF(B185="","",COUNTIFS(Appointments!$G$5:$G$1204,A185))</f>
        <v>0</v>
      </c>
      <c r="AB185" s="25">
        <f>IF(B185="","",COUNTIFS(Appointments!$G$5:$G$1204,A185,Appointments!$M$5:$M$1204,"Completed"))</f>
        <v>0</v>
      </c>
      <c r="AC185" s="25">
        <f>IF(B185="","",SUMIFS(Sales!$K$5:$K$1204,Sales!$I$5:$I$1204,A185,Sales!$H$5:$H$1204,"Service"))</f>
        <v>0</v>
      </c>
      <c r="AD185" s="26">
        <f>IF(B185="","",ROUND(SUMIFS(Sales!$Y$5:$Y$1204,Sales!$I$5:$I$1204,A185,Sales!$H$5:$H$1204,"Service"),2))</f>
        <v>0</v>
      </c>
      <c r="AE185" s="27">
        <f>IF(B185="","",IF(ServiceRevenueAll=0,"",AD185/ServiceRevenueAll))</f>
        <v>0</v>
      </c>
      <c r="AF185" s="26">
        <f>IF(B185="","",ROUND(AC185*T185,2))</f>
        <v>0</v>
      </c>
      <c r="AG185" s="37">
        <f>IF(B185="","",ROUND(AC185*P185,1))</f>
        <v>0</v>
      </c>
      <c r="AH185" s="27">
        <f>IF(B185="","",IF(AB185=0,"",COUNTIFS(Sales!$I$5:$I$1204,A185,Sales!$AJ$5:$AJ$1204,"Yes")/AB185))</f>
        <v>0</v>
      </c>
      <c r="AI185" s="17">
        <f>IF(B185="","",IFERROR(IF(COUNTIFS(Appointments!$G$5:$G$1204,A185)=0,"",SUMPRODUCT(MAX((Appointments!$G$5:$G$1204=A185)*IFERROR(Appointments!$B$5:$B$1204*1,0)))),""))</f>
        <v>0</v>
      </c>
      <c r="AJ185" s="25">
        <f>IF(B185="","",COUNTIFS($AD$5:$AD$204,"&gt;"&amp;AD185)+COUNTIFS($AD$5:AD185,AD185))</f>
        <v>0</v>
      </c>
      <c r="AK185" s="25">
        <f>IF(B185="","",COUNTIFS($W$5:$W$204,"&gt;"&amp;W185)+COUNTIFS($W$5:W185,W185))</f>
        <v>0</v>
      </c>
      <c r="AL185" s="25">
        <f>IF(B185="","",COUNTIFS($AB$5:$AB$204,"&gt;"&amp;AB185)+COUNTIFS($AB$5:AB185,AB185))</f>
        <v>0</v>
      </c>
      <c r="AM185" s="39">
        <f>IF(B185="","",IF(G185="","Add - no price yet",IF(E185="","Add - how long does it take?",IF(T185&lt;0,"Loss - this service costs you money",IF(V185&lt;TargetChairRate*0.7,"Check - well under your chair rate",IF(IF(N185="",FALSE,TodayDate-N185&gt;PriceReviewDays),"Due - price has not been reviewed",IF(IF(M185="Active",AB185=0,FALSE),"Check - on the menu but never booked","OK")))))))</f>
        <v>0</v>
      </c>
    </row>
    <row r="186" spans="1:39">
      <c r="A186" s="28">
        <f>IF(B186="","",ServicePrefix&amp;TEXT(ROW()-4,"000"))</f>
        <v>0</v>
      </c>
      <c r="P186" s="42">
        <f>IF(B186="","",ROUND((IF(E186="",0,E186)+IF(F186="",0,F186))/60,3))</f>
        <v>0</v>
      </c>
      <c r="Q186" s="26">
        <f>IF(B186="","",IF(H186&lt;&gt;"",H186,IF(G186="",0,ROUND(G186*ProductCostPercent,2))))</f>
        <v>0</v>
      </c>
      <c r="R186" s="26">
        <f>IF(B186="","",IF(J186="No",0,IF(G186="",0,ROUND(G186*ServiceCommission,2))))</f>
        <v>0</v>
      </c>
      <c r="S186" s="26">
        <f>IF(B186="","",ROUND(Q186+R186,2))</f>
        <v>0</v>
      </c>
      <c r="T186" s="26">
        <f>IF(B186="","",IF(G186="","",ROUND(G186-S186,2)))</f>
        <v>0</v>
      </c>
      <c r="U186" s="27">
        <f>IF(B186="","",IF(G186="","",IF(G186=0,"",T186/G186)))</f>
        <v>0</v>
      </c>
      <c r="V186" s="26">
        <f>IF(B186="","",IF(G186="","",IF(P186=0,"",ROUND(G186/P186,2))))</f>
        <v>0</v>
      </c>
      <c r="W186" s="26">
        <f>IF(B186="","",IF(T186="","",IF(P186=0,"",ROUND(T186/P186,2))))</f>
        <v>0</v>
      </c>
      <c r="X186" s="26">
        <f>IF(B186="","",IF(P186=0,"",IF(ServiceCommission&gt;=1,"",(Q186+TargetChairRate*P186)/IF(J186="No",1,1-ServiceCommission))))</f>
        <v>0</v>
      </c>
      <c r="Y186" s="26">
        <f>IF(B186="","",IF(X186="","",ROUND(IF(RoundingRule="None",X186,IF(RoundingRule="Nearest 0.99",MAX(0.99,CEILING(X186,1)-0.01),IF(RoundingRule="Nearest 0.95",MAX(0.95,CEILING(X186,1)-0.05),IF(RoundingRule="Nearest 0.50",CEILING(X186,0.5),IF(RoundingRule="Nearest 1",CEILING(X186,1),IF(RoundingRule="Nearest 5",CEILING(X186,5),IF(RoundingRule="Up to whole 1",CEILING(X186,1),IF(RoundingRule="Up to whole 5",CEILING(X186,5),ROUND(X186,2))))))))),2)))</f>
        <v>0</v>
      </c>
      <c r="Z186" s="26">
        <f>IF(B186="","",IF(Y186="","",IF(G186="","",ROUND(G186-Y186,2))))</f>
        <v>0</v>
      </c>
      <c r="AA186" s="25">
        <f>IF(B186="","",COUNTIFS(Appointments!$G$5:$G$1204,A186))</f>
        <v>0</v>
      </c>
      <c r="AB186" s="25">
        <f>IF(B186="","",COUNTIFS(Appointments!$G$5:$G$1204,A186,Appointments!$M$5:$M$1204,"Completed"))</f>
        <v>0</v>
      </c>
      <c r="AC186" s="25">
        <f>IF(B186="","",SUMIFS(Sales!$K$5:$K$1204,Sales!$I$5:$I$1204,A186,Sales!$H$5:$H$1204,"Service"))</f>
        <v>0</v>
      </c>
      <c r="AD186" s="26">
        <f>IF(B186="","",ROUND(SUMIFS(Sales!$Y$5:$Y$1204,Sales!$I$5:$I$1204,A186,Sales!$H$5:$H$1204,"Service"),2))</f>
        <v>0</v>
      </c>
      <c r="AE186" s="27">
        <f>IF(B186="","",IF(ServiceRevenueAll=0,"",AD186/ServiceRevenueAll))</f>
        <v>0</v>
      </c>
      <c r="AF186" s="26">
        <f>IF(B186="","",ROUND(AC186*T186,2))</f>
        <v>0</v>
      </c>
      <c r="AG186" s="37">
        <f>IF(B186="","",ROUND(AC186*P186,1))</f>
        <v>0</v>
      </c>
      <c r="AH186" s="27">
        <f>IF(B186="","",IF(AB186=0,"",COUNTIFS(Sales!$I$5:$I$1204,A186,Sales!$AJ$5:$AJ$1204,"Yes")/AB186))</f>
        <v>0</v>
      </c>
      <c r="AI186" s="17">
        <f>IF(B186="","",IFERROR(IF(COUNTIFS(Appointments!$G$5:$G$1204,A186)=0,"",SUMPRODUCT(MAX((Appointments!$G$5:$G$1204=A186)*IFERROR(Appointments!$B$5:$B$1204*1,0)))),""))</f>
        <v>0</v>
      </c>
      <c r="AJ186" s="25">
        <f>IF(B186="","",COUNTIFS($AD$5:$AD$204,"&gt;"&amp;AD186)+COUNTIFS($AD$5:AD186,AD186))</f>
        <v>0</v>
      </c>
      <c r="AK186" s="25">
        <f>IF(B186="","",COUNTIFS($W$5:$W$204,"&gt;"&amp;W186)+COUNTIFS($W$5:W186,W186))</f>
        <v>0</v>
      </c>
      <c r="AL186" s="25">
        <f>IF(B186="","",COUNTIFS($AB$5:$AB$204,"&gt;"&amp;AB186)+COUNTIFS($AB$5:AB186,AB186))</f>
        <v>0</v>
      </c>
      <c r="AM186" s="39">
        <f>IF(B186="","",IF(G186="","Add - no price yet",IF(E186="","Add - how long does it take?",IF(T186&lt;0,"Loss - this service costs you money",IF(V186&lt;TargetChairRate*0.7,"Check - well under your chair rate",IF(IF(N186="",FALSE,TodayDate-N186&gt;PriceReviewDays),"Due - price has not been reviewed",IF(IF(M186="Active",AB186=0,FALSE),"Check - on the menu but never booked","OK")))))))</f>
        <v>0</v>
      </c>
    </row>
    <row r="187" spans="1:39">
      <c r="A187" s="28">
        <f>IF(B187="","",ServicePrefix&amp;TEXT(ROW()-4,"000"))</f>
        <v>0</v>
      </c>
      <c r="P187" s="42">
        <f>IF(B187="","",ROUND((IF(E187="",0,E187)+IF(F187="",0,F187))/60,3))</f>
        <v>0</v>
      </c>
      <c r="Q187" s="26">
        <f>IF(B187="","",IF(H187&lt;&gt;"",H187,IF(G187="",0,ROUND(G187*ProductCostPercent,2))))</f>
        <v>0</v>
      </c>
      <c r="R187" s="26">
        <f>IF(B187="","",IF(J187="No",0,IF(G187="",0,ROUND(G187*ServiceCommission,2))))</f>
        <v>0</v>
      </c>
      <c r="S187" s="26">
        <f>IF(B187="","",ROUND(Q187+R187,2))</f>
        <v>0</v>
      </c>
      <c r="T187" s="26">
        <f>IF(B187="","",IF(G187="","",ROUND(G187-S187,2)))</f>
        <v>0</v>
      </c>
      <c r="U187" s="27">
        <f>IF(B187="","",IF(G187="","",IF(G187=0,"",T187/G187)))</f>
        <v>0</v>
      </c>
      <c r="V187" s="26">
        <f>IF(B187="","",IF(G187="","",IF(P187=0,"",ROUND(G187/P187,2))))</f>
        <v>0</v>
      </c>
      <c r="W187" s="26">
        <f>IF(B187="","",IF(T187="","",IF(P187=0,"",ROUND(T187/P187,2))))</f>
        <v>0</v>
      </c>
      <c r="X187" s="26">
        <f>IF(B187="","",IF(P187=0,"",IF(ServiceCommission&gt;=1,"",(Q187+TargetChairRate*P187)/IF(J187="No",1,1-ServiceCommission))))</f>
        <v>0</v>
      </c>
      <c r="Y187" s="26">
        <f>IF(B187="","",IF(X187="","",ROUND(IF(RoundingRule="None",X187,IF(RoundingRule="Nearest 0.99",MAX(0.99,CEILING(X187,1)-0.01),IF(RoundingRule="Nearest 0.95",MAX(0.95,CEILING(X187,1)-0.05),IF(RoundingRule="Nearest 0.50",CEILING(X187,0.5),IF(RoundingRule="Nearest 1",CEILING(X187,1),IF(RoundingRule="Nearest 5",CEILING(X187,5),IF(RoundingRule="Up to whole 1",CEILING(X187,1),IF(RoundingRule="Up to whole 5",CEILING(X187,5),ROUND(X187,2))))))))),2)))</f>
        <v>0</v>
      </c>
      <c r="Z187" s="26">
        <f>IF(B187="","",IF(Y187="","",IF(G187="","",ROUND(G187-Y187,2))))</f>
        <v>0</v>
      </c>
      <c r="AA187" s="25">
        <f>IF(B187="","",COUNTIFS(Appointments!$G$5:$G$1204,A187))</f>
        <v>0</v>
      </c>
      <c r="AB187" s="25">
        <f>IF(B187="","",COUNTIFS(Appointments!$G$5:$G$1204,A187,Appointments!$M$5:$M$1204,"Completed"))</f>
        <v>0</v>
      </c>
      <c r="AC187" s="25">
        <f>IF(B187="","",SUMIFS(Sales!$K$5:$K$1204,Sales!$I$5:$I$1204,A187,Sales!$H$5:$H$1204,"Service"))</f>
        <v>0</v>
      </c>
      <c r="AD187" s="26">
        <f>IF(B187="","",ROUND(SUMIFS(Sales!$Y$5:$Y$1204,Sales!$I$5:$I$1204,A187,Sales!$H$5:$H$1204,"Service"),2))</f>
        <v>0</v>
      </c>
      <c r="AE187" s="27">
        <f>IF(B187="","",IF(ServiceRevenueAll=0,"",AD187/ServiceRevenueAll))</f>
        <v>0</v>
      </c>
      <c r="AF187" s="26">
        <f>IF(B187="","",ROUND(AC187*T187,2))</f>
        <v>0</v>
      </c>
      <c r="AG187" s="37">
        <f>IF(B187="","",ROUND(AC187*P187,1))</f>
        <v>0</v>
      </c>
      <c r="AH187" s="27">
        <f>IF(B187="","",IF(AB187=0,"",COUNTIFS(Sales!$I$5:$I$1204,A187,Sales!$AJ$5:$AJ$1204,"Yes")/AB187))</f>
        <v>0</v>
      </c>
      <c r="AI187" s="17">
        <f>IF(B187="","",IFERROR(IF(COUNTIFS(Appointments!$G$5:$G$1204,A187)=0,"",SUMPRODUCT(MAX((Appointments!$G$5:$G$1204=A187)*IFERROR(Appointments!$B$5:$B$1204*1,0)))),""))</f>
        <v>0</v>
      </c>
      <c r="AJ187" s="25">
        <f>IF(B187="","",COUNTIFS($AD$5:$AD$204,"&gt;"&amp;AD187)+COUNTIFS($AD$5:AD187,AD187))</f>
        <v>0</v>
      </c>
      <c r="AK187" s="25">
        <f>IF(B187="","",COUNTIFS($W$5:$W$204,"&gt;"&amp;W187)+COUNTIFS($W$5:W187,W187))</f>
        <v>0</v>
      </c>
      <c r="AL187" s="25">
        <f>IF(B187="","",COUNTIFS($AB$5:$AB$204,"&gt;"&amp;AB187)+COUNTIFS($AB$5:AB187,AB187))</f>
        <v>0</v>
      </c>
      <c r="AM187" s="39">
        <f>IF(B187="","",IF(G187="","Add - no price yet",IF(E187="","Add - how long does it take?",IF(T187&lt;0,"Loss - this service costs you money",IF(V187&lt;TargetChairRate*0.7,"Check - well under your chair rate",IF(IF(N187="",FALSE,TodayDate-N187&gt;PriceReviewDays),"Due - price has not been reviewed",IF(IF(M187="Active",AB187=0,FALSE),"Check - on the menu but never booked","OK")))))))</f>
        <v>0</v>
      </c>
    </row>
    <row r="188" spans="1:39">
      <c r="A188" s="28">
        <f>IF(B188="","",ServicePrefix&amp;TEXT(ROW()-4,"000"))</f>
        <v>0</v>
      </c>
      <c r="P188" s="42">
        <f>IF(B188="","",ROUND((IF(E188="",0,E188)+IF(F188="",0,F188))/60,3))</f>
        <v>0</v>
      </c>
      <c r="Q188" s="26">
        <f>IF(B188="","",IF(H188&lt;&gt;"",H188,IF(G188="",0,ROUND(G188*ProductCostPercent,2))))</f>
        <v>0</v>
      </c>
      <c r="R188" s="26">
        <f>IF(B188="","",IF(J188="No",0,IF(G188="",0,ROUND(G188*ServiceCommission,2))))</f>
        <v>0</v>
      </c>
      <c r="S188" s="26">
        <f>IF(B188="","",ROUND(Q188+R188,2))</f>
        <v>0</v>
      </c>
      <c r="T188" s="26">
        <f>IF(B188="","",IF(G188="","",ROUND(G188-S188,2)))</f>
        <v>0</v>
      </c>
      <c r="U188" s="27">
        <f>IF(B188="","",IF(G188="","",IF(G188=0,"",T188/G188)))</f>
        <v>0</v>
      </c>
      <c r="V188" s="26">
        <f>IF(B188="","",IF(G188="","",IF(P188=0,"",ROUND(G188/P188,2))))</f>
        <v>0</v>
      </c>
      <c r="W188" s="26">
        <f>IF(B188="","",IF(T188="","",IF(P188=0,"",ROUND(T188/P188,2))))</f>
        <v>0</v>
      </c>
      <c r="X188" s="26">
        <f>IF(B188="","",IF(P188=0,"",IF(ServiceCommission&gt;=1,"",(Q188+TargetChairRate*P188)/IF(J188="No",1,1-ServiceCommission))))</f>
        <v>0</v>
      </c>
      <c r="Y188" s="26">
        <f>IF(B188="","",IF(X188="","",ROUND(IF(RoundingRule="None",X188,IF(RoundingRule="Nearest 0.99",MAX(0.99,CEILING(X188,1)-0.01),IF(RoundingRule="Nearest 0.95",MAX(0.95,CEILING(X188,1)-0.05),IF(RoundingRule="Nearest 0.50",CEILING(X188,0.5),IF(RoundingRule="Nearest 1",CEILING(X188,1),IF(RoundingRule="Nearest 5",CEILING(X188,5),IF(RoundingRule="Up to whole 1",CEILING(X188,1),IF(RoundingRule="Up to whole 5",CEILING(X188,5),ROUND(X188,2))))))))),2)))</f>
        <v>0</v>
      </c>
      <c r="Z188" s="26">
        <f>IF(B188="","",IF(Y188="","",IF(G188="","",ROUND(G188-Y188,2))))</f>
        <v>0</v>
      </c>
      <c r="AA188" s="25">
        <f>IF(B188="","",COUNTIFS(Appointments!$G$5:$G$1204,A188))</f>
        <v>0</v>
      </c>
      <c r="AB188" s="25">
        <f>IF(B188="","",COUNTIFS(Appointments!$G$5:$G$1204,A188,Appointments!$M$5:$M$1204,"Completed"))</f>
        <v>0</v>
      </c>
      <c r="AC188" s="25">
        <f>IF(B188="","",SUMIFS(Sales!$K$5:$K$1204,Sales!$I$5:$I$1204,A188,Sales!$H$5:$H$1204,"Service"))</f>
        <v>0</v>
      </c>
      <c r="AD188" s="26">
        <f>IF(B188="","",ROUND(SUMIFS(Sales!$Y$5:$Y$1204,Sales!$I$5:$I$1204,A188,Sales!$H$5:$H$1204,"Service"),2))</f>
        <v>0</v>
      </c>
      <c r="AE188" s="27">
        <f>IF(B188="","",IF(ServiceRevenueAll=0,"",AD188/ServiceRevenueAll))</f>
        <v>0</v>
      </c>
      <c r="AF188" s="26">
        <f>IF(B188="","",ROUND(AC188*T188,2))</f>
        <v>0</v>
      </c>
      <c r="AG188" s="37">
        <f>IF(B188="","",ROUND(AC188*P188,1))</f>
        <v>0</v>
      </c>
      <c r="AH188" s="27">
        <f>IF(B188="","",IF(AB188=0,"",COUNTIFS(Sales!$I$5:$I$1204,A188,Sales!$AJ$5:$AJ$1204,"Yes")/AB188))</f>
        <v>0</v>
      </c>
      <c r="AI188" s="17">
        <f>IF(B188="","",IFERROR(IF(COUNTIFS(Appointments!$G$5:$G$1204,A188)=0,"",SUMPRODUCT(MAX((Appointments!$G$5:$G$1204=A188)*IFERROR(Appointments!$B$5:$B$1204*1,0)))),""))</f>
        <v>0</v>
      </c>
      <c r="AJ188" s="25">
        <f>IF(B188="","",COUNTIFS($AD$5:$AD$204,"&gt;"&amp;AD188)+COUNTIFS($AD$5:AD188,AD188))</f>
        <v>0</v>
      </c>
      <c r="AK188" s="25">
        <f>IF(B188="","",COUNTIFS($W$5:$W$204,"&gt;"&amp;W188)+COUNTIFS($W$5:W188,W188))</f>
        <v>0</v>
      </c>
      <c r="AL188" s="25">
        <f>IF(B188="","",COUNTIFS($AB$5:$AB$204,"&gt;"&amp;AB188)+COUNTIFS($AB$5:AB188,AB188))</f>
        <v>0</v>
      </c>
      <c r="AM188" s="39">
        <f>IF(B188="","",IF(G188="","Add - no price yet",IF(E188="","Add - how long does it take?",IF(T188&lt;0,"Loss - this service costs you money",IF(V188&lt;TargetChairRate*0.7,"Check - well under your chair rate",IF(IF(N188="",FALSE,TodayDate-N188&gt;PriceReviewDays),"Due - price has not been reviewed",IF(IF(M188="Active",AB188=0,FALSE),"Check - on the menu but never booked","OK")))))))</f>
        <v>0</v>
      </c>
    </row>
    <row r="189" spans="1:39">
      <c r="A189" s="28">
        <f>IF(B189="","",ServicePrefix&amp;TEXT(ROW()-4,"000"))</f>
        <v>0</v>
      </c>
      <c r="P189" s="42">
        <f>IF(B189="","",ROUND((IF(E189="",0,E189)+IF(F189="",0,F189))/60,3))</f>
        <v>0</v>
      </c>
      <c r="Q189" s="26">
        <f>IF(B189="","",IF(H189&lt;&gt;"",H189,IF(G189="",0,ROUND(G189*ProductCostPercent,2))))</f>
        <v>0</v>
      </c>
      <c r="R189" s="26">
        <f>IF(B189="","",IF(J189="No",0,IF(G189="",0,ROUND(G189*ServiceCommission,2))))</f>
        <v>0</v>
      </c>
      <c r="S189" s="26">
        <f>IF(B189="","",ROUND(Q189+R189,2))</f>
        <v>0</v>
      </c>
      <c r="T189" s="26">
        <f>IF(B189="","",IF(G189="","",ROUND(G189-S189,2)))</f>
        <v>0</v>
      </c>
      <c r="U189" s="27">
        <f>IF(B189="","",IF(G189="","",IF(G189=0,"",T189/G189)))</f>
        <v>0</v>
      </c>
      <c r="V189" s="26">
        <f>IF(B189="","",IF(G189="","",IF(P189=0,"",ROUND(G189/P189,2))))</f>
        <v>0</v>
      </c>
      <c r="W189" s="26">
        <f>IF(B189="","",IF(T189="","",IF(P189=0,"",ROUND(T189/P189,2))))</f>
        <v>0</v>
      </c>
      <c r="X189" s="26">
        <f>IF(B189="","",IF(P189=0,"",IF(ServiceCommission&gt;=1,"",(Q189+TargetChairRate*P189)/IF(J189="No",1,1-ServiceCommission))))</f>
        <v>0</v>
      </c>
      <c r="Y189" s="26">
        <f>IF(B189="","",IF(X189="","",ROUND(IF(RoundingRule="None",X189,IF(RoundingRule="Nearest 0.99",MAX(0.99,CEILING(X189,1)-0.01),IF(RoundingRule="Nearest 0.95",MAX(0.95,CEILING(X189,1)-0.05),IF(RoundingRule="Nearest 0.50",CEILING(X189,0.5),IF(RoundingRule="Nearest 1",CEILING(X189,1),IF(RoundingRule="Nearest 5",CEILING(X189,5),IF(RoundingRule="Up to whole 1",CEILING(X189,1),IF(RoundingRule="Up to whole 5",CEILING(X189,5),ROUND(X189,2))))))))),2)))</f>
        <v>0</v>
      </c>
      <c r="Z189" s="26">
        <f>IF(B189="","",IF(Y189="","",IF(G189="","",ROUND(G189-Y189,2))))</f>
        <v>0</v>
      </c>
      <c r="AA189" s="25">
        <f>IF(B189="","",COUNTIFS(Appointments!$G$5:$G$1204,A189))</f>
        <v>0</v>
      </c>
      <c r="AB189" s="25">
        <f>IF(B189="","",COUNTIFS(Appointments!$G$5:$G$1204,A189,Appointments!$M$5:$M$1204,"Completed"))</f>
        <v>0</v>
      </c>
      <c r="AC189" s="25">
        <f>IF(B189="","",SUMIFS(Sales!$K$5:$K$1204,Sales!$I$5:$I$1204,A189,Sales!$H$5:$H$1204,"Service"))</f>
        <v>0</v>
      </c>
      <c r="AD189" s="26">
        <f>IF(B189="","",ROUND(SUMIFS(Sales!$Y$5:$Y$1204,Sales!$I$5:$I$1204,A189,Sales!$H$5:$H$1204,"Service"),2))</f>
        <v>0</v>
      </c>
      <c r="AE189" s="27">
        <f>IF(B189="","",IF(ServiceRevenueAll=0,"",AD189/ServiceRevenueAll))</f>
        <v>0</v>
      </c>
      <c r="AF189" s="26">
        <f>IF(B189="","",ROUND(AC189*T189,2))</f>
        <v>0</v>
      </c>
      <c r="AG189" s="37">
        <f>IF(B189="","",ROUND(AC189*P189,1))</f>
        <v>0</v>
      </c>
      <c r="AH189" s="27">
        <f>IF(B189="","",IF(AB189=0,"",COUNTIFS(Sales!$I$5:$I$1204,A189,Sales!$AJ$5:$AJ$1204,"Yes")/AB189))</f>
        <v>0</v>
      </c>
      <c r="AI189" s="17">
        <f>IF(B189="","",IFERROR(IF(COUNTIFS(Appointments!$G$5:$G$1204,A189)=0,"",SUMPRODUCT(MAX((Appointments!$G$5:$G$1204=A189)*IFERROR(Appointments!$B$5:$B$1204*1,0)))),""))</f>
        <v>0</v>
      </c>
      <c r="AJ189" s="25">
        <f>IF(B189="","",COUNTIFS($AD$5:$AD$204,"&gt;"&amp;AD189)+COUNTIFS($AD$5:AD189,AD189))</f>
        <v>0</v>
      </c>
      <c r="AK189" s="25">
        <f>IF(B189="","",COUNTIFS($W$5:$W$204,"&gt;"&amp;W189)+COUNTIFS($W$5:W189,W189))</f>
        <v>0</v>
      </c>
      <c r="AL189" s="25">
        <f>IF(B189="","",COUNTIFS($AB$5:$AB$204,"&gt;"&amp;AB189)+COUNTIFS($AB$5:AB189,AB189))</f>
        <v>0</v>
      </c>
      <c r="AM189" s="39">
        <f>IF(B189="","",IF(G189="","Add - no price yet",IF(E189="","Add - how long does it take?",IF(T189&lt;0,"Loss - this service costs you money",IF(V189&lt;TargetChairRate*0.7,"Check - well under your chair rate",IF(IF(N189="",FALSE,TodayDate-N189&gt;PriceReviewDays),"Due - price has not been reviewed",IF(IF(M189="Active",AB189=0,FALSE),"Check - on the menu but never booked","OK")))))))</f>
        <v>0</v>
      </c>
    </row>
    <row r="190" spans="1:39">
      <c r="A190" s="28">
        <f>IF(B190="","",ServicePrefix&amp;TEXT(ROW()-4,"000"))</f>
        <v>0</v>
      </c>
      <c r="P190" s="42">
        <f>IF(B190="","",ROUND((IF(E190="",0,E190)+IF(F190="",0,F190))/60,3))</f>
        <v>0</v>
      </c>
      <c r="Q190" s="26">
        <f>IF(B190="","",IF(H190&lt;&gt;"",H190,IF(G190="",0,ROUND(G190*ProductCostPercent,2))))</f>
        <v>0</v>
      </c>
      <c r="R190" s="26">
        <f>IF(B190="","",IF(J190="No",0,IF(G190="",0,ROUND(G190*ServiceCommission,2))))</f>
        <v>0</v>
      </c>
      <c r="S190" s="26">
        <f>IF(B190="","",ROUND(Q190+R190,2))</f>
        <v>0</v>
      </c>
      <c r="T190" s="26">
        <f>IF(B190="","",IF(G190="","",ROUND(G190-S190,2)))</f>
        <v>0</v>
      </c>
      <c r="U190" s="27">
        <f>IF(B190="","",IF(G190="","",IF(G190=0,"",T190/G190)))</f>
        <v>0</v>
      </c>
      <c r="V190" s="26">
        <f>IF(B190="","",IF(G190="","",IF(P190=0,"",ROUND(G190/P190,2))))</f>
        <v>0</v>
      </c>
      <c r="W190" s="26">
        <f>IF(B190="","",IF(T190="","",IF(P190=0,"",ROUND(T190/P190,2))))</f>
        <v>0</v>
      </c>
      <c r="X190" s="26">
        <f>IF(B190="","",IF(P190=0,"",IF(ServiceCommission&gt;=1,"",(Q190+TargetChairRate*P190)/IF(J190="No",1,1-ServiceCommission))))</f>
        <v>0</v>
      </c>
      <c r="Y190" s="26">
        <f>IF(B190="","",IF(X190="","",ROUND(IF(RoundingRule="None",X190,IF(RoundingRule="Nearest 0.99",MAX(0.99,CEILING(X190,1)-0.01),IF(RoundingRule="Nearest 0.95",MAX(0.95,CEILING(X190,1)-0.05),IF(RoundingRule="Nearest 0.50",CEILING(X190,0.5),IF(RoundingRule="Nearest 1",CEILING(X190,1),IF(RoundingRule="Nearest 5",CEILING(X190,5),IF(RoundingRule="Up to whole 1",CEILING(X190,1),IF(RoundingRule="Up to whole 5",CEILING(X190,5),ROUND(X190,2))))))))),2)))</f>
        <v>0</v>
      </c>
      <c r="Z190" s="26">
        <f>IF(B190="","",IF(Y190="","",IF(G190="","",ROUND(G190-Y190,2))))</f>
        <v>0</v>
      </c>
      <c r="AA190" s="25">
        <f>IF(B190="","",COUNTIFS(Appointments!$G$5:$G$1204,A190))</f>
        <v>0</v>
      </c>
      <c r="AB190" s="25">
        <f>IF(B190="","",COUNTIFS(Appointments!$G$5:$G$1204,A190,Appointments!$M$5:$M$1204,"Completed"))</f>
        <v>0</v>
      </c>
      <c r="AC190" s="25">
        <f>IF(B190="","",SUMIFS(Sales!$K$5:$K$1204,Sales!$I$5:$I$1204,A190,Sales!$H$5:$H$1204,"Service"))</f>
        <v>0</v>
      </c>
      <c r="AD190" s="26">
        <f>IF(B190="","",ROUND(SUMIFS(Sales!$Y$5:$Y$1204,Sales!$I$5:$I$1204,A190,Sales!$H$5:$H$1204,"Service"),2))</f>
        <v>0</v>
      </c>
      <c r="AE190" s="27">
        <f>IF(B190="","",IF(ServiceRevenueAll=0,"",AD190/ServiceRevenueAll))</f>
        <v>0</v>
      </c>
      <c r="AF190" s="26">
        <f>IF(B190="","",ROUND(AC190*T190,2))</f>
        <v>0</v>
      </c>
      <c r="AG190" s="37">
        <f>IF(B190="","",ROUND(AC190*P190,1))</f>
        <v>0</v>
      </c>
      <c r="AH190" s="27">
        <f>IF(B190="","",IF(AB190=0,"",COUNTIFS(Sales!$I$5:$I$1204,A190,Sales!$AJ$5:$AJ$1204,"Yes")/AB190))</f>
        <v>0</v>
      </c>
      <c r="AI190" s="17">
        <f>IF(B190="","",IFERROR(IF(COUNTIFS(Appointments!$G$5:$G$1204,A190)=0,"",SUMPRODUCT(MAX((Appointments!$G$5:$G$1204=A190)*IFERROR(Appointments!$B$5:$B$1204*1,0)))),""))</f>
        <v>0</v>
      </c>
      <c r="AJ190" s="25">
        <f>IF(B190="","",COUNTIFS($AD$5:$AD$204,"&gt;"&amp;AD190)+COUNTIFS($AD$5:AD190,AD190))</f>
        <v>0</v>
      </c>
      <c r="AK190" s="25">
        <f>IF(B190="","",COUNTIFS($W$5:$W$204,"&gt;"&amp;W190)+COUNTIFS($W$5:W190,W190))</f>
        <v>0</v>
      </c>
      <c r="AL190" s="25">
        <f>IF(B190="","",COUNTIFS($AB$5:$AB$204,"&gt;"&amp;AB190)+COUNTIFS($AB$5:AB190,AB190))</f>
        <v>0</v>
      </c>
      <c r="AM190" s="39">
        <f>IF(B190="","",IF(G190="","Add - no price yet",IF(E190="","Add - how long does it take?",IF(T190&lt;0,"Loss - this service costs you money",IF(V190&lt;TargetChairRate*0.7,"Check - well under your chair rate",IF(IF(N190="",FALSE,TodayDate-N190&gt;PriceReviewDays),"Due - price has not been reviewed",IF(IF(M190="Active",AB190=0,FALSE),"Check - on the menu but never booked","OK")))))))</f>
        <v>0</v>
      </c>
    </row>
    <row r="191" spans="1:39">
      <c r="A191" s="28">
        <f>IF(B191="","",ServicePrefix&amp;TEXT(ROW()-4,"000"))</f>
        <v>0</v>
      </c>
      <c r="P191" s="42">
        <f>IF(B191="","",ROUND((IF(E191="",0,E191)+IF(F191="",0,F191))/60,3))</f>
        <v>0</v>
      </c>
      <c r="Q191" s="26">
        <f>IF(B191="","",IF(H191&lt;&gt;"",H191,IF(G191="",0,ROUND(G191*ProductCostPercent,2))))</f>
        <v>0</v>
      </c>
      <c r="R191" s="26">
        <f>IF(B191="","",IF(J191="No",0,IF(G191="",0,ROUND(G191*ServiceCommission,2))))</f>
        <v>0</v>
      </c>
      <c r="S191" s="26">
        <f>IF(B191="","",ROUND(Q191+R191,2))</f>
        <v>0</v>
      </c>
      <c r="T191" s="26">
        <f>IF(B191="","",IF(G191="","",ROUND(G191-S191,2)))</f>
        <v>0</v>
      </c>
      <c r="U191" s="27">
        <f>IF(B191="","",IF(G191="","",IF(G191=0,"",T191/G191)))</f>
        <v>0</v>
      </c>
      <c r="V191" s="26">
        <f>IF(B191="","",IF(G191="","",IF(P191=0,"",ROUND(G191/P191,2))))</f>
        <v>0</v>
      </c>
      <c r="W191" s="26">
        <f>IF(B191="","",IF(T191="","",IF(P191=0,"",ROUND(T191/P191,2))))</f>
        <v>0</v>
      </c>
      <c r="X191" s="26">
        <f>IF(B191="","",IF(P191=0,"",IF(ServiceCommission&gt;=1,"",(Q191+TargetChairRate*P191)/IF(J191="No",1,1-ServiceCommission))))</f>
        <v>0</v>
      </c>
      <c r="Y191" s="26">
        <f>IF(B191="","",IF(X191="","",ROUND(IF(RoundingRule="None",X191,IF(RoundingRule="Nearest 0.99",MAX(0.99,CEILING(X191,1)-0.01),IF(RoundingRule="Nearest 0.95",MAX(0.95,CEILING(X191,1)-0.05),IF(RoundingRule="Nearest 0.50",CEILING(X191,0.5),IF(RoundingRule="Nearest 1",CEILING(X191,1),IF(RoundingRule="Nearest 5",CEILING(X191,5),IF(RoundingRule="Up to whole 1",CEILING(X191,1),IF(RoundingRule="Up to whole 5",CEILING(X191,5),ROUND(X191,2))))))))),2)))</f>
        <v>0</v>
      </c>
      <c r="Z191" s="26">
        <f>IF(B191="","",IF(Y191="","",IF(G191="","",ROUND(G191-Y191,2))))</f>
        <v>0</v>
      </c>
      <c r="AA191" s="25">
        <f>IF(B191="","",COUNTIFS(Appointments!$G$5:$G$1204,A191))</f>
        <v>0</v>
      </c>
      <c r="AB191" s="25">
        <f>IF(B191="","",COUNTIFS(Appointments!$G$5:$G$1204,A191,Appointments!$M$5:$M$1204,"Completed"))</f>
        <v>0</v>
      </c>
      <c r="AC191" s="25">
        <f>IF(B191="","",SUMIFS(Sales!$K$5:$K$1204,Sales!$I$5:$I$1204,A191,Sales!$H$5:$H$1204,"Service"))</f>
        <v>0</v>
      </c>
      <c r="AD191" s="26">
        <f>IF(B191="","",ROUND(SUMIFS(Sales!$Y$5:$Y$1204,Sales!$I$5:$I$1204,A191,Sales!$H$5:$H$1204,"Service"),2))</f>
        <v>0</v>
      </c>
      <c r="AE191" s="27">
        <f>IF(B191="","",IF(ServiceRevenueAll=0,"",AD191/ServiceRevenueAll))</f>
        <v>0</v>
      </c>
      <c r="AF191" s="26">
        <f>IF(B191="","",ROUND(AC191*T191,2))</f>
        <v>0</v>
      </c>
      <c r="AG191" s="37">
        <f>IF(B191="","",ROUND(AC191*P191,1))</f>
        <v>0</v>
      </c>
      <c r="AH191" s="27">
        <f>IF(B191="","",IF(AB191=0,"",COUNTIFS(Sales!$I$5:$I$1204,A191,Sales!$AJ$5:$AJ$1204,"Yes")/AB191))</f>
        <v>0</v>
      </c>
      <c r="AI191" s="17">
        <f>IF(B191="","",IFERROR(IF(COUNTIFS(Appointments!$G$5:$G$1204,A191)=0,"",SUMPRODUCT(MAX((Appointments!$G$5:$G$1204=A191)*IFERROR(Appointments!$B$5:$B$1204*1,0)))),""))</f>
        <v>0</v>
      </c>
      <c r="AJ191" s="25">
        <f>IF(B191="","",COUNTIFS($AD$5:$AD$204,"&gt;"&amp;AD191)+COUNTIFS($AD$5:AD191,AD191))</f>
        <v>0</v>
      </c>
      <c r="AK191" s="25">
        <f>IF(B191="","",COUNTIFS($W$5:$W$204,"&gt;"&amp;W191)+COUNTIFS($W$5:W191,W191))</f>
        <v>0</v>
      </c>
      <c r="AL191" s="25">
        <f>IF(B191="","",COUNTIFS($AB$5:$AB$204,"&gt;"&amp;AB191)+COUNTIFS($AB$5:AB191,AB191))</f>
        <v>0</v>
      </c>
      <c r="AM191" s="39">
        <f>IF(B191="","",IF(G191="","Add - no price yet",IF(E191="","Add - how long does it take?",IF(T191&lt;0,"Loss - this service costs you money",IF(V191&lt;TargetChairRate*0.7,"Check - well under your chair rate",IF(IF(N191="",FALSE,TodayDate-N191&gt;PriceReviewDays),"Due - price has not been reviewed",IF(IF(M191="Active",AB191=0,FALSE),"Check - on the menu but never booked","OK")))))))</f>
        <v>0</v>
      </c>
    </row>
    <row r="192" spans="1:39">
      <c r="A192" s="28">
        <f>IF(B192="","",ServicePrefix&amp;TEXT(ROW()-4,"000"))</f>
        <v>0</v>
      </c>
      <c r="P192" s="42">
        <f>IF(B192="","",ROUND((IF(E192="",0,E192)+IF(F192="",0,F192))/60,3))</f>
        <v>0</v>
      </c>
      <c r="Q192" s="26">
        <f>IF(B192="","",IF(H192&lt;&gt;"",H192,IF(G192="",0,ROUND(G192*ProductCostPercent,2))))</f>
        <v>0</v>
      </c>
      <c r="R192" s="26">
        <f>IF(B192="","",IF(J192="No",0,IF(G192="",0,ROUND(G192*ServiceCommission,2))))</f>
        <v>0</v>
      </c>
      <c r="S192" s="26">
        <f>IF(B192="","",ROUND(Q192+R192,2))</f>
        <v>0</v>
      </c>
      <c r="T192" s="26">
        <f>IF(B192="","",IF(G192="","",ROUND(G192-S192,2)))</f>
        <v>0</v>
      </c>
      <c r="U192" s="27">
        <f>IF(B192="","",IF(G192="","",IF(G192=0,"",T192/G192)))</f>
        <v>0</v>
      </c>
      <c r="V192" s="26">
        <f>IF(B192="","",IF(G192="","",IF(P192=0,"",ROUND(G192/P192,2))))</f>
        <v>0</v>
      </c>
      <c r="W192" s="26">
        <f>IF(B192="","",IF(T192="","",IF(P192=0,"",ROUND(T192/P192,2))))</f>
        <v>0</v>
      </c>
      <c r="X192" s="26">
        <f>IF(B192="","",IF(P192=0,"",IF(ServiceCommission&gt;=1,"",(Q192+TargetChairRate*P192)/IF(J192="No",1,1-ServiceCommission))))</f>
        <v>0</v>
      </c>
      <c r="Y192" s="26">
        <f>IF(B192="","",IF(X192="","",ROUND(IF(RoundingRule="None",X192,IF(RoundingRule="Nearest 0.99",MAX(0.99,CEILING(X192,1)-0.01),IF(RoundingRule="Nearest 0.95",MAX(0.95,CEILING(X192,1)-0.05),IF(RoundingRule="Nearest 0.50",CEILING(X192,0.5),IF(RoundingRule="Nearest 1",CEILING(X192,1),IF(RoundingRule="Nearest 5",CEILING(X192,5),IF(RoundingRule="Up to whole 1",CEILING(X192,1),IF(RoundingRule="Up to whole 5",CEILING(X192,5),ROUND(X192,2))))))))),2)))</f>
        <v>0</v>
      </c>
      <c r="Z192" s="26">
        <f>IF(B192="","",IF(Y192="","",IF(G192="","",ROUND(G192-Y192,2))))</f>
        <v>0</v>
      </c>
      <c r="AA192" s="25">
        <f>IF(B192="","",COUNTIFS(Appointments!$G$5:$G$1204,A192))</f>
        <v>0</v>
      </c>
      <c r="AB192" s="25">
        <f>IF(B192="","",COUNTIFS(Appointments!$G$5:$G$1204,A192,Appointments!$M$5:$M$1204,"Completed"))</f>
        <v>0</v>
      </c>
      <c r="AC192" s="25">
        <f>IF(B192="","",SUMIFS(Sales!$K$5:$K$1204,Sales!$I$5:$I$1204,A192,Sales!$H$5:$H$1204,"Service"))</f>
        <v>0</v>
      </c>
      <c r="AD192" s="26">
        <f>IF(B192="","",ROUND(SUMIFS(Sales!$Y$5:$Y$1204,Sales!$I$5:$I$1204,A192,Sales!$H$5:$H$1204,"Service"),2))</f>
        <v>0</v>
      </c>
      <c r="AE192" s="27">
        <f>IF(B192="","",IF(ServiceRevenueAll=0,"",AD192/ServiceRevenueAll))</f>
        <v>0</v>
      </c>
      <c r="AF192" s="26">
        <f>IF(B192="","",ROUND(AC192*T192,2))</f>
        <v>0</v>
      </c>
      <c r="AG192" s="37">
        <f>IF(B192="","",ROUND(AC192*P192,1))</f>
        <v>0</v>
      </c>
      <c r="AH192" s="27">
        <f>IF(B192="","",IF(AB192=0,"",COUNTIFS(Sales!$I$5:$I$1204,A192,Sales!$AJ$5:$AJ$1204,"Yes")/AB192))</f>
        <v>0</v>
      </c>
      <c r="AI192" s="17">
        <f>IF(B192="","",IFERROR(IF(COUNTIFS(Appointments!$G$5:$G$1204,A192)=0,"",SUMPRODUCT(MAX((Appointments!$G$5:$G$1204=A192)*IFERROR(Appointments!$B$5:$B$1204*1,0)))),""))</f>
        <v>0</v>
      </c>
      <c r="AJ192" s="25">
        <f>IF(B192="","",COUNTIFS($AD$5:$AD$204,"&gt;"&amp;AD192)+COUNTIFS($AD$5:AD192,AD192))</f>
        <v>0</v>
      </c>
      <c r="AK192" s="25">
        <f>IF(B192="","",COUNTIFS($W$5:$W$204,"&gt;"&amp;W192)+COUNTIFS($W$5:W192,W192))</f>
        <v>0</v>
      </c>
      <c r="AL192" s="25">
        <f>IF(B192="","",COUNTIFS($AB$5:$AB$204,"&gt;"&amp;AB192)+COUNTIFS($AB$5:AB192,AB192))</f>
        <v>0</v>
      </c>
      <c r="AM192" s="39">
        <f>IF(B192="","",IF(G192="","Add - no price yet",IF(E192="","Add - how long does it take?",IF(T192&lt;0,"Loss - this service costs you money",IF(V192&lt;TargetChairRate*0.7,"Check - well under your chair rate",IF(IF(N192="",FALSE,TodayDate-N192&gt;PriceReviewDays),"Due - price has not been reviewed",IF(IF(M192="Active",AB192=0,FALSE),"Check - on the menu but never booked","OK")))))))</f>
        <v>0</v>
      </c>
    </row>
    <row r="193" spans="1:39">
      <c r="A193" s="28">
        <f>IF(B193="","",ServicePrefix&amp;TEXT(ROW()-4,"000"))</f>
        <v>0</v>
      </c>
      <c r="P193" s="42">
        <f>IF(B193="","",ROUND((IF(E193="",0,E193)+IF(F193="",0,F193))/60,3))</f>
        <v>0</v>
      </c>
      <c r="Q193" s="26">
        <f>IF(B193="","",IF(H193&lt;&gt;"",H193,IF(G193="",0,ROUND(G193*ProductCostPercent,2))))</f>
        <v>0</v>
      </c>
      <c r="R193" s="26">
        <f>IF(B193="","",IF(J193="No",0,IF(G193="",0,ROUND(G193*ServiceCommission,2))))</f>
        <v>0</v>
      </c>
      <c r="S193" s="26">
        <f>IF(B193="","",ROUND(Q193+R193,2))</f>
        <v>0</v>
      </c>
      <c r="T193" s="26">
        <f>IF(B193="","",IF(G193="","",ROUND(G193-S193,2)))</f>
        <v>0</v>
      </c>
      <c r="U193" s="27">
        <f>IF(B193="","",IF(G193="","",IF(G193=0,"",T193/G193)))</f>
        <v>0</v>
      </c>
      <c r="V193" s="26">
        <f>IF(B193="","",IF(G193="","",IF(P193=0,"",ROUND(G193/P193,2))))</f>
        <v>0</v>
      </c>
      <c r="W193" s="26">
        <f>IF(B193="","",IF(T193="","",IF(P193=0,"",ROUND(T193/P193,2))))</f>
        <v>0</v>
      </c>
      <c r="X193" s="26">
        <f>IF(B193="","",IF(P193=0,"",IF(ServiceCommission&gt;=1,"",(Q193+TargetChairRate*P193)/IF(J193="No",1,1-ServiceCommission))))</f>
        <v>0</v>
      </c>
      <c r="Y193" s="26">
        <f>IF(B193="","",IF(X193="","",ROUND(IF(RoundingRule="None",X193,IF(RoundingRule="Nearest 0.99",MAX(0.99,CEILING(X193,1)-0.01),IF(RoundingRule="Nearest 0.95",MAX(0.95,CEILING(X193,1)-0.05),IF(RoundingRule="Nearest 0.50",CEILING(X193,0.5),IF(RoundingRule="Nearest 1",CEILING(X193,1),IF(RoundingRule="Nearest 5",CEILING(X193,5),IF(RoundingRule="Up to whole 1",CEILING(X193,1),IF(RoundingRule="Up to whole 5",CEILING(X193,5),ROUND(X193,2))))))))),2)))</f>
        <v>0</v>
      </c>
      <c r="Z193" s="26">
        <f>IF(B193="","",IF(Y193="","",IF(G193="","",ROUND(G193-Y193,2))))</f>
        <v>0</v>
      </c>
      <c r="AA193" s="25">
        <f>IF(B193="","",COUNTIFS(Appointments!$G$5:$G$1204,A193))</f>
        <v>0</v>
      </c>
      <c r="AB193" s="25">
        <f>IF(B193="","",COUNTIFS(Appointments!$G$5:$G$1204,A193,Appointments!$M$5:$M$1204,"Completed"))</f>
        <v>0</v>
      </c>
      <c r="AC193" s="25">
        <f>IF(B193="","",SUMIFS(Sales!$K$5:$K$1204,Sales!$I$5:$I$1204,A193,Sales!$H$5:$H$1204,"Service"))</f>
        <v>0</v>
      </c>
      <c r="AD193" s="26">
        <f>IF(B193="","",ROUND(SUMIFS(Sales!$Y$5:$Y$1204,Sales!$I$5:$I$1204,A193,Sales!$H$5:$H$1204,"Service"),2))</f>
        <v>0</v>
      </c>
      <c r="AE193" s="27">
        <f>IF(B193="","",IF(ServiceRevenueAll=0,"",AD193/ServiceRevenueAll))</f>
        <v>0</v>
      </c>
      <c r="AF193" s="26">
        <f>IF(B193="","",ROUND(AC193*T193,2))</f>
        <v>0</v>
      </c>
      <c r="AG193" s="37">
        <f>IF(B193="","",ROUND(AC193*P193,1))</f>
        <v>0</v>
      </c>
      <c r="AH193" s="27">
        <f>IF(B193="","",IF(AB193=0,"",COUNTIFS(Sales!$I$5:$I$1204,A193,Sales!$AJ$5:$AJ$1204,"Yes")/AB193))</f>
        <v>0</v>
      </c>
      <c r="AI193" s="17">
        <f>IF(B193="","",IFERROR(IF(COUNTIFS(Appointments!$G$5:$G$1204,A193)=0,"",SUMPRODUCT(MAX((Appointments!$G$5:$G$1204=A193)*IFERROR(Appointments!$B$5:$B$1204*1,0)))),""))</f>
        <v>0</v>
      </c>
      <c r="AJ193" s="25">
        <f>IF(B193="","",COUNTIFS($AD$5:$AD$204,"&gt;"&amp;AD193)+COUNTIFS($AD$5:AD193,AD193))</f>
        <v>0</v>
      </c>
      <c r="AK193" s="25">
        <f>IF(B193="","",COUNTIFS($W$5:$W$204,"&gt;"&amp;W193)+COUNTIFS($W$5:W193,W193))</f>
        <v>0</v>
      </c>
      <c r="AL193" s="25">
        <f>IF(B193="","",COUNTIFS($AB$5:$AB$204,"&gt;"&amp;AB193)+COUNTIFS($AB$5:AB193,AB193))</f>
        <v>0</v>
      </c>
      <c r="AM193" s="39">
        <f>IF(B193="","",IF(G193="","Add - no price yet",IF(E193="","Add - how long does it take?",IF(T193&lt;0,"Loss - this service costs you money",IF(V193&lt;TargetChairRate*0.7,"Check - well under your chair rate",IF(IF(N193="",FALSE,TodayDate-N193&gt;PriceReviewDays),"Due - price has not been reviewed",IF(IF(M193="Active",AB193=0,FALSE),"Check - on the menu but never booked","OK")))))))</f>
        <v>0</v>
      </c>
    </row>
    <row r="194" spans="1:39">
      <c r="A194" s="28">
        <f>IF(B194="","",ServicePrefix&amp;TEXT(ROW()-4,"000"))</f>
        <v>0</v>
      </c>
      <c r="P194" s="42">
        <f>IF(B194="","",ROUND((IF(E194="",0,E194)+IF(F194="",0,F194))/60,3))</f>
        <v>0</v>
      </c>
      <c r="Q194" s="26">
        <f>IF(B194="","",IF(H194&lt;&gt;"",H194,IF(G194="",0,ROUND(G194*ProductCostPercent,2))))</f>
        <v>0</v>
      </c>
      <c r="R194" s="26">
        <f>IF(B194="","",IF(J194="No",0,IF(G194="",0,ROUND(G194*ServiceCommission,2))))</f>
        <v>0</v>
      </c>
      <c r="S194" s="26">
        <f>IF(B194="","",ROUND(Q194+R194,2))</f>
        <v>0</v>
      </c>
      <c r="T194" s="26">
        <f>IF(B194="","",IF(G194="","",ROUND(G194-S194,2)))</f>
        <v>0</v>
      </c>
      <c r="U194" s="27">
        <f>IF(B194="","",IF(G194="","",IF(G194=0,"",T194/G194)))</f>
        <v>0</v>
      </c>
      <c r="V194" s="26">
        <f>IF(B194="","",IF(G194="","",IF(P194=0,"",ROUND(G194/P194,2))))</f>
        <v>0</v>
      </c>
      <c r="W194" s="26">
        <f>IF(B194="","",IF(T194="","",IF(P194=0,"",ROUND(T194/P194,2))))</f>
        <v>0</v>
      </c>
      <c r="X194" s="26">
        <f>IF(B194="","",IF(P194=0,"",IF(ServiceCommission&gt;=1,"",(Q194+TargetChairRate*P194)/IF(J194="No",1,1-ServiceCommission))))</f>
        <v>0</v>
      </c>
      <c r="Y194" s="26">
        <f>IF(B194="","",IF(X194="","",ROUND(IF(RoundingRule="None",X194,IF(RoundingRule="Nearest 0.99",MAX(0.99,CEILING(X194,1)-0.01),IF(RoundingRule="Nearest 0.95",MAX(0.95,CEILING(X194,1)-0.05),IF(RoundingRule="Nearest 0.50",CEILING(X194,0.5),IF(RoundingRule="Nearest 1",CEILING(X194,1),IF(RoundingRule="Nearest 5",CEILING(X194,5),IF(RoundingRule="Up to whole 1",CEILING(X194,1),IF(RoundingRule="Up to whole 5",CEILING(X194,5),ROUND(X194,2))))))))),2)))</f>
        <v>0</v>
      </c>
      <c r="Z194" s="26">
        <f>IF(B194="","",IF(Y194="","",IF(G194="","",ROUND(G194-Y194,2))))</f>
        <v>0</v>
      </c>
      <c r="AA194" s="25">
        <f>IF(B194="","",COUNTIFS(Appointments!$G$5:$G$1204,A194))</f>
        <v>0</v>
      </c>
      <c r="AB194" s="25">
        <f>IF(B194="","",COUNTIFS(Appointments!$G$5:$G$1204,A194,Appointments!$M$5:$M$1204,"Completed"))</f>
        <v>0</v>
      </c>
      <c r="AC194" s="25">
        <f>IF(B194="","",SUMIFS(Sales!$K$5:$K$1204,Sales!$I$5:$I$1204,A194,Sales!$H$5:$H$1204,"Service"))</f>
        <v>0</v>
      </c>
      <c r="AD194" s="26">
        <f>IF(B194="","",ROUND(SUMIFS(Sales!$Y$5:$Y$1204,Sales!$I$5:$I$1204,A194,Sales!$H$5:$H$1204,"Service"),2))</f>
        <v>0</v>
      </c>
      <c r="AE194" s="27">
        <f>IF(B194="","",IF(ServiceRevenueAll=0,"",AD194/ServiceRevenueAll))</f>
        <v>0</v>
      </c>
      <c r="AF194" s="26">
        <f>IF(B194="","",ROUND(AC194*T194,2))</f>
        <v>0</v>
      </c>
      <c r="AG194" s="37">
        <f>IF(B194="","",ROUND(AC194*P194,1))</f>
        <v>0</v>
      </c>
      <c r="AH194" s="27">
        <f>IF(B194="","",IF(AB194=0,"",COUNTIFS(Sales!$I$5:$I$1204,A194,Sales!$AJ$5:$AJ$1204,"Yes")/AB194))</f>
        <v>0</v>
      </c>
      <c r="AI194" s="17">
        <f>IF(B194="","",IFERROR(IF(COUNTIFS(Appointments!$G$5:$G$1204,A194)=0,"",SUMPRODUCT(MAX((Appointments!$G$5:$G$1204=A194)*IFERROR(Appointments!$B$5:$B$1204*1,0)))),""))</f>
        <v>0</v>
      </c>
      <c r="AJ194" s="25">
        <f>IF(B194="","",COUNTIFS($AD$5:$AD$204,"&gt;"&amp;AD194)+COUNTIFS($AD$5:AD194,AD194))</f>
        <v>0</v>
      </c>
      <c r="AK194" s="25">
        <f>IF(B194="","",COUNTIFS($W$5:$W$204,"&gt;"&amp;W194)+COUNTIFS($W$5:W194,W194))</f>
        <v>0</v>
      </c>
      <c r="AL194" s="25">
        <f>IF(B194="","",COUNTIFS($AB$5:$AB$204,"&gt;"&amp;AB194)+COUNTIFS($AB$5:AB194,AB194))</f>
        <v>0</v>
      </c>
      <c r="AM194" s="39">
        <f>IF(B194="","",IF(G194="","Add - no price yet",IF(E194="","Add - how long does it take?",IF(T194&lt;0,"Loss - this service costs you money",IF(V194&lt;TargetChairRate*0.7,"Check - well under your chair rate",IF(IF(N194="",FALSE,TodayDate-N194&gt;PriceReviewDays),"Due - price has not been reviewed",IF(IF(M194="Active",AB194=0,FALSE),"Check - on the menu but never booked","OK")))))))</f>
        <v>0</v>
      </c>
    </row>
    <row r="195" spans="1:39">
      <c r="A195" s="28">
        <f>IF(B195="","",ServicePrefix&amp;TEXT(ROW()-4,"000"))</f>
        <v>0</v>
      </c>
      <c r="P195" s="42">
        <f>IF(B195="","",ROUND((IF(E195="",0,E195)+IF(F195="",0,F195))/60,3))</f>
        <v>0</v>
      </c>
      <c r="Q195" s="26">
        <f>IF(B195="","",IF(H195&lt;&gt;"",H195,IF(G195="",0,ROUND(G195*ProductCostPercent,2))))</f>
        <v>0</v>
      </c>
      <c r="R195" s="26">
        <f>IF(B195="","",IF(J195="No",0,IF(G195="",0,ROUND(G195*ServiceCommission,2))))</f>
        <v>0</v>
      </c>
      <c r="S195" s="26">
        <f>IF(B195="","",ROUND(Q195+R195,2))</f>
        <v>0</v>
      </c>
      <c r="T195" s="26">
        <f>IF(B195="","",IF(G195="","",ROUND(G195-S195,2)))</f>
        <v>0</v>
      </c>
      <c r="U195" s="27">
        <f>IF(B195="","",IF(G195="","",IF(G195=0,"",T195/G195)))</f>
        <v>0</v>
      </c>
      <c r="V195" s="26">
        <f>IF(B195="","",IF(G195="","",IF(P195=0,"",ROUND(G195/P195,2))))</f>
        <v>0</v>
      </c>
      <c r="W195" s="26">
        <f>IF(B195="","",IF(T195="","",IF(P195=0,"",ROUND(T195/P195,2))))</f>
        <v>0</v>
      </c>
      <c r="X195" s="26">
        <f>IF(B195="","",IF(P195=0,"",IF(ServiceCommission&gt;=1,"",(Q195+TargetChairRate*P195)/IF(J195="No",1,1-ServiceCommission))))</f>
        <v>0</v>
      </c>
      <c r="Y195" s="26">
        <f>IF(B195="","",IF(X195="","",ROUND(IF(RoundingRule="None",X195,IF(RoundingRule="Nearest 0.99",MAX(0.99,CEILING(X195,1)-0.01),IF(RoundingRule="Nearest 0.95",MAX(0.95,CEILING(X195,1)-0.05),IF(RoundingRule="Nearest 0.50",CEILING(X195,0.5),IF(RoundingRule="Nearest 1",CEILING(X195,1),IF(RoundingRule="Nearest 5",CEILING(X195,5),IF(RoundingRule="Up to whole 1",CEILING(X195,1),IF(RoundingRule="Up to whole 5",CEILING(X195,5),ROUND(X195,2))))))))),2)))</f>
        <v>0</v>
      </c>
      <c r="Z195" s="26">
        <f>IF(B195="","",IF(Y195="","",IF(G195="","",ROUND(G195-Y195,2))))</f>
        <v>0</v>
      </c>
      <c r="AA195" s="25">
        <f>IF(B195="","",COUNTIFS(Appointments!$G$5:$G$1204,A195))</f>
        <v>0</v>
      </c>
      <c r="AB195" s="25">
        <f>IF(B195="","",COUNTIFS(Appointments!$G$5:$G$1204,A195,Appointments!$M$5:$M$1204,"Completed"))</f>
        <v>0</v>
      </c>
      <c r="AC195" s="25">
        <f>IF(B195="","",SUMIFS(Sales!$K$5:$K$1204,Sales!$I$5:$I$1204,A195,Sales!$H$5:$H$1204,"Service"))</f>
        <v>0</v>
      </c>
      <c r="AD195" s="26">
        <f>IF(B195="","",ROUND(SUMIFS(Sales!$Y$5:$Y$1204,Sales!$I$5:$I$1204,A195,Sales!$H$5:$H$1204,"Service"),2))</f>
        <v>0</v>
      </c>
      <c r="AE195" s="27">
        <f>IF(B195="","",IF(ServiceRevenueAll=0,"",AD195/ServiceRevenueAll))</f>
        <v>0</v>
      </c>
      <c r="AF195" s="26">
        <f>IF(B195="","",ROUND(AC195*T195,2))</f>
        <v>0</v>
      </c>
      <c r="AG195" s="37">
        <f>IF(B195="","",ROUND(AC195*P195,1))</f>
        <v>0</v>
      </c>
      <c r="AH195" s="27">
        <f>IF(B195="","",IF(AB195=0,"",COUNTIFS(Sales!$I$5:$I$1204,A195,Sales!$AJ$5:$AJ$1204,"Yes")/AB195))</f>
        <v>0</v>
      </c>
      <c r="AI195" s="17">
        <f>IF(B195="","",IFERROR(IF(COUNTIFS(Appointments!$G$5:$G$1204,A195)=0,"",SUMPRODUCT(MAX((Appointments!$G$5:$G$1204=A195)*IFERROR(Appointments!$B$5:$B$1204*1,0)))),""))</f>
        <v>0</v>
      </c>
      <c r="AJ195" s="25">
        <f>IF(B195="","",COUNTIFS($AD$5:$AD$204,"&gt;"&amp;AD195)+COUNTIFS($AD$5:AD195,AD195))</f>
        <v>0</v>
      </c>
      <c r="AK195" s="25">
        <f>IF(B195="","",COUNTIFS($W$5:$W$204,"&gt;"&amp;W195)+COUNTIFS($W$5:W195,W195))</f>
        <v>0</v>
      </c>
      <c r="AL195" s="25">
        <f>IF(B195="","",COUNTIFS($AB$5:$AB$204,"&gt;"&amp;AB195)+COUNTIFS($AB$5:AB195,AB195))</f>
        <v>0</v>
      </c>
      <c r="AM195" s="39">
        <f>IF(B195="","",IF(G195="","Add - no price yet",IF(E195="","Add - how long does it take?",IF(T195&lt;0,"Loss - this service costs you money",IF(V195&lt;TargetChairRate*0.7,"Check - well under your chair rate",IF(IF(N195="",FALSE,TodayDate-N195&gt;PriceReviewDays),"Due - price has not been reviewed",IF(IF(M195="Active",AB195=0,FALSE),"Check - on the menu but never booked","OK")))))))</f>
        <v>0</v>
      </c>
    </row>
    <row r="196" spans="1:39">
      <c r="A196" s="28">
        <f>IF(B196="","",ServicePrefix&amp;TEXT(ROW()-4,"000"))</f>
        <v>0</v>
      </c>
      <c r="P196" s="42">
        <f>IF(B196="","",ROUND((IF(E196="",0,E196)+IF(F196="",0,F196))/60,3))</f>
        <v>0</v>
      </c>
      <c r="Q196" s="26">
        <f>IF(B196="","",IF(H196&lt;&gt;"",H196,IF(G196="",0,ROUND(G196*ProductCostPercent,2))))</f>
        <v>0</v>
      </c>
      <c r="R196" s="26">
        <f>IF(B196="","",IF(J196="No",0,IF(G196="",0,ROUND(G196*ServiceCommission,2))))</f>
        <v>0</v>
      </c>
      <c r="S196" s="26">
        <f>IF(B196="","",ROUND(Q196+R196,2))</f>
        <v>0</v>
      </c>
      <c r="T196" s="26">
        <f>IF(B196="","",IF(G196="","",ROUND(G196-S196,2)))</f>
        <v>0</v>
      </c>
      <c r="U196" s="27">
        <f>IF(B196="","",IF(G196="","",IF(G196=0,"",T196/G196)))</f>
        <v>0</v>
      </c>
      <c r="V196" s="26">
        <f>IF(B196="","",IF(G196="","",IF(P196=0,"",ROUND(G196/P196,2))))</f>
        <v>0</v>
      </c>
      <c r="W196" s="26">
        <f>IF(B196="","",IF(T196="","",IF(P196=0,"",ROUND(T196/P196,2))))</f>
        <v>0</v>
      </c>
      <c r="X196" s="26">
        <f>IF(B196="","",IF(P196=0,"",IF(ServiceCommission&gt;=1,"",(Q196+TargetChairRate*P196)/IF(J196="No",1,1-ServiceCommission))))</f>
        <v>0</v>
      </c>
      <c r="Y196" s="26">
        <f>IF(B196="","",IF(X196="","",ROUND(IF(RoundingRule="None",X196,IF(RoundingRule="Nearest 0.99",MAX(0.99,CEILING(X196,1)-0.01),IF(RoundingRule="Nearest 0.95",MAX(0.95,CEILING(X196,1)-0.05),IF(RoundingRule="Nearest 0.50",CEILING(X196,0.5),IF(RoundingRule="Nearest 1",CEILING(X196,1),IF(RoundingRule="Nearest 5",CEILING(X196,5),IF(RoundingRule="Up to whole 1",CEILING(X196,1),IF(RoundingRule="Up to whole 5",CEILING(X196,5),ROUND(X196,2))))))))),2)))</f>
        <v>0</v>
      </c>
      <c r="Z196" s="26">
        <f>IF(B196="","",IF(Y196="","",IF(G196="","",ROUND(G196-Y196,2))))</f>
        <v>0</v>
      </c>
      <c r="AA196" s="25">
        <f>IF(B196="","",COUNTIFS(Appointments!$G$5:$G$1204,A196))</f>
        <v>0</v>
      </c>
      <c r="AB196" s="25">
        <f>IF(B196="","",COUNTIFS(Appointments!$G$5:$G$1204,A196,Appointments!$M$5:$M$1204,"Completed"))</f>
        <v>0</v>
      </c>
      <c r="AC196" s="25">
        <f>IF(B196="","",SUMIFS(Sales!$K$5:$K$1204,Sales!$I$5:$I$1204,A196,Sales!$H$5:$H$1204,"Service"))</f>
        <v>0</v>
      </c>
      <c r="AD196" s="26">
        <f>IF(B196="","",ROUND(SUMIFS(Sales!$Y$5:$Y$1204,Sales!$I$5:$I$1204,A196,Sales!$H$5:$H$1204,"Service"),2))</f>
        <v>0</v>
      </c>
      <c r="AE196" s="27">
        <f>IF(B196="","",IF(ServiceRevenueAll=0,"",AD196/ServiceRevenueAll))</f>
        <v>0</v>
      </c>
      <c r="AF196" s="26">
        <f>IF(B196="","",ROUND(AC196*T196,2))</f>
        <v>0</v>
      </c>
      <c r="AG196" s="37">
        <f>IF(B196="","",ROUND(AC196*P196,1))</f>
        <v>0</v>
      </c>
      <c r="AH196" s="27">
        <f>IF(B196="","",IF(AB196=0,"",COUNTIFS(Sales!$I$5:$I$1204,A196,Sales!$AJ$5:$AJ$1204,"Yes")/AB196))</f>
        <v>0</v>
      </c>
      <c r="AI196" s="17">
        <f>IF(B196="","",IFERROR(IF(COUNTIFS(Appointments!$G$5:$G$1204,A196)=0,"",SUMPRODUCT(MAX((Appointments!$G$5:$G$1204=A196)*IFERROR(Appointments!$B$5:$B$1204*1,0)))),""))</f>
        <v>0</v>
      </c>
      <c r="AJ196" s="25">
        <f>IF(B196="","",COUNTIFS($AD$5:$AD$204,"&gt;"&amp;AD196)+COUNTIFS($AD$5:AD196,AD196))</f>
        <v>0</v>
      </c>
      <c r="AK196" s="25">
        <f>IF(B196="","",COUNTIFS($W$5:$W$204,"&gt;"&amp;W196)+COUNTIFS($W$5:W196,W196))</f>
        <v>0</v>
      </c>
      <c r="AL196" s="25">
        <f>IF(B196="","",COUNTIFS($AB$5:$AB$204,"&gt;"&amp;AB196)+COUNTIFS($AB$5:AB196,AB196))</f>
        <v>0</v>
      </c>
      <c r="AM196" s="39">
        <f>IF(B196="","",IF(G196="","Add - no price yet",IF(E196="","Add - how long does it take?",IF(T196&lt;0,"Loss - this service costs you money",IF(V196&lt;TargetChairRate*0.7,"Check - well under your chair rate",IF(IF(N196="",FALSE,TodayDate-N196&gt;PriceReviewDays),"Due - price has not been reviewed",IF(IF(M196="Active",AB196=0,FALSE),"Check - on the menu but never booked","OK")))))))</f>
        <v>0</v>
      </c>
    </row>
    <row r="197" spans="1:39">
      <c r="A197" s="28">
        <f>IF(B197="","",ServicePrefix&amp;TEXT(ROW()-4,"000"))</f>
        <v>0</v>
      </c>
      <c r="P197" s="42">
        <f>IF(B197="","",ROUND((IF(E197="",0,E197)+IF(F197="",0,F197))/60,3))</f>
        <v>0</v>
      </c>
      <c r="Q197" s="26">
        <f>IF(B197="","",IF(H197&lt;&gt;"",H197,IF(G197="",0,ROUND(G197*ProductCostPercent,2))))</f>
        <v>0</v>
      </c>
      <c r="R197" s="26">
        <f>IF(B197="","",IF(J197="No",0,IF(G197="",0,ROUND(G197*ServiceCommission,2))))</f>
        <v>0</v>
      </c>
      <c r="S197" s="26">
        <f>IF(B197="","",ROUND(Q197+R197,2))</f>
        <v>0</v>
      </c>
      <c r="T197" s="26">
        <f>IF(B197="","",IF(G197="","",ROUND(G197-S197,2)))</f>
        <v>0</v>
      </c>
      <c r="U197" s="27">
        <f>IF(B197="","",IF(G197="","",IF(G197=0,"",T197/G197)))</f>
        <v>0</v>
      </c>
      <c r="V197" s="26">
        <f>IF(B197="","",IF(G197="","",IF(P197=0,"",ROUND(G197/P197,2))))</f>
        <v>0</v>
      </c>
      <c r="W197" s="26">
        <f>IF(B197="","",IF(T197="","",IF(P197=0,"",ROUND(T197/P197,2))))</f>
        <v>0</v>
      </c>
      <c r="X197" s="26">
        <f>IF(B197="","",IF(P197=0,"",IF(ServiceCommission&gt;=1,"",(Q197+TargetChairRate*P197)/IF(J197="No",1,1-ServiceCommission))))</f>
        <v>0</v>
      </c>
      <c r="Y197" s="26">
        <f>IF(B197="","",IF(X197="","",ROUND(IF(RoundingRule="None",X197,IF(RoundingRule="Nearest 0.99",MAX(0.99,CEILING(X197,1)-0.01),IF(RoundingRule="Nearest 0.95",MAX(0.95,CEILING(X197,1)-0.05),IF(RoundingRule="Nearest 0.50",CEILING(X197,0.5),IF(RoundingRule="Nearest 1",CEILING(X197,1),IF(RoundingRule="Nearest 5",CEILING(X197,5),IF(RoundingRule="Up to whole 1",CEILING(X197,1),IF(RoundingRule="Up to whole 5",CEILING(X197,5),ROUND(X197,2))))))))),2)))</f>
        <v>0</v>
      </c>
      <c r="Z197" s="26">
        <f>IF(B197="","",IF(Y197="","",IF(G197="","",ROUND(G197-Y197,2))))</f>
        <v>0</v>
      </c>
      <c r="AA197" s="25">
        <f>IF(B197="","",COUNTIFS(Appointments!$G$5:$G$1204,A197))</f>
        <v>0</v>
      </c>
      <c r="AB197" s="25">
        <f>IF(B197="","",COUNTIFS(Appointments!$G$5:$G$1204,A197,Appointments!$M$5:$M$1204,"Completed"))</f>
        <v>0</v>
      </c>
      <c r="AC197" s="25">
        <f>IF(B197="","",SUMIFS(Sales!$K$5:$K$1204,Sales!$I$5:$I$1204,A197,Sales!$H$5:$H$1204,"Service"))</f>
        <v>0</v>
      </c>
      <c r="AD197" s="26">
        <f>IF(B197="","",ROUND(SUMIFS(Sales!$Y$5:$Y$1204,Sales!$I$5:$I$1204,A197,Sales!$H$5:$H$1204,"Service"),2))</f>
        <v>0</v>
      </c>
      <c r="AE197" s="27">
        <f>IF(B197="","",IF(ServiceRevenueAll=0,"",AD197/ServiceRevenueAll))</f>
        <v>0</v>
      </c>
      <c r="AF197" s="26">
        <f>IF(B197="","",ROUND(AC197*T197,2))</f>
        <v>0</v>
      </c>
      <c r="AG197" s="37">
        <f>IF(B197="","",ROUND(AC197*P197,1))</f>
        <v>0</v>
      </c>
      <c r="AH197" s="27">
        <f>IF(B197="","",IF(AB197=0,"",COUNTIFS(Sales!$I$5:$I$1204,A197,Sales!$AJ$5:$AJ$1204,"Yes")/AB197))</f>
        <v>0</v>
      </c>
      <c r="AI197" s="17">
        <f>IF(B197="","",IFERROR(IF(COUNTIFS(Appointments!$G$5:$G$1204,A197)=0,"",SUMPRODUCT(MAX((Appointments!$G$5:$G$1204=A197)*IFERROR(Appointments!$B$5:$B$1204*1,0)))),""))</f>
        <v>0</v>
      </c>
      <c r="AJ197" s="25">
        <f>IF(B197="","",COUNTIFS($AD$5:$AD$204,"&gt;"&amp;AD197)+COUNTIFS($AD$5:AD197,AD197))</f>
        <v>0</v>
      </c>
      <c r="AK197" s="25">
        <f>IF(B197="","",COUNTIFS($W$5:$W$204,"&gt;"&amp;W197)+COUNTIFS($W$5:W197,W197))</f>
        <v>0</v>
      </c>
      <c r="AL197" s="25">
        <f>IF(B197="","",COUNTIFS($AB$5:$AB$204,"&gt;"&amp;AB197)+COUNTIFS($AB$5:AB197,AB197))</f>
        <v>0</v>
      </c>
      <c r="AM197" s="39">
        <f>IF(B197="","",IF(G197="","Add - no price yet",IF(E197="","Add - how long does it take?",IF(T197&lt;0,"Loss - this service costs you money",IF(V197&lt;TargetChairRate*0.7,"Check - well under your chair rate",IF(IF(N197="",FALSE,TodayDate-N197&gt;PriceReviewDays),"Due - price has not been reviewed",IF(IF(M197="Active",AB197=0,FALSE),"Check - on the menu but never booked","OK")))))))</f>
        <v>0</v>
      </c>
    </row>
    <row r="198" spans="1:39">
      <c r="A198" s="28">
        <f>IF(B198="","",ServicePrefix&amp;TEXT(ROW()-4,"000"))</f>
        <v>0</v>
      </c>
      <c r="P198" s="42">
        <f>IF(B198="","",ROUND((IF(E198="",0,E198)+IF(F198="",0,F198))/60,3))</f>
        <v>0</v>
      </c>
      <c r="Q198" s="26">
        <f>IF(B198="","",IF(H198&lt;&gt;"",H198,IF(G198="",0,ROUND(G198*ProductCostPercent,2))))</f>
        <v>0</v>
      </c>
      <c r="R198" s="26">
        <f>IF(B198="","",IF(J198="No",0,IF(G198="",0,ROUND(G198*ServiceCommission,2))))</f>
        <v>0</v>
      </c>
      <c r="S198" s="26">
        <f>IF(B198="","",ROUND(Q198+R198,2))</f>
        <v>0</v>
      </c>
      <c r="T198" s="26">
        <f>IF(B198="","",IF(G198="","",ROUND(G198-S198,2)))</f>
        <v>0</v>
      </c>
      <c r="U198" s="27">
        <f>IF(B198="","",IF(G198="","",IF(G198=0,"",T198/G198)))</f>
        <v>0</v>
      </c>
      <c r="V198" s="26">
        <f>IF(B198="","",IF(G198="","",IF(P198=0,"",ROUND(G198/P198,2))))</f>
        <v>0</v>
      </c>
      <c r="W198" s="26">
        <f>IF(B198="","",IF(T198="","",IF(P198=0,"",ROUND(T198/P198,2))))</f>
        <v>0</v>
      </c>
      <c r="X198" s="26">
        <f>IF(B198="","",IF(P198=0,"",IF(ServiceCommission&gt;=1,"",(Q198+TargetChairRate*P198)/IF(J198="No",1,1-ServiceCommission))))</f>
        <v>0</v>
      </c>
      <c r="Y198" s="26">
        <f>IF(B198="","",IF(X198="","",ROUND(IF(RoundingRule="None",X198,IF(RoundingRule="Nearest 0.99",MAX(0.99,CEILING(X198,1)-0.01),IF(RoundingRule="Nearest 0.95",MAX(0.95,CEILING(X198,1)-0.05),IF(RoundingRule="Nearest 0.50",CEILING(X198,0.5),IF(RoundingRule="Nearest 1",CEILING(X198,1),IF(RoundingRule="Nearest 5",CEILING(X198,5),IF(RoundingRule="Up to whole 1",CEILING(X198,1),IF(RoundingRule="Up to whole 5",CEILING(X198,5),ROUND(X198,2))))))))),2)))</f>
        <v>0</v>
      </c>
      <c r="Z198" s="26">
        <f>IF(B198="","",IF(Y198="","",IF(G198="","",ROUND(G198-Y198,2))))</f>
        <v>0</v>
      </c>
      <c r="AA198" s="25">
        <f>IF(B198="","",COUNTIFS(Appointments!$G$5:$G$1204,A198))</f>
        <v>0</v>
      </c>
      <c r="AB198" s="25">
        <f>IF(B198="","",COUNTIFS(Appointments!$G$5:$G$1204,A198,Appointments!$M$5:$M$1204,"Completed"))</f>
        <v>0</v>
      </c>
      <c r="AC198" s="25">
        <f>IF(B198="","",SUMIFS(Sales!$K$5:$K$1204,Sales!$I$5:$I$1204,A198,Sales!$H$5:$H$1204,"Service"))</f>
        <v>0</v>
      </c>
      <c r="AD198" s="26">
        <f>IF(B198="","",ROUND(SUMIFS(Sales!$Y$5:$Y$1204,Sales!$I$5:$I$1204,A198,Sales!$H$5:$H$1204,"Service"),2))</f>
        <v>0</v>
      </c>
      <c r="AE198" s="27">
        <f>IF(B198="","",IF(ServiceRevenueAll=0,"",AD198/ServiceRevenueAll))</f>
        <v>0</v>
      </c>
      <c r="AF198" s="26">
        <f>IF(B198="","",ROUND(AC198*T198,2))</f>
        <v>0</v>
      </c>
      <c r="AG198" s="37">
        <f>IF(B198="","",ROUND(AC198*P198,1))</f>
        <v>0</v>
      </c>
      <c r="AH198" s="27">
        <f>IF(B198="","",IF(AB198=0,"",COUNTIFS(Sales!$I$5:$I$1204,A198,Sales!$AJ$5:$AJ$1204,"Yes")/AB198))</f>
        <v>0</v>
      </c>
      <c r="AI198" s="17">
        <f>IF(B198="","",IFERROR(IF(COUNTIFS(Appointments!$G$5:$G$1204,A198)=0,"",SUMPRODUCT(MAX((Appointments!$G$5:$G$1204=A198)*IFERROR(Appointments!$B$5:$B$1204*1,0)))),""))</f>
        <v>0</v>
      </c>
      <c r="AJ198" s="25">
        <f>IF(B198="","",COUNTIFS($AD$5:$AD$204,"&gt;"&amp;AD198)+COUNTIFS($AD$5:AD198,AD198))</f>
        <v>0</v>
      </c>
      <c r="AK198" s="25">
        <f>IF(B198="","",COUNTIFS($W$5:$W$204,"&gt;"&amp;W198)+COUNTIFS($W$5:W198,W198))</f>
        <v>0</v>
      </c>
      <c r="AL198" s="25">
        <f>IF(B198="","",COUNTIFS($AB$5:$AB$204,"&gt;"&amp;AB198)+COUNTIFS($AB$5:AB198,AB198))</f>
        <v>0</v>
      </c>
      <c r="AM198" s="39">
        <f>IF(B198="","",IF(G198="","Add - no price yet",IF(E198="","Add - how long does it take?",IF(T198&lt;0,"Loss - this service costs you money",IF(V198&lt;TargetChairRate*0.7,"Check - well under your chair rate",IF(IF(N198="",FALSE,TodayDate-N198&gt;PriceReviewDays),"Due - price has not been reviewed",IF(IF(M198="Active",AB198=0,FALSE),"Check - on the menu but never booked","OK")))))))</f>
        <v>0</v>
      </c>
    </row>
    <row r="199" spans="1:39">
      <c r="A199" s="28">
        <f>IF(B199="","",ServicePrefix&amp;TEXT(ROW()-4,"000"))</f>
        <v>0</v>
      </c>
      <c r="P199" s="42">
        <f>IF(B199="","",ROUND((IF(E199="",0,E199)+IF(F199="",0,F199))/60,3))</f>
        <v>0</v>
      </c>
      <c r="Q199" s="26">
        <f>IF(B199="","",IF(H199&lt;&gt;"",H199,IF(G199="",0,ROUND(G199*ProductCostPercent,2))))</f>
        <v>0</v>
      </c>
      <c r="R199" s="26">
        <f>IF(B199="","",IF(J199="No",0,IF(G199="",0,ROUND(G199*ServiceCommission,2))))</f>
        <v>0</v>
      </c>
      <c r="S199" s="26">
        <f>IF(B199="","",ROUND(Q199+R199,2))</f>
        <v>0</v>
      </c>
      <c r="T199" s="26">
        <f>IF(B199="","",IF(G199="","",ROUND(G199-S199,2)))</f>
        <v>0</v>
      </c>
      <c r="U199" s="27">
        <f>IF(B199="","",IF(G199="","",IF(G199=0,"",T199/G199)))</f>
        <v>0</v>
      </c>
      <c r="V199" s="26">
        <f>IF(B199="","",IF(G199="","",IF(P199=0,"",ROUND(G199/P199,2))))</f>
        <v>0</v>
      </c>
      <c r="W199" s="26">
        <f>IF(B199="","",IF(T199="","",IF(P199=0,"",ROUND(T199/P199,2))))</f>
        <v>0</v>
      </c>
      <c r="X199" s="26">
        <f>IF(B199="","",IF(P199=0,"",IF(ServiceCommission&gt;=1,"",(Q199+TargetChairRate*P199)/IF(J199="No",1,1-ServiceCommission))))</f>
        <v>0</v>
      </c>
      <c r="Y199" s="26">
        <f>IF(B199="","",IF(X199="","",ROUND(IF(RoundingRule="None",X199,IF(RoundingRule="Nearest 0.99",MAX(0.99,CEILING(X199,1)-0.01),IF(RoundingRule="Nearest 0.95",MAX(0.95,CEILING(X199,1)-0.05),IF(RoundingRule="Nearest 0.50",CEILING(X199,0.5),IF(RoundingRule="Nearest 1",CEILING(X199,1),IF(RoundingRule="Nearest 5",CEILING(X199,5),IF(RoundingRule="Up to whole 1",CEILING(X199,1),IF(RoundingRule="Up to whole 5",CEILING(X199,5),ROUND(X199,2))))))))),2)))</f>
        <v>0</v>
      </c>
      <c r="Z199" s="26">
        <f>IF(B199="","",IF(Y199="","",IF(G199="","",ROUND(G199-Y199,2))))</f>
        <v>0</v>
      </c>
      <c r="AA199" s="25">
        <f>IF(B199="","",COUNTIFS(Appointments!$G$5:$G$1204,A199))</f>
        <v>0</v>
      </c>
      <c r="AB199" s="25">
        <f>IF(B199="","",COUNTIFS(Appointments!$G$5:$G$1204,A199,Appointments!$M$5:$M$1204,"Completed"))</f>
        <v>0</v>
      </c>
      <c r="AC199" s="25">
        <f>IF(B199="","",SUMIFS(Sales!$K$5:$K$1204,Sales!$I$5:$I$1204,A199,Sales!$H$5:$H$1204,"Service"))</f>
        <v>0</v>
      </c>
      <c r="AD199" s="26">
        <f>IF(B199="","",ROUND(SUMIFS(Sales!$Y$5:$Y$1204,Sales!$I$5:$I$1204,A199,Sales!$H$5:$H$1204,"Service"),2))</f>
        <v>0</v>
      </c>
      <c r="AE199" s="27">
        <f>IF(B199="","",IF(ServiceRevenueAll=0,"",AD199/ServiceRevenueAll))</f>
        <v>0</v>
      </c>
      <c r="AF199" s="26">
        <f>IF(B199="","",ROUND(AC199*T199,2))</f>
        <v>0</v>
      </c>
      <c r="AG199" s="37">
        <f>IF(B199="","",ROUND(AC199*P199,1))</f>
        <v>0</v>
      </c>
      <c r="AH199" s="27">
        <f>IF(B199="","",IF(AB199=0,"",COUNTIFS(Sales!$I$5:$I$1204,A199,Sales!$AJ$5:$AJ$1204,"Yes")/AB199))</f>
        <v>0</v>
      </c>
      <c r="AI199" s="17">
        <f>IF(B199="","",IFERROR(IF(COUNTIFS(Appointments!$G$5:$G$1204,A199)=0,"",SUMPRODUCT(MAX((Appointments!$G$5:$G$1204=A199)*IFERROR(Appointments!$B$5:$B$1204*1,0)))),""))</f>
        <v>0</v>
      </c>
      <c r="AJ199" s="25">
        <f>IF(B199="","",COUNTIFS($AD$5:$AD$204,"&gt;"&amp;AD199)+COUNTIFS($AD$5:AD199,AD199))</f>
        <v>0</v>
      </c>
      <c r="AK199" s="25">
        <f>IF(B199="","",COUNTIFS($W$5:$W$204,"&gt;"&amp;W199)+COUNTIFS($W$5:W199,W199))</f>
        <v>0</v>
      </c>
      <c r="AL199" s="25">
        <f>IF(B199="","",COUNTIFS($AB$5:$AB$204,"&gt;"&amp;AB199)+COUNTIFS($AB$5:AB199,AB199))</f>
        <v>0</v>
      </c>
      <c r="AM199" s="39">
        <f>IF(B199="","",IF(G199="","Add - no price yet",IF(E199="","Add - how long does it take?",IF(T199&lt;0,"Loss - this service costs you money",IF(V199&lt;TargetChairRate*0.7,"Check - well under your chair rate",IF(IF(N199="",FALSE,TodayDate-N199&gt;PriceReviewDays),"Due - price has not been reviewed",IF(IF(M199="Active",AB199=0,FALSE),"Check - on the menu but never booked","OK")))))))</f>
        <v>0</v>
      </c>
    </row>
    <row r="200" spans="1:39">
      <c r="A200" s="28">
        <f>IF(B200="","",ServicePrefix&amp;TEXT(ROW()-4,"000"))</f>
        <v>0</v>
      </c>
      <c r="P200" s="42">
        <f>IF(B200="","",ROUND((IF(E200="",0,E200)+IF(F200="",0,F200))/60,3))</f>
        <v>0</v>
      </c>
      <c r="Q200" s="26">
        <f>IF(B200="","",IF(H200&lt;&gt;"",H200,IF(G200="",0,ROUND(G200*ProductCostPercent,2))))</f>
        <v>0</v>
      </c>
      <c r="R200" s="26">
        <f>IF(B200="","",IF(J200="No",0,IF(G200="",0,ROUND(G200*ServiceCommission,2))))</f>
        <v>0</v>
      </c>
      <c r="S200" s="26">
        <f>IF(B200="","",ROUND(Q200+R200,2))</f>
        <v>0</v>
      </c>
      <c r="T200" s="26">
        <f>IF(B200="","",IF(G200="","",ROUND(G200-S200,2)))</f>
        <v>0</v>
      </c>
      <c r="U200" s="27">
        <f>IF(B200="","",IF(G200="","",IF(G200=0,"",T200/G200)))</f>
        <v>0</v>
      </c>
      <c r="V200" s="26">
        <f>IF(B200="","",IF(G200="","",IF(P200=0,"",ROUND(G200/P200,2))))</f>
        <v>0</v>
      </c>
      <c r="W200" s="26">
        <f>IF(B200="","",IF(T200="","",IF(P200=0,"",ROUND(T200/P200,2))))</f>
        <v>0</v>
      </c>
      <c r="X200" s="26">
        <f>IF(B200="","",IF(P200=0,"",IF(ServiceCommission&gt;=1,"",(Q200+TargetChairRate*P200)/IF(J200="No",1,1-ServiceCommission))))</f>
        <v>0</v>
      </c>
      <c r="Y200" s="26">
        <f>IF(B200="","",IF(X200="","",ROUND(IF(RoundingRule="None",X200,IF(RoundingRule="Nearest 0.99",MAX(0.99,CEILING(X200,1)-0.01),IF(RoundingRule="Nearest 0.95",MAX(0.95,CEILING(X200,1)-0.05),IF(RoundingRule="Nearest 0.50",CEILING(X200,0.5),IF(RoundingRule="Nearest 1",CEILING(X200,1),IF(RoundingRule="Nearest 5",CEILING(X200,5),IF(RoundingRule="Up to whole 1",CEILING(X200,1),IF(RoundingRule="Up to whole 5",CEILING(X200,5),ROUND(X200,2))))))))),2)))</f>
        <v>0</v>
      </c>
      <c r="Z200" s="26">
        <f>IF(B200="","",IF(Y200="","",IF(G200="","",ROUND(G200-Y200,2))))</f>
        <v>0</v>
      </c>
      <c r="AA200" s="25">
        <f>IF(B200="","",COUNTIFS(Appointments!$G$5:$G$1204,A200))</f>
        <v>0</v>
      </c>
      <c r="AB200" s="25">
        <f>IF(B200="","",COUNTIFS(Appointments!$G$5:$G$1204,A200,Appointments!$M$5:$M$1204,"Completed"))</f>
        <v>0</v>
      </c>
      <c r="AC200" s="25">
        <f>IF(B200="","",SUMIFS(Sales!$K$5:$K$1204,Sales!$I$5:$I$1204,A200,Sales!$H$5:$H$1204,"Service"))</f>
        <v>0</v>
      </c>
      <c r="AD200" s="26">
        <f>IF(B200="","",ROUND(SUMIFS(Sales!$Y$5:$Y$1204,Sales!$I$5:$I$1204,A200,Sales!$H$5:$H$1204,"Service"),2))</f>
        <v>0</v>
      </c>
      <c r="AE200" s="27">
        <f>IF(B200="","",IF(ServiceRevenueAll=0,"",AD200/ServiceRevenueAll))</f>
        <v>0</v>
      </c>
      <c r="AF200" s="26">
        <f>IF(B200="","",ROUND(AC200*T200,2))</f>
        <v>0</v>
      </c>
      <c r="AG200" s="37">
        <f>IF(B200="","",ROUND(AC200*P200,1))</f>
        <v>0</v>
      </c>
      <c r="AH200" s="27">
        <f>IF(B200="","",IF(AB200=0,"",COUNTIFS(Sales!$I$5:$I$1204,A200,Sales!$AJ$5:$AJ$1204,"Yes")/AB200))</f>
        <v>0</v>
      </c>
      <c r="AI200" s="17">
        <f>IF(B200="","",IFERROR(IF(COUNTIFS(Appointments!$G$5:$G$1204,A200)=0,"",SUMPRODUCT(MAX((Appointments!$G$5:$G$1204=A200)*IFERROR(Appointments!$B$5:$B$1204*1,0)))),""))</f>
        <v>0</v>
      </c>
      <c r="AJ200" s="25">
        <f>IF(B200="","",COUNTIFS($AD$5:$AD$204,"&gt;"&amp;AD200)+COUNTIFS($AD$5:AD200,AD200))</f>
        <v>0</v>
      </c>
      <c r="AK200" s="25">
        <f>IF(B200="","",COUNTIFS($W$5:$W$204,"&gt;"&amp;W200)+COUNTIFS($W$5:W200,W200))</f>
        <v>0</v>
      </c>
      <c r="AL200" s="25">
        <f>IF(B200="","",COUNTIFS($AB$5:$AB$204,"&gt;"&amp;AB200)+COUNTIFS($AB$5:AB200,AB200))</f>
        <v>0</v>
      </c>
      <c r="AM200" s="39">
        <f>IF(B200="","",IF(G200="","Add - no price yet",IF(E200="","Add - how long does it take?",IF(T200&lt;0,"Loss - this service costs you money",IF(V200&lt;TargetChairRate*0.7,"Check - well under your chair rate",IF(IF(N200="",FALSE,TodayDate-N200&gt;PriceReviewDays),"Due - price has not been reviewed",IF(IF(M200="Active",AB200=0,FALSE),"Check - on the menu but never booked","OK")))))))</f>
        <v>0</v>
      </c>
    </row>
    <row r="201" spans="1:39">
      <c r="A201" s="28">
        <f>IF(B201="","",ServicePrefix&amp;TEXT(ROW()-4,"000"))</f>
        <v>0</v>
      </c>
      <c r="P201" s="42">
        <f>IF(B201="","",ROUND((IF(E201="",0,E201)+IF(F201="",0,F201))/60,3))</f>
        <v>0</v>
      </c>
      <c r="Q201" s="26">
        <f>IF(B201="","",IF(H201&lt;&gt;"",H201,IF(G201="",0,ROUND(G201*ProductCostPercent,2))))</f>
        <v>0</v>
      </c>
      <c r="R201" s="26">
        <f>IF(B201="","",IF(J201="No",0,IF(G201="",0,ROUND(G201*ServiceCommission,2))))</f>
        <v>0</v>
      </c>
      <c r="S201" s="26">
        <f>IF(B201="","",ROUND(Q201+R201,2))</f>
        <v>0</v>
      </c>
      <c r="T201" s="26">
        <f>IF(B201="","",IF(G201="","",ROUND(G201-S201,2)))</f>
        <v>0</v>
      </c>
      <c r="U201" s="27">
        <f>IF(B201="","",IF(G201="","",IF(G201=0,"",T201/G201)))</f>
        <v>0</v>
      </c>
      <c r="V201" s="26">
        <f>IF(B201="","",IF(G201="","",IF(P201=0,"",ROUND(G201/P201,2))))</f>
        <v>0</v>
      </c>
      <c r="W201" s="26">
        <f>IF(B201="","",IF(T201="","",IF(P201=0,"",ROUND(T201/P201,2))))</f>
        <v>0</v>
      </c>
      <c r="X201" s="26">
        <f>IF(B201="","",IF(P201=0,"",IF(ServiceCommission&gt;=1,"",(Q201+TargetChairRate*P201)/IF(J201="No",1,1-ServiceCommission))))</f>
        <v>0</v>
      </c>
      <c r="Y201" s="26">
        <f>IF(B201="","",IF(X201="","",ROUND(IF(RoundingRule="None",X201,IF(RoundingRule="Nearest 0.99",MAX(0.99,CEILING(X201,1)-0.01),IF(RoundingRule="Nearest 0.95",MAX(0.95,CEILING(X201,1)-0.05),IF(RoundingRule="Nearest 0.50",CEILING(X201,0.5),IF(RoundingRule="Nearest 1",CEILING(X201,1),IF(RoundingRule="Nearest 5",CEILING(X201,5),IF(RoundingRule="Up to whole 1",CEILING(X201,1),IF(RoundingRule="Up to whole 5",CEILING(X201,5),ROUND(X201,2))))))))),2)))</f>
        <v>0</v>
      </c>
      <c r="Z201" s="26">
        <f>IF(B201="","",IF(Y201="","",IF(G201="","",ROUND(G201-Y201,2))))</f>
        <v>0</v>
      </c>
      <c r="AA201" s="25">
        <f>IF(B201="","",COUNTIFS(Appointments!$G$5:$G$1204,A201))</f>
        <v>0</v>
      </c>
      <c r="AB201" s="25">
        <f>IF(B201="","",COUNTIFS(Appointments!$G$5:$G$1204,A201,Appointments!$M$5:$M$1204,"Completed"))</f>
        <v>0</v>
      </c>
      <c r="AC201" s="25">
        <f>IF(B201="","",SUMIFS(Sales!$K$5:$K$1204,Sales!$I$5:$I$1204,A201,Sales!$H$5:$H$1204,"Service"))</f>
        <v>0</v>
      </c>
      <c r="AD201" s="26">
        <f>IF(B201="","",ROUND(SUMIFS(Sales!$Y$5:$Y$1204,Sales!$I$5:$I$1204,A201,Sales!$H$5:$H$1204,"Service"),2))</f>
        <v>0</v>
      </c>
      <c r="AE201" s="27">
        <f>IF(B201="","",IF(ServiceRevenueAll=0,"",AD201/ServiceRevenueAll))</f>
        <v>0</v>
      </c>
      <c r="AF201" s="26">
        <f>IF(B201="","",ROUND(AC201*T201,2))</f>
        <v>0</v>
      </c>
      <c r="AG201" s="37">
        <f>IF(B201="","",ROUND(AC201*P201,1))</f>
        <v>0</v>
      </c>
      <c r="AH201" s="27">
        <f>IF(B201="","",IF(AB201=0,"",COUNTIFS(Sales!$I$5:$I$1204,A201,Sales!$AJ$5:$AJ$1204,"Yes")/AB201))</f>
        <v>0</v>
      </c>
      <c r="AI201" s="17">
        <f>IF(B201="","",IFERROR(IF(COUNTIFS(Appointments!$G$5:$G$1204,A201)=0,"",SUMPRODUCT(MAX((Appointments!$G$5:$G$1204=A201)*IFERROR(Appointments!$B$5:$B$1204*1,0)))),""))</f>
        <v>0</v>
      </c>
      <c r="AJ201" s="25">
        <f>IF(B201="","",COUNTIFS($AD$5:$AD$204,"&gt;"&amp;AD201)+COUNTIFS($AD$5:AD201,AD201))</f>
        <v>0</v>
      </c>
      <c r="AK201" s="25">
        <f>IF(B201="","",COUNTIFS($W$5:$W$204,"&gt;"&amp;W201)+COUNTIFS($W$5:W201,W201))</f>
        <v>0</v>
      </c>
      <c r="AL201" s="25">
        <f>IF(B201="","",COUNTIFS($AB$5:$AB$204,"&gt;"&amp;AB201)+COUNTIFS($AB$5:AB201,AB201))</f>
        <v>0</v>
      </c>
      <c r="AM201" s="39">
        <f>IF(B201="","",IF(G201="","Add - no price yet",IF(E201="","Add - how long does it take?",IF(T201&lt;0,"Loss - this service costs you money",IF(V201&lt;TargetChairRate*0.7,"Check - well under your chair rate",IF(IF(N201="",FALSE,TodayDate-N201&gt;PriceReviewDays),"Due - price has not been reviewed",IF(IF(M201="Active",AB201=0,FALSE),"Check - on the menu but never booked","OK")))))))</f>
        <v>0</v>
      </c>
    </row>
    <row r="202" spans="1:39">
      <c r="A202" s="28">
        <f>IF(B202="","",ServicePrefix&amp;TEXT(ROW()-4,"000"))</f>
        <v>0</v>
      </c>
      <c r="P202" s="42">
        <f>IF(B202="","",ROUND((IF(E202="",0,E202)+IF(F202="",0,F202))/60,3))</f>
        <v>0</v>
      </c>
      <c r="Q202" s="26">
        <f>IF(B202="","",IF(H202&lt;&gt;"",H202,IF(G202="",0,ROUND(G202*ProductCostPercent,2))))</f>
        <v>0</v>
      </c>
      <c r="R202" s="26">
        <f>IF(B202="","",IF(J202="No",0,IF(G202="",0,ROUND(G202*ServiceCommission,2))))</f>
        <v>0</v>
      </c>
      <c r="S202" s="26">
        <f>IF(B202="","",ROUND(Q202+R202,2))</f>
        <v>0</v>
      </c>
      <c r="T202" s="26">
        <f>IF(B202="","",IF(G202="","",ROUND(G202-S202,2)))</f>
        <v>0</v>
      </c>
      <c r="U202" s="27">
        <f>IF(B202="","",IF(G202="","",IF(G202=0,"",T202/G202)))</f>
        <v>0</v>
      </c>
      <c r="V202" s="26">
        <f>IF(B202="","",IF(G202="","",IF(P202=0,"",ROUND(G202/P202,2))))</f>
        <v>0</v>
      </c>
      <c r="W202" s="26">
        <f>IF(B202="","",IF(T202="","",IF(P202=0,"",ROUND(T202/P202,2))))</f>
        <v>0</v>
      </c>
      <c r="X202" s="26">
        <f>IF(B202="","",IF(P202=0,"",IF(ServiceCommission&gt;=1,"",(Q202+TargetChairRate*P202)/IF(J202="No",1,1-ServiceCommission))))</f>
        <v>0</v>
      </c>
      <c r="Y202" s="26">
        <f>IF(B202="","",IF(X202="","",ROUND(IF(RoundingRule="None",X202,IF(RoundingRule="Nearest 0.99",MAX(0.99,CEILING(X202,1)-0.01),IF(RoundingRule="Nearest 0.95",MAX(0.95,CEILING(X202,1)-0.05),IF(RoundingRule="Nearest 0.50",CEILING(X202,0.5),IF(RoundingRule="Nearest 1",CEILING(X202,1),IF(RoundingRule="Nearest 5",CEILING(X202,5),IF(RoundingRule="Up to whole 1",CEILING(X202,1),IF(RoundingRule="Up to whole 5",CEILING(X202,5),ROUND(X202,2))))))))),2)))</f>
        <v>0</v>
      </c>
      <c r="Z202" s="26">
        <f>IF(B202="","",IF(Y202="","",IF(G202="","",ROUND(G202-Y202,2))))</f>
        <v>0</v>
      </c>
      <c r="AA202" s="25">
        <f>IF(B202="","",COUNTIFS(Appointments!$G$5:$G$1204,A202))</f>
        <v>0</v>
      </c>
      <c r="AB202" s="25">
        <f>IF(B202="","",COUNTIFS(Appointments!$G$5:$G$1204,A202,Appointments!$M$5:$M$1204,"Completed"))</f>
        <v>0</v>
      </c>
      <c r="AC202" s="25">
        <f>IF(B202="","",SUMIFS(Sales!$K$5:$K$1204,Sales!$I$5:$I$1204,A202,Sales!$H$5:$H$1204,"Service"))</f>
        <v>0</v>
      </c>
      <c r="AD202" s="26">
        <f>IF(B202="","",ROUND(SUMIFS(Sales!$Y$5:$Y$1204,Sales!$I$5:$I$1204,A202,Sales!$H$5:$H$1204,"Service"),2))</f>
        <v>0</v>
      </c>
      <c r="AE202" s="27">
        <f>IF(B202="","",IF(ServiceRevenueAll=0,"",AD202/ServiceRevenueAll))</f>
        <v>0</v>
      </c>
      <c r="AF202" s="26">
        <f>IF(B202="","",ROUND(AC202*T202,2))</f>
        <v>0</v>
      </c>
      <c r="AG202" s="37">
        <f>IF(B202="","",ROUND(AC202*P202,1))</f>
        <v>0</v>
      </c>
      <c r="AH202" s="27">
        <f>IF(B202="","",IF(AB202=0,"",COUNTIFS(Sales!$I$5:$I$1204,A202,Sales!$AJ$5:$AJ$1204,"Yes")/AB202))</f>
        <v>0</v>
      </c>
      <c r="AI202" s="17">
        <f>IF(B202="","",IFERROR(IF(COUNTIFS(Appointments!$G$5:$G$1204,A202)=0,"",SUMPRODUCT(MAX((Appointments!$G$5:$G$1204=A202)*IFERROR(Appointments!$B$5:$B$1204*1,0)))),""))</f>
        <v>0</v>
      </c>
      <c r="AJ202" s="25">
        <f>IF(B202="","",COUNTIFS($AD$5:$AD$204,"&gt;"&amp;AD202)+COUNTIFS($AD$5:AD202,AD202))</f>
        <v>0</v>
      </c>
      <c r="AK202" s="25">
        <f>IF(B202="","",COUNTIFS($W$5:$W$204,"&gt;"&amp;W202)+COUNTIFS($W$5:W202,W202))</f>
        <v>0</v>
      </c>
      <c r="AL202" s="25">
        <f>IF(B202="","",COUNTIFS($AB$5:$AB$204,"&gt;"&amp;AB202)+COUNTIFS($AB$5:AB202,AB202))</f>
        <v>0</v>
      </c>
      <c r="AM202" s="39">
        <f>IF(B202="","",IF(G202="","Add - no price yet",IF(E202="","Add - how long does it take?",IF(T202&lt;0,"Loss - this service costs you money",IF(V202&lt;TargetChairRate*0.7,"Check - well under your chair rate",IF(IF(N202="",FALSE,TodayDate-N202&gt;PriceReviewDays),"Due - price has not been reviewed",IF(IF(M202="Active",AB202=0,FALSE),"Check - on the menu but never booked","OK")))))))</f>
        <v>0</v>
      </c>
    </row>
    <row r="203" spans="1:39">
      <c r="A203" s="28">
        <f>IF(B203="","",ServicePrefix&amp;TEXT(ROW()-4,"000"))</f>
        <v>0</v>
      </c>
      <c r="P203" s="42">
        <f>IF(B203="","",ROUND((IF(E203="",0,E203)+IF(F203="",0,F203))/60,3))</f>
        <v>0</v>
      </c>
      <c r="Q203" s="26">
        <f>IF(B203="","",IF(H203&lt;&gt;"",H203,IF(G203="",0,ROUND(G203*ProductCostPercent,2))))</f>
        <v>0</v>
      </c>
      <c r="R203" s="26">
        <f>IF(B203="","",IF(J203="No",0,IF(G203="",0,ROUND(G203*ServiceCommission,2))))</f>
        <v>0</v>
      </c>
      <c r="S203" s="26">
        <f>IF(B203="","",ROUND(Q203+R203,2))</f>
        <v>0</v>
      </c>
      <c r="T203" s="26">
        <f>IF(B203="","",IF(G203="","",ROUND(G203-S203,2)))</f>
        <v>0</v>
      </c>
      <c r="U203" s="27">
        <f>IF(B203="","",IF(G203="","",IF(G203=0,"",T203/G203)))</f>
        <v>0</v>
      </c>
      <c r="V203" s="26">
        <f>IF(B203="","",IF(G203="","",IF(P203=0,"",ROUND(G203/P203,2))))</f>
        <v>0</v>
      </c>
      <c r="W203" s="26">
        <f>IF(B203="","",IF(T203="","",IF(P203=0,"",ROUND(T203/P203,2))))</f>
        <v>0</v>
      </c>
      <c r="X203" s="26">
        <f>IF(B203="","",IF(P203=0,"",IF(ServiceCommission&gt;=1,"",(Q203+TargetChairRate*P203)/IF(J203="No",1,1-ServiceCommission))))</f>
        <v>0</v>
      </c>
      <c r="Y203" s="26">
        <f>IF(B203="","",IF(X203="","",ROUND(IF(RoundingRule="None",X203,IF(RoundingRule="Nearest 0.99",MAX(0.99,CEILING(X203,1)-0.01),IF(RoundingRule="Nearest 0.95",MAX(0.95,CEILING(X203,1)-0.05),IF(RoundingRule="Nearest 0.50",CEILING(X203,0.5),IF(RoundingRule="Nearest 1",CEILING(X203,1),IF(RoundingRule="Nearest 5",CEILING(X203,5),IF(RoundingRule="Up to whole 1",CEILING(X203,1),IF(RoundingRule="Up to whole 5",CEILING(X203,5),ROUND(X203,2))))))))),2)))</f>
        <v>0</v>
      </c>
      <c r="Z203" s="26">
        <f>IF(B203="","",IF(Y203="","",IF(G203="","",ROUND(G203-Y203,2))))</f>
        <v>0</v>
      </c>
      <c r="AA203" s="25">
        <f>IF(B203="","",COUNTIFS(Appointments!$G$5:$G$1204,A203))</f>
        <v>0</v>
      </c>
      <c r="AB203" s="25">
        <f>IF(B203="","",COUNTIFS(Appointments!$G$5:$G$1204,A203,Appointments!$M$5:$M$1204,"Completed"))</f>
        <v>0</v>
      </c>
      <c r="AC203" s="25">
        <f>IF(B203="","",SUMIFS(Sales!$K$5:$K$1204,Sales!$I$5:$I$1204,A203,Sales!$H$5:$H$1204,"Service"))</f>
        <v>0</v>
      </c>
      <c r="AD203" s="26">
        <f>IF(B203="","",ROUND(SUMIFS(Sales!$Y$5:$Y$1204,Sales!$I$5:$I$1204,A203,Sales!$H$5:$H$1204,"Service"),2))</f>
        <v>0</v>
      </c>
      <c r="AE203" s="27">
        <f>IF(B203="","",IF(ServiceRevenueAll=0,"",AD203/ServiceRevenueAll))</f>
        <v>0</v>
      </c>
      <c r="AF203" s="26">
        <f>IF(B203="","",ROUND(AC203*T203,2))</f>
        <v>0</v>
      </c>
      <c r="AG203" s="37">
        <f>IF(B203="","",ROUND(AC203*P203,1))</f>
        <v>0</v>
      </c>
      <c r="AH203" s="27">
        <f>IF(B203="","",IF(AB203=0,"",COUNTIFS(Sales!$I$5:$I$1204,A203,Sales!$AJ$5:$AJ$1204,"Yes")/AB203))</f>
        <v>0</v>
      </c>
      <c r="AI203" s="17">
        <f>IF(B203="","",IFERROR(IF(COUNTIFS(Appointments!$G$5:$G$1204,A203)=0,"",SUMPRODUCT(MAX((Appointments!$G$5:$G$1204=A203)*IFERROR(Appointments!$B$5:$B$1204*1,0)))),""))</f>
        <v>0</v>
      </c>
      <c r="AJ203" s="25">
        <f>IF(B203="","",COUNTIFS($AD$5:$AD$204,"&gt;"&amp;AD203)+COUNTIFS($AD$5:AD203,AD203))</f>
        <v>0</v>
      </c>
      <c r="AK203" s="25">
        <f>IF(B203="","",COUNTIFS($W$5:$W$204,"&gt;"&amp;W203)+COUNTIFS($W$5:W203,W203))</f>
        <v>0</v>
      </c>
      <c r="AL203" s="25">
        <f>IF(B203="","",COUNTIFS($AB$5:$AB$204,"&gt;"&amp;AB203)+COUNTIFS($AB$5:AB203,AB203))</f>
        <v>0</v>
      </c>
      <c r="AM203" s="39">
        <f>IF(B203="","",IF(G203="","Add - no price yet",IF(E203="","Add - how long does it take?",IF(T203&lt;0,"Loss - this service costs you money",IF(V203&lt;TargetChairRate*0.7,"Check - well under your chair rate",IF(IF(N203="",FALSE,TodayDate-N203&gt;PriceReviewDays),"Due - price has not been reviewed",IF(IF(M203="Active",AB203=0,FALSE),"Check - on the menu but never booked","OK")))))))</f>
        <v>0</v>
      </c>
    </row>
    <row r="204" spans="1:39">
      <c r="A204" s="28">
        <f>IF(B204="","",ServicePrefix&amp;TEXT(ROW()-4,"000"))</f>
        <v>0</v>
      </c>
      <c r="P204" s="42">
        <f>IF(B204="","",ROUND((IF(E204="",0,E204)+IF(F204="",0,F204))/60,3))</f>
        <v>0</v>
      </c>
      <c r="Q204" s="26">
        <f>IF(B204="","",IF(H204&lt;&gt;"",H204,IF(G204="",0,ROUND(G204*ProductCostPercent,2))))</f>
        <v>0</v>
      </c>
      <c r="R204" s="26">
        <f>IF(B204="","",IF(J204="No",0,IF(G204="",0,ROUND(G204*ServiceCommission,2))))</f>
        <v>0</v>
      </c>
      <c r="S204" s="26">
        <f>IF(B204="","",ROUND(Q204+R204,2))</f>
        <v>0</v>
      </c>
      <c r="T204" s="26">
        <f>IF(B204="","",IF(G204="","",ROUND(G204-S204,2)))</f>
        <v>0</v>
      </c>
      <c r="U204" s="27">
        <f>IF(B204="","",IF(G204="","",IF(G204=0,"",T204/G204)))</f>
        <v>0</v>
      </c>
      <c r="V204" s="26">
        <f>IF(B204="","",IF(G204="","",IF(P204=0,"",ROUND(G204/P204,2))))</f>
        <v>0</v>
      </c>
      <c r="W204" s="26">
        <f>IF(B204="","",IF(T204="","",IF(P204=0,"",ROUND(T204/P204,2))))</f>
        <v>0</v>
      </c>
      <c r="X204" s="26">
        <f>IF(B204="","",IF(P204=0,"",IF(ServiceCommission&gt;=1,"",(Q204+TargetChairRate*P204)/IF(J204="No",1,1-ServiceCommission))))</f>
        <v>0</v>
      </c>
      <c r="Y204" s="26">
        <f>IF(B204="","",IF(X204="","",ROUND(IF(RoundingRule="None",X204,IF(RoundingRule="Nearest 0.99",MAX(0.99,CEILING(X204,1)-0.01),IF(RoundingRule="Nearest 0.95",MAX(0.95,CEILING(X204,1)-0.05),IF(RoundingRule="Nearest 0.50",CEILING(X204,0.5),IF(RoundingRule="Nearest 1",CEILING(X204,1),IF(RoundingRule="Nearest 5",CEILING(X204,5),IF(RoundingRule="Up to whole 1",CEILING(X204,1),IF(RoundingRule="Up to whole 5",CEILING(X204,5),ROUND(X204,2))))))))),2)))</f>
        <v>0</v>
      </c>
      <c r="Z204" s="26">
        <f>IF(B204="","",IF(Y204="","",IF(G204="","",ROUND(G204-Y204,2))))</f>
        <v>0</v>
      </c>
      <c r="AA204" s="25">
        <f>IF(B204="","",COUNTIFS(Appointments!$G$5:$G$1204,A204))</f>
        <v>0</v>
      </c>
      <c r="AB204" s="25">
        <f>IF(B204="","",COUNTIFS(Appointments!$G$5:$G$1204,A204,Appointments!$M$5:$M$1204,"Completed"))</f>
        <v>0</v>
      </c>
      <c r="AC204" s="25">
        <f>IF(B204="","",SUMIFS(Sales!$K$5:$K$1204,Sales!$I$5:$I$1204,A204,Sales!$H$5:$H$1204,"Service"))</f>
        <v>0</v>
      </c>
      <c r="AD204" s="26">
        <f>IF(B204="","",ROUND(SUMIFS(Sales!$Y$5:$Y$1204,Sales!$I$5:$I$1204,A204,Sales!$H$5:$H$1204,"Service"),2))</f>
        <v>0</v>
      </c>
      <c r="AE204" s="27">
        <f>IF(B204="","",IF(ServiceRevenueAll=0,"",AD204/ServiceRevenueAll))</f>
        <v>0</v>
      </c>
      <c r="AF204" s="26">
        <f>IF(B204="","",ROUND(AC204*T204,2))</f>
        <v>0</v>
      </c>
      <c r="AG204" s="37">
        <f>IF(B204="","",ROUND(AC204*P204,1))</f>
        <v>0</v>
      </c>
      <c r="AH204" s="27">
        <f>IF(B204="","",IF(AB204=0,"",COUNTIFS(Sales!$I$5:$I$1204,A204,Sales!$AJ$5:$AJ$1204,"Yes")/AB204))</f>
        <v>0</v>
      </c>
      <c r="AI204" s="17">
        <f>IF(B204="","",IFERROR(IF(COUNTIFS(Appointments!$G$5:$G$1204,A204)=0,"",SUMPRODUCT(MAX((Appointments!$G$5:$G$1204=A204)*IFERROR(Appointments!$B$5:$B$1204*1,0)))),""))</f>
        <v>0</v>
      </c>
      <c r="AJ204" s="25">
        <f>IF(B204="","",COUNTIFS($AD$5:$AD$204,"&gt;"&amp;AD204)+COUNTIFS($AD$5:AD204,AD204))</f>
        <v>0</v>
      </c>
      <c r="AK204" s="25">
        <f>IF(B204="","",COUNTIFS($W$5:$W$204,"&gt;"&amp;W204)+COUNTIFS($W$5:W204,W204))</f>
        <v>0</v>
      </c>
      <c r="AL204" s="25">
        <f>IF(B204="","",COUNTIFS($AB$5:$AB$204,"&gt;"&amp;AB204)+COUNTIFS($AB$5:AB204,AB204))</f>
        <v>0</v>
      </c>
      <c r="AM204" s="39">
        <f>IF(B204="","",IF(G204="","Add - no price yet",IF(E204="","Add - how long does it take?",IF(T204&lt;0,"Loss - this service costs you money",IF(V204&lt;TargetChairRate*0.7,"Check - well under your chair rate",IF(IF(N204="",FALSE,TodayDate-N204&gt;PriceReviewDays),"Due - price has not been reviewed",IF(IF(M204="Active",AB204=0,FALSE),"Check - on the menu but never booked","OK")))))))</f>
        <v>0</v>
      </c>
    </row>
    <row r="206" spans="1:39" ht="20" customHeight="1">
      <c r="A206" s="7" t="s">
        <v>326</v>
      </c>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spans="1:39" ht="26" customHeight="1">
      <c r="A207" s="10" t="s">
        <v>327</v>
      </c>
      <c r="B207" s="11" t="s">
        <v>289</v>
      </c>
      <c r="C207" s="11" t="s">
        <v>328</v>
      </c>
      <c r="D207" s="11" t="s">
        <v>329</v>
      </c>
      <c r="E207" s="11" t="s">
        <v>330</v>
      </c>
      <c r="F207" s="11" t="s">
        <v>331</v>
      </c>
      <c r="G207" s="11" t="s">
        <v>332</v>
      </c>
      <c r="H207" s="11" t="s">
        <v>333</v>
      </c>
    </row>
    <row r="208" spans="1:39">
      <c r="A208" s="25">
        <f>COUNTIF(Services!$B$5:$B$204,"&lt;&gt;")</f>
        <v>0</v>
      </c>
      <c r="B208" s="25">
        <f>COUNTIFS(Services!$M$5:$M$204,"Active")</f>
        <v>0</v>
      </c>
      <c r="C208" s="26">
        <f>IFERROR(ROUND(AVERAGEIF(Services!$G$5:$G$204,"&gt;0"),2),0)</f>
        <v>0</v>
      </c>
      <c r="D208" s="25">
        <f>IFERROR(ROUND(AVERAGEIF(Services!$E$5:$E$204,"&gt;0"),0),0)</f>
        <v>0</v>
      </c>
      <c r="E208" s="26">
        <f>IFERROR(ROUND(SUMPRODUCT(IFERROR(Services!$V$5:$V$204*1,0))/MAX(1,COUNTIF(Services!$B$5:$B$204,"&lt;&gt;")),2),0)</f>
        <v>0</v>
      </c>
      <c r="F208" s="26">
        <f>ROUND(MAX(IFERROR(Services!$V$5:$V$204*1,0)),2)</f>
        <v>0</v>
      </c>
      <c r="G208" s="25">
        <f>COUNTIFS(Services!$B$5:$B$204,"&lt;&gt;",Services!$AB$5:$AB$204,0)</f>
        <v>0</v>
      </c>
      <c r="H208" s="25">
        <f>SUMPRODUCT((IFERROR(Services!$V$5:$V$204*1,0)&gt;0)*(IFERROR(Services!$V$5:$V$204*1,0)&lt;TargetChairRate))</f>
        <v>0</v>
      </c>
    </row>
  </sheetData>
  <sheetProtection password="EC7C" sheet="1" objects="1" scenarios="1" formatCells="0" formatColumns="0" formatRows="0" insertRows="0" insertHyperlinks="0" deleteRows="0" autoFilter="0"/>
  <autoFilter ref="A4:AM204"/>
  <mergeCells count="14">
    <mergeCell ref="A1:AJ1"/>
    <mergeCell ref="AK1:AM1"/>
    <mergeCell ref="A2:AM2"/>
    <mergeCell ref="A3:B3"/>
    <mergeCell ref="C3:D3"/>
    <mergeCell ref="E3:F3"/>
    <mergeCell ref="G3:H3"/>
    <mergeCell ref="I3:J3"/>
    <mergeCell ref="K3:L3"/>
    <mergeCell ref="M3:N3"/>
    <mergeCell ref="O3:P3"/>
    <mergeCell ref="Q3:R3"/>
    <mergeCell ref="S3:AM3"/>
    <mergeCell ref="A206:AM206"/>
  </mergeCells>
  <conditionalFormatting sqref="AD5:AD204">
    <cfRule type="dataBar" priority="49">
      <dataBar>
        <cfvo type="min" val="0"/>
        <cfvo type="max" val="0"/>
        <color rgb="FF9A5C86"/>
      </dataBar>
    </cfRule>
  </conditionalFormatting>
  <conditionalFormatting sqref="AM5:AM204">
    <cfRule type="beginsWith" dxfId="1" priority="50" operator="beginsWith" text="OK">
      <formula>LEFT(AM5,2)="OK"</formula>
    </cfRule>
    <cfRule type="containsText" dxfId="2" priority="51" operator="containsText" text="Overdue">
      <formula>NOT(ISERROR(SEARCH("Overdue",AM5)))</formula>
    </cfRule>
    <cfRule type="containsText" dxfId="2" priority="52" operator="containsText" text="Late">
      <formula>NOT(ISERROR(SEARCH("Late",AM5)))</formula>
    </cfRule>
    <cfRule type="containsText" dxfId="2" priority="53" operator="containsText" text="Missing">
      <formula>NOT(ISERROR(SEARCH("Missing",AM5)))</formula>
    </cfRule>
    <cfRule type="containsText" dxfId="2" priority="54" operator="containsText" text="Clash">
      <formula>NOT(ISERROR(SEARCH("Clash",AM5)))</formula>
    </cfRule>
    <cfRule type="containsText" dxfId="2" priority="55" operator="containsText" text="Conflict">
      <formula>NOT(ISERROR(SEARCH("Conflict",AM5)))</formula>
    </cfRule>
    <cfRule type="containsText" dxfId="2" priority="56" operator="containsText" text="Duplicate">
      <formula>NOT(ISERROR(SEARCH("Duplicate",AM5)))</formula>
    </cfRule>
    <cfRule type="containsText" dxfId="2" priority="57" operator="containsText" text="Unpaid">
      <formula>NOT(ISERROR(SEARCH("Unpaid",AM5)))</formula>
    </cfRule>
    <cfRule type="containsText" dxfId="2" priority="58" operator="containsText" text="Loss">
      <formula>NOT(ISERROR(SEARCH("Loss",AM5)))</formula>
    </cfRule>
    <cfRule type="containsText" dxfId="2" priority="59" operator="containsText" text="Below">
      <formula>NOT(ISERROR(SEARCH("Below",AM5)))</formula>
    </cfRule>
    <cfRule type="containsText" dxfId="2" priority="60" operator="containsText" text="Out of stock">
      <formula>NOT(ISERROR(SEARCH("Out of stock",AM5)))</formula>
    </cfRule>
    <cfRule type="containsText" dxfId="2" priority="61" operator="containsText" text="No show">
      <formula>NOT(ISERROR(SEARCH("No show",AM5)))</formula>
    </cfRule>
    <cfRule type="containsText" dxfId="0" priority="62" operator="containsText" text="Action">
      <formula>NOT(ISERROR(SEARCH("Action",AM5)))</formula>
    </cfRule>
    <cfRule type="containsText" dxfId="0" priority="63" operator="containsText" text="Due">
      <formula>NOT(ISERROR(SEARCH("Due",AM5)))</formula>
    </cfRule>
    <cfRule type="containsText" dxfId="0" priority="64" operator="containsText" text="Check">
      <formula>NOT(ISERROR(SEARCH("Check",AM5)))</formula>
    </cfRule>
    <cfRule type="containsText" dxfId="0" priority="65" operator="containsText" text="Chase">
      <formula>NOT(ISERROR(SEARCH("Chase",AM5)))</formula>
    </cfRule>
    <cfRule type="containsText" dxfId="0" priority="66" operator="containsText" text="Assign">
      <formula>NOT(ISERROR(SEARCH("Assign",AM5)))</formula>
    </cfRule>
    <cfRule type="containsText" dxfId="0" priority="67" operator="containsText" text="Confirm">
      <formula>NOT(ISERROR(SEARCH("Confirm",AM5)))</formula>
    </cfRule>
    <cfRule type="containsText" dxfId="0" priority="68" operator="containsText" text="Order">
      <formula>NOT(ISERROR(SEARCH("Order",AM5)))</formula>
    </cfRule>
    <cfRule type="containsText" dxfId="0" priority="69" operator="containsText" text="Rebook">
      <formula>NOT(ISERROR(SEARCH("Rebook",AM5)))</formula>
    </cfRule>
    <cfRule type="containsText" dxfId="0" priority="70" operator="containsText" text="Add">
      <formula>NOT(ISERROR(SEARCH("Add",AM5)))</formula>
    </cfRule>
    <cfRule type="containsText" dxfId="3" priority="71" operator="containsText" text="Today">
      <formula>NOT(ISERROR(SEARCH("Today",AM5)))</formula>
    </cfRule>
    <cfRule type="containsText" dxfId="3" priority="72" operator="containsText" text="Tomorrow">
      <formula>NOT(ISERROR(SEARCH("Tomorrow",AM5)))</formula>
    </cfRule>
    <cfRule type="containsText" dxfId="3" priority="73" operator="containsText" text="Upcoming">
      <formula>NOT(ISERROR(SEARCH("Upcoming",AM5)))</formula>
    </cfRule>
  </conditionalFormatting>
  <conditionalFormatting sqref="M5:M204">
    <cfRule type="containsText" dxfId="1" priority="1" operator="containsText" text="Completed">
      <formula>NOT(ISERROR(SEARCH("Completed",M5)))</formula>
    </cfRule>
    <cfRule type="containsText" dxfId="1" priority="2" operator="containsText" text="Complete">
      <formula>NOT(ISERROR(SEARCH("Complete",M5)))</formula>
    </cfRule>
    <cfRule type="containsText" dxfId="1" priority="3" operator="containsText" text="Paid">
      <formula>NOT(ISERROR(SEARCH("Paid",M5)))</formula>
    </cfRule>
    <cfRule type="containsText" dxfId="1" priority="4" operator="containsText" text="Settled">
      <formula>NOT(ISERROR(SEARCH("Settled",M5)))</formula>
    </cfRule>
    <cfRule type="containsText" dxfId="1" priority="5" operator="containsText" text="Arrived">
      <formula>NOT(ISERROR(SEARCH("Arrived",M5)))</formula>
    </cfRule>
    <cfRule type="containsText" dxfId="1" priority="6" operator="containsText" text="Active">
      <formula>NOT(ISERROR(SEARCH("Active",M5)))</formula>
    </cfRule>
    <cfRule type="containsText" dxfId="1" priority="7" operator="containsText" text="Regular">
      <formula>NOT(ISERROR(SEARCH("Regular",M5)))</formula>
    </cfRule>
    <cfRule type="containsText" dxfId="1" priority="8" operator="containsText" text="VIP">
      <formula>NOT(ISERROR(SEARCH("VIP",M5)))</formula>
    </cfRule>
    <cfRule type="containsText" dxfId="1" priority="9" operator="containsText" text="In stock">
      <formula>NOT(ISERROR(SEARCH("In stock",M5)))</formula>
    </cfRule>
    <cfRule type="containsText" dxfId="1" priority="10" operator="containsText" text="Received">
      <formula>NOT(ISERROR(SEARCH("Received",M5)))</formula>
    </cfRule>
    <cfRule type="containsText" dxfId="1" priority="11" operator="containsText" text="Approved">
      <formula>NOT(ISERROR(SEARCH("Approved",M5)))</formula>
    </cfRule>
    <cfRule type="containsText" dxfId="1" priority="12" operator="containsText" text="Yes">
      <formula>NOT(ISERROR(SEARCH("Yes",M5)))</formula>
    </cfRule>
    <cfRule type="containsText" dxfId="3" priority="13" operator="containsText" text="Booked">
      <formula>NOT(ISERROR(SEARCH("Booked",M5)))</formula>
    </cfRule>
    <cfRule type="containsText" dxfId="3" priority="14" operator="containsText" text="Confirmed">
      <formula>NOT(ISERROR(SEARCH("Confirmed",M5)))</formula>
    </cfRule>
    <cfRule type="containsText" dxfId="3" priority="15" operator="containsText" text="Scheduled">
      <formula>NOT(ISERROR(SEARCH("Scheduled",M5)))</formula>
    </cfRule>
    <cfRule type="containsText" dxfId="3" priority="16" operator="containsText" text="New">
      <formula>NOT(ISERROR(SEARCH("New",M5)))</formula>
    </cfRule>
    <cfRule type="containsText" dxfId="3" priority="17" operator="containsText" text="Ordered">
      <formula>NOT(ISERROR(SEARCH("Ordered",M5)))</formula>
    </cfRule>
    <cfRule type="containsText" dxfId="3" priority="18" operator="containsText" text="Running">
      <formula>NOT(ISERROR(SEARCH("Running",M5)))</formula>
    </cfRule>
    <cfRule type="containsText" dxfId="0" priority="19" operator="containsText" text="Part paid">
      <formula>NOT(ISERROR(SEARCH("Part paid",M5)))</formula>
    </cfRule>
    <cfRule type="containsText" dxfId="0" priority="20" operator="containsText" text="Pending">
      <formula>NOT(ISERROR(SEARCH("Pending",M5)))</formula>
    </cfRule>
    <cfRule type="containsText" dxfId="0" priority="21" operator="containsText" text="Enquiry">
      <formula>NOT(ISERROR(SEARCH("Enquiry",M5)))</formula>
    </cfRule>
    <cfRule type="containsText" dxfId="0" priority="22" operator="containsText" text="Rescheduled">
      <formula>NOT(ISERROR(SEARCH("Rescheduled",M5)))</formula>
    </cfRule>
    <cfRule type="containsText" dxfId="0" priority="23" operator="containsText" text="Low stock">
      <formula>NOT(ISERROR(SEARCH("Low stock",M5)))</formula>
    </cfRule>
    <cfRule type="containsText" dxfId="0" priority="24" operator="containsText" text="Lapsing">
      <formula>NOT(ISERROR(SEARCH("Lapsing",M5)))</formula>
    </cfRule>
    <cfRule type="containsText" dxfId="0" priority="25" operator="containsText" text="Planned">
      <formula>NOT(ISERROR(SEARCH("Planned",M5)))</formula>
    </cfRule>
    <cfRule type="containsText" dxfId="0" priority="26" operator="containsText" text="On hold">
      <formula>NOT(ISERROR(SEARCH("On hold",M5)))</formula>
    </cfRule>
    <cfRule type="containsText" dxfId="0" priority="27" operator="containsText" text="Draft">
      <formula>NOT(ISERROR(SEARCH("Draft",M5)))</formula>
    </cfRule>
    <cfRule type="containsText" dxfId="2" priority="28" operator="containsText" text="Cancelled">
      <formula>NOT(ISERROR(SEARCH("Cancelled",M5)))</formula>
    </cfRule>
    <cfRule type="containsText" dxfId="2" priority="29" operator="containsText" text="No show">
      <formula>NOT(ISERROR(SEARCH("No show",M5)))</formula>
    </cfRule>
    <cfRule type="containsText" dxfId="2" priority="30" operator="containsText" text="Refunded">
      <formula>NOT(ISERROR(SEARCH("Refunded",M5)))</formula>
    </cfRule>
    <cfRule type="containsText" dxfId="2" priority="31" operator="containsText" text="Out of stock">
      <formula>NOT(ISERROR(SEARCH("Out of stock",M5)))</formula>
    </cfRule>
    <cfRule type="containsText" dxfId="2" priority="32" operator="containsText" text="Overdue">
      <formula>NOT(ISERROR(SEARCH("Overdue",M5)))</formula>
    </cfRule>
    <cfRule type="containsText" dxfId="2" priority="33" operator="containsText" text="Written off">
      <formula>NOT(ISERROR(SEARCH("Written off",M5)))</formula>
    </cfRule>
    <cfRule type="containsText" dxfId="4" priority="34" operator="containsText" text="Inactive">
      <formula>NOT(ISERROR(SEARCH("Inactive",M5)))</formula>
    </cfRule>
    <cfRule type="containsText" dxfId="4" priority="35" operator="containsText" text="Archived">
      <formula>NOT(ISERROR(SEARCH("Archived",M5)))</formula>
    </cfRule>
    <cfRule type="containsText" dxfId="4" priority="36" operator="containsText" text="Finished">
      <formula>NOT(ISERROR(SEARCH("Finished",M5)))</formula>
    </cfRule>
    <cfRule type="containsText" dxfId="4" priority="37" operator="containsText" text="Discontinued">
      <formula>NOT(ISERROR(SEARCH("Discontinued",M5)))</formula>
    </cfRule>
  </conditionalFormatting>
  <conditionalFormatting sqref="T5:T204">
    <cfRule type="cellIs" dxfId="5" priority="38" operator="lessThan">
      <formula>0</formula>
    </cfRule>
    <cfRule type="cellIs" dxfId="1" priority="39" operator="greaterThan">
      <formula>0</formula>
    </cfRule>
  </conditionalFormatting>
  <conditionalFormatting sqref="U5:U204">
    <cfRule type="cellIs" dxfId="2" priority="40" operator="lessThan">
      <formula>0</formula>
    </cfRule>
    <cfRule type="cellIs" dxfId="0" priority="41" operator="lessThan">
      <formula>0.4</formula>
    </cfRule>
    <cfRule type="cellIs" dxfId="1" priority="42" operator="greaterThanOrEqual">
      <formula>0.4</formula>
    </cfRule>
  </conditionalFormatting>
  <conditionalFormatting sqref="V5:V204">
    <cfRule type="cellIs" dxfId="0" priority="43" operator="lessThan">
      <formula>TargetChairRate</formula>
    </cfRule>
    <cfRule type="cellIs" dxfId="1" priority="44" operator="greaterThanOrEqual">
      <formula>TargetChairRate</formula>
    </cfRule>
  </conditionalFormatting>
  <conditionalFormatting sqref="W5:W204">
    <cfRule type="cellIs" dxfId="5" priority="45" operator="lessThan">
      <formula>0</formula>
    </cfRule>
    <cfRule type="cellIs" dxfId="1" priority="46" operator="greaterThan">
      <formula>0</formula>
    </cfRule>
  </conditionalFormatting>
  <conditionalFormatting sqref="Z5:Z204">
    <cfRule type="cellIs" dxfId="5" priority="47" operator="lessThan">
      <formula>0</formula>
    </cfRule>
    <cfRule type="cellIs" dxfId="1" priority="48" operator="greaterThan">
      <formula>0</formula>
    </cfRule>
  </conditionalFormatting>
  <dataValidations count="11">
    <dataValidation type="list" allowBlank="1" showInputMessage="1" showErrorMessage="1" promptTitle="Category" prompt="Drives the revenue-by-category figures on the dashboard and the analytics tab." sqref="C5:C204">
      <formula1>ServiceCategoryList</formula1>
    </dataValidation>
    <dataValidation type="whole" allowBlank="1" showInputMessage="1" showErrorMessage="1" errorTitle="Check the value" error="Enter a number between 0 and 1440." promptTitle="Minutes" prompt="Chair time, start to finish. Include the time you cannot sell to anybody else." sqref="E5:E204">
      <formula1>0</formula1>
      <formula2>1440</formula2>
    </dataValidation>
    <dataValidation type="whole" allowBlank="1" showInputMessage="1" showErrorMessage="1" errorTitle="Check the value" error="Enter a number between 0 and 240." promptTitle="Turnaround" prompt="Clean down and reset minutes after the client leaves. Counted in the chair time, not charged to them." sqref="F5:F204">
      <formula1>0</formula1>
      <formula2>240</formula2>
    </dataValidation>
    <dataValidation type="decimal" allowBlank="1" showInputMessage="1" showErrorMessage="1" errorTitle="Check the value" error="Enter a number between 0 and 100000." promptTitle="Price" prompt="What you charge today. The suggested price column says what the maths would ask for." sqref="G5:G204">
      <formula1>0</formula1>
      <formula2>100000</formula2>
    </dataValidation>
    <dataValidation type="decimal" allowBlank="1" showInputMessage="1" showErrorMessage="1" errorTitle="Check the value" error="Enter a number between 0 and 100000." promptTitle="Product cost" prompt="Backbar cost of one service - colour, developer, wax, lash adhesive. Leave blank and the workbook estimates it from the percentage on Settings." sqref="H5:H204">
      <formula1>0</formula1>
      <formula2>100000</formula2>
    </dataValidation>
    <dataValidation type="list" allowBlank="1" showInputMessage="1" showErrorMessage="1" promptTitle="Add-on?" prompt="Yes for treatments, toners and finishes sold alongside something else." sqref="I5:I204">
      <formula1>"Yes,No"</formula1>
    </dataValidation>
    <dataValidation type="list" allowBlank="1" showInputMessage="1" showErrorMessage="1" promptTitle="Pays commission?" prompt="No for anything the owner keeps whole - a patch test, a fringe trim, a redo." sqref="J5:J204">
      <formula1>"Yes,No"</formula1>
    </dataValidation>
    <dataValidation type="list" allowBlank="1" showInputMessage="1" showErrorMessage="1" sqref="K5:K204">
      <formula1>"Yes,No"</formula1>
    </dataValidation>
    <dataValidation type="list" allowBlank="1" showInputMessage="1" showErrorMessage="1" promptTitle="Stylist level" prompt="Who is allowed to do it. Staff specific pricing lives in the price override on the appointment." sqref="L5:L204">
      <formula1>StylistLevelList</formula1>
    </dataValidation>
    <dataValidation type="list" allowBlank="1" showInputMessage="1" showErrorMessage="1" sqref="M5:M204">
      <formula1>ServiceStatusList</formula1>
    </dataValidation>
    <dataValidation type="date" allowBlank="1" showInputMessage="1" showErrorMessage="1" errorTitle="Check the date" error="Enter a real date between 2000 and 2100." promptTitle="Price set on" prompt="The last time this price changed. The alert column nags when it is older than the review period." sqref="N5:N204">
      <formula1>36526</formula1>
      <formula2>73415</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&amp;L&amp;"Calibri,Bold"&amp;12&amp;C&amp;"Calibri,Bold"&amp;11Services&amp;R&amp;"Calibri,Italic"&amp;9Salon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6.xml><?xml version="1.0" encoding="utf-8"?>
<worksheet xmlns="http://schemas.openxmlformats.org/spreadsheetml/2006/main" xmlns:r="http://schemas.openxmlformats.org/officeDocument/2006/relationships">
  <sheetPr>
    <tabColor rgb="FF9A5C86"/>
    <pageSetUpPr fitToPage="1"/>
  </sheetPr>
  <dimension ref="A1:AL12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29" customWidth="1"/>
    <col min="3" max="3" width="12.7109375" style="31" customWidth="1"/>
    <col min="4" max="4" width="11.7109375" style="31" customWidth="1"/>
    <col min="5" max="5" width="20.7109375" style="15" hidden="1" customWidth="1"/>
    <col min="6" max="6" width="11.7109375" style="31" customWidth="1"/>
    <col min="7" max="7" width="16.7109375" style="15" hidden="1" customWidth="1"/>
    <col min="8" max="8" width="13.7109375" style="34" customWidth="1"/>
    <col min="9" max="9" width="12.7109375" style="31" customWidth="1"/>
    <col min="10" max="10" width="26.7109375" style="34" customWidth="1"/>
    <col min="11" max="11" width="7.7109375" style="43" customWidth="1"/>
    <col min="12" max="12" width="11.7109375" style="33" customWidth="1"/>
    <col min="13" max="13" width="10.7109375" style="44" customWidth="1"/>
    <col min="14" max="14" width="11.7109375" style="33" customWidth="1"/>
    <col min="15" max="15" width="13.7109375" style="34" customWidth="1"/>
    <col min="16" max="16" width="11.7109375" style="33" customWidth="1"/>
    <col min="17" max="17" width="22.7109375" style="35" customWidth="1"/>
    <col min="18" max="18" width="10.7109375" style="15" hidden="1" customWidth="1"/>
    <col min="19" max="19" width="7.7109375" style="25" hidden="1" customWidth="1"/>
    <col min="20" max="20" width="9.7109375" style="37" hidden="1" customWidth="1"/>
    <col min="21" max="21" width="24.7109375" style="15" customWidth="1"/>
    <col min="22" max="22" width="11.7109375" style="26" hidden="1" customWidth="1"/>
    <col min="23" max="23" width="11.7109375" style="26" customWidth="1"/>
    <col min="24" max="24" width="11.7109375" style="26" customWidth="1"/>
    <col min="25" max="25" width="11.7109375" style="26" customWidth="1"/>
    <col min="26" max="26" width="10.7109375" style="26" customWidth="1"/>
    <col min="27" max="27" width="11.7109375" style="26" customWidth="1"/>
    <col min="28" max="28" width="10.7109375" style="26" customWidth="1"/>
    <col min="29" max="29" width="11.7109375" style="26" customWidth="1"/>
    <col min="30" max="30" width="10.7109375" style="38" hidden="1" customWidth="1"/>
    <col min="31" max="31" width="12.7109375" style="26" hidden="1" customWidth="1"/>
    <col min="32" max="32" width="12.7109375" style="26" hidden="1" customWidth="1"/>
    <col min="33" max="33" width="11.7109375" style="26" customWidth="1"/>
    <col min="34" max="34" width="11.7109375" style="26" customWidth="1"/>
    <col min="35" max="35" width="12.7109375" style="39" customWidth="1"/>
    <col min="36" max="36" width="11.7109375" style="38" hidden="1" customWidth="1"/>
    <col min="37" max="37" width="9.7109375" style="25" hidden="1" customWidth="1"/>
    <col min="38" max="38" width="28.7109375" style="39" customWidth="1"/>
  </cols>
  <sheetData>
    <row r="1" spans="1:38" ht="34" customHeight="1">
      <c r="A1" s="2" t="s">
        <v>334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t="s">
        <v>1</v>
      </c>
      <c r="AK1" s="3"/>
      <c r="AL1" s="3"/>
    </row>
    <row r="2" spans="1:38" ht="18" customHeight="1">
      <c r="A2" s="4" t="s">
        <v>335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row>
    <row r="3" spans="1:38"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336</v>
      </c>
      <c r="T3" s="40"/>
      <c r="U3" s="40"/>
      <c r="V3" s="40"/>
      <c r="W3" s="40"/>
      <c r="X3" s="40"/>
      <c r="Y3" s="40"/>
      <c r="Z3" s="40"/>
      <c r="AA3" s="40"/>
      <c r="AB3" s="40"/>
      <c r="AC3" s="40"/>
      <c r="AD3" s="40"/>
      <c r="AE3" s="40"/>
      <c r="AF3" s="40"/>
      <c r="AG3" s="40"/>
      <c r="AH3" s="40"/>
      <c r="AI3" s="40"/>
      <c r="AJ3" s="40"/>
      <c r="AK3" s="40"/>
      <c r="AL3" s="40"/>
    </row>
    <row r="4" spans="1:38" ht="30" customHeight="1">
      <c r="A4" s="10" t="s">
        <v>211</v>
      </c>
      <c r="B4" s="10" t="s">
        <v>212</v>
      </c>
      <c r="C4" s="11" t="s">
        <v>337</v>
      </c>
      <c r="D4" s="11" t="s">
        <v>215</v>
      </c>
      <c r="E4" s="11" t="s">
        <v>216</v>
      </c>
      <c r="F4" s="11" t="s">
        <v>219</v>
      </c>
      <c r="G4" s="11" t="s">
        <v>175</v>
      </c>
      <c r="H4" s="11" t="s">
        <v>338</v>
      </c>
      <c r="I4" s="11" t="s">
        <v>339</v>
      </c>
      <c r="J4" s="11" t="s">
        <v>301</v>
      </c>
      <c r="K4" s="11" t="s">
        <v>340</v>
      </c>
      <c r="L4" s="11" t="s">
        <v>341</v>
      </c>
      <c r="M4" s="11" t="s">
        <v>342</v>
      </c>
      <c r="N4" s="11" t="s">
        <v>343</v>
      </c>
      <c r="O4" s="11" t="s">
        <v>344</v>
      </c>
      <c r="P4" s="11" t="s">
        <v>345</v>
      </c>
      <c r="Q4" s="11" t="s">
        <v>225</v>
      </c>
      <c r="R4" s="11" t="s">
        <v>121</v>
      </c>
      <c r="S4" s="11" t="s">
        <v>228</v>
      </c>
      <c r="T4" s="11" t="s">
        <v>346</v>
      </c>
      <c r="U4" s="11" t="s">
        <v>347</v>
      </c>
      <c r="V4" s="11" t="s">
        <v>348</v>
      </c>
      <c r="W4" s="11" t="s">
        <v>349</v>
      </c>
      <c r="X4" s="11" t="s">
        <v>350</v>
      </c>
      <c r="Y4" s="11" t="s">
        <v>351</v>
      </c>
      <c r="Z4" s="11" t="s">
        <v>352</v>
      </c>
      <c r="AA4" s="11" t="s">
        <v>353</v>
      </c>
      <c r="AB4" s="11" t="s">
        <v>354</v>
      </c>
      <c r="AC4" s="11" t="s">
        <v>201</v>
      </c>
      <c r="AD4" s="11" t="s">
        <v>355</v>
      </c>
      <c r="AE4" s="11" t="s">
        <v>356</v>
      </c>
      <c r="AF4" s="11" t="s">
        <v>357</v>
      </c>
      <c r="AG4" s="11" t="s">
        <v>358</v>
      </c>
      <c r="AH4" s="11" t="s">
        <v>359</v>
      </c>
      <c r="AI4" s="11" t="s">
        <v>360</v>
      </c>
      <c r="AJ4" s="11" t="s">
        <v>361</v>
      </c>
      <c r="AK4" s="11" t="s">
        <v>362</v>
      </c>
      <c r="AL4" s="11" t="s">
        <v>363</v>
      </c>
    </row>
    <row r="5" spans="1:38">
      <c r="A5" s="28">
        <f>IF(B5="","",SalePrefix&amp;TEXT(ROW()-4,"0000"))</f>
        <v>0</v>
      </c>
      <c r="E5" s="15">
        <f>IF(D5="","",IFERROR(INDEX(Clients!$B$5:$B$504,MATCH(D5,Clients!$A$5:$A$504,0)),"Walk-in"))</f>
        <v>0</v>
      </c>
      <c r="G5" s="15">
        <f>IF(F5="","",IFERROR(INDEX(Staff!$B$5:$B$44,MATCH(F5,Staff!$A$5:$A$44,0)),"House"))</f>
        <v>0</v>
      </c>
      <c r="R5" s="15">
        <f>IF(B5="","",TEXT(B5,"yyyy-mm"))</f>
        <v>0</v>
      </c>
      <c r="S5" s="25">
        <f>IF(B5="","",WEEKNUM(B5,2))</f>
        <v>0</v>
      </c>
      <c r="T5" s="37">
        <f>IF(B5="","",IF(K5="",1,K5))</f>
        <v>0</v>
      </c>
      <c r="U5" s="15">
        <f>IF(B5="","",IF(J5&lt;&gt;"",J5,IF(H5="Retail",IFERROR(INDEX(Inventory!$B$5:$B$304,MATCH(I5,Inventory!$A$5:$A$304,0))&amp;"","Not in Inventory"),IFERROR(INDEX(Services!$B$5:$B$204,MATCH(I5,Services!$A$5:$A$204,0))&amp;"","Not in Services"))))</f>
        <v>0</v>
      </c>
      <c r="V5" s="26">
        <f>IF(B5="","",IF(L5&lt;&gt;"",L5,IF(H5="Retail",IFERROR(INDEX(Inventory!$I$5:$I$304,MATCH(I5,Inventory!$A$5:$A$304,0))*1,0),IFERROR(INDEX(Services!$G$5:$G$204,MATCH(I5,Services!$A$5:$A$204,0))*1,0))))</f>
        <v>0</v>
      </c>
      <c r="W5" s="26">
        <f>IF(B5="","",ROUND(T5*V5,2))</f>
        <v>0</v>
      </c>
      <c r="X5" s="26">
        <f>IF(B5="","",ROUND(IF(M5="",0,W5*M5)+IF(N5="",0,N5),2))</f>
        <v>0</v>
      </c>
      <c r="Y5" s="26">
        <f>IF(B5="","",ROUND(W5-X5-IF(P5="",0,P5),2))</f>
        <v>0</v>
      </c>
      <c r="Z5" s="26">
        <f>IF(B5="","",IF(H5="Retail",IF(TaxOnRetail="Yes",ROUND(Y5*TaxRate,2),0),IF(H5="Service",IF(TaxOnServices="Yes",ROUND(Y5*TaxRate,2),0),0)))</f>
        <v>0</v>
      </c>
      <c r="AA5" s="26">
        <f>IF(B5="","",ROUND(Y5+Z5,2))</f>
        <v>0</v>
      </c>
      <c r="AB5" s="26">
        <f>IF(B5="","",ROUND(T5*IF(H5="Retail",IFERROR(INDEX(Inventory!$H$5:$H$304,MATCH(I5,Inventory!$A$5:$A$304,0))*1,0),IFERROR(INDEX(Services!$Q$5:$Q$204,MATCH(I5,Services!$A$5:$A$204,0))*1,0)),2))</f>
        <v>0</v>
      </c>
      <c r="AC5" s="26">
        <f>IF(B5="","",ROUND(Y5-AB5,2))</f>
        <v>0</v>
      </c>
      <c r="AD5" s="38">
        <f>IF(B5="","",IF(C5="","No",IF(COUNTIFS($C$5:C5,C5)=1,"Yes","No")))</f>
        <v>0</v>
      </c>
      <c r="AE5" s="26">
        <f>IF(B5="","",ROUND(SUMIFS(Payments!$G$5:$G$1204,Payments!$H$5:$H$1204,A5,Payments!$Q$5:$Q$1204,"Yes"),2))</f>
        <v>0</v>
      </c>
      <c r="AF5" s="26">
        <f>IF(B5="","",IF(AD5="No",0,ROUND(SUMIFS(Payments!$G$5:$G$1204,Payments!$I$5:$I$1204,C5,Payments!$H$5:$H$1204,"",Payments!$Q$5:$Q$1204,"Yes"),2)))</f>
        <v>0</v>
      </c>
      <c r="AG5" s="26">
        <f>IF(B5="","",ROUND(AE5+AF5,2))</f>
        <v>0</v>
      </c>
      <c r="AH5" s="26">
        <f>IF(B5="","",ROUND(AA5-AG5,2))</f>
        <v>0</v>
      </c>
      <c r="AI5" s="39">
        <f>IF(B5="","",IF(AA5&lt;=0,"No charge",IF(AH5&lt;=0.004,"Paid",IF(AG5&lt;=0.004,"Unpaid","Part paid"))))</f>
        <v>0</v>
      </c>
      <c r="AJ5" s="38">
        <f>IF(B5="","",IF(H5&lt;&gt;"Service","",IF(D5="","No",IF(COUNTIFS($D$5:$D$1204,D5,$B$5:$B$1204,B5,$H$5:$H$1204,"Retail")&gt;0,"Yes","No"))))</f>
        <v>0</v>
      </c>
      <c r="AK5" s="25">
        <f>IF(B5="","",COUNTIFS($Y$5:$Y$1204,"&gt;"&amp;Y5)+COUNTIFS($Y$5:Y5,Y5))</f>
        <v>0</v>
      </c>
      <c r="AL5" s="39">
        <f>IF(B5="","",IF(H5="","Add - what kind of sale is this?",IF(IF(V5&lt;=0,P5="",FALSE),"Check - no price found for this item",IF(F5="","Assign - nobody credited",IF(AH5&gt;0.004,"Unpaid - balance outstanding",IF(AC5&lt;0,"Loss - sold below cost",IF(X5&gt;W5*0.5,"Check - more than half off","OK")))))))</f>
        <v>0</v>
      </c>
    </row>
    <row r="6" spans="1:38">
      <c r="A6" s="28">
        <f>IF(B6="","",SalePrefix&amp;TEXT(ROW()-4,"0000"))</f>
        <v>0</v>
      </c>
      <c r="E6" s="15">
        <f>IF(D6="","",IFERROR(INDEX(Clients!$B$5:$B$504,MATCH(D6,Clients!$A$5:$A$504,0)),"Walk-in"))</f>
        <v>0</v>
      </c>
      <c r="G6" s="15">
        <f>IF(F6="","",IFERROR(INDEX(Staff!$B$5:$B$44,MATCH(F6,Staff!$A$5:$A$44,0)),"House"))</f>
        <v>0</v>
      </c>
      <c r="R6" s="15">
        <f>IF(B6="","",TEXT(B6,"yyyy-mm"))</f>
        <v>0</v>
      </c>
      <c r="S6" s="25">
        <f>IF(B6="","",WEEKNUM(B6,2))</f>
        <v>0</v>
      </c>
      <c r="T6" s="37">
        <f>IF(B6="","",IF(K6="",1,K6))</f>
        <v>0</v>
      </c>
      <c r="U6" s="15">
        <f>IF(B6="","",IF(J6&lt;&gt;"",J6,IF(H6="Retail",IFERROR(INDEX(Inventory!$B$5:$B$304,MATCH(I6,Inventory!$A$5:$A$304,0))&amp;"","Not in Inventory"),IFERROR(INDEX(Services!$B$5:$B$204,MATCH(I6,Services!$A$5:$A$204,0))&amp;"","Not in Services"))))</f>
        <v>0</v>
      </c>
      <c r="V6" s="26">
        <f>IF(B6="","",IF(L6&lt;&gt;"",L6,IF(H6="Retail",IFERROR(INDEX(Inventory!$I$5:$I$304,MATCH(I6,Inventory!$A$5:$A$304,0))*1,0),IFERROR(INDEX(Services!$G$5:$G$204,MATCH(I6,Services!$A$5:$A$204,0))*1,0))))</f>
        <v>0</v>
      </c>
      <c r="W6" s="26">
        <f>IF(B6="","",ROUND(T6*V6,2))</f>
        <v>0</v>
      </c>
      <c r="X6" s="26">
        <f>IF(B6="","",ROUND(IF(M6="",0,W6*M6)+IF(N6="",0,N6),2))</f>
        <v>0</v>
      </c>
      <c r="Y6" s="26">
        <f>IF(B6="","",ROUND(W6-X6-IF(P6="",0,P6),2))</f>
        <v>0</v>
      </c>
      <c r="Z6" s="26">
        <f>IF(B6="","",IF(H6="Retail",IF(TaxOnRetail="Yes",ROUND(Y6*TaxRate,2),0),IF(H6="Service",IF(TaxOnServices="Yes",ROUND(Y6*TaxRate,2),0),0)))</f>
        <v>0</v>
      </c>
      <c r="AA6" s="26">
        <f>IF(B6="","",ROUND(Y6+Z6,2))</f>
        <v>0</v>
      </c>
      <c r="AB6" s="26">
        <f>IF(B6="","",ROUND(T6*IF(H6="Retail",IFERROR(INDEX(Inventory!$H$5:$H$304,MATCH(I6,Inventory!$A$5:$A$304,0))*1,0),IFERROR(INDEX(Services!$Q$5:$Q$204,MATCH(I6,Services!$A$5:$A$204,0))*1,0)),2))</f>
        <v>0</v>
      </c>
      <c r="AC6" s="26">
        <f>IF(B6="","",ROUND(Y6-AB6,2))</f>
        <v>0</v>
      </c>
      <c r="AD6" s="38">
        <f>IF(B6="","",IF(C6="","No",IF(COUNTIFS($C$5:C6,C6)=1,"Yes","No")))</f>
        <v>0</v>
      </c>
      <c r="AE6" s="26">
        <f>IF(B6="","",ROUND(SUMIFS(Payments!$G$5:$G$1204,Payments!$H$5:$H$1204,A6,Payments!$Q$5:$Q$1204,"Yes"),2))</f>
        <v>0</v>
      </c>
      <c r="AF6" s="26">
        <f>IF(B6="","",IF(AD6="No",0,ROUND(SUMIFS(Payments!$G$5:$G$1204,Payments!$I$5:$I$1204,C6,Payments!$H$5:$H$1204,"",Payments!$Q$5:$Q$1204,"Yes"),2)))</f>
        <v>0</v>
      </c>
      <c r="AG6" s="26">
        <f>IF(B6="","",ROUND(AE6+AF6,2))</f>
        <v>0</v>
      </c>
      <c r="AH6" s="26">
        <f>IF(B6="","",ROUND(AA6-AG6,2))</f>
        <v>0</v>
      </c>
      <c r="AI6" s="39">
        <f>IF(B6="","",IF(AA6&lt;=0,"No charge",IF(AH6&lt;=0.004,"Paid",IF(AG6&lt;=0.004,"Unpaid","Part paid"))))</f>
        <v>0</v>
      </c>
      <c r="AJ6" s="38">
        <f>IF(B6="","",IF(H6&lt;&gt;"Service","",IF(D6="","No",IF(COUNTIFS($D$5:$D$1204,D6,$B$5:$B$1204,B6,$H$5:$H$1204,"Retail")&gt;0,"Yes","No"))))</f>
        <v>0</v>
      </c>
      <c r="AK6" s="25">
        <f>IF(B6="","",COUNTIFS($Y$5:$Y$1204,"&gt;"&amp;Y6)+COUNTIFS($Y$5:Y6,Y6))</f>
        <v>0</v>
      </c>
      <c r="AL6" s="39">
        <f>IF(B6="","",IF(H6="","Add - what kind of sale is this?",IF(IF(V6&lt;=0,P6="",FALSE),"Check - no price found for this item",IF(F6="","Assign - nobody credited",IF(AH6&gt;0.004,"Unpaid - balance outstanding",IF(AC6&lt;0,"Loss - sold below cost",IF(X6&gt;W6*0.5,"Check - more than half off","OK")))))))</f>
        <v>0</v>
      </c>
    </row>
    <row r="7" spans="1:38">
      <c r="A7" s="28">
        <f>IF(B7="","",SalePrefix&amp;TEXT(ROW()-4,"0000"))</f>
        <v>0</v>
      </c>
      <c r="E7" s="15">
        <f>IF(D7="","",IFERROR(INDEX(Clients!$B$5:$B$504,MATCH(D7,Clients!$A$5:$A$504,0)),"Walk-in"))</f>
        <v>0</v>
      </c>
      <c r="G7" s="15">
        <f>IF(F7="","",IFERROR(INDEX(Staff!$B$5:$B$44,MATCH(F7,Staff!$A$5:$A$44,0)),"House"))</f>
        <v>0</v>
      </c>
      <c r="R7" s="15">
        <f>IF(B7="","",TEXT(B7,"yyyy-mm"))</f>
        <v>0</v>
      </c>
      <c r="S7" s="25">
        <f>IF(B7="","",WEEKNUM(B7,2))</f>
        <v>0</v>
      </c>
      <c r="T7" s="37">
        <f>IF(B7="","",IF(K7="",1,K7))</f>
        <v>0</v>
      </c>
      <c r="U7" s="15">
        <f>IF(B7="","",IF(J7&lt;&gt;"",J7,IF(H7="Retail",IFERROR(INDEX(Inventory!$B$5:$B$304,MATCH(I7,Inventory!$A$5:$A$304,0))&amp;"","Not in Inventory"),IFERROR(INDEX(Services!$B$5:$B$204,MATCH(I7,Services!$A$5:$A$204,0))&amp;"","Not in Services"))))</f>
        <v>0</v>
      </c>
      <c r="V7" s="26">
        <f>IF(B7="","",IF(L7&lt;&gt;"",L7,IF(H7="Retail",IFERROR(INDEX(Inventory!$I$5:$I$304,MATCH(I7,Inventory!$A$5:$A$304,0))*1,0),IFERROR(INDEX(Services!$G$5:$G$204,MATCH(I7,Services!$A$5:$A$204,0))*1,0))))</f>
        <v>0</v>
      </c>
      <c r="W7" s="26">
        <f>IF(B7="","",ROUND(T7*V7,2))</f>
        <v>0</v>
      </c>
      <c r="X7" s="26">
        <f>IF(B7="","",ROUND(IF(M7="",0,W7*M7)+IF(N7="",0,N7),2))</f>
        <v>0</v>
      </c>
      <c r="Y7" s="26">
        <f>IF(B7="","",ROUND(W7-X7-IF(P7="",0,P7),2))</f>
        <v>0</v>
      </c>
      <c r="Z7" s="26">
        <f>IF(B7="","",IF(H7="Retail",IF(TaxOnRetail="Yes",ROUND(Y7*TaxRate,2),0),IF(H7="Service",IF(TaxOnServices="Yes",ROUND(Y7*TaxRate,2),0),0)))</f>
        <v>0</v>
      </c>
      <c r="AA7" s="26">
        <f>IF(B7="","",ROUND(Y7+Z7,2))</f>
        <v>0</v>
      </c>
      <c r="AB7" s="26">
        <f>IF(B7="","",ROUND(T7*IF(H7="Retail",IFERROR(INDEX(Inventory!$H$5:$H$304,MATCH(I7,Inventory!$A$5:$A$304,0))*1,0),IFERROR(INDEX(Services!$Q$5:$Q$204,MATCH(I7,Services!$A$5:$A$204,0))*1,0)),2))</f>
        <v>0</v>
      </c>
      <c r="AC7" s="26">
        <f>IF(B7="","",ROUND(Y7-AB7,2))</f>
        <v>0</v>
      </c>
      <c r="AD7" s="38">
        <f>IF(B7="","",IF(C7="","No",IF(COUNTIFS($C$5:C7,C7)=1,"Yes","No")))</f>
        <v>0</v>
      </c>
      <c r="AE7" s="26">
        <f>IF(B7="","",ROUND(SUMIFS(Payments!$G$5:$G$1204,Payments!$H$5:$H$1204,A7,Payments!$Q$5:$Q$1204,"Yes"),2))</f>
        <v>0</v>
      </c>
      <c r="AF7" s="26">
        <f>IF(B7="","",IF(AD7="No",0,ROUND(SUMIFS(Payments!$G$5:$G$1204,Payments!$I$5:$I$1204,C7,Payments!$H$5:$H$1204,"",Payments!$Q$5:$Q$1204,"Yes"),2)))</f>
        <v>0</v>
      </c>
      <c r="AG7" s="26">
        <f>IF(B7="","",ROUND(AE7+AF7,2))</f>
        <v>0</v>
      </c>
      <c r="AH7" s="26">
        <f>IF(B7="","",ROUND(AA7-AG7,2))</f>
        <v>0</v>
      </c>
      <c r="AI7" s="39">
        <f>IF(B7="","",IF(AA7&lt;=0,"No charge",IF(AH7&lt;=0.004,"Paid",IF(AG7&lt;=0.004,"Unpaid","Part paid"))))</f>
        <v>0</v>
      </c>
      <c r="AJ7" s="38">
        <f>IF(B7="","",IF(H7&lt;&gt;"Service","",IF(D7="","No",IF(COUNTIFS($D$5:$D$1204,D7,$B$5:$B$1204,B7,$H$5:$H$1204,"Retail")&gt;0,"Yes","No"))))</f>
        <v>0</v>
      </c>
      <c r="AK7" s="25">
        <f>IF(B7="","",COUNTIFS($Y$5:$Y$1204,"&gt;"&amp;Y7)+COUNTIFS($Y$5:Y7,Y7))</f>
        <v>0</v>
      </c>
      <c r="AL7" s="39">
        <f>IF(B7="","",IF(H7="","Add - what kind of sale is this?",IF(IF(V7&lt;=0,P7="",FALSE),"Check - no price found for this item",IF(F7="","Assign - nobody credited",IF(AH7&gt;0.004,"Unpaid - balance outstanding",IF(AC7&lt;0,"Loss - sold below cost",IF(X7&gt;W7*0.5,"Check - more than half off","OK")))))))</f>
        <v>0</v>
      </c>
    </row>
    <row r="8" spans="1:38">
      <c r="A8" s="28">
        <f>IF(B8="","",SalePrefix&amp;TEXT(ROW()-4,"0000"))</f>
        <v>0</v>
      </c>
      <c r="E8" s="15">
        <f>IF(D8="","",IFERROR(INDEX(Clients!$B$5:$B$504,MATCH(D8,Clients!$A$5:$A$504,0)),"Walk-in"))</f>
        <v>0</v>
      </c>
      <c r="G8" s="15">
        <f>IF(F8="","",IFERROR(INDEX(Staff!$B$5:$B$44,MATCH(F8,Staff!$A$5:$A$44,0)),"House"))</f>
        <v>0</v>
      </c>
      <c r="R8" s="15">
        <f>IF(B8="","",TEXT(B8,"yyyy-mm"))</f>
        <v>0</v>
      </c>
      <c r="S8" s="25">
        <f>IF(B8="","",WEEKNUM(B8,2))</f>
        <v>0</v>
      </c>
      <c r="T8" s="37">
        <f>IF(B8="","",IF(K8="",1,K8))</f>
        <v>0</v>
      </c>
      <c r="U8" s="15">
        <f>IF(B8="","",IF(J8&lt;&gt;"",J8,IF(H8="Retail",IFERROR(INDEX(Inventory!$B$5:$B$304,MATCH(I8,Inventory!$A$5:$A$304,0))&amp;"","Not in Inventory"),IFERROR(INDEX(Services!$B$5:$B$204,MATCH(I8,Services!$A$5:$A$204,0))&amp;"","Not in Services"))))</f>
        <v>0</v>
      </c>
      <c r="V8" s="26">
        <f>IF(B8="","",IF(L8&lt;&gt;"",L8,IF(H8="Retail",IFERROR(INDEX(Inventory!$I$5:$I$304,MATCH(I8,Inventory!$A$5:$A$304,0))*1,0),IFERROR(INDEX(Services!$G$5:$G$204,MATCH(I8,Services!$A$5:$A$204,0))*1,0))))</f>
        <v>0</v>
      </c>
      <c r="W8" s="26">
        <f>IF(B8="","",ROUND(T8*V8,2))</f>
        <v>0</v>
      </c>
      <c r="X8" s="26">
        <f>IF(B8="","",ROUND(IF(M8="",0,W8*M8)+IF(N8="",0,N8),2))</f>
        <v>0</v>
      </c>
      <c r="Y8" s="26">
        <f>IF(B8="","",ROUND(W8-X8-IF(P8="",0,P8),2))</f>
        <v>0</v>
      </c>
      <c r="Z8" s="26">
        <f>IF(B8="","",IF(H8="Retail",IF(TaxOnRetail="Yes",ROUND(Y8*TaxRate,2),0),IF(H8="Service",IF(TaxOnServices="Yes",ROUND(Y8*TaxRate,2),0),0)))</f>
        <v>0</v>
      </c>
      <c r="AA8" s="26">
        <f>IF(B8="","",ROUND(Y8+Z8,2))</f>
        <v>0</v>
      </c>
      <c r="AB8" s="26">
        <f>IF(B8="","",ROUND(T8*IF(H8="Retail",IFERROR(INDEX(Inventory!$H$5:$H$304,MATCH(I8,Inventory!$A$5:$A$304,0))*1,0),IFERROR(INDEX(Services!$Q$5:$Q$204,MATCH(I8,Services!$A$5:$A$204,0))*1,0)),2))</f>
        <v>0</v>
      </c>
      <c r="AC8" s="26">
        <f>IF(B8="","",ROUND(Y8-AB8,2))</f>
        <v>0</v>
      </c>
      <c r="AD8" s="38">
        <f>IF(B8="","",IF(C8="","No",IF(COUNTIFS($C$5:C8,C8)=1,"Yes","No")))</f>
        <v>0</v>
      </c>
      <c r="AE8" s="26">
        <f>IF(B8="","",ROUND(SUMIFS(Payments!$G$5:$G$1204,Payments!$H$5:$H$1204,A8,Payments!$Q$5:$Q$1204,"Yes"),2))</f>
        <v>0</v>
      </c>
      <c r="AF8" s="26">
        <f>IF(B8="","",IF(AD8="No",0,ROUND(SUMIFS(Payments!$G$5:$G$1204,Payments!$I$5:$I$1204,C8,Payments!$H$5:$H$1204,"",Payments!$Q$5:$Q$1204,"Yes"),2)))</f>
        <v>0</v>
      </c>
      <c r="AG8" s="26">
        <f>IF(B8="","",ROUND(AE8+AF8,2))</f>
        <v>0</v>
      </c>
      <c r="AH8" s="26">
        <f>IF(B8="","",ROUND(AA8-AG8,2))</f>
        <v>0</v>
      </c>
      <c r="AI8" s="39">
        <f>IF(B8="","",IF(AA8&lt;=0,"No charge",IF(AH8&lt;=0.004,"Paid",IF(AG8&lt;=0.004,"Unpaid","Part paid"))))</f>
        <v>0</v>
      </c>
      <c r="AJ8" s="38">
        <f>IF(B8="","",IF(H8&lt;&gt;"Service","",IF(D8="","No",IF(COUNTIFS($D$5:$D$1204,D8,$B$5:$B$1204,B8,$H$5:$H$1204,"Retail")&gt;0,"Yes","No"))))</f>
        <v>0</v>
      </c>
      <c r="AK8" s="25">
        <f>IF(B8="","",COUNTIFS($Y$5:$Y$1204,"&gt;"&amp;Y8)+COUNTIFS($Y$5:Y8,Y8))</f>
        <v>0</v>
      </c>
      <c r="AL8" s="39">
        <f>IF(B8="","",IF(H8="","Add - what kind of sale is this?",IF(IF(V8&lt;=0,P8="",FALSE),"Check - no price found for this item",IF(F8="","Assign - nobody credited",IF(AH8&gt;0.004,"Unpaid - balance outstanding",IF(AC8&lt;0,"Loss - sold below cost",IF(X8&gt;W8*0.5,"Check - more than half off","OK")))))))</f>
        <v>0</v>
      </c>
    </row>
    <row r="9" spans="1:38">
      <c r="A9" s="28">
        <f>IF(B9="","",SalePrefix&amp;TEXT(ROW()-4,"0000"))</f>
        <v>0</v>
      </c>
      <c r="E9" s="15">
        <f>IF(D9="","",IFERROR(INDEX(Clients!$B$5:$B$504,MATCH(D9,Clients!$A$5:$A$504,0)),"Walk-in"))</f>
        <v>0</v>
      </c>
      <c r="G9" s="15">
        <f>IF(F9="","",IFERROR(INDEX(Staff!$B$5:$B$44,MATCH(F9,Staff!$A$5:$A$44,0)),"House"))</f>
        <v>0</v>
      </c>
      <c r="R9" s="15">
        <f>IF(B9="","",TEXT(B9,"yyyy-mm"))</f>
        <v>0</v>
      </c>
      <c r="S9" s="25">
        <f>IF(B9="","",WEEKNUM(B9,2))</f>
        <v>0</v>
      </c>
      <c r="T9" s="37">
        <f>IF(B9="","",IF(K9="",1,K9))</f>
        <v>0</v>
      </c>
      <c r="U9" s="15">
        <f>IF(B9="","",IF(J9&lt;&gt;"",J9,IF(H9="Retail",IFERROR(INDEX(Inventory!$B$5:$B$304,MATCH(I9,Inventory!$A$5:$A$304,0))&amp;"","Not in Inventory"),IFERROR(INDEX(Services!$B$5:$B$204,MATCH(I9,Services!$A$5:$A$204,0))&amp;"","Not in Services"))))</f>
        <v>0</v>
      </c>
      <c r="V9" s="26">
        <f>IF(B9="","",IF(L9&lt;&gt;"",L9,IF(H9="Retail",IFERROR(INDEX(Inventory!$I$5:$I$304,MATCH(I9,Inventory!$A$5:$A$304,0))*1,0),IFERROR(INDEX(Services!$G$5:$G$204,MATCH(I9,Services!$A$5:$A$204,0))*1,0))))</f>
        <v>0</v>
      </c>
      <c r="W9" s="26">
        <f>IF(B9="","",ROUND(T9*V9,2))</f>
        <v>0</v>
      </c>
      <c r="X9" s="26">
        <f>IF(B9="","",ROUND(IF(M9="",0,W9*M9)+IF(N9="",0,N9),2))</f>
        <v>0</v>
      </c>
      <c r="Y9" s="26">
        <f>IF(B9="","",ROUND(W9-X9-IF(P9="",0,P9),2))</f>
        <v>0</v>
      </c>
      <c r="Z9" s="26">
        <f>IF(B9="","",IF(H9="Retail",IF(TaxOnRetail="Yes",ROUND(Y9*TaxRate,2),0),IF(H9="Service",IF(TaxOnServices="Yes",ROUND(Y9*TaxRate,2),0),0)))</f>
        <v>0</v>
      </c>
      <c r="AA9" s="26">
        <f>IF(B9="","",ROUND(Y9+Z9,2))</f>
        <v>0</v>
      </c>
      <c r="AB9" s="26">
        <f>IF(B9="","",ROUND(T9*IF(H9="Retail",IFERROR(INDEX(Inventory!$H$5:$H$304,MATCH(I9,Inventory!$A$5:$A$304,0))*1,0),IFERROR(INDEX(Services!$Q$5:$Q$204,MATCH(I9,Services!$A$5:$A$204,0))*1,0)),2))</f>
        <v>0</v>
      </c>
      <c r="AC9" s="26">
        <f>IF(B9="","",ROUND(Y9-AB9,2))</f>
        <v>0</v>
      </c>
      <c r="AD9" s="38">
        <f>IF(B9="","",IF(C9="","No",IF(COUNTIFS($C$5:C9,C9)=1,"Yes","No")))</f>
        <v>0</v>
      </c>
      <c r="AE9" s="26">
        <f>IF(B9="","",ROUND(SUMIFS(Payments!$G$5:$G$1204,Payments!$H$5:$H$1204,A9,Payments!$Q$5:$Q$1204,"Yes"),2))</f>
        <v>0</v>
      </c>
      <c r="AF9" s="26">
        <f>IF(B9="","",IF(AD9="No",0,ROUND(SUMIFS(Payments!$G$5:$G$1204,Payments!$I$5:$I$1204,C9,Payments!$H$5:$H$1204,"",Payments!$Q$5:$Q$1204,"Yes"),2)))</f>
        <v>0</v>
      </c>
      <c r="AG9" s="26">
        <f>IF(B9="","",ROUND(AE9+AF9,2))</f>
        <v>0</v>
      </c>
      <c r="AH9" s="26">
        <f>IF(B9="","",ROUND(AA9-AG9,2))</f>
        <v>0</v>
      </c>
      <c r="AI9" s="39">
        <f>IF(B9="","",IF(AA9&lt;=0,"No charge",IF(AH9&lt;=0.004,"Paid",IF(AG9&lt;=0.004,"Unpaid","Part paid"))))</f>
        <v>0</v>
      </c>
      <c r="AJ9" s="38">
        <f>IF(B9="","",IF(H9&lt;&gt;"Service","",IF(D9="","No",IF(COUNTIFS($D$5:$D$1204,D9,$B$5:$B$1204,B9,$H$5:$H$1204,"Retail")&gt;0,"Yes","No"))))</f>
        <v>0</v>
      </c>
      <c r="AK9" s="25">
        <f>IF(B9="","",COUNTIFS($Y$5:$Y$1204,"&gt;"&amp;Y9)+COUNTIFS($Y$5:Y9,Y9))</f>
        <v>0</v>
      </c>
      <c r="AL9" s="39">
        <f>IF(B9="","",IF(H9="","Add - what kind of sale is this?",IF(IF(V9&lt;=0,P9="",FALSE),"Check - no price found for this item",IF(F9="","Assign - nobody credited",IF(AH9&gt;0.004,"Unpaid - balance outstanding",IF(AC9&lt;0,"Loss - sold below cost",IF(X9&gt;W9*0.5,"Check - more than half off","OK")))))))</f>
        <v>0</v>
      </c>
    </row>
    <row r="10" spans="1:38">
      <c r="A10" s="28">
        <f>IF(B10="","",SalePrefix&amp;TEXT(ROW()-4,"0000"))</f>
        <v>0</v>
      </c>
      <c r="E10" s="15">
        <f>IF(D10="","",IFERROR(INDEX(Clients!$B$5:$B$504,MATCH(D10,Clients!$A$5:$A$504,0)),"Walk-in"))</f>
        <v>0</v>
      </c>
      <c r="G10" s="15">
        <f>IF(F10="","",IFERROR(INDEX(Staff!$B$5:$B$44,MATCH(F10,Staff!$A$5:$A$44,0)),"House"))</f>
        <v>0</v>
      </c>
      <c r="R10" s="15">
        <f>IF(B10="","",TEXT(B10,"yyyy-mm"))</f>
        <v>0</v>
      </c>
      <c r="S10" s="25">
        <f>IF(B10="","",WEEKNUM(B10,2))</f>
        <v>0</v>
      </c>
      <c r="T10" s="37">
        <f>IF(B10="","",IF(K10="",1,K10))</f>
        <v>0</v>
      </c>
      <c r="U10" s="15">
        <f>IF(B10="","",IF(J10&lt;&gt;"",J10,IF(H10="Retail",IFERROR(INDEX(Inventory!$B$5:$B$304,MATCH(I10,Inventory!$A$5:$A$304,0))&amp;"","Not in Inventory"),IFERROR(INDEX(Services!$B$5:$B$204,MATCH(I10,Services!$A$5:$A$204,0))&amp;"","Not in Services"))))</f>
        <v>0</v>
      </c>
      <c r="V10" s="26">
        <f>IF(B10="","",IF(L10&lt;&gt;"",L10,IF(H10="Retail",IFERROR(INDEX(Inventory!$I$5:$I$304,MATCH(I10,Inventory!$A$5:$A$304,0))*1,0),IFERROR(INDEX(Services!$G$5:$G$204,MATCH(I10,Services!$A$5:$A$204,0))*1,0))))</f>
        <v>0</v>
      </c>
      <c r="W10" s="26">
        <f>IF(B10="","",ROUND(T10*V10,2))</f>
        <v>0</v>
      </c>
      <c r="X10" s="26">
        <f>IF(B10="","",ROUND(IF(M10="",0,W10*M10)+IF(N10="",0,N10),2))</f>
        <v>0</v>
      </c>
      <c r="Y10" s="26">
        <f>IF(B10="","",ROUND(W10-X10-IF(P10="",0,P10),2))</f>
        <v>0</v>
      </c>
      <c r="Z10" s="26">
        <f>IF(B10="","",IF(H10="Retail",IF(TaxOnRetail="Yes",ROUND(Y10*TaxRate,2),0),IF(H10="Service",IF(TaxOnServices="Yes",ROUND(Y10*TaxRate,2),0),0)))</f>
        <v>0</v>
      </c>
      <c r="AA10" s="26">
        <f>IF(B10="","",ROUND(Y10+Z10,2))</f>
        <v>0</v>
      </c>
      <c r="AB10" s="26">
        <f>IF(B10="","",ROUND(T10*IF(H10="Retail",IFERROR(INDEX(Inventory!$H$5:$H$304,MATCH(I10,Inventory!$A$5:$A$304,0))*1,0),IFERROR(INDEX(Services!$Q$5:$Q$204,MATCH(I10,Services!$A$5:$A$204,0))*1,0)),2))</f>
        <v>0</v>
      </c>
      <c r="AC10" s="26">
        <f>IF(B10="","",ROUND(Y10-AB10,2))</f>
        <v>0</v>
      </c>
      <c r="AD10" s="38">
        <f>IF(B10="","",IF(C10="","No",IF(COUNTIFS($C$5:C10,C10)=1,"Yes","No")))</f>
        <v>0</v>
      </c>
      <c r="AE10" s="26">
        <f>IF(B10="","",ROUND(SUMIFS(Payments!$G$5:$G$1204,Payments!$H$5:$H$1204,A10,Payments!$Q$5:$Q$1204,"Yes"),2))</f>
        <v>0</v>
      </c>
      <c r="AF10" s="26">
        <f>IF(B10="","",IF(AD10="No",0,ROUND(SUMIFS(Payments!$G$5:$G$1204,Payments!$I$5:$I$1204,C10,Payments!$H$5:$H$1204,"",Payments!$Q$5:$Q$1204,"Yes"),2)))</f>
        <v>0</v>
      </c>
      <c r="AG10" s="26">
        <f>IF(B10="","",ROUND(AE10+AF10,2))</f>
        <v>0</v>
      </c>
      <c r="AH10" s="26">
        <f>IF(B10="","",ROUND(AA10-AG10,2))</f>
        <v>0</v>
      </c>
      <c r="AI10" s="39">
        <f>IF(B10="","",IF(AA10&lt;=0,"No charge",IF(AH10&lt;=0.004,"Paid",IF(AG10&lt;=0.004,"Unpaid","Part paid"))))</f>
        <v>0</v>
      </c>
      <c r="AJ10" s="38">
        <f>IF(B10="","",IF(H10&lt;&gt;"Service","",IF(D10="","No",IF(COUNTIFS($D$5:$D$1204,D10,$B$5:$B$1204,B10,$H$5:$H$1204,"Retail")&gt;0,"Yes","No"))))</f>
        <v>0</v>
      </c>
      <c r="AK10" s="25">
        <f>IF(B10="","",COUNTIFS($Y$5:$Y$1204,"&gt;"&amp;Y10)+COUNTIFS($Y$5:Y10,Y10))</f>
        <v>0</v>
      </c>
      <c r="AL10" s="39">
        <f>IF(B10="","",IF(H10="","Add - what kind of sale is this?",IF(IF(V10&lt;=0,P10="",FALSE),"Check - no price found for this item",IF(F10="","Assign - nobody credited",IF(AH10&gt;0.004,"Unpaid - balance outstanding",IF(AC10&lt;0,"Loss - sold below cost",IF(X10&gt;W10*0.5,"Check - more than half off","OK")))))))</f>
        <v>0</v>
      </c>
    </row>
    <row r="11" spans="1:38">
      <c r="A11" s="28">
        <f>IF(B11="","",SalePrefix&amp;TEXT(ROW()-4,"0000"))</f>
        <v>0</v>
      </c>
      <c r="E11" s="15">
        <f>IF(D11="","",IFERROR(INDEX(Clients!$B$5:$B$504,MATCH(D11,Clients!$A$5:$A$504,0)),"Walk-in"))</f>
        <v>0</v>
      </c>
      <c r="G11" s="15">
        <f>IF(F11="","",IFERROR(INDEX(Staff!$B$5:$B$44,MATCH(F11,Staff!$A$5:$A$44,0)),"House"))</f>
        <v>0</v>
      </c>
      <c r="R11" s="15">
        <f>IF(B11="","",TEXT(B11,"yyyy-mm"))</f>
        <v>0</v>
      </c>
      <c r="S11" s="25">
        <f>IF(B11="","",WEEKNUM(B11,2))</f>
        <v>0</v>
      </c>
      <c r="T11" s="37">
        <f>IF(B11="","",IF(K11="",1,K11))</f>
        <v>0</v>
      </c>
      <c r="U11" s="15">
        <f>IF(B11="","",IF(J11&lt;&gt;"",J11,IF(H11="Retail",IFERROR(INDEX(Inventory!$B$5:$B$304,MATCH(I11,Inventory!$A$5:$A$304,0))&amp;"","Not in Inventory"),IFERROR(INDEX(Services!$B$5:$B$204,MATCH(I11,Services!$A$5:$A$204,0))&amp;"","Not in Services"))))</f>
        <v>0</v>
      </c>
      <c r="V11" s="26">
        <f>IF(B11="","",IF(L11&lt;&gt;"",L11,IF(H11="Retail",IFERROR(INDEX(Inventory!$I$5:$I$304,MATCH(I11,Inventory!$A$5:$A$304,0))*1,0),IFERROR(INDEX(Services!$G$5:$G$204,MATCH(I11,Services!$A$5:$A$204,0))*1,0))))</f>
        <v>0</v>
      </c>
      <c r="W11" s="26">
        <f>IF(B11="","",ROUND(T11*V11,2))</f>
        <v>0</v>
      </c>
      <c r="X11" s="26">
        <f>IF(B11="","",ROUND(IF(M11="",0,W11*M11)+IF(N11="",0,N11),2))</f>
        <v>0</v>
      </c>
      <c r="Y11" s="26">
        <f>IF(B11="","",ROUND(W11-X11-IF(P11="",0,P11),2))</f>
        <v>0</v>
      </c>
      <c r="Z11" s="26">
        <f>IF(B11="","",IF(H11="Retail",IF(TaxOnRetail="Yes",ROUND(Y11*TaxRate,2),0),IF(H11="Service",IF(TaxOnServices="Yes",ROUND(Y11*TaxRate,2),0),0)))</f>
        <v>0</v>
      </c>
      <c r="AA11" s="26">
        <f>IF(B11="","",ROUND(Y11+Z11,2))</f>
        <v>0</v>
      </c>
      <c r="AB11" s="26">
        <f>IF(B11="","",ROUND(T11*IF(H11="Retail",IFERROR(INDEX(Inventory!$H$5:$H$304,MATCH(I11,Inventory!$A$5:$A$304,0))*1,0),IFERROR(INDEX(Services!$Q$5:$Q$204,MATCH(I11,Services!$A$5:$A$204,0))*1,0)),2))</f>
        <v>0</v>
      </c>
      <c r="AC11" s="26">
        <f>IF(B11="","",ROUND(Y11-AB11,2))</f>
        <v>0</v>
      </c>
      <c r="AD11" s="38">
        <f>IF(B11="","",IF(C11="","No",IF(COUNTIFS($C$5:C11,C11)=1,"Yes","No")))</f>
        <v>0</v>
      </c>
      <c r="AE11" s="26">
        <f>IF(B11="","",ROUND(SUMIFS(Payments!$G$5:$G$1204,Payments!$H$5:$H$1204,A11,Payments!$Q$5:$Q$1204,"Yes"),2))</f>
        <v>0</v>
      </c>
      <c r="AF11" s="26">
        <f>IF(B11="","",IF(AD11="No",0,ROUND(SUMIFS(Payments!$G$5:$G$1204,Payments!$I$5:$I$1204,C11,Payments!$H$5:$H$1204,"",Payments!$Q$5:$Q$1204,"Yes"),2)))</f>
        <v>0</v>
      </c>
      <c r="AG11" s="26">
        <f>IF(B11="","",ROUND(AE11+AF11,2))</f>
        <v>0</v>
      </c>
      <c r="AH11" s="26">
        <f>IF(B11="","",ROUND(AA11-AG11,2))</f>
        <v>0</v>
      </c>
      <c r="AI11" s="39">
        <f>IF(B11="","",IF(AA11&lt;=0,"No charge",IF(AH11&lt;=0.004,"Paid",IF(AG11&lt;=0.004,"Unpaid","Part paid"))))</f>
        <v>0</v>
      </c>
      <c r="AJ11" s="38">
        <f>IF(B11="","",IF(H11&lt;&gt;"Service","",IF(D11="","No",IF(COUNTIFS($D$5:$D$1204,D11,$B$5:$B$1204,B11,$H$5:$H$1204,"Retail")&gt;0,"Yes","No"))))</f>
        <v>0</v>
      </c>
      <c r="AK11" s="25">
        <f>IF(B11="","",COUNTIFS($Y$5:$Y$1204,"&gt;"&amp;Y11)+COUNTIFS($Y$5:Y11,Y11))</f>
        <v>0</v>
      </c>
      <c r="AL11" s="39">
        <f>IF(B11="","",IF(H11="","Add - what kind of sale is this?",IF(IF(V11&lt;=0,P11="",FALSE),"Check - no price found for this item",IF(F11="","Assign - nobody credited",IF(AH11&gt;0.004,"Unpaid - balance outstanding",IF(AC11&lt;0,"Loss - sold below cost",IF(X11&gt;W11*0.5,"Check - more than half off","OK")))))))</f>
        <v>0</v>
      </c>
    </row>
    <row r="12" spans="1:38">
      <c r="A12" s="28">
        <f>IF(B12="","",SalePrefix&amp;TEXT(ROW()-4,"0000"))</f>
        <v>0</v>
      </c>
      <c r="E12" s="15">
        <f>IF(D12="","",IFERROR(INDEX(Clients!$B$5:$B$504,MATCH(D12,Clients!$A$5:$A$504,0)),"Walk-in"))</f>
        <v>0</v>
      </c>
      <c r="G12" s="15">
        <f>IF(F12="","",IFERROR(INDEX(Staff!$B$5:$B$44,MATCH(F12,Staff!$A$5:$A$44,0)),"House"))</f>
        <v>0</v>
      </c>
      <c r="R12" s="15">
        <f>IF(B12="","",TEXT(B12,"yyyy-mm"))</f>
        <v>0</v>
      </c>
      <c r="S12" s="25">
        <f>IF(B12="","",WEEKNUM(B12,2))</f>
        <v>0</v>
      </c>
      <c r="T12" s="37">
        <f>IF(B12="","",IF(K12="",1,K12))</f>
        <v>0</v>
      </c>
      <c r="U12" s="15">
        <f>IF(B12="","",IF(J12&lt;&gt;"",J12,IF(H12="Retail",IFERROR(INDEX(Inventory!$B$5:$B$304,MATCH(I12,Inventory!$A$5:$A$304,0))&amp;"","Not in Inventory"),IFERROR(INDEX(Services!$B$5:$B$204,MATCH(I12,Services!$A$5:$A$204,0))&amp;"","Not in Services"))))</f>
        <v>0</v>
      </c>
      <c r="V12" s="26">
        <f>IF(B12="","",IF(L12&lt;&gt;"",L12,IF(H12="Retail",IFERROR(INDEX(Inventory!$I$5:$I$304,MATCH(I12,Inventory!$A$5:$A$304,0))*1,0),IFERROR(INDEX(Services!$G$5:$G$204,MATCH(I12,Services!$A$5:$A$204,0))*1,0))))</f>
        <v>0</v>
      </c>
      <c r="W12" s="26">
        <f>IF(B12="","",ROUND(T12*V12,2))</f>
        <v>0</v>
      </c>
      <c r="X12" s="26">
        <f>IF(B12="","",ROUND(IF(M12="",0,W12*M12)+IF(N12="",0,N12),2))</f>
        <v>0</v>
      </c>
      <c r="Y12" s="26">
        <f>IF(B12="","",ROUND(W12-X12-IF(P12="",0,P12),2))</f>
        <v>0</v>
      </c>
      <c r="Z12" s="26">
        <f>IF(B12="","",IF(H12="Retail",IF(TaxOnRetail="Yes",ROUND(Y12*TaxRate,2),0),IF(H12="Service",IF(TaxOnServices="Yes",ROUND(Y12*TaxRate,2),0),0)))</f>
        <v>0</v>
      </c>
      <c r="AA12" s="26">
        <f>IF(B12="","",ROUND(Y12+Z12,2))</f>
        <v>0</v>
      </c>
      <c r="AB12" s="26">
        <f>IF(B12="","",ROUND(T12*IF(H12="Retail",IFERROR(INDEX(Inventory!$H$5:$H$304,MATCH(I12,Inventory!$A$5:$A$304,0))*1,0),IFERROR(INDEX(Services!$Q$5:$Q$204,MATCH(I12,Services!$A$5:$A$204,0))*1,0)),2))</f>
        <v>0</v>
      </c>
      <c r="AC12" s="26">
        <f>IF(B12="","",ROUND(Y12-AB12,2))</f>
        <v>0</v>
      </c>
      <c r="AD12" s="38">
        <f>IF(B12="","",IF(C12="","No",IF(COUNTIFS($C$5:C12,C12)=1,"Yes","No")))</f>
        <v>0</v>
      </c>
      <c r="AE12" s="26">
        <f>IF(B12="","",ROUND(SUMIFS(Payments!$G$5:$G$1204,Payments!$H$5:$H$1204,A12,Payments!$Q$5:$Q$1204,"Yes"),2))</f>
        <v>0</v>
      </c>
      <c r="AF12" s="26">
        <f>IF(B12="","",IF(AD12="No",0,ROUND(SUMIFS(Payments!$G$5:$G$1204,Payments!$I$5:$I$1204,C12,Payments!$H$5:$H$1204,"",Payments!$Q$5:$Q$1204,"Yes"),2)))</f>
        <v>0</v>
      </c>
      <c r="AG12" s="26">
        <f>IF(B12="","",ROUND(AE12+AF12,2))</f>
        <v>0</v>
      </c>
      <c r="AH12" s="26">
        <f>IF(B12="","",ROUND(AA12-AG12,2))</f>
        <v>0</v>
      </c>
      <c r="AI12" s="39">
        <f>IF(B12="","",IF(AA12&lt;=0,"No charge",IF(AH12&lt;=0.004,"Paid",IF(AG12&lt;=0.004,"Unpaid","Part paid"))))</f>
        <v>0</v>
      </c>
      <c r="AJ12" s="38">
        <f>IF(B12="","",IF(H12&lt;&gt;"Service","",IF(D12="","No",IF(COUNTIFS($D$5:$D$1204,D12,$B$5:$B$1204,B12,$H$5:$H$1204,"Retail")&gt;0,"Yes","No"))))</f>
        <v>0</v>
      </c>
      <c r="AK12" s="25">
        <f>IF(B12="","",COUNTIFS($Y$5:$Y$1204,"&gt;"&amp;Y12)+COUNTIFS($Y$5:Y12,Y12))</f>
        <v>0</v>
      </c>
      <c r="AL12" s="39">
        <f>IF(B12="","",IF(H12="","Add - what kind of sale is this?",IF(IF(V12&lt;=0,P12="",FALSE),"Check - no price found for this item",IF(F12="","Assign - nobody credited",IF(AH12&gt;0.004,"Unpaid - balance outstanding",IF(AC12&lt;0,"Loss - sold below cost",IF(X12&gt;W12*0.5,"Check - more than half off","OK")))))))</f>
        <v>0</v>
      </c>
    </row>
    <row r="13" spans="1:38">
      <c r="A13" s="28">
        <f>IF(B13="","",SalePrefix&amp;TEXT(ROW()-4,"0000"))</f>
        <v>0</v>
      </c>
      <c r="E13" s="15">
        <f>IF(D13="","",IFERROR(INDEX(Clients!$B$5:$B$504,MATCH(D13,Clients!$A$5:$A$504,0)),"Walk-in"))</f>
        <v>0</v>
      </c>
      <c r="G13" s="15">
        <f>IF(F13="","",IFERROR(INDEX(Staff!$B$5:$B$44,MATCH(F13,Staff!$A$5:$A$44,0)),"House"))</f>
        <v>0</v>
      </c>
      <c r="R13" s="15">
        <f>IF(B13="","",TEXT(B13,"yyyy-mm"))</f>
        <v>0</v>
      </c>
      <c r="S13" s="25">
        <f>IF(B13="","",WEEKNUM(B13,2))</f>
        <v>0</v>
      </c>
      <c r="T13" s="37">
        <f>IF(B13="","",IF(K13="",1,K13))</f>
        <v>0</v>
      </c>
      <c r="U13" s="15">
        <f>IF(B13="","",IF(J13&lt;&gt;"",J13,IF(H13="Retail",IFERROR(INDEX(Inventory!$B$5:$B$304,MATCH(I13,Inventory!$A$5:$A$304,0))&amp;"","Not in Inventory"),IFERROR(INDEX(Services!$B$5:$B$204,MATCH(I13,Services!$A$5:$A$204,0))&amp;"","Not in Services"))))</f>
        <v>0</v>
      </c>
      <c r="V13" s="26">
        <f>IF(B13="","",IF(L13&lt;&gt;"",L13,IF(H13="Retail",IFERROR(INDEX(Inventory!$I$5:$I$304,MATCH(I13,Inventory!$A$5:$A$304,0))*1,0),IFERROR(INDEX(Services!$G$5:$G$204,MATCH(I13,Services!$A$5:$A$204,0))*1,0))))</f>
        <v>0</v>
      </c>
      <c r="W13" s="26">
        <f>IF(B13="","",ROUND(T13*V13,2))</f>
        <v>0</v>
      </c>
      <c r="X13" s="26">
        <f>IF(B13="","",ROUND(IF(M13="",0,W13*M13)+IF(N13="",0,N13),2))</f>
        <v>0</v>
      </c>
      <c r="Y13" s="26">
        <f>IF(B13="","",ROUND(W13-X13-IF(P13="",0,P13),2))</f>
        <v>0</v>
      </c>
      <c r="Z13" s="26">
        <f>IF(B13="","",IF(H13="Retail",IF(TaxOnRetail="Yes",ROUND(Y13*TaxRate,2),0),IF(H13="Service",IF(TaxOnServices="Yes",ROUND(Y13*TaxRate,2),0),0)))</f>
        <v>0</v>
      </c>
      <c r="AA13" s="26">
        <f>IF(B13="","",ROUND(Y13+Z13,2))</f>
        <v>0</v>
      </c>
      <c r="AB13" s="26">
        <f>IF(B13="","",ROUND(T13*IF(H13="Retail",IFERROR(INDEX(Inventory!$H$5:$H$304,MATCH(I13,Inventory!$A$5:$A$304,0))*1,0),IFERROR(INDEX(Services!$Q$5:$Q$204,MATCH(I13,Services!$A$5:$A$204,0))*1,0)),2))</f>
        <v>0</v>
      </c>
      <c r="AC13" s="26">
        <f>IF(B13="","",ROUND(Y13-AB13,2))</f>
        <v>0</v>
      </c>
      <c r="AD13" s="38">
        <f>IF(B13="","",IF(C13="","No",IF(COUNTIFS($C$5:C13,C13)=1,"Yes","No")))</f>
        <v>0</v>
      </c>
      <c r="AE13" s="26">
        <f>IF(B13="","",ROUND(SUMIFS(Payments!$G$5:$G$1204,Payments!$H$5:$H$1204,A13,Payments!$Q$5:$Q$1204,"Yes"),2))</f>
        <v>0</v>
      </c>
      <c r="AF13" s="26">
        <f>IF(B13="","",IF(AD13="No",0,ROUND(SUMIFS(Payments!$G$5:$G$1204,Payments!$I$5:$I$1204,C13,Payments!$H$5:$H$1204,"",Payments!$Q$5:$Q$1204,"Yes"),2)))</f>
        <v>0</v>
      </c>
      <c r="AG13" s="26">
        <f>IF(B13="","",ROUND(AE13+AF13,2))</f>
        <v>0</v>
      </c>
      <c r="AH13" s="26">
        <f>IF(B13="","",ROUND(AA13-AG13,2))</f>
        <v>0</v>
      </c>
      <c r="AI13" s="39">
        <f>IF(B13="","",IF(AA13&lt;=0,"No charge",IF(AH13&lt;=0.004,"Paid",IF(AG13&lt;=0.004,"Unpaid","Part paid"))))</f>
        <v>0</v>
      </c>
      <c r="AJ13" s="38">
        <f>IF(B13="","",IF(H13&lt;&gt;"Service","",IF(D13="","No",IF(COUNTIFS($D$5:$D$1204,D13,$B$5:$B$1204,B13,$H$5:$H$1204,"Retail")&gt;0,"Yes","No"))))</f>
        <v>0</v>
      </c>
      <c r="AK13" s="25">
        <f>IF(B13="","",COUNTIFS($Y$5:$Y$1204,"&gt;"&amp;Y13)+COUNTIFS($Y$5:Y13,Y13))</f>
        <v>0</v>
      </c>
      <c r="AL13" s="39">
        <f>IF(B13="","",IF(H13="","Add - what kind of sale is this?",IF(IF(V13&lt;=0,P13="",FALSE),"Check - no price found for this item",IF(F13="","Assign - nobody credited",IF(AH13&gt;0.004,"Unpaid - balance outstanding",IF(AC13&lt;0,"Loss - sold below cost",IF(X13&gt;W13*0.5,"Check - more than half off","OK")))))))</f>
        <v>0</v>
      </c>
    </row>
    <row r="14" spans="1:38">
      <c r="A14" s="28">
        <f>IF(B14="","",SalePrefix&amp;TEXT(ROW()-4,"0000"))</f>
        <v>0</v>
      </c>
      <c r="E14" s="15">
        <f>IF(D14="","",IFERROR(INDEX(Clients!$B$5:$B$504,MATCH(D14,Clients!$A$5:$A$504,0)),"Walk-in"))</f>
        <v>0</v>
      </c>
      <c r="G14" s="15">
        <f>IF(F14="","",IFERROR(INDEX(Staff!$B$5:$B$44,MATCH(F14,Staff!$A$5:$A$44,0)),"House"))</f>
        <v>0</v>
      </c>
      <c r="R14" s="15">
        <f>IF(B14="","",TEXT(B14,"yyyy-mm"))</f>
        <v>0</v>
      </c>
      <c r="S14" s="25">
        <f>IF(B14="","",WEEKNUM(B14,2))</f>
        <v>0</v>
      </c>
      <c r="T14" s="37">
        <f>IF(B14="","",IF(K14="",1,K14))</f>
        <v>0</v>
      </c>
      <c r="U14" s="15">
        <f>IF(B14="","",IF(J14&lt;&gt;"",J14,IF(H14="Retail",IFERROR(INDEX(Inventory!$B$5:$B$304,MATCH(I14,Inventory!$A$5:$A$304,0))&amp;"","Not in Inventory"),IFERROR(INDEX(Services!$B$5:$B$204,MATCH(I14,Services!$A$5:$A$204,0))&amp;"","Not in Services"))))</f>
        <v>0</v>
      </c>
      <c r="V14" s="26">
        <f>IF(B14="","",IF(L14&lt;&gt;"",L14,IF(H14="Retail",IFERROR(INDEX(Inventory!$I$5:$I$304,MATCH(I14,Inventory!$A$5:$A$304,0))*1,0),IFERROR(INDEX(Services!$G$5:$G$204,MATCH(I14,Services!$A$5:$A$204,0))*1,0))))</f>
        <v>0</v>
      </c>
      <c r="W14" s="26">
        <f>IF(B14="","",ROUND(T14*V14,2))</f>
        <v>0</v>
      </c>
      <c r="X14" s="26">
        <f>IF(B14="","",ROUND(IF(M14="",0,W14*M14)+IF(N14="",0,N14),2))</f>
        <v>0</v>
      </c>
      <c r="Y14" s="26">
        <f>IF(B14="","",ROUND(W14-X14-IF(P14="",0,P14),2))</f>
        <v>0</v>
      </c>
      <c r="Z14" s="26">
        <f>IF(B14="","",IF(H14="Retail",IF(TaxOnRetail="Yes",ROUND(Y14*TaxRate,2),0),IF(H14="Service",IF(TaxOnServices="Yes",ROUND(Y14*TaxRate,2),0),0)))</f>
        <v>0</v>
      </c>
      <c r="AA14" s="26">
        <f>IF(B14="","",ROUND(Y14+Z14,2))</f>
        <v>0</v>
      </c>
      <c r="AB14" s="26">
        <f>IF(B14="","",ROUND(T14*IF(H14="Retail",IFERROR(INDEX(Inventory!$H$5:$H$304,MATCH(I14,Inventory!$A$5:$A$304,0))*1,0),IFERROR(INDEX(Services!$Q$5:$Q$204,MATCH(I14,Services!$A$5:$A$204,0))*1,0)),2))</f>
        <v>0</v>
      </c>
      <c r="AC14" s="26">
        <f>IF(B14="","",ROUND(Y14-AB14,2))</f>
        <v>0</v>
      </c>
      <c r="AD14" s="38">
        <f>IF(B14="","",IF(C14="","No",IF(COUNTIFS($C$5:C14,C14)=1,"Yes","No")))</f>
        <v>0</v>
      </c>
      <c r="AE14" s="26">
        <f>IF(B14="","",ROUND(SUMIFS(Payments!$G$5:$G$1204,Payments!$H$5:$H$1204,A14,Payments!$Q$5:$Q$1204,"Yes"),2))</f>
        <v>0</v>
      </c>
      <c r="AF14" s="26">
        <f>IF(B14="","",IF(AD14="No",0,ROUND(SUMIFS(Payments!$G$5:$G$1204,Payments!$I$5:$I$1204,C14,Payments!$H$5:$H$1204,"",Payments!$Q$5:$Q$1204,"Yes"),2)))</f>
        <v>0</v>
      </c>
      <c r="AG14" s="26">
        <f>IF(B14="","",ROUND(AE14+AF14,2))</f>
        <v>0</v>
      </c>
      <c r="AH14" s="26">
        <f>IF(B14="","",ROUND(AA14-AG14,2))</f>
        <v>0</v>
      </c>
      <c r="AI14" s="39">
        <f>IF(B14="","",IF(AA14&lt;=0,"No charge",IF(AH14&lt;=0.004,"Paid",IF(AG14&lt;=0.004,"Unpaid","Part paid"))))</f>
        <v>0</v>
      </c>
      <c r="AJ14" s="38">
        <f>IF(B14="","",IF(H14&lt;&gt;"Service","",IF(D14="","No",IF(COUNTIFS($D$5:$D$1204,D14,$B$5:$B$1204,B14,$H$5:$H$1204,"Retail")&gt;0,"Yes","No"))))</f>
        <v>0</v>
      </c>
      <c r="AK14" s="25">
        <f>IF(B14="","",COUNTIFS($Y$5:$Y$1204,"&gt;"&amp;Y14)+COUNTIFS($Y$5:Y14,Y14))</f>
        <v>0</v>
      </c>
      <c r="AL14" s="39">
        <f>IF(B14="","",IF(H14="","Add - what kind of sale is this?",IF(IF(V14&lt;=0,P14="",FALSE),"Check - no price found for this item",IF(F14="","Assign - nobody credited",IF(AH14&gt;0.004,"Unpaid - balance outstanding",IF(AC14&lt;0,"Loss - sold below cost",IF(X14&gt;W14*0.5,"Check - more than half off","OK")))))))</f>
        <v>0</v>
      </c>
    </row>
    <row r="15" spans="1:38">
      <c r="A15" s="28">
        <f>IF(B15="","",SalePrefix&amp;TEXT(ROW()-4,"0000"))</f>
        <v>0</v>
      </c>
      <c r="E15" s="15">
        <f>IF(D15="","",IFERROR(INDEX(Clients!$B$5:$B$504,MATCH(D15,Clients!$A$5:$A$504,0)),"Walk-in"))</f>
        <v>0</v>
      </c>
      <c r="G15" s="15">
        <f>IF(F15="","",IFERROR(INDEX(Staff!$B$5:$B$44,MATCH(F15,Staff!$A$5:$A$44,0)),"House"))</f>
        <v>0</v>
      </c>
      <c r="R15" s="15">
        <f>IF(B15="","",TEXT(B15,"yyyy-mm"))</f>
        <v>0</v>
      </c>
      <c r="S15" s="25">
        <f>IF(B15="","",WEEKNUM(B15,2))</f>
        <v>0</v>
      </c>
      <c r="T15" s="37">
        <f>IF(B15="","",IF(K15="",1,K15))</f>
        <v>0</v>
      </c>
      <c r="U15" s="15">
        <f>IF(B15="","",IF(J15&lt;&gt;"",J15,IF(H15="Retail",IFERROR(INDEX(Inventory!$B$5:$B$304,MATCH(I15,Inventory!$A$5:$A$304,0))&amp;"","Not in Inventory"),IFERROR(INDEX(Services!$B$5:$B$204,MATCH(I15,Services!$A$5:$A$204,0))&amp;"","Not in Services"))))</f>
        <v>0</v>
      </c>
      <c r="V15" s="26">
        <f>IF(B15="","",IF(L15&lt;&gt;"",L15,IF(H15="Retail",IFERROR(INDEX(Inventory!$I$5:$I$304,MATCH(I15,Inventory!$A$5:$A$304,0))*1,0),IFERROR(INDEX(Services!$G$5:$G$204,MATCH(I15,Services!$A$5:$A$204,0))*1,0))))</f>
        <v>0</v>
      </c>
      <c r="W15" s="26">
        <f>IF(B15="","",ROUND(T15*V15,2))</f>
        <v>0</v>
      </c>
      <c r="X15" s="26">
        <f>IF(B15="","",ROUND(IF(M15="",0,W15*M15)+IF(N15="",0,N15),2))</f>
        <v>0</v>
      </c>
      <c r="Y15" s="26">
        <f>IF(B15="","",ROUND(W15-X15-IF(P15="",0,P15),2))</f>
        <v>0</v>
      </c>
      <c r="Z15" s="26">
        <f>IF(B15="","",IF(H15="Retail",IF(TaxOnRetail="Yes",ROUND(Y15*TaxRate,2),0),IF(H15="Service",IF(TaxOnServices="Yes",ROUND(Y15*TaxRate,2),0),0)))</f>
        <v>0</v>
      </c>
      <c r="AA15" s="26">
        <f>IF(B15="","",ROUND(Y15+Z15,2))</f>
        <v>0</v>
      </c>
      <c r="AB15" s="26">
        <f>IF(B15="","",ROUND(T15*IF(H15="Retail",IFERROR(INDEX(Inventory!$H$5:$H$304,MATCH(I15,Inventory!$A$5:$A$304,0))*1,0),IFERROR(INDEX(Services!$Q$5:$Q$204,MATCH(I15,Services!$A$5:$A$204,0))*1,0)),2))</f>
        <v>0</v>
      </c>
      <c r="AC15" s="26">
        <f>IF(B15="","",ROUND(Y15-AB15,2))</f>
        <v>0</v>
      </c>
      <c r="AD15" s="38">
        <f>IF(B15="","",IF(C15="","No",IF(COUNTIFS($C$5:C15,C15)=1,"Yes","No")))</f>
        <v>0</v>
      </c>
      <c r="AE15" s="26">
        <f>IF(B15="","",ROUND(SUMIFS(Payments!$G$5:$G$1204,Payments!$H$5:$H$1204,A15,Payments!$Q$5:$Q$1204,"Yes"),2))</f>
        <v>0</v>
      </c>
      <c r="AF15" s="26">
        <f>IF(B15="","",IF(AD15="No",0,ROUND(SUMIFS(Payments!$G$5:$G$1204,Payments!$I$5:$I$1204,C15,Payments!$H$5:$H$1204,"",Payments!$Q$5:$Q$1204,"Yes"),2)))</f>
        <v>0</v>
      </c>
      <c r="AG15" s="26">
        <f>IF(B15="","",ROUND(AE15+AF15,2))</f>
        <v>0</v>
      </c>
      <c r="AH15" s="26">
        <f>IF(B15="","",ROUND(AA15-AG15,2))</f>
        <v>0</v>
      </c>
      <c r="AI15" s="39">
        <f>IF(B15="","",IF(AA15&lt;=0,"No charge",IF(AH15&lt;=0.004,"Paid",IF(AG15&lt;=0.004,"Unpaid","Part paid"))))</f>
        <v>0</v>
      </c>
      <c r="AJ15" s="38">
        <f>IF(B15="","",IF(H15&lt;&gt;"Service","",IF(D15="","No",IF(COUNTIFS($D$5:$D$1204,D15,$B$5:$B$1204,B15,$H$5:$H$1204,"Retail")&gt;0,"Yes","No"))))</f>
        <v>0</v>
      </c>
      <c r="AK15" s="25">
        <f>IF(B15="","",COUNTIFS($Y$5:$Y$1204,"&gt;"&amp;Y15)+COUNTIFS($Y$5:Y15,Y15))</f>
        <v>0</v>
      </c>
      <c r="AL15" s="39">
        <f>IF(B15="","",IF(H15="","Add - what kind of sale is this?",IF(IF(V15&lt;=0,P15="",FALSE),"Check - no price found for this item",IF(F15="","Assign - nobody credited",IF(AH15&gt;0.004,"Unpaid - balance outstanding",IF(AC15&lt;0,"Loss - sold below cost",IF(X15&gt;W15*0.5,"Check - more than half off","OK")))))))</f>
        <v>0</v>
      </c>
    </row>
    <row r="16" spans="1:38">
      <c r="A16" s="28">
        <f>IF(B16="","",SalePrefix&amp;TEXT(ROW()-4,"0000"))</f>
        <v>0</v>
      </c>
      <c r="E16" s="15">
        <f>IF(D16="","",IFERROR(INDEX(Clients!$B$5:$B$504,MATCH(D16,Clients!$A$5:$A$504,0)),"Walk-in"))</f>
        <v>0</v>
      </c>
      <c r="G16" s="15">
        <f>IF(F16="","",IFERROR(INDEX(Staff!$B$5:$B$44,MATCH(F16,Staff!$A$5:$A$44,0)),"House"))</f>
        <v>0</v>
      </c>
      <c r="R16" s="15">
        <f>IF(B16="","",TEXT(B16,"yyyy-mm"))</f>
        <v>0</v>
      </c>
      <c r="S16" s="25">
        <f>IF(B16="","",WEEKNUM(B16,2))</f>
        <v>0</v>
      </c>
      <c r="T16" s="37">
        <f>IF(B16="","",IF(K16="",1,K16))</f>
        <v>0</v>
      </c>
      <c r="U16" s="15">
        <f>IF(B16="","",IF(J16&lt;&gt;"",J16,IF(H16="Retail",IFERROR(INDEX(Inventory!$B$5:$B$304,MATCH(I16,Inventory!$A$5:$A$304,0))&amp;"","Not in Inventory"),IFERROR(INDEX(Services!$B$5:$B$204,MATCH(I16,Services!$A$5:$A$204,0))&amp;"","Not in Services"))))</f>
        <v>0</v>
      </c>
      <c r="V16" s="26">
        <f>IF(B16="","",IF(L16&lt;&gt;"",L16,IF(H16="Retail",IFERROR(INDEX(Inventory!$I$5:$I$304,MATCH(I16,Inventory!$A$5:$A$304,0))*1,0),IFERROR(INDEX(Services!$G$5:$G$204,MATCH(I16,Services!$A$5:$A$204,0))*1,0))))</f>
        <v>0</v>
      </c>
      <c r="W16" s="26">
        <f>IF(B16="","",ROUND(T16*V16,2))</f>
        <v>0</v>
      </c>
      <c r="X16" s="26">
        <f>IF(B16="","",ROUND(IF(M16="",0,W16*M16)+IF(N16="",0,N16),2))</f>
        <v>0</v>
      </c>
      <c r="Y16" s="26">
        <f>IF(B16="","",ROUND(W16-X16-IF(P16="",0,P16),2))</f>
        <v>0</v>
      </c>
      <c r="Z16" s="26">
        <f>IF(B16="","",IF(H16="Retail",IF(TaxOnRetail="Yes",ROUND(Y16*TaxRate,2),0),IF(H16="Service",IF(TaxOnServices="Yes",ROUND(Y16*TaxRate,2),0),0)))</f>
        <v>0</v>
      </c>
      <c r="AA16" s="26">
        <f>IF(B16="","",ROUND(Y16+Z16,2))</f>
        <v>0</v>
      </c>
      <c r="AB16" s="26">
        <f>IF(B16="","",ROUND(T16*IF(H16="Retail",IFERROR(INDEX(Inventory!$H$5:$H$304,MATCH(I16,Inventory!$A$5:$A$304,0))*1,0),IFERROR(INDEX(Services!$Q$5:$Q$204,MATCH(I16,Services!$A$5:$A$204,0))*1,0)),2))</f>
        <v>0</v>
      </c>
      <c r="AC16" s="26">
        <f>IF(B16="","",ROUND(Y16-AB16,2))</f>
        <v>0</v>
      </c>
      <c r="AD16" s="38">
        <f>IF(B16="","",IF(C16="","No",IF(COUNTIFS($C$5:C16,C16)=1,"Yes","No")))</f>
        <v>0</v>
      </c>
      <c r="AE16" s="26">
        <f>IF(B16="","",ROUND(SUMIFS(Payments!$G$5:$G$1204,Payments!$H$5:$H$1204,A16,Payments!$Q$5:$Q$1204,"Yes"),2))</f>
        <v>0</v>
      </c>
      <c r="AF16" s="26">
        <f>IF(B16="","",IF(AD16="No",0,ROUND(SUMIFS(Payments!$G$5:$G$1204,Payments!$I$5:$I$1204,C16,Payments!$H$5:$H$1204,"",Payments!$Q$5:$Q$1204,"Yes"),2)))</f>
        <v>0</v>
      </c>
      <c r="AG16" s="26">
        <f>IF(B16="","",ROUND(AE16+AF16,2))</f>
        <v>0</v>
      </c>
      <c r="AH16" s="26">
        <f>IF(B16="","",ROUND(AA16-AG16,2))</f>
        <v>0</v>
      </c>
      <c r="AI16" s="39">
        <f>IF(B16="","",IF(AA16&lt;=0,"No charge",IF(AH16&lt;=0.004,"Paid",IF(AG16&lt;=0.004,"Unpaid","Part paid"))))</f>
        <v>0</v>
      </c>
      <c r="AJ16" s="38">
        <f>IF(B16="","",IF(H16&lt;&gt;"Service","",IF(D16="","No",IF(COUNTIFS($D$5:$D$1204,D16,$B$5:$B$1204,B16,$H$5:$H$1204,"Retail")&gt;0,"Yes","No"))))</f>
        <v>0</v>
      </c>
      <c r="AK16" s="25">
        <f>IF(B16="","",COUNTIFS($Y$5:$Y$1204,"&gt;"&amp;Y16)+COUNTIFS($Y$5:Y16,Y16))</f>
        <v>0</v>
      </c>
      <c r="AL16" s="39">
        <f>IF(B16="","",IF(H16="","Add - what kind of sale is this?",IF(IF(V16&lt;=0,P16="",FALSE),"Check - no price found for this item",IF(F16="","Assign - nobody credited",IF(AH16&gt;0.004,"Unpaid - balance outstanding",IF(AC16&lt;0,"Loss - sold below cost",IF(X16&gt;W16*0.5,"Check - more than half off","OK")))))))</f>
        <v>0</v>
      </c>
    </row>
    <row r="17" spans="1:38">
      <c r="A17" s="28">
        <f>IF(B17="","",SalePrefix&amp;TEXT(ROW()-4,"0000"))</f>
        <v>0</v>
      </c>
      <c r="E17" s="15">
        <f>IF(D17="","",IFERROR(INDEX(Clients!$B$5:$B$504,MATCH(D17,Clients!$A$5:$A$504,0)),"Walk-in"))</f>
        <v>0</v>
      </c>
      <c r="G17" s="15">
        <f>IF(F17="","",IFERROR(INDEX(Staff!$B$5:$B$44,MATCH(F17,Staff!$A$5:$A$44,0)),"House"))</f>
        <v>0</v>
      </c>
      <c r="R17" s="15">
        <f>IF(B17="","",TEXT(B17,"yyyy-mm"))</f>
        <v>0</v>
      </c>
      <c r="S17" s="25">
        <f>IF(B17="","",WEEKNUM(B17,2))</f>
        <v>0</v>
      </c>
      <c r="T17" s="37">
        <f>IF(B17="","",IF(K17="",1,K17))</f>
        <v>0</v>
      </c>
      <c r="U17" s="15">
        <f>IF(B17="","",IF(J17&lt;&gt;"",J17,IF(H17="Retail",IFERROR(INDEX(Inventory!$B$5:$B$304,MATCH(I17,Inventory!$A$5:$A$304,0))&amp;"","Not in Inventory"),IFERROR(INDEX(Services!$B$5:$B$204,MATCH(I17,Services!$A$5:$A$204,0))&amp;"","Not in Services"))))</f>
        <v>0</v>
      </c>
      <c r="V17" s="26">
        <f>IF(B17="","",IF(L17&lt;&gt;"",L17,IF(H17="Retail",IFERROR(INDEX(Inventory!$I$5:$I$304,MATCH(I17,Inventory!$A$5:$A$304,0))*1,0),IFERROR(INDEX(Services!$G$5:$G$204,MATCH(I17,Services!$A$5:$A$204,0))*1,0))))</f>
        <v>0</v>
      </c>
      <c r="W17" s="26">
        <f>IF(B17="","",ROUND(T17*V17,2))</f>
        <v>0</v>
      </c>
      <c r="X17" s="26">
        <f>IF(B17="","",ROUND(IF(M17="",0,W17*M17)+IF(N17="",0,N17),2))</f>
        <v>0</v>
      </c>
      <c r="Y17" s="26">
        <f>IF(B17="","",ROUND(W17-X17-IF(P17="",0,P17),2))</f>
        <v>0</v>
      </c>
      <c r="Z17" s="26">
        <f>IF(B17="","",IF(H17="Retail",IF(TaxOnRetail="Yes",ROUND(Y17*TaxRate,2),0),IF(H17="Service",IF(TaxOnServices="Yes",ROUND(Y17*TaxRate,2),0),0)))</f>
        <v>0</v>
      </c>
      <c r="AA17" s="26">
        <f>IF(B17="","",ROUND(Y17+Z17,2))</f>
        <v>0</v>
      </c>
      <c r="AB17" s="26">
        <f>IF(B17="","",ROUND(T17*IF(H17="Retail",IFERROR(INDEX(Inventory!$H$5:$H$304,MATCH(I17,Inventory!$A$5:$A$304,0))*1,0),IFERROR(INDEX(Services!$Q$5:$Q$204,MATCH(I17,Services!$A$5:$A$204,0))*1,0)),2))</f>
        <v>0</v>
      </c>
      <c r="AC17" s="26">
        <f>IF(B17="","",ROUND(Y17-AB17,2))</f>
        <v>0</v>
      </c>
      <c r="AD17" s="38">
        <f>IF(B17="","",IF(C17="","No",IF(COUNTIFS($C$5:C17,C17)=1,"Yes","No")))</f>
        <v>0</v>
      </c>
      <c r="AE17" s="26">
        <f>IF(B17="","",ROUND(SUMIFS(Payments!$G$5:$G$1204,Payments!$H$5:$H$1204,A17,Payments!$Q$5:$Q$1204,"Yes"),2))</f>
        <v>0</v>
      </c>
      <c r="AF17" s="26">
        <f>IF(B17="","",IF(AD17="No",0,ROUND(SUMIFS(Payments!$G$5:$G$1204,Payments!$I$5:$I$1204,C17,Payments!$H$5:$H$1204,"",Payments!$Q$5:$Q$1204,"Yes"),2)))</f>
        <v>0</v>
      </c>
      <c r="AG17" s="26">
        <f>IF(B17="","",ROUND(AE17+AF17,2))</f>
        <v>0</v>
      </c>
      <c r="AH17" s="26">
        <f>IF(B17="","",ROUND(AA17-AG17,2))</f>
        <v>0</v>
      </c>
      <c r="AI17" s="39">
        <f>IF(B17="","",IF(AA17&lt;=0,"No charge",IF(AH17&lt;=0.004,"Paid",IF(AG17&lt;=0.004,"Unpaid","Part paid"))))</f>
        <v>0</v>
      </c>
      <c r="AJ17" s="38">
        <f>IF(B17="","",IF(H17&lt;&gt;"Service","",IF(D17="","No",IF(COUNTIFS($D$5:$D$1204,D17,$B$5:$B$1204,B17,$H$5:$H$1204,"Retail")&gt;0,"Yes","No"))))</f>
        <v>0</v>
      </c>
      <c r="AK17" s="25">
        <f>IF(B17="","",COUNTIFS($Y$5:$Y$1204,"&gt;"&amp;Y17)+COUNTIFS($Y$5:Y17,Y17))</f>
        <v>0</v>
      </c>
      <c r="AL17" s="39">
        <f>IF(B17="","",IF(H17="","Add - what kind of sale is this?",IF(IF(V17&lt;=0,P17="",FALSE),"Check - no price found for this item",IF(F17="","Assign - nobody credited",IF(AH17&gt;0.004,"Unpaid - balance outstanding",IF(AC17&lt;0,"Loss - sold below cost",IF(X17&gt;W17*0.5,"Check - more than half off","OK")))))))</f>
        <v>0</v>
      </c>
    </row>
    <row r="18" spans="1:38">
      <c r="A18" s="28">
        <f>IF(B18="","",SalePrefix&amp;TEXT(ROW()-4,"0000"))</f>
        <v>0</v>
      </c>
      <c r="E18" s="15">
        <f>IF(D18="","",IFERROR(INDEX(Clients!$B$5:$B$504,MATCH(D18,Clients!$A$5:$A$504,0)),"Walk-in"))</f>
        <v>0</v>
      </c>
      <c r="G18" s="15">
        <f>IF(F18="","",IFERROR(INDEX(Staff!$B$5:$B$44,MATCH(F18,Staff!$A$5:$A$44,0)),"House"))</f>
        <v>0</v>
      </c>
      <c r="R18" s="15">
        <f>IF(B18="","",TEXT(B18,"yyyy-mm"))</f>
        <v>0</v>
      </c>
      <c r="S18" s="25">
        <f>IF(B18="","",WEEKNUM(B18,2))</f>
        <v>0</v>
      </c>
      <c r="T18" s="37">
        <f>IF(B18="","",IF(K18="",1,K18))</f>
        <v>0</v>
      </c>
      <c r="U18" s="15">
        <f>IF(B18="","",IF(J18&lt;&gt;"",J18,IF(H18="Retail",IFERROR(INDEX(Inventory!$B$5:$B$304,MATCH(I18,Inventory!$A$5:$A$304,0))&amp;"","Not in Inventory"),IFERROR(INDEX(Services!$B$5:$B$204,MATCH(I18,Services!$A$5:$A$204,0))&amp;"","Not in Services"))))</f>
        <v>0</v>
      </c>
      <c r="V18" s="26">
        <f>IF(B18="","",IF(L18&lt;&gt;"",L18,IF(H18="Retail",IFERROR(INDEX(Inventory!$I$5:$I$304,MATCH(I18,Inventory!$A$5:$A$304,0))*1,0),IFERROR(INDEX(Services!$G$5:$G$204,MATCH(I18,Services!$A$5:$A$204,0))*1,0))))</f>
        <v>0</v>
      </c>
      <c r="W18" s="26">
        <f>IF(B18="","",ROUND(T18*V18,2))</f>
        <v>0</v>
      </c>
      <c r="X18" s="26">
        <f>IF(B18="","",ROUND(IF(M18="",0,W18*M18)+IF(N18="",0,N18),2))</f>
        <v>0</v>
      </c>
      <c r="Y18" s="26">
        <f>IF(B18="","",ROUND(W18-X18-IF(P18="",0,P18),2))</f>
        <v>0</v>
      </c>
      <c r="Z18" s="26">
        <f>IF(B18="","",IF(H18="Retail",IF(TaxOnRetail="Yes",ROUND(Y18*TaxRate,2),0),IF(H18="Service",IF(TaxOnServices="Yes",ROUND(Y18*TaxRate,2),0),0)))</f>
        <v>0</v>
      </c>
      <c r="AA18" s="26">
        <f>IF(B18="","",ROUND(Y18+Z18,2))</f>
        <v>0</v>
      </c>
      <c r="AB18" s="26">
        <f>IF(B18="","",ROUND(T18*IF(H18="Retail",IFERROR(INDEX(Inventory!$H$5:$H$304,MATCH(I18,Inventory!$A$5:$A$304,0))*1,0),IFERROR(INDEX(Services!$Q$5:$Q$204,MATCH(I18,Services!$A$5:$A$204,0))*1,0)),2))</f>
        <v>0</v>
      </c>
      <c r="AC18" s="26">
        <f>IF(B18="","",ROUND(Y18-AB18,2))</f>
        <v>0</v>
      </c>
      <c r="AD18" s="38">
        <f>IF(B18="","",IF(C18="","No",IF(COUNTIFS($C$5:C18,C18)=1,"Yes","No")))</f>
        <v>0</v>
      </c>
      <c r="AE18" s="26">
        <f>IF(B18="","",ROUND(SUMIFS(Payments!$G$5:$G$1204,Payments!$H$5:$H$1204,A18,Payments!$Q$5:$Q$1204,"Yes"),2))</f>
        <v>0</v>
      </c>
      <c r="AF18" s="26">
        <f>IF(B18="","",IF(AD18="No",0,ROUND(SUMIFS(Payments!$G$5:$G$1204,Payments!$I$5:$I$1204,C18,Payments!$H$5:$H$1204,"",Payments!$Q$5:$Q$1204,"Yes"),2)))</f>
        <v>0</v>
      </c>
      <c r="AG18" s="26">
        <f>IF(B18="","",ROUND(AE18+AF18,2))</f>
        <v>0</v>
      </c>
      <c r="AH18" s="26">
        <f>IF(B18="","",ROUND(AA18-AG18,2))</f>
        <v>0</v>
      </c>
      <c r="AI18" s="39">
        <f>IF(B18="","",IF(AA18&lt;=0,"No charge",IF(AH18&lt;=0.004,"Paid",IF(AG18&lt;=0.004,"Unpaid","Part paid"))))</f>
        <v>0</v>
      </c>
      <c r="AJ18" s="38">
        <f>IF(B18="","",IF(H18&lt;&gt;"Service","",IF(D18="","No",IF(COUNTIFS($D$5:$D$1204,D18,$B$5:$B$1204,B18,$H$5:$H$1204,"Retail")&gt;0,"Yes","No"))))</f>
        <v>0</v>
      </c>
      <c r="AK18" s="25">
        <f>IF(B18="","",COUNTIFS($Y$5:$Y$1204,"&gt;"&amp;Y18)+COUNTIFS($Y$5:Y18,Y18))</f>
        <v>0</v>
      </c>
      <c r="AL18" s="39">
        <f>IF(B18="","",IF(H18="","Add - what kind of sale is this?",IF(IF(V18&lt;=0,P18="",FALSE),"Check - no price found for this item",IF(F18="","Assign - nobody credited",IF(AH18&gt;0.004,"Unpaid - balance outstanding",IF(AC18&lt;0,"Loss - sold below cost",IF(X18&gt;W18*0.5,"Check - more than half off","OK")))))))</f>
        <v>0</v>
      </c>
    </row>
    <row r="19" spans="1:38">
      <c r="A19" s="28">
        <f>IF(B19="","",SalePrefix&amp;TEXT(ROW()-4,"0000"))</f>
        <v>0</v>
      </c>
      <c r="E19" s="15">
        <f>IF(D19="","",IFERROR(INDEX(Clients!$B$5:$B$504,MATCH(D19,Clients!$A$5:$A$504,0)),"Walk-in"))</f>
        <v>0</v>
      </c>
      <c r="G19" s="15">
        <f>IF(F19="","",IFERROR(INDEX(Staff!$B$5:$B$44,MATCH(F19,Staff!$A$5:$A$44,0)),"House"))</f>
        <v>0</v>
      </c>
      <c r="R19" s="15">
        <f>IF(B19="","",TEXT(B19,"yyyy-mm"))</f>
        <v>0</v>
      </c>
      <c r="S19" s="25">
        <f>IF(B19="","",WEEKNUM(B19,2))</f>
        <v>0</v>
      </c>
      <c r="T19" s="37">
        <f>IF(B19="","",IF(K19="",1,K19))</f>
        <v>0</v>
      </c>
      <c r="U19" s="15">
        <f>IF(B19="","",IF(J19&lt;&gt;"",J19,IF(H19="Retail",IFERROR(INDEX(Inventory!$B$5:$B$304,MATCH(I19,Inventory!$A$5:$A$304,0))&amp;"","Not in Inventory"),IFERROR(INDEX(Services!$B$5:$B$204,MATCH(I19,Services!$A$5:$A$204,0))&amp;"","Not in Services"))))</f>
        <v>0</v>
      </c>
      <c r="V19" s="26">
        <f>IF(B19="","",IF(L19&lt;&gt;"",L19,IF(H19="Retail",IFERROR(INDEX(Inventory!$I$5:$I$304,MATCH(I19,Inventory!$A$5:$A$304,0))*1,0),IFERROR(INDEX(Services!$G$5:$G$204,MATCH(I19,Services!$A$5:$A$204,0))*1,0))))</f>
        <v>0</v>
      </c>
      <c r="W19" s="26">
        <f>IF(B19="","",ROUND(T19*V19,2))</f>
        <v>0</v>
      </c>
      <c r="X19" s="26">
        <f>IF(B19="","",ROUND(IF(M19="",0,W19*M19)+IF(N19="",0,N19),2))</f>
        <v>0</v>
      </c>
      <c r="Y19" s="26">
        <f>IF(B19="","",ROUND(W19-X19-IF(P19="",0,P19),2))</f>
        <v>0</v>
      </c>
      <c r="Z19" s="26">
        <f>IF(B19="","",IF(H19="Retail",IF(TaxOnRetail="Yes",ROUND(Y19*TaxRate,2),0),IF(H19="Service",IF(TaxOnServices="Yes",ROUND(Y19*TaxRate,2),0),0)))</f>
        <v>0</v>
      </c>
      <c r="AA19" s="26">
        <f>IF(B19="","",ROUND(Y19+Z19,2))</f>
        <v>0</v>
      </c>
      <c r="AB19" s="26">
        <f>IF(B19="","",ROUND(T19*IF(H19="Retail",IFERROR(INDEX(Inventory!$H$5:$H$304,MATCH(I19,Inventory!$A$5:$A$304,0))*1,0),IFERROR(INDEX(Services!$Q$5:$Q$204,MATCH(I19,Services!$A$5:$A$204,0))*1,0)),2))</f>
        <v>0</v>
      </c>
      <c r="AC19" s="26">
        <f>IF(B19="","",ROUND(Y19-AB19,2))</f>
        <v>0</v>
      </c>
      <c r="AD19" s="38">
        <f>IF(B19="","",IF(C19="","No",IF(COUNTIFS($C$5:C19,C19)=1,"Yes","No")))</f>
        <v>0</v>
      </c>
      <c r="AE19" s="26">
        <f>IF(B19="","",ROUND(SUMIFS(Payments!$G$5:$G$1204,Payments!$H$5:$H$1204,A19,Payments!$Q$5:$Q$1204,"Yes"),2))</f>
        <v>0</v>
      </c>
      <c r="AF19" s="26">
        <f>IF(B19="","",IF(AD19="No",0,ROUND(SUMIFS(Payments!$G$5:$G$1204,Payments!$I$5:$I$1204,C19,Payments!$H$5:$H$1204,"",Payments!$Q$5:$Q$1204,"Yes"),2)))</f>
        <v>0</v>
      </c>
      <c r="AG19" s="26">
        <f>IF(B19="","",ROUND(AE19+AF19,2))</f>
        <v>0</v>
      </c>
      <c r="AH19" s="26">
        <f>IF(B19="","",ROUND(AA19-AG19,2))</f>
        <v>0</v>
      </c>
      <c r="AI19" s="39">
        <f>IF(B19="","",IF(AA19&lt;=0,"No charge",IF(AH19&lt;=0.004,"Paid",IF(AG19&lt;=0.004,"Unpaid","Part paid"))))</f>
        <v>0</v>
      </c>
      <c r="AJ19" s="38">
        <f>IF(B19="","",IF(H19&lt;&gt;"Service","",IF(D19="","No",IF(COUNTIFS($D$5:$D$1204,D19,$B$5:$B$1204,B19,$H$5:$H$1204,"Retail")&gt;0,"Yes","No"))))</f>
        <v>0</v>
      </c>
      <c r="AK19" s="25">
        <f>IF(B19="","",COUNTIFS($Y$5:$Y$1204,"&gt;"&amp;Y19)+COUNTIFS($Y$5:Y19,Y19))</f>
        <v>0</v>
      </c>
      <c r="AL19" s="39">
        <f>IF(B19="","",IF(H19="","Add - what kind of sale is this?",IF(IF(V19&lt;=0,P19="",FALSE),"Check - no price found for this item",IF(F19="","Assign - nobody credited",IF(AH19&gt;0.004,"Unpaid - balance outstanding",IF(AC19&lt;0,"Loss - sold below cost",IF(X19&gt;W19*0.5,"Check - more than half off","OK")))))))</f>
        <v>0</v>
      </c>
    </row>
    <row r="20" spans="1:38">
      <c r="A20" s="28">
        <f>IF(B20="","",SalePrefix&amp;TEXT(ROW()-4,"0000"))</f>
        <v>0</v>
      </c>
      <c r="E20" s="15">
        <f>IF(D20="","",IFERROR(INDEX(Clients!$B$5:$B$504,MATCH(D20,Clients!$A$5:$A$504,0)),"Walk-in"))</f>
        <v>0</v>
      </c>
      <c r="G20" s="15">
        <f>IF(F20="","",IFERROR(INDEX(Staff!$B$5:$B$44,MATCH(F20,Staff!$A$5:$A$44,0)),"House"))</f>
        <v>0</v>
      </c>
      <c r="R20" s="15">
        <f>IF(B20="","",TEXT(B20,"yyyy-mm"))</f>
        <v>0</v>
      </c>
      <c r="S20" s="25">
        <f>IF(B20="","",WEEKNUM(B20,2))</f>
        <v>0</v>
      </c>
      <c r="T20" s="37">
        <f>IF(B20="","",IF(K20="",1,K20))</f>
        <v>0</v>
      </c>
      <c r="U20" s="15">
        <f>IF(B20="","",IF(J20&lt;&gt;"",J20,IF(H20="Retail",IFERROR(INDEX(Inventory!$B$5:$B$304,MATCH(I20,Inventory!$A$5:$A$304,0))&amp;"","Not in Inventory"),IFERROR(INDEX(Services!$B$5:$B$204,MATCH(I20,Services!$A$5:$A$204,0))&amp;"","Not in Services"))))</f>
        <v>0</v>
      </c>
      <c r="V20" s="26">
        <f>IF(B20="","",IF(L20&lt;&gt;"",L20,IF(H20="Retail",IFERROR(INDEX(Inventory!$I$5:$I$304,MATCH(I20,Inventory!$A$5:$A$304,0))*1,0),IFERROR(INDEX(Services!$G$5:$G$204,MATCH(I20,Services!$A$5:$A$204,0))*1,0))))</f>
        <v>0</v>
      </c>
      <c r="W20" s="26">
        <f>IF(B20="","",ROUND(T20*V20,2))</f>
        <v>0</v>
      </c>
      <c r="X20" s="26">
        <f>IF(B20="","",ROUND(IF(M20="",0,W20*M20)+IF(N20="",0,N20),2))</f>
        <v>0</v>
      </c>
      <c r="Y20" s="26">
        <f>IF(B20="","",ROUND(W20-X20-IF(P20="",0,P20),2))</f>
        <v>0</v>
      </c>
      <c r="Z20" s="26">
        <f>IF(B20="","",IF(H20="Retail",IF(TaxOnRetail="Yes",ROUND(Y20*TaxRate,2),0),IF(H20="Service",IF(TaxOnServices="Yes",ROUND(Y20*TaxRate,2),0),0)))</f>
        <v>0</v>
      </c>
      <c r="AA20" s="26">
        <f>IF(B20="","",ROUND(Y20+Z20,2))</f>
        <v>0</v>
      </c>
      <c r="AB20" s="26">
        <f>IF(B20="","",ROUND(T20*IF(H20="Retail",IFERROR(INDEX(Inventory!$H$5:$H$304,MATCH(I20,Inventory!$A$5:$A$304,0))*1,0),IFERROR(INDEX(Services!$Q$5:$Q$204,MATCH(I20,Services!$A$5:$A$204,0))*1,0)),2))</f>
        <v>0</v>
      </c>
      <c r="AC20" s="26">
        <f>IF(B20="","",ROUND(Y20-AB20,2))</f>
        <v>0</v>
      </c>
      <c r="AD20" s="38">
        <f>IF(B20="","",IF(C20="","No",IF(COUNTIFS($C$5:C20,C20)=1,"Yes","No")))</f>
        <v>0</v>
      </c>
      <c r="AE20" s="26">
        <f>IF(B20="","",ROUND(SUMIFS(Payments!$G$5:$G$1204,Payments!$H$5:$H$1204,A20,Payments!$Q$5:$Q$1204,"Yes"),2))</f>
        <v>0</v>
      </c>
      <c r="AF20" s="26">
        <f>IF(B20="","",IF(AD20="No",0,ROUND(SUMIFS(Payments!$G$5:$G$1204,Payments!$I$5:$I$1204,C20,Payments!$H$5:$H$1204,"",Payments!$Q$5:$Q$1204,"Yes"),2)))</f>
        <v>0</v>
      </c>
      <c r="AG20" s="26">
        <f>IF(B20="","",ROUND(AE20+AF20,2))</f>
        <v>0</v>
      </c>
      <c r="AH20" s="26">
        <f>IF(B20="","",ROUND(AA20-AG20,2))</f>
        <v>0</v>
      </c>
      <c r="AI20" s="39">
        <f>IF(B20="","",IF(AA20&lt;=0,"No charge",IF(AH20&lt;=0.004,"Paid",IF(AG20&lt;=0.004,"Unpaid","Part paid"))))</f>
        <v>0</v>
      </c>
      <c r="AJ20" s="38">
        <f>IF(B20="","",IF(H20&lt;&gt;"Service","",IF(D20="","No",IF(COUNTIFS($D$5:$D$1204,D20,$B$5:$B$1204,B20,$H$5:$H$1204,"Retail")&gt;0,"Yes","No"))))</f>
        <v>0</v>
      </c>
      <c r="AK20" s="25">
        <f>IF(B20="","",COUNTIFS($Y$5:$Y$1204,"&gt;"&amp;Y20)+COUNTIFS($Y$5:Y20,Y20))</f>
        <v>0</v>
      </c>
      <c r="AL20" s="39">
        <f>IF(B20="","",IF(H20="","Add - what kind of sale is this?",IF(IF(V20&lt;=0,P20="",FALSE),"Check - no price found for this item",IF(F20="","Assign - nobody credited",IF(AH20&gt;0.004,"Unpaid - balance outstanding",IF(AC20&lt;0,"Loss - sold below cost",IF(X20&gt;W20*0.5,"Check - more than half off","OK")))))))</f>
        <v>0</v>
      </c>
    </row>
    <row r="21" spans="1:38">
      <c r="A21" s="28">
        <f>IF(B21="","",SalePrefix&amp;TEXT(ROW()-4,"0000"))</f>
        <v>0</v>
      </c>
      <c r="E21" s="15">
        <f>IF(D21="","",IFERROR(INDEX(Clients!$B$5:$B$504,MATCH(D21,Clients!$A$5:$A$504,0)),"Walk-in"))</f>
        <v>0</v>
      </c>
      <c r="G21" s="15">
        <f>IF(F21="","",IFERROR(INDEX(Staff!$B$5:$B$44,MATCH(F21,Staff!$A$5:$A$44,0)),"House"))</f>
        <v>0</v>
      </c>
      <c r="R21" s="15">
        <f>IF(B21="","",TEXT(B21,"yyyy-mm"))</f>
        <v>0</v>
      </c>
      <c r="S21" s="25">
        <f>IF(B21="","",WEEKNUM(B21,2))</f>
        <v>0</v>
      </c>
      <c r="T21" s="37">
        <f>IF(B21="","",IF(K21="",1,K21))</f>
        <v>0</v>
      </c>
      <c r="U21" s="15">
        <f>IF(B21="","",IF(J21&lt;&gt;"",J21,IF(H21="Retail",IFERROR(INDEX(Inventory!$B$5:$B$304,MATCH(I21,Inventory!$A$5:$A$304,0))&amp;"","Not in Inventory"),IFERROR(INDEX(Services!$B$5:$B$204,MATCH(I21,Services!$A$5:$A$204,0))&amp;"","Not in Services"))))</f>
        <v>0</v>
      </c>
      <c r="V21" s="26">
        <f>IF(B21="","",IF(L21&lt;&gt;"",L21,IF(H21="Retail",IFERROR(INDEX(Inventory!$I$5:$I$304,MATCH(I21,Inventory!$A$5:$A$304,0))*1,0),IFERROR(INDEX(Services!$G$5:$G$204,MATCH(I21,Services!$A$5:$A$204,0))*1,0))))</f>
        <v>0</v>
      </c>
      <c r="W21" s="26">
        <f>IF(B21="","",ROUND(T21*V21,2))</f>
        <v>0</v>
      </c>
      <c r="X21" s="26">
        <f>IF(B21="","",ROUND(IF(M21="",0,W21*M21)+IF(N21="",0,N21),2))</f>
        <v>0</v>
      </c>
      <c r="Y21" s="26">
        <f>IF(B21="","",ROUND(W21-X21-IF(P21="",0,P21),2))</f>
        <v>0</v>
      </c>
      <c r="Z21" s="26">
        <f>IF(B21="","",IF(H21="Retail",IF(TaxOnRetail="Yes",ROUND(Y21*TaxRate,2),0),IF(H21="Service",IF(TaxOnServices="Yes",ROUND(Y21*TaxRate,2),0),0)))</f>
        <v>0</v>
      </c>
      <c r="AA21" s="26">
        <f>IF(B21="","",ROUND(Y21+Z21,2))</f>
        <v>0</v>
      </c>
      <c r="AB21" s="26">
        <f>IF(B21="","",ROUND(T21*IF(H21="Retail",IFERROR(INDEX(Inventory!$H$5:$H$304,MATCH(I21,Inventory!$A$5:$A$304,0))*1,0),IFERROR(INDEX(Services!$Q$5:$Q$204,MATCH(I21,Services!$A$5:$A$204,0))*1,0)),2))</f>
        <v>0</v>
      </c>
      <c r="AC21" s="26">
        <f>IF(B21="","",ROUND(Y21-AB21,2))</f>
        <v>0</v>
      </c>
      <c r="AD21" s="38">
        <f>IF(B21="","",IF(C21="","No",IF(COUNTIFS($C$5:C21,C21)=1,"Yes","No")))</f>
        <v>0</v>
      </c>
      <c r="AE21" s="26">
        <f>IF(B21="","",ROUND(SUMIFS(Payments!$G$5:$G$1204,Payments!$H$5:$H$1204,A21,Payments!$Q$5:$Q$1204,"Yes"),2))</f>
        <v>0</v>
      </c>
      <c r="AF21" s="26">
        <f>IF(B21="","",IF(AD21="No",0,ROUND(SUMIFS(Payments!$G$5:$G$1204,Payments!$I$5:$I$1204,C21,Payments!$H$5:$H$1204,"",Payments!$Q$5:$Q$1204,"Yes"),2)))</f>
        <v>0</v>
      </c>
      <c r="AG21" s="26">
        <f>IF(B21="","",ROUND(AE21+AF21,2))</f>
        <v>0</v>
      </c>
      <c r="AH21" s="26">
        <f>IF(B21="","",ROUND(AA21-AG21,2))</f>
        <v>0</v>
      </c>
      <c r="AI21" s="39">
        <f>IF(B21="","",IF(AA21&lt;=0,"No charge",IF(AH21&lt;=0.004,"Paid",IF(AG21&lt;=0.004,"Unpaid","Part paid"))))</f>
        <v>0</v>
      </c>
      <c r="AJ21" s="38">
        <f>IF(B21="","",IF(H21&lt;&gt;"Service","",IF(D21="","No",IF(COUNTIFS($D$5:$D$1204,D21,$B$5:$B$1204,B21,$H$5:$H$1204,"Retail")&gt;0,"Yes","No"))))</f>
        <v>0</v>
      </c>
      <c r="AK21" s="25">
        <f>IF(B21="","",COUNTIFS($Y$5:$Y$1204,"&gt;"&amp;Y21)+COUNTIFS($Y$5:Y21,Y21))</f>
        <v>0</v>
      </c>
      <c r="AL21" s="39">
        <f>IF(B21="","",IF(H21="","Add - what kind of sale is this?",IF(IF(V21&lt;=0,P21="",FALSE),"Check - no price found for this item",IF(F21="","Assign - nobody credited",IF(AH21&gt;0.004,"Unpaid - balance outstanding",IF(AC21&lt;0,"Loss - sold below cost",IF(X21&gt;W21*0.5,"Check - more than half off","OK")))))))</f>
        <v>0</v>
      </c>
    </row>
    <row r="22" spans="1:38">
      <c r="A22" s="28">
        <f>IF(B22="","",SalePrefix&amp;TEXT(ROW()-4,"0000"))</f>
        <v>0</v>
      </c>
      <c r="E22" s="15">
        <f>IF(D22="","",IFERROR(INDEX(Clients!$B$5:$B$504,MATCH(D22,Clients!$A$5:$A$504,0)),"Walk-in"))</f>
        <v>0</v>
      </c>
      <c r="G22" s="15">
        <f>IF(F22="","",IFERROR(INDEX(Staff!$B$5:$B$44,MATCH(F22,Staff!$A$5:$A$44,0)),"House"))</f>
        <v>0</v>
      </c>
      <c r="R22" s="15">
        <f>IF(B22="","",TEXT(B22,"yyyy-mm"))</f>
        <v>0</v>
      </c>
      <c r="S22" s="25">
        <f>IF(B22="","",WEEKNUM(B22,2))</f>
        <v>0</v>
      </c>
      <c r="T22" s="37">
        <f>IF(B22="","",IF(K22="",1,K22))</f>
        <v>0</v>
      </c>
      <c r="U22" s="15">
        <f>IF(B22="","",IF(J22&lt;&gt;"",J22,IF(H22="Retail",IFERROR(INDEX(Inventory!$B$5:$B$304,MATCH(I22,Inventory!$A$5:$A$304,0))&amp;"","Not in Inventory"),IFERROR(INDEX(Services!$B$5:$B$204,MATCH(I22,Services!$A$5:$A$204,0))&amp;"","Not in Services"))))</f>
        <v>0</v>
      </c>
      <c r="V22" s="26">
        <f>IF(B22="","",IF(L22&lt;&gt;"",L22,IF(H22="Retail",IFERROR(INDEX(Inventory!$I$5:$I$304,MATCH(I22,Inventory!$A$5:$A$304,0))*1,0),IFERROR(INDEX(Services!$G$5:$G$204,MATCH(I22,Services!$A$5:$A$204,0))*1,0))))</f>
        <v>0</v>
      </c>
      <c r="W22" s="26">
        <f>IF(B22="","",ROUND(T22*V22,2))</f>
        <v>0</v>
      </c>
      <c r="X22" s="26">
        <f>IF(B22="","",ROUND(IF(M22="",0,W22*M22)+IF(N22="",0,N22),2))</f>
        <v>0</v>
      </c>
      <c r="Y22" s="26">
        <f>IF(B22="","",ROUND(W22-X22-IF(P22="",0,P22),2))</f>
        <v>0</v>
      </c>
      <c r="Z22" s="26">
        <f>IF(B22="","",IF(H22="Retail",IF(TaxOnRetail="Yes",ROUND(Y22*TaxRate,2),0),IF(H22="Service",IF(TaxOnServices="Yes",ROUND(Y22*TaxRate,2),0),0)))</f>
        <v>0</v>
      </c>
      <c r="AA22" s="26">
        <f>IF(B22="","",ROUND(Y22+Z22,2))</f>
        <v>0</v>
      </c>
      <c r="AB22" s="26">
        <f>IF(B22="","",ROUND(T22*IF(H22="Retail",IFERROR(INDEX(Inventory!$H$5:$H$304,MATCH(I22,Inventory!$A$5:$A$304,0))*1,0),IFERROR(INDEX(Services!$Q$5:$Q$204,MATCH(I22,Services!$A$5:$A$204,0))*1,0)),2))</f>
        <v>0</v>
      </c>
      <c r="AC22" s="26">
        <f>IF(B22="","",ROUND(Y22-AB22,2))</f>
        <v>0</v>
      </c>
      <c r="AD22" s="38">
        <f>IF(B22="","",IF(C22="","No",IF(COUNTIFS($C$5:C22,C22)=1,"Yes","No")))</f>
        <v>0</v>
      </c>
      <c r="AE22" s="26">
        <f>IF(B22="","",ROUND(SUMIFS(Payments!$G$5:$G$1204,Payments!$H$5:$H$1204,A22,Payments!$Q$5:$Q$1204,"Yes"),2))</f>
        <v>0</v>
      </c>
      <c r="AF22" s="26">
        <f>IF(B22="","",IF(AD22="No",0,ROUND(SUMIFS(Payments!$G$5:$G$1204,Payments!$I$5:$I$1204,C22,Payments!$H$5:$H$1204,"",Payments!$Q$5:$Q$1204,"Yes"),2)))</f>
        <v>0</v>
      </c>
      <c r="AG22" s="26">
        <f>IF(B22="","",ROUND(AE22+AF22,2))</f>
        <v>0</v>
      </c>
      <c r="AH22" s="26">
        <f>IF(B22="","",ROUND(AA22-AG22,2))</f>
        <v>0</v>
      </c>
      <c r="AI22" s="39">
        <f>IF(B22="","",IF(AA22&lt;=0,"No charge",IF(AH22&lt;=0.004,"Paid",IF(AG22&lt;=0.004,"Unpaid","Part paid"))))</f>
        <v>0</v>
      </c>
      <c r="AJ22" s="38">
        <f>IF(B22="","",IF(H22&lt;&gt;"Service","",IF(D22="","No",IF(COUNTIFS($D$5:$D$1204,D22,$B$5:$B$1204,B22,$H$5:$H$1204,"Retail")&gt;0,"Yes","No"))))</f>
        <v>0</v>
      </c>
      <c r="AK22" s="25">
        <f>IF(B22="","",COUNTIFS($Y$5:$Y$1204,"&gt;"&amp;Y22)+COUNTIFS($Y$5:Y22,Y22))</f>
        <v>0</v>
      </c>
      <c r="AL22" s="39">
        <f>IF(B22="","",IF(H22="","Add - what kind of sale is this?",IF(IF(V22&lt;=0,P22="",FALSE),"Check - no price found for this item",IF(F22="","Assign - nobody credited",IF(AH22&gt;0.004,"Unpaid - balance outstanding",IF(AC22&lt;0,"Loss - sold below cost",IF(X22&gt;W22*0.5,"Check - more than half off","OK")))))))</f>
        <v>0</v>
      </c>
    </row>
    <row r="23" spans="1:38">
      <c r="A23" s="28">
        <f>IF(B23="","",SalePrefix&amp;TEXT(ROW()-4,"0000"))</f>
        <v>0</v>
      </c>
      <c r="E23" s="15">
        <f>IF(D23="","",IFERROR(INDEX(Clients!$B$5:$B$504,MATCH(D23,Clients!$A$5:$A$504,0)),"Walk-in"))</f>
        <v>0</v>
      </c>
      <c r="G23" s="15">
        <f>IF(F23="","",IFERROR(INDEX(Staff!$B$5:$B$44,MATCH(F23,Staff!$A$5:$A$44,0)),"House"))</f>
        <v>0</v>
      </c>
      <c r="R23" s="15">
        <f>IF(B23="","",TEXT(B23,"yyyy-mm"))</f>
        <v>0</v>
      </c>
      <c r="S23" s="25">
        <f>IF(B23="","",WEEKNUM(B23,2))</f>
        <v>0</v>
      </c>
      <c r="T23" s="37">
        <f>IF(B23="","",IF(K23="",1,K23))</f>
        <v>0</v>
      </c>
      <c r="U23" s="15">
        <f>IF(B23="","",IF(J23&lt;&gt;"",J23,IF(H23="Retail",IFERROR(INDEX(Inventory!$B$5:$B$304,MATCH(I23,Inventory!$A$5:$A$304,0))&amp;"","Not in Inventory"),IFERROR(INDEX(Services!$B$5:$B$204,MATCH(I23,Services!$A$5:$A$204,0))&amp;"","Not in Services"))))</f>
        <v>0</v>
      </c>
      <c r="V23" s="26">
        <f>IF(B23="","",IF(L23&lt;&gt;"",L23,IF(H23="Retail",IFERROR(INDEX(Inventory!$I$5:$I$304,MATCH(I23,Inventory!$A$5:$A$304,0))*1,0),IFERROR(INDEX(Services!$G$5:$G$204,MATCH(I23,Services!$A$5:$A$204,0))*1,0))))</f>
        <v>0</v>
      </c>
      <c r="W23" s="26">
        <f>IF(B23="","",ROUND(T23*V23,2))</f>
        <v>0</v>
      </c>
      <c r="X23" s="26">
        <f>IF(B23="","",ROUND(IF(M23="",0,W23*M23)+IF(N23="",0,N23),2))</f>
        <v>0</v>
      </c>
      <c r="Y23" s="26">
        <f>IF(B23="","",ROUND(W23-X23-IF(P23="",0,P23),2))</f>
        <v>0</v>
      </c>
      <c r="Z23" s="26">
        <f>IF(B23="","",IF(H23="Retail",IF(TaxOnRetail="Yes",ROUND(Y23*TaxRate,2),0),IF(H23="Service",IF(TaxOnServices="Yes",ROUND(Y23*TaxRate,2),0),0)))</f>
        <v>0</v>
      </c>
      <c r="AA23" s="26">
        <f>IF(B23="","",ROUND(Y23+Z23,2))</f>
        <v>0</v>
      </c>
      <c r="AB23" s="26">
        <f>IF(B23="","",ROUND(T23*IF(H23="Retail",IFERROR(INDEX(Inventory!$H$5:$H$304,MATCH(I23,Inventory!$A$5:$A$304,0))*1,0),IFERROR(INDEX(Services!$Q$5:$Q$204,MATCH(I23,Services!$A$5:$A$204,0))*1,0)),2))</f>
        <v>0</v>
      </c>
      <c r="AC23" s="26">
        <f>IF(B23="","",ROUND(Y23-AB23,2))</f>
        <v>0</v>
      </c>
      <c r="AD23" s="38">
        <f>IF(B23="","",IF(C23="","No",IF(COUNTIFS($C$5:C23,C23)=1,"Yes","No")))</f>
        <v>0</v>
      </c>
      <c r="AE23" s="26">
        <f>IF(B23="","",ROUND(SUMIFS(Payments!$G$5:$G$1204,Payments!$H$5:$H$1204,A23,Payments!$Q$5:$Q$1204,"Yes"),2))</f>
        <v>0</v>
      </c>
      <c r="AF23" s="26">
        <f>IF(B23="","",IF(AD23="No",0,ROUND(SUMIFS(Payments!$G$5:$G$1204,Payments!$I$5:$I$1204,C23,Payments!$H$5:$H$1204,"",Payments!$Q$5:$Q$1204,"Yes"),2)))</f>
        <v>0</v>
      </c>
      <c r="AG23" s="26">
        <f>IF(B23="","",ROUND(AE23+AF23,2))</f>
        <v>0</v>
      </c>
      <c r="AH23" s="26">
        <f>IF(B23="","",ROUND(AA23-AG23,2))</f>
        <v>0</v>
      </c>
      <c r="AI23" s="39">
        <f>IF(B23="","",IF(AA23&lt;=0,"No charge",IF(AH23&lt;=0.004,"Paid",IF(AG23&lt;=0.004,"Unpaid","Part paid"))))</f>
        <v>0</v>
      </c>
      <c r="AJ23" s="38">
        <f>IF(B23="","",IF(H23&lt;&gt;"Service","",IF(D23="","No",IF(COUNTIFS($D$5:$D$1204,D23,$B$5:$B$1204,B23,$H$5:$H$1204,"Retail")&gt;0,"Yes","No"))))</f>
        <v>0</v>
      </c>
      <c r="AK23" s="25">
        <f>IF(B23="","",COUNTIFS($Y$5:$Y$1204,"&gt;"&amp;Y23)+COUNTIFS($Y$5:Y23,Y23))</f>
        <v>0</v>
      </c>
      <c r="AL23" s="39">
        <f>IF(B23="","",IF(H23="","Add - what kind of sale is this?",IF(IF(V23&lt;=0,P23="",FALSE),"Check - no price found for this item",IF(F23="","Assign - nobody credited",IF(AH23&gt;0.004,"Unpaid - balance outstanding",IF(AC23&lt;0,"Loss - sold below cost",IF(X23&gt;W23*0.5,"Check - more than half off","OK")))))))</f>
        <v>0</v>
      </c>
    </row>
    <row r="24" spans="1:38">
      <c r="A24" s="28">
        <f>IF(B24="","",SalePrefix&amp;TEXT(ROW()-4,"0000"))</f>
        <v>0</v>
      </c>
      <c r="E24" s="15">
        <f>IF(D24="","",IFERROR(INDEX(Clients!$B$5:$B$504,MATCH(D24,Clients!$A$5:$A$504,0)),"Walk-in"))</f>
        <v>0</v>
      </c>
      <c r="G24" s="15">
        <f>IF(F24="","",IFERROR(INDEX(Staff!$B$5:$B$44,MATCH(F24,Staff!$A$5:$A$44,0)),"House"))</f>
        <v>0</v>
      </c>
      <c r="R24" s="15">
        <f>IF(B24="","",TEXT(B24,"yyyy-mm"))</f>
        <v>0</v>
      </c>
      <c r="S24" s="25">
        <f>IF(B24="","",WEEKNUM(B24,2))</f>
        <v>0</v>
      </c>
      <c r="T24" s="37">
        <f>IF(B24="","",IF(K24="",1,K24))</f>
        <v>0</v>
      </c>
      <c r="U24" s="15">
        <f>IF(B24="","",IF(J24&lt;&gt;"",J24,IF(H24="Retail",IFERROR(INDEX(Inventory!$B$5:$B$304,MATCH(I24,Inventory!$A$5:$A$304,0))&amp;"","Not in Inventory"),IFERROR(INDEX(Services!$B$5:$B$204,MATCH(I24,Services!$A$5:$A$204,0))&amp;"","Not in Services"))))</f>
        <v>0</v>
      </c>
      <c r="V24" s="26">
        <f>IF(B24="","",IF(L24&lt;&gt;"",L24,IF(H24="Retail",IFERROR(INDEX(Inventory!$I$5:$I$304,MATCH(I24,Inventory!$A$5:$A$304,0))*1,0),IFERROR(INDEX(Services!$G$5:$G$204,MATCH(I24,Services!$A$5:$A$204,0))*1,0))))</f>
        <v>0</v>
      </c>
      <c r="W24" s="26">
        <f>IF(B24="","",ROUND(T24*V24,2))</f>
        <v>0</v>
      </c>
      <c r="X24" s="26">
        <f>IF(B24="","",ROUND(IF(M24="",0,W24*M24)+IF(N24="",0,N24),2))</f>
        <v>0</v>
      </c>
      <c r="Y24" s="26">
        <f>IF(B24="","",ROUND(W24-X24-IF(P24="",0,P24),2))</f>
        <v>0</v>
      </c>
      <c r="Z24" s="26">
        <f>IF(B24="","",IF(H24="Retail",IF(TaxOnRetail="Yes",ROUND(Y24*TaxRate,2),0),IF(H24="Service",IF(TaxOnServices="Yes",ROUND(Y24*TaxRate,2),0),0)))</f>
        <v>0</v>
      </c>
      <c r="AA24" s="26">
        <f>IF(B24="","",ROUND(Y24+Z24,2))</f>
        <v>0</v>
      </c>
      <c r="AB24" s="26">
        <f>IF(B24="","",ROUND(T24*IF(H24="Retail",IFERROR(INDEX(Inventory!$H$5:$H$304,MATCH(I24,Inventory!$A$5:$A$304,0))*1,0),IFERROR(INDEX(Services!$Q$5:$Q$204,MATCH(I24,Services!$A$5:$A$204,0))*1,0)),2))</f>
        <v>0</v>
      </c>
      <c r="AC24" s="26">
        <f>IF(B24="","",ROUND(Y24-AB24,2))</f>
        <v>0</v>
      </c>
      <c r="AD24" s="38">
        <f>IF(B24="","",IF(C24="","No",IF(COUNTIFS($C$5:C24,C24)=1,"Yes","No")))</f>
        <v>0</v>
      </c>
      <c r="AE24" s="26">
        <f>IF(B24="","",ROUND(SUMIFS(Payments!$G$5:$G$1204,Payments!$H$5:$H$1204,A24,Payments!$Q$5:$Q$1204,"Yes"),2))</f>
        <v>0</v>
      </c>
      <c r="AF24" s="26">
        <f>IF(B24="","",IF(AD24="No",0,ROUND(SUMIFS(Payments!$G$5:$G$1204,Payments!$I$5:$I$1204,C24,Payments!$H$5:$H$1204,"",Payments!$Q$5:$Q$1204,"Yes"),2)))</f>
        <v>0</v>
      </c>
      <c r="AG24" s="26">
        <f>IF(B24="","",ROUND(AE24+AF24,2))</f>
        <v>0</v>
      </c>
      <c r="AH24" s="26">
        <f>IF(B24="","",ROUND(AA24-AG24,2))</f>
        <v>0</v>
      </c>
      <c r="AI24" s="39">
        <f>IF(B24="","",IF(AA24&lt;=0,"No charge",IF(AH24&lt;=0.004,"Paid",IF(AG24&lt;=0.004,"Unpaid","Part paid"))))</f>
        <v>0</v>
      </c>
      <c r="AJ24" s="38">
        <f>IF(B24="","",IF(H24&lt;&gt;"Service","",IF(D24="","No",IF(COUNTIFS($D$5:$D$1204,D24,$B$5:$B$1204,B24,$H$5:$H$1204,"Retail")&gt;0,"Yes","No"))))</f>
        <v>0</v>
      </c>
      <c r="AK24" s="25">
        <f>IF(B24="","",COUNTIFS($Y$5:$Y$1204,"&gt;"&amp;Y24)+COUNTIFS($Y$5:Y24,Y24))</f>
        <v>0</v>
      </c>
      <c r="AL24" s="39">
        <f>IF(B24="","",IF(H24="","Add - what kind of sale is this?",IF(IF(V24&lt;=0,P24="",FALSE),"Check - no price found for this item",IF(F24="","Assign - nobody credited",IF(AH24&gt;0.004,"Unpaid - balance outstanding",IF(AC24&lt;0,"Loss - sold below cost",IF(X24&gt;W24*0.5,"Check - more than half off","OK")))))))</f>
        <v>0</v>
      </c>
    </row>
    <row r="25" spans="1:38">
      <c r="A25" s="28">
        <f>IF(B25="","",SalePrefix&amp;TEXT(ROW()-4,"0000"))</f>
        <v>0</v>
      </c>
      <c r="E25" s="15">
        <f>IF(D25="","",IFERROR(INDEX(Clients!$B$5:$B$504,MATCH(D25,Clients!$A$5:$A$504,0)),"Walk-in"))</f>
        <v>0</v>
      </c>
      <c r="G25" s="15">
        <f>IF(F25="","",IFERROR(INDEX(Staff!$B$5:$B$44,MATCH(F25,Staff!$A$5:$A$44,0)),"House"))</f>
        <v>0</v>
      </c>
      <c r="R25" s="15">
        <f>IF(B25="","",TEXT(B25,"yyyy-mm"))</f>
        <v>0</v>
      </c>
      <c r="S25" s="25">
        <f>IF(B25="","",WEEKNUM(B25,2))</f>
        <v>0</v>
      </c>
      <c r="T25" s="37">
        <f>IF(B25="","",IF(K25="",1,K25))</f>
        <v>0</v>
      </c>
      <c r="U25" s="15">
        <f>IF(B25="","",IF(J25&lt;&gt;"",J25,IF(H25="Retail",IFERROR(INDEX(Inventory!$B$5:$B$304,MATCH(I25,Inventory!$A$5:$A$304,0))&amp;"","Not in Inventory"),IFERROR(INDEX(Services!$B$5:$B$204,MATCH(I25,Services!$A$5:$A$204,0))&amp;"","Not in Services"))))</f>
        <v>0</v>
      </c>
      <c r="V25" s="26">
        <f>IF(B25="","",IF(L25&lt;&gt;"",L25,IF(H25="Retail",IFERROR(INDEX(Inventory!$I$5:$I$304,MATCH(I25,Inventory!$A$5:$A$304,0))*1,0),IFERROR(INDEX(Services!$G$5:$G$204,MATCH(I25,Services!$A$5:$A$204,0))*1,0))))</f>
        <v>0</v>
      </c>
      <c r="W25" s="26">
        <f>IF(B25="","",ROUND(T25*V25,2))</f>
        <v>0</v>
      </c>
      <c r="X25" s="26">
        <f>IF(B25="","",ROUND(IF(M25="",0,W25*M25)+IF(N25="",0,N25),2))</f>
        <v>0</v>
      </c>
      <c r="Y25" s="26">
        <f>IF(B25="","",ROUND(W25-X25-IF(P25="",0,P25),2))</f>
        <v>0</v>
      </c>
      <c r="Z25" s="26">
        <f>IF(B25="","",IF(H25="Retail",IF(TaxOnRetail="Yes",ROUND(Y25*TaxRate,2),0),IF(H25="Service",IF(TaxOnServices="Yes",ROUND(Y25*TaxRate,2),0),0)))</f>
        <v>0</v>
      </c>
      <c r="AA25" s="26">
        <f>IF(B25="","",ROUND(Y25+Z25,2))</f>
        <v>0</v>
      </c>
      <c r="AB25" s="26">
        <f>IF(B25="","",ROUND(T25*IF(H25="Retail",IFERROR(INDEX(Inventory!$H$5:$H$304,MATCH(I25,Inventory!$A$5:$A$304,0))*1,0),IFERROR(INDEX(Services!$Q$5:$Q$204,MATCH(I25,Services!$A$5:$A$204,0))*1,0)),2))</f>
        <v>0</v>
      </c>
      <c r="AC25" s="26">
        <f>IF(B25="","",ROUND(Y25-AB25,2))</f>
        <v>0</v>
      </c>
      <c r="AD25" s="38">
        <f>IF(B25="","",IF(C25="","No",IF(COUNTIFS($C$5:C25,C25)=1,"Yes","No")))</f>
        <v>0</v>
      </c>
      <c r="AE25" s="26">
        <f>IF(B25="","",ROUND(SUMIFS(Payments!$G$5:$G$1204,Payments!$H$5:$H$1204,A25,Payments!$Q$5:$Q$1204,"Yes"),2))</f>
        <v>0</v>
      </c>
      <c r="AF25" s="26">
        <f>IF(B25="","",IF(AD25="No",0,ROUND(SUMIFS(Payments!$G$5:$G$1204,Payments!$I$5:$I$1204,C25,Payments!$H$5:$H$1204,"",Payments!$Q$5:$Q$1204,"Yes"),2)))</f>
        <v>0</v>
      </c>
      <c r="AG25" s="26">
        <f>IF(B25="","",ROUND(AE25+AF25,2))</f>
        <v>0</v>
      </c>
      <c r="AH25" s="26">
        <f>IF(B25="","",ROUND(AA25-AG25,2))</f>
        <v>0</v>
      </c>
      <c r="AI25" s="39">
        <f>IF(B25="","",IF(AA25&lt;=0,"No charge",IF(AH25&lt;=0.004,"Paid",IF(AG25&lt;=0.004,"Unpaid","Part paid"))))</f>
        <v>0</v>
      </c>
      <c r="AJ25" s="38">
        <f>IF(B25="","",IF(H25&lt;&gt;"Service","",IF(D25="","No",IF(COUNTIFS($D$5:$D$1204,D25,$B$5:$B$1204,B25,$H$5:$H$1204,"Retail")&gt;0,"Yes","No"))))</f>
        <v>0</v>
      </c>
      <c r="AK25" s="25">
        <f>IF(B25="","",COUNTIFS($Y$5:$Y$1204,"&gt;"&amp;Y25)+COUNTIFS($Y$5:Y25,Y25))</f>
        <v>0</v>
      </c>
      <c r="AL25" s="39">
        <f>IF(B25="","",IF(H25="","Add - what kind of sale is this?",IF(IF(V25&lt;=0,P25="",FALSE),"Check - no price found for this item",IF(F25="","Assign - nobody credited",IF(AH25&gt;0.004,"Unpaid - balance outstanding",IF(AC25&lt;0,"Loss - sold below cost",IF(X25&gt;W25*0.5,"Check - more than half off","OK")))))))</f>
        <v>0</v>
      </c>
    </row>
    <row r="26" spans="1:38">
      <c r="A26" s="28">
        <f>IF(B26="","",SalePrefix&amp;TEXT(ROW()-4,"0000"))</f>
        <v>0</v>
      </c>
      <c r="E26" s="15">
        <f>IF(D26="","",IFERROR(INDEX(Clients!$B$5:$B$504,MATCH(D26,Clients!$A$5:$A$504,0)),"Walk-in"))</f>
        <v>0</v>
      </c>
      <c r="G26" s="15">
        <f>IF(F26="","",IFERROR(INDEX(Staff!$B$5:$B$44,MATCH(F26,Staff!$A$5:$A$44,0)),"House"))</f>
        <v>0</v>
      </c>
      <c r="R26" s="15">
        <f>IF(B26="","",TEXT(B26,"yyyy-mm"))</f>
        <v>0</v>
      </c>
      <c r="S26" s="25">
        <f>IF(B26="","",WEEKNUM(B26,2))</f>
        <v>0</v>
      </c>
      <c r="T26" s="37">
        <f>IF(B26="","",IF(K26="",1,K26))</f>
        <v>0</v>
      </c>
      <c r="U26" s="15">
        <f>IF(B26="","",IF(J26&lt;&gt;"",J26,IF(H26="Retail",IFERROR(INDEX(Inventory!$B$5:$B$304,MATCH(I26,Inventory!$A$5:$A$304,0))&amp;"","Not in Inventory"),IFERROR(INDEX(Services!$B$5:$B$204,MATCH(I26,Services!$A$5:$A$204,0))&amp;"","Not in Services"))))</f>
        <v>0</v>
      </c>
      <c r="V26" s="26">
        <f>IF(B26="","",IF(L26&lt;&gt;"",L26,IF(H26="Retail",IFERROR(INDEX(Inventory!$I$5:$I$304,MATCH(I26,Inventory!$A$5:$A$304,0))*1,0),IFERROR(INDEX(Services!$G$5:$G$204,MATCH(I26,Services!$A$5:$A$204,0))*1,0))))</f>
        <v>0</v>
      </c>
      <c r="W26" s="26">
        <f>IF(B26="","",ROUND(T26*V26,2))</f>
        <v>0</v>
      </c>
      <c r="X26" s="26">
        <f>IF(B26="","",ROUND(IF(M26="",0,W26*M26)+IF(N26="",0,N26),2))</f>
        <v>0</v>
      </c>
      <c r="Y26" s="26">
        <f>IF(B26="","",ROUND(W26-X26-IF(P26="",0,P26),2))</f>
        <v>0</v>
      </c>
      <c r="Z26" s="26">
        <f>IF(B26="","",IF(H26="Retail",IF(TaxOnRetail="Yes",ROUND(Y26*TaxRate,2),0),IF(H26="Service",IF(TaxOnServices="Yes",ROUND(Y26*TaxRate,2),0),0)))</f>
        <v>0</v>
      </c>
      <c r="AA26" s="26">
        <f>IF(B26="","",ROUND(Y26+Z26,2))</f>
        <v>0</v>
      </c>
      <c r="AB26" s="26">
        <f>IF(B26="","",ROUND(T26*IF(H26="Retail",IFERROR(INDEX(Inventory!$H$5:$H$304,MATCH(I26,Inventory!$A$5:$A$304,0))*1,0),IFERROR(INDEX(Services!$Q$5:$Q$204,MATCH(I26,Services!$A$5:$A$204,0))*1,0)),2))</f>
        <v>0</v>
      </c>
      <c r="AC26" s="26">
        <f>IF(B26="","",ROUND(Y26-AB26,2))</f>
        <v>0</v>
      </c>
      <c r="AD26" s="38">
        <f>IF(B26="","",IF(C26="","No",IF(COUNTIFS($C$5:C26,C26)=1,"Yes","No")))</f>
        <v>0</v>
      </c>
      <c r="AE26" s="26">
        <f>IF(B26="","",ROUND(SUMIFS(Payments!$G$5:$G$1204,Payments!$H$5:$H$1204,A26,Payments!$Q$5:$Q$1204,"Yes"),2))</f>
        <v>0</v>
      </c>
      <c r="AF26" s="26">
        <f>IF(B26="","",IF(AD26="No",0,ROUND(SUMIFS(Payments!$G$5:$G$1204,Payments!$I$5:$I$1204,C26,Payments!$H$5:$H$1204,"",Payments!$Q$5:$Q$1204,"Yes"),2)))</f>
        <v>0</v>
      </c>
      <c r="AG26" s="26">
        <f>IF(B26="","",ROUND(AE26+AF26,2))</f>
        <v>0</v>
      </c>
      <c r="AH26" s="26">
        <f>IF(B26="","",ROUND(AA26-AG26,2))</f>
        <v>0</v>
      </c>
      <c r="AI26" s="39">
        <f>IF(B26="","",IF(AA26&lt;=0,"No charge",IF(AH26&lt;=0.004,"Paid",IF(AG26&lt;=0.004,"Unpaid","Part paid"))))</f>
        <v>0</v>
      </c>
      <c r="AJ26" s="38">
        <f>IF(B26="","",IF(H26&lt;&gt;"Service","",IF(D26="","No",IF(COUNTIFS($D$5:$D$1204,D26,$B$5:$B$1204,B26,$H$5:$H$1204,"Retail")&gt;0,"Yes","No"))))</f>
        <v>0</v>
      </c>
      <c r="AK26" s="25">
        <f>IF(B26="","",COUNTIFS($Y$5:$Y$1204,"&gt;"&amp;Y26)+COUNTIFS($Y$5:Y26,Y26))</f>
        <v>0</v>
      </c>
      <c r="AL26" s="39">
        <f>IF(B26="","",IF(H26="","Add - what kind of sale is this?",IF(IF(V26&lt;=0,P26="",FALSE),"Check - no price found for this item",IF(F26="","Assign - nobody credited",IF(AH26&gt;0.004,"Unpaid - balance outstanding",IF(AC26&lt;0,"Loss - sold below cost",IF(X26&gt;W26*0.5,"Check - more than half off","OK")))))))</f>
        <v>0</v>
      </c>
    </row>
    <row r="27" spans="1:38">
      <c r="A27" s="28">
        <f>IF(B27="","",SalePrefix&amp;TEXT(ROW()-4,"0000"))</f>
        <v>0</v>
      </c>
      <c r="E27" s="15">
        <f>IF(D27="","",IFERROR(INDEX(Clients!$B$5:$B$504,MATCH(D27,Clients!$A$5:$A$504,0)),"Walk-in"))</f>
        <v>0</v>
      </c>
      <c r="G27" s="15">
        <f>IF(F27="","",IFERROR(INDEX(Staff!$B$5:$B$44,MATCH(F27,Staff!$A$5:$A$44,0)),"House"))</f>
        <v>0</v>
      </c>
      <c r="R27" s="15">
        <f>IF(B27="","",TEXT(B27,"yyyy-mm"))</f>
        <v>0</v>
      </c>
      <c r="S27" s="25">
        <f>IF(B27="","",WEEKNUM(B27,2))</f>
        <v>0</v>
      </c>
      <c r="T27" s="37">
        <f>IF(B27="","",IF(K27="",1,K27))</f>
        <v>0</v>
      </c>
      <c r="U27" s="15">
        <f>IF(B27="","",IF(J27&lt;&gt;"",J27,IF(H27="Retail",IFERROR(INDEX(Inventory!$B$5:$B$304,MATCH(I27,Inventory!$A$5:$A$304,0))&amp;"","Not in Inventory"),IFERROR(INDEX(Services!$B$5:$B$204,MATCH(I27,Services!$A$5:$A$204,0))&amp;"","Not in Services"))))</f>
        <v>0</v>
      </c>
      <c r="V27" s="26">
        <f>IF(B27="","",IF(L27&lt;&gt;"",L27,IF(H27="Retail",IFERROR(INDEX(Inventory!$I$5:$I$304,MATCH(I27,Inventory!$A$5:$A$304,0))*1,0),IFERROR(INDEX(Services!$G$5:$G$204,MATCH(I27,Services!$A$5:$A$204,0))*1,0))))</f>
        <v>0</v>
      </c>
      <c r="W27" s="26">
        <f>IF(B27="","",ROUND(T27*V27,2))</f>
        <v>0</v>
      </c>
      <c r="X27" s="26">
        <f>IF(B27="","",ROUND(IF(M27="",0,W27*M27)+IF(N27="",0,N27),2))</f>
        <v>0</v>
      </c>
      <c r="Y27" s="26">
        <f>IF(B27="","",ROUND(W27-X27-IF(P27="",0,P27),2))</f>
        <v>0</v>
      </c>
      <c r="Z27" s="26">
        <f>IF(B27="","",IF(H27="Retail",IF(TaxOnRetail="Yes",ROUND(Y27*TaxRate,2),0),IF(H27="Service",IF(TaxOnServices="Yes",ROUND(Y27*TaxRate,2),0),0)))</f>
        <v>0</v>
      </c>
      <c r="AA27" s="26">
        <f>IF(B27="","",ROUND(Y27+Z27,2))</f>
        <v>0</v>
      </c>
      <c r="AB27" s="26">
        <f>IF(B27="","",ROUND(T27*IF(H27="Retail",IFERROR(INDEX(Inventory!$H$5:$H$304,MATCH(I27,Inventory!$A$5:$A$304,0))*1,0),IFERROR(INDEX(Services!$Q$5:$Q$204,MATCH(I27,Services!$A$5:$A$204,0))*1,0)),2))</f>
        <v>0</v>
      </c>
      <c r="AC27" s="26">
        <f>IF(B27="","",ROUND(Y27-AB27,2))</f>
        <v>0</v>
      </c>
      <c r="AD27" s="38">
        <f>IF(B27="","",IF(C27="","No",IF(COUNTIFS($C$5:C27,C27)=1,"Yes","No")))</f>
        <v>0</v>
      </c>
      <c r="AE27" s="26">
        <f>IF(B27="","",ROUND(SUMIFS(Payments!$G$5:$G$1204,Payments!$H$5:$H$1204,A27,Payments!$Q$5:$Q$1204,"Yes"),2))</f>
        <v>0</v>
      </c>
      <c r="AF27" s="26">
        <f>IF(B27="","",IF(AD27="No",0,ROUND(SUMIFS(Payments!$G$5:$G$1204,Payments!$I$5:$I$1204,C27,Payments!$H$5:$H$1204,"",Payments!$Q$5:$Q$1204,"Yes"),2)))</f>
        <v>0</v>
      </c>
      <c r="AG27" s="26">
        <f>IF(B27="","",ROUND(AE27+AF27,2))</f>
        <v>0</v>
      </c>
      <c r="AH27" s="26">
        <f>IF(B27="","",ROUND(AA27-AG27,2))</f>
        <v>0</v>
      </c>
      <c r="AI27" s="39">
        <f>IF(B27="","",IF(AA27&lt;=0,"No charge",IF(AH27&lt;=0.004,"Paid",IF(AG27&lt;=0.004,"Unpaid","Part paid"))))</f>
        <v>0</v>
      </c>
      <c r="AJ27" s="38">
        <f>IF(B27="","",IF(H27&lt;&gt;"Service","",IF(D27="","No",IF(COUNTIFS($D$5:$D$1204,D27,$B$5:$B$1204,B27,$H$5:$H$1204,"Retail")&gt;0,"Yes","No"))))</f>
        <v>0</v>
      </c>
      <c r="AK27" s="25">
        <f>IF(B27="","",COUNTIFS($Y$5:$Y$1204,"&gt;"&amp;Y27)+COUNTIFS($Y$5:Y27,Y27))</f>
        <v>0</v>
      </c>
      <c r="AL27" s="39">
        <f>IF(B27="","",IF(H27="","Add - what kind of sale is this?",IF(IF(V27&lt;=0,P27="",FALSE),"Check - no price found for this item",IF(F27="","Assign - nobody credited",IF(AH27&gt;0.004,"Unpaid - balance outstanding",IF(AC27&lt;0,"Loss - sold below cost",IF(X27&gt;W27*0.5,"Check - more than half off","OK")))))))</f>
        <v>0</v>
      </c>
    </row>
    <row r="28" spans="1:38">
      <c r="A28" s="28">
        <f>IF(B28="","",SalePrefix&amp;TEXT(ROW()-4,"0000"))</f>
        <v>0</v>
      </c>
      <c r="E28" s="15">
        <f>IF(D28="","",IFERROR(INDEX(Clients!$B$5:$B$504,MATCH(D28,Clients!$A$5:$A$504,0)),"Walk-in"))</f>
        <v>0</v>
      </c>
      <c r="G28" s="15">
        <f>IF(F28="","",IFERROR(INDEX(Staff!$B$5:$B$44,MATCH(F28,Staff!$A$5:$A$44,0)),"House"))</f>
        <v>0</v>
      </c>
      <c r="R28" s="15">
        <f>IF(B28="","",TEXT(B28,"yyyy-mm"))</f>
        <v>0</v>
      </c>
      <c r="S28" s="25">
        <f>IF(B28="","",WEEKNUM(B28,2))</f>
        <v>0</v>
      </c>
      <c r="T28" s="37">
        <f>IF(B28="","",IF(K28="",1,K28))</f>
        <v>0</v>
      </c>
      <c r="U28" s="15">
        <f>IF(B28="","",IF(J28&lt;&gt;"",J28,IF(H28="Retail",IFERROR(INDEX(Inventory!$B$5:$B$304,MATCH(I28,Inventory!$A$5:$A$304,0))&amp;"","Not in Inventory"),IFERROR(INDEX(Services!$B$5:$B$204,MATCH(I28,Services!$A$5:$A$204,0))&amp;"","Not in Services"))))</f>
        <v>0</v>
      </c>
      <c r="V28" s="26">
        <f>IF(B28="","",IF(L28&lt;&gt;"",L28,IF(H28="Retail",IFERROR(INDEX(Inventory!$I$5:$I$304,MATCH(I28,Inventory!$A$5:$A$304,0))*1,0),IFERROR(INDEX(Services!$G$5:$G$204,MATCH(I28,Services!$A$5:$A$204,0))*1,0))))</f>
        <v>0</v>
      </c>
      <c r="W28" s="26">
        <f>IF(B28="","",ROUND(T28*V28,2))</f>
        <v>0</v>
      </c>
      <c r="X28" s="26">
        <f>IF(B28="","",ROUND(IF(M28="",0,W28*M28)+IF(N28="",0,N28),2))</f>
        <v>0</v>
      </c>
      <c r="Y28" s="26">
        <f>IF(B28="","",ROUND(W28-X28-IF(P28="",0,P28),2))</f>
        <v>0</v>
      </c>
      <c r="Z28" s="26">
        <f>IF(B28="","",IF(H28="Retail",IF(TaxOnRetail="Yes",ROUND(Y28*TaxRate,2),0),IF(H28="Service",IF(TaxOnServices="Yes",ROUND(Y28*TaxRate,2),0),0)))</f>
        <v>0</v>
      </c>
      <c r="AA28" s="26">
        <f>IF(B28="","",ROUND(Y28+Z28,2))</f>
        <v>0</v>
      </c>
      <c r="AB28" s="26">
        <f>IF(B28="","",ROUND(T28*IF(H28="Retail",IFERROR(INDEX(Inventory!$H$5:$H$304,MATCH(I28,Inventory!$A$5:$A$304,0))*1,0),IFERROR(INDEX(Services!$Q$5:$Q$204,MATCH(I28,Services!$A$5:$A$204,0))*1,0)),2))</f>
        <v>0</v>
      </c>
      <c r="AC28" s="26">
        <f>IF(B28="","",ROUND(Y28-AB28,2))</f>
        <v>0</v>
      </c>
      <c r="AD28" s="38">
        <f>IF(B28="","",IF(C28="","No",IF(COUNTIFS($C$5:C28,C28)=1,"Yes","No")))</f>
        <v>0</v>
      </c>
      <c r="AE28" s="26">
        <f>IF(B28="","",ROUND(SUMIFS(Payments!$G$5:$G$1204,Payments!$H$5:$H$1204,A28,Payments!$Q$5:$Q$1204,"Yes"),2))</f>
        <v>0</v>
      </c>
      <c r="AF28" s="26">
        <f>IF(B28="","",IF(AD28="No",0,ROUND(SUMIFS(Payments!$G$5:$G$1204,Payments!$I$5:$I$1204,C28,Payments!$H$5:$H$1204,"",Payments!$Q$5:$Q$1204,"Yes"),2)))</f>
        <v>0</v>
      </c>
      <c r="AG28" s="26">
        <f>IF(B28="","",ROUND(AE28+AF28,2))</f>
        <v>0</v>
      </c>
      <c r="AH28" s="26">
        <f>IF(B28="","",ROUND(AA28-AG28,2))</f>
        <v>0</v>
      </c>
      <c r="AI28" s="39">
        <f>IF(B28="","",IF(AA28&lt;=0,"No charge",IF(AH28&lt;=0.004,"Paid",IF(AG28&lt;=0.004,"Unpaid","Part paid"))))</f>
        <v>0</v>
      </c>
      <c r="AJ28" s="38">
        <f>IF(B28="","",IF(H28&lt;&gt;"Service","",IF(D28="","No",IF(COUNTIFS($D$5:$D$1204,D28,$B$5:$B$1204,B28,$H$5:$H$1204,"Retail")&gt;0,"Yes","No"))))</f>
        <v>0</v>
      </c>
      <c r="AK28" s="25">
        <f>IF(B28="","",COUNTIFS($Y$5:$Y$1204,"&gt;"&amp;Y28)+COUNTIFS($Y$5:Y28,Y28))</f>
        <v>0</v>
      </c>
      <c r="AL28" s="39">
        <f>IF(B28="","",IF(H28="","Add - what kind of sale is this?",IF(IF(V28&lt;=0,P28="",FALSE),"Check - no price found for this item",IF(F28="","Assign - nobody credited",IF(AH28&gt;0.004,"Unpaid - balance outstanding",IF(AC28&lt;0,"Loss - sold below cost",IF(X28&gt;W28*0.5,"Check - more than half off","OK")))))))</f>
        <v>0</v>
      </c>
    </row>
    <row r="29" spans="1:38">
      <c r="A29" s="28">
        <f>IF(B29="","",SalePrefix&amp;TEXT(ROW()-4,"0000"))</f>
        <v>0</v>
      </c>
      <c r="E29" s="15">
        <f>IF(D29="","",IFERROR(INDEX(Clients!$B$5:$B$504,MATCH(D29,Clients!$A$5:$A$504,0)),"Walk-in"))</f>
        <v>0</v>
      </c>
      <c r="G29" s="15">
        <f>IF(F29="","",IFERROR(INDEX(Staff!$B$5:$B$44,MATCH(F29,Staff!$A$5:$A$44,0)),"House"))</f>
        <v>0</v>
      </c>
      <c r="R29" s="15">
        <f>IF(B29="","",TEXT(B29,"yyyy-mm"))</f>
        <v>0</v>
      </c>
      <c r="S29" s="25">
        <f>IF(B29="","",WEEKNUM(B29,2))</f>
        <v>0</v>
      </c>
      <c r="T29" s="37">
        <f>IF(B29="","",IF(K29="",1,K29))</f>
        <v>0</v>
      </c>
      <c r="U29" s="15">
        <f>IF(B29="","",IF(J29&lt;&gt;"",J29,IF(H29="Retail",IFERROR(INDEX(Inventory!$B$5:$B$304,MATCH(I29,Inventory!$A$5:$A$304,0))&amp;"","Not in Inventory"),IFERROR(INDEX(Services!$B$5:$B$204,MATCH(I29,Services!$A$5:$A$204,0))&amp;"","Not in Services"))))</f>
        <v>0</v>
      </c>
      <c r="V29" s="26">
        <f>IF(B29="","",IF(L29&lt;&gt;"",L29,IF(H29="Retail",IFERROR(INDEX(Inventory!$I$5:$I$304,MATCH(I29,Inventory!$A$5:$A$304,0))*1,0),IFERROR(INDEX(Services!$G$5:$G$204,MATCH(I29,Services!$A$5:$A$204,0))*1,0))))</f>
        <v>0</v>
      </c>
      <c r="W29" s="26">
        <f>IF(B29="","",ROUND(T29*V29,2))</f>
        <v>0</v>
      </c>
      <c r="X29" s="26">
        <f>IF(B29="","",ROUND(IF(M29="",0,W29*M29)+IF(N29="",0,N29),2))</f>
        <v>0</v>
      </c>
      <c r="Y29" s="26">
        <f>IF(B29="","",ROUND(W29-X29-IF(P29="",0,P29),2))</f>
        <v>0</v>
      </c>
      <c r="Z29" s="26">
        <f>IF(B29="","",IF(H29="Retail",IF(TaxOnRetail="Yes",ROUND(Y29*TaxRate,2),0),IF(H29="Service",IF(TaxOnServices="Yes",ROUND(Y29*TaxRate,2),0),0)))</f>
        <v>0</v>
      </c>
      <c r="AA29" s="26">
        <f>IF(B29="","",ROUND(Y29+Z29,2))</f>
        <v>0</v>
      </c>
      <c r="AB29" s="26">
        <f>IF(B29="","",ROUND(T29*IF(H29="Retail",IFERROR(INDEX(Inventory!$H$5:$H$304,MATCH(I29,Inventory!$A$5:$A$304,0))*1,0),IFERROR(INDEX(Services!$Q$5:$Q$204,MATCH(I29,Services!$A$5:$A$204,0))*1,0)),2))</f>
        <v>0</v>
      </c>
      <c r="AC29" s="26">
        <f>IF(B29="","",ROUND(Y29-AB29,2))</f>
        <v>0</v>
      </c>
      <c r="AD29" s="38">
        <f>IF(B29="","",IF(C29="","No",IF(COUNTIFS($C$5:C29,C29)=1,"Yes","No")))</f>
        <v>0</v>
      </c>
      <c r="AE29" s="26">
        <f>IF(B29="","",ROUND(SUMIFS(Payments!$G$5:$G$1204,Payments!$H$5:$H$1204,A29,Payments!$Q$5:$Q$1204,"Yes"),2))</f>
        <v>0</v>
      </c>
      <c r="AF29" s="26">
        <f>IF(B29="","",IF(AD29="No",0,ROUND(SUMIFS(Payments!$G$5:$G$1204,Payments!$I$5:$I$1204,C29,Payments!$H$5:$H$1204,"",Payments!$Q$5:$Q$1204,"Yes"),2)))</f>
        <v>0</v>
      </c>
      <c r="AG29" s="26">
        <f>IF(B29="","",ROUND(AE29+AF29,2))</f>
        <v>0</v>
      </c>
      <c r="AH29" s="26">
        <f>IF(B29="","",ROUND(AA29-AG29,2))</f>
        <v>0</v>
      </c>
      <c r="AI29" s="39">
        <f>IF(B29="","",IF(AA29&lt;=0,"No charge",IF(AH29&lt;=0.004,"Paid",IF(AG29&lt;=0.004,"Unpaid","Part paid"))))</f>
        <v>0</v>
      </c>
      <c r="AJ29" s="38">
        <f>IF(B29="","",IF(H29&lt;&gt;"Service","",IF(D29="","No",IF(COUNTIFS($D$5:$D$1204,D29,$B$5:$B$1204,B29,$H$5:$H$1204,"Retail")&gt;0,"Yes","No"))))</f>
        <v>0</v>
      </c>
      <c r="AK29" s="25">
        <f>IF(B29="","",COUNTIFS($Y$5:$Y$1204,"&gt;"&amp;Y29)+COUNTIFS($Y$5:Y29,Y29))</f>
        <v>0</v>
      </c>
      <c r="AL29" s="39">
        <f>IF(B29="","",IF(H29="","Add - what kind of sale is this?",IF(IF(V29&lt;=0,P29="",FALSE),"Check - no price found for this item",IF(F29="","Assign - nobody credited",IF(AH29&gt;0.004,"Unpaid - balance outstanding",IF(AC29&lt;0,"Loss - sold below cost",IF(X29&gt;W29*0.5,"Check - more than half off","OK")))))))</f>
        <v>0</v>
      </c>
    </row>
    <row r="30" spans="1:38">
      <c r="A30" s="28">
        <f>IF(B30="","",SalePrefix&amp;TEXT(ROW()-4,"0000"))</f>
        <v>0</v>
      </c>
      <c r="E30" s="15">
        <f>IF(D30="","",IFERROR(INDEX(Clients!$B$5:$B$504,MATCH(D30,Clients!$A$5:$A$504,0)),"Walk-in"))</f>
        <v>0</v>
      </c>
      <c r="G30" s="15">
        <f>IF(F30="","",IFERROR(INDEX(Staff!$B$5:$B$44,MATCH(F30,Staff!$A$5:$A$44,0)),"House"))</f>
        <v>0</v>
      </c>
      <c r="R30" s="15">
        <f>IF(B30="","",TEXT(B30,"yyyy-mm"))</f>
        <v>0</v>
      </c>
      <c r="S30" s="25">
        <f>IF(B30="","",WEEKNUM(B30,2))</f>
        <v>0</v>
      </c>
      <c r="T30" s="37">
        <f>IF(B30="","",IF(K30="",1,K30))</f>
        <v>0</v>
      </c>
      <c r="U30" s="15">
        <f>IF(B30="","",IF(J30&lt;&gt;"",J30,IF(H30="Retail",IFERROR(INDEX(Inventory!$B$5:$B$304,MATCH(I30,Inventory!$A$5:$A$304,0))&amp;"","Not in Inventory"),IFERROR(INDEX(Services!$B$5:$B$204,MATCH(I30,Services!$A$5:$A$204,0))&amp;"","Not in Services"))))</f>
        <v>0</v>
      </c>
      <c r="V30" s="26">
        <f>IF(B30="","",IF(L30&lt;&gt;"",L30,IF(H30="Retail",IFERROR(INDEX(Inventory!$I$5:$I$304,MATCH(I30,Inventory!$A$5:$A$304,0))*1,0),IFERROR(INDEX(Services!$G$5:$G$204,MATCH(I30,Services!$A$5:$A$204,0))*1,0))))</f>
        <v>0</v>
      </c>
      <c r="W30" s="26">
        <f>IF(B30="","",ROUND(T30*V30,2))</f>
        <v>0</v>
      </c>
      <c r="X30" s="26">
        <f>IF(B30="","",ROUND(IF(M30="",0,W30*M30)+IF(N30="",0,N30),2))</f>
        <v>0</v>
      </c>
      <c r="Y30" s="26">
        <f>IF(B30="","",ROUND(W30-X30-IF(P30="",0,P30),2))</f>
        <v>0</v>
      </c>
      <c r="Z30" s="26">
        <f>IF(B30="","",IF(H30="Retail",IF(TaxOnRetail="Yes",ROUND(Y30*TaxRate,2),0),IF(H30="Service",IF(TaxOnServices="Yes",ROUND(Y30*TaxRate,2),0),0)))</f>
        <v>0</v>
      </c>
      <c r="AA30" s="26">
        <f>IF(B30="","",ROUND(Y30+Z30,2))</f>
        <v>0</v>
      </c>
      <c r="AB30" s="26">
        <f>IF(B30="","",ROUND(T30*IF(H30="Retail",IFERROR(INDEX(Inventory!$H$5:$H$304,MATCH(I30,Inventory!$A$5:$A$304,0))*1,0),IFERROR(INDEX(Services!$Q$5:$Q$204,MATCH(I30,Services!$A$5:$A$204,0))*1,0)),2))</f>
        <v>0</v>
      </c>
      <c r="AC30" s="26">
        <f>IF(B30="","",ROUND(Y30-AB30,2))</f>
        <v>0</v>
      </c>
      <c r="AD30" s="38">
        <f>IF(B30="","",IF(C30="","No",IF(COUNTIFS($C$5:C30,C30)=1,"Yes","No")))</f>
        <v>0</v>
      </c>
      <c r="AE30" s="26">
        <f>IF(B30="","",ROUND(SUMIFS(Payments!$G$5:$G$1204,Payments!$H$5:$H$1204,A30,Payments!$Q$5:$Q$1204,"Yes"),2))</f>
        <v>0</v>
      </c>
      <c r="AF30" s="26">
        <f>IF(B30="","",IF(AD30="No",0,ROUND(SUMIFS(Payments!$G$5:$G$1204,Payments!$I$5:$I$1204,C30,Payments!$H$5:$H$1204,"",Payments!$Q$5:$Q$1204,"Yes"),2)))</f>
        <v>0</v>
      </c>
      <c r="AG30" s="26">
        <f>IF(B30="","",ROUND(AE30+AF30,2))</f>
        <v>0</v>
      </c>
      <c r="AH30" s="26">
        <f>IF(B30="","",ROUND(AA30-AG30,2))</f>
        <v>0</v>
      </c>
      <c r="AI30" s="39">
        <f>IF(B30="","",IF(AA30&lt;=0,"No charge",IF(AH30&lt;=0.004,"Paid",IF(AG30&lt;=0.004,"Unpaid","Part paid"))))</f>
        <v>0</v>
      </c>
      <c r="AJ30" s="38">
        <f>IF(B30="","",IF(H30&lt;&gt;"Service","",IF(D30="","No",IF(COUNTIFS($D$5:$D$1204,D30,$B$5:$B$1204,B30,$H$5:$H$1204,"Retail")&gt;0,"Yes","No"))))</f>
        <v>0</v>
      </c>
      <c r="AK30" s="25">
        <f>IF(B30="","",COUNTIFS($Y$5:$Y$1204,"&gt;"&amp;Y30)+COUNTIFS($Y$5:Y30,Y30))</f>
        <v>0</v>
      </c>
      <c r="AL30" s="39">
        <f>IF(B30="","",IF(H30="","Add - what kind of sale is this?",IF(IF(V30&lt;=0,P30="",FALSE),"Check - no price found for this item",IF(F30="","Assign - nobody credited",IF(AH30&gt;0.004,"Unpaid - balance outstanding",IF(AC30&lt;0,"Loss - sold below cost",IF(X30&gt;W30*0.5,"Check - more than half off","OK")))))))</f>
        <v>0</v>
      </c>
    </row>
    <row r="31" spans="1:38">
      <c r="A31" s="28">
        <f>IF(B31="","",SalePrefix&amp;TEXT(ROW()-4,"0000"))</f>
        <v>0</v>
      </c>
      <c r="E31" s="15">
        <f>IF(D31="","",IFERROR(INDEX(Clients!$B$5:$B$504,MATCH(D31,Clients!$A$5:$A$504,0)),"Walk-in"))</f>
        <v>0</v>
      </c>
      <c r="G31" s="15">
        <f>IF(F31="","",IFERROR(INDEX(Staff!$B$5:$B$44,MATCH(F31,Staff!$A$5:$A$44,0)),"House"))</f>
        <v>0</v>
      </c>
      <c r="R31" s="15">
        <f>IF(B31="","",TEXT(B31,"yyyy-mm"))</f>
        <v>0</v>
      </c>
      <c r="S31" s="25">
        <f>IF(B31="","",WEEKNUM(B31,2))</f>
        <v>0</v>
      </c>
      <c r="T31" s="37">
        <f>IF(B31="","",IF(K31="",1,K31))</f>
        <v>0</v>
      </c>
      <c r="U31" s="15">
        <f>IF(B31="","",IF(J31&lt;&gt;"",J31,IF(H31="Retail",IFERROR(INDEX(Inventory!$B$5:$B$304,MATCH(I31,Inventory!$A$5:$A$304,0))&amp;"","Not in Inventory"),IFERROR(INDEX(Services!$B$5:$B$204,MATCH(I31,Services!$A$5:$A$204,0))&amp;"","Not in Services"))))</f>
        <v>0</v>
      </c>
      <c r="V31" s="26">
        <f>IF(B31="","",IF(L31&lt;&gt;"",L31,IF(H31="Retail",IFERROR(INDEX(Inventory!$I$5:$I$304,MATCH(I31,Inventory!$A$5:$A$304,0))*1,0),IFERROR(INDEX(Services!$G$5:$G$204,MATCH(I31,Services!$A$5:$A$204,0))*1,0))))</f>
        <v>0</v>
      </c>
      <c r="W31" s="26">
        <f>IF(B31="","",ROUND(T31*V31,2))</f>
        <v>0</v>
      </c>
      <c r="X31" s="26">
        <f>IF(B31="","",ROUND(IF(M31="",0,W31*M31)+IF(N31="",0,N31),2))</f>
        <v>0</v>
      </c>
      <c r="Y31" s="26">
        <f>IF(B31="","",ROUND(W31-X31-IF(P31="",0,P31),2))</f>
        <v>0</v>
      </c>
      <c r="Z31" s="26">
        <f>IF(B31="","",IF(H31="Retail",IF(TaxOnRetail="Yes",ROUND(Y31*TaxRate,2),0),IF(H31="Service",IF(TaxOnServices="Yes",ROUND(Y31*TaxRate,2),0),0)))</f>
        <v>0</v>
      </c>
      <c r="AA31" s="26">
        <f>IF(B31="","",ROUND(Y31+Z31,2))</f>
        <v>0</v>
      </c>
      <c r="AB31" s="26">
        <f>IF(B31="","",ROUND(T31*IF(H31="Retail",IFERROR(INDEX(Inventory!$H$5:$H$304,MATCH(I31,Inventory!$A$5:$A$304,0))*1,0),IFERROR(INDEX(Services!$Q$5:$Q$204,MATCH(I31,Services!$A$5:$A$204,0))*1,0)),2))</f>
        <v>0</v>
      </c>
      <c r="AC31" s="26">
        <f>IF(B31="","",ROUND(Y31-AB31,2))</f>
        <v>0</v>
      </c>
      <c r="AD31" s="38">
        <f>IF(B31="","",IF(C31="","No",IF(COUNTIFS($C$5:C31,C31)=1,"Yes","No")))</f>
        <v>0</v>
      </c>
      <c r="AE31" s="26">
        <f>IF(B31="","",ROUND(SUMIFS(Payments!$G$5:$G$1204,Payments!$H$5:$H$1204,A31,Payments!$Q$5:$Q$1204,"Yes"),2))</f>
        <v>0</v>
      </c>
      <c r="AF31" s="26">
        <f>IF(B31="","",IF(AD31="No",0,ROUND(SUMIFS(Payments!$G$5:$G$1204,Payments!$I$5:$I$1204,C31,Payments!$H$5:$H$1204,"",Payments!$Q$5:$Q$1204,"Yes"),2)))</f>
        <v>0</v>
      </c>
      <c r="AG31" s="26">
        <f>IF(B31="","",ROUND(AE31+AF31,2))</f>
        <v>0</v>
      </c>
      <c r="AH31" s="26">
        <f>IF(B31="","",ROUND(AA31-AG31,2))</f>
        <v>0</v>
      </c>
      <c r="AI31" s="39">
        <f>IF(B31="","",IF(AA31&lt;=0,"No charge",IF(AH31&lt;=0.004,"Paid",IF(AG31&lt;=0.004,"Unpaid","Part paid"))))</f>
        <v>0</v>
      </c>
      <c r="AJ31" s="38">
        <f>IF(B31="","",IF(H31&lt;&gt;"Service","",IF(D31="","No",IF(COUNTIFS($D$5:$D$1204,D31,$B$5:$B$1204,B31,$H$5:$H$1204,"Retail")&gt;0,"Yes","No"))))</f>
        <v>0</v>
      </c>
      <c r="AK31" s="25">
        <f>IF(B31="","",COUNTIFS($Y$5:$Y$1204,"&gt;"&amp;Y31)+COUNTIFS($Y$5:Y31,Y31))</f>
        <v>0</v>
      </c>
      <c r="AL31" s="39">
        <f>IF(B31="","",IF(H31="","Add - what kind of sale is this?",IF(IF(V31&lt;=0,P31="",FALSE),"Check - no price found for this item",IF(F31="","Assign - nobody credited",IF(AH31&gt;0.004,"Unpaid - balance outstanding",IF(AC31&lt;0,"Loss - sold below cost",IF(X31&gt;W31*0.5,"Check - more than half off","OK")))))))</f>
        <v>0</v>
      </c>
    </row>
    <row r="32" spans="1:38">
      <c r="A32" s="28">
        <f>IF(B32="","",SalePrefix&amp;TEXT(ROW()-4,"0000"))</f>
        <v>0</v>
      </c>
      <c r="E32" s="15">
        <f>IF(D32="","",IFERROR(INDEX(Clients!$B$5:$B$504,MATCH(D32,Clients!$A$5:$A$504,0)),"Walk-in"))</f>
        <v>0</v>
      </c>
      <c r="G32" s="15">
        <f>IF(F32="","",IFERROR(INDEX(Staff!$B$5:$B$44,MATCH(F32,Staff!$A$5:$A$44,0)),"House"))</f>
        <v>0</v>
      </c>
      <c r="R32" s="15">
        <f>IF(B32="","",TEXT(B32,"yyyy-mm"))</f>
        <v>0</v>
      </c>
      <c r="S32" s="25">
        <f>IF(B32="","",WEEKNUM(B32,2))</f>
        <v>0</v>
      </c>
      <c r="T32" s="37">
        <f>IF(B32="","",IF(K32="",1,K32))</f>
        <v>0</v>
      </c>
      <c r="U32" s="15">
        <f>IF(B32="","",IF(J32&lt;&gt;"",J32,IF(H32="Retail",IFERROR(INDEX(Inventory!$B$5:$B$304,MATCH(I32,Inventory!$A$5:$A$304,0))&amp;"","Not in Inventory"),IFERROR(INDEX(Services!$B$5:$B$204,MATCH(I32,Services!$A$5:$A$204,0))&amp;"","Not in Services"))))</f>
        <v>0</v>
      </c>
      <c r="V32" s="26">
        <f>IF(B32="","",IF(L32&lt;&gt;"",L32,IF(H32="Retail",IFERROR(INDEX(Inventory!$I$5:$I$304,MATCH(I32,Inventory!$A$5:$A$304,0))*1,0),IFERROR(INDEX(Services!$G$5:$G$204,MATCH(I32,Services!$A$5:$A$204,0))*1,0))))</f>
        <v>0</v>
      </c>
      <c r="W32" s="26">
        <f>IF(B32="","",ROUND(T32*V32,2))</f>
        <v>0</v>
      </c>
      <c r="X32" s="26">
        <f>IF(B32="","",ROUND(IF(M32="",0,W32*M32)+IF(N32="",0,N32),2))</f>
        <v>0</v>
      </c>
      <c r="Y32" s="26">
        <f>IF(B32="","",ROUND(W32-X32-IF(P32="",0,P32),2))</f>
        <v>0</v>
      </c>
      <c r="Z32" s="26">
        <f>IF(B32="","",IF(H32="Retail",IF(TaxOnRetail="Yes",ROUND(Y32*TaxRate,2),0),IF(H32="Service",IF(TaxOnServices="Yes",ROUND(Y32*TaxRate,2),0),0)))</f>
        <v>0</v>
      </c>
      <c r="AA32" s="26">
        <f>IF(B32="","",ROUND(Y32+Z32,2))</f>
        <v>0</v>
      </c>
      <c r="AB32" s="26">
        <f>IF(B32="","",ROUND(T32*IF(H32="Retail",IFERROR(INDEX(Inventory!$H$5:$H$304,MATCH(I32,Inventory!$A$5:$A$304,0))*1,0),IFERROR(INDEX(Services!$Q$5:$Q$204,MATCH(I32,Services!$A$5:$A$204,0))*1,0)),2))</f>
        <v>0</v>
      </c>
      <c r="AC32" s="26">
        <f>IF(B32="","",ROUND(Y32-AB32,2))</f>
        <v>0</v>
      </c>
      <c r="AD32" s="38">
        <f>IF(B32="","",IF(C32="","No",IF(COUNTIFS($C$5:C32,C32)=1,"Yes","No")))</f>
        <v>0</v>
      </c>
      <c r="AE32" s="26">
        <f>IF(B32="","",ROUND(SUMIFS(Payments!$G$5:$G$1204,Payments!$H$5:$H$1204,A32,Payments!$Q$5:$Q$1204,"Yes"),2))</f>
        <v>0</v>
      </c>
      <c r="AF32" s="26">
        <f>IF(B32="","",IF(AD32="No",0,ROUND(SUMIFS(Payments!$G$5:$G$1204,Payments!$I$5:$I$1204,C32,Payments!$H$5:$H$1204,"",Payments!$Q$5:$Q$1204,"Yes"),2)))</f>
        <v>0</v>
      </c>
      <c r="AG32" s="26">
        <f>IF(B32="","",ROUND(AE32+AF32,2))</f>
        <v>0</v>
      </c>
      <c r="AH32" s="26">
        <f>IF(B32="","",ROUND(AA32-AG32,2))</f>
        <v>0</v>
      </c>
      <c r="AI32" s="39">
        <f>IF(B32="","",IF(AA32&lt;=0,"No charge",IF(AH32&lt;=0.004,"Paid",IF(AG32&lt;=0.004,"Unpaid","Part paid"))))</f>
        <v>0</v>
      </c>
      <c r="AJ32" s="38">
        <f>IF(B32="","",IF(H32&lt;&gt;"Service","",IF(D32="","No",IF(COUNTIFS($D$5:$D$1204,D32,$B$5:$B$1204,B32,$H$5:$H$1204,"Retail")&gt;0,"Yes","No"))))</f>
        <v>0</v>
      </c>
      <c r="AK32" s="25">
        <f>IF(B32="","",COUNTIFS($Y$5:$Y$1204,"&gt;"&amp;Y32)+COUNTIFS($Y$5:Y32,Y32))</f>
        <v>0</v>
      </c>
      <c r="AL32" s="39">
        <f>IF(B32="","",IF(H32="","Add - what kind of sale is this?",IF(IF(V32&lt;=0,P32="",FALSE),"Check - no price found for this item",IF(F32="","Assign - nobody credited",IF(AH32&gt;0.004,"Unpaid - balance outstanding",IF(AC32&lt;0,"Loss - sold below cost",IF(X32&gt;W32*0.5,"Check - more than half off","OK")))))))</f>
        <v>0</v>
      </c>
    </row>
    <row r="33" spans="1:38">
      <c r="A33" s="28">
        <f>IF(B33="","",SalePrefix&amp;TEXT(ROW()-4,"0000"))</f>
        <v>0</v>
      </c>
      <c r="E33" s="15">
        <f>IF(D33="","",IFERROR(INDEX(Clients!$B$5:$B$504,MATCH(D33,Clients!$A$5:$A$504,0)),"Walk-in"))</f>
        <v>0</v>
      </c>
      <c r="G33" s="15">
        <f>IF(F33="","",IFERROR(INDEX(Staff!$B$5:$B$44,MATCH(F33,Staff!$A$5:$A$44,0)),"House"))</f>
        <v>0</v>
      </c>
      <c r="R33" s="15">
        <f>IF(B33="","",TEXT(B33,"yyyy-mm"))</f>
        <v>0</v>
      </c>
      <c r="S33" s="25">
        <f>IF(B33="","",WEEKNUM(B33,2))</f>
        <v>0</v>
      </c>
      <c r="T33" s="37">
        <f>IF(B33="","",IF(K33="",1,K33))</f>
        <v>0</v>
      </c>
      <c r="U33" s="15">
        <f>IF(B33="","",IF(J33&lt;&gt;"",J33,IF(H33="Retail",IFERROR(INDEX(Inventory!$B$5:$B$304,MATCH(I33,Inventory!$A$5:$A$304,0))&amp;"","Not in Inventory"),IFERROR(INDEX(Services!$B$5:$B$204,MATCH(I33,Services!$A$5:$A$204,0))&amp;"","Not in Services"))))</f>
        <v>0</v>
      </c>
      <c r="V33" s="26">
        <f>IF(B33="","",IF(L33&lt;&gt;"",L33,IF(H33="Retail",IFERROR(INDEX(Inventory!$I$5:$I$304,MATCH(I33,Inventory!$A$5:$A$304,0))*1,0),IFERROR(INDEX(Services!$G$5:$G$204,MATCH(I33,Services!$A$5:$A$204,0))*1,0))))</f>
        <v>0</v>
      </c>
      <c r="W33" s="26">
        <f>IF(B33="","",ROUND(T33*V33,2))</f>
        <v>0</v>
      </c>
      <c r="X33" s="26">
        <f>IF(B33="","",ROUND(IF(M33="",0,W33*M33)+IF(N33="",0,N33),2))</f>
        <v>0</v>
      </c>
      <c r="Y33" s="26">
        <f>IF(B33="","",ROUND(W33-X33-IF(P33="",0,P33),2))</f>
        <v>0</v>
      </c>
      <c r="Z33" s="26">
        <f>IF(B33="","",IF(H33="Retail",IF(TaxOnRetail="Yes",ROUND(Y33*TaxRate,2),0),IF(H33="Service",IF(TaxOnServices="Yes",ROUND(Y33*TaxRate,2),0),0)))</f>
        <v>0</v>
      </c>
      <c r="AA33" s="26">
        <f>IF(B33="","",ROUND(Y33+Z33,2))</f>
        <v>0</v>
      </c>
      <c r="AB33" s="26">
        <f>IF(B33="","",ROUND(T33*IF(H33="Retail",IFERROR(INDEX(Inventory!$H$5:$H$304,MATCH(I33,Inventory!$A$5:$A$304,0))*1,0),IFERROR(INDEX(Services!$Q$5:$Q$204,MATCH(I33,Services!$A$5:$A$204,0))*1,0)),2))</f>
        <v>0</v>
      </c>
      <c r="AC33" s="26">
        <f>IF(B33="","",ROUND(Y33-AB33,2))</f>
        <v>0</v>
      </c>
      <c r="AD33" s="38">
        <f>IF(B33="","",IF(C33="","No",IF(COUNTIFS($C$5:C33,C33)=1,"Yes","No")))</f>
        <v>0</v>
      </c>
      <c r="AE33" s="26">
        <f>IF(B33="","",ROUND(SUMIFS(Payments!$G$5:$G$1204,Payments!$H$5:$H$1204,A33,Payments!$Q$5:$Q$1204,"Yes"),2))</f>
        <v>0</v>
      </c>
      <c r="AF33" s="26">
        <f>IF(B33="","",IF(AD33="No",0,ROUND(SUMIFS(Payments!$G$5:$G$1204,Payments!$I$5:$I$1204,C33,Payments!$H$5:$H$1204,"",Payments!$Q$5:$Q$1204,"Yes"),2)))</f>
        <v>0</v>
      </c>
      <c r="AG33" s="26">
        <f>IF(B33="","",ROUND(AE33+AF33,2))</f>
        <v>0</v>
      </c>
      <c r="AH33" s="26">
        <f>IF(B33="","",ROUND(AA33-AG33,2))</f>
        <v>0</v>
      </c>
      <c r="AI33" s="39">
        <f>IF(B33="","",IF(AA33&lt;=0,"No charge",IF(AH33&lt;=0.004,"Paid",IF(AG33&lt;=0.004,"Unpaid","Part paid"))))</f>
        <v>0</v>
      </c>
      <c r="AJ33" s="38">
        <f>IF(B33="","",IF(H33&lt;&gt;"Service","",IF(D33="","No",IF(COUNTIFS($D$5:$D$1204,D33,$B$5:$B$1204,B33,$H$5:$H$1204,"Retail")&gt;0,"Yes","No"))))</f>
        <v>0</v>
      </c>
      <c r="AK33" s="25">
        <f>IF(B33="","",COUNTIFS($Y$5:$Y$1204,"&gt;"&amp;Y33)+COUNTIFS($Y$5:Y33,Y33))</f>
        <v>0</v>
      </c>
      <c r="AL33" s="39">
        <f>IF(B33="","",IF(H33="","Add - what kind of sale is this?",IF(IF(V33&lt;=0,P33="",FALSE),"Check - no price found for this item",IF(F33="","Assign - nobody credited",IF(AH33&gt;0.004,"Unpaid - balance outstanding",IF(AC33&lt;0,"Loss - sold below cost",IF(X33&gt;W33*0.5,"Check - more than half off","OK")))))))</f>
        <v>0</v>
      </c>
    </row>
    <row r="34" spans="1:38">
      <c r="A34" s="28">
        <f>IF(B34="","",SalePrefix&amp;TEXT(ROW()-4,"0000"))</f>
        <v>0</v>
      </c>
      <c r="E34" s="15">
        <f>IF(D34="","",IFERROR(INDEX(Clients!$B$5:$B$504,MATCH(D34,Clients!$A$5:$A$504,0)),"Walk-in"))</f>
        <v>0</v>
      </c>
      <c r="G34" s="15">
        <f>IF(F34="","",IFERROR(INDEX(Staff!$B$5:$B$44,MATCH(F34,Staff!$A$5:$A$44,0)),"House"))</f>
        <v>0</v>
      </c>
      <c r="R34" s="15">
        <f>IF(B34="","",TEXT(B34,"yyyy-mm"))</f>
        <v>0</v>
      </c>
      <c r="S34" s="25">
        <f>IF(B34="","",WEEKNUM(B34,2))</f>
        <v>0</v>
      </c>
      <c r="T34" s="37">
        <f>IF(B34="","",IF(K34="",1,K34))</f>
        <v>0</v>
      </c>
      <c r="U34" s="15">
        <f>IF(B34="","",IF(J34&lt;&gt;"",J34,IF(H34="Retail",IFERROR(INDEX(Inventory!$B$5:$B$304,MATCH(I34,Inventory!$A$5:$A$304,0))&amp;"","Not in Inventory"),IFERROR(INDEX(Services!$B$5:$B$204,MATCH(I34,Services!$A$5:$A$204,0))&amp;"","Not in Services"))))</f>
        <v>0</v>
      </c>
      <c r="V34" s="26">
        <f>IF(B34="","",IF(L34&lt;&gt;"",L34,IF(H34="Retail",IFERROR(INDEX(Inventory!$I$5:$I$304,MATCH(I34,Inventory!$A$5:$A$304,0))*1,0),IFERROR(INDEX(Services!$G$5:$G$204,MATCH(I34,Services!$A$5:$A$204,0))*1,0))))</f>
        <v>0</v>
      </c>
      <c r="W34" s="26">
        <f>IF(B34="","",ROUND(T34*V34,2))</f>
        <v>0</v>
      </c>
      <c r="X34" s="26">
        <f>IF(B34="","",ROUND(IF(M34="",0,W34*M34)+IF(N34="",0,N34),2))</f>
        <v>0</v>
      </c>
      <c r="Y34" s="26">
        <f>IF(B34="","",ROUND(W34-X34-IF(P34="",0,P34),2))</f>
        <v>0</v>
      </c>
      <c r="Z34" s="26">
        <f>IF(B34="","",IF(H34="Retail",IF(TaxOnRetail="Yes",ROUND(Y34*TaxRate,2),0),IF(H34="Service",IF(TaxOnServices="Yes",ROUND(Y34*TaxRate,2),0),0)))</f>
        <v>0</v>
      </c>
      <c r="AA34" s="26">
        <f>IF(B34="","",ROUND(Y34+Z34,2))</f>
        <v>0</v>
      </c>
      <c r="AB34" s="26">
        <f>IF(B34="","",ROUND(T34*IF(H34="Retail",IFERROR(INDEX(Inventory!$H$5:$H$304,MATCH(I34,Inventory!$A$5:$A$304,0))*1,0),IFERROR(INDEX(Services!$Q$5:$Q$204,MATCH(I34,Services!$A$5:$A$204,0))*1,0)),2))</f>
        <v>0</v>
      </c>
      <c r="AC34" s="26">
        <f>IF(B34="","",ROUND(Y34-AB34,2))</f>
        <v>0</v>
      </c>
      <c r="AD34" s="38">
        <f>IF(B34="","",IF(C34="","No",IF(COUNTIFS($C$5:C34,C34)=1,"Yes","No")))</f>
        <v>0</v>
      </c>
      <c r="AE34" s="26">
        <f>IF(B34="","",ROUND(SUMIFS(Payments!$G$5:$G$1204,Payments!$H$5:$H$1204,A34,Payments!$Q$5:$Q$1204,"Yes"),2))</f>
        <v>0</v>
      </c>
      <c r="AF34" s="26">
        <f>IF(B34="","",IF(AD34="No",0,ROUND(SUMIFS(Payments!$G$5:$G$1204,Payments!$I$5:$I$1204,C34,Payments!$H$5:$H$1204,"",Payments!$Q$5:$Q$1204,"Yes"),2)))</f>
        <v>0</v>
      </c>
      <c r="AG34" s="26">
        <f>IF(B34="","",ROUND(AE34+AF34,2))</f>
        <v>0</v>
      </c>
      <c r="AH34" s="26">
        <f>IF(B34="","",ROUND(AA34-AG34,2))</f>
        <v>0</v>
      </c>
      <c r="AI34" s="39">
        <f>IF(B34="","",IF(AA34&lt;=0,"No charge",IF(AH34&lt;=0.004,"Paid",IF(AG34&lt;=0.004,"Unpaid","Part paid"))))</f>
        <v>0</v>
      </c>
      <c r="AJ34" s="38">
        <f>IF(B34="","",IF(H34&lt;&gt;"Service","",IF(D34="","No",IF(COUNTIFS($D$5:$D$1204,D34,$B$5:$B$1204,B34,$H$5:$H$1204,"Retail")&gt;0,"Yes","No"))))</f>
        <v>0</v>
      </c>
      <c r="AK34" s="25">
        <f>IF(B34="","",COUNTIFS($Y$5:$Y$1204,"&gt;"&amp;Y34)+COUNTIFS($Y$5:Y34,Y34))</f>
        <v>0</v>
      </c>
      <c r="AL34" s="39">
        <f>IF(B34="","",IF(H34="","Add - what kind of sale is this?",IF(IF(V34&lt;=0,P34="",FALSE),"Check - no price found for this item",IF(F34="","Assign - nobody credited",IF(AH34&gt;0.004,"Unpaid - balance outstanding",IF(AC34&lt;0,"Loss - sold below cost",IF(X34&gt;W34*0.5,"Check - more than half off","OK")))))))</f>
        <v>0</v>
      </c>
    </row>
    <row r="35" spans="1:38">
      <c r="A35" s="28">
        <f>IF(B35="","",SalePrefix&amp;TEXT(ROW()-4,"0000"))</f>
        <v>0</v>
      </c>
      <c r="E35" s="15">
        <f>IF(D35="","",IFERROR(INDEX(Clients!$B$5:$B$504,MATCH(D35,Clients!$A$5:$A$504,0)),"Walk-in"))</f>
        <v>0</v>
      </c>
      <c r="G35" s="15">
        <f>IF(F35="","",IFERROR(INDEX(Staff!$B$5:$B$44,MATCH(F35,Staff!$A$5:$A$44,0)),"House"))</f>
        <v>0</v>
      </c>
      <c r="R35" s="15">
        <f>IF(B35="","",TEXT(B35,"yyyy-mm"))</f>
        <v>0</v>
      </c>
      <c r="S35" s="25">
        <f>IF(B35="","",WEEKNUM(B35,2))</f>
        <v>0</v>
      </c>
      <c r="T35" s="37">
        <f>IF(B35="","",IF(K35="",1,K35))</f>
        <v>0</v>
      </c>
      <c r="U35" s="15">
        <f>IF(B35="","",IF(J35&lt;&gt;"",J35,IF(H35="Retail",IFERROR(INDEX(Inventory!$B$5:$B$304,MATCH(I35,Inventory!$A$5:$A$304,0))&amp;"","Not in Inventory"),IFERROR(INDEX(Services!$B$5:$B$204,MATCH(I35,Services!$A$5:$A$204,0))&amp;"","Not in Services"))))</f>
        <v>0</v>
      </c>
      <c r="V35" s="26">
        <f>IF(B35="","",IF(L35&lt;&gt;"",L35,IF(H35="Retail",IFERROR(INDEX(Inventory!$I$5:$I$304,MATCH(I35,Inventory!$A$5:$A$304,0))*1,0),IFERROR(INDEX(Services!$G$5:$G$204,MATCH(I35,Services!$A$5:$A$204,0))*1,0))))</f>
        <v>0</v>
      </c>
      <c r="W35" s="26">
        <f>IF(B35="","",ROUND(T35*V35,2))</f>
        <v>0</v>
      </c>
      <c r="X35" s="26">
        <f>IF(B35="","",ROUND(IF(M35="",0,W35*M35)+IF(N35="",0,N35),2))</f>
        <v>0</v>
      </c>
      <c r="Y35" s="26">
        <f>IF(B35="","",ROUND(W35-X35-IF(P35="",0,P35),2))</f>
        <v>0</v>
      </c>
      <c r="Z35" s="26">
        <f>IF(B35="","",IF(H35="Retail",IF(TaxOnRetail="Yes",ROUND(Y35*TaxRate,2),0),IF(H35="Service",IF(TaxOnServices="Yes",ROUND(Y35*TaxRate,2),0),0)))</f>
        <v>0</v>
      </c>
      <c r="AA35" s="26">
        <f>IF(B35="","",ROUND(Y35+Z35,2))</f>
        <v>0</v>
      </c>
      <c r="AB35" s="26">
        <f>IF(B35="","",ROUND(T35*IF(H35="Retail",IFERROR(INDEX(Inventory!$H$5:$H$304,MATCH(I35,Inventory!$A$5:$A$304,0))*1,0),IFERROR(INDEX(Services!$Q$5:$Q$204,MATCH(I35,Services!$A$5:$A$204,0))*1,0)),2))</f>
        <v>0</v>
      </c>
      <c r="AC35" s="26">
        <f>IF(B35="","",ROUND(Y35-AB35,2))</f>
        <v>0</v>
      </c>
      <c r="AD35" s="38">
        <f>IF(B35="","",IF(C35="","No",IF(COUNTIFS($C$5:C35,C35)=1,"Yes","No")))</f>
        <v>0</v>
      </c>
      <c r="AE35" s="26">
        <f>IF(B35="","",ROUND(SUMIFS(Payments!$G$5:$G$1204,Payments!$H$5:$H$1204,A35,Payments!$Q$5:$Q$1204,"Yes"),2))</f>
        <v>0</v>
      </c>
      <c r="AF35" s="26">
        <f>IF(B35="","",IF(AD35="No",0,ROUND(SUMIFS(Payments!$G$5:$G$1204,Payments!$I$5:$I$1204,C35,Payments!$H$5:$H$1204,"",Payments!$Q$5:$Q$1204,"Yes"),2)))</f>
        <v>0</v>
      </c>
      <c r="AG35" s="26">
        <f>IF(B35="","",ROUND(AE35+AF35,2))</f>
        <v>0</v>
      </c>
      <c r="AH35" s="26">
        <f>IF(B35="","",ROUND(AA35-AG35,2))</f>
        <v>0</v>
      </c>
      <c r="AI35" s="39">
        <f>IF(B35="","",IF(AA35&lt;=0,"No charge",IF(AH35&lt;=0.004,"Paid",IF(AG35&lt;=0.004,"Unpaid","Part paid"))))</f>
        <v>0</v>
      </c>
      <c r="AJ35" s="38">
        <f>IF(B35="","",IF(H35&lt;&gt;"Service","",IF(D35="","No",IF(COUNTIFS($D$5:$D$1204,D35,$B$5:$B$1204,B35,$H$5:$H$1204,"Retail")&gt;0,"Yes","No"))))</f>
        <v>0</v>
      </c>
      <c r="AK35" s="25">
        <f>IF(B35="","",COUNTIFS($Y$5:$Y$1204,"&gt;"&amp;Y35)+COUNTIFS($Y$5:Y35,Y35))</f>
        <v>0</v>
      </c>
      <c r="AL35" s="39">
        <f>IF(B35="","",IF(H35="","Add - what kind of sale is this?",IF(IF(V35&lt;=0,P35="",FALSE),"Check - no price found for this item",IF(F35="","Assign - nobody credited",IF(AH35&gt;0.004,"Unpaid - balance outstanding",IF(AC35&lt;0,"Loss - sold below cost",IF(X35&gt;W35*0.5,"Check - more than half off","OK")))))))</f>
        <v>0</v>
      </c>
    </row>
    <row r="36" spans="1:38">
      <c r="A36" s="28">
        <f>IF(B36="","",SalePrefix&amp;TEXT(ROW()-4,"0000"))</f>
        <v>0</v>
      </c>
      <c r="E36" s="15">
        <f>IF(D36="","",IFERROR(INDEX(Clients!$B$5:$B$504,MATCH(D36,Clients!$A$5:$A$504,0)),"Walk-in"))</f>
        <v>0</v>
      </c>
      <c r="G36" s="15">
        <f>IF(F36="","",IFERROR(INDEX(Staff!$B$5:$B$44,MATCH(F36,Staff!$A$5:$A$44,0)),"House"))</f>
        <v>0</v>
      </c>
      <c r="R36" s="15">
        <f>IF(B36="","",TEXT(B36,"yyyy-mm"))</f>
        <v>0</v>
      </c>
      <c r="S36" s="25">
        <f>IF(B36="","",WEEKNUM(B36,2))</f>
        <v>0</v>
      </c>
      <c r="T36" s="37">
        <f>IF(B36="","",IF(K36="",1,K36))</f>
        <v>0</v>
      </c>
      <c r="U36" s="15">
        <f>IF(B36="","",IF(J36&lt;&gt;"",J36,IF(H36="Retail",IFERROR(INDEX(Inventory!$B$5:$B$304,MATCH(I36,Inventory!$A$5:$A$304,0))&amp;"","Not in Inventory"),IFERROR(INDEX(Services!$B$5:$B$204,MATCH(I36,Services!$A$5:$A$204,0))&amp;"","Not in Services"))))</f>
        <v>0</v>
      </c>
      <c r="V36" s="26">
        <f>IF(B36="","",IF(L36&lt;&gt;"",L36,IF(H36="Retail",IFERROR(INDEX(Inventory!$I$5:$I$304,MATCH(I36,Inventory!$A$5:$A$304,0))*1,0),IFERROR(INDEX(Services!$G$5:$G$204,MATCH(I36,Services!$A$5:$A$204,0))*1,0))))</f>
        <v>0</v>
      </c>
      <c r="W36" s="26">
        <f>IF(B36="","",ROUND(T36*V36,2))</f>
        <v>0</v>
      </c>
      <c r="X36" s="26">
        <f>IF(B36="","",ROUND(IF(M36="",0,W36*M36)+IF(N36="",0,N36),2))</f>
        <v>0</v>
      </c>
      <c r="Y36" s="26">
        <f>IF(B36="","",ROUND(W36-X36-IF(P36="",0,P36),2))</f>
        <v>0</v>
      </c>
      <c r="Z36" s="26">
        <f>IF(B36="","",IF(H36="Retail",IF(TaxOnRetail="Yes",ROUND(Y36*TaxRate,2),0),IF(H36="Service",IF(TaxOnServices="Yes",ROUND(Y36*TaxRate,2),0),0)))</f>
        <v>0</v>
      </c>
      <c r="AA36" s="26">
        <f>IF(B36="","",ROUND(Y36+Z36,2))</f>
        <v>0</v>
      </c>
      <c r="AB36" s="26">
        <f>IF(B36="","",ROUND(T36*IF(H36="Retail",IFERROR(INDEX(Inventory!$H$5:$H$304,MATCH(I36,Inventory!$A$5:$A$304,0))*1,0),IFERROR(INDEX(Services!$Q$5:$Q$204,MATCH(I36,Services!$A$5:$A$204,0))*1,0)),2))</f>
        <v>0</v>
      </c>
      <c r="AC36" s="26">
        <f>IF(B36="","",ROUND(Y36-AB36,2))</f>
        <v>0</v>
      </c>
      <c r="AD36" s="38">
        <f>IF(B36="","",IF(C36="","No",IF(COUNTIFS($C$5:C36,C36)=1,"Yes","No")))</f>
        <v>0</v>
      </c>
      <c r="AE36" s="26">
        <f>IF(B36="","",ROUND(SUMIFS(Payments!$G$5:$G$1204,Payments!$H$5:$H$1204,A36,Payments!$Q$5:$Q$1204,"Yes"),2))</f>
        <v>0</v>
      </c>
      <c r="AF36" s="26">
        <f>IF(B36="","",IF(AD36="No",0,ROUND(SUMIFS(Payments!$G$5:$G$1204,Payments!$I$5:$I$1204,C36,Payments!$H$5:$H$1204,"",Payments!$Q$5:$Q$1204,"Yes"),2)))</f>
        <v>0</v>
      </c>
      <c r="AG36" s="26">
        <f>IF(B36="","",ROUND(AE36+AF36,2))</f>
        <v>0</v>
      </c>
      <c r="AH36" s="26">
        <f>IF(B36="","",ROUND(AA36-AG36,2))</f>
        <v>0</v>
      </c>
      <c r="AI36" s="39">
        <f>IF(B36="","",IF(AA36&lt;=0,"No charge",IF(AH36&lt;=0.004,"Paid",IF(AG36&lt;=0.004,"Unpaid","Part paid"))))</f>
        <v>0</v>
      </c>
      <c r="AJ36" s="38">
        <f>IF(B36="","",IF(H36&lt;&gt;"Service","",IF(D36="","No",IF(COUNTIFS($D$5:$D$1204,D36,$B$5:$B$1204,B36,$H$5:$H$1204,"Retail")&gt;0,"Yes","No"))))</f>
        <v>0</v>
      </c>
      <c r="AK36" s="25">
        <f>IF(B36="","",COUNTIFS($Y$5:$Y$1204,"&gt;"&amp;Y36)+COUNTIFS($Y$5:Y36,Y36))</f>
        <v>0</v>
      </c>
      <c r="AL36" s="39">
        <f>IF(B36="","",IF(H36="","Add - what kind of sale is this?",IF(IF(V36&lt;=0,P36="",FALSE),"Check - no price found for this item",IF(F36="","Assign - nobody credited",IF(AH36&gt;0.004,"Unpaid - balance outstanding",IF(AC36&lt;0,"Loss - sold below cost",IF(X36&gt;W36*0.5,"Check - more than half off","OK")))))))</f>
        <v>0</v>
      </c>
    </row>
    <row r="37" spans="1:38">
      <c r="A37" s="28">
        <f>IF(B37="","",SalePrefix&amp;TEXT(ROW()-4,"0000"))</f>
        <v>0</v>
      </c>
      <c r="E37" s="15">
        <f>IF(D37="","",IFERROR(INDEX(Clients!$B$5:$B$504,MATCH(D37,Clients!$A$5:$A$504,0)),"Walk-in"))</f>
        <v>0</v>
      </c>
      <c r="G37" s="15">
        <f>IF(F37="","",IFERROR(INDEX(Staff!$B$5:$B$44,MATCH(F37,Staff!$A$5:$A$44,0)),"House"))</f>
        <v>0</v>
      </c>
      <c r="R37" s="15">
        <f>IF(B37="","",TEXT(B37,"yyyy-mm"))</f>
        <v>0</v>
      </c>
      <c r="S37" s="25">
        <f>IF(B37="","",WEEKNUM(B37,2))</f>
        <v>0</v>
      </c>
      <c r="T37" s="37">
        <f>IF(B37="","",IF(K37="",1,K37))</f>
        <v>0</v>
      </c>
      <c r="U37" s="15">
        <f>IF(B37="","",IF(J37&lt;&gt;"",J37,IF(H37="Retail",IFERROR(INDEX(Inventory!$B$5:$B$304,MATCH(I37,Inventory!$A$5:$A$304,0))&amp;"","Not in Inventory"),IFERROR(INDEX(Services!$B$5:$B$204,MATCH(I37,Services!$A$5:$A$204,0))&amp;"","Not in Services"))))</f>
        <v>0</v>
      </c>
      <c r="V37" s="26">
        <f>IF(B37="","",IF(L37&lt;&gt;"",L37,IF(H37="Retail",IFERROR(INDEX(Inventory!$I$5:$I$304,MATCH(I37,Inventory!$A$5:$A$304,0))*1,0),IFERROR(INDEX(Services!$G$5:$G$204,MATCH(I37,Services!$A$5:$A$204,0))*1,0))))</f>
        <v>0</v>
      </c>
      <c r="W37" s="26">
        <f>IF(B37="","",ROUND(T37*V37,2))</f>
        <v>0</v>
      </c>
      <c r="X37" s="26">
        <f>IF(B37="","",ROUND(IF(M37="",0,W37*M37)+IF(N37="",0,N37),2))</f>
        <v>0</v>
      </c>
      <c r="Y37" s="26">
        <f>IF(B37="","",ROUND(W37-X37-IF(P37="",0,P37),2))</f>
        <v>0</v>
      </c>
      <c r="Z37" s="26">
        <f>IF(B37="","",IF(H37="Retail",IF(TaxOnRetail="Yes",ROUND(Y37*TaxRate,2),0),IF(H37="Service",IF(TaxOnServices="Yes",ROUND(Y37*TaxRate,2),0),0)))</f>
        <v>0</v>
      </c>
      <c r="AA37" s="26">
        <f>IF(B37="","",ROUND(Y37+Z37,2))</f>
        <v>0</v>
      </c>
      <c r="AB37" s="26">
        <f>IF(B37="","",ROUND(T37*IF(H37="Retail",IFERROR(INDEX(Inventory!$H$5:$H$304,MATCH(I37,Inventory!$A$5:$A$304,0))*1,0),IFERROR(INDEX(Services!$Q$5:$Q$204,MATCH(I37,Services!$A$5:$A$204,0))*1,0)),2))</f>
        <v>0</v>
      </c>
      <c r="AC37" s="26">
        <f>IF(B37="","",ROUND(Y37-AB37,2))</f>
        <v>0</v>
      </c>
      <c r="AD37" s="38">
        <f>IF(B37="","",IF(C37="","No",IF(COUNTIFS($C$5:C37,C37)=1,"Yes","No")))</f>
        <v>0</v>
      </c>
      <c r="AE37" s="26">
        <f>IF(B37="","",ROUND(SUMIFS(Payments!$G$5:$G$1204,Payments!$H$5:$H$1204,A37,Payments!$Q$5:$Q$1204,"Yes"),2))</f>
        <v>0</v>
      </c>
      <c r="AF37" s="26">
        <f>IF(B37="","",IF(AD37="No",0,ROUND(SUMIFS(Payments!$G$5:$G$1204,Payments!$I$5:$I$1204,C37,Payments!$H$5:$H$1204,"",Payments!$Q$5:$Q$1204,"Yes"),2)))</f>
        <v>0</v>
      </c>
      <c r="AG37" s="26">
        <f>IF(B37="","",ROUND(AE37+AF37,2))</f>
        <v>0</v>
      </c>
      <c r="AH37" s="26">
        <f>IF(B37="","",ROUND(AA37-AG37,2))</f>
        <v>0</v>
      </c>
      <c r="AI37" s="39">
        <f>IF(B37="","",IF(AA37&lt;=0,"No charge",IF(AH37&lt;=0.004,"Paid",IF(AG37&lt;=0.004,"Unpaid","Part paid"))))</f>
        <v>0</v>
      </c>
      <c r="AJ37" s="38">
        <f>IF(B37="","",IF(H37&lt;&gt;"Service","",IF(D37="","No",IF(COUNTIFS($D$5:$D$1204,D37,$B$5:$B$1204,B37,$H$5:$H$1204,"Retail")&gt;0,"Yes","No"))))</f>
        <v>0</v>
      </c>
      <c r="AK37" s="25">
        <f>IF(B37="","",COUNTIFS($Y$5:$Y$1204,"&gt;"&amp;Y37)+COUNTIFS($Y$5:Y37,Y37))</f>
        <v>0</v>
      </c>
      <c r="AL37" s="39">
        <f>IF(B37="","",IF(H37="","Add - what kind of sale is this?",IF(IF(V37&lt;=0,P37="",FALSE),"Check - no price found for this item",IF(F37="","Assign - nobody credited",IF(AH37&gt;0.004,"Unpaid - balance outstanding",IF(AC37&lt;0,"Loss - sold below cost",IF(X37&gt;W37*0.5,"Check - more than half off","OK")))))))</f>
        <v>0</v>
      </c>
    </row>
    <row r="38" spans="1:38">
      <c r="A38" s="28">
        <f>IF(B38="","",SalePrefix&amp;TEXT(ROW()-4,"0000"))</f>
        <v>0</v>
      </c>
      <c r="E38" s="15">
        <f>IF(D38="","",IFERROR(INDEX(Clients!$B$5:$B$504,MATCH(D38,Clients!$A$5:$A$504,0)),"Walk-in"))</f>
        <v>0</v>
      </c>
      <c r="G38" s="15">
        <f>IF(F38="","",IFERROR(INDEX(Staff!$B$5:$B$44,MATCH(F38,Staff!$A$5:$A$44,0)),"House"))</f>
        <v>0</v>
      </c>
      <c r="R38" s="15">
        <f>IF(B38="","",TEXT(B38,"yyyy-mm"))</f>
        <v>0</v>
      </c>
      <c r="S38" s="25">
        <f>IF(B38="","",WEEKNUM(B38,2))</f>
        <v>0</v>
      </c>
      <c r="T38" s="37">
        <f>IF(B38="","",IF(K38="",1,K38))</f>
        <v>0</v>
      </c>
      <c r="U38" s="15">
        <f>IF(B38="","",IF(J38&lt;&gt;"",J38,IF(H38="Retail",IFERROR(INDEX(Inventory!$B$5:$B$304,MATCH(I38,Inventory!$A$5:$A$304,0))&amp;"","Not in Inventory"),IFERROR(INDEX(Services!$B$5:$B$204,MATCH(I38,Services!$A$5:$A$204,0))&amp;"","Not in Services"))))</f>
        <v>0</v>
      </c>
      <c r="V38" s="26">
        <f>IF(B38="","",IF(L38&lt;&gt;"",L38,IF(H38="Retail",IFERROR(INDEX(Inventory!$I$5:$I$304,MATCH(I38,Inventory!$A$5:$A$304,0))*1,0),IFERROR(INDEX(Services!$G$5:$G$204,MATCH(I38,Services!$A$5:$A$204,0))*1,0))))</f>
        <v>0</v>
      </c>
      <c r="W38" s="26">
        <f>IF(B38="","",ROUND(T38*V38,2))</f>
        <v>0</v>
      </c>
      <c r="X38" s="26">
        <f>IF(B38="","",ROUND(IF(M38="",0,W38*M38)+IF(N38="",0,N38),2))</f>
        <v>0</v>
      </c>
      <c r="Y38" s="26">
        <f>IF(B38="","",ROUND(W38-X38-IF(P38="",0,P38),2))</f>
        <v>0</v>
      </c>
      <c r="Z38" s="26">
        <f>IF(B38="","",IF(H38="Retail",IF(TaxOnRetail="Yes",ROUND(Y38*TaxRate,2),0),IF(H38="Service",IF(TaxOnServices="Yes",ROUND(Y38*TaxRate,2),0),0)))</f>
        <v>0</v>
      </c>
      <c r="AA38" s="26">
        <f>IF(B38="","",ROUND(Y38+Z38,2))</f>
        <v>0</v>
      </c>
      <c r="AB38" s="26">
        <f>IF(B38="","",ROUND(T38*IF(H38="Retail",IFERROR(INDEX(Inventory!$H$5:$H$304,MATCH(I38,Inventory!$A$5:$A$304,0))*1,0),IFERROR(INDEX(Services!$Q$5:$Q$204,MATCH(I38,Services!$A$5:$A$204,0))*1,0)),2))</f>
        <v>0</v>
      </c>
      <c r="AC38" s="26">
        <f>IF(B38="","",ROUND(Y38-AB38,2))</f>
        <v>0</v>
      </c>
      <c r="AD38" s="38">
        <f>IF(B38="","",IF(C38="","No",IF(COUNTIFS($C$5:C38,C38)=1,"Yes","No")))</f>
        <v>0</v>
      </c>
      <c r="AE38" s="26">
        <f>IF(B38="","",ROUND(SUMIFS(Payments!$G$5:$G$1204,Payments!$H$5:$H$1204,A38,Payments!$Q$5:$Q$1204,"Yes"),2))</f>
        <v>0</v>
      </c>
      <c r="AF38" s="26">
        <f>IF(B38="","",IF(AD38="No",0,ROUND(SUMIFS(Payments!$G$5:$G$1204,Payments!$I$5:$I$1204,C38,Payments!$H$5:$H$1204,"",Payments!$Q$5:$Q$1204,"Yes"),2)))</f>
        <v>0</v>
      </c>
      <c r="AG38" s="26">
        <f>IF(B38="","",ROUND(AE38+AF38,2))</f>
        <v>0</v>
      </c>
      <c r="AH38" s="26">
        <f>IF(B38="","",ROUND(AA38-AG38,2))</f>
        <v>0</v>
      </c>
      <c r="AI38" s="39">
        <f>IF(B38="","",IF(AA38&lt;=0,"No charge",IF(AH38&lt;=0.004,"Paid",IF(AG38&lt;=0.004,"Unpaid","Part paid"))))</f>
        <v>0</v>
      </c>
      <c r="AJ38" s="38">
        <f>IF(B38="","",IF(H38&lt;&gt;"Service","",IF(D38="","No",IF(COUNTIFS($D$5:$D$1204,D38,$B$5:$B$1204,B38,$H$5:$H$1204,"Retail")&gt;0,"Yes","No"))))</f>
        <v>0</v>
      </c>
      <c r="AK38" s="25">
        <f>IF(B38="","",COUNTIFS($Y$5:$Y$1204,"&gt;"&amp;Y38)+COUNTIFS($Y$5:Y38,Y38))</f>
        <v>0</v>
      </c>
      <c r="AL38" s="39">
        <f>IF(B38="","",IF(H38="","Add - what kind of sale is this?",IF(IF(V38&lt;=0,P38="",FALSE),"Check - no price found for this item",IF(F38="","Assign - nobody credited",IF(AH38&gt;0.004,"Unpaid - balance outstanding",IF(AC38&lt;0,"Loss - sold below cost",IF(X38&gt;W38*0.5,"Check - more than half off","OK")))))))</f>
        <v>0</v>
      </c>
    </row>
    <row r="39" spans="1:38">
      <c r="A39" s="28">
        <f>IF(B39="","",SalePrefix&amp;TEXT(ROW()-4,"0000"))</f>
        <v>0</v>
      </c>
      <c r="E39" s="15">
        <f>IF(D39="","",IFERROR(INDEX(Clients!$B$5:$B$504,MATCH(D39,Clients!$A$5:$A$504,0)),"Walk-in"))</f>
        <v>0</v>
      </c>
      <c r="G39" s="15">
        <f>IF(F39="","",IFERROR(INDEX(Staff!$B$5:$B$44,MATCH(F39,Staff!$A$5:$A$44,0)),"House"))</f>
        <v>0</v>
      </c>
      <c r="R39" s="15">
        <f>IF(B39="","",TEXT(B39,"yyyy-mm"))</f>
        <v>0</v>
      </c>
      <c r="S39" s="25">
        <f>IF(B39="","",WEEKNUM(B39,2))</f>
        <v>0</v>
      </c>
      <c r="T39" s="37">
        <f>IF(B39="","",IF(K39="",1,K39))</f>
        <v>0</v>
      </c>
      <c r="U39" s="15">
        <f>IF(B39="","",IF(J39&lt;&gt;"",J39,IF(H39="Retail",IFERROR(INDEX(Inventory!$B$5:$B$304,MATCH(I39,Inventory!$A$5:$A$304,0))&amp;"","Not in Inventory"),IFERROR(INDEX(Services!$B$5:$B$204,MATCH(I39,Services!$A$5:$A$204,0))&amp;"","Not in Services"))))</f>
        <v>0</v>
      </c>
      <c r="V39" s="26">
        <f>IF(B39="","",IF(L39&lt;&gt;"",L39,IF(H39="Retail",IFERROR(INDEX(Inventory!$I$5:$I$304,MATCH(I39,Inventory!$A$5:$A$304,0))*1,0),IFERROR(INDEX(Services!$G$5:$G$204,MATCH(I39,Services!$A$5:$A$204,0))*1,0))))</f>
        <v>0</v>
      </c>
      <c r="W39" s="26">
        <f>IF(B39="","",ROUND(T39*V39,2))</f>
        <v>0</v>
      </c>
      <c r="X39" s="26">
        <f>IF(B39="","",ROUND(IF(M39="",0,W39*M39)+IF(N39="",0,N39),2))</f>
        <v>0</v>
      </c>
      <c r="Y39" s="26">
        <f>IF(B39="","",ROUND(W39-X39-IF(P39="",0,P39),2))</f>
        <v>0</v>
      </c>
      <c r="Z39" s="26">
        <f>IF(B39="","",IF(H39="Retail",IF(TaxOnRetail="Yes",ROUND(Y39*TaxRate,2),0),IF(H39="Service",IF(TaxOnServices="Yes",ROUND(Y39*TaxRate,2),0),0)))</f>
        <v>0</v>
      </c>
      <c r="AA39" s="26">
        <f>IF(B39="","",ROUND(Y39+Z39,2))</f>
        <v>0</v>
      </c>
      <c r="AB39" s="26">
        <f>IF(B39="","",ROUND(T39*IF(H39="Retail",IFERROR(INDEX(Inventory!$H$5:$H$304,MATCH(I39,Inventory!$A$5:$A$304,0))*1,0),IFERROR(INDEX(Services!$Q$5:$Q$204,MATCH(I39,Services!$A$5:$A$204,0))*1,0)),2))</f>
        <v>0</v>
      </c>
      <c r="AC39" s="26">
        <f>IF(B39="","",ROUND(Y39-AB39,2))</f>
        <v>0</v>
      </c>
      <c r="AD39" s="38">
        <f>IF(B39="","",IF(C39="","No",IF(COUNTIFS($C$5:C39,C39)=1,"Yes","No")))</f>
        <v>0</v>
      </c>
      <c r="AE39" s="26">
        <f>IF(B39="","",ROUND(SUMIFS(Payments!$G$5:$G$1204,Payments!$H$5:$H$1204,A39,Payments!$Q$5:$Q$1204,"Yes"),2))</f>
        <v>0</v>
      </c>
      <c r="AF39" s="26">
        <f>IF(B39="","",IF(AD39="No",0,ROUND(SUMIFS(Payments!$G$5:$G$1204,Payments!$I$5:$I$1204,C39,Payments!$H$5:$H$1204,"",Payments!$Q$5:$Q$1204,"Yes"),2)))</f>
        <v>0</v>
      </c>
      <c r="AG39" s="26">
        <f>IF(B39="","",ROUND(AE39+AF39,2))</f>
        <v>0</v>
      </c>
      <c r="AH39" s="26">
        <f>IF(B39="","",ROUND(AA39-AG39,2))</f>
        <v>0</v>
      </c>
      <c r="AI39" s="39">
        <f>IF(B39="","",IF(AA39&lt;=0,"No charge",IF(AH39&lt;=0.004,"Paid",IF(AG39&lt;=0.004,"Unpaid","Part paid"))))</f>
        <v>0</v>
      </c>
      <c r="AJ39" s="38">
        <f>IF(B39="","",IF(H39&lt;&gt;"Service","",IF(D39="","No",IF(COUNTIFS($D$5:$D$1204,D39,$B$5:$B$1204,B39,$H$5:$H$1204,"Retail")&gt;0,"Yes","No"))))</f>
        <v>0</v>
      </c>
      <c r="AK39" s="25">
        <f>IF(B39="","",COUNTIFS($Y$5:$Y$1204,"&gt;"&amp;Y39)+COUNTIFS($Y$5:Y39,Y39))</f>
        <v>0</v>
      </c>
      <c r="AL39" s="39">
        <f>IF(B39="","",IF(H39="","Add - what kind of sale is this?",IF(IF(V39&lt;=0,P39="",FALSE),"Check - no price found for this item",IF(F39="","Assign - nobody credited",IF(AH39&gt;0.004,"Unpaid - balance outstanding",IF(AC39&lt;0,"Loss - sold below cost",IF(X39&gt;W39*0.5,"Check - more than half off","OK")))))))</f>
        <v>0</v>
      </c>
    </row>
    <row r="40" spans="1:38">
      <c r="A40" s="28">
        <f>IF(B40="","",SalePrefix&amp;TEXT(ROW()-4,"0000"))</f>
        <v>0</v>
      </c>
      <c r="E40" s="15">
        <f>IF(D40="","",IFERROR(INDEX(Clients!$B$5:$B$504,MATCH(D40,Clients!$A$5:$A$504,0)),"Walk-in"))</f>
        <v>0</v>
      </c>
      <c r="G40" s="15">
        <f>IF(F40="","",IFERROR(INDEX(Staff!$B$5:$B$44,MATCH(F40,Staff!$A$5:$A$44,0)),"House"))</f>
        <v>0</v>
      </c>
      <c r="R40" s="15">
        <f>IF(B40="","",TEXT(B40,"yyyy-mm"))</f>
        <v>0</v>
      </c>
      <c r="S40" s="25">
        <f>IF(B40="","",WEEKNUM(B40,2))</f>
        <v>0</v>
      </c>
      <c r="T40" s="37">
        <f>IF(B40="","",IF(K40="",1,K40))</f>
        <v>0</v>
      </c>
      <c r="U40" s="15">
        <f>IF(B40="","",IF(J40&lt;&gt;"",J40,IF(H40="Retail",IFERROR(INDEX(Inventory!$B$5:$B$304,MATCH(I40,Inventory!$A$5:$A$304,0))&amp;"","Not in Inventory"),IFERROR(INDEX(Services!$B$5:$B$204,MATCH(I40,Services!$A$5:$A$204,0))&amp;"","Not in Services"))))</f>
        <v>0</v>
      </c>
      <c r="V40" s="26">
        <f>IF(B40="","",IF(L40&lt;&gt;"",L40,IF(H40="Retail",IFERROR(INDEX(Inventory!$I$5:$I$304,MATCH(I40,Inventory!$A$5:$A$304,0))*1,0),IFERROR(INDEX(Services!$G$5:$G$204,MATCH(I40,Services!$A$5:$A$204,0))*1,0))))</f>
        <v>0</v>
      </c>
      <c r="W40" s="26">
        <f>IF(B40="","",ROUND(T40*V40,2))</f>
        <v>0</v>
      </c>
      <c r="X40" s="26">
        <f>IF(B40="","",ROUND(IF(M40="",0,W40*M40)+IF(N40="",0,N40),2))</f>
        <v>0</v>
      </c>
      <c r="Y40" s="26">
        <f>IF(B40="","",ROUND(W40-X40-IF(P40="",0,P40),2))</f>
        <v>0</v>
      </c>
      <c r="Z40" s="26">
        <f>IF(B40="","",IF(H40="Retail",IF(TaxOnRetail="Yes",ROUND(Y40*TaxRate,2),0),IF(H40="Service",IF(TaxOnServices="Yes",ROUND(Y40*TaxRate,2),0),0)))</f>
        <v>0</v>
      </c>
      <c r="AA40" s="26">
        <f>IF(B40="","",ROUND(Y40+Z40,2))</f>
        <v>0</v>
      </c>
      <c r="AB40" s="26">
        <f>IF(B40="","",ROUND(T40*IF(H40="Retail",IFERROR(INDEX(Inventory!$H$5:$H$304,MATCH(I40,Inventory!$A$5:$A$304,0))*1,0),IFERROR(INDEX(Services!$Q$5:$Q$204,MATCH(I40,Services!$A$5:$A$204,0))*1,0)),2))</f>
        <v>0</v>
      </c>
      <c r="AC40" s="26">
        <f>IF(B40="","",ROUND(Y40-AB40,2))</f>
        <v>0</v>
      </c>
      <c r="AD40" s="38">
        <f>IF(B40="","",IF(C40="","No",IF(COUNTIFS($C$5:C40,C40)=1,"Yes","No")))</f>
        <v>0</v>
      </c>
      <c r="AE40" s="26">
        <f>IF(B40="","",ROUND(SUMIFS(Payments!$G$5:$G$1204,Payments!$H$5:$H$1204,A40,Payments!$Q$5:$Q$1204,"Yes"),2))</f>
        <v>0</v>
      </c>
      <c r="AF40" s="26">
        <f>IF(B40="","",IF(AD40="No",0,ROUND(SUMIFS(Payments!$G$5:$G$1204,Payments!$I$5:$I$1204,C40,Payments!$H$5:$H$1204,"",Payments!$Q$5:$Q$1204,"Yes"),2)))</f>
        <v>0</v>
      </c>
      <c r="AG40" s="26">
        <f>IF(B40="","",ROUND(AE40+AF40,2))</f>
        <v>0</v>
      </c>
      <c r="AH40" s="26">
        <f>IF(B40="","",ROUND(AA40-AG40,2))</f>
        <v>0</v>
      </c>
      <c r="AI40" s="39">
        <f>IF(B40="","",IF(AA40&lt;=0,"No charge",IF(AH40&lt;=0.004,"Paid",IF(AG40&lt;=0.004,"Unpaid","Part paid"))))</f>
        <v>0</v>
      </c>
      <c r="AJ40" s="38">
        <f>IF(B40="","",IF(H40&lt;&gt;"Service","",IF(D40="","No",IF(COUNTIFS($D$5:$D$1204,D40,$B$5:$B$1204,B40,$H$5:$H$1204,"Retail")&gt;0,"Yes","No"))))</f>
        <v>0</v>
      </c>
      <c r="AK40" s="25">
        <f>IF(B40="","",COUNTIFS($Y$5:$Y$1204,"&gt;"&amp;Y40)+COUNTIFS($Y$5:Y40,Y40))</f>
        <v>0</v>
      </c>
      <c r="AL40" s="39">
        <f>IF(B40="","",IF(H40="","Add - what kind of sale is this?",IF(IF(V40&lt;=0,P40="",FALSE),"Check - no price found for this item",IF(F40="","Assign - nobody credited",IF(AH40&gt;0.004,"Unpaid - balance outstanding",IF(AC40&lt;0,"Loss - sold below cost",IF(X40&gt;W40*0.5,"Check - more than half off","OK")))))))</f>
        <v>0</v>
      </c>
    </row>
    <row r="41" spans="1:38">
      <c r="A41" s="28">
        <f>IF(B41="","",SalePrefix&amp;TEXT(ROW()-4,"0000"))</f>
        <v>0</v>
      </c>
      <c r="E41" s="15">
        <f>IF(D41="","",IFERROR(INDEX(Clients!$B$5:$B$504,MATCH(D41,Clients!$A$5:$A$504,0)),"Walk-in"))</f>
        <v>0</v>
      </c>
      <c r="G41" s="15">
        <f>IF(F41="","",IFERROR(INDEX(Staff!$B$5:$B$44,MATCH(F41,Staff!$A$5:$A$44,0)),"House"))</f>
        <v>0</v>
      </c>
      <c r="R41" s="15">
        <f>IF(B41="","",TEXT(B41,"yyyy-mm"))</f>
        <v>0</v>
      </c>
      <c r="S41" s="25">
        <f>IF(B41="","",WEEKNUM(B41,2))</f>
        <v>0</v>
      </c>
      <c r="T41" s="37">
        <f>IF(B41="","",IF(K41="",1,K41))</f>
        <v>0</v>
      </c>
      <c r="U41" s="15">
        <f>IF(B41="","",IF(J41&lt;&gt;"",J41,IF(H41="Retail",IFERROR(INDEX(Inventory!$B$5:$B$304,MATCH(I41,Inventory!$A$5:$A$304,0))&amp;"","Not in Inventory"),IFERROR(INDEX(Services!$B$5:$B$204,MATCH(I41,Services!$A$5:$A$204,0))&amp;"","Not in Services"))))</f>
        <v>0</v>
      </c>
      <c r="V41" s="26">
        <f>IF(B41="","",IF(L41&lt;&gt;"",L41,IF(H41="Retail",IFERROR(INDEX(Inventory!$I$5:$I$304,MATCH(I41,Inventory!$A$5:$A$304,0))*1,0),IFERROR(INDEX(Services!$G$5:$G$204,MATCH(I41,Services!$A$5:$A$204,0))*1,0))))</f>
        <v>0</v>
      </c>
      <c r="W41" s="26">
        <f>IF(B41="","",ROUND(T41*V41,2))</f>
        <v>0</v>
      </c>
      <c r="X41" s="26">
        <f>IF(B41="","",ROUND(IF(M41="",0,W41*M41)+IF(N41="",0,N41),2))</f>
        <v>0</v>
      </c>
      <c r="Y41" s="26">
        <f>IF(B41="","",ROUND(W41-X41-IF(P41="",0,P41),2))</f>
        <v>0</v>
      </c>
      <c r="Z41" s="26">
        <f>IF(B41="","",IF(H41="Retail",IF(TaxOnRetail="Yes",ROUND(Y41*TaxRate,2),0),IF(H41="Service",IF(TaxOnServices="Yes",ROUND(Y41*TaxRate,2),0),0)))</f>
        <v>0</v>
      </c>
      <c r="AA41" s="26">
        <f>IF(B41="","",ROUND(Y41+Z41,2))</f>
        <v>0</v>
      </c>
      <c r="AB41" s="26">
        <f>IF(B41="","",ROUND(T41*IF(H41="Retail",IFERROR(INDEX(Inventory!$H$5:$H$304,MATCH(I41,Inventory!$A$5:$A$304,0))*1,0),IFERROR(INDEX(Services!$Q$5:$Q$204,MATCH(I41,Services!$A$5:$A$204,0))*1,0)),2))</f>
        <v>0</v>
      </c>
      <c r="AC41" s="26">
        <f>IF(B41="","",ROUND(Y41-AB41,2))</f>
        <v>0</v>
      </c>
      <c r="AD41" s="38">
        <f>IF(B41="","",IF(C41="","No",IF(COUNTIFS($C$5:C41,C41)=1,"Yes","No")))</f>
        <v>0</v>
      </c>
      <c r="AE41" s="26">
        <f>IF(B41="","",ROUND(SUMIFS(Payments!$G$5:$G$1204,Payments!$H$5:$H$1204,A41,Payments!$Q$5:$Q$1204,"Yes"),2))</f>
        <v>0</v>
      </c>
      <c r="AF41" s="26">
        <f>IF(B41="","",IF(AD41="No",0,ROUND(SUMIFS(Payments!$G$5:$G$1204,Payments!$I$5:$I$1204,C41,Payments!$H$5:$H$1204,"",Payments!$Q$5:$Q$1204,"Yes"),2)))</f>
        <v>0</v>
      </c>
      <c r="AG41" s="26">
        <f>IF(B41="","",ROUND(AE41+AF41,2))</f>
        <v>0</v>
      </c>
      <c r="AH41" s="26">
        <f>IF(B41="","",ROUND(AA41-AG41,2))</f>
        <v>0</v>
      </c>
      <c r="AI41" s="39">
        <f>IF(B41="","",IF(AA41&lt;=0,"No charge",IF(AH41&lt;=0.004,"Paid",IF(AG41&lt;=0.004,"Unpaid","Part paid"))))</f>
        <v>0</v>
      </c>
      <c r="AJ41" s="38">
        <f>IF(B41="","",IF(H41&lt;&gt;"Service","",IF(D41="","No",IF(COUNTIFS($D$5:$D$1204,D41,$B$5:$B$1204,B41,$H$5:$H$1204,"Retail")&gt;0,"Yes","No"))))</f>
        <v>0</v>
      </c>
      <c r="AK41" s="25">
        <f>IF(B41="","",COUNTIFS($Y$5:$Y$1204,"&gt;"&amp;Y41)+COUNTIFS($Y$5:Y41,Y41))</f>
        <v>0</v>
      </c>
      <c r="AL41" s="39">
        <f>IF(B41="","",IF(H41="","Add - what kind of sale is this?",IF(IF(V41&lt;=0,P41="",FALSE),"Check - no price found for this item",IF(F41="","Assign - nobody credited",IF(AH41&gt;0.004,"Unpaid - balance outstanding",IF(AC41&lt;0,"Loss - sold below cost",IF(X41&gt;W41*0.5,"Check - more than half off","OK")))))))</f>
        <v>0</v>
      </c>
    </row>
    <row r="42" spans="1:38">
      <c r="A42" s="28">
        <f>IF(B42="","",SalePrefix&amp;TEXT(ROW()-4,"0000"))</f>
        <v>0</v>
      </c>
      <c r="E42" s="15">
        <f>IF(D42="","",IFERROR(INDEX(Clients!$B$5:$B$504,MATCH(D42,Clients!$A$5:$A$504,0)),"Walk-in"))</f>
        <v>0</v>
      </c>
      <c r="G42" s="15">
        <f>IF(F42="","",IFERROR(INDEX(Staff!$B$5:$B$44,MATCH(F42,Staff!$A$5:$A$44,0)),"House"))</f>
        <v>0</v>
      </c>
      <c r="R42" s="15">
        <f>IF(B42="","",TEXT(B42,"yyyy-mm"))</f>
        <v>0</v>
      </c>
      <c r="S42" s="25">
        <f>IF(B42="","",WEEKNUM(B42,2))</f>
        <v>0</v>
      </c>
      <c r="T42" s="37">
        <f>IF(B42="","",IF(K42="",1,K42))</f>
        <v>0</v>
      </c>
      <c r="U42" s="15">
        <f>IF(B42="","",IF(J42&lt;&gt;"",J42,IF(H42="Retail",IFERROR(INDEX(Inventory!$B$5:$B$304,MATCH(I42,Inventory!$A$5:$A$304,0))&amp;"","Not in Inventory"),IFERROR(INDEX(Services!$B$5:$B$204,MATCH(I42,Services!$A$5:$A$204,0))&amp;"","Not in Services"))))</f>
        <v>0</v>
      </c>
      <c r="V42" s="26">
        <f>IF(B42="","",IF(L42&lt;&gt;"",L42,IF(H42="Retail",IFERROR(INDEX(Inventory!$I$5:$I$304,MATCH(I42,Inventory!$A$5:$A$304,0))*1,0),IFERROR(INDEX(Services!$G$5:$G$204,MATCH(I42,Services!$A$5:$A$204,0))*1,0))))</f>
        <v>0</v>
      </c>
      <c r="W42" s="26">
        <f>IF(B42="","",ROUND(T42*V42,2))</f>
        <v>0</v>
      </c>
      <c r="X42" s="26">
        <f>IF(B42="","",ROUND(IF(M42="",0,W42*M42)+IF(N42="",0,N42),2))</f>
        <v>0</v>
      </c>
      <c r="Y42" s="26">
        <f>IF(B42="","",ROUND(W42-X42-IF(P42="",0,P42),2))</f>
        <v>0</v>
      </c>
      <c r="Z42" s="26">
        <f>IF(B42="","",IF(H42="Retail",IF(TaxOnRetail="Yes",ROUND(Y42*TaxRate,2),0),IF(H42="Service",IF(TaxOnServices="Yes",ROUND(Y42*TaxRate,2),0),0)))</f>
        <v>0</v>
      </c>
      <c r="AA42" s="26">
        <f>IF(B42="","",ROUND(Y42+Z42,2))</f>
        <v>0</v>
      </c>
      <c r="AB42" s="26">
        <f>IF(B42="","",ROUND(T42*IF(H42="Retail",IFERROR(INDEX(Inventory!$H$5:$H$304,MATCH(I42,Inventory!$A$5:$A$304,0))*1,0),IFERROR(INDEX(Services!$Q$5:$Q$204,MATCH(I42,Services!$A$5:$A$204,0))*1,0)),2))</f>
        <v>0</v>
      </c>
      <c r="AC42" s="26">
        <f>IF(B42="","",ROUND(Y42-AB42,2))</f>
        <v>0</v>
      </c>
      <c r="AD42" s="38">
        <f>IF(B42="","",IF(C42="","No",IF(COUNTIFS($C$5:C42,C42)=1,"Yes","No")))</f>
        <v>0</v>
      </c>
      <c r="AE42" s="26">
        <f>IF(B42="","",ROUND(SUMIFS(Payments!$G$5:$G$1204,Payments!$H$5:$H$1204,A42,Payments!$Q$5:$Q$1204,"Yes"),2))</f>
        <v>0</v>
      </c>
      <c r="AF42" s="26">
        <f>IF(B42="","",IF(AD42="No",0,ROUND(SUMIFS(Payments!$G$5:$G$1204,Payments!$I$5:$I$1204,C42,Payments!$H$5:$H$1204,"",Payments!$Q$5:$Q$1204,"Yes"),2)))</f>
        <v>0</v>
      </c>
      <c r="AG42" s="26">
        <f>IF(B42="","",ROUND(AE42+AF42,2))</f>
        <v>0</v>
      </c>
      <c r="AH42" s="26">
        <f>IF(B42="","",ROUND(AA42-AG42,2))</f>
        <v>0</v>
      </c>
      <c r="AI42" s="39">
        <f>IF(B42="","",IF(AA42&lt;=0,"No charge",IF(AH42&lt;=0.004,"Paid",IF(AG42&lt;=0.004,"Unpaid","Part paid"))))</f>
        <v>0</v>
      </c>
      <c r="AJ42" s="38">
        <f>IF(B42="","",IF(H42&lt;&gt;"Service","",IF(D42="","No",IF(COUNTIFS($D$5:$D$1204,D42,$B$5:$B$1204,B42,$H$5:$H$1204,"Retail")&gt;0,"Yes","No"))))</f>
        <v>0</v>
      </c>
      <c r="AK42" s="25">
        <f>IF(B42="","",COUNTIFS($Y$5:$Y$1204,"&gt;"&amp;Y42)+COUNTIFS($Y$5:Y42,Y42))</f>
        <v>0</v>
      </c>
      <c r="AL42" s="39">
        <f>IF(B42="","",IF(H42="","Add - what kind of sale is this?",IF(IF(V42&lt;=0,P42="",FALSE),"Check - no price found for this item",IF(F42="","Assign - nobody credited",IF(AH42&gt;0.004,"Unpaid - balance outstanding",IF(AC42&lt;0,"Loss - sold below cost",IF(X42&gt;W42*0.5,"Check - more than half off","OK")))))))</f>
        <v>0</v>
      </c>
    </row>
    <row r="43" spans="1:38">
      <c r="A43" s="28">
        <f>IF(B43="","",SalePrefix&amp;TEXT(ROW()-4,"0000"))</f>
        <v>0</v>
      </c>
      <c r="E43" s="15">
        <f>IF(D43="","",IFERROR(INDEX(Clients!$B$5:$B$504,MATCH(D43,Clients!$A$5:$A$504,0)),"Walk-in"))</f>
        <v>0</v>
      </c>
      <c r="G43" s="15">
        <f>IF(F43="","",IFERROR(INDEX(Staff!$B$5:$B$44,MATCH(F43,Staff!$A$5:$A$44,0)),"House"))</f>
        <v>0</v>
      </c>
      <c r="R43" s="15">
        <f>IF(B43="","",TEXT(B43,"yyyy-mm"))</f>
        <v>0</v>
      </c>
      <c r="S43" s="25">
        <f>IF(B43="","",WEEKNUM(B43,2))</f>
        <v>0</v>
      </c>
      <c r="T43" s="37">
        <f>IF(B43="","",IF(K43="",1,K43))</f>
        <v>0</v>
      </c>
      <c r="U43" s="15">
        <f>IF(B43="","",IF(J43&lt;&gt;"",J43,IF(H43="Retail",IFERROR(INDEX(Inventory!$B$5:$B$304,MATCH(I43,Inventory!$A$5:$A$304,0))&amp;"","Not in Inventory"),IFERROR(INDEX(Services!$B$5:$B$204,MATCH(I43,Services!$A$5:$A$204,0))&amp;"","Not in Services"))))</f>
        <v>0</v>
      </c>
      <c r="V43" s="26">
        <f>IF(B43="","",IF(L43&lt;&gt;"",L43,IF(H43="Retail",IFERROR(INDEX(Inventory!$I$5:$I$304,MATCH(I43,Inventory!$A$5:$A$304,0))*1,0),IFERROR(INDEX(Services!$G$5:$G$204,MATCH(I43,Services!$A$5:$A$204,0))*1,0))))</f>
        <v>0</v>
      </c>
      <c r="W43" s="26">
        <f>IF(B43="","",ROUND(T43*V43,2))</f>
        <v>0</v>
      </c>
      <c r="X43" s="26">
        <f>IF(B43="","",ROUND(IF(M43="",0,W43*M43)+IF(N43="",0,N43),2))</f>
        <v>0</v>
      </c>
      <c r="Y43" s="26">
        <f>IF(B43="","",ROUND(W43-X43-IF(P43="",0,P43),2))</f>
        <v>0</v>
      </c>
      <c r="Z43" s="26">
        <f>IF(B43="","",IF(H43="Retail",IF(TaxOnRetail="Yes",ROUND(Y43*TaxRate,2),0),IF(H43="Service",IF(TaxOnServices="Yes",ROUND(Y43*TaxRate,2),0),0)))</f>
        <v>0</v>
      </c>
      <c r="AA43" s="26">
        <f>IF(B43="","",ROUND(Y43+Z43,2))</f>
        <v>0</v>
      </c>
      <c r="AB43" s="26">
        <f>IF(B43="","",ROUND(T43*IF(H43="Retail",IFERROR(INDEX(Inventory!$H$5:$H$304,MATCH(I43,Inventory!$A$5:$A$304,0))*1,0),IFERROR(INDEX(Services!$Q$5:$Q$204,MATCH(I43,Services!$A$5:$A$204,0))*1,0)),2))</f>
        <v>0</v>
      </c>
      <c r="AC43" s="26">
        <f>IF(B43="","",ROUND(Y43-AB43,2))</f>
        <v>0</v>
      </c>
      <c r="AD43" s="38">
        <f>IF(B43="","",IF(C43="","No",IF(COUNTIFS($C$5:C43,C43)=1,"Yes","No")))</f>
        <v>0</v>
      </c>
      <c r="AE43" s="26">
        <f>IF(B43="","",ROUND(SUMIFS(Payments!$G$5:$G$1204,Payments!$H$5:$H$1204,A43,Payments!$Q$5:$Q$1204,"Yes"),2))</f>
        <v>0</v>
      </c>
      <c r="AF43" s="26">
        <f>IF(B43="","",IF(AD43="No",0,ROUND(SUMIFS(Payments!$G$5:$G$1204,Payments!$I$5:$I$1204,C43,Payments!$H$5:$H$1204,"",Payments!$Q$5:$Q$1204,"Yes"),2)))</f>
        <v>0</v>
      </c>
      <c r="AG43" s="26">
        <f>IF(B43="","",ROUND(AE43+AF43,2))</f>
        <v>0</v>
      </c>
      <c r="AH43" s="26">
        <f>IF(B43="","",ROUND(AA43-AG43,2))</f>
        <v>0</v>
      </c>
      <c r="AI43" s="39">
        <f>IF(B43="","",IF(AA43&lt;=0,"No charge",IF(AH43&lt;=0.004,"Paid",IF(AG43&lt;=0.004,"Unpaid","Part paid"))))</f>
        <v>0</v>
      </c>
      <c r="AJ43" s="38">
        <f>IF(B43="","",IF(H43&lt;&gt;"Service","",IF(D43="","No",IF(COUNTIFS($D$5:$D$1204,D43,$B$5:$B$1204,B43,$H$5:$H$1204,"Retail")&gt;0,"Yes","No"))))</f>
        <v>0</v>
      </c>
      <c r="AK43" s="25">
        <f>IF(B43="","",COUNTIFS($Y$5:$Y$1204,"&gt;"&amp;Y43)+COUNTIFS($Y$5:Y43,Y43))</f>
        <v>0</v>
      </c>
      <c r="AL43" s="39">
        <f>IF(B43="","",IF(H43="","Add - what kind of sale is this?",IF(IF(V43&lt;=0,P43="",FALSE),"Check - no price found for this item",IF(F43="","Assign - nobody credited",IF(AH43&gt;0.004,"Unpaid - balance outstanding",IF(AC43&lt;0,"Loss - sold below cost",IF(X43&gt;W43*0.5,"Check - more than half off","OK")))))))</f>
        <v>0</v>
      </c>
    </row>
    <row r="44" spans="1:38">
      <c r="A44" s="28">
        <f>IF(B44="","",SalePrefix&amp;TEXT(ROW()-4,"0000"))</f>
        <v>0</v>
      </c>
      <c r="E44" s="15">
        <f>IF(D44="","",IFERROR(INDEX(Clients!$B$5:$B$504,MATCH(D44,Clients!$A$5:$A$504,0)),"Walk-in"))</f>
        <v>0</v>
      </c>
      <c r="G44" s="15">
        <f>IF(F44="","",IFERROR(INDEX(Staff!$B$5:$B$44,MATCH(F44,Staff!$A$5:$A$44,0)),"House"))</f>
        <v>0</v>
      </c>
      <c r="R44" s="15">
        <f>IF(B44="","",TEXT(B44,"yyyy-mm"))</f>
        <v>0</v>
      </c>
      <c r="S44" s="25">
        <f>IF(B44="","",WEEKNUM(B44,2))</f>
        <v>0</v>
      </c>
      <c r="T44" s="37">
        <f>IF(B44="","",IF(K44="",1,K44))</f>
        <v>0</v>
      </c>
      <c r="U44" s="15">
        <f>IF(B44="","",IF(J44&lt;&gt;"",J44,IF(H44="Retail",IFERROR(INDEX(Inventory!$B$5:$B$304,MATCH(I44,Inventory!$A$5:$A$304,0))&amp;"","Not in Inventory"),IFERROR(INDEX(Services!$B$5:$B$204,MATCH(I44,Services!$A$5:$A$204,0))&amp;"","Not in Services"))))</f>
        <v>0</v>
      </c>
      <c r="V44" s="26">
        <f>IF(B44="","",IF(L44&lt;&gt;"",L44,IF(H44="Retail",IFERROR(INDEX(Inventory!$I$5:$I$304,MATCH(I44,Inventory!$A$5:$A$304,0))*1,0),IFERROR(INDEX(Services!$G$5:$G$204,MATCH(I44,Services!$A$5:$A$204,0))*1,0))))</f>
        <v>0</v>
      </c>
      <c r="W44" s="26">
        <f>IF(B44="","",ROUND(T44*V44,2))</f>
        <v>0</v>
      </c>
      <c r="X44" s="26">
        <f>IF(B44="","",ROUND(IF(M44="",0,W44*M44)+IF(N44="",0,N44),2))</f>
        <v>0</v>
      </c>
      <c r="Y44" s="26">
        <f>IF(B44="","",ROUND(W44-X44-IF(P44="",0,P44),2))</f>
        <v>0</v>
      </c>
      <c r="Z44" s="26">
        <f>IF(B44="","",IF(H44="Retail",IF(TaxOnRetail="Yes",ROUND(Y44*TaxRate,2),0),IF(H44="Service",IF(TaxOnServices="Yes",ROUND(Y44*TaxRate,2),0),0)))</f>
        <v>0</v>
      </c>
      <c r="AA44" s="26">
        <f>IF(B44="","",ROUND(Y44+Z44,2))</f>
        <v>0</v>
      </c>
      <c r="AB44" s="26">
        <f>IF(B44="","",ROUND(T44*IF(H44="Retail",IFERROR(INDEX(Inventory!$H$5:$H$304,MATCH(I44,Inventory!$A$5:$A$304,0))*1,0),IFERROR(INDEX(Services!$Q$5:$Q$204,MATCH(I44,Services!$A$5:$A$204,0))*1,0)),2))</f>
        <v>0</v>
      </c>
      <c r="AC44" s="26">
        <f>IF(B44="","",ROUND(Y44-AB44,2))</f>
        <v>0</v>
      </c>
      <c r="AD44" s="38">
        <f>IF(B44="","",IF(C44="","No",IF(COUNTIFS($C$5:C44,C44)=1,"Yes","No")))</f>
        <v>0</v>
      </c>
      <c r="AE44" s="26">
        <f>IF(B44="","",ROUND(SUMIFS(Payments!$G$5:$G$1204,Payments!$H$5:$H$1204,A44,Payments!$Q$5:$Q$1204,"Yes"),2))</f>
        <v>0</v>
      </c>
      <c r="AF44" s="26">
        <f>IF(B44="","",IF(AD44="No",0,ROUND(SUMIFS(Payments!$G$5:$G$1204,Payments!$I$5:$I$1204,C44,Payments!$H$5:$H$1204,"",Payments!$Q$5:$Q$1204,"Yes"),2)))</f>
        <v>0</v>
      </c>
      <c r="AG44" s="26">
        <f>IF(B44="","",ROUND(AE44+AF44,2))</f>
        <v>0</v>
      </c>
      <c r="AH44" s="26">
        <f>IF(B44="","",ROUND(AA44-AG44,2))</f>
        <v>0</v>
      </c>
      <c r="AI44" s="39">
        <f>IF(B44="","",IF(AA44&lt;=0,"No charge",IF(AH44&lt;=0.004,"Paid",IF(AG44&lt;=0.004,"Unpaid","Part paid"))))</f>
        <v>0</v>
      </c>
      <c r="AJ44" s="38">
        <f>IF(B44="","",IF(H44&lt;&gt;"Service","",IF(D44="","No",IF(COUNTIFS($D$5:$D$1204,D44,$B$5:$B$1204,B44,$H$5:$H$1204,"Retail")&gt;0,"Yes","No"))))</f>
        <v>0</v>
      </c>
      <c r="AK44" s="25">
        <f>IF(B44="","",COUNTIFS($Y$5:$Y$1204,"&gt;"&amp;Y44)+COUNTIFS($Y$5:Y44,Y44))</f>
        <v>0</v>
      </c>
      <c r="AL44" s="39">
        <f>IF(B44="","",IF(H44="","Add - what kind of sale is this?",IF(IF(V44&lt;=0,P44="",FALSE),"Check - no price found for this item",IF(F44="","Assign - nobody credited",IF(AH44&gt;0.004,"Unpaid - balance outstanding",IF(AC44&lt;0,"Loss - sold below cost",IF(X44&gt;W44*0.5,"Check - more than half off","OK")))))))</f>
        <v>0</v>
      </c>
    </row>
    <row r="45" spans="1:38">
      <c r="A45" s="28">
        <f>IF(B45="","",SalePrefix&amp;TEXT(ROW()-4,"0000"))</f>
        <v>0</v>
      </c>
      <c r="E45" s="15">
        <f>IF(D45="","",IFERROR(INDEX(Clients!$B$5:$B$504,MATCH(D45,Clients!$A$5:$A$504,0)),"Walk-in"))</f>
        <v>0</v>
      </c>
      <c r="G45" s="15">
        <f>IF(F45="","",IFERROR(INDEX(Staff!$B$5:$B$44,MATCH(F45,Staff!$A$5:$A$44,0)),"House"))</f>
        <v>0</v>
      </c>
      <c r="R45" s="15">
        <f>IF(B45="","",TEXT(B45,"yyyy-mm"))</f>
        <v>0</v>
      </c>
      <c r="S45" s="25">
        <f>IF(B45="","",WEEKNUM(B45,2))</f>
        <v>0</v>
      </c>
      <c r="T45" s="37">
        <f>IF(B45="","",IF(K45="",1,K45))</f>
        <v>0</v>
      </c>
      <c r="U45" s="15">
        <f>IF(B45="","",IF(J45&lt;&gt;"",J45,IF(H45="Retail",IFERROR(INDEX(Inventory!$B$5:$B$304,MATCH(I45,Inventory!$A$5:$A$304,0))&amp;"","Not in Inventory"),IFERROR(INDEX(Services!$B$5:$B$204,MATCH(I45,Services!$A$5:$A$204,0))&amp;"","Not in Services"))))</f>
        <v>0</v>
      </c>
      <c r="V45" s="26">
        <f>IF(B45="","",IF(L45&lt;&gt;"",L45,IF(H45="Retail",IFERROR(INDEX(Inventory!$I$5:$I$304,MATCH(I45,Inventory!$A$5:$A$304,0))*1,0),IFERROR(INDEX(Services!$G$5:$G$204,MATCH(I45,Services!$A$5:$A$204,0))*1,0))))</f>
        <v>0</v>
      </c>
      <c r="W45" s="26">
        <f>IF(B45="","",ROUND(T45*V45,2))</f>
        <v>0</v>
      </c>
      <c r="X45" s="26">
        <f>IF(B45="","",ROUND(IF(M45="",0,W45*M45)+IF(N45="",0,N45),2))</f>
        <v>0</v>
      </c>
      <c r="Y45" s="26">
        <f>IF(B45="","",ROUND(W45-X45-IF(P45="",0,P45),2))</f>
        <v>0</v>
      </c>
      <c r="Z45" s="26">
        <f>IF(B45="","",IF(H45="Retail",IF(TaxOnRetail="Yes",ROUND(Y45*TaxRate,2),0),IF(H45="Service",IF(TaxOnServices="Yes",ROUND(Y45*TaxRate,2),0),0)))</f>
        <v>0</v>
      </c>
      <c r="AA45" s="26">
        <f>IF(B45="","",ROUND(Y45+Z45,2))</f>
        <v>0</v>
      </c>
      <c r="AB45" s="26">
        <f>IF(B45="","",ROUND(T45*IF(H45="Retail",IFERROR(INDEX(Inventory!$H$5:$H$304,MATCH(I45,Inventory!$A$5:$A$304,0))*1,0),IFERROR(INDEX(Services!$Q$5:$Q$204,MATCH(I45,Services!$A$5:$A$204,0))*1,0)),2))</f>
        <v>0</v>
      </c>
      <c r="AC45" s="26">
        <f>IF(B45="","",ROUND(Y45-AB45,2))</f>
        <v>0</v>
      </c>
      <c r="AD45" s="38">
        <f>IF(B45="","",IF(C45="","No",IF(COUNTIFS($C$5:C45,C45)=1,"Yes","No")))</f>
        <v>0</v>
      </c>
      <c r="AE45" s="26">
        <f>IF(B45="","",ROUND(SUMIFS(Payments!$G$5:$G$1204,Payments!$H$5:$H$1204,A45,Payments!$Q$5:$Q$1204,"Yes"),2))</f>
        <v>0</v>
      </c>
      <c r="AF45" s="26">
        <f>IF(B45="","",IF(AD45="No",0,ROUND(SUMIFS(Payments!$G$5:$G$1204,Payments!$I$5:$I$1204,C45,Payments!$H$5:$H$1204,"",Payments!$Q$5:$Q$1204,"Yes"),2)))</f>
        <v>0</v>
      </c>
      <c r="AG45" s="26">
        <f>IF(B45="","",ROUND(AE45+AF45,2))</f>
        <v>0</v>
      </c>
      <c r="AH45" s="26">
        <f>IF(B45="","",ROUND(AA45-AG45,2))</f>
        <v>0</v>
      </c>
      <c r="AI45" s="39">
        <f>IF(B45="","",IF(AA45&lt;=0,"No charge",IF(AH45&lt;=0.004,"Paid",IF(AG45&lt;=0.004,"Unpaid","Part paid"))))</f>
        <v>0</v>
      </c>
      <c r="AJ45" s="38">
        <f>IF(B45="","",IF(H45&lt;&gt;"Service","",IF(D45="","No",IF(COUNTIFS($D$5:$D$1204,D45,$B$5:$B$1204,B45,$H$5:$H$1204,"Retail")&gt;0,"Yes","No"))))</f>
        <v>0</v>
      </c>
      <c r="AK45" s="25">
        <f>IF(B45="","",COUNTIFS($Y$5:$Y$1204,"&gt;"&amp;Y45)+COUNTIFS($Y$5:Y45,Y45))</f>
        <v>0</v>
      </c>
      <c r="AL45" s="39">
        <f>IF(B45="","",IF(H45="","Add - what kind of sale is this?",IF(IF(V45&lt;=0,P45="",FALSE),"Check - no price found for this item",IF(F45="","Assign - nobody credited",IF(AH45&gt;0.004,"Unpaid - balance outstanding",IF(AC45&lt;0,"Loss - sold below cost",IF(X45&gt;W45*0.5,"Check - more than half off","OK")))))))</f>
        <v>0</v>
      </c>
    </row>
    <row r="46" spans="1:38">
      <c r="A46" s="28">
        <f>IF(B46="","",SalePrefix&amp;TEXT(ROW()-4,"0000"))</f>
        <v>0</v>
      </c>
      <c r="E46" s="15">
        <f>IF(D46="","",IFERROR(INDEX(Clients!$B$5:$B$504,MATCH(D46,Clients!$A$5:$A$504,0)),"Walk-in"))</f>
        <v>0</v>
      </c>
      <c r="G46" s="15">
        <f>IF(F46="","",IFERROR(INDEX(Staff!$B$5:$B$44,MATCH(F46,Staff!$A$5:$A$44,0)),"House"))</f>
        <v>0</v>
      </c>
      <c r="R46" s="15">
        <f>IF(B46="","",TEXT(B46,"yyyy-mm"))</f>
        <v>0</v>
      </c>
      <c r="S46" s="25">
        <f>IF(B46="","",WEEKNUM(B46,2))</f>
        <v>0</v>
      </c>
      <c r="T46" s="37">
        <f>IF(B46="","",IF(K46="",1,K46))</f>
        <v>0</v>
      </c>
      <c r="U46" s="15">
        <f>IF(B46="","",IF(J46&lt;&gt;"",J46,IF(H46="Retail",IFERROR(INDEX(Inventory!$B$5:$B$304,MATCH(I46,Inventory!$A$5:$A$304,0))&amp;"","Not in Inventory"),IFERROR(INDEX(Services!$B$5:$B$204,MATCH(I46,Services!$A$5:$A$204,0))&amp;"","Not in Services"))))</f>
        <v>0</v>
      </c>
      <c r="V46" s="26">
        <f>IF(B46="","",IF(L46&lt;&gt;"",L46,IF(H46="Retail",IFERROR(INDEX(Inventory!$I$5:$I$304,MATCH(I46,Inventory!$A$5:$A$304,0))*1,0),IFERROR(INDEX(Services!$G$5:$G$204,MATCH(I46,Services!$A$5:$A$204,0))*1,0))))</f>
        <v>0</v>
      </c>
      <c r="W46" s="26">
        <f>IF(B46="","",ROUND(T46*V46,2))</f>
        <v>0</v>
      </c>
      <c r="X46" s="26">
        <f>IF(B46="","",ROUND(IF(M46="",0,W46*M46)+IF(N46="",0,N46),2))</f>
        <v>0</v>
      </c>
      <c r="Y46" s="26">
        <f>IF(B46="","",ROUND(W46-X46-IF(P46="",0,P46),2))</f>
        <v>0</v>
      </c>
      <c r="Z46" s="26">
        <f>IF(B46="","",IF(H46="Retail",IF(TaxOnRetail="Yes",ROUND(Y46*TaxRate,2),0),IF(H46="Service",IF(TaxOnServices="Yes",ROUND(Y46*TaxRate,2),0),0)))</f>
        <v>0</v>
      </c>
      <c r="AA46" s="26">
        <f>IF(B46="","",ROUND(Y46+Z46,2))</f>
        <v>0</v>
      </c>
      <c r="AB46" s="26">
        <f>IF(B46="","",ROUND(T46*IF(H46="Retail",IFERROR(INDEX(Inventory!$H$5:$H$304,MATCH(I46,Inventory!$A$5:$A$304,0))*1,0),IFERROR(INDEX(Services!$Q$5:$Q$204,MATCH(I46,Services!$A$5:$A$204,0))*1,0)),2))</f>
        <v>0</v>
      </c>
      <c r="AC46" s="26">
        <f>IF(B46="","",ROUND(Y46-AB46,2))</f>
        <v>0</v>
      </c>
      <c r="AD46" s="38">
        <f>IF(B46="","",IF(C46="","No",IF(COUNTIFS($C$5:C46,C46)=1,"Yes","No")))</f>
        <v>0</v>
      </c>
      <c r="AE46" s="26">
        <f>IF(B46="","",ROUND(SUMIFS(Payments!$G$5:$G$1204,Payments!$H$5:$H$1204,A46,Payments!$Q$5:$Q$1204,"Yes"),2))</f>
        <v>0</v>
      </c>
      <c r="AF46" s="26">
        <f>IF(B46="","",IF(AD46="No",0,ROUND(SUMIFS(Payments!$G$5:$G$1204,Payments!$I$5:$I$1204,C46,Payments!$H$5:$H$1204,"",Payments!$Q$5:$Q$1204,"Yes"),2)))</f>
        <v>0</v>
      </c>
      <c r="AG46" s="26">
        <f>IF(B46="","",ROUND(AE46+AF46,2))</f>
        <v>0</v>
      </c>
      <c r="AH46" s="26">
        <f>IF(B46="","",ROUND(AA46-AG46,2))</f>
        <v>0</v>
      </c>
      <c r="AI46" s="39">
        <f>IF(B46="","",IF(AA46&lt;=0,"No charge",IF(AH46&lt;=0.004,"Paid",IF(AG46&lt;=0.004,"Unpaid","Part paid"))))</f>
        <v>0</v>
      </c>
      <c r="AJ46" s="38">
        <f>IF(B46="","",IF(H46&lt;&gt;"Service","",IF(D46="","No",IF(COUNTIFS($D$5:$D$1204,D46,$B$5:$B$1204,B46,$H$5:$H$1204,"Retail")&gt;0,"Yes","No"))))</f>
        <v>0</v>
      </c>
      <c r="AK46" s="25">
        <f>IF(B46="","",COUNTIFS($Y$5:$Y$1204,"&gt;"&amp;Y46)+COUNTIFS($Y$5:Y46,Y46))</f>
        <v>0</v>
      </c>
      <c r="AL46" s="39">
        <f>IF(B46="","",IF(H46="","Add - what kind of sale is this?",IF(IF(V46&lt;=0,P46="",FALSE),"Check - no price found for this item",IF(F46="","Assign - nobody credited",IF(AH46&gt;0.004,"Unpaid - balance outstanding",IF(AC46&lt;0,"Loss - sold below cost",IF(X46&gt;W46*0.5,"Check - more than half off","OK")))))))</f>
        <v>0</v>
      </c>
    </row>
    <row r="47" spans="1:38">
      <c r="A47" s="28">
        <f>IF(B47="","",SalePrefix&amp;TEXT(ROW()-4,"0000"))</f>
        <v>0</v>
      </c>
      <c r="E47" s="15">
        <f>IF(D47="","",IFERROR(INDEX(Clients!$B$5:$B$504,MATCH(D47,Clients!$A$5:$A$504,0)),"Walk-in"))</f>
        <v>0</v>
      </c>
      <c r="G47" s="15">
        <f>IF(F47="","",IFERROR(INDEX(Staff!$B$5:$B$44,MATCH(F47,Staff!$A$5:$A$44,0)),"House"))</f>
        <v>0</v>
      </c>
      <c r="R47" s="15">
        <f>IF(B47="","",TEXT(B47,"yyyy-mm"))</f>
        <v>0</v>
      </c>
      <c r="S47" s="25">
        <f>IF(B47="","",WEEKNUM(B47,2))</f>
        <v>0</v>
      </c>
      <c r="T47" s="37">
        <f>IF(B47="","",IF(K47="",1,K47))</f>
        <v>0</v>
      </c>
      <c r="U47" s="15">
        <f>IF(B47="","",IF(J47&lt;&gt;"",J47,IF(H47="Retail",IFERROR(INDEX(Inventory!$B$5:$B$304,MATCH(I47,Inventory!$A$5:$A$304,0))&amp;"","Not in Inventory"),IFERROR(INDEX(Services!$B$5:$B$204,MATCH(I47,Services!$A$5:$A$204,0))&amp;"","Not in Services"))))</f>
        <v>0</v>
      </c>
      <c r="V47" s="26">
        <f>IF(B47="","",IF(L47&lt;&gt;"",L47,IF(H47="Retail",IFERROR(INDEX(Inventory!$I$5:$I$304,MATCH(I47,Inventory!$A$5:$A$304,0))*1,0),IFERROR(INDEX(Services!$G$5:$G$204,MATCH(I47,Services!$A$5:$A$204,0))*1,0))))</f>
        <v>0</v>
      </c>
      <c r="W47" s="26">
        <f>IF(B47="","",ROUND(T47*V47,2))</f>
        <v>0</v>
      </c>
      <c r="X47" s="26">
        <f>IF(B47="","",ROUND(IF(M47="",0,W47*M47)+IF(N47="",0,N47),2))</f>
        <v>0</v>
      </c>
      <c r="Y47" s="26">
        <f>IF(B47="","",ROUND(W47-X47-IF(P47="",0,P47),2))</f>
        <v>0</v>
      </c>
      <c r="Z47" s="26">
        <f>IF(B47="","",IF(H47="Retail",IF(TaxOnRetail="Yes",ROUND(Y47*TaxRate,2),0),IF(H47="Service",IF(TaxOnServices="Yes",ROUND(Y47*TaxRate,2),0),0)))</f>
        <v>0</v>
      </c>
      <c r="AA47" s="26">
        <f>IF(B47="","",ROUND(Y47+Z47,2))</f>
        <v>0</v>
      </c>
      <c r="AB47" s="26">
        <f>IF(B47="","",ROUND(T47*IF(H47="Retail",IFERROR(INDEX(Inventory!$H$5:$H$304,MATCH(I47,Inventory!$A$5:$A$304,0))*1,0),IFERROR(INDEX(Services!$Q$5:$Q$204,MATCH(I47,Services!$A$5:$A$204,0))*1,0)),2))</f>
        <v>0</v>
      </c>
      <c r="AC47" s="26">
        <f>IF(B47="","",ROUND(Y47-AB47,2))</f>
        <v>0</v>
      </c>
      <c r="AD47" s="38">
        <f>IF(B47="","",IF(C47="","No",IF(COUNTIFS($C$5:C47,C47)=1,"Yes","No")))</f>
        <v>0</v>
      </c>
      <c r="AE47" s="26">
        <f>IF(B47="","",ROUND(SUMIFS(Payments!$G$5:$G$1204,Payments!$H$5:$H$1204,A47,Payments!$Q$5:$Q$1204,"Yes"),2))</f>
        <v>0</v>
      </c>
      <c r="AF47" s="26">
        <f>IF(B47="","",IF(AD47="No",0,ROUND(SUMIFS(Payments!$G$5:$G$1204,Payments!$I$5:$I$1204,C47,Payments!$H$5:$H$1204,"",Payments!$Q$5:$Q$1204,"Yes"),2)))</f>
        <v>0</v>
      </c>
      <c r="AG47" s="26">
        <f>IF(B47="","",ROUND(AE47+AF47,2))</f>
        <v>0</v>
      </c>
      <c r="AH47" s="26">
        <f>IF(B47="","",ROUND(AA47-AG47,2))</f>
        <v>0</v>
      </c>
      <c r="AI47" s="39">
        <f>IF(B47="","",IF(AA47&lt;=0,"No charge",IF(AH47&lt;=0.004,"Paid",IF(AG47&lt;=0.004,"Unpaid","Part paid"))))</f>
        <v>0</v>
      </c>
      <c r="AJ47" s="38">
        <f>IF(B47="","",IF(H47&lt;&gt;"Service","",IF(D47="","No",IF(COUNTIFS($D$5:$D$1204,D47,$B$5:$B$1204,B47,$H$5:$H$1204,"Retail")&gt;0,"Yes","No"))))</f>
        <v>0</v>
      </c>
      <c r="AK47" s="25">
        <f>IF(B47="","",COUNTIFS($Y$5:$Y$1204,"&gt;"&amp;Y47)+COUNTIFS($Y$5:Y47,Y47))</f>
        <v>0</v>
      </c>
      <c r="AL47" s="39">
        <f>IF(B47="","",IF(H47="","Add - what kind of sale is this?",IF(IF(V47&lt;=0,P47="",FALSE),"Check - no price found for this item",IF(F47="","Assign - nobody credited",IF(AH47&gt;0.004,"Unpaid - balance outstanding",IF(AC47&lt;0,"Loss - sold below cost",IF(X47&gt;W47*0.5,"Check - more than half off","OK")))))))</f>
        <v>0</v>
      </c>
    </row>
    <row r="48" spans="1:38">
      <c r="A48" s="28">
        <f>IF(B48="","",SalePrefix&amp;TEXT(ROW()-4,"0000"))</f>
        <v>0</v>
      </c>
      <c r="E48" s="15">
        <f>IF(D48="","",IFERROR(INDEX(Clients!$B$5:$B$504,MATCH(D48,Clients!$A$5:$A$504,0)),"Walk-in"))</f>
        <v>0</v>
      </c>
      <c r="G48" s="15">
        <f>IF(F48="","",IFERROR(INDEX(Staff!$B$5:$B$44,MATCH(F48,Staff!$A$5:$A$44,0)),"House"))</f>
        <v>0</v>
      </c>
      <c r="R48" s="15">
        <f>IF(B48="","",TEXT(B48,"yyyy-mm"))</f>
        <v>0</v>
      </c>
      <c r="S48" s="25">
        <f>IF(B48="","",WEEKNUM(B48,2))</f>
        <v>0</v>
      </c>
      <c r="T48" s="37">
        <f>IF(B48="","",IF(K48="",1,K48))</f>
        <v>0</v>
      </c>
      <c r="U48" s="15">
        <f>IF(B48="","",IF(J48&lt;&gt;"",J48,IF(H48="Retail",IFERROR(INDEX(Inventory!$B$5:$B$304,MATCH(I48,Inventory!$A$5:$A$304,0))&amp;"","Not in Inventory"),IFERROR(INDEX(Services!$B$5:$B$204,MATCH(I48,Services!$A$5:$A$204,0))&amp;"","Not in Services"))))</f>
        <v>0</v>
      </c>
      <c r="V48" s="26">
        <f>IF(B48="","",IF(L48&lt;&gt;"",L48,IF(H48="Retail",IFERROR(INDEX(Inventory!$I$5:$I$304,MATCH(I48,Inventory!$A$5:$A$304,0))*1,0),IFERROR(INDEX(Services!$G$5:$G$204,MATCH(I48,Services!$A$5:$A$204,0))*1,0))))</f>
        <v>0</v>
      </c>
      <c r="W48" s="26">
        <f>IF(B48="","",ROUND(T48*V48,2))</f>
        <v>0</v>
      </c>
      <c r="X48" s="26">
        <f>IF(B48="","",ROUND(IF(M48="",0,W48*M48)+IF(N48="",0,N48),2))</f>
        <v>0</v>
      </c>
      <c r="Y48" s="26">
        <f>IF(B48="","",ROUND(W48-X48-IF(P48="",0,P48),2))</f>
        <v>0</v>
      </c>
      <c r="Z48" s="26">
        <f>IF(B48="","",IF(H48="Retail",IF(TaxOnRetail="Yes",ROUND(Y48*TaxRate,2),0),IF(H48="Service",IF(TaxOnServices="Yes",ROUND(Y48*TaxRate,2),0),0)))</f>
        <v>0</v>
      </c>
      <c r="AA48" s="26">
        <f>IF(B48="","",ROUND(Y48+Z48,2))</f>
        <v>0</v>
      </c>
      <c r="AB48" s="26">
        <f>IF(B48="","",ROUND(T48*IF(H48="Retail",IFERROR(INDEX(Inventory!$H$5:$H$304,MATCH(I48,Inventory!$A$5:$A$304,0))*1,0),IFERROR(INDEX(Services!$Q$5:$Q$204,MATCH(I48,Services!$A$5:$A$204,0))*1,0)),2))</f>
        <v>0</v>
      </c>
      <c r="AC48" s="26">
        <f>IF(B48="","",ROUND(Y48-AB48,2))</f>
        <v>0</v>
      </c>
      <c r="AD48" s="38">
        <f>IF(B48="","",IF(C48="","No",IF(COUNTIFS($C$5:C48,C48)=1,"Yes","No")))</f>
        <v>0</v>
      </c>
      <c r="AE48" s="26">
        <f>IF(B48="","",ROUND(SUMIFS(Payments!$G$5:$G$1204,Payments!$H$5:$H$1204,A48,Payments!$Q$5:$Q$1204,"Yes"),2))</f>
        <v>0</v>
      </c>
      <c r="AF48" s="26">
        <f>IF(B48="","",IF(AD48="No",0,ROUND(SUMIFS(Payments!$G$5:$G$1204,Payments!$I$5:$I$1204,C48,Payments!$H$5:$H$1204,"",Payments!$Q$5:$Q$1204,"Yes"),2)))</f>
        <v>0</v>
      </c>
      <c r="AG48" s="26">
        <f>IF(B48="","",ROUND(AE48+AF48,2))</f>
        <v>0</v>
      </c>
      <c r="AH48" s="26">
        <f>IF(B48="","",ROUND(AA48-AG48,2))</f>
        <v>0</v>
      </c>
      <c r="AI48" s="39">
        <f>IF(B48="","",IF(AA48&lt;=0,"No charge",IF(AH48&lt;=0.004,"Paid",IF(AG48&lt;=0.004,"Unpaid","Part paid"))))</f>
        <v>0</v>
      </c>
      <c r="AJ48" s="38">
        <f>IF(B48="","",IF(H48&lt;&gt;"Service","",IF(D48="","No",IF(COUNTIFS($D$5:$D$1204,D48,$B$5:$B$1204,B48,$H$5:$H$1204,"Retail")&gt;0,"Yes","No"))))</f>
        <v>0</v>
      </c>
      <c r="AK48" s="25">
        <f>IF(B48="","",COUNTIFS($Y$5:$Y$1204,"&gt;"&amp;Y48)+COUNTIFS($Y$5:Y48,Y48))</f>
        <v>0</v>
      </c>
      <c r="AL48" s="39">
        <f>IF(B48="","",IF(H48="","Add - what kind of sale is this?",IF(IF(V48&lt;=0,P48="",FALSE),"Check - no price found for this item",IF(F48="","Assign - nobody credited",IF(AH48&gt;0.004,"Unpaid - balance outstanding",IF(AC48&lt;0,"Loss - sold below cost",IF(X48&gt;W48*0.5,"Check - more than half off","OK")))))))</f>
        <v>0</v>
      </c>
    </row>
    <row r="49" spans="1:38">
      <c r="A49" s="28">
        <f>IF(B49="","",SalePrefix&amp;TEXT(ROW()-4,"0000"))</f>
        <v>0</v>
      </c>
      <c r="E49" s="15">
        <f>IF(D49="","",IFERROR(INDEX(Clients!$B$5:$B$504,MATCH(D49,Clients!$A$5:$A$504,0)),"Walk-in"))</f>
        <v>0</v>
      </c>
      <c r="G49" s="15">
        <f>IF(F49="","",IFERROR(INDEX(Staff!$B$5:$B$44,MATCH(F49,Staff!$A$5:$A$44,0)),"House"))</f>
        <v>0</v>
      </c>
      <c r="R49" s="15">
        <f>IF(B49="","",TEXT(B49,"yyyy-mm"))</f>
        <v>0</v>
      </c>
      <c r="S49" s="25">
        <f>IF(B49="","",WEEKNUM(B49,2))</f>
        <v>0</v>
      </c>
      <c r="T49" s="37">
        <f>IF(B49="","",IF(K49="",1,K49))</f>
        <v>0</v>
      </c>
      <c r="U49" s="15">
        <f>IF(B49="","",IF(J49&lt;&gt;"",J49,IF(H49="Retail",IFERROR(INDEX(Inventory!$B$5:$B$304,MATCH(I49,Inventory!$A$5:$A$304,0))&amp;"","Not in Inventory"),IFERROR(INDEX(Services!$B$5:$B$204,MATCH(I49,Services!$A$5:$A$204,0))&amp;"","Not in Services"))))</f>
        <v>0</v>
      </c>
      <c r="V49" s="26">
        <f>IF(B49="","",IF(L49&lt;&gt;"",L49,IF(H49="Retail",IFERROR(INDEX(Inventory!$I$5:$I$304,MATCH(I49,Inventory!$A$5:$A$304,0))*1,0),IFERROR(INDEX(Services!$G$5:$G$204,MATCH(I49,Services!$A$5:$A$204,0))*1,0))))</f>
        <v>0</v>
      </c>
      <c r="W49" s="26">
        <f>IF(B49="","",ROUND(T49*V49,2))</f>
        <v>0</v>
      </c>
      <c r="X49" s="26">
        <f>IF(B49="","",ROUND(IF(M49="",0,W49*M49)+IF(N49="",0,N49),2))</f>
        <v>0</v>
      </c>
      <c r="Y49" s="26">
        <f>IF(B49="","",ROUND(W49-X49-IF(P49="",0,P49),2))</f>
        <v>0</v>
      </c>
      <c r="Z49" s="26">
        <f>IF(B49="","",IF(H49="Retail",IF(TaxOnRetail="Yes",ROUND(Y49*TaxRate,2),0),IF(H49="Service",IF(TaxOnServices="Yes",ROUND(Y49*TaxRate,2),0),0)))</f>
        <v>0</v>
      </c>
      <c r="AA49" s="26">
        <f>IF(B49="","",ROUND(Y49+Z49,2))</f>
        <v>0</v>
      </c>
      <c r="AB49" s="26">
        <f>IF(B49="","",ROUND(T49*IF(H49="Retail",IFERROR(INDEX(Inventory!$H$5:$H$304,MATCH(I49,Inventory!$A$5:$A$304,0))*1,0),IFERROR(INDEX(Services!$Q$5:$Q$204,MATCH(I49,Services!$A$5:$A$204,0))*1,0)),2))</f>
        <v>0</v>
      </c>
      <c r="AC49" s="26">
        <f>IF(B49="","",ROUND(Y49-AB49,2))</f>
        <v>0</v>
      </c>
      <c r="AD49" s="38">
        <f>IF(B49="","",IF(C49="","No",IF(COUNTIFS($C$5:C49,C49)=1,"Yes","No")))</f>
        <v>0</v>
      </c>
      <c r="AE49" s="26">
        <f>IF(B49="","",ROUND(SUMIFS(Payments!$G$5:$G$1204,Payments!$H$5:$H$1204,A49,Payments!$Q$5:$Q$1204,"Yes"),2))</f>
        <v>0</v>
      </c>
      <c r="AF49" s="26">
        <f>IF(B49="","",IF(AD49="No",0,ROUND(SUMIFS(Payments!$G$5:$G$1204,Payments!$I$5:$I$1204,C49,Payments!$H$5:$H$1204,"",Payments!$Q$5:$Q$1204,"Yes"),2)))</f>
        <v>0</v>
      </c>
      <c r="AG49" s="26">
        <f>IF(B49="","",ROUND(AE49+AF49,2))</f>
        <v>0</v>
      </c>
      <c r="AH49" s="26">
        <f>IF(B49="","",ROUND(AA49-AG49,2))</f>
        <v>0</v>
      </c>
      <c r="AI49" s="39">
        <f>IF(B49="","",IF(AA49&lt;=0,"No charge",IF(AH49&lt;=0.004,"Paid",IF(AG49&lt;=0.004,"Unpaid","Part paid"))))</f>
        <v>0</v>
      </c>
      <c r="AJ49" s="38">
        <f>IF(B49="","",IF(H49&lt;&gt;"Service","",IF(D49="","No",IF(COUNTIFS($D$5:$D$1204,D49,$B$5:$B$1204,B49,$H$5:$H$1204,"Retail")&gt;0,"Yes","No"))))</f>
        <v>0</v>
      </c>
      <c r="AK49" s="25">
        <f>IF(B49="","",COUNTIFS($Y$5:$Y$1204,"&gt;"&amp;Y49)+COUNTIFS($Y$5:Y49,Y49))</f>
        <v>0</v>
      </c>
      <c r="AL49" s="39">
        <f>IF(B49="","",IF(H49="","Add - what kind of sale is this?",IF(IF(V49&lt;=0,P49="",FALSE),"Check - no price found for this item",IF(F49="","Assign - nobody credited",IF(AH49&gt;0.004,"Unpaid - balance outstanding",IF(AC49&lt;0,"Loss - sold below cost",IF(X49&gt;W49*0.5,"Check - more than half off","OK")))))))</f>
        <v>0</v>
      </c>
    </row>
    <row r="50" spans="1:38">
      <c r="A50" s="28">
        <f>IF(B50="","",SalePrefix&amp;TEXT(ROW()-4,"0000"))</f>
        <v>0</v>
      </c>
      <c r="E50" s="15">
        <f>IF(D50="","",IFERROR(INDEX(Clients!$B$5:$B$504,MATCH(D50,Clients!$A$5:$A$504,0)),"Walk-in"))</f>
        <v>0</v>
      </c>
      <c r="G50" s="15">
        <f>IF(F50="","",IFERROR(INDEX(Staff!$B$5:$B$44,MATCH(F50,Staff!$A$5:$A$44,0)),"House"))</f>
        <v>0</v>
      </c>
      <c r="R50" s="15">
        <f>IF(B50="","",TEXT(B50,"yyyy-mm"))</f>
        <v>0</v>
      </c>
      <c r="S50" s="25">
        <f>IF(B50="","",WEEKNUM(B50,2))</f>
        <v>0</v>
      </c>
      <c r="T50" s="37">
        <f>IF(B50="","",IF(K50="",1,K50))</f>
        <v>0</v>
      </c>
      <c r="U50" s="15">
        <f>IF(B50="","",IF(J50&lt;&gt;"",J50,IF(H50="Retail",IFERROR(INDEX(Inventory!$B$5:$B$304,MATCH(I50,Inventory!$A$5:$A$304,0))&amp;"","Not in Inventory"),IFERROR(INDEX(Services!$B$5:$B$204,MATCH(I50,Services!$A$5:$A$204,0))&amp;"","Not in Services"))))</f>
        <v>0</v>
      </c>
      <c r="V50" s="26">
        <f>IF(B50="","",IF(L50&lt;&gt;"",L50,IF(H50="Retail",IFERROR(INDEX(Inventory!$I$5:$I$304,MATCH(I50,Inventory!$A$5:$A$304,0))*1,0),IFERROR(INDEX(Services!$G$5:$G$204,MATCH(I50,Services!$A$5:$A$204,0))*1,0))))</f>
        <v>0</v>
      </c>
      <c r="W50" s="26">
        <f>IF(B50="","",ROUND(T50*V50,2))</f>
        <v>0</v>
      </c>
      <c r="X50" s="26">
        <f>IF(B50="","",ROUND(IF(M50="",0,W50*M50)+IF(N50="",0,N50),2))</f>
        <v>0</v>
      </c>
      <c r="Y50" s="26">
        <f>IF(B50="","",ROUND(W50-X50-IF(P50="",0,P50),2))</f>
        <v>0</v>
      </c>
      <c r="Z50" s="26">
        <f>IF(B50="","",IF(H50="Retail",IF(TaxOnRetail="Yes",ROUND(Y50*TaxRate,2),0),IF(H50="Service",IF(TaxOnServices="Yes",ROUND(Y50*TaxRate,2),0),0)))</f>
        <v>0</v>
      </c>
      <c r="AA50" s="26">
        <f>IF(B50="","",ROUND(Y50+Z50,2))</f>
        <v>0</v>
      </c>
      <c r="AB50" s="26">
        <f>IF(B50="","",ROUND(T50*IF(H50="Retail",IFERROR(INDEX(Inventory!$H$5:$H$304,MATCH(I50,Inventory!$A$5:$A$304,0))*1,0),IFERROR(INDEX(Services!$Q$5:$Q$204,MATCH(I50,Services!$A$5:$A$204,0))*1,0)),2))</f>
        <v>0</v>
      </c>
      <c r="AC50" s="26">
        <f>IF(B50="","",ROUND(Y50-AB50,2))</f>
        <v>0</v>
      </c>
      <c r="AD50" s="38">
        <f>IF(B50="","",IF(C50="","No",IF(COUNTIFS($C$5:C50,C50)=1,"Yes","No")))</f>
        <v>0</v>
      </c>
      <c r="AE50" s="26">
        <f>IF(B50="","",ROUND(SUMIFS(Payments!$G$5:$G$1204,Payments!$H$5:$H$1204,A50,Payments!$Q$5:$Q$1204,"Yes"),2))</f>
        <v>0</v>
      </c>
      <c r="AF50" s="26">
        <f>IF(B50="","",IF(AD50="No",0,ROUND(SUMIFS(Payments!$G$5:$G$1204,Payments!$I$5:$I$1204,C50,Payments!$H$5:$H$1204,"",Payments!$Q$5:$Q$1204,"Yes"),2)))</f>
        <v>0</v>
      </c>
      <c r="AG50" s="26">
        <f>IF(B50="","",ROUND(AE50+AF50,2))</f>
        <v>0</v>
      </c>
      <c r="AH50" s="26">
        <f>IF(B50="","",ROUND(AA50-AG50,2))</f>
        <v>0</v>
      </c>
      <c r="AI50" s="39">
        <f>IF(B50="","",IF(AA50&lt;=0,"No charge",IF(AH50&lt;=0.004,"Paid",IF(AG50&lt;=0.004,"Unpaid","Part paid"))))</f>
        <v>0</v>
      </c>
      <c r="AJ50" s="38">
        <f>IF(B50="","",IF(H50&lt;&gt;"Service","",IF(D50="","No",IF(COUNTIFS($D$5:$D$1204,D50,$B$5:$B$1204,B50,$H$5:$H$1204,"Retail")&gt;0,"Yes","No"))))</f>
        <v>0</v>
      </c>
      <c r="AK50" s="25">
        <f>IF(B50="","",COUNTIFS($Y$5:$Y$1204,"&gt;"&amp;Y50)+COUNTIFS($Y$5:Y50,Y50))</f>
        <v>0</v>
      </c>
      <c r="AL50" s="39">
        <f>IF(B50="","",IF(H50="","Add - what kind of sale is this?",IF(IF(V50&lt;=0,P50="",FALSE),"Check - no price found for this item",IF(F50="","Assign - nobody credited",IF(AH50&gt;0.004,"Unpaid - balance outstanding",IF(AC50&lt;0,"Loss - sold below cost",IF(X50&gt;W50*0.5,"Check - more than half off","OK")))))))</f>
        <v>0</v>
      </c>
    </row>
    <row r="51" spans="1:38">
      <c r="A51" s="28">
        <f>IF(B51="","",SalePrefix&amp;TEXT(ROW()-4,"0000"))</f>
        <v>0</v>
      </c>
      <c r="E51" s="15">
        <f>IF(D51="","",IFERROR(INDEX(Clients!$B$5:$B$504,MATCH(D51,Clients!$A$5:$A$504,0)),"Walk-in"))</f>
        <v>0</v>
      </c>
      <c r="G51" s="15">
        <f>IF(F51="","",IFERROR(INDEX(Staff!$B$5:$B$44,MATCH(F51,Staff!$A$5:$A$44,0)),"House"))</f>
        <v>0</v>
      </c>
      <c r="R51" s="15">
        <f>IF(B51="","",TEXT(B51,"yyyy-mm"))</f>
        <v>0</v>
      </c>
      <c r="S51" s="25">
        <f>IF(B51="","",WEEKNUM(B51,2))</f>
        <v>0</v>
      </c>
      <c r="T51" s="37">
        <f>IF(B51="","",IF(K51="",1,K51))</f>
        <v>0</v>
      </c>
      <c r="U51" s="15">
        <f>IF(B51="","",IF(J51&lt;&gt;"",J51,IF(H51="Retail",IFERROR(INDEX(Inventory!$B$5:$B$304,MATCH(I51,Inventory!$A$5:$A$304,0))&amp;"","Not in Inventory"),IFERROR(INDEX(Services!$B$5:$B$204,MATCH(I51,Services!$A$5:$A$204,0))&amp;"","Not in Services"))))</f>
        <v>0</v>
      </c>
      <c r="V51" s="26">
        <f>IF(B51="","",IF(L51&lt;&gt;"",L51,IF(H51="Retail",IFERROR(INDEX(Inventory!$I$5:$I$304,MATCH(I51,Inventory!$A$5:$A$304,0))*1,0),IFERROR(INDEX(Services!$G$5:$G$204,MATCH(I51,Services!$A$5:$A$204,0))*1,0))))</f>
        <v>0</v>
      </c>
      <c r="W51" s="26">
        <f>IF(B51="","",ROUND(T51*V51,2))</f>
        <v>0</v>
      </c>
      <c r="X51" s="26">
        <f>IF(B51="","",ROUND(IF(M51="",0,W51*M51)+IF(N51="",0,N51),2))</f>
        <v>0</v>
      </c>
      <c r="Y51" s="26">
        <f>IF(B51="","",ROUND(W51-X51-IF(P51="",0,P51),2))</f>
        <v>0</v>
      </c>
      <c r="Z51" s="26">
        <f>IF(B51="","",IF(H51="Retail",IF(TaxOnRetail="Yes",ROUND(Y51*TaxRate,2),0),IF(H51="Service",IF(TaxOnServices="Yes",ROUND(Y51*TaxRate,2),0),0)))</f>
        <v>0</v>
      </c>
      <c r="AA51" s="26">
        <f>IF(B51="","",ROUND(Y51+Z51,2))</f>
        <v>0</v>
      </c>
      <c r="AB51" s="26">
        <f>IF(B51="","",ROUND(T51*IF(H51="Retail",IFERROR(INDEX(Inventory!$H$5:$H$304,MATCH(I51,Inventory!$A$5:$A$304,0))*1,0),IFERROR(INDEX(Services!$Q$5:$Q$204,MATCH(I51,Services!$A$5:$A$204,0))*1,0)),2))</f>
        <v>0</v>
      </c>
      <c r="AC51" s="26">
        <f>IF(B51="","",ROUND(Y51-AB51,2))</f>
        <v>0</v>
      </c>
      <c r="AD51" s="38">
        <f>IF(B51="","",IF(C51="","No",IF(COUNTIFS($C$5:C51,C51)=1,"Yes","No")))</f>
        <v>0</v>
      </c>
      <c r="AE51" s="26">
        <f>IF(B51="","",ROUND(SUMIFS(Payments!$G$5:$G$1204,Payments!$H$5:$H$1204,A51,Payments!$Q$5:$Q$1204,"Yes"),2))</f>
        <v>0</v>
      </c>
      <c r="AF51" s="26">
        <f>IF(B51="","",IF(AD51="No",0,ROUND(SUMIFS(Payments!$G$5:$G$1204,Payments!$I$5:$I$1204,C51,Payments!$H$5:$H$1204,"",Payments!$Q$5:$Q$1204,"Yes"),2)))</f>
        <v>0</v>
      </c>
      <c r="AG51" s="26">
        <f>IF(B51="","",ROUND(AE51+AF51,2))</f>
        <v>0</v>
      </c>
      <c r="AH51" s="26">
        <f>IF(B51="","",ROUND(AA51-AG51,2))</f>
        <v>0</v>
      </c>
      <c r="AI51" s="39">
        <f>IF(B51="","",IF(AA51&lt;=0,"No charge",IF(AH51&lt;=0.004,"Paid",IF(AG51&lt;=0.004,"Unpaid","Part paid"))))</f>
        <v>0</v>
      </c>
      <c r="AJ51" s="38">
        <f>IF(B51="","",IF(H51&lt;&gt;"Service","",IF(D51="","No",IF(COUNTIFS($D$5:$D$1204,D51,$B$5:$B$1204,B51,$H$5:$H$1204,"Retail")&gt;0,"Yes","No"))))</f>
        <v>0</v>
      </c>
      <c r="AK51" s="25">
        <f>IF(B51="","",COUNTIFS($Y$5:$Y$1204,"&gt;"&amp;Y51)+COUNTIFS($Y$5:Y51,Y51))</f>
        <v>0</v>
      </c>
      <c r="AL51" s="39">
        <f>IF(B51="","",IF(H51="","Add - what kind of sale is this?",IF(IF(V51&lt;=0,P51="",FALSE),"Check - no price found for this item",IF(F51="","Assign - nobody credited",IF(AH51&gt;0.004,"Unpaid - balance outstanding",IF(AC51&lt;0,"Loss - sold below cost",IF(X51&gt;W51*0.5,"Check - more than half off","OK")))))))</f>
        <v>0</v>
      </c>
    </row>
    <row r="52" spans="1:38">
      <c r="A52" s="28">
        <f>IF(B52="","",SalePrefix&amp;TEXT(ROW()-4,"0000"))</f>
        <v>0</v>
      </c>
      <c r="E52" s="15">
        <f>IF(D52="","",IFERROR(INDEX(Clients!$B$5:$B$504,MATCH(D52,Clients!$A$5:$A$504,0)),"Walk-in"))</f>
        <v>0</v>
      </c>
      <c r="G52" s="15">
        <f>IF(F52="","",IFERROR(INDEX(Staff!$B$5:$B$44,MATCH(F52,Staff!$A$5:$A$44,0)),"House"))</f>
        <v>0</v>
      </c>
      <c r="R52" s="15">
        <f>IF(B52="","",TEXT(B52,"yyyy-mm"))</f>
        <v>0</v>
      </c>
      <c r="S52" s="25">
        <f>IF(B52="","",WEEKNUM(B52,2))</f>
        <v>0</v>
      </c>
      <c r="T52" s="37">
        <f>IF(B52="","",IF(K52="",1,K52))</f>
        <v>0</v>
      </c>
      <c r="U52" s="15">
        <f>IF(B52="","",IF(J52&lt;&gt;"",J52,IF(H52="Retail",IFERROR(INDEX(Inventory!$B$5:$B$304,MATCH(I52,Inventory!$A$5:$A$304,0))&amp;"","Not in Inventory"),IFERROR(INDEX(Services!$B$5:$B$204,MATCH(I52,Services!$A$5:$A$204,0))&amp;"","Not in Services"))))</f>
        <v>0</v>
      </c>
      <c r="V52" s="26">
        <f>IF(B52="","",IF(L52&lt;&gt;"",L52,IF(H52="Retail",IFERROR(INDEX(Inventory!$I$5:$I$304,MATCH(I52,Inventory!$A$5:$A$304,0))*1,0),IFERROR(INDEX(Services!$G$5:$G$204,MATCH(I52,Services!$A$5:$A$204,0))*1,0))))</f>
        <v>0</v>
      </c>
      <c r="W52" s="26">
        <f>IF(B52="","",ROUND(T52*V52,2))</f>
        <v>0</v>
      </c>
      <c r="X52" s="26">
        <f>IF(B52="","",ROUND(IF(M52="",0,W52*M52)+IF(N52="",0,N52),2))</f>
        <v>0</v>
      </c>
      <c r="Y52" s="26">
        <f>IF(B52="","",ROUND(W52-X52-IF(P52="",0,P52),2))</f>
        <v>0</v>
      </c>
      <c r="Z52" s="26">
        <f>IF(B52="","",IF(H52="Retail",IF(TaxOnRetail="Yes",ROUND(Y52*TaxRate,2),0),IF(H52="Service",IF(TaxOnServices="Yes",ROUND(Y52*TaxRate,2),0),0)))</f>
        <v>0</v>
      </c>
      <c r="AA52" s="26">
        <f>IF(B52="","",ROUND(Y52+Z52,2))</f>
        <v>0</v>
      </c>
      <c r="AB52" s="26">
        <f>IF(B52="","",ROUND(T52*IF(H52="Retail",IFERROR(INDEX(Inventory!$H$5:$H$304,MATCH(I52,Inventory!$A$5:$A$304,0))*1,0),IFERROR(INDEX(Services!$Q$5:$Q$204,MATCH(I52,Services!$A$5:$A$204,0))*1,0)),2))</f>
        <v>0</v>
      </c>
      <c r="AC52" s="26">
        <f>IF(B52="","",ROUND(Y52-AB52,2))</f>
        <v>0</v>
      </c>
      <c r="AD52" s="38">
        <f>IF(B52="","",IF(C52="","No",IF(COUNTIFS($C$5:C52,C52)=1,"Yes","No")))</f>
        <v>0</v>
      </c>
      <c r="AE52" s="26">
        <f>IF(B52="","",ROUND(SUMIFS(Payments!$G$5:$G$1204,Payments!$H$5:$H$1204,A52,Payments!$Q$5:$Q$1204,"Yes"),2))</f>
        <v>0</v>
      </c>
      <c r="AF52" s="26">
        <f>IF(B52="","",IF(AD52="No",0,ROUND(SUMIFS(Payments!$G$5:$G$1204,Payments!$I$5:$I$1204,C52,Payments!$H$5:$H$1204,"",Payments!$Q$5:$Q$1204,"Yes"),2)))</f>
        <v>0</v>
      </c>
      <c r="AG52" s="26">
        <f>IF(B52="","",ROUND(AE52+AF52,2))</f>
        <v>0</v>
      </c>
      <c r="AH52" s="26">
        <f>IF(B52="","",ROUND(AA52-AG52,2))</f>
        <v>0</v>
      </c>
      <c r="AI52" s="39">
        <f>IF(B52="","",IF(AA52&lt;=0,"No charge",IF(AH52&lt;=0.004,"Paid",IF(AG52&lt;=0.004,"Unpaid","Part paid"))))</f>
        <v>0</v>
      </c>
      <c r="AJ52" s="38">
        <f>IF(B52="","",IF(H52&lt;&gt;"Service","",IF(D52="","No",IF(COUNTIFS($D$5:$D$1204,D52,$B$5:$B$1204,B52,$H$5:$H$1204,"Retail")&gt;0,"Yes","No"))))</f>
        <v>0</v>
      </c>
      <c r="AK52" s="25">
        <f>IF(B52="","",COUNTIFS($Y$5:$Y$1204,"&gt;"&amp;Y52)+COUNTIFS($Y$5:Y52,Y52))</f>
        <v>0</v>
      </c>
      <c r="AL52" s="39">
        <f>IF(B52="","",IF(H52="","Add - what kind of sale is this?",IF(IF(V52&lt;=0,P52="",FALSE),"Check - no price found for this item",IF(F52="","Assign - nobody credited",IF(AH52&gt;0.004,"Unpaid - balance outstanding",IF(AC52&lt;0,"Loss - sold below cost",IF(X52&gt;W52*0.5,"Check - more than half off","OK")))))))</f>
        <v>0</v>
      </c>
    </row>
    <row r="53" spans="1:38">
      <c r="A53" s="28">
        <f>IF(B53="","",SalePrefix&amp;TEXT(ROW()-4,"0000"))</f>
        <v>0</v>
      </c>
      <c r="E53" s="15">
        <f>IF(D53="","",IFERROR(INDEX(Clients!$B$5:$B$504,MATCH(D53,Clients!$A$5:$A$504,0)),"Walk-in"))</f>
        <v>0</v>
      </c>
      <c r="G53" s="15">
        <f>IF(F53="","",IFERROR(INDEX(Staff!$B$5:$B$44,MATCH(F53,Staff!$A$5:$A$44,0)),"House"))</f>
        <v>0</v>
      </c>
      <c r="R53" s="15">
        <f>IF(B53="","",TEXT(B53,"yyyy-mm"))</f>
        <v>0</v>
      </c>
      <c r="S53" s="25">
        <f>IF(B53="","",WEEKNUM(B53,2))</f>
        <v>0</v>
      </c>
      <c r="T53" s="37">
        <f>IF(B53="","",IF(K53="",1,K53))</f>
        <v>0</v>
      </c>
      <c r="U53" s="15">
        <f>IF(B53="","",IF(J53&lt;&gt;"",J53,IF(H53="Retail",IFERROR(INDEX(Inventory!$B$5:$B$304,MATCH(I53,Inventory!$A$5:$A$304,0))&amp;"","Not in Inventory"),IFERROR(INDEX(Services!$B$5:$B$204,MATCH(I53,Services!$A$5:$A$204,0))&amp;"","Not in Services"))))</f>
        <v>0</v>
      </c>
      <c r="V53" s="26">
        <f>IF(B53="","",IF(L53&lt;&gt;"",L53,IF(H53="Retail",IFERROR(INDEX(Inventory!$I$5:$I$304,MATCH(I53,Inventory!$A$5:$A$304,0))*1,0),IFERROR(INDEX(Services!$G$5:$G$204,MATCH(I53,Services!$A$5:$A$204,0))*1,0))))</f>
        <v>0</v>
      </c>
      <c r="W53" s="26">
        <f>IF(B53="","",ROUND(T53*V53,2))</f>
        <v>0</v>
      </c>
      <c r="X53" s="26">
        <f>IF(B53="","",ROUND(IF(M53="",0,W53*M53)+IF(N53="",0,N53),2))</f>
        <v>0</v>
      </c>
      <c r="Y53" s="26">
        <f>IF(B53="","",ROUND(W53-X53-IF(P53="",0,P53),2))</f>
        <v>0</v>
      </c>
      <c r="Z53" s="26">
        <f>IF(B53="","",IF(H53="Retail",IF(TaxOnRetail="Yes",ROUND(Y53*TaxRate,2),0),IF(H53="Service",IF(TaxOnServices="Yes",ROUND(Y53*TaxRate,2),0),0)))</f>
        <v>0</v>
      </c>
      <c r="AA53" s="26">
        <f>IF(B53="","",ROUND(Y53+Z53,2))</f>
        <v>0</v>
      </c>
      <c r="AB53" s="26">
        <f>IF(B53="","",ROUND(T53*IF(H53="Retail",IFERROR(INDEX(Inventory!$H$5:$H$304,MATCH(I53,Inventory!$A$5:$A$304,0))*1,0),IFERROR(INDEX(Services!$Q$5:$Q$204,MATCH(I53,Services!$A$5:$A$204,0))*1,0)),2))</f>
        <v>0</v>
      </c>
      <c r="AC53" s="26">
        <f>IF(B53="","",ROUND(Y53-AB53,2))</f>
        <v>0</v>
      </c>
      <c r="AD53" s="38">
        <f>IF(B53="","",IF(C53="","No",IF(COUNTIFS($C$5:C53,C53)=1,"Yes","No")))</f>
        <v>0</v>
      </c>
      <c r="AE53" s="26">
        <f>IF(B53="","",ROUND(SUMIFS(Payments!$G$5:$G$1204,Payments!$H$5:$H$1204,A53,Payments!$Q$5:$Q$1204,"Yes"),2))</f>
        <v>0</v>
      </c>
      <c r="AF53" s="26">
        <f>IF(B53="","",IF(AD53="No",0,ROUND(SUMIFS(Payments!$G$5:$G$1204,Payments!$I$5:$I$1204,C53,Payments!$H$5:$H$1204,"",Payments!$Q$5:$Q$1204,"Yes"),2)))</f>
        <v>0</v>
      </c>
      <c r="AG53" s="26">
        <f>IF(B53="","",ROUND(AE53+AF53,2))</f>
        <v>0</v>
      </c>
      <c r="AH53" s="26">
        <f>IF(B53="","",ROUND(AA53-AG53,2))</f>
        <v>0</v>
      </c>
      <c r="AI53" s="39">
        <f>IF(B53="","",IF(AA53&lt;=0,"No charge",IF(AH53&lt;=0.004,"Paid",IF(AG53&lt;=0.004,"Unpaid","Part paid"))))</f>
        <v>0</v>
      </c>
      <c r="AJ53" s="38">
        <f>IF(B53="","",IF(H53&lt;&gt;"Service","",IF(D53="","No",IF(COUNTIFS($D$5:$D$1204,D53,$B$5:$B$1204,B53,$H$5:$H$1204,"Retail")&gt;0,"Yes","No"))))</f>
        <v>0</v>
      </c>
      <c r="AK53" s="25">
        <f>IF(B53="","",COUNTIFS($Y$5:$Y$1204,"&gt;"&amp;Y53)+COUNTIFS($Y$5:Y53,Y53))</f>
        <v>0</v>
      </c>
      <c r="AL53" s="39">
        <f>IF(B53="","",IF(H53="","Add - what kind of sale is this?",IF(IF(V53&lt;=0,P53="",FALSE),"Check - no price found for this item",IF(F53="","Assign - nobody credited",IF(AH53&gt;0.004,"Unpaid - balance outstanding",IF(AC53&lt;0,"Loss - sold below cost",IF(X53&gt;W53*0.5,"Check - more than half off","OK")))))))</f>
        <v>0</v>
      </c>
    </row>
    <row r="54" spans="1:38">
      <c r="A54" s="28">
        <f>IF(B54="","",SalePrefix&amp;TEXT(ROW()-4,"0000"))</f>
        <v>0</v>
      </c>
      <c r="E54" s="15">
        <f>IF(D54="","",IFERROR(INDEX(Clients!$B$5:$B$504,MATCH(D54,Clients!$A$5:$A$504,0)),"Walk-in"))</f>
        <v>0</v>
      </c>
      <c r="G54" s="15">
        <f>IF(F54="","",IFERROR(INDEX(Staff!$B$5:$B$44,MATCH(F54,Staff!$A$5:$A$44,0)),"House"))</f>
        <v>0</v>
      </c>
      <c r="R54" s="15">
        <f>IF(B54="","",TEXT(B54,"yyyy-mm"))</f>
        <v>0</v>
      </c>
      <c r="S54" s="25">
        <f>IF(B54="","",WEEKNUM(B54,2))</f>
        <v>0</v>
      </c>
      <c r="T54" s="37">
        <f>IF(B54="","",IF(K54="",1,K54))</f>
        <v>0</v>
      </c>
      <c r="U54" s="15">
        <f>IF(B54="","",IF(J54&lt;&gt;"",J54,IF(H54="Retail",IFERROR(INDEX(Inventory!$B$5:$B$304,MATCH(I54,Inventory!$A$5:$A$304,0))&amp;"","Not in Inventory"),IFERROR(INDEX(Services!$B$5:$B$204,MATCH(I54,Services!$A$5:$A$204,0))&amp;"","Not in Services"))))</f>
        <v>0</v>
      </c>
      <c r="V54" s="26">
        <f>IF(B54="","",IF(L54&lt;&gt;"",L54,IF(H54="Retail",IFERROR(INDEX(Inventory!$I$5:$I$304,MATCH(I54,Inventory!$A$5:$A$304,0))*1,0),IFERROR(INDEX(Services!$G$5:$G$204,MATCH(I54,Services!$A$5:$A$204,0))*1,0))))</f>
        <v>0</v>
      </c>
      <c r="W54" s="26">
        <f>IF(B54="","",ROUND(T54*V54,2))</f>
        <v>0</v>
      </c>
      <c r="X54" s="26">
        <f>IF(B54="","",ROUND(IF(M54="",0,W54*M54)+IF(N54="",0,N54),2))</f>
        <v>0</v>
      </c>
      <c r="Y54" s="26">
        <f>IF(B54="","",ROUND(W54-X54-IF(P54="",0,P54),2))</f>
        <v>0</v>
      </c>
      <c r="Z54" s="26">
        <f>IF(B54="","",IF(H54="Retail",IF(TaxOnRetail="Yes",ROUND(Y54*TaxRate,2),0),IF(H54="Service",IF(TaxOnServices="Yes",ROUND(Y54*TaxRate,2),0),0)))</f>
        <v>0</v>
      </c>
      <c r="AA54" s="26">
        <f>IF(B54="","",ROUND(Y54+Z54,2))</f>
        <v>0</v>
      </c>
      <c r="AB54" s="26">
        <f>IF(B54="","",ROUND(T54*IF(H54="Retail",IFERROR(INDEX(Inventory!$H$5:$H$304,MATCH(I54,Inventory!$A$5:$A$304,0))*1,0),IFERROR(INDEX(Services!$Q$5:$Q$204,MATCH(I54,Services!$A$5:$A$204,0))*1,0)),2))</f>
        <v>0</v>
      </c>
      <c r="AC54" s="26">
        <f>IF(B54="","",ROUND(Y54-AB54,2))</f>
        <v>0</v>
      </c>
      <c r="AD54" s="38">
        <f>IF(B54="","",IF(C54="","No",IF(COUNTIFS($C$5:C54,C54)=1,"Yes","No")))</f>
        <v>0</v>
      </c>
      <c r="AE54" s="26">
        <f>IF(B54="","",ROUND(SUMIFS(Payments!$G$5:$G$1204,Payments!$H$5:$H$1204,A54,Payments!$Q$5:$Q$1204,"Yes"),2))</f>
        <v>0</v>
      </c>
      <c r="AF54" s="26">
        <f>IF(B54="","",IF(AD54="No",0,ROUND(SUMIFS(Payments!$G$5:$G$1204,Payments!$I$5:$I$1204,C54,Payments!$H$5:$H$1204,"",Payments!$Q$5:$Q$1204,"Yes"),2)))</f>
        <v>0</v>
      </c>
      <c r="AG54" s="26">
        <f>IF(B54="","",ROUND(AE54+AF54,2))</f>
        <v>0</v>
      </c>
      <c r="AH54" s="26">
        <f>IF(B54="","",ROUND(AA54-AG54,2))</f>
        <v>0</v>
      </c>
      <c r="AI54" s="39">
        <f>IF(B54="","",IF(AA54&lt;=0,"No charge",IF(AH54&lt;=0.004,"Paid",IF(AG54&lt;=0.004,"Unpaid","Part paid"))))</f>
        <v>0</v>
      </c>
      <c r="AJ54" s="38">
        <f>IF(B54="","",IF(H54&lt;&gt;"Service","",IF(D54="","No",IF(COUNTIFS($D$5:$D$1204,D54,$B$5:$B$1204,B54,$H$5:$H$1204,"Retail")&gt;0,"Yes","No"))))</f>
        <v>0</v>
      </c>
      <c r="AK54" s="25">
        <f>IF(B54="","",COUNTIFS($Y$5:$Y$1204,"&gt;"&amp;Y54)+COUNTIFS($Y$5:Y54,Y54))</f>
        <v>0</v>
      </c>
      <c r="AL54" s="39">
        <f>IF(B54="","",IF(H54="","Add - what kind of sale is this?",IF(IF(V54&lt;=0,P54="",FALSE),"Check - no price found for this item",IF(F54="","Assign - nobody credited",IF(AH54&gt;0.004,"Unpaid - balance outstanding",IF(AC54&lt;0,"Loss - sold below cost",IF(X54&gt;W54*0.5,"Check - more than half off","OK")))))))</f>
        <v>0</v>
      </c>
    </row>
    <row r="55" spans="1:38">
      <c r="A55" s="28">
        <f>IF(B55="","",SalePrefix&amp;TEXT(ROW()-4,"0000"))</f>
        <v>0</v>
      </c>
      <c r="E55" s="15">
        <f>IF(D55="","",IFERROR(INDEX(Clients!$B$5:$B$504,MATCH(D55,Clients!$A$5:$A$504,0)),"Walk-in"))</f>
        <v>0</v>
      </c>
      <c r="G55" s="15">
        <f>IF(F55="","",IFERROR(INDEX(Staff!$B$5:$B$44,MATCH(F55,Staff!$A$5:$A$44,0)),"House"))</f>
        <v>0</v>
      </c>
      <c r="R55" s="15">
        <f>IF(B55="","",TEXT(B55,"yyyy-mm"))</f>
        <v>0</v>
      </c>
      <c r="S55" s="25">
        <f>IF(B55="","",WEEKNUM(B55,2))</f>
        <v>0</v>
      </c>
      <c r="T55" s="37">
        <f>IF(B55="","",IF(K55="",1,K55))</f>
        <v>0</v>
      </c>
      <c r="U55" s="15">
        <f>IF(B55="","",IF(J55&lt;&gt;"",J55,IF(H55="Retail",IFERROR(INDEX(Inventory!$B$5:$B$304,MATCH(I55,Inventory!$A$5:$A$304,0))&amp;"","Not in Inventory"),IFERROR(INDEX(Services!$B$5:$B$204,MATCH(I55,Services!$A$5:$A$204,0))&amp;"","Not in Services"))))</f>
        <v>0</v>
      </c>
      <c r="V55" s="26">
        <f>IF(B55="","",IF(L55&lt;&gt;"",L55,IF(H55="Retail",IFERROR(INDEX(Inventory!$I$5:$I$304,MATCH(I55,Inventory!$A$5:$A$304,0))*1,0),IFERROR(INDEX(Services!$G$5:$G$204,MATCH(I55,Services!$A$5:$A$204,0))*1,0))))</f>
        <v>0</v>
      </c>
      <c r="W55" s="26">
        <f>IF(B55="","",ROUND(T55*V55,2))</f>
        <v>0</v>
      </c>
      <c r="X55" s="26">
        <f>IF(B55="","",ROUND(IF(M55="",0,W55*M55)+IF(N55="",0,N55),2))</f>
        <v>0</v>
      </c>
      <c r="Y55" s="26">
        <f>IF(B55="","",ROUND(W55-X55-IF(P55="",0,P55),2))</f>
        <v>0</v>
      </c>
      <c r="Z55" s="26">
        <f>IF(B55="","",IF(H55="Retail",IF(TaxOnRetail="Yes",ROUND(Y55*TaxRate,2),0),IF(H55="Service",IF(TaxOnServices="Yes",ROUND(Y55*TaxRate,2),0),0)))</f>
        <v>0</v>
      </c>
      <c r="AA55" s="26">
        <f>IF(B55="","",ROUND(Y55+Z55,2))</f>
        <v>0</v>
      </c>
      <c r="AB55" s="26">
        <f>IF(B55="","",ROUND(T55*IF(H55="Retail",IFERROR(INDEX(Inventory!$H$5:$H$304,MATCH(I55,Inventory!$A$5:$A$304,0))*1,0),IFERROR(INDEX(Services!$Q$5:$Q$204,MATCH(I55,Services!$A$5:$A$204,0))*1,0)),2))</f>
        <v>0</v>
      </c>
      <c r="AC55" s="26">
        <f>IF(B55="","",ROUND(Y55-AB55,2))</f>
        <v>0</v>
      </c>
      <c r="AD55" s="38">
        <f>IF(B55="","",IF(C55="","No",IF(COUNTIFS($C$5:C55,C55)=1,"Yes","No")))</f>
        <v>0</v>
      </c>
      <c r="AE55" s="26">
        <f>IF(B55="","",ROUND(SUMIFS(Payments!$G$5:$G$1204,Payments!$H$5:$H$1204,A55,Payments!$Q$5:$Q$1204,"Yes"),2))</f>
        <v>0</v>
      </c>
      <c r="AF55" s="26">
        <f>IF(B55="","",IF(AD55="No",0,ROUND(SUMIFS(Payments!$G$5:$G$1204,Payments!$I$5:$I$1204,C55,Payments!$H$5:$H$1204,"",Payments!$Q$5:$Q$1204,"Yes"),2)))</f>
        <v>0</v>
      </c>
      <c r="AG55" s="26">
        <f>IF(B55="","",ROUND(AE55+AF55,2))</f>
        <v>0</v>
      </c>
      <c r="AH55" s="26">
        <f>IF(B55="","",ROUND(AA55-AG55,2))</f>
        <v>0</v>
      </c>
      <c r="AI55" s="39">
        <f>IF(B55="","",IF(AA55&lt;=0,"No charge",IF(AH55&lt;=0.004,"Paid",IF(AG55&lt;=0.004,"Unpaid","Part paid"))))</f>
        <v>0</v>
      </c>
      <c r="AJ55" s="38">
        <f>IF(B55="","",IF(H55&lt;&gt;"Service","",IF(D55="","No",IF(COUNTIFS($D$5:$D$1204,D55,$B$5:$B$1204,B55,$H$5:$H$1204,"Retail")&gt;0,"Yes","No"))))</f>
        <v>0</v>
      </c>
      <c r="AK55" s="25">
        <f>IF(B55="","",COUNTIFS($Y$5:$Y$1204,"&gt;"&amp;Y55)+COUNTIFS($Y$5:Y55,Y55))</f>
        <v>0</v>
      </c>
      <c r="AL55" s="39">
        <f>IF(B55="","",IF(H55="","Add - what kind of sale is this?",IF(IF(V55&lt;=0,P55="",FALSE),"Check - no price found for this item",IF(F55="","Assign - nobody credited",IF(AH55&gt;0.004,"Unpaid - balance outstanding",IF(AC55&lt;0,"Loss - sold below cost",IF(X55&gt;W55*0.5,"Check - more than half off","OK")))))))</f>
        <v>0</v>
      </c>
    </row>
    <row r="56" spans="1:38">
      <c r="A56" s="28">
        <f>IF(B56="","",SalePrefix&amp;TEXT(ROW()-4,"0000"))</f>
        <v>0</v>
      </c>
      <c r="E56" s="15">
        <f>IF(D56="","",IFERROR(INDEX(Clients!$B$5:$B$504,MATCH(D56,Clients!$A$5:$A$504,0)),"Walk-in"))</f>
        <v>0</v>
      </c>
      <c r="G56" s="15">
        <f>IF(F56="","",IFERROR(INDEX(Staff!$B$5:$B$44,MATCH(F56,Staff!$A$5:$A$44,0)),"House"))</f>
        <v>0</v>
      </c>
      <c r="R56" s="15">
        <f>IF(B56="","",TEXT(B56,"yyyy-mm"))</f>
        <v>0</v>
      </c>
      <c r="S56" s="25">
        <f>IF(B56="","",WEEKNUM(B56,2))</f>
        <v>0</v>
      </c>
      <c r="T56" s="37">
        <f>IF(B56="","",IF(K56="",1,K56))</f>
        <v>0</v>
      </c>
      <c r="U56" s="15">
        <f>IF(B56="","",IF(J56&lt;&gt;"",J56,IF(H56="Retail",IFERROR(INDEX(Inventory!$B$5:$B$304,MATCH(I56,Inventory!$A$5:$A$304,0))&amp;"","Not in Inventory"),IFERROR(INDEX(Services!$B$5:$B$204,MATCH(I56,Services!$A$5:$A$204,0))&amp;"","Not in Services"))))</f>
        <v>0</v>
      </c>
      <c r="V56" s="26">
        <f>IF(B56="","",IF(L56&lt;&gt;"",L56,IF(H56="Retail",IFERROR(INDEX(Inventory!$I$5:$I$304,MATCH(I56,Inventory!$A$5:$A$304,0))*1,0),IFERROR(INDEX(Services!$G$5:$G$204,MATCH(I56,Services!$A$5:$A$204,0))*1,0))))</f>
        <v>0</v>
      </c>
      <c r="W56" s="26">
        <f>IF(B56="","",ROUND(T56*V56,2))</f>
        <v>0</v>
      </c>
      <c r="X56" s="26">
        <f>IF(B56="","",ROUND(IF(M56="",0,W56*M56)+IF(N56="",0,N56),2))</f>
        <v>0</v>
      </c>
      <c r="Y56" s="26">
        <f>IF(B56="","",ROUND(W56-X56-IF(P56="",0,P56),2))</f>
        <v>0</v>
      </c>
      <c r="Z56" s="26">
        <f>IF(B56="","",IF(H56="Retail",IF(TaxOnRetail="Yes",ROUND(Y56*TaxRate,2),0),IF(H56="Service",IF(TaxOnServices="Yes",ROUND(Y56*TaxRate,2),0),0)))</f>
        <v>0</v>
      </c>
      <c r="AA56" s="26">
        <f>IF(B56="","",ROUND(Y56+Z56,2))</f>
        <v>0</v>
      </c>
      <c r="AB56" s="26">
        <f>IF(B56="","",ROUND(T56*IF(H56="Retail",IFERROR(INDEX(Inventory!$H$5:$H$304,MATCH(I56,Inventory!$A$5:$A$304,0))*1,0),IFERROR(INDEX(Services!$Q$5:$Q$204,MATCH(I56,Services!$A$5:$A$204,0))*1,0)),2))</f>
        <v>0</v>
      </c>
      <c r="AC56" s="26">
        <f>IF(B56="","",ROUND(Y56-AB56,2))</f>
        <v>0</v>
      </c>
      <c r="AD56" s="38">
        <f>IF(B56="","",IF(C56="","No",IF(COUNTIFS($C$5:C56,C56)=1,"Yes","No")))</f>
        <v>0</v>
      </c>
      <c r="AE56" s="26">
        <f>IF(B56="","",ROUND(SUMIFS(Payments!$G$5:$G$1204,Payments!$H$5:$H$1204,A56,Payments!$Q$5:$Q$1204,"Yes"),2))</f>
        <v>0</v>
      </c>
      <c r="AF56" s="26">
        <f>IF(B56="","",IF(AD56="No",0,ROUND(SUMIFS(Payments!$G$5:$G$1204,Payments!$I$5:$I$1204,C56,Payments!$H$5:$H$1204,"",Payments!$Q$5:$Q$1204,"Yes"),2)))</f>
        <v>0</v>
      </c>
      <c r="AG56" s="26">
        <f>IF(B56="","",ROUND(AE56+AF56,2))</f>
        <v>0</v>
      </c>
      <c r="AH56" s="26">
        <f>IF(B56="","",ROUND(AA56-AG56,2))</f>
        <v>0</v>
      </c>
      <c r="AI56" s="39">
        <f>IF(B56="","",IF(AA56&lt;=0,"No charge",IF(AH56&lt;=0.004,"Paid",IF(AG56&lt;=0.004,"Unpaid","Part paid"))))</f>
        <v>0</v>
      </c>
      <c r="AJ56" s="38">
        <f>IF(B56="","",IF(H56&lt;&gt;"Service","",IF(D56="","No",IF(COUNTIFS($D$5:$D$1204,D56,$B$5:$B$1204,B56,$H$5:$H$1204,"Retail")&gt;0,"Yes","No"))))</f>
        <v>0</v>
      </c>
      <c r="AK56" s="25">
        <f>IF(B56="","",COUNTIFS($Y$5:$Y$1204,"&gt;"&amp;Y56)+COUNTIFS($Y$5:Y56,Y56))</f>
        <v>0</v>
      </c>
      <c r="AL56" s="39">
        <f>IF(B56="","",IF(H56="","Add - what kind of sale is this?",IF(IF(V56&lt;=0,P56="",FALSE),"Check - no price found for this item",IF(F56="","Assign - nobody credited",IF(AH56&gt;0.004,"Unpaid - balance outstanding",IF(AC56&lt;0,"Loss - sold below cost",IF(X56&gt;W56*0.5,"Check - more than half off","OK")))))))</f>
        <v>0</v>
      </c>
    </row>
    <row r="57" spans="1:38">
      <c r="A57" s="28">
        <f>IF(B57="","",SalePrefix&amp;TEXT(ROW()-4,"0000"))</f>
        <v>0</v>
      </c>
      <c r="E57" s="15">
        <f>IF(D57="","",IFERROR(INDEX(Clients!$B$5:$B$504,MATCH(D57,Clients!$A$5:$A$504,0)),"Walk-in"))</f>
        <v>0</v>
      </c>
      <c r="G57" s="15">
        <f>IF(F57="","",IFERROR(INDEX(Staff!$B$5:$B$44,MATCH(F57,Staff!$A$5:$A$44,0)),"House"))</f>
        <v>0</v>
      </c>
      <c r="R57" s="15">
        <f>IF(B57="","",TEXT(B57,"yyyy-mm"))</f>
        <v>0</v>
      </c>
      <c r="S57" s="25">
        <f>IF(B57="","",WEEKNUM(B57,2))</f>
        <v>0</v>
      </c>
      <c r="T57" s="37">
        <f>IF(B57="","",IF(K57="",1,K57))</f>
        <v>0</v>
      </c>
      <c r="U57" s="15">
        <f>IF(B57="","",IF(J57&lt;&gt;"",J57,IF(H57="Retail",IFERROR(INDEX(Inventory!$B$5:$B$304,MATCH(I57,Inventory!$A$5:$A$304,0))&amp;"","Not in Inventory"),IFERROR(INDEX(Services!$B$5:$B$204,MATCH(I57,Services!$A$5:$A$204,0))&amp;"","Not in Services"))))</f>
        <v>0</v>
      </c>
      <c r="V57" s="26">
        <f>IF(B57="","",IF(L57&lt;&gt;"",L57,IF(H57="Retail",IFERROR(INDEX(Inventory!$I$5:$I$304,MATCH(I57,Inventory!$A$5:$A$304,0))*1,0),IFERROR(INDEX(Services!$G$5:$G$204,MATCH(I57,Services!$A$5:$A$204,0))*1,0))))</f>
        <v>0</v>
      </c>
      <c r="W57" s="26">
        <f>IF(B57="","",ROUND(T57*V57,2))</f>
        <v>0</v>
      </c>
      <c r="X57" s="26">
        <f>IF(B57="","",ROUND(IF(M57="",0,W57*M57)+IF(N57="",0,N57),2))</f>
        <v>0</v>
      </c>
      <c r="Y57" s="26">
        <f>IF(B57="","",ROUND(W57-X57-IF(P57="",0,P57),2))</f>
        <v>0</v>
      </c>
      <c r="Z57" s="26">
        <f>IF(B57="","",IF(H57="Retail",IF(TaxOnRetail="Yes",ROUND(Y57*TaxRate,2),0),IF(H57="Service",IF(TaxOnServices="Yes",ROUND(Y57*TaxRate,2),0),0)))</f>
        <v>0</v>
      </c>
      <c r="AA57" s="26">
        <f>IF(B57="","",ROUND(Y57+Z57,2))</f>
        <v>0</v>
      </c>
      <c r="AB57" s="26">
        <f>IF(B57="","",ROUND(T57*IF(H57="Retail",IFERROR(INDEX(Inventory!$H$5:$H$304,MATCH(I57,Inventory!$A$5:$A$304,0))*1,0),IFERROR(INDEX(Services!$Q$5:$Q$204,MATCH(I57,Services!$A$5:$A$204,0))*1,0)),2))</f>
        <v>0</v>
      </c>
      <c r="AC57" s="26">
        <f>IF(B57="","",ROUND(Y57-AB57,2))</f>
        <v>0</v>
      </c>
      <c r="AD57" s="38">
        <f>IF(B57="","",IF(C57="","No",IF(COUNTIFS($C$5:C57,C57)=1,"Yes","No")))</f>
        <v>0</v>
      </c>
      <c r="AE57" s="26">
        <f>IF(B57="","",ROUND(SUMIFS(Payments!$G$5:$G$1204,Payments!$H$5:$H$1204,A57,Payments!$Q$5:$Q$1204,"Yes"),2))</f>
        <v>0</v>
      </c>
      <c r="AF57" s="26">
        <f>IF(B57="","",IF(AD57="No",0,ROUND(SUMIFS(Payments!$G$5:$G$1204,Payments!$I$5:$I$1204,C57,Payments!$H$5:$H$1204,"",Payments!$Q$5:$Q$1204,"Yes"),2)))</f>
        <v>0</v>
      </c>
      <c r="AG57" s="26">
        <f>IF(B57="","",ROUND(AE57+AF57,2))</f>
        <v>0</v>
      </c>
      <c r="AH57" s="26">
        <f>IF(B57="","",ROUND(AA57-AG57,2))</f>
        <v>0</v>
      </c>
      <c r="AI57" s="39">
        <f>IF(B57="","",IF(AA57&lt;=0,"No charge",IF(AH57&lt;=0.004,"Paid",IF(AG57&lt;=0.004,"Unpaid","Part paid"))))</f>
        <v>0</v>
      </c>
      <c r="AJ57" s="38">
        <f>IF(B57="","",IF(H57&lt;&gt;"Service","",IF(D57="","No",IF(COUNTIFS($D$5:$D$1204,D57,$B$5:$B$1204,B57,$H$5:$H$1204,"Retail")&gt;0,"Yes","No"))))</f>
        <v>0</v>
      </c>
      <c r="AK57" s="25">
        <f>IF(B57="","",COUNTIFS($Y$5:$Y$1204,"&gt;"&amp;Y57)+COUNTIFS($Y$5:Y57,Y57))</f>
        <v>0</v>
      </c>
      <c r="AL57" s="39">
        <f>IF(B57="","",IF(H57="","Add - what kind of sale is this?",IF(IF(V57&lt;=0,P57="",FALSE),"Check - no price found for this item",IF(F57="","Assign - nobody credited",IF(AH57&gt;0.004,"Unpaid - balance outstanding",IF(AC57&lt;0,"Loss - sold below cost",IF(X57&gt;W57*0.5,"Check - more than half off","OK")))))))</f>
        <v>0</v>
      </c>
    </row>
    <row r="58" spans="1:38">
      <c r="A58" s="28">
        <f>IF(B58="","",SalePrefix&amp;TEXT(ROW()-4,"0000"))</f>
        <v>0</v>
      </c>
      <c r="E58" s="15">
        <f>IF(D58="","",IFERROR(INDEX(Clients!$B$5:$B$504,MATCH(D58,Clients!$A$5:$A$504,0)),"Walk-in"))</f>
        <v>0</v>
      </c>
      <c r="G58" s="15">
        <f>IF(F58="","",IFERROR(INDEX(Staff!$B$5:$B$44,MATCH(F58,Staff!$A$5:$A$44,0)),"House"))</f>
        <v>0</v>
      </c>
      <c r="R58" s="15">
        <f>IF(B58="","",TEXT(B58,"yyyy-mm"))</f>
        <v>0</v>
      </c>
      <c r="S58" s="25">
        <f>IF(B58="","",WEEKNUM(B58,2))</f>
        <v>0</v>
      </c>
      <c r="T58" s="37">
        <f>IF(B58="","",IF(K58="",1,K58))</f>
        <v>0</v>
      </c>
      <c r="U58" s="15">
        <f>IF(B58="","",IF(J58&lt;&gt;"",J58,IF(H58="Retail",IFERROR(INDEX(Inventory!$B$5:$B$304,MATCH(I58,Inventory!$A$5:$A$304,0))&amp;"","Not in Inventory"),IFERROR(INDEX(Services!$B$5:$B$204,MATCH(I58,Services!$A$5:$A$204,0))&amp;"","Not in Services"))))</f>
        <v>0</v>
      </c>
      <c r="V58" s="26">
        <f>IF(B58="","",IF(L58&lt;&gt;"",L58,IF(H58="Retail",IFERROR(INDEX(Inventory!$I$5:$I$304,MATCH(I58,Inventory!$A$5:$A$304,0))*1,0),IFERROR(INDEX(Services!$G$5:$G$204,MATCH(I58,Services!$A$5:$A$204,0))*1,0))))</f>
        <v>0</v>
      </c>
      <c r="W58" s="26">
        <f>IF(B58="","",ROUND(T58*V58,2))</f>
        <v>0</v>
      </c>
      <c r="X58" s="26">
        <f>IF(B58="","",ROUND(IF(M58="",0,W58*M58)+IF(N58="",0,N58),2))</f>
        <v>0</v>
      </c>
      <c r="Y58" s="26">
        <f>IF(B58="","",ROUND(W58-X58-IF(P58="",0,P58),2))</f>
        <v>0</v>
      </c>
      <c r="Z58" s="26">
        <f>IF(B58="","",IF(H58="Retail",IF(TaxOnRetail="Yes",ROUND(Y58*TaxRate,2),0),IF(H58="Service",IF(TaxOnServices="Yes",ROUND(Y58*TaxRate,2),0),0)))</f>
        <v>0</v>
      </c>
      <c r="AA58" s="26">
        <f>IF(B58="","",ROUND(Y58+Z58,2))</f>
        <v>0</v>
      </c>
      <c r="AB58" s="26">
        <f>IF(B58="","",ROUND(T58*IF(H58="Retail",IFERROR(INDEX(Inventory!$H$5:$H$304,MATCH(I58,Inventory!$A$5:$A$304,0))*1,0),IFERROR(INDEX(Services!$Q$5:$Q$204,MATCH(I58,Services!$A$5:$A$204,0))*1,0)),2))</f>
        <v>0</v>
      </c>
      <c r="AC58" s="26">
        <f>IF(B58="","",ROUND(Y58-AB58,2))</f>
        <v>0</v>
      </c>
      <c r="AD58" s="38">
        <f>IF(B58="","",IF(C58="","No",IF(COUNTIFS($C$5:C58,C58)=1,"Yes","No")))</f>
        <v>0</v>
      </c>
      <c r="AE58" s="26">
        <f>IF(B58="","",ROUND(SUMIFS(Payments!$G$5:$G$1204,Payments!$H$5:$H$1204,A58,Payments!$Q$5:$Q$1204,"Yes"),2))</f>
        <v>0</v>
      </c>
      <c r="AF58" s="26">
        <f>IF(B58="","",IF(AD58="No",0,ROUND(SUMIFS(Payments!$G$5:$G$1204,Payments!$I$5:$I$1204,C58,Payments!$H$5:$H$1204,"",Payments!$Q$5:$Q$1204,"Yes"),2)))</f>
        <v>0</v>
      </c>
      <c r="AG58" s="26">
        <f>IF(B58="","",ROUND(AE58+AF58,2))</f>
        <v>0</v>
      </c>
      <c r="AH58" s="26">
        <f>IF(B58="","",ROUND(AA58-AG58,2))</f>
        <v>0</v>
      </c>
      <c r="AI58" s="39">
        <f>IF(B58="","",IF(AA58&lt;=0,"No charge",IF(AH58&lt;=0.004,"Paid",IF(AG58&lt;=0.004,"Unpaid","Part paid"))))</f>
        <v>0</v>
      </c>
      <c r="AJ58" s="38">
        <f>IF(B58="","",IF(H58&lt;&gt;"Service","",IF(D58="","No",IF(COUNTIFS($D$5:$D$1204,D58,$B$5:$B$1204,B58,$H$5:$H$1204,"Retail")&gt;0,"Yes","No"))))</f>
        <v>0</v>
      </c>
      <c r="AK58" s="25">
        <f>IF(B58="","",COUNTIFS($Y$5:$Y$1204,"&gt;"&amp;Y58)+COUNTIFS($Y$5:Y58,Y58))</f>
        <v>0</v>
      </c>
      <c r="AL58" s="39">
        <f>IF(B58="","",IF(H58="","Add - what kind of sale is this?",IF(IF(V58&lt;=0,P58="",FALSE),"Check - no price found for this item",IF(F58="","Assign - nobody credited",IF(AH58&gt;0.004,"Unpaid - balance outstanding",IF(AC58&lt;0,"Loss - sold below cost",IF(X58&gt;W58*0.5,"Check - more than half off","OK")))))))</f>
        <v>0</v>
      </c>
    </row>
    <row r="59" spans="1:38">
      <c r="A59" s="28">
        <f>IF(B59="","",SalePrefix&amp;TEXT(ROW()-4,"0000"))</f>
        <v>0</v>
      </c>
      <c r="E59" s="15">
        <f>IF(D59="","",IFERROR(INDEX(Clients!$B$5:$B$504,MATCH(D59,Clients!$A$5:$A$504,0)),"Walk-in"))</f>
        <v>0</v>
      </c>
      <c r="G59" s="15">
        <f>IF(F59="","",IFERROR(INDEX(Staff!$B$5:$B$44,MATCH(F59,Staff!$A$5:$A$44,0)),"House"))</f>
        <v>0</v>
      </c>
      <c r="R59" s="15">
        <f>IF(B59="","",TEXT(B59,"yyyy-mm"))</f>
        <v>0</v>
      </c>
      <c r="S59" s="25">
        <f>IF(B59="","",WEEKNUM(B59,2))</f>
        <v>0</v>
      </c>
      <c r="T59" s="37">
        <f>IF(B59="","",IF(K59="",1,K59))</f>
        <v>0</v>
      </c>
      <c r="U59" s="15">
        <f>IF(B59="","",IF(J59&lt;&gt;"",J59,IF(H59="Retail",IFERROR(INDEX(Inventory!$B$5:$B$304,MATCH(I59,Inventory!$A$5:$A$304,0))&amp;"","Not in Inventory"),IFERROR(INDEX(Services!$B$5:$B$204,MATCH(I59,Services!$A$5:$A$204,0))&amp;"","Not in Services"))))</f>
        <v>0</v>
      </c>
      <c r="V59" s="26">
        <f>IF(B59="","",IF(L59&lt;&gt;"",L59,IF(H59="Retail",IFERROR(INDEX(Inventory!$I$5:$I$304,MATCH(I59,Inventory!$A$5:$A$304,0))*1,0),IFERROR(INDEX(Services!$G$5:$G$204,MATCH(I59,Services!$A$5:$A$204,0))*1,0))))</f>
        <v>0</v>
      </c>
      <c r="W59" s="26">
        <f>IF(B59="","",ROUND(T59*V59,2))</f>
        <v>0</v>
      </c>
      <c r="X59" s="26">
        <f>IF(B59="","",ROUND(IF(M59="",0,W59*M59)+IF(N59="",0,N59),2))</f>
        <v>0</v>
      </c>
      <c r="Y59" s="26">
        <f>IF(B59="","",ROUND(W59-X59-IF(P59="",0,P59),2))</f>
        <v>0</v>
      </c>
      <c r="Z59" s="26">
        <f>IF(B59="","",IF(H59="Retail",IF(TaxOnRetail="Yes",ROUND(Y59*TaxRate,2),0),IF(H59="Service",IF(TaxOnServices="Yes",ROUND(Y59*TaxRate,2),0),0)))</f>
        <v>0</v>
      </c>
      <c r="AA59" s="26">
        <f>IF(B59="","",ROUND(Y59+Z59,2))</f>
        <v>0</v>
      </c>
      <c r="AB59" s="26">
        <f>IF(B59="","",ROUND(T59*IF(H59="Retail",IFERROR(INDEX(Inventory!$H$5:$H$304,MATCH(I59,Inventory!$A$5:$A$304,0))*1,0),IFERROR(INDEX(Services!$Q$5:$Q$204,MATCH(I59,Services!$A$5:$A$204,0))*1,0)),2))</f>
        <v>0</v>
      </c>
      <c r="AC59" s="26">
        <f>IF(B59="","",ROUND(Y59-AB59,2))</f>
        <v>0</v>
      </c>
      <c r="AD59" s="38">
        <f>IF(B59="","",IF(C59="","No",IF(COUNTIFS($C$5:C59,C59)=1,"Yes","No")))</f>
        <v>0</v>
      </c>
      <c r="AE59" s="26">
        <f>IF(B59="","",ROUND(SUMIFS(Payments!$G$5:$G$1204,Payments!$H$5:$H$1204,A59,Payments!$Q$5:$Q$1204,"Yes"),2))</f>
        <v>0</v>
      </c>
      <c r="AF59" s="26">
        <f>IF(B59="","",IF(AD59="No",0,ROUND(SUMIFS(Payments!$G$5:$G$1204,Payments!$I$5:$I$1204,C59,Payments!$H$5:$H$1204,"",Payments!$Q$5:$Q$1204,"Yes"),2)))</f>
        <v>0</v>
      </c>
      <c r="AG59" s="26">
        <f>IF(B59="","",ROUND(AE59+AF59,2))</f>
        <v>0</v>
      </c>
      <c r="AH59" s="26">
        <f>IF(B59="","",ROUND(AA59-AG59,2))</f>
        <v>0</v>
      </c>
      <c r="AI59" s="39">
        <f>IF(B59="","",IF(AA59&lt;=0,"No charge",IF(AH59&lt;=0.004,"Paid",IF(AG59&lt;=0.004,"Unpaid","Part paid"))))</f>
        <v>0</v>
      </c>
      <c r="AJ59" s="38">
        <f>IF(B59="","",IF(H59&lt;&gt;"Service","",IF(D59="","No",IF(COUNTIFS($D$5:$D$1204,D59,$B$5:$B$1204,B59,$H$5:$H$1204,"Retail")&gt;0,"Yes","No"))))</f>
        <v>0</v>
      </c>
      <c r="AK59" s="25">
        <f>IF(B59="","",COUNTIFS($Y$5:$Y$1204,"&gt;"&amp;Y59)+COUNTIFS($Y$5:Y59,Y59))</f>
        <v>0</v>
      </c>
      <c r="AL59" s="39">
        <f>IF(B59="","",IF(H59="","Add - what kind of sale is this?",IF(IF(V59&lt;=0,P59="",FALSE),"Check - no price found for this item",IF(F59="","Assign - nobody credited",IF(AH59&gt;0.004,"Unpaid - balance outstanding",IF(AC59&lt;0,"Loss - sold below cost",IF(X59&gt;W59*0.5,"Check - more than half off","OK")))))))</f>
        <v>0</v>
      </c>
    </row>
    <row r="60" spans="1:38">
      <c r="A60" s="28">
        <f>IF(B60="","",SalePrefix&amp;TEXT(ROW()-4,"0000"))</f>
        <v>0</v>
      </c>
      <c r="E60" s="15">
        <f>IF(D60="","",IFERROR(INDEX(Clients!$B$5:$B$504,MATCH(D60,Clients!$A$5:$A$504,0)),"Walk-in"))</f>
        <v>0</v>
      </c>
      <c r="G60" s="15">
        <f>IF(F60="","",IFERROR(INDEX(Staff!$B$5:$B$44,MATCH(F60,Staff!$A$5:$A$44,0)),"House"))</f>
        <v>0</v>
      </c>
      <c r="R60" s="15">
        <f>IF(B60="","",TEXT(B60,"yyyy-mm"))</f>
        <v>0</v>
      </c>
      <c r="S60" s="25">
        <f>IF(B60="","",WEEKNUM(B60,2))</f>
        <v>0</v>
      </c>
      <c r="T60" s="37">
        <f>IF(B60="","",IF(K60="",1,K60))</f>
        <v>0</v>
      </c>
      <c r="U60" s="15">
        <f>IF(B60="","",IF(J60&lt;&gt;"",J60,IF(H60="Retail",IFERROR(INDEX(Inventory!$B$5:$B$304,MATCH(I60,Inventory!$A$5:$A$304,0))&amp;"","Not in Inventory"),IFERROR(INDEX(Services!$B$5:$B$204,MATCH(I60,Services!$A$5:$A$204,0))&amp;"","Not in Services"))))</f>
        <v>0</v>
      </c>
      <c r="V60" s="26">
        <f>IF(B60="","",IF(L60&lt;&gt;"",L60,IF(H60="Retail",IFERROR(INDEX(Inventory!$I$5:$I$304,MATCH(I60,Inventory!$A$5:$A$304,0))*1,0),IFERROR(INDEX(Services!$G$5:$G$204,MATCH(I60,Services!$A$5:$A$204,0))*1,0))))</f>
        <v>0</v>
      </c>
      <c r="W60" s="26">
        <f>IF(B60="","",ROUND(T60*V60,2))</f>
        <v>0</v>
      </c>
      <c r="X60" s="26">
        <f>IF(B60="","",ROUND(IF(M60="",0,W60*M60)+IF(N60="",0,N60),2))</f>
        <v>0</v>
      </c>
      <c r="Y60" s="26">
        <f>IF(B60="","",ROUND(W60-X60-IF(P60="",0,P60),2))</f>
        <v>0</v>
      </c>
      <c r="Z60" s="26">
        <f>IF(B60="","",IF(H60="Retail",IF(TaxOnRetail="Yes",ROUND(Y60*TaxRate,2),0),IF(H60="Service",IF(TaxOnServices="Yes",ROUND(Y60*TaxRate,2),0),0)))</f>
        <v>0</v>
      </c>
      <c r="AA60" s="26">
        <f>IF(B60="","",ROUND(Y60+Z60,2))</f>
        <v>0</v>
      </c>
      <c r="AB60" s="26">
        <f>IF(B60="","",ROUND(T60*IF(H60="Retail",IFERROR(INDEX(Inventory!$H$5:$H$304,MATCH(I60,Inventory!$A$5:$A$304,0))*1,0),IFERROR(INDEX(Services!$Q$5:$Q$204,MATCH(I60,Services!$A$5:$A$204,0))*1,0)),2))</f>
        <v>0</v>
      </c>
      <c r="AC60" s="26">
        <f>IF(B60="","",ROUND(Y60-AB60,2))</f>
        <v>0</v>
      </c>
      <c r="AD60" s="38">
        <f>IF(B60="","",IF(C60="","No",IF(COUNTIFS($C$5:C60,C60)=1,"Yes","No")))</f>
        <v>0</v>
      </c>
      <c r="AE60" s="26">
        <f>IF(B60="","",ROUND(SUMIFS(Payments!$G$5:$G$1204,Payments!$H$5:$H$1204,A60,Payments!$Q$5:$Q$1204,"Yes"),2))</f>
        <v>0</v>
      </c>
      <c r="AF60" s="26">
        <f>IF(B60="","",IF(AD60="No",0,ROUND(SUMIFS(Payments!$G$5:$G$1204,Payments!$I$5:$I$1204,C60,Payments!$H$5:$H$1204,"",Payments!$Q$5:$Q$1204,"Yes"),2)))</f>
        <v>0</v>
      </c>
      <c r="AG60" s="26">
        <f>IF(B60="","",ROUND(AE60+AF60,2))</f>
        <v>0</v>
      </c>
      <c r="AH60" s="26">
        <f>IF(B60="","",ROUND(AA60-AG60,2))</f>
        <v>0</v>
      </c>
      <c r="AI60" s="39">
        <f>IF(B60="","",IF(AA60&lt;=0,"No charge",IF(AH60&lt;=0.004,"Paid",IF(AG60&lt;=0.004,"Unpaid","Part paid"))))</f>
        <v>0</v>
      </c>
      <c r="AJ60" s="38">
        <f>IF(B60="","",IF(H60&lt;&gt;"Service","",IF(D60="","No",IF(COUNTIFS($D$5:$D$1204,D60,$B$5:$B$1204,B60,$H$5:$H$1204,"Retail")&gt;0,"Yes","No"))))</f>
        <v>0</v>
      </c>
      <c r="AK60" s="25">
        <f>IF(B60="","",COUNTIFS($Y$5:$Y$1204,"&gt;"&amp;Y60)+COUNTIFS($Y$5:Y60,Y60))</f>
        <v>0</v>
      </c>
      <c r="AL60" s="39">
        <f>IF(B60="","",IF(H60="","Add - what kind of sale is this?",IF(IF(V60&lt;=0,P60="",FALSE),"Check - no price found for this item",IF(F60="","Assign - nobody credited",IF(AH60&gt;0.004,"Unpaid - balance outstanding",IF(AC60&lt;0,"Loss - sold below cost",IF(X60&gt;W60*0.5,"Check - more than half off","OK")))))))</f>
        <v>0</v>
      </c>
    </row>
    <row r="61" spans="1:38">
      <c r="A61" s="28">
        <f>IF(B61="","",SalePrefix&amp;TEXT(ROW()-4,"0000"))</f>
        <v>0</v>
      </c>
      <c r="E61" s="15">
        <f>IF(D61="","",IFERROR(INDEX(Clients!$B$5:$B$504,MATCH(D61,Clients!$A$5:$A$504,0)),"Walk-in"))</f>
        <v>0</v>
      </c>
      <c r="G61" s="15">
        <f>IF(F61="","",IFERROR(INDEX(Staff!$B$5:$B$44,MATCH(F61,Staff!$A$5:$A$44,0)),"House"))</f>
        <v>0</v>
      </c>
      <c r="R61" s="15">
        <f>IF(B61="","",TEXT(B61,"yyyy-mm"))</f>
        <v>0</v>
      </c>
      <c r="S61" s="25">
        <f>IF(B61="","",WEEKNUM(B61,2))</f>
        <v>0</v>
      </c>
      <c r="T61" s="37">
        <f>IF(B61="","",IF(K61="",1,K61))</f>
        <v>0</v>
      </c>
      <c r="U61" s="15">
        <f>IF(B61="","",IF(J61&lt;&gt;"",J61,IF(H61="Retail",IFERROR(INDEX(Inventory!$B$5:$B$304,MATCH(I61,Inventory!$A$5:$A$304,0))&amp;"","Not in Inventory"),IFERROR(INDEX(Services!$B$5:$B$204,MATCH(I61,Services!$A$5:$A$204,0))&amp;"","Not in Services"))))</f>
        <v>0</v>
      </c>
      <c r="V61" s="26">
        <f>IF(B61="","",IF(L61&lt;&gt;"",L61,IF(H61="Retail",IFERROR(INDEX(Inventory!$I$5:$I$304,MATCH(I61,Inventory!$A$5:$A$304,0))*1,0),IFERROR(INDEX(Services!$G$5:$G$204,MATCH(I61,Services!$A$5:$A$204,0))*1,0))))</f>
        <v>0</v>
      </c>
      <c r="W61" s="26">
        <f>IF(B61="","",ROUND(T61*V61,2))</f>
        <v>0</v>
      </c>
      <c r="X61" s="26">
        <f>IF(B61="","",ROUND(IF(M61="",0,W61*M61)+IF(N61="",0,N61),2))</f>
        <v>0</v>
      </c>
      <c r="Y61" s="26">
        <f>IF(B61="","",ROUND(W61-X61-IF(P61="",0,P61),2))</f>
        <v>0</v>
      </c>
      <c r="Z61" s="26">
        <f>IF(B61="","",IF(H61="Retail",IF(TaxOnRetail="Yes",ROUND(Y61*TaxRate,2),0),IF(H61="Service",IF(TaxOnServices="Yes",ROUND(Y61*TaxRate,2),0),0)))</f>
        <v>0</v>
      </c>
      <c r="AA61" s="26">
        <f>IF(B61="","",ROUND(Y61+Z61,2))</f>
        <v>0</v>
      </c>
      <c r="AB61" s="26">
        <f>IF(B61="","",ROUND(T61*IF(H61="Retail",IFERROR(INDEX(Inventory!$H$5:$H$304,MATCH(I61,Inventory!$A$5:$A$304,0))*1,0),IFERROR(INDEX(Services!$Q$5:$Q$204,MATCH(I61,Services!$A$5:$A$204,0))*1,0)),2))</f>
        <v>0</v>
      </c>
      <c r="AC61" s="26">
        <f>IF(B61="","",ROUND(Y61-AB61,2))</f>
        <v>0</v>
      </c>
      <c r="AD61" s="38">
        <f>IF(B61="","",IF(C61="","No",IF(COUNTIFS($C$5:C61,C61)=1,"Yes","No")))</f>
        <v>0</v>
      </c>
      <c r="AE61" s="26">
        <f>IF(B61="","",ROUND(SUMIFS(Payments!$G$5:$G$1204,Payments!$H$5:$H$1204,A61,Payments!$Q$5:$Q$1204,"Yes"),2))</f>
        <v>0</v>
      </c>
      <c r="AF61" s="26">
        <f>IF(B61="","",IF(AD61="No",0,ROUND(SUMIFS(Payments!$G$5:$G$1204,Payments!$I$5:$I$1204,C61,Payments!$H$5:$H$1204,"",Payments!$Q$5:$Q$1204,"Yes"),2)))</f>
        <v>0</v>
      </c>
      <c r="AG61" s="26">
        <f>IF(B61="","",ROUND(AE61+AF61,2))</f>
        <v>0</v>
      </c>
      <c r="AH61" s="26">
        <f>IF(B61="","",ROUND(AA61-AG61,2))</f>
        <v>0</v>
      </c>
      <c r="AI61" s="39">
        <f>IF(B61="","",IF(AA61&lt;=0,"No charge",IF(AH61&lt;=0.004,"Paid",IF(AG61&lt;=0.004,"Unpaid","Part paid"))))</f>
        <v>0</v>
      </c>
      <c r="AJ61" s="38">
        <f>IF(B61="","",IF(H61&lt;&gt;"Service","",IF(D61="","No",IF(COUNTIFS($D$5:$D$1204,D61,$B$5:$B$1204,B61,$H$5:$H$1204,"Retail")&gt;0,"Yes","No"))))</f>
        <v>0</v>
      </c>
      <c r="AK61" s="25">
        <f>IF(B61="","",COUNTIFS($Y$5:$Y$1204,"&gt;"&amp;Y61)+COUNTIFS($Y$5:Y61,Y61))</f>
        <v>0</v>
      </c>
      <c r="AL61" s="39">
        <f>IF(B61="","",IF(H61="","Add - what kind of sale is this?",IF(IF(V61&lt;=0,P61="",FALSE),"Check - no price found for this item",IF(F61="","Assign - nobody credited",IF(AH61&gt;0.004,"Unpaid - balance outstanding",IF(AC61&lt;0,"Loss - sold below cost",IF(X61&gt;W61*0.5,"Check - more than half off","OK")))))))</f>
        <v>0</v>
      </c>
    </row>
    <row r="62" spans="1:38">
      <c r="A62" s="28">
        <f>IF(B62="","",SalePrefix&amp;TEXT(ROW()-4,"0000"))</f>
        <v>0</v>
      </c>
      <c r="E62" s="15">
        <f>IF(D62="","",IFERROR(INDEX(Clients!$B$5:$B$504,MATCH(D62,Clients!$A$5:$A$504,0)),"Walk-in"))</f>
        <v>0</v>
      </c>
      <c r="G62" s="15">
        <f>IF(F62="","",IFERROR(INDEX(Staff!$B$5:$B$44,MATCH(F62,Staff!$A$5:$A$44,0)),"House"))</f>
        <v>0</v>
      </c>
      <c r="R62" s="15">
        <f>IF(B62="","",TEXT(B62,"yyyy-mm"))</f>
        <v>0</v>
      </c>
      <c r="S62" s="25">
        <f>IF(B62="","",WEEKNUM(B62,2))</f>
        <v>0</v>
      </c>
      <c r="T62" s="37">
        <f>IF(B62="","",IF(K62="",1,K62))</f>
        <v>0</v>
      </c>
      <c r="U62" s="15">
        <f>IF(B62="","",IF(J62&lt;&gt;"",J62,IF(H62="Retail",IFERROR(INDEX(Inventory!$B$5:$B$304,MATCH(I62,Inventory!$A$5:$A$304,0))&amp;"","Not in Inventory"),IFERROR(INDEX(Services!$B$5:$B$204,MATCH(I62,Services!$A$5:$A$204,0))&amp;"","Not in Services"))))</f>
        <v>0</v>
      </c>
      <c r="V62" s="26">
        <f>IF(B62="","",IF(L62&lt;&gt;"",L62,IF(H62="Retail",IFERROR(INDEX(Inventory!$I$5:$I$304,MATCH(I62,Inventory!$A$5:$A$304,0))*1,0),IFERROR(INDEX(Services!$G$5:$G$204,MATCH(I62,Services!$A$5:$A$204,0))*1,0))))</f>
        <v>0</v>
      </c>
      <c r="W62" s="26">
        <f>IF(B62="","",ROUND(T62*V62,2))</f>
        <v>0</v>
      </c>
      <c r="X62" s="26">
        <f>IF(B62="","",ROUND(IF(M62="",0,W62*M62)+IF(N62="",0,N62),2))</f>
        <v>0</v>
      </c>
      <c r="Y62" s="26">
        <f>IF(B62="","",ROUND(W62-X62-IF(P62="",0,P62),2))</f>
        <v>0</v>
      </c>
      <c r="Z62" s="26">
        <f>IF(B62="","",IF(H62="Retail",IF(TaxOnRetail="Yes",ROUND(Y62*TaxRate,2),0),IF(H62="Service",IF(TaxOnServices="Yes",ROUND(Y62*TaxRate,2),0),0)))</f>
        <v>0</v>
      </c>
      <c r="AA62" s="26">
        <f>IF(B62="","",ROUND(Y62+Z62,2))</f>
        <v>0</v>
      </c>
      <c r="AB62" s="26">
        <f>IF(B62="","",ROUND(T62*IF(H62="Retail",IFERROR(INDEX(Inventory!$H$5:$H$304,MATCH(I62,Inventory!$A$5:$A$304,0))*1,0),IFERROR(INDEX(Services!$Q$5:$Q$204,MATCH(I62,Services!$A$5:$A$204,0))*1,0)),2))</f>
        <v>0</v>
      </c>
      <c r="AC62" s="26">
        <f>IF(B62="","",ROUND(Y62-AB62,2))</f>
        <v>0</v>
      </c>
      <c r="AD62" s="38">
        <f>IF(B62="","",IF(C62="","No",IF(COUNTIFS($C$5:C62,C62)=1,"Yes","No")))</f>
        <v>0</v>
      </c>
      <c r="AE62" s="26">
        <f>IF(B62="","",ROUND(SUMIFS(Payments!$G$5:$G$1204,Payments!$H$5:$H$1204,A62,Payments!$Q$5:$Q$1204,"Yes"),2))</f>
        <v>0</v>
      </c>
      <c r="AF62" s="26">
        <f>IF(B62="","",IF(AD62="No",0,ROUND(SUMIFS(Payments!$G$5:$G$1204,Payments!$I$5:$I$1204,C62,Payments!$H$5:$H$1204,"",Payments!$Q$5:$Q$1204,"Yes"),2)))</f>
        <v>0</v>
      </c>
      <c r="AG62" s="26">
        <f>IF(B62="","",ROUND(AE62+AF62,2))</f>
        <v>0</v>
      </c>
      <c r="AH62" s="26">
        <f>IF(B62="","",ROUND(AA62-AG62,2))</f>
        <v>0</v>
      </c>
      <c r="AI62" s="39">
        <f>IF(B62="","",IF(AA62&lt;=0,"No charge",IF(AH62&lt;=0.004,"Paid",IF(AG62&lt;=0.004,"Unpaid","Part paid"))))</f>
        <v>0</v>
      </c>
      <c r="AJ62" s="38">
        <f>IF(B62="","",IF(H62&lt;&gt;"Service","",IF(D62="","No",IF(COUNTIFS($D$5:$D$1204,D62,$B$5:$B$1204,B62,$H$5:$H$1204,"Retail")&gt;0,"Yes","No"))))</f>
        <v>0</v>
      </c>
      <c r="AK62" s="25">
        <f>IF(B62="","",COUNTIFS($Y$5:$Y$1204,"&gt;"&amp;Y62)+COUNTIFS($Y$5:Y62,Y62))</f>
        <v>0</v>
      </c>
      <c r="AL62" s="39">
        <f>IF(B62="","",IF(H62="","Add - what kind of sale is this?",IF(IF(V62&lt;=0,P62="",FALSE),"Check - no price found for this item",IF(F62="","Assign - nobody credited",IF(AH62&gt;0.004,"Unpaid - balance outstanding",IF(AC62&lt;0,"Loss - sold below cost",IF(X62&gt;W62*0.5,"Check - more than half off","OK")))))))</f>
        <v>0</v>
      </c>
    </row>
    <row r="63" spans="1:38">
      <c r="A63" s="28">
        <f>IF(B63="","",SalePrefix&amp;TEXT(ROW()-4,"0000"))</f>
        <v>0</v>
      </c>
      <c r="E63" s="15">
        <f>IF(D63="","",IFERROR(INDEX(Clients!$B$5:$B$504,MATCH(D63,Clients!$A$5:$A$504,0)),"Walk-in"))</f>
        <v>0</v>
      </c>
      <c r="G63" s="15">
        <f>IF(F63="","",IFERROR(INDEX(Staff!$B$5:$B$44,MATCH(F63,Staff!$A$5:$A$44,0)),"House"))</f>
        <v>0</v>
      </c>
      <c r="R63" s="15">
        <f>IF(B63="","",TEXT(B63,"yyyy-mm"))</f>
        <v>0</v>
      </c>
      <c r="S63" s="25">
        <f>IF(B63="","",WEEKNUM(B63,2))</f>
        <v>0</v>
      </c>
      <c r="T63" s="37">
        <f>IF(B63="","",IF(K63="",1,K63))</f>
        <v>0</v>
      </c>
      <c r="U63" s="15">
        <f>IF(B63="","",IF(J63&lt;&gt;"",J63,IF(H63="Retail",IFERROR(INDEX(Inventory!$B$5:$B$304,MATCH(I63,Inventory!$A$5:$A$304,0))&amp;"","Not in Inventory"),IFERROR(INDEX(Services!$B$5:$B$204,MATCH(I63,Services!$A$5:$A$204,0))&amp;"","Not in Services"))))</f>
        <v>0</v>
      </c>
      <c r="V63" s="26">
        <f>IF(B63="","",IF(L63&lt;&gt;"",L63,IF(H63="Retail",IFERROR(INDEX(Inventory!$I$5:$I$304,MATCH(I63,Inventory!$A$5:$A$304,0))*1,0),IFERROR(INDEX(Services!$G$5:$G$204,MATCH(I63,Services!$A$5:$A$204,0))*1,0))))</f>
        <v>0</v>
      </c>
      <c r="W63" s="26">
        <f>IF(B63="","",ROUND(T63*V63,2))</f>
        <v>0</v>
      </c>
      <c r="X63" s="26">
        <f>IF(B63="","",ROUND(IF(M63="",0,W63*M63)+IF(N63="",0,N63),2))</f>
        <v>0</v>
      </c>
      <c r="Y63" s="26">
        <f>IF(B63="","",ROUND(W63-X63-IF(P63="",0,P63),2))</f>
        <v>0</v>
      </c>
      <c r="Z63" s="26">
        <f>IF(B63="","",IF(H63="Retail",IF(TaxOnRetail="Yes",ROUND(Y63*TaxRate,2),0),IF(H63="Service",IF(TaxOnServices="Yes",ROUND(Y63*TaxRate,2),0),0)))</f>
        <v>0</v>
      </c>
      <c r="AA63" s="26">
        <f>IF(B63="","",ROUND(Y63+Z63,2))</f>
        <v>0</v>
      </c>
      <c r="AB63" s="26">
        <f>IF(B63="","",ROUND(T63*IF(H63="Retail",IFERROR(INDEX(Inventory!$H$5:$H$304,MATCH(I63,Inventory!$A$5:$A$304,0))*1,0),IFERROR(INDEX(Services!$Q$5:$Q$204,MATCH(I63,Services!$A$5:$A$204,0))*1,0)),2))</f>
        <v>0</v>
      </c>
      <c r="AC63" s="26">
        <f>IF(B63="","",ROUND(Y63-AB63,2))</f>
        <v>0</v>
      </c>
      <c r="AD63" s="38">
        <f>IF(B63="","",IF(C63="","No",IF(COUNTIFS($C$5:C63,C63)=1,"Yes","No")))</f>
        <v>0</v>
      </c>
      <c r="AE63" s="26">
        <f>IF(B63="","",ROUND(SUMIFS(Payments!$G$5:$G$1204,Payments!$H$5:$H$1204,A63,Payments!$Q$5:$Q$1204,"Yes"),2))</f>
        <v>0</v>
      </c>
      <c r="AF63" s="26">
        <f>IF(B63="","",IF(AD63="No",0,ROUND(SUMIFS(Payments!$G$5:$G$1204,Payments!$I$5:$I$1204,C63,Payments!$H$5:$H$1204,"",Payments!$Q$5:$Q$1204,"Yes"),2)))</f>
        <v>0</v>
      </c>
      <c r="AG63" s="26">
        <f>IF(B63="","",ROUND(AE63+AF63,2))</f>
        <v>0</v>
      </c>
      <c r="AH63" s="26">
        <f>IF(B63="","",ROUND(AA63-AG63,2))</f>
        <v>0</v>
      </c>
      <c r="AI63" s="39">
        <f>IF(B63="","",IF(AA63&lt;=0,"No charge",IF(AH63&lt;=0.004,"Paid",IF(AG63&lt;=0.004,"Unpaid","Part paid"))))</f>
        <v>0</v>
      </c>
      <c r="AJ63" s="38">
        <f>IF(B63="","",IF(H63&lt;&gt;"Service","",IF(D63="","No",IF(COUNTIFS($D$5:$D$1204,D63,$B$5:$B$1204,B63,$H$5:$H$1204,"Retail")&gt;0,"Yes","No"))))</f>
        <v>0</v>
      </c>
      <c r="AK63" s="25">
        <f>IF(B63="","",COUNTIFS($Y$5:$Y$1204,"&gt;"&amp;Y63)+COUNTIFS($Y$5:Y63,Y63))</f>
        <v>0</v>
      </c>
      <c r="AL63" s="39">
        <f>IF(B63="","",IF(H63="","Add - what kind of sale is this?",IF(IF(V63&lt;=0,P63="",FALSE),"Check - no price found for this item",IF(F63="","Assign - nobody credited",IF(AH63&gt;0.004,"Unpaid - balance outstanding",IF(AC63&lt;0,"Loss - sold below cost",IF(X63&gt;W63*0.5,"Check - more than half off","OK")))))))</f>
        <v>0</v>
      </c>
    </row>
    <row r="64" spans="1:38">
      <c r="A64" s="28">
        <f>IF(B64="","",SalePrefix&amp;TEXT(ROW()-4,"0000"))</f>
        <v>0</v>
      </c>
      <c r="E64" s="15">
        <f>IF(D64="","",IFERROR(INDEX(Clients!$B$5:$B$504,MATCH(D64,Clients!$A$5:$A$504,0)),"Walk-in"))</f>
        <v>0</v>
      </c>
      <c r="G64" s="15">
        <f>IF(F64="","",IFERROR(INDEX(Staff!$B$5:$B$44,MATCH(F64,Staff!$A$5:$A$44,0)),"House"))</f>
        <v>0</v>
      </c>
      <c r="R64" s="15">
        <f>IF(B64="","",TEXT(B64,"yyyy-mm"))</f>
        <v>0</v>
      </c>
      <c r="S64" s="25">
        <f>IF(B64="","",WEEKNUM(B64,2))</f>
        <v>0</v>
      </c>
      <c r="T64" s="37">
        <f>IF(B64="","",IF(K64="",1,K64))</f>
        <v>0</v>
      </c>
      <c r="U64" s="15">
        <f>IF(B64="","",IF(J64&lt;&gt;"",J64,IF(H64="Retail",IFERROR(INDEX(Inventory!$B$5:$B$304,MATCH(I64,Inventory!$A$5:$A$304,0))&amp;"","Not in Inventory"),IFERROR(INDEX(Services!$B$5:$B$204,MATCH(I64,Services!$A$5:$A$204,0))&amp;"","Not in Services"))))</f>
        <v>0</v>
      </c>
      <c r="V64" s="26">
        <f>IF(B64="","",IF(L64&lt;&gt;"",L64,IF(H64="Retail",IFERROR(INDEX(Inventory!$I$5:$I$304,MATCH(I64,Inventory!$A$5:$A$304,0))*1,0),IFERROR(INDEX(Services!$G$5:$G$204,MATCH(I64,Services!$A$5:$A$204,0))*1,0))))</f>
        <v>0</v>
      </c>
      <c r="W64" s="26">
        <f>IF(B64="","",ROUND(T64*V64,2))</f>
        <v>0</v>
      </c>
      <c r="X64" s="26">
        <f>IF(B64="","",ROUND(IF(M64="",0,W64*M64)+IF(N64="",0,N64),2))</f>
        <v>0</v>
      </c>
      <c r="Y64" s="26">
        <f>IF(B64="","",ROUND(W64-X64-IF(P64="",0,P64),2))</f>
        <v>0</v>
      </c>
      <c r="Z64" s="26">
        <f>IF(B64="","",IF(H64="Retail",IF(TaxOnRetail="Yes",ROUND(Y64*TaxRate,2),0),IF(H64="Service",IF(TaxOnServices="Yes",ROUND(Y64*TaxRate,2),0),0)))</f>
        <v>0</v>
      </c>
      <c r="AA64" s="26">
        <f>IF(B64="","",ROUND(Y64+Z64,2))</f>
        <v>0</v>
      </c>
      <c r="AB64" s="26">
        <f>IF(B64="","",ROUND(T64*IF(H64="Retail",IFERROR(INDEX(Inventory!$H$5:$H$304,MATCH(I64,Inventory!$A$5:$A$304,0))*1,0),IFERROR(INDEX(Services!$Q$5:$Q$204,MATCH(I64,Services!$A$5:$A$204,0))*1,0)),2))</f>
        <v>0</v>
      </c>
      <c r="AC64" s="26">
        <f>IF(B64="","",ROUND(Y64-AB64,2))</f>
        <v>0</v>
      </c>
      <c r="AD64" s="38">
        <f>IF(B64="","",IF(C64="","No",IF(COUNTIFS($C$5:C64,C64)=1,"Yes","No")))</f>
        <v>0</v>
      </c>
      <c r="AE64" s="26">
        <f>IF(B64="","",ROUND(SUMIFS(Payments!$G$5:$G$1204,Payments!$H$5:$H$1204,A64,Payments!$Q$5:$Q$1204,"Yes"),2))</f>
        <v>0</v>
      </c>
      <c r="AF64" s="26">
        <f>IF(B64="","",IF(AD64="No",0,ROUND(SUMIFS(Payments!$G$5:$G$1204,Payments!$I$5:$I$1204,C64,Payments!$H$5:$H$1204,"",Payments!$Q$5:$Q$1204,"Yes"),2)))</f>
        <v>0</v>
      </c>
      <c r="AG64" s="26">
        <f>IF(B64="","",ROUND(AE64+AF64,2))</f>
        <v>0</v>
      </c>
      <c r="AH64" s="26">
        <f>IF(B64="","",ROUND(AA64-AG64,2))</f>
        <v>0</v>
      </c>
      <c r="AI64" s="39">
        <f>IF(B64="","",IF(AA64&lt;=0,"No charge",IF(AH64&lt;=0.004,"Paid",IF(AG64&lt;=0.004,"Unpaid","Part paid"))))</f>
        <v>0</v>
      </c>
      <c r="AJ64" s="38">
        <f>IF(B64="","",IF(H64&lt;&gt;"Service","",IF(D64="","No",IF(COUNTIFS($D$5:$D$1204,D64,$B$5:$B$1204,B64,$H$5:$H$1204,"Retail")&gt;0,"Yes","No"))))</f>
        <v>0</v>
      </c>
      <c r="AK64" s="25">
        <f>IF(B64="","",COUNTIFS($Y$5:$Y$1204,"&gt;"&amp;Y64)+COUNTIFS($Y$5:Y64,Y64))</f>
        <v>0</v>
      </c>
      <c r="AL64" s="39">
        <f>IF(B64="","",IF(H64="","Add - what kind of sale is this?",IF(IF(V64&lt;=0,P64="",FALSE),"Check - no price found for this item",IF(F64="","Assign - nobody credited",IF(AH64&gt;0.004,"Unpaid - balance outstanding",IF(AC64&lt;0,"Loss - sold below cost",IF(X64&gt;W64*0.5,"Check - more than half off","OK")))))))</f>
        <v>0</v>
      </c>
    </row>
    <row r="65" spans="1:38">
      <c r="A65" s="28">
        <f>IF(B65="","",SalePrefix&amp;TEXT(ROW()-4,"0000"))</f>
        <v>0</v>
      </c>
      <c r="E65" s="15">
        <f>IF(D65="","",IFERROR(INDEX(Clients!$B$5:$B$504,MATCH(D65,Clients!$A$5:$A$504,0)),"Walk-in"))</f>
        <v>0</v>
      </c>
      <c r="G65" s="15">
        <f>IF(F65="","",IFERROR(INDEX(Staff!$B$5:$B$44,MATCH(F65,Staff!$A$5:$A$44,0)),"House"))</f>
        <v>0</v>
      </c>
      <c r="R65" s="15">
        <f>IF(B65="","",TEXT(B65,"yyyy-mm"))</f>
        <v>0</v>
      </c>
      <c r="S65" s="25">
        <f>IF(B65="","",WEEKNUM(B65,2))</f>
        <v>0</v>
      </c>
      <c r="T65" s="37">
        <f>IF(B65="","",IF(K65="",1,K65))</f>
        <v>0</v>
      </c>
      <c r="U65" s="15">
        <f>IF(B65="","",IF(J65&lt;&gt;"",J65,IF(H65="Retail",IFERROR(INDEX(Inventory!$B$5:$B$304,MATCH(I65,Inventory!$A$5:$A$304,0))&amp;"","Not in Inventory"),IFERROR(INDEX(Services!$B$5:$B$204,MATCH(I65,Services!$A$5:$A$204,0))&amp;"","Not in Services"))))</f>
        <v>0</v>
      </c>
      <c r="V65" s="26">
        <f>IF(B65="","",IF(L65&lt;&gt;"",L65,IF(H65="Retail",IFERROR(INDEX(Inventory!$I$5:$I$304,MATCH(I65,Inventory!$A$5:$A$304,0))*1,0),IFERROR(INDEX(Services!$G$5:$G$204,MATCH(I65,Services!$A$5:$A$204,0))*1,0))))</f>
        <v>0</v>
      </c>
      <c r="W65" s="26">
        <f>IF(B65="","",ROUND(T65*V65,2))</f>
        <v>0</v>
      </c>
      <c r="X65" s="26">
        <f>IF(B65="","",ROUND(IF(M65="",0,W65*M65)+IF(N65="",0,N65),2))</f>
        <v>0</v>
      </c>
      <c r="Y65" s="26">
        <f>IF(B65="","",ROUND(W65-X65-IF(P65="",0,P65),2))</f>
        <v>0</v>
      </c>
      <c r="Z65" s="26">
        <f>IF(B65="","",IF(H65="Retail",IF(TaxOnRetail="Yes",ROUND(Y65*TaxRate,2),0),IF(H65="Service",IF(TaxOnServices="Yes",ROUND(Y65*TaxRate,2),0),0)))</f>
        <v>0</v>
      </c>
      <c r="AA65" s="26">
        <f>IF(B65="","",ROUND(Y65+Z65,2))</f>
        <v>0</v>
      </c>
      <c r="AB65" s="26">
        <f>IF(B65="","",ROUND(T65*IF(H65="Retail",IFERROR(INDEX(Inventory!$H$5:$H$304,MATCH(I65,Inventory!$A$5:$A$304,0))*1,0),IFERROR(INDEX(Services!$Q$5:$Q$204,MATCH(I65,Services!$A$5:$A$204,0))*1,0)),2))</f>
        <v>0</v>
      </c>
      <c r="AC65" s="26">
        <f>IF(B65="","",ROUND(Y65-AB65,2))</f>
        <v>0</v>
      </c>
      <c r="AD65" s="38">
        <f>IF(B65="","",IF(C65="","No",IF(COUNTIFS($C$5:C65,C65)=1,"Yes","No")))</f>
        <v>0</v>
      </c>
      <c r="AE65" s="26">
        <f>IF(B65="","",ROUND(SUMIFS(Payments!$G$5:$G$1204,Payments!$H$5:$H$1204,A65,Payments!$Q$5:$Q$1204,"Yes"),2))</f>
        <v>0</v>
      </c>
      <c r="AF65" s="26">
        <f>IF(B65="","",IF(AD65="No",0,ROUND(SUMIFS(Payments!$G$5:$G$1204,Payments!$I$5:$I$1204,C65,Payments!$H$5:$H$1204,"",Payments!$Q$5:$Q$1204,"Yes"),2)))</f>
        <v>0</v>
      </c>
      <c r="AG65" s="26">
        <f>IF(B65="","",ROUND(AE65+AF65,2))</f>
        <v>0</v>
      </c>
      <c r="AH65" s="26">
        <f>IF(B65="","",ROUND(AA65-AG65,2))</f>
        <v>0</v>
      </c>
      <c r="AI65" s="39">
        <f>IF(B65="","",IF(AA65&lt;=0,"No charge",IF(AH65&lt;=0.004,"Paid",IF(AG65&lt;=0.004,"Unpaid","Part paid"))))</f>
        <v>0</v>
      </c>
      <c r="AJ65" s="38">
        <f>IF(B65="","",IF(H65&lt;&gt;"Service","",IF(D65="","No",IF(COUNTIFS($D$5:$D$1204,D65,$B$5:$B$1204,B65,$H$5:$H$1204,"Retail")&gt;0,"Yes","No"))))</f>
        <v>0</v>
      </c>
      <c r="AK65" s="25">
        <f>IF(B65="","",COUNTIFS($Y$5:$Y$1204,"&gt;"&amp;Y65)+COUNTIFS($Y$5:Y65,Y65))</f>
        <v>0</v>
      </c>
      <c r="AL65" s="39">
        <f>IF(B65="","",IF(H65="","Add - what kind of sale is this?",IF(IF(V65&lt;=0,P65="",FALSE),"Check - no price found for this item",IF(F65="","Assign - nobody credited",IF(AH65&gt;0.004,"Unpaid - balance outstanding",IF(AC65&lt;0,"Loss - sold below cost",IF(X65&gt;W65*0.5,"Check - more than half off","OK")))))))</f>
        <v>0</v>
      </c>
    </row>
    <row r="66" spans="1:38">
      <c r="A66" s="28">
        <f>IF(B66="","",SalePrefix&amp;TEXT(ROW()-4,"0000"))</f>
        <v>0</v>
      </c>
      <c r="E66" s="15">
        <f>IF(D66="","",IFERROR(INDEX(Clients!$B$5:$B$504,MATCH(D66,Clients!$A$5:$A$504,0)),"Walk-in"))</f>
        <v>0</v>
      </c>
      <c r="G66" s="15">
        <f>IF(F66="","",IFERROR(INDEX(Staff!$B$5:$B$44,MATCH(F66,Staff!$A$5:$A$44,0)),"House"))</f>
        <v>0</v>
      </c>
      <c r="R66" s="15">
        <f>IF(B66="","",TEXT(B66,"yyyy-mm"))</f>
        <v>0</v>
      </c>
      <c r="S66" s="25">
        <f>IF(B66="","",WEEKNUM(B66,2))</f>
        <v>0</v>
      </c>
      <c r="T66" s="37">
        <f>IF(B66="","",IF(K66="",1,K66))</f>
        <v>0</v>
      </c>
      <c r="U66" s="15">
        <f>IF(B66="","",IF(J66&lt;&gt;"",J66,IF(H66="Retail",IFERROR(INDEX(Inventory!$B$5:$B$304,MATCH(I66,Inventory!$A$5:$A$304,0))&amp;"","Not in Inventory"),IFERROR(INDEX(Services!$B$5:$B$204,MATCH(I66,Services!$A$5:$A$204,0))&amp;"","Not in Services"))))</f>
        <v>0</v>
      </c>
      <c r="V66" s="26">
        <f>IF(B66="","",IF(L66&lt;&gt;"",L66,IF(H66="Retail",IFERROR(INDEX(Inventory!$I$5:$I$304,MATCH(I66,Inventory!$A$5:$A$304,0))*1,0),IFERROR(INDEX(Services!$G$5:$G$204,MATCH(I66,Services!$A$5:$A$204,0))*1,0))))</f>
        <v>0</v>
      </c>
      <c r="W66" s="26">
        <f>IF(B66="","",ROUND(T66*V66,2))</f>
        <v>0</v>
      </c>
      <c r="X66" s="26">
        <f>IF(B66="","",ROUND(IF(M66="",0,W66*M66)+IF(N66="",0,N66),2))</f>
        <v>0</v>
      </c>
      <c r="Y66" s="26">
        <f>IF(B66="","",ROUND(W66-X66-IF(P66="",0,P66),2))</f>
        <v>0</v>
      </c>
      <c r="Z66" s="26">
        <f>IF(B66="","",IF(H66="Retail",IF(TaxOnRetail="Yes",ROUND(Y66*TaxRate,2),0),IF(H66="Service",IF(TaxOnServices="Yes",ROUND(Y66*TaxRate,2),0),0)))</f>
        <v>0</v>
      </c>
      <c r="AA66" s="26">
        <f>IF(B66="","",ROUND(Y66+Z66,2))</f>
        <v>0</v>
      </c>
      <c r="AB66" s="26">
        <f>IF(B66="","",ROUND(T66*IF(H66="Retail",IFERROR(INDEX(Inventory!$H$5:$H$304,MATCH(I66,Inventory!$A$5:$A$304,0))*1,0),IFERROR(INDEX(Services!$Q$5:$Q$204,MATCH(I66,Services!$A$5:$A$204,0))*1,0)),2))</f>
        <v>0</v>
      </c>
      <c r="AC66" s="26">
        <f>IF(B66="","",ROUND(Y66-AB66,2))</f>
        <v>0</v>
      </c>
      <c r="AD66" s="38">
        <f>IF(B66="","",IF(C66="","No",IF(COUNTIFS($C$5:C66,C66)=1,"Yes","No")))</f>
        <v>0</v>
      </c>
      <c r="AE66" s="26">
        <f>IF(B66="","",ROUND(SUMIFS(Payments!$G$5:$G$1204,Payments!$H$5:$H$1204,A66,Payments!$Q$5:$Q$1204,"Yes"),2))</f>
        <v>0</v>
      </c>
      <c r="AF66" s="26">
        <f>IF(B66="","",IF(AD66="No",0,ROUND(SUMIFS(Payments!$G$5:$G$1204,Payments!$I$5:$I$1204,C66,Payments!$H$5:$H$1204,"",Payments!$Q$5:$Q$1204,"Yes"),2)))</f>
        <v>0</v>
      </c>
      <c r="AG66" s="26">
        <f>IF(B66="","",ROUND(AE66+AF66,2))</f>
        <v>0</v>
      </c>
      <c r="AH66" s="26">
        <f>IF(B66="","",ROUND(AA66-AG66,2))</f>
        <v>0</v>
      </c>
      <c r="AI66" s="39">
        <f>IF(B66="","",IF(AA66&lt;=0,"No charge",IF(AH66&lt;=0.004,"Paid",IF(AG66&lt;=0.004,"Unpaid","Part paid"))))</f>
        <v>0</v>
      </c>
      <c r="AJ66" s="38">
        <f>IF(B66="","",IF(H66&lt;&gt;"Service","",IF(D66="","No",IF(COUNTIFS($D$5:$D$1204,D66,$B$5:$B$1204,B66,$H$5:$H$1204,"Retail")&gt;0,"Yes","No"))))</f>
        <v>0</v>
      </c>
      <c r="AK66" s="25">
        <f>IF(B66="","",COUNTIFS($Y$5:$Y$1204,"&gt;"&amp;Y66)+COUNTIFS($Y$5:Y66,Y66))</f>
        <v>0</v>
      </c>
      <c r="AL66" s="39">
        <f>IF(B66="","",IF(H66="","Add - what kind of sale is this?",IF(IF(V66&lt;=0,P66="",FALSE),"Check - no price found for this item",IF(F66="","Assign - nobody credited",IF(AH66&gt;0.004,"Unpaid - balance outstanding",IF(AC66&lt;0,"Loss - sold below cost",IF(X66&gt;W66*0.5,"Check - more than half off","OK")))))))</f>
        <v>0</v>
      </c>
    </row>
    <row r="67" spans="1:38">
      <c r="A67" s="28">
        <f>IF(B67="","",SalePrefix&amp;TEXT(ROW()-4,"0000"))</f>
        <v>0</v>
      </c>
      <c r="E67" s="15">
        <f>IF(D67="","",IFERROR(INDEX(Clients!$B$5:$B$504,MATCH(D67,Clients!$A$5:$A$504,0)),"Walk-in"))</f>
        <v>0</v>
      </c>
      <c r="G67" s="15">
        <f>IF(F67="","",IFERROR(INDEX(Staff!$B$5:$B$44,MATCH(F67,Staff!$A$5:$A$44,0)),"House"))</f>
        <v>0</v>
      </c>
      <c r="R67" s="15">
        <f>IF(B67="","",TEXT(B67,"yyyy-mm"))</f>
        <v>0</v>
      </c>
      <c r="S67" s="25">
        <f>IF(B67="","",WEEKNUM(B67,2))</f>
        <v>0</v>
      </c>
      <c r="T67" s="37">
        <f>IF(B67="","",IF(K67="",1,K67))</f>
        <v>0</v>
      </c>
      <c r="U67" s="15">
        <f>IF(B67="","",IF(J67&lt;&gt;"",J67,IF(H67="Retail",IFERROR(INDEX(Inventory!$B$5:$B$304,MATCH(I67,Inventory!$A$5:$A$304,0))&amp;"","Not in Inventory"),IFERROR(INDEX(Services!$B$5:$B$204,MATCH(I67,Services!$A$5:$A$204,0))&amp;"","Not in Services"))))</f>
        <v>0</v>
      </c>
      <c r="V67" s="26">
        <f>IF(B67="","",IF(L67&lt;&gt;"",L67,IF(H67="Retail",IFERROR(INDEX(Inventory!$I$5:$I$304,MATCH(I67,Inventory!$A$5:$A$304,0))*1,0),IFERROR(INDEX(Services!$G$5:$G$204,MATCH(I67,Services!$A$5:$A$204,0))*1,0))))</f>
        <v>0</v>
      </c>
      <c r="W67" s="26">
        <f>IF(B67="","",ROUND(T67*V67,2))</f>
        <v>0</v>
      </c>
      <c r="X67" s="26">
        <f>IF(B67="","",ROUND(IF(M67="",0,W67*M67)+IF(N67="",0,N67),2))</f>
        <v>0</v>
      </c>
      <c r="Y67" s="26">
        <f>IF(B67="","",ROUND(W67-X67-IF(P67="",0,P67),2))</f>
        <v>0</v>
      </c>
      <c r="Z67" s="26">
        <f>IF(B67="","",IF(H67="Retail",IF(TaxOnRetail="Yes",ROUND(Y67*TaxRate,2),0),IF(H67="Service",IF(TaxOnServices="Yes",ROUND(Y67*TaxRate,2),0),0)))</f>
        <v>0</v>
      </c>
      <c r="AA67" s="26">
        <f>IF(B67="","",ROUND(Y67+Z67,2))</f>
        <v>0</v>
      </c>
      <c r="AB67" s="26">
        <f>IF(B67="","",ROUND(T67*IF(H67="Retail",IFERROR(INDEX(Inventory!$H$5:$H$304,MATCH(I67,Inventory!$A$5:$A$304,0))*1,0),IFERROR(INDEX(Services!$Q$5:$Q$204,MATCH(I67,Services!$A$5:$A$204,0))*1,0)),2))</f>
        <v>0</v>
      </c>
      <c r="AC67" s="26">
        <f>IF(B67="","",ROUND(Y67-AB67,2))</f>
        <v>0</v>
      </c>
      <c r="AD67" s="38">
        <f>IF(B67="","",IF(C67="","No",IF(COUNTIFS($C$5:C67,C67)=1,"Yes","No")))</f>
        <v>0</v>
      </c>
      <c r="AE67" s="26">
        <f>IF(B67="","",ROUND(SUMIFS(Payments!$G$5:$G$1204,Payments!$H$5:$H$1204,A67,Payments!$Q$5:$Q$1204,"Yes"),2))</f>
        <v>0</v>
      </c>
      <c r="AF67" s="26">
        <f>IF(B67="","",IF(AD67="No",0,ROUND(SUMIFS(Payments!$G$5:$G$1204,Payments!$I$5:$I$1204,C67,Payments!$H$5:$H$1204,"",Payments!$Q$5:$Q$1204,"Yes"),2)))</f>
        <v>0</v>
      </c>
      <c r="AG67" s="26">
        <f>IF(B67="","",ROUND(AE67+AF67,2))</f>
        <v>0</v>
      </c>
      <c r="AH67" s="26">
        <f>IF(B67="","",ROUND(AA67-AG67,2))</f>
        <v>0</v>
      </c>
      <c r="AI67" s="39">
        <f>IF(B67="","",IF(AA67&lt;=0,"No charge",IF(AH67&lt;=0.004,"Paid",IF(AG67&lt;=0.004,"Unpaid","Part paid"))))</f>
        <v>0</v>
      </c>
      <c r="AJ67" s="38">
        <f>IF(B67="","",IF(H67&lt;&gt;"Service","",IF(D67="","No",IF(COUNTIFS($D$5:$D$1204,D67,$B$5:$B$1204,B67,$H$5:$H$1204,"Retail")&gt;0,"Yes","No"))))</f>
        <v>0</v>
      </c>
      <c r="AK67" s="25">
        <f>IF(B67="","",COUNTIFS($Y$5:$Y$1204,"&gt;"&amp;Y67)+COUNTIFS($Y$5:Y67,Y67))</f>
        <v>0</v>
      </c>
      <c r="AL67" s="39">
        <f>IF(B67="","",IF(H67="","Add - what kind of sale is this?",IF(IF(V67&lt;=0,P67="",FALSE),"Check - no price found for this item",IF(F67="","Assign - nobody credited",IF(AH67&gt;0.004,"Unpaid - balance outstanding",IF(AC67&lt;0,"Loss - sold below cost",IF(X67&gt;W67*0.5,"Check - more than half off","OK")))))))</f>
        <v>0</v>
      </c>
    </row>
    <row r="68" spans="1:38">
      <c r="A68" s="28">
        <f>IF(B68="","",SalePrefix&amp;TEXT(ROW()-4,"0000"))</f>
        <v>0</v>
      </c>
      <c r="E68" s="15">
        <f>IF(D68="","",IFERROR(INDEX(Clients!$B$5:$B$504,MATCH(D68,Clients!$A$5:$A$504,0)),"Walk-in"))</f>
        <v>0</v>
      </c>
      <c r="G68" s="15">
        <f>IF(F68="","",IFERROR(INDEX(Staff!$B$5:$B$44,MATCH(F68,Staff!$A$5:$A$44,0)),"House"))</f>
        <v>0</v>
      </c>
      <c r="R68" s="15">
        <f>IF(B68="","",TEXT(B68,"yyyy-mm"))</f>
        <v>0</v>
      </c>
      <c r="S68" s="25">
        <f>IF(B68="","",WEEKNUM(B68,2))</f>
        <v>0</v>
      </c>
      <c r="T68" s="37">
        <f>IF(B68="","",IF(K68="",1,K68))</f>
        <v>0</v>
      </c>
      <c r="U68" s="15">
        <f>IF(B68="","",IF(J68&lt;&gt;"",J68,IF(H68="Retail",IFERROR(INDEX(Inventory!$B$5:$B$304,MATCH(I68,Inventory!$A$5:$A$304,0))&amp;"","Not in Inventory"),IFERROR(INDEX(Services!$B$5:$B$204,MATCH(I68,Services!$A$5:$A$204,0))&amp;"","Not in Services"))))</f>
        <v>0</v>
      </c>
      <c r="V68" s="26">
        <f>IF(B68="","",IF(L68&lt;&gt;"",L68,IF(H68="Retail",IFERROR(INDEX(Inventory!$I$5:$I$304,MATCH(I68,Inventory!$A$5:$A$304,0))*1,0),IFERROR(INDEX(Services!$G$5:$G$204,MATCH(I68,Services!$A$5:$A$204,0))*1,0))))</f>
        <v>0</v>
      </c>
      <c r="W68" s="26">
        <f>IF(B68="","",ROUND(T68*V68,2))</f>
        <v>0</v>
      </c>
      <c r="X68" s="26">
        <f>IF(B68="","",ROUND(IF(M68="",0,W68*M68)+IF(N68="",0,N68),2))</f>
        <v>0</v>
      </c>
      <c r="Y68" s="26">
        <f>IF(B68="","",ROUND(W68-X68-IF(P68="",0,P68),2))</f>
        <v>0</v>
      </c>
      <c r="Z68" s="26">
        <f>IF(B68="","",IF(H68="Retail",IF(TaxOnRetail="Yes",ROUND(Y68*TaxRate,2),0),IF(H68="Service",IF(TaxOnServices="Yes",ROUND(Y68*TaxRate,2),0),0)))</f>
        <v>0</v>
      </c>
      <c r="AA68" s="26">
        <f>IF(B68="","",ROUND(Y68+Z68,2))</f>
        <v>0</v>
      </c>
      <c r="AB68" s="26">
        <f>IF(B68="","",ROUND(T68*IF(H68="Retail",IFERROR(INDEX(Inventory!$H$5:$H$304,MATCH(I68,Inventory!$A$5:$A$304,0))*1,0),IFERROR(INDEX(Services!$Q$5:$Q$204,MATCH(I68,Services!$A$5:$A$204,0))*1,0)),2))</f>
        <v>0</v>
      </c>
      <c r="AC68" s="26">
        <f>IF(B68="","",ROUND(Y68-AB68,2))</f>
        <v>0</v>
      </c>
      <c r="AD68" s="38">
        <f>IF(B68="","",IF(C68="","No",IF(COUNTIFS($C$5:C68,C68)=1,"Yes","No")))</f>
        <v>0</v>
      </c>
      <c r="AE68" s="26">
        <f>IF(B68="","",ROUND(SUMIFS(Payments!$G$5:$G$1204,Payments!$H$5:$H$1204,A68,Payments!$Q$5:$Q$1204,"Yes"),2))</f>
        <v>0</v>
      </c>
      <c r="AF68" s="26">
        <f>IF(B68="","",IF(AD68="No",0,ROUND(SUMIFS(Payments!$G$5:$G$1204,Payments!$I$5:$I$1204,C68,Payments!$H$5:$H$1204,"",Payments!$Q$5:$Q$1204,"Yes"),2)))</f>
        <v>0</v>
      </c>
      <c r="AG68" s="26">
        <f>IF(B68="","",ROUND(AE68+AF68,2))</f>
        <v>0</v>
      </c>
      <c r="AH68" s="26">
        <f>IF(B68="","",ROUND(AA68-AG68,2))</f>
        <v>0</v>
      </c>
      <c r="AI68" s="39">
        <f>IF(B68="","",IF(AA68&lt;=0,"No charge",IF(AH68&lt;=0.004,"Paid",IF(AG68&lt;=0.004,"Unpaid","Part paid"))))</f>
        <v>0</v>
      </c>
      <c r="AJ68" s="38">
        <f>IF(B68="","",IF(H68&lt;&gt;"Service","",IF(D68="","No",IF(COUNTIFS($D$5:$D$1204,D68,$B$5:$B$1204,B68,$H$5:$H$1204,"Retail")&gt;0,"Yes","No"))))</f>
        <v>0</v>
      </c>
      <c r="AK68" s="25">
        <f>IF(B68="","",COUNTIFS($Y$5:$Y$1204,"&gt;"&amp;Y68)+COUNTIFS($Y$5:Y68,Y68))</f>
        <v>0</v>
      </c>
      <c r="AL68" s="39">
        <f>IF(B68="","",IF(H68="","Add - what kind of sale is this?",IF(IF(V68&lt;=0,P68="",FALSE),"Check - no price found for this item",IF(F68="","Assign - nobody credited",IF(AH68&gt;0.004,"Unpaid - balance outstanding",IF(AC68&lt;0,"Loss - sold below cost",IF(X68&gt;W68*0.5,"Check - more than half off","OK")))))))</f>
        <v>0</v>
      </c>
    </row>
    <row r="69" spans="1:38">
      <c r="A69" s="28">
        <f>IF(B69="","",SalePrefix&amp;TEXT(ROW()-4,"0000"))</f>
        <v>0</v>
      </c>
      <c r="E69" s="15">
        <f>IF(D69="","",IFERROR(INDEX(Clients!$B$5:$B$504,MATCH(D69,Clients!$A$5:$A$504,0)),"Walk-in"))</f>
        <v>0</v>
      </c>
      <c r="G69" s="15">
        <f>IF(F69="","",IFERROR(INDEX(Staff!$B$5:$B$44,MATCH(F69,Staff!$A$5:$A$44,0)),"House"))</f>
        <v>0</v>
      </c>
      <c r="R69" s="15">
        <f>IF(B69="","",TEXT(B69,"yyyy-mm"))</f>
        <v>0</v>
      </c>
      <c r="S69" s="25">
        <f>IF(B69="","",WEEKNUM(B69,2))</f>
        <v>0</v>
      </c>
      <c r="T69" s="37">
        <f>IF(B69="","",IF(K69="",1,K69))</f>
        <v>0</v>
      </c>
      <c r="U69" s="15">
        <f>IF(B69="","",IF(J69&lt;&gt;"",J69,IF(H69="Retail",IFERROR(INDEX(Inventory!$B$5:$B$304,MATCH(I69,Inventory!$A$5:$A$304,0))&amp;"","Not in Inventory"),IFERROR(INDEX(Services!$B$5:$B$204,MATCH(I69,Services!$A$5:$A$204,0))&amp;"","Not in Services"))))</f>
        <v>0</v>
      </c>
      <c r="V69" s="26">
        <f>IF(B69="","",IF(L69&lt;&gt;"",L69,IF(H69="Retail",IFERROR(INDEX(Inventory!$I$5:$I$304,MATCH(I69,Inventory!$A$5:$A$304,0))*1,0),IFERROR(INDEX(Services!$G$5:$G$204,MATCH(I69,Services!$A$5:$A$204,0))*1,0))))</f>
        <v>0</v>
      </c>
      <c r="W69" s="26">
        <f>IF(B69="","",ROUND(T69*V69,2))</f>
        <v>0</v>
      </c>
      <c r="X69" s="26">
        <f>IF(B69="","",ROUND(IF(M69="",0,W69*M69)+IF(N69="",0,N69),2))</f>
        <v>0</v>
      </c>
      <c r="Y69" s="26">
        <f>IF(B69="","",ROUND(W69-X69-IF(P69="",0,P69),2))</f>
        <v>0</v>
      </c>
      <c r="Z69" s="26">
        <f>IF(B69="","",IF(H69="Retail",IF(TaxOnRetail="Yes",ROUND(Y69*TaxRate,2),0),IF(H69="Service",IF(TaxOnServices="Yes",ROUND(Y69*TaxRate,2),0),0)))</f>
        <v>0</v>
      </c>
      <c r="AA69" s="26">
        <f>IF(B69="","",ROUND(Y69+Z69,2))</f>
        <v>0</v>
      </c>
      <c r="AB69" s="26">
        <f>IF(B69="","",ROUND(T69*IF(H69="Retail",IFERROR(INDEX(Inventory!$H$5:$H$304,MATCH(I69,Inventory!$A$5:$A$304,0))*1,0),IFERROR(INDEX(Services!$Q$5:$Q$204,MATCH(I69,Services!$A$5:$A$204,0))*1,0)),2))</f>
        <v>0</v>
      </c>
      <c r="AC69" s="26">
        <f>IF(B69="","",ROUND(Y69-AB69,2))</f>
        <v>0</v>
      </c>
      <c r="AD69" s="38">
        <f>IF(B69="","",IF(C69="","No",IF(COUNTIFS($C$5:C69,C69)=1,"Yes","No")))</f>
        <v>0</v>
      </c>
      <c r="AE69" s="26">
        <f>IF(B69="","",ROUND(SUMIFS(Payments!$G$5:$G$1204,Payments!$H$5:$H$1204,A69,Payments!$Q$5:$Q$1204,"Yes"),2))</f>
        <v>0</v>
      </c>
      <c r="AF69" s="26">
        <f>IF(B69="","",IF(AD69="No",0,ROUND(SUMIFS(Payments!$G$5:$G$1204,Payments!$I$5:$I$1204,C69,Payments!$H$5:$H$1204,"",Payments!$Q$5:$Q$1204,"Yes"),2)))</f>
        <v>0</v>
      </c>
      <c r="AG69" s="26">
        <f>IF(B69="","",ROUND(AE69+AF69,2))</f>
        <v>0</v>
      </c>
      <c r="AH69" s="26">
        <f>IF(B69="","",ROUND(AA69-AG69,2))</f>
        <v>0</v>
      </c>
      <c r="AI69" s="39">
        <f>IF(B69="","",IF(AA69&lt;=0,"No charge",IF(AH69&lt;=0.004,"Paid",IF(AG69&lt;=0.004,"Unpaid","Part paid"))))</f>
        <v>0</v>
      </c>
      <c r="AJ69" s="38">
        <f>IF(B69="","",IF(H69&lt;&gt;"Service","",IF(D69="","No",IF(COUNTIFS($D$5:$D$1204,D69,$B$5:$B$1204,B69,$H$5:$H$1204,"Retail")&gt;0,"Yes","No"))))</f>
        <v>0</v>
      </c>
      <c r="AK69" s="25">
        <f>IF(B69="","",COUNTIFS($Y$5:$Y$1204,"&gt;"&amp;Y69)+COUNTIFS($Y$5:Y69,Y69))</f>
        <v>0</v>
      </c>
      <c r="AL69" s="39">
        <f>IF(B69="","",IF(H69="","Add - what kind of sale is this?",IF(IF(V69&lt;=0,P69="",FALSE),"Check - no price found for this item",IF(F69="","Assign - nobody credited",IF(AH69&gt;0.004,"Unpaid - balance outstanding",IF(AC69&lt;0,"Loss - sold below cost",IF(X69&gt;W69*0.5,"Check - more than half off","OK")))))))</f>
        <v>0</v>
      </c>
    </row>
    <row r="70" spans="1:38">
      <c r="A70" s="28">
        <f>IF(B70="","",SalePrefix&amp;TEXT(ROW()-4,"0000"))</f>
        <v>0</v>
      </c>
      <c r="E70" s="15">
        <f>IF(D70="","",IFERROR(INDEX(Clients!$B$5:$B$504,MATCH(D70,Clients!$A$5:$A$504,0)),"Walk-in"))</f>
        <v>0</v>
      </c>
      <c r="G70" s="15">
        <f>IF(F70="","",IFERROR(INDEX(Staff!$B$5:$B$44,MATCH(F70,Staff!$A$5:$A$44,0)),"House"))</f>
        <v>0</v>
      </c>
      <c r="R70" s="15">
        <f>IF(B70="","",TEXT(B70,"yyyy-mm"))</f>
        <v>0</v>
      </c>
      <c r="S70" s="25">
        <f>IF(B70="","",WEEKNUM(B70,2))</f>
        <v>0</v>
      </c>
      <c r="T70" s="37">
        <f>IF(B70="","",IF(K70="",1,K70))</f>
        <v>0</v>
      </c>
      <c r="U70" s="15">
        <f>IF(B70="","",IF(J70&lt;&gt;"",J70,IF(H70="Retail",IFERROR(INDEX(Inventory!$B$5:$B$304,MATCH(I70,Inventory!$A$5:$A$304,0))&amp;"","Not in Inventory"),IFERROR(INDEX(Services!$B$5:$B$204,MATCH(I70,Services!$A$5:$A$204,0))&amp;"","Not in Services"))))</f>
        <v>0</v>
      </c>
      <c r="V70" s="26">
        <f>IF(B70="","",IF(L70&lt;&gt;"",L70,IF(H70="Retail",IFERROR(INDEX(Inventory!$I$5:$I$304,MATCH(I70,Inventory!$A$5:$A$304,0))*1,0),IFERROR(INDEX(Services!$G$5:$G$204,MATCH(I70,Services!$A$5:$A$204,0))*1,0))))</f>
        <v>0</v>
      </c>
      <c r="W70" s="26">
        <f>IF(B70="","",ROUND(T70*V70,2))</f>
        <v>0</v>
      </c>
      <c r="X70" s="26">
        <f>IF(B70="","",ROUND(IF(M70="",0,W70*M70)+IF(N70="",0,N70),2))</f>
        <v>0</v>
      </c>
      <c r="Y70" s="26">
        <f>IF(B70="","",ROUND(W70-X70-IF(P70="",0,P70),2))</f>
        <v>0</v>
      </c>
      <c r="Z70" s="26">
        <f>IF(B70="","",IF(H70="Retail",IF(TaxOnRetail="Yes",ROUND(Y70*TaxRate,2),0),IF(H70="Service",IF(TaxOnServices="Yes",ROUND(Y70*TaxRate,2),0),0)))</f>
        <v>0</v>
      </c>
      <c r="AA70" s="26">
        <f>IF(B70="","",ROUND(Y70+Z70,2))</f>
        <v>0</v>
      </c>
      <c r="AB70" s="26">
        <f>IF(B70="","",ROUND(T70*IF(H70="Retail",IFERROR(INDEX(Inventory!$H$5:$H$304,MATCH(I70,Inventory!$A$5:$A$304,0))*1,0),IFERROR(INDEX(Services!$Q$5:$Q$204,MATCH(I70,Services!$A$5:$A$204,0))*1,0)),2))</f>
        <v>0</v>
      </c>
      <c r="AC70" s="26">
        <f>IF(B70="","",ROUND(Y70-AB70,2))</f>
        <v>0</v>
      </c>
      <c r="AD70" s="38">
        <f>IF(B70="","",IF(C70="","No",IF(COUNTIFS($C$5:C70,C70)=1,"Yes","No")))</f>
        <v>0</v>
      </c>
      <c r="AE70" s="26">
        <f>IF(B70="","",ROUND(SUMIFS(Payments!$G$5:$G$1204,Payments!$H$5:$H$1204,A70,Payments!$Q$5:$Q$1204,"Yes"),2))</f>
        <v>0</v>
      </c>
      <c r="AF70" s="26">
        <f>IF(B70="","",IF(AD70="No",0,ROUND(SUMIFS(Payments!$G$5:$G$1204,Payments!$I$5:$I$1204,C70,Payments!$H$5:$H$1204,"",Payments!$Q$5:$Q$1204,"Yes"),2)))</f>
        <v>0</v>
      </c>
      <c r="AG70" s="26">
        <f>IF(B70="","",ROUND(AE70+AF70,2))</f>
        <v>0</v>
      </c>
      <c r="AH70" s="26">
        <f>IF(B70="","",ROUND(AA70-AG70,2))</f>
        <v>0</v>
      </c>
      <c r="AI70" s="39">
        <f>IF(B70="","",IF(AA70&lt;=0,"No charge",IF(AH70&lt;=0.004,"Paid",IF(AG70&lt;=0.004,"Unpaid","Part paid"))))</f>
        <v>0</v>
      </c>
      <c r="AJ70" s="38">
        <f>IF(B70="","",IF(H70&lt;&gt;"Service","",IF(D70="","No",IF(COUNTIFS($D$5:$D$1204,D70,$B$5:$B$1204,B70,$H$5:$H$1204,"Retail")&gt;0,"Yes","No"))))</f>
        <v>0</v>
      </c>
      <c r="AK70" s="25">
        <f>IF(B70="","",COUNTIFS($Y$5:$Y$1204,"&gt;"&amp;Y70)+COUNTIFS($Y$5:Y70,Y70))</f>
        <v>0</v>
      </c>
      <c r="AL70" s="39">
        <f>IF(B70="","",IF(H70="","Add - what kind of sale is this?",IF(IF(V70&lt;=0,P70="",FALSE),"Check - no price found for this item",IF(F70="","Assign - nobody credited",IF(AH70&gt;0.004,"Unpaid - balance outstanding",IF(AC70&lt;0,"Loss - sold below cost",IF(X70&gt;W70*0.5,"Check - more than half off","OK")))))))</f>
        <v>0</v>
      </c>
    </row>
    <row r="71" spans="1:38">
      <c r="A71" s="28">
        <f>IF(B71="","",SalePrefix&amp;TEXT(ROW()-4,"0000"))</f>
        <v>0</v>
      </c>
      <c r="E71" s="15">
        <f>IF(D71="","",IFERROR(INDEX(Clients!$B$5:$B$504,MATCH(D71,Clients!$A$5:$A$504,0)),"Walk-in"))</f>
        <v>0</v>
      </c>
      <c r="G71" s="15">
        <f>IF(F71="","",IFERROR(INDEX(Staff!$B$5:$B$44,MATCH(F71,Staff!$A$5:$A$44,0)),"House"))</f>
        <v>0</v>
      </c>
      <c r="R71" s="15">
        <f>IF(B71="","",TEXT(B71,"yyyy-mm"))</f>
        <v>0</v>
      </c>
      <c r="S71" s="25">
        <f>IF(B71="","",WEEKNUM(B71,2))</f>
        <v>0</v>
      </c>
      <c r="T71" s="37">
        <f>IF(B71="","",IF(K71="",1,K71))</f>
        <v>0</v>
      </c>
      <c r="U71" s="15">
        <f>IF(B71="","",IF(J71&lt;&gt;"",J71,IF(H71="Retail",IFERROR(INDEX(Inventory!$B$5:$B$304,MATCH(I71,Inventory!$A$5:$A$304,0))&amp;"","Not in Inventory"),IFERROR(INDEX(Services!$B$5:$B$204,MATCH(I71,Services!$A$5:$A$204,0))&amp;"","Not in Services"))))</f>
        <v>0</v>
      </c>
      <c r="V71" s="26">
        <f>IF(B71="","",IF(L71&lt;&gt;"",L71,IF(H71="Retail",IFERROR(INDEX(Inventory!$I$5:$I$304,MATCH(I71,Inventory!$A$5:$A$304,0))*1,0),IFERROR(INDEX(Services!$G$5:$G$204,MATCH(I71,Services!$A$5:$A$204,0))*1,0))))</f>
        <v>0</v>
      </c>
      <c r="W71" s="26">
        <f>IF(B71="","",ROUND(T71*V71,2))</f>
        <v>0</v>
      </c>
      <c r="X71" s="26">
        <f>IF(B71="","",ROUND(IF(M71="",0,W71*M71)+IF(N71="",0,N71),2))</f>
        <v>0</v>
      </c>
      <c r="Y71" s="26">
        <f>IF(B71="","",ROUND(W71-X71-IF(P71="",0,P71),2))</f>
        <v>0</v>
      </c>
      <c r="Z71" s="26">
        <f>IF(B71="","",IF(H71="Retail",IF(TaxOnRetail="Yes",ROUND(Y71*TaxRate,2),0),IF(H71="Service",IF(TaxOnServices="Yes",ROUND(Y71*TaxRate,2),0),0)))</f>
        <v>0</v>
      </c>
      <c r="AA71" s="26">
        <f>IF(B71="","",ROUND(Y71+Z71,2))</f>
        <v>0</v>
      </c>
      <c r="AB71" s="26">
        <f>IF(B71="","",ROUND(T71*IF(H71="Retail",IFERROR(INDEX(Inventory!$H$5:$H$304,MATCH(I71,Inventory!$A$5:$A$304,0))*1,0),IFERROR(INDEX(Services!$Q$5:$Q$204,MATCH(I71,Services!$A$5:$A$204,0))*1,0)),2))</f>
        <v>0</v>
      </c>
      <c r="AC71" s="26">
        <f>IF(B71="","",ROUND(Y71-AB71,2))</f>
        <v>0</v>
      </c>
      <c r="AD71" s="38">
        <f>IF(B71="","",IF(C71="","No",IF(COUNTIFS($C$5:C71,C71)=1,"Yes","No")))</f>
        <v>0</v>
      </c>
      <c r="AE71" s="26">
        <f>IF(B71="","",ROUND(SUMIFS(Payments!$G$5:$G$1204,Payments!$H$5:$H$1204,A71,Payments!$Q$5:$Q$1204,"Yes"),2))</f>
        <v>0</v>
      </c>
      <c r="AF71" s="26">
        <f>IF(B71="","",IF(AD71="No",0,ROUND(SUMIFS(Payments!$G$5:$G$1204,Payments!$I$5:$I$1204,C71,Payments!$H$5:$H$1204,"",Payments!$Q$5:$Q$1204,"Yes"),2)))</f>
        <v>0</v>
      </c>
      <c r="AG71" s="26">
        <f>IF(B71="","",ROUND(AE71+AF71,2))</f>
        <v>0</v>
      </c>
      <c r="AH71" s="26">
        <f>IF(B71="","",ROUND(AA71-AG71,2))</f>
        <v>0</v>
      </c>
      <c r="AI71" s="39">
        <f>IF(B71="","",IF(AA71&lt;=0,"No charge",IF(AH71&lt;=0.004,"Paid",IF(AG71&lt;=0.004,"Unpaid","Part paid"))))</f>
        <v>0</v>
      </c>
      <c r="AJ71" s="38">
        <f>IF(B71="","",IF(H71&lt;&gt;"Service","",IF(D71="","No",IF(COUNTIFS($D$5:$D$1204,D71,$B$5:$B$1204,B71,$H$5:$H$1204,"Retail")&gt;0,"Yes","No"))))</f>
        <v>0</v>
      </c>
      <c r="AK71" s="25">
        <f>IF(B71="","",COUNTIFS($Y$5:$Y$1204,"&gt;"&amp;Y71)+COUNTIFS($Y$5:Y71,Y71))</f>
        <v>0</v>
      </c>
      <c r="AL71" s="39">
        <f>IF(B71="","",IF(H71="","Add - what kind of sale is this?",IF(IF(V71&lt;=0,P71="",FALSE),"Check - no price found for this item",IF(F71="","Assign - nobody credited",IF(AH71&gt;0.004,"Unpaid - balance outstanding",IF(AC71&lt;0,"Loss - sold below cost",IF(X71&gt;W71*0.5,"Check - more than half off","OK")))))))</f>
        <v>0</v>
      </c>
    </row>
    <row r="72" spans="1:38">
      <c r="A72" s="28">
        <f>IF(B72="","",SalePrefix&amp;TEXT(ROW()-4,"0000"))</f>
        <v>0</v>
      </c>
      <c r="E72" s="15">
        <f>IF(D72="","",IFERROR(INDEX(Clients!$B$5:$B$504,MATCH(D72,Clients!$A$5:$A$504,0)),"Walk-in"))</f>
        <v>0</v>
      </c>
      <c r="G72" s="15">
        <f>IF(F72="","",IFERROR(INDEX(Staff!$B$5:$B$44,MATCH(F72,Staff!$A$5:$A$44,0)),"House"))</f>
        <v>0</v>
      </c>
      <c r="R72" s="15">
        <f>IF(B72="","",TEXT(B72,"yyyy-mm"))</f>
        <v>0</v>
      </c>
      <c r="S72" s="25">
        <f>IF(B72="","",WEEKNUM(B72,2))</f>
        <v>0</v>
      </c>
      <c r="T72" s="37">
        <f>IF(B72="","",IF(K72="",1,K72))</f>
        <v>0</v>
      </c>
      <c r="U72" s="15">
        <f>IF(B72="","",IF(J72&lt;&gt;"",J72,IF(H72="Retail",IFERROR(INDEX(Inventory!$B$5:$B$304,MATCH(I72,Inventory!$A$5:$A$304,0))&amp;"","Not in Inventory"),IFERROR(INDEX(Services!$B$5:$B$204,MATCH(I72,Services!$A$5:$A$204,0))&amp;"","Not in Services"))))</f>
        <v>0</v>
      </c>
      <c r="V72" s="26">
        <f>IF(B72="","",IF(L72&lt;&gt;"",L72,IF(H72="Retail",IFERROR(INDEX(Inventory!$I$5:$I$304,MATCH(I72,Inventory!$A$5:$A$304,0))*1,0),IFERROR(INDEX(Services!$G$5:$G$204,MATCH(I72,Services!$A$5:$A$204,0))*1,0))))</f>
        <v>0</v>
      </c>
      <c r="W72" s="26">
        <f>IF(B72="","",ROUND(T72*V72,2))</f>
        <v>0</v>
      </c>
      <c r="X72" s="26">
        <f>IF(B72="","",ROUND(IF(M72="",0,W72*M72)+IF(N72="",0,N72),2))</f>
        <v>0</v>
      </c>
      <c r="Y72" s="26">
        <f>IF(B72="","",ROUND(W72-X72-IF(P72="",0,P72),2))</f>
        <v>0</v>
      </c>
      <c r="Z72" s="26">
        <f>IF(B72="","",IF(H72="Retail",IF(TaxOnRetail="Yes",ROUND(Y72*TaxRate,2),0),IF(H72="Service",IF(TaxOnServices="Yes",ROUND(Y72*TaxRate,2),0),0)))</f>
        <v>0</v>
      </c>
      <c r="AA72" s="26">
        <f>IF(B72="","",ROUND(Y72+Z72,2))</f>
        <v>0</v>
      </c>
      <c r="AB72" s="26">
        <f>IF(B72="","",ROUND(T72*IF(H72="Retail",IFERROR(INDEX(Inventory!$H$5:$H$304,MATCH(I72,Inventory!$A$5:$A$304,0))*1,0),IFERROR(INDEX(Services!$Q$5:$Q$204,MATCH(I72,Services!$A$5:$A$204,0))*1,0)),2))</f>
        <v>0</v>
      </c>
      <c r="AC72" s="26">
        <f>IF(B72="","",ROUND(Y72-AB72,2))</f>
        <v>0</v>
      </c>
      <c r="AD72" s="38">
        <f>IF(B72="","",IF(C72="","No",IF(COUNTIFS($C$5:C72,C72)=1,"Yes","No")))</f>
        <v>0</v>
      </c>
      <c r="AE72" s="26">
        <f>IF(B72="","",ROUND(SUMIFS(Payments!$G$5:$G$1204,Payments!$H$5:$H$1204,A72,Payments!$Q$5:$Q$1204,"Yes"),2))</f>
        <v>0</v>
      </c>
      <c r="AF72" s="26">
        <f>IF(B72="","",IF(AD72="No",0,ROUND(SUMIFS(Payments!$G$5:$G$1204,Payments!$I$5:$I$1204,C72,Payments!$H$5:$H$1204,"",Payments!$Q$5:$Q$1204,"Yes"),2)))</f>
        <v>0</v>
      </c>
      <c r="AG72" s="26">
        <f>IF(B72="","",ROUND(AE72+AF72,2))</f>
        <v>0</v>
      </c>
      <c r="AH72" s="26">
        <f>IF(B72="","",ROUND(AA72-AG72,2))</f>
        <v>0</v>
      </c>
      <c r="AI72" s="39">
        <f>IF(B72="","",IF(AA72&lt;=0,"No charge",IF(AH72&lt;=0.004,"Paid",IF(AG72&lt;=0.004,"Unpaid","Part paid"))))</f>
        <v>0</v>
      </c>
      <c r="AJ72" s="38">
        <f>IF(B72="","",IF(H72&lt;&gt;"Service","",IF(D72="","No",IF(COUNTIFS($D$5:$D$1204,D72,$B$5:$B$1204,B72,$H$5:$H$1204,"Retail")&gt;0,"Yes","No"))))</f>
        <v>0</v>
      </c>
      <c r="AK72" s="25">
        <f>IF(B72="","",COUNTIFS($Y$5:$Y$1204,"&gt;"&amp;Y72)+COUNTIFS($Y$5:Y72,Y72))</f>
        <v>0</v>
      </c>
      <c r="AL72" s="39">
        <f>IF(B72="","",IF(H72="","Add - what kind of sale is this?",IF(IF(V72&lt;=0,P72="",FALSE),"Check - no price found for this item",IF(F72="","Assign - nobody credited",IF(AH72&gt;0.004,"Unpaid - balance outstanding",IF(AC72&lt;0,"Loss - sold below cost",IF(X72&gt;W72*0.5,"Check - more than half off","OK")))))))</f>
        <v>0</v>
      </c>
    </row>
    <row r="73" spans="1:38">
      <c r="A73" s="28">
        <f>IF(B73="","",SalePrefix&amp;TEXT(ROW()-4,"0000"))</f>
        <v>0</v>
      </c>
      <c r="E73" s="15">
        <f>IF(D73="","",IFERROR(INDEX(Clients!$B$5:$B$504,MATCH(D73,Clients!$A$5:$A$504,0)),"Walk-in"))</f>
        <v>0</v>
      </c>
      <c r="G73" s="15">
        <f>IF(F73="","",IFERROR(INDEX(Staff!$B$5:$B$44,MATCH(F73,Staff!$A$5:$A$44,0)),"House"))</f>
        <v>0</v>
      </c>
      <c r="R73" s="15">
        <f>IF(B73="","",TEXT(B73,"yyyy-mm"))</f>
        <v>0</v>
      </c>
      <c r="S73" s="25">
        <f>IF(B73="","",WEEKNUM(B73,2))</f>
        <v>0</v>
      </c>
      <c r="T73" s="37">
        <f>IF(B73="","",IF(K73="",1,K73))</f>
        <v>0</v>
      </c>
      <c r="U73" s="15">
        <f>IF(B73="","",IF(J73&lt;&gt;"",J73,IF(H73="Retail",IFERROR(INDEX(Inventory!$B$5:$B$304,MATCH(I73,Inventory!$A$5:$A$304,0))&amp;"","Not in Inventory"),IFERROR(INDEX(Services!$B$5:$B$204,MATCH(I73,Services!$A$5:$A$204,0))&amp;"","Not in Services"))))</f>
        <v>0</v>
      </c>
      <c r="V73" s="26">
        <f>IF(B73="","",IF(L73&lt;&gt;"",L73,IF(H73="Retail",IFERROR(INDEX(Inventory!$I$5:$I$304,MATCH(I73,Inventory!$A$5:$A$304,0))*1,0),IFERROR(INDEX(Services!$G$5:$G$204,MATCH(I73,Services!$A$5:$A$204,0))*1,0))))</f>
        <v>0</v>
      </c>
      <c r="W73" s="26">
        <f>IF(B73="","",ROUND(T73*V73,2))</f>
        <v>0</v>
      </c>
      <c r="X73" s="26">
        <f>IF(B73="","",ROUND(IF(M73="",0,W73*M73)+IF(N73="",0,N73),2))</f>
        <v>0</v>
      </c>
      <c r="Y73" s="26">
        <f>IF(B73="","",ROUND(W73-X73-IF(P73="",0,P73),2))</f>
        <v>0</v>
      </c>
      <c r="Z73" s="26">
        <f>IF(B73="","",IF(H73="Retail",IF(TaxOnRetail="Yes",ROUND(Y73*TaxRate,2),0),IF(H73="Service",IF(TaxOnServices="Yes",ROUND(Y73*TaxRate,2),0),0)))</f>
        <v>0</v>
      </c>
      <c r="AA73" s="26">
        <f>IF(B73="","",ROUND(Y73+Z73,2))</f>
        <v>0</v>
      </c>
      <c r="AB73" s="26">
        <f>IF(B73="","",ROUND(T73*IF(H73="Retail",IFERROR(INDEX(Inventory!$H$5:$H$304,MATCH(I73,Inventory!$A$5:$A$304,0))*1,0),IFERROR(INDEX(Services!$Q$5:$Q$204,MATCH(I73,Services!$A$5:$A$204,0))*1,0)),2))</f>
        <v>0</v>
      </c>
      <c r="AC73" s="26">
        <f>IF(B73="","",ROUND(Y73-AB73,2))</f>
        <v>0</v>
      </c>
      <c r="AD73" s="38">
        <f>IF(B73="","",IF(C73="","No",IF(COUNTIFS($C$5:C73,C73)=1,"Yes","No")))</f>
        <v>0</v>
      </c>
      <c r="AE73" s="26">
        <f>IF(B73="","",ROUND(SUMIFS(Payments!$G$5:$G$1204,Payments!$H$5:$H$1204,A73,Payments!$Q$5:$Q$1204,"Yes"),2))</f>
        <v>0</v>
      </c>
      <c r="AF73" s="26">
        <f>IF(B73="","",IF(AD73="No",0,ROUND(SUMIFS(Payments!$G$5:$G$1204,Payments!$I$5:$I$1204,C73,Payments!$H$5:$H$1204,"",Payments!$Q$5:$Q$1204,"Yes"),2)))</f>
        <v>0</v>
      </c>
      <c r="AG73" s="26">
        <f>IF(B73="","",ROUND(AE73+AF73,2))</f>
        <v>0</v>
      </c>
      <c r="AH73" s="26">
        <f>IF(B73="","",ROUND(AA73-AG73,2))</f>
        <v>0</v>
      </c>
      <c r="AI73" s="39">
        <f>IF(B73="","",IF(AA73&lt;=0,"No charge",IF(AH73&lt;=0.004,"Paid",IF(AG73&lt;=0.004,"Unpaid","Part paid"))))</f>
        <v>0</v>
      </c>
      <c r="AJ73" s="38">
        <f>IF(B73="","",IF(H73&lt;&gt;"Service","",IF(D73="","No",IF(COUNTIFS($D$5:$D$1204,D73,$B$5:$B$1204,B73,$H$5:$H$1204,"Retail")&gt;0,"Yes","No"))))</f>
        <v>0</v>
      </c>
      <c r="AK73" s="25">
        <f>IF(B73="","",COUNTIFS($Y$5:$Y$1204,"&gt;"&amp;Y73)+COUNTIFS($Y$5:Y73,Y73))</f>
        <v>0</v>
      </c>
      <c r="AL73" s="39">
        <f>IF(B73="","",IF(H73="","Add - what kind of sale is this?",IF(IF(V73&lt;=0,P73="",FALSE),"Check - no price found for this item",IF(F73="","Assign - nobody credited",IF(AH73&gt;0.004,"Unpaid - balance outstanding",IF(AC73&lt;0,"Loss - sold below cost",IF(X73&gt;W73*0.5,"Check - more than half off","OK")))))))</f>
        <v>0</v>
      </c>
    </row>
    <row r="74" spans="1:38">
      <c r="A74" s="28">
        <f>IF(B74="","",SalePrefix&amp;TEXT(ROW()-4,"0000"))</f>
        <v>0</v>
      </c>
      <c r="E74" s="15">
        <f>IF(D74="","",IFERROR(INDEX(Clients!$B$5:$B$504,MATCH(D74,Clients!$A$5:$A$504,0)),"Walk-in"))</f>
        <v>0</v>
      </c>
      <c r="G74" s="15">
        <f>IF(F74="","",IFERROR(INDEX(Staff!$B$5:$B$44,MATCH(F74,Staff!$A$5:$A$44,0)),"House"))</f>
        <v>0</v>
      </c>
      <c r="R74" s="15">
        <f>IF(B74="","",TEXT(B74,"yyyy-mm"))</f>
        <v>0</v>
      </c>
      <c r="S74" s="25">
        <f>IF(B74="","",WEEKNUM(B74,2))</f>
        <v>0</v>
      </c>
      <c r="T74" s="37">
        <f>IF(B74="","",IF(K74="",1,K74))</f>
        <v>0</v>
      </c>
      <c r="U74" s="15">
        <f>IF(B74="","",IF(J74&lt;&gt;"",J74,IF(H74="Retail",IFERROR(INDEX(Inventory!$B$5:$B$304,MATCH(I74,Inventory!$A$5:$A$304,0))&amp;"","Not in Inventory"),IFERROR(INDEX(Services!$B$5:$B$204,MATCH(I74,Services!$A$5:$A$204,0))&amp;"","Not in Services"))))</f>
        <v>0</v>
      </c>
      <c r="V74" s="26">
        <f>IF(B74="","",IF(L74&lt;&gt;"",L74,IF(H74="Retail",IFERROR(INDEX(Inventory!$I$5:$I$304,MATCH(I74,Inventory!$A$5:$A$304,0))*1,0),IFERROR(INDEX(Services!$G$5:$G$204,MATCH(I74,Services!$A$5:$A$204,0))*1,0))))</f>
        <v>0</v>
      </c>
      <c r="W74" s="26">
        <f>IF(B74="","",ROUND(T74*V74,2))</f>
        <v>0</v>
      </c>
      <c r="X74" s="26">
        <f>IF(B74="","",ROUND(IF(M74="",0,W74*M74)+IF(N74="",0,N74),2))</f>
        <v>0</v>
      </c>
      <c r="Y74" s="26">
        <f>IF(B74="","",ROUND(W74-X74-IF(P74="",0,P74),2))</f>
        <v>0</v>
      </c>
      <c r="Z74" s="26">
        <f>IF(B74="","",IF(H74="Retail",IF(TaxOnRetail="Yes",ROUND(Y74*TaxRate,2),0),IF(H74="Service",IF(TaxOnServices="Yes",ROUND(Y74*TaxRate,2),0),0)))</f>
        <v>0</v>
      </c>
      <c r="AA74" s="26">
        <f>IF(B74="","",ROUND(Y74+Z74,2))</f>
        <v>0</v>
      </c>
      <c r="AB74" s="26">
        <f>IF(B74="","",ROUND(T74*IF(H74="Retail",IFERROR(INDEX(Inventory!$H$5:$H$304,MATCH(I74,Inventory!$A$5:$A$304,0))*1,0),IFERROR(INDEX(Services!$Q$5:$Q$204,MATCH(I74,Services!$A$5:$A$204,0))*1,0)),2))</f>
        <v>0</v>
      </c>
      <c r="AC74" s="26">
        <f>IF(B74="","",ROUND(Y74-AB74,2))</f>
        <v>0</v>
      </c>
      <c r="AD74" s="38">
        <f>IF(B74="","",IF(C74="","No",IF(COUNTIFS($C$5:C74,C74)=1,"Yes","No")))</f>
        <v>0</v>
      </c>
      <c r="AE74" s="26">
        <f>IF(B74="","",ROUND(SUMIFS(Payments!$G$5:$G$1204,Payments!$H$5:$H$1204,A74,Payments!$Q$5:$Q$1204,"Yes"),2))</f>
        <v>0</v>
      </c>
      <c r="AF74" s="26">
        <f>IF(B74="","",IF(AD74="No",0,ROUND(SUMIFS(Payments!$G$5:$G$1204,Payments!$I$5:$I$1204,C74,Payments!$H$5:$H$1204,"",Payments!$Q$5:$Q$1204,"Yes"),2)))</f>
        <v>0</v>
      </c>
      <c r="AG74" s="26">
        <f>IF(B74="","",ROUND(AE74+AF74,2))</f>
        <v>0</v>
      </c>
      <c r="AH74" s="26">
        <f>IF(B74="","",ROUND(AA74-AG74,2))</f>
        <v>0</v>
      </c>
      <c r="AI74" s="39">
        <f>IF(B74="","",IF(AA74&lt;=0,"No charge",IF(AH74&lt;=0.004,"Paid",IF(AG74&lt;=0.004,"Unpaid","Part paid"))))</f>
        <v>0</v>
      </c>
      <c r="AJ74" s="38">
        <f>IF(B74="","",IF(H74&lt;&gt;"Service","",IF(D74="","No",IF(COUNTIFS($D$5:$D$1204,D74,$B$5:$B$1204,B74,$H$5:$H$1204,"Retail")&gt;0,"Yes","No"))))</f>
        <v>0</v>
      </c>
      <c r="AK74" s="25">
        <f>IF(B74="","",COUNTIFS($Y$5:$Y$1204,"&gt;"&amp;Y74)+COUNTIFS($Y$5:Y74,Y74))</f>
        <v>0</v>
      </c>
      <c r="AL74" s="39">
        <f>IF(B74="","",IF(H74="","Add - what kind of sale is this?",IF(IF(V74&lt;=0,P74="",FALSE),"Check - no price found for this item",IF(F74="","Assign - nobody credited",IF(AH74&gt;0.004,"Unpaid - balance outstanding",IF(AC74&lt;0,"Loss - sold below cost",IF(X74&gt;W74*0.5,"Check - more than half off","OK")))))))</f>
        <v>0</v>
      </c>
    </row>
    <row r="75" spans="1:38">
      <c r="A75" s="28">
        <f>IF(B75="","",SalePrefix&amp;TEXT(ROW()-4,"0000"))</f>
        <v>0</v>
      </c>
      <c r="E75" s="15">
        <f>IF(D75="","",IFERROR(INDEX(Clients!$B$5:$B$504,MATCH(D75,Clients!$A$5:$A$504,0)),"Walk-in"))</f>
        <v>0</v>
      </c>
      <c r="G75" s="15">
        <f>IF(F75="","",IFERROR(INDEX(Staff!$B$5:$B$44,MATCH(F75,Staff!$A$5:$A$44,0)),"House"))</f>
        <v>0</v>
      </c>
      <c r="R75" s="15">
        <f>IF(B75="","",TEXT(B75,"yyyy-mm"))</f>
        <v>0</v>
      </c>
      <c r="S75" s="25">
        <f>IF(B75="","",WEEKNUM(B75,2))</f>
        <v>0</v>
      </c>
      <c r="T75" s="37">
        <f>IF(B75="","",IF(K75="",1,K75))</f>
        <v>0</v>
      </c>
      <c r="U75" s="15">
        <f>IF(B75="","",IF(J75&lt;&gt;"",J75,IF(H75="Retail",IFERROR(INDEX(Inventory!$B$5:$B$304,MATCH(I75,Inventory!$A$5:$A$304,0))&amp;"","Not in Inventory"),IFERROR(INDEX(Services!$B$5:$B$204,MATCH(I75,Services!$A$5:$A$204,0))&amp;"","Not in Services"))))</f>
        <v>0</v>
      </c>
      <c r="V75" s="26">
        <f>IF(B75="","",IF(L75&lt;&gt;"",L75,IF(H75="Retail",IFERROR(INDEX(Inventory!$I$5:$I$304,MATCH(I75,Inventory!$A$5:$A$304,0))*1,0),IFERROR(INDEX(Services!$G$5:$G$204,MATCH(I75,Services!$A$5:$A$204,0))*1,0))))</f>
        <v>0</v>
      </c>
      <c r="W75" s="26">
        <f>IF(B75="","",ROUND(T75*V75,2))</f>
        <v>0</v>
      </c>
      <c r="X75" s="26">
        <f>IF(B75="","",ROUND(IF(M75="",0,W75*M75)+IF(N75="",0,N75),2))</f>
        <v>0</v>
      </c>
      <c r="Y75" s="26">
        <f>IF(B75="","",ROUND(W75-X75-IF(P75="",0,P75),2))</f>
        <v>0</v>
      </c>
      <c r="Z75" s="26">
        <f>IF(B75="","",IF(H75="Retail",IF(TaxOnRetail="Yes",ROUND(Y75*TaxRate,2),0),IF(H75="Service",IF(TaxOnServices="Yes",ROUND(Y75*TaxRate,2),0),0)))</f>
        <v>0</v>
      </c>
      <c r="AA75" s="26">
        <f>IF(B75="","",ROUND(Y75+Z75,2))</f>
        <v>0</v>
      </c>
      <c r="AB75" s="26">
        <f>IF(B75="","",ROUND(T75*IF(H75="Retail",IFERROR(INDEX(Inventory!$H$5:$H$304,MATCH(I75,Inventory!$A$5:$A$304,0))*1,0),IFERROR(INDEX(Services!$Q$5:$Q$204,MATCH(I75,Services!$A$5:$A$204,0))*1,0)),2))</f>
        <v>0</v>
      </c>
      <c r="AC75" s="26">
        <f>IF(B75="","",ROUND(Y75-AB75,2))</f>
        <v>0</v>
      </c>
      <c r="AD75" s="38">
        <f>IF(B75="","",IF(C75="","No",IF(COUNTIFS($C$5:C75,C75)=1,"Yes","No")))</f>
        <v>0</v>
      </c>
      <c r="AE75" s="26">
        <f>IF(B75="","",ROUND(SUMIFS(Payments!$G$5:$G$1204,Payments!$H$5:$H$1204,A75,Payments!$Q$5:$Q$1204,"Yes"),2))</f>
        <v>0</v>
      </c>
      <c r="AF75" s="26">
        <f>IF(B75="","",IF(AD75="No",0,ROUND(SUMIFS(Payments!$G$5:$G$1204,Payments!$I$5:$I$1204,C75,Payments!$H$5:$H$1204,"",Payments!$Q$5:$Q$1204,"Yes"),2)))</f>
        <v>0</v>
      </c>
      <c r="AG75" s="26">
        <f>IF(B75="","",ROUND(AE75+AF75,2))</f>
        <v>0</v>
      </c>
      <c r="AH75" s="26">
        <f>IF(B75="","",ROUND(AA75-AG75,2))</f>
        <v>0</v>
      </c>
      <c r="AI75" s="39">
        <f>IF(B75="","",IF(AA75&lt;=0,"No charge",IF(AH75&lt;=0.004,"Paid",IF(AG75&lt;=0.004,"Unpaid","Part paid"))))</f>
        <v>0</v>
      </c>
      <c r="AJ75" s="38">
        <f>IF(B75="","",IF(H75&lt;&gt;"Service","",IF(D75="","No",IF(COUNTIFS($D$5:$D$1204,D75,$B$5:$B$1204,B75,$H$5:$H$1204,"Retail")&gt;0,"Yes","No"))))</f>
        <v>0</v>
      </c>
      <c r="AK75" s="25">
        <f>IF(B75="","",COUNTIFS($Y$5:$Y$1204,"&gt;"&amp;Y75)+COUNTIFS($Y$5:Y75,Y75))</f>
        <v>0</v>
      </c>
      <c r="AL75" s="39">
        <f>IF(B75="","",IF(H75="","Add - what kind of sale is this?",IF(IF(V75&lt;=0,P75="",FALSE),"Check - no price found for this item",IF(F75="","Assign - nobody credited",IF(AH75&gt;0.004,"Unpaid - balance outstanding",IF(AC75&lt;0,"Loss - sold below cost",IF(X75&gt;W75*0.5,"Check - more than half off","OK")))))))</f>
        <v>0</v>
      </c>
    </row>
    <row r="76" spans="1:38">
      <c r="A76" s="28">
        <f>IF(B76="","",SalePrefix&amp;TEXT(ROW()-4,"0000"))</f>
        <v>0</v>
      </c>
      <c r="E76" s="15">
        <f>IF(D76="","",IFERROR(INDEX(Clients!$B$5:$B$504,MATCH(D76,Clients!$A$5:$A$504,0)),"Walk-in"))</f>
        <v>0</v>
      </c>
      <c r="G76" s="15">
        <f>IF(F76="","",IFERROR(INDEX(Staff!$B$5:$B$44,MATCH(F76,Staff!$A$5:$A$44,0)),"House"))</f>
        <v>0</v>
      </c>
      <c r="R76" s="15">
        <f>IF(B76="","",TEXT(B76,"yyyy-mm"))</f>
        <v>0</v>
      </c>
      <c r="S76" s="25">
        <f>IF(B76="","",WEEKNUM(B76,2))</f>
        <v>0</v>
      </c>
      <c r="T76" s="37">
        <f>IF(B76="","",IF(K76="",1,K76))</f>
        <v>0</v>
      </c>
      <c r="U76" s="15">
        <f>IF(B76="","",IF(J76&lt;&gt;"",J76,IF(H76="Retail",IFERROR(INDEX(Inventory!$B$5:$B$304,MATCH(I76,Inventory!$A$5:$A$304,0))&amp;"","Not in Inventory"),IFERROR(INDEX(Services!$B$5:$B$204,MATCH(I76,Services!$A$5:$A$204,0))&amp;"","Not in Services"))))</f>
        <v>0</v>
      </c>
      <c r="V76" s="26">
        <f>IF(B76="","",IF(L76&lt;&gt;"",L76,IF(H76="Retail",IFERROR(INDEX(Inventory!$I$5:$I$304,MATCH(I76,Inventory!$A$5:$A$304,0))*1,0),IFERROR(INDEX(Services!$G$5:$G$204,MATCH(I76,Services!$A$5:$A$204,0))*1,0))))</f>
        <v>0</v>
      </c>
      <c r="W76" s="26">
        <f>IF(B76="","",ROUND(T76*V76,2))</f>
        <v>0</v>
      </c>
      <c r="X76" s="26">
        <f>IF(B76="","",ROUND(IF(M76="",0,W76*M76)+IF(N76="",0,N76),2))</f>
        <v>0</v>
      </c>
      <c r="Y76" s="26">
        <f>IF(B76="","",ROUND(W76-X76-IF(P76="",0,P76),2))</f>
        <v>0</v>
      </c>
      <c r="Z76" s="26">
        <f>IF(B76="","",IF(H76="Retail",IF(TaxOnRetail="Yes",ROUND(Y76*TaxRate,2),0),IF(H76="Service",IF(TaxOnServices="Yes",ROUND(Y76*TaxRate,2),0),0)))</f>
        <v>0</v>
      </c>
      <c r="AA76" s="26">
        <f>IF(B76="","",ROUND(Y76+Z76,2))</f>
        <v>0</v>
      </c>
      <c r="AB76" s="26">
        <f>IF(B76="","",ROUND(T76*IF(H76="Retail",IFERROR(INDEX(Inventory!$H$5:$H$304,MATCH(I76,Inventory!$A$5:$A$304,0))*1,0),IFERROR(INDEX(Services!$Q$5:$Q$204,MATCH(I76,Services!$A$5:$A$204,0))*1,0)),2))</f>
        <v>0</v>
      </c>
      <c r="AC76" s="26">
        <f>IF(B76="","",ROUND(Y76-AB76,2))</f>
        <v>0</v>
      </c>
      <c r="AD76" s="38">
        <f>IF(B76="","",IF(C76="","No",IF(COUNTIFS($C$5:C76,C76)=1,"Yes","No")))</f>
        <v>0</v>
      </c>
      <c r="AE76" s="26">
        <f>IF(B76="","",ROUND(SUMIFS(Payments!$G$5:$G$1204,Payments!$H$5:$H$1204,A76,Payments!$Q$5:$Q$1204,"Yes"),2))</f>
        <v>0</v>
      </c>
      <c r="AF76" s="26">
        <f>IF(B76="","",IF(AD76="No",0,ROUND(SUMIFS(Payments!$G$5:$G$1204,Payments!$I$5:$I$1204,C76,Payments!$H$5:$H$1204,"",Payments!$Q$5:$Q$1204,"Yes"),2)))</f>
        <v>0</v>
      </c>
      <c r="AG76" s="26">
        <f>IF(B76="","",ROUND(AE76+AF76,2))</f>
        <v>0</v>
      </c>
      <c r="AH76" s="26">
        <f>IF(B76="","",ROUND(AA76-AG76,2))</f>
        <v>0</v>
      </c>
      <c r="AI76" s="39">
        <f>IF(B76="","",IF(AA76&lt;=0,"No charge",IF(AH76&lt;=0.004,"Paid",IF(AG76&lt;=0.004,"Unpaid","Part paid"))))</f>
        <v>0</v>
      </c>
      <c r="AJ76" s="38">
        <f>IF(B76="","",IF(H76&lt;&gt;"Service","",IF(D76="","No",IF(COUNTIFS($D$5:$D$1204,D76,$B$5:$B$1204,B76,$H$5:$H$1204,"Retail")&gt;0,"Yes","No"))))</f>
        <v>0</v>
      </c>
      <c r="AK76" s="25">
        <f>IF(B76="","",COUNTIFS($Y$5:$Y$1204,"&gt;"&amp;Y76)+COUNTIFS($Y$5:Y76,Y76))</f>
        <v>0</v>
      </c>
      <c r="AL76" s="39">
        <f>IF(B76="","",IF(H76="","Add - what kind of sale is this?",IF(IF(V76&lt;=0,P76="",FALSE),"Check - no price found for this item",IF(F76="","Assign - nobody credited",IF(AH76&gt;0.004,"Unpaid - balance outstanding",IF(AC76&lt;0,"Loss - sold below cost",IF(X76&gt;W76*0.5,"Check - more than half off","OK")))))))</f>
        <v>0</v>
      </c>
    </row>
    <row r="77" spans="1:38">
      <c r="A77" s="28">
        <f>IF(B77="","",SalePrefix&amp;TEXT(ROW()-4,"0000"))</f>
        <v>0</v>
      </c>
      <c r="E77" s="15">
        <f>IF(D77="","",IFERROR(INDEX(Clients!$B$5:$B$504,MATCH(D77,Clients!$A$5:$A$504,0)),"Walk-in"))</f>
        <v>0</v>
      </c>
      <c r="G77" s="15">
        <f>IF(F77="","",IFERROR(INDEX(Staff!$B$5:$B$44,MATCH(F77,Staff!$A$5:$A$44,0)),"House"))</f>
        <v>0</v>
      </c>
      <c r="R77" s="15">
        <f>IF(B77="","",TEXT(B77,"yyyy-mm"))</f>
        <v>0</v>
      </c>
      <c r="S77" s="25">
        <f>IF(B77="","",WEEKNUM(B77,2))</f>
        <v>0</v>
      </c>
      <c r="T77" s="37">
        <f>IF(B77="","",IF(K77="",1,K77))</f>
        <v>0</v>
      </c>
      <c r="U77" s="15">
        <f>IF(B77="","",IF(J77&lt;&gt;"",J77,IF(H77="Retail",IFERROR(INDEX(Inventory!$B$5:$B$304,MATCH(I77,Inventory!$A$5:$A$304,0))&amp;"","Not in Inventory"),IFERROR(INDEX(Services!$B$5:$B$204,MATCH(I77,Services!$A$5:$A$204,0))&amp;"","Not in Services"))))</f>
        <v>0</v>
      </c>
      <c r="V77" s="26">
        <f>IF(B77="","",IF(L77&lt;&gt;"",L77,IF(H77="Retail",IFERROR(INDEX(Inventory!$I$5:$I$304,MATCH(I77,Inventory!$A$5:$A$304,0))*1,0),IFERROR(INDEX(Services!$G$5:$G$204,MATCH(I77,Services!$A$5:$A$204,0))*1,0))))</f>
        <v>0</v>
      </c>
      <c r="W77" s="26">
        <f>IF(B77="","",ROUND(T77*V77,2))</f>
        <v>0</v>
      </c>
      <c r="X77" s="26">
        <f>IF(B77="","",ROUND(IF(M77="",0,W77*M77)+IF(N77="",0,N77),2))</f>
        <v>0</v>
      </c>
      <c r="Y77" s="26">
        <f>IF(B77="","",ROUND(W77-X77-IF(P77="",0,P77),2))</f>
        <v>0</v>
      </c>
      <c r="Z77" s="26">
        <f>IF(B77="","",IF(H77="Retail",IF(TaxOnRetail="Yes",ROUND(Y77*TaxRate,2),0),IF(H77="Service",IF(TaxOnServices="Yes",ROUND(Y77*TaxRate,2),0),0)))</f>
        <v>0</v>
      </c>
      <c r="AA77" s="26">
        <f>IF(B77="","",ROUND(Y77+Z77,2))</f>
        <v>0</v>
      </c>
      <c r="AB77" s="26">
        <f>IF(B77="","",ROUND(T77*IF(H77="Retail",IFERROR(INDEX(Inventory!$H$5:$H$304,MATCH(I77,Inventory!$A$5:$A$304,0))*1,0),IFERROR(INDEX(Services!$Q$5:$Q$204,MATCH(I77,Services!$A$5:$A$204,0))*1,0)),2))</f>
        <v>0</v>
      </c>
      <c r="AC77" s="26">
        <f>IF(B77="","",ROUND(Y77-AB77,2))</f>
        <v>0</v>
      </c>
      <c r="AD77" s="38">
        <f>IF(B77="","",IF(C77="","No",IF(COUNTIFS($C$5:C77,C77)=1,"Yes","No")))</f>
        <v>0</v>
      </c>
      <c r="AE77" s="26">
        <f>IF(B77="","",ROUND(SUMIFS(Payments!$G$5:$G$1204,Payments!$H$5:$H$1204,A77,Payments!$Q$5:$Q$1204,"Yes"),2))</f>
        <v>0</v>
      </c>
      <c r="AF77" s="26">
        <f>IF(B77="","",IF(AD77="No",0,ROUND(SUMIFS(Payments!$G$5:$G$1204,Payments!$I$5:$I$1204,C77,Payments!$H$5:$H$1204,"",Payments!$Q$5:$Q$1204,"Yes"),2)))</f>
        <v>0</v>
      </c>
      <c r="AG77" s="26">
        <f>IF(B77="","",ROUND(AE77+AF77,2))</f>
        <v>0</v>
      </c>
      <c r="AH77" s="26">
        <f>IF(B77="","",ROUND(AA77-AG77,2))</f>
        <v>0</v>
      </c>
      <c r="AI77" s="39">
        <f>IF(B77="","",IF(AA77&lt;=0,"No charge",IF(AH77&lt;=0.004,"Paid",IF(AG77&lt;=0.004,"Unpaid","Part paid"))))</f>
        <v>0</v>
      </c>
      <c r="AJ77" s="38">
        <f>IF(B77="","",IF(H77&lt;&gt;"Service","",IF(D77="","No",IF(COUNTIFS($D$5:$D$1204,D77,$B$5:$B$1204,B77,$H$5:$H$1204,"Retail")&gt;0,"Yes","No"))))</f>
        <v>0</v>
      </c>
      <c r="AK77" s="25">
        <f>IF(B77="","",COUNTIFS($Y$5:$Y$1204,"&gt;"&amp;Y77)+COUNTIFS($Y$5:Y77,Y77))</f>
        <v>0</v>
      </c>
      <c r="AL77" s="39">
        <f>IF(B77="","",IF(H77="","Add - what kind of sale is this?",IF(IF(V77&lt;=0,P77="",FALSE),"Check - no price found for this item",IF(F77="","Assign - nobody credited",IF(AH77&gt;0.004,"Unpaid - balance outstanding",IF(AC77&lt;0,"Loss - sold below cost",IF(X77&gt;W77*0.5,"Check - more than half off","OK")))))))</f>
        <v>0</v>
      </c>
    </row>
    <row r="78" spans="1:38">
      <c r="A78" s="28">
        <f>IF(B78="","",SalePrefix&amp;TEXT(ROW()-4,"0000"))</f>
        <v>0</v>
      </c>
      <c r="E78" s="15">
        <f>IF(D78="","",IFERROR(INDEX(Clients!$B$5:$B$504,MATCH(D78,Clients!$A$5:$A$504,0)),"Walk-in"))</f>
        <v>0</v>
      </c>
      <c r="G78" s="15">
        <f>IF(F78="","",IFERROR(INDEX(Staff!$B$5:$B$44,MATCH(F78,Staff!$A$5:$A$44,0)),"House"))</f>
        <v>0</v>
      </c>
      <c r="R78" s="15">
        <f>IF(B78="","",TEXT(B78,"yyyy-mm"))</f>
        <v>0</v>
      </c>
      <c r="S78" s="25">
        <f>IF(B78="","",WEEKNUM(B78,2))</f>
        <v>0</v>
      </c>
      <c r="T78" s="37">
        <f>IF(B78="","",IF(K78="",1,K78))</f>
        <v>0</v>
      </c>
      <c r="U78" s="15">
        <f>IF(B78="","",IF(J78&lt;&gt;"",J78,IF(H78="Retail",IFERROR(INDEX(Inventory!$B$5:$B$304,MATCH(I78,Inventory!$A$5:$A$304,0))&amp;"","Not in Inventory"),IFERROR(INDEX(Services!$B$5:$B$204,MATCH(I78,Services!$A$5:$A$204,0))&amp;"","Not in Services"))))</f>
        <v>0</v>
      </c>
      <c r="V78" s="26">
        <f>IF(B78="","",IF(L78&lt;&gt;"",L78,IF(H78="Retail",IFERROR(INDEX(Inventory!$I$5:$I$304,MATCH(I78,Inventory!$A$5:$A$304,0))*1,0),IFERROR(INDEX(Services!$G$5:$G$204,MATCH(I78,Services!$A$5:$A$204,0))*1,0))))</f>
        <v>0</v>
      </c>
      <c r="W78" s="26">
        <f>IF(B78="","",ROUND(T78*V78,2))</f>
        <v>0</v>
      </c>
      <c r="X78" s="26">
        <f>IF(B78="","",ROUND(IF(M78="",0,W78*M78)+IF(N78="",0,N78),2))</f>
        <v>0</v>
      </c>
      <c r="Y78" s="26">
        <f>IF(B78="","",ROUND(W78-X78-IF(P78="",0,P78),2))</f>
        <v>0</v>
      </c>
      <c r="Z78" s="26">
        <f>IF(B78="","",IF(H78="Retail",IF(TaxOnRetail="Yes",ROUND(Y78*TaxRate,2),0),IF(H78="Service",IF(TaxOnServices="Yes",ROUND(Y78*TaxRate,2),0),0)))</f>
        <v>0</v>
      </c>
      <c r="AA78" s="26">
        <f>IF(B78="","",ROUND(Y78+Z78,2))</f>
        <v>0</v>
      </c>
      <c r="AB78" s="26">
        <f>IF(B78="","",ROUND(T78*IF(H78="Retail",IFERROR(INDEX(Inventory!$H$5:$H$304,MATCH(I78,Inventory!$A$5:$A$304,0))*1,0),IFERROR(INDEX(Services!$Q$5:$Q$204,MATCH(I78,Services!$A$5:$A$204,0))*1,0)),2))</f>
        <v>0</v>
      </c>
      <c r="AC78" s="26">
        <f>IF(B78="","",ROUND(Y78-AB78,2))</f>
        <v>0</v>
      </c>
      <c r="AD78" s="38">
        <f>IF(B78="","",IF(C78="","No",IF(COUNTIFS($C$5:C78,C78)=1,"Yes","No")))</f>
        <v>0</v>
      </c>
      <c r="AE78" s="26">
        <f>IF(B78="","",ROUND(SUMIFS(Payments!$G$5:$G$1204,Payments!$H$5:$H$1204,A78,Payments!$Q$5:$Q$1204,"Yes"),2))</f>
        <v>0</v>
      </c>
      <c r="AF78" s="26">
        <f>IF(B78="","",IF(AD78="No",0,ROUND(SUMIFS(Payments!$G$5:$G$1204,Payments!$I$5:$I$1204,C78,Payments!$H$5:$H$1204,"",Payments!$Q$5:$Q$1204,"Yes"),2)))</f>
        <v>0</v>
      </c>
      <c r="AG78" s="26">
        <f>IF(B78="","",ROUND(AE78+AF78,2))</f>
        <v>0</v>
      </c>
      <c r="AH78" s="26">
        <f>IF(B78="","",ROUND(AA78-AG78,2))</f>
        <v>0</v>
      </c>
      <c r="AI78" s="39">
        <f>IF(B78="","",IF(AA78&lt;=0,"No charge",IF(AH78&lt;=0.004,"Paid",IF(AG78&lt;=0.004,"Unpaid","Part paid"))))</f>
        <v>0</v>
      </c>
      <c r="AJ78" s="38">
        <f>IF(B78="","",IF(H78&lt;&gt;"Service","",IF(D78="","No",IF(COUNTIFS($D$5:$D$1204,D78,$B$5:$B$1204,B78,$H$5:$H$1204,"Retail")&gt;0,"Yes","No"))))</f>
        <v>0</v>
      </c>
      <c r="AK78" s="25">
        <f>IF(B78="","",COUNTIFS($Y$5:$Y$1204,"&gt;"&amp;Y78)+COUNTIFS($Y$5:Y78,Y78))</f>
        <v>0</v>
      </c>
      <c r="AL78" s="39">
        <f>IF(B78="","",IF(H78="","Add - what kind of sale is this?",IF(IF(V78&lt;=0,P78="",FALSE),"Check - no price found for this item",IF(F78="","Assign - nobody credited",IF(AH78&gt;0.004,"Unpaid - balance outstanding",IF(AC78&lt;0,"Loss - sold below cost",IF(X78&gt;W78*0.5,"Check - more than half off","OK")))))))</f>
        <v>0</v>
      </c>
    </row>
    <row r="79" spans="1:38">
      <c r="A79" s="28">
        <f>IF(B79="","",SalePrefix&amp;TEXT(ROW()-4,"0000"))</f>
        <v>0</v>
      </c>
      <c r="E79" s="15">
        <f>IF(D79="","",IFERROR(INDEX(Clients!$B$5:$B$504,MATCH(D79,Clients!$A$5:$A$504,0)),"Walk-in"))</f>
        <v>0</v>
      </c>
      <c r="G79" s="15">
        <f>IF(F79="","",IFERROR(INDEX(Staff!$B$5:$B$44,MATCH(F79,Staff!$A$5:$A$44,0)),"House"))</f>
        <v>0</v>
      </c>
      <c r="R79" s="15">
        <f>IF(B79="","",TEXT(B79,"yyyy-mm"))</f>
        <v>0</v>
      </c>
      <c r="S79" s="25">
        <f>IF(B79="","",WEEKNUM(B79,2))</f>
        <v>0</v>
      </c>
      <c r="T79" s="37">
        <f>IF(B79="","",IF(K79="",1,K79))</f>
        <v>0</v>
      </c>
      <c r="U79" s="15">
        <f>IF(B79="","",IF(J79&lt;&gt;"",J79,IF(H79="Retail",IFERROR(INDEX(Inventory!$B$5:$B$304,MATCH(I79,Inventory!$A$5:$A$304,0))&amp;"","Not in Inventory"),IFERROR(INDEX(Services!$B$5:$B$204,MATCH(I79,Services!$A$5:$A$204,0))&amp;"","Not in Services"))))</f>
        <v>0</v>
      </c>
      <c r="V79" s="26">
        <f>IF(B79="","",IF(L79&lt;&gt;"",L79,IF(H79="Retail",IFERROR(INDEX(Inventory!$I$5:$I$304,MATCH(I79,Inventory!$A$5:$A$304,0))*1,0),IFERROR(INDEX(Services!$G$5:$G$204,MATCH(I79,Services!$A$5:$A$204,0))*1,0))))</f>
        <v>0</v>
      </c>
      <c r="W79" s="26">
        <f>IF(B79="","",ROUND(T79*V79,2))</f>
        <v>0</v>
      </c>
      <c r="X79" s="26">
        <f>IF(B79="","",ROUND(IF(M79="",0,W79*M79)+IF(N79="",0,N79),2))</f>
        <v>0</v>
      </c>
      <c r="Y79" s="26">
        <f>IF(B79="","",ROUND(W79-X79-IF(P79="",0,P79),2))</f>
        <v>0</v>
      </c>
      <c r="Z79" s="26">
        <f>IF(B79="","",IF(H79="Retail",IF(TaxOnRetail="Yes",ROUND(Y79*TaxRate,2),0),IF(H79="Service",IF(TaxOnServices="Yes",ROUND(Y79*TaxRate,2),0),0)))</f>
        <v>0</v>
      </c>
      <c r="AA79" s="26">
        <f>IF(B79="","",ROUND(Y79+Z79,2))</f>
        <v>0</v>
      </c>
      <c r="AB79" s="26">
        <f>IF(B79="","",ROUND(T79*IF(H79="Retail",IFERROR(INDEX(Inventory!$H$5:$H$304,MATCH(I79,Inventory!$A$5:$A$304,0))*1,0),IFERROR(INDEX(Services!$Q$5:$Q$204,MATCH(I79,Services!$A$5:$A$204,0))*1,0)),2))</f>
        <v>0</v>
      </c>
      <c r="AC79" s="26">
        <f>IF(B79="","",ROUND(Y79-AB79,2))</f>
        <v>0</v>
      </c>
      <c r="AD79" s="38">
        <f>IF(B79="","",IF(C79="","No",IF(COUNTIFS($C$5:C79,C79)=1,"Yes","No")))</f>
        <v>0</v>
      </c>
      <c r="AE79" s="26">
        <f>IF(B79="","",ROUND(SUMIFS(Payments!$G$5:$G$1204,Payments!$H$5:$H$1204,A79,Payments!$Q$5:$Q$1204,"Yes"),2))</f>
        <v>0</v>
      </c>
      <c r="AF79" s="26">
        <f>IF(B79="","",IF(AD79="No",0,ROUND(SUMIFS(Payments!$G$5:$G$1204,Payments!$I$5:$I$1204,C79,Payments!$H$5:$H$1204,"",Payments!$Q$5:$Q$1204,"Yes"),2)))</f>
        <v>0</v>
      </c>
      <c r="AG79" s="26">
        <f>IF(B79="","",ROUND(AE79+AF79,2))</f>
        <v>0</v>
      </c>
      <c r="AH79" s="26">
        <f>IF(B79="","",ROUND(AA79-AG79,2))</f>
        <v>0</v>
      </c>
      <c r="AI79" s="39">
        <f>IF(B79="","",IF(AA79&lt;=0,"No charge",IF(AH79&lt;=0.004,"Paid",IF(AG79&lt;=0.004,"Unpaid","Part paid"))))</f>
        <v>0</v>
      </c>
      <c r="AJ79" s="38">
        <f>IF(B79="","",IF(H79&lt;&gt;"Service","",IF(D79="","No",IF(COUNTIFS($D$5:$D$1204,D79,$B$5:$B$1204,B79,$H$5:$H$1204,"Retail")&gt;0,"Yes","No"))))</f>
        <v>0</v>
      </c>
      <c r="AK79" s="25">
        <f>IF(B79="","",COUNTIFS($Y$5:$Y$1204,"&gt;"&amp;Y79)+COUNTIFS($Y$5:Y79,Y79))</f>
        <v>0</v>
      </c>
      <c r="AL79" s="39">
        <f>IF(B79="","",IF(H79="","Add - what kind of sale is this?",IF(IF(V79&lt;=0,P79="",FALSE),"Check - no price found for this item",IF(F79="","Assign - nobody credited",IF(AH79&gt;0.004,"Unpaid - balance outstanding",IF(AC79&lt;0,"Loss - sold below cost",IF(X79&gt;W79*0.5,"Check - more than half off","OK")))))))</f>
        <v>0</v>
      </c>
    </row>
    <row r="80" spans="1:38">
      <c r="A80" s="28">
        <f>IF(B80="","",SalePrefix&amp;TEXT(ROW()-4,"0000"))</f>
        <v>0</v>
      </c>
      <c r="E80" s="15">
        <f>IF(D80="","",IFERROR(INDEX(Clients!$B$5:$B$504,MATCH(D80,Clients!$A$5:$A$504,0)),"Walk-in"))</f>
        <v>0</v>
      </c>
      <c r="G80" s="15">
        <f>IF(F80="","",IFERROR(INDEX(Staff!$B$5:$B$44,MATCH(F80,Staff!$A$5:$A$44,0)),"House"))</f>
        <v>0</v>
      </c>
      <c r="R80" s="15">
        <f>IF(B80="","",TEXT(B80,"yyyy-mm"))</f>
        <v>0</v>
      </c>
      <c r="S80" s="25">
        <f>IF(B80="","",WEEKNUM(B80,2))</f>
        <v>0</v>
      </c>
      <c r="T80" s="37">
        <f>IF(B80="","",IF(K80="",1,K80))</f>
        <v>0</v>
      </c>
      <c r="U80" s="15">
        <f>IF(B80="","",IF(J80&lt;&gt;"",J80,IF(H80="Retail",IFERROR(INDEX(Inventory!$B$5:$B$304,MATCH(I80,Inventory!$A$5:$A$304,0))&amp;"","Not in Inventory"),IFERROR(INDEX(Services!$B$5:$B$204,MATCH(I80,Services!$A$5:$A$204,0))&amp;"","Not in Services"))))</f>
        <v>0</v>
      </c>
      <c r="V80" s="26">
        <f>IF(B80="","",IF(L80&lt;&gt;"",L80,IF(H80="Retail",IFERROR(INDEX(Inventory!$I$5:$I$304,MATCH(I80,Inventory!$A$5:$A$304,0))*1,0),IFERROR(INDEX(Services!$G$5:$G$204,MATCH(I80,Services!$A$5:$A$204,0))*1,0))))</f>
        <v>0</v>
      </c>
      <c r="W80" s="26">
        <f>IF(B80="","",ROUND(T80*V80,2))</f>
        <v>0</v>
      </c>
      <c r="X80" s="26">
        <f>IF(B80="","",ROUND(IF(M80="",0,W80*M80)+IF(N80="",0,N80),2))</f>
        <v>0</v>
      </c>
      <c r="Y80" s="26">
        <f>IF(B80="","",ROUND(W80-X80-IF(P80="",0,P80),2))</f>
        <v>0</v>
      </c>
      <c r="Z80" s="26">
        <f>IF(B80="","",IF(H80="Retail",IF(TaxOnRetail="Yes",ROUND(Y80*TaxRate,2),0),IF(H80="Service",IF(TaxOnServices="Yes",ROUND(Y80*TaxRate,2),0),0)))</f>
        <v>0</v>
      </c>
      <c r="AA80" s="26">
        <f>IF(B80="","",ROUND(Y80+Z80,2))</f>
        <v>0</v>
      </c>
      <c r="AB80" s="26">
        <f>IF(B80="","",ROUND(T80*IF(H80="Retail",IFERROR(INDEX(Inventory!$H$5:$H$304,MATCH(I80,Inventory!$A$5:$A$304,0))*1,0),IFERROR(INDEX(Services!$Q$5:$Q$204,MATCH(I80,Services!$A$5:$A$204,0))*1,0)),2))</f>
        <v>0</v>
      </c>
      <c r="AC80" s="26">
        <f>IF(B80="","",ROUND(Y80-AB80,2))</f>
        <v>0</v>
      </c>
      <c r="AD80" s="38">
        <f>IF(B80="","",IF(C80="","No",IF(COUNTIFS($C$5:C80,C80)=1,"Yes","No")))</f>
        <v>0</v>
      </c>
      <c r="AE80" s="26">
        <f>IF(B80="","",ROUND(SUMIFS(Payments!$G$5:$G$1204,Payments!$H$5:$H$1204,A80,Payments!$Q$5:$Q$1204,"Yes"),2))</f>
        <v>0</v>
      </c>
      <c r="AF80" s="26">
        <f>IF(B80="","",IF(AD80="No",0,ROUND(SUMIFS(Payments!$G$5:$G$1204,Payments!$I$5:$I$1204,C80,Payments!$H$5:$H$1204,"",Payments!$Q$5:$Q$1204,"Yes"),2)))</f>
        <v>0</v>
      </c>
      <c r="AG80" s="26">
        <f>IF(B80="","",ROUND(AE80+AF80,2))</f>
        <v>0</v>
      </c>
      <c r="AH80" s="26">
        <f>IF(B80="","",ROUND(AA80-AG80,2))</f>
        <v>0</v>
      </c>
      <c r="AI80" s="39">
        <f>IF(B80="","",IF(AA80&lt;=0,"No charge",IF(AH80&lt;=0.004,"Paid",IF(AG80&lt;=0.004,"Unpaid","Part paid"))))</f>
        <v>0</v>
      </c>
      <c r="AJ80" s="38">
        <f>IF(B80="","",IF(H80&lt;&gt;"Service","",IF(D80="","No",IF(COUNTIFS($D$5:$D$1204,D80,$B$5:$B$1204,B80,$H$5:$H$1204,"Retail")&gt;0,"Yes","No"))))</f>
        <v>0</v>
      </c>
      <c r="AK80" s="25">
        <f>IF(B80="","",COUNTIFS($Y$5:$Y$1204,"&gt;"&amp;Y80)+COUNTIFS($Y$5:Y80,Y80))</f>
        <v>0</v>
      </c>
      <c r="AL80" s="39">
        <f>IF(B80="","",IF(H80="","Add - what kind of sale is this?",IF(IF(V80&lt;=0,P80="",FALSE),"Check - no price found for this item",IF(F80="","Assign - nobody credited",IF(AH80&gt;0.004,"Unpaid - balance outstanding",IF(AC80&lt;0,"Loss - sold below cost",IF(X80&gt;W80*0.5,"Check - more than half off","OK")))))))</f>
        <v>0</v>
      </c>
    </row>
    <row r="81" spans="1:38">
      <c r="A81" s="28">
        <f>IF(B81="","",SalePrefix&amp;TEXT(ROW()-4,"0000"))</f>
        <v>0</v>
      </c>
      <c r="E81" s="15">
        <f>IF(D81="","",IFERROR(INDEX(Clients!$B$5:$B$504,MATCH(D81,Clients!$A$5:$A$504,0)),"Walk-in"))</f>
        <v>0</v>
      </c>
      <c r="G81" s="15">
        <f>IF(F81="","",IFERROR(INDEX(Staff!$B$5:$B$44,MATCH(F81,Staff!$A$5:$A$44,0)),"House"))</f>
        <v>0</v>
      </c>
      <c r="R81" s="15">
        <f>IF(B81="","",TEXT(B81,"yyyy-mm"))</f>
        <v>0</v>
      </c>
      <c r="S81" s="25">
        <f>IF(B81="","",WEEKNUM(B81,2))</f>
        <v>0</v>
      </c>
      <c r="T81" s="37">
        <f>IF(B81="","",IF(K81="",1,K81))</f>
        <v>0</v>
      </c>
      <c r="U81" s="15">
        <f>IF(B81="","",IF(J81&lt;&gt;"",J81,IF(H81="Retail",IFERROR(INDEX(Inventory!$B$5:$B$304,MATCH(I81,Inventory!$A$5:$A$304,0))&amp;"","Not in Inventory"),IFERROR(INDEX(Services!$B$5:$B$204,MATCH(I81,Services!$A$5:$A$204,0))&amp;"","Not in Services"))))</f>
        <v>0</v>
      </c>
      <c r="V81" s="26">
        <f>IF(B81="","",IF(L81&lt;&gt;"",L81,IF(H81="Retail",IFERROR(INDEX(Inventory!$I$5:$I$304,MATCH(I81,Inventory!$A$5:$A$304,0))*1,0),IFERROR(INDEX(Services!$G$5:$G$204,MATCH(I81,Services!$A$5:$A$204,0))*1,0))))</f>
        <v>0</v>
      </c>
      <c r="W81" s="26">
        <f>IF(B81="","",ROUND(T81*V81,2))</f>
        <v>0</v>
      </c>
      <c r="X81" s="26">
        <f>IF(B81="","",ROUND(IF(M81="",0,W81*M81)+IF(N81="",0,N81),2))</f>
        <v>0</v>
      </c>
      <c r="Y81" s="26">
        <f>IF(B81="","",ROUND(W81-X81-IF(P81="",0,P81),2))</f>
        <v>0</v>
      </c>
      <c r="Z81" s="26">
        <f>IF(B81="","",IF(H81="Retail",IF(TaxOnRetail="Yes",ROUND(Y81*TaxRate,2),0),IF(H81="Service",IF(TaxOnServices="Yes",ROUND(Y81*TaxRate,2),0),0)))</f>
        <v>0</v>
      </c>
      <c r="AA81" s="26">
        <f>IF(B81="","",ROUND(Y81+Z81,2))</f>
        <v>0</v>
      </c>
      <c r="AB81" s="26">
        <f>IF(B81="","",ROUND(T81*IF(H81="Retail",IFERROR(INDEX(Inventory!$H$5:$H$304,MATCH(I81,Inventory!$A$5:$A$304,0))*1,0),IFERROR(INDEX(Services!$Q$5:$Q$204,MATCH(I81,Services!$A$5:$A$204,0))*1,0)),2))</f>
        <v>0</v>
      </c>
      <c r="AC81" s="26">
        <f>IF(B81="","",ROUND(Y81-AB81,2))</f>
        <v>0</v>
      </c>
      <c r="AD81" s="38">
        <f>IF(B81="","",IF(C81="","No",IF(COUNTIFS($C$5:C81,C81)=1,"Yes","No")))</f>
        <v>0</v>
      </c>
      <c r="AE81" s="26">
        <f>IF(B81="","",ROUND(SUMIFS(Payments!$G$5:$G$1204,Payments!$H$5:$H$1204,A81,Payments!$Q$5:$Q$1204,"Yes"),2))</f>
        <v>0</v>
      </c>
      <c r="AF81" s="26">
        <f>IF(B81="","",IF(AD81="No",0,ROUND(SUMIFS(Payments!$G$5:$G$1204,Payments!$I$5:$I$1204,C81,Payments!$H$5:$H$1204,"",Payments!$Q$5:$Q$1204,"Yes"),2)))</f>
        <v>0</v>
      </c>
      <c r="AG81" s="26">
        <f>IF(B81="","",ROUND(AE81+AF81,2))</f>
        <v>0</v>
      </c>
      <c r="AH81" s="26">
        <f>IF(B81="","",ROUND(AA81-AG81,2))</f>
        <v>0</v>
      </c>
      <c r="AI81" s="39">
        <f>IF(B81="","",IF(AA81&lt;=0,"No charge",IF(AH81&lt;=0.004,"Paid",IF(AG81&lt;=0.004,"Unpaid","Part paid"))))</f>
        <v>0</v>
      </c>
      <c r="AJ81" s="38">
        <f>IF(B81="","",IF(H81&lt;&gt;"Service","",IF(D81="","No",IF(COUNTIFS($D$5:$D$1204,D81,$B$5:$B$1204,B81,$H$5:$H$1204,"Retail")&gt;0,"Yes","No"))))</f>
        <v>0</v>
      </c>
      <c r="AK81" s="25">
        <f>IF(B81="","",COUNTIFS($Y$5:$Y$1204,"&gt;"&amp;Y81)+COUNTIFS($Y$5:Y81,Y81))</f>
        <v>0</v>
      </c>
      <c r="AL81" s="39">
        <f>IF(B81="","",IF(H81="","Add - what kind of sale is this?",IF(IF(V81&lt;=0,P81="",FALSE),"Check - no price found for this item",IF(F81="","Assign - nobody credited",IF(AH81&gt;0.004,"Unpaid - balance outstanding",IF(AC81&lt;0,"Loss - sold below cost",IF(X81&gt;W81*0.5,"Check - more than half off","OK")))))))</f>
        <v>0</v>
      </c>
    </row>
    <row r="82" spans="1:38">
      <c r="A82" s="28">
        <f>IF(B82="","",SalePrefix&amp;TEXT(ROW()-4,"0000"))</f>
        <v>0</v>
      </c>
      <c r="E82" s="15">
        <f>IF(D82="","",IFERROR(INDEX(Clients!$B$5:$B$504,MATCH(D82,Clients!$A$5:$A$504,0)),"Walk-in"))</f>
        <v>0</v>
      </c>
      <c r="G82" s="15">
        <f>IF(F82="","",IFERROR(INDEX(Staff!$B$5:$B$44,MATCH(F82,Staff!$A$5:$A$44,0)),"House"))</f>
        <v>0</v>
      </c>
      <c r="R82" s="15">
        <f>IF(B82="","",TEXT(B82,"yyyy-mm"))</f>
        <v>0</v>
      </c>
      <c r="S82" s="25">
        <f>IF(B82="","",WEEKNUM(B82,2))</f>
        <v>0</v>
      </c>
      <c r="T82" s="37">
        <f>IF(B82="","",IF(K82="",1,K82))</f>
        <v>0</v>
      </c>
      <c r="U82" s="15">
        <f>IF(B82="","",IF(J82&lt;&gt;"",J82,IF(H82="Retail",IFERROR(INDEX(Inventory!$B$5:$B$304,MATCH(I82,Inventory!$A$5:$A$304,0))&amp;"","Not in Inventory"),IFERROR(INDEX(Services!$B$5:$B$204,MATCH(I82,Services!$A$5:$A$204,0))&amp;"","Not in Services"))))</f>
        <v>0</v>
      </c>
      <c r="V82" s="26">
        <f>IF(B82="","",IF(L82&lt;&gt;"",L82,IF(H82="Retail",IFERROR(INDEX(Inventory!$I$5:$I$304,MATCH(I82,Inventory!$A$5:$A$304,0))*1,0),IFERROR(INDEX(Services!$G$5:$G$204,MATCH(I82,Services!$A$5:$A$204,0))*1,0))))</f>
        <v>0</v>
      </c>
      <c r="W82" s="26">
        <f>IF(B82="","",ROUND(T82*V82,2))</f>
        <v>0</v>
      </c>
      <c r="X82" s="26">
        <f>IF(B82="","",ROUND(IF(M82="",0,W82*M82)+IF(N82="",0,N82),2))</f>
        <v>0</v>
      </c>
      <c r="Y82" s="26">
        <f>IF(B82="","",ROUND(W82-X82-IF(P82="",0,P82),2))</f>
        <v>0</v>
      </c>
      <c r="Z82" s="26">
        <f>IF(B82="","",IF(H82="Retail",IF(TaxOnRetail="Yes",ROUND(Y82*TaxRate,2),0),IF(H82="Service",IF(TaxOnServices="Yes",ROUND(Y82*TaxRate,2),0),0)))</f>
        <v>0</v>
      </c>
      <c r="AA82" s="26">
        <f>IF(B82="","",ROUND(Y82+Z82,2))</f>
        <v>0</v>
      </c>
      <c r="AB82" s="26">
        <f>IF(B82="","",ROUND(T82*IF(H82="Retail",IFERROR(INDEX(Inventory!$H$5:$H$304,MATCH(I82,Inventory!$A$5:$A$304,0))*1,0),IFERROR(INDEX(Services!$Q$5:$Q$204,MATCH(I82,Services!$A$5:$A$204,0))*1,0)),2))</f>
        <v>0</v>
      </c>
      <c r="AC82" s="26">
        <f>IF(B82="","",ROUND(Y82-AB82,2))</f>
        <v>0</v>
      </c>
      <c r="AD82" s="38">
        <f>IF(B82="","",IF(C82="","No",IF(COUNTIFS($C$5:C82,C82)=1,"Yes","No")))</f>
        <v>0</v>
      </c>
      <c r="AE82" s="26">
        <f>IF(B82="","",ROUND(SUMIFS(Payments!$G$5:$G$1204,Payments!$H$5:$H$1204,A82,Payments!$Q$5:$Q$1204,"Yes"),2))</f>
        <v>0</v>
      </c>
      <c r="AF82" s="26">
        <f>IF(B82="","",IF(AD82="No",0,ROUND(SUMIFS(Payments!$G$5:$G$1204,Payments!$I$5:$I$1204,C82,Payments!$H$5:$H$1204,"",Payments!$Q$5:$Q$1204,"Yes"),2)))</f>
        <v>0</v>
      </c>
      <c r="AG82" s="26">
        <f>IF(B82="","",ROUND(AE82+AF82,2))</f>
        <v>0</v>
      </c>
      <c r="AH82" s="26">
        <f>IF(B82="","",ROUND(AA82-AG82,2))</f>
        <v>0</v>
      </c>
      <c r="AI82" s="39">
        <f>IF(B82="","",IF(AA82&lt;=0,"No charge",IF(AH82&lt;=0.004,"Paid",IF(AG82&lt;=0.004,"Unpaid","Part paid"))))</f>
        <v>0</v>
      </c>
      <c r="AJ82" s="38">
        <f>IF(B82="","",IF(H82&lt;&gt;"Service","",IF(D82="","No",IF(COUNTIFS($D$5:$D$1204,D82,$B$5:$B$1204,B82,$H$5:$H$1204,"Retail")&gt;0,"Yes","No"))))</f>
        <v>0</v>
      </c>
      <c r="AK82" s="25">
        <f>IF(B82="","",COUNTIFS($Y$5:$Y$1204,"&gt;"&amp;Y82)+COUNTIFS($Y$5:Y82,Y82))</f>
        <v>0</v>
      </c>
      <c r="AL82" s="39">
        <f>IF(B82="","",IF(H82="","Add - what kind of sale is this?",IF(IF(V82&lt;=0,P82="",FALSE),"Check - no price found for this item",IF(F82="","Assign - nobody credited",IF(AH82&gt;0.004,"Unpaid - balance outstanding",IF(AC82&lt;0,"Loss - sold below cost",IF(X82&gt;W82*0.5,"Check - more than half off","OK")))))))</f>
        <v>0</v>
      </c>
    </row>
    <row r="83" spans="1:38">
      <c r="A83" s="28">
        <f>IF(B83="","",SalePrefix&amp;TEXT(ROW()-4,"0000"))</f>
        <v>0</v>
      </c>
      <c r="E83" s="15">
        <f>IF(D83="","",IFERROR(INDEX(Clients!$B$5:$B$504,MATCH(D83,Clients!$A$5:$A$504,0)),"Walk-in"))</f>
        <v>0</v>
      </c>
      <c r="G83" s="15">
        <f>IF(F83="","",IFERROR(INDEX(Staff!$B$5:$B$44,MATCH(F83,Staff!$A$5:$A$44,0)),"House"))</f>
        <v>0</v>
      </c>
      <c r="R83" s="15">
        <f>IF(B83="","",TEXT(B83,"yyyy-mm"))</f>
        <v>0</v>
      </c>
      <c r="S83" s="25">
        <f>IF(B83="","",WEEKNUM(B83,2))</f>
        <v>0</v>
      </c>
      <c r="T83" s="37">
        <f>IF(B83="","",IF(K83="",1,K83))</f>
        <v>0</v>
      </c>
      <c r="U83" s="15">
        <f>IF(B83="","",IF(J83&lt;&gt;"",J83,IF(H83="Retail",IFERROR(INDEX(Inventory!$B$5:$B$304,MATCH(I83,Inventory!$A$5:$A$304,0))&amp;"","Not in Inventory"),IFERROR(INDEX(Services!$B$5:$B$204,MATCH(I83,Services!$A$5:$A$204,0))&amp;"","Not in Services"))))</f>
        <v>0</v>
      </c>
      <c r="V83" s="26">
        <f>IF(B83="","",IF(L83&lt;&gt;"",L83,IF(H83="Retail",IFERROR(INDEX(Inventory!$I$5:$I$304,MATCH(I83,Inventory!$A$5:$A$304,0))*1,0),IFERROR(INDEX(Services!$G$5:$G$204,MATCH(I83,Services!$A$5:$A$204,0))*1,0))))</f>
        <v>0</v>
      </c>
      <c r="W83" s="26">
        <f>IF(B83="","",ROUND(T83*V83,2))</f>
        <v>0</v>
      </c>
      <c r="X83" s="26">
        <f>IF(B83="","",ROUND(IF(M83="",0,W83*M83)+IF(N83="",0,N83),2))</f>
        <v>0</v>
      </c>
      <c r="Y83" s="26">
        <f>IF(B83="","",ROUND(W83-X83-IF(P83="",0,P83),2))</f>
        <v>0</v>
      </c>
      <c r="Z83" s="26">
        <f>IF(B83="","",IF(H83="Retail",IF(TaxOnRetail="Yes",ROUND(Y83*TaxRate,2),0),IF(H83="Service",IF(TaxOnServices="Yes",ROUND(Y83*TaxRate,2),0),0)))</f>
        <v>0</v>
      </c>
      <c r="AA83" s="26">
        <f>IF(B83="","",ROUND(Y83+Z83,2))</f>
        <v>0</v>
      </c>
      <c r="AB83" s="26">
        <f>IF(B83="","",ROUND(T83*IF(H83="Retail",IFERROR(INDEX(Inventory!$H$5:$H$304,MATCH(I83,Inventory!$A$5:$A$304,0))*1,0),IFERROR(INDEX(Services!$Q$5:$Q$204,MATCH(I83,Services!$A$5:$A$204,0))*1,0)),2))</f>
        <v>0</v>
      </c>
      <c r="AC83" s="26">
        <f>IF(B83="","",ROUND(Y83-AB83,2))</f>
        <v>0</v>
      </c>
      <c r="AD83" s="38">
        <f>IF(B83="","",IF(C83="","No",IF(COUNTIFS($C$5:C83,C83)=1,"Yes","No")))</f>
        <v>0</v>
      </c>
      <c r="AE83" s="26">
        <f>IF(B83="","",ROUND(SUMIFS(Payments!$G$5:$G$1204,Payments!$H$5:$H$1204,A83,Payments!$Q$5:$Q$1204,"Yes"),2))</f>
        <v>0</v>
      </c>
      <c r="AF83" s="26">
        <f>IF(B83="","",IF(AD83="No",0,ROUND(SUMIFS(Payments!$G$5:$G$1204,Payments!$I$5:$I$1204,C83,Payments!$H$5:$H$1204,"",Payments!$Q$5:$Q$1204,"Yes"),2)))</f>
        <v>0</v>
      </c>
      <c r="AG83" s="26">
        <f>IF(B83="","",ROUND(AE83+AF83,2))</f>
        <v>0</v>
      </c>
      <c r="AH83" s="26">
        <f>IF(B83="","",ROUND(AA83-AG83,2))</f>
        <v>0</v>
      </c>
      <c r="AI83" s="39">
        <f>IF(B83="","",IF(AA83&lt;=0,"No charge",IF(AH83&lt;=0.004,"Paid",IF(AG83&lt;=0.004,"Unpaid","Part paid"))))</f>
        <v>0</v>
      </c>
      <c r="AJ83" s="38">
        <f>IF(B83="","",IF(H83&lt;&gt;"Service","",IF(D83="","No",IF(COUNTIFS($D$5:$D$1204,D83,$B$5:$B$1204,B83,$H$5:$H$1204,"Retail")&gt;0,"Yes","No"))))</f>
        <v>0</v>
      </c>
      <c r="AK83" s="25">
        <f>IF(B83="","",COUNTIFS($Y$5:$Y$1204,"&gt;"&amp;Y83)+COUNTIFS($Y$5:Y83,Y83))</f>
        <v>0</v>
      </c>
      <c r="AL83" s="39">
        <f>IF(B83="","",IF(H83="","Add - what kind of sale is this?",IF(IF(V83&lt;=0,P83="",FALSE),"Check - no price found for this item",IF(F83="","Assign - nobody credited",IF(AH83&gt;0.004,"Unpaid - balance outstanding",IF(AC83&lt;0,"Loss - sold below cost",IF(X83&gt;W83*0.5,"Check - more than half off","OK")))))))</f>
        <v>0</v>
      </c>
    </row>
    <row r="84" spans="1:38">
      <c r="A84" s="28">
        <f>IF(B84="","",SalePrefix&amp;TEXT(ROW()-4,"0000"))</f>
        <v>0</v>
      </c>
      <c r="E84" s="15">
        <f>IF(D84="","",IFERROR(INDEX(Clients!$B$5:$B$504,MATCH(D84,Clients!$A$5:$A$504,0)),"Walk-in"))</f>
        <v>0</v>
      </c>
      <c r="G84" s="15">
        <f>IF(F84="","",IFERROR(INDEX(Staff!$B$5:$B$44,MATCH(F84,Staff!$A$5:$A$44,0)),"House"))</f>
        <v>0</v>
      </c>
      <c r="R84" s="15">
        <f>IF(B84="","",TEXT(B84,"yyyy-mm"))</f>
        <v>0</v>
      </c>
      <c r="S84" s="25">
        <f>IF(B84="","",WEEKNUM(B84,2))</f>
        <v>0</v>
      </c>
      <c r="T84" s="37">
        <f>IF(B84="","",IF(K84="",1,K84))</f>
        <v>0</v>
      </c>
      <c r="U84" s="15">
        <f>IF(B84="","",IF(J84&lt;&gt;"",J84,IF(H84="Retail",IFERROR(INDEX(Inventory!$B$5:$B$304,MATCH(I84,Inventory!$A$5:$A$304,0))&amp;"","Not in Inventory"),IFERROR(INDEX(Services!$B$5:$B$204,MATCH(I84,Services!$A$5:$A$204,0))&amp;"","Not in Services"))))</f>
        <v>0</v>
      </c>
      <c r="V84" s="26">
        <f>IF(B84="","",IF(L84&lt;&gt;"",L84,IF(H84="Retail",IFERROR(INDEX(Inventory!$I$5:$I$304,MATCH(I84,Inventory!$A$5:$A$304,0))*1,0),IFERROR(INDEX(Services!$G$5:$G$204,MATCH(I84,Services!$A$5:$A$204,0))*1,0))))</f>
        <v>0</v>
      </c>
      <c r="W84" s="26">
        <f>IF(B84="","",ROUND(T84*V84,2))</f>
        <v>0</v>
      </c>
      <c r="X84" s="26">
        <f>IF(B84="","",ROUND(IF(M84="",0,W84*M84)+IF(N84="",0,N84),2))</f>
        <v>0</v>
      </c>
      <c r="Y84" s="26">
        <f>IF(B84="","",ROUND(W84-X84-IF(P84="",0,P84),2))</f>
        <v>0</v>
      </c>
      <c r="Z84" s="26">
        <f>IF(B84="","",IF(H84="Retail",IF(TaxOnRetail="Yes",ROUND(Y84*TaxRate,2),0),IF(H84="Service",IF(TaxOnServices="Yes",ROUND(Y84*TaxRate,2),0),0)))</f>
        <v>0</v>
      </c>
      <c r="AA84" s="26">
        <f>IF(B84="","",ROUND(Y84+Z84,2))</f>
        <v>0</v>
      </c>
      <c r="AB84" s="26">
        <f>IF(B84="","",ROUND(T84*IF(H84="Retail",IFERROR(INDEX(Inventory!$H$5:$H$304,MATCH(I84,Inventory!$A$5:$A$304,0))*1,0),IFERROR(INDEX(Services!$Q$5:$Q$204,MATCH(I84,Services!$A$5:$A$204,0))*1,0)),2))</f>
        <v>0</v>
      </c>
      <c r="AC84" s="26">
        <f>IF(B84="","",ROUND(Y84-AB84,2))</f>
        <v>0</v>
      </c>
      <c r="AD84" s="38">
        <f>IF(B84="","",IF(C84="","No",IF(COUNTIFS($C$5:C84,C84)=1,"Yes","No")))</f>
        <v>0</v>
      </c>
      <c r="AE84" s="26">
        <f>IF(B84="","",ROUND(SUMIFS(Payments!$G$5:$G$1204,Payments!$H$5:$H$1204,A84,Payments!$Q$5:$Q$1204,"Yes"),2))</f>
        <v>0</v>
      </c>
      <c r="AF84" s="26">
        <f>IF(B84="","",IF(AD84="No",0,ROUND(SUMIFS(Payments!$G$5:$G$1204,Payments!$I$5:$I$1204,C84,Payments!$H$5:$H$1204,"",Payments!$Q$5:$Q$1204,"Yes"),2)))</f>
        <v>0</v>
      </c>
      <c r="AG84" s="26">
        <f>IF(B84="","",ROUND(AE84+AF84,2))</f>
        <v>0</v>
      </c>
      <c r="AH84" s="26">
        <f>IF(B84="","",ROUND(AA84-AG84,2))</f>
        <v>0</v>
      </c>
      <c r="AI84" s="39">
        <f>IF(B84="","",IF(AA84&lt;=0,"No charge",IF(AH84&lt;=0.004,"Paid",IF(AG84&lt;=0.004,"Unpaid","Part paid"))))</f>
        <v>0</v>
      </c>
      <c r="AJ84" s="38">
        <f>IF(B84="","",IF(H84&lt;&gt;"Service","",IF(D84="","No",IF(COUNTIFS($D$5:$D$1204,D84,$B$5:$B$1204,B84,$H$5:$H$1204,"Retail")&gt;0,"Yes","No"))))</f>
        <v>0</v>
      </c>
      <c r="AK84" s="25">
        <f>IF(B84="","",COUNTIFS($Y$5:$Y$1204,"&gt;"&amp;Y84)+COUNTIFS($Y$5:Y84,Y84))</f>
        <v>0</v>
      </c>
      <c r="AL84" s="39">
        <f>IF(B84="","",IF(H84="","Add - what kind of sale is this?",IF(IF(V84&lt;=0,P84="",FALSE),"Check - no price found for this item",IF(F84="","Assign - nobody credited",IF(AH84&gt;0.004,"Unpaid - balance outstanding",IF(AC84&lt;0,"Loss - sold below cost",IF(X84&gt;W84*0.5,"Check - more than half off","OK")))))))</f>
        <v>0</v>
      </c>
    </row>
    <row r="85" spans="1:38">
      <c r="A85" s="28">
        <f>IF(B85="","",SalePrefix&amp;TEXT(ROW()-4,"0000"))</f>
        <v>0</v>
      </c>
      <c r="E85" s="15">
        <f>IF(D85="","",IFERROR(INDEX(Clients!$B$5:$B$504,MATCH(D85,Clients!$A$5:$A$504,0)),"Walk-in"))</f>
        <v>0</v>
      </c>
      <c r="G85" s="15">
        <f>IF(F85="","",IFERROR(INDEX(Staff!$B$5:$B$44,MATCH(F85,Staff!$A$5:$A$44,0)),"House"))</f>
        <v>0</v>
      </c>
      <c r="R85" s="15">
        <f>IF(B85="","",TEXT(B85,"yyyy-mm"))</f>
        <v>0</v>
      </c>
      <c r="S85" s="25">
        <f>IF(B85="","",WEEKNUM(B85,2))</f>
        <v>0</v>
      </c>
      <c r="T85" s="37">
        <f>IF(B85="","",IF(K85="",1,K85))</f>
        <v>0</v>
      </c>
      <c r="U85" s="15">
        <f>IF(B85="","",IF(J85&lt;&gt;"",J85,IF(H85="Retail",IFERROR(INDEX(Inventory!$B$5:$B$304,MATCH(I85,Inventory!$A$5:$A$304,0))&amp;"","Not in Inventory"),IFERROR(INDEX(Services!$B$5:$B$204,MATCH(I85,Services!$A$5:$A$204,0))&amp;"","Not in Services"))))</f>
        <v>0</v>
      </c>
      <c r="V85" s="26">
        <f>IF(B85="","",IF(L85&lt;&gt;"",L85,IF(H85="Retail",IFERROR(INDEX(Inventory!$I$5:$I$304,MATCH(I85,Inventory!$A$5:$A$304,0))*1,0),IFERROR(INDEX(Services!$G$5:$G$204,MATCH(I85,Services!$A$5:$A$204,0))*1,0))))</f>
        <v>0</v>
      </c>
      <c r="W85" s="26">
        <f>IF(B85="","",ROUND(T85*V85,2))</f>
        <v>0</v>
      </c>
      <c r="X85" s="26">
        <f>IF(B85="","",ROUND(IF(M85="",0,W85*M85)+IF(N85="",0,N85),2))</f>
        <v>0</v>
      </c>
      <c r="Y85" s="26">
        <f>IF(B85="","",ROUND(W85-X85-IF(P85="",0,P85),2))</f>
        <v>0</v>
      </c>
      <c r="Z85" s="26">
        <f>IF(B85="","",IF(H85="Retail",IF(TaxOnRetail="Yes",ROUND(Y85*TaxRate,2),0),IF(H85="Service",IF(TaxOnServices="Yes",ROUND(Y85*TaxRate,2),0),0)))</f>
        <v>0</v>
      </c>
      <c r="AA85" s="26">
        <f>IF(B85="","",ROUND(Y85+Z85,2))</f>
        <v>0</v>
      </c>
      <c r="AB85" s="26">
        <f>IF(B85="","",ROUND(T85*IF(H85="Retail",IFERROR(INDEX(Inventory!$H$5:$H$304,MATCH(I85,Inventory!$A$5:$A$304,0))*1,0),IFERROR(INDEX(Services!$Q$5:$Q$204,MATCH(I85,Services!$A$5:$A$204,0))*1,0)),2))</f>
        <v>0</v>
      </c>
      <c r="AC85" s="26">
        <f>IF(B85="","",ROUND(Y85-AB85,2))</f>
        <v>0</v>
      </c>
      <c r="AD85" s="38">
        <f>IF(B85="","",IF(C85="","No",IF(COUNTIFS($C$5:C85,C85)=1,"Yes","No")))</f>
        <v>0</v>
      </c>
      <c r="AE85" s="26">
        <f>IF(B85="","",ROUND(SUMIFS(Payments!$G$5:$G$1204,Payments!$H$5:$H$1204,A85,Payments!$Q$5:$Q$1204,"Yes"),2))</f>
        <v>0</v>
      </c>
      <c r="AF85" s="26">
        <f>IF(B85="","",IF(AD85="No",0,ROUND(SUMIFS(Payments!$G$5:$G$1204,Payments!$I$5:$I$1204,C85,Payments!$H$5:$H$1204,"",Payments!$Q$5:$Q$1204,"Yes"),2)))</f>
        <v>0</v>
      </c>
      <c r="AG85" s="26">
        <f>IF(B85="","",ROUND(AE85+AF85,2))</f>
        <v>0</v>
      </c>
      <c r="AH85" s="26">
        <f>IF(B85="","",ROUND(AA85-AG85,2))</f>
        <v>0</v>
      </c>
      <c r="AI85" s="39">
        <f>IF(B85="","",IF(AA85&lt;=0,"No charge",IF(AH85&lt;=0.004,"Paid",IF(AG85&lt;=0.004,"Unpaid","Part paid"))))</f>
        <v>0</v>
      </c>
      <c r="AJ85" s="38">
        <f>IF(B85="","",IF(H85&lt;&gt;"Service","",IF(D85="","No",IF(COUNTIFS($D$5:$D$1204,D85,$B$5:$B$1204,B85,$H$5:$H$1204,"Retail")&gt;0,"Yes","No"))))</f>
        <v>0</v>
      </c>
      <c r="AK85" s="25">
        <f>IF(B85="","",COUNTIFS($Y$5:$Y$1204,"&gt;"&amp;Y85)+COUNTIFS($Y$5:Y85,Y85))</f>
        <v>0</v>
      </c>
      <c r="AL85" s="39">
        <f>IF(B85="","",IF(H85="","Add - what kind of sale is this?",IF(IF(V85&lt;=0,P85="",FALSE),"Check - no price found for this item",IF(F85="","Assign - nobody credited",IF(AH85&gt;0.004,"Unpaid - balance outstanding",IF(AC85&lt;0,"Loss - sold below cost",IF(X85&gt;W85*0.5,"Check - more than half off","OK")))))))</f>
        <v>0</v>
      </c>
    </row>
    <row r="86" spans="1:38">
      <c r="A86" s="28">
        <f>IF(B86="","",SalePrefix&amp;TEXT(ROW()-4,"0000"))</f>
        <v>0</v>
      </c>
      <c r="E86" s="15">
        <f>IF(D86="","",IFERROR(INDEX(Clients!$B$5:$B$504,MATCH(D86,Clients!$A$5:$A$504,0)),"Walk-in"))</f>
        <v>0</v>
      </c>
      <c r="G86" s="15">
        <f>IF(F86="","",IFERROR(INDEX(Staff!$B$5:$B$44,MATCH(F86,Staff!$A$5:$A$44,0)),"House"))</f>
        <v>0</v>
      </c>
      <c r="R86" s="15">
        <f>IF(B86="","",TEXT(B86,"yyyy-mm"))</f>
        <v>0</v>
      </c>
      <c r="S86" s="25">
        <f>IF(B86="","",WEEKNUM(B86,2))</f>
        <v>0</v>
      </c>
      <c r="T86" s="37">
        <f>IF(B86="","",IF(K86="",1,K86))</f>
        <v>0</v>
      </c>
      <c r="U86" s="15">
        <f>IF(B86="","",IF(J86&lt;&gt;"",J86,IF(H86="Retail",IFERROR(INDEX(Inventory!$B$5:$B$304,MATCH(I86,Inventory!$A$5:$A$304,0))&amp;"","Not in Inventory"),IFERROR(INDEX(Services!$B$5:$B$204,MATCH(I86,Services!$A$5:$A$204,0))&amp;"","Not in Services"))))</f>
        <v>0</v>
      </c>
      <c r="V86" s="26">
        <f>IF(B86="","",IF(L86&lt;&gt;"",L86,IF(H86="Retail",IFERROR(INDEX(Inventory!$I$5:$I$304,MATCH(I86,Inventory!$A$5:$A$304,0))*1,0),IFERROR(INDEX(Services!$G$5:$G$204,MATCH(I86,Services!$A$5:$A$204,0))*1,0))))</f>
        <v>0</v>
      </c>
      <c r="W86" s="26">
        <f>IF(B86="","",ROUND(T86*V86,2))</f>
        <v>0</v>
      </c>
      <c r="X86" s="26">
        <f>IF(B86="","",ROUND(IF(M86="",0,W86*M86)+IF(N86="",0,N86),2))</f>
        <v>0</v>
      </c>
      <c r="Y86" s="26">
        <f>IF(B86="","",ROUND(W86-X86-IF(P86="",0,P86),2))</f>
        <v>0</v>
      </c>
      <c r="Z86" s="26">
        <f>IF(B86="","",IF(H86="Retail",IF(TaxOnRetail="Yes",ROUND(Y86*TaxRate,2),0),IF(H86="Service",IF(TaxOnServices="Yes",ROUND(Y86*TaxRate,2),0),0)))</f>
        <v>0</v>
      </c>
      <c r="AA86" s="26">
        <f>IF(B86="","",ROUND(Y86+Z86,2))</f>
        <v>0</v>
      </c>
      <c r="AB86" s="26">
        <f>IF(B86="","",ROUND(T86*IF(H86="Retail",IFERROR(INDEX(Inventory!$H$5:$H$304,MATCH(I86,Inventory!$A$5:$A$304,0))*1,0),IFERROR(INDEX(Services!$Q$5:$Q$204,MATCH(I86,Services!$A$5:$A$204,0))*1,0)),2))</f>
        <v>0</v>
      </c>
      <c r="AC86" s="26">
        <f>IF(B86="","",ROUND(Y86-AB86,2))</f>
        <v>0</v>
      </c>
      <c r="AD86" s="38">
        <f>IF(B86="","",IF(C86="","No",IF(COUNTIFS($C$5:C86,C86)=1,"Yes","No")))</f>
        <v>0</v>
      </c>
      <c r="AE86" s="26">
        <f>IF(B86="","",ROUND(SUMIFS(Payments!$G$5:$G$1204,Payments!$H$5:$H$1204,A86,Payments!$Q$5:$Q$1204,"Yes"),2))</f>
        <v>0</v>
      </c>
      <c r="AF86" s="26">
        <f>IF(B86="","",IF(AD86="No",0,ROUND(SUMIFS(Payments!$G$5:$G$1204,Payments!$I$5:$I$1204,C86,Payments!$H$5:$H$1204,"",Payments!$Q$5:$Q$1204,"Yes"),2)))</f>
        <v>0</v>
      </c>
      <c r="AG86" s="26">
        <f>IF(B86="","",ROUND(AE86+AF86,2))</f>
        <v>0</v>
      </c>
      <c r="AH86" s="26">
        <f>IF(B86="","",ROUND(AA86-AG86,2))</f>
        <v>0</v>
      </c>
      <c r="AI86" s="39">
        <f>IF(B86="","",IF(AA86&lt;=0,"No charge",IF(AH86&lt;=0.004,"Paid",IF(AG86&lt;=0.004,"Unpaid","Part paid"))))</f>
        <v>0</v>
      </c>
      <c r="AJ86" s="38">
        <f>IF(B86="","",IF(H86&lt;&gt;"Service","",IF(D86="","No",IF(COUNTIFS($D$5:$D$1204,D86,$B$5:$B$1204,B86,$H$5:$H$1204,"Retail")&gt;0,"Yes","No"))))</f>
        <v>0</v>
      </c>
      <c r="AK86" s="25">
        <f>IF(B86="","",COUNTIFS($Y$5:$Y$1204,"&gt;"&amp;Y86)+COUNTIFS($Y$5:Y86,Y86))</f>
        <v>0</v>
      </c>
      <c r="AL86" s="39">
        <f>IF(B86="","",IF(H86="","Add - what kind of sale is this?",IF(IF(V86&lt;=0,P86="",FALSE),"Check - no price found for this item",IF(F86="","Assign - nobody credited",IF(AH86&gt;0.004,"Unpaid - balance outstanding",IF(AC86&lt;0,"Loss - sold below cost",IF(X86&gt;W86*0.5,"Check - more than half off","OK")))))))</f>
        <v>0</v>
      </c>
    </row>
    <row r="87" spans="1:38">
      <c r="A87" s="28">
        <f>IF(B87="","",SalePrefix&amp;TEXT(ROW()-4,"0000"))</f>
        <v>0</v>
      </c>
      <c r="E87" s="15">
        <f>IF(D87="","",IFERROR(INDEX(Clients!$B$5:$B$504,MATCH(D87,Clients!$A$5:$A$504,0)),"Walk-in"))</f>
        <v>0</v>
      </c>
      <c r="G87" s="15">
        <f>IF(F87="","",IFERROR(INDEX(Staff!$B$5:$B$44,MATCH(F87,Staff!$A$5:$A$44,0)),"House"))</f>
        <v>0</v>
      </c>
      <c r="R87" s="15">
        <f>IF(B87="","",TEXT(B87,"yyyy-mm"))</f>
        <v>0</v>
      </c>
      <c r="S87" s="25">
        <f>IF(B87="","",WEEKNUM(B87,2))</f>
        <v>0</v>
      </c>
      <c r="T87" s="37">
        <f>IF(B87="","",IF(K87="",1,K87))</f>
        <v>0</v>
      </c>
      <c r="U87" s="15">
        <f>IF(B87="","",IF(J87&lt;&gt;"",J87,IF(H87="Retail",IFERROR(INDEX(Inventory!$B$5:$B$304,MATCH(I87,Inventory!$A$5:$A$304,0))&amp;"","Not in Inventory"),IFERROR(INDEX(Services!$B$5:$B$204,MATCH(I87,Services!$A$5:$A$204,0))&amp;"","Not in Services"))))</f>
        <v>0</v>
      </c>
      <c r="V87" s="26">
        <f>IF(B87="","",IF(L87&lt;&gt;"",L87,IF(H87="Retail",IFERROR(INDEX(Inventory!$I$5:$I$304,MATCH(I87,Inventory!$A$5:$A$304,0))*1,0),IFERROR(INDEX(Services!$G$5:$G$204,MATCH(I87,Services!$A$5:$A$204,0))*1,0))))</f>
        <v>0</v>
      </c>
      <c r="W87" s="26">
        <f>IF(B87="","",ROUND(T87*V87,2))</f>
        <v>0</v>
      </c>
      <c r="X87" s="26">
        <f>IF(B87="","",ROUND(IF(M87="",0,W87*M87)+IF(N87="",0,N87),2))</f>
        <v>0</v>
      </c>
      <c r="Y87" s="26">
        <f>IF(B87="","",ROUND(W87-X87-IF(P87="",0,P87),2))</f>
        <v>0</v>
      </c>
      <c r="Z87" s="26">
        <f>IF(B87="","",IF(H87="Retail",IF(TaxOnRetail="Yes",ROUND(Y87*TaxRate,2),0),IF(H87="Service",IF(TaxOnServices="Yes",ROUND(Y87*TaxRate,2),0),0)))</f>
        <v>0</v>
      </c>
      <c r="AA87" s="26">
        <f>IF(B87="","",ROUND(Y87+Z87,2))</f>
        <v>0</v>
      </c>
      <c r="AB87" s="26">
        <f>IF(B87="","",ROUND(T87*IF(H87="Retail",IFERROR(INDEX(Inventory!$H$5:$H$304,MATCH(I87,Inventory!$A$5:$A$304,0))*1,0),IFERROR(INDEX(Services!$Q$5:$Q$204,MATCH(I87,Services!$A$5:$A$204,0))*1,0)),2))</f>
        <v>0</v>
      </c>
      <c r="AC87" s="26">
        <f>IF(B87="","",ROUND(Y87-AB87,2))</f>
        <v>0</v>
      </c>
      <c r="AD87" s="38">
        <f>IF(B87="","",IF(C87="","No",IF(COUNTIFS($C$5:C87,C87)=1,"Yes","No")))</f>
        <v>0</v>
      </c>
      <c r="AE87" s="26">
        <f>IF(B87="","",ROUND(SUMIFS(Payments!$G$5:$G$1204,Payments!$H$5:$H$1204,A87,Payments!$Q$5:$Q$1204,"Yes"),2))</f>
        <v>0</v>
      </c>
      <c r="AF87" s="26">
        <f>IF(B87="","",IF(AD87="No",0,ROUND(SUMIFS(Payments!$G$5:$G$1204,Payments!$I$5:$I$1204,C87,Payments!$H$5:$H$1204,"",Payments!$Q$5:$Q$1204,"Yes"),2)))</f>
        <v>0</v>
      </c>
      <c r="AG87" s="26">
        <f>IF(B87="","",ROUND(AE87+AF87,2))</f>
        <v>0</v>
      </c>
      <c r="AH87" s="26">
        <f>IF(B87="","",ROUND(AA87-AG87,2))</f>
        <v>0</v>
      </c>
      <c r="AI87" s="39">
        <f>IF(B87="","",IF(AA87&lt;=0,"No charge",IF(AH87&lt;=0.004,"Paid",IF(AG87&lt;=0.004,"Unpaid","Part paid"))))</f>
        <v>0</v>
      </c>
      <c r="AJ87" s="38">
        <f>IF(B87="","",IF(H87&lt;&gt;"Service","",IF(D87="","No",IF(COUNTIFS($D$5:$D$1204,D87,$B$5:$B$1204,B87,$H$5:$H$1204,"Retail")&gt;0,"Yes","No"))))</f>
        <v>0</v>
      </c>
      <c r="AK87" s="25">
        <f>IF(B87="","",COUNTIFS($Y$5:$Y$1204,"&gt;"&amp;Y87)+COUNTIFS($Y$5:Y87,Y87))</f>
        <v>0</v>
      </c>
      <c r="AL87" s="39">
        <f>IF(B87="","",IF(H87="","Add - what kind of sale is this?",IF(IF(V87&lt;=0,P87="",FALSE),"Check - no price found for this item",IF(F87="","Assign - nobody credited",IF(AH87&gt;0.004,"Unpaid - balance outstanding",IF(AC87&lt;0,"Loss - sold below cost",IF(X87&gt;W87*0.5,"Check - more than half off","OK")))))))</f>
        <v>0</v>
      </c>
    </row>
    <row r="88" spans="1:38">
      <c r="A88" s="28">
        <f>IF(B88="","",SalePrefix&amp;TEXT(ROW()-4,"0000"))</f>
        <v>0</v>
      </c>
      <c r="E88" s="15">
        <f>IF(D88="","",IFERROR(INDEX(Clients!$B$5:$B$504,MATCH(D88,Clients!$A$5:$A$504,0)),"Walk-in"))</f>
        <v>0</v>
      </c>
      <c r="G88" s="15">
        <f>IF(F88="","",IFERROR(INDEX(Staff!$B$5:$B$44,MATCH(F88,Staff!$A$5:$A$44,0)),"House"))</f>
        <v>0</v>
      </c>
      <c r="R88" s="15">
        <f>IF(B88="","",TEXT(B88,"yyyy-mm"))</f>
        <v>0</v>
      </c>
      <c r="S88" s="25">
        <f>IF(B88="","",WEEKNUM(B88,2))</f>
        <v>0</v>
      </c>
      <c r="T88" s="37">
        <f>IF(B88="","",IF(K88="",1,K88))</f>
        <v>0</v>
      </c>
      <c r="U88" s="15">
        <f>IF(B88="","",IF(J88&lt;&gt;"",J88,IF(H88="Retail",IFERROR(INDEX(Inventory!$B$5:$B$304,MATCH(I88,Inventory!$A$5:$A$304,0))&amp;"","Not in Inventory"),IFERROR(INDEX(Services!$B$5:$B$204,MATCH(I88,Services!$A$5:$A$204,0))&amp;"","Not in Services"))))</f>
        <v>0</v>
      </c>
      <c r="V88" s="26">
        <f>IF(B88="","",IF(L88&lt;&gt;"",L88,IF(H88="Retail",IFERROR(INDEX(Inventory!$I$5:$I$304,MATCH(I88,Inventory!$A$5:$A$304,0))*1,0),IFERROR(INDEX(Services!$G$5:$G$204,MATCH(I88,Services!$A$5:$A$204,0))*1,0))))</f>
        <v>0</v>
      </c>
      <c r="W88" s="26">
        <f>IF(B88="","",ROUND(T88*V88,2))</f>
        <v>0</v>
      </c>
      <c r="X88" s="26">
        <f>IF(B88="","",ROUND(IF(M88="",0,W88*M88)+IF(N88="",0,N88),2))</f>
        <v>0</v>
      </c>
      <c r="Y88" s="26">
        <f>IF(B88="","",ROUND(W88-X88-IF(P88="",0,P88),2))</f>
        <v>0</v>
      </c>
      <c r="Z88" s="26">
        <f>IF(B88="","",IF(H88="Retail",IF(TaxOnRetail="Yes",ROUND(Y88*TaxRate,2),0),IF(H88="Service",IF(TaxOnServices="Yes",ROUND(Y88*TaxRate,2),0),0)))</f>
        <v>0</v>
      </c>
      <c r="AA88" s="26">
        <f>IF(B88="","",ROUND(Y88+Z88,2))</f>
        <v>0</v>
      </c>
      <c r="AB88" s="26">
        <f>IF(B88="","",ROUND(T88*IF(H88="Retail",IFERROR(INDEX(Inventory!$H$5:$H$304,MATCH(I88,Inventory!$A$5:$A$304,0))*1,0),IFERROR(INDEX(Services!$Q$5:$Q$204,MATCH(I88,Services!$A$5:$A$204,0))*1,0)),2))</f>
        <v>0</v>
      </c>
      <c r="AC88" s="26">
        <f>IF(B88="","",ROUND(Y88-AB88,2))</f>
        <v>0</v>
      </c>
      <c r="AD88" s="38">
        <f>IF(B88="","",IF(C88="","No",IF(COUNTIFS($C$5:C88,C88)=1,"Yes","No")))</f>
        <v>0</v>
      </c>
      <c r="AE88" s="26">
        <f>IF(B88="","",ROUND(SUMIFS(Payments!$G$5:$G$1204,Payments!$H$5:$H$1204,A88,Payments!$Q$5:$Q$1204,"Yes"),2))</f>
        <v>0</v>
      </c>
      <c r="AF88" s="26">
        <f>IF(B88="","",IF(AD88="No",0,ROUND(SUMIFS(Payments!$G$5:$G$1204,Payments!$I$5:$I$1204,C88,Payments!$H$5:$H$1204,"",Payments!$Q$5:$Q$1204,"Yes"),2)))</f>
        <v>0</v>
      </c>
      <c r="AG88" s="26">
        <f>IF(B88="","",ROUND(AE88+AF88,2))</f>
        <v>0</v>
      </c>
      <c r="AH88" s="26">
        <f>IF(B88="","",ROUND(AA88-AG88,2))</f>
        <v>0</v>
      </c>
      <c r="AI88" s="39">
        <f>IF(B88="","",IF(AA88&lt;=0,"No charge",IF(AH88&lt;=0.004,"Paid",IF(AG88&lt;=0.004,"Unpaid","Part paid"))))</f>
        <v>0</v>
      </c>
      <c r="AJ88" s="38">
        <f>IF(B88="","",IF(H88&lt;&gt;"Service","",IF(D88="","No",IF(COUNTIFS($D$5:$D$1204,D88,$B$5:$B$1204,B88,$H$5:$H$1204,"Retail")&gt;0,"Yes","No"))))</f>
        <v>0</v>
      </c>
      <c r="AK88" s="25">
        <f>IF(B88="","",COUNTIFS($Y$5:$Y$1204,"&gt;"&amp;Y88)+COUNTIFS($Y$5:Y88,Y88))</f>
        <v>0</v>
      </c>
      <c r="AL88" s="39">
        <f>IF(B88="","",IF(H88="","Add - what kind of sale is this?",IF(IF(V88&lt;=0,P88="",FALSE),"Check - no price found for this item",IF(F88="","Assign - nobody credited",IF(AH88&gt;0.004,"Unpaid - balance outstanding",IF(AC88&lt;0,"Loss - sold below cost",IF(X88&gt;W88*0.5,"Check - more than half off","OK")))))))</f>
        <v>0</v>
      </c>
    </row>
    <row r="89" spans="1:38">
      <c r="A89" s="28">
        <f>IF(B89="","",SalePrefix&amp;TEXT(ROW()-4,"0000"))</f>
        <v>0</v>
      </c>
      <c r="E89" s="15">
        <f>IF(D89="","",IFERROR(INDEX(Clients!$B$5:$B$504,MATCH(D89,Clients!$A$5:$A$504,0)),"Walk-in"))</f>
        <v>0</v>
      </c>
      <c r="G89" s="15">
        <f>IF(F89="","",IFERROR(INDEX(Staff!$B$5:$B$44,MATCH(F89,Staff!$A$5:$A$44,0)),"House"))</f>
        <v>0</v>
      </c>
      <c r="R89" s="15">
        <f>IF(B89="","",TEXT(B89,"yyyy-mm"))</f>
        <v>0</v>
      </c>
      <c r="S89" s="25">
        <f>IF(B89="","",WEEKNUM(B89,2))</f>
        <v>0</v>
      </c>
      <c r="T89" s="37">
        <f>IF(B89="","",IF(K89="",1,K89))</f>
        <v>0</v>
      </c>
      <c r="U89" s="15">
        <f>IF(B89="","",IF(J89&lt;&gt;"",J89,IF(H89="Retail",IFERROR(INDEX(Inventory!$B$5:$B$304,MATCH(I89,Inventory!$A$5:$A$304,0))&amp;"","Not in Inventory"),IFERROR(INDEX(Services!$B$5:$B$204,MATCH(I89,Services!$A$5:$A$204,0))&amp;"","Not in Services"))))</f>
        <v>0</v>
      </c>
      <c r="V89" s="26">
        <f>IF(B89="","",IF(L89&lt;&gt;"",L89,IF(H89="Retail",IFERROR(INDEX(Inventory!$I$5:$I$304,MATCH(I89,Inventory!$A$5:$A$304,0))*1,0),IFERROR(INDEX(Services!$G$5:$G$204,MATCH(I89,Services!$A$5:$A$204,0))*1,0))))</f>
        <v>0</v>
      </c>
      <c r="W89" s="26">
        <f>IF(B89="","",ROUND(T89*V89,2))</f>
        <v>0</v>
      </c>
      <c r="X89" s="26">
        <f>IF(B89="","",ROUND(IF(M89="",0,W89*M89)+IF(N89="",0,N89),2))</f>
        <v>0</v>
      </c>
      <c r="Y89" s="26">
        <f>IF(B89="","",ROUND(W89-X89-IF(P89="",0,P89),2))</f>
        <v>0</v>
      </c>
      <c r="Z89" s="26">
        <f>IF(B89="","",IF(H89="Retail",IF(TaxOnRetail="Yes",ROUND(Y89*TaxRate,2),0),IF(H89="Service",IF(TaxOnServices="Yes",ROUND(Y89*TaxRate,2),0),0)))</f>
        <v>0</v>
      </c>
      <c r="AA89" s="26">
        <f>IF(B89="","",ROUND(Y89+Z89,2))</f>
        <v>0</v>
      </c>
      <c r="AB89" s="26">
        <f>IF(B89="","",ROUND(T89*IF(H89="Retail",IFERROR(INDEX(Inventory!$H$5:$H$304,MATCH(I89,Inventory!$A$5:$A$304,0))*1,0),IFERROR(INDEX(Services!$Q$5:$Q$204,MATCH(I89,Services!$A$5:$A$204,0))*1,0)),2))</f>
        <v>0</v>
      </c>
      <c r="AC89" s="26">
        <f>IF(B89="","",ROUND(Y89-AB89,2))</f>
        <v>0</v>
      </c>
      <c r="AD89" s="38">
        <f>IF(B89="","",IF(C89="","No",IF(COUNTIFS($C$5:C89,C89)=1,"Yes","No")))</f>
        <v>0</v>
      </c>
      <c r="AE89" s="26">
        <f>IF(B89="","",ROUND(SUMIFS(Payments!$G$5:$G$1204,Payments!$H$5:$H$1204,A89,Payments!$Q$5:$Q$1204,"Yes"),2))</f>
        <v>0</v>
      </c>
      <c r="AF89" s="26">
        <f>IF(B89="","",IF(AD89="No",0,ROUND(SUMIFS(Payments!$G$5:$G$1204,Payments!$I$5:$I$1204,C89,Payments!$H$5:$H$1204,"",Payments!$Q$5:$Q$1204,"Yes"),2)))</f>
        <v>0</v>
      </c>
      <c r="AG89" s="26">
        <f>IF(B89="","",ROUND(AE89+AF89,2))</f>
        <v>0</v>
      </c>
      <c r="AH89" s="26">
        <f>IF(B89="","",ROUND(AA89-AG89,2))</f>
        <v>0</v>
      </c>
      <c r="AI89" s="39">
        <f>IF(B89="","",IF(AA89&lt;=0,"No charge",IF(AH89&lt;=0.004,"Paid",IF(AG89&lt;=0.004,"Unpaid","Part paid"))))</f>
        <v>0</v>
      </c>
      <c r="AJ89" s="38">
        <f>IF(B89="","",IF(H89&lt;&gt;"Service","",IF(D89="","No",IF(COUNTIFS($D$5:$D$1204,D89,$B$5:$B$1204,B89,$H$5:$H$1204,"Retail")&gt;0,"Yes","No"))))</f>
        <v>0</v>
      </c>
      <c r="AK89" s="25">
        <f>IF(B89="","",COUNTIFS($Y$5:$Y$1204,"&gt;"&amp;Y89)+COUNTIFS($Y$5:Y89,Y89))</f>
        <v>0</v>
      </c>
      <c r="AL89" s="39">
        <f>IF(B89="","",IF(H89="","Add - what kind of sale is this?",IF(IF(V89&lt;=0,P89="",FALSE),"Check - no price found for this item",IF(F89="","Assign - nobody credited",IF(AH89&gt;0.004,"Unpaid - balance outstanding",IF(AC89&lt;0,"Loss - sold below cost",IF(X89&gt;W89*0.5,"Check - more than half off","OK")))))))</f>
        <v>0</v>
      </c>
    </row>
    <row r="90" spans="1:38">
      <c r="A90" s="28">
        <f>IF(B90="","",SalePrefix&amp;TEXT(ROW()-4,"0000"))</f>
        <v>0</v>
      </c>
      <c r="E90" s="15">
        <f>IF(D90="","",IFERROR(INDEX(Clients!$B$5:$B$504,MATCH(D90,Clients!$A$5:$A$504,0)),"Walk-in"))</f>
        <v>0</v>
      </c>
      <c r="G90" s="15">
        <f>IF(F90="","",IFERROR(INDEX(Staff!$B$5:$B$44,MATCH(F90,Staff!$A$5:$A$44,0)),"House"))</f>
        <v>0</v>
      </c>
      <c r="R90" s="15">
        <f>IF(B90="","",TEXT(B90,"yyyy-mm"))</f>
        <v>0</v>
      </c>
      <c r="S90" s="25">
        <f>IF(B90="","",WEEKNUM(B90,2))</f>
        <v>0</v>
      </c>
      <c r="T90" s="37">
        <f>IF(B90="","",IF(K90="",1,K90))</f>
        <v>0</v>
      </c>
      <c r="U90" s="15">
        <f>IF(B90="","",IF(J90&lt;&gt;"",J90,IF(H90="Retail",IFERROR(INDEX(Inventory!$B$5:$B$304,MATCH(I90,Inventory!$A$5:$A$304,0))&amp;"","Not in Inventory"),IFERROR(INDEX(Services!$B$5:$B$204,MATCH(I90,Services!$A$5:$A$204,0))&amp;"","Not in Services"))))</f>
        <v>0</v>
      </c>
      <c r="V90" s="26">
        <f>IF(B90="","",IF(L90&lt;&gt;"",L90,IF(H90="Retail",IFERROR(INDEX(Inventory!$I$5:$I$304,MATCH(I90,Inventory!$A$5:$A$304,0))*1,0),IFERROR(INDEX(Services!$G$5:$G$204,MATCH(I90,Services!$A$5:$A$204,0))*1,0))))</f>
        <v>0</v>
      </c>
      <c r="W90" s="26">
        <f>IF(B90="","",ROUND(T90*V90,2))</f>
        <v>0</v>
      </c>
      <c r="X90" s="26">
        <f>IF(B90="","",ROUND(IF(M90="",0,W90*M90)+IF(N90="",0,N90),2))</f>
        <v>0</v>
      </c>
      <c r="Y90" s="26">
        <f>IF(B90="","",ROUND(W90-X90-IF(P90="",0,P90),2))</f>
        <v>0</v>
      </c>
      <c r="Z90" s="26">
        <f>IF(B90="","",IF(H90="Retail",IF(TaxOnRetail="Yes",ROUND(Y90*TaxRate,2),0),IF(H90="Service",IF(TaxOnServices="Yes",ROUND(Y90*TaxRate,2),0),0)))</f>
        <v>0</v>
      </c>
      <c r="AA90" s="26">
        <f>IF(B90="","",ROUND(Y90+Z90,2))</f>
        <v>0</v>
      </c>
      <c r="AB90" s="26">
        <f>IF(B90="","",ROUND(T90*IF(H90="Retail",IFERROR(INDEX(Inventory!$H$5:$H$304,MATCH(I90,Inventory!$A$5:$A$304,0))*1,0),IFERROR(INDEX(Services!$Q$5:$Q$204,MATCH(I90,Services!$A$5:$A$204,0))*1,0)),2))</f>
        <v>0</v>
      </c>
      <c r="AC90" s="26">
        <f>IF(B90="","",ROUND(Y90-AB90,2))</f>
        <v>0</v>
      </c>
      <c r="AD90" s="38">
        <f>IF(B90="","",IF(C90="","No",IF(COUNTIFS($C$5:C90,C90)=1,"Yes","No")))</f>
        <v>0</v>
      </c>
      <c r="AE90" s="26">
        <f>IF(B90="","",ROUND(SUMIFS(Payments!$G$5:$G$1204,Payments!$H$5:$H$1204,A90,Payments!$Q$5:$Q$1204,"Yes"),2))</f>
        <v>0</v>
      </c>
      <c r="AF90" s="26">
        <f>IF(B90="","",IF(AD90="No",0,ROUND(SUMIFS(Payments!$G$5:$G$1204,Payments!$I$5:$I$1204,C90,Payments!$H$5:$H$1204,"",Payments!$Q$5:$Q$1204,"Yes"),2)))</f>
        <v>0</v>
      </c>
      <c r="AG90" s="26">
        <f>IF(B90="","",ROUND(AE90+AF90,2))</f>
        <v>0</v>
      </c>
      <c r="AH90" s="26">
        <f>IF(B90="","",ROUND(AA90-AG90,2))</f>
        <v>0</v>
      </c>
      <c r="AI90" s="39">
        <f>IF(B90="","",IF(AA90&lt;=0,"No charge",IF(AH90&lt;=0.004,"Paid",IF(AG90&lt;=0.004,"Unpaid","Part paid"))))</f>
        <v>0</v>
      </c>
      <c r="AJ90" s="38">
        <f>IF(B90="","",IF(H90&lt;&gt;"Service","",IF(D90="","No",IF(COUNTIFS($D$5:$D$1204,D90,$B$5:$B$1204,B90,$H$5:$H$1204,"Retail")&gt;0,"Yes","No"))))</f>
        <v>0</v>
      </c>
      <c r="AK90" s="25">
        <f>IF(B90="","",COUNTIFS($Y$5:$Y$1204,"&gt;"&amp;Y90)+COUNTIFS($Y$5:Y90,Y90))</f>
        <v>0</v>
      </c>
      <c r="AL90" s="39">
        <f>IF(B90="","",IF(H90="","Add - what kind of sale is this?",IF(IF(V90&lt;=0,P90="",FALSE),"Check - no price found for this item",IF(F90="","Assign - nobody credited",IF(AH90&gt;0.004,"Unpaid - balance outstanding",IF(AC90&lt;0,"Loss - sold below cost",IF(X90&gt;W90*0.5,"Check - more than half off","OK")))))))</f>
        <v>0</v>
      </c>
    </row>
    <row r="91" spans="1:38">
      <c r="A91" s="28">
        <f>IF(B91="","",SalePrefix&amp;TEXT(ROW()-4,"0000"))</f>
        <v>0</v>
      </c>
      <c r="E91" s="15">
        <f>IF(D91="","",IFERROR(INDEX(Clients!$B$5:$B$504,MATCH(D91,Clients!$A$5:$A$504,0)),"Walk-in"))</f>
        <v>0</v>
      </c>
      <c r="G91" s="15">
        <f>IF(F91="","",IFERROR(INDEX(Staff!$B$5:$B$44,MATCH(F91,Staff!$A$5:$A$44,0)),"House"))</f>
        <v>0</v>
      </c>
      <c r="R91" s="15">
        <f>IF(B91="","",TEXT(B91,"yyyy-mm"))</f>
        <v>0</v>
      </c>
      <c r="S91" s="25">
        <f>IF(B91="","",WEEKNUM(B91,2))</f>
        <v>0</v>
      </c>
      <c r="T91" s="37">
        <f>IF(B91="","",IF(K91="",1,K91))</f>
        <v>0</v>
      </c>
      <c r="U91" s="15">
        <f>IF(B91="","",IF(J91&lt;&gt;"",J91,IF(H91="Retail",IFERROR(INDEX(Inventory!$B$5:$B$304,MATCH(I91,Inventory!$A$5:$A$304,0))&amp;"","Not in Inventory"),IFERROR(INDEX(Services!$B$5:$B$204,MATCH(I91,Services!$A$5:$A$204,0))&amp;"","Not in Services"))))</f>
        <v>0</v>
      </c>
      <c r="V91" s="26">
        <f>IF(B91="","",IF(L91&lt;&gt;"",L91,IF(H91="Retail",IFERROR(INDEX(Inventory!$I$5:$I$304,MATCH(I91,Inventory!$A$5:$A$304,0))*1,0),IFERROR(INDEX(Services!$G$5:$G$204,MATCH(I91,Services!$A$5:$A$204,0))*1,0))))</f>
        <v>0</v>
      </c>
      <c r="W91" s="26">
        <f>IF(B91="","",ROUND(T91*V91,2))</f>
        <v>0</v>
      </c>
      <c r="X91" s="26">
        <f>IF(B91="","",ROUND(IF(M91="",0,W91*M91)+IF(N91="",0,N91),2))</f>
        <v>0</v>
      </c>
      <c r="Y91" s="26">
        <f>IF(B91="","",ROUND(W91-X91-IF(P91="",0,P91),2))</f>
        <v>0</v>
      </c>
      <c r="Z91" s="26">
        <f>IF(B91="","",IF(H91="Retail",IF(TaxOnRetail="Yes",ROUND(Y91*TaxRate,2),0),IF(H91="Service",IF(TaxOnServices="Yes",ROUND(Y91*TaxRate,2),0),0)))</f>
        <v>0</v>
      </c>
      <c r="AA91" s="26">
        <f>IF(B91="","",ROUND(Y91+Z91,2))</f>
        <v>0</v>
      </c>
      <c r="AB91" s="26">
        <f>IF(B91="","",ROUND(T91*IF(H91="Retail",IFERROR(INDEX(Inventory!$H$5:$H$304,MATCH(I91,Inventory!$A$5:$A$304,0))*1,0),IFERROR(INDEX(Services!$Q$5:$Q$204,MATCH(I91,Services!$A$5:$A$204,0))*1,0)),2))</f>
        <v>0</v>
      </c>
      <c r="AC91" s="26">
        <f>IF(B91="","",ROUND(Y91-AB91,2))</f>
        <v>0</v>
      </c>
      <c r="AD91" s="38">
        <f>IF(B91="","",IF(C91="","No",IF(COUNTIFS($C$5:C91,C91)=1,"Yes","No")))</f>
        <v>0</v>
      </c>
      <c r="AE91" s="26">
        <f>IF(B91="","",ROUND(SUMIFS(Payments!$G$5:$G$1204,Payments!$H$5:$H$1204,A91,Payments!$Q$5:$Q$1204,"Yes"),2))</f>
        <v>0</v>
      </c>
      <c r="AF91" s="26">
        <f>IF(B91="","",IF(AD91="No",0,ROUND(SUMIFS(Payments!$G$5:$G$1204,Payments!$I$5:$I$1204,C91,Payments!$H$5:$H$1204,"",Payments!$Q$5:$Q$1204,"Yes"),2)))</f>
        <v>0</v>
      </c>
      <c r="AG91" s="26">
        <f>IF(B91="","",ROUND(AE91+AF91,2))</f>
        <v>0</v>
      </c>
      <c r="AH91" s="26">
        <f>IF(B91="","",ROUND(AA91-AG91,2))</f>
        <v>0</v>
      </c>
      <c r="AI91" s="39">
        <f>IF(B91="","",IF(AA91&lt;=0,"No charge",IF(AH91&lt;=0.004,"Paid",IF(AG91&lt;=0.004,"Unpaid","Part paid"))))</f>
        <v>0</v>
      </c>
      <c r="AJ91" s="38">
        <f>IF(B91="","",IF(H91&lt;&gt;"Service","",IF(D91="","No",IF(COUNTIFS($D$5:$D$1204,D91,$B$5:$B$1204,B91,$H$5:$H$1204,"Retail")&gt;0,"Yes","No"))))</f>
        <v>0</v>
      </c>
      <c r="AK91" s="25">
        <f>IF(B91="","",COUNTIFS($Y$5:$Y$1204,"&gt;"&amp;Y91)+COUNTIFS($Y$5:Y91,Y91))</f>
        <v>0</v>
      </c>
      <c r="AL91" s="39">
        <f>IF(B91="","",IF(H91="","Add - what kind of sale is this?",IF(IF(V91&lt;=0,P91="",FALSE),"Check - no price found for this item",IF(F91="","Assign - nobody credited",IF(AH91&gt;0.004,"Unpaid - balance outstanding",IF(AC91&lt;0,"Loss - sold below cost",IF(X91&gt;W91*0.5,"Check - more than half off","OK")))))))</f>
        <v>0</v>
      </c>
    </row>
    <row r="92" spans="1:38">
      <c r="A92" s="28">
        <f>IF(B92="","",SalePrefix&amp;TEXT(ROW()-4,"0000"))</f>
        <v>0</v>
      </c>
      <c r="E92" s="15">
        <f>IF(D92="","",IFERROR(INDEX(Clients!$B$5:$B$504,MATCH(D92,Clients!$A$5:$A$504,0)),"Walk-in"))</f>
        <v>0</v>
      </c>
      <c r="G92" s="15">
        <f>IF(F92="","",IFERROR(INDEX(Staff!$B$5:$B$44,MATCH(F92,Staff!$A$5:$A$44,0)),"House"))</f>
        <v>0</v>
      </c>
      <c r="R92" s="15">
        <f>IF(B92="","",TEXT(B92,"yyyy-mm"))</f>
        <v>0</v>
      </c>
      <c r="S92" s="25">
        <f>IF(B92="","",WEEKNUM(B92,2))</f>
        <v>0</v>
      </c>
      <c r="T92" s="37">
        <f>IF(B92="","",IF(K92="",1,K92))</f>
        <v>0</v>
      </c>
      <c r="U92" s="15">
        <f>IF(B92="","",IF(J92&lt;&gt;"",J92,IF(H92="Retail",IFERROR(INDEX(Inventory!$B$5:$B$304,MATCH(I92,Inventory!$A$5:$A$304,0))&amp;"","Not in Inventory"),IFERROR(INDEX(Services!$B$5:$B$204,MATCH(I92,Services!$A$5:$A$204,0))&amp;"","Not in Services"))))</f>
        <v>0</v>
      </c>
      <c r="V92" s="26">
        <f>IF(B92="","",IF(L92&lt;&gt;"",L92,IF(H92="Retail",IFERROR(INDEX(Inventory!$I$5:$I$304,MATCH(I92,Inventory!$A$5:$A$304,0))*1,0),IFERROR(INDEX(Services!$G$5:$G$204,MATCH(I92,Services!$A$5:$A$204,0))*1,0))))</f>
        <v>0</v>
      </c>
      <c r="W92" s="26">
        <f>IF(B92="","",ROUND(T92*V92,2))</f>
        <v>0</v>
      </c>
      <c r="X92" s="26">
        <f>IF(B92="","",ROUND(IF(M92="",0,W92*M92)+IF(N92="",0,N92),2))</f>
        <v>0</v>
      </c>
      <c r="Y92" s="26">
        <f>IF(B92="","",ROUND(W92-X92-IF(P92="",0,P92),2))</f>
        <v>0</v>
      </c>
      <c r="Z92" s="26">
        <f>IF(B92="","",IF(H92="Retail",IF(TaxOnRetail="Yes",ROUND(Y92*TaxRate,2),0),IF(H92="Service",IF(TaxOnServices="Yes",ROUND(Y92*TaxRate,2),0),0)))</f>
        <v>0</v>
      </c>
      <c r="AA92" s="26">
        <f>IF(B92="","",ROUND(Y92+Z92,2))</f>
        <v>0</v>
      </c>
      <c r="AB92" s="26">
        <f>IF(B92="","",ROUND(T92*IF(H92="Retail",IFERROR(INDEX(Inventory!$H$5:$H$304,MATCH(I92,Inventory!$A$5:$A$304,0))*1,0),IFERROR(INDEX(Services!$Q$5:$Q$204,MATCH(I92,Services!$A$5:$A$204,0))*1,0)),2))</f>
        <v>0</v>
      </c>
      <c r="AC92" s="26">
        <f>IF(B92="","",ROUND(Y92-AB92,2))</f>
        <v>0</v>
      </c>
      <c r="AD92" s="38">
        <f>IF(B92="","",IF(C92="","No",IF(COUNTIFS($C$5:C92,C92)=1,"Yes","No")))</f>
        <v>0</v>
      </c>
      <c r="AE92" s="26">
        <f>IF(B92="","",ROUND(SUMIFS(Payments!$G$5:$G$1204,Payments!$H$5:$H$1204,A92,Payments!$Q$5:$Q$1204,"Yes"),2))</f>
        <v>0</v>
      </c>
      <c r="AF92" s="26">
        <f>IF(B92="","",IF(AD92="No",0,ROUND(SUMIFS(Payments!$G$5:$G$1204,Payments!$I$5:$I$1204,C92,Payments!$H$5:$H$1204,"",Payments!$Q$5:$Q$1204,"Yes"),2)))</f>
        <v>0</v>
      </c>
      <c r="AG92" s="26">
        <f>IF(B92="","",ROUND(AE92+AF92,2))</f>
        <v>0</v>
      </c>
      <c r="AH92" s="26">
        <f>IF(B92="","",ROUND(AA92-AG92,2))</f>
        <v>0</v>
      </c>
      <c r="AI92" s="39">
        <f>IF(B92="","",IF(AA92&lt;=0,"No charge",IF(AH92&lt;=0.004,"Paid",IF(AG92&lt;=0.004,"Unpaid","Part paid"))))</f>
        <v>0</v>
      </c>
      <c r="AJ92" s="38">
        <f>IF(B92="","",IF(H92&lt;&gt;"Service","",IF(D92="","No",IF(COUNTIFS($D$5:$D$1204,D92,$B$5:$B$1204,B92,$H$5:$H$1204,"Retail")&gt;0,"Yes","No"))))</f>
        <v>0</v>
      </c>
      <c r="AK92" s="25">
        <f>IF(B92="","",COUNTIFS($Y$5:$Y$1204,"&gt;"&amp;Y92)+COUNTIFS($Y$5:Y92,Y92))</f>
        <v>0</v>
      </c>
      <c r="AL92" s="39">
        <f>IF(B92="","",IF(H92="","Add - what kind of sale is this?",IF(IF(V92&lt;=0,P92="",FALSE),"Check - no price found for this item",IF(F92="","Assign - nobody credited",IF(AH92&gt;0.004,"Unpaid - balance outstanding",IF(AC92&lt;0,"Loss - sold below cost",IF(X92&gt;W92*0.5,"Check - more than half off","OK")))))))</f>
        <v>0</v>
      </c>
    </row>
    <row r="93" spans="1:38">
      <c r="A93" s="28">
        <f>IF(B93="","",SalePrefix&amp;TEXT(ROW()-4,"0000"))</f>
        <v>0</v>
      </c>
      <c r="E93" s="15">
        <f>IF(D93="","",IFERROR(INDEX(Clients!$B$5:$B$504,MATCH(D93,Clients!$A$5:$A$504,0)),"Walk-in"))</f>
        <v>0</v>
      </c>
      <c r="G93" s="15">
        <f>IF(F93="","",IFERROR(INDEX(Staff!$B$5:$B$44,MATCH(F93,Staff!$A$5:$A$44,0)),"House"))</f>
        <v>0</v>
      </c>
      <c r="R93" s="15">
        <f>IF(B93="","",TEXT(B93,"yyyy-mm"))</f>
        <v>0</v>
      </c>
      <c r="S93" s="25">
        <f>IF(B93="","",WEEKNUM(B93,2))</f>
        <v>0</v>
      </c>
      <c r="T93" s="37">
        <f>IF(B93="","",IF(K93="",1,K93))</f>
        <v>0</v>
      </c>
      <c r="U93" s="15">
        <f>IF(B93="","",IF(J93&lt;&gt;"",J93,IF(H93="Retail",IFERROR(INDEX(Inventory!$B$5:$B$304,MATCH(I93,Inventory!$A$5:$A$304,0))&amp;"","Not in Inventory"),IFERROR(INDEX(Services!$B$5:$B$204,MATCH(I93,Services!$A$5:$A$204,0))&amp;"","Not in Services"))))</f>
        <v>0</v>
      </c>
      <c r="V93" s="26">
        <f>IF(B93="","",IF(L93&lt;&gt;"",L93,IF(H93="Retail",IFERROR(INDEX(Inventory!$I$5:$I$304,MATCH(I93,Inventory!$A$5:$A$304,0))*1,0),IFERROR(INDEX(Services!$G$5:$G$204,MATCH(I93,Services!$A$5:$A$204,0))*1,0))))</f>
        <v>0</v>
      </c>
      <c r="W93" s="26">
        <f>IF(B93="","",ROUND(T93*V93,2))</f>
        <v>0</v>
      </c>
      <c r="X93" s="26">
        <f>IF(B93="","",ROUND(IF(M93="",0,W93*M93)+IF(N93="",0,N93),2))</f>
        <v>0</v>
      </c>
      <c r="Y93" s="26">
        <f>IF(B93="","",ROUND(W93-X93-IF(P93="",0,P93),2))</f>
        <v>0</v>
      </c>
      <c r="Z93" s="26">
        <f>IF(B93="","",IF(H93="Retail",IF(TaxOnRetail="Yes",ROUND(Y93*TaxRate,2),0),IF(H93="Service",IF(TaxOnServices="Yes",ROUND(Y93*TaxRate,2),0),0)))</f>
        <v>0</v>
      </c>
      <c r="AA93" s="26">
        <f>IF(B93="","",ROUND(Y93+Z93,2))</f>
        <v>0</v>
      </c>
      <c r="AB93" s="26">
        <f>IF(B93="","",ROUND(T93*IF(H93="Retail",IFERROR(INDEX(Inventory!$H$5:$H$304,MATCH(I93,Inventory!$A$5:$A$304,0))*1,0),IFERROR(INDEX(Services!$Q$5:$Q$204,MATCH(I93,Services!$A$5:$A$204,0))*1,0)),2))</f>
        <v>0</v>
      </c>
      <c r="AC93" s="26">
        <f>IF(B93="","",ROUND(Y93-AB93,2))</f>
        <v>0</v>
      </c>
      <c r="AD93" s="38">
        <f>IF(B93="","",IF(C93="","No",IF(COUNTIFS($C$5:C93,C93)=1,"Yes","No")))</f>
        <v>0</v>
      </c>
      <c r="AE93" s="26">
        <f>IF(B93="","",ROUND(SUMIFS(Payments!$G$5:$G$1204,Payments!$H$5:$H$1204,A93,Payments!$Q$5:$Q$1204,"Yes"),2))</f>
        <v>0</v>
      </c>
      <c r="AF93" s="26">
        <f>IF(B93="","",IF(AD93="No",0,ROUND(SUMIFS(Payments!$G$5:$G$1204,Payments!$I$5:$I$1204,C93,Payments!$H$5:$H$1204,"",Payments!$Q$5:$Q$1204,"Yes"),2)))</f>
        <v>0</v>
      </c>
      <c r="AG93" s="26">
        <f>IF(B93="","",ROUND(AE93+AF93,2))</f>
        <v>0</v>
      </c>
      <c r="AH93" s="26">
        <f>IF(B93="","",ROUND(AA93-AG93,2))</f>
        <v>0</v>
      </c>
      <c r="AI93" s="39">
        <f>IF(B93="","",IF(AA93&lt;=0,"No charge",IF(AH93&lt;=0.004,"Paid",IF(AG93&lt;=0.004,"Unpaid","Part paid"))))</f>
        <v>0</v>
      </c>
      <c r="AJ93" s="38">
        <f>IF(B93="","",IF(H93&lt;&gt;"Service","",IF(D93="","No",IF(COUNTIFS($D$5:$D$1204,D93,$B$5:$B$1204,B93,$H$5:$H$1204,"Retail")&gt;0,"Yes","No"))))</f>
        <v>0</v>
      </c>
      <c r="AK93" s="25">
        <f>IF(B93="","",COUNTIFS($Y$5:$Y$1204,"&gt;"&amp;Y93)+COUNTIFS($Y$5:Y93,Y93))</f>
        <v>0</v>
      </c>
      <c r="AL93" s="39">
        <f>IF(B93="","",IF(H93="","Add - what kind of sale is this?",IF(IF(V93&lt;=0,P93="",FALSE),"Check - no price found for this item",IF(F93="","Assign - nobody credited",IF(AH93&gt;0.004,"Unpaid - balance outstanding",IF(AC93&lt;0,"Loss - sold below cost",IF(X93&gt;W93*0.5,"Check - more than half off","OK")))))))</f>
        <v>0</v>
      </c>
    </row>
    <row r="94" spans="1:38">
      <c r="A94" s="28">
        <f>IF(B94="","",SalePrefix&amp;TEXT(ROW()-4,"0000"))</f>
        <v>0</v>
      </c>
      <c r="E94" s="15">
        <f>IF(D94="","",IFERROR(INDEX(Clients!$B$5:$B$504,MATCH(D94,Clients!$A$5:$A$504,0)),"Walk-in"))</f>
        <v>0</v>
      </c>
      <c r="G94" s="15">
        <f>IF(F94="","",IFERROR(INDEX(Staff!$B$5:$B$44,MATCH(F94,Staff!$A$5:$A$44,0)),"House"))</f>
        <v>0</v>
      </c>
      <c r="R94" s="15">
        <f>IF(B94="","",TEXT(B94,"yyyy-mm"))</f>
        <v>0</v>
      </c>
      <c r="S94" s="25">
        <f>IF(B94="","",WEEKNUM(B94,2))</f>
        <v>0</v>
      </c>
      <c r="T94" s="37">
        <f>IF(B94="","",IF(K94="",1,K94))</f>
        <v>0</v>
      </c>
      <c r="U94" s="15">
        <f>IF(B94="","",IF(J94&lt;&gt;"",J94,IF(H94="Retail",IFERROR(INDEX(Inventory!$B$5:$B$304,MATCH(I94,Inventory!$A$5:$A$304,0))&amp;"","Not in Inventory"),IFERROR(INDEX(Services!$B$5:$B$204,MATCH(I94,Services!$A$5:$A$204,0))&amp;"","Not in Services"))))</f>
        <v>0</v>
      </c>
      <c r="V94" s="26">
        <f>IF(B94="","",IF(L94&lt;&gt;"",L94,IF(H94="Retail",IFERROR(INDEX(Inventory!$I$5:$I$304,MATCH(I94,Inventory!$A$5:$A$304,0))*1,0),IFERROR(INDEX(Services!$G$5:$G$204,MATCH(I94,Services!$A$5:$A$204,0))*1,0))))</f>
        <v>0</v>
      </c>
      <c r="W94" s="26">
        <f>IF(B94="","",ROUND(T94*V94,2))</f>
        <v>0</v>
      </c>
      <c r="X94" s="26">
        <f>IF(B94="","",ROUND(IF(M94="",0,W94*M94)+IF(N94="",0,N94),2))</f>
        <v>0</v>
      </c>
      <c r="Y94" s="26">
        <f>IF(B94="","",ROUND(W94-X94-IF(P94="",0,P94),2))</f>
        <v>0</v>
      </c>
      <c r="Z94" s="26">
        <f>IF(B94="","",IF(H94="Retail",IF(TaxOnRetail="Yes",ROUND(Y94*TaxRate,2),0),IF(H94="Service",IF(TaxOnServices="Yes",ROUND(Y94*TaxRate,2),0),0)))</f>
        <v>0</v>
      </c>
      <c r="AA94" s="26">
        <f>IF(B94="","",ROUND(Y94+Z94,2))</f>
        <v>0</v>
      </c>
      <c r="AB94" s="26">
        <f>IF(B94="","",ROUND(T94*IF(H94="Retail",IFERROR(INDEX(Inventory!$H$5:$H$304,MATCH(I94,Inventory!$A$5:$A$304,0))*1,0),IFERROR(INDEX(Services!$Q$5:$Q$204,MATCH(I94,Services!$A$5:$A$204,0))*1,0)),2))</f>
        <v>0</v>
      </c>
      <c r="AC94" s="26">
        <f>IF(B94="","",ROUND(Y94-AB94,2))</f>
        <v>0</v>
      </c>
      <c r="AD94" s="38">
        <f>IF(B94="","",IF(C94="","No",IF(COUNTIFS($C$5:C94,C94)=1,"Yes","No")))</f>
        <v>0</v>
      </c>
      <c r="AE94" s="26">
        <f>IF(B94="","",ROUND(SUMIFS(Payments!$G$5:$G$1204,Payments!$H$5:$H$1204,A94,Payments!$Q$5:$Q$1204,"Yes"),2))</f>
        <v>0</v>
      </c>
      <c r="AF94" s="26">
        <f>IF(B94="","",IF(AD94="No",0,ROUND(SUMIFS(Payments!$G$5:$G$1204,Payments!$I$5:$I$1204,C94,Payments!$H$5:$H$1204,"",Payments!$Q$5:$Q$1204,"Yes"),2)))</f>
        <v>0</v>
      </c>
      <c r="AG94" s="26">
        <f>IF(B94="","",ROUND(AE94+AF94,2))</f>
        <v>0</v>
      </c>
      <c r="AH94" s="26">
        <f>IF(B94="","",ROUND(AA94-AG94,2))</f>
        <v>0</v>
      </c>
      <c r="AI94" s="39">
        <f>IF(B94="","",IF(AA94&lt;=0,"No charge",IF(AH94&lt;=0.004,"Paid",IF(AG94&lt;=0.004,"Unpaid","Part paid"))))</f>
        <v>0</v>
      </c>
      <c r="AJ94" s="38">
        <f>IF(B94="","",IF(H94&lt;&gt;"Service","",IF(D94="","No",IF(COUNTIFS($D$5:$D$1204,D94,$B$5:$B$1204,B94,$H$5:$H$1204,"Retail")&gt;0,"Yes","No"))))</f>
        <v>0</v>
      </c>
      <c r="AK94" s="25">
        <f>IF(B94="","",COUNTIFS($Y$5:$Y$1204,"&gt;"&amp;Y94)+COUNTIFS($Y$5:Y94,Y94))</f>
        <v>0</v>
      </c>
      <c r="AL94" s="39">
        <f>IF(B94="","",IF(H94="","Add - what kind of sale is this?",IF(IF(V94&lt;=0,P94="",FALSE),"Check - no price found for this item",IF(F94="","Assign - nobody credited",IF(AH94&gt;0.004,"Unpaid - balance outstanding",IF(AC94&lt;0,"Loss - sold below cost",IF(X94&gt;W94*0.5,"Check - more than half off","OK")))))))</f>
        <v>0</v>
      </c>
    </row>
    <row r="95" spans="1:38">
      <c r="A95" s="28">
        <f>IF(B95="","",SalePrefix&amp;TEXT(ROW()-4,"0000"))</f>
        <v>0</v>
      </c>
      <c r="E95" s="15">
        <f>IF(D95="","",IFERROR(INDEX(Clients!$B$5:$B$504,MATCH(D95,Clients!$A$5:$A$504,0)),"Walk-in"))</f>
        <v>0</v>
      </c>
      <c r="G95" s="15">
        <f>IF(F95="","",IFERROR(INDEX(Staff!$B$5:$B$44,MATCH(F95,Staff!$A$5:$A$44,0)),"House"))</f>
        <v>0</v>
      </c>
      <c r="R95" s="15">
        <f>IF(B95="","",TEXT(B95,"yyyy-mm"))</f>
        <v>0</v>
      </c>
      <c r="S95" s="25">
        <f>IF(B95="","",WEEKNUM(B95,2))</f>
        <v>0</v>
      </c>
      <c r="T95" s="37">
        <f>IF(B95="","",IF(K95="",1,K95))</f>
        <v>0</v>
      </c>
      <c r="U95" s="15">
        <f>IF(B95="","",IF(J95&lt;&gt;"",J95,IF(H95="Retail",IFERROR(INDEX(Inventory!$B$5:$B$304,MATCH(I95,Inventory!$A$5:$A$304,0))&amp;"","Not in Inventory"),IFERROR(INDEX(Services!$B$5:$B$204,MATCH(I95,Services!$A$5:$A$204,0))&amp;"","Not in Services"))))</f>
        <v>0</v>
      </c>
      <c r="V95" s="26">
        <f>IF(B95="","",IF(L95&lt;&gt;"",L95,IF(H95="Retail",IFERROR(INDEX(Inventory!$I$5:$I$304,MATCH(I95,Inventory!$A$5:$A$304,0))*1,0),IFERROR(INDEX(Services!$G$5:$G$204,MATCH(I95,Services!$A$5:$A$204,0))*1,0))))</f>
        <v>0</v>
      </c>
      <c r="W95" s="26">
        <f>IF(B95="","",ROUND(T95*V95,2))</f>
        <v>0</v>
      </c>
      <c r="X95" s="26">
        <f>IF(B95="","",ROUND(IF(M95="",0,W95*M95)+IF(N95="",0,N95),2))</f>
        <v>0</v>
      </c>
      <c r="Y95" s="26">
        <f>IF(B95="","",ROUND(W95-X95-IF(P95="",0,P95),2))</f>
        <v>0</v>
      </c>
      <c r="Z95" s="26">
        <f>IF(B95="","",IF(H95="Retail",IF(TaxOnRetail="Yes",ROUND(Y95*TaxRate,2),0),IF(H95="Service",IF(TaxOnServices="Yes",ROUND(Y95*TaxRate,2),0),0)))</f>
        <v>0</v>
      </c>
      <c r="AA95" s="26">
        <f>IF(B95="","",ROUND(Y95+Z95,2))</f>
        <v>0</v>
      </c>
      <c r="AB95" s="26">
        <f>IF(B95="","",ROUND(T95*IF(H95="Retail",IFERROR(INDEX(Inventory!$H$5:$H$304,MATCH(I95,Inventory!$A$5:$A$304,0))*1,0),IFERROR(INDEX(Services!$Q$5:$Q$204,MATCH(I95,Services!$A$5:$A$204,0))*1,0)),2))</f>
        <v>0</v>
      </c>
      <c r="AC95" s="26">
        <f>IF(B95="","",ROUND(Y95-AB95,2))</f>
        <v>0</v>
      </c>
      <c r="AD95" s="38">
        <f>IF(B95="","",IF(C95="","No",IF(COUNTIFS($C$5:C95,C95)=1,"Yes","No")))</f>
        <v>0</v>
      </c>
      <c r="AE95" s="26">
        <f>IF(B95="","",ROUND(SUMIFS(Payments!$G$5:$G$1204,Payments!$H$5:$H$1204,A95,Payments!$Q$5:$Q$1204,"Yes"),2))</f>
        <v>0</v>
      </c>
      <c r="AF95" s="26">
        <f>IF(B95="","",IF(AD95="No",0,ROUND(SUMIFS(Payments!$G$5:$G$1204,Payments!$I$5:$I$1204,C95,Payments!$H$5:$H$1204,"",Payments!$Q$5:$Q$1204,"Yes"),2)))</f>
        <v>0</v>
      </c>
      <c r="AG95" s="26">
        <f>IF(B95="","",ROUND(AE95+AF95,2))</f>
        <v>0</v>
      </c>
      <c r="AH95" s="26">
        <f>IF(B95="","",ROUND(AA95-AG95,2))</f>
        <v>0</v>
      </c>
      <c r="AI95" s="39">
        <f>IF(B95="","",IF(AA95&lt;=0,"No charge",IF(AH95&lt;=0.004,"Paid",IF(AG95&lt;=0.004,"Unpaid","Part paid"))))</f>
        <v>0</v>
      </c>
      <c r="AJ95" s="38">
        <f>IF(B95="","",IF(H95&lt;&gt;"Service","",IF(D95="","No",IF(COUNTIFS($D$5:$D$1204,D95,$B$5:$B$1204,B95,$H$5:$H$1204,"Retail")&gt;0,"Yes","No"))))</f>
        <v>0</v>
      </c>
      <c r="AK95" s="25">
        <f>IF(B95="","",COUNTIFS($Y$5:$Y$1204,"&gt;"&amp;Y95)+COUNTIFS($Y$5:Y95,Y95))</f>
        <v>0</v>
      </c>
      <c r="AL95" s="39">
        <f>IF(B95="","",IF(H95="","Add - what kind of sale is this?",IF(IF(V95&lt;=0,P95="",FALSE),"Check - no price found for this item",IF(F95="","Assign - nobody credited",IF(AH95&gt;0.004,"Unpaid - balance outstanding",IF(AC95&lt;0,"Loss - sold below cost",IF(X95&gt;W95*0.5,"Check - more than half off","OK")))))))</f>
        <v>0</v>
      </c>
    </row>
    <row r="96" spans="1:38">
      <c r="A96" s="28">
        <f>IF(B96="","",SalePrefix&amp;TEXT(ROW()-4,"0000"))</f>
        <v>0</v>
      </c>
      <c r="E96" s="15">
        <f>IF(D96="","",IFERROR(INDEX(Clients!$B$5:$B$504,MATCH(D96,Clients!$A$5:$A$504,0)),"Walk-in"))</f>
        <v>0</v>
      </c>
      <c r="G96" s="15">
        <f>IF(F96="","",IFERROR(INDEX(Staff!$B$5:$B$44,MATCH(F96,Staff!$A$5:$A$44,0)),"House"))</f>
        <v>0</v>
      </c>
      <c r="R96" s="15">
        <f>IF(B96="","",TEXT(B96,"yyyy-mm"))</f>
        <v>0</v>
      </c>
      <c r="S96" s="25">
        <f>IF(B96="","",WEEKNUM(B96,2))</f>
        <v>0</v>
      </c>
      <c r="T96" s="37">
        <f>IF(B96="","",IF(K96="",1,K96))</f>
        <v>0</v>
      </c>
      <c r="U96" s="15">
        <f>IF(B96="","",IF(J96&lt;&gt;"",J96,IF(H96="Retail",IFERROR(INDEX(Inventory!$B$5:$B$304,MATCH(I96,Inventory!$A$5:$A$304,0))&amp;"","Not in Inventory"),IFERROR(INDEX(Services!$B$5:$B$204,MATCH(I96,Services!$A$5:$A$204,0))&amp;"","Not in Services"))))</f>
        <v>0</v>
      </c>
      <c r="V96" s="26">
        <f>IF(B96="","",IF(L96&lt;&gt;"",L96,IF(H96="Retail",IFERROR(INDEX(Inventory!$I$5:$I$304,MATCH(I96,Inventory!$A$5:$A$304,0))*1,0),IFERROR(INDEX(Services!$G$5:$G$204,MATCH(I96,Services!$A$5:$A$204,0))*1,0))))</f>
        <v>0</v>
      </c>
      <c r="W96" s="26">
        <f>IF(B96="","",ROUND(T96*V96,2))</f>
        <v>0</v>
      </c>
      <c r="X96" s="26">
        <f>IF(B96="","",ROUND(IF(M96="",0,W96*M96)+IF(N96="",0,N96),2))</f>
        <v>0</v>
      </c>
      <c r="Y96" s="26">
        <f>IF(B96="","",ROUND(W96-X96-IF(P96="",0,P96),2))</f>
        <v>0</v>
      </c>
      <c r="Z96" s="26">
        <f>IF(B96="","",IF(H96="Retail",IF(TaxOnRetail="Yes",ROUND(Y96*TaxRate,2),0),IF(H96="Service",IF(TaxOnServices="Yes",ROUND(Y96*TaxRate,2),0),0)))</f>
        <v>0</v>
      </c>
      <c r="AA96" s="26">
        <f>IF(B96="","",ROUND(Y96+Z96,2))</f>
        <v>0</v>
      </c>
      <c r="AB96" s="26">
        <f>IF(B96="","",ROUND(T96*IF(H96="Retail",IFERROR(INDEX(Inventory!$H$5:$H$304,MATCH(I96,Inventory!$A$5:$A$304,0))*1,0),IFERROR(INDEX(Services!$Q$5:$Q$204,MATCH(I96,Services!$A$5:$A$204,0))*1,0)),2))</f>
        <v>0</v>
      </c>
      <c r="AC96" s="26">
        <f>IF(B96="","",ROUND(Y96-AB96,2))</f>
        <v>0</v>
      </c>
      <c r="AD96" s="38">
        <f>IF(B96="","",IF(C96="","No",IF(COUNTIFS($C$5:C96,C96)=1,"Yes","No")))</f>
        <v>0</v>
      </c>
      <c r="AE96" s="26">
        <f>IF(B96="","",ROUND(SUMIFS(Payments!$G$5:$G$1204,Payments!$H$5:$H$1204,A96,Payments!$Q$5:$Q$1204,"Yes"),2))</f>
        <v>0</v>
      </c>
      <c r="AF96" s="26">
        <f>IF(B96="","",IF(AD96="No",0,ROUND(SUMIFS(Payments!$G$5:$G$1204,Payments!$I$5:$I$1204,C96,Payments!$H$5:$H$1204,"",Payments!$Q$5:$Q$1204,"Yes"),2)))</f>
        <v>0</v>
      </c>
      <c r="AG96" s="26">
        <f>IF(B96="","",ROUND(AE96+AF96,2))</f>
        <v>0</v>
      </c>
      <c r="AH96" s="26">
        <f>IF(B96="","",ROUND(AA96-AG96,2))</f>
        <v>0</v>
      </c>
      <c r="AI96" s="39">
        <f>IF(B96="","",IF(AA96&lt;=0,"No charge",IF(AH96&lt;=0.004,"Paid",IF(AG96&lt;=0.004,"Unpaid","Part paid"))))</f>
        <v>0</v>
      </c>
      <c r="AJ96" s="38">
        <f>IF(B96="","",IF(H96&lt;&gt;"Service","",IF(D96="","No",IF(COUNTIFS($D$5:$D$1204,D96,$B$5:$B$1204,B96,$H$5:$H$1204,"Retail")&gt;0,"Yes","No"))))</f>
        <v>0</v>
      </c>
      <c r="AK96" s="25">
        <f>IF(B96="","",COUNTIFS($Y$5:$Y$1204,"&gt;"&amp;Y96)+COUNTIFS($Y$5:Y96,Y96))</f>
        <v>0</v>
      </c>
      <c r="AL96" s="39">
        <f>IF(B96="","",IF(H96="","Add - what kind of sale is this?",IF(IF(V96&lt;=0,P96="",FALSE),"Check - no price found for this item",IF(F96="","Assign - nobody credited",IF(AH96&gt;0.004,"Unpaid - balance outstanding",IF(AC96&lt;0,"Loss - sold below cost",IF(X96&gt;W96*0.5,"Check - more than half off","OK")))))))</f>
        <v>0</v>
      </c>
    </row>
    <row r="97" spans="1:38">
      <c r="A97" s="28">
        <f>IF(B97="","",SalePrefix&amp;TEXT(ROW()-4,"0000"))</f>
        <v>0</v>
      </c>
      <c r="E97" s="15">
        <f>IF(D97="","",IFERROR(INDEX(Clients!$B$5:$B$504,MATCH(D97,Clients!$A$5:$A$504,0)),"Walk-in"))</f>
        <v>0</v>
      </c>
      <c r="G97" s="15">
        <f>IF(F97="","",IFERROR(INDEX(Staff!$B$5:$B$44,MATCH(F97,Staff!$A$5:$A$44,0)),"House"))</f>
        <v>0</v>
      </c>
      <c r="R97" s="15">
        <f>IF(B97="","",TEXT(B97,"yyyy-mm"))</f>
        <v>0</v>
      </c>
      <c r="S97" s="25">
        <f>IF(B97="","",WEEKNUM(B97,2))</f>
        <v>0</v>
      </c>
      <c r="T97" s="37">
        <f>IF(B97="","",IF(K97="",1,K97))</f>
        <v>0</v>
      </c>
      <c r="U97" s="15">
        <f>IF(B97="","",IF(J97&lt;&gt;"",J97,IF(H97="Retail",IFERROR(INDEX(Inventory!$B$5:$B$304,MATCH(I97,Inventory!$A$5:$A$304,0))&amp;"","Not in Inventory"),IFERROR(INDEX(Services!$B$5:$B$204,MATCH(I97,Services!$A$5:$A$204,0))&amp;"","Not in Services"))))</f>
        <v>0</v>
      </c>
      <c r="V97" s="26">
        <f>IF(B97="","",IF(L97&lt;&gt;"",L97,IF(H97="Retail",IFERROR(INDEX(Inventory!$I$5:$I$304,MATCH(I97,Inventory!$A$5:$A$304,0))*1,0),IFERROR(INDEX(Services!$G$5:$G$204,MATCH(I97,Services!$A$5:$A$204,0))*1,0))))</f>
        <v>0</v>
      </c>
      <c r="W97" s="26">
        <f>IF(B97="","",ROUND(T97*V97,2))</f>
        <v>0</v>
      </c>
      <c r="X97" s="26">
        <f>IF(B97="","",ROUND(IF(M97="",0,W97*M97)+IF(N97="",0,N97),2))</f>
        <v>0</v>
      </c>
      <c r="Y97" s="26">
        <f>IF(B97="","",ROUND(W97-X97-IF(P97="",0,P97),2))</f>
        <v>0</v>
      </c>
      <c r="Z97" s="26">
        <f>IF(B97="","",IF(H97="Retail",IF(TaxOnRetail="Yes",ROUND(Y97*TaxRate,2),0),IF(H97="Service",IF(TaxOnServices="Yes",ROUND(Y97*TaxRate,2),0),0)))</f>
        <v>0</v>
      </c>
      <c r="AA97" s="26">
        <f>IF(B97="","",ROUND(Y97+Z97,2))</f>
        <v>0</v>
      </c>
      <c r="AB97" s="26">
        <f>IF(B97="","",ROUND(T97*IF(H97="Retail",IFERROR(INDEX(Inventory!$H$5:$H$304,MATCH(I97,Inventory!$A$5:$A$304,0))*1,0),IFERROR(INDEX(Services!$Q$5:$Q$204,MATCH(I97,Services!$A$5:$A$204,0))*1,0)),2))</f>
        <v>0</v>
      </c>
      <c r="AC97" s="26">
        <f>IF(B97="","",ROUND(Y97-AB97,2))</f>
        <v>0</v>
      </c>
      <c r="AD97" s="38">
        <f>IF(B97="","",IF(C97="","No",IF(COUNTIFS($C$5:C97,C97)=1,"Yes","No")))</f>
        <v>0</v>
      </c>
      <c r="AE97" s="26">
        <f>IF(B97="","",ROUND(SUMIFS(Payments!$G$5:$G$1204,Payments!$H$5:$H$1204,A97,Payments!$Q$5:$Q$1204,"Yes"),2))</f>
        <v>0</v>
      </c>
      <c r="AF97" s="26">
        <f>IF(B97="","",IF(AD97="No",0,ROUND(SUMIFS(Payments!$G$5:$G$1204,Payments!$I$5:$I$1204,C97,Payments!$H$5:$H$1204,"",Payments!$Q$5:$Q$1204,"Yes"),2)))</f>
        <v>0</v>
      </c>
      <c r="AG97" s="26">
        <f>IF(B97="","",ROUND(AE97+AF97,2))</f>
        <v>0</v>
      </c>
      <c r="AH97" s="26">
        <f>IF(B97="","",ROUND(AA97-AG97,2))</f>
        <v>0</v>
      </c>
      <c r="AI97" s="39">
        <f>IF(B97="","",IF(AA97&lt;=0,"No charge",IF(AH97&lt;=0.004,"Paid",IF(AG97&lt;=0.004,"Unpaid","Part paid"))))</f>
        <v>0</v>
      </c>
      <c r="AJ97" s="38">
        <f>IF(B97="","",IF(H97&lt;&gt;"Service","",IF(D97="","No",IF(COUNTIFS($D$5:$D$1204,D97,$B$5:$B$1204,B97,$H$5:$H$1204,"Retail")&gt;0,"Yes","No"))))</f>
        <v>0</v>
      </c>
      <c r="AK97" s="25">
        <f>IF(B97="","",COUNTIFS($Y$5:$Y$1204,"&gt;"&amp;Y97)+COUNTIFS($Y$5:Y97,Y97))</f>
        <v>0</v>
      </c>
      <c r="AL97" s="39">
        <f>IF(B97="","",IF(H97="","Add - what kind of sale is this?",IF(IF(V97&lt;=0,P97="",FALSE),"Check - no price found for this item",IF(F97="","Assign - nobody credited",IF(AH97&gt;0.004,"Unpaid - balance outstanding",IF(AC97&lt;0,"Loss - sold below cost",IF(X97&gt;W97*0.5,"Check - more than half off","OK")))))))</f>
        <v>0</v>
      </c>
    </row>
    <row r="98" spans="1:38">
      <c r="A98" s="28">
        <f>IF(B98="","",SalePrefix&amp;TEXT(ROW()-4,"0000"))</f>
        <v>0</v>
      </c>
      <c r="E98" s="15">
        <f>IF(D98="","",IFERROR(INDEX(Clients!$B$5:$B$504,MATCH(D98,Clients!$A$5:$A$504,0)),"Walk-in"))</f>
        <v>0</v>
      </c>
      <c r="G98" s="15">
        <f>IF(F98="","",IFERROR(INDEX(Staff!$B$5:$B$44,MATCH(F98,Staff!$A$5:$A$44,0)),"House"))</f>
        <v>0</v>
      </c>
      <c r="R98" s="15">
        <f>IF(B98="","",TEXT(B98,"yyyy-mm"))</f>
        <v>0</v>
      </c>
      <c r="S98" s="25">
        <f>IF(B98="","",WEEKNUM(B98,2))</f>
        <v>0</v>
      </c>
      <c r="T98" s="37">
        <f>IF(B98="","",IF(K98="",1,K98))</f>
        <v>0</v>
      </c>
      <c r="U98" s="15">
        <f>IF(B98="","",IF(J98&lt;&gt;"",J98,IF(H98="Retail",IFERROR(INDEX(Inventory!$B$5:$B$304,MATCH(I98,Inventory!$A$5:$A$304,0))&amp;"","Not in Inventory"),IFERROR(INDEX(Services!$B$5:$B$204,MATCH(I98,Services!$A$5:$A$204,0))&amp;"","Not in Services"))))</f>
        <v>0</v>
      </c>
      <c r="V98" s="26">
        <f>IF(B98="","",IF(L98&lt;&gt;"",L98,IF(H98="Retail",IFERROR(INDEX(Inventory!$I$5:$I$304,MATCH(I98,Inventory!$A$5:$A$304,0))*1,0),IFERROR(INDEX(Services!$G$5:$G$204,MATCH(I98,Services!$A$5:$A$204,0))*1,0))))</f>
        <v>0</v>
      </c>
      <c r="W98" s="26">
        <f>IF(B98="","",ROUND(T98*V98,2))</f>
        <v>0</v>
      </c>
      <c r="X98" s="26">
        <f>IF(B98="","",ROUND(IF(M98="",0,W98*M98)+IF(N98="",0,N98),2))</f>
        <v>0</v>
      </c>
      <c r="Y98" s="26">
        <f>IF(B98="","",ROUND(W98-X98-IF(P98="",0,P98),2))</f>
        <v>0</v>
      </c>
      <c r="Z98" s="26">
        <f>IF(B98="","",IF(H98="Retail",IF(TaxOnRetail="Yes",ROUND(Y98*TaxRate,2),0),IF(H98="Service",IF(TaxOnServices="Yes",ROUND(Y98*TaxRate,2),0),0)))</f>
        <v>0</v>
      </c>
      <c r="AA98" s="26">
        <f>IF(B98="","",ROUND(Y98+Z98,2))</f>
        <v>0</v>
      </c>
      <c r="AB98" s="26">
        <f>IF(B98="","",ROUND(T98*IF(H98="Retail",IFERROR(INDEX(Inventory!$H$5:$H$304,MATCH(I98,Inventory!$A$5:$A$304,0))*1,0),IFERROR(INDEX(Services!$Q$5:$Q$204,MATCH(I98,Services!$A$5:$A$204,0))*1,0)),2))</f>
        <v>0</v>
      </c>
      <c r="AC98" s="26">
        <f>IF(B98="","",ROUND(Y98-AB98,2))</f>
        <v>0</v>
      </c>
      <c r="AD98" s="38">
        <f>IF(B98="","",IF(C98="","No",IF(COUNTIFS($C$5:C98,C98)=1,"Yes","No")))</f>
        <v>0</v>
      </c>
      <c r="AE98" s="26">
        <f>IF(B98="","",ROUND(SUMIFS(Payments!$G$5:$G$1204,Payments!$H$5:$H$1204,A98,Payments!$Q$5:$Q$1204,"Yes"),2))</f>
        <v>0</v>
      </c>
      <c r="AF98" s="26">
        <f>IF(B98="","",IF(AD98="No",0,ROUND(SUMIFS(Payments!$G$5:$G$1204,Payments!$I$5:$I$1204,C98,Payments!$H$5:$H$1204,"",Payments!$Q$5:$Q$1204,"Yes"),2)))</f>
        <v>0</v>
      </c>
      <c r="AG98" s="26">
        <f>IF(B98="","",ROUND(AE98+AF98,2))</f>
        <v>0</v>
      </c>
      <c r="AH98" s="26">
        <f>IF(B98="","",ROUND(AA98-AG98,2))</f>
        <v>0</v>
      </c>
      <c r="AI98" s="39">
        <f>IF(B98="","",IF(AA98&lt;=0,"No charge",IF(AH98&lt;=0.004,"Paid",IF(AG98&lt;=0.004,"Unpaid","Part paid"))))</f>
        <v>0</v>
      </c>
      <c r="AJ98" s="38">
        <f>IF(B98="","",IF(H98&lt;&gt;"Service","",IF(D98="","No",IF(COUNTIFS($D$5:$D$1204,D98,$B$5:$B$1204,B98,$H$5:$H$1204,"Retail")&gt;0,"Yes","No"))))</f>
        <v>0</v>
      </c>
      <c r="AK98" s="25">
        <f>IF(B98="","",COUNTIFS($Y$5:$Y$1204,"&gt;"&amp;Y98)+COUNTIFS($Y$5:Y98,Y98))</f>
        <v>0</v>
      </c>
      <c r="AL98" s="39">
        <f>IF(B98="","",IF(H98="","Add - what kind of sale is this?",IF(IF(V98&lt;=0,P98="",FALSE),"Check - no price found for this item",IF(F98="","Assign - nobody credited",IF(AH98&gt;0.004,"Unpaid - balance outstanding",IF(AC98&lt;0,"Loss - sold below cost",IF(X98&gt;W98*0.5,"Check - more than half off","OK")))))))</f>
        <v>0</v>
      </c>
    </row>
    <row r="99" spans="1:38">
      <c r="A99" s="28">
        <f>IF(B99="","",SalePrefix&amp;TEXT(ROW()-4,"0000"))</f>
        <v>0</v>
      </c>
      <c r="E99" s="15">
        <f>IF(D99="","",IFERROR(INDEX(Clients!$B$5:$B$504,MATCH(D99,Clients!$A$5:$A$504,0)),"Walk-in"))</f>
        <v>0</v>
      </c>
      <c r="G99" s="15">
        <f>IF(F99="","",IFERROR(INDEX(Staff!$B$5:$B$44,MATCH(F99,Staff!$A$5:$A$44,0)),"House"))</f>
        <v>0</v>
      </c>
      <c r="R99" s="15">
        <f>IF(B99="","",TEXT(B99,"yyyy-mm"))</f>
        <v>0</v>
      </c>
      <c r="S99" s="25">
        <f>IF(B99="","",WEEKNUM(B99,2))</f>
        <v>0</v>
      </c>
      <c r="T99" s="37">
        <f>IF(B99="","",IF(K99="",1,K99))</f>
        <v>0</v>
      </c>
      <c r="U99" s="15">
        <f>IF(B99="","",IF(J99&lt;&gt;"",J99,IF(H99="Retail",IFERROR(INDEX(Inventory!$B$5:$B$304,MATCH(I99,Inventory!$A$5:$A$304,0))&amp;"","Not in Inventory"),IFERROR(INDEX(Services!$B$5:$B$204,MATCH(I99,Services!$A$5:$A$204,0))&amp;"","Not in Services"))))</f>
        <v>0</v>
      </c>
      <c r="V99" s="26">
        <f>IF(B99="","",IF(L99&lt;&gt;"",L99,IF(H99="Retail",IFERROR(INDEX(Inventory!$I$5:$I$304,MATCH(I99,Inventory!$A$5:$A$304,0))*1,0),IFERROR(INDEX(Services!$G$5:$G$204,MATCH(I99,Services!$A$5:$A$204,0))*1,0))))</f>
        <v>0</v>
      </c>
      <c r="W99" s="26">
        <f>IF(B99="","",ROUND(T99*V99,2))</f>
        <v>0</v>
      </c>
      <c r="X99" s="26">
        <f>IF(B99="","",ROUND(IF(M99="",0,W99*M99)+IF(N99="",0,N99),2))</f>
        <v>0</v>
      </c>
      <c r="Y99" s="26">
        <f>IF(B99="","",ROUND(W99-X99-IF(P99="",0,P99),2))</f>
        <v>0</v>
      </c>
      <c r="Z99" s="26">
        <f>IF(B99="","",IF(H99="Retail",IF(TaxOnRetail="Yes",ROUND(Y99*TaxRate,2),0),IF(H99="Service",IF(TaxOnServices="Yes",ROUND(Y99*TaxRate,2),0),0)))</f>
        <v>0</v>
      </c>
      <c r="AA99" s="26">
        <f>IF(B99="","",ROUND(Y99+Z99,2))</f>
        <v>0</v>
      </c>
      <c r="AB99" s="26">
        <f>IF(B99="","",ROUND(T99*IF(H99="Retail",IFERROR(INDEX(Inventory!$H$5:$H$304,MATCH(I99,Inventory!$A$5:$A$304,0))*1,0),IFERROR(INDEX(Services!$Q$5:$Q$204,MATCH(I99,Services!$A$5:$A$204,0))*1,0)),2))</f>
        <v>0</v>
      </c>
      <c r="AC99" s="26">
        <f>IF(B99="","",ROUND(Y99-AB99,2))</f>
        <v>0</v>
      </c>
      <c r="AD99" s="38">
        <f>IF(B99="","",IF(C99="","No",IF(COUNTIFS($C$5:C99,C99)=1,"Yes","No")))</f>
        <v>0</v>
      </c>
      <c r="AE99" s="26">
        <f>IF(B99="","",ROUND(SUMIFS(Payments!$G$5:$G$1204,Payments!$H$5:$H$1204,A99,Payments!$Q$5:$Q$1204,"Yes"),2))</f>
        <v>0</v>
      </c>
      <c r="AF99" s="26">
        <f>IF(B99="","",IF(AD99="No",0,ROUND(SUMIFS(Payments!$G$5:$G$1204,Payments!$I$5:$I$1204,C99,Payments!$H$5:$H$1204,"",Payments!$Q$5:$Q$1204,"Yes"),2)))</f>
        <v>0</v>
      </c>
      <c r="AG99" s="26">
        <f>IF(B99="","",ROUND(AE99+AF99,2))</f>
        <v>0</v>
      </c>
      <c r="AH99" s="26">
        <f>IF(B99="","",ROUND(AA99-AG99,2))</f>
        <v>0</v>
      </c>
      <c r="AI99" s="39">
        <f>IF(B99="","",IF(AA99&lt;=0,"No charge",IF(AH99&lt;=0.004,"Paid",IF(AG99&lt;=0.004,"Unpaid","Part paid"))))</f>
        <v>0</v>
      </c>
      <c r="AJ99" s="38">
        <f>IF(B99="","",IF(H99&lt;&gt;"Service","",IF(D99="","No",IF(COUNTIFS($D$5:$D$1204,D99,$B$5:$B$1204,B99,$H$5:$H$1204,"Retail")&gt;0,"Yes","No"))))</f>
        <v>0</v>
      </c>
      <c r="AK99" s="25">
        <f>IF(B99="","",COUNTIFS($Y$5:$Y$1204,"&gt;"&amp;Y99)+COUNTIFS($Y$5:Y99,Y99))</f>
        <v>0</v>
      </c>
      <c r="AL99" s="39">
        <f>IF(B99="","",IF(H99="","Add - what kind of sale is this?",IF(IF(V99&lt;=0,P99="",FALSE),"Check - no price found for this item",IF(F99="","Assign - nobody credited",IF(AH99&gt;0.004,"Unpaid - balance outstanding",IF(AC99&lt;0,"Loss - sold below cost",IF(X99&gt;W99*0.5,"Check - more than half off","OK")))))))</f>
        <v>0</v>
      </c>
    </row>
    <row r="100" spans="1:38">
      <c r="A100" s="28">
        <f>IF(B100="","",SalePrefix&amp;TEXT(ROW()-4,"0000"))</f>
        <v>0</v>
      </c>
      <c r="E100" s="15">
        <f>IF(D100="","",IFERROR(INDEX(Clients!$B$5:$B$504,MATCH(D100,Clients!$A$5:$A$504,0)),"Walk-in"))</f>
        <v>0</v>
      </c>
      <c r="G100" s="15">
        <f>IF(F100="","",IFERROR(INDEX(Staff!$B$5:$B$44,MATCH(F100,Staff!$A$5:$A$44,0)),"House"))</f>
        <v>0</v>
      </c>
      <c r="R100" s="15">
        <f>IF(B100="","",TEXT(B100,"yyyy-mm"))</f>
        <v>0</v>
      </c>
      <c r="S100" s="25">
        <f>IF(B100="","",WEEKNUM(B100,2))</f>
        <v>0</v>
      </c>
      <c r="T100" s="37">
        <f>IF(B100="","",IF(K100="",1,K100))</f>
        <v>0</v>
      </c>
      <c r="U100" s="15">
        <f>IF(B100="","",IF(J100&lt;&gt;"",J100,IF(H100="Retail",IFERROR(INDEX(Inventory!$B$5:$B$304,MATCH(I100,Inventory!$A$5:$A$304,0))&amp;"","Not in Inventory"),IFERROR(INDEX(Services!$B$5:$B$204,MATCH(I100,Services!$A$5:$A$204,0))&amp;"","Not in Services"))))</f>
        <v>0</v>
      </c>
      <c r="V100" s="26">
        <f>IF(B100="","",IF(L100&lt;&gt;"",L100,IF(H100="Retail",IFERROR(INDEX(Inventory!$I$5:$I$304,MATCH(I100,Inventory!$A$5:$A$304,0))*1,0),IFERROR(INDEX(Services!$G$5:$G$204,MATCH(I100,Services!$A$5:$A$204,0))*1,0))))</f>
        <v>0</v>
      </c>
      <c r="W100" s="26">
        <f>IF(B100="","",ROUND(T100*V100,2))</f>
        <v>0</v>
      </c>
      <c r="X100" s="26">
        <f>IF(B100="","",ROUND(IF(M100="",0,W100*M100)+IF(N100="",0,N100),2))</f>
        <v>0</v>
      </c>
      <c r="Y100" s="26">
        <f>IF(B100="","",ROUND(W100-X100-IF(P100="",0,P100),2))</f>
        <v>0</v>
      </c>
      <c r="Z100" s="26">
        <f>IF(B100="","",IF(H100="Retail",IF(TaxOnRetail="Yes",ROUND(Y100*TaxRate,2),0),IF(H100="Service",IF(TaxOnServices="Yes",ROUND(Y100*TaxRate,2),0),0)))</f>
        <v>0</v>
      </c>
      <c r="AA100" s="26">
        <f>IF(B100="","",ROUND(Y100+Z100,2))</f>
        <v>0</v>
      </c>
      <c r="AB100" s="26">
        <f>IF(B100="","",ROUND(T100*IF(H100="Retail",IFERROR(INDEX(Inventory!$H$5:$H$304,MATCH(I100,Inventory!$A$5:$A$304,0))*1,0),IFERROR(INDEX(Services!$Q$5:$Q$204,MATCH(I100,Services!$A$5:$A$204,0))*1,0)),2))</f>
        <v>0</v>
      </c>
      <c r="AC100" s="26">
        <f>IF(B100="","",ROUND(Y100-AB100,2))</f>
        <v>0</v>
      </c>
      <c r="AD100" s="38">
        <f>IF(B100="","",IF(C100="","No",IF(COUNTIFS($C$5:C100,C100)=1,"Yes","No")))</f>
        <v>0</v>
      </c>
      <c r="AE100" s="26">
        <f>IF(B100="","",ROUND(SUMIFS(Payments!$G$5:$G$1204,Payments!$H$5:$H$1204,A100,Payments!$Q$5:$Q$1204,"Yes"),2))</f>
        <v>0</v>
      </c>
      <c r="AF100" s="26">
        <f>IF(B100="","",IF(AD100="No",0,ROUND(SUMIFS(Payments!$G$5:$G$1204,Payments!$I$5:$I$1204,C100,Payments!$H$5:$H$1204,"",Payments!$Q$5:$Q$1204,"Yes"),2)))</f>
        <v>0</v>
      </c>
      <c r="AG100" s="26">
        <f>IF(B100="","",ROUND(AE100+AF100,2))</f>
        <v>0</v>
      </c>
      <c r="AH100" s="26">
        <f>IF(B100="","",ROUND(AA100-AG100,2))</f>
        <v>0</v>
      </c>
      <c r="AI100" s="39">
        <f>IF(B100="","",IF(AA100&lt;=0,"No charge",IF(AH100&lt;=0.004,"Paid",IF(AG100&lt;=0.004,"Unpaid","Part paid"))))</f>
        <v>0</v>
      </c>
      <c r="AJ100" s="38">
        <f>IF(B100="","",IF(H100&lt;&gt;"Service","",IF(D100="","No",IF(COUNTIFS($D$5:$D$1204,D100,$B$5:$B$1204,B100,$H$5:$H$1204,"Retail")&gt;0,"Yes","No"))))</f>
        <v>0</v>
      </c>
      <c r="AK100" s="25">
        <f>IF(B100="","",COUNTIFS($Y$5:$Y$1204,"&gt;"&amp;Y100)+COUNTIFS($Y$5:Y100,Y100))</f>
        <v>0</v>
      </c>
      <c r="AL100" s="39">
        <f>IF(B100="","",IF(H100="","Add - what kind of sale is this?",IF(IF(V100&lt;=0,P100="",FALSE),"Check - no price found for this item",IF(F100="","Assign - nobody credited",IF(AH100&gt;0.004,"Unpaid - balance outstanding",IF(AC100&lt;0,"Loss - sold below cost",IF(X100&gt;W100*0.5,"Check - more than half off","OK")))))))</f>
        <v>0</v>
      </c>
    </row>
    <row r="101" spans="1:38">
      <c r="A101" s="28">
        <f>IF(B101="","",SalePrefix&amp;TEXT(ROW()-4,"0000"))</f>
        <v>0</v>
      </c>
      <c r="E101" s="15">
        <f>IF(D101="","",IFERROR(INDEX(Clients!$B$5:$B$504,MATCH(D101,Clients!$A$5:$A$504,0)),"Walk-in"))</f>
        <v>0</v>
      </c>
      <c r="G101" s="15">
        <f>IF(F101="","",IFERROR(INDEX(Staff!$B$5:$B$44,MATCH(F101,Staff!$A$5:$A$44,0)),"House"))</f>
        <v>0</v>
      </c>
      <c r="R101" s="15">
        <f>IF(B101="","",TEXT(B101,"yyyy-mm"))</f>
        <v>0</v>
      </c>
      <c r="S101" s="25">
        <f>IF(B101="","",WEEKNUM(B101,2))</f>
        <v>0</v>
      </c>
      <c r="T101" s="37">
        <f>IF(B101="","",IF(K101="",1,K101))</f>
        <v>0</v>
      </c>
      <c r="U101" s="15">
        <f>IF(B101="","",IF(J101&lt;&gt;"",J101,IF(H101="Retail",IFERROR(INDEX(Inventory!$B$5:$B$304,MATCH(I101,Inventory!$A$5:$A$304,0))&amp;"","Not in Inventory"),IFERROR(INDEX(Services!$B$5:$B$204,MATCH(I101,Services!$A$5:$A$204,0))&amp;"","Not in Services"))))</f>
        <v>0</v>
      </c>
      <c r="V101" s="26">
        <f>IF(B101="","",IF(L101&lt;&gt;"",L101,IF(H101="Retail",IFERROR(INDEX(Inventory!$I$5:$I$304,MATCH(I101,Inventory!$A$5:$A$304,0))*1,0),IFERROR(INDEX(Services!$G$5:$G$204,MATCH(I101,Services!$A$5:$A$204,0))*1,0))))</f>
        <v>0</v>
      </c>
      <c r="W101" s="26">
        <f>IF(B101="","",ROUND(T101*V101,2))</f>
        <v>0</v>
      </c>
      <c r="X101" s="26">
        <f>IF(B101="","",ROUND(IF(M101="",0,W101*M101)+IF(N101="",0,N101),2))</f>
        <v>0</v>
      </c>
      <c r="Y101" s="26">
        <f>IF(B101="","",ROUND(W101-X101-IF(P101="",0,P101),2))</f>
        <v>0</v>
      </c>
      <c r="Z101" s="26">
        <f>IF(B101="","",IF(H101="Retail",IF(TaxOnRetail="Yes",ROUND(Y101*TaxRate,2),0),IF(H101="Service",IF(TaxOnServices="Yes",ROUND(Y101*TaxRate,2),0),0)))</f>
        <v>0</v>
      </c>
      <c r="AA101" s="26">
        <f>IF(B101="","",ROUND(Y101+Z101,2))</f>
        <v>0</v>
      </c>
      <c r="AB101" s="26">
        <f>IF(B101="","",ROUND(T101*IF(H101="Retail",IFERROR(INDEX(Inventory!$H$5:$H$304,MATCH(I101,Inventory!$A$5:$A$304,0))*1,0),IFERROR(INDEX(Services!$Q$5:$Q$204,MATCH(I101,Services!$A$5:$A$204,0))*1,0)),2))</f>
        <v>0</v>
      </c>
      <c r="AC101" s="26">
        <f>IF(B101="","",ROUND(Y101-AB101,2))</f>
        <v>0</v>
      </c>
      <c r="AD101" s="38">
        <f>IF(B101="","",IF(C101="","No",IF(COUNTIFS($C$5:C101,C101)=1,"Yes","No")))</f>
        <v>0</v>
      </c>
      <c r="AE101" s="26">
        <f>IF(B101="","",ROUND(SUMIFS(Payments!$G$5:$G$1204,Payments!$H$5:$H$1204,A101,Payments!$Q$5:$Q$1204,"Yes"),2))</f>
        <v>0</v>
      </c>
      <c r="AF101" s="26">
        <f>IF(B101="","",IF(AD101="No",0,ROUND(SUMIFS(Payments!$G$5:$G$1204,Payments!$I$5:$I$1204,C101,Payments!$H$5:$H$1204,"",Payments!$Q$5:$Q$1204,"Yes"),2)))</f>
        <v>0</v>
      </c>
      <c r="AG101" s="26">
        <f>IF(B101="","",ROUND(AE101+AF101,2))</f>
        <v>0</v>
      </c>
      <c r="AH101" s="26">
        <f>IF(B101="","",ROUND(AA101-AG101,2))</f>
        <v>0</v>
      </c>
      <c r="AI101" s="39">
        <f>IF(B101="","",IF(AA101&lt;=0,"No charge",IF(AH101&lt;=0.004,"Paid",IF(AG101&lt;=0.004,"Unpaid","Part paid"))))</f>
        <v>0</v>
      </c>
      <c r="AJ101" s="38">
        <f>IF(B101="","",IF(H101&lt;&gt;"Service","",IF(D101="","No",IF(COUNTIFS($D$5:$D$1204,D101,$B$5:$B$1204,B101,$H$5:$H$1204,"Retail")&gt;0,"Yes","No"))))</f>
        <v>0</v>
      </c>
      <c r="AK101" s="25">
        <f>IF(B101="","",COUNTIFS($Y$5:$Y$1204,"&gt;"&amp;Y101)+COUNTIFS($Y$5:Y101,Y101))</f>
        <v>0</v>
      </c>
      <c r="AL101" s="39">
        <f>IF(B101="","",IF(H101="","Add - what kind of sale is this?",IF(IF(V101&lt;=0,P101="",FALSE),"Check - no price found for this item",IF(F101="","Assign - nobody credited",IF(AH101&gt;0.004,"Unpaid - balance outstanding",IF(AC101&lt;0,"Loss - sold below cost",IF(X101&gt;W101*0.5,"Check - more than half off","OK")))))))</f>
        <v>0</v>
      </c>
    </row>
    <row r="102" spans="1:38">
      <c r="A102" s="28">
        <f>IF(B102="","",SalePrefix&amp;TEXT(ROW()-4,"0000"))</f>
        <v>0</v>
      </c>
      <c r="E102" s="15">
        <f>IF(D102="","",IFERROR(INDEX(Clients!$B$5:$B$504,MATCH(D102,Clients!$A$5:$A$504,0)),"Walk-in"))</f>
        <v>0</v>
      </c>
      <c r="G102" s="15">
        <f>IF(F102="","",IFERROR(INDEX(Staff!$B$5:$B$44,MATCH(F102,Staff!$A$5:$A$44,0)),"House"))</f>
        <v>0</v>
      </c>
      <c r="R102" s="15">
        <f>IF(B102="","",TEXT(B102,"yyyy-mm"))</f>
        <v>0</v>
      </c>
      <c r="S102" s="25">
        <f>IF(B102="","",WEEKNUM(B102,2))</f>
        <v>0</v>
      </c>
      <c r="T102" s="37">
        <f>IF(B102="","",IF(K102="",1,K102))</f>
        <v>0</v>
      </c>
      <c r="U102" s="15">
        <f>IF(B102="","",IF(J102&lt;&gt;"",J102,IF(H102="Retail",IFERROR(INDEX(Inventory!$B$5:$B$304,MATCH(I102,Inventory!$A$5:$A$304,0))&amp;"","Not in Inventory"),IFERROR(INDEX(Services!$B$5:$B$204,MATCH(I102,Services!$A$5:$A$204,0))&amp;"","Not in Services"))))</f>
        <v>0</v>
      </c>
      <c r="V102" s="26">
        <f>IF(B102="","",IF(L102&lt;&gt;"",L102,IF(H102="Retail",IFERROR(INDEX(Inventory!$I$5:$I$304,MATCH(I102,Inventory!$A$5:$A$304,0))*1,0),IFERROR(INDEX(Services!$G$5:$G$204,MATCH(I102,Services!$A$5:$A$204,0))*1,0))))</f>
        <v>0</v>
      </c>
      <c r="W102" s="26">
        <f>IF(B102="","",ROUND(T102*V102,2))</f>
        <v>0</v>
      </c>
      <c r="X102" s="26">
        <f>IF(B102="","",ROUND(IF(M102="",0,W102*M102)+IF(N102="",0,N102),2))</f>
        <v>0</v>
      </c>
      <c r="Y102" s="26">
        <f>IF(B102="","",ROUND(W102-X102-IF(P102="",0,P102),2))</f>
        <v>0</v>
      </c>
      <c r="Z102" s="26">
        <f>IF(B102="","",IF(H102="Retail",IF(TaxOnRetail="Yes",ROUND(Y102*TaxRate,2),0),IF(H102="Service",IF(TaxOnServices="Yes",ROUND(Y102*TaxRate,2),0),0)))</f>
        <v>0</v>
      </c>
      <c r="AA102" s="26">
        <f>IF(B102="","",ROUND(Y102+Z102,2))</f>
        <v>0</v>
      </c>
      <c r="AB102" s="26">
        <f>IF(B102="","",ROUND(T102*IF(H102="Retail",IFERROR(INDEX(Inventory!$H$5:$H$304,MATCH(I102,Inventory!$A$5:$A$304,0))*1,0),IFERROR(INDEX(Services!$Q$5:$Q$204,MATCH(I102,Services!$A$5:$A$204,0))*1,0)),2))</f>
        <v>0</v>
      </c>
      <c r="AC102" s="26">
        <f>IF(B102="","",ROUND(Y102-AB102,2))</f>
        <v>0</v>
      </c>
      <c r="AD102" s="38">
        <f>IF(B102="","",IF(C102="","No",IF(COUNTIFS($C$5:C102,C102)=1,"Yes","No")))</f>
        <v>0</v>
      </c>
      <c r="AE102" s="26">
        <f>IF(B102="","",ROUND(SUMIFS(Payments!$G$5:$G$1204,Payments!$H$5:$H$1204,A102,Payments!$Q$5:$Q$1204,"Yes"),2))</f>
        <v>0</v>
      </c>
      <c r="AF102" s="26">
        <f>IF(B102="","",IF(AD102="No",0,ROUND(SUMIFS(Payments!$G$5:$G$1204,Payments!$I$5:$I$1204,C102,Payments!$H$5:$H$1204,"",Payments!$Q$5:$Q$1204,"Yes"),2)))</f>
        <v>0</v>
      </c>
      <c r="AG102" s="26">
        <f>IF(B102="","",ROUND(AE102+AF102,2))</f>
        <v>0</v>
      </c>
      <c r="AH102" s="26">
        <f>IF(B102="","",ROUND(AA102-AG102,2))</f>
        <v>0</v>
      </c>
      <c r="AI102" s="39">
        <f>IF(B102="","",IF(AA102&lt;=0,"No charge",IF(AH102&lt;=0.004,"Paid",IF(AG102&lt;=0.004,"Unpaid","Part paid"))))</f>
        <v>0</v>
      </c>
      <c r="AJ102" s="38">
        <f>IF(B102="","",IF(H102&lt;&gt;"Service","",IF(D102="","No",IF(COUNTIFS($D$5:$D$1204,D102,$B$5:$B$1204,B102,$H$5:$H$1204,"Retail")&gt;0,"Yes","No"))))</f>
        <v>0</v>
      </c>
      <c r="AK102" s="25">
        <f>IF(B102="","",COUNTIFS($Y$5:$Y$1204,"&gt;"&amp;Y102)+COUNTIFS($Y$5:Y102,Y102))</f>
        <v>0</v>
      </c>
      <c r="AL102" s="39">
        <f>IF(B102="","",IF(H102="","Add - what kind of sale is this?",IF(IF(V102&lt;=0,P102="",FALSE),"Check - no price found for this item",IF(F102="","Assign - nobody credited",IF(AH102&gt;0.004,"Unpaid - balance outstanding",IF(AC102&lt;0,"Loss - sold below cost",IF(X102&gt;W102*0.5,"Check - more than half off","OK")))))))</f>
        <v>0</v>
      </c>
    </row>
    <row r="103" spans="1:38">
      <c r="A103" s="28">
        <f>IF(B103="","",SalePrefix&amp;TEXT(ROW()-4,"0000"))</f>
        <v>0</v>
      </c>
      <c r="E103" s="15">
        <f>IF(D103="","",IFERROR(INDEX(Clients!$B$5:$B$504,MATCH(D103,Clients!$A$5:$A$504,0)),"Walk-in"))</f>
        <v>0</v>
      </c>
      <c r="G103" s="15">
        <f>IF(F103="","",IFERROR(INDEX(Staff!$B$5:$B$44,MATCH(F103,Staff!$A$5:$A$44,0)),"House"))</f>
        <v>0</v>
      </c>
      <c r="R103" s="15">
        <f>IF(B103="","",TEXT(B103,"yyyy-mm"))</f>
        <v>0</v>
      </c>
      <c r="S103" s="25">
        <f>IF(B103="","",WEEKNUM(B103,2))</f>
        <v>0</v>
      </c>
      <c r="T103" s="37">
        <f>IF(B103="","",IF(K103="",1,K103))</f>
        <v>0</v>
      </c>
      <c r="U103" s="15">
        <f>IF(B103="","",IF(J103&lt;&gt;"",J103,IF(H103="Retail",IFERROR(INDEX(Inventory!$B$5:$B$304,MATCH(I103,Inventory!$A$5:$A$304,0))&amp;"","Not in Inventory"),IFERROR(INDEX(Services!$B$5:$B$204,MATCH(I103,Services!$A$5:$A$204,0))&amp;"","Not in Services"))))</f>
        <v>0</v>
      </c>
      <c r="V103" s="26">
        <f>IF(B103="","",IF(L103&lt;&gt;"",L103,IF(H103="Retail",IFERROR(INDEX(Inventory!$I$5:$I$304,MATCH(I103,Inventory!$A$5:$A$304,0))*1,0),IFERROR(INDEX(Services!$G$5:$G$204,MATCH(I103,Services!$A$5:$A$204,0))*1,0))))</f>
        <v>0</v>
      </c>
      <c r="W103" s="26">
        <f>IF(B103="","",ROUND(T103*V103,2))</f>
        <v>0</v>
      </c>
      <c r="X103" s="26">
        <f>IF(B103="","",ROUND(IF(M103="",0,W103*M103)+IF(N103="",0,N103),2))</f>
        <v>0</v>
      </c>
      <c r="Y103" s="26">
        <f>IF(B103="","",ROUND(W103-X103-IF(P103="",0,P103),2))</f>
        <v>0</v>
      </c>
      <c r="Z103" s="26">
        <f>IF(B103="","",IF(H103="Retail",IF(TaxOnRetail="Yes",ROUND(Y103*TaxRate,2),0),IF(H103="Service",IF(TaxOnServices="Yes",ROUND(Y103*TaxRate,2),0),0)))</f>
        <v>0</v>
      </c>
      <c r="AA103" s="26">
        <f>IF(B103="","",ROUND(Y103+Z103,2))</f>
        <v>0</v>
      </c>
      <c r="AB103" s="26">
        <f>IF(B103="","",ROUND(T103*IF(H103="Retail",IFERROR(INDEX(Inventory!$H$5:$H$304,MATCH(I103,Inventory!$A$5:$A$304,0))*1,0),IFERROR(INDEX(Services!$Q$5:$Q$204,MATCH(I103,Services!$A$5:$A$204,0))*1,0)),2))</f>
        <v>0</v>
      </c>
      <c r="AC103" s="26">
        <f>IF(B103="","",ROUND(Y103-AB103,2))</f>
        <v>0</v>
      </c>
      <c r="AD103" s="38">
        <f>IF(B103="","",IF(C103="","No",IF(COUNTIFS($C$5:C103,C103)=1,"Yes","No")))</f>
        <v>0</v>
      </c>
      <c r="AE103" s="26">
        <f>IF(B103="","",ROUND(SUMIFS(Payments!$G$5:$G$1204,Payments!$H$5:$H$1204,A103,Payments!$Q$5:$Q$1204,"Yes"),2))</f>
        <v>0</v>
      </c>
      <c r="AF103" s="26">
        <f>IF(B103="","",IF(AD103="No",0,ROUND(SUMIFS(Payments!$G$5:$G$1204,Payments!$I$5:$I$1204,C103,Payments!$H$5:$H$1204,"",Payments!$Q$5:$Q$1204,"Yes"),2)))</f>
        <v>0</v>
      </c>
      <c r="AG103" s="26">
        <f>IF(B103="","",ROUND(AE103+AF103,2))</f>
        <v>0</v>
      </c>
      <c r="AH103" s="26">
        <f>IF(B103="","",ROUND(AA103-AG103,2))</f>
        <v>0</v>
      </c>
      <c r="AI103" s="39">
        <f>IF(B103="","",IF(AA103&lt;=0,"No charge",IF(AH103&lt;=0.004,"Paid",IF(AG103&lt;=0.004,"Unpaid","Part paid"))))</f>
        <v>0</v>
      </c>
      <c r="AJ103" s="38">
        <f>IF(B103="","",IF(H103&lt;&gt;"Service","",IF(D103="","No",IF(COUNTIFS($D$5:$D$1204,D103,$B$5:$B$1204,B103,$H$5:$H$1204,"Retail")&gt;0,"Yes","No"))))</f>
        <v>0</v>
      </c>
      <c r="AK103" s="25">
        <f>IF(B103="","",COUNTIFS($Y$5:$Y$1204,"&gt;"&amp;Y103)+COUNTIFS($Y$5:Y103,Y103))</f>
        <v>0</v>
      </c>
      <c r="AL103" s="39">
        <f>IF(B103="","",IF(H103="","Add - what kind of sale is this?",IF(IF(V103&lt;=0,P103="",FALSE),"Check - no price found for this item",IF(F103="","Assign - nobody credited",IF(AH103&gt;0.004,"Unpaid - balance outstanding",IF(AC103&lt;0,"Loss - sold below cost",IF(X103&gt;W103*0.5,"Check - more than half off","OK")))))))</f>
        <v>0</v>
      </c>
    </row>
    <row r="104" spans="1:38">
      <c r="A104" s="28">
        <f>IF(B104="","",SalePrefix&amp;TEXT(ROW()-4,"0000"))</f>
        <v>0</v>
      </c>
      <c r="E104" s="15">
        <f>IF(D104="","",IFERROR(INDEX(Clients!$B$5:$B$504,MATCH(D104,Clients!$A$5:$A$504,0)),"Walk-in"))</f>
        <v>0</v>
      </c>
      <c r="G104" s="15">
        <f>IF(F104="","",IFERROR(INDEX(Staff!$B$5:$B$44,MATCH(F104,Staff!$A$5:$A$44,0)),"House"))</f>
        <v>0</v>
      </c>
      <c r="R104" s="15">
        <f>IF(B104="","",TEXT(B104,"yyyy-mm"))</f>
        <v>0</v>
      </c>
      <c r="S104" s="25">
        <f>IF(B104="","",WEEKNUM(B104,2))</f>
        <v>0</v>
      </c>
      <c r="T104" s="37">
        <f>IF(B104="","",IF(K104="",1,K104))</f>
        <v>0</v>
      </c>
      <c r="U104" s="15">
        <f>IF(B104="","",IF(J104&lt;&gt;"",J104,IF(H104="Retail",IFERROR(INDEX(Inventory!$B$5:$B$304,MATCH(I104,Inventory!$A$5:$A$304,0))&amp;"","Not in Inventory"),IFERROR(INDEX(Services!$B$5:$B$204,MATCH(I104,Services!$A$5:$A$204,0))&amp;"","Not in Services"))))</f>
        <v>0</v>
      </c>
      <c r="V104" s="26">
        <f>IF(B104="","",IF(L104&lt;&gt;"",L104,IF(H104="Retail",IFERROR(INDEX(Inventory!$I$5:$I$304,MATCH(I104,Inventory!$A$5:$A$304,0))*1,0),IFERROR(INDEX(Services!$G$5:$G$204,MATCH(I104,Services!$A$5:$A$204,0))*1,0))))</f>
        <v>0</v>
      </c>
      <c r="W104" s="26">
        <f>IF(B104="","",ROUND(T104*V104,2))</f>
        <v>0</v>
      </c>
      <c r="X104" s="26">
        <f>IF(B104="","",ROUND(IF(M104="",0,W104*M104)+IF(N104="",0,N104),2))</f>
        <v>0</v>
      </c>
      <c r="Y104" s="26">
        <f>IF(B104="","",ROUND(W104-X104-IF(P104="",0,P104),2))</f>
        <v>0</v>
      </c>
      <c r="Z104" s="26">
        <f>IF(B104="","",IF(H104="Retail",IF(TaxOnRetail="Yes",ROUND(Y104*TaxRate,2),0),IF(H104="Service",IF(TaxOnServices="Yes",ROUND(Y104*TaxRate,2),0),0)))</f>
        <v>0</v>
      </c>
      <c r="AA104" s="26">
        <f>IF(B104="","",ROUND(Y104+Z104,2))</f>
        <v>0</v>
      </c>
      <c r="AB104" s="26">
        <f>IF(B104="","",ROUND(T104*IF(H104="Retail",IFERROR(INDEX(Inventory!$H$5:$H$304,MATCH(I104,Inventory!$A$5:$A$304,0))*1,0),IFERROR(INDEX(Services!$Q$5:$Q$204,MATCH(I104,Services!$A$5:$A$204,0))*1,0)),2))</f>
        <v>0</v>
      </c>
      <c r="AC104" s="26">
        <f>IF(B104="","",ROUND(Y104-AB104,2))</f>
        <v>0</v>
      </c>
      <c r="AD104" s="38">
        <f>IF(B104="","",IF(C104="","No",IF(COUNTIFS($C$5:C104,C104)=1,"Yes","No")))</f>
        <v>0</v>
      </c>
      <c r="AE104" s="26">
        <f>IF(B104="","",ROUND(SUMIFS(Payments!$G$5:$G$1204,Payments!$H$5:$H$1204,A104,Payments!$Q$5:$Q$1204,"Yes"),2))</f>
        <v>0</v>
      </c>
      <c r="AF104" s="26">
        <f>IF(B104="","",IF(AD104="No",0,ROUND(SUMIFS(Payments!$G$5:$G$1204,Payments!$I$5:$I$1204,C104,Payments!$H$5:$H$1204,"",Payments!$Q$5:$Q$1204,"Yes"),2)))</f>
        <v>0</v>
      </c>
      <c r="AG104" s="26">
        <f>IF(B104="","",ROUND(AE104+AF104,2))</f>
        <v>0</v>
      </c>
      <c r="AH104" s="26">
        <f>IF(B104="","",ROUND(AA104-AG104,2))</f>
        <v>0</v>
      </c>
      <c r="AI104" s="39">
        <f>IF(B104="","",IF(AA104&lt;=0,"No charge",IF(AH104&lt;=0.004,"Paid",IF(AG104&lt;=0.004,"Unpaid","Part paid"))))</f>
        <v>0</v>
      </c>
      <c r="AJ104" s="38">
        <f>IF(B104="","",IF(H104&lt;&gt;"Service","",IF(D104="","No",IF(COUNTIFS($D$5:$D$1204,D104,$B$5:$B$1204,B104,$H$5:$H$1204,"Retail")&gt;0,"Yes","No"))))</f>
        <v>0</v>
      </c>
      <c r="AK104" s="25">
        <f>IF(B104="","",COUNTIFS($Y$5:$Y$1204,"&gt;"&amp;Y104)+COUNTIFS($Y$5:Y104,Y104))</f>
        <v>0</v>
      </c>
      <c r="AL104" s="39">
        <f>IF(B104="","",IF(H104="","Add - what kind of sale is this?",IF(IF(V104&lt;=0,P104="",FALSE),"Check - no price found for this item",IF(F104="","Assign - nobody credited",IF(AH104&gt;0.004,"Unpaid - balance outstanding",IF(AC104&lt;0,"Loss - sold below cost",IF(X104&gt;W104*0.5,"Check - more than half off","OK")))))))</f>
        <v>0</v>
      </c>
    </row>
    <row r="105" spans="1:38">
      <c r="A105" s="28">
        <f>IF(B105="","",SalePrefix&amp;TEXT(ROW()-4,"0000"))</f>
        <v>0</v>
      </c>
      <c r="E105" s="15">
        <f>IF(D105="","",IFERROR(INDEX(Clients!$B$5:$B$504,MATCH(D105,Clients!$A$5:$A$504,0)),"Walk-in"))</f>
        <v>0</v>
      </c>
      <c r="G105" s="15">
        <f>IF(F105="","",IFERROR(INDEX(Staff!$B$5:$B$44,MATCH(F105,Staff!$A$5:$A$44,0)),"House"))</f>
        <v>0</v>
      </c>
      <c r="R105" s="15">
        <f>IF(B105="","",TEXT(B105,"yyyy-mm"))</f>
        <v>0</v>
      </c>
      <c r="S105" s="25">
        <f>IF(B105="","",WEEKNUM(B105,2))</f>
        <v>0</v>
      </c>
      <c r="T105" s="37">
        <f>IF(B105="","",IF(K105="",1,K105))</f>
        <v>0</v>
      </c>
      <c r="U105" s="15">
        <f>IF(B105="","",IF(J105&lt;&gt;"",J105,IF(H105="Retail",IFERROR(INDEX(Inventory!$B$5:$B$304,MATCH(I105,Inventory!$A$5:$A$304,0))&amp;"","Not in Inventory"),IFERROR(INDEX(Services!$B$5:$B$204,MATCH(I105,Services!$A$5:$A$204,0))&amp;"","Not in Services"))))</f>
        <v>0</v>
      </c>
      <c r="V105" s="26">
        <f>IF(B105="","",IF(L105&lt;&gt;"",L105,IF(H105="Retail",IFERROR(INDEX(Inventory!$I$5:$I$304,MATCH(I105,Inventory!$A$5:$A$304,0))*1,0),IFERROR(INDEX(Services!$G$5:$G$204,MATCH(I105,Services!$A$5:$A$204,0))*1,0))))</f>
        <v>0</v>
      </c>
      <c r="W105" s="26">
        <f>IF(B105="","",ROUND(T105*V105,2))</f>
        <v>0</v>
      </c>
      <c r="X105" s="26">
        <f>IF(B105="","",ROUND(IF(M105="",0,W105*M105)+IF(N105="",0,N105),2))</f>
        <v>0</v>
      </c>
      <c r="Y105" s="26">
        <f>IF(B105="","",ROUND(W105-X105-IF(P105="",0,P105),2))</f>
        <v>0</v>
      </c>
      <c r="Z105" s="26">
        <f>IF(B105="","",IF(H105="Retail",IF(TaxOnRetail="Yes",ROUND(Y105*TaxRate,2),0),IF(H105="Service",IF(TaxOnServices="Yes",ROUND(Y105*TaxRate,2),0),0)))</f>
        <v>0</v>
      </c>
      <c r="AA105" s="26">
        <f>IF(B105="","",ROUND(Y105+Z105,2))</f>
        <v>0</v>
      </c>
      <c r="AB105" s="26">
        <f>IF(B105="","",ROUND(T105*IF(H105="Retail",IFERROR(INDEX(Inventory!$H$5:$H$304,MATCH(I105,Inventory!$A$5:$A$304,0))*1,0),IFERROR(INDEX(Services!$Q$5:$Q$204,MATCH(I105,Services!$A$5:$A$204,0))*1,0)),2))</f>
        <v>0</v>
      </c>
      <c r="AC105" s="26">
        <f>IF(B105="","",ROUND(Y105-AB105,2))</f>
        <v>0</v>
      </c>
      <c r="AD105" s="38">
        <f>IF(B105="","",IF(C105="","No",IF(COUNTIFS($C$5:C105,C105)=1,"Yes","No")))</f>
        <v>0</v>
      </c>
      <c r="AE105" s="26">
        <f>IF(B105="","",ROUND(SUMIFS(Payments!$G$5:$G$1204,Payments!$H$5:$H$1204,A105,Payments!$Q$5:$Q$1204,"Yes"),2))</f>
        <v>0</v>
      </c>
      <c r="AF105" s="26">
        <f>IF(B105="","",IF(AD105="No",0,ROUND(SUMIFS(Payments!$G$5:$G$1204,Payments!$I$5:$I$1204,C105,Payments!$H$5:$H$1204,"",Payments!$Q$5:$Q$1204,"Yes"),2)))</f>
        <v>0</v>
      </c>
      <c r="AG105" s="26">
        <f>IF(B105="","",ROUND(AE105+AF105,2))</f>
        <v>0</v>
      </c>
      <c r="AH105" s="26">
        <f>IF(B105="","",ROUND(AA105-AG105,2))</f>
        <v>0</v>
      </c>
      <c r="AI105" s="39">
        <f>IF(B105="","",IF(AA105&lt;=0,"No charge",IF(AH105&lt;=0.004,"Paid",IF(AG105&lt;=0.004,"Unpaid","Part paid"))))</f>
        <v>0</v>
      </c>
      <c r="AJ105" s="38">
        <f>IF(B105="","",IF(H105&lt;&gt;"Service","",IF(D105="","No",IF(COUNTIFS($D$5:$D$1204,D105,$B$5:$B$1204,B105,$H$5:$H$1204,"Retail")&gt;0,"Yes","No"))))</f>
        <v>0</v>
      </c>
      <c r="AK105" s="25">
        <f>IF(B105="","",COUNTIFS($Y$5:$Y$1204,"&gt;"&amp;Y105)+COUNTIFS($Y$5:Y105,Y105))</f>
        <v>0</v>
      </c>
      <c r="AL105" s="39">
        <f>IF(B105="","",IF(H105="","Add - what kind of sale is this?",IF(IF(V105&lt;=0,P105="",FALSE),"Check - no price found for this item",IF(F105="","Assign - nobody credited",IF(AH105&gt;0.004,"Unpaid - balance outstanding",IF(AC105&lt;0,"Loss - sold below cost",IF(X105&gt;W105*0.5,"Check - more than half off","OK")))))))</f>
        <v>0</v>
      </c>
    </row>
    <row r="106" spans="1:38">
      <c r="A106" s="28">
        <f>IF(B106="","",SalePrefix&amp;TEXT(ROW()-4,"0000"))</f>
        <v>0</v>
      </c>
      <c r="E106" s="15">
        <f>IF(D106="","",IFERROR(INDEX(Clients!$B$5:$B$504,MATCH(D106,Clients!$A$5:$A$504,0)),"Walk-in"))</f>
        <v>0</v>
      </c>
      <c r="G106" s="15">
        <f>IF(F106="","",IFERROR(INDEX(Staff!$B$5:$B$44,MATCH(F106,Staff!$A$5:$A$44,0)),"House"))</f>
        <v>0</v>
      </c>
      <c r="R106" s="15">
        <f>IF(B106="","",TEXT(B106,"yyyy-mm"))</f>
        <v>0</v>
      </c>
      <c r="S106" s="25">
        <f>IF(B106="","",WEEKNUM(B106,2))</f>
        <v>0</v>
      </c>
      <c r="T106" s="37">
        <f>IF(B106="","",IF(K106="",1,K106))</f>
        <v>0</v>
      </c>
      <c r="U106" s="15">
        <f>IF(B106="","",IF(J106&lt;&gt;"",J106,IF(H106="Retail",IFERROR(INDEX(Inventory!$B$5:$B$304,MATCH(I106,Inventory!$A$5:$A$304,0))&amp;"","Not in Inventory"),IFERROR(INDEX(Services!$B$5:$B$204,MATCH(I106,Services!$A$5:$A$204,0))&amp;"","Not in Services"))))</f>
        <v>0</v>
      </c>
      <c r="V106" s="26">
        <f>IF(B106="","",IF(L106&lt;&gt;"",L106,IF(H106="Retail",IFERROR(INDEX(Inventory!$I$5:$I$304,MATCH(I106,Inventory!$A$5:$A$304,0))*1,0),IFERROR(INDEX(Services!$G$5:$G$204,MATCH(I106,Services!$A$5:$A$204,0))*1,0))))</f>
        <v>0</v>
      </c>
      <c r="W106" s="26">
        <f>IF(B106="","",ROUND(T106*V106,2))</f>
        <v>0</v>
      </c>
      <c r="X106" s="26">
        <f>IF(B106="","",ROUND(IF(M106="",0,W106*M106)+IF(N106="",0,N106),2))</f>
        <v>0</v>
      </c>
      <c r="Y106" s="26">
        <f>IF(B106="","",ROUND(W106-X106-IF(P106="",0,P106),2))</f>
        <v>0</v>
      </c>
      <c r="Z106" s="26">
        <f>IF(B106="","",IF(H106="Retail",IF(TaxOnRetail="Yes",ROUND(Y106*TaxRate,2),0),IF(H106="Service",IF(TaxOnServices="Yes",ROUND(Y106*TaxRate,2),0),0)))</f>
        <v>0</v>
      </c>
      <c r="AA106" s="26">
        <f>IF(B106="","",ROUND(Y106+Z106,2))</f>
        <v>0</v>
      </c>
      <c r="AB106" s="26">
        <f>IF(B106="","",ROUND(T106*IF(H106="Retail",IFERROR(INDEX(Inventory!$H$5:$H$304,MATCH(I106,Inventory!$A$5:$A$304,0))*1,0),IFERROR(INDEX(Services!$Q$5:$Q$204,MATCH(I106,Services!$A$5:$A$204,0))*1,0)),2))</f>
        <v>0</v>
      </c>
      <c r="AC106" s="26">
        <f>IF(B106="","",ROUND(Y106-AB106,2))</f>
        <v>0</v>
      </c>
      <c r="AD106" s="38">
        <f>IF(B106="","",IF(C106="","No",IF(COUNTIFS($C$5:C106,C106)=1,"Yes","No")))</f>
        <v>0</v>
      </c>
      <c r="AE106" s="26">
        <f>IF(B106="","",ROUND(SUMIFS(Payments!$G$5:$G$1204,Payments!$H$5:$H$1204,A106,Payments!$Q$5:$Q$1204,"Yes"),2))</f>
        <v>0</v>
      </c>
      <c r="AF106" s="26">
        <f>IF(B106="","",IF(AD106="No",0,ROUND(SUMIFS(Payments!$G$5:$G$1204,Payments!$I$5:$I$1204,C106,Payments!$H$5:$H$1204,"",Payments!$Q$5:$Q$1204,"Yes"),2)))</f>
        <v>0</v>
      </c>
      <c r="AG106" s="26">
        <f>IF(B106="","",ROUND(AE106+AF106,2))</f>
        <v>0</v>
      </c>
      <c r="AH106" s="26">
        <f>IF(B106="","",ROUND(AA106-AG106,2))</f>
        <v>0</v>
      </c>
      <c r="AI106" s="39">
        <f>IF(B106="","",IF(AA106&lt;=0,"No charge",IF(AH106&lt;=0.004,"Paid",IF(AG106&lt;=0.004,"Unpaid","Part paid"))))</f>
        <v>0</v>
      </c>
      <c r="AJ106" s="38">
        <f>IF(B106="","",IF(H106&lt;&gt;"Service","",IF(D106="","No",IF(COUNTIFS($D$5:$D$1204,D106,$B$5:$B$1204,B106,$H$5:$H$1204,"Retail")&gt;0,"Yes","No"))))</f>
        <v>0</v>
      </c>
      <c r="AK106" s="25">
        <f>IF(B106="","",COUNTIFS($Y$5:$Y$1204,"&gt;"&amp;Y106)+COUNTIFS($Y$5:Y106,Y106))</f>
        <v>0</v>
      </c>
      <c r="AL106" s="39">
        <f>IF(B106="","",IF(H106="","Add - what kind of sale is this?",IF(IF(V106&lt;=0,P106="",FALSE),"Check - no price found for this item",IF(F106="","Assign - nobody credited",IF(AH106&gt;0.004,"Unpaid - balance outstanding",IF(AC106&lt;0,"Loss - sold below cost",IF(X106&gt;W106*0.5,"Check - more than half off","OK")))))))</f>
        <v>0</v>
      </c>
    </row>
    <row r="107" spans="1:38">
      <c r="A107" s="28">
        <f>IF(B107="","",SalePrefix&amp;TEXT(ROW()-4,"0000"))</f>
        <v>0</v>
      </c>
      <c r="E107" s="15">
        <f>IF(D107="","",IFERROR(INDEX(Clients!$B$5:$B$504,MATCH(D107,Clients!$A$5:$A$504,0)),"Walk-in"))</f>
        <v>0</v>
      </c>
      <c r="G107" s="15">
        <f>IF(F107="","",IFERROR(INDEX(Staff!$B$5:$B$44,MATCH(F107,Staff!$A$5:$A$44,0)),"House"))</f>
        <v>0</v>
      </c>
      <c r="R107" s="15">
        <f>IF(B107="","",TEXT(B107,"yyyy-mm"))</f>
        <v>0</v>
      </c>
      <c r="S107" s="25">
        <f>IF(B107="","",WEEKNUM(B107,2))</f>
        <v>0</v>
      </c>
      <c r="T107" s="37">
        <f>IF(B107="","",IF(K107="",1,K107))</f>
        <v>0</v>
      </c>
      <c r="U107" s="15">
        <f>IF(B107="","",IF(J107&lt;&gt;"",J107,IF(H107="Retail",IFERROR(INDEX(Inventory!$B$5:$B$304,MATCH(I107,Inventory!$A$5:$A$304,0))&amp;"","Not in Inventory"),IFERROR(INDEX(Services!$B$5:$B$204,MATCH(I107,Services!$A$5:$A$204,0))&amp;"","Not in Services"))))</f>
        <v>0</v>
      </c>
      <c r="V107" s="26">
        <f>IF(B107="","",IF(L107&lt;&gt;"",L107,IF(H107="Retail",IFERROR(INDEX(Inventory!$I$5:$I$304,MATCH(I107,Inventory!$A$5:$A$304,0))*1,0),IFERROR(INDEX(Services!$G$5:$G$204,MATCH(I107,Services!$A$5:$A$204,0))*1,0))))</f>
        <v>0</v>
      </c>
      <c r="W107" s="26">
        <f>IF(B107="","",ROUND(T107*V107,2))</f>
        <v>0</v>
      </c>
      <c r="X107" s="26">
        <f>IF(B107="","",ROUND(IF(M107="",0,W107*M107)+IF(N107="",0,N107),2))</f>
        <v>0</v>
      </c>
      <c r="Y107" s="26">
        <f>IF(B107="","",ROUND(W107-X107-IF(P107="",0,P107),2))</f>
        <v>0</v>
      </c>
      <c r="Z107" s="26">
        <f>IF(B107="","",IF(H107="Retail",IF(TaxOnRetail="Yes",ROUND(Y107*TaxRate,2),0),IF(H107="Service",IF(TaxOnServices="Yes",ROUND(Y107*TaxRate,2),0),0)))</f>
        <v>0</v>
      </c>
      <c r="AA107" s="26">
        <f>IF(B107="","",ROUND(Y107+Z107,2))</f>
        <v>0</v>
      </c>
      <c r="AB107" s="26">
        <f>IF(B107="","",ROUND(T107*IF(H107="Retail",IFERROR(INDEX(Inventory!$H$5:$H$304,MATCH(I107,Inventory!$A$5:$A$304,0))*1,0),IFERROR(INDEX(Services!$Q$5:$Q$204,MATCH(I107,Services!$A$5:$A$204,0))*1,0)),2))</f>
        <v>0</v>
      </c>
      <c r="AC107" s="26">
        <f>IF(B107="","",ROUND(Y107-AB107,2))</f>
        <v>0</v>
      </c>
      <c r="AD107" s="38">
        <f>IF(B107="","",IF(C107="","No",IF(COUNTIFS($C$5:C107,C107)=1,"Yes","No")))</f>
        <v>0</v>
      </c>
      <c r="AE107" s="26">
        <f>IF(B107="","",ROUND(SUMIFS(Payments!$G$5:$G$1204,Payments!$H$5:$H$1204,A107,Payments!$Q$5:$Q$1204,"Yes"),2))</f>
        <v>0</v>
      </c>
      <c r="AF107" s="26">
        <f>IF(B107="","",IF(AD107="No",0,ROUND(SUMIFS(Payments!$G$5:$G$1204,Payments!$I$5:$I$1204,C107,Payments!$H$5:$H$1204,"",Payments!$Q$5:$Q$1204,"Yes"),2)))</f>
        <v>0</v>
      </c>
      <c r="AG107" s="26">
        <f>IF(B107="","",ROUND(AE107+AF107,2))</f>
        <v>0</v>
      </c>
      <c r="AH107" s="26">
        <f>IF(B107="","",ROUND(AA107-AG107,2))</f>
        <v>0</v>
      </c>
      <c r="AI107" s="39">
        <f>IF(B107="","",IF(AA107&lt;=0,"No charge",IF(AH107&lt;=0.004,"Paid",IF(AG107&lt;=0.004,"Unpaid","Part paid"))))</f>
        <v>0</v>
      </c>
      <c r="AJ107" s="38">
        <f>IF(B107="","",IF(H107&lt;&gt;"Service","",IF(D107="","No",IF(COUNTIFS($D$5:$D$1204,D107,$B$5:$B$1204,B107,$H$5:$H$1204,"Retail")&gt;0,"Yes","No"))))</f>
        <v>0</v>
      </c>
      <c r="AK107" s="25">
        <f>IF(B107="","",COUNTIFS($Y$5:$Y$1204,"&gt;"&amp;Y107)+COUNTIFS($Y$5:Y107,Y107))</f>
        <v>0</v>
      </c>
      <c r="AL107" s="39">
        <f>IF(B107="","",IF(H107="","Add - what kind of sale is this?",IF(IF(V107&lt;=0,P107="",FALSE),"Check - no price found for this item",IF(F107="","Assign - nobody credited",IF(AH107&gt;0.004,"Unpaid - balance outstanding",IF(AC107&lt;0,"Loss - sold below cost",IF(X107&gt;W107*0.5,"Check - more than half off","OK")))))))</f>
        <v>0</v>
      </c>
    </row>
    <row r="108" spans="1:38">
      <c r="A108" s="28">
        <f>IF(B108="","",SalePrefix&amp;TEXT(ROW()-4,"0000"))</f>
        <v>0</v>
      </c>
      <c r="E108" s="15">
        <f>IF(D108="","",IFERROR(INDEX(Clients!$B$5:$B$504,MATCH(D108,Clients!$A$5:$A$504,0)),"Walk-in"))</f>
        <v>0</v>
      </c>
      <c r="G108" s="15">
        <f>IF(F108="","",IFERROR(INDEX(Staff!$B$5:$B$44,MATCH(F108,Staff!$A$5:$A$44,0)),"House"))</f>
        <v>0</v>
      </c>
      <c r="R108" s="15">
        <f>IF(B108="","",TEXT(B108,"yyyy-mm"))</f>
        <v>0</v>
      </c>
      <c r="S108" s="25">
        <f>IF(B108="","",WEEKNUM(B108,2))</f>
        <v>0</v>
      </c>
      <c r="T108" s="37">
        <f>IF(B108="","",IF(K108="",1,K108))</f>
        <v>0</v>
      </c>
      <c r="U108" s="15">
        <f>IF(B108="","",IF(J108&lt;&gt;"",J108,IF(H108="Retail",IFERROR(INDEX(Inventory!$B$5:$B$304,MATCH(I108,Inventory!$A$5:$A$304,0))&amp;"","Not in Inventory"),IFERROR(INDEX(Services!$B$5:$B$204,MATCH(I108,Services!$A$5:$A$204,0))&amp;"","Not in Services"))))</f>
        <v>0</v>
      </c>
      <c r="V108" s="26">
        <f>IF(B108="","",IF(L108&lt;&gt;"",L108,IF(H108="Retail",IFERROR(INDEX(Inventory!$I$5:$I$304,MATCH(I108,Inventory!$A$5:$A$304,0))*1,0),IFERROR(INDEX(Services!$G$5:$G$204,MATCH(I108,Services!$A$5:$A$204,0))*1,0))))</f>
        <v>0</v>
      </c>
      <c r="W108" s="26">
        <f>IF(B108="","",ROUND(T108*V108,2))</f>
        <v>0</v>
      </c>
      <c r="X108" s="26">
        <f>IF(B108="","",ROUND(IF(M108="",0,W108*M108)+IF(N108="",0,N108),2))</f>
        <v>0</v>
      </c>
      <c r="Y108" s="26">
        <f>IF(B108="","",ROUND(W108-X108-IF(P108="",0,P108),2))</f>
        <v>0</v>
      </c>
      <c r="Z108" s="26">
        <f>IF(B108="","",IF(H108="Retail",IF(TaxOnRetail="Yes",ROUND(Y108*TaxRate,2),0),IF(H108="Service",IF(TaxOnServices="Yes",ROUND(Y108*TaxRate,2),0),0)))</f>
        <v>0</v>
      </c>
      <c r="AA108" s="26">
        <f>IF(B108="","",ROUND(Y108+Z108,2))</f>
        <v>0</v>
      </c>
      <c r="AB108" s="26">
        <f>IF(B108="","",ROUND(T108*IF(H108="Retail",IFERROR(INDEX(Inventory!$H$5:$H$304,MATCH(I108,Inventory!$A$5:$A$304,0))*1,0),IFERROR(INDEX(Services!$Q$5:$Q$204,MATCH(I108,Services!$A$5:$A$204,0))*1,0)),2))</f>
        <v>0</v>
      </c>
      <c r="AC108" s="26">
        <f>IF(B108="","",ROUND(Y108-AB108,2))</f>
        <v>0</v>
      </c>
      <c r="AD108" s="38">
        <f>IF(B108="","",IF(C108="","No",IF(COUNTIFS($C$5:C108,C108)=1,"Yes","No")))</f>
        <v>0</v>
      </c>
      <c r="AE108" s="26">
        <f>IF(B108="","",ROUND(SUMIFS(Payments!$G$5:$G$1204,Payments!$H$5:$H$1204,A108,Payments!$Q$5:$Q$1204,"Yes"),2))</f>
        <v>0</v>
      </c>
      <c r="AF108" s="26">
        <f>IF(B108="","",IF(AD108="No",0,ROUND(SUMIFS(Payments!$G$5:$G$1204,Payments!$I$5:$I$1204,C108,Payments!$H$5:$H$1204,"",Payments!$Q$5:$Q$1204,"Yes"),2)))</f>
        <v>0</v>
      </c>
      <c r="AG108" s="26">
        <f>IF(B108="","",ROUND(AE108+AF108,2))</f>
        <v>0</v>
      </c>
      <c r="AH108" s="26">
        <f>IF(B108="","",ROUND(AA108-AG108,2))</f>
        <v>0</v>
      </c>
      <c r="AI108" s="39">
        <f>IF(B108="","",IF(AA108&lt;=0,"No charge",IF(AH108&lt;=0.004,"Paid",IF(AG108&lt;=0.004,"Unpaid","Part paid"))))</f>
        <v>0</v>
      </c>
      <c r="AJ108" s="38">
        <f>IF(B108="","",IF(H108&lt;&gt;"Service","",IF(D108="","No",IF(COUNTIFS($D$5:$D$1204,D108,$B$5:$B$1204,B108,$H$5:$H$1204,"Retail")&gt;0,"Yes","No"))))</f>
        <v>0</v>
      </c>
      <c r="AK108" s="25">
        <f>IF(B108="","",COUNTIFS($Y$5:$Y$1204,"&gt;"&amp;Y108)+COUNTIFS($Y$5:Y108,Y108))</f>
        <v>0</v>
      </c>
      <c r="AL108" s="39">
        <f>IF(B108="","",IF(H108="","Add - what kind of sale is this?",IF(IF(V108&lt;=0,P108="",FALSE),"Check - no price found for this item",IF(F108="","Assign - nobody credited",IF(AH108&gt;0.004,"Unpaid - balance outstanding",IF(AC108&lt;0,"Loss - sold below cost",IF(X108&gt;W108*0.5,"Check - more than half off","OK")))))))</f>
        <v>0</v>
      </c>
    </row>
    <row r="109" spans="1:38">
      <c r="A109" s="28">
        <f>IF(B109="","",SalePrefix&amp;TEXT(ROW()-4,"0000"))</f>
        <v>0</v>
      </c>
      <c r="E109" s="15">
        <f>IF(D109="","",IFERROR(INDEX(Clients!$B$5:$B$504,MATCH(D109,Clients!$A$5:$A$504,0)),"Walk-in"))</f>
        <v>0</v>
      </c>
      <c r="G109" s="15">
        <f>IF(F109="","",IFERROR(INDEX(Staff!$B$5:$B$44,MATCH(F109,Staff!$A$5:$A$44,0)),"House"))</f>
        <v>0</v>
      </c>
      <c r="R109" s="15">
        <f>IF(B109="","",TEXT(B109,"yyyy-mm"))</f>
        <v>0</v>
      </c>
      <c r="S109" s="25">
        <f>IF(B109="","",WEEKNUM(B109,2))</f>
        <v>0</v>
      </c>
      <c r="T109" s="37">
        <f>IF(B109="","",IF(K109="",1,K109))</f>
        <v>0</v>
      </c>
      <c r="U109" s="15">
        <f>IF(B109="","",IF(J109&lt;&gt;"",J109,IF(H109="Retail",IFERROR(INDEX(Inventory!$B$5:$B$304,MATCH(I109,Inventory!$A$5:$A$304,0))&amp;"","Not in Inventory"),IFERROR(INDEX(Services!$B$5:$B$204,MATCH(I109,Services!$A$5:$A$204,0))&amp;"","Not in Services"))))</f>
        <v>0</v>
      </c>
      <c r="V109" s="26">
        <f>IF(B109="","",IF(L109&lt;&gt;"",L109,IF(H109="Retail",IFERROR(INDEX(Inventory!$I$5:$I$304,MATCH(I109,Inventory!$A$5:$A$304,0))*1,0),IFERROR(INDEX(Services!$G$5:$G$204,MATCH(I109,Services!$A$5:$A$204,0))*1,0))))</f>
        <v>0</v>
      </c>
      <c r="W109" s="26">
        <f>IF(B109="","",ROUND(T109*V109,2))</f>
        <v>0</v>
      </c>
      <c r="X109" s="26">
        <f>IF(B109="","",ROUND(IF(M109="",0,W109*M109)+IF(N109="",0,N109),2))</f>
        <v>0</v>
      </c>
      <c r="Y109" s="26">
        <f>IF(B109="","",ROUND(W109-X109-IF(P109="",0,P109),2))</f>
        <v>0</v>
      </c>
      <c r="Z109" s="26">
        <f>IF(B109="","",IF(H109="Retail",IF(TaxOnRetail="Yes",ROUND(Y109*TaxRate,2),0),IF(H109="Service",IF(TaxOnServices="Yes",ROUND(Y109*TaxRate,2),0),0)))</f>
        <v>0</v>
      </c>
      <c r="AA109" s="26">
        <f>IF(B109="","",ROUND(Y109+Z109,2))</f>
        <v>0</v>
      </c>
      <c r="AB109" s="26">
        <f>IF(B109="","",ROUND(T109*IF(H109="Retail",IFERROR(INDEX(Inventory!$H$5:$H$304,MATCH(I109,Inventory!$A$5:$A$304,0))*1,0),IFERROR(INDEX(Services!$Q$5:$Q$204,MATCH(I109,Services!$A$5:$A$204,0))*1,0)),2))</f>
        <v>0</v>
      </c>
      <c r="AC109" s="26">
        <f>IF(B109="","",ROUND(Y109-AB109,2))</f>
        <v>0</v>
      </c>
      <c r="AD109" s="38">
        <f>IF(B109="","",IF(C109="","No",IF(COUNTIFS($C$5:C109,C109)=1,"Yes","No")))</f>
        <v>0</v>
      </c>
      <c r="AE109" s="26">
        <f>IF(B109="","",ROUND(SUMIFS(Payments!$G$5:$G$1204,Payments!$H$5:$H$1204,A109,Payments!$Q$5:$Q$1204,"Yes"),2))</f>
        <v>0</v>
      </c>
      <c r="AF109" s="26">
        <f>IF(B109="","",IF(AD109="No",0,ROUND(SUMIFS(Payments!$G$5:$G$1204,Payments!$I$5:$I$1204,C109,Payments!$H$5:$H$1204,"",Payments!$Q$5:$Q$1204,"Yes"),2)))</f>
        <v>0</v>
      </c>
      <c r="AG109" s="26">
        <f>IF(B109="","",ROUND(AE109+AF109,2))</f>
        <v>0</v>
      </c>
      <c r="AH109" s="26">
        <f>IF(B109="","",ROUND(AA109-AG109,2))</f>
        <v>0</v>
      </c>
      <c r="AI109" s="39">
        <f>IF(B109="","",IF(AA109&lt;=0,"No charge",IF(AH109&lt;=0.004,"Paid",IF(AG109&lt;=0.004,"Unpaid","Part paid"))))</f>
        <v>0</v>
      </c>
      <c r="AJ109" s="38">
        <f>IF(B109="","",IF(H109&lt;&gt;"Service","",IF(D109="","No",IF(COUNTIFS($D$5:$D$1204,D109,$B$5:$B$1204,B109,$H$5:$H$1204,"Retail")&gt;0,"Yes","No"))))</f>
        <v>0</v>
      </c>
      <c r="AK109" s="25">
        <f>IF(B109="","",COUNTIFS($Y$5:$Y$1204,"&gt;"&amp;Y109)+COUNTIFS($Y$5:Y109,Y109))</f>
        <v>0</v>
      </c>
      <c r="AL109" s="39">
        <f>IF(B109="","",IF(H109="","Add - what kind of sale is this?",IF(IF(V109&lt;=0,P109="",FALSE),"Check - no price found for this item",IF(F109="","Assign - nobody credited",IF(AH109&gt;0.004,"Unpaid - balance outstanding",IF(AC109&lt;0,"Loss - sold below cost",IF(X109&gt;W109*0.5,"Check - more than half off","OK")))))))</f>
        <v>0</v>
      </c>
    </row>
    <row r="110" spans="1:38">
      <c r="A110" s="28">
        <f>IF(B110="","",SalePrefix&amp;TEXT(ROW()-4,"0000"))</f>
        <v>0</v>
      </c>
      <c r="E110" s="15">
        <f>IF(D110="","",IFERROR(INDEX(Clients!$B$5:$B$504,MATCH(D110,Clients!$A$5:$A$504,0)),"Walk-in"))</f>
        <v>0</v>
      </c>
      <c r="G110" s="15">
        <f>IF(F110="","",IFERROR(INDEX(Staff!$B$5:$B$44,MATCH(F110,Staff!$A$5:$A$44,0)),"House"))</f>
        <v>0</v>
      </c>
      <c r="R110" s="15">
        <f>IF(B110="","",TEXT(B110,"yyyy-mm"))</f>
        <v>0</v>
      </c>
      <c r="S110" s="25">
        <f>IF(B110="","",WEEKNUM(B110,2))</f>
        <v>0</v>
      </c>
      <c r="T110" s="37">
        <f>IF(B110="","",IF(K110="",1,K110))</f>
        <v>0</v>
      </c>
      <c r="U110" s="15">
        <f>IF(B110="","",IF(J110&lt;&gt;"",J110,IF(H110="Retail",IFERROR(INDEX(Inventory!$B$5:$B$304,MATCH(I110,Inventory!$A$5:$A$304,0))&amp;"","Not in Inventory"),IFERROR(INDEX(Services!$B$5:$B$204,MATCH(I110,Services!$A$5:$A$204,0))&amp;"","Not in Services"))))</f>
        <v>0</v>
      </c>
      <c r="V110" s="26">
        <f>IF(B110="","",IF(L110&lt;&gt;"",L110,IF(H110="Retail",IFERROR(INDEX(Inventory!$I$5:$I$304,MATCH(I110,Inventory!$A$5:$A$304,0))*1,0),IFERROR(INDEX(Services!$G$5:$G$204,MATCH(I110,Services!$A$5:$A$204,0))*1,0))))</f>
        <v>0</v>
      </c>
      <c r="W110" s="26">
        <f>IF(B110="","",ROUND(T110*V110,2))</f>
        <v>0</v>
      </c>
      <c r="X110" s="26">
        <f>IF(B110="","",ROUND(IF(M110="",0,W110*M110)+IF(N110="",0,N110),2))</f>
        <v>0</v>
      </c>
      <c r="Y110" s="26">
        <f>IF(B110="","",ROUND(W110-X110-IF(P110="",0,P110),2))</f>
        <v>0</v>
      </c>
      <c r="Z110" s="26">
        <f>IF(B110="","",IF(H110="Retail",IF(TaxOnRetail="Yes",ROUND(Y110*TaxRate,2),0),IF(H110="Service",IF(TaxOnServices="Yes",ROUND(Y110*TaxRate,2),0),0)))</f>
        <v>0</v>
      </c>
      <c r="AA110" s="26">
        <f>IF(B110="","",ROUND(Y110+Z110,2))</f>
        <v>0</v>
      </c>
      <c r="AB110" s="26">
        <f>IF(B110="","",ROUND(T110*IF(H110="Retail",IFERROR(INDEX(Inventory!$H$5:$H$304,MATCH(I110,Inventory!$A$5:$A$304,0))*1,0),IFERROR(INDEX(Services!$Q$5:$Q$204,MATCH(I110,Services!$A$5:$A$204,0))*1,0)),2))</f>
        <v>0</v>
      </c>
      <c r="AC110" s="26">
        <f>IF(B110="","",ROUND(Y110-AB110,2))</f>
        <v>0</v>
      </c>
      <c r="AD110" s="38">
        <f>IF(B110="","",IF(C110="","No",IF(COUNTIFS($C$5:C110,C110)=1,"Yes","No")))</f>
        <v>0</v>
      </c>
      <c r="AE110" s="26">
        <f>IF(B110="","",ROUND(SUMIFS(Payments!$G$5:$G$1204,Payments!$H$5:$H$1204,A110,Payments!$Q$5:$Q$1204,"Yes"),2))</f>
        <v>0</v>
      </c>
      <c r="AF110" s="26">
        <f>IF(B110="","",IF(AD110="No",0,ROUND(SUMIFS(Payments!$G$5:$G$1204,Payments!$I$5:$I$1204,C110,Payments!$H$5:$H$1204,"",Payments!$Q$5:$Q$1204,"Yes"),2)))</f>
        <v>0</v>
      </c>
      <c r="AG110" s="26">
        <f>IF(B110="","",ROUND(AE110+AF110,2))</f>
        <v>0</v>
      </c>
      <c r="AH110" s="26">
        <f>IF(B110="","",ROUND(AA110-AG110,2))</f>
        <v>0</v>
      </c>
      <c r="AI110" s="39">
        <f>IF(B110="","",IF(AA110&lt;=0,"No charge",IF(AH110&lt;=0.004,"Paid",IF(AG110&lt;=0.004,"Unpaid","Part paid"))))</f>
        <v>0</v>
      </c>
      <c r="AJ110" s="38">
        <f>IF(B110="","",IF(H110&lt;&gt;"Service","",IF(D110="","No",IF(COUNTIFS($D$5:$D$1204,D110,$B$5:$B$1204,B110,$H$5:$H$1204,"Retail")&gt;0,"Yes","No"))))</f>
        <v>0</v>
      </c>
      <c r="AK110" s="25">
        <f>IF(B110="","",COUNTIFS($Y$5:$Y$1204,"&gt;"&amp;Y110)+COUNTIFS($Y$5:Y110,Y110))</f>
        <v>0</v>
      </c>
      <c r="AL110" s="39">
        <f>IF(B110="","",IF(H110="","Add - what kind of sale is this?",IF(IF(V110&lt;=0,P110="",FALSE),"Check - no price found for this item",IF(F110="","Assign - nobody credited",IF(AH110&gt;0.004,"Unpaid - balance outstanding",IF(AC110&lt;0,"Loss - sold below cost",IF(X110&gt;W110*0.5,"Check - more than half off","OK")))))))</f>
        <v>0</v>
      </c>
    </row>
    <row r="111" spans="1:38">
      <c r="A111" s="28">
        <f>IF(B111="","",SalePrefix&amp;TEXT(ROW()-4,"0000"))</f>
        <v>0</v>
      </c>
      <c r="E111" s="15">
        <f>IF(D111="","",IFERROR(INDEX(Clients!$B$5:$B$504,MATCH(D111,Clients!$A$5:$A$504,0)),"Walk-in"))</f>
        <v>0</v>
      </c>
      <c r="G111" s="15">
        <f>IF(F111="","",IFERROR(INDEX(Staff!$B$5:$B$44,MATCH(F111,Staff!$A$5:$A$44,0)),"House"))</f>
        <v>0</v>
      </c>
      <c r="R111" s="15">
        <f>IF(B111="","",TEXT(B111,"yyyy-mm"))</f>
        <v>0</v>
      </c>
      <c r="S111" s="25">
        <f>IF(B111="","",WEEKNUM(B111,2))</f>
        <v>0</v>
      </c>
      <c r="T111" s="37">
        <f>IF(B111="","",IF(K111="",1,K111))</f>
        <v>0</v>
      </c>
      <c r="U111" s="15">
        <f>IF(B111="","",IF(J111&lt;&gt;"",J111,IF(H111="Retail",IFERROR(INDEX(Inventory!$B$5:$B$304,MATCH(I111,Inventory!$A$5:$A$304,0))&amp;"","Not in Inventory"),IFERROR(INDEX(Services!$B$5:$B$204,MATCH(I111,Services!$A$5:$A$204,0))&amp;"","Not in Services"))))</f>
        <v>0</v>
      </c>
      <c r="V111" s="26">
        <f>IF(B111="","",IF(L111&lt;&gt;"",L111,IF(H111="Retail",IFERROR(INDEX(Inventory!$I$5:$I$304,MATCH(I111,Inventory!$A$5:$A$304,0))*1,0),IFERROR(INDEX(Services!$G$5:$G$204,MATCH(I111,Services!$A$5:$A$204,0))*1,0))))</f>
        <v>0</v>
      </c>
      <c r="W111" s="26">
        <f>IF(B111="","",ROUND(T111*V111,2))</f>
        <v>0</v>
      </c>
      <c r="X111" s="26">
        <f>IF(B111="","",ROUND(IF(M111="",0,W111*M111)+IF(N111="",0,N111),2))</f>
        <v>0</v>
      </c>
      <c r="Y111" s="26">
        <f>IF(B111="","",ROUND(W111-X111-IF(P111="",0,P111),2))</f>
        <v>0</v>
      </c>
      <c r="Z111" s="26">
        <f>IF(B111="","",IF(H111="Retail",IF(TaxOnRetail="Yes",ROUND(Y111*TaxRate,2),0),IF(H111="Service",IF(TaxOnServices="Yes",ROUND(Y111*TaxRate,2),0),0)))</f>
        <v>0</v>
      </c>
      <c r="AA111" s="26">
        <f>IF(B111="","",ROUND(Y111+Z111,2))</f>
        <v>0</v>
      </c>
      <c r="AB111" s="26">
        <f>IF(B111="","",ROUND(T111*IF(H111="Retail",IFERROR(INDEX(Inventory!$H$5:$H$304,MATCH(I111,Inventory!$A$5:$A$304,0))*1,0),IFERROR(INDEX(Services!$Q$5:$Q$204,MATCH(I111,Services!$A$5:$A$204,0))*1,0)),2))</f>
        <v>0</v>
      </c>
      <c r="AC111" s="26">
        <f>IF(B111="","",ROUND(Y111-AB111,2))</f>
        <v>0</v>
      </c>
      <c r="AD111" s="38">
        <f>IF(B111="","",IF(C111="","No",IF(COUNTIFS($C$5:C111,C111)=1,"Yes","No")))</f>
        <v>0</v>
      </c>
      <c r="AE111" s="26">
        <f>IF(B111="","",ROUND(SUMIFS(Payments!$G$5:$G$1204,Payments!$H$5:$H$1204,A111,Payments!$Q$5:$Q$1204,"Yes"),2))</f>
        <v>0</v>
      </c>
      <c r="AF111" s="26">
        <f>IF(B111="","",IF(AD111="No",0,ROUND(SUMIFS(Payments!$G$5:$G$1204,Payments!$I$5:$I$1204,C111,Payments!$H$5:$H$1204,"",Payments!$Q$5:$Q$1204,"Yes"),2)))</f>
        <v>0</v>
      </c>
      <c r="AG111" s="26">
        <f>IF(B111="","",ROUND(AE111+AF111,2))</f>
        <v>0</v>
      </c>
      <c r="AH111" s="26">
        <f>IF(B111="","",ROUND(AA111-AG111,2))</f>
        <v>0</v>
      </c>
      <c r="AI111" s="39">
        <f>IF(B111="","",IF(AA111&lt;=0,"No charge",IF(AH111&lt;=0.004,"Paid",IF(AG111&lt;=0.004,"Unpaid","Part paid"))))</f>
        <v>0</v>
      </c>
      <c r="AJ111" s="38">
        <f>IF(B111="","",IF(H111&lt;&gt;"Service","",IF(D111="","No",IF(COUNTIFS($D$5:$D$1204,D111,$B$5:$B$1204,B111,$H$5:$H$1204,"Retail")&gt;0,"Yes","No"))))</f>
        <v>0</v>
      </c>
      <c r="AK111" s="25">
        <f>IF(B111="","",COUNTIFS($Y$5:$Y$1204,"&gt;"&amp;Y111)+COUNTIFS($Y$5:Y111,Y111))</f>
        <v>0</v>
      </c>
      <c r="AL111" s="39">
        <f>IF(B111="","",IF(H111="","Add - what kind of sale is this?",IF(IF(V111&lt;=0,P111="",FALSE),"Check - no price found for this item",IF(F111="","Assign - nobody credited",IF(AH111&gt;0.004,"Unpaid - balance outstanding",IF(AC111&lt;0,"Loss - sold below cost",IF(X111&gt;W111*0.5,"Check - more than half off","OK")))))))</f>
        <v>0</v>
      </c>
    </row>
    <row r="112" spans="1:38">
      <c r="A112" s="28">
        <f>IF(B112="","",SalePrefix&amp;TEXT(ROW()-4,"0000"))</f>
        <v>0</v>
      </c>
      <c r="E112" s="15">
        <f>IF(D112="","",IFERROR(INDEX(Clients!$B$5:$B$504,MATCH(D112,Clients!$A$5:$A$504,0)),"Walk-in"))</f>
        <v>0</v>
      </c>
      <c r="G112" s="15">
        <f>IF(F112="","",IFERROR(INDEX(Staff!$B$5:$B$44,MATCH(F112,Staff!$A$5:$A$44,0)),"House"))</f>
        <v>0</v>
      </c>
      <c r="R112" s="15">
        <f>IF(B112="","",TEXT(B112,"yyyy-mm"))</f>
        <v>0</v>
      </c>
      <c r="S112" s="25">
        <f>IF(B112="","",WEEKNUM(B112,2))</f>
        <v>0</v>
      </c>
      <c r="T112" s="37">
        <f>IF(B112="","",IF(K112="",1,K112))</f>
        <v>0</v>
      </c>
      <c r="U112" s="15">
        <f>IF(B112="","",IF(J112&lt;&gt;"",J112,IF(H112="Retail",IFERROR(INDEX(Inventory!$B$5:$B$304,MATCH(I112,Inventory!$A$5:$A$304,0))&amp;"","Not in Inventory"),IFERROR(INDEX(Services!$B$5:$B$204,MATCH(I112,Services!$A$5:$A$204,0))&amp;"","Not in Services"))))</f>
        <v>0</v>
      </c>
      <c r="V112" s="26">
        <f>IF(B112="","",IF(L112&lt;&gt;"",L112,IF(H112="Retail",IFERROR(INDEX(Inventory!$I$5:$I$304,MATCH(I112,Inventory!$A$5:$A$304,0))*1,0),IFERROR(INDEX(Services!$G$5:$G$204,MATCH(I112,Services!$A$5:$A$204,0))*1,0))))</f>
        <v>0</v>
      </c>
      <c r="W112" s="26">
        <f>IF(B112="","",ROUND(T112*V112,2))</f>
        <v>0</v>
      </c>
      <c r="X112" s="26">
        <f>IF(B112="","",ROUND(IF(M112="",0,W112*M112)+IF(N112="",0,N112),2))</f>
        <v>0</v>
      </c>
      <c r="Y112" s="26">
        <f>IF(B112="","",ROUND(W112-X112-IF(P112="",0,P112),2))</f>
        <v>0</v>
      </c>
      <c r="Z112" s="26">
        <f>IF(B112="","",IF(H112="Retail",IF(TaxOnRetail="Yes",ROUND(Y112*TaxRate,2),0),IF(H112="Service",IF(TaxOnServices="Yes",ROUND(Y112*TaxRate,2),0),0)))</f>
        <v>0</v>
      </c>
      <c r="AA112" s="26">
        <f>IF(B112="","",ROUND(Y112+Z112,2))</f>
        <v>0</v>
      </c>
      <c r="AB112" s="26">
        <f>IF(B112="","",ROUND(T112*IF(H112="Retail",IFERROR(INDEX(Inventory!$H$5:$H$304,MATCH(I112,Inventory!$A$5:$A$304,0))*1,0),IFERROR(INDEX(Services!$Q$5:$Q$204,MATCH(I112,Services!$A$5:$A$204,0))*1,0)),2))</f>
        <v>0</v>
      </c>
      <c r="AC112" s="26">
        <f>IF(B112="","",ROUND(Y112-AB112,2))</f>
        <v>0</v>
      </c>
      <c r="AD112" s="38">
        <f>IF(B112="","",IF(C112="","No",IF(COUNTIFS($C$5:C112,C112)=1,"Yes","No")))</f>
        <v>0</v>
      </c>
      <c r="AE112" s="26">
        <f>IF(B112="","",ROUND(SUMIFS(Payments!$G$5:$G$1204,Payments!$H$5:$H$1204,A112,Payments!$Q$5:$Q$1204,"Yes"),2))</f>
        <v>0</v>
      </c>
      <c r="AF112" s="26">
        <f>IF(B112="","",IF(AD112="No",0,ROUND(SUMIFS(Payments!$G$5:$G$1204,Payments!$I$5:$I$1204,C112,Payments!$H$5:$H$1204,"",Payments!$Q$5:$Q$1204,"Yes"),2)))</f>
        <v>0</v>
      </c>
      <c r="AG112" s="26">
        <f>IF(B112="","",ROUND(AE112+AF112,2))</f>
        <v>0</v>
      </c>
      <c r="AH112" s="26">
        <f>IF(B112="","",ROUND(AA112-AG112,2))</f>
        <v>0</v>
      </c>
      <c r="AI112" s="39">
        <f>IF(B112="","",IF(AA112&lt;=0,"No charge",IF(AH112&lt;=0.004,"Paid",IF(AG112&lt;=0.004,"Unpaid","Part paid"))))</f>
        <v>0</v>
      </c>
      <c r="AJ112" s="38">
        <f>IF(B112="","",IF(H112&lt;&gt;"Service","",IF(D112="","No",IF(COUNTIFS($D$5:$D$1204,D112,$B$5:$B$1204,B112,$H$5:$H$1204,"Retail")&gt;0,"Yes","No"))))</f>
        <v>0</v>
      </c>
      <c r="AK112" s="25">
        <f>IF(B112="","",COUNTIFS($Y$5:$Y$1204,"&gt;"&amp;Y112)+COUNTIFS($Y$5:Y112,Y112))</f>
        <v>0</v>
      </c>
      <c r="AL112" s="39">
        <f>IF(B112="","",IF(H112="","Add - what kind of sale is this?",IF(IF(V112&lt;=0,P112="",FALSE),"Check - no price found for this item",IF(F112="","Assign - nobody credited",IF(AH112&gt;0.004,"Unpaid - balance outstanding",IF(AC112&lt;0,"Loss - sold below cost",IF(X112&gt;W112*0.5,"Check - more than half off","OK")))))))</f>
        <v>0</v>
      </c>
    </row>
    <row r="113" spans="1:38">
      <c r="A113" s="28">
        <f>IF(B113="","",SalePrefix&amp;TEXT(ROW()-4,"0000"))</f>
        <v>0</v>
      </c>
      <c r="E113" s="15">
        <f>IF(D113="","",IFERROR(INDEX(Clients!$B$5:$B$504,MATCH(D113,Clients!$A$5:$A$504,0)),"Walk-in"))</f>
        <v>0</v>
      </c>
      <c r="G113" s="15">
        <f>IF(F113="","",IFERROR(INDEX(Staff!$B$5:$B$44,MATCH(F113,Staff!$A$5:$A$44,0)),"House"))</f>
        <v>0</v>
      </c>
      <c r="R113" s="15">
        <f>IF(B113="","",TEXT(B113,"yyyy-mm"))</f>
        <v>0</v>
      </c>
      <c r="S113" s="25">
        <f>IF(B113="","",WEEKNUM(B113,2))</f>
        <v>0</v>
      </c>
      <c r="T113" s="37">
        <f>IF(B113="","",IF(K113="",1,K113))</f>
        <v>0</v>
      </c>
      <c r="U113" s="15">
        <f>IF(B113="","",IF(J113&lt;&gt;"",J113,IF(H113="Retail",IFERROR(INDEX(Inventory!$B$5:$B$304,MATCH(I113,Inventory!$A$5:$A$304,0))&amp;"","Not in Inventory"),IFERROR(INDEX(Services!$B$5:$B$204,MATCH(I113,Services!$A$5:$A$204,0))&amp;"","Not in Services"))))</f>
        <v>0</v>
      </c>
      <c r="V113" s="26">
        <f>IF(B113="","",IF(L113&lt;&gt;"",L113,IF(H113="Retail",IFERROR(INDEX(Inventory!$I$5:$I$304,MATCH(I113,Inventory!$A$5:$A$304,0))*1,0),IFERROR(INDEX(Services!$G$5:$G$204,MATCH(I113,Services!$A$5:$A$204,0))*1,0))))</f>
        <v>0</v>
      </c>
      <c r="W113" s="26">
        <f>IF(B113="","",ROUND(T113*V113,2))</f>
        <v>0</v>
      </c>
      <c r="X113" s="26">
        <f>IF(B113="","",ROUND(IF(M113="",0,W113*M113)+IF(N113="",0,N113),2))</f>
        <v>0</v>
      </c>
      <c r="Y113" s="26">
        <f>IF(B113="","",ROUND(W113-X113-IF(P113="",0,P113),2))</f>
        <v>0</v>
      </c>
      <c r="Z113" s="26">
        <f>IF(B113="","",IF(H113="Retail",IF(TaxOnRetail="Yes",ROUND(Y113*TaxRate,2),0),IF(H113="Service",IF(TaxOnServices="Yes",ROUND(Y113*TaxRate,2),0),0)))</f>
        <v>0</v>
      </c>
      <c r="AA113" s="26">
        <f>IF(B113="","",ROUND(Y113+Z113,2))</f>
        <v>0</v>
      </c>
      <c r="AB113" s="26">
        <f>IF(B113="","",ROUND(T113*IF(H113="Retail",IFERROR(INDEX(Inventory!$H$5:$H$304,MATCH(I113,Inventory!$A$5:$A$304,0))*1,0),IFERROR(INDEX(Services!$Q$5:$Q$204,MATCH(I113,Services!$A$5:$A$204,0))*1,0)),2))</f>
        <v>0</v>
      </c>
      <c r="AC113" s="26">
        <f>IF(B113="","",ROUND(Y113-AB113,2))</f>
        <v>0</v>
      </c>
      <c r="AD113" s="38">
        <f>IF(B113="","",IF(C113="","No",IF(COUNTIFS($C$5:C113,C113)=1,"Yes","No")))</f>
        <v>0</v>
      </c>
      <c r="AE113" s="26">
        <f>IF(B113="","",ROUND(SUMIFS(Payments!$G$5:$G$1204,Payments!$H$5:$H$1204,A113,Payments!$Q$5:$Q$1204,"Yes"),2))</f>
        <v>0</v>
      </c>
      <c r="AF113" s="26">
        <f>IF(B113="","",IF(AD113="No",0,ROUND(SUMIFS(Payments!$G$5:$G$1204,Payments!$I$5:$I$1204,C113,Payments!$H$5:$H$1204,"",Payments!$Q$5:$Q$1204,"Yes"),2)))</f>
        <v>0</v>
      </c>
      <c r="AG113" s="26">
        <f>IF(B113="","",ROUND(AE113+AF113,2))</f>
        <v>0</v>
      </c>
      <c r="AH113" s="26">
        <f>IF(B113="","",ROUND(AA113-AG113,2))</f>
        <v>0</v>
      </c>
      <c r="AI113" s="39">
        <f>IF(B113="","",IF(AA113&lt;=0,"No charge",IF(AH113&lt;=0.004,"Paid",IF(AG113&lt;=0.004,"Unpaid","Part paid"))))</f>
        <v>0</v>
      </c>
      <c r="AJ113" s="38">
        <f>IF(B113="","",IF(H113&lt;&gt;"Service","",IF(D113="","No",IF(COUNTIFS($D$5:$D$1204,D113,$B$5:$B$1204,B113,$H$5:$H$1204,"Retail")&gt;0,"Yes","No"))))</f>
        <v>0</v>
      </c>
      <c r="AK113" s="25">
        <f>IF(B113="","",COUNTIFS($Y$5:$Y$1204,"&gt;"&amp;Y113)+COUNTIFS($Y$5:Y113,Y113))</f>
        <v>0</v>
      </c>
      <c r="AL113" s="39">
        <f>IF(B113="","",IF(H113="","Add - what kind of sale is this?",IF(IF(V113&lt;=0,P113="",FALSE),"Check - no price found for this item",IF(F113="","Assign - nobody credited",IF(AH113&gt;0.004,"Unpaid - balance outstanding",IF(AC113&lt;0,"Loss - sold below cost",IF(X113&gt;W113*0.5,"Check - more than half off","OK")))))))</f>
        <v>0</v>
      </c>
    </row>
    <row r="114" spans="1:38">
      <c r="A114" s="28">
        <f>IF(B114="","",SalePrefix&amp;TEXT(ROW()-4,"0000"))</f>
        <v>0</v>
      </c>
      <c r="E114" s="15">
        <f>IF(D114="","",IFERROR(INDEX(Clients!$B$5:$B$504,MATCH(D114,Clients!$A$5:$A$504,0)),"Walk-in"))</f>
        <v>0</v>
      </c>
      <c r="G114" s="15">
        <f>IF(F114="","",IFERROR(INDEX(Staff!$B$5:$B$44,MATCH(F114,Staff!$A$5:$A$44,0)),"House"))</f>
        <v>0</v>
      </c>
      <c r="R114" s="15">
        <f>IF(B114="","",TEXT(B114,"yyyy-mm"))</f>
        <v>0</v>
      </c>
      <c r="S114" s="25">
        <f>IF(B114="","",WEEKNUM(B114,2))</f>
        <v>0</v>
      </c>
      <c r="T114" s="37">
        <f>IF(B114="","",IF(K114="",1,K114))</f>
        <v>0</v>
      </c>
      <c r="U114" s="15">
        <f>IF(B114="","",IF(J114&lt;&gt;"",J114,IF(H114="Retail",IFERROR(INDEX(Inventory!$B$5:$B$304,MATCH(I114,Inventory!$A$5:$A$304,0))&amp;"","Not in Inventory"),IFERROR(INDEX(Services!$B$5:$B$204,MATCH(I114,Services!$A$5:$A$204,0))&amp;"","Not in Services"))))</f>
        <v>0</v>
      </c>
      <c r="V114" s="26">
        <f>IF(B114="","",IF(L114&lt;&gt;"",L114,IF(H114="Retail",IFERROR(INDEX(Inventory!$I$5:$I$304,MATCH(I114,Inventory!$A$5:$A$304,0))*1,0),IFERROR(INDEX(Services!$G$5:$G$204,MATCH(I114,Services!$A$5:$A$204,0))*1,0))))</f>
        <v>0</v>
      </c>
      <c r="W114" s="26">
        <f>IF(B114="","",ROUND(T114*V114,2))</f>
        <v>0</v>
      </c>
      <c r="X114" s="26">
        <f>IF(B114="","",ROUND(IF(M114="",0,W114*M114)+IF(N114="",0,N114),2))</f>
        <v>0</v>
      </c>
      <c r="Y114" s="26">
        <f>IF(B114="","",ROUND(W114-X114-IF(P114="",0,P114),2))</f>
        <v>0</v>
      </c>
      <c r="Z114" s="26">
        <f>IF(B114="","",IF(H114="Retail",IF(TaxOnRetail="Yes",ROUND(Y114*TaxRate,2),0),IF(H114="Service",IF(TaxOnServices="Yes",ROUND(Y114*TaxRate,2),0),0)))</f>
        <v>0</v>
      </c>
      <c r="AA114" s="26">
        <f>IF(B114="","",ROUND(Y114+Z114,2))</f>
        <v>0</v>
      </c>
      <c r="AB114" s="26">
        <f>IF(B114="","",ROUND(T114*IF(H114="Retail",IFERROR(INDEX(Inventory!$H$5:$H$304,MATCH(I114,Inventory!$A$5:$A$304,0))*1,0),IFERROR(INDEX(Services!$Q$5:$Q$204,MATCH(I114,Services!$A$5:$A$204,0))*1,0)),2))</f>
        <v>0</v>
      </c>
      <c r="AC114" s="26">
        <f>IF(B114="","",ROUND(Y114-AB114,2))</f>
        <v>0</v>
      </c>
      <c r="AD114" s="38">
        <f>IF(B114="","",IF(C114="","No",IF(COUNTIFS($C$5:C114,C114)=1,"Yes","No")))</f>
        <v>0</v>
      </c>
      <c r="AE114" s="26">
        <f>IF(B114="","",ROUND(SUMIFS(Payments!$G$5:$G$1204,Payments!$H$5:$H$1204,A114,Payments!$Q$5:$Q$1204,"Yes"),2))</f>
        <v>0</v>
      </c>
      <c r="AF114" s="26">
        <f>IF(B114="","",IF(AD114="No",0,ROUND(SUMIFS(Payments!$G$5:$G$1204,Payments!$I$5:$I$1204,C114,Payments!$H$5:$H$1204,"",Payments!$Q$5:$Q$1204,"Yes"),2)))</f>
        <v>0</v>
      </c>
      <c r="AG114" s="26">
        <f>IF(B114="","",ROUND(AE114+AF114,2))</f>
        <v>0</v>
      </c>
      <c r="AH114" s="26">
        <f>IF(B114="","",ROUND(AA114-AG114,2))</f>
        <v>0</v>
      </c>
      <c r="AI114" s="39">
        <f>IF(B114="","",IF(AA114&lt;=0,"No charge",IF(AH114&lt;=0.004,"Paid",IF(AG114&lt;=0.004,"Unpaid","Part paid"))))</f>
        <v>0</v>
      </c>
      <c r="AJ114" s="38">
        <f>IF(B114="","",IF(H114&lt;&gt;"Service","",IF(D114="","No",IF(COUNTIFS($D$5:$D$1204,D114,$B$5:$B$1204,B114,$H$5:$H$1204,"Retail")&gt;0,"Yes","No"))))</f>
        <v>0</v>
      </c>
      <c r="AK114" s="25">
        <f>IF(B114="","",COUNTIFS($Y$5:$Y$1204,"&gt;"&amp;Y114)+COUNTIFS($Y$5:Y114,Y114))</f>
        <v>0</v>
      </c>
      <c r="AL114" s="39">
        <f>IF(B114="","",IF(H114="","Add - what kind of sale is this?",IF(IF(V114&lt;=0,P114="",FALSE),"Check - no price found for this item",IF(F114="","Assign - nobody credited",IF(AH114&gt;0.004,"Unpaid - balance outstanding",IF(AC114&lt;0,"Loss - sold below cost",IF(X114&gt;W114*0.5,"Check - more than half off","OK")))))))</f>
        <v>0</v>
      </c>
    </row>
    <row r="115" spans="1:38">
      <c r="A115" s="28">
        <f>IF(B115="","",SalePrefix&amp;TEXT(ROW()-4,"0000"))</f>
        <v>0</v>
      </c>
      <c r="E115" s="15">
        <f>IF(D115="","",IFERROR(INDEX(Clients!$B$5:$B$504,MATCH(D115,Clients!$A$5:$A$504,0)),"Walk-in"))</f>
        <v>0</v>
      </c>
      <c r="G115" s="15">
        <f>IF(F115="","",IFERROR(INDEX(Staff!$B$5:$B$44,MATCH(F115,Staff!$A$5:$A$44,0)),"House"))</f>
        <v>0</v>
      </c>
      <c r="R115" s="15">
        <f>IF(B115="","",TEXT(B115,"yyyy-mm"))</f>
        <v>0</v>
      </c>
      <c r="S115" s="25">
        <f>IF(B115="","",WEEKNUM(B115,2))</f>
        <v>0</v>
      </c>
      <c r="T115" s="37">
        <f>IF(B115="","",IF(K115="",1,K115))</f>
        <v>0</v>
      </c>
      <c r="U115" s="15">
        <f>IF(B115="","",IF(J115&lt;&gt;"",J115,IF(H115="Retail",IFERROR(INDEX(Inventory!$B$5:$B$304,MATCH(I115,Inventory!$A$5:$A$304,0))&amp;"","Not in Inventory"),IFERROR(INDEX(Services!$B$5:$B$204,MATCH(I115,Services!$A$5:$A$204,0))&amp;"","Not in Services"))))</f>
        <v>0</v>
      </c>
      <c r="V115" s="26">
        <f>IF(B115="","",IF(L115&lt;&gt;"",L115,IF(H115="Retail",IFERROR(INDEX(Inventory!$I$5:$I$304,MATCH(I115,Inventory!$A$5:$A$304,0))*1,0),IFERROR(INDEX(Services!$G$5:$G$204,MATCH(I115,Services!$A$5:$A$204,0))*1,0))))</f>
        <v>0</v>
      </c>
      <c r="W115" s="26">
        <f>IF(B115="","",ROUND(T115*V115,2))</f>
        <v>0</v>
      </c>
      <c r="X115" s="26">
        <f>IF(B115="","",ROUND(IF(M115="",0,W115*M115)+IF(N115="",0,N115),2))</f>
        <v>0</v>
      </c>
      <c r="Y115" s="26">
        <f>IF(B115="","",ROUND(W115-X115-IF(P115="",0,P115),2))</f>
        <v>0</v>
      </c>
      <c r="Z115" s="26">
        <f>IF(B115="","",IF(H115="Retail",IF(TaxOnRetail="Yes",ROUND(Y115*TaxRate,2),0),IF(H115="Service",IF(TaxOnServices="Yes",ROUND(Y115*TaxRate,2),0),0)))</f>
        <v>0</v>
      </c>
      <c r="AA115" s="26">
        <f>IF(B115="","",ROUND(Y115+Z115,2))</f>
        <v>0</v>
      </c>
      <c r="AB115" s="26">
        <f>IF(B115="","",ROUND(T115*IF(H115="Retail",IFERROR(INDEX(Inventory!$H$5:$H$304,MATCH(I115,Inventory!$A$5:$A$304,0))*1,0),IFERROR(INDEX(Services!$Q$5:$Q$204,MATCH(I115,Services!$A$5:$A$204,0))*1,0)),2))</f>
        <v>0</v>
      </c>
      <c r="AC115" s="26">
        <f>IF(B115="","",ROUND(Y115-AB115,2))</f>
        <v>0</v>
      </c>
      <c r="AD115" s="38">
        <f>IF(B115="","",IF(C115="","No",IF(COUNTIFS($C$5:C115,C115)=1,"Yes","No")))</f>
        <v>0</v>
      </c>
      <c r="AE115" s="26">
        <f>IF(B115="","",ROUND(SUMIFS(Payments!$G$5:$G$1204,Payments!$H$5:$H$1204,A115,Payments!$Q$5:$Q$1204,"Yes"),2))</f>
        <v>0</v>
      </c>
      <c r="AF115" s="26">
        <f>IF(B115="","",IF(AD115="No",0,ROUND(SUMIFS(Payments!$G$5:$G$1204,Payments!$I$5:$I$1204,C115,Payments!$H$5:$H$1204,"",Payments!$Q$5:$Q$1204,"Yes"),2)))</f>
        <v>0</v>
      </c>
      <c r="AG115" s="26">
        <f>IF(B115="","",ROUND(AE115+AF115,2))</f>
        <v>0</v>
      </c>
      <c r="AH115" s="26">
        <f>IF(B115="","",ROUND(AA115-AG115,2))</f>
        <v>0</v>
      </c>
      <c r="AI115" s="39">
        <f>IF(B115="","",IF(AA115&lt;=0,"No charge",IF(AH115&lt;=0.004,"Paid",IF(AG115&lt;=0.004,"Unpaid","Part paid"))))</f>
        <v>0</v>
      </c>
      <c r="AJ115" s="38">
        <f>IF(B115="","",IF(H115&lt;&gt;"Service","",IF(D115="","No",IF(COUNTIFS($D$5:$D$1204,D115,$B$5:$B$1204,B115,$H$5:$H$1204,"Retail")&gt;0,"Yes","No"))))</f>
        <v>0</v>
      </c>
      <c r="AK115" s="25">
        <f>IF(B115="","",COUNTIFS($Y$5:$Y$1204,"&gt;"&amp;Y115)+COUNTIFS($Y$5:Y115,Y115))</f>
        <v>0</v>
      </c>
      <c r="AL115" s="39">
        <f>IF(B115="","",IF(H115="","Add - what kind of sale is this?",IF(IF(V115&lt;=0,P115="",FALSE),"Check - no price found for this item",IF(F115="","Assign - nobody credited",IF(AH115&gt;0.004,"Unpaid - balance outstanding",IF(AC115&lt;0,"Loss - sold below cost",IF(X115&gt;W115*0.5,"Check - more than half off","OK")))))))</f>
        <v>0</v>
      </c>
    </row>
    <row r="116" spans="1:38">
      <c r="A116" s="28">
        <f>IF(B116="","",SalePrefix&amp;TEXT(ROW()-4,"0000"))</f>
        <v>0</v>
      </c>
      <c r="E116" s="15">
        <f>IF(D116="","",IFERROR(INDEX(Clients!$B$5:$B$504,MATCH(D116,Clients!$A$5:$A$504,0)),"Walk-in"))</f>
        <v>0</v>
      </c>
      <c r="G116" s="15">
        <f>IF(F116="","",IFERROR(INDEX(Staff!$B$5:$B$44,MATCH(F116,Staff!$A$5:$A$44,0)),"House"))</f>
        <v>0</v>
      </c>
      <c r="R116" s="15">
        <f>IF(B116="","",TEXT(B116,"yyyy-mm"))</f>
        <v>0</v>
      </c>
      <c r="S116" s="25">
        <f>IF(B116="","",WEEKNUM(B116,2))</f>
        <v>0</v>
      </c>
      <c r="T116" s="37">
        <f>IF(B116="","",IF(K116="",1,K116))</f>
        <v>0</v>
      </c>
      <c r="U116" s="15">
        <f>IF(B116="","",IF(J116&lt;&gt;"",J116,IF(H116="Retail",IFERROR(INDEX(Inventory!$B$5:$B$304,MATCH(I116,Inventory!$A$5:$A$304,0))&amp;"","Not in Inventory"),IFERROR(INDEX(Services!$B$5:$B$204,MATCH(I116,Services!$A$5:$A$204,0))&amp;"","Not in Services"))))</f>
        <v>0</v>
      </c>
      <c r="V116" s="26">
        <f>IF(B116="","",IF(L116&lt;&gt;"",L116,IF(H116="Retail",IFERROR(INDEX(Inventory!$I$5:$I$304,MATCH(I116,Inventory!$A$5:$A$304,0))*1,0),IFERROR(INDEX(Services!$G$5:$G$204,MATCH(I116,Services!$A$5:$A$204,0))*1,0))))</f>
        <v>0</v>
      </c>
      <c r="W116" s="26">
        <f>IF(B116="","",ROUND(T116*V116,2))</f>
        <v>0</v>
      </c>
      <c r="X116" s="26">
        <f>IF(B116="","",ROUND(IF(M116="",0,W116*M116)+IF(N116="",0,N116),2))</f>
        <v>0</v>
      </c>
      <c r="Y116" s="26">
        <f>IF(B116="","",ROUND(W116-X116-IF(P116="",0,P116),2))</f>
        <v>0</v>
      </c>
      <c r="Z116" s="26">
        <f>IF(B116="","",IF(H116="Retail",IF(TaxOnRetail="Yes",ROUND(Y116*TaxRate,2),0),IF(H116="Service",IF(TaxOnServices="Yes",ROUND(Y116*TaxRate,2),0),0)))</f>
        <v>0</v>
      </c>
      <c r="AA116" s="26">
        <f>IF(B116="","",ROUND(Y116+Z116,2))</f>
        <v>0</v>
      </c>
      <c r="AB116" s="26">
        <f>IF(B116="","",ROUND(T116*IF(H116="Retail",IFERROR(INDEX(Inventory!$H$5:$H$304,MATCH(I116,Inventory!$A$5:$A$304,0))*1,0),IFERROR(INDEX(Services!$Q$5:$Q$204,MATCH(I116,Services!$A$5:$A$204,0))*1,0)),2))</f>
        <v>0</v>
      </c>
      <c r="AC116" s="26">
        <f>IF(B116="","",ROUND(Y116-AB116,2))</f>
        <v>0</v>
      </c>
      <c r="AD116" s="38">
        <f>IF(B116="","",IF(C116="","No",IF(COUNTIFS($C$5:C116,C116)=1,"Yes","No")))</f>
        <v>0</v>
      </c>
      <c r="AE116" s="26">
        <f>IF(B116="","",ROUND(SUMIFS(Payments!$G$5:$G$1204,Payments!$H$5:$H$1204,A116,Payments!$Q$5:$Q$1204,"Yes"),2))</f>
        <v>0</v>
      </c>
      <c r="AF116" s="26">
        <f>IF(B116="","",IF(AD116="No",0,ROUND(SUMIFS(Payments!$G$5:$G$1204,Payments!$I$5:$I$1204,C116,Payments!$H$5:$H$1204,"",Payments!$Q$5:$Q$1204,"Yes"),2)))</f>
        <v>0</v>
      </c>
      <c r="AG116" s="26">
        <f>IF(B116="","",ROUND(AE116+AF116,2))</f>
        <v>0</v>
      </c>
      <c r="AH116" s="26">
        <f>IF(B116="","",ROUND(AA116-AG116,2))</f>
        <v>0</v>
      </c>
      <c r="AI116" s="39">
        <f>IF(B116="","",IF(AA116&lt;=0,"No charge",IF(AH116&lt;=0.004,"Paid",IF(AG116&lt;=0.004,"Unpaid","Part paid"))))</f>
        <v>0</v>
      </c>
      <c r="AJ116" s="38">
        <f>IF(B116="","",IF(H116&lt;&gt;"Service","",IF(D116="","No",IF(COUNTIFS($D$5:$D$1204,D116,$B$5:$B$1204,B116,$H$5:$H$1204,"Retail")&gt;0,"Yes","No"))))</f>
        <v>0</v>
      </c>
      <c r="AK116" s="25">
        <f>IF(B116="","",COUNTIFS($Y$5:$Y$1204,"&gt;"&amp;Y116)+COUNTIFS($Y$5:Y116,Y116))</f>
        <v>0</v>
      </c>
      <c r="AL116" s="39">
        <f>IF(B116="","",IF(H116="","Add - what kind of sale is this?",IF(IF(V116&lt;=0,P116="",FALSE),"Check - no price found for this item",IF(F116="","Assign - nobody credited",IF(AH116&gt;0.004,"Unpaid - balance outstanding",IF(AC116&lt;0,"Loss - sold below cost",IF(X116&gt;W116*0.5,"Check - more than half off","OK")))))))</f>
        <v>0</v>
      </c>
    </row>
    <row r="117" spans="1:38">
      <c r="A117" s="28">
        <f>IF(B117="","",SalePrefix&amp;TEXT(ROW()-4,"0000"))</f>
        <v>0</v>
      </c>
      <c r="E117" s="15">
        <f>IF(D117="","",IFERROR(INDEX(Clients!$B$5:$B$504,MATCH(D117,Clients!$A$5:$A$504,0)),"Walk-in"))</f>
        <v>0</v>
      </c>
      <c r="G117" s="15">
        <f>IF(F117="","",IFERROR(INDEX(Staff!$B$5:$B$44,MATCH(F117,Staff!$A$5:$A$44,0)),"House"))</f>
        <v>0</v>
      </c>
      <c r="R117" s="15">
        <f>IF(B117="","",TEXT(B117,"yyyy-mm"))</f>
        <v>0</v>
      </c>
      <c r="S117" s="25">
        <f>IF(B117="","",WEEKNUM(B117,2))</f>
        <v>0</v>
      </c>
      <c r="T117" s="37">
        <f>IF(B117="","",IF(K117="",1,K117))</f>
        <v>0</v>
      </c>
      <c r="U117" s="15">
        <f>IF(B117="","",IF(J117&lt;&gt;"",J117,IF(H117="Retail",IFERROR(INDEX(Inventory!$B$5:$B$304,MATCH(I117,Inventory!$A$5:$A$304,0))&amp;"","Not in Inventory"),IFERROR(INDEX(Services!$B$5:$B$204,MATCH(I117,Services!$A$5:$A$204,0))&amp;"","Not in Services"))))</f>
        <v>0</v>
      </c>
      <c r="V117" s="26">
        <f>IF(B117="","",IF(L117&lt;&gt;"",L117,IF(H117="Retail",IFERROR(INDEX(Inventory!$I$5:$I$304,MATCH(I117,Inventory!$A$5:$A$304,0))*1,0),IFERROR(INDEX(Services!$G$5:$G$204,MATCH(I117,Services!$A$5:$A$204,0))*1,0))))</f>
        <v>0</v>
      </c>
      <c r="W117" s="26">
        <f>IF(B117="","",ROUND(T117*V117,2))</f>
        <v>0</v>
      </c>
      <c r="X117" s="26">
        <f>IF(B117="","",ROUND(IF(M117="",0,W117*M117)+IF(N117="",0,N117),2))</f>
        <v>0</v>
      </c>
      <c r="Y117" s="26">
        <f>IF(B117="","",ROUND(W117-X117-IF(P117="",0,P117),2))</f>
        <v>0</v>
      </c>
      <c r="Z117" s="26">
        <f>IF(B117="","",IF(H117="Retail",IF(TaxOnRetail="Yes",ROUND(Y117*TaxRate,2),0),IF(H117="Service",IF(TaxOnServices="Yes",ROUND(Y117*TaxRate,2),0),0)))</f>
        <v>0</v>
      </c>
      <c r="AA117" s="26">
        <f>IF(B117="","",ROUND(Y117+Z117,2))</f>
        <v>0</v>
      </c>
      <c r="AB117" s="26">
        <f>IF(B117="","",ROUND(T117*IF(H117="Retail",IFERROR(INDEX(Inventory!$H$5:$H$304,MATCH(I117,Inventory!$A$5:$A$304,0))*1,0),IFERROR(INDEX(Services!$Q$5:$Q$204,MATCH(I117,Services!$A$5:$A$204,0))*1,0)),2))</f>
        <v>0</v>
      </c>
      <c r="AC117" s="26">
        <f>IF(B117="","",ROUND(Y117-AB117,2))</f>
        <v>0</v>
      </c>
      <c r="AD117" s="38">
        <f>IF(B117="","",IF(C117="","No",IF(COUNTIFS($C$5:C117,C117)=1,"Yes","No")))</f>
        <v>0</v>
      </c>
      <c r="AE117" s="26">
        <f>IF(B117="","",ROUND(SUMIFS(Payments!$G$5:$G$1204,Payments!$H$5:$H$1204,A117,Payments!$Q$5:$Q$1204,"Yes"),2))</f>
        <v>0</v>
      </c>
      <c r="AF117" s="26">
        <f>IF(B117="","",IF(AD117="No",0,ROUND(SUMIFS(Payments!$G$5:$G$1204,Payments!$I$5:$I$1204,C117,Payments!$H$5:$H$1204,"",Payments!$Q$5:$Q$1204,"Yes"),2)))</f>
        <v>0</v>
      </c>
      <c r="AG117" s="26">
        <f>IF(B117="","",ROUND(AE117+AF117,2))</f>
        <v>0</v>
      </c>
      <c r="AH117" s="26">
        <f>IF(B117="","",ROUND(AA117-AG117,2))</f>
        <v>0</v>
      </c>
      <c r="AI117" s="39">
        <f>IF(B117="","",IF(AA117&lt;=0,"No charge",IF(AH117&lt;=0.004,"Paid",IF(AG117&lt;=0.004,"Unpaid","Part paid"))))</f>
        <v>0</v>
      </c>
      <c r="AJ117" s="38">
        <f>IF(B117="","",IF(H117&lt;&gt;"Service","",IF(D117="","No",IF(COUNTIFS($D$5:$D$1204,D117,$B$5:$B$1204,B117,$H$5:$H$1204,"Retail")&gt;0,"Yes","No"))))</f>
        <v>0</v>
      </c>
      <c r="AK117" s="25">
        <f>IF(B117="","",COUNTIFS($Y$5:$Y$1204,"&gt;"&amp;Y117)+COUNTIFS($Y$5:Y117,Y117))</f>
        <v>0</v>
      </c>
      <c r="AL117" s="39">
        <f>IF(B117="","",IF(H117="","Add - what kind of sale is this?",IF(IF(V117&lt;=0,P117="",FALSE),"Check - no price found for this item",IF(F117="","Assign - nobody credited",IF(AH117&gt;0.004,"Unpaid - balance outstanding",IF(AC117&lt;0,"Loss - sold below cost",IF(X117&gt;W117*0.5,"Check - more than half off","OK")))))))</f>
        <v>0</v>
      </c>
    </row>
    <row r="118" spans="1:38">
      <c r="A118" s="28">
        <f>IF(B118="","",SalePrefix&amp;TEXT(ROW()-4,"0000"))</f>
        <v>0</v>
      </c>
      <c r="E118" s="15">
        <f>IF(D118="","",IFERROR(INDEX(Clients!$B$5:$B$504,MATCH(D118,Clients!$A$5:$A$504,0)),"Walk-in"))</f>
        <v>0</v>
      </c>
      <c r="G118" s="15">
        <f>IF(F118="","",IFERROR(INDEX(Staff!$B$5:$B$44,MATCH(F118,Staff!$A$5:$A$44,0)),"House"))</f>
        <v>0</v>
      </c>
      <c r="R118" s="15">
        <f>IF(B118="","",TEXT(B118,"yyyy-mm"))</f>
        <v>0</v>
      </c>
      <c r="S118" s="25">
        <f>IF(B118="","",WEEKNUM(B118,2))</f>
        <v>0</v>
      </c>
      <c r="T118" s="37">
        <f>IF(B118="","",IF(K118="",1,K118))</f>
        <v>0</v>
      </c>
      <c r="U118" s="15">
        <f>IF(B118="","",IF(J118&lt;&gt;"",J118,IF(H118="Retail",IFERROR(INDEX(Inventory!$B$5:$B$304,MATCH(I118,Inventory!$A$5:$A$304,0))&amp;"","Not in Inventory"),IFERROR(INDEX(Services!$B$5:$B$204,MATCH(I118,Services!$A$5:$A$204,0))&amp;"","Not in Services"))))</f>
        <v>0</v>
      </c>
      <c r="V118" s="26">
        <f>IF(B118="","",IF(L118&lt;&gt;"",L118,IF(H118="Retail",IFERROR(INDEX(Inventory!$I$5:$I$304,MATCH(I118,Inventory!$A$5:$A$304,0))*1,0),IFERROR(INDEX(Services!$G$5:$G$204,MATCH(I118,Services!$A$5:$A$204,0))*1,0))))</f>
        <v>0</v>
      </c>
      <c r="W118" s="26">
        <f>IF(B118="","",ROUND(T118*V118,2))</f>
        <v>0</v>
      </c>
      <c r="X118" s="26">
        <f>IF(B118="","",ROUND(IF(M118="",0,W118*M118)+IF(N118="",0,N118),2))</f>
        <v>0</v>
      </c>
      <c r="Y118" s="26">
        <f>IF(B118="","",ROUND(W118-X118-IF(P118="",0,P118),2))</f>
        <v>0</v>
      </c>
      <c r="Z118" s="26">
        <f>IF(B118="","",IF(H118="Retail",IF(TaxOnRetail="Yes",ROUND(Y118*TaxRate,2),0),IF(H118="Service",IF(TaxOnServices="Yes",ROUND(Y118*TaxRate,2),0),0)))</f>
        <v>0</v>
      </c>
      <c r="AA118" s="26">
        <f>IF(B118="","",ROUND(Y118+Z118,2))</f>
        <v>0</v>
      </c>
      <c r="AB118" s="26">
        <f>IF(B118="","",ROUND(T118*IF(H118="Retail",IFERROR(INDEX(Inventory!$H$5:$H$304,MATCH(I118,Inventory!$A$5:$A$304,0))*1,0),IFERROR(INDEX(Services!$Q$5:$Q$204,MATCH(I118,Services!$A$5:$A$204,0))*1,0)),2))</f>
        <v>0</v>
      </c>
      <c r="AC118" s="26">
        <f>IF(B118="","",ROUND(Y118-AB118,2))</f>
        <v>0</v>
      </c>
      <c r="AD118" s="38">
        <f>IF(B118="","",IF(C118="","No",IF(COUNTIFS($C$5:C118,C118)=1,"Yes","No")))</f>
        <v>0</v>
      </c>
      <c r="AE118" s="26">
        <f>IF(B118="","",ROUND(SUMIFS(Payments!$G$5:$G$1204,Payments!$H$5:$H$1204,A118,Payments!$Q$5:$Q$1204,"Yes"),2))</f>
        <v>0</v>
      </c>
      <c r="AF118" s="26">
        <f>IF(B118="","",IF(AD118="No",0,ROUND(SUMIFS(Payments!$G$5:$G$1204,Payments!$I$5:$I$1204,C118,Payments!$H$5:$H$1204,"",Payments!$Q$5:$Q$1204,"Yes"),2)))</f>
        <v>0</v>
      </c>
      <c r="AG118" s="26">
        <f>IF(B118="","",ROUND(AE118+AF118,2))</f>
        <v>0</v>
      </c>
      <c r="AH118" s="26">
        <f>IF(B118="","",ROUND(AA118-AG118,2))</f>
        <v>0</v>
      </c>
      <c r="AI118" s="39">
        <f>IF(B118="","",IF(AA118&lt;=0,"No charge",IF(AH118&lt;=0.004,"Paid",IF(AG118&lt;=0.004,"Unpaid","Part paid"))))</f>
        <v>0</v>
      </c>
      <c r="AJ118" s="38">
        <f>IF(B118="","",IF(H118&lt;&gt;"Service","",IF(D118="","No",IF(COUNTIFS($D$5:$D$1204,D118,$B$5:$B$1204,B118,$H$5:$H$1204,"Retail")&gt;0,"Yes","No"))))</f>
        <v>0</v>
      </c>
      <c r="AK118" s="25">
        <f>IF(B118="","",COUNTIFS($Y$5:$Y$1204,"&gt;"&amp;Y118)+COUNTIFS($Y$5:Y118,Y118))</f>
        <v>0</v>
      </c>
      <c r="AL118" s="39">
        <f>IF(B118="","",IF(H118="","Add - what kind of sale is this?",IF(IF(V118&lt;=0,P118="",FALSE),"Check - no price found for this item",IF(F118="","Assign - nobody credited",IF(AH118&gt;0.004,"Unpaid - balance outstanding",IF(AC118&lt;0,"Loss - sold below cost",IF(X118&gt;W118*0.5,"Check - more than half off","OK")))))))</f>
        <v>0</v>
      </c>
    </row>
    <row r="119" spans="1:38">
      <c r="A119" s="28">
        <f>IF(B119="","",SalePrefix&amp;TEXT(ROW()-4,"0000"))</f>
        <v>0</v>
      </c>
      <c r="E119" s="15">
        <f>IF(D119="","",IFERROR(INDEX(Clients!$B$5:$B$504,MATCH(D119,Clients!$A$5:$A$504,0)),"Walk-in"))</f>
        <v>0</v>
      </c>
      <c r="G119" s="15">
        <f>IF(F119="","",IFERROR(INDEX(Staff!$B$5:$B$44,MATCH(F119,Staff!$A$5:$A$44,0)),"House"))</f>
        <v>0</v>
      </c>
      <c r="R119" s="15">
        <f>IF(B119="","",TEXT(B119,"yyyy-mm"))</f>
        <v>0</v>
      </c>
      <c r="S119" s="25">
        <f>IF(B119="","",WEEKNUM(B119,2))</f>
        <v>0</v>
      </c>
      <c r="T119" s="37">
        <f>IF(B119="","",IF(K119="",1,K119))</f>
        <v>0</v>
      </c>
      <c r="U119" s="15">
        <f>IF(B119="","",IF(J119&lt;&gt;"",J119,IF(H119="Retail",IFERROR(INDEX(Inventory!$B$5:$B$304,MATCH(I119,Inventory!$A$5:$A$304,0))&amp;"","Not in Inventory"),IFERROR(INDEX(Services!$B$5:$B$204,MATCH(I119,Services!$A$5:$A$204,0))&amp;"","Not in Services"))))</f>
        <v>0</v>
      </c>
      <c r="V119" s="26">
        <f>IF(B119="","",IF(L119&lt;&gt;"",L119,IF(H119="Retail",IFERROR(INDEX(Inventory!$I$5:$I$304,MATCH(I119,Inventory!$A$5:$A$304,0))*1,0),IFERROR(INDEX(Services!$G$5:$G$204,MATCH(I119,Services!$A$5:$A$204,0))*1,0))))</f>
        <v>0</v>
      </c>
      <c r="W119" s="26">
        <f>IF(B119="","",ROUND(T119*V119,2))</f>
        <v>0</v>
      </c>
      <c r="X119" s="26">
        <f>IF(B119="","",ROUND(IF(M119="",0,W119*M119)+IF(N119="",0,N119),2))</f>
        <v>0</v>
      </c>
      <c r="Y119" s="26">
        <f>IF(B119="","",ROUND(W119-X119-IF(P119="",0,P119),2))</f>
        <v>0</v>
      </c>
      <c r="Z119" s="26">
        <f>IF(B119="","",IF(H119="Retail",IF(TaxOnRetail="Yes",ROUND(Y119*TaxRate,2),0),IF(H119="Service",IF(TaxOnServices="Yes",ROUND(Y119*TaxRate,2),0),0)))</f>
        <v>0</v>
      </c>
      <c r="AA119" s="26">
        <f>IF(B119="","",ROUND(Y119+Z119,2))</f>
        <v>0</v>
      </c>
      <c r="AB119" s="26">
        <f>IF(B119="","",ROUND(T119*IF(H119="Retail",IFERROR(INDEX(Inventory!$H$5:$H$304,MATCH(I119,Inventory!$A$5:$A$304,0))*1,0),IFERROR(INDEX(Services!$Q$5:$Q$204,MATCH(I119,Services!$A$5:$A$204,0))*1,0)),2))</f>
        <v>0</v>
      </c>
      <c r="AC119" s="26">
        <f>IF(B119="","",ROUND(Y119-AB119,2))</f>
        <v>0</v>
      </c>
      <c r="AD119" s="38">
        <f>IF(B119="","",IF(C119="","No",IF(COUNTIFS($C$5:C119,C119)=1,"Yes","No")))</f>
        <v>0</v>
      </c>
      <c r="AE119" s="26">
        <f>IF(B119="","",ROUND(SUMIFS(Payments!$G$5:$G$1204,Payments!$H$5:$H$1204,A119,Payments!$Q$5:$Q$1204,"Yes"),2))</f>
        <v>0</v>
      </c>
      <c r="AF119" s="26">
        <f>IF(B119="","",IF(AD119="No",0,ROUND(SUMIFS(Payments!$G$5:$G$1204,Payments!$I$5:$I$1204,C119,Payments!$H$5:$H$1204,"",Payments!$Q$5:$Q$1204,"Yes"),2)))</f>
        <v>0</v>
      </c>
      <c r="AG119" s="26">
        <f>IF(B119="","",ROUND(AE119+AF119,2))</f>
        <v>0</v>
      </c>
      <c r="AH119" s="26">
        <f>IF(B119="","",ROUND(AA119-AG119,2))</f>
        <v>0</v>
      </c>
      <c r="AI119" s="39">
        <f>IF(B119="","",IF(AA119&lt;=0,"No charge",IF(AH119&lt;=0.004,"Paid",IF(AG119&lt;=0.004,"Unpaid","Part paid"))))</f>
        <v>0</v>
      </c>
      <c r="AJ119" s="38">
        <f>IF(B119="","",IF(H119&lt;&gt;"Service","",IF(D119="","No",IF(COUNTIFS($D$5:$D$1204,D119,$B$5:$B$1204,B119,$H$5:$H$1204,"Retail")&gt;0,"Yes","No"))))</f>
        <v>0</v>
      </c>
      <c r="AK119" s="25">
        <f>IF(B119="","",COUNTIFS($Y$5:$Y$1204,"&gt;"&amp;Y119)+COUNTIFS($Y$5:Y119,Y119))</f>
        <v>0</v>
      </c>
      <c r="AL119" s="39">
        <f>IF(B119="","",IF(H119="","Add - what kind of sale is this?",IF(IF(V119&lt;=0,P119="",FALSE),"Check - no price found for this item",IF(F119="","Assign - nobody credited",IF(AH119&gt;0.004,"Unpaid - balance outstanding",IF(AC119&lt;0,"Loss - sold below cost",IF(X119&gt;W119*0.5,"Check - more than half off","OK")))))))</f>
        <v>0</v>
      </c>
    </row>
    <row r="120" spans="1:38">
      <c r="A120" s="28">
        <f>IF(B120="","",SalePrefix&amp;TEXT(ROW()-4,"0000"))</f>
        <v>0</v>
      </c>
      <c r="E120" s="15">
        <f>IF(D120="","",IFERROR(INDEX(Clients!$B$5:$B$504,MATCH(D120,Clients!$A$5:$A$504,0)),"Walk-in"))</f>
        <v>0</v>
      </c>
      <c r="G120" s="15">
        <f>IF(F120="","",IFERROR(INDEX(Staff!$B$5:$B$44,MATCH(F120,Staff!$A$5:$A$44,0)),"House"))</f>
        <v>0</v>
      </c>
      <c r="R120" s="15">
        <f>IF(B120="","",TEXT(B120,"yyyy-mm"))</f>
        <v>0</v>
      </c>
      <c r="S120" s="25">
        <f>IF(B120="","",WEEKNUM(B120,2))</f>
        <v>0</v>
      </c>
      <c r="T120" s="37">
        <f>IF(B120="","",IF(K120="",1,K120))</f>
        <v>0</v>
      </c>
      <c r="U120" s="15">
        <f>IF(B120="","",IF(J120&lt;&gt;"",J120,IF(H120="Retail",IFERROR(INDEX(Inventory!$B$5:$B$304,MATCH(I120,Inventory!$A$5:$A$304,0))&amp;"","Not in Inventory"),IFERROR(INDEX(Services!$B$5:$B$204,MATCH(I120,Services!$A$5:$A$204,0))&amp;"","Not in Services"))))</f>
        <v>0</v>
      </c>
      <c r="V120" s="26">
        <f>IF(B120="","",IF(L120&lt;&gt;"",L120,IF(H120="Retail",IFERROR(INDEX(Inventory!$I$5:$I$304,MATCH(I120,Inventory!$A$5:$A$304,0))*1,0),IFERROR(INDEX(Services!$G$5:$G$204,MATCH(I120,Services!$A$5:$A$204,0))*1,0))))</f>
        <v>0</v>
      </c>
      <c r="W120" s="26">
        <f>IF(B120="","",ROUND(T120*V120,2))</f>
        <v>0</v>
      </c>
      <c r="X120" s="26">
        <f>IF(B120="","",ROUND(IF(M120="",0,W120*M120)+IF(N120="",0,N120),2))</f>
        <v>0</v>
      </c>
      <c r="Y120" s="26">
        <f>IF(B120="","",ROUND(W120-X120-IF(P120="",0,P120),2))</f>
        <v>0</v>
      </c>
      <c r="Z120" s="26">
        <f>IF(B120="","",IF(H120="Retail",IF(TaxOnRetail="Yes",ROUND(Y120*TaxRate,2),0),IF(H120="Service",IF(TaxOnServices="Yes",ROUND(Y120*TaxRate,2),0),0)))</f>
        <v>0</v>
      </c>
      <c r="AA120" s="26">
        <f>IF(B120="","",ROUND(Y120+Z120,2))</f>
        <v>0</v>
      </c>
      <c r="AB120" s="26">
        <f>IF(B120="","",ROUND(T120*IF(H120="Retail",IFERROR(INDEX(Inventory!$H$5:$H$304,MATCH(I120,Inventory!$A$5:$A$304,0))*1,0),IFERROR(INDEX(Services!$Q$5:$Q$204,MATCH(I120,Services!$A$5:$A$204,0))*1,0)),2))</f>
        <v>0</v>
      </c>
      <c r="AC120" s="26">
        <f>IF(B120="","",ROUND(Y120-AB120,2))</f>
        <v>0</v>
      </c>
      <c r="AD120" s="38">
        <f>IF(B120="","",IF(C120="","No",IF(COUNTIFS($C$5:C120,C120)=1,"Yes","No")))</f>
        <v>0</v>
      </c>
      <c r="AE120" s="26">
        <f>IF(B120="","",ROUND(SUMIFS(Payments!$G$5:$G$1204,Payments!$H$5:$H$1204,A120,Payments!$Q$5:$Q$1204,"Yes"),2))</f>
        <v>0</v>
      </c>
      <c r="AF120" s="26">
        <f>IF(B120="","",IF(AD120="No",0,ROUND(SUMIFS(Payments!$G$5:$G$1204,Payments!$I$5:$I$1204,C120,Payments!$H$5:$H$1204,"",Payments!$Q$5:$Q$1204,"Yes"),2)))</f>
        <v>0</v>
      </c>
      <c r="AG120" s="26">
        <f>IF(B120="","",ROUND(AE120+AF120,2))</f>
        <v>0</v>
      </c>
      <c r="AH120" s="26">
        <f>IF(B120="","",ROUND(AA120-AG120,2))</f>
        <v>0</v>
      </c>
      <c r="AI120" s="39">
        <f>IF(B120="","",IF(AA120&lt;=0,"No charge",IF(AH120&lt;=0.004,"Paid",IF(AG120&lt;=0.004,"Unpaid","Part paid"))))</f>
        <v>0</v>
      </c>
      <c r="AJ120" s="38">
        <f>IF(B120="","",IF(H120&lt;&gt;"Service","",IF(D120="","No",IF(COUNTIFS($D$5:$D$1204,D120,$B$5:$B$1204,B120,$H$5:$H$1204,"Retail")&gt;0,"Yes","No"))))</f>
        <v>0</v>
      </c>
      <c r="AK120" s="25">
        <f>IF(B120="","",COUNTIFS($Y$5:$Y$1204,"&gt;"&amp;Y120)+COUNTIFS($Y$5:Y120,Y120))</f>
        <v>0</v>
      </c>
      <c r="AL120" s="39">
        <f>IF(B120="","",IF(H120="","Add - what kind of sale is this?",IF(IF(V120&lt;=0,P120="",FALSE),"Check - no price found for this item",IF(F120="","Assign - nobody credited",IF(AH120&gt;0.004,"Unpaid - balance outstanding",IF(AC120&lt;0,"Loss - sold below cost",IF(X120&gt;W120*0.5,"Check - more than half off","OK")))))))</f>
        <v>0</v>
      </c>
    </row>
    <row r="121" spans="1:38">
      <c r="A121" s="28">
        <f>IF(B121="","",SalePrefix&amp;TEXT(ROW()-4,"0000"))</f>
        <v>0</v>
      </c>
      <c r="E121" s="15">
        <f>IF(D121="","",IFERROR(INDEX(Clients!$B$5:$B$504,MATCH(D121,Clients!$A$5:$A$504,0)),"Walk-in"))</f>
        <v>0</v>
      </c>
      <c r="G121" s="15">
        <f>IF(F121="","",IFERROR(INDEX(Staff!$B$5:$B$44,MATCH(F121,Staff!$A$5:$A$44,0)),"House"))</f>
        <v>0</v>
      </c>
      <c r="R121" s="15">
        <f>IF(B121="","",TEXT(B121,"yyyy-mm"))</f>
        <v>0</v>
      </c>
      <c r="S121" s="25">
        <f>IF(B121="","",WEEKNUM(B121,2))</f>
        <v>0</v>
      </c>
      <c r="T121" s="37">
        <f>IF(B121="","",IF(K121="",1,K121))</f>
        <v>0</v>
      </c>
      <c r="U121" s="15">
        <f>IF(B121="","",IF(J121&lt;&gt;"",J121,IF(H121="Retail",IFERROR(INDEX(Inventory!$B$5:$B$304,MATCH(I121,Inventory!$A$5:$A$304,0))&amp;"","Not in Inventory"),IFERROR(INDEX(Services!$B$5:$B$204,MATCH(I121,Services!$A$5:$A$204,0))&amp;"","Not in Services"))))</f>
        <v>0</v>
      </c>
      <c r="V121" s="26">
        <f>IF(B121="","",IF(L121&lt;&gt;"",L121,IF(H121="Retail",IFERROR(INDEX(Inventory!$I$5:$I$304,MATCH(I121,Inventory!$A$5:$A$304,0))*1,0),IFERROR(INDEX(Services!$G$5:$G$204,MATCH(I121,Services!$A$5:$A$204,0))*1,0))))</f>
        <v>0</v>
      </c>
      <c r="W121" s="26">
        <f>IF(B121="","",ROUND(T121*V121,2))</f>
        <v>0</v>
      </c>
      <c r="X121" s="26">
        <f>IF(B121="","",ROUND(IF(M121="",0,W121*M121)+IF(N121="",0,N121),2))</f>
        <v>0</v>
      </c>
      <c r="Y121" s="26">
        <f>IF(B121="","",ROUND(W121-X121-IF(P121="",0,P121),2))</f>
        <v>0</v>
      </c>
      <c r="Z121" s="26">
        <f>IF(B121="","",IF(H121="Retail",IF(TaxOnRetail="Yes",ROUND(Y121*TaxRate,2),0),IF(H121="Service",IF(TaxOnServices="Yes",ROUND(Y121*TaxRate,2),0),0)))</f>
        <v>0</v>
      </c>
      <c r="AA121" s="26">
        <f>IF(B121="","",ROUND(Y121+Z121,2))</f>
        <v>0</v>
      </c>
      <c r="AB121" s="26">
        <f>IF(B121="","",ROUND(T121*IF(H121="Retail",IFERROR(INDEX(Inventory!$H$5:$H$304,MATCH(I121,Inventory!$A$5:$A$304,0))*1,0),IFERROR(INDEX(Services!$Q$5:$Q$204,MATCH(I121,Services!$A$5:$A$204,0))*1,0)),2))</f>
        <v>0</v>
      </c>
      <c r="AC121" s="26">
        <f>IF(B121="","",ROUND(Y121-AB121,2))</f>
        <v>0</v>
      </c>
      <c r="AD121" s="38">
        <f>IF(B121="","",IF(C121="","No",IF(COUNTIFS($C$5:C121,C121)=1,"Yes","No")))</f>
        <v>0</v>
      </c>
      <c r="AE121" s="26">
        <f>IF(B121="","",ROUND(SUMIFS(Payments!$G$5:$G$1204,Payments!$H$5:$H$1204,A121,Payments!$Q$5:$Q$1204,"Yes"),2))</f>
        <v>0</v>
      </c>
      <c r="AF121" s="26">
        <f>IF(B121="","",IF(AD121="No",0,ROUND(SUMIFS(Payments!$G$5:$G$1204,Payments!$I$5:$I$1204,C121,Payments!$H$5:$H$1204,"",Payments!$Q$5:$Q$1204,"Yes"),2)))</f>
        <v>0</v>
      </c>
      <c r="AG121" s="26">
        <f>IF(B121="","",ROUND(AE121+AF121,2))</f>
        <v>0</v>
      </c>
      <c r="AH121" s="26">
        <f>IF(B121="","",ROUND(AA121-AG121,2))</f>
        <v>0</v>
      </c>
      <c r="AI121" s="39">
        <f>IF(B121="","",IF(AA121&lt;=0,"No charge",IF(AH121&lt;=0.004,"Paid",IF(AG121&lt;=0.004,"Unpaid","Part paid"))))</f>
        <v>0</v>
      </c>
      <c r="AJ121" s="38">
        <f>IF(B121="","",IF(H121&lt;&gt;"Service","",IF(D121="","No",IF(COUNTIFS($D$5:$D$1204,D121,$B$5:$B$1204,B121,$H$5:$H$1204,"Retail")&gt;0,"Yes","No"))))</f>
        <v>0</v>
      </c>
      <c r="AK121" s="25">
        <f>IF(B121="","",COUNTIFS($Y$5:$Y$1204,"&gt;"&amp;Y121)+COUNTIFS($Y$5:Y121,Y121))</f>
        <v>0</v>
      </c>
      <c r="AL121" s="39">
        <f>IF(B121="","",IF(H121="","Add - what kind of sale is this?",IF(IF(V121&lt;=0,P121="",FALSE),"Check - no price found for this item",IF(F121="","Assign - nobody credited",IF(AH121&gt;0.004,"Unpaid - balance outstanding",IF(AC121&lt;0,"Loss - sold below cost",IF(X121&gt;W121*0.5,"Check - more than half off","OK")))))))</f>
        <v>0</v>
      </c>
    </row>
    <row r="122" spans="1:38">
      <c r="A122" s="28">
        <f>IF(B122="","",SalePrefix&amp;TEXT(ROW()-4,"0000"))</f>
        <v>0</v>
      </c>
      <c r="E122" s="15">
        <f>IF(D122="","",IFERROR(INDEX(Clients!$B$5:$B$504,MATCH(D122,Clients!$A$5:$A$504,0)),"Walk-in"))</f>
        <v>0</v>
      </c>
      <c r="G122" s="15">
        <f>IF(F122="","",IFERROR(INDEX(Staff!$B$5:$B$44,MATCH(F122,Staff!$A$5:$A$44,0)),"House"))</f>
        <v>0</v>
      </c>
      <c r="R122" s="15">
        <f>IF(B122="","",TEXT(B122,"yyyy-mm"))</f>
        <v>0</v>
      </c>
      <c r="S122" s="25">
        <f>IF(B122="","",WEEKNUM(B122,2))</f>
        <v>0</v>
      </c>
      <c r="T122" s="37">
        <f>IF(B122="","",IF(K122="",1,K122))</f>
        <v>0</v>
      </c>
      <c r="U122" s="15">
        <f>IF(B122="","",IF(J122&lt;&gt;"",J122,IF(H122="Retail",IFERROR(INDEX(Inventory!$B$5:$B$304,MATCH(I122,Inventory!$A$5:$A$304,0))&amp;"","Not in Inventory"),IFERROR(INDEX(Services!$B$5:$B$204,MATCH(I122,Services!$A$5:$A$204,0))&amp;"","Not in Services"))))</f>
        <v>0</v>
      </c>
      <c r="V122" s="26">
        <f>IF(B122="","",IF(L122&lt;&gt;"",L122,IF(H122="Retail",IFERROR(INDEX(Inventory!$I$5:$I$304,MATCH(I122,Inventory!$A$5:$A$304,0))*1,0),IFERROR(INDEX(Services!$G$5:$G$204,MATCH(I122,Services!$A$5:$A$204,0))*1,0))))</f>
        <v>0</v>
      </c>
      <c r="W122" s="26">
        <f>IF(B122="","",ROUND(T122*V122,2))</f>
        <v>0</v>
      </c>
      <c r="X122" s="26">
        <f>IF(B122="","",ROUND(IF(M122="",0,W122*M122)+IF(N122="",0,N122),2))</f>
        <v>0</v>
      </c>
      <c r="Y122" s="26">
        <f>IF(B122="","",ROUND(W122-X122-IF(P122="",0,P122),2))</f>
        <v>0</v>
      </c>
      <c r="Z122" s="26">
        <f>IF(B122="","",IF(H122="Retail",IF(TaxOnRetail="Yes",ROUND(Y122*TaxRate,2),0),IF(H122="Service",IF(TaxOnServices="Yes",ROUND(Y122*TaxRate,2),0),0)))</f>
        <v>0</v>
      </c>
      <c r="AA122" s="26">
        <f>IF(B122="","",ROUND(Y122+Z122,2))</f>
        <v>0</v>
      </c>
      <c r="AB122" s="26">
        <f>IF(B122="","",ROUND(T122*IF(H122="Retail",IFERROR(INDEX(Inventory!$H$5:$H$304,MATCH(I122,Inventory!$A$5:$A$304,0))*1,0),IFERROR(INDEX(Services!$Q$5:$Q$204,MATCH(I122,Services!$A$5:$A$204,0))*1,0)),2))</f>
        <v>0</v>
      </c>
      <c r="AC122" s="26">
        <f>IF(B122="","",ROUND(Y122-AB122,2))</f>
        <v>0</v>
      </c>
      <c r="AD122" s="38">
        <f>IF(B122="","",IF(C122="","No",IF(COUNTIFS($C$5:C122,C122)=1,"Yes","No")))</f>
        <v>0</v>
      </c>
      <c r="AE122" s="26">
        <f>IF(B122="","",ROUND(SUMIFS(Payments!$G$5:$G$1204,Payments!$H$5:$H$1204,A122,Payments!$Q$5:$Q$1204,"Yes"),2))</f>
        <v>0</v>
      </c>
      <c r="AF122" s="26">
        <f>IF(B122="","",IF(AD122="No",0,ROUND(SUMIFS(Payments!$G$5:$G$1204,Payments!$I$5:$I$1204,C122,Payments!$H$5:$H$1204,"",Payments!$Q$5:$Q$1204,"Yes"),2)))</f>
        <v>0</v>
      </c>
      <c r="AG122" s="26">
        <f>IF(B122="","",ROUND(AE122+AF122,2))</f>
        <v>0</v>
      </c>
      <c r="AH122" s="26">
        <f>IF(B122="","",ROUND(AA122-AG122,2))</f>
        <v>0</v>
      </c>
      <c r="AI122" s="39">
        <f>IF(B122="","",IF(AA122&lt;=0,"No charge",IF(AH122&lt;=0.004,"Paid",IF(AG122&lt;=0.004,"Unpaid","Part paid"))))</f>
        <v>0</v>
      </c>
      <c r="AJ122" s="38">
        <f>IF(B122="","",IF(H122&lt;&gt;"Service","",IF(D122="","No",IF(COUNTIFS($D$5:$D$1204,D122,$B$5:$B$1204,B122,$H$5:$H$1204,"Retail")&gt;0,"Yes","No"))))</f>
        <v>0</v>
      </c>
      <c r="AK122" s="25">
        <f>IF(B122="","",COUNTIFS($Y$5:$Y$1204,"&gt;"&amp;Y122)+COUNTIFS($Y$5:Y122,Y122))</f>
        <v>0</v>
      </c>
      <c r="AL122" s="39">
        <f>IF(B122="","",IF(H122="","Add - what kind of sale is this?",IF(IF(V122&lt;=0,P122="",FALSE),"Check - no price found for this item",IF(F122="","Assign - nobody credited",IF(AH122&gt;0.004,"Unpaid - balance outstanding",IF(AC122&lt;0,"Loss - sold below cost",IF(X122&gt;W122*0.5,"Check - more than half off","OK")))))))</f>
        <v>0</v>
      </c>
    </row>
    <row r="123" spans="1:38">
      <c r="A123" s="28">
        <f>IF(B123="","",SalePrefix&amp;TEXT(ROW()-4,"0000"))</f>
        <v>0</v>
      </c>
      <c r="E123" s="15">
        <f>IF(D123="","",IFERROR(INDEX(Clients!$B$5:$B$504,MATCH(D123,Clients!$A$5:$A$504,0)),"Walk-in"))</f>
        <v>0</v>
      </c>
      <c r="G123" s="15">
        <f>IF(F123="","",IFERROR(INDEX(Staff!$B$5:$B$44,MATCH(F123,Staff!$A$5:$A$44,0)),"House"))</f>
        <v>0</v>
      </c>
      <c r="R123" s="15">
        <f>IF(B123="","",TEXT(B123,"yyyy-mm"))</f>
        <v>0</v>
      </c>
      <c r="S123" s="25">
        <f>IF(B123="","",WEEKNUM(B123,2))</f>
        <v>0</v>
      </c>
      <c r="T123" s="37">
        <f>IF(B123="","",IF(K123="",1,K123))</f>
        <v>0</v>
      </c>
      <c r="U123" s="15">
        <f>IF(B123="","",IF(J123&lt;&gt;"",J123,IF(H123="Retail",IFERROR(INDEX(Inventory!$B$5:$B$304,MATCH(I123,Inventory!$A$5:$A$304,0))&amp;"","Not in Inventory"),IFERROR(INDEX(Services!$B$5:$B$204,MATCH(I123,Services!$A$5:$A$204,0))&amp;"","Not in Services"))))</f>
        <v>0</v>
      </c>
      <c r="V123" s="26">
        <f>IF(B123="","",IF(L123&lt;&gt;"",L123,IF(H123="Retail",IFERROR(INDEX(Inventory!$I$5:$I$304,MATCH(I123,Inventory!$A$5:$A$304,0))*1,0),IFERROR(INDEX(Services!$G$5:$G$204,MATCH(I123,Services!$A$5:$A$204,0))*1,0))))</f>
        <v>0</v>
      </c>
      <c r="W123" s="26">
        <f>IF(B123="","",ROUND(T123*V123,2))</f>
        <v>0</v>
      </c>
      <c r="X123" s="26">
        <f>IF(B123="","",ROUND(IF(M123="",0,W123*M123)+IF(N123="",0,N123),2))</f>
        <v>0</v>
      </c>
      <c r="Y123" s="26">
        <f>IF(B123="","",ROUND(W123-X123-IF(P123="",0,P123),2))</f>
        <v>0</v>
      </c>
      <c r="Z123" s="26">
        <f>IF(B123="","",IF(H123="Retail",IF(TaxOnRetail="Yes",ROUND(Y123*TaxRate,2),0),IF(H123="Service",IF(TaxOnServices="Yes",ROUND(Y123*TaxRate,2),0),0)))</f>
        <v>0</v>
      </c>
      <c r="AA123" s="26">
        <f>IF(B123="","",ROUND(Y123+Z123,2))</f>
        <v>0</v>
      </c>
      <c r="AB123" s="26">
        <f>IF(B123="","",ROUND(T123*IF(H123="Retail",IFERROR(INDEX(Inventory!$H$5:$H$304,MATCH(I123,Inventory!$A$5:$A$304,0))*1,0),IFERROR(INDEX(Services!$Q$5:$Q$204,MATCH(I123,Services!$A$5:$A$204,0))*1,0)),2))</f>
        <v>0</v>
      </c>
      <c r="AC123" s="26">
        <f>IF(B123="","",ROUND(Y123-AB123,2))</f>
        <v>0</v>
      </c>
      <c r="AD123" s="38">
        <f>IF(B123="","",IF(C123="","No",IF(COUNTIFS($C$5:C123,C123)=1,"Yes","No")))</f>
        <v>0</v>
      </c>
      <c r="AE123" s="26">
        <f>IF(B123="","",ROUND(SUMIFS(Payments!$G$5:$G$1204,Payments!$H$5:$H$1204,A123,Payments!$Q$5:$Q$1204,"Yes"),2))</f>
        <v>0</v>
      </c>
      <c r="AF123" s="26">
        <f>IF(B123="","",IF(AD123="No",0,ROUND(SUMIFS(Payments!$G$5:$G$1204,Payments!$I$5:$I$1204,C123,Payments!$H$5:$H$1204,"",Payments!$Q$5:$Q$1204,"Yes"),2)))</f>
        <v>0</v>
      </c>
      <c r="AG123" s="26">
        <f>IF(B123="","",ROUND(AE123+AF123,2))</f>
        <v>0</v>
      </c>
      <c r="AH123" s="26">
        <f>IF(B123="","",ROUND(AA123-AG123,2))</f>
        <v>0</v>
      </c>
      <c r="AI123" s="39">
        <f>IF(B123="","",IF(AA123&lt;=0,"No charge",IF(AH123&lt;=0.004,"Paid",IF(AG123&lt;=0.004,"Unpaid","Part paid"))))</f>
        <v>0</v>
      </c>
      <c r="AJ123" s="38">
        <f>IF(B123="","",IF(H123&lt;&gt;"Service","",IF(D123="","No",IF(COUNTIFS($D$5:$D$1204,D123,$B$5:$B$1204,B123,$H$5:$H$1204,"Retail")&gt;0,"Yes","No"))))</f>
        <v>0</v>
      </c>
      <c r="AK123" s="25">
        <f>IF(B123="","",COUNTIFS($Y$5:$Y$1204,"&gt;"&amp;Y123)+COUNTIFS($Y$5:Y123,Y123))</f>
        <v>0</v>
      </c>
      <c r="AL123" s="39">
        <f>IF(B123="","",IF(H123="","Add - what kind of sale is this?",IF(IF(V123&lt;=0,P123="",FALSE),"Check - no price found for this item",IF(F123="","Assign - nobody credited",IF(AH123&gt;0.004,"Unpaid - balance outstanding",IF(AC123&lt;0,"Loss - sold below cost",IF(X123&gt;W123*0.5,"Check - more than half off","OK")))))))</f>
        <v>0</v>
      </c>
    </row>
    <row r="124" spans="1:38">
      <c r="A124" s="28">
        <f>IF(B124="","",SalePrefix&amp;TEXT(ROW()-4,"0000"))</f>
        <v>0</v>
      </c>
      <c r="E124" s="15">
        <f>IF(D124="","",IFERROR(INDEX(Clients!$B$5:$B$504,MATCH(D124,Clients!$A$5:$A$504,0)),"Walk-in"))</f>
        <v>0</v>
      </c>
      <c r="G124" s="15">
        <f>IF(F124="","",IFERROR(INDEX(Staff!$B$5:$B$44,MATCH(F124,Staff!$A$5:$A$44,0)),"House"))</f>
        <v>0</v>
      </c>
      <c r="R124" s="15">
        <f>IF(B124="","",TEXT(B124,"yyyy-mm"))</f>
        <v>0</v>
      </c>
      <c r="S124" s="25">
        <f>IF(B124="","",WEEKNUM(B124,2))</f>
        <v>0</v>
      </c>
      <c r="T124" s="37">
        <f>IF(B124="","",IF(K124="",1,K124))</f>
        <v>0</v>
      </c>
      <c r="U124" s="15">
        <f>IF(B124="","",IF(J124&lt;&gt;"",J124,IF(H124="Retail",IFERROR(INDEX(Inventory!$B$5:$B$304,MATCH(I124,Inventory!$A$5:$A$304,0))&amp;"","Not in Inventory"),IFERROR(INDEX(Services!$B$5:$B$204,MATCH(I124,Services!$A$5:$A$204,0))&amp;"","Not in Services"))))</f>
        <v>0</v>
      </c>
      <c r="V124" s="26">
        <f>IF(B124="","",IF(L124&lt;&gt;"",L124,IF(H124="Retail",IFERROR(INDEX(Inventory!$I$5:$I$304,MATCH(I124,Inventory!$A$5:$A$304,0))*1,0),IFERROR(INDEX(Services!$G$5:$G$204,MATCH(I124,Services!$A$5:$A$204,0))*1,0))))</f>
        <v>0</v>
      </c>
      <c r="W124" s="26">
        <f>IF(B124="","",ROUND(T124*V124,2))</f>
        <v>0</v>
      </c>
      <c r="X124" s="26">
        <f>IF(B124="","",ROUND(IF(M124="",0,W124*M124)+IF(N124="",0,N124),2))</f>
        <v>0</v>
      </c>
      <c r="Y124" s="26">
        <f>IF(B124="","",ROUND(W124-X124-IF(P124="",0,P124),2))</f>
        <v>0</v>
      </c>
      <c r="Z124" s="26">
        <f>IF(B124="","",IF(H124="Retail",IF(TaxOnRetail="Yes",ROUND(Y124*TaxRate,2),0),IF(H124="Service",IF(TaxOnServices="Yes",ROUND(Y124*TaxRate,2),0),0)))</f>
        <v>0</v>
      </c>
      <c r="AA124" s="26">
        <f>IF(B124="","",ROUND(Y124+Z124,2))</f>
        <v>0</v>
      </c>
      <c r="AB124" s="26">
        <f>IF(B124="","",ROUND(T124*IF(H124="Retail",IFERROR(INDEX(Inventory!$H$5:$H$304,MATCH(I124,Inventory!$A$5:$A$304,0))*1,0),IFERROR(INDEX(Services!$Q$5:$Q$204,MATCH(I124,Services!$A$5:$A$204,0))*1,0)),2))</f>
        <v>0</v>
      </c>
      <c r="AC124" s="26">
        <f>IF(B124="","",ROUND(Y124-AB124,2))</f>
        <v>0</v>
      </c>
      <c r="AD124" s="38">
        <f>IF(B124="","",IF(C124="","No",IF(COUNTIFS($C$5:C124,C124)=1,"Yes","No")))</f>
        <v>0</v>
      </c>
      <c r="AE124" s="26">
        <f>IF(B124="","",ROUND(SUMIFS(Payments!$G$5:$G$1204,Payments!$H$5:$H$1204,A124,Payments!$Q$5:$Q$1204,"Yes"),2))</f>
        <v>0</v>
      </c>
      <c r="AF124" s="26">
        <f>IF(B124="","",IF(AD124="No",0,ROUND(SUMIFS(Payments!$G$5:$G$1204,Payments!$I$5:$I$1204,C124,Payments!$H$5:$H$1204,"",Payments!$Q$5:$Q$1204,"Yes"),2)))</f>
        <v>0</v>
      </c>
      <c r="AG124" s="26">
        <f>IF(B124="","",ROUND(AE124+AF124,2))</f>
        <v>0</v>
      </c>
      <c r="AH124" s="26">
        <f>IF(B124="","",ROUND(AA124-AG124,2))</f>
        <v>0</v>
      </c>
      <c r="AI124" s="39">
        <f>IF(B124="","",IF(AA124&lt;=0,"No charge",IF(AH124&lt;=0.004,"Paid",IF(AG124&lt;=0.004,"Unpaid","Part paid"))))</f>
        <v>0</v>
      </c>
      <c r="AJ124" s="38">
        <f>IF(B124="","",IF(H124&lt;&gt;"Service","",IF(D124="","No",IF(COUNTIFS($D$5:$D$1204,D124,$B$5:$B$1204,B124,$H$5:$H$1204,"Retail")&gt;0,"Yes","No"))))</f>
        <v>0</v>
      </c>
      <c r="AK124" s="25">
        <f>IF(B124="","",COUNTIFS($Y$5:$Y$1204,"&gt;"&amp;Y124)+COUNTIFS($Y$5:Y124,Y124))</f>
        <v>0</v>
      </c>
      <c r="AL124" s="39">
        <f>IF(B124="","",IF(H124="","Add - what kind of sale is this?",IF(IF(V124&lt;=0,P124="",FALSE),"Check - no price found for this item",IF(F124="","Assign - nobody credited",IF(AH124&gt;0.004,"Unpaid - balance outstanding",IF(AC124&lt;0,"Loss - sold below cost",IF(X124&gt;W124*0.5,"Check - more than half off","OK")))))))</f>
        <v>0</v>
      </c>
    </row>
    <row r="125" spans="1:38">
      <c r="A125" s="28">
        <f>IF(B125="","",SalePrefix&amp;TEXT(ROW()-4,"0000"))</f>
        <v>0</v>
      </c>
      <c r="E125" s="15">
        <f>IF(D125="","",IFERROR(INDEX(Clients!$B$5:$B$504,MATCH(D125,Clients!$A$5:$A$504,0)),"Walk-in"))</f>
        <v>0</v>
      </c>
      <c r="G125" s="15">
        <f>IF(F125="","",IFERROR(INDEX(Staff!$B$5:$B$44,MATCH(F125,Staff!$A$5:$A$44,0)),"House"))</f>
        <v>0</v>
      </c>
      <c r="R125" s="15">
        <f>IF(B125="","",TEXT(B125,"yyyy-mm"))</f>
        <v>0</v>
      </c>
      <c r="S125" s="25">
        <f>IF(B125="","",WEEKNUM(B125,2))</f>
        <v>0</v>
      </c>
      <c r="T125" s="37">
        <f>IF(B125="","",IF(K125="",1,K125))</f>
        <v>0</v>
      </c>
      <c r="U125" s="15">
        <f>IF(B125="","",IF(J125&lt;&gt;"",J125,IF(H125="Retail",IFERROR(INDEX(Inventory!$B$5:$B$304,MATCH(I125,Inventory!$A$5:$A$304,0))&amp;"","Not in Inventory"),IFERROR(INDEX(Services!$B$5:$B$204,MATCH(I125,Services!$A$5:$A$204,0))&amp;"","Not in Services"))))</f>
        <v>0</v>
      </c>
      <c r="V125" s="26">
        <f>IF(B125="","",IF(L125&lt;&gt;"",L125,IF(H125="Retail",IFERROR(INDEX(Inventory!$I$5:$I$304,MATCH(I125,Inventory!$A$5:$A$304,0))*1,0),IFERROR(INDEX(Services!$G$5:$G$204,MATCH(I125,Services!$A$5:$A$204,0))*1,0))))</f>
        <v>0</v>
      </c>
      <c r="W125" s="26">
        <f>IF(B125="","",ROUND(T125*V125,2))</f>
        <v>0</v>
      </c>
      <c r="X125" s="26">
        <f>IF(B125="","",ROUND(IF(M125="",0,W125*M125)+IF(N125="",0,N125),2))</f>
        <v>0</v>
      </c>
      <c r="Y125" s="26">
        <f>IF(B125="","",ROUND(W125-X125-IF(P125="",0,P125),2))</f>
        <v>0</v>
      </c>
      <c r="Z125" s="26">
        <f>IF(B125="","",IF(H125="Retail",IF(TaxOnRetail="Yes",ROUND(Y125*TaxRate,2),0),IF(H125="Service",IF(TaxOnServices="Yes",ROUND(Y125*TaxRate,2),0),0)))</f>
        <v>0</v>
      </c>
      <c r="AA125" s="26">
        <f>IF(B125="","",ROUND(Y125+Z125,2))</f>
        <v>0</v>
      </c>
      <c r="AB125" s="26">
        <f>IF(B125="","",ROUND(T125*IF(H125="Retail",IFERROR(INDEX(Inventory!$H$5:$H$304,MATCH(I125,Inventory!$A$5:$A$304,0))*1,0),IFERROR(INDEX(Services!$Q$5:$Q$204,MATCH(I125,Services!$A$5:$A$204,0))*1,0)),2))</f>
        <v>0</v>
      </c>
      <c r="AC125" s="26">
        <f>IF(B125="","",ROUND(Y125-AB125,2))</f>
        <v>0</v>
      </c>
      <c r="AD125" s="38">
        <f>IF(B125="","",IF(C125="","No",IF(COUNTIFS($C$5:C125,C125)=1,"Yes","No")))</f>
        <v>0</v>
      </c>
      <c r="AE125" s="26">
        <f>IF(B125="","",ROUND(SUMIFS(Payments!$G$5:$G$1204,Payments!$H$5:$H$1204,A125,Payments!$Q$5:$Q$1204,"Yes"),2))</f>
        <v>0</v>
      </c>
      <c r="AF125" s="26">
        <f>IF(B125="","",IF(AD125="No",0,ROUND(SUMIFS(Payments!$G$5:$G$1204,Payments!$I$5:$I$1204,C125,Payments!$H$5:$H$1204,"",Payments!$Q$5:$Q$1204,"Yes"),2)))</f>
        <v>0</v>
      </c>
      <c r="AG125" s="26">
        <f>IF(B125="","",ROUND(AE125+AF125,2))</f>
        <v>0</v>
      </c>
      <c r="AH125" s="26">
        <f>IF(B125="","",ROUND(AA125-AG125,2))</f>
        <v>0</v>
      </c>
      <c r="AI125" s="39">
        <f>IF(B125="","",IF(AA125&lt;=0,"No charge",IF(AH125&lt;=0.004,"Paid",IF(AG125&lt;=0.004,"Unpaid","Part paid"))))</f>
        <v>0</v>
      </c>
      <c r="AJ125" s="38">
        <f>IF(B125="","",IF(H125&lt;&gt;"Service","",IF(D125="","No",IF(COUNTIFS($D$5:$D$1204,D125,$B$5:$B$1204,B125,$H$5:$H$1204,"Retail")&gt;0,"Yes","No"))))</f>
        <v>0</v>
      </c>
      <c r="AK125" s="25">
        <f>IF(B125="","",COUNTIFS($Y$5:$Y$1204,"&gt;"&amp;Y125)+COUNTIFS($Y$5:Y125,Y125))</f>
        <v>0</v>
      </c>
      <c r="AL125" s="39">
        <f>IF(B125="","",IF(H125="","Add - what kind of sale is this?",IF(IF(V125&lt;=0,P125="",FALSE),"Check - no price found for this item",IF(F125="","Assign - nobody credited",IF(AH125&gt;0.004,"Unpaid - balance outstanding",IF(AC125&lt;0,"Loss - sold below cost",IF(X125&gt;W125*0.5,"Check - more than half off","OK")))))))</f>
        <v>0</v>
      </c>
    </row>
    <row r="126" spans="1:38">
      <c r="A126" s="28">
        <f>IF(B126="","",SalePrefix&amp;TEXT(ROW()-4,"0000"))</f>
        <v>0</v>
      </c>
      <c r="E126" s="15">
        <f>IF(D126="","",IFERROR(INDEX(Clients!$B$5:$B$504,MATCH(D126,Clients!$A$5:$A$504,0)),"Walk-in"))</f>
        <v>0</v>
      </c>
      <c r="G126" s="15">
        <f>IF(F126="","",IFERROR(INDEX(Staff!$B$5:$B$44,MATCH(F126,Staff!$A$5:$A$44,0)),"House"))</f>
        <v>0</v>
      </c>
      <c r="R126" s="15">
        <f>IF(B126="","",TEXT(B126,"yyyy-mm"))</f>
        <v>0</v>
      </c>
      <c r="S126" s="25">
        <f>IF(B126="","",WEEKNUM(B126,2))</f>
        <v>0</v>
      </c>
      <c r="T126" s="37">
        <f>IF(B126="","",IF(K126="",1,K126))</f>
        <v>0</v>
      </c>
      <c r="U126" s="15">
        <f>IF(B126="","",IF(J126&lt;&gt;"",J126,IF(H126="Retail",IFERROR(INDEX(Inventory!$B$5:$B$304,MATCH(I126,Inventory!$A$5:$A$304,0))&amp;"","Not in Inventory"),IFERROR(INDEX(Services!$B$5:$B$204,MATCH(I126,Services!$A$5:$A$204,0))&amp;"","Not in Services"))))</f>
        <v>0</v>
      </c>
      <c r="V126" s="26">
        <f>IF(B126="","",IF(L126&lt;&gt;"",L126,IF(H126="Retail",IFERROR(INDEX(Inventory!$I$5:$I$304,MATCH(I126,Inventory!$A$5:$A$304,0))*1,0),IFERROR(INDEX(Services!$G$5:$G$204,MATCH(I126,Services!$A$5:$A$204,0))*1,0))))</f>
        <v>0</v>
      </c>
      <c r="W126" s="26">
        <f>IF(B126="","",ROUND(T126*V126,2))</f>
        <v>0</v>
      </c>
      <c r="X126" s="26">
        <f>IF(B126="","",ROUND(IF(M126="",0,W126*M126)+IF(N126="",0,N126),2))</f>
        <v>0</v>
      </c>
      <c r="Y126" s="26">
        <f>IF(B126="","",ROUND(W126-X126-IF(P126="",0,P126),2))</f>
        <v>0</v>
      </c>
      <c r="Z126" s="26">
        <f>IF(B126="","",IF(H126="Retail",IF(TaxOnRetail="Yes",ROUND(Y126*TaxRate,2),0),IF(H126="Service",IF(TaxOnServices="Yes",ROUND(Y126*TaxRate,2),0),0)))</f>
        <v>0</v>
      </c>
      <c r="AA126" s="26">
        <f>IF(B126="","",ROUND(Y126+Z126,2))</f>
        <v>0</v>
      </c>
      <c r="AB126" s="26">
        <f>IF(B126="","",ROUND(T126*IF(H126="Retail",IFERROR(INDEX(Inventory!$H$5:$H$304,MATCH(I126,Inventory!$A$5:$A$304,0))*1,0),IFERROR(INDEX(Services!$Q$5:$Q$204,MATCH(I126,Services!$A$5:$A$204,0))*1,0)),2))</f>
        <v>0</v>
      </c>
      <c r="AC126" s="26">
        <f>IF(B126="","",ROUND(Y126-AB126,2))</f>
        <v>0</v>
      </c>
      <c r="AD126" s="38">
        <f>IF(B126="","",IF(C126="","No",IF(COUNTIFS($C$5:C126,C126)=1,"Yes","No")))</f>
        <v>0</v>
      </c>
      <c r="AE126" s="26">
        <f>IF(B126="","",ROUND(SUMIFS(Payments!$G$5:$G$1204,Payments!$H$5:$H$1204,A126,Payments!$Q$5:$Q$1204,"Yes"),2))</f>
        <v>0</v>
      </c>
      <c r="AF126" s="26">
        <f>IF(B126="","",IF(AD126="No",0,ROUND(SUMIFS(Payments!$G$5:$G$1204,Payments!$I$5:$I$1204,C126,Payments!$H$5:$H$1204,"",Payments!$Q$5:$Q$1204,"Yes"),2)))</f>
        <v>0</v>
      </c>
      <c r="AG126" s="26">
        <f>IF(B126="","",ROUND(AE126+AF126,2))</f>
        <v>0</v>
      </c>
      <c r="AH126" s="26">
        <f>IF(B126="","",ROUND(AA126-AG126,2))</f>
        <v>0</v>
      </c>
      <c r="AI126" s="39">
        <f>IF(B126="","",IF(AA126&lt;=0,"No charge",IF(AH126&lt;=0.004,"Paid",IF(AG126&lt;=0.004,"Unpaid","Part paid"))))</f>
        <v>0</v>
      </c>
      <c r="AJ126" s="38">
        <f>IF(B126="","",IF(H126&lt;&gt;"Service","",IF(D126="","No",IF(COUNTIFS($D$5:$D$1204,D126,$B$5:$B$1204,B126,$H$5:$H$1204,"Retail")&gt;0,"Yes","No"))))</f>
        <v>0</v>
      </c>
      <c r="AK126" s="25">
        <f>IF(B126="","",COUNTIFS($Y$5:$Y$1204,"&gt;"&amp;Y126)+COUNTIFS($Y$5:Y126,Y126))</f>
        <v>0</v>
      </c>
      <c r="AL126" s="39">
        <f>IF(B126="","",IF(H126="","Add - what kind of sale is this?",IF(IF(V126&lt;=0,P126="",FALSE),"Check - no price found for this item",IF(F126="","Assign - nobody credited",IF(AH126&gt;0.004,"Unpaid - balance outstanding",IF(AC126&lt;0,"Loss - sold below cost",IF(X126&gt;W126*0.5,"Check - more than half off","OK")))))))</f>
        <v>0</v>
      </c>
    </row>
    <row r="127" spans="1:38">
      <c r="A127" s="28">
        <f>IF(B127="","",SalePrefix&amp;TEXT(ROW()-4,"0000"))</f>
        <v>0</v>
      </c>
      <c r="E127" s="15">
        <f>IF(D127="","",IFERROR(INDEX(Clients!$B$5:$B$504,MATCH(D127,Clients!$A$5:$A$504,0)),"Walk-in"))</f>
        <v>0</v>
      </c>
      <c r="G127" s="15">
        <f>IF(F127="","",IFERROR(INDEX(Staff!$B$5:$B$44,MATCH(F127,Staff!$A$5:$A$44,0)),"House"))</f>
        <v>0</v>
      </c>
      <c r="R127" s="15">
        <f>IF(B127="","",TEXT(B127,"yyyy-mm"))</f>
        <v>0</v>
      </c>
      <c r="S127" s="25">
        <f>IF(B127="","",WEEKNUM(B127,2))</f>
        <v>0</v>
      </c>
      <c r="T127" s="37">
        <f>IF(B127="","",IF(K127="",1,K127))</f>
        <v>0</v>
      </c>
      <c r="U127" s="15">
        <f>IF(B127="","",IF(J127&lt;&gt;"",J127,IF(H127="Retail",IFERROR(INDEX(Inventory!$B$5:$B$304,MATCH(I127,Inventory!$A$5:$A$304,0))&amp;"","Not in Inventory"),IFERROR(INDEX(Services!$B$5:$B$204,MATCH(I127,Services!$A$5:$A$204,0))&amp;"","Not in Services"))))</f>
        <v>0</v>
      </c>
      <c r="V127" s="26">
        <f>IF(B127="","",IF(L127&lt;&gt;"",L127,IF(H127="Retail",IFERROR(INDEX(Inventory!$I$5:$I$304,MATCH(I127,Inventory!$A$5:$A$304,0))*1,0),IFERROR(INDEX(Services!$G$5:$G$204,MATCH(I127,Services!$A$5:$A$204,0))*1,0))))</f>
        <v>0</v>
      </c>
      <c r="W127" s="26">
        <f>IF(B127="","",ROUND(T127*V127,2))</f>
        <v>0</v>
      </c>
      <c r="X127" s="26">
        <f>IF(B127="","",ROUND(IF(M127="",0,W127*M127)+IF(N127="",0,N127),2))</f>
        <v>0</v>
      </c>
      <c r="Y127" s="26">
        <f>IF(B127="","",ROUND(W127-X127-IF(P127="",0,P127),2))</f>
        <v>0</v>
      </c>
      <c r="Z127" s="26">
        <f>IF(B127="","",IF(H127="Retail",IF(TaxOnRetail="Yes",ROUND(Y127*TaxRate,2),0),IF(H127="Service",IF(TaxOnServices="Yes",ROUND(Y127*TaxRate,2),0),0)))</f>
        <v>0</v>
      </c>
      <c r="AA127" s="26">
        <f>IF(B127="","",ROUND(Y127+Z127,2))</f>
        <v>0</v>
      </c>
      <c r="AB127" s="26">
        <f>IF(B127="","",ROUND(T127*IF(H127="Retail",IFERROR(INDEX(Inventory!$H$5:$H$304,MATCH(I127,Inventory!$A$5:$A$304,0))*1,0),IFERROR(INDEX(Services!$Q$5:$Q$204,MATCH(I127,Services!$A$5:$A$204,0))*1,0)),2))</f>
        <v>0</v>
      </c>
      <c r="AC127" s="26">
        <f>IF(B127="","",ROUND(Y127-AB127,2))</f>
        <v>0</v>
      </c>
      <c r="AD127" s="38">
        <f>IF(B127="","",IF(C127="","No",IF(COUNTIFS($C$5:C127,C127)=1,"Yes","No")))</f>
        <v>0</v>
      </c>
      <c r="AE127" s="26">
        <f>IF(B127="","",ROUND(SUMIFS(Payments!$G$5:$G$1204,Payments!$H$5:$H$1204,A127,Payments!$Q$5:$Q$1204,"Yes"),2))</f>
        <v>0</v>
      </c>
      <c r="AF127" s="26">
        <f>IF(B127="","",IF(AD127="No",0,ROUND(SUMIFS(Payments!$G$5:$G$1204,Payments!$I$5:$I$1204,C127,Payments!$H$5:$H$1204,"",Payments!$Q$5:$Q$1204,"Yes"),2)))</f>
        <v>0</v>
      </c>
      <c r="AG127" s="26">
        <f>IF(B127="","",ROUND(AE127+AF127,2))</f>
        <v>0</v>
      </c>
      <c r="AH127" s="26">
        <f>IF(B127="","",ROUND(AA127-AG127,2))</f>
        <v>0</v>
      </c>
      <c r="AI127" s="39">
        <f>IF(B127="","",IF(AA127&lt;=0,"No charge",IF(AH127&lt;=0.004,"Paid",IF(AG127&lt;=0.004,"Unpaid","Part paid"))))</f>
        <v>0</v>
      </c>
      <c r="AJ127" s="38">
        <f>IF(B127="","",IF(H127&lt;&gt;"Service","",IF(D127="","No",IF(COUNTIFS($D$5:$D$1204,D127,$B$5:$B$1204,B127,$H$5:$H$1204,"Retail")&gt;0,"Yes","No"))))</f>
        <v>0</v>
      </c>
      <c r="AK127" s="25">
        <f>IF(B127="","",COUNTIFS($Y$5:$Y$1204,"&gt;"&amp;Y127)+COUNTIFS($Y$5:Y127,Y127))</f>
        <v>0</v>
      </c>
      <c r="AL127" s="39">
        <f>IF(B127="","",IF(H127="","Add - what kind of sale is this?",IF(IF(V127&lt;=0,P127="",FALSE),"Check - no price found for this item",IF(F127="","Assign - nobody credited",IF(AH127&gt;0.004,"Unpaid - balance outstanding",IF(AC127&lt;0,"Loss - sold below cost",IF(X127&gt;W127*0.5,"Check - more than half off","OK")))))))</f>
        <v>0</v>
      </c>
    </row>
    <row r="128" spans="1:38">
      <c r="A128" s="28">
        <f>IF(B128="","",SalePrefix&amp;TEXT(ROW()-4,"0000"))</f>
        <v>0</v>
      </c>
      <c r="E128" s="15">
        <f>IF(D128="","",IFERROR(INDEX(Clients!$B$5:$B$504,MATCH(D128,Clients!$A$5:$A$504,0)),"Walk-in"))</f>
        <v>0</v>
      </c>
      <c r="G128" s="15">
        <f>IF(F128="","",IFERROR(INDEX(Staff!$B$5:$B$44,MATCH(F128,Staff!$A$5:$A$44,0)),"House"))</f>
        <v>0</v>
      </c>
      <c r="R128" s="15">
        <f>IF(B128="","",TEXT(B128,"yyyy-mm"))</f>
        <v>0</v>
      </c>
      <c r="S128" s="25">
        <f>IF(B128="","",WEEKNUM(B128,2))</f>
        <v>0</v>
      </c>
      <c r="T128" s="37">
        <f>IF(B128="","",IF(K128="",1,K128))</f>
        <v>0</v>
      </c>
      <c r="U128" s="15">
        <f>IF(B128="","",IF(J128&lt;&gt;"",J128,IF(H128="Retail",IFERROR(INDEX(Inventory!$B$5:$B$304,MATCH(I128,Inventory!$A$5:$A$304,0))&amp;"","Not in Inventory"),IFERROR(INDEX(Services!$B$5:$B$204,MATCH(I128,Services!$A$5:$A$204,0))&amp;"","Not in Services"))))</f>
        <v>0</v>
      </c>
      <c r="V128" s="26">
        <f>IF(B128="","",IF(L128&lt;&gt;"",L128,IF(H128="Retail",IFERROR(INDEX(Inventory!$I$5:$I$304,MATCH(I128,Inventory!$A$5:$A$304,0))*1,0),IFERROR(INDEX(Services!$G$5:$G$204,MATCH(I128,Services!$A$5:$A$204,0))*1,0))))</f>
        <v>0</v>
      </c>
      <c r="W128" s="26">
        <f>IF(B128="","",ROUND(T128*V128,2))</f>
        <v>0</v>
      </c>
      <c r="X128" s="26">
        <f>IF(B128="","",ROUND(IF(M128="",0,W128*M128)+IF(N128="",0,N128),2))</f>
        <v>0</v>
      </c>
      <c r="Y128" s="26">
        <f>IF(B128="","",ROUND(W128-X128-IF(P128="",0,P128),2))</f>
        <v>0</v>
      </c>
      <c r="Z128" s="26">
        <f>IF(B128="","",IF(H128="Retail",IF(TaxOnRetail="Yes",ROUND(Y128*TaxRate,2),0),IF(H128="Service",IF(TaxOnServices="Yes",ROUND(Y128*TaxRate,2),0),0)))</f>
        <v>0</v>
      </c>
      <c r="AA128" s="26">
        <f>IF(B128="","",ROUND(Y128+Z128,2))</f>
        <v>0</v>
      </c>
      <c r="AB128" s="26">
        <f>IF(B128="","",ROUND(T128*IF(H128="Retail",IFERROR(INDEX(Inventory!$H$5:$H$304,MATCH(I128,Inventory!$A$5:$A$304,0))*1,0),IFERROR(INDEX(Services!$Q$5:$Q$204,MATCH(I128,Services!$A$5:$A$204,0))*1,0)),2))</f>
        <v>0</v>
      </c>
      <c r="AC128" s="26">
        <f>IF(B128="","",ROUND(Y128-AB128,2))</f>
        <v>0</v>
      </c>
      <c r="AD128" s="38">
        <f>IF(B128="","",IF(C128="","No",IF(COUNTIFS($C$5:C128,C128)=1,"Yes","No")))</f>
        <v>0</v>
      </c>
      <c r="AE128" s="26">
        <f>IF(B128="","",ROUND(SUMIFS(Payments!$G$5:$G$1204,Payments!$H$5:$H$1204,A128,Payments!$Q$5:$Q$1204,"Yes"),2))</f>
        <v>0</v>
      </c>
      <c r="AF128" s="26">
        <f>IF(B128="","",IF(AD128="No",0,ROUND(SUMIFS(Payments!$G$5:$G$1204,Payments!$I$5:$I$1204,C128,Payments!$H$5:$H$1204,"",Payments!$Q$5:$Q$1204,"Yes"),2)))</f>
        <v>0</v>
      </c>
      <c r="AG128" s="26">
        <f>IF(B128="","",ROUND(AE128+AF128,2))</f>
        <v>0</v>
      </c>
      <c r="AH128" s="26">
        <f>IF(B128="","",ROUND(AA128-AG128,2))</f>
        <v>0</v>
      </c>
      <c r="AI128" s="39">
        <f>IF(B128="","",IF(AA128&lt;=0,"No charge",IF(AH128&lt;=0.004,"Paid",IF(AG128&lt;=0.004,"Unpaid","Part paid"))))</f>
        <v>0</v>
      </c>
      <c r="AJ128" s="38">
        <f>IF(B128="","",IF(H128&lt;&gt;"Service","",IF(D128="","No",IF(COUNTIFS($D$5:$D$1204,D128,$B$5:$B$1204,B128,$H$5:$H$1204,"Retail")&gt;0,"Yes","No"))))</f>
        <v>0</v>
      </c>
      <c r="AK128" s="25">
        <f>IF(B128="","",COUNTIFS($Y$5:$Y$1204,"&gt;"&amp;Y128)+COUNTIFS($Y$5:Y128,Y128))</f>
        <v>0</v>
      </c>
      <c r="AL128" s="39">
        <f>IF(B128="","",IF(H128="","Add - what kind of sale is this?",IF(IF(V128&lt;=0,P128="",FALSE),"Check - no price found for this item",IF(F128="","Assign - nobody credited",IF(AH128&gt;0.004,"Unpaid - balance outstanding",IF(AC128&lt;0,"Loss - sold below cost",IF(X128&gt;W128*0.5,"Check - more than half off","OK")))))))</f>
        <v>0</v>
      </c>
    </row>
    <row r="129" spans="1:38">
      <c r="A129" s="28">
        <f>IF(B129="","",SalePrefix&amp;TEXT(ROW()-4,"0000"))</f>
        <v>0</v>
      </c>
      <c r="E129" s="15">
        <f>IF(D129="","",IFERROR(INDEX(Clients!$B$5:$B$504,MATCH(D129,Clients!$A$5:$A$504,0)),"Walk-in"))</f>
        <v>0</v>
      </c>
      <c r="G129" s="15">
        <f>IF(F129="","",IFERROR(INDEX(Staff!$B$5:$B$44,MATCH(F129,Staff!$A$5:$A$44,0)),"House"))</f>
        <v>0</v>
      </c>
      <c r="R129" s="15">
        <f>IF(B129="","",TEXT(B129,"yyyy-mm"))</f>
        <v>0</v>
      </c>
      <c r="S129" s="25">
        <f>IF(B129="","",WEEKNUM(B129,2))</f>
        <v>0</v>
      </c>
      <c r="T129" s="37">
        <f>IF(B129="","",IF(K129="",1,K129))</f>
        <v>0</v>
      </c>
      <c r="U129" s="15">
        <f>IF(B129="","",IF(J129&lt;&gt;"",J129,IF(H129="Retail",IFERROR(INDEX(Inventory!$B$5:$B$304,MATCH(I129,Inventory!$A$5:$A$304,0))&amp;"","Not in Inventory"),IFERROR(INDEX(Services!$B$5:$B$204,MATCH(I129,Services!$A$5:$A$204,0))&amp;"","Not in Services"))))</f>
        <v>0</v>
      </c>
      <c r="V129" s="26">
        <f>IF(B129="","",IF(L129&lt;&gt;"",L129,IF(H129="Retail",IFERROR(INDEX(Inventory!$I$5:$I$304,MATCH(I129,Inventory!$A$5:$A$304,0))*1,0),IFERROR(INDEX(Services!$G$5:$G$204,MATCH(I129,Services!$A$5:$A$204,0))*1,0))))</f>
        <v>0</v>
      </c>
      <c r="W129" s="26">
        <f>IF(B129="","",ROUND(T129*V129,2))</f>
        <v>0</v>
      </c>
      <c r="X129" s="26">
        <f>IF(B129="","",ROUND(IF(M129="",0,W129*M129)+IF(N129="",0,N129),2))</f>
        <v>0</v>
      </c>
      <c r="Y129" s="26">
        <f>IF(B129="","",ROUND(W129-X129-IF(P129="",0,P129),2))</f>
        <v>0</v>
      </c>
      <c r="Z129" s="26">
        <f>IF(B129="","",IF(H129="Retail",IF(TaxOnRetail="Yes",ROUND(Y129*TaxRate,2),0),IF(H129="Service",IF(TaxOnServices="Yes",ROUND(Y129*TaxRate,2),0),0)))</f>
        <v>0</v>
      </c>
      <c r="AA129" s="26">
        <f>IF(B129="","",ROUND(Y129+Z129,2))</f>
        <v>0</v>
      </c>
      <c r="AB129" s="26">
        <f>IF(B129="","",ROUND(T129*IF(H129="Retail",IFERROR(INDEX(Inventory!$H$5:$H$304,MATCH(I129,Inventory!$A$5:$A$304,0))*1,0),IFERROR(INDEX(Services!$Q$5:$Q$204,MATCH(I129,Services!$A$5:$A$204,0))*1,0)),2))</f>
        <v>0</v>
      </c>
      <c r="AC129" s="26">
        <f>IF(B129="","",ROUND(Y129-AB129,2))</f>
        <v>0</v>
      </c>
      <c r="AD129" s="38">
        <f>IF(B129="","",IF(C129="","No",IF(COUNTIFS($C$5:C129,C129)=1,"Yes","No")))</f>
        <v>0</v>
      </c>
      <c r="AE129" s="26">
        <f>IF(B129="","",ROUND(SUMIFS(Payments!$G$5:$G$1204,Payments!$H$5:$H$1204,A129,Payments!$Q$5:$Q$1204,"Yes"),2))</f>
        <v>0</v>
      </c>
      <c r="AF129" s="26">
        <f>IF(B129="","",IF(AD129="No",0,ROUND(SUMIFS(Payments!$G$5:$G$1204,Payments!$I$5:$I$1204,C129,Payments!$H$5:$H$1204,"",Payments!$Q$5:$Q$1204,"Yes"),2)))</f>
        <v>0</v>
      </c>
      <c r="AG129" s="26">
        <f>IF(B129="","",ROUND(AE129+AF129,2))</f>
        <v>0</v>
      </c>
      <c r="AH129" s="26">
        <f>IF(B129="","",ROUND(AA129-AG129,2))</f>
        <v>0</v>
      </c>
      <c r="AI129" s="39">
        <f>IF(B129="","",IF(AA129&lt;=0,"No charge",IF(AH129&lt;=0.004,"Paid",IF(AG129&lt;=0.004,"Unpaid","Part paid"))))</f>
        <v>0</v>
      </c>
      <c r="AJ129" s="38">
        <f>IF(B129="","",IF(H129&lt;&gt;"Service","",IF(D129="","No",IF(COUNTIFS($D$5:$D$1204,D129,$B$5:$B$1204,B129,$H$5:$H$1204,"Retail")&gt;0,"Yes","No"))))</f>
        <v>0</v>
      </c>
      <c r="AK129" s="25">
        <f>IF(B129="","",COUNTIFS($Y$5:$Y$1204,"&gt;"&amp;Y129)+COUNTIFS($Y$5:Y129,Y129))</f>
        <v>0</v>
      </c>
      <c r="AL129" s="39">
        <f>IF(B129="","",IF(H129="","Add - what kind of sale is this?",IF(IF(V129&lt;=0,P129="",FALSE),"Check - no price found for this item",IF(F129="","Assign - nobody credited",IF(AH129&gt;0.004,"Unpaid - balance outstanding",IF(AC129&lt;0,"Loss - sold below cost",IF(X129&gt;W129*0.5,"Check - more than half off","OK")))))))</f>
        <v>0</v>
      </c>
    </row>
    <row r="130" spans="1:38">
      <c r="A130" s="28">
        <f>IF(B130="","",SalePrefix&amp;TEXT(ROW()-4,"0000"))</f>
        <v>0</v>
      </c>
      <c r="E130" s="15">
        <f>IF(D130="","",IFERROR(INDEX(Clients!$B$5:$B$504,MATCH(D130,Clients!$A$5:$A$504,0)),"Walk-in"))</f>
        <v>0</v>
      </c>
      <c r="G130" s="15">
        <f>IF(F130="","",IFERROR(INDEX(Staff!$B$5:$B$44,MATCH(F130,Staff!$A$5:$A$44,0)),"House"))</f>
        <v>0</v>
      </c>
      <c r="R130" s="15">
        <f>IF(B130="","",TEXT(B130,"yyyy-mm"))</f>
        <v>0</v>
      </c>
      <c r="S130" s="25">
        <f>IF(B130="","",WEEKNUM(B130,2))</f>
        <v>0</v>
      </c>
      <c r="T130" s="37">
        <f>IF(B130="","",IF(K130="",1,K130))</f>
        <v>0</v>
      </c>
      <c r="U130" s="15">
        <f>IF(B130="","",IF(J130&lt;&gt;"",J130,IF(H130="Retail",IFERROR(INDEX(Inventory!$B$5:$B$304,MATCH(I130,Inventory!$A$5:$A$304,0))&amp;"","Not in Inventory"),IFERROR(INDEX(Services!$B$5:$B$204,MATCH(I130,Services!$A$5:$A$204,0))&amp;"","Not in Services"))))</f>
        <v>0</v>
      </c>
      <c r="V130" s="26">
        <f>IF(B130="","",IF(L130&lt;&gt;"",L130,IF(H130="Retail",IFERROR(INDEX(Inventory!$I$5:$I$304,MATCH(I130,Inventory!$A$5:$A$304,0))*1,0),IFERROR(INDEX(Services!$G$5:$G$204,MATCH(I130,Services!$A$5:$A$204,0))*1,0))))</f>
        <v>0</v>
      </c>
      <c r="W130" s="26">
        <f>IF(B130="","",ROUND(T130*V130,2))</f>
        <v>0</v>
      </c>
      <c r="X130" s="26">
        <f>IF(B130="","",ROUND(IF(M130="",0,W130*M130)+IF(N130="",0,N130),2))</f>
        <v>0</v>
      </c>
      <c r="Y130" s="26">
        <f>IF(B130="","",ROUND(W130-X130-IF(P130="",0,P130),2))</f>
        <v>0</v>
      </c>
      <c r="Z130" s="26">
        <f>IF(B130="","",IF(H130="Retail",IF(TaxOnRetail="Yes",ROUND(Y130*TaxRate,2),0),IF(H130="Service",IF(TaxOnServices="Yes",ROUND(Y130*TaxRate,2),0),0)))</f>
        <v>0</v>
      </c>
      <c r="AA130" s="26">
        <f>IF(B130="","",ROUND(Y130+Z130,2))</f>
        <v>0</v>
      </c>
      <c r="AB130" s="26">
        <f>IF(B130="","",ROUND(T130*IF(H130="Retail",IFERROR(INDEX(Inventory!$H$5:$H$304,MATCH(I130,Inventory!$A$5:$A$304,0))*1,0),IFERROR(INDEX(Services!$Q$5:$Q$204,MATCH(I130,Services!$A$5:$A$204,0))*1,0)),2))</f>
        <v>0</v>
      </c>
      <c r="AC130" s="26">
        <f>IF(B130="","",ROUND(Y130-AB130,2))</f>
        <v>0</v>
      </c>
      <c r="AD130" s="38">
        <f>IF(B130="","",IF(C130="","No",IF(COUNTIFS($C$5:C130,C130)=1,"Yes","No")))</f>
        <v>0</v>
      </c>
      <c r="AE130" s="26">
        <f>IF(B130="","",ROUND(SUMIFS(Payments!$G$5:$G$1204,Payments!$H$5:$H$1204,A130,Payments!$Q$5:$Q$1204,"Yes"),2))</f>
        <v>0</v>
      </c>
      <c r="AF130" s="26">
        <f>IF(B130="","",IF(AD130="No",0,ROUND(SUMIFS(Payments!$G$5:$G$1204,Payments!$I$5:$I$1204,C130,Payments!$H$5:$H$1204,"",Payments!$Q$5:$Q$1204,"Yes"),2)))</f>
        <v>0</v>
      </c>
      <c r="AG130" s="26">
        <f>IF(B130="","",ROUND(AE130+AF130,2))</f>
        <v>0</v>
      </c>
      <c r="AH130" s="26">
        <f>IF(B130="","",ROUND(AA130-AG130,2))</f>
        <v>0</v>
      </c>
      <c r="AI130" s="39">
        <f>IF(B130="","",IF(AA130&lt;=0,"No charge",IF(AH130&lt;=0.004,"Paid",IF(AG130&lt;=0.004,"Unpaid","Part paid"))))</f>
        <v>0</v>
      </c>
      <c r="AJ130" s="38">
        <f>IF(B130="","",IF(H130&lt;&gt;"Service","",IF(D130="","No",IF(COUNTIFS($D$5:$D$1204,D130,$B$5:$B$1204,B130,$H$5:$H$1204,"Retail")&gt;0,"Yes","No"))))</f>
        <v>0</v>
      </c>
      <c r="AK130" s="25">
        <f>IF(B130="","",COUNTIFS($Y$5:$Y$1204,"&gt;"&amp;Y130)+COUNTIFS($Y$5:Y130,Y130))</f>
        <v>0</v>
      </c>
      <c r="AL130" s="39">
        <f>IF(B130="","",IF(H130="","Add - what kind of sale is this?",IF(IF(V130&lt;=0,P130="",FALSE),"Check - no price found for this item",IF(F130="","Assign - nobody credited",IF(AH130&gt;0.004,"Unpaid - balance outstanding",IF(AC130&lt;0,"Loss - sold below cost",IF(X130&gt;W130*0.5,"Check - more than half off","OK")))))))</f>
        <v>0</v>
      </c>
    </row>
    <row r="131" spans="1:38">
      <c r="A131" s="28">
        <f>IF(B131="","",SalePrefix&amp;TEXT(ROW()-4,"0000"))</f>
        <v>0</v>
      </c>
      <c r="E131" s="15">
        <f>IF(D131="","",IFERROR(INDEX(Clients!$B$5:$B$504,MATCH(D131,Clients!$A$5:$A$504,0)),"Walk-in"))</f>
        <v>0</v>
      </c>
      <c r="G131" s="15">
        <f>IF(F131="","",IFERROR(INDEX(Staff!$B$5:$B$44,MATCH(F131,Staff!$A$5:$A$44,0)),"House"))</f>
        <v>0</v>
      </c>
      <c r="R131" s="15">
        <f>IF(B131="","",TEXT(B131,"yyyy-mm"))</f>
        <v>0</v>
      </c>
      <c r="S131" s="25">
        <f>IF(B131="","",WEEKNUM(B131,2))</f>
        <v>0</v>
      </c>
      <c r="T131" s="37">
        <f>IF(B131="","",IF(K131="",1,K131))</f>
        <v>0</v>
      </c>
      <c r="U131" s="15">
        <f>IF(B131="","",IF(J131&lt;&gt;"",J131,IF(H131="Retail",IFERROR(INDEX(Inventory!$B$5:$B$304,MATCH(I131,Inventory!$A$5:$A$304,0))&amp;"","Not in Inventory"),IFERROR(INDEX(Services!$B$5:$B$204,MATCH(I131,Services!$A$5:$A$204,0))&amp;"","Not in Services"))))</f>
        <v>0</v>
      </c>
      <c r="V131" s="26">
        <f>IF(B131="","",IF(L131&lt;&gt;"",L131,IF(H131="Retail",IFERROR(INDEX(Inventory!$I$5:$I$304,MATCH(I131,Inventory!$A$5:$A$304,0))*1,0),IFERROR(INDEX(Services!$G$5:$G$204,MATCH(I131,Services!$A$5:$A$204,0))*1,0))))</f>
        <v>0</v>
      </c>
      <c r="W131" s="26">
        <f>IF(B131="","",ROUND(T131*V131,2))</f>
        <v>0</v>
      </c>
      <c r="X131" s="26">
        <f>IF(B131="","",ROUND(IF(M131="",0,W131*M131)+IF(N131="",0,N131),2))</f>
        <v>0</v>
      </c>
      <c r="Y131" s="26">
        <f>IF(B131="","",ROUND(W131-X131-IF(P131="",0,P131),2))</f>
        <v>0</v>
      </c>
      <c r="Z131" s="26">
        <f>IF(B131="","",IF(H131="Retail",IF(TaxOnRetail="Yes",ROUND(Y131*TaxRate,2),0),IF(H131="Service",IF(TaxOnServices="Yes",ROUND(Y131*TaxRate,2),0),0)))</f>
        <v>0</v>
      </c>
      <c r="AA131" s="26">
        <f>IF(B131="","",ROUND(Y131+Z131,2))</f>
        <v>0</v>
      </c>
      <c r="AB131" s="26">
        <f>IF(B131="","",ROUND(T131*IF(H131="Retail",IFERROR(INDEX(Inventory!$H$5:$H$304,MATCH(I131,Inventory!$A$5:$A$304,0))*1,0),IFERROR(INDEX(Services!$Q$5:$Q$204,MATCH(I131,Services!$A$5:$A$204,0))*1,0)),2))</f>
        <v>0</v>
      </c>
      <c r="AC131" s="26">
        <f>IF(B131="","",ROUND(Y131-AB131,2))</f>
        <v>0</v>
      </c>
      <c r="AD131" s="38">
        <f>IF(B131="","",IF(C131="","No",IF(COUNTIFS($C$5:C131,C131)=1,"Yes","No")))</f>
        <v>0</v>
      </c>
      <c r="AE131" s="26">
        <f>IF(B131="","",ROUND(SUMIFS(Payments!$G$5:$G$1204,Payments!$H$5:$H$1204,A131,Payments!$Q$5:$Q$1204,"Yes"),2))</f>
        <v>0</v>
      </c>
      <c r="AF131" s="26">
        <f>IF(B131="","",IF(AD131="No",0,ROUND(SUMIFS(Payments!$G$5:$G$1204,Payments!$I$5:$I$1204,C131,Payments!$H$5:$H$1204,"",Payments!$Q$5:$Q$1204,"Yes"),2)))</f>
        <v>0</v>
      </c>
      <c r="AG131" s="26">
        <f>IF(B131="","",ROUND(AE131+AF131,2))</f>
        <v>0</v>
      </c>
      <c r="AH131" s="26">
        <f>IF(B131="","",ROUND(AA131-AG131,2))</f>
        <v>0</v>
      </c>
      <c r="AI131" s="39">
        <f>IF(B131="","",IF(AA131&lt;=0,"No charge",IF(AH131&lt;=0.004,"Paid",IF(AG131&lt;=0.004,"Unpaid","Part paid"))))</f>
        <v>0</v>
      </c>
      <c r="AJ131" s="38">
        <f>IF(B131="","",IF(H131&lt;&gt;"Service","",IF(D131="","No",IF(COUNTIFS($D$5:$D$1204,D131,$B$5:$B$1204,B131,$H$5:$H$1204,"Retail")&gt;0,"Yes","No"))))</f>
        <v>0</v>
      </c>
      <c r="AK131" s="25">
        <f>IF(B131="","",COUNTIFS($Y$5:$Y$1204,"&gt;"&amp;Y131)+COUNTIFS($Y$5:Y131,Y131))</f>
        <v>0</v>
      </c>
      <c r="AL131" s="39">
        <f>IF(B131="","",IF(H131="","Add - what kind of sale is this?",IF(IF(V131&lt;=0,P131="",FALSE),"Check - no price found for this item",IF(F131="","Assign - nobody credited",IF(AH131&gt;0.004,"Unpaid - balance outstanding",IF(AC131&lt;0,"Loss - sold below cost",IF(X131&gt;W131*0.5,"Check - more than half off","OK")))))))</f>
        <v>0</v>
      </c>
    </row>
    <row r="132" spans="1:38">
      <c r="A132" s="28">
        <f>IF(B132="","",SalePrefix&amp;TEXT(ROW()-4,"0000"))</f>
        <v>0</v>
      </c>
      <c r="E132" s="15">
        <f>IF(D132="","",IFERROR(INDEX(Clients!$B$5:$B$504,MATCH(D132,Clients!$A$5:$A$504,0)),"Walk-in"))</f>
        <v>0</v>
      </c>
      <c r="G132" s="15">
        <f>IF(F132="","",IFERROR(INDEX(Staff!$B$5:$B$44,MATCH(F132,Staff!$A$5:$A$44,0)),"House"))</f>
        <v>0</v>
      </c>
      <c r="R132" s="15">
        <f>IF(B132="","",TEXT(B132,"yyyy-mm"))</f>
        <v>0</v>
      </c>
      <c r="S132" s="25">
        <f>IF(B132="","",WEEKNUM(B132,2))</f>
        <v>0</v>
      </c>
      <c r="T132" s="37">
        <f>IF(B132="","",IF(K132="",1,K132))</f>
        <v>0</v>
      </c>
      <c r="U132" s="15">
        <f>IF(B132="","",IF(J132&lt;&gt;"",J132,IF(H132="Retail",IFERROR(INDEX(Inventory!$B$5:$B$304,MATCH(I132,Inventory!$A$5:$A$304,0))&amp;"","Not in Inventory"),IFERROR(INDEX(Services!$B$5:$B$204,MATCH(I132,Services!$A$5:$A$204,0))&amp;"","Not in Services"))))</f>
        <v>0</v>
      </c>
      <c r="V132" s="26">
        <f>IF(B132="","",IF(L132&lt;&gt;"",L132,IF(H132="Retail",IFERROR(INDEX(Inventory!$I$5:$I$304,MATCH(I132,Inventory!$A$5:$A$304,0))*1,0),IFERROR(INDEX(Services!$G$5:$G$204,MATCH(I132,Services!$A$5:$A$204,0))*1,0))))</f>
        <v>0</v>
      </c>
      <c r="W132" s="26">
        <f>IF(B132="","",ROUND(T132*V132,2))</f>
        <v>0</v>
      </c>
      <c r="X132" s="26">
        <f>IF(B132="","",ROUND(IF(M132="",0,W132*M132)+IF(N132="",0,N132),2))</f>
        <v>0</v>
      </c>
      <c r="Y132" s="26">
        <f>IF(B132="","",ROUND(W132-X132-IF(P132="",0,P132),2))</f>
        <v>0</v>
      </c>
      <c r="Z132" s="26">
        <f>IF(B132="","",IF(H132="Retail",IF(TaxOnRetail="Yes",ROUND(Y132*TaxRate,2),0),IF(H132="Service",IF(TaxOnServices="Yes",ROUND(Y132*TaxRate,2),0),0)))</f>
        <v>0</v>
      </c>
      <c r="AA132" s="26">
        <f>IF(B132="","",ROUND(Y132+Z132,2))</f>
        <v>0</v>
      </c>
      <c r="AB132" s="26">
        <f>IF(B132="","",ROUND(T132*IF(H132="Retail",IFERROR(INDEX(Inventory!$H$5:$H$304,MATCH(I132,Inventory!$A$5:$A$304,0))*1,0),IFERROR(INDEX(Services!$Q$5:$Q$204,MATCH(I132,Services!$A$5:$A$204,0))*1,0)),2))</f>
        <v>0</v>
      </c>
      <c r="AC132" s="26">
        <f>IF(B132="","",ROUND(Y132-AB132,2))</f>
        <v>0</v>
      </c>
      <c r="AD132" s="38">
        <f>IF(B132="","",IF(C132="","No",IF(COUNTIFS($C$5:C132,C132)=1,"Yes","No")))</f>
        <v>0</v>
      </c>
      <c r="AE132" s="26">
        <f>IF(B132="","",ROUND(SUMIFS(Payments!$G$5:$G$1204,Payments!$H$5:$H$1204,A132,Payments!$Q$5:$Q$1204,"Yes"),2))</f>
        <v>0</v>
      </c>
      <c r="AF132" s="26">
        <f>IF(B132="","",IF(AD132="No",0,ROUND(SUMIFS(Payments!$G$5:$G$1204,Payments!$I$5:$I$1204,C132,Payments!$H$5:$H$1204,"",Payments!$Q$5:$Q$1204,"Yes"),2)))</f>
        <v>0</v>
      </c>
      <c r="AG132" s="26">
        <f>IF(B132="","",ROUND(AE132+AF132,2))</f>
        <v>0</v>
      </c>
      <c r="AH132" s="26">
        <f>IF(B132="","",ROUND(AA132-AG132,2))</f>
        <v>0</v>
      </c>
      <c r="AI132" s="39">
        <f>IF(B132="","",IF(AA132&lt;=0,"No charge",IF(AH132&lt;=0.004,"Paid",IF(AG132&lt;=0.004,"Unpaid","Part paid"))))</f>
        <v>0</v>
      </c>
      <c r="AJ132" s="38">
        <f>IF(B132="","",IF(H132&lt;&gt;"Service","",IF(D132="","No",IF(COUNTIFS($D$5:$D$1204,D132,$B$5:$B$1204,B132,$H$5:$H$1204,"Retail")&gt;0,"Yes","No"))))</f>
        <v>0</v>
      </c>
      <c r="AK132" s="25">
        <f>IF(B132="","",COUNTIFS($Y$5:$Y$1204,"&gt;"&amp;Y132)+COUNTIFS($Y$5:Y132,Y132))</f>
        <v>0</v>
      </c>
      <c r="AL132" s="39">
        <f>IF(B132="","",IF(H132="","Add - what kind of sale is this?",IF(IF(V132&lt;=0,P132="",FALSE),"Check - no price found for this item",IF(F132="","Assign - nobody credited",IF(AH132&gt;0.004,"Unpaid - balance outstanding",IF(AC132&lt;0,"Loss - sold below cost",IF(X132&gt;W132*0.5,"Check - more than half off","OK")))))))</f>
        <v>0</v>
      </c>
    </row>
    <row r="133" spans="1:38">
      <c r="A133" s="28">
        <f>IF(B133="","",SalePrefix&amp;TEXT(ROW()-4,"0000"))</f>
        <v>0</v>
      </c>
      <c r="E133" s="15">
        <f>IF(D133="","",IFERROR(INDEX(Clients!$B$5:$B$504,MATCH(D133,Clients!$A$5:$A$504,0)),"Walk-in"))</f>
        <v>0</v>
      </c>
      <c r="G133" s="15">
        <f>IF(F133="","",IFERROR(INDEX(Staff!$B$5:$B$44,MATCH(F133,Staff!$A$5:$A$44,0)),"House"))</f>
        <v>0</v>
      </c>
      <c r="R133" s="15">
        <f>IF(B133="","",TEXT(B133,"yyyy-mm"))</f>
        <v>0</v>
      </c>
      <c r="S133" s="25">
        <f>IF(B133="","",WEEKNUM(B133,2))</f>
        <v>0</v>
      </c>
      <c r="T133" s="37">
        <f>IF(B133="","",IF(K133="",1,K133))</f>
        <v>0</v>
      </c>
      <c r="U133" s="15">
        <f>IF(B133="","",IF(J133&lt;&gt;"",J133,IF(H133="Retail",IFERROR(INDEX(Inventory!$B$5:$B$304,MATCH(I133,Inventory!$A$5:$A$304,0))&amp;"","Not in Inventory"),IFERROR(INDEX(Services!$B$5:$B$204,MATCH(I133,Services!$A$5:$A$204,0))&amp;"","Not in Services"))))</f>
        <v>0</v>
      </c>
      <c r="V133" s="26">
        <f>IF(B133="","",IF(L133&lt;&gt;"",L133,IF(H133="Retail",IFERROR(INDEX(Inventory!$I$5:$I$304,MATCH(I133,Inventory!$A$5:$A$304,0))*1,0),IFERROR(INDEX(Services!$G$5:$G$204,MATCH(I133,Services!$A$5:$A$204,0))*1,0))))</f>
        <v>0</v>
      </c>
      <c r="W133" s="26">
        <f>IF(B133="","",ROUND(T133*V133,2))</f>
        <v>0</v>
      </c>
      <c r="X133" s="26">
        <f>IF(B133="","",ROUND(IF(M133="",0,W133*M133)+IF(N133="",0,N133),2))</f>
        <v>0</v>
      </c>
      <c r="Y133" s="26">
        <f>IF(B133="","",ROUND(W133-X133-IF(P133="",0,P133),2))</f>
        <v>0</v>
      </c>
      <c r="Z133" s="26">
        <f>IF(B133="","",IF(H133="Retail",IF(TaxOnRetail="Yes",ROUND(Y133*TaxRate,2),0),IF(H133="Service",IF(TaxOnServices="Yes",ROUND(Y133*TaxRate,2),0),0)))</f>
        <v>0</v>
      </c>
      <c r="AA133" s="26">
        <f>IF(B133="","",ROUND(Y133+Z133,2))</f>
        <v>0</v>
      </c>
      <c r="AB133" s="26">
        <f>IF(B133="","",ROUND(T133*IF(H133="Retail",IFERROR(INDEX(Inventory!$H$5:$H$304,MATCH(I133,Inventory!$A$5:$A$304,0))*1,0),IFERROR(INDEX(Services!$Q$5:$Q$204,MATCH(I133,Services!$A$5:$A$204,0))*1,0)),2))</f>
        <v>0</v>
      </c>
      <c r="AC133" s="26">
        <f>IF(B133="","",ROUND(Y133-AB133,2))</f>
        <v>0</v>
      </c>
      <c r="AD133" s="38">
        <f>IF(B133="","",IF(C133="","No",IF(COUNTIFS($C$5:C133,C133)=1,"Yes","No")))</f>
        <v>0</v>
      </c>
      <c r="AE133" s="26">
        <f>IF(B133="","",ROUND(SUMIFS(Payments!$G$5:$G$1204,Payments!$H$5:$H$1204,A133,Payments!$Q$5:$Q$1204,"Yes"),2))</f>
        <v>0</v>
      </c>
      <c r="AF133" s="26">
        <f>IF(B133="","",IF(AD133="No",0,ROUND(SUMIFS(Payments!$G$5:$G$1204,Payments!$I$5:$I$1204,C133,Payments!$H$5:$H$1204,"",Payments!$Q$5:$Q$1204,"Yes"),2)))</f>
        <v>0</v>
      </c>
      <c r="AG133" s="26">
        <f>IF(B133="","",ROUND(AE133+AF133,2))</f>
        <v>0</v>
      </c>
      <c r="AH133" s="26">
        <f>IF(B133="","",ROUND(AA133-AG133,2))</f>
        <v>0</v>
      </c>
      <c r="AI133" s="39">
        <f>IF(B133="","",IF(AA133&lt;=0,"No charge",IF(AH133&lt;=0.004,"Paid",IF(AG133&lt;=0.004,"Unpaid","Part paid"))))</f>
        <v>0</v>
      </c>
      <c r="AJ133" s="38">
        <f>IF(B133="","",IF(H133&lt;&gt;"Service","",IF(D133="","No",IF(COUNTIFS($D$5:$D$1204,D133,$B$5:$B$1204,B133,$H$5:$H$1204,"Retail")&gt;0,"Yes","No"))))</f>
        <v>0</v>
      </c>
      <c r="AK133" s="25">
        <f>IF(B133="","",COUNTIFS($Y$5:$Y$1204,"&gt;"&amp;Y133)+COUNTIFS($Y$5:Y133,Y133))</f>
        <v>0</v>
      </c>
      <c r="AL133" s="39">
        <f>IF(B133="","",IF(H133="","Add - what kind of sale is this?",IF(IF(V133&lt;=0,P133="",FALSE),"Check - no price found for this item",IF(F133="","Assign - nobody credited",IF(AH133&gt;0.004,"Unpaid - balance outstanding",IF(AC133&lt;0,"Loss - sold below cost",IF(X133&gt;W133*0.5,"Check - more than half off","OK")))))))</f>
        <v>0</v>
      </c>
    </row>
    <row r="134" spans="1:38">
      <c r="A134" s="28">
        <f>IF(B134="","",SalePrefix&amp;TEXT(ROW()-4,"0000"))</f>
        <v>0</v>
      </c>
      <c r="E134" s="15">
        <f>IF(D134="","",IFERROR(INDEX(Clients!$B$5:$B$504,MATCH(D134,Clients!$A$5:$A$504,0)),"Walk-in"))</f>
        <v>0</v>
      </c>
      <c r="G134" s="15">
        <f>IF(F134="","",IFERROR(INDEX(Staff!$B$5:$B$44,MATCH(F134,Staff!$A$5:$A$44,0)),"House"))</f>
        <v>0</v>
      </c>
      <c r="R134" s="15">
        <f>IF(B134="","",TEXT(B134,"yyyy-mm"))</f>
        <v>0</v>
      </c>
      <c r="S134" s="25">
        <f>IF(B134="","",WEEKNUM(B134,2))</f>
        <v>0</v>
      </c>
      <c r="T134" s="37">
        <f>IF(B134="","",IF(K134="",1,K134))</f>
        <v>0</v>
      </c>
      <c r="U134" s="15">
        <f>IF(B134="","",IF(J134&lt;&gt;"",J134,IF(H134="Retail",IFERROR(INDEX(Inventory!$B$5:$B$304,MATCH(I134,Inventory!$A$5:$A$304,0))&amp;"","Not in Inventory"),IFERROR(INDEX(Services!$B$5:$B$204,MATCH(I134,Services!$A$5:$A$204,0))&amp;"","Not in Services"))))</f>
        <v>0</v>
      </c>
      <c r="V134" s="26">
        <f>IF(B134="","",IF(L134&lt;&gt;"",L134,IF(H134="Retail",IFERROR(INDEX(Inventory!$I$5:$I$304,MATCH(I134,Inventory!$A$5:$A$304,0))*1,0),IFERROR(INDEX(Services!$G$5:$G$204,MATCH(I134,Services!$A$5:$A$204,0))*1,0))))</f>
        <v>0</v>
      </c>
      <c r="W134" s="26">
        <f>IF(B134="","",ROUND(T134*V134,2))</f>
        <v>0</v>
      </c>
      <c r="X134" s="26">
        <f>IF(B134="","",ROUND(IF(M134="",0,W134*M134)+IF(N134="",0,N134),2))</f>
        <v>0</v>
      </c>
      <c r="Y134" s="26">
        <f>IF(B134="","",ROUND(W134-X134-IF(P134="",0,P134),2))</f>
        <v>0</v>
      </c>
      <c r="Z134" s="26">
        <f>IF(B134="","",IF(H134="Retail",IF(TaxOnRetail="Yes",ROUND(Y134*TaxRate,2),0),IF(H134="Service",IF(TaxOnServices="Yes",ROUND(Y134*TaxRate,2),0),0)))</f>
        <v>0</v>
      </c>
      <c r="AA134" s="26">
        <f>IF(B134="","",ROUND(Y134+Z134,2))</f>
        <v>0</v>
      </c>
      <c r="AB134" s="26">
        <f>IF(B134="","",ROUND(T134*IF(H134="Retail",IFERROR(INDEX(Inventory!$H$5:$H$304,MATCH(I134,Inventory!$A$5:$A$304,0))*1,0),IFERROR(INDEX(Services!$Q$5:$Q$204,MATCH(I134,Services!$A$5:$A$204,0))*1,0)),2))</f>
        <v>0</v>
      </c>
      <c r="AC134" s="26">
        <f>IF(B134="","",ROUND(Y134-AB134,2))</f>
        <v>0</v>
      </c>
      <c r="AD134" s="38">
        <f>IF(B134="","",IF(C134="","No",IF(COUNTIFS($C$5:C134,C134)=1,"Yes","No")))</f>
        <v>0</v>
      </c>
      <c r="AE134" s="26">
        <f>IF(B134="","",ROUND(SUMIFS(Payments!$G$5:$G$1204,Payments!$H$5:$H$1204,A134,Payments!$Q$5:$Q$1204,"Yes"),2))</f>
        <v>0</v>
      </c>
      <c r="AF134" s="26">
        <f>IF(B134="","",IF(AD134="No",0,ROUND(SUMIFS(Payments!$G$5:$G$1204,Payments!$I$5:$I$1204,C134,Payments!$H$5:$H$1204,"",Payments!$Q$5:$Q$1204,"Yes"),2)))</f>
        <v>0</v>
      </c>
      <c r="AG134" s="26">
        <f>IF(B134="","",ROUND(AE134+AF134,2))</f>
        <v>0</v>
      </c>
      <c r="AH134" s="26">
        <f>IF(B134="","",ROUND(AA134-AG134,2))</f>
        <v>0</v>
      </c>
      <c r="AI134" s="39">
        <f>IF(B134="","",IF(AA134&lt;=0,"No charge",IF(AH134&lt;=0.004,"Paid",IF(AG134&lt;=0.004,"Unpaid","Part paid"))))</f>
        <v>0</v>
      </c>
      <c r="AJ134" s="38">
        <f>IF(B134="","",IF(H134&lt;&gt;"Service","",IF(D134="","No",IF(COUNTIFS($D$5:$D$1204,D134,$B$5:$B$1204,B134,$H$5:$H$1204,"Retail")&gt;0,"Yes","No"))))</f>
        <v>0</v>
      </c>
      <c r="AK134" s="25">
        <f>IF(B134="","",COUNTIFS($Y$5:$Y$1204,"&gt;"&amp;Y134)+COUNTIFS($Y$5:Y134,Y134))</f>
        <v>0</v>
      </c>
      <c r="AL134" s="39">
        <f>IF(B134="","",IF(H134="","Add - what kind of sale is this?",IF(IF(V134&lt;=0,P134="",FALSE),"Check - no price found for this item",IF(F134="","Assign - nobody credited",IF(AH134&gt;0.004,"Unpaid - balance outstanding",IF(AC134&lt;0,"Loss - sold below cost",IF(X134&gt;W134*0.5,"Check - more than half off","OK")))))))</f>
        <v>0</v>
      </c>
    </row>
    <row r="135" spans="1:38">
      <c r="A135" s="28">
        <f>IF(B135="","",SalePrefix&amp;TEXT(ROW()-4,"0000"))</f>
        <v>0</v>
      </c>
      <c r="E135" s="15">
        <f>IF(D135="","",IFERROR(INDEX(Clients!$B$5:$B$504,MATCH(D135,Clients!$A$5:$A$504,0)),"Walk-in"))</f>
        <v>0</v>
      </c>
      <c r="G135" s="15">
        <f>IF(F135="","",IFERROR(INDEX(Staff!$B$5:$B$44,MATCH(F135,Staff!$A$5:$A$44,0)),"House"))</f>
        <v>0</v>
      </c>
      <c r="R135" s="15">
        <f>IF(B135="","",TEXT(B135,"yyyy-mm"))</f>
        <v>0</v>
      </c>
      <c r="S135" s="25">
        <f>IF(B135="","",WEEKNUM(B135,2))</f>
        <v>0</v>
      </c>
      <c r="T135" s="37">
        <f>IF(B135="","",IF(K135="",1,K135))</f>
        <v>0</v>
      </c>
      <c r="U135" s="15">
        <f>IF(B135="","",IF(J135&lt;&gt;"",J135,IF(H135="Retail",IFERROR(INDEX(Inventory!$B$5:$B$304,MATCH(I135,Inventory!$A$5:$A$304,0))&amp;"","Not in Inventory"),IFERROR(INDEX(Services!$B$5:$B$204,MATCH(I135,Services!$A$5:$A$204,0))&amp;"","Not in Services"))))</f>
        <v>0</v>
      </c>
      <c r="V135" s="26">
        <f>IF(B135="","",IF(L135&lt;&gt;"",L135,IF(H135="Retail",IFERROR(INDEX(Inventory!$I$5:$I$304,MATCH(I135,Inventory!$A$5:$A$304,0))*1,0),IFERROR(INDEX(Services!$G$5:$G$204,MATCH(I135,Services!$A$5:$A$204,0))*1,0))))</f>
        <v>0</v>
      </c>
      <c r="W135" s="26">
        <f>IF(B135="","",ROUND(T135*V135,2))</f>
        <v>0</v>
      </c>
      <c r="X135" s="26">
        <f>IF(B135="","",ROUND(IF(M135="",0,W135*M135)+IF(N135="",0,N135),2))</f>
        <v>0</v>
      </c>
      <c r="Y135" s="26">
        <f>IF(B135="","",ROUND(W135-X135-IF(P135="",0,P135),2))</f>
        <v>0</v>
      </c>
      <c r="Z135" s="26">
        <f>IF(B135="","",IF(H135="Retail",IF(TaxOnRetail="Yes",ROUND(Y135*TaxRate,2),0),IF(H135="Service",IF(TaxOnServices="Yes",ROUND(Y135*TaxRate,2),0),0)))</f>
        <v>0</v>
      </c>
      <c r="AA135" s="26">
        <f>IF(B135="","",ROUND(Y135+Z135,2))</f>
        <v>0</v>
      </c>
      <c r="AB135" s="26">
        <f>IF(B135="","",ROUND(T135*IF(H135="Retail",IFERROR(INDEX(Inventory!$H$5:$H$304,MATCH(I135,Inventory!$A$5:$A$304,0))*1,0),IFERROR(INDEX(Services!$Q$5:$Q$204,MATCH(I135,Services!$A$5:$A$204,0))*1,0)),2))</f>
        <v>0</v>
      </c>
      <c r="AC135" s="26">
        <f>IF(B135="","",ROUND(Y135-AB135,2))</f>
        <v>0</v>
      </c>
      <c r="AD135" s="38">
        <f>IF(B135="","",IF(C135="","No",IF(COUNTIFS($C$5:C135,C135)=1,"Yes","No")))</f>
        <v>0</v>
      </c>
      <c r="AE135" s="26">
        <f>IF(B135="","",ROUND(SUMIFS(Payments!$G$5:$G$1204,Payments!$H$5:$H$1204,A135,Payments!$Q$5:$Q$1204,"Yes"),2))</f>
        <v>0</v>
      </c>
      <c r="AF135" s="26">
        <f>IF(B135="","",IF(AD135="No",0,ROUND(SUMIFS(Payments!$G$5:$G$1204,Payments!$I$5:$I$1204,C135,Payments!$H$5:$H$1204,"",Payments!$Q$5:$Q$1204,"Yes"),2)))</f>
        <v>0</v>
      </c>
      <c r="AG135" s="26">
        <f>IF(B135="","",ROUND(AE135+AF135,2))</f>
        <v>0</v>
      </c>
      <c r="AH135" s="26">
        <f>IF(B135="","",ROUND(AA135-AG135,2))</f>
        <v>0</v>
      </c>
      <c r="AI135" s="39">
        <f>IF(B135="","",IF(AA135&lt;=0,"No charge",IF(AH135&lt;=0.004,"Paid",IF(AG135&lt;=0.004,"Unpaid","Part paid"))))</f>
        <v>0</v>
      </c>
      <c r="AJ135" s="38">
        <f>IF(B135="","",IF(H135&lt;&gt;"Service","",IF(D135="","No",IF(COUNTIFS($D$5:$D$1204,D135,$B$5:$B$1204,B135,$H$5:$H$1204,"Retail")&gt;0,"Yes","No"))))</f>
        <v>0</v>
      </c>
      <c r="AK135" s="25">
        <f>IF(B135="","",COUNTIFS($Y$5:$Y$1204,"&gt;"&amp;Y135)+COUNTIFS($Y$5:Y135,Y135))</f>
        <v>0</v>
      </c>
      <c r="AL135" s="39">
        <f>IF(B135="","",IF(H135="","Add - what kind of sale is this?",IF(IF(V135&lt;=0,P135="",FALSE),"Check - no price found for this item",IF(F135="","Assign - nobody credited",IF(AH135&gt;0.004,"Unpaid - balance outstanding",IF(AC135&lt;0,"Loss - sold below cost",IF(X135&gt;W135*0.5,"Check - more than half off","OK")))))))</f>
        <v>0</v>
      </c>
    </row>
    <row r="136" spans="1:38">
      <c r="A136" s="28">
        <f>IF(B136="","",SalePrefix&amp;TEXT(ROW()-4,"0000"))</f>
        <v>0</v>
      </c>
      <c r="E136" s="15">
        <f>IF(D136="","",IFERROR(INDEX(Clients!$B$5:$B$504,MATCH(D136,Clients!$A$5:$A$504,0)),"Walk-in"))</f>
        <v>0</v>
      </c>
      <c r="G136" s="15">
        <f>IF(F136="","",IFERROR(INDEX(Staff!$B$5:$B$44,MATCH(F136,Staff!$A$5:$A$44,0)),"House"))</f>
        <v>0</v>
      </c>
      <c r="R136" s="15">
        <f>IF(B136="","",TEXT(B136,"yyyy-mm"))</f>
        <v>0</v>
      </c>
      <c r="S136" s="25">
        <f>IF(B136="","",WEEKNUM(B136,2))</f>
        <v>0</v>
      </c>
      <c r="T136" s="37">
        <f>IF(B136="","",IF(K136="",1,K136))</f>
        <v>0</v>
      </c>
      <c r="U136" s="15">
        <f>IF(B136="","",IF(J136&lt;&gt;"",J136,IF(H136="Retail",IFERROR(INDEX(Inventory!$B$5:$B$304,MATCH(I136,Inventory!$A$5:$A$304,0))&amp;"","Not in Inventory"),IFERROR(INDEX(Services!$B$5:$B$204,MATCH(I136,Services!$A$5:$A$204,0))&amp;"","Not in Services"))))</f>
        <v>0</v>
      </c>
      <c r="V136" s="26">
        <f>IF(B136="","",IF(L136&lt;&gt;"",L136,IF(H136="Retail",IFERROR(INDEX(Inventory!$I$5:$I$304,MATCH(I136,Inventory!$A$5:$A$304,0))*1,0),IFERROR(INDEX(Services!$G$5:$G$204,MATCH(I136,Services!$A$5:$A$204,0))*1,0))))</f>
        <v>0</v>
      </c>
      <c r="W136" s="26">
        <f>IF(B136="","",ROUND(T136*V136,2))</f>
        <v>0</v>
      </c>
      <c r="X136" s="26">
        <f>IF(B136="","",ROUND(IF(M136="",0,W136*M136)+IF(N136="",0,N136),2))</f>
        <v>0</v>
      </c>
      <c r="Y136" s="26">
        <f>IF(B136="","",ROUND(W136-X136-IF(P136="",0,P136),2))</f>
        <v>0</v>
      </c>
      <c r="Z136" s="26">
        <f>IF(B136="","",IF(H136="Retail",IF(TaxOnRetail="Yes",ROUND(Y136*TaxRate,2),0),IF(H136="Service",IF(TaxOnServices="Yes",ROUND(Y136*TaxRate,2),0),0)))</f>
        <v>0</v>
      </c>
      <c r="AA136" s="26">
        <f>IF(B136="","",ROUND(Y136+Z136,2))</f>
        <v>0</v>
      </c>
      <c r="AB136" s="26">
        <f>IF(B136="","",ROUND(T136*IF(H136="Retail",IFERROR(INDEX(Inventory!$H$5:$H$304,MATCH(I136,Inventory!$A$5:$A$304,0))*1,0),IFERROR(INDEX(Services!$Q$5:$Q$204,MATCH(I136,Services!$A$5:$A$204,0))*1,0)),2))</f>
        <v>0</v>
      </c>
      <c r="AC136" s="26">
        <f>IF(B136="","",ROUND(Y136-AB136,2))</f>
        <v>0</v>
      </c>
      <c r="AD136" s="38">
        <f>IF(B136="","",IF(C136="","No",IF(COUNTIFS($C$5:C136,C136)=1,"Yes","No")))</f>
        <v>0</v>
      </c>
      <c r="AE136" s="26">
        <f>IF(B136="","",ROUND(SUMIFS(Payments!$G$5:$G$1204,Payments!$H$5:$H$1204,A136,Payments!$Q$5:$Q$1204,"Yes"),2))</f>
        <v>0</v>
      </c>
      <c r="AF136" s="26">
        <f>IF(B136="","",IF(AD136="No",0,ROUND(SUMIFS(Payments!$G$5:$G$1204,Payments!$I$5:$I$1204,C136,Payments!$H$5:$H$1204,"",Payments!$Q$5:$Q$1204,"Yes"),2)))</f>
        <v>0</v>
      </c>
      <c r="AG136" s="26">
        <f>IF(B136="","",ROUND(AE136+AF136,2))</f>
        <v>0</v>
      </c>
      <c r="AH136" s="26">
        <f>IF(B136="","",ROUND(AA136-AG136,2))</f>
        <v>0</v>
      </c>
      <c r="AI136" s="39">
        <f>IF(B136="","",IF(AA136&lt;=0,"No charge",IF(AH136&lt;=0.004,"Paid",IF(AG136&lt;=0.004,"Unpaid","Part paid"))))</f>
        <v>0</v>
      </c>
      <c r="AJ136" s="38">
        <f>IF(B136="","",IF(H136&lt;&gt;"Service","",IF(D136="","No",IF(COUNTIFS($D$5:$D$1204,D136,$B$5:$B$1204,B136,$H$5:$H$1204,"Retail")&gt;0,"Yes","No"))))</f>
        <v>0</v>
      </c>
      <c r="AK136" s="25">
        <f>IF(B136="","",COUNTIFS($Y$5:$Y$1204,"&gt;"&amp;Y136)+COUNTIFS($Y$5:Y136,Y136))</f>
        <v>0</v>
      </c>
      <c r="AL136" s="39">
        <f>IF(B136="","",IF(H136="","Add - what kind of sale is this?",IF(IF(V136&lt;=0,P136="",FALSE),"Check - no price found for this item",IF(F136="","Assign - nobody credited",IF(AH136&gt;0.004,"Unpaid - balance outstanding",IF(AC136&lt;0,"Loss - sold below cost",IF(X136&gt;W136*0.5,"Check - more than half off","OK")))))))</f>
        <v>0</v>
      </c>
    </row>
    <row r="137" spans="1:38">
      <c r="A137" s="28">
        <f>IF(B137="","",SalePrefix&amp;TEXT(ROW()-4,"0000"))</f>
        <v>0</v>
      </c>
      <c r="E137" s="15">
        <f>IF(D137="","",IFERROR(INDEX(Clients!$B$5:$B$504,MATCH(D137,Clients!$A$5:$A$504,0)),"Walk-in"))</f>
        <v>0</v>
      </c>
      <c r="G137" s="15">
        <f>IF(F137="","",IFERROR(INDEX(Staff!$B$5:$B$44,MATCH(F137,Staff!$A$5:$A$44,0)),"House"))</f>
        <v>0</v>
      </c>
      <c r="R137" s="15">
        <f>IF(B137="","",TEXT(B137,"yyyy-mm"))</f>
        <v>0</v>
      </c>
      <c r="S137" s="25">
        <f>IF(B137="","",WEEKNUM(B137,2))</f>
        <v>0</v>
      </c>
      <c r="T137" s="37">
        <f>IF(B137="","",IF(K137="",1,K137))</f>
        <v>0</v>
      </c>
      <c r="U137" s="15">
        <f>IF(B137="","",IF(J137&lt;&gt;"",J137,IF(H137="Retail",IFERROR(INDEX(Inventory!$B$5:$B$304,MATCH(I137,Inventory!$A$5:$A$304,0))&amp;"","Not in Inventory"),IFERROR(INDEX(Services!$B$5:$B$204,MATCH(I137,Services!$A$5:$A$204,0))&amp;"","Not in Services"))))</f>
        <v>0</v>
      </c>
      <c r="V137" s="26">
        <f>IF(B137="","",IF(L137&lt;&gt;"",L137,IF(H137="Retail",IFERROR(INDEX(Inventory!$I$5:$I$304,MATCH(I137,Inventory!$A$5:$A$304,0))*1,0),IFERROR(INDEX(Services!$G$5:$G$204,MATCH(I137,Services!$A$5:$A$204,0))*1,0))))</f>
        <v>0</v>
      </c>
      <c r="W137" s="26">
        <f>IF(B137="","",ROUND(T137*V137,2))</f>
        <v>0</v>
      </c>
      <c r="X137" s="26">
        <f>IF(B137="","",ROUND(IF(M137="",0,W137*M137)+IF(N137="",0,N137),2))</f>
        <v>0</v>
      </c>
      <c r="Y137" s="26">
        <f>IF(B137="","",ROUND(W137-X137-IF(P137="",0,P137),2))</f>
        <v>0</v>
      </c>
      <c r="Z137" s="26">
        <f>IF(B137="","",IF(H137="Retail",IF(TaxOnRetail="Yes",ROUND(Y137*TaxRate,2),0),IF(H137="Service",IF(TaxOnServices="Yes",ROUND(Y137*TaxRate,2),0),0)))</f>
        <v>0</v>
      </c>
      <c r="AA137" s="26">
        <f>IF(B137="","",ROUND(Y137+Z137,2))</f>
        <v>0</v>
      </c>
      <c r="AB137" s="26">
        <f>IF(B137="","",ROUND(T137*IF(H137="Retail",IFERROR(INDEX(Inventory!$H$5:$H$304,MATCH(I137,Inventory!$A$5:$A$304,0))*1,0),IFERROR(INDEX(Services!$Q$5:$Q$204,MATCH(I137,Services!$A$5:$A$204,0))*1,0)),2))</f>
        <v>0</v>
      </c>
      <c r="AC137" s="26">
        <f>IF(B137="","",ROUND(Y137-AB137,2))</f>
        <v>0</v>
      </c>
      <c r="AD137" s="38">
        <f>IF(B137="","",IF(C137="","No",IF(COUNTIFS($C$5:C137,C137)=1,"Yes","No")))</f>
        <v>0</v>
      </c>
      <c r="AE137" s="26">
        <f>IF(B137="","",ROUND(SUMIFS(Payments!$G$5:$G$1204,Payments!$H$5:$H$1204,A137,Payments!$Q$5:$Q$1204,"Yes"),2))</f>
        <v>0</v>
      </c>
      <c r="AF137" s="26">
        <f>IF(B137="","",IF(AD137="No",0,ROUND(SUMIFS(Payments!$G$5:$G$1204,Payments!$I$5:$I$1204,C137,Payments!$H$5:$H$1204,"",Payments!$Q$5:$Q$1204,"Yes"),2)))</f>
        <v>0</v>
      </c>
      <c r="AG137" s="26">
        <f>IF(B137="","",ROUND(AE137+AF137,2))</f>
        <v>0</v>
      </c>
      <c r="AH137" s="26">
        <f>IF(B137="","",ROUND(AA137-AG137,2))</f>
        <v>0</v>
      </c>
      <c r="AI137" s="39">
        <f>IF(B137="","",IF(AA137&lt;=0,"No charge",IF(AH137&lt;=0.004,"Paid",IF(AG137&lt;=0.004,"Unpaid","Part paid"))))</f>
        <v>0</v>
      </c>
      <c r="AJ137" s="38">
        <f>IF(B137="","",IF(H137&lt;&gt;"Service","",IF(D137="","No",IF(COUNTIFS($D$5:$D$1204,D137,$B$5:$B$1204,B137,$H$5:$H$1204,"Retail")&gt;0,"Yes","No"))))</f>
        <v>0</v>
      </c>
      <c r="AK137" s="25">
        <f>IF(B137="","",COUNTIFS($Y$5:$Y$1204,"&gt;"&amp;Y137)+COUNTIFS($Y$5:Y137,Y137))</f>
        <v>0</v>
      </c>
      <c r="AL137" s="39">
        <f>IF(B137="","",IF(H137="","Add - what kind of sale is this?",IF(IF(V137&lt;=0,P137="",FALSE),"Check - no price found for this item",IF(F137="","Assign - nobody credited",IF(AH137&gt;0.004,"Unpaid - balance outstanding",IF(AC137&lt;0,"Loss - sold below cost",IF(X137&gt;W137*0.5,"Check - more than half off","OK")))))))</f>
        <v>0</v>
      </c>
    </row>
    <row r="138" spans="1:38">
      <c r="A138" s="28">
        <f>IF(B138="","",SalePrefix&amp;TEXT(ROW()-4,"0000"))</f>
        <v>0</v>
      </c>
      <c r="E138" s="15">
        <f>IF(D138="","",IFERROR(INDEX(Clients!$B$5:$B$504,MATCH(D138,Clients!$A$5:$A$504,0)),"Walk-in"))</f>
        <v>0</v>
      </c>
      <c r="G138" s="15">
        <f>IF(F138="","",IFERROR(INDEX(Staff!$B$5:$B$44,MATCH(F138,Staff!$A$5:$A$44,0)),"House"))</f>
        <v>0</v>
      </c>
      <c r="R138" s="15">
        <f>IF(B138="","",TEXT(B138,"yyyy-mm"))</f>
        <v>0</v>
      </c>
      <c r="S138" s="25">
        <f>IF(B138="","",WEEKNUM(B138,2))</f>
        <v>0</v>
      </c>
      <c r="T138" s="37">
        <f>IF(B138="","",IF(K138="",1,K138))</f>
        <v>0</v>
      </c>
      <c r="U138" s="15">
        <f>IF(B138="","",IF(J138&lt;&gt;"",J138,IF(H138="Retail",IFERROR(INDEX(Inventory!$B$5:$B$304,MATCH(I138,Inventory!$A$5:$A$304,0))&amp;"","Not in Inventory"),IFERROR(INDEX(Services!$B$5:$B$204,MATCH(I138,Services!$A$5:$A$204,0))&amp;"","Not in Services"))))</f>
        <v>0</v>
      </c>
      <c r="V138" s="26">
        <f>IF(B138="","",IF(L138&lt;&gt;"",L138,IF(H138="Retail",IFERROR(INDEX(Inventory!$I$5:$I$304,MATCH(I138,Inventory!$A$5:$A$304,0))*1,0),IFERROR(INDEX(Services!$G$5:$G$204,MATCH(I138,Services!$A$5:$A$204,0))*1,0))))</f>
        <v>0</v>
      </c>
      <c r="W138" s="26">
        <f>IF(B138="","",ROUND(T138*V138,2))</f>
        <v>0</v>
      </c>
      <c r="X138" s="26">
        <f>IF(B138="","",ROUND(IF(M138="",0,W138*M138)+IF(N138="",0,N138),2))</f>
        <v>0</v>
      </c>
      <c r="Y138" s="26">
        <f>IF(B138="","",ROUND(W138-X138-IF(P138="",0,P138),2))</f>
        <v>0</v>
      </c>
      <c r="Z138" s="26">
        <f>IF(B138="","",IF(H138="Retail",IF(TaxOnRetail="Yes",ROUND(Y138*TaxRate,2),0),IF(H138="Service",IF(TaxOnServices="Yes",ROUND(Y138*TaxRate,2),0),0)))</f>
        <v>0</v>
      </c>
      <c r="AA138" s="26">
        <f>IF(B138="","",ROUND(Y138+Z138,2))</f>
        <v>0</v>
      </c>
      <c r="AB138" s="26">
        <f>IF(B138="","",ROUND(T138*IF(H138="Retail",IFERROR(INDEX(Inventory!$H$5:$H$304,MATCH(I138,Inventory!$A$5:$A$304,0))*1,0),IFERROR(INDEX(Services!$Q$5:$Q$204,MATCH(I138,Services!$A$5:$A$204,0))*1,0)),2))</f>
        <v>0</v>
      </c>
      <c r="AC138" s="26">
        <f>IF(B138="","",ROUND(Y138-AB138,2))</f>
        <v>0</v>
      </c>
      <c r="AD138" s="38">
        <f>IF(B138="","",IF(C138="","No",IF(COUNTIFS($C$5:C138,C138)=1,"Yes","No")))</f>
        <v>0</v>
      </c>
      <c r="AE138" s="26">
        <f>IF(B138="","",ROUND(SUMIFS(Payments!$G$5:$G$1204,Payments!$H$5:$H$1204,A138,Payments!$Q$5:$Q$1204,"Yes"),2))</f>
        <v>0</v>
      </c>
      <c r="AF138" s="26">
        <f>IF(B138="","",IF(AD138="No",0,ROUND(SUMIFS(Payments!$G$5:$G$1204,Payments!$I$5:$I$1204,C138,Payments!$H$5:$H$1204,"",Payments!$Q$5:$Q$1204,"Yes"),2)))</f>
        <v>0</v>
      </c>
      <c r="AG138" s="26">
        <f>IF(B138="","",ROUND(AE138+AF138,2))</f>
        <v>0</v>
      </c>
      <c r="AH138" s="26">
        <f>IF(B138="","",ROUND(AA138-AG138,2))</f>
        <v>0</v>
      </c>
      <c r="AI138" s="39">
        <f>IF(B138="","",IF(AA138&lt;=0,"No charge",IF(AH138&lt;=0.004,"Paid",IF(AG138&lt;=0.004,"Unpaid","Part paid"))))</f>
        <v>0</v>
      </c>
      <c r="AJ138" s="38">
        <f>IF(B138="","",IF(H138&lt;&gt;"Service","",IF(D138="","No",IF(COUNTIFS($D$5:$D$1204,D138,$B$5:$B$1204,B138,$H$5:$H$1204,"Retail")&gt;0,"Yes","No"))))</f>
        <v>0</v>
      </c>
      <c r="AK138" s="25">
        <f>IF(B138="","",COUNTIFS($Y$5:$Y$1204,"&gt;"&amp;Y138)+COUNTIFS($Y$5:Y138,Y138))</f>
        <v>0</v>
      </c>
      <c r="AL138" s="39">
        <f>IF(B138="","",IF(H138="","Add - what kind of sale is this?",IF(IF(V138&lt;=0,P138="",FALSE),"Check - no price found for this item",IF(F138="","Assign - nobody credited",IF(AH138&gt;0.004,"Unpaid - balance outstanding",IF(AC138&lt;0,"Loss - sold below cost",IF(X138&gt;W138*0.5,"Check - more than half off","OK")))))))</f>
        <v>0</v>
      </c>
    </row>
    <row r="139" spans="1:38">
      <c r="A139" s="28">
        <f>IF(B139="","",SalePrefix&amp;TEXT(ROW()-4,"0000"))</f>
        <v>0</v>
      </c>
      <c r="E139" s="15">
        <f>IF(D139="","",IFERROR(INDEX(Clients!$B$5:$B$504,MATCH(D139,Clients!$A$5:$A$504,0)),"Walk-in"))</f>
        <v>0</v>
      </c>
      <c r="G139" s="15">
        <f>IF(F139="","",IFERROR(INDEX(Staff!$B$5:$B$44,MATCH(F139,Staff!$A$5:$A$44,0)),"House"))</f>
        <v>0</v>
      </c>
      <c r="R139" s="15">
        <f>IF(B139="","",TEXT(B139,"yyyy-mm"))</f>
        <v>0</v>
      </c>
      <c r="S139" s="25">
        <f>IF(B139="","",WEEKNUM(B139,2))</f>
        <v>0</v>
      </c>
      <c r="T139" s="37">
        <f>IF(B139="","",IF(K139="",1,K139))</f>
        <v>0</v>
      </c>
      <c r="U139" s="15">
        <f>IF(B139="","",IF(J139&lt;&gt;"",J139,IF(H139="Retail",IFERROR(INDEX(Inventory!$B$5:$B$304,MATCH(I139,Inventory!$A$5:$A$304,0))&amp;"","Not in Inventory"),IFERROR(INDEX(Services!$B$5:$B$204,MATCH(I139,Services!$A$5:$A$204,0))&amp;"","Not in Services"))))</f>
        <v>0</v>
      </c>
      <c r="V139" s="26">
        <f>IF(B139="","",IF(L139&lt;&gt;"",L139,IF(H139="Retail",IFERROR(INDEX(Inventory!$I$5:$I$304,MATCH(I139,Inventory!$A$5:$A$304,0))*1,0),IFERROR(INDEX(Services!$G$5:$G$204,MATCH(I139,Services!$A$5:$A$204,0))*1,0))))</f>
        <v>0</v>
      </c>
      <c r="W139" s="26">
        <f>IF(B139="","",ROUND(T139*V139,2))</f>
        <v>0</v>
      </c>
      <c r="X139" s="26">
        <f>IF(B139="","",ROUND(IF(M139="",0,W139*M139)+IF(N139="",0,N139),2))</f>
        <v>0</v>
      </c>
      <c r="Y139" s="26">
        <f>IF(B139="","",ROUND(W139-X139-IF(P139="",0,P139),2))</f>
        <v>0</v>
      </c>
      <c r="Z139" s="26">
        <f>IF(B139="","",IF(H139="Retail",IF(TaxOnRetail="Yes",ROUND(Y139*TaxRate,2),0),IF(H139="Service",IF(TaxOnServices="Yes",ROUND(Y139*TaxRate,2),0),0)))</f>
        <v>0</v>
      </c>
      <c r="AA139" s="26">
        <f>IF(B139="","",ROUND(Y139+Z139,2))</f>
        <v>0</v>
      </c>
      <c r="AB139" s="26">
        <f>IF(B139="","",ROUND(T139*IF(H139="Retail",IFERROR(INDEX(Inventory!$H$5:$H$304,MATCH(I139,Inventory!$A$5:$A$304,0))*1,0),IFERROR(INDEX(Services!$Q$5:$Q$204,MATCH(I139,Services!$A$5:$A$204,0))*1,0)),2))</f>
        <v>0</v>
      </c>
      <c r="AC139" s="26">
        <f>IF(B139="","",ROUND(Y139-AB139,2))</f>
        <v>0</v>
      </c>
      <c r="AD139" s="38">
        <f>IF(B139="","",IF(C139="","No",IF(COUNTIFS($C$5:C139,C139)=1,"Yes","No")))</f>
        <v>0</v>
      </c>
      <c r="AE139" s="26">
        <f>IF(B139="","",ROUND(SUMIFS(Payments!$G$5:$G$1204,Payments!$H$5:$H$1204,A139,Payments!$Q$5:$Q$1204,"Yes"),2))</f>
        <v>0</v>
      </c>
      <c r="AF139" s="26">
        <f>IF(B139="","",IF(AD139="No",0,ROUND(SUMIFS(Payments!$G$5:$G$1204,Payments!$I$5:$I$1204,C139,Payments!$H$5:$H$1204,"",Payments!$Q$5:$Q$1204,"Yes"),2)))</f>
        <v>0</v>
      </c>
      <c r="AG139" s="26">
        <f>IF(B139="","",ROUND(AE139+AF139,2))</f>
        <v>0</v>
      </c>
      <c r="AH139" s="26">
        <f>IF(B139="","",ROUND(AA139-AG139,2))</f>
        <v>0</v>
      </c>
      <c r="AI139" s="39">
        <f>IF(B139="","",IF(AA139&lt;=0,"No charge",IF(AH139&lt;=0.004,"Paid",IF(AG139&lt;=0.004,"Unpaid","Part paid"))))</f>
        <v>0</v>
      </c>
      <c r="AJ139" s="38">
        <f>IF(B139="","",IF(H139&lt;&gt;"Service","",IF(D139="","No",IF(COUNTIFS($D$5:$D$1204,D139,$B$5:$B$1204,B139,$H$5:$H$1204,"Retail")&gt;0,"Yes","No"))))</f>
        <v>0</v>
      </c>
      <c r="AK139" s="25">
        <f>IF(B139="","",COUNTIFS($Y$5:$Y$1204,"&gt;"&amp;Y139)+COUNTIFS($Y$5:Y139,Y139))</f>
        <v>0</v>
      </c>
      <c r="AL139" s="39">
        <f>IF(B139="","",IF(H139="","Add - what kind of sale is this?",IF(IF(V139&lt;=0,P139="",FALSE),"Check - no price found for this item",IF(F139="","Assign - nobody credited",IF(AH139&gt;0.004,"Unpaid - balance outstanding",IF(AC139&lt;0,"Loss - sold below cost",IF(X139&gt;W139*0.5,"Check - more than half off","OK")))))))</f>
        <v>0</v>
      </c>
    </row>
    <row r="140" spans="1:38">
      <c r="A140" s="28">
        <f>IF(B140="","",SalePrefix&amp;TEXT(ROW()-4,"0000"))</f>
        <v>0</v>
      </c>
      <c r="E140" s="15">
        <f>IF(D140="","",IFERROR(INDEX(Clients!$B$5:$B$504,MATCH(D140,Clients!$A$5:$A$504,0)),"Walk-in"))</f>
        <v>0</v>
      </c>
      <c r="G140" s="15">
        <f>IF(F140="","",IFERROR(INDEX(Staff!$B$5:$B$44,MATCH(F140,Staff!$A$5:$A$44,0)),"House"))</f>
        <v>0</v>
      </c>
      <c r="R140" s="15">
        <f>IF(B140="","",TEXT(B140,"yyyy-mm"))</f>
        <v>0</v>
      </c>
      <c r="S140" s="25">
        <f>IF(B140="","",WEEKNUM(B140,2))</f>
        <v>0</v>
      </c>
      <c r="T140" s="37">
        <f>IF(B140="","",IF(K140="",1,K140))</f>
        <v>0</v>
      </c>
      <c r="U140" s="15">
        <f>IF(B140="","",IF(J140&lt;&gt;"",J140,IF(H140="Retail",IFERROR(INDEX(Inventory!$B$5:$B$304,MATCH(I140,Inventory!$A$5:$A$304,0))&amp;"","Not in Inventory"),IFERROR(INDEX(Services!$B$5:$B$204,MATCH(I140,Services!$A$5:$A$204,0))&amp;"","Not in Services"))))</f>
        <v>0</v>
      </c>
      <c r="V140" s="26">
        <f>IF(B140="","",IF(L140&lt;&gt;"",L140,IF(H140="Retail",IFERROR(INDEX(Inventory!$I$5:$I$304,MATCH(I140,Inventory!$A$5:$A$304,0))*1,0),IFERROR(INDEX(Services!$G$5:$G$204,MATCH(I140,Services!$A$5:$A$204,0))*1,0))))</f>
        <v>0</v>
      </c>
      <c r="W140" s="26">
        <f>IF(B140="","",ROUND(T140*V140,2))</f>
        <v>0</v>
      </c>
      <c r="X140" s="26">
        <f>IF(B140="","",ROUND(IF(M140="",0,W140*M140)+IF(N140="",0,N140),2))</f>
        <v>0</v>
      </c>
      <c r="Y140" s="26">
        <f>IF(B140="","",ROUND(W140-X140-IF(P140="",0,P140),2))</f>
        <v>0</v>
      </c>
      <c r="Z140" s="26">
        <f>IF(B140="","",IF(H140="Retail",IF(TaxOnRetail="Yes",ROUND(Y140*TaxRate,2),0),IF(H140="Service",IF(TaxOnServices="Yes",ROUND(Y140*TaxRate,2),0),0)))</f>
        <v>0</v>
      </c>
      <c r="AA140" s="26">
        <f>IF(B140="","",ROUND(Y140+Z140,2))</f>
        <v>0</v>
      </c>
      <c r="AB140" s="26">
        <f>IF(B140="","",ROUND(T140*IF(H140="Retail",IFERROR(INDEX(Inventory!$H$5:$H$304,MATCH(I140,Inventory!$A$5:$A$304,0))*1,0),IFERROR(INDEX(Services!$Q$5:$Q$204,MATCH(I140,Services!$A$5:$A$204,0))*1,0)),2))</f>
        <v>0</v>
      </c>
      <c r="AC140" s="26">
        <f>IF(B140="","",ROUND(Y140-AB140,2))</f>
        <v>0</v>
      </c>
      <c r="AD140" s="38">
        <f>IF(B140="","",IF(C140="","No",IF(COUNTIFS($C$5:C140,C140)=1,"Yes","No")))</f>
        <v>0</v>
      </c>
      <c r="AE140" s="26">
        <f>IF(B140="","",ROUND(SUMIFS(Payments!$G$5:$G$1204,Payments!$H$5:$H$1204,A140,Payments!$Q$5:$Q$1204,"Yes"),2))</f>
        <v>0</v>
      </c>
      <c r="AF140" s="26">
        <f>IF(B140="","",IF(AD140="No",0,ROUND(SUMIFS(Payments!$G$5:$G$1204,Payments!$I$5:$I$1204,C140,Payments!$H$5:$H$1204,"",Payments!$Q$5:$Q$1204,"Yes"),2)))</f>
        <v>0</v>
      </c>
      <c r="AG140" s="26">
        <f>IF(B140="","",ROUND(AE140+AF140,2))</f>
        <v>0</v>
      </c>
      <c r="AH140" s="26">
        <f>IF(B140="","",ROUND(AA140-AG140,2))</f>
        <v>0</v>
      </c>
      <c r="AI140" s="39">
        <f>IF(B140="","",IF(AA140&lt;=0,"No charge",IF(AH140&lt;=0.004,"Paid",IF(AG140&lt;=0.004,"Unpaid","Part paid"))))</f>
        <v>0</v>
      </c>
      <c r="AJ140" s="38">
        <f>IF(B140="","",IF(H140&lt;&gt;"Service","",IF(D140="","No",IF(COUNTIFS($D$5:$D$1204,D140,$B$5:$B$1204,B140,$H$5:$H$1204,"Retail")&gt;0,"Yes","No"))))</f>
        <v>0</v>
      </c>
      <c r="AK140" s="25">
        <f>IF(B140="","",COUNTIFS($Y$5:$Y$1204,"&gt;"&amp;Y140)+COUNTIFS($Y$5:Y140,Y140))</f>
        <v>0</v>
      </c>
      <c r="AL140" s="39">
        <f>IF(B140="","",IF(H140="","Add - what kind of sale is this?",IF(IF(V140&lt;=0,P140="",FALSE),"Check - no price found for this item",IF(F140="","Assign - nobody credited",IF(AH140&gt;0.004,"Unpaid - balance outstanding",IF(AC140&lt;0,"Loss - sold below cost",IF(X140&gt;W140*0.5,"Check - more than half off","OK")))))))</f>
        <v>0</v>
      </c>
    </row>
    <row r="141" spans="1:38">
      <c r="A141" s="28">
        <f>IF(B141="","",SalePrefix&amp;TEXT(ROW()-4,"0000"))</f>
        <v>0</v>
      </c>
      <c r="E141" s="15">
        <f>IF(D141="","",IFERROR(INDEX(Clients!$B$5:$B$504,MATCH(D141,Clients!$A$5:$A$504,0)),"Walk-in"))</f>
        <v>0</v>
      </c>
      <c r="G141" s="15">
        <f>IF(F141="","",IFERROR(INDEX(Staff!$B$5:$B$44,MATCH(F141,Staff!$A$5:$A$44,0)),"House"))</f>
        <v>0</v>
      </c>
      <c r="R141" s="15">
        <f>IF(B141="","",TEXT(B141,"yyyy-mm"))</f>
        <v>0</v>
      </c>
      <c r="S141" s="25">
        <f>IF(B141="","",WEEKNUM(B141,2))</f>
        <v>0</v>
      </c>
      <c r="T141" s="37">
        <f>IF(B141="","",IF(K141="",1,K141))</f>
        <v>0</v>
      </c>
      <c r="U141" s="15">
        <f>IF(B141="","",IF(J141&lt;&gt;"",J141,IF(H141="Retail",IFERROR(INDEX(Inventory!$B$5:$B$304,MATCH(I141,Inventory!$A$5:$A$304,0))&amp;"","Not in Inventory"),IFERROR(INDEX(Services!$B$5:$B$204,MATCH(I141,Services!$A$5:$A$204,0))&amp;"","Not in Services"))))</f>
        <v>0</v>
      </c>
      <c r="V141" s="26">
        <f>IF(B141="","",IF(L141&lt;&gt;"",L141,IF(H141="Retail",IFERROR(INDEX(Inventory!$I$5:$I$304,MATCH(I141,Inventory!$A$5:$A$304,0))*1,0),IFERROR(INDEX(Services!$G$5:$G$204,MATCH(I141,Services!$A$5:$A$204,0))*1,0))))</f>
        <v>0</v>
      </c>
      <c r="W141" s="26">
        <f>IF(B141="","",ROUND(T141*V141,2))</f>
        <v>0</v>
      </c>
      <c r="X141" s="26">
        <f>IF(B141="","",ROUND(IF(M141="",0,W141*M141)+IF(N141="",0,N141),2))</f>
        <v>0</v>
      </c>
      <c r="Y141" s="26">
        <f>IF(B141="","",ROUND(W141-X141-IF(P141="",0,P141),2))</f>
        <v>0</v>
      </c>
      <c r="Z141" s="26">
        <f>IF(B141="","",IF(H141="Retail",IF(TaxOnRetail="Yes",ROUND(Y141*TaxRate,2),0),IF(H141="Service",IF(TaxOnServices="Yes",ROUND(Y141*TaxRate,2),0),0)))</f>
        <v>0</v>
      </c>
      <c r="AA141" s="26">
        <f>IF(B141="","",ROUND(Y141+Z141,2))</f>
        <v>0</v>
      </c>
      <c r="AB141" s="26">
        <f>IF(B141="","",ROUND(T141*IF(H141="Retail",IFERROR(INDEX(Inventory!$H$5:$H$304,MATCH(I141,Inventory!$A$5:$A$304,0))*1,0),IFERROR(INDEX(Services!$Q$5:$Q$204,MATCH(I141,Services!$A$5:$A$204,0))*1,0)),2))</f>
        <v>0</v>
      </c>
      <c r="AC141" s="26">
        <f>IF(B141="","",ROUND(Y141-AB141,2))</f>
        <v>0</v>
      </c>
      <c r="AD141" s="38">
        <f>IF(B141="","",IF(C141="","No",IF(COUNTIFS($C$5:C141,C141)=1,"Yes","No")))</f>
        <v>0</v>
      </c>
      <c r="AE141" s="26">
        <f>IF(B141="","",ROUND(SUMIFS(Payments!$G$5:$G$1204,Payments!$H$5:$H$1204,A141,Payments!$Q$5:$Q$1204,"Yes"),2))</f>
        <v>0</v>
      </c>
      <c r="AF141" s="26">
        <f>IF(B141="","",IF(AD141="No",0,ROUND(SUMIFS(Payments!$G$5:$G$1204,Payments!$I$5:$I$1204,C141,Payments!$H$5:$H$1204,"",Payments!$Q$5:$Q$1204,"Yes"),2)))</f>
        <v>0</v>
      </c>
      <c r="AG141" s="26">
        <f>IF(B141="","",ROUND(AE141+AF141,2))</f>
        <v>0</v>
      </c>
      <c r="AH141" s="26">
        <f>IF(B141="","",ROUND(AA141-AG141,2))</f>
        <v>0</v>
      </c>
      <c r="AI141" s="39">
        <f>IF(B141="","",IF(AA141&lt;=0,"No charge",IF(AH141&lt;=0.004,"Paid",IF(AG141&lt;=0.004,"Unpaid","Part paid"))))</f>
        <v>0</v>
      </c>
      <c r="AJ141" s="38">
        <f>IF(B141="","",IF(H141&lt;&gt;"Service","",IF(D141="","No",IF(COUNTIFS($D$5:$D$1204,D141,$B$5:$B$1204,B141,$H$5:$H$1204,"Retail")&gt;0,"Yes","No"))))</f>
        <v>0</v>
      </c>
      <c r="AK141" s="25">
        <f>IF(B141="","",COUNTIFS($Y$5:$Y$1204,"&gt;"&amp;Y141)+COUNTIFS($Y$5:Y141,Y141))</f>
        <v>0</v>
      </c>
      <c r="AL141" s="39">
        <f>IF(B141="","",IF(H141="","Add - what kind of sale is this?",IF(IF(V141&lt;=0,P141="",FALSE),"Check - no price found for this item",IF(F141="","Assign - nobody credited",IF(AH141&gt;0.004,"Unpaid - balance outstanding",IF(AC141&lt;0,"Loss - sold below cost",IF(X141&gt;W141*0.5,"Check - more than half off","OK")))))))</f>
        <v>0</v>
      </c>
    </row>
    <row r="142" spans="1:38">
      <c r="A142" s="28">
        <f>IF(B142="","",SalePrefix&amp;TEXT(ROW()-4,"0000"))</f>
        <v>0</v>
      </c>
      <c r="E142" s="15">
        <f>IF(D142="","",IFERROR(INDEX(Clients!$B$5:$B$504,MATCH(D142,Clients!$A$5:$A$504,0)),"Walk-in"))</f>
        <v>0</v>
      </c>
      <c r="G142" s="15">
        <f>IF(F142="","",IFERROR(INDEX(Staff!$B$5:$B$44,MATCH(F142,Staff!$A$5:$A$44,0)),"House"))</f>
        <v>0</v>
      </c>
      <c r="R142" s="15">
        <f>IF(B142="","",TEXT(B142,"yyyy-mm"))</f>
        <v>0</v>
      </c>
      <c r="S142" s="25">
        <f>IF(B142="","",WEEKNUM(B142,2))</f>
        <v>0</v>
      </c>
      <c r="T142" s="37">
        <f>IF(B142="","",IF(K142="",1,K142))</f>
        <v>0</v>
      </c>
      <c r="U142" s="15">
        <f>IF(B142="","",IF(J142&lt;&gt;"",J142,IF(H142="Retail",IFERROR(INDEX(Inventory!$B$5:$B$304,MATCH(I142,Inventory!$A$5:$A$304,0))&amp;"","Not in Inventory"),IFERROR(INDEX(Services!$B$5:$B$204,MATCH(I142,Services!$A$5:$A$204,0))&amp;"","Not in Services"))))</f>
        <v>0</v>
      </c>
      <c r="V142" s="26">
        <f>IF(B142="","",IF(L142&lt;&gt;"",L142,IF(H142="Retail",IFERROR(INDEX(Inventory!$I$5:$I$304,MATCH(I142,Inventory!$A$5:$A$304,0))*1,0),IFERROR(INDEX(Services!$G$5:$G$204,MATCH(I142,Services!$A$5:$A$204,0))*1,0))))</f>
        <v>0</v>
      </c>
      <c r="W142" s="26">
        <f>IF(B142="","",ROUND(T142*V142,2))</f>
        <v>0</v>
      </c>
      <c r="X142" s="26">
        <f>IF(B142="","",ROUND(IF(M142="",0,W142*M142)+IF(N142="",0,N142),2))</f>
        <v>0</v>
      </c>
      <c r="Y142" s="26">
        <f>IF(B142="","",ROUND(W142-X142-IF(P142="",0,P142),2))</f>
        <v>0</v>
      </c>
      <c r="Z142" s="26">
        <f>IF(B142="","",IF(H142="Retail",IF(TaxOnRetail="Yes",ROUND(Y142*TaxRate,2),0),IF(H142="Service",IF(TaxOnServices="Yes",ROUND(Y142*TaxRate,2),0),0)))</f>
        <v>0</v>
      </c>
      <c r="AA142" s="26">
        <f>IF(B142="","",ROUND(Y142+Z142,2))</f>
        <v>0</v>
      </c>
      <c r="AB142" s="26">
        <f>IF(B142="","",ROUND(T142*IF(H142="Retail",IFERROR(INDEX(Inventory!$H$5:$H$304,MATCH(I142,Inventory!$A$5:$A$304,0))*1,0),IFERROR(INDEX(Services!$Q$5:$Q$204,MATCH(I142,Services!$A$5:$A$204,0))*1,0)),2))</f>
        <v>0</v>
      </c>
      <c r="AC142" s="26">
        <f>IF(B142="","",ROUND(Y142-AB142,2))</f>
        <v>0</v>
      </c>
      <c r="AD142" s="38">
        <f>IF(B142="","",IF(C142="","No",IF(COUNTIFS($C$5:C142,C142)=1,"Yes","No")))</f>
        <v>0</v>
      </c>
      <c r="AE142" s="26">
        <f>IF(B142="","",ROUND(SUMIFS(Payments!$G$5:$G$1204,Payments!$H$5:$H$1204,A142,Payments!$Q$5:$Q$1204,"Yes"),2))</f>
        <v>0</v>
      </c>
      <c r="AF142" s="26">
        <f>IF(B142="","",IF(AD142="No",0,ROUND(SUMIFS(Payments!$G$5:$G$1204,Payments!$I$5:$I$1204,C142,Payments!$H$5:$H$1204,"",Payments!$Q$5:$Q$1204,"Yes"),2)))</f>
        <v>0</v>
      </c>
      <c r="AG142" s="26">
        <f>IF(B142="","",ROUND(AE142+AF142,2))</f>
        <v>0</v>
      </c>
      <c r="AH142" s="26">
        <f>IF(B142="","",ROUND(AA142-AG142,2))</f>
        <v>0</v>
      </c>
      <c r="AI142" s="39">
        <f>IF(B142="","",IF(AA142&lt;=0,"No charge",IF(AH142&lt;=0.004,"Paid",IF(AG142&lt;=0.004,"Unpaid","Part paid"))))</f>
        <v>0</v>
      </c>
      <c r="AJ142" s="38">
        <f>IF(B142="","",IF(H142&lt;&gt;"Service","",IF(D142="","No",IF(COUNTIFS($D$5:$D$1204,D142,$B$5:$B$1204,B142,$H$5:$H$1204,"Retail")&gt;0,"Yes","No"))))</f>
        <v>0</v>
      </c>
      <c r="AK142" s="25">
        <f>IF(B142="","",COUNTIFS($Y$5:$Y$1204,"&gt;"&amp;Y142)+COUNTIFS($Y$5:Y142,Y142))</f>
        <v>0</v>
      </c>
      <c r="AL142" s="39">
        <f>IF(B142="","",IF(H142="","Add - what kind of sale is this?",IF(IF(V142&lt;=0,P142="",FALSE),"Check - no price found for this item",IF(F142="","Assign - nobody credited",IF(AH142&gt;0.004,"Unpaid - balance outstanding",IF(AC142&lt;0,"Loss - sold below cost",IF(X142&gt;W142*0.5,"Check - more than half off","OK")))))))</f>
        <v>0</v>
      </c>
    </row>
    <row r="143" spans="1:38">
      <c r="A143" s="28">
        <f>IF(B143="","",SalePrefix&amp;TEXT(ROW()-4,"0000"))</f>
        <v>0</v>
      </c>
      <c r="E143" s="15">
        <f>IF(D143="","",IFERROR(INDEX(Clients!$B$5:$B$504,MATCH(D143,Clients!$A$5:$A$504,0)),"Walk-in"))</f>
        <v>0</v>
      </c>
      <c r="G143" s="15">
        <f>IF(F143="","",IFERROR(INDEX(Staff!$B$5:$B$44,MATCH(F143,Staff!$A$5:$A$44,0)),"House"))</f>
        <v>0</v>
      </c>
      <c r="R143" s="15">
        <f>IF(B143="","",TEXT(B143,"yyyy-mm"))</f>
        <v>0</v>
      </c>
      <c r="S143" s="25">
        <f>IF(B143="","",WEEKNUM(B143,2))</f>
        <v>0</v>
      </c>
      <c r="T143" s="37">
        <f>IF(B143="","",IF(K143="",1,K143))</f>
        <v>0</v>
      </c>
      <c r="U143" s="15">
        <f>IF(B143="","",IF(J143&lt;&gt;"",J143,IF(H143="Retail",IFERROR(INDEX(Inventory!$B$5:$B$304,MATCH(I143,Inventory!$A$5:$A$304,0))&amp;"","Not in Inventory"),IFERROR(INDEX(Services!$B$5:$B$204,MATCH(I143,Services!$A$5:$A$204,0))&amp;"","Not in Services"))))</f>
        <v>0</v>
      </c>
      <c r="V143" s="26">
        <f>IF(B143="","",IF(L143&lt;&gt;"",L143,IF(H143="Retail",IFERROR(INDEX(Inventory!$I$5:$I$304,MATCH(I143,Inventory!$A$5:$A$304,0))*1,0),IFERROR(INDEX(Services!$G$5:$G$204,MATCH(I143,Services!$A$5:$A$204,0))*1,0))))</f>
        <v>0</v>
      </c>
      <c r="W143" s="26">
        <f>IF(B143="","",ROUND(T143*V143,2))</f>
        <v>0</v>
      </c>
      <c r="X143" s="26">
        <f>IF(B143="","",ROUND(IF(M143="",0,W143*M143)+IF(N143="",0,N143),2))</f>
        <v>0</v>
      </c>
      <c r="Y143" s="26">
        <f>IF(B143="","",ROUND(W143-X143-IF(P143="",0,P143),2))</f>
        <v>0</v>
      </c>
      <c r="Z143" s="26">
        <f>IF(B143="","",IF(H143="Retail",IF(TaxOnRetail="Yes",ROUND(Y143*TaxRate,2),0),IF(H143="Service",IF(TaxOnServices="Yes",ROUND(Y143*TaxRate,2),0),0)))</f>
        <v>0</v>
      </c>
      <c r="AA143" s="26">
        <f>IF(B143="","",ROUND(Y143+Z143,2))</f>
        <v>0</v>
      </c>
      <c r="AB143" s="26">
        <f>IF(B143="","",ROUND(T143*IF(H143="Retail",IFERROR(INDEX(Inventory!$H$5:$H$304,MATCH(I143,Inventory!$A$5:$A$304,0))*1,0),IFERROR(INDEX(Services!$Q$5:$Q$204,MATCH(I143,Services!$A$5:$A$204,0))*1,0)),2))</f>
        <v>0</v>
      </c>
      <c r="AC143" s="26">
        <f>IF(B143="","",ROUND(Y143-AB143,2))</f>
        <v>0</v>
      </c>
      <c r="AD143" s="38">
        <f>IF(B143="","",IF(C143="","No",IF(COUNTIFS($C$5:C143,C143)=1,"Yes","No")))</f>
        <v>0</v>
      </c>
      <c r="AE143" s="26">
        <f>IF(B143="","",ROUND(SUMIFS(Payments!$G$5:$G$1204,Payments!$H$5:$H$1204,A143,Payments!$Q$5:$Q$1204,"Yes"),2))</f>
        <v>0</v>
      </c>
      <c r="AF143" s="26">
        <f>IF(B143="","",IF(AD143="No",0,ROUND(SUMIFS(Payments!$G$5:$G$1204,Payments!$I$5:$I$1204,C143,Payments!$H$5:$H$1204,"",Payments!$Q$5:$Q$1204,"Yes"),2)))</f>
        <v>0</v>
      </c>
      <c r="AG143" s="26">
        <f>IF(B143="","",ROUND(AE143+AF143,2))</f>
        <v>0</v>
      </c>
      <c r="AH143" s="26">
        <f>IF(B143="","",ROUND(AA143-AG143,2))</f>
        <v>0</v>
      </c>
      <c r="AI143" s="39">
        <f>IF(B143="","",IF(AA143&lt;=0,"No charge",IF(AH143&lt;=0.004,"Paid",IF(AG143&lt;=0.004,"Unpaid","Part paid"))))</f>
        <v>0</v>
      </c>
      <c r="AJ143" s="38">
        <f>IF(B143="","",IF(H143&lt;&gt;"Service","",IF(D143="","No",IF(COUNTIFS($D$5:$D$1204,D143,$B$5:$B$1204,B143,$H$5:$H$1204,"Retail")&gt;0,"Yes","No"))))</f>
        <v>0</v>
      </c>
      <c r="AK143" s="25">
        <f>IF(B143="","",COUNTIFS($Y$5:$Y$1204,"&gt;"&amp;Y143)+COUNTIFS($Y$5:Y143,Y143))</f>
        <v>0</v>
      </c>
      <c r="AL143" s="39">
        <f>IF(B143="","",IF(H143="","Add - what kind of sale is this?",IF(IF(V143&lt;=0,P143="",FALSE),"Check - no price found for this item",IF(F143="","Assign - nobody credited",IF(AH143&gt;0.004,"Unpaid - balance outstanding",IF(AC143&lt;0,"Loss - sold below cost",IF(X143&gt;W143*0.5,"Check - more than half off","OK")))))))</f>
        <v>0</v>
      </c>
    </row>
    <row r="144" spans="1:38">
      <c r="A144" s="28">
        <f>IF(B144="","",SalePrefix&amp;TEXT(ROW()-4,"0000"))</f>
        <v>0</v>
      </c>
      <c r="E144" s="15">
        <f>IF(D144="","",IFERROR(INDEX(Clients!$B$5:$B$504,MATCH(D144,Clients!$A$5:$A$504,0)),"Walk-in"))</f>
        <v>0</v>
      </c>
      <c r="G144" s="15">
        <f>IF(F144="","",IFERROR(INDEX(Staff!$B$5:$B$44,MATCH(F144,Staff!$A$5:$A$44,0)),"House"))</f>
        <v>0</v>
      </c>
      <c r="R144" s="15">
        <f>IF(B144="","",TEXT(B144,"yyyy-mm"))</f>
        <v>0</v>
      </c>
      <c r="S144" s="25">
        <f>IF(B144="","",WEEKNUM(B144,2))</f>
        <v>0</v>
      </c>
      <c r="T144" s="37">
        <f>IF(B144="","",IF(K144="",1,K144))</f>
        <v>0</v>
      </c>
      <c r="U144" s="15">
        <f>IF(B144="","",IF(J144&lt;&gt;"",J144,IF(H144="Retail",IFERROR(INDEX(Inventory!$B$5:$B$304,MATCH(I144,Inventory!$A$5:$A$304,0))&amp;"","Not in Inventory"),IFERROR(INDEX(Services!$B$5:$B$204,MATCH(I144,Services!$A$5:$A$204,0))&amp;"","Not in Services"))))</f>
        <v>0</v>
      </c>
      <c r="V144" s="26">
        <f>IF(B144="","",IF(L144&lt;&gt;"",L144,IF(H144="Retail",IFERROR(INDEX(Inventory!$I$5:$I$304,MATCH(I144,Inventory!$A$5:$A$304,0))*1,0),IFERROR(INDEX(Services!$G$5:$G$204,MATCH(I144,Services!$A$5:$A$204,0))*1,0))))</f>
        <v>0</v>
      </c>
      <c r="W144" s="26">
        <f>IF(B144="","",ROUND(T144*V144,2))</f>
        <v>0</v>
      </c>
      <c r="X144" s="26">
        <f>IF(B144="","",ROUND(IF(M144="",0,W144*M144)+IF(N144="",0,N144),2))</f>
        <v>0</v>
      </c>
      <c r="Y144" s="26">
        <f>IF(B144="","",ROUND(W144-X144-IF(P144="",0,P144),2))</f>
        <v>0</v>
      </c>
      <c r="Z144" s="26">
        <f>IF(B144="","",IF(H144="Retail",IF(TaxOnRetail="Yes",ROUND(Y144*TaxRate,2),0),IF(H144="Service",IF(TaxOnServices="Yes",ROUND(Y144*TaxRate,2),0),0)))</f>
        <v>0</v>
      </c>
      <c r="AA144" s="26">
        <f>IF(B144="","",ROUND(Y144+Z144,2))</f>
        <v>0</v>
      </c>
      <c r="AB144" s="26">
        <f>IF(B144="","",ROUND(T144*IF(H144="Retail",IFERROR(INDEX(Inventory!$H$5:$H$304,MATCH(I144,Inventory!$A$5:$A$304,0))*1,0),IFERROR(INDEX(Services!$Q$5:$Q$204,MATCH(I144,Services!$A$5:$A$204,0))*1,0)),2))</f>
        <v>0</v>
      </c>
      <c r="AC144" s="26">
        <f>IF(B144="","",ROUND(Y144-AB144,2))</f>
        <v>0</v>
      </c>
      <c r="AD144" s="38">
        <f>IF(B144="","",IF(C144="","No",IF(COUNTIFS($C$5:C144,C144)=1,"Yes","No")))</f>
        <v>0</v>
      </c>
      <c r="AE144" s="26">
        <f>IF(B144="","",ROUND(SUMIFS(Payments!$G$5:$G$1204,Payments!$H$5:$H$1204,A144,Payments!$Q$5:$Q$1204,"Yes"),2))</f>
        <v>0</v>
      </c>
      <c r="AF144" s="26">
        <f>IF(B144="","",IF(AD144="No",0,ROUND(SUMIFS(Payments!$G$5:$G$1204,Payments!$I$5:$I$1204,C144,Payments!$H$5:$H$1204,"",Payments!$Q$5:$Q$1204,"Yes"),2)))</f>
        <v>0</v>
      </c>
      <c r="AG144" s="26">
        <f>IF(B144="","",ROUND(AE144+AF144,2))</f>
        <v>0</v>
      </c>
      <c r="AH144" s="26">
        <f>IF(B144="","",ROUND(AA144-AG144,2))</f>
        <v>0</v>
      </c>
      <c r="AI144" s="39">
        <f>IF(B144="","",IF(AA144&lt;=0,"No charge",IF(AH144&lt;=0.004,"Paid",IF(AG144&lt;=0.004,"Unpaid","Part paid"))))</f>
        <v>0</v>
      </c>
      <c r="AJ144" s="38">
        <f>IF(B144="","",IF(H144&lt;&gt;"Service","",IF(D144="","No",IF(COUNTIFS($D$5:$D$1204,D144,$B$5:$B$1204,B144,$H$5:$H$1204,"Retail")&gt;0,"Yes","No"))))</f>
        <v>0</v>
      </c>
      <c r="AK144" s="25">
        <f>IF(B144="","",COUNTIFS($Y$5:$Y$1204,"&gt;"&amp;Y144)+COUNTIFS($Y$5:Y144,Y144))</f>
        <v>0</v>
      </c>
      <c r="AL144" s="39">
        <f>IF(B144="","",IF(H144="","Add - what kind of sale is this?",IF(IF(V144&lt;=0,P144="",FALSE),"Check - no price found for this item",IF(F144="","Assign - nobody credited",IF(AH144&gt;0.004,"Unpaid - balance outstanding",IF(AC144&lt;0,"Loss - sold below cost",IF(X144&gt;W144*0.5,"Check - more than half off","OK")))))))</f>
        <v>0</v>
      </c>
    </row>
    <row r="145" spans="1:38">
      <c r="A145" s="28">
        <f>IF(B145="","",SalePrefix&amp;TEXT(ROW()-4,"0000"))</f>
        <v>0</v>
      </c>
      <c r="E145" s="15">
        <f>IF(D145="","",IFERROR(INDEX(Clients!$B$5:$B$504,MATCH(D145,Clients!$A$5:$A$504,0)),"Walk-in"))</f>
        <v>0</v>
      </c>
      <c r="G145" s="15">
        <f>IF(F145="","",IFERROR(INDEX(Staff!$B$5:$B$44,MATCH(F145,Staff!$A$5:$A$44,0)),"House"))</f>
        <v>0</v>
      </c>
      <c r="R145" s="15">
        <f>IF(B145="","",TEXT(B145,"yyyy-mm"))</f>
        <v>0</v>
      </c>
      <c r="S145" s="25">
        <f>IF(B145="","",WEEKNUM(B145,2))</f>
        <v>0</v>
      </c>
      <c r="T145" s="37">
        <f>IF(B145="","",IF(K145="",1,K145))</f>
        <v>0</v>
      </c>
      <c r="U145" s="15">
        <f>IF(B145="","",IF(J145&lt;&gt;"",J145,IF(H145="Retail",IFERROR(INDEX(Inventory!$B$5:$B$304,MATCH(I145,Inventory!$A$5:$A$304,0))&amp;"","Not in Inventory"),IFERROR(INDEX(Services!$B$5:$B$204,MATCH(I145,Services!$A$5:$A$204,0))&amp;"","Not in Services"))))</f>
        <v>0</v>
      </c>
      <c r="V145" s="26">
        <f>IF(B145="","",IF(L145&lt;&gt;"",L145,IF(H145="Retail",IFERROR(INDEX(Inventory!$I$5:$I$304,MATCH(I145,Inventory!$A$5:$A$304,0))*1,0),IFERROR(INDEX(Services!$G$5:$G$204,MATCH(I145,Services!$A$5:$A$204,0))*1,0))))</f>
        <v>0</v>
      </c>
      <c r="W145" s="26">
        <f>IF(B145="","",ROUND(T145*V145,2))</f>
        <v>0</v>
      </c>
      <c r="X145" s="26">
        <f>IF(B145="","",ROUND(IF(M145="",0,W145*M145)+IF(N145="",0,N145),2))</f>
        <v>0</v>
      </c>
      <c r="Y145" s="26">
        <f>IF(B145="","",ROUND(W145-X145-IF(P145="",0,P145),2))</f>
        <v>0</v>
      </c>
      <c r="Z145" s="26">
        <f>IF(B145="","",IF(H145="Retail",IF(TaxOnRetail="Yes",ROUND(Y145*TaxRate,2),0),IF(H145="Service",IF(TaxOnServices="Yes",ROUND(Y145*TaxRate,2),0),0)))</f>
        <v>0</v>
      </c>
      <c r="AA145" s="26">
        <f>IF(B145="","",ROUND(Y145+Z145,2))</f>
        <v>0</v>
      </c>
      <c r="AB145" s="26">
        <f>IF(B145="","",ROUND(T145*IF(H145="Retail",IFERROR(INDEX(Inventory!$H$5:$H$304,MATCH(I145,Inventory!$A$5:$A$304,0))*1,0),IFERROR(INDEX(Services!$Q$5:$Q$204,MATCH(I145,Services!$A$5:$A$204,0))*1,0)),2))</f>
        <v>0</v>
      </c>
      <c r="AC145" s="26">
        <f>IF(B145="","",ROUND(Y145-AB145,2))</f>
        <v>0</v>
      </c>
      <c r="AD145" s="38">
        <f>IF(B145="","",IF(C145="","No",IF(COUNTIFS($C$5:C145,C145)=1,"Yes","No")))</f>
        <v>0</v>
      </c>
      <c r="AE145" s="26">
        <f>IF(B145="","",ROUND(SUMIFS(Payments!$G$5:$G$1204,Payments!$H$5:$H$1204,A145,Payments!$Q$5:$Q$1204,"Yes"),2))</f>
        <v>0</v>
      </c>
      <c r="AF145" s="26">
        <f>IF(B145="","",IF(AD145="No",0,ROUND(SUMIFS(Payments!$G$5:$G$1204,Payments!$I$5:$I$1204,C145,Payments!$H$5:$H$1204,"",Payments!$Q$5:$Q$1204,"Yes"),2)))</f>
        <v>0</v>
      </c>
      <c r="AG145" s="26">
        <f>IF(B145="","",ROUND(AE145+AF145,2))</f>
        <v>0</v>
      </c>
      <c r="AH145" s="26">
        <f>IF(B145="","",ROUND(AA145-AG145,2))</f>
        <v>0</v>
      </c>
      <c r="AI145" s="39">
        <f>IF(B145="","",IF(AA145&lt;=0,"No charge",IF(AH145&lt;=0.004,"Paid",IF(AG145&lt;=0.004,"Unpaid","Part paid"))))</f>
        <v>0</v>
      </c>
      <c r="AJ145" s="38">
        <f>IF(B145="","",IF(H145&lt;&gt;"Service","",IF(D145="","No",IF(COUNTIFS($D$5:$D$1204,D145,$B$5:$B$1204,B145,$H$5:$H$1204,"Retail")&gt;0,"Yes","No"))))</f>
        <v>0</v>
      </c>
      <c r="AK145" s="25">
        <f>IF(B145="","",COUNTIFS($Y$5:$Y$1204,"&gt;"&amp;Y145)+COUNTIFS($Y$5:Y145,Y145))</f>
        <v>0</v>
      </c>
      <c r="AL145" s="39">
        <f>IF(B145="","",IF(H145="","Add - what kind of sale is this?",IF(IF(V145&lt;=0,P145="",FALSE),"Check - no price found for this item",IF(F145="","Assign - nobody credited",IF(AH145&gt;0.004,"Unpaid - balance outstanding",IF(AC145&lt;0,"Loss - sold below cost",IF(X145&gt;W145*0.5,"Check - more than half off","OK")))))))</f>
        <v>0</v>
      </c>
    </row>
    <row r="146" spans="1:38">
      <c r="A146" s="28">
        <f>IF(B146="","",SalePrefix&amp;TEXT(ROW()-4,"0000"))</f>
        <v>0</v>
      </c>
      <c r="E146" s="15">
        <f>IF(D146="","",IFERROR(INDEX(Clients!$B$5:$B$504,MATCH(D146,Clients!$A$5:$A$504,0)),"Walk-in"))</f>
        <v>0</v>
      </c>
      <c r="G146" s="15">
        <f>IF(F146="","",IFERROR(INDEX(Staff!$B$5:$B$44,MATCH(F146,Staff!$A$5:$A$44,0)),"House"))</f>
        <v>0</v>
      </c>
      <c r="R146" s="15">
        <f>IF(B146="","",TEXT(B146,"yyyy-mm"))</f>
        <v>0</v>
      </c>
      <c r="S146" s="25">
        <f>IF(B146="","",WEEKNUM(B146,2))</f>
        <v>0</v>
      </c>
      <c r="T146" s="37">
        <f>IF(B146="","",IF(K146="",1,K146))</f>
        <v>0</v>
      </c>
      <c r="U146" s="15">
        <f>IF(B146="","",IF(J146&lt;&gt;"",J146,IF(H146="Retail",IFERROR(INDEX(Inventory!$B$5:$B$304,MATCH(I146,Inventory!$A$5:$A$304,0))&amp;"","Not in Inventory"),IFERROR(INDEX(Services!$B$5:$B$204,MATCH(I146,Services!$A$5:$A$204,0))&amp;"","Not in Services"))))</f>
        <v>0</v>
      </c>
      <c r="V146" s="26">
        <f>IF(B146="","",IF(L146&lt;&gt;"",L146,IF(H146="Retail",IFERROR(INDEX(Inventory!$I$5:$I$304,MATCH(I146,Inventory!$A$5:$A$304,0))*1,0),IFERROR(INDEX(Services!$G$5:$G$204,MATCH(I146,Services!$A$5:$A$204,0))*1,0))))</f>
        <v>0</v>
      </c>
      <c r="W146" s="26">
        <f>IF(B146="","",ROUND(T146*V146,2))</f>
        <v>0</v>
      </c>
      <c r="X146" s="26">
        <f>IF(B146="","",ROUND(IF(M146="",0,W146*M146)+IF(N146="",0,N146),2))</f>
        <v>0</v>
      </c>
      <c r="Y146" s="26">
        <f>IF(B146="","",ROUND(W146-X146-IF(P146="",0,P146),2))</f>
        <v>0</v>
      </c>
      <c r="Z146" s="26">
        <f>IF(B146="","",IF(H146="Retail",IF(TaxOnRetail="Yes",ROUND(Y146*TaxRate,2),0),IF(H146="Service",IF(TaxOnServices="Yes",ROUND(Y146*TaxRate,2),0),0)))</f>
        <v>0</v>
      </c>
      <c r="AA146" s="26">
        <f>IF(B146="","",ROUND(Y146+Z146,2))</f>
        <v>0</v>
      </c>
      <c r="AB146" s="26">
        <f>IF(B146="","",ROUND(T146*IF(H146="Retail",IFERROR(INDEX(Inventory!$H$5:$H$304,MATCH(I146,Inventory!$A$5:$A$304,0))*1,0),IFERROR(INDEX(Services!$Q$5:$Q$204,MATCH(I146,Services!$A$5:$A$204,0))*1,0)),2))</f>
        <v>0</v>
      </c>
      <c r="AC146" s="26">
        <f>IF(B146="","",ROUND(Y146-AB146,2))</f>
        <v>0</v>
      </c>
      <c r="AD146" s="38">
        <f>IF(B146="","",IF(C146="","No",IF(COUNTIFS($C$5:C146,C146)=1,"Yes","No")))</f>
        <v>0</v>
      </c>
      <c r="AE146" s="26">
        <f>IF(B146="","",ROUND(SUMIFS(Payments!$G$5:$G$1204,Payments!$H$5:$H$1204,A146,Payments!$Q$5:$Q$1204,"Yes"),2))</f>
        <v>0</v>
      </c>
      <c r="AF146" s="26">
        <f>IF(B146="","",IF(AD146="No",0,ROUND(SUMIFS(Payments!$G$5:$G$1204,Payments!$I$5:$I$1204,C146,Payments!$H$5:$H$1204,"",Payments!$Q$5:$Q$1204,"Yes"),2)))</f>
        <v>0</v>
      </c>
      <c r="AG146" s="26">
        <f>IF(B146="","",ROUND(AE146+AF146,2))</f>
        <v>0</v>
      </c>
      <c r="AH146" s="26">
        <f>IF(B146="","",ROUND(AA146-AG146,2))</f>
        <v>0</v>
      </c>
      <c r="AI146" s="39">
        <f>IF(B146="","",IF(AA146&lt;=0,"No charge",IF(AH146&lt;=0.004,"Paid",IF(AG146&lt;=0.004,"Unpaid","Part paid"))))</f>
        <v>0</v>
      </c>
      <c r="AJ146" s="38">
        <f>IF(B146="","",IF(H146&lt;&gt;"Service","",IF(D146="","No",IF(COUNTIFS($D$5:$D$1204,D146,$B$5:$B$1204,B146,$H$5:$H$1204,"Retail")&gt;0,"Yes","No"))))</f>
        <v>0</v>
      </c>
      <c r="AK146" s="25">
        <f>IF(B146="","",COUNTIFS($Y$5:$Y$1204,"&gt;"&amp;Y146)+COUNTIFS($Y$5:Y146,Y146))</f>
        <v>0</v>
      </c>
      <c r="AL146" s="39">
        <f>IF(B146="","",IF(H146="","Add - what kind of sale is this?",IF(IF(V146&lt;=0,P146="",FALSE),"Check - no price found for this item",IF(F146="","Assign - nobody credited",IF(AH146&gt;0.004,"Unpaid - balance outstanding",IF(AC146&lt;0,"Loss - sold below cost",IF(X146&gt;W146*0.5,"Check - more than half off","OK")))))))</f>
        <v>0</v>
      </c>
    </row>
    <row r="147" spans="1:38">
      <c r="A147" s="28">
        <f>IF(B147="","",SalePrefix&amp;TEXT(ROW()-4,"0000"))</f>
        <v>0</v>
      </c>
      <c r="E147" s="15">
        <f>IF(D147="","",IFERROR(INDEX(Clients!$B$5:$B$504,MATCH(D147,Clients!$A$5:$A$504,0)),"Walk-in"))</f>
        <v>0</v>
      </c>
      <c r="G147" s="15">
        <f>IF(F147="","",IFERROR(INDEX(Staff!$B$5:$B$44,MATCH(F147,Staff!$A$5:$A$44,0)),"House"))</f>
        <v>0</v>
      </c>
      <c r="R147" s="15">
        <f>IF(B147="","",TEXT(B147,"yyyy-mm"))</f>
        <v>0</v>
      </c>
      <c r="S147" s="25">
        <f>IF(B147="","",WEEKNUM(B147,2))</f>
        <v>0</v>
      </c>
      <c r="T147" s="37">
        <f>IF(B147="","",IF(K147="",1,K147))</f>
        <v>0</v>
      </c>
      <c r="U147" s="15">
        <f>IF(B147="","",IF(J147&lt;&gt;"",J147,IF(H147="Retail",IFERROR(INDEX(Inventory!$B$5:$B$304,MATCH(I147,Inventory!$A$5:$A$304,0))&amp;"","Not in Inventory"),IFERROR(INDEX(Services!$B$5:$B$204,MATCH(I147,Services!$A$5:$A$204,0))&amp;"","Not in Services"))))</f>
        <v>0</v>
      </c>
      <c r="V147" s="26">
        <f>IF(B147="","",IF(L147&lt;&gt;"",L147,IF(H147="Retail",IFERROR(INDEX(Inventory!$I$5:$I$304,MATCH(I147,Inventory!$A$5:$A$304,0))*1,0),IFERROR(INDEX(Services!$G$5:$G$204,MATCH(I147,Services!$A$5:$A$204,0))*1,0))))</f>
        <v>0</v>
      </c>
      <c r="W147" s="26">
        <f>IF(B147="","",ROUND(T147*V147,2))</f>
        <v>0</v>
      </c>
      <c r="X147" s="26">
        <f>IF(B147="","",ROUND(IF(M147="",0,W147*M147)+IF(N147="",0,N147),2))</f>
        <v>0</v>
      </c>
      <c r="Y147" s="26">
        <f>IF(B147="","",ROUND(W147-X147-IF(P147="",0,P147),2))</f>
        <v>0</v>
      </c>
      <c r="Z147" s="26">
        <f>IF(B147="","",IF(H147="Retail",IF(TaxOnRetail="Yes",ROUND(Y147*TaxRate,2),0),IF(H147="Service",IF(TaxOnServices="Yes",ROUND(Y147*TaxRate,2),0),0)))</f>
        <v>0</v>
      </c>
      <c r="AA147" s="26">
        <f>IF(B147="","",ROUND(Y147+Z147,2))</f>
        <v>0</v>
      </c>
      <c r="AB147" s="26">
        <f>IF(B147="","",ROUND(T147*IF(H147="Retail",IFERROR(INDEX(Inventory!$H$5:$H$304,MATCH(I147,Inventory!$A$5:$A$304,0))*1,0),IFERROR(INDEX(Services!$Q$5:$Q$204,MATCH(I147,Services!$A$5:$A$204,0))*1,0)),2))</f>
        <v>0</v>
      </c>
      <c r="AC147" s="26">
        <f>IF(B147="","",ROUND(Y147-AB147,2))</f>
        <v>0</v>
      </c>
      <c r="AD147" s="38">
        <f>IF(B147="","",IF(C147="","No",IF(COUNTIFS($C$5:C147,C147)=1,"Yes","No")))</f>
        <v>0</v>
      </c>
      <c r="AE147" s="26">
        <f>IF(B147="","",ROUND(SUMIFS(Payments!$G$5:$G$1204,Payments!$H$5:$H$1204,A147,Payments!$Q$5:$Q$1204,"Yes"),2))</f>
        <v>0</v>
      </c>
      <c r="AF147" s="26">
        <f>IF(B147="","",IF(AD147="No",0,ROUND(SUMIFS(Payments!$G$5:$G$1204,Payments!$I$5:$I$1204,C147,Payments!$H$5:$H$1204,"",Payments!$Q$5:$Q$1204,"Yes"),2)))</f>
        <v>0</v>
      </c>
      <c r="AG147" s="26">
        <f>IF(B147="","",ROUND(AE147+AF147,2))</f>
        <v>0</v>
      </c>
      <c r="AH147" s="26">
        <f>IF(B147="","",ROUND(AA147-AG147,2))</f>
        <v>0</v>
      </c>
      <c r="AI147" s="39">
        <f>IF(B147="","",IF(AA147&lt;=0,"No charge",IF(AH147&lt;=0.004,"Paid",IF(AG147&lt;=0.004,"Unpaid","Part paid"))))</f>
        <v>0</v>
      </c>
      <c r="AJ147" s="38">
        <f>IF(B147="","",IF(H147&lt;&gt;"Service","",IF(D147="","No",IF(COUNTIFS($D$5:$D$1204,D147,$B$5:$B$1204,B147,$H$5:$H$1204,"Retail")&gt;0,"Yes","No"))))</f>
        <v>0</v>
      </c>
      <c r="AK147" s="25">
        <f>IF(B147="","",COUNTIFS($Y$5:$Y$1204,"&gt;"&amp;Y147)+COUNTIFS($Y$5:Y147,Y147))</f>
        <v>0</v>
      </c>
      <c r="AL147" s="39">
        <f>IF(B147="","",IF(H147="","Add - what kind of sale is this?",IF(IF(V147&lt;=0,P147="",FALSE),"Check - no price found for this item",IF(F147="","Assign - nobody credited",IF(AH147&gt;0.004,"Unpaid - balance outstanding",IF(AC147&lt;0,"Loss - sold below cost",IF(X147&gt;W147*0.5,"Check - more than half off","OK")))))))</f>
        <v>0</v>
      </c>
    </row>
    <row r="148" spans="1:38">
      <c r="A148" s="28">
        <f>IF(B148="","",SalePrefix&amp;TEXT(ROW()-4,"0000"))</f>
        <v>0</v>
      </c>
      <c r="E148" s="15">
        <f>IF(D148="","",IFERROR(INDEX(Clients!$B$5:$B$504,MATCH(D148,Clients!$A$5:$A$504,0)),"Walk-in"))</f>
        <v>0</v>
      </c>
      <c r="G148" s="15">
        <f>IF(F148="","",IFERROR(INDEX(Staff!$B$5:$B$44,MATCH(F148,Staff!$A$5:$A$44,0)),"House"))</f>
        <v>0</v>
      </c>
      <c r="R148" s="15">
        <f>IF(B148="","",TEXT(B148,"yyyy-mm"))</f>
        <v>0</v>
      </c>
      <c r="S148" s="25">
        <f>IF(B148="","",WEEKNUM(B148,2))</f>
        <v>0</v>
      </c>
      <c r="T148" s="37">
        <f>IF(B148="","",IF(K148="",1,K148))</f>
        <v>0</v>
      </c>
      <c r="U148" s="15">
        <f>IF(B148="","",IF(J148&lt;&gt;"",J148,IF(H148="Retail",IFERROR(INDEX(Inventory!$B$5:$B$304,MATCH(I148,Inventory!$A$5:$A$304,0))&amp;"","Not in Inventory"),IFERROR(INDEX(Services!$B$5:$B$204,MATCH(I148,Services!$A$5:$A$204,0))&amp;"","Not in Services"))))</f>
        <v>0</v>
      </c>
      <c r="V148" s="26">
        <f>IF(B148="","",IF(L148&lt;&gt;"",L148,IF(H148="Retail",IFERROR(INDEX(Inventory!$I$5:$I$304,MATCH(I148,Inventory!$A$5:$A$304,0))*1,0),IFERROR(INDEX(Services!$G$5:$G$204,MATCH(I148,Services!$A$5:$A$204,0))*1,0))))</f>
        <v>0</v>
      </c>
      <c r="W148" s="26">
        <f>IF(B148="","",ROUND(T148*V148,2))</f>
        <v>0</v>
      </c>
      <c r="X148" s="26">
        <f>IF(B148="","",ROUND(IF(M148="",0,W148*M148)+IF(N148="",0,N148),2))</f>
        <v>0</v>
      </c>
      <c r="Y148" s="26">
        <f>IF(B148="","",ROUND(W148-X148-IF(P148="",0,P148),2))</f>
        <v>0</v>
      </c>
      <c r="Z148" s="26">
        <f>IF(B148="","",IF(H148="Retail",IF(TaxOnRetail="Yes",ROUND(Y148*TaxRate,2),0),IF(H148="Service",IF(TaxOnServices="Yes",ROUND(Y148*TaxRate,2),0),0)))</f>
        <v>0</v>
      </c>
      <c r="AA148" s="26">
        <f>IF(B148="","",ROUND(Y148+Z148,2))</f>
        <v>0</v>
      </c>
      <c r="AB148" s="26">
        <f>IF(B148="","",ROUND(T148*IF(H148="Retail",IFERROR(INDEX(Inventory!$H$5:$H$304,MATCH(I148,Inventory!$A$5:$A$304,0))*1,0),IFERROR(INDEX(Services!$Q$5:$Q$204,MATCH(I148,Services!$A$5:$A$204,0))*1,0)),2))</f>
        <v>0</v>
      </c>
      <c r="AC148" s="26">
        <f>IF(B148="","",ROUND(Y148-AB148,2))</f>
        <v>0</v>
      </c>
      <c r="AD148" s="38">
        <f>IF(B148="","",IF(C148="","No",IF(COUNTIFS($C$5:C148,C148)=1,"Yes","No")))</f>
        <v>0</v>
      </c>
      <c r="AE148" s="26">
        <f>IF(B148="","",ROUND(SUMIFS(Payments!$G$5:$G$1204,Payments!$H$5:$H$1204,A148,Payments!$Q$5:$Q$1204,"Yes"),2))</f>
        <v>0</v>
      </c>
      <c r="AF148" s="26">
        <f>IF(B148="","",IF(AD148="No",0,ROUND(SUMIFS(Payments!$G$5:$G$1204,Payments!$I$5:$I$1204,C148,Payments!$H$5:$H$1204,"",Payments!$Q$5:$Q$1204,"Yes"),2)))</f>
        <v>0</v>
      </c>
      <c r="AG148" s="26">
        <f>IF(B148="","",ROUND(AE148+AF148,2))</f>
        <v>0</v>
      </c>
      <c r="AH148" s="26">
        <f>IF(B148="","",ROUND(AA148-AG148,2))</f>
        <v>0</v>
      </c>
      <c r="AI148" s="39">
        <f>IF(B148="","",IF(AA148&lt;=0,"No charge",IF(AH148&lt;=0.004,"Paid",IF(AG148&lt;=0.004,"Unpaid","Part paid"))))</f>
        <v>0</v>
      </c>
      <c r="AJ148" s="38">
        <f>IF(B148="","",IF(H148&lt;&gt;"Service","",IF(D148="","No",IF(COUNTIFS($D$5:$D$1204,D148,$B$5:$B$1204,B148,$H$5:$H$1204,"Retail")&gt;0,"Yes","No"))))</f>
        <v>0</v>
      </c>
      <c r="AK148" s="25">
        <f>IF(B148="","",COUNTIFS($Y$5:$Y$1204,"&gt;"&amp;Y148)+COUNTIFS($Y$5:Y148,Y148))</f>
        <v>0</v>
      </c>
      <c r="AL148" s="39">
        <f>IF(B148="","",IF(H148="","Add - what kind of sale is this?",IF(IF(V148&lt;=0,P148="",FALSE),"Check - no price found for this item",IF(F148="","Assign - nobody credited",IF(AH148&gt;0.004,"Unpaid - balance outstanding",IF(AC148&lt;0,"Loss - sold below cost",IF(X148&gt;W148*0.5,"Check - more than half off","OK")))))))</f>
        <v>0</v>
      </c>
    </row>
    <row r="149" spans="1:38">
      <c r="A149" s="28">
        <f>IF(B149="","",SalePrefix&amp;TEXT(ROW()-4,"0000"))</f>
        <v>0</v>
      </c>
      <c r="E149" s="15">
        <f>IF(D149="","",IFERROR(INDEX(Clients!$B$5:$B$504,MATCH(D149,Clients!$A$5:$A$504,0)),"Walk-in"))</f>
        <v>0</v>
      </c>
      <c r="G149" s="15">
        <f>IF(F149="","",IFERROR(INDEX(Staff!$B$5:$B$44,MATCH(F149,Staff!$A$5:$A$44,0)),"House"))</f>
        <v>0</v>
      </c>
      <c r="R149" s="15">
        <f>IF(B149="","",TEXT(B149,"yyyy-mm"))</f>
        <v>0</v>
      </c>
      <c r="S149" s="25">
        <f>IF(B149="","",WEEKNUM(B149,2))</f>
        <v>0</v>
      </c>
      <c r="T149" s="37">
        <f>IF(B149="","",IF(K149="",1,K149))</f>
        <v>0</v>
      </c>
      <c r="U149" s="15">
        <f>IF(B149="","",IF(J149&lt;&gt;"",J149,IF(H149="Retail",IFERROR(INDEX(Inventory!$B$5:$B$304,MATCH(I149,Inventory!$A$5:$A$304,0))&amp;"","Not in Inventory"),IFERROR(INDEX(Services!$B$5:$B$204,MATCH(I149,Services!$A$5:$A$204,0))&amp;"","Not in Services"))))</f>
        <v>0</v>
      </c>
      <c r="V149" s="26">
        <f>IF(B149="","",IF(L149&lt;&gt;"",L149,IF(H149="Retail",IFERROR(INDEX(Inventory!$I$5:$I$304,MATCH(I149,Inventory!$A$5:$A$304,0))*1,0),IFERROR(INDEX(Services!$G$5:$G$204,MATCH(I149,Services!$A$5:$A$204,0))*1,0))))</f>
        <v>0</v>
      </c>
      <c r="W149" s="26">
        <f>IF(B149="","",ROUND(T149*V149,2))</f>
        <v>0</v>
      </c>
      <c r="X149" s="26">
        <f>IF(B149="","",ROUND(IF(M149="",0,W149*M149)+IF(N149="",0,N149),2))</f>
        <v>0</v>
      </c>
      <c r="Y149" s="26">
        <f>IF(B149="","",ROUND(W149-X149-IF(P149="",0,P149),2))</f>
        <v>0</v>
      </c>
      <c r="Z149" s="26">
        <f>IF(B149="","",IF(H149="Retail",IF(TaxOnRetail="Yes",ROUND(Y149*TaxRate,2),0),IF(H149="Service",IF(TaxOnServices="Yes",ROUND(Y149*TaxRate,2),0),0)))</f>
        <v>0</v>
      </c>
      <c r="AA149" s="26">
        <f>IF(B149="","",ROUND(Y149+Z149,2))</f>
        <v>0</v>
      </c>
      <c r="AB149" s="26">
        <f>IF(B149="","",ROUND(T149*IF(H149="Retail",IFERROR(INDEX(Inventory!$H$5:$H$304,MATCH(I149,Inventory!$A$5:$A$304,0))*1,0),IFERROR(INDEX(Services!$Q$5:$Q$204,MATCH(I149,Services!$A$5:$A$204,0))*1,0)),2))</f>
        <v>0</v>
      </c>
      <c r="AC149" s="26">
        <f>IF(B149="","",ROUND(Y149-AB149,2))</f>
        <v>0</v>
      </c>
      <c r="AD149" s="38">
        <f>IF(B149="","",IF(C149="","No",IF(COUNTIFS($C$5:C149,C149)=1,"Yes","No")))</f>
        <v>0</v>
      </c>
      <c r="AE149" s="26">
        <f>IF(B149="","",ROUND(SUMIFS(Payments!$G$5:$G$1204,Payments!$H$5:$H$1204,A149,Payments!$Q$5:$Q$1204,"Yes"),2))</f>
        <v>0</v>
      </c>
      <c r="AF149" s="26">
        <f>IF(B149="","",IF(AD149="No",0,ROUND(SUMIFS(Payments!$G$5:$G$1204,Payments!$I$5:$I$1204,C149,Payments!$H$5:$H$1204,"",Payments!$Q$5:$Q$1204,"Yes"),2)))</f>
        <v>0</v>
      </c>
      <c r="AG149" s="26">
        <f>IF(B149="","",ROUND(AE149+AF149,2))</f>
        <v>0</v>
      </c>
      <c r="AH149" s="26">
        <f>IF(B149="","",ROUND(AA149-AG149,2))</f>
        <v>0</v>
      </c>
      <c r="AI149" s="39">
        <f>IF(B149="","",IF(AA149&lt;=0,"No charge",IF(AH149&lt;=0.004,"Paid",IF(AG149&lt;=0.004,"Unpaid","Part paid"))))</f>
        <v>0</v>
      </c>
      <c r="AJ149" s="38">
        <f>IF(B149="","",IF(H149&lt;&gt;"Service","",IF(D149="","No",IF(COUNTIFS($D$5:$D$1204,D149,$B$5:$B$1204,B149,$H$5:$H$1204,"Retail")&gt;0,"Yes","No"))))</f>
        <v>0</v>
      </c>
      <c r="AK149" s="25">
        <f>IF(B149="","",COUNTIFS($Y$5:$Y$1204,"&gt;"&amp;Y149)+COUNTIFS($Y$5:Y149,Y149))</f>
        <v>0</v>
      </c>
      <c r="AL149" s="39">
        <f>IF(B149="","",IF(H149="","Add - what kind of sale is this?",IF(IF(V149&lt;=0,P149="",FALSE),"Check - no price found for this item",IF(F149="","Assign - nobody credited",IF(AH149&gt;0.004,"Unpaid - balance outstanding",IF(AC149&lt;0,"Loss - sold below cost",IF(X149&gt;W149*0.5,"Check - more than half off","OK")))))))</f>
        <v>0</v>
      </c>
    </row>
    <row r="150" spans="1:38">
      <c r="A150" s="28">
        <f>IF(B150="","",SalePrefix&amp;TEXT(ROW()-4,"0000"))</f>
        <v>0</v>
      </c>
      <c r="E150" s="15">
        <f>IF(D150="","",IFERROR(INDEX(Clients!$B$5:$B$504,MATCH(D150,Clients!$A$5:$A$504,0)),"Walk-in"))</f>
        <v>0</v>
      </c>
      <c r="G150" s="15">
        <f>IF(F150="","",IFERROR(INDEX(Staff!$B$5:$B$44,MATCH(F150,Staff!$A$5:$A$44,0)),"House"))</f>
        <v>0</v>
      </c>
      <c r="R150" s="15">
        <f>IF(B150="","",TEXT(B150,"yyyy-mm"))</f>
        <v>0</v>
      </c>
      <c r="S150" s="25">
        <f>IF(B150="","",WEEKNUM(B150,2))</f>
        <v>0</v>
      </c>
      <c r="T150" s="37">
        <f>IF(B150="","",IF(K150="",1,K150))</f>
        <v>0</v>
      </c>
      <c r="U150" s="15">
        <f>IF(B150="","",IF(J150&lt;&gt;"",J150,IF(H150="Retail",IFERROR(INDEX(Inventory!$B$5:$B$304,MATCH(I150,Inventory!$A$5:$A$304,0))&amp;"","Not in Inventory"),IFERROR(INDEX(Services!$B$5:$B$204,MATCH(I150,Services!$A$5:$A$204,0))&amp;"","Not in Services"))))</f>
        <v>0</v>
      </c>
      <c r="V150" s="26">
        <f>IF(B150="","",IF(L150&lt;&gt;"",L150,IF(H150="Retail",IFERROR(INDEX(Inventory!$I$5:$I$304,MATCH(I150,Inventory!$A$5:$A$304,0))*1,0),IFERROR(INDEX(Services!$G$5:$G$204,MATCH(I150,Services!$A$5:$A$204,0))*1,0))))</f>
        <v>0</v>
      </c>
      <c r="W150" s="26">
        <f>IF(B150="","",ROUND(T150*V150,2))</f>
        <v>0</v>
      </c>
      <c r="X150" s="26">
        <f>IF(B150="","",ROUND(IF(M150="",0,W150*M150)+IF(N150="",0,N150),2))</f>
        <v>0</v>
      </c>
      <c r="Y150" s="26">
        <f>IF(B150="","",ROUND(W150-X150-IF(P150="",0,P150),2))</f>
        <v>0</v>
      </c>
      <c r="Z150" s="26">
        <f>IF(B150="","",IF(H150="Retail",IF(TaxOnRetail="Yes",ROUND(Y150*TaxRate,2),0),IF(H150="Service",IF(TaxOnServices="Yes",ROUND(Y150*TaxRate,2),0),0)))</f>
        <v>0</v>
      </c>
      <c r="AA150" s="26">
        <f>IF(B150="","",ROUND(Y150+Z150,2))</f>
        <v>0</v>
      </c>
      <c r="AB150" s="26">
        <f>IF(B150="","",ROUND(T150*IF(H150="Retail",IFERROR(INDEX(Inventory!$H$5:$H$304,MATCH(I150,Inventory!$A$5:$A$304,0))*1,0),IFERROR(INDEX(Services!$Q$5:$Q$204,MATCH(I150,Services!$A$5:$A$204,0))*1,0)),2))</f>
        <v>0</v>
      </c>
      <c r="AC150" s="26">
        <f>IF(B150="","",ROUND(Y150-AB150,2))</f>
        <v>0</v>
      </c>
      <c r="AD150" s="38">
        <f>IF(B150="","",IF(C150="","No",IF(COUNTIFS($C$5:C150,C150)=1,"Yes","No")))</f>
        <v>0</v>
      </c>
      <c r="AE150" s="26">
        <f>IF(B150="","",ROUND(SUMIFS(Payments!$G$5:$G$1204,Payments!$H$5:$H$1204,A150,Payments!$Q$5:$Q$1204,"Yes"),2))</f>
        <v>0</v>
      </c>
      <c r="AF150" s="26">
        <f>IF(B150="","",IF(AD150="No",0,ROUND(SUMIFS(Payments!$G$5:$G$1204,Payments!$I$5:$I$1204,C150,Payments!$H$5:$H$1204,"",Payments!$Q$5:$Q$1204,"Yes"),2)))</f>
        <v>0</v>
      </c>
      <c r="AG150" s="26">
        <f>IF(B150="","",ROUND(AE150+AF150,2))</f>
        <v>0</v>
      </c>
      <c r="AH150" s="26">
        <f>IF(B150="","",ROUND(AA150-AG150,2))</f>
        <v>0</v>
      </c>
      <c r="AI150" s="39">
        <f>IF(B150="","",IF(AA150&lt;=0,"No charge",IF(AH150&lt;=0.004,"Paid",IF(AG150&lt;=0.004,"Unpaid","Part paid"))))</f>
        <v>0</v>
      </c>
      <c r="AJ150" s="38">
        <f>IF(B150="","",IF(H150&lt;&gt;"Service","",IF(D150="","No",IF(COUNTIFS($D$5:$D$1204,D150,$B$5:$B$1204,B150,$H$5:$H$1204,"Retail")&gt;0,"Yes","No"))))</f>
        <v>0</v>
      </c>
      <c r="AK150" s="25">
        <f>IF(B150="","",COUNTIFS($Y$5:$Y$1204,"&gt;"&amp;Y150)+COUNTIFS($Y$5:Y150,Y150))</f>
        <v>0</v>
      </c>
      <c r="AL150" s="39">
        <f>IF(B150="","",IF(H150="","Add - what kind of sale is this?",IF(IF(V150&lt;=0,P150="",FALSE),"Check - no price found for this item",IF(F150="","Assign - nobody credited",IF(AH150&gt;0.004,"Unpaid - balance outstanding",IF(AC150&lt;0,"Loss - sold below cost",IF(X150&gt;W150*0.5,"Check - more than half off","OK")))))))</f>
        <v>0</v>
      </c>
    </row>
    <row r="151" spans="1:38">
      <c r="A151" s="28">
        <f>IF(B151="","",SalePrefix&amp;TEXT(ROW()-4,"0000"))</f>
        <v>0</v>
      </c>
      <c r="E151" s="15">
        <f>IF(D151="","",IFERROR(INDEX(Clients!$B$5:$B$504,MATCH(D151,Clients!$A$5:$A$504,0)),"Walk-in"))</f>
        <v>0</v>
      </c>
      <c r="G151" s="15">
        <f>IF(F151="","",IFERROR(INDEX(Staff!$B$5:$B$44,MATCH(F151,Staff!$A$5:$A$44,0)),"House"))</f>
        <v>0</v>
      </c>
      <c r="R151" s="15">
        <f>IF(B151="","",TEXT(B151,"yyyy-mm"))</f>
        <v>0</v>
      </c>
      <c r="S151" s="25">
        <f>IF(B151="","",WEEKNUM(B151,2))</f>
        <v>0</v>
      </c>
      <c r="T151" s="37">
        <f>IF(B151="","",IF(K151="",1,K151))</f>
        <v>0</v>
      </c>
      <c r="U151" s="15">
        <f>IF(B151="","",IF(J151&lt;&gt;"",J151,IF(H151="Retail",IFERROR(INDEX(Inventory!$B$5:$B$304,MATCH(I151,Inventory!$A$5:$A$304,0))&amp;"","Not in Inventory"),IFERROR(INDEX(Services!$B$5:$B$204,MATCH(I151,Services!$A$5:$A$204,0))&amp;"","Not in Services"))))</f>
        <v>0</v>
      </c>
      <c r="V151" s="26">
        <f>IF(B151="","",IF(L151&lt;&gt;"",L151,IF(H151="Retail",IFERROR(INDEX(Inventory!$I$5:$I$304,MATCH(I151,Inventory!$A$5:$A$304,0))*1,0),IFERROR(INDEX(Services!$G$5:$G$204,MATCH(I151,Services!$A$5:$A$204,0))*1,0))))</f>
        <v>0</v>
      </c>
      <c r="W151" s="26">
        <f>IF(B151="","",ROUND(T151*V151,2))</f>
        <v>0</v>
      </c>
      <c r="X151" s="26">
        <f>IF(B151="","",ROUND(IF(M151="",0,W151*M151)+IF(N151="",0,N151),2))</f>
        <v>0</v>
      </c>
      <c r="Y151" s="26">
        <f>IF(B151="","",ROUND(W151-X151-IF(P151="",0,P151),2))</f>
        <v>0</v>
      </c>
      <c r="Z151" s="26">
        <f>IF(B151="","",IF(H151="Retail",IF(TaxOnRetail="Yes",ROUND(Y151*TaxRate,2),0),IF(H151="Service",IF(TaxOnServices="Yes",ROUND(Y151*TaxRate,2),0),0)))</f>
        <v>0</v>
      </c>
      <c r="AA151" s="26">
        <f>IF(B151="","",ROUND(Y151+Z151,2))</f>
        <v>0</v>
      </c>
      <c r="AB151" s="26">
        <f>IF(B151="","",ROUND(T151*IF(H151="Retail",IFERROR(INDEX(Inventory!$H$5:$H$304,MATCH(I151,Inventory!$A$5:$A$304,0))*1,0),IFERROR(INDEX(Services!$Q$5:$Q$204,MATCH(I151,Services!$A$5:$A$204,0))*1,0)),2))</f>
        <v>0</v>
      </c>
      <c r="AC151" s="26">
        <f>IF(B151="","",ROUND(Y151-AB151,2))</f>
        <v>0</v>
      </c>
      <c r="AD151" s="38">
        <f>IF(B151="","",IF(C151="","No",IF(COUNTIFS($C$5:C151,C151)=1,"Yes","No")))</f>
        <v>0</v>
      </c>
      <c r="AE151" s="26">
        <f>IF(B151="","",ROUND(SUMIFS(Payments!$G$5:$G$1204,Payments!$H$5:$H$1204,A151,Payments!$Q$5:$Q$1204,"Yes"),2))</f>
        <v>0</v>
      </c>
      <c r="AF151" s="26">
        <f>IF(B151="","",IF(AD151="No",0,ROUND(SUMIFS(Payments!$G$5:$G$1204,Payments!$I$5:$I$1204,C151,Payments!$H$5:$H$1204,"",Payments!$Q$5:$Q$1204,"Yes"),2)))</f>
        <v>0</v>
      </c>
      <c r="AG151" s="26">
        <f>IF(B151="","",ROUND(AE151+AF151,2))</f>
        <v>0</v>
      </c>
      <c r="AH151" s="26">
        <f>IF(B151="","",ROUND(AA151-AG151,2))</f>
        <v>0</v>
      </c>
      <c r="AI151" s="39">
        <f>IF(B151="","",IF(AA151&lt;=0,"No charge",IF(AH151&lt;=0.004,"Paid",IF(AG151&lt;=0.004,"Unpaid","Part paid"))))</f>
        <v>0</v>
      </c>
      <c r="AJ151" s="38">
        <f>IF(B151="","",IF(H151&lt;&gt;"Service","",IF(D151="","No",IF(COUNTIFS($D$5:$D$1204,D151,$B$5:$B$1204,B151,$H$5:$H$1204,"Retail")&gt;0,"Yes","No"))))</f>
        <v>0</v>
      </c>
      <c r="AK151" s="25">
        <f>IF(B151="","",COUNTIFS($Y$5:$Y$1204,"&gt;"&amp;Y151)+COUNTIFS($Y$5:Y151,Y151))</f>
        <v>0</v>
      </c>
      <c r="AL151" s="39">
        <f>IF(B151="","",IF(H151="","Add - what kind of sale is this?",IF(IF(V151&lt;=0,P151="",FALSE),"Check - no price found for this item",IF(F151="","Assign - nobody credited",IF(AH151&gt;0.004,"Unpaid - balance outstanding",IF(AC151&lt;0,"Loss - sold below cost",IF(X151&gt;W151*0.5,"Check - more than half off","OK")))))))</f>
        <v>0</v>
      </c>
    </row>
    <row r="152" spans="1:38">
      <c r="A152" s="28">
        <f>IF(B152="","",SalePrefix&amp;TEXT(ROW()-4,"0000"))</f>
        <v>0</v>
      </c>
      <c r="E152" s="15">
        <f>IF(D152="","",IFERROR(INDEX(Clients!$B$5:$B$504,MATCH(D152,Clients!$A$5:$A$504,0)),"Walk-in"))</f>
        <v>0</v>
      </c>
      <c r="G152" s="15">
        <f>IF(F152="","",IFERROR(INDEX(Staff!$B$5:$B$44,MATCH(F152,Staff!$A$5:$A$44,0)),"House"))</f>
        <v>0</v>
      </c>
      <c r="R152" s="15">
        <f>IF(B152="","",TEXT(B152,"yyyy-mm"))</f>
        <v>0</v>
      </c>
      <c r="S152" s="25">
        <f>IF(B152="","",WEEKNUM(B152,2))</f>
        <v>0</v>
      </c>
      <c r="T152" s="37">
        <f>IF(B152="","",IF(K152="",1,K152))</f>
        <v>0</v>
      </c>
      <c r="U152" s="15">
        <f>IF(B152="","",IF(J152&lt;&gt;"",J152,IF(H152="Retail",IFERROR(INDEX(Inventory!$B$5:$B$304,MATCH(I152,Inventory!$A$5:$A$304,0))&amp;"","Not in Inventory"),IFERROR(INDEX(Services!$B$5:$B$204,MATCH(I152,Services!$A$5:$A$204,0))&amp;"","Not in Services"))))</f>
        <v>0</v>
      </c>
      <c r="V152" s="26">
        <f>IF(B152="","",IF(L152&lt;&gt;"",L152,IF(H152="Retail",IFERROR(INDEX(Inventory!$I$5:$I$304,MATCH(I152,Inventory!$A$5:$A$304,0))*1,0),IFERROR(INDEX(Services!$G$5:$G$204,MATCH(I152,Services!$A$5:$A$204,0))*1,0))))</f>
        <v>0</v>
      </c>
      <c r="W152" s="26">
        <f>IF(B152="","",ROUND(T152*V152,2))</f>
        <v>0</v>
      </c>
      <c r="X152" s="26">
        <f>IF(B152="","",ROUND(IF(M152="",0,W152*M152)+IF(N152="",0,N152),2))</f>
        <v>0</v>
      </c>
      <c r="Y152" s="26">
        <f>IF(B152="","",ROUND(W152-X152-IF(P152="",0,P152),2))</f>
        <v>0</v>
      </c>
      <c r="Z152" s="26">
        <f>IF(B152="","",IF(H152="Retail",IF(TaxOnRetail="Yes",ROUND(Y152*TaxRate,2),0),IF(H152="Service",IF(TaxOnServices="Yes",ROUND(Y152*TaxRate,2),0),0)))</f>
        <v>0</v>
      </c>
      <c r="AA152" s="26">
        <f>IF(B152="","",ROUND(Y152+Z152,2))</f>
        <v>0</v>
      </c>
      <c r="AB152" s="26">
        <f>IF(B152="","",ROUND(T152*IF(H152="Retail",IFERROR(INDEX(Inventory!$H$5:$H$304,MATCH(I152,Inventory!$A$5:$A$304,0))*1,0),IFERROR(INDEX(Services!$Q$5:$Q$204,MATCH(I152,Services!$A$5:$A$204,0))*1,0)),2))</f>
        <v>0</v>
      </c>
      <c r="AC152" s="26">
        <f>IF(B152="","",ROUND(Y152-AB152,2))</f>
        <v>0</v>
      </c>
      <c r="AD152" s="38">
        <f>IF(B152="","",IF(C152="","No",IF(COUNTIFS($C$5:C152,C152)=1,"Yes","No")))</f>
        <v>0</v>
      </c>
      <c r="AE152" s="26">
        <f>IF(B152="","",ROUND(SUMIFS(Payments!$G$5:$G$1204,Payments!$H$5:$H$1204,A152,Payments!$Q$5:$Q$1204,"Yes"),2))</f>
        <v>0</v>
      </c>
      <c r="AF152" s="26">
        <f>IF(B152="","",IF(AD152="No",0,ROUND(SUMIFS(Payments!$G$5:$G$1204,Payments!$I$5:$I$1204,C152,Payments!$H$5:$H$1204,"",Payments!$Q$5:$Q$1204,"Yes"),2)))</f>
        <v>0</v>
      </c>
      <c r="AG152" s="26">
        <f>IF(B152="","",ROUND(AE152+AF152,2))</f>
        <v>0</v>
      </c>
      <c r="AH152" s="26">
        <f>IF(B152="","",ROUND(AA152-AG152,2))</f>
        <v>0</v>
      </c>
      <c r="AI152" s="39">
        <f>IF(B152="","",IF(AA152&lt;=0,"No charge",IF(AH152&lt;=0.004,"Paid",IF(AG152&lt;=0.004,"Unpaid","Part paid"))))</f>
        <v>0</v>
      </c>
      <c r="AJ152" s="38">
        <f>IF(B152="","",IF(H152&lt;&gt;"Service","",IF(D152="","No",IF(COUNTIFS($D$5:$D$1204,D152,$B$5:$B$1204,B152,$H$5:$H$1204,"Retail")&gt;0,"Yes","No"))))</f>
        <v>0</v>
      </c>
      <c r="AK152" s="25">
        <f>IF(B152="","",COUNTIFS($Y$5:$Y$1204,"&gt;"&amp;Y152)+COUNTIFS($Y$5:Y152,Y152))</f>
        <v>0</v>
      </c>
      <c r="AL152" s="39">
        <f>IF(B152="","",IF(H152="","Add - what kind of sale is this?",IF(IF(V152&lt;=0,P152="",FALSE),"Check - no price found for this item",IF(F152="","Assign - nobody credited",IF(AH152&gt;0.004,"Unpaid - balance outstanding",IF(AC152&lt;0,"Loss - sold below cost",IF(X152&gt;W152*0.5,"Check - more than half off","OK")))))))</f>
        <v>0</v>
      </c>
    </row>
    <row r="153" spans="1:38">
      <c r="A153" s="28">
        <f>IF(B153="","",SalePrefix&amp;TEXT(ROW()-4,"0000"))</f>
        <v>0</v>
      </c>
      <c r="E153" s="15">
        <f>IF(D153="","",IFERROR(INDEX(Clients!$B$5:$B$504,MATCH(D153,Clients!$A$5:$A$504,0)),"Walk-in"))</f>
        <v>0</v>
      </c>
      <c r="G153" s="15">
        <f>IF(F153="","",IFERROR(INDEX(Staff!$B$5:$B$44,MATCH(F153,Staff!$A$5:$A$44,0)),"House"))</f>
        <v>0</v>
      </c>
      <c r="R153" s="15">
        <f>IF(B153="","",TEXT(B153,"yyyy-mm"))</f>
        <v>0</v>
      </c>
      <c r="S153" s="25">
        <f>IF(B153="","",WEEKNUM(B153,2))</f>
        <v>0</v>
      </c>
      <c r="T153" s="37">
        <f>IF(B153="","",IF(K153="",1,K153))</f>
        <v>0</v>
      </c>
      <c r="U153" s="15">
        <f>IF(B153="","",IF(J153&lt;&gt;"",J153,IF(H153="Retail",IFERROR(INDEX(Inventory!$B$5:$B$304,MATCH(I153,Inventory!$A$5:$A$304,0))&amp;"","Not in Inventory"),IFERROR(INDEX(Services!$B$5:$B$204,MATCH(I153,Services!$A$5:$A$204,0))&amp;"","Not in Services"))))</f>
        <v>0</v>
      </c>
      <c r="V153" s="26">
        <f>IF(B153="","",IF(L153&lt;&gt;"",L153,IF(H153="Retail",IFERROR(INDEX(Inventory!$I$5:$I$304,MATCH(I153,Inventory!$A$5:$A$304,0))*1,0),IFERROR(INDEX(Services!$G$5:$G$204,MATCH(I153,Services!$A$5:$A$204,0))*1,0))))</f>
        <v>0</v>
      </c>
      <c r="W153" s="26">
        <f>IF(B153="","",ROUND(T153*V153,2))</f>
        <v>0</v>
      </c>
      <c r="X153" s="26">
        <f>IF(B153="","",ROUND(IF(M153="",0,W153*M153)+IF(N153="",0,N153),2))</f>
        <v>0</v>
      </c>
      <c r="Y153" s="26">
        <f>IF(B153="","",ROUND(W153-X153-IF(P153="",0,P153),2))</f>
        <v>0</v>
      </c>
      <c r="Z153" s="26">
        <f>IF(B153="","",IF(H153="Retail",IF(TaxOnRetail="Yes",ROUND(Y153*TaxRate,2),0),IF(H153="Service",IF(TaxOnServices="Yes",ROUND(Y153*TaxRate,2),0),0)))</f>
        <v>0</v>
      </c>
      <c r="AA153" s="26">
        <f>IF(B153="","",ROUND(Y153+Z153,2))</f>
        <v>0</v>
      </c>
      <c r="AB153" s="26">
        <f>IF(B153="","",ROUND(T153*IF(H153="Retail",IFERROR(INDEX(Inventory!$H$5:$H$304,MATCH(I153,Inventory!$A$5:$A$304,0))*1,0),IFERROR(INDEX(Services!$Q$5:$Q$204,MATCH(I153,Services!$A$5:$A$204,0))*1,0)),2))</f>
        <v>0</v>
      </c>
      <c r="AC153" s="26">
        <f>IF(B153="","",ROUND(Y153-AB153,2))</f>
        <v>0</v>
      </c>
      <c r="AD153" s="38">
        <f>IF(B153="","",IF(C153="","No",IF(COUNTIFS($C$5:C153,C153)=1,"Yes","No")))</f>
        <v>0</v>
      </c>
      <c r="AE153" s="26">
        <f>IF(B153="","",ROUND(SUMIFS(Payments!$G$5:$G$1204,Payments!$H$5:$H$1204,A153,Payments!$Q$5:$Q$1204,"Yes"),2))</f>
        <v>0</v>
      </c>
      <c r="AF153" s="26">
        <f>IF(B153="","",IF(AD153="No",0,ROUND(SUMIFS(Payments!$G$5:$G$1204,Payments!$I$5:$I$1204,C153,Payments!$H$5:$H$1204,"",Payments!$Q$5:$Q$1204,"Yes"),2)))</f>
        <v>0</v>
      </c>
      <c r="AG153" s="26">
        <f>IF(B153="","",ROUND(AE153+AF153,2))</f>
        <v>0</v>
      </c>
      <c r="AH153" s="26">
        <f>IF(B153="","",ROUND(AA153-AG153,2))</f>
        <v>0</v>
      </c>
      <c r="AI153" s="39">
        <f>IF(B153="","",IF(AA153&lt;=0,"No charge",IF(AH153&lt;=0.004,"Paid",IF(AG153&lt;=0.004,"Unpaid","Part paid"))))</f>
        <v>0</v>
      </c>
      <c r="AJ153" s="38">
        <f>IF(B153="","",IF(H153&lt;&gt;"Service","",IF(D153="","No",IF(COUNTIFS($D$5:$D$1204,D153,$B$5:$B$1204,B153,$H$5:$H$1204,"Retail")&gt;0,"Yes","No"))))</f>
        <v>0</v>
      </c>
      <c r="AK153" s="25">
        <f>IF(B153="","",COUNTIFS($Y$5:$Y$1204,"&gt;"&amp;Y153)+COUNTIFS($Y$5:Y153,Y153))</f>
        <v>0</v>
      </c>
      <c r="AL153" s="39">
        <f>IF(B153="","",IF(H153="","Add - what kind of sale is this?",IF(IF(V153&lt;=0,P153="",FALSE),"Check - no price found for this item",IF(F153="","Assign - nobody credited",IF(AH153&gt;0.004,"Unpaid - balance outstanding",IF(AC153&lt;0,"Loss - sold below cost",IF(X153&gt;W153*0.5,"Check - more than half off","OK")))))))</f>
        <v>0</v>
      </c>
    </row>
    <row r="154" spans="1:38">
      <c r="A154" s="28">
        <f>IF(B154="","",SalePrefix&amp;TEXT(ROW()-4,"0000"))</f>
        <v>0</v>
      </c>
      <c r="E154" s="15">
        <f>IF(D154="","",IFERROR(INDEX(Clients!$B$5:$B$504,MATCH(D154,Clients!$A$5:$A$504,0)),"Walk-in"))</f>
        <v>0</v>
      </c>
      <c r="G154" s="15">
        <f>IF(F154="","",IFERROR(INDEX(Staff!$B$5:$B$44,MATCH(F154,Staff!$A$5:$A$44,0)),"House"))</f>
        <v>0</v>
      </c>
      <c r="R154" s="15">
        <f>IF(B154="","",TEXT(B154,"yyyy-mm"))</f>
        <v>0</v>
      </c>
      <c r="S154" s="25">
        <f>IF(B154="","",WEEKNUM(B154,2))</f>
        <v>0</v>
      </c>
      <c r="T154" s="37">
        <f>IF(B154="","",IF(K154="",1,K154))</f>
        <v>0</v>
      </c>
      <c r="U154" s="15">
        <f>IF(B154="","",IF(J154&lt;&gt;"",J154,IF(H154="Retail",IFERROR(INDEX(Inventory!$B$5:$B$304,MATCH(I154,Inventory!$A$5:$A$304,0))&amp;"","Not in Inventory"),IFERROR(INDEX(Services!$B$5:$B$204,MATCH(I154,Services!$A$5:$A$204,0))&amp;"","Not in Services"))))</f>
        <v>0</v>
      </c>
      <c r="V154" s="26">
        <f>IF(B154="","",IF(L154&lt;&gt;"",L154,IF(H154="Retail",IFERROR(INDEX(Inventory!$I$5:$I$304,MATCH(I154,Inventory!$A$5:$A$304,0))*1,0),IFERROR(INDEX(Services!$G$5:$G$204,MATCH(I154,Services!$A$5:$A$204,0))*1,0))))</f>
        <v>0</v>
      </c>
      <c r="W154" s="26">
        <f>IF(B154="","",ROUND(T154*V154,2))</f>
        <v>0</v>
      </c>
      <c r="X154" s="26">
        <f>IF(B154="","",ROUND(IF(M154="",0,W154*M154)+IF(N154="",0,N154),2))</f>
        <v>0</v>
      </c>
      <c r="Y154" s="26">
        <f>IF(B154="","",ROUND(W154-X154-IF(P154="",0,P154),2))</f>
        <v>0</v>
      </c>
      <c r="Z154" s="26">
        <f>IF(B154="","",IF(H154="Retail",IF(TaxOnRetail="Yes",ROUND(Y154*TaxRate,2),0),IF(H154="Service",IF(TaxOnServices="Yes",ROUND(Y154*TaxRate,2),0),0)))</f>
        <v>0</v>
      </c>
      <c r="AA154" s="26">
        <f>IF(B154="","",ROUND(Y154+Z154,2))</f>
        <v>0</v>
      </c>
      <c r="AB154" s="26">
        <f>IF(B154="","",ROUND(T154*IF(H154="Retail",IFERROR(INDEX(Inventory!$H$5:$H$304,MATCH(I154,Inventory!$A$5:$A$304,0))*1,0),IFERROR(INDEX(Services!$Q$5:$Q$204,MATCH(I154,Services!$A$5:$A$204,0))*1,0)),2))</f>
        <v>0</v>
      </c>
      <c r="AC154" s="26">
        <f>IF(B154="","",ROUND(Y154-AB154,2))</f>
        <v>0</v>
      </c>
      <c r="AD154" s="38">
        <f>IF(B154="","",IF(C154="","No",IF(COUNTIFS($C$5:C154,C154)=1,"Yes","No")))</f>
        <v>0</v>
      </c>
      <c r="AE154" s="26">
        <f>IF(B154="","",ROUND(SUMIFS(Payments!$G$5:$G$1204,Payments!$H$5:$H$1204,A154,Payments!$Q$5:$Q$1204,"Yes"),2))</f>
        <v>0</v>
      </c>
      <c r="AF154" s="26">
        <f>IF(B154="","",IF(AD154="No",0,ROUND(SUMIFS(Payments!$G$5:$G$1204,Payments!$I$5:$I$1204,C154,Payments!$H$5:$H$1204,"",Payments!$Q$5:$Q$1204,"Yes"),2)))</f>
        <v>0</v>
      </c>
      <c r="AG154" s="26">
        <f>IF(B154="","",ROUND(AE154+AF154,2))</f>
        <v>0</v>
      </c>
      <c r="AH154" s="26">
        <f>IF(B154="","",ROUND(AA154-AG154,2))</f>
        <v>0</v>
      </c>
      <c r="AI154" s="39">
        <f>IF(B154="","",IF(AA154&lt;=0,"No charge",IF(AH154&lt;=0.004,"Paid",IF(AG154&lt;=0.004,"Unpaid","Part paid"))))</f>
        <v>0</v>
      </c>
      <c r="AJ154" s="38">
        <f>IF(B154="","",IF(H154&lt;&gt;"Service","",IF(D154="","No",IF(COUNTIFS($D$5:$D$1204,D154,$B$5:$B$1204,B154,$H$5:$H$1204,"Retail")&gt;0,"Yes","No"))))</f>
        <v>0</v>
      </c>
      <c r="AK154" s="25">
        <f>IF(B154="","",COUNTIFS($Y$5:$Y$1204,"&gt;"&amp;Y154)+COUNTIFS($Y$5:Y154,Y154))</f>
        <v>0</v>
      </c>
      <c r="AL154" s="39">
        <f>IF(B154="","",IF(H154="","Add - what kind of sale is this?",IF(IF(V154&lt;=0,P154="",FALSE),"Check - no price found for this item",IF(F154="","Assign - nobody credited",IF(AH154&gt;0.004,"Unpaid - balance outstanding",IF(AC154&lt;0,"Loss - sold below cost",IF(X154&gt;W154*0.5,"Check - more than half off","OK")))))))</f>
        <v>0</v>
      </c>
    </row>
    <row r="155" spans="1:38">
      <c r="A155" s="28">
        <f>IF(B155="","",SalePrefix&amp;TEXT(ROW()-4,"0000"))</f>
        <v>0</v>
      </c>
      <c r="E155" s="15">
        <f>IF(D155="","",IFERROR(INDEX(Clients!$B$5:$B$504,MATCH(D155,Clients!$A$5:$A$504,0)),"Walk-in"))</f>
        <v>0</v>
      </c>
      <c r="G155" s="15">
        <f>IF(F155="","",IFERROR(INDEX(Staff!$B$5:$B$44,MATCH(F155,Staff!$A$5:$A$44,0)),"House"))</f>
        <v>0</v>
      </c>
      <c r="R155" s="15">
        <f>IF(B155="","",TEXT(B155,"yyyy-mm"))</f>
        <v>0</v>
      </c>
      <c r="S155" s="25">
        <f>IF(B155="","",WEEKNUM(B155,2))</f>
        <v>0</v>
      </c>
      <c r="T155" s="37">
        <f>IF(B155="","",IF(K155="",1,K155))</f>
        <v>0</v>
      </c>
      <c r="U155" s="15">
        <f>IF(B155="","",IF(J155&lt;&gt;"",J155,IF(H155="Retail",IFERROR(INDEX(Inventory!$B$5:$B$304,MATCH(I155,Inventory!$A$5:$A$304,0))&amp;"","Not in Inventory"),IFERROR(INDEX(Services!$B$5:$B$204,MATCH(I155,Services!$A$5:$A$204,0))&amp;"","Not in Services"))))</f>
        <v>0</v>
      </c>
      <c r="V155" s="26">
        <f>IF(B155="","",IF(L155&lt;&gt;"",L155,IF(H155="Retail",IFERROR(INDEX(Inventory!$I$5:$I$304,MATCH(I155,Inventory!$A$5:$A$304,0))*1,0),IFERROR(INDEX(Services!$G$5:$G$204,MATCH(I155,Services!$A$5:$A$204,0))*1,0))))</f>
        <v>0</v>
      </c>
      <c r="W155" s="26">
        <f>IF(B155="","",ROUND(T155*V155,2))</f>
        <v>0</v>
      </c>
      <c r="X155" s="26">
        <f>IF(B155="","",ROUND(IF(M155="",0,W155*M155)+IF(N155="",0,N155),2))</f>
        <v>0</v>
      </c>
      <c r="Y155" s="26">
        <f>IF(B155="","",ROUND(W155-X155-IF(P155="",0,P155),2))</f>
        <v>0</v>
      </c>
      <c r="Z155" s="26">
        <f>IF(B155="","",IF(H155="Retail",IF(TaxOnRetail="Yes",ROUND(Y155*TaxRate,2),0),IF(H155="Service",IF(TaxOnServices="Yes",ROUND(Y155*TaxRate,2),0),0)))</f>
        <v>0</v>
      </c>
      <c r="AA155" s="26">
        <f>IF(B155="","",ROUND(Y155+Z155,2))</f>
        <v>0</v>
      </c>
      <c r="AB155" s="26">
        <f>IF(B155="","",ROUND(T155*IF(H155="Retail",IFERROR(INDEX(Inventory!$H$5:$H$304,MATCH(I155,Inventory!$A$5:$A$304,0))*1,0),IFERROR(INDEX(Services!$Q$5:$Q$204,MATCH(I155,Services!$A$5:$A$204,0))*1,0)),2))</f>
        <v>0</v>
      </c>
      <c r="AC155" s="26">
        <f>IF(B155="","",ROUND(Y155-AB155,2))</f>
        <v>0</v>
      </c>
      <c r="AD155" s="38">
        <f>IF(B155="","",IF(C155="","No",IF(COUNTIFS($C$5:C155,C155)=1,"Yes","No")))</f>
        <v>0</v>
      </c>
      <c r="AE155" s="26">
        <f>IF(B155="","",ROUND(SUMIFS(Payments!$G$5:$G$1204,Payments!$H$5:$H$1204,A155,Payments!$Q$5:$Q$1204,"Yes"),2))</f>
        <v>0</v>
      </c>
      <c r="AF155" s="26">
        <f>IF(B155="","",IF(AD155="No",0,ROUND(SUMIFS(Payments!$G$5:$G$1204,Payments!$I$5:$I$1204,C155,Payments!$H$5:$H$1204,"",Payments!$Q$5:$Q$1204,"Yes"),2)))</f>
        <v>0</v>
      </c>
      <c r="AG155" s="26">
        <f>IF(B155="","",ROUND(AE155+AF155,2))</f>
        <v>0</v>
      </c>
      <c r="AH155" s="26">
        <f>IF(B155="","",ROUND(AA155-AG155,2))</f>
        <v>0</v>
      </c>
      <c r="AI155" s="39">
        <f>IF(B155="","",IF(AA155&lt;=0,"No charge",IF(AH155&lt;=0.004,"Paid",IF(AG155&lt;=0.004,"Unpaid","Part paid"))))</f>
        <v>0</v>
      </c>
      <c r="AJ155" s="38">
        <f>IF(B155="","",IF(H155&lt;&gt;"Service","",IF(D155="","No",IF(COUNTIFS($D$5:$D$1204,D155,$B$5:$B$1204,B155,$H$5:$H$1204,"Retail")&gt;0,"Yes","No"))))</f>
        <v>0</v>
      </c>
      <c r="AK155" s="25">
        <f>IF(B155="","",COUNTIFS($Y$5:$Y$1204,"&gt;"&amp;Y155)+COUNTIFS($Y$5:Y155,Y155))</f>
        <v>0</v>
      </c>
      <c r="AL155" s="39">
        <f>IF(B155="","",IF(H155="","Add - what kind of sale is this?",IF(IF(V155&lt;=0,P155="",FALSE),"Check - no price found for this item",IF(F155="","Assign - nobody credited",IF(AH155&gt;0.004,"Unpaid - balance outstanding",IF(AC155&lt;0,"Loss - sold below cost",IF(X155&gt;W155*0.5,"Check - more than half off","OK")))))))</f>
        <v>0</v>
      </c>
    </row>
    <row r="156" spans="1:38">
      <c r="A156" s="28">
        <f>IF(B156="","",SalePrefix&amp;TEXT(ROW()-4,"0000"))</f>
        <v>0</v>
      </c>
      <c r="E156" s="15">
        <f>IF(D156="","",IFERROR(INDEX(Clients!$B$5:$B$504,MATCH(D156,Clients!$A$5:$A$504,0)),"Walk-in"))</f>
        <v>0</v>
      </c>
      <c r="G156" s="15">
        <f>IF(F156="","",IFERROR(INDEX(Staff!$B$5:$B$44,MATCH(F156,Staff!$A$5:$A$44,0)),"House"))</f>
        <v>0</v>
      </c>
      <c r="R156" s="15">
        <f>IF(B156="","",TEXT(B156,"yyyy-mm"))</f>
        <v>0</v>
      </c>
      <c r="S156" s="25">
        <f>IF(B156="","",WEEKNUM(B156,2))</f>
        <v>0</v>
      </c>
      <c r="T156" s="37">
        <f>IF(B156="","",IF(K156="",1,K156))</f>
        <v>0</v>
      </c>
      <c r="U156" s="15">
        <f>IF(B156="","",IF(J156&lt;&gt;"",J156,IF(H156="Retail",IFERROR(INDEX(Inventory!$B$5:$B$304,MATCH(I156,Inventory!$A$5:$A$304,0))&amp;"","Not in Inventory"),IFERROR(INDEX(Services!$B$5:$B$204,MATCH(I156,Services!$A$5:$A$204,0))&amp;"","Not in Services"))))</f>
        <v>0</v>
      </c>
      <c r="V156" s="26">
        <f>IF(B156="","",IF(L156&lt;&gt;"",L156,IF(H156="Retail",IFERROR(INDEX(Inventory!$I$5:$I$304,MATCH(I156,Inventory!$A$5:$A$304,0))*1,0),IFERROR(INDEX(Services!$G$5:$G$204,MATCH(I156,Services!$A$5:$A$204,0))*1,0))))</f>
        <v>0</v>
      </c>
      <c r="W156" s="26">
        <f>IF(B156="","",ROUND(T156*V156,2))</f>
        <v>0</v>
      </c>
      <c r="X156" s="26">
        <f>IF(B156="","",ROUND(IF(M156="",0,W156*M156)+IF(N156="",0,N156),2))</f>
        <v>0</v>
      </c>
      <c r="Y156" s="26">
        <f>IF(B156="","",ROUND(W156-X156-IF(P156="",0,P156),2))</f>
        <v>0</v>
      </c>
      <c r="Z156" s="26">
        <f>IF(B156="","",IF(H156="Retail",IF(TaxOnRetail="Yes",ROUND(Y156*TaxRate,2),0),IF(H156="Service",IF(TaxOnServices="Yes",ROUND(Y156*TaxRate,2),0),0)))</f>
        <v>0</v>
      </c>
      <c r="AA156" s="26">
        <f>IF(B156="","",ROUND(Y156+Z156,2))</f>
        <v>0</v>
      </c>
      <c r="AB156" s="26">
        <f>IF(B156="","",ROUND(T156*IF(H156="Retail",IFERROR(INDEX(Inventory!$H$5:$H$304,MATCH(I156,Inventory!$A$5:$A$304,0))*1,0),IFERROR(INDEX(Services!$Q$5:$Q$204,MATCH(I156,Services!$A$5:$A$204,0))*1,0)),2))</f>
        <v>0</v>
      </c>
      <c r="AC156" s="26">
        <f>IF(B156="","",ROUND(Y156-AB156,2))</f>
        <v>0</v>
      </c>
      <c r="AD156" s="38">
        <f>IF(B156="","",IF(C156="","No",IF(COUNTIFS($C$5:C156,C156)=1,"Yes","No")))</f>
        <v>0</v>
      </c>
      <c r="AE156" s="26">
        <f>IF(B156="","",ROUND(SUMIFS(Payments!$G$5:$G$1204,Payments!$H$5:$H$1204,A156,Payments!$Q$5:$Q$1204,"Yes"),2))</f>
        <v>0</v>
      </c>
      <c r="AF156" s="26">
        <f>IF(B156="","",IF(AD156="No",0,ROUND(SUMIFS(Payments!$G$5:$G$1204,Payments!$I$5:$I$1204,C156,Payments!$H$5:$H$1204,"",Payments!$Q$5:$Q$1204,"Yes"),2)))</f>
        <v>0</v>
      </c>
      <c r="AG156" s="26">
        <f>IF(B156="","",ROUND(AE156+AF156,2))</f>
        <v>0</v>
      </c>
      <c r="AH156" s="26">
        <f>IF(B156="","",ROUND(AA156-AG156,2))</f>
        <v>0</v>
      </c>
      <c r="AI156" s="39">
        <f>IF(B156="","",IF(AA156&lt;=0,"No charge",IF(AH156&lt;=0.004,"Paid",IF(AG156&lt;=0.004,"Unpaid","Part paid"))))</f>
        <v>0</v>
      </c>
      <c r="AJ156" s="38">
        <f>IF(B156="","",IF(H156&lt;&gt;"Service","",IF(D156="","No",IF(COUNTIFS($D$5:$D$1204,D156,$B$5:$B$1204,B156,$H$5:$H$1204,"Retail")&gt;0,"Yes","No"))))</f>
        <v>0</v>
      </c>
      <c r="AK156" s="25">
        <f>IF(B156="","",COUNTIFS($Y$5:$Y$1204,"&gt;"&amp;Y156)+COUNTIFS($Y$5:Y156,Y156))</f>
        <v>0</v>
      </c>
      <c r="AL156" s="39">
        <f>IF(B156="","",IF(H156="","Add - what kind of sale is this?",IF(IF(V156&lt;=0,P156="",FALSE),"Check - no price found for this item",IF(F156="","Assign - nobody credited",IF(AH156&gt;0.004,"Unpaid - balance outstanding",IF(AC156&lt;0,"Loss - sold below cost",IF(X156&gt;W156*0.5,"Check - more than half off","OK")))))))</f>
        <v>0</v>
      </c>
    </row>
    <row r="157" spans="1:38">
      <c r="A157" s="28">
        <f>IF(B157="","",SalePrefix&amp;TEXT(ROW()-4,"0000"))</f>
        <v>0</v>
      </c>
      <c r="E157" s="15">
        <f>IF(D157="","",IFERROR(INDEX(Clients!$B$5:$B$504,MATCH(D157,Clients!$A$5:$A$504,0)),"Walk-in"))</f>
        <v>0</v>
      </c>
      <c r="G157" s="15">
        <f>IF(F157="","",IFERROR(INDEX(Staff!$B$5:$B$44,MATCH(F157,Staff!$A$5:$A$44,0)),"House"))</f>
        <v>0</v>
      </c>
      <c r="R157" s="15">
        <f>IF(B157="","",TEXT(B157,"yyyy-mm"))</f>
        <v>0</v>
      </c>
      <c r="S157" s="25">
        <f>IF(B157="","",WEEKNUM(B157,2))</f>
        <v>0</v>
      </c>
      <c r="T157" s="37">
        <f>IF(B157="","",IF(K157="",1,K157))</f>
        <v>0</v>
      </c>
      <c r="U157" s="15">
        <f>IF(B157="","",IF(J157&lt;&gt;"",J157,IF(H157="Retail",IFERROR(INDEX(Inventory!$B$5:$B$304,MATCH(I157,Inventory!$A$5:$A$304,0))&amp;"","Not in Inventory"),IFERROR(INDEX(Services!$B$5:$B$204,MATCH(I157,Services!$A$5:$A$204,0))&amp;"","Not in Services"))))</f>
        <v>0</v>
      </c>
      <c r="V157" s="26">
        <f>IF(B157="","",IF(L157&lt;&gt;"",L157,IF(H157="Retail",IFERROR(INDEX(Inventory!$I$5:$I$304,MATCH(I157,Inventory!$A$5:$A$304,0))*1,0),IFERROR(INDEX(Services!$G$5:$G$204,MATCH(I157,Services!$A$5:$A$204,0))*1,0))))</f>
        <v>0</v>
      </c>
      <c r="W157" s="26">
        <f>IF(B157="","",ROUND(T157*V157,2))</f>
        <v>0</v>
      </c>
      <c r="X157" s="26">
        <f>IF(B157="","",ROUND(IF(M157="",0,W157*M157)+IF(N157="",0,N157),2))</f>
        <v>0</v>
      </c>
      <c r="Y157" s="26">
        <f>IF(B157="","",ROUND(W157-X157-IF(P157="",0,P157),2))</f>
        <v>0</v>
      </c>
      <c r="Z157" s="26">
        <f>IF(B157="","",IF(H157="Retail",IF(TaxOnRetail="Yes",ROUND(Y157*TaxRate,2),0),IF(H157="Service",IF(TaxOnServices="Yes",ROUND(Y157*TaxRate,2),0),0)))</f>
        <v>0</v>
      </c>
      <c r="AA157" s="26">
        <f>IF(B157="","",ROUND(Y157+Z157,2))</f>
        <v>0</v>
      </c>
      <c r="AB157" s="26">
        <f>IF(B157="","",ROUND(T157*IF(H157="Retail",IFERROR(INDEX(Inventory!$H$5:$H$304,MATCH(I157,Inventory!$A$5:$A$304,0))*1,0),IFERROR(INDEX(Services!$Q$5:$Q$204,MATCH(I157,Services!$A$5:$A$204,0))*1,0)),2))</f>
        <v>0</v>
      </c>
      <c r="AC157" s="26">
        <f>IF(B157="","",ROUND(Y157-AB157,2))</f>
        <v>0</v>
      </c>
      <c r="AD157" s="38">
        <f>IF(B157="","",IF(C157="","No",IF(COUNTIFS($C$5:C157,C157)=1,"Yes","No")))</f>
        <v>0</v>
      </c>
      <c r="AE157" s="26">
        <f>IF(B157="","",ROUND(SUMIFS(Payments!$G$5:$G$1204,Payments!$H$5:$H$1204,A157,Payments!$Q$5:$Q$1204,"Yes"),2))</f>
        <v>0</v>
      </c>
      <c r="AF157" s="26">
        <f>IF(B157="","",IF(AD157="No",0,ROUND(SUMIFS(Payments!$G$5:$G$1204,Payments!$I$5:$I$1204,C157,Payments!$H$5:$H$1204,"",Payments!$Q$5:$Q$1204,"Yes"),2)))</f>
        <v>0</v>
      </c>
      <c r="AG157" s="26">
        <f>IF(B157="","",ROUND(AE157+AF157,2))</f>
        <v>0</v>
      </c>
      <c r="AH157" s="26">
        <f>IF(B157="","",ROUND(AA157-AG157,2))</f>
        <v>0</v>
      </c>
      <c r="AI157" s="39">
        <f>IF(B157="","",IF(AA157&lt;=0,"No charge",IF(AH157&lt;=0.004,"Paid",IF(AG157&lt;=0.004,"Unpaid","Part paid"))))</f>
        <v>0</v>
      </c>
      <c r="AJ157" s="38">
        <f>IF(B157="","",IF(H157&lt;&gt;"Service","",IF(D157="","No",IF(COUNTIFS($D$5:$D$1204,D157,$B$5:$B$1204,B157,$H$5:$H$1204,"Retail")&gt;0,"Yes","No"))))</f>
        <v>0</v>
      </c>
      <c r="AK157" s="25">
        <f>IF(B157="","",COUNTIFS($Y$5:$Y$1204,"&gt;"&amp;Y157)+COUNTIFS($Y$5:Y157,Y157))</f>
        <v>0</v>
      </c>
      <c r="AL157" s="39">
        <f>IF(B157="","",IF(H157="","Add - what kind of sale is this?",IF(IF(V157&lt;=0,P157="",FALSE),"Check - no price found for this item",IF(F157="","Assign - nobody credited",IF(AH157&gt;0.004,"Unpaid - balance outstanding",IF(AC157&lt;0,"Loss - sold below cost",IF(X157&gt;W157*0.5,"Check - more than half off","OK")))))))</f>
        <v>0</v>
      </c>
    </row>
    <row r="158" spans="1:38">
      <c r="A158" s="28">
        <f>IF(B158="","",SalePrefix&amp;TEXT(ROW()-4,"0000"))</f>
        <v>0</v>
      </c>
      <c r="E158" s="15">
        <f>IF(D158="","",IFERROR(INDEX(Clients!$B$5:$B$504,MATCH(D158,Clients!$A$5:$A$504,0)),"Walk-in"))</f>
        <v>0</v>
      </c>
      <c r="G158" s="15">
        <f>IF(F158="","",IFERROR(INDEX(Staff!$B$5:$B$44,MATCH(F158,Staff!$A$5:$A$44,0)),"House"))</f>
        <v>0</v>
      </c>
      <c r="R158" s="15">
        <f>IF(B158="","",TEXT(B158,"yyyy-mm"))</f>
        <v>0</v>
      </c>
      <c r="S158" s="25">
        <f>IF(B158="","",WEEKNUM(B158,2))</f>
        <v>0</v>
      </c>
      <c r="T158" s="37">
        <f>IF(B158="","",IF(K158="",1,K158))</f>
        <v>0</v>
      </c>
      <c r="U158" s="15">
        <f>IF(B158="","",IF(J158&lt;&gt;"",J158,IF(H158="Retail",IFERROR(INDEX(Inventory!$B$5:$B$304,MATCH(I158,Inventory!$A$5:$A$304,0))&amp;"","Not in Inventory"),IFERROR(INDEX(Services!$B$5:$B$204,MATCH(I158,Services!$A$5:$A$204,0))&amp;"","Not in Services"))))</f>
        <v>0</v>
      </c>
      <c r="V158" s="26">
        <f>IF(B158="","",IF(L158&lt;&gt;"",L158,IF(H158="Retail",IFERROR(INDEX(Inventory!$I$5:$I$304,MATCH(I158,Inventory!$A$5:$A$304,0))*1,0),IFERROR(INDEX(Services!$G$5:$G$204,MATCH(I158,Services!$A$5:$A$204,0))*1,0))))</f>
        <v>0</v>
      </c>
      <c r="W158" s="26">
        <f>IF(B158="","",ROUND(T158*V158,2))</f>
        <v>0</v>
      </c>
      <c r="X158" s="26">
        <f>IF(B158="","",ROUND(IF(M158="",0,W158*M158)+IF(N158="",0,N158),2))</f>
        <v>0</v>
      </c>
      <c r="Y158" s="26">
        <f>IF(B158="","",ROUND(W158-X158-IF(P158="",0,P158),2))</f>
        <v>0</v>
      </c>
      <c r="Z158" s="26">
        <f>IF(B158="","",IF(H158="Retail",IF(TaxOnRetail="Yes",ROUND(Y158*TaxRate,2),0),IF(H158="Service",IF(TaxOnServices="Yes",ROUND(Y158*TaxRate,2),0),0)))</f>
        <v>0</v>
      </c>
      <c r="AA158" s="26">
        <f>IF(B158="","",ROUND(Y158+Z158,2))</f>
        <v>0</v>
      </c>
      <c r="AB158" s="26">
        <f>IF(B158="","",ROUND(T158*IF(H158="Retail",IFERROR(INDEX(Inventory!$H$5:$H$304,MATCH(I158,Inventory!$A$5:$A$304,0))*1,0),IFERROR(INDEX(Services!$Q$5:$Q$204,MATCH(I158,Services!$A$5:$A$204,0))*1,0)),2))</f>
        <v>0</v>
      </c>
      <c r="AC158" s="26">
        <f>IF(B158="","",ROUND(Y158-AB158,2))</f>
        <v>0</v>
      </c>
      <c r="AD158" s="38">
        <f>IF(B158="","",IF(C158="","No",IF(COUNTIFS($C$5:C158,C158)=1,"Yes","No")))</f>
        <v>0</v>
      </c>
      <c r="AE158" s="26">
        <f>IF(B158="","",ROUND(SUMIFS(Payments!$G$5:$G$1204,Payments!$H$5:$H$1204,A158,Payments!$Q$5:$Q$1204,"Yes"),2))</f>
        <v>0</v>
      </c>
      <c r="AF158" s="26">
        <f>IF(B158="","",IF(AD158="No",0,ROUND(SUMIFS(Payments!$G$5:$G$1204,Payments!$I$5:$I$1204,C158,Payments!$H$5:$H$1204,"",Payments!$Q$5:$Q$1204,"Yes"),2)))</f>
        <v>0</v>
      </c>
      <c r="AG158" s="26">
        <f>IF(B158="","",ROUND(AE158+AF158,2))</f>
        <v>0</v>
      </c>
      <c r="AH158" s="26">
        <f>IF(B158="","",ROUND(AA158-AG158,2))</f>
        <v>0</v>
      </c>
      <c r="AI158" s="39">
        <f>IF(B158="","",IF(AA158&lt;=0,"No charge",IF(AH158&lt;=0.004,"Paid",IF(AG158&lt;=0.004,"Unpaid","Part paid"))))</f>
        <v>0</v>
      </c>
      <c r="AJ158" s="38">
        <f>IF(B158="","",IF(H158&lt;&gt;"Service","",IF(D158="","No",IF(COUNTIFS($D$5:$D$1204,D158,$B$5:$B$1204,B158,$H$5:$H$1204,"Retail")&gt;0,"Yes","No"))))</f>
        <v>0</v>
      </c>
      <c r="AK158" s="25">
        <f>IF(B158="","",COUNTIFS($Y$5:$Y$1204,"&gt;"&amp;Y158)+COUNTIFS($Y$5:Y158,Y158))</f>
        <v>0</v>
      </c>
      <c r="AL158" s="39">
        <f>IF(B158="","",IF(H158="","Add - what kind of sale is this?",IF(IF(V158&lt;=0,P158="",FALSE),"Check - no price found for this item",IF(F158="","Assign - nobody credited",IF(AH158&gt;0.004,"Unpaid - balance outstanding",IF(AC158&lt;0,"Loss - sold below cost",IF(X158&gt;W158*0.5,"Check - more than half off","OK")))))))</f>
        <v>0</v>
      </c>
    </row>
    <row r="159" spans="1:38">
      <c r="A159" s="28">
        <f>IF(B159="","",SalePrefix&amp;TEXT(ROW()-4,"0000"))</f>
        <v>0</v>
      </c>
      <c r="E159" s="15">
        <f>IF(D159="","",IFERROR(INDEX(Clients!$B$5:$B$504,MATCH(D159,Clients!$A$5:$A$504,0)),"Walk-in"))</f>
        <v>0</v>
      </c>
      <c r="G159" s="15">
        <f>IF(F159="","",IFERROR(INDEX(Staff!$B$5:$B$44,MATCH(F159,Staff!$A$5:$A$44,0)),"House"))</f>
        <v>0</v>
      </c>
      <c r="R159" s="15">
        <f>IF(B159="","",TEXT(B159,"yyyy-mm"))</f>
        <v>0</v>
      </c>
      <c r="S159" s="25">
        <f>IF(B159="","",WEEKNUM(B159,2))</f>
        <v>0</v>
      </c>
      <c r="T159" s="37">
        <f>IF(B159="","",IF(K159="",1,K159))</f>
        <v>0</v>
      </c>
      <c r="U159" s="15">
        <f>IF(B159="","",IF(J159&lt;&gt;"",J159,IF(H159="Retail",IFERROR(INDEX(Inventory!$B$5:$B$304,MATCH(I159,Inventory!$A$5:$A$304,0))&amp;"","Not in Inventory"),IFERROR(INDEX(Services!$B$5:$B$204,MATCH(I159,Services!$A$5:$A$204,0))&amp;"","Not in Services"))))</f>
        <v>0</v>
      </c>
      <c r="V159" s="26">
        <f>IF(B159="","",IF(L159&lt;&gt;"",L159,IF(H159="Retail",IFERROR(INDEX(Inventory!$I$5:$I$304,MATCH(I159,Inventory!$A$5:$A$304,0))*1,0),IFERROR(INDEX(Services!$G$5:$G$204,MATCH(I159,Services!$A$5:$A$204,0))*1,0))))</f>
        <v>0</v>
      </c>
      <c r="W159" s="26">
        <f>IF(B159="","",ROUND(T159*V159,2))</f>
        <v>0</v>
      </c>
      <c r="X159" s="26">
        <f>IF(B159="","",ROUND(IF(M159="",0,W159*M159)+IF(N159="",0,N159),2))</f>
        <v>0</v>
      </c>
      <c r="Y159" s="26">
        <f>IF(B159="","",ROUND(W159-X159-IF(P159="",0,P159),2))</f>
        <v>0</v>
      </c>
      <c r="Z159" s="26">
        <f>IF(B159="","",IF(H159="Retail",IF(TaxOnRetail="Yes",ROUND(Y159*TaxRate,2),0),IF(H159="Service",IF(TaxOnServices="Yes",ROUND(Y159*TaxRate,2),0),0)))</f>
        <v>0</v>
      </c>
      <c r="AA159" s="26">
        <f>IF(B159="","",ROUND(Y159+Z159,2))</f>
        <v>0</v>
      </c>
      <c r="AB159" s="26">
        <f>IF(B159="","",ROUND(T159*IF(H159="Retail",IFERROR(INDEX(Inventory!$H$5:$H$304,MATCH(I159,Inventory!$A$5:$A$304,0))*1,0),IFERROR(INDEX(Services!$Q$5:$Q$204,MATCH(I159,Services!$A$5:$A$204,0))*1,0)),2))</f>
        <v>0</v>
      </c>
      <c r="AC159" s="26">
        <f>IF(B159="","",ROUND(Y159-AB159,2))</f>
        <v>0</v>
      </c>
      <c r="AD159" s="38">
        <f>IF(B159="","",IF(C159="","No",IF(COUNTIFS($C$5:C159,C159)=1,"Yes","No")))</f>
        <v>0</v>
      </c>
      <c r="AE159" s="26">
        <f>IF(B159="","",ROUND(SUMIFS(Payments!$G$5:$G$1204,Payments!$H$5:$H$1204,A159,Payments!$Q$5:$Q$1204,"Yes"),2))</f>
        <v>0</v>
      </c>
      <c r="AF159" s="26">
        <f>IF(B159="","",IF(AD159="No",0,ROUND(SUMIFS(Payments!$G$5:$G$1204,Payments!$I$5:$I$1204,C159,Payments!$H$5:$H$1204,"",Payments!$Q$5:$Q$1204,"Yes"),2)))</f>
        <v>0</v>
      </c>
      <c r="AG159" s="26">
        <f>IF(B159="","",ROUND(AE159+AF159,2))</f>
        <v>0</v>
      </c>
      <c r="AH159" s="26">
        <f>IF(B159="","",ROUND(AA159-AG159,2))</f>
        <v>0</v>
      </c>
      <c r="AI159" s="39">
        <f>IF(B159="","",IF(AA159&lt;=0,"No charge",IF(AH159&lt;=0.004,"Paid",IF(AG159&lt;=0.004,"Unpaid","Part paid"))))</f>
        <v>0</v>
      </c>
      <c r="AJ159" s="38">
        <f>IF(B159="","",IF(H159&lt;&gt;"Service","",IF(D159="","No",IF(COUNTIFS($D$5:$D$1204,D159,$B$5:$B$1204,B159,$H$5:$H$1204,"Retail")&gt;0,"Yes","No"))))</f>
        <v>0</v>
      </c>
      <c r="AK159" s="25">
        <f>IF(B159="","",COUNTIFS($Y$5:$Y$1204,"&gt;"&amp;Y159)+COUNTIFS($Y$5:Y159,Y159))</f>
        <v>0</v>
      </c>
      <c r="AL159" s="39">
        <f>IF(B159="","",IF(H159="","Add - what kind of sale is this?",IF(IF(V159&lt;=0,P159="",FALSE),"Check - no price found for this item",IF(F159="","Assign - nobody credited",IF(AH159&gt;0.004,"Unpaid - balance outstanding",IF(AC159&lt;0,"Loss - sold below cost",IF(X159&gt;W159*0.5,"Check - more than half off","OK")))))))</f>
        <v>0</v>
      </c>
    </row>
    <row r="160" spans="1:38">
      <c r="A160" s="28">
        <f>IF(B160="","",SalePrefix&amp;TEXT(ROW()-4,"0000"))</f>
        <v>0</v>
      </c>
      <c r="E160" s="15">
        <f>IF(D160="","",IFERROR(INDEX(Clients!$B$5:$B$504,MATCH(D160,Clients!$A$5:$A$504,0)),"Walk-in"))</f>
        <v>0</v>
      </c>
      <c r="G160" s="15">
        <f>IF(F160="","",IFERROR(INDEX(Staff!$B$5:$B$44,MATCH(F160,Staff!$A$5:$A$44,0)),"House"))</f>
        <v>0</v>
      </c>
      <c r="R160" s="15">
        <f>IF(B160="","",TEXT(B160,"yyyy-mm"))</f>
        <v>0</v>
      </c>
      <c r="S160" s="25">
        <f>IF(B160="","",WEEKNUM(B160,2))</f>
        <v>0</v>
      </c>
      <c r="T160" s="37">
        <f>IF(B160="","",IF(K160="",1,K160))</f>
        <v>0</v>
      </c>
      <c r="U160" s="15">
        <f>IF(B160="","",IF(J160&lt;&gt;"",J160,IF(H160="Retail",IFERROR(INDEX(Inventory!$B$5:$B$304,MATCH(I160,Inventory!$A$5:$A$304,0))&amp;"","Not in Inventory"),IFERROR(INDEX(Services!$B$5:$B$204,MATCH(I160,Services!$A$5:$A$204,0))&amp;"","Not in Services"))))</f>
        <v>0</v>
      </c>
      <c r="V160" s="26">
        <f>IF(B160="","",IF(L160&lt;&gt;"",L160,IF(H160="Retail",IFERROR(INDEX(Inventory!$I$5:$I$304,MATCH(I160,Inventory!$A$5:$A$304,0))*1,0),IFERROR(INDEX(Services!$G$5:$G$204,MATCH(I160,Services!$A$5:$A$204,0))*1,0))))</f>
        <v>0</v>
      </c>
      <c r="W160" s="26">
        <f>IF(B160="","",ROUND(T160*V160,2))</f>
        <v>0</v>
      </c>
      <c r="X160" s="26">
        <f>IF(B160="","",ROUND(IF(M160="",0,W160*M160)+IF(N160="",0,N160),2))</f>
        <v>0</v>
      </c>
      <c r="Y160" s="26">
        <f>IF(B160="","",ROUND(W160-X160-IF(P160="",0,P160),2))</f>
        <v>0</v>
      </c>
      <c r="Z160" s="26">
        <f>IF(B160="","",IF(H160="Retail",IF(TaxOnRetail="Yes",ROUND(Y160*TaxRate,2),0),IF(H160="Service",IF(TaxOnServices="Yes",ROUND(Y160*TaxRate,2),0),0)))</f>
        <v>0</v>
      </c>
      <c r="AA160" s="26">
        <f>IF(B160="","",ROUND(Y160+Z160,2))</f>
        <v>0</v>
      </c>
      <c r="AB160" s="26">
        <f>IF(B160="","",ROUND(T160*IF(H160="Retail",IFERROR(INDEX(Inventory!$H$5:$H$304,MATCH(I160,Inventory!$A$5:$A$304,0))*1,0),IFERROR(INDEX(Services!$Q$5:$Q$204,MATCH(I160,Services!$A$5:$A$204,0))*1,0)),2))</f>
        <v>0</v>
      </c>
      <c r="AC160" s="26">
        <f>IF(B160="","",ROUND(Y160-AB160,2))</f>
        <v>0</v>
      </c>
      <c r="AD160" s="38">
        <f>IF(B160="","",IF(C160="","No",IF(COUNTIFS($C$5:C160,C160)=1,"Yes","No")))</f>
        <v>0</v>
      </c>
      <c r="AE160" s="26">
        <f>IF(B160="","",ROUND(SUMIFS(Payments!$G$5:$G$1204,Payments!$H$5:$H$1204,A160,Payments!$Q$5:$Q$1204,"Yes"),2))</f>
        <v>0</v>
      </c>
      <c r="AF160" s="26">
        <f>IF(B160="","",IF(AD160="No",0,ROUND(SUMIFS(Payments!$G$5:$G$1204,Payments!$I$5:$I$1204,C160,Payments!$H$5:$H$1204,"",Payments!$Q$5:$Q$1204,"Yes"),2)))</f>
        <v>0</v>
      </c>
      <c r="AG160" s="26">
        <f>IF(B160="","",ROUND(AE160+AF160,2))</f>
        <v>0</v>
      </c>
      <c r="AH160" s="26">
        <f>IF(B160="","",ROUND(AA160-AG160,2))</f>
        <v>0</v>
      </c>
      <c r="AI160" s="39">
        <f>IF(B160="","",IF(AA160&lt;=0,"No charge",IF(AH160&lt;=0.004,"Paid",IF(AG160&lt;=0.004,"Unpaid","Part paid"))))</f>
        <v>0</v>
      </c>
      <c r="AJ160" s="38">
        <f>IF(B160="","",IF(H160&lt;&gt;"Service","",IF(D160="","No",IF(COUNTIFS($D$5:$D$1204,D160,$B$5:$B$1204,B160,$H$5:$H$1204,"Retail")&gt;0,"Yes","No"))))</f>
        <v>0</v>
      </c>
      <c r="AK160" s="25">
        <f>IF(B160="","",COUNTIFS($Y$5:$Y$1204,"&gt;"&amp;Y160)+COUNTIFS($Y$5:Y160,Y160))</f>
        <v>0</v>
      </c>
      <c r="AL160" s="39">
        <f>IF(B160="","",IF(H160="","Add - what kind of sale is this?",IF(IF(V160&lt;=0,P160="",FALSE),"Check - no price found for this item",IF(F160="","Assign - nobody credited",IF(AH160&gt;0.004,"Unpaid - balance outstanding",IF(AC160&lt;0,"Loss - sold below cost",IF(X160&gt;W160*0.5,"Check - more than half off","OK")))))))</f>
        <v>0</v>
      </c>
    </row>
    <row r="161" spans="1:38">
      <c r="A161" s="28">
        <f>IF(B161="","",SalePrefix&amp;TEXT(ROW()-4,"0000"))</f>
        <v>0</v>
      </c>
      <c r="E161" s="15">
        <f>IF(D161="","",IFERROR(INDEX(Clients!$B$5:$B$504,MATCH(D161,Clients!$A$5:$A$504,0)),"Walk-in"))</f>
        <v>0</v>
      </c>
      <c r="G161" s="15">
        <f>IF(F161="","",IFERROR(INDEX(Staff!$B$5:$B$44,MATCH(F161,Staff!$A$5:$A$44,0)),"House"))</f>
        <v>0</v>
      </c>
      <c r="R161" s="15">
        <f>IF(B161="","",TEXT(B161,"yyyy-mm"))</f>
        <v>0</v>
      </c>
      <c r="S161" s="25">
        <f>IF(B161="","",WEEKNUM(B161,2))</f>
        <v>0</v>
      </c>
      <c r="T161" s="37">
        <f>IF(B161="","",IF(K161="",1,K161))</f>
        <v>0</v>
      </c>
      <c r="U161" s="15">
        <f>IF(B161="","",IF(J161&lt;&gt;"",J161,IF(H161="Retail",IFERROR(INDEX(Inventory!$B$5:$B$304,MATCH(I161,Inventory!$A$5:$A$304,0))&amp;"","Not in Inventory"),IFERROR(INDEX(Services!$B$5:$B$204,MATCH(I161,Services!$A$5:$A$204,0))&amp;"","Not in Services"))))</f>
        <v>0</v>
      </c>
      <c r="V161" s="26">
        <f>IF(B161="","",IF(L161&lt;&gt;"",L161,IF(H161="Retail",IFERROR(INDEX(Inventory!$I$5:$I$304,MATCH(I161,Inventory!$A$5:$A$304,0))*1,0),IFERROR(INDEX(Services!$G$5:$G$204,MATCH(I161,Services!$A$5:$A$204,0))*1,0))))</f>
        <v>0</v>
      </c>
      <c r="W161" s="26">
        <f>IF(B161="","",ROUND(T161*V161,2))</f>
        <v>0</v>
      </c>
      <c r="X161" s="26">
        <f>IF(B161="","",ROUND(IF(M161="",0,W161*M161)+IF(N161="",0,N161),2))</f>
        <v>0</v>
      </c>
      <c r="Y161" s="26">
        <f>IF(B161="","",ROUND(W161-X161-IF(P161="",0,P161),2))</f>
        <v>0</v>
      </c>
      <c r="Z161" s="26">
        <f>IF(B161="","",IF(H161="Retail",IF(TaxOnRetail="Yes",ROUND(Y161*TaxRate,2),0),IF(H161="Service",IF(TaxOnServices="Yes",ROUND(Y161*TaxRate,2),0),0)))</f>
        <v>0</v>
      </c>
      <c r="AA161" s="26">
        <f>IF(B161="","",ROUND(Y161+Z161,2))</f>
        <v>0</v>
      </c>
      <c r="AB161" s="26">
        <f>IF(B161="","",ROUND(T161*IF(H161="Retail",IFERROR(INDEX(Inventory!$H$5:$H$304,MATCH(I161,Inventory!$A$5:$A$304,0))*1,0),IFERROR(INDEX(Services!$Q$5:$Q$204,MATCH(I161,Services!$A$5:$A$204,0))*1,0)),2))</f>
        <v>0</v>
      </c>
      <c r="AC161" s="26">
        <f>IF(B161="","",ROUND(Y161-AB161,2))</f>
        <v>0</v>
      </c>
      <c r="AD161" s="38">
        <f>IF(B161="","",IF(C161="","No",IF(COUNTIFS($C$5:C161,C161)=1,"Yes","No")))</f>
        <v>0</v>
      </c>
      <c r="AE161" s="26">
        <f>IF(B161="","",ROUND(SUMIFS(Payments!$G$5:$G$1204,Payments!$H$5:$H$1204,A161,Payments!$Q$5:$Q$1204,"Yes"),2))</f>
        <v>0</v>
      </c>
      <c r="AF161" s="26">
        <f>IF(B161="","",IF(AD161="No",0,ROUND(SUMIFS(Payments!$G$5:$G$1204,Payments!$I$5:$I$1204,C161,Payments!$H$5:$H$1204,"",Payments!$Q$5:$Q$1204,"Yes"),2)))</f>
        <v>0</v>
      </c>
      <c r="AG161" s="26">
        <f>IF(B161="","",ROUND(AE161+AF161,2))</f>
        <v>0</v>
      </c>
      <c r="AH161" s="26">
        <f>IF(B161="","",ROUND(AA161-AG161,2))</f>
        <v>0</v>
      </c>
      <c r="AI161" s="39">
        <f>IF(B161="","",IF(AA161&lt;=0,"No charge",IF(AH161&lt;=0.004,"Paid",IF(AG161&lt;=0.004,"Unpaid","Part paid"))))</f>
        <v>0</v>
      </c>
      <c r="AJ161" s="38">
        <f>IF(B161="","",IF(H161&lt;&gt;"Service","",IF(D161="","No",IF(COUNTIFS($D$5:$D$1204,D161,$B$5:$B$1204,B161,$H$5:$H$1204,"Retail")&gt;0,"Yes","No"))))</f>
        <v>0</v>
      </c>
      <c r="AK161" s="25">
        <f>IF(B161="","",COUNTIFS($Y$5:$Y$1204,"&gt;"&amp;Y161)+COUNTIFS($Y$5:Y161,Y161))</f>
        <v>0</v>
      </c>
      <c r="AL161" s="39">
        <f>IF(B161="","",IF(H161="","Add - what kind of sale is this?",IF(IF(V161&lt;=0,P161="",FALSE),"Check - no price found for this item",IF(F161="","Assign - nobody credited",IF(AH161&gt;0.004,"Unpaid - balance outstanding",IF(AC161&lt;0,"Loss - sold below cost",IF(X161&gt;W161*0.5,"Check - more than half off","OK")))))))</f>
        <v>0</v>
      </c>
    </row>
    <row r="162" spans="1:38">
      <c r="A162" s="28">
        <f>IF(B162="","",SalePrefix&amp;TEXT(ROW()-4,"0000"))</f>
        <v>0</v>
      </c>
      <c r="E162" s="15">
        <f>IF(D162="","",IFERROR(INDEX(Clients!$B$5:$B$504,MATCH(D162,Clients!$A$5:$A$504,0)),"Walk-in"))</f>
        <v>0</v>
      </c>
      <c r="G162" s="15">
        <f>IF(F162="","",IFERROR(INDEX(Staff!$B$5:$B$44,MATCH(F162,Staff!$A$5:$A$44,0)),"House"))</f>
        <v>0</v>
      </c>
      <c r="R162" s="15">
        <f>IF(B162="","",TEXT(B162,"yyyy-mm"))</f>
        <v>0</v>
      </c>
      <c r="S162" s="25">
        <f>IF(B162="","",WEEKNUM(B162,2))</f>
        <v>0</v>
      </c>
      <c r="T162" s="37">
        <f>IF(B162="","",IF(K162="",1,K162))</f>
        <v>0</v>
      </c>
      <c r="U162" s="15">
        <f>IF(B162="","",IF(J162&lt;&gt;"",J162,IF(H162="Retail",IFERROR(INDEX(Inventory!$B$5:$B$304,MATCH(I162,Inventory!$A$5:$A$304,0))&amp;"","Not in Inventory"),IFERROR(INDEX(Services!$B$5:$B$204,MATCH(I162,Services!$A$5:$A$204,0))&amp;"","Not in Services"))))</f>
        <v>0</v>
      </c>
      <c r="V162" s="26">
        <f>IF(B162="","",IF(L162&lt;&gt;"",L162,IF(H162="Retail",IFERROR(INDEX(Inventory!$I$5:$I$304,MATCH(I162,Inventory!$A$5:$A$304,0))*1,0),IFERROR(INDEX(Services!$G$5:$G$204,MATCH(I162,Services!$A$5:$A$204,0))*1,0))))</f>
        <v>0</v>
      </c>
      <c r="W162" s="26">
        <f>IF(B162="","",ROUND(T162*V162,2))</f>
        <v>0</v>
      </c>
      <c r="X162" s="26">
        <f>IF(B162="","",ROUND(IF(M162="",0,W162*M162)+IF(N162="",0,N162),2))</f>
        <v>0</v>
      </c>
      <c r="Y162" s="26">
        <f>IF(B162="","",ROUND(W162-X162-IF(P162="",0,P162),2))</f>
        <v>0</v>
      </c>
      <c r="Z162" s="26">
        <f>IF(B162="","",IF(H162="Retail",IF(TaxOnRetail="Yes",ROUND(Y162*TaxRate,2),0),IF(H162="Service",IF(TaxOnServices="Yes",ROUND(Y162*TaxRate,2),0),0)))</f>
        <v>0</v>
      </c>
      <c r="AA162" s="26">
        <f>IF(B162="","",ROUND(Y162+Z162,2))</f>
        <v>0</v>
      </c>
      <c r="AB162" s="26">
        <f>IF(B162="","",ROUND(T162*IF(H162="Retail",IFERROR(INDEX(Inventory!$H$5:$H$304,MATCH(I162,Inventory!$A$5:$A$304,0))*1,0),IFERROR(INDEX(Services!$Q$5:$Q$204,MATCH(I162,Services!$A$5:$A$204,0))*1,0)),2))</f>
        <v>0</v>
      </c>
      <c r="AC162" s="26">
        <f>IF(B162="","",ROUND(Y162-AB162,2))</f>
        <v>0</v>
      </c>
      <c r="AD162" s="38">
        <f>IF(B162="","",IF(C162="","No",IF(COUNTIFS($C$5:C162,C162)=1,"Yes","No")))</f>
        <v>0</v>
      </c>
      <c r="AE162" s="26">
        <f>IF(B162="","",ROUND(SUMIFS(Payments!$G$5:$G$1204,Payments!$H$5:$H$1204,A162,Payments!$Q$5:$Q$1204,"Yes"),2))</f>
        <v>0</v>
      </c>
      <c r="AF162" s="26">
        <f>IF(B162="","",IF(AD162="No",0,ROUND(SUMIFS(Payments!$G$5:$G$1204,Payments!$I$5:$I$1204,C162,Payments!$H$5:$H$1204,"",Payments!$Q$5:$Q$1204,"Yes"),2)))</f>
        <v>0</v>
      </c>
      <c r="AG162" s="26">
        <f>IF(B162="","",ROUND(AE162+AF162,2))</f>
        <v>0</v>
      </c>
      <c r="AH162" s="26">
        <f>IF(B162="","",ROUND(AA162-AG162,2))</f>
        <v>0</v>
      </c>
      <c r="AI162" s="39">
        <f>IF(B162="","",IF(AA162&lt;=0,"No charge",IF(AH162&lt;=0.004,"Paid",IF(AG162&lt;=0.004,"Unpaid","Part paid"))))</f>
        <v>0</v>
      </c>
      <c r="AJ162" s="38">
        <f>IF(B162="","",IF(H162&lt;&gt;"Service","",IF(D162="","No",IF(COUNTIFS($D$5:$D$1204,D162,$B$5:$B$1204,B162,$H$5:$H$1204,"Retail")&gt;0,"Yes","No"))))</f>
        <v>0</v>
      </c>
      <c r="AK162" s="25">
        <f>IF(B162="","",COUNTIFS($Y$5:$Y$1204,"&gt;"&amp;Y162)+COUNTIFS($Y$5:Y162,Y162))</f>
        <v>0</v>
      </c>
      <c r="AL162" s="39">
        <f>IF(B162="","",IF(H162="","Add - what kind of sale is this?",IF(IF(V162&lt;=0,P162="",FALSE),"Check - no price found for this item",IF(F162="","Assign - nobody credited",IF(AH162&gt;0.004,"Unpaid - balance outstanding",IF(AC162&lt;0,"Loss - sold below cost",IF(X162&gt;W162*0.5,"Check - more than half off","OK")))))))</f>
        <v>0</v>
      </c>
    </row>
    <row r="163" spans="1:38">
      <c r="A163" s="28">
        <f>IF(B163="","",SalePrefix&amp;TEXT(ROW()-4,"0000"))</f>
        <v>0</v>
      </c>
      <c r="E163" s="15">
        <f>IF(D163="","",IFERROR(INDEX(Clients!$B$5:$B$504,MATCH(D163,Clients!$A$5:$A$504,0)),"Walk-in"))</f>
        <v>0</v>
      </c>
      <c r="G163" s="15">
        <f>IF(F163="","",IFERROR(INDEX(Staff!$B$5:$B$44,MATCH(F163,Staff!$A$5:$A$44,0)),"House"))</f>
        <v>0</v>
      </c>
      <c r="R163" s="15">
        <f>IF(B163="","",TEXT(B163,"yyyy-mm"))</f>
        <v>0</v>
      </c>
      <c r="S163" s="25">
        <f>IF(B163="","",WEEKNUM(B163,2))</f>
        <v>0</v>
      </c>
      <c r="T163" s="37">
        <f>IF(B163="","",IF(K163="",1,K163))</f>
        <v>0</v>
      </c>
      <c r="U163" s="15">
        <f>IF(B163="","",IF(J163&lt;&gt;"",J163,IF(H163="Retail",IFERROR(INDEX(Inventory!$B$5:$B$304,MATCH(I163,Inventory!$A$5:$A$304,0))&amp;"","Not in Inventory"),IFERROR(INDEX(Services!$B$5:$B$204,MATCH(I163,Services!$A$5:$A$204,0))&amp;"","Not in Services"))))</f>
        <v>0</v>
      </c>
      <c r="V163" s="26">
        <f>IF(B163="","",IF(L163&lt;&gt;"",L163,IF(H163="Retail",IFERROR(INDEX(Inventory!$I$5:$I$304,MATCH(I163,Inventory!$A$5:$A$304,0))*1,0),IFERROR(INDEX(Services!$G$5:$G$204,MATCH(I163,Services!$A$5:$A$204,0))*1,0))))</f>
        <v>0</v>
      </c>
      <c r="W163" s="26">
        <f>IF(B163="","",ROUND(T163*V163,2))</f>
        <v>0</v>
      </c>
      <c r="X163" s="26">
        <f>IF(B163="","",ROUND(IF(M163="",0,W163*M163)+IF(N163="",0,N163),2))</f>
        <v>0</v>
      </c>
      <c r="Y163" s="26">
        <f>IF(B163="","",ROUND(W163-X163-IF(P163="",0,P163),2))</f>
        <v>0</v>
      </c>
      <c r="Z163" s="26">
        <f>IF(B163="","",IF(H163="Retail",IF(TaxOnRetail="Yes",ROUND(Y163*TaxRate,2),0),IF(H163="Service",IF(TaxOnServices="Yes",ROUND(Y163*TaxRate,2),0),0)))</f>
        <v>0</v>
      </c>
      <c r="AA163" s="26">
        <f>IF(B163="","",ROUND(Y163+Z163,2))</f>
        <v>0</v>
      </c>
      <c r="AB163" s="26">
        <f>IF(B163="","",ROUND(T163*IF(H163="Retail",IFERROR(INDEX(Inventory!$H$5:$H$304,MATCH(I163,Inventory!$A$5:$A$304,0))*1,0),IFERROR(INDEX(Services!$Q$5:$Q$204,MATCH(I163,Services!$A$5:$A$204,0))*1,0)),2))</f>
        <v>0</v>
      </c>
      <c r="AC163" s="26">
        <f>IF(B163="","",ROUND(Y163-AB163,2))</f>
        <v>0</v>
      </c>
      <c r="AD163" s="38">
        <f>IF(B163="","",IF(C163="","No",IF(COUNTIFS($C$5:C163,C163)=1,"Yes","No")))</f>
        <v>0</v>
      </c>
      <c r="AE163" s="26">
        <f>IF(B163="","",ROUND(SUMIFS(Payments!$G$5:$G$1204,Payments!$H$5:$H$1204,A163,Payments!$Q$5:$Q$1204,"Yes"),2))</f>
        <v>0</v>
      </c>
      <c r="AF163" s="26">
        <f>IF(B163="","",IF(AD163="No",0,ROUND(SUMIFS(Payments!$G$5:$G$1204,Payments!$I$5:$I$1204,C163,Payments!$H$5:$H$1204,"",Payments!$Q$5:$Q$1204,"Yes"),2)))</f>
        <v>0</v>
      </c>
      <c r="AG163" s="26">
        <f>IF(B163="","",ROUND(AE163+AF163,2))</f>
        <v>0</v>
      </c>
      <c r="AH163" s="26">
        <f>IF(B163="","",ROUND(AA163-AG163,2))</f>
        <v>0</v>
      </c>
      <c r="AI163" s="39">
        <f>IF(B163="","",IF(AA163&lt;=0,"No charge",IF(AH163&lt;=0.004,"Paid",IF(AG163&lt;=0.004,"Unpaid","Part paid"))))</f>
        <v>0</v>
      </c>
      <c r="AJ163" s="38">
        <f>IF(B163="","",IF(H163&lt;&gt;"Service","",IF(D163="","No",IF(COUNTIFS($D$5:$D$1204,D163,$B$5:$B$1204,B163,$H$5:$H$1204,"Retail")&gt;0,"Yes","No"))))</f>
        <v>0</v>
      </c>
      <c r="AK163" s="25">
        <f>IF(B163="","",COUNTIFS($Y$5:$Y$1204,"&gt;"&amp;Y163)+COUNTIFS($Y$5:Y163,Y163))</f>
        <v>0</v>
      </c>
      <c r="AL163" s="39">
        <f>IF(B163="","",IF(H163="","Add - what kind of sale is this?",IF(IF(V163&lt;=0,P163="",FALSE),"Check - no price found for this item",IF(F163="","Assign - nobody credited",IF(AH163&gt;0.004,"Unpaid - balance outstanding",IF(AC163&lt;0,"Loss - sold below cost",IF(X163&gt;W163*0.5,"Check - more than half off","OK")))))))</f>
        <v>0</v>
      </c>
    </row>
    <row r="164" spans="1:38">
      <c r="A164" s="28">
        <f>IF(B164="","",SalePrefix&amp;TEXT(ROW()-4,"0000"))</f>
        <v>0</v>
      </c>
      <c r="E164" s="15">
        <f>IF(D164="","",IFERROR(INDEX(Clients!$B$5:$B$504,MATCH(D164,Clients!$A$5:$A$504,0)),"Walk-in"))</f>
        <v>0</v>
      </c>
      <c r="G164" s="15">
        <f>IF(F164="","",IFERROR(INDEX(Staff!$B$5:$B$44,MATCH(F164,Staff!$A$5:$A$44,0)),"House"))</f>
        <v>0</v>
      </c>
      <c r="R164" s="15">
        <f>IF(B164="","",TEXT(B164,"yyyy-mm"))</f>
        <v>0</v>
      </c>
      <c r="S164" s="25">
        <f>IF(B164="","",WEEKNUM(B164,2))</f>
        <v>0</v>
      </c>
      <c r="T164" s="37">
        <f>IF(B164="","",IF(K164="",1,K164))</f>
        <v>0</v>
      </c>
      <c r="U164" s="15">
        <f>IF(B164="","",IF(J164&lt;&gt;"",J164,IF(H164="Retail",IFERROR(INDEX(Inventory!$B$5:$B$304,MATCH(I164,Inventory!$A$5:$A$304,0))&amp;"","Not in Inventory"),IFERROR(INDEX(Services!$B$5:$B$204,MATCH(I164,Services!$A$5:$A$204,0))&amp;"","Not in Services"))))</f>
        <v>0</v>
      </c>
      <c r="V164" s="26">
        <f>IF(B164="","",IF(L164&lt;&gt;"",L164,IF(H164="Retail",IFERROR(INDEX(Inventory!$I$5:$I$304,MATCH(I164,Inventory!$A$5:$A$304,0))*1,0),IFERROR(INDEX(Services!$G$5:$G$204,MATCH(I164,Services!$A$5:$A$204,0))*1,0))))</f>
        <v>0</v>
      </c>
      <c r="W164" s="26">
        <f>IF(B164="","",ROUND(T164*V164,2))</f>
        <v>0</v>
      </c>
      <c r="X164" s="26">
        <f>IF(B164="","",ROUND(IF(M164="",0,W164*M164)+IF(N164="",0,N164),2))</f>
        <v>0</v>
      </c>
      <c r="Y164" s="26">
        <f>IF(B164="","",ROUND(W164-X164-IF(P164="",0,P164),2))</f>
        <v>0</v>
      </c>
      <c r="Z164" s="26">
        <f>IF(B164="","",IF(H164="Retail",IF(TaxOnRetail="Yes",ROUND(Y164*TaxRate,2),0),IF(H164="Service",IF(TaxOnServices="Yes",ROUND(Y164*TaxRate,2),0),0)))</f>
        <v>0</v>
      </c>
      <c r="AA164" s="26">
        <f>IF(B164="","",ROUND(Y164+Z164,2))</f>
        <v>0</v>
      </c>
      <c r="AB164" s="26">
        <f>IF(B164="","",ROUND(T164*IF(H164="Retail",IFERROR(INDEX(Inventory!$H$5:$H$304,MATCH(I164,Inventory!$A$5:$A$304,0))*1,0),IFERROR(INDEX(Services!$Q$5:$Q$204,MATCH(I164,Services!$A$5:$A$204,0))*1,0)),2))</f>
        <v>0</v>
      </c>
      <c r="AC164" s="26">
        <f>IF(B164="","",ROUND(Y164-AB164,2))</f>
        <v>0</v>
      </c>
      <c r="AD164" s="38">
        <f>IF(B164="","",IF(C164="","No",IF(COUNTIFS($C$5:C164,C164)=1,"Yes","No")))</f>
        <v>0</v>
      </c>
      <c r="AE164" s="26">
        <f>IF(B164="","",ROUND(SUMIFS(Payments!$G$5:$G$1204,Payments!$H$5:$H$1204,A164,Payments!$Q$5:$Q$1204,"Yes"),2))</f>
        <v>0</v>
      </c>
      <c r="AF164" s="26">
        <f>IF(B164="","",IF(AD164="No",0,ROUND(SUMIFS(Payments!$G$5:$G$1204,Payments!$I$5:$I$1204,C164,Payments!$H$5:$H$1204,"",Payments!$Q$5:$Q$1204,"Yes"),2)))</f>
        <v>0</v>
      </c>
      <c r="AG164" s="26">
        <f>IF(B164="","",ROUND(AE164+AF164,2))</f>
        <v>0</v>
      </c>
      <c r="AH164" s="26">
        <f>IF(B164="","",ROUND(AA164-AG164,2))</f>
        <v>0</v>
      </c>
      <c r="AI164" s="39">
        <f>IF(B164="","",IF(AA164&lt;=0,"No charge",IF(AH164&lt;=0.004,"Paid",IF(AG164&lt;=0.004,"Unpaid","Part paid"))))</f>
        <v>0</v>
      </c>
      <c r="AJ164" s="38">
        <f>IF(B164="","",IF(H164&lt;&gt;"Service","",IF(D164="","No",IF(COUNTIFS($D$5:$D$1204,D164,$B$5:$B$1204,B164,$H$5:$H$1204,"Retail")&gt;0,"Yes","No"))))</f>
        <v>0</v>
      </c>
      <c r="AK164" s="25">
        <f>IF(B164="","",COUNTIFS($Y$5:$Y$1204,"&gt;"&amp;Y164)+COUNTIFS($Y$5:Y164,Y164))</f>
        <v>0</v>
      </c>
      <c r="AL164" s="39">
        <f>IF(B164="","",IF(H164="","Add - what kind of sale is this?",IF(IF(V164&lt;=0,P164="",FALSE),"Check - no price found for this item",IF(F164="","Assign - nobody credited",IF(AH164&gt;0.004,"Unpaid - balance outstanding",IF(AC164&lt;0,"Loss - sold below cost",IF(X164&gt;W164*0.5,"Check - more than half off","OK")))))))</f>
        <v>0</v>
      </c>
    </row>
    <row r="165" spans="1:38">
      <c r="A165" s="28">
        <f>IF(B165="","",SalePrefix&amp;TEXT(ROW()-4,"0000"))</f>
        <v>0</v>
      </c>
      <c r="E165" s="15">
        <f>IF(D165="","",IFERROR(INDEX(Clients!$B$5:$B$504,MATCH(D165,Clients!$A$5:$A$504,0)),"Walk-in"))</f>
        <v>0</v>
      </c>
      <c r="G165" s="15">
        <f>IF(F165="","",IFERROR(INDEX(Staff!$B$5:$B$44,MATCH(F165,Staff!$A$5:$A$44,0)),"House"))</f>
        <v>0</v>
      </c>
      <c r="R165" s="15">
        <f>IF(B165="","",TEXT(B165,"yyyy-mm"))</f>
        <v>0</v>
      </c>
      <c r="S165" s="25">
        <f>IF(B165="","",WEEKNUM(B165,2))</f>
        <v>0</v>
      </c>
      <c r="T165" s="37">
        <f>IF(B165="","",IF(K165="",1,K165))</f>
        <v>0</v>
      </c>
      <c r="U165" s="15">
        <f>IF(B165="","",IF(J165&lt;&gt;"",J165,IF(H165="Retail",IFERROR(INDEX(Inventory!$B$5:$B$304,MATCH(I165,Inventory!$A$5:$A$304,0))&amp;"","Not in Inventory"),IFERROR(INDEX(Services!$B$5:$B$204,MATCH(I165,Services!$A$5:$A$204,0))&amp;"","Not in Services"))))</f>
        <v>0</v>
      </c>
      <c r="V165" s="26">
        <f>IF(B165="","",IF(L165&lt;&gt;"",L165,IF(H165="Retail",IFERROR(INDEX(Inventory!$I$5:$I$304,MATCH(I165,Inventory!$A$5:$A$304,0))*1,0),IFERROR(INDEX(Services!$G$5:$G$204,MATCH(I165,Services!$A$5:$A$204,0))*1,0))))</f>
        <v>0</v>
      </c>
      <c r="W165" s="26">
        <f>IF(B165="","",ROUND(T165*V165,2))</f>
        <v>0</v>
      </c>
      <c r="X165" s="26">
        <f>IF(B165="","",ROUND(IF(M165="",0,W165*M165)+IF(N165="",0,N165),2))</f>
        <v>0</v>
      </c>
      <c r="Y165" s="26">
        <f>IF(B165="","",ROUND(W165-X165-IF(P165="",0,P165),2))</f>
        <v>0</v>
      </c>
      <c r="Z165" s="26">
        <f>IF(B165="","",IF(H165="Retail",IF(TaxOnRetail="Yes",ROUND(Y165*TaxRate,2),0),IF(H165="Service",IF(TaxOnServices="Yes",ROUND(Y165*TaxRate,2),0),0)))</f>
        <v>0</v>
      </c>
      <c r="AA165" s="26">
        <f>IF(B165="","",ROUND(Y165+Z165,2))</f>
        <v>0</v>
      </c>
      <c r="AB165" s="26">
        <f>IF(B165="","",ROUND(T165*IF(H165="Retail",IFERROR(INDEX(Inventory!$H$5:$H$304,MATCH(I165,Inventory!$A$5:$A$304,0))*1,0),IFERROR(INDEX(Services!$Q$5:$Q$204,MATCH(I165,Services!$A$5:$A$204,0))*1,0)),2))</f>
        <v>0</v>
      </c>
      <c r="AC165" s="26">
        <f>IF(B165="","",ROUND(Y165-AB165,2))</f>
        <v>0</v>
      </c>
      <c r="AD165" s="38">
        <f>IF(B165="","",IF(C165="","No",IF(COUNTIFS($C$5:C165,C165)=1,"Yes","No")))</f>
        <v>0</v>
      </c>
      <c r="AE165" s="26">
        <f>IF(B165="","",ROUND(SUMIFS(Payments!$G$5:$G$1204,Payments!$H$5:$H$1204,A165,Payments!$Q$5:$Q$1204,"Yes"),2))</f>
        <v>0</v>
      </c>
      <c r="AF165" s="26">
        <f>IF(B165="","",IF(AD165="No",0,ROUND(SUMIFS(Payments!$G$5:$G$1204,Payments!$I$5:$I$1204,C165,Payments!$H$5:$H$1204,"",Payments!$Q$5:$Q$1204,"Yes"),2)))</f>
        <v>0</v>
      </c>
      <c r="AG165" s="26">
        <f>IF(B165="","",ROUND(AE165+AF165,2))</f>
        <v>0</v>
      </c>
      <c r="AH165" s="26">
        <f>IF(B165="","",ROUND(AA165-AG165,2))</f>
        <v>0</v>
      </c>
      <c r="AI165" s="39">
        <f>IF(B165="","",IF(AA165&lt;=0,"No charge",IF(AH165&lt;=0.004,"Paid",IF(AG165&lt;=0.004,"Unpaid","Part paid"))))</f>
        <v>0</v>
      </c>
      <c r="AJ165" s="38">
        <f>IF(B165="","",IF(H165&lt;&gt;"Service","",IF(D165="","No",IF(COUNTIFS($D$5:$D$1204,D165,$B$5:$B$1204,B165,$H$5:$H$1204,"Retail")&gt;0,"Yes","No"))))</f>
        <v>0</v>
      </c>
      <c r="AK165" s="25">
        <f>IF(B165="","",COUNTIFS($Y$5:$Y$1204,"&gt;"&amp;Y165)+COUNTIFS($Y$5:Y165,Y165))</f>
        <v>0</v>
      </c>
      <c r="AL165" s="39">
        <f>IF(B165="","",IF(H165="","Add - what kind of sale is this?",IF(IF(V165&lt;=0,P165="",FALSE),"Check - no price found for this item",IF(F165="","Assign - nobody credited",IF(AH165&gt;0.004,"Unpaid - balance outstanding",IF(AC165&lt;0,"Loss - sold below cost",IF(X165&gt;W165*0.5,"Check - more than half off","OK")))))))</f>
        <v>0</v>
      </c>
    </row>
    <row r="166" spans="1:38">
      <c r="A166" s="28">
        <f>IF(B166="","",SalePrefix&amp;TEXT(ROW()-4,"0000"))</f>
        <v>0</v>
      </c>
      <c r="E166" s="15">
        <f>IF(D166="","",IFERROR(INDEX(Clients!$B$5:$B$504,MATCH(D166,Clients!$A$5:$A$504,0)),"Walk-in"))</f>
        <v>0</v>
      </c>
      <c r="G166" s="15">
        <f>IF(F166="","",IFERROR(INDEX(Staff!$B$5:$B$44,MATCH(F166,Staff!$A$5:$A$44,0)),"House"))</f>
        <v>0</v>
      </c>
      <c r="R166" s="15">
        <f>IF(B166="","",TEXT(B166,"yyyy-mm"))</f>
        <v>0</v>
      </c>
      <c r="S166" s="25">
        <f>IF(B166="","",WEEKNUM(B166,2))</f>
        <v>0</v>
      </c>
      <c r="T166" s="37">
        <f>IF(B166="","",IF(K166="",1,K166))</f>
        <v>0</v>
      </c>
      <c r="U166" s="15">
        <f>IF(B166="","",IF(J166&lt;&gt;"",J166,IF(H166="Retail",IFERROR(INDEX(Inventory!$B$5:$B$304,MATCH(I166,Inventory!$A$5:$A$304,0))&amp;"","Not in Inventory"),IFERROR(INDEX(Services!$B$5:$B$204,MATCH(I166,Services!$A$5:$A$204,0))&amp;"","Not in Services"))))</f>
        <v>0</v>
      </c>
      <c r="V166" s="26">
        <f>IF(B166="","",IF(L166&lt;&gt;"",L166,IF(H166="Retail",IFERROR(INDEX(Inventory!$I$5:$I$304,MATCH(I166,Inventory!$A$5:$A$304,0))*1,0),IFERROR(INDEX(Services!$G$5:$G$204,MATCH(I166,Services!$A$5:$A$204,0))*1,0))))</f>
        <v>0</v>
      </c>
      <c r="W166" s="26">
        <f>IF(B166="","",ROUND(T166*V166,2))</f>
        <v>0</v>
      </c>
      <c r="X166" s="26">
        <f>IF(B166="","",ROUND(IF(M166="",0,W166*M166)+IF(N166="",0,N166),2))</f>
        <v>0</v>
      </c>
      <c r="Y166" s="26">
        <f>IF(B166="","",ROUND(W166-X166-IF(P166="",0,P166),2))</f>
        <v>0</v>
      </c>
      <c r="Z166" s="26">
        <f>IF(B166="","",IF(H166="Retail",IF(TaxOnRetail="Yes",ROUND(Y166*TaxRate,2),0),IF(H166="Service",IF(TaxOnServices="Yes",ROUND(Y166*TaxRate,2),0),0)))</f>
        <v>0</v>
      </c>
      <c r="AA166" s="26">
        <f>IF(B166="","",ROUND(Y166+Z166,2))</f>
        <v>0</v>
      </c>
      <c r="AB166" s="26">
        <f>IF(B166="","",ROUND(T166*IF(H166="Retail",IFERROR(INDEX(Inventory!$H$5:$H$304,MATCH(I166,Inventory!$A$5:$A$304,0))*1,0),IFERROR(INDEX(Services!$Q$5:$Q$204,MATCH(I166,Services!$A$5:$A$204,0))*1,0)),2))</f>
        <v>0</v>
      </c>
      <c r="AC166" s="26">
        <f>IF(B166="","",ROUND(Y166-AB166,2))</f>
        <v>0</v>
      </c>
      <c r="AD166" s="38">
        <f>IF(B166="","",IF(C166="","No",IF(COUNTIFS($C$5:C166,C166)=1,"Yes","No")))</f>
        <v>0</v>
      </c>
      <c r="AE166" s="26">
        <f>IF(B166="","",ROUND(SUMIFS(Payments!$G$5:$G$1204,Payments!$H$5:$H$1204,A166,Payments!$Q$5:$Q$1204,"Yes"),2))</f>
        <v>0</v>
      </c>
      <c r="AF166" s="26">
        <f>IF(B166="","",IF(AD166="No",0,ROUND(SUMIFS(Payments!$G$5:$G$1204,Payments!$I$5:$I$1204,C166,Payments!$H$5:$H$1204,"",Payments!$Q$5:$Q$1204,"Yes"),2)))</f>
        <v>0</v>
      </c>
      <c r="AG166" s="26">
        <f>IF(B166="","",ROUND(AE166+AF166,2))</f>
        <v>0</v>
      </c>
      <c r="AH166" s="26">
        <f>IF(B166="","",ROUND(AA166-AG166,2))</f>
        <v>0</v>
      </c>
      <c r="AI166" s="39">
        <f>IF(B166="","",IF(AA166&lt;=0,"No charge",IF(AH166&lt;=0.004,"Paid",IF(AG166&lt;=0.004,"Unpaid","Part paid"))))</f>
        <v>0</v>
      </c>
      <c r="AJ166" s="38">
        <f>IF(B166="","",IF(H166&lt;&gt;"Service","",IF(D166="","No",IF(COUNTIFS($D$5:$D$1204,D166,$B$5:$B$1204,B166,$H$5:$H$1204,"Retail")&gt;0,"Yes","No"))))</f>
        <v>0</v>
      </c>
      <c r="AK166" s="25">
        <f>IF(B166="","",COUNTIFS($Y$5:$Y$1204,"&gt;"&amp;Y166)+COUNTIFS($Y$5:Y166,Y166))</f>
        <v>0</v>
      </c>
      <c r="AL166" s="39">
        <f>IF(B166="","",IF(H166="","Add - what kind of sale is this?",IF(IF(V166&lt;=0,P166="",FALSE),"Check - no price found for this item",IF(F166="","Assign - nobody credited",IF(AH166&gt;0.004,"Unpaid - balance outstanding",IF(AC166&lt;0,"Loss - sold below cost",IF(X166&gt;W166*0.5,"Check - more than half off","OK")))))))</f>
        <v>0</v>
      </c>
    </row>
    <row r="167" spans="1:38">
      <c r="A167" s="28">
        <f>IF(B167="","",SalePrefix&amp;TEXT(ROW()-4,"0000"))</f>
        <v>0</v>
      </c>
      <c r="E167" s="15">
        <f>IF(D167="","",IFERROR(INDEX(Clients!$B$5:$B$504,MATCH(D167,Clients!$A$5:$A$504,0)),"Walk-in"))</f>
        <v>0</v>
      </c>
      <c r="G167" s="15">
        <f>IF(F167="","",IFERROR(INDEX(Staff!$B$5:$B$44,MATCH(F167,Staff!$A$5:$A$44,0)),"House"))</f>
        <v>0</v>
      </c>
      <c r="R167" s="15">
        <f>IF(B167="","",TEXT(B167,"yyyy-mm"))</f>
        <v>0</v>
      </c>
      <c r="S167" s="25">
        <f>IF(B167="","",WEEKNUM(B167,2))</f>
        <v>0</v>
      </c>
      <c r="T167" s="37">
        <f>IF(B167="","",IF(K167="",1,K167))</f>
        <v>0</v>
      </c>
      <c r="U167" s="15">
        <f>IF(B167="","",IF(J167&lt;&gt;"",J167,IF(H167="Retail",IFERROR(INDEX(Inventory!$B$5:$B$304,MATCH(I167,Inventory!$A$5:$A$304,0))&amp;"","Not in Inventory"),IFERROR(INDEX(Services!$B$5:$B$204,MATCH(I167,Services!$A$5:$A$204,0))&amp;"","Not in Services"))))</f>
        <v>0</v>
      </c>
      <c r="V167" s="26">
        <f>IF(B167="","",IF(L167&lt;&gt;"",L167,IF(H167="Retail",IFERROR(INDEX(Inventory!$I$5:$I$304,MATCH(I167,Inventory!$A$5:$A$304,0))*1,0),IFERROR(INDEX(Services!$G$5:$G$204,MATCH(I167,Services!$A$5:$A$204,0))*1,0))))</f>
        <v>0</v>
      </c>
      <c r="W167" s="26">
        <f>IF(B167="","",ROUND(T167*V167,2))</f>
        <v>0</v>
      </c>
      <c r="X167" s="26">
        <f>IF(B167="","",ROUND(IF(M167="",0,W167*M167)+IF(N167="",0,N167),2))</f>
        <v>0</v>
      </c>
      <c r="Y167" s="26">
        <f>IF(B167="","",ROUND(W167-X167-IF(P167="",0,P167),2))</f>
        <v>0</v>
      </c>
      <c r="Z167" s="26">
        <f>IF(B167="","",IF(H167="Retail",IF(TaxOnRetail="Yes",ROUND(Y167*TaxRate,2),0),IF(H167="Service",IF(TaxOnServices="Yes",ROUND(Y167*TaxRate,2),0),0)))</f>
        <v>0</v>
      </c>
      <c r="AA167" s="26">
        <f>IF(B167="","",ROUND(Y167+Z167,2))</f>
        <v>0</v>
      </c>
      <c r="AB167" s="26">
        <f>IF(B167="","",ROUND(T167*IF(H167="Retail",IFERROR(INDEX(Inventory!$H$5:$H$304,MATCH(I167,Inventory!$A$5:$A$304,0))*1,0),IFERROR(INDEX(Services!$Q$5:$Q$204,MATCH(I167,Services!$A$5:$A$204,0))*1,0)),2))</f>
        <v>0</v>
      </c>
      <c r="AC167" s="26">
        <f>IF(B167="","",ROUND(Y167-AB167,2))</f>
        <v>0</v>
      </c>
      <c r="AD167" s="38">
        <f>IF(B167="","",IF(C167="","No",IF(COUNTIFS($C$5:C167,C167)=1,"Yes","No")))</f>
        <v>0</v>
      </c>
      <c r="AE167" s="26">
        <f>IF(B167="","",ROUND(SUMIFS(Payments!$G$5:$G$1204,Payments!$H$5:$H$1204,A167,Payments!$Q$5:$Q$1204,"Yes"),2))</f>
        <v>0</v>
      </c>
      <c r="AF167" s="26">
        <f>IF(B167="","",IF(AD167="No",0,ROUND(SUMIFS(Payments!$G$5:$G$1204,Payments!$I$5:$I$1204,C167,Payments!$H$5:$H$1204,"",Payments!$Q$5:$Q$1204,"Yes"),2)))</f>
        <v>0</v>
      </c>
      <c r="AG167" s="26">
        <f>IF(B167="","",ROUND(AE167+AF167,2))</f>
        <v>0</v>
      </c>
      <c r="AH167" s="26">
        <f>IF(B167="","",ROUND(AA167-AG167,2))</f>
        <v>0</v>
      </c>
      <c r="AI167" s="39">
        <f>IF(B167="","",IF(AA167&lt;=0,"No charge",IF(AH167&lt;=0.004,"Paid",IF(AG167&lt;=0.004,"Unpaid","Part paid"))))</f>
        <v>0</v>
      </c>
      <c r="AJ167" s="38">
        <f>IF(B167="","",IF(H167&lt;&gt;"Service","",IF(D167="","No",IF(COUNTIFS($D$5:$D$1204,D167,$B$5:$B$1204,B167,$H$5:$H$1204,"Retail")&gt;0,"Yes","No"))))</f>
        <v>0</v>
      </c>
      <c r="AK167" s="25">
        <f>IF(B167="","",COUNTIFS($Y$5:$Y$1204,"&gt;"&amp;Y167)+COUNTIFS($Y$5:Y167,Y167))</f>
        <v>0</v>
      </c>
      <c r="AL167" s="39">
        <f>IF(B167="","",IF(H167="","Add - what kind of sale is this?",IF(IF(V167&lt;=0,P167="",FALSE),"Check - no price found for this item",IF(F167="","Assign - nobody credited",IF(AH167&gt;0.004,"Unpaid - balance outstanding",IF(AC167&lt;0,"Loss - sold below cost",IF(X167&gt;W167*0.5,"Check - more than half off","OK")))))))</f>
        <v>0</v>
      </c>
    </row>
    <row r="168" spans="1:38">
      <c r="A168" s="28">
        <f>IF(B168="","",SalePrefix&amp;TEXT(ROW()-4,"0000"))</f>
        <v>0</v>
      </c>
      <c r="E168" s="15">
        <f>IF(D168="","",IFERROR(INDEX(Clients!$B$5:$B$504,MATCH(D168,Clients!$A$5:$A$504,0)),"Walk-in"))</f>
        <v>0</v>
      </c>
      <c r="G168" s="15">
        <f>IF(F168="","",IFERROR(INDEX(Staff!$B$5:$B$44,MATCH(F168,Staff!$A$5:$A$44,0)),"House"))</f>
        <v>0</v>
      </c>
      <c r="R168" s="15">
        <f>IF(B168="","",TEXT(B168,"yyyy-mm"))</f>
        <v>0</v>
      </c>
      <c r="S168" s="25">
        <f>IF(B168="","",WEEKNUM(B168,2))</f>
        <v>0</v>
      </c>
      <c r="T168" s="37">
        <f>IF(B168="","",IF(K168="",1,K168))</f>
        <v>0</v>
      </c>
      <c r="U168" s="15">
        <f>IF(B168="","",IF(J168&lt;&gt;"",J168,IF(H168="Retail",IFERROR(INDEX(Inventory!$B$5:$B$304,MATCH(I168,Inventory!$A$5:$A$304,0))&amp;"","Not in Inventory"),IFERROR(INDEX(Services!$B$5:$B$204,MATCH(I168,Services!$A$5:$A$204,0))&amp;"","Not in Services"))))</f>
        <v>0</v>
      </c>
      <c r="V168" s="26">
        <f>IF(B168="","",IF(L168&lt;&gt;"",L168,IF(H168="Retail",IFERROR(INDEX(Inventory!$I$5:$I$304,MATCH(I168,Inventory!$A$5:$A$304,0))*1,0),IFERROR(INDEX(Services!$G$5:$G$204,MATCH(I168,Services!$A$5:$A$204,0))*1,0))))</f>
        <v>0</v>
      </c>
      <c r="W168" s="26">
        <f>IF(B168="","",ROUND(T168*V168,2))</f>
        <v>0</v>
      </c>
      <c r="X168" s="26">
        <f>IF(B168="","",ROUND(IF(M168="",0,W168*M168)+IF(N168="",0,N168),2))</f>
        <v>0</v>
      </c>
      <c r="Y168" s="26">
        <f>IF(B168="","",ROUND(W168-X168-IF(P168="",0,P168),2))</f>
        <v>0</v>
      </c>
      <c r="Z168" s="26">
        <f>IF(B168="","",IF(H168="Retail",IF(TaxOnRetail="Yes",ROUND(Y168*TaxRate,2),0),IF(H168="Service",IF(TaxOnServices="Yes",ROUND(Y168*TaxRate,2),0),0)))</f>
        <v>0</v>
      </c>
      <c r="AA168" s="26">
        <f>IF(B168="","",ROUND(Y168+Z168,2))</f>
        <v>0</v>
      </c>
      <c r="AB168" s="26">
        <f>IF(B168="","",ROUND(T168*IF(H168="Retail",IFERROR(INDEX(Inventory!$H$5:$H$304,MATCH(I168,Inventory!$A$5:$A$304,0))*1,0),IFERROR(INDEX(Services!$Q$5:$Q$204,MATCH(I168,Services!$A$5:$A$204,0))*1,0)),2))</f>
        <v>0</v>
      </c>
      <c r="AC168" s="26">
        <f>IF(B168="","",ROUND(Y168-AB168,2))</f>
        <v>0</v>
      </c>
      <c r="AD168" s="38">
        <f>IF(B168="","",IF(C168="","No",IF(COUNTIFS($C$5:C168,C168)=1,"Yes","No")))</f>
        <v>0</v>
      </c>
      <c r="AE168" s="26">
        <f>IF(B168="","",ROUND(SUMIFS(Payments!$G$5:$G$1204,Payments!$H$5:$H$1204,A168,Payments!$Q$5:$Q$1204,"Yes"),2))</f>
        <v>0</v>
      </c>
      <c r="AF168" s="26">
        <f>IF(B168="","",IF(AD168="No",0,ROUND(SUMIFS(Payments!$G$5:$G$1204,Payments!$I$5:$I$1204,C168,Payments!$H$5:$H$1204,"",Payments!$Q$5:$Q$1204,"Yes"),2)))</f>
        <v>0</v>
      </c>
      <c r="AG168" s="26">
        <f>IF(B168="","",ROUND(AE168+AF168,2))</f>
        <v>0</v>
      </c>
      <c r="AH168" s="26">
        <f>IF(B168="","",ROUND(AA168-AG168,2))</f>
        <v>0</v>
      </c>
      <c r="AI168" s="39">
        <f>IF(B168="","",IF(AA168&lt;=0,"No charge",IF(AH168&lt;=0.004,"Paid",IF(AG168&lt;=0.004,"Unpaid","Part paid"))))</f>
        <v>0</v>
      </c>
      <c r="AJ168" s="38">
        <f>IF(B168="","",IF(H168&lt;&gt;"Service","",IF(D168="","No",IF(COUNTIFS($D$5:$D$1204,D168,$B$5:$B$1204,B168,$H$5:$H$1204,"Retail")&gt;0,"Yes","No"))))</f>
        <v>0</v>
      </c>
      <c r="AK168" s="25">
        <f>IF(B168="","",COUNTIFS($Y$5:$Y$1204,"&gt;"&amp;Y168)+COUNTIFS($Y$5:Y168,Y168))</f>
        <v>0</v>
      </c>
      <c r="AL168" s="39">
        <f>IF(B168="","",IF(H168="","Add - what kind of sale is this?",IF(IF(V168&lt;=0,P168="",FALSE),"Check - no price found for this item",IF(F168="","Assign - nobody credited",IF(AH168&gt;0.004,"Unpaid - balance outstanding",IF(AC168&lt;0,"Loss - sold below cost",IF(X168&gt;W168*0.5,"Check - more than half off","OK")))))))</f>
        <v>0</v>
      </c>
    </row>
    <row r="169" spans="1:38">
      <c r="A169" s="28">
        <f>IF(B169="","",SalePrefix&amp;TEXT(ROW()-4,"0000"))</f>
        <v>0</v>
      </c>
      <c r="E169" s="15">
        <f>IF(D169="","",IFERROR(INDEX(Clients!$B$5:$B$504,MATCH(D169,Clients!$A$5:$A$504,0)),"Walk-in"))</f>
        <v>0</v>
      </c>
      <c r="G169" s="15">
        <f>IF(F169="","",IFERROR(INDEX(Staff!$B$5:$B$44,MATCH(F169,Staff!$A$5:$A$44,0)),"House"))</f>
        <v>0</v>
      </c>
      <c r="R169" s="15">
        <f>IF(B169="","",TEXT(B169,"yyyy-mm"))</f>
        <v>0</v>
      </c>
      <c r="S169" s="25">
        <f>IF(B169="","",WEEKNUM(B169,2))</f>
        <v>0</v>
      </c>
      <c r="T169" s="37">
        <f>IF(B169="","",IF(K169="",1,K169))</f>
        <v>0</v>
      </c>
      <c r="U169" s="15">
        <f>IF(B169="","",IF(J169&lt;&gt;"",J169,IF(H169="Retail",IFERROR(INDEX(Inventory!$B$5:$B$304,MATCH(I169,Inventory!$A$5:$A$304,0))&amp;"","Not in Inventory"),IFERROR(INDEX(Services!$B$5:$B$204,MATCH(I169,Services!$A$5:$A$204,0))&amp;"","Not in Services"))))</f>
        <v>0</v>
      </c>
      <c r="V169" s="26">
        <f>IF(B169="","",IF(L169&lt;&gt;"",L169,IF(H169="Retail",IFERROR(INDEX(Inventory!$I$5:$I$304,MATCH(I169,Inventory!$A$5:$A$304,0))*1,0),IFERROR(INDEX(Services!$G$5:$G$204,MATCH(I169,Services!$A$5:$A$204,0))*1,0))))</f>
        <v>0</v>
      </c>
      <c r="W169" s="26">
        <f>IF(B169="","",ROUND(T169*V169,2))</f>
        <v>0</v>
      </c>
      <c r="X169" s="26">
        <f>IF(B169="","",ROUND(IF(M169="",0,W169*M169)+IF(N169="",0,N169),2))</f>
        <v>0</v>
      </c>
      <c r="Y169" s="26">
        <f>IF(B169="","",ROUND(W169-X169-IF(P169="",0,P169),2))</f>
        <v>0</v>
      </c>
      <c r="Z169" s="26">
        <f>IF(B169="","",IF(H169="Retail",IF(TaxOnRetail="Yes",ROUND(Y169*TaxRate,2),0),IF(H169="Service",IF(TaxOnServices="Yes",ROUND(Y169*TaxRate,2),0),0)))</f>
        <v>0</v>
      </c>
      <c r="AA169" s="26">
        <f>IF(B169="","",ROUND(Y169+Z169,2))</f>
        <v>0</v>
      </c>
      <c r="AB169" s="26">
        <f>IF(B169="","",ROUND(T169*IF(H169="Retail",IFERROR(INDEX(Inventory!$H$5:$H$304,MATCH(I169,Inventory!$A$5:$A$304,0))*1,0),IFERROR(INDEX(Services!$Q$5:$Q$204,MATCH(I169,Services!$A$5:$A$204,0))*1,0)),2))</f>
        <v>0</v>
      </c>
      <c r="AC169" s="26">
        <f>IF(B169="","",ROUND(Y169-AB169,2))</f>
        <v>0</v>
      </c>
      <c r="AD169" s="38">
        <f>IF(B169="","",IF(C169="","No",IF(COUNTIFS($C$5:C169,C169)=1,"Yes","No")))</f>
        <v>0</v>
      </c>
      <c r="AE169" s="26">
        <f>IF(B169="","",ROUND(SUMIFS(Payments!$G$5:$G$1204,Payments!$H$5:$H$1204,A169,Payments!$Q$5:$Q$1204,"Yes"),2))</f>
        <v>0</v>
      </c>
      <c r="AF169" s="26">
        <f>IF(B169="","",IF(AD169="No",0,ROUND(SUMIFS(Payments!$G$5:$G$1204,Payments!$I$5:$I$1204,C169,Payments!$H$5:$H$1204,"",Payments!$Q$5:$Q$1204,"Yes"),2)))</f>
        <v>0</v>
      </c>
      <c r="AG169" s="26">
        <f>IF(B169="","",ROUND(AE169+AF169,2))</f>
        <v>0</v>
      </c>
      <c r="AH169" s="26">
        <f>IF(B169="","",ROUND(AA169-AG169,2))</f>
        <v>0</v>
      </c>
      <c r="AI169" s="39">
        <f>IF(B169="","",IF(AA169&lt;=0,"No charge",IF(AH169&lt;=0.004,"Paid",IF(AG169&lt;=0.004,"Unpaid","Part paid"))))</f>
        <v>0</v>
      </c>
      <c r="AJ169" s="38">
        <f>IF(B169="","",IF(H169&lt;&gt;"Service","",IF(D169="","No",IF(COUNTIFS($D$5:$D$1204,D169,$B$5:$B$1204,B169,$H$5:$H$1204,"Retail")&gt;0,"Yes","No"))))</f>
        <v>0</v>
      </c>
      <c r="AK169" s="25">
        <f>IF(B169="","",COUNTIFS($Y$5:$Y$1204,"&gt;"&amp;Y169)+COUNTIFS($Y$5:Y169,Y169))</f>
        <v>0</v>
      </c>
      <c r="AL169" s="39">
        <f>IF(B169="","",IF(H169="","Add - what kind of sale is this?",IF(IF(V169&lt;=0,P169="",FALSE),"Check - no price found for this item",IF(F169="","Assign - nobody credited",IF(AH169&gt;0.004,"Unpaid - balance outstanding",IF(AC169&lt;0,"Loss - sold below cost",IF(X169&gt;W169*0.5,"Check - more than half off","OK")))))))</f>
        <v>0</v>
      </c>
    </row>
    <row r="170" spans="1:38">
      <c r="A170" s="28">
        <f>IF(B170="","",SalePrefix&amp;TEXT(ROW()-4,"0000"))</f>
        <v>0</v>
      </c>
      <c r="E170" s="15">
        <f>IF(D170="","",IFERROR(INDEX(Clients!$B$5:$B$504,MATCH(D170,Clients!$A$5:$A$504,0)),"Walk-in"))</f>
        <v>0</v>
      </c>
      <c r="G170" s="15">
        <f>IF(F170="","",IFERROR(INDEX(Staff!$B$5:$B$44,MATCH(F170,Staff!$A$5:$A$44,0)),"House"))</f>
        <v>0</v>
      </c>
      <c r="R170" s="15">
        <f>IF(B170="","",TEXT(B170,"yyyy-mm"))</f>
        <v>0</v>
      </c>
      <c r="S170" s="25">
        <f>IF(B170="","",WEEKNUM(B170,2))</f>
        <v>0</v>
      </c>
      <c r="T170" s="37">
        <f>IF(B170="","",IF(K170="",1,K170))</f>
        <v>0</v>
      </c>
      <c r="U170" s="15">
        <f>IF(B170="","",IF(J170&lt;&gt;"",J170,IF(H170="Retail",IFERROR(INDEX(Inventory!$B$5:$B$304,MATCH(I170,Inventory!$A$5:$A$304,0))&amp;"","Not in Inventory"),IFERROR(INDEX(Services!$B$5:$B$204,MATCH(I170,Services!$A$5:$A$204,0))&amp;"","Not in Services"))))</f>
        <v>0</v>
      </c>
      <c r="V170" s="26">
        <f>IF(B170="","",IF(L170&lt;&gt;"",L170,IF(H170="Retail",IFERROR(INDEX(Inventory!$I$5:$I$304,MATCH(I170,Inventory!$A$5:$A$304,0))*1,0),IFERROR(INDEX(Services!$G$5:$G$204,MATCH(I170,Services!$A$5:$A$204,0))*1,0))))</f>
        <v>0</v>
      </c>
      <c r="W170" s="26">
        <f>IF(B170="","",ROUND(T170*V170,2))</f>
        <v>0</v>
      </c>
      <c r="X170" s="26">
        <f>IF(B170="","",ROUND(IF(M170="",0,W170*M170)+IF(N170="",0,N170),2))</f>
        <v>0</v>
      </c>
      <c r="Y170" s="26">
        <f>IF(B170="","",ROUND(W170-X170-IF(P170="",0,P170),2))</f>
        <v>0</v>
      </c>
      <c r="Z170" s="26">
        <f>IF(B170="","",IF(H170="Retail",IF(TaxOnRetail="Yes",ROUND(Y170*TaxRate,2),0),IF(H170="Service",IF(TaxOnServices="Yes",ROUND(Y170*TaxRate,2),0),0)))</f>
        <v>0</v>
      </c>
      <c r="AA170" s="26">
        <f>IF(B170="","",ROUND(Y170+Z170,2))</f>
        <v>0</v>
      </c>
      <c r="AB170" s="26">
        <f>IF(B170="","",ROUND(T170*IF(H170="Retail",IFERROR(INDEX(Inventory!$H$5:$H$304,MATCH(I170,Inventory!$A$5:$A$304,0))*1,0),IFERROR(INDEX(Services!$Q$5:$Q$204,MATCH(I170,Services!$A$5:$A$204,0))*1,0)),2))</f>
        <v>0</v>
      </c>
      <c r="AC170" s="26">
        <f>IF(B170="","",ROUND(Y170-AB170,2))</f>
        <v>0</v>
      </c>
      <c r="AD170" s="38">
        <f>IF(B170="","",IF(C170="","No",IF(COUNTIFS($C$5:C170,C170)=1,"Yes","No")))</f>
        <v>0</v>
      </c>
      <c r="AE170" s="26">
        <f>IF(B170="","",ROUND(SUMIFS(Payments!$G$5:$G$1204,Payments!$H$5:$H$1204,A170,Payments!$Q$5:$Q$1204,"Yes"),2))</f>
        <v>0</v>
      </c>
      <c r="AF170" s="26">
        <f>IF(B170="","",IF(AD170="No",0,ROUND(SUMIFS(Payments!$G$5:$G$1204,Payments!$I$5:$I$1204,C170,Payments!$H$5:$H$1204,"",Payments!$Q$5:$Q$1204,"Yes"),2)))</f>
        <v>0</v>
      </c>
      <c r="AG170" s="26">
        <f>IF(B170="","",ROUND(AE170+AF170,2))</f>
        <v>0</v>
      </c>
      <c r="AH170" s="26">
        <f>IF(B170="","",ROUND(AA170-AG170,2))</f>
        <v>0</v>
      </c>
      <c r="AI170" s="39">
        <f>IF(B170="","",IF(AA170&lt;=0,"No charge",IF(AH170&lt;=0.004,"Paid",IF(AG170&lt;=0.004,"Unpaid","Part paid"))))</f>
        <v>0</v>
      </c>
      <c r="AJ170" s="38">
        <f>IF(B170="","",IF(H170&lt;&gt;"Service","",IF(D170="","No",IF(COUNTIFS($D$5:$D$1204,D170,$B$5:$B$1204,B170,$H$5:$H$1204,"Retail")&gt;0,"Yes","No"))))</f>
        <v>0</v>
      </c>
      <c r="AK170" s="25">
        <f>IF(B170="","",COUNTIFS($Y$5:$Y$1204,"&gt;"&amp;Y170)+COUNTIFS($Y$5:Y170,Y170))</f>
        <v>0</v>
      </c>
      <c r="AL170" s="39">
        <f>IF(B170="","",IF(H170="","Add - what kind of sale is this?",IF(IF(V170&lt;=0,P170="",FALSE),"Check - no price found for this item",IF(F170="","Assign - nobody credited",IF(AH170&gt;0.004,"Unpaid - balance outstanding",IF(AC170&lt;0,"Loss - sold below cost",IF(X170&gt;W170*0.5,"Check - more than half off","OK")))))))</f>
        <v>0</v>
      </c>
    </row>
    <row r="171" spans="1:38">
      <c r="A171" s="28">
        <f>IF(B171="","",SalePrefix&amp;TEXT(ROW()-4,"0000"))</f>
        <v>0</v>
      </c>
      <c r="E171" s="15">
        <f>IF(D171="","",IFERROR(INDEX(Clients!$B$5:$B$504,MATCH(D171,Clients!$A$5:$A$504,0)),"Walk-in"))</f>
        <v>0</v>
      </c>
      <c r="G171" s="15">
        <f>IF(F171="","",IFERROR(INDEX(Staff!$B$5:$B$44,MATCH(F171,Staff!$A$5:$A$44,0)),"House"))</f>
        <v>0</v>
      </c>
      <c r="R171" s="15">
        <f>IF(B171="","",TEXT(B171,"yyyy-mm"))</f>
        <v>0</v>
      </c>
      <c r="S171" s="25">
        <f>IF(B171="","",WEEKNUM(B171,2))</f>
        <v>0</v>
      </c>
      <c r="T171" s="37">
        <f>IF(B171="","",IF(K171="",1,K171))</f>
        <v>0</v>
      </c>
      <c r="U171" s="15">
        <f>IF(B171="","",IF(J171&lt;&gt;"",J171,IF(H171="Retail",IFERROR(INDEX(Inventory!$B$5:$B$304,MATCH(I171,Inventory!$A$5:$A$304,0))&amp;"","Not in Inventory"),IFERROR(INDEX(Services!$B$5:$B$204,MATCH(I171,Services!$A$5:$A$204,0))&amp;"","Not in Services"))))</f>
        <v>0</v>
      </c>
      <c r="V171" s="26">
        <f>IF(B171="","",IF(L171&lt;&gt;"",L171,IF(H171="Retail",IFERROR(INDEX(Inventory!$I$5:$I$304,MATCH(I171,Inventory!$A$5:$A$304,0))*1,0),IFERROR(INDEX(Services!$G$5:$G$204,MATCH(I171,Services!$A$5:$A$204,0))*1,0))))</f>
        <v>0</v>
      </c>
      <c r="W171" s="26">
        <f>IF(B171="","",ROUND(T171*V171,2))</f>
        <v>0</v>
      </c>
      <c r="X171" s="26">
        <f>IF(B171="","",ROUND(IF(M171="",0,W171*M171)+IF(N171="",0,N171),2))</f>
        <v>0</v>
      </c>
      <c r="Y171" s="26">
        <f>IF(B171="","",ROUND(W171-X171-IF(P171="",0,P171),2))</f>
        <v>0</v>
      </c>
      <c r="Z171" s="26">
        <f>IF(B171="","",IF(H171="Retail",IF(TaxOnRetail="Yes",ROUND(Y171*TaxRate,2),0),IF(H171="Service",IF(TaxOnServices="Yes",ROUND(Y171*TaxRate,2),0),0)))</f>
        <v>0</v>
      </c>
      <c r="AA171" s="26">
        <f>IF(B171="","",ROUND(Y171+Z171,2))</f>
        <v>0</v>
      </c>
      <c r="AB171" s="26">
        <f>IF(B171="","",ROUND(T171*IF(H171="Retail",IFERROR(INDEX(Inventory!$H$5:$H$304,MATCH(I171,Inventory!$A$5:$A$304,0))*1,0),IFERROR(INDEX(Services!$Q$5:$Q$204,MATCH(I171,Services!$A$5:$A$204,0))*1,0)),2))</f>
        <v>0</v>
      </c>
      <c r="AC171" s="26">
        <f>IF(B171="","",ROUND(Y171-AB171,2))</f>
        <v>0</v>
      </c>
      <c r="AD171" s="38">
        <f>IF(B171="","",IF(C171="","No",IF(COUNTIFS($C$5:C171,C171)=1,"Yes","No")))</f>
        <v>0</v>
      </c>
      <c r="AE171" s="26">
        <f>IF(B171="","",ROUND(SUMIFS(Payments!$G$5:$G$1204,Payments!$H$5:$H$1204,A171,Payments!$Q$5:$Q$1204,"Yes"),2))</f>
        <v>0</v>
      </c>
      <c r="AF171" s="26">
        <f>IF(B171="","",IF(AD171="No",0,ROUND(SUMIFS(Payments!$G$5:$G$1204,Payments!$I$5:$I$1204,C171,Payments!$H$5:$H$1204,"",Payments!$Q$5:$Q$1204,"Yes"),2)))</f>
        <v>0</v>
      </c>
      <c r="AG171" s="26">
        <f>IF(B171="","",ROUND(AE171+AF171,2))</f>
        <v>0</v>
      </c>
      <c r="AH171" s="26">
        <f>IF(B171="","",ROUND(AA171-AG171,2))</f>
        <v>0</v>
      </c>
      <c r="AI171" s="39">
        <f>IF(B171="","",IF(AA171&lt;=0,"No charge",IF(AH171&lt;=0.004,"Paid",IF(AG171&lt;=0.004,"Unpaid","Part paid"))))</f>
        <v>0</v>
      </c>
      <c r="AJ171" s="38">
        <f>IF(B171="","",IF(H171&lt;&gt;"Service","",IF(D171="","No",IF(COUNTIFS($D$5:$D$1204,D171,$B$5:$B$1204,B171,$H$5:$H$1204,"Retail")&gt;0,"Yes","No"))))</f>
        <v>0</v>
      </c>
      <c r="AK171" s="25">
        <f>IF(B171="","",COUNTIFS($Y$5:$Y$1204,"&gt;"&amp;Y171)+COUNTIFS($Y$5:Y171,Y171))</f>
        <v>0</v>
      </c>
      <c r="AL171" s="39">
        <f>IF(B171="","",IF(H171="","Add - what kind of sale is this?",IF(IF(V171&lt;=0,P171="",FALSE),"Check - no price found for this item",IF(F171="","Assign - nobody credited",IF(AH171&gt;0.004,"Unpaid - balance outstanding",IF(AC171&lt;0,"Loss - sold below cost",IF(X171&gt;W171*0.5,"Check - more than half off","OK")))))))</f>
        <v>0</v>
      </c>
    </row>
    <row r="172" spans="1:38">
      <c r="A172" s="28">
        <f>IF(B172="","",SalePrefix&amp;TEXT(ROW()-4,"0000"))</f>
        <v>0</v>
      </c>
      <c r="E172" s="15">
        <f>IF(D172="","",IFERROR(INDEX(Clients!$B$5:$B$504,MATCH(D172,Clients!$A$5:$A$504,0)),"Walk-in"))</f>
        <v>0</v>
      </c>
      <c r="G172" s="15">
        <f>IF(F172="","",IFERROR(INDEX(Staff!$B$5:$B$44,MATCH(F172,Staff!$A$5:$A$44,0)),"House"))</f>
        <v>0</v>
      </c>
      <c r="R172" s="15">
        <f>IF(B172="","",TEXT(B172,"yyyy-mm"))</f>
        <v>0</v>
      </c>
      <c r="S172" s="25">
        <f>IF(B172="","",WEEKNUM(B172,2))</f>
        <v>0</v>
      </c>
      <c r="T172" s="37">
        <f>IF(B172="","",IF(K172="",1,K172))</f>
        <v>0</v>
      </c>
      <c r="U172" s="15">
        <f>IF(B172="","",IF(J172&lt;&gt;"",J172,IF(H172="Retail",IFERROR(INDEX(Inventory!$B$5:$B$304,MATCH(I172,Inventory!$A$5:$A$304,0))&amp;"","Not in Inventory"),IFERROR(INDEX(Services!$B$5:$B$204,MATCH(I172,Services!$A$5:$A$204,0))&amp;"","Not in Services"))))</f>
        <v>0</v>
      </c>
      <c r="V172" s="26">
        <f>IF(B172="","",IF(L172&lt;&gt;"",L172,IF(H172="Retail",IFERROR(INDEX(Inventory!$I$5:$I$304,MATCH(I172,Inventory!$A$5:$A$304,0))*1,0),IFERROR(INDEX(Services!$G$5:$G$204,MATCH(I172,Services!$A$5:$A$204,0))*1,0))))</f>
        <v>0</v>
      </c>
      <c r="W172" s="26">
        <f>IF(B172="","",ROUND(T172*V172,2))</f>
        <v>0</v>
      </c>
      <c r="X172" s="26">
        <f>IF(B172="","",ROUND(IF(M172="",0,W172*M172)+IF(N172="",0,N172),2))</f>
        <v>0</v>
      </c>
      <c r="Y172" s="26">
        <f>IF(B172="","",ROUND(W172-X172-IF(P172="",0,P172),2))</f>
        <v>0</v>
      </c>
      <c r="Z172" s="26">
        <f>IF(B172="","",IF(H172="Retail",IF(TaxOnRetail="Yes",ROUND(Y172*TaxRate,2),0),IF(H172="Service",IF(TaxOnServices="Yes",ROUND(Y172*TaxRate,2),0),0)))</f>
        <v>0</v>
      </c>
      <c r="AA172" s="26">
        <f>IF(B172="","",ROUND(Y172+Z172,2))</f>
        <v>0</v>
      </c>
      <c r="AB172" s="26">
        <f>IF(B172="","",ROUND(T172*IF(H172="Retail",IFERROR(INDEX(Inventory!$H$5:$H$304,MATCH(I172,Inventory!$A$5:$A$304,0))*1,0),IFERROR(INDEX(Services!$Q$5:$Q$204,MATCH(I172,Services!$A$5:$A$204,0))*1,0)),2))</f>
        <v>0</v>
      </c>
      <c r="AC172" s="26">
        <f>IF(B172="","",ROUND(Y172-AB172,2))</f>
        <v>0</v>
      </c>
      <c r="AD172" s="38">
        <f>IF(B172="","",IF(C172="","No",IF(COUNTIFS($C$5:C172,C172)=1,"Yes","No")))</f>
        <v>0</v>
      </c>
      <c r="AE172" s="26">
        <f>IF(B172="","",ROUND(SUMIFS(Payments!$G$5:$G$1204,Payments!$H$5:$H$1204,A172,Payments!$Q$5:$Q$1204,"Yes"),2))</f>
        <v>0</v>
      </c>
      <c r="AF172" s="26">
        <f>IF(B172="","",IF(AD172="No",0,ROUND(SUMIFS(Payments!$G$5:$G$1204,Payments!$I$5:$I$1204,C172,Payments!$H$5:$H$1204,"",Payments!$Q$5:$Q$1204,"Yes"),2)))</f>
        <v>0</v>
      </c>
      <c r="AG172" s="26">
        <f>IF(B172="","",ROUND(AE172+AF172,2))</f>
        <v>0</v>
      </c>
      <c r="AH172" s="26">
        <f>IF(B172="","",ROUND(AA172-AG172,2))</f>
        <v>0</v>
      </c>
      <c r="AI172" s="39">
        <f>IF(B172="","",IF(AA172&lt;=0,"No charge",IF(AH172&lt;=0.004,"Paid",IF(AG172&lt;=0.004,"Unpaid","Part paid"))))</f>
        <v>0</v>
      </c>
      <c r="AJ172" s="38">
        <f>IF(B172="","",IF(H172&lt;&gt;"Service","",IF(D172="","No",IF(COUNTIFS($D$5:$D$1204,D172,$B$5:$B$1204,B172,$H$5:$H$1204,"Retail")&gt;0,"Yes","No"))))</f>
        <v>0</v>
      </c>
      <c r="AK172" s="25">
        <f>IF(B172="","",COUNTIFS($Y$5:$Y$1204,"&gt;"&amp;Y172)+COUNTIFS($Y$5:Y172,Y172))</f>
        <v>0</v>
      </c>
      <c r="AL172" s="39">
        <f>IF(B172="","",IF(H172="","Add - what kind of sale is this?",IF(IF(V172&lt;=0,P172="",FALSE),"Check - no price found for this item",IF(F172="","Assign - nobody credited",IF(AH172&gt;0.004,"Unpaid - balance outstanding",IF(AC172&lt;0,"Loss - sold below cost",IF(X172&gt;W172*0.5,"Check - more than half off","OK")))))))</f>
        <v>0</v>
      </c>
    </row>
    <row r="173" spans="1:38">
      <c r="A173" s="28">
        <f>IF(B173="","",SalePrefix&amp;TEXT(ROW()-4,"0000"))</f>
        <v>0</v>
      </c>
      <c r="E173" s="15">
        <f>IF(D173="","",IFERROR(INDEX(Clients!$B$5:$B$504,MATCH(D173,Clients!$A$5:$A$504,0)),"Walk-in"))</f>
        <v>0</v>
      </c>
      <c r="G173" s="15">
        <f>IF(F173="","",IFERROR(INDEX(Staff!$B$5:$B$44,MATCH(F173,Staff!$A$5:$A$44,0)),"House"))</f>
        <v>0</v>
      </c>
      <c r="R173" s="15">
        <f>IF(B173="","",TEXT(B173,"yyyy-mm"))</f>
        <v>0</v>
      </c>
      <c r="S173" s="25">
        <f>IF(B173="","",WEEKNUM(B173,2))</f>
        <v>0</v>
      </c>
      <c r="T173" s="37">
        <f>IF(B173="","",IF(K173="",1,K173))</f>
        <v>0</v>
      </c>
      <c r="U173" s="15">
        <f>IF(B173="","",IF(J173&lt;&gt;"",J173,IF(H173="Retail",IFERROR(INDEX(Inventory!$B$5:$B$304,MATCH(I173,Inventory!$A$5:$A$304,0))&amp;"","Not in Inventory"),IFERROR(INDEX(Services!$B$5:$B$204,MATCH(I173,Services!$A$5:$A$204,0))&amp;"","Not in Services"))))</f>
        <v>0</v>
      </c>
      <c r="V173" s="26">
        <f>IF(B173="","",IF(L173&lt;&gt;"",L173,IF(H173="Retail",IFERROR(INDEX(Inventory!$I$5:$I$304,MATCH(I173,Inventory!$A$5:$A$304,0))*1,0),IFERROR(INDEX(Services!$G$5:$G$204,MATCH(I173,Services!$A$5:$A$204,0))*1,0))))</f>
        <v>0</v>
      </c>
      <c r="W173" s="26">
        <f>IF(B173="","",ROUND(T173*V173,2))</f>
        <v>0</v>
      </c>
      <c r="X173" s="26">
        <f>IF(B173="","",ROUND(IF(M173="",0,W173*M173)+IF(N173="",0,N173),2))</f>
        <v>0</v>
      </c>
      <c r="Y173" s="26">
        <f>IF(B173="","",ROUND(W173-X173-IF(P173="",0,P173),2))</f>
        <v>0</v>
      </c>
      <c r="Z173" s="26">
        <f>IF(B173="","",IF(H173="Retail",IF(TaxOnRetail="Yes",ROUND(Y173*TaxRate,2),0),IF(H173="Service",IF(TaxOnServices="Yes",ROUND(Y173*TaxRate,2),0),0)))</f>
        <v>0</v>
      </c>
      <c r="AA173" s="26">
        <f>IF(B173="","",ROUND(Y173+Z173,2))</f>
        <v>0</v>
      </c>
      <c r="AB173" s="26">
        <f>IF(B173="","",ROUND(T173*IF(H173="Retail",IFERROR(INDEX(Inventory!$H$5:$H$304,MATCH(I173,Inventory!$A$5:$A$304,0))*1,0),IFERROR(INDEX(Services!$Q$5:$Q$204,MATCH(I173,Services!$A$5:$A$204,0))*1,0)),2))</f>
        <v>0</v>
      </c>
      <c r="AC173" s="26">
        <f>IF(B173="","",ROUND(Y173-AB173,2))</f>
        <v>0</v>
      </c>
      <c r="AD173" s="38">
        <f>IF(B173="","",IF(C173="","No",IF(COUNTIFS($C$5:C173,C173)=1,"Yes","No")))</f>
        <v>0</v>
      </c>
      <c r="AE173" s="26">
        <f>IF(B173="","",ROUND(SUMIFS(Payments!$G$5:$G$1204,Payments!$H$5:$H$1204,A173,Payments!$Q$5:$Q$1204,"Yes"),2))</f>
        <v>0</v>
      </c>
      <c r="AF173" s="26">
        <f>IF(B173="","",IF(AD173="No",0,ROUND(SUMIFS(Payments!$G$5:$G$1204,Payments!$I$5:$I$1204,C173,Payments!$H$5:$H$1204,"",Payments!$Q$5:$Q$1204,"Yes"),2)))</f>
        <v>0</v>
      </c>
      <c r="AG173" s="26">
        <f>IF(B173="","",ROUND(AE173+AF173,2))</f>
        <v>0</v>
      </c>
      <c r="AH173" s="26">
        <f>IF(B173="","",ROUND(AA173-AG173,2))</f>
        <v>0</v>
      </c>
      <c r="AI173" s="39">
        <f>IF(B173="","",IF(AA173&lt;=0,"No charge",IF(AH173&lt;=0.004,"Paid",IF(AG173&lt;=0.004,"Unpaid","Part paid"))))</f>
        <v>0</v>
      </c>
      <c r="AJ173" s="38">
        <f>IF(B173="","",IF(H173&lt;&gt;"Service","",IF(D173="","No",IF(COUNTIFS($D$5:$D$1204,D173,$B$5:$B$1204,B173,$H$5:$H$1204,"Retail")&gt;0,"Yes","No"))))</f>
        <v>0</v>
      </c>
      <c r="AK173" s="25">
        <f>IF(B173="","",COUNTIFS($Y$5:$Y$1204,"&gt;"&amp;Y173)+COUNTIFS($Y$5:Y173,Y173))</f>
        <v>0</v>
      </c>
      <c r="AL173" s="39">
        <f>IF(B173="","",IF(H173="","Add - what kind of sale is this?",IF(IF(V173&lt;=0,P173="",FALSE),"Check - no price found for this item",IF(F173="","Assign - nobody credited",IF(AH173&gt;0.004,"Unpaid - balance outstanding",IF(AC173&lt;0,"Loss - sold below cost",IF(X173&gt;W173*0.5,"Check - more than half off","OK")))))))</f>
        <v>0</v>
      </c>
    </row>
    <row r="174" spans="1:38">
      <c r="A174" s="28">
        <f>IF(B174="","",SalePrefix&amp;TEXT(ROW()-4,"0000"))</f>
        <v>0</v>
      </c>
      <c r="E174" s="15">
        <f>IF(D174="","",IFERROR(INDEX(Clients!$B$5:$B$504,MATCH(D174,Clients!$A$5:$A$504,0)),"Walk-in"))</f>
        <v>0</v>
      </c>
      <c r="G174" s="15">
        <f>IF(F174="","",IFERROR(INDEX(Staff!$B$5:$B$44,MATCH(F174,Staff!$A$5:$A$44,0)),"House"))</f>
        <v>0</v>
      </c>
      <c r="R174" s="15">
        <f>IF(B174="","",TEXT(B174,"yyyy-mm"))</f>
        <v>0</v>
      </c>
      <c r="S174" s="25">
        <f>IF(B174="","",WEEKNUM(B174,2))</f>
        <v>0</v>
      </c>
      <c r="T174" s="37">
        <f>IF(B174="","",IF(K174="",1,K174))</f>
        <v>0</v>
      </c>
      <c r="U174" s="15">
        <f>IF(B174="","",IF(J174&lt;&gt;"",J174,IF(H174="Retail",IFERROR(INDEX(Inventory!$B$5:$B$304,MATCH(I174,Inventory!$A$5:$A$304,0))&amp;"","Not in Inventory"),IFERROR(INDEX(Services!$B$5:$B$204,MATCH(I174,Services!$A$5:$A$204,0))&amp;"","Not in Services"))))</f>
        <v>0</v>
      </c>
      <c r="V174" s="26">
        <f>IF(B174="","",IF(L174&lt;&gt;"",L174,IF(H174="Retail",IFERROR(INDEX(Inventory!$I$5:$I$304,MATCH(I174,Inventory!$A$5:$A$304,0))*1,0),IFERROR(INDEX(Services!$G$5:$G$204,MATCH(I174,Services!$A$5:$A$204,0))*1,0))))</f>
        <v>0</v>
      </c>
      <c r="W174" s="26">
        <f>IF(B174="","",ROUND(T174*V174,2))</f>
        <v>0</v>
      </c>
      <c r="X174" s="26">
        <f>IF(B174="","",ROUND(IF(M174="",0,W174*M174)+IF(N174="",0,N174),2))</f>
        <v>0</v>
      </c>
      <c r="Y174" s="26">
        <f>IF(B174="","",ROUND(W174-X174-IF(P174="",0,P174),2))</f>
        <v>0</v>
      </c>
      <c r="Z174" s="26">
        <f>IF(B174="","",IF(H174="Retail",IF(TaxOnRetail="Yes",ROUND(Y174*TaxRate,2),0),IF(H174="Service",IF(TaxOnServices="Yes",ROUND(Y174*TaxRate,2),0),0)))</f>
        <v>0</v>
      </c>
      <c r="AA174" s="26">
        <f>IF(B174="","",ROUND(Y174+Z174,2))</f>
        <v>0</v>
      </c>
      <c r="AB174" s="26">
        <f>IF(B174="","",ROUND(T174*IF(H174="Retail",IFERROR(INDEX(Inventory!$H$5:$H$304,MATCH(I174,Inventory!$A$5:$A$304,0))*1,0),IFERROR(INDEX(Services!$Q$5:$Q$204,MATCH(I174,Services!$A$5:$A$204,0))*1,0)),2))</f>
        <v>0</v>
      </c>
      <c r="AC174" s="26">
        <f>IF(B174="","",ROUND(Y174-AB174,2))</f>
        <v>0</v>
      </c>
      <c r="AD174" s="38">
        <f>IF(B174="","",IF(C174="","No",IF(COUNTIFS($C$5:C174,C174)=1,"Yes","No")))</f>
        <v>0</v>
      </c>
      <c r="AE174" s="26">
        <f>IF(B174="","",ROUND(SUMIFS(Payments!$G$5:$G$1204,Payments!$H$5:$H$1204,A174,Payments!$Q$5:$Q$1204,"Yes"),2))</f>
        <v>0</v>
      </c>
      <c r="AF174" s="26">
        <f>IF(B174="","",IF(AD174="No",0,ROUND(SUMIFS(Payments!$G$5:$G$1204,Payments!$I$5:$I$1204,C174,Payments!$H$5:$H$1204,"",Payments!$Q$5:$Q$1204,"Yes"),2)))</f>
        <v>0</v>
      </c>
      <c r="AG174" s="26">
        <f>IF(B174="","",ROUND(AE174+AF174,2))</f>
        <v>0</v>
      </c>
      <c r="AH174" s="26">
        <f>IF(B174="","",ROUND(AA174-AG174,2))</f>
        <v>0</v>
      </c>
      <c r="AI174" s="39">
        <f>IF(B174="","",IF(AA174&lt;=0,"No charge",IF(AH174&lt;=0.004,"Paid",IF(AG174&lt;=0.004,"Unpaid","Part paid"))))</f>
        <v>0</v>
      </c>
      <c r="AJ174" s="38">
        <f>IF(B174="","",IF(H174&lt;&gt;"Service","",IF(D174="","No",IF(COUNTIFS($D$5:$D$1204,D174,$B$5:$B$1204,B174,$H$5:$H$1204,"Retail")&gt;0,"Yes","No"))))</f>
        <v>0</v>
      </c>
      <c r="AK174" s="25">
        <f>IF(B174="","",COUNTIFS($Y$5:$Y$1204,"&gt;"&amp;Y174)+COUNTIFS($Y$5:Y174,Y174))</f>
        <v>0</v>
      </c>
      <c r="AL174" s="39">
        <f>IF(B174="","",IF(H174="","Add - what kind of sale is this?",IF(IF(V174&lt;=0,P174="",FALSE),"Check - no price found for this item",IF(F174="","Assign - nobody credited",IF(AH174&gt;0.004,"Unpaid - balance outstanding",IF(AC174&lt;0,"Loss - sold below cost",IF(X174&gt;W174*0.5,"Check - more than half off","OK")))))))</f>
        <v>0</v>
      </c>
    </row>
    <row r="175" spans="1:38">
      <c r="A175" s="28">
        <f>IF(B175="","",SalePrefix&amp;TEXT(ROW()-4,"0000"))</f>
        <v>0</v>
      </c>
      <c r="E175" s="15">
        <f>IF(D175="","",IFERROR(INDEX(Clients!$B$5:$B$504,MATCH(D175,Clients!$A$5:$A$504,0)),"Walk-in"))</f>
        <v>0</v>
      </c>
      <c r="G175" s="15">
        <f>IF(F175="","",IFERROR(INDEX(Staff!$B$5:$B$44,MATCH(F175,Staff!$A$5:$A$44,0)),"House"))</f>
        <v>0</v>
      </c>
      <c r="R175" s="15">
        <f>IF(B175="","",TEXT(B175,"yyyy-mm"))</f>
        <v>0</v>
      </c>
      <c r="S175" s="25">
        <f>IF(B175="","",WEEKNUM(B175,2))</f>
        <v>0</v>
      </c>
      <c r="T175" s="37">
        <f>IF(B175="","",IF(K175="",1,K175))</f>
        <v>0</v>
      </c>
      <c r="U175" s="15">
        <f>IF(B175="","",IF(J175&lt;&gt;"",J175,IF(H175="Retail",IFERROR(INDEX(Inventory!$B$5:$B$304,MATCH(I175,Inventory!$A$5:$A$304,0))&amp;"","Not in Inventory"),IFERROR(INDEX(Services!$B$5:$B$204,MATCH(I175,Services!$A$5:$A$204,0))&amp;"","Not in Services"))))</f>
        <v>0</v>
      </c>
      <c r="V175" s="26">
        <f>IF(B175="","",IF(L175&lt;&gt;"",L175,IF(H175="Retail",IFERROR(INDEX(Inventory!$I$5:$I$304,MATCH(I175,Inventory!$A$5:$A$304,0))*1,0),IFERROR(INDEX(Services!$G$5:$G$204,MATCH(I175,Services!$A$5:$A$204,0))*1,0))))</f>
        <v>0</v>
      </c>
      <c r="W175" s="26">
        <f>IF(B175="","",ROUND(T175*V175,2))</f>
        <v>0</v>
      </c>
      <c r="X175" s="26">
        <f>IF(B175="","",ROUND(IF(M175="",0,W175*M175)+IF(N175="",0,N175),2))</f>
        <v>0</v>
      </c>
      <c r="Y175" s="26">
        <f>IF(B175="","",ROUND(W175-X175-IF(P175="",0,P175),2))</f>
        <v>0</v>
      </c>
      <c r="Z175" s="26">
        <f>IF(B175="","",IF(H175="Retail",IF(TaxOnRetail="Yes",ROUND(Y175*TaxRate,2),0),IF(H175="Service",IF(TaxOnServices="Yes",ROUND(Y175*TaxRate,2),0),0)))</f>
        <v>0</v>
      </c>
      <c r="AA175" s="26">
        <f>IF(B175="","",ROUND(Y175+Z175,2))</f>
        <v>0</v>
      </c>
      <c r="AB175" s="26">
        <f>IF(B175="","",ROUND(T175*IF(H175="Retail",IFERROR(INDEX(Inventory!$H$5:$H$304,MATCH(I175,Inventory!$A$5:$A$304,0))*1,0),IFERROR(INDEX(Services!$Q$5:$Q$204,MATCH(I175,Services!$A$5:$A$204,0))*1,0)),2))</f>
        <v>0</v>
      </c>
      <c r="AC175" s="26">
        <f>IF(B175="","",ROUND(Y175-AB175,2))</f>
        <v>0</v>
      </c>
      <c r="AD175" s="38">
        <f>IF(B175="","",IF(C175="","No",IF(COUNTIFS($C$5:C175,C175)=1,"Yes","No")))</f>
        <v>0</v>
      </c>
      <c r="AE175" s="26">
        <f>IF(B175="","",ROUND(SUMIFS(Payments!$G$5:$G$1204,Payments!$H$5:$H$1204,A175,Payments!$Q$5:$Q$1204,"Yes"),2))</f>
        <v>0</v>
      </c>
      <c r="AF175" s="26">
        <f>IF(B175="","",IF(AD175="No",0,ROUND(SUMIFS(Payments!$G$5:$G$1204,Payments!$I$5:$I$1204,C175,Payments!$H$5:$H$1204,"",Payments!$Q$5:$Q$1204,"Yes"),2)))</f>
        <v>0</v>
      </c>
      <c r="AG175" s="26">
        <f>IF(B175="","",ROUND(AE175+AF175,2))</f>
        <v>0</v>
      </c>
      <c r="AH175" s="26">
        <f>IF(B175="","",ROUND(AA175-AG175,2))</f>
        <v>0</v>
      </c>
      <c r="AI175" s="39">
        <f>IF(B175="","",IF(AA175&lt;=0,"No charge",IF(AH175&lt;=0.004,"Paid",IF(AG175&lt;=0.004,"Unpaid","Part paid"))))</f>
        <v>0</v>
      </c>
      <c r="AJ175" s="38">
        <f>IF(B175="","",IF(H175&lt;&gt;"Service","",IF(D175="","No",IF(COUNTIFS($D$5:$D$1204,D175,$B$5:$B$1204,B175,$H$5:$H$1204,"Retail")&gt;0,"Yes","No"))))</f>
        <v>0</v>
      </c>
      <c r="AK175" s="25">
        <f>IF(B175="","",COUNTIFS($Y$5:$Y$1204,"&gt;"&amp;Y175)+COUNTIFS($Y$5:Y175,Y175))</f>
        <v>0</v>
      </c>
      <c r="AL175" s="39">
        <f>IF(B175="","",IF(H175="","Add - what kind of sale is this?",IF(IF(V175&lt;=0,P175="",FALSE),"Check - no price found for this item",IF(F175="","Assign - nobody credited",IF(AH175&gt;0.004,"Unpaid - balance outstanding",IF(AC175&lt;0,"Loss - sold below cost",IF(X175&gt;W175*0.5,"Check - more than half off","OK")))))))</f>
        <v>0</v>
      </c>
    </row>
    <row r="176" spans="1:38">
      <c r="A176" s="28">
        <f>IF(B176="","",SalePrefix&amp;TEXT(ROW()-4,"0000"))</f>
        <v>0</v>
      </c>
      <c r="E176" s="15">
        <f>IF(D176="","",IFERROR(INDEX(Clients!$B$5:$B$504,MATCH(D176,Clients!$A$5:$A$504,0)),"Walk-in"))</f>
        <v>0</v>
      </c>
      <c r="G176" s="15">
        <f>IF(F176="","",IFERROR(INDEX(Staff!$B$5:$B$44,MATCH(F176,Staff!$A$5:$A$44,0)),"House"))</f>
        <v>0</v>
      </c>
      <c r="R176" s="15">
        <f>IF(B176="","",TEXT(B176,"yyyy-mm"))</f>
        <v>0</v>
      </c>
      <c r="S176" s="25">
        <f>IF(B176="","",WEEKNUM(B176,2))</f>
        <v>0</v>
      </c>
      <c r="T176" s="37">
        <f>IF(B176="","",IF(K176="",1,K176))</f>
        <v>0</v>
      </c>
      <c r="U176" s="15">
        <f>IF(B176="","",IF(J176&lt;&gt;"",J176,IF(H176="Retail",IFERROR(INDEX(Inventory!$B$5:$B$304,MATCH(I176,Inventory!$A$5:$A$304,0))&amp;"","Not in Inventory"),IFERROR(INDEX(Services!$B$5:$B$204,MATCH(I176,Services!$A$5:$A$204,0))&amp;"","Not in Services"))))</f>
        <v>0</v>
      </c>
      <c r="V176" s="26">
        <f>IF(B176="","",IF(L176&lt;&gt;"",L176,IF(H176="Retail",IFERROR(INDEX(Inventory!$I$5:$I$304,MATCH(I176,Inventory!$A$5:$A$304,0))*1,0),IFERROR(INDEX(Services!$G$5:$G$204,MATCH(I176,Services!$A$5:$A$204,0))*1,0))))</f>
        <v>0</v>
      </c>
      <c r="W176" s="26">
        <f>IF(B176="","",ROUND(T176*V176,2))</f>
        <v>0</v>
      </c>
      <c r="X176" s="26">
        <f>IF(B176="","",ROUND(IF(M176="",0,W176*M176)+IF(N176="",0,N176),2))</f>
        <v>0</v>
      </c>
      <c r="Y176" s="26">
        <f>IF(B176="","",ROUND(W176-X176-IF(P176="",0,P176),2))</f>
        <v>0</v>
      </c>
      <c r="Z176" s="26">
        <f>IF(B176="","",IF(H176="Retail",IF(TaxOnRetail="Yes",ROUND(Y176*TaxRate,2),0),IF(H176="Service",IF(TaxOnServices="Yes",ROUND(Y176*TaxRate,2),0),0)))</f>
        <v>0</v>
      </c>
      <c r="AA176" s="26">
        <f>IF(B176="","",ROUND(Y176+Z176,2))</f>
        <v>0</v>
      </c>
      <c r="AB176" s="26">
        <f>IF(B176="","",ROUND(T176*IF(H176="Retail",IFERROR(INDEX(Inventory!$H$5:$H$304,MATCH(I176,Inventory!$A$5:$A$304,0))*1,0),IFERROR(INDEX(Services!$Q$5:$Q$204,MATCH(I176,Services!$A$5:$A$204,0))*1,0)),2))</f>
        <v>0</v>
      </c>
      <c r="AC176" s="26">
        <f>IF(B176="","",ROUND(Y176-AB176,2))</f>
        <v>0</v>
      </c>
      <c r="AD176" s="38">
        <f>IF(B176="","",IF(C176="","No",IF(COUNTIFS($C$5:C176,C176)=1,"Yes","No")))</f>
        <v>0</v>
      </c>
      <c r="AE176" s="26">
        <f>IF(B176="","",ROUND(SUMIFS(Payments!$G$5:$G$1204,Payments!$H$5:$H$1204,A176,Payments!$Q$5:$Q$1204,"Yes"),2))</f>
        <v>0</v>
      </c>
      <c r="AF176" s="26">
        <f>IF(B176="","",IF(AD176="No",0,ROUND(SUMIFS(Payments!$G$5:$G$1204,Payments!$I$5:$I$1204,C176,Payments!$H$5:$H$1204,"",Payments!$Q$5:$Q$1204,"Yes"),2)))</f>
        <v>0</v>
      </c>
      <c r="AG176" s="26">
        <f>IF(B176="","",ROUND(AE176+AF176,2))</f>
        <v>0</v>
      </c>
      <c r="AH176" s="26">
        <f>IF(B176="","",ROUND(AA176-AG176,2))</f>
        <v>0</v>
      </c>
      <c r="AI176" s="39">
        <f>IF(B176="","",IF(AA176&lt;=0,"No charge",IF(AH176&lt;=0.004,"Paid",IF(AG176&lt;=0.004,"Unpaid","Part paid"))))</f>
        <v>0</v>
      </c>
      <c r="AJ176" s="38">
        <f>IF(B176="","",IF(H176&lt;&gt;"Service","",IF(D176="","No",IF(COUNTIFS($D$5:$D$1204,D176,$B$5:$B$1204,B176,$H$5:$H$1204,"Retail")&gt;0,"Yes","No"))))</f>
        <v>0</v>
      </c>
      <c r="AK176" s="25">
        <f>IF(B176="","",COUNTIFS($Y$5:$Y$1204,"&gt;"&amp;Y176)+COUNTIFS($Y$5:Y176,Y176))</f>
        <v>0</v>
      </c>
      <c r="AL176" s="39">
        <f>IF(B176="","",IF(H176="","Add - what kind of sale is this?",IF(IF(V176&lt;=0,P176="",FALSE),"Check - no price found for this item",IF(F176="","Assign - nobody credited",IF(AH176&gt;0.004,"Unpaid - balance outstanding",IF(AC176&lt;0,"Loss - sold below cost",IF(X176&gt;W176*0.5,"Check - more than half off","OK")))))))</f>
        <v>0</v>
      </c>
    </row>
    <row r="177" spans="1:38">
      <c r="A177" s="28">
        <f>IF(B177="","",SalePrefix&amp;TEXT(ROW()-4,"0000"))</f>
        <v>0</v>
      </c>
      <c r="E177" s="15">
        <f>IF(D177="","",IFERROR(INDEX(Clients!$B$5:$B$504,MATCH(D177,Clients!$A$5:$A$504,0)),"Walk-in"))</f>
        <v>0</v>
      </c>
      <c r="G177" s="15">
        <f>IF(F177="","",IFERROR(INDEX(Staff!$B$5:$B$44,MATCH(F177,Staff!$A$5:$A$44,0)),"House"))</f>
        <v>0</v>
      </c>
      <c r="R177" s="15">
        <f>IF(B177="","",TEXT(B177,"yyyy-mm"))</f>
        <v>0</v>
      </c>
      <c r="S177" s="25">
        <f>IF(B177="","",WEEKNUM(B177,2))</f>
        <v>0</v>
      </c>
      <c r="T177" s="37">
        <f>IF(B177="","",IF(K177="",1,K177))</f>
        <v>0</v>
      </c>
      <c r="U177" s="15">
        <f>IF(B177="","",IF(J177&lt;&gt;"",J177,IF(H177="Retail",IFERROR(INDEX(Inventory!$B$5:$B$304,MATCH(I177,Inventory!$A$5:$A$304,0))&amp;"","Not in Inventory"),IFERROR(INDEX(Services!$B$5:$B$204,MATCH(I177,Services!$A$5:$A$204,0))&amp;"","Not in Services"))))</f>
        <v>0</v>
      </c>
      <c r="V177" s="26">
        <f>IF(B177="","",IF(L177&lt;&gt;"",L177,IF(H177="Retail",IFERROR(INDEX(Inventory!$I$5:$I$304,MATCH(I177,Inventory!$A$5:$A$304,0))*1,0),IFERROR(INDEX(Services!$G$5:$G$204,MATCH(I177,Services!$A$5:$A$204,0))*1,0))))</f>
        <v>0</v>
      </c>
      <c r="W177" s="26">
        <f>IF(B177="","",ROUND(T177*V177,2))</f>
        <v>0</v>
      </c>
      <c r="X177" s="26">
        <f>IF(B177="","",ROUND(IF(M177="",0,W177*M177)+IF(N177="",0,N177),2))</f>
        <v>0</v>
      </c>
      <c r="Y177" s="26">
        <f>IF(B177="","",ROUND(W177-X177-IF(P177="",0,P177),2))</f>
        <v>0</v>
      </c>
      <c r="Z177" s="26">
        <f>IF(B177="","",IF(H177="Retail",IF(TaxOnRetail="Yes",ROUND(Y177*TaxRate,2),0),IF(H177="Service",IF(TaxOnServices="Yes",ROUND(Y177*TaxRate,2),0),0)))</f>
        <v>0</v>
      </c>
      <c r="AA177" s="26">
        <f>IF(B177="","",ROUND(Y177+Z177,2))</f>
        <v>0</v>
      </c>
      <c r="AB177" s="26">
        <f>IF(B177="","",ROUND(T177*IF(H177="Retail",IFERROR(INDEX(Inventory!$H$5:$H$304,MATCH(I177,Inventory!$A$5:$A$304,0))*1,0),IFERROR(INDEX(Services!$Q$5:$Q$204,MATCH(I177,Services!$A$5:$A$204,0))*1,0)),2))</f>
        <v>0</v>
      </c>
      <c r="AC177" s="26">
        <f>IF(B177="","",ROUND(Y177-AB177,2))</f>
        <v>0</v>
      </c>
      <c r="AD177" s="38">
        <f>IF(B177="","",IF(C177="","No",IF(COUNTIFS($C$5:C177,C177)=1,"Yes","No")))</f>
        <v>0</v>
      </c>
      <c r="AE177" s="26">
        <f>IF(B177="","",ROUND(SUMIFS(Payments!$G$5:$G$1204,Payments!$H$5:$H$1204,A177,Payments!$Q$5:$Q$1204,"Yes"),2))</f>
        <v>0</v>
      </c>
      <c r="AF177" s="26">
        <f>IF(B177="","",IF(AD177="No",0,ROUND(SUMIFS(Payments!$G$5:$G$1204,Payments!$I$5:$I$1204,C177,Payments!$H$5:$H$1204,"",Payments!$Q$5:$Q$1204,"Yes"),2)))</f>
        <v>0</v>
      </c>
      <c r="AG177" s="26">
        <f>IF(B177="","",ROUND(AE177+AF177,2))</f>
        <v>0</v>
      </c>
      <c r="AH177" s="26">
        <f>IF(B177="","",ROUND(AA177-AG177,2))</f>
        <v>0</v>
      </c>
      <c r="AI177" s="39">
        <f>IF(B177="","",IF(AA177&lt;=0,"No charge",IF(AH177&lt;=0.004,"Paid",IF(AG177&lt;=0.004,"Unpaid","Part paid"))))</f>
        <v>0</v>
      </c>
      <c r="AJ177" s="38">
        <f>IF(B177="","",IF(H177&lt;&gt;"Service","",IF(D177="","No",IF(COUNTIFS($D$5:$D$1204,D177,$B$5:$B$1204,B177,$H$5:$H$1204,"Retail")&gt;0,"Yes","No"))))</f>
        <v>0</v>
      </c>
      <c r="AK177" s="25">
        <f>IF(B177="","",COUNTIFS($Y$5:$Y$1204,"&gt;"&amp;Y177)+COUNTIFS($Y$5:Y177,Y177))</f>
        <v>0</v>
      </c>
      <c r="AL177" s="39">
        <f>IF(B177="","",IF(H177="","Add - what kind of sale is this?",IF(IF(V177&lt;=0,P177="",FALSE),"Check - no price found for this item",IF(F177="","Assign - nobody credited",IF(AH177&gt;0.004,"Unpaid - balance outstanding",IF(AC177&lt;0,"Loss - sold below cost",IF(X177&gt;W177*0.5,"Check - more than half off","OK")))))))</f>
        <v>0</v>
      </c>
    </row>
    <row r="178" spans="1:38">
      <c r="A178" s="28">
        <f>IF(B178="","",SalePrefix&amp;TEXT(ROW()-4,"0000"))</f>
        <v>0</v>
      </c>
      <c r="E178" s="15">
        <f>IF(D178="","",IFERROR(INDEX(Clients!$B$5:$B$504,MATCH(D178,Clients!$A$5:$A$504,0)),"Walk-in"))</f>
        <v>0</v>
      </c>
      <c r="G178" s="15">
        <f>IF(F178="","",IFERROR(INDEX(Staff!$B$5:$B$44,MATCH(F178,Staff!$A$5:$A$44,0)),"House"))</f>
        <v>0</v>
      </c>
      <c r="R178" s="15">
        <f>IF(B178="","",TEXT(B178,"yyyy-mm"))</f>
        <v>0</v>
      </c>
      <c r="S178" s="25">
        <f>IF(B178="","",WEEKNUM(B178,2))</f>
        <v>0</v>
      </c>
      <c r="T178" s="37">
        <f>IF(B178="","",IF(K178="",1,K178))</f>
        <v>0</v>
      </c>
      <c r="U178" s="15">
        <f>IF(B178="","",IF(J178&lt;&gt;"",J178,IF(H178="Retail",IFERROR(INDEX(Inventory!$B$5:$B$304,MATCH(I178,Inventory!$A$5:$A$304,0))&amp;"","Not in Inventory"),IFERROR(INDEX(Services!$B$5:$B$204,MATCH(I178,Services!$A$5:$A$204,0))&amp;"","Not in Services"))))</f>
        <v>0</v>
      </c>
      <c r="V178" s="26">
        <f>IF(B178="","",IF(L178&lt;&gt;"",L178,IF(H178="Retail",IFERROR(INDEX(Inventory!$I$5:$I$304,MATCH(I178,Inventory!$A$5:$A$304,0))*1,0),IFERROR(INDEX(Services!$G$5:$G$204,MATCH(I178,Services!$A$5:$A$204,0))*1,0))))</f>
        <v>0</v>
      </c>
      <c r="W178" s="26">
        <f>IF(B178="","",ROUND(T178*V178,2))</f>
        <v>0</v>
      </c>
      <c r="X178" s="26">
        <f>IF(B178="","",ROUND(IF(M178="",0,W178*M178)+IF(N178="",0,N178),2))</f>
        <v>0</v>
      </c>
      <c r="Y178" s="26">
        <f>IF(B178="","",ROUND(W178-X178-IF(P178="",0,P178),2))</f>
        <v>0</v>
      </c>
      <c r="Z178" s="26">
        <f>IF(B178="","",IF(H178="Retail",IF(TaxOnRetail="Yes",ROUND(Y178*TaxRate,2),0),IF(H178="Service",IF(TaxOnServices="Yes",ROUND(Y178*TaxRate,2),0),0)))</f>
        <v>0</v>
      </c>
      <c r="AA178" s="26">
        <f>IF(B178="","",ROUND(Y178+Z178,2))</f>
        <v>0</v>
      </c>
      <c r="AB178" s="26">
        <f>IF(B178="","",ROUND(T178*IF(H178="Retail",IFERROR(INDEX(Inventory!$H$5:$H$304,MATCH(I178,Inventory!$A$5:$A$304,0))*1,0),IFERROR(INDEX(Services!$Q$5:$Q$204,MATCH(I178,Services!$A$5:$A$204,0))*1,0)),2))</f>
        <v>0</v>
      </c>
      <c r="AC178" s="26">
        <f>IF(B178="","",ROUND(Y178-AB178,2))</f>
        <v>0</v>
      </c>
      <c r="AD178" s="38">
        <f>IF(B178="","",IF(C178="","No",IF(COUNTIFS($C$5:C178,C178)=1,"Yes","No")))</f>
        <v>0</v>
      </c>
      <c r="AE178" s="26">
        <f>IF(B178="","",ROUND(SUMIFS(Payments!$G$5:$G$1204,Payments!$H$5:$H$1204,A178,Payments!$Q$5:$Q$1204,"Yes"),2))</f>
        <v>0</v>
      </c>
      <c r="AF178" s="26">
        <f>IF(B178="","",IF(AD178="No",0,ROUND(SUMIFS(Payments!$G$5:$G$1204,Payments!$I$5:$I$1204,C178,Payments!$H$5:$H$1204,"",Payments!$Q$5:$Q$1204,"Yes"),2)))</f>
        <v>0</v>
      </c>
      <c r="AG178" s="26">
        <f>IF(B178="","",ROUND(AE178+AF178,2))</f>
        <v>0</v>
      </c>
      <c r="AH178" s="26">
        <f>IF(B178="","",ROUND(AA178-AG178,2))</f>
        <v>0</v>
      </c>
      <c r="AI178" s="39">
        <f>IF(B178="","",IF(AA178&lt;=0,"No charge",IF(AH178&lt;=0.004,"Paid",IF(AG178&lt;=0.004,"Unpaid","Part paid"))))</f>
        <v>0</v>
      </c>
      <c r="AJ178" s="38">
        <f>IF(B178="","",IF(H178&lt;&gt;"Service","",IF(D178="","No",IF(COUNTIFS($D$5:$D$1204,D178,$B$5:$B$1204,B178,$H$5:$H$1204,"Retail")&gt;0,"Yes","No"))))</f>
        <v>0</v>
      </c>
      <c r="AK178" s="25">
        <f>IF(B178="","",COUNTIFS($Y$5:$Y$1204,"&gt;"&amp;Y178)+COUNTIFS($Y$5:Y178,Y178))</f>
        <v>0</v>
      </c>
      <c r="AL178" s="39">
        <f>IF(B178="","",IF(H178="","Add - what kind of sale is this?",IF(IF(V178&lt;=0,P178="",FALSE),"Check - no price found for this item",IF(F178="","Assign - nobody credited",IF(AH178&gt;0.004,"Unpaid - balance outstanding",IF(AC178&lt;0,"Loss - sold below cost",IF(X178&gt;W178*0.5,"Check - more than half off","OK")))))))</f>
        <v>0</v>
      </c>
    </row>
    <row r="179" spans="1:38">
      <c r="A179" s="28">
        <f>IF(B179="","",SalePrefix&amp;TEXT(ROW()-4,"0000"))</f>
        <v>0</v>
      </c>
      <c r="E179" s="15">
        <f>IF(D179="","",IFERROR(INDEX(Clients!$B$5:$B$504,MATCH(D179,Clients!$A$5:$A$504,0)),"Walk-in"))</f>
        <v>0</v>
      </c>
      <c r="G179" s="15">
        <f>IF(F179="","",IFERROR(INDEX(Staff!$B$5:$B$44,MATCH(F179,Staff!$A$5:$A$44,0)),"House"))</f>
        <v>0</v>
      </c>
      <c r="R179" s="15">
        <f>IF(B179="","",TEXT(B179,"yyyy-mm"))</f>
        <v>0</v>
      </c>
      <c r="S179" s="25">
        <f>IF(B179="","",WEEKNUM(B179,2))</f>
        <v>0</v>
      </c>
      <c r="T179" s="37">
        <f>IF(B179="","",IF(K179="",1,K179))</f>
        <v>0</v>
      </c>
      <c r="U179" s="15">
        <f>IF(B179="","",IF(J179&lt;&gt;"",J179,IF(H179="Retail",IFERROR(INDEX(Inventory!$B$5:$B$304,MATCH(I179,Inventory!$A$5:$A$304,0))&amp;"","Not in Inventory"),IFERROR(INDEX(Services!$B$5:$B$204,MATCH(I179,Services!$A$5:$A$204,0))&amp;"","Not in Services"))))</f>
        <v>0</v>
      </c>
      <c r="V179" s="26">
        <f>IF(B179="","",IF(L179&lt;&gt;"",L179,IF(H179="Retail",IFERROR(INDEX(Inventory!$I$5:$I$304,MATCH(I179,Inventory!$A$5:$A$304,0))*1,0),IFERROR(INDEX(Services!$G$5:$G$204,MATCH(I179,Services!$A$5:$A$204,0))*1,0))))</f>
        <v>0</v>
      </c>
      <c r="W179" s="26">
        <f>IF(B179="","",ROUND(T179*V179,2))</f>
        <v>0</v>
      </c>
      <c r="X179" s="26">
        <f>IF(B179="","",ROUND(IF(M179="",0,W179*M179)+IF(N179="",0,N179),2))</f>
        <v>0</v>
      </c>
      <c r="Y179" s="26">
        <f>IF(B179="","",ROUND(W179-X179-IF(P179="",0,P179),2))</f>
        <v>0</v>
      </c>
      <c r="Z179" s="26">
        <f>IF(B179="","",IF(H179="Retail",IF(TaxOnRetail="Yes",ROUND(Y179*TaxRate,2),0),IF(H179="Service",IF(TaxOnServices="Yes",ROUND(Y179*TaxRate,2),0),0)))</f>
        <v>0</v>
      </c>
      <c r="AA179" s="26">
        <f>IF(B179="","",ROUND(Y179+Z179,2))</f>
        <v>0</v>
      </c>
      <c r="AB179" s="26">
        <f>IF(B179="","",ROUND(T179*IF(H179="Retail",IFERROR(INDEX(Inventory!$H$5:$H$304,MATCH(I179,Inventory!$A$5:$A$304,0))*1,0),IFERROR(INDEX(Services!$Q$5:$Q$204,MATCH(I179,Services!$A$5:$A$204,0))*1,0)),2))</f>
        <v>0</v>
      </c>
      <c r="AC179" s="26">
        <f>IF(B179="","",ROUND(Y179-AB179,2))</f>
        <v>0</v>
      </c>
      <c r="AD179" s="38">
        <f>IF(B179="","",IF(C179="","No",IF(COUNTIFS($C$5:C179,C179)=1,"Yes","No")))</f>
        <v>0</v>
      </c>
      <c r="AE179" s="26">
        <f>IF(B179="","",ROUND(SUMIFS(Payments!$G$5:$G$1204,Payments!$H$5:$H$1204,A179,Payments!$Q$5:$Q$1204,"Yes"),2))</f>
        <v>0</v>
      </c>
      <c r="AF179" s="26">
        <f>IF(B179="","",IF(AD179="No",0,ROUND(SUMIFS(Payments!$G$5:$G$1204,Payments!$I$5:$I$1204,C179,Payments!$H$5:$H$1204,"",Payments!$Q$5:$Q$1204,"Yes"),2)))</f>
        <v>0</v>
      </c>
      <c r="AG179" s="26">
        <f>IF(B179="","",ROUND(AE179+AF179,2))</f>
        <v>0</v>
      </c>
      <c r="AH179" s="26">
        <f>IF(B179="","",ROUND(AA179-AG179,2))</f>
        <v>0</v>
      </c>
      <c r="AI179" s="39">
        <f>IF(B179="","",IF(AA179&lt;=0,"No charge",IF(AH179&lt;=0.004,"Paid",IF(AG179&lt;=0.004,"Unpaid","Part paid"))))</f>
        <v>0</v>
      </c>
      <c r="AJ179" s="38">
        <f>IF(B179="","",IF(H179&lt;&gt;"Service","",IF(D179="","No",IF(COUNTIFS($D$5:$D$1204,D179,$B$5:$B$1204,B179,$H$5:$H$1204,"Retail")&gt;0,"Yes","No"))))</f>
        <v>0</v>
      </c>
      <c r="AK179" s="25">
        <f>IF(B179="","",COUNTIFS($Y$5:$Y$1204,"&gt;"&amp;Y179)+COUNTIFS($Y$5:Y179,Y179))</f>
        <v>0</v>
      </c>
      <c r="AL179" s="39">
        <f>IF(B179="","",IF(H179="","Add - what kind of sale is this?",IF(IF(V179&lt;=0,P179="",FALSE),"Check - no price found for this item",IF(F179="","Assign - nobody credited",IF(AH179&gt;0.004,"Unpaid - balance outstanding",IF(AC179&lt;0,"Loss - sold below cost",IF(X179&gt;W179*0.5,"Check - more than half off","OK")))))))</f>
        <v>0</v>
      </c>
    </row>
    <row r="180" spans="1:38">
      <c r="A180" s="28">
        <f>IF(B180="","",SalePrefix&amp;TEXT(ROW()-4,"0000"))</f>
        <v>0</v>
      </c>
      <c r="E180" s="15">
        <f>IF(D180="","",IFERROR(INDEX(Clients!$B$5:$B$504,MATCH(D180,Clients!$A$5:$A$504,0)),"Walk-in"))</f>
        <v>0</v>
      </c>
      <c r="G180" s="15">
        <f>IF(F180="","",IFERROR(INDEX(Staff!$B$5:$B$44,MATCH(F180,Staff!$A$5:$A$44,0)),"House"))</f>
        <v>0</v>
      </c>
      <c r="R180" s="15">
        <f>IF(B180="","",TEXT(B180,"yyyy-mm"))</f>
        <v>0</v>
      </c>
      <c r="S180" s="25">
        <f>IF(B180="","",WEEKNUM(B180,2))</f>
        <v>0</v>
      </c>
      <c r="T180" s="37">
        <f>IF(B180="","",IF(K180="",1,K180))</f>
        <v>0</v>
      </c>
      <c r="U180" s="15">
        <f>IF(B180="","",IF(J180&lt;&gt;"",J180,IF(H180="Retail",IFERROR(INDEX(Inventory!$B$5:$B$304,MATCH(I180,Inventory!$A$5:$A$304,0))&amp;"","Not in Inventory"),IFERROR(INDEX(Services!$B$5:$B$204,MATCH(I180,Services!$A$5:$A$204,0))&amp;"","Not in Services"))))</f>
        <v>0</v>
      </c>
      <c r="V180" s="26">
        <f>IF(B180="","",IF(L180&lt;&gt;"",L180,IF(H180="Retail",IFERROR(INDEX(Inventory!$I$5:$I$304,MATCH(I180,Inventory!$A$5:$A$304,0))*1,0),IFERROR(INDEX(Services!$G$5:$G$204,MATCH(I180,Services!$A$5:$A$204,0))*1,0))))</f>
        <v>0</v>
      </c>
      <c r="W180" s="26">
        <f>IF(B180="","",ROUND(T180*V180,2))</f>
        <v>0</v>
      </c>
      <c r="X180" s="26">
        <f>IF(B180="","",ROUND(IF(M180="",0,W180*M180)+IF(N180="",0,N180),2))</f>
        <v>0</v>
      </c>
      <c r="Y180" s="26">
        <f>IF(B180="","",ROUND(W180-X180-IF(P180="",0,P180),2))</f>
        <v>0</v>
      </c>
      <c r="Z180" s="26">
        <f>IF(B180="","",IF(H180="Retail",IF(TaxOnRetail="Yes",ROUND(Y180*TaxRate,2),0),IF(H180="Service",IF(TaxOnServices="Yes",ROUND(Y180*TaxRate,2),0),0)))</f>
        <v>0</v>
      </c>
      <c r="AA180" s="26">
        <f>IF(B180="","",ROUND(Y180+Z180,2))</f>
        <v>0</v>
      </c>
      <c r="AB180" s="26">
        <f>IF(B180="","",ROUND(T180*IF(H180="Retail",IFERROR(INDEX(Inventory!$H$5:$H$304,MATCH(I180,Inventory!$A$5:$A$304,0))*1,0),IFERROR(INDEX(Services!$Q$5:$Q$204,MATCH(I180,Services!$A$5:$A$204,0))*1,0)),2))</f>
        <v>0</v>
      </c>
      <c r="AC180" s="26">
        <f>IF(B180="","",ROUND(Y180-AB180,2))</f>
        <v>0</v>
      </c>
      <c r="AD180" s="38">
        <f>IF(B180="","",IF(C180="","No",IF(COUNTIFS($C$5:C180,C180)=1,"Yes","No")))</f>
        <v>0</v>
      </c>
      <c r="AE180" s="26">
        <f>IF(B180="","",ROUND(SUMIFS(Payments!$G$5:$G$1204,Payments!$H$5:$H$1204,A180,Payments!$Q$5:$Q$1204,"Yes"),2))</f>
        <v>0</v>
      </c>
      <c r="AF180" s="26">
        <f>IF(B180="","",IF(AD180="No",0,ROUND(SUMIFS(Payments!$G$5:$G$1204,Payments!$I$5:$I$1204,C180,Payments!$H$5:$H$1204,"",Payments!$Q$5:$Q$1204,"Yes"),2)))</f>
        <v>0</v>
      </c>
      <c r="AG180" s="26">
        <f>IF(B180="","",ROUND(AE180+AF180,2))</f>
        <v>0</v>
      </c>
      <c r="AH180" s="26">
        <f>IF(B180="","",ROUND(AA180-AG180,2))</f>
        <v>0</v>
      </c>
      <c r="AI180" s="39">
        <f>IF(B180="","",IF(AA180&lt;=0,"No charge",IF(AH180&lt;=0.004,"Paid",IF(AG180&lt;=0.004,"Unpaid","Part paid"))))</f>
        <v>0</v>
      </c>
      <c r="AJ180" s="38">
        <f>IF(B180="","",IF(H180&lt;&gt;"Service","",IF(D180="","No",IF(COUNTIFS($D$5:$D$1204,D180,$B$5:$B$1204,B180,$H$5:$H$1204,"Retail")&gt;0,"Yes","No"))))</f>
        <v>0</v>
      </c>
      <c r="AK180" s="25">
        <f>IF(B180="","",COUNTIFS($Y$5:$Y$1204,"&gt;"&amp;Y180)+COUNTIFS($Y$5:Y180,Y180))</f>
        <v>0</v>
      </c>
      <c r="AL180" s="39">
        <f>IF(B180="","",IF(H180="","Add - what kind of sale is this?",IF(IF(V180&lt;=0,P180="",FALSE),"Check - no price found for this item",IF(F180="","Assign - nobody credited",IF(AH180&gt;0.004,"Unpaid - balance outstanding",IF(AC180&lt;0,"Loss - sold below cost",IF(X180&gt;W180*0.5,"Check - more than half off","OK")))))))</f>
        <v>0</v>
      </c>
    </row>
    <row r="181" spans="1:38">
      <c r="A181" s="28">
        <f>IF(B181="","",SalePrefix&amp;TEXT(ROW()-4,"0000"))</f>
        <v>0</v>
      </c>
      <c r="E181" s="15">
        <f>IF(D181="","",IFERROR(INDEX(Clients!$B$5:$B$504,MATCH(D181,Clients!$A$5:$A$504,0)),"Walk-in"))</f>
        <v>0</v>
      </c>
      <c r="G181" s="15">
        <f>IF(F181="","",IFERROR(INDEX(Staff!$B$5:$B$44,MATCH(F181,Staff!$A$5:$A$44,0)),"House"))</f>
        <v>0</v>
      </c>
      <c r="R181" s="15">
        <f>IF(B181="","",TEXT(B181,"yyyy-mm"))</f>
        <v>0</v>
      </c>
      <c r="S181" s="25">
        <f>IF(B181="","",WEEKNUM(B181,2))</f>
        <v>0</v>
      </c>
      <c r="T181" s="37">
        <f>IF(B181="","",IF(K181="",1,K181))</f>
        <v>0</v>
      </c>
      <c r="U181" s="15">
        <f>IF(B181="","",IF(J181&lt;&gt;"",J181,IF(H181="Retail",IFERROR(INDEX(Inventory!$B$5:$B$304,MATCH(I181,Inventory!$A$5:$A$304,0))&amp;"","Not in Inventory"),IFERROR(INDEX(Services!$B$5:$B$204,MATCH(I181,Services!$A$5:$A$204,0))&amp;"","Not in Services"))))</f>
        <v>0</v>
      </c>
      <c r="V181" s="26">
        <f>IF(B181="","",IF(L181&lt;&gt;"",L181,IF(H181="Retail",IFERROR(INDEX(Inventory!$I$5:$I$304,MATCH(I181,Inventory!$A$5:$A$304,0))*1,0),IFERROR(INDEX(Services!$G$5:$G$204,MATCH(I181,Services!$A$5:$A$204,0))*1,0))))</f>
        <v>0</v>
      </c>
      <c r="W181" s="26">
        <f>IF(B181="","",ROUND(T181*V181,2))</f>
        <v>0</v>
      </c>
      <c r="X181" s="26">
        <f>IF(B181="","",ROUND(IF(M181="",0,W181*M181)+IF(N181="",0,N181),2))</f>
        <v>0</v>
      </c>
      <c r="Y181" s="26">
        <f>IF(B181="","",ROUND(W181-X181-IF(P181="",0,P181),2))</f>
        <v>0</v>
      </c>
      <c r="Z181" s="26">
        <f>IF(B181="","",IF(H181="Retail",IF(TaxOnRetail="Yes",ROUND(Y181*TaxRate,2),0),IF(H181="Service",IF(TaxOnServices="Yes",ROUND(Y181*TaxRate,2),0),0)))</f>
        <v>0</v>
      </c>
      <c r="AA181" s="26">
        <f>IF(B181="","",ROUND(Y181+Z181,2))</f>
        <v>0</v>
      </c>
      <c r="AB181" s="26">
        <f>IF(B181="","",ROUND(T181*IF(H181="Retail",IFERROR(INDEX(Inventory!$H$5:$H$304,MATCH(I181,Inventory!$A$5:$A$304,0))*1,0),IFERROR(INDEX(Services!$Q$5:$Q$204,MATCH(I181,Services!$A$5:$A$204,0))*1,0)),2))</f>
        <v>0</v>
      </c>
      <c r="AC181" s="26">
        <f>IF(B181="","",ROUND(Y181-AB181,2))</f>
        <v>0</v>
      </c>
      <c r="AD181" s="38">
        <f>IF(B181="","",IF(C181="","No",IF(COUNTIFS($C$5:C181,C181)=1,"Yes","No")))</f>
        <v>0</v>
      </c>
      <c r="AE181" s="26">
        <f>IF(B181="","",ROUND(SUMIFS(Payments!$G$5:$G$1204,Payments!$H$5:$H$1204,A181,Payments!$Q$5:$Q$1204,"Yes"),2))</f>
        <v>0</v>
      </c>
      <c r="AF181" s="26">
        <f>IF(B181="","",IF(AD181="No",0,ROUND(SUMIFS(Payments!$G$5:$G$1204,Payments!$I$5:$I$1204,C181,Payments!$H$5:$H$1204,"",Payments!$Q$5:$Q$1204,"Yes"),2)))</f>
        <v>0</v>
      </c>
      <c r="AG181" s="26">
        <f>IF(B181="","",ROUND(AE181+AF181,2))</f>
        <v>0</v>
      </c>
      <c r="AH181" s="26">
        <f>IF(B181="","",ROUND(AA181-AG181,2))</f>
        <v>0</v>
      </c>
      <c r="AI181" s="39">
        <f>IF(B181="","",IF(AA181&lt;=0,"No charge",IF(AH181&lt;=0.004,"Paid",IF(AG181&lt;=0.004,"Unpaid","Part paid"))))</f>
        <v>0</v>
      </c>
      <c r="AJ181" s="38">
        <f>IF(B181="","",IF(H181&lt;&gt;"Service","",IF(D181="","No",IF(COUNTIFS($D$5:$D$1204,D181,$B$5:$B$1204,B181,$H$5:$H$1204,"Retail")&gt;0,"Yes","No"))))</f>
        <v>0</v>
      </c>
      <c r="AK181" s="25">
        <f>IF(B181="","",COUNTIFS($Y$5:$Y$1204,"&gt;"&amp;Y181)+COUNTIFS($Y$5:Y181,Y181))</f>
        <v>0</v>
      </c>
      <c r="AL181" s="39">
        <f>IF(B181="","",IF(H181="","Add - what kind of sale is this?",IF(IF(V181&lt;=0,P181="",FALSE),"Check - no price found for this item",IF(F181="","Assign - nobody credited",IF(AH181&gt;0.004,"Unpaid - balance outstanding",IF(AC181&lt;0,"Loss - sold below cost",IF(X181&gt;W181*0.5,"Check - more than half off","OK")))))))</f>
        <v>0</v>
      </c>
    </row>
    <row r="182" spans="1:38">
      <c r="A182" s="28">
        <f>IF(B182="","",SalePrefix&amp;TEXT(ROW()-4,"0000"))</f>
        <v>0</v>
      </c>
      <c r="E182" s="15">
        <f>IF(D182="","",IFERROR(INDEX(Clients!$B$5:$B$504,MATCH(D182,Clients!$A$5:$A$504,0)),"Walk-in"))</f>
        <v>0</v>
      </c>
      <c r="G182" s="15">
        <f>IF(F182="","",IFERROR(INDEX(Staff!$B$5:$B$44,MATCH(F182,Staff!$A$5:$A$44,0)),"House"))</f>
        <v>0</v>
      </c>
      <c r="R182" s="15">
        <f>IF(B182="","",TEXT(B182,"yyyy-mm"))</f>
        <v>0</v>
      </c>
      <c r="S182" s="25">
        <f>IF(B182="","",WEEKNUM(B182,2))</f>
        <v>0</v>
      </c>
      <c r="T182" s="37">
        <f>IF(B182="","",IF(K182="",1,K182))</f>
        <v>0</v>
      </c>
      <c r="U182" s="15">
        <f>IF(B182="","",IF(J182&lt;&gt;"",J182,IF(H182="Retail",IFERROR(INDEX(Inventory!$B$5:$B$304,MATCH(I182,Inventory!$A$5:$A$304,0))&amp;"","Not in Inventory"),IFERROR(INDEX(Services!$B$5:$B$204,MATCH(I182,Services!$A$5:$A$204,0))&amp;"","Not in Services"))))</f>
        <v>0</v>
      </c>
      <c r="V182" s="26">
        <f>IF(B182="","",IF(L182&lt;&gt;"",L182,IF(H182="Retail",IFERROR(INDEX(Inventory!$I$5:$I$304,MATCH(I182,Inventory!$A$5:$A$304,0))*1,0),IFERROR(INDEX(Services!$G$5:$G$204,MATCH(I182,Services!$A$5:$A$204,0))*1,0))))</f>
        <v>0</v>
      </c>
      <c r="W182" s="26">
        <f>IF(B182="","",ROUND(T182*V182,2))</f>
        <v>0</v>
      </c>
      <c r="X182" s="26">
        <f>IF(B182="","",ROUND(IF(M182="",0,W182*M182)+IF(N182="",0,N182),2))</f>
        <v>0</v>
      </c>
      <c r="Y182" s="26">
        <f>IF(B182="","",ROUND(W182-X182-IF(P182="",0,P182),2))</f>
        <v>0</v>
      </c>
      <c r="Z182" s="26">
        <f>IF(B182="","",IF(H182="Retail",IF(TaxOnRetail="Yes",ROUND(Y182*TaxRate,2),0),IF(H182="Service",IF(TaxOnServices="Yes",ROUND(Y182*TaxRate,2),0),0)))</f>
        <v>0</v>
      </c>
      <c r="AA182" s="26">
        <f>IF(B182="","",ROUND(Y182+Z182,2))</f>
        <v>0</v>
      </c>
      <c r="AB182" s="26">
        <f>IF(B182="","",ROUND(T182*IF(H182="Retail",IFERROR(INDEX(Inventory!$H$5:$H$304,MATCH(I182,Inventory!$A$5:$A$304,0))*1,0),IFERROR(INDEX(Services!$Q$5:$Q$204,MATCH(I182,Services!$A$5:$A$204,0))*1,0)),2))</f>
        <v>0</v>
      </c>
      <c r="AC182" s="26">
        <f>IF(B182="","",ROUND(Y182-AB182,2))</f>
        <v>0</v>
      </c>
      <c r="AD182" s="38">
        <f>IF(B182="","",IF(C182="","No",IF(COUNTIFS($C$5:C182,C182)=1,"Yes","No")))</f>
        <v>0</v>
      </c>
      <c r="AE182" s="26">
        <f>IF(B182="","",ROUND(SUMIFS(Payments!$G$5:$G$1204,Payments!$H$5:$H$1204,A182,Payments!$Q$5:$Q$1204,"Yes"),2))</f>
        <v>0</v>
      </c>
      <c r="AF182" s="26">
        <f>IF(B182="","",IF(AD182="No",0,ROUND(SUMIFS(Payments!$G$5:$G$1204,Payments!$I$5:$I$1204,C182,Payments!$H$5:$H$1204,"",Payments!$Q$5:$Q$1204,"Yes"),2)))</f>
        <v>0</v>
      </c>
      <c r="AG182" s="26">
        <f>IF(B182="","",ROUND(AE182+AF182,2))</f>
        <v>0</v>
      </c>
      <c r="AH182" s="26">
        <f>IF(B182="","",ROUND(AA182-AG182,2))</f>
        <v>0</v>
      </c>
      <c r="AI182" s="39">
        <f>IF(B182="","",IF(AA182&lt;=0,"No charge",IF(AH182&lt;=0.004,"Paid",IF(AG182&lt;=0.004,"Unpaid","Part paid"))))</f>
        <v>0</v>
      </c>
      <c r="AJ182" s="38">
        <f>IF(B182="","",IF(H182&lt;&gt;"Service","",IF(D182="","No",IF(COUNTIFS($D$5:$D$1204,D182,$B$5:$B$1204,B182,$H$5:$H$1204,"Retail")&gt;0,"Yes","No"))))</f>
        <v>0</v>
      </c>
      <c r="AK182" s="25">
        <f>IF(B182="","",COUNTIFS($Y$5:$Y$1204,"&gt;"&amp;Y182)+COUNTIFS($Y$5:Y182,Y182))</f>
        <v>0</v>
      </c>
      <c r="AL182" s="39">
        <f>IF(B182="","",IF(H182="","Add - what kind of sale is this?",IF(IF(V182&lt;=0,P182="",FALSE),"Check - no price found for this item",IF(F182="","Assign - nobody credited",IF(AH182&gt;0.004,"Unpaid - balance outstanding",IF(AC182&lt;0,"Loss - sold below cost",IF(X182&gt;W182*0.5,"Check - more than half off","OK")))))))</f>
        <v>0</v>
      </c>
    </row>
    <row r="183" spans="1:38">
      <c r="A183" s="28">
        <f>IF(B183="","",SalePrefix&amp;TEXT(ROW()-4,"0000"))</f>
        <v>0</v>
      </c>
      <c r="E183" s="15">
        <f>IF(D183="","",IFERROR(INDEX(Clients!$B$5:$B$504,MATCH(D183,Clients!$A$5:$A$504,0)),"Walk-in"))</f>
        <v>0</v>
      </c>
      <c r="G183" s="15">
        <f>IF(F183="","",IFERROR(INDEX(Staff!$B$5:$B$44,MATCH(F183,Staff!$A$5:$A$44,0)),"House"))</f>
        <v>0</v>
      </c>
      <c r="R183" s="15">
        <f>IF(B183="","",TEXT(B183,"yyyy-mm"))</f>
        <v>0</v>
      </c>
      <c r="S183" s="25">
        <f>IF(B183="","",WEEKNUM(B183,2))</f>
        <v>0</v>
      </c>
      <c r="T183" s="37">
        <f>IF(B183="","",IF(K183="",1,K183))</f>
        <v>0</v>
      </c>
      <c r="U183" s="15">
        <f>IF(B183="","",IF(J183&lt;&gt;"",J183,IF(H183="Retail",IFERROR(INDEX(Inventory!$B$5:$B$304,MATCH(I183,Inventory!$A$5:$A$304,0))&amp;"","Not in Inventory"),IFERROR(INDEX(Services!$B$5:$B$204,MATCH(I183,Services!$A$5:$A$204,0))&amp;"","Not in Services"))))</f>
        <v>0</v>
      </c>
      <c r="V183" s="26">
        <f>IF(B183="","",IF(L183&lt;&gt;"",L183,IF(H183="Retail",IFERROR(INDEX(Inventory!$I$5:$I$304,MATCH(I183,Inventory!$A$5:$A$304,0))*1,0),IFERROR(INDEX(Services!$G$5:$G$204,MATCH(I183,Services!$A$5:$A$204,0))*1,0))))</f>
        <v>0</v>
      </c>
      <c r="W183" s="26">
        <f>IF(B183="","",ROUND(T183*V183,2))</f>
        <v>0</v>
      </c>
      <c r="X183" s="26">
        <f>IF(B183="","",ROUND(IF(M183="",0,W183*M183)+IF(N183="",0,N183),2))</f>
        <v>0</v>
      </c>
      <c r="Y183" s="26">
        <f>IF(B183="","",ROUND(W183-X183-IF(P183="",0,P183),2))</f>
        <v>0</v>
      </c>
      <c r="Z183" s="26">
        <f>IF(B183="","",IF(H183="Retail",IF(TaxOnRetail="Yes",ROUND(Y183*TaxRate,2),0),IF(H183="Service",IF(TaxOnServices="Yes",ROUND(Y183*TaxRate,2),0),0)))</f>
        <v>0</v>
      </c>
      <c r="AA183" s="26">
        <f>IF(B183="","",ROUND(Y183+Z183,2))</f>
        <v>0</v>
      </c>
      <c r="AB183" s="26">
        <f>IF(B183="","",ROUND(T183*IF(H183="Retail",IFERROR(INDEX(Inventory!$H$5:$H$304,MATCH(I183,Inventory!$A$5:$A$304,0))*1,0),IFERROR(INDEX(Services!$Q$5:$Q$204,MATCH(I183,Services!$A$5:$A$204,0))*1,0)),2))</f>
        <v>0</v>
      </c>
      <c r="AC183" s="26">
        <f>IF(B183="","",ROUND(Y183-AB183,2))</f>
        <v>0</v>
      </c>
      <c r="AD183" s="38">
        <f>IF(B183="","",IF(C183="","No",IF(COUNTIFS($C$5:C183,C183)=1,"Yes","No")))</f>
        <v>0</v>
      </c>
      <c r="AE183" s="26">
        <f>IF(B183="","",ROUND(SUMIFS(Payments!$G$5:$G$1204,Payments!$H$5:$H$1204,A183,Payments!$Q$5:$Q$1204,"Yes"),2))</f>
        <v>0</v>
      </c>
      <c r="AF183" s="26">
        <f>IF(B183="","",IF(AD183="No",0,ROUND(SUMIFS(Payments!$G$5:$G$1204,Payments!$I$5:$I$1204,C183,Payments!$H$5:$H$1204,"",Payments!$Q$5:$Q$1204,"Yes"),2)))</f>
        <v>0</v>
      </c>
      <c r="AG183" s="26">
        <f>IF(B183="","",ROUND(AE183+AF183,2))</f>
        <v>0</v>
      </c>
      <c r="AH183" s="26">
        <f>IF(B183="","",ROUND(AA183-AG183,2))</f>
        <v>0</v>
      </c>
      <c r="AI183" s="39">
        <f>IF(B183="","",IF(AA183&lt;=0,"No charge",IF(AH183&lt;=0.004,"Paid",IF(AG183&lt;=0.004,"Unpaid","Part paid"))))</f>
        <v>0</v>
      </c>
      <c r="AJ183" s="38">
        <f>IF(B183="","",IF(H183&lt;&gt;"Service","",IF(D183="","No",IF(COUNTIFS($D$5:$D$1204,D183,$B$5:$B$1204,B183,$H$5:$H$1204,"Retail")&gt;0,"Yes","No"))))</f>
        <v>0</v>
      </c>
      <c r="AK183" s="25">
        <f>IF(B183="","",COUNTIFS($Y$5:$Y$1204,"&gt;"&amp;Y183)+COUNTIFS($Y$5:Y183,Y183))</f>
        <v>0</v>
      </c>
      <c r="AL183" s="39">
        <f>IF(B183="","",IF(H183="","Add - what kind of sale is this?",IF(IF(V183&lt;=0,P183="",FALSE),"Check - no price found for this item",IF(F183="","Assign - nobody credited",IF(AH183&gt;0.004,"Unpaid - balance outstanding",IF(AC183&lt;0,"Loss - sold below cost",IF(X183&gt;W183*0.5,"Check - more than half off","OK")))))))</f>
        <v>0</v>
      </c>
    </row>
    <row r="184" spans="1:38">
      <c r="A184" s="28">
        <f>IF(B184="","",SalePrefix&amp;TEXT(ROW()-4,"0000"))</f>
        <v>0</v>
      </c>
      <c r="E184" s="15">
        <f>IF(D184="","",IFERROR(INDEX(Clients!$B$5:$B$504,MATCH(D184,Clients!$A$5:$A$504,0)),"Walk-in"))</f>
        <v>0</v>
      </c>
      <c r="G184" s="15">
        <f>IF(F184="","",IFERROR(INDEX(Staff!$B$5:$B$44,MATCH(F184,Staff!$A$5:$A$44,0)),"House"))</f>
        <v>0</v>
      </c>
      <c r="R184" s="15">
        <f>IF(B184="","",TEXT(B184,"yyyy-mm"))</f>
        <v>0</v>
      </c>
      <c r="S184" s="25">
        <f>IF(B184="","",WEEKNUM(B184,2))</f>
        <v>0</v>
      </c>
      <c r="T184" s="37">
        <f>IF(B184="","",IF(K184="",1,K184))</f>
        <v>0</v>
      </c>
      <c r="U184" s="15">
        <f>IF(B184="","",IF(J184&lt;&gt;"",J184,IF(H184="Retail",IFERROR(INDEX(Inventory!$B$5:$B$304,MATCH(I184,Inventory!$A$5:$A$304,0))&amp;"","Not in Inventory"),IFERROR(INDEX(Services!$B$5:$B$204,MATCH(I184,Services!$A$5:$A$204,0))&amp;"","Not in Services"))))</f>
        <v>0</v>
      </c>
      <c r="V184" s="26">
        <f>IF(B184="","",IF(L184&lt;&gt;"",L184,IF(H184="Retail",IFERROR(INDEX(Inventory!$I$5:$I$304,MATCH(I184,Inventory!$A$5:$A$304,0))*1,0),IFERROR(INDEX(Services!$G$5:$G$204,MATCH(I184,Services!$A$5:$A$204,0))*1,0))))</f>
        <v>0</v>
      </c>
      <c r="W184" s="26">
        <f>IF(B184="","",ROUND(T184*V184,2))</f>
        <v>0</v>
      </c>
      <c r="X184" s="26">
        <f>IF(B184="","",ROUND(IF(M184="",0,W184*M184)+IF(N184="",0,N184),2))</f>
        <v>0</v>
      </c>
      <c r="Y184" s="26">
        <f>IF(B184="","",ROUND(W184-X184-IF(P184="",0,P184),2))</f>
        <v>0</v>
      </c>
      <c r="Z184" s="26">
        <f>IF(B184="","",IF(H184="Retail",IF(TaxOnRetail="Yes",ROUND(Y184*TaxRate,2),0),IF(H184="Service",IF(TaxOnServices="Yes",ROUND(Y184*TaxRate,2),0),0)))</f>
        <v>0</v>
      </c>
      <c r="AA184" s="26">
        <f>IF(B184="","",ROUND(Y184+Z184,2))</f>
        <v>0</v>
      </c>
      <c r="AB184" s="26">
        <f>IF(B184="","",ROUND(T184*IF(H184="Retail",IFERROR(INDEX(Inventory!$H$5:$H$304,MATCH(I184,Inventory!$A$5:$A$304,0))*1,0),IFERROR(INDEX(Services!$Q$5:$Q$204,MATCH(I184,Services!$A$5:$A$204,0))*1,0)),2))</f>
        <v>0</v>
      </c>
      <c r="AC184" s="26">
        <f>IF(B184="","",ROUND(Y184-AB184,2))</f>
        <v>0</v>
      </c>
      <c r="AD184" s="38">
        <f>IF(B184="","",IF(C184="","No",IF(COUNTIFS($C$5:C184,C184)=1,"Yes","No")))</f>
        <v>0</v>
      </c>
      <c r="AE184" s="26">
        <f>IF(B184="","",ROUND(SUMIFS(Payments!$G$5:$G$1204,Payments!$H$5:$H$1204,A184,Payments!$Q$5:$Q$1204,"Yes"),2))</f>
        <v>0</v>
      </c>
      <c r="AF184" s="26">
        <f>IF(B184="","",IF(AD184="No",0,ROUND(SUMIFS(Payments!$G$5:$G$1204,Payments!$I$5:$I$1204,C184,Payments!$H$5:$H$1204,"",Payments!$Q$5:$Q$1204,"Yes"),2)))</f>
        <v>0</v>
      </c>
      <c r="AG184" s="26">
        <f>IF(B184="","",ROUND(AE184+AF184,2))</f>
        <v>0</v>
      </c>
      <c r="AH184" s="26">
        <f>IF(B184="","",ROUND(AA184-AG184,2))</f>
        <v>0</v>
      </c>
      <c r="AI184" s="39">
        <f>IF(B184="","",IF(AA184&lt;=0,"No charge",IF(AH184&lt;=0.004,"Paid",IF(AG184&lt;=0.004,"Unpaid","Part paid"))))</f>
        <v>0</v>
      </c>
      <c r="AJ184" s="38">
        <f>IF(B184="","",IF(H184&lt;&gt;"Service","",IF(D184="","No",IF(COUNTIFS($D$5:$D$1204,D184,$B$5:$B$1204,B184,$H$5:$H$1204,"Retail")&gt;0,"Yes","No"))))</f>
        <v>0</v>
      </c>
      <c r="AK184" s="25">
        <f>IF(B184="","",COUNTIFS($Y$5:$Y$1204,"&gt;"&amp;Y184)+COUNTIFS($Y$5:Y184,Y184))</f>
        <v>0</v>
      </c>
      <c r="AL184" s="39">
        <f>IF(B184="","",IF(H184="","Add - what kind of sale is this?",IF(IF(V184&lt;=0,P184="",FALSE),"Check - no price found for this item",IF(F184="","Assign - nobody credited",IF(AH184&gt;0.004,"Unpaid - balance outstanding",IF(AC184&lt;0,"Loss - sold below cost",IF(X184&gt;W184*0.5,"Check - more than half off","OK")))))))</f>
        <v>0</v>
      </c>
    </row>
    <row r="185" spans="1:38">
      <c r="A185" s="28">
        <f>IF(B185="","",SalePrefix&amp;TEXT(ROW()-4,"0000"))</f>
        <v>0</v>
      </c>
      <c r="E185" s="15">
        <f>IF(D185="","",IFERROR(INDEX(Clients!$B$5:$B$504,MATCH(D185,Clients!$A$5:$A$504,0)),"Walk-in"))</f>
        <v>0</v>
      </c>
      <c r="G185" s="15">
        <f>IF(F185="","",IFERROR(INDEX(Staff!$B$5:$B$44,MATCH(F185,Staff!$A$5:$A$44,0)),"House"))</f>
        <v>0</v>
      </c>
      <c r="R185" s="15">
        <f>IF(B185="","",TEXT(B185,"yyyy-mm"))</f>
        <v>0</v>
      </c>
      <c r="S185" s="25">
        <f>IF(B185="","",WEEKNUM(B185,2))</f>
        <v>0</v>
      </c>
      <c r="T185" s="37">
        <f>IF(B185="","",IF(K185="",1,K185))</f>
        <v>0</v>
      </c>
      <c r="U185" s="15">
        <f>IF(B185="","",IF(J185&lt;&gt;"",J185,IF(H185="Retail",IFERROR(INDEX(Inventory!$B$5:$B$304,MATCH(I185,Inventory!$A$5:$A$304,0))&amp;"","Not in Inventory"),IFERROR(INDEX(Services!$B$5:$B$204,MATCH(I185,Services!$A$5:$A$204,0))&amp;"","Not in Services"))))</f>
        <v>0</v>
      </c>
      <c r="V185" s="26">
        <f>IF(B185="","",IF(L185&lt;&gt;"",L185,IF(H185="Retail",IFERROR(INDEX(Inventory!$I$5:$I$304,MATCH(I185,Inventory!$A$5:$A$304,0))*1,0),IFERROR(INDEX(Services!$G$5:$G$204,MATCH(I185,Services!$A$5:$A$204,0))*1,0))))</f>
        <v>0</v>
      </c>
      <c r="W185" s="26">
        <f>IF(B185="","",ROUND(T185*V185,2))</f>
        <v>0</v>
      </c>
      <c r="X185" s="26">
        <f>IF(B185="","",ROUND(IF(M185="",0,W185*M185)+IF(N185="",0,N185),2))</f>
        <v>0</v>
      </c>
      <c r="Y185" s="26">
        <f>IF(B185="","",ROUND(W185-X185-IF(P185="",0,P185),2))</f>
        <v>0</v>
      </c>
      <c r="Z185" s="26">
        <f>IF(B185="","",IF(H185="Retail",IF(TaxOnRetail="Yes",ROUND(Y185*TaxRate,2),0),IF(H185="Service",IF(TaxOnServices="Yes",ROUND(Y185*TaxRate,2),0),0)))</f>
        <v>0</v>
      </c>
      <c r="AA185" s="26">
        <f>IF(B185="","",ROUND(Y185+Z185,2))</f>
        <v>0</v>
      </c>
      <c r="AB185" s="26">
        <f>IF(B185="","",ROUND(T185*IF(H185="Retail",IFERROR(INDEX(Inventory!$H$5:$H$304,MATCH(I185,Inventory!$A$5:$A$304,0))*1,0),IFERROR(INDEX(Services!$Q$5:$Q$204,MATCH(I185,Services!$A$5:$A$204,0))*1,0)),2))</f>
        <v>0</v>
      </c>
      <c r="AC185" s="26">
        <f>IF(B185="","",ROUND(Y185-AB185,2))</f>
        <v>0</v>
      </c>
      <c r="AD185" s="38">
        <f>IF(B185="","",IF(C185="","No",IF(COUNTIFS($C$5:C185,C185)=1,"Yes","No")))</f>
        <v>0</v>
      </c>
      <c r="AE185" s="26">
        <f>IF(B185="","",ROUND(SUMIFS(Payments!$G$5:$G$1204,Payments!$H$5:$H$1204,A185,Payments!$Q$5:$Q$1204,"Yes"),2))</f>
        <v>0</v>
      </c>
      <c r="AF185" s="26">
        <f>IF(B185="","",IF(AD185="No",0,ROUND(SUMIFS(Payments!$G$5:$G$1204,Payments!$I$5:$I$1204,C185,Payments!$H$5:$H$1204,"",Payments!$Q$5:$Q$1204,"Yes"),2)))</f>
        <v>0</v>
      </c>
      <c r="AG185" s="26">
        <f>IF(B185="","",ROUND(AE185+AF185,2))</f>
        <v>0</v>
      </c>
      <c r="AH185" s="26">
        <f>IF(B185="","",ROUND(AA185-AG185,2))</f>
        <v>0</v>
      </c>
      <c r="AI185" s="39">
        <f>IF(B185="","",IF(AA185&lt;=0,"No charge",IF(AH185&lt;=0.004,"Paid",IF(AG185&lt;=0.004,"Unpaid","Part paid"))))</f>
        <v>0</v>
      </c>
      <c r="AJ185" s="38">
        <f>IF(B185="","",IF(H185&lt;&gt;"Service","",IF(D185="","No",IF(COUNTIFS($D$5:$D$1204,D185,$B$5:$B$1204,B185,$H$5:$H$1204,"Retail")&gt;0,"Yes","No"))))</f>
        <v>0</v>
      </c>
      <c r="AK185" s="25">
        <f>IF(B185="","",COUNTIFS($Y$5:$Y$1204,"&gt;"&amp;Y185)+COUNTIFS($Y$5:Y185,Y185))</f>
        <v>0</v>
      </c>
      <c r="AL185" s="39">
        <f>IF(B185="","",IF(H185="","Add - what kind of sale is this?",IF(IF(V185&lt;=0,P185="",FALSE),"Check - no price found for this item",IF(F185="","Assign - nobody credited",IF(AH185&gt;0.004,"Unpaid - balance outstanding",IF(AC185&lt;0,"Loss - sold below cost",IF(X185&gt;W185*0.5,"Check - more than half off","OK")))))))</f>
        <v>0</v>
      </c>
    </row>
    <row r="186" spans="1:38">
      <c r="A186" s="28">
        <f>IF(B186="","",SalePrefix&amp;TEXT(ROW()-4,"0000"))</f>
        <v>0</v>
      </c>
      <c r="E186" s="15">
        <f>IF(D186="","",IFERROR(INDEX(Clients!$B$5:$B$504,MATCH(D186,Clients!$A$5:$A$504,0)),"Walk-in"))</f>
        <v>0</v>
      </c>
      <c r="G186" s="15">
        <f>IF(F186="","",IFERROR(INDEX(Staff!$B$5:$B$44,MATCH(F186,Staff!$A$5:$A$44,0)),"House"))</f>
        <v>0</v>
      </c>
      <c r="R186" s="15">
        <f>IF(B186="","",TEXT(B186,"yyyy-mm"))</f>
        <v>0</v>
      </c>
      <c r="S186" s="25">
        <f>IF(B186="","",WEEKNUM(B186,2))</f>
        <v>0</v>
      </c>
      <c r="T186" s="37">
        <f>IF(B186="","",IF(K186="",1,K186))</f>
        <v>0</v>
      </c>
      <c r="U186" s="15">
        <f>IF(B186="","",IF(J186&lt;&gt;"",J186,IF(H186="Retail",IFERROR(INDEX(Inventory!$B$5:$B$304,MATCH(I186,Inventory!$A$5:$A$304,0))&amp;"","Not in Inventory"),IFERROR(INDEX(Services!$B$5:$B$204,MATCH(I186,Services!$A$5:$A$204,0))&amp;"","Not in Services"))))</f>
        <v>0</v>
      </c>
      <c r="V186" s="26">
        <f>IF(B186="","",IF(L186&lt;&gt;"",L186,IF(H186="Retail",IFERROR(INDEX(Inventory!$I$5:$I$304,MATCH(I186,Inventory!$A$5:$A$304,0))*1,0),IFERROR(INDEX(Services!$G$5:$G$204,MATCH(I186,Services!$A$5:$A$204,0))*1,0))))</f>
        <v>0</v>
      </c>
      <c r="W186" s="26">
        <f>IF(B186="","",ROUND(T186*V186,2))</f>
        <v>0</v>
      </c>
      <c r="X186" s="26">
        <f>IF(B186="","",ROUND(IF(M186="",0,W186*M186)+IF(N186="",0,N186),2))</f>
        <v>0</v>
      </c>
      <c r="Y186" s="26">
        <f>IF(B186="","",ROUND(W186-X186-IF(P186="",0,P186),2))</f>
        <v>0</v>
      </c>
      <c r="Z186" s="26">
        <f>IF(B186="","",IF(H186="Retail",IF(TaxOnRetail="Yes",ROUND(Y186*TaxRate,2),0),IF(H186="Service",IF(TaxOnServices="Yes",ROUND(Y186*TaxRate,2),0),0)))</f>
        <v>0</v>
      </c>
      <c r="AA186" s="26">
        <f>IF(B186="","",ROUND(Y186+Z186,2))</f>
        <v>0</v>
      </c>
      <c r="AB186" s="26">
        <f>IF(B186="","",ROUND(T186*IF(H186="Retail",IFERROR(INDEX(Inventory!$H$5:$H$304,MATCH(I186,Inventory!$A$5:$A$304,0))*1,0),IFERROR(INDEX(Services!$Q$5:$Q$204,MATCH(I186,Services!$A$5:$A$204,0))*1,0)),2))</f>
        <v>0</v>
      </c>
      <c r="AC186" s="26">
        <f>IF(B186="","",ROUND(Y186-AB186,2))</f>
        <v>0</v>
      </c>
      <c r="AD186" s="38">
        <f>IF(B186="","",IF(C186="","No",IF(COUNTIFS($C$5:C186,C186)=1,"Yes","No")))</f>
        <v>0</v>
      </c>
      <c r="AE186" s="26">
        <f>IF(B186="","",ROUND(SUMIFS(Payments!$G$5:$G$1204,Payments!$H$5:$H$1204,A186,Payments!$Q$5:$Q$1204,"Yes"),2))</f>
        <v>0</v>
      </c>
      <c r="AF186" s="26">
        <f>IF(B186="","",IF(AD186="No",0,ROUND(SUMIFS(Payments!$G$5:$G$1204,Payments!$I$5:$I$1204,C186,Payments!$H$5:$H$1204,"",Payments!$Q$5:$Q$1204,"Yes"),2)))</f>
        <v>0</v>
      </c>
      <c r="AG186" s="26">
        <f>IF(B186="","",ROUND(AE186+AF186,2))</f>
        <v>0</v>
      </c>
      <c r="AH186" s="26">
        <f>IF(B186="","",ROUND(AA186-AG186,2))</f>
        <v>0</v>
      </c>
      <c r="AI186" s="39">
        <f>IF(B186="","",IF(AA186&lt;=0,"No charge",IF(AH186&lt;=0.004,"Paid",IF(AG186&lt;=0.004,"Unpaid","Part paid"))))</f>
        <v>0</v>
      </c>
      <c r="AJ186" s="38">
        <f>IF(B186="","",IF(H186&lt;&gt;"Service","",IF(D186="","No",IF(COUNTIFS($D$5:$D$1204,D186,$B$5:$B$1204,B186,$H$5:$H$1204,"Retail")&gt;0,"Yes","No"))))</f>
        <v>0</v>
      </c>
      <c r="AK186" s="25">
        <f>IF(B186="","",COUNTIFS($Y$5:$Y$1204,"&gt;"&amp;Y186)+COUNTIFS($Y$5:Y186,Y186))</f>
        <v>0</v>
      </c>
      <c r="AL186" s="39">
        <f>IF(B186="","",IF(H186="","Add - what kind of sale is this?",IF(IF(V186&lt;=0,P186="",FALSE),"Check - no price found for this item",IF(F186="","Assign - nobody credited",IF(AH186&gt;0.004,"Unpaid - balance outstanding",IF(AC186&lt;0,"Loss - sold below cost",IF(X186&gt;W186*0.5,"Check - more than half off","OK")))))))</f>
        <v>0</v>
      </c>
    </row>
    <row r="187" spans="1:38">
      <c r="A187" s="28">
        <f>IF(B187="","",SalePrefix&amp;TEXT(ROW()-4,"0000"))</f>
        <v>0</v>
      </c>
      <c r="E187" s="15">
        <f>IF(D187="","",IFERROR(INDEX(Clients!$B$5:$B$504,MATCH(D187,Clients!$A$5:$A$504,0)),"Walk-in"))</f>
        <v>0</v>
      </c>
      <c r="G187" s="15">
        <f>IF(F187="","",IFERROR(INDEX(Staff!$B$5:$B$44,MATCH(F187,Staff!$A$5:$A$44,0)),"House"))</f>
        <v>0</v>
      </c>
      <c r="R187" s="15">
        <f>IF(B187="","",TEXT(B187,"yyyy-mm"))</f>
        <v>0</v>
      </c>
      <c r="S187" s="25">
        <f>IF(B187="","",WEEKNUM(B187,2))</f>
        <v>0</v>
      </c>
      <c r="T187" s="37">
        <f>IF(B187="","",IF(K187="",1,K187))</f>
        <v>0</v>
      </c>
      <c r="U187" s="15">
        <f>IF(B187="","",IF(J187&lt;&gt;"",J187,IF(H187="Retail",IFERROR(INDEX(Inventory!$B$5:$B$304,MATCH(I187,Inventory!$A$5:$A$304,0))&amp;"","Not in Inventory"),IFERROR(INDEX(Services!$B$5:$B$204,MATCH(I187,Services!$A$5:$A$204,0))&amp;"","Not in Services"))))</f>
        <v>0</v>
      </c>
      <c r="V187" s="26">
        <f>IF(B187="","",IF(L187&lt;&gt;"",L187,IF(H187="Retail",IFERROR(INDEX(Inventory!$I$5:$I$304,MATCH(I187,Inventory!$A$5:$A$304,0))*1,0),IFERROR(INDEX(Services!$G$5:$G$204,MATCH(I187,Services!$A$5:$A$204,0))*1,0))))</f>
        <v>0</v>
      </c>
      <c r="W187" s="26">
        <f>IF(B187="","",ROUND(T187*V187,2))</f>
        <v>0</v>
      </c>
      <c r="X187" s="26">
        <f>IF(B187="","",ROUND(IF(M187="",0,W187*M187)+IF(N187="",0,N187),2))</f>
        <v>0</v>
      </c>
      <c r="Y187" s="26">
        <f>IF(B187="","",ROUND(W187-X187-IF(P187="",0,P187),2))</f>
        <v>0</v>
      </c>
      <c r="Z187" s="26">
        <f>IF(B187="","",IF(H187="Retail",IF(TaxOnRetail="Yes",ROUND(Y187*TaxRate,2),0),IF(H187="Service",IF(TaxOnServices="Yes",ROUND(Y187*TaxRate,2),0),0)))</f>
        <v>0</v>
      </c>
      <c r="AA187" s="26">
        <f>IF(B187="","",ROUND(Y187+Z187,2))</f>
        <v>0</v>
      </c>
      <c r="AB187" s="26">
        <f>IF(B187="","",ROUND(T187*IF(H187="Retail",IFERROR(INDEX(Inventory!$H$5:$H$304,MATCH(I187,Inventory!$A$5:$A$304,0))*1,0),IFERROR(INDEX(Services!$Q$5:$Q$204,MATCH(I187,Services!$A$5:$A$204,0))*1,0)),2))</f>
        <v>0</v>
      </c>
      <c r="AC187" s="26">
        <f>IF(B187="","",ROUND(Y187-AB187,2))</f>
        <v>0</v>
      </c>
      <c r="AD187" s="38">
        <f>IF(B187="","",IF(C187="","No",IF(COUNTIFS($C$5:C187,C187)=1,"Yes","No")))</f>
        <v>0</v>
      </c>
      <c r="AE187" s="26">
        <f>IF(B187="","",ROUND(SUMIFS(Payments!$G$5:$G$1204,Payments!$H$5:$H$1204,A187,Payments!$Q$5:$Q$1204,"Yes"),2))</f>
        <v>0</v>
      </c>
      <c r="AF187" s="26">
        <f>IF(B187="","",IF(AD187="No",0,ROUND(SUMIFS(Payments!$G$5:$G$1204,Payments!$I$5:$I$1204,C187,Payments!$H$5:$H$1204,"",Payments!$Q$5:$Q$1204,"Yes"),2)))</f>
        <v>0</v>
      </c>
      <c r="AG187" s="26">
        <f>IF(B187="","",ROUND(AE187+AF187,2))</f>
        <v>0</v>
      </c>
      <c r="AH187" s="26">
        <f>IF(B187="","",ROUND(AA187-AG187,2))</f>
        <v>0</v>
      </c>
      <c r="AI187" s="39">
        <f>IF(B187="","",IF(AA187&lt;=0,"No charge",IF(AH187&lt;=0.004,"Paid",IF(AG187&lt;=0.004,"Unpaid","Part paid"))))</f>
        <v>0</v>
      </c>
      <c r="AJ187" s="38">
        <f>IF(B187="","",IF(H187&lt;&gt;"Service","",IF(D187="","No",IF(COUNTIFS($D$5:$D$1204,D187,$B$5:$B$1204,B187,$H$5:$H$1204,"Retail")&gt;0,"Yes","No"))))</f>
        <v>0</v>
      </c>
      <c r="AK187" s="25">
        <f>IF(B187="","",COUNTIFS($Y$5:$Y$1204,"&gt;"&amp;Y187)+COUNTIFS($Y$5:Y187,Y187))</f>
        <v>0</v>
      </c>
      <c r="AL187" s="39">
        <f>IF(B187="","",IF(H187="","Add - what kind of sale is this?",IF(IF(V187&lt;=0,P187="",FALSE),"Check - no price found for this item",IF(F187="","Assign - nobody credited",IF(AH187&gt;0.004,"Unpaid - balance outstanding",IF(AC187&lt;0,"Loss - sold below cost",IF(X187&gt;W187*0.5,"Check - more than half off","OK")))))))</f>
        <v>0</v>
      </c>
    </row>
    <row r="188" spans="1:38">
      <c r="A188" s="28">
        <f>IF(B188="","",SalePrefix&amp;TEXT(ROW()-4,"0000"))</f>
        <v>0</v>
      </c>
      <c r="E188" s="15">
        <f>IF(D188="","",IFERROR(INDEX(Clients!$B$5:$B$504,MATCH(D188,Clients!$A$5:$A$504,0)),"Walk-in"))</f>
        <v>0</v>
      </c>
      <c r="G188" s="15">
        <f>IF(F188="","",IFERROR(INDEX(Staff!$B$5:$B$44,MATCH(F188,Staff!$A$5:$A$44,0)),"House"))</f>
        <v>0</v>
      </c>
      <c r="R188" s="15">
        <f>IF(B188="","",TEXT(B188,"yyyy-mm"))</f>
        <v>0</v>
      </c>
      <c r="S188" s="25">
        <f>IF(B188="","",WEEKNUM(B188,2))</f>
        <v>0</v>
      </c>
      <c r="T188" s="37">
        <f>IF(B188="","",IF(K188="",1,K188))</f>
        <v>0</v>
      </c>
      <c r="U188" s="15">
        <f>IF(B188="","",IF(J188&lt;&gt;"",J188,IF(H188="Retail",IFERROR(INDEX(Inventory!$B$5:$B$304,MATCH(I188,Inventory!$A$5:$A$304,0))&amp;"","Not in Inventory"),IFERROR(INDEX(Services!$B$5:$B$204,MATCH(I188,Services!$A$5:$A$204,0))&amp;"","Not in Services"))))</f>
        <v>0</v>
      </c>
      <c r="V188" s="26">
        <f>IF(B188="","",IF(L188&lt;&gt;"",L188,IF(H188="Retail",IFERROR(INDEX(Inventory!$I$5:$I$304,MATCH(I188,Inventory!$A$5:$A$304,0))*1,0),IFERROR(INDEX(Services!$G$5:$G$204,MATCH(I188,Services!$A$5:$A$204,0))*1,0))))</f>
        <v>0</v>
      </c>
      <c r="W188" s="26">
        <f>IF(B188="","",ROUND(T188*V188,2))</f>
        <v>0</v>
      </c>
      <c r="X188" s="26">
        <f>IF(B188="","",ROUND(IF(M188="",0,W188*M188)+IF(N188="",0,N188),2))</f>
        <v>0</v>
      </c>
      <c r="Y188" s="26">
        <f>IF(B188="","",ROUND(W188-X188-IF(P188="",0,P188),2))</f>
        <v>0</v>
      </c>
      <c r="Z188" s="26">
        <f>IF(B188="","",IF(H188="Retail",IF(TaxOnRetail="Yes",ROUND(Y188*TaxRate,2),0),IF(H188="Service",IF(TaxOnServices="Yes",ROUND(Y188*TaxRate,2),0),0)))</f>
        <v>0</v>
      </c>
      <c r="AA188" s="26">
        <f>IF(B188="","",ROUND(Y188+Z188,2))</f>
        <v>0</v>
      </c>
      <c r="AB188" s="26">
        <f>IF(B188="","",ROUND(T188*IF(H188="Retail",IFERROR(INDEX(Inventory!$H$5:$H$304,MATCH(I188,Inventory!$A$5:$A$304,0))*1,0),IFERROR(INDEX(Services!$Q$5:$Q$204,MATCH(I188,Services!$A$5:$A$204,0))*1,0)),2))</f>
        <v>0</v>
      </c>
      <c r="AC188" s="26">
        <f>IF(B188="","",ROUND(Y188-AB188,2))</f>
        <v>0</v>
      </c>
      <c r="AD188" s="38">
        <f>IF(B188="","",IF(C188="","No",IF(COUNTIFS($C$5:C188,C188)=1,"Yes","No")))</f>
        <v>0</v>
      </c>
      <c r="AE188" s="26">
        <f>IF(B188="","",ROUND(SUMIFS(Payments!$G$5:$G$1204,Payments!$H$5:$H$1204,A188,Payments!$Q$5:$Q$1204,"Yes"),2))</f>
        <v>0</v>
      </c>
      <c r="AF188" s="26">
        <f>IF(B188="","",IF(AD188="No",0,ROUND(SUMIFS(Payments!$G$5:$G$1204,Payments!$I$5:$I$1204,C188,Payments!$H$5:$H$1204,"",Payments!$Q$5:$Q$1204,"Yes"),2)))</f>
        <v>0</v>
      </c>
      <c r="AG188" s="26">
        <f>IF(B188="","",ROUND(AE188+AF188,2))</f>
        <v>0</v>
      </c>
      <c r="AH188" s="26">
        <f>IF(B188="","",ROUND(AA188-AG188,2))</f>
        <v>0</v>
      </c>
      <c r="AI188" s="39">
        <f>IF(B188="","",IF(AA188&lt;=0,"No charge",IF(AH188&lt;=0.004,"Paid",IF(AG188&lt;=0.004,"Unpaid","Part paid"))))</f>
        <v>0</v>
      </c>
      <c r="AJ188" s="38">
        <f>IF(B188="","",IF(H188&lt;&gt;"Service","",IF(D188="","No",IF(COUNTIFS($D$5:$D$1204,D188,$B$5:$B$1204,B188,$H$5:$H$1204,"Retail")&gt;0,"Yes","No"))))</f>
        <v>0</v>
      </c>
      <c r="AK188" s="25">
        <f>IF(B188="","",COUNTIFS($Y$5:$Y$1204,"&gt;"&amp;Y188)+COUNTIFS($Y$5:Y188,Y188))</f>
        <v>0</v>
      </c>
      <c r="AL188" s="39">
        <f>IF(B188="","",IF(H188="","Add - what kind of sale is this?",IF(IF(V188&lt;=0,P188="",FALSE),"Check - no price found for this item",IF(F188="","Assign - nobody credited",IF(AH188&gt;0.004,"Unpaid - balance outstanding",IF(AC188&lt;0,"Loss - sold below cost",IF(X188&gt;W188*0.5,"Check - more than half off","OK")))))))</f>
        <v>0</v>
      </c>
    </row>
    <row r="189" spans="1:38">
      <c r="A189" s="28">
        <f>IF(B189="","",SalePrefix&amp;TEXT(ROW()-4,"0000"))</f>
        <v>0</v>
      </c>
      <c r="E189" s="15">
        <f>IF(D189="","",IFERROR(INDEX(Clients!$B$5:$B$504,MATCH(D189,Clients!$A$5:$A$504,0)),"Walk-in"))</f>
        <v>0</v>
      </c>
      <c r="G189" s="15">
        <f>IF(F189="","",IFERROR(INDEX(Staff!$B$5:$B$44,MATCH(F189,Staff!$A$5:$A$44,0)),"House"))</f>
        <v>0</v>
      </c>
      <c r="R189" s="15">
        <f>IF(B189="","",TEXT(B189,"yyyy-mm"))</f>
        <v>0</v>
      </c>
      <c r="S189" s="25">
        <f>IF(B189="","",WEEKNUM(B189,2))</f>
        <v>0</v>
      </c>
      <c r="T189" s="37">
        <f>IF(B189="","",IF(K189="",1,K189))</f>
        <v>0</v>
      </c>
      <c r="U189" s="15">
        <f>IF(B189="","",IF(J189&lt;&gt;"",J189,IF(H189="Retail",IFERROR(INDEX(Inventory!$B$5:$B$304,MATCH(I189,Inventory!$A$5:$A$304,0))&amp;"","Not in Inventory"),IFERROR(INDEX(Services!$B$5:$B$204,MATCH(I189,Services!$A$5:$A$204,0))&amp;"","Not in Services"))))</f>
        <v>0</v>
      </c>
      <c r="V189" s="26">
        <f>IF(B189="","",IF(L189&lt;&gt;"",L189,IF(H189="Retail",IFERROR(INDEX(Inventory!$I$5:$I$304,MATCH(I189,Inventory!$A$5:$A$304,0))*1,0),IFERROR(INDEX(Services!$G$5:$G$204,MATCH(I189,Services!$A$5:$A$204,0))*1,0))))</f>
        <v>0</v>
      </c>
      <c r="W189" s="26">
        <f>IF(B189="","",ROUND(T189*V189,2))</f>
        <v>0</v>
      </c>
      <c r="X189" s="26">
        <f>IF(B189="","",ROUND(IF(M189="",0,W189*M189)+IF(N189="",0,N189),2))</f>
        <v>0</v>
      </c>
      <c r="Y189" s="26">
        <f>IF(B189="","",ROUND(W189-X189-IF(P189="",0,P189),2))</f>
        <v>0</v>
      </c>
      <c r="Z189" s="26">
        <f>IF(B189="","",IF(H189="Retail",IF(TaxOnRetail="Yes",ROUND(Y189*TaxRate,2),0),IF(H189="Service",IF(TaxOnServices="Yes",ROUND(Y189*TaxRate,2),0),0)))</f>
        <v>0</v>
      </c>
      <c r="AA189" s="26">
        <f>IF(B189="","",ROUND(Y189+Z189,2))</f>
        <v>0</v>
      </c>
      <c r="AB189" s="26">
        <f>IF(B189="","",ROUND(T189*IF(H189="Retail",IFERROR(INDEX(Inventory!$H$5:$H$304,MATCH(I189,Inventory!$A$5:$A$304,0))*1,0),IFERROR(INDEX(Services!$Q$5:$Q$204,MATCH(I189,Services!$A$5:$A$204,0))*1,0)),2))</f>
        <v>0</v>
      </c>
      <c r="AC189" s="26">
        <f>IF(B189="","",ROUND(Y189-AB189,2))</f>
        <v>0</v>
      </c>
      <c r="AD189" s="38">
        <f>IF(B189="","",IF(C189="","No",IF(COUNTIFS($C$5:C189,C189)=1,"Yes","No")))</f>
        <v>0</v>
      </c>
      <c r="AE189" s="26">
        <f>IF(B189="","",ROUND(SUMIFS(Payments!$G$5:$G$1204,Payments!$H$5:$H$1204,A189,Payments!$Q$5:$Q$1204,"Yes"),2))</f>
        <v>0</v>
      </c>
      <c r="AF189" s="26">
        <f>IF(B189="","",IF(AD189="No",0,ROUND(SUMIFS(Payments!$G$5:$G$1204,Payments!$I$5:$I$1204,C189,Payments!$H$5:$H$1204,"",Payments!$Q$5:$Q$1204,"Yes"),2)))</f>
        <v>0</v>
      </c>
      <c r="AG189" s="26">
        <f>IF(B189="","",ROUND(AE189+AF189,2))</f>
        <v>0</v>
      </c>
      <c r="AH189" s="26">
        <f>IF(B189="","",ROUND(AA189-AG189,2))</f>
        <v>0</v>
      </c>
      <c r="AI189" s="39">
        <f>IF(B189="","",IF(AA189&lt;=0,"No charge",IF(AH189&lt;=0.004,"Paid",IF(AG189&lt;=0.004,"Unpaid","Part paid"))))</f>
        <v>0</v>
      </c>
      <c r="AJ189" s="38">
        <f>IF(B189="","",IF(H189&lt;&gt;"Service","",IF(D189="","No",IF(COUNTIFS($D$5:$D$1204,D189,$B$5:$B$1204,B189,$H$5:$H$1204,"Retail")&gt;0,"Yes","No"))))</f>
        <v>0</v>
      </c>
      <c r="AK189" s="25">
        <f>IF(B189="","",COUNTIFS($Y$5:$Y$1204,"&gt;"&amp;Y189)+COUNTIFS($Y$5:Y189,Y189))</f>
        <v>0</v>
      </c>
      <c r="AL189" s="39">
        <f>IF(B189="","",IF(H189="","Add - what kind of sale is this?",IF(IF(V189&lt;=0,P189="",FALSE),"Check - no price found for this item",IF(F189="","Assign - nobody credited",IF(AH189&gt;0.004,"Unpaid - balance outstanding",IF(AC189&lt;0,"Loss - sold below cost",IF(X189&gt;W189*0.5,"Check - more than half off","OK")))))))</f>
        <v>0</v>
      </c>
    </row>
    <row r="190" spans="1:38">
      <c r="A190" s="28">
        <f>IF(B190="","",SalePrefix&amp;TEXT(ROW()-4,"0000"))</f>
        <v>0</v>
      </c>
      <c r="E190" s="15">
        <f>IF(D190="","",IFERROR(INDEX(Clients!$B$5:$B$504,MATCH(D190,Clients!$A$5:$A$504,0)),"Walk-in"))</f>
        <v>0</v>
      </c>
      <c r="G190" s="15">
        <f>IF(F190="","",IFERROR(INDEX(Staff!$B$5:$B$44,MATCH(F190,Staff!$A$5:$A$44,0)),"House"))</f>
        <v>0</v>
      </c>
      <c r="R190" s="15">
        <f>IF(B190="","",TEXT(B190,"yyyy-mm"))</f>
        <v>0</v>
      </c>
      <c r="S190" s="25">
        <f>IF(B190="","",WEEKNUM(B190,2))</f>
        <v>0</v>
      </c>
      <c r="T190" s="37">
        <f>IF(B190="","",IF(K190="",1,K190))</f>
        <v>0</v>
      </c>
      <c r="U190" s="15">
        <f>IF(B190="","",IF(J190&lt;&gt;"",J190,IF(H190="Retail",IFERROR(INDEX(Inventory!$B$5:$B$304,MATCH(I190,Inventory!$A$5:$A$304,0))&amp;"","Not in Inventory"),IFERROR(INDEX(Services!$B$5:$B$204,MATCH(I190,Services!$A$5:$A$204,0))&amp;"","Not in Services"))))</f>
        <v>0</v>
      </c>
      <c r="V190" s="26">
        <f>IF(B190="","",IF(L190&lt;&gt;"",L190,IF(H190="Retail",IFERROR(INDEX(Inventory!$I$5:$I$304,MATCH(I190,Inventory!$A$5:$A$304,0))*1,0),IFERROR(INDEX(Services!$G$5:$G$204,MATCH(I190,Services!$A$5:$A$204,0))*1,0))))</f>
        <v>0</v>
      </c>
      <c r="W190" s="26">
        <f>IF(B190="","",ROUND(T190*V190,2))</f>
        <v>0</v>
      </c>
      <c r="X190" s="26">
        <f>IF(B190="","",ROUND(IF(M190="",0,W190*M190)+IF(N190="",0,N190),2))</f>
        <v>0</v>
      </c>
      <c r="Y190" s="26">
        <f>IF(B190="","",ROUND(W190-X190-IF(P190="",0,P190),2))</f>
        <v>0</v>
      </c>
      <c r="Z190" s="26">
        <f>IF(B190="","",IF(H190="Retail",IF(TaxOnRetail="Yes",ROUND(Y190*TaxRate,2),0),IF(H190="Service",IF(TaxOnServices="Yes",ROUND(Y190*TaxRate,2),0),0)))</f>
        <v>0</v>
      </c>
      <c r="AA190" s="26">
        <f>IF(B190="","",ROUND(Y190+Z190,2))</f>
        <v>0</v>
      </c>
      <c r="AB190" s="26">
        <f>IF(B190="","",ROUND(T190*IF(H190="Retail",IFERROR(INDEX(Inventory!$H$5:$H$304,MATCH(I190,Inventory!$A$5:$A$304,0))*1,0),IFERROR(INDEX(Services!$Q$5:$Q$204,MATCH(I190,Services!$A$5:$A$204,0))*1,0)),2))</f>
        <v>0</v>
      </c>
      <c r="AC190" s="26">
        <f>IF(B190="","",ROUND(Y190-AB190,2))</f>
        <v>0</v>
      </c>
      <c r="AD190" s="38">
        <f>IF(B190="","",IF(C190="","No",IF(COUNTIFS($C$5:C190,C190)=1,"Yes","No")))</f>
        <v>0</v>
      </c>
      <c r="AE190" s="26">
        <f>IF(B190="","",ROUND(SUMIFS(Payments!$G$5:$G$1204,Payments!$H$5:$H$1204,A190,Payments!$Q$5:$Q$1204,"Yes"),2))</f>
        <v>0</v>
      </c>
      <c r="AF190" s="26">
        <f>IF(B190="","",IF(AD190="No",0,ROUND(SUMIFS(Payments!$G$5:$G$1204,Payments!$I$5:$I$1204,C190,Payments!$H$5:$H$1204,"",Payments!$Q$5:$Q$1204,"Yes"),2)))</f>
        <v>0</v>
      </c>
      <c r="AG190" s="26">
        <f>IF(B190="","",ROUND(AE190+AF190,2))</f>
        <v>0</v>
      </c>
      <c r="AH190" s="26">
        <f>IF(B190="","",ROUND(AA190-AG190,2))</f>
        <v>0</v>
      </c>
      <c r="AI190" s="39">
        <f>IF(B190="","",IF(AA190&lt;=0,"No charge",IF(AH190&lt;=0.004,"Paid",IF(AG190&lt;=0.004,"Unpaid","Part paid"))))</f>
        <v>0</v>
      </c>
      <c r="AJ190" s="38">
        <f>IF(B190="","",IF(H190&lt;&gt;"Service","",IF(D190="","No",IF(COUNTIFS($D$5:$D$1204,D190,$B$5:$B$1204,B190,$H$5:$H$1204,"Retail")&gt;0,"Yes","No"))))</f>
        <v>0</v>
      </c>
      <c r="AK190" s="25">
        <f>IF(B190="","",COUNTIFS($Y$5:$Y$1204,"&gt;"&amp;Y190)+COUNTIFS($Y$5:Y190,Y190))</f>
        <v>0</v>
      </c>
      <c r="AL190" s="39">
        <f>IF(B190="","",IF(H190="","Add - what kind of sale is this?",IF(IF(V190&lt;=0,P190="",FALSE),"Check - no price found for this item",IF(F190="","Assign - nobody credited",IF(AH190&gt;0.004,"Unpaid - balance outstanding",IF(AC190&lt;0,"Loss - sold below cost",IF(X190&gt;W190*0.5,"Check - more than half off","OK")))))))</f>
        <v>0</v>
      </c>
    </row>
    <row r="191" spans="1:38">
      <c r="A191" s="28">
        <f>IF(B191="","",SalePrefix&amp;TEXT(ROW()-4,"0000"))</f>
        <v>0</v>
      </c>
      <c r="E191" s="15">
        <f>IF(D191="","",IFERROR(INDEX(Clients!$B$5:$B$504,MATCH(D191,Clients!$A$5:$A$504,0)),"Walk-in"))</f>
        <v>0</v>
      </c>
      <c r="G191" s="15">
        <f>IF(F191="","",IFERROR(INDEX(Staff!$B$5:$B$44,MATCH(F191,Staff!$A$5:$A$44,0)),"House"))</f>
        <v>0</v>
      </c>
      <c r="R191" s="15">
        <f>IF(B191="","",TEXT(B191,"yyyy-mm"))</f>
        <v>0</v>
      </c>
      <c r="S191" s="25">
        <f>IF(B191="","",WEEKNUM(B191,2))</f>
        <v>0</v>
      </c>
      <c r="T191" s="37">
        <f>IF(B191="","",IF(K191="",1,K191))</f>
        <v>0</v>
      </c>
      <c r="U191" s="15">
        <f>IF(B191="","",IF(J191&lt;&gt;"",J191,IF(H191="Retail",IFERROR(INDEX(Inventory!$B$5:$B$304,MATCH(I191,Inventory!$A$5:$A$304,0))&amp;"","Not in Inventory"),IFERROR(INDEX(Services!$B$5:$B$204,MATCH(I191,Services!$A$5:$A$204,0))&amp;"","Not in Services"))))</f>
        <v>0</v>
      </c>
      <c r="V191" s="26">
        <f>IF(B191="","",IF(L191&lt;&gt;"",L191,IF(H191="Retail",IFERROR(INDEX(Inventory!$I$5:$I$304,MATCH(I191,Inventory!$A$5:$A$304,0))*1,0),IFERROR(INDEX(Services!$G$5:$G$204,MATCH(I191,Services!$A$5:$A$204,0))*1,0))))</f>
        <v>0</v>
      </c>
      <c r="W191" s="26">
        <f>IF(B191="","",ROUND(T191*V191,2))</f>
        <v>0</v>
      </c>
      <c r="X191" s="26">
        <f>IF(B191="","",ROUND(IF(M191="",0,W191*M191)+IF(N191="",0,N191),2))</f>
        <v>0</v>
      </c>
      <c r="Y191" s="26">
        <f>IF(B191="","",ROUND(W191-X191-IF(P191="",0,P191),2))</f>
        <v>0</v>
      </c>
      <c r="Z191" s="26">
        <f>IF(B191="","",IF(H191="Retail",IF(TaxOnRetail="Yes",ROUND(Y191*TaxRate,2),0),IF(H191="Service",IF(TaxOnServices="Yes",ROUND(Y191*TaxRate,2),0),0)))</f>
        <v>0</v>
      </c>
      <c r="AA191" s="26">
        <f>IF(B191="","",ROUND(Y191+Z191,2))</f>
        <v>0</v>
      </c>
      <c r="AB191" s="26">
        <f>IF(B191="","",ROUND(T191*IF(H191="Retail",IFERROR(INDEX(Inventory!$H$5:$H$304,MATCH(I191,Inventory!$A$5:$A$304,0))*1,0),IFERROR(INDEX(Services!$Q$5:$Q$204,MATCH(I191,Services!$A$5:$A$204,0))*1,0)),2))</f>
        <v>0</v>
      </c>
      <c r="AC191" s="26">
        <f>IF(B191="","",ROUND(Y191-AB191,2))</f>
        <v>0</v>
      </c>
      <c r="AD191" s="38">
        <f>IF(B191="","",IF(C191="","No",IF(COUNTIFS($C$5:C191,C191)=1,"Yes","No")))</f>
        <v>0</v>
      </c>
      <c r="AE191" s="26">
        <f>IF(B191="","",ROUND(SUMIFS(Payments!$G$5:$G$1204,Payments!$H$5:$H$1204,A191,Payments!$Q$5:$Q$1204,"Yes"),2))</f>
        <v>0</v>
      </c>
      <c r="AF191" s="26">
        <f>IF(B191="","",IF(AD191="No",0,ROUND(SUMIFS(Payments!$G$5:$G$1204,Payments!$I$5:$I$1204,C191,Payments!$H$5:$H$1204,"",Payments!$Q$5:$Q$1204,"Yes"),2)))</f>
        <v>0</v>
      </c>
      <c r="AG191" s="26">
        <f>IF(B191="","",ROUND(AE191+AF191,2))</f>
        <v>0</v>
      </c>
      <c r="AH191" s="26">
        <f>IF(B191="","",ROUND(AA191-AG191,2))</f>
        <v>0</v>
      </c>
      <c r="AI191" s="39">
        <f>IF(B191="","",IF(AA191&lt;=0,"No charge",IF(AH191&lt;=0.004,"Paid",IF(AG191&lt;=0.004,"Unpaid","Part paid"))))</f>
        <v>0</v>
      </c>
      <c r="AJ191" s="38">
        <f>IF(B191="","",IF(H191&lt;&gt;"Service","",IF(D191="","No",IF(COUNTIFS($D$5:$D$1204,D191,$B$5:$B$1204,B191,$H$5:$H$1204,"Retail")&gt;0,"Yes","No"))))</f>
        <v>0</v>
      </c>
      <c r="AK191" s="25">
        <f>IF(B191="","",COUNTIFS($Y$5:$Y$1204,"&gt;"&amp;Y191)+COUNTIFS($Y$5:Y191,Y191))</f>
        <v>0</v>
      </c>
      <c r="AL191" s="39">
        <f>IF(B191="","",IF(H191="","Add - what kind of sale is this?",IF(IF(V191&lt;=0,P191="",FALSE),"Check - no price found for this item",IF(F191="","Assign - nobody credited",IF(AH191&gt;0.004,"Unpaid - balance outstanding",IF(AC191&lt;0,"Loss - sold below cost",IF(X191&gt;W191*0.5,"Check - more than half off","OK")))))))</f>
        <v>0</v>
      </c>
    </row>
    <row r="192" spans="1:38">
      <c r="A192" s="28">
        <f>IF(B192="","",SalePrefix&amp;TEXT(ROW()-4,"0000"))</f>
        <v>0</v>
      </c>
      <c r="E192" s="15">
        <f>IF(D192="","",IFERROR(INDEX(Clients!$B$5:$B$504,MATCH(D192,Clients!$A$5:$A$504,0)),"Walk-in"))</f>
        <v>0</v>
      </c>
      <c r="G192" s="15">
        <f>IF(F192="","",IFERROR(INDEX(Staff!$B$5:$B$44,MATCH(F192,Staff!$A$5:$A$44,0)),"House"))</f>
        <v>0</v>
      </c>
      <c r="R192" s="15">
        <f>IF(B192="","",TEXT(B192,"yyyy-mm"))</f>
        <v>0</v>
      </c>
      <c r="S192" s="25">
        <f>IF(B192="","",WEEKNUM(B192,2))</f>
        <v>0</v>
      </c>
      <c r="T192" s="37">
        <f>IF(B192="","",IF(K192="",1,K192))</f>
        <v>0</v>
      </c>
      <c r="U192" s="15">
        <f>IF(B192="","",IF(J192&lt;&gt;"",J192,IF(H192="Retail",IFERROR(INDEX(Inventory!$B$5:$B$304,MATCH(I192,Inventory!$A$5:$A$304,0))&amp;"","Not in Inventory"),IFERROR(INDEX(Services!$B$5:$B$204,MATCH(I192,Services!$A$5:$A$204,0))&amp;"","Not in Services"))))</f>
        <v>0</v>
      </c>
      <c r="V192" s="26">
        <f>IF(B192="","",IF(L192&lt;&gt;"",L192,IF(H192="Retail",IFERROR(INDEX(Inventory!$I$5:$I$304,MATCH(I192,Inventory!$A$5:$A$304,0))*1,0),IFERROR(INDEX(Services!$G$5:$G$204,MATCH(I192,Services!$A$5:$A$204,0))*1,0))))</f>
        <v>0</v>
      </c>
      <c r="W192" s="26">
        <f>IF(B192="","",ROUND(T192*V192,2))</f>
        <v>0</v>
      </c>
      <c r="X192" s="26">
        <f>IF(B192="","",ROUND(IF(M192="",0,W192*M192)+IF(N192="",0,N192),2))</f>
        <v>0</v>
      </c>
      <c r="Y192" s="26">
        <f>IF(B192="","",ROUND(W192-X192-IF(P192="",0,P192),2))</f>
        <v>0</v>
      </c>
      <c r="Z192" s="26">
        <f>IF(B192="","",IF(H192="Retail",IF(TaxOnRetail="Yes",ROUND(Y192*TaxRate,2),0),IF(H192="Service",IF(TaxOnServices="Yes",ROUND(Y192*TaxRate,2),0),0)))</f>
        <v>0</v>
      </c>
      <c r="AA192" s="26">
        <f>IF(B192="","",ROUND(Y192+Z192,2))</f>
        <v>0</v>
      </c>
      <c r="AB192" s="26">
        <f>IF(B192="","",ROUND(T192*IF(H192="Retail",IFERROR(INDEX(Inventory!$H$5:$H$304,MATCH(I192,Inventory!$A$5:$A$304,0))*1,0),IFERROR(INDEX(Services!$Q$5:$Q$204,MATCH(I192,Services!$A$5:$A$204,0))*1,0)),2))</f>
        <v>0</v>
      </c>
      <c r="AC192" s="26">
        <f>IF(B192="","",ROUND(Y192-AB192,2))</f>
        <v>0</v>
      </c>
      <c r="AD192" s="38">
        <f>IF(B192="","",IF(C192="","No",IF(COUNTIFS($C$5:C192,C192)=1,"Yes","No")))</f>
        <v>0</v>
      </c>
      <c r="AE192" s="26">
        <f>IF(B192="","",ROUND(SUMIFS(Payments!$G$5:$G$1204,Payments!$H$5:$H$1204,A192,Payments!$Q$5:$Q$1204,"Yes"),2))</f>
        <v>0</v>
      </c>
      <c r="AF192" s="26">
        <f>IF(B192="","",IF(AD192="No",0,ROUND(SUMIFS(Payments!$G$5:$G$1204,Payments!$I$5:$I$1204,C192,Payments!$H$5:$H$1204,"",Payments!$Q$5:$Q$1204,"Yes"),2)))</f>
        <v>0</v>
      </c>
      <c r="AG192" s="26">
        <f>IF(B192="","",ROUND(AE192+AF192,2))</f>
        <v>0</v>
      </c>
      <c r="AH192" s="26">
        <f>IF(B192="","",ROUND(AA192-AG192,2))</f>
        <v>0</v>
      </c>
      <c r="AI192" s="39">
        <f>IF(B192="","",IF(AA192&lt;=0,"No charge",IF(AH192&lt;=0.004,"Paid",IF(AG192&lt;=0.004,"Unpaid","Part paid"))))</f>
        <v>0</v>
      </c>
      <c r="AJ192" s="38">
        <f>IF(B192="","",IF(H192&lt;&gt;"Service","",IF(D192="","No",IF(COUNTIFS($D$5:$D$1204,D192,$B$5:$B$1204,B192,$H$5:$H$1204,"Retail")&gt;0,"Yes","No"))))</f>
        <v>0</v>
      </c>
      <c r="AK192" s="25">
        <f>IF(B192="","",COUNTIFS($Y$5:$Y$1204,"&gt;"&amp;Y192)+COUNTIFS($Y$5:Y192,Y192))</f>
        <v>0</v>
      </c>
      <c r="AL192" s="39">
        <f>IF(B192="","",IF(H192="","Add - what kind of sale is this?",IF(IF(V192&lt;=0,P192="",FALSE),"Check - no price found for this item",IF(F192="","Assign - nobody credited",IF(AH192&gt;0.004,"Unpaid - balance outstanding",IF(AC192&lt;0,"Loss - sold below cost",IF(X192&gt;W192*0.5,"Check - more than half off","OK")))))))</f>
        <v>0</v>
      </c>
    </row>
    <row r="193" spans="1:38">
      <c r="A193" s="28">
        <f>IF(B193="","",SalePrefix&amp;TEXT(ROW()-4,"0000"))</f>
        <v>0</v>
      </c>
      <c r="E193" s="15">
        <f>IF(D193="","",IFERROR(INDEX(Clients!$B$5:$B$504,MATCH(D193,Clients!$A$5:$A$504,0)),"Walk-in"))</f>
        <v>0</v>
      </c>
      <c r="G193" s="15">
        <f>IF(F193="","",IFERROR(INDEX(Staff!$B$5:$B$44,MATCH(F193,Staff!$A$5:$A$44,0)),"House"))</f>
        <v>0</v>
      </c>
      <c r="R193" s="15">
        <f>IF(B193="","",TEXT(B193,"yyyy-mm"))</f>
        <v>0</v>
      </c>
      <c r="S193" s="25">
        <f>IF(B193="","",WEEKNUM(B193,2))</f>
        <v>0</v>
      </c>
      <c r="T193" s="37">
        <f>IF(B193="","",IF(K193="",1,K193))</f>
        <v>0</v>
      </c>
      <c r="U193" s="15">
        <f>IF(B193="","",IF(J193&lt;&gt;"",J193,IF(H193="Retail",IFERROR(INDEX(Inventory!$B$5:$B$304,MATCH(I193,Inventory!$A$5:$A$304,0))&amp;"","Not in Inventory"),IFERROR(INDEX(Services!$B$5:$B$204,MATCH(I193,Services!$A$5:$A$204,0))&amp;"","Not in Services"))))</f>
        <v>0</v>
      </c>
      <c r="V193" s="26">
        <f>IF(B193="","",IF(L193&lt;&gt;"",L193,IF(H193="Retail",IFERROR(INDEX(Inventory!$I$5:$I$304,MATCH(I193,Inventory!$A$5:$A$304,0))*1,0),IFERROR(INDEX(Services!$G$5:$G$204,MATCH(I193,Services!$A$5:$A$204,0))*1,0))))</f>
        <v>0</v>
      </c>
      <c r="W193" s="26">
        <f>IF(B193="","",ROUND(T193*V193,2))</f>
        <v>0</v>
      </c>
      <c r="X193" s="26">
        <f>IF(B193="","",ROUND(IF(M193="",0,W193*M193)+IF(N193="",0,N193),2))</f>
        <v>0</v>
      </c>
      <c r="Y193" s="26">
        <f>IF(B193="","",ROUND(W193-X193-IF(P193="",0,P193),2))</f>
        <v>0</v>
      </c>
      <c r="Z193" s="26">
        <f>IF(B193="","",IF(H193="Retail",IF(TaxOnRetail="Yes",ROUND(Y193*TaxRate,2),0),IF(H193="Service",IF(TaxOnServices="Yes",ROUND(Y193*TaxRate,2),0),0)))</f>
        <v>0</v>
      </c>
      <c r="AA193" s="26">
        <f>IF(B193="","",ROUND(Y193+Z193,2))</f>
        <v>0</v>
      </c>
      <c r="AB193" s="26">
        <f>IF(B193="","",ROUND(T193*IF(H193="Retail",IFERROR(INDEX(Inventory!$H$5:$H$304,MATCH(I193,Inventory!$A$5:$A$304,0))*1,0),IFERROR(INDEX(Services!$Q$5:$Q$204,MATCH(I193,Services!$A$5:$A$204,0))*1,0)),2))</f>
        <v>0</v>
      </c>
      <c r="AC193" s="26">
        <f>IF(B193="","",ROUND(Y193-AB193,2))</f>
        <v>0</v>
      </c>
      <c r="AD193" s="38">
        <f>IF(B193="","",IF(C193="","No",IF(COUNTIFS($C$5:C193,C193)=1,"Yes","No")))</f>
        <v>0</v>
      </c>
      <c r="AE193" s="26">
        <f>IF(B193="","",ROUND(SUMIFS(Payments!$G$5:$G$1204,Payments!$H$5:$H$1204,A193,Payments!$Q$5:$Q$1204,"Yes"),2))</f>
        <v>0</v>
      </c>
      <c r="AF193" s="26">
        <f>IF(B193="","",IF(AD193="No",0,ROUND(SUMIFS(Payments!$G$5:$G$1204,Payments!$I$5:$I$1204,C193,Payments!$H$5:$H$1204,"",Payments!$Q$5:$Q$1204,"Yes"),2)))</f>
        <v>0</v>
      </c>
      <c r="AG193" s="26">
        <f>IF(B193="","",ROUND(AE193+AF193,2))</f>
        <v>0</v>
      </c>
      <c r="AH193" s="26">
        <f>IF(B193="","",ROUND(AA193-AG193,2))</f>
        <v>0</v>
      </c>
      <c r="AI193" s="39">
        <f>IF(B193="","",IF(AA193&lt;=0,"No charge",IF(AH193&lt;=0.004,"Paid",IF(AG193&lt;=0.004,"Unpaid","Part paid"))))</f>
        <v>0</v>
      </c>
      <c r="AJ193" s="38">
        <f>IF(B193="","",IF(H193&lt;&gt;"Service","",IF(D193="","No",IF(COUNTIFS($D$5:$D$1204,D193,$B$5:$B$1204,B193,$H$5:$H$1204,"Retail")&gt;0,"Yes","No"))))</f>
        <v>0</v>
      </c>
      <c r="AK193" s="25">
        <f>IF(B193="","",COUNTIFS($Y$5:$Y$1204,"&gt;"&amp;Y193)+COUNTIFS($Y$5:Y193,Y193))</f>
        <v>0</v>
      </c>
      <c r="AL193" s="39">
        <f>IF(B193="","",IF(H193="","Add - what kind of sale is this?",IF(IF(V193&lt;=0,P193="",FALSE),"Check - no price found for this item",IF(F193="","Assign - nobody credited",IF(AH193&gt;0.004,"Unpaid - balance outstanding",IF(AC193&lt;0,"Loss - sold below cost",IF(X193&gt;W193*0.5,"Check - more than half off","OK")))))))</f>
        <v>0</v>
      </c>
    </row>
    <row r="194" spans="1:38">
      <c r="A194" s="28">
        <f>IF(B194="","",SalePrefix&amp;TEXT(ROW()-4,"0000"))</f>
        <v>0</v>
      </c>
      <c r="E194" s="15">
        <f>IF(D194="","",IFERROR(INDEX(Clients!$B$5:$B$504,MATCH(D194,Clients!$A$5:$A$504,0)),"Walk-in"))</f>
        <v>0</v>
      </c>
      <c r="G194" s="15">
        <f>IF(F194="","",IFERROR(INDEX(Staff!$B$5:$B$44,MATCH(F194,Staff!$A$5:$A$44,0)),"House"))</f>
        <v>0</v>
      </c>
      <c r="R194" s="15">
        <f>IF(B194="","",TEXT(B194,"yyyy-mm"))</f>
        <v>0</v>
      </c>
      <c r="S194" s="25">
        <f>IF(B194="","",WEEKNUM(B194,2))</f>
        <v>0</v>
      </c>
      <c r="T194" s="37">
        <f>IF(B194="","",IF(K194="",1,K194))</f>
        <v>0</v>
      </c>
      <c r="U194" s="15">
        <f>IF(B194="","",IF(J194&lt;&gt;"",J194,IF(H194="Retail",IFERROR(INDEX(Inventory!$B$5:$B$304,MATCH(I194,Inventory!$A$5:$A$304,0))&amp;"","Not in Inventory"),IFERROR(INDEX(Services!$B$5:$B$204,MATCH(I194,Services!$A$5:$A$204,0))&amp;"","Not in Services"))))</f>
        <v>0</v>
      </c>
      <c r="V194" s="26">
        <f>IF(B194="","",IF(L194&lt;&gt;"",L194,IF(H194="Retail",IFERROR(INDEX(Inventory!$I$5:$I$304,MATCH(I194,Inventory!$A$5:$A$304,0))*1,0),IFERROR(INDEX(Services!$G$5:$G$204,MATCH(I194,Services!$A$5:$A$204,0))*1,0))))</f>
        <v>0</v>
      </c>
      <c r="W194" s="26">
        <f>IF(B194="","",ROUND(T194*V194,2))</f>
        <v>0</v>
      </c>
      <c r="X194" s="26">
        <f>IF(B194="","",ROUND(IF(M194="",0,W194*M194)+IF(N194="",0,N194),2))</f>
        <v>0</v>
      </c>
      <c r="Y194" s="26">
        <f>IF(B194="","",ROUND(W194-X194-IF(P194="",0,P194),2))</f>
        <v>0</v>
      </c>
      <c r="Z194" s="26">
        <f>IF(B194="","",IF(H194="Retail",IF(TaxOnRetail="Yes",ROUND(Y194*TaxRate,2),0),IF(H194="Service",IF(TaxOnServices="Yes",ROUND(Y194*TaxRate,2),0),0)))</f>
        <v>0</v>
      </c>
      <c r="AA194" s="26">
        <f>IF(B194="","",ROUND(Y194+Z194,2))</f>
        <v>0</v>
      </c>
      <c r="AB194" s="26">
        <f>IF(B194="","",ROUND(T194*IF(H194="Retail",IFERROR(INDEX(Inventory!$H$5:$H$304,MATCH(I194,Inventory!$A$5:$A$304,0))*1,0),IFERROR(INDEX(Services!$Q$5:$Q$204,MATCH(I194,Services!$A$5:$A$204,0))*1,0)),2))</f>
        <v>0</v>
      </c>
      <c r="AC194" s="26">
        <f>IF(B194="","",ROUND(Y194-AB194,2))</f>
        <v>0</v>
      </c>
      <c r="AD194" s="38">
        <f>IF(B194="","",IF(C194="","No",IF(COUNTIFS($C$5:C194,C194)=1,"Yes","No")))</f>
        <v>0</v>
      </c>
      <c r="AE194" s="26">
        <f>IF(B194="","",ROUND(SUMIFS(Payments!$G$5:$G$1204,Payments!$H$5:$H$1204,A194,Payments!$Q$5:$Q$1204,"Yes"),2))</f>
        <v>0</v>
      </c>
      <c r="AF194" s="26">
        <f>IF(B194="","",IF(AD194="No",0,ROUND(SUMIFS(Payments!$G$5:$G$1204,Payments!$I$5:$I$1204,C194,Payments!$H$5:$H$1204,"",Payments!$Q$5:$Q$1204,"Yes"),2)))</f>
        <v>0</v>
      </c>
      <c r="AG194" s="26">
        <f>IF(B194="","",ROUND(AE194+AF194,2))</f>
        <v>0</v>
      </c>
      <c r="AH194" s="26">
        <f>IF(B194="","",ROUND(AA194-AG194,2))</f>
        <v>0</v>
      </c>
      <c r="AI194" s="39">
        <f>IF(B194="","",IF(AA194&lt;=0,"No charge",IF(AH194&lt;=0.004,"Paid",IF(AG194&lt;=0.004,"Unpaid","Part paid"))))</f>
        <v>0</v>
      </c>
      <c r="AJ194" s="38">
        <f>IF(B194="","",IF(H194&lt;&gt;"Service","",IF(D194="","No",IF(COUNTIFS($D$5:$D$1204,D194,$B$5:$B$1204,B194,$H$5:$H$1204,"Retail")&gt;0,"Yes","No"))))</f>
        <v>0</v>
      </c>
      <c r="AK194" s="25">
        <f>IF(B194="","",COUNTIFS($Y$5:$Y$1204,"&gt;"&amp;Y194)+COUNTIFS($Y$5:Y194,Y194))</f>
        <v>0</v>
      </c>
      <c r="AL194" s="39">
        <f>IF(B194="","",IF(H194="","Add - what kind of sale is this?",IF(IF(V194&lt;=0,P194="",FALSE),"Check - no price found for this item",IF(F194="","Assign - nobody credited",IF(AH194&gt;0.004,"Unpaid - balance outstanding",IF(AC194&lt;0,"Loss - sold below cost",IF(X194&gt;W194*0.5,"Check - more than half off","OK")))))))</f>
        <v>0</v>
      </c>
    </row>
    <row r="195" spans="1:38">
      <c r="A195" s="28">
        <f>IF(B195="","",SalePrefix&amp;TEXT(ROW()-4,"0000"))</f>
        <v>0</v>
      </c>
      <c r="E195" s="15">
        <f>IF(D195="","",IFERROR(INDEX(Clients!$B$5:$B$504,MATCH(D195,Clients!$A$5:$A$504,0)),"Walk-in"))</f>
        <v>0</v>
      </c>
      <c r="G195" s="15">
        <f>IF(F195="","",IFERROR(INDEX(Staff!$B$5:$B$44,MATCH(F195,Staff!$A$5:$A$44,0)),"House"))</f>
        <v>0</v>
      </c>
      <c r="R195" s="15">
        <f>IF(B195="","",TEXT(B195,"yyyy-mm"))</f>
        <v>0</v>
      </c>
      <c r="S195" s="25">
        <f>IF(B195="","",WEEKNUM(B195,2))</f>
        <v>0</v>
      </c>
      <c r="T195" s="37">
        <f>IF(B195="","",IF(K195="",1,K195))</f>
        <v>0</v>
      </c>
      <c r="U195" s="15">
        <f>IF(B195="","",IF(J195&lt;&gt;"",J195,IF(H195="Retail",IFERROR(INDEX(Inventory!$B$5:$B$304,MATCH(I195,Inventory!$A$5:$A$304,0))&amp;"","Not in Inventory"),IFERROR(INDEX(Services!$B$5:$B$204,MATCH(I195,Services!$A$5:$A$204,0))&amp;"","Not in Services"))))</f>
        <v>0</v>
      </c>
      <c r="V195" s="26">
        <f>IF(B195="","",IF(L195&lt;&gt;"",L195,IF(H195="Retail",IFERROR(INDEX(Inventory!$I$5:$I$304,MATCH(I195,Inventory!$A$5:$A$304,0))*1,0),IFERROR(INDEX(Services!$G$5:$G$204,MATCH(I195,Services!$A$5:$A$204,0))*1,0))))</f>
        <v>0</v>
      </c>
      <c r="W195" s="26">
        <f>IF(B195="","",ROUND(T195*V195,2))</f>
        <v>0</v>
      </c>
      <c r="X195" s="26">
        <f>IF(B195="","",ROUND(IF(M195="",0,W195*M195)+IF(N195="",0,N195),2))</f>
        <v>0</v>
      </c>
      <c r="Y195" s="26">
        <f>IF(B195="","",ROUND(W195-X195-IF(P195="",0,P195),2))</f>
        <v>0</v>
      </c>
      <c r="Z195" s="26">
        <f>IF(B195="","",IF(H195="Retail",IF(TaxOnRetail="Yes",ROUND(Y195*TaxRate,2),0),IF(H195="Service",IF(TaxOnServices="Yes",ROUND(Y195*TaxRate,2),0),0)))</f>
        <v>0</v>
      </c>
      <c r="AA195" s="26">
        <f>IF(B195="","",ROUND(Y195+Z195,2))</f>
        <v>0</v>
      </c>
      <c r="AB195" s="26">
        <f>IF(B195="","",ROUND(T195*IF(H195="Retail",IFERROR(INDEX(Inventory!$H$5:$H$304,MATCH(I195,Inventory!$A$5:$A$304,0))*1,0),IFERROR(INDEX(Services!$Q$5:$Q$204,MATCH(I195,Services!$A$5:$A$204,0))*1,0)),2))</f>
        <v>0</v>
      </c>
      <c r="AC195" s="26">
        <f>IF(B195="","",ROUND(Y195-AB195,2))</f>
        <v>0</v>
      </c>
      <c r="AD195" s="38">
        <f>IF(B195="","",IF(C195="","No",IF(COUNTIFS($C$5:C195,C195)=1,"Yes","No")))</f>
        <v>0</v>
      </c>
      <c r="AE195" s="26">
        <f>IF(B195="","",ROUND(SUMIFS(Payments!$G$5:$G$1204,Payments!$H$5:$H$1204,A195,Payments!$Q$5:$Q$1204,"Yes"),2))</f>
        <v>0</v>
      </c>
      <c r="AF195" s="26">
        <f>IF(B195="","",IF(AD195="No",0,ROUND(SUMIFS(Payments!$G$5:$G$1204,Payments!$I$5:$I$1204,C195,Payments!$H$5:$H$1204,"",Payments!$Q$5:$Q$1204,"Yes"),2)))</f>
        <v>0</v>
      </c>
      <c r="AG195" s="26">
        <f>IF(B195="","",ROUND(AE195+AF195,2))</f>
        <v>0</v>
      </c>
      <c r="AH195" s="26">
        <f>IF(B195="","",ROUND(AA195-AG195,2))</f>
        <v>0</v>
      </c>
      <c r="AI195" s="39">
        <f>IF(B195="","",IF(AA195&lt;=0,"No charge",IF(AH195&lt;=0.004,"Paid",IF(AG195&lt;=0.004,"Unpaid","Part paid"))))</f>
        <v>0</v>
      </c>
      <c r="AJ195" s="38">
        <f>IF(B195="","",IF(H195&lt;&gt;"Service","",IF(D195="","No",IF(COUNTIFS($D$5:$D$1204,D195,$B$5:$B$1204,B195,$H$5:$H$1204,"Retail")&gt;0,"Yes","No"))))</f>
        <v>0</v>
      </c>
      <c r="AK195" s="25">
        <f>IF(B195="","",COUNTIFS($Y$5:$Y$1204,"&gt;"&amp;Y195)+COUNTIFS($Y$5:Y195,Y195))</f>
        <v>0</v>
      </c>
      <c r="AL195" s="39">
        <f>IF(B195="","",IF(H195="","Add - what kind of sale is this?",IF(IF(V195&lt;=0,P195="",FALSE),"Check - no price found for this item",IF(F195="","Assign - nobody credited",IF(AH195&gt;0.004,"Unpaid - balance outstanding",IF(AC195&lt;0,"Loss - sold below cost",IF(X195&gt;W195*0.5,"Check - more than half off","OK")))))))</f>
        <v>0</v>
      </c>
    </row>
    <row r="196" spans="1:38">
      <c r="A196" s="28">
        <f>IF(B196="","",SalePrefix&amp;TEXT(ROW()-4,"0000"))</f>
        <v>0</v>
      </c>
      <c r="E196" s="15">
        <f>IF(D196="","",IFERROR(INDEX(Clients!$B$5:$B$504,MATCH(D196,Clients!$A$5:$A$504,0)),"Walk-in"))</f>
        <v>0</v>
      </c>
      <c r="G196" s="15">
        <f>IF(F196="","",IFERROR(INDEX(Staff!$B$5:$B$44,MATCH(F196,Staff!$A$5:$A$44,0)),"House"))</f>
        <v>0</v>
      </c>
      <c r="R196" s="15">
        <f>IF(B196="","",TEXT(B196,"yyyy-mm"))</f>
        <v>0</v>
      </c>
      <c r="S196" s="25">
        <f>IF(B196="","",WEEKNUM(B196,2))</f>
        <v>0</v>
      </c>
      <c r="T196" s="37">
        <f>IF(B196="","",IF(K196="",1,K196))</f>
        <v>0</v>
      </c>
      <c r="U196" s="15">
        <f>IF(B196="","",IF(J196&lt;&gt;"",J196,IF(H196="Retail",IFERROR(INDEX(Inventory!$B$5:$B$304,MATCH(I196,Inventory!$A$5:$A$304,0))&amp;"","Not in Inventory"),IFERROR(INDEX(Services!$B$5:$B$204,MATCH(I196,Services!$A$5:$A$204,0))&amp;"","Not in Services"))))</f>
        <v>0</v>
      </c>
      <c r="V196" s="26">
        <f>IF(B196="","",IF(L196&lt;&gt;"",L196,IF(H196="Retail",IFERROR(INDEX(Inventory!$I$5:$I$304,MATCH(I196,Inventory!$A$5:$A$304,0))*1,0),IFERROR(INDEX(Services!$G$5:$G$204,MATCH(I196,Services!$A$5:$A$204,0))*1,0))))</f>
        <v>0</v>
      </c>
      <c r="W196" s="26">
        <f>IF(B196="","",ROUND(T196*V196,2))</f>
        <v>0</v>
      </c>
      <c r="X196" s="26">
        <f>IF(B196="","",ROUND(IF(M196="",0,W196*M196)+IF(N196="",0,N196),2))</f>
        <v>0</v>
      </c>
      <c r="Y196" s="26">
        <f>IF(B196="","",ROUND(W196-X196-IF(P196="",0,P196),2))</f>
        <v>0</v>
      </c>
      <c r="Z196" s="26">
        <f>IF(B196="","",IF(H196="Retail",IF(TaxOnRetail="Yes",ROUND(Y196*TaxRate,2),0),IF(H196="Service",IF(TaxOnServices="Yes",ROUND(Y196*TaxRate,2),0),0)))</f>
        <v>0</v>
      </c>
      <c r="AA196" s="26">
        <f>IF(B196="","",ROUND(Y196+Z196,2))</f>
        <v>0</v>
      </c>
      <c r="AB196" s="26">
        <f>IF(B196="","",ROUND(T196*IF(H196="Retail",IFERROR(INDEX(Inventory!$H$5:$H$304,MATCH(I196,Inventory!$A$5:$A$304,0))*1,0),IFERROR(INDEX(Services!$Q$5:$Q$204,MATCH(I196,Services!$A$5:$A$204,0))*1,0)),2))</f>
        <v>0</v>
      </c>
      <c r="AC196" s="26">
        <f>IF(B196="","",ROUND(Y196-AB196,2))</f>
        <v>0</v>
      </c>
      <c r="AD196" s="38">
        <f>IF(B196="","",IF(C196="","No",IF(COUNTIFS($C$5:C196,C196)=1,"Yes","No")))</f>
        <v>0</v>
      </c>
      <c r="AE196" s="26">
        <f>IF(B196="","",ROUND(SUMIFS(Payments!$G$5:$G$1204,Payments!$H$5:$H$1204,A196,Payments!$Q$5:$Q$1204,"Yes"),2))</f>
        <v>0</v>
      </c>
      <c r="AF196" s="26">
        <f>IF(B196="","",IF(AD196="No",0,ROUND(SUMIFS(Payments!$G$5:$G$1204,Payments!$I$5:$I$1204,C196,Payments!$H$5:$H$1204,"",Payments!$Q$5:$Q$1204,"Yes"),2)))</f>
        <v>0</v>
      </c>
      <c r="AG196" s="26">
        <f>IF(B196="","",ROUND(AE196+AF196,2))</f>
        <v>0</v>
      </c>
      <c r="AH196" s="26">
        <f>IF(B196="","",ROUND(AA196-AG196,2))</f>
        <v>0</v>
      </c>
      <c r="AI196" s="39">
        <f>IF(B196="","",IF(AA196&lt;=0,"No charge",IF(AH196&lt;=0.004,"Paid",IF(AG196&lt;=0.004,"Unpaid","Part paid"))))</f>
        <v>0</v>
      </c>
      <c r="AJ196" s="38">
        <f>IF(B196="","",IF(H196&lt;&gt;"Service","",IF(D196="","No",IF(COUNTIFS($D$5:$D$1204,D196,$B$5:$B$1204,B196,$H$5:$H$1204,"Retail")&gt;0,"Yes","No"))))</f>
        <v>0</v>
      </c>
      <c r="AK196" s="25">
        <f>IF(B196="","",COUNTIFS($Y$5:$Y$1204,"&gt;"&amp;Y196)+COUNTIFS($Y$5:Y196,Y196))</f>
        <v>0</v>
      </c>
      <c r="AL196" s="39">
        <f>IF(B196="","",IF(H196="","Add - what kind of sale is this?",IF(IF(V196&lt;=0,P196="",FALSE),"Check - no price found for this item",IF(F196="","Assign - nobody credited",IF(AH196&gt;0.004,"Unpaid - balance outstanding",IF(AC196&lt;0,"Loss - sold below cost",IF(X196&gt;W196*0.5,"Check - more than half off","OK")))))))</f>
        <v>0</v>
      </c>
    </row>
    <row r="197" spans="1:38">
      <c r="A197" s="28">
        <f>IF(B197="","",SalePrefix&amp;TEXT(ROW()-4,"0000"))</f>
        <v>0</v>
      </c>
      <c r="E197" s="15">
        <f>IF(D197="","",IFERROR(INDEX(Clients!$B$5:$B$504,MATCH(D197,Clients!$A$5:$A$504,0)),"Walk-in"))</f>
        <v>0</v>
      </c>
      <c r="G197" s="15">
        <f>IF(F197="","",IFERROR(INDEX(Staff!$B$5:$B$44,MATCH(F197,Staff!$A$5:$A$44,0)),"House"))</f>
        <v>0</v>
      </c>
      <c r="R197" s="15">
        <f>IF(B197="","",TEXT(B197,"yyyy-mm"))</f>
        <v>0</v>
      </c>
      <c r="S197" s="25">
        <f>IF(B197="","",WEEKNUM(B197,2))</f>
        <v>0</v>
      </c>
      <c r="T197" s="37">
        <f>IF(B197="","",IF(K197="",1,K197))</f>
        <v>0</v>
      </c>
      <c r="U197" s="15">
        <f>IF(B197="","",IF(J197&lt;&gt;"",J197,IF(H197="Retail",IFERROR(INDEX(Inventory!$B$5:$B$304,MATCH(I197,Inventory!$A$5:$A$304,0))&amp;"","Not in Inventory"),IFERROR(INDEX(Services!$B$5:$B$204,MATCH(I197,Services!$A$5:$A$204,0))&amp;"","Not in Services"))))</f>
        <v>0</v>
      </c>
      <c r="V197" s="26">
        <f>IF(B197="","",IF(L197&lt;&gt;"",L197,IF(H197="Retail",IFERROR(INDEX(Inventory!$I$5:$I$304,MATCH(I197,Inventory!$A$5:$A$304,0))*1,0),IFERROR(INDEX(Services!$G$5:$G$204,MATCH(I197,Services!$A$5:$A$204,0))*1,0))))</f>
        <v>0</v>
      </c>
      <c r="W197" s="26">
        <f>IF(B197="","",ROUND(T197*V197,2))</f>
        <v>0</v>
      </c>
      <c r="X197" s="26">
        <f>IF(B197="","",ROUND(IF(M197="",0,W197*M197)+IF(N197="",0,N197),2))</f>
        <v>0</v>
      </c>
      <c r="Y197" s="26">
        <f>IF(B197="","",ROUND(W197-X197-IF(P197="",0,P197),2))</f>
        <v>0</v>
      </c>
      <c r="Z197" s="26">
        <f>IF(B197="","",IF(H197="Retail",IF(TaxOnRetail="Yes",ROUND(Y197*TaxRate,2),0),IF(H197="Service",IF(TaxOnServices="Yes",ROUND(Y197*TaxRate,2),0),0)))</f>
        <v>0</v>
      </c>
      <c r="AA197" s="26">
        <f>IF(B197="","",ROUND(Y197+Z197,2))</f>
        <v>0</v>
      </c>
      <c r="AB197" s="26">
        <f>IF(B197="","",ROUND(T197*IF(H197="Retail",IFERROR(INDEX(Inventory!$H$5:$H$304,MATCH(I197,Inventory!$A$5:$A$304,0))*1,0),IFERROR(INDEX(Services!$Q$5:$Q$204,MATCH(I197,Services!$A$5:$A$204,0))*1,0)),2))</f>
        <v>0</v>
      </c>
      <c r="AC197" s="26">
        <f>IF(B197="","",ROUND(Y197-AB197,2))</f>
        <v>0</v>
      </c>
      <c r="AD197" s="38">
        <f>IF(B197="","",IF(C197="","No",IF(COUNTIFS($C$5:C197,C197)=1,"Yes","No")))</f>
        <v>0</v>
      </c>
      <c r="AE197" s="26">
        <f>IF(B197="","",ROUND(SUMIFS(Payments!$G$5:$G$1204,Payments!$H$5:$H$1204,A197,Payments!$Q$5:$Q$1204,"Yes"),2))</f>
        <v>0</v>
      </c>
      <c r="AF197" s="26">
        <f>IF(B197="","",IF(AD197="No",0,ROUND(SUMIFS(Payments!$G$5:$G$1204,Payments!$I$5:$I$1204,C197,Payments!$H$5:$H$1204,"",Payments!$Q$5:$Q$1204,"Yes"),2)))</f>
        <v>0</v>
      </c>
      <c r="AG197" s="26">
        <f>IF(B197="","",ROUND(AE197+AF197,2))</f>
        <v>0</v>
      </c>
      <c r="AH197" s="26">
        <f>IF(B197="","",ROUND(AA197-AG197,2))</f>
        <v>0</v>
      </c>
      <c r="AI197" s="39">
        <f>IF(B197="","",IF(AA197&lt;=0,"No charge",IF(AH197&lt;=0.004,"Paid",IF(AG197&lt;=0.004,"Unpaid","Part paid"))))</f>
        <v>0</v>
      </c>
      <c r="AJ197" s="38">
        <f>IF(B197="","",IF(H197&lt;&gt;"Service","",IF(D197="","No",IF(COUNTIFS($D$5:$D$1204,D197,$B$5:$B$1204,B197,$H$5:$H$1204,"Retail")&gt;0,"Yes","No"))))</f>
        <v>0</v>
      </c>
      <c r="AK197" s="25">
        <f>IF(B197="","",COUNTIFS($Y$5:$Y$1204,"&gt;"&amp;Y197)+COUNTIFS($Y$5:Y197,Y197))</f>
        <v>0</v>
      </c>
      <c r="AL197" s="39">
        <f>IF(B197="","",IF(H197="","Add - what kind of sale is this?",IF(IF(V197&lt;=0,P197="",FALSE),"Check - no price found for this item",IF(F197="","Assign - nobody credited",IF(AH197&gt;0.004,"Unpaid - balance outstanding",IF(AC197&lt;0,"Loss - sold below cost",IF(X197&gt;W197*0.5,"Check - more than half off","OK")))))))</f>
        <v>0</v>
      </c>
    </row>
    <row r="198" spans="1:38">
      <c r="A198" s="28">
        <f>IF(B198="","",SalePrefix&amp;TEXT(ROW()-4,"0000"))</f>
        <v>0</v>
      </c>
      <c r="E198" s="15">
        <f>IF(D198="","",IFERROR(INDEX(Clients!$B$5:$B$504,MATCH(D198,Clients!$A$5:$A$504,0)),"Walk-in"))</f>
        <v>0</v>
      </c>
      <c r="G198" s="15">
        <f>IF(F198="","",IFERROR(INDEX(Staff!$B$5:$B$44,MATCH(F198,Staff!$A$5:$A$44,0)),"House"))</f>
        <v>0</v>
      </c>
      <c r="R198" s="15">
        <f>IF(B198="","",TEXT(B198,"yyyy-mm"))</f>
        <v>0</v>
      </c>
      <c r="S198" s="25">
        <f>IF(B198="","",WEEKNUM(B198,2))</f>
        <v>0</v>
      </c>
      <c r="T198" s="37">
        <f>IF(B198="","",IF(K198="",1,K198))</f>
        <v>0</v>
      </c>
      <c r="U198" s="15">
        <f>IF(B198="","",IF(J198&lt;&gt;"",J198,IF(H198="Retail",IFERROR(INDEX(Inventory!$B$5:$B$304,MATCH(I198,Inventory!$A$5:$A$304,0))&amp;"","Not in Inventory"),IFERROR(INDEX(Services!$B$5:$B$204,MATCH(I198,Services!$A$5:$A$204,0))&amp;"","Not in Services"))))</f>
        <v>0</v>
      </c>
      <c r="V198" s="26">
        <f>IF(B198="","",IF(L198&lt;&gt;"",L198,IF(H198="Retail",IFERROR(INDEX(Inventory!$I$5:$I$304,MATCH(I198,Inventory!$A$5:$A$304,0))*1,0),IFERROR(INDEX(Services!$G$5:$G$204,MATCH(I198,Services!$A$5:$A$204,0))*1,0))))</f>
        <v>0</v>
      </c>
      <c r="W198" s="26">
        <f>IF(B198="","",ROUND(T198*V198,2))</f>
        <v>0</v>
      </c>
      <c r="X198" s="26">
        <f>IF(B198="","",ROUND(IF(M198="",0,W198*M198)+IF(N198="",0,N198),2))</f>
        <v>0</v>
      </c>
      <c r="Y198" s="26">
        <f>IF(B198="","",ROUND(W198-X198-IF(P198="",0,P198),2))</f>
        <v>0</v>
      </c>
      <c r="Z198" s="26">
        <f>IF(B198="","",IF(H198="Retail",IF(TaxOnRetail="Yes",ROUND(Y198*TaxRate,2),0),IF(H198="Service",IF(TaxOnServices="Yes",ROUND(Y198*TaxRate,2),0),0)))</f>
        <v>0</v>
      </c>
      <c r="AA198" s="26">
        <f>IF(B198="","",ROUND(Y198+Z198,2))</f>
        <v>0</v>
      </c>
      <c r="AB198" s="26">
        <f>IF(B198="","",ROUND(T198*IF(H198="Retail",IFERROR(INDEX(Inventory!$H$5:$H$304,MATCH(I198,Inventory!$A$5:$A$304,0))*1,0),IFERROR(INDEX(Services!$Q$5:$Q$204,MATCH(I198,Services!$A$5:$A$204,0))*1,0)),2))</f>
        <v>0</v>
      </c>
      <c r="AC198" s="26">
        <f>IF(B198="","",ROUND(Y198-AB198,2))</f>
        <v>0</v>
      </c>
      <c r="AD198" s="38">
        <f>IF(B198="","",IF(C198="","No",IF(COUNTIFS($C$5:C198,C198)=1,"Yes","No")))</f>
        <v>0</v>
      </c>
      <c r="AE198" s="26">
        <f>IF(B198="","",ROUND(SUMIFS(Payments!$G$5:$G$1204,Payments!$H$5:$H$1204,A198,Payments!$Q$5:$Q$1204,"Yes"),2))</f>
        <v>0</v>
      </c>
      <c r="AF198" s="26">
        <f>IF(B198="","",IF(AD198="No",0,ROUND(SUMIFS(Payments!$G$5:$G$1204,Payments!$I$5:$I$1204,C198,Payments!$H$5:$H$1204,"",Payments!$Q$5:$Q$1204,"Yes"),2)))</f>
        <v>0</v>
      </c>
      <c r="AG198" s="26">
        <f>IF(B198="","",ROUND(AE198+AF198,2))</f>
        <v>0</v>
      </c>
      <c r="AH198" s="26">
        <f>IF(B198="","",ROUND(AA198-AG198,2))</f>
        <v>0</v>
      </c>
      <c r="AI198" s="39">
        <f>IF(B198="","",IF(AA198&lt;=0,"No charge",IF(AH198&lt;=0.004,"Paid",IF(AG198&lt;=0.004,"Unpaid","Part paid"))))</f>
        <v>0</v>
      </c>
      <c r="AJ198" s="38">
        <f>IF(B198="","",IF(H198&lt;&gt;"Service","",IF(D198="","No",IF(COUNTIFS($D$5:$D$1204,D198,$B$5:$B$1204,B198,$H$5:$H$1204,"Retail")&gt;0,"Yes","No"))))</f>
        <v>0</v>
      </c>
      <c r="AK198" s="25">
        <f>IF(B198="","",COUNTIFS($Y$5:$Y$1204,"&gt;"&amp;Y198)+COUNTIFS($Y$5:Y198,Y198))</f>
        <v>0</v>
      </c>
      <c r="AL198" s="39">
        <f>IF(B198="","",IF(H198="","Add - what kind of sale is this?",IF(IF(V198&lt;=0,P198="",FALSE),"Check - no price found for this item",IF(F198="","Assign - nobody credited",IF(AH198&gt;0.004,"Unpaid - balance outstanding",IF(AC198&lt;0,"Loss - sold below cost",IF(X198&gt;W198*0.5,"Check - more than half off","OK")))))))</f>
        <v>0</v>
      </c>
    </row>
    <row r="199" spans="1:38">
      <c r="A199" s="28">
        <f>IF(B199="","",SalePrefix&amp;TEXT(ROW()-4,"0000"))</f>
        <v>0</v>
      </c>
      <c r="E199" s="15">
        <f>IF(D199="","",IFERROR(INDEX(Clients!$B$5:$B$504,MATCH(D199,Clients!$A$5:$A$504,0)),"Walk-in"))</f>
        <v>0</v>
      </c>
      <c r="G199" s="15">
        <f>IF(F199="","",IFERROR(INDEX(Staff!$B$5:$B$44,MATCH(F199,Staff!$A$5:$A$44,0)),"House"))</f>
        <v>0</v>
      </c>
      <c r="R199" s="15">
        <f>IF(B199="","",TEXT(B199,"yyyy-mm"))</f>
        <v>0</v>
      </c>
      <c r="S199" s="25">
        <f>IF(B199="","",WEEKNUM(B199,2))</f>
        <v>0</v>
      </c>
      <c r="T199" s="37">
        <f>IF(B199="","",IF(K199="",1,K199))</f>
        <v>0</v>
      </c>
      <c r="U199" s="15">
        <f>IF(B199="","",IF(J199&lt;&gt;"",J199,IF(H199="Retail",IFERROR(INDEX(Inventory!$B$5:$B$304,MATCH(I199,Inventory!$A$5:$A$304,0))&amp;"","Not in Inventory"),IFERROR(INDEX(Services!$B$5:$B$204,MATCH(I199,Services!$A$5:$A$204,0))&amp;"","Not in Services"))))</f>
        <v>0</v>
      </c>
      <c r="V199" s="26">
        <f>IF(B199="","",IF(L199&lt;&gt;"",L199,IF(H199="Retail",IFERROR(INDEX(Inventory!$I$5:$I$304,MATCH(I199,Inventory!$A$5:$A$304,0))*1,0),IFERROR(INDEX(Services!$G$5:$G$204,MATCH(I199,Services!$A$5:$A$204,0))*1,0))))</f>
        <v>0</v>
      </c>
      <c r="W199" s="26">
        <f>IF(B199="","",ROUND(T199*V199,2))</f>
        <v>0</v>
      </c>
      <c r="X199" s="26">
        <f>IF(B199="","",ROUND(IF(M199="",0,W199*M199)+IF(N199="",0,N199),2))</f>
        <v>0</v>
      </c>
      <c r="Y199" s="26">
        <f>IF(B199="","",ROUND(W199-X199-IF(P199="",0,P199),2))</f>
        <v>0</v>
      </c>
      <c r="Z199" s="26">
        <f>IF(B199="","",IF(H199="Retail",IF(TaxOnRetail="Yes",ROUND(Y199*TaxRate,2),0),IF(H199="Service",IF(TaxOnServices="Yes",ROUND(Y199*TaxRate,2),0),0)))</f>
        <v>0</v>
      </c>
      <c r="AA199" s="26">
        <f>IF(B199="","",ROUND(Y199+Z199,2))</f>
        <v>0</v>
      </c>
      <c r="AB199" s="26">
        <f>IF(B199="","",ROUND(T199*IF(H199="Retail",IFERROR(INDEX(Inventory!$H$5:$H$304,MATCH(I199,Inventory!$A$5:$A$304,0))*1,0),IFERROR(INDEX(Services!$Q$5:$Q$204,MATCH(I199,Services!$A$5:$A$204,0))*1,0)),2))</f>
        <v>0</v>
      </c>
      <c r="AC199" s="26">
        <f>IF(B199="","",ROUND(Y199-AB199,2))</f>
        <v>0</v>
      </c>
      <c r="AD199" s="38">
        <f>IF(B199="","",IF(C199="","No",IF(COUNTIFS($C$5:C199,C199)=1,"Yes","No")))</f>
        <v>0</v>
      </c>
      <c r="AE199" s="26">
        <f>IF(B199="","",ROUND(SUMIFS(Payments!$G$5:$G$1204,Payments!$H$5:$H$1204,A199,Payments!$Q$5:$Q$1204,"Yes"),2))</f>
        <v>0</v>
      </c>
      <c r="AF199" s="26">
        <f>IF(B199="","",IF(AD199="No",0,ROUND(SUMIFS(Payments!$G$5:$G$1204,Payments!$I$5:$I$1204,C199,Payments!$H$5:$H$1204,"",Payments!$Q$5:$Q$1204,"Yes"),2)))</f>
        <v>0</v>
      </c>
      <c r="AG199" s="26">
        <f>IF(B199="","",ROUND(AE199+AF199,2))</f>
        <v>0</v>
      </c>
      <c r="AH199" s="26">
        <f>IF(B199="","",ROUND(AA199-AG199,2))</f>
        <v>0</v>
      </c>
      <c r="AI199" s="39">
        <f>IF(B199="","",IF(AA199&lt;=0,"No charge",IF(AH199&lt;=0.004,"Paid",IF(AG199&lt;=0.004,"Unpaid","Part paid"))))</f>
        <v>0</v>
      </c>
      <c r="AJ199" s="38">
        <f>IF(B199="","",IF(H199&lt;&gt;"Service","",IF(D199="","No",IF(COUNTIFS($D$5:$D$1204,D199,$B$5:$B$1204,B199,$H$5:$H$1204,"Retail")&gt;0,"Yes","No"))))</f>
        <v>0</v>
      </c>
      <c r="AK199" s="25">
        <f>IF(B199="","",COUNTIFS($Y$5:$Y$1204,"&gt;"&amp;Y199)+COUNTIFS($Y$5:Y199,Y199))</f>
        <v>0</v>
      </c>
      <c r="AL199" s="39">
        <f>IF(B199="","",IF(H199="","Add - what kind of sale is this?",IF(IF(V199&lt;=0,P199="",FALSE),"Check - no price found for this item",IF(F199="","Assign - nobody credited",IF(AH199&gt;0.004,"Unpaid - balance outstanding",IF(AC199&lt;0,"Loss - sold below cost",IF(X199&gt;W199*0.5,"Check - more than half off","OK")))))))</f>
        <v>0</v>
      </c>
    </row>
    <row r="200" spans="1:38">
      <c r="A200" s="28">
        <f>IF(B200="","",SalePrefix&amp;TEXT(ROW()-4,"0000"))</f>
        <v>0</v>
      </c>
      <c r="E200" s="15">
        <f>IF(D200="","",IFERROR(INDEX(Clients!$B$5:$B$504,MATCH(D200,Clients!$A$5:$A$504,0)),"Walk-in"))</f>
        <v>0</v>
      </c>
      <c r="G200" s="15">
        <f>IF(F200="","",IFERROR(INDEX(Staff!$B$5:$B$44,MATCH(F200,Staff!$A$5:$A$44,0)),"House"))</f>
        <v>0</v>
      </c>
      <c r="R200" s="15">
        <f>IF(B200="","",TEXT(B200,"yyyy-mm"))</f>
        <v>0</v>
      </c>
      <c r="S200" s="25">
        <f>IF(B200="","",WEEKNUM(B200,2))</f>
        <v>0</v>
      </c>
      <c r="T200" s="37">
        <f>IF(B200="","",IF(K200="",1,K200))</f>
        <v>0</v>
      </c>
      <c r="U200" s="15">
        <f>IF(B200="","",IF(J200&lt;&gt;"",J200,IF(H200="Retail",IFERROR(INDEX(Inventory!$B$5:$B$304,MATCH(I200,Inventory!$A$5:$A$304,0))&amp;"","Not in Inventory"),IFERROR(INDEX(Services!$B$5:$B$204,MATCH(I200,Services!$A$5:$A$204,0))&amp;"","Not in Services"))))</f>
        <v>0</v>
      </c>
      <c r="V200" s="26">
        <f>IF(B200="","",IF(L200&lt;&gt;"",L200,IF(H200="Retail",IFERROR(INDEX(Inventory!$I$5:$I$304,MATCH(I200,Inventory!$A$5:$A$304,0))*1,0),IFERROR(INDEX(Services!$G$5:$G$204,MATCH(I200,Services!$A$5:$A$204,0))*1,0))))</f>
        <v>0</v>
      </c>
      <c r="W200" s="26">
        <f>IF(B200="","",ROUND(T200*V200,2))</f>
        <v>0</v>
      </c>
      <c r="X200" s="26">
        <f>IF(B200="","",ROUND(IF(M200="",0,W200*M200)+IF(N200="",0,N200),2))</f>
        <v>0</v>
      </c>
      <c r="Y200" s="26">
        <f>IF(B200="","",ROUND(W200-X200-IF(P200="",0,P200),2))</f>
        <v>0</v>
      </c>
      <c r="Z200" s="26">
        <f>IF(B200="","",IF(H200="Retail",IF(TaxOnRetail="Yes",ROUND(Y200*TaxRate,2),0),IF(H200="Service",IF(TaxOnServices="Yes",ROUND(Y200*TaxRate,2),0),0)))</f>
        <v>0</v>
      </c>
      <c r="AA200" s="26">
        <f>IF(B200="","",ROUND(Y200+Z200,2))</f>
        <v>0</v>
      </c>
      <c r="AB200" s="26">
        <f>IF(B200="","",ROUND(T200*IF(H200="Retail",IFERROR(INDEX(Inventory!$H$5:$H$304,MATCH(I200,Inventory!$A$5:$A$304,0))*1,0),IFERROR(INDEX(Services!$Q$5:$Q$204,MATCH(I200,Services!$A$5:$A$204,0))*1,0)),2))</f>
        <v>0</v>
      </c>
      <c r="AC200" s="26">
        <f>IF(B200="","",ROUND(Y200-AB200,2))</f>
        <v>0</v>
      </c>
      <c r="AD200" s="38">
        <f>IF(B200="","",IF(C200="","No",IF(COUNTIFS($C$5:C200,C200)=1,"Yes","No")))</f>
        <v>0</v>
      </c>
      <c r="AE200" s="26">
        <f>IF(B200="","",ROUND(SUMIFS(Payments!$G$5:$G$1204,Payments!$H$5:$H$1204,A200,Payments!$Q$5:$Q$1204,"Yes"),2))</f>
        <v>0</v>
      </c>
      <c r="AF200" s="26">
        <f>IF(B200="","",IF(AD200="No",0,ROUND(SUMIFS(Payments!$G$5:$G$1204,Payments!$I$5:$I$1204,C200,Payments!$H$5:$H$1204,"",Payments!$Q$5:$Q$1204,"Yes"),2)))</f>
        <v>0</v>
      </c>
      <c r="AG200" s="26">
        <f>IF(B200="","",ROUND(AE200+AF200,2))</f>
        <v>0</v>
      </c>
      <c r="AH200" s="26">
        <f>IF(B200="","",ROUND(AA200-AG200,2))</f>
        <v>0</v>
      </c>
      <c r="AI200" s="39">
        <f>IF(B200="","",IF(AA200&lt;=0,"No charge",IF(AH200&lt;=0.004,"Paid",IF(AG200&lt;=0.004,"Unpaid","Part paid"))))</f>
        <v>0</v>
      </c>
      <c r="AJ200" s="38">
        <f>IF(B200="","",IF(H200&lt;&gt;"Service","",IF(D200="","No",IF(COUNTIFS($D$5:$D$1204,D200,$B$5:$B$1204,B200,$H$5:$H$1204,"Retail")&gt;0,"Yes","No"))))</f>
        <v>0</v>
      </c>
      <c r="AK200" s="25">
        <f>IF(B200="","",COUNTIFS($Y$5:$Y$1204,"&gt;"&amp;Y200)+COUNTIFS($Y$5:Y200,Y200))</f>
        <v>0</v>
      </c>
      <c r="AL200" s="39">
        <f>IF(B200="","",IF(H200="","Add - what kind of sale is this?",IF(IF(V200&lt;=0,P200="",FALSE),"Check - no price found for this item",IF(F200="","Assign - nobody credited",IF(AH200&gt;0.004,"Unpaid - balance outstanding",IF(AC200&lt;0,"Loss - sold below cost",IF(X200&gt;W200*0.5,"Check - more than half off","OK")))))))</f>
        <v>0</v>
      </c>
    </row>
    <row r="201" spans="1:38">
      <c r="A201" s="28">
        <f>IF(B201="","",SalePrefix&amp;TEXT(ROW()-4,"0000"))</f>
        <v>0</v>
      </c>
      <c r="E201" s="15">
        <f>IF(D201="","",IFERROR(INDEX(Clients!$B$5:$B$504,MATCH(D201,Clients!$A$5:$A$504,0)),"Walk-in"))</f>
        <v>0</v>
      </c>
      <c r="G201" s="15">
        <f>IF(F201="","",IFERROR(INDEX(Staff!$B$5:$B$44,MATCH(F201,Staff!$A$5:$A$44,0)),"House"))</f>
        <v>0</v>
      </c>
      <c r="R201" s="15">
        <f>IF(B201="","",TEXT(B201,"yyyy-mm"))</f>
        <v>0</v>
      </c>
      <c r="S201" s="25">
        <f>IF(B201="","",WEEKNUM(B201,2))</f>
        <v>0</v>
      </c>
      <c r="T201" s="37">
        <f>IF(B201="","",IF(K201="",1,K201))</f>
        <v>0</v>
      </c>
      <c r="U201" s="15">
        <f>IF(B201="","",IF(J201&lt;&gt;"",J201,IF(H201="Retail",IFERROR(INDEX(Inventory!$B$5:$B$304,MATCH(I201,Inventory!$A$5:$A$304,0))&amp;"","Not in Inventory"),IFERROR(INDEX(Services!$B$5:$B$204,MATCH(I201,Services!$A$5:$A$204,0))&amp;"","Not in Services"))))</f>
        <v>0</v>
      </c>
      <c r="V201" s="26">
        <f>IF(B201="","",IF(L201&lt;&gt;"",L201,IF(H201="Retail",IFERROR(INDEX(Inventory!$I$5:$I$304,MATCH(I201,Inventory!$A$5:$A$304,0))*1,0),IFERROR(INDEX(Services!$G$5:$G$204,MATCH(I201,Services!$A$5:$A$204,0))*1,0))))</f>
        <v>0</v>
      </c>
      <c r="W201" s="26">
        <f>IF(B201="","",ROUND(T201*V201,2))</f>
        <v>0</v>
      </c>
      <c r="X201" s="26">
        <f>IF(B201="","",ROUND(IF(M201="",0,W201*M201)+IF(N201="",0,N201),2))</f>
        <v>0</v>
      </c>
      <c r="Y201" s="26">
        <f>IF(B201="","",ROUND(W201-X201-IF(P201="",0,P201),2))</f>
        <v>0</v>
      </c>
      <c r="Z201" s="26">
        <f>IF(B201="","",IF(H201="Retail",IF(TaxOnRetail="Yes",ROUND(Y201*TaxRate,2),0),IF(H201="Service",IF(TaxOnServices="Yes",ROUND(Y201*TaxRate,2),0),0)))</f>
        <v>0</v>
      </c>
      <c r="AA201" s="26">
        <f>IF(B201="","",ROUND(Y201+Z201,2))</f>
        <v>0</v>
      </c>
      <c r="AB201" s="26">
        <f>IF(B201="","",ROUND(T201*IF(H201="Retail",IFERROR(INDEX(Inventory!$H$5:$H$304,MATCH(I201,Inventory!$A$5:$A$304,0))*1,0),IFERROR(INDEX(Services!$Q$5:$Q$204,MATCH(I201,Services!$A$5:$A$204,0))*1,0)),2))</f>
        <v>0</v>
      </c>
      <c r="AC201" s="26">
        <f>IF(B201="","",ROUND(Y201-AB201,2))</f>
        <v>0</v>
      </c>
      <c r="AD201" s="38">
        <f>IF(B201="","",IF(C201="","No",IF(COUNTIFS($C$5:C201,C201)=1,"Yes","No")))</f>
        <v>0</v>
      </c>
      <c r="AE201" s="26">
        <f>IF(B201="","",ROUND(SUMIFS(Payments!$G$5:$G$1204,Payments!$H$5:$H$1204,A201,Payments!$Q$5:$Q$1204,"Yes"),2))</f>
        <v>0</v>
      </c>
      <c r="AF201" s="26">
        <f>IF(B201="","",IF(AD201="No",0,ROUND(SUMIFS(Payments!$G$5:$G$1204,Payments!$I$5:$I$1204,C201,Payments!$H$5:$H$1204,"",Payments!$Q$5:$Q$1204,"Yes"),2)))</f>
        <v>0</v>
      </c>
      <c r="AG201" s="26">
        <f>IF(B201="","",ROUND(AE201+AF201,2))</f>
        <v>0</v>
      </c>
      <c r="AH201" s="26">
        <f>IF(B201="","",ROUND(AA201-AG201,2))</f>
        <v>0</v>
      </c>
      <c r="AI201" s="39">
        <f>IF(B201="","",IF(AA201&lt;=0,"No charge",IF(AH201&lt;=0.004,"Paid",IF(AG201&lt;=0.004,"Unpaid","Part paid"))))</f>
        <v>0</v>
      </c>
      <c r="AJ201" s="38">
        <f>IF(B201="","",IF(H201&lt;&gt;"Service","",IF(D201="","No",IF(COUNTIFS($D$5:$D$1204,D201,$B$5:$B$1204,B201,$H$5:$H$1204,"Retail")&gt;0,"Yes","No"))))</f>
        <v>0</v>
      </c>
      <c r="AK201" s="25">
        <f>IF(B201="","",COUNTIFS($Y$5:$Y$1204,"&gt;"&amp;Y201)+COUNTIFS($Y$5:Y201,Y201))</f>
        <v>0</v>
      </c>
      <c r="AL201" s="39">
        <f>IF(B201="","",IF(H201="","Add - what kind of sale is this?",IF(IF(V201&lt;=0,P201="",FALSE),"Check - no price found for this item",IF(F201="","Assign - nobody credited",IF(AH201&gt;0.004,"Unpaid - balance outstanding",IF(AC201&lt;0,"Loss - sold below cost",IF(X201&gt;W201*0.5,"Check - more than half off","OK")))))))</f>
        <v>0</v>
      </c>
    </row>
    <row r="202" spans="1:38">
      <c r="A202" s="28">
        <f>IF(B202="","",SalePrefix&amp;TEXT(ROW()-4,"0000"))</f>
        <v>0</v>
      </c>
      <c r="E202" s="15">
        <f>IF(D202="","",IFERROR(INDEX(Clients!$B$5:$B$504,MATCH(D202,Clients!$A$5:$A$504,0)),"Walk-in"))</f>
        <v>0</v>
      </c>
      <c r="G202" s="15">
        <f>IF(F202="","",IFERROR(INDEX(Staff!$B$5:$B$44,MATCH(F202,Staff!$A$5:$A$44,0)),"House"))</f>
        <v>0</v>
      </c>
      <c r="R202" s="15">
        <f>IF(B202="","",TEXT(B202,"yyyy-mm"))</f>
        <v>0</v>
      </c>
      <c r="S202" s="25">
        <f>IF(B202="","",WEEKNUM(B202,2))</f>
        <v>0</v>
      </c>
      <c r="T202" s="37">
        <f>IF(B202="","",IF(K202="",1,K202))</f>
        <v>0</v>
      </c>
      <c r="U202" s="15">
        <f>IF(B202="","",IF(J202&lt;&gt;"",J202,IF(H202="Retail",IFERROR(INDEX(Inventory!$B$5:$B$304,MATCH(I202,Inventory!$A$5:$A$304,0))&amp;"","Not in Inventory"),IFERROR(INDEX(Services!$B$5:$B$204,MATCH(I202,Services!$A$5:$A$204,0))&amp;"","Not in Services"))))</f>
        <v>0</v>
      </c>
      <c r="V202" s="26">
        <f>IF(B202="","",IF(L202&lt;&gt;"",L202,IF(H202="Retail",IFERROR(INDEX(Inventory!$I$5:$I$304,MATCH(I202,Inventory!$A$5:$A$304,0))*1,0),IFERROR(INDEX(Services!$G$5:$G$204,MATCH(I202,Services!$A$5:$A$204,0))*1,0))))</f>
        <v>0</v>
      </c>
      <c r="W202" s="26">
        <f>IF(B202="","",ROUND(T202*V202,2))</f>
        <v>0</v>
      </c>
      <c r="X202" s="26">
        <f>IF(B202="","",ROUND(IF(M202="",0,W202*M202)+IF(N202="",0,N202),2))</f>
        <v>0</v>
      </c>
      <c r="Y202" s="26">
        <f>IF(B202="","",ROUND(W202-X202-IF(P202="",0,P202),2))</f>
        <v>0</v>
      </c>
      <c r="Z202" s="26">
        <f>IF(B202="","",IF(H202="Retail",IF(TaxOnRetail="Yes",ROUND(Y202*TaxRate,2),0),IF(H202="Service",IF(TaxOnServices="Yes",ROUND(Y202*TaxRate,2),0),0)))</f>
        <v>0</v>
      </c>
      <c r="AA202" s="26">
        <f>IF(B202="","",ROUND(Y202+Z202,2))</f>
        <v>0</v>
      </c>
      <c r="AB202" s="26">
        <f>IF(B202="","",ROUND(T202*IF(H202="Retail",IFERROR(INDEX(Inventory!$H$5:$H$304,MATCH(I202,Inventory!$A$5:$A$304,0))*1,0),IFERROR(INDEX(Services!$Q$5:$Q$204,MATCH(I202,Services!$A$5:$A$204,0))*1,0)),2))</f>
        <v>0</v>
      </c>
      <c r="AC202" s="26">
        <f>IF(B202="","",ROUND(Y202-AB202,2))</f>
        <v>0</v>
      </c>
      <c r="AD202" s="38">
        <f>IF(B202="","",IF(C202="","No",IF(COUNTIFS($C$5:C202,C202)=1,"Yes","No")))</f>
        <v>0</v>
      </c>
      <c r="AE202" s="26">
        <f>IF(B202="","",ROUND(SUMIFS(Payments!$G$5:$G$1204,Payments!$H$5:$H$1204,A202,Payments!$Q$5:$Q$1204,"Yes"),2))</f>
        <v>0</v>
      </c>
      <c r="AF202" s="26">
        <f>IF(B202="","",IF(AD202="No",0,ROUND(SUMIFS(Payments!$G$5:$G$1204,Payments!$I$5:$I$1204,C202,Payments!$H$5:$H$1204,"",Payments!$Q$5:$Q$1204,"Yes"),2)))</f>
        <v>0</v>
      </c>
      <c r="AG202" s="26">
        <f>IF(B202="","",ROUND(AE202+AF202,2))</f>
        <v>0</v>
      </c>
      <c r="AH202" s="26">
        <f>IF(B202="","",ROUND(AA202-AG202,2))</f>
        <v>0</v>
      </c>
      <c r="AI202" s="39">
        <f>IF(B202="","",IF(AA202&lt;=0,"No charge",IF(AH202&lt;=0.004,"Paid",IF(AG202&lt;=0.004,"Unpaid","Part paid"))))</f>
        <v>0</v>
      </c>
      <c r="AJ202" s="38">
        <f>IF(B202="","",IF(H202&lt;&gt;"Service","",IF(D202="","No",IF(COUNTIFS($D$5:$D$1204,D202,$B$5:$B$1204,B202,$H$5:$H$1204,"Retail")&gt;0,"Yes","No"))))</f>
        <v>0</v>
      </c>
      <c r="AK202" s="25">
        <f>IF(B202="","",COUNTIFS($Y$5:$Y$1204,"&gt;"&amp;Y202)+COUNTIFS($Y$5:Y202,Y202))</f>
        <v>0</v>
      </c>
      <c r="AL202" s="39">
        <f>IF(B202="","",IF(H202="","Add - what kind of sale is this?",IF(IF(V202&lt;=0,P202="",FALSE),"Check - no price found for this item",IF(F202="","Assign - nobody credited",IF(AH202&gt;0.004,"Unpaid - balance outstanding",IF(AC202&lt;0,"Loss - sold below cost",IF(X202&gt;W202*0.5,"Check - more than half off","OK")))))))</f>
        <v>0</v>
      </c>
    </row>
    <row r="203" spans="1:38">
      <c r="A203" s="28">
        <f>IF(B203="","",SalePrefix&amp;TEXT(ROW()-4,"0000"))</f>
        <v>0</v>
      </c>
      <c r="E203" s="15">
        <f>IF(D203="","",IFERROR(INDEX(Clients!$B$5:$B$504,MATCH(D203,Clients!$A$5:$A$504,0)),"Walk-in"))</f>
        <v>0</v>
      </c>
      <c r="G203" s="15">
        <f>IF(F203="","",IFERROR(INDEX(Staff!$B$5:$B$44,MATCH(F203,Staff!$A$5:$A$44,0)),"House"))</f>
        <v>0</v>
      </c>
      <c r="R203" s="15">
        <f>IF(B203="","",TEXT(B203,"yyyy-mm"))</f>
        <v>0</v>
      </c>
      <c r="S203" s="25">
        <f>IF(B203="","",WEEKNUM(B203,2))</f>
        <v>0</v>
      </c>
      <c r="T203" s="37">
        <f>IF(B203="","",IF(K203="",1,K203))</f>
        <v>0</v>
      </c>
      <c r="U203" s="15">
        <f>IF(B203="","",IF(J203&lt;&gt;"",J203,IF(H203="Retail",IFERROR(INDEX(Inventory!$B$5:$B$304,MATCH(I203,Inventory!$A$5:$A$304,0))&amp;"","Not in Inventory"),IFERROR(INDEX(Services!$B$5:$B$204,MATCH(I203,Services!$A$5:$A$204,0))&amp;"","Not in Services"))))</f>
        <v>0</v>
      </c>
      <c r="V203" s="26">
        <f>IF(B203="","",IF(L203&lt;&gt;"",L203,IF(H203="Retail",IFERROR(INDEX(Inventory!$I$5:$I$304,MATCH(I203,Inventory!$A$5:$A$304,0))*1,0),IFERROR(INDEX(Services!$G$5:$G$204,MATCH(I203,Services!$A$5:$A$204,0))*1,0))))</f>
        <v>0</v>
      </c>
      <c r="W203" s="26">
        <f>IF(B203="","",ROUND(T203*V203,2))</f>
        <v>0</v>
      </c>
      <c r="X203" s="26">
        <f>IF(B203="","",ROUND(IF(M203="",0,W203*M203)+IF(N203="",0,N203),2))</f>
        <v>0</v>
      </c>
      <c r="Y203" s="26">
        <f>IF(B203="","",ROUND(W203-X203-IF(P203="",0,P203),2))</f>
        <v>0</v>
      </c>
      <c r="Z203" s="26">
        <f>IF(B203="","",IF(H203="Retail",IF(TaxOnRetail="Yes",ROUND(Y203*TaxRate,2),0),IF(H203="Service",IF(TaxOnServices="Yes",ROUND(Y203*TaxRate,2),0),0)))</f>
        <v>0</v>
      </c>
      <c r="AA203" s="26">
        <f>IF(B203="","",ROUND(Y203+Z203,2))</f>
        <v>0</v>
      </c>
      <c r="AB203" s="26">
        <f>IF(B203="","",ROUND(T203*IF(H203="Retail",IFERROR(INDEX(Inventory!$H$5:$H$304,MATCH(I203,Inventory!$A$5:$A$304,0))*1,0),IFERROR(INDEX(Services!$Q$5:$Q$204,MATCH(I203,Services!$A$5:$A$204,0))*1,0)),2))</f>
        <v>0</v>
      </c>
      <c r="AC203" s="26">
        <f>IF(B203="","",ROUND(Y203-AB203,2))</f>
        <v>0</v>
      </c>
      <c r="AD203" s="38">
        <f>IF(B203="","",IF(C203="","No",IF(COUNTIFS($C$5:C203,C203)=1,"Yes","No")))</f>
        <v>0</v>
      </c>
      <c r="AE203" s="26">
        <f>IF(B203="","",ROUND(SUMIFS(Payments!$G$5:$G$1204,Payments!$H$5:$H$1204,A203,Payments!$Q$5:$Q$1204,"Yes"),2))</f>
        <v>0</v>
      </c>
      <c r="AF203" s="26">
        <f>IF(B203="","",IF(AD203="No",0,ROUND(SUMIFS(Payments!$G$5:$G$1204,Payments!$I$5:$I$1204,C203,Payments!$H$5:$H$1204,"",Payments!$Q$5:$Q$1204,"Yes"),2)))</f>
        <v>0</v>
      </c>
      <c r="AG203" s="26">
        <f>IF(B203="","",ROUND(AE203+AF203,2))</f>
        <v>0</v>
      </c>
      <c r="AH203" s="26">
        <f>IF(B203="","",ROUND(AA203-AG203,2))</f>
        <v>0</v>
      </c>
      <c r="AI203" s="39">
        <f>IF(B203="","",IF(AA203&lt;=0,"No charge",IF(AH203&lt;=0.004,"Paid",IF(AG203&lt;=0.004,"Unpaid","Part paid"))))</f>
        <v>0</v>
      </c>
      <c r="AJ203" s="38">
        <f>IF(B203="","",IF(H203&lt;&gt;"Service","",IF(D203="","No",IF(COUNTIFS($D$5:$D$1204,D203,$B$5:$B$1204,B203,$H$5:$H$1204,"Retail")&gt;0,"Yes","No"))))</f>
        <v>0</v>
      </c>
      <c r="AK203" s="25">
        <f>IF(B203="","",COUNTIFS($Y$5:$Y$1204,"&gt;"&amp;Y203)+COUNTIFS($Y$5:Y203,Y203))</f>
        <v>0</v>
      </c>
      <c r="AL203" s="39">
        <f>IF(B203="","",IF(H203="","Add - what kind of sale is this?",IF(IF(V203&lt;=0,P203="",FALSE),"Check - no price found for this item",IF(F203="","Assign - nobody credited",IF(AH203&gt;0.004,"Unpaid - balance outstanding",IF(AC203&lt;0,"Loss - sold below cost",IF(X203&gt;W203*0.5,"Check - more than half off","OK")))))))</f>
        <v>0</v>
      </c>
    </row>
    <row r="204" spans="1:38">
      <c r="A204" s="28">
        <f>IF(B204="","",SalePrefix&amp;TEXT(ROW()-4,"0000"))</f>
        <v>0</v>
      </c>
      <c r="E204" s="15">
        <f>IF(D204="","",IFERROR(INDEX(Clients!$B$5:$B$504,MATCH(D204,Clients!$A$5:$A$504,0)),"Walk-in"))</f>
        <v>0</v>
      </c>
      <c r="G204" s="15">
        <f>IF(F204="","",IFERROR(INDEX(Staff!$B$5:$B$44,MATCH(F204,Staff!$A$5:$A$44,0)),"House"))</f>
        <v>0</v>
      </c>
      <c r="R204" s="15">
        <f>IF(B204="","",TEXT(B204,"yyyy-mm"))</f>
        <v>0</v>
      </c>
      <c r="S204" s="25">
        <f>IF(B204="","",WEEKNUM(B204,2))</f>
        <v>0</v>
      </c>
      <c r="T204" s="37">
        <f>IF(B204="","",IF(K204="",1,K204))</f>
        <v>0</v>
      </c>
      <c r="U204" s="15">
        <f>IF(B204="","",IF(J204&lt;&gt;"",J204,IF(H204="Retail",IFERROR(INDEX(Inventory!$B$5:$B$304,MATCH(I204,Inventory!$A$5:$A$304,0))&amp;"","Not in Inventory"),IFERROR(INDEX(Services!$B$5:$B$204,MATCH(I204,Services!$A$5:$A$204,0))&amp;"","Not in Services"))))</f>
        <v>0</v>
      </c>
      <c r="V204" s="26">
        <f>IF(B204="","",IF(L204&lt;&gt;"",L204,IF(H204="Retail",IFERROR(INDEX(Inventory!$I$5:$I$304,MATCH(I204,Inventory!$A$5:$A$304,0))*1,0),IFERROR(INDEX(Services!$G$5:$G$204,MATCH(I204,Services!$A$5:$A$204,0))*1,0))))</f>
        <v>0</v>
      </c>
      <c r="W204" s="26">
        <f>IF(B204="","",ROUND(T204*V204,2))</f>
        <v>0</v>
      </c>
      <c r="X204" s="26">
        <f>IF(B204="","",ROUND(IF(M204="",0,W204*M204)+IF(N204="",0,N204),2))</f>
        <v>0</v>
      </c>
      <c r="Y204" s="26">
        <f>IF(B204="","",ROUND(W204-X204-IF(P204="",0,P204),2))</f>
        <v>0</v>
      </c>
      <c r="Z204" s="26">
        <f>IF(B204="","",IF(H204="Retail",IF(TaxOnRetail="Yes",ROUND(Y204*TaxRate,2),0),IF(H204="Service",IF(TaxOnServices="Yes",ROUND(Y204*TaxRate,2),0),0)))</f>
        <v>0</v>
      </c>
      <c r="AA204" s="26">
        <f>IF(B204="","",ROUND(Y204+Z204,2))</f>
        <v>0</v>
      </c>
      <c r="AB204" s="26">
        <f>IF(B204="","",ROUND(T204*IF(H204="Retail",IFERROR(INDEX(Inventory!$H$5:$H$304,MATCH(I204,Inventory!$A$5:$A$304,0))*1,0),IFERROR(INDEX(Services!$Q$5:$Q$204,MATCH(I204,Services!$A$5:$A$204,0))*1,0)),2))</f>
        <v>0</v>
      </c>
      <c r="AC204" s="26">
        <f>IF(B204="","",ROUND(Y204-AB204,2))</f>
        <v>0</v>
      </c>
      <c r="AD204" s="38">
        <f>IF(B204="","",IF(C204="","No",IF(COUNTIFS($C$5:C204,C204)=1,"Yes","No")))</f>
        <v>0</v>
      </c>
      <c r="AE204" s="26">
        <f>IF(B204="","",ROUND(SUMIFS(Payments!$G$5:$G$1204,Payments!$H$5:$H$1204,A204,Payments!$Q$5:$Q$1204,"Yes"),2))</f>
        <v>0</v>
      </c>
      <c r="AF204" s="26">
        <f>IF(B204="","",IF(AD204="No",0,ROUND(SUMIFS(Payments!$G$5:$G$1204,Payments!$I$5:$I$1204,C204,Payments!$H$5:$H$1204,"",Payments!$Q$5:$Q$1204,"Yes"),2)))</f>
        <v>0</v>
      </c>
      <c r="AG204" s="26">
        <f>IF(B204="","",ROUND(AE204+AF204,2))</f>
        <v>0</v>
      </c>
      <c r="AH204" s="26">
        <f>IF(B204="","",ROUND(AA204-AG204,2))</f>
        <v>0</v>
      </c>
      <c r="AI204" s="39">
        <f>IF(B204="","",IF(AA204&lt;=0,"No charge",IF(AH204&lt;=0.004,"Paid",IF(AG204&lt;=0.004,"Unpaid","Part paid"))))</f>
        <v>0</v>
      </c>
      <c r="AJ204" s="38">
        <f>IF(B204="","",IF(H204&lt;&gt;"Service","",IF(D204="","No",IF(COUNTIFS($D$5:$D$1204,D204,$B$5:$B$1204,B204,$H$5:$H$1204,"Retail")&gt;0,"Yes","No"))))</f>
        <v>0</v>
      </c>
      <c r="AK204" s="25">
        <f>IF(B204="","",COUNTIFS($Y$5:$Y$1204,"&gt;"&amp;Y204)+COUNTIFS($Y$5:Y204,Y204))</f>
        <v>0</v>
      </c>
      <c r="AL204" s="39">
        <f>IF(B204="","",IF(H204="","Add - what kind of sale is this?",IF(IF(V204&lt;=0,P204="",FALSE),"Check - no price found for this item",IF(F204="","Assign - nobody credited",IF(AH204&gt;0.004,"Unpaid - balance outstanding",IF(AC204&lt;0,"Loss - sold below cost",IF(X204&gt;W204*0.5,"Check - more than half off","OK")))))))</f>
        <v>0</v>
      </c>
    </row>
    <row r="205" spans="1:38">
      <c r="A205" s="28">
        <f>IF(B205="","",SalePrefix&amp;TEXT(ROW()-4,"0000"))</f>
        <v>0</v>
      </c>
      <c r="E205" s="15">
        <f>IF(D205="","",IFERROR(INDEX(Clients!$B$5:$B$504,MATCH(D205,Clients!$A$5:$A$504,0)),"Walk-in"))</f>
        <v>0</v>
      </c>
      <c r="G205" s="15">
        <f>IF(F205="","",IFERROR(INDEX(Staff!$B$5:$B$44,MATCH(F205,Staff!$A$5:$A$44,0)),"House"))</f>
        <v>0</v>
      </c>
      <c r="R205" s="15">
        <f>IF(B205="","",TEXT(B205,"yyyy-mm"))</f>
        <v>0</v>
      </c>
      <c r="S205" s="25">
        <f>IF(B205="","",WEEKNUM(B205,2))</f>
        <v>0</v>
      </c>
      <c r="T205" s="37">
        <f>IF(B205="","",IF(K205="",1,K205))</f>
        <v>0</v>
      </c>
      <c r="U205" s="15">
        <f>IF(B205="","",IF(J205&lt;&gt;"",J205,IF(H205="Retail",IFERROR(INDEX(Inventory!$B$5:$B$304,MATCH(I205,Inventory!$A$5:$A$304,0))&amp;"","Not in Inventory"),IFERROR(INDEX(Services!$B$5:$B$204,MATCH(I205,Services!$A$5:$A$204,0))&amp;"","Not in Services"))))</f>
        <v>0</v>
      </c>
      <c r="V205" s="26">
        <f>IF(B205="","",IF(L205&lt;&gt;"",L205,IF(H205="Retail",IFERROR(INDEX(Inventory!$I$5:$I$304,MATCH(I205,Inventory!$A$5:$A$304,0))*1,0),IFERROR(INDEX(Services!$G$5:$G$204,MATCH(I205,Services!$A$5:$A$204,0))*1,0))))</f>
        <v>0</v>
      </c>
      <c r="W205" s="26">
        <f>IF(B205="","",ROUND(T205*V205,2))</f>
        <v>0</v>
      </c>
      <c r="X205" s="26">
        <f>IF(B205="","",ROUND(IF(M205="",0,W205*M205)+IF(N205="",0,N205),2))</f>
        <v>0</v>
      </c>
      <c r="Y205" s="26">
        <f>IF(B205="","",ROUND(W205-X205-IF(P205="",0,P205),2))</f>
        <v>0</v>
      </c>
      <c r="Z205" s="26">
        <f>IF(B205="","",IF(H205="Retail",IF(TaxOnRetail="Yes",ROUND(Y205*TaxRate,2),0),IF(H205="Service",IF(TaxOnServices="Yes",ROUND(Y205*TaxRate,2),0),0)))</f>
        <v>0</v>
      </c>
      <c r="AA205" s="26">
        <f>IF(B205="","",ROUND(Y205+Z205,2))</f>
        <v>0</v>
      </c>
      <c r="AB205" s="26">
        <f>IF(B205="","",ROUND(T205*IF(H205="Retail",IFERROR(INDEX(Inventory!$H$5:$H$304,MATCH(I205,Inventory!$A$5:$A$304,0))*1,0),IFERROR(INDEX(Services!$Q$5:$Q$204,MATCH(I205,Services!$A$5:$A$204,0))*1,0)),2))</f>
        <v>0</v>
      </c>
      <c r="AC205" s="26">
        <f>IF(B205="","",ROUND(Y205-AB205,2))</f>
        <v>0</v>
      </c>
      <c r="AD205" s="38">
        <f>IF(B205="","",IF(C205="","No",IF(COUNTIFS($C$5:C205,C205)=1,"Yes","No")))</f>
        <v>0</v>
      </c>
      <c r="AE205" s="26">
        <f>IF(B205="","",ROUND(SUMIFS(Payments!$G$5:$G$1204,Payments!$H$5:$H$1204,A205,Payments!$Q$5:$Q$1204,"Yes"),2))</f>
        <v>0</v>
      </c>
      <c r="AF205" s="26">
        <f>IF(B205="","",IF(AD205="No",0,ROUND(SUMIFS(Payments!$G$5:$G$1204,Payments!$I$5:$I$1204,C205,Payments!$H$5:$H$1204,"",Payments!$Q$5:$Q$1204,"Yes"),2)))</f>
        <v>0</v>
      </c>
      <c r="AG205" s="26">
        <f>IF(B205="","",ROUND(AE205+AF205,2))</f>
        <v>0</v>
      </c>
      <c r="AH205" s="26">
        <f>IF(B205="","",ROUND(AA205-AG205,2))</f>
        <v>0</v>
      </c>
      <c r="AI205" s="39">
        <f>IF(B205="","",IF(AA205&lt;=0,"No charge",IF(AH205&lt;=0.004,"Paid",IF(AG205&lt;=0.004,"Unpaid","Part paid"))))</f>
        <v>0</v>
      </c>
      <c r="AJ205" s="38">
        <f>IF(B205="","",IF(H205&lt;&gt;"Service","",IF(D205="","No",IF(COUNTIFS($D$5:$D$1204,D205,$B$5:$B$1204,B205,$H$5:$H$1204,"Retail")&gt;0,"Yes","No"))))</f>
        <v>0</v>
      </c>
      <c r="AK205" s="25">
        <f>IF(B205="","",COUNTIFS($Y$5:$Y$1204,"&gt;"&amp;Y205)+COUNTIFS($Y$5:Y205,Y205))</f>
        <v>0</v>
      </c>
      <c r="AL205" s="39">
        <f>IF(B205="","",IF(H205="","Add - what kind of sale is this?",IF(IF(V205&lt;=0,P205="",FALSE),"Check - no price found for this item",IF(F205="","Assign - nobody credited",IF(AH205&gt;0.004,"Unpaid - balance outstanding",IF(AC205&lt;0,"Loss - sold below cost",IF(X205&gt;W205*0.5,"Check - more than half off","OK")))))))</f>
        <v>0</v>
      </c>
    </row>
    <row r="206" spans="1:38">
      <c r="A206" s="28">
        <f>IF(B206="","",SalePrefix&amp;TEXT(ROW()-4,"0000"))</f>
        <v>0</v>
      </c>
      <c r="E206" s="15">
        <f>IF(D206="","",IFERROR(INDEX(Clients!$B$5:$B$504,MATCH(D206,Clients!$A$5:$A$504,0)),"Walk-in"))</f>
        <v>0</v>
      </c>
      <c r="G206" s="15">
        <f>IF(F206="","",IFERROR(INDEX(Staff!$B$5:$B$44,MATCH(F206,Staff!$A$5:$A$44,0)),"House"))</f>
        <v>0</v>
      </c>
      <c r="R206" s="15">
        <f>IF(B206="","",TEXT(B206,"yyyy-mm"))</f>
        <v>0</v>
      </c>
      <c r="S206" s="25">
        <f>IF(B206="","",WEEKNUM(B206,2))</f>
        <v>0</v>
      </c>
      <c r="T206" s="37">
        <f>IF(B206="","",IF(K206="",1,K206))</f>
        <v>0</v>
      </c>
      <c r="U206" s="15">
        <f>IF(B206="","",IF(J206&lt;&gt;"",J206,IF(H206="Retail",IFERROR(INDEX(Inventory!$B$5:$B$304,MATCH(I206,Inventory!$A$5:$A$304,0))&amp;"","Not in Inventory"),IFERROR(INDEX(Services!$B$5:$B$204,MATCH(I206,Services!$A$5:$A$204,0))&amp;"","Not in Services"))))</f>
        <v>0</v>
      </c>
      <c r="V206" s="26">
        <f>IF(B206="","",IF(L206&lt;&gt;"",L206,IF(H206="Retail",IFERROR(INDEX(Inventory!$I$5:$I$304,MATCH(I206,Inventory!$A$5:$A$304,0))*1,0),IFERROR(INDEX(Services!$G$5:$G$204,MATCH(I206,Services!$A$5:$A$204,0))*1,0))))</f>
        <v>0</v>
      </c>
      <c r="W206" s="26">
        <f>IF(B206="","",ROUND(T206*V206,2))</f>
        <v>0</v>
      </c>
      <c r="X206" s="26">
        <f>IF(B206="","",ROUND(IF(M206="",0,W206*M206)+IF(N206="",0,N206),2))</f>
        <v>0</v>
      </c>
      <c r="Y206" s="26">
        <f>IF(B206="","",ROUND(W206-X206-IF(P206="",0,P206),2))</f>
        <v>0</v>
      </c>
      <c r="Z206" s="26">
        <f>IF(B206="","",IF(H206="Retail",IF(TaxOnRetail="Yes",ROUND(Y206*TaxRate,2),0),IF(H206="Service",IF(TaxOnServices="Yes",ROUND(Y206*TaxRate,2),0),0)))</f>
        <v>0</v>
      </c>
      <c r="AA206" s="26">
        <f>IF(B206="","",ROUND(Y206+Z206,2))</f>
        <v>0</v>
      </c>
      <c r="AB206" s="26">
        <f>IF(B206="","",ROUND(T206*IF(H206="Retail",IFERROR(INDEX(Inventory!$H$5:$H$304,MATCH(I206,Inventory!$A$5:$A$304,0))*1,0),IFERROR(INDEX(Services!$Q$5:$Q$204,MATCH(I206,Services!$A$5:$A$204,0))*1,0)),2))</f>
        <v>0</v>
      </c>
      <c r="AC206" s="26">
        <f>IF(B206="","",ROUND(Y206-AB206,2))</f>
        <v>0</v>
      </c>
      <c r="AD206" s="38">
        <f>IF(B206="","",IF(C206="","No",IF(COUNTIFS($C$5:C206,C206)=1,"Yes","No")))</f>
        <v>0</v>
      </c>
      <c r="AE206" s="26">
        <f>IF(B206="","",ROUND(SUMIFS(Payments!$G$5:$G$1204,Payments!$H$5:$H$1204,A206,Payments!$Q$5:$Q$1204,"Yes"),2))</f>
        <v>0</v>
      </c>
      <c r="AF206" s="26">
        <f>IF(B206="","",IF(AD206="No",0,ROUND(SUMIFS(Payments!$G$5:$G$1204,Payments!$I$5:$I$1204,C206,Payments!$H$5:$H$1204,"",Payments!$Q$5:$Q$1204,"Yes"),2)))</f>
        <v>0</v>
      </c>
      <c r="AG206" s="26">
        <f>IF(B206="","",ROUND(AE206+AF206,2))</f>
        <v>0</v>
      </c>
      <c r="AH206" s="26">
        <f>IF(B206="","",ROUND(AA206-AG206,2))</f>
        <v>0</v>
      </c>
      <c r="AI206" s="39">
        <f>IF(B206="","",IF(AA206&lt;=0,"No charge",IF(AH206&lt;=0.004,"Paid",IF(AG206&lt;=0.004,"Unpaid","Part paid"))))</f>
        <v>0</v>
      </c>
      <c r="AJ206" s="38">
        <f>IF(B206="","",IF(H206&lt;&gt;"Service","",IF(D206="","No",IF(COUNTIFS($D$5:$D$1204,D206,$B$5:$B$1204,B206,$H$5:$H$1204,"Retail")&gt;0,"Yes","No"))))</f>
        <v>0</v>
      </c>
      <c r="AK206" s="25">
        <f>IF(B206="","",COUNTIFS($Y$5:$Y$1204,"&gt;"&amp;Y206)+COUNTIFS($Y$5:Y206,Y206))</f>
        <v>0</v>
      </c>
      <c r="AL206" s="39">
        <f>IF(B206="","",IF(H206="","Add - what kind of sale is this?",IF(IF(V206&lt;=0,P206="",FALSE),"Check - no price found for this item",IF(F206="","Assign - nobody credited",IF(AH206&gt;0.004,"Unpaid - balance outstanding",IF(AC206&lt;0,"Loss - sold below cost",IF(X206&gt;W206*0.5,"Check - more than half off","OK")))))))</f>
        <v>0</v>
      </c>
    </row>
    <row r="207" spans="1:38">
      <c r="A207" s="28">
        <f>IF(B207="","",SalePrefix&amp;TEXT(ROW()-4,"0000"))</f>
        <v>0</v>
      </c>
      <c r="E207" s="15">
        <f>IF(D207="","",IFERROR(INDEX(Clients!$B$5:$B$504,MATCH(D207,Clients!$A$5:$A$504,0)),"Walk-in"))</f>
        <v>0</v>
      </c>
      <c r="G207" s="15">
        <f>IF(F207="","",IFERROR(INDEX(Staff!$B$5:$B$44,MATCH(F207,Staff!$A$5:$A$44,0)),"House"))</f>
        <v>0</v>
      </c>
      <c r="R207" s="15">
        <f>IF(B207="","",TEXT(B207,"yyyy-mm"))</f>
        <v>0</v>
      </c>
      <c r="S207" s="25">
        <f>IF(B207="","",WEEKNUM(B207,2))</f>
        <v>0</v>
      </c>
      <c r="T207" s="37">
        <f>IF(B207="","",IF(K207="",1,K207))</f>
        <v>0</v>
      </c>
      <c r="U207" s="15">
        <f>IF(B207="","",IF(J207&lt;&gt;"",J207,IF(H207="Retail",IFERROR(INDEX(Inventory!$B$5:$B$304,MATCH(I207,Inventory!$A$5:$A$304,0))&amp;"","Not in Inventory"),IFERROR(INDEX(Services!$B$5:$B$204,MATCH(I207,Services!$A$5:$A$204,0))&amp;"","Not in Services"))))</f>
        <v>0</v>
      </c>
      <c r="V207" s="26">
        <f>IF(B207="","",IF(L207&lt;&gt;"",L207,IF(H207="Retail",IFERROR(INDEX(Inventory!$I$5:$I$304,MATCH(I207,Inventory!$A$5:$A$304,0))*1,0),IFERROR(INDEX(Services!$G$5:$G$204,MATCH(I207,Services!$A$5:$A$204,0))*1,0))))</f>
        <v>0</v>
      </c>
      <c r="W207" s="26">
        <f>IF(B207="","",ROUND(T207*V207,2))</f>
        <v>0</v>
      </c>
      <c r="X207" s="26">
        <f>IF(B207="","",ROUND(IF(M207="",0,W207*M207)+IF(N207="",0,N207),2))</f>
        <v>0</v>
      </c>
      <c r="Y207" s="26">
        <f>IF(B207="","",ROUND(W207-X207-IF(P207="",0,P207),2))</f>
        <v>0</v>
      </c>
      <c r="Z207" s="26">
        <f>IF(B207="","",IF(H207="Retail",IF(TaxOnRetail="Yes",ROUND(Y207*TaxRate,2),0),IF(H207="Service",IF(TaxOnServices="Yes",ROUND(Y207*TaxRate,2),0),0)))</f>
        <v>0</v>
      </c>
      <c r="AA207" s="26">
        <f>IF(B207="","",ROUND(Y207+Z207,2))</f>
        <v>0</v>
      </c>
      <c r="AB207" s="26">
        <f>IF(B207="","",ROUND(T207*IF(H207="Retail",IFERROR(INDEX(Inventory!$H$5:$H$304,MATCH(I207,Inventory!$A$5:$A$304,0))*1,0),IFERROR(INDEX(Services!$Q$5:$Q$204,MATCH(I207,Services!$A$5:$A$204,0))*1,0)),2))</f>
        <v>0</v>
      </c>
      <c r="AC207" s="26">
        <f>IF(B207="","",ROUND(Y207-AB207,2))</f>
        <v>0</v>
      </c>
      <c r="AD207" s="38">
        <f>IF(B207="","",IF(C207="","No",IF(COUNTIFS($C$5:C207,C207)=1,"Yes","No")))</f>
        <v>0</v>
      </c>
      <c r="AE207" s="26">
        <f>IF(B207="","",ROUND(SUMIFS(Payments!$G$5:$G$1204,Payments!$H$5:$H$1204,A207,Payments!$Q$5:$Q$1204,"Yes"),2))</f>
        <v>0</v>
      </c>
      <c r="AF207" s="26">
        <f>IF(B207="","",IF(AD207="No",0,ROUND(SUMIFS(Payments!$G$5:$G$1204,Payments!$I$5:$I$1204,C207,Payments!$H$5:$H$1204,"",Payments!$Q$5:$Q$1204,"Yes"),2)))</f>
        <v>0</v>
      </c>
      <c r="AG207" s="26">
        <f>IF(B207="","",ROUND(AE207+AF207,2))</f>
        <v>0</v>
      </c>
      <c r="AH207" s="26">
        <f>IF(B207="","",ROUND(AA207-AG207,2))</f>
        <v>0</v>
      </c>
      <c r="AI207" s="39">
        <f>IF(B207="","",IF(AA207&lt;=0,"No charge",IF(AH207&lt;=0.004,"Paid",IF(AG207&lt;=0.004,"Unpaid","Part paid"))))</f>
        <v>0</v>
      </c>
      <c r="AJ207" s="38">
        <f>IF(B207="","",IF(H207&lt;&gt;"Service","",IF(D207="","No",IF(COUNTIFS($D$5:$D$1204,D207,$B$5:$B$1204,B207,$H$5:$H$1204,"Retail")&gt;0,"Yes","No"))))</f>
        <v>0</v>
      </c>
      <c r="AK207" s="25">
        <f>IF(B207="","",COUNTIFS($Y$5:$Y$1204,"&gt;"&amp;Y207)+COUNTIFS($Y$5:Y207,Y207))</f>
        <v>0</v>
      </c>
      <c r="AL207" s="39">
        <f>IF(B207="","",IF(H207="","Add - what kind of sale is this?",IF(IF(V207&lt;=0,P207="",FALSE),"Check - no price found for this item",IF(F207="","Assign - nobody credited",IF(AH207&gt;0.004,"Unpaid - balance outstanding",IF(AC207&lt;0,"Loss - sold below cost",IF(X207&gt;W207*0.5,"Check - more than half off","OK")))))))</f>
        <v>0</v>
      </c>
    </row>
    <row r="208" spans="1:38">
      <c r="A208" s="28">
        <f>IF(B208="","",SalePrefix&amp;TEXT(ROW()-4,"0000"))</f>
        <v>0</v>
      </c>
      <c r="E208" s="15">
        <f>IF(D208="","",IFERROR(INDEX(Clients!$B$5:$B$504,MATCH(D208,Clients!$A$5:$A$504,0)),"Walk-in"))</f>
        <v>0</v>
      </c>
      <c r="G208" s="15">
        <f>IF(F208="","",IFERROR(INDEX(Staff!$B$5:$B$44,MATCH(F208,Staff!$A$5:$A$44,0)),"House"))</f>
        <v>0</v>
      </c>
      <c r="R208" s="15">
        <f>IF(B208="","",TEXT(B208,"yyyy-mm"))</f>
        <v>0</v>
      </c>
      <c r="S208" s="25">
        <f>IF(B208="","",WEEKNUM(B208,2))</f>
        <v>0</v>
      </c>
      <c r="T208" s="37">
        <f>IF(B208="","",IF(K208="",1,K208))</f>
        <v>0</v>
      </c>
      <c r="U208" s="15">
        <f>IF(B208="","",IF(J208&lt;&gt;"",J208,IF(H208="Retail",IFERROR(INDEX(Inventory!$B$5:$B$304,MATCH(I208,Inventory!$A$5:$A$304,0))&amp;"","Not in Inventory"),IFERROR(INDEX(Services!$B$5:$B$204,MATCH(I208,Services!$A$5:$A$204,0))&amp;"","Not in Services"))))</f>
        <v>0</v>
      </c>
      <c r="V208" s="26">
        <f>IF(B208="","",IF(L208&lt;&gt;"",L208,IF(H208="Retail",IFERROR(INDEX(Inventory!$I$5:$I$304,MATCH(I208,Inventory!$A$5:$A$304,0))*1,0),IFERROR(INDEX(Services!$G$5:$G$204,MATCH(I208,Services!$A$5:$A$204,0))*1,0))))</f>
        <v>0</v>
      </c>
      <c r="W208" s="26">
        <f>IF(B208="","",ROUND(T208*V208,2))</f>
        <v>0</v>
      </c>
      <c r="X208" s="26">
        <f>IF(B208="","",ROUND(IF(M208="",0,W208*M208)+IF(N208="",0,N208),2))</f>
        <v>0</v>
      </c>
      <c r="Y208" s="26">
        <f>IF(B208="","",ROUND(W208-X208-IF(P208="",0,P208),2))</f>
        <v>0</v>
      </c>
      <c r="Z208" s="26">
        <f>IF(B208="","",IF(H208="Retail",IF(TaxOnRetail="Yes",ROUND(Y208*TaxRate,2),0),IF(H208="Service",IF(TaxOnServices="Yes",ROUND(Y208*TaxRate,2),0),0)))</f>
        <v>0</v>
      </c>
      <c r="AA208" s="26">
        <f>IF(B208="","",ROUND(Y208+Z208,2))</f>
        <v>0</v>
      </c>
      <c r="AB208" s="26">
        <f>IF(B208="","",ROUND(T208*IF(H208="Retail",IFERROR(INDEX(Inventory!$H$5:$H$304,MATCH(I208,Inventory!$A$5:$A$304,0))*1,0),IFERROR(INDEX(Services!$Q$5:$Q$204,MATCH(I208,Services!$A$5:$A$204,0))*1,0)),2))</f>
        <v>0</v>
      </c>
      <c r="AC208" s="26">
        <f>IF(B208="","",ROUND(Y208-AB208,2))</f>
        <v>0</v>
      </c>
      <c r="AD208" s="38">
        <f>IF(B208="","",IF(C208="","No",IF(COUNTIFS($C$5:C208,C208)=1,"Yes","No")))</f>
        <v>0</v>
      </c>
      <c r="AE208" s="26">
        <f>IF(B208="","",ROUND(SUMIFS(Payments!$G$5:$G$1204,Payments!$H$5:$H$1204,A208,Payments!$Q$5:$Q$1204,"Yes"),2))</f>
        <v>0</v>
      </c>
      <c r="AF208" s="26">
        <f>IF(B208="","",IF(AD208="No",0,ROUND(SUMIFS(Payments!$G$5:$G$1204,Payments!$I$5:$I$1204,C208,Payments!$H$5:$H$1204,"",Payments!$Q$5:$Q$1204,"Yes"),2)))</f>
        <v>0</v>
      </c>
      <c r="AG208" s="26">
        <f>IF(B208="","",ROUND(AE208+AF208,2))</f>
        <v>0</v>
      </c>
      <c r="AH208" s="26">
        <f>IF(B208="","",ROUND(AA208-AG208,2))</f>
        <v>0</v>
      </c>
      <c r="AI208" s="39">
        <f>IF(B208="","",IF(AA208&lt;=0,"No charge",IF(AH208&lt;=0.004,"Paid",IF(AG208&lt;=0.004,"Unpaid","Part paid"))))</f>
        <v>0</v>
      </c>
      <c r="AJ208" s="38">
        <f>IF(B208="","",IF(H208&lt;&gt;"Service","",IF(D208="","No",IF(COUNTIFS($D$5:$D$1204,D208,$B$5:$B$1204,B208,$H$5:$H$1204,"Retail")&gt;0,"Yes","No"))))</f>
        <v>0</v>
      </c>
      <c r="AK208" s="25">
        <f>IF(B208="","",COUNTIFS($Y$5:$Y$1204,"&gt;"&amp;Y208)+COUNTIFS($Y$5:Y208,Y208))</f>
        <v>0</v>
      </c>
      <c r="AL208" s="39">
        <f>IF(B208="","",IF(H208="","Add - what kind of sale is this?",IF(IF(V208&lt;=0,P208="",FALSE),"Check - no price found for this item",IF(F208="","Assign - nobody credited",IF(AH208&gt;0.004,"Unpaid - balance outstanding",IF(AC208&lt;0,"Loss - sold below cost",IF(X208&gt;W208*0.5,"Check - more than half off","OK")))))))</f>
        <v>0</v>
      </c>
    </row>
    <row r="209" spans="1:38">
      <c r="A209" s="28">
        <f>IF(B209="","",SalePrefix&amp;TEXT(ROW()-4,"0000"))</f>
        <v>0</v>
      </c>
      <c r="E209" s="15">
        <f>IF(D209="","",IFERROR(INDEX(Clients!$B$5:$B$504,MATCH(D209,Clients!$A$5:$A$504,0)),"Walk-in"))</f>
        <v>0</v>
      </c>
      <c r="G209" s="15">
        <f>IF(F209="","",IFERROR(INDEX(Staff!$B$5:$B$44,MATCH(F209,Staff!$A$5:$A$44,0)),"House"))</f>
        <v>0</v>
      </c>
      <c r="R209" s="15">
        <f>IF(B209="","",TEXT(B209,"yyyy-mm"))</f>
        <v>0</v>
      </c>
      <c r="S209" s="25">
        <f>IF(B209="","",WEEKNUM(B209,2))</f>
        <v>0</v>
      </c>
      <c r="T209" s="37">
        <f>IF(B209="","",IF(K209="",1,K209))</f>
        <v>0</v>
      </c>
      <c r="U209" s="15">
        <f>IF(B209="","",IF(J209&lt;&gt;"",J209,IF(H209="Retail",IFERROR(INDEX(Inventory!$B$5:$B$304,MATCH(I209,Inventory!$A$5:$A$304,0))&amp;"","Not in Inventory"),IFERROR(INDEX(Services!$B$5:$B$204,MATCH(I209,Services!$A$5:$A$204,0))&amp;"","Not in Services"))))</f>
        <v>0</v>
      </c>
      <c r="V209" s="26">
        <f>IF(B209="","",IF(L209&lt;&gt;"",L209,IF(H209="Retail",IFERROR(INDEX(Inventory!$I$5:$I$304,MATCH(I209,Inventory!$A$5:$A$304,0))*1,0),IFERROR(INDEX(Services!$G$5:$G$204,MATCH(I209,Services!$A$5:$A$204,0))*1,0))))</f>
        <v>0</v>
      </c>
      <c r="W209" s="26">
        <f>IF(B209="","",ROUND(T209*V209,2))</f>
        <v>0</v>
      </c>
      <c r="X209" s="26">
        <f>IF(B209="","",ROUND(IF(M209="",0,W209*M209)+IF(N209="",0,N209),2))</f>
        <v>0</v>
      </c>
      <c r="Y209" s="26">
        <f>IF(B209="","",ROUND(W209-X209-IF(P209="",0,P209),2))</f>
        <v>0</v>
      </c>
      <c r="Z209" s="26">
        <f>IF(B209="","",IF(H209="Retail",IF(TaxOnRetail="Yes",ROUND(Y209*TaxRate,2),0),IF(H209="Service",IF(TaxOnServices="Yes",ROUND(Y209*TaxRate,2),0),0)))</f>
        <v>0</v>
      </c>
      <c r="AA209" s="26">
        <f>IF(B209="","",ROUND(Y209+Z209,2))</f>
        <v>0</v>
      </c>
      <c r="AB209" s="26">
        <f>IF(B209="","",ROUND(T209*IF(H209="Retail",IFERROR(INDEX(Inventory!$H$5:$H$304,MATCH(I209,Inventory!$A$5:$A$304,0))*1,0),IFERROR(INDEX(Services!$Q$5:$Q$204,MATCH(I209,Services!$A$5:$A$204,0))*1,0)),2))</f>
        <v>0</v>
      </c>
      <c r="AC209" s="26">
        <f>IF(B209="","",ROUND(Y209-AB209,2))</f>
        <v>0</v>
      </c>
      <c r="AD209" s="38">
        <f>IF(B209="","",IF(C209="","No",IF(COUNTIFS($C$5:C209,C209)=1,"Yes","No")))</f>
        <v>0</v>
      </c>
      <c r="AE209" s="26">
        <f>IF(B209="","",ROUND(SUMIFS(Payments!$G$5:$G$1204,Payments!$H$5:$H$1204,A209,Payments!$Q$5:$Q$1204,"Yes"),2))</f>
        <v>0</v>
      </c>
      <c r="AF209" s="26">
        <f>IF(B209="","",IF(AD209="No",0,ROUND(SUMIFS(Payments!$G$5:$G$1204,Payments!$I$5:$I$1204,C209,Payments!$H$5:$H$1204,"",Payments!$Q$5:$Q$1204,"Yes"),2)))</f>
        <v>0</v>
      </c>
      <c r="AG209" s="26">
        <f>IF(B209="","",ROUND(AE209+AF209,2))</f>
        <v>0</v>
      </c>
      <c r="AH209" s="26">
        <f>IF(B209="","",ROUND(AA209-AG209,2))</f>
        <v>0</v>
      </c>
      <c r="AI209" s="39">
        <f>IF(B209="","",IF(AA209&lt;=0,"No charge",IF(AH209&lt;=0.004,"Paid",IF(AG209&lt;=0.004,"Unpaid","Part paid"))))</f>
        <v>0</v>
      </c>
      <c r="AJ209" s="38">
        <f>IF(B209="","",IF(H209&lt;&gt;"Service","",IF(D209="","No",IF(COUNTIFS($D$5:$D$1204,D209,$B$5:$B$1204,B209,$H$5:$H$1204,"Retail")&gt;0,"Yes","No"))))</f>
        <v>0</v>
      </c>
      <c r="AK209" s="25">
        <f>IF(B209="","",COUNTIFS($Y$5:$Y$1204,"&gt;"&amp;Y209)+COUNTIFS($Y$5:Y209,Y209))</f>
        <v>0</v>
      </c>
      <c r="AL209" s="39">
        <f>IF(B209="","",IF(H209="","Add - what kind of sale is this?",IF(IF(V209&lt;=0,P209="",FALSE),"Check - no price found for this item",IF(F209="","Assign - nobody credited",IF(AH209&gt;0.004,"Unpaid - balance outstanding",IF(AC209&lt;0,"Loss - sold below cost",IF(X209&gt;W209*0.5,"Check - more than half off","OK")))))))</f>
        <v>0</v>
      </c>
    </row>
    <row r="210" spans="1:38">
      <c r="A210" s="28">
        <f>IF(B210="","",SalePrefix&amp;TEXT(ROW()-4,"0000"))</f>
        <v>0</v>
      </c>
      <c r="E210" s="15">
        <f>IF(D210="","",IFERROR(INDEX(Clients!$B$5:$B$504,MATCH(D210,Clients!$A$5:$A$504,0)),"Walk-in"))</f>
        <v>0</v>
      </c>
      <c r="G210" s="15">
        <f>IF(F210="","",IFERROR(INDEX(Staff!$B$5:$B$44,MATCH(F210,Staff!$A$5:$A$44,0)),"House"))</f>
        <v>0</v>
      </c>
      <c r="R210" s="15">
        <f>IF(B210="","",TEXT(B210,"yyyy-mm"))</f>
        <v>0</v>
      </c>
      <c r="S210" s="25">
        <f>IF(B210="","",WEEKNUM(B210,2))</f>
        <v>0</v>
      </c>
      <c r="T210" s="37">
        <f>IF(B210="","",IF(K210="",1,K210))</f>
        <v>0</v>
      </c>
      <c r="U210" s="15">
        <f>IF(B210="","",IF(J210&lt;&gt;"",J210,IF(H210="Retail",IFERROR(INDEX(Inventory!$B$5:$B$304,MATCH(I210,Inventory!$A$5:$A$304,0))&amp;"","Not in Inventory"),IFERROR(INDEX(Services!$B$5:$B$204,MATCH(I210,Services!$A$5:$A$204,0))&amp;"","Not in Services"))))</f>
        <v>0</v>
      </c>
      <c r="V210" s="26">
        <f>IF(B210="","",IF(L210&lt;&gt;"",L210,IF(H210="Retail",IFERROR(INDEX(Inventory!$I$5:$I$304,MATCH(I210,Inventory!$A$5:$A$304,0))*1,0),IFERROR(INDEX(Services!$G$5:$G$204,MATCH(I210,Services!$A$5:$A$204,0))*1,0))))</f>
        <v>0</v>
      </c>
      <c r="W210" s="26">
        <f>IF(B210="","",ROUND(T210*V210,2))</f>
        <v>0</v>
      </c>
      <c r="X210" s="26">
        <f>IF(B210="","",ROUND(IF(M210="",0,W210*M210)+IF(N210="",0,N210),2))</f>
        <v>0</v>
      </c>
      <c r="Y210" s="26">
        <f>IF(B210="","",ROUND(W210-X210-IF(P210="",0,P210),2))</f>
        <v>0</v>
      </c>
      <c r="Z210" s="26">
        <f>IF(B210="","",IF(H210="Retail",IF(TaxOnRetail="Yes",ROUND(Y210*TaxRate,2),0),IF(H210="Service",IF(TaxOnServices="Yes",ROUND(Y210*TaxRate,2),0),0)))</f>
        <v>0</v>
      </c>
      <c r="AA210" s="26">
        <f>IF(B210="","",ROUND(Y210+Z210,2))</f>
        <v>0</v>
      </c>
      <c r="AB210" s="26">
        <f>IF(B210="","",ROUND(T210*IF(H210="Retail",IFERROR(INDEX(Inventory!$H$5:$H$304,MATCH(I210,Inventory!$A$5:$A$304,0))*1,0),IFERROR(INDEX(Services!$Q$5:$Q$204,MATCH(I210,Services!$A$5:$A$204,0))*1,0)),2))</f>
        <v>0</v>
      </c>
      <c r="AC210" s="26">
        <f>IF(B210="","",ROUND(Y210-AB210,2))</f>
        <v>0</v>
      </c>
      <c r="AD210" s="38">
        <f>IF(B210="","",IF(C210="","No",IF(COUNTIFS($C$5:C210,C210)=1,"Yes","No")))</f>
        <v>0</v>
      </c>
      <c r="AE210" s="26">
        <f>IF(B210="","",ROUND(SUMIFS(Payments!$G$5:$G$1204,Payments!$H$5:$H$1204,A210,Payments!$Q$5:$Q$1204,"Yes"),2))</f>
        <v>0</v>
      </c>
      <c r="AF210" s="26">
        <f>IF(B210="","",IF(AD210="No",0,ROUND(SUMIFS(Payments!$G$5:$G$1204,Payments!$I$5:$I$1204,C210,Payments!$H$5:$H$1204,"",Payments!$Q$5:$Q$1204,"Yes"),2)))</f>
        <v>0</v>
      </c>
      <c r="AG210" s="26">
        <f>IF(B210="","",ROUND(AE210+AF210,2))</f>
        <v>0</v>
      </c>
      <c r="AH210" s="26">
        <f>IF(B210="","",ROUND(AA210-AG210,2))</f>
        <v>0</v>
      </c>
      <c r="AI210" s="39">
        <f>IF(B210="","",IF(AA210&lt;=0,"No charge",IF(AH210&lt;=0.004,"Paid",IF(AG210&lt;=0.004,"Unpaid","Part paid"))))</f>
        <v>0</v>
      </c>
      <c r="AJ210" s="38">
        <f>IF(B210="","",IF(H210&lt;&gt;"Service","",IF(D210="","No",IF(COUNTIFS($D$5:$D$1204,D210,$B$5:$B$1204,B210,$H$5:$H$1204,"Retail")&gt;0,"Yes","No"))))</f>
        <v>0</v>
      </c>
      <c r="AK210" s="25">
        <f>IF(B210="","",COUNTIFS($Y$5:$Y$1204,"&gt;"&amp;Y210)+COUNTIFS($Y$5:Y210,Y210))</f>
        <v>0</v>
      </c>
      <c r="AL210" s="39">
        <f>IF(B210="","",IF(H210="","Add - what kind of sale is this?",IF(IF(V210&lt;=0,P210="",FALSE),"Check - no price found for this item",IF(F210="","Assign - nobody credited",IF(AH210&gt;0.004,"Unpaid - balance outstanding",IF(AC210&lt;0,"Loss - sold below cost",IF(X210&gt;W210*0.5,"Check - more than half off","OK")))))))</f>
        <v>0</v>
      </c>
    </row>
    <row r="211" spans="1:38">
      <c r="A211" s="28">
        <f>IF(B211="","",SalePrefix&amp;TEXT(ROW()-4,"0000"))</f>
        <v>0</v>
      </c>
      <c r="E211" s="15">
        <f>IF(D211="","",IFERROR(INDEX(Clients!$B$5:$B$504,MATCH(D211,Clients!$A$5:$A$504,0)),"Walk-in"))</f>
        <v>0</v>
      </c>
      <c r="G211" s="15">
        <f>IF(F211="","",IFERROR(INDEX(Staff!$B$5:$B$44,MATCH(F211,Staff!$A$5:$A$44,0)),"House"))</f>
        <v>0</v>
      </c>
      <c r="R211" s="15">
        <f>IF(B211="","",TEXT(B211,"yyyy-mm"))</f>
        <v>0</v>
      </c>
      <c r="S211" s="25">
        <f>IF(B211="","",WEEKNUM(B211,2))</f>
        <v>0</v>
      </c>
      <c r="T211" s="37">
        <f>IF(B211="","",IF(K211="",1,K211))</f>
        <v>0</v>
      </c>
      <c r="U211" s="15">
        <f>IF(B211="","",IF(J211&lt;&gt;"",J211,IF(H211="Retail",IFERROR(INDEX(Inventory!$B$5:$B$304,MATCH(I211,Inventory!$A$5:$A$304,0))&amp;"","Not in Inventory"),IFERROR(INDEX(Services!$B$5:$B$204,MATCH(I211,Services!$A$5:$A$204,0))&amp;"","Not in Services"))))</f>
        <v>0</v>
      </c>
      <c r="V211" s="26">
        <f>IF(B211="","",IF(L211&lt;&gt;"",L211,IF(H211="Retail",IFERROR(INDEX(Inventory!$I$5:$I$304,MATCH(I211,Inventory!$A$5:$A$304,0))*1,0),IFERROR(INDEX(Services!$G$5:$G$204,MATCH(I211,Services!$A$5:$A$204,0))*1,0))))</f>
        <v>0</v>
      </c>
      <c r="W211" s="26">
        <f>IF(B211="","",ROUND(T211*V211,2))</f>
        <v>0</v>
      </c>
      <c r="X211" s="26">
        <f>IF(B211="","",ROUND(IF(M211="",0,W211*M211)+IF(N211="",0,N211),2))</f>
        <v>0</v>
      </c>
      <c r="Y211" s="26">
        <f>IF(B211="","",ROUND(W211-X211-IF(P211="",0,P211),2))</f>
        <v>0</v>
      </c>
      <c r="Z211" s="26">
        <f>IF(B211="","",IF(H211="Retail",IF(TaxOnRetail="Yes",ROUND(Y211*TaxRate,2),0),IF(H211="Service",IF(TaxOnServices="Yes",ROUND(Y211*TaxRate,2),0),0)))</f>
        <v>0</v>
      </c>
      <c r="AA211" s="26">
        <f>IF(B211="","",ROUND(Y211+Z211,2))</f>
        <v>0</v>
      </c>
      <c r="AB211" s="26">
        <f>IF(B211="","",ROUND(T211*IF(H211="Retail",IFERROR(INDEX(Inventory!$H$5:$H$304,MATCH(I211,Inventory!$A$5:$A$304,0))*1,0),IFERROR(INDEX(Services!$Q$5:$Q$204,MATCH(I211,Services!$A$5:$A$204,0))*1,0)),2))</f>
        <v>0</v>
      </c>
      <c r="AC211" s="26">
        <f>IF(B211="","",ROUND(Y211-AB211,2))</f>
        <v>0</v>
      </c>
      <c r="AD211" s="38">
        <f>IF(B211="","",IF(C211="","No",IF(COUNTIFS($C$5:C211,C211)=1,"Yes","No")))</f>
        <v>0</v>
      </c>
      <c r="AE211" s="26">
        <f>IF(B211="","",ROUND(SUMIFS(Payments!$G$5:$G$1204,Payments!$H$5:$H$1204,A211,Payments!$Q$5:$Q$1204,"Yes"),2))</f>
        <v>0</v>
      </c>
      <c r="AF211" s="26">
        <f>IF(B211="","",IF(AD211="No",0,ROUND(SUMIFS(Payments!$G$5:$G$1204,Payments!$I$5:$I$1204,C211,Payments!$H$5:$H$1204,"",Payments!$Q$5:$Q$1204,"Yes"),2)))</f>
        <v>0</v>
      </c>
      <c r="AG211" s="26">
        <f>IF(B211="","",ROUND(AE211+AF211,2))</f>
        <v>0</v>
      </c>
      <c r="AH211" s="26">
        <f>IF(B211="","",ROUND(AA211-AG211,2))</f>
        <v>0</v>
      </c>
      <c r="AI211" s="39">
        <f>IF(B211="","",IF(AA211&lt;=0,"No charge",IF(AH211&lt;=0.004,"Paid",IF(AG211&lt;=0.004,"Unpaid","Part paid"))))</f>
        <v>0</v>
      </c>
      <c r="AJ211" s="38">
        <f>IF(B211="","",IF(H211&lt;&gt;"Service","",IF(D211="","No",IF(COUNTIFS($D$5:$D$1204,D211,$B$5:$B$1204,B211,$H$5:$H$1204,"Retail")&gt;0,"Yes","No"))))</f>
        <v>0</v>
      </c>
      <c r="AK211" s="25">
        <f>IF(B211="","",COUNTIFS($Y$5:$Y$1204,"&gt;"&amp;Y211)+COUNTIFS($Y$5:Y211,Y211))</f>
        <v>0</v>
      </c>
      <c r="AL211" s="39">
        <f>IF(B211="","",IF(H211="","Add - what kind of sale is this?",IF(IF(V211&lt;=0,P211="",FALSE),"Check - no price found for this item",IF(F211="","Assign - nobody credited",IF(AH211&gt;0.004,"Unpaid - balance outstanding",IF(AC211&lt;0,"Loss - sold below cost",IF(X211&gt;W211*0.5,"Check - more than half off","OK")))))))</f>
        <v>0</v>
      </c>
    </row>
    <row r="212" spans="1:38">
      <c r="A212" s="28">
        <f>IF(B212="","",SalePrefix&amp;TEXT(ROW()-4,"0000"))</f>
        <v>0</v>
      </c>
      <c r="E212" s="15">
        <f>IF(D212="","",IFERROR(INDEX(Clients!$B$5:$B$504,MATCH(D212,Clients!$A$5:$A$504,0)),"Walk-in"))</f>
        <v>0</v>
      </c>
      <c r="G212" s="15">
        <f>IF(F212="","",IFERROR(INDEX(Staff!$B$5:$B$44,MATCH(F212,Staff!$A$5:$A$44,0)),"House"))</f>
        <v>0</v>
      </c>
      <c r="R212" s="15">
        <f>IF(B212="","",TEXT(B212,"yyyy-mm"))</f>
        <v>0</v>
      </c>
      <c r="S212" s="25">
        <f>IF(B212="","",WEEKNUM(B212,2))</f>
        <v>0</v>
      </c>
      <c r="T212" s="37">
        <f>IF(B212="","",IF(K212="",1,K212))</f>
        <v>0</v>
      </c>
      <c r="U212" s="15">
        <f>IF(B212="","",IF(J212&lt;&gt;"",J212,IF(H212="Retail",IFERROR(INDEX(Inventory!$B$5:$B$304,MATCH(I212,Inventory!$A$5:$A$304,0))&amp;"","Not in Inventory"),IFERROR(INDEX(Services!$B$5:$B$204,MATCH(I212,Services!$A$5:$A$204,0))&amp;"","Not in Services"))))</f>
        <v>0</v>
      </c>
      <c r="V212" s="26">
        <f>IF(B212="","",IF(L212&lt;&gt;"",L212,IF(H212="Retail",IFERROR(INDEX(Inventory!$I$5:$I$304,MATCH(I212,Inventory!$A$5:$A$304,0))*1,0),IFERROR(INDEX(Services!$G$5:$G$204,MATCH(I212,Services!$A$5:$A$204,0))*1,0))))</f>
        <v>0</v>
      </c>
      <c r="W212" s="26">
        <f>IF(B212="","",ROUND(T212*V212,2))</f>
        <v>0</v>
      </c>
      <c r="X212" s="26">
        <f>IF(B212="","",ROUND(IF(M212="",0,W212*M212)+IF(N212="",0,N212),2))</f>
        <v>0</v>
      </c>
      <c r="Y212" s="26">
        <f>IF(B212="","",ROUND(W212-X212-IF(P212="",0,P212),2))</f>
        <v>0</v>
      </c>
      <c r="Z212" s="26">
        <f>IF(B212="","",IF(H212="Retail",IF(TaxOnRetail="Yes",ROUND(Y212*TaxRate,2),0),IF(H212="Service",IF(TaxOnServices="Yes",ROUND(Y212*TaxRate,2),0),0)))</f>
        <v>0</v>
      </c>
      <c r="AA212" s="26">
        <f>IF(B212="","",ROUND(Y212+Z212,2))</f>
        <v>0</v>
      </c>
      <c r="AB212" s="26">
        <f>IF(B212="","",ROUND(T212*IF(H212="Retail",IFERROR(INDEX(Inventory!$H$5:$H$304,MATCH(I212,Inventory!$A$5:$A$304,0))*1,0),IFERROR(INDEX(Services!$Q$5:$Q$204,MATCH(I212,Services!$A$5:$A$204,0))*1,0)),2))</f>
        <v>0</v>
      </c>
      <c r="AC212" s="26">
        <f>IF(B212="","",ROUND(Y212-AB212,2))</f>
        <v>0</v>
      </c>
      <c r="AD212" s="38">
        <f>IF(B212="","",IF(C212="","No",IF(COUNTIFS($C$5:C212,C212)=1,"Yes","No")))</f>
        <v>0</v>
      </c>
      <c r="AE212" s="26">
        <f>IF(B212="","",ROUND(SUMIFS(Payments!$G$5:$G$1204,Payments!$H$5:$H$1204,A212,Payments!$Q$5:$Q$1204,"Yes"),2))</f>
        <v>0</v>
      </c>
      <c r="AF212" s="26">
        <f>IF(B212="","",IF(AD212="No",0,ROUND(SUMIFS(Payments!$G$5:$G$1204,Payments!$I$5:$I$1204,C212,Payments!$H$5:$H$1204,"",Payments!$Q$5:$Q$1204,"Yes"),2)))</f>
        <v>0</v>
      </c>
      <c r="AG212" s="26">
        <f>IF(B212="","",ROUND(AE212+AF212,2))</f>
        <v>0</v>
      </c>
      <c r="AH212" s="26">
        <f>IF(B212="","",ROUND(AA212-AG212,2))</f>
        <v>0</v>
      </c>
      <c r="AI212" s="39">
        <f>IF(B212="","",IF(AA212&lt;=0,"No charge",IF(AH212&lt;=0.004,"Paid",IF(AG212&lt;=0.004,"Unpaid","Part paid"))))</f>
        <v>0</v>
      </c>
      <c r="AJ212" s="38">
        <f>IF(B212="","",IF(H212&lt;&gt;"Service","",IF(D212="","No",IF(COUNTIFS($D$5:$D$1204,D212,$B$5:$B$1204,B212,$H$5:$H$1204,"Retail")&gt;0,"Yes","No"))))</f>
        <v>0</v>
      </c>
      <c r="AK212" s="25">
        <f>IF(B212="","",COUNTIFS($Y$5:$Y$1204,"&gt;"&amp;Y212)+COUNTIFS($Y$5:Y212,Y212))</f>
        <v>0</v>
      </c>
      <c r="AL212" s="39">
        <f>IF(B212="","",IF(H212="","Add - what kind of sale is this?",IF(IF(V212&lt;=0,P212="",FALSE),"Check - no price found for this item",IF(F212="","Assign - nobody credited",IF(AH212&gt;0.004,"Unpaid - balance outstanding",IF(AC212&lt;0,"Loss - sold below cost",IF(X212&gt;W212*0.5,"Check - more than half off","OK")))))))</f>
        <v>0</v>
      </c>
    </row>
    <row r="213" spans="1:38">
      <c r="A213" s="28">
        <f>IF(B213="","",SalePrefix&amp;TEXT(ROW()-4,"0000"))</f>
        <v>0</v>
      </c>
      <c r="E213" s="15">
        <f>IF(D213="","",IFERROR(INDEX(Clients!$B$5:$B$504,MATCH(D213,Clients!$A$5:$A$504,0)),"Walk-in"))</f>
        <v>0</v>
      </c>
      <c r="G213" s="15">
        <f>IF(F213="","",IFERROR(INDEX(Staff!$B$5:$B$44,MATCH(F213,Staff!$A$5:$A$44,0)),"House"))</f>
        <v>0</v>
      </c>
      <c r="R213" s="15">
        <f>IF(B213="","",TEXT(B213,"yyyy-mm"))</f>
        <v>0</v>
      </c>
      <c r="S213" s="25">
        <f>IF(B213="","",WEEKNUM(B213,2))</f>
        <v>0</v>
      </c>
      <c r="T213" s="37">
        <f>IF(B213="","",IF(K213="",1,K213))</f>
        <v>0</v>
      </c>
      <c r="U213" s="15">
        <f>IF(B213="","",IF(J213&lt;&gt;"",J213,IF(H213="Retail",IFERROR(INDEX(Inventory!$B$5:$B$304,MATCH(I213,Inventory!$A$5:$A$304,0))&amp;"","Not in Inventory"),IFERROR(INDEX(Services!$B$5:$B$204,MATCH(I213,Services!$A$5:$A$204,0))&amp;"","Not in Services"))))</f>
        <v>0</v>
      </c>
      <c r="V213" s="26">
        <f>IF(B213="","",IF(L213&lt;&gt;"",L213,IF(H213="Retail",IFERROR(INDEX(Inventory!$I$5:$I$304,MATCH(I213,Inventory!$A$5:$A$304,0))*1,0),IFERROR(INDEX(Services!$G$5:$G$204,MATCH(I213,Services!$A$5:$A$204,0))*1,0))))</f>
        <v>0</v>
      </c>
      <c r="W213" s="26">
        <f>IF(B213="","",ROUND(T213*V213,2))</f>
        <v>0</v>
      </c>
      <c r="X213" s="26">
        <f>IF(B213="","",ROUND(IF(M213="",0,W213*M213)+IF(N213="",0,N213),2))</f>
        <v>0</v>
      </c>
      <c r="Y213" s="26">
        <f>IF(B213="","",ROUND(W213-X213-IF(P213="",0,P213),2))</f>
        <v>0</v>
      </c>
      <c r="Z213" s="26">
        <f>IF(B213="","",IF(H213="Retail",IF(TaxOnRetail="Yes",ROUND(Y213*TaxRate,2),0),IF(H213="Service",IF(TaxOnServices="Yes",ROUND(Y213*TaxRate,2),0),0)))</f>
        <v>0</v>
      </c>
      <c r="AA213" s="26">
        <f>IF(B213="","",ROUND(Y213+Z213,2))</f>
        <v>0</v>
      </c>
      <c r="AB213" s="26">
        <f>IF(B213="","",ROUND(T213*IF(H213="Retail",IFERROR(INDEX(Inventory!$H$5:$H$304,MATCH(I213,Inventory!$A$5:$A$304,0))*1,0),IFERROR(INDEX(Services!$Q$5:$Q$204,MATCH(I213,Services!$A$5:$A$204,0))*1,0)),2))</f>
        <v>0</v>
      </c>
      <c r="AC213" s="26">
        <f>IF(B213="","",ROUND(Y213-AB213,2))</f>
        <v>0</v>
      </c>
      <c r="AD213" s="38">
        <f>IF(B213="","",IF(C213="","No",IF(COUNTIFS($C$5:C213,C213)=1,"Yes","No")))</f>
        <v>0</v>
      </c>
      <c r="AE213" s="26">
        <f>IF(B213="","",ROUND(SUMIFS(Payments!$G$5:$G$1204,Payments!$H$5:$H$1204,A213,Payments!$Q$5:$Q$1204,"Yes"),2))</f>
        <v>0</v>
      </c>
      <c r="AF213" s="26">
        <f>IF(B213="","",IF(AD213="No",0,ROUND(SUMIFS(Payments!$G$5:$G$1204,Payments!$I$5:$I$1204,C213,Payments!$H$5:$H$1204,"",Payments!$Q$5:$Q$1204,"Yes"),2)))</f>
        <v>0</v>
      </c>
      <c r="AG213" s="26">
        <f>IF(B213="","",ROUND(AE213+AF213,2))</f>
        <v>0</v>
      </c>
      <c r="AH213" s="26">
        <f>IF(B213="","",ROUND(AA213-AG213,2))</f>
        <v>0</v>
      </c>
      <c r="AI213" s="39">
        <f>IF(B213="","",IF(AA213&lt;=0,"No charge",IF(AH213&lt;=0.004,"Paid",IF(AG213&lt;=0.004,"Unpaid","Part paid"))))</f>
        <v>0</v>
      </c>
      <c r="AJ213" s="38">
        <f>IF(B213="","",IF(H213&lt;&gt;"Service","",IF(D213="","No",IF(COUNTIFS($D$5:$D$1204,D213,$B$5:$B$1204,B213,$H$5:$H$1204,"Retail")&gt;0,"Yes","No"))))</f>
        <v>0</v>
      </c>
      <c r="AK213" s="25">
        <f>IF(B213="","",COUNTIFS($Y$5:$Y$1204,"&gt;"&amp;Y213)+COUNTIFS($Y$5:Y213,Y213))</f>
        <v>0</v>
      </c>
      <c r="AL213" s="39">
        <f>IF(B213="","",IF(H213="","Add - what kind of sale is this?",IF(IF(V213&lt;=0,P213="",FALSE),"Check - no price found for this item",IF(F213="","Assign - nobody credited",IF(AH213&gt;0.004,"Unpaid - balance outstanding",IF(AC213&lt;0,"Loss - sold below cost",IF(X213&gt;W213*0.5,"Check - more than half off","OK")))))))</f>
        <v>0</v>
      </c>
    </row>
    <row r="214" spans="1:38">
      <c r="A214" s="28">
        <f>IF(B214="","",SalePrefix&amp;TEXT(ROW()-4,"0000"))</f>
        <v>0</v>
      </c>
      <c r="E214" s="15">
        <f>IF(D214="","",IFERROR(INDEX(Clients!$B$5:$B$504,MATCH(D214,Clients!$A$5:$A$504,0)),"Walk-in"))</f>
        <v>0</v>
      </c>
      <c r="G214" s="15">
        <f>IF(F214="","",IFERROR(INDEX(Staff!$B$5:$B$44,MATCH(F214,Staff!$A$5:$A$44,0)),"House"))</f>
        <v>0</v>
      </c>
      <c r="R214" s="15">
        <f>IF(B214="","",TEXT(B214,"yyyy-mm"))</f>
        <v>0</v>
      </c>
      <c r="S214" s="25">
        <f>IF(B214="","",WEEKNUM(B214,2))</f>
        <v>0</v>
      </c>
      <c r="T214" s="37">
        <f>IF(B214="","",IF(K214="",1,K214))</f>
        <v>0</v>
      </c>
      <c r="U214" s="15">
        <f>IF(B214="","",IF(J214&lt;&gt;"",J214,IF(H214="Retail",IFERROR(INDEX(Inventory!$B$5:$B$304,MATCH(I214,Inventory!$A$5:$A$304,0))&amp;"","Not in Inventory"),IFERROR(INDEX(Services!$B$5:$B$204,MATCH(I214,Services!$A$5:$A$204,0))&amp;"","Not in Services"))))</f>
        <v>0</v>
      </c>
      <c r="V214" s="26">
        <f>IF(B214="","",IF(L214&lt;&gt;"",L214,IF(H214="Retail",IFERROR(INDEX(Inventory!$I$5:$I$304,MATCH(I214,Inventory!$A$5:$A$304,0))*1,0),IFERROR(INDEX(Services!$G$5:$G$204,MATCH(I214,Services!$A$5:$A$204,0))*1,0))))</f>
        <v>0</v>
      </c>
      <c r="W214" s="26">
        <f>IF(B214="","",ROUND(T214*V214,2))</f>
        <v>0</v>
      </c>
      <c r="X214" s="26">
        <f>IF(B214="","",ROUND(IF(M214="",0,W214*M214)+IF(N214="",0,N214),2))</f>
        <v>0</v>
      </c>
      <c r="Y214" s="26">
        <f>IF(B214="","",ROUND(W214-X214-IF(P214="",0,P214),2))</f>
        <v>0</v>
      </c>
      <c r="Z214" s="26">
        <f>IF(B214="","",IF(H214="Retail",IF(TaxOnRetail="Yes",ROUND(Y214*TaxRate,2),0),IF(H214="Service",IF(TaxOnServices="Yes",ROUND(Y214*TaxRate,2),0),0)))</f>
        <v>0</v>
      </c>
      <c r="AA214" s="26">
        <f>IF(B214="","",ROUND(Y214+Z214,2))</f>
        <v>0</v>
      </c>
      <c r="AB214" s="26">
        <f>IF(B214="","",ROUND(T214*IF(H214="Retail",IFERROR(INDEX(Inventory!$H$5:$H$304,MATCH(I214,Inventory!$A$5:$A$304,0))*1,0),IFERROR(INDEX(Services!$Q$5:$Q$204,MATCH(I214,Services!$A$5:$A$204,0))*1,0)),2))</f>
        <v>0</v>
      </c>
      <c r="AC214" s="26">
        <f>IF(B214="","",ROUND(Y214-AB214,2))</f>
        <v>0</v>
      </c>
      <c r="AD214" s="38">
        <f>IF(B214="","",IF(C214="","No",IF(COUNTIFS($C$5:C214,C214)=1,"Yes","No")))</f>
        <v>0</v>
      </c>
      <c r="AE214" s="26">
        <f>IF(B214="","",ROUND(SUMIFS(Payments!$G$5:$G$1204,Payments!$H$5:$H$1204,A214,Payments!$Q$5:$Q$1204,"Yes"),2))</f>
        <v>0</v>
      </c>
      <c r="AF214" s="26">
        <f>IF(B214="","",IF(AD214="No",0,ROUND(SUMIFS(Payments!$G$5:$G$1204,Payments!$I$5:$I$1204,C214,Payments!$H$5:$H$1204,"",Payments!$Q$5:$Q$1204,"Yes"),2)))</f>
        <v>0</v>
      </c>
      <c r="AG214" s="26">
        <f>IF(B214="","",ROUND(AE214+AF214,2))</f>
        <v>0</v>
      </c>
      <c r="AH214" s="26">
        <f>IF(B214="","",ROUND(AA214-AG214,2))</f>
        <v>0</v>
      </c>
      <c r="AI214" s="39">
        <f>IF(B214="","",IF(AA214&lt;=0,"No charge",IF(AH214&lt;=0.004,"Paid",IF(AG214&lt;=0.004,"Unpaid","Part paid"))))</f>
        <v>0</v>
      </c>
      <c r="AJ214" s="38">
        <f>IF(B214="","",IF(H214&lt;&gt;"Service","",IF(D214="","No",IF(COUNTIFS($D$5:$D$1204,D214,$B$5:$B$1204,B214,$H$5:$H$1204,"Retail")&gt;0,"Yes","No"))))</f>
        <v>0</v>
      </c>
      <c r="AK214" s="25">
        <f>IF(B214="","",COUNTIFS($Y$5:$Y$1204,"&gt;"&amp;Y214)+COUNTIFS($Y$5:Y214,Y214))</f>
        <v>0</v>
      </c>
      <c r="AL214" s="39">
        <f>IF(B214="","",IF(H214="","Add - what kind of sale is this?",IF(IF(V214&lt;=0,P214="",FALSE),"Check - no price found for this item",IF(F214="","Assign - nobody credited",IF(AH214&gt;0.004,"Unpaid - balance outstanding",IF(AC214&lt;0,"Loss - sold below cost",IF(X214&gt;W214*0.5,"Check - more than half off","OK")))))))</f>
        <v>0</v>
      </c>
    </row>
    <row r="215" spans="1:38">
      <c r="A215" s="28">
        <f>IF(B215="","",SalePrefix&amp;TEXT(ROW()-4,"0000"))</f>
        <v>0</v>
      </c>
      <c r="E215" s="15">
        <f>IF(D215="","",IFERROR(INDEX(Clients!$B$5:$B$504,MATCH(D215,Clients!$A$5:$A$504,0)),"Walk-in"))</f>
        <v>0</v>
      </c>
      <c r="G215" s="15">
        <f>IF(F215="","",IFERROR(INDEX(Staff!$B$5:$B$44,MATCH(F215,Staff!$A$5:$A$44,0)),"House"))</f>
        <v>0</v>
      </c>
      <c r="R215" s="15">
        <f>IF(B215="","",TEXT(B215,"yyyy-mm"))</f>
        <v>0</v>
      </c>
      <c r="S215" s="25">
        <f>IF(B215="","",WEEKNUM(B215,2))</f>
        <v>0</v>
      </c>
      <c r="T215" s="37">
        <f>IF(B215="","",IF(K215="",1,K215))</f>
        <v>0</v>
      </c>
      <c r="U215" s="15">
        <f>IF(B215="","",IF(J215&lt;&gt;"",J215,IF(H215="Retail",IFERROR(INDEX(Inventory!$B$5:$B$304,MATCH(I215,Inventory!$A$5:$A$304,0))&amp;"","Not in Inventory"),IFERROR(INDEX(Services!$B$5:$B$204,MATCH(I215,Services!$A$5:$A$204,0))&amp;"","Not in Services"))))</f>
        <v>0</v>
      </c>
      <c r="V215" s="26">
        <f>IF(B215="","",IF(L215&lt;&gt;"",L215,IF(H215="Retail",IFERROR(INDEX(Inventory!$I$5:$I$304,MATCH(I215,Inventory!$A$5:$A$304,0))*1,0),IFERROR(INDEX(Services!$G$5:$G$204,MATCH(I215,Services!$A$5:$A$204,0))*1,0))))</f>
        <v>0</v>
      </c>
      <c r="W215" s="26">
        <f>IF(B215="","",ROUND(T215*V215,2))</f>
        <v>0</v>
      </c>
      <c r="X215" s="26">
        <f>IF(B215="","",ROUND(IF(M215="",0,W215*M215)+IF(N215="",0,N215),2))</f>
        <v>0</v>
      </c>
      <c r="Y215" s="26">
        <f>IF(B215="","",ROUND(W215-X215-IF(P215="",0,P215),2))</f>
        <v>0</v>
      </c>
      <c r="Z215" s="26">
        <f>IF(B215="","",IF(H215="Retail",IF(TaxOnRetail="Yes",ROUND(Y215*TaxRate,2),0),IF(H215="Service",IF(TaxOnServices="Yes",ROUND(Y215*TaxRate,2),0),0)))</f>
        <v>0</v>
      </c>
      <c r="AA215" s="26">
        <f>IF(B215="","",ROUND(Y215+Z215,2))</f>
        <v>0</v>
      </c>
      <c r="AB215" s="26">
        <f>IF(B215="","",ROUND(T215*IF(H215="Retail",IFERROR(INDEX(Inventory!$H$5:$H$304,MATCH(I215,Inventory!$A$5:$A$304,0))*1,0),IFERROR(INDEX(Services!$Q$5:$Q$204,MATCH(I215,Services!$A$5:$A$204,0))*1,0)),2))</f>
        <v>0</v>
      </c>
      <c r="AC215" s="26">
        <f>IF(B215="","",ROUND(Y215-AB215,2))</f>
        <v>0</v>
      </c>
      <c r="AD215" s="38">
        <f>IF(B215="","",IF(C215="","No",IF(COUNTIFS($C$5:C215,C215)=1,"Yes","No")))</f>
        <v>0</v>
      </c>
      <c r="AE215" s="26">
        <f>IF(B215="","",ROUND(SUMIFS(Payments!$G$5:$G$1204,Payments!$H$5:$H$1204,A215,Payments!$Q$5:$Q$1204,"Yes"),2))</f>
        <v>0</v>
      </c>
      <c r="AF215" s="26">
        <f>IF(B215="","",IF(AD215="No",0,ROUND(SUMIFS(Payments!$G$5:$G$1204,Payments!$I$5:$I$1204,C215,Payments!$H$5:$H$1204,"",Payments!$Q$5:$Q$1204,"Yes"),2)))</f>
        <v>0</v>
      </c>
      <c r="AG215" s="26">
        <f>IF(B215="","",ROUND(AE215+AF215,2))</f>
        <v>0</v>
      </c>
      <c r="AH215" s="26">
        <f>IF(B215="","",ROUND(AA215-AG215,2))</f>
        <v>0</v>
      </c>
      <c r="AI215" s="39">
        <f>IF(B215="","",IF(AA215&lt;=0,"No charge",IF(AH215&lt;=0.004,"Paid",IF(AG215&lt;=0.004,"Unpaid","Part paid"))))</f>
        <v>0</v>
      </c>
      <c r="AJ215" s="38">
        <f>IF(B215="","",IF(H215&lt;&gt;"Service","",IF(D215="","No",IF(COUNTIFS($D$5:$D$1204,D215,$B$5:$B$1204,B215,$H$5:$H$1204,"Retail")&gt;0,"Yes","No"))))</f>
        <v>0</v>
      </c>
      <c r="AK215" s="25">
        <f>IF(B215="","",COUNTIFS($Y$5:$Y$1204,"&gt;"&amp;Y215)+COUNTIFS($Y$5:Y215,Y215))</f>
        <v>0</v>
      </c>
      <c r="AL215" s="39">
        <f>IF(B215="","",IF(H215="","Add - what kind of sale is this?",IF(IF(V215&lt;=0,P215="",FALSE),"Check - no price found for this item",IF(F215="","Assign - nobody credited",IF(AH215&gt;0.004,"Unpaid - balance outstanding",IF(AC215&lt;0,"Loss - sold below cost",IF(X215&gt;W215*0.5,"Check - more than half off","OK")))))))</f>
        <v>0</v>
      </c>
    </row>
    <row r="216" spans="1:38">
      <c r="A216" s="28">
        <f>IF(B216="","",SalePrefix&amp;TEXT(ROW()-4,"0000"))</f>
        <v>0</v>
      </c>
      <c r="E216" s="15">
        <f>IF(D216="","",IFERROR(INDEX(Clients!$B$5:$B$504,MATCH(D216,Clients!$A$5:$A$504,0)),"Walk-in"))</f>
        <v>0</v>
      </c>
      <c r="G216" s="15">
        <f>IF(F216="","",IFERROR(INDEX(Staff!$B$5:$B$44,MATCH(F216,Staff!$A$5:$A$44,0)),"House"))</f>
        <v>0</v>
      </c>
      <c r="R216" s="15">
        <f>IF(B216="","",TEXT(B216,"yyyy-mm"))</f>
        <v>0</v>
      </c>
      <c r="S216" s="25">
        <f>IF(B216="","",WEEKNUM(B216,2))</f>
        <v>0</v>
      </c>
      <c r="T216" s="37">
        <f>IF(B216="","",IF(K216="",1,K216))</f>
        <v>0</v>
      </c>
      <c r="U216" s="15">
        <f>IF(B216="","",IF(J216&lt;&gt;"",J216,IF(H216="Retail",IFERROR(INDEX(Inventory!$B$5:$B$304,MATCH(I216,Inventory!$A$5:$A$304,0))&amp;"","Not in Inventory"),IFERROR(INDEX(Services!$B$5:$B$204,MATCH(I216,Services!$A$5:$A$204,0))&amp;"","Not in Services"))))</f>
        <v>0</v>
      </c>
      <c r="V216" s="26">
        <f>IF(B216="","",IF(L216&lt;&gt;"",L216,IF(H216="Retail",IFERROR(INDEX(Inventory!$I$5:$I$304,MATCH(I216,Inventory!$A$5:$A$304,0))*1,0),IFERROR(INDEX(Services!$G$5:$G$204,MATCH(I216,Services!$A$5:$A$204,0))*1,0))))</f>
        <v>0</v>
      </c>
      <c r="W216" s="26">
        <f>IF(B216="","",ROUND(T216*V216,2))</f>
        <v>0</v>
      </c>
      <c r="X216" s="26">
        <f>IF(B216="","",ROUND(IF(M216="",0,W216*M216)+IF(N216="",0,N216),2))</f>
        <v>0</v>
      </c>
      <c r="Y216" s="26">
        <f>IF(B216="","",ROUND(W216-X216-IF(P216="",0,P216),2))</f>
        <v>0</v>
      </c>
      <c r="Z216" s="26">
        <f>IF(B216="","",IF(H216="Retail",IF(TaxOnRetail="Yes",ROUND(Y216*TaxRate,2),0),IF(H216="Service",IF(TaxOnServices="Yes",ROUND(Y216*TaxRate,2),0),0)))</f>
        <v>0</v>
      </c>
      <c r="AA216" s="26">
        <f>IF(B216="","",ROUND(Y216+Z216,2))</f>
        <v>0</v>
      </c>
      <c r="AB216" s="26">
        <f>IF(B216="","",ROUND(T216*IF(H216="Retail",IFERROR(INDEX(Inventory!$H$5:$H$304,MATCH(I216,Inventory!$A$5:$A$304,0))*1,0),IFERROR(INDEX(Services!$Q$5:$Q$204,MATCH(I216,Services!$A$5:$A$204,0))*1,0)),2))</f>
        <v>0</v>
      </c>
      <c r="AC216" s="26">
        <f>IF(B216="","",ROUND(Y216-AB216,2))</f>
        <v>0</v>
      </c>
      <c r="AD216" s="38">
        <f>IF(B216="","",IF(C216="","No",IF(COUNTIFS($C$5:C216,C216)=1,"Yes","No")))</f>
        <v>0</v>
      </c>
      <c r="AE216" s="26">
        <f>IF(B216="","",ROUND(SUMIFS(Payments!$G$5:$G$1204,Payments!$H$5:$H$1204,A216,Payments!$Q$5:$Q$1204,"Yes"),2))</f>
        <v>0</v>
      </c>
      <c r="AF216" s="26">
        <f>IF(B216="","",IF(AD216="No",0,ROUND(SUMIFS(Payments!$G$5:$G$1204,Payments!$I$5:$I$1204,C216,Payments!$H$5:$H$1204,"",Payments!$Q$5:$Q$1204,"Yes"),2)))</f>
        <v>0</v>
      </c>
      <c r="AG216" s="26">
        <f>IF(B216="","",ROUND(AE216+AF216,2))</f>
        <v>0</v>
      </c>
      <c r="AH216" s="26">
        <f>IF(B216="","",ROUND(AA216-AG216,2))</f>
        <v>0</v>
      </c>
      <c r="AI216" s="39">
        <f>IF(B216="","",IF(AA216&lt;=0,"No charge",IF(AH216&lt;=0.004,"Paid",IF(AG216&lt;=0.004,"Unpaid","Part paid"))))</f>
        <v>0</v>
      </c>
      <c r="AJ216" s="38">
        <f>IF(B216="","",IF(H216&lt;&gt;"Service","",IF(D216="","No",IF(COUNTIFS($D$5:$D$1204,D216,$B$5:$B$1204,B216,$H$5:$H$1204,"Retail")&gt;0,"Yes","No"))))</f>
        <v>0</v>
      </c>
      <c r="AK216" s="25">
        <f>IF(B216="","",COUNTIFS($Y$5:$Y$1204,"&gt;"&amp;Y216)+COUNTIFS($Y$5:Y216,Y216))</f>
        <v>0</v>
      </c>
      <c r="AL216" s="39">
        <f>IF(B216="","",IF(H216="","Add - what kind of sale is this?",IF(IF(V216&lt;=0,P216="",FALSE),"Check - no price found for this item",IF(F216="","Assign - nobody credited",IF(AH216&gt;0.004,"Unpaid - balance outstanding",IF(AC216&lt;0,"Loss - sold below cost",IF(X216&gt;W216*0.5,"Check - more than half off","OK")))))))</f>
        <v>0</v>
      </c>
    </row>
    <row r="217" spans="1:38">
      <c r="A217" s="28">
        <f>IF(B217="","",SalePrefix&amp;TEXT(ROW()-4,"0000"))</f>
        <v>0</v>
      </c>
      <c r="E217" s="15">
        <f>IF(D217="","",IFERROR(INDEX(Clients!$B$5:$B$504,MATCH(D217,Clients!$A$5:$A$504,0)),"Walk-in"))</f>
        <v>0</v>
      </c>
      <c r="G217" s="15">
        <f>IF(F217="","",IFERROR(INDEX(Staff!$B$5:$B$44,MATCH(F217,Staff!$A$5:$A$44,0)),"House"))</f>
        <v>0</v>
      </c>
      <c r="R217" s="15">
        <f>IF(B217="","",TEXT(B217,"yyyy-mm"))</f>
        <v>0</v>
      </c>
      <c r="S217" s="25">
        <f>IF(B217="","",WEEKNUM(B217,2))</f>
        <v>0</v>
      </c>
      <c r="T217" s="37">
        <f>IF(B217="","",IF(K217="",1,K217))</f>
        <v>0</v>
      </c>
      <c r="U217" s="15">
        <f>IF(B217="","",IF(J217&lt;&gt;"",J217,IF(H217="Retail",IFERROR(INDEX(Inventory!$B$5:$B$304,MATCH(I217,Inventory!$A$5:$A$304,0))&amp;"","Not in Inventory"),IFERROR(INDEX(Services!$B$5:$B$204,MATCH(I217,Services!$A$5:$A$204,0))&amp;"","Not in Services"))))</f>
        <v>0</v>
      </c>
      <c r="V217" s="26">
        <f>IF(B217="","",IF(L217&lt;&gt;"",L217,IF(H217="Retail",IFERROR(INDEX(Inventory!$I$5:$I$304,MATCH(I217,Inventory!$A$5:$A$304,0))*1,0),IFERROR(INDEX(Services!$G$5:$G$204,MATCH(I217,Services!$A$5:$A$204,0))*1,0))))</f>
        <v>0</v>
      </c>
      <c r="W217" s="26">
        <f>IF(B217="","",ROUND(T217*V217,2))</f>
        <v>0</v>
      </c>
      <c r="X217" s="26">
        <f>IF(B217="","",ROUND(IF(M217="",0,W217*M217)+IF(N217="",0,N217),2))</f>
        <v>0</v>
      </c>
      <c r="Y217" s="26">
        <f>IF(B217="","",ROUND(W217-X217-IF(P217="",0,P217),2))</f>
        <v>0</v>
      </c>
      <c r="Z217" s="26">
        <f>IF(B217="","",IF(H217="Retail",IF(TaxOnRetail="Yes",ROUND(Y217*TaxRate,2),0),IF(H217="Service",IF(TaxOnServices="Yes",ROUND(Y217*TaxRate,2),0),0)))</f>
        <v>0</v>
      </c>
      <c r="AA217" s="26">
        <f>IF(B217="","",ROUND(Y217+Z217,2))</f>
        <v>0</v>
      </c>
      <c r="AB217" s="26">
        <f>IF(B217="","",ROUND(T217*IF(H217="Retail",IFERROR(INDEX(Inventory!$H$5:$H$304,MATCH(I217,Inventory!$A$5:$A$304,0))*1,0),IFERROR(INDEX(Services!$Q$5:$Q$204,MATCH(I217,Services!$A$5:$A$204,0))*1,0)),2))</f>
        <v>0</v>
      </c>
      <c r="AC217" s="26">
        <f>IF(B217="","",ROUND(Y217-AB217,2))</f>
        <v>0</v>
      </c>
      <c r="AD217" s="38">
        <f>IF(B217="","",IF(C217="","No",IF(COUNTIFS($C$5:C217,C217)=1,"Yes","No")))</f>
        <v>0</v>
      </c>
      <c r="AE217" s="26">
        <f>IF(B217="","",ROUND(SUMIFS(Payments!$G$5:$G$1204,Payments!$H$5:$H$1204,A217,Payments!$Q$5:$Q$1204,"Yes"),2))</f>
        <v>0</v>
      </c>
      <c r="AF217" s="26">
        <f>IF(B217="","",IF(AD217="No",0,ROUND(SUMIFS(Payments!$G$5:$G$1204,Payments!$I$5:$I$1204,C217,Payments!$H$5:$H$1204,"",Payments!$Q$5:$Q$1204,"Yes"),2)))</f>
        <v>0</v>
      </c>
      <c r="AG217" s="26">
        <f>IF(B217="","",ROUND(AE217+AF217,2))</f>
        <v>0</v>
      </c>
      <c r="AH217" s="26">
        <f>IF(B217="","",ROUND(AA217-AG217,2))</f>
        <v>0</v>
      </c>
      <c r="AI217" s="39">
        <f>IF(B217="","",IF(AA217&lt;=0,"No charge",IF(AH217&lt;=0.004,"Paid",IF(AG217&lt;=0.004,"Unpaid","Part paid"))))</f>
        <v>0</v>
      </c>
      <c r="AJ217" s="38">
        <f>IF(B217="","",IF(H217&lt;&gt;"Service","",IF(D217="","No",IF(COUNTIFS($D$5:$D$1204,D217,$B$5:$B$1204,B217,$H$5:$H$1204,"Retail")&gt;0,"Yes","No"))))</f>
        <v>0</v>
      </c>
      <c r="AK217" s="25">
        <f>IF(B217="","",COUNTIFS($Y$5:$Y$1204,"&gt;"&amp;Y217)+COUNTIFS($Y$5:Y217,Y217))</f>
        <v>0</v>
      </c>
      <c r="AL217" s="39">
        <f>IF(B217="","",IF(H217="","Add - what kind of sale is this?",IF(IF(V217&lt;=0,P217="",FALSE),"Check - no price found for this item",IF(F217="","Assign - nobody credited",IF(AH217&gt;0.004,"Unpaid - balance outstanding",IF(AC217&lt;0,"Loss - sold below cost",IF(X217&gt;W217*0.5,"Check - more than half off","OK")))))))</f>
        <v>0</v>
      </c>
    </row>
    <row r="218" spans="1:38">
      <c r="A218" s="28">
        <f>IF(B218="","",SalePrefix&amp;TEXT(ROW()-4,"0000"))</f>
        <v>0</v>
      </c>
      <c r="E218" s="15">
        <f>IF(D218="","",IFERROR(INDEX(Clients!$B$5:$B$504,MATCH(D218,Clients!$A$5:$A$504,0)),"Walk-in"))</f>
        <v>0</v>
      </c>
      <c r="G218" s="15">
        <f>IF(F218="","",IFERROR(INDEX(Staff!$B$5:$B$44,MATCH(F218,Staff!$A$5:$A$44,0)),"House"))</f>
        <v>0</v>
      </c>
      <c r="R218" s="15">
        <f>IF(B218="","",TEXT(B218,"yyyy-mm"))</f>
        <v>0</v>
      </c>
      <c r="S218" s="25">
        <f>IF(B218="","",WEEKNUM(B218,2))</f>
        <v>0</v>
      </c>
      <c r="T218" s="37">
        <f>IF(B218="","",IF(K218="",1,K218))</f>
        <v>0</v>
      </c>
      <c r="U218" s="15">
        <f>IF(B218="","",IF(J218&lt;&gt;"",J218,IF(H218="Retail",IFERROR(INDEX(Inventory!$B$5:$B$304,MATCH(I218,Inventory!$A$5:$A$304,0))&amp;"","Not in Inventory"),IFERROR(INDEX(Services!$B$5:$B$204,MATCH(I218,Services!$A$5:$A$204,0))&amp;"","Not in Services"))))</f>
        <v>0</v>
      </c>
      <c r="V218" s="26">
        <f>IF(B218="","",IF(L218&lt;&gt;"",L218,IF(H218="Retail",IFERROR(INDEX(Inventory!$I$5:$I$304,MATCH(I218,Inventory!$A$5:$A$304,0))*1,0),IFERROR(INDEX(Services!$G$5:$G$204,MATCH(I218,Services!$A$5:$A$204,0))*1,0))))</f>
        <v>0</v>
      </c>
      <c r="W218" s="26">
        <f>IF(B218="","",ROUND(T218*V218,2))</f>
        <v>0</v>
      </c>
      <c r="X218" s="26">
        <f>IF(B218="","",ROUND(IF(M218="",0,W218*M218)+IF(N218="",0,N218),2))</f>
        <v>0</v>
      </c>
      <c r="Y218" s="26">
        <f>IF(B218="","",ROUND(W218-X218-IF(P218="",0,P218),2))</f>
        <v>0</v>
      </c>
      <c r="Z218" s="26">
        <f>IF(B218="","",IF(H218="Retail",IF(TaxOnRetail="Yes",ROUND(Y218*TaxRate,2),0),IF(H218="Service",IF(TaxOnServices="Yes",ROUND(Y218*TaxRate,2),0),0)))</f>
        <v>0</v>
      </c>
      <c r="AA218" s="26">
        <f>IF(B218="","",ROUND(Y218+Z218,2))</f>
        <v>0</v>
      </c>
      <c r="AB218" s="26">
        <f>IF(B218="","",ROUND(T218*IF(H218="Retail",IFERROR(INDEX(Inventory!$H$5:$H$304,MATCH(I218,Inventory!$A$5:$A$304,0))*1,0),IFERROR(INDEX(Services!$Q$5:$Q$204,MATCH(I218,Services!$A$5:$A$204,0))*1,0)),2))</f>
        <v>0</v>
      </c>
      <c r="AC218" s="26">
        <f>IF(B218="","",ROUND(Y218-AB218,2))</f>
        <v>0</v>
      </c>
      <c r="AD218" s="38">
        <f>IF(B218="","",IF(C218="","No",IF(COUNTIFS($C$5:C218,C218)=1,"Yes","No")))</f>
        <v>0</v>
      </c>
      <c r="AE218" s="26">
        <f>IF(B218="","",ROUND(SUMIFS(Payments!$G$5:$G$1204,Payments!$H$5:$H$1204,A218,Payments!$Q$5:$Q$1204,"Yes"),2))</f>
        <v>0</v>
      </c>
      <c r="AF218" s="26">
        <f>IF(B218="","",IF(AD218="No",0,ROUND(SUMIFS(Payments!$G$5:$G$1204,Payments!$I$5:$I$1204,C218,Payments!$H$5:$H$1204,"",Payments!$Q$5:$Q$1204,"Yes"),2)))</f>
        <v>0</v>
      </c>
      <c r="AG218" s="26">
        <f>IF(B218="","",ROUND(AE218+AF218,2))</f>
        <v>0</v>
      </c>
      <c r="AH218" s="26">
        <f>IF(B218="","",ROUND(AA218-AG218,2))</f>
        <v>0</v>
      </c>
      <c r="AI218" s="39">
        <f>IF(B218="","",IF(AA218&lt;=0,"No charge",IF(AH218&lt;=0.004,"Paid",IF(AG218&lt;=0.004,"Unpaid","Part paid"))))</f>
        <v>0</v>
      </c>
      <c r="AJ218" s="38">
        <f>IF(B218="","",IF(H218&lt;&gt;"Service","",IF(D218="","No",IF(COUNTIFS($D$5:$D$1204,D218,$B$5:$B$1204,B218,$H$5:$H$1204,"Retail")&gt;0,"Yes","No"))))</f>
        <v>0</v>
      </c>
      <c r="AK218" s="25">
        <f>IF(B218="","",COUNTIFS($Y$5:$Y$1204,"&gt;"&amp;Y218)+COUNTIFS($Y$5:Y218,Y218))</f>
        <v>0</v>
      </c>
      <c r="AL218" s="39">
        <f>IF(B218="","",IF(H218="","Add - what kind of sale is this?",IF(IF(V218&lt;=0,P218="",FALSE),"Check - no price found for this item",IF(F218="","Assign - nobody credited",IF(AH218&gt;0.004,"Unpaid - balance outstanding",IF(AC218&lt;0,"Loss - sold below cost",IF(X218&gt;W218*0.5,"Check - more than half off","OK")))))))</f>
        <v>0</v>
      </c>
    </row>
    <row r="219" spans="1:38">
      <c r="A219" s="28">
        <f>IF(B219="","",SalePrefix&amp;TEXT(ROW()-4,"0000"))</f>
        <v>0</v>
      </c>
      <c r="E219" s="15">
        <f>IF(D219="","",IFERROR(INDEX(Clients!$B$5:$B$504,MATCH(D219,Clients!$A$5:$A$504,0)),"Walk-in"))</f>
        <v>0</v>
      </c>
      <c r="G219" s="15">
        <f>IF(F219="","",IFERROR(INDEX(Staff!$B$5:$B$44,MATCH(F219,Staff!$A$5:$A$44,0)),"House"))</f>
        <v>0</v>
      </c>
      <c r="R219" s="15">
        <f>IF(B219="","",TEXT(B219,"yyyy-mm"))</f>
        <v>0</v>
      </c>
      <c r="S219" s="25">
        <f>IF(B219="","",WEEKNUM(B219,2))</f>
        <v>0</v>
      </c>
      <c r="T219" s="37">
        <f>IF(B219="","",IF(K219="",1,K219))</f>
        <v>0</v>
      </c>
      <c r="U219" s="15">
        <f>IF(B219="","",IF(J219&lt;&gt;"",J219,IF(H219="Retail",IFERROR(INDEX(Inventory!$B$5:$B$304,MATCH(I219,Inventory!$A$5:$A$304,0))&amp;"","Not in Inventory"),IFERROR(INDEX(Services!$B$5:$B$204,MATCH(I219,Services!$A$5:$A$204,0))&amp;"","Not in Services"))))</f>
        <v>0</v>
      </c>
      <c r="V219" s="26">
        <f>IF(B219="","",IF(L219&lt;&gt;"",L219,IF(H219="Retail",IFERROR(INDEX(Inventory!$I$5:$I$304,MATCH(I219,Inventory!$A$5:$A$304,0))*1,0),IFERROR(INDEX(Services!$G$5:$G$204,MATCH(I219,Services!$A$5:$A$204,0))*1,0))))</f>
        <v>0</v>
      </c>
      <c r="W219" s="26">
        <f>IF(B219="","",ROUND(T219*V219,2))</f>
        <v>0</v>
      </c>
      <c r="X219" s="26">
        <f>IF(B219="","",ROUND(IF(M219="",0,W219*M219)+IF(N219="",0,N219),2))</f>
        <v>0</v>
      </c>
      <c r="Y219" s="26">
        <f>IF(B219="","",ROUND(W219-X219-IF(P219="",0,P219),2))</f>
        <v>0</v>
      </c>
      <c r="Z219" s="26">
        <f>IF(B219="","",IF(H219="Retail",IF(TaxOnRetail="Yes",ROUND(Y219*TaxRate,2),0),IF(H219="Service",IF(TaxOnServices="Yes",ROUND(Y219*TaxRate,2),0),0)))</f>
        <v>0</v>
      </c>
      <c r="AA219" s="26">
        <f>IF(B219="","",ROUND(Y219+Z219,2))</f>
        <v>0</v>
      </c>
      <c r="AB219" s="26">
        <f>IF(B219="","",ROUND(T219*IF(H219="Retail",IFERROR(INDEX(Inventory!$H$5:$H$304,MATCH(I219,Inventory!$A$5:$A$304,0))*1,0),IFERROR(INDEX(Services!$Q$5:$Q$204,MATCH(I219,Services!$A$5:$A$204,0))*1,0)),2))</f>
        <v>0</v>
      </c>
      <c r="AC219" s="26">
        <f>IF(B219="","",ROUND(Y219-AB219,2))</f>
        <v>0</v>
      </c>
      <c r="AD219" s="38">
        <f>IF(B219="","",IF(C219="","No",IF(COUNTIFS($C$5:C219,C219)=1,"Yes","No")))</f>
        <v>0</v>
      </c>
      <c r="AE219" s="26">
        <f>IF(B219="","",ROUND(SUMIFS(Payments!$G$5:$G$1204,Payments!$H$5:$H$1204,A219,Payments!$Q$5:$Q$1204,"Yes"),2))</f>
        <v>0</v>
      </c>
      <c r="AF219" s="26">
        <f>IF(B219="","",IF(AD219="No",0,ROUND(SUMIFS(Payments!$G$5:$G$1204,Payments!$I$5:$I$1204,C219,Payments!$H$5:$H$1204,"",Payments!$Q$5:$Q$1204,"Yes"),2)))</f>
        <v>0</v>
      </c>
      <c r="AG219" s="26">
        <f>IF(B219="","",ROUND(AE219+AF219,2))</f>
        <v>0</v>
      </c>
      <c r="AH219" s="26">
        <f>IF(B219="","",ROUND(AA219-AG219,2))</f>
        <v>0</v>
      </c>
      <c r="AI219" s="39">
        <f>IF(B219="","",IF(AA219&lt;=0,"No charge",IF(AH219&lt;=0.004,"Paid",IF(AG219&lt;=0.004,"Unpaid","Part paid"))))</f>
        <v>0</v>
      </c>
      <c r="AJ219" s="38">
        <f>IF(B219="","",IF(H219&lt;&gt;"Service","",IF(D219="","No",IF(COUNTIFS($D$5:$D$1204,D219,$B$5:$B$1204,B219,$H$5:$H$1204,"Retail")&gt;0,"Yes","No"))))</f>
        <v>0</v>
      </c>
      <c r="AK219" s="25">
        <f>IF(B219="","",COUNTIFS($Y$5:$Y$1204,"&gt;"&amp;Y219)+COUNTIFS($Y$5:Y219,Y219))</f>
        <v>0</v>
      </c>
      <c r="AL219" s="39">
        <f>IF(B219="","",IF(H219="","Add - what kind of sale is this?",IF(IF(V219&lt;=0,P219="",FALSE),"Check - no price found for this item",IF(F219="","Assign - nobody credited",IF(AH219&gt;0.004,"Unpaid - balance outstanding",IF(AC219&lt;0,"Loss - sold below cost",IF(X219&gt;W219*0.5,"Check - more than half off","OK")))))))</f>
        <v>0</v>
      </c>
    </row>
    <row r="220" spans="1:38">
      <c r="A220" s="28">
        <f>IF(B220="","",SalePrefix&amp;TEXT(ROW()-4,"0000"))</f>
        <v>0</v>
      </c>
      <c r="E220" s="15">
        <f>IF(D220="","",IFERROR(INDEX(Clients!$B$5:$B$504,MATCH(D220,Clients!$A$5:$A$504,0)),"Walk-in"))</f>
        <v>0</v>
      </c>
      <c r="G220" s="15">
        <f>IF(F220="","",IFERROR(INDEX(Staff!$B$5:$B$44,MATCH(F220,Staff!$A$5:$A$44,0)),"House"))</f>
        <v>0</v>
      </c>
      <c r="R220" s="15">
        <f>IF(B220="","",TEXT(B220,"yyyy-mm"))</f>
        <v>0</v>
      </c>
      <c r="S220" s="25">
        <f>IF(B220="","",WEEKNUM(B220,2))</f>
        <v>0</v>
      </c>
      <c r="T220" s="37">
        <f>IF(B220="","",IF(K220="",1,K220))</f>
        <v>0</v>
      </c>
      <c r="U220" s="15">
        <f>IF(B220="","",IF(J220&lt;&gt;"",J220,IF(H220="Retail",IFERROR(INDEX(Inventory!$B$5:$B$304,MATCH(I220,Inventory!$A$5:$A$304,0))&amp;"","Not in Inventory"),IFERROR(INDEX(Services!$B$5:$B$204,MATCH(I220,Services!$A$5:$A$204,0))&amp;"","Not in Services"))))</f>
        <v>0</v>
      </c>
      <c r="V220" s="26">
        <f>IF(B220="","",IF(L220&lt;&gt;"",L220,IF(H220="Retail",IFERROR(INDEX(Inventory!$I$5:$I$304,MATCH(I220,Inventory!$A$5:$A$304,0))*1,0),IFERROR(INDEX(Services!$G$5:$G$204,MATCH(I220,Services!$A$5:$A$204,0))*1,0))))</f>
        <v>0</v>
      </c>
      <c r="W220" s="26">
        <f>IF(B220="","",ROUND(T220*V220,2))</f>
        <v>0</v>
      </c>
      <c r="X220" s="26">
        <f>IF(B220="","",ROUND(IF(M220="",0,W220*M220)+IF(N220="",0,N220),2))</f>
        <v>0</v>
      </c>
      <c r="Y220" s="26">
        <f>IF(B220="","",ROUND(W220-X220-IF(P220="",0,P220),2))</f>
        <v>0</v>
      </c>
      <c r="Z220" s="26">
        <f>IF(B220="","",IF(H220="Retail",IF(TaxOnRetail="Yes",ROUND(Y220*TaxRate,2),0),IF(H220="Service",IF(TaxOnServices="Yes",ROUND(Y220*TaxRate,2),0),0)))</f>
        <v>0</v>
      </c>
      <c r="AA220" s="26">
        <f>IF(B220="","",ROUND(Y220+Z220,2))</f>
        <v>0</v>
      </c>
      <c r="AB220" s="26">
        <f>IF(B220="","",ROUND(T220*IF(H220="Retail",IFERROR(INDEX(Inventory!$H$5:$H$304,MATCH(I220,Inventory!$A$5:$A$304,0))*1,0),IFERROR(INDEX(Services!$Q$5:$Q$204,MATCH(I220,Services!$A$5:$A$204,0))*1,0)),2))</f>
        <v>0</v>
      </c>
      <c r="AC220" s="26">
        <f>IF(B220="","",ROUND(Y220-AB220,2))</f>
        <v>0</v>
      </c>
      <c r="AD220" s="38">
        <f>IF(B220="","",IF(C220="","No",IF(COUNTIFS($C$5:C220,C220)=1,"Yes","No")))</f>
        <v>0</v>
      </c>
      <c r="AE220" s="26">
        <f>IF(B220="","",ROUND(SUMIFS(Payments!$G$5:$G$1204,Payments!$H$5:$H$1204,A220,Payments!$Q$5:$Q$1204,"Yes"),2))</f>
        <v>0</v>
      </c>
      <c r="AF220" s="26">
        <f>IF(B220="","",IF(AD220="No",0,ROUND(SUMIFS(Payments!$G$5:$G$1204,Payments!$I$5:$I$1204,C220,Payments!$H$5:$H$1204,"",Payments!$Q$5:$Q$1204,"Yes"),2)))</f>
        <v>0</v>
      </c>
      <c r="AG220" s="26">
        <f>IF(B220="","",ROUND(AE220+AF220,2))</f>
        <v>0</v>
      </c>
      <c r="AH220" s="26">
        <f>IF(B220="","",ROUND(AA220-AG220,2))</f>
        <v>0</v>
      </c>
      <c r="AI220" s="39">
        <f>IF(B220="","",IF(AA220&lt;=0,"No charge",IF(AH220&lt;=0.004,"Paid",IF(AG220&lt;=0.004,"Unpaid","Part paid"))))</f>
        <v>0</v>
      </c>
      <c r="AJ220" s="38">
        <f>IF(B220="","",IF(H220&lt;&gt;"Service","",IF(D220="","No",IF(COUNTIFS($D$5:$D$1204,D220,$B$5:$B$1204,B220,$H$5:$H$1204,"Retail")&gt;0,"Yes","No"))))</f>
        <v>0</v>
      </c>
      <c r="AK220" s="25">
        <f>IF(B220="","",COUNTIFS($Y$5:$Y$1204,"&gt;"&amp;Y220)+COUNTIFS($Y$5:Y220,Y220))</f>
        <v>0</v>
      </c>
      <c r="AL220" s="39">
        <f>IF(B220="","",IF(H220="","Add - what kind of sale is this?",IF(IF(V220&lt;=0,P220="",FALSE),"Check - no price found for this item",IF(F220="","Assign - nobody credited",IF(AH220&gt;0.004,"Unpaid - balance outstanding",IF(AC220&lt;0,"Loss - sold below cost",IF(X220&gt;W220*0.5,"Check - more than half off","OK")))))))</f>
        <v>0</v>
      </c>
    </row>
    <row r="221" spans="1:38">
      <c r="A221" s="28">
        <f>IF(B221="","",SalePrefix&amp;TEXT(ROW()-4,"0000"))</f>
        <v>0</v>
      </c>
      <c r="E221" s="15">
        <f>IF(D221="","",IFERROR(INDEX(Clients!$B$5:$B$504,MATCH(D221,Clients!$A$5:$A$504,0)),"Walk-in"))</f>
        <v>0</v>
      </c>
      <c r="G221" s="15">
        <f>IF(F221="","",IFERROR(INDEX(Staff!$B$5:$B$44,MATCH(F221,Staff!$A$5:$A$44,0)),"House"))</f>
        <v>0</v>
      </c>
      <c r="R221" s="15">
        <f>IF(B221="","",TEXT(B221,"yyyy-mm"))</f>
        <v>0</v>
      </c>
      <c r="S221" s="25">
        <f>IF(B221="","",WEEKNUM(B221,2))</f>
        <v>0</v>
      </c>
      <c r="T221" s="37">
        <f>IF(B221="","",IF(K221="",1,K221))</f>
        <v>0</v>
      </c>
      <c r="U221" s="15">
        <f>IF(B221="","",IF(J221&lt;&gt;"",J221,IF(H221="Retail",IFERROR(INDEX(Inventory!$B$5:$B$304,MATCH(I221,Inventory!$A$5:$A$304,0))&amp;"","Not in Inventory"),IFERROR(INDEX(Services!$B$5:$B$204,MATCH(I221,Services!$A$5:$A$204,0))&amp;"","Not in Services"))))</f>
        <v>0</v>
      </c>
      <c r="V221" s="26">
        <f>IF(B221="","",IF(L221&lt;&gt;"",L221,IF(H221="Retail",IFERROR(INDEX(Inventory!$I$5:$I$304,MATCH(I221,Inventory!$A$5:$A$304,0))*1,0),IFERROR(INDEX(Services!$G$5:$G$204,MATCH(I221,Services!$A$5:$A$204,0))*1,0))))</f>
        <v>0</v>
      </c>
      <c r="W221" s="26">
        <f>IF(B221="","",ROUND(T221*V221,2))</f>
        <v>0</v>
      </c>
      <c r="X221" s="26">
        <f>IF(B221="","",ROUND(IF(M221="",0,W221*M221)+IF(N221="",0,N221),2))</f>
        <v>0</v>
      </c>
      <c r="Y221" s="26">
        <f>IF(B221="","",ROUND(W221-X221-IF(P221="",0,P221),2))</f>
        <v>0</v>
      </c>
      <c r="Z221" s="26">
        <f>IF(B221="","",IF(H221="Retail",IF(TaxOnRetail="Yes",ROUND(Y221*TaxRate,2),0),IF(H221="Service",IF(TaxOnServices="Yes",ROUND(Y221*TaxRate,2),0),0)))</f>
        <v>0</v>
      </c>
      <c r="AA221" s="26">
        <f>IF(B221="","",ROUND(Y221+Z221,2))</f>
        <v>0</v>
      </c>
      <c r="AB221" s="26">
        <f>IF(B221="","",ROUND(T221*IF(H221="Retail",IFERROR(INDEX(Inventory!$H$5:$H$304,MATCH(I221,Inventory!$A$5:$A$304,0))*1,0),IFERROR(INDEX(Services!$Q$5:$Q$204,MATCH(I221,Services!$A$5:$A$204,0))*1,0)),2))</f>
        <v>0</v>
      </c>
      <c r="AC221" s="26">
        <f>IF(B221="","",ROUND(Y221-AB221,2))</f>
        <v>0</v>
      </c>
      <c r="AD221" s="38">
        <f>IF(B221="","",IF(C221="","No",IF(COUNTIFS($C$5:C221,C221)=1,"Yes","No")))</f>
        <v>0</v>
      </c>
      <c r="AE221" s="26">
        <f>IF(B221="","",ROUND(SUMIFS(Payments!$G$5:$G$1204,Payments!$H$5:$H$1204,A221,Payments!$Q$5:$Q$1204,"Yes"),2))</f>
        <v>0</v>
      </c>
      <c r="AF221" s="26">
        <f>IF(B221="","",IF(AD221="No",0,ROUND(SUMIFS(Payments!$G$5:$G$1204,Payments!$I$5:$I$1204,C221,Payments!$H$5:$H$1204,"",Payments!$Q$5:$Q$1204,"Yes"),2)))</f>
        <v>0</v>
      </c>
      <c r="AG221" s="26">
        <f>IF(B221="","",ROUND(AE221+AF221,2))</f>
        <v>0</v>
      </c>
      <c r="AH221" s="26">
        <f>IF(B221="","",ROUND(AA221-AG221,2))</f>
        <v>0</v>
      </c>
      <c r="AI221" s="39">
        <f>IF(B221="","",IF(AA221&lt;=0,"No charge",IF(AH221&lt;=0.004,"Paid",IF(AG221&lt;=0.004,"Unpaid","Part paid"))))</f>
        <v>0</v>
      </c>
      <c r="AJ221" s="38">
        <f>IF(B221="","",IF(H221&lt;&gt;"Service","",IF(D221="","No",IF(COUNTIFS($D$5:$D$1204,D221,$B$5:$B$1204,B221,$H$5:$H$1204,"Retail")&gt;0,"Yes","No"))))</f>
        <v>0</v>
      </c>
      <c r="AK221" s="25">
        <f>IF(B221="","",COUNTIFS($Y$5:$Y$1204,"&gt;"&amp;Y221)+COUNTIFS($Y$5:Y221,Y221))</f>
        <v>0</v>
      </c>
      <c r="AL221" s="39">
        <f>IF(B221="","",IF(H221="","Add - what kind of sale is this?",IF(IF(V221&lt;=0,P221="",FALSE),"Check - no price found for this item",IF(F221="","Assign - nobody credited",IF(AH221&gt;0.004,"Unpaid - balance outstanding",IF(AC221&lt;0,"Loss - sold below cost",IF(X221&gt;W221*0.5,"Check - more than half off","OK")))))))</f>
        <v>0</v>
      </c>
    </row>
    <row r="222" spans="1:38">
      <c r="A222" s="28">
        <f>IF(B222="","",SalePrefix&amp;TEXT(ROW()-4,"0000"))</f>
        <v>0</v>
      </c>
      <c r="E222" s="15">
        <f>IF(D222="","",IFERROR(INDEX(Clients!$B$5:$B$504,MATCH(D222,Clients!$A$5:$A$504,0)),"Walk-in"))</f>
        <v>0</v>
      </c>
      <c r="G222" s="15">
        <f>IF(F222="","",IFERROR(INDEX(Staff!$B$5:$B$44,MATCH(F222,Staff!$A$5:$A$44,0)),"House"))</f>
        <v>0</v>
      </c>
      <c r="R222" s="15">
        <f>IF(B222="","",TEXT(B222,"yyyy-mm"))</f>
        <v>0</v>
      </c>
      <c r="S222" s="25">
        <f>IF(B222="","",WEEKNUM(B222,2))</f>
        <v>0</v>
      </c>
      <c r="T222" s="37">
        <f>IF(B222="","",IF(K222="",1,K222))</f>
        <v>0</v>
      </c>
      <c r="U222" s="15">
        <f>IF(B222="","",IF(J222&lt;&gt;"",J222,IF(H222="Retail",IFERROR(INDEX(Inventory!$B$5:$B$304,MATCH(I222,Inventory!$A$5:$A$304,0))&amp;"","Not in Inventory"),IFERROR(INDEX(Services!$B$5:$B$204,MATCH(I222,Services!$A$5:$A$204,0))&amp;"","Not in Services"))))</f>
        <v>0</v>
      </c>
      <c r="V222" s="26">
        <f>IF(B222="","",IF(L222&lt;&gt;"",L222,IF(H222="Retail",IFERROR(INDEX(Inventory!$I$5:$I$304,MATCH(I222,Inventory!$A$5:$A$304,0))*1,0),IFERROR(INDEX(Services!$G$5:$G$204,MATCH(I222,Services!$A$5:$A$204,0))*1,0))))</f>
        <v>0</v>
      </c>
      <c r="W222" s="26">
        <f>IF(B222="","",ROUND(T222*V222,2))</f>
        <v>0</v>
      </c>
      <c r="X222" s="26">
        <f>IF(B222="","",ROUND(IF(M222="",0,W222*M222)+IF(N222="",0,N222),2))</f>
        <v>0</v>
      </c>
      <c r="Y222" s="26">
        <f>IF(B222="","",ROUND(W222-X222-IF(P222="",0,P222),2))</f>
        <v>0</v>
      </c>
      <c r="Z222" s="26">
        <f>IF(B222="","",IF(H222="Retail",IF(TaxOnRetail="Yes",ROUND(Y222*TaxRate,2),0),IF(H222="Service",IF(TaxOnServices="Yes",ROUND(Y222*TaxRate,2),0),0)))</f>
        <v>0</v>
      </c>
      <c r="AA222" s="26">
        <f>IF(B222="","",ROUND(Y222+Z222,2))</f>
        <v>0</v>
      </c>
      <c r="AB222" s="26">
        <f>IF(B222="","",ROUND(T222*IF(H222="Retail",IFERROR(INDEX(Inventory!$H$5:$H$304,MATCH(I222,Inventory!$A$5:$A$304,0))*1,0),IFERROR(INDEX(Services!$Q$5:$Q$204,MATCH(I222,Services!$A$5:$A$204,0))*1,0)),2))</f>
        <v>0</v>
      </c>
      <c r="AC222" s="26">
        <f>IF(B222="","",ROUND(Y222-AB222,2))</f>
        <v>0</v>
      </c>
      <c r="AD222" s="38">
        <f>IF(B222="","",IF(C222="","No",IF(COUNTIFS($C$5:C222,C222)=1,"Yes","No")))</f>
        <v>0</v>
      </c>
      <c r="AE222" s="26">
        <f>IF(B222="","",ROUND(SUMIFS(Payments!$G$5:$G$1204,Payments!$H$5:$H$1204,A222,Payments!$Q$5:$Q$1204,"Yes"),2))</f>
        <v>0</v>
      </c>
      <c r="AF222" s="26">
        <f>IF(B222="","",IF(AD222="No",0,ROUND(SUMIFS(Payments!$G$5:$G$1204,Payments!$I$5:$I$1204,C222,Payments!$H$5:$H$1204,"",Payments!$Q$5:$Q$1204,"Yes"),2)))</f>
        <v>0</v>
      </c>
      <c r="AG222" s="26">
        <f>IF(B222="","",ROUND(AE222+AF222,2))</f>
        <v>0</v>
      </c>
      <c r="AH222" s="26">
        <f>IF(B222="","",ROUND(AA222-AG222,2))</f>
        <v>0</v>
      </c>
      <c r="AI222" s="39">
        <f>IF(B222="","",IF(AA222&lt;=0,"No charge",IF(AH222&lt;=0.004,"Paid",IF(AG222&lt;=0.004,"Unpaid","Part paid"))))</f>
        <v>0</v>
      </c>
      <c r="AJ222" s="38">
        <f>IF(B222="","",IF(H222&lt;&gt;"Service","",IF(D222="","No",IF(COUNTIFS($D$5:$D$1204,D222,$B$5:$B$1204,B222,$H$5:$H$1204,"Retail")&gt;0,"Yes","No"))))</f>
        <v>0</v>
      </c>
      <c r="AK222" s="25">
        <f>IF(B222="","",COUNTIFS($Y$5:$Y$1204,"&gt;"&amp;Y222)+COUNTIFS($Y$5:Y222,Y222))</f>
        <v>0</v>
      </c>
      <c r="AL222" s="39">
        <f>IF(B222="","",IF(H222="","Add - what kind of sale is this?",IF(IF(V222&lt;=0,P222="",FALSE),"Check - no price found for this item",IF(F222="","Assign - nobody credited",IF(AH222&gt;0.004,"Unpaid - balance outstanding",IF(AC222&lt;0,"Loss - sold below cost",IF(X222&gt;W222*0.5,"Check - more than half off","OK")))))))</f>
        <v>0</v>
      </c>
    </row>
    <row r="223" spans="1:38">
      <c r="A223" s="28">
        <f>IF(B223="","",SalePrefix&amp;TEXT(ROW()-4,"0000"))</f>
        <v>0</v>
      </c>
      <c r="E223" s="15">
        <f>IF(D223="","",IFERROR(INDEX(Clients!$B$5:$B$504,MATCH(D223,Clients!$A$5:$A$504,0)),"Walk-in"))</f>
        <v>0</v>
      </c>
      <c r="G223" s="15">
        <f>IF(F223="","",IFERROR(INDEX(Staff!$B$5:$B$44,MATCH(F223,Staff!$A$5:$A$44,0)),"House"))</f>
        <v>0</v>
      </c>
      <c r="R223" s="15">
        <f>IF(B223="","",TEXT(B223,"yyyy-mm"))</f>
        <v>0</v>
      </c>
      <c r="S223" s="25">
        <f>IF(B223="","",WEEKNUM(B223,2))</f>
        <v>0</v>
      </c>
      <c r="T223" s="37">
        <f>IF(B223="","",IF(K223="",1,K223))</f>
        <v>0</v>
      </c>
      <c r="U223" s="15">
        <f>IF(B223="","",IF(J223&lt;&gt;"",J223,IF(H223="Retail",IFERROR(INDEX(Inventory!$B$5:$B$304,MATCH(I223,Inventory!$A$5:$A$304,0))&amp;"","Not in Inventory"),IFERROR(INDEX(Services!$B$5:$B$204,MATCH(I223,Services!$A$5:$A$204,0))&amp;"","Not in Services"))))</f>
        <v>0</v>
      </c>
      <c r="V223" s="26">
        <f>IF(B223="","",IF(L223&lt;&gt;"",L223,IF(H223="Retail",IFERROR(INDEX(Inventory!$I$5:$I$304,MATCH(I223,Inventory!$A$5:$A$304,0))*1,0),IFERROR(INDEX(Services!$G$5:$G$204,MATCH(I223,Services!$A$5:$A$204,0))*1,0))))</f>
        <v>0</v>
      </c>
      <c r="W223" s="26">
        <f>IF(B223="","",ROUND(T223*V223,2))</f>
        <v>0</v>
      </c>
      <c r="X223" s="26">
        <f>IF(B223="","",ROUND(IF(M223="",0,W223*M223)+IF(N223="",0,N223),2))</f>
        <v>0</v>
      </c>
      <c r="Y223" s="26">
        <f>IF(B223="","",ROUND(W223-X223-IF(P223="",0,P223),2))</f>
        <v>0</v>
      </c>
      <c r="Z223" s="26">
        <f>IF(B223="","",IF(H223="Retail",IF(TaxOnRetail="Yes",ROUND(Y223*TaxRate,2),0),IF(H223="Service",IF(TaxOnServices="Yes",ROUND(Y223*TaxRate,2),0),0)))</f>
        <v>0</v>
      </c>
      <c r="AA223" s="26">
        <f>IF(B223="","",ROUND(Y223+Z223,2))</f>
        <v>0</v>
      </c>
      <c r="AB223" s="26">
        <f>IF(B223="","",ROUND(T223*IF(H223="Retail",IFERROR(INDEX(Inventory!$H$5:$H$304,MATCH(I223,Inventory!$A$5:$A$304,0))*1,0),IFERROR(INDEX(Services!$Q$5:$Q$204,MATCH(I223,Services!$A$5:$A$204,0))*1,0)),2))</f>
        <v>0</v>
      </c>
      <c r="AC223" s="26">
        <f>IF(B223="","",ROUND(Y223-AB223,2))</f>
        <v>0</v>
      </c>
      <c r="AD223" s="38">
        <f>IF(B223="","",IF(C223="","No",IF(COUNTIFS($C$5:C223,C223)=1,"Yes","No")))</f>
        <v>0</v>
      </c>
      <c r="AE223" s="26">
        <f>IF(B223="","",ROUND(SUMIFS(Payments!$G$5:$G$1204,Payments!$H$5:$H$1204,A223,Payments!$Q$5:$Q$1204,"Yes"),2))</f>
        <v>0</v>
      </c>
      <c r="AF223" s="26">
        <f>IF(B223="","",IF(AD223="No",0,ROUND(SUMIFS(Payments!$G$5:$G$1204,Payments!$I$5:$I$1204,C223,Payments!$H$5:$H$1204,"",Payments!$Q$5:$Q$1204,"Yes"),2)))</f>
        <v>0</v>
      </c>
      <c r="AG223" s="26">
        <f>IF(B223="","",ROUND(AE223+AF223,2))</f>
        <v>0</v>
      </c>
      <c r="AH223" s="26">
        <f>IF(B223="","",ROUND(AA223-AG223,2))</f>
        <v>0</v>
      </c>
      <c r="AI223" s="39">
        <f>IF(B223="","",IF(AA223&lt;=0,"No charge",IF(AH223&lt;=0.004,"Paid",IF(AG223&lt;=0.004,"Unpaid","Part paid"))))</f>
        <v>0</v>
      </c>
      <c r="AJ223" s="38">
        <f>IF(B223="","",IF(H223&lt;&gt;"Service","",IF(D223="","No",IF(COUNTIFS($D$5:$D$1204,D223,$B$5:$B$1204,B223,$H$5:$H$1204,"Retail")&gt;0,"Yes","No"))))</f>
        <v>0</v>
      </c>
      <c r="AK223" s="25">
        <f>IF(B223="","",COUNTIFS($Y$5:$Y$1204,"&gt;"&amp;Y223)+COUNTIFS($Y$5:Y223,Y223))</f>
        <v>0</v>
      </c>
      <c r="AL223" s="39">
        <f>IF(B223="","",IF(H223="","Add - what kind of sale is this?",IF(IF(V223&lt;=0,P223="",FALSE),"Check - no price found for this item",IF(F223="","Assign - nobody credited",IF(AH223&gt;0.004,"Unpaid - balance outstanding",IF(AC223&lt;0,"Loss - sold below cost",IF(X223&gt;W223*0.5,"Check - more than half off","OK")))))))</f>
        <v>0</v>
      </c>
    </row>
    <row r="224" spans="1:38">
      <c r="A224" s="28">
        <f>IF(B224="","",SalePrefix&amp;TEXT(ROW()-4,"0000"))</f>
        <v>0</v>
      </c>
      <c r="E224" s="15">
        <f>IF(D224="","",IFERROR(INDEX(Clients!$B$5:$B$504,MATCH(D224,Clients!$A$5:$A$504,0)),"Walk-in"))</f>
        <v>0</v>
      </c>
      <c r="G224" s="15">
        <f>IF(F224="","",IFERROR(INDEX(Staff!$B$5:$B$44,MATCH(F224,Staff!$A$5:$A$44,0)),"House"))</f>
        <v>0</v>
      </c>
      <c r="R224" s="15">
        <f>IF(B224="","",TEXT(B224,"yyyy-mm"))</f>
        <v>0</v>
      </c>
      <c r="S224" s="25">
        <f>IF(B224="","",WEEKNUM(B224,2))</f>
        <v>0</v>
      </c>
      <c r="T224" s="37">
        <f>IF(B224="","",IF(K224="",1,K224))</f>
        <v>0</v>
      </c>
      <c r="U224" s="15">
        <f>IF(B224="","",IF(J224&lt;&gt;"",J224,IF(H224="Retail",IFERROR(INDEX(Inventory!$B$5:$B$304,MATCH(I224,Inventory!$A$5:$A$304,0))&amp;"","Not in Inventory"),IFERROR(INDEX(Services!$B$5:$B$204,MATCH(I224,Services!$A$5:$A$204,0))&amp;"","Not in Services"))))</f>
        <v>0</v>
      </c>
      <c r="V224" s="26">
        <f>IF(B224="","",IF(L224&lt;&gt;"",L224,IF(H224="Retail",IFERROR(INDEX(Inventory!$I$5:$I$304,MATCH(I224,Inventory!$A$5:$A$304,0))*1,0),IFERROR(INDEX(Services!$G$5:$G$204,MATCH(I224,Services!$A$5:$A$204,0))*1,0))))</f>
        <v>0</v>
      </c>
      <c r="W224" s="26">
        <f>IF(B224="","",ROUND(T224*V224,2))</f>
        <v>0</v>
      </c>
      <c r="X224" s="26">
        <f>IF(B224="","",ROUND(IF(M224="",0,W224*M224)+IF(N224="",0,N224),2))</f>
        <v>0</v>
      </c>
      <c r="Y224" s="26">
        <f>IF(B224="","",ROUND(W224-X224-IF(P224="",0,P224),2))</f>
        <v>0</v>
      </c>
      <c r="Z224" s="26">
        <f>IF(B224="","",IF(H224="Retail",IF(TaxOnRetail="Yes",ROUND(Y224*TaxRate,2),0),IF(H224="Service",IF(TaxOnServices="Yes",ROUND(Y224*TaxRate,2),0),0)))</f>
        <v>0</v>
      </c>
      <c r="AA224" s="26">
        <f>IF(B224="","",ROUND(Y224+Z224,2))</f>
        <v>0</v>
      </c>
      <c r="AB224" s="26">
        <f>IF(B224="","",ROUND(T224*IF(H224="Retail",IFERROR(INDEX(Inventory!$H$5:$H$304,MATCH(I224,Inventory!$A$5:$A$304,0))*1,0),IFERROR(INDEX(Services!$Q$5:$Q$204,MATCH(I224,Services!$A$5:$A$204,0))*1,0)),2))</f>
        <v>0</v>
      </c>
      <c r="AC224" s="26">
        <f>IF(B224="","",ROUND(Y224-AB224,2))</f>
        <v>0</v>
      </c>
      <c r="AD224" s="38">
        <f>IF(B224="","",IF(C224="","No",IF(COUNTIFS($C$5:C224,C224)=1,"Yes","No")))</f>
        <v>0</v>
      </c>
      <c r="AE224" s="26">
        <f>IF(B224="","",ROUND(SUMIFS(Payments!$G$5:$G$1204,Payments!$H$5:$H$1204,A224,Payments!$Q$5:$Q$1204,"Yes"),2))</f>
        <v>0</v>
      </c>
      <c r="AF224" s="26">
        <f>IF(B224="","",IF(AD224="No",0,ROUND(SUMIFS(Payments!$G$5:$G$1204,Payments!$I$5:$I$1204,C224,Payments!$H$5:$H$1204,"",Payments!$Q$5:$Q$1204,"Yes"),2)))</f>
        <v>0</v>
      </c>
      <c r="AG224" s="26">
        <f>IF(B224="","",ROUND(AE224+AF224,2))</f>
        <v>0</v>
      </c>
      <c r="AH224" s="26">
        <f>IF(B224="","",ROUND(AA224-AG224,2))</f>
        <v>0</v>
      </c>
      <c r="AI224" s="39">
        <f>IF(B224="","",IF(AA224&lt;=0,"No charge",IF(AH224&lt;=0.004,"Paid",IF(AG224&lt;=0.004,"Unpaid","Part paid"))))</f>
        <v>0</v>
      </c>
      <c r="AJ224" s="38">
        <f>IF(B224="","",IF(H224&lt;&gt;"Service","",IF(D224="","No",IF(COUNTIFS($D$5:$D$1204,D224,$B$5:$B$1204,B224,$H$5:$H$1204,"Retail")&gt;0,"Yes","No"))))</f>
        <v>0</v>
      </c>
      <c r="AK224" s="25">
        <f>IF(B224="","",COUNTIFS($Y$5:$Y$1204,"&gt;"&amp;Y224)+COUNTIFS($Y$5:Y224,Y224))</f>
        <v>0</v>
      </c>
      <c r="AL224" s="39">
        <f>IF(B224="","",IF(H224="","Add - what kind of sale is this?",IF(IF(V224&lt;=0,P224="",FALSE),"Check - no price found for this item",IF(F224="","Assign - nobody credited",IF(AH224&gt;0.004,"Unpaid - balance outstanding",IF(AC224&lt;0,"Loss - sold below cost",IF(X224&gt;W224*0.5,"Check - more than half off","OK")))))))</f>
        <v>0</v>
      </c>
    </row>
    <row r="225" spans="1:38">
      <c r="A225" s="28">
        <f>IF(B225="","",SalePrefix&amp;TEXT(ROW()-4,"0000"))</f>
        <v>0</v>
      </c>
      <c r="E225" s="15">
        <f>IF(D225="","",IFERROR(INDEX(Clients!$B$5:$B$504,MATCH(D225,Clients!$A$5:$A$504,0)),"Walk-in"))</f>
        <v>0</v>
      </c>
      <c r="G225" s="15">
        <f>IF(F225="","",IFERROR(INDEX(Staff!$B$5:$B$44,MATCH(F225,Staff!$A$5:$A$44,0)),"House"))</f>
        <v>0</v>
      </c>
      <c r="R225" s="15">
        <f>IF(B225="","",TEXT(B225,"yyyy-mm"))</f>
        <v>0</v>
      </c>
      <c r="S225" s="25">
        <f>IF(B225="","",WEEKNUM(B225,2))</f>
        <v>0</v>
      </c>
      <c r="T225" s="37">
        <f>IF(B225="","",IF(K225="",1,K225))</f>
        <v>0</v>
      </c>
      <c r="U225" s="15">
        <f>IF(B225="","",IF(J225&lt;&gt;"",J225,IF(H225="Retail",IFERROR(INDEX(Inventory!$B$5:$B$304,MATCH(I225,Inventory!$A$5:$A$304,0))&amp;"","Not in Inventory"),IFERROR(INDEX(Services!$B$5:$B$204,MATCH(I225,Services!$A$5:$A$204,0))&amp;"","Not in Services"))))</f>
        <v>0</v>
      </c>
      <c r="V225" s="26">
        <f>IF(B225="","",IF(L225&lt;&gt;"",L225,IF(H225="Retail",IFERROR(INDEX(Inventory!$I$5:$I$304,MATCH(I225,Inventory!$A$5:$A$304,0))*1,0),IFERROR(INDEX(Services!$G$5:$G$204,MATCH(I225,Services!$A$5:$A$204,0))*1,0))))</f>
        <v>0</v>
      </c>
      <c r="W225" s="26">
        <f>IF(B225="","",ROUND(T225*V225,2))</f>
        <v>0</v>
      </c>
      <c r="X225" s="26">
        <f>IF(B225="","",ROUND(IF(M225="",0,W225*M225)+IF(N225="",0,N225),2))</f>
        <v>0</v>
      </c>
      <c r="Y225" s="26">
        <f>IF(B225="","",ROUND(W225-X225-IF(P225="",0,P225),2))</f>
        <v>0</v>
      </c>
      <c r="Z225" s="26">
        <f>IF(B225="","",IF(H225="Retail",IF(TaxOnRetail="Yes",ROUND(Y225*TaxRate,2),0),IF(H225="Service",IF(TaxOnServices="Yes",ROUND(Y225*TaxRate,2),0),0)))</f>
        <v>0</v>
      </c>
      <c r="AA225" s="26">
        <f>IF(B225="","",ROUND(Y225+Z225,2))</f>
        <v>0</v>
      </c>
      <c r="AB225" s="26">
        <f>IF(B225="","",ROUND(T225*IF(H225="Retail",IFERROR(INDEX(Inventory!$H$5:$H$304,MATCH(I225,Inventory!$A$5:$A$304,0))*1,0),IFERROR(INDEX(Services!$Q$5:$Q$204,MATCH(I225,Services!$A$5:$A$204,0))*1,0)),2))</f>
        <v>0</v>
      </c>
      <c r="AC225" s="26">
        <f>IF(B225="","",ROUND(Y225-AB225,2))</f>
        <v>0</v>
      </c>
      <c r="AD225" s="38">
        <f>IF(B225="","",IF(C225="","No",IF(COUNTIFS($C$5:C225,C225)=1,"Yes","No")))</f>
        <v>0</v>
      </c>
      <c r="AE225" s="26">
        <f>IF(B225="","",ROUND(SUMIFS(Payments!$G$5:$G$1204,Payments!$H$5:$H$1204,A225,Payments!$Q$5:$Q$1204,"Yes"),2))</f>
        <v>0</v>
      </c>
      <c r="AF225" s="26">
        <f>IF(B225="","",IF(AD225="No",0,ROUND(SUMIFS(Payments!$G$5:$G$1204,Payments!$I$5:$I$1204,C225,Payments!$H$5:$H$1204,"",Payments!$Q$5:$Q$1204,"Yes"),2)))</f>
        <v>0</v>
      </c>
      <c r="AG225" s="26">
        <f>IF(B225="","",ROUND(AE225+AF225,2))</f>
        <v>0</v>
      </c>
      <c r="AH225" s="26">
        <f>IF(B225="","",ROUND(AA225-AG225,2))</f>
        <v>0</v>
      </c>
      <c r="AI225" s="39">
        <f>IF(B225="","",IF(AA225&lt;=0,"No charge",IF(AH225&lt;=0.004,"Paid",IF(AG225&lt;=0.004,"Unpaid","Part paid"))))</f>
        <v>0</v>
      </c>
      <c r="AJ225" s="38">
        <f>IF(B225="","",IF(H225&lt;&gt;"Service","",IF(D225="","No",IF(COUNTIFS($D$5:$D$1204,D225,$B$5:$B$1204,B225,$H$5:$H$1204,"Retail")&gt;0,"Yes","No"))))</f>
        <v>0</v>
      </c>
      <c r="AK225" s="25">
        <f>IF(B225="","",COUNTIFS($Y$5:$Y$1204,"&gt;"&amp;Y225)+COUNTIFS($Y$5:Y225,Y225))</f>
        <v>0</v>
      </c>
      <c r="AL225" s="39">
        <f>IF(B225="","",IF(H225="","Add - what kind of sale is this?",IF(IF(V225&lt;=0,P225="",FALSE),"Check - no price found for this item",IF(F225="","Assign - nobody credited",IF(AH225&gt;0.004,"Unpaid - balance outstanding",IF(AC225&lt;0,"Loss - sold below cost",IF(X225&gt;W225*0.5,"Check - more than half off","OK")))))))</f>
        <v>0</v>
      </c>
    </row>
    <row r="226" spans="1:38">
      <c r="A226" s="28">
        <f>IF(B226="","",SalePrefix&amp;TEXT(ROW()-4,"0000"))</f>
        <v>0</v>
      </c>
      <c r="E226" s="15">
        <f>IF(D226="","",IFERROR(INDEX(Clients!$B$5:$B$504,MATCH(D226,Clients!$A$5:$A$504,0)),"Walk-in"))</f>
        <v>0</v>
      </c>
      <c r="G226" s="15">
        <f>IF(F226="","",IFERROR(INDEX(Staff!$B$5:$B$44,MATCH(F226,Staff!$A$5:$A$44,0)),"House"))</f>
        <v>0</v>
      </c>
      <c r="R226" s="15">
        <f>IF(B226="","",TEXT(B226,"yyyy-mm"))</f>
        <v>0</v>
      </c>
      <c r="S226" s="25">
        <f>IF(B226="","",WEEKNUM(B226,2))</f>
        <v>0</v>
      </c>
      <c r="T226" s="37">
        <f>IF(B226="","",IF(K226="",1,K226))</f>
        <v>0</v>
      </c>
      <c r="U226" s="15">
        <f>IF(B226="","",IF(J226&lt;&gt;"",J226,IF(H226="Retail",IFERROR(INDEX(Inventory!$B$5:$B$304,MATCH(I226,Inventory!$A$5:$A$304,0))&amp;"","Not in Inventory"),IFERROR(INDEX(Services!$B$5:$B$204,MATCH(I226,Services!$A$5:$A$204,0))&amp;"","Not in Services"))))</f>
        <v>0</v>
      </c>
      <c r="V226" s="26">
        <f>IF(B226="","",IF(L226&lt;&gt;"",L226,IF(H226="Retail",IFERROR(INDEX(Inventory!$I$5:$I$304,MATCH(I226,Inventory!$A$5:$A$304,0))*1,0),IFERROR(INDEX(Services!$G$5:$G$204,MATCH(I226,Services!$A$5:$A$204,0))*1,0))))</f>
        <v>0</v>
      </c>
      <c r="W226" s="26">
        <f>IF(B226="","",ROUND(T226*V226,2))</f>
        <v>0</v>
      </c>
      <c r="X226" s="26">
        <f>IF(B226="","",ROUND(IF(M226="",0,W226*M226)+IF(N226="",0,N226),2))</f>
        <v>0</v>
      </c>
      <c r="Y226" s="26">
        <f>IF(B226="","",ROUND(W226-X226-IF(P226="",0,P226),2))</f>
        <v>0</v>
      </c>
      <c r="Z226" s="26">
        <f>IF(B226="","",IF(H226="Retail",IF(TaxOnRetail="Yes",ROUND(Y226*TaxRate,2),0),IF(H226="Service",IF(TaxOnServices="Yes",ROUND(Y226*TaxRate,2),0),0)))</f>
        <v>0</v>
      </c>
      <c r="AA226" s="26">
        <f>IF(B226="","",ROUND(Y226+Z226,2))</f>
        <v>0</v>
      </c>
      <c r="AB226" s="26">
        <f>IF(B226="","",ROUND(T226*IF(H226="Retail",IFERROR(INDEX(Inventory!$H$5:$H$304,MATCH(I226,Inventory!$A$5:$A$304,0))*1,0),IFERROR(INDEX(Services!$Q$5:$Q$204,MATCH(I226,Services!$A$5:$A$204,0))*1,0)),2))</f>
        <v>0</v>
      </c>
      <c r="AC226" s="26">
        <f>IF(B226="","",ROUND(Y226-AB226,2))</f>
        <v>0</v>
      </c>
      <c r="AD226" s="38">
        <f>IF(B226="","",IF(C226="","No",IF(COUNTIFS($C$5:C226,C226)=1,"Yes","No")))</f>
        <v>0</v>
      </c>
      <c r="AE226" s="26">
        <f>IF(B226="","",ROUND(SUMIFS(Payments!$G$5:$G$1204,Payments!$H$5:$H$1204,A226,Payments!$Q$5:$Q$1204,"Yes"),2))</f>
        <v>0</v>
      </c>
      <c r="AF226" s="26">
        <f>IF(B226="","",IF(AD226="No",0,ROUND(SUMIFS(Payments!$G$5:$G$1204,Payments!$I$5:$I$1204,C226,Payments!$H$5:$H$1204,"",Payments!$Q$5:$Q$1204,"Yes"),2)))</f>
        <v>0</v>
      </c>
      <c r="AG226" s="26">
        <f>IF(B226="","",ROUND(AE226+AF226,2))</f>
        <v>0</v>
      </c>
      <c r="AH226" s="26">
        <f>IF(B226="","",ROUND(AA226-AG226,2))</f>
        <v>0</v>
      </c>
      <c r="AI226" s="39">
        <f>IF(B226="","",IF(AA226&lt;=0,"No charge",IF(AH226&lt;=0.004,"Paid",IF(AG226&lt;=0.004,"Unpaid","Part paid"))))</f>
        <v>0</v>
      </c>
      <c r="AJ226" s="38">
        <f>IF(B226="","",IF(H226&lt;&gt;"Service","",IF(D226="","No",IF(COUNTIFS($D$5:$D$1204,D226,$B$5:$B$1204,B226,$H$5:$H$1204,"Retail")&gt;0,"Yes","No"))))</f>
        <v>0</v>
      </c>
      <c r="AK226" s="25">
        <f>IF(B226="","",COUNTIFS($Y$5:$Y$1204,"&gt;"&amp;Y226)+COUNTIFS($Y$5:Y226,Y226))</f>
        <v>0</v>
      </c>
      <c r="AL226" s="39">
        <f>IF(B226="","",IF(H226="","Add - what kind of sale is this?",IF(IF(V226&lt;=0,P226="",FALSE),"Check - no price found for this item",IF(F226="","Assign - nobody credited",IF(AH226&gt;0.004,"Unpaid - balance outstanding",IF(AC226&lt;0,"Loss - sold below cost",IF(X226&gt;W226*0.5,"Check - more than half off","OK")))))))</f>
        <v>0</v>
      </c>
    </row>
    <row r="227" spans="1:38">
      <c r="A227" s="28">
        <f>IF(B227="","",SalePrefix&amp;TEXT(ROW()-4,"0000"))</f>
        <v>0</v>
      </c>
      <c r="E227" s="15">
        <f>IF(D227="","",IFERROR(INDEX(Clients!$B$5:$B$504,MATCH(D227,Clients!$A$5:$A$504,0)),"Walk-in"))</f>
        <v>0</v>
      </c>
      <c r="G227" s="15">
        <f>IF(F227="","",IFERROR(INDEX(Staff!$B$5:$B$44,MATCH(F227,Staff!$A$5:$A$44,0)),"House"))</f>
        <v>0</v>
      </c>
      <c r="R227" s="15">
        <f>IF(B227="","",TEXT(B227,"yyyy-mm"))</f>
        <v>0</v>
      </c>
      <c r="S227" s="25">
        <f>IF(B227="","",WEEKNUM(B227,2))</f>
        <v>0</v>
      </c>
      <c r="T227" s="37">
        <f>IF(B227="","",IF(K227="",1,K227))</f>
        <v>0</v>
      </c>
      <c r="U227" s="15">
        <f>IF(B227="","",IF(J227&lt;&gt;"",J227,IF(H227="Retail",IFERROR(INDEX(Inventory!$B$5:$B$304,MATCH(I227,Inventory!$A$5:$A$304,0))&amp;"","Not in Inventory"),IFERROR(INDEX(Services!$B$5:$B$204,MATCH(I227,Services!$A$5:$A$204,0))&amp;"","Not in Services"))))</f>
        <v>0</v>
      </c>
      <c r="V227" s="26">
        <f>IF(B227="","",IF(L227&lt;&gt;"",L227,IF(H227="Retail",IFERROR(INDEX(Inventory!$I$5:$I$304,MATCH(I227,Inventory!$A$5:$A$304,0))*1,0),IFERROR(INDEX(Services!$G$5:$G$204,MATCH(I227,Services!$A$5:$A$204,0))*1,0))))</f>
        <v>0</v>
      </c>
      <c r="W227" s="26">
        <f>IF(B227="","",ROUND(T227*V227,2))</f>
        <v>0</v>
      </c>
      <c r="X227" s="26">
        <f>IF(B227="","",ROUND(IF(M227="",0,W227*M227)+IF(N227="",0,N227),2))</f>
        <v>0</v>
      </c>
      <c r="Y227" s="26">
        <f>IF(B227="","",ROUND(W227-X227-IF(P227="",0,P227),2))</f>
        <v>0</v>
      </c>
      <c r="Z227" s="26">
        <f>IF(B227="","",IF(H227="Retail",IF(TaxOnRetail="Yes",ROUND(Y227*TaxRate,2),0),IF(H227="Service",IF(TaxOnServices="Yes",ROUND(Y227*TaxRate,2),0),0)))</f>
        <v>0</v>
      </c>
      <c r="AA227" s="26">
        <f>IF(B227="","",ROUND(Y227+Z227,2))</f>
        <v>0</v>
      </c>
      <c r="AB227" s="26">
        <f>IF(B227="","",ROUND(T227*IF(H227="Retail",IFERROR(INDEX(Inventory!$H$5:$H$304,MATCH(I227,Inventory!$A$5:$A$304,0))*1,0),IFERROR(INDEX(Services!$Q$5:$Q$204,MATCH(I227,Services!$A$5:$A$204,0))*1,0)),2))</f>
        <v>0</v>
      </c>
      <c r="AC227" s="26">
        <f>IF(B227="","",ROUND(Y227-AB227,2))</f>
        <v>0</v>
      </c>
      <c r="AD227" s="38">
        <f>IF(B227="","",IF(C227="","No",IF(COUNTIFS($C$5:C227,C227)=1,"Yes","No")))</f>
        <v>0</v>
      </c>
      <c r="AE227" s="26">
        <f>IF(B227="","",ROUND(SUMIFS(Payments!$G$5:$G$1204,Payments!$H$5:$H$1204,A227,Payments!$Q$5:$Q$1204,"Yes"),2))</f>
        <v>0</v>
      </c>
      <c r="AF227" s="26">
        <f>IF(B227="","",IF(AD227="No",0,ROUND(SUMIFS(Payments!$G$5:$G$1204,Payments!$I$5:$I$1204,C227,Payments!$H$5:$H$1204,"",Payments!$Q$5:$Q$1204,"Yes"),2)))</f>
        <v>0</v>
      </c>
      <c r="AG227" s="26">
        <f>IF(B227="","",ROUND(AE227+AF227,2))</f>
        <v>0</v>
      </c>
      <c r="AH227" s="26">
        <f>IF(B227="","",ROUND(AA227-AG227,2))</f>
        <v>0</v>
      </c>
      <c r="AI227" s="39">
        <f>IF(B227="","",IF(AA227&lt;=0,"No charge",IF(AH227&lt;=0.004,"Paid",IF(AG227&lt;=0.004,"Unpaid","Part paid"))))</f>
        <v>0</v>
      </c>
      <c r="AJ227" s="38">
        <f>IF(B227="","",IF(H227&lt;&gt;"Service","",IF(D227="","No",IF(COUNTIFS($D$5:$D$1204,D227,$B$5:$B$1204,B227,$H$5:$H$1204,"Retail")&gt;0,"Yes","No"))))</f>
        <v>0</v>
      </c>
      <c r="AK227" s="25">
        <f>IF(B227="","",COUNTIFS($Y$5:$Y$1204,"&gt;"&amp;Y227)+COUNTIFS($Y$5:Y227,Y227))</f>
        <v>0</v>
      </c>
      <c r="AL227" s="39">
        <f>IF(B227="","",IF(H227="","Add - what kind of sale is this?",IF(IF(V227&lt;=0,P227="",FALSE),"Check - no price found for this item",IF(F227="","Assign - nobody credited",IF(AH227&gt;0.004,"Unpaid - balance outstanding",IF(AC227&lt;0,"Loss - sold below cost",IF(X227&gt;W227*0.5,"Check - more than half off","OK")))))))</f>
        <v>0</v>
      </c>
    </row>
    <row r="228" spans="1:38">
      <c r="A228" s="28">
        <f>IF(B228="","",SalePrefix&amp;TEXT(ROW()-4,"0000"))</f>
        <v>0</v>
      </c>
      <c r="E228" s="15">
        <f>IF(D228="","",IFERROR(INDEX(Clients!$B$5:$B$504,MATCH(D228,Clients!$A$5:$A$504,0)),"Walk-in"))</f>
        <v>0</v>
      </c>
      <c r="G228" s="15">
        <f>IF(F228="","",IFERROR(INDEX(Staff!$B$5:$B$44,MATCH(F228,Staff!$A$5:$A$44,0)),"House"))</f>
        <v>0</v>
      </c>
      <c r="R228" s="15">
        <f>IF(B228="","",TEXT(B228,"yyyy-mm"))</f>
        <v>0</v>
      </c>
      <c r="S228" s="25">
        <f>IF(B228="","",WEEKNUM(B228,2))</f>
        <v>0</v>
      </c>
      <c r="T228" s="37">
        <f>IF(B228="","",IF(K228="",1,K228))</f>
        <v>0</v>
      </c>
      <c r="U228" s="15">
        <f>IF(B228="","",IF(J228&lt;&gt;"",J228,IF(H228="Retail",IFERROR(INDEX(Inventory!$B$5:$B$304,MATCH(I228,Inventory!$A$5:$A$304,0))&amp;"","Not in Inventory"),IFERROR(INDEX(Services!$B$5:$B$204,MATCH(I228,Services!$A$5:$A$204,0))&amp;"","Not in Services"))))</f>
        <v>0</v>
      </c>
      <c r="V228" s="26">
        <f>IF(B228="","",IF(L228&lt;&gt;"",L228,IF(H228="Retail",IFERROR(INDEX(Inventory!$I$5:$I$304,MATCH(I228,Inventory!$A$5:$A$304,0))*1,0),IFERROR(INDEX(Services!$G$5:$G$204,MATCH(I228,Services!$A$5:$A$204,0))*1,0))))</f>
        <v>0</v>
      </c>
      <c r="W228" s="26">
        <f>IF(B228="","",ROUND(T228*V228,2))</f>
        <v>0</v>
      </c>
      <c r="X228" s="26">
        <f>IF(B228="","",ROUND(IF(M228="",0,W228*M228)+IF(N228="",0,N228),2))</f>
        <v>0</v>
      </c>
      <c r="Y228" s="26">
        <f>IF(B228="","",ROUND(W228-X228-IF(P228="",0,P228),2))</f>
        <v>0</v>
      </c>
      <c r="Z228" s="26">
        <f>IF(B228="","",IF(H228="Retail",IF(TaxOnRetail="Yes",ROUND(Y228*TaxRate,2),0),IF(H228="Service",IF(TaxOnServices="Yes",ROUND(Y228*TaxRate,2),0),0)))</f>
        <v>0</v>
      </c>
      <c r="AA228" s="26">
        <f>IF(B228="","",ROUND(Y228+Z228,2))</f>
        <v>0</v>
      </c>
      <c r="AB228" s="26">
        <f>IF(B228="","",ROUND(T228*IF(H228="Retail",IFERROR(INDEX(Inventory!$H$5:$H$304,MATCH(I228,Inventory!$A$5:$A$304,0))*1,0),IFERROR(INDEX(Services!$Q$5:$Q$204,MATCH(I228,Services!$A$5:$A$204,0))*1,0)),2))</f>
        <v>0</v>
      </c>
      <c r="AC228" s="26">
        <f>IF(B228="","",ROUND(Y228-AB228,2))</f>
        <v>0</v>
      </c>
      <c r="AD228" s="38">
        <f>IF(B228="","",IF(C228="","No",IF(COUNTIFS($C$5:C228,C228)=1,"Yes","No")))</f>
        <v>0</v>
      </c>
      <c r="AE228" s="26">
        <f>IF(B228="","",ROUND(SUMIFS(Payments!$G$5:$G$1204,Payments!$H$5:$H$1204,A228,Payments!$Q$5:$Q$1204,"Yes"),2))</f>
        <v>0</v>
      </c>
      <c r="AF228" s="26">
        <f>IF(B228="","",IF(AD228="No",0,ROUND(SUMIFS(Payments!$G$5:$G$1204,Payments!$I$5:$I$1204,C228,Payments!$H$5:$H$1204,"",Payments!$Q$5:$Q$1204,"Yes"),2)))</f>
        <v>0</v>
      </c>
      <c r="AG228" s="26">
        <f>IF(B228="","",ROUND(AE228+AF228,2))</f>
        <v>0</v>
      </c>
      <c r="AH228" s="26">
        <f>IF(B228="","",ROUND(AA228-AG228,2))</f>
        <v>0</v>
      </c>
      <c r="AI228" s="39">
        <f>IF(B228="","",IF(AA228&lt;=0,"No charge",IF(AH228&lt;=0.004,"Paid",IF(AG228&lt;=0.004,"Unpaid","Part paid"))))</f>
        <v>0</v>
      </c>
      <c r="AJ228" s="38">
        <f>IF(B228="","",IF(H228&lt;&gt;"Service","",IF(D228="","No",IF(COUNTIFS($D$5:$D$1204,D228,$B$5:$B$1204,B228,$H$5:$H$1204,"Retail")&gt;0,"Yes","No"))))</f>
        <v>0</v>
      </c>
      <c r="AK228" s="25">
        <f>IF(B228="","",COUNTIFS($Y$5:$Y$1204,"&gt;"&amp;Y228)+COUNTIFS($Y$5:Y228,Y228))</f>
        <v>0</v>
      </c>
      <c r="AL228" s="39">
        <f>IF(B228="","",IF(H228="","Add - what kind of sale is this?",IF(IF(V228&lt;=0,P228="",FALSE),"Check - no price found for this item",IF(F228="","Assign - nobody credited",IF(AH228&gt;0.004,"Unpaid - balance outstanding",IF(AC228&lt;0,"Loss - sold below cost",IF(X228&gt;W228*0.5,"Check - more than half off","OK")))))))</f>
        <v>0</v>
      </c>
    </row>
    <row r="229" spans="1:38">
      <c r="A229" s="28">
        <f>IF(B229="","",SalePrefix&amp;TEXT(ROW()-4,"0000"))</f>
        <v>0</v>
      </c>
      <c r="E229" s="15">
        <f>IF(D229="","",IFERROR(INDEX(Clients!$B$5:$B$504,MATCH(D229,Clients!$A$5:$A$504,0)),"Walk-in"))</f>
        <v>0</v>
      </c>
      <c r="G229" s="15">
        <f>IF(F229="","",IFERROR(INDEX(Staff!$B$5:$B$44,MATCH(F229,Staff!$A$5:$A$44,0)),"House"))</f>
        <v>0</v>
      </c>
      <c r="R229" s="15">
        <f>IF(B229="","",TEXT(B229,"yyyy-mm"))</f>
        <v>0</v>
      </c>
      <c r="S229" s="25">
        <f>IF(B229="","",WEEKNUM(B229,2))</f>
        <v>0</v>
      </c>
      <c r="T229" s="37">
        <f>IF(B229="","",IF(K229="",1,K229))</f>
        <v>0</v>
      </c>
      <c r="U229" s="15">
        <f>IF(B229="","",IF(J229&lt;&gt;"",J229,IF(H229="Retail",IFERROR(INDEX(Inventory!$B$5:$B$304,MATCH(I229,Inventory!$A$5:$A$304,0))&amp;"","Not in Inventory"),IFERROR(INDEX(Services!$B$5:$B$204,MATCH(I229,Services!$A$5:$A$204,0))&amp;"","Not in Services"))))</f>
        <v>0</v>
      </c>
      <c r="V229" s="26">
        <f>IF(B229="","",IF(L229&lt;&gt;"",L229,IF(H229="Retail",IFERROR(INDEX(Inventory!$I$5:$I$304,MATCH(I229,Inventory!$A$5:$A$304,0))*1,0),IFERROR(INDEX(Services!$G$5:$G$204,MATCH(I229,Services!$A$5:$A$204,0))*1,0))))</f>
        <v>0</v>
      </c>
      <c r="W229" s="26">
        <f>IF(B229="","",ROUND(T229*V229,2))</f>
        <v>0</v>
      </c>
      <c r="X229" s="26">
        <f>IF(B229="","",ROUND(IF(M229="",0,W229*M229)+IF(N229="",0,N229),2))</f>
        <v>0</v>
      </c>
      <c r="Y229" s="26">
        <f>IF(B229="","",ROUND(W229-X229-IF(P229="",0,P229),2))</f>
        <v>0</v>
      </c>
      <c r="Z229" s="26">
        <f>IF(B229="","",IF(H229="Retail",IF(TaxOnRetail="Yes",ROUND(Y229*TaxRate,2),0),IF(H229="Service",IF(TaxOnServices="Yes",ROUND(Y229*TaxRate,2),0),0)))</f>
        <v>0</v>
      </c>
      <c r="AA229" s="26">
        <f>IF(B229="","",ROUND(Y229+Z229,2))</f>
        <v>0</v>
      </c>
      <c r="AB229" s="26">
        <f>IF(B229="","",ROUND(T229*IF(H229="Retail",IFERROR(INDEX(Inventory!$H$5:$H$304,MATCH(I229,Inventory!$A$5:$A$304,0))*1,0),IFERROR(INDEX(Services!$Q$5:$Q$204,MATCH(I229,Services!$A$5:$A$204,0))*1,0)),2))</f>
        <v>0</v>
      </c>
      <c r="AC229" s="26">
        <f>IF(B229="","",ROUND(Y229-AB229,2))</f>
        <v>0</v>
      </c>
      <c r="AD229" s="38">
        <f>IF(B229="","",IF(C229="","No",IF(COUNTIFS($C$5:C229,C229)=1,"Yes","No")))</f>
        <v>0</v>
      </c>
      <c r="AE229" s="26">
        <f>IF(B229="","",ROUND(SUMIFS(Payments!$G$5:$G$1204,Payments!$H$5:$H$1204,A229,Payments!$Q$5:$Q$1204,"Yes"),2))</f>
        <v>0</v>
      </c>
      <c r="AF229" s="26">
        <f>IF(B229="","",IF(AD229="No",0,ROUND(SUMIFS(Payments!$G$5:$G$1204,Payments!$I$5:$I$1204,C229,Payments!$H$5:$H$1204,"",Payments!$Q$5:$Q$1204,"Yes"),2)))</f>
        <v>0</v>
      </c>
      <c r="AG229" s="26">
        <f>IF(B229="","",ROUND(AE229+AF229,2))</f>
        <v>0</v>
      </c>
      <c r="AH229" s="26">
        <f>IF(B229="","",ROUND(AA229-AG229,2))</f>
        <v>0</v>
      </c>
      <c r="AI229" s="39">
        <f>IF(B229="","",IF(AA229&lt;=0,"No charge",IF(AH229&lt;=0.004,"Paid",IF(AG229&lt;=0.004,"Unpaid","Part paid"))))</f>
        <v>0</v>
      </c>
      <c r="AJ229" s="38">
        <f>IF(B229="","",IF(H229&lt;&gt;"Service","",IF(D229="","No",IF(COUNTIFS($D$5:$D$1204,D229,$B$5:$B$1204,B229,$H$5:$H$1204,"Retail")&gt;0,"Yes","No"))))</f>
        <v>0</v>
      </c>
      <c r="AK229" s="25">
        <f>IF(B229="","",COUNTIFS($Y$5:$Y$1204,"&gt;"&amp;Y229)+COUNTIFS($Y$5:Y229,Y229))</f>
        <v>0</v>
      </c>
      <c r="AL229" s="39">
        <f>IF(B229="","",IF(H229="","Add - what kind of sale is this?",IF(IF(V229&lt;=0,P229="",FALSE),"Check - no price found for this item",IF(F229="","Assign - nobody credited",IF(AH229&gt;0.004,"Unpaid - balance outstanding",IF(AC229&lt;0,"Loss - sold below cost",IF(X229&gt;W229*0.5,"Check - more than half off","OK")))))))</f>
        <v>0</v>
      </c>
    </row>
    <row r="230" spans="1:38">
      <c r="A230" s="28">
        <f>IF(B230="","",SalePrefix&amp;TEXT(ROW()-4,"0000"))</f>
        <v>0</v>
      </c>
      <c r="E230" s="15">
        <f>IF(D230="","",IFERROR(INDEX(Clients!$B$5:$B$504,MATCH(D230,Clients!$A$5:$A$504,0)),"Walk-in"))</f>
        <v>0</v>
      </c>
      <c r="G230" s="15">
        <f>IF(F230="","",IFERROR(INDEX(Staff!$B$5:$B$44,MATCH(F230,Staff!$A$5:$A$44,0)),"House"))</f>
        <v>0</v>
      </c>
      <c r="R230" s="15">
        <f>IF(B230="","",TEXT(B230,"yyyy-mm"))</f>
        <v>0</v>
      </c>
      <c r="S230" s="25">
        <f>IF(B230="","",WEEKNUM(B230,2))</f>
        <v>0</v>
      </c>
      <c r="T230" s="37">
        <f>IF(B230="","",IF(K230="",1,K230))</f>
        <v>0</v>
      </c>
      <c r="U230" s="15">
        <f>IF(B230="","",IF(J230&lt;&gt;"",J230,IF(H230="Retail",IFERROR(INDEX(Inventory!$B$5:$B$304,MATCH(I230,Inventory!$A$5:$A$304,0))&amp;"","Not in Inventory"),IFERROR(INDEX(Services!$B$5:$B$204,MATCH(I230,Services!$A$5:$A$204,0))&amp;"","Not in Services"))))</f>
        <v>0</v>
      </c>
      <c r="V230" s="26">
        <f>IF(B230="","",IF(L230&lt;&gt;"",L230,IF(H230="Retail",IFERROR(INDEX(Inventory!$I$5:$I$304,MATCH(I230,Inventory!$A$5:$A$304,0))*1,0),IFERROR(INDEX(Services!$G$5:$G$204,MATCH(I230,Services!$A$5:$A$204,0))*1,0))))</f>
        <v>0</v>
      </c>
      <c r="W230" s="26">
        <f>IF(B230="","",ROUND(T230*V230,2))</f>
        <v>0</v>
      </c>
      <c r="X230" s="26">
        <f>IF(B230="","",ROUND(IF(M230="",0,W230*M230)+IF(N230="",0,N230),2))</f>
        <v>0</v>
      </c>
      <c r="Y230" s="26">
        <f>IF(B230="","",ROUND(W230-X230-IF(P230="",0,P230),2))</f>
        <v>0</v>
      </c>
      <c r="Z230" s="26">
        <f>IF(B230="","",IF(H230="Retail",IF(TaxOnRetail="Yes",ROUND(Y230*TaxRate,2),0),IF(H230="Service",IF(TaxOnServices="Yes",ROUND(Y230*TaxRate,2),0),0)))</f>
        <v>0</v>
      </c>
      <c r="AA230" s="26">
        <f>IF(B230="","",ROUND(Y230+Z230,2))</f>
        <v>0</v>
      </c>
      <c r="AB230" s="26">
        <f>IF(B230="","",ROUND(T230*IF(H230="Retail",IFERROR(INDEX(Inventory!$H$5:$H$304,MATCH(I230,Inventory!$A$5:$A$304,0))*1,0),IFERROR(INDEX(Services!$Q$5:$Q$204,MATCH(I230,Services!$A$5:$A$204,0))*1,0)),2))</f>
        <v>0</v>
      </c>
      <c r="AC230" s="26">
        <f>IF(B230="","",ROUND(Y230-AB230,2))</f>
        <v>0</v>
      </c>
      <c r="AD230" s="38">
        <f>IF(B230="","",IF(C230="","No",IF(COUNTIFS($C$5:C230,C230)=1,"Yes","No")))</f>
        <v>0</v>
      </c>
      <c r="AE230" s="26">
        <f>IF(B230="","",ROUND(SUMIFS(Payments!$G$5:$G$1204,Payments!$H$5:$H$1204,A230,Payments!$Q$5:$Q$1204,"Yes"),2))</f>
        <v>0</v>
      </c>
      <c r="AF230" s="26">
        <f>IF(B230="","",IF(AD230="No",0,ROUND(SUMIFS(Payments!$G$5:$G$1204,Payments!$I$5:$I$1204,C230,Payments!$H$5:$H$1204,"",Payments!$Q$5:$Q$1204,"Yes"),2)))</f>
        <v>0</v>
      </c>
      <c r="AG230" s="26">
        <f>IF(B230="","",ROUND(AE230+AF230,2))</f>
        <v>0</v>
      </c>
      <c r="AH230" s="26">
        <f>IF(B230="","",ROUND(AA230-AG230,2))</f>
        <v>0</v>
      </c>
      <c r="AI230" s="39">
        <f>IF(B230="","",IF(AA230&lt;=0,"No charge",IF(AH230&lt;=0.004,"Paid",IF(AG230&lt;=0.004,"Unpaid","Part paid"))))</f>
        <v>0</v>
      </c>
      <c r="AJ230" s="38">
        <f>IF(B230="","",IF(H230&lt;&gt;"Service","",IF(D230="","No",IF(COUNTIFS($D$5:$D$1204,D230,$B$5:$B$1204,B230,$H$5:$H$1204,"Retail")&gt;0,"Yes","No"))))</f>
        <v>0</v>
      </c>
      <c r="AK230" s="25">
        <f>IF(B230="","",COUNTIFS($Y$5:$Y$1204,"&gt;"&amp;Y230)+COUNTIFS($Y$5:Y230,Y230))</f>
        <v>0</v>
      </c>
      <c r="AL230" s="39">
        <f>IF(B230="","",IF(H230="","Add - what kind of sale is this?",IF(IF(V230&lt;=0,P230="",FALSE),"Check - no price found for this item",IF(F230="","Assign - nobody credited",IF(AH230&gt;0.004,"Unpaid - balance outstanding",IF(AC230&lt;0,"Loss - sold below cost",IF(X230&gt;W230*0.5,"Check - more than half off","OK")))))))</f>
        <v>0</v>
      </c>
    </row>
    <row r="231" spans="1:38">
      <c r="A231" s="28">
        <f>IF(B231="","",SalePrefix&amp;TEXT(ROW()-4,"0000"))</f>
        <v>0</v>
      </c>
      <c r="E231" s="15">
        <f>IF(D231="","",IFERROR(INDEX(Clients!$B$5:$B$504,MATCH(D231,Clients!$A$5:$A$504,0)),"Walk-in"))</f>
        <v>0</v>
      </c>
      <c r="G231" s="15">
        <f>IF(F231="","",IFERROR(INDEX(Staff!$B$5:$B$44,MATCH(F231,Staff!$A$5:$A$44,0)),"House"))</f>
        <v>0</v>
      </c>
      <c r="R231" s="15">
        <f>IF(B231="","",TEXT(B231,"yyyy-mm"))</f>
        <v>0</v>
      </c>
      <c r="S231" s="25">
        <f>IF(B231="","",WEEKNUM(B231,2))</f>
        <v>0</v>
      </c>
      <c r="T231" s="37">
        <f>IF(B231="","",IF(K231="",1,K231))</f>
        <v>0</v>
      </c>
      <c r="U231" s="15">
        <f>IF(B231="","",IF(J231&lt;&gt;"",J231,IF(H231="Retail",IFERROR(INDEX(Inventory!$B$5:$B$304,MATCH(I231,Inventory!$A$5:$A$304,0))&amp;"","Not in Inventory"),IFERROR(INDEX(Services!$B$5:$B$204,MATCH(I231,Services!$A$5:$A$204,0))&amp;"","Not in Services"))))</f>
        <v>0</v>
      </c>
      <c r="V231" s="26">
        <f>IF(B231="","",IF(L231&lt;&gt;"",L231,IF(H231="Retail",IFERROR(INDEX(Inventory!$I$5:$I$304,MATCH(I231,Inventory!$A$5:$A$304,0))*1,0),IFERROR(INDEX(Services!$G$5:$G$204,MATCH(I231,Services!$A$5:$A$204,0))*1,0))))</f>
        <v>0</v>
      </c>
      <c r="W231" s="26">
        <f>IF(B231="","",ROUND(T231*V231,2))</f>
        <v>0</v>
      </c>
      <c r="X231" s="26">
        <f>IF(B231="","",ROUND(IF(M231="",0,W231*M231)+IF(N231="",0,N231),2))</f>
        <v>0</v>
      </c>
      <c r="Y231" s="26">
        <f>IF(B231="","",ROUND(W231-X231-IF(P231="",0,P231),2))</f>
        <v>0</v>
      </c>
      <c r="Z231" s="26">
        <f>IF(B231="","",IF(H231="Retail",IF(TaxOnRetail="Yes",ROUND(Y231*TaxRate,2),0),IF(H231="Service",IF(TaxOnServices="Yes",ROUND(Y231*TaxRate,2),0),0)))</f>
        <v>0</v>
      </c>
      <c r="AA231" s="26">
        <f>IF(B231="","",ROUND(Y231+Z231,2))</f>
        <v>0</v>
      </c>
      <c r="AB231" s="26">
        <f>IF(B231="","",ROUND(T231*IF(H231="Retail",IFERROR(INDEX(Inventory!$H$5:$H$304,MATCH(I231,Inventory!$A$5:$A$304,0))*1,0),IFERROR(INDEX(Services!$Q$5:$Q$204,MATCH(I231,Services!$A$5:$A$204,0))*1,0)),2))</f>
        <v>0</v>
      </c>
      <c r="AC231" s="26">
        <f>IF(B231="","",ROUND(Y231-AB231,2))</f>
        <v>0</v>
      </c>
      <c r="AD231" s="38">
        <f>IF(B231="","",IF(C231="","No",IF(COUNTIFS($C$5:C231,C231)=1,"Yes","No")))</f>
        <v>0</v>
      </c>
      <c r="AE231" s="26">
        <f>IF(B231="","",ROUND(SUMIFS(Payments!$G$5:$G$1204,Payments!$H$5:$H$1204,A231,Payments!$Q$5:$Q$1204,"Yes"),2))</f>
        <v>0</v>
      </c>
      <c r="AF231" s="26">
        <f>IF(B231="","",IF(AD231="No",0,ROUND(SUMIFS(Payments!$G$5:$G$1204,Payments!$I$5:$I$1204,C231,Payments!$H$5:$H$1204,"",Payments!$Q$5:$Q$1204,"Yes"),2)))</f>
        <v>0</v>
      </c>
      <c r="AG231" s="26">
        <f>IF(B231="","",ROUND(AE231+AF231,2))</f>
        <v>0</v>
      </c>
      <c r="AH231" s="26">
        <f>IF(B231="","",ROUND(AA231-AG231,2))</f>
        <v>0</v>
      </c>
      <c r="AI231" s="39">
        <f>IF(B231="","",IF(AA231&lt;=0,"No charge",IF(AH231&lt;=0.004,"Paid",IF(AG231&lt;=0.004,"Unpaid","Part paid"))))</f>
        <v>0</v>
      </c>
      <c r="AJ231" s="38">
        <f>IF(B231="","",IF(H231&lt;&gt;"Service","",IF(D231="","No",IF(COUNTIFS($D$5:$D$1204,D231,$B$5:$B$1204,B231,$H$5:$H$1204,"Retail")&gt;0,"Yes","No"))))</f>
        <v>0</v>
      </c>
      <c r="AK231" s="25">
        <f>IF(B231="","",COUNTIFS($Y$5:$Y$1204,"&gt;"&amp;Y231)+COUNTIFS($Y$5:Y231,Y231))</f>
        <v>0</v>
      </c>
      <c r="AL231" s="39">
        <f>IF(B231="","",IF(H231="","Add - what kind of sale is this?",IF(IF(V231&lt;=0,P231="",FALSE),"Check - no price found for this item",IF(F231="","Assign - nobody credited",IF(AH231&gt;0.004,"Unpaid - balance outstanding",IF(AC231&lt;0,"Loss - sold below cost",IF(X231&gt;W231*0.5,"Check - more than half off","OK")))))))</f>
        <v>0</v>
      </c>
    </row>
    <row r="232" spans="1:38">
      <c r="A232" s="28">
        <f>IF(B232="","",SalePrefix&amp;TEXT(ROW()-4,"0000"))</f>
        <v>0</v>
      </c>
      <c r="E232" s="15">
        <f>IF(D232="","",IFERROR(INDEX(Clients!$B$5:$B$504,MATCH(D232,Clients!$A$5:$A$504,0)),"Walk-in"))</f>
        <v>0</v>
      </c>
      <c r="G232" s="15">
        <f>IF(F232="","",IFERROR(INDEX(Staff!$B$5:$B$44,MATCH(F232,Staff!$A$5:$A$44,0)),"House"))</f>
        <v>0</v>
      </c>
      <c r="R232" s="15">
        <f>IF(B232="","",TEXT(B232,"yyyy-mm"))</f>
        <v>0</v>
      </c>
      <c r="S232" s="25">
        <f>IF(B232="","",WEEKNUM(B232,2))</f>
        <v>0</v>
      </c>
      <c r="T232" s="37">
        <f>IF(B232="","",IF(K232="",1,K232))</f>
        <v>0</v>
      </c>
      <c r="U232" s="15">
        <f>IF(B232="","",IF(J232&lt;&gt;"",J232,IF(H232="Retail",IFERROR(INDEX(Inventory!$B$5:$B$304,MATCH(I232,Inventory!$A$5:$A$304,0))&amp;"","Not in Inventory"),IFERROR(INDEX(Services!$B$5:$B$204,MATCH(I232,Services!$A$5:$A$204,0))&amp;"","Not in Services"))))</f>
        <v>0</v>
      </c>
      <c r="V232" s="26">
        <f>IF(B232="","",IF(L232&lt;&gt;"",L232,IF(H232="Retail",IFERROR(INDEX(Inventory!$I$5:$I$304,MATCH(I232,Inventory!$A$5:$A$304,0))*1,0),IFERROR(INDEX(Services!$G$5:$G$204,MATCH(I232,Services!$A$5:$A$204,0))*1,0))))</f>
        <v>0</v>
      </c>
      <c r="W232" s="26">
        <f>IF(B232="","",ROUND(T232*V232,2))</f>
        <v>0</v>
      </c>
      <c r="X232" s="26">
        <f>IF(B232="","",ROUND(IF(M232="",0,W232*M232)+IF(N232="",0,N232),2))</f>
        <v>0</v>
      </c>
      <c r="Y232" s="26">
        <f>IF(B232="","",ROUND(W232-X232-IF(P232="",0,P232),2))</f>
        <v>0</v>
      </c>
      <c r="Z232" s="26">
        <f>IF(B232="","",IF(H232="Retail",IF(TaxOnRetail="Yes",ROUND(Y232*TaxRate,2),0),IF(H232="Service",IF(TaxOnServices="Yes",ROUND(Y232*TaxRate,2),0),0)))</f>
        <v>0</v>
      </c>
      <c r="AA232" s="26">
        <f>IF(B232="","",ROUND(Y232+Z232,2))</f>
        <v>0</v>
      </c>
      <c r="AB232" s="26">
        <f>IF(B232="","",ROUND(T232*IF(H232="Retail",IFERROR(INDEX(Inventory!$H$5:$H$304,MATCH(I232,Inventory!$A$5:$A$304,0))*1,0),IFERROR(INDEX(Services!$Q$5:$Q$204,MATCH(I232,Services!$A$5:$A$204,0))*1,0)),2))</f>
        <v>0</v>
      </c>
      <c r="AC232" s="26">
        <f>IF(B232="","",ROUND(Y232-AB232,2))</f>
        <v>0</v>
      </c>
      <c r="AD232" s="38">
        <f>IF(B232="","",IF(C232="","No",IF(COUNTIFS($C$5:C232,C232)=1,"Yes","No")))</f>
        <v>0</v>
      </c>
      <c r="AE232" s="26">
        <f>IF(B232="","",ROUND(SUMIFS(Payments!$G$5:$G$1204,Payments!$H$5:$H$1204,A232,Payments!$Q$5:$Q$1204,"Yes"),2))</f>
        <v>0</v>
      </c>
      <c r="AF232" s="26">
        <f>IF(B232="","",IF(AD232="No",0,ROUND(SUMIFS(Payments!$G$5:$G$1204,Payments!$I$5:$I$1204,C232,Payments!$H$5:$H$1204,"",Payments!$Q$5:$Q$1204,"Yes"),2)))</f>
        <v>0</v>
      </c>
      <c r="AG232" s="26">
        <f>IF(B232="","",ROUND(AE232+AF232,2))</f>
        <v>0</v>
      </c>
      <c r="AH232" s="26">
        <f>IF(B232="","",ROUND(AA232-AG232,2))</f>
        <v>0</v>
      </c>
      <c r="AI232" s="39">
        <f>IF(B232="","",IF(AA232&lt;=0,"No charge",IF(AH232&lt;=0.004,"Paid",IF(AG232&lt;=0.004,"Unpaid","Part paid"))))</f>
        <v>0</v>
      </c>
      <c r="AJ232" s="38">
        <f>IF(B232="","",IF(H232&lt;&gt;"Service","",IF(D232="","No",IF(COUNTIFS($D$5:$D$1204,D232,$B$5:$B$1204,B232,$H$5:$H$1204,"Retail")&gt;0,"Yes","No"))))</f>
        <v>0</v>
      </c>
      <c r="AK232" s="25">
        <f>IF(B232="","",COUNTIFS($Y$5:$Y$1204,"&gt;"&amp;Y232)+COUNTIFS($Y$5:Y232,Y232))</f>
        <v>0</v>
      </c>
      <c r="AL232" s="39">
        <f>IF(B232="","",IF(H232="","Add - what kind of sale is this?",IF(IF(V232&lt;=0,P232="",FALSE),"Check - no price found for this item",IF(F232="","Assign - nobody credited",IF(AH232&gt;0.004,"Unpaid - balance outstanding",IF(AC232&lt;0,"Loss - sold below cost",IF(X232&gt;W232*0.5,"Check - more than half off","OK")))))))</f>
        <v>0</v>
      </c>
    </row>
    <row r="233" spans="1:38">
      <c r="A233" s="28">
        <f>IF(B233="","",SalePrefix&amp;TEXT(ROW()-4,"0000"))</f>
        <v>0</v>
      </c>
      <c r="E233" s="15">
        <f>IF(D233="","",IFERROR(INDEX(Clients!$B$5:$B$504,MATCH(D233,Clients!$A$5:$A$504,0)),"Walk-in"))</f>
        <v>0</v>
      </c>
      <c r="G233" s="15">
        <f>IF(F233="","",IFERROR(INDEX(Staff!$B$5:$B$44,MATCH(F233,Staff!$A$5:$A$44,0)),"House"))</f>
        <v>0</v>
      </c>
      <c r="R233" s="15">
        <f>IF(B233="","",TEXT(B233,"yyyy-mm"))</f>
        <v>0</v>
      </c>
      <c r="S233" s="25">
        <f>IF(B233="","",WEEKNUM(B233,2))</f>
        <v>0</v>
      </c>
      <c r="T233" s="37">
        <f>IF(B233="","",IF(K233="",1,K233))</f>
        <v>0</v>
      </c>
      <c r="U233" s="15">
        <f>IF(B233="","",IF(J233&lt;&gt;"",J233,IF(H233="Retail",IFERROR(INDEX(Inventory!$B$5:$B$304,MATCH(I233,Inventory!$A$5:$A$304,0))&amp;"","Not in Inventory"),IFERROR(INDEX(Services!$B$5:$B$204,MATCH(I233,Services!$A$5:$A$204,0))&amp;"","Not in Services"))))</f>
        <v>0</v>
      </c>
      <c r="V233" s="26">
        <f>IF(B233="","",IF(L233&lt;&gt;"",L233,IF(H233="Retail",IFERROR(INDEX(Inventory!$I$5:$I$304,MATCH(I233,Inventory!$A$5:$A$304,0))*1,0),IFERROR(INDEX(Services!$G$5:$G$204,MATCH(I233,Services!$A$5:$A$204,0))*1,0))))</f>
        <v>0</v>
      </c>
      <c r="W233" s="26">
        <f>IF(B233="","",ROUND(T233*V233,2))</f>
        <v>0</v>
      </c>
      <c r="X233" s="26">
        <f>IF(B233="","",ROUND(IF(M233="",0,W233*M233)+IF(N233="",0,N233),2))</f>
        <v>0</v>
      </c>
      <c r="Y233" s="26">
        <f>IF(B233="","",ROUND(W233-X233-IF(P233="",0,P233),2))</f>
        <v>0</v>
      </c>
      <c r="Z233" s="26">
        <f>IF(B233="","",IF(H233="Retail",IF(TaxOnRetail="Yes",ROUND(Y233*TaxRate,2),0),IF(H233="Service",IF(TaxOnServices="Yes",ROUND(Y233*TaxRate,2),0),0)))</f>
        <v>0</v>
      </c>
      <c r="AA233" s="26">
        <f>IF(B233="","",ROUND(Y233+Z233,2))</f>
        <v>0</v>
      </c>
      <c r="AB233" s="26">
        <f>IF(B233="","",ROUND(T233*IF(H233="Retail",IFERROR(INDEX(Inventory!$H$5:$H$304,MATCH(I233,Inventory!$A$5:$A$304,0))*1,0),IFERROR(INDEX(Services!$Q$5:$Q$204,MATCH(I233,Services!$A$5:$A$204,0))*1,0)),2))</f>
        <v>0</v>
      </c>
      <c r="AC233" s="26">
        <f>IF(B233="","",ROUND(Y233-AB233,2))</f>
        <v>0</v>
      </c>
      <c r="AD233" s="38">
        <f>IF(B233="","",IF(C233="","No",IF(COUNTIFS($C$5:C233,C233)=1,"Yes","No")))</f>
        <v>0</v>
      </c>
      <c r="AE233" s="26">
        <f>IF(B233="","",ROUND(SUMIFS(Payments!$G$5:$G$1204,Payments!$H$5:$H$1204,A233,Payments!$Q$5:$Q$1204,"Yes"),2))</f>
        <v>0</v>
      </c>
      <c r="AF233" s="26">
        <f>IF(B233="","",IF(AD233="No",0,ROUND(SUMIFS(Payments!$G$5:$G$1204,Payments!$I$5:$I$1204,C233,Payments!$H$5:$H$1204,"",Payments!$Q$5:$Q$1204,"Yes"),2)))</f>
        <v>0</v>
      </c>
      <c r="AG233" s="26">
        <f>IF(B233="","",ROUND(AE233+AF233,2))</f>
        <v>0</v>
      </c>
      <c r="AH233" s="26">
        <f>IF(B233="","",ROUND(AA233-AG233,2))</f>
        <v>0</v>
      </c>
      <c r="AI233" s="39">
        <f>IF(B233="","",IF(AA233&lt;=0,"No charge",IF(AH233&lt;=0.004,"Paid",IF(AG233&lt;=0.004,"Unpaid","Part paid"))))</f>
        <v>0</v>
      </c>
      <c r="AJ233" s="38">
        <f>IF(B233="","",IF(H233&lt;&gt;"Service","",IF(D233="","No",IF(COUNTIFS($D$5:$D$1204,D233,$B$5:$B$1204,B233,$H$5:$H$1204,"Retail")&gt;0,"Yes","No"))))</f>
        <v>0</v>
      </c>
      <c r="AK233" s="25">
        <f>IF(B233="","",COUNTIFS($Y$5:$Y$1204,"&gt;"&amp;Y233)+COUNTIFS($Y$5:Y233,Y233))</f>
        <v>0</v>
      </c>
      <c r="AL233" s="39">
        <f>IF(B233="","",IF(H233="","Add - what kind of sale is this?",IF(IF(V233&lt;=0,P233="",FALSE),"Check - no price found for this item",IF(F233="","Assign - nobody credited",IF(AH233&gt;0.004,"Unpaid - balance outstanding",IF(AC233&lt;0,"Loss - sold below cost",IF(X233&gt;W233*0.5,"Check - more than half off","OK")))))))</f>
        <v>0</v>
      </c>
    </row>
    <row r="234" spans="1:38">
      <c r="A234" s="28">
        <f>IF(B234="","",SalePrefix&amp;TEXT(ROW()-4,"0000"))</f>
        <v>0</v>
      </c>
      <c r="E234" s="15">
        <f>IF(D234="","",IFERROR(INDEX(Clients!$B$5:$B$504,MATCH(D234,Clients!$A$5:$A$504,0)),"Walk-in"))</f>
        <v>0</v>
      </c>
      <c r="G234" s="15">
        <f>IF(F234="","",IFERROR(INDEX(Staff!$B$5:$B$44,MATCH(F234,Staff!$A$5:$A$44,0)),"House"))</f>
        <v>0</v>
      </c>
      <c r="R234" s="15">
        <f>IF(B234="","",TEXT(B234,"yyyy-mm"))</f>
        <v>0</v>
      </c>
      <c r="S234" s="25">
        <f>IF(B234="","",WEEKNUM(B234,2))</f>
        <v>0</v>
      </c>
      <c r="T234" s="37">
        <f>IF(B234="","",IF(K234="",1,K234))</f>
        <v>0</v>
      </c>
      <c r="U234" s="15">
        <f>IF(B234="","",IF(J234&lt;&gt;"",J234,IF(H234="Retail",IFERROR(INDEX(Inventory!$B$5:$B$304,MATCH(I234,Inventory!$A$5:$A$304,0))&amp;"","Not in Inventory"),IFERROR(INDEX(Services!$B$5:$B$204,MATCH(I234,Services!$A$5:$A$204,0))&amp;"","Not in Services"))))</f>
        <v>0</v>
      </c>
      <c r="V234" s="26">
        <f>IF(B234="","",IF(L234&lt;&gt;"",L234,IF(H234="Retail",IFERROR(INDEX(Inventory!$I$5:$I$304,MATCH(I234,Inventory!$A$5:$A$304,0))*1,0),IFERROR(INDEX(Services!$G$5:$G$204,MATCH(I234,Services!$A$5:$A$204,0))*1,0))))</f>
        <v>0</v>
      </c>
      <c r="W234" s="26">
        <f>IF(B234="","",ROUND(T234*V234,2))</f>
        <v>0</v>
      </c>
      <c r="X234" s="26">
        <f>IF(B234="","",ROUND(IF(M234="",0,W234*M234)+IF(N234="",0,N234),2))</f>
        <v>0</v>
      </c>
      <c r="Y234" s="26">
        <f>IF(B234="","",ROUND(W234-X234-IF(P234="",0,P234),2))</f>
        <v>0</v>
      </c>
      <c r="Z234" s="26">
        <f>IF(B234="","",IF(H234="Retail",IF(TaxOnRetail="Yes",ROUND(Y234*TaxRate,2),0),IF(H234="Service",IF(TaxOnServices="Yes",ROUND(Y234*TaxRate,2),0),0)))</f>
        <v>0</v>
      </c>
      <c r="AA234" s="26">
        <f>IF(B234="","",ROUND(Y234+Z234,2))</f>
        <v>0</v>
      </c>
      <c r="AB234" s="26">
        <f>IF(B234="","",ROUND(T234*IF(H234="Retail",IFERROR(INDEX(Inventory!$H$5:$H$304,MATCH(I234,Inventory!$A$5:$A$304,0))*1,0),IFERROR(INDEX(Services!$Q$5:$Q$204,MATCH(I234,Services!$A$5:$A$204,0))*1,0)),2))</f>
        <v>0</v>
      </c>
      <c r="AC234" s="26">
        <f>IF(B234="","",ROUND(Y234-AB234,2))</f>
        <v>0</v>
      </c>
      <c r="AD234" s="38">
        <f>IF(B234="","",IF(C234="","No",IF(COUNTIFS($C$5:C234,C234)=1,"Yes","No")))</f>
        <v>0</v>
      </c>
      <c r="AE234" s="26">
        <f>IF(B234="","",ROUND(SUMIFS(Payments!$G$5:$G$1204,Payments!$H$5:$H$1204,A234,Payments!$Q$5:$Q$1204,"Yes"),2))</f>
        <v>0</v>
      </c>
      <c r="AF234" s="26">
        <f>IF(B234="","",IF(AD234="No",0,ROUND(SUMIFS(Payments!$G$5:$G$1204,Payments!$I$5:$I$1204,C234,Payments!$H$5:$H$1204,"",Payments!$Q$5:$Q$1204,"Yes"),2)))</f>
        <v>0</v>
      </c>
      <c r="AG234" s="26">
        <f>IF(B234="","",ROUND(AE234+AF234,2))</f>
        <v>0</v>
      </c>
      <c r="AH234" s="26">
        <f>IF(B234="","",ROUND(AA234-AG234,2))</f>
        <v>0</v>
      </c>
      <c r="AI234" s="39">
        <f>IF(B234="","",IF(AA234&lt;=0,"No charge",IF(AH234&lt;=0.004,"Paid",IF(AG234&lt;=0.004,"Unpaid","Part paid"))))</f>
        <v>0</v>
      </c>
      <c r="AJ234" s="38">
        <f>IF(B234="","",IF(H234&lt;&gt;"Service","",IF(D234="","No",IF(COUNTIFS($D$5:$D$1204,D234,$B$5:$B$1204,B234,$H$5:$H$1204,"Retail")&gt;0,"Yes","No"))))</f>
        <v>0</v>
      </c>
      <c r="AK234" s="25">
        <f>IF(B234="","",COUNTIFS($Y$5:$Y$1204,"&gt;"&amp;Y234)+COUNTIFS($Y$5:Y234,Y234))</f>
        <v>0</v>
      </c>
      <c r="AL234" s="39">
        <f>IF(B234="","",IF(H234="","Add - what kind of sale is this?",IF(IF(V234&lt;=0,P234="",FALSE),"Check - no price found for this item",IF(F234="","Assign - nobody credited",IF(AH234&gt;0.004,"Unpaid - balance outstanding",IF(AC234&lt;0,"Loss - sold below cost",IF(X234&gt;W234*0.5,"Check - more than half off","OK")))))))</f>
        <v>0</v>
      </c>
    </row>
    <row r="235" spans="1:38">
      <c r="A235" s="28">
        <f>IF(B235="","",SalePrefix&amp;TEXT(ROW()-4,"0000"))</f>
        <v>0</v>
      </c>
      <c r="E235" s="15">
        <f>IF(D235="","",IFERROR(INDEX(Clients!$B$5:$B$504,MATCH(D235,Clients!$A$5:$A$504,0)),"Walk-in"))</f>
        <v>0</v>
      </c>
      <c r="G235" s="15">
        <f>IF(F235="","",IFERROR(INDEX(Staff!$B$5:$B$44,MATCH(F235,Staff!$A$5:$A$44,0)),"House"))</f>
        <v>0</v>
      </c>
      <c r="R235" s="15">
        <f>IF(B235="","",TEXT(B235,"yyyy-mm"))</f>
        <v>0</v>
      </c>
      <c r="S235" s="25">
        <f>IF(B235="","",WEEKNUM(B235,2))</f>
        <v>0</v>
      </c>
      <c r="T235" s="37">
        <f>IF(B235="","",IF(K235="",1,K235))</f>
        <v>0</v>
      </c>
      <c r="U235" s="15">
        <f>IF(B235="","",IF(J235&lt;&gt;"",J235,IF(H235="Retail",IFERROR(INDEX(Inventory!$B$5:$B$304,MATCH(I235,Inventory!$A$5:$A$304,0))&amp;"","Not in Inventory"),IFERROR(INDEX(Services!$B$5:$B$204,MATCH(I235,Services!$A$5:$A$204,0))&amp;"","Not in Services"))))</f>
        <v>0</v>
      </c>
      <c r="V235" s="26">
        <f>IF(B235="","",IF(L235&lt;&gt;"",L235,IF(H235="Retail",IFERROR(INDEX(Inventory!$I$5:$I$304,MATCH(I235,Inventory!$A$5:$A$304,0))*1,0),IFERROR(INDEX(Services!$G$5:$G$204,MATCH(I235,Services!$A$5:$A$204,0))*1,0))))</f>
        <v>0</v>
      </c>
      <c r="W235" s="26">
        <f>IF(B235="","",ROUND(T235*V235,2))</f>
        <v>0</v>
      </c>
      <c r="X235" s="26">
        <f>IF(B235="","",ROUND(IF(M235="",0,W235*M235)+IF(N235="",0,N235),2))</f>
        <v>0</v>
      </c>
      <c r="Y235" s="26">
        <f>IF(B235="","",ROUND(W235-X235-IF(P235="",0,P235),2))</f>
        <v>0</v>
      </c>
      <c r="Z235" s="26">
        <f>IF(B235="","",IF(H235="Retail",IF(TaxOnRetail="Yes",ROUND(Y235*TaxRate,2),0),IF(H235="Service",IF(TaxOnServices="Yes",ROUND(Y235*TaxRate,2),0),0)))</f>
        <v>0</v>
      </c>
      <c r="AA235" s="26">
        <f>IF(B235="","",ROUND(Y235+Z235,2))</f>
        <v>0</v>
      </c>
      <c r="AB235" s="26">
        <f>IF(B235="","",ROUND(T235*IF(H235="Retail",IFERROR(INDEX(Inventory!$H$5:$H$304,MATCH(I235,Inventory!$A$5:$A$304,0))*1,0),IFERROR(INDEX(Services!$Q$5:$Q$204,MATCH(I235,Services!$A$5:$A$204,0))*1,0)),2))</f>
        <v>0</v>
      </c>
      <c r="AC235" s="26">
        <f>IF(B235="","",ROUND(Y235-AB235,2))</f>
        <v>0</v>
      </c>
      <c r="AD235" s="38">
        <f>IF(B235="","",IF(C235="","No",IF(COUNTIFS($C$5:C235,C235)=1,"Yes","No")))</f>
        <v>0</v>
      </c>
      <c r="AE235" s="26">
        <f>IF(B235="","",ROUND(SUMIFS(Payments!$G$5:$G$1204,Payments!$H$5:$H$1204,A235,Payments!$Q$5:$Q$1204,"Yes"),2))</f>
        <v>0</v>
      </c>
      <c r="AF235" s="26">
        <f>IF(B235="","",IF(AD235="No",0,ROUND(SUMIFS(Payments!$G$5:$G$1204,Payments!$I$5:$I$1204,C235,Payments!$H$5:$H$1204,"",Payments!$Q$5:$Q$1204,"Yes"),2)))</f>
        <v>0</v>
      </c>
      <c r="AG235" s="26">
        <f>IF(B235="","",ROUND(AE235+AF235,2))</f>
        <v>0</v>
      </c>
      <c r="AH235" s="26">
        <f>IF(B235="","",ROUND(AA235-AG235,2))</f>
        <v>0</v>
      </c>
      <c r="AI235" s="39">
        <f>IF(B235="","",IF(AA235&lt;=0,"No charge",IF(AH235&lt;=0.004,"Paid",IF(AG235&lt;=0.004,"Unpaid","Part paid"))))</f>
        <v>0</v>
      </c>
      <c r="AJ235" s="38">
        <f>IF(B235="","",IF(H235&lt;&gt;"Service","",IF(D235="","No",IF(COUNTIFS($D$5:$D$1204,D235,$B$5:$B$1204,B235,$H$5:$H$1204,"Retail")&gt;0,"Yes","No"))))</f>
        <v>0</v>
      </c>
      <c r="AK235" s="25">
        <f>IF(B235="","",COUNTIFS($Y$5:$Y$1204,"&gt;"&amp;Y235)+COUNTIFS($Y$5:Y235,Y235))</f>
        <v>0</v>
      </c>
      <c r="AL235" s="39">
        <f>IF(B235="","",IF(H235="","Add - what kind of sale is this?",IF(IF(V235&lt;=0,P235="",FALSE),"Check - no price found for this item",IF(F235="","Assign - nobody credited",IF(AH235&gt;0.004,"Unpaid - balance outstanding",IF(AC235&lt;0,"Loss - sold below cost",IF(X235&gt;W235*0.5,"Check - more than half off","OK")))))))</f>
        <v>0</v>
      </c>
    </row>
    <row r="236" spans="1:38">
      <c r="A236" s="28">
        <f>IF(B236="","",SalePrefix&amp;TEXT(ROW()-4,"0000"))</f>
        <v>0</v>
      </c>
      <c r="E236" s="15">
        <f>IF(D236="","",IFERROR(INDEX(Clients!$B$5:$B$504,MATCH(D236,Clients!$A$5:$A$504,0)),"Walk-in"))</f>
        <v>0</v>
      </c>
      <c r="G236" s="15">
        <f>IF(F236="","",IFERROR(INDEX(Staff!$B$5:$B$44,MATCH(F236,Staff!$A$5:$A$44,0)),"House"))</f>
        <v>0</v>
      </c>
      <c r="R236" s="15">
        <f>IF(B236="","",TEXT(B236,"yyyy-mm"))</f>
        <v>0</v>
      </c>
      <c r="S236" s="25">
        <f>IF(B236="","",WEEKNUM(B236,2))</f>
        <v>0</v>
      </c>
      <c r="T236" s="37">
        <f>IF(B236="","",IF(K236="",1,K236))</f>
        <v>0</v>
      </c>
      <c r="U236" s="15">
        <f>IF(B236="","",IF(J236&lt;&gt;"",J236,IF(H236="Retail",IFERROR(INDEX(Inventory!$B$5:$B$304,MATCH(I236,Inventory!$A$5:$A$304,0))&amp;"","Not in Inventory"),IFERROR(INDEX(Services!$B$5:$B$204,MATCH(I236,Services!$A$5:$A$204,0))&amp;"","Not in Services"))))</f>
        <v>0</v>
      </c>
      <c r="V236" s="26">
        <f>IF(B236="","",IF(L236&lt;&gt;"",L236,IF(H236="Retail",IFERROR(INDEX(Inventory!$I$5:$I$304,MATCH(I236,Inventory!$A$5:$A$304,0))*1,0),IFERROR(INDEX(Services!$G$5:$G$204,MATCH(I236,Services!$A$5:$A$204,0))*1,0))))</f>
        <v>0</v>
      </c>
      <c r="W236" s="26">
        <f>IF(B236="","",ROUND(T236*V236,2))</f>
        <v>0</v>
      </c>
      <c r="X236" s="26">
        <f>IF(B236="","",ROUND(IF(M236="",0,W236*M236)+IF(N236="",0,N236),2))</f>
        <v>0</v>
      </c>
      <c r="Y236" s="26">
        <f>IF(B236="","",ROUND(W236-X236-IF(P236="",0,P236),2))</f>
        <v>0</v>
      </c>
      <c r="Z236" s="26">
        <f>IF(B236="","",IF(H236="Retail",IF(TaxOnRetail="Yes",ROUND(Y236*TaxRate,2),0),IF(H236="Service",IF(TaxOnServices="Yes",ROUND(Y236*TaxRate,2),0),0)))</f>
        <v>0</v>
      </c>
      <c r="AA236" s="26">
        <f>IF(B236="","",ROUND(Y236+Z236,2))</f>
        <v>0</v>
      </c>
      <c r="AB236" s="26">
        <f>IF(B236="","",ROUND(T236*IF(H236="Retail",IFERROR(INDEX(Inventory!$H$5:$H$304,MATCH(I236,Inventory!$A$5:$A$304,0))*1,0),IFERROR(INDEX(Services!$Q$5:$Q$204,MATCH(I236,Services!$A$5:$A$204,0))*1,0)),2))</f>
        <v>0</v>
      </c>
      <c r="AC236" s="26">
        <f>IF(B236="","",ROUND(Y236-AB236,2))</f>
        <v>0</v>
      </c>
      <c r="AD236" s="38">
        <f>IF(B236="","",IF(C236="","No",IF(COUNTIFS($C$5:C236,C236)=1,"Yes","No")))</f>
        <v>0</v>
      </c>
      <c r="AE236" s="26">
        <f>IF(B236="","",ROUND(SUMIFS(Payments!$G$5:$G$1204,Payments!$H$5:$H$1204,A236,Payments!$Q$5:$Q$1204,"Yes"),2))</f>
        <v>0</v>
      </c>
      <c r="AF236" s="26">
        <f>IF(B236="","",IF(AD236="No",0,ROUND(SUMIFS(Payments!$G$5:$G$1204,Payments!$I$5:$I$1204,C236,Payments!$H$5:$H$1204,"",Payments!$Q$5:$Q$1204,"Yes"),2)))</f>
        <v>0</v>
      </c>
      <c r="AG236" s="26">
        <f>IF(B236="","",ROUND(AE236+AF236,2))</f>
        <v>0</v>
      </c>
      <c r="AH236" s="26">
        <f>IF(B236="","",ROUND(AA236-AG236,2))</f>
        <v>0</v>
      </c>
      <c r="AI236" s="39">
        <f>IF(B236="","",IF(AA236&lt;=0,"No charge",IF(AH236&lt;=0.004,"Paid",IF(AG236&lt;=0.004,"Unpaid","Part paid"))))</f>
        <v>0</v>
      </c>
      <c r="AJ236" s="38">
        <f>IF(B236="","",IF(H236&lt;&gt;"Service","",IF(D236="","No",IF(COUNTIFS($D$5:$D$1204,D236,$B$5:$B$1204,B236,$H$5:$H$1204,"Retail")&gt;0,"Yes","No"))))</f>
        <v>0</v>
      </c>
      <c r="AK236" s="25">
        <f>IF(B236="","",COUNTIFS($Y$5:$Y$1204,"&gt;"&amp;Y236)+COUNTIFS($Y$5:Y236,Y236))</f>
        <v>0</v>
      </c>
      <c r="AL236" s="39">
        <f>IF(B236="","",IF(H236="","Add - what kind of sale is this?",IF(IF(V236&lt;=0,P236="",FALSE),"Check - no price found for this item",IF(F236="","Assign - nobody credited",IF(AH236&gt;0.004,"Unpaid - balance outstanding",IF(AC236&lt;0,"Loss - sold below cost",IF(X236&gt;W236*0.5,"Check - more than half off","OK")))))))</f>
        <v>0</v>
      </c>
    </row>
    <row r="237" spans="1:38">
      <c r="A237" s="28">
        <f>IF(B237="","",SalePrefix&amp;TEXT(ROW()-4,"0000"))</f>
        <v>0</v>
      </c>
      <c r="E237" s="15">
        <f>IF(D237="","",IFERROR(INDEX(Clients!$B$5:$B$504,MATCH(D237,Clients!$A$5:$A$504,0)),"Walk-in"))</f>
        <v>0</v>
      </c>
      <c r="G237" s="15">
        <f>IF(F237="","",IFERROR(INDEX(Staff!$B$5:$B$44,MATCH(F237,Staff!$A$5:$A$44,0)),"House"))</f>
        <v>0</v>
      </c>
      <c r="R237" s="15">
        <f>IF(B237="","",TEXT(B237,"yyyy-mm"))</f>
        <v>0</v>
      </c>
      <c r="S237" s="25">
        <f>IF(B237="","",WEEKNUM(B237,2))</f>
        <v>0</v>
      </c>
      <c r="T237" s="37">
        <f>IF(B237="","",IF(K237="",1,K237))</f>
        <v>0</v>
      </c>
      <c r="U237" s="15">
        <f>IF(B237="","",IF(J237&lt;&gt;"",J237,IF(H237="Retail",IFERROR(INDEX(Inventory!$B$5:$B$304,MATCH(I237,Inventory!$A$5:$A$304,0))&amp;"","Not in Inventory"),IFERROR(INDEX(Services!$B$5:$B$204,MATCH(I237,Services!$A$5:$A$204,0))&amp;"","Not in Services"))))</f>
        <v>0</v>
      </c>
      <c r="V237" s="26">
        <f>IF(B237="","",IF(L237&lt;&gt;"",L237,IF(H237="Retail",IFERROR(INDEX(Inventory!$I$5:$I$304,MATCH(I237,Inventory!$A$5:$A$304,0))*1,0),IFERROR(INDEX(Services!$G$5:$G$204,MATCH(I237,Services!$A$5:$A$204,0))*1,0))))</f>
        <v>0</v>
      </c>
      <c r="W237" s="26">
        <f>IF(B237="","",ROUND(T237*V237,2))</f>
        <v>0</v>
      </c>
      <c r="X237" s="26">
        <f>IF(B237="","",ROUND(IF(M237="",0,W237*M237)+IF(N237="",0,N237),2))</f>
        <v>0</v>
      </c>
      <c r="Y237" s="26">
        <f>IF(B237="","",ROUND(W237-X237-IF(P237="",0,P237),2))</f>
        <v>0</v>
      </c>
      <c r="Z237" s="26">
        <f>IF(B237="","",IF(H237="Retail",IF(TaxOnRetail="Yes",ROUND(Y237*TaxRate,2),0),IF(H237="Service",IF(TaxOnServices="Yes",ROUND(Y237*TaxRate,2),0),0)))</f>
        <v>0</v>
      </c>
      <c r="AA237" s="26">
        <f>IF(B237="","",ROUND(Y237+Z237,2))</f>
        <v>0</v>
      </c>
      <c r="AB237" s="26">
        <f>IF(B237="","",ROUND(T237*IF(H237="Retail",IFERROR(INDEX(Inventory!$H$5:$H$304,MATCH(I237,Inventory!$A$5:$A$304,0))*1,0),IFERROR(INDEX(Services!$Q$5:$Q$204,MATCH(I237,Services!$A$5:$A$204,0))*1,0)),2))</f>
        <v>0</v>
      </c>
      <c r="AC237" s="26">
        <f>IF(B237="","",ROUND(Y237-AB237,2))</f>
        <v>0</v>
      </c>
      <c r="AD237" s="38">
        <f>IF(B237="","",IF(C237="","No",IF(COUNTIFS($C$5:C237,C237)=1,"Yes","No")))</f>
        <v>0</v>
      </c>
      <c r="AE237" s="26">
        <f>IF(B237="","",ROUND(SUMIFS(Payments!$G$5:$G$1204,Payments!$H$5:$H$1204,A237,Payments!$Q$5:$Q$1204,"Yes"),2))</f>
        <v>0</v>
      </c>
      <c r="AF237" s="26">
        <f>IF(B237="","",IF(AD237="No",0,ROUND(SUMIFS(Payments!$G$5:$G$1204,Payments!$I$5:$I$1204,C237,Payments!$H$5:$H$1204,"",Payments!$Q$5:$Q$1204,"Yes"),2)))</f>
        <v>0</v>
      </c>
      <c r="AG237" s="26">
        <f>IF(B237="","",ROUND(AE237+AF237,2))</f>
        <v>0</v>
      </c>
      <c r="AH237" s="26">
        <f>IF(B237="","",ROUND(AA237-AG237,2))</f>
        <v>0</v>
      </c>
      <c r="AI237" s="39">
        <f>IF(B237="","",IF(AA237&lt;=0,"No charge",IF(AH237&lt;=0.004,"Paid",IF(AG237&lt;=0.004,"Unpaid","Part paid"))))</f>
        <v>0</v>
      </c>
      <c r="AJ237" s="38">
        <f>IF(B237="","",IF(H237&lt;&gt;"Service","",IF(D237="","No",IF(COUNTIFS($D$5:$D$1204,D237,$B$5:$B$1204,B237,$H$5:$H$1204,"Retail")&gt;0,"Yes","No"))))</f>
        <v>0</v>
      </c>
      <c r="AK237" s="25">
        <f>IF(B237="","",COUNTIFS($Y$5:$Y$1204,"&gt;"&amp;Y237)+COUNTIFS($Y$5:Y237,Y237))</f>
        <v>0</v>
      </c>
      <c r="AL237" s="39">
        <f>IF(B237="","",IF(H237="","Add - what kind of sale is this?",IF(IF(V237&lt;=0,P237="",FALSE),"Check - no price found for this item",IF(F237="","Assign - nobody credited",IF(AH237&gt;0.004,"Unpaid - balance outstanding",IF(AC237&lt;0,"Loss - sold below cost",IF(X237&gt;W237*0.5,"Check - more than half off","OK")))))))</f>
        <v>0</v>
      </c>
    </row>
    <row r="238" spans="1:38">
      <c r="A238" s="28">
        <f>IF(B238="","",SalePrefix&amp;TEXT(ROW()-4,"0000"))</f>
        <v>0</v>
      </c>
      <c r="E238" s="15">
        <f>IF(D238="","",IFERROR(INDEX(Clients!$B$5:$B$504,MATCH(D238,Clients!$A$5:$A$504,0)),"Walk-in"))</f>
        <v>0</v>
      </c>
      <c r="G238" s="15">
        <f>IF(F238="","",IFERROR(INDEX(Staff!$B$5:$B$44,MATCH(F238,Staff!$A$5:$A$44,0)),"House"))</f>
        <v>0</v>
      </c>
      <c r="R238" s="15">
        <f>IF(B238="","",TEXT(B238,"yyyy-mm"))</f>
        <v>0</v>
      </c>
      <c r="S238" s="25">
        <f>IF(B238="","",WEEKNUM(B238,2))</f>
        <v>0</v>
      </c>
      <c r="T238" s="37">
        <f>IF(B238="","",IF(K238="",1,K238))</f>
        <v>0</v>
      </c>
      <c r="U238" s="15">
        <f>IF(B238="","",IF(J238&lt;&gt;"",J238,IF(H238="Retail",IFERROR(INDEX(Inventory!$B$5:$B$304,MATCH(I238,Inventory!$A$5:$A$304,0))&amp;"","Not in Inventory"),IFERROR(INDEX(Services!$B$5:$B$204,MATCH(I238,Services!$A$5:$A$204,0))&amp;"","Not in Services"))))</f>
        <v>0</v>
      </c>
      <c r="V238" s="26">
        <f>IF(B238="","",IF(L238&lt;&gt;"",L238,IF(H238="Retail",IFERROR(INDEX(Inventory!$I$5:$I$304,MATCH(I238,Inventory!$A$5:$A$304,0))*1,0),IFERROR(INDEX(Services!$G$5:$G$204,MATCH(I238,Services!$A$5:$A$204,0))*1,0))))</f>
        <v>0</v>
      </c>
      <c r="W238" s="26">
        <f>IF(B238="","",ROUND(T238*V238,2))</f>
        <v>0</v>
      </c>
      <c r="X238" s="26">
        <f>IF(B238="","",ROUND(IF(M238="",0,W238*M238)+IF(N238="",0,N238),2))</f>
        <v>0</v>
      </c>
      <c r="Y238" s="26">
        <f>IF(B238="","",ROUND(W238-X238-IF(P238="",0,P238),2))</f>
        <v>0</v>
      </c>
      <c r="Z238" s="26">
        <f>IF(B238="","",IF(H238="Retail",IF(TaxOnRetail="Yes",ROUND(Y238*TaxRate,2),0),IF(H238="Service",IF(TaxOnServices="Yes",ROUND(Y238*TaxRate,2),0),0)))</f>
        <v>0</v>
      </c>
      <c r="AA238" s="26">
        <f>IF(B238="","",ROUND(Y238+Z238,2))</f>
        <v>0</v>
      </c>
      <c r="AB238" s="26">
        <f>IF(B238="","",ROUND(T238*IF(H238="Retail",IFERROR(INDEX(Inventory!$H$5:$H$304,MATCH(I238,Inventory!$A$5:$A$304,0))*1,0),IFERROR(INDEX(Services!$Q$5:$Q$204,MATCH(I238,Services!$A$5:$A$204,0))*1,0)),2))</f>
        <v>0</v>
      </c>
      <c r="AC238" s="26">
        <f>IF(B238="","",ROUND(Y238-AB238,2))</f>
        <v>0</v>
      </c>
      <c r="AD238" s="38">
        <f>IF(B238="","",IF(C238="","No",IF(COUNTIFS($C$5:C238,C238)=1,"Yes","No")))</f>
        <v>0</v>
      </c>
      <c r="AE238" s="26">
        <f>IF(B238="","",ROUND(SUMIFS(Payments!$G$5:$G$1204,Payments!$H$5:$H$1204,A238,Payments!$Q$5:$Q$1204,"Yes"),2))</f>
        <v>0</v>
      </c>
      <c r="AF238" s="26">
        <f>IF(B238="","",IF(AD238="No",0,ROUND(SUMIFS(Payments!$G$5:$G$1204,Payments!$I$5:$I$1204,C238,Payments!$H$5:$H$1204,"",Payments!$Q$5:$Q$1204,"Yes"),2)))</f>
        <v>0</v>
      </c>
      <c r="AG238" s="26">
        <f>IF(B238="","",ROUND(AE238+AF238,2))</f>
        <v>0</v>
      </c>
      <c r="AH238" s="26">
        <f>IF(B238="","",ROUND(AA238-AG238,2))</f>
        <v>0</v>
      </c>
      <c r="AI238" s="39">
        <f>IF(B238="","",IF(AA238&lt;=0,"No charge",IF(AH238&lt;=0.004,"Paid",IF(AG238&lt;=0.004,"Unpaid","Part paid"))))</f>
        <v>0</v>
      </c>
      <c r="AJ238" s="38">
        <f>IF(B238="","",IF(H238&lt;&gt;"Service","",IF(D238="","No",IF(COUNTIFS($D$5:$D$1204,D238,$B$5:$B$1204,B238,$H$5:$H$1204,"Retail")&gt;0,"Yes","No"))))</f>
        <v>0</v>
      </c>
      <c r="AK238" s="25">
        <f>IF(B238="","",COUNTIFS($Y$5:$Y$1204,"&gt;"&amp;Y238)+COUNTIFS($Y$5:Y238,Y238))</f>
        <v>0</v>
      </c>
      <c r="AL238" s="39">
        <f>IF(B238="","",IF(H238="","Add - what kind of sale is this?",IF(IF(V238&lt;=0,P238="",FALSE),"Check - no price found for this item",IF(F238="","Assign - nobody credited",IF(AH238&gt;0.004,"Unpaid - balance outstanding",IF(AC238&lt;0,"Loss - sold below cost",IF(X238&gt;W238*0.5,"Check - more than half off","OK")))))))</f>
        <v>0</v>
      </c>
    </row>
    <row r="239" spans="1:38">
      <c r="A239" s="28">
        <f>IF(B239="","",SalePrefix&amp;TEXT(ROW()-4,"0000"))</f>
        <v>0</v>
      </c>
      <c r="E239" s="15">
        <f>IF(D239="","",IFERROR(INDEX(Clients!$B$5:$B$504,MATCH(D239,Clients!$A$5:$A$504,0)),"Walk-in"))</f>
        <v>0</v>
      </c>
      <c r="G239" s="15">
        <f>IF(F239="","",IFERROR(INDEX(Staff!$B$5:$B$44,MATCH(F239,Staff!$A$5:$A$44,0)),"House"))</f>
        <v>0</v>
      </c>
      <c r="R239" s="15">
        <f>IF(B239="","",TEXT(B239,"yyyy-mm"))</f>
        <v>0</v>
      </c>
      <c r="S239" s="25">
        <f>IF(B239="","",WEEKNUM(B239,2))</f>
        <v>0</v>
      </c>
      <c r="T239" s="37">
        <f>IF(B239="","",IF(K239="",1,K239))</f>
        <v>0</v>
      </c>
      <c r="U239" s="15">
        <f>IF(B239="","",IF(J239&lt;&gt;"",J239,IF(H239="Retail",IFERROR(INDEX(Inventory!$B$5:$B$304,MATCH(I239,Inventory!$A$5:$A$304,0))&amp;"","Not in Inventory"),IFERROR(INDEX(Services!$B$5:$B$204,MATCH(I239,Services!$A$5:$A$204,0))&amp;"","Not in Services"))))</f>
        <v>0</v>
      </c>
      <c r="V239" s="26">
        <f>IF(B239="","",IF(L239&lt;&gt;"",L239,IF(H239="Retail",IFERROR(INDEX(Inventory!$I$5:$I$304,MATCH(I239,Inventory!$A$5:$A$304,0))*1,0),IFERROR(INDEX(Services!$G$5:$G$204,MATCH(I239,Services!$A$5:$A$204,0))*1,0))))</f>
        <v>0</v>
      </c>
      <c r="W239" s="26">
        <f>IF(B239="","",ROUND(T239*V239,2))</f>
        <v>0</v>
      </c>
      <c r="X239" s="26">
        <f>IF(B239="","",ROUND(IF(M239="",0,W239*M239)+IF(N239="",0,N239),2))</f>
        <v>0</v>
      </c>
      <c r="Y239" s="26">
        <f>IF(B239="","",ROUND(W239-X239-IF(P239="",0,P239),2))</f>
        <v>0</v>
      </c>
      <c r="Z239" s="26">
        <f>IF(B239="","",IF(H239="Retail",IF(TaxOnRetail="Yes",ROUND(Y239*TaxRate,2),0),IF(H239="Service",IF(TaxOnServices="Yes",ROUND(Y239*TaxRate,2),0),0)))</f>
        <v>0</v>
      </c>
      <c r="AA239" s="26">
        <f>IF(B239="","",ROUND(Y239+Z239,2))</f>
        <v>0</v>
      </c>
      <c r="AB239" s="26">
        <f>IF(B239="","",ROUND(T239*IF(H239="Retail",IFERROR(INDEX(Inventory!$H$5:$H$304,MATCH(I239,Inventory!$A$5:$A$304,0))*1,0),IFERROR(INDEX(Services!$Q$5:$Q$204,MATCH(I239,Services!$A$5:$A$204,0))*1,0)),2))</f>
        <v>0</v>
      </c>
      <c r="AC239" s="26">
        <f>IF(B239="","",ROUND(Y239-AB239,2))</f>
        <v>0</v>
      </c>
      <c r="AD239" s="38">
        <f>IF(B239="","",IF(C239="","No",IF(COUNTIFS($C$5:C239,C239)=1,"Yes","No")))</f>
        <v>0</v>
      </c>
      <c r="AE239" s="26">
        <f>IF(B239="","",ROUND(SUMIFS(Payments!$G$5:$G$1204,Payments!$H$5:$H$1204,A239,Payments!$Q$5:$Q$1204,"Yes"),2))</f>
        <v>0</v>
      </c>
      <c r="AF239" s="26">
        <f>IF(B239="","",IF(AD239="No",0,ROUND(SUMIFS(Payments!$G$5:$G$1204,Payments!$I$5:$I$1204,C239,Payments!$H$5:$H$1204,"",Payments!$Q$5:$Q$1204,"Yes"),2)))</f>
        <v>0</v>
      </c>
      <c r="AG239" s="26">
        <f>IF(B239="","",ROUND(AE239+AF239,2))</f>
        <v>0</v>
      </c>
      <c r="AH239" s="26">
        <f>IF(B239="","",ROUND(AA239-AG239,2))</f>
        <v>0</v>
      </c>
      <c r="AI239" s="39">
        <f>IF(B239="","",IF(AA239&lt;=0,"No charge",IF(AH239&lt;=0.004,"Paid",IF(AG239&lt;=0.004,"Unpaid","Part paid"))))</f>
        <v>0</v>
      </c>
      <c r="AJ239" s="38">
        <f>IF(B239="","",IF(H239&lt;&gt;"Service","",IF(D239="","No",IF(COUNTIFS($D$5:$D$1204,D239,$B$5:$B$1204,B239,$H$5:$H$1204,"Retail")&gt;0,"Yes","No"))))</f>
        <v>0</v>
      </c>
      <c r="AK239" s="25">
        <f>IF(B239="","",COUNTIFS($Y$5:$Y$1204,"&gt;"&amp;Y239)+COUNTIFS($Y$5:Y239,Y239))</f>
        <v>0</v>
      </c>
      <c r="AL239" s="39">
        <f>IF(B239="","",IF(H239="","Add - what kind of sale is this?",IF(IF(V239&lt;=0,P239="",FALSE),"Check - no price found for this item",IF(F239="","Assign - nobody credited",IF(AH239&gt;0.004,"Unpaid - balance outstanding",IF(AC239&lt;0,"Loss - sold below cost",IF(X239&gt;W239*0.5,"Check - more than half off","OK")))))))</f>
        <v>0</v>
      </c>
    </row>
    <row r="240" spans="1:38">
      <c r="A240" s="28">
        <f>IF(B240="","",SalePrefix&amp;TEXT(ROW()-4,"0000"))</f>
        <v>0</v>
      </c>
      <c r="E240" s="15">
        <f>IF(D240="","",IFERROR(INDEX(Clients!$B$5:$B$504,MATCH(D240,Clients!$A$5:$A$504,0)),"Walk-in"))</f>
        <v>0</v>
      </c>
      <c r="G240" s="15">
        <f>IF(F240="","",IFERROR(INDEX(Staff!$B$5:$B$44,MATCH(F240,Staff!$A$5:$A$44,0)),"House"))</f>
        <v>0</v>
      </c>
      <c r="R240" s="15">
        <f>IF(B240="","",TEXT(B240,"yyyy-mm"))</f>
        <v>0</v>
      </c>
      <c r="S240" s="25">
        <f>IF(B240="","",WEEKNUM(B240,2))</f>
        <v>0</v>
      </c>
      <c r="T240" s="37">
        <f>IF(B240="","",IF(K240="",1,K240))</f>
        <v>0</v>
      </c>
      <c r="U240" s="15">
        <f>IF(B240="","",IF(J240&lt;&gt;"",J240,IF(H240="Retail",IFERROR(INDEX(Inventory!$B$5:$B$304,MATCH(I240,Inventory!$A$5:$A$304,0))&amp;"","Not in Inventory"),IFERROR(INDEX(Services!$B$5:$B$204,MATCH(I240,Services!$A$5:$A$204,0))&amp;"","Not in Services"))))</f>
        <v>0</v>
      </c>
      <c r="V240" s="26">
        <f>IF(B240="","",IF(L240&lt;&gt;"",L240,IF(H240="Retail",IFERROR(INDEX(Inventory!$I$5:$I$304,MATCH(I240,Inventory!$A$5:$A$304,0))*1,0),IFERROR(INDEX(Services!$G$5:$G$204,MATCH(I240,Services!$A$5:$A$204,0))*1,0))))</f>
        <v>0</v>
      </c>
      <c r="W240" s="26">
        <f>IF(B240="","",ROUND(T240*V240,2))</f>
        <v>0</v>
      </c>
      <c r="X240" s="26">
        <f>IF(B240="","",ROUND(IF(M240="",0,W240*M240)+IF(N240="",0,N240),2))</f>
        <v>0</v>
      </c>
      <c r="Y240" s="26">
        <f>IF(B240="","",ROUND(W240-X240-IF(P240="",0,P240),2))</f>
        <v>0</v>
      </c>
      <c r="Z240" s="26">
        <f>IF(B240="","",IF(H240="Retail",IF(TaxOnRetail="Yes",ROUND(Y240*TaxRate,2),0),IF(H240="Service",IF(TaxOnServices="Yes",ROUND(Y240*TaxRate,2),0),0)))</f>
        <v>0</v>
      </c>
      <c r="AA240" s="26">
        <f>IF(B240="","",ROUND(Y240+Z240,2))</f>
        <v>0</v>
      </c>
      <c r="AB240" s="26">
        <f>IF(B240="","",ROUND(T240*IF(H240="Retail",IFERROR(INDEX(Inventory!$H$5:$H$304,MATCH(I240,Inventory!$A$5:$A$304,0))*1,0),IFERROR(INDEX(Services!$Q$5:$Q$204,MATCH(I240,Services!$A$5:$A$204,0))*1,0)),2))</f>
        <v>0</v>
      </c>
      <c r="AC240" s="26">
        <f>IF(B240="","",ROUND(Y240-AB240,2))</f>
        <v>0</v>
      </c>
      <c r="AD240" s="38">
        <f>IF(B240="","",IF(C240="","No",IF(COUNTIFS($C$5:C240,C240)=1,"Yes","No")))</f>
        <v>0</v>
      </c>
      <c r="AE240" s="26">
        <f>IF(B240="","",ROUND(SUMIFS(Payments!$G$5:$G$1204,Payments!$H$5:$H$1204,A240,Payments!$Q$5:$Q$1204,"Yes"),2))</f>
        <v>0</v>
      </c>
      <c r="AF240" s="26">
        <f>IF(B240="","",IF(AD240="No",0,ROUND(SUMIFS(Payments!$G$5:$G$1204,Payments!$I$5:$I$1204,C240,Payments!$H$5:$H$1204,"",Payments!$Q$5:$Q$1204,"Yes"),2)))</f>
        <v>0</v>
      </c>
      <c r="AG240" s="26">
        <f>IF(B240="","",ROUND(AE240+AF240,2))</f>
        <v>0</v>
      </c>
      <c r="AH240" s="26">
        <f>IF(B240="","",ROUND(AA240-AG240,2))</f>
        <v>0</v>
      </c>
      <c r="AI240" s="39">
        <f>IF(B240="","",IF(AA240&lt;=0,"No charge",IF(AH240&lt;=0.004,"Paid",IF(AG240&lt;=0.004,"Unpaid","Part paid"))))</f>
        <v>0</v>
      </c>
      <c r="AJ240" s="38">
        <f>IF(B240="","",IF(H240&lt;&gt;"Service","",IF(D240="","No",IF(COUNTIFS($D$5:$D$1204,D240,$B$5:$B$1204,B240,$H$5:$H$1204,"Retail")&gt;0,"Yes","No"))))</f>
        <v>0</v>
      </c>
      <c r="AK240" s="25">
        <f>IF(B240="","",COUNTIFS($Y$5:$Y$1204,"&gt;"&amp;Y240)+COUNTIFS($Y$5:Y240,Y240))</f>
        <v>0</v>
      </c>
      <c r="AL240" s="39">
        <f>IF(B240="","",IF(H240="","Add - what kind of sale is this?",IF(IF(V240&lt;=0,P240="",FALSE),"Check - no price found for this item",IF(F240="","Assign - nobody credited",IF(AH240&gt;0.004,"Unpaid - balance outstanding",IF(AC240&lt;0,"Loss - sold below cost",IF(X240&gt;W240*0.5,"Check - more than half off","OK")))))))</f>
        <v>0</v>
      </c>
    </row>
    <row r="241" spans="1:38">
      <c r="A241" s="28">
        <f>IF(B241="","",SalePrefix&amp;TEXT(ROW()-4,"0000"))</f>
        <v>0</v>
      </c>
      <c r="E241" s="15">
        <f>IF(D241="","",IFERROR(INDEX(Clients!$B$5:$B$504,MATCH(D241,Clients!$A$5:$A$504,0)),"Walk-in"))</f>
        <v>0</v>
      </c>
      <c r="G241" s="15">
        <f>IF(F241="","",IFERROR(INDEX(Staff!$B$5:$B$44,MATCH(F241,Staff!$A$5:$A$44,0)),"House"))</f>
        <v>0</v>
      </c>
      <c r="R241" s="15">
        <f>IF(B241="","",TEXT(B241,"yyyy-mm"))</f>
        <v>0</v>
      </c>
      <c r="S241" s="25">
        <f>IF(B241="","",WEEKNUM(B241,2))</f>
        <v>0</v>
      </c>
      <c r="T241" s="37">
        <f>IF(B241="","",IF(K241="",1,K241))</f>
        <v>0</v>
      </c>
      <c r="U241" s="15">
        <f>IF(B241="","",IF(J241&lt;&gt;"",J241,IF(H241="Retail",IFERROR(INDEX(Inventory!$B$5:$B$304,MATCH(I241,Inventory!$A$5:$A$304,0))&amp;"","Not in Inventory"),IFERROR(INDEX(Services!$B$5:$B$204,MATCH(I241,Services!$A$5:$A$204,0))&amp;"","Not in Services"))))</f>
        <v>0</v>
      </c>
      <c r="V241" s="26">
        <f>IF(B241="","",IF(L241&lt;&gt;"",L241,IF(H241="Retail",IFERROR(INDEX(Inventory!$I$5:$I$304,MATCH(I241,Inventory!$A$5:$A$304,0))*1,0),IFERROR(INDEX(Services!$G$5:$G$204,MATCH(I241,Services!$A$5:$A$204,0))*1,0))))</f>
        <v>0</v>
      </c>
      <c r="W241" s="26">
        <f>IF(B241="","",ROUND(T241*V241,2))</f>
        <v>0</v>
      </c>
      <c r="X241" s="26">
        <f>IF(B241="","",ROUND(IF(M241="",0,W241*M241)+IF(N241="",0,N241),2))</f>
        <v>0</v>
      </c>
      <c r="Y241" s="26">
        <f>IF(B241="","",ROUND(W241-X241-IF(P241="",0,P241),2))</f>
        <v>0</v>
      </c>
      <c r="Z241" s="26">
        <f>IF(B241="","",IF(H241="Retail",IF(TaxOnRetail="Yes",ROUND(Y241*TaxRate,2),0),IF(H241="Service",IF(TaxOnServices="Yes",ROUND(Y241*TaxRate,2),0),0)))</f>
        <v>0</v>
      </c>
      <c r="AA241" s="26">
        <f>IF(B241="","",ROUND(Y241+Z241,2))</f>
        <v>0</v>
      </c>
      <c r="AB241" s="26">
        <f>IF(B241="","",ROUND(T241*IF(H241="Retail",IFERROR(INDEX(Inventory!$H$5:$H$304,MATCH(I241,Inventory!$A$5:$A$304,0))*1,0),IFERROR(INDEX(Services!$Q$5:$Q$204,MATCH(I241,Services!$A$5:$A$204,0))*1,0)),2))</f>
        <v>0</v>
      </c>
      <c r="AC241" s="26">
        <f>IF(B241="","",ROUND(Y241-AB241,2))</f>
        <v>0</v>
      </c>
      <c r="AD241" s="38">
        <f>IF(B241="","",IF(C241="","No",IF(COUNTIFS($C$5:C241,C241)=1,"Yes","No")))</f>
        <v>0</v>
      </c>
      <c r="AE241" s="26">
        <f>IF(B241="","",ROUND(SUMIFS(Payments!$G$5:$G$1204,Payments!$H$5:$H$1204,A241,Payments!$Q$5:$Q$1204,"Yes"),2))</f>
        <v>0</v>
      </c>
      <c r="AF241" s="26">
        <f>IF(B241="","",IF(AD241="No",0,ROUND(SUMIFS(Payments!$G$5:$G$1204,Payments!$I$5:$I$1204,C241,Payments!$H$5:$H$1204,"",Payments!$Q$5:$Q$1204,"Yes"),2)))</f>
        <v>0</v>
      </c>
      <c r="AG241" s="26">
        <f>IF(B241="","",ROUND(AE241+AF241,2))</f>
        <v>0</v>
      </c>
      <c r="AH241" s="26">
        <f>IF(B241="","",ROUND(AA241-AG241,2))</f>
        <v>0</v>
      </c>
      <c r="AI241" s="39">
        <f>IF(B241="","",IF(AA241&lt;=0,"No charge",IF(AH241&lt;=0.004,"Paid",IF(AG241&lt;=0.004,"Unpaid","Part paid"))))</f>
        <v>0</v>
      </c>
      <c r="AJ241" s="38">
        <f>IF(B241="","",IF(H241&lt;&gt;"Service","",IF(D241="","No",IF(COUNTIFS($D$5:$D$1204,D241,$B$5:$B$1204,B241,$H$5:$H$1204,"Retail")&gt;0,"Yes","No"))))</f>
        <v>0</v>
      </c>
      <c r="AK241" s="25">
        <f>IF(B241="","",COUNTIFS($Y$5:$Y$1204,"&gt;"&amp;Y241)+COUNTIFS($Y$5:Y241,Y241))</f>
        <v>0</v>
      </c>
      <c r="AL241" s="39">
        <f>IF(B241="","",IF(H241="","Add - what kind of sale is this?",IF(IF(V241&lt;=0,P241="",FALSE),"Check - no price found for this item",IF(F241="","Assign - nobody credited",IF(AH241&gt;0.004,"Unpaid - balance outstanding",IF(AC241&lt;0,"Loss - sold below cost",IF(X241&gt;W241*0.5,"Check - more than half off","OK")))))))</f>
        <v>0</v>
      </c>
    </row>
    <row r="242" spans="1:38">
      <c r="A242" s="28">
        <f>IF(B242="","",SalePrefix&amp;TEXT(ROW()-4,"0000"))</f>
        <v>0</v>
      </c>
      <c r="E242" s="15">
        <f>IF(D242="","",IFERROR(INDEX(Clients!$B$5:$B$504,MATCH(D242,Clients!$A$5:$A$504,0)),"Walk-in"))</f>
        <v>0</v>
      </c>
      <c r="G242" s="15">
        <f>IF(F242="","",IFERROR(INDEX(Staff!$B$5:$B$44,MATCH(F242,Staff!$A$5:$A$44,0)),"House"))</f>
        <v>0</v>
      </c>
      <c r="R242" s="15">
        <f>IF(B242="","",TEXT(B242,"yyyy-mm"))</f>
        <v>0</v>
      </c>
      <c r="S242" s="25">
        <f>IF(B242="","",WEEKNUM(B242,2))</f>
        <v>0</v>
      </c>
      <c r="T242" s="37">
        <f>IF(B242="","",IF(K242="",1,K242))</f>
        <v>0</v>
      </c>
      <c r="U242" s="15">
        <f>IF(B242="","",IF(J242&lt;&gt;"",J242,IF(H242="Retail",IFERROR(INDEX(Inventory!$B$5:$B$304,MATCH(I242,Inventory!$A$5:$A$304,0))&amp;"","Not in Inventory"),IFERROR(INDEX(Services!$B$5:$B$204,MATCH(I242,Services!$A$5:$A$204,0))&amp;"","Not in Services"))))</f>
        <v>0</v>
      </c>
      <c r="V242" s="26">
        <f>IF(B242="","",IF(L242&lt;&gt;"",L242,IF(H242="Retail",IFERROR(INDEX(Inventory!$I$5:$I$304,MATCH(I242,Inventory!$A$5:$A$304,0))*1,0),IFERROR(INDEX(Services!$G$5:$G$204,MATCH(I242,Services!$A$5:$A$204,0))*1,0))))</f>
        <v>0</v>
      </c>
      <c r="W242" s="26">
        <f>IF(B242="","",ROUND(T242*V242,2))</f>
        <v>0</v>
      </c>
      <c r="X242" s="26">
        <f>IF(B242="","",ROUND(IF(M242="",0,W242*M242)+IF(N242="",0,N242),2))</f>
        <v>0</v>
      </c>
      <c r="Y242" s="26">
        <f>IF(B242="","",ROUND(W242-X242-IF(P242="",0,P242),2))</f>
        <v>0</v>
      </c>
      <c r="Z242" s="26">
        <f>IF(B242="","",IF(H242="Retail",IF(TaxOnRetail="Yes",ROUND(Y242*TaxRate,2),0),IF(H242="Service",IF(TaxOnServices="Yes",ROUND(Y242*TaxRate,2),0),0)))</f>
        <v>0</v>
      </c>
      <c r="AA242" s="26">
        <f>IF(B242="","",ROUND(Y242+Z242,2))</f>
        <v>0</v>
      </c>
      <c r="AB242" s="26">
        <f>IF(B242="","",ROUND(T242*IF(H242="Retail",IFERROR(INDEX(Inventory!$H$5:$H$304,MATCH(I242,Inventory!$A$5:$A$304,0))*1,0),IFERROR(INDEX(Services!$Q$5:$Q$204,MATCH(I242,Services!$A$5:$A$204,0))*1,0)),2))</f>
        <v>0</v>
      </c>
      <c r="AC242" s="26">
        <f>IF(B242="","",ROUND(Y242-AB242,2))</f>
        <v>0</v>
      </c>
      <c r="AD242" s="38">
        <f>IF(B242="","",IF(C242="","No",IF(COUNTIFS($C$5:C242,C242)=1,"Yes","No")))</f>
        <v>0</v>
      </c>
      <c r="AE242" s="26">
        <f>IF(B242="","",ROUND(SUMIFS(Payments!$G$5:$G$1204,Payments!$H$5:$H$1204,A242,Payments!$Q$5:$Q$1204,"Yes"),2))</f>
        <v>0</v>
      </c>
      <c r="AF242" s="26">
        <f>IF(B242="","",IF(AD242="No",0,ROUND(SUMIFS(Payments!$G$5:$G$1204,Payments!$I$5:$I$1204,C242,Payments!$H$5:$H$1204,"",Payments!$Q$5:$Q$1204,"Yes"),2)))</f>
        <v>0</v>
      </c>
      <c r="AG242" s="26">
        <f>IF(B242="","",ROUND(AE242+AF242,2))</f>
        <v>0</v>
      </c>
      <c r="AH242" s="26">
        <f>IF(B242="","",ROUND(AA242-AG242,2))</f>
        <v>0</v>
      </c>
      <c r="AI242" s="39">
        <f>IF(B242="","",IF(AA242&lt;=0,"No charge",IF(AH242&lt;=0.004,"Paid",IF(AG242&lt;=0.004,"Unpaid","Part paid"))))</f>
        <v>0</v>
      </c>
      <c r="AJ242" s="38">
        <f>IF(B242="","",IF(H242&lt;&gt;"Service","",IF(D242="","No",IF(COUNTIFS($D$5:$D$1204,D242,$B$5:$B$1204,B242,$H$5:$H$1204,"Retail")&gt;0,"Yes","No"))))</f>
        <v>0</v>
      </c>
      <c r="AK242" s="25">
        <f>IF(B242="","",COUNTIFS($Y$5:$Y$1204,"&gt;"&amp;Y242)+COUNTIFS($Y$5:Y242,Y242))</f>
        <v>0</v>
      </c>
      <c r="AL242" s="39">
        <f>IF(B242="","",IF(H242="","Add - what kind of sale is this?",IF(IF(V242&lt;=0,P242="",FALSE),"Check - no price found for this item",IF(F242="","Assign - nobody credited",IF(AH242&gt;0.004,"Unpaid - balance outstanding",IF(AC242&lt;0,"Loss - sold below cost",IF(X242&gt;W242*0.5,"Check - more than half off","OK")))))))</f>
        <v>0</v>
      </c>
    </row>
    <row r="243" spans="1:38">
      <c r="A243" s="28">
        <f>IF(B243="","",SalePrefix&amp;TEXT(ROW()-4,"0000"))</f>
        <v>0</v>
      </c>
      <c r="E243" s="15">
        <f>IF(D243="","",IFERROR(INDEX(Clients!$B$5:$B$504,MATCH(D243,Clients!$A$5:$A$504,0)),"Walk-in"))</f>
        <v>0</v>
      </c>
      <c r="G243" s="15">
        <f>IF(F243="","",IFERROR(INDEX(Staff!$B$5:$B$44,MATCH(F243,Staff!$A$5:$A$44,0)),"House"))</f>
        <v>0</v>
      </c>
      <c r="R243" s="15">
        <f>IF(B243="","",TEXT(B243,"yyyy-mm"))</f>
        <v>0</v>
      </c>
      <c r="S243" s="25">
        <f>IF(B243="","",WEEKNUM(B243,2))</f>
        <v>0</v>
      </c>
      <c r="T243" s="37">
        <f>IF(B243="","",IF(K243="",1,K243))</f>
        <v>0</v>
      </c>
      <c r="U243" s="15">
        <f>IF(B243="","",IF(J243&lt;&gt;"",J243,IF(H243="Retail",IFERROR(INDEX(Inventory!$B$5:$B$304,MATCH(I243,Inventory!$A$5:$A$304,0))&amp;"","Not in Inventory"),IFERROR(INDEX(Services!$B$5:$B$204,MATCH(I243,Services!$A$5:$A$204,0))&amp;"","Not in Services"))))</f>
        <v>0</v>
      </c>
      <c r="V243" s="26">
        <f>IF(B243="","",IF(L243&lt;&gt;"",L243,IF(H243="Retail",IFERROR(INDEX(Inventory!$I$5:$I$304,MATCH(I243,Inventory!$A$5:$A$304,0))*1,0),IFERROR(INDEX(Services!$G$5:$G$204,MATCH(I243,Services!$A$5:$A$204,0))*1,0))))</f>
        <v>0</v>
      </c>
      <c r="W243" s="26">
        <f>IF(B243="","",ROUND(T243*V243,2))</f>
        <v>0</v>
      </c>
      <c r="X243" s="26">
        <f>IF(B243="","",ROUND(IF(M243="",0,W243*M243)+IF(N243="",0,N243),2))</f>
        <v>0</v>
      </c>
      <c r="Y243" s="26">
        <f>IF(B243="","",ROUND(W243-X243-IF(P243="",0,P243),2))</f>
        <v>0</v>
      </c>
      <c r="Z243" s="26">
        <f>IF(B243="","",IF(H243="Retail",IF(TaxOnRetail="Yes",ROUND(Y243*TaxRate,2),0),IF(H243="Service",IF(TaxOnServices="Yes",ROUND(Y243*TaxRate,2),0),0)))</f>
        <v>0</v>
      </c>
      <c r="AA243" s="26">
        <f>IF(B243="","",ROUND(Y243+Z243,2))</f>
        <v>0</v>
      </c>
      <c r="AB243" s="26">
        <f>IF(B243="","",ROUND(T243*IF(H243="Retail",IFERROR(INDEX(Inventory!$H$5:$H$304,MATCH(I243,Inventory!$A$5:$A$304,0))*1,0),IFERROR(INDEX(Services!$Q$5:$Q$204,MATCH(I243,Services!$A$5:$A$204,0))*1,0)),2))</f>
        <v>0</v>
      </c>
      <c r="AC243" s="26">
        <f>IF(B243="","",ROUND(Y243-AB243,2))</f>
        <v>0</v>
      </c>
      <c r="AD243" s="38">
        <f>IF(B243="","",IF(C243="","No",IF(COUNTIFS($C$5:C243,C243)=1,"Yes","No")))</f>
        <v>0</v>
      </c>
      <c r="AE243" s="26">
        <f>IF(B243="","",ROUND(SUMIFS(Payments!$G$5:$G$1204,Payments!$H$5:$H$1204,A243,Payments!$Q$5:$Q$1204,"Yes"),2))</f>
        <v>0</v>
      </c>
      <c r="AF243" s="26">
        <f>IF(B243="","",IF(AD243="No",0,ROUND(SUMIFS(Payments!$G$5:$G$1204,Payments!$I$5:$I$1204,C243,Payments!$H$5:$H$1204,"",Payments!$Q$5:$Q$1204,"Yes"),2)))</f>
        <v>0</v>
      </c>
      <c r="AG243" s="26">
        <f>IF(B243="","",ROUND(AE243+AF243,2))</f>
        <v>0</v>
      </c>
      <c r="AH243" s="26">
        <f>IF(B243="","",ROUND(AA243-AG243,2))</f>
        <v>0</v>
      </c>
      <c r="AI243" s="39">
        <f>IF(B243="","",IF(AA243&lt;=0,"No charge",IF(AH243&lt;=0.004,"Paid",IF(AG243&lt;=0.004,"Unpaid","Part paid"))))</f>
        <v>0</v>
      </c>
      <c r="AJ243" s="38">
        <f>IF(B243="","",IF(H243&lt;&gt;"Service","",IF(D243="","No",IF(COUNTIFS($D$5:$D$1204,D243,$B$5:$B$1204,B243,$H$5:$H$1204,"Retail")&gt;0,"Yes","No"))))</f>
        <v>0</v>
      </c>
      <c r="AK243" s="25">
        <f>IF(B243="","",COUNTIFS($Y$5:$Y$1204,"&gt;"&amp;Y243)+COUNTIFS($Y$5:Y243,Y243))</f>
        <v>0</v>
      </c>
      <c r="AL243" s="39">
        <f>IF(B243="","",IF(H243="","Add - what kind of sale is this?",IF(IF(V243&lt;=0,P243="",FALSE),"Check - no price found for this item",IF(F243="","Assign - nobody credited",IF(AH243&gt;0.004,"Unpaid - balance outstanding",IF(AC243&lt;0,"Loss - sold below cost",IF(X243&gt;W243*0.5,"Check - more than half off","OK")))))))</f>
        <v>0</v>
      </c>
    </row>
    <row r="244" spans="1:38">
      <c r="A244" s="28">
        <f>IF(B244="","",SalePrefix&amp;TEXT(ROW()-4,"0000"))</f>
        <v>0</v>
      </c>
      <c r="E244" s="15">
        <f>IF(D244="","",IFERROR(INDEX(Clients!$B$5:$B$504,MATCH(D244,Clients!$A$5:$A$504,0)),"Walk-in"))</f>
        <v>0</v>
      </c>
      <c r="G244" s="15">
        <f>IF(F244="","",IFERROR(INDEX(Staff!$B$5:$B$44,MATCH(F244,Staff!$A$5:$A$44,0)),"House"))</f>
        <v>0</v>
      </c>
      <c r="R244" s="15">
        <f>IF(B244="","",TEXT(B244,"yyyy-mm"))</f>
        <v>0</v>
      </c>
      <c r="S244" s="25">
        <f>IF(B244="","",WEEKNUM(B244,2))</f>
        <v>0</v>
      </c>
      <c r="T244" s="37">
        <f>IF(B244="","",IF(K244="",1,K244))</f>
        <v>0</v>
      </c>
      <c r="U244" s="15">
        <f>IF(B244="","",IF(J244&lt;&gt;"",J244,IF(H244="Retail",IFERROR(INDEX(Inventory!$B$5:$B$304,MATCH(I244,Inventory!$A$5:$A$304,0))&amp;"","Not in Inventory"),IFERROR(INDEX(Services!$B$5:$B$204,MATCH(I244,Services!$A$5:$A$204,0))&amp;"","Not in Services"))))</f>
        <v>0</v>
      </c>
      <c r="V244" s="26">
        <f>IF(B244="","",IF(L244&lt;&gt;"",L244,IF(H244="Retail",IFERROR(INDEX(Inventory!$I$5:$I$304,MATCH(I244,Inventory!$A$5:$A$304,0))*1,0),IFERROR(INDEX(Services!$G$5:$G$204,MATCH(I244,Services!$A$5:$A$204,0))*1,0))))</f>
        <v>0</v>
      </c>
      <c r="W244" s="26">
        <f>IF(B244="","",ROUND(T244*V244,2))</f>
        <v>0</v>
      </c>
      <c r="X244" s="26">
        <f>IF(B244="","",ROUND(IF(M244="",0,W244*M244)+IF(N244="",0,N244),2))</f>
        <v>0</v>
      </c>
      <c r="Y244" s="26">
        <f>IF(B244="","",ROUND(W244-X244-IF(P244="",0,P244),2))</f>
        <v>0</v>
      </c>
      <c r="Z244" s="26">
        <f>IF(B244="","",IF(H244="Retail",IF(TaxOnRetail="Yes",ROUND(Y244*TaxRate,2),0),IF(H244="Service",IF(TaxOnServices="Yes",ROUND(Y244*TaxRate,2),0),0)))</f>
        <v>0</v>
      </c>
      <c r="AA244" s="26">
        <f>IF(B244="","",ROUND(Y244+Z244,2))</f>
        <v>0</v>
      </c>
      <c r="AB244" s="26">
        <f>IF(B244="","",ROUND(T244*IF(H244="Retail",IFERROR(INDEX(Inventory!$H$5:$H$304,MATCH(I244,Inventory!$A$5:$A$304,0))*1,0),IFERROR(INDEX(Services!$Q$5:$Q$204,MATCH(I244,Services!$A$5:$A$204,0))*1,0)),2))</f>
        <v>0</v>
      </c>
      <c r="AC244" s="26">
        <f>IF(B244="","",ROUND(Y244-AB244,2))</f>
        <v>0</v>
      </c>
      <c r="AD244" s="38">
        <f>IF(B244="","",IF(C244="","No",IF(COUNTIFS($C$5:C244,C244)=1,"Yes","No")))</f>
        <v>0</v>
      </c>
      <c r="AE244" s="26">
        <f>IF(B244="","",ROUND(SUMIFS(Payments!$G$5:$G$1204,Payments!$H$5:$H$1204,A244,Payments!$Q$5:$Q$1204,"Yes"),2))</f>
        <v>0</v>
      </c>
      <c r="AF244" s="26">
        <f>IF(B244="","",IF(AD244="No",0,ROUND(SUMIFS(Payments!$G$5:$G$1204,Payments!$I$5:$I$1204,C244,Payments!$H$5:$H$1204,"",Payments!$Q$5:$Q$1204,"Yes"),2)))</f>
        <v>0</v>
      </c>
      <c r="AG244" s="26">
        <f>IF(B244="","",ROUND(AE244+AF244,2))</f>
        <v>0</v>
      </c>
      <c r="AH244" s="26">
        <f>IF(B244="","",ROUND(AA244-AG244,2))</f>
        <v>0</v>
      </c>
      <c r="AI244" s="39">
        <f>IF(B244="","",IF(AA244&lt;=0,"No charge",IF(AH244&lt;=0.004,"Paid",IF(AG244&lt;=0.004,"Unpaid","Part paid"))))</f>
        <v>0</v>
      </c>
      <c r="AJ244" s="38">
        <f>IF(B244="","",IF(H244&lt;&gt;"Service","",IF(D244="","No",IF(COUNTIFS($D$5:$D$1204,D244,$B$5:$B$1204,B244,$H$5:$H$1204,"Retail")&gt;0,"Yes","No"))))</f>
        <v>0</v>
      </c>
      <c r="AK244" s="25">
        <f>IF(B244="","",COUNTIFS($Y$5:$Y$1204,"&gt;"&amp;Y244)+COUNTIFS($Y$5:Y244,Y244))</f>
        <v>0</v>
      </c>
      <c r="AL244" s="39">
        <f>IF(B244="","",IF(H244="","Add - what kind of sale is this?",IF(IF(V244&lt;=0,P244="",FALSE),"Check - no price found for this item",IF(F244="","Assign - nobody credited",IF(AH244&gt;0.004,"Unpaid - balance outstanding",IF(AC244&lt;0,"Loss - sold below cost",IF(X244&gt;W244*0.5,"Check - more than half off","OK")))))))</f>
        <v>0</v>
      </c>
    </row>
    <row r="245" spans="1:38">
      <c r="A245" s="28">
        <f>IF(B245="","",SalePrefix&amp;TEXT(ROW()-4,"0000"))</f>
        <v>0</v>
      </c>
      <c r="E245" s="15">
        <f>IF(D245="","",IFERROR(INDEX(Clients!$B$5:$B$504,MATCH(D245,Clients!$A$5:$A$504,0)),"Walk-in"))</f>
        <v>0</v>
      </c>
      <c r="G245" s="15">
        <f>IF(F245="","",IFERROR(INDEX(Staff!$B$5:$B$44,MATCH(F245,Staff!$A$5:$A$44,0)),"House"))</f>
        <v>0</v>
      </c>
      <c r="R245" s="15">
        <f>IF(B245="","",TEXT(B245,"yyyy-mm"))</f>
        <v>0</v>
      </c>
      <c r="S245" s="25">
        <f>IF(B245="","",WEEKNUM(B245,2))</f>
        <v>0</v>
      </c>
      <c r="T245" s="37">
        <f>IF(B245="","",IF(K245="",1,K245))</f>
        <v>0</v>
      </c>
      <c r="U245" s="15">
        <f>IF(B245="","",IF(J245&lt;&gt;"",J245,IF(H245="Retail",IFERROR(INDEX(Inventory!$B$5:$B$304,MATCH(I245,Inventory!$A$5:$A$304,0))&amp;"","Not in Inventory"),IFERROR(INDEX(Services!$B$5:$B$204,MATCH(I245,Services!$A$5:$A$204,0))&amp;"","Not in Services"))))</f>
        <v>0</v>
      </c>
      <c r="V245" s="26">
        <f>IF(B245="","",IF(L245&lt;&gt;"",L245,IF(H245="Retail",IFERROR(INDEX(Inventory!$I$5:$I$304,MATCH(I245,Inventory!$A$5:$A$304,0))*1,0),IFERROR(INDEX(Services!$G$5:$G$204,MATCH(I245,Services!$A$5:$A$204,0))*1,0))))</f>
        <v>0</v>
      </c>
      <c r="W245" s="26">
        <f>IF(B245="","",ROUND(T245*V245,2))</f>
        <v>0</v>
      </c>
      <c r="X245" s="26">
        <f>IF(B245="","",ROUND(IF(M245="",0,W245*M245)+IF(N245="",0,N245),2))</f>
        <v>0</v>
      </c>
      <c r="Y245" s="26">
        <f>IF(B245="","",ROUND(W245-X245-IF(P245="",0,P245),2))</f>
        <v>0</v>
      </c>
      <c r="Z245" s="26">
        <f>IF(B245="","",IF(H245="Retail",IF(TaxOnRetail="Yes",ROUND(Y245*TaxRate,2),0),IF(H245="Service",IF(TaxOnServices="Yes",ROUND(Y245*TaxRate,2),0),0)))</f>
        <v>0</v>
      </c>
      <c r="AA245" s="26">
        <f>IF(B245="","",ROUND(Y245+Z245,2))</f>
        <v>0</v>
      </c>
      <c r="AB245" s="26">
        <f>IF(B245="","",ROUND(T245*IF(H245="Retail",IFERROR(INDEX(Inventory!$H$5:$H$304,MATCH(I245,Inventory!$A$5:$A$304,0))*1,0),IFERROR(INDEX(Services!$Q$5:$Q$204,MATCH(I245,Services!$A$5:$A$204,0))*1,0)),2))</f>
        <v>0</v>
      </c>
      <c r="AC245" s="26">
        <f>IF(B245="","",ROUND(Y245-AB245,2))</f>
        <v>0</v>
      </c>
      <c r="AD245" s="38">
        <f>IF(B245="","",IF(C245="","No",IF(COUNTIFS($C$5:C245,C245)=1,"Yes","No")))</f>
        <v>0</v>
      </c>
      <c r="AE245" s="26">
        <f>IF(B245="","",ROUND(SUMIFS(Payments!$G$5:$G$1204,Payments!$H$5:$H$1204,A245,Payments!$Q$5:$Q$1204,"Yes"),2))</f>
        <v>0</v>
      </c>
      <c r="AF245" s="26">
        <f>IF(B245="","",IF(AD245="No",0,ROUND(SUMIFS(Payments!$G$5:$G$1204,Payments!$I$5:$I$1204,C245,Payments!$H$5:$H$1204,"",Payments!$Q$5:$Q$1204,"Yes"),2)))</f>
        <v>0</v>
      </c>
      <c r="AG245" s="26">
        <f>IF(B245="","",ROUND(AE245+AF245,2))</f>
        <v>0</v>
      </c>
      <c r="AH245" s="26">
        <f>IF(B245="","",ROUND(AA245-AG245,2))</f>
        <v>0</v>
      </c>
      <c r="AI245" s="39">
        <f>IF(B245="","",IF(AA245&lt;=0,"No charge",IF(AH245&lt;=0.004,"Paid",IF(AG245&lt;=0.004,"Unpaid","Part paid"))))</f>
        <v>0</v>
      </c>
      <c r="AJ245" s="38">
        <f>IF(B245="","",IF(H245&lt;&gt;"Service","",IF(D245="","No",IF(COUNTIFS($D$5:$D$1204,D245,$B$5:$B$1204,B245,$H$5:$H$1204,"Retail")&gt;0,"Yes","No"))))</f>
        <v>0</v>
      </c>
      <c r="AK245" s="25">
        <f>IF(B245="","",COUNTIFS($Y$5:$Y$1204,"&gt;"&amp;Y245)+COUNTIFS($Y$5:Y245,Y245))</f>
        <v>0</v>
      </c>
      <c r="AL245" s="39">
        <f>IF(B245="","",IF(H245="","Add - what kind of sale is this?",IF(IF(V245&lt;=0,P245="",FALSE),"Check - no price found for this item",IF(F245="","Assign - nobody credited",IF(AH245&gt;0.004,"Unpaid - balance outstanding",IF(AC245&lt;0,"Loss - sold below cost",IF(X245&gt;W245*0.5,"Check - more than half off","OK")))))))</f>
        <v>0</v>
      </c>
    </row>
    <row r="246" spans="1:38">
      <c r="A246" s="28">
        <f>IF(B246="","",SalePrefix&amp;TEXT(ROW()-4,"0000"))</f>
        <v>0</v>
      </c>
      <c r="E246" s="15">
        <f>IF(D246="","",IFERROR(INDEX(Clients!$B$5:$B$504,MATCH(D246,Clients!$A$5:$A$504,0)),"Walk-in"))</f>
        <v>0</v>
      </c>
      <c r="G246" s="15">
        <f>IF(F246="","",IFERROR(INDEX(Staff!$B$5:$B$44,MATCH(F246,Staff!$A$5:$A$44,0)),"House"))</f>
        <v>0</v>
      </c>
      <c r="R246" s="15">
        <f>IF(B246="","",TEXT(B246,"yyyy-mm"))</f>
        <v>0</v>
      </c>
      <c r="S246" s="25">
        <f>IF(B246="","",WEEKNUM(B246,2))</f>
        <v>0</v>
      </c>
      <c r="T246" s="37">
        <f>IF(B246="","",IF(K246="",1,K246))</f>
        <v>0</v>
      </c>
      <c r="U246" s="15">
        <f>IF(B246="","",IF(J246&lt;&gt;"",J246,IF(H246="Retail",IFERROR(INDEX(Inventory!$B$5:$B$304,MATCH(I246,Inventory!$A$5:$A$304,0))&amp;"","Not in Inventory"),IFERROR(INDEX(Services!$B$5:$B$204,MATCH(I246,Services!$A$5:$A$204,0))&amp;"","Not in Services"))))</f>
        <v>0</v>
      </c>
      <c r="V246" s="26">
        <f>IF(B246="","",IF(L246&lt;&gt;"",L246,IF(H246="Retail",IFERROR(INDEX(Inventory!$I$5:$I$304,MATCH(I246,Inventory!$A$5:$A$304,0))*1,0),IFERROR(INDEX(Services!$G$5:$G$204,MATCH(I246,Services!$A$5:$A$204,0))*1,0))))</f>
        <v>0</v>
      </c>
      <c r="W246" s="26">
        <f>IF(B246="","",ROUND(T246*V246,2))</f>
        <v>0</v>
      </c>
      <c r="X246" s="26">
        <f>IF(B246="","",ROUND(IF(M246="",0,W246*M246)+IF(N246="",0,N246),2))</f>
        <v>0</v>
      </c>
      <c r="Y246" s="26">
        <f>IF(B246="","",ROUND(W246-X246-IF(P246="",0,P246),2))</f>
        <v>0</v>
      </c>
      <c r="Z246" s="26">
        <f>IF(B246="","",IF(H246="Retail",IF(TaxOnRetail="Yes",ROUND(Y246*TaxRate,2),0),IF(H246="Service",IF(TaxOnServices="Yes",ROUND(Y246*TaxRate,2),0),0)))</f>
        <v>0</v>
      </c>
      <c r="AA246" s="26">
        <f>IF(B246="","",ROUND(Y246+Z246,2))</f>
        <v>0</v>
      </c>
      <c r="AB246" s="26">
        <f>IF(B246="","",ROUND(T246*IF(H246="Retail",IFERROR(INDEX(Inventory!$H$5:$H$304,MATCH(I246,Inventory!$A$5:$A$304,0))*1,0),IFERROR(INDEX(Services!$Q$5:$Q$204,MATCH(I246,Services!$A$5:$A$204,0))*1,0)),2))</f>
        <v>0</v>
      </c>
      <c r="AC246" s="26">
        <f>IF(B246="","",ROUND(Y246-AB246,2))</f>
        <v>0</v>
      </c>
      <c r="AD246" s="38">
        <f>IF(B246="","",IF(C246="","No",IF(COUNTIFS($C$5:C246,C246)=1,"Yes","No")))</f>
        <v>0</v>
      </c>
      <c r="AE246" s="26">
        <f>IF(B246="","",ROUND(SUMIFS(Payments!$G$5:$G$1204,Payments!$H$5:$H$1204,A246,Payments!$Q$5:$Q$1204,"Yes"),2))</f>
        <v>0</v>
      </c>
      <c r="AF246" s="26">
        <f>IF(B246="","",IF(AD246="No",0,ROUND(SUMIFS(Payments!$G$5:$G$1204,Payments!$I$5:$I$1204,C246,Payments!$H$5:$H$1204,"",Payments!$Q$5:$Q$1204,"Yes"),2)))</f>
        <v>0</v>
      </c>
      <c r="AG246" s="26">
        <f>IF(B246="","",ROUND(AE246+AF246,2))</f>
        <v>0</v>
      </c>
      <c r="AH246" s="26">
        <f>IF(B246="","",ROUND(AA246-AG246,2))</f>
        <v>0</v>
      </c>
      <c r="AI246" s="39">
        <f>IF(B246="","",IF(AA246&lt;=0,"No charge",IF(AH246&lt;=0.004,"Paid",IF(AG246&lt;=0.004,"Unpaid","Part paid"))))</f>
        <v>0</v>
      </c>
      <c r="AJ246" s="38">
        <f>IF(B246="","",IF(H246&lt;&gt;"Service","",IF(D246="","No",IF(COUNTIFS($D$5:$D$1204,D246,$B$5:$B$1204,B246,$H$5:$H$1204,"Retail")&gt;0,"Yes","No"))))</f>
        <v>0</v>
      </c>
      <c r="AK246" s="25">
        <f>IF(B246="","",COUNTIFS($Y$5:$Y$1204,"&gt;"&amp;Y246)+COUNTIFS($Y$5:Y246,Y246))</f>
        <v>0</v>
      </c>
      <c r="AL246" s="39">
        <f>IF(B246="","",IF(H246="","Add - what kind of sale is this?",IF(IF(V246&lt;=0,P246="",FALSE),"Check - no price found for this item",IF(F246="","Assign - nobody credited",IF(AH246&gt;0.004,"Unpaid - balance outstanding",IF(AC246&lt;0,"Loss - sold below cost",IF(X246&gt;W246*0.5,"Check - more than half off","OK")))))))</f>
        <v>0</v>
      </c>
    </row>
    <row r="247" spans="1:38">
      <c r="A247" s="28">
        <f>IF(B247="","",SalePrefix&amp;TEXT(ROW()-4,"0000"))</f>
        <v>0</v>
      </c>
      <c r="E247" s="15">
        <f>IF(D247="","",IFERROR(INDEX(Clients!$B$5:$B$504,MATCH(D247,Clients!$A$5:$A$504,0)),"Walk-in"))</f>
        <v>0</v>
      </c>
      <c r="G247" s="15">
        <f>IF(F247="","",IFERROR(INDEX(Staff!$B$5:$B$44,MATCH(F247,Staff!$A$5:$A$44,0)),"House"))</f>
        <v>0</v>
      </c>
      <c r="R247" s="15">
        <f>IF(B247="","",TEXT(B247,"yyyy-mm"))</f>
        <v>0</v>
      </c>
      <c r="S247" s="25">
        <f>IF(B247="","",WEEKNUM(B247,2))</f>
        <v>0</v>
      </c>
      <c r="T247" s="37">
        <f>IF(B247="","",IF(K247="",1,K247))</f>
        <v>0</v>
      </c>
      <c r="U247" s="15">
        <f>IF(B247="","",IF(J247&lt;&gt;"",J247,IF(H247="Retail",IFERROR(INDEX(Inventory!$B$5:$B$304,MATCH(I247,Inventory!$A$5:$A$304,0))&amp;"","Not in Inventory"),IFERROR(INDEX(Services!$B$5:$B$204,MATCH(I247,Services!$A$5:$A$204,0))&amp;"","Not in Services"))))</f>
        <v>0</v>
      </c>
      <c r="V247" s="26">
        <f>IF(B247="","",IF(L247&lt;&gt;"",L247,IF(H247="Retail",IFERROR(INDEX(Inventory!$I$5:$I$304,MATCH(I247,Inventory!$A$5:$A$304,0))*1,0),IFERROR(INDEX(Services!$G$5:$G$204,MATCH(I247,Services!$A$5:$A$204,0))*1,0))))</f>
        <v>0</v>
      </c>
      <c r="W247" s="26">
        <f>IF(B247="","",ROUND(T247*V247,2))</f>
        <v>0</v>
      </c>
      <c r="X247" s="26">
        <f>IF(B247="","",ROUND(IF(M247="",0,W247*M247)+IF(N247="",0,N247),2))</f>
        <v>0</v>
      </c>
      <c r="Y247" s="26">
        <f>IF(B247="","",ROUND(W247-X247-IF(P247="",0,P247),2))</f>
        <v>0</v>
      </c>
      <c r="Z247" s="26">
        <f>IF(B247="","",IF(H247="Retail",IF(TaxOnRetail="Yes",ROUND(Y247*TaxRate,2),0),IF(H247="Service",IF(TaxOnServices="Yes",ROUND(Y247*TaxRate,2),0),0)))</f>
        <v>0</v>
      </c>
      <c r="AA247" s="26">
        <f>IF(B247="","",ROUND(Y247+Z247,2))</f>
        <v>0</v>
      </c>
      <c r="AB247" s="26">
        <f>IF(B247="","",ROUND(T247*IF(H247="Retail",IFERROR(INDEX(Inventory!$H$5:$H$304,MATCH(I247,Inventory!$A$5:$A$304,0))*1,0),IFERROR(INDEX(Services!$Q$5:$Q$204,MATCH(I247,Services!$A$5:$A$204,0))*1,0)),2))</f>
        <v>0</v>
      </c>
      <c r="AC247" s="26">
        <f>IF(B247="","",ROUND(Y247-AB247,2))</f>
        <v>0</v>
      </c>
      <c r="AD247" s="38">
        <f>IF(B247="","",IF(C247="","No",IF(COUNTIFS($C$5:C247,C247)=1,"Yes","No")))</f>
        <v>0</v>
      </c>
      <c r="AE247" s="26">
        <f>IF(B247="","",ROUND(SUMIFS(Payments!$G$5:$G$1204,Payments!$H$5:$H$1204,A247,Payments!$Q$5:$Q$1204,"Yes"),2))</f>
        <v>0</v>
      </c>
      <c r="AF247" s="26">
        <f>IF(B247="","",IF(AD247="No",0,ROUND(SUMIFS(Payments!$G$5:$G$1204,Payments!$I$5:$I$1204,C247,Payments!$H$5:$H$1204,"",Payments!$Q$5:$Q$1204,"Yes"),2)))</f>
        <v>0</v>
      </c>
      <c r="AG247" s="26">
        <f>IF(B247="","",ROUND(AE247+AF247,2))</f>
        <v>0</v>
      </c>
      <c r="AH247" s="26">
        <f>IF(B247="","",ROUND(AA247-AG247,2))</f>
        <v>0</v>
      </c>
      <c r="AI247" s="39">
        <f>IF(B247="","",IF(AA247&lt;=0,"No charge",IF(AH247&lt;=0.004,"Paid",IF(AG247&lt;=0.004,"Unpaid","Part paid"))))</f>
        <v>0</v>
      </c>
      <c r="AJ247" s="38">
        <f>IF(B247="","",IF(H247&lt;&gt;"Service","",IF(D247="","No",IF(COUNTIFS($D$5:$D$1204,D247,$B$5:$B$1204,B247,$H$5:$H$1204,"Retail")&gt;0,"Yes","No"))))</f>
        <v>0</v>
      </c>
      <c r="AK247" s="25">
        <f>IF(B247="","",COUNTIFS($Y$5:$Y$1204,"&gt;"&amp;Y247)+COUNTIFS($Y$5:Y247,Y247))</f>
        <v>0</v>
      </c>
      <c r="AL247" s="39">
        <f>IF(B247="","",IF(H247="","Add - what kind of sale is this?",IF(IF(V247&lt;=0,P247="",FALSE),"Check - no price found for this item",IF(F247="","Assign - nobody credited",IF(AH247&gt;0.004,"Unpaid - balance outstanding",IF(AC247&lt;0,"Loss - sold below cost",IF(X247&gt;W247*0.5,"Check - more than half off","OK")))))))</f>
        <v>0</v>
      </c>
    </row>
    <row r="248" spans="1:38">
      <c r="A248" s="28">
        <f>IF(B248="","",SalePrefix&amp;TEXT(ROW()-4,"0000"))</f>
        <v>0</v>
      </c>
      <c r="E248" s="15">
        <f>IF(D248="","",IFERROR(INDEX(Clients!$B$5:$B$504,MATCH(D248,Clients!$A$5:$A$504,0)),"Walk-in"))</f>
        <v>0</v>
      </c>
      <c r="G248" s="15">
        <f>IF(F248="","",IFERROR(INDEX(Staff!$B$5:$B$44,MATCH(F248,Staff!$A$5:$A$44,0)),"House"))</f>
        <v>0</v>
      </c>
      <c r="R248" s="15">
        <f>IF(B248="","",TEXT(B248,"yyyy-mm"))</f>
        <v>0</v>
      </c>
      <c r="S248" s="25">
        <f>IF(B248="","",WEEKNUM(B248,2))</f>
        <v>0</v>
      </c>
      <c r="T248" s="37">
        <f>IF(B248="","",IF(K248="",1,K248))</f>
        <v>0</v>
      </c>
      <c r="U248" s="15">
        <f>IF(B248="","",IF(J248&lt;&gt;"",J248,IF(H248="Retail",IFERROR(INDEX(Inventory!$B$5:$B$304,MATCH(I248,Inventory!$A$5:$A$304,0))&amp;"","Not in Inventory"),IFERROR(INDEX(Services!$B$5:$B$204,MATCH(I248,Services!$A$5:$A$204,0))&amp;"","Not in Services"))))</f>
        <v>0</v>
      </c>
      <c r="V248" s="26">
        <f>IF(B248="","",IF(L248&lt;&gt;"",L248,IF(H248="Retail",IFERROR(INDEX(Inventory!$I$5:$I$304,MATCH(I248,Inventory!$A$5:$A$304,0))*1,0),IFERROR(INDEX(Services!$G$5:$G$204,MATCH(I248,Services!$A$5:$A$204,0))*1,0))))</f>
        <v>0</v>
      </c>
      <c r="W248" s="26">
        <f>IF(B248="","",ROUND(T248*V248,2))</f>
        <v>0</v>
      </c>
      <c r="X248" s="26">
        <f>IF(B248="","",ROUND(IF(M248="",0,W248*M248)+IF(N248="",0,N248),2))</f>
        <v>0</v>
      </c>
      <c r="Y248" s="26">
        <f>IF(B248="","",ROUND(W248-X248-IF(P248="",0,P248),2))</f>
        <v>0</v>
      </c>
      <c r="Z248" s="26">
        <f>IF(B248="","",IF(H248="Retail",IF(TaxOnRetail="Yes",ROUND(Y248*TaxRate,2),0),IF(H248="Service",IF(TaxOnServices="Yes",ROUND(Y248*TaxRate,2),0),0)))</f>
        <v>0</v>
      </c>
      <c r="AA248" s="26">
        <f>IF(B248="","",ROUND(Y248+Z248,2))</f>
        <v>0</v>
      </c>
      <c r="AB248" s="26">
        <f>IF(B248="","",ROUND(T248*IF(H248="Retail",IFERROR(INDEX(Inventory!$H$5:$H$304,MATCH(I248,Inventory!$A$5:$A$304,0))*1,0),IFERROR(INDEX(Services!$Q$5:$Q$204,MATCH(I248,Services!$A$5:$A$204,0))*1,0)),2))</f>
        <v>0</v>
      </c>
      <c r="AC248" s="26">
        <f>IF(B248="","",ROUND(Y248-AB248,2))</f>
        <v>0</v>
      </c>
      <c r="AD248" s="38">
        <f>IF(B248="","",IF(C248="","No",IF(COUNTIFS($C$5:C248,C248)=1,"Yes","No")))</f>
        <v>0</v>
      </c>
      <c r="AE248" s="26">
        <f>IF(B248="","",ROUND(SUMIFS(Payments!$G$5:$G$1204,Payments!$H$5:$H$1204,A248,Payments!$Q$5:$Q$1204,"Yes"),2))</f>
        <v>0</v>
      </c>
      <c r="AF248" s="26">
        <f>IF(B248="","",IF(AD248="No",0,ROUND(SUMIFS(Payments!$G$5:$G$1204,Payments!$I$5:$I$1204,C248,Payments!$H$5:$H$1204,"",Payments!$Q$5:$Q$1204,"Yes"),2)))</f>
        <v>0</v>
      </c>
      <c r="AG248" s="26">
        <f>IF(B248="","",ROUND(AE248+AF248,2))</f>
        <v>0</v>
      </c>
      <c r="AH248" s="26">
        <f>IF(B248="","",ROUND(AA248-AG248,2))</f>
        <v>0</v>
      </c>
      <c r="AI248" s="39">
        <f>IF(B248="","",IF(AA248&lt;=0,"No charge",IF(AH248&lt;=0.004,"Paid",IF(AG248&lt;=0.004,"Unpaid","Part paid"))))</f>
        <v>0</v>
      </c>
      <c r="AJ248" s="38">
        <f>IF(B248="","",IF(H248&lt;&gt;"Service","",IF(D248="","No",IF(COUNTIFS($D$5:$D$1204,D248,$B$5:$B$1204,B248,$H$5:$H$1204,"Retail")&gt;0,"Yes","No"))))</f>
        <v>0</v>
      </c>
      <c r="AK248" s="25">
        <f>IF(B248="","",COUNTIFS($Y$5:$Y$1204,"&gt;"&amp;Y248)+COUNTIFS($Y$5:Y248,Y248))</f>
        <v>0</v>
      </c>
      <c r="AL248" s="39">
        <f>IF(B248="","",IF(H248="","Add - what kind of sale is this?",IF(IF(V248&lt;=0,P248="",FALSE),"Check - no price found for this item",IF(F248="","Assign - nobody credited",IF(AH248&gt;0.004,"Unpaid - balance outstanding",IF(AC248&lt;0,"Loss - sold below cost",IF(X248&gt;W248*0.5,"Check - more than half off","OK")))))))</f>
        <v>0</v>
      </c>
    </row>
    <row r="249" spans="1:38">
      <c r="A249" s="28">
        <f>IF(B249="","",SalePrefix&amp;TEXT(ROW()-4,"0000"))</f>
        <v>0</v>
      </c>
      <c r="E249" s="15">
        <f>IF(D249="","",IFERROR(INDEX(Clients!$B$5:$B$504,MATCH(D249,Clients!$A$5:$A$504,0)),"Walk-in"))</f>
        <v>0</v>
      </c>
      <c r="G249" s="15">
        <f>IF(F249="","",IFERROR(INDEX(Staff!$B$5:$B$44,MATCH(F249,Staff!$A$5:$A$44,0)),"House"))</f>
        <v>0</v>
      </c>
      <c r="R249" s="15">
        <f>IF(B249="","",TEXT(B249,"yyyy-mm"))</f>
        <v>0</v>
      </c>
      <c r="S249" s="25">
        <f>IF(B249="","",WEEKNUM(B249,2))</f>
        <v>0</v>
      </c>
      <c r="T249" s="37">
        <f>IF(B249="","",IF(K249="",1,K249))</f>
        <v>0</v>
      </c>
      <c r="U249" s="15">
        <f>IF(B249="","",IF(J249&lt;&gt;"",J249,IF(H249="Retail",IFERROR(INDEX(Inventory!$B$5:$B$304,MATCH(I249,Inventory!$A$5:$A$304,0))&amp;"","Not in Inventory"),IFERROR(INDEX(Services!$B$5:$B$204,MATCH(I249,Services!$A$5:$A$204,0))&amp;"","Not in Services"))))</f>
        <v>0</v>
      </c>
      <c r="V249" s="26">
        <f>IF(B249="","",IF(L249&lt;&gt;"",L249,IF(H249="Retail",IFERROR(INDEX(Inventory!$I$5:$I$304,MATCH(I249,Inventory!$A$5:$A$304,0))*1,0),IFERROR(INDEX(Services!$G$5:$G$204,MATCH(I249,Services!$A$5:$A$204,0))*1,0))))</f>
        <v>0</v>
      </c>
      <c r="W249" s="26">
        <f>IF(B249="","",ROUND(T249*V249,2))</f>
        <v>0</v>
      </c>
      <c r="X249" s="26">
        <f>IF(B249="","",ROUND(IF(M249="",0,W249*M249)+IF(N249="",0,N249),2))</f>
        <v>0</v>
      </c>
      <c r="Y249" s="26">
        <f>IF(B249="","",ROUND(W249-X249-IF(P249="",0,P249),2))</f>
        <v>0</v>
      </c>
      <c r="Z249" s="26">
        <f>IF(B249="","",IF(H249="Retail",IF(TaxOnRetail="Yes",ROUND(Y249*TaxRate,2),0),IF(H249="Service",IF(TaxOnServices="Yes",ROUND(Y249*TaxRate,2),0),0)))</f>
        <v>0</v>
      </c>
      <c r="AA249" s="26">
        <f>IF(B249="","",ROUND(Y249+Z249,2))</f>
        <v>0</v>
      </c>
      <c r="AB249" s="26">
        <f>IF(B249="","",ROUND(T249*IF(H249="Retail",IFERROR(INDEX(Inventory!$H$5:$H$304,MATCH(I249,Inventory!$A$5:$A$304,0))*1,0),IFERROR(INDEX(Services!$Q$5:$Q$204,MATCH(I249,Services!$A$5:$A$204,0))*1,0)),2))</f>
        <v>0</v>
      </c>
      <c r="AC249" s="26">
        <f>IF(B249="","",ROUND(Y249-AB249,2))</f>
        <v>0</v>
      </c>
      <c r="AD249" s="38">
        <f>IF(B249="","",IF(C249="","No",IF(COUNTIFS($C$5:C249,C249)=1,"Yes","No")))</f>
        <v>0</v>
      </c>
      <c r="AE249" s="26">
        <f>IF(B249="","",ROUND(SUMIFS(Payments!$G$5:$G$1204,Payments!$H$5:$H$1204,A249,Payments!$Q$5:$Q$1204,"Yes"),2))</f>
        <v>0</v>
      </c>
      <c r="AF249" s="26">
        <f>IF(B249="","",IF(AD249="No",0,ROUND(SUMIFS(Payments!$G$5:$G$1204,Payments!$I$5:$I$1204,C249,Payments!$H$5:$H$1204,"",Payments!$Q$5:$Q$1204,"Yes"),2)))</f>
        <v>0</v>
      </c>
      <c r="AG249" s="26">
        <f>IF(B249="","",ROUND(AE249+AF249,2))</f>
        <v>0</v>
      </c>
      <c r="AH249" s="26">
        <f>IF(B249="","",ROUND(AA249-AG249,2))</f>
        <v>0</v>
      </c>
      <c r="AI249" s="39">
        <f>IF(B249="","",IF(AA249&lt;=0,"No charge",IF(AH249&lt;=0.004,"Paid",IF(AG249&lt;=0.004,"Unpaid","Part paid"))))</f>
        <v>0</v>
      </c>
      <c r="AJ249" s="38">
        <f>IF(B249="","",IF(H249&lt;&gt;"Service","",IF(D249="","No",IF(COUNTIFS($D$5:$D$1204,D249,$B$5:$B$1204,B249,$H$5:$H$1204,"Retail")&gt;0,"Yes","No"))))</f>
        <v>0</v>
      </c>
      <c r="AK249" s="25">
        <f>IF(B249="","",COUNTIFS($Y$5:$Y$1204,"&gt;"&amp;Y249)+COUNTIFS($Y$5:Y249,Y249))</f>
        <v>0</v>
      </c>
      <c r="AL249" s="39">
        <f>IF(B249="","",IF(H249="","Add - what kind of sale is this?",IF(IF(V249&lt;=0,P249="",FALSE),"Check - no price found for this item",IF(F249="","Assign - nobody credited",IF(AH249&gt;0.004,"Unpaid - balance outstanding",IF(AC249&lt;0,"Loss - sold below cost",IF(X249&gt;W249*0.5,"Check - more than half off","OK")))))))</f>
        <v>0</v>
      </c>
    </row>
    <row r="250" spans="1:38">
      <c r="A250" s="28">
        <f>IF(B250="","",SalePrefix&amp;TEXT(ROW()-4,"0000"))</f>
        <v>0</v>
      </c>
      <c r="E250" s="15">
        <f>IF(D250="","",IFERROR(INDEX(Clients!$B$5:$B$504,MATCH(D250,Clients!$A$5:$A$504,0)),"Walk-in"))</f>
        <v>0</v>
      </c>
      <c r="G250" s="15">
        <f>IF(F250="","",IFERROR(INDEX(Staff!$B$5:$B$44,MATCH(F250,Staff!$A$5:$A$44,0)),"House"))</f>
        <v>0</v>
      </c>
      <c r="R250" s="15">
        <f>IF(B250="","",TEXT(B250,"yyyy-mm"))</f>
        <v>0</v>
      </c>
      <c r="S250" s="25">
        <f>IF(B250="","",WEEKNUM(B250,2))</f>
        <v>0</v>
      </c>
      <c r="T250" s="37">
        <f>IF(B250="","",IF(K250="",1,K250))</f>
        <v>0</v>
      </c>
      <c r="U250" s="15">
        <f>IF(B250="","",IF(J250&lt;&gt;"",J250,IF(H250="Retail",IFERROR(INDEX(Inventory!$B$5:$B$304,MATCH(I250,Inventory!$A$5:$A$304,0))&amp;"","Not in Inventory"),IFERROR(INDEX(Services!$B$5:$B$204,MATCH(I250,Services!$A$5:$A$204,0))&amp;"","Not in Services"))))</f>
        <v>0</v>
      </c>
      <c r="V250" s="26">
        <f>IF(B250="","",IF(L250&lt;&gt;"",L250,IF(H250="Retail",IFERROR(INDEX(Inventory!$I$5:$I$304,MATCH(I250,Inventory!$A$5:$A$304,0))*1,0),IFERROR(INDEX(Services!$G$5:$G$204,MATCH(I250,Services!$A$5:$A$204,0))*1,0))))</f>
        <v>0</v>
      </c>
      <c r="W250" s="26">
        <f>IF(B250="","",ROUND(T250*V250,2))</f>
        <v>0</v>
      </c>
      <c r="X250" s="26">
        <f>IF(B250="","",ROUND(IF(M250="",0,W250*M250)+IF(N250="",0,N250),2))</f>
        <v>0</v>
      </c>
      <c r="Y250" s="26">
        <f>IF(B250="","",ROUND(W250-X250-IF(P250="",0,P250),2))</f>
        <v>0</v>
      </c>
      <c r="Z250" s="26">
        <f>IF(B250="","",IF(H250="Retail",IF(TaxOnRetail="Yes",ROUND(Y250*TaxRate,2),0),IF(H250="Service",IF(TaxOnServices="Yes",ROUND(Y250*TaxRate,2),0),0)))</f>
        <v>0</v>
      </c>
      <c r="AA250" s="26">
        <f>IF(B250="","",ROUND(Y250+Z250,2))</f>
        <v>0</v>
      </c>
      <c r="AB250" s="26">
        <f>IF(B250="","",ROUND(T250*IF(H250="Retail",IFERROR(INDEX(Inventory!$H$5:$H$304,MATCH(I250,Inventory!$A$5:$A$304,0))*1,0),IFERROR(INDEX(Services!$Q$5:$Q$204,MATCH(I250,Services!$A$5:$A$204,0))*1,0)),2))</f>
        <v>0</v>
      </c>
      <c r="AC250" s="26">
        <f>IF(B250="","",ROUND(Y250-AB250,2))</f>
        <v>0</v>
      </c>
      <c r="AD250" s="38">
        <f>IF(B250="","",IF(C250="","No",IF(COUNTIFS($C$5:C250,C250)=1,"Yes","No")))</f>
        <v>0</v>
      </c>
      <c r="AE250" s="26">
        <f>IF(B250="","",ROUND(SUMIFS(Payments!$G$5:$G$1204,Payments!$H$5:$H$1204,A250,Payments!$Q$5:$Q$1204,"Yes"),2))</f>
        <v>0</v>
      </c>
      <c r="AF250" s="26">
        <f>IF(B250="","",IF(AD250="No",0,ROUND(SUMIFS(Payments!$G$5:$G$1204,Payments!$I$5:$I$1204,C250,Payments!$H$5:$H$1204,"",Payments!$Q$5:$Q$1204,"Yes"),2)))</f>
        <v>0</v>
      </c>
      <c r="AG250" s="26">
        <f>IF(B250="","",ROUND(AE250+AF250,2))</f>
        <v>0</v>
      </c>
      <c r="AH250" s="26">
        <f>IF(B250="","",ROUND(AA250-AG250,2))</f>
        <v>0</v>
      </c>
      <c r="AI250" s="39">
        <f>IF(B250="","",IF(AA250&lt;=0,"No charge",IF(AH250&lt;=0.004,"Paid",IF(AG250&lt;=0.004,"Unpaid","Part paid"))))</f>
        <v>0</v>
      </c>
      <c r="AJ250" s="38">
        <f>IF(B250="","",IF(H250&lt;&gt;"Service","",IF(D250="","No",IF(COUNTIFS($D$5:$D$1204,D250,$B$5:$B$1204,B250,$H$5:$H$1204,"Retail")&gt;0,"Yes","No"))))</f>
        <v>0</v>
      </c>
      <c r="AK250" s="25">
        <f>IF(B250="","",COUNTIFS($Y$5:$Y$1204,"&gt;"&amp;Y250)+COUNTIFS($Y$5:Y250,Y250))</f>
        <v>0</v>
      </c>
      <c r="AL250" s="39">
        <f>IF(B250="","",IF(H250="","Add - what kind of sale is this?",IF(IF(V250&lt;=0,P250="",FALSE),"Check - no price found for this item",IF(F250="","Assign - nobody credited",IF(AH250&gt;0.004,"Unpaid - balance outstanding",IF(AC250&lt;0,"Loss - sold below cost",IF(X250&gt;W250*0.5,"Check - more than half off","OK")))))))</f>
        <v>0</v>
      </c>
    </row>
    <row r="251" spans="1:38">
      <c r="A251" s="28">
        <f>IF(B251="","",SalePrefix&amp;TEXT(ROW()-4,"0000"))</f>
        <v>0</v>
      </c>
      <c r="E251" s="15">
        <f>IF(D251="","",IFERROR(INDEX(Clients!$B$5:$B$504,MATCH(D251,Clients!$A$5:$A$504,0)),"Walk-in"))</f>
        <v>0</v>
      </c>
      <c r="G251" s="15">
        <f>IF(F251="","",IFERROR(INDEX(Staff!$B$5:$B$44,MATCH(F251,Staff!$A$5:$A$44,0)),"House"))</f>
        <v>0</v>
      </c>
      <c r="R251" s="15">
        <f>IF(B251="","",TEXT(B251,"yyyy-mm"))</f>
        <v>0</v>
      </c>
      <c r="S251" s="25">
        <f>IF(B251="","",WEEKNUM(B251,2))</f>
        <v>0</v>
      </c>
      <c r="T251" s="37">
        <f>IF(B251="","",IF(K251="",1,K251))</f>
        <v>0</v>
      </c>
      <c r="U251" s="15">
        <f>IF(B251="","",IF(J251&lt;&gt;"",J251,IF(H251="Retail",IFERROR(INDEX(Inventory!$B$5:$B$304,MATCH(I251,Inventory!$A$5:$A$304,0))&amp;"","Not in Inventory"),IFERROR(INDEX(Services!$B$5:$B$204,MATCH(I251,Services!$A$5:$A$204,0))&amp;"","Not in Services"))))</f>
        <v>0</v>
      </c>
      <c r="V251" s="26">
        <f>IF(B251="","",IF(L251&lt;&gt;"",L251,IF(H251="Retail",IFERROR(INDEX(Inventory!$I$5:$I$304,MATCH(I251,Inventory!$A$5:$A$304,0))*1,0),IFERROR(INDEX(Services!$G$5:$G$204,MATCH(I251,Services!$A$5:$A$204,0))*1,0))))</f>
        <v>0</v>
      </c>
      <c r="W251" s="26">
        <f>IF(B251="","",ROUND(T251*V251,2))</f>
        <v>0</v>
      </c>
      <c r="X251" s="26">
        <f>IF(B251="","",ROUND(IF(M251="",0,W251*M251)+IF(N251="",0,N251),2))</f>
        <v>0</v>
      </c>
      <c r="Y251" s="26">
        <f>IF(B251="","",ROUND(W251-X251-IF(P251="",0,P251),2))</f>
        <v>0</v>
      </c>
      <c r="Z251" s="26">
        <f>IF(B251="","",IF(H251="Retail",IF(TaxOnRetail="Yes",ROUND(Y251*TaxRate,2),0),IF(H251="Service",IF(TaxOnServices="Yes",ROUND(Y251*TaxRate,2),0),0)))</f>
        <v>0</v>
      </c>
      <c r="AA251" s="26">
        <f>IF(B251="","",ROUND(Y251+Z251,2))</f>
        <v>0</v>
      </c>
      <c r="AB251" s="26">
        <f>IF(B251="","",ROUND(T251*IF(H251="Retail",IFERROR(INDEX(Inventory!$H$5:$H$304,MATCH(I251,Inventory!$A$5:$A$304,0))*1,0),IFERROR(INDEX(Services!$Q$5:$Q$204,MATCH(I251,Services!$A$5:$A$204,0))*1,0)),2))</f>
        <v>0</v>
      </c>
      <c r="AC251" s="26">
        <f>IF(B251="","",ROUND(Y251-AB251,2))</f>
        <v>0</v>
      </c>
      <c r="AD251" s="38">
        <f>IF(B251="","",IF(C251="","No",IF(COUNTIFS($C$5:C251,C251)=1,"Yes","No")))</f>
        <v>0</v>
      </c>
      <c r="AE251" s="26">
        <f>IF(B251="","",ROUND(SUMIFS(Payments!$G$5:$G$1204,Payments!$H$5:$H$1204,A251,Payments!$Q$5:$Q$1204,"Yes"),2))</f>
        <v>0</v>
      </c>
      <c r="AF251" s="26">
        <f>IF(B251="","",IF(AD251="No",0,ROUND(SUMIFS(Payments!$G$5:$G$1204,Payments!$I$5:$I$1204,C251,Payments!$H$5:$H$1204,"",Payments!$Q$5:$Q$1204,"Yes"),2)))</f>
        <v>0</v>
      </c>
      <c r="AG251" s="26">
        <f>IF(B251="","",ROUND(AE251+AF251,2))</f>
        <v>0</v>
      </c>
      <c r="AH251" s="26">
        <f>IF(B251="","",ROUND(AA251-AG251,2))</f>
        <v>0</v>
      </c>
      <c r="AI251" s="39">
        <f>IF(B251="","",IF(AA251&lt;=0,"No charge",IF(AH251&lt;=0.004,"Paid",IF(AG251&lt;=0.004,"Unpaid","Part paid"))))</f>
        <v>0</v>
      </c>
      <c r="AJ251" s="38">
        <f>IF(B251="","",IF(H251&lt;&gt;"Service","",IF(D251="","No",IF(COUNTIFS($D$5:$D$1204,D251,$B$5:$B$1204,B251,$H$5:$H$1204,"Retail")&gt;0,"Yes","No"))))</f>
        <v>0</v>
      </c>
      <c r="AK251" s="25">
        <f>IF(B251="","",COUNTIFS($Y$5:$Y$1204,"&gt;"&amp;Y251)+COUNTIFS($Y$5:Y251,Y251))</f>
        <v>0</v>
      </c>
      <c r="AL251" s="39">
        <f>IF(B251="","",IF(H251="","Add - what kind of sale is this?",IF(IF(V251&lt;=0,P251="",FALSE),"Check - no price found for this item",IF(F251="","Assign - nobody credited",IF(AH251&gt;0.004,"Unpaid - balance outstanding",IF(AC251&lt;0,"Loss - sold below cost",IF(X251&gt;W251*0.5,"Check - more than half off","OK")))))))</f>
        <v>0</v>
      </c>
    </row>
    <row r="252" spans="1:38">
      <c r="A252" s="28">
        <f>IF(B252="","",SalePrefix&amp;TEXT(ROW()-4,"0000"))</f>
        <v>0</v>
      </c>
      <c r="E252" s="15">
        <f>IF(D252="","",IFERROR(INDEX(Clients!$B$5:$B$504,MATCH(D252,Clients!$A$5:$A$504,0)),"Walk-in"))</f>
        <v>0</v>
      </c>
      <c r="G252" s="15">
        <f>IF(F252="","",IFERROR(INDEX(Staff!$B$5:$B$44,MATCH(F252,Staff!$A$5:$A$44,0)),"House"))</f>
        <v>0</v>
      </c>
      <c r="R252" s="15">
        <f>IF(B252="","",TEXT(B252,"yyyy-mm"))</f>
        <v>0</v>
      </c>
      <c r="S252" s="25">
        <f>IF(B252="","",WEEKNUM(B252,2))</f>
        <v>0</v>
      </c>
      <c r="T252" s="37">
        <f>IF(B252="","",IF(K252="",1,K252))</f>
        <v>0</v>
      </c>
      <c r="U252" s="15">
        <f>IF(B252="","",IF(J252&lt;&gt;"",J252,IF(H252="Retail",IFERROR(INDEX(Inventory!$B$5:$B$304,MATCH(I252,Inventory!$A$5:$A$304,0))&amp;"","Not in Inventory"),IFERROR(INDEX(Services!$B$5:$B$204,MATCH(I252,Services!$A$5:$A$204,0))&amp;"","Not in Services"))))</f>
        <v>0</v>
      </c>
      <c r="V252" s="26">
        <f>IF(B252="","",IF(L252&lt;&gt;"",L252,IF(H252="Retail",IFERROR(INDEX(Inventory!$I$5:$I$304,MATCH(I252,Inventory!$A$5:$A$304,0))*1,0),IFERROR(INDEX(Services!$G$5:$G$204,MATCH(I252,Services!$A$5:$A$204,0))*1,0))))</f>
        <v>0</v>
      </c>
      <c r="W252" s="26">
        <f>IF(B252="","",ROUND(T252*V252,2))</f>
        <v>0</v>
      </c>
      <c r="X252" s="26">
        <f>IF(B252="","",ROUND(IF(M252="",0,W252*M252)+IF(N252="",0,N252),2))</f>
        <v>0</v>
      </c>
      <c r="Y252" s="26">
        <f>IF(B252="","",ROUND(W252-X252-IF(P252="",0,P252),2))</f>
        <v>0</v>
      </c>
      <c r="Z252" s="26">
        <f>IF(B252="","",IF(H252="Retail",IF(TaxOnRetail="Yes",ROUND(Y252*TaxRate,2),0),IF(H252="Service",IF(TaxOnServices="Yes",ROUND(Y252*TaxRate,2),0),0)))</f>
        <v>0</v>
      </c>
      <c r="AA252" s="26">
        <f>IF(B252="","",ROUND(Y252+Z252,2))</f>
        <v>0</v>
      </c>
      <c r="AB252" s="26">
        <f>IF(B252="","",ROUND(T252*IF(H252="Retail",IFERROR(INDEX(Inventory!$H$5:$H$304,MATCH(I252,Inventory!$A$5:$A$304,0))*1,0),IFERROR(INDEX(Services!$Q$5:$Q$204,MATCH(I252,Services!$A$5:$A$204,0))*1,0)),2))</f>
        <v>0</v>
      </c>
      <c r="AC252" s="26">
        <f>IF(B252="","",ROUND(Y252-AB252,2))</f>
        <v>0</v>
      </c>
      <c r="AD252" s="38">
        <f>IF(B252="","",IF(C252="","No",IF(COUNTIFS($C$5:C252,C252)=1,"Yes","No")))</f>
        <v>0</v>
      </c>
      <c r="AE252" s="26">
        <f>IF(B252="","",ROUND(SUMIFS(Payments!$G$5:$G$1204,Payments!$H$5:$H$1204,A252,Payments!$Q$5:$Q$1204,"Yes"),2))</f>
        <v>0</v>
      </c>
      <c r="AF252" s="26">
        <f>IF(B252="","",IF(AD252="No",0,ROUND(SUMIFS(Payments!$G$5:$G$1204,Payments!$I$5:$I$1204,C252,Payments!$H$5:$H$1204,"",Payments!$Q$5:$Q$1204,"Yes"),2)))</f>
        <v>0</v>
      </c>
      <c r="AG252" s="26">
        <f>IF(B252="","",ROUND(AE252+AF252,2))</f>
        <v>0</v>
      </c>
      <c r="AH252" s="26">
        <f>IF(B252="","",ROUND(AA252-AG252,2))</f>
        <v>0</v>
      </c>
      <c r="AI252" s="39">
        <f>IF(B252="","",IF(AA252&lt;=0,"No charge",IF(AH252&lt;=0.004,"Paid",IF(AG252&lt;=0.004,"Unpaid","Part paid"))))</f>
        <v>0</v>
      </c>
      <c r="AJ252" s="38">
        <f>IF(B252="","",IF(H252&lt;&gt;"Service","",IF(D252="","No",IF(COUNTIFS($D$5:$D$1204,D252,$B$5:$B$1204,B252,$H$5:$H$1204,"Retail")&gt;0,"Yes","No"))))</f>
        <v>0</v>
      </c>
      <c r="AK252" s="25">
        <f>IF(B252="","",COUNTIFS($Y$5:$Y$1204,"&gt;"&amp;Y252)+COUNTIFS($Y$5:Y252,Y252))</f>
        <v>0</v>
      </c>
      <c r="AL252" s="39">
        <f>IF(B252="","",IF(H252="","Add - what kind of sale is this?",IF(IF(V252&lt;=0,P252="",FALSE),"Check - no price found for this item",IF(F252="","Assign - nobody credited",IF(AH252&gt;0.004,"Unpaid - balance outstanding",IF(AC252&lt;0,"Loss - sold below cost",IF(X252&gt;W252*0.5,"Check - more than half off","OK")))))))</f>
        <v>0</v>
      </c>
    </row>
    <row r="253" spans="1:38">
      <c r="A253" s="28">
        <f>IF(B253="","",SalePrefix&amp;TEXT(ROW()-4,"0000"))</f>
        <v>0</v>
      </c>
      <c r="E253" s="15">
        <f>IF(D253="","",IFERROR(INDEX(Clients!$B$5:$B$504,MATCH(D253,Clients!$A$5:$A$504,0)),"Walk-in"))</f>
        <v>0</v>
      </c>
      <c r="G253" s="15">
        <f>IF(F253="","",IFERROR(INDEX(Staff!$B$5:$B$44,MATCH(F253,Staff!$A$5:$A$44,0)),"House"))</f>
        <v>0</v>
      </c>
      <c r="R253" s="15">
        <f>IF(B253="","",TEXT(B253,"yyyy-mm"))</f>
        <v>0</v>
      </c>
      <c r="S253" s="25">
        <f>IF(B253="","",WEEKNUM(B253,2))</f>
        <v>0</v>
      </c>
      <c r="T253" s="37">
        <f>IF(B253="","",IF(K253="",1,K253))</f>
        <v>0</v>
      </c>
      <c r="U253" s="15">
        <f>IF(B253="","",IF(J253&lt;&gt;"",J253,IF(H253="Retail",IFERROR(INDEX(Inventory!$B$5:$B$304,MATCH(I253,Inventory!$A$5:$A$304,0))&amp;"","Not in Inventory"),IFERROR(INDEX(Services!$B$5:$B$204,MATCH(I253,Services!$A$5:$A$204,0))&amp;"","Not in Services"))))</f>
        <v>0</v>
      </c>
      <c r="V253" s="26">
        <f>IF(B253="","",IF(L253&lt;&gt;"",L253,IF(H253="Retail",IFERROR(INDEX(Inventory!$I$5:$I$304,MATCH(I253,Inventory!$A$5:$A$304,0))*1,0),IFERROR(INDEX(Services!$G$5:$G$204,MATCH(I253,Services!$A$5:$A$204,0))*1,0))))</f>
        <v>0</v>
      </c>
      <c r="W253" s="26">
        <f>IF(B253="","",ROUND(T253*V253,2))</f>
        <v>0</v>
      </c>
      <c r="X253" s="26">
        <f>IF(B253="","",ROUND(IF(M253="",0,W253*M253)+IF(N253="",0,N253),2))</f>
        <v>0</v>
      </c>
      <c r="Y253" s="26">
        <f>IF(B253="","",ROUND(W253-X253-IF(P253="",0,P253),2))</f>
        <v>0</v>
      </c>
      <c r="Z253" s="26">
        <f>IF(B253="","",IF(H253="Retail",IF(TaxOnRetail="Yes",ROUND(Y253*TaxRate,2),0),IF(H253="Service",IF(TaxOnServices="Yes",ROUND(Y253*TaxRate,2),0),0)))</f>
        <v>0</v>
      </c>
      <c r="AA253" s="26">
        <f>IF(B253="","",ROUND(Y253+Z253,2))</f>
        <v>0</v>
      </c>
      <c r="AB253" s="26">
        <f>IF(B253="","",ROUND(T253*IF(H253="Retail",IFERROR(INDEX(Inventory!$H$5:$H$304,MATCH(I253,Inventory!$A$5:$A$304,0))*1,0),IFERROR(INDEX(Services!$Q$5:$Q$204,MATCH(I253,Services!$A$5:$A$204,0))*1,0)),2))</f>
        <v>0</v>
      </c>
      <c r="AC253" s="26">
        <f>IF(B253="","",ROUND(Y253-AB253,2))</f>
        <v>0</v>
      </c>
      <c r="AD253" s="38">
        <f>IF(B253="","",IF(C253="","No",IF(COUNTIFS($C$5:C253,C253)=1,"Yes","No")))</f>
        <v>0</v>
      </c>
      <c r="AE253" s="26">
        <f>IF(B253="","",ROUND(SUMIFS(Payments!$G$5:$G$1204,Payments!$H$5:$H$1204,A253,Payments!$Q$5:$Q$1204,"Yes"),2))</f>
        <v>0</v>
      </c>
      <c r="AF253" s="26">
        <f>IF(B253="","",IF(AD253="No",0,ROUND(SUMIFS(Payments!$G$5:$G$1204,Payments!$I$5:$I$1204,C253,Payments!$H$5:$H$1204,"",Payments!$Q$5:$Q$1204,"Yes"),2)))</f>
        <v>0</v>
      </c>
      <c r="AG253" s="26">
        <f>IF(B253="","",ROUND(AE253+AF253,2))</f>
        <v>0</v>
      </c>
      <c r="AH253" s="26">
        <f>IF(B253="","",ROUND(AA253-AG253,2))</f>
        <v>0</v>
      </c>
      <c r="AI253" s="39">
        <f>IF(B253="","",IF(AA253&lt;=0,"No charge",IF(AH253&lt;=0.004,"Paid",IF(AG253&lt;=0.004,"Unpaid","Part paid"))))</f>
        <v>0</v>
      </c>
      <c r="AJ253" s="38">
        <f>IF(B253="","",IF(H253&lt;&gt;"Service","",IF(D253="","No",IF(COUNTIFS($D$5:$D$1204,D253,$B$5:$B$1204,B253,$H$5:$H$1204,"Retail")&gt;0,"Yes","No"))))</f>
        <v>0</v>
      </c>
      <c r="AK253" s="25">
        <f>IF(B253="","",COUNTIFS($Y$5:$Y$1204,"&gt;"&amp;Y253)+COUNTIFS($Y$5:Y253,Y253))</f>
        <v>0</v>
      </c>
      <c r="AL253" s="39">
        <f>IF(B253="","",IF(H253="","Add - what kind of sale is this?",IF(IF(V253&lt;=0,P253="",FALSE),"Check - no price found for this item",IF(F253="","Assign - nobody credited",IF(AH253&gt;0.004,"Unpaid - balance outstanding",IF(AC253&lt;0,"Loss - sold below cost",IF(X253&gt;W253*0.5,"Check - more than half off","OK")))))))</f>
        <v>0</v>
      </c>
    </row>
    <row r="254" spans="1:38">
      <c r="A254" s="28">
        <f>IF(B254="","",SalePrefix&amp;TEXT(ROW()-4,"0000"))</f>
        <v>0</v>
      </c>
      <c r="E254" s="15">
        <f>IF(D254="","",IFERROR(INDEX(Clients!$B$5:$B$504,MATCH(D254,Clients!$A$5:$A$504,0)),"Walk-in"))</f>
        <v>0</v>
      </c>
      <c r="G254" s="15">
        <f>IF(F254="","",IFERROR(INDEX(Staff!$B$5:$B$44,MATCH(F254,Staff!$A$5:$A$44,0)),"House"))</f>
        <v>0</v>
      </c>
      <c r="R254" s="15">
        <f>IF(B254="","",TEXT(B254,"yyyy-mm"))</f>
        <v>0</v>
      </c>
      <c r="S254" s="25">
        <f>IF(B254="","",WEEKNUM(B254,2))</f>
        <v>0</v>
      </c>
      <c r="T254" s="37">
        <f>IF(B254="","",IF(K254="",1,K254))</f>
        <v>0</v>
      </c>
      <c r="U254" s="15">
        <f>IF(B254="","",IF(J254&lt;&gt;"",J254,IF(H254="Retail",IFERROR(INDEX(Inventory!$B$5:$B$304,MATCH(I254,Inventory!$A$5:$A$304,0))&amp;"","Not in Inventory"),IFERROR(INDEX(Services!$B$5:$B$204,MATCH(I254,Services!$A$5:$A$204,0))&amp;"","Not in Services"))))</f>
        <v>0</v>
      </c>
      <c r="V254" s="26">
        <f>IF(B254="","",IF(L254&lt;&gt;"",L254,IF(H254="Retail",IFERROR(INDEX(Inventory!$I$5:$I$304,MATCH(I254,Inventory!$A$5:$A$304,0))*1,0),IFERROR(INDEX(Services!$G$5:$G$204,MATCH(I254,Services!$A$5:$A$204,0))*1,0))))</f>
        <v>0</v>
      </c>
      <c r="W254" s="26">
        <f>IF(B254="","",ROUND(T254*V254,2))</f>
        <v>0</v>
      </c>
      <c r="X254" s="26">
        <f>IF(B254="","",ROUND(IF(M254="",0,W254*M254)+IF(N254="",0,N254),2))</f>
        <v>0</v>
      </c>
      <c r="Y254" s="26">
        <f>IF(B254="","",ROUND(W254-X254-IF(P254="",0,P254),2))</f>
        <v>0</v>
      </c>
      <c r="Z254" s="26">
        <f>IF(B254="","",IF(H254="Retail",IF(TaxOnRetail="Yes",ROUND(Y254*TaxRate,2),0),IF(H254="Service",IF(TaxOnServices="Yes",ROUND(Y254*TaxRate,2),0),0)))</f>
        <v>0</v>
      </c>
      <c r="AA254" s="26">
        <f>IF(B254="","",ROUND(Y254+Z254,2))</f>
        <v>0</v>
      </c>
      <c r="AB254" s="26">
        <f>IF(B254="","",ROUND(T254*IF(H254="Retail",IFERROR(INDEX(Inventory!$H$5:$H$304,MATCH(I254,Inventory!$A$5:$A$304,0))*1,0),IFERROR(INDEX(Services!$Q$5:$Q$204,MATCH(I254,Services!$A$5:$A$204,0))*1,0)),2))</f>
        <v>0</v>
      </c>
      <c r="AC254" s="26">
        <f>IF(B254="","",ROUND(Y254-AB254,2))</f>
        <v>0</v>
      </c>
      <c r="AD254" s="38">
        <f>IF(B254="","",IF(C254="","No",IF(COUNTIFS($C$5:C254,C254)=1,"Yes","No")))</f>
        <v>0</v>
      </c>
      <c r="AE254" s="26">
        <f>IF(B254="","",ROUND(SUMIFS(Payments!$G$5:$G$1204,Payments!$H$5:$H$1204,A254,Payments!$Q$5:$Q$1204,"Yes"),2))</f>
        <v>0</v>
      </c>
      <c r="AF254" s="26">
        <f>IF(B254="","",IF(AD254="No",0,ROUND(SUMIFS(Payments!$G$5:$G$1204,Payments!$I$5:$I$1204,C254,Payments!$H$5:$H$1204,"",Payments!$Q$5:$Q$1204,"Yes"),2)))</f>
        <v>0</v>
      </c>
      <c r="AG254" s="26">
        <f>IF(B254="","",ROUND(AE254+AF254,2))</f>
        <v>0</v>
      </c>
      <c r="AH254" s="26">
        <f>IF(B254="","",ROUND(AA254-AG254,2))</f>
        <v>0</v>
      </c>
      <c r="AI254" s="39">
        <f>IF(B254="","",IF(AA254&lt;=0,"No charge",IF(AH254&lt;=0.004,"Paid",IF(AG254&lt;=0.004,"Unpaid","Part paid"))))</f>
        <v>0</v>
      </c>
      <c r="AJ254" s="38">
        <f>IF(B254="","",IF(H254&lt;&gt;"Service","",IF(D254="","No",IF(COUNTIFS($D$5:$D$1204,D254,$B$5:$B$1204,B254,$H$5:$H$1204,"Retail")&gt;0,"Yes","No"))))</f>
        <v>0</v>
      </c>
      <c r="AK254" s="25">
        <f>IF(B254="","",COUNTIFS($Y$5:$Y$1204,"&gt;"&amp;Y254)+COUNTIFS($Y$5:Y254,Y254))</f>
        <v>0</v>
      </c>
      <c r="AL254" s="39">
        <f>IF(B254="","",IF(H254="","Add - what kind of sale is this?",IF(IF(V254&lt;=0,P254="",FALSE),"Check - no price found for this item",IF(F254="","Assign - nobody credited",IF(AH254&gt;0.004,"Unpaid - balance outstanding",IF(AC254&lt;0,"Loss - sold below cost",IF(X254&gt;W254*0.5,"Check - more than half off","OK")))))))</f>
        <v>0</v>
      </c>
    </row>
    <row r="255" spans="1:38">
      <c r="A255" s="28">
        <f>IF(B255="","",SalePrefix&amp;TEXT(ROW()-4,"0000"))</f>
        <v>0</v>
      </c>
      <c r="E255" s="15">
        <f>IF(D255="","",IFERROR(INDEX(Clients!$B$5:$B$504,MATCH(D255,Clients!$A$5:$A$504,0)),"Walk-in"))</f>
        <v>0</v>
      </c>
      <c r="G255" s="15">
        <f>IF(F255="","",IFERROR(INDEX(Staff!$B$5:$B$44,MATCH(F255,Staff!$A$5:$A$44,0)),"House"))</f>
        <v>0</v>
      </c>
      <c r="R255" s="15">
        <f>IF(B255="","",TEXT(B255,"yyyy-mm"))</f>
        <v>0</v>
      </c>
      <c r="S255" s="25">
        <f>IF(B255="","",WEEKNUM(B255,2))</f>
        <v>0</v>
      </c>
      <c r="T255" s="37">
        <f>IF(B255="","",IF(K255="",1,K255))</f>
        <v>0</v>
      </c>
      <c r="U255" s="15">
        <f>IF(B255="","",IF(J255&lt;&gt;"",J255,IF(H255="Retail",IFERROR(INDEX(Inventory!$B$5:$B$304,MATCH(I255,Inventory!$A$5:$A$304,0))&amp;"","Not in Inventory"),IFERROR(INDEX(Services!$B$5:$B$204,MATCH(I255,Services!$A$5:$A$204,0))&amp;"","Not in Services"))))</f>
        <v>0</v>
      </c>
      <c r="V255" s="26">
        <f>IF(B255="","",IF(L255&lt;&gt;"",L255,IF(H255="Retail",IFERROR(INDEX(Inventory!$I$5:$I$304,MATCH(I255,Inventory!$A$5:$A$304,0))*1,0),IFERROR(INDEX(Services!$G$5:$G$204,MATCH(I255,Services!$A$5:$A$204,0))*1,0))))</f>
        <v>0</v>
      </c>
      <c r="W255" s="26">
        <f>IF(B255="","",ROUND(T255*V255,2))</f>
        <v>0</v>
      </c>
      <c r="X255" s="26">
        <f>IF(B255="","",ROUND(IF(M255="",0,W255*M255)+IF(N255="",0,N255),2))</f>
        <v>0</v>
      </c>
      <c r="Y255" s="26">
        <f>IF(B255="","",ROUND(W255-X255-IF(P255="",0,P255),2))</f>
        <v>0</v>
      </c>
      <c r="Z255" s="26">
        <f>IF(B255="","",IF(H255="Retail",IF(TaxOnRetail="Yes",ROUND(Y255*TaxRate,2),0),IF(H255="Service",IF(TaxOnServices="Yes",ROUND(Y255*TaxRate,2),0),0)))</f>
        <v>0</v>
      </c>
      <c r="AA255" s="26">
        <f>IF(B255="","",ROUND(Y255+Z255,2))</f>
        <v>0</v>
      </c>
      <c r="AB255" s="26">
        <f>IF(B255="","",ROUND(T255*IF(H255="Retail",IFERROR(INDEX(Inventory!$H$5:$H$304,MATCH(I255,Inventory!$A$5:$A$304,0))*1,0),IFERROR(INDEX(Services!$Q$5:$Q$204,MATCH(I255,Services!$A$5:$A$204,0))*1,0)),2))</f>
        <v>0</v>
      </c>
      <c r="AC255" s="26">
        <f>IF(B255="","",ROUND(Y255-AB255,2))</f>
        <v>0</v>
      </c>
      <c r="AD255" s="38">
        <f>IF(B255="","",IF(C255="","No",IF(COUNTIFS($C$5:C255,C255)=1,"Yes","No")))</f>
        <v>0</v>
      </c>
      <c r="AE255" s="26">
        <f>IF(B255="","",ROUND(SUMIFS(Payments!$G$5:$G$1204,Payments!$H$5:$H$1204,A255,Payments!$Q$5:$Q$1204,"Yes"),2))</f>
        <v>0</v>
      </c>
      <c r="AF255" s="26">
        <f>IF(B255="","",IF(AD255="No",0,ROUND(SUMIFS(Payments!$G$5:$G$1204,Payments!$I$5:$I$1204,C255,Payments!$H$5:$H$1204,"",Payments!$Q$5:$Q$1204,"Yes"),2)))</f>
        <v>0</v>
      </c>
      <c r="AG255" s="26">
        <f>IF(B255="","",ROUND(AE255+AF255,2))</f>
        <v>0</v>
      </c>
      <c r="AH255" s="26">
        <f>IF(B255="","",ROUND(AA255-AG255,2))</f>
        <v>0</v>
      </c>
      <c r="AI255" s="39">
        <f>IF(B255="","",IF(AA255&lt;=0,"No charge",IF(AH255&lt;=0.004,"Paid",IF(AG255&lt;=0.004,"Unpaid","Part paid"))))</f>
        <v>0</v>
      </c>
      <c r="AJ255" s="38">
        <f>IF(B255="","",IF(H255&lt;&gt;"Service","",IF(D255="","No",IF(COUNTIFS($D$5:$D$1204,D255,$B$5:$B$1204,B255,$H$5:$H$1204,"Retail")&gt;0,"Yes","No"))))</f>
        <v>0</v>
      </c>
      <c r="AK255" s="25">
        <f>IF(B255="","",COUNTIFS($Y$5:$Y$1204,"&gt;"&amp;Y255)+COUNTIFS($Y$5:Y255,Y255))</f>
        <v>0</v>
      </c>
      <c r="AL255" s="39">
        <f>IF(B255="","",IF(H255="","Add - what kind of sale is this?",IF(IF(V255&lt;=0,P255="",FALSE),"Check - no price found for this item",IF(F255="","Assign - nobody credited",IF(AH255&gt;0.004,"Unpaid - balance outstanding",IF(AC255&lt;0,"Loss - sold below cost",IF(X255&gt;W255*0.5,"Check - more than half off","OK")))))))</f>
        <v>0</v>
      </c>
    </row>
    <row r="256" spans="1:38">
      <c r="A256" s="28">
        <f>IF(B256="","",SalePrefix&amp;TEXT(ROW()-4,"0000"))</f>
        <v>0</v>
      </c>
      <c r="E256" s="15">
        <f>IF(D256="","",IFERROR(INDEX(Clients!$B$5:$B$504,MATCH(D256,Clients!$A$5:$A$504,0)),"Walk-in"))</f>
        <v>0</v>
      </c>
      <c r="G256" s="15">
        <f>IF(F256="","",IFERROR(INDEX(Staff!$B$5:$B$44,MATCH(F256,Staff!$A$5:$A$44,0)),"House"))</f>
        <v>0</v>
      </c>
      <c r="R256" s="15">
        <f>IF(B256="","",TEXT(B256,"yyyy-mm"))</f>
        <v>0</v>
      </c>
      <c r="S256" s="25">
        <f>IF(B256="","",WEEKNUM(B256,2))</f>
        <v>0</v>
      </c>
      <c r="T256" s="37">
        <f>IF(B256="","",IF(K256="",1,K256))</f>
        <v>0</v>
      </c>
      <c r="U256" s="15">
        <f>IF(B256="","",IF(J256&lt;&gt;"",J256,IF(H256="Retail",IFERROR(INDEX(Inventory!$B$5:$B$304,MATCH(I256,Inventory!$A$5:$A$304,0))&amp;"","Not in Inventory"),IFERROR(INDEX(Services!$B$5:$B$204,MATCH(I256,Services!$A$5:$A$204,0))&amp;"","Not in Services"))))</f>
        <v>0</v>
      </c>
      <c r="V256" s="26">
        <f>IF(B256="","",IF(L256&lt;&gt;"",L256,IF(H256="Retail",IFERROR(INDEX(Inventory!$I$5:$I$304,MATCH(I256,Inventory!$A$5:$A$304,0))*1,0),IFERROR(INDEX(Services!$G$5:$G$204,MATCH(I256,Services!$A$5:$A$204,0))*1,0))))</f>
        <v>0</v>
      </c>
      <c r="W256" s="26">
        <f>IF(B256="","",ROUND(T256*V256,2))</f>
        <v>0</v>
      </c>
      <c r="X256" s="26">
        <f>IF(B256="","",ROUND(IF(M256="",0,W256*M256)+IF(N256="",0,N256),2))</f>
        <v>0</v>
      </c>
      <c r="Y256" s="26">
        <f>IF(B256="","",ROUND(W256-X256-IF(P256="",0,P256),2))</f>
        <v>0</v>
      </c>
      <c r="Z256" s="26">
        <f>IF(B256="","",IF(H256="Retail",IF(TaxOnRetail="Yes",ROUND(Y256*TaxRate,2),0),IF(H256="Service",IF(TaxOnServices="Yes",ROUND(Y256*TaxRate,2),0),0)))</f>
        <v>0</v>
      </c>
      <c r="AA256" s="26">
        <f>IF(B256="","",ROUND(Y256+Z256,2))</f>
        <v>0</v>
      </c>
      <c r="AB256" s="26">
        <f>IF(B256="","",ROUND(T256*IF(H256="Retail",IFERROR(INDEX(Inventory!$H$5:$H$304,MATCH(I256,Inventory!$A$5:$A$304,0))*1,0),IFERROR(INDEX(Services!$Q$5:$Q$204,MATCH(I256,Services!$A$5:$A$204,0))*1,0)),2))</f>
        <v>0</v>
      </c>
      <c r="AC256" s="26">
        <f>IF(B256="","",ROUND(Y256-AB256,2))</f>
        <v>0</v>
      </c>
      <c r="AD256" s="38">
        <f>IF(B256="","",IF(C256="","No",IF(COUNTIFS($C$5:C256,C256)=1,"Yes","No")))</f>
        <v>0</v>
      </c>
      <c r="AE256" s="26">
        <f>IF(B256="","",ROUND(SUMIFS(Payments!$G$5:$G$1204,Payments!$H$5:$H$1204,A256,Payments!$Q$5:$Q$1204,"Yes"),2))</f>
        <v>0</v>
      </c>
      <c r="AF256" s="26">
        <f>IF(B256="","",IF(AD256="No",0,ROUND(SUMIFS(Payments!$G$5:$G$1204,Payments!$I$5:$I$1204,C256,Payments!$H$5:$H$1204,"",Payments!$Q$5:$Q$1204,"Yes"),2)))</f>
        <v>0</v>
      </c>
      <c r="AG256" s="26">
        <f>IF(B256="","",ROUND(AE256+AF256,2))</f>
        <v>0</v>
      </c>
      <c r="AH256" s="26">
        <f>IF(B256="","",ROUND(AA256-AG256,2))</f>
        <v>0</v>
      </c>
      <c r="AI256" s="39">
        <f>IF(B256="","",IF(AA256&lt;=0,"No charge",IF(AH256&lt;=0.004,"Paid",IF(AG256&lt;=0.004,"Unpaid","Part paid"))))</f>
        <v>0</v>
      </c>
      <c r="AJ256" s="38">
        <f>IF(B256="","",IF(H256&lt;&gt;"Service","",IF(D256="","No",IF(COUNTIFS($D$5:$D$1204,D256,$B$5:$B$1204,B256,$H$5:$H$1204,"Retail")&gt;0,"Yes","No"))))</f>
        <v>0</v>
      </c>
      <c r="AK256" s="25">
        <f>IF(B256="","",COUNTIFS($Y$5:$Y$1204,"&gt;"&amp;Y256)+COUNTIFS($Y$5:Y256,Y256))</f>
        <v>0</v>
      </c>
      <c r="AL256" s="39">
        <f>IF(B256="","",IF(H256="","Add - what kind of sale is this?",IF(IF(V256&lt;=0,P256="",FALSE),"Check - no price found for this item",IF(F256="","Assign - nobody credited",IF(AH256&gt;0.004,"Unpaid - balance outstanding",IF(AC256&lt;0,"Loss - sold below cost",IF(X256&gt;W256*0.5,"Check - more than half off","OK")))))))</f>
        <v>0</v>
      </c>
    </row>
    <row r="257" spans="1:38">
      <c r="A257" s="28">
        <f>IF(B257="","",SalePrefix&amp;TEXT(ROW()-4,"0000"))</f>
        <v>0</v>
      </c>
      <c r="E257" s="15">
        <f>IF(D257="","",IFERROR(INDEX(Clients!$B$5:$B$504,MATCH(D257,Clients!$A$5:$A$504,0)),"Walk-in"))</f>
        <v>0</v>
      </c>
      <c r="G257" s="15">
        <f>IF(F257="","",IFERROR(INDEX(Staff!$B$5:$B$44,MATCH(F257,Staff!$A$5:$A$44,0)),"House"))</f>
        <v>0</v>
      </c>
      <c r="R257" s="15">
        <f>IF(B257="","",TEXT(B257,"yyyy-mm"))</f>
        <v>0</v>
      </c>
      <c r="S257" s="25">
        <f>IF(B257="","",WEEKNUM(B257,2))</f>
        <v>0</v>
      </c>
      <c r="T257" s="37">
        <f>IF(B257="","",IF(K257="",1,K257))</f>
        <v>0</v>
      </c>
      <c r="U257" s="15">
        <f>IF(B257="","",IF(J257&lt;&gt;"",J257,IF(H257="Retail",IFERROR(INDEX(Inventory!$B$5:$B$304,MATCH(I257,Inventory!$A$5:$A$304,0))&amp;"","Not in Inventory"),IFERROR(INDEX(Services!$B$5:$B$204,MATCH(I257,Services!$A$5:$A$204,0))&amp;"","Not in Services"))))</f>
        <v>0</v>
      </c>
      <c r="V257" s="26">
        <f>IF(B257="","",IF(L257&lt;&gt;"",L257,IF(H257="Retail",IFERROR(INDEX(Inventory!$I$5:$I$304,MATCH(I257,Inventory!$A$5:$A$304,0))*1,0),IFERROR(INDEX(Services!$G$5:$G$204,MATCH(I257,Services!$A$5:$A$204,0))*1,0))))</f>
        <v>0</v>
      </c>
      <c r="W257" s="26">
        <f>IF(B257="","",ROUND(T257*V257,2))</f>
        <v>0</v>
      </c>
      <c r="X257" s="26">
        <f>IF(B257="","",ROUND(IF(M257="",0,W257*M257)+IF(N257="",0,N257),2))</f>
        <v>0</v>
      </c>
      <c r="Y257" s="26">
        <f>IF(B257="","",ROUND(W257-X257-IF(P257="",0,P257),2))</f>
        <v>0</v>
      </c>
      <c r="Z257" s="26">
        <f>IF(B257="","",IF(H257="Retail",IF(TaxOnRetail="Yes",ROUND(Y257*TaxRate,2),0),IF(H257="Service",IF(TaxOnServices="Yes",ROUND(Y257*TaxRate,2),0),0)))</f>
        <v>0</v>
      </c>
      <c r="AA257" s="26">
        <f>IF(B257="","",ROUND(Y257+Z257,2))</f>
        <v>0</v>
      </c>
      <c r="AB257" s="26">
        <f>IF(B257="","",ROUND(T257*IF(H257="Retail",IFERROR(INDEX(Inventory!$H$5:$H$304,MATCH(I257,Inventory!$A$5:$A$304,0))*1,0),IFERROR(INDEX(Services!$Q$5:$Q$204,MATCH(I257,Services!$A$5:$A$204,0))*1,0)),2))</f>
        <v>0</v>
      </c>
      <c r="AC257" s="26">
        <f>IF(B257="","",ROUND(Y257-AB257,2))</f>
        <v>0</v>
      </c>
      <c r="AD257" s="38">
        <f>IF(B257="","",IF(C257="","No",IF(COUNTIFS($C$5:C257,C257)=1,"Yes","No")))</f>
        <v>0</v>
      </c>
      <c r="AE257" s="26">
        <f>IF(B257="","",ROUND(SUMIFS(Payments!$G$5:$G$1204,Payments!$H$5:$H$1204,A257,Payments!$Q$5:$Q$1204,"Yes"),2))</f>
        <v>0</v>
      </c>
      <c r="AF257" s="26">
        <f>IF(B257="","",IF(AD257="No",0,ROUND(SUMIFS(Payments!$G$5:$G$1204,Payments!$I$5:$I$1204,C257,Payments!$H$5:$H$1204,"",Payments!$Q$5:$Q$1204,"Yes"),2)))</f>
        <v>0</v>
      </c>
      <c r="AG257" s="26">
        <f>IF(B257="","",ROUND(AE257+AF257,2))</f>
        <v>0</v>
      </c>
      <c r="AH257" s="26">
        <f>IF(B257="","",ROUND(AA257-AG257,2))</f>
        <v>0</v>
      </c>
      <c r="AI257" s="39">
        <f>IF(B257="","",IF(AA257&lt;=0,"No charge",IF(AH257&lt;=0.004,"Paid",IF(AG257&lt;=0.004,"Unpaid","Part paid"))))</f>
        <v>0</v>
      </c>
      <c r="AJ257" s="38">
        <f>IF(B257="","",IF(H257&lt;&gt;"Service","",IF(D257="","No",IF(COUNTIFS($D$5:$D$1204,D257,$B$5:$B$1204,B257,$H$5:$H$1204,"Retail")&gt;0,"Yes","No"))))</f>
        <v>0</v>
      </c>
      <c r="AK257" s="25">
        <f>IF(B257="","",COUNTIFS($Y$5:$Y$1204,"&gt;"&amp;Y257)+COUNTIFS($Y$5:Y257,Y257))</f>
        <v>0</v>
      </c>
      <c r="AL257" s="39">
        <f>IF(B257="","",IF(H257="","Add - what kind of sale is this?",IF(IF(V257&lt;=0,P257="",FALSE),"Check - no price found for this item",IF(F257="","Assign - nobody credited",IF(AH257&gt;0.004,"Unpaid - balance outstanding",IF(AC257&lt;0,"Loss - sold below cost",IF(X257&gt;W257*0.5,"Check - more than half off","OK")))))))</f>
        <v>0</v>
      </c>
    </row>
    <row r="258" spans="1:38">
      <c r="A258" s="28">
        <f>IF(B258="","",SalePrefix&amp;TEXT(ROW()-4,"0000"))</f>
        <v>0</v>
      </c>
      <c r="E258" s="15">
        <f>IF(D258="","",IFERROR(INDEX(Clients!$B$5:$B$504,MATCH(D258,Clients!$A$5:$A$504,0)),"Walk-in"))</f>
        <v>0</v>
      </c>
      <c r="G258" s="15">
        <f>IF(F258="","",IFERROR(INDEX(Staff!$B$5:$B$44,MATCH(F258,Staff!$A$5:$A$44,0)),"House"))</f>
        <v>0</v>
      </c>
      <c r="R258" s="15">
        <f>IF(B258="","",TEXT(B258,"yyyy-mm"))</f>
        <v>0</v>
      </c>
      <c r="S258" s="25">
        <f>IF(B258="","",WEEKNUM(B258,2))</f>
        <v>0</v>
      </c>
      <c r="T258" s="37">
        <f>IF(B258="","",IF(K258="",1,K258))</f>
        <v>0</v>
      </c>
      <c r="U258" s="15">
        <f>IF(B258="","",IF(J258&lt;&gt;"",J258,IF(H258="Retail",IFERROR(INDEX(Inventory!$B$5:$B$304,MATCH(I258,Inventory!$A$5:$A$304,0))&amp;"","Not in Inventory"),IFERROR(INDEX(Services!$B$5:$B$204,MATCH(I258,Services!$A$5:$A$204,0))&amp;"","Not in Services"))))</f>
        <v>0</v>
      </c>
      <c r="V258" s="26">
        <f>IF(B258="","",IF(L258&lt;&gt;"",L258,IF(H258="Retail",IFERROR(INDEX(Inventory!$I$5:$I$304,MATCH(I258,Inventory!$A$5:$A$304,0))*1,0),IFERROR(INDEX(Services!$G$5:$G$204,MATCH(I258,Services!$A$5:$A$204,0))*1,0))))</f>
        <v>0</v>
      </c>
      <c r="W258" s="26">
        <f>IF(B258="","",ROUND(T258*V258,2))</f>
        <v>0</v>
      </c>
      <c r="X258" s="26">
        <f>IF(B258="","",ROUND(IF(M258="",0,W258*M258)+IF(N258="",0,N258),2))</f>
        <v>0</v>
      </c>
      <c r="Y258" s="26">
        <f>IF(B258="","",ROUND(W258-X258-IF(P258="",0,P258),2))</f>
        <v>0</v>
      </c>
      <c r="Z258" s="26">
        <f>IF(B258="","",IF(H258="Retail",IF(TaxOnRetail="Yes",ROUND(Y258*TaxRate,2),0),IF(H258="Service",IF(TaxOnServices="Yes",ROUND(Y258*TaxRate,2),0),0)))</f>
        <v>0</v>
      </c>
      <c r="AA258" s="26">
        <f>IF(B258="","",ROUND(Y258+Z258,2))</f>
        <v>0</v>
      </c>
      <c r="AB258" s="26">
        <f>IF(B258="","",ROUND(T258*IF(H258="Retail",IFERROR(INDEX(Inventory!$H$5:$H$304,MATCH(I258,Inventory!$A$5:$A$304,0))*1,0),IFERROR(INDEX(Services!$Q$5:$Q$204,MATCH(I258,Services!$A$5:$A$204,0))*1,0)),2))</f>
        <v>0</v>
      </c>
      <c r="AC258" s="26">
        <f>IF(B258="","",ROUND(Y258-AB258,2))</f>
        <v>0</v>
      </c>
      <c r="AD258" s="38">
        <f>IF(B258="","",IF(C258="","No",IF(COUNTIFS($C$5:C258,C258)=1,"Yes","No")))</f>
        <v>0</v>
      </c>
      <c r="AE258" s="26">
        <f>IF(B258="","",ROUND(SUMIFS(Payments!$G$5:$G$1204,Payments!$H$5:$H$1204,A258,Payments!$Q$5:$Q$1204,"Yes"),2))</f>
        <v>0</v>
      </c>
      <c r="AF258" s="26">
        <f>IF(B258="","",IF(AD258="No",0,ROUND(SUMIFS(Payments!$G$5:$G$1204,Payments!$I$5:$I$1204,C258,Payments!$H$5:$H$1204,"",Payments!$Q$5:$Q$1204,"Yes"),2)))</f>
        <v>0</v>
      </c>
      <c r="AG258" s="26">
        <f>IF(B258="","",ROUND(AE258+AF258,2))</f>
        <v>0</v>
      </c>
      <c r="AH258" s="26">
        <f>IF(B258="","",ROUND(AA258-AG258,2))</f>
        <v>0</v>
      </c>
      <c r="AI258" s="39">
        <f>IF(B258="","",IF(AA258&lt;=0,"No charge",IF(AH258&lt;=0.004,"Paid",IF(AG258&lt;=0.004,"Unpaid","Part paid"))))</f>
        <v>0</v>
      </c>
      <c r="AJ258" s="38">
        <f>IF(B258="","",IF(H258&lt;&gt;"Service","",IF(D258="","No",IF(COUNTIFS($D$5:$D$1204,D258,$B$5:$B$1204,B258,$H$5:$H$1204,"Retail")&gt;0,"Yes","No"))))</f>
        <v>0</v>
      </c>
      <c r="AK258" s="25">
        <f>IF(B258="","",COUNTIFS($Y$5:$Y$1204,"&gt;"&amp;Y258)+COUNTIFS($Y$5:Y258,Y258))</f>
        <v>0</v>
      </c>
      <c r="AL258" s="39">
        <f>IF(B258="","",IF(H258="","Add - what kind of sale is this?",IF(IF(V258&lt;=0,P258="",FALSE),"Check - no price found for this item",IF(F258="","Assign - nobody credited",IF(AH258&gt;0.004,"Unpaid - balance outstanding",IF(AC258&lt;0,"Loss - sold below cost",IF(X258&gt;W258*0.5,"Check - more than half off","OK")))))))</f>
        <v>0</v>
      </c>
    </row>
    <row r="259" spans="1:38">
      <c r="A259" s="28">
        <f>IF(B259="","",SalePrefix&amp;TEXT(ROW()-4,"0000"))</f>
        <v>0</v>
      </c>
      <c r="E259" s="15">
        <f>IF(D259="","",IFERROR(INDEX(Clients!$B$5:$B$504,MATCH(D259,Clients!$A$5:$A$504,0)),"Walk-in"))</f>
        <v>0</v>
      </c>
      <c r="G259" s="15">
        <f>IF(F259="","",IFERROR(INDEX(Staff!$B$5:$B$44,MATCH(F259,Staff!$A$5:$A$44,0)),"House"))</f>
        <v>0</v>
      </c>
      <c r="R259" s="15">
        <f>IF(B259="","",TEXT(B259,"yyyy-mm"))</f>
        <v>0</v>
      </c>
      <c r="S259" s="25">
        <f>IF(B259="","",WEEKNUM(B259,2))</f>
        <v>0</v>
      </c>
      <c r="T259" s="37">
        <f>IF(B259="","",IF(K259="",1,K259))</f>
        <v>0</v>
      </c>
      <c r="U259" s="15">
        <f>IF(B259="","",IF(J259&lt;&gt;"",J259,IF(H259="Retail",IFERROR(INDEX(Inventory!$B$5:$B$304,MATCH(I259,Inventory!$A$5:$A$304,0))&amp;"","Not in Inventory"),IFERROR(INDEX(Services!$B$5:$B$204,MATCH(I259,Services!$A$5:$A$204,0))&amp;"","Not in Services"))))</f>
        <v>0</v>
      </c>
      <c r="V259" s="26">
        <f>IF(B259="","",IF(L259&lt;&gt;"",L259,IF(H259="Retail",IFERROR(INDEX(Inventory!$I$5:$I$304,MATCH(I259,Inventory!$A$5:$A$304,0))*1,0),IFERROR(INDEX(Services!$G$5:$G$204,MATCH(I259,Services!$A$5:$A$204,0))*1,0))))</f>
        <v>0</v>
      </c>
      <c r="W259" s="26">
        <f>IF(B259="","",ROUND(T259*V259,2))</f>
        <v>0</v>
      </c>
      <c r="X259" s="26">
        <f>IF(B259="","",ROUND(IF(M259="",0,W259*M259)+IF(N259="",0,N259),2))</f>
        <v>0</v>
      </c>
      <c r="Y259" s="26">
        <f>IF(B259="","",ROUND(W259-X259-IF(P259="",0,P259),2))</f>
        <v>0</v>
      </c>
      <c r="Z259" s="26">
        <f>IF(B259="","",IF(H259="Retail",IF(TaxOnRetail="Yes",ROUND(Y259*TaxRate,2),0),IF(H259="Service",IF(TaxOnServices="Yes",ROUND(Y259*TaxRate,2),0),0)))</f>
        <v>0</v>
      </c>
      <c r="AA259" s="26">
        <f>IF(B259="","",ROUND(Y259+Z259,2))</f>
        <v>0</v>
      </c>
      <c r="AB259" s="26">
        <f>IF(B259="","",ROUND(T259*IF(H259="Retail",IFERROR(INDEX(Inventory!$H$5:$H$304,MATCH(I259,Inventory!$A$5:$A$304,0))*1,0),IFERROR(INDEX(Services!$Q$5:$Q$204,MATCH(I259,Services!$A$5:$A$204,0))*1,0)),2))</f>
        <v>0</v>
      </c>
      <c r="AC259" s="26">
        <f>IF(B259="","",ROUND(Y259-AB259,2))</f>
        <v>0</v>
      </c>
      <c r="AD259" s="38">
        <f>IF(B259="","",IF(C259="","No",IF(COUNTIFS($C$5:C259,C259)=1,"Yes","No")))</f>
        <v>0</v>
      </c>
      <c r="AE259" s="26">
        <f>IF(B259="","",ROUND(SUMIFS(Payments!$G$5:$G$1204,Payments!$H$5:$H$1204,A259,Payments!$Q$5:$Q$1204,"Yes"),2))</f>
        <v>0</v>
      </c>
      <c r="AF259" s="26">
        <f>IF(B259="","",IF(AD259="No",0,ROUND(SUMIFS(Payments!$G$5:$G$1204,Payments!$I$5:$I$1204,C259,Payments!$H$5:$H$1204,"",Payments!$Q$5:$Q$1204,"Yes"),2)))</f>
        <v>0</v>
      </c>
      <c r="AG259" s="26">
        <f>IF(B259="","",ROUND(AE259+AF259,2))</f>
        <v>0</v>
      </c>
      <c r="AH259" s="26">
        <f>IF(B259="","",ROUND(AA259-AG259,2))</f>
        <v>0</v>
      </c>
      <c r="AI259" s="39">
        <f>IF(B259="","",IF(AA259&lt;=0,"No charge",IF(AH259&lt;=0.004,"Paid",IF(AG259&lt;=0.004,"Unpaid","Part paid"))))</f>
        <v>0</v>
      </c>
      <c r="AJ259" s="38">
        <f>IF(B259="","",IF(H259&lt;&gt;"Service","",IF(D259="","No",IF(COUNTIFS($D$5:$D$1204,D259,$B$5:$B$1204,B259,$H$5:$H$1204,"Retail")&gt;0,"Yes","No"))))</f>
        <v>0</v>
      </c>
      <c r="AK259" s="25">
        <f>IF(B259="","",COUNTIFS($Y$5:$Y$1204,"&gt;"&amp;Y259)+COUNTIFS($Y$5:Y259,Y259))</f>
        <v>0</v>
      </c>
      <c r="AL259" s="39">
        <f>IF(B259="","",IF(H259="","Add - what kind of sale is this?",IF(IF(V259&lt;=0,P259="",FALSE),"Check - no price found for this item",IF(F259="","Assign - nobody credited",IF(AH259&gt;0.004,"Unpaid - balance outstanding",IF(AC259&lt;0,"Loss - sold below cost",IF(X259&gt;W259*0.5,"Check - more than half off","OK")))))))</f>
        <v>0</v>
      </c>
    </row>
    <row r="260" spans="1:38">
      <c r="A260" s="28">
        <f>IF(B260="","",SalePrefix&amp;TEXT(ROW()-4,"0000"))</f>
        <v>0</v>
      </c>
      <c r="E260" s="15">
        <f>IF(D260="","",IFERROR(INDEX(Clients!$B$5:$B$504,MATCH(D260,Clients!$A$5:$A$504,0)),"Walk-in"))</f>
        <v>0</v>
      </c>
      <c r="G260" s="15">
        <f>IF(F260="","",IFERROR(INDEX(Staff!$B$5:$B$44,MATCH(F260,Staff!$A$5:$A$44,0)),"House"))</f>
        <v>0</v>
      </c>
      <c r="R260" s="15">
        <f>IF(B260="","",TEXT(B260,"yyyy-mm"))</f>
        <v>0</v>
      </c>
      <c r="S260" s="25">
        <f>IF(B260="","",WEEKNUM(B260,2))</f>
        <v>0</v>
      </c>
      <c r="T260" s="37">
        <f>IF(B260="","",IF(K260="",1,K260))</f>
        <v>0</v>
      </c>
      <c r="U260" s="15">
        <f>IF(B260="","",IF(J260&lt;&gt;"",J260,IF(H260="Retail",IFERROR(INDEX(Inventory!$B$5:$B$304,MATCH(I260,Inventory!$A$5:$A$304,0))&amp;"","Not in Inventory"),IFERROR(INDEX(Services!$B$5:$B$204,MATCH(I260,Services!$A$5:$A$204,0))&amp;"","Not in Services"))))</f>
        <v>0</v>
      </c>
      <c r="V260" s="26">
        <f>IF(B260="","",IF(L260&lt;&gt;"",L260,IF(H260="Retail",IFERROR(INDEX(Inventory!$I$5:$I$304,MATCH(I260,Inventory!$A$5:$A$304,0))*1,0),IFERROR(INDEX(Services!$G$5:$G$204,MATCH(I260,Services!$A$5:$A$204,0))*1,0))))</f>
        <v>0</v>
      </c>
      <c r="W260" s="26">
        <f>IF(B260="","",ROUND(T260*V260,2))</f>
        <v>0</v>
      </c>
      <c r="X260" s="26">
        <f>IF(B260="","",ROUND(IF(M260="",0,W260*M260)+IF(N260="",0,N260),2))</f>
        <v>0</v>
      </c>
      <c r="Y260" s="26">
        <f>IF(B260="","",ROUND(W260-X260-IF(P260="",0,P260),2))</f>
        <v>0</v>
      </c>
      <c r="Z260" s="26">
        <f>IF(B260="","",IF(H260="Retail",IF(TaxOnRetail="Yes",ROUND(Y260*TaxRate,2),0),IF(H260="Service",IF(TaxOnServices="Yes",ROUND(Y260*TaxRate,2),0),0)))</f>
        <v>0</v>
      </c>
      <c r="AA260" s="26">
        <f>IF(B260="","",ROUND(Y260+Z260,2))</f>
        <v>0</v>
      </c>
      <c r="AB260" s="26">
        <f>IF(B260="","",ROUND(T260*IF(H260="Retail",IFERROR(INDEX(Inventory!$H$5:$H$304,MATCH(I260,Inventory!$A$5:$A$304,0))*1,0),IFERROR(INDEX(Services!$Q$5:$Q$204,MATCH(I260,Services!$A$5:$A$204,0))*1,0)),2))</f>
        <v>0</v>
      </c>
      <c r="AC260" s="26">
        <f>IF(B260="","",ROUND(Y260-AB260,2))</f>
        <v>0</v>
      </c>
      <c r="AD260" s="38">
        <f>IF(B260="","",IF(C260="","No",IF(COUNTIFS($C$5:C260,C260)=1,"Yes","No")))</f>
        <v>0</v>
      </c>
      <c r="AE260" s="26">
        <f>IF(B260="","",ROUND(SUMIFS(Payments!$G$5:$G$1204,Payments!$H$5:$H$1204,A260,Payments!$Q$5:$Q$1204,"Yes"),2))</f>
        <v>0</v>
      </c>
      <c r="AF260" s="26">
        <f>IF(B260="","",IF(AD260="No",0,ROUND(SUMIFS(Payments!$G$5:$G$1204,Payments!$I$5:$I$1204,C260,Payments!$H$5:$H$1204,"",Payments!$Q$5:$Q$1204,"Yes"),2)))</f>
        <v>0</v>
      </c>
      <c r="AG260" s="26">
        <f>IF(B260="","",ROUND(AE260+AF260,2))</f>
        <v>0</v>
      </c>
      <c r="AH260" s="26">
        <f>IF(B260="","",ROUND(AA260-AG260,2))</f>
        <v>0</v>
      </c>
      <c r="AI260" s="39">
        <f>IF(B260="","",IF(AA260&lt;=0,"No charge",IF(AH260&lt;=0.004,"Paid",IF(AG260&lt;=0.004,"Unpaid","Part paid"))))</f>
        <v>0</v>
      </c>
      <c r="AJ260" s="38">
        <f>IF(B260="","",IF(H260&lt;&gt;"Service","",IF(D260="","No",IF(COUNTIFS($D$5:$D$1204,D260,$B$5:$B$1204,B260,$H$5:$H$1204,"Retail")&gt;0,"Yes","No"))))</f>
        <v>0</v>
      </c>
      <c r="AK260" s="25">
        <f>IF(B260="","",COUNTIFS($Y$5:$Y$1204,"&gt;"&amp;Y260)+COUNTIFS($Y$5:Y260,Y260))</f>
        <v>0</v>
      </c>
      <c r="AL260" s="39">
        <f>IF(B260="","",IF(H260="","Add - what kind of sale is this?",IF(IF(V260&lt;=0,P260="",FALSE),"Check - no price found for this item",IF(F260="","Assign - nobody credited",IF(AH260&gt;0.004,"Unpaid - balance outstanding",IF(AC260&lt;0,"Loss - sold below cost",IF(X260&gt;W260*0.5,"Check - more than half off","OK")))))))</f>
        <v>0</v>
      </c>
    </row>
    <row r="261" spans="1:38">
      <c r="A261" s="28">
        <f>IF(B261="","",SalePrefix&amp;TEXT(ROW()-4,"0000"))</f>
        <v>0</v>
      </c>
      <c r="E261" s="15">
        <f>IF(D261="","",IFERROR(INDEX(Clients!$B$5:$B$504,MATCH(D261,Clients!$A$5:$A$504,0)),"Walk-in"))</f>
        <v>0</v>
      </c>
      <c r="G261" s="15">
        <f>IF(F261="","",IFERROR(INDEX(Staff!$B$5:$B$44,MATCH(F261,Staff!$A$5:$A$44,0)),"House"))</f>
        <v>0</v>
      </c>
      <c r="R261" s="15">
        <f>IF(B261="","",TEXT(B261,"yyyy-mm"))</f>
        <v>0</v>
      </c>
      <c r="S261" s="25">
        <f>IF(B261="","",WEEKNUM(B261,2))</f>
        <v>0</v>
      </c>
      <c r="T261" s="37">
        <f>IF(B261="","",IF(K261="",1,K261))</f>
        <v>0</v>
      </c>
      <c r="U261" s="15">
        <f>IF(B261="","",IF(J261&lt;&gt;"",J261,IF(H261="Retail",IFERROR(INDEX(Inventory!$B$5:$B$304,MATCH(I261,Inventory!$A$5:$A$304,0))&amp;"","Not in Inventory"),IFERROR(INDEX(Services!$B$5:$B$204,MATCH(I261,Services!$A$5:$A$204,0))&amp;"","Not in Services"))))</f>
        <v>0</v>
      </c>
      <c r="V261" s="26">
        <f>IF(B261="","",IF(L261&lt;&gt;"",L261,IF(H261="Retail",IFERROR(INDEX(Inventory!$I$5:$I$304,MATCH(I261,Inventory!$A$5:$A$304,0))*1,0),IFERROR(INDEX(Services!$G$5:$G$204,MATCH(I261,Services!$A$5:$A$204,0))*1,0))))</f>
        <v>0</v>
      </c>
      <c r="W261" s="26">
        <f>IF(B261="","",ROUND(T261*V261,2))</f>
        <v>0</v>
      </c>
      <c r="X261" s="26">
        <f>IF(B261="","",ROUND(IF(M261="",0,W261*M261)+IF(N261="",0,N261),2))</f>
        <v>0</v>
      </c>
      <c r="Y261" s="26">
        <f>IF(B261="","",ROUND(W261-X261-IF(P261="",0,P261),2))</f>
        <v>0</v>
      </c>
      <c r="Z261" s="26">
        <f>IF(B261="","",IF(H261="Retail",IF(TaxOnRetail="Yes",ROUND(Y261*TaxRate,2),0),IF(H261="Service",IF(TaxOnServices="Yes",ROUND(Y261*TaxRate,2),0),0)))</f>
        <v>0</v>
      </c>
      <c r="AA261" s="26">
        <f>IF(B261="","",ROUND(Y261+Z261,2))</f>
        <v>0</v>
      </c>
      <c r="AB261" s="26">
        <f>IF(B261="","",ROUND(T261*IF(H261="Retail",IFERROR(INDEX(Inventory!$H$5:$H$304,MATCH(I261,Inventory!$A$5:$A$304,0))*1,0),IFERROR(INDEX(Services!$Q$5:$Q$204,MATCH(I261,Services!$A$5:$A$204,0))*1,0)),2))</f>
        <v>0</v>
      </c>
      <c r="AC261" s="26">
        <f>IF(B261="","",ROUND(Y261-AB261,2))</f>
        <v>0</v>
      </c>
      <c r="AD261" s="38">
        <f>IF(B261="","",IF(C261="","No",IF(COUNTIFS($C$5:C261,C261)=1,"Yes","No")))</f>
        <v>0</v>
      </c>
      <c r="AE261" s="26">
        <f>IF(B261="","",ROUND(SUMIFS(Payments!$G$5:$G$1204,Payments!$H$5:$H$1204,A261,Payments!$Q$5:$Q$1204,"Yes"),2))</f>
        <v>0</v>
      </c>
      <c r="AF261" s="26">
        <f>IF(B261="","",IF(AD261="No",0,ROUND(SUMIFS(Payments!$G$5:$G$1204,Payments!$I$5:$I$1204,C261,Payments!$H$5:$H$1204,"",Payments!$Q$5:$Q$1204,"Yes"),2)))</f>
        <v>0</v>
      </c>
      <c r="AG261" s="26">
        <f>IF(B261="","",ROUND(AE261+AF261,2))</f>
        <v>0</v>
      </c>
      <c r="AH261" s="26">
        <f>IF(B261="","",ROUND(AA261-AG261,2))</f>
        <v>0</v>
      </c>
      <c r="AI261" s="39">
        <f>IF(B261="","",IF(AA261&lt;=0,"No charge",IF(AH261&lt;=0.004,"Paid",IF(AG261&lt;=0.004,"Unpaid","Part paid"))))</f>
        <v>0</v>
      </c>
      <c r="AJ261" s="38">
        <f>IF(B261="","",IF(H261&lt;&gt;"Service","",IF(D261="","No",IF(COUNTIFS($D$5:$D$1204,D261,$B$5:$B$1204,B261,$H$5:$H$1204,"Retail")&gt;0,"Yes","No"))))</f>
        <v>0</v>
      </c>
      <c r="AK261" s="25">
        <f>IF(B261="","",COUNTIFS($Y$5:$Y$1204,"&gt;"&amp;Y261)+COUNTIFS($Y$5:Y261,Y261))</f>
        <v>0</v>
      </c>
      <c r="AL261" s="39">
        <f>IF(B261="","",IF(H261="","Add - what kind of sale is this?",IF(IF(V261&lt;=0,P261="",FALSE),"Check - no price found for this item",IF(F261="","Assign - nobody credited",IF(AH261&gt;0.004,"Unpaid - balance outstanding",IF(AC261&lt;0,"Loss - sold below cost",IF(X261&gt;W261*0.5,"Check - more than half off","OK")))))))</f>
        <v>0</v>
      </c>
    </row>
    <row r="262" spans="1:38">
      <c r="A262" s="28">
        <f>IF(B262="","",SalePrefix&amp;TEXT(ROW()-4,"0000"))</f>
        <v>0</v>
      </c>
      <c r="E262" s="15">
        <f>IF(D262="","",IFERROR(INDEX(Clients!$B$5:$B$504,MATCH(D262,Clients!$A$5:$A$504,0)),"Walk-in"))</f>
        <v>0</v>
      </c>
      <c r="G262" s="15">
        <f>IF(F262="","",IFERROR(INDEX(Staff!$B$5:$B$44,MATCH(F262,Staff!$A$5:$A$44,0)),"House"))</f>
        <v>0</v>
      </c>
      <c r="R262" s="15">
        <f>IF(B262="","",TEXT(B262,"yyyy-mm"))</f>
        <v>0</v>
      </c>
      <c r="S262" s="25">
        <f>IF(B262="","",WEEKNUM(B262,2))</f>
        <v>0</v>
      </c>
      <c r="T262" s="37">
        <f>IF(B262="","",IF(K262="",1,K262))</f>
        <v>0</v>
      </c>
      <c r="U262" s="15">
        <f>IF(B262="","",IF(J262&lt;&gt;"",J262,IF(H262="Retail",IFERROR(INDEX(Inventory!$B$5:$B$304,MATCH(I262,Inventory!$A$5:$A$304,0))&amp;"","Not in Inventory"),IFERROR(INDEX(Services!$B$5:$B$204,MATCH(I262,Services!$A$5:$A$204,0))&amp;"","Not in Services"))))</f>
        <v>0</v>
      </c>
      <c r="V262" s="26">
        <f>IF(B262="","",IF(L262&lt;&gt;"",L262,IF(H262="Retail",IFERROR(INDEX(Inventory!$I$5:$I$304,MATCH(I262,Inventory!$A$5:$A$304,0))*1,0),IFERROR(INDEX(Services!$G$5:$G$204,MATCH(I262,Services!$A$5:$A$204,0))*1,0))))</f>
        <v>0</v>
      </c>
      <c r="W262" s="26">
        <f>IF(B262="","",ROUND(T262*V262,2))</f>
        <v>0</v>
      </c>
      <c r="X262" s="26">
        <f>IF(B262="","",ROUND(IF(M262="",0,W262*M262)+IF(N262="",0,N262),2))</f>
        <v>0</v>
      </c>
      <c r="Y262" s="26">
        <f>IF(B262="","",ROUND(W262-X262-IF(P262="",0,P262),2))</f>
        <v>0</v>
      </c>
      <c r="Z262" s="26">
        <f>IF(B262="","",IF(H262="Retail",IF(TaxOnRetail="Yes",ROUND(Y262*TaxRate,2),0),IF(H262="Service",IF(TaxOnServices="Yes",ROUND(Y262*TaxRate,2),0),0)))</f>
        <v>0</v>
      </c>
      <c r="AA262" s="26">
        <f>IF(B262="","",ROUND(Y262+Z262,2))</f>
        <v>0</v>
      </c>
      <c r="AB262" s="26">
        <f>IF(B262="","",ROUND(T262*IF(H262="Retail",IFERROR(INDEX(Inventory!$H$5:$H$304,MATCH(I262,Inventory!$A$5:$A$304,0))*1,0),IFERROR(INDEX(Services!$Q$5:$Q$204,MATCH(I262,Services!$A$5:$A$204,0))*1,0)),2))</f>
        <v>0</v>
      </c>
      <c r="AC262" s="26">
        <f>IF(B262="","",ROUND(Y262-AB262,2))</f>
        <v>0</v>
      </c>
      <c r="AD262" s="38">
        <f>IF(B262="","",IF(C262="","No",IF(COUNTIFS($C$5:C262,C262)=1,"Yes","No")))</f>
        <v>0</v>
      </c>
      <c r="AE262" s="26">
        <f>IF(B262="","",ROUND(SUMIFS(Payments!$G$5:$G$1204,Payments!$H$5:$H$1204,A262,Payments!$Q$5:$Q$1204,"Yes"),2))</f>
        <v>0</v>
      </c>
      <c r="AF262" s="26">
        <f>IF(B262="","",IF(AD262="No",0,ROUND(SUMIFS(Payments!$G$5:$G$1204,Payments!$I$5:$I$1204,C262,Payments!$H$5:$H$1204,"",Payments!$Q$5:$Q$1204,"Yes"),2)))</f>
        <v>0</v>
      </c>
      <c r="AG262" s="26">
        <f>IF(B262="","",ROUND(AE262+AF262,2))</f>
        <v>0</v>
      </c>
      <c r="AH262" s="26">
        <f>IF(B262="","",ROUND(AA262-AG262,2))</f>
        <v>0</v>
      </c>
      <c r="AI262" s="39">
        <f>IF(B262="","",IF(AA262&lt;=0,"No charge",IF(AH262&lt;=0.004,"Paid",IF(AG262&lt;=0.004,"Unpaid","Part paid"))))</f>
        <v>0</v>
      </c>
      <c r="AJ262" s="38">
        <f>IF(B262="","",IF(H262&lt;&gt;"Service","",IF(D262="","No",IF(COUNTIFS($D$5:$D$1204,D262,$B$5:$B$1204,B262,$H$5:$H$1204,"Retail")&gt;0,"Yes","No"))))</f>
        <v>0</v>
      </c>
      <c r="AK262" s="25">
        <f>IF(B262="","",COUNTIFS($Y$5:$Y$1204,"&gt;"&amp;Y262)+COUNTIFS($Y$5:Y262,Y262))</f>
        <v>0</v>
      </c>
      <c r="AL262" s="39">
        <f>IF(B262="","",IF(H262="","Add - what kind of sale is this?",IF(IF(V262&lt;=0,P262="",FALSE),"Check - no price found for this item",IF(F262="","Assign - nobody credited",IF(AH262&gt;0.004,"Unpaid - balance outstanding",IF(AC262&lt;0,"Loss - sold below cost",IF(X262&gt;W262*0.5,"Check - more than half off","OK")))))))</f>
        <v>0</v>
      </c>
    </row>
    <row r="263" spans="1:38">
      <c r="A263" s="28">
        <f>IF(B263="","",SalePrefix&amp;TEXT(ROW()-4,"0000"))</f>
        <v>0</v>
      </c>
      <c r="E263" s="15">
        <f>IF(D263="","",IFERROR(INDEX(Clients!$B$5:$B$504,MATCH(D263,Clients!$A$5:$A$504,0)),"Walk-in"))</f>
        <v>0</v>
      </c>
      <c r="G263" s="15">
        <f>IF(F263="","",IFERROR(INDEX(Staff!$B$5:$B$44,MATCH(F263,Staff!$A$5:$A$44,0)),"House"))</f>
        <v>0</v>
      </c>
      <c r="R263" s="15">
        <f>IF(B263="","",TEXT(B263,"yyyy-mm"))</f>
        <v>0</v>
      </c>
      <c r="S263" s="25">
        <f>IF(B263="","",WEEKNUM(B263,2))</f>
        <v>0</v>
      </c>
      <c r="T263" s="37">
        <f>IF(B263="","",IF(K263="",1,K263))</f>
        <v>0</v>
      </c>
      <c r="U263" s="15">
        <f>IF(B263="","",IF(J263&lt;&gt;"",J263,IF(H263="Retail",IFERROR(INDEX(Inventory!$B$5:$B$304,MATCH(I263,Inventory!$A$5:$A$304,0))&amp;"","Not in Inventory"),IFERROR(INDEX(Services!$B$5:$B$204,MATCH(I263,Services!$A$5:$A$204,0))&amp;"","Not in Services"))))</f>
        <v>0</v>
      </c>
      <c r="V263" s="26">
        <f>IF(B263="","",IF(L263&lt;&gt;"",L263,IF(H263="Retail",IFERROR(INDEX(Inventory!$I$5:$I$304,MATCH(I263,Inventory!$A$5:$A$304,0))*1,0),IFERROR(INDEX(Services!$G$5:$G$204,MATCH(I263,Services!$A$5:$A$204,0))*1,0))))</f>
        <v>0</v>
      </c>
      <c r="W263" s="26">
        <f>IF(B263="","",ROUND(T263*V263,2))</f>
        <v>0</v>
      </c>
      <c r="X263" s="26">
        <f>IF(B263="","",ROUND(IF(M263="",0,W263*M263)+IF(N263="",0,N263),2))</f>
        <v>0</v>
      </c>
      <c r="Y263" s="26">
        <f>IF(B263="","",ROUND(W263-X263-IF(P263="",0,P263),2))</f>
        <v>0</v>
      </c>
      <c r="Z263" s="26">
        <f>IF(B263="","",IF(H263="Retail",IF(TaxOnRetail="Yes",ROUND(Y263*TaxRate,2),0),IF(H263="Service",IF(TaxOnServices="Yes",ROUND(Y263*TaxRate,2),0),0)))</f>
        <v>0</v>
      </c>
      <c r="AA263" s="26">
        <f>IF(B263="","",ROUND(Y263+Z263,2))</f>
        <v>0</v>
      </c>
      <c r="AB263" s="26">
        <f>IF(B263="","",ROUND(T263*IF(H263="Retail",IFERROR(INDEX(Inventory!$H$5:$H$304,MATCH(I263,Inventory!$A$5:$A$304,0))*1,0),IFERROR(INDEX(Services!$Q$5:$Q$204,MATCH(I263,Services!$A$5:$A$204,0))*1,0)),2))</f>
        <v>0</v>
      </c>
      <c r="AC263" s="26">
        <f>IF(B263="","",ROUND(Y263-AB263,2))</f>
        <v>0</v>
      </c>
      <c r="AD263" s="38">
        <f>IF(B263="","",IF(C263="","No",IF(COUNTIFS($C$5:C263,C263)=1,"Yes","No")))</f>
        <v>0</v>
      </c>
      <c r="AE263" s="26">
        <f>IF(B263="","",ROUND(SUMIFS(Payments!$G$5:$G$1204,Payments!$H$5:$H$1204,A263,Payments!$Q$5:$Q$1204,"Yes"),2))</f>
        <v>0</v>
      </c>
      <c r="AF263" s="26">
        <f>IF(B263="","",IF(AD263="No",0,ROUND(SUMIFS(Payments!$G$5:$G$1204,Payments!$I$5:$I$1204,C263,Payments!$H$5:$H$1204,"",Payments!$Q$5:$Q$1204,"Yes"),2)))</f>
        <v>0</v>
      </c>
      <c r="AG263" s="26">
        <f>IF(B263="","",ROUND(AE263+AF263,2))</f>
        <v>0</v>
      </c>
      <c r="AH263" s="26">
        <f>IF(B263="","",ROUND(AA263-AG263,2))</f>
        <v>0</v>
      </c>
      <c r="AI263" s="39">
        <f>IF(B263="","",IF(AA263&lt;=0,"No charge",IF(AH263&lt;=0.004,"Paid",IF(AG263&lt;=0.004,"Unpaid","Part paid"))))</f>
        <v>0</v>
      </c>
      <c r="AJ263" s="38">
        <f>IF(B263="","",IF(H263&lt;&gt;"Service","",IF(D263="","No",IF(COUNTIFS($D$5:$D$1204,D263,$B$5:$B$1204,B263,$H$5:$H$1204,"Retail")&gt;0,"Yes","No"))))</f>
        <v>0</v>
      </c>
      <c r="AK263" s="25">
        <f>IF(B263="","",COUNTIFS($Y$5:$Y$1204,"&gt;"&amp;Y263)+COUNTIFS($Y$5:Y263,Y263))</f>
        <v>0</v>
      </c>
      <c r="AL263" s="39">
        <f>IF(B263="","",IF(H263="","Add - what kind of sale is this?",IF(IF(V263&lt;=0,P263="",FALSE),"Check - no price found for this item",IF(F263="","Assign - nobody credited",IF(AH263&gt;0.004,"Unpaid - balance outstanding",IF(AC263&lt;0,"Loss - sold below cost",IF(X263&gt;W263*0.5,"Check - more than half off","OK")))))))</f>
        <v>0</v>
      </c>
    </row>
    <row r="264" spans="1:38">
      <c r="A264" s="28">
        <f>IF(B264="","",SalePrefix&amp;TEXT(ROW()-4,"0000"))</f>
        <v>0</v>
      </c>
      <c r="E264" s="15">
        <f>IF(D264="","",IFERROR(INDEX(Clients!$B$5:$B$504,MATCH(D264,Clients!$A$5:$A$504,0)),"Walk-in"))</f>
        <v>0</v>
      </c>
      <c r="G264" s="15">
        <f>IF(F264="","",IFERROR(INDEX(Staff!$B$5:$B$44,MATCH(F264,Staff!$A$5:$A$44,0)),"House"))</f>
        <v>0</v>
      </c>
      <c r="R264" s="15">
        <f>IF(B264="","",TEXT(B264,"yyyy-mm"))</f>
        <v>0</v>
      </c>
      <c r="S264" s="25">
        <f>IF(B264="","",WEEKNUM(B264,2))</f>
        <v>0</v>
      </c>
      <c r="T264" s="37">
        <f>IF(B264="","",IF(K264="",1,K264))</f>
        <v>0</v>
      </c>
      <c r="U264" s="15">
        <f>IF(B264="","",IF(J264&lt;&gt;"",J264,IF(H264="Retail",IFERROR(INDEX(Inventory!$B$5:$B$304,MATCH(I264,Inventory!$A$5:$A$304,0))&amp;"","Not in Inventory"),IFERROR(INDEX(Services!$B$5:$B$204,MATCH(I264,Services!$A$5:$A$204,0))&amp;"","Not in Services"))))</f>
        <v>0</v>
      </c>
      <c r="V264" s="26">
        <f>IF(B264="","",IF(L264&lt;&gt;"",L264,IF(H264="Retail",IFERROR(INDEX(Inventory!$I$5:$I$304,MATCH(I264,Inventory!$A$5:$A$304,0))*1,0),IFERROR(INDEX(Services!$G$5:$G$204,MATCH(I264,Services!$A$5:$A$204,0))*1,0))))</f>
        <v>0</v>
      </c>
      <c r="W264" s="26">
        <f>IF(B264="","",ROUND(T264*V264,2))</f>
        <v>0</v>
      </c>
      <c r="X264" s="26">
        <f>IF(B264="","",ROUND(IF(M264="",0,W264*M264)+IF(N264="",0,N264),2))</f>
        <v>0</v>
      </c>
      <c r="Y264" s="26">
        <f>IF(B264="","",ROUND(W264-X264-IF(P264="",0,P264),2))</f>
        <v>0</v>
      </c>
      <c r="Z264" s="26">
        <f>IF(B264="","",IF(H264="Retail",IF(TaxOnRetail="Yes",ROUND(Y264*TaxRate,2),0),IF(H264="Service",IF(TaxOnServices="Yes",ROUND(Y264*TaxRate,2),0),0)))</f>
        <v>0</v>
      </c>
      <c r="AA264" s="26">
        <f>IF(B264="","",ROUND(Y264+Z264,2))</f>
        <v>0</v>
      </c>
      <c r="AB264" s="26">
        <f>IF(B264="","",ROUND(T264*IF(H264="Retail",IFERROR(INDEX(Inventory!$H$5:$H$304,MATCH(I264,Inventory!$A$5:$A$304,0))*1,0),IFERROR(INDEX(Services!$Q$5:$Q$204,MATCH(I264,Services!$A$5:$A$204,0))*1,0)),2))</f>
        <v>0</v>
      </c>
      <c r="AC264" s="26">
        <f>IF(B264="","",ROUND(Y264-AB264,2))</f>
        <v>0</v>
      </c>
      <c r="AD264" s="38">
        <f>IF(B264="","",IF(C264="","No",IF(COUNTIFS($C$5:C264,C264)=1,"Yes","No")))</f>
        <v>0</v>
      </c>
      <c r="AE264" s="26">
        <f>IF(B264="","",ROUND(SUMIFS(Payments!$G$5:$G$1204,Payments!$H$5:$H$1204,A264,Payments!$Q$5:$Q$1204,"Yes"),2))</f>
        <v>0</v>
      </c>
      <c r="AF264" s="26">
        <f>IF(B264="","",IF(AD264="No",0,ROUND(SUMIFS(Payments!$G$5:$G$1204,Payments!$I$5:$I$1204,C264,Payments!$H$5:$H$1204,"",Payments!$Q$5:$Q$1204,"Yes"),2)))</f>
        <v>0</v>
      </c>
      <c r="AG264" s="26">
        <f>IF(B264="","",ROUND(AE264+AF264,2))</f>
        <v>0</v>
      </c>
      <c r="AH264" s="26">
        <f>IF(B264="","",ROUND(AA264-AG264,2))</f>
        <v>0</v>
      </c>
      <c r="AI264" s="39">
        <f>IF(B264="","",IF(AA264&lt;=0,"No charge",IF(AH264&lt;=0.004,"Paid",IF(AG264&lt;=0.004,"Unpaid","Part paid"))))</f>
        <v>0</v>
      </c>
      <c r="AJ264" s="38">
        <f>IF(B264="","",IF(H264&lt;&gt;"Service","",IF(D264="","No",IF(COUNTIFS($D$5:$D$1204,D264,$B$5:$B$1204,B264,$H$5:$H$1204,"Retail")&gt;0,"Yes","No"))))</f>
        <v>0</v>
      </c>
      <c r="AK264" s="25">
        <f>IF(B264="","",COUNTIFS($Y$5:$Y$1204,"&gt;"&amp;Y264)+COUNTIFS($Y$5:Y264,Y264))</f>
        <v>0</v>
      </c>
      <c r="AL264" s="39">
        <f>IF(B264="","",IF(H264="","Add - what kind of sale is this?",IF(IF(V264&lt;=0,P264="",FALSE),"Check - no price found for this item",IF(F264="","Assign - nobody credited",IF(AH264&gt;0.004,"Unpaid - balance outstanding",IF(AC264&lt;0,"Loss - sold below cost",IF(X264&gt;W264*0.5,"Check - more than half off","OK")))))))</f>
        <v>0</v>
      </c>
    </row>
    <row r="265" spans="1:38">
      <c r="A265" s="28">
        <f>IF(B265="","",SalePrefix&amp;TEXT(ROW()-4,"0000"))</f>
        <v>0</v>
      </c>
      <c r="E265" s="15">
        <f>IF(D265="","",IFERROR(INDEX(Clients!$B$5:$B$504,MATCH(D265,Clients!$A$5:$A$504,0)),"Walk-in"))</f>
        <v>0</v>
      </c>
      <c r="G265" s="15">
        <f>IF(F265="","",IFERROR(INDEX(Staff!$B$5:$B$44,MATCH(F265,Staff!$A$5:$A$44,0)),"House"))</f>
        <v>0</v>
      </c>
      <c r="R265" s="15">
        <f>IF(B265="","",TEXT(B265,"yyyy-mm"))</f>
        <v>0</v>
      </c>
      <c r="S265" s="25">
        <f>IF(B265="","",WEEKNUM(B265,2))</f>
        <v>0</v>
      </c>
      <c r="T265" s="37">
        <f>IF(B265="","",IF(K265="",1,K265))</f>
        <v>0</v>
      </c>
      <c r="U265" s="15">
        <f>IF(B265="","",IF(J265&lt;&gt;"",J265,IF(H265="Retail",IFERROR(INDEX(Inventory!$B$5:$B$304,MATCH(I265,Inventory!$A$5:$A$304,0))&amp;"","Not in Inventory"),IFERROR(INDEX(Services!$B$5:$B$204,MATCH(I265,Services!$A$5:$A$204,0))&amp;"","Not in Services"))))</f>
        <v>0</v>
      </c>
      <c r="V265" s="26">
        <f>IF(B265="","",IF(L265&lt;&gt;"",L265,IF(H265="Retail",IFERROR(INDEX(Inventory!$I$5:$I$304,MATCH(I265,Inventory!$A$5:$A$304,0))*1,0),IFERROR(INDEX(Services!$G$5:$G$204,MATCH(I265,Services!$A$5:$A$204,0))*1,0))))</f>
        <v>0</v>
      </c>
      <c r="W265" s="26">
        <f>IF(B265="","",ROUND(T265*V265,2))</f>
        <v>0</v>
      </c>
      <c r="X265" s="26">
        <f>IF(B265="","",ROUND(IF(M265="",0,W265*M265)+IF(N265="",0,N265),2))</f>
        <v>0</v>
      </c>
      <c r="Y265" s="26">
        <f>IF(B265="","",ROUND(W265-X265-IF(P265="",0,P265),2))</f>
        <v>0</v>
      </c>
      <c r="Z265" s="26">
        <f>IF(B265="","",IF(H265="Retail",IF(TaxOnRetail="Yes",ROUND(Y265*TaxRate,2),0),IF(H265="Service",IF(TaxOnServices="Yes",ROUND(Y265*TaxRate,2),0),0)))</f>
        <v>0</v>
      </c>
      <c r="AA265" s="26">
        <f>IF(B265="","",ROUND(Y265+Z265,2))</f>
        <v>0</v>
      </c>
      <c r="AB265" s="26">
        <f>IF(B265="","",ROUND(T265*IF(H265="Retail",IFERROR(INDEX(Inventory!$H$5:$H$304,MATCH(I265,Inventory!$A$5:$A$304,0))*1,0),IFERROR(INDEX(Services!$Q$5:$Q$204,MATCH(I265,Services!$A$5:$A$204,0))*1,0)),2))</f>
        <v>0</v>
      </c>
      <c r="AC265" s="26">
        <f>IF(B265="","",ROUND(Y265-AB265,2))</f>
        <v>0</v>
      </c>
      <c r="AD265" s="38">
        <f>IF(B265="","",IF(C265="","No",IF(COUNTIFS($C$5:C265,C265)=1,"Yes","No")))</f>
        <v>0</v>
      </c>
      <c r="AE265" s="26">
        <f>IF(B265="","",ROUND(SUMIFS(Payments!$G$5:$G$1204,Payments!$H$5:$H$1204,A265,Payments!$Q$5:$Q$1204,"Yes"),2))</f>
        <v>0</v>
      </c>
      <c r="AF265" s="26">
        <f>IF(B265="","",IF(AD265="No",0,ROUND(SUMIFS(Payments!$G$5:$G$1204,Payments!$I$5:$I$1204,C265,Payments!$H$5:$H$1204,"",Payments!$Q$5:$Q$1204,"Yes"),2)))</f>
        <v>0</v>
      </c>
      <c r="AG265" s="26">
        <f>IF(B265="","",ROUND(AE265+AF265,2))</f>
        <v>0</v>
      </c>
      <c r="AH265" s="26">
        <f>IF(B265="","",ROUND(AA265-AG265,2))</f>
        <v>0</v>
      </c>
      <c r="AI265" s="39">
        <f>IF(B265="","",IF(AA265&lt;=0,"No charge",IF(AH265&lt;=0.004,"Paid",IF(AG265&lt;=0.004,"Unpaid","Part paid"))))</f>
        <v>0</v>
      </c>
      <c r="AJ265" s="38">
        <f>IF(B265="","",IF(H265&lt;&gt;"Service","",IF(D265="","No",IF(COUNTIFS($D$5:$D$1204,D265,$B$5:$B$1204,B265,$H$5:$H$1204,"Retail")&gt;0,"Yes","No"))))</f>
        <v>0</v>
      </c>
      <c r="AK265" s="25">
        <f>IF(B265="","",COUNTIFS($Y$5:$Y$1204,"&gt;"&amp;Y265)+COUNTIFS($Y$5:Y265,Y265))</f>
        <v>0</v>
      </c>
      <c r="AL265" s="39">
        <f>IF(B265="","",IF(H265="","Add - what kind of sale is this?",IF(IF(V265&lt;=0,P265="",FALSE),"Check - no price found for this item",IF(F265="","Assign - nobody credited",IF(AH265&gt;0.004,"Unpaid - balance outstanding",IF(AC265&lt;0,"Loss - sold below cost",IF(X265&gt;W265*0.5,"Check - more than half off","OK")))))))</f>
        <v>0</v>
      </c>
    </row>
    <row r="266" spans="1:38">
      <c r="A266" s="28">
        <f>IF(B266="","",SalePrefix&amp;TEXT(ROW()-4,"0000"))</f>
        <v>0</v>
      </c>
      <c r="E266" s="15">
        <f>IF(D266="","",IFERROR(INDEX(Clients!$B$5:$B$504,MATCH(D266,Clients!$A$5:$A$504,0)),"Walk-in"))</f>
        <v>0</v>
      </c>
      <c r="G266" s="15">
        <f>IF(F266="","",IFERROR(INDEX(Staff!$B$5:$B$44,MATCH(F266,Staff!$A$5:$A$44,0)),"House"))</f>
        <v>0</v>
      </c>
      <c r="R266" s="15">
        <f>IF(B266="","",TEXT(B266,"yyyy-mm"))</f>
        <v>0</v>
      </c>
      <c r="S266" s="25">
        <f>IF(B266="","",WEEKNUM(B266,2))</f>
        <v>0</v>
      </c>
      <c r="T266" s="37">
        <f>IF(B266="","",IF(K266="",1,K266))</f>
        <v>0</v>
      </c>
      <c r="U266" s="15">
        <f>IF(B266="","",IF(J266&lt;&gt;"",J266,IF(H266="Retail",IFERROR(INDEX(Inventory!$B$5:$B$304,MATCH(I266,Inventory!$A$5:$A$304,0))&amp;"","Not in Inventory"),IFERROR(INDEX(Services!$B$5:$B$204,MATCH(I266,Services!$A$5:$A$204,0))&amp;"","Not in Services"))))</f>
        <v>0</v>
      </c>
      <c r="V266" s="26">
        <f>IF(B266="","",IF(L266&lt;&gt;"",L266,IF(H266="Retail",IFERROR(INDEX(Inventory!$I$5:$I$304,MATCH(I266,Inventory!$A$5:$A$304,0))*1,0),IFERROR(INDEX(Services!$G$5:$G$204,MATCH(I266,Services!$A$5:$A$204,0))*1,0))))</f>
        <v>0</v>
      </c>
      <c r="W266" s="26">
        <f>IF(B266="","",ROUND(T266*V266,2))</f>
        <v>0</v>
      </c>
      <c r="X266" s="26">
        <f>IF(B266="","",ROUND(IF(M266="",0,W266*M266)+IF(N266="",0,N266),2))</f>
        <v>0</v>
      </c>
      <c r="Y266" s="26">
        <f>IF(B266="","",ROUND(W266-X266-IF(P266="",0,P266),2))</f>
        <v>0</v>
      </c>
      <c r="Z266" s="26">
        <f>IF(B266="","",IF(H266="Retail",IF(TaxOnRetail="Yes",ROUND(Y266*TaxRate,2),0),IF(H266="Service",IF(TaxOnServices="Yes",ROUND(Y266*TaxRate,2),0),0)))</f>
        <v>0</v>
      </c>
      <c r="AA266" s="26">
        <f>IF(B266="","",ROUND(Y266+Z266,2))</f>
        <v>0</v>
      </c>
      <c r="AB266" s="26">
        <f>IF(B266="","",ROUND(T266*IF(H266="Retail",IFERROR(INDEX(Inventory!$H$5:$H$304,MATCH(I266,Inventory!$A$5:$A$304,0))*1,0),IFERROR(INDEX(Services!$Q$5:$Q$204,MATCH(I266,Services!$A$5:$A$204,0))*1,0)),2))</f>
        <v>0</v>
      </c>
      <c r="AC266" s="26">
        <f>IF(B266="","",ROUND(Y266-AB266,2))</f>
        <v>0</v>
      </c>
      <c r="AD266" s="38">
        <f>IF(B266="","",IF(C266="","No",IF(COUNTIFS($C$5:C266,C266)=1,"Yes","No")))</f>
        <v>0</v>
      </c>
      <c r="AE266" s="26">
        <f>IF(B266="","",ROUND(SUMIFS(Payments!$G$5:$G$1204,Payments!$H$5:$H$1204,A266,Payments!$Q$5:$Q$1204,"Yes"),2))</f>
        <v>0</v>
      </c>
      <c r="AF266" s="26">
        <f>IF(B266="","",IF(AD266="No",0,ROUND(SUMIFS(Payments!$G$5:$G$1204,Payments!$I$5:$I$1204,C266,Payments!$H$5:$H$1204,"",Payments!$Q$5:$Q$1204,"Yes"),2)))</f>
        <v>0</v>
      </c>
      <c r="AG266" s="26">
        <f>IF(B266="","",ROUND(AE266+AF266,2))</f>
        <v>0</v>
      </c>
      <c r="AH266" s="26">
        <f>IF(B266="","",ROUND(AA266-AG266,2))</f>
        <v>0</v>
      </c>
      <c r="AI266" s="39">
        <f>IF(B266="","",IF(AA266&lt;=0,"No charge",IF(AH266&lt;=0.004,"Paid",IF(AG266&lt;=0.004,"Unpaid","Part paid"))))</f>
        <v>0</v>
      </c>
      <c r="AJ266" s="38">
        <f>IF(B266="","",IF(H266&lt;&gt;"Service","",IF(D266="","No",IF(COUNTIFS($D$5:$D$1204,D266,$B$5:$B$1204,B266,$H$5:$H$1204,"Retail")&gt;0,"Yes","No"))))</f>
        <v>0</v>
      </c>
      <c r="AK266" s="25">
        <f>IF(B266="","",COUNTIFS($Y$5:$Y$1204,"&gt;"&amp;Y266)+COUNTIFS($Y$5:Y266,Y266))</f>
        <v>0</v>
      </c>
      <c r="AL266" s="39">
        <f>IF(B266="","",IF(H266="","Add - what kind of sale is this?",IF(IF(V266&lt;=0,P266="",FALSE),"Check - no price found for this item",IF(F266="","Assign - nobody credited",IF(AH266&gt;0.004,"Unpaid - balance outstanding",IF(AC266&lt;0,"Loss - sold below cost",IF(X266&gt;W266*0.5,"Check - more than half off","OK")))))))</f>
        <v>0</v>
      </c>
    </row>
    <row r="267" spans="1:38">
      <c r="A267" s="28">
        <f>IF(B267="","",SalePrefix&amp;TEXT(ROW()-4,"0000"))</f>
        <v>0</v>
      </c>
      <c r="E267" s="15">
        <f>IF(D267="","",IFERROR(INDEX(Clients!$B$5:$B$504,MATCH(D267,Clients!$A$5:$A$504,0)),"Walk-in"))</f>
        <v>0</v>
      </c>
      <c r="G267" s="15">
        <f>IF(F267="","",IFERROR(INDEX(Staff!$B$5:$B$44,MATCH(F267,Staff!$A$5:$A$44,0)),"House"))</f>
        <v>0</v>
      </c>
      <c r="R267" s="15">
        <f>IF(B267="","",TEXT(B267,"yyyy-mm"))</f>
        <v>0</v>
      </c>
      <c r="S267" s="25">
        <f>IF(B267="","",WEEKNUM(B267,2))</f>
        <v>0</v>
      </c>
      <c r="T267" s="37">
        <f>IF(B267="","",IF(K267="",1,K267))</f>
        <v>0</v>
      </c>
      <c r="U267" s="15">
        <f>IF(B267="","",IF(J267&lt;&gt;"",J267,IF(H267="Retail",IFERROR(INDEX(Inventory!$B$5:$B$304,MATCH(I267,Inventory!$A$5:$A$304,0))&amp;"","Not in Inventory"),IFERROR(INDEX(Services!$B$5:$B$204,MATCH(I267,Services!$A$5:$A$204,0))&amp;"","Not in Services"))))</f>
        <v>0</v>
      </c>
      <c r="V267" s="26">
        <f>IF(B267="","",IF(L267&lt;&gt;"",L267,IF(H267="Retail",IFERROR(INDEX(Inventory!$I$5:$I$304,MATCH(I267,Inventory!$A$5:$A$304,0))*1,0),IFERROR(INDEX(Services!$G$5:$G$204,MATCH(I267,Services!$A$5:$A$204,0))*1,0))))</f>
        <v>0</v>
      </c>
      <c r="W267" s="26">
        <f>IF(B267="","",ROUND(T267*V267,2))</f>
        <v>0</v>
      </c>
      <c r="X267" s="26">
        <f>IF(B267="","",ROUND(IF(M267="",0,W267*M267)+IF(N267="",0,N267),2))</f>
        <v>0</v>
      </c>
      <c r="Y267" s="26">
        <f>IF(B267="","",ROUND(W267-X267-IF(P267="",0,P267),2))</f>
        <v>0</v>
      </c>
      <c r="Z267" s="26">
        <f>IF(B267="","",IF(H267="Retail",IF(TaxOnRetail="Yes",ROUND(Y267*TaxRate,2),0),IF(H267="Service",IF(TaxOnServices="Yes",ROUND(Y267*TaxRate,2),0),0)))</f>
        <v>0</v>
      </c>
      <c r="AA267" s="26">
        <f>IF(B267="","",ROUND(Y267+Z267,2))</f>
        <v>0</v>
      </c>
      <c r="AB267" s="26">
        <f>IF(B267="","",ROUND(T267*IF(H267="Retail",IFERROR(INDEX(Inventory!$H$5:$H$304,MATCH(I267,Inventory!$A$5:$A$304,0))*1,0),IFERROR(INDEX(Services!$Q$5:$Q$204,MATCH(I267,Services!$A$5:$A$204,0))*1,0)),2))</f>
        <v>0</v>
      </c>
      <c r="AC267" s="26">
        <f>IF(B267="","",ROUND(Y267-AB267,2))</f>
        <v>0</v>
      </c>
      <c r="AD267" s="38">
        <f>IF(B267="","",IF(C267="","No",IF(COUNTIFS($C$5:C267,C267)=1,"Yes","No")))</f>
        <v>0</v>
      </c>
      <c r="AE267" s="26">
        <f>IF(B267="","",ROUND(SUMIFS(Payments!$G$5:$G$1204,Payments!$H$5:$H$1204,A267,Payments!$Q$5:$Q$1204,"Yes"),2))</f>
        <v>0</v>
      </c>
      <c r="AF267" s="26">
        <f>IF(B267="","",IF(AD267="No",0,ROUND(SUMIFS(Payments!$G$5:$G$1204,Payments!$I$5:$I$1204,C267,Payments!$H$5:$H$1204,"",Payments!$Q$5:$Q$1204,"Yes"),2)))</f>
        <v>0</v>
      </c>
      <c r="AG267" s="26">
        <f>IF(B267="","",ROUND(AE267+AF267,2))</f>
        <v>0</v>
      </c>
      <c r="AH267" s="26">
        <f>IF(B267="","",ROUND(AA267-AG267,2))</f>
        <v>0</v>
      </c>
      <c r="AI267" s="39">
        <f>IF(B267="","",IF(AA267&lt;=0,"No charge",IF(AH267&lt;=0.004,"Paid",IF(AG267&lt;=0.004,"Unpaid","Part paid"))))</f>
        <v>0</v>
      </c>
      <c r="AJ267" s="38">
        <f>IF(B267="","",IF(H267&lt;&gt;"Service","",IF(D267="","No",IF(COUNTIFS($D$5:$D$1204,D267,$B$5:$B$1204,B267,$H$5:$H$1204,"Retail")&gt;0,"Yes","No"))))</f>
        <v>0</v>
      </c>
      <c r="AK267" s="25">
        <f>IF(B267="","",COUNTIFS($Y$5:$Y$1204,"&gt;"&amp;Y267)+COUNTIFS($Y$5:Y267,Y267))</f>
        <v>0</v>
      </c>
      <c r="AL267" s="39">
        <f>IF(B267="","",IF(H267="","Add - what kind of sale is this?",IF(IF(V267&lt;=0,P267="",FALSE),"Check - no price found for this item",IF(F267="","Assign - nobody credited",IF(AH267&gt;0.004,"Unpaid - balance outstanding",IF(AC267&lt;0,"Loss - sold below cost",IF(X267&gt;W267*0.5,"Check - more than half off","OK")))))))</f>
        <v>0</v>
      </c>
    </row>
    <row r="268" spans="1:38">
      <c r="A268" s="28">
        <f>IF(B268="","",SalePrefix&amp;TEXT(ROW()-4,"0000"))</f>
        <v>0</v>
      </c>
      <c r="E268" s="15">
        <f>IF(D268="","",IFERROR(INDEX(Clients!$B$5:$B$504,MATCH(D268,Clients!$A$5:$A$504,0)),"Walk-in"))</f>
        <v>0</v>
      </c>
      <c r="G268" s="15">
        <f>IF(F268="","",IFERROR(INDEX(Staff!$B$5:$B$44,MATCH(F268,Staff!$A$5:$A$44,0)),"House"))</f>
        <v>0</v>
      </c>
      <c r="R268" s="15">
        <f>IF(B268="","",TEXT(B268,"yyyy-mm"))</f>
        <v>0</v>
      </c>
      <c r="S268" s="25">
        <f>IF(B268="","",WEEKNUM(B268,2))</f>
        <v>0</v>
      </c>
      <c r="T268" s="37">
        <f>IF(B268="","",IF(K268="",1,K268))</f>
        <v>0</v>
      </c>
      <c r="U268" s="15">
        <f>IF(B268="","",IF(J268&lt;&gt;"",J268,IF(H268="Retail",IFERROR(INDEX(Inventory!$B$5:$B$304,MATCH(I268,Inventory!$A$5:$A$304,0))&amp;"","Not in Inventory"),IFERROR(INDEX(Services!$B$5:$B$204,MATCH(I268,Services!$A$5:$A$204,0))&amp;"","Not in Services"))))</f>
        <v>0</v>
      </c>
      <c r="V268" s="26">
        <f>IF(B268="","",IF(L268&lt;&gt;"",L268,IF(H268="Retail",IFERROR(INDEX(Inventory!$I$5:$I$304,MATCH(I268,Inventory!$A$5:$A$304,0))*1,0),IFERROR(INDEX(Services!$G$5:$G$204,MATCH(I268,Services!$A$5:$A$204,0))*1,0))))</f>
        <v>0</v>
      </c>
      <c r="W268" s="26">
        <f>IF(B268="","",ROUND(T268*V268,2))</f>
        <v>0</v>
      </c>
      <c r="X268" s="26">
        <f>IF(B268="","",ROUND(IF(M268="",0,W268*M268)+IF(N268="",0,N268),2))</f>
        <v>0</v>
      </c>
      <c r="Y268" s="26">
        <f>IF(B268="","",ROUND(W268-X268-IF(P268="",0,P268),2))</f>
        <v>0</v>
      </c>
      <c r="Z268" s="26">
        <f>IF(B268="","",IF(H268="Retail",IF(TaxOnRetail="Yes",ROUND(Y268*TaxRate,2),0),IF(H268="Service",IF(TaxOnServices="Yes",ROUND(Y268*TaxRate,2),0),0)))</f>
        <v>0</v>
      </c>
      <c r="AA268" s="26">
        <f>IF(B268="","",ROUND(Y268+Z268,2))</f>
        <v>0</v>
      </c>
      <c r="AB268" s="26">
        <f>IF(B268="","",ROUND(T268*IF(H268="Retail",IFERROR(INDEX(Inventory!$H$5:$H$304,MATCH(I268,Inventory!$A$5:$A$304,0))*1,0),IFERROR(INDEX(Services!$Q$5:$Q$204,MATCH(I268,Services!$A$5:$A$204,0))*1,0)),2))</f>
        <v>0</v>
      </c>
      <c r="AC268" s="26">
        <f>IF(B268="","",ROUND(Y268-AB268,2))</f>
        <v>0</v>
      </c>
      <c r="AD268" s="38">
        <f>IF(B268="","",IF(C268="","No",IF(COUNTIFS($C$5:C268,C268)=1,"Yes","No")))</f>
        <v>0</v>
      </c>
      <c r="AE268" s="26">
        <f>IF(B268="","",ROUND(SUMIFS(Payments!$G$5:$G$1204,Payments!$H$5:$H$1204,A268,Payments!$Q$5:$Q$1204,"Yes"),2))</f>
        <v>0</v>
      </c>
      <c r="AF268" s="26">
        <f>IF(B268="","",IF(AD268="No",0,ROUND(SUMIFS(Payments!$G$5:$G$1204,Payments!$I$5:$I$1204,C268,Payments!$H$5:$H$1204,"",Payments!$Q$5:$Q$1204,"Yes"),2)))</f>
        <v>0</v>
      </c>
      <c r="AG268" s="26">
        <f>IF(B268="","",ROUND(AE268+AF268,2))</f>
        <v>0</v>
      </c>
      <c r="AH268" s="26">
        <f>IF(B268="","",ROUND(AA268-AG268,2))</f>
        <v>0</v>
      </c>
      <c r="AI268" s="39">
        <f>IF(B268="","",IF(AA268&lt;=0,"No charge",IF(AH268&lt;=0.004,"Paid",IF(AG268&lt;=0.004,"Unpaid","Part paid"))))</f>
        <v>0</v>
      </c>
      <c r="AJ268" s="38">
        <f>IF(B268="","",IF(H268&lt;&gt;"Service","",IF(D268="","No",IF(COUNTIFS($D$5:$D$1204,D268,$B$5:$B$1204,B268,$H$5:$H$1204,"Retail")&gt;0,"Yes","No"))))</f>
        <v>0</v>
      </c>
      <c r="AK268" s="25">
        <f>IF(B268="","",COUNTIFS($Y$5:$Y$1204,"&gt;"&amp;Y268)+COUNTIFS($Y$5:Y268,Y268))</f>
        <v>0</v>
      </c>
      <c r="AL268" s="39">
        <f>IF(B268="","",IF(H268="","Add - what kind of sale is this?",IF(IF(V268&lt;=0,P268="",FALSE),"Check - no price found for this item",IF(F268="","Assign - nobody credited",IF(AH268&gt;0.004,"Unpaid - balance outstanding",IF(AC268&lt;0,"Loss - sold below cost",IF(X268&gt;W268*0.5,"Check - more than half off","OK")))))))</f>
        <v>0</v>
      </c>
    </row>
    <row r="269" spans="1:38">
      <c r="A269" s="28">
        <f>IF(B269="","",SalePrefix&amp;TEXT(ROW()-4,"0000"))</f>
        <v>0</v>
      </c>
      <c r="E269" s="15">
        <f>IF(D269="","",IFERROR(INDEX(Clients!$B$5:$B$504,MATCH(D269,Clients!$A$5:$A$504,0)),"Walk-in"))</f>
        <v>0</v>
      </c>
      <c r="G269" s="15">
        <f>IF(F269="","",IFERROR(INDEX(Staff!$B$5:$B$44,MATCH(F269,Staff!$A$5:$A$44,0)),"House"))</f>
        <v>0</v>
      </c>
      <c r="R269" s="15">
        <f>IF(B269="","",TEXT(B269,"yyyy-mm"))</f>
        <v>0</v>
      </c>
      <c r="S269" s="25">
        <f>IF(B269="","",WEEKNUM(B269,2))</f>
        <v>0</v>
      </c>
      <c r="T269" s="37">
        <f>IF(B269="","",IF(K269="",1,K269))</f>
        <v>0</v>
      </c>
      <c r="U269" s="15">
        <f>IF(B269="","",IF(J269&lt;&gt;"",J269,IF(H269="Retail",IFERROR(INDEX(Inventory!$B$5:$B$304,MATCH(I269,Inventory!$A$5:$A$304,0))&amp;"","Not in Inventory"),IFERROR(INDEX(Services!$B$5:$B$204,MATCH(I269,Services!$A$5:$A$204,0))&amp;"","Not in Services"))))</f>
        <v>0</v>
      </c>
      <c r="V269" s="26">
        <f>IF(B269="","",IF(L269&lt;&gt;"",L269,IF(H269="Retail",IFERROR(INDEX(Inventory!$I$5:$I$304,MATCH(I269,Inventory!$A$5:$A$304,0))*1,0),IFERROR(INDEX(Services!$G$5:$G$204,MATCH(I269,Services!$A$5:$A$204,0))*1,0))))</f>
        <v>0</v>
      </c>
      <c r="W269" s="26">
        <f>IF(B269="","",ROUND(T269*V269,2))</f>
        <v>0</v>
      </c>
      <c r="X269" s="26">
        <f>IF(B269="","",ROUND(IF(M269="",0,W269*M269)+IF(N269="",0,N269),2))</f>
        <v>0</v>
      </c>
      <c r="Y269" s="26">
        <f>IF(B269="","",ROUND(W269-X269-IF(P269="",0,P269),2))</f>
        <v>0</v>
      </c>
      <c r="Z269" s="26">
        <f>IF(B269="","",IF(H269="Retail",IF(TaxOnRetail="Yes",ROUND(Y269*TaxRate,2),0),IF(H269="Service",IF(TaxOnServices="Yes",ROUND(Y269*TaxRate,2),0),0)))</f>
        <v>0</v>
      </c>
      <c r="AA269" s="26">
        <f>IF(B269="","",ROUND(Y269+Z269,2))</f>
        <v>0</v>
      </c>
      <c r="AB269" s="26">
        <f>IF(B269="","",ROUND(T269*IF(H269="Retail",IFERROR(INDEX(Inventory!$H$5:$H$304,MATCH(I269,Inventory!$A$5:$A$304,0))*1,0),IFERROR(INDEX(Services!$Q$5:$Q$204,MATCH(I269,Services!$A$5:$A$204,0))*1,0)),2))</f>
        <v>0</v>
      </c>
      <c r="AC269" s="26">
        <f>IF(B269="","",ROUND(Y269-AB269,2))</f>
        <v>0</v>
      </c>
      <c r="AD269" s="38">
        <f>IF(B269="","",IF(C269="","No",IF(COUNTIFS($C$5:C269,C269)=1,"Yes","No")))</f>
        <v>0</v>
      </c>
      <c r="AE269" s="26">
        <f>IF(B269="","",ROUND(SUMIFS(Payments!$G$5:$G$1204,Payments!$H$5:$H$1204,A269,Payments!$Q$5:$Q$1204,"Yes"),2))</f>
        <v>0</v>
      </c>
      <c r="AF269" s="26">
        <f>IF(B269="","",IF(AD269="No",0,ROUND(SUMIFS(Payments!$G$5:$G$1204,Payments!$I$5:$I$1204,C269,Payments!$H$5:$H$1204,"",Payments!$Q$5:$Q$1204,"Yes"),2)))</f>
        <v>0</v>
      </c>
      <c r="AG269" s="26">
        <f>IF(B269="","",ROUND(AE269+AF269,2))</f>
        <v>0</v>
      </c>
      <c r="AH269" s="26">
        <f>IF(B269="","",ROUND(AA269-AG269,2))</f>
        <v>0</v>
      </c>
      <c r="AI269" s="39">
        <f>IF(B269="","",IF(AA269&lt;=0,"No charge",IF(AH269&lt;=0.004,"Paid",IF(AG269&lt;=0.004,"Unpaid","Part paid"))))</f>
        <v>0</v>
      </c>
      <c r="AJ269" s="38">
        <f>IF(B269="","",IF(H269&lt;&gt;"Service","",IF(D269="","No",IF(COUNTIFS($D$5:$D$1204,D269,$B$5:$B$1204,B269,$H$5:$H$1204,"Retail")&gt;0,"Yes","No"))))</f>
        <v>0</v>
      </c>
      <c r="AK269" s="25">
        <f>IF(B269="","",COUNTIFS($Y$5:$Y$1204,"&gt;"&amp;Y269)+COUNTIFS($Y$5:Y269,Y269))</f>
        <v>0</v>
      </c>
      <c r="AL269" s="39">
        <f>IF(B269="","",IF(H269="","Add - what kind of sale is this?",IF(IF(V269&lt;=0,P269="",FALSE),"Check - no price found for this item",IF(F269="","Assign - nobody credited",IF(AH269&gt;0.004,"Unpaid - balance outstanding",IF(AC269&lt;0,"Loss - sold below cost",IF(X269&gt;W269*0.5,"Check - more than half off","OK")))))))</f>
        <v>0</v>
      </c>
    </row>
    <row r="270" spans="1:38">
      <c r="A270" s="28">
        <f>IF(B270="","",SalePrefix&amp;TEXT(ROW()-4,"0000"))</f>
        <v>0</v>
      </c>
      <c r="E270" s="15">
        <f>IF(D270="","",IFERROR(INDEX(Clients!$B$5:$B$504,MATCH(D270,Clients!$A$5:$A$504,0)),"Walk-in"))</f>
        <v>0</v>
      </c>
      <c r="G270" s="15">
        <f>IF(F270="","",IFERROR(INDEX(Staff!$B$5:$B$44,MATCH(F270,Staff!$A$5:$A$44,0)),"House"))</f>
        <v>0</v>
      </c>
      <c r="R270" s="15">
        <f>IF(B270="","",TEXT(B270,"yyyy-mm"))</f>
        <v>0</v>
      </c>
      <c r="S270" s="25">
        <f>IF(B270="","",WEEKNUM(B270,2))</f>
        <v>0</v>
      </c>
      <c r="T270" s="37">
        <f>IF(B270="","",IF(K270="",1,K270))</f>
        <v>0</v>
      </c>
      <c r="U270" s="15">
        <f>IF(B270="","",IF(J270&lt;&gt;"",J270,IF(H270="Retail",IFERROR(INDEX(Inventory!$B$5:$B$304,MATCH(I270,Inventory!$A$5:$A$304,0))&amp;"","Not in Inventory"),IFERROR(INDEX(Services!$B$5:$B$204,MATCH(I270,Services!$A$5:$A$204,0))&amp;"","Not in Services"))))</f>
        <v>0</v>
      </c>
      <c r="V270" s="26">
        <f>IF(B270="","",IF(L270&lt;&gt;"",L270,IF(H270="Retail",IFERROR(INDEX(Inventory!$I$5:$I$304,MATCH(I270,Inventory!$A$5:$A$304,0))*1,0),IFERROR(INDEX(Services!$G$5:$G$204,MATCH(I270,Services!$A$5:$A$204,0))*1,0))))</f>
        <v>0</v>
      </c>
      <c r="W270" s="26">
        <f>IF(B270="","",ROUND(T270*V270,2))</f>
        <v>0</v>
      </c>
      <c r="X270" s="26">
        <f>IF(B270="","",ROUND(IF(M270="",0,W270*M270)+IF(N270="",0,N270),2))</f>
        <v>0</v>
      </c>
      <c r="Y270" s="26">
        <f>IF(B270="","",ROUND(W270-X270-IF(P270="",0,P270),2))</f>
        <v>0</v>
      </c>
      <c r="Z270" s="26">
        <f>IF(B270="","",IF(H270="Retail",IF(TaxOnRetail="Yes",ROUND(Y270*TaxRate,2),0),IF(H270="Service",IF(TaxOnServices="Yes",ROUND(Y270*TaxRate,2),0),0)))</f>
        <v>0</v>
      </c>
      <c r="AA270" s="26">
        <f>IF(B270="","",ROUND(Y270+Z270,2))</f>
        <v>0</v>
      </c>
      <c r="AB270" s="26">
        <f>IF(B270="","",ROUND(T270*IF(H270="Retail",IFERROR(INDEX(Inventory!$H$5:$H$304,MATCH(I270,Inventory!$A$5:$A$304,0))*1,0),IFERROR(INDEX(Services!$Q$5:$Q$204,MATCH(I270,Services!$A$5:$A$204,0))*1,0)),2))</f>
        <v>0</v>
      </c>
      <c r="AC270" s="26">
        <f>IF(B270="","",ROUND(Y270-AB270,2))</f>
        <v>0</v>
      </c>
      <c r="AD270" s="38">
        <f>IF(B270="","",IF(C270="","No",IF(COUNTIFS($C$5:C270,C270)=1,"Yes","No")))</f>
        <v>0</v>
      </c>
      <c r="AE270" s="26">
        <f>IF(B270="","",ROUND(SUMIFS(Payments!$G$5:$G$1204,Payments!$H$5:$H$1204,A270,Payments!$Q$5:$Q$1204,"Yes"),2))</f>
        <v>0</v>
      </c>
      <c r="AF270" s="26">
        <f>IF(B270="","",IF(AD270="No",0,ROUND(SUMIFS(Payments!$G$5:$G$1204,Payments!$I$5:$I$1204,C270,Payments!$H$5:$H$1204,"",Payments!$Q$5:$Q$1204,"Yes"),2)))</f>
        <v>0</v>
      </c>
      <c r="AG270" s="26">
        <f>IF(B270="","",ROUND(AE270+AF270,2))</f>
        <v>0</v>
      </c>
      <c r="AH270" s="26">
        <f>IF(B270="","",ROUND(AA270-AG270,2))</f>
        <v>0</v>
      </c>
      <c r="AI270" s="39">
        <f>IF(B270="","",IF(AA270&lt;=0,"No charge",IF(AH270&lt;=0.004,"Paid",IF(AG270&lt;=0.004,"Unpaid","Part paid"))))</f>
        <v>0</v>
      </c>
      <c r="AJ270" s="38">
        <f>IF(B270="","",IF(H270&lt;&gt;"Service","",IF(D270="","No",IF(COUNTIFS($D$5:$D$1204,D270,$B$5:$B$1204,B270,$H$5:$H$1204,"Retail")&gt;0,"Yes","No"))))</f>
        <v>0</v>
      </c>
      <c r="AK270" s="25">
        <f>IF(B270="","",COUNTIFS($Y$5:$Y$1204,"&gt;"&amp;Y270)+COUNTIFS($Y$5:Y270,Y270))</f>
        <v>0</v>
      </c>
      <c r="AL270" s="39">
        <f>IF(B270="","",IF(H270="","Add - what kind of sale is this?",IF(IF(V270&lt;=0,P270="",FALSE),"Check - no price found for this item",IF(F270="","Assign - nobody credited",IF(AH270&gt;0.004,"Unpaid - balance outstanding",IF(AC270&lt;0,"Loss - sold below cost",IF(X270&gt;W270*0.5,"Check - more than half off","OK")))))))</f>
        <v>0</v>
      </c>
    </row>
    <row r="271" spans="1:38">
      <c r="A271" s="28">
        <f>IF(B271="","",SalePrefix&amp;TEXT(ROW()-4,"0000"))</f>
        <v>0</v>
      </c>
      <c r="E271" s="15">
        <f>IF(D271="","",IFERROR(INDEX(Clients!$B$5:$B$504,MATCH(D271,Clients!$A$5:$A$504,0)),"Walk-in"))</f>
        <v>0</v>
      </c>
      <c r="G271" s="15">
        <f>IF(F271="","",IFERROR(INDEX(Staff!$B$5:$B$44,MATCH(F271,Staff!$A$5:$A$44,0)),"House"))</f>
        <v>0</v>
      </c>
      <c r="R271" s="15">
        <f>IF(B271="","",TEXT(B271,"yyyy-mm"))</f>
        <v>0</v>
      </c>
      <c r="S271" s="25">
        <f>IF(B271="","",WEEKNUM(B271,2))</f>
        <v>0</v>
      </c>
      <c r="T271" s="37">
        <f>IF(B271="","",IF(K271="",1,K271))</f>
        <v>0</v>
      </c>
      <c r="U271" s="15">
        <f>IF(B271="","",IF(J271&lt;&gt;"",J271,IF(H271="Retail",IFERROR(INDEX(Inventory!$B$5:$B$304,MATCH(I271,Inventory!$A$5:$A$304,0))&amp;"","Not in Inventory"),IFERROR(INDEX(Services!$B$5:$B$204,MATCH(I271,Services!$A$5:$A$204,0))&amp;"","Not in Services"))))</f>
        <v>0</v>
      </c>
      <c r="V271" s="26">
        <f>IF(B271="","",IF(L271&lt;&gt;"",L271,IF(H271="Retail",IFERROR(INDEX(Inventory!$I$5:$I$304,MATCH(I271,Inventory!$A$5:$A$304,0))*1,0),IFERROR(INDEX(Services!$G$5:$G$204,MATCH(I271,Services!$A$5:$A$204,0))*1,0))))</f>
        <v>0</v>
      </c>
      <c r="W271" s="26">
        <f>IF(B271="","",ROUND(T271*V271,2))</f>
        <v>0</v>
      </c>
      <c r="X271" s="26">
        <f>IF(B271="","",ROUND(IF(M271="",0,W271*M271)+IF(N271="",0,N271),2))</f>
        <v>0</v>
      </c>
      <c r="Y271" s="26">
        <f>IF(B271="","",ROUND(W271-X271-IF(P271="",0,P271),2))</f>
        <v>0</v>
      </c>
      <c r="Z271" s="26">
        <f>IF(B271="","",IF(H271="Retail",IF(TaxOnRetail="Yes",ROUND(Y271*TaxRate,2),0),IF(H271="Service",IF(TaxOnServices="Yes",ROUND(Y271*TaxRate,2),0),0)))</f>
        <v>0</v>
      </c>
      <c r="AA271" s="26">
        <f>IF(B271="","",ROUND(Y271+Z271,2))</f>
        <v>0</v>
      </c>
      <c r="AB271" s="26">
        <f>IF(B271="","",ROUND(T271*IF(H271="Retail",IFERROR(INDEX(Inventory!$H$5:$H$304,MATCH(I271,Inventory!$A$5:$A$304,0))*1,0),IFERROR(INDEX(Services!$Q$5:$Q$204,MATCH(I271,Services!$A$5:$A$204,0))*1,0)),2))</f>
        <v>0</v>
      </c>
      <c r="AC271" s="26">
        <f>IF(B271="","",ROUND(Y271-AB271,2))</f>
        <v>0</v>
      </c>
      <c r="AD271" s="38">
        <f>IF(B271="","",IF(C271="","No",IF(COUNTIFS($C$5:C271,C271)=1,"Yes","No")))</f>
        <v>0</v>
      </c>
      <c r="AE271" s="26">
        <f>IF(B271="","",ROUND(SUMIFS(Payments!$G$5:$G$1204,Payments!$H$5:$H$1204,A271,Payments!$Q$5:$Q$1204,"Yes"),2))</f>
        <v>0</v>
      </c>
      <c r="AF271" s="26">
        <f>IF(B271="","",IF(AD271="No",0,ROUND(SUMIFS(Payments!$G$5:$G$1204,Payments!$I$5:$I$1204,C271,Payments!$H$5:$H$1204,"",Payments!$Q$5:$Q$1204,"Yes"),2)))</f>
        <v>0</v>
      </c>
      <c r="AG271" s="26">
        <f>IF(B271="","",ROUND(AE271+AF271,2))</f>
        <v>0</v>
      </c>
      <c r="AH271" s="26">
        <f>IF(B271="","",ROUND(AA271-AG271,2))</f>
        <v>0</v>
      </c>
      <c r="AI271" s="39">
        <f>IF(B271="","",IF(AA271&lt;=0,"No charge",IF(AH271&lt;=0.004,"Paid",IF(AG271&lt;=0.004,"Unpaid","Part paid"))))</f>
        <v>0</v>
      </c>
      <c r="AJ271" s="38">
        <f>IF(B271="","",IF(H271&lt;&gt;"Service","",IF(D271="","No",IF(COUNTIFS($D$5:$D$1204,D271,$B$5:$B$1204,B271,$H$5:$H$1204,"Retail")&gt;0,"Yes","No"))))</f>
        <v>0</v>
      </c>
      <c r="AK271" s="25">
        <f>IF(B271="","",COUNTIFS($Y$5:$Y$1204,"&gt;"&amp;Y271)+COUNTIFS($Y$5:Y271,Y271))</f>
        <v>0</v>
      </c>
      <c r="AL271" s="39">
        <f>IF(B271="","",IF(H271="","Add - what kind of sale is this?",IF(IF(V271&lt;=0,P271="",FALSE),"Check - no price found for this item",IF(F271="","Assign - nobody credited",IF(AH271&gt;0.004,"Unpaid - balance outstanding",IF(AC271&lt;0,"Loss - sold below cost",IF(X271&gt;W271*0.5,"Check - more than half off","OK")))))))</f>
        <v>0</v>
      </c>
    </row>
    <row r="272" spans="1:38">
      <c r="A272" s="28">
        <f>IF(B272="","",SalePrefix&amp;TEXT(ROW()-4,"0000"))</f>
        <v>0</v>
      </c>
      <c r="E272" s="15">
        <f>IF(D272="","",IFERROR(INDEX(Clients!$B$5:$B$504,MATCH(D272,Clients!$A$5:$A$504,0)),"Walk-in"))</f>
        <v>0</v>
      </c>
      <c r="G272" s="15">
        <f>IF(F272="","",IFERROR(INDEX(Staff!$B$5:$B$44,MATCH(F272,Staff!$A$5:$A$44,0)),"House"))</f>
        <v>0</v>
      </c>
      <c r="R272" s="15">
        <f>IF(B272="","",TEXT(B272,"yyyy-mm"))</f>
        <v>0</v>
      </c>
      <c r="S272" s="25">
        <f>IF(B272="","",WEEKNUM(B272,2))</f>
        <v>0</v>
      </c>
      <c r="T272" s="37">
        <f>IF(B272="","",IF(K272="",1,K272))</f>
        <v>0</v>
      </c>
      <c r="U272" s="15">
        <f>IF(B272="","",IF(J272&lt;&gt;"",J272,IF(H272="Retail",IFERROR(INDEX(Inventory!$B$5:$B$304,MATCH(I272,Inventory!$A$5:$A$304,0))&amp;"","Not in Inventory"),IFERROR(INDEX(Services!$B$5:$B$204,MATCH(I272,Services!$A$5:$A$204,0))&amp;"","Not in Services"))))</f>
        <v>0</v>
      </c>
      <c r="V272" s="26">
        <f>IF(B272="","",IF(L272&lt;&gt;"",L272,IF(H272="Retail",IFERROR(INDEX(Inventory!$I$5:$I$304,MATCH(I272,Inventory!$A$5:$A$304,0))*1,0),IFERROR(INDEX(Services!$G$5:$G$204,MATCH(I272,Services!$A$5:$A$204,0))*1,0))))</f>
        <v>0</v>
      </c>
      <c r="W272" s="26">
        <f>IF(B272="","",ROUND(T272*V272,2))</f>
        <v>0</v>
      </c>
      <c r="X272" s="26">
        <f>IF(B272="","",ROUND(IF(M272="",0,W272*M272)+IF(N272="",0,N272),2))</f>
        <v>0</v>
      </c>
      <c r="Y272" s="26">
        <f>IF(B272="","",ROUND(W272-X272-IF(P272="",0,P272),2))</f>
        <v>0</v>
      </c>
      <c r="Z272" s="26">
        <f>IF(B272="","",IF(H272="Retail",IF(TaxOnRetail="Yes",ROUND(Y272*TaxRate,2),0),IF(H272="Service",IF(TaxOnServices="Yes",ROUND(Y272*TaxRate,2),0),0)))</f>
        <v>0</v>
      </c>
      <c r="AA272" s="26">
        <f>IF(B272="","",ROUND(Y272+Z272,2))</f>
        <v>0</v>
      </c>
      <c r="AB272" s="26">
        <f>IF(B272="","",ROUND(T272*IF(H272="Retail",IFERROR(INDEX(Inventory!$H$5:$H$304,MATCH(I272,Inventory!$A$5:$A$304,0))*1,0),IFERROR(INDEX(Services!$Q$5:$Q$204,MATCH(I272,Services!$A$5:$A$204,0))*1,0)),2))</f>
        <v>0</v>
      </c>
      <c r="AC272" s="26">
        <f>IF(B272="","",ROUND(Y272-AB272,2))</f>
        <v>0</v>
      </c>
      <c r="AD272" s="38">
        <f>IF(B272="","",IF(C272="","No",IF(COUNTIFS($C$5:C272,C272)=1,"Yes","No")))</f>
        <v>0</v>
      </c>
      <c r="AE272" s="26">
        <f>IF(B272="","",ROUND(SUMIFS(Payments!$G$5:$G$1204,Payments!$H$5:$H$1204,A272,Payments!$Q$5:$Q$1204,"Yes"),2))</f>
        <v>0</v>
      </c>
      <c r="AF272" s="26">
        <f>IF(B272="","",IF(AD272="No",0,ROUND(SUMIFS(Payments!$G$5:$G$1204,Payments!$I$5:$I$1204,C272,Payments!$H$5:$H$1204,"",Payments!$Q$5:$Q$1204,"Yes"),2)))</f>
        <v>0</v>
      </c>
      <c r="AG272" s="26">
        <f>IF(B272="","",ROUND(AE272+AF272,2))</f>
        <v>0</v>
      </c>
      <c r="AH272" s="26">
        <f>IF(B272="","",ROUND(AA272-AG272,2))</f>
        <v>0</v>
      </c>
      <c r="AI272" s="39">
        <f>IF(B272="","",IF(AA272&lt;=0,"No charge",IF(AH272&lt;=0.004,"Paid",IF(AG272&lt;=0.004,"Unpaid","Part paid"))))</f>
        <v>0</v>
      </c>
      <c r="AJ272" s="38">
        <f>IF(B272="","",IF(H272&lt;&gt;"Service","",IF(D272="","No",IF(COUNTIFS($D$5:$D$1204,D272,$B$5:$B$1204,B272,$H$5:$H$1204,"Retail")&gt;0,"Yes","No"))))</f>
        <v>0</v>
      </c>
      <c r="AK272" s="25">
        <f>IF(B272="","",COUNTIFS($Y$5:$Y$1204,"&gt;"&amp;Y272)+COUNTIFS($Y$5:Y272,Y272))</f>
        <v>0</v>
      </c>
      <c r="AL272" s="39">
        <f>IF(B272="","",IF(H272="","Add - what kind of sale is this?",IF(IF(V272&lt;=0,P272="",FALSE),"Check - no price found for this item",IF(F272="","Assign - nobody credited",IF(AH272&gt;0.004,"Unpaid - balance outstanding",IF(AC272&lt;0,"Loss - sold below cost",IF(X272&gt;W272*0.5,"Check - more than half off","OK")))))))</f>
        <v>0</v>
      </c>
    </row>
    <row r="273" spans="1:38">
      <c r="A273" s="28">
        <f>IF(B273="","",SalePrefix&amp;TEXT(ROW()-4,"0000"))</f>
        <v>0</v>
      </c>
      <c r="E273" s="15">
        <f>IF(D273="","",IFERROR(INDEX(Clients!$B$5:$B$504,MATCH(D273,Clients!$A$5:$A$504,0)),"Walk-in"))</f>
        <v>0</v>
      </c>
      <c r="G273" s="15">
        <f>IF(F273="","",IFERROR(INDEX(Staff!$B$5:$B$44,MATCH(F273,Staff!$A$5:$A$44,0)),"House"))</f>
        <v>0</v>
      </c>
      <c r="R273" s="15">
        <f>IF(B273="","",TEXT(B273,"yyyy-mm"))</f>
        <v>0</v>
      </c>
      <c r="S273" s="25">
        <f>IF(B273="","",WEEKNUM(B273,2))</f>
        <v>0</v>
      </c>
      <c r="T273" s="37">
        <f>IF(B273="","",IF(K273="",1,K273))</f>
        <v>0</v>
      </c>
      <c r="U273" s="15">
        <f>IF(B273="","",IF(J273&lt;&gt;"",J273,IF(H273="Retail",IFERROR(INDEX(Inventory!$B$5:$B$304,MATCH(I273,Inventory!$A$5:$A$304,0))&amp;"","Not in Inventory"),IFERROR(INDEX(Services!$B$5:$B$204,MATCH(I273,Services!$A$5:$A$204,0))&amp;"","Not in Services"))))</f>
        <v>0</v>
      </c>
      <c r="V273" s="26">
        <f>IF(B273="","",IF(L273&lt;&gt;"",L273,IF(H273="Retail",IFERROR(INDEX(Inventory!$I$5:$I$304,MATCH(I273,Inventory!$A$5:$A$304,0))*1,0),IFERROR(INDEX(Services!$G$5:$G$204,MATCH(I273,Services!$A$5:$A$204,0))*1,0))))</f>
        <v>0</v>
      </c>
      <c r="W273" s="26">
        <f>IF(B273="","",ROUND(T273*V273,2))</f>
        <v>0</v>
      </c>
      <c r="X273" s="26">
        <f>IF(B273="","",ROUND(IF(M273="",0,W273*M273)+IF(N273="",0,N273),2))</f>
        <v>0</v>
      </c>
      <c r="Y273" s="26">
        <f>IF(B273="","",ROUND(W273-X273-IF(P273="",0,P273),2))</f>
        <v>0</v>
      </c>
      <c r="Z273" s="26">
        <f>IF(B273="","",IF(H273="Retail",IF(TaxOnRetail="Yes",ROUND(Y273*TaxRate,2),0),IF(H273="Service",IF(TaxOnServices="Yes",ROUND(Y273*TaxRate,2),0),0)))</f>
        <v>0</v>
      </c>
      <c r="AA273" s="26">
        <f>IF(B273="","",ROUND(Y273+Z273,2))</f>
        <v>0</v>
      </c>
      <c r="AB273" s="26">
        <f>IF(B273="","",ROUND(T273*IF(H273="Retail",IFERROR(INDEX(Inventory!$H$5:$H$304,MATCH(I273,Inventory!$A$5:$A$304,0))*1,0),IFERROR(INDEX(Services!$Q$5:$Q$204,MATCH(I273,Services!$A$5:$A$204,0))*1,0)),2))</f>
        <v>0</v>
      </c>
      <c r="AC273" s="26">
        <f>IF(B273="","",ROUND(Y273-AB273,2))</f>
        <v>0</v>
      </c>
      <c r="AD273" s="38">
        <f>IF(B273="","",IF(C273="","No",IF(COUNTIFS($C$5:C273,C273)=1,"Yes","No")))</f>
        <v>0</v>
      </c>
      <c r="AE273" s="26">
        <f>IF(B273="","",ROUND(SUMIFS(Payments!$G$5:$G$1204,Payments!$H$5:$H$1204,A273,Payments!$Q$5:$Q$1204,"Yes"),2))</f>
        <v>0</v>
      </c>
      <c r="AF273" s="26">
        <f>IF(B273="","",IF(AD273="No",0,ROUND(SUMIFS(Payments!$G$5:$G$1204,Payments!$I$5:$I$1204,C273,Payments!$H$5:$H$1204,"",Payments!$Q$5:$Q$1204,"Yes"),2)))</f>
        <v>0</v>
      </c>
      <c r="AG273" s="26">
        <f>IF(B273="","",ROUND(AE273+AF273,2))</f>
        <v>0</v>
      </c>
      <c r="AH273" s="26">
        <f>IF(B273="","",ROUND(AA273-AG273,2))</f>
        <v>0</v>
      </c>
      <c r="AI273" s="39">
        <f>IF(B273="","",IF(AA273&lt;=0,"No charge",IF(AH273&lt;=0.004,"Paid",IF(AG273&lt;=0.004,"Unpaid","Part paid"))))</f>
        <v>0</v>
      </c>
      <c r="AJ273" s="38">
        <f>IF(B273="","",IF(H273&lt;&gt;"Service","",IF(D273="","No",IF(COUNTIFS($D$5:$D$1204,D273,$B$5:$B$1204,B273,$H$5:$H$1204,"Retail")&gt;0,"Yes","No"))))</f>
        <v>0</v>
      </c>
      <c r="AK273" s="25">
        <f>IF(B273="","",COUNTIFS($Y$5:$Y$1204,"&gt;"&amp;Y273)+COUNTIFS($Y$5:Y273,Y273))</f>
        <v>0</v>
      </c>
      <c r="AL273" s="39">
        <f>IF(B273="","",IF(H273="","Add - what kind of sale is this?",IF(IF(V273&lt;=0,P273="",FALSE),"Check - no price found for this item",IF(F273="","Assign - nobody credited",IF(AH273&gt;0.004,"Unpaid - balance outstanding",IF(AC273&lt;0,"Loss - sold below cost",IF(X273&gt;W273*0.5,"Check - more than half off","OK")))))))</f>
        <v>0</v>
      </c>
    </row>
    <row r="274" spans="1:38">
      <c r="A274" s="28">
        <f>IF(B274="","",SalePrefix&amp;TEXT(ROW()-4,"0000"))</f>
        <v>0</v>
      </c>
      <c r="E274" s="15">
        <f>IF(D274="","",IFERROR(INDEX(Clients!$B$5:$B$504,MATCH(D274,Clients!$A$5:$A$504,0)),"Walk-in"))</f>
        <v>0</v>
      </c>
      <c r="G274" s="15">
        <f>IF(F274="","",IFERROR(INDEX(Staff!$B$5:$B$44,MATCH(F274,Staff!$A$5:$A$44,0)),"House"))</f>
        <v>0</v>
      </c>
      <c r="R274" s="15">
        <f>IF(B274="","",TEXT(B274,"yyyy-mm"))</f>
        <v>0</v>
      </c>
      <c r="S274" s="25">
        <f>IF(B274="","",WEEKNUM(B274,2))</f>
        <v>0</v>
      </c>
      <c r="T274" s="37">
        <f>IF(B274="","",IF(K274="",1,K274))</f>
        <v>0</v>
      </c>
      <c r="U274" s="15">
        <f>IF(B274="","",IF(J274&lt;&gt;"",J274,IF(H274="Retail",IFERROR(INDEX(Inventory!$B$5:$B$304,MATCH(I274,Inventory!$A$5:$A$304,0))&amp;"","Not in Inventory"),IFERROR(INDEX(Services!$B$5:$B$204,MATCH(I274,Services!$A$5:$A$204,0))&amp;"","Not in Services"))))</f>
        <v>0</v>
      </c>
      <c r="V274" s="26">
        <f>IF(B274="","",IF(L274&lt;&gt;"",L274,IF(H274="Retail",IFERROR(INDEX(Inventory!$I$5:$I$304,MATCH(I274,Inventory!$A$5:$A$304,0))*1,0),IFERROR(INDEX(Services!$G$5:$G$204,MATCH(I274,Services!$A$5:$A$204,0))*1,0))))</f>
        <v>0</v>
      </c>
      <c r="W274" s="26">
        <f>IF(B274="","",ROUND(T274*V274,2))</f>
        <v>0</v>
      </c>
      <c r="X274" s="26">
        <f>IF(B274="","",ROUND(IF(M274="",0,W274*M274)+IF(N274="",0,N274),2))</f>
        <v>0</v>
      </c>
      <c r="Y274" s="26">
        <f>IF(B274="","",ROUND(W274-X274-IF(P274="",0,P274),2))</f>
        <v>0</v>
      </c>
      <c r="Z274" s="26">
        <f>IF(B274="","",IF(H274="Retail",IF(TaxOnRetail="Yes",ROUND(Y274*TaxRate,2),0),IF(H274="Service",IF(TaxOnServices="Yes",ROUND(Y274*TaxRate,2),0),0)))</f>
        <v>0</v>
      </c>
      <c r="AA274" s="26">
        <f>IF(B274="","",ROUND(Y274+Z274,2))</f>
        <v>0</v>
      </c>
      <c r="AB274" s="26">
        <f>IF(B274="","",ROUND(T274*IF(H274="Retail",IFERROR(INDEX(Inventory!$H$5:$H$304,MATCH(I274,Inventory!$A$5:$A$304,0))*1,0),IFERROR(INDEX(Services!$Q$5:$Q$204,MATCH(I274,Services!$A$5:$A$204,0))*1,0)),2))</f>
        <v>0</v>
      </c>
      <c r="AC274" s="26">
        <f>IF(B274="","",ROUND(Y274-AB274,2))</f>
        <v>0</v>
      </c>
      <c r="AD274" s="38">
        <f>IF(B274="","",IF(C274="","No",IF(COUNTIFS($C$5:C274,C274)=1,"Yes","No")))</f>
        <v>0</v>
      </c>
      <c r="AE274" s="26">
        <f>IF(B274="","",ROUND(SUMIFS(Payments!$G$5:$G$1204,Payments!$H$5:$H$1204,A274,Payments!$Q$5:$Q$1204,"Yes"),2))</f>
        <v>0</v>
      </c>
      <c r="AF274" s="26">
        <f>IF(B274="","",IF(AD274="No",0,ROUND(SUMIFS(Payments!$G$5:$G$1204,Payments!$I$5:$I$1204,C274,Payments!$H$5:$H$1204,"",Payments!$Q$5:$Q$1204,"Yes"),2)))</f>
        <v>0</v>
      </c>
      <c r="AG274" s="26">
        <f>IF(B274="","",ROUND(AE274+AF274,2))</f>
        <v>0</v>
      </c>
      <c r="AH274" s="26">
        <f>IF(B274="","",ROUND(AA274-AG274,2))</f>
        <v>0</v>
      </c>
      <c r="AI274" s="39">
        <f>IF(B274="","",IF(AA274&lt;=0,"No charge",IF(AH274&lt;=0.004,"Paid",IF(AG274&lt;=0.004,"Unpaid","Part paid"))))</f>
        <v>0</v>
      </c>
      <c r="AJ274" s="38">
        <f>IF(B274="","",IF(H274&lt;&gt;"Service","",IF(D274="","No",IF(COUNTIFS($D$5:$D$1204,D274,$B$5:$B$1204,B274,$H$5:$H$1204,"Retail")&gt;0,"Yes","No"))))</f>
        <v>0</v>
      </c>
      <c r="AK274" s="25">
        <f>IF(B274="","",COUNTIFS($Y$5:$Y$1204,"&gt;"&amp;Y274)+COUNTIFS($Y$5:Y274,Y274))</f>
        <v>0</v>
      </c>
      <c r="AL274" s="39">
        <f>IF(B274="","",IF(H274="","Add - what kind of sale is this?",IF(IF(V274&lt;=0,P274="",FALSE),"Check - no price found for this item",IF(F274="","Assign - nobody credited",IF(AH274&gt;0.004,"Unpaid - balance outstanding",IF(AC274&lt;0,"Loss - sold below cost",IF(X274&gt;W274*0.5,"Check - more than half off","OK")))))))</f>
        <v>0</v>
      </c>
    </row>
    <row r="275" spans="1:38">
      <c r="A275" s="28">
        <f>IF(B275="","",SalePrefix&amp;TEXT(ROW()-4,"0000"))</f>
        <v>0</v>
      </c>
      <c r="E275" s="15">
        <f>IF(D275="","",IFERROR(INDEX(Clients!$B$5:$B$504,MATCH(D275,Clients!$A$5:$A$504,0)),"Walk-in"))</f>
        <v>0</v>
      </c>
      <c r="G275" s="15">
        <f>IF(F275="","",IFERROR(INDEX(Staff!$B$5:$B$44,MATCH(F275,Staff!$A$5:$A$44,0)),"House"))</f>
        <v>0</v>
      </c>
      <c r="R275" s="15">
        <f>IF(B275="","",TEXT(B275,"yyyy-mm"))</f>
        <v>0</v>
      </c>
      <c r="S275" s="25">
        <f>IF(B275="","",WEEKNUM(B275,2))</f>
        <v>0</v>
      </c>
      <c r="T275" s="37">
        <f>IF(B275="","",IF(K275="",1,K275))</f>
        <v>0</v>
      </c>
      <c r="U275" s="15">
        <f>IF(B275="","",IF(J275&lt;&gt;"",J275,IF(H275="Retail",IFERROR(INDEX(Inventory!$B$5:$B$304,MATCH(I275,Inventory!$A$5:$A$304,0))&amp;"","Not in Inventory"),IFERROR(INDEX(Services!$B$5:$B$204,MATCH(I275,Services!$A$5:$A$204,0))&amp;"","Not in Services"))))</f>
        <v>0</v>
      </c>
      <c r="V275" s="26">
        <f>IF(B275="","",IF(L275&lt;&gt;"",L275,IF(H275="Retail",IFERROR(INDEX(Inventory!$I$5:$I$304,MATCH(I275,Inventory!$A$5:$A$304,0))*1,0),IFERROR(INDEX(Services!$G$5:$G$204,MATCH(I275,Services!$A$5:$A$204,0))*1,0))))</f>
        <v>0</v>
      </c>
      <c r="W275" s="26">
        <f>IF(B275="","",ROUND(T275*V275,2))</f>
        <v>0</v>
      </c>
      <c r="X275" s="26">
        <f>IF(B275="","",ROUND(IF(M275="",0,W275*M275)+IF(N275="",0,N275),2))</f>
        <v>0</v>
      </c>
      <c r="Y275" s="26">
        <f>IF(B275="","",ROUND(W275-X275-IF(P275="",0,P275),2))</f>
        <v>0</v>
      </c>
      <c r="Z275" s="26">
        <f>IF(B275="","",IF(H275="Retail",IF(TaxOnRetail="Yes",ROUND(Y275*TaxRate,2),0),IF(H275="Service",IF(TaxOnServices="Yes",ROUND(Y275*TaxRate,2),0),0)))</f>
        <v>0</v>
      </c>
      <c r="AA275" s="26">
        <f>IF(B275="","",ROUND(Y275+Z275,2))</f>
        <v>0</v>
      </c>
      <c r="AB275" s="26">
        <f>IF(B275="","",ROUND(T275*IF(H275="Retail",IFERROR(INDEX(Inventory!$H$5:$H$304,MATCH(I275,Inventory!$A$5:$A$304,0))*1,0),IFERROR(INDEX(Services!$Q$5:$Q$204,MATCH(I275,Services!$A$5:$A$204,0))*1,0)),2))</f>
        <v>0</v>
      </c>
      <c r="AC275" s="26">
        <f>IF(B275="","",ROUND(Y275-AB275,2))</f>
        <v>0</v>
      </c>
      <c r="AD275" s="38">
        <f>IF(B275="","",IF(C275="","No",IF(COUNTIFS($C$5:C275,C275)=1,"Yes","No")))</f>
        <v>0</v>
      </c>
      <c r="AE275" s="26">
        <f>IF(B275="","",ROUND(SUMIFS(Payments!$G$5:$G$1204,Payments!$H$5:$H$1204,A275,Payments!$Q$5:$Q$1204,"Yes"),2))</f>
        <v>0</v>
      </c>
      <c r="AF275" s="26">
        <f>IF(B275="","",IF(AD275="No",0,ROUND(SUMIFS(Payments!$G$5:$G$1204,Payments!$I$5:$I$1204,C275,Payments!$H$5:$H$1204,"",Payments!$Q$5:$Q$1204,"Yes"),2)))</f>
        <v>0</v>
      </c>
      <c r="AG275" s="26">
        <f>IF(B275="","",ROUND(AE275+AF275,2))</f>
        <v>0</v>
      </c>
      <c r="AH275" s="26">
        <f>IF(B275="","",ROUND(AA275-AG275,2))</f>
        <v>0</v>
      </c>
      <c r="AI275" s="39">
        <f>IF(B275="","",IF(AA275&lt;=0,"No charge",IF(AH275&lt;=0.004,"Paid",IF(AG275&lt;=0.004,"Unpaid","Part paid"))))</f>
        <v>0</v>
      </c>
      <c r="AJ275" s="38">
        <f>IF(B275="","",IF(H275&lt;&gt;"Service","",IF(D275="","No",IF(COUNTIFS($D$5:$D$1204,D275,$B$5:$B$1204,B275,$H$5:$H$1204,"Retail")&gt;0,"Yes","No"))))</f>
        <v>0</v>
      </c>
      <c r="AK275" s="25">
        <f>IF(B275="","",COUNTIFS($Y$5:$Y$1204,"&gt;"&amp;Y275)+COUNTIFS($Y$5:Y275,Y275))</f>
        <v>0</v>
      </c>
      <c r="AL275" s="39">
        <f>IF(B275="","",IF(H275="","Add - what kind of sale is this?",IF(IF(V275&lt;=0,P275="",FALSE),"Check - no price found for this item",IF(F275="","Assign - nobody credited",IF(AH275&gt;0.004,"Unpaid - balance outstanding",IF(AC275&lt;0,"Loss - sold below cost",IF(X275&gt;W275*0.5,"Check - more than half off","OK")))))))</f>
        <v>0</v>
      </c>
    </row>
    <row r="276" spans="1:38">
      <c r="A276" s="28">
        <f>IF(B276="","",SalePrefix&amp;TEXT(ROW()-4,"0000"))</f>
        <v>0</v>
      </c>
      <c r="E276" s="15">
        <f>IF(D276="","",IFERROR(INDEX(Clients!$B$5:$B$504,MATCH(D276,Clients!$A$5:$A$504,0)),"Walk-in"))</f>
        <v>0</v>
      </c>
      <c r="G276" s="15">
        <f>IF(F276="","",IFERROR(INDEX(Staff!$B$5:$B$44,MATCH(F276,Staff!$A$5:$A$44,0)),"House"))</f>
        <v>0</v>
      </c>
      <c r="R276" s="15">
        <f>IF(B276="","",TEXT(B276,"yyyy-mm"))</f>
        <v>0</v>
      </c>
      <c r="S276" s="25">
        <f>IF(B276="","",WEEKNUM(B276,2))</f>
        <v>0</v>
      </c>
      <c r="T276" s="37">
        <f>IF(B276="","",IF(K276="",1,K276))</f>
        <v>0</v>
      </c>
      <c r="U276" s="15">
        <f>IF(B276="","",IF(J276&lt;&gt;"",J276,IF(H276="Retail",IFERROR(INDEX(Inventory!$B$5:$B$304,MATCH(I276,Inventory!$A$5:$A$304,0))&amp;"","Not in Inventory"),IFERROR(INDEX(Services!$B$5:$B$204,MATCH(I276,Services!$A$5:$A$204,0))&amp;"","Not in Services"))))</f>
        <v>0</v>
      </c>
      <c r="V276" s="26">
        <f>IF(B276="","",IF(L276&lt;&gt;"",L276,IF(H276="Retail",IFERROR(INDEX(Inventory!$I$5:$I$304,MATCH(I276,Inventory!$A$5:$A$304,0))*1,0),IFERROR(INDEX(Services!$G$5:$G$204,MATCH(I276,Services!$A$5:$A$204,0))*1,0))))</f>
        <v>0</v>
      </c>
      <c r="W276" s="26">
        <f>IF(B276="","",ROUND(T276*V276,2))</f>
        <v>0</v>
      </c>
      <c r="X276" s="26">
        <f>IF(B276="","",ROUND(IF(M276="",0,W276*M276)+IF(N276="",0,N276),2))</f>
        <v>0</v>
      </c>
      <c r="Y276" s="26">
        <f>IF(B276="","",ROUND(W276-X276-IF(P276="",0,P276),2))</f>
        <v>0</v>
      </c>
      <c r="Z276" s="26">
        <f>IF(B276="","",IF(H276="Retail",IF(TaxOnRetail="Yes",ROUND(Y276*TaxRate,2),0),IF(H276="Service",IF(TaxOnServices="Yes",ROUND(Y276*TaxRate,2),0),0)))</f>
        <v>0</v>
      </c>
      <c r="AA276" s="26">
        <f>IF(B276="","",ROUND(Y276+Z276,2))</f>
        <v>0</v>
      </c>
      <c r="AB276" s="26">
        <f>IF(B276="","",ROUND(T276*IF(H276="Retail",IFERROR(INDEX(Inventory!$H$5:$H$304,MATCH(I276,Inventory!$A$5:$A$304,0))*1,0),IFERROR(INDEX(Services!$Q$5:$Q$204,MATCH(I276,Services!$A$5:$A$204,0))*1,0)),2))</f>
        <v>0</v>
      </c>
      <c r="AC276" s="26">
        <f>IF(B276="","",ROUND(Y276-AB276,2))</f>
        <v>0</v>
      </c>
      <c r="AD276" s="38">
        <f>IF(B276="","",IF(C276="","No",IF(COUNTIFS($C$5:C276,C276)=1,"Yes","No")))</f>
        <v>0</v>
      </c>
      <c r="AE276" s="26">
        <f>IF(B276="","",ROUND(SUMIFS(Payments!$G$5:$G$1204,Payments!$H$5:$H$1204,A276,Payments!$Q$5:$Q$1204,"Yes"),2))</f>
        <v>0</v>
      </c>
      <c r="AF276" s="26">
        <f>IF(B276="","",IF(AD276="No",0,ROUND(SUMIFS(Payments!$G$5:$G$1204,Payments!$I$5:$I$1204,C276,Payments!$H$5:$H$1204,"",Payments!$Q$5:$Q$1204,"Yes"),2)))</f>
        <v>0</v>
      </c>
      <c r="AG276" s="26">
        <f>IF(B276="","",ROUND(AE276+AF276,2))</f>
        <v>0</v>
      </c>
      <c r="AH276" s="26">
        <f>IF(B276="","",ROUND(AA276-AG276,2))</f>
        <v>0</v>
      </c>
      <c r="AI276" s="39">
        <f>IF(B276="","",IF(AA276&lt;=0,"No charge",IF(AH276&lt;=0.004,"Paid",IF(AG276&lt;=0.004,"Unpaid","Part paid"))))</f>
        <v>0</v>
      </c>
      <c r="AJ276" s="38">
        <f>IF(B276="","",IF(H276&lt;&gt;"Service","",IF(D276="","No",IF(COUNTIFS($D$5:$D$1204,D276,$B$5:$B$1204,B276,$H$5:$H$1204,"Retail")&gt;0,"Yes","No"))))</f>
        <v>0</v>
      </c>
      <c r="AK276" s="25">
        <f>IF(B276="","",COUNTIFS($Y$5:$Y$1204,"&gt;"&amp;Y276)+COUNTIFS($Y$5:Y276,Y276))</f>
        <v>0</v>
      </c>
      <c r="AL276" s="39">
        <f>IF(B276="","",IF(H276="","Add - what kind of sale is this?",IF(IF(V276&lt;=0,P276="",FALSE),"Check - no price found for this item",IF(F276="","Assign - nobody credited",IF(AH276&gt;0.004,"Unpaid - balance outstanding",IF(AC276&lt;0,"Loss - sold below cost",IF(X276&gt;W276*0.5,"Check - more than half off","OK")))))))</f>
        <v>0</v>
      </c>
    </row>
    <row r="277" spans="1:38">
      <c r="A277" s="28">
        <f>IF(B277="","",SalePrefix&amp;TEXT(ROW()-4,"0000"))</f>
        <v>0</v>
      </c>
      <c r="E277" s="15">
        <f>IF(D277="","",IFERROR(INDEX(Clients!$B$5:$B$504,MATCH(D277,Clients!$A$5:$A$504,0)),"Walk-in"))</f>
        <v>0</v>
      </c>
      <c r="G277" s="15">
        <f>IF(F277="","",IFERROR(INDEX(Staff!$B$5:$B$44,MATCH(F277,Staff!$A$5:$A$44,0)),"House"))</f>
        <v>0</v>
      </c>
      <c r="R277" s="15">
        <f>IF(B277="","",TEXT(B277,"yyyy-mm"))</f>
        <v>0</v>
      </c>
      <c r="S277" s="25">
        <f>IF(B277="","",WEEKNUM(B277,2))</f>
        <v>0</v>
      </c>
      <c r="T277" s="37">
        <f>IF(B277="","",IF(K277="",1,K277))</f>
        <v>0</v>
      </c>
      <c r="U277" s="15">
        <f>IF(B277="","",IF(J277&lt;&gt;"",J277,IF(H277="Retail",IFERROR(INDEX(Inventory!$B$5:$B$304,MATCH(I277,Inventory!$A$5:$A$304,0))&amp;"","Not in Inventory"),IFERROR(INDEX(Services!$B$5:$B$204,MATCH(I277,Services!$A$5:$A$204,0))&amp;"","Not in Services"))))</f>
        <v>0</v>
      </c>
      <c r="V277" s="26">
        <f>IF(B277="","",IF(L277&lt;&gt;"",L277,IF(H277="Retail",IFERROR(INDEX(Inventory!$I$5:$I$304,MATCH(I277,Inventory!$A$5:$A$304,0))*1,0),IFERROR(INDEX(Services!$G$5:$G$204,MATCH(I277,Services!$A$5:$A$204,0))*1,0))))</f>
        <v>0</v>
      </c>
      <c r="W277" s="26">
        <f>IF(B277="","",ROUND(T277*V277,2))</f>
        <v>0</v>
      </c>
      <c r="X277" s="26">
        <f>IF(B277="","",ROUND(IF(M277="",0,W277*M277)+IF(N277="",0,N277),2))</f>
        <v>0</v>
      </c>
      <c r="Y277" s="26">
        <f>IF(B277="","",ROUND(W277-X277-IF(P277="",0,P277),2))</f>
        <v>0</v>
      </c>
      <c r="Z277" s="26">
        <f>IF(B277="","",IF(H277="Retail",IF(TaxOnRetail="Yes",ROUND(Y277*TaxRate,2),0),IF(H277="Service",IF(TaxOnServices="Yes",ROUND(Y277*TaxRate,2),0),0)))</f>
        <v>0</v>
      </c>
      <c r="AA277" s="26">
        <f>IF(B277="","",ROUND(Y277+Z277,2))</f>
        <v>0</v>
      </c>
      <c r="AB277" s="26">
        <f>IF(B277="","",ROUND(T277*IF(H277="Retail",IFERROR(INDEX(Inventory!$H$5:$H$304,MATCH(I277,Inventory!$A$5:$A$304,0))*1,0),IFERROR(INDEX(Services!$Q$5:$Q$204,MATCH(I277,Services!$A$5:$A$204,0))*1,0)),2))</f>
        <v>0</v>
      </c>
      <c r="AC277" s="26">
        <f>IF(B277="","",ROUND(Y277-AB277,2))</f>
        <v>0</v>
      </c>
      <c r="AD277" s="38">
        <f>IF(B277="","",IF(C277="","No",IF(COUNTIFS($C$5:C277,C277)=1,"Yes","No")))</f>
        <v>0</v>
      </c>
      <c r="AE277" s="26">
        <f>IF(B277="","",ROUND(SUMIFS(Payments!$G$5:$G$1204,Payments!$H$5:$H$1204,A277,Payments!$Q$5:$Q$1204,"Yes"),2))</f>
        <v>0</v>
      </c>
      <c r="AF277" s="26">
        <f>IF(B277="","",IF(AD277="No",0,ROUND(SUMIFS(Payments!$G$5:$G$1204,Payments!$I$5:$I$1204,C277,Payments!$H$5:$H$1204,"",Payments!$Q$5:$Q$1204,"Yes"),2)))</f>
        <v>0</v>
      </c>
      <c r="AG277" s="26">
        <f>IF(B277="","",ROUND(AE277+AF277,2))</f>
        <v>0</v>
      </c>
      <c r="AH277" s="26">
        <f>IF(B277="","",ROUND(AA277-AG277,2))</f>
        <v>0</v>
      </c>
      <c r="AI277" s="39">
        <f>IF(B277="","",IF(AA277&lt;=0,"No charge",IF(AH277&lt;=0.004,"Paid",IF(AG277&lt;=0.004,"Unpaid","Part paid"))))</f>
        <v>0</v>
      </c>
      <c r="AJ277" s="38">
        <f>IF(B277="","",IF(H277&lt;&gt;"Service","",IF(D277="","No",IF(COUNTIFS($D$5:$D$1204,D277,$B$5:$B$1204,B277,$H$5:$H$1204,"Retail")&gt;0,"Yes","No"))))</f>
        <v>0</v>
      </c>
      <c r="AK277" s="25">
        <f>IF(B277="","",COUNTIFS($Y$5:$Y$1204,"&gt;"&amp;Y277)+COUNTIFS($Y$5:Y277,Y277))</f>
        <v>0</v>
      </c>
      <c r="AL277" s="39">
        <f>IF(B277="","",IF(H277="","Add - what kind of sale is this?",IF(IF(V277&lt;=0,P277="",FALSE),"Check - no price found for this item",IF(F277="","Assign - nobody credited",IF(AH277&gt;0.004,"Unpaid - balance outstanding",IF(AC277&lt;0,"Loss - sold below cost",IF(X277&gt;W277*0.5,"Check - more than half off","OK")))))))</f>
        <v>0</v>
      </c>
    </row>
    <row r="278" spans="1:38">
      <c r="A278" s="28">
        <f>IF(B278="","",SalePrefix&amp;TEXT(ROW()-4,"0000"))</f>
        <v>0</v>
      </c>
      <c r="E278" s="15">
        <f>IF(D278="","",IFERROR(INDEX(Clients!$B$5:$B$504,MATCH(D278,Clients!$A$5:$A$504,0)),"Walk-in"))</f>
        <v>0</v>
      </c>
      <c r="G278" s="15">
        <f>IF(F278="","",IFERROR(INDEX(Staff!$B$5:$B$44,MATCH(F278,Staff!$A$5:$A$44,0)),"House"))</f>
        <v>0</v>
      </c>
      <c r="R278" s="15">
        <f>IF(B278="","",TEXT(B278,"yyyy-mm"))</f>
        <v>0</v>
      </c>
      <c r="S278" s="25">
        <f>IF(B278="","",WEEKNUM(B278,2))</f>
        <v>0</v>
      </c>
      <c r="T278" s="37">
        <f>IF(B278="","",IF(K278="",1,K278))</f>
        <v>0</v>
      </c>
      <c r="U278" s="15">
        <f>IF(B278="","",IF(J278&lt;&gt;"",J278,IF(H278="Retail",IFERROR(INDEX(Inventory!$B$5:$B$304,MATCH(I278,Inventory!$A$5:$A$304,0))&amp;"","Not in Inventory"),IFERROR(INDEX(Services!$B$5:$B$204,MATCH(I278,Services!$A$5:$A$204,0))&amp;"","Not in Services"))))</f>
        <v>0</v>
      </c>
      <c r="V278" s="26">
        <f>IF(B278="","",IF(L278&lt;&gt;"",L278,IF(H278="Retail",IFERROR(INDEX(Inventory!$I$5:$I$304,MATCH(I278,Inventory!$A$5:$A$304,0))*1,0),IFERROR(INDEX(Services!$G$5:$G$204,MATCH(I278,Services!$A$5:$A$204,0))*1,0))))</f>
        <v>0</v>
      </c>
      <c r="W278" s="26">
        <f>IF(B278="","",ROUND(T278*V278,2))</f>
        <v>0</v>
      </c>
      <c r="X278" s="26">
        <f>IF(B278="","",ROUND(IF(M278="",0,W278*M278)+IF(N278="",0,N278),2))</f>
        <v>0</v>
      </c>
      <c r="Y278" s="26">
        <f>IF(B278="","",ROUND(W278-X278-IF(P278="",0,P278),2))</f>
        <v>0</v>
      </c>
      <c r="Z278" s="26">
        <f>IF(B278="","",IF(H278="Retail",IF(TaxOnRetail="Yes",ROUND(Y278*TaxRate,2),0),IF(H278="Service",IF(TaxOnServices="Yes",ROUND(Y278*TaxRate,2),0),0)))</f>
        <v>0</v>
      </c>
      <c r="AA278" s="26">
        <f>IF(B278="","",ROUND(Y278+Z278,2))</f>
        <v>0</v>
      </c>
      <c r="AB278" s="26">
        <f>IF(B278="","",ROUND(T278*IF(H278="Retail",IFERROR(INDEX(Inventory!$H$5:$H$304,MATCH(I278,Inventory!$A$5:$A$304,0))*1,0),IFERROR(INDEX(Services!$Q$5:$Q$204,MATCH(I278,Services!$A$5:$A$204,0))*1,0)),2))</f>
        <v>0</v>
      </c>
      <c r="AC278" s="26">
        <f>IF(B278="","",ROUND(Y278-AB278,2))</f>
        <v>0</v>
      </c>
      <c r="AD278" s="38">
        <f>IF(B278="","",IF(C278="","No",IF(COUNTIFS($C$5:C278,C278)=1,"Yes","No")))</f>
        <v>0</v>
      </c>
      <c r="AE278" s="26">
        <f>IF(B278="","",ROUND(SUMIFS(Payments!$G$5:$G$1204,Payments!$H$5:$H$1204,A278,Payments!$Q$5:$Q$1204,"Yes"),2))</f>
        <v>0</v>
      </c>
      <c r="AF278" s="26">
        <f>IF(B278="","",IF(AD278="No",0,ROUND(SUMIFS(Payments!$G$5:$G$1204,Payments!$I$5:$I$1204,C278,Payments!$H$5:$H$1204,"",Payments!$Q$5:$Q$1204,"Yes"),2)))</f>
        <v>0</v>
      </c>
      <c r="AG278" s="26">
        <f>IF(B278="","",ROUND(AE278+AF278,2))</f>
        <v>0</v>
      </c>
      <c r="AH278" s="26">
        <f>IF(B278="","",ROUND(AA278-AG278,2))</f>
        <v>0</v>
      </c>
      <c r="AI278" s="39">
        <f>IF(B278="","",IF(AA278&lt;=0,"No charge",IF(AH278&lt;=0.004,"Paid",IF(AG278&lt;=0.004,"Unpaid","Part paid"))))</f>
        <v>0</v>
      </c>
      <c r="AJ278" s="38">
        <f>IF(B278="","",IF(H278&lt;&gt;"Service","",IF(D278="","No",IF(COUNTIFS($D$5:$D$1204,D278,$B$5:$B$1204,B278,$H$5:$H$1204,"Retail")&gt;0,"Yes","No"))))</f>
        <v>0</v>
      </c>
      <c r="AK278" s="25">
        <f>IF(B278="","",COUNTIFS($Y$5:$Y$1204,"&gt;"&amp;Y278)+COUNTIFS($Y$5:Y278,Y278))</f>
        <v>0</v>
      </c>
      <c r="AL278" s="39">
        <f>IF(B278="","",IF(H278="","Add - what kind of sale is this?",IF(IF(V278&lt;=0,P278="",FALSE),"Check - no price found for this item",IF(F278="","Assign - nobody credited",IF(AH278&gt;0.004,"Unpaid - balance outstanding",IF(AC278&lt;0,"Loss - sold below cost",IF(X278&gt;W278*0.5,"Check - more than half off","OK")))))))</f>
        <v>0</v>
      </c>
    </row>
    <row r="279" spans="1:38">
      <c r="A279" s="28">
        <f>IF(B279="","",SalePrefix&amp;TEXT(ROW()-4,"0000"))</f>
        <v>0</v>
      </c>
      <c r="E279" s="15">
        <f>IF(D279="","",IFERROR(INDEX(Clients!$B$5:$B$504,MATCH(D279,Clients!$A$5:$A$504,0)),"Walk-in"))</f>
        <v>0</v>
      </c>
      <c r="G279" s="15">
        <f>IF(F279="","",IFERROR(INDEX(Staff!$B$5:$B$44,MATCH(F279,Staff!$A$5:$A$44,0)),"House"))</f>
        <v>0</v>
      </c>
      <c r="R279" s="15">
        <f>IF(B279="","",TEXT(B279,"yyyy-mm"))</f>
        <v>0</v>
      </c>
      <c r="S279" s="25">
        <f>IF(B279="","",WEEKNUM(B279,2))</f>
        <v>0</v>
      </c>
      <c r="T279" s="37">
        <f>IF(B279="","",IF(K279="",1,K279))</f>
        <v>0</v>
      </c>
      <c r="U279" s="15">
        <f>IF(B279="","",IF(J279&lt;&gt;"",J279,IF(H279="Retail",IFERROR(INDEX(Inventory!$B$5:$B$304,MATCH(I279,Inventory!$A$5:$A$304,0))&amp;"","Not in Inventory"),IFERROR(INDEX(Services!$B$5:$B$204,MATCH(I279,Services!$A$5:$A$204,0))&amp;"","Not in Services"))))</f>
        <v>0</v>
      </c>
      <c r="V279" s="26">
        <f>IF(B279="","",IF(L279&lt;&gt;"",L279,IF(H279="Retail",IFERROR(INDEX(Inventory!$I$5:$I$304,MATCH(I279,Inventory!$A$5:$A$304,0))*1,0),IFERROR(INDEX(Services!$G$5:$G$204,MATCH(I279,Services!$A$5:$A$204,0))*1,0))))</f>
        <v>0</v>
      </c>
      <c r="W279" s="26">
        <f>IF(B279="","",ROUND(T279*V279,2))</f>
        <v>0</v>
      </c>
      <c r="X279" s="26">
        <f>IF(B279="","",ROUND(IF(M279="",0,W279*M279)+IF(N279="",0,N279),2))</f>
        <v>0</v>
      </c>
      <c r="Y279" s="26">
        <f>IF(B279="","",ROUND(W279-X279-IF(P279="",0,P279),2))</f>
        <v>0</v>
      </c>
      <c r="Z279" s="26">
        <f>IF(B279="","",IF(H279="Retail",IF(TaxOnRetail="Yes",ROUND(Y279*TaxRate,2),0),IF(H279="Service",IF(TaxOnServices="Yes",ROUND(Y279*TaxRate,2),0),0)))</f>
        <v>0</v>
      </c>
      <c r="AA279" s="26">
        <f>IF(B279="","",ROUND(Y279+Z279,2))</f>
        <v>0</v>
      </c>
      <c r="AB279" s="26">
        <f>IF(B279="","",ROUND(T279*IF(H279="Retail",IFERROR(INDEX(Inventory!$H$5:$H$304,MATCH(I279,Inventory!$A$5:$A$304,0))*1,0),IFERROR(INDEX(Services!$Q$5:$Q$204,MATCH(I279,Services!$A$5:$A$204,0))*1,0)),2))</f>
        <v>0</v>
      </c>
      <c r="AC279" s="26">
        <f>IF(B279="","",ROUND(Y279-AB279,2))</f>
        <v>0</v>
      </c>
      <c r="AD279" s="38">
        <f>IF(B279="","",IF(C279="","No",IF(COUNTIFS($C$5:C279,C279)=1,"Yes","No")))</f>
        <v>0</v>
      </c>
      <c r="AE279" s="26">
        <f>IF(B279="","",ROUND(SUMIFS(Payments!$G$5:$G$1204,Payments!$H$5:$H$1204,A279,Payments!$Q$5:$Q$1204,"Yes"),2))</f>
        <v>0</v>
      </c>
      <c r="AF279" s="26">
        <f>IF(B279="","",IF(AD279="No",0,ROUND(SUMIFS(Payments!$G$5:$G$1204,Payments!$I$5:$I$1204,C279,Payments!$H$5:$H$1204,"",Payments!$Q$5:$Q$1204,"Yes"),2)))</f>
        <v>0</v>
      </c>
      <c r="AG279" s="26">
        <f>IF(B279="","",ROUND(AE279+AF279,2))</f>
        <v>0</v>
      </c>
      <c r="AH279" s="26">
        <f>IF(B279="","",ROUND(AA279-AG279,2))</f>
        <v>0</v>
      </c>
      <c r="AI279" s="39">
        <f>IF(B279="","",IF(AA279&lt;=0,"No charge",IF(AH279&lt;=0.004,"Paid",IF(AG279&lt;=0.004,"Unpaid","Part paid"))))</f>
        <v>0</v>
      </c>
      <c r="AJ279" s="38">
        <f>IF(B279="","",IF(H279&lt;&gt;"Service","",IF(D279="","No",IF(COUNTIFS($D$5:$D$1204,D279,$B$5:$B$1204,B279,$H$5:$H$1204,"Retail")&gt;0,"Yes","No"))))</f>
        <v>0</v>
      </c>
      <c r="AK279" s="25">
        <f>IF(B279="","",COUNTIFS($Y$5:$Y$1204,"&gt;"&amp;Y279)+COUNTIFS($Y$5:Y279,Y279))</f>
        <v>0</v>
      </c>
      <c r="AL279" s="39">
        <f>IF(B279="","",IF(H279="","Add - what kind of sale is this?",IF(IF(V279&lt;=0,P279="",FALSE),"Check - no price found for this item",IF(F279="","Assign - nobody credited",IF(AH279&gt;0.004,"Unpaid - balance outstanding",IF(AC279&lt;0,"Loss - sold below cost",IF(X279&gt;W279*0.5,"Check - more than half off","OK")))))))</f>
        <v>0</v>
      </c>
    </row>
    <row r="280" spans="1:38">
      <c r="A280" s="28">
        <f>IF(B280="","",SalePrefix&amp;TEXT(ROW()-4,"0000"))</f>
        <v>0</v>
      </c>
      <c r="E280" s="15">
        <f>IF(D280="","",IFERROR(INDEX(Clients!$B$5:$B$504,MATCH(D280,Clients!$A$5:$A$504,0)),"Walk-in"))</f>
        <v>0</v>
      </c>
      <c r="G280" s="15">
        <f>IF(F280="","",IFERROR(INDEX(Staff!$B$5:$B$44,MATCH(F280,Staff!$A$5:$A$44,0)),"House"))</f>
        <v>0</v>
      </c>
      <c r="R280" s="15">
        <f>IF(B280="","",TEXT(B280,"yyyy-mm"))</f>
        <v>0</v>
      </c>
      <c r="S280" s="25">
        <f>IF(B280="","",WEEKNUM(B280,2))</f>
        <v>0</v>
      </c>
      <c r="T280" s="37">
        <f>IF(B280="","",IF(K280="",1,K280))</f>
        <v>0</v>
      </c>
      <c r="U280" s="15">
        <f>IF(B280="","",IF(J280&lt;&gt;"",J280,IF(H280="Retail",IFERROR(INDEX(Inventory!$B$5:$B$304,MATCH(I280,Inventory!$A$5:$A$304,0))&amp;"","Not in Inventory"),IFERROR(INDEX(Services!$B$5:$B$204,MATCH(I280,Services!$A$5:$A$204,0))&amp;"","Not in Services"))))</f>
        <v>0</v>
      </c>
      <c r="V280" s="26">
        <f>IF(B280="","",IF(L280&lt;&gt;"",L280,IF(H280="Retail",IFERROR(INDEX(Inventory!$I$5:$I$304,MATCH(I280,Inventory!$A$5:$A$304,0))*1,0),IFERROR(INDEX(Services!$G$5:$G$204,MATCH(I280,Services!$A$5:$A$204,0))*1,0))))</f>
        <v>0</v>
      </c>
      <c r="W280" s="26">
        <f>IF(B280="","",ROUND(T280*V280,2))</f>
        <v>0</v>
      </c>
      <c r="X280" s="26">
        <f>IF(B280="","",ROUND(IF(M280="",0,W280*M280)+IF(N280="",0,N280),2))</f>
        <v>0</v>
      </c>
      <c r="Y280" s="26">
        <f>IF(B280="","",ROUND(W280-X280-IF(P280="",0,P280),2))</f>
        <v>0</v>
      </c>
      <c r="Z280" s="26">
        <f>IF(B280="","",IF(H280="Retail",IF(TaxOnRetail="Yes",ROUND(Y280*TaxRate,2),0),IF(H280="Service",IF(TaxOnServices="Yes",ROUND(Y280*TaxRate,2),0),0)))</f>
        <v>0</v>
      </c>
      <c r="AA280" s="26">
        <f>IF(B280="","",ROUND(Y280+Z280,2))</f>
        <v>0</v>
      </c>
      <c r="AB280" s="26">
        <f>IF(B280="","",ROUND(T280*IF(H280="Retail",IFERROR(INDEX(Inventory!$H$5:$H$304,MATCH(I280,Inventory!$A$5:$A$304,0))*1,0),IFERROR(INDEX(Services!$Q$5:$Q$204,MATCH(I280,Services!$A$5:$A$204,0))*1,0)),2))</f>
        <v>0</v>
      </c>
      <c r="AC280" s="26">
        <f>IF(B280="","",ROUND(Y280-AB280,2))</f>
        <v>0</v>
      </c>
      <c r="AD280" s="38">
        <f>IF(B280="","",IF(C280="","No",IF(COUNTIFS($C$5:C280,C280)=1,"Yes","No")))</f>
        <v>0</v>
      </c>
      <c r="AE280" s="26">
        <f>IF(B280="","",ROUND(SUMIFS(Payments!$G$5:$G$1204,Payments!$H$5:$H$1204,A280,Payments!$Q$5:$Q$1204,"Yes"),2))</f>
        <v>0</v>
      </c>
      <c r="AF280" s="26">
        <f>IF(B280="","",IF(AD280="No",0,ROUND(SUMIFS(Payments!$G$5:$G$1204,Payments!$I$5:$I$1204,C280,Payments!$H$5:$H$1204,"",Payments!$Q$5:$Q$1204,"Yes"),2)))</f>
        <v>0</v>
      </c>
      <c r="AG280" s="26">
        <f>IF(B280="","",ROUND(AE280+AF280,2))</f>
        <v>0</v>
      </c>
      <c r="AH280" s="26">
        <f>IF(B280="","",ROUND(AA280-AG280,2))</f>
        <v>0</v>
      </c>
      <c r="AI280" s="39">
        <f>IF(B280="","",IF(AA280&lt;=0,"No charge",IF(AH280&lt;=0.004,"Paid",IF(AG280&lt;=0.004,"Unpaid","Part paid"))))</f>
        <v>0</v>
      </c>
      <c r="AJ280" s="38">
        <f>IF(B280="","",IF(H280&lt;&gt;"Service","",IF(D280="","No",IF(COUNTIFS($D$5:$D$1204,D280,$B$5:$B$1204,B280,$H$5:$H$1204,"Retail")&gt;0,"Yes","No"))))</f>
        <v>0</v>
      </c>
      <c r="AK280" s="25">
        <f>IF(B280="","",COUNTIFS($Y$5:$Y$1204,"&gt;"&amp;Y280)+COUNTIFS($Y$5:Y280,Y280))</f>
        <v>0</v>
      </c>
      <c r="AL280" s="39">
        <f>IF(B280="","",IF(H280="","Add - what kind of sale is this?",IF(IF(V280&lt;=0,P280="",FALSE),"Check - no price found for this item",IF(F280="","Assign - nobody credited",IF(AH280&gt;0.004,"Unpaid - balance outstanding",IF(AC280&lt;0,"Loss - sold below cost",IF(X280&gt;W280*0.5,"Check - more than half off","OK")))))))</f>
        <v>0</v>
      </c>
    </row>
    <row r="281" spans="1:38">
      <c r="A281" s="28">
        <f>IF(B281="","",SalePrefix&amp;TEXT(ROW()-4,"0000"))</f>
        <v>0</v>
      </c>
      <c r="E281" s="15">
        <f>IF(D281="","",IFERROR(INDEX(Clients!$B$5:$B$504,MATCH(D281,Clients!$A$5:$A$504,0)),"Walk-in"))</f>
        <v>0</v>
      </c>
      <c r="G281" s="15">
        <f>IF(F281="","",IFERROR(INDEX(Staff!$B$5:$B$44,MATCH(F281,Staff!$A$5:$A$44,0)),"House"))</f>
        <v>0</v>
      </c>
      <c r="R281" s="15">
        <f>IF(B281="","",TEXT(B281,"yyyy-mm"))</f>
        <v>0</v>
      </c>
      <c r="S281" s="25">
        <f>IF(B281="","",WEEKNUM(B281,2))</f>
        <v>0</v>
      </c>
      <c r="T281" s="37">
        <f>IF(B281="","",IF(K281="",1,K281))</f>
        <v>0</v>
      </c>
      <c r="U281" s="15">
        <f>IF(B281="","",IF(J281&lt;&gt;"",J281,IF(H281="Retail",IFERROR(INDEX(Inventory!$B$5:$B$304,MATCH(I281,Inventory!$A$5:$A$304,0))&amp;"","Not in Inventory"),IFERROR(INDEX(Services!$B$5:$B$204,MATCH(I281,Services!$A$5:$A$204,0))&amp;"","Not in Services"))))</f>
        <v>0</v>
      </c>
      <c r="V281" s="26">
        <f>IF(B281="","",IF(L281&lt;&gt;"",L281,IF(H281="Retail",IFERROR(INDEX(Inventory!$I$5:$I$304,MATCH(I281,Inventory!$A$5:$A$304,0))*1,0),IFERROR(INDEX(Services!$G$5:$G$204,MATCH(I281,Services!$A$5:$A$204,0))*1,0))))</f>
        <v>0</v>
      </c>
      <c r="W281" s="26">
        <f>IF(B281="","",ROUND(T281*V281,2))</f>
        <v>0</v>
      </c>
      <c r="X281" s="26">
        <f>IF(B281="","",ROUND(IF(M281="",0,W281*M281)+IF(N281="",0,N281),2))</f>
        <v>0</v>
      </c>
      <c r="Y281" s="26">
        <f>IF(B281="","",ROUND(W281-X281-IF(P281="",0,P281),2))</f>
        <v>0</v>
      </c>
      <c r="Z281" s="26">
        <f>IF(B281="","",IF(H281="Retail",IF(TaxOnRetail="Yes",ROUND(Y281*TaxRate,2),0),IF(H281="Service",IF(TaxOnServices="Yes",ROUND(Y281*TaxRate,2),0),0)))</f>
        <v>0</v>
      </c>
      <c r="AA281" s="26">
        <f>IF(B281="","",ROUND(Y281+Z281,2))</f>
        <v>0</v>
      </c>
      <c r="AB281" s="26">
        <f>IF(B281="","",ROUND(T281*IF(H281="Retail",IFERROR(INDEX(Inventory!$H$5:$H$304,MATCH(I281,Inventory!$A$5:$A$304,0))*1,0),IFERROR(INDEX(Services!$Q$5:$Q$204,MATCH(I281,Services!$A$5:$A$204,0))*1,0)),2))</f>
        <v>0</v>
      </c>
      <c r="AC281" s="26">
        <f>IF(B281="","",ROUND(Y281-AB281,2))</f>
        <v>0</v>
      </c>
      <c r="AD281" s="38">
        <f>IF(B281="","",IF(C281="","No",IF(COUNTIFS($C$5:C281,C281)=1,"Yes","No")))</f>
        <v>0</v>
      </c>
      <c r="AE281" s="26">
        <f>IF(B281="","",ROUND(SUMIFS(Payments!$G$5:$G$1204,Payments!$H$5:$H$1204,A281,Payments!$Q$5:$Q$1204,"Yes"),2))</f>
        <v>0</v>
      </c>
      <c r="AF281" s="26">
        <f>IF(B281="","",IF(AD281="No",0,ROUND(SUMIFS(Payments!$G$5:$G$1204,Payments!$I$5:$I$1204,C281,Payments!$H$5:$H$1204,"",Payments!$Q$5:$Q$1204,"Yes"),2)))</f>
        <v>0</v>
      </c>
      <c r="AG281" s="26">
        <f>IF(B281="","",ROUND(AE281+AF281,2))</f>
        <v>0</v>
      </c>
      <c r="AH281" s="26">
        <f>IF(B281="","",ROUND(AA281-AG281,2))</f>
        <v>0</v>
      </c>
      <c r="AI281" s="39">
        <f>IF(B281="","",IF(AA281&lt;=0,"No charge",IF(AH281&lt;=0.004,"Paid",IF(AG281&lt;=0.004,"Unpaid","Part paid"))))</f>
        <v>0</v>
      </c>
      <c r="AJ281" s="38">
        <f>IF(B281="","",IF(H281&lt;&gt;"Service","",IF(D281="","No",IF(COUNTIFS($D$5:$D$1204,D281,$B$5:$B$1204,B281,$H$5:$H$1204,"Retail")&gt;0,"Yes","No"))))</f>
        <v>0</v>
      </c>
      <c r="AK281" s="25">
        <f>IF(B281="","",COUNTIFS($Y$5:$Y$1204,"&gt;"&amp;Y281)+COUNTIFS($Y$5:Y281,Y281))</f>
        <v>0</v>
      </c>
      <c r="AL281" s="39">
        <f>IF(B281="","",IF(H281="","Add - what kind of sale is this?",IF(IF(V281&lt;=0,P281="",FALSE),"Check - no price found for this item",IF(F281="","Assign - nobody credited",IF(AH281&gt;0.004,"Unpaid - balance outstanding",IF(AC281&lt;0,"Loss - sold below cost",IF(X281&gt;W281*0.5,"Check - more than half off","OK")))))))</f>
        <v>0</v>
      </c>
    </row>
    <row r="282" spans="1:38">
      <c r="A282" s="28">
        <f>IF(B282="","",SalePrefix&amp;TEXT(ROW()-4,"0000"))</f>
        <v>0</v>
      </c>
      <c r="E282" s="15">
        <f>IF(D282="","",IFERROR(INDEX(Clients!$B$5:$B$504,MATCH(D282,Clients!$A$5:$A$504,0)),"Walk-in"))</f>
        <v>0</v>
      </c>
      <c r="G282" s="15">
        <f>IF(F282="","",IFERROR(INDEX(Staff!$B$5:$B$44,MATCH(F282,Staff!$A$5:$A$44,0)),"House"))</f>
        <v>0</v>
      </c>
      <c r="R282" s="15">
        <f>IF(B282="","",TEXT(B282,"yyyy-mm"))</f>
        <v>0</v>
      </c>
      <c r="S282" s="25">
        <f>IF(B282="","",WEEKNUM(B282,2))</f>
        <v>0</v>
      </c>
      <c r="T282" s="37">
        <f>IF(B282="","",IF(K282="",1,K282))</f>
        <v>0</v>
      </c>
      <c r="U282" s="15">
        <f>IF(B282="","",IF(J282&lt;&gt;"",J282,IF(H282="Retail",IFERROR(INDEX(Inventory!$B$5:$B$304,MATCH(I282,Inventory!$A$5:$A$304,0))&amp;"","Not in Inventory"),IFERROR(INDEX(Services!$B$5:$B$204,MATCH(I282,Services!$A$5:$A$204,0))&amp;"","Not in Services"))))</f>
        <v>0</v>
      </c>
      <c r="V282" s="26">
        <f>IF(B282="","",IF(L282&lt;&gt;"",L282,IF(H282="Retail",IFERROR(INDEX(Inventory!$I$5:$I$304,MATCH(I282,Inventory!$A$5:$A$304,0))*1,0),IFERROR(INDEX(Services!$G$5:$G$204,MATCH(I282,Services!$A$5:$A$204,0))*1,0))))</f>
        <v>0</v>
      </c>
      <c r="W282" s="26">
        <f>IF(B282="","",ROUND(T282*V282,2))</f>
        <v>0</v>
      </c>
      <c r="X282" s="26">
        <f>IF(B282="","",ROUND(IF(M282="",0,W282*M282)+IF(N282="",0,N282),2))</f>
        <v>0</v>
      </c>
      <c r="Y282" s="26">
        <f>IF(B282="","",ROUND(W282-X282-IF(P282="",0,P282),2))</f>
        <v>0</v>
      </c>
      <c r="Z282" s="26">
        <f>IF(B282="","",IF(H282="Retail",IF(TaxOnRetail="Yes",ROUND(Y282*TaxRate,2),0),IF(H282="Service",IF(TaxOnServices="Yes",ROUND(Y282*TaxRate,2),0),0)))</f>
        <v>0</v>
      </c>
      <c r="AA282" s="26">
        <f>IF(B282="","",ROUND(Y282+Z282,2))</f>
        <v>0</v>
      </c>
      <c r="AB282" s="26">
        <f>IF(B282="","",ROUND(T282*IF(H282="Retail",IFERROR(INDEX(Inventory!$H$5:$H$304,MATCH(I282,Inventory!$A$5:$A$304,0))*1,0),IFERROR(INDEX(Services!$Q$5:$Q$204,MATCH(I282,Services!$A$5:$A$204,0))*1,0)),2))</f>
        <v>0</v>
      </c>
      <c r="AC282" s="26">
        <f>IF(B282="","",ROUND(Y282-AB282,2))</f>
        <v>0</v>
      </c>
      <c r="AD282" s="38">
        <f>IF(B282="","",IF(C282="","No",IF(COUNTIFS($C$5:C282,C282)=1,"Yes","No")))</f>
        <v>0</v>
      </c>
      <c r="AE282" s="26">
        <f>IF(B282="","",ROUND(SUMIFS(Payments!$G$5:$G$1204,Payments!$H$5:$H$1204,A282,Payments!$Q$5:$Q$1204,"Yes"),2))</f>
        <v>0</v>
      </c>
      <c r="AF282" s="26">
        <f>IF(B282="","",IF(AD282="No",0,ROUND(SUMIFS(Payments!$G$5:$G$1204,Payments!$I$5:$I$1204,C282,Payments!$H$5:$H$1204,"",Payments!$Q$5:$Q$1204,"Yes"),2)))</f>
        <v>0</v>
      </c>
      <c r="AG282" s="26">
        <f>IF(B282="","",ROUND(AE282+AF282,2))</f>
        <v>0</v>
      </c>
      <c r="AH282" s="26">
        <f>IF(B282="","",ROUND(AA282-AG282,2))</f>
        <v>0</v>
      </c>
      <c r="AI282" s="39">
        <f>IF(B282="","",IF(AA282&lt;=0,"No charge",IF(AH282&lt;=0.004,"Paid",IF(AG282&lt;=0.004,"Unpaid","Part paid"))))</f>
        <v>0</v>
      </c>
      <c r="AJ282" s="38">
        <f>IF(B282="","",IF(H282&lt;&gt;"Service","",IF(D282="","No",IF(COUNTIFS($D$5:$D$1204,D282,$B$5:$B$1204,B282,$H$5:$H$1204,"Retail")&gt;0,"Yes","No"))))</f>
        <v>0</v>
      </c>
      <c r="AK282" s="25">
        <f>IF(B282="","",COUNTIFS($Y$5:$Y$1204,"&gt;"&amp;Y282)+COUNTIFS($Y$5:Y282,Y282))</f>
        <v>0</v>
      </c>
      <c r="AL282" s="39">
        <f>IF(B282="","",IF(H282="","Add - what kind of sale is this?",IF(IF(V282&lt;=0,P282="",FALSE),"Check - no price found for this item",IF(F282="","Assign - nobody credited",IF(AH282&gt;0.004,"Unpaid - balance outstanding",IF(AC282&lt;0,"Loss - sold below cost",IF(X282&gt;W282*0.5,"Check - more than half off","OK")))))))</f>
        <v>0</v>
      </c>
    </row>
    <row r="283" spans="1:38">
      <c r="A283" s="28">
        <f>IF(B283="","",SalePrefix&amp;TEXT(ROW()-4,"0000"))</f>
        <v>0</v>
      </c>
      <c r="E283" s="15">
        <f>IF(D283="","",IFERROR(INDEX(Clients!$B$5:$B$504,MATCH(D283,Clients!$A$5:$A$504,0)),"Walk-in"))</f>
        <v>0</v>
      </c>
      <c r="G283" s="15">
        <f>IF(F283="","",IFERROR(INDEX(Staff!$B$5:$B$44,MATCH(F283,Staff!$A$5:$A$44,0)),"House"))</f>
        <v>0</v>
      </c>
      <c r="R283" s="15">
        <f>IF(B283="","",TEXT(B283,"yyyy-mm"))</f>
        <v>0</v>
      </c>
      <c r="S283" s="25">
        <f>IF(B283="","",WEEKNUM(B283,2))</f>
        <v>0</v>
      </c>
      <c r="T283" s="37">
        <f>IF(B283="","",IF(K283="",1,K283))</f>
        <v>0</v>
      </c>
      <c r="U283" s="15">
        <f>IF(B283="","",IF(J283&lt;&gt;"",J283,IF(H283="Retail",IFERROR(INDEX(Inventory!$B$5:$B$304,MATCH(I283,Inventory!$A$5:$A$304,0))&amp;"","Not in Inventory"),IFERROR(INDEX(Services!$B$5:$B$204,MATCH(I283,Services!$A$5:$A$204,0))&amp;"","Not in Services"))))</f>
        <v>0</v>
      </c>
      <c r="V283" s="26">
        <f>IF(B283="","",IF(L283&lt;&gt;"",L283,IF(H283="Retail",IFERROR(INDEX(Inventory!$I$5:$I$304,MATCH(I283,Inventory!$A$5:$A$304,0))*1,0),IFERROR(INDEX(Services!$G$5:$G$204,MATCH(I283,Services!$A$5:$A$204,0))*1,0))))</f>
        <v>0</v>
      </c>
      <c r="W283" s="26">
        <f>IF(B283="","",ROUND(T283*V283,2))</f>
        <v>0</v>
      </c>
      <c r="X283" s="26">
        <f>IF(B283="","",ROUND(IF(M283="",0,W283*M283)+IF(N283="",0,N283),2))</f>
        <v>0</v>
      </c>
      <c r="Y283" s="26">
        <f>IF(B283="","",ROUND(W283-X283-IF(P283="",0,P283),2))</f>
        <v>0</v>
      </c>
      <c r="Z283" s="26">
        <f>IF(B283="","",IF(H283="Retail",IF(TaxOnRetail="Yes",ROUND(Y283*TaxRate,2),0),IF(H283="Service",IF(TaxOnServices="Yes",ROUND(Y283*TaxRate,2),0),0)))</f>
        <v>0</v>
      </c>
      <c r="AA283" s="26">
        <f>IF(B283="","",ROUND(Y283+Z283,2))</f>
        <v>0</v>
      </c>
      <c r="AB283" s="26">
        <f>IF(B283="","",ROUND(T283*IF(H283="Retail",IFERROR(INDEX(Inventory!$H$5:$H$304,MATCH(I283,Inventory!$A$5:$A$304,0))*1,0),IFERROR(INDEX(Services!$Q$5:$Q$204,MATCH(I283,Services!$A$5:$A$204,0))*1,0)),2))</f>
        <v>0</v>
      </c>
      <c r="AC283" s="26">
        <f>IF(B283="","",ROUND(Y283-AB283,2))</f>
        <v>0</v>
      </c>
      <c r="AD283" s="38">
        <f>IF(B283="","",IF(C283="","No",IF(COUNTIFS($C$5:C283,C283)=1,"Yes","No")))</f>
        <v>0</v>
      </c>
      <c r="AE283" s="26">
        <f>IF(B283="","",ROUND(SUMIFS(Payments!$G$5:$G$1204,Payments!$H$5:$H$1204,A283,Payments!$Q$5:$Q$1204,"Yes"),2))</f>
        <v>0</v>
      </c>
      <c r="AF283" s="26">
        <f>IF(B283="","",IF(AD283="No",0,ROUND(SUMIFS(Payments!$G$5:$G$1204,Payments!$I$5:$I$1204,C283,Payments!$H$5:$H$1204,"",Payments!$Q$5:$Q$1204,"Yes"),2)))</f>
        <v>0</v>
      </c>
      <c r="AG283" s="26">
        <f>IF(B283="","",ROUND(AE283+AF283,2))</f>
        <v>0</v>
      </c>
      <c r="AH283" s="26">
        <f>IF(B283="","",ROUND(AA283-AG283,2))</f>
        <v>0</v>
      </c>
      <c r="AI283" s="39">
        <f>IF(B283="","",IF(AA283&lt;=0,"No charge",IF(AH283&lt;=0.004,"Paid",IF(AG283&lt;=0.004,"Unpaid","Part paid"))))</f>
        <v>0</v>
      </c>
      <c r="AJ283" s="38">
        <f>IF(B283="","",IF(H283&lt;&gt;"Service","",IF(D283="","No",IF(COUNTIFS($D$5:$D$1204,D283,$B$5:$B$1204,B283,$H$5:$H$1204,"Retail")&gt;0,"Yes","No"))))</f>
        <v>0</v>
      </c>
      <c r="AK283" s="25">
        <f>IF(B283="","",COUNTIFS($Y$5:$Y$1204,"&gt;"&amp;Y283)+COUNTIFS($Y$5:Y283,Y283))</f>
        <v>0</v>
      </c>
      <c r="AL283" s="39">
        <f>IF(B283="","",IF(H283="","Add - what kind of sale is this?",IF(IF(V283&lt;=0,P283="",FALSE),"Check - no price found for this item",IF(F283="","Assign - nobody credited",IF(AH283&gt;0.004,"Unpaid - balance outstanding",IF(AC283&lt;0,"Loss - sold below cost",IF(X283&gt;W283*0.5,"Check - more than half off","OK")))))))</f>
        <v>0</v>
      </c>
    </row>
    <row r="284" spans="1:38">
      <c r="A284" s="28">
        <f>IF(B284="","",SalePrefix&amp;TEXT(ROW()-4,"0000"))</f>
        <v>0</v>
      </c>
      <c r="E284" s="15">
        <f>IF(D284="","",IFERROR(INDEX(Clients!$B$5:$B$504,MATCH(D284,Clients!$A$5:$A$504,0)),"Walk-in"))</f>
        <v>0</v>
      </c>
      <c r="G284" s="15">
        <f>IF(F284="","",IFERROR(INDEX(Staff!$B$5:$B$44,MATCH(F284,Staff!$A$5:$A$44,0)),"House"))</f>
        <v>0</v>
      </c>
      <c r="R284" s="15">
        <f>IF(B284="","",TEXT(B284,"yyyy-mm"))</f>
        <v>0</v>
      </c>
      <c r="S284" s="25">
        <f>IF(B284="","",WEEKNUM(B284,2))</f>
        <v>0</v>
      </c>
      <c r="T284" s="37">
        <f>IF(B284="","",IF(K284="",1,K284))</f>
        <v>0</v>
      </c>
      <c r="U284" s="15">
        <f>IF(B284="","",IF(J284&lt;&gt;"",J284,IF(H284="Retail",IFERROR(INDEX(Inventory!$B$5:$B$304,MATCH(I284,Inventory!$A$5:$A$304,0))&amp;"","Not in Inventory"),IFERROR(INDEX(Services!$B$5:$B$204,MATCH(I284,Services!$A$5:$A$204,0))&amp;"","Not in Services"))))</f>
        <v>0</v>
      </c>
      <c r="V284" s="26">
        <f>IF(B284="","",IF(L284&lt;&gt;"",L284,IF(H284="Retail",IFERROR(INDEX(Inventory!$I$5:$I$304,MATCH(I284,Inventory!$A$5:$A$304,0))*1,0),IFERROR(INDEX(Services!$G$5:$G$204,MATCH(I284,Services!$A$5:$A$204,0))*1,0))))</f>
        <v>0</v>
      </c>
      <c r="W284" s="26">
        <f>IF(B284="","",ROUND(T284*V284,2))</f>
        <v>0</v>
      </c>
      <c r="X284" s="26">
        <f>IF(B284="","",ROUND(IF(M284="",0,W284*M284)+IF(N284="",0,N284),2))</f>
        <v>0</v>
      </c>
      <c r="Y284" s="26">
        <f>IF(B284="","",ROUND(W284-X284-IF(P284="",0,P284),2))</f>
        <v>0</v>
      </c>
      <c r="Z284" s="26">
        <f>IF(B284="","",IF(H284="Retail",IF(TaxOnRetail="Yes",ROUND(Y284*TaxRate,2),0),IF(H284="Service",IF(TaxOnServices="Yes",ROUND(Y284*TaxRate,2),0),0)))</f>
        <v>0</v>
      </c>
      <c r="AA284" s="26">
        <f>IF(B284="","",ROUND(Y284+Z284,2))</f>
        <v>0</v>
      </c>
      <c r="AB284" s="26">
        <f>IF(B284="","",ROUND(T284*IF(H284="Retail",IFERROR(INDEX(Inventory!$H$5:$H$304,MATCH(I284,Inventory!$A$5:$A$304,0))*1,0),IFERROR(INDEX(Services!$Q$5:$Q$204,MATCH(I284,Services!$A$5:$A$204,0))*1,0)),2))</f>
        <v>0</v>
      </c>
      <c r="AC284" s="26">
        <f>IF(B284="","",ROUND(Y284-AB284,2))</f>
        <v>0</v>
      </c>
      <c r="AD284" s="38">
        <f>IF(B284="","",IF(C284="","No",IF(COUNTIFS($C$5:C284,C284)=1,"Yes","No")))</f>
        <v>0</v>
      </c>
      <c r="AE284" s="26">
        <f>IF(B284="","",ROUND(SUMIFS(Payments!$G$5:$G$1204,Payments!$H$5:$H$1204,A284,Payments!$Q$5:$Q$1204,"Yes"),2))</f>
        <v>0</v>
      </c>
      <c r="AF284" s="26">
        <f>IF(B284="","",IF(AD284="No",0,ROUND(SUMIFS(Payments!$G$5:$G$1204,Payments!$I$5:$I$1204,C284,Payments!$H$5:$H$1204,"",Payments!$Q$5:$Q$1204,"Yes"),2)))</f>
        <v>0</v>
      </c>
      <c r="AG284" s="26">
        <f>IF(B284="","",ROUND(AE284+AF284,2))</f>
        <v>0</v>
      </c>
      <c r="AH284" s="26">
        <f>IF(B284="","",ROUND(AA284-AG284,2))</f>
        <v>0</v>
      </c>
      <c r="AI284" s="39">
        <f>IF(B284="","",IF(AA284&lt;=0,"No charge",IF(AH284&lt;=0.004,"Paid",IF(AG284&lt;=0.004,"Unpaid","Part paid"))))</f>
        <v>0</v>
      </c>
      <c r="AJ284" s="38">
        <f>IF(B284="","",IF(H284&lt;&gt;"Service","",IF(D284="","No",IF(COUNTIFS($D$5:$D$1204,D284,$B$5:$B$1204,B284,$H$5:$H$1204,"Retail")&gt;0,"Yes","No"))))</f>
        <v>0</v>
      </c>
      <c r="AK284" s="25">
        <f>IF(B284="","",COUNTIFS($Y$5:$Y$1204,"&gt;"&amp;Y284)+COUNTIFS($Y$5:Y284,Y284))</f>
        <v>0</v>
      </c>
      <c r="AL284" s="39">
        <f>IF(B284="","",IF(H284="","Add - what kind of sale is this?",IF(IF(V284&lt;=0,P284="",FALSE),"Check - no price found for this item",IF(F284="","Assign - nobody credited",IF(AH284&gt;0.004,"Unpaid - balance outstanding",IF(AC284&lt;0,"Loss - sold below cost",IF(X284&gt;W284*0.5,"Check - more than half off","OK")))))))</f>
        <v>0</v>
      </c>
    </row>
    <row r="285" spans="1:38">
      <c r="A285" s="28">
        <f>IF(B285="","",SalePrefix&amp;TEXT(ROW()-4,"0000"))</f>
        <v>0</v>
      </c>
      <c r="E285" s="15">
        <f>IF(D285="","",IFERROR(INDEX(Clients!$B$5:$B$504,MATCH(D285,Clients!$A$5:$A$504,0)),"Walk-in"))</f>
        <v>0</v>
      </c>
      <c r="G285" s="15">
        <f>IF(F285="","",IFERROR(INDEX(Staff!$B$5:$B$44,MATCH(F285,Staff!$A$5:$A$44,0)),"House"))</f>
        <v>0</v>
      </c>
      <c r="R285" s="15">
        <f>IF(B285="","",TEXT(B285,"yyyy-mm"))</f>
        <v>0</v>
      </c>
      <c r="S285" s="25">
        <f>IF(B285="","",WEEKNUM(B285,2))</f>
        <v>0</v>
      </c>
      <c r="T285" s="37">
        <f>IF(B285="","",IF(K285="",1,K285))</f>
        <v>0</v>
      </c>
      <c r="U285" s="15">
        <f>IF(B285="","",IF(J285&lt;&gt;"",J285,IF(H285="Retail",IFERROR(INDEX(Inventory!$B$5:$B$304,MATCH(I285,Inventory!$A$5:$A$304,0))&amp;"","Not in Inventory"),IFERROR(INDEX(Services!$B$5:$B$204,MATCH(I285,Services!$A$5:$A$204,0))&amp;"","Not in Services"))))</f>
        <v>0</v>
      </c>
      <c r="V285" s="26">
        <f>IF(B285="","",IF(L285&lt;&gt;"",L285,IF(H285="Retail",IFERROR(INDEX(Inventory!$I$5:$I$304,MATCH(I285,Inventory!$A$5:$A$304,0))*1,0),IFERROR(INDEX(Services!$G$5:$G$204,MATCH(I285,Services!$A$5:$A$204,0))*1,0))))</f>
        <v>0</v>
      </c>
      <c r="W285" s="26">
        <f>IF(B285="","",ROUND(T285*V285,2))</f>
        <v>0</v>
      </c>
      <c r="X285" s="26">
        <f>IF(B285="","",ROUND(IF(M285="",0,W285*M285)+IF(N285="",0,N285),2))</f>
        <v>0</v>
      </c>
      <c r="Y285" s="26">
        <f>IF(B285="","",ROUND(W285-X285-IF(P285="",0,P285),2))</f>
        <v>0</v>
      </c>
      <c r="Z285" s="26">
        <f>IF(B285="","",IF(H285="Retail",IF(TaxOnRetail="Yes",ROUND(Y285*TaxRate,2),0),IF(H285="Service",IF(TaxOnServices="Yes",ROUND(Y285*TaxRate,2),0),0)))</f>
        <v>0</v>
      </c>
      <c r="AA285" s="26">
        <f>IF(B285="","",ROUND(Y285+Z285,2))</f>
        <v>0</v>
      </c>
      <c r="AB285" s="26">
        <f>IF(B285="","",ROUND(T285*IF(H285="Retail",IFERROR(INDEX(Inventory!$H$5:$H$304,MATCH(I285,Inventory!$A$5:$A$304,0))*1,0),IFERROR(INDEX(Services!$Q$5:$Q$204,MATCH(I285,Services!$A$5:$A$204,0))*1,0)),2))</f>
        <v>0</v>
      </c>
      <c r="AC285" s="26">
        <f>IF(B285="","",ROUND(Y285-AB285,2))</f>
        <v>0</v>
      </c>
      <c r="AD285" s="38">
        <f>IF(B285="","",IF(C285="","No",IF(COUNTIFS($C$5:C285,C285)=1,"Yes","No")))</f>
        <v>0</v>
      </c>
      <c r="AE285" s="26">
        <f>IF(B285="","",ROUND(SUMIFS(Payments!$G$5:$G$1204,Payments!$H$5:$H$1204,A285,Payments!$Q$5:$Q$1204,"Yes"),2))</f>
        <v>0</v>
      </c>
      <c r="AF285" s="26">
        <f>IF(B285="","",IF(AD285="No",0,ROUND(SUMIFS(Payments!$G$5:$G$1204,Payments!$I$5:$I$1204,C285,Payments!$H$5:$H$1204,"",Payments!$Q$5:$Q$1204,"Yes"),2)))</f>
        <v>0</v>
      </c>
      <c r="AG285" s="26">
        <f>IF(B285="","",ROUND(AE285+AF285,2))</f>
        <v>0</v>
      </c>
      <c r="AH285" s="26">
        <f>IF(B285="","",ROUND(AA285-AG285,2))</f>
        <v>0</v>
      </c>
      <c r="AI285" s="39">
        <f>IF(B285="","",IF(AA285&lt;=0,"No charge",IF(AH285&lt;=0.004,"Paid",IF(AG285&lt;=0.004,"Unpaid","Part paid"))))</f>
        <v>0</v>
      </c>
      <c r="AJ285" s="38">
        <f>IF(B285="","",IF(H285&lt;&gt;"Service","",IF(D285="","No",IF(COUNTIFS($D$5:$D$1204,D285,$B$5:$B$1204,B285,$H$5:$H$1204,"Retail")&gt;0,"Yes","No"))))</f>
        <v>0</v>
      </c>
      <c r="AK285" s="25">
        <f>IF(B285="","",COUNTIFS($Y$5:$Y$1204,"&gt;"&amp;Y285)+COUNTIFS($Y$5:Y285,Y285))</f>
        <v>0</v>
      </c>
      <c r="AL285" s="39">
        <f>IF(B285="","",IF(H285="","Add - what kind of sale is this?",IF(IF(V285&lt;=0,P285="",FALSE),"Check - no price found for this item",IF(F285="","Assign - nobody credited",IF(AH285&gt;0.004,"Unpaid - balance outstanding",IF(AC285&lt;0,"Loss - sold below cost",IF(X285&gt;W285*0.5,"Check - more than half off","OK")))))))</f>
        <v>0</v>
      </c>
    </row>
    <row r="286" spans="1:38">
      <c r="A286" s="28">
        <f>IF(B286="","",SalePrefix&amp;TEXT(ROW()-4,"0000"))</f>
        <v>0</v>
      </c>
      <c r="E286" s="15">
        <f>IF(D286="","",IFERROR(INDEX(Clients!$B$5:$B$504,MATCH(D286,Clients!$A$5:$A$504,0)),"Walk-in"))</f>
        <v>0</v>
      </c>
      <c r="G286" s="15">
        <f>IF(F286="","",IFERROR(INDEX(Staff!$B$5:$B$44,MATCH(F286,Staff!$A$5:$A$44,0)),"House"))</f>
        <v>0</v>
      </c>
      <c r="R286" s="15">
        <f>IF(B286="","",TEXT(B286,"yyyy-mm"))</f>
        <v>0</v>
      </c>
      <c r="S286" s="25">
        <f>IF(B286="","",WEEKNUM(B286,2))</f>
        <v>0</v>
      </c>
      <c r="T286" s="37">
        <f>IF(B286="","",IF(K286="",1,K286))</f>
        <v>0</v>
      </c>
      <c r="U286" s="15">
        <f>IF(B286="","",IF(J286&lt;&gt;"",J286,IF(H286="Retail",IFERROR(INDEX(Inventory!$B$5:$B$304,MATCH(I286,Inventory!$A$5:$A$304,0))&amp;"","Not in Inventory"),IFERROR(INDEX(Services!$B$5:$B$204,MATCH(I286,Services!$A$5:$A$204,0))&amp;"","Not in Services"))))</f>
        <v>0</v>
      </c>
      <c r="V286" s="26">
        <f>IF(B286="","",IF(L286&lt;&gt;"",L286,IF(H286="Retail",IFERROR(INDEX(Inventory!$I$5:$I$304,MATCH(I286,Inventory!$A$5:$A$304,0))*1,0),IFERROR(INDEX(Services!$G$5:$G$204,MATCH(I286,Services!$A$5:$A$204,0))*1,0))))</f>
        <v>0</v>
      </c>
      <c r="W286" s="26">
        <f>IF(B286="","",ROUND(T286*V286,2))</f>
        <v>0</v>
      </c>
      <c r="X286" s="26">
        <f>IF(B286="","",ROUND(IF(M286="",0,W286*M286)+IF(N286="",0,N286),2))</f>
        <v>0</v>
      </c>
      <c r="Y286" s="26">
        <f>IF(B286="","",ROUND(W286-X286-IF(P286="",0,P286),2))</f>
        <v>0</v>
      </c>
      <c r="Z286" s="26">
        <f>IF(B286="","",IF(H286="Retail",IF(TaxOnRetail="Yes",ROUND(Y286*TaxRate,2),0),IF(H286="Service",IF(TaxOnServices="Yes",ROUND(Y286*TaxRate,2),0),0)))</f>
        <v>0</v>
      </c>
      <c r="AA286" s="26">
        <f>IF(B286="","",ROUND(Y286+Z286,2))</f>
        <v>0</v>
      </c>
      <c r="AB286" s="26">
        <f>IF(B286="","",ROUND(T286*IF(H286="Retail",IFERROR(INDEX(Inventory!$H$5:$H$304,MATCH(I286,Inventory!$A$5:$A$304,0))*1,0),IFERROR(INDEX(Services!$Q$5:$Q$204,MATCH(I286,Services!$A$5:$A$204,0))*1,0)),2))</f>
        <v>0</v>
      </c>
      <c r="AC286" s="26">
        <f>IF(B286="","",ROUND(Y286-AB286,2))</f>
        <v>0</v>
      </c>
      <c r="AD286" s="38">
        <f>IF(B286="","",IF(C286="","No",IF(COUNTIFS($C$5:C286,C286)=1,"Yes","No")))</f>
        <v>0</v>
      </c>
      <c r="AE286" s="26">
        <f>IF(B286="","",ROUND(SUMIFS(Payments!$G$5:$G$1204,Payments!$H$5:$H$1204,A286,Payments!$Q$5:$Q$1204,"Yes"),2))</f>
        <v>0</v>
      </c>
      <c r="AF286" s="26">
        <f>IF(B286="","",IF(AD286="No",0,ROUND(SUMIFS(Payments!$G$5:$G$1204,Payments!$I$5:$I$1204,C286,Payments!$H$5:$H$1204,"",Payments!$Q$5:$Q$1204,"Yes"),2)))</f>
        <v>0</v>
      </c>
      <c r="AG286" s="26">
        <f>IF(B286="","",ROUND(AE286+AF286,2))</f>
        <v>0</v>
      </c>
      <c r="AH286" s="26">
        <f>IF(B286="","",ROUND(AA286-AG286,2))</f>
        <v>0</v>
      </c>
      <c r="AI286" s="39">
        <f>IF(B286="","",IF(AA286&lt;=0,"No charge",IF(AH286&lt;=0.004,"Paid",IF(AG286&lt;=0.004,"Unpaid","Part paid"))))</f>
        <v>0</v>
      </c>
      <c r="AJ286" s="38">
        <f>IF(B286="","",IF(H286&lt;&gt;"Service","",IF(D286="","No",IF(COUNTIFS($D$5:$D$1204,D286,$B$5:$B$1204,B286,$H$5:$H$1204,"Retail")&gt;0,"Yes","No"))))</f>
        <v>0</v>
      </c>
      <c r="AK286" s="25">
        <f>IF(B286="","",COUNTIFS($Y$5:$Y$1204,"&gt;"&amp;Y286)+COUNTIFS($Y$5:Y286,Y286))</f>
        <v>0</v>
      </c>
      <c r="AL286" s="39">
        <f>IF(B286="","",IF(H286="","Add - what kind of sale is this?",IF(IF(V286&lt;=0,P286="",FALSE),"Check - no price found for this item",IF(F286="","Assign - nobody credited",IF(AH286&gt;0.004,"Unpaid - balance outstanding",IF(AC286&lt;0,"Loss - sold below cost",IF(X286&gt;W286*0.5,"Check - more than half off","OK")))))))</f>
        <v>0</v>
      </c>
    </row>
    <row r="287" spans="1:38">
      <c r="A287" s="28">
        <f>IF(B287="","",SalePrefix&amp;TEXT(ROW()-4,"0000"))</f>
        <v>0</v>
      </c>
      <c r="E287" s="15">
        <f>IF(D287="","",IFERROR(INDEX(Clients!$B$5:$B$504,MATCH(D287,Clients!$A$5:$A$504,0)),"Walk-in"))</f>
        <v>0</v>
      </c>
      <c r="G287" s="15">
        <f>IF(F287="","",IFERROR(INDEX(Staff!$B$5:$B$44,MATCH(F287,Staff!$A$5:$A$44,0)),"House"))</f>
        <v>0</v>
      </c>
      <c r="R287" s="15">
        <f>IF(B287="","",TEXT(B287,"yyyy-mm"))</f>
        <v>0</v>
      </c>
      <c r="S287" s="25">
        <f>IF(B287="","",WEEKNUM(B287,2))</f>
        <v>0</v>
      </c>
      <c r="T287" s="37">
        <f>IF(B287="","",IF(K287="",1,K287))</f>
        <v>0</v>
      </c>
      <c r="U287" s="15">
        <f>IF(B287="","",IF(J287&lt;&gt;"",J287,IF(H287="Retail",IFERROR(INDEX(Inventory!$B$5:$B$304,MATCH(I287,Inventory!$A$5:$A$304,0))&amp;"","Not in Inventory"),IFERROR(INDEX(Services!$B$5:$B$204,MATCH(I287,Services!$A$5:$A$204,0))&amp;"","Not in Services"))))</f>
        <v>0</v>
      </c>
      <c r="V287" s="26">
        <f>IF(B287="","",IF(L287&lt;&gt;"",L287,IF(H287="Retail",IFERROR(INDEX(Inventory!$I$5:$I$304,MATCH(I287,Inventory!$A$5:$A$304,0))*1,0),IFERROR(INDEX(Services!$G$5:$G$204,MATCH(I287,Services!$A$5:$A$204,0))*1,0))))</f>
        <v>0</v>
      </c>
      <c r="W287" s="26">
        <f>IF(B287="","",ROUND(T287*V287,2))</f>
        <v>0</v>
      </c>
      <c r="X287" s="26">
        <f>IF(B287="","",ROUND(IF(M287="",0,W287*M287)+IF(N287="",0,N287),2))</f>
        <v>0</v>
      </c>
      <c r="Y287" s="26">
        <f>IF(B287="","",ROUND(W287-X287-IF(P287="",0,P287),2))</f>
        <v>0</v>
      </c>
      <c r="Z287" s="26">
        <f>IF(B287="","",IF(H287="Retail",IF(TaxOnRetail="Yes",ROUND(Y287*TaxRate,2),0),IF(H287="Service",IF(TaxOnServices="Yes",ROUND(Y287*TaxRate,2),0),0)))</f>
        <v>0</v>
      </c>
      <c r="AA287" s="26">
        <f>IF(B287="","",ROUND(Y287+Z287,2))</f>
        <v>0</v>
      </c>
      <c r="AB287" s="26">
        <f>IF(B287="","",ROUND(T287*IF(H287="Retail",IFERROR(INDEX(Inventory!$H$5:$H$304,MATCH(I287,Inventory!$A$5:$A$304,0))*1,0),IFERROR(INDEX(Services!$Q$5:$Q$204,MATCH(I287,Services!$A$5:$A$204,0))*1,0)),2))</f>
        <v>0</v>
      </c>
      <c r="AC287" s="26">
        <f>IF(B287="","",ROUND(Y287-AB287,2))</f>
        <v>0</v>
      </c>
      <c r="AD287" s="38">
        <f>IF(B287="","",IF(C287="","No",IF(COUNTIFS($C$5:C287,C287)=1,"Yes","No")))</f>
        <v>0</v>
      </c>
      <c r="AE287" s="26">
        <f>IF(B287="","",ROUND(SUMIFS(Payments!$G$5:$G$1204,Payments!$H$5:$H$1204,A287,Payments!$Q$5:$Q$1204,"Yes"),2))</f>
        <v>0</v>
      </c>
      <c r="AF287" s="26">
        <f>IF(B287="","",IF(AD287="No",0,ROUND(SUMIFS(Payments!$G$5:$G$1204,Payments!$I$5:$I$1204,C287,Payments!$H$5:$H$1204,"",Payments!$Q$5:$Q$1204,"Yes"),2)))</f>
        <v>0</v>
      </c>
      <c r="AG287" s="26">
        <f>IF(B287="","",ROUND(AE287+AF287,2))</f>
        <v>0</v>
      </c>
      <c r="AH287" s="26">
        <f>IF(B287="","",ROUND(AA287-AG287,2))</f>
        <v>0</v>
      </c>
      <c r="AI287" s="39">
        <f>IF(B287="","",IF(AA287&lt;=0,"No charge",IF(AH287&lt;=0.004,"Paid",IF(AG287&lt;=0.004,"Unpaid","Part paid"))))</f>
        <v>0</v>
      </c>
      <c r="AJ287" s="38">
        <f>IF(B287="","",IF(H287&lt;&gt;"Service","",IF(D287="","No",IF(COUNTIFS($D$5:$D$1204,D287,$B$5:$B$1204,B287,$H$5:$H$1204,"Retail")&gt;0,"Yes","No"))))</f>
        <v>0</v>
      </c>
      <c r="AK287" s="25">
        <f>IF(B287="","",COUNTIFS($Y$5:$Y$1204,"&gt;"&amp;Y287)+COUNTIFS($Y$5:Y287,Y287))</f>
        <v>0</v>
      </c>
      <c r="AL287" s="39">
        <f>IF(B287="","",IF(H287="","Add - what kind of sale is this?",IF(IF(V287&lt;=0,P287="",FALSE),"Check - no price found for this item",IF(F287="","Assign - nobody credited",IF(AH287&gt;0.004,"Unpaid - balance outstanding",IF(AC287&lt;0,"Loss - sold below cost",IF(X287&gt;W287*0.5,"Check - more than half off","OK")))))))</f>
        <v>0</v>
      </c>
    </row>
    <row r="288" spans="1:38">
      <c r="A288" s="28">
        <f>IF(B288="","",SalePrefix&amp;TEXT(ROW()-4,"0000"))</f>
        <v>0</v>
      </c>
      <c r="E288" s="15">
        <f>IF(D288="","",IFERROR(INDEX(Clients!$B$5:$B$504,MATCH(D288,Clients!$A$5:$A$504,0)),"Walk-in"))</f>
        <v>0</v>
      </c>
      <c r="G288" s="15">
        <f>IF(F288="","",IFERROR(INDEX(Staff!$B$5:$B$44,MATCH(F288,Staff!$A$5:$A$44,0)),"House"))</f>
        <v>0</v>
      </c>
      <c r="R288" s="15">
        <f>IF(B288="","",TEXT(B288,"yyyy-mm"))</f>
        <v>0</v>
      </c>
      <c r="S288" s="25">
        <f>IF(B288="","",WEEKNUM(B288,2))</f>
        <v>0</v>
      </c>
      <c r="T288" s="37">
        <f>IF(B288="","",IF(K288="",1,K288))</f>
        <v>0</v>
      </c>
      <c r="U288" s="15">
        <f>IF(B288="","",IF(J288&lt;&gt;"",J288,IF(H288="Retail",IFERROR(INDEX(Inventory!$B$5:$B$304,MATCH(I288,Inventory!$A$5:$A$304,0))&amp;"","Not in Inventory"),IFERROR(INDEX(Services!$B$5:$B$204,MATCH(I288,Services!$A$5:$A$204,0))&amp;"","Not in Services"))))</f>
        <v>0</v>
      </c>
      <c r="V288" s="26">
        <f>IF(B288="","",IF(L288&lt;&gt;"",L288,IF(H288="Retail",IFERROR(INDEX(Inventory!$I$5:$I$304,MATCH(I288,Inventory!$A$5:$A$304,0))*1,0),IFERROR(INDEX(Services!$G$5:$G$204,MATCH(I288,Services!$A$5:$A$204,0))*1,0))))</f>
        <v>0</v>
      </c>
      <c r="W288" s="26">
        <f>IF(B288="","",ROUND(T288*V288,2))</f>
        <v>0</v>
      </c>
      <c r="X288" s="26">
        <f>IF(B288="","",ROUND(IF(M288="",0,W288*M288)+IF(N288="",0,N288),2))</f>
        <v>0</v>
      </c>
      <c r="Y288" s="26">
        <f>IF(B288="","",ROUND(W288-X288-IF(P288="",0,P288),2))</f>
        <v>0</v>
      </c>
      <c r="Z288" s="26">
        <f>IF(B288="","",IF(H288="Retail",IF(TaxOnRetail="Yes",ROUND(Y288*TaxRate,2),0),IF(H288="Service",IF(TaxOnServices="Yes",ROUND(Y288*TaxRate,2),0),0)))</f>
        <v>0</v>
      </c>
      <c r="AA288" s="26">
        <f>IF(B288="","",ROUND(Y288+Z288,2))</f>
        <v>0</v>
      </c>
      <c r="AB288" s="26">
        <f>IF(B288="","",ROUND(T288*IF(H288="Retail",IFERROR(INDEX(Inventory!$H$5:$H$304,MATCH(I288,Inventory!$A$5:$A$304,0))*1,0),IFERROR(INDEX(Services!$Q$5:$Q$204,MATCH(I288,Services!$A$5:$A$204,0))*1,0)),2))</f>
        <v>0</v>
      </c>
      <c r="AC288" s="26">
        <f>IF(B288="","",ROUND(Y288-AB288,2))</f>
        <v>0</v>
      </c>
      <c r="AD288" s="38">
        <f>IF(B288="","",IF(C288="","No",IF(COUNTIFS($C$5:C288,C288)=1,"Yes","No")))</f>
        <v>0</v>
      </c>
      <c r="AE288" s="26">
        <f>IF(B288="","",ROUND(SUMIFS(Payments!$G$5:$G$1204,Payments!$H$5:$H$1204,A288,Payments!$Q$5:$Q$1204,"Yes"),2))</f>
        <v>0</v>
      </c>
      <c r="AF288" s="26">
        <f>IF(B288="","",IF(AD288="No",0,ROUND(SUMIFS(Payments!$G$5:$G$1204,Payments!$I$5:$I$1204,C288,Payments!$H$5:$H$1204,"",Payments!$Q$5:$Q$1204,"Yes"),2)))</f>
        <v>0</v>
      </c>
      <c r="AG288" s="26">
        <f>IF(B288="","",ROUND(AE288+AF288,2))</f>
        <v>0</v>
      </c>
      <c r="AH288" s="26">
        <f>IF(B288="","",ROUND(AA288-AG288,2))</f>
        <v>0</v>
      </c>
      <c r="AI288" s="39">
        <f>IF(B288="","",IF(AA288&lt;=0,"No charge",IF(AH288&lt;=0.004,"Paid",IF(AG288&lt;=0.004,"Unpaid","Part paid"))))</f>
        <v>0</v>
      </c>
      <c r="AJ288" s="38">
        <f>IF(B288="","",IF(H288&lt;&gt;"Service","",IF(D288="","No",IF(COUNTIFS($D$5:$D$1204,D288,$B$5:$B$1204,B288,$H$5:$H$1204,"Retail")&gt;0,"Yes","No"))))</f>
        <v>0</v>
      </c>
      <c r="AK288" s="25">
        <f>IF(B288="","",COUNTIFS($Y$5:$Y$1204,"&gt;"&amp;Y288)+COUNTIFS($Y$5:Y288,Y288))</f>
        <v>0</v>
      </c>
      <c r="AL288" s="39">
        <f>IF(B288="","",IF(H288="","Add - what kind of sale is this?",IF(IF(V288&lt;=0,P288="",FALSE),"Check - no price found for this item",IF(F288="","Assign - nobody credited",IF(AH288&gt;0.004,"Unpaid - balance outstanding",IF(AC288&lt;0,"Loss - sold below cost",IF(X288&gt;W288*0.5,"Check - more than half off","OK")))))))</f>
        <v>0</v>
      </c>
    </row>
    <row r="289" spans="1:38">
      <c r="A289" s="28">
        <f>IF(B289="","",SalePrefix&amp;TEXT(ROW()-4,"0000"))</f>
        <v>0</v>
      </c>
      <c r="E289" s="15">
        <f>IF(D289="","",IFERROR(INDEX(Clients!$B$5:$B$504,MATCH(D289,Clients!$A$5:$A$504,0)),"Walk-in"))</f>
        <v>0</v>
      </c>
      <c r="G289" s="15">
        <f>IF(F289="","",IFERROR(INDEX(Staff!$B$5:$B$44,MATCH(F289,Staff!$A$5:$A$44,0)),"House"))</f>
        <v>0</v>
      </c>
      <c r="R289" s="15">
        <f>IF(B289="","",TEXT(B289,"yyyy-mm"))</f>
        <v>0</v>
      </c>
      <c r="S289" s="25">
        <f>IF(B289="","",WEEKNUM(B289,2))</f>
        <v>0</v>
      </c>
      <c r="T289" s="37">
        <f>IF(B289="","",IF(K289="",1,K289))</f>
        <v>0</v>
      </c>
      <c r="U289" s="15">
        <f>IF(B289="","",IF(J289&lt;&gt;"",J289,IF(H289="Retail",IFERROR(INDEX(Inventory!$B$5:$B$304,MATCH(I289,Inventory!$A$5:$A$304,0))&amp;"","Not in Inventory"),IFERROR(INDEX(Services!$B$5:$B$204,MATCH(I289,Services!$A$5:$A$204,0))&amp;"","Not in Services"))))</f>
        <v>0</v>
      </c>
      <c r="V289" s="26">
        <f>IF(B289="","",IF(L289&lt;&gt;"",L289,IF(H289="Retail",IFERROR(INDEX(Inventory!$I$5:$I$304,MATCH(I289,Inventory!$A$5:$A$304,0))*1,0),IFERROR(INDEX(Services!$G$5:$G$204,MATCH(I289,Services!$A$5:$A$204,0))*1,0))))</f>
        <v>0</v>
      </c>
      <c r="W289" s="26">
        <f>IF(B289="","",ROUND(T289*V289,2))</f>
        <v>0</v>
      </c>
      <c r="X289" s="26">
        <f>IF(B289="","",ROUND(IF(M289="",0,W289*M289)+IF(N289="",0,N289),2))</f>
        <v>0</v>
      </c>
      <c r="Y289" s="26">
        <f>IF(B289="","",ROUND(W289-X289-IF(P289="",0,P289),2))</f>
        <v>0</v>
      </c>
      <c r="Z289" s="26">
        <f>IF(B289="","",IF(H289="Retail",IF(TaxOnRetail="Yes",ROUND(Y289*TaxRate,2),0),IF(H289="Service",IF(TaxOnServices="Yes",ROUND(Y289*TaxRate,2),0),0)))</f>
        <v>0</v>
      </c>
      <c r="AA289" s="26">
        <f>IF(B289="","",ROUND(Y289+Z289,2))</f>
        <v>0</v>
      </c>
      <c r="AB289" s="26">
        <f>IF(B289="","",ROUND(T289*IF(H289="Retail",IFERROR(INDEX(Inventory!$H$5:$H$304,MATCH(I289,Inventory!$A$5:$A$304,0))*1,0),IFERROR(INDEX(Services!$Q$5:$Q$204,MATCH(I289,Services!$A$5:$A$204,0))*1,0)),2))</f>
        <v>0</v>
      </c>
      <c r="AC289" s="26">
        <f>IF(B289="","",ROUND(Y289-AB289,2))</f>
        <v>0</v>
      </c>
      <c r="AD289" s="38">
        <f>IF(B289="","",IF(C289="","No",IF(COUNTIFS($C$5:C289,C289)=1,"Yes","No")))</f>
        <v>0</v>
      </c>
      <c r="AE289" s="26">
        <f>IF(B289="","",ROUND(SUMIFS(Payments!$G$5:$G$1204,Payments!$H$5:$H$1204,A289,Payments!$Q$5:$Q$1204,"Yes"),2))</f>
        <v>0</v>
      </c>
      <c r="AF289" s="26">
        <f>IF(B289="","",IF(AD289="No",0,ROUND(SUMIFS(Payments!$G$5:$G$1204,Payments!$I$5:$I$1204,C289,Payments!$H$5:$H$1204,"",Payments!$Q$5:$Q$1204,"Yes"),2)))</f>
        <v>0</v>
      </c>
      <c r="AG289" s="26">
        <f>IF(B289="","",ROUND(AE289+AF289,2))</f>
        <v>0</v>
      </c>
      <c r="AH289" s="26">
        <f>IF(B289="","",ROUND(AA289-AG289,2))</f>
        <v>0</v>
      </c>
      <c r="AI289" s="39">
        <f>IF(B289="","",IF(AA289&lt;=0,"No charge",IF(AH289&lt;=0.004,"Paid",IF(AG289&lt;=0.004,"Unpaid","Part paid"))))</f>
        <v>0</v>
      </c>
      <c r="AJ289" s="38">
        <f>IF(B289="","",IF(H289&lt;&gt;"Service","",IF(D289="","No",IF(COUNTIFS($D$5:$D$1204,D289,$B$5:$B$1204,B289,$H$5:$H$1204,"Retail")&gt;0,"Yes","No"))))</f>
        <v>0</v>
      </c>
      <c r="AK289" s="25">
        <f>IF(B289="","",COUNTIFS($Y$5:$Y$1204,"&gt;"&amp;Y289)+COUNTIFS($Y$5:Y289,Y289))</f>
        <v>0</v>
      </c>
      <c r="AL289" s="39">
        <f>IF(B289="","",IF(H289="","Add - what kind of sale is this?",IF(IF(V289&lt;=0,P289="",FALSE),"Check - no price found for this item",IF(F289="","Assign - nobody credited",IF(AH289&gt;0.004,"Unpaid - balance outstanding",IF(AC289&lt;0,"Loss - sold below cost",IF(X289&gt;W289*0.5,"Check - more than half off","OK")))))))</f>
        <v>0</v>
      </c>
    </row>
    <row r="290" spans="1:38">
      <c r="A290" s="28">
        <f>IF(B290="","",SalePrefix&amp;TEXT(ROW()-4,"0000"))</f>
        <v>0</v>
      </c>
      <c r="E290" s="15">
        <f>IF(D290="","",IFERROR(INDEX(Clients!$B$5:$B$504,MATCH(D290,Clients!$A$5:$A$504,0)),"Walk-in"))</f>
        <v>0</v>
      </c>
      <c r="G290" s="15">
        <f>IF(F290="","",IFERROR(INDEX(Staff!$B$5:$B$44,MATCH(F290,Staff!$A$5:$A$44,0)),"House"))</f>
        <v>0</v>
      </c>
      <c r="R290" s="15">
        <f>IF(B290="","",TEXT(B290,"yyyy-mm"))</f>
        <v>0</v>
      </c>
      <c r="S290" s="25">
        <f>IF(B290="","",WEEKNUM(B290,2))</f>
        <v>0</v>
      </c>
      <c r="T290" s="37">
        <f>IF(B290="","",IF(K290="",1,K290))</f>
        <v>0</v>
      </c>
      <c r="U290" s="15">
        <f>IF(B290="","",IF(J290&lt;&gt;"",J290,IF(H290="Retail",IFERROR(INDEX(Inventory!$B$5:$B$304,MATCH(I290,Inventory!$A$5:$A$304,0))&amp;"","Not in Inventory"),IFERROR(INDEX(Services!$B$5:$B$204,MATCH(I290,Services!$A$5:$A$204,0))&amp;"","Not in Services"))))</f>
        <v>0</v>
      </c>
      <c r="V290" s="26">
        <f>IF(B290="","",IF(L290&lt;&gt;"",L290,IF(H290="Retail",IFERROR(INDEX(Inventory!$I$5:$I$304,MATCH(I290,Inventory!$A$5:$A$304,0))*1,0),IFERROR(INDEX(Services!$G$5:$G$204,MATCH(I290,Services!$A$5:$A$204,0))*1,0))))</f>
        <v>0</v>
      </c>
      <c r="W290" s="26">
        <f>IF(B290="","",ROUND(T290*V290,2))</f>
        <v>0</v>
      </c>
      <c r="X290" s="26">
        <f>IF(B290="","",ROUND(IF(M290="",0,W290*M290)+IF(N290="",0,N290),2))</f>
        <v>0</v>
      </c>
      <c r="Y290" s="26">
        <f>IF(B290="","",ROUND(W290-X290-IF(P290="",0,P290),2))</f>
        <v>0</v>
      </c>
      <c r="Z290" s="26">
        <f>IF(B290="","",IF(H290="Retail",IF(TaxOnRetail="Yes",ROUND(Y290*TaxRate,2),0),IF(H290="Service",IF(TaxOnServices="Yes",ROUND(Y290*TaxRate,2),0),0)))</f>
        <v>0</v>
      </c>
      <c r="AA290" s="26">
        <f>IF(B290="","",ROUND(Y290+Z290,2))</f>
        <v>0</v>
      </c>
      <c r="AB290" s="26">
        <f>IF(B290="","",ROUND(T290*IF(H290="Retail",IFERROR(INDEX(Inventory!$H$5:$H$304,MATCH(I290,Inventory!$A$5:$A$304,0))*1,0),IFERROR(INDEX(Services!$Q$5:$Q$204,MATCH(I290,Services!$A$5:$A$204,0))*1,0)),2))</f>
        <v>0</v>
      </c>
      <c r="AC290" s="26">
        <f>IF(B290="","",ROUND(Y290-AB290,2))</f>
        <v>0</v>
      </c>
      <c r="AD290" s="38">
        <f>IF(B290="","",IF(C290="","No",IF(COUNTIFS($C$5:C290,C290)=1,"Yes","No")))</f>
        <v>0</v>
      </c>
      <c r="AE290" s="26">
        <f>IF(B290="","",ROUND(SUMIFS(Payments!$G$5:$G$1204,Payments!$H$5:$H$1204,A290,Payments!$Q$5:$Q$1204,"Yes"),2))</f>
        <v>0</v>
      </c>
      <c r="AF290" s="26">
        <f>IF(B290="","",IF(AD290="No",0,ROUND(SUMIFS(Payments!$G$5:$G$1204,Payments!$I$5:$I$1204,C290,Payments!$H$5:$H$1204,"",Payments!$Q$5:$Q$1204,"Yes"),2)))</f>
        <v>0</v>
      </c>
      <c r="AG290" s="26">
        <f>IF(B290="","",ROUND(AE290+AF290,2))</f>
        <v>0</v>
      </c>
      <c r="AH290" s="26">
        <f>IF(B290="","",ROUND(AA290-AG290,2))</f>
        <v>0</v>
      </c>
      <c r="AI290" s="39">
        <f>IF(B290="","",IF(AA290&lt;=0,"No charge",IF(AH290&lt;=0.004,"Paid",IF(AG290&lt;=0.004,"Unpaid","Part paid"))))</f>
        <v>0</v>
      </c>
      <c r="AJ290" s="38">
        <f>IF(B290="","",IF(H290&lt;&gt;"Service","",IF(D290="","No",IF(COUNTIFS($D$5:$D$1204,D290,$B$5:$B$1204,B290,$H$5:$H$1204,"Retail")&gt;0,"Yes","No"))))</f>
        <v>0</v>
      </c>
      <c r="AK290" s="25">
        <f>IF(B290="","",COUNTIFS($Y$5:$Y$1204,"&gt;"&amp;Y290)+COUNTIFS($Y$5:Y290,Y290))</f>
        <v>0</v>
      </c>
      <c r="AL290" s="39">
        <f>IF(B290="","",IF(H290="","Add - what kind of sale is this?",IF(IF(V290&lt;=0,P290="",FALSE),"Check - no price found for this item",IF(F290="","Assign - nobody credited",IF(AH290&gt;0.004,"Unpaid - balance outstanding",IF(AC290&lt;0,"Loss - sold below cost",IF(X290&gt;W290*0.5,"Check - more than half off","OK")))))))</f>
        <v>0</v>
      </c>
    </row>
    <row r="291" spans="1:38">
      <c r="A291" s="28">
        <f>IF(B291="","",SalePrefix&amp;TEXT(ROW()-4,"0000"))</f>
        <v>0</v>
      </c>
      <c r="E291" s="15">
        <f>IF(D291="","",IFERROR(INDEX(Clients!$B$5:$B$504,MATCH(D291,Clients!$A$5:$A$504,0)),"Walk-in"))</f>
        <v>0</v>
      </c>
      <c r="G291" s="15">
        <f>IF(F291="","",IFERROR(INDEX(Staff!$B$5:$B$44,MATCH(F291,Staff!$A$5:$A$44,0)),"House"))</f>
        <v>0</v>
      </c>
      <c r="R291" s="15">
        <f>IF(B291="","",TEXT(B291,"yyyy-mm"))</f>
        <v>0</v>
      </c>
      <c r="S291" s="25">
        <f>IF(B291="","",WEEKNUM(B291,2))</f>
        <v>0</v>
      </c>
      <c r="T291" s="37">
        <f>IF(B291="","",IF(K291="",1,K291))</f>
        <v>0</v>
      </c>
      <c r="U291" s="15">
        <f>IF(B291="","",IF(J291&lt;&gt;"",J291,IF(H291="Retail",IFERROR(INDEX(Inventory!$B$5:$B$304,MATCH(I291,Inventory!$A$5:$A$304,0))&amp;"","Not in Inventory"),IFERROR(INDEX(Services!$B$5:$B$204,MATCH(I291,Services!$A$5:$A$204,0))&amp;"","Not in Services"))))</f>
        <v>0</v>
      </c>
      <c r="V291" s="26">
        <f>IF(B291="","",IF(L291&lt;&gt;"",L291,IF(H291="Retail",IFERROR(INDEX(Inventory!$I$5:$I$304,MATCH(I291,Inventory!$A$5:$A$304,0))*1,0),IFERROR(INDEX(Services!$G$5:$G$204,MATCH(I291,Services!$A$5:$A$204,0))*1,0))))</f>
        <v>0</v>
      </c>
      <c r="W291" s="26">
        <f>IF(B291="","",ROUND(T291*V291,2))</f>
        <v>0</v>
      </c>
      <c r="X291" s="26">
        <f>IF(B291="","",ROUND(IF(M291="",0,W291*M291)+IF(N291="",0,N291),2))</f>
        <v>0</v>
      </c>
      <c r="Y291" s="26">
        <f>IF(B291="","",ROUND(W291-X291-IF(P291="",0,P291),2))</f>
        <v>0</v>
      </c>
      <c r="Z291" s="26">
        <f>IF(B291="","",IF(H291="Retail",IF(TaxOnRetail="Yes",ROUND(Y291*TaxRate,2),0),IF(H291="Service",IF(TaxOnServices="Yes",ROUND(Y291*TaxRate,2),0),0)))</f>
        <v>0</v>
      </c>
      <c r="AA291" s="26">
        <f>IF(B291="","",ROUND(Y291+Z291,2))</f>
        <v>0</v>
      </c>
      <c r="AB291" s="26">
        <f>IF(B291="","",ROUND(T291*IF(H291="Retail",IFERROR(INDEX(Inventory!$H$5:$H$304,MATCH(I291,Inventory!$A$5:$A$304,0))*1,0),IFERROR(INDEX(Services!$Q$5:$Q$204,MATCH(I291,Services!$A$5:$A$204,0))*1,0)),2))</f>
        <v>0</v>
      </c>
      <c r="AC291" s="26">
        <f>IF(B291="","",ROUND(Y291-AB291,2))</f>
        <v>0</v>
      </c>
      <c r="AD291" s="38">
        <f>IF(B291="","",IF(C291="","No",IF(COUNTIFS($C$5:C291,C291)=1,"Yes","No")))</f>
        <v>0</v>
      </c>
      <c r="AE291" s="26">
        <f>IF(B291="","",ROUND(SUMIFS(Payments!$G$5:$G$1204,Payments!$H$5:$H$1204,A291,Payments!$Q$5:$Q$1204,"Yes"),2))</f>
        <v>0</v>
      </c>
      <c r="AF291" s="26">
        <f>IF(B291="","",IF(AD291="No",0,ROUND(SUMIFS(Payments!$G$5:$G$1204,Payments!$I$5:$I$1204,C291,Payments!$H$5:$H$1204,"",Payments!$Q$5:$Q$1204,"Yes"),2)))</f>
        <v>0</v>
      </c>
      <c r="AG291" s="26">
        <f>IF(B291="","",ROUND(AE291+AF291,2))</f>
        <v>0</v>
      </c>
      <c r="AH291" s="26">
        <f>IF(B291="","",ROUND(AA291-AG291,2))</f>
        <v>0</v>
      </c>
      <c r="AI291" s="39">
        <f>IF(B291="","",IF(AA291&lt;=0,"No charge",IF(AH291&lt;=0.004,"Paid",IF(AG291&lt;=0.004,"Unpaid","Part paid"))))</f>
        <v>0</v>
      </c>
      <c r="AJ291" s="38">
        <f>IF(B291="","",IF(H291&lt;&gt;"Service","",IF(D291="","No",IF(COUNTIFS($D$5:$D$1204,D291,$B$5:$B$1204,B291,$H$5:$H$1204,"Retail")&gt;0,"Yes","No"))))</f>
        <v>0</v>
      </c>
      <c r="AK291" s="25">
        <f>IF(B291="","",COUNTIFS($Y$5:$Y$1204,"&gt;"&amp;Y291)+COUNTIFS($Y$5:Y291,Y291))</f>
        <v>0</v>
      </c>
      <c r="AL291" s="39">
        <f>IF(B291="","",IF(H291="","Add - what kind of sale is this?",IF(IF(V291&lt;=0,P291="",FALSE),"Check - no price found for this item",IF(F291="","Assign - nobody credited",IF(AH291&gt;0.004,"Unpaid - balance outstanding",IF(AC291&lt;0,"Loss - sold below cost",IF(X291&gt;W291*0.5,"Check - more than half off","OK")))))))</f>
        <v>0</v>
      </c>
    </row>
    <row r="292" spans="1:38">
      <c r="A292" s="28">
        <f>IF(B292="","",SalePrefix&amp;TEXT(ROW()-4,"0000"))</f>
        <v>0</v>
      </c>
      <c r="E292" s="15">
        <f>IF(D292="","",IFERROR(INDEX(Clients!$B$5:$B$504,MATCH(D292,Clients!$A$5:$A$504,0)),"Walk-in"))</f>
        <v>0</v>
      </c>
      <c r="G292" s="15">
        <f>IF(F292="","",IFERROR(INDEX(Staff!$B$5:$B$44,MATCH(F292,Staff!$A$5:$A$44,0)),"House"))</f>
        <v>0</v>
      </c>
      <c r="R292" s="15">
        <f>IF(B292="","",TEXT(B292,"yyyy-mm"))</f>
        <v>0</v>
      </c>
      <c r="S292" s="25">
        <f>IF(B292="","",WEEKNUM(B292,2))</f>
        <v>0</v>
      </c>
      <c r="T292" s="37">
        <f>IF(B292="","",IF(K292="",1,K292))</f>
        <v>0</v>
      </c>
      <c r="U292" s="15">
        <f>IF(B292="","",IF(J292&lt;&gt;"",J292,IF(H292="Retail",IFERROR(INDEX(Inventory!$B$5:$B$304,MATCH(I292,Inventory!$A$5:$A$304,0))&amp;"","Not in Inventory"),IFERROR(INDEX(Services!$B$5:$B$204,MATCH(I292,Services!$A$5:$A$204,0))&amp;"","Not in Services"))))</f>
        <v>0</v>
      </c>
      <c r="V292" s="26">
        <f>IF(B292="","",IF(L292&lt;&gt;"",L292,IF(H292="Retail",IFERROR(INDEX(Inventory!$I$5:$I$304,MATCH(I292,Inventory!$A$5:$A$304,0))*1,0),IFERROR(INDEX(Services!$G$5:$G$204,MATCH(I292,Services!$A$5:$A$204,0))*1,0))))</f>
        <v>0</v>
      </c>
      <c r="W292" s="26">
        <f>IF(B292="","",ROUND(T292*V292,2))</f>
        <v>0</v>
      </c>
      <c r="X292" s="26">
        <f>IF(B292="","",ROUND(IF(M292="",0,W292*M292)+IF(N292="",0,N292),2))</f>
        <v>0</v>
      </c>
      <c r="Y292" s="26">
        <f>IF(B292="","",ROUND(W292-X292-IF(P292="",0,P292),2))</f>
        <v>0</v>
      </c>
      <c r="Z292" s="26">
        <f>IF(B292="","",IF(H292="Retail",IF(TaxOnRetail="Yes",ROUND(Y292*TaxRate,2),0),IF(H292="Service",IF(TaxOnServices="Yes",ROUND(Y292*TaxRate,2),0),0)))</f>
        <v>0</v>
      </c>
      <c r="AA292" s="26">
        <f>IF(B292="","",ROUND(Y292+Z292,2))</f>
        <v>0</v>
      </c>
      <c r="AB292" s="26">
        <f>IF(B292="","",ROUND(T292*IF(H292="Retail",IFERROR(INDEX(Inventory!$H$5:$H$304,MATCH(I292,Inventory!$A$5:$A$304,0))*1,0),IFERROR(INDEX(Services!$Q$5:$Q$204,MATCH(I292,Services!$A$5:$A$204,0))*1,0)),2))</f>
        <v>0</v>
      </c>
      <c r="AC292" s="26">
        <f>IF(B292="","",ROUND(Y292-AB292,2))</f>
        <v>0</v>
      </c>
      <c r="AD292" s="38">
        <f>IF(B292="","",IF(C292="","No",IF(COUNTIFS($C$5:C292,C292)=1,"Yes","No")))</f>
        <v>0</v>
      </c>
      <c r="AE292" s="26">
        <f>IF(B292="","",ROUND(SUMIFS(Payments!$G$5:$G$1204,Payments!$H$5:$H$1204,A292,Payments!$Q$5:$Q$1204,"Yes"),2))</f>
        <v>0</v>
      </c>
      <c r="AF292" s="26">
        <f>IF(B292="","",IF(AD292="No",0,ROUND(SUMIFS(Payments!$G$5:$G$1204,Payments!$I$5:$I$1204,C292,Payments!$H$5:$H$1204,"",Payments!$Q$5:$Q$1204,"Yes"),2)))</f>
        <v>0</v>
      </c>
      <c r="AG292" s="26">
        <f>IF(B292="","",ROUND(AE292+AF292,2))</f>
        <v>0</v>
      </c>
      <c r="AH292" s="26">
        <f>IF(B292="","",ROUND(AA292-AG292,2))</f>
        <v>0</v>
      </c>
      <c r="AI292" s="39">
        <f>IF(B292="","",IF(AA292&lt;=0,"No charge",IF(AH292&lt;=0.004,"Paid",IF(AG292&lt;=0.004,"Unpaid","Part paid"))))</f>
        <v>0</v>
      </c>
      <c r="AJ292" s="38">
        <f>IF(B292="","",IF(H292&lt;&gt;"Service","",IF(D292="","No",IF(COUNTIFS($D$5:$D$1204,D292,$B$5:$B$1204,B292,$H$5:$H$1204,"Retail")&gt;0,"Yes","No"))))</f>
        <v>0</v>
      </c>
      <c r="AK292" s="25">
        <f>IF(B292="","",COUNTIFS($Y$5:$Y$1204,"&gt;"&amp;Y292)+COUNTIFS($Y$5:Y292,Y292))</f>
        <v>0</v>
      </c>
      <c r="AL292" s="39">
        <f>IF(B292="","",IF(H292="","Add - what kind of sale is this?",IF(IF(V292&lt;=0,P292="",FALSE),"Check - no price found for this item",IF(F292="","Assign - nobody credited",IF(AH292&gt;0.004,"Unpaid - balance outstanding",IF(AC292&lt;0,"Loss - sold below cost",IF(X292&gt;W292*0.5,"Check - more than half off","OK")))))))</f>
        <v>0</v>
      </c>
    </row>
    <row r="293" spans="1:38">
      <c r="A293" s="28">
        <f>IF(B293="","",SalePrefix&amp;TEXT(ROW()-4,"0000"))</f>
        <v>0</v>
      </c>
      <c r="E293" s="15">
        <f>IF(D293="","",IFERROR(INDEX(Clients!$B$5:$B$504,MATCH(D293,Clients!$A$5:$A$504,0)),"Walk-in"))</f>
        <v>0</v>
      </c>
      <c r="G293" s="15">
        <f>IF(F293="","",IFERROR(INDEX(Staff!$B$5:$B$44,MATCH(F293,Staff!$A$5:$A$44,0)),"House"))</f>
        <v>0</v>
      </c>
      <c r="R293" s="15">
        <f>IF(B293="","",TEXT(B293,"yyyy-mm"))</f>
        <v>0</v>
      </c>
      <c r="S293" s="25">
        <f>IF(B293="","",WEEKNUM(B293,2))</f>
        <v>0</v>
      </c>
      <c r="T293" s="37">
        <f>IF(B293="","",IF(K293="",1,K293))</f>
        <v>0</v>
      </c>
      <c r="U293" s="15">
        <f>IF(B293="","",IF(J293&lt;&gt;"",J293,IF(H293="Retail",IFERROR(INDEX(Inventory!$B$5:$B$304,MATCH(I293,Inventory!$A$5:$A$304,0))&amp;"","Not in Inventory"),IFERROR(INDEX(Services!$B$5:$B$204,MATCH(I293,Services!$A$5:$A$204,0))&amp;"","Not in Services"))))</f>
        <v>0</v>
      </c>
      <c r="V293" s="26">
        <f>IF(B293="","",IF(L293&lt;&gt;"",L293,IF(H293="Retail",IFERROR(INDEX(Inventory!$I$5:$I$304,MATCH(I293,Inventory!$A$5:$A$304,0))*1,0),IFERROR(INDEX(Services!$G$5:$G$204,MATCH(I293,Services!$A$5:$A$204,0))*1,0))))</f>
        <v>0</v>
      </c>
      <c r="W293" s="26">
        <f>IF(B293="","",ROUND(T293*V293,2))</f>
        <v>0</v>
      </c>
      <c r="X293" s="26">
        <f>IF(B293="","",ROUND(IF(M293="",0,W293*M293)+IF(N293="",0,N293),2))</f>
        <v>0</v>
      </c>
      <c r="Y293" s="26">
        <f>IF(B293="","",ROUND(W293-X293-IF(P293="",0,P293),2))</f>
        <v>0</v>
      </c>
      <c r="Z293" s="26">
        <f>IF(B293="","",IF(H293="Retail",IF(TaxOnRetail="Yes",ROUND(Y293*TaxRate,2),0),IF(H293="Service",IF(TaxOnServices="Yes",ROUND(Y293*TaxRate,2),0),0)))</f>
        <v>0</v>
      </c>
      <c r="AA293" s="26">
        <f>IF(B293="","",ROUND(Y293+Z293,2))</f>
        <v>0</v>
      </c>
      <c r="AB293" s="26">
        <f>IF(B293="","",ROUND(T293*IF(H293="Retail",IFERROR(INDEX(Inventory!$H$5:$H$304,MATCH(I293,Inventory!$A$5:$A$304,0))*1,0),IFERROR(INDEX(Services!$Q$5:$Q$204,MATCH(I293,Services!$A$5:$A$204,0))*1,0)),2))</f>
        <v>0</v>
      </c>
      <c r="AC293" s="26">
        <f>IF(B293="","",ROUND(Y293-AB293,2))</f>
        <v>0</v>
      </c>
      <c r="AD293" s="38">
        <f>IF(B293="","",IF(C293="","No",IF(COUNTIFS($C$5:C293,C293)=1,"Yes","No")))</f>
        <v>0</v>
      </c>
      <c r="AE293" s="26">
        <f>IF(B293="","",ROUND(SUMIFS(Payments!$G$5:$G$1204,Payments!$H$5:$H$1204,A293,Payments!$Q$5:$Q$1204,"Yes"),2))</f>
        <v>0</v>
      </c>
      <c r="AF293" s="26">
        <f>IF(B293="","",IF(AD293="No",0,ROUND(SUMIFS(Payments!$G$5:$G$1204,Payments!$I$5:$I$1204,C293,Payments!$H$5:$H$1204,"",Payments!$Q$5:$Q$1204,"Yes"),2)))</f>
        <v>0</v>
      </c>
      <c r="AG293" s="26">
        <f>IF(B293="","",ROUND(AE293+AF293,2))</f>
        <v>0</v>
      </c>
      <c r="AH293" s="26">
        <f>IF(B293="","",ROUND(AA293-AG293,2))</f>
        <v>0</v>
      </c>
      <c r="AI293" s="39">
        <f>IF(B293="","",IF(AA293&lt;=0,"No charge",IF(AH293&lt;=0.004,"Paid",IF(AG293&lt;=0.004,"Unpaid","Part paid"))))</f>
        <v>0</v>
      </c>
      <c r="AJ293" s="38">
        <f>IF(B293="","",IF(H293&lt;&gt;"Service","",IF(D293="","No",IF(COUNTIFS($D$5:$D$1204,D293,$B$5:$B$1204,B293,$H$5:$H$1204,"Retail")&gt;0,"Yes","No"))))</f>
        <v>0</v>
      </c>
      <c r="AK293" s="25">
        <f>IF(B293="","",COUNTIFS($Y$5:$Y$1204,"&gt;"&amp;Y293)+COUNTIFS($Y$5:Y293,Y293))</f>
        <v>0</v>
      </c>
      <c r="AL293" s="39">
        <f>IF(B293="","",IF(H293="","Add - what kind of sale is this?",IF(IF(V293&lt;=0,P293="",FALSE),"Check - no price found for this item",IF(F293="","Assign - nobody credited",IF(AH293&gt;0.004,"Unpaid - balance outstanding",IF(AC293&lt;0,"Loss - sold below cost",IF(X293&gt;W293*0.5,"Check - more than half off","OK")))))))</f>
        <v>0</v>
      </c>
    </row>
    <row r="294" spans="1:38">
      <c r="A294" s="28">
        <f>IF(B294="","",SalePrefix&amp;TEXT(ROW()-4,"0000"))</f>
        <v>0</v>
      </c>
      <c r="E294" s="15">
        <f>IF(D294="","",IFERROR(INDEX(Clients!$B$5:$B$504,MATCH(D294,Clients!$A$5:$A$504,0)),"Walk-in"))</f>
        <v>0</v>
      </c>
      <c r="G294" s="15">
        <f>IF(F294="","",IFERROR(INDEX(Staff!$B$5:$B$44,MATCH(F294,Staff!$A$5:$A$44,0)),"House"))</f>
        <v>0</v>
      </c>
      <c r="R294" s="15">
        <f>IF(B294="","",TEXT(B294,"yyyy-mm"))</f>
        <v>0</v>
      </c>
      <c r="S294" s="25">
        <f>IF(B294="","",WEEKNUM(B294,2))</f>
        <v>0</v>
      </c>
      <c r="T294" s="37">
        <f>IF(B294="","",IF(K294="",1,K294))</f>
        <v>0</v>
      </c>
      <c r="U294" s="15">
        <f>IF(B294="","",IF(J294&lt;&gt;"",J294,IF(H294="Retail",IFERROR(INDEX(Inventory!$B$5:$B$304,MATCH(I294,Inventory!$A$5:$A$304,0))&amp;"","Not in Inventory"),IFERROR(INDEX(Services!$B$5:$B$204,MATCH(I294,Services!$A$5:$A$204,0))&amp;"","Not in Services"))))</f>
        <v>0</v>
      </c>
      <c r="V294" s="26">
        <f>IF(B294="","",IF(L294&lt;&gt;"",L294,IF(H294="Retail",IFERROR(INDEX(Inventory!$I$5:$I$304,MATCH(I294,Inventory!$A$5:$A$304,0))*1,0),IFERROR(INDEX(Services!$G$5:$G$204,MATCH(I294,Services!$A$5:$A$204,0))*1,0))))</f>
        <v>0</v>
      </c>
      <c r="W294" s="26">
        <f>IF(B294="","",ROUND(T294*V294,2))</f>
        <v>0</v>
      </c>
      <c r="X294" s="26">
        <f>IF(B294="","",ROUND(IF(M294="",0,W294*M294)+IF(N294="",0,N294),2))</f>
        <v>0</v>
      </c>
      <c r="Y294" s="26">
        <f>IF(B294="","",ROUND(W294-X294-IF(P294="",0,P294),2))</f>
        <v>0</v>
      </c>
      <c r="Z294" s="26">
        <f>IF(B294="","",IF(H294="Retail",IF(TaxOnRetail="Yes",ROUND(Y294*TaxRate,2),0),IF(H294="Service",IF(TaxOnServices="Yes",ROUND(Y294*TaxRate,2),0),0)))</f>
        <v>0</v>
      </c>
      <c r="AA294" s="26">
        <f>IF(B294="","",ROUND(Y294+Z294,2))</f>
        <v>0</v>
      </c>
      <c r="AB294" s="26">
        <f>IF(B294="","",ROUND(T294*IF(H294="Retail",IFERROR(INDEX(Inventory!$H$5:$H$304,MATCH(I294,Inventory!$A$5:$A$304,0))*1,0),IFERROR(INDEX(Services!$Q$5:$Q$204,MATCH(I294,Services!$A$5:$A$204,0))*1,0)),2))</f>
        <v>0</v>
      </c>
      <c r="AC294" s="26">
        <f>IF(B294="","",ROUND(Y294-AB294,2))</f>
        <v>0</v>
      </c>
      <c r="AD294" s="38">
        <f>IF(B294="","",IF(C294="","No",IF(COUNTIFS($C$5:C294,C294)=1,"Yes","No")))</f>
        <v>0</v>
      </c>
      <c r="AE294" s="26">
        <f>IF(B294="","",ROUND(SUMIFS(Payments!$G$5:$G$1204,Payments!$H$5:$H$1204,A294,Payments!$Q$5:$Q$1204,"Yes"),2))</f>
        <v>0</v>
      </c>
      <c r="AF294" s="26">
        <f>IF(B294="","",IF(AD294="No",0,ROUND(SUMIFS(Payments!$G$5:$G$1204,Payments!$I$5:$I$1204,C294,Payments!$H$5:$H$1204,"",Payments!$Q$5:$Q$1204,"Yes"),2)))</f>
        <v>0</v>
      </c>
      <c r="AG294" s="26">
        <f>IF(B294="","",ROUND(AE294+AF294,2))</f>
        <v>0</v>
      </c>
      <c r="AH294" s="26">
        <f>IF(B294="","",ROUND(AA294-AG294,2))</f>
        <v>0</v>
      </c>
      <c r="AI294" s="39">
        <f>IF(B294="","",IF(AA294&lt;=0,"No charge",IF(AH294&lt;=0.004,"Paid",IF(AG294&lt;=0.004,"Unpaid","Part paid"))))</f>
        <v>0</v>
      </c>
      <c r="AJ294" s="38">
        <f>IF(B294="","",IF(H294&lt;&gt;"Service","",IF(D294="","No",IF(COUNTIFS($D$5:$D$1204,D294,$B$5:$B$1204,B294,$H$5:$H$1204,"Retail")&gt;0,"Yes","No"))))</f>
        <v>0</v>
      </c>
      <c r="AK294" s="25">
        <f>IF(B294="","",COUNTIFS($Y$5:$Y$1204,"&gt;"&amp;Y294)+COUNTIFS($Y$5:Y294,Y294))</f>
        <v>0</v>
      </c>
      <c r="AL294" s="39">
        <f>IF(B294="","",IF(H294="","Add - what kind of sale is this?",IF(IF(V294&lt;=0,P294="",FALSE),"Check - no price found for this item",IF(F294="","Assign - nobody credited",IF(AH294&gt;0.004,"Unpaid - balance outstanding",IF(AC294&lt;0,"Loss - sold below cost",IF(X294&gt;W294*0.5,"Check - more than half off","OK")))))))</f>
        <v>0</v>
      </c>
    </row>
    <row r="295" spans="1:38">
      <c r="A295" s="28">
        <f>IF(B295="","",SalePrefix&amp;TEXT(ROW()-4,"0000"))</f>
        <v>0</v>
      </c>
      <c r="E295" s="15">
        <f>IF(D295="","",IFERROR(INDEX(Clients!$B$5:$B$504,MATCH(D295,Clients!$A$5:$A$504,0)),"Walk-in"))</f>
        <v>0</v>
      </c>
      <c r="G295" s="15">
        <f>IF(F295="","",IFERROR(INDEX(Staff!$B$5:$B$44,MATCH(F295,Staff!$A$5:$A$44,0)),"House"))</f>
        <v>0</v>
      </c>
      <c r="R295" s="15">
        <f>IF(B295="","",TEXT(B295,"yyyy-mm"))</f>
        <v>0</v>
      </c>
      <c r="S295" s="25">
        <f>IF(B295="","",WEEKNUM(B295,2))</f>
        <v>0</v>
      </c>
      <c r="T295" s="37">
        <f>IF(B295="","",IF(K295="",1,K295))</f>
        <v>0</v>
      </c>
      <c r="U295" s="15">
        <f>IF(B295="","",IF(J295&lt;&gt;"",J295,IF(H295="Retail",IFERROR(INDEX(Inventory!$B$5:$B$304,MATCH(I295,Inventory!$A$5:$A$304,0))&amp;"","Not in Inventory"),IFERROR(INDEX(Services!$B$5:$B$204,MATCH(I295,Services!$A$5:$A$204,0))&amp;"","Not in Services"))))</f>
        <v>0</v>
      </c>
      <c r="V295" s="26">
        <f>IF(B295="","",IF(L295&lt;&gt;"",L295,IF(H295="Retail",IFERROR(INDEX(Inventory!$I$5:$I$304,MATCH(I295,Inventory!$A$5:$A$304,0))*1,0),IFERROR(INDEX(Services!$G$5:$G$204,MATCH(I295,Services!$A$5:$A$204,0))*1,0))))</f>
        <v>0</v>
      </c>
      <c r="W295" s="26">
        <f>IF(B295="","",ROUND(T295*V295,2))</f>
        <v>0</v>
      </c>
      <c r="X295" s="26">
        <f>IF(B295="","",ROUND(IF(M295="",0,W295*M295)+IF(N295="",0,N295),2))</f>
        <v>0</v>
      </c>
      <c r="Y295" s="26">
        <f>IF(B295="","",ROUND(W295-X295-IF(P295="",0,P295),2))</f>
        <v>0</v>
      </c>
      <c r="Z295" s="26">
        <f>IF(B295="","",IF(H295="Retail",IF(TaxOnRetail="Yes",ROUND(Y295*TaxRate,2),0),IF(H295="Service",IF(TaxOnServices="Yes",ROUND(Y295*TaxRate,2),0),0)))</f>
        <v>0</v>
      </c>
      <c r="AA295" s="26">
        <f>IF(B295="","",ROUND(Y295+Z295,2))</f>
        <v>0</v>
      </c>
      <c r="AB295" s="26">
        <f>IF(B295="","",ROUND(T295*IF(H295="Retail",IFERROR(INDEX(Inventory!$H$5:$H$304,MATCH(I295,Inventory!$A$5:$A$304,0))*1,0),IFERROR(INDEX(Services!$Q$5:$Q$204,MATCH(I295,Services!$A$5:$A$204,0))*1,0)),2))</f>
        <v>0</v>
      </c>
      <c r="AC295" s="26">
        <f>IF(B295="","",ROUND(Y295-AB295,2))</f>
        <v>0</v>
      </c>
      <c r="AD295" s="38">
        <f>IF(B295="","",IF(C295="","No",IF(COUNTIFS($C$5:C295,C295)=1,"Yes","No")))</f>
        <v>0</v>
      </c>
      <c r="AE295" s="26">
        <f>IF(B295="","",ROUND(SUMIFS(Payments!$G$5:$G$1204,Payments!$H$5:$H$1204,A295,Payments!$Q$5:$Q$1204,"Yes"),2))</f>
        <v>0</v>
      </c>
      <c r="AF295" s="26">
        <f>IF(B295="","",IF(AD295="No",0,ROUND(SUMIFS(Payments!$G$5:$G$1204,Payments!$I$5:$I$1204,C295,Payments!$H$5:$H$1204,"",Payments!$Q$5:$Q$1204,"Yes"),2)))</f>
        <v>0</v>
      </c>
      <c r="AG295" s="26">
        <f>IF(B295="","",ROUND(AE295+AF295,2))</f>
        <v>0</v>
      </c>
      <c r="AH295" s="26">
        <f>IF(B295="","",ROUND(AA295-AG295,2))</f>
        <v>0</v>
      </c>
      <c r="AI295" s="39">
        <f>IF(B295="","",IF(AA295&lt;=0,"No charge",IF(AH295&lt;=0.004,"Paid",IF(AG295&lt;=0.004,"Unpaid","Part paid"))))</f>
        <v>0</v>
      </c>
      <c r="AJ295" s="38">
        <f>IF(B295="","",IF(H295&lt;&gt;"Service","",IF(D295="","No",IF(COUNTIFS($D$5:$D$1204,D295,$B$5:$B$1204,B295,$H$5:$H$1204,"Retail")&gt;0,"Yes","No"))))</f>
        <v>0</v>
      </c>
      <c r="AK295" s="25">
        <f>IF(B295="","",COUNTIFS($Y$5:$Y$1204,"&gt;"&amp;Y295)+COUNTIFS($Y$5:Y295,Y295))</f>
        <v>0</v>
      </c>
      <c r="AL295" s="39">
        <f>IF(B295="","",IF(H295="","Add - what kind of sale is this?",IF(IF(V295&lt;=0,P295="",FALSE),"Check - no price found for this item",IF(F295="","Assign - nobody credited",IF(AH295&gt;0.004,"Unpaid - balance outstanding",IF(AC295&lt;0,"Loss - sold below cost",IF(X295&gt;W295*0.5,"Check - more than half off","OK")))))))</f>
        <v>0</v>
      </c>
    </row>
    <row r="296" spans="1:38">
      <c r="A296" s="28">
        <f>IF(B296="","",SalePrefix&amp;TEXT(ROW()-4,"0000"))</f>
        <v>0</v>
      </c>
      <c r="E296" s="15">
        <f>IF(D296="","",IFERROR(INDEX(Clients!$B$5:$B$504,MATCH(D296,Clients!$A$5:$A$504,0)),"Walk-in"))</f>
        <v>0</v>
      </c>
      <c r="G296" s="15">
        <f>IF(F296="","",IFERROR(INDEX(Staff!$B$5:$B$44,MATCH(F296,Staff!$A$5:$A$44,0)),"House"))</f>
        <v>0</v>
      </c>
      <c r="R296" s="15">
        <f>IF(B296="","",TEXT(B296,"yyyy-mm"))</f>
        <v>0</v>
      </c>
      <c r="S296" s="25">
        <f>IF(B296="","",WEEKNUM(B296,2))</f>
        <v>0</v>
      </c>
      <c r="T296" s="37">
        <f>IF(B296="","",IF(K296="",1,K296))</f>
        <v>0</v>
      </c>
      <c r="U296" s="15">
        <f>IF(B296="","",IF(J296&lt;&gt;"",J296,IF(H296="Retail",IFERROR(INDEX(Inventory!$B$5:$B$304,MATCH(I296,Inventory!$A$5:$A$304,0))&amp;"","Not in Inventory"),IFERROR(INDEX(Services!$B$5:$B$204,MATCH(I296,Services!$A$5:$A$204,0))&amp;"","Not in Services"))))</f>
        <v>0</v>
      </c>
      <c r="V296" s="26">
        <f>IF(B296="","",IF(L296&lt;&gt;"",L296,IF(H296="Retail",IFERROR(INDEX(Inventory!$I$5:$I$304,MATCH(I296,Inventory!$A$5:$A$304,0))*1,0),IFERROR(INDEX(Services!$G$5:$G$204,MATCH(I296,Services!$A$5:$A$204,0))*1,0))))</f>
        <v>0</v>
      </c>
      <c r="W296" s="26">
        <f>IF(B296="","",ROUND(T296*V296,2))</f>
        <v>0</v>
      </c>
      <c r="X296" s="26">
        <f>IF(B296="","",ROUND(IF(M296="",0,W296*M296)+IF(N296="",0,N296),2))</f>
        <v>0</v>
      </c>
      <c r="Y296" s="26">
        <f>IF(B296="","",ROUND(W296-X296-IF(P296="",0,P296),2))</f>
        <v>0</v>
      </c>
      <c r="Z296" s="26">
        <f>IF(B296="","",IF(H296="Retail",IF(TaxOnRetail="Yes",ROUND(Y296*TaxRate,2),0),IF(H296="Service",IF(TaxOnServices="Yes",ROUND(Y296*TaxRate,2),0),0)))</f>
        <v>0</v>
      </c>
      <c r="AA296" s="26">
        <f>IF(B296="","",ROUND(Y296+Z296,2))</f>
        <v>0</v>
      </c>
      <c r="AB296" s="26">
        <f>IF(B296="","",ROUND(T296*IF(H296="Retail",IFERROR(INDEX(Inventory!$H$5:$H$304,MATCH(I296,Inventory!$A$5:$A$304,0))*1,0),IFERROR(INDEX(Services!$Q$5:$Q$204,MATCH(I296,Services!$A$5:$A$204,0))*1,0)),2))</f>
        <v>0</v>
      </c>
      <c r="AC296" s="26">
        <f>IF(B296="","",ROUND(Y296-AB296,2))</f>
        <v>0</v>
      </c>
      <c r="AD296" s="38">
        <f>IF(B296="","",IF(C296="","No",IF(COUNTIFS($C$5:C296,C296)=1,"Yes","No")))</f>
        <v>0</v>
      </c>
      <c r="AE296" s="26">
        <f>IF(B296="","",ROUND(SUMIFS(Payments!$G$5:$G$1204,Payments!$H$5:$H$1204,A296,Payments!$Q$5:$Q$1204,"Yes"),2))</f>
        <v>0</v>
      </c>
      <c r="AF296" s="26">
        <f>IF(B296="","",IF(AD296="No",0,ROUND(SUMIFS(Payments!$G$5:$G$1204,Payments!$I$5:$I$1204,C296,Payments!$H$5:$H$1204,"",Payments!$Q$5:$Q$1204,"Yes"),2)))</f>
        <v>0</v>
      </c>
      <c r="AG296" s="26">
        <f>IF(B296="","",ROUND(AE296+AF296,2))</f>
        <v>0</v>
      </c>
      <c r="AH296" s="26">
        <f>IF(B296="","",ROUND(AA296-AG296,2))</f>
        <v>0</v>
      </c>
      <c r="AI296" s="39">
        <f>IF(B296="","",IF(AA296&lt;=0,"No charge",IF(AH296&lt;=0.004,"Paid",IF(AG296&lt;=0.004,"Unpaid","Part paid"))))</f>
        <v>0</v>
      </c>
      <c r="AJ296" s="38">
        <f>IF(B296="","",IF(H296&lt;&gt;"Service","",IF(D296="","No",IF(COUNTIFS($D$5:$D$1204,D296,$B$5:$B$1204,B296,$H$5:$H$1204,"Retail")&gt;0,"Yes","No"))))</f>
        <v>0</v>
      </c>
      <c r="AK296" s="25">
        <f>IF(B296="","",COUNTIFS($Y$5:$Y$1204,"&gt;"&amp;Y296)+COUNTIFS($Y$5:Y296,Y296))</f>
        <v>0</v>
      </c>
      <c r="AL296" s="39">
        <f>IF(B296="","",IF(H296="","Add - what kind of sale is this?",IF(IF(V296&lt;=0,P296="",FALSE),"Check - no price found for this item",IF(F296="","Assign - nobody credited",IF(AH296&gt;0.004,"Unpaid - balance outstanding",IF(AC296&lt;0,"Loss - sold below cost",IF(X296&gt;W296*0.5,"Check - more than half off","OK")))))))</f>
        <v>0</v>
      </c>
    </row>
    <row r="297" spans="1:38">
      <c r="A297" s="28">
        <f>IF(B297="","",SalePrefix&amp;TEXT(ROW()-4,"0000"))</f>
        <v>0</v>
      </c>
      <c r="E297" s="15">
        <f>IF(D297="","",IFERROR(INDEX(Clients!$B$5:$B$504,MATCH(D297,Clients!$A$5:$A$504,0)),"Walk-in"))</f>
        <v>0</v>
      </c>
      <c r="G297" s="15">
        <f>IF(F297="","",IFERROR(INDEX(Staff!$B$5:$B$44,MATCH(F297,Staff!$A$5:$A$44,0)),"House"))</f>
        <v>0</v>
      </c>
      <c r="R297" s="15">
        <f>IF(B297="","",TEXT(B297,"yyyy-mm"))</f>
        <v>0</v>
      </c>
      <c r="S297" s="25">
        <f>IF(B297="","",WEEKNUM(B297,2))</f>
        <v>0</v>
      </c>
      <c r="T297" s="37">
        <f>IF(B297="","",IF(K297="",1,K297))</f>
        <v>0</v>
      </c>
      <c r="U297" s="15">
        <f>IF(B297="","",IF(J297&lt;&gt;"",J297,IF(H297="Retail",IFERROR(INDEX(Inventory!$B$5:$B$304,MATCH(I297,Inventory!$A$5:$A$304,0))&amp;"","Not in Inventory"),IFERROR(INDEX(Services!$B$5:$B$204,MATCH(I297,Services!$A$5:$A$204,0))&amp;"","Not in Services"))))</f>
        <v>0</v>
      </c>
      <c r="V297" s="26">
        <f>IF(B297="","",IF(L297&lt;&gt;"",L297,IF(H297="Retail",IFERROR(INDEX(Inventory!$I$5:$I$304,MATCH(I297,Inventory!$A$5:$A$304,0))*1,0),IFERROR(INDEX(Services!$G$5:$G$204,MATCH(I297,Services!$A$5:$A$204,0))*1,0))))</f>
        <v>0</v>
      </c>
      <c r="W297" s="26">
        <f>IF(B297="","",ROUND(T297*V297,2))</f>
        <v>0</v>
      </c>
      <c r="X297" s="26">
        <f>IF(B297="","",ROUND(IF(M297="",0,W297*M297)+IF(N297="",0,N297),2))</f>
        <v>0</v>
      </c>
      <c r="Y297" s="26">
        <f>IF(B297="","",ROUND(W297-X297-IF(P297="",0,P297),2))</f>
        <v>0</v>
      </c>
      <c r="Z297" s="26">
        <f>IF(B297="","",IF(H297="Retail",IF(TaxOnRetail="Yes",ROUND(Y297*TaxRate,2),0),IF(H297="Service",IF(TaxOnServices="Yes",ROUND(Y297*TaxRate,2),0),0)))</f>
        <v>0</v>
      </c>
      <c r="AA297" s="26">
        <f>IF(B297="","",ROUND(Y297+Z297,2))</f>
        <v>0</v>
      </c>
      <c r="AB297" s="26">
        <f>IF(B297="","",ROUND(T297*IF(H297="Retail",IFERROR(INDEX(Inventory!$H$5:$H$304,MATCH(I297,Inventory!$A$5:$A$304,0))*1,0),IFERROR(INDEX(Services!$Q$5:$Q$204,MATCH(I297,Services!$A$5:$A$204,0))*1,0)),2))</f>
        <v>0</v>
      </c>
      <c r="AC297" s="26">
        <f>IF(B297="","",ROUND(Y297-AB297,2))</f>
        <v>0</v>
      </c>
      <c r="AD297" s="38">
        <f>IF(B297="","",IF(C297="","No",IF(COUNTIFS($C$5:C297,C297)=1,"Yes","No")))</f>
        <v>0</v>
      </c>
      <c r="AE297" s="26">
        <f>IF(B297="","",ROUND(SUMIFS(Payments!$G$5:$G$1204,Payments!$H$5:$H$1204,A297,Payments!$Q$5:$Q$1204,"Yes"),2))</f>
        <v>0</v>
      </c>
      <c r="AF297" s="26">
        <f>IF(B297="","",IF(AD297="No",0,ROUND(SUMIFS(Payments!$G$5:$G$1204,Payments!$I$5:$I$1204,C297,Payments!$H$5:$H$1204,"",Payments!$Q$5:$Q$1204,"Yes"),2)))</f>
        <v>0</v>
      </c>
      <c r="AG297" s="26">
        <f>IF(B297="","",ROUND(AE297+AF297,2))</f>
        <v>0</v>
      </c>
      <c r="AH297" s="26">
        <f>IF(B297="","",ROUND(AA297-AG297,2))</f>
        <v>0</v>
      </c>
      <c r="AI297" s="39">
        <f>IF(B297="","",IF(AA297&lt;=0,"No charge",IF(AH297&lt;=0.004,"Paid",IF(AG297&lt;=0.004,"Unpaid","Part paid"))))</f>
        <v>0</v>
      </c>
      <c r="AJ297" s="38">
        <f>IF(B297="","",IF(H297&lt;&gt;"Service","",IF(D297="","No",IF(COUNTIFS($D$5:$D$1204,D297,$B$5:$B$1204,B297,$H$5:$H$1204,"Retail")&gt;0,"Yes","No"))))</f>
        <v>0</v>
      </c>
      <c r="AK297" s="25">
        <f>IF(B297="","",COUNTIFS($Y$5:$Y$1204,"&gt;"&amp;Y297)+COUNTIFS($Y$5:Y297,Y297))</f>
        <v>0</v>
      </c>
      <c r="AL297" s="39">
        <f>IF(B297="","",IF(H297="","Add - what kind of sale is this?",IF(IF(V297&lt;=0,P297="",FALSE),"Check - no price found for this item",IF(F297="","Assign - nobody credited",IF(AH297&gt;0.004,"Unpaid - balance outstanding",IF(AC297&lt;0,"Loss - sold below cost",IF(X297&gt;W297*0.5,"Check - more than half off","OK")))))))</f>
        <v>0</v>
      </c>
    </row>
    <row r="298" spans="1:38">
      <c r="A298" s="28">
        <f>IF(B298="","",SalePrefix&amp;TEXT(ROW()-4,"0000"))</f>
        <v>0</v>
      </c>
      <c r="E298" s="15">
        <f>IF(D298="","",IFERROR(INDEX(Clients!$B$5:$B$504,MATCH(D298,Clients!$A$5:$A$504,0)),"Walk-in"))</f>
        <v>0</v>
      </c>
      <c r="G298" s="15">
        <f>IF(F298="","",IFERROR(INDEX(Staff!$B$5:$B$44,MATCH(F298,Staff!$A$5:$A$44,0)),"House"))</f>
        <v>0</v>
      </c>
      <c r="R298" s="15">
        <f>IF(B298="","",TEXT(B298,"yyyy-mm"))</f>
        <v>0</v>
      </c>
      <c r="S298" s="25">
        <f>IF(B298="","",WEEKNUM(B298,2))</f>
        <v>0</v>
      </c>
      <c r="T298" s="37">
        <f>IF(B298="","",IF(K298="",1,K298))</f>
        <v>0</v>
      </c>
      <c r="U298" s="15">
        <f>IF(B298="","",IF(J298&lt;&gt;"",J298,IF(H298="Retail",IFERROR(INDEX(Inventory!$B$5:$B$304,MATCH(I298,Inventory!$A$5:$A$304,0))&amp;"","Not in Inventory"),IFERROR(INDEX(Services!$B$5:$B$204,MATCH(I298,Services!$A$5:$A$204,0))&amp;"","Not in Services"))))</f>
        <v>0</v>
      </c>
      <c r="V298" s="26">
        <f>IF(B298="","",IF(L298&lt;&gt;"",L298,IF(H298="Retail",IFERROR(INDEX(Inventory!$I$5:$I$304,MATCH(I298,Inventory!$A$5:$A$304,0))*1,0),IFERROR(INDEX(Services!$G$5:$G$204,MATCH(I298,Services!$A$5:$A$204,0))*1,0))))</f>
        <v>0</v>
      </c>
      <c r="W298" s="26">
        <f>IF(B298="","",ROUND(T298*V298,2))</f>
        <v>0</v>
      </c>
      <c r="X298" s="26">
        <f>IF(B298="","",ROUND(IF(M298="",0,W298*M298)+IF(N298="",0,N298),2))</f>
        <v>0</v>
      </c>
      <c r="Y298" s="26">
        <f>IF(B298="","",ROUND(W298-X298-IF(P298="",0,P298),2))</f>
        <v>0</v>
      </c>
      <c r="Z298" s="26">
        <f>IF(B298="","",IF(H298="Retail",IF(TaxOnRetail="Yes",ROUND(Y298*TaxRate,2),0),IF(H298="Service",IF(TaxOnServices="Yes",ROUND(Y298*TaxRate,2),0),0)))</f>
        <v>0</v>
      </c>
      <c r="AA298" s="26">
        <f>IF(B298="","",ROUND(Y298+Z298,2))</f>
        <v>0</v>
      </c>
      <c r="AB298" s="26">
        <f>IF(B298="","",ROUND(T298*IF(H298="Retail",IFERROR(INDEX(Inventory!$H$5:$H$304,MATCH(I298,Inventory!$A$5:$A$304,0))*1,0),IFERROR(INDEX(Services!$Q$5:$Q$204,MATCH(I298,Services!$A$5:$A$204,0))*1,0)),2))</f>
        <v>0</v>
      </c>
      <c r="AC298" s="26">
        <f>IF(B298="","",ROUND(Y298-AB298,2))</f>
        <v>0</v>
      </c>
      <c r="AD298" s="38">
        <f>IF(B298="","",IF(C298="","No",IF(COUNTIFS($C$5:C298,C298)=1,"Yes","No")))</f>
        <v>0</v>
      </c>
      <c r="AE298" s="26">
        <f>IF(B298="","",ROUND(SUMIFS(Payments!$G$5:$G$1204,Payments!$H$5:$H$1204,A298,Payments!$Q$5:$Q$1204,"Yes"),2))</f>
        <v>0</v>
      </c>
      <c r="AF298" s="26">
        <f>IF(B298="","",IF(AD298="No",0,ROUND(SUMIFS(Payments!$G$5:$G$1204,Payments!$I$5:$I$1204,C298,Payments!$H$5:$H$1204,"",Payments!$Q$5:$Q$1204,"Yes"),2)))</f>
        <v>0</v>
      </c>
      <c r="AG298" s="26">
        <f>IF(B298="","",ROUND(AE298+AF298,2))</f>
        <v>0</v>
      </c>
      <c r="AH298" s="26">
        <f>IF(B298="","",ROUND(AA298-AG298,2))</f>
        <v>0</v>
      </c>
      <c r="AI298" s="39">
        <f>IF(B298="","",IF(AA298&lt;=0,"No charge",IF(AH298&lt;=0.004,"Paid",IF(AG298&lt;=0.004,"Unpaid","Part paid"))))</f>
        <v>0</v>
      </c>
      <c r="AJ298" s="38">
        <f>IF(B298="","",IF(H298&lt;&gt;"Service","",IF(D298="","No",IF(COUNTIFS($D$5:$D$1204,D298,$B$5:$B$1204,B298,$H$5:$H$1204,"Retail")&gt;0,"Yes","No"))))</f>
        <v>0</v>
      </c>
      <c r="AK298" s="25">
        <f>IF(B298="","",COUNTIFS($Y$5:$Y$1204,"&gt;"&amp;Y298)+COUNTIFS($Y$5:Y298,Y298))</f>
        <v>0</v>
      </c>
      <c r="AL298" s="39">
        <f>IF(B298="","",IF(H298="","Add - what kind of sale is this?",IF(IF(V298&lt;=0,P298="",FALSE),"Check - no price found for this item",IF(F298="","Assign - nobody credited",IF(AH298&gt;0.004,"Unpaid - balance outstanding",IF(AC298&lt;0,"Loss - sold below cost",IF(X298&gt;W298*0.5,"Check - more than half off","OK")))))))</f>
        <v>0</v>
      </c>
    </row>
    <row r="299" spans="1:38">
      <c r="A299" s="28">
        <f>IF(B299="","",SalePrefix&amp;TEXT(ROW()-4,"0000"))</f>
        <v>0</v>
      </c>
      <c r="E299" s="15">
        <f>IF(D299="","",IFERROR(INDEX(Clients!$B$5:$B$504,MATCH(D299,Clients!$A$5:$A$504,0)),"Walk-in"))</f>
        <v>0</v>
      </c>
      <c r="G299" s="15">
        <f>IF(F299="","",IFERROR(INDEX(Staff!$B$5:$B$44,MATCH(F299,Staff!$A$5:$A$44,0)),"House"))</f>
        <v>0</v>
      </c>
      <c r="R299" s="15">
        <f>IF(B299="","",TEXT(B299,"yyyy-mm"))</f>
        <v>0</v>
      </c>
      <c r="S299" s="25">
        <f>IF(B299="","",WEEKNUM(B299,2))</f>
        <v>0</v>
      </c>
      <c r="T299" s="37">
        <f>IF(B299="","",IF(K299="",1,K299))</f>
        <v>0</v>
      </c>
      <c r="U299" s="15">
        <f>IF(B299="","",IF(J299&lt;&gt;"",J299,IF(H299="Retail",IFERROR(INDEX(Inventory!$B$5:$B$304,MATCH(I299,Inventory!$A$5:$A$304,0))&amp;"","Not in Inventory"),IFERROR(INDEX(Services!$B$5:$B$204,MATCH(I299,Services!$A$5:$A$204,0))&amp;"","Not in Services"))))</f>
        <v>0</v>
      </c>
      <c r="V299" s="26">
        <f>IF(B299="","",IF(L299&lt;&gt;"",L299,IF(H299="Retail",IFERROR(INDEX(Inventory!$I$5:$I$304,MATCH(I299,Inventory!$A$5:$A$304,0))*1,0),IFERROR(INDEX(Services!$G$5:$G$204,MATCH(I299,Services!$A$5:$A$204,0))*1,0))))</f>
        <v>0</v>
      </c>
      <c r="W299" s="26">
        <f>IF(B299="","",ROUND(T299*V299,2))</f>
        <v>0</v>
      </c>
      <c r="X299" s="26">
        <f>IF(B299="","",ROUND(IF(M299="",0,W299*M299)+IF(N299="",0,N299),2))</f>
        <v>0</v>
      </c>
      <c r="Y299" s="26">
        <f>IF(B299="","",ROUND(W299-X299-IF(P299="",0,P299),2))</f>
        <v>0</v>
      </c>
      <c r="Z299" s="26">
        <f>IF(B299="","",IF(H299="Retail",IF(TaxOnRetail="Yes",ROUND(Y299*TaxRate,2),0),IF(H299="Service",IF(TaxOnServices="Yes",ROUND(Y299*TaxRate,2),0),0)))</f>
        <v>0</v>
      </c>
      <c r="AA299" s="26">
        <f>IF(B299="","",ROUND(Y299+Z299,2))</f>
        <v>0</v>
      </c>
      <c r="AB299" s="26">
        <f>IF(B299="","",ROUND(T299*IF(H299="Retail",IFERROR(INDEX(Inventory!$H$5:$H$304,MATCH(I299,Inventory!$A$5:$A$304,0))*1,0),IFERROR(INDEX(Services!$Q$5:$Q$204,MATCH(I299,Services!$A$5:$A$204,0))*1,0)),2))</f>
        <v>0</v>
      </c>
      <c r="AC299" s="26">
        <f>IF(B299="","",ROUND(Y299-AB299,2))</f>
        <v>0</v>
      </c>
      <c r="AD299" s="38">
        <f>IF(B299="","",IF(C299="","No",IF(COUNTIFS($C$5:C299,C299)=1,"Yes","No")))</f>
        <v>0</v>
      </c>
      <c r="AE299" s="26">
        <f>IF(B299="","",ROUND(SUMIFS(Payments!$G$5:$G$1204,Payments!$H$5:$H$1204,A299,Payments!$Q$5:$Q$1204,"Yes"),2))</f>
        <v>0</v>
      </c>
      <c r="AF299" s="26">
        <f>IF(B299="","",IF(AD299="No",0,ROUND(SUMIFS(Payments!$G$5:$G$1204,Payments!$I$5:$I$1204,C299,Payments!$H$5:$H$1204,"",Payments!$Q$5:$Q$1204,"Yes"),2)))</f>
        <v>0</v>
      </c>
      <c r="AG299" s="26">
        <f>IF(B299="","",ROUND(AE299+AF299,2))</f>
        <v>0</v>
      </c>
      <c r="AH299" s="26">
        <f>IF(B299="","",ROUND(AA299-AG299,2))</f>
        <v>0</v>
      </c>
      <c r="AI299" s="39">
        <f>IF(B299="","",IF(AA299&lt;=0,"No charge",IF(AH299&lt;=0.004,"Paid",IF(AG299&lt;=0.004,"Unpaid","Part paid"))))</f>
        <v>0</v>
      </c>
      <c r="AJ299" s="38">
        <f>IF(B299="","",IF(H299&lt;&gt;"Service","",IF(D299="","No",IF(COUNTIFS($D$5:$D$1204,D299,$B$5:$B$1204,B299,$H$5:$H$1204,"Retail")&gt;0,"Yes","No"))))</f>
        <v>0</v>
      </c>
      <c r="AK299" s="25">
        <f>IF(B299="","",COUNTIFS($Y$5:$Y$1204,"&gt;"&amp;Y299)+COUNTIFS($Y$5:Y299,Y299))</f>
        <v>0</v>
      </c>
      <c r="AL299" s="39">
        <f>IF(B299="","",IF(H299="","Add - what kind of sale is this?",IF(IF(V299&lt;=0,P299="",FALSE),"Check - no price found for this item",IF(F299="","Assign - nobody credited",IF(AH299&gt;0.004,"Unpaid - balance outstanding",IF(AC299&lt;0,"Loss - sold below cost",IF(X299&gt;W299*0.5,"Check - more than half off","OK")))))))</f>
        <v>0</v>
      </c>
    </row>
    <row r="300" spans="1:38">
      <c r="A300" s="28">
        <f>IF(B300="","",SalePrefix&amp;TEXT(ROW()-4,"0000"))</f>
        <v>0</v>
      </c>
      <c r="E300" s="15">
        <f>IF(D300="","",IFERROR(INDEX(Clients!$B$5:$B$504,MATCH(D300,Clients!$A$5:$A$504,0)),"Walk-in"))</f>
        <v>0</v>
      </c>
      <c r="G300" s="15">
        <f>IF(F300="","",IFERROR(INDEX(Staff!$B$5:$B$44,MATCH(F300,Staff!$A$5:$A$44,0)),"House"))</f>
        <v>0</v>
      </c>
      <c r="R300" s="15">
        <f>IF(B300="","",TEXT(B300,"yyyy-mm"))</f>
        <v>0</v>
      </c>
      <c r="S300" s="25">
        <f>IF(B300="","",WEEKNUM(B300,2))</f>
        <v>0</v>
      </c>
      <c r="T300" s="37">
        <f>IF(B300="","",IF(K300="",1,K300))</f>
        <v>0</v>
      </c>
      <c r="U300" s="15">
        <f>IF(B300="","",IF(J300&lt;&gt;"",J300,IF(H300="Retail",IFERROR(INDEX(Inventory!$B$5:$B$304,MATCH(I300,Inventory!$A$5:$A$304,0))&amp;"","Not in Inventory"),IFERROR(INDEX(Services!$B$5:$B$204,MATCH(I300,Services!$A$5:$A$204,0))&amp;"","Not in Services"))))</f>
        <v>0</v>
      </c>
      <c r="V300" s="26">
        <f>IF(B300="","",IF(L300&lt;&gt;"",L300,IF(H300="Retail",IFERROR(INDEX(Inventory!$I$5:$I$304,MATCH(I300,Inventory!$A$5:$A$304,0))*1,0),IFERROR(INDEX(Services!$G$5:$G$204,MATCH(I300,Services!$A$5:$A$204,0))*1,0))))</f>
        <v>0</v>
      </c>
      <c r="W300" s="26">
        <f>IF(B300="","",ROUND(T300*V300,2))</f>
        <v>0</v>
      </c>
      <c r="X300" s="26">
        <f>IF(B300="","",ROUND(IF(M300="",0,W300*M300)+IF(N300="",0,N300),2))</f>
        <v>0</v>
      </c>
      <c r="Y300" s="26">
        <f>IF(B300="","",ROUND(W300-X300-IF(P300="",0,P300),2))</f>
        <v>0</v>
      </c>
      <c r="Z300" s="26">
        <f>IF(B300="","",IF(H300="Retail",IF(TaxOnRetail="Yes",ROUND(Y300*TaxRate,2),0),IF(H300="Service",IF(TaxOnServices="Yes",ROUND(Y300*TaxRate,2),0),0)))</f>
        <v>0</v>
      </c>
      <c r="AA300" s="26">
        <f>IF(B300="","",ROUND(Y300+Z300,2))</f>
        <v>0</v>
      </c>
      <c r="AB300" s="26">
        <f>IF(B300="","",ROUND(T300*IF(H300="Retail",IFERROR(INDEX(Inventory!$H$5:$H$304,MATCH(I300,Inventory!$A$5:$A$304,0))*1,0),IFERROR(INDEX(Services!$Q$5:$Q$204,MATCH(I300,Services!$A$5:$A$204,0))*1,0)),2))</f>
        <v>0</v>
      </c>
      <c r="AC300" s="26">
        <f>IF(B300="","",ROUND(Y300-AB300,2))</f>
        <v>0</v>
      </c>
      <c r="AD300" s="38">
        <f>IF(B300="","",IF(C300="","No",IF(COUNTIFS($C$5:C300,C300)=1,"Yes","No")))</f>
        <v>0</v>
      </c>
      <c r="AE300" s="26">
        <f>IF(B300="","",ROUND(SUMIFS(Payments!$G$5:$G$1204,Payments!$H$5:$H$1204,A300,Payments!$Q$5:$Q$1204,"Yes"),2))</f>
        <v>0</v>
      </c>
      <c r="AF300" s="26">
        <f>IF(B300="","",IF(AD300="No",0,ROUND(SUMIFS(Payments!$G$5:$G$1204,Payments!$I$5:$I$1204,C300,Payments!$H$5:$H$1204,"",Payments!$Q$5:$Q$1204,"Yes"),2)))</f>
        <v>0</v>
      </c>
      <c r="AG300" s="26">
        <f>IF(B300="","",ROUND(AE300+AF300,2))</f>
        <v>0</v>
      </c>
      <c r="AH300" s="26">
        <f>IF(B300="","",ROUND(AA300-AG300,2))</f>
        <v>0</v>
      </c>
      <c r="AI300" s="39">
        <f>IF(B300="","",IF(AA300&lt;=0,"No charge",IF(AH300&lt;=0.004,"Paid",IF(AG300&lt;=0.004,"Unpaid","Part paid"))))</f>
        <v>0</v>
      </c>
      <c r="AJ300" s="38">
        <f>IF(B300="","",IF(H300&lt;&gt;"Service","",IF(D300="","No",IF(COUNTIFS($D$5:$D$1204,D300,$B$5:$B$1204,B300,$H$5:$H$1204,"Retail")&gt;0,"Yes","No"))))</f>
        <v>0</v>
      </c>
      <c r="AK300" s="25">
        <f>IF(B300="","",COUNTIFS($Y$5:$Y$1204,"&gt;"&amp;Y300)+COUNTIFS($Y$5:Y300,Y300))</f>
        <v>0</v>
      </c>
      <c r="AL300" s="39">
        <f>IF(B300="","",IF(H300="","Add - what kind of sale is this?",IF(IF(V300&lt;=0,P300="",FALSE),"Check - no price found for this item",IF(F300="","Assign - nobody credited",IF(AH300&gt;0.004,"Unpaid - balance outstanding",IF(AC300&lt;0,"Loss - sold below cost",IF(X300&gt;W300*0.5,"Check - more than half off","OK")))))))</f>
        <v>0</v>
      </c>
    </row>
    <row r="301" spans="1:38">
      <c r="A301" s="28">
        <f>IF(B301="","",SalePrefix&amp;TEXT(ROW()-4,"0000"))</f>
        <v>0</v>
      </c>
      <c r="E301" s="15">
        <f>IF(D301="","",IFERROR(INDEX(Clients!$B$5:$B$504,MATCH(D301,Clients!$A$5:$A$504,0)),"Walk-in"))</f>
        <v>0</v>
      </c>
      <c r="G301" s="15">
        <f>IF(F301="","",IFERROR(INDEX(Staff!$B$5:$B$44,MATCH(F301,Staff!$A$5:$A$44,0)),"House"))</f>
        <v>0</v>
      </c>
      <c r="R301" s="15">
        <f>IF(B301="","",TEXT(B301,"yyyy-mm"))</f>
        <v>0</v>
      </c>
      <c r="S301" s="25">
        <f>IF(B301="","",WEEKNUM(B301,2))</f>
        <v>0</v>
      </c>
      <c r="T301" s="37">
        <f>IF(B301="","",IF(K301="",1,K301))</f>
        <v>0</v>
      </c>
      <c r="U301" s="15">
        <f>IF(B301="","",IF(J301&lt;&gt;"",J301,IF(H301="Retail",IFERROR(INDEX(Inventory!$B$5:$B$304,MATCH(I301,Inventory!$A$5:$A$304,0))&amp;"","Not in Inventory"),IFERROR(INDEX(Services!$B$5:$B$204,MATCH(I301,Services!$A$5:$A$204,0))&amp;"","Not in Services"))))</f>
        <v>0</v>
      </c>
      <c r="V301" s="26">
        <f>IF(B301="","",IF(L301&lt;&gt;"",L301,IF(H301="Retail",IFERROR(INDEX(Inventory!$I$5:$I$304,MATCH(I301,Inventory!$A$5:$A$304,0))*1,0),IFERROR(INDEX(Services!$G$5:$G$204,MATCH(I301,Services!$A$5:$A$204,0))*1,0))))</f>
        <v>0</v>
      </c>
      <c r="W301" s="26">
        <f>IF(B301="","",ROUND(T301*V301,2))</f>
        <v>0</v>
      </c>
      <c r="X301" s="26">
        <f>IF(B301="","",ROUND(IF(M301="",0,W301*M301)+IF(N301="",0,N301),2))</f>
        <v>0</v>
      </c>
      <c r="Y301" s="26">
        <f>IF(B301="","",ROUND(W301-X301-IF(P301="",0,P301),2))</f>
        <v>0</v>
      </c>
      <c r="Z301" s="26">
        <f>IF(B301="","",IF(H301="Retail",IF(TaxOnRetail="Yes",ROUND(Y301*TaxRate,2),0),IF(H301="Service",IF(TaxOnServices="Yes",ROUND(Y301*TaxRate,2),0),0)))</f>
        <v>0</v>
      </c>
      <c r="AA301" s="26">
        <f>IF(B301="","",ROUND(Y301+Z301,2))</f>
        <v>0</v>
      </c>
      <c r="AB301" s="26">
        <f>IF(B301="","",ROUND(T301*IF(H301="Retail",IFERROR(INDEX(Inventory!$H$5:$H$304,MATCH(I301,Inventory!$A$5:$A$304,0))*1,0),IFERROR(INDEX(Services!$Q$5:$Q$204,MATCH(I301,Services!$A$5:$A$204,0))*1,0)),2))</f>
        <v>0</v>
      </c>
      <c r="AC301" s="26">
        <f>IF(B301="","",ROUND(Y301-AB301,2))</f>
        <v>0</v>
      </c>
      <c r="AD301" s="38">
        <f>IF(B301="","",IF(C301="","No",IF(COUNTIFS($C$5:C301,C301)=1,"Yes","No")))</f>
        <v>0</v>
      </c>
      <c r="AE301" s="26">
        <f>IF(B301="","",ROUND(SUMIFS(Payments!$G$5:$G$1204,Payments!$H$5:$H$1204,A301,Payments!$Q$5:$Q$1204,"Yes"),2))</f>
        <v>0</v>
      </c>
      <c r="AF301" s="26">
        <f>IF(B301="","",IF(AD301="No",0,ROUND(SUMIFS(Payments!$G$5:$G$1204,Payments!$I$5:$I$1204,C301,Payments!$H$5:$H$1204,"",Payments!$Q$5:$Q$1204,"Yes"),2)))</f>
        <v>0</v>
      </c>
      <c r="AG301" s="26">
        <f>IF(B301="","",ROUND(AE301+AF301,2))</f>
        <v>0</v>
      </c>
      <c r="AH301" s="26">
        <f>IF(B301="","",ROUND(AA301-AG301,2))</f>
        <v>0</v>
      </c>
      <c r="AI301" s="39">
        <f>IF(B301="","",IF(AA301&lt;=0,"No charge",IF(AH301&lt;=0.004,"Paid",IF(AG301&lt;=0.004,"Unpaid","Part paid"))))</f>
        <v>0</v>
      </c>
      <c r="AJ301" s="38">
        <f>IF(B301="","",IF(H301&lt;&gt;"Service","",IF(D301="","No",IF(COUNTIFS($D$5:$D$1204,D301,$B$5:$B$1204,B301,$H$5:$H$1204,"Retail")&gt;0,"Yes","No"))))</f>
        <v>0</v>
      </c>
      <c r="AK301" s="25">
        <f>IF(B301="","",COUNTIFS($Y$5:$Y$1204,"&gt;"&amp;Y301)+COUNTIFS($Y$5:Y301,Y301))</f>
        <v>0</v>
      </c>
      <c r="AL301" s="39">
        <f>IF(B301="","",IF(H301="","Add - what kind of sale is this?",IF(IF(V301&lt;=0,P301="",FALSE),"Check - no price found for this item",IF(F301="","Assign - nobody credited",IF(AH301&gt;0.004,"Unpaid - balance outstanding",IF(AC301&lt;0,"Loss - sold below cost",IF(X301&gt;W301*0.5,"Check - more than half off","OK")))))))</f>
        <v>0</v>
      </c>
    </row>
    <row r="302" spans="1:38">
      <c r="A302" s="28">
        <f>IF(B302="","",SalePrefix&amp;TEXT(ROW()-4,"0000"))</f>
        <v>0</v>
      </c>
      <c r="E302" s="15">
        <f>IF(D302="","",IFERROR(INDEX(Clients!$B$5:$B$504,MATCH(D302,Clients!$A$5:$A$504,0)),"Walk-in"))</f>
        <v>0</v>
      </c>
      <c r="G302" s="15">
        <f>IF(F302="","",IFERROR(INDEX(Staff!$B$5:$B$44,MATCH(F302,Staff!$A$5:$A$44,0)),"House"))</f>
        <v>0</v>
      </c>
      <c r="R302" s="15">
        <f>IF(B302="","",TEXT(B302,"yyyy-mm"))</f>
        <v>0</v>
      </c>
      <c r="S302" s="25">
        <f>IF(B302="","",WEEKNUM(B302,2))</f>
        <v>0</v>
      </c>
      <c r="T302" s="37">
        <f>IF(B302="","",IF(K302="",1,K302))</f>
        <v>0</v>
      </c>
      <c r="U302" s="15">
        <f>IF(B302="","",IF(J302&lt;&gt;"",J302,IF(H302="Retail",IFERROR(INDEX(Inventory!$B$5:$B$304,MATCH(I302,Inventory!$A$5:$A$304,0))&amp;"","Not in Inventory"),IFERROR(INDEX(Services!$B$5:$B$204,MATCH(I302,Services!$A$5:$A$204,0))&amp;"","Not in Services"))))</f>
        <v>0</v>
      </c>
      <c r="V302" s="26">
        <f>IF(B302="","",IF(L302&lt;&gt;"",L302,IF(H302="Retail",IFERROR(INDEX(Inventory!$I$5:$I$304,MATCH(I302,Inventory!$A$5:$A$304,0))*1,0),IFERROR(INDEX(Services!$G$5:$G$204,MATCH(I302,Services!$A$5:$A$204,0))*1,0))))</f>
        <v>0</v>
      </c>
      <c r="W302" s="26">
        <f>IF(B302="","",ROUND(T302*V302,2))</f>
        <v>0</v>
      </c>
      <c r="X302" s="26">
        <f>IF(B302="","",ROUND(IF(M302="",0,W302*M302)+IF(N302="",0,N302),2))</f>
        <v>0</v>
      </c>
      <c r="Y302" s="26">
        <f>IF(B302="","",ROUND(W302-X302-IF(P302="",0,P302),2))</f>
        <v>0</v>
      </c>
      <c r="Z302" s="26">
        <f>IF(B302="","",IF(H302="Retail",IF(TaxOnRetail="Yes",ROUND(Y302*TaxRate,2),0),IF(H302="Service",IF(TaxOnServices="Yes",ROUND(Y302*TaxRate,2),0),0)))</f>
        <v>0</v>
      </c>
      <c r="AA302" s="26">
        <f>IF(B302="","",ROUND(Y302+Z302,2))</f>
        <v>0</v>
      </c>
      <c r="AB302" s="26">
        <f>IF(B302="","",ROUND(T302*IF(H302="Retail",IFERROR(INDEX(Inventory!$H$5:$H$304,MATCH(I302,Inventory!$A$5:$A$304,0))*1,0),IFERROR(INDEX(Services!$Q$5:$Q$204,MATCH(I302,Services!$A$5:$A$204,0))*1,0)),2))</f>
        <v>0</v>
      </c>
      <c r="AC302" s="26">
        <f>IF(B302="","",ROUND(Y302-AB302,2))</f>
        <v>0</v>
      </c>
      <c r="AD302" s="38">
        <f>IF(B302="","",IF(C302="","No",IF(COUNTIFS($C$5:C302,C302)=1,"Yes","No")))</f>
        <v>0</v>
      </c>
      <c r="AE302" s="26">
        <f>IF(B302="","",ROUND(SUMIFS(Payments!$G$5:$G$1204,Payments!$H$5:$H$1204,A302,Payments!$Q$5:$Q$1204,"Yes"),2))</f>
        <v>0</v>
      </c>
      <c r="AF302" s="26">
        <f>IF(B302="","",IF(AD302="No",0,ROUND(SUMIFS(Payments!$G$5:$G$1204,Payments!$I$5:$I$1204,C302,Payments!$H$5:$H$1204,"",Payments!$Q$5:$Q$1204,"Yes"),2)))</f>
        <v>0</v>
      </c>
      <c r="AG302" s="26">
        <f>IF(B302="","",ROUND(AE302+AF302,2))</f>
        <v>0</v>
      </c>
      <c r="AH302" s="26">
        <f>IF(B302="","",ROUND(AA302-AG302,2))</f>
        <v>0</v>
      </c>
      <c r="AI302" s="39">
        <f>IF(B302="","",IF(AA302&lt;=0,"No charge",IF(AH302&lt;=0.004,"Paid",IF(AG302&lt;=0.004,"Unpaid","Part paid"))))</f>
        <v>0</v>
      </c>
      <c r="AJ302" s="38">
        <f>IF(B302="","",IF(H302&lt;&gt;"Service","",IF(D302="","No",IF(COUNTIFS($D$5:$D$1204,D302,$B$5:$B$1204,B302,$H$5:$H$1204,"Retail")&gt;0,"Yes","No"))))</f>
        <v>0</v>
      </c>
      <c r="AK302" s="25">
        <f>IF(B302="","",COUNTIFS($Y$5:$Y$1204,"&gt;"&amp;Y302)+COUNTIFS($Y$5:Y302,Y302))</f>
        <v>0</v>
      </c>
      <c r="AL302" s="39">
        <f>IF(B302="","",IF(H302="","Add - what kind of sale is this?",IF(IF(V302&lt;=0,P302="",FALSE),"Check - no price found for this item",IF(F302="","Assign - nobody credited",IF(AH302&gt;0.004,"Unpaid - balance outstanding",IF(AC302&lt;0,"Loss - sold below cost",IF(X302&gt;W302*0.5,"Check - more than half off","OK")))))))</f>
        <v>0</v>
      </c>
    </row>
    <row r="303" spans="1:38">
      <c r="A303" s="28">
        <f>IF(B303="","",SalePrefix&amp;TEXT(ROW()-4,"0000"))</f>
        <v>0</v>
      </c>
      <c r="E303" s="15">
        <f>IF(D303="","",IFERROR(INDEX(Clients!$B$5:$B$504,MATCH(D303,Clients!$A$5:$A$504,0)),"Walk-in"))</f>
        <v>0</v>
      </c>
      <c r="G303" s="15">
        <f>IF(F303="","",IFERROR(INDEX(Staff!$B$5:$B$44,MATCH(F303,Staff!$A$5:$A$44,0)),"House"))</f>
        <v>0</v>
      </c>
      <c r="R303" s="15">
        <f>IF(B303="","",TEXT(B303,"yyyy-mm"))</f>
        <v>0</v>
      </c>
      <c r="S303" s="25">
        <f>IF(B303="","",WEEKNUM(B303,2))</f>
        <v>0</v>
      </c>
      <c r="T303" s="37">
        <f>IF(B303="","",IF(K303="",1,K303))</f>
        <v>0</v>
      </c>
      <c r="U303" s="15">
        <f>IF(B303="","",IF(J303&lt;&gt;"",J303,IF(H303="Retail",IFERROR(INDEX(Inventory!$B$5:$B$304,MATCH(I303,Inventory!$A$5:$A$304,0))&amp;"","Not in Inventory"),IFERROR(INDEX(Services!$B$5:$B$204,MATCH(I303,Services!$A$5:$A$204,0))&amp;"","Not in Services"))))</f>
        <v>0</v>
      </c>
      <c r="V303" s="26">
        <f>IF(B303="","",IF(L303&lt;&gt;"",L303,IF(H303="Retail",IFERROR(INDEX(Inventory!$I$5:$I$304,MATCH(I303,Inventory!$A$5:$A$304,0))*1,0),IFERROR(INDEX(Services!$G$5:$G$204,MATCH(I303,Services!$A$5:$A$204,0))*1,0))))</f>
        <v>0</v>
      </c>
      <c r="W303" s="26">
        <f>IF(B303="","",ROUND(T303*V303,2))</f>
        <v>0</v>
      </c>
      <c r="X303" s="26">
        <f>IF(B303="","",ROUND(IF(M303="",0,W303*M303)+IF(N303="",0,N303),2))</f>
        <v>0</v>
      </c>
      <c r="Y303" s="26">
        <f>IF(B303="","",ROUND(W303-X303-IF(P303="",0,P303),2))</f>
        <v>0</v>
      </c>
      <c r="Z303" s="26">
        <f>IF(B303="","",IF(H303="Retail",IF(TaxOnRetail="Yes",ROUND(Y303*TaxRate,2),0),IF(H303="Service",IF(TaxOnServices="Yes",ROUND(Y303*TaxRate,2),0),0)))</f>
        <v>0</v>
      </c>
      <c r="AA303" s="26">
        <f>IF(B303="","",ROUND(Y303+Z303,2))</f>
        <v>0</v>
      </c>
      <c r="AB303" s="26">
        <f>IF(B303="","",ROUND(T303*IF(H303="Retail",IFERROR(INDEX(Inventory!$H$5:$H$304,MATCH(I303,Inventory!$A$5:$A$304,0))*1,0),IFERROR(INDEX(Services!$Q$5:$Q$204,MATCH(I303,Services!$A$5:$A$204,0))*1,0)),2))</f>
        <v>0</v>
      </c>
      <c r="AC303" s="26">
        <f>IF(B303="","",ROUND(Y303-AB303,2))</f>
        <v>0</v>
      </c>
      <c r="AD303" s="38">
        <f>IF(B303="","",IF(C303="","No",IF(COUNTIFS($C$5:C303,C303)=1,"Yes","No")))</f>
        <v>0</v>
      </c>
      <c r="AE303" s="26">
        <f>IF(B303="","",ROUND(SUMIFS(Payments!$G$5:$G$1204,Payments!$H$5:$H$1204,A303,Payments!$Q$5:$Q$1204,"Yes"),2))</f>
        <v>0</v>
      </c>
      <c r="AF303" s="26">
        <f>IF(B303="","",IF(AD303="No",0,ROUND(SUMIFS(Payments!$G$5:$G$1204,Payments!$I$5:$I$1204,C303,Payments!$H$5:$H$1204,"",Payments!$Q$5:$Q$1204,"Yes"),2)))</f>
        <v>0</v>
      </c>
      <c r="AG303" s="26">
        <f>IF(B303="","",ROUND(AE303+AF303,2))</f>
        <v>0</v>
      </c>
      <c r="AH303" s="26">
        <f>IF(B303="","",ROUND(AA303-AG303,2))</f>
        <v>0</v>
      </c>
      <c r="AI303" s="39">
        <f>IF(B303="","",IF(AA303&lt;=0,"No charge",IF(AH303&lt;=0.004,"Paid",IF(AG303&lt;=0.004,"Unpaid","Part paid"))))</f>
        <v>0</v>
      </c>
      <c r="AJ303" s="38">
        <f>IF(B303="","",IF(H303&lt;&gt;"Service","",IF(D303="","No",IF(COUNTIFS($D$5:$D$1204,D303,$B$5:$B$1204,B303,$H$5:$H$1204,"Retail")&gt;0,"Yes","No"))))</f>
        <v>0</v>
      </c>
      <c r="AK303" s="25">
        <f>IF(B303="","",COUNTIFS($Y$5:$Y$1204,"&gt;"&amp;Y303)+COUNTIFS($Y$5:Y303,Y303))</f>
        <v>0</v>
      </c>
      <c r="AL303" s="39">
        <f>IF(B303="","",IF(H303="","Add - what kind of sale is this?",IF(IF(V303&lt;=0,P303="",FALSE),"Check - no price found for this item",IF(F303="","Assign - nobody credited",IF(AH303&gt;0.004,"Unpaid - balance outstanding",IF(AC303&lt;0,"Loss - sold below cost",IF(X303&gt;W303*0.5,"Check - more than half off","OK")))))))</f>
        <v>0</v>
      </c>
    </row>
    <row r="304" spans="1:38">
      <c r="A304" s="28">
        <f>IF(B304="","",SalePrefix&amp;TEXT(ROW()-4,"0000"))</f>
        <v>0</v>
      </c>
      <c r="E304" s="15">
        <f>IF(D304="","",IFERROR(INDEX(Clients!$B$5:$B$504,MATCH(D304,Clients!$A$5:$A$504,0)),"Walk-in"))</f>
        <v>0</v>
      </c>
      <c r="G304" s="15">
        <f>IF(F304="","",IFERROR(INDEX(Staff!$B$5:$B$44,MATCH(F304,Staff!$A$5:$A$44,0)),"House"))</f>
        <v>0</v>
      </c>
      <c r="R304" s="15">
        <f>IF(B304="","",TEXT(B304,"yyyy-mm"))</f>
        <v>0</v>
      </c>
      <c r="S304" s="25">
        <f>IF(B304="","",WEEKNUM(B304,2))</f>
        <v>0</v>
      </c>
      <c r="T304" s="37">
        <f>IF(B304="","",IF(K304="",1,K304))</f>
        <v>0</v>
      </c>
      <c r="U304" s="15">
        <f>IF(B304="","",IF(J304&lt;&gt;"",J304,IF(H304="Retail",IFERROR(INDEX(Inventory!$B$5:$B$304,MATCH(I304,Inventory!$A$5:$A$304,0))&amp;"","Not in Inventory"),IFERROR(INDEX(Services!$B$5:$B$204,MATCH(I304,Services!$A$5:$A$204,0))&amp;"","Not in Services"))))</f>
        <v>0</v>
      </c>
      <c r="V304" s="26">
        <f>IF(B304="","",IF(L304&lt;&gt;"",L304,IF(H304="Retail",IFERROR(INDEX(Inventory!$I$5:$I$304,MATCH(I304,Inventory!$A$5:$A$304,0))*1,0),IFERROR(INDEX(Services!$G$5:$G$204,MATCH(I304,Services!$A$5:$A$204,0))*1,0))))</f>
        <v>0</v>
      </c>
      <c r="W304" s="26">
        <f>IF(B304="","",ROUND(T304*V304,2))</f>
        <v>0</v>
      </c>
      <c r="X304" s="26">
        <f>IF(B304="","",ROUND(IF(M304="",0,W304*M304)+IF(N304="",0,N304),2))</f>
        <v>0</v>
      </c>
      <c r="Y304" s="26">
        <f>IF(B304="","",ROUND(W304-X304-IF(P304="",0,P304),2))</f>
        <v>0</v>
      </c>
      <c r="Z304" s="26">
        <f>IF(B304="","",IF(H304="Retail",IF(TaxOnRetail="Yes",ROUND(Y304*TaxRate,2),0),IF(H304="Service",IF(TaxOnServices="Yes",ROUND(Y304*TaxRate,2),0),0)))</f>
        <v>0</v>
      </c>
      <c r="AA304" s="26">
        <f>IF(B304="","",ROUND(Y304+Z304,2))</f>
        <v>0</v>
      </c>
      <c r="AB304" s="26">
        <f>IF(B304="","",ROUND(T304*IF(H304="Retail",IFERROR(INDEX(Inventory!$H$5:$H$304,MATCH(I304,Inventory!$A$5:$A$304,0))*1,0),IFERROR(INDEX(Services!$Q$5:$Q$204,MATCH(I304,Services!$A$5:$A$204,0))*1,0)),2))</f>
        <v>0</v>
      </c>
      <c r="AC304" s="26">
        <f>IF(B304="","",ROUND(Y304-AB304,2))</f>
        <v>0</v>
      </c>
      <c r="AD304" s="38">
        <f>IF(B304="","",IF(C304="","No",IF(COUNTIFS($C$5:C304,C304)=1,"Yes","No")))</f>
        <v>0</v>
      </c>
      <c r="AE304" s="26">
        <f>IF(B304="","",ROUND(SUMIFS(Payments!$G$5:$G$1204,Payments!$H$5:$H$1204,A304,Payments!$Q$5:$Q$1204,"Yes"),2))</f>
        <v>0</v>
      </c>
      <c r="AF304" s="26">
        <f>IF(B304="","",IF(AD304="No",0,ROUND(SUMIFS(Payments!$G$5:$G$1204,Payments!$I$5:$I$1204,C304,Payments!$H$5:$H$1204,"",Payments!$Q$5:$Q$1204,"Yes"),2)))</f>
        <v>0</v>
      </c>
      <c r="AG304" s="26">
        <f>IF(B304="","",ROUND(AE304+AF304,2))</f>
        <v>0</v>
      </c>
      <c r="AH304" s="26">
        <f>IF(B304="","",ROUND(AA304-AG304,2))</f>
        <v>0</v>
      </c>
      <c r="AI304" s="39">
        <f>IF(B304="","",IF(AA304&lt;=0,"No charge",IF(AH304&lt;=0.004,"Paid",IF(AG304&lt;=0.004,"Unpaid","Part paid"))))</f>
        <v>0</v>
      </c>
      <c r="AJ304" s="38">
        <f>IF(B304="","",IF(H304&lt;&gt;"Service","",IF(D304="","No",IF(COUNTIFS($D$5:$D$1204,D304,$B$5:$B$1204,B304,$H$5:$H$1204,"Retail")&gt;0,"Yes","No"))))</f>
        <v>0</v>
      </c>
      <c r="AK304" s="25">
        <f>IF(B304="","",COUNTIFS($Y$5:$Y$1204,"&gt;"&amp;Y304)+COUNTIFS($Y$5:Y304,Y304))</f>
        <v>0</v>
      </c>
      <c r="AL304" s="39">
        <f>IF(B304="","",IF(H304="","Add - what kind of sale is this?",IF(IF(V304&lt;=0,P304="",FALSE),"Check - no price found for this item",IF(F304="","Assign - nobody credited",IF(AH304&gt;0.004,"Unpaid - balance outstanding",IF(AC304&lt;0,"Loss - sold below cost",IF(X304&gt;W304*0.5,"Check - more than half off","OK")))))))</f>
        <v>0</v>
      </c>
    </row>
    <row r="305" spans="1:38">
      <c r="A305" s="28">
        <f>IF(B305="","",SalePrefix&amp;TEXT(ROW()-4,"0000"))</f>
        <v>0</v>
      </c>
      <c r="E305" s="15">
        <f>IF(D305="","",IFERROR(INDEX(Clients!$B$5:$B$504,MATCH(D305,Clients!$A$5:$A$504,0)),"Walk-in"))</f>
        <v>0</v>
      </c>
      <c r="G305" s="15">
        <f>IF(F305="","",IFERROR(INDEX(Staff!$B$5:$B$44,MATCH(F305,Staff!$A$5:$A$44,0)),"House"))</f>
        <v>0</v>
      </c>
      <c r="R305" s="15">
        <f>IF(B305="","",TEXT(B305,"yyyy-mm"))</f>
        <v>0</v>
      </c>
      <c r="S305" s="25">
        <f>IF(B305="","",WEEKNUM(B305,2))</f>
        <v>0</v>
      </c>
      <c r="T305" s="37">
        <f>IF(B305="","",IF(K305="",1,K305))</f>
        <v>0</v>
      </c>
      <c r="U305" s="15">
        <f>IF(B305="","",IF(J305&lt;&gt;"",J305,IF(H305="Retail",IFERROR(INDEX(Inventory!$B$5:$B$304,MATCH(I305,Inventory!$A$5:$A$304,0))&amp;"","Not in Inventory"),IFERROR(INDEX(Services!$B$5:$B$204,MATCH(I305,Services!$A$5:$A$204,0))&amp;"","Not in Services"))))</f>
        <v>0</v>
      </c>
      <c r="V305" s="26">
        <f>IF(B305="","",IF(L305&lt;&gt;"",L305,IF(H305="Retail",IFERROR(INDEX(Inventory!$I$5:$I$304,MATCH(I305,Inventory!$A$5:$A$304,0))*1,0),IFERROR(INDEX(Services!$G$5:$G$204,MATCH(I305,Services!$A$5:$A$204,0))*1,0))))</f>
        <v>0</v>
      </c>
      <c r="W305" s="26">
        <f>IF(B305="","",ROUND(T305*V305,2))</f>
        <v>0</v>
      </c>
      <c r="X305" s="26">
        <f>IF(B305="","",ROUND(IF(M305="",0,W305*M305)+IF(N305="",0,N305),2))</f>
        <v>0</v>
      </c>
      <c r="Y305" s="26">
        <f>IF(B305="","",ROUND(W305-X305-IF(P305="",0,P305),2))</f>
        <v>0</v>
      </c>
      <c r="Z305" s="26">
        <f>IF(B305="","",IF(H305="Retail",IF(TaxOnRetail="Yes",ROUND(Y305*TaxRate,2),0),IF(H305="Service",IF(TaxOnServices="Yes",ROUND(Y305*TaxRate,2),0),0)))</f>
        <v>0</v>
      </c>
      <c r="AA305" s="26">
        <f>IF(B305="","",ROUND(Y305+Z305,2))</f>
        <v>0</v>
      </c>
      <c r="AB305" s="26">
        <f>IF(B305="","",ROUND(T305*IF(H305="Retail",IFERROR(INDEX(Inventory!$H$5:$H$304,MATCH(I305,Inventory!$A$5:$A$304,0))*1,0),IFERROR(INDEX(Services!$Q$5:$Q$204,MATCH(I305,Services!$A$5:$A$204,0))*1,0)),2))</f>
        <v>0</v>
      </c>
      <c r="AC305" s="26">
        <f>IF(B305="","",ROUND(Y305-AB305,2))</f>
        <v>0</v>
      </c>
      <c r="AD305" s="38">
        <f>IF(B305="","",IF(C305="","No",IF(COUNTIFS($C$5:C305,C305)=1,"Yes","No")))</f>
        <v>0</v>
      </c>
      <c r="AE305" s="26">
        <f>IF(B305="","",ROUND(SUMIFS(Payments!$G$5:$G$1204,Payments!$H$5:$H$1204,A305,Payments!$Q$5:$Q$1204,"Yes"),2))</f>
        <v>0</v>
      </c>
      <c r="AF305" s="26">
        <f>IF(B305="","",IF(AD305="No",0,ROUND(SUMIFS(Payments!$G$5:$G$1204,Payments!$I$5:$I$1204,C305,Payments!$H$5:$H$1204,"",Payments!$Q$5:$Q$1204,"Yes"),2)))</f>
        <v>0</v>
      </c>
      <c r="AG305" s="26">
        <f>IF(B305="","",ROUND(AE305+AF305,2))</f>
        <v>0</v>
      </c>
      <c r="AH305" s="26">
        <f>IF(B305="","",ROUND(AA305-AG305,2))</f>
        <v>0</v>
      </c>
      <c r="AI305" s="39">
        <f>IF(B305="","",IF(AA305&lt;=0,"No charge",IF(AH305&lt;=0.004,"Paid",IF(AG305&lt;=0.004,"Unpaid","Part paid"))))</f>
        <v>0</v>
      </c>
      <c r="AJ305" s="38">
        <f>IF(B305="","",IF(H305&lt;&gt;"Service","",IF(D305="","No",IF(COUNTIFS($D$5:$D$1204,D305,$B$5:$B$1204,B305,$H$5:$H$1204,"Retail")&gt;0,"Yes","No"))))</f>
        <v>0</v>
      </c>
      <c r="AK305" s="25">
        <f>IF(B305="","",COUNTIFS($Y$5:$Y$1204,"&gt;"&amp;Y305)+COUNTIFS($Y$5:Y305,Y305))</f>
        <v>0</v>
      </c>
      <c r="AL305" s="39">
        <f>IF(B305="","",IF(H305="","Add - what kind of sale is this?",IF(IF(V305&lt;=0,P305="",FALSE),"Check - no price found for this item",IF(F305="","Assign - nobody credited",IF(AH305&gt;0.004,"Unpaid - balance outstanding",IF(AC305&lt;0,"Loss - sold below cost",IF(X305&gt;W305*0.5,"Check - more than half off","OK")))))))</f>
        <v>0</v>
      </c>
    </row>
    <row r="306" spans="1:38">
      <c r="A306" s="28">
        <f>IF(B306="","",SalePrefix&amp;TEXT(ROW()-4,"0000"))</f>
        <v>0</v>
      </c>
      <c r="E306" s="15">
        <f>IF(D306="","",IFERROR(INDEX(Clients!$B$5:$B$504,MATCH(D306,Clients!$A$5:$A$504,0)),"Walk-in"))</f>
        <v>0</v>
      </c>
      <c r="G306" s="15">
        <f>IF(F306="","",IFERROR(INDEX(Staff!$B$5:$B$44,MATCH(F306,Staff!$A$5:$A$44,0)),"House"))</f>
        <v>0</v>
      </c>
      <c r="R306" s="15">
        <f>IF(B306="","",TEXT(B306,"yyyy-mm"))</f>
        <v>0</v>
      </c>
      <c r="S306" s="25">
        <f>IF(B306="","",WEEKNUM(B306,2))</f>
        <v>0</v>
      </c>
      <c r="T306" s="37">
        <f>IF(B306="","",IF(K306="",1,K306))</f>
        <v>0</v>
      </c>
      <c r="U306" s="15">
        <f>IF(B306="","",IF(J306&lt;&gt;"",J306,IF(H306="Retail",IFERROR(INDEX(Inventory!$B$5:$B$304,MATCH(I306,Inventory!$A$5:$A$304,0))&amp;"","Not in Inventory"),IFERROR(INDEX(Services!$B$5:$B$204,MATCH(I306,Services!$A$5:$A$204,0))&amp;"","Not in Services"))))</f>
        <v>0</v>
      </c>
      <c r="V306" s="26">
        <f>IF(B306="","",IF(L306&lt;&gt;"",L306,IF(H306="Retail",IFERROR(INDEX(Inventory!$I$5:$I$304,MATCH(I306,Inventory!$A$5:$A$304,0))*1,0),IFERROR(INDEX(Services!$G$5:$G$204,MATCH(I306,Services!$A$5:$A$204,0))*1,0))))</f>
        <v>0</v>
      </c>
      <c r="W306" s="26">
        <f>IF(B306="","",ROUND(T306*V306,2))</f>
        <v>0</v>
      </c>
      <c r="X306" s="26">
        <f>IF(B306="","",ROUND(IF(M306="",0,W306*M306)+IF(N306="",0,N306),2))</f>
        <v>0</v>
      </c>
      <c r="Y306" s="26">
        <f>IF(B306="","",ROUND(W306-X306-IF(P306="",0,P306),2))</f>
        <v>0</v>
      </c>
      <c r="Z306" s="26">
        <f>IF(B306="","",IF(H306="Retail",IF(TaxOnRetail="Yes",ROUND(Y306*TaxRate,2),0),IF(H306="Service",IF(TaxOnServices="Yes",ROUND(Y306*TaxRate,2),0),0)))</f>
        <v>0</v>
      </c>
      <c r="AA306" s="26">
        <f>IF(B306="","",ROUND(Y306+Z306,2))</f>
        <v>0</v>
      </c>
      <c r="AB306" s="26">
        <f>IF(B306="","",ROUND(T306*IF(H306="Retail",IFERROR(INDEX(Inventory!$H$5:$H$304,MATCH(I306,Inventory!$A$5:$A$304,0))*1,0),IFERROR(INDEX(Services!$Q$5:$Q$204,MATCH(I306,Services!$A$5:$A$204,0))*1,0)),2))</f>
        <v>0</v>
      </c>
      <c r="AC306" s="26">
        <f>IF(B306="","",ROUND(Y306-AB306,2))</f>
        <v>0</v>
      </c>
      <c r="AD306" s="38">
        <f>IF(B306="","",IF(C306="","No",IF(COUNTIFS($C$5:C306,C306)=1,"Yes","No")))</f>
        <v>0</v>
      </c>
      <c r="AE306" s="26">
        <f>IF(B306="","",ROUND(SUMIFS(Payments!$G$5:$G$1204,Payments!$H$5:$H$1204,A306,Payments!$Q$5:$Q$1204,"Yes"),2))</f>
        <v>0</v>
      </c>
      <c r="AF306" s="26">
        <f>IF(B306="","",IF(AD306="No",0,ROUND(SUMIFS(Payments!$G$5:$G$1204,Payments!$I$5:$I$1204,C306,Payments!$H$5:$H$1204,"",Payments!$Q$5:$Q$1204,"Yes"),2)))</f>
        <v>0</v>
      </c>
      <c r="AG306" s="26">
        <f>IF(B306="","",ROUND(AE306+AF306,2))</f>
        <v>0</v>
      </c>
      <c r="AH306" s="26">
        <f>IF(B306="","",ROUND(AA306-AG306,2))</f>
        <v>0</v>
      </c>
      <c r="AI306" s="39">
        <f>IF(B306="","",IF(AA306&lt;=0,"No charge",IF(AH306&lt;=0.004,"Paid",IF(AG306&lt;=0.004,"Unpaid","Part paid"))))</f>
        <v>0</v>
      </c>
      <c r="AJ306" s="38">
        <f>IF(B306="","",IF(H306&lt;&gt;"Service","",IF(D306="","No",IF(COUNTIFS($D$5:$D$1204,D306,$B$5:$B$1204,B306,$H$5:$H$1204,"Retail")&gt;0,"Yes","No"))))</f>
        <v>0</v>
      </c>
      <c r="AK306" s="25">
        <f>IF(B306="","",COUNTIFS($Y$5:$Y$1204,"&gt;"&amp;Y306)+COUNTIFS($Y$5:Y306,Y306))</f>
        <v>0</v>
      </c>
      <c r="AL306" s="39">
        <f>IF(B306="","",IF(H306="","Add - what kind of sale is this?",IF(IF(V306&lt;=0,P306="",FALSE),"Check - no price found for this item",IF(F306="","Assign - nobody credited",IF(AH306&gt;0.004,"Unpaid - balance outstanding",IF(AC306&lt;0,"Loss - sold below cost",IF(X306&gt;W306*0.5,"Check - more than half off","OK")))))))</f>
        <v>0</v>
      </c>
    </row>
    <row r="307" spans="1:38">
      <c r="A307" s="28">
        <f>IF(B307="","",SalePrefix&amp;TEXT(ROW()-4,"0000"))</f>
        <v>0</v>
      </c>
      <c r="E307" s="15">
        <f>IF(D307="","",IFERROR(INDEX(Clients!$B$5:$B$504,MATCH(D307,Clients!$A$5:$A$504,0)),"Walk-in"))</f>
        <v>0</v>
      </c>
      <c r="G307" s="15">
        <f>IF(F307="","",IFERROR(INDEX(Staff!$B$5:$B$44,MATCH(F307,Staff!$A$5:$A$44,0)),"House"))</f>
        <v>0</v>
      </c>
      <c r="R307" s="15">
        <f>IF(B307="","",TEXT(B307,"yyyy-mm"))</f>
        <v>0</v>
      </c>
      <c r="S307" s="25">
        <f>IF(B307="","",WEEKNUM(B307,2))</f>
        <v>0</v>
      </c>
      <c r="T307" s="37">
        <f>IF(B307="","",IF(K307="",1,K307))</f>
        <v>0</v>
      </c>
      <c r="U307" s="15">
        <f>IF(B307="","",IF(J307&lt;&gt;"",J307,IF(H307="Retail",IFERROR(INDEX(Inventory!$B$5:$B$304,MATCH(I307,Inventory!$A$5:$A$304,0))&amp;"","Not in Inventory"),IFERROR(INDEX(Services!$B$5:$B$204,MATCH(I307,Services!$A$5:$A$204,0))&amp;"","Not in Services"))))</f>
        <v>0</v>
      </c>
      <c r="V307" s="26">
        <f>IF(B307="","",IF(L307&lt;&gt;"",L307,IF(H307="Retail",IFERROR(INDEX(Inventory!$I$5:$I$304,MATCH(I307,Inventory!$A$5:$A$304,0))*1,0),IFERROR(INDEX(Services!$G$5:$G$204,MATCH(I307,Services!$A$5:$A$204,0))*1,0))))</f>
        <v>0</v>
      </c>
      <c r="W307" s="26">
        <f>IF(B307="","",ROUND(T307*V307,2))</f>
        <v>0</v>
      </c>
      <c r="X307" s="26">
        <f>IF(B307="","",ROUND(IF(M307="",0,W307*M307)+IF(N307="",0,N307),2))</f>
        <v>0</v>
      </c>
      <c r="Y307" s="26">
        <f>IF(B307="","",ROUND(W307-X307-IF(P307="",0,P307),2))</f>
        <v>0</v>
      </c>
      <c r="Z307" s="26">
        <f>IF(B307="","",IF(H307="Retail",IF(TaxOnRetail="Yes",ROUND(Y307*TaxRate,2),0),IF(H307="Service",IF(TaxOnServices="Yes",ROUND(Y307*TaxRate,2),0),0)))</f>
        <v>0</v>
      </c>
      <c r="AA307" s="26">
        <f>IF(B307="","",ROUND(Y307+Z307,2))</f>
        <v>0</v>
      </c>
      <c r="AB307" s="26">
        <f>IF(B307="","",ROUND(T307*IF(H307="Retail",IFERROR(INDEX(Inventory!$H$5:$H$304,MATCH(I307,Inventory!$A$5:$A$304,0))*1,0),IFERROR(INDEX(Services!$Q$5:$Q$204,MATCH(I307,Services!$A$5:$A$204,0))*1,0)),2))</f>
        <v>0</v>
      </c>
      <c r="AC307" s="26">
        <f>IF(B307="","",ROUND(Y307-AB307,2))</f>
        <v>0</v>
      </c>
      <c r="AD307" s="38">
        <f>IF(B307="","",IF(C307="","No",IF(COUNTIFS($C$5:C307,C307)=1,"Yes","No")))</f>
        <v>0</v>
      </c>
      <c r="AE307" s="26">
        <f>IF(B307="","",ROUND(SUMIFS(Payments!$G$5:$G$1204,Payments!$H$5:$H$1204,A307,Payments!$Q$5:$Q$1204,"Yes"),2))</f>
        <v>0</v>
      </c>
      <c r="AF307" s="26">
        <f>IF(B307="","",IF(AD307="No",0,ROUND(SUMIFS(Payments!$G$5:$G$1204,Payments!$I$5:$I$1204,C307,Payments!$H$5:$H$1204,"",Payments!$Q$5:$Q$1204,"Yes"),2)))</f>
        <v>0</v>
      </c>
      <c r="AG307" s="26">
        <f>IF(B307="","",ROUND(AE307+AF307,2))</f>
        <v>0</v>
      </c>
      <c r="AH307" s="26">
        <f>IF(B307="","",ROUND(AA307-AG307,2))</f>
        <v>0</v>
      </c>
      <c r="AI307" s="39">
        <f>IF(B307="","",IF(AA307&lt;=0,"No charge",IF(AH307&lt;=0.004,"Paid",IF(AG307&lt;=0.004,"Unpaid","Part paid"))))</f>
        <v>0</v>
      </c>
      <c r="AJ307" s="38">
        <f>IF(B307="","",IF(H307&lt;&gt;"Service","",IF(D307="","No",IF(COUNTIFS($D$5:$D$1204,D307,$B$5:$B$1204,B307,$H$5:$H$1204,"Retail")&gt;0,"Yes","No"))))</f>
        <v>0</v>
      </c>
      <c r="AK307" s="25">
        <f>IF(B307="","",COUNTIFS($Y$5:$Y$1204,"&gt;"&amp;Y307)+COUNTIFS($Y$5:Y307,Y307))</f>
        <v>0</v>
      </c>
      <c r="AL307" s="39">
        <f>IF(B307="","",IF(H307="","Add - what kind of sale is this?",IF(IF(V307&lt;=0,P307="",FALSE),"Check - no price found for this item",IF(F307="","Assign - nobody credited",IF(AH307&gt;0.004,"Unpaid - balance outstanding",IF(AC307&lt;0,"Loss - sold below cost",IF(X307&gt;W307*0.5,"Check - more than half off","OK")))))))</f>
        <v>0</v>
      </c>
    </row>
    <row r="308" spans="1:38">
      <c r="A308" s="28">
        <f>IF(B308="","",SalePrefix&amp;TEXT(ROW()-4,"0000"))</f>
        <v>0</v>
      </c>
      <c r="E308" s="15">
        <f>IF(D308="","",IFERROR(INDEX(Clients!$B$5:$B$504,MATCH(D308,Clients!$A$5:$A$504,0)),"Walk-in"))</f>
        <v>0</v>
      </c>
      <c r="G308" s="15">
        <f>IF(F308="","",IFERROR(INDEX(Staff!$B$5:$B$44,MATCH(F308,Staff!$A$5:$A$44,0)),"House"))</f>
        <v>0</v>
      </c>
      <c r="R308" s="15">
        <f>IF(B308="","",TEXT(B308,"yyyy-mm"))</f>
        <v>0</v>
      </c>
      <c r="S308" s="25">
        <f>IF(B308="","",WEEKNUM(B308,2))</f>
        <v>0</v>
      </c>
      <c r="T308" s="37">
        <f>IF(B308="","",IF(K308="",1,K308))</f>
        <v>0</v>
      </c>
      <c r="U308" s="15">
        <f>IF(B308="","",IF(J308&lt;&gt;"",J308,IF(H308="Retail",IFERROR(INDEX(Inventory!$B$5:$B$304,MATCH(I308,Inventory!$A$5:$A$304,0))&amp;"","Not in Inventory"),IFERROR(INDEX(Services!$B$5:$B$204,MATCH(I308,Services!$A$5:$A$204,0))&amp;"","Not in Services"))))</f>
        <v>0</v>
      </c>
      <c r="V308" s="26">
        <f>IF(B308="","",IF(L308&lt;&gt;"",L308,IF(H308="Retail",IFERROR(INDEX(Inventory!$I$5:$I$304,MATCH(I308,Inventory!$A$5:$A$304,0))*1,0),IFERROR(INDEX(Services!$G$5:$G$204,MATCH(I308,Services!$A$5:$A$204,0))*1,0))))</f>
        <v>0</v>
      </c>
      <c r="W308" s="26">
        <f>IF(B308="","",ROUND(T308*V308,2))</f>
        <v>0</v>
      </c>
      <c r="X308" s="26">
        <f>IF(B308="","",ROUND(IF(M308="",0,W308*M308)+IF(N308="",0,N308),2))</f>
        <v>0</v>
      </c>
      <c r="Y308" s="26">
        <f>IF(B308="","",ROUND(W308-X308-IF(P308="",0,P308),2))</f>
        <v>0</v>
      </c>
      <c r="Z308" s="26">
        <f>IF(B308="","",IF(H308="Retail",IF(TaxOnRetail="Yes",ROUND(Y308*TaxRate,2),0),IF(H308="Service",IF(TaxOnServices="Yes",ROUND(Y308*TaxRate,2),0),0)))</f>
        <v>0</v>
      </c>
      <c r="AA308" s="26">
        <f>IF(B308="","",ROUND(Y308+Z308,2))</f>
        <v>0</v>
      </c>
      <c r="AB308" s="26">
        <f>IF(B308="","",ROUND(T308*IF(H308="Retail",IFERROR(INDEX(Inventory!$H$5:$H$304,MATCH(I308,Inventory!$A$5:$A$304,0))*1,0),IFERROR(INDEX(Services!$Q$5:$Q$204,MATCH(I308,Services!$A$5:$A$204,0))*1,0)),2))</f>
        <v>0</v>
      </c>
      <c r="AC308" s="26">
        <f>IF(B308="","",ROUND(Y308-AB308,2))</f>
        <v>0</v>
      </c>
      <c r="AD308" s="38">
        <f>IF(B308="","",IF(C308="","No",IF(COUNTIFS($C$5:C308,C308)=1,"Yes","No")))</f>
        <v>0</v>
      </c>
      <c r="AE308" s="26">
        <f>IF(B308="","",ROUND(SUMIFS(Payments!$G$5:$G$1204,Payments!$H$5:$H$1204,A308,Payments!$Q$5:$Q$1204,"Yes"),2))</f>
        <v>0</v>
      </c>
      <c r="AF308" s="26">
        <f>IF(B308="","",IF(AD308="No",0,ROUND(SUMIFS(Payments!$G$5:$G$1204,Payments!$I$5:$I$1204,C308,Payments!$H$5:$H$1204,"",Payments!$Q$5:$Q$1204,"Yes"),2)))</f>
        <v>0</v>
      </c>
      <c r="AG308" s="26">
        <f>IF(B308="","",ROUND(AE308+AF308,2))</f>
        <v>0</v>
      </c>
      <c r="AH308" s="26">
        <f>IF(B308="","",ROUND(AA308-AG308,2))</f>
        <v>0</v>
      </c>
      <c r="AI308" s="39">
        <f>IF(B308="","",IF(AA308&lt;=0,"No charge",IF(AH308&lt;=0.004,"Paid",IF(AG308&lt;=0.004,"Unpaid","Part paid"))))</f>
        <v>0</v>
      </c>
      <c r="AJ308" s="38">
        <f>IF(B308="","",IF(H308&lt;&gt;"Service","",IF(D308="","No",IF(COUNTIFS($D$5:$D$1204,D308,$B$5:$B$1204,B308,$H$5:$H$1204,"Retail")&gt;0,"Yes","No"))))</f>
        <v>0</v>
      </c>
      <c r="AK308" s="25">
        <f>IF(B308="","",COUNTIFS($Y$5:$Y$1204,"&gt;"&amp;Y308)+COUNTIFS($Y$5:Y308,Y308))</f>
        <v>0</v>
      </c>
      <c r="AL308" s="39">
        <f>IF(B308="","",IF(H308="","Add - what kind of sale is this?",IF(IF(V308&lt;=0,P308="",FALSE),"Check - no price found for this item",IF(F308="","Assign - nobody credited",IF(AH308&gt;0.004,"Unpaid - balance outstanding",IF(AC308&lt;0,"Loss - sold below cost",IF(X308&gt;W308*0.5,"Check - more than half off","OK")))))))</f>
        <v>0</v>
      </c>
    </row>
    <row r="309" spans="1:38">
      <c r="A309" s="28">
        <f>IF(B309="","",SalePrefix&amp;TEXT(ROW()-4,"0000"))</f>
        <v>0</v>
      </c>
      <c r="E309" s="15">
        <f>IF(D309="","",IFERROR(INDEX(Clients!$B$5:$B$504,MATCH(D309,Clients!$A$5:$A$504,0)),"Walk-in"))</f>
        <v>0</v>
      </c>
      <c r="G309" s="15">
        <f>IF(F309="","",IFERROR(INDEX(Staff!$B$5:$B$44,MATCH(F309,Staff!$A$5:$A$44,0)),"House"))</f>
        <v>0</v>
      </c>
      <c r="R309" s="15">
        <f>IF(B309="","",TEXT(B309,"yyyy-mm"))</f>
        <v>0</v>
      </c>
      <c r="S309" s="25">
        <f>IF(B309="","",WEEKNUM(B309,2))</f>
        <v>0</v>
      </c>
      <c r="T309" s="37">
        <f>IF(B309="","",IF(K309="",1,K309))</f>
        <v>0</v>
      </c>
      <c r="U309" s="15">
        <f>IF(B309="","",IF(J309&lt;&gt;"",J309,IF(H309="Retail",IFERROR(INDEX(Inventory!$B$5:$B$304,MATCH(I309,Inventory!$A$5:$A$304,0))&amp;"","Not in Inventory"),IFERROR(INDEX(Services!$B$5:$B$204,MATCH(I309,Services!$A$5:$A$204,0))&amp;"","Not in Services"))))</f>
        <v>0</v>
      </c>
      <c r="V309" s="26">
        <f>IF(B309="","",IF(L309&lt;&gt;"",L309,IF(H309="Retail",IFERROR(INDEX(Inventory!$I$5:$I$304,MATCH(I309,Inventory!$A$5:$A$304,0))*1,0),IFERROR(INDEX(Services!$G$5:$G$204,MATCH(I309,Services!$A$5:$A$204,0))*1,0))))</f>
        <v>0</v>
      </c>
      <c r="W309" s="26">
        <f>IF(B309="","",ROUND(T309*V309,2))</f>
        <v>0</v>
      </c>
      <c r="X309" s="26">
        <f>IF(B309="","",ROUND(IF(M309="",0,W309*M309)+IF(N309="",0,N309),2))</f>
        <v>0</v>
      </c>
      <c r="Y309" s="26">
        <f>IF(B309="","",ROUND(W309-X309-IF(P309="",0,P309),2))</f>
        <v>0</v>
      </c>
      <c r="Z309" s="26">
        <f>IF(B309="","",IF(H309="Retail",IF(TaxOnRetail="Yes",ROUND(Y309*TaxRate,2),0),IF(H309="Service",IF(TaxOnServices="Yes",ROUND(Y309*TaxRate,2),0),0)))</f>
        <v>0</v>
      </c>
      <c r="AA309" s="26">
        <f>IF(B309="","",ROUND(Y309+Z309,2))</f>
        <v>0</v>
      </c>
      <c r="AB309" s="26">
        <f>IF(B309="","",ROUND(T309*IF(H309="Retail",IFERROR(INDEX(Inventory!$H$5:$H$304,MATCH(I309,Inventory!$A$5:$A$304,0))*1,0),IFERROR(INDEX(Services!$Q$5:$Q$204,MATCH(I309,Services!$A$5:$A$204,0))*1,0)),2))</f>
        <v>0</v>
      </c>
      <c r="AC309" s="26">
        <f>IF(B309="","",ROUND(Y309-AB309,2))</f>
        <v>0</v>
      </c>
      <c r="AD309" s="38">
        <f>IF(B309="","",IF(C309="","No",IF(COUNTIFS($C$5:C309,C309)=1,"Yes","No")))</f>
        <v>0</v>
      </c>
      <c r="AE309" s="26">
        <f>IF(B309="","",ROUND(SUMIFS(Payments!$G$5:$G$1204,Payments!$H$5:$H$1204,A309,Payments!$Q$5:$Q$1204,"Yes"),2))</f>
        <v>0</v>
      </c>
      <c r="AF309" s="26">
        <f>IF(B309="","",IF(AD309="No",0,ROUND(SUMIFS(Payments!$G$5:$G$1204,Payments!$I$5:$I$1204,C309,Payments!$H$5:$H$1204,"",Payments!$Q$5:$Q$1204,"Yes"),2)))</f>
        <v>0</v>
      </c>
      <c r="AG309" s="26">
        <f>IF(B309="","",ROUND(AE309+AF309,2))</f>
        <v>0</v>
      </c>
      <c r="AH309" s="26">
        <f>IF(B309="","",ROUND(AA309-AG309,2))</f>
        <v>0</v>
      </c>
      <c r="AI309" s="39">
        <f>IF(B309="","",IF(AA309&lt;=0,"No charge",IF(AH309&lt;=0.004,"Paid",IF(AG309&lt;=0.004,"Unpaid","Part paid"))))</f>
        <v>0</v>
      </c>
      <c r="AJ309" s="38">
        <f>IF(B309="","",IF(H309&lt;&gt;"Service","",IF(D309="","No",IF(COUNTIFS($D$5:$D$1204,D309,$B$5:$B$1204,B309,$H$5:$H$1204,"Retail")&gt;0,"Yes","No"))))</f>
        <v>0</v>
      </c>
      <c r="AK309" s="25">
        <f>IF(B309="","",COUNTIFS($Y$5:$Y$1204,"&gt;"&amp;Y309)+COUNTIFS($Y$5:Y309,Y309))</f>
        <v>0</v>
      </c>
      <c r="AL309" s="39">
        <f>IF(B309="","",IF(H309="","Add - what kind of sale is this?",IF(IF(V309&lt;=0,P309="",FALSE),"Check - no price found for this item",IF(F309="","Assign - nobody credited",IF(AH309&gt;0.004,"Unpaid - balance outstanding",IF(AC309&lt;0,"Loss - sold below cost",IF(X309&gt;W309*0.5,"Check - more than half off","OK")))))))</f>
        <v>0</v>
      </c>
    </row>
    <row r="310" spans="1:38">
      <c r="A310" s="28">
        <f>IF(B310="","",SalePrefix&amp;TEXT(ROW()-4,"0000"))</f>
        <v>0</v>
      </c>
      <c r="E310" s="15">
        <f>IF(D310="","",IFERROR(INDEX(Clients!$B$5:$B$504,MATCH(D310,Clients!$A$5:$A$504,0)),"Walk-in"))</f>
        <v>0</v>
      </c>
      <c r="G310" s="15">
        <f>IF(F310="","",IFERROR(INDEX(Staff!$B$5:$B$44,MATCH(F310,Staff!$A$5:$A$44,0)),"House"))</f>
        <v>0</v>
      </c>
      <c r="R310" s="15">
        <f>IF(B310="","",TEXT(B310,"yyyy-mm"))</f>
        <v>0</v>
      </c>
      <c r="S310" s="25">
        <f>IF(B310="","",WEEKNUM(B310,2))</f>
        <v>0</v>
      </c>
      <c r="T310" s="37">
        <f>IF(B310="","",IF(K310="",1,K310))</f>
        <v>0</v>
      </c>
      <c r="U310" s="15">
        <f>IF(B310="","",IF(J310&lt;&gt;"",J310,IF(H310="Retail",IFERROR(INDEX(Inventory!$B$5:$B$304,MATCH(I310,Inventory!$A$5:$A$304,0))&amp;"","Not in Inventory"),IFERROR(INDEX(Services!$B$5:$B$204,MATCH(I310,Services!$A$5:$A$204,0))&amp;"","Not in Services"))))</f>
        <v>0</v>
      </c>
      <c r="V310" s="26">
        <f>IF(B310="","",IF(L310&lt;&gt;"",L310,IF(H310="Retail",IFERROR(INDEX(Inventory!$I$5:$I$304,MATCH(I310,Inventory!$A$5:$A$304,0))*1,0),IFERROR(INDEX(Services!$G$5:$G$204,MATCH(I310,Services!$A$5:$A$204,0))*1,0))))</f>
        <v>0</v>
      </c>
      <c r="W310" s="26">
        <f>IF(B310="","",ROUND(T310*V310,2))</f>
        <v>0</v>
      </c>
      <c r="X310" s="26">
        <f>IF(B310="","",ROUND(IF(M310="",0,W310*M310)+IF(N310="",0,N310),2))</f>
        <v>0</v>
      </c>
      <c r="Y310" s="26">
        <f>IF(B310="","",ROUND(W310-X310-IF(P310="",0,P310),2))</f>
        <v>0</v>
      </c>
      <c r="Z310" s="26">
        <f>IF(B310="","",IF(H310="Retail",IF(TaxOnRetail="Yes",ROUND(Y310*TaxRate,2),0),IF(H310="Service",IF(TaxOnServices="Yes",ROUND(Y310*TaxRate,2),0),0)))</f>
        <v>0</v>
      </c>
      <c r="AA310" s="26">
        <f>IF(B310="","",ROUND(Y310+Z310,2))</f>
        <v>0</v>
      </c>
      <c r="AB310" s="26">
        <f>IF(B310="","",ROUND(T310*IF(H310="Retail",IFERROR(INDEX(Inventory!$H$5:$H$304,MATCH(I310,Inventory!$A$5:$A$304,0))*1,0),IFERROR(INDEX(Services!$Q$5:$Q$204,MATCH(I310,Services!$A$5:$A$204,0))*1,0)),2))</f>
        <v>0</v>
      </c>
      <c r="AC310" s="26">
        <f>IF(B310="","",ROUND(Y310-AB310,2))</f>
        <v>0</v>
      </c>
      <c r="AD310" s="38">
        <f>IF(B310="","",IF(C310="","No",IF(COUNTIFS($C$5:C310,C310)=1,"Yes","No")))</f>
        <v>0</v>
      </c>
      <c r="AE310" s="26">
        <f>IF(B310="","",ROUND(SUMIFS(Payments!$G$5:$G$1204,Payments!$H$5:$H$1204,A310,Payments!$Q$5:$Q$1204,"Yes"),2))</f>
        <v>0</v>
      </c>
      <c r="AF310" s="26">
        <f>IF(B310="","",IF(AD310="No",0,ROUND(SUMIFS(Payments!$G$5:$G$1204,Payments!$I$5:$I$1204,C310,Payments!$H$5:$H$1204,"",Payments!$Q$5:$Q$1204,"Yes"),2)))</f>
        <v>0</v>
      </c>
      <c r="AG310" s="26">
        <f>IF(B310="","",ROUND(AE310+AF310,2))</f>
        <v>0</v>
      </c>
      <c r="AH310" s="26">
        <f>IF(B310="","",ROUND(AA310-AG310,2))</f>
        <v>0</v>
      </c>
      <c r="AI310" s="39">
        <f>IF(B310="","",IF(AA310&lt;=0,"No charge",IF(AH310&lt;=0.004,"Paid",IF(AG310&lt;=0.004,"Unpaid","Part paid"))))</f>
        <v>0</v>
      </c>
      <c r="AJ310" s="38">
        <f>IF(B310="","",IF(H310&lt;&gt;"Service","",IF(D310="","No",IF(COUNTIFS($D$5:$D$1204,D310,$B$5:$B$1204,B310,$H$5:$H$1204,"Retail")&gt;0,"Yes","No"))))</f>
        <v>0</v>
      </c>
      <c r="AK310" s="25">
        <f>IF(B310="","",COUNTIFS($Y$5:$Y$1204,"&gt;"&amp;Y310)+COUNTIFS($Y$5:Y310,Y310))</f>
        <v>0</v>
      </c>
      <c r="AL310" s="39">
        <f>IF(B310="","",IF(H310="","Add - what kind of sale is this?",IF(IF(V310&lt;=0,P310="",FALSE),"Check - no price found for this item",IF(F310="","Assign - nobody credited",IF(AH310&gt;0.004,"Unpaid - balance outstanding",IF(AC310&lt;0,"Loss - sold below cost",IF(X310&gt;W310*0.5,"Check - more than half off","OK")))))))</f>
        <v>0</v>
      </c>
    </row>
    <row r="311" spans="1:38">
      <c r="A311" s="28">
        <f>IF(B311="","",SalePrefix&amp;TEXT(ROW()-4,"0000"))</f>
        <v>0</v>
      </c>
      <c r="E311" s="15">
        <f>IF(D311="","",IFERROR(INDEX(Clients!$B$5:$B$504,MATCH(D311,Clients!$A$5:$A$504,0)),"Walk-in"))</f>
        <v>0</v>
      </c>
      <c r="G311" s="15">
        <f>IF(F311="","",IFERROR(INDEX(Staff!$B$5:$B$44,MATCH(F311,Staff!$A$5:$A$44,0)),"House"))</f>
        <v>0</v>
      </c>
      <c r="R311" s="15">
        <f>IF(B311="","",TEXT(B311,"yyyy-mm"))</f>
        <v>0</v>
      </c>
      <c r="S311" s="25">
        <f>IF(B311="","",WEEKNUM(B311,2))</f>
        <v>0</v>
      </c>
      <c r="T311" s="37">
        <f>IF(B311="","",IF(K311="",1,K311))</f>
        <v>0</v>
      </c>
      <c r="U311" s="15">
        <f>IF(B311="","",IF(J311&lt;&gt;"",J311,IF(H311="Retail",IFERROR(INDEX(Inventory!$B$5:$B$304,MATCH(I311,Inventory!$A$5:$A$304,0))&amp;"","Not in Inventory"),IFERROR(INDEX(Services!$B$5:$B$204,MATCH(I311,Services!$A$5:$A$204,0))&amp;"","Not in Services"))))</f>
        <v>0</v>
      </c>
      <c r="V311" s="26">
        <f>IF(B311="","",IF(L311&lt;&gt;"",L311,IF(H311="Retail",IFERROR(INDEX(Inventory!$I$5:$I$304,MATCH(I311,Inventory!$A$5:$A$304,0))*1,0),IFERROR(INDEX(Services!$G$5:$G$204,MATCH(I311,Services!$A$5:$A$204,0))*1,0))))</f>
        <v>0</v>
      </c>
      <c r="W311" s="26">
        <f>IF(B311="","",ROUND(T311*V311,2))</f>
        <v>0</v>
      </c>
      <c r="X311" s="26">
        <f>IF(B311="","",ROUND(IF(M311="",0,W311*M311)+IF(N311="",0,N311),2))</f>
        <v>0</v>
      </c>
      <c r="Y311" s="26">
        <f>IF(B311="","",ROUND(W311-X311-IF(P311="",0,P311),2))</f>
        <v>0</v>
      </c>
      <c r="Z311" s="26">
        <f>IF(B311="","",IF(H311="Retail",IF(TaxOnRetail="Yes",ROUND(Y311*TaxRate,2),0),IF(H311="Service",IF(TaxOnServices="Yes",ROUND(Y311*TaxRate,2),0),0)))</f>
        <v>0</v>
      </c>
      <c r="AA311" s="26">
        <f>IF(B311="","",ROUND(Y311+Z311,2))</f>
        <v>0</v>
      </c>
      <c r="AB311" s="26">
        <f>IF(B311="","",ROUND(T311*IF(H311="Retail",IFERROR(INDEX(Inventory!$H$5:$H$304,MATCH(I311,Inventory!$A$5:$A$304,0))*1,0),IFERROR(INDEX(Services!$Q$5:$Q$204,MATCH(I311,Services!$A$5:$A$204,0))*1,0)),2))</f>
        <v>0</v>
      </c>
      <c r="AC311" s="26">
        <f>IF(B311="","",ROUND(Y311-AB311,2))</f>
        <v>0</v>
      </c>
      <c r="AD311" s="38">
        <f>IF(B311="","",IF(C311="","No",IF(COUNTIFS($C$5:C311,C311)=1,"Yes","No")))</f>
        <v>0</v>
      </c>
      <c r="AE311" s="26">
        <f>IF(B311="","",ROUND(SUMIFS(Payments!$G$5:$G$1204,Payments!$H$5:$H$1204,A311,Payments!$Q$5:$Q$1204,"Yes"),2))</f>
        <v>0</v>
      </c>
      <c r="AF311" s="26">
        <f>IF(B311="","",IF(AD311="No",0,ROUND(SUMIFS(Payments!$G$5:$G$1204,Payments!$I$5:$I$1204,C311,Payments!$H$5:$H$1204,"",Payments!$Q$5:$Q$1204,"Yes"),2)))</f>
        <v>0</v>
      </c>
      <c r="AG311" s="26">
        <f>IF(B311="","",ROUND(AE311+AF311,2))</f>
        <v>0</v>
      </c>
      <c r="AH311" s="26">
        <f>IF(B311="","",ROUND(AA311-AG311,2))</f>
        <v>0</v>
      </c>
      <c r="AI311" s="39">
        <f>IF(B311="","",IF(AA311&lt;=0,"No charge",IF(AH311&lt;=0.004,"Paid",IF(AG311&lt;=0.004,"Unpaid","Part paid"))))</f>
        <v>0</v>
      </c>
      <c r="AJ311" s="38">
        <f>IF(B311="","",IF(H311&lt;&gt;"Service","",IF(D311="","No",IF(COUNTIFS($D$5:$D$1204,D311,$B$5:$B$1204,B311,$H$5:$H$1204,"Retail")&gt;0,"Yes","No"))))</f>
        <v>0</v>
      </c>
      <c r="AK311" s="25">
        <f>IF(B311="","",COUNTIFS($Y$5:$Y$1204,"&gt;"&amp;Y311)+COUNTIFS($Y$5:Y311,Y311))</f>
        <v>0</v>
      </c>
      <c r="AL311" s="39">
        <f>IF(B311="","",IF(H311="","Add - what kind of sale is this?",IF(IF(V311&lt;=0,P311="",FALSE),"Check - no price found for this item",IF(F311="","Assign - nobody credited",IF(AH311&gt;0.004,"Unpaid - balance outstanding",IF(AC311&lt;0,"Loss - sold below cost",IF(X311&gt;W311*0.5,"Check - more than half off","OK")))))))</f>
        <v>0</v>
      </c>
    </row>
    <row r="312" spans="1:38">
      <c r="A312" s="28">
        <f>IF(B312="","",SalePrefix&amp;TEXT(ROW()-4,"0000"))</f>
        <v>0</v>
      </c>
      <c r="E312" s="15">
        <f>IF(D312="","",IFERROR(INDEX(Clients!$B$5:$B$504,MATCH(D312,Clients!$A$5:$A$504,0)),"Walk-in"))</f>
        <v>0</v>
      </c>
      <c r="G312" s="15">
        <f>IF(F312="","",IFERROR(INDEX(Staff!$B$5:$B$44,MATCH(F312,Staff!$A$5:$A$44,0)),"House"))</f>
        <v>0</v>
      </c>
      <c r="R312" s="15">
        <f>IF(B312="","",TEXT(B312,"yyyy-mm"))</f>
        <v>0</v>
      </c>
      <c r="S312" s="25">
        <f>IF(B312="","",WEEKNUM(B312,2))</f>
        <v>0</v>
      </c>
      <c r="T312" s="37">
        <f>IF(B312="","",IF(K312="",1,K312))</f>
        <v>0</v>
      </c>
      <c r="U312" s="15">
        <f>IF(B312="","",IF(J312&lt;&gt;"",J312,IF(H312="Retail",IFERROR(INDEX(Inventory!$B$5:$B$304,MATCH(I312,Inventory!$A$5:$A$304,0))&amp;"","Not in Inventory"),IFERROR(INDEX(Services!$B$5:$B$204,MATCH(I312,Services!$A$5:$A$204,0))&amp;"","Not in Services"))))</f>
        <v>0</v>
      </c>
      <c r="V312" s="26">
        <f>IF(B312="","",IF(L312&lt;&gt;"",L312,IF(H312="Retail",IFERROR(INDEX(Inventory!$I$5:$I$304,MATCH(I312,Inventory!$A$5:$A$304,0))*1,0),IFERROR(INDEX(Services!$G$5:$G$204,MATCH(I312,Services!$A$5:$A$204,0))*1,0))))</f>
        <v>0</v>
      </c>
      <c r="W312" s="26">
        <f>IF(B312="","",ROUND(T312*V312,2))</f>
        <v>0</v>
      </c>
      <c r="X312" s="26">
        <f>IF(B312="","",ROUND(IF(M312="",0,W312*M312)+IF(N312="",0,N312),2))</f>
        <v>0</v>
      </c>
      <c r="Y312" s="26">
        <f>IF(B312="","",ROUND(W312-X312-IF(P312="",0,P312),2))</f>
        <v>0</v>
      </c>
      <c r="Z312" s="26">
        <f>IF(B312="","",IF(H312="Retail",IF(TaxOnRetail="Yes",ROUND(Y312*TaxRate,2),0),IF(H312="Service",IF(TaxOnServices="Yes",ROUND(Y312*TaxRate,2),0),0)))</f>
        <v>0</v>
      </c>
      <c r="AA312" s="26">
        <f>IF(B312="","",ROUND(Y312+Z312,2))</f>
        <v>0</v>
      </c>
      <c r="AB312" s="26">
        <f>IF(B312="","",ROUND(T312*IF(H312="Retail",IFERROR(INDEX(Inventory!$H$5:$H$304,MATCH(I312,Inventory!$A$5:$A$304,0))*1,0),IFERROR(INDEX(Services!$Q$5:$Q$204,MATCH(I312,Services!$A$5:$A$204,0))*1,0)),2))</f>
        <v>0</v>
      </c>
      <c r="AC312" s="26">
        <f>IF(B312="","",ROUND(Y312-AB312,2))</f>
        <v>0</v>
      </c>
      <c r="AD312" s="38">
        <f>IF(B312="","",IF(C312="","No",IF(COUNTIFS($C$5:C312,C312)=1,"Yes","No")))</f>
        <v>0</v>
      </c>
      <c r="AE312" s="26">
        <f>IF(B312="","",ROUND(SUMIFS(Payments!$G$5:$G$1204,Payments!$H$5:$H$1204,A312,Payments!$Q$5:$Q$1204,"Yes"),2))</f>
        <v>0</v>
      </c>
      <c r="AF312" s="26">
        <f>IF(B312="","",IF(AD312="No",0,ROUND(SUMIFS(Payments!$G$5:$G$1204,Payments!$I$5:$I$1204,C312,Payments!$H$5:$H$1204,"",Payments!$Q$5:$Q$1204,"Yes"),2)))</f>
        <v>0</v>
      </c>
      <c r="AG312" s="26">
        <f>IF(B312="","",ROUND(AE312+AF312,2))</f>
        <v>0</v>
      </c>
      <c r="AH312" s="26">
        <f>IF(B312="","",ROUND(AA312-AG312,2))</f>
        <v>0</v>
      </c>
      <c r="AI312" s="39">
        <f>IF(B312="","",IF(AA312&lt;=0,"No charge",IF(AH312&lt;=0.004,"Paid",IF(AG312&lt;=0.004,"Unpaid","Part paid"))))</f>
        <v>0</v>
      </c>
      <c r="AJ312" s="38">
        <f>IF(B312="","",IF(H312&lt;&gt;"Service","",IF(D312="","No",IF(COUNTIFS($D$5:$D$1204,D312,$B$5:$B$1204,B312,$H$5:$H$1204,"Retail")&gt;0,"Yes","No"))))</f>
        <v>0</v>
      </c>
      <c r="AK312" s="25">
        <f>IF(B312="","",COUNTIFS($Y$5:$Y$1204,"&gt;"&amp;Y312)+COUNTIFS($Y$5:Y312,Y312))</f>
        <v>0</v>
      </c>
      <c r="AL312" s="39">
        <f>IF(B312="","",IF(H312="","Add - what kind of sale is this?",IF(IF(V312&lt;=0,P312="",FALSE),"Check - no price found for this item",IF(F312="","Assign - nobody credited",IF(AH312&gt;0.004,"Unpaid - balance outstanding",IF(AC312&lt;0,"Loss - sold below cost",IF(X312&gt;W312*0.5,"Check - more than half off","OK")))))))</f>
        <v>0</v>
      </c>
    </row>
    <row r="313" spans="1:38">
      <c r="A313" s="28">
        <f>IF(B313="","",SalePrefix&amp;TEXT(ROW()-4,"0000"))</f>
        <v>0</v>
      </c>
      <c r="E313" s="15">
        <f>IF(D313="","",IFERROR(INDEX(Clients!$B$5:$B$504,MATCH(D313,Clients!$A$5:$A$504,0)),"Walk-in"))</f>
        <v>0</v>
      </c>
      <c r="G313" s="15">
        <f>IF(F313="","",IFERROR(INDEX(Staff!$B$5:$B$44,MATCH(F313,Staff!$A$5:$A$44,0)),"House"))</f>
        <v>0</v>
      </c>
      <c r="R313" s="15">
        <f>IF(B313="","",TEXT(B313,"yyyy-mm"))</f>
        <v>0</v>
      </c>
      <c r="S313" s="25">
        <f>IF(B313="","",WEEKNUM(B313,2))</f>
        <v>0</v>
      </c>
      <c r="T313" s="37">
        <f>IF(B313="","",IF(K313="",1,K313))</f>
        <v>0</v>
      </c>
      <c r="U313" s="15">
        <f>IF(B313="","",IF(J313&lt;&gt;"",J313,IF(H313="Retail",IFERROR(INDEX(Inventory!$B$5:$B$304,MATCH(I313,Inventory!$A$5:$A$304,0))&amp;"","Not in Inventory"),IFERROR(INDEX(Services!$B$5:$B$204,MATCH(I313,Services!$A$5:$A$204,0))&amp;"","Not in Services"))))</f>
        <v>0</v>
      </c>
      <c r="V313" s="26">
        <f>IF(B313="","",IF(L313&lt;&gt;"",L313,IF(H313="Retail",IFERROR(INDEX(Inventory!$I$5:$I$304,MATCH(I313,Inventory!$A$5:$A$304,0))*1,0),IFERROR(INDEX(Services!$G$5:$G$204,MATCH(I313,Services!$A$5:$A$204,0))*1,0))))</f>
        <v>0</v>
      </c>
      <c r="W313" s="26">
        <f>IF(B313="","",ROUND(T313*V313,2))</f>
        <v>0</v>
      </c>
      <c r="X313" s="26">
        <f>IF(B313="","",ROUND(IF(M313="",0,W313*M313)+IF(N313="",0,N313),2))</f>
        <v>0</v>
      </c>
      <c r="Y313" s="26">
        <f>IF(B313="","",ROUND(W313-X313-IF(P313="",0,P313),2))</f>
        <v>0</v>
      </c>
      <c r="Z313" s="26">
        <f>IF(B313="","",IF(H313="Retail",IF(TaxOnRetail="Yes",ROUND(Y313*TaxRate,2),0),IF(H313="Service",IF(TaxOnServices="Yes",ROUND(Y313*TaxRate,2),0),0)))</f>
        <v>0</v>
      </c>
      <c r="AA313" s="26">
        <f>IF(B313="","",ROUND(Y313+Z313,2))</f>
        <v>0</v>
      </c>
      <c r="AB313" s="26">
        <f>IF(B313="","",ROUND(T313*IF(H313="Retail",IFERROR(INDEX(Inventory!$H$5:$H$304,MATCH(I313,Inventory!$A$5:$A$304,0))*1,0),IFERROR(INDEX(Services!$Q$5:$Q$204,MATCH(I313,Services!$A$5:$A$204,0))*1,0)),2))</f>
        <v>0</v>
      </c>
      <c r="AC313" s="26">
        <f>IF(B313="","",ROUND(Y313-AB313,2))</f>
        <v>0</v>
      </c>
      <c r="AD313" s="38">
        <f>IF(B313="","",IF(C313="","No",IF(COUNTIFS($C$5:C313,C313)=1,"Yes","No")))</f>
        <v>0</v>
      </c>
      <c r="AE313" s="26">
        <f>IF(B313="","",ROUND(SUMIFS(Payments!$G$5:$G$1204,Payments!$H$5:$H$1204,A313,Payments!$Q$5:$Q$1204,"Yes"),2))</f>
        <v>0</v>
      </c>
      <c r="AF313" s="26">
        <f>IF(B313="","",IF(AD313="No",0,ROUND(SUMIFS(Payments!$G$5:$G$1204,Payments!$I$5:$I$1204,C313,Payments!$H$5:$H$1204,"",Payments!$Q$5:$Q$1204,"Yes"),2)))</f>
        <v>0</v>
      </c>
      <c r="AG313" s="26">
        <f>IF(B313="","",ROUND(AE313+AF313,2))</f>
        <v>0</v>
      </c>
      <c r="AH313" s="26">
        <f>IF(B313="","",ROUND(AA313-AG313,2))</f>
        <v>0</v>
      </c>
      <c r="AI313" s="39">
        <f>IF(B313="","",IF(AA313&lt;=0,"No charge",IF(AH313&lt;=0.004,"Paid",IF(AG313&lt;=0.004,"Unpaid","Part paid"))))</f>
        <v>0</v>
      </c>
      <c r="AJ313" s="38">
        <f>IF(B313="","",IF(H313&lt;&gt;"Service","",IF(D313="","No",IF(COUNTIFS($D$5:$D$1204,D313,$B$5:$B$1204,B313,$H$5:$H$1204,"Retail")&gt;0,"Yes","No"))))</f>
        <v>0</v>
      </c>
      <c r="AK313" s="25">
        <f>IF(B313="","",COUNTIFS($Y$5:$Y$1204,"&gt;"&amp;Y313)+COUNTIFS($Y$5:Y313,Y313))</f>
        <v>0</v>
      </c>
      <c r="AL313" s="39">
        <f>IF(B313="","",IF(H313="","Add - what kind of sale is this?",IF(IF(V313&lt;=0,P313="",FALSE),"Check - no price found for this item",IF(F313="","Assign - nobody credited",IF(AH313&gt;0.004,"Unpaid - balance outstanding",IF(AC313&lt;0,"Loss - sold below cost",IF(X313&gt;W313*0.5,"Check - more than half off","OK")))))))</f>
        <v>0</v>
      </c>
    </row>
    <row r="314" spans="1:38">
      <c r="A314" s="28">
        <f>IF(B314="","",SalePrefix&amp;TEXT(ROW()-4,"0000"))</f>
        <v>0</v>
      </c>
      <c r="E314" s="15">
        <f>IF(D314="","",IFERROR(INDEX(Clients!$B$5:$B$504,MATCH(D314,Clients!$A$5:$A$504,0)),"Walk-in"))</f>
        <v>0</v>
      </c>
      <c r="G314" s="15">
        <f>IF(F314="","",IFERROR(INDEX(Staff!$B$5:$B$44,MATCH(F314,Staff!$A$5:$A$44,0)),"House"))</f>
        <v>0</v>
      </c>
      <c r="R314" s="15">
        <f>IF(B314="","",TEXT(B314,"yyyy-mm"))</f>
        <v>0</v>
      </c>
      <c r="S314" s="25">
        <f>IF(B314="","",WEEKNUM(B314,2))</f>
        <v>0</v>
      </c>
      <c r="T314" s="37">
        <f>IF(B314="","",IF(K314="",1,K314))</f>
        <v>0</v>
      </c>
      <c r="U314" s="15">
        <f>IF(B314="","",IF(J314&lt;&gt;"",J314,IF(H314="Retail",IFERROR(INDEX(Inventory!$B$5:$B$304,MATCH(I314,Inventory!$A$5:$A$304,0))&amp;"","Not in Inventory"),IFERROR(INDEX(Services!$B$5:$B$204,MATCH(I314,Services!$A$5:$A$204,0))&amp;"","Not in Services"))))</f>
        <v>0</v>
      </c>
      <c r="V314" s="26">
        <f>IF(B314="","",IF(L314&lt;&gt;"",L314,IF(H314="Retail",IFERROR(INDEX(Inventory!$I$5:$I$304,MATCH(I314,Inventory!$A$5:$A$304,0))*1,0),IFERROR(INDEX(Services!$G$5:$G$204,MATCH(I314,Services!$A$5:$A$204,0))*1,0))))</f>
        <v>0</v>
      </c>
      <c r="W314" s="26">
        <f>IF(B314="","",ROUND(T314*V314,2))</f>
        <v>0</v>
      </c>
      <c r="X314" s="26">
        <f>IF(B314="","",ROUND(IF(M314="",0,W314*M314)+IF(N314="",0,N314),2))</f>
        <v>0</v>
      </c>
      <c r="Y314" s="26">
        <f>IF(B314="","",ROUND(W314-X314-IF(P314="",0,P314),2))</f>
        <v>0</v>
      </c>
      <c r="Z314" s="26">
        <f>IF(B314="","",IF(H314="Retail",IF(TaxOnRetail="Yes",ROUND(Y314*TaxRate,2),0),IF(H314="Service",IF(TaxOnServices="Yes",ROUND(Y314*TaxRate,2),0),0)))</f>
        <v>0</v>
      </c>
      <c r="AA314" s="26">
        <f>IF(B314="","",ROUND(Y314+Z314,2))</f>
        <v>0</v>
      </c>
      <c r="AB314" s="26">
        <f>IF(B314="","",ROUND(T314*IF(H314="Retail",IFERROR(INDEX(Inventory!$H$5:$H$304,MATCH(I314,Inventory!$A$5:$A$304,0))*1,0),IFERROR(INDEX(Services!$Q$5:$Q$204,MATCH(I314,Services!$A$5:$A$204,0))*1,0)),2))</f>
        <v>0</v>
      </c>
      <c r="AC314" s="26">
        <f>IF(B314="","",ROUND(Y314-AB314,2))</f>
        <v>0</v>
      </c>
      <c r="AD314" s="38">
        <f>IF(B314="","",IF(C314="","No",IF(COUNTIFS($C$5:C314,C314)=1,"Yes","No")))</f>
        <v>0</v>
      </c>
      <c r="AE314" s="26">
        <f>IF(B314="","",ROUND(SUMIFS(Payments!$G$5:$G$1204,Payments!$H$5:$H$1204,A314,Payments!$Q$5:$Q$1204,"Yes"),2))</f>
        <v>0</v>
      </c>
      <c r="AF314" s="26">
        <f>IF(B314="","",IF(AD314="No",0,ROUND(SUMIFS(Payments!$G$5:$G$1204,Payments!$I$5:$I$1204,C314,Payments!$H$5:$H$1204,"",Payments!$Q$5:$Q$1204,"Yes"),2)))</f>
        <v>0</v>
      </c>
      <c r="AG314" s="26">
        <f>IF(B314="","",ROUND(AE314+AF314,2))</f>
        <v>0</v>
      </c>
      <c r="AH314" s="26">
        <f>IF(B314="","",ROUND(AA314-AG314,2))</f>
        <v>0</v>
      </c>
      <c r="AI314" s="39">
        <f>IF(B314="","",IF(AA314&lt;=0,"No charge",IF(AH314&lt;=0.004,"Paid",IF(AG314&lt;=0.004,"Unpaid","Part paid"))))</f>
        <v>0</v>
      </c>
      <c r="AJ314" s="38">
        <f>IF(B314="","",IF(H314&lt;&gt;"Service","",IF(D314="","No",IF(COUNTIFS($D$5:$D$1204,D314,$B$5:$B$1204,B314,$H$5:$H$1204,"Retail")&gt;0,"Yes","No"))))</f>
        <v>0</v>
      </c>
      <c r="AK314" s="25">
        <f>IF(B314="","",COUNTIFS($Y$5:$Y$1204,"&gt;"&amp;Y314)+COUNTIFS($Y$5:Y314,Y314))</f>
        <v>0</v>
      </c>
      <c r="AL314" s="39">
        <f>IF(B314="","",IF(H314="","Add - what kind of sale is this?",IF(IF(V314&lt;=0,P314="",FALSE),"Check - no price found for this item",IF(F314="","Assign - nobody credited",IF(AH314&gt;0.004,"Unpaid - balance outstanding",IF(AC314&lt;0,"Loss - sold below cost",IF(X314&gt;W314*0.5,"Check - more than half off","OK")))))))</f>
        <v>0</v>
      </c>
    </row>
    <row r="315" spans="1:38">
      <c r="A315" s="28">
        <f>IF(B315="","",SalePrefix&amp;TEXT(ROW()-4,"0000"))</f>
        <v>0</v>
      </c>
      <c r="E315" s="15">
        <f>IF(D315="","",IFERROR(INDEX(Clients!$B$5:$B$504,MATCH(D315,Clients!$A$5:$A$504,0)),"Walk-in"))</f>
        <v>0</v>
      </c>
      <c r="G315" s="15">
        <f>IF(F315="","",IFERROR(INDEX(Staff!$B$5:$B$44,MATCH(F315,Staff!$A$5:$A$44,0)),"House"))</f>
        <v>0</v>
      </c>
      <c r="R315" s="15">
        <f>IF(B315="","",TEXT(B315,"yyyy-mm"))</f>
        <v>0</v>
      </c>
      <c r="S315" s="25">
        <f>IF(B315="","",WEEKNUM(B315,2))</f>
        <v>0</v>
      </c>
      <c r="T315" s="37">
        <f>IF(B315="","",IF(K315="",1,K315))</f>
        <v>0</v>
      </c>
      <c r="U315" s="15">
        <f>IF(B315="","",IF(J315&lt;&gt;"",J315,IF(H315="Retail",IFERROR(INDEX(Inventory!$B$5:$B$304,MATCH(I315,Inventory!$A$5:$A$304,0))&amp;"","Not in Inventory"),IFERROR(INDEX(Services!$B$5:$B$204,MATCH(I315,Services!$A$5:$A$204,0))&amp;"","Not in Services"))))</f>
        <v>0</v>
      </c>
      <c r="V315" s="26">
        <f>IF(B315="","",IF(L315&lt;&gt;"",L315,IF(H315="Retail",IFERROR(INDEX(Inventory!$I$5:$I$304,MATCH(I315,Inventory!$A$5:$A$304,0))*1,0),IFERROR(INDEX(Services!$G$5:$G$204,MATCH(I315,Services!$A$5:$A$204,0))*1,0))))</f>
        <v>0</v>
      </c>
      <c r="W315" s="26">
        <f>IF(B315="","",ROUND(T315*V315,2))</f>
        <v>0</v>
      </c>
      <c r="X315" s="26">
        <f>IF(B315="","",ROUND(IF(M315="",0,W315*M315)+IF(N315="",0,N315),2))</f>
        <v>0</v>
      </c>
      <c r="Y315" s="26">
        <f>IF(B315="","",ROUND(W315-X315-IF(P315="",0,P315),2))</f>
        <v>0</v>
      </c>
      <c r="Z315" s="26">
        <f>IF(B315="","",IF(H315="Retail",IF(TaxOnRetail="Yes",ROUND(Y315*TaxRate,2),0),IF(H315="Service",IF(TaxOnServices="Yes",ROUND(Y315*TaxRate,2),0),0)))</f>
        <v>0</v>
      </c>
      <c r="AA315" s="26">
        <f>IF(B315="","",ROUND(Y315+Z315,2))</f>
        <v>0</v>
      </c>
      <c r="AB315" s="26">
        <f>IF(B315="","",ROUND(T315*IF(H315="Retail",IFERROR(INDEX(Inventory!$H$5:$H$304,MATCH(I315,Inventory!$A$5:$A$304,0))*1,0),IFERROR(INDEX(Services!$Q$5:$Q$204,MATCH(I315,Services!$A$5:$A$204,0))*1,0)),2))</f>
        <v>0</v>
      </c>
      <c r="AC315" s="26">
        <f>IF(B315="","",ROUND(Y315-AB315,2))</f>
        <v>0</v>
      </c>
      <c r="AD315" s="38">
        <f>IF(B315="","",IF(C315="","No",IF(COUNTIFS($C$5:C315,C315)=1,"Yes","No")))</f>
        <v>0</v>
      </c>
      <c r="AE315" s="26">
        <f>IF(B315="","",ROUND(SUMIFS(Payments!$G$5:$G$1204,Payments!$H$5:$H$1204,A315,Payments!$Q$5:$Q$1204,"Yes"),2))</f>
        <v>0</v>
      </c>
      <c r="AF315" s="26">
        <f>IF(B315="","",IF(AD315="No",0,ROUND(SUMIFS(Payments!$G$5:$G$1204,Payments!$I$5:$I$1204,C315,Payments!$H$5:$H$1204,"",Payments!$Q$5:$Q$1204,"Yes"),2)))</f>
        <v>0</v>
      </c>
      <c r="AG315" s="26">
        <f>IF(B315="","",ROUND(AE315+AF315,2))</f>
        <v>0</v>
      </c>
      <c r="AH315" s="26">
        <f>IF(B315="","",ROUND(AA315-AG315,2))</f>
        <v>0</v>
      </c>
      <c r="AI315" s="39">
        <f>IF(B315="","",IF(AA315&lt;=0,"No charge",IF(AH315&lt;=0.004,"Paid",IF(AG315&lt;=0.004,"Unpaid","Part paid"))))</f>
        <v>0</v>
      </c>
      <c r="AJ315" s="38">
        <f>IF(B315="","",IF(H315&lt;&gt;"Service","",IF(D315="","No",IF(COUNTIFS($D$5:$D$1204,D315,$B$5:$B$1204,B315,$H$5:$H$1204,"Retail")&gt;0,"Yes","No"))))</f>
        <v>0</v>
      </c>
      <c r="AK315" s="25">
        <f>IF(B315="","",COUNTIFS($Y$5:$Y$1204,"&gt;"&amp;Y315)+COUNTIFS($Y$5:Y315,Y315))</f>
        <v>0</v>
      </c>
      <c r="AL315" s="39">
        <f>IF(B315="","",IF(H315="","Add - what kind of sale is this?",IF(IF(V315&lt;=0,P315="",FALSE),"Check - no price found for this item",IF(F315="","Assign - nobody credited",IF(AH315&gt;0.004,"Unpaid - balance outstanding",IF(AC315&lt;0,"Loss - sold below cost",IF(X315&gt;W315*0.5,"Check - more than half off","OK")))))))</f>
        <v>0</v>
      </c>
    </row>
    <row r="316" spans="1:38">
      <c r="A316" s="28">
        <f>IF(B316="","",SalePrefix&amp;TEXT(ROW()-4,"0000"))</f>
        <v>0</v>
      </c>
      <c r="E316" s="15">
        <f>IF(D316="","",IFERROR(INDEX(Clients!$B$5:$B$504,MATCH(D316,Clients!$A$5:$A$504,0)),"Walk-in"))</f>
        <v>0</v>
      </c>
      <c r="G316" s="15">
        <f>IF(F316="","",IFERROR(INDEX(Staff!$B$5:$B$44,MATCH(F316,Staff!$A$5:$A$44,0)),"House"))</f>
        <v>0</v>
      </c>
      <c r="R316" s="15">
        <f>IF(B316="","",TEXT(B316,"yyyy-mm"))</f>
        <v>0</v>
      </c>
      <c r="S316" s="25">
        <f>IF(B316="","",WEEKNUM(B316,2))</f>
        <v>0</v>
      </c>
      <c r="T316" s="37">
        <f>IF(B316="","",IF(K316="",1,K316))</f>
        <v>0</v>
      </c>
      <c r="U316" s="15">
        <f>IF(B316="","",IF(J316&lt;&gt;"",J316,IF(H316="Retail",IFERROR(INDEX(Inventory!$B$5:$B$304,MATCH(I316,Inventory!$A$5:$A$304,0))&amp;"","Not in Inventory"),IFERROR(INDEX(Services!$B$5:$B$204,MATCH(I316,Services!$A$5:$A$204,0))&amp;"","Not in Services"))))</f>
        <v>0</v>
      </c>
      <c r="V316" s="26">
        <f>IF(B316="","",IF(L316&lt;&gt;"",L316,IF(H316="Retail",IFERROR(INDEX(Inventory!$I$5:$I$304,MATCH(I316,Inventory!$A$5:$A$304,0))*1,0),IFERROR(INDEX(Services!$G$5:$G$204,MATCH(I316,Services!$A$5:$A$204,0))*1,0))))</f>
        <v>0</v>
      </c>
      <c r="W316" s="26">
        <f>IF(B316="","",ROUND(T316*V316,2))</f>
        <v>0</v>
      </c>
      <c r="X316" s="26">
        <f>IF(B316="","",ROUND(IF(M316="",0,W316*M316)+IF(N316="",0,N316),2))</f>
        <v>0</v>
      </c>
      <c r="Y316" s="26">
        <f>IF(B316="","",ROUND(W316-X316-IF(P316="",0,P316),2))</f>
        <v>0</v>
      </c>
      <c r="Z316" s="26">
        <f>IF(B316="","",IF(H316="Retail",IF(TaxOnRetail="Yes",ROUND(Y316*TaxRate,2),0),IF(H316="Service",IF(TaxOnServices="Yes",ROUND(Y316*TaxRate,2),0),0)))</f>
        <v>0</v>
      </c>
      <c r="AA316" s="26">
        <f>IF(B316="","",ROUND(Y316+Z316,2))</f>
        <v>0</v>
      </c>
      <c r="AB316" s="26">
        <f>IF(B316="","",ROUND(T316*IF(H316="Retail",IFERROR(INDEX(Inventory!$H$5:$H$304,MATCH(I316,Inventory!$A$5:$A$304,0))*1,0),IFERROR(INDEX(Services!$Q$5:$Q$204,MATCH(I316,Services!$A$5:$A$204,0))*1,0)),2))</f>
        <v>0</v>
      </c>
      <c r="AC316" s="26">
        <f>IF(B316="","",ROUND(Y316-AB316,2))</f>
        <v>0</v>
      </c>
      <c r="AD316" s="38">
        <f>IF(B316="","",IF(C316="","No",IF(COUNTIFS($C$5:C316,C316)=1,"Yes","No")))</f>
        <v>0</v>
      </c>
      <c r="AE316" s="26">
        <f>IF(B316="","",ROUND(SUMIFS(Payments!$G$5:$G$1204,Payments!$H$5:$H$1204,A316,Payments!$Q$5:$Q$1204,"Yes"),2))</f>
        <v>0</v>
      </c>
      <c r="AF316" s="26">
        <f>IF(B316="","",IF(AD316="No",0,ROUND(SUMIFS(Payments!$G$5:$G$1204,Payments!$I$5:$I$1204,C316,Payments!$H$5:$H$1204,"",Payments!$Q$5:$Q$1204,"Yes"),2)))</f>
        <v>0</v>
      </c>
      <c r="AG316" s="26">
        <f>IF(B316="","",ROUND(AE316+AF316,2))</f>
        <v>0</v>
      </c>
      <c r="AH316" s="26">
        <f>IF(B316="","",ROUND(AA316-AG316,2))</f>
        <v>0</v>
      </c>
      <c r="AI316" s="39">
        <f>IF(B316="","",IF(AA316&lt;=0,"No charge",IF(AH316&lt;=0.004,"Paid",IF(AG316&lt;=0.004,"Unpaid","Part paid"))))</f>
        <v>0</v>
      </c>
      <c r="AJ316" s="38">
        <f>IF(B316="","",IF(H316&lt;&gt;"Service","",IF(D316="","No",IF(COUNTIFS($D$5:$D$1204,D316,$B$5:$B$1204,B316,$H$5:$H$1204,"Retail")&gt;0,"Yes","No"))))</f>
        <v>0</v>
      </c>
      <c r="AK316" s="25">
        <f>IF(B316="","",COUNTIFS($Y$5:$Y$1204,"&gt;"&amp;Y316)+COUNTIFS($Y$5:Y316,Y316))</f>
        <v>0</v>
      </c>
      <c r="AL316" s="39">
        <f>IF(B316="","",IF(H316="","Add - what kind of sale is this?",IF(IF(V316&lt;=0,P316="",FALSE),"Check - no price found for this item",IF(F316="","Assign - nobody credited",IF(AH316&gt;0.004,"Unpaid - balance outstanding",IF(AC316&lt;0,"Loss - sold below cost",IF(X316&gt;W316*0.5,"Check - more than half off","OK")))))))</f>
        <v>0</v>
      </c>
    </row>
    <row r="317" spans="1:38">
      <c r="A317" s="28">
        <f>IF(B317="","",SalePrefix&amp;TEXT(ROW()-4,"0000"))</f>
        <v>0</v>
      </c>
      <c r="E317" s="15">
        <f>IF(D317="","",IFERROR(INDEX(Clients!$B$5:$B$504,MATCH(D317,Clients!$A$5:$A$504,0)),"Walk-in"))</f>
        <v>0</v>
      </c>
      <c r="G317" s="15">
        <f>IF(F317="","",IFERROR(INDEX(Staff!$B$5:$B$44,MATCH(F317,Staff!$A$5:$A$44,0)),"House"))</f>
        <v>0</v>
      </c>
      <c r="R317" s="15">
        <f>IF(B317="","",TEXT(B317,"yyyy-mm"))</f>
        <v>0</v>
      </c>
      <c r="S317" s="25">
        <f>IF(B317="","",WEEKNUM(B317,2))</f>
        <v>0</v>
      </c>
      <c r="T317" s="37">
        <f>IF(B317="","",IF(K317="",1,K317))</f>
        <v>0</v>
      </c>
      <c r="U317" s="15">
        <f>IF(B317="","",IF(J317&lt;&gt;"",J317,IF(H317="Retail",IFERROR(INDEX(Inventory!$B$5:$B$304,MATCH(I317,Inventory!$A$5:$A$304,0))&amp;"","Not in Inventory"),IFERROR(INDEX(Services!$B$5:$B$204,MATCH(I317,Services!$A$5:$A$204,0))&amp;"","Not in Services"))))</f>
        <v>0</v>
      </c>
      <c r="V317" s="26">
        <f>IF(B317="","",IF(L317&lt;&gt;"",L317,IF(H317="Retail",IFERROR(INDEX(Inventory!$I$5:$I$304,MATCH(I317,Inventory!$A$5:$A$304,0))*1,0),IFERROR(INDEX(Services!$G$5:$G$204,MATCH(I317,Services!$A$5:$A$204,0))*1,0))))</f>
        <v>0</v>
      </c>
      <c r="W317" s="26">
        <f>IF(B317="","",ROUND(T317*V317,2))</f>
        <v>0</v>
      </c>
      <c r="X317" s="26">
        <f>IF(B317="","",ROUND(IF(M317="",0,W317*M317)+IF(N317="",0,N317),2))</f>
        <v>0</v>
      </c>
      <c r="Y317" s="26">
        <f>IF(B317="","",ROUND(W317-X317-IF(P317="",0,P317),2))</f>
        <v>0</v>
      </c>
      <c r="Z317" s="26">
        <f>IF(B317="","",IF(H317="Retail",IF(TaxOnRetail="Yes",ROUND(Y317*TaxRate,2),0),IF(H317="Service",IF(TaxOnServices="Yes",ROUND(Y317*TaxRate,2),0),0)))</f>
        <v>0</v>
      </c>
      <c r="AA317" s="26">
        <f>IF(B317="","",ROUND(Y317+Z317,2))</f>
        <v>0</v>
      </c>
      <c r="AB317" s="26">
        <f>IF(B317="","",ROUND(T317*IF(H317="Retail",IFERROR(INDEX(Inventory!$H$5:$H$304,MATCH(I317,Inventory!$A$5:$A$304,0))*1,0),IFERROR(INDEX(Services!$Q$5:$Q$204,MATCH(I317,Services!$A$5:$A$204,0))*1,0)),2))</f>
        <v>0</v>
      </c>
      <c r="AC317" s="26">
        <f>IF(B317="","",ROUND(Y317-AB317,2))</f>
        <v>0</v>
      </c>
      <c r="AD317" s="38">
        <f>IF(B317="","",IF(C317="","No",IF(COUNTIFS($C$5:C317,C317)=1,"Yes","No")))</f>
        <v>0</v>
      </c>
      <c r="AE317" s="26">
        <f>IF(B317="","",ROUND(SUMIFS(Payments!$G$5:$G$1204,Payments!$H$5:$H$1204,A317,Payments!$Q$5:$Q$1204,"Yes"),2))</f>
        <v>0</v>
      </c>
      <c r="AF317" s="26">
        <f>IF(B317="","",IF(AD317="No",0,ROUND(SUMIFS(Payments!$G$5:$G$1204,Payments!$I$5:$I$1204,C317,Payments!$H$5:$H$1204,"",Payments!$Q$5:$Q$1204,"Yes"),2)))</f>
        <v>0</v>
      </c>
      <c r="AG317" s="26">
        <f>IF(B317="","",ROUND(AE317+AF317,2))</f>
        <v>0</v>
      </c>
      <c r="AH317" s="26">
        <f>IF(B317="","",ROUND(AA317-AG317,2))</f>
        <v>0</v>
      </c>
      <c r="AI317" s="39">
        <f>IF(B317="","",IF(AA317&lt;=0,"No charge",IF(AH317&lt;=0.004,"Paid",IF(AG317&lt;=0.004,"Unpaid","Part paid"))))</f>
        <v>0</v>
      </c>
      <c r="AJ317" s="38">
        <f>IF(B317="","",IF(H317&lt;&gt;"Service","",IF(D317="","No",IF(COUNTIFS($D$5:$D$1204,D317,$B$5:$B$1204,B317,$H$5:$H$1204,"Retail")&gt;0,"Yes","No"))))</f>
        <v>0</v>
      </c>
      <c r="AK317" s="25">
        <f>IF(B317="","",COUNTIFS($Y$5:$Y$1204,"&gt;"&amp;Y317)+COUNTIFS($Y$5:Y317,Y317))</f>
        <v>0</v>
      </c>
      <c r="AL317" s="39">
        <f>IF(B317="","",IF(H317="","Add - what kind of sale is this?",IF(IF(V317&lt;=0,P317="",FALSE),"Check - no price found for this item",IF(F317="","Assign - nobody credited",IF(AH317&gt;0.004,"Unpaid - balance outstanding",IF(AC317&lt;0,"Loss - sold below cost",IF(X317&gt;W317*0.5,"Check - more than half off","OK")))))))</f>
        <v>0</v>
      </c>
    </row>
    <row r="318" spans="1:38">
      <c r="A318" s="28">
        <f>IF(B318="","",SalePrefix&amp;TEXT(ROW()-4,"0000"))</f>
        <v>0</v>
      </c>
      <c r="E318" s="15">
        <f>IF(D318="","",IFERROR(INDEX(Clients!$B$5:$B$504,MATCH(D318,Clients!$A$5:$A$504,0)),"Walk-in"))</f>
        <v>0</v>
      </c>
      <c r="G318" s="15">
        <f>IF(F318="","",IFERROR(INDEX(Staff!$B$5:$B$44,MATCH(F318,Staff!$A$5:$A$44,0)),"House"))</f>
        <v>0</v>
      </c>
      <c r="R318" s="15">
        <f>IF(B318="","",TEXT(B318,"yyyy-mm"))</f>
        <v>0</v>
      </c>
      <c r="S318" s="25">
        <f>IF(B318="","",WEEKNUM(B318,2))</f>
        <v>0</v>
      </c>
      <c r="T318" s="37">
        <f>IF(B318="","",IF(K318="",1,K318))</f>
        <v>0</v>
      </c>
      <c r="U318" s="15">
        <f>IF(B318="","",IF(J318&lt;&gt;"",J318,IF(H318="Retail",IFERROR(INDEX(Inventory!$B$5:$B$304,MATCH(I318,Inventory!$A$5:$A$304,0))&amp;"","Not in Inventory"),IFERROR(INDEX(Services!$B$5:$B$204,MATCH(I318,Services!$A$5:$A$204,0))&amp;"","Not in Services"))))</f>
        <v>0</v>
      </c>
      <c r="V318" s="26">
        <f>IF(B318="","",IF(L318&lt;&gt;"",L318,IF(H318="Retail",IFERROR(INDEX(Inventory!$I$5:$I$304,MATCH(I318,Inventory!$A$5:$A$304,0))*1,0),IFERROR(INDEX(Services!$G$5:$G$204,MATCH(I318,Services!$A$5:$A$204,0))*1,0))))</f>
        <v>0</v>
      </c>
      <c r="W318" s="26">
        <f>IF(B318="","",ROUND(T318*V318,2))</f>
        <v>0</v>
      </c>
      <c r="X318" s="26">
        <f>IF(B318="","",ROUND(IF(M318="",0,W318*M318)+IF(N318="",0,N318),2))</f>
        <v>0</v>
      </c>
      <c r="Y318" s="26">
        <f>IF(B318="","",ROUND(W318-X318-IF(P318="",0,P318),2))</f>
        <v>0</v>
      </c>
      <c r="Z318" s="26">
        <f>IF(B318="","",IF(H318="Retail",IF(TaxOnRetail="Yes",ROUND(Y318*TaxRate,2),0),IF(H318="Service",IF(TaxOnServices="Yes",ROUND(Y318*TaxRate,2),0),0)))</f>
        <v>0</v>
      </c>
      <c r="AA318" s="26">
        <f>IF(B318="","",ROUND(Y318+Z318,2))</f>
        <v>0</v>
      </c>
      <c r="AB318" s="26">
        <f>IF(B318="","",ROUND(T318*IF(H318="Retail",IFERROR(INDEX(Inventory!$H$5:$H$304,MATCH(I318,Inventory!$A$5:$A$304,0))*1,0),IFERROR(INDEX(Services!$Q$5:$Q$204,MATCH(I318,Services!$A$5:$A$204,0))*1,0)),2))</f>
        <v>0</v>
      </c>
      <c r="AC318" s="26">
        <f>IF(B318="","",ROUND(Y318-AB318,2))</f>
        <v>0</v>
      </c>
      <c r="AD318" s="38">
        <f>IF(B318="","",IF(C318="","No",IF(COUNTIFS($C$5:C318,C318)=1,"Yes","No")))</f>
        <v>0</v>
      </c>
      <c r="AE318" s="26">
        <f>IF(B318="","",ROUND(SUMIFS(Payments!$G$5:$G$1204,Payments!$H$5:$H$1204,A318,Payments!$Q$5:$Q$1204,"Yes"),2))</f>
        <v>0</v>
      </c>
      <c r="AF318" s="26">
        <f>IF(B318="","",IF(AD318="No",0,ROUND(SUMIFS(Payments!$G$5:$G$1204,Payments!$I$5:$I$1204,C318,Payments!$H$5:$H$1204,"",Payments!$Q$5:$Q$1204,"Yes"),2)))</f>
        <v>0</v>
      </c>
      <c r="AG318" s="26">
        <f>IF(B318="","",ROUND(AE318+AF318,2))</f>
        <v>0</v>
      </c>
      <c r="AH318" s="26">
        <f>IF(B318="","",ROUND(AA318-AG318,2))</f>
        <v>0</v>
      </c>
      <c r="AI318" s="39">
        <f>IF(B318="","",IF(AA318&lt;=0,"No charge",IF(AH318&lt;=0.004,"Paid",IF(AG318&lt;=0.004,"Unpaid","Part paid"))))</f>
        <v>0</v>
      </c>
      <c r="AJ318" s="38">
        <f>IF(B318="","",IF(H318&lt;&gt;"Service","",IF(D318="","No",IF(COUNTIFS($D$5:$D$1204,D318,$B$5:$B$1204,B318,$H$5:$H$1204,"Retail")&gt;0,"Yes","No"))))</f>
        <v>0</v>
      </c>
      <c r="AK318" s="25">
        <f>IF(B318="","",COUNTIFS($Y$5:$Y$1204,"&gt;"&amp;Y318)+COUNTIFS($Y$5:Y318,Y318))</f>
        <v>0</v>
      </c>
      <c r="AL318" s="39">
        <f>IF(B318="","",IF(H318="","Add - what kind of sale is this?",IF(IF(V318&lt;=0,P318="",FALSE),"Check - no price found for this item",IF(F318="","Assign - nobody credited",IF(AH318&gt;0.004,"Unpaid - balance outstanding",IF(AC318&lt;0,"Loss - sold below cost",IF(X318&gt;W318*0.5,"Check - more than half off","OK")))))))</f>
        <v>0</v>
      </c>
    </row>
    <row r="319" spans="1:38">
      <c r="A319" s="28">
        <f>IF(B319="","",SalePrefix&amp;TEXT(ROW()-4,"0000"))</f>
        <v>0</v>
      </c>
      <c r="E319" s="15">
        <f>IF(D319="","",IFERROR(INDEX(Clients!$B$5:$B$504,MATCH(D319,Clients!$A$5:$A$504,0)),"Walk-in"))</f>
        <v>0</v>
      </c>
      <c r="G319" s="15">
        <f>IF(F319="","",IFERROR(INDEX(Staff!$B$5:$B$44,MATCH(F319,Staff!$A$5:$A$44,0)),"House"))</f>
        <v>0</v>
      </c>
      <c r="R319" s="15">
        <f>IF(B319="","",TEXT(B319,"yyyy-mm"))</f>
        <v>0</v>
      </c>
      <c r="S319" s="25">
        <f>IF(B319="","",WEEKNUM(B319,2))</f>
        <v>0</v>
      </c>
      <c r="T319" s="37">
        <f>IF(B319="","",IF(K319="",1,K319))</f>
        <v>0</v>
      </c>
      <c r="U319" s="15">
        <f>IF(B319="","",IF(J319&lt;&gt;"",J319,IF(H319="Retail",IFERROR(INDEX(Inventory!$B$5:$B$304,MATCH(I319,Inventory!$A$5:$A$304,0))&amp;"","Not in Inventory"),IFERROR(INDEX(Services!$B$5:$B$204,MATCH(I319,Services!$A$5:$A$204,0))&amp;"","Not in Services"))))</f>
        <v>0</v>
      </c>
      <c r="V319" s="26">
        <f>IF(B319="","",IF(L319&lt;&gt;"",L319,IF(H319="Retail",IFERROR(INDEX(Inventory!$I$5:$I$304,MATCH(I319,Inventory!$A$5:$A$304,0))*1,0),IFERROR(INDEX(Services!$G$5:$G$204,MATCH(I319,Services!$A$5:$A$204,0))*1,0))))</f>
        <v>0</v>
      </c>
      <c r="W319" s="26">
        <f>IF(B319="","",ROUND(T319*V319,2))</f>
        <v>0</v>
      </c>
      <c r="X319" s="26">
        <f>IF(B319="","",ROUND(IF(M319="",0,W319*M319)+IF(N319="",0,N319),2))</f>
        <v>0</v>
      </c>
      <c r="Y319" s="26">
        <f>IF(B319="","",ROUND(W319-X319-IF(P319="",0,P319),2))</f>
        <v>0</v>
      </c>
      <c r="Z319" s="26">
        <f>IF(B319="","",IF(H319="Retail",IF(TaxOnRetail="Yes",ROUND(Y319*TaxRate,2),0),IF(H319="Service",IF(TaxOnServices="Yes",ROUND(Y319*TaxRate,2),0),0)))</f>
        <v>0</v>
      </c>
      <c r="AA319" s="26">
        <f>IF(B319="","",ROUND(Y319+Z319,2))</f>
        <v>0</v>
      </c>
      <c r="AB319" s="26">
        <f>IF(B319="","",ROUND(T319*IF(H319="Retail",IFERROR(INDEX(Inventory!$H$5:$H$304,MATCH(I319,Inventory!$A$5:$A$304,0))*1,0),IFERROR(INDEX(Services!$Q$5:$Q$204,MATCH(I319,Services!$A$5:$A$204,0))*1,0)),2))</f>
        <v>0</v>
      </c>
      <c r="AC319" s="26">
        <f>IF(B319="","",ROUND(Y319-AB319,2))</f>
        <v>0</v>
      </c>
      <c r="AD319" s="38">
        <f>IF(B319="","",IF(C319="","No",IF(COUNTIFS($C$5:C319,C319)=1,"Yes","No")))</f>
        <v>0</v>
      </c>
      <c r="AE319" s="26">
        <f>IF(B319="","",ROUND(SUMIFS(Payments!$G$5:$G$1204,Payments!$H$5:$H$1204,A319,Payments!$Q$5:$Q$1204,"Yes"),2))</f>
        <v>0</v>
      </c>
      <c r="AF319" s="26">
        <f>IF(B319="","",IF(AD319="No",0,ROUND(SUMIFS(Payments!$G$5:$G$1204,Payments!$I$5:$I$1204,C319,Payments!$H$5:$H$1204,"",Payments!$Q$5:$Q$1204,"Yes"),2)))</f>
        <v>0</v>
      </c>
      <c r="AG319" s="26">
        <f>IF(B319="","",ROUND(AE319+AF319,2))</f>
        <v>0</v>
      </c>
      <c r="AH319" s="26">
        <f>IF(B319="","",ROUND(AA319-AG319,2))</f>
        <v>0</v>
      </c>
      <c r="AI319" s="39">
        <f>IF(B319="","",IF(AA319&lt;=0,"No charge",IF(AH319&lt;=0.004,"Paid",IF(AG319&lt;=0.004,"Unpaid","Part paid"))))</f>
        <v>0</v>
      </c>
      <c r="AJ319" s="38">
        <f>IF(B319="","",IF(H319&lt;&gt;"Service","",IF(D319="","No",IF(COUNTIFS($D$5:$D$1204,D319,$B$5:$B$1204,B319,$H$5:$H$1204,"Retail")&gt;0,"Yes","No"))))</f>
        <v>0</v>
      </c>
      <c r="AK319" s="25">
        <f>IF(B319="","",COUNTIFS($Y$5:$Y$1204,"&gt;"&amp;Y319)+COUNTIFS($Y$5:Y319,Y319))</f>
        <v>0</v>
      </c>
      <c r="AL319" s="39">
        <f>IF(B319="","",IF(H319="","Add - what kind of sale is this?",IF(IF(V319&lt;=0,P319="",FALSE),"Check - no price found for this item",IF(F319="","Assign - nobody credited",IF(AH319&gt;0.004,"Unpaid - balance outstanding",IF(AC319&lt;0,"Loss - sold below cost",IF(X319&gt;W319*0.5,"Check - more than half off","OK")))))))</f>
        <v>0</v>
      </c>
    </row>
    <row r="320" spans="1:38">
      <c r="A320" s="28">
        <f>IF(B320="","",SalePrefix&amp;TEXT(ROW()-4,"0000"))</f>
        <v>0</v>
      </c>
      <c r="E320" s="15">
        <f>IF(D320="","",IFERROR(INDEX(Clients!$B$5:$B$504,MATCH(D320,Clients!$A$5:$A$504,0)),"Walk-in"))</f>
        <v>0</v>
      </c>
      <c r="G320" s="15">
        <f>IF(F320="","",IFERROR(INDEX(Staff!$B$5:$B$44,MATCH(F320,Staff!$A$5:$A$44,0)),"House"))</f>
        <v>0</v>
      </c>
      <c r="R320" s="15">
        <f>IF(B320="","",TEXT(B320,"yyyy-mm"))</f>
        <v>0</v>
      </c>
      <c r="S320" s="25">
        <f>IF(B320="","",WEEKNUM(B320,2))</f>
        <v>0</v>
      </c>
      <c r="T320" s="37">
        <f>IF(B320="","",IF(K320="",1,K320))</f>
        <v>0</v>
      </c>
      <c r="U320" s="15">
        <f>IF(B320="","",IF(J320&lt;&gt;"",J320,IF(H320="Retail",IFERROR(INDEX(Inventory!$B$5:$B$304,MATCH(I320,Inventory!$A$5:$A$304,0))&amp;"","Not in Inventory"),IFERROR(INDEX(Services!$B$5:$B$204,MATCH(I320,Services!$A$5:$A$204,0))&amp;"","Not in Services"))))</f>
        <v>0</v>
      </c>
      <c r="V320" s="26">
        <f>IF(B320="","",IF(L320&lt;&gt;"",L320,IF(H320="Retail",IFERROR(INDEX(Inventory!$I$5:$I$304,MATCH(I320,Inventory!$A$5:$A$304,0))*1,0),IFERROR(INDEX(Services!$G$5:$G$204,MATCH(I320,Services!$A$5:$A$204,0))*1,0))))</f>
        <v>0</v>
      </c>
      <c r="W320" s="26">
        <f>IF(B320="","",ROUND(T320*V320,2))</f>
        <v>0</v>
      </c>
      <c r="X320" s="26">
        <f>IF(B320="","",ROUND(IF(M320="",0,W320*M320)+IF(N320="",0,N320),2))</f>
        <v>0</v>
      </c>
      <c r="Y320" s="26">
        <f>IF(B320="","",ROUND(W320-X320-IF(P320="",0,P320),2))</f>
        <v>0</v>
      </c>
      <c r="Z320" s="26">
        <f>IF(B320="","",IF(H320="Retail",IF(TaxOnRetail="Yes",ROUND(Y320*TaxRate,2),0),IF(H320="Service",IF(TaxOnServices="Yes",ROUND(Y320*TaxRate,2),0),0)))</f>
        <v>0</v>
      </c>
      <c r="AA320" s="26">
        <f>IF(B320="","",ROUND(Y320+Z320,2))</f>
        <v>0</v>
      </c>
      <c r="AB320" s="26">
        <f>IF(B320="","",ROUND(T320*IF(H320="Retail",IFERROR(INDEX(Inventory!$H$5:$H$304,MATCH(I320,Inventory!$A$5:$A$304,0))*1,0),IFERROR(INDEX(Services!$Q$5:$Q$204,MATCH(I320,Services!$A$5:$A$204,0))*1,0)),2))</f>
        <v>0</v>
      </c>
      <c r="AC320" s="26">
        <f>IF(B320="","",ROUND(Y320-AB320,2))</f>
        <v>0</v>
      </c>
      <c r="AD320" s="38">
        <f>IF(B320="","",IF(C320="","No",IF(COUNTIFS($C$5:C320,C320)=1,"Yes","No")))</f>
        <v>0</v>
      </c>
      <c r="AE320" s="26">
        <f>IF(B320="","",ROUND(SUMIFS(Payments!$G$5:$G$1204,Payments!$H$5:$H$1204,A320,Payments!$Q$5:$Q$1204,"Yes"),2))</f>
        <v>0</v>
      </c>
      <c r="AF320" s="26">
        <f>IF(B320="","",IF(AD320="No",0,ROUND(SUMIFS(Payments!$G$5:$G$1204,Payments!$I$5:$I$1204,C320,Payments!$H$5:$H$1204,"",Payments!$Q$5:$Q$1204,"Yes"),2)))</f>
        <v>0</v>
      </c>
      <c r="AG320" s="26">
        <f>IF(B320="","",ROUND(AE320+AF320,2))</f>
        <v>0</v>
      </c>
      <c r="AH320" s="26">
        <f>IF(B320="","",ROUND(AA320-AG320,2))</f>
        <v>0</v>
      </c>
      <c r="AI320" s="39">
        <f>IF(B320="","",IF(AA320&lt;=0,"No charge",IF(AH320&lt;=0.004,"Paid",IF(AG320&lt;=0.004,"Unpaid","Part paid"))))</f>
        <v>0</v>
      </c>
      <c r="AJ320" s="38">
        <f>IF(B320="","",IF(H320&lt;&gt;"Service","",IF(D320="","No",IF(COUNTIFS($D$5:$D$1204,D320,$B$5:$B$1204,B320,$H$5:$H$1204,"Retail")&gt;0,"Yes","No"))))</f>
        <v>0</v>
      </c>
      <c r="AK320" s="25">
        <f>IF(B320="","",COUNTIFS($Y$5:$Y$1204,"&gt;"&amp;Y320)+COUNTIFS($Y$5:Y320,Y320))</f>
        <v>0</v>
      </c>
      <c r="AL320" s="39">
        <f>IF(B320="","",IF(H320="","Add - what kind of sale is this?",IF(IF(V320&lt;=0,P320="",FALSE),"Check - no price found for this item",IF(F320="","Assign - nobody credited",IF(AH320&gt;0.004,"Unpaid - balance outstanding",IF(AC320&lt;0,"Loss - sold below cost",IF(X320&gt;W320*0.5,"Check - more than half off","OK")))))))</f>
        <v>0</v>
      </c>
    </row>
    <row r="321" spans="1:38">
      <c r="A321" s="28">
        <f>IF(B321="","",SalePrefix&amp;TEXT(ROW()-4,"0000"))</f>
        <v>0</v>
      </c>
      <c r="E321" s="15">
        <f>IF(D321="","",IFERROR(INDEX(Clients!$B$5:$B$504,MATCH(D321,Clients!$A$5:$A$504,0)),"Walk-in"))</f>
        <v>0</v>
      </c>
      <c r="G321" s="15">
        <f>IF(F321="","",IFERROR(INDEX(Staff!$B$5:$B$44,MATCH(F321,Staff!$A$5:$A$44,0)),"House"))</f>
        <v>0</v>
      </c>
      <c r="R321" s="15">
        <f>IF(B321="","",TEXT(B321,"yyyy-mm"))</f>
        <v>0</v>
      </c>
      <c r="S321" s="25">
        <f>IF(B321="","",WEEKNUM(B321,2))</f>
        <v>0</v>
      </c>
      <c r="T321" s="37">
        <f>IF(B321="","",IF(K321="",1,K321))</f>
        <v>0</v>
      </c>
      <c r="U321" s="15">
        <f>IF(B321="","",IF(J321&lt;&gt;"",J321,IF(H321="Retail",IFERROR(INDEX(Inventory!$B$5:$B$304,MATCH(I321,Inventory!$A$5:$A$304,0))&amp;"","Not in Inventory"),IFERROR(INDEX(Services!$B$5:$B$204,MATCH(I321,Services!$A$5:$A$204,0))&amp;"","Not in Services"))))</f>
        <v>0</v>
      </c>
      <c r="V321" s="26">
        <f>IF(B321="","",IF(L321&lt;&gt;"",L321,IF(H321="Retail",IFERROR(INDEX(Inventory!$I$5:$I$304,MATCH(I321,Inventory!$A$5:$A$304,0))*1,0),IFERROR(INDEX(Services!$G$5:$G$204,MATCH(I321,Services!$A$5:$A$204,0))*1,0))))</f>
        <v>0</v>
      </c>
      <c r="W321" s="26">
        <f>IF(B321="","",ROUND(T321*V321,2))</f>
        <v>0</v>
      </c>
      <c r="X321" s="26">
        <f>IF(B321="","",ROUND(IF(M321="",0,W321*M321)+IF(N321="",0,N321),2))</f>
        <v>0</v>
      </c>
      <c r="Y321" s="26">
        <f>IF(B321="","",ROUND(W321-X321-IF(P321="",0,P321),2))</f>
        <v>0</v>
      </c>
      <c r="Z321" s="26">
        <f>IF(B321="","",IF(H321="Retail",IF(TaxOnRetail="Yes",ROUND(Y321*TaxRate,2),0),IF(H321="Service",IF(TaxOnServices="Yes",ROUND(Y321*TaxRate,2),0),0)))</f>
        <v>0</v>
      </c>
      <c r="AA321" s="26">
        <f>IF(B321="","",ROUND(Y321+Z321,2))</f>
        <v>0</v>
      </c>
      <c r="AB321" s="26">
        <f>IF(B321="","",ROUND(T321*IF(H321="Retail",IFERROR(INDEX(Inventory!$H$5:$H$304,MATCH(I321,Inventory!$A$5:$A$304,0))*1,0),IFERROR(INDEX(Services!$Q$5:$Q$204,MATCH(I321,Services!$A$5:$A$204,0))*1,0)),2))</f>
        <v>0</v>
      </c>
      <c r="AC321" s="26">
        <f>IF(B321="","",ROUND(Y321-AB321,2))</f>
        <v>0</v>
      </c>
      <c r="AD321" s="38">
        <f>IF(B321="","",IF(C321="","No",IF(COUNTIFS($C$5:C321,C321)=1,"Yes","No")))</f>
        <v>0</v>
      </c>
      <c r="AE321" s="26">
        <f>IF(B321="","",ROUND(SUMIFS(Payments!$G$5:$G$1204,Payments!$H$5:$H$1204,A321,Payments!$Q$5:$Q$1204,"Yes"),2))</f>
        <v>0</v>
      </c>
      <c r="AF321" s="26">
        <f>IF(B321="","",IF(AD321="No",0,ROUND(SUMIFS(Payments!$G$5:$G$1204,Payments!$I$5:$I$1204,C321,Payments!$H$5:$H$1204,"",Payments!$Q$5:$Q$1204,"Yes"),2)))</f>
        <v>0</v>
      </c>
      <c r="AG321" s="26">
        <f>IF(B321="","",ROUND(AE321+AF321,2))</f>
        <v>0</v>
      </c>
      <c r="AH321" s="26">
        <f>IF(B321="","",ROUND(AA321-AG321,2))</f>
        <v>0</v>
      </c>
      <c r="AI321" s="39">
        <f>IF(B321="","",IF(AA321&lt;=0,"No charge",IF(AH321&lt;=0.004,"Paid",IF(AG321&lt;=0.004,"Unpaid","Part paid"))))</f>
        <v>0</v>
      </c>
      <c r="AJ321" s="38">
        <f>IF(B321="","",IF(H321&lt;&gt;"Service","",IF(D321="","No",IF(COUNTIFS($D$5:$D$1204,D321,$B$5:$B$1204,B321,$H$5:$H$1204,"Retail")&gt;0,"Yes","No"))))</f>
        <v>0</v>
      </c>
      <c r="AK321" s="25">
        <f>IF(B321="","",COUNTIFS($Y$5:$Y$1204,"&gt;"&amp;Y321)+COUNTIFS($Y$5:Y321,Y321))</f>
        <v>0</v>
      </c>
      <c r="AL321" s="39">
        <f>IF(B321="","",IF(H321="","Add - what kind of sale is this?",IF(IF(V321&lt;=0,P321="",FALSE),"Check - no price found for this item",IF(F321="","Assign - nobody credited",IF(AH321&gt;0.004,"Unpaid - balance outstanding",IF(AC321&lt;0,"Loss - sold below cost",IF(X321&gt;W321*0.5,"Check - more than half off","OK")))))))</f>
        <v>0</v>
      </c>
    </row>
    <row r="322" spans="1:38">
      <c r="A322" s="28">
        <f>IF(B322="","",SalePrefix&amp;TEXT(ROW()-4,"0000"))</f>
        <v>0</v>
      </c>
      <c r="E322" s="15">
        <f>IF(D322="","",IFERROR(INDEX(Clients!$B$5:$B$504,MATCH(D322,Clients!$A$5:$A$504,0)),"Walk-in"))</f>
        <v>0</v>
      </c>
      <c r="G322" s="15">
        <f>IF(F322="","",IFERROR(INDEX(Staff!$B$5:$B$44,MATCH(F322,Staff!$A$5:$A$44,0)),"House"))</f>
        <v>0</v>
      </c>
      <c r="R322" s="15">
        <f>IF(B322="","",TEXT(B322,"yyyy-mm"))</f>
        <v>0</v>
      </c>
      <c r="S322" s="25">
        <f>IF(B322="","",WEEKNUM(B322,2))</f>
        <v>0</v>
      </c>
      <c r="T322" s="37">
        <f>IF(B322="","",IF(K322="",1,K322))</f>
        <v>0</v>
      </c>
      <c r="U322" s="15">
        <f>IF(B322="","",IF(J322&lt;&gt;"",J322,IF(H322="Retail",IFERROR(INDEX(Inventory!$B$5:$B$304,MATCH(I322,Inventory!$A$5:$A$304,0))&amp;"","Not in Inventory"),IFERROR(INDEX(Services!$B$5:$B$204,MATCH(I322,Services!$A$5:$A$204,0))&amp;"","Not in Services"))))</f>
        <v>0</v>
      </c>
      <c r="V322" s="26">
        <f>IF(B322="","",IF(L322&lt;&gt;"",L322,IF(H322="Retail",IFERROR(INDEX(Inventory!$I$5:$I$304,MATCH(I322,Inventory!$A$5:$A$304,0))*1,0),IFERROR(INDEX(Services!$G$5:$G$204,MATCH(I322,Services!$A$5:$A$204,0))*1,0))))</f>
        <v>0</v>
      </c>
      <c r="W322" s="26">
        <f>IF(B322="","",ROUND(T322*V322,2))</f>
        <v>0</v>
      </c>
      <c r="X322" s="26">
        <f>IF(B322="","",ROUND(IF(M322="",0,W322*M322)+IF(N322="",0,N322),2))</f>
        <v>0</v>
      </c>
      <c r="Y322" s="26">
        <f>IF(B322="","",ROUND(W322-X322-IF(P322="",0,P322),2))</f>
        <v>0</v>
      </c>
      <c r="Z322" s="26">
        <f>IF(B322="","",IF(H322="Retail",IF(TaxOnRetail="Yes",ROUND(Y322*TaxRate,2),0),IF(H322="Service",IF(TaxOnServices="Yes",ROUND(Y322*TaxRate,2),0),0)))</f>
        <v>0</v>
      </c>
      <c r="AA322" s="26">
        <f>IF(B322="","",ROUND(Y322+Z322,2))</f>
        <v>0</v>
      </c>
      <c r="AB322" s="26">
        <f>IF(B322="","",ROUND(T322*IF(H322="Retail",IFERROR(INDEX(Inventory!$H$5:$H$304,MATCH(I322,Inventory!$A$5:$A$304,0))*1,0),IFERROR(INDEX(Services!$Q$5:$Q$204,MATCH(I322,Services!$A$5:$A$204,0))*1,0)),2))</f>
        <v>0</v>
      </c>
      <c r="AC322" s="26">
        <f>IF(B322="","",ROUND(Y322-AB322,2))</f>
        <v>0</v>
      </c>
      <c r="AD322" s="38">
        <f>IF(B322="","",IF(C322="","No",IF(COUNTIFS($C$5:C322,C322)=1,"Yes","No")))</f>
        <v>0</v>
      </c>
      <c r="AE322" s="26">
        <f>IF(B322="","",ROUND(SUMIFS(Payments!$G$5:$G$1204,Payments!$H$5:$H$1204,A322,Payments!$Q$5:$Q$1204,"Yes"),2))</f>
        <v>0</v>
      </c>
      <c r="AF322" s="26">
        <f>IF(B322="","",IF(AD322="No",0,ROUND(SUMIFS(Payments!$G$5:$G$1204,Payments!$I$5:$I$1204,C322,Payments!$H$5:$H$1204,"",Payments!$Q$5:$Q$1204,"Yes"),2)))</f>
        <v>0</v>
      </c>
      <c r="AG322" s="26">
        <f>IF(B322="","",ROUND(AE322+AF322,2))</f>
        <v>0</v>
      </c>
      <c r="AH322" s="26">
        <f>IF(B322="","",ROUND(AA322-AG322,2))</f>
        <v>0</v>
      </c>
      <c r="AI322" s="39">
        <f>IF(B322="","",IF(AA322&lt;=0,"No charge",IF(AH322&lt;=0.004,"Paid",IF(AG322&lt;=0.004,"Unpaid","Part paid"))))</f>
        <v>0</v>
      </c>
      <c r="AJ322" s="38">
        <f>IF(B322="","",IF(H322&lt;&gt;"Service","",IF(D322="","No",IF(COUNTIFS($D$5:$D$1204,D322,$B$5:$B$1204,B322,$H$5:$H$1204,"Retail")&gt;0,"Yes","No"))))</f>
        <v>0</v>
      </c>
      <c r="AK322" s="25">
        <f>IF(B322="","",COUNTIFS($Y$5:$Y$1204,"&gt;"&amp;Y322)+COUNTIFS($Y$5:Y322,Y322))</f>
        <v>0</v>
      </c>
      <c r="AL322" s="39">
        <f>IF(B322="","",IF(H322="","Add - what kind of sale is this?",IF(IF(V322&lt;=0,P322="",FALSE),"Check - no price found for this item",IF(F322="","Assign - nobody credited",IF(AH322&gt;0.004,"Unpaid - balance outstanding",IF(AC322&lt;0,"Loss - sold below cost",IF(X322&gt;W322*0.5,"Check - more than half off","OK")))))))</f>
        <v>0</v>
      </c>
    </row>
    <row r="323" spans="1:38">
      <c r="A323" s="28">
        <f>IF(B323="","",SalePrefix&amp;TEXT(ROW()-4,"0000"))</f>
        <v>0</v>
      </c>
      <c r="E323" s="15">
        <f>IF(D323="","",IFERROR(INDEX(Clients!$B$5:$B$504,MATCH(D323,Clients!$A$5:$A$504,0)),"Walk-in"))</f>
        <v>0</v>
      </c>
      <c r="G323" s="15">
        <f>IF(F323="","",IFERROR(INDEX(Staff!$B$5:$B$44,MATCH(F323,Staff!$A$5:$A$44,0)),"House"))</f>
        <v>0</v>
      </c>
      <c r="R323" s="15">
        <f>IF(B323="","",TEXT(B323,"yyyy-mm"))</f>
        <v>0</v>
      </c>
      <c r="S323" s="25">
        <f>IF(B323="","",WEEKNUM(B323,2))</f>
        <v>0</v>
      </c>
      <c r="T323" s="37">
        <f>IF(B323="","",IF(K323="",1,K323))</f>
        <v>0</v>
      </c>
      <c r="U323" s="15">
        <f>IF(B323="","",IF(J323&lt;&gt;"",J323,IF(H323="Retail",IFERROR(INDEX(Inventory!$B$5:$B$304,MATCH(I323,Inventory!$A$5:$A$304,0))&amp;"","Not in Inventory"),IFERROR(INDEX(Services!$B$5:$B$204,MATCH(I323,Services!$A$5:$A$204,0))&amp;"","Not in Services"))))</f>
        <v>0</v>
      </c>
      <c r="V323" s="26">
        <f>IF(B323="","",IF(L323&lt;&gt;"",L323,IF(H323="Retail",IFERROR(INDEX(Inventory!$I$5:$I$304,MATCH(I323,Inventory!$A$5:$A$304,0))*1,0),IFERROR(INDEX(Services!$G$5:$G$204,MATCH(I323,Services!$A$5:$A$204,0))*1,0))))</f>
        <v>0</v>
      </c>
      <c r="W323" s="26">
        <f>IF(B323="","",ROUND(T323*V323,2))</f>
        <v>0</v>
      </c>
      <c r="X323" s="26">
        <f>IF(B323="","",ROUND(IF(M323="",0,W323*M323)+IF(N323="",0,N323),2))</f>
        <v>0</v>
      </c>
      <c r="Y323" s="26">
        <f>IF(B323="","",ROUND(W323-X323-IF(P323="",0,P323),2))</f>
        <v>0</v>
      </c>
      <c r="Z323" s="26">
        <f>IF(B323="","",IF(H323="Retail",IF(TaxOnRetail="Yes",ROUND(Y323*TaxRate,2),0),IF(H323="Service",IF(TaxOnServices="Yes",ROUND(Y323*TaxRate,2),0),0)))</f>
        <v>0</v>
      </c>
      <c r="AA323" s="26">
        <f>IF(B323="","",ROUND(Y323+Z323,2))</f>
        <v>0</v>
      </c>
      <c r="AB323" s="26">
        <f>IF(B323="","",ROUND(T323*IF(H323="Retail",IFERROR(INDEX(Inventory!$H$5:$H$304,MATCH(I323,Inventory!$A$5:$A$304,0))*1,0),IFERROR(INDEX(Services!$Q$5:$Q$204,MATCH(I323,Services!$A$5:$A$204,0))*1,0)),2))</f>
        <v>0</v>
      </c>
      <c r="AC323" s="26">
        <f>IF(B323="","",ROUND(Y323-AB323,2))</f>
        <v>0</v>
      </c>
      <c r="AD323" s="38">
        <f>IF(B323="","",IF(C323="","No",IF(COUNTIFS($C$5:C323,C323)=1,"Yes","No")))</f>
        <v>0</v>
      </c>
      <c r="AE323" s="26">
        <f>IF(B323="","",ROUND(SUMIFS(Payments!$G$5:$G$1204,Payments!$H$5:$H$1204,A323,Payments!$Q$5:$Q$1204,"Yes"),2))</f>
        <v>0</v>
      </c>
      <c r="AF323" s="26">
        <f>IF(B323="","",IF(AD323="No",0,ROUND(SUMIFS(Payments!$G$5:$G$1204,Payments!$I$5:$I$1204,C323,Payments!$H$5:$H$1204,"",Payments!$Q$5:$Q$1204,"Yes"),2)))</f>
        <v>0</v>
      </c>
      <c r="AG323" s="26">
        <f>IF(B323="","",ROUND(AE323+AF323,2))</f>
        <v>0</v>
      </c>
      <c r="AH323" s="26">
        <f>IF(B323="","",ROUND(AA323-AG323,2))</f>
        <v>0</v>
      </c>
      <c r="AI323" s="39">
        <f>IF(B323="","",IF(AA323&lt;=0,"No charge",IF(AH323&lt;=0.004,"Paid",IF(AG323&lt;=0.004,"Unpaid","Part paid"))))</f>
        <v>0</v>
      </c>
      <c r="AJ323" s="38">
        <f>IF(B323="","",IF(H323&lt;&gt;"Service","",IF(D323="","No",IF(COUNTIFS($D$5:$D$1204,D323,$B$5:$B$1204,B323,$H$5:$H$1204,"Retail")&gt;0,"Yes","No"))))</f>
        <v>0</v>
      </c>
      <c r="AK323" s="25">
        <f>IF(B323="","",COUNTIFS($Y$5:$Y$1204,"&gt;"&amp;Y323)+COUNTIFS($Y$5:Y323,Y323))</f>
        <v>0</v>
      </c>
      <c r="AL323" s="39">
        <f>IF(B323="","",IF(H323="","Add - what kind of sale is this?",IF(IF(V323&lt;=0,P323="",FALSE),"Check - no price found for this item",IF(F323="","Assign - nobody credited",IF(AH323&gt;0.004,"Unpaid - balance outstanding",IF(AC323&lt;0,"Loss - sold below cost",IF(X323&gt;W323*0.5,"Check - more than half off","OK")))))))</f>
        <v>0</v>
      </c>
    </row>
    <row r="324" spans="1:38">
      <c r="A324" s="28">
        <f>IF(B324="","",SalePrefix&amp;TEXT(ROW()-4,"0000"))</f>
        <v>0</v>
      </c>
      <c r="E324" s="15">
        <f>IF(D324="","",IFERROR(INDEX(Clients!$B$5:$B$504,MATCH(D324,Clients!$A$5:$A$504,0)),"Walk-in"))</f>
        <v>0</v>
      </c>
      <c r="G324" s="15">
        <f>IF(F324="","",IFERROR(INDEX(Staff!$B$5:$B$44,MATCH(F324,Staff!$A$5:$A$44,0)),"House"))</f>
        <v>0</v>
      </c>
      <c r="R324" s="15">
        <f>IF(B324="","",TEXT(B324,"yyyy-mm"))</f>
        <v>0</v>
      </c>
      <c r="S324" s="25">
        <f>IF(B324="","",WEEKNUM(B324,2))</f>
        <v>0</v>
      </c>
      <c r="T324" s="37">
        <f>IF(B324="","",IF(K324="",1,K324))</f>
        <v>0</v>
      </c>
      <c r="U324" s="15">
        <f>IF(B324="","",IF(J324&lt;&gt;"",J324,IF(H324="Retail",IFERROR(INDEX(Inventory!$B$5:$B$304,MATCH(I324,Inventory!$A$5:$A$304,0))&amp;"","Not in Inventory"),IFERROR(INDEX(Services!$B$5:$B$204,MATCH(I324,Services!$A$5:$A$204,0))&amp;"","Not in Services"))))</f>
        <v>0</v>
      </c>
      <c r="V324" s="26">
        <f>IF(B324="","",IF(L324&lt;&gt;"",L324,IF(H324="Retail",IFERROR(INDEX(Inventory!$I$5:$I$304,MATCH(I324,Inventory!$A$5:$A$304,0))*1,0),IFERROR(INDEX(Services!$G$5:$G$204,MATCH(I324,Services!$A$5:$A$204,0))*1,0))))</f>
        <v>0</v>
      </c>
      <c r="W324" s="26">
        <f>IF(B324="","",ROUND(T324*V324,2))</f>
        <v>0</v>
      </c>
      <c r="X324" s="26">
        <f>IF(B324="","",ROUND(IF(M324="",0,W324*M324)+IF(N324="",0,N324),2))</f>
        <v>0</v>
      </c>
      <c r="Y324" s="26">
        <f>IF(B324="","",ROUND(W324-X324-IF(P324="",0,P324),2))</f>
        <v>0</v>
      </c>
      <c r="Z324" s="26">
        <f>IF(B324="","",IF(H324="Retail",IF(TaxOnRetail="Yes",ROUND(Y324*TaxRate,2),0),IF(H324="Service",IF(TaxOnServices="Yes",ROUND(Y324*TaxRate,2),0),0)))</f>
        <v>0</v>
      </c>
      <c r="AA324" s="26">
        <f>IF(B324="","",ROUND(Y324+Z324,2))</f>
        <v>0</v>
      </c>
      <c r="AB324" s="26">
        <f>IF(B324="","",ROUND(T324*IF(H324="Retail",IFERROR(INDEX(Inventory!$H$5:$H$304,MATCH(I324,Inventory!$A$5:$A$304,0))*1,0),IFERROR(INDEX(Services!$Q$5:$Q$204,MATCH(I324,Services!$A$5:$A$204,0))*1,0)),2))</f>
        <v>0</v>
      </c>
      <c r="AC324" s="26">
        <f>IF(B324="","",ROUND(Y324-AB324,2))</f>
        <v>0</v>
      </c>
      <c r="AD324" s="38">
        <f>IF(B324="","",IF(C324="","No",IF(COUNTIFS($C$5:C324,C324)=1,"Yes","No")))</f>
        <v>0</v>
      </c>
      <c r="AE324" s="26">
        <f>IF(B324="","",ROUND(SUMIFS(Payments!$G$5:$G$1204,Payments!$H$5:$H$1204,A324,Payments!$Q$5:$Q$1204,"Yes"),2))</f>
        <v>0</v>
      </c>
      <c r="AF324" s="26">
        <f>IF(B324="","",IF(AD324="No",0,ROUND(SUMIFS(Payments!$G$5:$G$1204,Payments!$I$5:$I$1204,C324,Payments!$H$5:$H$1204,"",Payments!$Q$5:$Q$1204,"Yes"),2)))</f>
        <v>0</v>
      </c>
      <c r="AG324" s="26">
        <f>IF(B324="","",ROUND(AE324+AF324,2))</f>
        <v>0</v>
      </c>
      <c r="AH324" s="26">
        <f>IF(B324="","",ROUND(AA324-AG324,2))</f>
        <v>0</v>
      </c>
      <c r="AI324" s="39">
        <f>IF(B324="","",IF(AA324&lt;=0,"No charge",IF(AH324&lt;=0.004,"Paid",IF(AG324&lt;=0.004,"Unpaid","Part paid"))))</f>
        <v>0</v>
      </c>
      <c r="AJ324" s="38">
        <f>IF(B324="","",IF(H324&lt;&gt;"Service","",IF(D324="","No",IF(COUNTIFS($D$5:$D$1204,D324,$B$5:$B$1204,B324,$H$5:$H$1204,"Retail")&gt;0,"Yes","No"))))</f>
        <v>0</v>
      </c>
      <c r="AK324" s="25">
        <f>IF(B324="","",COUNTIFS($Y$5:$Y$1204,"&gt;"&amp;Y324)+COUNTIFS($Y$5:Y324,Y324))</f>
        <v>0</v>
      </c>
      <c r="AL324" s="39">
        <f>IF(B324="","",IF(H324="","Add - what kind of sale is this?",IF(IF(V324&lt;=0,P324="",FALSE),"Check - no price found for this item",IF(F324="","Assign - nobody credited",IF(AH324&gt;0.004,"Unpaid - balance outstanding",IF(AC324&lt;0,"Loss - sold below cost",IF(X324&gt;W324*0.5,"Check - more than half off","OK")))))))</f>
        <v>0</v>
      </c>
    </row>
    <row r="325" spans="1:38">
      <c r="A325" s="28">
        <f>IF(B325="","",SalePrefix&amp;TEXT(ROW()-4,"0000"))</f>
        <v>0</v>
      </c>
      <c r="E325" s="15">
        <f>IF(D325="","",IFERROR(INDEX(Clients!$B$5:$B$504,MATCH(D325,Clients!$A$5:$A$504,0)),"Walk-in"))</f>
        <v>0</v>
      </c>
      <c r="G325" s="15">
        <f>IF(F325="","",IFERROR(INDEX(Staff!$B$5:$B$44,MATCH(F325,Staff!$A$5:$A$44,0)),"House"))</f>
        <v>0</v>
      </c>
      <c r="R325" s="15">
        <f>IF(B325="","",TEXT(B325,"yyyy-mm"))</f>
        <v>0</v>
      </c>
      <c r="S325" s="25">
        <f>IF(B325="","",WEEKNUM(B325,2))</f>
        <v>0</v>
      </c>
      <c r="T325" s="37">
        <f>IF(B325="","",IF(K325="",1,K325))</f>
        <v>0</v>
      </c>
      <c r="U325" s="15">
        <f>IF(B325="","",IF(J325&lt;&gt;"",J325,IF(H325="Retail",IFERROR(INDEX(Inventory!$B$5:$B$304,MATCH(I325,Inventory!$A$5:$A$304,0))&amp;"","Not in Inventory"),IFERROR(INDEX(Services!$B$5:$B$204,MATCH(I325,Services!$A$5:$A$204,0))&amp;"","Not in Services"))))</f>
        <v>0</v>
      </c>
      <c r="V325" s="26">
        <f>IF(B325="","",IF(L325&lt;&gt;"",L325,IF(H325="Retail",IFERROR(INDEX(Inventory!$I$5:$I$304,MATCH(I325,Inventory!$A$5:$A$304,0))*1,0),IFERROR(INDEX(Services!$G$5:$G$204,MATCH(I325,Services!$A$5:$A$204,0))*1,0))))</f>
        <v>0</v>
      </c>
      <c r="W325" s="26">
        <f>IF(B325="","",ROUND(T325*V325,2))</f>
        <v>0</v>
      </c>
      <c r="X325" s="26">
        <f>IF(B325="","",ROUND(IF(M325="",0,W325*M325)+IF(N325="",0,N325),2))</f>
        <v>0</v>
      </c>
      <c r="Y325" s="26">
        <f>IF(B325="","",ROUND(W325-X325-IF(P325="",0,P325),2))</f>
        <v>0</v>
      </c>
      <c r="Z325" s="26">
        <f>IF(B325="","",IF(H325="Retail",IF(TaxOnRetail="Yes",ROUND(Y325*TaxRate,2),0),IF(H325="Service",IF(TaxOnServices="Yes",ROUND(Y325*TaxRate,2),0),0)))</f>
        <v>0</v>
      </c>
      <c r="AA325" s="26">
        <f>IF(B325="","",ROUND(Y325+Z325,2))</f>
        <v>0</v>
      </c>
      <c r="AB325" s="26">
        <f>IF(B325="","",ROUND(T325*IF(H325="Retail",IFERROR(INDEX(Inventory!$H$5:$H$304,MATCH(I325,Inventory!$A$5:$A$304,0))*1,0),IFERROR(INDEX(Services!$Q$5:$Q$204,MATCH(I325,Services!$A$5:$A$204,0))*1,0)),2))</f>
        <v>0</v>
      </c>
      <c r="AC325" s="26">
        <f>IF(B325="","",ROUND(Y325-AB325,2))</f>
        <v>0</v>
      </c>
      <c r="AD325" s="38">
        <f>IF(B325="","",IF(C325="","No",IF(COUNTIFS($C$5:C325,C325)=1,"Yes","No")))</f>
        <v>0</v>
      </c>
      <c r="AE325" s="26">
        <f>IF(B325="","",ROUND(SUMIFS(Payments!$G$5:$G$1204,Payments!$H$5:$H$1204,A325,Payments!$Q$5:$Q$1204,"Yes"),2))</f>
        <v>0</v>
      </c>
      <c r="AF325" s="26">
        <f>IF(B325="","",IF(AD325="No",0,ROUND(SUMIFS(Payments!$G$5:$G$1204,Payments!$I$5:$I$1204,C325,Payments!$H$5:$H$1204,"",Payments!$Q$5:$Q$1204,"Yes"),2)))</f>
        <v>0</v>
      </c>
      <c r="AG325" s="26">
        <f>IF(B325="","",ROUND(AE325+AF325,2))</f>
        <v>0</v>
      </c>
      <c r="AH325" s="26">
        <f>IF(B325="","",ROUND(AA325-AG325,2))</f>
        <v>0</v>
      </c>
      <c r="AI325" s="39">
        <f>IF(B325="","",IF(AA325&lt;=0,"No charge",IF(AH325&lt;=0.004,"Paid",IF(AG325&lt;=0.004,"Unpaid","Part paid"))))</f>
        <v>0</v>
      </c>
      <c r="AJ325" s="38">
        <f>IF(B325="","",IF(H325&lt;&gt;"Service","",IF(D325="","No",IF(COUNTIFS($D$5:$D$1204,D325,$B$5:$B$1204,B325,$H$5:$H$1204,"Retail")&gt;0,"Yes","No"))))</f>
        <v>0</v>
      </c>
      <c r="AK325" s="25">
        <f>IF(B325="","",COUNTIFS($Y$5:$Y$1204,"&gt;"&amp;Y325)+COUNTIFS($Y$5:Y325,Y325))</f>
        <v>0</v>
      </c>
      <c r="AL325" s="39">
        <f>IF(B325="","",IF(H325="","Add - what kind of sale is this?",IF(IF(V325&lt;=0,P325="",FALSE),"Check - no price found for this item",IF(F325="","Assign - nobody credited",IF(AH325&gt;0.004,"Unpaid - balance outstanding",IF(AC325&lt;0,"Loss - sold below cost",IF(X325&gt;W325*0.5,"Check - more than half off","OK")))))))</f>
        <v>0</v>
      </c>
    </row>
    <row r="326" spans="1:38">
      <c r="A326" s="28">
        <f>IF(B326="","",SalePrefix&amp;TEXT(ROW()-4,"0000"))</f>
        <v>0</v>
      </c>
      <c r="E326" s="15">
        <f>IF(D326="","",IFERROR(INDEX(Clients!$B$5:$B$504,MATCH(D326,Clients!$A$5:$A$504,0)),"Walk-in"))</f>
        <v>0</v>
      </c>
      <c r="G326" s="15">
        <f>IF(F326="","",IFERROR(INDEX(Staff!$B$5:$B$44,MATCH(F326,Staff!$A$5:$A$44,0)),"House"))</f>
        <v>0</v>
      </c>
      <c r="R326" s="15">
        <f>IF(B326="","",TEXT(B326,"yyyy-mm"))</f>
        <v>0</v>
      </c>
      <c r="S326" s="25">
        <f>IF(B326="","",WEEKNUM(B326,2))</f>
        <v>0</v>
      </c>
      <c r="T326" s="37">
        <f>IF(B326="","",IF(K326="",1,K326))</f>
        <v>0</v>
      </c>
      <c r="U326" s="15">
        <f>IF(B326="","",IF(J326&lt;&gt;"",J326,IF(H326="Retail",IFERROR(INDEX(Inventory!$B$5:$B$304,MATCH(I326,Inventory!$A$5:$A$304,0))&amp;"","Not in Inventory"),IFERROR(INDEX(Services!$B$5:$B$204,MATCH(I326,Services!$A$5:$A$204,0))&amp;"","Not in Services"))))</f>
        <v>0</v>
      </c>
      <c r="V326" s="26">
        <f>IF(B326="","",IF(L326&lt;&gt;"",L326,IF(H326="Retail",IFERROR(INDEX(Inventory!$I$5:$I$304,MATCH(I326,Inventory!$A$5:$A$304,0))*1,0),IFERROR(INDEX(Services!$G$5:$G$204,MATCH(I326,Services!$A$5:$A$204,0))*1,0))))</f>
        <v>0</v>
      </c>
      <c r="W326" s="26">
        <f>IF(B326="","",ROUND(T326*V326,2))</f>
        <v>0</v>
      </c>
      <c r="X326" s="26">
        <f>IF(B326="","",ROUND(IF(M326="",0,W326*M326)+IF(N326="",0,N326),2))</f>
        <v>0</v>
      </c>
      <c r="Y326" s="26">
        <f>IF(B326="","",ROUND(W326-X326-IF(P326="",0,P326),2))</f>
        <v>0</v>
      </c>
      <c r="Z326" s="26">
        <f>IF(B326="","",IF(H326="Retail",IF(TaxOnRetail="Yes",ROUND(Y326*TaxRate,2),0),IF(H326="Service",IF(TaxOnServices="Yes",ROUND(Y326*TaxRate,2),0),0)))</f>
        <v>0</v>
      </c>
      <c r="AA326" s="26">
        <f>IF(B326="","",ROUND(Y326+Z326,2))</f>
        <v>0</v>
      </c>
      <c r="AB326" s="26">
        <f>IF(B326="","",ROUND(T326*IF(H326="Retail",IFERROR(INDEX(Inventory!$H$5:$H$304,MATCH(I326,Inventory!$A$5:$A$304,0))*1,0),IFERROR(INDEX(Services!$Q$5:$Q$204,MATCH(I326,Services!$A$5:$A$204,0))*1,0)),2))</f>
        <v>0</v>
      </c>
      <c r="AC326" s="26">
        <f>IF(B326="","",ROUND(Y326-AB326,2))</f>
        <v>0</v>
      </c>
      <c r="AD326" s="38">
        <f>IF(B326="","",IF(C326="","No",IF(COUNTIFS($C$5:C326,C326)=1,"Yes","No")))</f>
        <v>0</v>
      </c>
      <c r="AE326" s="26">
        <f>IF(B326="","",ROUND(SUMIFS(Payments!$G$5:$G$1204,Payments!$H$5:$H$1204,A326,Payments!$Q$5:$Q$1204,"Yes"),2))</f>
        <v>0</v>
      </c>
      <c r="AF326" s="26">
        <f>IF(B326="","",IF(AD326="No",0,ROUND(SUMIFS(Payments!$G$5:$G$1204,Payments!$I$5:$I$1204,C326,Payments!$H$5:$H$1204,"",Payments!$Q$5:$Q$1204,"Yes"),2)))</f>
        <v>0</v>
      </c>
      <c r="AG326" s="26">
        <f>IF(B326="","",ROUND(AE326+AF326,2))</f>
        <v>0</v>
      </c>
      <c r="AH326" s="26">
        <f>IF(B326="","",ROUND(AA326-AG326,2))</f>
        <v>0</v>
      </c>
      <c r="AI326" s="39">
        <f>IF(B326="","",IF(AA326&lt;=0,"No charge",IF(AH326&lt;=0.004,"Paid",IF(AG326&lt;=0.004,"Unpaid","Part paid"))))</f>
        <v>0</v>
      </c>
      <c r="AJ326" s="38">
        <f>IF(B326="","",IF(H326&lt;&gt;"Service","",IF(D326="","No",IF(COUNTIFS($D$5:$D$1204,D326,$B$5:$B$1204,B326,$H$5:$H$1204,"Retail")&gt;0,"Yes","No"))))</f>
        <v>0</v>
      </c>
      <c r="AK326" s="25">
        <f>IF(B326="","",COUNTIFS($Y$5:$Y$1204,"&gt;"&amp;Y326)+COUNTIFS($Y$5:Y326,Y326))</f>
        <v>0</v>
      </c>
      <c r="AL326" s="39">
        <f>IF(B326="","",IF(H326="","Add - what kind of sale is this?",IF(IF(V326&lt;=0,P326="",FALSE),"Check - no price found for this item",IF(F326="","Assign - nobody credited",IF(AH326&gt;0.004,"Unpaid - balance outstanding",IF(AC326&lt;0,"Loss - sold below cost",IF(X326&gt;W326*0.5,"Check - more than half off","OK")))))))</f>
        <v>0</v>
      </c>
    </row>
    <row r="327" spans="1:38">
      <c r="A327" s="28">
        <f>IF(B327="","",SalePrefix&amp;TEXT(ROW()-4,"0000"))</f>
        <v>0</v>
      </c>
      <c r="E327" s="15">
        <f>IF(D327="","",IFERROR(INDEX(Clients!$B$5:$B$504,MATCH(D327,Clients!$A$5:$A$504,0)),"Walk-in"))</f>
        <v>0</v>
      </c>
      <c r="G327" s="15">
        <f>IF(F327="","",IFERROR(INDEX(Staff!$B$5:$B$44,MATCH(F327,Staff!$A$5:$A$44,0)),"House"))</f>
        <v>0</v>
      </c>
      <c r="R327" s="15">
        <f>IF(B327="","",TEXT(B327,"yyyy-mm"))</f>
        <v>0</v>
      </c>
      <c r="S327" s="25">
        <f>IF(B327="","",WEEKNUM(B327,2))</f>
        <v>0</v>
      </c>
      <c r="T327" s="37">
        <f>IF(B327="","",IF(K327="",1,K327))</f>
        <v>0</v>
      </c>
      <c r="U327" s="15">
        <f>IF(B327="","",IF(J327&lt;&gt;"",J327,IF(H327="Retail",IFERROR(INDEX(Inventory!$B$5:$B$304,MATCH(I327,Inventory!$A$5:$A$304,0))&amp;"","Not in Inventory"),IFERROR(INDEX(Services!$B$5:$B$204,MATCH(I327,Services!$A$5:$A$204,0))&amp;"","Not in Services"))))</f>
        <v>0</v>
      </c>
      <c r="V327" s="26">
        <f>IF(B327="","",IF(L327&lt;&gt;"",L327,IF(H327="Retail",IFERROR(INDEX(Inventory!$I$5:$I$304,MATCH(I327,Inventory!$A$5:$A$304,0))*1,0),IFERROR(INDEX(Services!$G$5:$G$204,MATCH(I327,Services!$A$5:$A$204,0))*1,0))))</f>
        <v>0</v>
      </c>
      <c r="W327" s="26">
        <f>IF(B327="","",ROUND(T327*V327,2))</f>
        <v>0</v>
      </c>
      <c r="X327" s="26">
        <f>IF(B327="","",ROUND(IF(M327="",0,W327*M327)+IF(N327="",0,N327),2))</f>
        <v>0</v>
      </c>
      <c r="Y327" s="26">
        <f>IF(B327="","",ROUND(W327-X327-IF(P327="",0,P327),2))</f>
        <v>0</v>
      </c>
      <c r="Z327" s="26">
        <f>IF(B327="","",IF(H327="Retail",IF(TaxOnRetail="Yes",ROUND(Y327*TaxRate,2),0),IF(H327="Service",IF(TaxOnServices="Yes",ROUND(Y327*TaxRate,2),0),0)))</f>
        <v>0</v>
      </c>
      <c r="AA327" s="26">
        <f>IF(B327="","",ROUND(Y327+Z327,2))</f>
        <v>0</v>
      </c>
      <c r="AB327" s="26">
        <f>IF(B327="","",ROUND(T327*IF(H327="Retail",IFERROR(INDEX(Inventory!$H$5:$H$304,MATCH(I327,Inventory!$A$5:$A$304,0))*1,0),IFERROR(INDEX(Services!$Q$5:$Q$204,MATCH(I327,Services!$A$5:$A$204,0))*1,0)),2))</f>
        <v>0</v>
      </c>
      <c r="AC327" s="26">
        <f>IF(B327="","",ROUND(Y327-AB327,2))</f>
        <v>0</v>
      </c>
      <c r="AD327" s="38">
        <f>IF(B327="","",IF(C327="","No",IF(COUNTIFS($C$5:C327,C327)=1,"Yes","No")))</f>
        <v>0</v>
      </c>
      <c r="AE327" s="26">
        <f>IF(B327="","",ROUND(SUMIFS(Payments!$G$5:$G$1204,Payments!$H$5:$H$1204,A327,Payments!$Q$5:$Q$1204,"Yes"),2))</f>
        <v>0</v>
      </c>
      <c r="AF327" s="26">
        <f>IF(B327="","",IF(AD327="No",0,ROUND(SUMIFS(Payments!$G$5:$G$1204,Payments!$I$5:$I$1204,C327,Payments!$H$5:$H$1204,"",Payments!$Q$5:$Q$1204,"Yes"),2)))</f>
        <v>0</v>
      </c>
      <c r="AG327" s="26">
        <f>IF(B327="","",ROUND(AE327+AF327,2))</f>
        <v>0</v>
      </c>
      <c r="AH327" s="26">
        <f>IF(B327="","",ROUND(AA327-AG327,2))</f>
        <v>0</v>
      </c>
      <c r="AI327" s="39">
        <f>IF(B327="","",IF(AA327&lt;=0,"No charge",IF(AH327&lt;=0.004,"Paid",IF(AG327&lt;=0.004,"Unpaid","Part paid"))))</f>
        <v>0</v>
      </c>
      <c r="AJ327" s="38">
        <f>IF(B327="","",IF(H327&lt;&gt;"Service","",IF(D327="","No",IF(COUNTIFS($D$5:$D$1204,D327,$B$5:$B$1204,B327,$H$5:$H$1204,"Retail")&gt;0,"Yes","No"))))</f>
        <v>0</v>
      </c>
      <c r="AK327" s="25">
        <f>IF(B327="","",COUNTIFS($Y$5:$Y$1204,"&gt;"&amp;Y327)+COUNTIFS($Y$5:Y327,Y327))</f>
        <v>0</v>
      </c>
      <c r="AL327" s="39">
        <f>IF(B327="","",IF(H327="","Add - what kind of sale is this?",IF(IF(V327&lt;=0,P327="",FALSE),"Check - no price found for this item",IF(F327="","Assign - nobody credited",IF(AH327&gt;0.004,"Unpaid - balance outstanding",IF(AC327&lt;0,"Loss - sold below cost",IF(X327&gt;W327*0.5,"Check - more than half off","OK")))))))</f>
        <v>0</v>
      </c>
    </row>
    <row r="328" spans="1:38">
      <c r="A328" s="28">
        <f>IF(B328="","",SalePrefix&amp;TEXT(ROW()-4,"0000"))</f>
        <v>0</v>
      </c>
      <c r="E328" s="15">
        <f>IF(D328="","",IFERROR(INDEX(Clients!$B$5:$B$504,MATCH(D328,Clients!$A$5:$A$504,0)),"Walk-in"))</f>
        <v>0</v>
      </c>
      <c r="G328" s="15">
        <f>IF(F328="","",IFERROR(INDEX(Staff!$B$5:$B$44,MATCH(F328,Staff!$A$5:$A$44,0)),"House"))</f>
        <v>0</v>
      </c>
      <c r="R328" s="15">
        <f>IF(B328="","",TEXT(B328,"yyyy-mm"))</f>
        <v>0</v>
      </c>
      <c r="S328" s="25">
        <f>IF(B328="","",WEEKNUM(B328,2))</f>
        <v>0</v>
      </c>
      <c r="T328" s="37">
        <f>IF(B328="","",IF(K328="",1,K328))</f>
        <v>0</v>
      </c>
      <c r="U328" s="15">
        <f>IF(B328="","",IF(J328&lt;&gt;"",J328,IF(H328="Retail",IFERROR(INDEX(Inventory!$B$5:$B$304,MATCH(I328,Inventory!$A$5:$A$304,0))&amp;"","Not in Inventory"),IFERROR(INDEX(Services!$B$5:$B$204,MATCH(I328,Services!$A$5:$A$204,0))&amp;"","Not in Services"))))</f>
        <v>0</v>
      </c>
      <c r="V328" s="26">
        <f>IF(B328="","",IF(L328&lt;&gt;"",L328,IF(H328="Retail",IFERROR(INDEX(Inventory!$I$5:$I$304,MATCH(I328,Inventory!$A$5:$A$304,0))*1,0),IFERROR(INDEX(Services!$G$5:$G$204,MATCH(I328,Services!$A$5:$A$204,0))*1,0))))</f>
        <v>0</v>
      </c>
      <c r="W328" s="26">
        <f>IF(B328="","",ROUND(T328*V328,2))</f>
        <v>0</v>
      </c>
      <c r="X328" s="26">
        <f>IF(B328="","",ROUND(IF(M328="",0,W328*M328)+IF(N328="",0,N328),2))</f>
        <v>0</v>
      </c>
      <c r="Y328" s="26">
        <f>IF(B328="","",ROUND(W328-X328-IF(P328="",0,P328),2))</f>
        <v>0</v>
      </c>
      <c r="Z328" s="26">
        <f>IF(B328="","",IF(H328="Retail",IF(TaxOnRetail="Yes",ROUND(Y328*TaxRate,2),0),IF(H328="Service",IF(TaxOnServices="Yes",ROUND(Y328*TaxRate,2),0),0)))</f>
        <v>0</v>
      </c>
      <c r="AA328" s="26">
        <f>IF(B328="","",ROUND(Y328+Z328,2))</f>
        <v>0</v>
      </c>
      <c r="AB328" s="26">
        <f>IF(B328="","",ROUND(T328*IF(H328="Retail",IFERROR(INDEX(Inventory!$H$5:$H$304,MATCH(I328,Inventory!$A$5:$A$304,0))*1,0),IFERROR(INDEX(Services!$Q$5:$Q$204,MATCH(I328,Services!$A$5:$A$204,0))*1,0)),2))</f>
        <v>0</v>
      </c>
      <c r="AC328" s="26">
        <f>IF(B328="","",ROUND(Y328-AB328,2))</f>
        <v>0</v>
      </c>
      <c r="AD328" s="38">
        <f>IF(B328="","",IF(C328="","No",IF(COUNTIFS($C$5:C328,C328)=1,"Yes","No")))</f>
        <v>0</v>
      </c>
      <c r="AE328" s="26">
        <f>IF(B328="","",ROUND(SUMIFS(Payments!$G$5:$G$1204,Payments!$H$5:$H$1204,A328,Payments!$Q$5:$Q$1204,"Yes"),2))</f>
        <v>0</v>
      </c>
      <c r="AF328" s="26">
        <f>IF(B328="","",IF(AD328="No",0,ROUND(SUMIFS(Payments!$G$5:$G$1204,Payments!$I$5:$I$1204,C328,Payments!$H$5:$H$1204,"",Payments!$Q$5:$Q$1204,"Yes"),2)))</f>
        <v>0</v>
      </c>
      <c r="AG328" s="26">
        <f>IF(B328="","",ROUND(AE328+AF328,2))</f>
        <v>0</v>
      </c>
      <c r="AH328" s="26">
        <f>IF(B328="","",ROUND(AA328-AG328,2))</f>
        <v>0</v>
      </c>
      <c r="AI328" s="39">
        <f>IF(B328="","",IF(AA328&lt;=0,"No charge",IF(AH328&lt;=0.004,"Paid",IF(AG328&lt;=0.004,"Unpaid","Part paid"))))</f>
        <v>0</v>
      </c>
      <c r="AJ328" s="38">
        <f>IF(B328="","",IF(H328&lt;&gt;"Service","",IF(D328="","No",IF(COUNTIFS($D$5:$D$1204,D328,$B$5:$B$1204,B328,$H$5:$H$1204,"Retail")&gt;0,"Yes","No"))))</f>
        <v>0</v>
      </c>
      <c r="AK328" s="25">
        <f>IF(B328="","",COUNTIFS($Y$5:$Y$1204,"&gt;"&amp;Y328)+COUNTIFS($Y$5:Y328,Y328))</f>
        <v>0</v>
      </c>
      <c r="AL328" s="39">
        <f>IF(B328="","",IF(H328="","Add - what kind of sale is this?",IF(IF(V328&lt;=0,P328="",FALSE),"Check - no price found for this item",IF(F328="","Assign - nobody credited",IF(AH328&gt;0.004,"Unpaid - balance outstanding",IF(AC328&lt;0,"Loss - sold below cost",IF(X328&gt;W328*0.5,"Check - more than half off","OK")))))))</f>
        <v>0</v>
      </c>
    </row>
    <row r="329" spans="1:38">
      <c r="A329" s="28">
        <f>IF(B329="","",SalePrefix&amp;TEXT(ROW()-4,"0000"))</f>
        <v>0</v>
      </c>
      <c r="E329" s="15">
        <f>IF(D329="","",IFERROR(INDEX(Clients!$B$5:$B$504,MATCH(D329,Clients!$A$5:$A$504,0)),"Walk-in"))</f>
        <v>0</v>
      </c>
      <c r="G329" s="15">
        <f>IF(F329="","",IFERROR(INDEX(Staff!$B$5:$B$44,MATCH(F329,Staff!$A$5:$A$44,0)),"House"))</f>
        <v>0</v>
      </c>
      <c r="R329" s="15">
        <f>IF(B329="","",TEXT(B329,"yyyy-mm"))</f>
        <v>0</v>
      </c>
      <c r="S329" s="25">
        <f>IF(B329="","",WEEKNUM(B329,2))</f>
        <v>0</v>
      </c>
      <c r="T329" s="37">
        <f>IF(B329="","",IF(K329="",1,K329))</f>
        <v>0</v>
      </c>
      <c r="U329" s="15">
        <f>IF(B329="","",IF(J329&lt;&gt;"",J329,IF(H329="Retail",IFERROR(INDEX(Inventory!$B$5:$B$304,MATCH(I329,Inventory!$A$5:$A$304,0))&amp;"","Not in Inventory"),IFERROR(INDEX(Services!$B$5:$B$204,MATCH(I329,Services!$A$5:$A$204,0))&amp;"","Not in Services"))))</f>
        <v>0</v>
      </c>
      <c r="V329" s="26">
        <f>IF(B329="","",IF(L329&lt;&gt;"",L329,IF(H329="Retail",IFERROR(INDEX(Inventory!$I$5:$I$304,MATCH(I329,Inventory!$A$5:$A$304,0))*1,0),IFERROR(INDEX(Services!$G$5:$G$204,MATCH(I329,Services!$A$5:$A$204,0))*1,0))))</f>
        <v>0</v>
      </c>
      <c r="W329" s="26">
        <f>IF(B329="","",ROUND(T329*V329,2))</f>
        <v>0</v>
      </c>
      <c r="X329" s="26">
        <f>IF(B329="","",ROUND(IF(M329="",0,W329*M329)+IF(N329="",0,N329),2))</f>
        <v>0</v>
      </c>
      <c r="Y329" s="26">
        <f>IF(B329="","",ROUND(W329-X329-IF(P329="",0,P329),2))</f>
        <v>0</v>
      </c>
      <c r="Z329" s="26">
        <f>IF(B329="","",IF(H329="Retail",IF(TaxOnRetail="Yes",ROUND(Y329*TaxRate,2),0),IF(H329="Service",IF(TaxOnServices="Yes",ROUND(Y329*TaxRate,2),0),0)))</f>
        <v>0</v>
      </c>
      <c r="AA329" s="26">
        <f>IF(B329="","",ROUND(Y329+Z329,2))</f>
        <v>0</v>
      </c>
      <c r="AB329" s="26">
        <f>IF(B329="","",ROUND(T329*IF(H329="Retail",IFERROR(INDEX(Inventory!$H$5:$H$304,MATCH(I329,Inventory!$A$5:$A$304,0))*1,0),IFERROR(INDEX(Services!$Q$5:$Q$204,MATCH(I329,Services!$A$5:$A$204,0))*1,0)),2))</f>
        <v>0</v>
      </c>
      <c r="AC329" s="26">
        <f>IF(B329="","",ROUND(Y329-AB329,2))</f>
        <v>0</v>
      </c>
      <c r="AD329" s="38">
        <f>IF(B329="","",IF(C329="","No",IF(COUNTIFS($C$5:C329,C329)=1,"Yes","No")))</f>
        <v>0</v>
      </c>
      <c r="AE329" s="26">
        <f>IF(B329="","",ROUND(SUMIFS(Payments!$G$5:$G$1204,Payments!$H$5:$H$1204,A329,Payments!$Q$5:$Q$1204,"Yes"),2))</f>
        <v>0</v>
      </c>
      <c r="AF329" s="26">
        <f>IF(B329="","",IF(AD329="No",0,ROUND(SUMIFS(Payments!$G$5:$G$1204,Payments!$I$5:$I$1204,C329,Payments!$H$5:$H$1204,"",Payments!$Q$5:$Q$1204,"Yes"),2)))</f>
        <v>0</v>
      </c>
      <c r="AG329" s="26">
        <f>IF(B329="","",ROUND(AE329+AF329,2))</f>
        <v>0</v>
      </c>
      <c r="AH329" s="26">
        <f>IF(B329="","",ROUND(AA329-AG329,2))</f>
        <v>0</v>
      </c>
      <c r="AI329" s="39">
        <f>IF(B329="","",IF(AA329&lt;=0,"No charge",IF(AH329&lt;=0.004,"Paid",IF(AG329&lt;=0.004,"Unpaid","Part paid"))))</f>
        <v>0</v>
      </c>
      <c r="AJ329" s="38">
        <f>IF(B329="","",IF(H329&lt;&gt;"Service","",IF(D329="","No",IF(COUNTIFS($D$5:$D$1204,D329,$B$5:$B$1204,B329,$H$5:$H$1204,"Retail")&gt;0,"Yes","No"))))</f>
        <v>0</v>
      </c>
      <c r="AK329" s="25">
        <f>IF(B329="","",COUNTIFS($Y$5:$Y$1204,"&gt;"&amp;Y329)+COUNTIFS($Y$5:Y329,Y329))</f>
        <v>0</v>
      </c>
      <c r="AL329" s="39">
        <f>IF(B329="","",IF(H329="","Add - what kind of sale is this?",IF(IF(V329&lt;=0,P329="",FALSE),"Check - no price found for this item",IF(F329="","Assign - nobody credited",IF(AH329&gt;0.004,"Unpaid - balance outstanding",IF(AC329&lt;0,"Loss - sold below cost",IF(X329&gt;W329*0.5,"Check - more than half off","OK")))))))</f>
        <v>0</v>
      </c>
    </row>
    <row r="330" spans="1:38">
      <c r="A330" s="28">
        <f>IF(B330="","",SalePrefix&amp;TEXT(ROW()-4,"0000"))</f>
        <v>0</v>
      </c>
      <c r="E330" s="15">
        <f>IF(D330="","",IFERROR(INDEX(Clients!$B$5:$B$504,MATCH(D330,Clients!$A$5:$A$504,0)),"Walk-in"))</f>
        <v>0</v>
      </c>
      <c r="G330" s="15">
        <f>IF(F330="","",IFERROR(INDEX(Staff!$B$5:$B$44,MATCH(F330,Staff!$A$5:$A$44,0)),"House"))</f>
        <v>0</v>
      </c>
      <c r="R330" s="15">
        <f>IF(B330="","",TEXT(B330,"yyyy-mm"))</f>
        <v>0</v>
      </c>
      <c r="S330" s="25">
        <f>IF(B330="","",WEEKNUM(B330,2))</f>
        <v>0</v>
      </c>
      <c r="T330" s="37">
        <f>IF(B330="","",IF(K330="",1,K330))</f>
        <v>0</v>
      </c>
      <c r="U330" s="15">
        <f>IF(B330="","",IF(J330&lt;&gt;"",J330,IF(H330="Retail",IFERROR(INDEX(Inventory!$B$5:$B$304,MATCH(I330,Inventory!$A$5:$A$304,0))&amp;"","Not in Inventory"),IFERROR(INDEX(Services!$B$5:$B$204,MATCH(I330,Services!$A$5:$A$204,0))&amp;"","Not in Services"))))</f>
        <v>0</v>
      </c>
      <c r="V330" s="26">
        <f>IF(B330="","",IF(L330&lt;&gt;"",L330,IF(H330="Retail",IFERROR(INDEX(Inventory!$I$5:$I$304,MATCH(I330,Inventory!$A$5:$A$304,0))*1,0),IFERROR(INDEX(Services!$G$5:$G$204,MATCH(I330,Services!$A$5:$A$204,0))*1,0))))</f>
        <v>0</v>
      </c>
      <c r="W330" s="26">
        <f>IF(B330="","",ROUND(T330*V330,2))</f>
        <v>0</v>
      </c>
      <c r="X330" s="26">
        <f>IF(B330="","",ROUND(IF(M330="",0,W330*M330)+IF(N330="",0,N330),2))</f>
        <v>0</v>
      </c>
      <c r="Y330" s="26">
        <f>IF(B330="","",ROUND(W330-X330-IF(P330="",0,P330),2))</f>
        <v>0</v>
      </c>
      <c r="Z330" s="26">
        <f>IF(B330="","",IF(H330="Retail",IF(TaxOnRetail="Yes",ROUND(Y330*TaxRate,2),0),IF(H330="Service",IF(TaxOnServices="Yes",ROUND(Y330*TaxRate,2),0),0)))</f>
        <v>0</v>
      </c>
      <c r="AA330" s="26">
        <f>IF(B330="","",ROUND(Y330+Z330,2))</f>
        <v>0</v>
      </c>
      <c r="AB330" s="26">
        <f>IF(B330="","",ROUND(T330*IF(H330="Retail",IFERROR(INDEX(Inventory!$H$5:$H$304,MATCH(I330,Inventory!$A$5:$A$304,0))*1,0),IFERROR(INDEX(Services!$Q$5:$Q$204,MATCH(I330,Services!$A$5:$A$204,0))*1,0)),2))</f>
        <v>0</v>
      </c>
      <c r="AC330" s="26">
        <f>IF(B330="","",ROUND(Y330-AB330,2))</f>
        <v>0</v>
      </c>
      <c r="AD330" s="38">
        <f>IF(B330="","",IF(C330="","No",IF(COUNTIFS($C$5:C330,C330)=1,"Yes","No")))</f>
        <v>0</v>
      </c>
      <c r="AE330" s="26">
        <f>IF(B330="","",ROUND(SUMIFS(Payments!$G$5:$G$1204,Payments!$H$5:$H$1204,A330,Payments!$Q$5:$Q$1204,"Yes"),2))</f>
        <v>0</v>
      </c>
      <c r="AF330" s="26">
        <f>IF(B330="","",IF(AD330="No",0,ROUND(SUMIFS(Payments!$G$5:$G$1204,Payments!$I$5:$I$1204,C330,Payments!$H$5:$H$1204,"",Payments!$Q$5:$Q$1204,"Yes"),2)))</f>
        <v>0</v>
      </c>
      <c r="AG330" s="26">
        <f>IF(B330="","",ROUND(AE330+AF330,2))</f>
        <v>0</v>
      </c>
      <c r="AH330" s="26">
        <f>IF(B330="","",ROUND(AA330-AG330,2))</f>
        <v>0</v>
      </c>
      <c r="AI330" s="39">
        <f>IF(B330="","",IF(AA330&lt;=0,"No charge",IF(AH330&lt;=0.004,"Paid",IF(AG330&lt;=0.004,"Unpaid","Part paid"))))</f>
        <v>0</v>
      </c>
      <c r="AJ330" s="38">
        <f>IF(B330="","",IF(H330&lt;&gt;"Service","",IF(D330="","No",IF(COUNTIFS($D$5:$D$1204,D330,$B$5:$B$1204,B330,$H$5:$H$1204,"Retail")&gt;0,"Yes","No"))))</f>
        <v>0</v>
      </c>
      <c r="AK330" s="25">
        <f>IF(B330="","",COUNTIFS($Y$5:$Y$1204,"&gt;"&amp;Y330)+COUNTIFS($Y$5:Y330,Y330))</f>
        <v>0</v>
      </c>
      <c r="AL330" s="39">
        <f>IF(B330="","",IF(H330="","Add - what kind of sale is this?",IF(IF(V330&lt;=0,P330="",FALSE),"Check - no price found for this item",IF(F330="","Assign - nobody credited",IF(AH330&gt;0.004,"Unpaid - balance outstanding",IF(AC330&lt;0,"Loss - sold below cost",IF(X330&gt;W330*0.5,"Check - more than half off","OK")))))))</f>
        <v>0</v>
      </c>
    </row>
    <row r="331" spans="1:38">
      <c r="A331" s="28">
        <f>IF(B331="","",SalePrefix&amp;TEXT(ROW()-4,"0000"))</f>
        <v>0</v>
      </c>
      <c r="E331" s="15">
        <f>IF(D331="","",IFERROR(INDEX(Clients!$B$5:$B$504,MATCH(D331,Clients!$A$5:$A$504,0)),"Walk-in"))</f>
        <v>0</v>
      </c>
      <c r="G331" s="15">
        <f>IF(F331="","",IFERROR(INDEX(Staff!$B$5:$B$44,MATCH(F331,Staff!$A$5:$A$44,0)),"House"))</f>
        <v>0</v>
      </c>
      <c r="R331" s="15">
        <f>IF(B331="","",TEXT(B331,"yyyy-mm"))</f>
        <v>0</v>
      </c>
      <c r="S331" s="25">
        <f>IF(B331="","",WEEKNUM(B331,2))</f>
        <v>0</v>
      </c>
      <c r="T331" s="37">
        <f>IF(B331="","",IF(K331="",1,K331))</f>
        <v>0</v>
      </c>
      <c r="U331" s="15">
        <f>IF(B331="","",IF(J331&lt;&gt;"",J331,IF(H331="Retail",IFERROR(INDEX(Inventory!$B$5:$B$304,MATCH(I331,Inventory!$A$5:$A$304,0))&amp;"","Not in Inventory"),IFERROR(INDEX(Services!$B$5:$B$204,MATCH(I331,Services!$A$5:$A$204,0))&amp;"","Not in Services"))))</f>
        <v>0</v>
      </c>
      <c r="V331" s="26">
        <f>IF(B331="","",IF(L331&lt;&gt;"",L331,IF(H331="Retail",IFERROR(INDEX(Inventory!$I$5:$I$304,MATCH(I331,Inventory!$A$5:$A$304,0))*1,0),IFERROR(INDEX(Services!$G$5:$G$204,MATCH(I331,Services!$A$5:$A$204,0))*1,0))))</f>
        <v>0</v>
      </c>
      <c r="W331" s="26">
        <f>IF(B331="","",ROUND(T331*V331,2))</f>
        <v>0</v>
      </c>
      <c r="X331" s="26">
        <f>IF(B331="","",ROUND(IF(M331="",0,W331*M331)+IF(N331="",0,N331),2))</f>
        <v>0</v>
      </c>
      <c r="Y331" s="26">
        <f>IF(B331="","",ROUND(W331-X331-IF(P331="",0,P331),2))</f>
        <v>0</v>
      </c>
      <c r="Z331" s="26">
        <f>IF(B331="","",IF(H331="Retail",IF(TaxOnRetail="Yes",ROUND(Y331*TaxRate,2),0),IF(H331="Service",IF(TaxOnServices="Yes",ROUND(Y331*TaxRate,2),0),0)))</f>
        <v>0</v>
      </c>
      <c r="AA331" s="26">
        <f>IF(B331="","",ROUND(Y331+Z331,2))</f>
        <v>0</v>
      </c>
      <c r="AB331" s="26">
        <f>IF(B331="","",ROUND(T331*IF(H331="Retail",IFERROR(INDEX(Inventory!$H$5:$H$304,MATCH(I331,Inventory!$A$5:$A$304,0))*1,0),IFERROR(INDEX(Services!$Q$5:$Q$204,MATCH(I331,Services!$A$5:$A$204,0))*1,0)),2))</f>
        <v>0</v>
      </c>
      <c r="AC331" s="26">
        <f>IF(B331="","",ROUND(Y331-AB331,2))</f>
        <v>0</v>
      </c>
      <c r="AD331" s="38">
        <f>IF(B331="","",IF(C331="","No",IF(COUNTIFS($C$5:C331,C331)=1,"Yes","No")))</f>
        <v>0</v>
      </c>
      <c r="AE331" s="26">
        <f>IF(B331="","",ROUND(SUMIFS(Payments!$G$5:$G$1204,Payments!$H$5:$H$1204,A331,Payments!$Q$5:$Q$1204,"Yes"),2))</f>
        <v>0</v>
      </c>
      <c r="AF331" s="26">
        <f>IF(B331="","",IF(AD331="No",0,ROUND(SUMIFS(Payments!$G$5:$G$1204,Payments!$I$5:$I$1204,C331,Payments!$H$5:$H$1204,"",Payments!$Q$5:$Q$1204,"Yes"),2)))</f>
        <v>0</v>
      </c>
      <c r="AG331" s="26">
        <f>IF(B331="","",ROUND(AE331+AF331,2))</f>
        <v>0</v>
      </c>
      <c r="AH331" s="26">
        <f>IF(B331="","",ROUND(AA331-AG331,2))</f>
        <v>0</v>
      </c>
      <c r="AI331" s="39">
        <f>IF(B331="","",IF(AA331&lt;=0,"No charge",IF(AH331&lt;=0.004,"Paid",IF(AG331&lt;=0.004,"Unpaid","Part paid"))))</f>
        <v>0</v>
      </c>
      <c r="AJ331" s="38">
        <f>IF(B331="","",IF(H331&lt;&gt;"Service","",IF(D331="","No",IF(COUNTIFS($D$5:$D$1204,D331,$B$5:$B$1204,B331,$H$5:$H$1204,"Retail")&gt;0,"Yes","No"))))</f>
        <v>0</v>
      </c>
      <c r="AK331" s="25">
        <f>IF(B331="","",COUNTIFS($Y$5:$Y$1204,"&gt;"&amp;Y331)+COUNTIFS($Y$5:Y331,Y331))</f>
        <v>0</v>
      </c>
      <c r="AL331" s="39">
        <f>IF(B331="","",IF(H331="","Add - what kind of sale is this?",IF(IF(V331&lt;=0,P331="",FALSE),"Check - no price found for this item",IF(F331="","Assign - nobody credited",IF(AH331&gt;0.004,"Unpaid - balance outstanding",IF(AC331&lt;0,"Loss - sold below cost",IF(X331&gt;W331*0.5,"Check - more than half off","OK")))))))</f>
        <v>0</v>
      </c>
    </row>
    <row r="332" spans="1:38">
      <c r="A332" s="28">
        <f>IF(B332="","",SalePrefix&amp;TEXT(ROW()-4,"0000"))</f>
        <v>0</v>
      </c>
      <c r="E332" s="15">
        <f>IF(D332="","",IFERROR(INDEX(Clients!$B$5:$B$504,MATCH(D332,Clients!$A$5:$A$504,0)),"Walk-in"))</f>
        <v>0</v>
      </c>
      <c r="G332" s="15">
        <f>IF(F332="","",IFERROR(INDEX(Staff!$B$5:$B$44,MATCH(F332,Staff!$A$5:$A$44,0)),"House"))</f>
        <v>0</v>
      </c>
      <c r="R332" s="15">
        <f>IF(B332="","",TEXT(B332,"yyyy-mm"))</f>
        <v>0</v>
      </c>
      <c r="S332" s="25">
        <f>IF(B332="","",WEEKNUM(B332,2))</f>
        <v>0</v>
      </c>
      <c r="T332" s="37">
        <f>IF(B332="","",IF(K332="",1,K332))</f>
        <v>0</v>
      </c>
      <c r="U332" s="15">
        <f>IF(B332="","",IF(J332&lt;&gt;"",J332,IF(H332="Retail",IFERROR(INDEX(Inventory!$B$5:$B$304,MATCH(I332,Inventory!$A$5:$A$304,0))&amp;"","Not in Inventory"),IFERROR(INDEX(Services!$B$5:$B$204,MATCH(I332,Services!$A$5:$A$204,0))&amp;"","Not in Services"))))</f>
        <v>0</v>
      </c>
      <c r="V332" s="26">
        <f>IF(B332="","",IF(L332&lt;&gt;"",L332,IF(H332="Retail",IFERROR(INDEX(Inventory!$I$5:$I$304,MATCH(I332,Inventory!$A$5:$A$304,0))*1,0),IFERROR(INDEX(Services!$G$5:$G$204,MATCH(I332,Services!$A$5:$A$204,0))*1,0))))</f>
        <v>0</v>
      </c>
      <c r="W332" s="26">
        <f>IF(B332="","",ROUND(T332*V332,2))</f>
        <v>0</v>
      </c>
      <c r="X332" s="26">
        <f>IF(B332="","",ROUND(IF(M332="",0,W332*M332)+IF(N332="",0,N332),2))</f>
        <v>0</v>
      </c>
      <c r="Y332" s="26">
        <f>IF(B332="","",ROUND(W332-X332-IF(P332="",0,P332),2))</f>
        <v>0</v>
      </c>
      <c r="Z332" s="26">
        <f>IF(B332="","",IF(H332="Retail",IF(TaxOnRetail="Yes",ROUND(Y332*TaxRate,2),0),IF(H332="Service",IF(TaxOnServices="Yes",ROUND(Y332*TaxRate,2),0),0)))</f>
        <v>0</v>
      </c>
      <c r="AA332" s="26">
        <f>IF(B332="","",ROUND(Y332+Z332,2))</f>
        <v>0</v>
      </c>
      <c r="AB332" s="26">
        <f>IF(B332="","",ROUND(T332*IF(H332="Retail",IFERROR(INDEX(Inventory!$H$5:$H$304,MATCH(I332,Inventory!$A$5:$A$304,0))*1,0),IFERROR(INDEX(Services!$Q$5:$Q$204,MATCH(I332,Services!$A$5:$A$204,0))*1,0)),2))</f>
        <v>0</v>
      </c>
      <c r="AC332" s="26">
        <f>IF(B332="","",ROUND(Y332-AB332,2))</f>
        <v>0</v>
      </c>
      <c r="AD332" s="38">
        <f>IF(B332="","",IF(C332="","No",IF(COUNTIFS($C$5:C332,C332)=1,"Yes","No")))</f>
        <v>0</v>
      </c>
      <c r="AE332" s="26">
        <f>IF(B332="","",ROUND(SUMIFS(Payments!$G$5:$G$1204,Payments!$H$5:$H$1204,A332,Payments!$Q$5:$Q$1204,"Yes"),2))</f>
        <v>0</v>
      </c>
      <c r="AF332" s="26">
        <f>IF(B332="","",IF(AD332="No",0,ROUND(SUMIFS(Payments!$G$5:$G$1204,Payments!$I$5:$I$1204,C332,Payments!$H$5:$H$1204,"",Payments!$Q$5:$Q$1204,"Yes"),2)))</f>
        <v>0</v>
      </c>
      <c r="AG332" s="26">
        <f>IF(B332="","",ROUND(AE332+AF332,2))</f>
        <v>0</v>
      </c>
      <c r="AH332" s="26">
        <f>IF(B332="","",ROUND(AA332-AG332,2))</f>
        <v>0</v>
      </c>
      <c r="AI332" s="39">
        <f>IF(B332="","",IF(AA332&lt;=0,"No charge",IF(AH332&lt;=0.004,"Paid",IF(AG332&lt;=0.004,"Unpaid","Part paid"))))</f>
        <v>0</v>
      </c>
      <c r="AJ332" s="38">
        <f>IF(B332="","",IF(H332&lt;&gt;"Service","",IF(D332="","No",IF(COUNTIFS($D$5:$D$1204,D332,$B$5:$B$1204,B332,$H$5:$H$1204,"Retail")&gt;0,"Yes","No"))))</f>
        <v>0</v>
      </c>
      <c r="AK332" s="25">
        <f>IF(B332="","",COUNTIFS($Y$5:$Y$1204,"&gt;"&amp;Y332)+COUNTIFS($Y$5:Y332,Y332))</f>
        <v>0</v>
      </c>
      <c r="AL332" s="39">
        <f>IF(B332="","",IF(H332="","Add - what kind of sale is this?",IF(IF(V332&lt;=0,P332="",FALSE),"Check - no price found for this item",IF(F332="","Assign - nobody credited",IF(AH332&gt;0.004,"Unpaid - balance outstanding",IF(AC332&lt;0,"Loss - sold below cost",IF(X332&gt;W332*0.5,"Check - more than half off","OK")))))))</f>
        <v>0</v>
      </c>
    </row>
    <row r="333" spans="1:38">
      <c r="A333" s="28">
        <f>IF(B333="","",SalePrefix&amp;TEXT(ROW()-4,"0000"))</f>
        <v>0</v>
      </c>
      <c r="E333" s="15">
        <f>IF(D333="","",IFERROR(INDEX(Clients!$B$5:$B$504,MATCH(D333,Clients!$A$5:$A$504,0)),"Walk-in"))</f>
        <v>0</v>
      </c>
      <c r="G333" s="15">
        <f>IF(F333="","",IFERROR(INDEX(Staff!$B$5:$B$44,MATCH(F333,Staff!$A$5:$A$44,0)),"House"))</f>
        <v>0</v>
      </c>
      <c r="R333" s="15">
        <f>IF(B333="","",TEXT(B333,"yyyy-mm"))</f>
        <v>0</v>
      </c>
      <c r="S333" s="25">
        <f>IF(B333="","",WEEKNUM(B333,2))</f>
        <v>0</v>
      </c>
      <c r="T333" s="37">
        <f>IF(B333="","",IF(K333="",1,K333))</f>
        <v>0</v>
      </c>
      <c r="U333" s="15">
        <f>IF(B333="","",IF(J333&lt;&gt;"",J333,IF(H333="Retail",IFERROR(INDEX(Inventory!$B$5:$B$304,MATCH(I333,Inventory!$A$5:$A$304,0))&amp;"","Not in Inventory"),IFERROR(INDEX(Services!$B$5:$B$204,MATCH(I333,Services!$A$5:$A$204,0))&amp;"","Not in Services"))))</f>
        <v>0</v>
      </c>
      <c r="V333" s="26">
        <f>IF(B333="","",IF(L333&lt;&gt;"",L333,IF(H333="Retail",IFERROR(INDEX(Inventory!$I$5:$I$304,MATCH(I333,Inventory!$A$5:$A$304,0))*1,0),IFERROR(INDEX(Services!$G$5:$G$204,MATCH(I333,Services!$A$5:$A$204,0))*1,0))))</f>
        <v>0</v>
      </c>
      <c r="W333" s="26">
        <f>IF(B333="","",ROUND(T333*V333,2))</f>
        <v>0</v>
      </c>
      <c r="X333" s="26">
        <f>IF(B333="","",ROUND(IF(M333="",0,W333*M333)+IF(N333="",0,N333),2))</f>
        <v>0</v>
      </c>
      <c r="Y333" s="26">
        <f>IF(B333="","",ROUND(W333-X333-IF(P333="",0,P333),2))</f>
        <v>0</v>
      </c>
      <c r="Z333" s="26">
        <f>IF(B333="","",IF(H333="Retail",IF(TaxOnRetail="Yes",ROUND(Y333*TaxRate,2),0),IF(H333="Service",IF(TaxOnServices="Yes",ROUND(Y333*TaxRate,2),0),0)))</f>
        <v>0</v>
      </c>
      <c r="AA333" s="26">
        <f>IF(B333="","",ROUND(Y333+Z333,2))</f>
        <v>0</v>
      </c>
      <c r="AB333" s="26">
        <f>IF(B333="","",ROUND(T333*IF(H333="Retail",IFERROR(INDEX(Inventory!$H$5:$H$304,MATCH(I333,Inventory!$A$5:$A$304,0))*1,0),IFERROR(INDEX(Services!$Q$5:$Q$204,MATCH(I333,Services!$A$5:$A$204,0))*1,0)),2))</f>
        <v>0</v>
      </c>
      <c r="AC333" s="26">
        <f>IF(B333="","",ROUND(Y333-AB333,2))</f>
        <v>0</v>
      </c>
      <c r="AD333" s="38">
        <f>IF(B333="","",IF(C333="","No",IF(COUNTIFS($C$5:C333,C333)=1,"Yes","No")))</f>
        <v>0</v>
      </c>
      <c r="AE333" s="26">
        <f>IF(B333="","",ROUND(SUMIFS(Payments!$G$5:$G$1204,Payments!$H$5:$H$1204,A333,Payments!$Q$5:$Q$1204,"Yes"),2))</f>
        <v>0</v>
      </c>
      <c r="AF333" s="26">
        <f>IF(B333="","",IF(AD333="No",0,ROUND(SUMIFS(Payments!$G$5:$G$1204,Payments!$I$5:$I$1204,C333,Payments!$H$5:$H$1204,"",Payments!$Q$5:$Q$1204,"Yes"),2)))</f>
        <v>0</v>
      </c>
      <c r="AG333" s="26">
        <f>IF(B333="","",ROUND(AE333+AF333,2))</f>
        <v>0</v>
      </c>
      <c r="AH333" s="26">
        <f>IF(B333="","",ROUND(AA333-AG333,2))</f>
        <v>0</v>
      </c>
      <c r="AI333" s="39">
        <f>IF(B333="","",IF(AA333&lt;=0,"No charge",IF(AH333&lt;=0.004,"Paid",IF(AG333&lt;=0.004,"Unpaid","Part paid"))))</f>
        <v>0</v>
      </c>
      <c r="AJ333" s="38">
        <f>IF(B333="","",IF(H333&lt;&gt;"Service","",IF(D333="","No",IF(COUNTIFS($D$5:$D$1204,D333,$B$5:$B$1204,B333,$H$5:$H$1204,"Retail")&gt;0,"Yes","No"))))</f>
        <v>0</v>
      </c>
      <c r="AK333" s="25">
        <f>IF(B333="","",COUNTIFS($Y$5:$Y$1204,"&gt;"&amp;Y333)+COUNTIFS($Y$5:Y333,Y333))</f>
        <v>0</v>
      </c>
      <c r="AL333" s="39">
        <f>IF(B333="","",IF(H333="","Add - what kind of sale is this?",IF(IF(V333&lt;=0,P333="",FALSE),"Check - no price found for this item",IF(F333="","Assign - nobody credited",IF(AH333&gt;0.004,"Unpaid - balance outstanding",IF(AC333&lt;0,"Loss - sold below cost",IF(X333&gt;W333*0.5,"Check - more than half off","OK")))))))</f>
        <v>0</v>
      </c>
    </row>
    <row r="334" spans="1:38">
      <c r="A334" s="28">
        <f>IF(B334="","",SalePrefix&amp;TEXT(ROW()-4,"0000"))</f>
        <v>0</v>
      </c>
      <c r="E334" s="15">
        <f>IF(D334="","",IFERROR(INDEX(Clients!$B$5:$B$504,MATCH(D334,Clients!$A$5:$A$504,0)),"Walk-in"))</f>
        <v>0</v>
      </c>
      <c r="G334" s="15">
        <f>IF(F334="","",IFERROR(INDEX(Staff!$B$5:$B$44,MATCH(F334,Staff!$A$5:$A$44,0)),"House"))</f>
        <v>0</v>
      </c>
      <c r="R334" s="15">
        <f>IF(B334="","",TEXT(B334,"yyyy-mm"))</f>
        <v>0</v>
      </c>
      <c r="S334" s="25">
        <f>IF(B334="","",WEEKNUM(B334,2))</f>
        <v>0</v>
      </c>
      <c r="T334" s="37">
        <f>IF(B334="","",IF(K334="",1,K334))</f>
        <v>0</v>
      </c>
      <c r="U334" s="15">
        <f>IF(B334="","",IF(J334&lt;&gt;"",J334,IF(H334="Retail",IFERROR(INDEX(Inventory!$B$5:$B$304,MATCH(I334,Inventory!$A$5:$A$304,0))&amp;"","Not in Inventory"),IFERROR(INDEX(Services!$B$5:$B$204,MATCH(I334,Services!$A$5:$A$204,0))&amp;"","Not in Services"))))</f>
        <v>0</v>
      </c>
      <c r="V334" s="26">
        <f>IF(B334="","",IF(L334&lt;&gt;"",L334,IF(H334="Retail",IFERROR(INDEX(Inventory!$I$5:$I$304,MATCH(I334,Inventory!$A$5:$A$304,0))*1,0),IFERROR(INDEX(Services!$G$5:$G$204,MATCH(I334,Services!$A$5:$A$204,0))*1,0))))</f>
        <v>0</v>
      </c>
      <c r="W334" s="26">
        <f>IF(B334="","",ROUND(T334*V334,2))</f>
        <v>0</v>
      </c>
      <c r="X334" s="26">
        <f>IF(B334="","",ROUND(IF(M334="",0,W334*M334)+IF(N334="",0,N334),2))</f>
        <v>0</v>
      </c>
      <c r="Y334" s="26">
        <f>IF(B334="","",ROUND(W334-X334-IF(P334="",0,P334),2))</f>
        <v>0</v>
      </c>
      <c r="Z334" s="26">
        <f>IF(B334="","",IF(H334="Retail",IF(TaxOnRetail="Yes",ROUND(Y334*TaxRate,2),0),IF(H334="Service",IF(TaxOnServices="Yes",ROUND(Y334*TaxRate,2),0),0)))</f>
        <v>0</v>
      </c>
      <c r="AA334" s="26">
        <f>IF(B334="","",ROUND(Y334+Z334,2))</f>
        <v>0</v>
      </c>
      <c r="AB334" s="26">
        <f>IF(B334="","",ROUND(T334*IF(H334="Retail",IFERROR(INDEX(Inventory!$H$5:$H$304,MATCH(I334,Inventory!$A$5:$A$304,0))*1,0),IFERROR(INDEX(Services!$Q$5:$Q$204,MATCH(I334,Services!$A$5:$A$204,0))*1,0)),2))</f>
        <v>0</v>
      </c>
      <c r="AC334" s="26">
        <f>IF(B334="","",ROUND(Y334-AB334,2))</f>
        <v>0</v>
      </c>
      <c r="AD334" s="38">
        <f>IF(B334="","",IF(C334="","No",IF(COUNTIFS($C$5:C334,C334)=1,"Yes","No")))</f>
        <v>0</v>
      </c>
      <c r="AE334" s="26">
        <f>IF(B334="","",ROUND(SUMIFS(Payments!$G$5:$G$1204,Payments!$H$5:$H$1204,A334,Payments!$Q$5:$Q$1204,"Yes"),2))</f>
        <v>0</v>
      </c>
      <c r="AF334" s="26">
        <f>IF(B334="","",IF(AD334="No",0,ROUND(SUMIFS(Payments!$G$5:$G$1204,Payments!$I$5:$I$1204,C334,Payments!$H$5:$H$1204,"",Payments!$Q$5:$Q$1204,"Yes"),2)))</f>
        <v>0</v>
      </c>
      <c r="AG334" s="26">
        <f>IF(B334="","",ROUND(AE334+AF334,2))</f>
        <v>0</v>
      </c>
      <c r="AH334" s="26">
        <f>IF(B334="","",ROUND(AA334-AG334,2))</f>
        <v>0</v>
      </c>
      <c r="AI334" s="39">
        <f>IF(B334="","",IF(AA334&lt;=0,"No charge",IF(AH334&lt;=0.004,"Paid",IF(AG334&lt;=0.004,"Unpaid","Part paid"))))</f>
        <v>0</v>
      </c>
      <c r="AJ334" s="38">
        <f>IF(B334="","",IF(H334&lt;&gt;"Service","",IF(D334="","No",IF(COUNTIFS($D$5:$D$1204,D334,$B$5:$B$1204,B334,$H$5:$H$1204,"Retail")&gt;0,"Yes","No"))))</f>
        <v>0</v>
      </c>
      <c r="AK334" s="25">
        <f>IF(B334="","",COUNTIFS($Y$5:$Y$1204,"&gt;"&amp;Y334)+COUNTIFS($Y$5:Y334,Y334))</f>
        <v>0</v>
      </c>
      <c r="AL334" s="39">
        <f>IF(B334="","",IF(H334="","Add - what kind of sale is this?",IF(IF(V334&lt;=0,P334="",FALSE),"Check - no price found for this item",IF(F334="","Assign - nobody credited",IF(AH334&gt;0.004,"Unpaid - balance outstanding",IF(AC334&lt;0,"Loss - sold below cost",IF(X334&gt;W334*0.5,"Check - more than half off","OK")))))))</f>
        <v>0</v>
      </c>
    </row>
    <row r="335" spans="1:38">
      <c r="A335" s="28">
        <f>IF(B335="","",SalePrefix&amp;TEXT(ROW()-4,"0000"))</f>
        <v>0</v>
      </c>
      <c r="E335" s="15">
        <f>IF(D335="","",IFERROR(INDEX(Clients!$B$5:$B$504,MATCH(D335,Clients!$A$5:$A$504,0)),"Walk-in"))</f>
        <v>0</v>
      </c>
      <c r="G335" s="15">
        <f>IF(F335="","",IFERROR(INDEX(Staff!$B$5:$B$44,MATCH(F335,Staff!$A$5:$A$44,0)),"House"))</f>
        <v>0</v>
      </c>
      <c r="R335" s="15">
        <f>IF(B335="","",TEXT(B335,"yyyy-mm"))</f>
        <v>0</v>
      </c>
      <c r="S335" s="25">
        <f>IF(B335="","",WEEKNUM(B335,2))</f>
        <v>0</v>
      </c>
      <c r="T335" s="37">
        <f>IF(B335="","",IF(K335="",1,K335))</f>
        <v>0</v>
      </c>
      <c r="U335" s="15">
        <f>IF(B335="","",IF(J335&lt;&gt;"",J335,IF(H335="Retail",IFERROR(INDEX(Inventory!$B$5:$B$304,MATCH(I335,Inventory!$A$5:$A$304,0))&amp;"","Not in Inventory"),IFERROR(INDEX(Services!$B$5:$B$204,MATCH(I335,Services!$A$5:$A$204,0))&amp;"","Not in Services"))))</f>
        <v>0</v>
      </c>
      <c r="V335" s="26">
        <f>IF(B335="","",IF(L335&lt;&gt;"",L335,IF(H335="Retail",IFERROR(INDEX(Inventory!$I$5:$I$304,MATCH(I335,Inventory!$A$5:$A$304,0))*1,0),IFERROR(INDEX(Services!$G$5:$G$204,MATCH(I335,Services!$A$5:$A$204,0))*1,0))))</f>
        <v>0</v>
      </c>
      <c r="W335" s="26">
        <f>IF(B335="","",ROUND(T335*V335,2))</f>
        <v>0</v>
      </c>
      <c r="X335" s="26">
        <f>IF(B335="","",ROUND(IF(M335="",0,W335*M335)+IF(N335="",0,N335),2))</f>
        <v>0</v>
      </c>
      <c r="Y335" s="26">
        <f>IF(B335="","",ROUND(W335-X335-IF(P335="",0,P335),2))</f>
        <v>0</v>
      </c>
      <c r="Z335" s="26">
        <f>IF(B335="","",IF(H335="Retail",IF(TaxOnRetail="Yes",ROUND(Y335*TaxRate,2),0),IF(H335="Service",IF(TaxOnServices="Yes",ROUND(Y335*TaxRate,2),0),0)))</f>
        <v>0</v>
      </c>
      <c r="AA335" s="26">
        <f>IF(B335="","",ROUND(Y335+Z335,2))</f>
        <v>0</v>
      </c>
      <c r="AB335" s="26">
        <f>IF(B335="","",ROUND(T335*IF(H335="Retail",IFERROR(INDEX(Inventory!$H$5:$H$304,MATCH(I335,Inventory!$A$5:$A$304,0))*1,0),IFERROR(INDEX(Services!$Q$5:$Q$204,MATCH(I335,Services!$A$5:$A$204,0))*1,0)),2))</f>
        <v>0</v>
      </c>
      <c r="AC335" s="26">
        <f>IF(B335="","",ROUND(Y335-AB335,2))</f>
        <v>0</v>
      </c>
      <c r="AD335" s="38">
        <f>IF(B335="","",IF(C335="","No",IF(COUNTIFS($C$5:C335,C335)=1,"Yes","No")))</f>
        <v>0</v>
      </c>
      <c r="AE335" s="26">
        <f>IF(B335="","",ROUND(SUMIFS(Payments!$G$5:$G$1204,Payments!$H$5:$H$1204,A335,Payments!$Q$5:$Q$1204,"Yes"),2))</f>
        <v>0</v>
      </c>
      <c r="AF335" s="26">
        <f>IF(B335="","",IF(AD335="No",0,ROUND(SUMIFS(Payments!$G$5:$G$1204,Payments!$I$5:$I$1204,C335,Payments!$H$5:$H$1204,"",Payments!$Q$5:$Q$1204,"Yes"),2)))</f>
        <v>0</v>
      </c>
      <c r="AG335" s="26">
        <f>IF(B335="","",ROUND(AE335+AF335,2))</f>
        <v>0</v>
      </c>
      <c r="AH335" s="26">
        <f>IF(B335="","",ROUND(AA335-AG335,2))</f>
        <v>0</v>
      </c>
      <c r="AI335" s="39">
        <f>IF(B335="","",IF(AA335&lt;=0,"No charge",IF(AH335&lt;=0.004,"Paid",IF(AG335&lt;=0.004,"Unpaid","Part paid"))))</f>
        <v>0</v>
      </c>
      <c r="AJ335" s="38">
        <f>IF(B335="","",IF(H335&lt;&gt;"Service","",IF(D335="","No",IF(COUNTIFS($D$5:$D$1204,D335,$B$5:$B$1204,B335,$H$5:$H$1204,"Retail")&gt;0,"Yes","No"))))</f>
        <v>0</v>
      </c>
      <c r="AK335" s="25">
        <f>IF(B335="","",COUNTIFS($Y$5:$Y$1204,"&gt;"&amp;Y335)+COUNTIFS($Y$5:Y335,Y335))</f>
        <v>0</v>
      </c>
      <c r="AL335" s="39">
        <f>IF(B335="","",IF(H335="","Add - what kind of sale is this?",IF(IF(V335&lt;=0,P335="",FALSE),"Check - no price found for this item",IF(F335="","Assign - nobody credited",IF(AH335&gt;0.004,"Unpaid - balance outstanding",IF(AC335&lt;0,"Loss - sold below cost",IF(X335&gt;W335*0.5,"Check - more than half off","OK")))))))</f>
        <v>0</v>
      </c>
    </row>
    <row r="336" spans="1:38">
      <c r="A336" s="28">
        <f>IF(B336="","",SalePrefix&amp;TEXT(ROW()-4,"0000"))</f>
        <v>0</v>
      </c>
      <c r="E336" s="15">
        <f>IF(D336="","",IFERROR(INDEX(Clients!$B$5:$B$504,MATCH(D336,Clients!$A$5:$A$504,0)),"Walk-in"))</f>
        <v>0</v>
      </c>
      <c r="G336" s="15">
        <f>IF(F336="","",IFERROR(INDEX(Staff!$B$5:$B$44,MATCH(F336,Staff!$A$5:$A$44,0)),"House"))</f>
        <v>0</v>
      </c>
      <c r="R336" s="15">
        <f>IF(B336="","",TEXT(B336,"yyyy-mm"))</f>
        <v>0</v>
      </c>
      <c r="S336" s="25">
        <f>IF(B336="","",WEEKNUM(B336,2))</f>
        <v>0</v>
      </c>
      <c r="T336" s="37">
        <f>IF(B336="","",IF(K336="",1,K336))</f>
        <v>0</v>
      </c>
      <c r="U336" s="15">
        <f>IF(B336="","",IF(J336&lt;&gt;"",J336,IF(H336="Retail",IFERROR(INDEX(Inventory!$B$5:$B$304,MATCH(I336,Inventory!$A$5:$A$304,0))&amp;"","Not in Inventory"),IFERROR(INDEX(Services!$B$5:$B$204,MATCH(I336,Services!$A$5:$A$204,0))&amp;"","Not in Services"))))</f>
        <v>0</v>
      </c>
      <c r="V336" s="26">
        <f>IF(B336="","",IF(L336&lt;&gt;"",L336,IF(H336="Retail",IFERROR(INDEX(Inventory!$I$5:$I$304,MATCH(I336,Inventory!$A$5:$A$304,0))*1,0),IFERROR(INDEX(Services!$G$5:$G$204,MATCH(I336,Services!$A$5:$A$204,0))*1,0))))</f>
        <v>0</v>
      </c>
      <c r="W336" s="26">
        <f>IF(B336="","",ROUND(T336*V336,2))</f>
        <v>0</v>
      </c>
      <c r="X336" s="26">
        <f>IF(B336="","",ROUND(IF(M336="",0,W336*M336)+IF(N336="",0,N336),2))</f>
        <v>0</v>
      </c>
      <c r="Y336" s="26">
        <f>IF(B336="","",ROUND(W336-X336-IF(P336="",0,P336),2))</f>
        <v>0</v>
      </c>
      <c r="Z336" s="26">
        <f>IF(B336="","",IF(H336="Retail",IF(TaxOnRetail="Yes",ROUND(Y336*TaxRate,2),0),IF(H336="Service",IF(TaxOnServices="Yes",ROUND(Y336*TaxRate,2),0),0)))</f>
        <v>0</v>
      </c>
      <c r="AA336" s="26">
        <f>IF(B336="","",ROUND(Y336+Z336,2))</f>
        <v>0</v>
      </c>
      <c r="AB336" s="26">
        <f>IF(B336="","",ROUND(T336*IF(H336="Retail",IFERROR(INDEX(Inventory!$H$5:$H$304,MATCH(I336,Inventory!$A$5:$A$304,0))*1,0),IFERROR(INDEX(Services!$Q$5:$Q$204,MATCH(I336,Services!$A$5:$A$204,0))*1,0)),2))</f>
        <v>0</v>
      </c>
      <c r="AC336" s="26">
        <f>IF(B336="","",ROUND(Y336-AB336,2))</f>
        <v>0</v>
      </c>
      <c r="AD336" s="38">
        <f>IF(B336="","",IF(C336="","No",IF(COUNTIFS($C$5:C336,C336)=1,"Yes","No")))</f>
        <v>0</v>
      </c>
      <c r="AE336" s="26">
        <f>IF(B336="","",ROUND(SUMIFS(Payments!$G$5:$G$1204,Payments!$H$5:$H$1204,A336,Payments!$Q$5:$Q$1204,"Yes"),2))</f>
        <v>0</v>
      </c>
      <c r="AF336" s="26">
        <f>IF(B336="","",IF(AD336="No",0,ROUND(SUMIFS(Payments!$G$5:$G$1204,Payments!$I$5:$I$1204,C336,Payments!$H$5:$H$1204,"",Payments!$Q$5:$Q$1204,"Yes"),2)))</f>
        <v>0</v>
      </c>
      <c r="AG336" s="26">
        <f>IF(B336="","",ROUND(AE336+AF336,2))</f>
        <v>0</v>
      </c>
      <c r="AH336" s="26">
        <f>IF(B336="","",ROUND(AA336-AG336,2))</f>
        <v>0</v>
      </c>
      <c r="AI336" s="39">
        <f>IF(B336="","",IF(AA336&lt;=0,"No charge",IF(AH336&lt;=0.004,"Paid",IF(AG336&lt;=0.004,"Unpaid","Part paid"))))</f>
        <v>0</v>
      </c>
      <c r="AJ336" s="38">
        <f>IF(B336="","",IF(H336&lt;&gt;"Service","",IF(D336="","No",IF(COUNTIFS($D$5:$D$1204,D336,$B$5:$B$1204,B336,$H$5:$H$1204,"Retail")&gt;0,"Yes","No"))))</f>
        <v>0</v>
      </c>
      <c r="AK336" s="25">
        <f>IF(B336="","",COUNTIFS($Y$5:$Y$1204,"&gt;"&amp;Y336)+COUNTIFS($Y$5:Y336,Y336))</f>
        <v>0</v>
      </c>
      <c r="AL336" s="39">
        <f>IF(B336="","",IF(H336="","Add - what kind of sale is this?",IF(IF(V336&lt;=0,P336="",FALSE),"Check - no price found for this item",IF(F336="","Assign - nobody credited",IF(AH336&gt;0.004,"Unpaid - balance outstanding",IF(AC336&lt;0,"Loss - sold below cost",IF(X336&gt;W336*0.5,"Check - more than half off","OK")))))))</f>
        <v>0</v>
      </c>
    </row>
    <row r="337" spans="1:38">
      <c r="A337" s="28">
        <f>IF(B337="","",SalePrefix&amp;TEXT(ROW()-4,"0000"))</f>
        <v>0</v>
      </c>
      <c r="E337" s="15">
        <f>IF(D337="","",IFERROR(INDEX(Clients!$B$5:$B$504,MATCH(D337,Clients!$A$5:$A$504,0)),"Walk-in"))</f>
        <v>0</v>
      </c>
      <c r="G337" s="15">
        <f>IF(F337="","",IFERROR(INDEX(Staff!$B$5:$B$44,MATCH(F337,Staff!$A$5:$A$44,0)),"House"))</f>
        <v>0</v>
      </c>
      <c r="R337" s="15">
        <f>IF(B337="","",TEXT(B337,"yyyy-mm"))</f>
        <v>0</v>
      </c>
      <c r="S337" s="25">
        <f>IF(B337="","",WEEKNUM(B337,2))</f>
        <v>0</v>
      </c>
      <c r="T337" s="37">
        <f>IF(B337="","",IF(K337="",1,K337))</f>
        <v>0</v>
      </c>
      <c r="U337" s="15">
        <f>IF(B337="","",IF(J337&lt;&gt;"",J337,IF(H337="Retail",IFERROR(INDEX(Inventory!$B$5:$B$304,MATCH(I337,Inventory!$A$5:$A$304,0))&amp;"","Not in Inventory"),IFERROR(INDEX(Services!$B$5:$B$204,MATCH(I337,Services!$A$5:$A$204,0))&amp;"","Not in Services"))))</f>
        <v>0</v>
      </c>
      <c r="V337" s="26">
        <f>IF(B337="","",IF(L337&lt;&gt;"",L337,IF(H337="Retail",IFERROR(INDEX(Inventory!$I$5:$I$304,MATCH(I337,Inventory!$A$5:$A$304,0))*1,0),IFERROR(INDEX(Services!$G$5:$G$204,MATCH(I337,Services!$A$5:$A$204,0))*1,0))))</f>
        <v>0</v>
      </c>
      <c r="W337" s="26">
        <f>IF(B337="","",ROUND(T337*V337,2))</f>
        <v>0</v>
      </c>
      <c r="X337" s="26">
        <f>IF(B337="","",ROUND(IF(M337="",0,W337*M337)+IF(N337="",0,N337),2))</f>
        <v>0</v>
      </c>
      <c r="Y337" s="26">
        <f>IF(B337="","",ROUND(W337-X337-IF(P337="",0,P337),2))</f>
        <v>0</v>
      </c>
      <c r="Z337" s="26">
        <f>IF(B337="","",IF(H337="Retail",IF(TaxOnRetail="Yes",ROUND(Y337*TaxRate,2),0),IF(H337="Service",IF(TaxOnServices="Yes",ROUND(Y337*TaxRate,2),0),0)))</f>
        <v>0</v>
      </c>
      <c r="AA337" s="26">
        <f>IF(B337="","",ROUND(Y337+Z337,2))</f>
        <v>0</v>
      </c>
      <c r="AB337" s="26">
        <f>IF(B337="","",ROUND(T337*IF(H337="Retail",IFERROR(INDEX(Inventory!$H$5:$H$304,MATCH(I337,Inventory!$A$5:$A$304,0))*1,0),IFERROR(INDEX(Services!$Q$5:$Q$204,MATCH(I337,Services!$A$5:$A$204,0))*1,0)),2))</f>
        <v>0</v>
      </c>
      <c r="AC337" s="26">
        <f>IF(B337="","",ROUND(Y337-AB337,2))</f>
        <v>0</v>
      </c>
      <c r="AD337" s="38">
        <f>IF(B337="","",IF(C337="","No",IF(COUNTIFS($C$5:C337,C337)=1,"Yes","No")))</f>
        <v>0</v>
      </c>
      <c r="AE337" s="26">
        <f>IF(B337="","",ROUND(SUMIFS(Payments!$G$5:$G$1204,Payments!$H$5:$H$1204,A337,Payments!$Q$5:$Q$1204,"Yes"),2))</f>
        <v>0</v>
      </c>
      <c r="AF337" s="26">
        <f>IF(B337="","",IF(AD337="No",0,ROUND(SUMIFS(Payments!$G$5:$G$1204,Payments!$I$5:$I$1204,C337,Payments!$H$5:$H$1204,"",Payments!$Q$5:$Q$1204,"Yes"),2)))</f>
        <v>0</v>
      </c>
      <c r="AG337" s="26">
        <f>IF(B337="","",ROUND(AE337+AF337,2))</f>
        <v>0</v>
      </c>
      <c r="AH337" s="26">
        <f>IF(B337="","",ROUND(AA337-AG337,2))</f>
        <v>0</v>
      </c>
      <c r="AI337" s="39">
        <f>IF(B337="","",IF(AA337&lt;=0,"No charge",IF(AH337&lt;=0.004,"Paid",IF(AG337&lt;=0.004,"Unpaid","Part paid"))))</f>
        <v>0</v>
      </c>
      <c r="AJ337" s="38">
        <f>IF(B337="","",IF(H337&lt;&gt;"Service","",IF(D337="","No",IF(COUNTIFS($D$5:$D$1204,D337,$B$5:$B$1204,B337,$H$5:$H$1204,"Retail")&gt;0,"Yes","No"))))</f>
        <v>0</v>
      </c>
      <c r="AK337" s="25">
        <f>IF(B337="","",COUNTIFS($Y$5:$Y$1204,"&gt;"&amp;Y337)+COUNTIFS($Y$5:Y337,Y337))</f>
        <v>0</v>
      </c>
      <c r="AL337" s="39">
        <f>IF(B337="","",IF(H337="","Add - what kind of sale is this?",IF(IF(V337&lt;=0,P337="",FALSE),"Check - no price found for this item",IF(F337="","Assign - nobody credited",IF(AH337&gt;0.004,"Unpaid - balance outstanding",IF(AC337&lt;0,"Loss - sold below cost",IF(X337&gt;W337*0.5,"Check - more than half off","OK")))))))</f>
        <v>0</v>
      </c>
    </row>
    <row r="338" spans="1:38">
      <c r="A338" s="28">
        <f>IF(B338="","",SalePrefix&amp;TEXT(ROW()-4,"0000"))</f>
        <v>0</v>
      </c>
      <c r="E338" s="15">
        <f>IF(D338="","",IFERROR(INDEX(Clients!$B$5:$B$504,MATCH(D338,Clients!$A$5:$A$504,0)),"Walk-in"))</f>
        <v>0</v>
      </c>
      <c r="G338" s="15">
        <f>IF(F338="","",IFERROR(INDEX(Staff!$B$5:$B$44,MATCH(F338,Staff!$A$5:$A$44,0)),"House"))</f>
        <v>0</v>
      </c>
      <c r="R338" s="15">
        <f>IF(B338="","",TEXT(B338,"yyyy-mm"))</f>
        <v>0</v>
      </c>
      <c r="S338" s="25">
        <f>IF(B338="","",WEEKNUM(B338,2))</f>
        <v>0</v>
      </c>
      <c r="T338" s="37">
        <f>IF(B338="","",IF(K338="",1,K338))</f>
        <v>0</v>
      </c>
      <c r="U338" s="15">
        <f>IF(B338="","",IF(J338&lt;&gt;"",J338,IF(H338="Retail",IFERROR(INDEX(Inventory!$B$5:$B$304,MATCH(I338,Inventory!$A$5:$A$304,0))&amp;"","Not in Inventory"),IFERROR(INDEX(Services!$B$5:$B$204,MATCH(I338,Services!$A$5:$A$204,0))&amp;"","Not in Services"))))</f>
        <v>0</v>
      </c>
      <c r="V338" s="26">
        <f>IF(B338="","",IF(L338&lt;&gt;"",L338,IF(H338="Retail",IFERROR(INDEX(Inventory!$I$5:$I$304,MATCH(I338,Inventory!$A$5:$A$304,0))*1,0),IFERROR(INDEX(Services!$G$5:$G$204,MATCH(I338,Services!$A$5:$A$204,0))*1,0))))</f>
        <v>0</v>
      </c>
      <c r="W338" s="26">
        <f>IF(B338="","",ROUND(T338*V338,2))</f>
        <v>0</v>
      </c>
      <c r="X338" s="26">
        <f>IF(B338="","",ROUND(IF(M338="",0,W338*M338)+IF(N338="",0,N338),2))</f>
        <v>0</v>
      </c>
      <c r="Y338" s="26">
        <f>IF(B338="","",ROUND(W338-X338-IF(P338="",0,P338),2))</f>
        <v>0</v>
      </c>
      <c r="Z338" s="26">
        <f>IF(B338="","",IF(H338="Retail",IF(TaxOnRetail="Yes",ROUND(Y338*TaxRate,2),0),IF(H338="Service",IF(TaxOnServices="Yes",ROUND(Y338*TaxRate,2),0),0)))</f>
        <v>0</v>
      </c>
      <c r="AA338" s="26">
        <f>IF(B338="","",ROUND(Y338+Z338,2))</f>
        <v>0</v>
      </c>
      <c r="AB338" s="26">
        <f>IF(B338="","",ROUND(T338*IF(H338="Retail",IFERROR(INDEX(Inventory!$H$5:$H$304,MATCH(I338,Inventory!$A$5:$A$304,0))*1,0),IFERROR(INDEX(Services!$Q$5:$Q$204,MATCH(I338,Services!$A$5:$A$204,0))*1,0)),2))</f>
        <v>0</v>
      </c>
      <c r="AC338" s="26">
        <f>IF(B338="","",ROUND(Y338-AB338,2))</f>
        <v>0</v>
      </c>
      <c r="AD338" s="38">
        <f>IF(B338="","",IF(C338="","No",IF(COUNTIFS($C$5:C338,C338)=1,"Yes","No")))</f>
        <v>0</v>
      </c>
      <c r="AE338" s="26">
        <f>IF(B338="","",ROUND(SUMIFS(Payments!$G$5:$G$1204,Payments!$H$5:$H$1204,A338,Payments!$Q$5:$Q$1204,"Yes"),2))</f>
        <v>0</v>
      </c>
      <c r="AF338" s="26">
        <f>IF(B338="","",IF(AD338="No",0,ROUND(SUMIFS(Payments!$G$5:$G$1204,Payments!$I$5:$I$1204,C338,Payments!$H$5:$H$1204,"",Payments!$Q$5:$Q$1204,"Yes"),2)))</f>
        <v>0</v>
      </c>
      <c r="AG338" s="26">
        <f>IF(B338="","",ROUND(AE338+AF338,2))</f>
        <v>0</v>
      </c>
      <c r="AH338" s="26">
        <f>IF(B338="","",ROUND(AA338-AG338,2))</f>
        <v>0</v>
      </c>
      <c r="AI338" s="39">
        <f>IF(B338="","",IF(AA338&lt;=0,"No charge",IF(AH338&lt;=0.004,"Paid",IF(AG338&lt;=0.004,"Unpaid","Part paid"))))</f>
        <v>0</v>
      </c>
      <c r="AJ338" s="38">
        <f>IF(B338="","",IF(H338&lt;&gt;"Service","",IF(D338="","No",IF(COUNTIFS($D$5:$D$1204,D338,$B$5:$B$1204,B338,$H$5:$H$1204,"Retail")&gt;0,"Yes","No"))))</f>
        <v>0</v>
      </c>
      <c r="AK338" s="25">
        <f>IF(B338="","",COUNTIFS($Y$5:$Y$1204,"&gt;"&amp;Y338)+COUNTIFS($Y$5:Y338,Y338))</f>
        <v>0</v>
      </c>
      <c r="AL338" s="39">
        <f>IF(B338="","",IF(H338="","Add - what kind of sale is this?",IF(IF(V338&lt;=0,P338="",FALSE),"Check - no price found for this item",IF(F338="","Assign - nobody credited",IF(AH338&gt;0.004,"Unpaid - balance outstanding",IF(AC338&lt;0,"Loss - sold below cost",IF(X338&gt;W338*0.5,"Check - more than half off","OK")))))))</f>
        <v>0</v>
      </c>
    </row>
    <row r="339" spans="1:38">
      <c r="A339" s="28">
        <f>IF(B339="","",SalePrefix&amp;TEXT(ROW()-4,"0000"))</f>
        <v>0</v>
      </c>
      <c r="E339" s="15">
        <f>IF(D339="","",IFERROR(INDEX(Clients!$B$5:$B$504,MATCH(D339,Clients!$A$5:$A$504,0)),"Walk-in"))</f>
        <v>0</v>
      </c>
      <c r="G339" s="15">
        <f>IF(F339="","",IFERROR(INDEX(Staff!$B$5:$B$44,MATCH(F339,Staff!$A$5:$A$44,0)),"House"))</f>
        <v>0</v>
      </c>
      <c r="R339" s="15">
        <f>IF(B339="","",TEXT(B339,"yyyy-mm"))</f>
        <v>0</v>
      </c>
      <c r="S339" s="25">
        <f>IF(B339="","",WEEKNUM(B339,2))</f>
        <v>0</v>
      </c>
      <c r="T339" s="37">
        <f>IF(B339="","",IF(K339="",1,K339))</f>
        <v>0</v>
      </c>
      <c r="U339" s="15">
        <f>IF(B339="","",IF(J339&lt;&gt;"",J339,IF(H339="Retail",IFERROR(INDEX(Inventory!$B$5:$B$304,MATCH(I339,Inventory!$A$5:$A$304,0))&amp;"","Not in Inventory"),IFERROR(INDEX(Services!$B$5:$B$204,MATCH(I339,Services!$A$5:$A$204,0))&amp;"","Not in Services"))))</f>
        <v>0</v>
      </c>
      <c r="V339" s="26">
        <f>IF(B339="","",IF(L339&lt;&gt;"",L339,IF(H339="Retail",IFERROR(INDEX(Inventory!$I$5:$I$304,MATCH(I339,Inventory!$A$5:$A$304,0))*1,0),IFERROR(INDEX(Services!$G$5:$G$204,MATCH(I339,Services!$A$5:$A$204,0))*1,0))))</f>
        <v>0</v>
      </c>
      <c r="W339" s="26">
        <f>IF(B339="","",ROUND(T339*V339,2))</f>
        <v>0</v>
      </c>
      <c r="X339" s="26">
        <f>IF(B339="","",ROUND(IF(M339="",0,W339*M339)+IF(N339="",0,N339),2))</f>
        <v>0</v>
      </c>
      <c r="Y339" s="26">
        <f>IF(B339="","",ROUND(W339-X339-IF(P339="",0,P339),2))</f>
        <v>0</v>
      </c>
      <c r="Z339" s="26">
        <f>IF(B339="","",IF(H339="Retail",IF(TaxOnRetail="Yes",ROUND(Y339*TaxRate,2),0),IF(H339="Service",IF(TaxOnServices="Yes",ROUND(Y339*TaxRate,2),0),0)))</f>
        <v>0</v>
      </c>
      <c r="AA339" s="26">
        <f>IF(B339="","",ROUND(Y339+Z339,2))</f>
        <v>0</v>
      </c>
      <c r="AB339" s="26">
        <f>IF(B339="","",ROUND(T339*IF(H339="Retail",IFERROR(INDEX(Inventory!$H$5:$H$304,MATCH(I339,Inventory!$A$5:$A$304,0))*1,0),IFERROR(INDEX(Services!$Q$5:$Q$204,MATCH(I339,Services!$A$5:$A$204,0))*1,0)),2))</f>
        <v>0</v>
      </c>
      <c r="AC339" s="26">
        <f>IF(B339="","",ROUND(Y339-AB339,2))</f>
        <v>0</v>
      </c>
      <c r="AD339" s="38">
        <f>IF(B339="","",IF(C339="","No",IF(COUNTIFS($C$5:C339,C339)=1,"Yes","No")))</f>
        <v>0</v>
      </c>
      <c r="AE339" s="26">
        <f>IF(B339="","",ROUND(SUMIFS(Payments!$G$5:$G$1204,Payments!$H$5:$H$1204,A339,Payments!$Q$5:$Q$1204,"Yes"),2))</f>
        <v>0</v>
      </c>
      <c r="AF339" s="26">
        <f>IF(B339="","",IF(AD339="No",0,ROUND(SUMIFS(Payments!$G$5:$G$1204,Payments!$I$5:$I$1204,C339,Payments!$H$5:$H$1204,"",Payments!$Q$5:$Q$1204,"Yes"),2)))</f>
        <v>0</v>
      </c>
      <c r="AG339" s="26">
        <f>IF(B339="","",ROUND(AE339+AF339,2))</f>
        <v>0</v>
      </c>
      <c r="AH339" s="26">
        <f>IF(B339="","",ROUND(AA339-AG339,2))</f>
        <v>0</v>
      </c>
      <c r="AI339" s="39">
        <f>IF(B339="","",IF(AA339&lt;=0,"No charge",IF(AH339&lt;=0.004,"Paid",IF(AG339&lt;=0.004,"Unpaid","Part paid"))))</f>
        <v>0</v>
      </c>
      <c r="AJ339" s="38">
        <f>IF(B339="","",IF(H339&lt;&gt;"Service","",IF(D339="","No",IF(COUNTIFS($D$5:$D$1204,D339,$B$5:$B$1204,B339,$H$5:$H$1204,"Retail")&gt;0,"Yes","No"))))</f>
        <v>0</v>
      </c>
      <c r="AK339" s="25">
        <f>IF(B339="","",COUNTIFS($Y$5:$Y$1204,"&gt;"&amp;Y339)+COUNTIFS($Y$5:Y339,Y339))</f>
        <v>0</v>
      </c>
      <c r="AL339" s="39">
        <f>IF(B339="","",IF(H339="","Add - what kind of sale is this?",IF(IF(V339&lt;=0,P339="",FALSE),"Check - no price found for this item",IF(F339="","Assign - nobody credited",IF(AH339&gt;0.004,"Unpaid - balance outstanding",IF(AC339&lt;0,"Loss - sold below cost",IF(X339&gt;W339*0.5,"Check - more than half off","OK")))))))</f>
        <v>0</v>
      </c>
    </row>
    <row r="340" spans="1:38">
      <c r="A340" s="28">
        <f>IF(B340="","",SalePrefix&amp;TEXT(ROW()-4,"0000"))</f>
        <v>0</v>
      </c>
      <c r="E340" s="15">
        <f>IF(D340="","",IFERROR(INDEX(Clients!$B$5:$B$504,MATCH(D340,Clients!$A$5:$A$504,0)),"Walk-in"))</f>
        <v>0</v>
      </c>
      <c r="G340" s="15">
        <f>IF(F340="","",IFERROR(INDEX(Staff!$B$5:$B$44,MATCH(F340,Staff!$A$5:$A$44,0)),"House"))</f>
        <v>0</v>
      </c>
      <c r="R340" s="15">
        <f>IF(B340="","",TEXT(B340,"yyyy-mm"))</f>
        <v>0</v>
      </c>
      <c r="S340" s="25">
        <f>IF(B340="","",WEEKNUM(B340,2))</f>
        <v>0</v>
      </c>
      <c r="T340" s="37">
        <f>IF(B340="","",IF(K340="",1,K340))</f>
        <v>0</v>
      </c>
      <c r="U340" s="15">
        <f>IF(B340="","",IF(J340&lt;&gt;"",J340,IF(H340="Retail",IFERROR(INDEX(Inventory!$B$5:$B$304,MATCH(I340,Inventory!$A$5:$A$304,0))&amp;"","Not in Inventory"),IFERROR(INDEX(Services!$B$5:$B$204,MATCH(I340,Services!$A$5:$A$204,0))&amp;"","Not in Services"))))</f>
        <v>0</v>
      </c>
      <c r="V340" s="26">
        <f>IF(B340="","",IF(L340&lt;&gt;"",L340,IF(H340="Retail",IFERROR(INDEX(Inventory!$I$5:$I$304,MATCH(I340,Inventory!$A$5:$A$304,0))*1,0),IFERROR(INDEX(Services!$G$5:$G$204,MATCH(I340,Services!$A$5:$A$204,0))*1,0))))</f>
        <v>0</v>
      </c>
      <c r="W340" s="26">
        <f>IF(B340="","",ROUND(T340*V340,2))</f>
        <v>0</v>
      </c>
      <c r="X340" s="26">
        <f>IF(B340="","",ROUND(IF(M340="",0,W340*M340)+IF(N340="",0,N340),2))</f>
        <v>0</v>
      </c>
      <c r="Y340" s="26">
        <f>IF(B340="","",ROUND(W340-X340-IF(P340="",0,P340),2))</f>
        <v>0</v>
      </c>
      <c r="Z340" s="26">
        <f>IF(B340="","",IF(H340="Retail",IF(TaxOnRetail="Yes",ROUND(Y340*TaxRate,2),0),IF(H340="Service",IF(TaxOnServices="Yes",ROUND(Y340*TaxRate,2),0),0)))</f>
        <v>0</v>
      </c>
      <c r="AA340" s="26">
        <f>IF(B340="","",ROUND(Y340+Z340,2))</f>
        <v>0</v>
      </c>
      <c r="AB340" s="26">
        <f>IF(B340="","",ROUND(T340*IF(H340="Retail",IFERROR(INDEX(Inventory!$H$5:$H$304,MATCH(I340,Inventory!$A$5:$A$304,0))*1,0),IFERROR(INDEX(Services!$Q$5:$Q$204,MATCH(I340,Services!$A$5:$A$204,0))*1,0)),2))</f>
        <v>0</v>
      </c>
      <c r="AC340" s="26">
        <f>IF(B340="","",ROUND(Y340-AB340,2))</f>
        <v>0</v>
      </c>
      <c r="AD340" s="38">
        <f>IF(B340="","",IF(C340="","No",IF(COUNTIFS($C$5:C340,C340)=1,"Yes","No")))</f>
        <v>0</v>
      </c>
      <c r="AE340" s="26">
        <f>IF(B340="","",ROUND(SUMIFS(Payments!$G$5:$G$1204,Payments!$H$5:$H$1204,A340,Payments!$Q$5:$Q$1204,"Yes"),2))</f>
        <v>0</v>
      </c>
      <c r="AF340" s="26">
        <f>IF(B340="","",IF(AD340="No",0,ROUND(SUMIFS(Payments!$G$5:$G$1204,Payments!$I$5:$I$1204,C340,Payments!$H$5:$H$1204,"",Payments!$Q$5:$Q$1204,"Yes"),2)))</f>
        <v>0</v>
      </c>
      <c r="AG340" s="26">
        <f>IF(B340="","",ROUND(AE340+AF340,2))</f>
        <v>0</v>
      </c>
      <c r="AH340" s="26">
        <f>IF(B340="","",ROUND(AA340-AG340,2))</f>
        <v>0</v>
      </c>
      <c r="AI340" s="39">
        <f>IF(B340="","",IF(AA340&lt;=0,"No charge",IF(AH340&lt;=0.004,"Paid",IF(AG340&lt;=0.004,"Unpaid","Part paid"))))</f>
        <v>0</v>
      </c>
      <c r="AJ340" s="38">
        <f>IF(B340="","",IF(H340&lt;&gt;"Service","",IF(D340="","No",IF(COUNTIFS($D$5:$D$1204,D340,$B$5:$B$1204,B340,$H$5:$H$1204,"Retail")&gt;0,"Yes","No"))))</f>
        <v>0</v>
      </c>
      <c r="AK340" s="25">
        <f>IF(B340="","",COUNTIFS($Y$5:$Y$1204,"&gt;"&amp;Y340)+COUNTIFS($Y$5:Y340,Y340))</f>
        <v>0</v>
      </c>
      <c r="AL340" s="39">
        <f>IF(B340="","",IF(H340="","Add - what kind of sale is this?",IF(IF(V340&lt;=0,P340="",FALSE),"Check - no price found for this item",IF(F340="","Assign - nobody credited",IF(AH340&gt;0.004,"Unpaid - balance outstanding",IF(AC340&lt;0,"Loss - sold below cost",IF(X340&gt;W340*0.5,"Check - more than half off","OK")))))))</f>
        <v>0</v>
      </c>
    </row>
    <row r="341" spans="1:38">
      <c r="A341" s="28">
        <f>IF(B341="","",SalePrefix&amp;TEXT(ROW()-4,"0000"))</f>
        <v>0</v>
      </c>
      <c r="E341" s="15">
        <f>IF(D341="","",IFERROR(INDEX(Clients!$B$5:$B$504,MATCH(D341,Clients!$A$5:$A$504,0)),"Walk-in"))</f>
        <v>0</v>
      </c>
      <c r="G341" s="15">
        <f>IF(F341="","",IFERROR(INDEX(Staff!$B$5:$B$44,MATCH(F341,Staff!$A$5:$A$44,0)),"House"))</f>
        <v>0</v>
      </c>
      <c r="R341" s="15">
        <f>IF(B341="","",TEXT(B341,"yyyy-mm"))</f>
        <v>0</v>
      </c>
      <c r="S341" s="25">
        <f>IF(B341="","",WEEKNUM(B341,2))</f>
        <v>0</v>
      </c>
      <c r="T341" s="37">
        <f>IF(B341="","",IF(K341="",1,K341))</f>
        <v>0</v>
      </c>
      <c r="U341" s="15">
        <f>IF(B341="","",IF(J341&lt;&gt;"",J341,IF(H341="Retail",IFERROR(INDEX(Inventory!$B$5:$B$304,MATCH(I341,Inventory!$A$5:$A$304,0))&amp;"","Not in Inventory"),IFERROR(INDEX(Services!$B$5:$B$204,MATCH(I341,Services!$A$5:$A$204,0))&amp;"","Not in Services"))))</f>
        <v>0</v>
      </c>
      <c r="V341" s="26">
        <f>IF(B341="","",IF(L341&lt;&gt;"",L341,IF(H341="Retail",IFERROR(INDEX(Inventory!$I$5:$I$304,MATCH(I341,Inventory!$A$5:$A$304,0))*1,0),IFERROR(INDEX(Services!$G$5:$G$204,MATCH(I341,Services!$A$5:$A$204,0))*1,0))))</f>
        <v>0</v>
      </c>
      <c r="W341" s="26">
        <f>IF(B341="","",ROUND(T341*V341,2))</f>
        <v>0</v>
      </c>
      <c r="X341" s="26">
        <f>IF(B341="","",ROUND(IF(M341="",0,W341*M341)+IF(N341="",0,N341),2))</f>
        <v>0</v>
      </c>
      <c r="Y341" s="26">
        <f>IF(B341="","",ROUND(W341-X341-IF(P341="",0,P341),2))</f>
        <v>0</v>
      </c>
      <c r="Z341" s="26">
        <f>IF(B341="","",IF(H341="Retail",IF(TaxOnRetail="Yes",ROUND(Y341*TaxRate,2),0),IF(H341="Service",IF(TaxOnServices="Yes",ROUND(Y341*TaxRate,2),0),0)))</f>
        <v>0</v>
      </c>
      <c r="AA341" s="26">
        <f>IF(B341="","",ROUND(Y341+Z341,2))</f>
        <v>0</v>
      </c>
      <c r="AB341" s="26">
        <f>IF(B341="","",ROUND(T341*IF(H341="Retail",IFERROR(INDEX(Inventory!$H$5:$H$304,MATCH(I341,Inventory!$A$5:$A$304,0))*1,0),IFERROR(INDEX(Services!$Q$5:$Q$204,MATCH(I341,Services!$A$5:$A$204,0))*1,0)),2))</f>
        <v>0</v>
      </c>
      <c r="AC341" s="26">
        <f>IF(B341="","",ROUND(Y341-AB341,2))</f>
        <v>0</v>
      </c>
      <c r="AD341" s="38">
        <f>IF(B341="","",IF(C341="","No",IF(COUNTIFS($C$5:C341,C341)=1,"Yes","No")))</f>
        <v>0</v>
      </c>
      <c r="AE341" s="26">
        <f>IF(B341="","",ROUND(SUMIFS(Payments!$G$5:$G$1204,Payments!$H$5:$H$1204,A341,Payments!$Q$5:$Q$1204,"Yes"),2))</f>
        <v>0</v>
      </c>
      <c r="AF341" s="26">
        <f>IF(B341="","",IF(AD341="No",0,ROUND(SUMIFS(Payments!$G$5:$G$1204,Payments!$I$5:$I$1204,C341,Payments!$H$5:$H$1204,"",Payments!$Q$5:$Q$1204,"Yes"),2)))</f>
        <v>0</v>
      </c>
      <c r="AG341" s="26">
        <f>IF(B341="","",ROUND(AE341+AF341,2))</f>
        <v>0</v>
      </c>
      <c r="AH341" s="26">
        <f>IF(B341="","",ROUND(AA341-AG341,2))</f>
        <v>0</v>
      </c>
      <c r="AI341" s="39">
        <f>IF(B341="","",IF(AA341&lt;=0,"No charge",IF(AH341&lt;=0.004,"Paid",IF(AG341&lt;=0.004,"Unpaid","Part paid"))))</f>
        <v>0</v>
      </c>
      <c r="AJ341" s="38">
        <f>IF(B341="","",IF(H341&lt;&gt;"Service","",IF(D341="","No",IF(COUNTIFS($D$5:$D$1204,D341,$B$5:$B$1204,B341,$H$5:$H$1204,"Retail")&gt;0,"Yes","No"))))</f>
        <v>0</v>
      </c>
      <c r="AK341" s="25">
        <f>IF(B341="","",COUNTIFS($Y$5:$Y$1204,"&gt;"&amp;Y341)+COUNTIFS($Y$5:Y341,Y341))</f>
        <v>0</v>
      </c>
      <c r="AL341" s="39">
        <f>IF(B341="","",IF(H341="","Add - what kind of sale is this?",IF(IF(V341&lt;=0,P341="",FALSE),"Check - no price found for this item",IF(F341="","Assign - nobody credited",IF(AH341&gt;0.004,"Unpaid - balance outstanding",IF(AC341&lt;0,"Loss - sold below cost",IF(X341&gt;W341*0.5,"Check - more than half off","OK")))))))</f>
        <v>0</v>
      </c>
    </row>
    <row r="342" spans="1:38">
      <c r="A342" s="28">
        <f>IF(B342="","",SalePrefix&amp;TEXT(ROW()-4,"0000"))</f>
        <v>0</v>
      </c>
      <c r="E342" s="15">
        <f>IF(D342="","",IFERROR(INDEX(Clients!$B$5:$B$504,MATCH(D342,Clients!$A$5:$A$504,0)),"Walk-in"))</f>
        <v>0</v>
      </c>
      <c r="G342" s="15">
        <f>IF(F342="","",IFERROR(INDEX(Staff!$B$5:$B$44,MATCH(F342,Staff!$A$5:$A$44,0)),"House"))</f>
        <v>0</v>
      </c>
      <c r="R342" s="15">
        <f>IF(B342="","",TEXT(B342,"yyyy-mm"))</f>
        <v>0</v>
      </c>
      <c r="S342" s="25">
        <f>IF(B342="","",WEEKNUM(B342,2))</f>
        <v>0</v>
      </c>
      <c r="T342" s="37">
        <f>IF(B342="","",IF(K342="",1,K342))</f>
        <v>0</v>
      </c>
      <c r="U342" s="15">
        <f>IF(B342="","",IF(J342&lt;&gt;"",J342,IF(H342="Retail",IFERROR(INDEX(Inventory!$B$5:$B$304,MATCH(I342,Inventory!$A$5:$A$304,0))&amp;"","Not in Inventory"),IFERROR(INDEX(Services!$B$5:$B$204,MATCH(I342,Services!$A$5:$A$204,0))&amp;"","Not in Services"))))</f>
        <v>0</v>
      </c>
      <c r="V342" s="26">
        <f>IF(B342="","",IF(L342&lt;&gt;"",L342,IF(H342="Retail",IFERROR(INDEX(Inventory!$I$5:$I$304,MATCH(I342,Inventory!$A$5:$A$304,0))*1,0),IFERROR(INDEX(Services!$G$5:$G$204,MATCH(I342,Services!$A$5:$A$204,0))*1,0))))</f>
        <v>0</v>
      </c>
      <c r="W342" s="26">
        <f>IF(B342="","",ROUND(T342*V342,2))</f>
        <v>0</v>
      </c>
      <c r="X342" s="26">
        <f>IF(B342="","",ROUND(IF(M342="",0,W342*M342)+IF(N342="",0,N342),2))</f>
        <v>0</v>
      </c>
      <c r="Y342" s="26">
        <f>IF(B342="","",ROUND(W342-X342-IF(P342="",0,P342),2))</f>
        <v>0</v>
      </c>
      <c r="Z342" s="26">
        <f>IF(B342="","",IF(H342="Retail",IF(TaxOnRetail="Yes",ROUND(Y342*TaxRate,2),0),IF(H342="Service",IF(TaxOnServices="Yes",ROUND(Y342*TaxRate,2),0),0)))</f>
        <v>0</v>
      </c>
      <c r="AA342" s="26">
        <f>IF(B342="","",ROUND(Y342+Z342,2))</f>
        <v>0</v>
      </c>
      <c r="AB342" s="26">
        <f>IF(B342="","",ROUND(T342*IF(H342="Retail",IFERROR(INDEX(Inventory!$H$5:$H$304,MATCH(I342,Inventory!$A$5:$A$304,0))*1,0),IFERROR(INDEX(Services!$Q$5:$Q$204,MATCH(I342,Services!$A$5:$A$204,0))*1,0)),2))</f>
        <v>0</v>
      </c>
      <c r="AC342" s="26">
        <f>IF(B342="","",ROUND(Y342-AB342,2))</f>
        <v>0</v>
      </c>
      <c r="AD342" s="38">
        <f>IF(B342="","",IF(C342="","No",IF(COUNTIFS($C$5:C342,C342)=1,"Yes","No")))</f>
        <v>0</v>
      </c>
      <c r="AE342" s="26">
        <f>IF(B342="","",ROUND(SUMIFS(Payments!$G$5:$G$1204,Payments!$H$5:$H$1204,A342,Payments!$Q$5:$Q$1204,"Yes"),2))</f>
        <v>0</v>
      </c>
      <c r="AF342" s="26">
        <f>IF(B342="","",IF(AD342="No",0,ROUND(SUMIFS(Payments!$G$5:$G$1204,Payments!$I$5:$I$1204,C342,Payments!$H$5:$H$1204,"",Payments!$Q$5:$Q$1204,"Yes"),2)))</f>
        <v>0</v>
      </c>
      <c r="AG342" s="26">
        <f>IF(B342="","",ROUND(AE342+AF342,2))</f>
        <v>0</v>
      </c>
      <c r="AH342" s="26">
        <f>IF(B342="","",ROUND(AA342-AG342,2))</f>
        <v>0</v>
      </c>
      <c r="AI342" s="39">
        <f>IF(B342="","",IF(AA342&lt;=0,"No charge",IF(AH342&lt;=0.004,"Paid",IF(AG342&lt;=0.004,"Unpaid","Part paid"))))</f>
        <v>0</v>
      </c>
      <c r="AJ342" s="38">
        <f>IF(B342="","",IF(H342&lt;&gt;"Service","",IF(D342="","No",IF(COUNTIFS($D$5:$D$1204,D342,$B$5:$B$1204,B342,$H$5:$H$1204,"Retail")&gt;0,"Yes","No"))))</f>
        <v>0</v>
      </c>
      <c r="AK342" s="25">
        <f>IF(B342="","",COUNTIFS($Y$5:$Y$1204,"&gt;"&amp;Y342)+COUNTIFS($Y$5:Y342,Y342))</f>
        <v>0</v>
      </c>
      <c r="AL342" s="39">
        <f>IF(B342="","",IF(H342="","Add - what kind of sale is this?",IF(IF(V342&lt;=0,P342="",FALSE),"Check - no price found for this item",IF(F342="","Assign - nobody credited",IF(AH342&gt;0.004,"Unpaid - balance outstanding",IF(AC342&lt;0,"Loss - sold below cost",IF(X342&gt;W342*0.5,"Check - more than half off","OK")))))))</f>
        <v>0</v>
      </c>
    </row>
    <row r="343" spans="1:38">
      <c r="A343" s="28">
        <f>IF(B343="","",SalePrefix&amp;TEXT(ROW()-4,"0000"))</f>
        <v>0</v>
      </c>
      <c r="E343" s="15">
        <f>IF(D343="","",IFERROR(INDEX(Clients!$B$5:$B$504,MATCH(D343,Clients!$A$5:$A$504,0)),"Walk-in"))</f>
        <v>0</v>
      </c>
      <c r="G343" s="15">
        <f>IF(F343="","",IFERROR(INDEX(Staff!$B$5:$B$44,MATCH(F343,Staff!$A$5:$A$44,0)),"House"))</f>
        <v>0</v>
      </c>
      <c r="R343" s="15">
        <f>IF(B343="","",TEXT(B343,"yyyy-mm"))</f>
        <v>0</v>
      </c>
      <c r="S343" s="25">
        <f>IF(B343="","",WEEKNUM(B343,2))</f>
        <v>0</v>
      </c>
      <c r="T343" s="37">
        <f>IF(B343="","",IF(K343="",1,K343))</f>
        <v>0</v>
      </c>
      <c r="U343" s="15">
        <f>IF(B343="","",IF(J343&lt;&gt;"",J343,IF(H343="Retail",IFERROR(INDEX(Inventory!$B$5:$B$304,MATCH(I343,Inventory!$A$5:$A$304,0))&amp;"","Not in Inventory"),IFERROR(INDEX(Services!$B$5:$B$204,MATCH(I343,Services!$A$5:$A$204,0))&amp;"","Not in Services"))))</f>
        <v>0</v>
      </c>
      <c r="V343" s="26">
        <f>IF(B343="","",IF(L343&lt;&gt;"",L343,IF(H343="Retail",IFERROR(INDEX(Inventory!$I$5:$I$304,MATCH(I343,Inventory!$A$5:$A$304,0))*1,0),IFERROR(INDEX(Services!$G$5:$G$204,MATCH(I343,Services!$A$5:$A$204,0))*1,0))))</f>
        <v>0</v>
      </c>
      <c r="W343" s="26">
        <f>IF(B343="","",ROUND(T343*V343,2))</f>
        <v>0</v>
      </c>
      <c r="X343" s="26">
        <f>IF(B343="","",ROUND(IF(M343="",0,W343*M343)+IF(N343="",0,N343),2))</f>
        <v>0</v>
      </c>
      <c r="Y343" s="26">
        <f>IF(B343="","",ROUND(W343-X343-IF(P343="",0,P343),2))</f>
        <v>0</v>
      </c>
      <c r="Z343" s="26">
        <f>IF(B343="","",IF(H343="Retail",IF(TaxOnRetail="Yes",ROUND(Y343*TaxRate,2),0),IF(H343="Service",IF(TaxOnServices="Yes",ROUND(Y343*TaxRate,2),0),0)))</f>
        <v>0</v>
      </c>
      <c r="AA343" s="26">
        <f>IF(B343="","",ROUND(Y343+Z343,2))</f>
        <v>0</v>
      </c>
      <c r="AB343" s="26">
        <f>IF(B343="","",ROUND(T343*IF(H343="Retail",IFERROR(INDEX(Inventory!$H$5:$H$304,MATCH(I343,Inventory!$A$5:$A$304,0))*1,0),IFERROR(INDEX(Services!$Q$5:$Q$204,MATCH(I343,Services!$A$5:$A$204,0))*1,0)),2))</f>
        <v>0</v>
      </c>
      <c r="AC343" s="26">
        <f>IF(B343="","",ROUND(Y343-AB343,2))</f>
        <v>0</v>
      </c>
      <c r="AD343" s="38">
        <f>IF(B343="","",IF(C343="","No",IF(COUNTIFS($C$5:C343,C343)=1,"Yes","No")))</f>
        <v>0</v>
      </c>
      <c r="AE343" s="26">
        <f>IF(B343="","",ROUND(SUMIFS(Payments!$G$5:$G$1204,Payments!$H$5:$H$1204,A343,Payments!$Q$5:$Q$1204,"Yes"),2))</f>
        <v>0</v>
      </c>
      <c r="AF343" s="26">
        <f>IF(B343="","",IF(AD343="No",0,ROUND(SUMIFS(Payments!$G$5:$G$1204,Payments!$I$5:$I$1204,C343,Payments!$H$5:$H$1204,"",Payments!$Q$5:$Q$1204,"Yes"),2)))</f>
        <v>0</v>
      </c>
      <c r="AG343" s="26">
        <f>IF(B343="","",ROUND(AE343+AF343,2))</f>
        <v>0</v>
      </c>
      <c r="AH343" s="26">
        <f>IF(B343="","",ROUND(AA343-AG343,2))</f>
        <v>0</v>
      </c>
      <c r="AI343" s="39">
        <f>IF(B343="","",IF(AA343&lt;=0,"No charge",IF(AH343&lt;=0.004,"Paid",IF(AG343&lt;=0.004,"Unpaid","Part paid"))))</f>
        <v>0</v>
      </c>
      <c r="AJ343" s="38">
        <f>IF(B343="","",IF(H343&lt;&gt;"Service","",IF(D343="","No",IF(COUNTIFS($D$5:$D$1204,D343,$B$5:$B$1204,B343,$H$5:$H$1204,"Retail")&gt;0,"Yes","No"))))</f>
        <v>0</v>
      </c>
      <c r="AK343" s="25">
        <f>IF(B343="","",COUNTIFS($Y$5:$Y$1204,"&gt;"&amp;Y343)+COUNTIFS($Y$5:Y343,Y343))</f>
        <v>0</v>
      </c>
      <c r="AL343" s="39">
        <f>IF(B343="","",IF(H343="","Add - what kind of sale is this?",IF(IF(V343&lt;=0,P343="",FALSE),"Check - no price found for this item",IF(F343="","Assign - nobody credited",IF(AH343&gt;0.004,"Unpaid - balance outstanding",IF(AC343&lt;0,"Loss - sold below cost",IF(X343&gt;W343*0.5,"Check - more than half off","OK")))))))</f>
        <v>0</v>
      </c>
    </row>
    <row r="344" spans="1:38">
      <c r="A344" s="28">
        <f>IF(B344="","",SalePrefix&amp;TEXT(ROW()-4,"0000"))</f>
        <v>0</v>
      </c>
      <c r="E344" s="15">
        <f>IF(D344="","",IFERROR(INDEX(Clients!$B$5:$B$504,MATCH(D344,Clients!$A$5:$A$504,0)),"Walk-in"))</f>
        <v>0</v>
      </c>
      <c r="G344" s="15">
        <f>IF(F344="","",IFERROR(INDEX(Staff!$B$5:$B$44,MATCH(F344,Staff!$A$5:$A$44,0)),"House"))</f>
        <v>0</v>
      </c>
      <c r="R344" s="15">
        <f>IF(B344="","",TEXT(B344,"yyyy-mm"))</f>
        <v>0</v>
      </c>
      <c r="S344" s="25">
        <f>IF(B344="","",WEEKNUM(B344,2))</f>
        <v>0</v>
      </c>
      <c r="T344" s="37">
        <f>IF(B344="","",IF(K344="",1,K344))</f>
        <v>0</v>
      </c>
      <c r="U344" s="15">
        <f>IF(B344="","",IF(J344&lt;&gt;"",J344,IF(H344="Retail",IFERROR(INDEX(Inventory!$B$5:$B$304,MATCH(I344,Inventory!$A$5:$A$304,0))&amp;"","Not in Inventory"),IFERROR(INDEX(Services!$B$5:$B$204,MATCH(I344,Services!$A$5:$A$204,0))&amp;"","Not in Services"))))</f>
        <v>0</v>
      </c>
      <c r="V344" s="26">
        <f>IF(B344="","",IF(L344&lt;&gt;"",L344,IF(H344="Retail",IFERROR(INDEX(Inventory!$I$5:$I$304,MATCH(I344,Inventory!$A$5:$A$304,0))*1,0),IFERROR(INDEX(Services!$G$5:$G$204,MATCH(I344,Services!$A$5:$A$204,0))*1,0))))</f>
        <v>0</v>
      </c>
      <c r="W344" s="26">
        <f>IF(B344="","",ROUND(T344*V344,2))</f>
        <v>0</v>
      </c>
      <c r="X344" s="26">
        <f>IF(B344="","",ROUND(IF(M344="",0,W344*M344)+IF(N344="",0,N344),2))</f>
        <v>0</v>
      </c>
      <c r="Y344" s="26">
        <f>IF(B344="","",ROUND(W344-X344-IF(P344="",0,P344),2))</f>
        <v>0</v>
      </c>
      <c r="Z344" s="26">
        <f>IF(B344="","",IF(H344="Retail",IF(TaxOnRetail="Yes",ROUND(Y344*TaxRate,2),0),IF(H344="Service",IF(TaxOnServices="Yes",ROUND(Y344*TaxRate,2),0),0)))</f>
        <v>0</v>
      </c>
      <c r="AA344" s="26">
        <f>IF(B344="","",ROUND(Y344+Z344,2))</f>
        <v>0</v>
      </c>
      <c r="AB344" s="26">
        <f>IF(B344="","",ROUND(T344*IF(H344="Retail",IFERROR(INDEX(Inventory!$H$5:$H$304,MATCH(I344,Inventory!$A$5:$A$304,0))*1,0),IFERROR(INDEX(Services!$Q$5:$Q$204,MATCH(I344,Services!$A$5:$A$204,0))*1,0)),2))</f>
        <v>0</v>
      </c>
      <c r="AC344" s="26">
        <f>IF(B344="","",ROUND(Y344-AB344,2))</f>
        <v>0</v>
      </c>
      <c r="AD344" s="38">
        <f>IF(B344="","",IF(C344="","No",IF(COUNTIFS($C$5:C344,C344)=1,"Yes","No")))</f>
        <v>0</v>
      </c>
      <c r="AE344" s="26">
        <f>IF(B344="","",ROUND(SUMIFS(Payments!$G$5:$G$1204,Payments!$H$5:$H$1204,A344,Payments!$Q$5:$Q$1204,"Yes"),2))</f>
        <v>0</v>
      </c>
      <c r="AF344" s="26">
        <f>IF(B344="","",IF(AD344="No",0,ROUND(SUMIFS(Payments!$G$5:$G$1204,Payments!$I$5:$I$1204,C344,Payments!$H$5:$H$1204,"",Payments!$Q$5:$Q$1204,"Yes"),2)))</f>
        <v>0</v>
      </c>
      <c r="AG344" s="26">
        <f>IF(B344="","",ROUND(AE344+AF344,2))</f>
        <v>0</v>
      </c>
      <c r="AH344" s="26">
        <f>IF(B344="","",ROUND(AA344-AG344,2))</f>
        <v>0</v>
      </c>
      <c r="AI344" s="39">
        <f>IF(B344="","",IF(AA344&lt;=0,"No charge",IF(AH344&lt;=0.004,"Paid",IF(AG344&lt;=0.004,"Unpaid","Part paid"))))</f>
        <v>0</v>
      </c>
      <c r="AJ344" s="38">
        <f>IF(B344="","",IF(H344&lt;&gt;"Service","",IF(D344="","No",IF(COUNTIFS($D$5:$D$1204,D344,$B$5:$B$1204,B344,$H$5:$H$1204,"Retail")&gt;0,"Yes","No"))))</f>
        <v>0</v>
      </c>
      <c r="AK344" s="25">
        <f>IF(B344="","",COUNTIFS($Y$5:$Y$1204,"&gt;"&amp;Y344)+COUNTIFS($Y$5:Y344,Y344))</f>
        <v>0</v>
      </c>
      <c r="AL344" s="39">
        <f>IF(B344="","",IF(H344="","Add - what kind of sale is this?",IF(IF(V344&lt;=0,P344="",FALSE),"Check - no price found for this item",IF(F344="","Assign - nobody credited",IF(AH344&gt;0.004,"Unpaid - balance outstanding",IF(AC344&lt;0,"Loss - sold below cost",IF(X344&gt;W344*0.5,"Check - more than half off","OK")))))))</f>
        <v>0</v>
      </c>
    </row>
    <row r="345" spans="1:38">
      <c r="A345" s="28">
        <f>IF(B345="","",SalePrefix&amp;TEXT(ROW()-4,"0000"))</f>
        <v>0</v>
      </c>
      <c r="E345" s="15">
        <f>IF(D345="","",IFERROR(INDEX(Clients!$B$5:$B$504,MATCH(D345,Clients!$A$5:$A$504,0)),"Walk-in"))</f>
        <v>0</v>
      </c>
      <c r="G345" s="15">
        <f>IF(F345="","",IFERROR(INDEX(Staff!$B$5:$B$44,MATCH(F345,Staff!$A$5:$A$44,0)),"House"))</f>
        <v>0</v>
      </c>
      <c r="R345" s="15">
        <f>IF(B345="","",TEXT(B345,"yyyy-mm"))</f>
        <v>0</v>
      </c>
      <c r="S345" s="25">
        <f>IF(B345="","",WEEKNUM(B345,2))</f>
        <v>0</v>
      </c>
      <c r="T345" s="37">
        <f>IF(B345="","",IF(K345="",1,K345))</f>
        <v>0</v>
      </c>
      <c r="U345" s="15">
        <f>IF(B345="","",IF(J345&lt;&gt;"",J345,IF(H345="Retail",IFERROR(INDEX(Inventory!$B$5:$B$304,MATCH(I345,Inventory!$A$5:$A$304,0))&amp;"","Not in Inventory"),IFERROR(INDEX(Services!$B$5:$B$204,MATCH(I345,Services!$A$5:$A$204,0))&amp;"","Not in Services"))))</f>
        <v>0</v>
      </c>
      <c r="V345" s="26">
        <f>IF(B345="","",IF(L345&lt;&gt;"",L345,IF(H345="Retail",IFERROR(INDEX(Inventory!$I$5:$I$304,MATCH(I345,Inventory!$A$5:$A$304,0))*1,0),IFERROR(INDEX(Services!$G$5:$G$204,MATCH(I345,Services!$A$5:$A$204,0))*1,0))))</f>
        <v>0</v>
      </c>
      <c r="W345" s="26">
        <f>IF(B345="","",ROUND(T345*V345,2))</f>
        <v>0</v>
      </c>
      <c r="X345" s="26">
        <f>IF(B345="","",ROUND(IF(M345="",0,W345*M345)+IF(N345="",0,N345),2))</f>
        <v>0</v>
      </c>
      <c r="Y345" s="26">
        <f>IF(B345="","",ROUND(W345-X345-IF(P345="",0,P345),2))</f>
        <v>0</v>
      </c>
      <c r="Z345" s="26">
        <f>IF(B345="","",IF(H345="Retail",IF(TaxOnRetail="Yes",ROUND(Y345*TaxRate,2),0),IF(H345="Service",IF(TaxOnServices="Yes",ROUND(Y345*TaxRate,2),0),0)))</f>
        <v>0</v>
      </c>
      <c r="AA345" s="26">
        <f>IF(B345="","",ROUND(Y345+Z345,2))</f>
        <v>0</v>
      </c>
      <c r="AB345" s="26">
        <f>IF(B345="","",ROUND(T345*IF(H345="Retail",IFERROR(INDEX(Inventory!$H$5:$H$304,MATCH(I345,Inventory!$A$5:$A$304,0))*1,0),IFERROR(INDEX(Services!$Q$5:$Q$204,MATCH(I345,Services!$A$5:$A$204,0))*1,0)),2))</f>
        <v>0</v>
      </c>
      <c r="AC345" s="26">
        <f>IF(B345="","",ROUND(Y345-AB345,2))</f>
        <v>0</v>
      </c>
      <c r="AD345" s="38">
        <f>IF(B345="","",IF(C345="","No",IF(COUNTIFS($C$5:C345,C345)=1,"Yes","No")))</f>
        <v>0</v>
      </c>
      <c r="AE345" s="26">
        <f>IF(B345="","",ROUND(SUMIFS(Payments!$G$5:$G$1204,Payments!$H$5:$H$1204,A345,Payments!$Q$5:$Q$1204,"Yes"),2))</f>
        <v>0</v>
      </c>
      <c r="AF345" s="26">
        <f>IF(B345="","",IF(AD345="No",0,ROUND(SUMIFS(Payments!$G$5:$G$1204,Payments!$I$5:$I$1204,C345,Payments!$H$5:$H$1204,"",Payments!$Q$5:$Q$1204,"Yes"),2)))</f>
        <v>0</v>
      </c>
      <c r="AG345" s="26">
        <f>IF(B345="","",ROUND(AE345+AF345,2))</f>
        <v>0</v>
      </c>
      <c r="AH345" s="26">
        <f>IF(B345="","",ROUND(AA345-AG345,2))</f>
        <v>0</v>
      </c>
      <c r="AI345" s="39">
        <f>IF(B345="","",IF(AA345&lt;=0,"No charge",IF(AH345&lt;=0.004,"Paid",IF(AG345&lt;=0.004,"Unpaid","Part paid"))))</f>
        <v>0</v>
      </c>
      <c r="AJ345" s="38">
        <f>IF(B345="","",IF(H345&lt;&gt;"Service","",IF(D345="","No",IF(COUNTIFS($D$5:$D$1204,D345,$B$5:$B$1204,B345,$H$5:$H$1204,"Retail")&gt;0,"Yes","No"))))</f>
        <v>0</v>
      </c>
      <c r="AK345" s="25">
        <f>IF(B345="","",COUNTIFS($Y$5:$Y$1204,"&gt;"&amp;Y345)+COUNTIFS($Y$5:Y345,Y345))</f>
        <v>0</v>
      </c>
      <c r="AL345" s="39">
        <f>IF(B345="","",IF(H345="","Add - what kind of sale is this?",IF(IF(V345&lt;=0,P345="",FALSE),"Check - no price found for this item",IF(F345="","Assign - nobody credited",IF(AH345&gt;0.004,"Unpaid - balance outstanding",IF(AC345&lt;0,"Loss - sold below cost",IF(X345&gt;W345*0.5,"Check - more than half off","OK")))))))</f>
        <v>0</v>
      </c>
    </row>
    <row r="346" spans="1:38">
      <c r="A346" s="28">
        <f>IF(B346="","",SalePrefix&amp;TEXT(ROW()-4,"0000"))</f>
        <v>0</v>
      </c>
      <c r="E346" s="15">
        <f>IF(D346="","",IFERROR(INDEX(Clients!$B$5:$B$504,MATCH(D346,Clients!$A$5:$A$504,0)),"Walk-in"))</f>
        <v>0</v>
      </c>
      <c r="G346" s="15">
        <f>IF(F346="","",IFERROR(INDEX(Staff!$B$5:$B$44,MATCH(F346,Staff!$A$5:$A$44,0)),"House"))</f>
        <v>0</v>
      </c>
      <c r="R346" s="15">
        <f>IF(B346="","",TEXT(B346,"yyyy-mm"))</f>
        <v>0</v>
      </c>
      <c r="S346" s="25">
        <f>IF(B346="","",WEEKNUM(B346,2))</f>
        <v>0</v>
      </c>
      <c r="T346" s="37">
        <f>IF(B346="","",IF(K346="",1,K346))</f>
        <v>0</v>
      </c>
      <c r="U346" s="15">
        <f>IF(B346="","",IF(J346&lt;&gt;"",J346,IF(H346="Retail",IFERROR(INDEX(Inventory!$B$5:$B$304,MATCH(I346,Inventory!$A$5:$A$304,0))&amp;"","Not in Inventory"),IFERROR(INDEX(Services!$B$5:$B$204,MATCH(I346,Services!$A$5:$A$204,0))&amp;"","Not in Services"))))</f>
        <v>0</v>
      </c>
      <c r="V346" s="26">
        <f>IF(B346="","",IF(L346&lt;&gt;"",L346,IF(H346="Retail",IFERROR(INDEX(Inventory!$I$5:$I$304,MATCH(I346,Inventory!$A$5:$A$304,0))*1,0),IFERROR(INDEX(Services!$G$5:$G$204,MATCH(I346,Services!$A$5:$A$204,0))*1,0))))</f>
        <v>0</v>
      </c>
      <c r="W346" s="26">
        <f>IF(B346="","",ROUND(T346*V346,2))</f>
        <v>0</v>
      </c>
      <c r="X346" s="26">
        <f>IF(B346="","",ROUND(IF(M346="",0,W346*M346)+IF(N346="",0,N346),2))</f>
        <v>0</v>
      </c>
      <c r="Y346" s="26">
        <f>IF(B346="","",ROUND(W346-X346-IF(P346="",0,P346),2))</f>
        <v>0</v>
      </c>
      <c r="Z346" s="26">
        <f>IF(B346="","",IF(H346="Retail",IF(TaxOnRetail="Yes",ROUND(Y346*TaxRate,2),0),IF(H346="Service",IF(TaxOnServices="Yes",ROUND(Y346*TaxRate,2),0),0)))</f>
        <v>0</v>
      </c>
      <c r="AA346" s="26">
        <f>IF(B346="","",ROUND(Y346+Z346,2))</f>
        <v>0</v>
      </c>
      <c r="AB346" s="26">
        <f>IF(B346="","",ROUND(T346*IF(H346="Retail",IFERROR(INDEX(Inventory!$H$5:$H$304,MATCH(I346,Inventory!$A$5:$A$304,0))*1,0),IFERROR(INDEX(Services!$Q$5:$Q$204,MATCH(I346,Services!$A$5:$A$204,0))*1,0)),2))</f>
        <v>0</v>
      </c>
      <c r="AC346" s="26">
        <f>IF(B346="","",ROUND(Y346-AB346,2))</f>
        <v>0</v>
      </c>
      <c r="AD346" s="38">
        <f>IF(B346="","",IF(C346="","No",IF(COUNTIFS($C$5:C346,C346)=1,"Yes","No")))</f>
        <v>0</v>
      </c>
      <c r="AE346" s="26">
        <f>IF(B346="","",ROUND(SUMIFS(Payments!$G$5:$G$1204,Payments!$H$5:$H$1204,A346,Payments!$Q$5:$Q$1204,"Yes"),2))</f>
        <v>0</v>
      </c>
      <c r="AF346" s="26">
        <f>IF(B346="","",IF(AD346="No",0,ROUND(SUMIFS(Payments!$G$5:$G$1204,Payments!$I$5:$I$1204,C346,Payments!$H$5:$H$1204,"",Payments!$Q$5:$Q$1204,"Yes"),2)))</f>
        <v>0</v>
      </c>
      <c r="AG346" s="26">
        <f>IF(B346="","",ROUND(AE346+AF346,2))</f>
        <v>0</v>
      </c>
      <c r="AH346" s="26">
        <f>IF(B346="","",ROUND(AA346-AG346,2))</f>
        <v>0</v>
      </c>
      <c r="AI346" s="39">
        <f>IF(B346="","",IF(AA346&lt;=0,"No charge",IF(AH346&lt;=0.004,"Paid",IF(AG346&lt;=0.004,"Unpaid","Part paid"))))</f>
        <v>0</v>
      </c>
      <c r="AJ346" s="38">
        <f>IF(B346="","",IF(H346&lt;&gt;"Service","",IF(D346="","No",IF(COUNTIFS($D$5:$D$1204,D346,$B$5:$B$1204,B346,$H$5:$H$1204,"Retail")&gt;0,"Yes","No"))))</f>
        <v>0</v>
      </c>
      <c r="AK346" s="25">
        <f>IF(B346="","",COUNTIFS($Y$5:$Y$1204,"&gt;"&amp;Y346)+COUNTIFS($Y$5:Y346,Y346))</f>
        <v>0</v>
      </c>
      <c r="AL346" s="39">
        <f>IF(B346="","",IF(H346="","Add - what kind of sale is this?",IF(IF(V346&lt;=0,P346="",FALSE),"Check - no price found for this item",IF(F346="","Assign - nobody credited",IF(AH346&gt;0.004,"Unpaid - balance outstanding",IF(AC346&lt;0,"Loss - sold below cost",IF(X346&gt;W346*0.5,"Check - more than half off","OK")))))))</f>
        <v>0</v>
      </c>
    </row>
    <row r="347" spans="1:38">
      <c r="A347" s="28">
        <f>IF(B347="","",SalePrefix&amp;TEXT(ROW()-4,"0000"))</f>
        <v>0</v>
      </c>
      <c r="E347" s="15">
        <f>IF(D347="","",IFERROR(INDEX(Clients!$B$5:$B$504,MATCH(D347,Clients!$A$5:$A$504,0)),"Walk-in"))</f>
        <v>0</v>
      </c>
      <c r="G347" s="15">
        <f>IF(F347="","",IFERROR(INDEX(Staff!$B$5:$B$44,MATCH(F347,Staff!$A$5:$A$44,0)),"House"))</f>
        <v>0</v>
      </c>
      <c r="R347" s="15">
        <f>IF(B347="","",TEXT(B347,"yyyy-mm"))</f>
        <v>0</v>
      </c>
      <c r="S347" s="25">
        <f>IF(B347="","",WEEKNUM(B347,2))</f>
        <v>0</v>
      </c>
      <c r="T347" s="37">
        <f>IF(B347="","",IF(K347="",1,K347))</f>
        <v>0</v>
      </c>
      <c r="U347" s="15">
        <f>IF(B347="","",IF(J347&lt;&gt;"",J347,IF(H347="Retail",IFERROR(INDEX(Inventory!$B$5:$B$304,MATCH(I347,Inventory!$A$5:$A$304,0))&amp;"","Not in Inventory"),IFERROR(INDEX(Services!$B$5:$B$204,MATCH(I347,Services!$A$5:$A$204,0))&amp;"","Not in Services"))))</f>
        <v>0</v>
      </c>
      <c r="V347" s="26">
        <f>IF(B347="","",IF(L347&lt;&gt;"",L347,IF(H347="Retail",IFERROR(INDEX(Inventory!$I$5:$I$304,MATCH(I347,Inventory!$A$5:$A$304,0))*1,0),IFERROR(INDEX(Services!$G$5:$G$204,MATCH(I347,Services!$A$5:$A$204,0))*1,0))))</f>
        <v>0</v>
      </c>
      <c r="W347" s="26">
        <f>IF(B347="","",ROUND(T347*V347,2))</f>
        <v>0</v>
      </c>
      <c r="X347" s="26">
        <f>IF(B347="","",ROUND(IF(M347="",0,W347*M347)+IF(N347="",0,N347),2))</f>
        <v>0</v>
      </c>
      <c r="Y347" s="26">
        <f>IF(B347="","",ROUND(W347-X347-IF(P347="",0,P347),2))</f>
        <v>0</v>
      </c>
      <c r="Z347" s="26">
        <f>IF(B347="","",IF(H347="Retail",IF(TaxOnRetail="Yes",ROUND(Y347*TaxRate,2),0),IF(H347="Service",IF(TaxOnServices="Yes",ROUND(Y347*TaxRate,2),0),0)))</f>
        <v>0</v>
      </c>
      <c r="AA347" s="26">
        <f>IF(B347="","",ROUND(Y347+Z347,2))</f>
        <v>0</v>
      </c>
      <c r="AB347" s="26">
        <f>IF(B347="","",ROUND(T347*IF(H347="Retail",IFERROR(INDEX(Inventory!$H$5:$H$304,MATCH(I347,Inventory!$A$5:$A$304,0))*1,0),IFERROR(INDEX(Services!$Q$5:$Q$204,MATCH(I347,Services!$A$5:$A$204,0))*1,0)),2))</f>
        <v>0</v>
      </c>
      <c r="AC347" s="26">
        <f>IF(B347="","",ROUND(Y347-AB347,2))</f>
        <v>0</v>
      </c>
      <c r="AD347" s="38">
        <f>IF(B347="","",IF(C347="","No",IF(COUNTIFS($C$5:C347,C347)=1,"Yes","No")))</f>
        <v>0</v>
      </c>
      <c r="AE347" s="26">
        <f>IF(B347="","",ROUND(SUMIFS(Payments!$G$5:$G$1204,Payments!$H$5:$H$1204,A347,Payments!$Q$5:$Q$1204,"Yes"),2))</f>
        <v>0</v>
      </c>
      <c r="AF347" s="26">
        <f>IF(B347="","",IF(AD347="No",0,ROUND(SUMIFS(Payments!$G$5:$G$1204,Payments!$I$5:$I$1204,C347,Payments!$H$5:$H$1204,"",Payments!$Q$5:$Q$1204,"Yes"),2)))</f>
        <v>0</v>
      </c>
      <c r="AG347" s="26">
        <f>IF(B347="","",ROUND(AE347+AF347,2))</f>
        <v>0</v>
      </c>
      <c r="AH347" s="26">
        <f>IF(B347="","",ROUND(AA347-AG347,2))</f>
        <v>0</v>
      </c>
      <c r="AI347" s="39">
        <f>IF(B347="","",IF(AA347&lt;=0,"No charge",IF(AH347&lt;=0.004,"Paid",IF(AG347&lt;=0.004,"Unpaid","Part paid"))))</f>
        <v>0</v>
      </c>
      <c r="AJ347" s="38">
        <f>IF(B347="","",IF(H347&lt;&gt;"Service","",IF(D347="","No",IF(COUNTIFS($D$5:$D$1204,D347,$B$5:$B$1204,B347,$H$5:$H$1204,"Retail")&gt;0,"Yes","No"))))</f>
        <v>0</v>
      </c>
      <c r="AK347" s="25">
        <f>IF(B347="","",COUNTIFS($Y$5:$Y$1204,"&gt;"&amp;Y347)+COUNTIFS($Y$5:Y347,Y347))</f>
        <v>0</v>
      </c>
      <c r="AL347" s="39">
        <f>IF(B347="","",IF(H347="","Add - what kind of sale is this?",IF(IF(V347&lt;=0,P347="",FALSE),"Check - no price found for this item",IF(F347="","Assign - nobody credited",IF(AH347&gt;0.004,"Unpaid - balance outstanding",IF(AC347&lt;0,"Loss - sold below cost",IF(X347&gt;W347*0.5,"Check - more than half off","OK")))))))</f>
        <v>0</v>
      </c>
    </row>
    <row r="348" spans="1:38">
      <c r="A348" s="28">
        <f>IF(B348="","",SalePrefix&amp;TEXT(ROW()-4,"0000"))</f>
        <v>0</v>
      </c>
      <c r="E348" s="15">
        <f>IF(D348="","",IFERROR(INDEX(Clients!$B$5:$B$504,MATCH(D348,Clients!$A$5:$A$504,0)),"Walk-in"))</f>
        <v>0</v>
      </c>
      <c r="G348" s="15">
        <f>IF(F348="","",IFERROR(INDEX(Staff!$B$5:$B$44,MATCH(F348,Staff!$A$5:$A$44,0)),"House"))</f>
        <v>0</v>
      </c>
      <c r="R348" s="15">
        <f>IF(B348="","",TEXT(B348,"yyyy-mm"))</f>
        <v>0</v>
      </c>
      <c r="S348" s="25">
        <f>IF(B348="","",WEEKNUM(B348,2))</f>
        <v>0</v>
      </c>
      <c r="T348" s="37">
        <f>IF(B348="","",IF(K348="",1,K348))</f>
        <v>0</v>
      </c>
      <c r="U348" s="15">
        <f>IF(B348="","",IF(J348&lt;&gt;"",J348,IF(H348="Retail",IFERROR(INDEX(Inventory!$B$5:$B$304,MATCH(I348,Inventory!$A$5:$A$304,0))&amp;"","Not in Inventory"),IFERROR(INDEX(Services!$B$5:$B$204,MATCH(I348,Services!$A$5:$A$204,0))&amp;"","Not in Services"))))</f>
        <v>0</v>
      </c>
      <c r="V348" s="26">
        <f>IF(B348="","",IF(L348&lt;&gt;"",L348,IF(H348="Retail",IFERROR(INDEX(Inventory!$I$5:$I$304,MATCH(I348,Inventory!$A$5:$A$304,0))*1,0),IFERROR(INDEX(Services!$G$5:$G$204,MATCH(I348,Services!$A$5:$A$204,0))*1,0))))</f>
        <v>0</v>
      </c>
      <c r="W348" s="26">
        <f>IF(B348="","",ROUND(T348*V348,2))</f>
        <v>0</v>
      </c>
      <c r="X348" s="26">
        <f>IF(B348="","",ROUND(IF(M348="",0,W348*M348)+IF(N348="",0,N348),2))</f>
        <v>0</v>
      </c>
      <c r="Y348" s="26">
        <f>IF(B348="","",ROUND(W348-X348-IF(P348="",0,P348),2))</f>
        <v>0</v>
      </c>
      <c r="Z348" s="26">
        <f>IF(B348="","",IF(H348="Retail",IF(TaxOnRetail="Yes",ROUND(Y348*TaxRate,2),0),IF(H348="Service",IF(TaxOnServices="Yes",ROUND(Y348*TaxRate,2),0),0)))</f>
        <v>0</v>
      </c>
      <c r="AA348" s="26">
        <f>IF(B348="","",ROUND(Y348+Z348,2))</f>
        <v>0</v>
      </c>
      <c r="AB348" s="26">
        <f>IF(B348="","",ROUND(T348*IF(H348="Retail",IFERROR(INDEX(Inventory!$H$5:$H$304,MATCH(I348,Inventory!$A$5:$A$304,0))*1,0),IFERROR(INDEX(Services!$Q$5:$Q$204,MATCH(I348,Services!$A$5:$A$204,0))*1,0)),2))</f>
        <v>0</v>
      </c>
      <c r="AC348" s="26">
        <f>IF(B348="","",ROUND(Y348-AB348,2))</f>
        <v>0</v>
      </c>
      <c r="AD348" s="38">
        <f>IF(B348="","",IF(C348="","No",IF(COUNTIFS($C$5:C348,C348)=1,"Yes","No")))</f>
        <v>0</v>
      </c>
      <c r="AE348" s="26">
        <f>IF(B348="","",ROUND(SUMIFS(Payments!$G$5:$G$1204,Payments!$H$5:$H$1204,A348,Payments!$Q$5:$Q$1204,"Yes"),2))</f>
        <v>0</v>
      </c>
      <c r="AF348" s="26">
        <f>IF(B348="","",IF(AD348="No",0,ROUND(SUMIFS(Payments!$G$5:$G$1204,Payments!$I$5:$I$1204,C348,Payments!$H$5:$H$1204,"",Payments!$Q$5:$Q$1204,"Yes"),2)))</f>
        <v>0</v>
      </c>
      <c r="AG348" s="26">
        <f>IF(B348="","",ROUND(AE348+AF348,2))</f>
        <v>0</v>
      </c>
      <c r="AH348" s="26">
        <f>IF(B348="","",ROUND(AA348-AG348,2))</f>
        <v>0</v>
      </c>
      <c r="AI348" s="39">
        <f>IF(B348="","",IF(AA348&lt;=0,"No charge",IF(AH348&lt;=0.004,"Paid",IF(AG348&lt;=0.004,"Unpaid","Part paid"))))</f>
        <v>0</v>
      </c>
      <c r="AJ348" s="38">
        <f>IF(B348="","",IF(H348&lt;&gt;"Service","",IF(D348="","No",IF(COUNTIFS($D$5:$D$1204,D348,$B$5:$B$1204,B348,$H$5:$H$1204,"Retail")&gt;0,"Yes","No"))))</f>
        <v>0</v>
      </c>
      <c r="AK348" s="25">
        <f>IF(B348="","",COUNTIFS($Y$5:$Y$1204,"&gt;"&amp;Y348)+COUNTIFS($Y$5:Y348,Y348))</f>
        <v>0</v>
      </c>
      <c r="AL348" s="39">
        <f>IF(B348="","",IF(H348="","Add - what kind of sale is this?",IF(IF(V348&lt;=0,P348="",FALSE),"Check - no price found for this item",IF(F348="","Assign - nobody credited",IF(AH348&gt;0.004,"Unpaid - balance outstanding",IF(AC348&lt;0,"Loss - sold below cost",IF(X348&gt;W348*0.5,"Check - more than half off","OK")))))))</f>
        <v>0</v>
      </c>
    </row>
    <row r="349" spans="1:38">
      <c r="A349" s="28">
        <f>IF(B349="","",SalePrefix&amp;TEXT(ROW()-4,"0000"))</f>
        <v>0</v>
      </c>
      <c r="E349" s="15">
        <f>IF(D349="","",IFERROR(INDEX(Clients!$B$5:$B$504,MATCH(D349,Clients!$A$5:$A$504,0)),"Walk-in"))</f>
        <v>0</v>
      </c>
      <c r="G349" s="15">
        <f>IF(F349="","",IFERROR(INDEX(Staff!$B$5:$B$44,MATCH(F349,Staff!$A$5:$A$44,0)),"House"))</f>
        <v>0</v>
      </c>
      <c r="R349" s="15">
        <f>IF(B349="","",TEXT(B349,"yyyy-mm"))</f>
        <v>0</v>
      </c>
      <c r="S349" s="25">
        <f>IF(B349="","",WEEKNUM(B349,2))</f>
        <v>0</v>
      </c>
      <c r="T349" s="37">
        <f>IF(B349="","",IF(K349="",1,K349))</f>
        <v>0</v>
      </c>
      <c r="U349" s="15">
        <f>IF(B349="","",IF(J349&lt;&gt;"",J349,IF(H349="Retail",IFERROR(INDEX(Inventory!$B$5:$B$304,MATCH(I349,Inventory!$A$5:$A$304,0))&amp;"","Not in Inventory"),IFERROR(INDEX(Services!$B$5:$B$204,MATCH(I349,Services!$A$5:$A$204,0))&amp;"","Not in Services"))))</f>
        <v>0</v>
      </c>
      <c r="V349" s="26">
        <f>IF(B349="","",IF(L349&lt;&gt;"",L349,IF(H349="Retail",IFERROR(INDEX(Inventory!$I$5:$I$304,MATCH(I349,Inventory!$A$5:$A$304,0))*1,0),IFERROR(INDEX(Services!$G$5:$G$204,MATCH(I349,Services!$A$5:$A$204,0))*1,0))))</f>
        <v>0</v>
      </c>
      <c r="W349" s="26">
        <f>IF(B349="","",ROUND(T349*V349,2))</f>
        <v>0</v>
      </c>
      <c r="X349" s="26">
        <f>IF(B349="","",ROUND(IF(M349="",0,W349*M349)+IF(N349="",0,N349),2))</f>
        <v>0</v>
      </c>
      <c r="Y349" s="26">
        <f>IF(B349="","",ROUND(W349-X349-IF(P349="",0,P349),2))</f>
        <v>0</v>
      </c>
      <c r="Z349" s="26">
        <f>IF(B349="","",IF(H349="Retail",IF(TaxOnRetail="Yes",ROUND(Y349*TaxRate,2),0),IF(H349="Service",IF(TaxOnServices="Yes",ROUND(Y349*TaxRate,2),0),0)))</f>
        <v>0</v>
      </c>
      <c r="AA349" s="26">
        <f>IF(B349="","",ROUND(Y349+Z349,2))</f>
        <v>0</v>
      </c>
      <c r="AB349" s="26">
        <f>IF(B349="","",ROUND(T349*IF(H349="Retail",IFERROR(INDEX(Inventory!$H$5:$H$304,MATCH(I349,Inventory!$A$5:$A$304,0))*1,0),IFERROR(INDEX(Services!$Q$5:$Q$204,MATCH(I349,Services!$A$5:$A$204,0))*1,0)),2))</f>
        <v>0</v>
      </c>
      <c r="AC349" s="26">
        <f>IF(B349="","",ROUND(Y349-AB349,2))</f>
        <v>0</v>
      </c>
      <c r="AD349" s="38">
        <f>IF(B349="","",IF(C349="","No",IF(COUNTIFS($C$5:C349,C349)=1,"Yes","No")))</f>
        <v>0</v>
      </c>
      <c r="AE349" s="26">
        <f>IF(B349="","",ROUND(SUMIFS(Payments!$G$5:$G$1204,Payments!$H$5:$H$1204,A349,Payments!$Q$5:$Q$1204,"Yes"),2))</f>
        <v>0</v>
      </c>
      <c r="AF349" s="26">
        <f>IF(B349="","",IF(AD349="No",0,ROUND(SUMIFS(Payments!$G$5:$G$1204,Payments!$I$5:$I$1204,C349,Payments!$H$5:$H$1204,"",Payments!$Q$5:$Q$1204,"Yes"),2)))</f>
        <v>0</v>
      </c>
      <c r="AG349" s="26">
        <f>IF(B349="","",ROUND(AE349+AF349,2))</f>
        <v>0</v>
      </c>
      <c r="AH349" s="26">
        <f>IF(B349="","",ROUND(AA349-AG349,2))</f>
        <v>0</v>
      </c>
      <c r="AI349" s="39">
        <f>IF(B349="","",IF(AA349&lt;=0,"No charge",IF(AH349&lt;=0.004,"Paid",IF(AG349&lt;=0.004,"Unpaid","Part paid"))))</f>
        <v>0</v>
      </c>
      <c r="AJ349" s="38">
        <f>IF(B349="","",IF(H349&lt;&gt;"Service","",IF(D349="","No",IF(COUNTIFS($D$5:$D$1204,D349,$B$5:$B$1204,B349,$H$5:$H$1204,"Retail")&gt;0,"Yes","No"))))</f>
        <v>0</v>
      </c>
      <c r="AK349" s="25">
        <f>IF(B349="","",COUNTIFS($Y$5:$Y$1204,"&gt;"&amp;Y349)+COUNTIFS($Y$5:Y349,Y349))</f>
        <v>0</v>
      </c>
      <c r="AL349" s="39">
        <f>IF(B349="","",IF(H349="","Add - what kind of sale is this?",IF(IF(V349&lt;=0,P349="",FALSE),"Check - no price found for this item",IF(F349="","Assign - nobody credited",IF(AH349&gt;0.004,"Unpaid - balance outstanding",IF(AC349&lt;0,"Loss - sold below cost",IF(X349&gt;W349*0.5,"Check - more than half off","OK")))))))</f>
        <v>0</v>
      </c>
    </row>
    <row r="350" spans="1:38">
      <c r="A350" s="28">
        <f>IF(B350="","",SalePrefix&amp;TEXT(ROW()-4,"0000"))</f>
        <v>0</v>
      </c>
      <c r="E350" s="15">
        <f>IF(D350="","",IFERROR(INDEX(Clients!$B$5:$B$504,MATCH(D350,Clients!$A$5:$A$504,0)),"Walk-in"))</f>
        <v>0</v>
      </c>
      <c r="G350" s="15">
        <f>IF(F350="","",IFERROR(INDEX(Staff!$B$5:$B$44,MATCH(F350,Staff!$A$5:$A$44,0)),"House"))</f>
        <v>0</v>
      </c>
      <c r="R350" s="15">
        <f>IF(B350="","",TEXT(B350,"yyyy-mm"))</f>
        <v>0</v>
      </c>
      <c r="S350" s="25">
        <f>IF(B350="","",WEEKNUM(B350,2))</f>
        <v>0</v>
      </c>
      <c r="T350" s="37">
        <f>IF(B350="","",IF(K350="",1,K350))</f>
        <v>0</v>
      </c>
      <c r="U350" s="15">
        <f>IF(B350="","",IF(J350&lt;&gt;"",J350,IF(H350="Retail",IFERROR(INDEX(Inventory!$B$5:$B$304,MATCH(I350,Inventory!$A$5:$A$304,0))&amp;"","Not in Inventory"),IFERROR(INDEX(Services!$B$5:$B$204,MATCH(I350,Services!$A$5:$A$204,0))&amp;"","Not in Services"))))</f>
        <v>0</v>
      </c>
      <c r="V350" s="26">
        <f>IF(B350="","",IF(L350&lt;&gt;"",L350,IF(H350="Retail",IFERROR(INDEX(Inventory!$I$5:$I$304,MATCH(I350,Inventory!$A$5:$A$304,0))*1,0),IFERROR(INDEX(Services!$G$5:$G$204,MATCH(I350,Services!$A$5:$A$204,0))*1,0))))</f>
        <v>0</v>
      </c>
      <c r="W350" s="26">
        <f>IF(B350="","",ROUND(T350*V350,2))</f>
        <v>0</v>
      </c>
      <c r="X350" s="26">
        <f>IF(B350="","",ROUND(IF(M350="",0,W350*M350)+IF(N350="",0,N350),2))</f>
        <v>0</v>
      </c>
      <c r="Y350" s="26">
        <f>IF(B350="","",ROUND(W350-X350-IF(P350="",0,P350),2))</f>
        <v>0</v>
      </c>
      <c r="Z350" s="26">
        <f>IF(B350="","",IF(H350="Retail",IF(TaxOnRetail="Yes",ROUND(Y350*TaxRate,2),0),IF(H350="Service",IF(TaxOnServices="Yes",ROUND(Y350*TaxRate,2),0),0)))</f>
        <v>0</v>
      </c>
      <c r="AA350" s="26">
        <f>IF(B350="","",ROUND(Y350+Z350,2))</f>
        <v>0</v>
      </c>
      <c r="AB350" s="26">
        <f>IF(B350="","",ROUND(T350*IF(H350="Retail",IFERROR(INDEX(Inventory!$H$5:$H$304,MATCH(I350,Inventory!$A$5:$A$304,0))*1,0),IFERROR(INDEX(Services!$Q$5:$Q$204,MATCH(I350,Services!$A$5:$A$204,0))*1,0)),2))</f>
        <v>0</v>
      </c>
      <c r="AC350" s="26">
        <f>IF(B350="","",ROUND(Y350-AB350,2))</f>
        <v>0</v>
      </c>
      <c r="AD350" s="38">
        <f>IF(B350="","",IF(C350="","No",IF(COUNTIFS($C$5:C350,C350)=1,"Yes","No")))</f>
        <v>0</v>
      </c>
      <c r="AE350" s="26">
        <f>IF(B350="","",ROUND(SUMIFS(Payments!$G$5:$G$1204,Payments!$H$5:$H$1204,A350,Payments!$Q$5:$Q$1204,"Yes"),2))</f>
        <v>0</v>
      </c>
      <c r="AF350" s="26">
        <f>IF(B350="","",IF(AD350="No",0,ROUND(SUMIFS(Payments!$G$5:$G$1204,Payments!$I$5:$I$1204,C350,Payments!$H$5:$H$1204,"",Payments!$Q$5:$Q$1204,"Yes"),2)))</f>
        <v>0</v>
      </c>
      <c r="AG350" s="26">
        <f>IF(B350="","",ROUND(AE350+AF350,2))</f>
        <v>0</v>
      </c>
      <c r="AH350" s="26">
        <f>IF(B350="","",ROUND(AA350-AG350,2))</f>
        <v>0</v>
      </c>
      <c r="AI350" s="39">
        <f>IF(B350="","",IF(AA350&lt;=0,"No charge",IF(AH350&lt;=0.004,"Paid",IF(AG350&lt;=0.004,"Unpaid","Part paid"))))</f>
        <v>0</v>
      </c>
      <c r="AJ350" s="38">
        <f>IF(B350="","",IF(H350&lt;&gt;"Service","",IF(D350="","No",IF(COUNTIFS($D$5:$D$1204,D350,$B$5:$B$1204,B350,$H$5:$H$1204,"Retail")&gt;0,"Yes","No"))))</f>
        <v>0</v>
      </c>
      <c r="AK350" s="25">
        <f>IF(B350="","",COUNTIFS($Y$5:$Y$1204,"&gt;"&amp;Y350)+COUNTIFS($Y$5:Y350,Y350))</f>
        <v>0</v>
      </c>
      <c r="AL350" s="39">
        <f>IF(B350="","",IF(H350="","Add - what kind of sale is this?",IF(IF(V350&lt;=0,P350="",FALSE),"Check - no price found for this item",IF(F350="","Assign - nobody credited",IF(AH350&gt;0.004,"Unpaid - balance outstanding",IF(AC350&lt;0,"Loss - sold below cost",IF(X350&gt;W350*0.5,"Check - more than half off","OK")))))))</f>
        <v>0</v>
      </c>
    </row>
    <row r="351" spans="1:38">
      <c r="A351" s="28">
        <f>IF(B351="","",SalePrefix&amp;TEXT(ROW()-4,"0000"))</f>
        <v>0</v>
      </c>
      <c r="E351" s="15">
        <f>IF(D351="","",IFERROR(INDEX(Clients!$B$5:$B$504,MATCH(D351,Clients!$A$5:$A$504,0)),"Walk-in"))</f>
        <v>0</v>
      </c>
      <c r="G351" s="15">
        <f>IF(F351="","",IFERROR(INDEX(Staff!$B$5:$B$44,MATCH(F351,Staff!$A$5:$A$44,0)),"House"))</f>
        <v>0</v>
      </c>
      <c r="R351" s="15">
        <f>IF(B351="","",TEXT(B351,"yyyy-mm"))</f>
        <v>0</v>
      </c>
      <c r="S351" s="25">
        <f>IF(B351="","",WEEKNUM(B351,2))</f>
        <v>0</v>
      </c>
      <c r="T351" s="37">
        <f>IF(B351="","",IF(K351="",1,K351))</f>
        <v>0</v>
      </c>
      <c r="U351" s="15">
        <f>IF(B351="","",IF(J351&lt;&gt;"",J351,IF(H351="Retail",IFERROR(INDEX(Inventory!$B$5:$B$304,MATCH(I351,Inventory!$A$5:$A$304,0))&amp;"","Not in Inventory"),IFERROR(INDEX(Services!$B$5:$B$204,MATCH(I351,Services!$A$5:$A$204,0))&amp;"","Not in Services"))))</f>
        <v>0</v>
      </c>
      <c r="V351" s="26">
        <f>IF(B351="","",IF(L351&lt;&gt;"",L351,IF(H351="Retail",IFERROR(INDEX(Inventory!$I$5:$I$304,MATCH(I351,Inventory!$A$5:$A$304,0))*1,0),IFERROR(INDEX(Services!$G$5:$G$204,MATCH(I351,Services!$A$5:$A$204,0))*1,0))))</f>
        <v>0</v>
      </c>
      <c r="W351" s="26">
        <f>IF(B351="","",ROUND(T351*V351,2))</f>
        <v>0</v>
      </c>
      <c r="X351" s="26">
        <f>IF(B351="","",ROUND(IF(M351="",0,W351*M351)+IF(N351="",0,N351),2))</f>
        <v>0</v>
      </c>
      <c r="Y351" s="26">
        <f>IF(B351="","",ROUND(W351-X351-IF(P351="",0,P351),2))</f>
        <v>0</v>
      </c>
      <c r="Z351" s="26">
        <f>IF(B351="","",IF(H351="Retail",IF(TaxOnRetail="Yes",ROUND(Y351*TaxRate,2),0),IF(H351="Service",IF(TaxOnServices="Yes",ROUND(Y351*TaxRate,2),0),0)))</f>
        <v>0</v>
      </c>
      <c r="AA351" s="26">
        <f>IF(B351="","",ROUND(Y351+Z351,2))</f>
        <v>0</v>
      </c>
      <c r="AB351" s="26">
        <f>IF(B351="","",ROUND(T351*IF(H351="Retail",IFERROR(INDEX(Inventory!$H$5:$H$304,MATCH(I351,Inventory!$A$5:$A$304,0))*1,0),IFERROR(INDEX(Services!$Q$5:$Q$204,MATCH(I351,Services!$A$5:$A$204,0))*1,0)),2))</f>
        <v>0</v>
      </c>
      <c r="AC351" s="26">
        <f>IF(B351="","",ROUND(Y351-AB351,2))</f>
        <v>0</v>
      </c>
      <c r="AD351" s="38">
        <f>IF(B351="","",IF(C351="","No",IF(COUNTIFS($C$5:C351,C351)=1,"Yes","No")))</f>
        <v>0</v>
      </c>
      <c r="AE351" s="26">
        <f>IF(B351="","",ROUND(SUMIFS(Payments!$G$5:$G$1204,Payments!$H$5:$H$1204,A351,Payments!$Q$5:$Q$1204,"Yes"),2))</f>
        <v>0</v>
      </c>
      <c r="AF351" s="26">
        <f>IF(B351="","",IF(AD351="No",0,ROUND(SUMIFS(Payments!$G$5:$G$1204,Payments!$I$5:$I$1204,C351,Payments!$H$5:$H$1204,"",Payments!$Q$5:$Q$1204,"Yes"),2)))</f>
        <v>0</v>
      </c>
      <c r="AG351" s="26">
        <f>IF(B351="","",ROUND(AE351+AF351,2))</f>
        <v>0</v>
      </c>
      <c r="AH351" s="26">
        <f>IF(B351="","",ROUND(AA351-AG351,2))</f>
        <v>0</v>
      </c>
      <c r="AI351" s="39">
        <f>IF(B351="","",IF(AA351&lt;=0,"No charge",IF(AH351&lt;=0.004,"Paid",IF(AG351&lt;=0.004,"Unpaid","Part paid"))))</f>
        <v>0</v>
      </c>
      <c r="AJ351" s="38">
        <f>IF(B351="","",IF(H351&lt;&gt;"Service","",IF(D351="","No",IF(COUNTIFS($D$5:$D$1204,D351,$B$5:$B$1204,B351,$H$5:$H$1204,"Retail")&gt;0,"Yes","No"))))</f>
        <v>0</v>
      </c>
      <c r="AK351" s="25">
        <f>IF(B351="","",COUNTIFS($Y$5:$Y$1204,"&gt;"&amp;Y351)+COUNTIFS($Y$5:Y351,Y351))</f>
        <v>0</v>
      </c>
      <c r="AL351" s="39">
        <f>IF(B351="","",IF(H351="","Add - what kind of sale is this?",IF(IF(V351&lt;=0,P351="",FALSE),"Check - no price found for this item",IF(F351="","Assign - nobody credited",IF(AH351&gt;0.004,"Unpaid - balance outstanding",IF(AC351&lt;0,"Loss - sold below cost",IF(X351&gt;W351*0.5,"Check - more than half off","OK")))))))</f>
        <v>0</v>
      </c>
    </row>
    <row r="352" spans="1:38">
      <c r="A352" s="28">
        <f>IF(B352="","",SalePrefix&amp;TEXT(ROW()-4,"0000"))</f>
        <v>0</v>
      </c>
      <c r="E352" s="15">
        <f>IF(D352="","",IFERROR(INDEX(Clients!$B$5:$B$504,MATCH(D352,Clients!$A$5:$A$504,0)),"Walk-in"))</f>
        <v>0</v>
      </c>
      <c r="G352" s="15">
        <f>IF(F352="","",IFERROR(INDEX(Staff!$B$5:$B$44,MATCH(F352,Staff!$A$5:$A$44,0)),"House"))</f>
        <v>0</v>
      </c>
      <c r="R352" s="15">
        <f>IF(B352="","",TEXT(B352,"yyyy-mm"))</f>
        <v>0</v>
      </c>
      <c r="S352" s="25">
        <f>IF(B352="","",WEEKNUM(B352,2))</f>
        <v>0</v>
      </c>
      <c r="T352" s="37">
        <f>IF(B352="","",IF(K352="",1,K352))</f>
        <v>0</v>
      </c>
      <c r="U352" s="15">
        <f>IF(B352="","",IF(J352&lt;&gt;"",J352,IF(H352="Retail",IFERROR(INDEX(Inventory!$B$5:$B$304,MATCH(I352,Inventory!$A$5:$A$304,0))&amp;"","Not in Inventory"),IFERROR(INDEX(Services!$B$5:$B$204,MATCH(I352,Services!$A$5:$A$204,0))&amp;"","Not in Services"))))</f>
        <v>0</v>
      </c>
      <c r="V352" s="26">
        <f>IF(B352="","",IF(L352&lt;&gt;"",L352,IF(H352="Retail",IFERROR(INDEX(Inventory!$I$5:$I$304,MATCH(I352,Inventory!$A$5:$A$304,0))*1,0),IFERROR(INDEX(Services!$G$5:$G$204,MATCH(I352,Services!$A$5:$A$204,0))*1,0))))</f>
        <v>0</v>
      </c>
      <c r="W352" s="26">
        <f>IF(B352="","",ROUND(T352*V352,2))</f>
        <v>0</v>
      </c>
      <c r="X352" s="26">
        <f>IF(B352="","",ROUND(IF(M352="",0,W352*M352)+IF(N352="",0,N352),2))</f>
        <v>0</v>
      </c>
      <c r="Y352" s="26">
        <f>IF(B352="","",ROUND(W352-X352-IF(P352="",0,P352),2))</f>
        <v>0</v>
      </c>
      <c r="Z352" s="26">
        <f>IF(B352="","",IF(H352="Retail",IF(TaxOnRetail="Yes",ROUND(Y352*TaxRate,2),0),IF(H352="Service",IF(TaxOnServices="Yes",ROUND(Y352*TaxRate,2),0),0)))</f>
        <v>0</v>
      </c>
      <c r="AA352" s="26">
        <f>IF(B352="","",ROUND(Y352+Z352,2))</f>
        <v>0</v>
      </c>
      <c r="AB352" s="26">
        <f>IF(B352="","",ROUND(T352*IF(H352="Retail",IFERROR(INDEX(Inventory!$H$5:$H$304,MATCH(I352,Inventory!$A$5:$A$304,0))*1,0),IFERROR(INDEX(Services!$Q$5:$Q$204,MATCH(I352,Services!$A$5:$A$204,0))*1,0)),2))</f>
        <v>0</v>
      </c>
      <c r="AC352" s="26">
        <f>IF(B352="","",ROUND(Y352-AB352,2))</f>
        <v>0</v>
      </c>
      <c r="AD352" s="38">
        <f>IF(B352="","",IF(C352="","No",IF(COUNTIFS($C$5:C352,C352)=1,"Yes","No")))</f>
        <v>0</v>
      </c>
      <c r="AE352" s="26">
        <f>IF(B352="","",ROUND(SUMIFS(Payments!$G$5:$G$1204,Payments!$H$5:$H$1204,A352,Payments!$Q$5:$Q$1204,"Yes"),2))</f>
        <v>0</v>
      </c>
      <c r="AF352" s="26">
        <f>IF(B352="","",IF(AD352="No",0,ROUND(SUMIFS(Payments!$G$5:$G$1204,Payments!$I$5:$I$1204,C352,Payments!$H$5:$H$1204,"",Payments!$Q$5:$Q$1204,"Yes"),2)))</f>
        <v>0</v>
      </c>
      <c r="AG352" s="26">
        <f>IF(B352="","",ROUND(AE352+AF352,2))</f>
        <v>0</v>
      </c>
      <c r="AH352" s="26">
        <f>IF(B352="","",ROUND(AA352-AG352,2))</f>
        <v>0</v>
      </c>
      <c r="AI352" s="39">
        <f>IF(B352="","",IF(AA352&lt;=0,"No charge",IF(AH352&lt;=0.004,"Paid",IF(AG352&lt;=0.004,"Unpaid","Part paid"))))</f>
        <v>0</v>
      </c>
      <c r="AJ352" s="38">
        <f>IF(B352="","",IF(H352&lt;&gt;"Service","",IF(D352="","No",IF(COUNTIFS($D$5:$D$1204,D352,$B$5:$B$1204,B352,$H$5:$H$1204,"Retail")&gt;0,"Yes","No"))))</f>
        <v>0</v>
      </c>
      <c r="AK352" s="25">
        <f>IF(B352="","",COUNTIFS($Y$5:$Y$1204,"&gt;"&amp;Y352)+COUNTIFS($Y$5:Y352,Y352))</f>
        <v>0</v>
      </c>
      <c r="AL352" s="39">
        <f>IF(B352="","",IF(H352="","Add - what kind of sale is this?",IF(IF(V352&lt;=0,P352="",FALSE),"Check - no price found for this item",IF(F352="","Assign - nobody credited",IF(AH352&gt;0.004,"Unpaid - balance outstanding",IF(AC352&lt;0,"Loss - sold below cost",IF(X352&gt;W352*0.5,"Check - more than half off","OK")))))))</f>
        <v>0</v>
      </c>
    </row>
    <row r="353" spans="1:38">
      <c r="A353" s="28">
        <f>IF(B353="","",SalePrefix&amp;TEXT(ROW()-4,"0000"))</f>
        <v>0</v>
      </c>
      <c r="E353" s="15">
        <f>IF(D353="","",IFERROR(INDEX(Clients!$B$5:$B$504,MATCH(D353,Clients!$A$5:$A$504,0)),"Walk-in"))</f>
        <v>0</v>
      </c>
      <c r="G353" s="15">
        <f>IF(F353="","",IFERROR(INDEX(Staff!$B$5:$B$44,MATCH(F353,Staff!$A$5:$A$44,0)),"House"))</f>
        <v>0</v>
      </c>
      <c r="R353" s="15">
        <f>IF(B353="","",TEXT(B353,"yyyy-mm"))</f>
        <v>0</v>
      </c>
      <c r="S353" s="25">
        <f>IF(B353="","",WEEKNUM(B353,2))</f>
        <v>0</v>
      </c>
      <c r="T353" s="37">
        <f>IF(B353="","",IF(K353="",1,K353))</f>
        <v>0</v>
      </c>
      <c r="U353" s="15">
        <f>IF(B353="","",IF(J353&lt;&gt;"",J353,IF(H353="Retail",IFERROR(INDEX(Inventory!$B$5:$B$304,MATCH(I353,Inventory!$A$5:$A$304,0))&amp;"","Not in Inventory"),IFERROR(INDEX(Services!$B$5:$B$204,MATCH(I353,Services!$A$5:$A$204,0))&amp;"","Not in Services"))))</f>
        <v>0</v>
      </c>
      <c r="V353" s="26">
        <f>IF(B353="","",IF(L353&lt;&gt;"",L353,IF(H353="Retail",IFERROR(INDEX(Inventory!$I$5:$I$304,MATCH(I353,Inventory!$A$5:$A$304,0))*1,0),IFERROR(INDEX(Services!$G$5:$G$204,MATCH(I353,Services!$A$5:$A$204,0))*1,0))))</f>
        <v>0</v>
      </c>
      <c r="W353" s="26">
        <f>IF(B353="","",ROUND(T353*V353,2))</f>
        <v>0</v>
      </c>
      <c r="X353" s="26">
        <f>IF(B353="","",ROUND(IF(M353="",0,W353*M353)+IF(N353="",0,N353),2))</f>
        <v>0</v>
      </c>
      <c r="Y353" s="26">
        <f>IF(B353="","",ROUND(W353-X353-IF(P353="",0,P353),2))</f>
        <v>0</v>
      </c>
      <c r="Z353" s="26">
        <f>IF(B353="","",IF(H353="Retail",IF(TaxOnRetail="Yes",ROUND(Y353*TaxRate,2),0),IF(H353="Service",IF(TaxOnServices="Yes",ROUND(Y353*TaxRate,2),0),0)))</f>
        <v>0</v>
      </c>
      <c r="AA353" s="26">
        <f>IF(B353="","",ROUND(Y353+Z353,2))</f>
        <v>0</v>
      </c>
      <c r="AB353" s="26">
        <f>IF(B353="","",ROUND(T353*IF(H353="Retail",IFERROR(INDEX(Inventory!$H$5:$H$304,MATCH(I353,Inventory!$A$5:$A$304,0))*1,0),IFERROR(INDEX(Services!$Q$5:$Q$204,MATCH(I353,Services!$A$5:$A$204,0))*1,0)),2))</f>
        <v>0</v>
      </c>
      <c r="AC353" s="26">
        <f>IF(B353="","",ROUND(Y353-AB353,2))</f>
        <v>0</v>
      </c>
      <c r="AD353" s="38">
        <f>IF(B353="","",IF(C353="","No",IF(COUNTIFS($C$5:C353,C353)=1,"Yes","No")))</f>
        <v>0</v>
      </c>
      <c r="AE353" s="26">
        <f>IF(B353="","",ROUND(SUMIFS(Payments!$G$5:$G$1204,Payments!$H$5:$H$1204,A353,Payments!$Q$5:$Q$1204,"Yes"),2))</f>
        <v>0</v>
      </c>
      <c r="AF353" s="26">
        <f>IF(B353="","",IF(AD353="No",0,ROUND(SUMIFS(Payments!$G$5:$G$1204,Payments!$I$5:$I$1204,C353,Payments!$H$5:$H$1204,"",Payments!$Q$5:$Q$1204,"Yes"),2)))</f>
        <v>0</v>
      </c>
      <c r="AG353" s="26">
        <f>IF(B353="","",ROUND(AE353+AF353,2))</f>
        <v>0</v>
      </c>
      <c r="AH353" s="26">
        <f>IF(B353="","",ROUND(AA353-AG353,2))</f>
        <v>0</v>
      </c>
      <c r="AI353" s="39">
        <f>IF(B353="","",IF(AA353&lt;=0,"No charge",IF(AH353&lt;=0.004,"Paid",IF(AG353&lt;=0.004,"Unpaid","Part paid"))))</f>
        <v>0</v>
      </c>
      <c r="AJ353" s="38">
        <f>IF(B353="","",IF(H353&lt;&gt;"Service","",IF(D353="","No",IF(COUNTIFS($D$5:$D$1204,D353,$B$5:$B$1204,B353,$H$5:$H$1204,"Retail")&gt;0,"Yes","No"))))</f>
        <v>0</v>
      </c>
      <c r="AK353" s="25">
        <f>IF(B353="","",COUNTIFS($Y$5:$Y$1204,"&gt;"&amp;Y353)+COUNTIFS($Y$5:Y353,Y353))</f>
        <v>0</v>
      </c>
      <c r="AL353" s="39">
        <f>IF(B353="","",IF(H353="","Add - what kind of sale is this?",IF(IF(V353&lt;=0,P353="",FALSE),"Check - no price found for this item",IF(F353="","Assign - nobody credited",IF(AH353&gt;0.004,"Unpaid - balance outstanding",IF(AC353&lt;0,"Loss - sold below cost",IF(X353&gt;W353*0.5,"Check - more than half off","OK")))))))</f>
        <v>0</v>
      </c>
    </row>
    <row r="354" spans="1:38">
      <c r="A354" s="28">
        <f>IF(B354="","",SalePrefix&amp;TEXT(ROW()-4,"0000"))</f>
        <v>0</v>
      </c>
      <c r="E354" s="15">
        <f>IF(D354="","",IFERROR(INDEX(Clients!$B$5:$B$504,MATCH(D354,Clients!$A$5:$A$504,0)),"Walk-in"))</f>
        <v>0</v>
      </c>
      <c r="G354" s="15">
        <f>IF(F354="","",IFERROR(INDEX(Staff!$B$5:$B$44,MATCH(F354,Staff!$A$5:$A$44,0)),"House"))</f>
        <v>0</v>
      </c>
      <c r="R354" s="15">
        <f>IF(B354="","",TEXT(B354,"yyyy-mm"))</f>
        <v>0</v>
      </c>
      <c r="S354" s="25">
        <f>IF(B354="","",WEEKNUM(B354,2))</f>
        <v>0</v>
      </c>
      <c r="T354" s="37">
        <f>IF(B354="","",IF(K354="",1,K354))</f>
        <v>0</v>
      </c>
      <c r="U354" s="15">
        <f>IF(B354="","",IF(J354&lt;&gt;"",J354,IF(H354="Retail",IFERROR(INDEX(Inventory!$B$5:$B$304,MATCH(I354,Inventory!$A$5:$A$304,0))&amp;"","Not in Inventory"),IFERROR(INDEX(Services!$B$5:$B$204,MATCH(I354,Services!$A$5:$A$204,0))&amp;"","Not in Services"))))</f>
        <v>0</v>
      </c>
      <c r="V354" s="26">
        <f>IF(B354="","",IF(L354&lt;&gt;"",L354,IF(H354="Retail",IFERROR(INDEX(Inventory!$I$5:$I$304,MATCH(I354,Inventory!$A$5:$A$304,0))*1,0),IFERROR(INDEX(Services!$G$5:$G$204,MATCH(I354,Services!$A$5:$A$204,0))*1,0))))</f>
        <v>0</v>
      </c>
      <c r="W354" s="26">
        <f>IF(B354="","",ROUND(T354*V354,2))</f>
        <v>0</v>
      </c>
      <c r="X354" s="26">
        <f>IF(B354="","",ROUND(IF(M354="",0,W354*M354)+IF(N354="",0,N354),2))</f>
        <v>0</v>
      </c>
      <c r="Y354" s="26">
        <f>IF(B354="","",ROUND(W354-X354-IF(P354="",0,P354),2))</f>
        <v>0</v>
      </c>
      <c r="Z354" s="26">
        <f>IF(B354="","",IF(H354="Retail",IF(TaxOnRetail="Yes",ROUND(Y354*TaxRate,2),0),IF(H354="Service",IF(TaxOnServices="Yes",ROUND(Y354*TaxRate,2),0),0)))</f>
        <v>0</v>
      </c>
      <c r="AA354" s="26">
        <f>IF(B354="","",ROUND(Y354+Z354,2))</f>
        <v>0</v>
      </c>
      <c r="AB354" s="26">
        <f>IF(B354="","",ROUND(T354*IF(H354="Retail",IFERROR(INDEX(Inventory!$H$5:$H$304,MATCH(I354,Inventory!$A$5:$A$304,0))*1,0),IFERROR(INDEX(Services!$Q$5:$Q$204,MATCH(I354,Services!$A$5:$A$204,0))*1,0)),2))</f>
        <v>0</v>
      </c>
      <c r="AC354" s="26">
        <f>IF(B354="","",ROUND(Y354-AB354,2))</f>
        <v>0</v>
      </c>
      <c r="AD354" s="38">
        <f>IF(B354="","",IF(C354="","No",IF(COUNTIFS($C$5:C354,C354)=1,"Yes","No")))</f>
        <v>0</v>
      </c>
      <c r="AE354" s="26">
        <f>IF(B354="","",ROUND(SUMIFS(Payments!$G$5:$G$1204,Payments!$H$5:$H$1204,A354,Payments!$Q$5:$Q$1204,"Yes"),2))</f>
        <v>0</v>
      </c>
      <c r="AF354" s="26">
        <f>IF(B354="","",IF(AD354="No",0,ROUND(SUMIFS(Payments!$G$5:$G$1204,Payments!$I$5:$I$1204,C354,Payments!$H$5:$H$1204,"",Payments!$Q$5:$Q$1204,"Yes"),2)))</f>
        <v>0</v>
      </c>
      <c r="AG354" s="26">
        <f>IF(B354="","",ROUND(AE354+AF354,2))</f>
        <v>0</v>
      </c>
      <c r="AH354" s="26">
        <f>IF(B354="","",ROUND(AA354-AG354,2))</f>
        <v>0</v>
      </c>
      <c r="AI354" s="39">
        <f>IF(B354="","",IF(AA354&lt;=0,"No charge",IF(AH354&lt;=0.004,"Paid",IF(AG354&lt;=0.004,"Unpaid","Part paid"))))</f>
        <v>0</v>
      </c>
      <c r="AJ354" s="38">
        <f>IF(B354="","",IF(H354&lt;&gt;"Service","",IF(D354="","No",IF(COUNTIFS($D$5:$D$1204,D354,$B$5:$B$1204,B354,$H$5:$H$1204,"Retail")&gt;0,"Yes","No"))))</f>
        <v>0</v>
      </c>
      <c r="AK354" s="25">
        <f>IF(B354="","",COUNTIFS($Y$5:$Y$1204,"&gt;"&amp;Y354)+COUNTIFS($Y$5:Y354,Y354))</f>
        <v>0</v>
      </c>
      <c r="AL354" s="39">
        <f>IF(B354="","",IF(H354="","Add - what kind of sale is this?",IF(IF(V354&lt;=0,P354="",FALSE),"Check - no price found for this item",IF(F354="","Assign - nobody credited",IF(AH354&gt;0.004,"Unpaid - balance outstanding",IF(AC354&lt;0,"Loss - sold below cost",IF(X354&gt;W354*0.5,"Check - more than half off","OK")))))))</f>
        <v>0</v>
      </c>
    </row>
    <row r="355" spans="1:38">
      <c r="A355" s="28">
        <f>IF(B355="","",SalePrefix&amp;TEXT(ROW()-4,"0000"))</f>
        <v>0</v>
      </c>
      <c r="E355" s="15">
        <f>IF(D355="","",IFERROR(INDEX(Clients!$B$5:$B$504,MATCH(D355,Clients!$A$5:$A$504,0)),"Walk-in"))</f>
        <v>0</v>
      </c>
      <c r="G355" s="15">
        <f>IF(F355="","",IFERROR(INDEX(Staff!$B$5:$B$44,MATCH(F355,Staff!$A$5:$A$44,0)),"House"))</f>
        <v>0</v>
      </c>
      <c r="R355" s="15">
        <f>IF(B355="","",TEXT(B355,"yyyy-mm"))</f>
        <v>0</v>
      </c>
      <c r="S355" s="25">
        <f>IF(B355="","",WEEKNUM(B355,2))</f>
        <v>0</v>
      </c>
      <c r="T355" s="37">
        <f>IF(B355="","",IF(K355="",1,K355))</f>
        <v>0</v>
      </c>
      <c r="U355" s="15">
        <f>IF(B355="","",IF(J355&lt;&gt;"",J355,IF(H355="Retail",IFERROR(INDEX(Inventory!$B$5:$B$304,MATCH(I355,Inventory!$A$5:$A$304,0))&amp;"","Not in Inventory"),IFERROR(INDEX(Services!$B$5:$B$204,MATCH(I355,Services!$A$5:$A$204,0))&amp;"","Not in Services"))))</f>
        <v>0</v>
      </c>
      <c r="V355" s="26">
        <f>IF(B355="","",IF(L355&lt;&gt;"",L355,IF(H355="Retail",IFERROR(INDEX(Inventory!$I$5:$I$304,MATCH(I355,Inventory!$A$5:$A$304,0))*1,0),IFERROR(INDEX(Services!$G$5:$G$204,MATCH(I355,Services!$A$5:$A$204,0))*1,0))))</f>
        <v>0</v>
      </c>
      <c r="W355" s="26">
        <f>IF(B355="","",ROUND(T355*V355,2))</f>
        <v>0</v>
      </c>
      <c r="X355" s="26">
        <f>IF(B355="","",ROUND(IF(M355="",0,W355*M355)+IF(N355="",0,N355),2))</f>
        <v>0</v>
      </c>
      <c r="Y355" s="26">
        <f>IF(B355="","",ROUND(W355-X355-IF(P355="",0,P355),2))</f>
        <v>0</v>
      </c>
      <c r="Z355" s="26">
        <f>IF(B355="","",IF(H355="Retail",IF(TaxOnRetail="Yes",ROUND(Y355*TaxRate,2),0),IF(H355="Service",IF(TaxOnServices="Yes",ROUND(Y355*TaxRate,2),0),0)))</f>
        <v>0</v>
      </c>
      <c r="AA355" s="26">
        <f>IF(B355="","",ROUND(Y355+Z355,2))</f>
        <v>0</v>
      </c>
      <c r="AB355" s="26">
        <f>IF(B355="","",ROUND(T355*IF(H355="Retail",IFERROR(INDEX(Inventory!$H$5:$H$304,MATCH(I355,Inventory!$A$5:$A$304,0))*1,0),IFERROR(INDEX(Services!$Q$5:$Q$204,MATCH(I355,Services!$A$5:$A$204,0))*1,0)),2))</f>
        <v>0</v>
      </c>
      <c r="AC355" s="26">
        <f>IF(B355="","",ROUND(Y355-AB355,2))</f>
        <v>0</v>
      </c>
      <c r="AD355" s="38">
        <f>IF(B355="","",IF(C355="","No",IF(COUNTIFS($C$5:C355,C355)=1,"Yes","No")))</f>
        <v>0</v>
      </c>
      <c r="AE355" s="26">
        <f>IF(B355="","",ROUND(SUMIFS(Payments!$G$5:$G$1204,Payments!$H$5:$H$1204,A355,Payments!$Q$5:$Q$1204,"Yes"),2))</f>
        <v>0</v>
      </c>
      <c r="AF355" s="26">
        <f>IF(B355="","",IF(AD355="No",0,ROUND(SUMIFS(Payments!$G$5:$G$1204,Payments!$I$5:$I$1204,C355,Payments!$H$5:$H$1204,"",Payments!$Q$5:$Q$1204,"Yes"),2)))</f>
        <v>0</v>
      </c>
      <c r="AG355" s="26">
        <f>IF(B355="","",ROUND(AE355+AF355,2))</f>
        <v>0</v>
      </c>
      <c r="AH355" s="26">
        <f>IF(B355="","",ROUND(AA355-AG355,2))</f>
        <v>0</v>
      </c>
      <c r="AI355" s="39">
        <f>IF(B355="","",IF(AA355&lt;=0,"No charge",IF(AH355&lt;=0.004,"Paid",IF(AG355&lt;=0.004,"Unpaid","Part paid"))))</f>
        <v>0</v>
      </c>
      <c r="AJ355" s="38">
        <f>IF(B355="","",IF(H355&lt;&gt;"Service","",IF(D355="","No",IF(COUNTIFS($D$5:$D$1204,D355,$B$5:$B$1204,B355,$H$5:$H$1204,"Retail")&gt;0,"Yes","No"))))</f>
        <v>0</v>
      </c>
      <c r="AK355" s="25">
        <f>IF(B355="","",COUNTIFS($Y$5:$Y$1204,"&gt;"&amp;Y355)+COUNTIFS($Y$5:Y355,Y355))</f>
        <v>0</v>
      </c>
      <c r="AL355" s="39">
        <f>IF(B355="","",IF(H355="","Add - what kind of sale is this?",IF(IF(V355&lt;=0,P355="",FALSE),"Check - no price found for this item",IF(F355="","Assign - nobody credited",IF(AH355&gt;0.004,"Unpaid - balance outstanding",IF(AC355&lt;0,"Loss - sold below cost",IF(X355&gt;W355*0.5,"Check - more than half off","OK")))))))</f>
        <v>0</v>
      </c>
    </row>
    <row r="356" spans="1:38">
      <c r="A356" s="28">
        <f>IF(B356="","",SalePrefix&amp;TEXT(ROW()-4,"0000"))</f>
        <v>0</v>
      </c>
      <c r="E356" s="15">
        <f>IF(D356="","",IFERROR(INDEX(Clients!$B$5:$B$504,MATCH(D356,Clients!$A$5:$A$504,0)),"Walk-in"))</f>
        <v>0</v>
      </c>
      <c r="G356" s="15">
        <f>IF(F356="","",IFERROR(INDEX(Staff!$B$5:$B$44,MATCH(F356,Staff!$A$5:$A$44,0)),"House"))</f>
        <v>0</v>
      </c>
      <c r="R356" s="15">
        <f>IF(B356="","",TEXT(B356,"yyyy-mm"))</f>
        <v>0</v>
      </c>
      <c r="S356" s="25">
        <f>IF(B356="","",WEEKNUM(B356,2))</f>
        <v>0</v>
      </c>
      <c r="T356" s="37">
        <f>IF(B356="","",IF(K356="",1,K356))</f>
        <v>0</v>
      </c>
      <c r="U356" s="15">
        <f>IF(B356="","",IF(J356&lt;&gt;"",J356,IF(H356="Retail",IFERROR(INDEX(Inventory!$B$5:$B$304,MATCH(I356,Inventory!$A$5:$A$304,0))&amp;"","Not in Inventory"),IFERROR(INDEX(Services!$B$5:$B$204,MATCH(I356,Services!$A$5:$A$204,0))&amp;"","Not in Services"))))</f>
        <v>0</v>
      </c>
      <c r="V356" s="26">
        <f>IF(B356="","",IF(L356&lt;&gt;"",L356,IF(H356="Retail",IFERROR(INDEX(Inventory!$I$5:$I$304,MATCH(I356,Inventory!$A$5:$A$304,0))*1,0),IFERROR(INDEX(Services!$G$5:$G$204,MATCH(I356,Services!$A$5:$A$204,0))*1,0))))</f>
        <v>0</v>
      </c>
      <c r="W356" s="26">
        <f>IF(B356="","",ROUND(T356*V356,2))</f>
        <v>0</v>
      </c>
      <c r="X356" s="26">
        <f>IF(B356="","",ROUND(IF(M356="",0,W356*M356)+IF(N356="",0,N356),2))</f>
        <v>0</v>
      </c>
      <c r="Y356" s="26">
        <f>IF(B356="","",ROUND(W356-X356-IF(P356="",0,P356),2))</f>
        <v>0</v>
      </c>
      <c r="Z356" s="26">
        <f>IF(B356="","",IF(H356="Retail",IF(TaxOnRetail="Yes",ROUND(Y356*TaxRate,2),0),IF(H356="Service",IF(TaxOnServices="Yes",ROUND(Y356*TaxRate,2),0),0)))</f>
        <v>0</v>
      </c>
      <c r="AA356" s="26">
        <f>IF(B356="","",ROUND(Y356+Z356,2))</f>
        <v>0</v>
      </c>
      <c r="AB356" s="26">
        <f>IF(B356="","",ROUND(T356*IF(H356="Retail",IFERROR(INDEX(Inventory!$H$5:$H$304,MATCH(I356,Inventory!$A$5:$A$304,0))*1,0),IFERROR(INDEX(Services!$Q$5:$Q$204,MATCH(I356,Services!$A$5:$A$204,0))*1,0)),2))</f>
        <v>0</v>
      </c>
      <c r="AC356" s="26">
        <f>IF(B356="","",ROUND(Y356-AB356,2))</f>
        <v>0</v>
      </c>
      <c r="AD356" s="38">
        <f>IF(B356="","",IF(C356="","No",IF(COUNTIFS($C$5:C356,C356)=1,"Yes","No")))</f>
        <v>0</v>
      </c>
      <c r="AE356" s="26">
        <f>IF(B356="","",ROUND(SUMIFS(Payments!$G$5:$G$1204,Payments!$H$5:$H$1204,A356,Payments!$Q$5:$Q$1204,"Yes"),2))</f>
        <v>0</v>
      </c>
      <c r="AF356" s="26">
        <f>IF(B356="","",IF(AD356="No",0,ROUND(SUMIFS(Payments!$G$5:$G$1204,Payments!$I$5:$I$1204,C356,Payments!$H$5:$H$1204,"",Payments!$Q$5:$Q$1204,"Yes"),2)))</f>
        <v>0</v>
      </c>
      <c r="AG356" s="26">
        <f>IF(B356="","",ROUND(AE356+AF356,2))</f>
        <v>0</v>
      </c>
      <c r="AH356" s="26">
        <f>IF(B356="","",ROUND(AA356-AG356,2))</f>
        <v>0</v>
      </c>
      <c r="AI356" s="39">
        <f>IF(B356="","",IF(AA356&lt;=0,"No charge",IF(AH356&lt;=0.004,"Paid",IF(AG356&lt;=0.004,"Unpaid","Part paid"))))</f>
        <v>0</v>
      </c>
      <c r="AJ356" s="38">
        <f>IF(B356="","",IF(H356&lt;&gt;"Service","",IF(D356="","No",IF(COUNTIFS($D$5:$D$1204,D356,$B$5:$B$1204,B356,$H$5:$H$1204,"Retail")&gt;0,"Yes","No"))))</f>
        <v>0</v>
      </c>
      <c r="AK356" s="25">
        <f>IF(B356="","",COUNTIFS($Y$5:$Y$1204,"&gt;"&amp;Y356)+COUNTIFS($Y$5:Y356,Y356))</f>
        <v>0</v>
      </c>
      <c r="AL356" s="39">
        <f>IF(B356="","",IF(H356="","Add - what kind of sale is this?",IF(IF(V356&lt;=0,P356="",FALSE),"Check - no price found for this item",IF(F356="","Assign - nobody credited",IF(AH356&gt;0.004,"Unpaid - balance outstanding",IF(AC356&lt;0,"Loss - sold below cost",IF(X356&gt;W356*0.5,"Check - more than half off","OK")))))))</f>
        <v>0</v>
      </c>
    </row>
    <row r="357" spans="1:38">
      <c r="A357" s="28">
        <f>IF(B357="","",SalePrefix&amp;TEXT(ROW()-4,"0000"))</f>
        <v>0</v>
      </c>
      <c r="E357" s="15">
        <f>IF(D357="","",IFERROR(INDEX(Clients!$B$5:$B$504,MATCH(D357,Clients!$A$5:$A$504,0)),"Walk-in"))</f>
        <v>0</v>
      </c>
      <c r="G357" s="15">
        <f>IF(F357="","",IFERROR(INDEX(Staff!$B$5:$B$44,MATCH(F357,Staff!$A$5:$A$44,0)),"House"))</f>
        <v>0</v>
      </c>
      <c r="R357" s="15">
        <f>IF(B357="","",TEXT(B357,"yyyy-mm"))</f>
        <v>0</v>
      </c>
      <c r="S357" s="25">
        <f>IF(B357="","",WEEKNUM(B357,2))</f>
        <v>0</v>
      </c>
      <c r="T357" s="37">
        <f>IF(B357="","",IF(K357="",1,K357))</f>
        <v>0</v>
      </c>
      <c r="U357" s="15">
        <f>IF(B357="","",IF(J357&lt;&gt;"",J357,IF(H357="Retail",IFERROR(INDEX(Inventory!$B$5:$B$304,MATCH(I357,Inventory!$A$5:$A$304,0))&amp;"","Not in Inventory"),IFERROR(INDEX(Services!$B$5:$B$204,MATCH(I357,Services!$A$5:$A$204,0))&amp;"","Not in Services"))))</f>
        <v>0</v>
      </c>
      <c r="V357" s="26">
        <f>IF(B357="","",IF(L357&lt;&gt;"",L357,IF(H357="Retail",IFERROR(INDEX(Inventory!$I$5:$I$304,MATCH(I357,Inventory!$A$5:$A$304,0))*1,0),IFERROR(INDEX(Services!$G$5:$G$204,MATCH(I357,Services!$A$5:$A$204,0))*1,0))))</f>
        <v>0</v>
      </c>
      <c r="W357" s="26">
        <f>IF(B357="","",ROUND(T357*V357,2))</f>
        <v>0</v>
      </c>
      <c r="X357" s="26">
        <f>IF(B357="","",ROUND(IF(M357="",0,W357*M357)+IF(N357="",0,N357),2))</f>
        <v>0</v>
      </c>
      <c r="Y357" s="26">
        <f>IF(B357="","",ROUND(W357-X357-IF(P357="",0,P357),2))</f>
        <v>0</v>
      </c>
      <c r="Z357" s="26">
        <f>IF(B357="","",IF(H357="Retail",IF(TaxOnRetail="Yes",ROUND(Y357*TaxRate,2),0),IF(H357="Service",IF(TaxOnServices="Yes",ROUND(Y357*TaxRate,2),0),0)))</f>
        <v>0</v>
      </c>
      <c r="AA357" s="26">
        <f>IF(B357="","",ROUND(Y357+Z357,2))</f>
        <v>0</v>
      </c>
      <c r="AB357" s="26">
        <f>IF(B357="","",ROUND(T357*IF(H357="Retail",IFERROR(INDEX(Inventory!$H$5:$H$304,MATCH(I357,Inventory!$A$5:$A$304,0))*1,0),IFERROR(INDEX(Services!$Q$5:$Q$204,MATCH(I357,Services!$A$5:$A$204,0))*1,0)),2))</f>
        <v>0</v>
      </c>
      <c r="AC357" s="26">
        <f>IF(B357="","",ROUND(Y357-AB357,2))</f>
        <v>0</v>
      </c>
      <c r="AD357" s="38">
        <f>IF(B357="","",IF(C357="","No",IF(COUNTIFS($C$5:C357,C357)=1,"Yes","No")))</f>
        <v>0</v>
      </c>
      <c r="AE357" s="26">
        <f>IF(B357="","",ROUND(SUMIFS(Payments!$G$5:$G$1204,Payments!$H$5:$H$1204,A357,Payments!$Q$5:$Q$1204,"Yes"),2))</f>
        <v>0</v>
      </c>
      <c r="AF357" s="26">
        <f>IF(B357="","",IF(AD357="No",0,ROUND(SUMIFS(Payments!$G$5:$G$1204,Payments!$I$5:$I$1204,C357,Payments!$H$5:$H$1204,"",Payments!$Q$5:$Q$1204,"Yes"),2)))</f>
        <v>0</v>
      </c>
      <c r="AG357" s="26">
        <f>IF(B357="","",ROUND(AE357+AF357,2))</f>
        <v>0</v>
      </c>
      <c r="AH357" s="26">
        <f>IF(B357="","",ROUND(AA357-AG357,2))</f>
        <v>0</v>
      </c>
      <c r="AI357" s="39">
        <f>IF(B357="","",IF(AA357&lt;=0,"No charge",IF(AH357&lt;=0.004,"Paid",IF(AG357&lt;=0.004,"Unpaid","Part paid"))))</f>
        <v>0</v>
      </c>
      <c r="AJ357" s="38">
        <f>IF(B357="","",IF(H357&lt;&gt;"Service","",IF(D357="","No",IF(COUNTIFS($D$5:$D$1204,D357,$B$5:$B$1204,B357,$H$5:$H$1204,"Retail")&gt;0,"Yes","No"))))</f>
        <v>0</v>
      </c>
      <c r="AK357" s="25">
        <f>IF(B357="","",COUNTIFS($Y$5:$Y$1204,"&gt;"&amp;Y357)+COUNTIFS($Y$5:Y357,Y357))</f>
        <v>0</v>
      </c>
      <c r="AL357" s="39">
        <f>IF(B357="","",IF(H357="","Add - what kind of sale is this?",IF(IF(V357&lt;=0,P357="",FALSE),"Check - no price found for this item",IF(F357="","Assign - nobody credited",IF(AH357&gt;0.004,"Unpaid - balance outstanding",IF(AC357&lt;0,"Loss - sold below cost",IF(X357&gt;W357*0.5,"Check - more than half off","OK")))))))</f>
        <v>0</v>
      </c>
    </row>
    <row r="358" spans="1:38">
      <c r="A358" s="28">
        <f>IF(B358="","",SalePrefix&amp;TEXT(ROW()-4,"0000"))</f>
        <v>0</v>
      </c>
      <c r="E358" s="15">
        <f>IF(D358="","",IFERROR(INDEX(Clients!$B$5:$B$504,MATCH(D358,Clients!$A$5:$A$504,0)),"Walk-in"))</f>
        <v>0</v>
      </c>
      <c r="G358" s="15">
        <f>IF(F358="","",IFERROR(INDEX(Staff!$B$5:$B$44,MATCH(F358,Staff!$A$5:$A$44,0)),"House"))</f>
        <v>0</v>
      </c>
      <c r="R358" s="15">
        <f>IF(B358="","",TEXT(B358,"yyyy-mm"))</f>
        <v>0</v>
      </c>
      <c r="S358" s="25">
        <f>IF(B358="","",WEEKNUM(B358,2))</f>
        <v>0</v>
      </c>
      <c r="T358" s="37">
        <f>IF(B358="","",IF(K358="",1,K358))</f>
        <v>0</v>
      </c>
      <c r="U358" s="15">
        <f>IF(B358="","",IF(J358&lt;&gt;"",J358,IF(H358="Retail",IFERROR(INDEX(Inventory!$B$5:$B$304,MATCH(I358,Inventory!$A$5:$A$304,0))&amp;"","Not in Inventory"),IFERROR(INDEX(Services!$B$5:$B$204,MATCH(I358,Services!$A$5:$A$204,0))&amp;"","Not in Services"))))</f>
        <v>0</v>
      </c>
      <c r="V358" s="26">
        <f>IF(B358="","",IF(L358&lt;&gt;"",L358,IF(H358="Retail",IFERROR(INDEX(Inventory!$I$5:$I$304,MATCH(I358,Inventory!$A$5:$A$304,0))*1,0),IFERROR(INDEX(Services!$G$5:$G$204,MATCH(I358,Services!$A$5:$A$204,0))*1,0))))</f>
        <v>0</v>
      </c>
      <c r="W358" s="26">
        <f>IF(B358="","",ROUND(T358*V358,2))</f>
        <v>0</v>
      </c>
      <c r="X358" s="26">
        <f>IF(B358="","",ROUND(IF(M358="",0,W358*M358)+IF(N358="",0,N358),2))</f>
        <v>0</v>
      </c>
      <c r="Y358" s="26">
        <f>IF(B358="","",ROUND(W358-X358-IF(P358="",0,P358),2))</f>
        <v>0</v>
      </c>
      <c r="Z358" s="26">
        <f>IF(B358="","",IF(H358="Retail",IF(TaxOnRetail="Yes",ROUND(Y358*TaxRate,2),0),IF(H358="Service",IF(TaxOnServices="Yes",ROUND(Y358*TaxRate,2),0),0)))</f>
        <v>0</v>
      </c>
      <c r="AA358" s="26">
        <f>IF(B358="","",ROUND(Y358+Z358,2))</f>
        <v>0</v>
      </c>
      <c r="AB358" s="26">
        <f>IF(B358="","",ROUND(T358*IF(H358="Retail",IFERROR(INDEX(Inventory!$H$5:$H$304,MATCH(I358,Inventory!$A$5:$A$304,0))*1,0),IFERROR(INDEX(Services!$Q$5:$Q$204,MATCH(I358,Services!$A$5:$A$204,0))*1,0)),2))</f>
        <v>0</v>
      </c>
      <c r="AC358" s="26">
        <f>IF(B358="","",ROUND(Y358-AB358,2))</f>
        <v>0</v>
      </c>
      <c r="AD358" s="38">
        <f>IF(B358="","",IF(C358="","No",IF(COUNTIFS($C$5:C358,C358)=1,"Yes","No")))</f>
        <v>0</v>
      </c>
      <c r="AE358" s="26">
        <f>IF(B358="","",ROUND(SUMIFS(Payments!$G$5:$G$1204,Payments!$H$5:$H$1204,A358,Payments!$Q$5:$Q$1204,"Yes"),2))</f>
        <v>0</v>
      </c>
      <c r="AF358" s="26">
        <f>IF(B358="","",IF(AD358="No",0,ROUND(SUMIFS(Payments!$G$5:$G$1204,Payments!$I$5:$I$1204,C358,Payments!$H$5:$H$1204,"",Payments!$Q$5:$Q$1204,"Yes"),2)))</f>
        <v>0</v>
      </c>
      <c r="AG358" s="26">
        <f>IF(B358="","",ROUND(AE358+AF358,2))</f>
        <v>0</v>
      </c>
      <c r="AH358" s="26">
        <f>IF(B358="","",ROUND(AA358-AG358,2))</f>
        <v>0</v>
      </c>
      <c r="AI358" s="39">
        <f>IF(B358="","",IF(AA358&lt;=0,"No charge",IF(AH358&lt;=0.004,"Paid",IF(AG358&lt;=0.004,"Unpaid","Part paid"))))</f>
        <v>0</v>
      </c>
      <c r="AJ358" s="38">
        <f>IF(B358="","",IF(H358&lt;&gt;"Service","",IF(D358="","No",IF(COUNTIFS($D$5:$D$1204,D358,$B$5:$B$1204,B358,$H$5:$H$1204,"Retail")&gt;0,"Yes","No"))))</f>
        <v>0</v>
      </c>
      <c r="AK358" s="25">
        <f>IF(B358="","",COUNTIFS($Y$5:$Y$1204,"&gt;"&amp;Y358)+COUNTIFS($Y$5:Y358,Y358))</f>
        <v>0</v>
      </c>
      <c r="AL358" s="39">
        <f>IF(B358="","",IF(H358="","Add - what kind of sale is this?",IF(IF(V358&lt;=0,P358="",FALSE),"Check - no price found for this item",IF(F358="","Assign - nobody credited",IF(AH358&gt;0.004,"Unpaid - balance outstanding",IF(AC358&lt;0,"Loss - sold below cost",IF(X358&gt;W358*0.5,"Check - more than half off","OK")))))))</f>
        <v>0</v>
      </c>
    </row>
    <row r="359" spans="1:38">
      <c r="A359" s="28">
        <f>IF(B359="","",SalePrefix&amp;TEXT(ROW()-4,"0000"))</f>
        <v>0</v>
      </c>
      <c r="E359" s="15">
        <f>IF(D359="","",IFERROR(INDEX(Clients!$B$5:$B$504,MATCH(D359,Clients!$A$5:$A$504,0)),"Walk-in"))</f>
        <v>0</v>
      </c>
      <c r="G359" s="15">
        <f>IF(F359="","",IFERROR(INDEX(Staff!$B$5:$B$44,MATCH(F359,Staff!$A$5:$A$44,0)),"House"))</f>
        <v>0</v>
      </c>
      <c r="R359" s="15">
        <f>IF(B359="","",TEXT(B359,"yyyy-mm"))</f>
        <v>0</v>
      </c>
      <c r="S359" s="25">
        <f>IF(B359="","",WEEKNUM(B359,2))</f>
        <v>0</v>
      </c>
      <c r="T359" s="37">
        <f>IF(B359="","",IF(K359="",1,K359))</f>
        <v>0</v>
      </c>
      <c r="U359" s="15">
        <f>IF(B359="","",IF(J359&lt;&gt;"",J359,IF(H359="Retail",IFERROR(INDEX(Inventory!$B$5:$B$304,MATCH(I359,Inventory!$A$5:$A$304,0))&amp;"","Not in Inventory"),IFERROR(INDEX(Services!$B$5:$B$204,MATCH(I359,Services!$A$5:$A$204,0))&amp;"","Not in Services"))))</f>
        <v>0</v>
      </c>
      <c r="V359" s="26">
        <f>IF(B359="","",IF(L359&lt;&gt;"",L359,IF(H359="Retail",IFERROR(INDEX(Inventory!$I$5:$I$304,MATCH(I359,Inventory!$A$5:$A$304,0))*1,0),IFERROR(INDEX(Services!$G$5:$G$204,MATCH(I359,Services!$A$5:$A$204,0))*1,0))))</f>
        <v>0</v>
      </c>
      <c r="W359" s="26">
        <f>IF(B359="","",ROUND(T359*V359,2))</f>
        <v>0</v>
      </c>
      <c r="X359" s="26">
        <f>IF(B359="","",ROUND(IF(M359="",0,W359*M359)+IF(N359="",0,N359),2))</f>
        <v>0</v>
      </c>
      <c r="Y359" s="26">
        <f>IF(B359="","",ROUND(W359-X359-IF(P359="",0,P359),2))</f>
        <v>0</v>
      </c>
      <c r="Z359" s="26">
        <f>IF(B359="","",IF(H359="Retail",IF(TaxOnRetail="Yes",ROUND(Y359*TaxRate,2),0),IF(H359="Service",IF(TaxOnServices="Yes",ROUND(Y359*TaxRate,2),0),0)))</f>
        <v>0</v>
      </c>
      <c r="AA359" s="26">
        <f>IF(B359="","",ROUND(Y359+Z359,2))</f>
        <v>0</v>
      </c>
      <c r="AB359" s="26">
        <f>IF(B359="","",ROUND(T359*IF(H359="Retail",IFERROR(INDEX(Inventory!$H$5:$H$304,MATCH(I359,Inventory!$A$5:$A$304,0))*1,0),IFERROR(INDEX(Services!$Q$5:$Q$204,MATCH(I359,Services!$A$5:$A$204,0))*1,0)),2))</f>
        <v>0</v>
      </c>
      <c r="AC359" s="26">
        <f>IF(B359="","",ROUND(Y359-AB359,2))</f>
        <v>0</v>
      </c>
      <c r="AD359" s="38">
        <f>IF(B359="","",IF(C359="","No",IF(COUNTIFS($C$5:C359,C359)=1,"Yes","No")))</f>
        <v>0</v>
      </c>
      <c r="AE359" s="26">
        <f>IF(B359="","",ROUND(SUMIFS(Payments!$G$5:$G$1204,Payments!$H$5:$H$1204,A359,Payments!$Q$5:$Q$1204,"Yes"),2))</f>
        <v>0</v>
      </c>
      <c r="AF359" s="26">
        <f>IF(B359="","",IF(AD359="No",0,ROUND(SUMIFS(Payments!$G$5:$G$1204,Payments!$I$5:$I$1204,C359,Payments!$H$5:$H$1204,"",Payments!$Q$5:$Q$1204,"Yes"),2)))</f>
        <v>0</v>
      </c>
      <c r="AG359" s="26">
        <f>IF(B359="","",ROUND(AE359+AF359,2))</f>
        <v>0</v>
      </c>
      <c r="AH359" s="26">
        <f>IF(B359="","",ROUND(AA359-AG359,2))</f>
        <v>0</v>
      </c>
      <c r="AI359" s="39">
        <f>IF(B359="","",IF(AA359&lt;=0,"No charge",IF(AH359&lt;=0.004,"Paid",IF(AG359&lt;=0.004,"Unpaid","Part paid"))))</f>
        <v>0</v>
      </c>
      <c r="AJ359" s="38">
        <f>IF(B359="","",IF(H359&lt;&gt;"Service","",IF(D359="","No",IF(COUNTIFS($D$5:$D$1204,D359,$B$5:$B$1204,B359,$H$5:$H$1204,"Retail")&gt;0,"Yes","No"))))</f>
        <v>0</v>
      </c>
      <c r="AK359" s="25">
        <f>IF(B359="","",COUNTIFS($Y$5:$Y$1204,"&gt;"&amp;Y359)+COUNTIFS($Y$5:Y359,Y359))</f>
        <v>0</v>
      </c>
      <c r="AL359" s="39">
        <f>IF(B359="","",IF(H359="","Add - what kind of sale is this?",IF(IF(V359&lt;=0,P359="",FALSE),"Check - no price found for this item",IF(F359="","Assign - nobody credited",IF(AH359&gt;0.004,"Unpaid - balance outstanding",IF(AC359&lt;0,"Loss - sold below cost",IF(X359&gt;W359*0.5,"Check - more than half off","OK")))))))</f>
        <v>0</v>
      </c>
    </row>
    <row r="360" spans="1:38">
      <c r="A360" s="28">
        <f>IF(B360="","",SalePrefix&amp;TEXT(ROW()-4,"0000"))</f>
        <v>0</v>
      </c>
      <c r="E360" s="15">
        <f>IF(D360="","",IFERROR(INDEX(Clients!$B$5:$B$504,MATCH(D360,Clients!$A$5:$A$504,0)),"Walk-in"))</f>
        <v>0</v>
      </c>
      <c r="G360" s="15">
        <f>IF(F360="","",IFERROR(INDEX(Staff!$B$5:$B$44,MATCH(F360,Staff!$A$5:$A$44,0)),"House"))</f>
        <v>0</v>
      </c>
      <c r="R360" s="15">
        <f>IF(B360="","",TEXT(B360,"yyyy-mm"))</f>
        <v>0</v>
      </c>
      <c r="S360" s="25">
        <f>IF(B360="","",WEEKNUM(B360,2))</f>
        <v>0</v>
      </c>
      <c r="T360" s="37">
        <f>IF(B360="","",IF(K360="",1,K360))</f>
        <v>0</v>
      </c>
      <c r="U360" s="15">
        <f>IF(B360="","",IF(J360&lt;&gt;"",J360,IF(H360="Retail",IFERROR(INDEX(Inventory!$B$5:$B$304,MATCH(I360,Inventory!$A$5:$A$304,0))&amp;"","Not in Inventory"),IFERROR(INDEX(Services!$B$5:$B$204,MATCH(I360,Services!$A$5:$A$204,0))&amp;"","Not in Services"))))</f>
        <v>0</v>
      </c>
      <c r="V360" s="26">
        <f>IF(B360="","",IF(L360&lt;&gt;"",L360,IF(H360="Retail",IFERROR(INDEX(Inventory!$I$5:$I$304,MATCH(I360,Inventory!$A$5:$A$304,0))*1,0),IFERROR(INDEX(Services!$G$5:$G$204,MATCH(I360,Services!$A$5:$A$204,0))*1,0))))</f>
        <v>0</v>
      </c>
      <c r="W360" s="26">
        <f>IF(B360="","",ROUND(T360*V360,2))</f>
        <v>0</v>
      </c>
      <c r="X360" s="26">
        <f>IF(B360="","",ROUND(IF(M360="",0,W360*M360)+IF(N360="",0,N360),2))</f>
        <v>0</v>
      </c>
      <c r="Y360" s="26">
        <f>IF(B360="","",ROUND(W360-X360-IF(P360="",0,P360),2))</f>
        <v>0</v>
      </c>
      <c r="Z360" s="26">
        <f>IF(B360="","",IF(H360="Retail",IF(TaxOnRetail="Yes",ROUND(Y360*TaxRate,2),0),IF(H360="Service",IF(TaxOnServices="Yes",ROUND(Y360*TaxRate,2),0),0)))</f>
        <v>0</v>
      </c>
      <c r="AA360" s="26">
        <f>IF(B360="","",ROUND(Y360+Z360,2))</f>
        <v>0</v>
      </c>
      <c r="AB360" s="26">
        <f>IF(B360="","",ROUND(T360*IF(H360="Retail",IFERROR(INDEX(Inventory!$H$5:$H$304,MATCH(I360,Inventory!$A$5:$A$304,0))*1,0),IFERROR(INDEX(Services!$Q$5:$Q$204,MATCH(I360,Services!$A$5:$A$204,0))*1,0)),2))</f>
        <v>0</v>
      </c>
      <c r="AC360" s="26">
        <f>IF(B360="","",ROUND(Y360-AB360,2))</f>
        <v>0</v>
      </c>
      <c r="AD360" s="38">
        <f>IF(B360="","",IF(C360="","No",IF(COUNTIFS($C$5:C360,C360)=1,"Yes","No")))</f>
        <v>0</v>
      </c>
      <c r="AE360" s="26">
        <f>IF(B360="","",ROUND(SUMIFS(Payments!$G$5:$G$1204,Payments!$H$5:$H$1204,A360,Payments!$Q$5:$Q$1204,"Yes"),2))</f>
        <v>0</v>
      </c>
      <c r="AF360" s="26">
        <f>IF(B360="","",IF(AD360="No",0,ROUND(SUMIFS(Payments!$G$5:$G$1204,Payments!$I$5:$I$1204,C360,Payments!$H$5:$H$1204,"",Payments!$Q$5:$Q$1204,"Yes"),2)))</f>
        <v>0</v>
      </c>
      <c r="AG360" s="26">
        <f>IF(B360="","",ROUND(AE360+AF360,2))</f>
        <v>0</v>
      </c>
      <c r="AH360" s="26">
        <f>IF(B360="","",ROUND(AA360-AG360,2))</f>
        <v>0</v>
      </c>
      <c r="AI360" s="39">
        <f>IF(B360="","",IF(AA360&lt;=0,"No charge",IF(AH360&lt;=0.004,"Paid",IF(AG360&lt;=0.004,"Unpaid","Part paid"))))</f>
        <v>0</v>
      </c>
      <c r="AJ360" s="38">
        <f>IF(B360="","",IF(H360&lt;&gt;"Service","",IF(D360="","No",IF(COUNTIFS($D$5:$D$1204,D360,$B$5:$B$1204,B360,$H$5:$H$1204,"Retail")&gt;0,"Yes","No"))))</f>
        <v>0</v>
      </c>
      <c r="AK360" s="25">
        <f>IF(B360="","",COUNTIFS($Y$5:$Y$1204,"&gt;"&amp;Y360)+COUNTIFS($Y$5:Y360,Y360))</f>
        <v>0</v>
      </c>
      <c r="AL360" s="39">
        <f>IF(B360="","",IF(H360="","Add - what kind of sale is this?",IF(IF(V360&lt;=0,P360="",FALSE),"Check - no price found for this item",IF(F360="","Assign - nobody credited",IF(AH360&gt;0.004,"Unpaid - balance outstanding",IF(AC360&lt;0,"Loss - sold below cost",IF(X360&gt;W360*0.5,"Check - more than half off","OK")))))))</f>
        <v>0</v>
      </c>
    </row>
    <row r="361" spans="1:38">
      <c r="A361" s="28">
        <f>IF(B361="","",SalePrefix&amp;TEXT(ROW()-4,"0000"))</f>
        <v>0</v>
      </c>
      <c r="E361" s="15">
        <f>IF(D361="","",IFERROR(INDEX(Clients!$B$5:$B$504,MATCH(D361,Clients!$A$5:$A$504,0)),"Walk-in"))</f>
        <v>0</v>
      </c>
      <c r="G361" s="15">
        <f>IF(F361="","",IFERROR(INDEX(Staff!$B$5:$B$44,MATCH(F361,Staff!$A$5:$A$44,0)),"House"))</f>
        <v>0</v>
      </c>
      <c r="R361" s="15">
        <f>IF(B361="","",TEXT(B361,"yyyy-mm"))</f>
        <v>0</v>
      </c>
      <c r="S361" s="25">
        <f>IF(B361="","",WEEKNUM(B361,2))</f>
        <v>0</v>
      </c>
      <c r="T361" s="37">
        <f>IF(B361="","",IF(K361="",1,K361))</f>
        <v>0</v>
      </c>
      <c r="U361" s="15">
        <f>IF(B361="","",IF(J361&lt;&gt;"",J361,IF(H361="Retail",IFERROR(INDEX(Inventory!$B$5:$B$304,MATCH(I361,Inventory!$A$5:$A$304,0))&amp;"","Not in Inventory"),IFERROR(INDEX(Services!$B$5:$B$204,MATCH(I361,Services!$A$5:$A$204,0))&amp;"","Not in Services"))))</f>
        <v>0</v>
      </c>
      <c r="V361" s="26">
        <f>IF(B361="","",IF(L361&lt;&gt;"",L361,IF(H361="Retail",IFERROR(INDEX(Inventory!$I$5:$I$304,MATCH(I361,Inventory!$A$5:$A$304,0))*1,0),IFERROR(INDEX(Services!$G$5:$G$204,MATCH(I361,Services!$A$5:$A$204,0))*1,0))))</f>
        <v>0</v>
      </c>
      <c r="W361" s="26">
        <f>IF(B361="","",ROUND(T361*V361,2))</f>
        <v>0</v>
      </c>
      <c r="X361" s="26">
        <f>IF(B361="","",ROUND(IF(M361="",0,W361*M361)+IF(N361="",0,N361),2))</f>
        <v>0</v>
      </c>
      <c r="Y361" s="26">
        <f>IF(B361="","",ROUND(W361-X361-IF(P361="",0,P361),2))</f>
        <v>0</v>
      </c>
      <c r="Z361" s="26">
        <f>IF(B361="","",IF(H361="Retail",IF(TaxOnRetail="Yes",ROUND(Y361*TaxRate,2),0),IF(H361="Service",IF(TaxOnServices="Yes",ROUND(Y361*TaxRate,2),0),0)))</f>
        <v>0</v>
      </c>
      <c r="AA361" s="26">
        <f>IF(B361="","",ROUND(Y361+Z361,2))</f>
        <v>0</v>
      </c>
      <c r="AB361" s="26">
        <f>IF(B361="","",ROUND(T361*IF(H361="Retail",IFERROR(INDEX(Inventory!$H$5:$H$304,MATCH(I361,Inventory!$A$5:$A$304,0))*1,0),IFERROR(INDEX(Services!$Q$5:$Q$204,MATCH(I361,Services!$A$5:$A$204,0))*1,0)),2))</f>
        <v>0</v>
      </c>
      <c r="AC361" s="26">
        <f>IF(B361="","",ROUND(Y361-AB361,2))</f>
        <v>0</v>
      </c>
      <c r="AD361" s="38">
        <f>IF(B361="","",IF(C361="","No",IF(COUNTIFS($C$5:C361,C361)=1,"Yes","No")))</f>
        <v>0</v>
      </c>
      <c r="AE361" s="26">
        <f>IF(B361="","",ROUND(SUMIFS(Payments!$G$5:$G$1204,Payments!$H$5:$H$1204,A361,Payments!$Q$5:$Q$1204,"Yes"),2))</f>
        <v>0</v>
      </c>
      <c r="AF361" s="26">
        <f>IF(B361="","",IF(AD361="No",0,ROUND(SUMIFS(Payments!$G$5:$G$1204,Payments!$I$5:$I$1204,C361,Payments!$H$5:$H$1204,"",Payments!$Q$5:$Q$1204,"Yes"),2)))</f>
        <v>0</v>
      </c>
      <c r="AG361" s="26">
        <f>IF(B361="","",ROUND(AE361+AF361,2))</f>
        <v>0</v>
      </c>
      <c r="AH361" s="26">
        <f>IF(B361="","",ROUND(AA361-AG361,2))</f>
        <v>0</v>
      </c>
      <c r="AI361" s="39">
        <f>IF(B361="","",IF(AA361&lt;=0,"No charge",IF(AH361&lt;=0.004,"Paid",IF(AG361&lt;=0.004,"Unpaid","Part paid"))))</f>
        <v>0</v>
      </c>
      <c r="AJ361" s="38">
        <f>IF(B361="","",IF(H361&lt;&gt;"Service","",IF(D361="","No",IF(COUNTIFS($D$5:$D$1204,D361,$B$5:$B$1204,B361,$H$5:$H$1204,"Retail")&gt;0,"Yes","No"))))</f>
        <v>0</v>
      </c>
      <c r="AK361" s="25">
        <f>IF(B361="","",COUNTIFS($Y$5:$Y$1204,"&gt;"&amp;Y361)+COUNTIFS($Y$5:Y361,Y361))</f>
        <v>0</v>
      </c>
      <c r="AL361" s="39">
        <f>IF(B361="","",IF(H361="","Add - what kind of sale is this?",IF(IF(V361&lt;=0,P361="",FALSE),"Check - no price found for this item",IF(F361="","Assign - nobody credited",IF(AH361&gt;0.004,"Unpaid - balance outstanding",IF(AC361&lt;0,"Loss - sold below cost",IF(X361&gt;W361*0.5,"Check - more than half off","OK")))))))</f>
        <v>0</v>
      </c>
    </row>
    <row r="362" spans="1:38">
      <c r="A362" s="28">
        <f>IF(B362="","",SalePrefix&amp;TEXT(ROW()-4,"0000"))</f>
        <v>0</v>
      </c>
      <c r="E362" s="15">
        <f>IF(D362="","",IFERROR(INDEX(Clients!$B$5:$B$504,MATCH(D362,Clients!$A$5:$A$504,0)),"Walk-in"))</f>
        <v>0</v>
      </c>
      <c r="G362" s="15">
        <f>IF(F362="","",IFERROR(INDEX(Staff!$B$5:$B$44,MATCH(F362,Staff!$A$5:$A$44,0)),"House"))</f>
        <v>0</v>
      </c>
      <c r="R362" s="15">
        <f>IF(B362="","",TEXT(B362,"yyyy-mm"))</f>
        <v>0</v>
      </c>
      <c r="S362" s="25">
        <f>IF(B362="","",WEEKNUM(B362,2))</f>
        <v>0</v>
      </c>
      <c r="T362" s="37">
        <f>IF(B362="","",IF(K362="",1,K362))</f>
        <v>0</v>
      </c>
      <c r="U362" s="15">
        <f>IF(B362="","",IF(J362&lt;&gt;"",J362,IF(H362="Retail",IFERROR(INDEX(Inventory!$B$5:$B$304,MATCH(I362,Inventory!$A$5:$A$304,0))&amp;"","Not in Inventory"),IFERROR(INDEX(Services!$B$5:$B$204,MATCH(I362,Services!$A$5:$A$204,0))&amp;"","Not in Services"))))</f>
        <v>0</v>
      </c>
      <c r="V362" s="26">
        <f>IF(B362="","",IF(L362&lt;&gt;"",L362,IF(H362="Retail",IFERROR(INDEX(Inventory!$I$5:$I$304,MATCH(I362,Inventory!$A$5:$A$304,0))*1,0),IFERROR(INDEX(Services!$G$5:$G$204,MATCH(I362,Services!$A$5:$A$204,0))*1,0))))</f>
        <v>0</v>
      </c>
      <c r="W362" s="26">
        <f>IF(B362="","",ROUND(T362*V362,2))</f>
        <v>0</v>
      </c>
      <c r="X362" s="26">
        <f>IF(B362="","",ROUND(IF(M362="",0,W362*M362)+IF(N362="",0,N362),2))</f>
        <v>0</v>
      </c>
      <c r="Y362" s="26">
        <f>IF(B362="","",ROUND(W362-X362-IF(P362="",0,P362),2))</f>
        <v>0</v>
      </c>
      <c r="Z362" s="26">
        <f>IF(B362="","",IF(H362="Retail",IF(TaxOnRetail="Yes",ROUND(Y362*TaxRate,2),0),IF(H362="Service",IF(TaxOnServices="Yes",ROUND(Y362*TaxRate,2),0),0)))</f>
        <v>0</v>
      </c>
      <c r="AA362" s="26">
        <f>IF(B362="","",ROUND(Y362+Z362,2))</f>
        <v>0</v>
      </c>
      <c r="AB362" s="26">
        <f>IF(B362="","",ROUND(T362*IF(H362="Retail",IFERROR(INDEX(Inventory!$H$5:$H$304,MATCH(I362,Inventory!$A$5:$A$304,0))*1,0),IFERROR(INDEX(Services!$Q$5:$Q$204,MATCH(I362,Services!$A$5:$A$204,0))*1,0)),2))</f>
        <v>0</v>
      </c>
      <c r="AC362" s="26">
        <f>IF(B362="","",ROUND(Y362-AB362,2))</f>
        <v>0</v>
      </c>
      <c r="AD362" s="38">
        <f>IF(B362="","",IF(C362="","No",IF(COUNTIFS($C$5:C362,C362)=1,"Yes","No")))</f>
        <v>0</v>
      </c>
      <c r="AE362" s="26">
        <f>IF(B362="","",ROUND(SUMIFS(Payments!$G$5:$G$1204,Payments!$H$5:$H$1204,A362,Payments!$Q$5:$Q$1204,"Yes"),2))</f>
        <v>0</v>
      </c>
      <c r="AF362" s="26">
        <f>IF(B362="","",IF(AD362="No",0,ROUND(SUMIFS(Payments!$G$5:$G$1204,Payments!$I$5:$I$1204,C362,Payments!$H$5:$H$1204,"",Payments!$Q$5:$Q$1204,"Yes"),2)))</f>
        <v>0</v>
      </c>
      <c r="AG362" s="26">
        <f>IF(B362="","",ROUND(AE362+AF362,2))</f>
        <v>0</v>
      </c>
      <c r="AH362" s="26">
        <f>IF(B362="","",ROUND(AA362-AG362,2))</f>
        <v>0</v>
      </c>
      <c r="AI362" s="39">
        <f>IF(B362="","",IF(AA362&lt;=0,"No charge",IF(AH362&lt;=0.004,"Paid",IF(AG362&lt;=0.004,"Unpaid","Part paid"))))</f>
        <v>0</v>
      </c>
      <c r="AJ362" s="38">
        <f>IF(B362="","",IF(H362&lt;&gt;"Service","",IF(D362="","No",IF(COUNTIFS($D$5:$D$1204,D362,$B$5:$B$1204,B362,$H$5:$H$1204,"Retail")&gt;0,"Yes","No"))))</f>
        <v>0</v>
      </c>
      <c r="AK362" s="25">
        <f>IF(B362="","",COUNTIFS($Y$5:$Y$1204,"&gt;"&amp;Y362)+COUNTIFS($Y$5:Y362,Y362))</f>
        <v>0</v>
      </c>
      <c r="AL362" s="39">
        <f>IF(B362="","",IF(H362="","Add - what kind of sale is this?",IF(IF(V362&lt;=0,P362="",FALSE),"Check - no price found for this item",IF(F362="","Assign - nobody credited",IF(AH362&gt;0.004,"Unpaid - balance outstanding",IF(AC362&lt;0,"Loss - sold below cost",IF(X362&gt;W362*0.5,"Check - more than half off","OK")))))))</f>
        <v>0</v>
      </c>
    </row>
    <row r="363" spans="1:38">
      <c r="A363" s="28">
        <f>IF(B363="","",SalePrefix&amp;TEXT(ROW()-4,"0000"))</f>
        <v>0</v>
      </c>
      <c r="E363" s="15">
        <f>IF(D363="","",IFERROR(INDEX(Clients!$B$5:$B$504,MATCH(D363,Clients!$A$5:$A$504,0)),"Walk-in"))</f>
        <v>0</v>
      </c>
      <c r="G363" s="15">
        <f>IF(F363="","",IFERROR(INDEX(Staff!$B$5:$B$44,MATCH(F363,Staff!$A$5:$A$44,0)),"House"))</f>
        <v>0</v>
      </c>
      <c r="R363" s="15">
        <f>IF(B363="","",TEXT(B363,"yyyy-mm"))</f>
        <v>0</v>
      </c>
      <c r="S363" s="25">
        <f>IF(B363="","",WEEKNUM(B363,2))</f>
        <v>0</v>
      </c>
      <c r="T363" s="37">
        <f>IF(B363="","",IF(K363="",1,K363))</f>
        <v>0</v>
      </c>
      <c r="U363" s="15">
        <f>IF(B363="","",IF(J363&lt;&gt;"",J363,IF(H363="Retail",IFERROR(INDEX(Inventory!$B$5:$B$304,MATCH(I363,Inventory!$A$5:$A$304,0))&amp;"","Not in Inventory"),IFERROR(INDEX(Services!$B$5:$B$204,MATCH(I363,Services!$A$5:$A$204,0))&amp;"","Not in Services"))))</f>
        <v>0</v>
      </c>
      <c r="V363" s="26">
        <f>IF(B363="","",IF(L363&lt;&gt;"",L363,IF(H363="Retail",IFERROR(INDEX(Inventory!$I$5:$I$304,MATCH(I363,Inventory!$A$5:$A$304,0))*1,0),IFERROR(INDEX(Services!$G$5:$G$204,MATCH(I363,Services!$A$5:$A$204,0))*1,0))))</f>
        <v>0</v>
      </c>
      <c r="W363" s="26">
        <f>IF(B363="","",ROUND(T363*V363,2))</f>
        <v>0</v>
      </c>
      <c r="X363" s="26">
        <f>IF(B363="","",ROUND(IF(M363="",0,W363*M363)+IF(N363="",0,N363),2))</f>
        <v>0</v>
      </c>
      <c r="Y363" s="26">
        <f>IF(B363="","",ROUND(W363-X363-IF(P363="",0,P363),2))</f>
        <v>0</v>
      </c>
      <c r="Z363" s="26">
        <f>IF(B363="","",IF(H363="Retail",IF(TaxOnRetail="Yes",ROUND(Y363*TaxRate,2),0),IF(H363="Service",IF(TaxOnServices="Yes",ROUND(Y363*TaxRate,2),0),0)))</f>
        <v>0</v>
      </c>
      <c r="AA363" s="26">
        <f>IF(B363="","",ROUND(Y363+Z363,2))</f>
        <v>0</v>
      </c>
      <c r="AB363" s="26">
        <f>IF(B363="","",ROUND(T363*IF(H363="Retail",IFERROR(INDEX(Inventory!$H$5:$H$304,MATCH(I363,Inventory!$A$5:$A$304,0))*1,0),IFERROR(INDEX(Services!$Q$5:$Q$204,MATCH(I363,Services!$A$5:$A$204,0))*1,0)),2))</f>
        <v>0</v>
      </c>
      <c r="AC363" s="26">
        <f>IF(B363="","",ROUND(Y363-AB363,2))</f>
        <v>0</v>
      </c>
      <c r="AD363" s="38">
        <f>IF(B363="","",IF(C363="","No",IF(COUNTIFS($C$5:C363,C363)=1,"Yes","No")))</f>
        <v>0</v>
      </c>
      <c r="AE363" s="26">
        <f>IF(B363="","",ROUND(SUMIFS(Payments!$G$5:$G$1204,Payments!$H$5:$H$1204,A363,Payments!$Q$5:$Q$1204,"Yes"),2))</f>
        <v>0</v>
      </c>
      <c r="AF363" s="26">
        <f>IF(B363="","",IF(AD363="No",0,ROUND(SUMIFS(Payments!$G$5:$G$1204,Payments!$I$5:$I$1204,C363,Payments!$H$5:$H$1204,"",Payments!$Q$5:$Q$1204,"Yes"),2)))</f>
        <v>0</v>
      </c>
      <c r="AG363" s="26">
        <f>IF(B363="","",ROUND(AE363+AF363,2))</f>
        <v>0</v>
      </c>
      <c r="AH363" s="26">
        <f>IF(B363="","",ROUND(AA363-AG363,2))</f>
        <v>0</v>
      </c>
      <c r="AI363" s="39">
        <f>IF(B363="","",IF(AA363&lt;=0,"No charge",IF(AH363&lt;=0.004,"Paid",IF(AG363&lt;=0.004,"Unpaid","Part paid"))))</f>
        <v>0</v>
      </c>
      <c r="AJ363" s="38">
        <f>IF(B363="","",IF(H363&lt;&gt;"Service","",IF(D363="","No",IF(COUNTIFS($D$5:$D$1204,D363,$B$5:$B$1204,B363,$H$5:$H$1204,"Retail")&gt;0,"Yes","No"))))</f>
        <v>0</v>
      </c>
      <c r="AK363" s="25">
        <f>IF(B363="","",COUNTIFS($Y$5:$Y$1204,"&gt;"&amp;Y363)+COUNTIFS($Y$5:Y363,Y363))</f>
        <v>0</v>
      </c>
      <c r="AL363" s="39">
        <f>IF(B363="","",IF(H363="","Add - what kind of sale is this?",IF(IF(V363&lt;=0,P363="",FALSE),"Check - no price found for this item",IF(F363="","Assign - nobody credited",IF(AH363&gt;0.004,"Unpaid - balance outstanding",IF(AC363&lt;0,"Loss - sold below cost",IF(X363&gt;W363*0.5,"Check - more than half off","OK")))))))</f>
        <v>0</v>
      </c>
    </row>
    <row r="364" spans="1:38">
      <c r="A364" s="28">
        <f>IF(B364="","",SalePrefix&amp;TEXT(ROW()-4,"0000"))</f>
        <v>0</v>
      </c>
      <c r="E364" s="15">
        <f>IF(D364="","",IFERROR(INDEX(Clients!$B$5:$B$504,MATCH(D364,Clients!$A$5:$A$504,0)),"Walk-in"))</f>
        <v>0</v>
      </c>
      <c r="G364" s="15">
        <f>IF(F364="","",IFERROR(INDEX(Staff!$B$5:$B$44,MATCH(F364,Staff!$A$5:$A$44,0)),"House"))</f>
        <v>0</v>
      </c>
      <c r="R364" s="15">
        <f>IF(B364="","",TEXT(B364,"yyyy-mm"))</f>
        <v>0</v>
      </c>
      <c r="S364" s="25">
        <f>IF(B364="","",WEEKNUM(B364,2))</f>
        <v>0</v>
      </c>
      <c r="T364" s="37">
        <f>IF(B364="","",IF(K364="",1,K364))</f>
        <v>0</v>
      </c>
      <c r="U364" s="15">
        <f>IF(B364="","",IF(J364&lt;&gt;"",J364,IF(H364="Retail",IFERROR(INDEX(Inventory!$B$5:$B$304,MATCH(I364,Inventory!$A$5:$A$304,0))&amp;"","Not in Inventory"),IFERROR(INDEX(Services!$B$5:$B$204,MATCH(I364,Services!$A$5:$A$204,0))&amp;"","Not in Services"))))</f>
        <v>0</v>
      </c>
      <c r="V364" s="26">
        <f>IF(B364="","",IF(L364&lt;&gt;"",L364,IF(H364="Retail",IFERROR(INDEX(Inventory!$I$5:$I$304,MATCH(I364,Inventory!$A$5:$A$304,0))*1,0),IFERROR(INDEX(Services!$G$5:$G$204,MATCH(I364,Services!$A$5:$A$204,0))*1,0))))</f>
        <v>0</v>
      </c>
      <c r="W364" s="26">
        <f>IF(B364="","",ROUND(T364*V364,2))</f>
        <v>0</v>
      </c>
      <c r="X364" s="26">
        <f>IF(B364="","",ROUND(IF(M364="",0,W364*M364)+IF(N364="",0,N364),2))</f>
        <v>0</v>
      </c>
      <c r="Y364" s="26">
        <f>IF(B364="","",ROUND(W364-X364-IF(P364="",0,P364),2))</f>
        <v>0</v>
      </c>
      <c r="Z364" s="26">
        <f>IF(B364="","",IF(H364="Retail",IF(TaxOnRetail="Yes",ROUND(Y364*TaxRate,2),0),IF(H364="Service",IF(TaxOnServices="Yes",ROUND(Y364*TaxRate,2),0),0)))</f>
        <v>0</v>
      </c>
      <c r="AA364" s="26">
        <f>IF(B364="","",ROUND(Y364+Z364,2))</f>
        <v>0</v>
      </c>
      <c r="AB364" s="26">
        <f>IF(B364="","",ROUND(T364*IF(H364="Retail",IFERROR(INDEX(Inventory!$H$5:$H$304,MATCH(I364,Inventory!$A$5:$A$304,0))*1,0),IFERROR(INDEX(Services!$Q$5:$Q$204,MATCH(I364,Services!$A$5:$A$204,0))*1,0)),2))</f>
        <v>0</v>
      </c>
      <c r="AC364" s="26">
        <f>IF(B364="","",ROUND(Y364-AB364,2))</f>
        <v>0</v>
      </c>
      <c r="AD364" s="38">
        <f>IF(B364="","",IF(C364="","No",IF(COUNTIFS($C$5:C364,C364)=1,"Yes","No")))</f>
        <v>0</v>
      </c>
      <c r="AE364" s="26">
        <f>IF(B364="","",ROUND(SUMIFS(Payments!$G$5:$G$1204,Payments!$H$5:$H$1204,A364,Payments!$Q$5:$Q$1204,"Yes"),2))</f>
        <v>0</v>
      </c>
      <c r="AF364" s="26">
        <f>IF(B364="","",IF(AD364="No",0,ROUND(SUMIFS(Payments!$G$5:$G$1204,Payments!$I$5:$I$1204,C364,Payments!$H$5:$H$1204,"",Payments!$Q$5:$Q$1204,"Yes"),2)))</f>
        <v>0</v>
      </c>
      <c r="AG364" s="26">
        <f>IF(B364="","",ROUND(AE364+AF364,2))</f>
        <v>0</v>
      </c>
      <c r="AH364" s="26">
        <f>IF(B364="","",ROUND(AA364-AG364,2))</f>
        <v>0</v>
      </c>
      <c r="AI364" s="39">
        <f>IF(B364="","",IF(AA364&lt;=0,"No charge",IF(AH364&lt;=0.004,"Paid",IF(AG364&lt;=0.004,"Unpaid","Part paid"))))</f>
        <v>0</v>
      </c>
      <c r="AJ364" s="38">
        <f>IF(B364="","",IF(H364&lt;&gt;"Service","",IF(D364="","No",IF(COUNTIFS($D$5:$D$1204,D364,$B$5:$B$1204,B364,$H$5:$H$1204,"Retail")&gt;0,"Yes","No"))))</f>
        <v>0</v>
      </c>
      <c r="AK364" s="25">
        <f>IF(B364="","",COUNTIFS($Y$5:$Y$1204,"&gt;"&amp;Y364)+COUNTIFS($Y$5:Y364,Y364))</f>
        <v>0</v>
      </c>
      <c r="AL364" s="39">
        <f>IF(B364="","",IF(H364="","Add - what kind of sale is this?",IF(IF(V364&lt;=0,P364="",FALSE),"Check - no price found for this item",IF(F364="","Assign - nobody credited",IF(AH364&gt;0.004,"Unpaid - balance outstanding",IF(AC364&lt;0,"Loss - sold below cost",IF(X364&gt;W364*0.5,"Check - more than half off","OK")))))))</f>
        <v>0</v>
      </c>
    </row>
    <row r="365" spans="1:38">
      <c r="A365" s="28">
        <f>IF(B365="","",SalePrefix&amp;TEXT(ROW()-4,"0000"))</f>
        <v>0</v>
      </c>
      <c r="E365" s="15">
        <f>IF(D365="","",IFERROR(INDEX(Clients!$B$5:$B$504,MATCH(D365,Clients!$A$5:$A$504,0)),"Walk-in"))</f>
        <v>0</v>
      </c>
      <c r="G365" s="15">
        <f>IF(F365="","",IFERROR(INDEX(Staff!$B$5:$B$44,MATCH(F365,Staff!$A$5:$A$44,0)),"House"))</f>
        <v>0</v>
      </c>
      <c r="R365" s="15">
        <f>IF(B365="","",TEXT(B365,"yyyy-mm"))</f>
        <v>0</v>
      </c>
      <c r="S365" s="25">
        <f>IF(B365="","",WEEKNUM(B365,2))</f>
        <v>0</v>
      </c>
      <c r="T365" s="37">
        <f>IF(B365="","",IF(K365="",1,K365))</f>
        <v>0</v>
      </c>
      <c r="U365" s="15">
        <f>IF(B365="","",IF(J365&lt;&gt;"",J365,IF(H365="Retail",IFERROR(INDEX(Inventory!$B$5:$B$304,MATCH(I365,Inventory!$A$5:$A$304,0))&amp;"","Not in Inventory"),IFERROR(INDEX(Services!$B$5:$B$204,MATCH(I365,Services!$A$5:$A$204,0))&amp;"","Not in Services"))))</f>
        <v>0</v>
      </c>
      <c r="V365" s="26">
        <f>IF(B365="","",IF(L365&lt;&gt;"",L365,IF(H365="Retail",IFERROR(INDEX(Inventory!$I$5:$I$304,MATCH(I365,Inventory!$A$5:$A$304,0))*1,0),IFERROR(INDEX(Services!$G$5:$G$204,MATCH(I365,Services!$A$5:$A$204,0))*1,0))))</f>
        <v>0</v>
      </c>
      <c r="W365" s="26">
        <f>IF(B365="","",ROUND(T365*V365,2))</f>
        <v>0</v>
      </c>
      <c r="X365" s="26">
        <f>IF(B365="","",ROUND(IF(M365="",0,W365*M365)+IF(N365="",0,N365),2))</f>
        <v>0</v>
      </c>
      <c r="Y365" s="26">
        <f>IF(B365="","",ROUND(W365-X365-IF(P365="",0,P365),2))</f>
        <v>0</v>
      </c>
      <c r="Z365" s="26">
        <f>IF(B365="","",IF(H365="Retail",IF(TaxOnRetail="Yes",ROUND(Y365*TaxRate,2),0),IF(H365="Service",IF(TaxOnServices="Yes",ROUND(Y365*TaxRate,2),0),0)))</f>
        <v>0</v>
      </c>
      <c r="AA365" s="26">
        <f>IF(B365="","",ROUND(Y365+Z365,2))</f>
        <v>0</v>
      </c>
      <c r="AB365" s="26">
        <f>IF(B365="","",ROUND(T365*IF(H365="Retail",IFERROR(INDEX(Inventory!$H$5:$H$304,MATCH(I365,Inventory!$A$5:$A$304,0))*1,0),IFERROR(INDEX(Services!$Q$5:$Q$204,MATCH(I365,Services!$A$5:$A$204,0))*1,0)),2))</f>
        <v>0</v>
      </c>
      <c r="AC365" s="26">
        <f>IF(B365="","",ROUND(Y365-AB365,2))</f>
        <v>0</v>
      </c>
      <c r="AD365" s="38">
        <f>IF(B365="","",IF(C365="","No",IF(COUNTIFS($C$5:C365,C365)=1,"Yes","No")))</f>
        <v>0</v>
      </c>
      <c r="AE365" s="26">
        <f>IF(B365="","",ROUND(SUMIFS(Payments!$G$5:$G$1204,Payments!$H$5:$H$1204,A365,Payments!$Q$5:$Q$1204,"Yes"),2))</f>
        <v>0</v>
      </c>
      <c r="AF365" s="26">
        <f>IF(B365="","",IF(AD365="No",0,ROUND(SUMIFS(Payments!$G$5:$G$1204,Payments!$I$5:$I$1204,C365,Payments!$H$5:$H$1204,"",Payments!$Q$5:$Q$1204,"Yes"),2)))</f>
        <v>0</v>
      </c>
      <c r="AG365" s="26">
        <f>IF(B365="","",ROUND(AE365+AF365,2))</f>
        <v>0</v>
      </c>
      <c r="AH365" s="26">
        <f>IF(B365="","",ROUND(AA365-AG365,2))</f>
        <v>0</v>
      </c>
      <c r="AI365" s="39">
        <f>IF(B365="","",IF(AA365&lt;=0,"No charge",IF(AH365&lt;=0.004,"Paid",IF(AG365&lt;=0.004,"Unpaid","Part paid"))))</f>
        <v>0</v>
      </c>
      <c r="AJ365" s="38">
        <f>IF(B365="","",IF(H365&lt;&gt;"Service","",IF(D365="","No",IF(COUNTIFS($D$5:$D$1204,D365,$B$5:$B$1204,B365,$H$5:$H$1204,"Retail")&gt;0,"Yes","No"))))</f>
        <v>0</v>
      </c>
      <c r="AK365" s="25">
        <f>IF(B365="","",COUNTIFS($Y$5:$Y$1204,"&gt;"&amp;Y365)+COUNTIFS($Y$5:Y365,Y365))</f>
        <v>0</v>
      </c>
      <c r="AL365" s="39">
        <f>IF(B365="","",IF(H365="","Add - what kind of sale is this?",IF(IF(V365&lt;=0,P365="",FALSE),"Check - no price found for this item",IF(F365="","Assign - nobody credited",IF(AH365&gt;0.004,"Unpaid - balance outstanding",IF(AC365&lt;0,"Loss - sold below cost",IF(X365&gt;W365*0.5,"Check - more than half off","OK")))))))</f>
        <v>0</v>
      </c>
    </row>
    <row r="366" spans="1:38">
      <c r="A366" s="28">
        <f>IF(B366="","",SalePrefix&amp;TEXT(ROW()-4,"0000"))</f>
        <v>0</v>
      </c>
      <c r="E366" s="15">
        <f>IF(D366="","",IFERROR(INDEX(Clients!$B$5:$B$504,MATCH(D366,Clients!$A$5:$A$504,0)),"Walk-in"))</f>
        <v>0</v>
      </c>
      <c r="G366" s="15">
        <f>IF(F366="","",IFERROR(INDEX(Staff!$B$5:$B$44,MATCH(F366,Staff!$A$5:$A$44,0)),"House"))</f>
        <v>0</v>
      </c>
      <c r="R366" s="15">
        <f>IF(B366="","",TEXT(B366,"yyyy-mm"))</f>
        <v>0</v>
      </c>
      <c r="S366" s="25">
        <f>IF(B366="","",WEEKNUM(B366,2))</f>
        <v>0</v>
      </c>
      <c r="T366" s="37">
        <f>IF(B366="","",IF(K366="",1,K366))</f>
        <v>0</v>
      </c>
      <c r="U366" s="15">
        <f>IF(B366="","",IF(J366&lt;&gt;"",J366,IF(H366="Retail",IFERROR(INDEX(Inventory!$B$5:$B$304,MATCH(I366,Inventory!$A$5:$A$304,0))&amp;"","Not in Inventory"),IFERROR(INDEX(Services!$B$5:$B$204,MATCH(I366,Services!$A$5:$A$204,0))&amp;"","Not in Services"))))</f>
        <v>0</v>
      </c>
      <c r="V366" s="26">
        <f>IF(B366="","",IF(L366&lt;&gt;"",L366,IF(H366="Retail",IFERROR(INDEX(Inventory!$I$5:$I$304,MATCH(I366,Inventory!$A$5:$A$304,0))*1,0),IFERROR(INDEX(Services!$G$5:$G$204,MATCH(I366,Services!$A$5:$A$204,0))*1,0))))</f>
        <v>0</v>
      </c>
      <c r="W366" s="26">
        <f>IF(B366="","",ROUND(T366*V366,2))</f>
        <v>0</v>
      </c>
      <c r="X366" s="26">
        <f>IF(B366="","",ROUND(IF(M366="",0,W366*M366)+IF(N366="",0,N366),2))</f>
        <v>0</v>
      </c>
      <c r="Y366" s="26">
        <f>IF(B366="","",ROUND(W366-X366-IF(P366="",0,P366),2))</f>
        <v>0</v>
      </c>
      <c r="Z366" s="26">
        <f>IF(B366="","",IF(H366="Retail",IF(TaxOnRetail="Yes",ROUND(Y366*TaxRate,2),0),IF(H366="Service",IF(TaxOnServices="Yes",ROUND(Y366*TaxRate,2),0),0)))</f>
        <v>0</v>
      </c>
      <c r="AA366" s="26">
        <f>IF(B366="","",ROUND(Y366+Z366,2))</f>
        <v>0</v>
      </c>
      <c r="AB366" s="26">
        <f>IF(B366="","",ROUND(T366*IF(H366="Retail",IFERROR(INDEX(Inventory!$H$5:$H$304,MATCH(I366,Inventory!$A$5:$A$304,0))*1,0),IFERROR(INDEX(Services!$Q$5:$Q$204,MATCH(I366,Services!$A$5:$A$204,0))*1,0)),2))</f>
        <v>0</v>
      </c>
      <c r="AC366" s="26">
        <f>IF(B366="","",ROUND(Y366-AB366,2))</f>
        <v>0</v>
      </c>
      <c r="AD366" s="38">
        <f>IF(B366="","",IF(C366="","No",IF(COUNTIFS($C$5:C366,C366)=1,"Yes","No")))</f>
        <v>0</v>
      </c>
      <c r="AE366" s="26">
        <f>IF(B366="","",ROUND(SUMIFS(Payments!$G$5:$G$1204,Payments!$H$5:$H$1204,A366,Payments!$Q$5:$Q$1204,"Yes"),2))</f>
        <v>0</v>
      </c>
      <c r="AF366" s="26">
        <f>IF(B366="","",IF(AD366="No",0,ROUND(SUMIFS(Payments!$G$5:$G$1204,Payments!$I$5:$I$1204,C366,Payments!$H$5:$H$1204,"",Payments!$Q$5:$Q$1204,"Yes"),2)))</f>
        <v>0</v>
      </c>
      <c r="AG366" s="26">
        <f>IF(B366="","",ROUND(AE366+AF366,2))</f>
        <v>0</v>
      </c>
      <c r="AH366" s="26">
        <f>IF(B366="","",ROUND(AA366-AG366,2))</f>
        <v>0</v>
      </c>
      <c r="AI366" s="39">
        <f>IF(B366="","",IF(AA366&lt;=0,"No charge",IF(AH366&lt;=0.004,"Paid",IF(AG366&lt;=0.004,"Unpaid","Part paid"))))</f>
        <v>0</v>
      </c>
      <c r="AJ366" s="38">
        <f>IF(B366="","",IF(H366&lt;&gt;"Service","",IF(D366="","No",IF(COUNTIFS($D$5:$D$1204,D366,$B$5:$B$1204,B366,$H$5:$H$1204,"Retail")&gt;0,"Yes","No"))))</f>
        <v>0</v>
      </c>
      <c r="AK366" s="25">
        <f>IF(B366="","",COUNTIFS($Y$5:$Y$1204,"&gt;"&amp;Y366)+COUNTIFS($Y$5:Y366,Y366))</f>
        <v>0</v>
      </c>
      <c r="AL366" s="39">
        <f>IF(B366="","",IF(H366="","Add - what kind of sale is this?",IF(IF(V366&lt;=0,P366="",FALSE),"Check - no price found for this item",IF(F366="","Assign - nobody credited",IF(AH366&gt;0.004,"Unpaid - balance outstanding",IF(AC366&lt;0,"Loss - sold below cost",IF(X366&gt;W366*0.5,"Check - more than half off","OK")))))))</f>
        <v>0</v>
      </c>
    </row>
    <row r="367" spans="1:38">
      <c r="A367" s="28">
        <f>IF(B367="","",SalePrefix&amp;TEXT(ROW()-4,"0000"))</f>
        <v>0</v>
      </c>
      <c r="E367" s="15">
        <f>IF(D367="","",IFERROR(INDEX(Clients!$B$5:$B$504,MATCH(D367,Clients!$A$5:$A$504,0)),"Walk-in"))</f>
        <v>0</v>
      </c>
      <c r="G367" s="15">
        <f>IF(F367="","",IFERROR(INDEX(Staff!$B$5:$B$44,MATCH(F367,Staff!$A$5:$A$44,0)),"House"))</f>
        <v>0</v>
      </c>
      <c r="R367" s="15">
        <f>IF(B367="","",TEXT(B367,"yyyy-mm"))</f>
        <v>0</v>
      </c>
      <c r="S367" s="25">
        <f>IF(B367="","",WEEKNUM(B367,2))</f>
        <v>0</v>
      </c>
      <c r="T367" s="37">
        <f>IF(B367="","",IF(K367="",1,K367))</f>
        <v>0</v>
      </c>
      <c r="U367" s="15">
        <f>IF(B367="","",IF(J367&lt;&gt;"",J367,IF(H367="Retail",IFERROR(INDEX(Inventory!$B$5:$B$304,MATCH(I367,Inventory!$A$5:$A$304,0))&amp;"","Not in Inventory"),IFERROR(INDEX(Services!$B$5:$B$204,MATCH(I367,Services!$A$5:$A$204,0))&amp;"","Not in Services"))))</f>
        <v>0</v>
      </c>
      <c r="V367" s="26">
        <f>IF(B367="","",IF(L367&lt;&gt;"",L367,IF(H367="Retail",IFERROR(INDEX(Inventory!$I$5:$I$304,MATCH(I367,Inventory!$A$5:$A$304,0))*1,0),IFERROR(INDEX(Services!$G$5:$G$204,MATCH(I367,Services!$A$5:$A$204,0))*1,0))))</f>
        <v>0</v>
      </c>
      <c r="W367" s="26">
        <f>IF(B367="","",ROUND(T367*V367,2))</f>
        <v>0</v>
      </c>
      <c r="X367" s="26">
        <f>IF(B367="","",ROUND(IF(M367="",0,W367*M367)+IF(N367="",0,N367),2))</f>
        <v>0</v>
      </c>
      <c r="Y367" s="26">
        <f>IF(B367="","",ROUND(W367-X367-IF(P367="",0,P367),2))</f>
        <v>0</v>
      </c>
      <c r="Z367" s="26">
        <f>IF(B367="","",IF(H367="Retail",IF(TaxOnRetail="Yes",ROUND(Y367*TaxRate,2),0),IF(H367="Service",IF(TaxOnServices="Yes",ROUND(Y367*TaxRate,2),0),0)))</f>
        <v>0</v>
      </c>
      <c r="AA367" s="26">
        <f>IF(B367="","",ROUND(Y367+Z367,2))</f>
        <v>0</v>
      </c>
      <c r="AB367" s="26">
        <f>IF(B367="","",ROUND(T367*IF(H367="Retail",IFERROR(INDEX(Inventory!$H$5:$H$304,MATCH(I367,Inventory!$A$5:$A$304,0))*1,0),IFERROR(INDEX(Services!$Q$5:$Q$204,MATCH(I367,Services!$A$5:$A$204,0))*1,0)),2))</f>
        <v>0</v>
      </c>
      <c r="AC367" s="26">
        <f>IF(B367="","",ROUND(Y367-AB367,2))</f>
        <v>0</v>
      </c>
      <c r="AD367" s="38">
        <f>IF(B367="","",IF(C367="","No",IF(COUNTIFS($C$5:C367,C367)=1,"Yes","No")))</f>
        <v>0</v>
      </c>
      <c r="AE367" s="26">
        <f>IF(B367="","",ROUND(SUMIFS(Payments!$G$5:$G$1204,Payments!$H$5:$H$1204,A367,Payments!$Q$5:$Q$1204,"Yes"),2))</f>
        <v>0</v>
      </c>
      <c r="AF367" s="26">
        <f>IF(B367="","",IF(AD367="No",0,ROUND(SUMIFS(Payments!$G$5:$G$1204,Payments!$I$5:$I$1204,C367,Payments!$H$5:$H$1204,"",Payments!$Q$5:$Q$1204,"Yes"),2)))</f>
        <v>0</v>
      </c>
      <c r="AG367" s="26">
        <f>IF(B367="","",ROUND(AE367+AF367,2))</f>
        <v>0</v>
      </c>
      <c r="AH367" s="26">
        <f>IF(B367="","",ROUND(AA367-AG367,2))</f>
        <v>0</v>
      </c>
      <c r="AI367" s="39">
        <f>IF(B367="","",IF(AA367&lt;=0,"No charge",IF(AH367&lt;=0.004,"Paid",IF(AG367&lt;=0.004,"Unpaid","Part paid"))))</f>
        <v>0</v>
      </c>
      <c r="AJ367" s="38">
        <f>IF(B367="","",IF(H367&lt;&gt;"Service","",IF(D367="","No",IF(COUNTIFS($D$5:$D$1204,D367,$B$5:$B$1204,B367,$H$5:$H$1204,"Retail")&gt;0,"Yes","No"))))</f>
        <v>0</v>
      </c>
      <c r="AK367" s="25">
        <f>IF(B367="","",COUNTIFS($Y$5:$Y$1204,"&gt;"&amp;Y367)+COUNTIFS($Y$5:Y367,Y367))</f>
        <v>0</v>
      </c>
      <c r="AL367" s="39">
        <f>IF(B367="","",IF(H367="","Add - what kind of sale is this?",IF(IF(V367&lt;=0,P367="",FALSE),"Check - no price found for this item",IF(F367="","Assign - nobody credited",IF(AH367&gt;0.004,"Unpaid - balance outstanding",IF(AC367&lt;0,"Loss - sold below cost",IF(X367&gt;W367*0.5,"Check - more than half off","OK")))))))</f>
        <v>0</v>
      </c>
    </row>
    <row r="368" spans="1:38">
      <c r="A368" s="28">
        <f>IF(B368="","",SalePrefix&amp;TEXT(ROW()-4,"0000"))</f>
        <v>0</v>
      </c>
      <c r="E368" s="15">
        <f>IF(D368="","",IFERROR(INDEX(Clients!$B$5:$B$504,MATCH(D368,Clients!$A$5:$A$504,0)),"Walk-in"))</f>
        <v>0</v>
      </c>
      <c r="G368" s="15">
        <f>IF(F368="","",IFERROR(INDEX(Staff!$B$5:$B$44,MATCH(F368,Staff!$A$5:$A$44,0)),"House"))</f>
        <v>0</v>
      </c>
      <c r="R368" s="15">
        <f>IF(B368="","",TEXT(B368,"yyyy-mm"))</f>
        <v>0</v>
      </c>
      <c r="S368" s="25">
        <f>IF(B368="","",WEEKNUM(B368,2))</f>
        <v>0</v>
      </c>
      <c r="T368" s="37">
        <f>IF(B368="","",IF(K368="",1,K368))</f>
        <v>0</v>
      </c>
      <c r="U368" s="15">
        <f>IF(B368="","",IF(J368&lt;&gt;"",J368,IF(H368="Retail",IFERROR(INDEX(Inventory!$B$5:$B$304,MATCH(I368,Inventory!$A$5:$A$304,0))&amp;"","Not in Inventory"),IFERROR(INDEX(Services!$B$5:$B$204,MATCH(I368,Services!$A$5:$A$204,0))&amp;"","Not in Services"))))</f>
        <v>0</v>
      </c>
      <c r="V368" s="26">
        <f>IF(B368="","",IF(L368&lt;&gt;"",L368,IF(H368="Retail",IFERROR(INDEX(Inventory!$I$5:$I$304,MATCH(I368,Inventory!$A$5:$A$304,0))*1,0),IFERROR(INDEX(Services!$G$5:$G$204,MATCH(I368,Services!$A$5:$A$204,0))*1,0))))</f>
        <v>0</v>
      </c>
      <c r="W368" s="26">
        <f>IF(B368="","",ROUND(T368*V368,2))</f>
        <v>0</v>
      </c>
      <c r="X368" s="26">
        <f>IF(B368="","",ROUND(IF(M368="",0,W368*M368)+IF(N368="",0,N368),2))</f>
        <v>0</v>
      </c>
      <c r="Y368" s="26">
        <f>IF(B368="","",ROUND(W368-X368-IF(P368="",0,P368),2))</f>
        <v>0</v>
      </c>
      <c r="Z368" s="26">
        <f>IF(B368="","",IF(H368="Retail",IF(TaxOnRetail="Yes",ROUND(Y368*TaxRate,2),0),IF(H368="Service",IF(TaxOnServices="Yes",ROUND(Y368*TaxRate,2),0),0)))</f>
        <v>0</v>
      </c>
      <c r="AA368" s="26">
        <f>IF(B368="","",ROUND(Y368+Z368,2))</f>
        <v>0</v>
      </c>
      <c r="AB368" s="26">
        <f>IF(B368="","",ROUND(T368*IF(H368="Retail",IFERROR(INDEX(Inventory!$H$5:$H$304,MATCH(I368,Inventory!$A$5:$A$304,0))*1,0),IFERROR(INDEX(Services!$Q$5:$Q$204,MATCH(I368,Services!$A$5:$A$204,0))*1,0)),2))</f>
        <v>0</v>
      </c>
      <c r="AC368" s="26">
        <f>IF(B368="","",ROUND(Y368-AB368,2))</f>
        <v>0</v>
      </c>
      <c r="AD368" s="38">
        <f>IF(B368="","",IF(C368="","No",IF(COUNTIFS($C$5:C368,C368)=1,"Yes","No")))</f>
        <v>0</v>
      </c>
      <c r="AE368" s="26">
        <f>IF(B368="","",ROUND(SUMIFS(Payments!$G$5:$G$1204,Payments!$H$5:$H$1204,A368,Payments!$Q$5:$Q$1204,"Yes"),2))</f>
        <v>0</v>
      </c>
      <c r="AF368" s="26">
        <f>IF(B368="","",IF(AD368="No",0,ROUND(SUMIFS(Payments!$G$5:$G$1204,Payments!$I$5:$I$1204,C368,Payments!$H$5:$H$1204,"",Payments!$Q$5:$Q$1204,"Yes"),2)))</f>
        <v>0</v>
      </c>
      <c r="AG368" s="26">
        <f>IF(B368="","",ROUND(AE368+AF368,2))</f>
        <v>0</v>
      </c>
      <c r="AH368" s="26">
        <f>IF(B368="","",ROUND(AA368-AG368,2))</f>
        <v>0</v>
      </c>
      <c r="AI368" s="39">
        <f>IF(B368="","",IF(AA368&lt;=0,"No charge",IF(AH368&lt;=0.004,"Paid",IF(AG368&lt;=0.004,"Unpaid","Part paid"))))</f>
        <v>0</v>
      </c>
      <c r="AJ368" s="38">
        <f>IF(B368="","",IF(H368&lt;&gt;"Service","",IF(D368="","No",IF(COUNTIFS($D$5:$D$1204,D368,$B$5:$B$1204,B368,$H$5:$H$1204,"Retail")&gt;0,"Yes","No"))))</f>
        <v>0</v>
      </c>
      <c r="AK368" s="25">
        <f>IF(B368="","",COUNTIFS($Y$5:$Y$1204,"&gt;"&amp;Y368)+COUNTIFS($Y$5:Y368,Y368))</f>
        <v>0</v>
      </c>
      <c r="AL368" s="39">
        <f>IF(B368="","",IF(H368="","Add - what kind of sale is this?",IF(IF(V368&lt;=0,P368="",FALSE),"Check - no price found for this item",IF(F368="","Assign - nobody credited",IF(AH368&gt;0.004,"Unpaid - balance outstanding",IF(AC368&lt;0,"Loss - sold below cost",IF(X368&gt;W368*0.5,"Check - more than half off","OK")))))))</f>
        <v>0</v>
      </c>
    </row>
    <row r="369" spans="1:38">
      <c r="A369" s="28">
        <f>IF(B369="","",SalePrefix&amp;TEXT(ROW()-4,"0000"))</f>
        <v>0</v>
      </c>
      <c r="E369" s="15">
        <f>IF(D369="","",IFERROR(INDEX(Clients!$B$5:$B$504,MATCH(D369,Clients!$A$5:$A$504,0)),"Walk-in"))</f>
        <v>0</v>
      </c>
      <c r="G369" s="15">
        <f>IF(F369="","",IFERROR(INDEX(Staff!$B$5:$B$44,MATCH(F369,Staff!$A$5:$A$44,0)),"House"))</f>
        <v>0</v>
      </c>
      <c r="R369" s="15">
        <f>IF(B369="","",TEXT(B369,"yyyy-mm"))</f>
        <v>0</v>
      </c>
      <c r="S369" s="25">
        <f>IF(B369="","",WEEKNUM(B369,2))</f>
        <v>0</v>
      </c>
      <c r="T369" s="37">
        <f>IF(B369="","",IF(K369="",1,K369))</f>
        <v>0</v>
      </c>
      <c r="U369" s="15">
        <f>IF(B369="","",IF(J369&lt;&gt;"",J369,IF(H369="Retail",IFERROR(INDEX(Inventory!$B$5:$B$304,MATCH(I369,Inventory!$A$5:$A$304,0))&amp;"","Not in Inventory"),IFERROR(INDEX(Services!$B$5:$B$204,MATCH(I369,Services!$A$5:$A$204,0))&amp;"","Not in Services"))))</f>
        <v>0</v>
      </c>
      <c r="V369" s="26">
        <f>IF(B369="","",IF(L369&lt;&gt;"",L369,IF(H369="Retail",IFERROR(INDEX(Inventory!$I$5:$I$304,MATCH(I369,Inventory!$A$5:$A$304,0))*1,0),IFERROR(INDEX(Services!$G$5:$G$204,MATCH(I369,Services!$A$5:$A$204,0))*1,0))))</f>
        <v>0</v>
      </c>
      <c r="W369" s="26">
        <f>IF(B369="","",ROUND(T369*V369,2))</f>
        <v>0</v>
      </c>
      <c r="X369" s="26">
        <f>IF(B369="","",ROUND(IF(M369="",0,W369*M369)+IF(N369="",0,N369),2))</f>
        <v>0</v>
      </c>
      <c r="Y369" s="26">
        <f>IF(B369="","",ROUND(W369-X369-IF(P369="",0,P369),2))</f>
        <v>0</v>
      </c>
      <c r="Z369" s="26">
        <f>IF(B369="","",IF(H369="Retail",IF(TaxOnRetail="Yes",ROUND(Y369*TaxRate,2),0),IF(H369="Service",IF(TaxOnServices="Yes",ROUND(Y369*TaxRate,2),0),0)))</f>
        <v>0</v>
      </c>
      <c r="AA369" s="26">
        <f>IF(B369="","",ROUND(Y369+Z369,2))</f>
        <v>0</v>
      </c>
      <c r="AB369" s="26">
        <f>IF(B369="","",ROUND(T369*IF(H369="Retail",IFERROR(INDEX(Inventory!$H$5:$H$304,MATCH(I369,Inventory!$A$5:$A$304,0))*1,0),IFERROR(INDEX(Services!$Q$5:$Q$204,MATCH(I369,Services!$A$5:$A$204,0))*1,0)),2))</f>
        <v>0</v>
      </c>
      <c r="AC369" s="26">
        <f>IF(B369="","",ROUND(Y369-AB369,2))</f>
        <v>0</v>
      </c>
      <c r="AD369" s="38">
        <f>IF(B369="","",IF(C369="","No",IF(COUNTIFS($C$5:C369,C369)=1,"Yes","No")))</f>
        <v>0</v>
      </c>
      <c r="AE369" s="26">
        <f>IF(B369="","",ROUND(SUMIFS(Payments!$G$5:$G$1204,Payments!$H$5:$H$1204,A369,Payments!$Q$5:$Q$1204,"Yes"),2))</f>
        <v>0</v>
      </c>
      <c r="AF369" s="26">
        <f>IF(B369="","",IF(AD369="No",0,ROUND(SUMIFS(Payments!$G$5:$G$1204,Payments!$I$5:$I$1204,C369,Payments!$H$5:$H$1204,"",Payments!$Q$5:$Q$1204,"Yes"),2)))</f>
        <v>0</v>
      </c>
      <c r="AG369" s="26">
        <f>IF(B369="","",ROUND(AE369+AF369,2))</f>
        <v>0</v>
      </c>
      <c r="AH369" s="26">
        <f>IF(B369="","",ROUND(AA369-AG369,2))</f>
        <v>0</v>
      </c>
      <c r="AI369" s="39">
        <f>IF(B369="","",IF(AA369&lt;=0,"No charge",IF(AH369&lt;=0.004,"Paid",IF(AG369&lt;=0.004,"Unpaid","Part paid"))))</f>
        <v>0</v>
      </c>
      <c r="AJ369" s="38">
        <f>IF(B369="","",IF(H369&lt;&gt;"Service","",IF(D369="","No",IF(COUNTIFS($D$5:$D$1204,D369,$B$5:$B$1204,B369,$H$5:$H$1204,"Retail")&gt;0,"Yes","No"))))</f>
        <v>0</v>
      </c>
      <c r="AK369" s="25">
        <f>IF(B369="","",COUNTIFS($Y$5:$Y$1204,"&gt;"&amp;Y369)+COUNTIFS($Y$5:Y369,Y369))</f>
        <v>0</v>
      </c>
      <c r="AL369" s="39">
        <f>IF(B369="","",IF(H369="","Add - what kind of sale is this?",IF(IF(V369&lt;=0,P369="",FALSE),"Check - no price found for this item",IF(F369="","Assign - nobody credited",IF(AH369&gt;0.004,"Unpaid - balance outstanding",IF(AC369&lt;0,"Loss - sold below cost",IF(X369&gt;W369*0.5,"Check - more than half off","OK")))))))</f>
        <v>0</v>
      </c>
    </row>
    <row r="370" spans="1:38">
      <c r="A370" s="28">
        <f>IF(B370="","",SalePrefix&amp;TEXT(ROW()-4,"0000"))</f>
        <v>0</v>
      </c>
      <c r="E370" s="15">
        <f>IF(D370="","",IFERROR(INDEX(Clients!$B$5:$B$504,MATCH(D370,Clients!$A$5:$A$504,0)),"Walk-in"))</f>
        <v>0</v>
      </c>
      <c r="G370" s="15">
        <f>IF(F370="","",IFERROR(INDEX(Staff!$B$5:$B$44,MATCH(F370,Staff!$A$5:$A$44,0)),"House"))</f>
        <v>0</v>
      </c>
      <c r="R370" s="15">
        <f>IF(B370="","",TEXT(B370,"yyyy-mm"))</f>
        <v>0</v>
      </c>
      <c r="S370" s="25">
        <f>IF(B370="","",WEEKNUM(B370,2))</f>
        <v>0</v>
      </c>
      <c r="T370" s="37">
        <f>IF(B370="","",IF(K370="",1,K370))</f>
        <v>0</v>
      </c>
      <c r="U370" s="15">
        <f>IF(B370="","",IF(J370&lt;&gt;"",J370,IF(H370="Retail",IFERROR(INDEX(Inventory!$B$5:$B$304,MATCH(I370,Inventory!$A$5:$A$304,0))&amp;"","Not in Inventory"),IFERROR(INDEX(Services!$B$5:$B$204,MATCH(I370,Services!$A$5:$A$204,0))&amp;"","Not in Services"))))</f>
        <v>0</v>
      </c>
      <c r="V370" s="26">
        <f>IF(B370="","",IF(L370&lt;&gt;"",L370,IF(H370="Retail",IFERROR(INDEX(Inventory!$I$5:$I$304,MATCH(I370,Inventory!$A$5:$A$304,0))*1,0),IFERROR(INDEX(Services!$G$5:$G$204,MATCH(I370,Services!$A$5:$A$204,0))*1,0))))</f>
        <v>0</v>
      </c>
      <c r="W370" s="26">
        <f>IF(B370="","",ROUND(T370*V370,2))</f>
        <v>0</v>
      </c>
      <c r="X370" s="26">
        <f>IF(B370="","",ROUND(IF(M370="",0,W370*M370)+IF(N370="",0,N370),2))</f>
        <v>0</v>
      </c>
      <c r="Y370" s="26">
        <f>IF(B370="","",ROUND(W370-X370-IF(P370="",0,P370),2))</f>
        <v>0</v>
      </c>
      <c r="Z370" s="26">
        <f>IF(B370="","",IF(H370="Retail",IF(TaxOnRetail="Yes",ROUND(Y370*TaxRate,2),0),IF(H370="Service",IF(TaxOnServices="Yes",ROUND(Y370*TaxRate,2),0),0)))</f>
        <v>0</v>
      </c>
      <c r="AA370" s="26">
        <f>IF(B370="","",ROUND(Y370+Z370,2))</f>
        <v>0</v>
      </c>
      <c r="AB370" s="26">
        <f>IF(B370="","",ROUND(T370*IF(H370="Retail",IFERROR(INDEX(Inventory!$H$5:$H$304,MATCH(I370,Inventory!$A$5:$A$304,0))*1,0),IFERROR(INDEX(Services!$Q$5:$Q$204,MATCH(I370,Services!$A$5:$A$204,0))*1,0)),2))</f>
        <v>0</v>
      </c>
      <c r="AC370" s="26">
        <f>IF(B370="","",ROUND(Y370-AB370,2))</f>
        <v>0</v>
      </c>
      <c r="AD370" s="38">
        <f>IF(B370="","",IF(C370="","No",IF(COUNTIFS($C$5:C370,C370)=1,"Yes","No")))</f>
        <v>0</v>
      </c>
      <c r="AE370" s="26">
        <f>IF(B370="","",ROUND(SUMIFS(Payments!$G$5:$G$1204,Payments!$H$5:$H$1204,A370,Payments!$Q$5:$Q$1204,"Yes"),2))</f>
        <v>0</v>
      </c>
      <c r="AF370" s="26">
        <f>IF(B370="","",IF(AD370="No",0,ROUND(SUMIFS(Payments!$G$5:$G$1204,Payments!$I$5:$I$1204,C370,Payments!$H$5:$H$1204,"",Payments!$Q$5:$Q$1204,"Yes"),2)))</f>
        <v>0</v>
      </c>
      <c r="AG370" s="26">
        <f>IF(B370="","",ROUND(AE370+AF370,2))</f>
        <v>0</v>
      </c>
      <c r="AH370" s="26">
        <f>IF(B370="","",ROUND(AA370-AG370,2))</f>
        <v>0</v>
      </c>
      <c r="AI370" s="39">
        <f>IF(B370="","",IF(AA370&lt;=0,"No charge",IF(AH370&lt;=0.004,"Paid",IF(AG370&lt;=0.004,"Unpaid","Part paid"))))</f>
        <v>0</v>
      </c>
      <c r="AJ370" s="38">
        <f>IF(B370="","",IF(H370&lt;&gt;"Service","",IF(D370="","No",IF(COUNTIFS($D$5:$D$1204,D370,$B$5:$B$1204,B370,$H$5:$H$1204,"Retail")&gt;0,"Yes","No"))))</f>
        <v>0</v>
      </c>
      <c r="AK370" s="25">
        <f>IF(B370="","",COUNTIFS($Y$5:$Y$1204,"&gt;"&amp;Y370)+COUNTIFS($Y$5:Y370,Y370))</f>
        <v>0</v>
      </c>
      <c r="AL370" s="39">
        <f>IF(B370="","",IF(H370="","Add - what kind of sale is this?",IF(IF(V370&lt;=0,P370="",FALSE),"Check - no price found for this item",IF(F370="","Assign - nobody credited",IF(AH370&gt;0.004,"Unpaid - balance outstanding",IF(AC370&lt;0,"Loss - sold below cost",IF(X370&gt;W370*0.5,"Check - more than half off","OK")))))))</f>
        <v>0</v>
      </c>
    </row>
    <row r="371" spans="1:38">
      <c r="A371" s="28">
        <f>IF(B371="","",SalePrefix&amp;TEXT(ROW()-4,"0000"))</f>
        <v>0</v>
      </c>
      <c r="E371" s="15">
        <f>IF(D371="","",IFERROR(INDEX(Clients!$B$5:$B$504,MATCH(D371,Clients!$A$5:$A$504,0)),"Walk-in"))</f>
        <v>0</v>
      </c>
      <c r="G371" s="15">
        <f>IF(F371="","",IFERROR(INDEX(Staff!$B$5:$B$44,MATCH(F371,Staff!$A$5:$A$44,0)),"House"))</f>
        <v>0</v>
      </c>
      <c r="R371" s="15">
        <f>IF(B371="","",TEXT(B371,"yyyy-mm"))</f>
        <v>0</v>
      </c>
      <c r="S371" s="25">
        <f>IF(B371="","",WEEKNUM(B371,2))</f>
        <v>0</v>
      </c>
      <c r="T371" s="37">
        <f>IF(B371="","",IF(K371="",1,K371))</f>
        <v>0</v>
      </c>
      <c r="U371" s="15">
        <f>IF(B371="","",IF(J371&lt;&gt;"",J371,IF(H371="Retail",IFERROR(INDEX(Inventory!$B$5:$B$304,MATCH(I371,Inventory!$A$5:$A$304,0))&amp;"","Not in Inventory"),IFERROR(INDEX(Services!$B$5:$B$204,MATCH(I371,Services!$A$5:$A$204,0))&amp;"","Not in Services"))))</f>
        <v>0</v>
      </c>
      <c r="V371" s="26">
        <f>IF(B371="","",IF(L371&lt;&gt;"",L371,IF(H371="Retail",IFERROR(INDEX(Inventory!$I$5:$I$304,MATCH(I371,Inventory!$A$5:$A$304,0))*1,0),IFERROR(INDEX(Services!$G$5:$G$204,MATCH(I371,Services!$A$5:$A$204,0))*1,0))))</f>
        <v>0</v>
      </c>
      <c r="W371" s="26">
        <f>IF(B371="","",ROUND(T371*V371,2))</f>
        <v>0</v>
      </c>
      <c r="X371" s="26">
        <f>IF(B371="","",ROUND(IF(M371="",0,W371*M371)+IF(N371="",0,N371),2))</f>
        <v>0</v>
      </c>
      <c r="Y371" s="26">
        <f>IF(B371="","",ROUND(W371-X371-IF(P371="",0,P371),2))</f>
        <v>0</v>
      </c>
      <c r="Z371" s="26">
        <f>IF(B371="","",IF(H371="Retail",IF(TaxOnRetail="Yes",ROUND(Y371*TaxRate,2),0),IF(H371="Service",IF(TaxOnServices="Yes",ROUND(Y371*TaxRate,2),0),0)))</f>
        <v>0</v>
      </c>
      <c r="AA371" s="26">
        <f>IF(B371="","",ROUND(Y371+Z371,2))</f>
        <v>0</v>
      </c>
      <c r="AB371" s="26">
        <f>IF(B371="","",ROUND(T371*IF(H371="Retail",IFERROR(INDEX(Inventory!$H$5:$H$304,MATCH(I371,Inventory!$A$5:$A$304,0))*1,0),IFERROR(INDEX(Services!$Q$5:$Q$204,MATCH(I371,Services!$A$5:$A$204,0))*1,0)),2))</f>
        <v>0</v>
      </c>
      <c r="AC371" s="26">
        <f>IF(B371="","",ROUND(Y371-AB371,2))</f>
        <v>0</v>
      </c>
      <c r="AD371" s="38">
        <f>IF(B371="","",IF(C371="","No",IF(COUNTIFS($C$5:C371,C371)=1,"Yes","No")))</f>
        <v>0</v>
      </c>
      <c r="AE371" s="26">
        <f>IF(B371="","",ROUND(SUMIFS(Payments!$G$5:$G$1204,Payments!$H$5:$H$1204,A371,Payments!$Q$5:$Q$1204,"Yes"),2))</f>
        <v>0</v>
      </c>
      <c r="AF371" s="26">
        <f>IF(B371="","",IF(AD371="No",0,ROUND(SUMIFS(Payments!$G$5:$G$1204,Payments!$I$5:$I$1204,C371,Payments!$H$5:$H$1204,"",Payments!$Q$5:$Q$1204,"Yes"),2)))</f>
        <v>0</v>
      </c>
      <c r="AG371" s="26">
        <f>IF(B371="","",ROUND(AE371+AF371,2))</f>
        <v>0</v>
      </c>
      <c r="AH371" s="26">
        <f>IF(B371="","",ROUND(AA371-AG371,2))</f>
        <v>0</v>
      </c>
      <c r="AI371" s="39">
        <f>IF(B371="","",IF(AA371&lt;=0,"No charge",IF(AH371&lt;=0.004,"Paid",IF(AG371&lt;=0.004,"Unpaid","Part paid"))))</f>
        <v>0</v>
      </c>
      <c r="AJ371" s="38">
        <f>IF(B371="","",IF(H371&lt;&gt;"Service","",IF(D371="","No",IF(COUNTIFS($D$5:$D$1204,D371,$B$5:$B$1204,B371,$H$5:$H$1204,"Retail")&gt;0,"Yes","No"))))</f>
        <v>0</v>
      </c>
      <c r="AK371" s="25">
        <f>IF(B371="","",COUNTIFS($Y$5:$Y$1204,"&gt;"&amp;Y371)+COUNTIFS($Y$5:Y371,Y371))</f>
        <v>0</v>
      </c>
      <c r="AL371" s="39">
        <f>IF(B371="","",IF(H371="","Add - what kind of sale is this?",IF(IF(V371&lt;=0,P371="",FALSE),"Check - no price found for this item",IF(F371="","Assign - nobody credited",IF(AH371&gt;0.004,"Unpaid - balance outstanding",IF(AC371&lt;0,"Loss - sold below cost",IF(X371&gt;W371*0.5,"Check - more than half off","OK")))))))</f>
        <v>0</v>
      </c>
    </row>
    <row r="372" spans="1:38">
      <c r="A372" s="28">
        <f>IF(B372="","",SalePrefix&amp;TEXT(ROW()-4,"0000"))</f>
        <v>0</v>
      </c>
      <c r="E372" s="15">
        <f>IF(D372="","",IFERROR(INDEX(Clients!$B$5:$B$504,MATCH(D372,Clients!$A$5:$A$504,0)),"Walk-in"))</f>
        <v>0</v>
      </c>
      <c r="G372" s="15">
        <f>IF(F372="","",IFERROR(INDEX(Staff!$B$5:$B$44,MATCH(F372,Staff!$A$5:$A$44,0)),"House"))</f>
        <v>0</v>
      </c>
      <c r="R372" s="15">
        <f>IF(B372="","",TEXT(B372,"yyyy-mm"))</f>
        <v>0</v>
      </c>
      <c r="S372" s="25">
        <f>IF(B372="","",WEEKNUM(B372,2))</f>
        <v>0</v>
      </c>
      <c r="T372" s="37">
        <f>IF(B372="","",IF(K372="",1,K372))</f>
        <v>0</v>
      </c>
      <c r="U372" s="15">
        <f>IF(B372="","",IF(J372&lt;&gt;"",J372,IF(H372="Retail",IFERROR(INDEX(Inventory!$B$5:$B$304,MATCH(I372,Inventory!$A$5:$A$304,0))&amp;"","Not in Inventory"),IFERROR(INDEX(Services!$B$5:$B$204,MATCH(I372,Services!$A$5:$A$204,0))&amp;"","Not in Services"))))</f>
        <v>0</v>
      </c>
      <c r="V372" s="26">
        <f>IF(B372="","",IF(L372&lt;&gt;"",L372,IF(H372="Retail",IFERROR(INDEX(Inventory!$I$5:$I$304,MATCH(I372,Inventory!$A$5:$A$304,0))*1,0),IFERROR(INDEX(Services!$G$5:$G$204,MATCH(I372,Services!$A$5:$A$204,0))*1,0))))</f>
        <v>0</v>
      </c>
      <c r="W372" s="26">
        <f>IF(B372="","",ROUND(T372*V372,2))</f>
        <v>0</v>
      </c>
      <c r="X372" s="26">
        <f>IF(B372="","",ROUND(IF(M372="",0,W372*M372)+IF(N372="",0,N372),2))</f>
        <v>0</v>
      </c>
      <c r="Y372" s="26">
        <f>IF(B372="","",ROUND(W372-X372-IF(P372="",0,P372),2))</f>
        <v>0</v>
      </c>
      <c r="Z372" s="26">
        <f>IF(B372="","",IF(H372="Retail",IF(TaxOnRetail="Yes",ROUND(Y372*TaxRate,2),0),IF(H372="Service",IF(TaxOnServices="Yes",ROUND(Y372*TaxRate,2),0),0)))</f>
        <v>0</v>
      </c>
      <c r="AA372" s="26">
        <f>IF(B372="","",ROUND(Y372+Z372,2))</f>
        <v>0</v>
      </c>
      <c r="AB372" s="26">
        <f>IF(B372="","",ROUND(T372*IF(H372="Retail",IFERROR(INDEX(Inventory!$H$5:$H$304,MATCH(I372,Inventory!$A$5:$A$304,0))*1,0),IFERROR(INDEX(Services!$Q$5:$Q$204,MATCH(I372,Services!$A$5:$A$204,0))*1,0)),2))</f>
        <v>0</v>
      </c>
      <c r="AC372" s="26">
        <f>IF(B372="","",ROUND(Y372-AB372,2))</f>
        <v>0</v>
      </c>
      <c r="AD372" s="38">
        <f>IF(B372="","",IF(C372="","No",IF(COUNTIFS($C$5:C372,C372)=1,"Yes","No")))</f>
        <v>0</v>
      </c>
      <c r="AE372" s="26">
        <f>IF(B372="","",ROUND(SUMIFS(Payments!$G$5:$G$1204,Payments!$H$5:$H$1204,A372,Payments!$Q$5:$Q$1204,"Yes"),2))</f>
        <v>0</v>
      </c>
      <c r="AF372" s="26">
        <f>IF(B372="","",IF(AD372="No",0,ROUND(SUMIFS(Payments!$G$5:$G$1204,Payments!$I$5:$I$1204,C372,Payments!$H$5:$H$1204,"",Payments!$Q$5:$Q$1204,"Yes"),2)))</f>
        <v>0</v>
      </c>
      <c r="AG372" s="26">
        <f>IF(B372="","",ROUND(AE372+AF372,2))</f>
        <v>0</v>
      </c>
      <c r="AH372" s="26">
        <f>IF(B372="","",ROUND(AA372-AG372,2))</f>
        <v>0</v>
      </c>
      <c r="AI372" s="39">
        <f>IF(B372="","",IF(AA372&lt;=0,"No charge",IF(AH372&lt;=0.004,"Paid",IF(AG372&lt;=0.004,"Unpaid","Part paid"))))</f>
        <v>0</v>
      </c>
      <c r="AJ372" s="38">
        <f>IF(B372="","",IF(H372&lt;&gt;"Service","",IF(D372="","No",IF(COUNTIFS($D$5:$D$1204,D372,$B$5:$B$1204,B372,$H$5:$H$1204,"Retail")&gt;0,"Yes","No"))))</f>
        <v>0</v>
      </c>
      <c r="AK372" s="25">
        <f>IF(B372="","",COUNTIFS($Y$5:$Y$1204,"&gt;"&amp;Y372)+COUNTIFS($Y$5:Y372,Y372))</f>
        <v>0</v>
      </c>
      <c r="AL372" s="39">
        <f>IF(B372="","",IF(H372="","Add - what kind of sale is this?",IF(IF(V372&lt;=0,P372="",FALSE),"Check - no price found for this item",IF(F372="","Assign - nobody credited",IF(AH372&gt;0.004,"Unpaid - balance outstanding",IF(AC372&lt;0,"Loss - sold below cost",IF(X372&gt;W372*0.5,"Check - more than half off","OK")))))))</f>
        <v>0</v>
      </c>
    </row>
    <row r="373" spans="1:38">
      <c r="A373" s="28">
        <f>IF(B373="","",SalePrefix&amp;TEXT(ROW()-4,"0000"))</f>
        <v>0</v>
      </c>
      <c r="E373" s="15">
        <f>IF(D373="","",IFERROR(INDEX(Clients!$B$5:$B$504,MATCH(D373,Clients!$A$5:$A$504,0)),"Walk-in"))</f>
        <v>0</v>
      </c>
      <c r="G373" s="15">
        <f>IF(F373="","",IFERROR(INDEX(Staff!$B$5:$B$44,MATCH(F373,Staff!$A$5:$A$44,0)),"House"))</f>
        <v>0</v>
      </c>
      <c r="R373" s="15">
        <f>IF(B373="","",TEXT(B373,"yyyy-mm"))</f>
        <v>0</v>
      </c>
      <c r="S373" s="25">
        <f>IF(B373="","",WEEKNUM(B373,2))</f>
        <v>0</v>
      </c>
      <c r="T373" s="37">
        <f>IF(B373="","",IF(K373="",1,K373))</f>
        <v>0</v>
      </c>
      <c r="U373" s="15">
        <f>IF(B373="","",IF(J373&lt;&gt;"",J373,IF(H373="Retail",IFERROR(INDEX(Inventory!$B$5:$B$304,MATCH(I373,Inventory!$A$5:$A$304,0))&amp;"","Not in Inventory"),IFERROR(INDEX(Services!$B$5:$B$204,MATCH(I373,Services!$A$5:$A$204,0))&amp;"","Not in Services"))))</f>
        <v>0</v>
      </c>
      <c r="V373" s="26">
        <f>IF(B373="","",IF(L373&lt;&gt;"",L373,IF(H373="Retail",IFERROR(INDEX(Inventory!$I$5:$I$304,MATCH(I373,Inventory!$A$5:$A$304,0))*1,0),IFERROR(INDEX(Services!$G$5:$G$204,MATCH(I373,Services!$A$5:$A$204,0))*1,0))))</f>
        <v>0</v>
      </c>
      <c r="W373" s="26">
        <f>IF(B373="","",ROUND(T373*V373,2))</f>
        <v>0</v>
      </c>
      <c r="X373" s="26">
        <f>IF(B373="","",ROUND(IF(M373="",0,W373*M373)+IF(N373="",0,N373),2))</f>
        <v>0</v>
      </c>
      <c r="Y373" s="26">
        <f>IF(B373="","",ROUND(W373-X373-IF(P373="",0,P373),2))</f>
        <v>0</v>
      </c>
      <c r="Z373" s="26">
        <f>IF(B373="","",IF(H373="Retail",IF(TaxOnRetail="Yes",ROUND(Y373*TaxRate,2),0),IF(H373="Service",IF(TaxOnServices="Yes",ROUND(Y373*TaxRate,2),0),0)))</f>
        <v>0</v>
      </c>
      <c r="AA373" s="26">
        <f>IF(B373="","",ROUND(Y373+Z373,2))</f>
        <v>0</v>
      </c>
      <c r="AB373" s="26">
        <f>IF(B373="","",ROUND(T373*IF(H373="Retail",IFERROR(INDEX(Inventory!$H$5:$H$304,MATCH(I373,Inventory!$A$5:$A$304,0))*1,0),IFERROR(INDEX(Services!$Q$5:$Q$204,MATCH(I373,Services!$A$5:$A$204,0))*1,0)),2))</f>
        <v>0</v>
      </c>
      <c r="AC373" s="26">
        <f>IF(B373="","",ROUND(Y373-AB373,2))</f>
        <v>0</v>
      </c>
      <c r="AD373" s="38">
        <f>IF(B373="","",IF(C373="","No",IF(COUNTIFS($C$5:C373,C373)=1,"Yes","No")))</f>
        <v>0</v>
      </c>
      <c r="AE373" s="26">
        <f>IF(B373="","",ROUND(SUMIFS(Payments!$G$5:$G$1204,Payments!$H$5:$H$1204,A373,Payments!$Q$5:$Q$1204,"Yes"),2))</f>
        <v>0</v>
      </c>
      <c r="AF373" s="26">
        <f>IF(B373="","",IF(AD373="No",0,ROUND(SUMIFS(Payments!$G$5:$G$1204,Payments!$I$5:$I$1204,C373,Payments!$H$5:$H$1204,"",Payments!$Q$5:$Q$1204,"Yes"),2)))</f>
        <v>0</v>
      </c>
      <c r="AG373" s="26">
        <f>IF(B373="","",ROUND(AE373+AF373,2))</f>
        <v>0</v>
      </c>
      <c r="AH373" s="26">
        <f>IF(B373="","",ROUND(AA373-AG373,2))</f>
        <v>0</v>
      </c>
      <c r="AI373" s="39">
        <f>IF(B373="","",IF(AA373&lt;=0,"No charge",IF(AH373&lt;=0.004,"Paid",IF(AG373&lt;=0.004,"Unpaid","Part paid"))))</f>
        <v>0</v>
      </c>
      <c r="AJ373" s="38">
        <f>IF(B373="","",IF(H373&lt;&gt;"Service","",IF(D373="","No",IF(COUNTIFS($D$5:$D$1204,D373,$B$5:$B$1204,B373,$H$5:$H$1204,"Retail")&gt;0,"Yes","No"))))</f>
        <v>0</v>
      </c>
      <c r="AK373" s="25">
        <f>IF(B373="","",COUNTIFS($Y$5:$Y$1204,"&gt;"&amp;Y373)+COUNTIFS($Y$5:Y373,Y373))</f>
        <v>0</v>
      </c>
      <c r="AL373" s="39">
        <f>IF(B373="","",IF(H373="","Add - what kind of sale is this?",IF(IF(V373&lt;=0,P373="",FALSE),"Check - no price found for this item",IF(F373="","Assign - nobody credited",IF(AH373&gt;0.004,"Unpaid - balance outstanding",IF(AC373&lt;0,"Loss - sold below cost",IF(X373&gt;W373*0.5,"Check - more than half off","OK")))))))</f>
        <v>0</v>
      </c>
    </row>
    <row r="374" spans="1:38">
      <c r="A374" s="28">
        <f>IF(B374="","",SalePrefix&amp;TEXT(ROW()-4,"0000"))</f>
        <v>0</v>
      </c>
      <c r="E374" s="15">
        <f>IF(D374="","",IFERROR(INDEX(Clients!$B$5:$B$504,MATCH(D374,Clients!$A$5:$A$504,0)),"Walk-in"))</f>
        <v>0</v>
      </c>
      <c r="G374" s="15">
        <f>IF(F374="","",IFERROR(INDEX(Staff!$B$5:$B$44,MATCH(F374,Staff!$A$5:$A$44,0)),"House"))</f>
        <v>0</v>
      </c>
      <c r="R374" s="15">
        <f>IF(B374="","",TEXT(B374,"yyyy-mm"))</f>
        <v>0</v>
      </c>
      <c r="S374" s="25">
        <f>IF(B374="","",WEEKNUM(B374,2))</f>
        <v>0</v>
      </c>
      <c r="T374" s="37">
        <f>IF(B374="","",IF(K374="",1,K374))</f>
        <v>0</v>
      </c>
      <c r="U374" s="15">
        <f>IF(B374="","",IF(J374&lt;&gt;"",J374,IF(H374="Retail",IFERROR(INDEX(Inventory!$B$5:$B$304,MATCH(I374,Inventory!$A$5:$A$304,0))&amp;"","Not in Inventory"),IFERROR(INDEX(Services!$B$5:$B$204,MATCH(I374,Services!$A$5:$A$204,0))&amp;"","Not in Services"))))</f>
        <v>0</v>
      </c>
      <c r="V374" s="26">
        <f>IF(B374="","",IF(L374&lt;&gt;"",L374,IF(H374="Retail",IFERROR(INDEX(Inventory!$I$5:$I$304,MATCH(I374,Inventory!$A$5:$A$304,0))*1,0),IFERROR(INDEX(Services!$G$5:$G$204,MATCH(I374,Services!$A$5:$A$204,0))*1,0))))</f>
        <v>0</v>
      </c>
      <c r="W374" s="26">
        <f>IF(B374="","",ROUND(T374*V374,2))</f>
        <v>0</v>
      </c>
      <c r="X374" s="26">
        <f>IF(B374="","",ROUND(IF(M374="",0,W374*M374)+IF(N374="",0,N374),2))</f>
        <v>0</v>
      </c>
      <c r="Y374" s="26">
        <f>IF(B374="","",ROUND(W374-X374-IF(P374="",0,P374),2))</f>
        <v>0</v>
      </c>
      <c r="Z374" s="26">
        <f>IF(B374="","",IF(H374="Retail",IF(TaxOnRetail="Yes",ROUND(Y374*TaxRate,2),0),IF(H374="Service",IF(TaxOnServices="Yes",ROUND(Y374*TaxRate,2),0),0)))</f>
        <v>0</v>
      </c>
      <c r="AA374" s="26">
        <f>IF(B374="","",ROUND(Y374+Z374,2))</f>
        <v>0</v>
      </c>
      <c r="AB374" s="26">
        <f>IF(B374="","",ROUND(T374*IF(H374="Retail",IFERROR(INDEX(Inventory!$H$5:$H$304,MATCH(I374,Inventory!$A$5:$A$304,0))*1,0),IFERROR(INDEX(Services!$Q$5:$Q$204,MATCH(I374,Services!$A$5:$A$204,0))*1,0)),2))</f>
        <v>0</v>
      </c>
      <c r="AC374" s="26">
        <f>IF(B374="","",ROUND(Y374-AB374,2))</f>
        <v>0</v>
      </c>
      <c r="AD374" s="38">
        <f>IF(B374="","",IF(C374="","No",IF(COUNTIFS($C$5:C374,C374)=1,"Yes","No")))</f>
        <v>0</v>
      </c>
      <c r="AE374" s="26">
        <f>IF(B374="","",ROUND(SUMIFS(Payments!$G$5:$G$1204,Payments!$H$5:$H$1204,A374,Payments!$Q$5:$Q$1204,"Yes"),2))</f>
        <v>0</v>
      </c>
      <c r="AF374" s="26">
        <f>IF(B374="","",IF(AD374="No",0,ROUND(SUMIFS(Payments!$G$5:$G$1204,Payments!$I$5:$I$1204,C374,Payments!$H$5:$H$1204,"",Payments!$Q$5:$Q$1204,"Yes"),2)))</f>
        <v>0</v>
      </c>
      <c r="AG374" s="26">
        <f>IF(B374="","",ROUND(AE374+AF374,2))</f>
        <v>0</v>
      </c>
      <c r="AH374" s="26">
        <f>IF(B374="","",ROUND(AA374-AG374,2))</f>
        <v>0</v>
      </c>
      <c r="AI374" s="39">
        <f>IF(B374="","",IF(AA374&lt;=0,"No charge",IF(AH374&lt;=0.004,"Paid",IF(AG374&lt;=0.004,"Unpaid","Part paid"))))</f>
        <v>0</v>
      </c>
      <c r="AJ374" s="38">
        <f>IF(B374="","",IF(H374&lt;&gt;"Service","",IF(D374="","No",IF(COUNTIFS($D$5:$D$1204,D374,$B$5:$B$1204,B374,$H$5:$H$1204,"Retail")&gt;0,"Yes","No"))))</f>
        <v>0</v>
      </c>
      <c r="AK374" s="25">
        <f>IF(B374="","",COUNTIFS($Y$5:$Y$1204,"&gt;"&amp;Y374)+COUNTIFS($Y$5:Y374,Y374))</f>
        <v>0</v>
      </c>
      <c r="AL374" s="39">
        <f>IF(B374="","",IF(H374="","Add - what kind of sale is this?",IF(IF(V374&lt;=0,P374="",FALSE),"Check - no price found for this item",IF(F374="","Assign - nobody credited",IF(AH374&gt;0.004,"Unpaid - balance outstanding",IF(AC374&lt;0,"Loss - sold below cost",IF(X374&gt;W374*0.5,"Check - more than half off","OK")))))))</f>
        <v>0</v>
      </c>
    </row>
    <row r="375" spans="1:38">
      <c r="A375" s="28">
        <f>IF(B375="","",SalePrefix&amp;TEXT(ROW()-4,"0000"))</f>
        <v>0</v>
      </c>
      <c r="E375" s="15">
        <f>IF(D375="","",IFERROR(INDEX(Clients!$B$5:$B$504,MATCH(D375,Clients!$A$5:$A$504,0)),"Walk-in"))</f>
        <v>0</v>
      </c>
      <c r="G375" s="15">
        <f>IF(F375="","",IFERROR(INDEX(Staff!$B$5:$B$44,MATCH(F375,Staff!$A$5:$A$44,0)),"House"))</f>
        <v>0</v>
      </c>
      <c r="R375" s="15">
        <f>IF(B375="","",TEXT(B375,"yyyy-mm"))</f>
        <v>0</v>
      </c>
      <c r="S375" s="25">
        <f>IF(B375="","",WEEKNUM(B375,2))</f>
        <v>0</v>
      </c>
      <c r="T375" s="37">
        <f>IF(B375="","",IF(K375="",1,K375))</f>
        <v>0</v>
      </c>
      <c r="U375" s="15">
        <f>IF(B375="","",IF(J375&lt;&gt;"",J375,IF(H375="Retail",IFERROR(INDEX(Inventory!$B$5:$B$304,MATCH(I375,Inventory!$A$5:$A$304,0))&amp;"","Not in Inventory"),IFERROR(INDEX(Services!$B$5:$B$204,MATCH(I375,Services!$A$5:$A$204,0))&amp;"","Not in Services"))))</f>
        <v>0</v>
      </c>
      <c r="V375" s="26">
        <f>IF(B375="","",IF(L375&lt;&gt;"",L375,IF(H375="Retail",IFERROR(INDEX(Inventory!$I$5:$I$304,MATCH(I375,Inventory!$A$5:$A$304,0))*1,0),IFERROR(INDEX(Services!$G$5:$G$204,MATCH(I375,Services!$A$5:$A$204,0))*1,0))))</f>
        <v>0</v>
      </c>
      <c r="W375" s="26">
        <f>IF(B375="","",ROUND(T375*V375,2))</f>
        <v>0</v>
      </c>
      <c r="X375" s="26">
        <f>IF(B375="","",ROUND(IF(M375="",0,W375*M375)+IF(N375="",0,N375),2))</f>
        <v>0</v>
      </c>
      <c r="Y375" s="26">
        <f>IF(B375="","",ROUND(W375-X375-IF(P375="",0,P375),2))</f>
        <v>0</v>
      </c>
      <c r="Z375" s="26">
        <f>IF(B375="","",IF(H375="Retail",IF(TaxOnRetail="Yes",ROUND(Y375*TaxRate,2),0),IF(H375="Service",IF(TaxOnServices="Yes",ROUND(Y375*TaxRate,2),0),0)))</f>
        <v>0</v>
      </c>
      <c r="AA375" s="26">
        <f>IF(B375="","",ROUND(Y375+Z375,2))</f>
        <v>0</v>
      </c>
      <c r="AB375" s="26">
        <f>IF(B375="","",ROUND(T375*IF(H375="Retail",IFERROR(INDEX(Inventory!$H$5:$H$304,MATCH(I375,Inventory!$A$5:$A$304,0))*1,0),IFERROR(INDEX(Services!$Q$5:$Q$204,MATCH(I375,Services!$A$5:$A$204,0))*1,0)),2))</f>
        <v>0</v>
      </c>
      <c r="AC375" s="26">
        <f>IF(B375="","",ROUND(Y375-AB375,2))</f>
        <v>0</v>
      </c>
      <c r="AD375" s="38">
        <f>IF(B375="","",IF(C375="","No",IF(COUNTIFS($C$5:C375,C375)=1,"Yes","No")))</f>
        <v>0</v>
      </c>
      <c r="AE375" s="26">
        <f>IF(B375="","",ROUND(SUMIFS(Payments!$G$5:$G$1204,Payments!$H$5:$H$1204,A375,Payments!$Q$5:$Q$1204,"Yes"),2))</f>
        <v>0</v>
      </c>
      <c r="AF375" s="26">
        <f>IF(B375="","",IF(AD375="No",0,ROUND(SUMIFS(Payments!$G$5:$G$1204,Payments!$I$5:$I$1204,C375,Payments!$H$5:$H$1204,"",Payments!$Q$5:$Q$1204,"Yes"),2)))</f>
        <v>0</v>
      </c>
      <c r="AG375" s="26">
        <f>IF(B375="","",ROUND(AE375+AF375,2))</f>
        <v>0</v>
      </c>
      <c r="AH375" s="26">
        <f>IF(B375="","",ROUND(AA375-AG375,2))</f>
        <v>0</v>
      </c>
      <c r="AI375" s="39">
        <f>IF(B375="","",IF(AA375&lt;=0,"No charge",IF(AH375&lt;=0.004,"Paid",IF(AG375&lt;=0.004,"Unpaid","Part paid"))))</f>
        <v>0</v>
      </c>
      <c r="AJ375" s="38">
        <f>IF(B375="","",IF(H375&lt;&gt;"Service","",IF(D375="","No",IF(COUNTIFS($D$5:$D$1204,D375,$B$5:$B$1204,B375,$H$5:$H$1204,"Retail")&gt;0,"Yes","No"))))</f>
        <v>0</v>
      </c>
      <c r="AK375" s="25">
        <f>IF(B375="","",COUNTIFS($Y$5:$Y$1204,"&gt;"&amp;Y375)+COUNTIFS($Y$5:Y375,Y375))</f>
        <v>0</v>
      </c>
      <c r="AL375" s="39">
        <f>IF(B375="","",IF(H375="","Add - what kind of sale is this?",IF(IF(V375&lt;=0,P375="",FALSE),"Check - no price found for this item",IF(F375="","Assign - nobody credited",IF(AH375&gt;0.004,"Unpaid - balance outstanding",IF(AC375&lt;0,"Loss - sold below cost",IF(X375&gt;W375*0.5,"Check - more than half off","OK")))))))</f>
        <v>0</v>
      </c>
    </row>
    <row r="376" spans="1:38">
      <c r="A376" s="28">
        <f>IF(B376="","",SalePrefix&amp;TEXT(ROW()-4,"0000"))</f>
        <v>0</v>
      </c>
      <c r="E376" s="15">
        <f>IF(D376="","",IFERROR(INDEX(Clients!$B$5:$B$504,MATCH(D376,Clients!$A$5:$A$504,0)),"Walk-in"))</f>
        <v>0</v>
      </c>
      <c r="G376" s="15">
        <f>IF(F376="","",IFERROR(INDEX(Staff!$B$5:$B$44,MATCH(F376,Staff!$A$5:$A$44,0)),"House"))</f>
        <v>0</v>
      </c>
      <c r="R376" s="15">
        <f>IF(B376="","",TEXT(B376,"yyyy-mm"))</f>
        <v>0</v>
      </c>
      <c r="S376" s="25">
        <f>IF(B376="","",WEEKNUM(B376,2))</f>
        <v>0</v>
      </c>
      <c r="T376" s="37">
        <f>IF(B376="","",IF(K376="",1,K376))</f>
        <v>0</v>
      </c>
      <c r="U376" s="15">
        <f>IF(B376="","",IF(J376&lt;&gt;"",J376,IF(H376="Retail",IFERROR(INDEX(Inventory!$B$5:$B$304,MATCH(I376,Inventory!$A$5:$A$304,0))&amp;"","Not in Inventory"),IFERROR(INDEX(Services!$B$5:$B$204,MATCH(I376,Services!$A$5:$A$204,0))&amp;"","Not in Services"))))</f>
        <v>0</v>
      </c>
      <c r="V376" s="26">
        <f>IF(B376="","",IF(L376&lt;&gt;"",L376,IF(H376="Retail",IFERROR(INDEX(Inventory!$I$5:$I$304,MATCH(I376,Inventory!$A$5:$A$304,0))*1,0),IFERROR(INDEX(Services!$G$5:$G$204,MATCH(I376,Services!$A$5:$A$204,0))*1,0))))</f>
        <v>0</v>
      </c>
      <c r="W376" s="26">
        <f>IF(B376="","",ROUND(T376*V376,2))</f>
        <v>0</v>
      </c>
      <c r="X376" s="26">
        <f>IF(B376="","",ROUND(IF(M376="",0,W376*M376)+IF(N376="",0,N376),2))</f>
        <v>0</v>
      </c>
      <c r="Y376" s="26">
        <f>IF(B376="","",ROUND(W376-X376-IF(P376="",0,P376),2))</f>
        <v>0</v>
      </c>
      <c r="Z376" s="26">
        <f>IF(B376="","",IF(H376="Retail",IF(TaxOnRetail="Yes",ROUND(Y376*TaxRate,2),0),IF(H376="Service",IF(TaxOnServices="Yes",ROUND(Y376*TaxRate,2),0),0)))</f>
        <v>0</v>
      </c>
      <c r="AA376" s="26">
        <f>IF(B376="","",ROUND(Y376+Z376,2))</f>
        <v>0</v>
      </c>
      <c r="AB376" s="26">
        <f>IF(B376="","",ROUND(T376*IF(H376="Retail",IFERROR(INDEX(Inventory!$H$5:$H$304,MATCH(I376,Inventory!$A$5:$A$304,0))*1,0),IFERROR(INDEX(Services!$Q$5:$Q$204,MATCH(I376,Services!$A$5:$A$204,0))*1,0)),2))</f>
        <v>0</v>
      </c>
      <c r="AC376" s="26">
        <f>IF(B376="","",ROUND(Y376-AB376,2))</f>
        <v>0</v>
      </c>
      <c r="AD376" s="38">
        <f>IF(B376="","",IF(C376="","No",IF(COUNTIFS($C$5:C376,C376)=1,"Yes","No")))</f>
        <v>0</v>
      </c>
      <c r="AE376" s="26">
        <f>IF(B376="","",ROUND(SUMIFS(Payments!$G$5:$G$1204,Payments!$H$5:$H$1204,A376,Payments!$Q$5:$Q$1204,"Yes"),2))</f>
        <v>0</v>
      </c>
      <c r="AF376" s="26">
        <f>IF(B376="","",IF(AD376="No",0,ROUND(SUMIFS(Payments!$G$5:$G$1204,Payments!$I$5:$I$1204,C376,Payments!$H$5:$H$1204,"",Payments!$Q$5:$Q$1204,"Yes"),2)))</f>
        <v>0</v>
      </c>
      <c r="AG376" s="26">
        <f>IF(B376="","",ROUND(AE376+AF376,2))</f>
        <v>0</v>
      </c>
      <c r="AH376" s="26">
        <f>IF(B376="","",ROUND(AA376-AG376,2))</f>
        <v>0</v>
      </c>
      <c r="AI376" s="39">
        <f>IF(B376="","",IF(AA376&lt;=0,"No charge",IF(AH376&lt;=0.004,"Paid",IF(AG376&lt;=0.004,"Unpaid","Part paid"))))</f>
        <v>0</v>
      </c>
      <c r="AJ376" s="38">
        <f>IF(B376="","",IF(H376&lt;&gt;"Service","",IF(D376="","No",IF(COUNTIFS($D$5:$D$1204,D376,$B$5:$B$1204,B376,$H$5:$H$1204,"Retail")&gt;0,"Yes","No"))))</f>
        <v>0</v>
      </c>
      <c r="AK376" s="25">
        <f>IF(B376="","",COUNTIFS($Y$5:$Y$1204,"&gt;"&amp;Y376)+COUNTIFS($Y$5:Y376,Y376))</f>
        <v>0</v>
      </c>
      <c r="AL376" s="39">
        <f>IF(B376="","",IF(H376="","Add - what kind of sale is this?",IF(IF(V376&lt;=0,P376="",FALSE),"Check - no price found for this item",IF(F376="","Assign - nobody credited",IF(AH376&gt;0.004,"Unpaid - balance outstanding",IF(AC376&lt;0,"Loss - sold below cost",IF(X376&gt;W376*0.5,"Check - more than half off","OK")))))))</f>
        <v>0</v>
      </c>
    </row>
    <row r="377" spans="1:38">
      <c r="A377" s="28">
        <f>IF(B377="","",SalePrefix&amp;TEXT(ROW()-4,"0000"))</f>
        <v>0</v>
      </c>
      <c r="E377" s="15">
        <f>IF(D377="","",IFERROR(INDEX(Clients!$B$5:$B$504,MATCH(D377,Clients!$A$5:$A$504,0)),"Walk-in"))</f>
        <v>0</v>
      </c>
      <c r="G377" s="15">
        <f>IF(F377="","",IFERROR(INDEX(Staff!$B$5:$B$44,MATCH(F377,Staff!$A$5:$A$44,0)),"House"))</f>
        <v>0</v>
      </c>
      <c r="R377" s="15">
        <f>IF(B377="","",TEXT(B377,"yyyy-mm"))</f>
        <v>0</v>
      </c>
      <c r="S377" s="25">
        <f>IF(B377="","",WEEKNUM(B377,2))</f>
        <v>0</v>
      </c>
      <c r="T377" s="37">
        <f>IF(B377="","",IF(K377="",1,K377))</f>
        <v>0</v>
      </c>
      <c r="U377" s="15">
        <f>IF(B377="","",IF(J377&lt;&gt;"",J377,IF(H377="Retail",IFERROR(INDEX(Inventory!$B$5:$B$304,MATCH(I377,Inventory!$A$5:$A$304,0))&amp;"","Not in Inventory"),IFERROR(INDEX(Services!$B$5:$B$204,MATCH(I377,Services!$A$5:$A$204,0))&amp;"","Not in Services"))))</f>
        <v>0</v>
      </c>
      <c r="V377" s="26">
        <f>IF(B377="","",IF(L377&lt;&gt;"",L377,IF(H377="Retail",IFERROR(INDEX(Inventory!$I$5:$I$304,MATCH(I377,Inventory!$A$5:$A$304,0))*1,0),IFERROR(INDEX(Services!$G$5:$G$204,MATCH(I377,Services!$A$5:$A$204,0))*1,0))))</f>
        <v>0</v>
      </c>
      <c r="W377" s="26">
        <f>IF(B377="","",ROUND(T377*V377,2))</f>
        <v>0</v>
      </c>
      <c r="X377" s="26">
        <f>IF(B377="","",ROUND(IF(M377="",0,W377*M377)+IF(N377="",0,N377),2))</f>
        <v>0</v>
      </c>
      <c r="Y377" s="26">
        <f>IF(B377="","",ROUND(W377-X377-IF(P377="",0,P377),2))</f>
        <v>0</v>
      </c>
      <c r="Z377" s="26">
        <f>IF(B377="","",IF(H377="Retail",IF(TaxOnRetail="Yes",ROUND(Y377*TaxRate,2),0),IF(H377="Service",IF(TaxOnServices="Yes",ROUND(Y377*TaxRate,2),0),0)))</f>
        <v>0</v>
      </c>
      <c r="AA377" s="26">
        <f>IF(B377="","",ROUND(Y377+Z377,2))</f>
        <v>0</v>
      </c>
      <c r="AB377" s="26">
        <f>IF(B377="","",ROUND(T377*IF(H377="Retail",IFERROR(INDEX(Inventory!$H$5:$H$304,MATCH(I377,Inventory!$A$5:$A$304,0))*1,0),IFERROR(INDEX(Services!$Q$5:$Q$204,MATCH(I377,Services!$A$5:$A$204,0))*1,0)),2))</f>
        <v>0</v>
      </c>
      <c r="AC377" s="26">
        <f>IF(B377="","",ROUND(Y377-AB377,2))</f>
        <v>0</v>
      </c>
      <c r="AD377" s="38">
        <f>IF(B377="","",IF(C377="","No",IF(COUNTIFS($C$5:C377,C377)=1,"Yes","No")))</f>
        <v>0</v>
      </c>
      <c r="AE377" s="26">
        <f>IF(B377="","",ROUND(SUMIFS(Payments!$G$5:$G$1204,Payments!$H$5:$H$1204,A377,Payments!$Q$5:$Q$1204,"Yes"),2))</f>
        <v>0</v>
      </c>
      <c r="AF377" s="26">
        <f>IF(B377="","",IF(AD377="No",0,ROUND(SUMIFS(Payments!$G$5:$G$1204,Payments!$I$5:$I$1204,C377,Payments!$H$5:$H$1204,"",Payments!$Q$5:$Q$1204,"Yes"),2)))</f>
        <v>0</v>
      </c>
      <c r="AG377" s="26">
        <f>IF(B377="","",ROUND(AE377+AF377,2))</f>
        <v>0</v>
      </c>
      <c r="AH377" s="26">
        <f>IF(B377="","",ROUND(AA377-AG377,2))</f>
        <v>0</v>
      </c>
      <c r="AI377" s="39">
        <f>IF(B377="","",IF(AA377&lt;=0,"No charge",IF(AH377&lt;=0.004,"Paid",IF(AG377&lt;=0.004,"Unpaid","Part paid"))))</f>
        <v>0</v>
      </c>
      <c r="AJ377" s="38">
        <f>IF(B377="","",IF(H377&lt;&gt;"Service","",IF(D377="","No",IF(COUNTIFS($D$5:$D$1204,D377,$B$5:$B$1204,B377,$H$5:$H$1204,"Retail")&gt;0,"Yes","No"))))</f>
        <v>0</v>
      </c>
      <c r="AK377" s="25">
        <f>IF(B377="","",COUNTIFS($Y$5:$Y$1204,"&gt;"&amp;Y377)+COUNTIFS($Y$5:Y377,Y377))</f>
        <v>0</v>
      </c>
      <c r="AL377" s="39">
        <f>IF(B377="","",IF(H377="","Add - what kind of sale is this?",IF(IF(V377&lt;=0,P377="",FALSE),"Check - no price found for this item",IF(F377="","Assign - nobody credited",IF(AH377&gt;0.004,"Unpaid - balance outstanding",IF(AC377&lt;0,"Loss - sold below cost",IF(X377&gt;W377*0.5,"Check - more than half off","OK")))))))</f>
        <v>0</v>
      </c>
    </row>
    <row r="378" spans="1:38">
      <c r="A378" s="28">
        <f>IF(B378="","",SalePrefix&amp;TEXT(ROW()-4,"0000"))</f>
        <v>0</v>
      </c>
      <c r="E378" s="15">
        <f>IF(D378="","",IFERROR(INDEX(Clients!$B$5:$B$504,MATCH(D378,Clients!$A$5:$A$504,0)),"Walk-in"))</f>
        <v>0</v>
      </c>
      <c r="G378" s="15">
        <f>IF(F378="","",IFERROR(INDEX(Staff!$B$5:$B$44,MATCH(F378,Staff!$A$5:$A$44,0)),"House"))</f>
        <v>0</v>
      </c>
      <c r="R378" s="15">
        <f>IF(B378="","",TEXT(B378,"yyyy-mm"))</f>
        <v>0</v>
      </c>
      <c r="S378" s="25">
        <f>IF(B378="","",WEEKNUM(B378,2))</f>
        <v>0</v>
      </c>
      <c r="T378" s="37">
        <f>IF(B378="","",IF(K378="",1,K378))</f>
        <v>0</v>
      </c>
      <c r="U378" s="15">
        <f>IF(B378="","",IF(J378&lt;&gt;"",J378,IF(H378="Retail",IFERROR(INDEX(Inventory!$B$5:$B$304,MATCH(I378,Inventory!$A$5:$A$304,0))&amp;"","Not in Inventory"),IFERROR(INDEX(Services!$B$5:$B$204,MATCH(I378,Services!$A$5:$A$204,0))&amp;"","Not in Services"))))</f>
        <v>0</v>
      </c>
      <c r="V378" s="26">
        <f>IF(B378="","",IF(L378&lt;&gt;"",L378,IF(H378="Retail",IFERROR(INDEX(Inventory!$I$5:$I$304,MATCH(I378,Inventory!$A$5:$A$304,0))*1,0),IFERROR(INDEX(Services!$G$5:$G$204,MATCH(I378,Services!$A$5:$A$204,0))*1,0))))</f>
        <v>0</v>
      </c>
      <c r="W378" s="26">
        <f>IF(B378="","",ROUND(T378*V378,2))</f>
        <v>0</v>
      </c>
      <c r="X378" s="26">
        <f>IF(B378="","",ROUND(IF(M378="",0,W378*M378)+IF(N378="",0,N378),2))</f>
        <v>0</v>
      </c>
      <c r="Y378" s="26">
        <f>IF(B378="","",ROUND(W378-X378-IF(P378="",0,P378),2))</f>
        <v>0</v>
      </c>
      <c r="Z378" s="26">
        <f>IF(B378="","",IF(H378="Retail",IF(TaxOnRetail="Yes",ROUND(Y378*TaxRate,2),0),IF(H378="Service",IF(TaxOnServices="Yes",ROUND(Y378*TaxRate,2),0),0)))</f>
        <v>0</v>
      </c>
      <c r="AA378" s="26">
        <f>IF(B378="","",ROUND(Y378+Z378,2))</f>
        <v>0</v>
      </c>
      <c r="AB378" s="26">
        <f>IF(B378="","",ROUND(T378*IF(H378="Retail",IFERROR(INDEX(Inventory!$H$5:$H$304,MATCH(I378,Inventory!$A$5:$A$304,0))*1,0),IFERROR(INDEX(Services!$Q$5:$Q$204,MATCH(I378,Services!$A$5:$A$204,0))*1,0)),2))</f>
        <v>0</v>
      </c>
      <c r="AC378" s="26">
        <f>IF(B378="","",ROUND(Y378-AB378,2))</f>
        <v>0</v>
      </c>
      <c r="AD378" s="38">
        <f>IF(B378="","",IF(C378="","No",IF(COUNTIFS($C$5:C378,C378)=1,"Yes","No")))</f>
        <v>0</v>
      </c>
      <c r="AE378" s="26">
        <f>IF(B378="","",ROUND(SUMIFS(Payments!$G$5:$G$1204,Payments!$H$5:$H$1204,A378,Payments!$Q$5:$Q$1204,"Yes"),2))</f>
        <v>0</v>
      </c>
      <c r="AF378" s="26">
        <f>IF(B378="","",IF(AD378="No",0,ROUND(SUMIFS(Payments!$G$5:$G$1204,Payments!$I$5:$I$1204,C378,Payments!$H$5:$H$1204,"",Payments!$Q$5:$Q$1204,"Yes"),2)))</f>
        <v>0</v>
      </c>
      <c r="AG378" s="26">
        <f>IF(B378="","",ROUND(AE378+AF378,2))</f>
        <v>0</v>
      </c>
      <c r="AH378" s="26">
        <f>IF(B378="","",ROUND(AA378-AG378,2))</f>
        <v>0</v>
      </c>
      <c r="AI378" s="39">
        <f>IF(B378="","",IF(AA378&lt;=0,"No charge",IF(AH378&lt;=0.004,"Paid",IF(AG378&lt;=0.004,"Unpaid","Part paid"))))</f>
        <v>0</v>
      </c>
      <c r="AJ378" s="38">
        <f>IF(B378="","",IF(H378&lt;&gt;"Service","",IF(D378="","No",IF(COUNTIFS($D$5:$D$1204,D378,$B$5:$B$1204,B378,$H$5:$H$1204,"Retail")&gt;0,"Yes","No"))))</f>
        <v>0</v>
      </c>
      <c r="AK378" s="25">
        <f>IF(B378="","",COUNTIFS($Y$5:$Y$1204,"&gt;"&amp;Y378)+COUNTIFS($Y$5:Y378,Y378))</f>
        <v>0</v>
      </c>
      <c r="AL378" s="39">
        <f>IF(B378="","",IF(H378="","Add - what kind of sale is this?",IF(IF(V378&lt;=0,P378="",FALSE),"Check - no price found for this item",IF(F378="","Assign - nobody credited",IF(AH378&gt;0.004,"Unpaid - balance outstanding",IF(AC378&lt;0,"Loss - sold below cost",IF(X378&gt;W378*0.5,"Check - more than half off","OK")))))))</f>
        <v>0</v>
      </c>
    </row>
    <row r="379" spans="1:38">
      <c r="A379" s="28">
        <f>IF(B379="","",SalePrefix&amp;TEXT(ROW()-4,"0000"))</f>
        <v>0</v>
      </c>
      <c r="E379" s="15">
        <f>IF(D379="","",IFERROR(INDEX(Clients!$B$5:$B$504,MATCH(D379,Clients!$A$5:$A$504,0)),"Walk-in"))</f>
        <v>0</v>
      </c>
      <c r="G379" s="15">
        <f>IF(F379="","",IFERROR(INDEX(Staff!$B$5:$B$44,MATCH(F379,Staff!$A$5:$A$44,0)),"House"))</f>
        <v>0</v>
      </c>
      <c r="R379" s="15">
        <f>IF(B379="","",TEXT(B379,"yyyy-mm"))</f>
        <v>0</v>
      </c>
      <c r="S379" s="25">
        <f>IF(B379="","",WEEKNUM(B379,2))</f>
        <v>0</v>
      </c>
      <c r="T379" s="37">
        <f>IF(B379="","",IF(K379="",1,K379))</f>
        <v>0</v>
      </c>
      <c r="U379" s="15">
        <f>IF(B379="","",IF(J379&lt;&gt;"",J379,IF(H379="Retail",IFERROR(INDEX(Inventory!$B$5:$B$304,MATCH(I379,Inventory!$A$5:$A$304,0))&amp;"","Not in Inventory"),IFERROR(INDEX(Services!$B$5:$B$204,MATCH(I379,Services!$A$5:$A$204,0))&amp;"","Not in Services"))))</f>
        <v>0</v>
      </c>
      <c r="V379" s="26">
        <f>IF(B379="","",IF(L379&lt;&gt;"",L379,IF(H379="Retail",IFERROR(INDEX(Inventory!$I$5:$I$304,MATCH(I379,Inventory!$A$5:$A$304,0))*1,0),IFERROR(INDEX(Services!$G$5:$G$204,MATCH(I379,Services!$A$5:$A$204,0))*1,0))))</f>
        <v>0</v>
      </c>
      <c r="W379" s="26">
        <f>IF(B379="","",ROUND(T379*V379,2))</f>
        <v>0</v>
      </c>
      <c r="X379" s="26">
        <f>IF(B379="","",ROUND(IF(M379="",0,W379*M379)+IF(N379="",0,N379),2))</f>
        <v>0</v>
      </c>
      <c r="Y379" s="26">
        <f>IF(B379="","",ROUND(W379-X379-IF(P379="",0,P379),2))</f>
        <v>0</v>
      </c>
      <c r="Z379" s="26">
        <f>IF(B379="","",IF(H379="Retail",IF(TaxOnRetail="Yes",ROUND(Y379*TaxRate,2),0),IF(H379="Service",IF(TaxOnServices="Yes",ROUND(Y379*TaxRate,2),0),0)))</f>
        <v>0</v>
      </c>
      <c r="AA379" s="26">
        <f>IF(B379="","",ROUND(Y379+Z379,2))</f>
        <v>0</v>
      </c>
      <c r="AB379" s="26">
        <f>IF(B379="","",ROUND(T379*IF(H379="Retail",IFERROR(INDEX(Inventory!$H$5:$H$304,MATCH(I379,Inventory!$A$5:$A$304,0))*1,0),IFERROR(INDEX(Services!$Q$5:$Q$204,MATCH(I379,Services!$A$5:$A$204,0))*1,0)),2))</f>
        <v>0</v>
      </c>
      <c r="AC379" s="26">
        <f>IF(B379="","",ROUND(Y379-AB379,2))</f>
        <v>0</v>
      </c>
      <c r="AD379" s="38">
        <f>IF(B379="","",IF(C379="","No",IF(COUNTIFS($C$5:C379,C379)=1,"Yes","No")))</f>
        <v>0</v>
      </c>
      <c r="AE379" s="26">
        <f>IF(B379="","",ROUND(SUMIFS(Payments!$G$5:$G$1204,Payments!$H$5:$H$1204,A379,Payments!$Q$5:$Q$1204,"Yes"),2))</f>
        <v>0</v>
      </c>
      <c r="AF379" s="26">
        <f>IF(B379="","",IF(AD379="No",0,ROUND(SUMIFS(Payments!$G$5:$G$1204,Payments!$I$5:$I$1204,C379,Payments!$H$5:$H$1204,"",Payments!$Q$5:$Q$1204,"Yes"),2)))</f>
        <v>0</v>
      </c>
      <c r="AG379" s="26">
        <f>IF(B379="","",ROUND(AE379+AF379,2))</f>
        <v>0</v>
      </c>
      <c r="AH379" s="26">
        <f>IF(B379="","",ROUND(AA379-AG379,2))</f>
        <v>0</v>
      </c>
      <c r="AI379" s="39">
        <f>IF(B379="","",IF(AA379&lt;=0,"No charge",IF(AH379&lt;=0.004,"Paid",IF(AG379&lt;=0.004,"Unpaid","Part paid"))))</f>
        <v>0</v>
      </c>
      <c r="AJ379" s="38">
        <f>IF(B379="","",IF(H379&lt;&gt;"Service","",IF(D379="","No",IF(COUNTIFS($D$5:$D$1204,D379,$B$5:$B$1204,B379,$H$5:$H$1204,"Retail")&gt;0,"Yes","No"))))</f>
        <v>0</v>
      </c>
      <c r="AK379" s="25">
        <f>IF(B379="","",COUNTIFS($Y$5:$Y$1204,"&gt;"&amp;Y379)+COUNTIFS($Y$5:Y379,Y379))</f>
        <v>0</v>
      </c>
      <c r="AL379" s="39">
        <f>IF(B379="","",IF(H379="","Add - what kind of sale is this?",IF(IF(V379&lt;=0,P379="",FALSE),"Check - no price found for this item",IF(F379="","Assign - nobody credited",IF(AH379&gt;0.004,"Unpaid - balance outstanding",IF(AC379&lt;0,"Loss - sold below cost",IF(X379&gt;W379*0.5,"Check - more than half off","OK")))))))</f>
        <v>0</v>
      </c>
    </row>
    <row r="380" spans="1:38">
      <c r="A380" s="28">
        <f>IF(B380="","",SalePrefix&amp;TEXT(ROW()-4,"0000"))</f>
        <v>0</v>
      </c>
      <c r="E380" s="15">
        <f>IF(D380="","",IFERROR(INDEX(Clients!$B$5:$B$504,MATCH(D380,Clients!$A$5:$A$504,0)),"Walk-in"))</f>
        <v>0</v>
      </c>
      <c r="G380" s="15">
        <f>IF(F380="","",IFERROR(INDEX(Staff!$B$5:$B$44,MATCH(F380,Staff!$A$5:$A$44,0)),"House"))</f>
        <v>0</v>
      </c>
      <c r="R380" s="15">
        <f>IF(B380="","",TEXT(B380,"yyyy-mm"))</f>
        <v>0</v>
      </c>
      <c r="S380" s="25">
        <f>IF(B380="","",WEEKNUM(B380,2))</f>
        <v>0</v>
      </c>
      <c r="T380" s="37">
        <f>IF(B380="","",IF(K380="",1,K380))</f>
        <v>0</v>
      </c>
      <c r="U380" s="15">
        <f>IF(B380="","",IF(J380&lt;&gt;"",J380,IF(H380="Retail",IFERROR(INDEX(Inventory!$B$5:$B$304,MATCH(I380,Inventory!$A$5:$A$304,0))&amp;"","Not in Inventory"),IFERROR(INDEX(Services!$B$5:$B$204,MATCH(I380,Services!$A$5:$A$204,0))&amp;"","Not in Services"))))</f>
        <v>0</v>
      </c>
      <c r="V380" s="26">
        <f>IF(B380="","",IF(L380&lt;&gt;"",L380,IF(H380="Retail",IFERROR(INDEX(Inventory!$I$5:$I$304,MATCH(I380,Inventory!$A$5:$A$304,0))*1,0),IFERROR(INDEX(Services!$G$5:$G$204,MATCH(I380,Services!$A$5:$A$204,0))*1,0))))</f>
        <v>0</v>
      </c>
      <c r="W380" s="26">
        <f>IF(B380="","",ROUND(T380*V380,2))</f>
        <v>0</v>
      </c>
      <c r="X380" s="26">
        <f>IF(B380="","",ROUND(IF(M380="",0,W380*M380)+IF(N380="",0,N380),2))</f>
        <v>0</v>
      </c>
      <c r="Y380" s="26">
        <f>IF(B380="","",ROUND(W380-X380-IF(P380="",0,P380),2))</f>
        <v>0</v>
      </c>
      <c r="Z380" s="26">
        <f>IF(B380="","",IF(H380="Retail",IF(TaxOnRetail="Yes",ROUND(Y380*TaxRate,2),0),IF(H380="Service",IF(TaxOnServices="Yes",ROUND(Y380*TaxRate,2),0),0)))</f>
        <v>0</v>
      </c>
      <c r="AA380" s="26">
        <f>IF(B380="","",ROUND(Y380+Z380,2))</f>
        <v>0</v>
      </c>
      <c r="AB380" s="26">
        <f>IF(B380="","",ROUND(T380*IF(H380="Retail",IFERROR(INDEX(Inventory!$H$5:$H$304,MATCH(I380,Inventory!$A$5:$A$304,0))*1,0),IFERROR(INDEX(Services!$Q$5:$Q$204,MATCH(I380,Services!$A$5:$A$204,0))*1,0)),2))</f>
        <v>0</v>
      </c>
      <c r="AC380" s="26">
        <f>IF(B380="","",ROUND(Y380-AB380,2))</f>
        <v>0</v>
      </c>
      <c r="AD380" s="38">
        <f>IF(B380="","",IF(C380="","No",IF(COUNTIFS($C$5:C380,C380)=1,"Yes","No")))</f>
        <v>0</v>
      </c>
      <c r="AE380" s="26">
        <f>IF(B380="","",ROUND(SUMIFS(Payments!$G$5:$G$1204,Payments!$H$5:$H$1204,A380,Payments!$Q$5:$Q$1204,"Yes"),2))</f>
        <v>0</v>
      </c>
      <c r="AF380" s="26">
        <f>IF(B380="","",IF(AD380="No",0,ROUND(SUMIFS(Payments!$G$5:$G$1204,Payments!$I$5:$I$1204,C380,Payments!$H$5:$H$1204,"",Payments!$Q$5:$Q$1204,"Yes"),2)))</f>
        <v>0</v>
      </c>
      <c r="AG380" s="26">
        <f>IF(B380="","",ROUND(AE380+AF380,2))</f>
        <v>0</v>
      </c>
      <c r="AH380" s="26">
        <f>IF(B380="","",ROUND(AA380-AG380,2))</f>
        <v>0</v>
      </c>
      <c r="AI380" s="39">
        <f>IF(B380="","",IF(AA380&lt;=0,"No charge",IF(AH380&lt;=0.004,"Paid",IF(AG380&lt;=0.004,"Unpaid","Part paid"))))</f>
        <v>0</v>
      </c>
      <c r="AJ380" s="38">
        <f>IF(B380="","",IF(H380&lt;&gt;"Service","",IF(D380="","No",IF(COUNTIFS($D$5:$D$1204,D380,$B$5:$B$1204,B380,$H$5:$H$1204,"Retail")&gt;0,"Yes","No"))))</f>
        <v>0</v>
      </c>
      <c r="AK380" s="25">
        <f>IF(B380="","",COUNTIFS($Y$5:$Y$1204,"&gt;"&amp;Y380)+COUNTIFS($Y$5:Y380,Y380))</f>
        <v>0</v>
      </c>
      <c r="AL380" s="39">
        <f>IF(B380="","",IF(H380="","Add - what kind of sale is this?",IF(IF(V380&lt;=0,P380="",FALSE),"Check - no price found for this item",IF(F380="","Assign - nobody credited",IF(AH380&gt;0.004,"Unpaid - balance outstanding",IF(AC380&lt;0,"Loss - sold below cost",IF(X380&gt;W380*0.5,"Check - more than half off","OK")))))))</f>
        <v>0</v>
      </c>
    </row>
    <row r="381" spans="1:38">
      <c r="A381" s="28">
        <f>IF(B381="","",SalePrefix&amp;TEXT(ROW()-4,"0000"))</f>
        <v>0</v>
      </c>
      <c r="E381" s="15">
        <f>IF(D381="","",IFERROR(INDEX(Clients!$B$5:$B$504,MATCH(D381,Clients!$A$5:$A$504,0)),"Walk-in"))</f>
        <v>0</v>
      </c>
      <c r="G381" s="15">
        <f>IF(F381="","",IFERROR(INDEX(Staff!$B$5:$B$44,MATCH(F381,Staff!$A$5:$A$44,0)),"House"))</f>
        <v>0</v>
      </c>
      <c r="R381" s="15">
        <f>IF(B381="","",TEXT(B381,"yyyy-mm"))</f>
        <v>0</v>
      </c>
      <c r="S381" s="25">
        <f>IF(B381="","",WEEKNUM(B381,2))</f>
        <v>0</v>
      </c>
      <c r="T381" s="37">
        <f>IF(B381="","",IF(K381="",1,K381))</f>
        <v>0</v>
      </c>
      <c r="U381" s="15">
        <f>IF(B381="","",IF(J381&lt;&gt;"",J381,IF(H381="Retail",IFERROR(INDEX(Inventory!$B$5:$B$304,MATCH(I381,Inventory!$A$5:$A$304,0))&amp;"","Not in Inventory"),IFERROR(INDEX(Services!$B$5:$B$204,MATCH(I381,Services!$A$5:$A$204,0))&amp;"","Not in Services"))))</f>
        <v>0</v>
      </c>
      <c r="V381" s="26">
        <f>IF(B381="","",IF(L381&lt;&gt;"",L381,IF(H381="Retail",IFERROR(INDEX(Inventory!$I$5:$I$304,MATCH(I381,Inventory!$A$5:$A$304,0))*1,0),IFERROR(INDEX(Services!$G$5:$G$204,MATCH(I381,Services!$A$5:$A$204,0))*1,0))))</f>
        <v>0</v>
      </c>
      <c r="W381" s="26">
        <f>IF(B381="","",ROUND(T381*V381,2))</f>
        <v>0</v>
      </c>
      <c r="X381" s="26">
        <f>IF(B381="","",ROUND(IF(M381="",0,W381*M381)+IF(N381="",0,N381),2))</f>
        <v>0</v>
      </c>
      <c r="Y381" s="26">
        <f>IF(B381="","",ROUND(W381-X381-IF(P381="",0,P381),2))</f>
        <v>0</v>
      </c>
      <c r="Z381" s="26">
        <f>IF(B381="","",IF(H381="Retail",IF(TaxOnRetail="Yes",ROUND(Y381*TaxRate,2),0),IF(H381="Service",IF(TaxOnServices="Yes",ROUND(Y381*TaxRate,2),0),0)))</f>
        <v>0</v>
      </c>
      <c r="AA381" s="26">
        <f>IF(B381="","",ROUND(Y381+Z381,2))</f>
        <v>0</v>
      </c>
      <c r="AB381" s="26">
        <f>IF(B381="","",ROUND(T381*IF(H381="Retail",IFERROR(INDEX(Inventory!$H$5:$H$304,MATCH(I381,Inventory!$A$5:$A$304,0))*1,0),IFERROR(INDEX(Services!$Q$5:$Q$204,MATCH(I381,Services!$A$5:$A$204,0))*1,0)),2))</f>
        <v>0</v>
      </c>
      <c r="AC381" s="26">
        <f>IF(B381="","",ROUND(Y381-AB381,2))</f>
        <v>0</v>
      </c>
      <c r="AD381" s="38">
        <f>IF(B381="","",IF(C381="","No",IF(COUNTIFS($C$5:C381,C381)=1,"Yes","No")))</f>
        <v>0</v>
      </c>
      <c r="AE381" s="26">
        <f>IF(B381="","",ROUND(SUMIFS(Payments!$G$5:$G$1204,Payments!$H$5:$H$1204,A381,Payments!$Q$5:$Q$1204,"Yes"),2))</f>
        <v>0</v>
      </c>
      <c r="AF381" s="26">
        <f>IF(B381="","",IF(AD381="No",0,ROUND(SUMIFS(Payments!$G$5:$G$1204,Payments!$I$5:$I$1204,C381,Payments!$H$5:$H$1204,"",Payments!$Q$5:$Q$1204,"Yes"),2)))</f>
        <v>0</v>
      </c>
      <c r="AG381" s="26">
        <f>IF(B381="","",ROUND(AE381+AF381,2))</f>
        <v>0</v>
      </c>
      <c r="AH381" s="26">
        <f>IF(B381="","",ROUND(AA381-AG381,2))</f>
        <v>0</v>
      </c>
      <c r="AI381" s="39">
        <f>IF(B381="","",IF(AA381&lt;=0,"No charge",IF(AH381&lt;=0.004,"Paid",IF(AG381&lt;=0.004,"Unpaid","Part paid"))))</f>
        <v>0</v>
      </c>
      <c r="AJ381" s="38">
        <f>IF(B381="","",IF(H381&lt;&gt;"Service","",IF(D381="","No",IF(COUNTIFS($D$5:$D$1204,D381,$B$5:$B$1204,B381,$H$5:$H$1204,"Retail")&gt;0,"Yes","No"))))</f>
        <v>0</v>
      </c>
      <c r="AK381" s="25">
        <f>IF(B381="","",COUNTIFS($Y$5:$Y$1204,"&gt;"&amp;Y381)+COUNTIFS($Y$5:Y381,Y381))</f>
        <v>0</v>
      </c>
      <c r="AL381" s="39">
        <f>IF(B381="","",IF(H381="","Add - what kind of sale is this?",IF(IF(V381&lt;=0,P381="",FALSE),"Check - no price found for this item",IF(F381="","Assign - nobody credited",IF(AH381&gt;0.004,"Unpaid - balance outstanding",IF(AC381&lt;0,"Loss - sold below cost",IF(X381&gt;W381*0.5,"Check - more than half off","OK")))))))</f>
        <v>0</v>
      </c>
    </row>
    <row r="382" spans="1:38">
      <c r="A382" s="28">
        <f>IF(B382="","",SalePrefix&amp;TEXT(ROW()-4,"0000"))</f>
        <v>0</v>
      </c>
      <c r="E382" s="15">
        <f>IF(D382="","",IFERROR(INDEX(Clients!$B$5:$B$504,MATCH(D382,Clients!$A$5:$A$504,0)),"Walk-in"))</f>
        <v>0</v>
      </c>
      <c r="G382" s="15">
        <f>IF(F382="","",IFERROR(INDEX(Staff!$B$5:$B$44,MATCH(F382,Staff!$A$5:$A$44,0)),"House"))</f>
        <v>0</v>
      </c>
      <c r="R382" s="15">
        <f>IF(B382="","",TEXT(B382,"yyyy-mm"))</f>
        <v>0</v>
      </c>
      <c r="S382" s="25">
        <f>IF(B382="","",WEEKNUM(B382,2))</f>
        <v>0</v>
      </c>
      <c r="T382" s="37">
        <f>IF(B382="","",IF(K382="",1,K382))</f>
        <v>0</v>
      </c>
      <c r="U382" s="15">
        <f>IF(B382="","",IF(J382&lt;&gt;"",J382,IF(H382="Retail",IFERROR(INDEX(Inventory!$B$5:$B$304,MATCH(I382,Inventory!$A$5:$A$304,0))&amp;"","Not in Inventory"),IFERROR(INDEX(Services!$B$5:$B$204,MATCH(I382,Services!$A$5:$A$204,0))&amp;"","Not in Services"))))</f>
        <v>0</v>
      </c>
      <c r="V382" s="26">
        <f>IF(B382="","",IF(L382&lt;&gt;"",L382,IF(H382="Retail",IFERROR(INDEX(Inventory!$I$5:$I$304,MATCH(I382,Inventory!$A$5:$A$304,0))*1,0),IFERROR(INDEX(Services!$G$5:$G$204,MATCH(I382,Services!$A$5:$A$204,0))*1,0))))</f>
        <v>0</v>
      </c>
      <c r="W382" s="26">
        <f>IF(B382="","",ROUND(T382*V382,2))</f>
        <v>0</v>
      </c>
      <c r="X382" s="26">
        <f>IF(B382="","",ROUND(IF(M382="",0,W382*M382)+IF(N382="",0,N382),2))</f>
        <v>0</v>
      </c>
      <c r="Y382" s="26">
        <f>IF(B382="","",ROUND(W382-X382-IF(P382="",0,P382),2))</f>
        <v>0</v>
      </c>
      <c r="Z382" s="26">
        <f>IF(B382="","",IF(H382="Retail",IF(TaxOnRetail="Yes",ROUND(Y382*TaxRate,2),0),IF(H382="Service",IF(TaxOnServices="Yes",ROUND(Y382*TaxRate,2),0),0)))</f>
        <v>0</v>
      </c>
      <c r="AA382" s="26">
        <f>IF(B382="","",ROUND(Y382+Z382,2))</f>
        <v>0</v>
      </c>
      <c r="AB382" s="26">
        <f>IF(B382="","",ROUND(T382*IF(H382="Retail",IFERROR(INDEX(Inventory!$H$5:$H$304,MATCH(I382,Inventory!$A$5:$A$304,0))*1,0),IFERROR(INDEX(Services!$Q$5:$Q$204,MATCH(I382,Services!$A$5:$A$204,0))*1,0)),2))</f>
        <v>0</v>
      </c>
      <c r="AC382" s="26">
        <f>IF(B382="","",ROUND(Y382-AB382,2))</f>
        <v>0</v>
      </c>
      <c r="AD382" s="38">
        <f>IF(B382="","",IF(C382="","No",IF(COUNTIFS($C$5:C382,C382)=1,"Yes","No")))</f>
        <v>0</v>
      </c>
      <c r="AE382" s="26">
        <f>IF(B382="","",ROUND(SUMIFS(Payments!$G$5:$G$1204,Payments!$H$5:$H$1204,A382,Payments!$Q$5:$Q$1204,"Yes"),2))</f>
        <v>0</v>
      </c>
      <c r="AF382" s="26">
        <f>IF(B382="","",IF(AD382="No",0,ROUND(SUMIFS(Payments!$G$5:$G$1204,Payments!$I$5:$I$1204,C382,Payments!$H$5:$H$1204,"",Payments!$Q$5:$Q$1204,"Yes"),2)))</f>
        <v>0</v>
      </c>
      <c r="AG382" s="26">
        <f>IF(B382="","",ROUND(AE382+AF382,2))</f>
        <v>0</v>
      </c>
      <c r="AH382" s="26">
        <f>IF(B382="","",ROUND(AA382-AG382,2))</f>
        <v>0</v>
      </c>
      <c r="AI382" s="39">
        <f>IF(B382="","",IF(AA382&lt;=0,"No charge",IF(AH382&lt;=0.004,"Paid",IF(AG382&lt;=0.004,"Unpaid","Part paid"))))</f>
        <v>0</v>
      </c>
      <c r="AJ382" s="38">
        <f>IF(B382="","",IF(H382&lt;&gt;"Service","",IF(D382="","No",IF(COUNTIFS($D$5:$D$1204,D382,$B$5:$B$1204,B382,$H$5:$H$1204,"Retail")&gt;0,"Yes","No"))))</f>
        <v>0</v>
      </c>
      <c r="AK382" s="25">
        <f>IF(B382="","",COUNTIFS($Y$5:$Y$1204,"&gt;"&amp;Y382)+COUNTIFS($Y$5:Y382,Y382))</f>
        <v>0</v>
      </c>
      <c r="AL382" s="39">
        <f>IF(B382="","",IF(H382="","Add - what kind of sale is this?",IF(IF(V382&lt;=0,P382="",FALSE),"Check - no price found for this item",IF(F382="","Assign - nobody credited",IF(AH382&gt;0.004,"Unpaid - balance outstanding",IF(AC382&lt;0,"Loss - sold below cost",IF(X382&gt;W382*0.5,"Check - more than half off","OK")))))))</f>
        <v>0</v>
      </c>
    </row>
    <row r="383" spans="1:38">
      <c r="A383" s="28">
        <f>IF(B383="","",SalePrefix&amp;TEXT(ROW()-4,"0000"))</f>
        <v>0</v>
      </c>
      <c r="E383" s="15">
        <f>IF(D383="","",IFERROR(INDEX(Clients!$B$5:$B$504,MATCH(D383,Clients!$A$5:$A$504,0)),"Walk-in"))</f>
        <v>0</v>
      </c>
      <c r="G383" s="15">
        <f>IF(F383="","",IFERROR(INDEX(Staff!$B$5:$B$44,MATCH(F383,Staff!$A$5:$A$44,0)),"House"))</f>
        <v>0</v>
      </c>
      <c r="R383" s="15">
        <f>IF(B383="","",TEXT(B383,"yyyy-mm"))</f>
        <v>0</v>
      </c>
      <c r="S383" s="25">
        <f>IF(B383="","",WEEKNUM(B383,2))</f>
        <v>0</v>
      </c>
      <c r="T383" s="37">
        <f>IF(B383="","",IF(K383="",1,K383))</f>
        <v>0</v>
      </c>
      <c r="U383" s="15">
        <f>IF(B383="","",IF(J383&lt;&gt;"",J383,IF(H383="Retail",IFERROR(INDEX(Inventory!$B$5:$B$304,MATCH(I383,Inventory!$A$5:$A$304,0))&amp;"","Not in Inventory"),IFERROR(INDEX(Services!$B$5:$B$204,MATCH(I383,Services!$A$5:$A$204,0))&amp;"","Not in Services"))))</f>
        <v>0</v>
      </c>
      <c r="V383" s="26">
        <f>IF(B383="","",IF(L383&lt;&gt;"",L383,IF(H383="Retail",IFERROR(INDEX(Inventory!$I$5:$I$304,MATCH(I383,Inventory!$A$5:$A$304,0))*1,0),IFERROR(INDEX(Services!$G$5:$G$204,MATCH(I383,Services!$A$5:$A$204,0))*1,0))))</f>
        <v>0</v>
      </c>
      <c r="W383" s="26">
        <f>IF(B383="","",ROUND(T383*V383,2))</f>
        <v>0</v>
      </c>
      <c r="X383" s="26">
        <f>IF(B383="","",ROUND(IF(M383="",0,W383*M383)+IF(N383="",0,N383),2))</f>
        <v>0</v>
      </c>
      <c r="Y383" s="26">
        <f>IF(B383="","",ROUND(W383-X383-IF(P383="",0,P383),2))</f>
        <v>0</v>
      </c>
      <c r="Z383" s="26">
        <f>IF(B383="","",IF(H383="Retail",IF(TaxOnRetail="Yes",ROUND(Y383*TaxRate,2),0),IF(H383="Service",IF(TaxOnServices="Yes",ROUND(Y383*TaxRate,2),0),0)))</f>
        <v>0</v>
      </c>
      <c r="AA383" s="26">
        <f>IF(B383="","",ROUND(Y383+Z383,2))</f>
        <v>0</v>
      </c>
      <c r="AB383" s="26">
        <f>IF(B383="","",ROUND(T383*IF(H383="Retail",IFERROR(INDEX(Inventory!$H$5:$H$304,MATCH(I383,Inventory!$A$5:$A$304,0))*1,0),IFERROR(INDEX(Services!$Q$5:$Q$204,MATCH(I383,Services!$A$5:$A$204,0))*1,0)),2))</f>
        <v>0</v>
      </c>
      <c r="AC383" s="26">
        <f>IF(B383="","",ROUND(Y383-AB383,2))</f>
        <v>0</v>
      </c>
      <c r="AD383" s="38">
        <f>IF(B383="","",IF(C383="","No",IF(COUNTIFS($C$5:C383,C383)=1,"Yes","No")))</f>
        <v>0</v>
      </c>
      <c r="AE383" s="26">
        <f>IF(B383="","",ROUND(SUMIFS(Payments!$G$5:$G$1204,Payments!$H$5:$H$1204,A383,Payments!$Q$5:$Q$1204,"Yes"),2))</f>
        <v>0</v>
      </c>
      <c r="AF383" s="26">
        <f>IF(B383="","",IF(AD383="No",0,ROUND(SUMIFS(Payments!$G$5:$G$1204,Payments!$I$5:$I$1204,C383,Payments!$H$5:$H$1204,"",Payments!$Q$5:$Q$1204,"Yes"),2)))</f>
        <v>0</v>
      </c>
      <c r="AG383" s="26">
        <f>IF(B383="","",ROUND(AE383+AF383,2))</f>
        <v>0</v>
      </c>
      <c r="AH383" s="26">
        <f>IF(B383="","",ROUND(AA383-AG383,2))</f>
        <v>0</v>
      </c>
      <c r="AI383" s="39">
        <f>IF(B383="","",IF(AA383&lt;=0,"No charge",IF(AH383&lt;=0.004,"Paid",IF(AG383&lt;=0.004,"Unpaid","Part paid"))))</f>
        <v>0</v>
      </c>
      <c r="AJ383" s="38">
        <f>IF(B383="","",IF(H383&lt;&gt;"Service","",IF(D383="","No",IF(COUNTIFS($D$5:$D$1204,D383,$B$5:$B$1204,B383,$H$5:$H$1204,"Retail")&gt;0,"Yes","No"))))</f>
        <v>0</v>
      </c>
      <c r="AK383" s="25">
        <f>IF(B383="","",COUNTIFS($Y$5:$Y$1204,"&gt;"&amp;Y383)+COUNTIFS($Y$5:Y383,Y383))</f>
        <v>0</v>
      </c>
      <c r="AL383" s="39">
        <f>IF(B383="","",IF(H383="","Add - what kind of sale is this?",IF(IF(V383&lt;=0,P383="",FALSE),"Check - no price found for this item",IF(F383="","Assign - nobody credited",IF(AH383&gt;0.004,"Unpaid - balance outstanding",IF(AC383&lt;0,"Loss - sold below cost",IF(X383&gt;W383*0.5,"Check - more than half off","OK")))))))</f>
        <v>0</v>
      </c>
    </row>
    <row r="384" spans="1:38">
      <c r="A384" s="28">
        <f>IF(B384="","",SalePrefix&amp;TEXT(ROW()-4,"0000"))</f>
        <v>0</v>
      </c>
      <c r="E384" s="15">
        <f>IF(D384="","",IFERROR(INDEX(Clients!$B$5:$B$504,MATCH(D384,Clients!$A$5:$A$504,0)),"Walk-in"))</f>
        <v>0</v>
      </c>
      <c r="G384" s="15">
        <f>IF(F384="","",IFERROR(INDEX(Staff!$B$5:$B$44,MATCH(F384,Staff!$A$5:$A$44,0)),"House"))</f>
        <v>0</v>
      </c>
      <c r="R384" s="15">
        <f>IF(B384="","",TEXT(B384,"yyyy-mm"))</f>
        <v>0</v>
      </c>
      <c r="S384" s="25">
        <f>IF(B384="","",WEEKNUM(B384,2))</f>
        <v>0</v>
      </c>
      <c r="T384" s="37">
        <f>IF(B384="","",IF(K384="",1,K384))</f>
        <v>0</v>
      </c>
      <c r="U384" s="15">
        <f>IF(B384="","",IF(J384&lt;&gt;"",J384,IF(H384="Retail",IFERROR(INDEX(Inventory!$B$5:$B$304,MATCH(I384,Inventory!$A$5:$A$304,0))&amp;"","Not in Inventory"),IFERROR(INDEX(Services!$B$5:$B$204,MATCH(I384,Services!$A$5:$A$204,0))&amp;"","Not in Services"))))</f>
        <v>0</v>
      </c>
      <c r="V384" s="26">
        <f>IF(B384="","",IF(L384&lt;&gt;"",L384,IF(H384="Retail",IFERROR(INDEX(Inventory!$I$5:$I$304,MATCH(I384,Inventory!$A$5:$A$304,0))*1,0),IFERROR(INDEX(Services!$G$5:$G$204,MATCH(I384,Services!$A$5:$A$204,0))*1,0))))</f>
        <v>0</v>
      </c>
      <c r="W384" s="26">
        <f>IF(B384="","",ROUND(T384*V384,2))</f>
        <v>0</v>
      </c>
      <c r="X384" s="26">
        <f>IF(B384="","",ROUND(IF(M384="",0,W384*M384)+IF(N384="",0,N384),2))</f>
        <v>0</v>
      </c>
      <c r="Y384" s="26">
        <f>IF(B384="","",ROUND(W384-X384-IF(P384="",0,P384),2))</f>
        <v>0</v>
      </c>
      <c r="Z384" s="26">
        <f>IF(B384="","",IF(H384="Retail",IF(TaxOnRetail="Yes",ROUND(Y384*TaxRate,2),0),IF(H384="Service",IF(TaxOnServices="Yes",ROUND(Y384*TaxRate,2),0),0)))</f>
        <v>0</v>
      </c>
      <c r="AA384" s="26">
        <f>IF(B384="","",ROUND(Y384+Z384,2))</f>
        <v>0</v>
      </c>
      <c r="AB384" s="26">
        <f>IF(B384="","",ROUND(T384*IF(H384="Retail",IFERROR(INDEX(Inventory!$H$5:$H$304,MATCH(I384,Inventory!$A$5:$A$304,0))*1,0),IFERROR(INDEX(Services!$Q$5:$Q$204,MATCH(I384,Services!$A$5:$A$204,0))*1,0)),2))</f>
        <v>0</v>
      </c>
      <c r="AC384" s="26">
        <f>IF(B384="","",ROUND(Y384-AB384,2))</f>
        <v>0</v>
      </c>
      <c r="AD384" s="38">
        <f>IF(B384="","",IF(C384="","No",IF(COUNTIFS($C$5:C384,C384)=1,"Yes","No")))</f>
        <v>0</v>
      </c>
      <c r="AE384" s="26">
        <f>IF(B384="","",ROUND(SUMIFS(Payments!$G$5:$G$1204,Payments!$H$5:$H$1204,A384,Payments!$Q$5:$Q$1204,"Yes"),2))</f>
        <v>0</v>
      </c>
      <c r="AF384" s="26">
        <f>IF(B384="","",IF(AD384="No",0,ROUND(SUMIFS(Payments!$G$5:$G$1204,Payments!$I$5:$I$1204,C384,Payments!$H$5:$H$1204,"",Payments!$Q$5:$Q$1204,"Yes"),2)))</f>
        <v>0</v>
      </c>
      <c r="AG384" s="26">
        <f>IF(B384="","",ROUND(AE384+AF384,2))</f>
        <v>0</v>
      </c>
      <c r="AH384" s="26">
        <f>IF(B384="","",ROUND(AA384-AG384,2))</f>
        <v>0</v>
      </c>
      <c r="AI384" s="39">
        <f>IF(B384="","",IF(AA384&lt;=0,"No charge",IF(AH384&lt;=0.004,"Paid",IF(AG384&lt;=0.004,"Unpaid","Part paid"))))</f>
        <v>0</v>
      </c>
      <c r="AJ384" s="38">
        <f>IF(B384="","",IF(H384&lt;&gt;"Service","",IF(D384="","No",IF(COUNTIFS($D$5:$D$1204,D384,$B$5:$B$1204,B384,$H$5:$H$1204,"Retail")&gt;0,"Yes","No"))))</f>
        <v>0</v>
      </c>
      <c r="AK384" s="25">
        <f>IF(B384="","",COUNTIFS($Y$5:$Y$1204,"&gt;"&amp;Y384)+COUNTIFS($Y$5:Y384,Y384))</f>
        <v>0</v>
      </c>
      <c r="AL384" s="39">
        <f>IF(B384="","",IF(H384="","Add - what kind of sale is this?",IF(IF(V384&lt;=0,P384="",FALSE),"Check - no price found for this item",IF(F384="","Assign - nobody credited",IF(AH384&gt;0.004,"Unpaid - balance outstanding",IF(AC384&lt;0,"Loss - sold below cost",IF(X384&gt;W384*0.5,"Check - more than half off","OK")))))))</f>
        <v>0</v>
      </c>
    </row>
    <row r="385" spans="1:38">
      <c r="A385" s="28">
        <f>IF(B385="","",SalePrefix&amp;TEXT(ROW()-4,"0000"))</f>
        <v>0</v>
      </c>
      <c r="E385" s="15">
        <f>IF(D385="","",IFERROR(INDEX(Clients!$B$5:$B$504,MATCH(D385,Clients!$A$5:$A$504,0)),"Walk-in"))</f>
        <v>0</v>
      </c>
      <c r="G385" s="15">
        <f>IF(F385="","",IFERROR(INDEX(Staff!$B$5:$B$44,MATCH(F385,Staff!$A$5:$A$44,0)),"House"))</f>
        <v>0</v>
      </c>
      <c r="R385" s="15">
        <f>IF(B385="","",TEXT(B385,"yyyy-mm"))</f>
        <v>0</v>
      </c>
      <c r="S385" s="25">
        <f>IF(B385="","",WEEKNUM(B385,2))</f>
        <v>0</v>
      </c>
      <c r="T385" s="37">
        <f>IF(B385="","",IF(K385="",1,K385))</f>
        <v>0</v>
      </c>
      <c r="U385" s="15">
        <f>IF(B385="","",IF(J385&lt;&gt;"",J385,IF(H385="Retail",IFERROR(INDEX(Inventory!$B$5:$B$304,MATCH(I385,Inventory!$A$5:$A$304,0))&amp;"","Not in Inventory"),IFERROR(INDEX(Services!$B$5:$B$204,MATCH(I385,Services!$A$5:$A$204,0))&amp;"","Not in Services"))))</f>
        <v>0</v>
      </c>
      <c r="V385" s="26">
        <f>IF(B385="","",IF(L385&lt;&gt;"",L385,IF(H385="Retail",IFERROR(INDEX(Inventory!$I$5:$I$304,MATCH(I385,Inventory!$A$5:$A$304,0))*1,0),IFERROR(INDEX(Services!$G$5:$G$204,MATCH(I385,Services!$A$5:$A$204,0))*1,0))))</f>
        <v>0</v>
      </c>
      <c r="W385" s="26">
        <f>IF(B385="","",ROUND(T385*V385,2))</f>
        <v>0</v>
      </c>
      <c r="X385" s="26">
        <f>IF(B385="","",ROUND(IF(M385="",0,W385*M385)+IF(N385="",0,N385),2))</f>
        <v>0</v>
      </c>
      <c r="Y385" s="26">
        <f>IF(B385="","",ROUND(W385-X385-IF(P385="",0,P385),2))</f>
        <v>0</v>
      </c>
      <c r="Z385" s="26">
        <f>IF(B385="","",IF(H385="Retail",IF(TaxOnRetail="Yes",ROUND(Y385*TaxRate,2),0),IF(H385="Service",IF(TaxOnServices="Yes",ROUND(Y385*TaxRate,2),0),0)))</f>
        <v>0</v>
      </c>
      <c r="AA385" s="26">
        <f>IF(B385="","",ROUND(Y385+Z385,2))</f>
        <v>0</v>
      </c>
      <c r="AB385" s="26">
        <f>IF(B385="","",ROUND(T385*IF(H385="Retail",IFERROR(INDEX(Inventory!$H$5:$H$304,MATCH(I385,Inventory!$A$5:$A$304,0))*1,0),IFERROR(INDEX(Services!$Q$5:$Q$204,MATCH(I385,Services!$A$5:$A$204,0))*1,0)),2))</f>
        <v>0</v>
      </c>
      <c r="AC385" s="26">
        <f>IF(B385="","",ROUND(Y385-AB385,2))</f>
        <v>0</v>
      </c>
      <c r="AD385" s="38">
        <f>IF(B385="","",IF(C385="","No",IF(COUNTIFS($C$5:C385,C385)=1,"Yes","No")))</f>
        <v>0</v>
      </c>
      <c r="AE385" s="26">
        <f>IF(B385="","",ROUND(SUMIFS(Payments!$G$5:$G$1204,Payments!$H$5:$H$1204,A385,Payments!$Q$5:$Q$1204,"Yes"),2))</f>
        <v>0</v>
      </c>
      <c r="AF385" s="26">
        <f>IF(B385="","",IF(AD385="No",0,ROUND(SUMIFS(Payments!$G$5:$G$1204,Payments!$I$5:$I$1204,C385,Payments!$H$5:$H$1204,"",Payments!$Q$5:$Q$1204,"Yes"),2)))</f>
        <v>0</v>
      </c>
      <c r="AG385" s="26">
        <f>IF(B385="","",ROUND(AE385+AF385,2))</f>
        <v>0</v>
      </c>
      <c r="AH385" s="26">
        <f>IF(B385="","",ROUND(AA385-AG385,2))</f>
        <v>0</v>
      </c>
      <c r="AI385" s="39">
        <f>IF(B385="","",IF(AA385&lt;=0,"No charge",IF(AH385&lt;=0.004,"Paid",IF(AG385&lt;=0.004,"Unpaid","Part paid"))))</f>
        <v>0</v>
      </c>
      <c r="AJ385" s="38">
        <f>IF(B385="","",IF(H385&lt;&gt;"Service","",IF(D385="","No",IF(COUNTIFS($D$5:$D$1204,D385,$B$5:$B$1204,B385,$H$5:$H$1204,"Retail")&gt;0,"Yes","No"))))</f>
        <v>0</v>
      </c>
      <c r="AK385" s="25">
        <f>IF(B385="","",COUNTIFS($Y$5:$Y$1204,"&gt;"&amp;Y385)+COUNTIFS($Y$5:Y385,Y385))</f>
        <v>0</v>
      </c>
      <c r="AL385" s="39">
        <f>IF(B385="","",IF(H385="","Add - what kind of sale is this?",IF(IF(V385&lt;=0,P385="",FALSE),"Check - no price found for this item",IF(F385="","Assign - nobody credited",IF(AH385&gt;0.004,"Unpaid - balance outstanding",IF(AC385&lt;0,"Loss - sold below cost",IF(X385&gt;W385*0.5,"Check - more than half off","OK")))))))</f>
        <v>0</v>
      </c>
    </row>
    <row r="386" spans="1:38">
      <c r="A386" s="28">
        <f>IF(B386="","",SalePrefix&amp;TEXT(ROW()-4,"0000"))</f>
        <v>0</v>
      </c>
      <c r="E386" s="15">
        <f>IF(D386="","",IFERROR(INDEX(Clients!$B$5:$B$504,MATCH(D386,Clients!$A$5:$A$504,0)),"Walk-in"))</f>
        <v>0</v>
      </c>
      <c r="G386" s="15">
        <f>IF(F386="","",IFERROR(INDEX(Staff!$B$5:$B$44,MATCH(F386,Staff!$A$5:$A$44,0)),"House"))</f>
        <v>0</v>
      </c>
      <c r="R386" s="15">
        <f>IF(B386="","",TEXT(B386,"yyyy-mm"))</f>
        <v>0</v>
      </c>
      <c r="S386" s="25">
        <f>IF(B386="","",WEEKNUM(B386,2))</f>
        <v>0</v>
      </c>
      <c r="T386" s="37">
        <f>IF(B386="","",IF(K386="",1,K386))</f>
        <v>0</v>
      </c>
      <c r="U386" s="15">
        <f>IF(B386="","",IF(J386&lt;&gt;"",J386,IF(H386="Retail",IFERROR(INDEX(Inventory!$B$5:$B$304,MATCH(I386,Inventory!$A$5:$A$304,0))&amp;"","Not in Inventory"),IFERROR(INDEX(Services!$B$5:$B$204,MATCH(I386,Services!$A$5:$A$204,0))&amp;"","Not in Services"))))</f>
        <v>0</v>
      </c>
      <c r="V386" s="26">
        <f>IF(B386="","",IF(L386&lt;&gt;"",L386,IF(H386="Retail",IFERROR(INDEX(Inventory!$I$5:$I$304,MATCH(I386,Inventory!$A$5:$A$304,0))*1,0),IFERROR(INDEX(Services!$G$5:$G$204,MATCH(I386,Services!$A$5:$A$204,0))*1,0))))</f>
        <v>0</v>
      </c>
      <c r="W386" s="26">
        <f>IF(B386="","",ROUND(T386*V386,2))</f>
        <v>0</v>
      </c>
      <c r="X386" s="26">
        <f>IF(B386="","",ROUND(IF(M386="",0,W386*M386)+IF(N386="",0,N386),2))</f>
        <v>0</v>
      </c>
      <c r="Y386" s="26">
        <f>IF(B386="","",ROUND(W386-X386-IF(P386="",0,P386),2))</f>
        <v>0</v>
      </c>
      <c r="Z386" s="26">
        <f>IF(B386="","",IF(H386="Retail",IF(TaxOnRetail="Yes",ROUND(Y386*TaxRate,2),0),IF(H386="Service",IF(TaxOnServices="Yes",ROUND(Y386*TaxRate,2),0),0)))</f>
        <v>0</v>
      </c>
      <c r="AA386" s="26">
        <f>IF(B386="","",ROUND(Y386+Z386,2))</f>
        <v>0</v>
      </c>
      <c r="AB386" s="26">
        <f>IF(B386="","",ROUND(T386*IF(H386="Retail",IFERROR(INDEX(Inventory!$H$5:$H$304,MATCH(I386,Inventory!$A$5:$A$304,0))*1,0),IFERROR(INDEX(Services!$Q$5:$Q$204,MATCH(I386,Services!$A$5:$A$204,0))*1,0)),2))</f>
        <v>0</v>
      </c>
      <c r="AC386" s="26">
        <f>IF(B386="","",ROUND(Y386-AB386,2))</f>
        <v>0</v>
      </c>
      <c r="AD386" s="38">
        <f>IF(B386="","",IF(C386="","No",IF(COUNTIFS($C$5:C386,C386)=1,"Yes","No")))</f>
        <v>0</v>
      </c>
      <c r="AE386" s="26">
        <f>IF(B386="","",ROUND(SUMIFS(Payments!$G$5:$G$1204,Payments!$H$5:$H$1204,A386,Payments!$Q$5:$Q$1204,"Yes"),2))</f>
        <v>0</v>
      </c>
      <c r="AF386" s="26">
        <f>IF(B386="","",IF(AD386="No",0,ROUND(SUMIFS(Payments!$G$5:$G$1204,Payments!$I$5:$I$1204,C386,Payments!$H$5:$H$1204,"",Payments!$Q$5:$Q$1204,"Yes"),2)))</f>
        <v>0</v>
      </c>
      <c r="AG386" s="26">
        <f>IF(B386="","",ROUND(AE386+AF386,2))</f>
        <v>0</v>
      </c>
      <c r="AH386" s="26">
        <f>IF(B386="","",ROUND(AA386-AG386,2))</f>
        <v>0</v>
      </c>
      <c r="AI386" s="39">
        <f>IF(B386="","",IF(AA386&lt;=0,"No charge",IF(AH386&lt;=0.004,"Paid",IF(AG386&lt;=0.004,"Unpaid","Part paid"))))</f>
        <v>0</v>
      </c>
      <c r="AJ386" s="38">
        <f>IF(B386="","",IF(H386&lt;&gt;"Service","",IF(D386="","No",IF(COUNTIFS($D$5:$D$1204,D386,$B$5:$B$1204,B386,$H$5:$H$1204,"Retail")&gt;0,"Yes","No"))))</f>
        <v>0</v>
      </c>
      <c r="AK386" s="25">
        <f>IF(B386="","",COUNTIFS($Y$5:$Y$1204,"&gt;"&amp;Y386)+COUNTIFS($Y$5:Y386,Y386))</f>
        <v>0</v>
      </c>
      <c r="AL386" s="39">
        <f>IF(B386="","",IF(H386="","Add - what kind of sale is this?",IF(IF(V386&lt;=0,P386="",FALSE),"Check - no price found for this item",IF(F386="","Assign - nobody credited",IF(AH386&gt;0.004,"Unpaid - balance outstanding",IF(AC386&lt;0,"Loss - sold below cost",IF(X386&gt;W386*0.5,"Check - more than half off","OK")))))))</f>
        <v>0</v>
      </c>
    </row>
    <row r="387" spans="1:38">
      <c r="A387" s="28">
        <f>IF(B387="","",SalePrefix&amp;TEXT(ROW()-4,"0000"))</f>
        <v>0</v>
      </c>
      <c r="E387" s="15">
        <f>IF(D387="","",IFERROR(INDEX(Clients!$B$5:$B$504,MATCH(D387,Clients!$A$5:$A$504,0)),"Walk-in"))</f>
        <v>0</v>
      </c>
      <c r="G387" s="15">
        <f>IF(F387="","",IFERROR(INDEX(Staff!$B$5:$B$44,MATCH(F387,Staff!$A$5:$A$44,0)),"House"))</f>
        <v>0</v>
      </c>
      <c r="R387" s="15">
        <f>IF(B387="","",TEXT(B387,"yyyy-mm"))</f>
        <v>0</v>
      </c>
      <c r="S387" s="25">
        <f>IF(B387="","",WEEKNUM(B387,2))</f>
        <v>0</v>
      </c>
      <c r="T387" s="37">
        <f>IF(B387="","",IF(K387="",1,K387))</f>
        <v>0</v>
      </c>
      <c r="U387" s="15">
        <f>IF(B387="","",IF(J387&lt;&gt;"",J387,IF(H387="Retail",IFERROR(INDEX(Inventory!$B$5:$B$304,MATCH(I387,Inventory!$A$5:$A$304,0))&amp;"","Not in Inventory"),IFERROR(INDEX(Services!$B$5:$B$204,MATCH(I387,Services!$A$5:$A$204,0))&amp;"","Not in Services"))))</f>
        <v>0</v>
      </c>
      <c r="V387" s="26">
        <f>IF(B387="","",IF(L387&lt;&gt;"",L387,IF(H387="Retail",IFERROR(INDEX(Inventory!$I$5:$I$304,MATCH(I387,Inventory!$A$5:$A$304,0))*1,0),IFERROR(INDEX(Services!$G$5:$G$204,MATCH(I387,Services!$A$5:$A$204,0))*1,0))))</f>
        <v>0</v>
      </c>
      <c r="W387" s="26">
        <f>IF(B387="","",ROUND(T387*V387,2))</f>
        <v>0</v>
      </c>
      <c r="X387" s="26">
        <f>IF(B387="","",ROUND(IF(M387="",0,W387*M387)+IF(N387="",0,N387),2))</f>
        <v>0</v>
      </c>
      <c r="Y387" s="26">
        <f>IF(B387="","",ROUND(W387-X387-IF(P387="",0,P387),2))</f>
        <v>0</v>
      </c>
      <c r="Z387" s="26">
        <f>IF(B387="","",IF(H387="Retail",IF(TaxOnRetail="Yes",ROUND(Y387*TaxRate,2),0),IF(H387="Service",IF(TaxOnServices="Yes",ROUND(Y387*TaxRate,2),0),0)))</f>
        <v>0</v>
      </c>
      <c r="AA387" s="26">
        <f>IF(B387="","",ROUND(Y387+Z387,2))</f>
        <v>0</v>
      </c>
      <c r="AB387" s="26">
        <f>IF(B387="","",ROUND(T387*IF(H387="Retail",IFERROR(INDEX(Inventory!$H$5:$H$304,MATCH(I387,Inventory!$A$5:$A$304,0))*1,0),IFERROR(INDEX(Services!$Q$5:$Q$204,MATCH(I387,Services!$A$5:$A$204,0))*1,0)),2))</f>
        <v>0</v>
      </c>
      <c r="AC387" s="26">
        <f>IF(B387="","",ROUND(Y387-AB387,2))</f>
        <v>0</v>
      </c>
      <c r="AD387" s="38">
        <f>IF(B387="","",IF(C387="","No",IF(COUNTIFS($C$5:C387,C387)=1,"Yes","No")))</f>
        <v>0</v>
      </c>
      <c r="AE387" s="26">
        <f>IF(B387="","",ROUND(SUMIFS(Payments!$G$5:$G$1204,Payments!$H$5:$H$1204,A387,Payments!$Q$5:$Q$1204,"Yes"),2))</f>
        <v>0</v>
      </c>
      <c r="AF387" s="26">
        <f>IF(B387="","",IF(AD387="No",0,ROUND(SUMIFS(Payments!$G$5:$G$1204,Payments!$I$5:$I$1204,C387,Payments!$H$5:$H$1204,"",Payments!$Q$5:$Q$1204,"Yes"),2)))</f>
        <v>0</v>
      </c>
      <c r="AG387" s="26">
        <f>IF(B387="","",ROUND(AE387+AF387,2))</f>
        <v>0</v>
      </c>
      <c r="AH387" s="26">
        <f>IF(B387="","",ROUND(AA387-AG387,2))</f>
        <v>0</v>
      </c>
      <c r="AI387" s="39">
        <f>IF(B387="","",IF(AA387&lt;=0,"No charge",IF(AH387&lt;=0.004,"Paid",IF(AG387&lt;=0.004,"Unpaid","Part paid"))))</f>
        <v>0</v>
      </c>
      <c r="AJ387" s="38">
        <f>IF(B387="","",IF(H387&lt;&gt;"Service","",IF(D387="","No",IF(COUNTIFS($D$5:$D$1204,D387,$B$5:$B$1204,B387,$H$5:$H$1204,"Retail")&gt;0,"Yes","No"))))</f>
        <v>0</v>
      </c>
      <c r="AK387" s="25">
        <f>IF(B387="","",COUNTIFS($Y$5:$Y$1204,"&gt;"&amp;Y387)+COUNTIFS($Y$5:Y387,Y387))</f>
        <v>0</v>
      </c>
      <c r="AL387" s="39">
        <f>IF(B387="","",IF(H387="","Add - what kind of sale is this?",IF(IF(V387&lt;=0,P387="",FALSE),"Check - no price found for this item",IF(F387="","Assign - nobody credited",IF(AH387&gt;0.004,"Unpaid - balance outstanding",IF(AC387&lt;0,"Loss - sold below cost",IF(X387&gt;W387*0.5,"Check - more than half off","OK")))))))</f>
        <v>0</v>
      </c>
    </row>
    <row r="388" spans="1:38">
      <c r="A388" s="28">
        <f>IF(B388="","",SalePrefix&amp;TEXT(ROW()-4,"0000"))</f>
        <v>0</v>
      </c>
      <c r="E388" s="15">
        <f>IF(D388="","",IFERROR(INDEX(Clients!$B$5:$B$504,MATCH(D388,Clients!$A$5:$A$504,0)),"Walk-in"))</f>
        <v>0</v>
      </c>
      <c r="G388" s="15">
        <f>IF(F388="","",IFERROR(INDEX(Staff!$B$5:$B$44,MATCH(F388,Staff!$A$5:$A$44,0)),"House"))</f>
        <v>0</v>
      </c>
      <c r="R388" s="15">
        <f>IF(B388="","",TEXT(B388,"yyyy-mm"))</f>
        <v>0</v>
      </c>
      <c r="S388" s="25">
        <f>IF(B388="","",WEEKNUM(B388,2))</f>
        <v>0</v>
      </c>
      <c r="T388" s="37">
        <f>IF(B388="","",IF(K388="",1,K388))</f>
        <v>0</v>
      </c>
      <c r="U388" s="15">
        <f>IF(B388="","",IF(J388&lt;&gt;"",J388,IF(H388="Retail",IFERROR(INDEX(Inventory!$B$5:$B$304,MATCH(I388,Inventory!$A$5:$A$304,0))&amp;"","Not in Inventory"),IFERROR(INDEX(Services!$B$5:$B$204,MATCH(I388,Services!$A$5:$A$204,0))&amp;"","Not in Services"))))</f>
        <v>0</v>
      </c>
      <c r="V388" s="26">
        <f>IF(B388="","",IF(L388&lt;&gt;"",L388,IF(H388="Retail",IFERROR(INDEX(Inventory!$I$5:$I$304,MATCH(I388,Inventory!$A$5:$A$304,0))*1,0),IFERROR(INDEX(Services!$G$5:$G$204,MATCH(I388,Services!$A$5:$A$204,0))*1,0))))</f>
        <v>0</v>
      </c>
      <c r="W388" s="26">
        <f>IF(B388="","",ROUND(T388*V388,2))</f>
        <v>0</v>
      </c>
      <c r="X388" s="26">
        <f>IF(B388="","",ROUND(IF(M388="",0,W388*M388)+IF(N388="",0,N388),2))</f>
        <v>0</v>
      </c>
      <c r="Y388" s="26">
        <f>IF(B388="","",ROUND(W388-X388-IF(P388="",0,P388),2))</f>
        <v>0</v>
      </c>
      <c r="Z388" s="26">
        <f>IF(B388="","",IF(H388="Retail",IF(TaxOnRetail="Yes",ROUND(Y388*TaxRate,2),0),IF(H388="Service",IF(TaxOnServices="Yes",ROUND(Y388*TaxRate,2),0),0)))</f>
        <v>0</v>
      </c>
      <c r="AA388" s="26">
        <f>IF(B388="","",ROUND(Y388+Z388,2))</f>
        <v>0</v>
      </c>
      <c r="AB388" s="26">
        <f>IF(B388="","",ROUND(T388*IF(H388="Retail",IFERROR(INDEX(Inventory!$H$5:$H$304,MATCH(I388,Inventory!$A$5:$A$304,0))*1,0),IFERROR(INDEX(Services!$Q$5:$Q$204,MATCH(I388,Services!$A$5:$A$204,0))*1,0)),2))</f>
        <v>0</v>
      </c>
      <c r="AC388" s="26">
        <f>IF(B388="","",ROUND(Y388-AB388,2))</f>
        <v>0</v>
      </c>
      <c r="AD388" s="38">
        <f>IF(B388="","",IF(C388="","No",IF(COUNTIFS($C$5:C388,C388)=1,"Yes","No")))</f>
        <v>0</v>
      </c>
      <c r="AE388" s="26">
        <f>IF(B388="","",ROUND(SUMIFS(Payments!$G$5:$G$1204,Payments!$H$5:$H$1204,A388,Payments!$Q$5:$Q$1204,"Yes"),2))</f>
        <v>0</v>
      </c>
      <c r="AF388" s="26">
        <f>IF(B388="","",IF(AD388="No",0,ROUND(SUMIFS(Payments!$G$5:$G$1204,Payments!$I$5:$I$1204,C388,Payments!$H$5:$H$1204,"",Payments!$Q$5:$Q$1204,"Yes"),2)))</f>
        <v>0</v>
      </c>
      <c r="AG388" s="26">
        <f>IF(B388="","",ROUND(AE388+AF388,2))</f>
        <v>0</v>
      </c>
      <c r="AH388" s="26">
        <f>IF(B388="","",ROUND(AA388-AG388,2))</f>
        <v>0</v>
      </c>
      <c r="AI388" s="39">
        <f>IF(B388="","",IF(AA388&lt;=0,"No charge",IF(AH388&lt;=0.004,"Paid",IF(AG388&lt;=0.004,"Unpaid","Part paid"))))</f>
        <v>0</v>
      </c>
      <c r="AJ388" s="38">
        <f>IF(B388="","",IF(H388&lt;&gt;"Service","",IF(D388="","No",IF(COUNTIFS($D$5:$D$1204,D388,$B$5:$B$1204,B388,$H$5:$H$1204,"Retail")&gt;0,"Yes","No"))))</f>
        <v>0</v>
      </c>
      <c r="AK388" s="25">
        <f>IF(B388="","",COUNTIFS($Y$5:$Y$1204,"&gt;"&amp;Y388)+COUNTIFS($Y$5:Y388,Y388))</f>
        <v>0</v>
      </c>
      <c r="AL388" s="39">
        <f>IF(B388="","",IF(H388="","Add - what kind of sale is this?",IF(IF(V388&lt;=0,P388="",FALSE),"Check - no price found for this item",IF(F388="","Assign - nobody credited",IF(AH388&gt;0.004,"Unpaid - balance outstanding",IF(AC388&lt;0,"Loss - sold below cost",IF(X388&gt;W388*0.5,"Check - more than half off","OK")))))))</f>
        <v>0</v>
      </c>
    </row>
    <row r="389" spans="1:38">
      <c r="A389" s="28">
        <f>IF(B389="","",SalePrefix&amp;TEXT(ROW()-4,"0000"))</f>
        <v>0</v>
      </c>
      <c r="E389" s="15">
        <f>IF(D389="","",IFERROR(INDEX(Clients!$B$5:$B$504,MATCH(D389,Clients!$A$5:$A$504,0)),"Walk-in"))</f>
        <v>0</v>
      </c>
      <c r="G389" s="15">
        <f>IF(F389="","",IFERROR(INDEX(Staff!$B$5:$B$44,MATCH(F389,Staff!$A$5:$A$44,0)),"House"))</f>
        <v>0</v>
      </c>
      <c r="R389" s="15">
        <f>IF(B389="","",TEXT(B389,"yyyy-mm"))</f>
        <v>0</v>
      </c>
      <c r="S389" s="25">
        <f>IF(B389="","",WEEKNUM(B389,2))</f>
        <v>0</v>
      </c>
      <c r="T389" s="37">
        <f>IF(B389="","",IF(K389="",1,K389))</f>
        <v>0</v>
      </c>
      <c r="U389" s="15">
        <f>IF(B389="","",IF(J389&lt;&gt;"",J389,IF(H389="Retail",IFERROR(INDEX(Inventory!$B$5:$B$304,MATCH(I389,Inventory!$A$5:$A$304,0))&amp;"","Not in Inventory"),IFERROR(INDEX(Services!$B$5:$B$204,MATCH(I389,Services!$A$5:$A$204,0))&amp;"","Not in Services"))))</f>
        <v>0</v>
      </c>
      <c r="V389" s="26">
        <f>IF(B389="","",IF(L389&lt;&gt;"",L389,IF(H389="Retail",IFERROR(INDEX(Inventory!$I$5:$I$304,MATCH(I389,Inventory!$A$5:$A$304,0))*1,0),IFERROR(INDEX(Services!$G$5:$G$204,MATCH(I389,Services!$A$5:$A$204,0))*1,0))))</f>
        <v>0</v>
      </c>
      <c r="W389" s="26">
        <f>IF(B389="","",ROUND(T389*V389,2))</f>
        <v>0</v>
      </c>
      <c r="X389" s="26">
        <f>IF(B389="","",ROUND(IF(M389="",0,W389*M389)+IF(N389="",0,N389),2))</f>
        <v>0</v>
      </c>
      <c r="Y389" s="26">
        <f>IF(B389="","",ROUND(W389-X389-IF(P389="",0,P389),2))</f>
        <v>0</v>
      </c>
      <c r="Z389" s="26">
        <f>IF(B389="","",IF(H389="Retail",IF(TaxOnRetail="Yes",ROUND(Y389*TaxRate,2),0),IF(H389="Service",IF(TaxOnServices="Yes",ROUND(Y389*TaxRate,2),0),0)))</f>
        <v>0</v>
      </c>
      <c r="AA389" s="26">
        <f>IF(B389="","",ROUND(Y389+Z389,2))</f>
        <v>0</v>
      </c>
      <c r="AB389" s="26">
        <f>IF(B389="","",ROUND(T389*IF(H389="Retail",IFERROR(INDEX(Inventory!$H$5:$H$304,MATCH(I389,Inventory!$A$5:$A$304,0))*1,0),IFERROR(INDEX(Services!$Q$5:$Q$204,MATCH(I389,Services!$A$5:$A$204,0))*1,0)),2))</f>
        <v>0</v>
      </c>
      <c r="AC389" s="26">
        <f>IF(B389="","",ROUND(Y389-AB389,2))</f>
        <v>0</v>
      </c>
      <c r="AD389" s="38">
        <f>IF(B389="","",IF(C389="","No",IF(COUNTIFS($C$5:C389,C389)=1,"Yes","No")))</f>
        <v>0</v>
      </c>
      <c r="AE389" s="26">
        <f>IF(B389="","",ROUND(SUMIFS(Payments!$G$5:$G$1204,Payments!$H$5:$H$1204,A389,Payments!$Q$5:$Q$1204,"Yes"),2))</f>
        <v>0</v>
      </c>
      <c r="AF389" s="26">
        <f>IF(B389="","",IF(AD389="No",0,ROUND(SUMIFS(Payments!$G$5:$G$1204,Payments!$I$5:$I$1204,C389,Payments!$H$5:$H$1204,"",Payments!$Q$5:$Q$1204,"Yes"),2)))</f>
        <v>0</v>
      </c>
      <c r="AG389" s="26">
        <f>IF(B389="","",ROUND(AE389+AF389,2))</f>
        <v>0</v>
      </c>
      <c r="AH389" s="26">
        <f>IF(B389="","",ROUND(AA389-AG389,2))</f>
        <v>0</v>
      </c>
      <c r="AI389" s="39">
        <f>IF(B389="","",IF(AA389&lt;=0,"No charge",IF(AH389&lt;=0.004,"Paid",IF(AG389&lt;=0.004,"Unpaid","Part paid"))))</f>
        <v>0</v>
      </c>
      <c r="AJ389" s="38">
        <f>IF(B389="","",IF(H389&lt;&gt;"Service","",IF(D389="","No",IF(COUNTIFS($D$5:$D$1204,D389,$B$5:$B$1204,B389,$H$5:$H$1204,"Retail")&gt;0,"Yes","No"))))</f>
        <v>0</v>
      </c>
      <c r="AK389" s="25">
        <f>IF(B389="","",COUNTIFS($Y$5:$Y$1204,"&gt;"&amp;Y389)+COUNTIFS($Y$5:Y389,Y389))</f>
        <v>0</v>
      </c>
      <c r="AL389" s="39">
        <f>IF(B389="","",IF(H389="","Add - what kind of sale is this?",IF(IF(V389&lt;=0,P389="",FALSE),"Check - no price found for this item",IF(F389="","Assign - nobody credited",IF(AH389&gt;0.004,"Unpaid - balance outstanding",IF(AC389&lt;0,"Loss - sold below cost",IF(X389&gt;W389*0.5,"Check - more than half off","OK")))))))</f>
        <v>0</v>
      </c>
    </row>
    <row r="390" spans="1:38">
      <c r="A390" s="28">
        <f>IF(B390="","",SalePrefix&amp;TEXT(ROW()-4,"0000"))</f>
        <v>0</v>
      </c>
      <c r="E390" s="15">
        <f>IF(D390="","",IFERROR(INDEX(Clients!$B$5:$B$504,MATCH(D390,Clients!$A$5:$A$504,0)),"Walk-in"))</f>
        <v>0</v>
      </c>
      <c r="G390" s="15">
        <f>IF(F390="","",IFERROR(INDEX(Staff!$B$5:$B$44,MATCH(F390,Staff!$A$5:$A$44,0)),"House"))</f>
        <v>0</v>
      </c>
      <c r="R390" s="15">
        <f>IF(B390="","",TEXT(B390,"yyyy-mm"))</f>
        <v>0</v>
      </c>
      <c r="S390" s="25">
        <f>IF(B390="","",WEEKNUM(B390,2))</f>
        <v>0</v>
      </c>
      <c r="T390" s="37">
        <f>IF(B390="","",IF(K390="",1,K390))</f>
        <v>0</v>
      </c>
      <c r="U390" s="15">
        <f>IF(B390="","",IF(J390&lt;&gt;"",J390,IF(H390="Retail",IFERROR(INDEX(Inventory!$B$5:$B$304,MATCH(I390,Inventory!$A$5:$A$304,0))&amp;"","Not in Inventory"),IFERROR(INDEX(Services!$B$5:$B$204,MATCH(I390,Services!$A$5:$A$204,0))&amp;"","Not in Services"))))</f>
        <v>0</v>
      </c>
      <c r="V390" s="26">
        <f>IF(B390="","",IF(L390&lt;&gt;"",L390,IF(H390="Retail",IFERROR(INDEX(Inventory!$I$5:$I$304,MATCH(I390,Inventory!$A$5:$A$304,0))*1,0),IFERROR(INDEX(Services!$G$5:$G$204,MATCH(I390,Services!$A$5:$A$204,0))*1,0))))</f>
        <v>0</v>
      </c>
      <c r="W390" s="26">
        <f>IF(B390="","",ROUND(T390*V390,2))</f>
        <v>0</v>
      </c>
      <c r="X390" s="26">
        <f>IF(B390="","",ROUND(IF(M390="",0,W390*M390)+IF(N390="",0,N390),2))</f>
        <v>0</v>
      </c>
      <c r="Y390" s="26">
        <f>IF(B390="","",ROUND(W390-X390-IF(P390="",0,P390),2))</f>
        <v>0</v>
      </c>
      <c r="Z390" s="26">
        <f>IF(B390="","",IF(H390="Retail",IF(TaxOnRetail="Yes",ROUND(Y390*TaxRate,2),0),IF(H390="Service",IF(TaxOnServices="Yes",ROUND(Y390*TaxRate,2),0),0)))</f>
        <v>0</v>
      </c>
      <c r="AA390" s="26">
        <f>IF(B390="","",ROUND(Y390+Z390,2))</f>
        <v>0</v>
      </c>
      <c r="AB390" s="26">
        <f>IF(B390="","",ROUND(T390*IF(H390="Retail",IFERROR(INDEX(Inventory!$H$5:$H$304,MATCH(I390,Inventory!$A$5:$A$304,0))*1,0),IFERROR(INDEX(Services!$Q$5:$Q$204,MATCH(I390,Services!$A$5:$A$204,0))*1,0)),2))</f>
        <v>0</v>
      </c>
      <c r="AC390" s="26">
        <f>IF(B390="","",ROUND(Y390-AB390,2))</f>
        <v>0</v>
      </c>
      <c r="AD390" s="38">
        <f>IF(B390="","",IF(C390="","No",IF(COUNTIFS($C$5:C390,C390)=1,"Yes","No")))</f>
        <v>0</v>
      </c>
      <c r="AE390" s="26">
        <f>IF(B390="","",ROUND(SUMIFS(Payments!$G$5:$G$1204,Payments!$H$5:$H$1204,A390,Payments!$Q$5:$Q$1204,"Yes"),2))</f>
        <v>0</v>
      </c>
      <c r="AF390" s="26">
        <f>IF(B390="","",IF(AD390="No",0,ROUND(SUMIFS(Payments!$G$5:$G$1204,Payments!$I$5:$I$1204,C390,Payments!$H$5:$H$1204,"",Payments!$Q$5:$Q$1204,"Yes"),2)))</f>
        <v>0</v>
      </c>
      <c r="AG390" s="26">
        <f>IF(B390="","",ROUND(AE390+AF390,2))</f>
        <v>0</v>
      </c>
      <c r="AH390" s="26">
        <f>IF(B390="","",ROUND(AA390-AG390,2))</f>
        <v>0</v>
      </c>
      <c r="AI390" s="39">
        <f>IF(B390="","",IF(AA390&lt;=0,"No charge",IF(AH390&lt;=0.004,"Paid",IF(AG390&lt;=0.004,"Unpaid","Part paid"))))</f>
        <v>0</v>
      </c>
      <c r="AJ390" s="38">
        <f>IF(B390="","",IF(H390&lt;&gt;"Service","",IF(D390="","No",IF(COUNTIFS($D$5:$D$1204,D390,$B$5:$B$1204,B390,$H$5:$H$1204,"Retail")&gt;0,"Yes","No"))))</f>
        <v>0</v>
      </c>
      <c r="AK390" s="25">
        <f>IF(B390="","",COUNTIFS($Y$5:$Y$1204,"&gt;"&amp;Y390)+COUNTIFS($Y$5:Y390,Y390))</f>
        <v>0</v>
      </c>
      <c r="AL390" s="39">
        <f>IF(B390="","",IF(H390="","Add - what kind of sale is this?",IF(IF(V390&lt;=0,P390="",FALSE),"Check - no price found for this item",IF(F390="","Assign - nobody credited",IF(AH390&gt;0.004,"Unpaid - balance outstanding",IF(AC390&lt;0,"Loss - sold below cost",IF(X390&gt;W390*0.5,"Check - more than half off","OK")))))))</f>
        <v>0</v>
      </c>
    </row>
    <row r="391" spans="1:38">
      <c r="A391" s="28">
        <f>IF(B391="","",SalePrefix&amp;TEXT(ROW()-4,"0000"))</f>
        <v>0</v>
      </c>
      <c r="E391" s="15">
        <f>IF(D391="","",IFERROR(INDEX(Clients!$B$5:$B$504,MATCH(D391,Clients!$A$5:$A$504,0)),"Walk-in"))</f>
        <v>0</v>
      </c>
      <c r="G391" s="15">
        <f>IF(F391="","",IFERROR(INDEX(Staff!$B$5:$B$44,MATCH(F391,Staff!$A$5:$A$44,0)),"House"))</f>
        <v>0</v>
      </c>
      <c r="R391" s="15">
        <f>IF(B391="","",TEXT(B391,"yyyy-mm"))</f>
        <v>0</v>
      </c>
      <c r="S391" s="25">
        <f>IF(B391="","",WEEKNUM(B391,2))</f>
        <v>0</v>
      </c>
      <c r="T391" s="37">
        <f>IF(B391="","",IF(K391="",1,K391))</f>
        <v>0</v>
      </c>
      <c r="U391" s="15">
        <f>IF(B391="","",IF(J391&lt;&gt;"",J391,IF(H391="Retail",IFERROR(INDEX(Inventory!$B$5:$B$304,MATCH(I391,Inventory!$A$5:$A$304,0))&amp;"","Not in Inventory"),IFERROR(INDEX(Services!$B$5:$B$204,MATCH(I391,Services!$A$5:$A$204,0))&amp;"","Not in Services"))))</f>
        <v>0</v>
      </c>
      <c r="V391" s="26">
        <f>IF(B391="","",IF(L391&lt;&gt;"",L391,IF(H391="Retail",IFERROR(INDEX(Inventory!$I$5:$I$304,MATCH(I391,Inventory!$A$5:$A$304,0))*1,0),IFERROR(INDEX(Services!$G$5:$G$204,MATCH(I391,Services!$A$5:$A$204,0))*1,0))))</f>
        <v>0</v>
      </c>
      <c r="W391" s="26">
        <f>IF(B391="","",ROUND(T391*V391,2))</f>
        <v>0</v>
      </c>
      <c r="X391" s="26">
        <f>IF(B391="","",ROUND(IF(M391="",0,W391*M391)+IF(N391="",0,N391),2))</f>
        <v>0</v>
      </c>
      <c r="Y391" s="26">
        <f>IF(B391="","",ROUND(W391-X391-IF(P391="",0,P391),2))</f>
        <v>0</v>
      </c>
      <c r="Z391" s="26">
        <f>IF(B391="","",IF(H391="Retail",IF(TaxOnRetail="Yes",ROUND(Y391*TaxRate,2),0),IF(H391="Service",IF(TaxOnServices="Yes",ROUND(Y391*TaxRate,2),0),0)))</f>
        <v>0</v>
      </c>
      <c r="AA391" s="26">
        <f>IF(B391="","",ROUND(Y391+Z391,2))</f>
        <v>0</v>
      </c>
      <c r="AB391" s="26">
        <f>IF(B391="","",ROUND(T391*IF(H391="Retail",IFERROR(INDEX(Inventory!$H$5:$H$304,MATCH(I391,Inventory!$A$5:$A$304,0))*1,0),IFERROR(INDEX(Services!$Q$5:$Q$204,MATCH(I391,Services!$A$5:$A$204,0))*1,0)),2))</f>
        <v>0</v>
      </c>
      <c r="AC391" s="26">
        <f>IF(B391="","",ROUND(Y391-AB391,2))</f>
        <v>0</v>
      </c>
      <c r="AD391" s="38">
        <f>IF(B391="","",IF(C391="","No",IF(COUNTIFS($C$5:C391,C391)=1,"Yes","No")))</f>
        <v>0</v>
      </c>
      <c r="AE391" s="26">
        <f>IF(B391="","",ROUND(SUMIFS(Payments!$G$5:$G$1204,Payments!$H$5:$H$1204,A391,Payments!$Q$5:$Q$1204,"Yes"),2))</f>
        <v>0</v>
      </c>
      <c r="AF391" s="26">
        <f>IF(B391="","",IF(AD391="No",0,ROUND(SUMIFS(Payments!$G$5:$G$1204,Payments!$I$5:$I$1204,C391,Payments!$H$5:$H$1204,"",Payments!$Q$5:$Q$1204,"Yes"),2)))</f>
        <v>0</v>
      </c>
      <c r="AG391" s="26">
        <f>IF(B391="","",ROUND(AE391+AF391,2))</f>
        <v>0</v>
      </c>
      <c r="AH391" s="26">
        <f>IF(B391="","",ROUND(AA391-AG391,2))</f>
        <v>0</v>
      </c>
      <c r="AI391" s="39">
        <f>IF(B391="","",IF(AA391&lt;=0,"No charge",IF(AH391&lt;=0.004,"Paid",IF(AG391&lt;=0.004,"Unpaid","Part paid"))))</f>
        <v>0</v>
      </c>
      <c r="AJ391" s="38">
        <f>IF(B391="","",IF(H391&lt;&gt;"Service","",IF(D391="","No",IF(COUNTIFS($D$5:$D$1204,D391,$B$5:$B$1204,B391,$H$5:$H$1204,"Retail")&gt;0,"Yes","No"))))</f>
        <v>0</v>
      </c>
      <c r="AK391" s="25">
        <f>IF(B391="","",COUNTIFS($Y$5:$Y$1204,"&gt;"&amp;Y391)+COUNTIFS($Y$5:Y391,Y391))</f>
        <v>0</v>
      </c>
      <c r="AL391" s="39">
        <f>IF(B391="","",IF(H391="","Add - what kind of sale is this?",IF(IF(V391&lt;=0,P391="",FALSE),"Check - no price found for this item",IF(F391="","Assign - nobody credited",IF(AH391&gt;0.004,"Unpaid - balance outstanding",IF(AC391&lt;0,"Loss - sold below cost",IF(X391&gt;W391*0.5,"Check - more than half off","OK")))))))</f>
        <v>0</v>
      </c>
    </row>
    <row r="392" spans="1:38">
      <c r="A392" s="28">
        <f>IF(B392="","",SalePrefix&amp;TEXT(ROW()-4,"0000"))</f>
        <v>0</v>
      </c>
      <c r="E392" s="15">
        <f>IF(D392="","",IFERROR(INDEX(Clients!$B$5:$B$504,MATCH(D392,Clients!$A$5:$A$504,0)),"Walk-in"))</f>
        <v>0</v>
      </c>
      <c r="G392" s="15">
        <f>IF(F392="","",IFERROR(INDEX(Staff!$B$5:$B$44,MATCH(F392,Staff!$A$5:$A$44,0)),"House"))</f>
        <v>0</v>
      </c>
      <c r="R392" s="15">
        <f>IF(B392="","",TEXT(B392,"yyyy-mm"))</f>
        <v>0</v>
      </c>
      <c r="S392" s="25">
        <f>IF(B392="","",WEEKNUM(B392,2))</f>
        <v>0</v>
      </c>
      <c r="T392" s="37">
        <f>IF(B392="","",IF(K392="",1,K392))</f>
        <v>0</v>
      </c>
      <c r="U392" s="15">
        <f>IF(B392="","",IF(J392&lt;&gt;"",J392,IF(H392="Retail",IFERROR(INDEX(Inventory!$B$5:$B$304,MATCH(I392,Inventory!$A$5:$A$304,0))&amp;"","Not in Inventory"),IFERROR(INDEX(Services!$B$5:$B$204,MATCH(I392,Services!$A$5:$A$204,0))&amp;"","Not in Services"))))</f>
        <v>0</v>
      </c>
      <c r="V392" s="26">
        <f>IF(B392="","",IF(L392&lt;&gt;"",L392,IF(H392="Retail",IFERROR(INDEX(Inventory!$I$5:$I$304,MATCH(I392,Inventory!$A$5:$A$304,0))*1,0),IFERROR(INDEX(Services!$G$5:$G$204,MATCH(I392,Services!$A$5:$A$204,0))*1,0))))</f>
        <v>0</v>
      </c>
      <c r="W392" s="26">
        <f>IF(B392="","",ROUND(T392*V392,2))</f>
        <v>0</v>
      </c>
      <c r="X392" s="26">
        <f>IF(B392="","",ROUND(IF(M392="",0,W392*M392)+IF(N392="",0,N392),2))</f>
        <v>0</v>
      </c>
      <c r="Y392" s="26">
        <f>IF(B392="","",ROUND(W392-X392-IF(P392="",0,P392),2))</f>
        <v>0</v>
      </c>
      <c r="Z392" s="26">
        <f>IF(B392="","",IF(H392="Retail",IF(TaxOnRetail="Yes",ROUND(Y392*TaxRate,2),0),IF(H392="Service",IF(TaxOnServices="Yes",ROUND(Y392*TaxRate,2),0),0)))</f>
        <v>0</v>
      </c>
      <c r="AA392" s="26">
        <f>IF(B392="","",ROUND(Y392+Z392,2))</f>
        <v>0</v>
      </c>
      <c r="AB392" s="26">
        <f>IF(B392="","",ROUND(T392*IF(H392="Retail",IFERROR(INDEX(Inventory!$H$5:$H$304,MATCH(I392,Inventory!$A$5:$A$304,0))*1,0),IFERROR(INDEX(Services!$Q$5:$Q$204,MATCH(I392,Services!$A$5:$A$204,0))*1,0)),2))</f>
        <v>0</v>
      </c>
      <c r="AC392" s="26">
        <f>IF(B392="","",ROUND(Y392-AB392,2))</f>
        <v>0</v>
      </c>
      <c r="AD392" s="38">
        <f>IF(B392="","",IF(C392="","No",IF(COUNTIFS($C$5:C392,C392)=1,"Yes","No")))</f>
        <v>0</v>
      </c>
      <c r="AE392" s="26">
        <f>IF(B392="","",ROUND(SUMIFS(Payments!$G$5:$G$1204,Payments!$H$5:$H$1204,A392,Payments!$Q$5:$Q$1204,"Yes"),2))</f>
        <v>0</v>
      </c>
      <c r="AF392" s="26">
        <f>IF(B392="","",IF(AD392="No",0,ROUND(SUMIFS(Payments!$G$5:$G$1204,Payments!$I$5:$I$1204,C392,Payments!$H$5:$H$1204,"",Payments!$Q$5:$Q$1204,"Yes"),2)))</f>
        <v>0</v>
      </c>
      <c r="AG392" s="26">
        <f>IF(B392="","",ROUND(AE392+AF392,2))</f>
        <v>0</v>
      </c>
      <c r="AH392" s="26">
        <f>IF(B392="","",ROUND(AA392-AG392,2))</f>
        <v>0</v>
      </c>
      <c r="AI392" s="39">
        <f>IF(B392="","",IF(AA392&lt;=0,"No charge",IF(AH392&lt;=0.004,"Paid",IF(AG392&lt;=0.004,"Unpaid","Part paid"))))</f>
        <v>0</v>
      </c>
      <c r="AJ392" s="38">
        <f>IF(B392="","",IF(H392&lt;&gt;"Service","",IF(D392="","No",IF(COUNTIFS($D$5:$D$1204,D392,$B$5:$B$1204,B392,$H$5:$H$1204,"Retail")&gt;0,"Yes","No"))))</f>
        <v>0</v>
      </c>
      <c r="AK392" s="25">
        <f>IF(B392="","",COUNTIFS($Y$5:$Y$1204,"&gt;"&amp;Y392)+COUNTIFS($Y$5:Y392,Y392))</f>
        <v>0</v>
      </c>
      <c r="AL392" s="39">
        <f>IF(B392="","",IF(H392="","Add - what kind of sale is this?",IF(IF(V392&lt;=0,P392="",FALSE),"Check - no price found for this item",IF(F392="","Assign - nobody credited",IF(AH392&gt;0.004,"Unpaid - balance outstanding",IF(AC392&lt;0,"Loss - sold below cost",IF(X392&gt;W392*0.5,"Check - more than half off","OK")))))))</f>
        <v>0</v>
      </c>
    </row>
    <row r="393" spans="1:38">
      <c r="A393" s="28">
        <f>IF(B393="","",SalePrefix&amp;TEXT(ROW()-4,"0000"))</f>
        <v>0</v>
      </c>
      <c r="E393" s="15">
        <f>IF(D393="","",IFERROR(INDEX(Clients!$B$5:$B$504,MATCH(D393,Clients!$A$5:$A$504,0)),"Walk-in"))</f>
        <v>0</v>
      </c>
      <c r="G393" s="15">
        <f>IF(F393="","",IFERROR(INDEX(Staff!$B$5:$B$44,MATCH(F393,Staff!$A$5:$A$44,0)),"House"))</f>
        <v>0</v>
      </c>
      <c r="R393" s="15">
        <f>IF(B393="","",TEXT(B393,"yyyy-mm"))</f>
        <v>0</v>
      </c>
      <c r="S393" s="25">
        <f>IF(B393="","",WEEKNUM(B393,2))</f>
        <v>0</v>
      </c>
      <c r="T393" s="37">
        <f>IF(B393="","",IF(K393="",1,K393))</f>
        <v>0</v>
      </c>
      <c r="U393" s="15">
        <f>IF(B393="","",IF(J393&lt;&gt;"",J393,IF(H393="Retail",IFERROR(INDEX(Inventory!$B$5:$B$304,MATCH(I393,Inventory!$A$5:$A$304,0))&amp;"","Not in Inventory"),IFERROR(INDEX(Services!$B$5:$B$204,MATCH(I393,Services!$A$5:$A$204,0))&amp;"","Not in Services"))))</f>
        <v>0</v>
      </c>
      <c r="V393" s="26">
        <f>IF(B393="","",IF(L393&lt;&gt;"",L393,IF(H393="Retail",IFERROR(INDEX(Inventory!$I$5:$I$304,MATCH(I393,Inventory!$A$5:$A$304,0))*1,0),IFERROR(INDEX(Services!$G$5:$G$204,MATCH(I393,Services!$A$5:$A$204,0))*1,0))))</f>
        <v>0</v>
      </c>
      <c r="W393" s="26">
        <f>IF(B393="","",ROUND(T393*V393,2))</f>
        <v>0</v>
      </c>
      <c r="X393" s="26">
        <f>IF(B393="","",ROUND(IF(M393="",0,W393*M393)+IF(N393="",0,N393),2))</f>
        <v>0</v>
      </c>
      <c r="Y393" s="26">
        <f>IF(B393="","",ROUND(W393-X393-IF(P393="",0,P393),2))</f>
        <v>0</v>
      </c>
      <c r="Z393" s="26">
        <f>IF(B393="","",IF(H393="Retail",IF(TaxOnRetail="Yes",ROUND(Y393*TaxRate,2),0),IF(H393="Service",IF(TaxOnServices="Yes",ROUND(Y393*TaxRate,2),0),0)))</f>
        <v>0</v>
      </c>
      <c r="AA393" s="26">
        <f>IF(B393="","",ROUND(Y393+Z393,2))</f>
        <v>0</v>
      </c>
      <c r="AB393" s="26">
        <f>IF(B393="","",ROUND(T393*IF(H393="Retail",IFERROR(INDEX(Inventory!$H$5:$H$304,MATCH(I393,Inventory!$A$5:$A$304,0))*1,0),IFERROR(INDEX(Services!$Q$5:$Q$204,MATCH(I393,Services!$A$5:$A$204,0))*1,0)),2))</f>
        <v>0</v>
      </c>
      <c r="AC393" s="26">
        <f>IF(B393="","",ROUND(Y393-AB393,2))</f>
        <v>0</v>
      </c>
      <c r="AD393" s="38">
        <f>IF(B393="","",IF(C393="","No",IF(COUNTIFS($C$5:C393,C393)=1,"Yes","No")))</f>
        <v>0</v>
      </c>
      <c r="AE393" s="26">
        <f>IF(B393="","",ROUND(SUMIFS(Payments!$G$5:$G$1204,Payments!$H$5:$H$1204,A393,Payments!$Q$5:$Q$1204,"Yes"),2))</f>
        <v>0</v>
      </c>
      <c r="AF393" s="26">
        <f>IF(B393="","",IF(AD393="No",0,ROUND(SUMIFS(Payments!$G$5:$G$1204,Payments!$I$5:$I$1204,C393,Payments!$H$5:$H$1204,"",Payments!$Q$5:$Q$1204,"Yes"),2)))</f>
        <v>0</v>
      </c>
      <c r="AG393" s="26">
        <f>IF(B393="","",ROUND(AE393+AF393,2))</f>
        <v>0</v>
      </c>
      <c r="AH393" s="26">
        <f>IF(B393="","",ROUND(AA393-AG393,2))</f>
        <v>0</v>
      </c>
      <c r="AI393" s="39">
        <f>IF(B393="","",IF(AA393&lt;=0,"No charge",IF(AH393&lt;=0.004,"Paid",IF(AG393&lt;=0.004,"Unpaid","Part paid"))))</f>
        <v>0</v>
      </c>
      <c r="AJ393" s="38">
        <f>IF(B393="","",IF(H393&lt;&gt;"Service","",IF(D393="","No",IF(COUNTIFS($D$5:$D$1204,D393,$B$5:$B$1204,B393,$H$5:$H$1204,"Retail")&gt;0,"Yes","No"))))</f>
        <v>0</v>
      </c>
      <c r="AK393" s="25">
        <f>IF(B393="","",COUNTIFS($Y$5:$Y$1204,"&gt;"&amp;Y393)+COUNTIFS($Y$5:Y393,Y393))</f>
        <v>0</v>
      </c>
      <c r="AL393" s="39">
        <f>IF(B393="","",IF(H393="","Add - what kind of sale is this?",IF(IF(V393&lt;=0,P393="",FALSE),"Check - no price found for this item",IF(F393="","Assign - nobody credited",IF(AH393&gt;0.004,"Unpaid - balance outstanding",IF(AC393&lt;0,"Loss - sold below cost",IF(X393&gt;W393*0.5,"Check - more than half off","OK")))))))</f>
        <v>0</v>
      </c>
    </row>
    <row r="394" spans="1:38">
      <c r="A394" s="28">
        <f>IF(B394="","",SalePrefix&amp;TEXT(ROW()-4,"0000"))</f>
        <v>0</v>
      </c>
      <c r="E394" s="15">
        <f>IF(D394="","",IFERROR(INDEX(Clients!$B$5:$B$504,MATCH(D394,Clients!$A$5:$A$504,0)),"Walk-in"))</f>
        <v>0</v>
      </c>
      <c r="G394" s="15">
        <f>IF(F394="","",IFERROR(INDEX(Staff!$B$5:$B$44,MATCH(F394,Staff!$A$5:$A$44,0)),"House"))</f>
        <v>0</v>
      </c>
      <c r="R394" s="15">
        <f>IF(B394="","",TEXT(B394,"yyyy-mm"))</f>
        <v>0</v>
      </c>
      <c r="S394" s="25">
        <f>IF(B394="","",WEEKNUM(B394,2))</f>
        <v>0</v>
      </c>
      <c r="T394" s="37">
        <f>IF(B394="","",IF(K394="",1,K394))</f>
        <v>0</v>
      </c>
      <c r="U394" s="15">
        <f>IF(B394="","",IF(J394&lt;&gt;"",J394,IF(H394="Retail",IFERROR(INDEX(Inventory!$B$5:$B$304,MATCH(I394,Inventory!$A$5:$A$304,0))&amp;"","Not in Inventory"),IFERROR(INDEX(Services!$B$5:$B$204,MATCH(I394,Services!$A$5:$A$204,0))&amp;"","Not in Services"))))</f>
        <v>0</v>
      </c>
      <c r="V394" s="26">
        <f>IF(B394="","",IF(L394&lt;&gt;"",L394,IF(H394="Retail",IFERROR(INDEX(Inventory!$I$5:$I$304,MATCH(I394,Inventory!$A$5:$A$304,0))*1,0),IFERROR(INDEX(Services!$G$5:$G$204,MATCH(I394,Services!$A$5:$A$204,0))*1,0))))</f>
        <v>0</v>
      </c>
      <c r="W394" s="26">
        <f>IF(B394="","",ROUND(T394*V394,2))</f>
        <v>0</v>
      </c>
      <c r="X394" s="26">
        <f>IF(B394="","",ROUND(IF(M394="",0,W394*M394)+IF(N394="",0,N394),2))</f>
        <v>0</v>
      </c>
      <c r="Y394" s="26">
        <f>IF(B394="","",ROUND(W394-X394-IF(P394="",0,P394),2))</f>
        <v>0</v>
      </c>
      <c r="Z394" s="26">
        <f>IF(B394="","",IF(H394="Retail",IF(TaxOnRetail="Yes",ROUND(Y394*TaxRate,2),0),IF(H394="Service",IF(TaxOnServices="Yes",ROUND(Y394*TaxRate,2),0),0)))</f>
        <v>0</v>
      </c>
      <c r="AA394" s="26">
        <f>IF(B394="","",ROUND(Y394+Z394,2))</f>
        <v>0</v>
      </c>
      <c r="AB394" s="26">
        <f>IF(B394="","",ROUND(T394*IF(H394="Retail",IFERROR(INDEX(Inventory!$H$5:$H$304,MATCH(I394,Inventory!$A$5:$A$304,0))*1,0),IFERROR(INDEX(Services!$Q$5:$Q$204,MATCH(I394,Services!$A$5:$A$204,0))*1,0)),2))</f>
        <v>0</v>
      </c>
      <c r="AC394" s="26">
        <f>IF(B394="","",ROUND(Y394-AB394,2))</f>
        <v>0</v>
      </c>
      <c r="AD394" s="38">
        <f>IF(B394="","",IF(C394="","No",IF(COUNTIFS($C$5:C394,C394)=1,"Yes","No")))</f>
        <v>0</v>
      </c>
      <c r="AE394" s="26">
        <f>IF(B394="","",ROUND(SUMIFS(Payments!$G$5:$G$1204,Payments!$H$5:$H$1204,A394,Payments!$Q$5:$Q$1204,"Yes"),2))</f>
        <v>0</v>
      </c>
      <c r="AF394" s="26">
        <f>IF(B394="","",IF(AD394="No",0,ROUND(SUMIFS(Payments!$G$5:$G$1204,Payments!$I$5:$I$1204,C394,Payments!$H$5:$H$1204,"",Payments!$Q$5:$Q$1204,"Yes"),2)))</f>
        <v>0</v>
      </c>
      <c r="AG394" s="26">
        <f>IF(B394="","",ROUND(AE394+AF394,2))</f>
        <v>0</v>
      </c>
      <c r="AH394" s="26">
        <f>IF(B394="","",ROUND(AA394-AG394,2))</f>
        <v>0</v>
      </c>
      <c r="AI394" s="39">
        <f>IF(B394="","",IF(AA394&lt;=0,"No charge",IF(AH394&lt;=0.004,"Paid",IF(AG394&lt;=0.004,"Unpaid","Part paid"))))</f>
        <v>0</v>
      </c>
      <c r="AJ394" s="38">
        <f>IF(B394="","",IF(H394&lt;&gt;"Service","",IF(D394="","No",IF(COUNTIFS($D$5:$D$1204,D394,$B$5:$B$1204,B394,$H$5:$H$1204,"Retail")&gt;0,"Yes","No"))))</f>
        <v>0</v>
      </c>
      <c r="AK394" s="25">
        <f>IF(B394="","",COUNTIFS($Y$5:$Y$1204,"&gt;"&amp;Y394)+COUNTIFS($Y$5:Y394,Y394))</f>
        <v>0</v>
      </c>
      <c r="AL394" s="39">
        <f>IF(B394="","",IF(H394="","Add - what kind of sale is this?",IF(IF(V394&lt;=0,P394="",FALSE),"Check - no price found for this item",IF(F394="","Assign - nobody credited",IF(AH394&gt;0.004,"Unpaid - balance outstanding",IF(AC394&lt;0,"Loss - sold below cost",IF(X394&gt;W394*0.5,"Check - more than half off","OK")))))))</f>
        <v>0</v>
      </c>
    </row>
    <row r="395" spans="1:38">
      <c r="A395" s="28">
        <f>IF(B395="","",SalePrefix&amp;TEXT(ROW()-4,"0000"))</f>
        <v>0</v>
      </c>
      <c r="E395" s="15">
        <f>IF(D395="","",IFERROR(INDEX(Clients!$B$5:$B$504,MATCH(D395,Clients!$A$5:$A$504,0)),"Walk-in"))</f>
        <v>0</v>
      </c>
      <c r="G395" s="15">
        <f>IF(F395="","",IFERROR(INDEX(Staff!$B$5:$B$44,MATCH(F395,Staff!$A$5:$A$44,0)),"House"))</f>
        <v>0</v>
      </c>
      <c r="R395" s="15">
        <f>IF(B395="","",TEXT(B395,"yyyy-mm"))</f>
        <v>0</v>
      </c>
      <c r="S395" s="25">
        <f>IF(B395="","",WEEKNUM(B395,2))</f>
        <v>0</v>
      </c>
      <c r="T395" s="37">
        <f>IF(B395="","",IF(K395="",1,K395))</f>
        <v>0</v>
      </c>
      <c r="U395" s="15">
        <f>IF(B395="","",IF(J395&lt;&gt;"",J395,IF(H395="Retail",IFERROR(INDEX(Inventory!$B$5:$B$304,MATCH(I395,Inventory!$A$5:$A$304,0))&amp;"","Not in Inventory"),IFERROR(INDEX(Services!$B$5:$B$204,MATCH(I395,Services!$A$5:$A$204,0))&amp;"","Not in Services"))))</f>
        <v>0</v>
      </c>
      <c r="V395" s="26">
        <f>IF(B395="","",IF(L395&lt;&gt;"",L395,IF(H395="Retail",IFERROR(INDEX(Inventory!$I$5:$I$304,MATCH(I395,Inventory!$A$5:$A$304,0))*1,0),IFERROR(INDEX(Services!$G$5:$G$204,MATCH(I395,Services!$A$5:$A$204,0))*1,0))))</f>
        <v>0</v>
      </c>
      <c r="W395" s="26">
        <f>IF(B395="","",ROUND(T395*V395,2))</f>
        <v>0</v>
      </c>
      <c r="X395" s="26">
        <f>IF(B395="","",ROUND(IF(M395="",0,W395*M395)+IF(N395="",0,N395),2))</f>
        <v>0</v>
      </c>
      <c r="Y395" s="26">
        <f>IF(B395="","",ROUND(W395-X395-IF(P395="",0,P395),2))</f>
        <v>0</v>
      </c>
      <c r="Z395" s="26">
        <f>IF(B395="","",IF(H395="Retail",IF(TaxOnRetail="Yes",ROUND(Y395*TaxRate,2),0),IF(H395="Service",IF(TaxOnServices="Yes",ROUND(Y395*TaxRate,2),0),0)))</f>
        <v>0</v>
      </c>
      <c r="AA395" s="26">
        <f>IF(B395="","",ROUND(Y395+Z395,2))</f>
        <v>0</v>
      </c>
      <c r="AB395" s="26">
        <f>IF(B395="","",ROUND(T395*IF(H395="Retail",IFERROR(INDEX(Inventory!$H$5:$H$304,MATCH(I395,Inventory!$A$5:$A$304,0))*1,0),IFERROR(INDEX(Services!$Q$5:$Q$204,MATCH(I395,Services!$A$5:$A$204,0))*1,0)),2))</f>
        <v>0</v>
      </c>
      <c r="AC395" s="26">
        <f>IF(B395="","",ROUND(Y395-AB395,2))</f>
        <v>0</v>
      </c>
      <c r="AD395" s="38">
        <f>IF(B395="","",IF(C395="","No",IF(COUNTIFS($C$5:C395,C395)=1,"Yes","No")))</f>
        <v>0</v>
      </c>
      <c r="AE395" s="26">
        <f>IF(B395="","",ROUND(SUMIFS(Payments!$G$5:$G$1204,Payments!$H$5:$H$1204,A395,Payments!$Q$5:$Q$1204,"Yes"),2))</f>
        <v>0</v>
      </c>
      <c r="AF395" s="26">
        <f>IF(B395="","",IF(AD395="No",0,ROUND(SUMIFS(Payments!$G$5:$G$1204,Payments!$I$5:$I$1204,C395,Payments!$H$5:$H$1204,"",Payments!$Q$5:$Q$1204,"Yes"),2)))</f>
        <v>0</v>
      </c>
      <c r="AG395" s="26">
        <f>IF(B395="","",ROUND(AE395+AF395,2))</f>
        <v>0</v>
      </c>
      <c r="AH395" s="26">
        <f>IF(B395="","",ROUND(AA395-AG395,2))</f>
        <v>0</v>
      </c>
      <c r="AI395" s="39">
        <f>IF(B395="","",IF(AA395&lt;=0,"No charge",IF(AH395&lt;=0.004,"Paid",IF(AG395&lt;=0.004,"Unpaid","Part paid"))))</f>
        <v>0</v>
      </c>
      <c r="AJ395" s="38">
        <f>IF(B395="","",IF(H395&lt;&gt;"Service","",IF(D395="","No",IF(COUNTIFS($D$5:$D$1204,D395,$B$5:$B$1204,B395,$H$5:$H$1204,"Retail")&gt;0,"Yes","No"))))</f>
        <v>0</v>
      </c>
      <c r="AK395" s="25">
        <f>IF(B395="","",COUNTIFS($Y$5:$Y$1204,"&gt;"&amp;Y395)+COUNTIFS($Y$5:Y395,Y395))</f>
        <v>0</v>
      </c>
      <c r="AL395" s="39">
        <f>IF(B395="","",IF(H395="","Add - what kind of sale is this?",IF(IF(V395&lt;=0,P395="",FALSE),"Check - no price found for this item",IF(F395="","Assign - nobody credited",IF(AH395&gt;0.004,"Unpaid - balance outstanding",IF(AC395&lt;0,"Loss - sold below cost",IF(X395&gt;W395*0.5,"Check - more than half off","OK")))))))</f>
        <v>0</v>
      </c>
    </row>
    <row r="396" spans="1:38">
      <c r="A396" s="28">
        <f>IF(B396="","",SalePrefix&amp;TEXT(ROW()-4,"0000"))</f>
        <v>0</v>
      </c>
      <c r="E396" s="15">
        <f>IF(D396="","",IFERROR(INDEX(Clients!$B$5:$B$504,MATCH(D396,Clients!$A$5:$A$504,0)),"Walk-in"))</f>
        <v>0</v>
      </c>
      <c r="G396" s="15">
        <f>IF(F396="","",IFERROR(INDEX(Staff!$B$5:$B$44,MATCH(F396,Staff!$A$5:$A$44,0)),"House"))</f>
        <v>0</v>
      </c>
      <c r="R396" s="15">
        <f>IF(B396="","",TEXT(B396,"yyyy-mm"))</f>
        <v>0</v>
      </c>
      <c r="S396" s="25">
        <f>IF(B396="","",WEEKNUM(B396,2))</f>
        <v>0</v>
      </c>
      <c r="T396" s="37">
        <f>IF(B396="","",IF(K396="",1,K396))</f>
        <v>0</v>
      </c>
      <c r="U396" s="15">
        <f>IF(B396="","",IF(J396&lt;&gt;"",J396,IF(H396="Retail",IFERROR(INDEX(Inventory!$B$5:$B$304,MATCH(I396,Inventory!$A$5:$A$304,0))&amp;"","Not in Inventory"),IFERROR(INDEX(Services!$B$5:$B$204,MATCH(I396,Services!$A$5:$A$204,0))&amp;"","Not in Services"))))</f>
        <v>0</v>
      </c>
      <c r="V396" s="26">
        <f>IF(B396="","",IF(L396&lt;&gt;"",L396,IF(H396="Retail",IFERROR(INDEX(Inventory!$I$5:$I$304,MATCH(I396,Inventory!$A$5:$A$304,0))*1,0),IFERROR(INDEX(Services!$G$5:$G$204,MATCH(I396,Services!$A$5:$A$204,0))*1,0))))</f>
        <v>0</v>
      </c>
      <c r="W396" s="26">
        <f>IF(B396="","",ROUND(T396*V396,2))</f>
        <v>0</v>
      </c>
      <c r="X396" s="26">
        <f>IF(B396="","",ROUND(IF(M396="",0,W396*M396)+IF(N396="",0,N396),2))</f>
        <v>0</v>
      </c>
      <c r="Y396" s="26">
        <f>IF(B396="","",ROUND(W396-X396-IF(P396="",0,P396),2))</f>
        <v>0</v>
      </c>
      <c r="Z396" s="26">
        <f>IF(B396="","",IF(H396="Retail",IF(TaxOnRetail="Yes",ROUND(Y396*TaxRate,2),0),IF(H396="Service",IF(TaxOnServices="Yes",ROUND(Y396*TaxRate,2),0),0)))</f>
        <v>0</v>
      </c>
      <c r="AA396" s="26">
        <f>IF(B396="","",ROUND(Y396+Z396,2))</f>
        <v>0</v>
      </c>
      <c r="AB396" s="26">
        <f>IF(B396="","",ROUND(T396*IF(H396="Retail",IFERROR(INDEX(Inventory!$H$5:$H$304,MATCH(I396,Inventory!$A$5:$A$304,0))*1,0),IFERROR(INDEX(Services!$Q$5:$Q$204,MATCH(I396,Services!$A$5:$A$204,0))*1,0)),2))</f>
        <v>0</v>
      </c>
      <c r="AC396" s="26">
        <f>IF(B396="","",ROUND(Y396-AB396,2))</f>
        <v>0</v>
      </c>
      <c r="AD396" s="38">
        <f>IF(B396="","",IF(C396="","No",IF(COUNTIFS($C$5:C396,C396)=1,"Yes","No")))</f>
        <v>0</v>
      </c>
      <c r="AE396" s="26">
        <f>IF(B396="","",ROUND(SUMIFS(Payments!$G$5:$G$1204,Payments!$H$5:$H$1204,A396,Payments!$Q$5:$Q$1204,"Yes"),2))</f>
        <v>0</v>
      </c>
      <c r="AF396" s="26">
        <f>IF(B396="","",IF(AD396="No",0,ROUND(SUMIFS(Payments!$G$5:$G$1204,Payments!$I$5:$I$1204,C396,Payments!$H$5:$H$1204,"",Payments!$Q$5:$Q$1204,"Yes"),2)))</f>
        <v>0</v>
      </c>
      <c r="AG396" s="26">
        <f>IF(B396="","",ROUND(AE396+AF396,2))</f>
        <v>0</v>
      </c>
      <c r="AH396" s="26">
        <f>IF(B396="","",ROUND(AA396-AG396,2))</f>
        <v>0</v>
      </c>
      <c r="AI396" s="39">
        <f>IF(B396="","",IF(AA396&lt;=0,"No charge",IF(AH396&lt;=0.004,"Paid",IF(AG396&lt;=0.004,"Unpaid","Part paid"))))</f>
        <v>0</v>
      </c>
      <c r="AJ396" s="38">
        <f>IF(B396="","",IF(H396&lt;&gt;"Service","",IF(D396="","No",IF(COUNTIFS($D$5:$D$1204,D396,$B$5:$B$1204,B396,$H$5:$H$1204,"Retail")&gt;0,"Yes","No"))))</f>
        <v>0</v>
      </c>
      <c r="AK396" s="25">
        <f>IF(B396="","",COUNTIFS($Y$5:$Y$1204,"&gt;"&amp;Y396)+COUNTIFS($Y$5:Y396,Y396))</f>
        <v>0</v>
      </c>
      <c r="AL396" s="39">
        <f>IF(B396="","",IF(H396="","Add - what kind of sale is this?",IF(IF(V396&lt;=0,P396="",FALSE),"Check - no price found for this item",IF(F396="","Assign - nobody credited",IF(AH396&gt;0.004,"Unpaid - balance outstanding",IF(AC396&lt;0,"Loss - sold below cost",IF(X396&gt;W396*0.5,"Check - more than half off","OK")))))))</f>
        <v>0</v>
      </c>
    </row>
    <row r="397" spans="1:38">
      <c r="A397" s="28">
        <f>IF(B397="","",SalePrefix&amp;TEXT(ROW()-4,"0000"))</f>
        <v>0</v>
      </c>
      <c r="E397" s="15">
        <f>IF(D397="","",IFERROR(INDEX(Clients!$B$5:$B$504,MATCH(D397,Clients!$A$5:$A$504,0)),"Walk-in"))</f>
        <v>0</v>
      </c>
      <c r="G397" s="15">
        <f>IF(F397="","",IFERROR(INDEX(Staff!$B$5:$B$44,MATCH(F397,Staff!$A$5:$A$44,0)),"House"))</f>
        <v>0</v>
      </c>
      <c r="R397" s="15">
        <f>IF(B397="","",TEXT(B397,"yyyy-mm"))</f>
        <v>0</v>
      </c>
      <c r="S397" s="25">
        <f>IF(B397="","",WEEKNUM(B397,2))</f>
        <v>0</v>
      </c>
      <c r="T397" s="37">
        <f>IF(B397="","",IF(K397="",1,K397))</f>
        <v>0</v>
      </c>
      <c r="U397" s="15">
        <f>IF(B397="","",IF(J397&lt;&gt;"",J397,IF(H397="Retail",IFERROR(INDEX(Inventory!$B$5:$B$304,MATCH(I397,Inventory!$A$5:$A$304,0))&amp;"","Not in Inventory"),IFERROR(INDEX(Services!$B$5:$B$204,MATCH(I397,Services!$A$5:$A$204,0))&amp;"","Not in Services"))))</f>
        <v>0</v>
      </c>
      <c r="V397" s="26">
        <f>IF(B397="","",IF(L397&lt;&gt;"",L397,IF(H397="Retail",IFERROR(INDEX(Inventory!$I$5:$I$304,MATCH(I397,Inventory!$A$5:$A$304,0))*1,0),IFERROR(INDEX(Services!$G$5:$G$204,MATCH(I397,Services!$A$5:$A$204,0))*1,0))))</f>
        <v>0</v>
      </c>
      <c r="W397" s="26">
        <f>IF(B397="","",ROUND(T397*V397,2))</f>
        <v>0</v>
      </c>
      <c r="X397" s="26">
        <f>IF(B397="","",ROUND(IF(M397="",0,W397*M397)+IF(N397="",0,N397),2))</f>
        <v>0</v>
      </c>
      <c r="Y397" s="26">
        <f>IF(B397="","",ROUND(W397-X397-IF(P397="",0,P397),2))</f>
        <v>0</v>
      </c>
      <c r="Z397" s="26">
        <f>IF(B397="","",IF(H397="Retail",IF(TaxOnRetail="Yes",ROUND(Y397*TaxRate,2),0),IF(H397="Service",IF(TaxOnServices="Yes",ROUND(Y397*TaxRate,2),0),0)))</f>
        <v>0</v>
      </c>
      <c r="AA397" s="26">
        <f>IF(B397="","",ROUND(Y397+Z397,2))</f>
        <v>0</v>
      </c>
      <c r="AB397" s="26">
        <f>IF(B397="","",ROUND(T397*IF(H397="Retail",IFERROR(INDEX(Inventory!$H$5:$H$304,MATCH(I397,Inventory!$A$5:$A$304,0))*1,0),IFERROR(INDEX(Services!$Q$5:$Q$204,MATCH(I397,Services!$A$5:$A$204,0))*1,0)),2))</f>
        <v>0</v>
      </c>
      <c r="AC397" s="26">
        <f>IF(B397="","",ROUND(Y397-AB397,2))</f>
        <v>0</v>
      </c>
      <c r="AD397" s="38">
        <f>IF(B397="","",IF(C397="","No",IF(COUNTIFS($C$5:C397,C397)=1,"Yes","No")))</f>
        <v>0</v>
      </c>
      <c r="AE397" s="26">
        <f>IF(B397="","",ROUND(SUMIFS(Payments!$G$5:$G$1204,Payments!$H$5:$H$1204,A397,Payments!$Q$5:$Q$1204,"Yes"),2))</f>
        <v>0</v>
      </c>
      <c r="AF397" s="26">
        <f>IF(B397="","",IF(AD397="No",0,ROUND(SUMIFS(Payments!$G$5:$G$1204,Payments!$I$5:$I$1204,C397,Payments!$H$5:$H$1204,"",Payments!$Q$5:$Q$1204,"Yes"),2)))</f>
        <v>0</v>
      </c>
      <c r="AG397" s="26">
        <f>IF(B397="","",ROUND(AE397+AF397,2))</f>
        <v>0</v>
      </c>
      <c r="AH397" s="26">
        <f>IF(B397="","",ROUND(AA397-AG397,2))</f>
        <v>0</v>
      </c>
      <c r="AI397" s="39">
        <f>IF(B397="","",IF(AA397&lt;=0,"No charge",IF(AH397&lt;=0.004,"Paid",IF(AG397&lt;=0.004,"Unpaid","Part paid"))))</f>
        <v>0</v>
      </c>
      <c r="AJ397" s="38">
        <f>IF(B397="","",IF(H397&lt;&gt;"Service","",IF(D397="","No",IF(COUNTIFS($D$5:$D$1204,D397,$B$5:$B$1204,B397,$H$5:$H$1204,"Retail")&gt;0,"Yes","No"))))</f>
        <v>0</v>
      </c>
      <c r="AK397" s="25">
        <f>IF(B397="","",COUNTIFS($Y$5:$Y$1204,"&gt;"&amp;Y397)+COUNTIFS($Y$5:Y397,Y397))</f>
        <v>0</v>
      </c>
      <c r="AL397" s="39">
        <f>IF(B397="","",IF(H397="","Add - what kind of sale is this?",IF(IF(V397&lt;=0,P397="",FALSE),"Check - no price found for this item",IF(F397="","Assign - nobody credited",IF(AH397&gt;0.004,"Unpaid - balance outstanding",IF(AC397&lt;0,"Loss - sold below cost",IF(X397&gt;W397*0.5,"Check - more than half off","OK")))))))</f>
        <v>0</v>
      </c>
    </row>
    <row r="398" spans="1:38">
      <c r="A398" s="28">
        <f>IF(B398="","",SalePrefix&amp;TEXT(ROW()-4,"0000"))</f>
        <v>0</v>
      </c>
      <c r="E398" s="15">
        <f>IF(D398="","",IFERROR(INDEX(Clients!$B$5:$B$504,MATCH(D398,Clients!$A$5:$A$504,0)),"Walk-in"))</f>
        <v>0</v>
      </c>
      <c r="G398" s="15">
        <f>IF(F398="","",IFERROR(INDEX(Staff!$B$5:$B$44,MATCH(F398,Staff!$A$5:$A$44,0)),"House"))</f>
        <v>0</v>
      </c>
      <c r="R398" s="15">
        <f>IF(B398="","",TEXT(B398,"yyyy-mm"))</f>
        <v>0</v>
      </c>
      <c r="S398" s="25">
        <f>IF(B398="","",WEEKNUM(B398,2))</f>
        <v>0</v>
      </c>
      <c r="T398" s="37">
        <f>IF(B398="","",IF(K398="",1,K398))</f>
        <v>0</v>
      </c>
      <c r="U398" s="15">
        <f>IF(B398="","",IF(J398&lt;&gt;"",J398,IF(H398="Retail",IFERROR(INDEX(Inventory!$B$5:$B$304,MATCH(I398,Inventory!$A$5:$A$304,0))&amp;"","Not in Inventory"),IFERROR(INDEX(Services!$B$5:$B$204,MATCH(I398,Services!$A$5:$A$204,0))&amp;"","Not in Services"))))</f>
        <v>0</v>
      </c>
      <c r="V398" s="26">
        <f>IF(B398="","",IF(L398&lt;&gt;"",L398,IF(H398="Retail",IFERROR(INDEX(Inventory!$I$5:$I$304,MATCH(I398,Inventory!$A$5:$A$304,0))*1,0),IFERROR(INDEX(Services!$G$5:$G$204,MATCH(I398,Services!$A$5:$A$204,0))*1,0))))</f>
        <v>0</v>
      </c>
      <c r="W398" s="26">
        <f>IF(B398="","",ROUND(T398*V398,2))</f>
        <v>0</v>
      </c>
      <c r="X398" s="26">
        <f>IF(B398="","",ROUND(IF(M398="",0,W398*M398)+IF(N398="",0,N398),2))</f>
        <v>0</v>
      </c>
      <c r="Y398" s="26">
        <f>IF(B398="","",ROUND(W398-X398-IF(P398="",0,P398),2))</f>
        <v>0</v>
      </c>
      <c r="Z398" s="26">
        <f>IF(B398="","",IF(H398="Retail",IF(TaxOnRetail="Yes",ROUND(Y398*TaxRate,2),0),IF(H398="Service",IF(TaxOnServices="Yes",ROUND(Y398*TaxRate,2),0),0)))</f>
        <v>0</v>
      </c>
      <c r="AA398" s="26">
        <f>IF(B398="","",ROUND(Y398+Z398,2))</f>
        <v>0</v>
      </c>
      <c r="AB398" s="26">
        <f>IF(B398="","",ROUND(T398*IF(H398="Retail",IFERROR(INDEX(Inventory!$H$5:$H$304,MATCH(I398,Inventory!$A$5:$A$304,0))*1,0),IFERROR(INDEX(Services!$Q$5:$Q$204,MATCH(I398,Services!$A$5:$A$204,0))*1,0)),2))</f>
        <v>0</v>
      </c>
      <c r="AC398" s="26">
        <f>IF(B398="","",ROUND(Y398-AB398,2))</f>
        <v>0</v>
      </c>
      <c r="AD398" s="38">
        <f>IF(B398="","",IF(C398="","No",IF(COUNTIFS($C$5:C398,C398)=1,"Yes","No")))</f>
        <v>0</v>
      </c>
      <c r="AE398" s="26">
        <f>IF(B398="","",ROUND(SUMIFS(Payments!$G$5:$G$1204,Payments!$H$5:$H$1204,A398,Payments!$Q$5:$Q$1204,"Yes"),2))</f>
        <v>0</v>
      </c>
      <c r="AF398" s="26">
        <f>IF(B398="","",IF(AD398="No",0,ROUND(SUMIFS(Payments!$G$5:$G$1204,Payments!$I$5:$I$1204,C398,Payments!$H$5:$H$1204,"",Payments!$Q$5:$Q$1204,"Yes"),2)))</f>
        <v>0</v>
      </c>
      <c r="AG398" s="26">
        <f>IF(B398="","",ROUND(AE398+AF398,2))</f>
        <v>0</v>
      </c>
      <c r="AH398" s="26">
        <f>IF(B398="","",ROUND(AA398-AG398,2))</f>
        <v>0</v>
      </c>
      <c r="AI398" s="39">
        <f>IF(B398="","",IF(AA398&lt;=0,"No charge",IF(AH398&lt;=0.004,"Paid",IF(AG398&lt;=0.004,"Unpaid","Part paid"))))</f>
        <v>0</v>
      </c>
      <c r="AJ398" s="38">
        <f>IF(B398="","",IF(H398&lt;&gt;"Service","",IF(D398="","No",IF(COUNTIFS($D$5:$D$1204,D398,$B$5:$B$1204,B398,$H$5:$H$1204,"Retail")&gt;0,"Yes","No"))))</f>
        <v>0</v>
      </c>
      <c r="AK398" s="25">
        <f>IF(B398="","",COUNTIFS($Y$5:$Y$1204,"&gt;"&amp;Y398)+COUNTIFS($Y$5:Y398,Y398))</f>
        <v>0</v>
      </c>
      <c r="AL398" s="39">
        <f>IF(B398="","",IF(H398="","Add - what kind of sale is this?",IF(IF(V398&lt;=0,P398="",FALSE),"Check - no price found for this item",IF(F398="","Assign - nobody credited",IF(AH398&gt;0.004,"Unpaid - balance outstanding",IF(AC398&lt;0,"Loss - sold below cost",IF(X398&gt;W398*0.5,"Check - more than half off","OK")))))))</f>
        <v>0</v>
      </c>
    </row>
    <row r="399" spans="1:38">
      <c r="A399" s="28">
        <f>IF(B399="","",SalePrefix&amp;TEXT(ROW()-4,"0000"))</f>
        <v>0</v>
      </c>
      <c r="E399" s="15">
        <f>IF(D399="","",IFERROR(INDEX(Clients!$B$5:$B$504,MATCH(D399,Clients!$A$5:$A$504,0)),"Walk-in"))</f>
        <v>0</v>
      </c>
      <c r="G399" s="15">
        <f>IF(F399="","",IFERROR(INDEX(Staff!$B$5:$B$44,MATCH(F399,Staff!$A$5:$A$44,0)),"House"))</f>
        <v>0</v>
      </c>
      <c r="R399" s="15">
        <f>IF(B399="","",TEXT(B399,"yyyy-mm"))</f>
        <v>0</v>
      </c>
      <c r="S399" s="25">
        <f>IF(B399="","",WEEKNUM(B399,2))</f>
        <v>0</v>
      </c>
      <c r="T399" s="37">
        <f>IF(B399="","",IF(K399="",1,K399))</f>
        <v>0</v>
      </c>
      <c r="U399" s="15">
        <f>IF(B399="","",IF(J399&lt;&gt;"",J399,IF(H399="Retail",IFERROR(INDEX(Inventory!$B$5:$B$304,MATCH(I399,Inventory!$A$5:$A$304,0))&amp;"","Not in Inventory"),IFERROR(INDEX(Services!$B$5:$B$204,MATCH(I399,Services!$A$5:$A$204,0))&amp;"","Not in Services"))))</f>
        <v>0</v>
      </c>
      <c r="V399" s="26">
        <f>IF(B399="","",IF(L399&lt;&gt;"",L399,IF(H399="Retail",IFERROR(INDEX(Inventory!$I$5:$I$304,MATCH(I399,Inventory!$A$5:$A$304,0))*1,0),IFERROR(INDEX(Services!$G$5:$G$204,MATCH(I399,Services!$A$5:$A$204,0))*1,0))))</f>
        <v>0</v>
      </c>
      <c r="W399" s="26">
        <f>IF(B399="","",ROUND(T399*V399,2))</f>
        <v>0</v>
      </c>
      <c r="X399" s="26">
        <f>IF(B399="","",ROUND(IF(M399="",0,W399*M399)+IF(N399="",0,N399),2))</f>
        <v>0</v>
      </c>
      <c r="Y399" s="26">
        <f>IF(B399="","",ROUND(W399-X399-IF(P399="",0,P399),2))</f>
        <v>0</v>
      </c>
      <c r="Z399" s="26">
        <f>IF(B399="","",IF(H399="Retail",IF(TaxOnRetail="Yes",ROUND(Y399*TaxRate,2),0),IF(H399="Service",IF(TaxOnServices="Yes",ROUND(Y399*TaxRate,2),0),0)))</f>
        <v>0</v>
      </c>
      <c r="AA399" s="26">
        <f>IF(B399="","",ROUND(Y399+Z399,2))</f>
        <v>0</v>
      </c>
      <c r="AB399" s="26">
        <f>IF(B399="","",ROUND(T399*IF(H399="Retail",IFERROR(INDEX(Inventory!$H$5:$H$304,MATCH(I399,Inventory!$A$5:$A$304,0))*1,0),IFERROR(INDEX(Services!$Q$5:$Q$204,MATCH(I399,Services!$A$5:$A$204,0))*1,0)),2))</f>
        <v>0</v>
      </c>
      <c r="AC399" s="26">
        <f>IF(B399="","",ROUND(Y399-AB399,2))</f>
        <v>0</v>
      </c>
      <c r="AD399" s="38">
        <f>IF(B399="","",IF(C399="","No",IF(COUNTIFS($C$5:C399,C399)=1,"Yes","No")))</f>
        <v>0</v>
      </c>
      <c r="AE399" s="26">
        <f>IF(B399="","",ROUND(SUMIFS(Payments!$G$5:$G$1204,Payments!$H$5:$H$1204,A399,Payments!$Q$5:$Q$1204,"Yes"),2))</f>
        <v>0</v>
      </c>
      <c r="AF399" s="26">
        <f>IF(B399="","",IF(AD399="No",0,ROUND(SUMIFS(Payments!$G$5:$G$1204,Payments!$I$5:$I$1204,C399,Payments!$H$5:$H$1204,"",Payments!$Q$5:$Q$1204,"Yes"),2)))</f>
        <v>0</v>
      </c>
      <c r="AG399" s="26">
        <f>IF(B399="","",ROUND(AE399+AF399,2))</f>
        <v>0</v>
      </c>
      <c r="AH399" s="26">
        <f>IF(B399="","",ROUND(AA399-AG399,2))</f>
        <v>0</v>
      </c>
      <c r="AI399" s="39">
        <f>IF(B399="","",IF(AA399&lt;=0,"No charge",IF(AH399&lt;=0.004,"Paid",IF(AG399&lt;=0.004,"Unpaid","Part paid"))))</f>
        <v>0</v>
      </c>
      <c r="AJ399" s="38">
        <f>IF(B399="","",IF(H399&lt;&gt;"Service","",IF(D399="","No",IF(COUNTIFS($D$5:$D$1204,D399,$B$5:$B$1204,B399,$H$5:$H$1204,"Retail")&gt;0,"Yes","No"))))</f>
        <v>0</v>
      </c>
      <c r="AK399" s="25">
        <f>IF(B399="","",COUNTIFS($Y$5:$Y$1204,"&gt;"&amp;Y399)+COUNTIFS($Y$5:Y399,Y399))</f>
        <v>0</v>
      </c>
      <c r="AL399" s="39">
        <f>IF(B399="","",IF(H399="","Add - what kind of sale is this?",IF(IF(V399&lt;=0,P399="",FALSE),"Check - no price found for this item",IF(F399="","Assign - nobody credited",IF(AH399&gt;0.004,"Unpaid - balance outstanding",IF(AC399&lt;0,"Loss - sold below cost",IF(X399&gt;W399*0.5,"Check - more than half off","OK")))))))</f>
        <v>0</v>
      </c>
    </row>
    <row r="400" spans="1:38">
      <c r="A400" s="28">
        <f>IF(B400="","",SalePrefix&amp;TEXT(ROW()-4,"0000"))</f>
        <v>0</v>
      </c>
      <c r="E400" s="15">
        <f>IF(D400="","",IFERROR(INDEX(Clients!$B$5:$B$504,MATCH(D400,Clients!$A$5:$A$504,0)),"Walk-in"))</f>
        <v>0</v>
      </c>
      <c r="G400" s="15">
        <f>IF(F400="","",IFERROR(INDEX(Staff!$B$5:$B$44,MATCH(F400,Staff!$A$5:$A$44,0)),"House"))</f>
        <v>0</v>
      </c>
      <c r="R400" s="15">
        <f>IF(B400="","",TEXT(B400,"yyyy-mm"))</f>
        <v>0</v>
      </c>
      <c r="S400" s="25">
        <f>IF(B400="","",WEEKNUM(B400,2))</f>
        <v>0</v>
      </c>
      <c r="T400" s="37">
        <f>IF(B400="","",IF(K400="",1,K400))</f>
        <v>0</v>
      </c>
      <c r="U400" s="15">
        <f>IF(B400="","",IF(J400&lt;&gt;"",J400,IF(H400="Retail",IFERROR(INDEX(Inventory!$B$5:$B$304,MATCH(I400,Inventory!$A$5:$A$304,0))&amp;"","Not in Inventory"),IFERROR(INDEX(Services!$B$5:$B$204,MATCH(I400,Services!$A$5:$A$204,0))&amp;"","Not in Services"))))</f>
        <v>0</v>
      </c>
      <c r="V400" s="26">
        <f>IF(B400="","",IF(L400&lt;&gt;"",L400,IF(H400="Retail",IFERROR(INDEX(Inventory!$I$5:$I$304,MATCH(I400,Inventory!$A$5:$A$304,0))*1,0),IFERROR(INDEX(Services!$G$5:$G$204,MATCH(I400,Services!$A$5:$A$204,0))*1,0))))</f>
        <v>0</v>
      </c>
      <c r="W400" s="26">
        <f>IF(B400="","",ROUND(T400*V400,2))</f>
        <v>0</v>
      </c>
      <c r="X400" s="26">
        <f>IF(B400="","",ROUND(IF(M400="",0,W400*M400)+IF(N400="",0,N400),2))</f>
        <v>0</v>
      </c>
      <c r="Y400" s="26">
        <f>IF(B400="","",ROUND(W400-X400-IF(P400="",0,P400),2))</f>
        <v>0</v>
      </c>
      <c r="Z400" s="26">
        <f>IF(B400="","",IF(H400="Retail",IF(TaxOnRetail="Yes",ROUND(Y400*TaxRate,2),0),IF(H400="Service",IF(TaxOnServices="Yes",ROUND(Y400*TaxRate,2),0),0)))</f>
        <v>0</v>
      </c>
      <c r="AA400" s="26">
        <f>IF(B400="","",ROUND(Y400+Z400,2))</f>
        <v>0</v>
      </c>
      <c r="AB400" s="26">
        <f>IF(B400="","",ROUND(T400*IF(H400="Retail",IFERROR(INDEX(Inventory!$H$5:$H$304,MATCH(I400,Inventory!$A$5:$A$304,0))*1,0),IFERROR(INDEX(Services!$Q$5:$Q$204,MATCH(I400,Services!$A$5:$A$204,0))*1,0)),2))</f>
        <v>0</v>
      </c>
      <c r="AC400" s="26">
        <f>IF(B400="","",ROUND(Y400-AB400,2))</f>
        <v>0</v>
      </c>
      <c r="AD400" s="38">
        <f>IF(B400="","",IF(C400="","No",IF(COUNTIFS($C$5:C400,C400)=1,"Yes","No")))</f>
        <v>0</v>
      </c>
      <c r="AE400" s="26">
        <f>IF(B400="","",ROUND(SUMIFS(Payments!$G$5:$G$1204,Payments!$H$5:$H$1204,A400,Payments!$Q$5:$Q$1204,"Yes"),2))</f>
        <v>0</v>
      </c>
      <c r="AF400" s="26">
        <f>IF(B400="","",IF(AD400="No",0,ROUND(SUMIFS(Payments!$G$5:$G$1204,Payments!$I$5:$I$1204,C400,Payments!$H$5:$H$1204,"",Payments!$Q$5:$Q$1204,"Yes"),2)))</f>
        <v>0</v>
      </c>
      <c r="AG400" s="26">
        <f>IF(B400="","",ROUND(AE400+AF400,2))</f>
        <v>0</v>
      </c>
      <c r="AH400" s="26">
        <f>IF(B400="","",ROUND(AA400-AG400,2))</f>
        <v>0</v>
      </c>
      <c r="AI400" s="39">
        <f>IF(B400="","",IF(AA400&lt;=0,"No charge",IF(AH400&lt;=0.004,"Paid",IF(AG400&lt;=0.004,"Unpaid","Part paid"))))</f>
        <v>0</v>
      </c>
      <c r="AJ400" s="38">
        <f>IF(B400="","",IF(H400&lt;&gt;"Service","",IF(D400="","No",IF(COUNTIFS($D$5:$D$1204,D400,$B$5:$B$1204,B400,$H$5:$H$1204,"Retail")&gt;0,"Yes","No"))))</f>
        <v>0</v>
      </c>
      <c r="AK400" s="25">
        <f>IF(B400="","",COUNTIFS($Y$5:$Y$1204,"&gt;"&amp;Y400)+COUNTIFS($Y$5:Y400,Y400))</f>
        <v>0</v>
      </c>
      <c r="AL400" s="39">
        <f>IF(B400="","",IF(H400="","Add - what kind of sale is this?",IF(IF(V400&lt;=0,P400="",FALSE),"Check - no price found for this item",IF(F400="","Assign - nobody credited",IF(AH400&gt;0.004,"Unpaid - balance outstanding",IF(AC400&lt;0,"Loss - sold below cost",IF(X400&gt;W400*0.5,"Check - more than half off","OK")))))))</f>
        <v>0</v>
      </c>
    </row>
    <row r="401" spans="1:38">
      <c r="A401" s="28">
        <f>IF(B401="","",SalePrefix&amp;TEXT(ROW()-4,"0000"))</f>
        <v>0</v>
      </c>
      <c r="E401" s="15">
        <f>IF(D401="","",IFERROR(INDEX(Clients!$B$5:$B$504,MATCH(D401,Clients!$A$5:$A$504,0)),"Walk-in"))</f>
        <v>0</v>
      </c>
      <c r="G401" s="15">
        <f>IF(F401="","",IFERROR(INDEX(Staff!$B$5:$B$44,MATCH(F401,Staff!$A$5:$A$44,0)),"House"))</f>
        <v>0</v>
      </c>
      <c r="R401" s="15">
        <f>IF(B401="","",TEXT(B401,"yyyy-mm"))</f>
        <v>0</v>
      </c>
      <c r="S401" s="25">
        <f>IF(B401="","",WEEKNUM(B401,2))</f>
        <v>0</v>
      </c>
      <c r="T401" s="37">
        <f>IF(B401="","",IF(K401="",1,K401))</f>
        <v>0</v>
      </c>
      <c r="U401" s="15">
        <f>IF(B401="","",IF(J401&lt;&gt;"",J401,IF(H401="Retail",IFERROR(INDEX(Inventory!$B$5:$B$304,MATCH(I401,Inventory!$A$5:$A$304,0))&amp;"","Not in Inventory"),IFERROR(INDEX(Services!$B$5:$B$204,MATCH(I401,Services!$A$5:$A$204,0))&amp;"","Not in Services"))))</f>
        <v>0</v>
      </c>
      <c r="V401" s="26">
        <f>IF(B401="","",IF(L401&lt;&gt;"",L401,IF(H401="Retail",IFERROR(INDEX(Inventory!$I$5:$I$304,MATCH(I401,Inventory!$A$5:$A$304,0))*1,0),IFERROR(INDEX(Services!$G$5:$G$204,MATCH(I401,Services!$A$5:$A$204,0))*1,0))))</f>
        <v>0</v>
      </c>
      <c r="W401" s="26">
        <f>IF(B401="","",ROUND(T401*V401,2))</f>
        <v>0</v>
      </c>
      <c r="X401" s="26">
        <f>IF(B401="","",ROUND(IF(M401="",0,W401*M401)+IF(N401="",0,N401),2))</f>
        <v>0</v>
      </c>
      <c r="Y401" s="26">
        <f>IF(B401="","",ROUND(W401-X401-IF(P401="",0,P401),2))</f>
        <v>0</v>
      </c>
      <c r="Z401" s="26">
        <f>IF(B401="","",IF(H401="Retail",IF(TaxOnRetail="Yes",ROUND(Y401*TaxRate,2),0),IF(H401="Service",IF(TaxOnServices="Yes",ROUND(Y401*TaxRate,2),0),0)))</f>
        <v>0</v>
      </c>
      <c r="AA401" s="26">
        <f>IF(B401="","",ROUND(Y401+Z401,2))</f>
        <v>0</v>
      </c>
      <c r="AB401" s="26">
        <f>IF(B401="","",ROUND(T401*IF(H401="Retail",IFERROR(INDEX(Inventory!$H$5:$H$304,MATCH(I401,Inventory!$A$5:$A$304,0))*1,0),IFERROR(INDEX(Services!$Q$5:$Q$204,MATCH(I401,Services!$A$5:$A$204,0))*1,0)),2))</f>
        <v>0</v>
      </c>
      <c r="AC401" s="26">
        <f>IF(B401="","",ROUND(Y401-AB401,2))</f>
        <v>0</v>
      </c>
      <c r="AD401" s="38">
        <f>IF(B401="","",IF(C401="","No",IF(COUNTIFS($C$5:C401,C401)=1,"Yes","No")))</f>
        <v>0</v>
      </c>
      <c r="AE401" s="26">
        <f>IF(B401="","",ROUND(SUMIFS(Payments!$G$5:$G$1204,Payments!$H$5:$H$1204,A401,Payments!$Q$5:$Q$1204,"Yes"),2))</f>
        <v>0</v>
      </c>
      <c r="AF401" s="26">
        <f>IF(B401="","",IF(AD401="No",0,ROUND(SUMIFS(Payments!$G$5:$G$1204,Payments!$I$5:$I$1204,C401,Payments!$H$5:$H$1204,"",Payments!$Q$5:$Q$1204,"Yes"),2)))</f>
        <v>0</v>
      </c>
      <c r="AG401" s="26">
        <f>IF(B401="","",ROUND(AE401+AF401,2))</f>
        <v>0</v>
      </c>
      <c r="AH401" s="26">
        <f>IF(B401="","",ROUND(AA401-AG401,2))</f>
        <v>0</v>
      </c>
      <c r="AI401" s="39">
        <f>IF(B401="","",IF(AA401&lt;=0,"No charge",IF(AH401&lt;=0.004,"Paid",IF(AG401&lt;=0.004,"Unpaid","Part paid"))))</f>
        <v>0</v>
      </c>
      <c r="AJ401" s="38">
        <f>IF(B401="","",IF(H401&lt;&gt;"Service","",IF(D401="","No",IF(COUNTIFS($D$5:$D$1204,D401,$B$5:$B$1204,B401,$H$5:$H$1204,"Retail")&gt;0,"Yes","No"))))</f>
        <v>0</v>
      </c>
      <c r="AK401" s="25">
        <f>IF(B401="","",COUNTIFS($Y$5:$Y$1204,"&gt;"&amp;Y401)+COUNTIFS($Y$5:Y401,Y401))</f>
        <v>0</v>
      </c>
      <c r="AL401" s="39">
        <f>IF(B401="","",IF(H401="","Add - what kind of sale is this?",IF(IF(V401&lt;=0,P401="",FALSE),"Check - no price found for this item",IF(F401="","Assign - nobody credited",IF(AH401&gt;0.004,"Unpaid - balance outstanding",IF(AC401&lt;0,"Loss - sold below cost",IF(X401&gt;W401*0.5,"Check - more than half off","OK")))))))</f>
        <v>0</v>
      </c>
    </row>
    <row r="402" spans="1:38">
      <c r="A402" s="28">
        <f>IF(B402="","",SalePrefix&amp;TEXT(ROW()-4,"0000"))</f>
        <v>0</v>
      </c>
      <c r="E402" s="15">
        <f>IF(D402="","",IFERROR(INDEX(Clients!$B$5:$B$504,MATCH(D402,Clients!$A$5:$A$504,0)),"Walk-in"))</f>
        <v>0</v>
      </c>
      <c r="G402" s="15">
        <f>IF(F402="","",IFERROR(INDEX(Staff!$B$5:$B$44,MATCH(F402,Staff!$A$5:$A$44,0)),"House"))</f>
        <v>0</v>
      </c>
      <c r="R402" s="15">
        <f>IF(B402="","",TEXT(B402,"yyyy-mm"))</f>
        <v>0</v>
      </c>
      <c r="S402" s="25">
        <f>IF(B402="","",WEEKNUM(B402,2))</f>
        <v>0</v>
      </c>
      <c r="T402" s="37">
        <f>IF(B402="","",IF(K402="",1,K402))</f>
        <v>0</v>
      </c>
      <c r="U402" s="15">
        <f>IF(B402="","",IF(J402&lt;&gt;"",J402,IF(H402="Retail",IFERROR(INDEX(Inventory!$B$5:$B$304,MATCH(I402,Inventory!$A$5:$A$304,0))&amp;"","Not in Inventory"),IFERROR(INDEX(Services!$B$5:$B$204,MATCH(I402,Services!$A$5:$A$204,0))&amp;"","Not in Services"))))</f>
        <v>0</v>
      </c>
      <c r="V402" s="26">
        <f>IF(B402="","",IF(L402&lt;&gt;"",L402,IF(H402="Retail",IFERROR(INDEX(Inventory!$I$5:$I$304,MATCH(I402,Inventory!$A$5:$A$304,0))*1,0),IFERROR(INDEX(Services!$G$5:$G$204,MATCH(I402,Services!$A$5:$A$204,0))*1,0))))</f>
        <v>0</v>
      </c>
      <c r="W402" s="26">
        <f>IF(B402="","",ROUND(T402*V402,2))</f>
        <v>0</v>
      </c>
      <c r="X402" s="26">
        <f>IF(B402="","",ROUND(IF(M402="",0,W402*M402)+IF(N402="",0,N402),2))</f>
        <v>0</v>
      </c>
      <c r="Y402" s="26">
        <f>IF(B402="","",ROUND(W402-X402-IF(P402="",0,P402),2))</f>
        <v>0</v>
      </c>
      <c r="Z402" s="26">
        <f>IF(B402="","",IF(H402="Retail",IF(TaxOnRetail="Yes",ROUND(Y402*TaxRate,2),0),IF(H402="Service",IF(TaxOnServices="Yes",ROUND(Y402*TaxRate,2),0),0)))</f>
        <v>0</v>
      </c>
      <c r="AA402" s="26">
        <f>IF(B402="","",ROUND(Y402+Z402,2))</f>
        <v>0</v>
      </c>
      <c r="AB402" s="26">
        <f>IF(B402="","",ROUND(T402*IF(H402="Retail",IFERROR(INDEX(Inventory!$H$5:$H$304,MATCH(I402,Inventory!$A$5:$A$304,0))*1,0),IFERROR(INDEX(Services!$Q$5:$Q$204,MATCH(I402,Services!$A$5:$A$204,0))*1,0)),2))</f>
        <v>0</v>
      </c>
      <c r="AC402" s="26">
        <f>IF(B402="","",ROUND(Y402-AB402,2))</f>
        <v>0</v>
      </c>
      <c r="AD402" s="38">
        <f>IF(B402="","",IF(C402="","No",IF(COUNTIFS($C$5:C402,C402)=1,"Yes","No")))</f>
        <v>0</v>
      </c>
      <c r="AE402" s="26">
        <f>IF(B402="","",ROUND(SUMIFS(Payments!$G$5:$G$1204,Payments!$H$5:$H$1204,A402,Payments!$Q$5:$Q$1204,"Yes"),2))</f>
        <v>0</v>
      </c>
      <c r="AF402" s="26">
        <f>IF(B402="","",IF(AD402="No",0,ROUND(SUMIFS(Payments!$G$5:$G$1204,Payments!$I$5:$I$1204,C402,Payments!$H$5:$H$1204,"",Payments!$Q$5:$Q$1204,"Yes"),2)))</f>
        <v>0</v>
      </c>
      <c r="AG402" s="26">
        <f>IF(B402="","",ROUND(AE402+AF402,2))</f>
        <v>0</v>
      </c>
      <c r="AH402" s="26">
        <f>IF(B402="","",ROUND(AA402-AG402,2))</f>
        <v>0</v>
      </c>
      <c r="AI402" s="39">
        <f>IF(B402="","",IF(AA402&lt;=0,"No charge",IF(AH402&lt;=0.004,"Paid",IF(AG402&lt;=0.004,"Unpaid","Part paid"))))</f>
        <v>0</v>
      </c>
      <c r="AJ402" s="38">
        <f>IF(B402="","",IF(H402&lt;&gt;"Service","",IF(D402="","No",IF(COUNTIFS($D$5:$D$1204,D402,$B$5:$B$1204,B402,$H$5:$H$1204,"Retail")&gt;0,"Yes","No"))))</f>
        <v>0</v>
      </c>
      <c r="AK402" s="25">
        <f>IF(B402="","",COUNTIFS($Y$5:$Y$1204,"&gt;"&amp;Y402)+COUNTIFS($Y$5:Y402,Y402))</f>
        <v>0</v>
      </c>
      <c r="AL402" s="39">
        <f>IF(B402="","",IF(H402="","Add - what kind of sale is this?",IF(IF(V402&lt;=0,P402="",FALSE),"Check - no price found for this item",IF(F402="","Assign - nobody credited",IF(AH402&gt;0.004,"Unpaid - balance outstanding",IF(AC402&lt;0,"Loss - sold below cost",IF(X402&gt;W402*0.5,"Check - more than half off","OK")))))))</f>
        <v>0</v>
      </c>
    </row>
    <row r="403" spans="1:38">
      <c r="A403" s="28">
        <f>IF(B403="","",SalePrefix&amp;TEXT(ROW()-4,"0000"))</f>
        <v>0</v>
      </c>
      <c r="E403" s="15">
        <f>IF(D403="","",IFERROR(INDEX(Clients!$B$5:$B$504,MATCH(D403,Clients!$A$5:$A$504,0)),"Walk-in"))</f>
        <v>0</v>
      </c>
      <c r="G403" s="15">
        <f>IF(F403="","",IFERROR(INDEX(Staff!$B$5:$B$44,MATCH(F403,Staff!$A$5:$A$44,0)),"House"))</f>
        <v>0</v>
      </c>
      <c r="R403" s="15">
        <f>IF(B403="","",TEXT(B403,"yyyy-mm"))</f>
        <v>0</v>
      </c>
      <c r="S403" s="25">
        <f>IF(B403="","",WEEKNUM(B403,2))</f>
        <v>0</v>
      </c>
      <c r="T403" s="37">
        <f>IF(B403="","",IF(K403="",1,K403))</f>
        <v>0</v>
      </c>
      <c r="U403" s="15">
        <f>IF(B403="","",IF(J403&lt;&gt;"",J403,IF(H403="Retail",IFERROR(INDEX(Inventory!$B$5:$B$304,MATCH(I403,Inventory!$A$5:$A$304,0))&amp;"","Not in Inventory"),IFERROR(INDEX(Services!$B$5:$B$204,MATCH(I403,Services!$A$5:$A$204,0))&amp;"","Not in Services"))))</f>
        <v>0</v>
      </c>
      <c r="V403" s="26">
        <f>IF(B403="","",IF(L403&lt;&gt;"",L403,IF(H403="Retail",IFERROR(INDEX(Inventory!$I$5:$I$304,MATCH(I403,Inventory!$A$5:$A$304,0))*1,0),IFERROR(INDEX(Services!$G$5:$G$204,MATCH(I403,Services!$A$5:$A$204,0))*1,0))))</f>
        <v>0</v>
      </c>
      <c r="W403" s="26">
        <f>IF(B403="","",ROUND(T403*V403,2))</f>
        <v>0</v>
      </c>
      <c r="X403" s="26">
        <f>IF(B403="","",ROUND(IF(M403="",0,W403*M403)+IF(N403="",0,N403),2))</f>
        <v>0</v>
      </c>
      <c r="Y403" s="26">
        <f>IF(B403="","",ROUND(W403-X403-IF(P403="",0,P403),2))</f>
        <v>0</v>
      </c>
      <c r="Z403" s="26">
        <f>IF(B403="","",IF(H403="Retail",IF(TaxOnRetail="Yes",ROUND(Y403*TaxRate,2),0),IF(H403="Service",IF(TaxOnServices="Yes",ROUND(Y403*TaxRate,2),0),0)))</f>
        <v>0</v>
      </c>
      <c r="AA403" s="26">
        <f>IF(B403="","",ROUND(Y403+Z403,2))</f>
        <v>0</v>
      </c>
      <c r="AB403" s="26">
        <f>IF(B403="","",ROUND(T403*IF(H403="Retail",IFERROR(INDEX(Inventory!$H$5:$H$304,MATCH(I403,Inventory!$A$5:$A$304,0))*1,0),IFERROR(INDEX(Services!$Q$5:$Q$204,MATCH(I403,Services!$A$5:$A$204,0))*1,0)),2))</f>
        <v>0</v>
      </c>
      <c r="AC403" s="26">
        <f>IF(B403="","",ROUND(Y403-AB403,2))</f>
        <v>0</v>
      </c>
      <c r="AD403" s="38">
        <f>IF(B403="","",IF(C403="","No",IF(COUNTIFS($C$5:C403,C403)=1,"Yes","No")))</f>
        <v>0</v>
      </c>
      <c r="AE403" s="26">
        <f>IF(B403="","",ROUND(SUMIFS(Payments!$G$5:$G$1204,Payments!$H$5:$H$1204,A403,Payments!$Q$5:$Q$1204,"Yes"),2))</f>
        <v>0</v>
      </c>
      <c r="AF403" s="26">
        <f>IF(B403="","",IF(AD403="No",0,ROUND(SUMIFS(Payments!$G$5:$G$1204,Payments!$I$5:$I$1204,C403,Payments!$H$5:$H$1204,"",Payments!$Q$5:$Q$1204,"Yes"),2)))</f>
        <v>0</v>
      </c>
      <c r="AG403" s="26">
        <f>IF(B403="","",ROUND(AE403+AF403,2))</f>
        <v>0</v>
      </c>
      <c r="AH403" s="26">
        <f>IF(B403="","",ROUND(AA403-AG403,2))</f>
        <v>0</v>
      </c>
      <c r="AI403" s="39">
        <f>IF(B403="","",IF(AA403&lt;=0,"No charge",IF(AH403&lt;=0.004,"Paid",IF(AG403&lt;=0.004,"Unpaid","Part paid"))))</f>
        <v>0</v>
      </c>
      <c r="AJ403" s="38">
        <f>IF(B403="","",IF(H403&lt;&gt;"Service","",IF(D403="","No",IF(COUNTIFS($D$5:$D$1204,D403,$B$5:$B$1204,B403,$H$5:$H$1204,"Retail")&gt;0,"Yes","No"))))</f>
        <v>0</v>
      </c>
      <c r="AK403" s="25">
        <f>IF(B403="","",COUNTIFS($Y$5:$Y$1204,"&gt;"&amp;Y403)+COUNTIFS($Y$5:Y403,Y403))</f>
        <v>0</v>
      </c>
      <c r="AL403" s="39">
        <f>IF(B403="","",IF(H403="","Add - what kind of sale is this?",IF(IF(V403&lt;=0,P403="",FALSE),"Check - no price found for this item",IF(F403="","Assign - nobody credited",IF(AH403&gt;0.004,"Unpaid - balance outstanding",IF(AC403&lt;0,"Loss - sold below cost",IF(X403&gt;W403*0.5,"Check - more than half off","OK")))))))</f>
        <v>0</v>
      </c>
    </row>
    <row r="404" spans="1:38">
      <c r="A404" s="28">
        <f>IF(B404="","",SalePrefix&amp;TEXT(ROW()-4,"0000"))</f>
        <v>0</v>
      </c>
      <c r="E404" s="15">
        <f>IF(D404="","",IFERROR(INDEX(Clients!$B$5:$B$504,MATCH(D404,Clients!$A$5:$A$504,0)),"Walk-in"))</f>
        <v>0</v>
      </c>
      <c r="G404" s="15">
        <f>IF(F404="","",IFERROR(INDEX(Staff!$B$5:$B$44,MATCH(F404,Staff!$A$5:$A$44,0)),"House"))</f>
        <v>0</v>
      </c>
      <c r="R404" s="15">
        <f>IF(B404="","",TEXT(B404,"yyyy-mm"))</f>
        <v>0</v>
      </c>
      <c r="S404" s="25">
        <f>IF(B404="","",WEEKNUM(B404,2))</f>
        <v>0</v>
      </c>
      <c r="T404" s="37">
        <f>IF(B404="","",IF(K404="",1,K404))</f>
        <v>0</v>
      </c>
      <c r="U404" s="15">
        <f>IF(B404="","",IF(J404&lt;&gt;"",J404,IF(H404="Retail",IFERROR(INDEX(Inventory!$B$5:$B$304,MATCH(I404,Inventory!$A$5:$A$304,0))&amp;"","Not in Inventory"),IFERROR(INDEX(Services!$B$5:$B$204,MATCH(I404,Services!$A$5:$A$204,0))&amp;"","Not in Services"))))</f>
        <v>0</v>
      </c>
      <c r="V404" s="26">
        <f>IF(B404="","",IF(L404&lt;&gt;"",L404,IF(H404="Retail",IFERROR(INDEX(Inventory!$I$5:$I$304,MATCH(I404,Inventory!$A$5:$A$304,0))*1,0),IFERROR(INDEX(Services!$G$5:$G$204,MATCH(I404,Services!$A$5:$A$204,0))*1,0))))</f>
        <v>0</v>
      </c>
      <c r="W404" s="26">
        <f>IF(B404="","",ROUND(T404*V404,2))</f>
        <v>0</v>
      </c>
      <c r="X404" s="26">
        <f>IF(B404="","",ROUND(IF(M404="",0,W404*M404)+IF(N404="",0,N404),2))</f>
        <v>0</v>
      </c>
      <c r="Y404" s="26">
        <f>IF(B404="","",ROUND(W404-X404-IF(P404="",0,P404),2))</f>
        <v>0</v>
      </c>
      <c r="Z404" s="26">
        <f>IF(B404="","",IF(H404="Retail",IF(TaxOnRetail="Yes",ROUND(Y404*TaxRate,2),0),IF(H404="Service",IF(TaxOnServices="Yes",ROUND(Y404*TaxRate,2),0),0)))</f>
        <v>0</v>
      </c>
      <c r="AA404" s="26">
        <f>IF(B404="","",ROUND(Y404+Z404,2))</f>
        <v>0</v>
      </c>
      <c r="AB404" s="26">
        <f>IF(B404="","",ROUND(T404*IF(H404="Retail",IFERROR(INDEX(Inventory!$H$5:$H$304,MATCH(I404,Inventory!$A$5:$A$304,0))*1,0),IFERROR(INDEX(Services!$Q$5:$Q$204,MATCH(I404,Services!$A$5:$A$204,0))*1,0)),2))</f>
        <v>0</v>
      </c>
      <c r="AC404" s="26">
        <f>IF(B404="","",ROUND(Y404-AB404,2))</f>
        <v>0</v>
      </c>
      <c r="AD404" s="38">
        <f>IF(B404="","",IF(C404="","No",IF(COUNTIFS($C$5:C404,C404)=1,"Yes","No")))</f>
        <v>0</v>
      </c>
      <c r="AE404" s="26">
        <f>IF(B404="","",ROUND(SUMIFS(Payments!$G$5:$G$1204,Payments!$H$5:$H$1204,A404,Payments!$Q$5:$Q$1204,"Yes"),2))</f>
        <v>0</v>
      </c>
      <c r="AF404" s="26">
        <f>IF(B404="","",IF(AD404="No",0,ROUND(SUMIFS(Payments!$G$5:$G$1204,Payments!$I$5:$I$1204,C404,Payments!$H$5:$H$1204,"",Payments!$Q$5:$Q$1204,"Yes"),2)))</f>
        <v>0</v>
      </c>
      <c r="AG404" s="26">
        <f>IF(B404="","",ROUND(AE404+AF404,2))</f>
        <v>0</v>
      </c>
      <c r="AH404" s="26">
        <f>IF(B404="","",ROUND(AA404-AG404,2))</f>
        <v>0</v>
      </c>
      <c r="AI404" s="39">
        <f>IF(B404="","",IF(AA404&lt;=0,"No charge",IF(AH404&lt;=0.004,"Paid",IF(AG404&lt;=0.004,"Unpaid","Part paid"))))</f>
        <v>0</v>
      </c>
      <c r="AJ404" s="38">
        <f>IF(B404="","",IF(H404&lt;&gt;"Service","",IF(D404="","No",IF(COUNTIFS($D$5:$D$1204,D404,$B$5:$B$1204,B404,$H$5:$H$1204,"Retail")&gt;0,"Yes","No"))))</f>
        <v>0</v>
      </c>
      <c r="AK404" s="25">
        <f>IF(B404="","",COUNTIFS($Y$5:$Y$1204,"&gt;"&amp;Y404)+COUNTIFS($Y$5:Y404,Y404))</f>
        <v>0</v>
      </c>
      <c r="AL404" s="39">
        <f>IF(B404="","",IF(H404="","Add - what kind of sale is this?",IF(IF(V404&lt;=0,P404="",FALSE),"Check - no price found for this item",IF(F404="","Assign - nobody credited",IF(AH404&gt;0.004,"Unpaid - balance outstanding",IF(AC404&lt;0,"Loss - sold below cost",IF(X404&gt;W404*0.5,"Check - more than half off","OK")))))))</f>
        <v>0</v>
      </c>
    </row>
    <row r="405" spans="1:38">
      <c r="A405" s="28">
        <f>IF(B405="","",SalePrefix&amp;TEXT(ROW()-4,"0000"))</f>
        <v>0</v>
      </c>
      <c r="E405" s="15">
        <f>IF(D405="","",IFERROR(INDEX(Clients!$B$5:$B$504,MATCH(D405,Clients!$A$5:$A$504,0)),"Walk-in"))</f>
        <v>0</v>
      </c>
      <c r="G405" s="15">
        <f>IF(F405="","",IFERROR(INDEX(Staff!$B$5:$B$44,MATCH(F405,Staff!$A$5:$A$44,0)),"House"))</f>
        <v>0</v>
      </c>
      <c r="R405" s="15">
        <f>IF(B405="","",TEXT(B405,"yyyy-mm"))</f>
        <v>0</v>
      </c>
      <c r="S405" s="25">
        <f>IF(B405="","",WEEKNUM(B405,2))</f>
        <v>0</v>
      </c>
      <c r="T405" s="37">
        <f>IF(B405="","",IF(K405="",1,K405))</f>
        <v>0</v>
      </c>
      <c r="U405" s="15">
        <f>IF(B405="","",IF(J405&lt;&gt;"",J405,IF(H405="Retail",IFERROR(INDEX(Inventory!$B$5:$B$304,MATCH(I405,Inventory!$A$5:$A$304,0))&amp;"","Not in Inventory"),IFERROR(INDEX(Services!$B$5:$B$204,MATCH(I405,Services!$A$5:$A$204,0))&amp;"","Not in Services"))))</f>
        <v>0</v>
      </c>
      <c r="V405" s="26">
        <f>IF(B405="","",IF(L405&lt;&gt;"",L405,IF(H405="Retail",IFERROR(INDEX(Inventory!$I$5:$I$304,MATCH(I405,Inventory!$A$5:$A$304,0))*1,0),IFERROR(INDEX(Services!$G$5:$G$204,MATCH(I405,Services!$A$5:$A$204,0))*1,0))))</f>
        <v>0</v>
      </c>
      <c r="W405" s="26">
        <f>IF(B405="","",ROUND(T405*V405,2))</f>
        <v>0</v>
      </c>
      <c r="X405" s="26">
        <f>IF(B405="","",ROUND(IF(M405="",0,W405*M405)+IF(N405="",0,N405),2))</f>
        <v>0</v>
      </c>
      <c r="Y405" s="26">
        <f>IF(B405="","",ROUND(W405-X405-IF(P405="",0,P405),2))</f>
        <v>0</v>
      </c>
      <c r="Z405" s="26">
        <f>IF(B405="","",IF(H405="Retail",IF(TaxOnRetail="Yes",ROUND(Y405*TaxRate,2),0),IF(H405="Service",IF(TaxOnServices="Yes",ROUND(Y405*TaxRate,2),0),0)))</f>
        <v>0</v>
      </c>
      <c r="AA405" s="26">
        <f>IF(B405="","",ROUND(Y405+Z405,2))</f>
        <v>0</v>
      </c>
      <c r="AB405" s="26">
        <f>IF(B405="","",ROUND(T405*IF(H405="Retail",IFERROR(INDEX(Inventory!$H$5:$H$304,MATCH(I405,Inventory!$A$5:$A$304,0))*1,0),IFERROR(INDEX(Services!$Q$5:$Q$204,MATCH(I405,Services!$A$5:$A$204,0))*1,0)),2))</f>
        <v>0</v>
      </c>
      <c r="AC405" s="26">
        <f>IF(B405="","",ROUND(Y405-AB405,2))</f>
        <v>0</v>
      </c>
      <c r="AD405" s="38">
        <f>IF(B405="","",IF(C405="","No",IF(COUNTIFS($C$5:C405,C405)=1,"Yes","No")))</f>
        <v>0</v>
      </c>
      <c r="AE405" s="26">
        <f>IF(B405="","",ROUND(SUMIFS(Payments!$G$5:$G$1204,Payments!$H$5:$H$1204,A405,Payments!$Q$5:$Q$1204,"Yes"),2))</f>
        <v>0</v>
      </c>
      <c r="AF405" s="26">
        <f>IF(B405="","",IF(AD405="No",0,ROUND(SUMIFS(Payments!$G$5:$G$1204,Payments!$I$5:$I$1204,C405,Payments!$H$5:$H$1204,"",Payments!$Q$5:$Q$1204,"Yes"),2)))</f>
        <v>0</v>
      </c>
      <c r="AG405" s="26">
        <f>IF(B405="","",ROUND(AE405+AF405,2))</f>
        <v>0</v>
      </c>
      <c r="AH405" s="26">
        <f>IF(B405="","",ROUND(AA405-AG405,2))</f>
        <v>0</v>
      </c>
      <c r="AI405" s="39">
        <f>IF(B405="","",IF(AA405&lt;=0,"No charge",IF(AH405&lt;=0.004,"Paid",IF(AG405&lt;=0.004,"Unpaid","Part paid"))))</f>
        <v>0</v>
      </c>
      <c r="AJ405" s="38">
        <f>IF(B405="","",IF(H405&lt;&gt;"Service","",IF(D405="","No",IF(COUNTIFS($D$5:$D$1204,D405,$B$5:$B$1204,B405,$H$5:$H$1204,"Retail")&gt;0,"Yes","No"))))</f>
        <v>0</v>
      </c>
      <c r="AK405" s="25">
        <f>IF(B405="","",COUNTIFS($Y$5:$Y$1204,"&gt;"&amp;Y405)+COUNTIFS($Y$5:Y405,Y405))</f>
        <v>0</v>
      </c>
      <c r="AL405" s="39">
        <f>IF(B405="","",IF(H405="","Add - what kind of sale is this?",IF(IF(V405&lt;=0,P405="",FALSE),"Check - no price found for this item",IF(F405="","Assign - nobody credited",IF(AH405&gt;0.004,"Unpaid - balance outstanding",IF(AC405&lt;0,"Loss - sold below cost",IF(X405&gt;W405*0.5,"Check - more than half off","OK")))))))</f>
        <v>0</v>
      </c>
    </row>
    <row r="406" spans="1:38">
      <c r="A406" s="28">
        <f>IF(B406="","",SalePrefix&amp;TEXT(ROW()-4,"0000"))</f>
        <v>0</v>
      </c>
      <c r="E406" s="15">
        <f>IF(D406="","",IFERROR(INDEX(Clients!$B$5:$B$504,MATCH(D406,Clients!$A$5:$A$504,0)),"Walk-in"))</f>
        <v>0</v>
      </c>
      <c r="G406" s="15">
        <f>IF(F406="","",IFERROR(INDEX(Staff!$B$5:$B$44,MATCH(F406,Staff!$A$5:$A$44,0)),"House"))</f>
        <v>0</v>
      </c>
      <c r="R406" s="15">
        <f>IF(B406="","",TEXT(B406,"yyyy-mm"))</f>
        <v>0</v>
      </c>
      <c r="S406" s="25">
        <f>IF(B406="","",WEEKNUM(B406,2))</f>
        <v>0</v>
      </c>
      <c r="T406" s="37">
        <f>IF(B406="","",IF(K406="",1,K406))</f>
        <v>0</v>
      </c>
      <c r="U406" s="15">
        <f>IF(B406="","",IF(J406&lt;&gt;"",J406,IF(H406="Retail",IFERROR(INDEX(Inventory!$B$5:$B$304,MATCH(I406,Inventory!$A$5:$A$304,0))&amp;"","Not in Inventory"),IFERROR(INDEX(Services!$B$5:$B$204,MATCH(I406,Services!$A$5:$A$204,0))&amp;"","Not in Services"))))</f>
        <v>0</v>
      </c>
      <c r="V406" s="26">
        <f>IF(B406="","",IF(L406&lt;&gt;"",L406,IF(H406="Retail",IFERROR(INDEX(Inventory!$I$5:$I$304,MATCH(I406,Inventory!$A$5:$A$304,0))*1,0),IFERROR(INDEX(Services!$G$5:$G$204,MATCH(I406,Services!$A$5:$A$204,0))*1,0))))</f>
        <v>0</v>
      </c>
      <c r="W406" s="26">
        <f>IF(B406="","",ROUND(T406*V406,2))</f>
        <v>0</v>
      </c>
      <c r="X406" s="26">
        <f>IF(B406="","",ROUND(IF(M406="",0,W406*M406)+IF(N406="",0,N406),2))</f>
        <v>0</v>
      </c>
      <c r="Y406" s="26">
        <f>IF(B406="","",ROUND(W406-X406-IF(P406="",0,P406),2))</f>
        <v>0</v>
      </c>
      <c r="Z406" s="26">
        <f>IF(B406="","",IF(H406="Retail",IF(TaxOnRetail="Yes",ROUND(Y406*TaxRate,2),0),IF(H406="Service",IF(TaxOnServices="Yes",ROUND(Y406*TaxRate,2),0),0)))</f>
        <v>0</v>
      </c>
      <c r="AA406" s="26">
        <f>IF(B406="","",ROUND(Y406+Z406,2))</f>
        <v>0</v>
      </c>
      <c r="AB406" s="26">
        <f>IF(B406="","",ROUND(T406*IF(H406="Retail",IFERROR(INDEX(Inventory!$H$5:$H$304,MATCH(I406,Inventory!$A$5:$A$304,0))*1,0),IFERROR(INDEX(Services!$Q$5:$Q$204,MATCH(I406,Services!$A$5:$A$204,0))*1,0)),2))</f>
        <v>0</v>
      </c>
      <c r="AC406" s="26">
        <f>IF(B406="","",ROUND(Y406-AB406,2))</f>
        <v>0</v>
      </c>
      <c r="AD406" s="38">
        <f>IF(B406="","",IF(C406="","No",IF(COUNTIFS($C$5:C406,C406)=1,"Yes","No")))</f>
        <v>0</v>
      </c>
      <c r="AE406" s="26">
        <f>IF(B406="","",ROUND(SUMIFS(Payments!$G$5:$G$1204,Payments!$H$5:$H$1204,A406,Payments!$Q$5:$Q$1204,"Yes"),2))</f>
        <v>0</v>
      </c>
      <c r="AF406" s="26">
        <f>IF(B406="","",IF(AD406="No",0,ROUND(SUMIFS(Payments!$G$5:$G$1204,Payments!$I$5:$I$1204,C406,Payments!$H$5:$H$1204,"",Payments!$Q$5:$Q$1204,"Yes"),2)))</f>
        <v>0</v>
      </c>
      <c r="AG406" s="26">
        <f>IF(B406="","",ROUND(AE406+AF406,2))</f>
        <v>0</v>
      </c>
      <c r="AH406" s="26">
        <f>IF(B406="","",ROUND(AA406-AG406,2))</f>
        <v>0</v>
      </c>
      <c r="AI406" s="39">
        <f>IF(B406="","",IF(AA406&lt;=0,"No charge",IF(AH406&lt;=0.004,"Paid",IF(AG406&lt;=0.004,"Unpaid","Part paid"))))</f>
        <v>0</v>
      </c>
      <c r="AJ406" s="38">
        <f>IF(B406="","",IF(H406&lt;&gt;"Service","",IF(D406="","No",IF(COUNTIFS($D$5:$D$1204,D406,$B$5:$B$1204,B406,$H$5:$H$1204,"Retail")&gt;0,"Yes","No"))))</f>
        <v>0</v>
      </c>
      <c r="AK406" s="25">
        <f>IF(B406="","",COUNTIFS($Y$5:$Y$1204,"&gt;"&amp;Y406)+COUNTIFS($Y$5:Y406,Y406))</f>
        <v>0</v>
      </c>
      <c r="AL406" s="39">
        <f>IF(B406="","",IF(H406="","Add - what kind of sale is this?",IF(IF(V406&lt;=0,P406="",FALSE),"Check - no price found for this item",IF(F406="","Assign - nobody credited",IF(AH406&gt;0.004,"Unpaid - balance outstanding",IF(AC406&lt;0,"Loss - sold below cost",IF(X406&gt;W406*0.5,"Check - more than half off","OK")))))))</f>
        <v>0</v>
      </c>
    </row>
    <row r="407" spans="1:38">
      <c r="A407" s="28">
        <f>IF(B407="","",SalePrefix&amp;TEXT(ROW()-4,"0000"))</f>
        <v>0</v>
      </c>
      <c r="E407" s="15">
        <f>IF(D407="","",IFERROR(INDEX(Clients!$B$5:$B$504,MATCH(D407,Clients!$A$5:$A$504,0)),"Walk-in"))</f>
        <v>0</v>
      </c>
      <c r="G407" s="15">
        <f>IF(F407="","",IFERROR(INDEX(Staff!$B$5:$B$44,MATCH(F407,Staff!$A$5:$A$44,0)),"House"))</f>
        <v>0</v>
      </c>
      <c r="R407" s="15">
        <f>IF(B407="","",TEXT(B407,"yyyy-mm"))</f>
        <v>0</v>
      </c>
      <c r="S407" s="25">
        <f>IF(B407="","",WEEKNUM(B407,2))</f>
        <v>0</v>
      </c>
      <c r="T407" s="37">
        <f>IF(B407="","",IF(K407="",1,K407))</f>
        <v>0</v>
      </c>
      <c r="U407" s="15">
        <f>IF(B407="","",IF(J407&lt;&gt;"",J407,IF(H407="Retail",IFERROR(INDEX(Inventory!$B$5:$B$304,MATCH(I407,Inventory!$A$5:$A$304,0))&amp;"","Not in Inventory"),IFERROR(INDEX(Services!$B$5:$B$204,MATCH(I407,Services!$A$5:$A$204,0))&amp;"","Not in Services"))))</f>
        <v>0</v>
      </c>
      <c r="V407" s="26">
        <f>IF(B407="","",IF(L407&lt;&gt;"",L407,IF(H407="Retail",IFERROR(INDEX(Inventory!$I$5:$I$304,MATCH(I407,Inventory!$A$5:$A$304,0))*1,0),IFERROR(INDEX(Services!$G$5:$G$204,MATCH(I407,Services!$A$5:$A$204,0))*1,0))))</f>
        <v>0</v>
      </c>
      <c r="W407" s="26">
        <f>IF(B407="","",ROUND(T407*V407,2))</f>
        <v>0</v>
      </c>
      <c r="X407" s="26">
        <f>IF(B407="","",ROUND(IF(M407="",0,W407*M407)+IF(N407="",0,N407),2))</f>
        <v>0</v>
      </c>
      <c r="Y407" s="26">
        <f>IF(B407="","",ROUND(W407-X407-IF(P407="",0,P407),2))</f>
        <v>0</v>
      </c>
      <c r="Z407" s="26">
        <f>IF(B407="","",IF(H407="Retail",IF(TaxOnRetail="Yes",ROUND(Y407*TaxRate,2),0),IF(H407="Service",IF(TaxOnServices="Yes",ROUND(Y407*TaxRate,2),0),0)))</f>
        <v>0</v>
      </c>
      <c r="AA407" s="26">
        <f>IF(B407="","",ROUND(Y407+Z407,2))</f>
        <v>0</v>
      </c>
      <c r="AB407" s="26">
        <f>IF(B407="","",ROUND(T407*IF(H407="Retail",IFERROR(INDEX(Inventory!$H$5:$H$304,MATCH(I407,Inventory!$A$5:$A$304,0))*1,0),IFERROR(INDEX(Services!$Q$5:$Q$204,MATCH(I407,Services!$A$5:$A$204,0))*1,0)),2))</f>
        <v>0</v>
      </c>
      <c r="AC407" s="26">
        <f>IF(B407="","",ROUND(Y407-AB407,2))</f>
        <v>0</v>
      </c>
      <c r="AD407" s="38">
        <f>IF(B407="","",IF(C407="","No",IF(COUNTIFS($C$5:C407,C407)=1,"Yes","No")))</f>
        <v>0</v>
      </c>
      <c r="AE407" s="26">
        <f>IF(B407="","",ROUND(SUMIFS(Payments!$G$5:$G$1204,Payments!$H$5:$H$1204,A407,Payments!$Q$5:$Q$1204,"Yes"),2))</f>
        <v>0</v>
      </c>
      <c r="AF407" s="26">
        <f>IF(B407="","",IF(AD407="No",0,ROUND(SUMIFS(Payments!$G$5:$G$1204,Payments!$I$5:$I$1204,C407,Payments!$H$5:$H$1204,"",Payments!$Q$5:$Q$1204,"Yes"),2)))</f>
        <v>0</v>
      </c>
      <c r="AG407" s="26">
        <f>IF(B407="","",ROUND(AE407+AF407,2))</f>
        <v>0</v>
      </c>
      <c r="AH407" s="26">
        <f>IF(B407="","",ROUND(AA407-AG407,2))</f>
        <v>0</v>
      </c>
      <c r="AI407" s="39">
        <f>IF(B407="","",IF(AA407&lt;=0,"No charge",IF(AH407&lt;=0.004,"Paid",IF(AG407&lt;=0.004,"Unpaid","Part paid"))))</f>
        <v>0</v>
      </c>
      <c r="AJ407" s="38">
        <f>IF(B407="","",IF(H407&lt;&gt;"Service","",IF(D407="","No",IF(COUNTIFS($D$5:$D$1204,D407,$B$5:$B$1204,B407,$H$5:$H$1204,"Retail")&gt;0,"Yes","No"))))</f>
        <v>0</v>
      </c>
      <c r="AK407" s="25">
        <f>IF(B407="","",COUNTIFS($Y$5:$Y$1204,"&gt;"&amp;Y407)+COUNTIFS($Y$5:Y407,Y407))</f>
        <v>0</v>
      </c>
      <c r="AL407" s="39">
        <f>IF(B407="","",IF(H407="","Add - what kind of sale is this?",IF(IF(V407&lt;=0,P407="",FALSE),"Check - no price found for this item",IF(F407="","Assign - nobody credited",IF(AH407&gt;0.004,"Unpaid - balance outstanding",IF(AC407&lt;0,"Loss - sold below cost",IF(X407&gt;W407*0.5,"Check - more than half off","OK")))))))</f>
        <v>0</v>
      </c>
    </row>
    <row r="408" spans="1:38">
      <c r="A408" s="28">
        <f>IF(B408="","",SalePrefix&amp;TEXT(ROW()-4,"0000"))</f>
        <v>0</v>
      </c>
      <c r="E408" s="15">
        <f>IF(D408="","",IFERROR(INDEX(Clients!$B$5:$B$504,MATCH(D408,Clients!$A$5:$A$504,0)),"Walk-in"))</f>
        <v>0</v>
      </c>
      <c r="G408" s="15">
        <f>IF(F408="","",IFERROR(INDEX(Staff!$B$5:$B$44,MATCH(F408,Staff!$A$5:$A$44,0)),"House"))</f>
        <v>0</v>
      </c>
      <c r="R408" s="15">
        <f>IF(B408="","",TEXT(B408,"yyyy-mm"))</f>
        <v>0</v>
      </c>
      <c r="S408" s="25">
        <f>IF(B408="","",WEEKNUM(B408,2))</f>
        <v>0</v>
      </c>
      <c r="T408" s="37">
        <f>IF(B408="","",IF(K408="",1,K408))</f>
        <v>0</v>
      </c>
      <c r="U408" s="15">
        <f>IF(B408="","",IF(J408&lt;&gt;"",J408,IF(H408="Retail",IFERROR(INDEX(Inventory!$B$5:$B$304,MATCH(I408,Inventory!$A$5:$A$304,0))&amp;"","Not in Inventory"),IFERROR(INDEX(Services!$B$5:$B$204,MATCH(I408,Services!$A$5:$A$204,0))&amp;"","Not in Services"))))</f>
        <v>0</v>
      </c>
      <c r="V408" s="26">
        <f>IF(B408="","",IF(L408&lt;&gt;"",L408,IF(H408="Retail",IFERROR(INDEX(Inventory!$I$5:$I$304,MATCH(I408,Inventory!$A$5:$A$304,0))*1,0),IFERROR(INDEX(Services!$G$5:$G$204,MATCH(I408,Services!$A$5:$A$204,0))*1,0))))</f>
        <v>0</v>
      </c>
      <c r="W408" s="26">
        <f>IF(B408="","",ROUND(T408*V408,2))</f>
        <v>0</v>
      </c>
      <c r="X408" s="26">
        <f>IF(B408="","",ROUND(IF(M408="",0,W408*M408)+IF(N408="",0,N408),2))</f>
        <v>0</v>
      </c>
      <c r="Y408" s="26">
        <f>IF(B408="","",ROUND(W408-X408-IF(P408="",0,P408),2))</f>
        <v>0</v>
      </c>
      <c r="Z408" s="26">
        <f>IF(B408="","",IF(H408="Retail",IF(TaxOnRetail="Yes",ROUND(Y408*TaxRate,2),0),IF(H408="Service",IF(TaxOnServices="Yes",ROUND(Y408*TaxRate,2),0),0)))</f>
        <v>0</v>
      </c>
      <c r="AA408" s="26">
        <f>IF(B408="","",ROUND(Y408+Z408,2))</f>
        <v>0</v>
      </c>
      <c r="AB408" s="26">
        <f>IF(B408="","",ROUND(T408*IF(H408="Retail",IFERROR(INDEX(Inventory!$H$5:$H$304,MATCH(I408,Inventory!$A$5:$A$304,0))*1,0),IFERROR(INDEX(Services!$Q$5:$Q$204,MATCH(I408,Services!$A$5:$A$204,0))*1,0)),2))</f>
        <v>0</v>
      </c>
      <c r="AC408" s="26">
        <f>IF(B408="","",ROUND(Y408-AB408,2))</f>
        <v>0</v>
      </c>
      <c r="AD408" s="38">
        <f>IF(B408="","",IF(C408="","No",IF(COUNTIFS($C$5:C408,C408)=1,"Yes","No")))</f>
        <v>0</v>
      </c>
      <c r="AE408" s="26">
        <f>IF(B408="","",ROUND(SUMIFS(Payments!$G$5:$G$1204,Payments!$H$5:$H$1204,A408,Payments!$Q$5:$Q$1204,"Yes"),2))</f>
        <v>0</v>
      </c>
      <c r="AF408" s="26">
        <f>IF(B408="","",IF(AD408="No",0,ROUND(SUMIFS(Payments!$G$5:$G$1204,Payments!$I$5:$I$1204,C408,Payments!$H$5:$H$1204,"",Payments!$Q$5:$Q$1204,"Yes"),2)))</f>
        <v>0</v>
      </c>
      <c r="AG408" s="26">
        <f>IF(B408="","",ROUND(AE408+AF408,2))</f>
        <v>0</v>
      </c>
      <c r="AH408" s="26">
        <f>IF(B408="","",ROUND(AA408-AG408,2))</f>
        <v>0</v>
      </c>
      <c r="AI408" s="39">
        <f>IF(B408="","",IF(AA408&lt;=0,"No charge",IF(AH408&lt;=0.004,"Paid",IF(AG408&lt;=0.004,"Unpaid","Part paid"))))</f>
        <v>0</v>
      </c>
      <c r="AJ408" s="38">
        <f>IF(B408="","",IF(H408&lt;&gt;"Service","",IF(D408="","No",IF(COUNTIFS($D$5:$D$1204,D408,$B$5:$B$1204,B408,$H$5:$H$1204,"Retail")&gt;0,"Yes","No"))))</f>
        <v>0</v>
      </c>
      <c r="AK408" s="25">
        <f>IF(B408="","",COUNTIFS($Y$5:$Y$1204,"&gt;"&amp;Y408)+COUNTIFS($Y$5:Y408,Y408))</f>
        <v>0</v>
      </c>
      <c r="AL408" s="39">
        <f>IF(B408="","",IF(H408="","Add - what kind of sale is this?",IF(IF(V408&lt;=0,P408="",FALSE),"Check - no price found for this item",IF(F408="","Assign - nobody credited",IF(AH408&gt;0.004,"Unpaid - balance outstanding",IF(AC408&lt;0,"Loss - sold below cost",IF(X408&gt;W408*0.5,"Check - more than half off","OK")))))))</f>
        <v>0</v>
      </c>
    </row>
    <row r="409" spans="1:38">
      <c r="A409" s="28">
        <f>IF(B409="","",SalePrefix&amp;TEXT(ROW()-4,"0000"))</f>
        <v>0</v>
      </c>
      <c r="E409" s="15">
        <f>IF(D409="","",IFERROR(INDEX(Clients!$B$5:$B$504,MATCH(D409,Clients!$A$5:$A$504,0)),"Walk-in"))</f>
        <v>0</v>
      </c>
      <c r="G409" s="15">
        <f>IF(F409="","",IFERROR(INDEX(Staff!$B$5:$B$44,MATCH(F409,Staff!$A$5:$A$44,0)),"House"))</f>
        <v>0</v>
      </c>
      <c r="R409" s="15">
        <f>IF(B409="","",TEXT(B409,"yyyy-mm"))</f>
        <v>0</v>
      </c>
      <c r="S409" s="25">
        <f>IF(B409="","",WEEKNUM(B409,2))</f>
        <v>0</v>
      </c>
      <c r="T409" s="37">
        <f>IF(B409="","",IF(K409="",1,K409))</f>
        <v>0</v>
      </c>
      <c r="U409" s="15">
        <f>IF(B409="","",IF(J409&lt;&gt;"",J409,IF(H409="Retail",IFERROR(INDEX(Inventory!$B$5:$B$304,MATCH(I409,Inventory!$A$5:$A$304,0))&amp;"","Not in Inventory"),IFERROR(INDEX(Services!$B$5:$B$204,MATCH(I409,Services!$A$5:$A$204,0))&amp;"","Not in Services"))))</f>
        <v>0</v>
      </c>
      <c r="V409" s="26">
        <f>IF(B409="","",IF(L409&lt;&gt;"",L409,IF(H409="Retail",IFERROR(INDEX(Inventory!$I$5:$I$304,MATCH(I409,Inventory!$A$5:$A$304,0))*1,0),IFERROR(INDEX(Services!$G$5:$G$204,MATCH(I409,Services!$A$5:$A$204,0))*1,0))))</f>
        <v>0</v>
      </c>
      <c r="W409" s="26">
        <f>IF(B409="","",ROUND(T409*V409,2))</f>
        <v>0</v>
      </c>
      <c r="X409" s="26">
        <f>IF(B409="","",ROUND(IF(M409="",0,W409*M409)+IF(N409="",0,N409),2))</f>
        <v>0</v>
      </c>
      <c r="Y409" s="26">
        <f>IF(B409="","",ROUND(W409-X409-IF(P409="",0,P409),2))</f>
        <v>0</v>
      </c>
      <c r="Z409" s="26">
        <f>IF(B409="","",IF(H409="Retail",IF(TaxOnRetail="Yes",ROUND(Y409*TaxRate,2),0),IF(H409="Service",IF(TaxOnServices="Yes",ROUND(Y409*TaxRate,2),0),0)))</f>
        <v>0</v>
      </c>
      <c r="AA409" s="26">
        <f>IF(B409="","",ROUND(Y409+Z409,2))</f>
        <v>0</v>
      </c>
      <c r="AB409" s="26">
        <f>IF(B409="","",ROUND(T409*IF(H409="Retail",IFERROR(INDEX(Inventory!$H$5:$H$304,MATCH(I409,Inventory!$A$5:$A$304,0))*1,0),IFERROR(INDEX(Services!$Q$5:$Q$204,MATCH(I409,Services!$A$5:$A$204,0))*1,0)),2))</f>
        <v>0</v>
      </c>
      <c r="AC409" s="26">
        <f>IF(B409="","",ROUND(Y409-AB409,2))</f>
        <v>0</v>
      </c>
      <c r="AD409" s="38">
        <f>IF(B409="","",IF(C409="","No",IF(COUNTIFS($C$5:C409,C409)=1,"Yes","No")))</f>
        <v>0</v>
      </c>
      <c r="AE409" s="26">
        <f>IF(B409="","",ROUND(SUMIFS(Payments!$G$5:$G$1204,Payments!$H$5:$H$1204,A409,Payments!$Q$5:$Q$1204,"Yes"),2))</f>
        <v>0</v>
      </c>
      <c r="AF409" s="26">
        <f>IF(B409="","",IF(AD409="No",0,ROUND(SUMIFS(Payments!$G$5:$G$1204,Payments!$I$5:$I$1204,C409,Payments!$H$5:$H$1204,"",Payments!$Q$5:$Q$1204,"Yes"),2)))</f>
        <v>0</v>
      </c>
      <c r="AG409" s="26">
        <f>IF(B409="","",ROUND(AE409+AF409,2))</f>
        <v>0</v>
      </c>
      <c r="AH409" s="26">
        <f>IF(B409="","",ROUND(AA409-AG409,2))</f>
        <v>0</v>
      </c>
      <c r="AI409" s="39">
        <f>IF(B409="","",IF(AA409&lt;=0,"No charge",IF(AH409&lt;=0.004,"Paid",IF(AG409&lt;=0.004,"Unpaid","Part paid"))))</f>
        <v>0</v>
      </c>
      <c r="AJ409" s="38">
        <f>IF(B409="","",IF(H409&lt;&gt;"Service","",IF(D409="","No",IF(COUNTIFS($D$5:$D$1204,D409,$B$5:$B$1204,B409,$H$5:$H$1204,"Retail")&gt;0,"Yes","No"))))</f>
        <v>0</v>
      </c>
      <c r="AK409" s="25">
        <f>IF(B409="","",COUNTIFS($Y$5:$Y$1204,"&gt;"&amp;Y409)+COUNTIFS($Y$5:Y409,Y409))</f>
        <v>0</v>
      </c>
      <c r="AL409" s="39">
        <f>IF(B409="","",IF(H409="","Add - what kind of sale is this?",IF(IF(V409&lt;=0,P409="",FALSE),"Check - no price found for this item",IF(F409="","Assign - nobody credited",IF(AH409&gt;0.004,"Unpaid - balance outstanding",IF(AC409&lt;0,"Loss - sold below cost",IF(X409&gt;W409*0.5,"Check - more than half off","OK")))))))</f>
        <v>0</v>
      </c>
    </row>
    <row r="410" spans="1:38">
      <c r="A410" s="28">
        <f>IF(B410="","",SalePrefix&amp;TEXT(ROW()-4,"0000"))</f>
        <v>0</v>
      </c>
      <c r="E410" s="15">
        <f>IF(D410="","",IFERROR(INDEX(Clients!$B$5:$B$504,MATCH(D410,Clients!$A$5:$A$504,0)),"Walk-in"))</f>
        <v>0</v>
      </c>
      <c r="G410" s="15">
        <f>IF(F410="","",IFERROR(INDEX(Staff!$B$5:$B$44,MATCH(F410,Staff!$A$5:$A$44,0)),"House"))</f>
        <v>0</v>
      </c>
      <c r="R410" s="15">
        <f>IF(B410="","",TEXT(B410,"yyyy-mm"))</f>
        <v>0</v>
      </c>
      <c r="S410" s="25">
        <f>IF(B410="","",WEEKNUM(B410,2))</f>
        <v>0</v>
      </c>
      <c r="T410" s="37">
        <f>IF(B410="","",IF(K410="",1,K410))</f>
        <v>0</v>
      </c>
      <c r="U410" s="15">
        <f>IF(B410="","",IF(J410&lt;&gt;"",J410,IF(H410="Retail",IFERROR(INDEX(Inventory!$B$5:$B$304,MATCH(I410,Inventory!$A$5:$A$304,0))&amp;"","Not in Inventory"),IFERROR(INDEX(Services!$B$5:$B$204,MATCH(I410,Services!$A$5:$A$204,0))&amp;"","Not in Services"))))</f>
        <v>0</v>
      </c>
      <c r="V410" s="26">
        <f>IF(B410="","",IF(L410&lt;&gt;"",L410,IF(H410="Retail",IFERROR(INDEX(Inventory!$I$5:$I$304,MATCH(I410,Inventory!$A$5:$A$304,0))*1,0),IFERROR(INDEX(Services!$G$5:$G$204,MATCH(I410,Services!$A$5:$A$204,0))*1,0))))</f>
        <v>0</v>
      </c>
      <c r="W410" s="26">
        <f>IF(B410="","",ROUND(T410*V410,2))</f>
        <v>0</v>
      </c>
      <c r="X410" s="26">
        <f>IF(B410="","",ROUND(IF(M410="",0,W410*M410)+IF(N410="",0,N410),2))</f>
        <v>0</v>
      </c>
      <c r="Y410" s="26">
        <f>IF(B410="","",ROUND(W410-X410-IF(P410="",0,P410),2))</f>
        <v>0</v>
      </c>
      <c r="Z410" s="26">
        <f>IF(B410="","",IF(H410="Retail",IF(TaxOnRetail="Yes",ROUND(Y410*TaxRate,2),0),IF(H410="Service",IF(TaxOnServices="Yes",ROUND(Y410*TaxRate,2),0),0)))</f>
        <v>0</v>
      </c>
      <c r="AA410" s="26">
        <f>IF(B410="","",ROUND(Y410+Z410,2))</f>
        <v>0</v>
      </c>
      <c r="AB410" s="26">
        <f>IF(B410="","",ROUND(T410*IF(H410="Retail",IFERROR(INDEX(Inventory!$H$5:$H$304,MATCH(I410,Inventory!$A$5:$A$304,0))*1,0),IFERROR(INDEX(Services!$Q$5:$Q$204,MATCH(I410,Services!$A$5:$A$204,0))*1,0)),2))</f>
        <v>0</v>
      </c>
      <c r="AC410" s="26">
        <f>IF(B410="","",ROUND(Y410-AB410,2))</f>
        <v>0</v>
      </c>
      <c r="AD410" s="38">
        <f>IF(B410="","",IF(C410="","No",IF(COUNTIFS($C$5:C410,C410)=1,"Yes","No")))</f>
        <v>0</v>
      </c>
      <c r="AE410" s="26">
        <f>IF(B410="","",ROUND(SUMIFS(Payments!$G$5:$G$1204,Payments!$H$5:$H$1204,A410,Payments!$Q$5:$Q$1204,"Yes"),2))</f>
        <v>0</v>
      </c>
      <c r="AF410" s="26">
        <f>IF(B410="","",IF(AD410="No",0,ROUND(SUMIFS(Payments!$G$5:$G$1204,Payments!$I$5:$I$1204,C410,Payments!$H$5:$H$1204,"",Payments!$Q$5:$Q$1204,"Yes"),2)))</f>
        <v>0</v>
      </c>
      <c r="AG410" s="26">
        <f>IF(B410="","",ROUND(AE410+AF410,2))</f>
        <v>0</v>
      </c>
      <c r="AH410" s="26">
        <f>IF(B410="","",ROUND(AA410-AG410,2))</f>
        <v>0</v>
      </c>
      <c r="AI410" s="39">
        <f>IF(B410="","",IF(AA410&lt;=0,"No charge",IF(AH410&lt;=0.004,"Paid",IF(AG410&lt;=0.004,"Unpaid","Part paid"))))</f>
        <v>0</v>
      </c>
      <c r="AJ410" s="38">
        <f>IF(B410="","",IF(H410&lt;&gt;"Service","",IF(D410="","No",IF(COUNTIFS($D$5:$D$1204,D410,$B$5:$B$1204,B410,$H$5:$H$1204,"Retail")&gt;0,"Yes","No"))))</f>
        <v>0</v>
      </c>
      <c r="AK410" s="25">
        <f>IF(B410="","",COUNTIFS($Y$5:$Y$1204,"&gt;"&amp;Y410)+COUNTIFS($Y$5:Y410,Y410))</f>
        <v>0</v>
      </c>
      <c r="AL410" s="39">
        <f>IF(B410="","",IF(H410="","Add - what kind of sale is this?",IF(IF(V410&lt;=0,P410="",FALSE),"Check - no price found for this item",IF(F410="","Assign - nobody credited",IF(AH410&gt;0.004,"Unpaid - balance outstanding",IF(AC410&lt;0,"Loss - sold below cost",IF(X410&gt;W410*0.5,"Check - more than half off","OK")))))))</f>
        <v>0</v>
      </c>
    </row>
    <row r="411" spans="1:38">
      <c r="A411" s="28">
        <f>IF(B411="","",SalePrefix&amp;TEXT(ROW()-4,"0000"))</f>
        <v>0</v>
      </c>
      <c r="E411" s="15">
        <f>IF(D411="","",IFERROR(INDEX(Clients!$B$5:$B$504,MATCH(D411,Clients!$A$5:$A$504,0)),"Walk-in"))</f>
        <v>0</v>
      </c>
      <c r="G411" s="15">
        <f>IF(F411="","",IFERROR(INDEX(Staff!$B$5:$B$44,MATCH(F411,Staff!$A$5:$A$44,0)),"House"))</f>
        <v>0</v>
      </c>
      <c r="R411" s="15">
        <f>IF(B411="","",TEXT(B411,"yyyy-mm"))</f>
        <v>0</v>
      </c>
      <c r="S411" s="25">
        <f>IF(B411="","",WEEKNUM(B411,2))</f>
        <v>0</v>
      </c>
      <c r="T411" s="37">
        <f>IF(B411="","",IF(K411="",1,K411))</f>
        <v>0</v>
      </c>
      <c r="U411" s="15">
        <f>IF(B411="","",IF(J411&lt;&gt;"",J411,IF(H411="Retail",IFERROR(INDEX(Inventory!$B$5:$B$304,MATCH(I411,Inventory!$A$5:$A$304,0))&amp;"","Not in Inventory"),IFERROR(INDEX(Services!$B$5:$B$204,MATCH(I411,Services!$A$5:$A$204,0))&amp;"","Not in Services"))))</f>
        <v>0</v>
      </c>
      <c r="V411" s="26">
        <f>IF(B411="","",IF(L411&lt;&gt;"",L411,IF(H411="Retail",IFERROR(INDEX(Inventory!$I$5:$I$304,MATCH(I411,Inventory!$A$5:$A$304,0))*1,0),IFERROR(INDEX(Services!$G$5:$G$204,MATCH(I411,Services!$A$5:$A$204,0))*1,0))))</f>
        <v>0</v>
      </c>
      <c r="W411" s="26">
        <f>IF(B411="","",ROUND(T411*V411,2))</f>
        <v>0</v>
      </c>
      <c r="X411" s="26">
        <f>IF(B411="","",ROUND(IF(M411="",0,W411*M411)+IF(N411="",0,N411),2))</f>
        <v>0</v>
      </c>
      <c r="Y411" s="26">
        <f>IF(B411="","",ROUND(W411-X411-IF(P411="",0,P411),2))</f>
        <v>0</v>
      </c>
      <c r="Z411" s="26">
        <f>IF(B411="","",IF(H411="Retail",IF(TaxOnRetail="Yes",ROUND(Y411*TaxRate,2),0),IF(H411="Service",IF(TaxOnServices="Yes",ROUND(Y411*TaxRate,2),0),0)))</f>
        <v>0</v>
      </c>
      <c r="AA411" s="26">
        <f>IF(B411="","",ROUND(Y411+Z411,2))</f>
        <v>0</v>
      </c>
      <c r="AB411" s="26">
        <f>IF(B411="","",ROUND(T411*IF(H411="Retail",IFERROR(INDEX(Inventory!$H$5:$H$304,MATCH(I411,Inventory!$A$5:$A$304,0))*1,0),IFERROR(INDEX(Services!$Q$5:$Q$204,MATCH(I411,Services!$A$5:$A$204,0))*1,0)),2))</f>
        <v>0</v>
      </c>
      <c r="AC411" s="26">
        <f>IF(B411="","",ROUND(Y411-AB411,2))</f>
        <v>0</v>
      </c>
      <c r="AD411" s="38">
        <f>IF(B411="","",IF(C411="","No",IF(COUNTIFS($C$5:C411,C411)=1,"Yes","No")))</f>
        <v>0</v>
      </c>
      <c r="AE411" s="26">
        <f>IF(B411="","",ROUND(SUMIFS(Payments!$G$5:$G$1204,Payments!$H$5:$H$1204,A411,Payments!$Q$5:$Q$1204,"Yes"),2))</f>
        <v>0</v>
      </c>
      <c r="AF411" s="26">
        <f>IF(B411="","",IF(AD411="No",0,ROUND(SUMIFS(Payments!$G$5:$G$1204,Payments!$I$5:$I$1204,C411,Payments!$H$5:$H$1204,"",Payments!$Q$5:$Q$1204,"Yes"),2)))</f>
        <v>0</v>
      </c>
      <c r="AG411" s="26">
        <f>IF(B411="","",ROUND(AE411+AF411,2))</f>
        <v>0</v>
      </c>
      <c r="AH411" s="26">
        <f>IF(B411="","",ROUND(AA411-AG411,2))</f>
        <v>0</v>
      </c>
      <c r="AI411" s="39">
        <f>IF(B411="","",IF(AA411&lt;=0,"No charge",IF(AH411&lt;=0.004,"Paid",IF(AG411&lt;=0.004,"Unpaid","Part paid"))))</f>
        <v>0</v>
      </c>
      <c r="AJ411" s="38">
        <f>IF(B411="","",IF(H411&lt;&gt;"Service","",IF(D411="","No",IF(COUNTIFS($D$5:$D$1204,D411,$B$5:$B$1204,B411,$H$5:$H$1204,"Retail")&gt;0,"Yes","No"))))</f>
        <v>0</v>
      </c>
      <c r="AK411" s="25">
        <f>IF(B411="","",COUNTIFS($Y$5:$Y$1204,"&gt;"&amp;Y411)+COUNTIFS($Y$5:Y411,Y411))</f>
        <v>0</v>
      </c>
      <c r="AL411" s="39">
        <f>IF(B411="","",IF(H411="","Add - what kind of sale is this?",IF(IF(V411&lt;=0,P411="",FALSE),"Check - no price found for this item",IF(F411="","Assign - nobody credited",IF(AH411&gt;0.004,"Unpaid - balance outstanding",IF(AC411&lt;0,"Loss - sold below cost",IF(X411&gt;W411*0.5,"Check - more than half off","OK")))))))</f>
        <v>0</v>
      </c>
    </row>
    <row r="412" spans="1:38">
      <c r="A412" s="28">
        <f>IF(B412="","",SalePrefix&amp;TEXT(ROW()-4,"0000"))</f>
        <v>0</v>
      </c>
      <c r="E412" s="15">
        <f>IF(D412="","",IFERROR(INDEX(Clients!$B$5:$B$504,MATCH(D412,Clients!$A$5:$A$504,0)),"Walk-in"))</f>
        <v>0</v>
      </c>
      <c r="G412" s="15">
        <f>IF(F412="","",IFERROR(INDEX(Staff!$B$5:$B$44,MATCH(F412,Staff!$A$5:$A$44,0)),"House"))</f>
        <v>0</v>
      </c>
      <c r="R412" s="15">
        <f>IF(B412="","",TEXT(B412,"yyyy-mm"))</f>
        <v>0</v>
      </c>
      <c r="S412" s="25">
        <f>IF(B412="","",WEEKNUM(B412,2))</f>
        <v>0</v>
      </c>
      <c r="T412" s="37">
        <f>IF(B412="","",IF(K412="",1,K412))</f>
        <v>0</v>
      </c>
      <c r="U412" s="15">
        <f>IF(B412="","",IF(J412&lt;&gt;"",J412,IF(H412="Retail",IFERROR(INDEX(Inventory!$B$5:$B$304,MATCH(I412,Inventory!$A$5:$A$304,0))&amp;"","Not in Inventory"),IFERROR(INDEX(Services!$B$5:$B$204,MATCH(I412,Services!$A$5:$A$204,0))&amp;"","Not in Services"))))</f>
        <v>0</v>
      </c>
      <c r="V412" s="26">
        <f>IF(B412="","",IF(L412&lt;&gt;"",L412,IF(H412="Retail",IFERROR(INDEX(Inventory!$I$5:$I$304,MATCH(I412,Inventory!$A$5:$A$304,0))*1,0),IFERROR(INDEX(Services!$G$5:$G$204,MATCH(I412,Services!$A$5:$A$204,0))*1,0))))</f>
        <v>0</v>
      </c>
      <c r="W412" s="26">
        <f>IF(B412="","",ROUND(T412*V412,2))</f>
        <v>0</v>
      </c>
      <c r="X412" s="26">
        <f>IF(B412="","",ROUND(IF(M412="",0,W412*M412)+IF(N412="",0,N412),2))</f>
        <v>0</v>
      </c>
      <c r="Y412" s="26">
        <f>IF(B412="","",ROUND(W412-X412-IF(P412="",0,P412),2))</f>
        <v>0</v>
      </c>
      <c r="Z412" s="26">
        <f>IF(B412="","",IF(H412="Retail",IF(TaxOnRetail="Yes",ROUND(Y412*TaxRate,2),0),IF(H412="Service",IF(TaxOnServices="Yes",ROUND(Y412*TaxRate,2),0),0)))</f>
        <v>0</v>
      </c>
      <c r="AA412" s="26">
        <f>IF(B412="","",ROUND(Y412+Z412,2))</f>
        <v>0</v>
      </c>
      <c r="AB412" s="26">
        <f>IF(B412="","",ROUND(T412*IF(H412="Retail",IFERROR(INDEX(Inventory!$H$5:$H$304,MATCH(I412,Inventory!$A$5:$A$304,0))*1,0),IFERROR(INDEX(Services!$Q$5:$Q$204,MATCH(I412,Services!$A$5:$A$204,0))*1,0)),2))</f>
        <v>0</v>
      </c>
      <c r="AC412" s="26">
        <f>IF(B412="","",ROUND(Y412-AB412,2))</f>
        <v>0</v>
      </c>
      <c r="AD412" s="38">
        <f>IF(B412="","",IF(C412="","No",IF(COUNTIFS($C$5:C412,C412)=1,"Yes","No")))</f>
        <v>0</v>
      </c>
      <c r="AE412" s="26">
        <f>IF(B412="","",ROUND(SUMIFS(Payments!$G$5:$G$1204,Payments!$H$5:$H$1204,A412,Payments!$Q$5:$Q$1204,"Yes"),2))</f>
        <v>0</v>
      </c>
      <c r="AF412" s="26">
        <f>IF(B412="","",IF(AD412="No",0,ROUND(SUMIFS(Payments!$G$5:$G$1204,Payments!$I$5:$I$1204,C412,Payments!$H$5:$H$1204,"",Payments!$Q$5:$Q$1204,"Yes"),2)))</f>
        <v>0</v>
      </c>
      <c r="AG412" s="26">
        <f>IF(B412="","",ROUND(AE412+AF412,2))</f>
        <v>0</v>
      </c>
      <c r="AH412" s="26">
        <f>IF(B412="","",ROUND(AA412-AG412,2))</f>
        <v>0</v>
      </c>
      <c r="AI412" s="39">
        <f>IF(B412="","",IF(AA412&lt;=0,"No charge",IF(AH412&lt;=0.004,"Paid",IF(AG412&lt;=0.004,"Unpaid","Part paid"))))</f>
        <v>0</v>
      </c>
      <c r="AJ412" s="38">
        <f>IF(B412="","",IF(H412&lt;&gt;"Service","",IF(D412="","No",IF(COUNTIFS($D$5:$D$1204,D412,$B$5:$B$1204,B412,$H$5:$H$1204,"Retail")&gt;0,"Yes","No"))))</f>
        <v>0</v>
      </c>
      <c r="AK412" s="25">
        <f>IF(B412="","",COUNTIFS($Y$5:$Y$1204,"&gt;"&amp;Y412)+COUNTIFS($Y$5:Y412,Y412))</f>
        <v>0</v>
      </c>
      <c r="AL412" s="39">
        <f>IF(B412="","",IF(H412="","Add - what kind of sale is this?",IF(IF(V412&lt;=0,P412="",FALSE),"Check - no price found for this item",IF(F412="","Assign - nobody credited",IF(AH412&gt;0.004,"Unpaid - balance outstanding",IF(AC412&lt;0,"Loss - sold below cost",IF(X412&gt;W412*0.5,"Check - more than half off","OK")))))))</f>
        <v>0</v>
      </c>
    </row>
    <row r="413" spans="1:38">
      <c r="A413" s="28">
        <f>IF(B413="","",SalePrefix&amp;TEXT(ROW()-4,"0000"))</f>
        <v>0</v>
      </c>
      <c r="E413" s="15">
        <f>IF(D413="","",IFERROR(INDEX(Clients!$B$5:$B$504,MATCH(D413,Clients!$A$5:$A$504,0)),"Walk-in"))</f>
        <v>0</v>
      </c>
      <c r="G413" s="15">
        <f>IF(F413="","",IFERROR(INDEX(Staff!$B$5:$B$44,MATCH(F413,Staff!$A$5:$A$44,0)),"House"))</f>
        <v>0</v>
      </c>
      <c r="R413" s="15">
        <f>IF(B413="","",TEXT(B413,"yyyy-mm"))</f>
        <v>0</v>
      </c>
      <c r="S413" s="25">
        <f>IF(B413="","",WEEKNUM(B413,2))</f>
        <v>0</v>
      </c>
      <c r="T413" s="37">
        <f>IF(B413="","",IF(K413="",1,K413))</f>
        <v>0</v>
      </c>
      <c r="U413" s="15">
        <f>IF(B413="","",IF(J413&lt;&gt;"",J413,IF(H413="Retail",IFERROR(INDEX(Inventory!$B$5:$B$304,MATCH(I413,Inventory!$A$5:$A$304,0))&amp;"","Not in Inventory"),IFERROR(INDEX(Services!$B$5:$B$204,MATCH(I413,Services!$A$5:$A$204,0))&amp;"","Not in Services"))))</f>
        <v>0</v>
      </c>
      <c r="V413" s="26">
        <f>IF(B413="","",IF(L413&lt;&gt;"",L413,IF(H413="Retail",IFERROR(INDEX(Inventory!$I$5:$I$304,MATCH(I413,Inventory!$A$5:$A$304,0))*1,0),IFERROR(INDEX(Services!$G$5:$G$204,MATCH(I413,Services!$A$5:$A$204,0))*1,0))))</f>
        <v>0</v>
      </c>
      <c r="W413" s="26">
        <f>IF(B413="","",ROUND(T413*V413,2))</f>
        <v>0</v>
      </c>
      <c r="X413" s="26">
        <f>IF(B413="","",ROUND(IF(M413="",0,W413*M413)+IF(N413="",0,N413),2))</f>
        <v>0</v>
      </c>
      <c r="Y413" s="26">
        <f>IF(B413="","",ROUND(W413-X413-IF(P413="",0,P413),2))</f>
        <v>0</v>
      </c>
      <c r="Z413" s="26">
        <f>IF(B413="","",IF(H413="Retail",IF(TaxOnRetail="Yes",ROUND(Y413*TaxRate,2),0),IF(H413="Service",IF(TaxOnServices="Yes",ROUND(Y413*TaxRate,2),0),0)))</f>
        <v>0</v>
      </c>
      <c r="AA413" s="26">
        <f>IF(B413="","",ROUND(Y413+Z413,2))</f>
        <v>0</v>
      </c>
      <c r="AB413" s="26">
        <f>IF(B413="","",ROUND(T413*IF(H413="Retail",IFERROR(INDEX(Inventory!$H$5:$H$304,MATCH(I413,Inventory!$A$5:$A$304,0))*1,0),IFERROR(INDEX(Services!$Q$5:$Q$204,MATCH(I413,Services!$A$5:$A$204,0))*1,0)),2))</f>
        <v>0</v>
      </c>
      <c r="AC413" s="26">
        <f>IF(B413="","",ROUND(Y413-AB413,2))</f>
        <v>0</v>
      </c>
      <c r="AD413" s="38">
        <f>IF(B413="","",IF(C413="","No",IF(COUNTIFS($C$5:C413,C413)=1,"Yes","No")))</f>
        <v>0</v>
      </c>
      <c r="AE413" s="26">
        <f>IF(B413="","",ROUND(SUMIFS(Payments!$G$5:$G$1204,Payments!$H$5:$H$1204,A413,Payments!$Q$5:$Q$1204,"Yes"),2))</f>
        <v>0</v>
      </c>
      <c r="AF413" s="26">
        <f>IF(B413="","",IF(AD413="No",0,ROUND(SUMIFS(Payments!$G$5:$G$1204,Payments!$I$5:$I$1204,C413,Payments!$H$5:$H$1204,"",Payments!$Q$5:$Q$1204,"Yes"),2)))</f>
        <v>0</v>
      </c>
      <c r="AG413" s="26">
        <f>IF(B413="","",ROUND(AE413+AF413,2))</f>
        <v>0</v>
      </c>
      <c r="AH413" s="26">
        <f>IF(B413="","",ROUND(AA413-AG413,2))</f>
        <v>0</v>
      </c>
      <c r="AI413" s="39">
        <f>IF(B413="","",IF(AA413&lt;=0,"No charge",IF(AH413&lt;=0.004,"Paid",IF(AG413&lt;=0.004,"Unpaid","Part paid"))))</f>
        <v>0</v>
      </c>
      <c r="AJ413" s="38">
        <f>IF(B413="","",IF(H413&lt;&gt;"Service","",IF(D413="","No",IF(COUNTIFS($D$5:$D$1204,D413,$B$5:$B$1204,B413,$H$5:$H$1204,"Retail")&gt;0,"Yes","No"))))</f>
        <v>0</v>
      </c>
      <c r="AK413" s="25">
        <f>IF(B413="","",COUNTIFS($Y$5:$Y$1204,"&gt;"&amp;Y413)+COUNTIFS($Y$5:Y413,Y413))</f>
        <v>0</v>
      </c>
      <c r="AL413" s="39">
        <f>IF(B413="","",IF(H413="","Add - what kind of sale is this?",IF(IF(V413&lt;=0,P413="",FALSE),"Check - no price found for this item",IF(F413="","Assign - nobody credited",IF(AH413&gt;0.004,"Unpaid - balance outstanding",IF(AC413&lt;0,"Loss - sold below cost",IF(X413&gt;W413*0.5,"Check - more than half off","OK")))))))</f>
        <v>0</v>
      </c>
    </row>
    <row r="414" spans="1:38">
      <c r="A414" s="28">
        <f>IF(B414="","",SalePrefix&amp;TEXT(ROW()-4,"0000"))</f>
        <v>0</v>
      </c>
      <c r="E414" s="15">
        <f>IF(D414="","",IFERROR(INDEX(Clients!$B$5:$B$504,MATCH(D414,Clients!$A$5:$A$504,0)),"Walk-in"))</f>
        <v>0</v>
      </c>
      <c r="G414" s="15">
        <f>IF(F414="","",IFERROR(INDEX(Staff!$B$5:$B$44,MATCH(F414,Staff!$A$5:$A$44,0)),"House"))</f>
        <v>0</v>
      </c>
      <c r="R414" s="15">
        <f>IF(B414="","",TEXT(B414,"yyyy-mm"))</f>
        <v>0</v>
      </c>
      <c r="S414" s="25">
        <f>IF(B414="","",WEEKNUM(B414,2))</f>
        <v>0</v>
      </c>
      <c r="T414" s="37">
        <f>IF(B414="","",IF(K414="",1,K414))</f>
        <v>0</v>
      </c>
      <c r="U414" s="15">
        <f>IF(B414="","",IF(J414&lt;&gt;"",J414,IF(H414="Retail",IFERROR(INDEX(Inventory!$B$5:$B$304,MATCH(I414,Inventory!$A$5:$A$304,0))&amp;"","Not in Inventory"),IFERROR(INDEX(Services!$B$5:$B$204,MATCH(I414,Services!$A$5:$A$204,0))&amp;"","Not in Services"))))</f>
        <v>0</v>
      </c>
      <c r="V414" s="26">
        <f>IF(B414="","",IF(L414&lt;&gt;"",L414,IF(H414="Retail",IFERROR(INDEX(Inventory!$I$5:$I$304,MATCH(I414,Inventory!$A$5:$A$304,0))*1,0),IFERROR(INDEX(Services!$G$5:$G$204,MATCH(I414,Services!$A$5:$A$204,0))*1,0))))</f>
        <v>0</v>
      </c>
      <c r="W414" s="26">
        <f>IF(B414="","",ROUND(T414*V414,2))</f>
        <v>0</v>
      </c>
      <c r="X414" s="26">
        <f>IF(B414="","",ROUND(IF(M414="",0,W414*M414)+IF(N414="",0,N414),2))</f>
        <v>0</v>
      </c>
      <c r="Y414" s="26">
        <f>IF(B414="","",ROUND(W414-X414-IF(P414="",0,P414),2))</f>
        <v>0</v>
      </c>
      <c r="Z414" s="26">
        <f>IF(B414="","",IF(H414="Retail",IF(TaxOnRetail="Yes",ROUND(Y414*TaxRate,2),0),IF(H414="Service",IF(TaxOnServices="Yes",ROUND(Y414*TaxRate,2),0),0)))</f>
        <v>0</v>
      </c>
      <c r="AA414" s="26">
        <f>IF(B414="","",ROUND(Y414+Z414,2))</f>
        <v>0</v>
      </c>
      <c r="AB414" s="26">
        <f>IF(B414="","",ROUND(T414*IF(H414="Retail",IFERROR(INDEX(Inventory!$H$5:$H$304,MATCH(I414,Inventory!$A$5:$A$304,0))*1,0),IFERROR(INDEX(Services!$Q$5:$Q$204,MATCH(I414,Services!$A$5:$A$204,0))*1,0)),2))</f>
        <v>0</v>
      </c>
      <c r="AC414" s="26">
        <f>IF(B414="","",ROUND(Y414-AB414,2))</f>
        <v>0</v>
      </c>
      <c r="AD414" s="38">
        <f>IF(B414="","",IF(C414="","No",IF(COUNTIFS($C$5:C414,C414)=1,"Yes","No")))</f>
        <v>0</v>
      </c>
      <c r="AE414" s="26">
        <f>IF(B414="","",ROUND(SUMIFS(Payments!$G$5:$G$1204,Payments!$H$5:$H$1204,A414,Payments!$Q$5:$Q$1204,"Yes"),2))</f>
        <v>0</v>
      </c>
      <c r="AF414" s="26">
        <f>IF(B414="","",IF(AD414="No",0,ROUND(SUMIFS(Payments!$G$5:$G$1204,Payments!$I$5:$I$1204,C414,Payments!$H$5:$H$1204,"",Payments!$Q$5:$Q$1204,"Yes"),2)))</f>
        <v>0</v>
      </c>
      <c r="AG414" s="26">
        <f>IF(B414="","",ROUND(AE414+AF414,2))</f>
        <v>0</v>
      </c>
      <c r="AH414" s="26">
        <f>IF(B414="","",ROUND(AA414-AG414,2))</f>
        <v>0</v>
      </c>
      <c r="AI414" s="39">
        <f>IF(B414="","",IF(AA414&lt;=0,"No charge",IF(AH414&lt;=0.004,"Paid",IF(AG414&lt;=0.004,"Unpaid","Part paid"))))</f>
        <v>0</v>
      </c>
      <c r="AJ414" s="38">
        <f>IF(B414="","",IF(H414&lt;&gt;"Service","",IF(D414="","No",IF(COUNTIFS($D$5:$D$1204,D414,$B$5:$B$1204,B414,$H$5:$H$1204,"Retail")&gt;0,"Yes","No"))))</f>
        <v>0</v>
      </c>
      <c r="AK414" s="25">
        <f>IF(B414="","",COUNTIFS($Y$5:$Y$1204,"&gt;"&amp;Y414)+COUNTIFS($Y$5:Y414,Y414))</f>
        <v>0</v>
      </c>
      <c r="AL414" s="39">
        <f>IF(B414="","",IF(H414="","Add - what kind of sale is this?",IF(IF(V414&lt;=0,P414="",FALSE),"Check - no price found for this item",IF(F414="","Assign - nobody credited",IF(AH414&gt;0.004,"Unpaid - balance outstanding",IF(AC414&lt;0,"Loss - sold below cost",IF(X414&gt;W414*0.5,"Check - more than half off","OK")))))))</f>
        <v>0</v>
      </c>
    </row>
    <row r="415" spans="1:38">
      <c r="A415" s="28">
        <f>IF(B415="","",SalePrefix&amp;TEXT(ROW()-4,"0000"))</f>
        <v>0</v>
      </c>
      <c r="E415" s="15">
        <f>IF(D415="","",IFERROR(INDEX(Clients!$B$5:$B$504,MATCH(D415,Clients!$A$5:$A$504,0)),"Walk-in"))</f>
        <v>0</v>
      </c>
      <c r="G415" s="15">
        <f>IF(F415="","",IFERROR(INDEX(Staff!$B$5:$B$44,MATCH(F415,Staff!$A$5:$A$44,0)),"House"))</f>
        <v>0</v>
      </c>
      <c r="R415" s="15">
        <f>IF(B415="","",TEXT(B415,"yyyy-mm"))</f>
        <v>0</v>
      </c>
      <c r="S415" s="25">
        <f>IF(B415="","",WEEKNUM(B415,2))</f>
        <v>0</v>
      </c>
      <c r="T415" s="37">
        <f>IF(B415="","",IF(K415="",1,K415))</f>
        <v>0</v>
      </c>
      <c r="U415" s="15">
        <f>IF(B415="","",IF(J415&lt;&gt;"",J415,IF(H415="Retail",IFERROR(INDEX(Inventory!$B$5:$B$304,MATCH(I415,Inventory!$A$5:$A$304,0))&amp;"","Not in Inventory"),IFERROR(INDEX(Services!$B$5:$B$204,MATCH(I415,Services!$A$5:$A$204,0))&amp;"","Not in Services"))))</f>
        <v>0</v>
      </c>
      <c r="V415" s="26">
        <f>IF(B415="","",IF(L415&lt;&gt;"",L415,IF(H415="Retail",IFERROR(INDEX(Inventory!$I$5:$I$304,MATCH(I415,Inventory!$A$5:$A$304,0))*1,0),IFERROR(INDEX(Services!$G$5:$G$204,MATCH(I415,Services!$A$5:$A$204,0))*1,0))))</f>
        <v>0</v>
      </c>
      <c r="W415" s="26">
        <f>IF(B415="","",ROUND(T415*V415,2))</f>
        <v>0</v>
      </c>
      <c r="X415" s="26">
        <f>IF(B415="","",ROUND(IF(M415="",0,W415*M415)+IF(N415="",0,N415),2))</f>
        <v>0</v>
      </c>
      <c r="Y415" s="26">
        <f>IF(B415="","",ROUND(W415-X415-IF(P415="",0,P415),2))</f>
        <v>0</v>
      </c>
      <c r="Z415" s="26">
        <f>IF(B415="","",IF(H415="Retail",IF(TaxOnRetail="Yes",ROUND(Y415*TaxRate,2),0),IF(H415="Service",IF(TaxOnServices="Yes",ROUND(Y415*TaxRate,2),0),0)))</f>
        <v>0</v>
      </c>
      <c r="AA415" s="26">
        <f>IF(B415="","",ROUND(Y415+Z415,2))</f>
        <v>0</v>
      </c>
      <c r="AB415" s="26">
        <f>IF(B415="","",ROUND(T415*IF(H415="Retail",IFERROR(INDEX(Inventory!$H$5:$H$304,MATCH(I415,Inventory!$A$5:$A$304,0))*1,0),IFERROR(INDEX(Services!$Q$5:$Q$204,MATCH(I415,Services!$A$5:$A$204,0))*1,0)),2))</f>
        <v>0</v>
      </c>
      <c r="AC415" s="26">
        <f>IF(B415="","",ROUND(Y415-AB415,2))</f>
        <v>0</v>
      </c>
      <c r="AD415" s="38">
        <f>IF(B415="","",IF(C415="","No",IF(COUNTIFS($C$5:C415,C415)=1,"Yes","No")))</f>
        <v>0</v>
      </c>
      <c r="AE415" s="26">
        <f>IF(B415="","",ROUND(SUMIFS(Payments!$G$5:$G$1204,Payments!$H$5:$H$1204,A415,Payments!$Q$5:$Q$1204,"Yes"),2))</f>
        <v>0</v>
      </c>
      <c r="AF415" s="26">
        <f>IF(B415="","",IF(AD415="No",0,ROUND(SUMIFS(Payments!$G$5:$G$1204,Payments!$I$5:$I$1204,C415,Payments!$H$5:$H$1204,"",Payments!$Q$5:$Q$1204,"Yes"),2)))</f>
        <v>0</v>
      </c>
      <c r="AG415" s="26">
        <f>IF(B415="","",ROUND(AE415+AF415,2))</f>
        <v>0</v>
      </c>
      <c r="AH415" s="26">
        <f>IF(B415="","",ROUND(AA415-AG415,2))</f>
        <v>0</v>
      </c>
      <c r="AI415" s="39">
        <f>IF(B415="","",IF(AA415&lt;=0,"No charge",IF(AH415&lt;=0.004,"Paid",IF(AG415&lt;=0.004,"Unpaid","Part paid"))))</f>
        <v>0</v>
      </c>
      <c r="AJ415" s="38">
        <f>IF(B415="","",IF(H415&lt;&gt;"Service","",IF(D415="","No",IF(COUNTIFS($D$5:$D$1204,D415,$B$5:$B$1204,B415,$H$5:$H$1204,"Retail")&gt;0,"Yes","No"))))</f>
        <v>0</v>
      </c>
      <c r="AK415" s="25">
        <f>IF(B415="","",COUNTIFS($Y$5:$Y$1204,"&gt;"&amp;Y415)+COUNTIFS($Y$5:Y415,Y415))</f>
        <v>0</v>
      </c>
      <c r="AL415" s="39">
        <f>IF(B415="","",IF(H415="","Add - what kind of sale is this?",IF(IF(V415&lt;=0,P415="",FALSE),"Check - no price found for this item",IF(F415="","Assign - nobody credited",IF(AH415&gt;0.004,"Unpaid - balance outstanding",IF(AC415&lt;0,"Loss - sold below cost",IF(X415&gt;W415*0.5,"Check - more than half off","OK")))))))</f>
        <v>0</v>
      </c>
    </row>
    <row r="416" spans="1:38">
      <c r="A416" s="28">
        <f>IF(B416="","",SalePrefix&amp;TEXT(ROW()-4,"0000"))</f>
        <v>0</v>
      </c>
      <c r="E416" s="15">
        <f>IF(D416="","",IFERROR(INDEX(Clients!$B$5:$B$504,MATCH(D416,Clients!$A$5:$A$504,0)),"Walk-in"))</f>
        <v>0</v>
      </c>
      <c r="G416" s="15">
        <f>IF(F416="","",IFERROR(INDEX(Staff!$B$5:$B$44,MATCH(F416,Staff!$A$5:$A$44,0)),"House"))</f>
        <v>0</v>
      </c>
      <c r="R416" s="15">
        <f>IF(B416="","",TEXT(B416,"yyyy-mm"))</f>
        <v>0</v>
      </c>
      <c r="S416" s="25">
        <f>IF(B416="","",WEEKNUM(B416,2))</f>
        <v>0</v>
      </c>
      <c r="T416" s="37">
        <f>IF(B416="","",IF(K416="",1,K416))</f>
        <v>0</v>
      </c>
      <c r="U416" s="15">
        <f>IF(B416="","",IF(J416&lt;&gt;"",J416,IF(H416="Retail",IFERROR(INDEX(Inventory!$B$5:$B$304,MATCH(I416,Inventory!$A$5:$A$304,0))&amp;"","Not in Inventory"),IFERROR(INDEX(Services!$B$5:$B$204,MATCH(I416,Services!$A$5:$A$204,0))&amp;"","Not in Services"))))</f>
        <v>0</v>
      </c>
      <c r="V416" s="26">
        <f>IF(B416="","",IF(L416&lt;&gt;"",L416,IF(H416="Retail",IFERROR(INDEX(Inventory!$I$5:$I$304,MATCH(I416,Inventory!$A$5:$A$304,0))*1,0),IFERROR(INDEX(Services!$G$5:$G$204,MATCH(I416,Services!$A$5:$A$204,0))*1,0))))</f>
        <v>0</v>
      </c>
      <c r="W416" s="26">
        <f>IF(B416="","",ROUND(T416*V416,2))</f>
        <v>0</v>
      </c>
      <c r="X416" s="26">
        <f>IF(B416="","",ROUND(IF(M416="",0,W416*M416)+IF(N416="",0,N416),2))</f>
        <v>0</v>
      </c>
      <c r="Y416" s="26">
        <f>IF(B416="","",ROUND(W416-X416-IF(P416="",0,P416),2))</f>
        <v>0</v>
      </c>
      <c r="Z416" s="26">
        <f>IF(B416="","",IF(H416="Retail",IF(TaxOnRetail="Yes",ROUND(Y416*TaxRate,2),0),IF(H416="Service",IF(TaxOnServices="Yes",ROUND(Y416*TaxRate,2),0),0)))</f>
        <v>0</v>
      </c>
      <c r="AA416" s="26">
        <f>IF(B416="","",ROUND(Y416+Z416,2))</f>
        <v>0</v>
      </c>
      <c r="AB416" s="26">
        <f>IF(B416="","",ROUND(T416*IF(H416="Retail",IFERROR(INDEX(Inventory!$H$5:$H$304,MATCH(I416,Inventory!$A$5:$A$304,0))*1,0),IFERROR(INDEX(Services!$Q$5:$Q$204,MATCH(I416,Services!$A$5:$A$204,0))*1,0)),2))</f>
        <v>0</v>
      </c>
      <c r="AC416" s="26">
        <f>IF(B416="","",ROUND(Y416-AB416,2))</f>
        <v>0</v>
      </c>
      <c r="AD416" s="38">
        <f>IF(B416="","",IF(C416="","No",IF(COUNTIFS($C$5:C416,C416)=1,"Yes","No")))</f>
        <v>0</v>
      </c>
      <c r="AE416" s="26">
        <f>IF(B416="","",ROUND(SUMIFS(Payments!$G$5:$G$1204,Payments!$H$5:$H$1204,A416,Payments!$Q$5:$Q$1204,"Yes"),2))</f>
        <v>0</v>
      </c>
      <c r="AF416" s="26">
        <f>IF(B416="","",IF(AD416="No",0,ROUND(SUMIFS(Payments!$G$5:$G$1204,Payments!$I$5:$I$1204,C416,Payments!$H$5:$H$1204,"",Payments!$Q$5:$Q$1204,"Yes"),2)))</f>
        <v>0</v>
      </c>
      <c r="AG416" s="26">
        <f>IF(B416="","",ROUND(AE416+AF416,2))</f>
        <v>0</v>
      </c>
      <c r="AH416" s="26">
        <f>IF(B416="","",ROUND(AA416-AG416,2))</f>
        <v>0</v>
      </c>
      <c r="AI416" s="39">
        <f>IF(B416="","",IF(AA416&lt;=0,"No charge",IF(AH416&lt;=0.004,"Paid",IF(AG416&lt;=0.004,"Unpaid","Part paid"))))</f>
        <v>0</v>
      </c>
      <c r="AJ416" s="38">
        <f>IF(B416="","",IF(H416&lt;&gt;"Service","",IF(D416="","No",IF(COUNTIFS($D$5:$D$1204,D416,$B$5:$B$1204,B416,$H$5:$H$1204,"Retail")&gt;0,"Yes","No"))))</f>
        <v>0</v>
      </c>
      <c r="AK416" s="25">
        <f>IF(B416="","",COUNTIFS($Y$5:$Y$1204,"&gt;"&amp;Y416)+COUNTIFS($Y$5:Y416,Y416))</f>
        <v>0</v>
      </c>
      <c r="AL416" s="39">
        <f>IF(B416="","",IF(H416="","Add - what kind of sale is this?",IF(IF(V416&lt;=0,P416="",FALSE),"Check - no price found for this item",IF(F416="","Assign - nobody credited",IF(AH416&gt;0.004,"Unpaid - balance outstanding",IF(AC416&lt;0,"Loss - sold below cost",IF(X416&gt;W416*0.5,"Check - more than half off","OK")))))))</f>
        <v>0</v>
      </c>
    </row>
    <row r="417" spans="1:38">
      <c r="A417" s="28">
        <f>IF(B417="","",SalePrefix&amp;TEXT(ROW()-4,"0000"))</f>
        <v>0</v>
      </c>
      <c r="E417" s="15">
        <f>IF(D417="","",IFERROR(INDEX(Clients!$B$5:$B$504,MATCH(D417,Clients!$A$5:$A$504,0)),"Walk-in"))</f>
        <v>0</v>
      </c>
      <c r="G417" s="15">
        <f>IF(F417="","",IFERROR(INDEX(Staff!$B$5:$B$44,MATCH(F417,Staff!$A$5:$A$44,0)),"House"))</f>
        <v>0</v>
      </c>
      <c r="R417" s="15">
        <f>IF(B417="","",TEXT(B417,"yyyy-mm"))</f>
        <v>0</v>
      </c>
      <c r="S417" s="25">
        <f>IF(B417="","",WEEKNUM(B417,2))</f>
        <v>0</v>
      </c>
      <c r="T417" s="37">
        <f>IF(B417="","",IF(K417="",1,K417))</f>
        <v>0</v>
      </c>
      <c r="U417" s="15">
        <f>IF(B417="","",IF(J417&lt;&gt;"",J417,IF(H417="Retail",IFERROR(INDEX(Inventory!$B$5:$B$304,MATCH(I417,Inventory!$A$5:$A$304,0))&amp;"","Not in Inventory"),IFERROR(INDEX(Services!$B$5:$B$204,MATCH(I417,Services!$A$5:$A$204,0))&amp;"","Not in Services"))))</f>
        <v>0</v>
      </c>
      <c r="V417" s="26">
        <f>IF(B417="","",IF(L417&lt;&gt;"",L417,IF(H417="Retail",IFERROR(INDEX(Inventory!$I$5:$I$304,MATCH(I417,Inventory!$A$5:$A$304,0))*1,0),IFERROR(INDEX(Services!$G$5:$G$204,MATCH(I417,Services!$A$5:$A$204,0))*1,0))))</f>
        <v>0</v>
      </c>
      <c r="W417" s="26">
        <f>IF(B417="","",ROUND(T417*V417,2))</f>
        <v>0</v>
      </c>
      <c r="X417" s="26">
        <f>IF(B417="","",ROUND(IF(M417="",0,W417*M417)+IF(N417="",0,N417),2))</f>
        <v>0</v>
      </c>
      <c r="Y417" s="26">
        <f>IF(B417="","",ROUND(W417-X417-IF(P417="",0,P417),2))</f>
        <v>0</v>
      </c>
      <c r="Z417" s="26">
        <f>IF(B417="","",IF(H417="Retail",IF(TaxOnRetail="Yes",ROUND(Y417*TaxRate,2),0),IF(H417="Service",IF(TaxOnServices="Yes",ROUND(Y417*TaxRate,2),0),0)))</f>
        <v>0</v>
      </c>
      <c r="AA417" s="26">
        <f>IF(B417="","",ROUND(Y417+Z417,2))</f>
        <v>0</v>
      </c>
      <c r="AB417" s="26">
        <f>IF(B417="","",ROUND(T417*IF(H417="Retail",IFERROR(INDEX(Inventory!$H$5:$H$304,MATCH(I417,Inventory!$A$5:$A$304,0))*1,0),IFERROR(INDEX(Services!$Q$5:$Q$204,MATCH(I417,Services!$A$5:$A$204,0))*1,0)),2))</f>
        <v>0</v>
      </c>
      <c r="AC417" s="26">
        <f>IF(B417="","",ROUND(Y417-AB417,2))</f>
        <v>0</v>
      </c>
      <c r="AD417" s="38">
        <f>IF(B417="","",IF(C417="","No",IF(COUNTIFS($C$5:C417,C417)=1,"Yes","No")))</f>
        <v>0</v>
      </c>
      <c r="AE417" s="26">
        <f>IF(B417="","",ROUND(SUMIFS(Payments!$G$5:$G$1204,Payments!$H$5:$H$1204,A417,Payments!$Q$5:$Q$1204,"Yes"),2))</f>
        <v>0</v>
      </c>
      <c r="AF417" s="26">
        <f>IF(B417="","",IF(AD417="No",0,ROUND(SUMIFS(Payments!$G$5:$G$1204,Payments!$I$5:$I$1204,C417,Payments!$H$5:$H$1204,"",Payments!$Q$5:$Q$1204,"Yes"),2)))</f>
        <v>0</v>
      </c>
      <c r="AG417" s="26">
        <f>IF(B417="","",ROUND(AE417+AF417,2))</f>
        <v>0</v>
      </c>
      <c r="AH417" s="26">
        <f>IF(B417="","",ROUND(AA417-AG417,2))</f>
        <v>0</v>
      </c>
      <c r="AI417" s="39">
        <f>IF(B417="","",IF(AA417&lt;=0,"No charge",IF(AH417&lt;=0.004,"Paid",IF(AG417&lt;=0.004,"Unpaid","Part paid"))))</f>
        <v>0</v>
      </c>
      <c r="AJ417" s="38">
        <f>IF(B417="","",IF(H417&lt;&gt;"Service","",IF(D417="","No",IF(COUNTIFS($D$5:$D$1204,D417,$B$5:$B$1204,B417,$H$5:$H$1204,"Retail")&gt;0,"Yes","No"))))</f>
        <v>0</v>
      </c>
      <c r="AK417" s="25">
        <f>IF(B417="","",COUNTIFS($Y$5:$Y$1204,"&gt;"&amp;Y417)+COUNTIFS($Y$5:Y417,Y417))</f>
        <v>0</v>
      </c>
      <c r="AL417" s="39">
        <f>IF(B417="","",IF(H417="","Add - what kind of sale is this?",IF(IF(V417&lt;=0,P417="",FALSE),"Check - no price found for this item",IF(F417="","Assign - nobody credited",IF(AH417&gt;0.004,"Unpaid - balance outstanding",IF(AC417&lt;0,"Loss - sold below cost",IF(X417&gt;W417*0.5,"Check - more than half off","OK")))))))</f>
        <v>0</v>
      </c>
    </row>
    <row r="418" spans="1:38">
      <c r="A418" s="28">
        <f>IF(B418="","",SalePrefix&amp;TEXT(ROW()-4,"0000"))</f>
        <v>0</v>
      </c>
      <c r="E418" s="15">
        <f>IF(D418="","",IFERROR(INDEX(Clients!$B$5:$B$504,MATCH(D418,Clients!$A$5:$A$504,0)),"Walk-in"))</f>
        <v>0</v>
      </c>
      <c r="G418" s="15">
        <f>IF(F418="","",IFERROR(INDEX(Staff!$B$5:$B$44,MATCH(F418,Staff!$A$5:$A$44,0)),"House"))</f>
        <v>0</v>
      </c>
      <c r="R418" s="15">
        <f>IF(B418="","",TEXT(B418,"yyyy-mm"))</f>
        <v>0</v>
      </c>
      <c r="S418" s="25">
        <f>IF(B418="","",WEEKNUM(B418,2))</f>
        <v>0</v>
      </c>
      <c r="T418" s="37">
        <f>IF(B418="","",IF(K418="",1,K418))</f>
        <v>0</v>
      </c>
      <c r="U418" s="15">
        <f>IF(B418="","",IF(J418&lt;&gt;"",J418,IF(H418="Retail",IFERROR(INDEX(Inventory!$B$5:$B$304,MATCH(I418,Inventory!$A$5:$A$304,0))&amp;"","Not in Inventory"),IFERROR(INDEX(Services!$B$5:$B$204,MATCH(I418,Services!$A$5:$A$204,0))&amp;"","Not in Services"))))</f>
        <v>0</v>
      </c>
      <c r="V418" s="26">
        <f>IF(B418="","",IF(L418&lt;&gt;"",L418,IF(H418="Retail",IFERROR(INDEX(Inventory!$I$5:$I$304,MATCH(I418,Inventory!$A$5:$A$304,0))*1,0),IFERROR(INDEX(Services!$G$5:$G$204,MATCH(I418,Services!$A$5:$A$204,0))*1,0))))</f>
        <v>0</v>
      </c>
      <c r="W418" s="26">
        <f>IF(B418="","",ROUND(T418*V418,2))</f>
        <v>0</v>
      </c>
      <c r="X418" s="26">
        <f>IF(B418="","",ROUND(IF(M418="",0,W418*M418)+IF(N418="",0,N418),2))</f>
        <v>0</v>
      </c>
      <c r="Y418" s="26">
        <f>IF(B418="","",ROUND(W418-X418-IF(P418="",0,P418),2))</f>
        <v>0</v>
      </c>
      <c r="Z418" s="26">
        <f>IF(B418="","",IF(H418="Retail",IF(TaxOnRetail="Yes",ROUND(Y418*TaxRate,2),0),IF(H418="Service",IF(TaxOnServices="Yes",ROUND(Y418*TaxRate,2),0),0)))</f>
        <v>0</v>
      </c>
      <c r="AA418" s="26">
        <f>IF(B418="","",ROUND(Y418+Z418,2))</f>
        <v>0</v>
      </c>
      <c r="AB418" s="26">
        <f>IF(B418="","",ROUND(T418*IF(H418="Retail",IFERROR(INDEX(Inventory!$H$5:$H$304,MATCH(I418,Inventory!$A$5:$A$304,0))*1,0),IFERROR(INDEX(Services!$Q$5:$Q$204,MATCH(I418,Services!$A$5:$A$204,0))*1,0)),2))</f>
        <v>0</v>
      </c>
      <c r="AC418" s="26">
        <f>IF(B418="","",ROUND(Y418-AB418,2))</f>
        <v>0</v>
      </c>
      <c r="AD418" s="38">
        <f>IF(B418="","",IF(C418="","No",IF(COUNTIFS($C$5:C418,C418)=1,"Yes","No")))</f>
        <v>0</v>
      </c>
      <c r="AE418" s="26">
        <f>IF(B418="","",ROUND(SUMIFS(Payments!$G$5:$G$1204,Payments!$H$5:$H$1204,A418,Payments!$Q$5:$Q$1204,"Yes"),2))</f>
        <v>0</v>
      </c>
      <c r="AF418" s="26">
        <f>IF(B418="","",IF(AD418="No",0,ROUND(SUMIFS(Payments!$G$5:$G$1204,Payments!$I$5:$I$1204,C418,Payments!$H$5:$H$1204,"",Payments!$Q$5:$Q$1204,"Yes"),2)))</f>
        <v>0</v>
      </c>
      <c r="AG418" s="26">
        <f>IF(B418="","",ROUND(AE418+AF418,2))</f>
        <v>0</v>
      </c>
      <c r="AH418" s="26">
        <f>IF(B418="","",ROUND(AA418-AG418,2))</f>
        <v>0</v>
      </c>
      <c r="AI418" s="39">
        <f>IF(B418="","",IF(AA418&lt;=0,"No charge",IF(AH418&lt;=0.004,"Paid",IF(AG418&lt;=0.004,"Unpaid","Part paid"))))</f>
        <v>0</v>
      </c>
      <c r="AJ418" s="38">
        <f>IF(B418="","",IF(H418&lt;&gt;"Service","",IF(D418="","No",IF(COUNTIFS($D$5:$D$1204,D418,$B$5:$B$1204,B418,$H$5:$H$1204,"Retail")&gt;0,"Yes","No"))))</f>
        <v>0</v>
      </c>
      <c r="AK418" s="25">
        <f>IF(B418="","",COUNTIFS($Y$5:$Y$1204,"&gt;"&amp;Y418)+COUNTIFS($Y$5:Y418,Y418))</f>
        <v>0</v>
      </c>
      <c r="AL418" s="39">
        <f>IF(B418="","",IF(H418="","Add - what kind of sale is this?",IF(IF(V418&lt;=0,P418="",FALSE),"Check - no price found for this item",IF(F418="","Assign - nobody credited",IF(AH418&gt;0.004,"Unpaid - balance outstanding",IF(AC418&lt;0,"Loss - sold below cost",IF(X418&gt;W418*0.5,"Check - more than half off","OK")))))))</f>
        <v>0</v>
      </c>
    </row>
    <row r="419" spans="1:38">
      <c r="A419" s="28">
        <f>IF(B419="","",SalePrefix&amp;TEXT(ROW()-4,"0000"))</f>
        <v>0</v>
      </c>
      <c r="E419" s="15">
        <f>IF(D419="","",IFERROR(INDEX(Clients!$B$5:$B$504,MATCH(D419,Clients!$A$5:$A$504,0)),"Walk-in"))</f>
        <v>0</v>
      </c>
      <c r="G419" s="15">
        <f>IF(F419="","",IFERROR(INDEX(Staff!$B$5:$B$44,MATCH(F419,Staff!$A$5:$A$44,0)),"House"))</f>
        <v>0</v>
      </c>
      <c r="R419" s="15">
        <f>IF(B419="","",TEXT(B419,"yyyy-mm"))</f>
        <v>0</v>
      </c>
      <c r="S419" s="25">
        <f>IF(B419="","",WEEKNUM(B419,2))</f>
        <v>0</v>
      </c>
      <c r="T419" s="37">
        <f>IF(B419="","",IF(K419="",1,K419))</f>
        <v>0</v>
      </c>
      <c r="U419" s="15">
        <f>IF(B419="","",IF(J419&lt;&gt;"",J419,IF(H419="Retail",IFERROR(INDEX(Inventory!$B$5:$B$304,MATCH(I419,Inventory!$A$5:$A$304,0))&amp;"","Not in Inventory"),IFERROR(INDEX(Services!$B$5:$B$204,MATCH(I419,Services!$A$5:$A$204,0))&amp;"","Not in Services"))))</f>
        <v>0</v>
      </c>
      <c r="V419" s="26">
        <f>IF(B419="","",IF(L419&lt;&gt;"",L419,IF(H419="Retail",IFERROR(INDEX(Inventory!$I$5:$I$304,MATCH(I419,Inventory!$A$5:$A$304,0))*1,0),IFERROR(INDEX(Services!$G$5:$G$204,MATCH(I419,Services!$A$5:$A$204,0))*1,0))))</f>
        <v>0</v>
      </c>
      <c r="W419" s="26">
        <f>IF(B419="","",ROUND(T419*V419,2))</f>
        <v>0</v>
      </c>
      <c r="X419" s="26">
        <f>IF(B419="","",ROUND(IF(M419="",0,W419*M419)+IF(N419="",0,N419),2))</f>
        <v>0</v>
      </c>
      <c r="Y419" s="26">
        <f>IF(B419="","",ROUND(W419-X419-IF(P419="",0,P419),2))</f>
        <v>0</v>
      </c>
      <c r="Z419" s="26">
        <f>IF(B419="","",IF(H419="Retail",IF(TaxOnRetail="Yes",ROUND(Y419*TaxRate,2),0),IF(H419="Service",IF(TaxOnServices="Yes",ROUND(Y419*TaxRate,2),0),0)))</f>
        <v>0</v>
      </c>
      <c r="AA419" s="26">
        <f>IF(B419="","",ROUND(Y419+Z419,2))</f>
        <v>0</v>
      </c>
      <c r="AB419" s="26">
        <f>IF(B419="","",ROUND(T419*IF(H419="Retail",IFERROR(INDEX(Inventory!$H$5:$H$304,MATCH(I419,Inventory!$A$5:$A$304,0))*1,0),IFERROR(INDEX(Services!$Q$5:$Q$204,MATCH(I419,Services!$A$5:$A$204,0))*1,0)),2))</f>
        <v>0</v>
      </c>
      <c r="AC419" s="26">
        <f>IF(B419="","",ROUND(Y419-AB419,2))</f>
        <v>0</v>
      </c>
      <c r="AD419" s="38">
        <f>IF(B419="","",IF(C419="","No",IF(COUNTIFS($C$5:C419,C419)=1,"Yes","No")))</f>
        <v>0</v>
      </c>
      <c r="AE419" s="26">
        <f>IF(B419="","",ROUND(SUMIFS(Payments!$G$5:$G$1204,Payments!$H$5:$H$1204,A419,Payments!$Q$5:$Q$1204,"Yes"),2))</f>
        <v>0</v>
      </c>
      <c r="AF419" s="26">
        <f>IF(B419="","",IF(AD419="No",0,ROUND(SUMIFS(Payments!$G$5:$G$1204,Payments!$I$5:$I$1204,C419,Payments!$H$5:$H$1204,"",Payments!$Q$5:$Q$1204,"Yes"),2)))</f>
        <v>0</v>
      </c>
      <c r="AG419" s="26">
        <f>IF(B419="","",ROUND(AE419+AF419,2))</f>
        <v>0</v>
      </c>
      <c r="AH419" s="26">
        <f>IF(B419="","",ROUND(AA419-AG419,2))</f>
        <v>0</v>
      </c>
      <c r="AI419" s="39">
        <f>IF(B419="","",IF(AA419&lt;=0,"No charge",IF(AH419&lt;=0.004,"Paid",IF(AG419&lt;=0.004,"Unpaid","Part paid"))))</f>
        <v>0</v>
      </c>
      <c r="AJ419" s="38">
        <f>IF(B419="","",IF(H419&lt;&gt;"Service","",IF(D419="","No",IF(COUNTIFS($D$5:$D$1204,D419,$B$5:$B$1204,B419,$H$5:$H$1204,"Retail")&gt;0,"Yes","No"))))</f>
        <v>0</v>
      </c>
      <c r="AK419" s="25">
        <f>IF(B419="","",COUNTIFS($Y$5:$Y$1204,"&gt;"&amp;Y419)+COUNTIFS($Y$5:Y419,Y419))</f>
        <v>0</v>
      </c>
      <c r="AL419" s="39">
        <f>IF(B419="","",IF(H419="","Add - what kind of sale is this?",IF(IF(V419&lt;=0,P419="",FALSE),"Check - no price found for this item",IF(F419="","Assign - nobody credited",IF(AH419&gt;0.004,"Unpaid - balance outstanding",IF(AC419&lt;0,"Loss - sold below cost",IF(X419&gt;W419*0.5,"Check - more than half off","OK")))))))</f>
        <v>0</v>
      </c>
    </row>
    <row r="420" spans="1:38">
      <c r="A420" s="28">
        <f>IF(B420="","",SalePrefix&amp;TEXT(ROW()-4,"0000"))</f>
        <v>0</v>
      </c>
      <c r="E420" s="15">
        <f>IF(D420="","",IFERROR(INDEX(Clients!$B$5:$B$504,MATCH(D420,Clients!$A$5:$A$504,0)),"Walk-in"))</f>
        <v>0</v>
      </c>
      <c r="G420" s="15">
        <f>IF(F420="","",IFERROR(INDEX(Staff!$B$5:$B$44,MATCH(F420,Staff!$A$5:$A$44,0)),"House"))</f>
        <v>0</v>
      </c>
      <c r="R420" s="15">
        <f>IF(B420="","",TEXT(B420,"yyyy-mm"))</f>
        <v>0</v>
      </c>
      <c r="S420" s="25">
        <f>IF(B420="","",WEEKNUM(B420,2))</f>
        <v>0</v>
      </c>
      <c r="T420" s="37">
        <f>IF(B420="","",IF(K420="",1,K420))</f>
        <v>0</v>
      </c>
      <c r="U420" s="15">
        <f>IF(B420="","",IF(J420&lt;&gt;"",J420,IF(H420="Retail",IFERROR(INDEX(Inventory!$B$5:$B$304,MATCH(I420,Inventory!$A$5:$A$304,0))&amp;"","Not in Inventory"),IFERROR(INDEX(Services!$B$5:$B$204,MATCH(I420,Services!$A$5:$A$204,0))&amp;"","Not in Services"))))</f>
        <v>0</v>
      </c>
      <c r="V420" s="26">
        <f>IF(B420="","",IF(L420&lt;&gt;"",L420,IF(H420="Retail",IFERROR(INDEX(Inventory!$I$5:$I$304,MATCH(I420,Inventory!$A$5:$A$304,0))*1,0),IFERROR(INDEX(Services!$G$5:$G$204,MATCH(I420,Services!$A$5:$A$204,0))*1,0))))</f>
        <v>0</v>
      </c>
      <c r="W420" s="26">
        <f>IF(B420="","",ROUND(T420*V420,2))</f>
        <v>0</v>
      </c>
      <c r="X420" s="26">
        <f>IF(B420="","",ROUND(IF(M420="",0,W420*M420)+IF(N420="",0,N420),2))</f>
        <v>0</v>
      </c>
      <c r="Y420" s="26">
        <f>IF(B420="","",ROUND(W420-X420-IF(P420="",0,P420),2))</f>
        <v>0</v>
      </c>
      <c r="Z420" s="26">
        <f>IF(B420="","",IF(H420="Retail",IF(TaxOnRetail="Yes",ROUND(Y420*TaxRate,2),0),IF(H420="Service",IF(TaxOnServices="Yes",ROUND(Y420*TaxRate,2),0),0)))</f>
        <v>0</v>
      </c>
      <c r="AA420" s="26">
        <f>IF(B420="","",ROUND(Y420+Z420,2))</f>
        <v>0</v>
      </c>
      <c r="AB420" s="26">
        <f>IF(B420="","",ROUND(T420*IF(H420="Retail",IFERROR(INDEX(Inventory!$H$5:$H$304,MATCH(I420,Inventory!$A$5:$A$304,0))*1,0),IFERROR(INDEX(Services!$Q$5:$Q$204,MATCH(I420,Services!$A$5:$A$204,0))*1,0)),2))</f>
        <v>0</v>
      </c>
      <c r="AC420" s="26">
        <f>IF(B420="","",ROUND(Y420-AB420,2))</f>
        <v>0</v>
      </c>
      <c r="AD420" s="38">
        <f>IF(B420="","",IF(C420="","No",IF(COUNTIFS($C$5:C420,C420)=1,"Yes","No")))</f>
        <v>0</v>
      </c>
      <c r="AE420" s="26">
        <f>IF(B420="","",ROUND(SUMIFS(Payments!$G$5:$G$1204,Payments!$H$5:$H$1204,A420,Payments!$Q$5:$Q$1204,"Yes"),2))</f>
        <v>0</v>
      </c>
      <c r="AF420" s="26">
        <f>IF(B420="","",IF(AD420="No",0,ROUND(SUMIFS(Payments!$G$5:$G$1204,Payments!$I$5:$I$1204,C420,Payments!$H$5:$H$1204,"",Payments!$Q$5:$Q$1204,"Yes"),2)))</f>
        <v>0</v>
      </c>
      <c r="AG420" s="26">
        <f>IF(B420="","",ROUND(AE420+AF420,2))</f>
        <v>0</v>
      </c>
      <c r="AH420" s="26">
        <f>IF(B420="","",ROUND(AA420-AG420,2))</f>
        <v>0</v>
      </c>
      <c r="AI420" s="39">
        <f>IF(B420="","",IF(AA420&lt;=0,"No charge",IF(AH420&lt;=0.004,"Paid",IF(AG420&lt;=0.004,"Unpaid","Part paid"))))</f>
        <v>0</v>
      </c>
      <c r="AJ420" s="38">
        <f>IF(B420="","",IF(H420&lt;&gt;"Service","",IF(D420="","No",IF(COUNTIFS($D$5:$D$1204,D420,$B$5:$B$1204,B420,$H$5:$H$1204,"Retail")&gt;0,"Yes","No"))))</f>
        <v>0</v>
      </c>
      <c r="AK420" s="25">
        <f>IF(B420="","",COUNTIFS($Y$5:$Y$1204,"&gt;"&amp;Y420)+COUNTIFS($Y$5:Y420,Y420))</f>
        <v>0</v>
      </c>
      <c r="AL420" s="39">
        <f>IF(B420="","",IF(H420="","Add - what kind of sale is this?",IF(IF(V420&lt;=0,P420="",FALSE),"Check - no price found for this item",IF(F420="","Assign - nobody credited",IF(AH420&gt;0.004,"Unpaid - balance outstanding",IF(AC420&lt;0,"Loss - sold below cost",IF(X420&gt;W420*0.5,"Check - more than half off","OK")))))))</f>
        <v>0</v>
      </c>
    </row>
    <row r="421" spans="1:38">
      <c r="A421" s="28">
        <f>IF(B421="","",SalePrefix&amp;TEXT(ROW()-4,"0000"))</f>
        <v>0</v>
      </c>
      <c r="E421" s="15">
        <f>IF(D421="","",IFERROR(INDEX(Clients!$B$5:$B$504,MATCH(D421,Clients!$A$5:$A$504,0)),"Walk-in"))</f>
        <v>0</v>
      </c>
      <c r="G421" s="15">
        <f>IF(F421="","",IFERROR(INDEX(Staff!$B$5:$B$44,MATCH(F421,Staff!$A$5:$A$44,0)),"House"))</f>
        <v>0</v>
      </c>
      <c r="R421" s="15">
        <f>IF(B421="","",TEXT(B421,"yyyy-mm"))</f>
        <v>0</v>
      </c>
      <c r="S421" s="25">
        <f>IF(B421="","",WEEKNUM(B421,2))</f>
        <v>0</v>
      </c>
      <c r="T421" s="37">
        <f>IF(B421="","",IF(K421="",1,K421))</f>
        <v>0</v>
      </c>
      <c r="U421" s="15">
        <f>IF(B421="","",IF(J421&lt;&gt;"",J421,IF(H421="Retail",IFERROR(INDEX(Inventory!$B$5:$B$304,MATCH(I421,Inventory!$A$5:$A$304,0))&amp;"","Not in Inventory"),IFERROR(INDEX(Services!$B$5:$B$204,MATCH(I421,Services!$A$5:$A$204,0))&amp;"","Not in Services"))))</f>
        <v>0</v>
      </c>
      <c r="V421" s="26">
        <f>IF(B421="","",IF(L421&lt;&gt;"",L421,IF(H421="Retail",IFERROR(INDEX(Inventory!$I$5:$I$304,MATCH(I421,Inventory!$A$5:$A$304,0))*1,0),IFERROR(INDEX(Services!$G$5:$G$204,MATCH(I421,Services!$A$5:$A$204,0))*1,0))))</f>
        <v>0</v>
      </c>
      <c r="W421" s="26">
        <f>IF(B421="","",ROUND(T421*V421,2))</f>
        <v>0</v>
      </c>
      <c r="X421" s="26">
        <f>IF(B421="","",ROUND(IF(M421="",0,W421*M421)+IF(N421="",0,N421),2))</f>
        <v>0</v>
      </c>
      <c r="Y421" s="26">
        <f>IF(B421="","",ROUND(W421-X421-IF(P421="",0,P421),2))</f>
        <v>0</v>
      </c>
      <c r="Z421" s="26">
        <f>IF(B421="","",IF(H421="Retail",IF(TaxOnRetail="Yes",ROUND(Y421*TaxRate,2),0),IF(H421="Service",IF(TaxOnServices="Yes",ROUND(Y421*TaxRate,2),0),0)))</f>
        <v>0</v>
      </c>
      <c r="AA421" s="26">
        <f>IF(B421="","",ROUND(Y421+Z421,2))</f>
        <v>0</v>
      </c>
      <c r="AB421" s="26">
        <f>IF(B421="","",ROUND(T421*IF(H421="Retail",IFERROR(INDEX(Inventory!$H$5:$H$304,MATCH(I421,Inventory!$A$5:$A$304,0))*1,0),IFERROR(INDEX(Services!$Q$5:$Q$204,MATCH(I421,Services!$A$5:$A$204,0))*1,0)),2))</f>
        <v>0</v>
      </c>
      <c r="AC421" s="26">
        <f>IF(B421="","",ROUND(Y421-AB421,2))</f>
        <v>0</v>
      </c>
      <c r="AD421" s="38">
        <f>IF(B421="","",IF(C421="","No",IF(COUNTIFS($C$5:C421,C421)=1,"Yes","No")))</f>
        <v>0</v>
      </c>
      <c r="AE421" s="26">
        <f>IF(B421="","",ROUND(SUMIFS(Payments!$G$5:$G$1204,Payments!$H$5:$H$1204,A421,Payments!$Q$5:$Q$1204,"Yes"),2))</f>
        <v>0</v>
      </c>
      <c r="AF421" s="26">
        <f>IF(B421="","",IF(AD421="No",0,ROUND(SUMIFS(Payments!$G$5:$G$1204,Payments!$I$5:$I$1204,C421,Payments!$H$5:$H$1204,"",Payments!$Q$5:$Q$1204,"Yes"),2)))</f>
        <v>0</v>
      </c>
      <c r="AG421" s="26">
        <f>IF(B421="","",ROUND(AE421+AF421,2))</f>
        <v>0</v>
      </c>
      <c r="AH421" s="26">
        <f>IF(B421="","",ROUND(AA421-AG421,2))</f>
        <v>0</v>
      </c>
      <c r="AI421" s="39">
        <f>IF(B421="","",IF(AA421&lt;=0,"No charge",IF(AH421&lt;=0.004,"Paid",IF(AG421&lt;=0.004,"Unpaid","Part paid"))))</f>
        <v>0</v>
      </c>
      <c r="AJ421" s="38">
        <f>IF(B421="","",IF(H421&lt;&gt;"Service","",IF(D421="","No",IF(COUNTIFS($D$5:$D$1204,D421,$B$5:$B$1204,B421,$H$5:$H$1204,"Retail")&gt;0,"Yes","No"))))</f>
        <v>0</v>
      </c>
      <c r="AK421" s="25">
        <f>IF(B421="","",COUNTIFS($Y$5:$Y$1204,"&gt;"&amp;Y421)+COUNTIFS($Y$5:Y421,Y421))</f>
        <v>0</v>
      </c>
      <c r="AL421" s="39">
        <f>IF(B421="","",IF(H421="","Add - what kind of sale is this?",IF(IF(V421&lt;=0,P421="",FALSE),"Check - no price found for this item",IF(F421="","Assign - nobody credited",IF(AH421&gt;0.004,"Unpaid - balance outstanding",IF(AC421&lt;0,"Loss - sold below cost",IF(X421&gt;W421*0.5,"Check - more than half off","OK")))))))</f>
        <v>0</v>
      </c>
    </row>
    <row r="422" spans="1:38">
      <c r="A422" s="28">
        <f>IF(B422="","",SalePrefix&amp;TEXT(ROW()-4,"0000"))</f>
        <v>0</v>
      </c>
      <c r="E422" s="15">
        <f>IF(D422="","",IFERROR(INDEX(Clients!$B$5:$B$504,MATCH(D422,Clients!$A$5:$A$504,0)),"Walk-in"))</f>
        <v>0</v>
      </c>
      <c r="G422" s="15">
        <f>IF(F422="","",IFERROR(INDEX(Staff!$B$5:$B$44,MATCH(F422,Staff!$A$5:$A$44,0)),"House"))</f>
        <v>0</v>
      </c>
      <c r="R422" s="15">
        <f>IF(B422="","",TEXT(B422,"yyyy-mm"))</f>
        <v>0</v>
      </c>
      <c r="S422" s="25">
        <f>IF(B422="","",WEEKNUM(B422,2))</f>
        <v>0</v>
      </c>
      <c r="T422" s="37">
        <f>IF(B422="","",IF(K422="",1,K422))</f>
        <v>0</v>
      </c>
      <c r="U422" s="15">
        <f>IF(B422="","",IF(J422&lt;&gt;"",J422,IF(H422="Retail",IFERROR(INDEX(Inventory!$B$5:$B$304,MATCH(I422,Inventory!$A$5:$A$304,0))&amp;"","Not in Inventory"),IFERROR(INDEX(Services!$B$5:$B$204,MATCH(I422,Services!$A$5:$A$204,0))&amp;"","Not in Services"))))</f>
        <v>0</v>
      </c>
      <c r="V422" s="26">
        <f>IF(B422="","",IF(L422&lt;&gt;"",L422,IF(H422="Retail",IFERROR(INDEX(Inventory!$I$5:$I$304,MATCH(I422,Inventory!$A$5:$A$304,0))*1,0),IFERROR(INDEX(Services!$G$5:$G$204,MATCH(I422,Services!$A$5:$A$204,0))*1,0))))</f>
        <v>0</v>
      </c>
      <c r="W422" s="26">
        <f>IF(B422="","",ROUND(T422*V422,2))</f>
        <v>0</v>
      </c>
      <c r="X422" s="26">
        <f>IF(B422="","",ROUND(IF(M422="",0,W422*M422)+IF(N422="",0,N422),2))</f>
        <v>0</v>
      </c>
      <c r="Y422" s="26">
        <f>IF(B422="","",ROUND(W422-X422-IF(P422="",0,P422),2))</f>
        <v>0</v>
      </c>
      <c r="Z422" s="26">
        <f>IF(B422="","",IF(H422="Retail",IF(TaxOnRetail="Yes",ROUND(Y422*TaxRate,2),0),IF(H422="Service",IF(TaxOnServices="Yes",ROUND(Y422*TaxRate,2),0),0)))</f>
        <v>0</v>
      </c>
      <c r="AA422" s="26">
        <f>IF(B422="","",ROUND(Y422+Z422,2))</f>
        <v>0</v>
      </c>
      <c r="AB422" s="26">
        <f>IF(B422="","",ROUND(T422*IF(H422="Retail",IFERROR(INDEX(Inventory!$H$5:$H$304,MATCH(I422,Inventory!$A$5:$A$304,0))*1,0),IFERROR(INDEX(Services!$Q$5:$Q$204,MATCH(I422,Services!$A$5:$A$204,0))*1,0)),2))</f>
        <v>0</v>
      </c>
      <c r="AC422" s="26">
        <f>IF(B422="","",ROUND(Y422-AB422,2))</f>
        <v>0</v>
      </c>
      <c r="AD422" s="38">
        <f>IF(B422="","",IF(C422="","No",IF(COUNTIFS($C$5:C422,C422)=1,"Yes","No")))</f>
        <v>0</v>
      </c>
      <c r="AE422" s="26">
        <f>IF(B422="","",ROUND(SUMIFS(Payments!$G$5:$G$1204,Payments!$H$5:$H$1204,A422,Payments!$Q$5:$Q$1204,"Yes"),2))</f>
        <v>0</v>
      </c>
      <c r="AF422" s="26">
        <f>IF(B422="","",IF(AD422="No",0,ROUND(SUMIFS(Payments!$G$5:$G$1204,Payments!$I$5:$I$1204,C422,Payments!$H$5:$H$1204,"",Payments!$Q$5:$Q$1204,"Yes"),2)))</f>
        <v>0</v>
      </c>
      <c r="AG422" s="26">
        <f>IF(B422="","",ROUND(AE422+AF422,2))</f>
        <v>0</v>
      </c>
      <c r="AH422" s="26">
        <f>IF(B422="","",ROUND(AA422-AG422,2))</f>
        <v>0</v>
      </c>
      <c r="AI422" s="39">
        <f>IF(B422="","",IF(AA422&lt;=0,"No charge",IF(AH422&lt;=0.004,"Paid",IF(AG422&lt;=0.004,"Unpaid","Part paid"))))</f>
        <v>0</v>
      </c>
      <c r="AJ422" s="38">
        <f>IF(B422="","",IF(H422&lt;&gt;"Service","",IF(D422="","No",IF(COUNTIFS($D$5:$D$1204,D422,$B$5:$B$1204,B422,$H$5:$H$1204,"Retail")&gt;0,"Yes","No"))))</f>
        <v>0</v>
      </c>
      <c r="AK422" s="25">
        <f>IF(B422="","",COUNTIFS($Y$5:$Y$1204,"&gt;"&amp;Y422)+COUNTIFS($Y$5:Y422,Y422))</f>
        <v>0</v>
      </c>
      <c r="AL422" s="39">
        <f>IF(B422="","",IF(H422="","Add - what kind of sale is this?",IF(IF(V422&lt;=0,P422="",FALSE),"Check - no price found for this item",IF(F422="","Assign - nobody credited",IF(AH422&gt;0.004,"Unpaid - balance outstanding",IF(AC422&lt;0,"Loss - sold below cost",IF(X422&gt;W422*0.5,"Check - more than half off","OK")))))))</f>
        <v>0</v>
      </c>
    </row>
    <row r="423" spans="1:38">
      <c r="A423" s="28">
        <f>IF(B423="","",SalePrefix&amp;TEXT(ROW()-4,"0000"))</f>
        <v>0</v>
      </c>
      <c r="E423" s="15">
        <f>IF(D423="","",IFERROR(INDEX(Clients!$B$5:$B$504,MATCH(D423,Clients!$A$5:$A$504,0)),"Walk-in"))</f>
        <v>0</v>
      </c>
      <c r="G423" s="15">
        <f>IF(F423="","",IFERROR(INDEX(Staff!$B$5:$B$44,MATCH(F423,Staff!$A$5:$A$44,0)),"House"))</f>
        <v>0</v>
      </c>
      <c r="R423" s="15">
        <f>IF(B423="","",TEXT(B423,"yyyy-mm"))</f>
        <v>0</v>
      </c>
      <c r="S423" s="25">
        <f>IF(B423="","",WEEKNUM(B423,2))</f>
        <v>0</v>
      </c>
      <c r="T423" s="37">
        <f>IF(B423="","",IF(K423="",1,K423))</f>
        <v>0</v>
      </c>
      <c r="U423" s="15">
        <f>IF(B423="","",IF(J423&lt;&gt;"",J423,IF(H423="Retail",IFERROR(INDEX(Inventory!$B$5:$B$304,MATCH(I423,Inventory!$A$5:$A$304,0))&amp;"","Not in Inventory"),IFERROR(INDEX(Services!$B$5:$B$204,MATCH(I423,Services!$A$5:$A$204,0))&amp;"","Not in Services"))))</f>
        <v>0</v>
      </c>
      <c r="V423" s="26">
        <f>IF(B423="","",IF(L423&lt;&gt;"",L423,IF(H423="Retail",IFERROR(INDEX(Inventory!$I$5:$I$304,MATCH(I423,Inventory!$A$5:$A$304,0))*1,0),IFERROR(INDEX(Services!$G$5:$G$204,MATCH(I423,Services!$A$5:$A$204,0))*1,0))))</f>
        <v>0</v>
      </c>
      <c r="W423" s="26">
        <f>IF(B423="","",ROUND(T423*V423,2))</f>
        <v>0</v>
      </c>
      <c r="X423" s="26">
        <f>IF(B423="","",ROUND(IF(M423="",0,W423*M423)+IF(N423="",0,N423),2))</f>
        <v>0</v>
      </c>
      <c r="Y423" s="26">
        <f>IF(B423="","",ROUND(W423-X423-IF(P423="",0,P423),2))</f>
        <v>0</v>
      </c>
      <c r="Z423" s="26">
        <f>IF(B423="","",IF(H423="Retail",IF(TaxOnRetail="Yes",ROUND(Y423*TaxRate,2),0),IF(H423="Service",IF(TaxOnServices="Yes",ROUND(Y423*TaxRate,2),0),0)))</f>
        <v>0</v>
      </c>
      <c r="AA423" s="26">
        <f>IF(B423="","",ROUND(Y423+Z423,2))</f>
        <v>0</v>
      </c>
      <c r="AB423" s="26">
        <f>IF(B423="","",ROUND(T423*IF(H423="Retail",IFERROR(INDEX(Inventory!$H$5:$H$304,MATCH(I423,Inventory!$A$5:$A$304,0))*1,0),IFERROR(INDEX(Services!$Q$5:$Q$204,MATCH(I423,Services!$A$5:$A$204,0))*1,0)),2))</f>
        <v>0</v>
      </c>
      <c r="AC423" s="26">
        <f>IF(B423="","",ROUND(Y423-AB423,2))</f>
        <v>0</v>
      </c>
      <c r="AD423" s="38">
        <f>IF(B423="","",IF(C423="","No",IF(COUNTIFS($C$5:C423,C423)=1,"Yes","No")))</f>
        <v>0</v>
      </c>
      <c r="AE423" s="26">
        <f>IF(B423="","",ROUND(SUMIFS(Payments!$G$5:$G$1204,Payments!$H$5:$H$1204,A423,Payments!$Q$5:$Q$1204,"Yes"),2))</f>
        <v>0</v>
      </c>
      <c r="AF423" s="26">
        <f>IF(B423="","",IF(AD423="No",0,ROUND(SUMIFS(Payments!$G$5:$G$1204,Payments!$I$5:$I$1204,C423,Payments!$H$5:$H$1204,"",Payments!$Q$5:$Q$1204,"Yes"),2)))</f>
        <v>0</v>
      </c>
      <c r="AG423" s="26">
        <f>IF(B423="","",ROUND(AE423+AF423,2))</f>
        <v>0</v>
      </c>
      <c r="AH423" s="26">
        <f>IF(B423="","",ROUND(AA423-AG423,2))</f>
        <v>0</v>
      </c>
      <c r="AI423" s="39">
        <f>IF(B423="","",IF(AA423&lt;=0,"No charge",IF(AH423&lt;=0.004,"Paid",IF(AG423&lt;=0.004,"Unpaid","Part paid"))))</f>
        <v>0</v>
      </c>
      <c r="AJ423" s="38">
        <f>IF(B423="","",IF(H423&lt;&gt;"Service","",IF(D423="","No",IF(COUNTIFS($D$5:$D$1204,D423,$B$5:$B$1204,B423,$H$5:$H$1204,"Retail")&gt;0,"Yes","No"))))</f>
        <v>0</v>
      </c>
      <c r="AK423" s="25">
        <f>IF(B423="","",COUNTIFS($Y$5:$Y$1204,"&gt;"&amp;Y423)+COUNTIFS($Y$5:Y423,Y423))</f>
        <v>0</v>
      </c>
      <c r="AL423" s="39">
        <f>IF(B423="","",IF(H423="","Add - what kind of sale is this?",IF(IF(V423&lt;=0,P423="",FALSE),"Check - no price found for this item",IF(F423="","Assign - nobody credited",IF(AH423&gt;0.004,"Unpaid - balance outstanding",IF(AC423&lt;0,"Loss - sold below cost",IF(X423&gt;W423*0.5,"Check - more than half off","OK")))))))</f>
        <v>0</v>
      </c>
    </row>
    <row r="424" spans="1:38">
      <c r="A424" s="28">
        <f>IF(B424="","",SalePrefix&amp;TEXT(ROW()-4,"0000"))</f>
        <v>0</v>
      </c>
      <c r="E424" s="15">
        <f>IF(D424="","",IFERROR(INDEX(Clients!$B$5:$B$504,MATCH(D424,Clients!$A$5:$A$504,0)),"Walk-in"))</f>
        <v>0</v>
      </c>
      <c r="G424" s="15">
        <f>IF(F424="","",IFERROR(INDEX(Staff!$B$5:$B$44,MATCH(F424,Staff!$A$5:$A$44,0)),"House"))</f>
        <v>0</v>
      </c>
      <c r="R424" s="15">
        <f>IF(B424="","",TEXT(B424,"yyyy-mm"))</f>
        <v>0</v>
      </c>
      <c r="S424" s="25">
        <f>IF(B424="","",WEEKNUM(B424,2))</f>
        <v>0</v>
      </c>
      <c r="T424" s="37">
        <f>IF(B424="","",IF(K424="",1,K424))</f>
        <v>0</v>
      </c>
      <c r="U424" s="15">
        <f>IF(B424="","",IF(J424&lt;&gt;"",J424,IF(H424="Retail",IFERROR(INDEX(Inventory!$B$5:$B$304,MATCH(I424,Inventory!$A$5:$A$304,0))&amp;"","Not in Inventory"),IFERROR(INDEX(Services!$B$5:$B$204,MATCH(I424,Services!$A$5:$A$204,0))&amp;"","Not in Services"))))</f>
        <v>0</v>
      </c>
      <c r="V424" s="26">
        <f>IF(B424="","",IF(L424&lt;&gt;"",L424,IF(H424="Retail",IFERROR(INDEX(Inventory!$I$5:$I$304,MATCH(I424,Inventory!$A$5:$A$304,0))*1,0),IFERROR(INDEX(Services!$G$5:$G$204,MATCH(I424,Services!$A$5:$A$204,0))*1,0))))</f>
        <v>0</v>
      </c>
      <c r="W424" s="26">
        <f>IF(B424="","",ROUND(T424*V424,2))</f>
        <v>0</v>
      </c>
      <c r="X424" s="26">
        <f>IF(B424="","",ROUND(IF(M424="",0,W424*M424)+IF(N424="",0,N424),2))</f>
        <v>0</v>
      </c>
      <c r="Y424" s="26">
        <f>IF(B424="","",ROUND(W424-X424-IF(P424="",0,P424),2))</f>
        <v>0</v>
      </c>
      <c r="Z424" s="26">
        <f>IF(B424="","",IF(H424="Retail",IF(TaxOnRetail="Yes",ROUND(Y424*TaxRate,2),0),IF(H424="Service",IF(TaxOnServices="Yes",ROUND(Y424*TaxRate,2),0),0)))</f>
        <v>0</v>
      </c>
      <c r="AA424" s="26">
        <f>IF(B424="","",ROUND(Y424+Z424,2))</f>
        <v>0</v>
      </c>
      <c r="AB424" s="26">
        <f>IF(B424="","",ROUND(T424*IF(H424="Retail",IFERROR(INDEX(Inventory!$H$5:$H$304,MATCH(I424,Inventory!$A$5:$A$304,0))*1,0),IFERROR(INDEX(Services!$Q$5:$Q$204,MATCH(I424,Services!$A$5:$A$204,0))*1,0)),2))</f>
        <v>0</v>
      </c>
      <c r="AC424" s="26">
        <f>IF(B424="","",ROUND(Y424-AB424,2))</f>
        <v>0</v>
      </c>
      <c r="AD424" s="38">
        <f>IF(B424="","",IF(C424="","No",IF(COUNTIFS($C$5:C424,C424)=1,"Yes","No")))</f>
        <v>0</v>
      </c>
      <c r="AE424" s="26">
        <f>IF(B424="","",ROUND(SUMIFS(Payments!$G$5:$G$1204,Payments!$H$5:$H$1204,A424,Payments!$Q$5:$Q$1204,"Yes"),2))</f>
        <v>0</v>
      </c>
      <c r="AF424" s="26">
        <f>IF(B424="","",IF(AD424="No",0,ROUND(SUMIFS(Payments!$G$5:$G$1204,Payments!$I$5:$I$1204,C424,Payments!$H$5:$H$1204,"",Payments!$Q$5:$Q$1204,"Yes"),2)))</f>
        <v>0</v>
      </c>
      <c r="AG424" s="26">
        <f>IF(B424="","",ROUND(AE424+AF424,2))</f>
        <v>0</v>
      </c>
      <c r="AH424" s="26">
        <f>IF(B424="","",ROUND(AA424-AG424,2))</f>
        <v>0</v>
      </c>
      <c r="AI424" s="39">
        <f>IF(B424="","",IF(AA424&lt;=0,"No charge",IF(AH424&lt;=0.004,"Paid",IF(AG424&lt;=0.004,"Unpaid","Part paid"))))</f>
        <v>0</v>
      </c>
      <c r="AJ424" s="38">
        <f>IF(B424="","",IF(H424&lt;&gt;"Service","",IF(D424="","No",IF(COUNTIFS($D$5:$D$1204,D424,$B$5:$B$1204,B424,$H$5:$H$1204,"Retail")&gt;0,"Yes","No"))))</f>
        <v>0</v>
      </c>
      <c r="AK424" s="25">
        <f>IF(B424="","",COUNTIFS($Y$5:$Y$1204,"&gt;"&amp;Y424)+COUNTIFS($Y$5:Y424,Y424))</f>
        <v>0</v>
      </c>
      <c r="AL424" s="39">
        <f>IF(B424="","",IF(H424="","Add - what kind of sale is this?",IF(IF(V424&lt;=0,P424="",FALSE),"Check - no price found for this item",IF(F424="","Assign - nobody credited",IF(AH424&gt;0.004,"Unpaid - balance outstanding",IF(AC424&lt;0,"Loss - sold below cost",IF(X424&gt;W424*0.5,"Check - more than half off","OK")))))))</f>
        <v>0</v>
      </c>
    </row>
    <row r="425" spans="1:38">
      <c r="A425" s="28">
        <f>IF(B425="","",SalePrefix&amp;TEXT(ROW()-4,"0000"))</f>
        <v>0</v>
      </c>
      <c r="E425" s="15">
        <f>IF(D425="","",IFERROR(INDEX(Clients!$B$5:$B$504,MATCH(D425,Clients!$A$5:$A$504,0)),"Walk-in"))</f>
        <v>0</v>
      </c>
      <c r="G425" s="15">
        <f>IF(F425="","",IFERROR(INDEX(Staff!$B$5:$B$44,MATCH(F425,Staff!$A$5:$A$44,0)),"House"))</f>
        <v>0</v>
      </c>
      <c r="R425" s="15">
        <f>IF(B425="","",TEXT(B425,"yyyy-mm"))</f>
        <v>0</v>
      </c>
      <c r="S425" s="25">
        <f>IF(B425="","",WEEKNUM(B425,2))</f>
        <v>0</v>
      </c>
      <c r="T425" s="37">
        <f>IF(B425="","",IF(K425="",1,K425))</f>
        <v>0</v>
      </c>
      <c r="U425" s="15">
        <f>IF(B425="","",IF(J425&lt;&gt;"",J425,IF(H425="Retail",IFERROR(INDEX(Inventory!$B$5:$B$304,MATCH(I425,Inventory!$A$5:$A$304,0))&amp;"","Not in Inventory"),IFERROR(INDEX(Services!$B$5:$B$204,MATCH(I425,Services!$A$5:$A$204,0))&amp;"","Not in Services"))))</f>
        <v>0</v>
      </c>
      <c r="V425" s="26">
        <f>IF(B425="","",IF(L425&lt;&gt;"",L425,IF(H425="Retail",IFERROR(INDEX(Inventory!$I$5:$I$304,MATCH(I425,Inventory!$A$5:$A$304,0))*1,0),IFERROR(INDEX(Services!$G$5:$G$204,MATCH(I425,Services!$A$5:$A$204,0))*1,0))))</f>
        <v>0</v>
      </c>
      <c r="W425" s="26">
        <f>IF(B425="","",ROUND(T425*V425,2))</f>
        <v>0</v>
      </c>
      <c r="X425" s="26">
        <f>IF(B425="","",ROUND(IF(M425="",0,W425*M425)+IF(N425="",0,N425),2))</f>
        <v>0</v>
      </c>
      <c r="Y425" s="26">
        <f>IF(B425="","",ROUND(W425-X425-IF(P425="",0,P425),2))</f>
        <v>0</v>
      </c>
      <c r="Z425" s="26">
        <f>IF(B425="","",IF(H425="Retail",IF(TaxOnRetail="Yes",ROUND(Y425*TaxRate,2),0),IF(H425="Service",IF(TaxOnServices="Yes",ROUND(Y425*TaxRate,2),0),0)))</f>
        <v>0</v>
      </c>
      <c r="AA425" s="26">
        <f>IF(B425="","",ROUND(Y425+Z425,2))</f>
        <v>0</v>
      </c>
      <c r="AB425" s="26">
        <f>IF(B425="","",ROUND(T425*IF(H425="Retail",IFERROR(INDEX(Inventory!$H$5:$H$304,MATCH(I425,Inventory!$A$5:$A$304,0))*1,0),IFERROR(INDEX(Services!$Q$5:$Q$204,MATCH(I425,Services!$A$5:$A$204,0))*1,0)),2))</f>
        <v>0</v>
      </c>
      <c r="AC425" s="26">
        <f>IF(B425="","",ROUND(Y425-AB425,2))</f>
        <v>0</v>
      </c>
      <c r="AD425" s="38">
        <f>IF(B425="","",IF(C425="","No",IF(COUNTIFS($C$5:C425,C425)=1,"Yes","No")))</f>
        <v>0</v>
      </c>
      <c r="AE425" s="26">
        <f>IF(B425="","",ROUND(SUMIFS(Payments!$G$5:$G$1204,Payments!$H$5:$H$1204,A425,Payments!$Q$5:$Q$1204,"Yes"),2))</f>
        <v>0</v>
      </c>
      <c r="AF425" s="26">
        <f>IF(B425="","",IF(AD425="No",0,ROUND(SUMIFS(Payments!$G$5:$G$1204,Payments!$I$5:$I$1204,C425,Payments!$H$5:$H$1204,"",Payments!$Q$5:$Q$1204,"Yes"),2)))</f>
        <v>0</v>
      </c>
      <c r="AG425" s="26">
        <f>IF(B425="","",ROUND(AE425+AF425,2))</f>
        <v>0</v>
      </c>
      <c r="AH425" s="26">
        <f>IF(B425="","",ROUND(AA425-AG425,2))</f>
        <v>0</v>
      </c>
      <c r="AI425" s="39">
        <f>IF(B425="","",IF(AA425&lt;=0,"No charge",IF(AH425&lt;=0.004,"Paid",IF(AG425&lt;=0.004,"Unpaid","Part paid"))))</f>
        <v>0</v>
      </c>
      <c r="AJ425" s="38">
        <f>IF(B425="","",IF(H425&lt;&gt;"Service","",IF(D425="","No",IF(COUNTIFS($D$5:$D$1204,D425,$B$5:$B$1204,B425,$H$5:$H$1204,"Retail")&gt;0,"Yes","No"))))</f>
        <v>0</v>
      </c>
      <c r="AK425" s="25">
        <f>IF(B425="","",COUNTIFS($Y$5:$Y$1204,"&gt;"&amp;Y425)+COUNTIFS($Y$5:Y425,Y425))</f>
        <v>0</v>
      </c>
      <c r="AL425" s="39">
        <f>IF(B425="","",IF(H425="","Add - what kind of sale is this?",IF(IF(V425&lt;=0,P425="",FALSE),"Check - no price found for this item",IF(F425="","Assign - nobody credited",IF(AH425&gt;0.004,"Unpaid - balance outstanding",IF(AC425&lt;0,"Loss - sold below cost",IF(X425&gt;W425*0.5,"Check - more than half off","OK")))))))</f>
        <v>0</v>
      </c>
    </row>
    <row r="426" spans="1:38">
      <c r="A426" s="28">
        <f>IF(B426="","",SalePrefix&amp;TEXT(ROW()-4,"0000"))</f>
        <v>0</v>
      </c>
      <c r="E426" s="15">
        <f>IF(D426="","",IFERROR(INDEX(Clients!$B$5:$B$504,MATCH(D426,Clients!$A$5:$A$504,0)),"Walk-in"))</f>
        <v>0</v>
      </c>
      <c r="G426" s="15">
        <f>IF(F426="","",IFERROR(INDEX(Staff!$B$5:$B$44,MATCH(F426,Staff!$A$5:$A$44,0)),"House"))</f>
        <v>0</v>
      </c>
      <c r="R426" s="15">
        <f>IF(B426="","",TEXT(B426,"yyyy-mm"))</f>
        <v>0</v>
      </c>
      <c r="S426" s="25">
        <f>IF(B426="","",WEEKNUM(B426,2))</f>
        <v>0</v>
      </c>
      <c r="T426" s="37">
        <f>IF(B426="","",IF(K426="",1,K426))</f>
        <v>0</v>
      </c>
      <c r="U426" s="15">
        <f>IF(B426="","",IF(J426&lt;&gt;"",J426,IF(H426="Retail",IFERROR(INDEX(Inventory!$B$5:$B$304,MATCH(I426,Inventory!$A$5:$A$304,0))&amp;"","Not in Inventory"),IFERROR(INDEX(Services!$B$5:$B$204,MATCH(I426,Services!$A$5:$A$204,0))&amp;"","Not in Services"))))</f>
        <v>0</v>
      </c>
      <c r="V426" s="26">
        <f>IF(B426="","",IF(L426&lt;&gt;"",L426,IF(H426="Retail",IFERROR(INDEX(Inventory!$I$5:$I$304,MATCH(I426,Inventory!$A$5:$A$304,0))*1,0),IFERROR(INDEX(Services!$G$5:$G$204,MATCH(I426,Services!$A$5:$A$204,0))*1,0))))</f>
        <v>0</v>
      </c>
      <c r="W426" s="26">
        <f>IF(B426="","",ROUND(T426*V426,2))</f>
        <v>0</v>
      </c>
      <c r="X426" s="26">
        <f>IF(B426="","",ROUND(IF(M426="",0,W426*M426)+IF(N426="",0,N426),2))</f>
        <v>0</v>
      </c>
      <c r="Y426" s="26">
        <f>IF(B426="","",ROUND(W426-X426-IF(P426="",0,P426),2))</f>
        <v>0</v>
      </c>
      <c r="Z426" s="26">
        <f>IF(B426="","",IF(H426="Retail",IF(TaxOnRetail="Yes",ROUND(Y426*TaxRate,2),0),IF(H426="Service",IF(TaxOnServices="Yes",ROUND(Y426*TaxRate,2),0),0)))</f>
        <v>0</v>
      </c>
      <c r="AA426" s="26">
        <f>IF(B426="","",ROUND(Y426+Z426,2))</f>
        <v>0</v>
      </c>
      <c r="AB426" s="26">
        <f>IF(B426="","",ROUND(T426*IF(H426="Retail",IFERROR(INDEX(Inventory!$H$5:$H$304,MATCH(I426,Inventory!$A$5:$A$304,0))*1,0),IFERROR(INDEX(Services!$Q$5:$Q$204,MATCH(I426,Services!$A$5:$A$204,0))*1,0)),2))</f>
        <v>0</v>
      </c>
      <c r="AC426" s="26">
        <f>IF(B426="","",ROUND(Y426-AB426,2))</f>
        <v>0</v>
      </c>
      <c r="AD426" s="38">
        <f>IF(B426="","",IF(C426="","No",IF(COUNTIFS($C$5:C426,C426)=1,"Yes","No")))</f>
        <v>0</v>
      </c>
      <c r="AE426" s="26">
        <f>IF(B426="","",ROUND(SUMIFS(Payments!$G$5:$G$1204,Payments!$H$5:$H$1204,A426,Payments!$Q$5:$Q$1204,"Yes"),2))</f>
        <v>0</v>
      </c>
      <c r="AF426" s="26">
        <f>IF(B426="","",IF(AD426="No",0,ROUND(SUMIFS(Payments!$G$5:$G$1204,Payments!$I$5:$I$1204,C426,Payments!$H$5:$H$1204,"",Payments!$Q$5:$Q$1204,"Yes"),2)))</f>
        <v>0</v>
      </c>
      <c r="AG426" s="26">
        <f>IF(B426="","",ROUND(AE426+AF426,2))</f>
        <v>0</v>
      </c>
      <c r="AH426" s="26">
        <f>IF(B426="","",ROUND(AA426-AG426,2))</f>
        <v>0</v>
      </c>
      <c r="AI426" s="39">
        <f>IF(B426="","",IF(AA426&lt;=0,"No charge",IF(AH426&lt;=0.004,"Paid",IF(AG426&lt;=0.004,"Unpaid","Part paid"))))</f>
        <v>0</v>
      </c>
      <c r="AJ426" s="38">
        <f>IF(B426="","",IF(H426&lt;&gt;"Service","",IF(D426="","No",IF(COUNTIFS($D$5:$D$1204,D426,$B$5:$B$1204,B426,$H$5:$H$1204,"Retail")&gt;0,"Yes","No"))))</f>
        <v>0</v>
      </c>
      <c r="AK426" s="25">
        <f>IF(B426="","",COUNTIFS($Y$5:$Y$1204,"&gt;"&amp;Y426)+COUNTIFS($Y$5:Y426,Y426))</f>
        <v>0</v>
      </c>
      <c r="AL426" s="39">
        <f>IF(B426="","",IF(H426="","Add - what kind of sale is this?",IF(IF(V426&lt;=0,P426="",FALSE),"Check - no price found for this item",IF(F426="","Assign - nobody credited",IF(AH426&gt;0.004,"Unpaid - balance outstanding",IF(AC426&lt;0,"Loss - sold below cost",IF(X426&gt;W426*0.5,"Check - more than half off","OK")))))))</f>
        <v>0</v>
      </c>
    </row>
    <row r="427" spans="1:38">
      <c r="A427" s="28">
        <f>IF(B427="","",SalePrefix&amp;TEXT(ROW()-4,"0000"))</f>
        <v>0</v>
      </c>
      <c r="E427" s="15">
        <f>IF(D427="","",IFERROR(INDEX(Clients!$B$5:$B$504,MATCH(D427,Clients!$A$5:$A$504,0)),"Walk-in"))</f>
        <v>0</v>
      </c>
      <c r="G427" s="15">
        <f>IF(F427="","",IFERROR(INDEX(Staff!$B$5:$B$44,MATCH(F427,Staff!$A$5:$A$44,0)),"House"))</f>
        <v>0</v>
      </c>
      <c r="R427" s="15">
        <f>IF(B427="","",TEXT(B427,"yyyy-mm"))</f>
        <v>0</v>
      </c>
      <c r="S427" s="25">
        <f>IF(B427="","",WEEKNUM(B427,2))</f>
        <v>0</v>
      </c>
      <c r="T427" s="37">
        <f>IF(B427="","",IF(K427="",1,K427))</f>
        <v>0</v>
      </c>
      <c r="U427" s="15">
        <f>IF(B427="","",IF(J427&lt;&gt;"",J427,IF(H427="Retail",IFERROR(INDEX(Inventory!$B$5:$B$304,MATCH(I427,Inventory!$A$5:$A$304,0))&amp;"","Not in Inventory"),IFERROR(INDEX(Services!$B$5:$B$204,MATCH(I427,Services!$A$5:$A$204,0))&amp;"","Not in Services"))))</f>
        <v>0</v>
      </c>
      <c r="V427" s="26">
        <f>IF(B427="","",IF(L427&lt;&gt;"",L427,IF(H427="Retail",IFERROR(INDEX(Inventory!$I$5:$I$304,MATCH(I427,Inventory!$A$5:$A$304,0))*1,0),IFERROR(INDEX(Services!$G$5:$G$204,MATCH(I427,Services!$A$5:$A$204,0))*1,0))))</f>
        <v>0</v>
      </c>
      <c r="W427" s="26">
        <f>IF(B427="","",ROUND(T427*V427,2))</f>
        <v>0</v>
      </c>
      <c r="X427" s="26">
        <f>IF(B427="","",ROUND(IF(M427="",0,W427*M427)+IF(N427="",0,N427),2))</f>
        <v>0</v>
      </c>
      <c r="Y427" s="26">
        <f>IF(B427="","",ROUND(W427-X427-IF(P427="",0,P427),2))</f>
        <v>0</v>
      </c>
      <c r="Z427" s="26">
        <f>IF(B427="","",IF(H427="Retail",IF(TaxOnRetail="Yes",ROUND(Y427*TaxRate,2),0),IF(H427="Service",IF(TaxOnServices="Yes",ROUND(Y427*TaxRate,2),0),0)))</f>
        <v>0</v>
      </c>
      <c r="AA427" s="26">
        <f>IF(B427="","",ROUND(Y427+Z427,2))</f>
        <v>0</v>
      </c>
      <c r="AB427" s="26">
        <f>IF(B427="","",ROUND(T427*IF(H427="Retail",IFERROR(INDEX(Inventory!$H$5:$H$304,MATCH(I427,Inventory!$A$5:$A$304,0))*1,0),IFERROR(INDEX(Services!$Q$5:$Q$204,MATCH(I427,Services!$A$5:$A$204,0))*1,0)),2))</f>
        <v>0</v>
      </c>
      <c r="AC427" s="26">
        <f>IF(B427="","",ROUND(Y427-AB427,2))</f>
        <v>0</v>
      </c>
      <c r="AD427" s="38">
        <f>IF(B427="","",IF(C427="","No",IF(COUNTIFS($C$5:C427,C427)=1,"Yes","No")))</f>
        <v>0</v>
      </c>
      <c r="AE427" s="26">
        <f>IF(B427="","",ROUND(SUMIFS(Payments!$G$5:$G$1204,Payments!$H$5:$H$1204,A427,Payments!$Q$5:$Q$1204,"Yes"),2))</f>
        <v>0</v>
      </c>
      <c r="AF427" s="26">
        <f>IF(B427="","",IF(AD427="No",0,ROUND(SUMIFS(Payments!$G$5:$G$1204,Payments!$I$5:$I$1204,C427,Payments!$H$5:$H$1204,"",Payments!$Q$5:$Q$1204,"Yes"),2)))</f>
        <v>0</v>
      </c>
      <c r="AG427" s="26">
        <f>IF(B427="","",ROUND(AE427+AF427,2))</f>
        <v>0</v>
      </c>
      <c r="AH427" s="26">
        <f>IF(B427="","",ROUND(AA427-AG427,2))</f>
        <v>0</v>
      </c>
      <c r="AI427" s="39">
        <f>IF(B427="","",IF(AA427&lt;=0,"No charge",IF(AH427&lt;=0.004,"Paid",IF(AG427&lt;=0.004,"Unpaid","Part paid"))))</f>
        <v>0</v>
      </c>
      <c r="AJ427" s="38">
        <f>IF(B427="","",IF(H427&lt;&gt;"Service","",IF(D427="","No",IF(COUNTIFS($D$5:$D$1204,D427,$B$5:$B$1204,B427,$H$5:$H$1204,"Retail")&gt;0,"Yes","No"))))</f>
        <v>0</v>
      </c>
      <c r="AK427" s="25">
        <f>IF(B427="","",COUNTIFS($Y$5:$Y$1204,"&gt;"&amp;Y427)+COUNTIFS($Y$5:Y427,Y427))</f>
        <v>0</v>
      </c>
      <c r="AL427" s="39">
        <f>IF(B427="","",IF(H427="","Add - what kind of sale is this?",IF(IF(V427&lt;=0,P427="",FALSE),"Check - no price found for this item",IF(F427="","Assign - nobody credited",IF(AH427&gt;0.004,"Unpaid - balance outstanding",IF(AC427&lt;0,"Loss - sold below cost",IF(X427&gt;W427*0.5,"Check - more than half off","OK")))))))</f>
        <v>0</v>
      </c>
    </row>
    <row r="428" spans="1:38">
      <c r="A428" s="28">
        <f>IF(B428="","",SalePrefix&amp;TEXT(ROW()-4,"0000"))</f>
        <v>0</v>
      </c>
      <c r="E428" s="15">
        <f>IF(D428="","",IFERROR(INDEX(Clients!$B$5:$B$504,MATCH(D428,Clients!$A$5:$A$504,0)),"Walk-in"))</f>
        <v>0</v>
      </c>
      <c r="G428" s="15">
        <f>IF(F428="","",IFERROR(INDEX(Staff!$B$5:$B$44,MATCH(F428,Staff!$A$5:$A$44,0)),"House"))</f>
        <v>0</v>
      </c>
      <c r="R428" s="15">
        <f>IF(B428="","",TEXT(B428,"yyyy-mm"))</f>
        <v>0</v>
      </c>
      <c r="S428" s="25">
        <f>IF(B428="","",WEEKNUM(B428,2))</f>
        <v>0</v>
      </c>
      <c r="T428" s="37">
        <f>IF(B428="","",IF(K428="",1,K428))</f>
        <v>0</v>
      </c>
      <c r="U428" s="15">
        <f>IF(B428="","",IF(J428&lt;&gt;"",J428,IF(H428="Retail",IFERROR(INDEX(Inventory!$B$5:$B$304,MATCH(I428,Inventory!$A$5:$A$304,0))&amp;"","Not in Inventory"),IFERROR(INDEX(Services!$B$5:$B$204,MATCH(I428,Services!$A$5:$A$204,0))&amp;"","Not in Services"))))</f>
        <v>0</v>
      </c>
      <c r="V428" s="26">
        <f>IF(B428="","",IF(L428&lt;&gt;"",L428,IF(H428="Retail",IFERROR(INDEX(Inventory!$I$5:$I$304,MATCH(I428,Inventory!$A$5:$A$304,0))*1,0),IFERROR(INDEX(Services!$G$5:$G$204,MATCH(I428,Services!$A$5:$A$204,0))*1,0))))</f>
        <v>0</v>
      </c>
      <c r="W428" s="26">
        <f>IF(B428="","",ROUND(T428*V428,2))</f>
        <v>0</v>
      </c>
      <c r="X428" s="26">
        <f>IF(B428="","",ROUND(IF(M428="",0,W428*M428)+IF(N428="",0,N428),2))</f>
        <v>0</v>
      </c>
      <c r="Y428" s="26">
        <f>IF(B428="","",ROUND(W428-X428-IF(P428="",0,P428),2))</f>
        <v>0</v>
      </c>
      <c r="Z428" s="26">
        <f>IF(B428="","",IF(H428="Retail",IF(TaxOnRetail="Yes",ROUND(Y428*TaxRate,2),0),IF(H428="Service",IF(TaxOnServices="Yes",ROUND(Y428*TaxRate,2),0),0)))</f>
        <v>0</v>
      </c>
      <c r="AA428" s="26">
        <f>IF(B428="","",ROUND(Y428+Z428,2))</f>
        <v>0</v>
      </c>
      <c r="AB428" s="26">
        <f>IF(B428="","",ROUND(T428*IF(H428="Retail",IFERROR(INDEX(Inventory!$H$5:$H$304,MATCH(I428,Inventory!$A$5:$A$304,0))*1,0),IFERROR(INDEX(Services!$Q$5:$Q$204,MATCH(I428,Services!$A$5:$A$204,0))*1,0)),2))</f>
        <v>0</v>
      </c>
      <c r="AC428" s="26">
        <f>IF(B428="","",ROUND(Y428-AB428,2))</f>
        <v>0</v>
      </c>
      <c r="AD428" s="38">
        <f>IF(B428="","",IF(C428="","No",IF(COUNTIFS($C$5:C428,C428)=1,"Yes","No")))</f>
        <v>0</v>
      </c>
      <c r="AE428" s="26">
        <f>IF(B428="","",ROUND(SUMIFS(Payments!$G$5:$G$1204,Payments!$H$5:$H$1204,A428,Payments!$Q$5:$Q$1204,"Yes"),2))</f>
        <v>0</v>
      </c>
      <c r="AF428" s="26">
        <f>IF(B428="","",IF(AD428="No",0,ROUND(SUMIFS(Payments!$G$5:$G$1204,Payments!$I$5:$I$1204,C428,Payments!$H$5:$H$1204,"",Payments!$Q$5:$Q$1204,"Yes"),2)))</f>
        <v>0</v>
      </c>
      <c r="AG428" s="26">
        <f>IF(B428="","",ROUND(AE428+AF428,2))</f>
        <v>0</v>
      </c>
      <c r="AH428" s="26">
        <f>IF(B428="","",ROUND(AA428-AG428,2))</f>
        <v>0</v>
      </c>
      <c r="AI428" s="39">
        <f>IF(B428="","",IF(AA428&lt;=0,"No charge",IF(AH428&lt;=0.004,"Paid",IF(AG428&lt;=0.004,"Unpaid","Part paid"))))</f>
        <v>0</v>
      </c>
      <c r="AJ428" s="38">
        <f>IF(B428="","",IF(H428&lt;&gt;"Service","",IF(D428="","No",IF(COUNTIFS($D$5:$D$1204,D428,$B$5:$B$1204,B428,$H$5:$H$1204,"Retail")&gt;0,"Yes","No"))))</f>
        <v>0</v>
      </c>
      <c r="AK428" s="25">
        <f>IF(B428="","",COUNTIFS($Y$5:$Y$1204,"&gt;"&amp;Y428)+COUNTIFS($Y$5:Y428,Y428))</f>
        <v>0</v>
      </c>
      <c r="AL428" s="39">
        <f>IF(B428="","",IF(H428="","Add - what kind of sale is this?",IF(IF(V428&lt;=0,P428="",FALSE),"Check - no price found for this item",IF(F428="","Assign - nobody credited",IF(AH428&gt;0.004,"Unpaid - balance outstanding",IF(AC428&lt;0,"Loss - sold below cost",IF(X428&gt;W428*0.5,"Check - more than half off","OK")))))))</f>
        <v>0</v>
      </c>
    </row>
    <row r="429" spans="1:38">
      <c r="A429" s="28">
        <f>IF(B429="","",SalePrefix&amp;TEXT(ROW()-4,"0000"))</f>
        <v>0</v>
      </c>
      <c r="E429" s="15">
        <f>IF(D429="","",IFERROR(INDEX(Clients!$B$5:$B$504,MATCH(D429,Clients!$A$5:$A$504,0)),"Walk-in"))</f>
        <v>0</v>
      </c>
      <c r="G429" s="15">
        <f>IF(F429="","",IFERROR(INDEX(Staff!$B$5:$B$44,MATCH(F429,Staff!$A$5:$A$44,0)),"House"))</f>
        <v>0</v>
      </c>
      <c r="R429" s="15">
        <f>IF(B429="","",TEXT(B429,"yyyy-mm"))</f>
        <v>0</v>
      </c>
      <c r="S429" s="25">
        <f>IF(B429="","",WEEKNUM(B429,2))</f>
        <v>0</v>
      </c>
      <c r="T429" s="37">
        <f>IF(B429="","",IF(K429="",1,K429))</f>
        <v>0</v>
      </c>
      <c r="U429" s="15">
        <f>IF(B429="","",IF(J429&lt;&gt;"",J429,IF(H429="Retail",IFERROR(INDEX(Inventory!$B$5:$B$304,MATCH(I429,Inventory!$A$5:$A$304,0))&amp;"","Not in Inventory"),IFERROR(INDEX(Services!$B$5:$B$204,MATCH(I429,Services!$A$5:$A$204,0))&amp;"","Not in Services"))))</f>
        <v>0</v>
      </c>
      <c r="V429" s="26">
        <f>IF(B429="","",IF(L429&lt;&gt;"",L429,IF(H429="Retail",IFERROR(INDEX(Inventory!$I$5:$I$304,MATCH(I429,Inventory!$A$5:$A$304,0))*1,0),IFERROR(INDEX(Services!$G$5:$G$204,MATCH(I429,Services!$A$5:$A$204,0))*1,0))))</f>
        <v>0</v>
      </c>
      <c r="W429" s="26">
        <f>IF(B429="","",ROUND(T429*V429,2))</f>
        <v>0</v>
      </c>
      <c r="X429" s="26">
        <f>IF(B429="","",ROUND(IF(M429="",0,W429*M429)+IF(N429="",0,N429),2))</f>
        <v>0</v>
      </c>
      <c r="Y429" s="26">
        <f>IF(B429="","",ROUND(W429-X429-IF(P429="",0,P429),2))</f>
        <v>0</v>
      </c>
      <c r="Z429" s="26">
        <f>IF(B429="","",IF(H429="Retail",IF(TaxOnRetail="Yes",ROUND(Y429*TaxRate,2),0),IF(H429="Service",IF(TaxOnServices="Yes",ROUND(Y429*TaxRate,2),0),0)))</f>
        <v>0</v>
      </c>
      <c r="AA429" s="26">
        <f>IF(B429="","",ROUND(Y429+Z429,2))</f>
        <v>0</v>
      </c>
      <c r="AB429" s="26">
        <f>IF(B429="","",ROUND(T429*IF(H429="Retail",IFERROR(INDEX(Inventory!$H$5:$H$304,MATCH(I429,Inventory!$A$5:$A$304,0))*1,0),IFERROR(INDEX(Services!$Q$5:$Q$204,MATCH(I429,Services!$A$5:$A$204,0))*1,0)),2))</f>
        <v>0</v>
      </c>
      <c r="AC429" s="26">
        <f>IF(B429="","",ROUND(Y429-AB429,2))</f>
        <v>0</v>
      </c>
      <c r="AD429" s="38">
        <f>IF(B429="","",IF(C429="","No",IF(COUNTIFS($C$5:C429,C429)=1,"Yes","No")))</f>
        <v>0</v>
      </c>
      <c r="AE429" s="26">
        <f>IF(B429="","",ROUND(SUMIFS(Payments!$G$5:$G$1204,Payments!$H$5:$H$1204,A429,Payments!$Q$5:$Q$1204,"Yes"),2))</f>
        <v>0</v>
      </c>
      <c r="AF429" s="26">
        <f>IF(B429="","",IF(AD429="No",0,ROUND(SUMIFS(Payments!$G$5:$G$1204,Payments!$I$5:$I$1204,C429,Payments!$H$5:$H$1204,"",Payments!$Q$5:$Q$1204,"Yes"),2)))</f>
        <v>0</v>
      </c>
      <c r="AG429" s="26">
        <f>IF(B429="","",ROUND(AE429+AF429,2))</f>
        <v>0</v>
      </c>
      <c r="AH429" s="26">
        <f>IF(B429="","",ROUND(AA429-AG429,2))</f>
        <v>0</v>
      </c>
      <c r="AI429" s="39">
        <f>IF(B429="","",IF(AA429&lt;=0,"No charge",IF(AH429&lt;=0.004,"Paid",IF(AG429&lt;=0.004,"Unpaid","Part paid"))))</f>
        <v>0</v>
      </c>
      <c r="AJ429" s="38">
        <f>IF(B429="","",IF(H429&lt;&gt;"Service","",IF(D429="","No",IF(COUNTIFS($D$5:$D$1204,D429,$B$5:$B$1204,B429,$H$5:$H$1204,"Retail")&gt;0,"Yes","No"))))</f>
        <v>0</v>
      </c>
      <c r="AK429" s="25">
        <f>IF(B429="","",COUNTIFS($Y$5:$Y$1204,"&gt;"&amp;Y429)+COUNTIFS($Y$5:Y429,Y429))</f>
        <v>0</v>
      </c>
      <c r="AL429" s="39">
        <f>IF(B429="","",IF(H429="","Add - what kind of sale is this?",IF(IF(V429&lt;=0,P429="",FALSE),"Check - no price found for this item",IF(F429="","Assign - nobody credited",IF(AH429&gt;0.004,"Unpaid - balance outstanding",IF(AC429&lt;0,"Loss - sold below cost",IF(X429&gt;W429*0.5,"Check - more than half off","OK")))))))</f>
        <v>0</v>
      </c>
    </row>
    <row r="430" spans="1:38">
      <c r="A430" s="28">
        <f>IF(B430="","",SalePrefix&amp;TEXT(ROW()-4,"0000"))</f>
        <v>0</v>
      </c>
      <c r="E430" s="15">
        <f>IF(D430="","",IFERROR(INDEX(Clients!$B$5:$B$504,MATCH(D430,Clients!$A$5:$A$504,0)),"Walk-in"))</f>
        <v>0</v>
      </c>
      <c r="G430" s="15">
        <f>IF(F430="","",IFERROR(INDEX(Staff!$B$5:$B$44,MATCH(F430,Staff!$A$5:$A$44,0)),"House"))</f>
        <v>0</v>
      </c>
      <c r="R430" s="15">
        <f>IF(B430="","",TEXT(B430,"yyyy-mm"))</f>
        <v>0</v>
      </c>
      <c r="S430" s="25">
        <f>IF(B430="","",WEEKNUM(B430,2))</f>
        <v>0</v>
      </c>
      <c r="T430" s="37">
        <f>IF(B430="","",IF(K430="",1,K430))</f>
        <v>0</v>
      </c>
      <c r="U430" s="15">
        <f>IF(B430="","",IF(J430&lt;&gt;"",J430,IF(H430="Retail",IFERROR(INDEX(Inventory!$B$5:$B$304,MATCH(I430,Inventory!$A$5:$A$304,0))&amp;"","Not in Inventory"),IFERROR(INDEX(Services!$B$5:$B$204,MATCH(I430,Services!$A$5:$A$204,0))&amp;"","Not in Services"))))</f>
        <v>0</v>
      </c>
      <c r="V430" s="26">
        <f>IF(B430="","",IF(L430&lt;&gt;"",L430,IF(H430="Retail",IFERROR(INDEX(Inventory!$I$5:$I$304,MATCH(I430,Inventory!$A$5:$A$304,0))*1,0),IFERROR(INDEX(Services!$G$5:$G$204,MATCH(I430,Services!$A$5:$A$204,0))*1,0))))</f>
        <v>0</v>
      </c>
      <c r="W430" s="26">
        <f>IF(B430="","",ROUND(T430*V430,2))</f>
        <v>0</v>
      </c>
      <c r="X430" s="26">
        <f>IF(B430="","",ROUND(IF(M430="",0,W430*M430)+IF(N430="",0,N430),2))</f>
        <v>0</v>
      </c>
      <c r="Y430" s="26">
        <f>IF(B430="","",ROUND(W430-X430-IF(P430="",0,P430),2))</f>
        <v>0</v>
      </c>
      <c r="Z430" s="26">
        <f>IF(B430="","",IF(H430="Retail",IF(TaxOnRetail="Yes",ROUND(Y430*TaxRate,2),0),IF(H430="Service",IF(TaxOnServices="Yes",ROUND(Y430*TaxRate,2),0),0)))</f>
        <v>0</v>
      </c>
      <c r="AA430" s="26">
        <f>IF(B430="","",ROUND(Y430+Z430,2))</f>
        <v>0</v>
      </c>
      <c r="AB430" s="26">
        <f>IF(B430="","",ROUND(T430*IF(H430="Retail",IFERROR(INDEX(Inventory!$H$5:$H$304,MATCH(I430,Inventory!$A$5:$A$304,0))*1,0),IFERROR(INDEX(Services!$Q$5:$Q$204,MATCH(I430,Services!$A$5:$A$204,0))*1,0)),2))</f>
        <v>0</v>
      </c>
      <c r="AC430" s="26">
        <f>IF(B430="","",ROUND(Y430-AB430,2))</f>
        <v>0</v>
      </c>
      <c r="AD430" s="38">
        <f>IF(B430="","",IF(C430="","No",IF(COUNTIFS($C$5:C430,C430)=1,"Yes","No")))</f>
        <v>0</v>
      </c>
      <c r="AE430" s="26">
        <f>IF(B430="","",ROUND(SUMIFS(Payments!$G$5:$G$1204,Payments!$H$5:$H$1204,A430,Payments!$Q$5:$Q$1204,"Yes"),2))</f>
        <v>0</v>
      </c>
      <c r="AF430" s="26">
        <f>IF(B430="","",IF(AD430="No",0,ROUND(SUMIFS(Payments!$G$5:$G$1204,Payments!$I$5:$I$1204,C430,Payments!$H$5:$H$1204,"",Payments!$Q$5:$Q$1204,"Yes"),2)))</f>
        <v>0</v>
      </c>
      <c r="AG430" s="26">
        <f>IF(B430="","",ROUND(AE430+AF430,2))</f>
        <v>0</v>
      </c>
      <c r="AH430" s="26">
        <f>IF(B430="","",ROUND(AA430-AG430,2))</f>
        <v>0</v>
      </c>
      <c r="AI430" s="39">
        <f>IF(B430="","",IF(AA430&lt;=0,"No charge",IF(AH430&lt;=0.004,"Paid",IF(AG430&lt;=0.004,"Unpaid","Part paid"))))</f>
        <v>0</v>
      </c>
      <c r="AJ430" s="38">
        <f>IF(B430="","",IF(H430&lt;&gt;"Service","",IF(D430="","No",IF(COUNTIFS($D$5:$D$1204,D430,$B$5:$B$1204,B430,$H$5:$H$1204,"Retail")&gt;0,"Yes","No"))))</f>
        <v>0</v>
      </c>
      <c r="AK430" s="25">
        <f>IF(B430="","",COUNTIFS($Y$5:$Y$1204,"&gt;"&amp;Y430)+COUNTIFS($Y$5:Y430,Y430))</f>
        <v>0</v>
      </c>
      <c r="AL430" s="39">
        <f>IF(B430="","",IF(H430="","Add - what kind of sale is this?",IF(IF(V430&lt;=0,P430="",FALSE),"Check - no price found for this item",IF(F430="","Assign - nobody credited",IF(AH430&gt;0.004,"Unpaid - balance outstanding",IF(AC430&lt;0,"Loss - sold below cost",IF(X430&gt;W430*0.5,"Check - more than half off","OK")))))))</f>
        <v>0</v>
      </c>
    </row>
    <row r="431" spans="1:38">
      <c r="A431" s="28">
        <f>IF(B431="","",SalePrefix&amp;TEXT(ROW()-4,"0000"))</f>
        <v>0</v>
      </c>
      <c r="E431" s="15">
        <f>IF(D431="","",IFERROR(INDEX(Clients!$B$5:$B$504,MATCH(D431,Clients!$A$5:$A$504,0)),"Walk-in"))</f>
        <v>0</v>
      </c>
      <c r="G431" s="15">
        <f>IF(F431="","",IFERROR(INDEX(Staff!$B$5:$B$44,MATCH(F431,Staff!$A$5:$A$44,0)),"House"))</f>
        <v>0</v>
      </c>
      <c r="R431" s="15">
        <f>IF(B431="","",TEXT(B431,"yyyy-mm"))</f>
        <v>0</v>
      </c>
      <c r="S431" s="25">
        <f>IF(B431="","",WEEKNUM(B431,2))</f>
        <v>0</v>
      </c>
      <c r="T431" s="37">
        <f>IF(B431="","",IF(K431="",1,K431))</f>
        <v>0</v>
      </c>
      <c r="U431" s="15">
        <f>IF(B431="","",IF(J431&lt;&gt;"",J431,IF(H431="Retail",IFERROR(INDEX(Inventory!$B$5:$B$304,MATCH(I431,Inventory!$A$5:$A$304,0))&amp;"","Not in Inventory"),IFERROR(INDEX(Services!$B$5:$B$204,MATCH(I431,Services!$A$5:$A$204,0))&amp;"","Not in Services"))))</f>
        <v>0</v>
      </c>
      <c r="V431" s="26">
        <f>IF(B431="","",IF(L431&lt;&gt;"",L431,IF(H431="Retail",IFERROR(INDEX(Inventory!$I$5:$I$304,MATCH(I431,Inventory!$A$5:$A$304,0))*1,0),IFERROR(INDEX(Services!$G$5:$G$204,MATCH(I431,Services!$A$5:$A$204,0))*1,0))))</f>
        <v>0</v>
      </c>
      <c r="W431" s="26">
        <f>IF(B431="","",ROUND(T431*V431,2))</f>
        <v>0</v>
      </c>
      <c r="X431" s="26">
        <f>IF(B431="","",ROUND(IF(M431="",0,W431*M431)+IF(N431="",0,N431),2))</f>
        <v>0</v>
      </c>
      <c r="Y431" s="26">
        <f>IF(B431="","",ROUND(W431-X431-IF(P431="",0,P431),2))</f>
        <v>0</v>
      </c>
      <c r="Z431" s="26">
        <f>IF(B431="","",IF(H431="Retail",IF(TaxOnRetail="Yes",ROUND(Y431*TaxRate,2),0),IF(H431="Service",IF(TaxOnServices="Yes",ROUND(Y431*TaxRate,2),0),0)))</f>
        <v>0</v>
      </c>
      <c r="AA431" s="26">
        <f>IF(B431="","",ROUND(Y431+Z431,2))</f>
        <v>0</v>
      </c>
      <c r="AB431" s="26">
        <f>IF(B431="","",ROUND(T431*IF(H431="Retail",IFERROR(INDEX(Inventory!$H$5:$H$304,MATCH(I431,Inventory!$A$5:$A$304,0))*1,0),IFERROR(INDEX(Services!$Q$5:$Q$204,MATCH(I431,Services!$A$5:$A$204,0))*1,0)),2))</f>
        <v>0</v>
      </c>
      <c r="AC431" s="26">
        <f>IF(B431="","",ROUND(Y431-AB431,2))</f>
        <v>0</v>
      </c>
      <c r="AD431" s="38">
        <f>IF(B431="","",IF(C431="","No",IF(COUNTIFS($C$5:C431,C431)=1,"Yes","No")))</f>
        <v>0</v>
      </c>
      <c r="AE431" s="26">
        <f>IF(B431="","",ROUND(SUMIFS(Payments!$G$5:$G$1204,Payments!$H$5:$H$1204,A431,Payments!$Q$5:$Q$1204,"Yes"),2))</f>
        <v>0</v>
      </c>
      <c r="AF431" s="26">
        <f>IF(B431="","",IF(AD431="No",0,ROUND(SUMIFS(Payments!$G$5:$G$1204,Payments!$I$5:$I$1204,C431,Payments!$H$5:$H$1204,"",Payments!$Q$5:$Q$1204,"Yes"),2)))</f>
        <v>0</v>
      </c>
      <c r="AG431" s="26">
        <f>IF(B431="","",ROUND(AE431+AF431,2))</f>
        <v>0</v>
      </c>
      <c r="AH431" s="26">
        <f>IF(B431="","",ROUND(AA431-AG431,2))</f>
        <v>0</v>
      </c>
      <c r="AI431" s="39">
        <f>IF(B431="","",IF(AA431&lt;=0,"No charge",IF(AH431&lt;=0.004,"Paid",IF(AG431&lt;=0.004,"Unpaid","Part paid"))))</f>
        <v>0</v>
      </c>
      <c r="AJ431" s="38">
        <f>IF(B431="","",IF(H431&lt;&gt;"Service","",IF(D431="","No",IF(COUNTIFS($D$5:$D$1204,D431,$B$5:$B$1204,B431,$H$5:$H$1204,"Retail")&gt;0,"Yes","No"))))</f>
        <v>0</v>
      </c>
      <c r="AK431" s="25">
        <f>IF(B431="","",COUNTIFS($Y$5:$Y$1204,"&gt;"&amp;Y431)+COUNTIFS($Y$5:Y431,Y431))</f>
        <v>0</v>
      </c>
      <c r="AL431" s="39">
        <f>IF(B431="","",IF(H431="","Add - what kind of sale is this?",IF(IF(V431&lt;=0,P431="",FALSE),"Check - no price found for this item",IF(F431="","Assign - nobody credited",IF(AH431&gt;0.004,"Unpaid - balance outstanding",IF(AC431&lt;0,"Loss - sold below cost",IF(X431&gt;W431*0.5,"Check - more than half off","OK")))))))</f>
        <v>0</v>
      </c>
    </row>
    <row r="432" spans="1:38">
      <c r="A432" s="28">
        <f>IF(B432="","",SalePrefix&amp;TEXT(ROW()-4,"0000"))</f>
        <v>0</v>
      </c>
      <c r="E432" s="15">
        <f>IF(D432="","",IFERROR(INDEX(Clients!$B$5:$B$504,MATCH(D432,Clients!$A$5:$A$504,0)),"Walk-in"))</f>
        <v>0</v>
      </c>
      <c r="G432" s="15">
        <f>IF(F432="","",IFERROR(INDEX(Staff!$B$5:$B$44,MATCH(F432,Staff!$A$5:$A$44,0)),"House"))</f>
        <v>0</v>
      </c>
      <c r="R432" s="15">
        <f>IF(B432="","",TEXT(B432,"yyyy-mm"))</f>
        <v>0</v>
      </c>
      <c r="S432" s="25">
        <f>IF(B432="","",WEEKNUM(B432,2))</f>
        <v>0</v>
      </c>
      <c r="T432" s="37">
        <f>IF(B432="","",IF(K432="",1,K432))</f>
        <v>0</v>
      </c>
      <c r="U432" s="15">
        <f>IF(B432="","",IF(J432&lt;&gt;"",J432,IF(H432="Retail",IFERROR(INDEX(Inventory!$B$5:$B$304,MATCH(I432,Inventory!$A$5:$A$304,0))&amp;"","Not in Inventory"),IFERROR(INDEX(Services!$B$5:$B$204,MATCH(I432,Services!$A$5:$A$204,0))&amp;"","Not in Services"))))</f>
        <v>0</v>
      </c>
      <c r="V432" s="26">
        <f>IF(B432="","",IF(L432&lt;&gt;"",L432,IF(H432="Retail",IFERROR(INDEX(Inventory!$I$5:$I$304,MATCH(I432,Inventory!$A$5:$A$304,0))*1,0),IFERROR(INDEX(Services!$G$5:$G$204,MATCH(I432,Services!$A$5:$A$204,0))*1,0))))</f>
        <v>0</v>
      </c>
      <c r="W432" s="26">
        <f>IF(B432="","",ROUND(T432*V432,2))</f>
        <v>0</v>
      </c>
      <c r="X432" s="26">
        <f>IF(B432="","",ROUND(IF(M432="",0,W432*M432)+IF(N432="",0,N432),2))</f>
        <v>0</v>
      </c>
      <c r="Y432" s="26">
        <f>IF(B432="","",ROUND(W432-X432-IF(P432="",0,P432),2))</f>
        <v>0</v>
      </c>
      <c r="Z432" s="26">
        <f>IF(B432="","",IF(H432="Retail",IF(TaxOnRetail="Yes",ROUND(Y432*TaxRate,2),0),IF(H432="Service",IF(TaxOnServices="Yes",ROUND(Y432*TaxRate,2),0),0)))</f>
        <v>0</v>
      </c>
      <c r="AA432" s="26">
        <f>IF(B432="","",ROUND(Y432+Z432,2))</f>
        <v>0</v>
      </c>
      <c r="AB432" s="26">
        <f>IF(B432="","",ROUND(T432*IF(H432="Retail",IFERROR(INDEX(Inventory!$H$5:$H$304,MATCH(I432,Inventory!$A$5:$A$304,0))*1,0),IFERROR(INDEX(Services!$Q$5:$Q$204,MATCH(I432,Services!$A$5:$A$204,0))*1,0)),2))</f>
        <v>0</v>
      </c>
      <c r="AC432" s="26">
        <f>IF(B432="","",ROUND(Y432-AB432,2))</f>
        <v>0</v>
      </c>
      <c r="AD432" s="38">
        <f>IF(B432="","",IF(C432="","No",IF(COUNTIFS($C$5:C432,C432)=1,"Yes","No")))</f>
        <v>0</v>
      </c>
      <c r="AE432" s="26">
        <f>IF(B432="","",ROUND(SUMIFS(Payments!$G$5:$G$1204,Payments!$H$5:$H$1204,A432,Payments!$Q$5:$Q$1204,"Yes"),2))</f>
        <v>0</v>
      </c>
      <c r="AF432" s="26">
        <f>IF(B432="","",IF(AD432="No",0,ROUND(SUMIFS(Payments!$G$5:$G$1204,Payments!$I$5:$I$1204,C432,Payments!$H$5:$H$1204,"",Payments!$Q$5:$Q$1204,"Yes"),2)))</f>
        <v>0</v>
      </c>
      <c r="AG432" s="26">
        <f>IF(B432="","",ROUND(AE432+AF432,2))</f>
        <v>0</v>
      </c>
      <c r="AH432" s="26">
        <f>IF(B432="","",ROUND(AA432-AG432,2))</f>
        <v>0</v>
      </c>
      <c r="AI432" s="39">
        <f>IF(B432="","",IF(AA432&lt;=0,"No charge",IF(AH432&lt;=0.004,"Paid",IF(AG432&lt;=0.004,"Unpaid","Part paid"))))</f>
        <v>0</v>
      </c>
      <c r="AJ432" s="38">
        <f>IF(B432="","",IF(H432&lt;&gt;"Service","",IF(D432="","No",IF(COUNTIFS($D$5:$D$1204,D432,$B$5:$B$1204,B432,$H$5:$H$1204,"Retail")&gt;0,"Yes","No"))))</f>
        <v>0</v>
      </c>
      <c r="AK432" s="25">
        <f>IF(B432="","",COUNTIFS($Y$5:$Y$1204,"&gt;"&amp;Y432)+COUNTIFS($Y$5:Y432,Y432))</f>
        <v>0</v>
      </c>
      <c r="AL432" s="39">
        <f>IF(B432="","",IF(H432="","Add - what kind of sale is this?",IF(IF(V432&lt;=0,P432="",FALSE),"Check - no price found for this item",IF(F432="","Assign - nobody credited",IF(AH432&gt;0.004,"Unpaid - balance outstanding",IF(AC432&lt;0,"Loss - sold below cost",IF(X432&gt;W432*0.5,"Check - more than half off","OK")))))))</f>
        <v>0</v>
      </c>
    </row>
    <row r="433" spans="1:38">
      <c r="A433" s="28">
        <f>IF(B433="","",SalePrefix&amp;TEXT(ROW()-4,"0000"))</f>
        <v>0</v>
      </c>
      <c r="E433" s="15">
        <f>IF(D433="","",IFERROR(INDEX(Clients!$B$5:$B$504,MATCH(D433,Clients!$A$5:$A$504,0)),"Walk-in"))</f>
        <v>0</v>
      </c>
      <c r="G433" s="15">
        <f>IF(F433="","",IFERROR(INDEX(Staff!$B$5:$B$44,MATCH(F433,Staff!$A$5:$A$44,0)),"House"))</f>
        <v>0</v>
      </c>
      <c r="R433" s="15">
        <f>IF(B433="","",TEXT(B433,"yyyy-mm"))</f>
        <v>0</v>
      </c>
      <c r="S433" s="25">
        <f>IF(B433="","",WEEKNUM(B433,2))</f>
        <v>0</v>
      </c>
      <c r="T433" s="37">
        <f>IF(B433="","",IF(K433="",1,K433))</f>
        <v>0</v>
      </c>
      <c r="U433" s="15">
        <f>IF(B433="","",IF(J433&lt;&gt;"",J433,IF(H433="Retail",IFERROR(INDEX(Inventory!$B$5:$B$304,MATCH(I433,Inventory!$A$5:$A$304,0))&amp;"","Not in Inventory"),IFERROR(INDEX(Services!$B$5:$B$204,MATCH(I433,Services!$A$5:$A$204,0))&amp;"","Not in Services"))))</f>
        <v>0</v>
      </c>
      <c r="V433" s="26">
        <f>IF(B433="","",IF(L433&lt;&gt;"",L433,IF(H433="Retail",IFERROR(INDEX(Inventory!$I$5:$I$304,MATCH(I433,Inventory!$A$5:$A$304,0))*1,0),IFERROR(INDEX(Services!$G$5:$G$204,MATCH(I433,Services!$A$5:$A$204,0))*1,0))))</f>
        <v>0</v>
      </c>
      <c r="W433" s="26">
        <f>IF(B433="","",ROUND(T433*V433,2))</f>
        <v>0</v>
      </c>
      <c r="X433" s="26">
        <f>IF(B433="","",ROUND(IF(M433="",0,W433*M433)+IF(N433="",0,N433),2))</f>
        <v>0</v>
      </c>
      <c r="Y433" s="26">
        <f>IF(B433="","",ROUND(W433-X433-IF(P433="",0,P433),2))</f>
        <v>0</v>
      </c>
      <c r="Z433" s="26">
        <f>IF(B433="","",IF(H433="Retail",IF(TaxOnRetail="Yes",ROUND(Y433*TaxRate,2),0),IF(H433="Service",IF(TaxOnServices="Yes",ROUND(Y433*TaxRate,2),0),0)))</f>
        <v>0</v>
      </c>
      <c r="AA433" s="26">
        <f>IF(B433="","",ROUND(Y433+Z433,2))</f>
        <v>0</v>
      </c>
      <c r="AB433" s="26">
        <f>IF(B433="","",ROUND(T433*IF(H433="Retail",IFERROR(INDEX(Inventory!$H$5:$H$304,MATCH(I433,Inventory!$A$5:$A$304,0))*1,0),IFERROR(INDEX(Services!$Q$5:$Q$204,MATCH(I433,Services!$A$5:$A$204,0))*1,0)),2))</f>
        <v>0</v>
      </c>
      <c r="AC433" s="26">
        <f>IF(B433="","",ROUND(Y433-AB433,2))</f>
        <v>0</v>
      </c>
      <c r="AD433" s="38">
        <f>IF(B433="","",IF(C433="","No",IF(COUNTIFS($C$5:C433,C433)=1,"Yes","No")))</f>
        <v>0</v>
      </c>
      <c r="AE433" s="26">
        <f>IF(B433="","",ROUND(SUMIFS(Payments!$G$5:$G$1204,Payments!$H$5:$H$1204,A433,Payments!$Q$5:$Q$1204,"Yes"),2))</f>
        <v>0</v>
      </c>
      <c r="AF433" s="26">
        <f>IF(B433="","",IF(AD433="No",0,ROUND(SUMIFS(Payments!$G$5:$G$1204,Payments!$I$5:$I$1204,C433,Payments!$H$5:$H$1204,"",Payments!$Q$5:$Q$1204,"Yes"),2)))</f>
        <v>0</v>
      </c>
      <c r="AG433" s="26">
        <f>IF(B433="","",ROUND(AE433+AF433,2))</f>
        <v>0</v>
      </c>
      <c r="AH433" s="26">
        <f>IF(B433="","",ROUND(AA433-AG433,2))</f>
        <v>0</v>
      </c>
      <c r="AI433" s="39">
        <f>IF(B433="","",IF(AA433&lt;=0,"No charge",IF(AH433&lt;=0.004,"Paid",IF(AG433&lt;=0.004,"Unpaid","Part paid"))))</f>
        <v>0</v>
      </c>
      <c r="AJ433" s="38">
        <f>IF(B433="","",IF(H433&lt;&gt;"Service","",IF(D433="","No",IF(COUNTIFS($D$5:$D$1204,D433,$B$5:$B$1204,B433,$H$5:$H$1204,"Retail")&gt;0,"Yes","No"))))</f>
        <v>0</v>
      </c>
      <c r="AK433" s="25">
        <f>IF(B433="","",COUNTIFS($Y$5:$Y$1204,"&gt;"&amp;Y433)+COUNTIFS($Y$5:Y433,Y433))</f>
        <v>0</v>
      </c>
      <c r="AL433" s="39">
        <f>IF(B433="","",IF(H433="","Add - what kind of sale is this?",IF(IF(V433&lt;=0,P433="",FALSE),"Check - no price found for this item",IF(F433="","Assign - nobody credited",IF(AH433&gt;0.004,"Unpaid - balance outstanding",IF(AC433&lt;0,"Loss - sold below cost",IF(X433&gt;W433*0.5,"Check - more than half off","OK")))))))</f>
        <v>0</v>
      </c>
    </row>
    <row r="434" spans="1:38">
      <c r="A434" s="28">
        <f>IF(B434="","",SalePrefix&amp;TEXT(ROW()-4,"0000"))</f>
        <v>0</v>
      </c>
      <c r="E434" s="15">
        <f>IF(D434="","",IFERROR(INDEX(Clients!$B$5:$B$504,MATCH(D434,Clients!$A$5:$A$504,0)),"Walk-in"))</f>
        <v>0</v>
      </c>
      <c r="G434" s="15">
        <f>IF(F434="","",IFERROR(INDEX(Staff!$B$5:$B$44,MATCH(F434,Staff!$A$5:$A$44,0)),"House"))</f>
        <v>0</v>
      </c>
      <c r="R434" s="15">
        <f>IF(B434="","",TEXT(B434,"yyyy-mm"))</f>
        <v>0</v>
      </c>
      <c r="S434" s="25">
        <f>IF(B434="","",WEEKNUM(B434,2))</f>
        <v>0</v>
      </c>
      <c r="T434" s="37">
        <f>IF(B434="","",IF(K434="",1,K434))</f>
        <v>0</v>
      </c>
      <c r="U434" s="15">
        <f>IF(B434="","",IF(J434&lt;&gt;"",J434,IF(H434="Retail",IFERROR(INDEX(Inventory!$B$5:$B$304,MATCH(I434,Inventory!$A$5:$A$304,0))&amp;"","Not in Inventory"),IFERROR(INDEX(Services!$B$5:$B$204,MATCH(I434,Services!$A$5:$A$204,0))&amp;"","Not in Services"))))</f>
        <v>0</v>
      </c>
      <c r="V434" s="26">
        <f>IF(B434="","",IF(L434&lt;&gt;"",L434,IF(H434="Retail",IFERROR(INDEX(Inventory!$I$5:$I$304,MATCH(I434,Inventory!$A$5:$A$304,0))*1,0),IFERROR(INDEX(Services!$G$5:$G$204,MATCH(I434,Services!$A$5:$A$204,0))*1,0))))</f>
        <v>0</v>
      </c>
      <c r="W434" s="26">
        <f>IF(B434="","",ROUND(T434*V434,2))</f>
        <v>0</v>
      </c>
      <c r="X434" s="26">
        <f>IF(B434="","",ROUND(IF(M434="",0,W434*M434)+IF(N434="",0,N434),2))</f>
        <v>0</v>
      </c>
      <c r="Y434" s="26">
        <f>IF(B434="","",ROUND(W434-X434-IF(P434="",0,P434),2))</f>
        <v>0</v>
      </c>
      <c r="Z434" s="26">
        <f>IF(B434="","",IF(H434="Retail",IF(TaxOnRetail="Yes",ROUND(Y434*TaxRate,2),0),IF(H434="Service",IF(TaxOnServices="Yes",ROUND(Y434*TaxRate,2),0),0)))</f>
        <v>0</v>
      </c>
      <c r="AA434" s="26">
        <f>IF(B434="","",ROUND(Y434+Z434,2))</f>
        <v>0</v>
      </c>
      <c r="AB434" s="26">
        <f>IF(B434="","",ROUND(T434*IF(H434="Retail",IFERROR(INDEX(Inventory!$H$5:$H$304,MATCH(I434,Inventory!$A$5:$A$304,0))*1,0),IFERROR(INDEX(Services!$Q$5:$Q$204,MATCH(I434,Services!$A$5:$A$204,0))*1,0)),2))</f>
        <v>0</v>
      </c>
      <c r="AC434" s="26">
        <f>IF(B434="","",ROUND(Y434-AB434,2))</f>
        <v>0</v>
      </c>
      <c r="AD434" s="38">
        <f>IF(B434="","",IF(C434="","No",IF(COUNTIFS($C$5:C434,C434)=1,"Yes","No")))</f>
        <v>0</v>
      </c>
      <c r="AE434" s="26">
        <f>IF(B434="","",ROUND(SUMIFS(Payments!$G$5:$G$1204,Payments!$H$5:$H$1204,A434,Payments!$Q$5:$Q$1204,"Yes"),2))</f>
        <v>0</v>
      </c>
      <c r="AF434" s="26">
        <f>IF(B434="","",IF(AD434="No",0,ROUND(SUMIFS(Payments!$G$5:$G$1204,Payments!$I$5:$I$1204,C434,Payments!$H$5:$H$1204,"",Payments!$Q$5:$Q$1204,"Yes"),2)))</f>
        <v>0</v>
      </c>
      <c r="AG434" s="26">
        <f>IF(B434="","",ROUND(AE434+AF434,2))</f>
        <v>0</v>
      </c>
      <c r="AH434" s="26">
        <f>IF(B434="","",ROUND(AA434-AG434,2))</f>
        <v>0</v>
      </c>
      <c r="AI434" s="39">
        <f>IF(B434="","",IF(AA434&lt;=0,"No charge",IF(AH434&lt;=0.004,"Paid",IF(AG434&lt;=0.004,"Unpaid","Part paid"))))</f>
        <v>0</v>
      </c>
      <c r="AJ434" s="38">
        <f>IF(B434="","",IF(H434&lt;&gt;"Service","",IF(D434="","No",IF(COUNTIFS($D$5:$D$1204,D434,$B$5:$B$1204,B434,$H$5:$H$1204,"Retail")&gt;0,"Yes","No"))))</f>
        <v>0</v>
      </c>
      <c r="AK434" s="25">
        <f>IF(B434="","",COUNTIFS($Y$5:$Y$1204,"&gt;"&amp;Y434)+COUNTIFS($Y$5:Y434,Y434))</f>
        <v>0</v>
      </c>
      <c r="AL434" s="39">
        <f>IF(B434="","",IF(H434="","Add - what kind of sale is this?",IF(IF(V434&lt;=0,P434="",FALSE),"Check - no price found for this item",IF(F434="","Assign - nobody credited",IF(AH434&gt;0.004,"Unpaid - balance outstanding",IF(AC434&lt;0,"Loss - sold below cost",IF(X434&gt;W434*0.5,"Check - more than half off","OK")))))))</f>
        <v>0</v>
      </c>
    </row>
    <row r="435" spans="1:38">
      <c r="A435" s="28">
        <f>IF(B435="","",SalePrefix&amp;TEXT(ROW()-4,"0000"))</f>
        <v>0</v>
      </c>
      <c r="E435" s="15">
        <f>IF(D435="","",IFERROR(INDEX(Clients!$B$5:$B$504,MATCH(D435,Clients!$A$5:$A$504,0)),"Walk-in"))</f>
        <v>0</v>
      </c>
      <c r="G435" s="15">
        <f>IF(F435="","",IFERROR(INDEX(Staff!$B$5:$B$44,MATCH(F435,Staff!$A$5:$A$44,0)),"House"))</f>
        <v>0</v>
      </c>
      <c r="R435" s="15">
        <f>IF(B435="","",TEXT(B435,"yyyy-mm"))</f>
        <v>0</v>
      </c>
      <c r="S435" s="25">
        <f>IF(B435="","",WEEKNUM(B435,2))</f>
        <v>0</v>
      </c>
      <c r="T435" s="37">
        <f>IF(B435="","",IF(K435="",1,K435))</f>
        <v>0</v>
      </c>
      <c r="U435" s="15">
        <f>IF(B435="","",IF(J435&lt;&gt;"",J435,IF(H435="Retail",IFERROR(INDEX(Inventory!$B$5:$B$304,MATCH(I435,Inventory!$A$5:$A$304,0))&amp;"","Not in Inventory"),IFERROR(INDEX(Services!$B$5:$B$204,MATCH(I435,Services!$A$5:$A$204,0))&amp;"","Not in Services"))))</f>
        <v>0</v>
      </c>
      <c r="V435" s="26">
        <f>IF(B435="","",IF(L435&lt;&gt;"",L435,IF(H435="Retail",IFERROR(INDEX(Inventory!$I$5:$I$304,MATCH(I435,Inventory!$A$5:$A$304,0))*1,0),IFERROR(INDEX(Services!$G$5:$G$204,MATCH(I435,Services!$A$5:$A$204,0))*1,0))))</f>
        <v>0</v>
      </c>
      <c r="W435" s="26">
        <f>IF(B435="","",ROUND(T435*V435,2))</f>
        <v>0</v>
      </c>
      <c r="X435" s="26">
        <f>IF(B435="","",ROUND(IF(M435="",0,W435*M435)+IF(N435="",0,N435),2))</f>
        <v>0</v>
      </c>
      <c r="Y435" s="26">
        <f>IF(B435="","",ROUND(W435-X435-IF(P435="",0,P435),2))</f>
        <v>0</v>
      </c>
      <c r="Z435" s="26">
        <f>IF(B435="","",IF(H435="Retail",IF(TaxOnRetail="Yes",ROUND(Y435*TaxRate,2),0),IF(H435="Service",IF(TaxOnServices="Yes",ROUND(Y435*TaxRate,2),0),0)))</f>
        <v>0</v>
      </c>
      <c r="AA435" s="26">
        <f>IF(B435="","",ROUND(Y435+Z435,2))</f>
        <v>0</v>
      </c>
      <c r="AB435" s="26">
        <f>IF(B435="","",ROUND(T435*IF(H435="Retail",IFERROR(INDEX(Inventory!$H$5:$H$304,MATCH(I435,Inventory!$A$5:$A$304,0))*1,0),IFERROR(INDEX(Services!$Q$5:$Q$204,MATCH(I435,Services!$A$5:$A$204,0))*1,0)),2))</f>
        <v>0</v>
      </c>
      <c r="AC435" s="26">
        <f>IF(B435="","",ROUND(Y435-AB435,2))</f>
        <v>0</v>
      </c>
      <c r="AD435" s="38">
        <f>IF(B435="","",IF(C435="","No",IF(COUNTIFS($C$5:C435,C435)=1,"Yes","No")))</f>
        <v>0</v>
      </c>
      <c r="AE435" s="26">
        <f>IF(B435="","",ROUND(SUMIFS(Payments!$G$5:$G$1204,Payments!$H$5:$H$1204,A435,Payments!$Q$5:$Q$1204,"Yes"),2))</f>
        <v>0</v>
      </c>
      <c r="AF435" s="26">
        <f>IF(B435="","",IF(AD435="No",0,ROUND(SUMIFS(Payments!$G$5:$G$1204,Payments!$I$5:$I$1204,C435,Payments!$H$5:$H$1204,"",Payments!$Q$5:$Q$1204,"Yes"),2)))</f>
        <v>0</v>
      </c>
      <c r="AG435" s="26">
        <f>IF(B435="","",ROUND(AE435+AF435,2))</f>
        <v>0</v>
      </c>
      <c r="AH435" s="26">
        <f>IF(B435="","",ROUND(AA435-AG435,2))</f>
        <v>0</v>
      </c>
      <c r="AI435" s="39">
        <f>IF(B435="","",IF(AA435&lt;=0,"No charge",IF(AH435&lt;=0.004,"Paid",IF(AG435&lt;=0.004,"Unpaid","Part paid"))))</f>
        <v>0</v>
      </c>
      <c r="AJ435" s="38">
        <f>IF(B435="","",IF(H435&lt;&gt;"Service","",IF(D435="","No",IF(COUNTIFS($D$5:$D$1204,D435,$B$5:$B$1204,B435,$H$5:$H$1204,"Retail")&gt;0,"Yes","No"))))</f>
        <v>0</v>
      </c>
      <c r="AK435" s="25">
        <f>IF(B435="","",COUNTIFS($Y$5:$Y$1204,"&gt;"&amp;Y435)+COUNTIFS($Y$5:Y435,Y435))</f>
        <v>0</v>
      </c>
      <c r="AL435" s="39">
        <f>IF(B435="","",IF(H435="","Add - what kind of sale is this?",IF(IF(V435&lt;=0,P435="",FALSE),"Check - no price found for this item",IF(F435="","Assign - nobody credited",IF(AH435&gt;0.004,"Unpaid - balance outstanding",IF(AC435&lt;0,"Loss - sold below cost",IF(X435&gt;W435*0.5,"Check - more than half off","OK")))))))</f>
        <v>0</v>
      </c>
    </row>
    <row r="436" spans="1:38">
      <c r="A436" s="28">
        <f>IF(B436="","",SalePrefix&amp;TEXT(ROW()-4,"0000"))</f>
        <v>0</v>
      </c>
      <c r="E436" s="15">
        <f>IF(D436="","",IFERROR(INDEX(Clients!$B$5:$B$504,MATCH(D436,Clients!$A$5:$A$504,0)),"Walk-in"))</f>
        <v>0</v>
      </c>
      <c r="G436" s="15">
        <f>IF(F436="","",IFERROR(INDEX(Staff!$B$5:$B$44,MATCH(F436,Staff!$A$5:$A$44,0)),"House"))</f>
        <v>0</v>
      </c>
      <c r="R436" s="15">
        <f>IF(B436="","",TEXT(B436,"yyyy-mm"))</f>
        <v>0</v>
      </c>
      <c r="S436" s="25">
        <f>IF(B436="","",WEEKNUM(B436,2))</f>
        <v>0</v>
      </c>
      <c r="T436" s="37">
        <f>IF(B436="","",IF(K436="",1,K436))</f>
        <v>0</v>
      </c>
      <c r="U436" s="15">
        <f>IF(B436="","",IF(J436&lt;&gt;"",J436,IF(H436="Retail",IFERROR(INDEX(Inventory!$B$5:$B$304,MATCH(I436,Inventory!$A$5:$A$304,0))&amp;"","Not in Inventory"),IFERROR(INDEX(Services!$B$5:$B$204,MATCH(I436,Services!$A$5:$A$204,0))&amp;"","Not in Services"))))</f>
        <v>0</v>
      </c>
      <c r="V436" s="26">
        <f>IF(B436="","",IF(L436&lt;&gt;"",L436,IF(H436="Retail",IFERROR(INDEX(Inventory!$I$5:$I$304,MATCH(I436,Inventory!$A$5:$A$304,0))*1,0),IFERROR(INDEX(Services!$G$5:$G$204,MATCH(I436,Services!$A$5:$A$204,0))*1,0))))</f>
        <v>0</v>
      </c>
      <c r="W436" s="26">
        <f>IF(B436="","",ROUND(T436*V436,2))</f>
        <v>0</v>
      </c>
      <c r="X436" s="26">
        <f>IF(B436="","",ROUND(IF(M436="",0,W436*M436)+IF(N436="",0,N436),2))</f>
        <v>0</v>
      </c>
      <c r="Y436" s="26">
        <f>IF(B436="","",ROUND(W436-X436-IF(P436="",0,P436),2))</f>
        <v>0</v>
      </c>
      <c r="Z436" s="26">
        <f>IF(B436="","",IF(H436="Retail",IF(TaxOnRetail="Yes",ROUND(Y436*TaxRate,2),0),IF(H436="Service",IF(TaxOnServices="Yes",ROUND(Y436*TaxRate,2),0),0)))</f>
        <v>0</v>
      </c>
      <c r="AA436" s="26">
        <f>IF(B436="","",ROUND(Y436+Z436,2))</f>
        <v>0</v>
      </c>
      <c r="AB436" s="26">
        <f>IF(B436="","",ROUND(T436*IF(H436="Retail",IFERROR(INDEX(Inventory!$H$5:$H$304,MATCH(I436,Inventory!$A$5:$A$304,0))*1,0),IFERROR(INDEX(Services!$Q$5:$Q$204,MATCH(I436,Services!$A$5:$A$204,0))*1,0)),2))</f>
        <v>0</v>
      </c>
      <c r="AC436" s="26">
        <f>IF(B436="","",ROUND(Y436-AB436,2))</f>
        <v>0</v>
      </c>
      <c r="AD436" s="38">
        <f>IF(B436="","",IF(C436="","No",IF(COUNTIFS($C$5:C436,C436)=1,"Yes","No")))</f>
        <v>0</v>
      </c>
      <c r="AE436" s="26">
        <f>IF(B436="","",ROUND(SUMIFS(Payments!$G$5:$G$1204,Payments!$H$5:$H$1204,A436,Payments!$Q$5:$Q$1204,"Yes"),2))</f>
        <v>0</v>
      </c>
      <c r="AF436" s="26">
        <f>IF(B436="","",IF(AD436="No",0,ROUND(SUMIFS(Payments!$G$5:$G$1204,Payments!$I$5:$I$1204,C436,Payments!$H$5:$H$1204,"",Payments!$Q$5:$Q$1204,"Yes"),2)))</f>
        <v>0</v>
      </c>
      <c r="AG436" s="26">
        <f>IF(B436="","",ROUND(AE436+AF436,2))</f>
        <v>0</v>
      </c>
      <c r="AH436" s="26">
        <f>IF(B436="","",ROUND(AA436-AG436,2))</f>
        <v>0</v>
      </c>
      <c r="AI436" s="39">
        <f>IF(B436="","",IF(AA436&lt;=0,"No charge",IF(AH436&lt;=0.004,"Paid",IF(AG436&lt;=0.004,"Unpaid","Part paid"))))</f>
        <v>0</v>
      </c>
      <c r="AJ436" s="38">
        <f>IF(B436="","",IF(H436&lt;&gt;"Service","",IF(D436="","No",IF(COUNTIFS($D$5:$D$1204,D436,$B$5:$B$1204,B436,$H$5:$H$1204,"Retail")&gt;0,"Yes","No"))))</f>
        <v>0</v>
      </c>
      <c r="AK436" s="25">
        <f>IF(B436="","",COUNTIFS($Y$5:$Y$1204,"&gt;"&amp;Y436)+COUNTIFS($Y$5:Y436,Y436))</f>
        <v>0</v>
      </c>
      <c r="AL436" s="39">
        <f>IF(B436="","",IF(H436="","Add - what kind of sale is this?",IF(IF(V436&lt;=0,P436="",FALSE),"Check - no price found for this item",IF(F436="","Assign - nobody credited",IF(AH436&gt;0.004,"Unpaid - balance outstanding",IF(AC436&lt;0,"Loss - sold below cost",IF(X436&gt;W436*0.5,"Check - more than half off","OK")))))))</f>
        <v>0</v>
      </c>
    </row>
    <row r="437" spans="1:38">
      <c r="A437" s="28">
        <f>IF(B437="","",SalePrefix&amp;TEXT(ROW()-4,"0000"))</f>
        <v>0</v>
      </c>
      <c r="E437" s="15">
        <f>IF(D437="","",IFERROR(INDEX(Clients!$B$5:$B$504,MATCH(D437,Clients!$A$5:$A$504,0)),"Walk-in"))</f>
        <v>0</v>
      </c>
      <c r="G437" s="15">
        <f>IF(F437="","",IFERROR(INDEX(Staff!$B$5:$B$44,MATCH(F437,Staff!$A$5:$A$44,0)),"House"))</f>
        <v>0</v>
      </c>
      <c r="R437" s="15">
        <f>IF(B437="","",TEXT(B437,"yyyy-mm"))</f>
        <v>0</v>
      </c>
      <c r="S437" s="25">
        <f>IF(B437="","",WEEKNUM(B437,2))</f>
        <v>0</v>
      </c>
      <c r="T437" s="37">
        <f>IF(B437="","",IF(K437="",1,K437))</f>
        <v>0</v>
      </c>
      <c r="U437" s="15">
        <f>IF(B437="","",IF(J437&lt;&gt;"",J437,IF(H437="Retail",IFERROR(INDEX(Inventory!$B$5:$B$304,MATCH(I437,Inventory!$A$5:$A$304,0))&amp;"","Not in Inventory"),IFERROR(INDEX(Services!$B$5:$B$204,MATCH(I437,Services!$A$5:$A$204,0))&amp;"","Not in Services"))))</f>
        <v>0</v>
      </c>
      <c r="V437" s="26">
        <f>IF(B437="","",IF(L437&lt;&gt;"",L437,IF(H437="Retail",IFERROR(INDEX(Inventory!$I$5:$I$304,MATCH(I437,Inventory!$A$5:$A$304,0))*1,0),IFERROR(INDEX(Services!$G$5:$G$204,MATCH(I437,Services!$A$5:$A$204,0))*1,0))))</f>
        <v>0</v>
      </c>
      <c r="W437" s="26">
        <f>IF(B437="","",ROUND(T437*V437,2))</f>
        <v>0</v>
      </c>
      <c r="X437" s="26">
        <f>IF(B437="","",ROUND(IF(M437="",0,W437*M437)+IF(N437="",0,N437),2))</f>
        <v>0</v>
      </c>
      <c r="Y437" s="26">
        <f>IF(B437="","",ROUND(W437-X437-IF(P437="",0,P437),2))</f>
        <v>0</v>
      </c>
      <c r="Z437" s="26">
        <f>IF(B437="","",IF(H437="Retail",IF(TaxOnRetail="Yes",ROUND(Y437*TaxRate,2),0),IF(H437="Service",IF(TaxOnServices="Yes",ROUND(Y437*TaxRate,2),0),0)))</f>
        <v>0</v>
      </c>
      <c r="AA437" s="26">
        <f>IF(B437="","",ROUND(Y437+Z437,2))</f>
        <v>0</v>
      </c>
      <c r="AB437" s="26">
        <f>IF(B437="","",ROUND(T437*IF(H437="Retail",IFERROR(INDEX(Inventory!$H$5:$H$304,MATCH(I437,Inventory!$A$5:$A$304,0))*1,0),IFERROR(INDEX(Services!$Q$5:$Q$204,MATCH(I437,Services!$A$5:$A$204,0))*1,0)),2))</f>
        <v>0</v>
      </c>
      <c r="AC437" s="26">
        <f>IF(B437="","",ROUND(Y437-AB437,2))</f>
        <v>0</v>
      </c>
      <c r="AD437" s="38">
        <f>IF(B437="","",IF(C437="","No",IF(COUNTIFS($C$5:C437,C437)=1,"Yes","No")))</f>
        <v>0</v>
      </c>
      <c r="AE437" s="26">
        <f>IF(B437="","",ROUND(SUMIFS(Payments!$G$5:$G$1204,Payments!$H$5:$H$1204,A437,Payments!$Q$5:$Q$1204,"Yes"),2))</f>
        <v>0</v>
      </c>
      <c r="AF437" s="26">
        <f>IF(B437="","",IF(AD437="No",0,ROUND(SUMIFS(Payments!$G$5:$G$1204,Payments!$I$5:$I$1204,C437,Payments!$H$5:$H$1204,"",Payments!$Q$5:$Q$1204,"Yes"),2)))</f>
        <v>0</v>
      </c>
      <c r="AG437" s="26">
        <f>IF(B437="","",ROUND(AE437+AF437,2))</f>
        <v>0</v>
      </c>
      <c r="AH437" s="26">
        <f>IF(B437="","",ROUND(AA437-AG437,2))</f>
        <v>0</v>
      </c>
      <c r="AI437" s="39">
        <f>IF(B437="","",IF(AA437&lt;=0,"No charge",IF(AH437&lt;=0.004,"Paid",IF(AG437&lt;=0.004,"Unpaid","Part paid"))))</f>
        <v>0</v>
      </c>
      <c r="AJ437" s="38">
        <f>IF(B437="","",IF(H437&lt;&gt;"Service","",IF(D437="","No",IF(COUNTIFS($D$5:$D$1204,D437,$B$5:$B$1204,B437,$H$5:$H$1204,"Retail")&gt;0,"Yes","No"))))</f>
        <v>0</v>
      </c>
      <c r="AK437" s="25">
        <f>IF(B437="","",COUNTIFS($Y$5:$Y$1204,"&gt;"&amp;Y437)+COUNTIFS($Y$5:Y437,Y437))</f>
        <v>0</v>
      </c>
      <c r="AL437" s="39">
        <f>IF(B437="","",IF(H437="","Add - what kind of sale is this?",IF(IF(V437&lt;=0,P437="",FALSE),"Check - no price found for this item",IF(F437="","Assign - nobody credited",IF(AH437&gt;0.004,"Unpaid - balance outstanding",IF(AC437&lt;0,"Loss - sold below cost",IF(X437&gt;W437*0.5,"Check - more than half off","OK")))))))</f>
        <v>0</v>
      </c>
    </row>
    <row r="438" spans="1:38">
      <c r="A438" s="28">
        <f>IF(B438="","",SalePrefix&amp;TEXT(ROW()-4,"0000"))</f>
        <v>0</v>
      </c>
      <c r="E438" s="15">
        <f>IF(D438="","",IFERROR(INDEX(Clients!$B$5:$B$504,MATCH(D438,Clients!$A$5:$A$504,0)),"Walk-in"))</f>
        <v>0</v>
      </c>
      <c r="G438" s="15">
        <f>IF(F438="","",IFERROR(INDEX(Staff!$B$5:$B$44,MATCH(F438,Staff!$A$5:$A$44,0)),"House"))</f>
        <v>0</v>
      </c>
      <c r="R438" s="15">
        <f>IF(B438="","",TEXT(B438,"yyyy-mm"))</f>
        <v>0</v>
      </c>
      <c r="S438" s="25">
        <f>IF(B438="","",WEEKNUM(B438,2))</f>
        <v>0</v>
      </c>
      <c r="T438" s="37">
        <f>IF(B438="","",IF(K438="",1,K438))</f>
        <v>0</v>
      </c>
      <c r="U438" s="15">
        <f>IF(B438="","",IF(J438&lt;&gt;"",J438,IF(H438="Retail",IFERROR(INDEX(Inventory!$B$5:$B$304,MATCH(I438,Inventory!$A$5:$A$304,0))&amp;"","Not in Inventory"),IFERROR(INDEX(Services!$B$5:$B$204,MATCH(I438,Services!$A$5:$A$204,0))&amp;"","Not in Services"))))</f>
        <v>0</v>
      </c>
      <c r="V438" s="26">
        <f>IF(B438="","",IF(L438&lt;&gt;"",L438,IF(H438="Retail",IFERROR(INDEX(Inventory!$I$5:$I$304,MATCH(I438,Inventory!$A$5:$A$304,0))*1,0),IFERROR(INDEX(Services!$G$5:$G$204,MATCH(I438,Services!$A$5:$A$204,0))*1,0))))</f>
        <v>0</v>
      </c>
      <c r="W438" s="26">
        <f>IF(B438="","",ROUND(T438*V438,2))</f>
        <v>0</v>
      </c>
      <c r="X438" s="26">
        <f>IF(B438="","",ROUND(IF(M438="",0,W438*M438)+IF(N438="",0,N438),2))</f>
        <v>0</v>
      </c>
      <c r="Y438" s="26">
        <f>IF(B438="","",ROUND(W438-X438-IF(P438="",0,P438),2))</f>
        <v>0</v>
      </c>
      <c r="Z438" s="26">
        <f>IF(B438="","",IF(H438="Retail",IF(TaxOnRetail="Yes",ROUND(Y438*TaxRate,2),0),IF(H438="Service",IF(TaxOnServices="Yes",ROUND(Y438*TaxRate,2),0),0)))</f>
        <v>0</v>
      </c>
      <c r="AA438" s="26">
        <f>IF(B438="","",ROUND(Y438+Z438,2))</f>
        <v>0</v>
      </c>
      <c r="AB438" s="26">
        <f>IF(B438="","",ROUND(T438*IF(H438="Retail",IFERROR(INDEX(Inventory!$H$5:$H$304,MATCH(I438,Inventory!$A$5:$A$304,0))*1,0),IFERROR(INDEX(Services!$Q$5:$Q$204,MATCH(I438,Services!$A$5:$A$204,0))*1,0)),2))</f>
        <v>0</v>
      </c>
      <c r="AC438" s="26">
        <f>IF(B438="","",ROUND(Y438-AB438,2))</f>
        <v>0</v>
      </c>
      <c r="AD438" s="38">
        <f>IF(B438="","",IF(C438="","No",IF(COUNTIFS($C$5:C438,C438)=1,"Yes","No")))</f>
        <v>0</v>
      </c>
      <c r="AE438" s="26">
        <f>IF(B438="","",ROUND(SUMIFS(Payments!$G$5:$G$1204,Payments!$H$5:$H$1204,A438,Payments!$Q$5:$Q$1204,"Yes"),2))</f>
        <v>0</v>
      </c>
      <c r="AF438" s="26">
        <f>IF(B438="","",IF(AD438="No",0,ROUND(SUMIFS(Payments!$G$5:$G$1204,Payments!$I$5:$I$1204,C438,Payments!$H$5:$H$1204,"",Payments!$Q$5:$Q$1204,"Yes"),2)))</f>
        <v>0</v>
      </c>
      <c r="AG438" s="26">
        <f>IF(B438="","",ROUND(AE438+AF438,2))</f>
        <v>0</v>
      </c>
      <c r="AH438" s="26">
        <f>IF(B438="","",ROUND(AA438-AG438,2))</f>
        <v>0</v>
      </c>
      <c r="AI438" s="39">
        <f>IF(B438="","",IF(AA438&lt;=0,"No charge",IF(AH438&lt;=0.004,"Paid",IF(AG438&lt;=0.004,"Unpaid","Part paid"))))</f>
        <v>0</v>
      </c>
      <c r="AJ438" s="38">
        <f>IF(B438="","",IF(H438&lt;&gt;"Service","",IF(D438="","No",IF(COUNTIFS($D$5:$D$1204,D438,$B$5:$B$1204,B438,$H$5:$H$1204,"Retail")&gt;0,"Yes","No"))))</f>
        <v>0</v>
      </c>
      <c r="AK438" s="25">
        <f>IF(B438="","",COUNTIFS($Y$5:$Y$1204,"&gt;"&amp;Y438)+COUNTIFS($Y$5:Y438,Y438))</f>
        <v>0</v>
      </c>
      <c r="AL438" s="39">
        <f>IF(B438="","",IF(H438="","Add - what kind of sale is this?",IF(IF(V438&lt;=0,P438="",FALSE),"Check - no price found for this item",IF(F438="","Assign - nobody credited",IF(AH438&gt;0.004,"Unpaid - balance outstanding",IF(AC438&lt;0,"Loss - sold below cost",IF(X438&gt;W438*0.5,"Check - more than half off","OK")))))))</f>
        <v>0</v>
      </c>
    </row>
    <row r="439" spans="1:38">
      <c r="A439" s="28">
        <f>IF(B439="","",SalePrefix&amp;TEXT(ROW()-4,"0000"))</f>
        <v>0</v>
      </c>
      <c r="E439" s="15">
        <f>IF(D439="","",IFERROR(INDEX(Clients!$B$5:$B$504,MATCH(D439,Clients!$A$5:$A$504,0)),"Walk-in"))</f>
        <v>0</v>
      </c>
      <c r="G439" s="15">
        <f>IF(F439="","",IFERROR(INDEX(Staff!$B$5:$B$44,MATCH(F439,Staff!$A$5:$A$44,0)),"House"))</f>
        <v>0</v>
      </c>
      <c r="R439" s="15">
        <f>IF(B439="","",TEXT(B439,"yyyy-mm"))</f>
        <v>0</v>
      </c>
      <c r="S439" s="25">
        <f>IF(B439="","",WEEKNUM(B439,2))</f>
        <v>0</v>
      </c>
      <c r="T439" s="37">
        <f>IF(B439="","",IF(K439="",1,K439))</f>
        <v>0</v>
      </c>
      <c r="U439" s="15">
        <f>IF(B439="","",IF(J439&lt;&gt;"",J439,IF(H439="Retail",IFERROR(INDEX(Inventory!$B$5:$B$304,MATCH(I439,Inventory!$A$5:$A$304,0))&amp;"","Not in Inventory"),IFERROR(INDEX(Services!$B$5:$B$204,MATCH(I439,Services!$A$5:$A$204,0))&amp;"","Not in Services"))))</f>
        <v>0</v>
      </c>
      <c r="V439" s="26">
        <f>IF(B439="","",IF(L439&lt;&gt;"",L439,IF(H439="Retail",IFERROR(INDEX(Inventory!$I$5:$I$304,MATCH(I439,Inventory!$A$5:$A$304,0))*1,0),IFERROR(INDEX(Services!$G$5:$G$204,MATCH(I439,Services!$A$5:$A$204,0))*1,0))))</f>
        <v>0</v>
      </c>
      <c r="W439" s="26">
        <f>IF(B439="","",ROUND(T439*V439,2))</f>
        <v>0</v>
      </c>
      <c r="X439" s="26">
        <f>IF(B439="","",ROUND(IF(M439="",0,W439*M439)+IF(N439="",0,N439),2))</f>
        <v>0</v>
      </c>
      <c r="Y439" s="26">
        <f>IF(B439="","",ROUND(W439-X439-IF(P439="",0,P439),2))</f>
        <v>0</v>
      </c>
      <c r="Z439" s="26">
        <f>IF(B439="","",IF(H439="Retail",IF(TaxOnRetail="Yes",ROUND(Y439*TaxRate,2),0),IF(H439="Service",IF(TaxOnServices="Yes",ROUND(Y439*TaxRate,2),0),0)))</f>
        <v>0</v>
      </c>
      <c r="AA439" s="26">
        <f>IF(B439="","",ROUND(Y439+Z439,2))</f>
        <v>0</v>
      </c>
      <c r="AB439" s="26">
        <f>IF(B439="","",ROUND(T439*IF(H439="Retail",IFERROR(INDEX(Inventory!$H$5:$H$304,MATCH(I439,Inventory!$A$5:$A$304,0))*1,0),IFERROR(INDEX(Services!$Q$5:$Q$204,MATCH(I439,Services!$A$5:$A$204,0))*1,0)),2))</f>
        <v>0</v>
      </c>
      <c r="AC439" s="26">
        <f>IF(B439="","",ROUND(Y439-AB439,2))</f>
        <v>0</v>
      </c>
      <c r="AD439" s="38">
        <f>IF(B439="","",IF(C439="","No",IF(COUNTIFS($C$5:C439,C439)=1,"Yes","No")))</f>
        <v>0</v>
      </c>
      <c r="AE439" s="26">
        <f>IF(B439="","",ROUND(SUMIFS(Payments!$G$5:$G$1204,Payments!$H$5:$H$1204,A439,Payments!$Q$5:$Q$1204,"Yes"),2))</f>
        <v>0</v>
      </c>
      <c r="AF439" s="26">
        <f>IF(B439="","",IF(AD439="No",0,ROUND(SUMIFS(Payments!$G$5:$G$1204,Payments!$I$5:$I$1204,C439,Payments!$H$5:$H$1204,"",Payments!$Q$5:$Q$1204,"Yes"),2)))</f>
        <v>0</v>
      </c>
      <c r="AG439" s="26">
        <f>IF(B439="","",ROUND(AE439+AF439,2))</f>
        <v>0</v>
      </c>
      <c r="AH439" s="26">
        <f>IF(B439="","",ROUND(AA439-AG439,2))</f>
        <v>0</v>
      </c>
      <c r="AI439" s="39">
        <f>IF(B439="","",IF(AA439&lt;=0,"No charge",IF(AH439&lt;=0.004,"Paid",IF(AG439&lt;=0.004,"Unpaid","Part paid"))))</f>
        <v>0</v>
      </c>
      <c r="AJ439" s="38">
        <f>IF(B439="","",IF(H439&lt;&gt;"Service","",IF(D439="","No",IF(COUNTIFS($D$5:$D$1204,D439,$B$5:$B$1204,B439,$H$5:$H$1204,"Retail")&gt;0,"Yes","No"))))</f>
        <v>0</v>
      </c>
      <c r="AK439" s="25">
        <f>IF(B439="","",COUNTIFS($Y$5:$Y$1204,"&gt;"&amp;Y439)+COUNTIFS($Y$5:Y439,Y439))</f>
        <v>0</v>
      </c>
      <c r="AL439" s="39">
        <f>IF(B439="","",IF(H439="","Add - what kind of sale is this?",IF(IF(V439&lt;=0,P439="",FALSE),"Check - no price found for this item",IF(F439="","Assign - nobody credited",IF(AH439&gt;0.004,"Unpaid - balance outstanding",IF(AC439&lt;0,"Loss - sold below cost",IF(X439&gt;W439*0.5,"Check - more than half off","OK")))))))</f>
        <v>0</v>
      </c>
    </row>
    <row r="440" spans="1:38">
      <c r="A440" s="28">
        <f>IF(B440="","",SalePrefix&amp;TEXT(ROW()-4,"0000"))</f>
        <v>0</v>
      </c>
      <c r="E440" s="15">
        <f>IF(D440="","",IFERROR(INDEX(Clients!$B$5:$B$504,MATCH(D440,Clients!$A$5:$A$504,0)),"Walk-in"))</f>
        <v>0</v>
      </c>
      <c r="G440" s="15">
        <f>IF(F440="","",IFERROR(INDEX(Staff!$B$5:$B$44,MATCH(F440,Staff!$A$5:$A$44,0)),"House"))</f>
        <v>0</v>
      </c>
      <c r="R440" s="15">
        <f>IF(B440="","",TEXT(B440,"yyyy-mm"))</f>
        <v>0</v>
      </c>
      <c r="S440" s="25">
        <f>IF(B440="","",WEEKNUM(B440,2))</f>
        <v>0</v>
      </c>
      <c r="T440" s="37">
        <f>IF(B440="","",IF(K440="",1,K440))</f>
        <v>0</v>
      </c>
      <c r="U440" s="15">
        <f>IF(B440="","",IF(J440&lt;&gt;"",J440,IF(H440="Retail",IFERROR(INDEX(Inventory!$B$5:$B$304,MATCH(I440,Inventory!$A$5:$A$304,0))&amp;"","Not in Inventory"),IFERROR(INDEX(Services!$B$5:$B$204,MATCH(I440,Services!$A$5:$A$204,0))&amp;"","Not in Services"))))</f>
        <v>0</v>
      </c>
      <c r="V440" s="26">
        <f>IF(B440="","",IF(L440&lt;&gt;"",L440,IF(H440="Retail",IFERROR(INDEX(Inventory!$I$5:$I$304,MATCH(I440,Inventory!$A$5:$A$304,0))*1,0),IFERROR(INDEX(Services!$G$5:$G$204,MATCH(I440,Services!$A$5:$A$204,0))*1,0))))</f>
        <v>0</v>
      </c>
      <c r="W440" s="26">
        <f>IF(B440="","",ROUND(T440*V440,2))</f>
        <v>0</v>
      </c>
      <c r="X440" s="26">
        <f>IF(B440="","",ROUND(IF(M440="",0,W440*M440)+IF(N440="",0,N440),2))</f>
        <v>0</v>
      </c>
      <c r="Y440" s="26">
        <f>IF(B440="","",ROUND(W440-X440-IF(P440="",0,P440),2))</f>
        <v>0</v>
      </c>
      <c r="Z440" s="26">
        <f>IF(B440="","",IF(H440="Retail",IF(TaxOnRetail="Yes",ROUND(Y440*TaxRate,2),0),IF(H440="Service",IF(TaxOnServices="Yes",ROUND(Y440*TaxRate,2),0),0)))</f>
        <v>0</v>
      </c>
      <c r="AA440" s="26">
        <f>IF(B440="","",ROUND(Y440+Z440,2))</f>
        <v>0</v>
      </c>
      <c r="AB440" s="26">
        <f>IF(B440="","",ROUND(T440*IF(H440="Retail",IFERROR(INDEX(Inventory!$H$5:$H$304,MATCH(I440,Inventory!$A$5:$A$304,0))*1,0),IFERROR(INDEX(Services!$Q$5:$Q$204,MATCH(I440,Services!$A$5:$A$204,0))*1,0)),2))</f>
        <v>0</v>
      </c>
      <c r="AC440" s="26">
        <f>IF(B440="","",ROUND(Y440-AB440,2))</f>
        <v>0</v>
      </c>
      <c r="AD440" s="38">
        <f>IF(B440="","",IF(C440="","No",IF(COUNTIFS($C$5:C440,C440)=1,"Yes","No")))</f>
        <v>0</v>
      </c>
      <c r="AE440" s="26">
        <f>IF(B440="","",ROUND(SUMIFS(Payments!$G$5:$G$1204,Payments!$H$5:$H$1204,A440,Payments!$Q$5:$Q$1204,"Yes"),2))</f>
        <v>0</v>
      </c>
      <c r="AF440" s="26">
        <f>IF(B440="","",IF(AD440="No",0,ROUND(SUMIFS(Payments!$G$5:$G$1204,Payments!$I$5:$I$1204,C440,Payments!$H$5:$H$1204,"",Payments!$Q$5:$Q$1204,"Yes"),2)))</f>
        <v>0</v>
      </c>
      <c r="AG440" s="26">
        <f>IF(B440="","",ROUND(AE440+AF440,2))</f>
        <v>0</v>
      </c>
      <c r="AH440" s="26">
        <f>IF(B440="","",ROUND(AA440-AG440,2))</f>
        <v>0</v>
      </c>
      <c r="AI440" s="39">
        <f>IF(B440="","",IF(AA440&lt;=0,"No charge",IF(AH440&lt;=0.004,"Paid",IF(AG440&lt;=0.004,"Unpaid","Part paid"))))</f>
        <v>0</v>
      </c>
      <c r="AJ440" s="38">
        <f>IF(B440="","",IF(H440&lt;&gt;"Service","",IF(D440="","No",IF(COUNTIFS($D$5:$D$1204,D440,$B$5:$B$1204,B440,$H$5:$H$1204,"Retail")&gt;0,"Yes","No"))))</f>
        <v>0</v>
      </c>
      <c r="AK440" s="25">
        <f>IF(B440="","",COUNTIFS($Y$5:$Y$1204,"&gt;"&amp;Y440)+COUNTIFS($Y$5:Y440,Y440))</f>
        <v>0</v>
      </c>
      <c r="AL440" s="39">
        <f>IF(B440="","",IF(H440="","Add - what kind of sale is this?",IF(IF(V440&lt;=0,P440="",FALSE),"Check - no price found for this item",IF(F440="","Assign - nobody credited",IF(AH440&gt;0.004,"Unpaid - balance outstanding",IF(AC440&lt;0,"Loss - sold below cost",IF(X440&gt;W440*0.5,"Check - more than half off","OK")))))))</f>
        <v>0</v>
      </c>
    </row>
    <row r="441" spans="1:38">
      <c r="A441" s="28">
        <f>IF(B441="","",SalePrefix&amp;TEXT(ROW()-4,"0000"))</f>
        <v>0</v>
      </c>
      <c r="E441" s="15">
        <f>IF(D441="","",IFERROR(INDEX(Clients!$B$5:$B$504,MATCH(D441,Clients!$A$5:$A$504,0)),"Walk-in"))</f>
        <v>0</v>
      </c>
      <c r="G441" s="15">
        <f>IF(F441="","",IFERROR(INDEX(Staff!$B$5:$B$44,MATCH(F441,Staff!$A$5:$A$44,0)),"House"))</f>
        <v>0</v>
      </c>
      <c r="R441" s="15">
        <f>IF(B441="","",TEXT(B441,"yyyy-mm"))</f>
        <v>0</v>
      </c>
      <c r="S441" s="25">
        <f>IF(B441="","",WEEKNUM(B441,2))</f>
        <v>0</v>
      </c>
      <c r="T441" s="37">
        <f>IF(B441="","",IF(K441="",1,K441))</f>
        <v>0</v>
      </c>
      <c r="U441" s="15">
        <f>IF(B441="","",IF(J441&lt;&gt;"",J441,IF(H441="Retail",IFERROR(INDEX(Inventory!$B$5:$B$304,MATCH(I441,Inventory!$A$5:$A$304,0))&amp;"","Not in Inventory"),IFERROR(INDEX(Services!$B$5:$B$204,MATCH(I441,Services!$A$5:$A$204,0))&amp;"","Not in Services"))))</f>
        <v>0</v>
      </c>
      <c r="V441" s="26">
        <f>IF(B441="","",IF(L441&lt;&gt;"",L441,IF(H441="Retail",IFERROR(INDEX(Inventory!$I$5:$I$304,MATCH(I441,Inventory!$A$5:$A$304,0))*1,0),IFERROR(INDEX(Services!$G$5:$G$204,MATCH(I441,Services!$A$5:$A$204,0))*1,0))))</f>
        <v>0</v>
      </c>
      <c r="W441" s="26">
        <f>IF(B441="","",ROUND(T441*V441,2))</f>
        <v>0</v>
      </c>
      <c r="X441" s="26">
        <f>IF(B441="","",ROUND(IF(M441="",0,W441*M441)+IF(N441="",0,N441),2))</f>
        <v>0</v>
      </c>
      <c r="Y441" s="26">
        <f>IF(B441="","",ROUND(W441-X441-IF(P441="",0,P441),2))</f>
        <v>0</v>
      </c>
      <c r="Z441" s="26">
        <f>IF(B441="","",IF(H441="Retail",IF(TaxOnRetail="Yes",ROUND(Y441*TaxRate,2),0),IF(H441="Service",IF(TaxOnServices="Yes",ROUND(Y441*TaxRate,2),0),0)))</f>
        <v>0</v>
      </c>
      <c r="AA441" s="26">
        <f>IF(B441="","",ROUND(Y441+Z441,2))</f>
        <v>0</v>
      </c>
      <c r="AB441" s="26">
        <f>IF(B441="","",ROUND(T441*IF(H441="Retail",IFERROR(INDEX(Inventory!$H$5:$H$304,MATCH(I441,Inventory!$A$5:$A$304,0))*1,0),IFERROR(INDEX(Services!$Q$5:$Q$204,MATCH(I441,Services!$A$5:$A$204,0))*1,0)),2))</f>
        <v>0</v>
      </c>
      <c r="AC441" s="26">
        <f>IF(B441="","",ROUND(Y441-AB441,2))</f>
        <v>0</v>
      </c>
      <c r="AD441" s="38">
        <f>IF(B441="","",IF(C441="","No",IF(COUNTIFS($C$5:C441,C441)=1,"Yes","No")))</f>
        <v>0</v>
      </c>
      <c r="AE441" s="26">
        <f>IF(B441="","",ROUND(SUMIFS(Payments!$G$5:$G$1204,Payments!$H$5:$H$1204,A441,Payments!$Q$5:$Q$1204,"Yes"),2))</f>
        <v>0</v>
      </c>
      <c r="AF441" s="26">
        <f>IF(B441="","",IF(AD441="No",0,ROUND(SUMIFS(Payments!$G$5:$G$1204,Payments!$I$5:$I$1204,C441,Payments!$H$5:$H$1204,"",Payments!$Q$5:$Q$1204,"Yes"),2)))</f>
        <v>0</v>
      </c>
      <c r="AG441" s="26">
        <f>IF(B441="","",ROUND(AE441+AF441,2))</f>
        <v>0</v>
      </c>
      <c r="AH441" s="26">
        <f>IF(B441="","",ROUND(AA441-AG441,2))</f>
        <v>0</v>
      </c>
      <c r="AI441" s="39">
        <f>IF(B441="","",IF(AA441&lt;=0,"No charge",IF(AH441&lt;=0.004,"Paid",IF(AG441&lt;=0.004,"Unpaid","Part paid"))))</f>
        <v>0</v>
      </c>
      <c r="AJ441" s="38">
        <f>IF(B441="","",IF(H441&lt;&gt;"Service","",IF(D441="","No",IF(COUNTIFS($D$5:$D$1204,D441,$B$5:$B$1204,B441,$H$5:$H$1204,"Retail")&gt;0,"Yes","No"))))</f>
        <v>0</v>
      </c>
      <c r="AK441" s="25">
        <f>IF(B441="","",COUNTIFS($Y$5:$Y$1204,"&gt;"&amp;Y441)+COUNTIFS($Y$5:Y441,Y441))</f>
        <v>0</v>
      </c>
      <c r="AL441" s="39">
        <f>IF(B441="","",IF(H441="","Add - what kind of sale is this?",IF(IF(V441&lt;=0,P441="",FALSE),"Check - no price found for this item",IF(F441="","Assign - nobody credited",IF(AH441&gt;0.004,"Unpaid - balance outstanding",IF(AC441&lt;0,"Loss - sold below cost",IF(X441&gt;W441*0.5,"Check - more than half off","OK")))))))</f>
        <v>0</v>
      </c>
    </row>
    <row r="442" spans="1:38">
      <c r="A442" s="28">
        <f>IF(B442="","",SalePrefix&amp;TEXT(ROW()-4,"0000"))</f>
        <v>0</v>
      </c>
      <c r="E442" s="15">
        <f>IF(D442="","",IFERROR(INDEX(Clients!$B$5:$B$504,MATCH(D442,Clients!$A$5:$A$504,0)),"Walk-in"))</f>
        <v>0</v>
      </c>
      <c r="G442" s="15">
        <f>IF(F442="","",IFERROR(INDEX(Staff!$B$5:$B$44,MATCH(F442,Staff!$A$5:$A$44,0)),"House"))</f>
        <v>0</v>
      </c>
      <c r="R442" s="15">
        <f>IF(B442="","",TEXT(B442,"yyyy-mm"))</f>
        <v>0</v>
      </c>
      <c r="S442" s="25">
        <f>IF(B442="","",WEEKNUM(B442,2))</f>
        <v>0</v>
      </c>
      <c r="T442" s="37">
        <f>IF(B442="","",IF(K442="",1,K442))</f>
        <v>0</v>
      </c>
      <c r="U442" s="15">
        <f>IF(B442="","",IF(J442&lt;&gt;"",J442,IF(H442="Retail",IFERROR(INDEX(Inventory!$B$5:$B$304,MATCH(I442,Inventory!$A$5:$A$304,0))&amp;"","Not in Inventory"),IFERROR(INDEX(Services!$B$5:$B$204,MATCH(I442,Services!$A$5:$A$204,0))&amp;"","Not in Services"))))</f>
        <v>0</v>
      </c>
      <c r="V442" s="26">
        <f>IF(B442="","",IF(L442&lt;&gt;"",L442,IF(H442="Retail",IFERROR(INDEX(Inventory!$I$5:$I$304,MATCH(I442,Inventory!$A$5:$A$304,0))*1,0),IFERROR(INDEX(Services!$G$5:$G$204,MATCH(I442,Services!$A$5:$A$204,0))*1,0))))</f>
        <v>0</v>
      </c>
      <c r="W442" s="26">
        <f>IF(B442="","",ROUND(T442*V442,2))</f>
        <v>0</v>
      </c>
      <c r="X442" s="26">
        <f>IF(B442="","",ROUND(IF(M442="",0,W442*M442)+IF(N442="",0,N442),2))</f>
        <v>0</v>
      </c>
      <c r="Y442" s="26">
        <f>IF(B442="","",ROUND(W442-X442-IF(P442="",0,P442),2))</f>
        <v>0</v>
      </c>
      <c r="Z442" s="26">
        <f>IF(B442="","",IF(H442="Retail",IF(TaxOnRetail="Yes",ROUND(Y442*TaxRate,2),0),IF(H442="Service",IF(TaxOnServices="Yes",ROUND(Y442*TaxRate,2),0),0)))</f>
        <v>0</v>
      </c>
      <c r="AA442" s="26">
        <f>IF(B442="","",ROUND(Y442+Z442,2))</f>
        <v>0</v>
      </c>
      <c r="AB442" s="26">
        <f>IF(B442="","",ROUND(T442*IF(H442="Retail",IFERROR(INDEX(Inventory!$H$5:$H$304,MATCH(I442,Inventory!$A$5:$A$304,0))*1,0),IFERROR(INDEX(Services!$Q$5:$Q$204,MATCH(I442,Services!$A$5:$A$204,0))*1,0)),2))</f>
        <v>0</v>
      </c>
      <c r="AC442" s="26">
        <f>IF(B442="","",ROUND(Y442-AB442,2))</f>
        <v>0</v>
      </c>
      <c r="AD442" s="38">
        <f>IF(B442="","",IF(C442="","No",IF(COUNTIFS($C$5:C442,C442)=1,"Yes","No")))</f>
        <v>0</v>
      </c>
      <c r="AE442" s="26">
        <f>IF(B442="","",ROUND(SUMIFS(Payments!$G$5:$G$1204,Payments!$H$5:$H$1204,A442,Payments!$Q$5:$Q$1204,"Yes"),2))</f>
        <v>0</v>
      </c>
      <c r="AF442" s="26">
        <f>IF(B442="","",IF(AD442="No",0,ROUND(SUMIFS(Payments!$G$5:$G$1204,Payments!$I$5:$I$1204,C442,Payments!$H$5:$H$1204,"",Payments!$Q$5:$Q$1204,"Yes"),2)))</f>
        <v>0</v>
      </c>
      <c r="AG442" s="26">
        <f>IF(B442="","",ROUND(AE442+AF442,2))</f>
        <v>0</v>
      </c>
      <c r="AH442" s="26">
        <f>IF(B442="","",ROUND(AA442-AG442,2))</f>
        <v>0</v>
      </c>
      <c r="AI442" s="39">
        <f>IF(B442="","",IF(AA442&lt;=0,"No charge",IF(AH442&lt;=0.004,"Paid",IF(AG442&lt;=0.004,"Unpaid","Part paid"))))</f>
        <v>0</v>
      </c>
      <c r="AJ442" s="38">
        <f>IF(B442="","",IF(H442&lt;&gt;"Service","",IF(D442="","No",IF(COUNTIFS($D$5:$D$1204,D442,$B$5:$B$1204,B442,$H$5:$H$1204,"Retail")&gt;0,"Yes","No"))))</f>
        <v>0</v>
      </c>
      <c r="AK442" s="25">
        <f>IF(B442="","",COUNTIFS($Y$5:$Y$1204,"&gt;"&amp;Y442)+COUNTIFS($Y$5:Y442,Y442))</f>
        <v>0</v>
      </c>
      <c r="AL442" s="39">
        <f>IF(B442="","",IF(H442="","Add - what kind of sale is this?",IF(IF(V442&lt;=0,P442="",FALSE),"Check - no price found for this item",IF(F442="","Assign - nobody credited",IF(AH442&gt;0.004,"Unpaid - balance outstanding",IF(AC442&lt;0,"Loss - sold below cost",IF(X442&gt;W442*0.5,"Check - more than half off","OK")))))))</f>
        <v>0</v>
      </c>
    </row>
    <row r="443" spans="1:38">
      <c r="A443" s="28">
        <f>IF(B443="","",SalePrefix&amp;TEXT(ROW()-4,"0000"))</f>
        <v>0</v>
      </c>
      <c r="E443" s="15">
        <f>IF(D443="","",IFERROR(INDEX(Clients!$B$5:$B$504,MATCH(D443,Clients!$A$5:$A$504,0)),"Walk-in"))</f>
        <v>0</v>
      </c>
      <c r="G443" s="15">
        <f>IF(F443="","",IFERROR(INDEX(Staff!$B$5:$B$44,MATCH(F443,Staff!$A$5:$A$44,0)),"House"))</f>
        <v>0</v>
      </c>
      <c r="R443" s="15">
        <f>IF(B443="","",TEXT(B443,"yyyy-mm"))</f>
        <v>0</v>
      </c>
      <c r="S443" s="25">
        <f>IF(B443="","",WEEKNUM(B443,2))</f>
        <v>0</v>
      </c>
      <c r="T443" s="37">
        <f>IF(B443="","",IF(K443="",1,K443))</f>
        <v>0</v>
      </c>
      <c r="U443" s="15">
        <f>IF(B443="","",IF(J443&lt;&gt;"",J443,IF(H443="Retail",IFERROR(INDEX(Inventory!$B$5:$B$304,MATCH(I443,Inventory!$A$5:$A$304,0))&amp;"","Not in Inventory"),IFERROR(INDEX(Services!$B$5:$B$204,MATCH(I443,Services!$A$5:$A$204,0))&amp;"","Not in Services"))))</f>
        <v>0</v>
      </c>
      <c r="V443" s="26">
        <f>IF(B443="","",IF(L443&lt;&gt;"",L443,IF(H443="Retail",IFERROR(INDEX(Inventory!$I$5:$I$304,MATCH(I443,Inventory!$A$5:$A$304,0))*1,0),IFERROR(INDEX(Services!$G$5:$G$204,MATCH(I443,Services!$A$5:$A$204,0))*1,0))))</f>
        <v>0</v>
      </c>
      <c r="W443" s="26">
        <f>IF(B443="","",ROUND(T443*V443,2))</f>
        <v>0</v>
      </c>
      <c r="X443" s="26">
        <f>IF(B443="","",ROUND(IF(M443="",0,W443*M443)+IF(N443="",0,N443),2))</f>
        <v>0</v>
      </c>
      <c r="Y443" s="26">
        <f>IF(B443="","",ROUND(W443-X443-IF(P443="",0,P443),2))</f>
        <v>0</v>
      </c>
      <c r="Z443" s="26">
        <f>IF(B443="","",IF(H443="Retail",IF(TaxOnRetail="Yes",ROUND(Y443*TaxRate,2),0),IF(H443="Service",IF(TaxOnServices="Yes",ROUND(Y443*TaxRate,2),0),0)))</f>
        <v>0</v>
      </c>
      <c r="AA443" s="26">
        <f>IF(B443="","",ROUND(Y443+Z443,2))</f>
        <v>0</v>
      </c>
      <c r="AB443" s="26">
        <f>IF(B443="","",ROUND(T443*IF(H443="Retail",IFERROR(INDEX(Inventory!$H$5:$H$304,MATCH(I443,Inventory!$A$5:$A$304,0))*1,0),IFERROR(INDEX(Services!$Q$5:$Q$204,MATCH(I443,Services!$A$5:$A$204,0))*1,0)),2))</f>
        <v>0</v>
      </c>
      <c r="AC443" s="26">
        <f>IF(B443="","",ROUND(Y443-AB443,2))</f>
        <v>0</v>
      </c>
      <c r="AD443" s="38">
        <f>IF(B443="","",IF(C443="","No",IF(COUNTIFS($C$5:C443,C443)=1,"Yes","No")))</f>
        <v>0</v>
      </c>
      <c r="AE443" s="26">
        <f>IF(B443="","",ROUND(SUMIFS(Payments!$G$5:$G$1204,Payments!$H$5:$H$1204,A443,Payments!$Q$5:$Q$1204,"Yes"),2))</f>
        <v>0</v>
      </c>
      <c r="AF443" s="26">
        <f>IF(B443="","",IF(AD443="No",0,ROUND(SUMIFS(Payments!$G$5:$G$1204,Payments!$I$5:$I$1204,C443,Payments!$H$5:$H$1204,"",Payments!$Q$5:$Q$1204,"Yes"),2)))</f>
        <v>0</v>
      </c>
      <c r="AG443" s="26">
        <f>IF(B443="","",ROUND(AE443+AF443,2))</f>
        <v>0</v>
      </c>
      <c r="AH443" s="26">
        <f>IF(B443="","",ROUND(AA443-AG443,2))</f>
        <v>0</v>
      </c>
      <c r="AI443" s="39">
        <f>IF(B443="","",IF(AA443&lt;=0,"No charge",IF(AH443&lt;=0.004,"Paid",IF(AG443&lt;=0.004,"Unpaid","Part paid"))))</f>
        <v>0</v>
      </c>
      <c r="AJ443" s="38">
        <f>IF(B443="","",IF(H443&lt;&gt;"Service","",IF(D443="","No",IF(COUNTIFS($D$5:$D$1204,D443,$B$5:$B$1204,B443,$H$5:$H$1204,"Retail")&gt;0,"Yes","No"))))</f>
        <v>0</v>
      </c>
      <c r="AK443" s="25">
        <f>IF(B443="","",COUNTIFS($Y$5:$Y$1204,"&gt;"&amp;Y443)+COUNTIFS($Y$5:Y443,Y443))</f>
        <v>0</v>
      </c>
      <c r="AL443" s="39">
        <f>IF(B443="","",IF(H443="","Add - what kind of sale is this?",IF(IF(V443&lt;=0,P443="",FALSE),"Check - no price found for this item",IF(F443="","Assign - nobody credited",IF(AH443&gt;0.004,"Unpaid - balance outstanding",IF(AC443&lt;0,"Loss - sold below cost",IF(X443&gt;W443*0.5,"Check - more than half off","OK")))))))</f>
        <v>0</v>
      </c>
    </row>
    <row r="444" spans="1:38">
      <c r="A444" s="28">
        <f>IF(B444="","",SalePrefix&amp;TEXT(ROW()-4,"0000"))</f>
        <v>0</v>
      </c>
      <c r="E444" s="15">
        <f>IF(D444="","",IFERROR(INDEX(Clients!$B$5:$B$504,MATCH(D444,Clients!$A$5:$A$504,0)),"Walk-in"))</f>
        <v>0</v>
      </c>
      <c r="G444" s="15">
        <f>IF(F444="","",IFERROR(INDEX(Staff!$B$5:$B$44,MATCH(F444,Staff!$A$5:$A$44,0)),"House"))</f>
        <v>0</v>
      </c>
      <c r="R444" s="15">
        <f>IF(B444="","",TEXT(B444,"yyyy-mm"))</f>
        <v>0</v>
      </c>
      <c r="S444" s="25">
        <f>IF(B444="","",WEEKNUM(B444,2))</f>
        <v>0</v>
      </c>
      <c r="T444" s="37">
        <f>IF(B444="","",IF(K444="",1,K444))</f>
        <v>0</v>
      </c>
      <c r="U444" s="15">
        <f>IF(B444="","",IF(J444&lt;&gt;"",J444,IF(H444="Retail",IFERROR(INDEX(Inventory!$B$5:$B$304,MATCH(I444,Inventory!$A$5:$A$304,0))&amp;"","Not in Inventory"),IFERROR(INDEX(Services!$B$5:$B$204,MATCH(I444,Services!$A$5:$A$204,0))&amp;"","Not in Services"))))</f>
        <v>0</v>
      </c>
      <c r="V444" s="26">
        <f>IF(B444="","",IF(L444&lt;&gt;"",L444,IF(H444="Retail",IFERROR(INDEX(Inventory!$I$5:$I$304,MATCH(I444,Inventory!$A$5:$A$304,0))*1,0),IFERROR(INDEX(Services!$G$5:$G$204,MATCH(I444,Services!$A$5:$A$204,0))*1,0))))</f>
        <v>0</v>
      </c>
      <c r="W444" s="26">
        <f>IF(B444="","",ROUND(T444*V444,2))</f>
        <v>0</v>
      </c>
      <c r="X444" s="26">
        <f>IF(B444="","",ROUND(IF(M444="",0,W444*M444)+IF(N444="",0,N444),2))</f>
        <v>0</v>
      </c>
      <c r="Y444" s="26">
        <f>IF(B444="","",ROUND(W444-X444-IF(P444="",0,P444),2))</f>
        <v>0</v>
      </c>
      <c r="Z444" s="26">
        <f>IF(B444="","",IF(H444="Retail",IF(TaxOnRetail="Yes",ROUND(Y444*TaxRate,2),0),IF(H444="Service",IF(TaxOnServices="Yes",ROUND(Y444*TaxRate,2),0),0)))</f>
        <v>0</v>
      </c>
      <c r="AA444" s="26">
        <f>IF(B444="","",ROUND(Y444+Z444,2))</f>
        <v>0</v>
      </c>
      <c r="AB444" s="26">
        <f>IF(B444="","",ROUND(T444*IF(H444="Retail",IFERROR(INDEX(Inventory!$H$5:$H$304,MATCH(I444,Inventory!$A$5:$A$304,0))*1,0),IFERROR(INDEX(Services!$Q$5:$Q$204,MATCH(I444,Services!$A$5:$A$204,0))*1,0)),2))</f>
        <v>0</v>
      </c>
      <c r="AC444" s="26">
        <f>IF(B444="","",ROUND(Y444-AB444,2))</f>
        <v>0</v>
      </c>
      <c r="AD444" s="38">
        <f>IF(B444="","",IF(C444="","No",IF(COUNTIFS($C$5:C444,C444)=1,"Yes","No")))</f>
        <v>0</v>
      </c>
      <c r="AE444" s="26">
        <f>IF(B444="","",ROUND(SUMIFS(Payments!$G$5:$G$1204,Payments!$H$5:$H$1204,A444,Payments!$Q$5:$Q$1204,"Yes"),2))</f>
        <v>0</v>
      </c>
      <c r="AF444" s="26">
        <f>IF(B444="","",IF(AD444="No",0,ROUND(SUMIFS(Payments!$G$5:$G$1204,Payments!$I$5:$I$1204,C444,Payments!$H$5:$H$1204,"",Payments!$Q$5:$Q$1204,"Yes"),2)))</f>
        <v>0</v>
      </c>
      <c r="AG444" s="26">
        <f>IF(B444="","",ROUND(AE444+AF444,2))</f>
        <v>0</v>
      </c>
      <c r="AH444" s="26">
        <f>IF(B444="","",ROUND(AA444-AG444,2))</f>
        <v>0</v>
      </c>
      <c r="AI444" s="39">
        <f>IF(B444="","",IF(AA444&lt;=0,"No charge",IF(AH444&lt;=0.004,"Paid",IF(AG444&lt;=0.004,"Unpaid","Part paid"))))</f>
        <v>0</v>
      </c>
      <c r="AJ444" s="38">
        <f>IF(B444="","",IF(H444&lt;&gt;"Service","",IF(D444="","No",IF(COUNTIFS($D$5:$D$1204,D444,$B$5:$B$1204,B444,$H$5:$H$1204,"Retail")&gt;0,"Yes","No"))))</f>
        <v>0</v>
      </c>
      <c r="AK444" s="25">
        <f>IF(B444="","",COUNTIFS($Y$5:$Y$1204,"&gt;"&amp;Y444)+COUNTIFS($Y$5:Y444,Y444))</f>
        <v>0</v>
      </c>
      <c r="AL444" s="39">
        <f>IF(B444="","",IF(H444="","Add - what kind of sale is this?",IF(IF(V444&lt;=0,P444="",FALSE),"Check - no price found for this item",IF(F444="","Assign - nobody credited",IF(AH444&gt;0.004,"Unpaid - balance outstanding",IF(AC444&lt;0,"Loss - sold below cost",IF(X444&gt;W444*0.5,"Check - more than half off","OK")))))))</f>
        <v>0</v>
      </c>
    </row>
    <row r="445" spans="1:38">
      <c r="A445" s="28">
        <f>IF(B445="","",SalePrefix&amp;TEXT(ROW()-4,"0000"))</f>
        <v>0</v>
      </c>
      <c r="E445" s="15">
        <f>IF(D445="","",IFERROR(INDEX(Clients!$B$5:$B$504,MATCH(D445,Clients!$A$5:$A$504,0)),"Walk-in"))</f>
        <v>0</v>
      </c>
      <c r="G445" s="15">
        <f>IF(F445="","",IFERROR(INDEX(Staff!$B$5:$B$44,MATCH(F445,Staff!$A$5:$A$44,0)),"House"))</f>
        <v>0</v>
      </c>
      <c r="R445" s="15">
        <f>IF(B445="","",TEXT(B445,"yyyy-mm"))</f>
        <v>0</v>
      </c>
      <c r="S445" s="25">
        <f>IF(B445="","",WEEKNUM(B445,2))</f>
        <v>0</v>
      </c>
      <c r="T445" s="37">
        <f>IF(B445="","",IF(K445="",1,K445))</f>
        <v>0</v>
      </c>
      <c r="U445" s="15">
        <f>IF(B445="","",IF(J445&lt;&gt;"",J445,IF(H445="Retail",IFERROR(INDEX(Inventory!$B$5:$B$304,MATCH(I445,Inventory!$A$5:$A$304,0))&amp;"","Not in Inventory"),IFERROR(INDEX(Services!$B$5:$B$204,MATCH(I445,Services!$A$5:$A$204,0))&amp;"","Not in Services"))))</f>
        <v>0</v>
      </c>
      <c r="V445" s="26">
        <f>IF(B445="","",IF(L445&lt;&gt;"",L445,IF(H445="Retail",IFERROR(INDEX(Inventory!$I$5:$I$304,MATCH(I445,Inventory!$A$5:$A$304,0))*1,0),IFERROR(INDEX(Services!$G$5:$G$204,MATCH(I445,Services!$A$5:$A$204,0))*1,0))))</f>
        <v>0</v>
      </c>
      <c r="W445" s="26">
        <f>IF(B445="","",ROUND(T445*V445,2))</f>
        <v>0</v>
      </c>
      <c r="X445" s="26">
        <f>IF(B445="","",ROUND(IF(M445="",0,W445*M445)+IF(N445="",0,N445),2))</f>
        <v>0</v>
      </c>
      <c r="Y445" s="26">
        <f>IF(B445="","",ROUND(W445-X445-IF(P445="",0,P445),2))</f>
        <v>0</v>
      </c>
      <c r="Z445" s="26">
        <f>IF(B445="","",IF(H445="Retail",IF(TaxOnRetail="Yes",ROUND(Y445*TaxRate,2),0),IF(H445="Service",IF(TaxOnServices="Yes",ROUND(Y445*TaxRate,2),0),0)))</f>
        <v>0</v>
      </c>
      <c r="AA445" s="26">
        <f>IF(B445="","",ROUND(Y445+Z445,2))</f>
        <v>0</v>
      </c>
      <c r="AB445" s="26">
        <f>IF(B445="","",ROUND(T445*IF(H445="Retail",IFERROR(INDEX(Inventory!$H$5:$H$304,MATCH(I445,Inventory!$A$5:$A$304,0))*1,0),IFERROR(INDEX(Services!$Q$5:$Q$204,MATCH(I445,Services!$A$5:$A$204,0))*1,0)),2))</f>
        <v>0</v>
      </c>
      <c r="AC445" s="26">
        <f>IF(B445="","",ROUND(Y445-AB445,2))</f>
        <v>0</v>
      </c>
      <c r="AD445" s="38">
        <f>IF(B445="","",IF(C445="","No",IF(COUNTIFS($C$5:C445,C445)=1,"Yes","No")))</f>
        <v>0</v>
      </c>
      <c r="AE445" s="26">
        <f>IF(B445="","",ROUND(SUMIFS(Payments!$G$5:$G$1204,Payments!$H$5:$H$1204,A445,Payments!$Q$5:$Q$1204,"Yes"),2))</f>
        <v>0</v>
      </c>
      <c r="AF445" s="26">
        <f>IF(B445="","",IF(AD445="No",0,ROUND(SUMIFS(Payments!$G$5:$G$1204,Payments!$I$5:$I$1204,C445,Payments!$H$5:$H$1204,"",Payments!$Q$5:$Q$1204,"Yes"),2)))</f>
        <v>0</v>
      </c>
      <c r="AG445" s="26">
        <f>IF(B445="","",ROUND(AE445+AF445,2))</f>
        <v>0</v>
      </c>
      <c r="AH445" s="26">
        <f>IF(B445="","",ROUND(AA445-AG445,2))</f>
        <v>0</v>
      </c>
      <c r="AI445" s="39">
        <f>IF(B445="","",IF(AA445&lt;=0,"No charge",IF(AH445&lt;=0.004,"Paid",IF(AG445&lt;=0.004,"Unpaid","Part paid"))))</f>
        <v>0</v>
      </c>
      <c r="AJ445" s="38">
        <f>IF(B445="","",IF(H445&lt;&gt;"Service","",IF(D445="","No",IF(COUNTIFS($D$5:$D$1204,D445,$B$5:$B$1204,B445,$H$5:$H$1204,"Retail")&gt;0,"Yes","No"))))</f>
        <v>0</v>
      </c>
      <c r="AK445" s="25">
        <f>IF(B445="","",COUNTIFS($Y$5:$Y$1204,"&gt;"&amp;Y445)+COUNTIFS($Y$5:Y445,Y445))</f>
        <v>0</v>
      </c>
      <c r="AL445" s="39">
        <f>IF(B445="","",IF(H445="","Add - what kind of sale is this?",IF(IF(V445&lt;=0,P445="",FALSE),"Check - no price found for this item",IF(F445="","Assign - nobody credited",IF(AH445&gt;0.004,"Unpaid - balance outstanding",IF(AC445&lt;0,"Loss - sold below cost",IF(X445&gt;W445*0.5,"Check - more than half off","OK")))))))</f>
        <v>0</v>
      </c>
    </row>
    <row r="446" spans="1:38">
      <c r="A446" s="28">
        <f>IF(B446="","",SalePrefix&amp;TEXT(ROW()-4,"0000"))</f>
        <v>0</v>
      </c>
      <c r="E446" s="15">
        <f>IF(D446="","",IFERROR(INDEX(Clients!$B$5:$B$504,MATCH(D446,Clients!$A$5:$A$504,0)),"Walk-in"))</f>
        <v>0</v>
      </c>
      <c r="G446" s="15">
        <f>IF(F446="","",IFERROR(INDEX(Staff!$B$5:$B$44,MATCH(F446,Staff!$A$5:$A$44,0)),"House"))</f>
        <v>0</v>
      </c>
      <c r="R446" s="15">
        <f>IF(B446="","",TEXT(B446,"yyyy-mm"))</f>
        <v>0</v>
      </c>
      <c r="S446" s="25">
        <f>IF(B446="","",WEEKNUM(B446,2))</f>
        <v>0</v>
      </c>
      <c r="T446" s="37">
        <f>IF(B446="","",IF(K446="",1,K446))</f>
        <v>0</v>
      </c>
      <c r="U446" s="15">
        <f>IF(B446="","",IF(J446&lt;&gt;"",J446,IF(H446="Retail",IFERROR(INDEX(Inventory!$B$5:$B$304,MATCH(I446,Inventory!$A$5:$A$304,0))&amp;"","Not in Inventory"),IFERROR(INDEX(Services!$B$5:$B$204,MATCH(I446,Services!$A$5:$A$204,0))&amp;"","Not in Services"))))</f>
        <v>0</v>
      </c>
      <c r="V446" s="26">
        <f>IF(B446="","",IF(L446&lt;&gt;"",L446,IF(H446="Retail",IFERROR(INDEX(Inventory!$I$5:$I$304,MATCH(I446,Inventory!$A$5:$A$304,0))*1,0),IFERROR(INDEX(Services!$G$5:$G$204,MATCH(I446,Services!$A$5:$A$204,0))*1,0))))</f>
        <v>0</v>
      </c>
      <c r="W446" s="26">
        <f>IF(B446="","",ROUND(T446*V446,2))</f>
        <v>0</v>
      </c>
      <c r="X446" s="26">
        <f>IF(B446="","",ROUND(IF(M446="",0,W446*M446)+IF(N446="",0,N446),2))</f>
        <v>0</v>
      </c>
      <c r="Y446" s="26">
        <f>IF(B446="","",ROUND(W446-X446-IF(P446="",0,P446),2))</f>
        <v>0</v>
      </c>
      <c r="Z446" s="26">
        <f>IF(B446="","",IF(H446="Retail",IF(TaxOnRetail="Yes",ROUND(Y446*TaxRate,2),0),IF(H446="Service",IF(TaxOnServices="Yes",ROUND(Y446*TaxRate,2),0),0)))</f>
        <v>0</v>
      </c>
      <c r="AA446" s="26">
        <f>IF(B446="","",ROUND(Y446+Z446,2))</f>
        <v>0</v>
      </c>
      <c r="AB446" s="26">
        <f>IF(B446="","",ROUND(T446*IF(H446="Retail",IFERROR(INDEX(Inventory!$H$5:$H$304,MATCH(I446,Inventory!$A$5:$A$304,0))*1,0),IFERROR(INDEX(Services!$Q$5:$Q$204,MATCH(I446,Services!$A$5:$A$204,0))*1,0)),2))</f>
        <v>0</v>
      </c>
      <c r="AC446" s="26">
        <f>IF(B446="","",ROUND(Y446-AB446,2))</f>
        <v>0</v>
      </c>
      <c r="AD446" s="38">
        <f>IF(B446="","",IF(C446="","No",IF(COUNTIFS($C$5:C446,C446)=1,"Yes","No")))</f>
        <v>0</v>
      </c>
      <c r="AE446" s="26">
        <f>IF(B446="","",ROUND(SUMIFS(Payments!$G$5:$G$1204,Payments!$H$5:$H$1204,A446,Payments!$Q$5:$Q$1204,"Yes"),2))</f>
        <v>0</v>
      </c>
      <c r="AF446" s="26">
        <f>IF(B446="","",IF(AD446="No",0,ROUND(SUMIFS(Payments!$G$5:$G$1204,Payments!$I$5:$I$1204,C446,Payments!$H$5:$H$1204,"",Payments!$Q$5:$Q$1204,"Yes"),2)))</f>
        <v>0</v>
      </c>
      <c r="AG446" s="26">
        <f>IF(B446="","",ROUND(AE446+AF446,2))</f>
        <v>0</v>
      </c>
      <c r="AH446" s="26">
        <f>IF(B446="","",ROUND(AA446-AG446,2))</f>
        <v>0</v>
      </c>
      <c r="AI446" s="39">
        <f>IF(B446="","",IF(AA446&lt;=0,"No charge",IF(AH446&lt;=0.004,"Paid",IF(AG446&lt;=0.004,"Unpaid","Part paid"))))</f>
        <v>0</v>
      </c>
      <c r="AJ446" s="38">
        <f>IF(B446="","",IF(H446&lt;&gt;"Service","",IF(D446="","No",IF(COUNTIFS($D$5:$D$1204,D446,$B$5:$B$1204,B446,$H$5:$H$1204,"Retail")&gt;0,"Yes","No"))))</f>
        <v>0</v>
      </c>
      <c r="AK446" s="25">
        <f>IF(B446="","",COUNTIFS($Y$5:$Y$1204,"&gt;"&amp;Y446)+COUNTIFS($Y$5:Y446,Y446))</f>
        <v>0</v>
      </c>
      <c r="AL446" s="39">
        <f>IF(B446="","",IF(H446="","Add - what kind of sale is this?",IF(IF(V446&lt;=0,P446="",FALSE),"Check - no price found for this item",IF(F446="","Assign - nobody credited",IF(AH446&gt;0.004,"Unpaid - balance outstanding",IF(AC446&lt;0,"Loss - sold below cost",IF(X446&gt;W446*0.5,"Check - more than half off","OK")))))))</f>
        <v>0</v>
      </c>
    </row>
    <row r="447" spans="1:38">
      <c r="A447" s="28">
        <f>IF(B447="","",SalePrefix&amp;TEXT(ROW()-4,"0000"))</f>
        <v>0</v>
      </c>
      <c r="E447" s="15">
        <f>IF(D447="","",IFERROR(INDEX(Clients!$B$5:$B$504,MATCH(D447,Clients!$A$5:$A$504,0)),"Walk-in"))</f>
        <v>0</v>
      </c>
      <c r="G447" s="15">
        <f>IF(F447="","",IFERROR(INDEX(Staff!$B$5:$B$44,MATCH(F447,Staff!$A$5:$A$44,0)),"House"))</f>
        <v>0</v>
      </c>
      <c r="R447" s="15">
        <f>IF(B447="","",TEXT(B447,"yyyy-mm"))</f>
        <v>0</v>
      </c>
      <c r="S447" s="25">
        <f>IF(B447="","",WEEKNUM(B447,2))</f>
        <v>0</v>
      </c>
      <c r="T447" s="37">
        <f>IF(B447="","",IF(K447="",1,K447))</f>
        <v>0</v>
      </c>
      <c r="U447" s="15">
        <f>IF(B447="","",IF(J447&lt;&gt;"",J447,IF(H447="Retail",IFERROR(INDEX(Inventory!$B$5:$B$304,MATCH(I447,Inventory!$A$5:$A$304,0))&amp;"","Not in Inventory"),IFERROR(INDEX(Services!$B$5:$B$204,MATCH(I447,Services!$A$5:$A$204,0))&amp;"","Not in Services"))))</f>
        <v>0</v>
      </c>
      <c r="V447" s="26">
        <f>IF(B447="","",IF(L447&lt;&gt;"",L447,IF(H447="Retail",IFERROR(INDEX(Inventory!$I$5:$I$304,MATCH(I447,Inventory!$A$5:$A$304,0))*1,0),IFERROR(INDEX(Services!$G$5:$G$204,MATCH(I447,Services!$A$5:$A$204,0))*1,0))))</f>
        <v>0</v>
      </c>
      <c r="W447" s="26">
        <f>IF(B447="","",ROUND(T447*V447,2))</f>
        <v>0</v>
      </c>
      <c r="X447" s="26">
        <f>IF(B447="","",ROUND(IF(M447="",0,W447*M447)+IF(N447="",0,N447),2))</f>
        <v>0</v>
      </c>
      <c r="Y447" s="26">
        <f>IF(B447="","",ROUND(W447-X447-IF(P447="",0,P447),2))</f>
        <v>0</v>
      </c>
      <c r="Z447" s="26">
        <f>IF(B447="","",IF(H447="Retail",IF(TaxOnRetail="Yes",ROUND(Y447*TaxRate,2),0),IF(H447="Service",IF(TaxOnServices="Yes",ROUND(Y447*TaxRate,2),0),0)))</f>
        <v>0</v>
      </c>
      <c r="AA447" s="26">
        <f>IF(B447="","",ROUND(Y447+Z447,2))</f>
        <v>0</v>
      </c>
      <c r="AB447" s="26">
        <f>IF(B447="","",ROUND(T447*IF(H447="Retail",IFERROR(INDEX(Inventory!$H$5:$H$304,MATCH(I447,Inventory!$A$5:$A$304,0))*1,0),IFERROR(INDEX(Services!$Q$5:$Q$204,MATCH(I447,Services!$A$5:$A$204,0))*1,0)),2))</f>
        <v>0</v>
      </c>
      <c r="AC447" s="26">
        <f>IF(B447="","",ROUND(Y447-AB447,2))</f>
        <v>0</v>
      </c>
      <c r="AD447" s="38">
        <f>IF(B447="","",IF(C447="","No",IF(COUNTIFS($C$5:C447,C447)=1,"Yes","No")))</f>
        <v>0</v>
      </c>
      <c r="AE447" s="26">
        <f>IF(B447="","",ROUND(SUMIFS(Payments!$G$5:$G$1204,Payments!$H$5:$H$1204,A447,Payments!$Q$5:$Q$1204,"Yes"),2))</f>
        <v>0</v>
      </c>
      <c r="AF447" s="26">
        <f>IF(B447="","",IF(AD447="No",0,ROUND(SUMIFS(Payments!$G$5:$G$1204,Payments!$I$5:$I$1204,C447,Payments!$H$5:$H$1204,"",Payments!$Q$5:$Q$1204,"Yes"),2)))</f>
        <v>0</v>
      </c>
      <c r="AG447" s="26">
        <f>IF(B447="","",ROUND(AE447+AF447,2))</f>
        <v>0</v>
      </c>
      <c r="AH447" s="26">
        <f>IF(B447="","",ROUND(AA447-AG447,2))</f>
        <v>0</v>
      </c>
      <c r="AI447" s="39">
        <f>IF(B447="","",IF(AA447&lt;=0,"No charge",IF(AH447&lt;=0.004,"Paid",IF(AG447&lt;=0.004,"Unpaid","Part paid"))))</f>
        <v>0</v>
      </c>
      <c r="AJ447" s="38">
        <f>IF(B447="","",IF(H447&lt;&gt;"Service","",IF(D447="","No",IF(COUNTIFS($D$5:$D$1204,D447,$B$5:$B$1204,B447,$H$5:$H$1204,"Retail")&gt;0,"Yes","No"))))</f>
        <v>0</v>
      </c>
      <c r="AK447" s="25">
        <f>IF(B447="","",COUNTIFS($Y$5:$Y$1204,"&gt;"&amp;Y447)+COUNTIFS($Y$5:Y447,Y447))</f>
        <v>0</v>
      </c>
      <c r="AL447" s="39">
        <f>IF(B447="","",IF(H447="","Add - what kind of sale is this?",IF(IF(V447&lt;=0,P447="",FALSE),"Check - no price found for this item",IF(F447="","Assign - nobody credited",IF(AH447&gt;0.004,"Unpaid - balance outstanding",IF(AC447&lt;0,"Loss - sold below cost",IF(X447&gt;W447*0.5,"Check - more than half off","OK")))))))</f>
        <v>0</v>
      </c>
    </row>
    <row r="448" spans="1:38">
      <c r="A448" s="28">
        <f>IF(B448="","",SalePrefix&amp;TEXT(ROW()-4,"0000"))</f>
        <v>0</v>
      </c>
      <c r="E448" s="15">
        <f>IF(D448="","",IFERROR(INDEX(Clients!$B$5:$B$504,MATCH(D448,Clients!$A$5:$A$504,0)),"Walk-in"))</f>
        <v>0</v>
      </c>
      <c r="G448" s="15">
        <f>IF(F448="","",IFERROR(INDEX(Staff!$B$5:$B$44,MATCH(F448,Staff!$A$5:$A$44,0)),"House"))</f>
        <v>0</v>
      </c>
      <c r="R448" s="15">
        <f>IF(B448="","",TEXT(B448,"yyyy-mm"))</f>
        <v>0</v>
      </c>
      <c r="S448" s="25">
        <f>IF(B448="","",WEEKNUM(B448,2))</f>
        <v>0</v>
      </c>
      <c r="T448" s="37">
        <f>IF(B448="","",IF(K448="",1,K448))</f>
        <v>0</v>
      </c>
      <c r="U448" s="15">
        <f>IF(B448="","",IF(J448&lt;&gt;"",J448,IF(H448="Retail",IFERROR(INDEX(Inventory!$B$5:$B$304,MATCH(I448,Inventory!$A$5:$A$304,0))&amp;"","Not in Inventory"),IFERROR(INDEX(Services!$B$5:$B$204,MATCH(I448,Services!$A$5:$A$204,0))&amp;"","Not in Services"))))</f>
        <v>0</v>
      </c>
      <c r="V448" s="26">
        <f>IF(B448="","",IF(L448&lt;&gt;"",L448,IF(H448="Retail",IFERROR(INDEX(Inventory!$I$5:$I$304,MATCH(I448,Inventory!$A$5:$A$304,0))*1,0),IFERROR(INDEX(Services!$G$5:$G$204,MATCH(I448,Services!$A$5:$A$204,0))*1,0))))</f>
        <v>0</v>
      </c>
      <c r="W448" s="26">
        <f>IF(B448="","",ROUND(T448*V448,2))</f>
        <v>0</v>
      </c>
      <c r="X448" s="26">
        <f>IF(B448="","",ROUND(IF(M448="",0,W448*M448)+IF(N448="",0,N448),2))</f>
        <v>0</v>
      </c>
      <c r="Y448" s="26">
        <f>IF(B448="","",ROUND(W448-X448-IF(P448="",0,P448),2))</f>
        <v>0</v>
      </c>
      <c r="Z448" s="26">
        <f>IF(B448="","",IF(H448="Retail",IF(TaxOnRetail="Yes",ROUND(Y448*TaxRate,2),0),IF(H448="Service",IF(TaxOnServices="Yes",ROUND(Y448*TaxRate,2),0),0)))</f>
        <v>0</v>
      </c>
      <c r="AA448" s="26">
        <f>IF(B448="","",ROUND(Y448+Z448,2))</f>
        <v>0</v>
      </c>
      <c r="AB448" s="26">
        <f>IF(B448="","",ROUND(T448*IF(H448="Retail",IFERROR(INDEX(Inventory!$H$5:$H$304,MATCH(I448,Inventory!$A$5:$A$304,0))*1,0),IFERROR(INDEX(Services!$Q$5:$Q$204,MATCH(I448,Services!$A$5:$A$204,0))*1,0)),2))</f>
        <v>0</v>
      </c>
      <c r="AC448" s="26">
        <f>IF(B448="","",ROUND(Y448-AB448,2))</f>
        <v>0</v>
      </c>
      <c r="AD448" s="38">
        <f>IF(B448="","",IF(C448="","No",IF(COUNTIFS($C$5:C448,C448)=1,"Yes","No")))</f>
        <v>0</v>
      </c>
      <c r="AE448" s="26">
        <f>IF(B448="","",ROUND(SUMIFS(Payments!$G$5:$G$1204,Payments!$H$5:$H$1204,A448,Payments!$Q$5:$Q$1204,"Yes"),2))</f>
        <v>0</v>
      </c>
      <c r="AF448" s="26">
        <f>IF(B448="","",IF(AD448="No",0,ROUND(SUMIFS(Payments!$G$5:$G$1204,Payments!$I$5:$I$1204,C448,Payments!$H$5:$H$1204,"",Payments!$Q$5:$Q$1204,"Yes"),2)))</f>
        <v>0</v>
      </c>
      <c r="AG448" s="26">
        <f>IF(B448="","",ROUND(AE448+AF448,2))</f>
        <v>0</v>
      </c>
      <c r="AH448" s="26">
        <f>IF(B448="","",ROUND(AA448-AG448,2))</f>
        <v>0</v>
      </c>
      <c r="AI448" s="39">
        <f>IF(B448="","",IF(AA448&lt;=0,"No charge",IF(AH448&lt;=0.004,"Paid",IF(AG448&lt;=0.004,"Unpaid","Part paid"))))</f>
        <v>0</v>
      </c>
      <c r="AJ448" s="38">
        <f>IF(B448="","",IF(H448&lt;&gt;"Service","",IF(D448="","No",IF(COUNTIFS($D$5:$D$1204,D448,$B$5:$B$1204,B448,$H$5:$H$1204,"Retail")&gt;0,"Yes","No"))))</f>
        <v>0</v>
      </c>
      <c r="AK448" s="25">
        <f>IF(B448="","",COUNTIFS($Y$5:$Y$1204,"&gt;"&amp;Y448)+COUNTIFS($Y$5:Y448,Y448))</f>
        <v>0</v>
      </c>
      <c r="AL448" s="39">
        <f>IF(B448="","",IF(H448="","Add - what kind of sale is this?",IF(IF(V448&lt;=0,P448="",FALSE),"Check - no price found for this item",IF(F448="","Assign - nobody credited",IF(AH448&gt;0.004,"Unpaid - balance outstanding",IF(AC448&lt;0,"Loss - sold below cost",IF(X448&gt;W448*0.5,"Check - more than half off","OK")))))))</f>
        <v>0</v>
      </c>
    </row>
    <row r="449" spans="1:38">
      <c r="A449" s="28">
        <f>IF(B449="","",SalePrefix&amp;TEXT(ROW()-4,"0000"))</f>
        <v>0</v>
      </c>
      <c r="E449" s="15">
        <f>IF(D449="","",IFERROR(INDEX(Clients!$B$5:$B$504,MATCH(D449,Clients!$A$5:$A$504,0)),"Walk-in"))</f>
        <v>0</v>
      </c>
      <c r="G449" s="15">
        <f>IF(F449="","",IFERROR(INDEX(Staff!$B$5:$B$44,MATCH(F449,Staff!$A$5:$A$44,0)),"House"))</f>
        <v>0</v>
      </c>
      <c r="R449" s="15">
        <f>IF(B449="","",TEXT(B449,"yyyy-mm"))</f>
        <v>0</v>
      </c>
      <c r="S449" s="25">
        <f>IF(B449="","",WEEKNUM(B449,2))</f>
        <v>0</v>
      </c>
      <c r="T449" s="37">
        <f>IF(B449="","",IF(K449="",1,K449))</f>
        <v>0</v>
      </c>
      <c r="U449" s="15">
        <f>IF(B449="","",IF(J449&lt;&gt;"",J449,IF(H449="Retail",IFERROR(INDEX(Inventory!$B$5:$B$304,MATCH(I449,Inventory!$A$5:$A$304,0))&amp;"","Not in Inventory"),IFERROR(INDEX(Services!$B$5:$B$204,MATCH(I449,Services!$A$5:$A$204,0))&amp;"","Not in Services"))))</f>
        <v>0</v>
      </c>
      <c r="V449" s="26">
        <f>IF(B449="","",IF(L449&lt;&gt;"",L449,IF(H449="Retail",IFERROR(INDEX(Inventory!$I$5:$I$304,MATCH(I449,Inventory!$A$5:$A$304,0))*1,0),IFERROR(INDEX(Services!$G$5:$G$204,MATCH(I449,Services!$A$5:$A$204,0))*1,0))))</f>
        <v>0</v>
      </c>
      <c r="W449" s="26">
        <f>IF(B449="","",ROUND(T449*V449,2))</f>
        <v>0</v>
      </c>
      <c r="X449" s="26">
        <f>IF(B449="","",ROUND(IF(M449="",0,W449*M449)+IF(N449="",0,N449),2))</f>
        <v>0</v>
      </c>
      <c r="Y449" s="26">
        <f>IF(B449="","",ROUND(W449-X449-IF(P449="",0,P449),2))</f>
        <v>0</v>
      </c>
      <c r="Z449" s="26">
        <f>IF(B449="","",IF(H449="Retail",IF(TaxOnRetail="Yes",ROUND(Y449*TaxRate,2),0),IF(H449="Service",IF(TaxOnServices="Yes",ROUND(Y449*TaxRate,2),0),0)))</f>
        <v>0</v>
      </c>
      <c r="AA449" s="26">
        <f>IF(B449="","",ROUND(Y449+Z449,2))</f>
        <v>0</v>
      </c>
      <c r="AB449" s="26">
        <f>IF(B449="","",ROUND(T449*IF(H449="Retail",IFERROR(INDEX(Inventory!$H$5:$H$304,MATCH(I449,Inventory!$A$5:$A$304,0))*1,0),IFERROR(INDEX(Services!$Q$5:$Q$204,MATCH(I449,Services!$A$5:$A$204,0))*1,0)),2))</f>
        <v>0</v>
      </c>
      <c r="AC449" s="26">
        <f>IF(B449="","",ROUND(Y449-AB449,2))</f>
        <v>0</v>
      </c>
      <c r="AD449" s="38">
        <f>IF(B449="","",IF(C449="","No",IF(COUNTIFS($C$5:C449,C449)=1,"Yes","No")))</f>
        <v>0</v>
      </c>
      <c r="AE449" s="26">
        <f>IF(B449="","",ROUND(SUMIFS(Payments!$G$5:$G$1204,Payments!$H$5:$H$1204,A449,Payments!$Q$5:$Q$1204,"Yes"),2))</f>
        <v>0</v>
      </c>
      <c r="AF449" s="26">
        <f>IF(B449="","",IF(AD449="No",0,ROUND(SUMIFS(Payments!$G$5:$G$1204,Payments!$I$5:$I$1204,C449,Payments!$H$5:$H$1204,"",Payments!$Q$5:$Q$1204,"Yes"),2)))</f>
        <v>0</v>
      </c>
      <c r="AG449" s="26">
        <f>IF(B449="","",ROUND(AE449+AF449,2))</f>
        <v>0</v>
      </c>
      <c r="AH449" s="26">
        <f>IF(B449="","",ROUND(AA449-AG449,2))</f>
        <v>0</v>
      </c>
      <c r="AI449" s="39">
        <f>IF(B449="","",IF(AA449&lt;=0,"No charge",IF(AH449&lt;=0.004,"Paid",IF(AG449&lt;=0.004,"Unpaid","Part paid"))))</f>
        <v>0</v>
      </c>
      <c r="AJ449" s="38">
        <f>IF(B449="","",IF(H449&lt;&gt;"Service","",IF(D449="","No",IF(COUNTIFS($D$5:$D$1204,D449,$B$5:$B$1204,B449,$H$5:$H$1204,"Retail")&gt;0,"Yes","No"))))</f>
        <v>0</v>
      </c>
      <c r="AK449" s="25">
        <f>IF(B449="","",COUNTIFS($Y$5:$Y$1204,"&gt;"&amp;Y449)+COUNTIFS($Y$5:Y449,Y449))</f>
        <v>0</v>
      </c>
      <c r="AL449" s="39">
        <f>IF(B449="","",IF(H449="","Add - what kind of sale is this?",IF(IF(V449&lt;=0,P449="",FALSE),"Check - no price found for this item",IF(F449="","Assign - nobody credited",IF(AH449&gt;0.004,"Unpaid - balance outstanding",IF(AC449&lt;0,"Loss - sold below cost",IF(X449&gt;W449*0.5,"Check - more than half off","OK")))))))</f>
        <v>0</v>
      </c>
    </row>
    <row r="450" spans="1:38">
      <c r="A450" s="28">
        <f>IF(B450="","",SalePrefix&amp;TEXT(ROW()-4,"0000"))</f>
        <v>0</v>
      </c>
      <c r="E450" s="15">
        <f>IF(D450="","",IFERROR(INDEX(Clients!$B$5:$B$504,MATCH(D450,Clients!$A$5:$A$504,0)),"Walk-in"))</f>
        <v>0</v>
      </c>
      <c r="G450" s="15">
        <f>IF(F450="","",IFERROR(INDEX(Staff!$B$5:$B$44,MATCH(F450,Staff!$A$5:$A$44,0)),"House"))</f>
        <v>0</v>
      </c>
      <c r="R450" s="15">
        <f>IF(B450="","",TEXT(B450,"yyyy-mm"))</f>
        <v>0</v>
      </c>
      <c r="S450" s="25">
        <f>IF(B450="","",WEEKNUM(B450,2))</f>
        <v>0</v>
      </c>
      <c r="T450" s="37">
        <f>IF(B450="","",IF(K450="",1,K450))</f>
        <v>0</v>
      </c>
      <c r="U450" s="15">
        <f>IF(B450="","",IF(J450&lt;&gt;"",J450,IF(H450="Retail",IFERROR(INDEX(Inventory!$B$5:$B$304,MATCH(I450,Inventory!$A$5:$A$304,0))&amp;"","Not in Inventory"),IFERROR(INDEX(Services!$B$5:$B$204,MATCH(I450,Services!$A$5:$A$204,0))&amp;"","Not in Services"))))</f>
        <v>0</v>
      </c>
      <c r="V450" s="26">
        <f>IF(B450="","",IF(L450&lt;&gt;"",L450,IF(H450="Retail",IFERROR(INDEX(Inventory!$I$5:$I$304,MATCH(I450,Inventory!$A$5:$A$304,0))*1,0),IFERROR(INDEX(Services!$G$5:$G$204,MATCH(I450,Services!$A$5:$A$204,0))*1,0))))</f>
        <v>0</v>
      </c>
      <c r="W450" s="26">
        <f>IF(B450="","",ROUND(T450*V450,2))</f>
        <v>0</v>
      </c>
      <c r="X450" s="26">
        <f>IF(B450="","",ROUND(IF(M450="",0,W450*M450)+IF(N450="",0,N450),2))</f>
        <v>0</v>
      </c>
      <c r="Y450" s="26">
        <f>IF(B450="","",ROUND(W450-X450-IF(P450="",0,P450),2))</f>
        <v>0</v>
      </c>
      <c r="Z450" s="26">
        <f>IF(B450="","",IF(H450="Retail",IF(TaxOnRetail="Yes",ROUND(Y450*TaxRate,2),0),IF(H450="Service",IF(TaxOnServices="Yes",ROUND(Y450*TaxRate,2),0),0)))</f>
        <v>0</v>
      </c>
      <c r="AA450" s="26">
        <f>IF(B450="","",ROUND(Y450+Z450,2))</f>
        <v>0</v>
      </c>
      <c r="AB450" s="26">
        <f>IF(B450="","",ROUND(T450*IF(H450="Retail",IFERROR(INDEX(Inventory!$H$5:$H$304,MATCH(I450,Inventory!$A$5:$A$304,0))*1,0),IFERROR(INDEX(Services!$Q$5:$Q$204,MATCH(I450,Services!$A$5:$A$204,0))*1,0)),2))</f>
        <v>0</v>
      </c>
      <c r="AC450" s="26">
        <f>IF(B450="","",ROUND(Y450-AB450,2))</f>
        <v>0</v>
      </c>
      <c r="AD450" s="38">
        <f>IF(B450="","",IF(C450="","No",IF(COUNTIFS($C$5:C450,C450)=1,"Yes","No")))</f>
        <v>0</v>
      </c>
      <c r="AE450" s="26">
        <f>IF(B450="","",ROUND(SUMIFS(Payments!$G$5:$G$1204,Payments!$H$5:$H$1204,A450,Payments!$Q$5:$Q$1204,"Yes"),2))</f>
        <v>0</v>
      </c>
      <c r="AF450" s="26">
        <f>IF(B450="","",IF(AD450="No",0,ROUND(SUMIFS(Payments!$G$5:$G$1204,Payments!$I$5:$I$1204,C450,Payments!$H$5:$H$1204,"",Payments!$Q$5:$Q$1204,"Yes"),2)))</f>
        <v>0</v>
      </c>
      <c r="AG450" s="26">
        <f>IF(B450="","",ROUND(AE450+AF450,2))</f>
        <v>0</v>
      </c>
      <c r="AH450" s="26">
        <f>IF(B450="","",ROUND(AA450-AG450,2))</f>
        <v>0</v>
      </c>
      <c r="AI450" s="39">
        <f>IF(B450="","",IF(AA450&lt;=0,"No charge",IF(AH450&lt;=0.004,"Paid",IF(AG450&lt;=0.004,"Unpaid","Part paid"))))</f>
        <v>0</v>
      </c>
      <c r="AJ450" s="38">
        <f>IF(B450="","",IF(H450&lt;&gt;"Service","",IF(D450="","No",IF(COUNTIFS($D$5:$D$1204,D450,$B$5:$B$1204,B450,$H$5:$H$1204,"Retail")&gt;0,"Yes","No"))))</f>
        <v>0</v>
      </c>
      <c r="AK450" s="25">
        <f>IF(B450="","",COUNTIFS($Y$5:$Y$1204,"&gt;"&amp;Y450)+COUNTIFS($Y$5:Y450,Y450))</f>
        <v>0</v>
      </c>
      <c r="AL450" s="39">
        <f>IF(B450="","",IF(H450="","Add - what kind of sale is this?",IF(IF(V450&lt;=0,P450="",FALSE),"Check - no price found for this item",IF(F450="","Assign - nobody credited",IF(AH450&gt;0.004,"Unpaid - balance outstanding",IF(AC450&lt;0,"Loss - sold below cost",IF(X450&gt;W450*0.5,"Check - more than half off","OK")))))))</f>
        <v>0</v>
      </c>
    </row>
    <row r="451" spans="1:38">
      <c r="A451" s="28">
        <f>IF(B451="","",SalePrefix&amp;TEXT(ROW()-4,"0000"))</f>
        <v>0</v>
      </c>
      <c r="E451" s="15">
        <f>IF(D451="","",IFERROR(INDEX(Clients!$B$5:$B$504,MATCH(D451,Clients!$A$5:$A$504,0)),"Walk-in"))</f>
        <v>0</v>
      </c>
      <c r="G451" s="15">
        <f>IF(F451="","",IFERROR(INDEX(Staff!$B$5:$B$44,MATCH(F451,Staff!$A$5:$A$44,0)),"House"))</f>
        <v>0</v>
      </c>
      <c r="R451" s="15">
        <f>IF(B451="","",TEXT(B451,"yyyy-mm"))</f>
        <v>0</v>
      </c>
      <c r="S451" s="25">
        <f>IF(B451="","",WEEKNUM(B451,2))</f>
        <v>0</v>
      </c>
      <c r="T451" s="37">
        <f>IF(B451="","",IF(K451="",1,K451))</f>
        <v>0</v>
      </c>
      <c r="U451" s="15">
        <f>IF(B451="","",IF(J451&lt;&gt;"",J451,IF(H451="Retail",IFERROR(INDEX(Inventory!$B$5:$B$304,MATCH(I451,Inventory!$A$5:$A$304,0))&amp;"","Not in Inventory"),IFERROR(INDEX(Services!$B$5:$B$204,MATCH(I451,Services!$A$5:$A$204,0))&amp;"","Not in Services"))))</f>
        <v>0</v>
      </c>
      <c r="V451" s="26">
        <f>IF(B451="","",IF(L451&lt;&gt;"",L451,IF(H451="Retail",IFERROR(INDEX(Inventory!$I$5:$I$304,MATCH(I451,Inventory!$A$5:$A$304,0))*1,0),IFERROR(INDEX(Services!$G$5:$G$204,MATCH(I451,Services!$A$5:$A$204,0))*1,0))))</f>
        <v>0</v>
      </c>
      <c r="W451" s="26">
        <f>IF(B451="","",ROUND(T451*V451,2))</f>
        <v>0</v>
      </c>
      <c r="X451" s="26">
        <f>IF(B451="","",ROUND(IF(M451="",0,W451*M451)+IF(N451="",0,N451),2))</f>
        <v>0</v>
      </c>
      <c r="Y451" s="26">
        <f>IF(B451="","",ROUND(W451-X451-IF(P451="",0,P451),2))</f>
        <v>0</v>
      </c>
      <c r="Z451" s="26">
        <f>IF(B451="","",IF(H451="Retail",IF(TaxOnRetail="Yes",ROUND(Y451*TaxRate,2),0),IF(H451="Service",IF(TaxOnServices="Yes",ROUND(Y451*TaxRate,2),0),0)))</f>
        <v>0</v>
      </c>
      <c r="AA451" s="26">
        <f>IF(B451="","",ROUND(Y451+Z451,2))</f>
        <v>0</v>
      </c>
      <c r="AB451" s="26">
        <f>IF(B451="","",ROUND(T451*IF(H451="Retail",IFERROR(INDEX(Inventory!$H$5:$H$304,MATCH(I451,Inventory!$A$5:$A$304,0))*1,0),IFERROR(INDEX(Services!$Q$5:$Q$204,MATCH(I451,Services!$A$5:$A$204,0))*1,0)),2))</f>
        <v>0</v>
      </c>
      <c r="AC451" s="26">
        <f>IF(B451="","",ROUND(Y451-AB451,2))</f>
        <v>0</v>
      </c>
      <c r="AD451" s="38">
        <f>IF(B451="","",IF(C451="","No",IF(COUNTIFS($C$5:C451,C451)=1,"Yes","No")))</f>
        <v>0</v>
      </c>
      <c r="AE451" s="26">
        <f>IF(B451="","",ROUND(SUMIFS(Payments!$G$5:$G$1204,Payments!$H$5:$H$1204,A451,Payments!$Q$5:$Q$1204,"Yes"),2))</f>
        <v>0</v>
      </c>
      <c r="AF451" s="26">
        <f>IF(B451="","",IF(AD451="No",0,ROUND(SUMIFS(Payments!$G$5:$G$1204,Payments!$I$5:$I$1204,C451,Payments!$H$5:$H$1204,"",Payments!$Q$5:$Q$1204,"Yes"),2)))</f>
        <v>0</v>
      </c>
      <c r="AG451" s="26">
        <f>IF(B451="","",ROUND(AE451+AF451,2))</f>
        <v>0</v>
      </c>
      <c r="AH451" s="26">
        <f>IF(B451="","",ROUND(AA451-AG451,2))</f>
        <v>0</v>
      </c>
      <c r="AI451" s="39">
        <f>IF(B451="","",IF(AA451&lt;=0,"No charge",IF(AH451&lt;=0.004,"Paid",IF(AG451&lt;=0.004,"Unpaid","Part paid"))))</f>
        <v>0</v>
      </c>
      <c r="AJ451" s="38">
        <f>IF(B451="","",IF(H451&lt;&gt;"Service","",IF(D451="","No",IF(COUNTIFS($D$5:$D$1204,D451,$B$5:$B$1204,B451,$H$5:$H$1204,"Retail")&gt;0,"Yes","No"))))</f>
        <v>0</v>
      </c>
      <c r="AK451" s="25">
        <f>IF(B451="","",COUNTIFS($Y$5:$Y$1204,"&gt;"&amp;Y451)+COUNTIFS($Y$5:Y451,Y451))</f>
        <v>0</v>
      </c>
      <c r="AL451" s="39">
        <f>IF(B451="","",IF(H451="","Add - what kind of sale is this?",IF(IF(V451&lt;=0,P451="",FALSE),"Check - no price found for this item",IF(F451="","Assign - nobody credited",IF(AH451&gt;0.004,"Unpaid - balance outstanding",IF(AC451&lt;0,"Loss - sold below cost",IF(X451&gt;W451*0.5,"Check - more than half off","OK")))))))</f>
        <v>0</v>
      </c>
    </row>
    <row r="452" spans="1:38">
      <c r="A452" s="28">
        <f>IF(B452="","",SalePrefix&amp;TEXT(ROW()-4,"0000"))</f>
        <v>0</v>
      </c>
      <c r="E452" s="15">
        <f>IF(D452="","",IFERROR(INDEX(Clients!$B$5:$B$504,MATCH(D452,Clients!$A$5:$A$504,0)),"Walk-in"))</f>
        <v>0</v>
      </c>
      <c r="G452" s="15">
        <f>IF(F452="","",IFERROR(INDEX(Staff!$B$5:$B$44,MATCH(F452,Staff!$A$5:$A$44,0)),"House"))</f>
        <v>0</v>
      </c>
      <c r="R452" s="15">
        <f>IF(B452="","",TEXT(B452,"yyyy-mm"))</f>
        <v>0</v>
      </c>
      <c r="S452" s="25">
        <f>IF(B452="","",WEEKNUM(B452,2))</f>
        <v>0</v>
      </c>
      <c r="T452" s="37">
        <f>IF(B452="","",IF(K452="",1,K452))</f>
        <v>0</v>
      </c>
      <c r="U452" s="15">
        <f>IF(B452="","",IF(J452&lt;&gt;"",J452,IF(H452="Retail",IFERROR(INDEX(Inventory!$B$5:$B$304,MATCH(I452,Inventory!$A$5:$A$304,0))&amp;"","Not in Inventory"),IFERROR(INDEX(Services!$B$5:$B$204,MATCH(I452,Services!$A$5:$A$204,0))&amp;"","Not in Services"))))</f>
        <v>0</v>
      </c>
      <c r="V452" s="26">
        <f>IF(B452="","",IF(L452&lt;&gt;"",L452,IF(H452="Retail",IFERROR(INDEX(Inventory!$I$5:$I$304,MATCH(I452,Inventory!$A$5:$A$304,0))*1,0),IFERROR(INDEX(Services!$G$5:$G$204,MATCH(I452,Services!$A$5:$A$204,0))*1,0))))</f>
        <v>0</v>
      </c>
      <c r="W452" s="26">
        <f>IF(B452="","",ROUND(T452*V452,2))</f>
        <v>0</v>
      </c>
      <c r="X452" s="26">
        <f>IF(B452="","",ROUND(IF(M452="",0,W452*M452)+IF(N452="",0,N452),2))</f>
        <v>0</v>
      </c>
      <c r="Y452" s="26">
        <f>IF(B452="","",ROUND(W452-X452-IF(P452="",0,P452),2))</f>
        <v>0</v>
      </c>
      <c r="Z452" s="26">
        <f>IF(B452="","",IF(H452="Retail",IF(TaxOnRetail="Yes",ROUND(Y452*TaxRate,2),0),IF(H452="Service",IF(TaxOnServices="Yes",ROUND(Y452*TaxRate,2),0),0)))</f>
        <v>0</v>
      </c>
      <c r="AA452" s="26">
        <f>IF(B452="","",ROUND(Y452+Z452,2))</f>
        <v>0</v>
      </c>
      <c r="AB452" s="26">
        <f>IF(B452="","",ROUND(T452*IF(H452="Retail",IFERROR(INDEX(Inventory!$H$5:$H$304,MATCH(I452,Inventory!$A$5:$A$304,0))*1,0),IFERROR(INDEX(Services!$Q$5:$Q$204,MATCH(I452,Services!$A$5:$A$204,0))*1,0)),2))</f>
        <v>0</v>
      </c>
      <c r="AC452" s="26">
        <f>IF(B452="","",ROUND(Y452-AB452,2))</f>
        <v>0</v>
      </c>
      <c r="AD452" s="38">
        <f>IF(B452="","",IF(C452="","No",IF(COUNTIFS($C$5:C452,C452)=1,"Yes","No")))</f>
        <v>0</v>
      </c>
      <c r="AE452" s="26">
        <f>IF(B452="","",ROUND(SUMIFS(Payments!$G$5:$G$1204,Payments!$H$5:$H$1204,A452,Payments!$Q$5:$Q$1204,"Yes"),2))</f>
        <v>0</v>
      </c>
      <c r="AF452" s="26">
        <f>IF(B452="","",IF(AD452="No",0,ROUND(SUMIFS(Payments!$G$5:$G$1204,Payments!$I$5:$I$1204,C452,Payments!$H$5:$H$1204,"",Payments!$Q$5:$Q$1204,"Yes"),2)))</f>
        <v>0</v>
      </c>
      <c r="AG452" s="26">
        <f>IF(B452="","",ROUND(AE452+AF452,2))</f>
        <v>0</v>
      </c>
      <c r="AH452" s="26">
        <f>IF(B452="","",ROUND(AA452-AG452,2))</f>
        <v>0</v>
      </c>
      <c r="AI452" s="39">
        <f>IF(B452="","",IF(AA452&lt;=0,"No charge",IF(AH452&lt;=0.004,"Paid",IF(AG452&lt;=0.004,"Unpaid","Part paid"))))</f>
        <v>0</v>
      </c>
      <c r="AJ452" s="38">
        <f>IF(B452="","",IF(H452&lt;&gt;"Service","",IF(D452="","No",IF(COUNTIFS($D$5:$D$1204,D452,$B$5:$B$1204,B452,$H$5:$H$1204,"Retail")&gt;0,"Yes","No"))))</f>
        <v>0</v>
      </c>
      <c r="AK452" s="25">
        <f>IF(B452="","",COUNTIFS($Y$5:$Y$1204,"&gt;"&amp;Y452)+COUNTIFS($Y$5:Y452,Y452))</f>
        <v>0</v>
      </c>
      <c r="AL452" s="39">
        <f>IF(B452="","",IF(H452="","Add - what kind of sale is this?",IF(IF(V452&lt;=0,P452="",FALSE),"Check - no price found for this item",IF(F452="","Assign - nobody credited",IF(AH452&gt;0.004,"Unpaid - balance outstanding",IF(AC452&lt;0,"Loss - sold below cost",IF(X452&gt;W452*0.5,"Check - more than half off","OK")))))))</f>
        <v>0</v>
      </c>
    </row>
    <row r="453" spans="1:38">
      <c r="A453" s="28">
        <f>IF(B453="","",SalePrefix&amp;TEXT(ROW()-4,"0000"))</f>
        <v>0</v>
      </c>
      <c r="E453" s="15">
        <f>IF(D453="","",IFERROR(INDEX(Clients!$B$5:$B$504,MATCH(D453,Clients!$A$5:$A$504,0)),"Walk-in"))</f>
        <v>0</v>
      </c>
      <c r="G453" s="15">
        <f>IF(F453="","",IFERROR(INDEX(Staff!$B$5:$B$44,MATCH(F453,Staff!$A$5:$A$44,0)),"House"))</f>
        <v>0</v>
      </c>
      <c r="R453" s="15">
        <f>IF(B453="","",TEXT(B453,"yyyy-mm"))</f>
        <v>0</v>
      </c>
      <c r="S453" s="25">
        <f>IF(B453="","",WEEKNUM(B453,2))</f>
        <v>0</v>
      </c>
      <c r="T453" s="37">
        <f>IF(B453="","",IF(K453="",1,K453))</f>
        <v>0</v>
      </c>
      <c r="U453" s="15">
        <f>IF(B453="","",IF(J453&lt;&gt;"",J453,IF(H453="Retail",IFERROR(INDEX(Inventory!$B$5:$B$304,MATCH(I453,Inventory!$A$5:$A$304,0))&amp;"","Not in Inventory"),IFERROR(INDEX(Services!$B$5:$B$204,MATCH(I453,Services!$A$5:$A$204,0))&amp;"","Not in Services"))))</f>
        <v>0</v>
      </c>
      <c r="V453" s="26">
        <f>IF(B453="","",IF(L453&lt;&gt;"",L453,IF(H453="Retail",IFERROR(INDEX(Inventory!$I$5:$I$304,MATCH(I453,Inventory!$A$5:$A$304,0))*1,0),IFERROR(INDEX(Services!$G$5:$G$204,MATCH(I453,Services!$A$5:$A$204,0))*1,0))))</f>
        <v>0</v>
      </c>
      <c r="W453" s="26">
        <f>IF(B453="","",ROUND(T453*V453,2))</f>
        <v>0</v>
      </c>
      <c r="X453" s="26">
        <f>IF(B453="","",ROUND(IF(M453="",0,W453*M453)+IF(N453="",0,N453),2))</f>
        <v>0</v>
      </c>
      <c r="Y453" s="26">
        <f>IF(B453="","",ROUND(W453-X453-IF(P453="",0,P453),2))</f>
        <v>0</v>
      </c>
      <c r="Z453" s="26">
        <f>IF(B453="","",IF(H453="Retail",IF(TaxOnRetail="Yes",ROUND(Y453*TaxRate,2),0),IF(H453="Service",IF(TaxOnServices="Yes",ROUND(Y453*TaxRate,2),0),0)))</f>
        <v>0</v>
      </c>
      <c r="AA453" s="26">
        <f>IF(B453="","",ROUND(Y453+Z453,2))</f>
        <v>0</v>
      </c>
      <c r="AB453" s="26">
        <f>IF(B453="","",ROUND(T453*IF(H453="Retail",IFERROR(INDEX(Inventory!$H$5:$H$304,MATCH(I453,Inventory!$A$5:$A$304,0))*1,0),IFERROR(INDEX(Services!$Q$5:$Q$204,MATCH(I453,Services!$A$5:$A$204,0))*1,0)),2))</f>
        <v>0</v>
      </c>
      <c r="AC453" s="26">
        <f>IF(B453="","",ROUND(Y453-AB453,2))</f>
        <v>0</v>
      </c>
      <c r="AD453" s="38">
        <f>IF(B453="","",IF(C453="","No",IF(COUNTIFS($C$5:C453,C453)=1,"Yes","No")))</f>
        <v>0</v>
      </c>
      <c r="AE453" s="26">
        <f>IF(B453="","",ROUND(SUMIFS(Payments!$G$5:$G$1204,Payments!$H$5:$H$1204,A453,Payments!$Q$5:$Q$1204,"Yes"),2))</f>
        <v>0</v>
      </c>
      <c r="AF453" s="26">
        <f>IF(B453="","",IF(AD453="No",0,ROUND(SUMIFS(Payments!$G$5:$G$1204,Payments!$I$5:$I$1204,C453,Payments!$H$5:$H$1204,"",Payments!$Q$5:$Q$1204,"Yes"),2)))</f>
        <v>0</v>
      </c>
      <c r="AG453" s="26">
        <f>IF(B453="","",ROUND(AE453+AF453,2))</f>
        <v>0</v>
      </c>
      <c r="AH453" s="26">
        <f>IF(B453="","",ROUND(AA453-AG453,2))</f>
        <v>0</v>
      </c>
      <c r="AI453" s="39">
        <f>IF(B453="","",IF(AA453&lt;=0,"No charge",IF(AH453&lt;=0.004,"Paid",IF(AG453&lt;=0.004,"Unpaid","Part paid"))))</f>
        <v>0</v>
      </c>
      <c r="AJ453" s="38">
        <f>IF(B453="","",IF(H453&lt;&gt;"Service","",IF(D453="","No",IF(COUNTIFS($D$5:$D$1204,D453,$B$5:$B$1204,B453,$H$5:$H$1204,"Retail")&gt;0,"Yes","No"))))</f>
        <v>0</v>
      </c>
      <c r="AK453" s="25">
        <f>IF(B453="","",COUNTIFS($Y$5:$Y$1204,"&gt;"&amp;Y453)+COUNTIFS($Y$5:Y453,Y453))</f>
        <v>0</v>
      </c>
      <c r="AL453" s="39">
        <f>IF(B453="","",IF(H453="","Add - what kind of sale is this?",IF(IF(V453&lt;=0,P453="",FALSE),"Check - no price found for this item",IF(F453="","Assign - nobody credited",IF(AH453&gt;0.004,"Unpaid - balance outstanding",IF(AC453&lt;0,"Loss - sold below cost",IF(X453&gt;W453*0.5,"Check - more than half off","OK")))))))</f>
        <v>0</v>
      </c>
    </row>
    <row r="454" spans="1:38">
      <c r="A454" s="28">
        <f>IF(B454="","",SalePrefix&amp;TEXT(ROW()-4,"0000"))</f>
        <v>0</v>
      </c>
      <c r="E454" s="15">
        <f>IF(D454="","",IFERROR(INDEX(Clients!$B$5:$B$504,MATCH(D454,Clients!$A$5:$A$504,0)),"Walk-in"))</f>
        <v>0</v>
      </c>
      <c r="G454" s="15">
        <f>IF(F454="","",IFERROR(INDEX(Staff!$B$5:$B$44,MATCH(F454,Staff!$A$5:$A$44,0)),"House"))</f>
        <v>0</v>
      </c>
      <c r="R454" s="15">
        <f>IF(B454="","",TEXT(B454,"yyyy-mm"))</f>
        <v>0</v>
      </c>
      <c r="S454" s="25">
        <f>IF(B454="","",WEEKNUM(B454,2))</f>
        <v>0</v>
      </c>
      <c r="T454" s="37">
        <f>IF(B454="","",IF(K454="",1,K454))</f>
        <v>0</v>
      </c>
      <c r="U454" s="15">
        <f>IF(B454="","",IF(J454&lt;&gt;"",J454,IF(H454="Retail",IFERROR(INDEX(Inventory!$B$5:$B$304,MATCH(I454,Inventory!$A$5:$A$304,0))&amp;"","Not in Inventory"),IFERROR(INDEX(Services!$B$5:$B$204,MATCH(I454,Services!$A$5:$A$204,0))&amp;"","Not in Services"))))</f>
        <v>0</v>
      </c>
      <c r="V454" s="26">
        <f>IF(B454="","",IF(L454&lt;&gt;"",L454,IF(H454="Retail",IFERROR(INDEX(Inventory!$I$5:$I$304,MATCH(I454,Inventory!$A$5:$A$304,0))*1,0),IFERROR(INDEX(Services!$G$5:$G$204,MATCH(I454,Services!$A$5:$A$204,0))*1,0))))</f>
        <v>0</v>
      </c>
      <c r="W454" s="26">
        <f>IF(B454="","",ROUND(T454*V454,2))</f>
        <v>0</v>
      </c>
      <c r="X454" s="26">
        <f>IF(B454="","",ROUND(IF(M454="",0,W454*M454)+IF(N454="",0,N454),2))</f>
        <v>0</v>
      </c>
      <c r="Y454" s="26">
        <f>IF(B454="","",ROUND(W454-X454-IF(P454="",0,P454),2))</f>
        <v>0</v>
      </c>
      <c r="Z454" s="26">
        <f>IF(B454="","",IF(H454="Retail",IF(TaxOnRetail="Yes",ROUND(Y454*TaxRate,2),0),IF(H454="Service",IF(TaxOnServices="Yes",ROUND(Y454*TaxRate,2),0),0)))</f>
        <v>0</v>
      </c>
      <c r="AA454" s="26">
        <f>IF(B454="","",ROUND(Y454+Z454,2))</f>
        <v>0</v>
      </c>
      <c r="AB454" s="26">
        <f>IF(B454="","",ROUND(T454*IF(H454="Retail",IFERROR(INDEX(Inventory!$H$5:$H$304,MATCH(I454,Inventory!$A$5:$A$304,0))*1,0),IFERROR(INDEX(Services!$Q$5:$Q$204,MATCH(I454,Services!$A$5:$A$204,0))*1,0)),2))</f>
        <v>0</v>
      </c>
      <c r="AC454" s="26">
        <f>IF(B454="","",ROUND(Y454-AB454,2))</f>
        <v>0</v>
      </c>
      <c r="AD454" s="38">
        <f>IF(B454="","",IF(C454="","No",IF(COUNTIFS($C$5:C454,C454)=1,"Yes","No")))</f>
        <v>0</v>
      </c>
      <c r="AE454" s="26">
        <f>IF(B454="","",ROUND(SUMIFS(Payments!$G$5:$G$1204,Payments!$H$5:$H$1204,A454,Payments!$Q$5:$Q$1204,"Yes"),2))</f>
        <v>0</v>
      </c>
      <c r="AF454" s="26">
        <f>IF(B454="","",IF(AD454="No",0,ROUND(SUMIFS(Payments!$G$5:$G$1204,Payments!$I$5:$I$1204,C454,Payments!$H$5:$H$1204,"",Payments!$Q$5:$Q$1204,"Yes"),2)))</f>
        <v>0</v>
      </c>
      <c r="AG454" s="26">
        <f>IF(B454="","",ROUND(AE454+AF454,2))</f>
        <v>0</v>
      </c>
      <c r="AH454" s="26">
        <f>IF(B454="","",ROUND(AA454-AG454,2))</f>
        <v>0</v>
      </c>
      <c r="AI454" s="39">
        <f>IF(B454="","",IF(AA454&lt;=0,"No charge",IF(AH454&lt;=0.004,"Paid",IF(AG454&lt;=0.004,"Unpaid","Part paid"))))</f>
        <v>0</v>
      </c>
      <c r="AJ454" s="38">
        <f>IF(B454="","",IF(H454&lt;&gt;"Service","",IF(D454="","No",IF(COUNTIFS($D$5:$D$1204,D454,$B$5:$B$1204,B454,$H$5:$H$1204,"Retail")&gt;0,"Yes","No"))))</f>
        <v>0</v>
      </c>
      <c r="AK454" s="25">
        <f>IF(B454="","",COUNTIFS($Y$5:$Y$1204,"&gt;"&amp;Y454)+COUNTIFS($Y$5:Y454,Y454))</f>
        <v>0</v>
      </c>
      <c r="AL454" s="39">
        <f>IF(B454="","",IF(H454="","Add - what kind of sale is this?",IF(IF(V454&lt;=0,P454="",FALSE),"Check - no price found for this item",IF(F454="","Assign - nobody credited",IF(AH454&gt;0.004,"Unpaid - balance outstanding",IF(AC454&lt;0,"Loss - sold below cost",IF(X454&gt;W454*0.5,"Check - more than half off","OK")))))))</f>
        <v>0</v>
      </c>
    </row>
    <row r="455" spans="1:38">
      <c r="A455" s="28">
        <f>IF(B455="","",SalePrefix&amp;TEXT(ROW()-4,"0000"))</f>
        <v>0</v>
      </c>
      <c r="E455" s="15">
        <f>IF(D455="","",IFERROR(INDEX(Clients!$B$5:$B$504,MATCH(D455,Clients!$A$5:$A$504,0)),"Walk-in"))</f>
        <v>0</v>
      </c>
      <c r="G455" s="15">
        <f>IF(F455="","",IFERROR(INDEX(Staff!$B$5:$B$44,MATCH(F455,Staff!$A$5:$A$44,0)),"House"))</f>
        <v>0</v>
      </c>
      <c r="R455" s="15">
        <f>IF(B455="","",TEXT(B455,"yyyy-mm"))</f>
        <v>0</v>
      </c>
      <c r="S455" s="25">
        <f>IF(B455="","",WEEKNUM(B455,2))</f>
        <v>0</v>
      </c>
      <c r="T455" s="37">
        <f>IF(B455="","",IF(K455="",1,K455))</f>
        <v>0</v>
      </c>
      <c r="U455" s="15">
        <f>IF(B455="","",IF(J455&lt;&gt;"",J455,IF(H455="Retail",IFERROR(INDEX(Inventory!$B$5:$B$304,MATCH(I455,Inventory!$A$5:$A$304,0))&amp;"","Not in Inventory"),IFERROR(INDEX(Services!$B$5:$B$204,MATCH(I455,Services!$A$5:$A$204,0))&amp;"","Not in Services"))))</f>
        <v>0</v>
      </c>
      <c r="V455" s="26">
        <f>IF(B455="","",IF(L455&lt;&gt;"",L455,IF(H455="Retail",IFERROR(INDEX(Inventory!$I$5:$I$304,MATCH(I455,Inventory!$A$5:$A$304,0))*1,0),IFERROR(INDEX(Services!$G$5:$G$204,MATCH(I455,Services!$A$5:$A$204,0))*1,0))))</f>
        <v>0</v>
      </c>
      <c r="W455" s="26">
        <f>IF(B455="","",ROUND(T455*V455,2))</f>
        <v>0</v>
      </c>
      <c r="X455" s="26">
        <f>IF(B455="","",ROUND(IF(M455="",0,W455*M455)+IF(N455="",0,N455),2))</f>
        <v>0</v>
      </c>
      <c r="Y455" s="26">
        <f>IF(B455="","",ROUND(W455-X455-IF(P455="",0,P455),2))</f>
        <v>0</v>
      </c>
      <c r="Z455" s="26">
        <f>IF(B455="","",IF(H455="Retail",IF(TaxOnRetail="Yes",ROUND(Y455*TaxRate,2),0),IF(H455="Service",IF(TaxOnServices="Yes",ROUND(Y455*TaxRate,2),0),0)))</f>
        <v>0</v>
      </c>
      <c r="AA455" s="26">
        <f>IF(B455="","",ROUND(Y455+Z455,2))</f>
        <v>0</v>
      </c>
      <c r="AB455" s="26">
        <f>IF(B455="","",ROUND(T455*IF(H455="Retail",IFERROR(INDEX(Inventory!$H$5:$H$304,MATCH(I455,Inventory!$A$5:$A$304,0))*1,0),IFERROR(INDEX(Services!$Q$5:$Q$204,MATCH(I455,Services!$A$5:$A$204,0))*1,0)),2))</f>
        <v>0</v>
      </c>
      <c r="AC455" s="26">
        <f>IF(B455="","",ROUND(Y455-AB455,2))</f>
        <v>0</v>
      </c>
      <c r="AD455" s="38">
        <f>IF(B455="","",IF(C455="","No",IF(COUNTIFS($C$5:C455,C455)=1,"Yes","No")))</f>
        <v>0</v>
      </c>
      <c r="AE455" s="26">
        <f>IF(B455="","",ROUND(SUMIFS(Payments!$G$5:$G$1204,Payments!$H$5:$H$1204,A455,Payments!$Q$5:$Q$1204,"Yes"),2))</f>
        <v>0</v>
      </c>
      <c r="AF455" s="26">
        <f>IF(B455="","",IF(AD455="No",0,ROUND(SUMIFS(Payments!$G$5:$G$1204,Payments!$I$5:$I$1204,C455,Payments!$H$5:$H$1204,"",Payments!$Q$5:$Q$1204,"Yes"),2)))</f>
        <v>0</v>
      </c>
      <c r="AG455" s="26">
        <f>IF(B455="","",ROUND(AE455+AF455,2))</f>
        <v>0</v>
      </c>
      <c r="AH455" s="26">
        <f>IF(B455="","",ROUND(AA455-AG455,2))</f>
        <v>0</v>
      </c>
      <c r="AI455" s="39">
        <f>IF(B455="","",IF(AA455&lt;=0,"No charge",IF(AH455&lt;=0.004,"Paid",IF(AG455&lt;=0.004,"Unpaid","Part paid"))))</f>
        <v>0</v>
      </c>
      <c r="AJ455" s="38">
        <f>IF(B455="","",IF(H455&lt;&gt;"Service","",IF(D455="","No",IF(COUNTIFS($D$5:$D$1204,D455,$B$5:$B$1204,B455,$H$5:$H$1204,"Retail")&gt;0,"Yes","No"))))</f>
        <v>0</v>
      </c>
      <c r="AK455" s="25">
        <f>IF(B455="","",COUNTIFS($Y$5:$Y$1204,"&gt;"&amp;Y455)+COUNTIFS($Y$5:Y455,Y455))</f>
        <v>0</v>
      </c>
      <c r="AL455" s="39">
        <f>IF(B455="","",IF(H455="","Add - what kind of sale is this?",IF(IF(V455&lt;=0,P455="",FALSE),"Check - no price found for this item",IF(F455="","Assign - nobody credited",IF(AH455&gt;0.004,"Unpaid - balance outstanding",IF(AC455&lt;0,"Loss - sold below cost",IF(X455&gt;W455*0.5,"Check - more than half off","OK")))))))</f>
        <v>0</v>
      </c>
    </row>
    <row r="456" spans="1:38">
      <c r="A456" s="28">
        <f>IF(B456="","",SalePrefix&amp;TEXT(ROW()-4,"0000"))</f>
        <v>0</v>
      </c>
      <c r="E456" s="15">
        <f>IF(D456="","",IFERROR(INDEX(Clients!$B$5:$B$504,MATCH(D456,Clients!$A$5:$A$504,0)),"Walk-in"))</f>
        <v>0</v>
      </c>
      <c r="G456" s="15">
        <f>IF(F456="","",IFERROR(INDEX(Staff!$B$5:$B$44,MATCH(F456,Staff!$A$5:$A$44,0)),"House"))</f>
        <v>0</v>
      </c>
      <c r="R456" s="15">
        <f>IF(B456="","",TEXT(B456,"yyyy-mm"))</f>
        <v>0</v>
      </c>
      <c r="S456" s="25">
        <f>IF(B456="","",WEEKNUM(B456,2))</f>
        <v>0</v>
      </c>
      <c r="T456" s="37">
        <f>IF(B456="","",IF(K456="",1,K456))</f>
        <v>0</v>
      </c>
      <c r="U456" s="15">
        <f>IF(B456="","",IF(J456&lt;&gt;"",J456,IF(H456="Retail",IFERROR(INDEX(Inventory!$B$5:$B$304,MATCH(I456,Inventory!$A$5:$A$304,0))&amp;"","Not in Inventory"),IFERROR(INDEX(Services!$B$5:$B$204,MATCH(I456,Services!$A$5:$A$204,0))&amp;"","Not in Services"))))</f>
        <v>0</v>
      </c>
      <c r="V456" s="26">
        <f>IF(B456="","",IF(L456&lt;&gt;"",L456,IF(H456="Retail",IFERROR(INDEX(Inventory!$I$5:$I$304,MATCH(I456,Inventory!$A$5:$A$304,0))*1,0),IFERROR(INDEX(Services!$G$5:$G$204,MATCH(I456,Services!$A$5:$A$204,0))*1,0))))</f>
        <v>0</v>
      </c>
      <c r="W456" s="26">
        <f>IF(B456="","",ROUND(T456*V456,2))</f>
        <v>0</v>
      </c>
      <c r="X456" s="26">
        <f>IF(B456="","",ROUND(IF(M456="",0,W456*M456)+IF(N456="",0,N456),2))</f>
        <v>0</v>
      </c>
      <c r="Y456" s="26">
        <f>IF(B456="","",ROUND(W456-X456-IF(P456="",0,P456),2))</f>
        <v>0</v>
      </c>
      <c r="Z456" s="26">
        <f>IF(B456="","",IF(H456="Retail",IF(TaxOnRetail="Yes",ROUND(Y456*TaxRate,2),0),IF(H456="Service",IF(TaxOnServices="Yes",ROUND(Y456*TaxRate,2),0),0)))</f>
        <v>0</v>
      </c>
      <c r="AA456" s="26">
        <f>IF(B456="","",ROUND(Y456+Z456,2))</f>
        <v>0</v>
      </c>
      <c r="AB456" s="26">
        <f>IF(B456="","",ROUND(T456*IF(H456="Retail",IFERROR(INDEX(Inventory!$H$5:$H$304,MATCH(I456,Inventory!$A$5:$A$304,0))*1,0),IFERROR(INDEX(Services!$Q$5:$Q$204,MATCH(I456,Services!$A$5:$A$204,0))*1,0)),2))</f>
        <v>0</v>
      </c>
      <c r="AC456" s="26">
        <f>IF(B456="","",ROUND(Y456-AB456,2))</f>
        <v>0</v>
      </c>
      <c r="AD456" s="38">
        <f>IF(B456="","",IF(C456="","No",IF(COUNTIFS($C$5:C456,C456)=1,"Yes","No")))</f>
        <v>0</v>
      </c>
      <c r="AE456" s="26">
        <f>IF(B456="","",ROUND(SUMIFS(Payments!$G$5:$G$1204,Payments!$H$5:$H$1204,A456,Payments!$Q$5:$Q$1204,"Yes"),2))</f>
        <v>0</v>
      </c>
      <c r="AF456" s="26">
        <f>IF(B456="","",IF(AD456="No",0,ROUND(SUMIFS(Payments!$G$5:$G$1204,Payments!$I$5:$I$1204,C456,Payments!$H$5:$H$1204,"",Payments!$Q$5:$Q$1204,"Yes"),2)))</f>
        <v>0</v>
      </c>
      <c r="AG456" s="26">
        <f>IF(B456="","",ROUND(AE456+AF456,2))</f>
        <v>0</v>
      </c>
      <c r="AH456" s="26">
        <f>IF(B456="","",ROUND(AA456-AG456,2))</f>
        <v>0</v>
      </c>
      <c r="AI456" s="39">
        <f>IF(B456="","",IF(AA456&lt;=0,"No charge",IF(AH456&lt;=0.004,"Paid",IF(AG456&lt;=0.004,"Unpaid","Part paid"))))</f>
        <v>0</v>
      </c>
      <c r="AJ456" s="38">
        <f>IF(B456="","",IF(H456&lt;&gt;"Service","",IF(D456="","No",IF(COUNTIFS($D$5:$D$1204,D456,$B$5:$B$1204,B456,$H$5:$H$1204,"Retail")&gt;0,"Yes","No"))))</f>
        <v>0</v>
      </c>
      <c r="AK456" s="25">
        <f>IF(B456="","",COUNTIFS($Y$5:$Y$1204,"&gt;"&amp;Y456)+COUNTIFS($Y$5:Y456,Y456))</f>
        <v>0</v>
      </c>
      <c r="AL456" s="39">
        <f>IF(B456="","",IF(H456="","Add - what kind of sale is this?",IF(IF(V456&lt;=0,P456="",FALSE),"Check - no price found for this item",IF(F456="","Assign - nobody credited",IF(AH456&gt;0.004,"Unpaid - balance outstanding",IF(AC456&lt;0,"Loss - sold below cost",IF(X456&gt;W456*0.5,"Check - more than half off","OK")))))))</f>
        <v>0</v>
      </c>
    </row>
    <row r="457" spans="1:38">
      <c r="A457" s="28">
        <f>IF(B457="","",SalePrefix&amp;TEXT(ROW()-4,"0000"))</f>
        <v>0</v>
      </c>
      <c r="E457" s="15">
        <f>IF(D457="","",IFERROR(INDEX(Clients!$B$5:$B$504,MATCH(D457,Clients!$A$5:$A$504,0)),"Walk-in"))</f>
        <v>0</v>
      </c>
      <c r="G457" s="15">
        <f>IF(F457="","",IFERROR(INDEX(Staff!$B$5:$B$44,MATCH(F457,Staff!$A$5:$A$44,0)),"House"))</f>
        <v>0</v>
      </c>
      <c r="R457" s="15">
        <f>IF(B457="","",TEXT(B457,"yyyy-mm"))</f>
        <v>0</v>
      </c>
      <c r="S457" s="25">
        <f>IF(B457="","",WEEKNUM(B457,2))</f>
        <v>0</v>
      </c>
      <c r="T457" s="37">
        <f>IF(B457="","",IF(K457="",1,K457))</f>
        <v>0</v>
      </c>
      <c r="U457" s="15">
        <f>IF(B457="","",IF(J457&lt;&gt;"",J457,IF(H457="Retail",IFERROR(INDEX(Inventory!$B$5:$B$304,MATCH(I457,Inventory!$A$5:$A$304,0))&amp;"","Not in Inventory"),IFERROR(INDEX(Services!$B$5:$B$204,MATCH(I457,Services!$A$5:$A$204,0))&amp;"","Not in Services"))))</f>
        <v>0</v>
      </c>
      <c r="V457" s="26">
        <f>IF(B457="","",IF(L457&lt;&gt;"",L457,IF(H457="Retail",IFERROR(INDEX(Inventory!$I$5:$I$304,MATCH(I457,Inventory!$A$5:$A$304,0))*1,0),IFERROR(INDEX(Services!$G$5:$G$204,MATCH(I457,Services!$A$5:$A$204,0))*1,0))))</f>
        <v>0</v>
      </c>
      <c r="W457" s="26">
        <f>IF(B457="","",ROUND(T457*V457,2))</f>
        <v>0</v>
      </c>
      <c r="X457" s="26">
        <f>IF(B457="","",ROUND(IF(M457="",0,W457*M457)+IF(N457="",0,N457),2))</f>
        <v>0</v>
      </c>
      <c r="Y457" s="26">
        <f>IF(B457="","",ROUND(W457-X457-IF(P457="",0,P457),2))</f>
        <v>0</v>
      </c>
      <c r="Z457" s="26">
        <f>IF(B457="","",IF(H457="Retail",IF(TaxOnRetail="Yes",ROUND(Y457*TaxRate,2),0),IF(H457="Service",IF(TaxOnServices="Yes",ROUND(Y457*TaxRate,2),0),0)))</f>
        <v>0</v>
      </c>
      <c r="AA457" s="26">
        <f>IF(B457="","",ROUND(Y457+Z457,2))</f>
        <v>0</v>
      </c>
      <c r="AB457" s="26">
        <f>IF(B457="","",ROUND(T457*IF(H457="Retail",IFERROR(INDEX(Inventory!$H$5:$H$304,MATCH(I457,Inventory!$A$5:$A$304,0))*1,0),IFERROR(INDEX(Services!$Q$5:$Q$204,MATCH(I457,Services!$A$5:$A$204,0))*1,0)),2))</f>
        <v>0</v>
      </c>
      <c r="AC457" s="26">
        <f>IF(B457="","",ROUND(Y457-AB457,2))</f>
        <v>0</v>
      </c>
      <c r="AD457" s="38">
        <f>IF(B457="","",IF(C457="","No",IF(COUNTIFS($C$5:C457,C457)=1,"Yes","No")))</f>
        <v>0</v>
      </c>
      <c r="AE457" s="26">
        <f>IF(B457="","",ROUND(SUMIFS(Payments!$G$5:$G$1204,Payments!$H$5:$H$1204,A457,Payments!$Q$5:$Q$1204,"Yes"),2))</f>
        <v>0</v>
      </c>
      <c r="AF457" s="26">
        <f>IF(B457="","",IF(AD457="No",0,ROUND(SUMIFS(Payments!$G$5:$G$1204,Payments!$I$5:$I$1204,C457,Payments!$H$5:$H$1204,"",Payments!$Q$5:$Q$1204,"Yes"),2)))</f>
        <v>0</v>
      </c>
      <c r="AG457" s="26">
        <f>IF(B457="","",ROUND(AE457+AF457,2))</f>
        <v>0</v>
      </c>
      <c r="AH457" s="26">
        <f>IF(B457="","",ROUND(AA457-AG457,2))</f>
        <v>0</v>
      </c>
      <c r="AI457" s="39">
        <f>IF(B457="","",IF(AA457&lt;=0,"No charge",IF(AH457&lt;=0.004,"Paid",IF(AG457&lt;=0.004,"Unpaid","Part paid"))))</f>
        <v>0</v>
      </c>
      <c r="AJ457" s="38">
        <f>IF(B457="","",IF(H457&lt;&gt;"Service","",IF(D457="","No",IF(COUNTIFS($D$5:$D$1204,D457,$B$5:$B$1204,B457,$H$5:$H$1204,"Retail")&gt;0,"Yes","No"))))</f>
        <v>0</v>
      </c>
      <c r="AK457" s="25">
        <f>IF(B457="","",COUNTIFS($Y$5:$Y$1204,"&gt;"&amp;Y457)+COUNTIFS($Y$5:Y457,Y457))</f>
        <v>0</v>
      </c>
      <c r="AL457" s="39">
        <f>IF(B457="","",IF(H457="","Add - what kind of sale is this?",IF(IF(V457&lt;=0,P457="",FALSE),"Check - no price found for this item",IF(F457="","Assign - nobody credited",IF(AH457&gt;0.004,"Unpaid - balance outstanding",IF(AC457&lt;0,"Loss - sold below cost",IF(X457&gt;W457*0.5,"Check - more than half off","OK")))))))</f>
        <v>0</v>
      </c>
    </row>
    <row r="458" spans="1:38">
      <c r="A458" s="28">
        <f>IF(B458="","",SalePrefix&amp;TEXT(ROW()-4,"0000"))</f>
        <v>0</v>
      </c>
      <c r="E458" s="15">
        <f>IF(D458="","",IFERROR(INDEX(Clients!$B$5:$B$504,MATCH(D458,Clients!$A$5:$A$504,0)),"Walk-in"))</f>
        <v>0</v>
      </c>
      <c r="G458" s="15">
        <f>IF(F458="","",IFERROR(INDEX(Staff!$B$5:$B$44,MATCH(F458,Staff!$A$5:$A$44,0)),"House"))</f>
        <v>0</v>
      </c>
      <c r="R458" s="15">
        <f>IF(B458="","",TEXT(B458,"yyyy-mm"))</f>
        <v>0</v>
      </c>
      <c r="S458" s="25">
        <f>IF(B458="","",WEEKNUM(B458,2))</f>
        <v>0</v>
      </c>
      <c r="T458" s="37">
        <f>IF(B458="","",IF(K458="",1,K458))</f>
        <v>0</v>
      </c>
      <c r="U458" s="15">
        <f>IF(B458="","",IF(J458&lt;&gt;"",J458,IF(H458="Retail",IFERROR(INDEX(Inventory!$B$5:$B$304,MATCH(I458,Inventory!$A$5:$A$304,0))&amp;"","Not in Inventory"),IFERROR(INDEX(Services!$B$5:$B$204,MATCH(I458,Services!$A$5:$A$204,0))&amp;"","Not in Services"))))</f>
        <v>0</v>
      </c>
      <c r="V458" s="26">
        <f>IF(B458="","",IF(L458&lt;&gt;"",L458,IF(H458="Retail",IFERROR(INDEX(Inventory!$I$5:$I$304,MATCH(I458,Inventory!$A$5:$A$304,0))*1,0),IFERROR(INDEX(Services!$G$5:$G$204,MATCH(I458,Services!$A$5:$A$204,0))*1,0))))</f>
        <v>0</v>
      </c>
      <c r="W458" s="26">
        <f>IF(B458="","",ROUND(T458*V458,2))</f>
        <v>0</v>
      </c>
      <c r="X458" s="26">
        <f>IF(B458="","",ROUND(IF(M458="",0,W458*M458)+IF(N458="",0,N458),2))</f>
        <v>0</v>
      </c>
      <c r="Y458" s="26">
        <f>IF(B458="","",ROUND(W458-X458-IF(P458="",0,P458),2))</f>
        <v>0</v>
      </c>
      <c r="Z458" s="26">
        <f>IF(B458="","",IF(H458="Retail",IF(TaxOnRetail="Yes",ROUND(Y458*TaxRate,2),0),IF(H458="Service",IF(TaxOnServices="Yes",ROUND(Y458*TaxRate,2),0),0)))</f>
        <v>0</v>
      </c>
      <c r="AA458" s="26">
        <f>IF(B458="","",ROUND(Y458+Z458,2))</f>
        <v>0</v>
      </c>
      <c r="AB458" s="26">
        <f>IF(B458="","",ROUND(T458*IF(H458="Retail",IFERROR(INDEX(Inventory!$H$5:$H$304,MATCH(I458,Inventory!$A$5:$A$304,0))*1,0),IFERROR(INDEX(Services!$Q$5:$Q$204,MATCH(I458,Services!$A$5:$A$204,0))*1,0)),2))</f>
        <v>0</v>
      </c>
      <c r="AC458" s="26">
        <f>IF(B458="","",ROUND(Y458-AB458,2))</f>
        <v>0</v>
      </c>
      <c r="AD458" s="38">
        <f>IF(B458="","",IF(C458="","No",IF(COUNTIFS($C$5:C458,C458)=1,"Yes","No")))</f>
        <v>0</v>
      </c>
      <c r="AE458" s="26">
        <f>IF(B458="","",ROUND(SUMIFS(Payments!$G$5:$G$1204,Payments!$H$5:$H$1204,A458,Payments!$Q$5:$Q$1204,"Yes"),2))</f>
        <v>0</v>
      </c>
      <c r="AF458" s="26">
        <f>IF(B458="","",IF(AD458="No",0,ROUND(SUMIFS(Payments!$G$5:$G$1204,Payments!$I$5:$I$1204,C458,Payments!$H$5:$H$1204,"",Payments!$Q$5:$Q$1204,"Yes"),2)))</f>
        <v>0</v>
      </c>
      <c r="AG458" s="26">
        <f>IF(B458="","",ROUND(AE458+AF458,2))</f>
        <v>0</v>
      </c>
      <c r="AH458" s="26">
        <f>IF(B458="","",ROUND(AA458-AG458,2))</f>
        <v>0</v>
      </c>
      <c r="AI458" s="39">
        <f>IF(B458="","",IF(AA458&lt;=0,"No charge",IF(AH458&lt;=0.004,"Paid",IF(AG458&lt;=0.004,"Unpaid","Part paid"))))</f>
        <v>0</v>
      </c>
      <c r="AJ458" s="38">
        <f>IF(B458="","",IF(H458&lt;&gt;"Service","",IF(D458="","No",IF(COUNTIFS($D$5:$D$1204,D458,$B$5:$B$1204,B458,$H$5:$H$1204,"Retail")&gt;0,"Yes","No"))))</f>
        <v>0</v>
      </c>
      <c r="AK458" s="25">
        <f>IF(B458="","",COUNTIFS($Y$5:$Y$1204,"&gt;"&amp;Y458)+COUNTIFS($Y$5:Y458,Y458))</f>
        <v>0</v>
      </c>
      <c r="AL458" s="39">
        <f>IF(B458="","",IF(H458="","Add - what kind of sale is this?",IF(IF(V458&lt;=0,P458="",FALSE),"Check - no price found for this item",IF(F458="","Assign - nobody credited",IF(AH458&gt;0.004,"Unpaid - balance outstanding",IF(AC458&lt;0,"Loss - sold below cost",IF(X458&gt;W458*0.5,"Check - more than half off","OK")))))))</f>
        <v>0</v>
      </c>
    </row>
    <row r="459" spans="1:38">
      <c r="A459" s="28">
        <f>IF(B459="","",SalePrefix&amp;TEXT(ROW()-4,"0000"))</f>
        <v>0</v>
      </c>
      <c r="E459" s="15">
        <f>IF(D459="","",IFERROR(INDEX(Clients!$B$5:$B$504,MATCH(D459,Clients!$A$5:$A$504,0)),"Walk-in"))</f>
        <v>0</v>
      </c>
      <c r="G459" s="15">
        <f>IF(F459="","",IFERROR(INDEX(Staff!$B$5:$B$44,MATCH(F459,Staff!$A$5:$A$44,0)),"House"))</f>
        <v>0</v>
      </c>
      <c r="R459" s="15">
        <f>IF(B459="","",TEXT(B459,"yyyy-mm"))</f>
        <v>0</v>
      </c>
      <c r="S459" s="25">
        <f>IF(B459="","",WEEKNUM(B459,2))</f>
        <v>0</v>
      </c>
      <c r="T459" s="37">
        <f>IF(B459="","",IF(K459="",1,K459))</f>
        <v>0</v>
      </c>
      <c r="U459" s="15">
        <f>IF(B459="","",IF(J459&lt;&gt;"",J459,IF(H459="Retail",IFERROR(INDEX(Inventory!$B$5:$B$304,MATCH(I459,Inventory!$A$5:$A$304,0))&amp;"","Not in Inventory"),IFERROR(INDEX(Services!$B$5:$B$204,MATCH(I459,Services!$A$5:$A$204,0))&amp;"","Not in Services"))))</f>
        <v>0</v>
      </c>
      <c r="V459" s="26">
        <f>IF(B459="","",IF(L459&lt;&gt;"",L459,IF(H459="Retail",IFERROR(INDEX(Inventory!$I$5:$I$304,MATCH(I459,Inventory!$A$5:$A$304,0))*1,0),IFERROR(INDEX(Services!$G$5:$G$204,MATCH(I459,Services!$A$5:$A$204,0))*1,0))))</f>
        <v>0</v>
      </c>
      <c r="W459" s="26">
        <f>IF(B459="","",ROUND(T459*V459,2))</f>
        <v>0</v>
      </c>
      <c r="X459" s="26">
        <f>IF(B459="","",ROUND(IF(M459="",0,W459*M459)+IF(N459="",0,N459),2))</f>
        <v>0</v>
      </c>
      <c r="Y459" s="26">
        <f>IF(B459="","",ROUND(W459-X459-IF(P459="",0,P459),2))</f>
        <v>0</v>
      </c>
      <c r="Z459" s="26">
        <f>IF(B459="","",IF(H459="Retail",IF(TaxOnRetail="Yes",ROUND(Y459*TaxRate,2),0),IF(H459="Service",IF(TaxOnServices="Yes",ROUND(Y459*TaxRate,2),0),0)))</f>
        <v>0</v>
      </c>
      <c r="AA459" s="26">
        <f>IF(B459="","",ROUND(Y459+Z459,2))</f>
        <v>0</v>
      </c>
      <c r="AB459" s="26">
        <f>IF(B459="","",ROUND(T459*IF(H459="Retail",IFERROR(INDEX(Inventory!$H$5:$H$304,MATCH(I459,Inventory!$A$5:$A$304,0))*1,0),IFERROR(INDEX(Services!$Q$5:$Q$204,MATCH(I459,Services!$A$5:$A$204,0))*1,0)),2))</f>
        <v>0</v>
      </c>
      <c r="AC459" s="26">
        <f>IF(B459="","",ROUND(Y459-AB459,2))</f>
        <v>0</v>
      </c>
      <c r="AD459" s="38">
        <f>IF(B459="","",IF(C459="","No",IF(COUNTIFS($C$5:C459,C459)=1,"Yes","No")))</f>
        <v>0</v>
      </c>
      <c r="AE459" s="26">
        <f>IF(B459="","",ROUND(SUMIFS(Payments!$G$5:$G$1204,Payments!$H$5:$H$1204,A459,Payments!$Q$5:$Q$1204,"Yes"),2))</f>
        <v>0</v>
      </c>
      <c r="AF459" s="26">
        <f>IF(B459="","",IF(AD459="No",0,ROUND(SUMIFS(Payments!$G$5:$G$1204,Payments!$I$5:$I$1204,C459,Payments!$H$5:$H$1204,"",Payments!$Q$5:$Q$1204,"Yes"),2)))</f>
        <v>0</v>
      </c>
      <c r="AG459" s="26">
        <f>IF(B459="","",ROUND(AE459+AF459,2))</f>
        <v>0</v>
      </c>
      <c r="AH459" s="26">
        <f>IF(B459="","",ROUND(AA459-AG459,2))</f>
        <v>0</v>
      </c>
      <c r="AI459" s="39">
        <f>IF(B459="","",IF(AA459&lt;=0,"No charge",IF(AH459&lt;=0.004,"Paid",IF(AG459&lt;=0.004,"Unpaid","Part paid"))))</f>
        <v>0</v>
      </c>
      <c r="AJ459" s="38">
        <f>IF(B459="","",IF(H459&lt;&gt;"Service","",IF(D459="","No",IF(COUNTIFS($D$5:$D$1204,D459,$B$5:$B$1204,B459,$H$5:$H$1204,"Retail")&gt;0,"Yes","No"))))</f>
        <v>0</v>
      </c>
      <c r="AK459" s="25">
        <f>IF(B459="","",COUNTIFS($Y$5:$Y$1204,"&gt;"&amp;Y459)+COUNTIFS($Y$5:Y459,Y459))</f>
        <v>0</v>
      </c>
      <c r="AL459" s="39">
        <f>IF(B459="","",IF(H459="","Add - what kind of sale is this?",IF(IF(V459&lt;=0,P459="",FALSE),"Check - no price found for this item",IF(F459="","Assign - nobody credited",IF(AH459&gt;0.004,"Unpaid - balance outstanding",IF(AC459&lt;0,"Loss - sold below cost",IF(X459&gt;W459*0.5,"Check - more than half off","OK")))))))</f>
        <v>0</v>
      </c>
    </row>
    <row r="460" spans="1:38">
      <c r="A460" s="28">
        <f>IF(B460="","",SalePrefix&amp;TEXT(ROW()-4,"0000"))</f>
        <v>0</v>
      </c>
      <c r="E460" s="15">
        <f>IF(D460="","",IFERROR(INDEX(Clients!$B$5:$B$504,MATCH(D460,Clients!$A$5:$A$504,0)),"Walk-in"))</f>
        <v>0</v>
      </c>
      <c r="G460" s="15">
        <f>IF(F460="","",IFERROR(INDEX(Staff!$B$5:$B$44,MATCH(F460,Staff!$A$5:$A$44,0)),"House"))</f>
        <v>0</v>
      </c>
      <c r="R460" s="15">
        <f>IF(B460="","",TEXT(B460,"yyyy-mm"))</f>
        <v>0</v>
      </c>
      <c r="S460" s="25">
        <f>IF(B460="","",WEEKNUM(B460,2))</f>
        <v>0</v>
      </c>
      <c r="T460" s="37">
        <f>IF(B460="","",IF(K460="",1,K460))</f>
        <v>0</v>
      </c>
      <c r="U460" s="15">
        <f>IF(B460="","",IF(J460&lt;&gt;"",J460,IF(H460="Retail",IFERROR(INDEX(Inventory!$B$5:$B$304,MATCH(I460,Inventory!$A$5:$A$304,0))&amp;"","Not in Inventory"),IFERROR(INDEX(Services!$B$5:$B$204,MATCH(I460,Services!$A$5:$A$204,0))&amp;"","Not in Services"))))</f>
        <v>0</v>
      </c>
      <c r="V460" s="26">
        <f>IF(B460="","",IF(L460&lt;&gt;"",L460,IF(H460="Retail",IFERROR(INDEX(Inventory!$I$5:$I$304,MATCH(I460,Inventory!$A$5:$A$304,0))*1,0),IFERROR(INDEX(Services!$G$5:$G$204,MATCH(I460,Services!$A$5:$A$204,0))*1,0))))</f>
        <v>0</v>
      </c>
      <c r="W460" s="26">
        <f>IF(B460="","",ROUND(T460*V460,2))</f>
        <v>0</v>
      </c>
      <c r="X460" s="26">
        <f>IF(B460="","",ROUND(IF(M460="",0,W460*M460)+IF(N460="",0,N460),2))</f>
        <v>0</v>
      </c>
      <c r="Y460" s="26">
        <f>IF(B460="","",ROUND(W460-X460-IF(P460="",0,P460),2))</f>
        <v>0</v>
      </c>
      <c r="Z460" s="26">
        <f>IF(B460="","",IF(H460="Retail",IF(TaxOnRetail="Yes",ROUND(Y460*TaxRate,2),0),IF(H460="Service",IF(TaxOnServices="Yes",ROUND(Y460*TaxRate,2),0),0)))</f>
        <v>0</v>
      </c>
      <c r="AA460" s="26">
        <f>IF(B460="","",ROUND(Y460+Z460,2))</f>
        <v>0</v>
      </c>
      <c r="AB460" s="26">
        <f>IF(B460="","",ROUND(T460*IF(H460="Retail",IFERROR(INDEX(Inventory!$H$5:$H$304,MATCH(I460,Inventory!$A$5:$A$304,0))*1,0),IFERROR(INDEX(Services!$Q$5:$Q$204,MATCH(I460,Services!$A$5:$A$204,0))*1,0)),2))</f>
        <v>0</v>
      </c>
      <c r="AC460" s="26">
        <f>IF(B460="","",ROUND(Y460-AB460,2))</f>
        <v>0</v>
      </c>
      <c r="AD460" s="38">
        <f>IF(B460="","",IF(C460="","No",IF(COUNTIFS($C$5:C460,C460)=1,"Yes","No")))</f>
        <v>0</v>
      </c>
      <c r="AE460" s="26">
        <f>IF(B460="","",ROUND(SUMIFS(Payments!$G$5:$G$1204,Payments!$H$5:$H$1204,A460,Payments!$Q$5:$Q$1204,"Yes"),2))</f>
        <v>0</v>
      </c>
      <c r="AF460" s="26">
        <f>IF(B460="","",IF(AD460="No",0,ROUND(SUMIFS(Payments!$G$5:$G$1204,Payments!$I$5:$I$1204,C460,Payments!$H$5:$H$1204,"",Payments!$Q$5:$Q$1204,"Yes"),2)))</f>
        <v>0</v>
      </c>
      <c r="AG460" s="26">
        <f>IF(B460="","",ROUND(AE460+AF460,2))</f>
        <v>0</v>
      </c>
      <c r="AH460" s="26">
        <f>IF(B460="","",ROUND(AA460-AG460,2))</f>
        <v>0</v>
      </c>
      <c r="AI460" s="39">
        <f>IF(B460="","",IF(AA460&lt;=0,"No charge",IF(AH460&lt;=0.004,"Paid",IF(AG460&lt;=0.004,"Unpaid","Part paid"))))</f>
        <v>0</v>
      </c>
      <c r="AJ460" s="38">
        <f>IF(B460="","",IF(H460&lt;&gt;"Service","",IF(D460="","No",IF(COUNTIFS($D$5:$D$1204,D460,$B$5:$B$1204,B460,$H$5:$H$1204,"Retail")&gt;0,"Yes","No"))))</f>
        <v>0</v>
      </c>
      <c r="AK460" s="25">
        <f>IF(B460="","",COUNTIFS($Y$5:$Y$1204,"&gt;"&amp;Y460)+COUNTIFS($Y$5:Y460,Y460))</f>
        <v>0</v>
      </c>
      <c r="AL460" s="39">
        <f>IF(B460="","",IF(H460="","Add - what kind of sale is this?",IF(IF(V460&lt;=0,P460="",FALSE),"Check - no price found for this item",IF(F460="","Assign - nobody credited",IF(AH460&gt;0.004,"Unpaid - balance outstanding",IF(AC460&lt;0,"Loss - sold below cost",IF(X460&gt;W460*0.5,"Check - more than half off","OK")))))))</f>
        <v>0</v>
      </c>
    </row>
    <row r="461" spans="1:38">
      <c r="A461" s="28">
        <f>IF(B461="","",SalePrefix&amp;TEXT(ROW()-4,"0000"))</f>
        <v>0</v>
      </c>
      <c r="E461" s="15">
        <f>IF(D461="","",IFERROR(INDEX(Clients!$B$5:$B$504,MATCH(D461,Clients!$A$5:$A$504,0)),"Walk-in"))</f>
        <v>0</v>
      </c>
      <c r="G461" s="15">
        <f>IF(F461="","",IFERROR(INDEX(Staff!$B$5:$B$44,MATCH(F461,Staff!$A$5:$A$44,0)),"House"))</f>
        <v>0</v>
      </c>
      <c r="R461" s="15">
        <f>IF(B461="","",TEXT(B461,"yyyy-mm"))</f>
        <v>0</v>
      </c>
      <c r="S461" s="25">
        <f>IF(B461="","",WEEKNUM(B461,2))</f>
        <v>0</v>
      </c>
      <c r="T461" s="37">
        <f>IF(B461="","",IF(K461="",1,K461))</f>
        <v>0</v>
      </c>
      <c r="U461" s="15">
        <f>IF(B461="","",IF(J461&lt;&gt;"",J461,IF(H461="Retail",IFERROR(INDEX(Inventory!$B$5:$B$304,MATCH(I461,Inventory!$A$5:$A$304,0))&amp;"","Not in Inventory"),IFERROR(INDEX(Services!$B$5:$B$204,MATCH(I461,Services!$A$5:$A$204,0))&amp;"","Not in Services"))))</f>
        <v>0</v>
      </c>
      <c r="V461" s="26">
        <f>IF(B461="","",IF(L461&lt;&gt;"",L461,IF(H461="Retail",IFERROR(INDEX(Inventory!$I$5:$I$304,MATCH(I461,Inventory!$A$5:$A$304,0))*1,0),IFERROR(INDEX(Services!$G$5:$G$204,MATCH(I461,Services!$A$5:$A$204,0))*1,0))))</f>
        <v>0</v>
      </c>
      <c r="W461" s="26">
        <f>IF(B461="","",ROUND(T461*V461,2))</f>
        <v>0</v>
      </c>
      <c r="X461" s="26">
        <f>IF(B461="","",ROUND(IF(M461="",0,W461*M461)+IF(N461="",0,N461),2))</f>
        <v>0</v>
      </c>
      <c r="Y461" s="26">
        <f>IF(B461="","",ROUND(W461-X461-IF(P461="",0,P461),2))</f>
        <v>0</v>
      </c>
      <c r="Z461" s="26">
        <f>IF(B461="","",IF(H461="Retail",IF(TaxOnRetail="Yes",ROUND(Y461*TaxRate,2),0),IF(H461="Service",IF(TaxOnServices="Yes",ROUND(Y461*TaxRate,2),0),0)))</f>
        <v>0</v>
      </c>
      <c r="AA461" s="26">
        <f>IF(B461="","",ROUND(Y461+Z461,2))</f>
        <v>0</v>
      </c>
      <c r="AB461" s="26">
        <f>IF(B461="","",ROUND(T461*IF(H461="Retail",IFERROR(INDEX(Inventory!$H$5:$H$304,MATCH(I461,Inventory!$A$5:$A$304,0))*1,0),IFERROR(INDEX(Services!$Q$5:$Q$204,MATCH(I461,Services!$A$5:$A$204,0))*1,0)),2))</f>
        <v>0</v>
      </c>
      <c r="AC461" s="26">
        <f>IF(B461="","",ROUND(Y461-AB461,2))</f>
        <v>0</v>
      </c>
      <c r="AD461" s="38">
        <f>IF(B461="","",IF(C461="","No",IF(COUNTIFS($C$5:C461,C461)=1,"Yes","No")))</f>
        <v>0</v>
      </c>
      <c r="AE461" s="26">
        <f>IF(B461="","",ROUND(SUMIFS(Payments!$G$5:$G$1204,Payments!$H$5:$H$1204,A461,Payments!$Q$5:$Q$1204,"Yes"),2))</f>
        <v>0</v>
      </c>
      <c r="AF461" s="26">
        <f>IF(B461="","",IF(AD461="No",0,ROUND(SUMIFS(Payments!$G$5:$G$1204,Payments!$I$5:$I$1204,C461,Payments!$H$5:$H$1204,"",Payments!$Q$5:$Q$1204,"Yes"),2)))</f>
        <v>0</v>
      </c>
      <c r="AG461" s="26">
        <f>IF(B461="","",ROUND(AE461+AF461,2))</f>
        <v>0</v>
      </c>
      <c r="AH461" s="26">
        <f>IF(B461="","",ROUND(AA461-AG461,2))</f>
        <v>0</v>
      </c>
      <c r="AI461" s="39">
        <f>IF(B461="","",IF(AA461&lt;=0,"No charge",IF(AH461&lt;=0.004,"Paid",IF(AG461&lt;=0.004,"Unpaid","Part paid"))))</f>
        <v>0</v>
      </c>
      <c r="AJ461" s="38">
        <f>IF(B461="","",IF(H461&lt;&gt;"Service","",IF(D461="","No",IF(COUNTIFS($D$5:$D$1204,D461,$B$5:$B$1204,B461,$H$5:$H$1204,"Retail")&gt;0,"Yes","No"))))</f>
        <v>0</v>
      </c>
      <c r="AK461" s="25">
        <f>IF(B461="","",COUNTIFS($Y$5:$Y$1204,"&gt;"&amp;Y461)+COUNTIFS($Y$5:Y461,Y461))</f>
        <v>0</v>
      </c>
      <c r="AL461" s="39">
        <f>IF(B461="","",IF(H461="","Add - what kind of sale is this?",IF(IF(V461&lt;=0,P461="",FALSE),"Check - no price found for this item",IF(F461="","Assign - nobody credited",IF(AH461&gt;0.004,"Unpaid - balance outstanding",IF(AC461&lt;0,"Loss - sold below cost",IF(X461&gt;W461*0.5,"Check - more than half off","OK")))))))</f>
        <v>0</v>
      </c>
    </row>
    <row r="462" spans="1:38">
      <c r="A462" s="28">
        <f>IF(B462="","",SalePrefix&amp;TEXT(ROW()-4,"0000"))</f>
        <v>0</v>
      </c>
      <c r="E462" s="15">
        <f>IF(D462="","",IFERROR(INDEX(Clients!$B$5:$B$504,MATCH(D462,Clients!$A$5:$A$504,0)),"Walk-in"))</f>
        <v>0</v>
      </c>
      <c r="G462" s="15">
        <f>IF(F462="","",IFERROR(INDEX(Staff!$B$5:$B$44,MATCH(F462,Staff!$A$5:$A$44,0)),"House"))</f>
        <v>0</v>
      </c>
      <c r="R462" s="15">
        <f>IF(B462="","",TEXT(B462,"yyyy-mm"))</f>
        <v>0</v>
      </c>
      <c r="S462" s="25">
        <f>IF(B462="","",WEEKNUM(B462,2))</f>
        <v>0</v>
      </c>
      <c r="T462" s="37">
        <f>IF(B462="","",IF(K462="",1,K462))</f>
        <v>0</v>
      </c>
      <c r="U462" s="15">
        <f>IF(B462="","",IF(J462&lt;&gt;"",J462,IF(H462="Retail",IFERROR(INDEX(Inventory!$B$5:$B$304,MATCH(I462,Inventory!$A$5:$A$304,0))&amp;"","Not in Inventory"),IFERROR(INDEX(Services!$B$5:$B$204,MATCH(I462,Services!$A$5:$A$204,0))&amp;"","Not in Services"))))</f>
        <v>0</v>
      </c>
      <c r="V462" s="26">
        <f>IF(B462="","",IF(L462&lt;&gt;"",L462,IF(H462="Retail",IFERROR(INDEX(Inventory!$I$5:$I$304,MATCH(I462,Inventory!$A$5:$A$304,0))*1,0),IFERROR(INDEX(Services!$G$5:$G$204,MATCH(I462,Services!$A$5:$A$204,0))*1,0))))</f>
        <v>0</v>
      </c>
      <c r="W462" s="26">
        <f>IF(B462="","",ROUND(T462*V462,2))</f>
        <v>0</v>
      </c>
      <c r="X462" s="26">
        <f>IF(B462="","",ROUND(IF(M462="",0,W462*M462)+IF(N462="",0,N462),2))</f>
        <v>0</v>
      </c>
      <c r="Y462" s="26">
        <f>IF(B462="","",ROUND(W462-X462-IF(P462="",0,P462),2))</f>
        <v>0</v>
      </c>
      <c r="Z462" s="26">
        <f>IF(B462="","",IF(H462="Retail",IF(TaxOnRetail="Yes",ROUND(Y462*TaxRate,2),0),IF(H462="Service",IF(TaxOnServices="Yes",ROUND(Y462*TaxRate,2),0),0)))</f>
        <v>0</v>
      </c>
      <c r="AA462" s="26">
        <f>IF(B462="","",ROUND(Y462+Z462,2))</f>
        <v>0</v>
      </c>
      <c r="AB462" s="26">
        <f>IF(B462="","",ROUND(T462*IF(H462="Retail",IFERROR(INDEX(Inventory!$H$5:$H$304,MATCH(I462,Inventory!$A$5:$A$304,0))*1,0),IFERROR(INDEX(Services!$Q$5:$Q$204,MATCH(I462,Services!$A$5:$A$204,0))*1,0)),2))</f>
        <v>0</v>
      </c>
      <c r="AC462" s="26">
        <f>IF(B462="","",ROUND(Y462-AB462,2))</f>
        <v>0</v>
      </c>
      <c r="AD462" s="38">
        <f>IF(B462="","",IF(C462="","No",IF(COUNTIFS($C$5:C462,C462)=1,"Yes","No")))</f>
        <v>0</v>
      </c>
      <c r="AE462" s="26">
        <f>IF(B462="","",ROUND(SUMIFS(Payments!$G$5:$G$1204,Payments!$H$5:$H$1204,A462,Payments!$Q$5:$Q$1204,"Yes"),2))</f>
        <v>0</v>
      </c>
      <c r="AF462" s="26">
        <f>IF(B462="","",IF(AD462="No",0,ROUND(SUMIFS(Payments!$G$5:$G$1204,Payments!$I$5:$I$1204,C462,Payments!$H$5:$H$1204,"",Payments!$Q$5:$Q$1204,"Yes"),2)))</f>
        <v>0</v>
      </c>
      <c r="AG462" s="26">
        <f>IF(B462="","",ROUND(AE462+AF462,2))</f>
        <v>0</v>
      </c>
      <c r="AH462" s="26">
        <f>IF(B462="","",ROUND(AA462-AG462,2))</f>
        <v>0</v>
      </c>
      <c r="AI462" s="39">
        <f>IF(B462="","",IF(AA462&lt;=0,"No charge",IF(AH462&lt;=0.004,"Paid",IF(AG462&lt;=0.004,"Unpaid","Part paid"))))</f>
        <v>0</v>
      </c>
      <c r="AJ462" s="38">
        <f>IF(B462="","",IF(H462&lt;&gt;"Service","",IF(D462="","No",IF(COUNTIFS($D$5:$D$1204,D462,$B$5:$B$1204,B462,$H$5:$H$1204,"Retail")&gt;0,"Yes","No"))))</f>
        <v>0</v>
      </c>
      <c r="AK462" s="25">
        <f>IF(B462="","",COUNTIFS($Y$5:$Y$1204,"&gt;"&amp;Y462)+COUNTIFS($Y$5:Y462,Y462))</f>
        <v>0</v>
      </c>
      <c r="AL462" s="39">
        <f>IF(B462="","",IF(H462="","Add - what kind of sale is this?",IF(IF(V462&lt;=0,P462="",FALSE),"Check - no price found for this item",IF(F462="","Assign - nobody credited",IF(AH462&gt;0.004,"Unpaid - balance outstanding",IF(AC462&lt;0,"Loss - sold below cost",IF(X462&gt;W462*0.5,"Check - more than half off","OK")))))))</f>
        <v>0</v>
      </c>
    </row>
    <row r="463" spans="1:38">
      <c r="A463" s="28">
        <f>IF(B463="","",SalePrefix&amp;TEXT(ROW()-4,"0000"))</f>
        <v>0</v>
      </c>
      <c r="E463" s="15">
        <f>IF(D463="","",IFERROR(INDEX(Clients!$B$5:$B$504,MATCH(D463,Clients!$A$5:$A$504,0)),"Walk-in"))</f>
        <v>0</v>
      </c>
      <c r="G463" s="15">
        <f>IF(F463="","",IFERROR(INDEX(Staff!$B$5:$B$44,MATCH(F463,Staff!$A$5:$A$44,0)),"House"))</f>
        <v>0</v>
      </c>
      <c r="R463" s="15">
        <f>IF(B463="","",TEXT(B463,"yyyy-mm"))</f>
        <v>0</v>
      </c>
      <c r="S463" s="25">
        <f>IF(B463="","",WEEKNUM(B463,2))</f>
        <v>0</v>
      </c>
      <c r="T463" s="37">
        <f>IF(B463="","",IF(K463="",1,K463))</f>
        <v>0</v>
      </c>
      <c r="U463" s="15">
        <f>IF(B463="","",IF(J463&lt;&gt;"",J463,IF(H463="Retail",IFERROR(INDEX(Inventory!$B$5:$B$304,MATCH(I463,Inventory!$A$5:$A$304,0))&amp;"","Not in Inventory"),IFERROR(INDEX(Services!$B$5:$B$204,MATCH(I463,Services!$A$5:$A$204,0))&amp;"","Not in Services"))))</f>
        <v>0</v>
      </c>
      <c r="V463" s="26">
        <f>IF(B463="","",IF(L463&lt;&gt;"",L463,IF(H463="Retail",IFERROR(INDEX(Inventory!$I$5:$I$304,MATCH(I463,Inventory!$A$5:$A$304,0))*1,0),IFERROR(INDEX(Services!$G$5:$G$204,MATCH(I463,Services!$A$5:$A$204,0))*1,0))))</f>
        <v>0</v>
      </c>
      <c r="W463" s="26">
        <f>IF(B463="","",ROUND(T463*V463,2))</f>
        <v>0</v>
      </c>
      <c r="X463" s="26">
        <f>IF(B463="","",ROUND(IF(M463="",0,W463*M463)+IF(N463="",0,N463),2))</f>
        <v>0</v>
      </c>
      <c r="Y463" s="26">
        <f>IF(B463="","",ROUND(W463-X463-IF(P463="",0,P463),2))</f>
        <v>0</v>
      </c>
      <c r="Z463" s="26">
        <f>IF(B463="","",IF(H463="Retail",IF(TaxOnRetail="Yes",ROUND(Y463*TaxRate,2),0),IF(H463="Service",IF(TaxOnServices="Yes",ROUND(Y463*TaxRate,2),0),0)))</f>
        <v>0</v>
      </c>
      <c r="AA463" s="26">
        <f>IF(B463="","",ROUND(Y463+Z463,2))</f>
        <v>0</v>
      </c>
      <c r="AB463" s="26">
        <f>IF(B463="","",ROUND(T463*IF(H463="Retail",IFERROR(INDEX(Inventory!$H$5:$H$304,MATCH(I463,Inventory!$A$5:$A$304,0))*1,0),IFERROR(INDEX(Services!$Q$5:$Q$204,MATCH(I463,Services!$A$5:$A$204,0))*1,0)),2))</f>
        <v>0</v>
      </c>
      <c r="AC463" s="26">
        <f>IF(B463="","",ROUND(Y463-AB463,2))</f>
        <v>0</v>
      </c>
      <c r="AD463" s="38">
        <f>IF(B463="","",IF(C463="","No",IF(COUNTIFS($C$5:C463,C463)=1,"Yes","No")))</f>
        <v>0</v>
      </c>
      <c r="AE463" s="26">
        <f>IF(B463="","",ROUND(SUMIFS(Payments!$G$5:$G$1204,Payments!$H$5:$H$1204,A463,Payments!$Q$5:$Q$1204,"Yes"),2))</f>
        <v>0</v>
      </c>
      <c r="AF463" s="26">
        <f>IF(B463="","",IF(AD463="No",0,ROUND(SUMIFS(Payments!$G$5:$G$1204,Payments!$I$5:$I$1204,C463,Payments!$H$5:$H$1204,"",Payments!$Q$5:$Q$1204,"Yes"),2)))</f>
        <v>0</v>
      </c>
      <c r="AG463" s="26">
        <f>IF(B463="","",ROUND(AE463+AF463,2))</f>
        <v>0</v>
      </c>
      <c r="AH463" s="26">
        <f>IF(B463="","",ROUND(AA463-AG463,2))</f>
        <v>0</v>
      </c>
      <c r="AI463" s="39">
        <f>IF(B463="","",IF(AA463&lt;=0,"No charge",IF(AH463&lt;=0.004,"Paid",IF(AG463&lt;=0.004,"Unpaid","Part paid"))))</f>
        <v>0</v>
      </c>
      <c r="AJ463" s="38">
        <f>IF(B463="","",IF(H463&lt;&gt;"Service","",IF(D463="","No",IF(COUNTIFS($D$5:$D$1204,D463,$B$5:$B$1204,B463,$H$5:$H$1204,"Retail")&gt;0,"Yes","No"))))</f>
        <v>0</v>
      </c>
      <c r="AK463" s="25">
        <f>IF(B463="","",COUNTIFS($Y$5:$Y$1204,"&gt;"&amp;Y463)+COUNTIFS($Y$5:Y463,Y463))</f>
        <v>0</v>
      </c>
      <c r="AL463" s="39">
        <f>IF(B463="","",IF(H463="","Add - what kind of sale is this?",IF(IF(V463&lt;=0,P463="",FALSE),"Check - no price found for this item",IF(F463="","Assign - nobody credited",IF(AH463&gt;0.004,"Unpaid - balance outstanding",IF(AC463&lt;0,"Loss - sold below cost",IF(X463&gt;W463*0.5,"Check - more than half off","OK")))))))</f>
        <v>0</v>
      </c>
    </row>
    <row r="464" spans="1:38">
      <c r="A464" s="28">
        <f>IF(B464="","",SalePrefix&amp;TEXT(ROW()-4,"0000"))</f>
        <v>0</v>
      </c>
      <c r="E464" s="15">
        <f>IF(D464="","",IFERROR(INDEX(Clients!$B$5:$B$504,MATCH(D464,Clients!$A$5:$A$504,0)),"Walk-in"))</f>
        <v>0</v>
      </c>
      <c r="G464" s="15">
        <f>IF(F464="","",IFERROR(INDEX(Staff!$B$5:$B$44,MATCH(F464,Staff!$A$5:$A$44,0)),"House"))</f>
        <v>0</v>
      </c>
      <c r="R464" s="15">
        <f>IF(B464="","",TEXT(B464,"yyyy-mm"))</f>
        <v>0</v>
      </c>
      <c r="S464" s="25">
        <f>IF(B464="","",WEEKNUM(B464,2))</f>
        <v>0</v>
      </c>
      <c r="T464" s="37">
        <f>IF(B464="","",IF(K464="",1,K464))</f>
        <v>0</v>
      </c>
      <c r="U464" s="15">
        <f>IF(B464="","",IF(J464&lt;&gt;"",J464,IF(H464="Retail",IFERROR(INDEX(Inventory!$B$5:$B$304,MATCH(I464,Inventory!$A$5:$A$304,0))&amp;"","Not in Inventory"),IFERROR(INDEX(Services!$B$5:$B$204,MATCH(I464,Services!$A$5:$A$204,0))&amp;"","Not in Services"))))</f>
        <v>0</v>
      </c>
      <c r="V464" s="26">
        <f>IF(B464="","",IF(L464&lt;&gt;"",L464,IF(H464="Retail",IFERROR(INDEX(Inventory!$I$5:$I$304,MATCH(I464,Inventory!$A$5:$A$304,0))*1,0),IFERROR(INDEX(Services!$G$5:$G$204,MATCH(I464,Services!$A$5:$A$204,0))*1,0))))</f>
        <v>0</v>
      </c>
      <c r="W464" s="26">
        <f>IF(B464="","",ROUND(T464*V464,2))</f>
        <v>0</v>
      </c>
      <c r="X464" s="26">
        <f>IF(B464="","",ROUND(IF(M464="",0,W464*M464)+IF(N464="",0,N464),2))</f>
        <v>0</v>
      </c>
      <c r="Y464" s="26">
        <f>IF(B464="","",ROUND(W464-X464-IF(P464="",0,P464),2))</f>
        <v>0</v>
      </c>
      <c r="Z464" s="26">
        <f>IF(B464="","",IF(H464="Retail",IF(TaxOnRetail="Yes",ROUND(Y464*TaxRate,2),0),IF(H464="Service",IF(TaxOnServices="Yes",ROUND(Y464*TaxRate,2),0),0)))</f>
        <v>0</v>
      </c>
      <c r="AA464" s="26">
        <f>IF(B464="","",ROUND(Y464+Z464,2))</f>
        <v>0</v>
      </c>
      <c r="AB464" s="26">
        <f>IF(B464="","",ROUND(T464*IF(H464="Retail",IFERROR(INDEX(Inventory!$H$5:$H$304,MATCH(I464,Inventory!$A$5:$A$304,0))*1,0),IFERROR(INDEX(Services!$Q$5:$Q$204,MATCH(I464,Services!$A$5:$A$204,0))*1,0)),2))</f>
        <v>0</v>
      </c>
      <c r="AC464" s="26">
        <f>IF(B464="","",ROUND(Y464-AB464,2))</f>
        <v>0</v>
      </c>
      <c r="AD464" s="38">
        <f>IF(B464="","",IF(C464="","No",IF(COUNTIFS($C$5:C464,C464)=1,"Yes","No")))</f>
        <v>0</v>
      </c>
      <c r="AE464" s="26">
        <f>IF(B464="","",ROUND(SUMIFS(Payments!$G$5:$G$1204,Payments!$H$5:$H$1204,A464,Payments!$Q$5:$Q$1204,"Yes"),2))</f>
        <v>0</v>
      </c>
      <c r="AF464" s="26">
        <f>IF(B464="","",IF(AD464="No",0,ROUND(SUMIFS(Payments!$G$5:$G$1204,Payments!$I$5:$I$1204,C464,Payments!$H$5:$H$1204,"",Payments!$Q$5:$Q$1204,"Yes"),2)))</f>
        <v>0</v>
      </c>
      <c r="AG464" s="26">
        <f>IF(B464="","",ROUND(AE464+AF464,2))</f>
        <v>0</v>
      </c>
      <c r="AH464" s="26">
        <f>IF(B464="","",ROUND(AA464-AG464,2))</f>
        <v>0</v>
      </c>
      <c r="AI464" s="39">
        <f>IF(B464="","",IF(AA464&lt;=0,"No charge",IF(AH464&lt;=0.004,"Paid",IF(AG464&lt;=0.004,"Unpaid","Part paid"))))</f>
        <v>0</v>
      </c>
      <c r="AJ464" s="38">
        <f>IF(B464="","",IF(H464&lt;&gt;"Service","",IF(D464="","No",IF(COUNTIFS($D$5:$D$1204,D464,$B$5:$B$1204,B464,$H$5:$H$1204,"Retail")&gt;0,"Yes","No"))))</f>
        <v>0</v>
      </c>
      <c r="AK464" s="25">
        <f>IF(B464="","",COUNTIFS($Y$5:$Y$1204,"&gt;"&amp;Y464)+COUNTIFS($Y$5:Y464,Y464))</f>
        <v>0</v>
      </c>
      <c r="AL464" s="39">
        <f>IF(B464="","",IF(H464="","Add - what kind of sale is this?",IF(IF(V464&lt;=0,P464="",FALSE),"Check - no price found for this item",IF(F464="","Assign - nobody credited",IF(AH464&gt;0.004,"Unpaid - balance outstanding",IF(AC464&lt;0,"Loss - sold below cost",IF(X464&gt;W464*0.5,"Check - more than half off","OK")))))))</f>
        <v>0</v>
      </c>
    </row>
    <row r="465" spans="1:38">
      <c r="A465" s="28">
        <f>IF(B465="","",SalePrefix&amp;TEXT(ROW()-4,"0000"))</f>
        <v>0</v>
      </c>
      <c r="E465" s="15">
        <f>IF(D465="","",IFERROR(INDEX(Clients!$B$5:$B$504,MATCH(D465,Clients!$A$5:$A$504,0)),"Walk-in"))</f>
        <v>0</v>
      </c>
      <c r="G465" s="15">
        <f>IF(F465="","",IFERROR(INDEX(Staff!$B$5:$B$44,MATCH(F465,Staff!$A$5:$A$44,0)),"House"))</f>
        <v>0</v>
      </c>
      <c r="R465" s="15">
        <f>IF(B465="","",TEXT(B465,"yyyy-mm"))</f>
        <v>0</v>
      </c>
      <c r="S465" s="25">
        <f>IF(B465="","",WEEKNUM(B465,2))</f>
        <v>0</v>
      </c>
      <c r="T465" s="37">
        <f>IF(B465="","",IF(K465="",1,K465))</f>
        <v>0</v>
      </c>
      <c r="U465" s="15">
        <f>IF(B465="","",IF(J465&lt;&gt;"",J465,IF(H465="Retail",IFERROR(INDEX(Inventory!$B$5:$B$304,MATCH(I465,Inventory!$A$5:$A$304,0))&amp;"","Not in Inventory"),IFERROR(INDEX(Services!$B$5:$B$204,MATCH(I465,Services!$A$5:$A$204,0))&amp;"","Not in Services"))))</f>
        <v>0</v>
      </c>
      <c r="V465" s="26">
        <f>IF(B465="","",IF(L465&lt;&gt;"",L465,IF(H465="Retail",IFERROR(INDEX(Inventory!$I$5:$I$304,MATCH(I465,Inventory!$A$5:$A$304,0))*1,0),IFERROR(INDEX(Services!$G$5:$G$204,MATCH(I465,Services!$A$5:$A$204,0))*1,0))))</f>
        <v>0</v>
      </c>
      <c r="W465" s="26">
        <f>IF(B465="","",ROUND(T465*V465,2))</f>
        <v>0</v>
      </c>
      <c r="X465" s="26">
        <f>IF(B465="","",ROUND(IF(M465="",0,W465*M465)+IF(N465="",0,N465),2))</f>
        <v>0</v>
      </c>
      <c r="Y465" s="26">
        <f>IF(B465="","",ROUND(W465-X465-IF(P465="",0,P465),2))</f>
        <v>0</v>
      </c>
      <c r="Z465" s="26">
        <f>IF(B465="","",IF(H465="Retail",IF(TaxOnRetail="Yes",ROUND(Y465*TaxRate,2),0),IF(H465="Service",IF(TaxOnServices="Yes",ROUND(Y465*TaxRate,2),0),0)))</f>
        <v>0</v>
      </c>
      <c r="AA465" s="26">
        <f>IF(B465="","",ROUND(Y465+Z465,2))</f>
        <v>0</v>
      </c>
      <c r="AB465" s="26">
        <f>IF(B465="","",ROUND(T465*IF(H465="Retail",IFERROR(INDEX(Inventory!$H$5:$H$304,MATCH(I465,Inventory!$A$5:$A$304,0))*1,0),IFERROR(INDEX(Services!$Q$5:$Q$204,MATCH(I465,Services!$A$5:$A$204,0))*1,0)),2))</f>
        <v>0</v>
      </c>
      <c r="AC465" s="26">
        <f>IF(B465="","",ROUND(Y465-AB465,2))</f>
        <v>0</v>
      </c>
      <c r="AD465" s="38">
        <f>IF(B465="","",IF(C465="","No",IF(COUNTIFS($C$5:C465,C465)=1,"Yes","No")))</f>
        <v>0</v>
      </c>
      <c r="AE465" s="26">
        <f>IF(B465="","",ROUND(SUMIFS(Payments!$G$5:$G$1204,Payments!$H$5:$H$1204,A465,Payments!$Q$5:$Q$1204,"Yes"),2))</f>
        <v>0</v>
      </c>
      <c r="AF465" s="26">
        <f>IF(B465="","",IF(AD465="No",0,ROUND(SUMIFS(Payments!$G$5:$G$1204,Payments!$I$5:$I$1204,C465,Payments!$H$5:$H$1204,"",Payments!$Q$5:$Q$1204,"Yes"),2)))</f>
        <v>0</v>
      </c>
      <c r="AG465" s="26">
        <f>IF(B465="","",ROUND(AE465+AF465,2))</f>
        <v>0</v>
      </c>
      <c r="AH465" s="26">
        <f>IF(B465="","",ROUND(AA465-AG465,2))</f>
        <v>0</v>
      </c>
      <c r="AI465" s="39">
        <f>IF(B465="","",IF(AA465&lt;=0,"No charge",IF(AH465&lt;=0.004,"Paid",IF(AG465&lt;=0.004,"Unpaid","Part paid"))))</f>
        <v>0</v>
      </c>
      <c r="AJ465" s="38">
        <f>IF(B465="","",IF(H465&lt;&gt;"Service","",IF(D465="","No",IF(COUNTIFS($D$5:$D$1204,D465,$B$5:$B$1204,B465,$H$5:$H$1204,"Retail")&gt;0,"Yes","No"))))</f>
        <v>0</v>
      </c>
      <c r="AK465" s="25">
        <f>IF(B465="","",COUNTIFS($Y$5:$Y$1204,"&gt;"&amp;Y465)+COUNTIFS($Y$5:Y465,Y465))</f>
        <v>0</v>
      </c>
      <c r="AL465" s="39">
        <f>IF(B465="","",IF(H465="","Add - what kind of sale is this?",IF(IF(V465&lt;=0,P465="",FALSE),"Check - no price found for this item",IF(F465="","Assign - nobody credited",IF(AH465&gt;0.004,"Unpaid - balance outstanding",IF(AC465&lt;0,"Loss - sold below cost",IF(X465&gt;W465*0.5,"Check - more than half off","OK")))))))</f>
        <v>0</v>
      </c>
    </row>
    <row r="466" spans="1:38">
      <c r="A466" s="28">
        <f>IF(B466="","",SalePrefix&amp;TEXT(ROW()-4,"0000"))</f>
        <v>0</v>
      </c>
      <c r="E466" s="15">
        <f>IF(D466="","",IFERROR(INDEX(Clients!$B$5:$B$504,MATCH(D466,Clients!$A$5:$A$504,0)),"Walk-in"))</f>
        <v>0</v>
      </c>
      <c r="G466" s="15">
        <f>IF(F466="","",IFERROR(INDEX(Staff!$B$5:$B$44,MATCH(F466,Staff!$A$5:$A$44,0)),"House"))</f>
        <v>0</v>
      </c>
      <c r="R466" s="15">
        <f>IF(B466="","",TEXT(B466,"yyyy-mm"))</f>
        <v>0</v>
      </c>
      <c r="S466" s="25">
        <f>IF(B466="","",WEEKNUM(B466,2))</f>
        <v>0</v>
      </c>
      <c r="T466" s="37">
        <f>IF(B466="","",IF(K466="",1,K466))</f>
        <v>0</v>
      </c>
      <c r="U466" s="15">
        <f>IF(B466="","",IF(J466&lt;&gt;"",J466,IF(H466="Retail",IFERROR(INDEX(Inventory!$B$5:$B$304,MATCH(I466,Inventory!$A$5:$A$304,0))&amp;"","Not in Inventory"),IFERROR(INDEX(Services!$B$5:$B$204,MATCH(I466,Services!$A$5:$A$204,0))&amp;"","Not in Services"))))</f>
        <v>0</v>
      </c>
      <c r="V466" s="26">
        <f>IF(B466="","",IF(L466&lt;&gt;"",L466,IF(H466="Retail",IFERROR(INDEX(Inventory!$I$5:$I$304,MATCH(I466,Inventory!$A$5:$A$304,0))*1,0),IFERROR(INDEX(Services!$G$5:$G$204,MATCH(I466,Services!$A$5:$A$204,0))*1,0))))</f>
        <v>0</v>
      </c>
      <c r="W466" s="26">
        <f>IF(B466="","",ROUND(T466*V466,2))</f>
        <v>0</v>
      </c>
      <c r="X466" s="26">
        <f>IF(B466="","",ROUND(IF(M466="",0,W466*M466)+IF(N466="",0,N466),2))</f>
        <v>0</v>
      </c>
      <c r="Y466" s="26">
        <f>IF(B466="","",ROUND(W466-X466-IF(P466="",0,P466),2))</f>
        <v>0</v>
      </c>
      <c r="Z466" s="26">
        <f>IF(B466="","",IF(H466="Retail",IF(TaxOnRetail="Yes",ROUND(Y466*TaxRate,2),0),IF(H466="Service",IF(TaxOnServices="Yes",ROUND(Y466*TaxRate,2),0),0)))</f>
        <v>0</v>
      </c>
      <c r="AA466" s="26">
        <f>IF(B466="","",ROUND(Y466+Z466,2))</f>
        <v>0</v>
      </c>
      <c r="AB466" s="26">
        <f>IF(B466="","",ROUND(T466*IF(H466="Retail",IFERROR(INDEX(Inventory!$H$5:$H$304,MATCH(I466,Inventory!$A$5:$A$304,0))*1,0),IFERROR(INDEX(Services!$Q$5:$Q$204,MATCH(I466,Services!$A$5:$A$204,0))*1,0)),2))</f>
        <v>0</v>
      </c>
      <c r="AC466" s="26">
        <f>IF(B466="","",ROUND(Y466-AB466,2))</f>
        <v>0</v>
      </c>
      <c r="AD466" s="38">
        <f>IF(B466="","",IF(C466="","No",IF(COUNTIFS($C$5:C466,C466)=1,"Yes","No")))</f>
        <v>0</v>
      </c>
      <c r="AE466" s="26">
        <f>IF(B466="","",ROUND(SUMIFS(Payments!$G$5:$G$1204,Payments!$H$5:$H$1204,A466,Payments!$Q$5:$Q$1204,"Yes"),2))</f>
        <v>0</v>
      </c>
      <c r="AF466" s="26">
        <f>IF(B466="","",IF(AD466="No",0,ROUND(SUMIFS(Payments!$G$5:$G$1204,Payments!$I$5:$I$1204,C466,Payments!$H$5:$H$1204,"",Payments!$Q$5:$Q$1204,"Yes"),2)))</f>
        <v>0</v>
      </c>
      <c r="AG466" s="26">
        <f>IF(B466="","",ROUND(AE466+AF466,2))</f>
        <v>0</v>
      </c>
      <c r="AH466" s="26">
        <f>IF(B466="","",ROUND(AA466-AG466,2))</f>
        <v>0</v>
      </c>
      <c r="AI466" s="39">
        <f>IF(B466="","",IF(AA466&lt;=0,"No charge",IF(AH466&lt;=0.004,"Paid",IF(AG466&lt;=0.004,"Unpaid","Part paid"))))</f>
        <v>0</v>
      </c>
      <c r="AJ466" s="38">
        <f>IF(B466="","",IF(H466&lt;&gt;"Service","",IF(D466="","No",IF(COUNTIFS($D$5:$D$1204,D466,$B$5:$B$1204,B466,$H$5:$H$1204,"Retail")&gt;0,"Yes","No"))))</f>
        <v>0</v>
      </c>
      <c r="AK466" s="25">
        <f>IF(B466="","",COUNTIFS($Y$5:$Y$1204,"&gt;"&amp;Y466)+COUNTIFS($Y$5:Y466,Y466))</f>
        <v>0</v>
      </c>
      <c r="AL466" s="39">
        <f>IF(B466="","",IF(H466="","Add - what kind of sale is this?",IF(IF(V466&lt;=0,P466="",FALSE),"Check - no price found for this item",IF(F466="","Assign - nobody credited",IF(AH466&gt;0.004,"Unpaid - balance outstanding",IF(AC466&lt;0,"Loss - sold below cost",IF(X466&gt;W466*0.5,"Check - more than half off","OK")))))))</f>
        <v>0</v>
      </c>
    </row>
    <row r="467" spans="1:38">
      <c r="A467" s="28">
        <f>IF(B467="","",SalePrefix&amp;TEXT(ROW()-4,"0000"))</f>
        <v>0</v>
      </c>
      <c r="E467" s="15">
        <f>IF(D467="","",IFERROR(INDEX(Clients!$B$5:$B$504,MATCH(D467,Clients!$A$5:$A$504,0)),"Walk-in"))</f>
        <v>0</v>
      </c>
      <c r="G467" s="15">
        <f>IF(F467="","",IFERROR(INDEX(Staff!$B$5:$B$44,MATCH(F467,Staff!$A$5:$A$44,0)),"House"))</f>
        <v>0</v>
      </c>
      <c r="R467" s="15">
        <f>IF(B467="","",TEXT(B467,"yyyy-mm"))</f>
        <v>0</v>
      </c>
      <c r="S467" s="25">
        <f>IF(B467="","",WEEKNUM(B467,2))</f>
        <v>0</v>
      </c>
      <c r="T467" s="37">
        <f>IF(B467="","",IF(K467="",1,K467))</f>
        <v>0</v>
      </c>
      <c r="U467" s="15">
        <f>IF(B467="","",IF(J467&lt;&gt;"",J467,IF(H467="Retail",IFERROR(INDEX(Inventory!$B$5:$B$304,MATCH(I467,Inventory!$A$5:$A$304,0))&amp;"","Not in Inventory"),IFERROR(INDEX(Services!$B$5:$B$204,MATCH(I467,Services!$A$5:$A$204,0))&amp;"","Not in Services"))))</f>
        <v>0</v>
      </c>
      <c r="V467" s="26">
        <f>IF(B467="","",IF(L467&lt;&gt;"",L467,IF(H467="Retail",IFERROR(INDEX(Inventory!$I$5:$I$304,MATCH(I467,Inventory!$A$5:$A$304,0))*1,0),IFERROR(INDEX(Services!$G$5:$G$204,MATCH(I467,Services!$A$5:$A$204,0))*1,0))))</f>
        <v>0</v>
      </c>
      <c r="W467" s="26">
        <f>IF(B467="","",ROUND(T467*V467,2))</f>
        <v>0</v>
      </c>
      <c r="X467" s="26">
        <f>IF(B467="","",ROUND(IF(M467="",0,W467*M467)+IF(N467="",0,N467),2))</f>
        <v>0</v>
      </c>
      <c r="Y467" s="26">
        <f>IF(B467="","",ROUND(W467-X467-IF(P467="",0,P467),2))</f>
        <v>0</v>
      </c>
      <c r="Z467" s="26">
        <f>IF(B467="","",IF(H467="Retail",IF(TaxOnRetail="Yes",ROUND(Y467*TaxRate,2),0),IF(H467="Service",IF(TaxOnServices="Yes",ROUND(Y467*TaxRate,2),0),0)))</f>
        <v>0</v>
      </c>
      <c r="AA467" s="26">
        <f>IF(B467="","",ROUND(Y467+Z467,2))</f>
        <v>0</v>
      </c>
      <c r="AB467" s="26">
        <f>IF(B467="","",ROUND(T467*IF(H467="Retail",IFERROR(INDEX(Inventory!$H$5:$H$304,MATCH(I467,Inventory!$A$5:$A$304,0))*1,0),IFERROR(INDEX(Services!$Q$5:$Q$204,MATCH(I467,Services!$A$5:$A$204,0))*1,0)),2))</f>
        <v>0</v>
      </c>
      <c r="AC467" s="26">
        <f>IF(B467="","",ROUND(Y467-AB467,2))</f>
        <v>0</v>
      </c>
      <c r="AD467" s="38">
        <f>IF(B467="","",IF(C467="","No",IF(COUNTIFS($C$5:C467,C467)=1,"Yes","No")))</f>
        <v>0</v>
      </c>
      <c r="AE467" s="26">
        <f>IF(B467="","",ROUND(SUMIFS(Payments!$G$5:$G$1204,Payments!$H$5:$H$1204,A467,Payments!$Q$5:$Q$1204,"Yes"),2))</f>
        <v>0</v>
      </c>
      <c r="AF467" s="26">
        <f>IF(B467="","",IF(AD467="No",0,ROUND(SUMIFS(Payments!$G$5:$G$1204,Payments!$I$5:$I$1204,C467,Payments!$H$5:$H$1204,"",Payments!$Q$5:$Q$1204,"Yes"),2)))</f>
        <v>0</v>
      </c>
      <c r="AG467" s="26">
        <f>IF(B467="","",ROUND(AE467+AF467,2))</f>
        <v>0</v>
      </c>
      <c r="AH467" s="26">
        <f>IF(B467="","",ROUND(AA467-AG467,2))</f>
        <v>0</v>
      </c>
      <c r="AI467" s="39">
        <f>IF(B467="","",IF(AA467&lt;=0,"No charge",IF(AH467&lt;=0.004,"Paid",IF(AG467&lt;=0.004,"Unpaid","Part paid"))))</f>
        <v>0</v>
      </c>
      <c r="AJ467" s="38">
        <f>IF(B467="","",IF(H467&lt;&gt;"Service","",IF(D467="","No",IF(COUNTIFS($D$5:$D$1204,D467,$B$5:$B$1204,B467,$H$5:$H$1204,"Retail")&gt;0,"Yes","No"))))</f>
        <v>0</v>
      </c>
      <c r="AK467" s="25">
        <f>IF(B467="","",COUNTIFS($Y$5:$Y$1204,"&gt;"&amp;Y467)+COUNTIFS($Y$5:Y467,Y467))</f>
        <v>0</v>
      </c>
      <c r="AL467" s="39">
        <f>IF(B467="","",IF(H467="","Add - what kind of sale is this?",IF(IF(V467&lt;=0,P467="",FALSE),"Check - no price found for this item",IF(F467="","Assign - nobody credited",IF(AH467&gt;0.004,"Unpaid - balance outstanding",IF(AC467&lt;0,"Loss - sold below cost",IF(X467&gt;W467*0.5,"Check - more than half off","OK")))))))</f>
        <v>0</v>
      </c>
    </row>
    <row r="468" spans="1:38">
      <c r="A468" s="28">
        <f>IF(B468="","",SalePrefix&amp;TEXT(ROW()-4,"0000"))</f>
        <v>0</v>
      </c>
      <c r="E468" s="15">
        <f>IF(D468="","",IFERROR(INDEX(Clients!$B$5:$B$504,MATCH(D468,Clients!$A$5:$A$504,0)),"Walk-in"))</f>
        <v>0</v>
      </c>
      <c r="G468" s="15">
        <f>IF(F468="","",IFERROR(INDEX(Staff!$B$5:$B$44,MATCH(F468,Staff!$A$5:$A$44,0)),"House"))</f>
        <v>0</v>
      </c>
      <c r="R468" s="15">
        <f>IF(B468="","",TEXT(B468,"yyyy-mm"))</f>
        <v>0</v>
      </c>
      <c r="S468" s="25">
        <f>IF(B468="","",WEEKNUM(B468,2))</f>
        <v>0</v>
      </c>
      <c r="T468" s="37">
        <f>IF(B468="","",IF(K468="",1,K468))</f>
        <v>0</v>
      </c>
      <c r="U468" s="15">
        <f>IF(B468="","",IF(J468&lt;&gt;"",J468,IF(H468="Retail",IFERROR(INDEX(Inventory!$B$5:$B$304,MATCH(I468,Inventory!$A$5:$A$304,0))&amp;"","Not in Inventory"),IFERROR(INDEX(Services!$B$5:$B$204,MATCH(I468,Services!$A$5:$A$204,0))&amp;"","Not in Services"))))</f>
        <v>0</v>
      </c>
      <c r="V468" s="26">
        <f>IF(B468="","",IF(L468&lt;&gt;"",L468,IF(H468="Retail",IFERROR(INDEX(Inventory!$I$5:$I$304,MATCH(I468,Inventory!$A$5:$A$304,0))*1,0),IFERROR(INDEX(Services!$G$5:$G$204,MATCH(I468,Services!$A$5:$A$204,0))*1,0))))</f>
        <v>0</v>
      </c>
      <c r="W468" s="26">
        <f>IF(B468="","",ROUND(T468*V468,2))</f>
        <v>0</v>
      </c>
      <c r="X468" s="26">
        <f>IF(B468="","",ROUND(IF(M468="",0,W468*M468)+IF(N468="",0,N468),2))</f>
        <v>0</v>
      </c>
      <c r="Y468" s="26">
        <f>IF(B468="","",ROUND(W468-X468-IF(P468="",0,P468),2))</f>
        <v>0</v>
      </c>
      <c r="Z468" s="26">
        <f>IF(B468="","",IF(H468="Retail",IF(TaxOnRetail="Yes",ROUND(Y468*TaxRate,2),0),IF(H468="Service",IF(TaxOnServices="Yes",ROUND(Y468*TaxRate,2),0),0)))</f>
        <v>0</v>
      </c>
      <c r="AA468" s="26">
        <f>IF(B468="","",ROUND(Y468+Z468,2))</f>
        <v>0</v>
      </c>
      <c r="AB468" s="26">
        <f>IF(B468="","",ROUND(T468*IF(H468="Retail",IFERROR(INDEX(Inventory!$H$5:$H$304,MATCH(I468,Inventory!$A$5:$A$304,0))*1,0),IFERROR(INDEX(Services!$Q$5:$Q$204,MATCH(I468,Services!$A$5:$A$204,0))*1,0)),2))</f>
        <v>0</v>
      </c>
      <c r="AC468" s="26">
        <f>IF(B468="","",ROUND(Y468-AB468,2))</f>
        <v>0</v>
      </c>
      <c r="AD468" s="38">
        <f>IF(B468="","",IF(C468="","No",IF(COUNTIFS($C$5:C468,C468)=1,"Yes","No")))</f>
        <v>0</v>
      </c>
      <c r="AE468" s="26">
        <f>IF(B468="","",ROUND(SUMIFS(Payments!$G$5:$G$1204,Payments!$H$5:$H$1204,A468,Payments!$Q$5:$Q$1204,"Yes"),2))</f>
        <v>0</v>
      </c>
      <c r="AF468" s="26">
        <f>IF(B468="","",IF(AD468="No",0,ROUND(SUMIFS(Payments!$G$5:$G$1204,Payments!$I$5:$I$1204,C468,Payments!$H$5:$H$1204,"",Payments!$Q$5:$Q$1204,"Yes"),2)))</f>
        <v>0</v>
      </c>
      <c r="AG468" s="26">
        <f>IF(B468="","",ROUND(AE468+AF468,2))</f>
        <v>0</v>
      </c>
      <c r="AH468" s="26">
        <f>IF(B468="","",ROUND(AA468-AG468,2))</f>
        <v>0</v>
      </c>
      <c r="AI468" s="39">
        <f>IF(B468="","",IF(AA468&lt;=0,"No charge",IF(AH468&lt;=0.004,"Paid",IF(AG468&lt;=0.004,"Unpaid","Part paid"))))</f>
        <v>0</v>
      </c>
      <c r="AJ468" s="38">
        <f>IF(B468="","",IF(H468&lt;&gt;"Service","",IF(D468="","No",IF(COUNTIFS($D$5:$D$1204,D468,$B$5:$B$1204,B468,$H$5:$H$1204,"Retail")&gt;0,"Yes","No"))))</f>
        <v>0</v>
      </c>
      <c r="AK468" s="25">
        <f>IF(B468="","",COUNTIFS($Y$5:$Y$1204,"&gt;"&amp;Y468)+COUNTIFS($Y$5:Y468,Y468))</f>
        <v>0</v>
      </c>
      <c r="AL468" s="39">
        <f>IF(B468="","",IF(H468="","Add - what kind of sale is this?",IF(IF(V468&lt;=0,P468="",FALSE),"Check - no price found for this item",IF(F468="","Assign - nobody credited",IF(AH468&gt;0.004,"Unpaid - balance outstanding",IF(AC468&lt;0,"Loss - sold below cost",IF(X468&gt;W468*0.5,"Check - more than half off","OK")))))))</f>
        <v>0</v>
      </c>
    </row>
    <row r="469" spans="1:38">
      <c r="A469" s="28">
        <f>IF(B469="","",SalePrefix&amp;TEXT(ROW()-4,"0000"))</f>
        <v>0</v>
      </c>
      <c r="E469" s="15">
        <f>IF(D469="","",IFERROR(INDEX(Clients!$B$5:$B$504,MATCH(D469,Clients!$A$5:$A$504,0)),"Walk-in"))</f>
        <v>0</v>
      </c>
      <c r="G469" s="15">
        <f>IF(F469="","",IFERROR(INDEX(Staff!$B$5:$B$44,MATCH(F469,Staff!$A$5:$A$44,0)),"House"))</f>
        <v>0</v>
      </c>
      <c r="R469" s="15">
        <f>IF(B469="","",TEXT(B469,"yyyy-mm"))</f>
        <v>0</v>
      </c>
      <c r="S469" s="25">
        <f>IF(B469="","",WEEKNUM(B469,2))</f>
        <v>0</v>
      </c>
      <c r="T469" s="37">
        <f>IF(B469="","",IF(K469="",1,K469))</f>
        <v>0</v>
      </c>
      <c r="U469" s="15">
        <f>IF(B469="","",IF(J469&lt;&gt;"",J469,IF(H469="Retail",IFERROR(INDEX(Inventory!$B$5:$B$304,MATCH(I469,Inventory!$A$5:$A$304,0))&amp;"","Not in Inventory"),IFERROR(INDEX(Services!$B$5:$B$204,MATCH(I469,Services!$A$5:$A$204,0))&amp;"","Not in Services"))))</f>
        <v>0</v>
      </c>
      <c r="V469" s="26">
        <f>IF(B469="","",IF(L469&lt;&gt;"",L469,IF(H469="Retail",IFERROR(INDEX(Inventory!$I$5:$I$304,MATCH(I469,Inventory!$A$5:$A$304,0))*1,0),IFERROR(INDEX(Services!$G$5:$G$204,MATCH(I469,Services!$A$5:$A$204,0))*1,0))))</f>
        <v>0</v>
      </c>
      <c r="W469" s="26">
        <f>IF(B469="","",ROUND(T469*V469,2))</f>
        <v>0</v>
      </c>
      <c r="X469" s="26">
        <f>IF(B469="","",ROUND(IF(M469="",0,W469*M469)+IF(N469="",0,N469),2))</f>
        <v>0</v>
      </c>
      <c r="Y469" s="26">
        <f>IF(B469="","",ROUND(W469-X469-IF(P469="",0,P469),2))</f>
        <v>0</v>
      </c>
      <c r="Z469" s="26">
        <f>IF(B469="","",IF(H469="Retail",IF(TaxOnRetail="Yes",ROUND(Y469*TaxRate,2),0),IF(H469="Service",IF(TaxOnServices="Yes",ROUND(Y469*TaxRate,2),0),0)))</f>
        <v>0</v>
      </c>
      <c r="AA469" s="26">
        <f>IF(B469="","",ROUND(Y469+Z469,2))</f>
        <v>0</v>
      </c>
      <c r="AB469" s="26">
        <f>IF(B469="","",ROUND(T469*IF(H469="Retail",IFERROR(INDEX(Inventory!$H$5:$H$304,MATCH(I469,Inventory!$A$5:$A$304,0))*1,0),IFERROR(INDEX(Services!$Q$5:$Q$204,MATCH(I469,Services!$A$5:$A$204,0))*1,0)),2))</f>
        <v>0</v>
      </c>
      <c r="AC469" s="26">
        <f>IF(B469="","",ROUND(Y469-AB469,2))</f>
        <v>0</v>
      </c>
      <c r="AD469" s="38">
        <f>IF(B469="","",IF(C469="","No",IF(COUNTIFS($C$5:C469,C469)=1,"Yes","No")))</f>
        <v>0</v>
      </c>
      <c r="AE469" s="26">
        <f>IF(B469="","",ROUND(SUMIFS(Payments!$G$5:$G$1204,Payments!$H$5:$H$1204,A469,Payments!$Q$5:$Q$1204,"Yes"),2))</f>
        <v>0</v>
      </c>
      <c r="AF469" s="26">
        <f>IF(B469="","",IF(AD469="No",0,ROUND(SUMIFS(Payments!$G$5:$G$1204,Payments!$I$5:$I$1204,C469,Payments!$H$5:$H$1204,"",Payments!$Q$5:$Q$1204,"Yes"),2)))</f>
        <v>0</v>
      </c>
      <c r="AG469" s="26">
        <f>IF(B469="","",ROUND(AE469+AF469,2))</f>
        <v>0</v>
      </c>
      <c r="AH469" s="26">
        <f>IF(B469="","",ROUND(AA469-AG469,2))</f>
        <v>0</v>
      </c>
      <c r="AI469" s="39">
        <f>IF(B469="","",IF(AA469&lt;=0,"No charge",IF(AH469&lt;=0.004,"Paid",IF(AG469&lt;=0.004,"Unpaid","Part paid"))))</f>
        <v>0</v>
      </c>
      <c r="AJ469" s="38">
        <f>IF(B469="","",IF(H469&lt;&gt;"Service","",IF(D469="","No",IF(COUNTIFS($D$5:$D$1204,D469,$B$5:$B$1204,B469,$H$5:$H$1204,"Retail")&gt;0,"Yes","No"))))</f>
        <v>0</v>
      </c>
      <c r="AK469" s="25">
        <f>IF(B469="","",COUNTIFS($Y$5:$Y$1204,"&gt;"&amp;Y469)+COUNTIFS($Y$5:Y469,Y469))</f>
        <v>0</v>
      </c>
      <c r="AL469" s="39">
        <f>IF(B469="","",IF(H469="","Add - what kind of sale is this?",IF(IF(V469&lt;=0,P469="",FALSE),"Check - no price found for this item",IF(F469="","Assign - nobody credited",IF(AH469&gt;0.004,"Unpaid - balance outstanding",IF(AC469&lt;0,"Loss - sold below cost",IF(X469&gt;W469*0.5,"Check - more than half off","OK")))))))</f>
        <v>0</v>
      </c>
    </row>
    <row r="470" spans="1:38">
      <c r="A470" s="28">
        <f>IF(B470="","",SalePrefix&amp;TEXT(ROW()-4,"0000"))</f>
        <v>0</v>
      </c>
      <c r="E470" s="15">
        <f>IF(D470="","",IFERROR(INDEX(Clients!$B$5:$B$504,MATCH(D470,Clients!$A$5:$A$504,0)),"Walk-in"))</f>
        <v>0</v>
      </c>
      <c r="G470" s="15">
        <f>IF(F470="","",IFERROR(INDEX(Staff!$B$5:$B$44,MATCH(F470,Staff!$A$5:$A$44,0)),"House"))</f>
        <v>0</v>
      </c>
      <c r="R470" s="15">
        <f>IF(B470="","",TEXT(B470,"yyyy-mm"))</f>
        <v>0</v>
      </c>
      <c r="S470" s="25">
        <f>IF(B470="","",WEEKNUM(B470,2))</f>
        <v>0</v>
      </c>
      <c r="T470" s="37">
        <f>IF(B470="","",IF(K470="",1,K470))</f>
        <v>0</v>
      </c>
      <c r="U470" s="15">
        <f>IF(B470="","",IF(J470&lt;&gt;"",J470,IF(H470="Retail",IFERROR(INDEX(Inventory!$B$5:$B$304,MATCH(I470,Inventory!$A$5:$A$304,0))&amp;"","Not in Inventory"),IFERROR(INDEX(Services!$B$5:$B$204,MATCH(I470,Services!$A$5:$A$204,0))&amp;"","Not in Services"))))</f>
        <v>0</v>
      </c>
      <c r="V470" s="26">
        <f>IF(B470="","",IF(L470&lt;&gt;"",L470,IF(H470="Retail",IFERROR(INDEX(Inventory!$I$5:$I$304,MATCH(I470,Inventory!$A$5:$A$304,0))*1,0),IFERROR(INDEX(Services!$G$5:$G$204,MATCH(I470,Services!$A$5:$A$204,0))*1,0))))</f>
        <v>0</v>
      </c>
      <c r="W470" s="26">
        <f>IF(B470="","",ROUND(T470*V470,2))</f>
        <v>0</v>
      </c>
      <c r="X470" s="26">
        <f>IF(B470="","",ROUND(IF(M470="",0,W470*M470)+IF(N470="",0,N470),2))</f>
        <v>0</v>
      </c>
      <c r="Y470" s="26">
        <f>IF(B470="","",ROUND(W470-X470-IF(P470="",0,P470),2))</f>
        <v>0</v>
      </c>
      <c r="Z470" s="26">
        <f>IF(B470="","",IF(H470="Retail",IF(TaxOnRetail="Yes",ROUND(Y470*TaxRate,2),0),IF(H470="Service",IF(TaxOnServices="Yes",ROUND(Y470*TaxRate,2),0),0)))</f>
        <v>0</v>
      </c>
      <c r="AA470" s="26">
        <f>IF(B470="","",ROUND(Y470+Z470,2))</f>
        <v>0</v>
      </c>
      <c r="AB470" s="26">
        <f>IF(B470="","",ROUND(T470*IF(H470="Retail",IFERROR(INDEX(Inventory!$H$5:$H$304,MATCH(I470,Inventory!$A$5:$A$304,0))*1,0),IFERROR(INDEX(Services!$Q$5:$Q$204,MATCH(I470,Services!$A$5:$A$204,0))*1,0)),2))</f>
        <v>0</v>
      </c>
      <c r="AC470" s="26">
        <f>IF(B470="","",ROUND(Y470-AB470,2))</f>
        <v>0</v>
      </c>
      <c r="AD470" s="38">
        <f>IF(B470="","",IF(C470="","No",IF(COUNTIFS($C$5:C470,C470)=1,"Yes","No")))</f>
        <v>0</v>
      </c>
      <c r="AE470" s="26">
        <f>IF(B470="","",ROUND(SUMIFS(Payments!$G$5:$G$1204,Payments!$H$5:$H$1204,A470,Payments!$Q$5:$Q$1204,"Yes"),2))</f>
        <v>0</v>
      </c>
      <c r="AF470" s="26">
        <f>IF(B470="","",IF(AD470="No",0,ROUND(SUMIFS(Payments!$G$5:$G$1204,Payments!$I$5:$I$1204,C470,Payments!$H$5:$H$1204,"",Payments!$Q$5:$Q$1204,"Yes"),2)))</f>
        <v>0</v>
      </c>
      <c r="AG470" s="26">
        <f>IF(B470="","",ROUND(AE470+AF470,2))</f>
        <v>0</v>
      </c>
      <c r="AH470" s="26">
        <f>IF(B470="","",ROUND(AA470-AG470,2))</f>
        <v>0</v>
      </c>
      <c r="AI470" s="39">
        <f>IF(B470="","",IF(AA470&lt;=0,"No charge",IF(AH470&lt;=0.004,"Paid",IF(AG470&lt;=0.004,"Unpaid","Part paid"))))</f>
        <v>0</v>
      </c>
      <c r="AJ470" s="38">
        <f>IF(B470="","",IF(H470&lt;&gt;"Service","",IF(D470="","No",IF(COUNTIFS($D$5:$D$1204,D470,$B$5:$B$1204,B470,$H$5:$H$1204,"Retail")&gt;0,"Yes","No"))))</f>
        <v>0</v>
      </c>
      <c r="AK470" s="25">
        <f>IF(B470="","",COUNTIFS($Y$5:$Y$1204,"&gt;"&amp;Y470)+COUNTIFS($Y$5:Y470,Y470))</f>
        <v>0</v>
      </c>
      <c r="AL470" s="39">
        <f>IF(B470="","",IF(H470="","Add - what kind of sale is this?",IF(IF(V470&lt;=0,P470="",FALSE),"Check - no price found for this item",IF(F470="","Assign - nobody credited",IF(AH470&gt;0.004,"Unpaid - balance outstanding",IF(AC470&lt;0,"Loss - sold below cost",IF(X470&gt;W470*0.5,"Check - more than half off","OK")))))))</f>
        <v>0</v>
      </c>
    </row>
    <row r="471" spans="1:38">
      <c r="A471" s="28">
        <f>IF(B471="","",SalePrefix&amp;TEXT(ROW()-4,"0000"))</f>
        <v>0</v>
      </c>
      <c r="E471" s="15">
        <f>IF(D471="","",IFERROR(INDEX(Clients!$B$5:$B$504,MATCH(D471,Clients!$A$5:$A$504,0)),"Walk-in"))</f>
        <v>0</v>
      </c>
      <c r="G471" s="15">
        <f>IF(F471="","",IFERROR(INDEX(Staff!$B$5:$B$44,MATCH(F471,Staff!$A$5:$A$44,0)),"House"))</f>
        <v>0</v>
      </c>
      <c r="R471" s="15">
        <f>IF(B471="","",TEXT(B471,"yyyy-mm"))</f>
        <v>0</v>
      </c>
      <c r="S471" s="25">
        <f>IF(B471="","",WEEKNUM(B471,2))</f>
        <v>0</v>
      </c>
      <c r="T471" s="37">
        <f>IF(B471="","",IF(K471="",1,K471))</f>
        <v>0</v>
      </c>
      <c r="U471" s="15">
        <f>IF(B471="","",IF(J471&lt;&gt;"",J471,IF(H471="Retail",IFERROR(INDEX(Inventory!$B$5:$B$304,MATCH(I471,Inventory!$A$5:$A$304,0))&amp;"","Not in Inventory"),IFERROR(INDEX(Services!$B$5:$B$204,MATCH(I471,Services!$A$5:$A$204,0))&amp;"","Not in Services"))))</f>
        <v>0</v>
      </c>
      <c r="V471" s="26">
        <f>IF(B471="","",IF(L471&lt;&gt;"",L471,IF(H471="Retail",IFERROR(INDEX(Inventory!$I$5:$I$304,MATCH(I471,Inventory!$A$5:$A$304,0))*1,0),IFERROR(INDEX(Services!$G$5:$G$204,MATCH(I471,Services!$A$5:$A$204,0))*1,0))))</f>
        <v>0</v>
      </c>
      <c r="W471" s="26">
        <f>IF(B471="","",ROUND(T471*V471,2))</f>
        <v>0</v>
      </c>
      <c r="X471" s="26">
        <f>IF(B471="","",ROUND(IF(M471="",0,W471*M471)+IF(N471="",0,N471),2))</f>
        <v>0</v>
      </c>
      <c r="Y471" s="26">
        <f>IF(B471="","",ROUND(W471-X471-IF(P471="",0,P471),2))</f>
        <v>0</v>
      </c>
      <c r="Z471" s="26">
        <f>IF(B471="","",IF(H471="Retail",IF(TaxOnRetail="Yes",ROUND(Y471*TaxRate,2),0),IF(H471="Service",IF(TaxOnServices="Yes",ROUND(Y471*TaxRate,2),0),0)))</f>
        <v>0</v>
      </c>
      <c r="AA471" s="26">
        <f>IF(B471="","",ROUND(Y471+Z471,2))</f>
        <v>0</v>
      </c>
      <c r="AB471" s="26">
        <f>IF(B471="","",ROUND(T471*IF(H471="Retail",IFERROR(INDEX(Inventory!$H$5:$H$304,MATCH(I471,Inventory!$A$5:$A$304,0))*1,0),IFERROR(INDEX(Services!$Q$5:$Q$204,MATCH(I471,Services!$A$5:$A$204,0))*1,0)),2))</f>
        <v>0</v>
      </c>
      <c r="AC471" s="26">
        <f>IF(B471="","",ROUND(Y471-AB471,2))</f>
        <v>0</v>
      </c>
      <c r="AD471" s="38">
        <f>IF(B471="","",IF(C471="","No",IF(COUNTIFS($C$5:C471,C471)=1,"Yes","No")))</f>
        <v>0</v>
      </c>
      <c r="AE471" s="26">
        <f>IF(B471="","",ROUND(SUMIFS(Payments!$G$5:$G$1204,Payments!$H$5:$H$1204,A471,Payments!$Q$5:$Q$1204,"Yes"),2))</f>
        <v>0</v>
      </c>
      <c r="AF471" s="26">
        <f>IF(B471="","",IF(AD471="No",0,ROUND(SUMIFS(Payments!$G$5:$G$1204,Payments!$I$5:$I$1204,C471,Payments!$H$5:$H$1204,"",Payments!$Q$5:$Q$1204,"Yes"),2)))</f>
        <v>0</v>
      </c>
      <c r="AG471" s="26">
        <f>IF(B471="","",ROUND(AE471+AF471,2))</f>
        <v>0</v>
      </c>
      <c r="AH471" s="26">
        <f>IF(B471="","",ROUND(AA471-AG471,2))</f>
        <v>0</v>
      </c>
      <c r="AI471" s="39">
        <f>IF(B471="","",IF(AA471&lt;=0,"No charge",IF(AH471&lt;=0.004,"Paid",IF(AG471&lt;=0.004,"Unpaid","Part paid"))))</f>
        <v>0</v>
      </c>
      <c r="AJ471" s="38">
        <f>IF(B471="","",IF(H471&lt;&gt;"Service","",IF(D471="","No",IF(COUNTIFS($D$5:$D$1204,D471,$B$5:$B$1204,B471,$H$5:$H$1204,"Retail")&gt;0,"Yes","No"))))</f>
        <v>0</v>
      </c>
      <c r="AK471" s="25">
        <f>IF(B471="","",COUNTIFS($Y$5:$Y$1204,"&gt;"&amp;Y471)+COUNTIFS($Y$5:Y471,Y471))</f>
        <v>0</v>
      </c>
      <c r="AL471" s="39">
        <f>IF(B471="","",IF(H471="","Add - what kind of sale is this?",IF(IF(V471&lt;=0,P471="",FALSE),"Check - no price found for this item",IF(F471="","Assign - nobody credited",IF(AH471&gt;0.004,"Unpaid - balance outstanding",IF(AC471&lt;0,"Loss - sold below cost",IF(X471&gt;W471*0.5,"Check - more than half off","OK")))))))</f>
        <v>0</v>
      </c>
    </row>
    <row r="472" spans="1:38">
      <c r="A472" s="28">
        <f>IF(B472="","",SalePrefix&amp;TEXT(ROW()-4,"0000"))</f>
        <v>0</v>
      </c>
      <c r="E472" s="15">
        <f>IF(D472="","",IFERROR(INDEX(Clients!$B$5:$B$504,MATCH(D472,Clients!$A$5:$A$504,0)),"Walk-in"))</f>
        <v>0</v>
      </c>
      <c r="G472" s="15">
        <f>IF(F472="","",IFERROR(INDEX(Staff!$B$5:$B$44,MATCH(F472,Staff!$A$5:$A$44,0)),"House"))</f>
        <v>0</v>
      </c>
      <c r="R472" s="15">
        <f>IF(B472="","",TEXT(B472,"yyyy-mm"))</f>
        <v>0</v>
      </c>
      <c r="S472" s="25">
        <f>IF(B472="","",WEEKNUM(B472,2))</f>
        <v>0</v>
      </c>
      <c r="T472" s="37">
        <f>IF(B472="","",IF(K472="",1,K472))</f>
        <v>0</v>
      </c>
      <c r="U472" s="15">
        <f>IF(B472="","",IF(J472&lt;&gt;"",J472,IF(H472="Retail",IFERROR(INDEX(Inventory!$B$5:$B$304,MATCH(I472,Inventory!$A$5:$A$304,0))&amp;"","Not in Inventory"),IFERROR(INDEX(Services!$B$5:$B$204,MATCH(I472,Services!$A$5:$A$204,0))&amp;"","Not in Services"))))</f>
        <v>0</v>
      </c>
      <c r="V472" s="26">
        <f>IF(B472="","",IF(L472&lt;&gt;"",L472,IF(H472="Retail",IFERROR(INDEX(Inventory!$I$5:$I$304,MATCH(I472,Inventory!$A$5:$A$304,0))*1,0),IFERROR(INDEX(Services!$G$5:$G$204,MATCH(I472,Services!$A$5:$A$204,0))*1,0))))</f>
        <v>0</v>
      </c>
      <c r="W472" s="26">
        <f>IF(B472="","",ROUND(T472*V472,2))</f>
        <v>0</v>
      </c>
      <c r="X472" s="26">
        <f>IF(B472="","",ROUND(IF(M472="",0,W472*M472)+IF(N472="",0,N472),2))</f>
        <v>0</v>
      </c>
      <c r="Y472" s="26">
        <f>IF(B472="","",ROUND(W472-X472-IF(P472="",0,P472),2))</f>
        <v>0</v>
      </c>
      <c r="Z472" s="26">
        <f>IF(B472="","",IF(H472="Retail",IF(TaxOnRetail="Yes",ROUND(Y472*TaxRate,2),0),IF(H472="Service",IF(TaxOnServices="Yes",ROUND(Y472*TaxRate,2),0),0)))</f>
        <v>0</v>
      </c>
      <c r="AA472" s="26">
        <f>IF(B472="","",ROUND(Y472+Z472,2))</f>
        <v>0</v>
      </c>
      <c r="AB472" s="26">
        <f>IF(B472="","",ROUND(T472*IF(H472="Retail",IFERROR(INDEX(Inventory!$H$5:$H$304,MATCH(I472,Inventory!$A$5:$A$304,0))*1,0),IFERROR(INDEX(Services!$Q$5:$Q$204,MATCH(I472,Services!$A$5:$A$204,0))*1,0)),2))</f>
        <v>0</v>
      </c>
      <c r="AC472" s="26">
        <f>IF(B472="","",ROUND(Y472-AB472,2))</f>
        <v>0</v>
      </c>
      <c r="AD472" s="38">
        <f>IF(B472="","",IF(C472="","No",IF(COUNTIFS($C$5:C472,C472)=1,"Yes","No")))</f>
        <v>0</v>
      </c>
      <c r="AE472" s="26">
        <f>IF(B472="","",ROUND(SUMIFS(Payments!$G$5:$G$1204,Payments!$H$5:$H$1204,A472,Payments!$Q$5:$Q$1204,"Yes"),2))</f>
        <v>0</v>
      </c>
      <c r="AF472" s="26">
        <f>IF(B472="","",IF(AD472="No",0,ROUND(SUMIFS(Payments!$G$5:$G$1204,Payments!$I$5:$I$1204,C472,Payments!$H$5:$H$1204,"",Payments!$Q$5:$Q$1204,"Yes"),2)))</f>
        <v>0</v>
      </c>
      <c r="AG472" s="26">
        <f>IF(B472="","",ROUND(AE472+AF472,2))</f>
        <v>0</v>
      </c>
      <c r="AH472" s="26">
        <f>IF(B472="","",ROUND(AA472-AG472,2))</f>
        <v>0</v>
      </c>
      <c r="AI472" s="39">
        <f>IF(B472="","",IF(AA472&lt;=0,"No charge",IF(AH472&lt;=0.004,"Paid",IF(AG472&lt;=0.004,"Unpaid","Part paid"))))</f>
        <v>0</v>
      </c>
      <c r="AJ472" s="38">
        <f>IF(B472="","",IF(H472&lt;&gt;"Service","",IF(D472="","No",IF(COUNTIFS($D$5:$D$1204,D472,$B$5:$B$1204,B472,$H$5:$H$1204,"Retail")&gt;0,"Yes","No"))))</f>
        <v>0</v>
      </c>
      <c r="AK472" s="25">
        <f>IF(B472="","",COUNTIFS($Y$5:$Y$1204,"&gt;"&amp;Y472)+COUNTIFS($Y$5:Y472,Y472))</f>
        <v>0</v>
      </c>
      <c r="AL472" s="39">
        <f>IF(B472="","",IF(H472="","Add - what kind of sale is this?",IF(IF(V472&lt;=0,P472="",FALSE),"Check - no price found for this item",IF(F472="","Assign - nobody credited",IF(AH472&gt;0.004,"Unpaid - balance outstanding",IF(AC472&lt;0,"Loss - sold below cost",IF(X472&gt;W472*0.5,"Check - more than half off","OK")))))))</f>
        <v>0</v>
      </c>
    </row>
    <row r="473" spans="1:38">
      <c r="A473" s="28">
        <f>IF(B473="","",SalePrefix&amp;TEXT(ROW()-4,"0000"))</f>
        <v>0</v>
      </c>
      <c r="E473" s="15">
        <f>IF(D473="","",IFERROR(INDEX(Clients!$B$5:$B$504,MATCH(D473,Clients!$A$5:$A$504,0)),"Walk-in"))</f>
        <v>0</v>
      </c>
      <c r="G473" s="15">
        <f>IF(F473="","",IFERROR(INDEX(Staff!$B$5:$B$44,MATCH(F473,Staff!$A$5:$A$44,0)),"House"))</f>
        <v>0</v>
      </c>
      <c r="R473" s="15">
        <f>IF(B473="","",TEXT(B473,"yyyy-mm"))</f>
        <v>0</v>
      </c>
      <c r="S473" s="25">
        <f>IF(B473="","",WEEKNUM(B473,2))</f>
        <v>0</v>
      </c>
      <c r="T473" s="37">
        <f>IF(B473="","",IF(K473="",1,K473))</f>
        <v>0</v>
      </c>
      <c r="U473" s="15">
        <f>IF(B473="","",IF(J473&lt;&gt;"",J473,IF(H473="Retail",IFERROR(INDEX(Inventory!$B$5:$B$304,MATCH(I473,Inventory!$A$5:$A$304,0))&amp;"","Not in Inventory"),IFERROR(INDEX(Services!$B$5:$B$204,MATCH(I473,Services!$A$5:$A$204,0))&amp;"","Not in Services"))))</f>
        <v>0</v>
      </c>
      <c r="V473" s="26">
        <f>IF(B473="","",IF(L473&lt;&gt;"",L473,IF(H473="Retail",IFERROR(INDEX(Inventory!$I$5:$I$304,MATCH(I473,Inventory!$A$5:$A$304,0))*1,0),IFERROR(INDEX(Services!$G$5:$G$204,MATCH(I473,Services!$A$5:$A$204,0))*1,0))))</f>
        <v>0</v>
      </c>
      <c r="W473" s="26">
        <f>IF(B473="","",ROUND(T473*V473,2))</f>
        <v>0</v>
      </c>
      <c r="X473" s="26">
        <f>IF(B473="","",ROUND(IF(M473="",0,W473*M473)+IF(N473="",0,N473),2))</f>
        <v>0</v>
      </c>
      <c r="Y473" s="26">
        <f>IF(B473="","",ROUND(W473-X473-IF(P473="",0,P473),2))</f>
        <v>0</v>
      </c>
      <c r="Z473" s="26">
        <f>IF(B473="","",IF(H473="Retail",IF(TaxOnRetail="Yes",ROUND(Y473*TaxRate,2),0),IF(H473="Service",IF(TaxOnServices="Yes",ROUND(Y473*TaxRate,2),0),0)))</f>
        <v>0</v>
      </c>
      <c r="AA473" s="26">
        <f>IF(B473="","",ROUND(Y473+Z473,2))</f>
        <v>0</v>
      </c>
      <c r="AB473" s="26">
        <f>IF(B473="","",ROUND(T473*IF(H473="Retail",IFERROR(INDEX(Inventory!$H$5:$H$304,MATCH(I473,Inventory!$A$5:$A$304,0))*1,0),IFERROR(INDEX(Services!$Q$5:$Q$204,MATCH(I473,Services!$A$5:$A$204,0))*1,0)),2))</f>
        <v>0</v>
      </c>
      <c r="AC473" s="26">
        <f>IF(B473="","",ROUND(Y473-AB473,2))</f>
        <v>0</v>
      </c>
      <c r="AD473" s="38">
        <f>IF(B473="","",IF(C473="","No",IF(COUNTIFS($C$5:C473,C473)=1,"Yes","No")))</f>
        <v>0</v>
      </c>
      <c r="AE473" s="26">
        <f>IF(B473="","",ROUND(SUMIFS(Payments!$G$5:$G$1204,Payments!$H$5:$H$1204,A473,Payments!$Q$5:$Q$1204,"Yes"),2))</f>
        <v>0</v>
      </c>
      <c r="AF473" s="26">
        <f>IF(B473="","",IF(AD473="No",0,ROUND(SUMIFS(Payments!$G$5:$G$1204,Payments!$I$5:$I$1204,C473,Payments!$H$5:$H$1204,"",Payments!$Q$5:$Q$1204,"Yes"),2)))</f>
        <v>0</v>
      </c>
      <c r="AG473" s="26">
        <f>IF(B473="","",ROUND(AE473+AF473,2))</f>
        <v>0</v>
      </c>
      <c r="AH473" s="26">
        <f>IF(B473="","",ROUND(AA473-AG473,2))</f>
        <v>0</v>
      </c>
      <c r="AI473" s="39">
        <f>IF(B473="","",IF(AA473&lt;=0,"No charge",IF(AH473&lt;=0.004,"Paid",IF(AG473&lt;=0.004,"Unpaid","Part paid"))))</f>
        <v>0</v>
      </c>
      <c r="AJ473" s="38">
        <f>IF(B473="","",IF(H473&lt;&gt;"Service","",IF(D473="","No",IF(COUNTIFS($D$5:$D$1204,D473,$B$5:$B$1204,B473,$H$5:$H$1204,"Retail")&gt;0,"Yes","No"))))</f>
        <v>0</v>
      </c>
      <c r="AK473" s="25">
        <f>IF(B473="","",COUNTIFS($Y$5:$Y$1204,"&gt;"&amp;Y473)+COUNTIFS($Y$5:Y473,Y473))</f>
        <v>0</v>
      </c>
      <c r="AL473" s="39">
        <f>IF(B473="","",IF(H473="","Add - what kind of sale is this?",IF(IF(V473&lt;=0,P473="",FALSE),"Check - no price found for this item",IF(F473="","Assign - nobody credited",IF(AH473&gt;0.004,"Unpaid - balance outstanding",IF(AC473&lt;0,"Loss - sold below cost",IF(X473&gt;W473*0.5,"Check - more than half off","OK")))))))</f>
        <v>0</v>
      </c>
    </row>
    <row r="474" spans="1:38">
      <c r="A474" s="28">
        <f>IF(B474="","",SalePrefix&amp;TEXT(ROW()-4,"0000"))</f>
        <v>0</v>
      </c>
      <c r="E474" s="15">
        <f>IF(D474="","",IFERROR(INDEX(Clients!$B$5:$B$504,MATCH(D474,Clients!$A$5:$A$504,0)),"Walk-in"))</f>
        <v>0</v>
      </c>
      <c r="G474" s="15">
        <f>IF(F474="","",IFERROR(INDEX(Staff!$B$5:$B$44,MATCH(F474,Staff!$A$5:$A$44,0)),"House"))</f>
        <v>0</v>
      </c>
      <c r="R474" s="15">
        <f>IF(B474="","",TEXT(B474,"yyyy-mm"))</f>
        <v>0</v>
      </c>
      <c r="S474" s="25">
        <f>IF(B474="","",WEEKNUM(B474,2))</f>
        <v>0</v>
      </c>
      <c r="T474" s="37">
        <f>IF(B474="","",IF(K474="",1,K474))</f>
        <v>0</v>
      </c>
      <c r="U474" s="15">
        <f>IF(B474="","",IF(J474&lt;&gt;"",J474,IF(H474="Retail",IFERROR(INDEX(Inventory!$B$5:$B$304,MATCH(I474,Inventory!$A$5:$A$304,0))&amp;"","Not in Inventory"),IFERROR(INDEX(Services!$B$5:$B$204,MATCH(I474,Services!$A$5:$A$204,0))&amp;"","Not in Services"))))</f>
        <v>0</v>
      </c>
      <c r="V474" s="26">
        <f>IF(B474="","",IF(L474&lt;&gt;"",L474,IF(H474="Retail",IFERROR(INDEX(Inventory!$I$5:$I$304,MATCH(I474,Inventory!$A$5:$A$304,0))*1,0),IFERROR(INDEX(Services!$G$5:$G$204,MATCH(I474,Services!$A$5:$A$204,0))*1,0))))</f>
        <v>0</v>
      </c>
      <c r="W474" s="26">
        <f>IF(B474="","",ROUND(T474*V474,2))</f>
        <v>0</v>
      </c>
      <c r="X474" s="26">
        <f>IF(B474="","",ROUND(IF(M474="",0,W474*M474)+IF(N474="",0,N474),2))</f>
        <v>0</v>
      </c>
      <c r="Y474" s="26">
        <f>IF(B474="","",ROUND(W474-X474-IF(P474="",0,P474),2))</f>
        <v>0</v>
      </c>
      <c r="Z474" s="26">
        <f>IF(B474="","",IF(H474="Retail",IF(TaxOnRetail="Yes",ROUND(Y474*TaxRate,2),0),IF(H474="Service",IF(TaxOnServices="Yes",ROUND(Y474*TaxRate,2),0),0)))</f>
        <v>0</v>
      </c>
      <c r="AA474" s="26">
        <f>IF(B474="","",ROUND(Y474+Z474,2))</f>
        <v>0</v>
      </c>
      <c r="AB474" s="26">
        <f>IF(B474="","",ROUND(T474*IF(H474="Retail",IFERROR(INDEX(Inventory!$H$5:$H$304,MATCH(I474,Inventory!$A$5:$A$304,0))*1,0),IFERROR(INDEX(Services!$Q$5:$Q$204,MATCH(I474,Services!$A$5:$A$204,0))*1,0)),2))</f>
        <v>0</v>
      </c>
      <c r="AC474" s="26">
        <f>IF(B474="","",ROUND(Y474-AB474,2))</f>
        <v>0</v>
      </c>
      <c r="AD474" s="38">
        <f>IF(B474="","",IF(C474="","No",IF(COUNTIFS($C$5:C474,C474)=1,"Yes","No")))</f>
        <v>0</v>
      </c>
      <c r="AE474" s="26">
        <f>IF(B474="","",ROUND(SUMIFS(Payments!$G$5:$G$1204,Payments!$H$5:$H$1204,A474,Payments!$Q$5:$Q$1204,"Yes"),2))</f>
        <v>0</v>
      </c>
      <c r="AF474" s="26">
        <f>IF(B474="","",IF(AD474="No",0,ROUND(SUMIFS(Payments!$G$5:$G$1204,Payments!$I$5:$I$1204,C474,Payments!$H$5:$H$1204,"",Payments!$Q$5:$Q$1204,"Yes"),2)))</f>
        <v>0</v>
      </c>
      <c r="AG474" s="26">
        <f>IF(B474="","",ROUND(AE474+AF474,2))</f>
        <v>0</v>
      </c>
      <c r="AH474" s="26">
        <f>IF(B474="","",ROUND(AA474-AG474,2))</f>
        <v>0</v>
      </c>
      <c r="AI474" s="39">
        <f>IF(B474="","",IF(AA474&lt;=0,"No charge",IF(AH474&lt;=0.004,"Paid",IF(AG474&lt;=0.004,"Unpaid","Part paid"))))</f>
        <v>0</v>
      </c>
      <c r="AJ474" s="38">
        <f>IF(B474="","",IF(H474&lt;&gt;"Service","",IF(D474="","No",IF(COUNTIFS($D$5:$D$1204,D474,$B$5:$B$1204,B474,$H$5:$H$1204,"Retail")&gt;0,"Yes","No"))))</f>
        <v>0</v>
      </c>
      <c r="AK474" s="25">
        <f>IF(B474="","",COUNTIFS($Y$5:$Y$1204,"&gt;"&amp;Y474)+COUNTIFS($Y$5:Y474,Y474))</f>
        <v>0</v>
      </c>
      <c r="AL474" s="39">
        <f>IF(B474="","",IF(H474="","Add - what kind of sale is this?",IF(IF(V474&lt;=0,P474="",FALSE),"Check - no price found for this item",IF(F474="","Assign - nobody credited",IF(AH474&gt;0.004,"Unpaid - balance outstanding",IF(AC474&lt;0,"Loss - sold below cost",IF(X474&gt;W474*0.5,"Check - more than half off","OK")))))))</f>
        <v>0</v>
      </c>
    </row>
    <row r="475" spans="1:38">
      <c r="A475" s="28">
        <f>IF(B475="","",SalePrefix&amp;TEXT(ROW()-4,"0000"))</f>
        <v>0</v>
      </c>
      <c r="E475" s="15">
        <f>IF(D475="","",IFERROR(INDEX(Clients!$B$5:$B$504,MATCH(D475,Clients!$A$5:$A$504,0)),"Walk-in"))</f>
        <v>0</v>
      </c>
      <c r="G475" s="15">
        <f>IF(F475="","",IFERROR(INDEX(Staff!$B$5:$B$44,MATCH(F475,Staff!$A$5:$A$44,0)),"House"))</f>
        <v>0</v>
      </c>
      <c r="R475" s="15">
        <f>IF(B475="","",TEXT(B475,"yyyy-mm"))</f>
        <v>0</v>
      </c>
      <c r="S475" s="25">
        <f>IF(B475="","",WEEKNUM(B475,2))</f>
        <v>0</v>
      </c>
      <c r="T475" s="37">
        <f>IF(B475="","",IF(K475="",1,K475))</f>
        <v>0</v>
      </c>
      <c r="U475" s="15">
        <f>IF(B475="","",IF(J475&lt;&gt;"",J475,IF(H475="Retail",IFERROR(INDEX(Inventory!$B$5:$B$304,MATCH(I475,Inventory!$A$5:$A$304,0))&amp;"","Not in Inventory"),IFERROR(INDEX(Services!$B$5:$B$204,MATCH(I475,Services!$A$5:$A$204,0))&amp;"","Not in Services"))))</f>
        <v>0</v>
      </c>
      <c r="V475" s="26">
        <f>IF(B475="","",IF(L475&lt;&gt;"",L475,IF(H475="Retail",IFERROR(INDEX(Inventory!$I$5:$I$304,MATCH(I475,Inventory!$A$5:$A$304,0))*1,0),IFERROR(INDEX(Services!$G$5:$G$204,MATCH(I475,Services!$A$5:$A$204,0))*1,0))))</f>
        <v>0</v>
      </c>
      <c r="W475" s="26">
        <f>IF(B475="","",ROUND(T475*V475,2))</f>
        <v>0</v>
      </c>
      <c r="X475" s="26">
        <f>IF(B475="","",ROUND(IF(M475="",0,W475*M475)+IF(N475="",0,N475),2))</f>
        <v>0</v>
      </c>
      <c r="Y475" s="26">
        <f>IF(B475="","",ROUND(W475-X475-IF(P475="",0,P475),2))</f>
        <v>0</v>
      </c>
      <c r="Z475" s="26">
        <f>IF(B475="","",IF(H475="Retail",IF(TaxOnRetail="Yes",ROUND(Y475*TaxRate,2),0),IF(H475="Service",IF(TaxOnServices="Yes",ROUND(Y475*TaxRate,2),0),0)))</f>
        <v>0</v>
      </c>
      <c r="AA475" s="26">
        <f>IF(B475="","",ROUND(Y475+Z475,2))</f>
        <v>0</v>
      </c>
      <c r="AB475" s="26">
        <f>IF(B475="","",ROUND(T475*IF(H475="Retail",IFERROR(INDEX(Inventory!$H$5:$H$304,MATCH(I475,Inventory!$A$5:$A$304,0))*1,0),IFERROR(INDEX(Services!$Q$5:$Q$204,MATCH(I475,Services!$A$5:$A$204,0))*1,0)),2))</f>
        <v>0</v>
      </c>
      <c r="AC475" s="26">
        <f>IF(B475="","",ROUND(Y475-AB475,2))</f>
        <v>0</v>
      </c>
      <c r="AD475" s="38">
        <f>IF(B475="","",IF(C475="","No",IF(COUNTIFS($C$5:C475,C475)=1,"Yes","No")))</f>
        <v>0</v>
      </c>
      <c r="AE475" s="26">
        <f>IF(B475="","",ROUND(SUMIFS(Payments!$G$5:$G$1204,Payments!$H$5:$H$1204,A475,Payments!$Q$5:$Q$1204,"Yes"),2))</f>
        <v>0</v>
      </c>
      <c r="AF475" s="26">
        <f>IF(B475="","",IF(AD475="No",0,ROUND(SUMIFS(Payments!$G$5:$G$1204,Payments!$I$5:$I$1204,C475,Payments!$H$5:$H$1204,"",Payments!$Q$5:$Q$1204,"Yes"),2)))</f>
        <v>0</v>
      </c>
      <c r="AG475" s="26">
        <f>IF(B475="","",ROUND(AE475+AF475,2))</f>
        <v>0</v>
      </c>
      <c r="AH475" s="26">
        <f>IF(B475="","",ROUND(AA475-AG475,2))</f>
        <v>0</v>
      </c>
      <c r="AI475" s="39">
        <f>IF(B475="","",IF(AA475&lt;=0,"No charge",IF(AH475&lt;=0.004,"Paid",IF(AG475&lt;=0.004,"Unpaid","Part paid"))))</f>
        <v>0</v>
      </c>
      <c r="AJ475" s="38">
        <f>IF(B475="","",IF(H475&lt;&gt;"Service","",IF(D475="","No",IF(COUNTIFS($D$5:$D$1204,D475,$B$5:$B$1204,B475,$H$5:$H$1204,"Retail")&gt;0,"Yes","No"))))</f>
        <v>0</v>
      </c>
      <c r="AK475" s="25">
        <f>IF(B475="","",COUNTIFS($Y$5:$Y$1204,"&gt;"&amp;Y475)+COUNTIFS($Y$5:Y475,Y475))</f>
        <v>0</v>
      </c>
      <c r="AL475" s="39">
        <f>IF(B475="","",IF(H475="","Add - what kind of sale is this?",IF(IF(V475&lt;=0,P475="",FALSE),"Check - no price found for this item",IF(F475="","Assign - nobody credited",IF(AH475&gt;0.004,"Unpaid - balance outstanding",IF(AC475&lt;0,"Loss - sold below cost",IF(X475&gt;W475*0.5,"Check - more than half off","OK")))))))</f>
        <v>0</v>
      </c>
    </row>
    <row r="476" spans="1:38">
      <c r="A476" s="28">
        <f>IF(B476="","",SalePrefix&amp;TEXT(ROW()-4,"0000"))</f>
        <v>0</v>
      </c>
      <c r="E476" s="15">
        <f>IF(D476="","",IFERROR(INDEX(Clients!$B$5:$B$504,MATCH(D476,Clients!$A$5:$A$504,0)),"Walk-in"))</f>
        <v>0</v>
      </c>
      <c r="G476" s="15">
        <f>IF(F476="","",IFERROR(INDEX(Staff!$B$5:$B$44,MATCH(F476,Staff!$A$5:$A$44,0)),"House"))</f>
        <v>0</v>
      </c>
      <c r="R476" s="15">
        <f>IF(B476="","",TEXT(B476,"yyyy-mm"))</f>
        <v>0</v>
      </c>
      <c r="S476" s="25">
        <f>IF(B476="","",WEEKNUM(B476,2))</f>
        <v>0</v>
      </c>
      <c r="T476" s="37">
        <f>IF(B476="","",IF(K476="",1,K476))</f>
        <v>0</v>
      </c>
      <c r="U476" s="15">
        <f>IF(B476="","",IF(J476&lt;&gt;"",J476,IF(H476="Retail",IFERROR(INDEX(Inventory!$B$5:$B$304,MATCH(I476,Inventory!$A$5:$A$304,0))&amp;"","Not in Inventory"),IFERROR(INDEX(Services!$B$5:$B$204,MATCH(I476,Services!$A$5:$A$204,0))&amp;"","Not in Services"))))</f>
        <v>0</v>
      </c>
      <c r="V476" s="26">
        <f>IF(B476="","",IF(L476&lt;&gt;"",L476,IF(H476="Retail",IFERROR(INDEX(Inventory!$I$5:$I$304,MATCH(I476,Inventory!$A$5:$A$304,0))*1,0),IFERROR(INDEX(Services!$G$5:$G$204,MATCH(I476,Services!$A$5:$A$204,0))*1,0))))</f>
        <v>0</v>
      </c>
      <c r="W476" s="26">
        <f>IF(B476="","",ROUND(T476*V476,2))</f>
        <v>0</v>
      </c>
      <c r="X476" s="26">
        <f>IF(B476="","",ROUND(IF(M476="",0,W476*M476)+IF(N476="",0,N476),2))</f>
        <v>0</v>
      </c>
      <c r="Y476" s="26">
        <f>IF(B476="","",ROUND(W476-X476-IF(P476="",0,P476),2))</f>
        <v>0</v>
      </c>
      <c r="Z476" s="26">
        <f>IF(B476="","",IF(H476="Retail",IF(TaxOnRetail="Yes",ROUND(Y476*TaxRate,2),0),IF(H476="Service",IF(TaxOnServices="Yes",ROUND(Y476*TaxRate,2),0),0)))</f>
        <v>0</v>
      </c>
      <c r="AA476" s="26">
        <f>IF(B476="","",ROUND(Y476+Z476,2))</f>
        <v>0</v>
      </c>
      <c r="AB476" s="26">
        <f>IF(B476="","",ROUND(T476*IF(H476="Retail",IFERROR(INDEX(Inventory!$H$5:$H$304,MATCH(I476,Inventory!$A$5:$A$304,0))*1,0),IFERROR(INDEX(Services!$Q$5:$Q$204,MATCH(I476,Services!$A$5:$A$204,0))*1,0)),2))</f>
        <v>0</v>
      </c>
      <c r="AC476" s="26">
        <f>IF(B476="","",ROUND(Y476-AB476,2))</f>
        <v>0</v>
      </c>
      <c r="AD476" s="38">
        <f>IF(B476="","",IF(C476="","No",IF(COUNTIFS($C$5:C476,C476)=1,"Yes","No")))</f>
        <v>0</v>
      </c>
      <c r="AE476" s="26">
        <f>IF(B476="","",ROUND(SUMIFS(Payments!$G$5:$G$1204,Payments!$H$5:$H$1204,A476,Payments!$Q$5:$Q$1204,"Yes"),2))</f>
        <v>0</v>
      </c>
      <c r="AF476" s="26">
        <f>IF(B476="","",IF(AD476="No",0,ROUND(SUMIFS(Payments!$G$5:$G$1204,Payments!$I$5:$I$1204,C476,Payments!$H$5:$H$1204,"",Payments!$Q$5:$Q$1204,"Yes"),2)))</f>
        <v>0</v>
      </c>
      <c r="AG476" s="26">
        <f>IF(B476="","",ROUND(AE476+AF476,2))</f>
        <v>0</v>
      </c>
      <c r="AH476" s="26">
        <f>IF(B476="","",ROUND(AA476-AG476,2))</f>
        <v>0</v>
      </c>
      <c r="AI476" s="39">
        <f>IF(B476="","",IF(AA476&lt;=0,"No charge",IF(AH476&lt;=0.004,"Paid",IF(AG476&lt;=0.004,"Unpaid","Part paid"))))</f>
        <v>0</v>
      </c>
      <c r="AJ476" s="38">
        <f>IF(B476="","",IF(H476&lt;&gt;"Service","",IF(D476="","No",IF(COUNTIFS($D$5:$D$1204,D476,$B$5:$B$1204,B476,$H$5:$H$1204,"Retail")&gt;0,"Yes","No"))))</f>
        <v>0</v>
      </c>
      <c r="AK476" s="25">
        <f>IF(B476="","",COUNTIFS($Y$5:$Y$1204,"&gt;"&amp;Y476)+COUNTIFS($Y$5:Y476,Y476))</f>
        <v>0</v>
      </c>
      <c r="AL476" s="39">
        <f>IF(B476="","",IF(H476="","Add - what kind of sale is this?",IF(IF(V476&lt;=0,P476="",FALSE),"Check - no price found for this item",IF(F476="","Assign - nobody credited",IF(AH476&gt;0.004,"Unpaid - balance outstanding",IF(AC476&lt;0,"Loss - sold below cost",IF(X476&gt;W476*0.5,"Check - more than half off","OK")))))))</f>
        <v>0</v>
      </c>
    </row>
    <row r="477" spans="1:38">
      <c r="A477" s="28">
        <f>IF(B477="","",SalePrefix&amp;TEXT(ROW()-4,"0000"))</f>
        <v>0</v>
      </c>
      <c r="E477" s="15">
        <f>IF(D477="","",IFERROR(INDEX(Clients!$B$5:$B$504,MATCH(D477,Clients!$A$5:$A$504,0)),"Walk-in"))</f>
        <v>0</v>
      </c>
      <c r="G477" s="15">
        <f>IF(F477="","",IFERROR(INDEX(Staff!$B$5:$B$44,MATCH(F477,Staff!$A$5:$A$44,0)),"House"))</f>
        <v>0</v>
      </c>
      <c r="R477" s="15">
        <f>IF(B477="","",TEXT(B477,"yyyy-mm"))</f>
        <v>0</v>
      </c>
      <c r="S477" s="25">
        <f>IF(B477="","",WEEKNUM(B477,2))</f>
        <v>0</v>
      </c>
      <c r="T477" s="37">
        <f>IF(B477="","",IF(K477="",1,K477))</f>
        <v>0</v>
      </c>
      <c r="U477" s="15">
        <f>IF(B477="","",IF(J477&lt;&gt;"",J477,IF(H477="Retail",IFERROR(INDEX(Inventory!$B$5:$B$304,MATCH(I477,Inventory!$A$5:$A$304,0))&amp;"","Not in Inventory"),IFERROR(INDEX(Services!$B$5:$B$204,MATCH(I477,Services!$A$5:$A$204,0))&amp;"","Not in Services"))))</f>
        <v>0</v>
      </c>
      <c r="V477" s="26">
        <f>IF(B477="","",IF(L477&lt;&gt;"",L477,IF(H477="Retail",IFERROR(INDEX(Inventory!$I$5:$I$304,MATCH(I477,Inventory!$A$5:$A$304,0))*1,0),IFERROR(INDEX(Services!$G$5:$G$204,MATCH(I477,Services!$A$5:$A$204,0))*1,0))))</f>
        <v>0</v>
      </c>
      <c r="W477" s="26">
        <f>IF(B477="","",ROUND(T477*V477,2))</f>
        <v>0</v>
      </c>
      <c r="X477" s="26">
        <f>IF(B477="","",ROUND(IF(M477="",0,W477*M477)+IF(N477="",0,N477),2))</f>
        <v>0</v>
      </c>
      <c r="Y477" s="26">
        <f>IF(B477="","",ROUND(W477-X477-IF(P477="",0,P477),2))</f>
        <v>0</v>
      </c>
      <c r="Z477" s="26">
        <f>IF(B477="","",IF(H477="Retail",IF(TaxOnRetail="Yes",ROUND(Y477*TaxRate,2),0),IF(H477="Service",IF(TaxOnServices="Yes",ROUND(Y477*TaxRate,2),0),0)))</f>
        <v>0</v>
      </c>
      <c r="AA477" s="26">
        <f>IF(B477="","",ROUND(Y477+Z477,2))</f>
        <v>0</v>
      </c>
      <c r="AB477" s="26">
        <f>IF(B477="","",ROUND(T477*IF(H477="Retail",IFERROR(INDEX(Inventory!$H$5:$H$304,MATCH(I477,Inventory!$A$5:$A$304,0))*1,0),IFERROR(INDEX(Services!$Q$5:$Q$204,MATCH(I477,Services!$A$5:$A$204,0))*1,0)),2))</f>
        <v>0</v>
      </c>
      <c r="AC477" s="26">
        <f>IF(B477="","",ROUND(Y477-AB477,2))</f>
        <v>0</v>
      </c>
      <c r="AD477" s="38">
        <f>IF(B477="","",IF(C477="","No",IF(COUNTIFS($C$5:C477,C477)=1,"Yes","No")))</f>
        <v>0</v>
      </c>
      <c r="AE477" s="26">
        <f>IF(B477="","",ROUND(SUMIFS(Payments!$G$5:$G$1204,Payments!$H$5:$H$1204,A477,Payments!$Q$5:$Q$1204,"Yes"),2))</f>
        <v>0</v>
      </c>
      <c r="AF477" s="26">
        <f>IF(B477="","",IF(AD477="No",0,ROUND(SUMIFS(Payments!$G$5:$G$1204,Payments!$I$5:$I$1204,C477,Payments!$H$5:$H$1204,"",Payments!$Q$5:$Q$1204,"Yes"),2)))</f>
        <v>0</v>
      </c>
      <c r="AG477" s="26">
        <f>IF(B477="","",ROUND(AE477+AF477,2))</f>
        <v>0</v>
      </c>
      <c r="AH477" s="26">
        <f>IF(B477="","",ROUND(AA477-AG477,2))</f>
        <v>0</v>
      </c>
      <c r="AI477" s="39">
        <f>IF(B477="","",IF(AA477&lt;=0,"No charge",IF(AH477&lt;=0.004,"Paid",IF(AG477&lt;=0.004,"Unpaid","Part paid"))))</f>
        <v>0</v>
      </c>
      <c r="AJ477" s="38">
        <f>IF(B477="","",IF(H477&lt;&gt;"Service","",IF(D477="","No",IF(COUNTIFS($D$5:$D$1204,D477,$B$5:$B$1204,B477,$H$5:$H$1204,"Retail")&gt;0,"Yes","No"))))</f>
        <v>0</v>
      </c>
      <c r="AK477" s="25">
        <f>IF(B477="","",COUNTIFS($Y$5:$Y$1204,"&gt;"&amp;Y477)+COUNTIFS($Y$5:Y477,Y477))</f>
        <v>0</v>
      </c>
      <c r="AL477" s="39">
        <f>IF(B477="","",IF(H477="","Add - what kind of sale is this?",IF(IF(V477&lt;=0,P477="",FALSE),"Check - no price found for this item",IF(F477="","Assign - nobody credited",IF(AH477&gt;0.004,"Unpaid - balance outstanding",IF(AC477&lt;0,"Loss - sold below cost",IF(X477&gt;W477*0.5,"Check - more than half off","OK")))))))</f>
        <v>0</v>
      </c>
    </row>
    <row r="478" spans="1:38">
      <c r="A478" s="28">
        <f>IF(B478="","",SalePrefix&amp;TEXT(ROW()-4,"0000"))</f>
        <v>0</v>
      </c>
      <c r="E478" s="15">
        <f>IF(D478="","",IFERROR(INDEX(Clients!$B$5:$B$504,MATCH(D478,Clients!$A$5:$A$504,0)),"Walk-in"))</f>
        <v>0</v>
      </c>
      <c r="G478" s="15">
        <f>IF(F478="","",IFERROR(INDEX(Staff!$B$5:$B$44,MATCH(F478,Staff!$A$5:$A$44,0)),"House"))</f>
        <v>0</v>
      </c>
      <c r="R478" s="15">
        <f>IF(B478="","",TEXT(B478,"yyyy-mm"))</f>
        <v>0</v>
      </c>
      <c r="S478" s="25">
        <f>IF(B478="","",WEEKNUM(B478,2))</f>
        <v>0</v>
      </c>
      <c r="T478" s="37">
        <f>IF(B478="","",IF(K478="",1,K478))</f>
        <v>0</v>
      </c>
      <c r="U478" s="15">
        <f>IF(B478="","",IF(J478&lt;&gt;"",J478,IF(H478="Retail",IFERROR(INDEX(Inventory!$B$5:$B$304,MATCH(I478,Inventory!$A$5:$A$304,0))&amp;"","Not in Inventory"),IFERROR(INDEX(Services!$B$5:$B$204,MATCH(I478,Services!$A$5:$A$204,0))&amp;"","Not in Services"))))</f>
        <v>0</v>
      </c>
      <c r="V478" s="26">
        <f>IF(B478="","",IF(L478&lt;&gt;"",L478,IF(H478="Retail",IFERROR(INDEX(Inventory!$I$5:$I$304,MATCH(I478,Inventory!$A$5:$A$304,0))*1,0),IFERROR(INDEX(Services!$G$5:$G$204,MATCH(I478,Services!$A$5:$A$204,0))*1,0))))</f>
        <v>0</v>
      </c>
      <c r="W478" s="26">
        <f>IF(B478="","",ROUND(T478*V478,2))</f>
        <v>0</v>
      </c>
      <c r="X478" s="26">
        <f>IF(B478="","",ROUND(IF(M478="",0,W478*M478)+IF(N478="",0,N478),2))</f>
        <v>0</v>
      </c>
      <c r="Y478" s="26">
        <f>IF(B478="","",ROUND(W478-X478-IF(P478="",0,P478),2))</f>
        <v>0</v>
      </c>
      <c r="Z478" s="26">
        <f>IF(B478="","",IF(H478="Retail",IF(TaxOnRetail="Yes",ROUND(Y478*TaxRate,2),0),IF(H478="Service",IF(TaxOnServices="Yes",ROUND(Y478*TaxRate,2),0),0)))</f>
        <v>0</v>
      </c>
      <c r="AA478" s="26">
        <f>IF(B478="","",ROUND(Y478+Z478,2))</f>
        <v>0</v>
      </c>
      <c r="AB478" s="26">
        <f>IF(B478="","",ROUND(T478*IF(H478="Retail",IFERROR(INDEX(Inventory!$H$5:$H$304,MATCH(I478,Inventory!$A$5:$A$304,0))*1,0),IFERROR(INDEX(Services!$Q$5:$Q$204,MATCH(I478,Services!$A$5:$A$204,0))*1,0)),2))</f>
        <v>0</v>
      </c>
      <c r="AC478" s="26">
        <f>IF(B478="","",ROUND(Y478-AB478,2))</f>
        <v>0</v>
      </c>
      <c r="AD478" s="38">
        <f>IF(B478="","",IF(C478="","No",IF(COUNTIFS($C$5:C478,C478)=1,"Yes","No")))</f>
        <v>0</v>
      </c>
      <c r="AE478" s="26">
        <f>IF(B478="","",ROUND(SUMIFS(Payments!$G$5:$G$1204,Payments!$H$5:$H$1204,A478,Payments!$Q$5:$Q$1204,"Yes"),2))</f>
        <v>0</v>
      </c>
      <c r="AF478" s="26">
        <f>IF(B478="","",IF(AD478="No",0,ROUND(SUMIFS(Payments!$G$5:$G$1204,Payments!$I$5:$I$1204,C478,Payments!$H$5:$H$1204,"",Payments!$Q$5:$Q$1204,"Yes"),2)))</f>
        <v>0</v>
      </c>
      <c r="AG478" s="26">
        <f>IF(B478="","",ROUND(AE478+AF478,2))</f>
        <v>0</v>
      </c>
      <c r="AH478" s="26">
        <f>IF(B478="","",ROUND(AA478-AG478,2))</f>
        <v>0</v>
      </c>
      <c r="AI478" s="39">
        <f>IF(B478="","",IF(AA478&lt;=0,"No charge",IF(AH478&lt;=0.004,"Paid",IF(AG478&lt;=0.004,"Unpaid","Part paid"))))</f>
        <v>0</v>
      </c>
      <c r="AJ478" s="38">
        <f>IF(B478="","",IF(H478&lt;&gt;"Service","",IF(D478="","No",IF(COUNTIFS($D$5:$D$1204,D478,$B$5:$B$1204,B478,$H$5:$H$1204,"Retail")&gt;0,"Yes","No"))))</f>
        <v>0</v>
      </c>
      <c r="AK478" s="25">
        <f>IF(B478="","",COUNTIFS($Y$5:$Y$1204,"&gt;"&amp;Y478)+COUNTIFS($Y$5:Y478,Y478))</f>
        <v>0</v>
      </c>
      <c r="AL478" s="39">
        <f>IF(B478="","",IF(H478="","Add - what kind of sale is this?",IF(IF(V478&lt;=0,P478="",FALSE),"Check - no price found for this item",IF(F478="","Assign - nobody credited",IF(AH478&gt;0.004,"Unpaid - balance outstanding",IF(AC478&lt;0,"Loss - sold below cost",IF(X478&gt;W478*0.5,"Check - more than half off","OK")))))))</f>
        <v>0</v>
      </c>
    </row>
    <row r="479" spans="1:38">
      <c r="A479" s="28">
        <f>IF(B479="","",SalePrefix&amp;TEXT(ROW()-4,"0000"))</f>
        <v>0</v>
      </c>
      <c r="E479" s="15">
        <f>IF(D479="","",IFERROR(INDEX(Clients!$B$5:$B$504,MATCH(D479,Clients!$A$5:$A$504,0)),"Walk-in"))</f>
        <v>0</v>
      </c>
      <c r="G479" s="15">
        <f>IF(F479="","",IFERROR(INDEX(Staff!$B$5:$B$44,MATCH(F479,Staff!$A$5:$A$44,0)),"House"))</f>
        <v>0</v>
      </c>
      <c r="R479" s="15">
        <f>IF(B479="","",TEXT(B479,"yyyy-mm"))</f>
        <v>0</v>
      </c>
      <c r="S479" s="25">
        <f>IF(B479="","",WEEKNUM(B479,2))</f>
        <v>0</v>
      </c>
      <c r="T479" s="37">
        <f>IF(B479="","",IF(K479="",1,K479))</f>
        <v>0</v>
      </c>
      <c r="U479" s="15">
        <f>IF(B479="","",IF(J479&lt;&gt;"",J479,IF(H479="Retail",IFERROR(INDEX(Inventory!$B$5:$B$304,MATCH(I479,Inventory!$A$5:$A$304,0))&amp;"","Not in Inventory"),IFERROR(INDEX(Services!$B$5:$B$204,MATCH(I479,Services!$A$5:$A$204,0))&amp;"","Not in Services"))))</f>
        <v>0</v>
      </c>
      <c r="V479" s="26">
        <f>IF(B479="","",IF(L479&lt;&gt;"",L479,IF(H479="Retail",IFERROR(INDEX(Inventory!$I$5:$I$304,MATCH(I479,Inventory!$A$5:$A$304,0))*1,0),IFERROR(INDEX(Services!$G$5:$G$204,MATCH(I479,Services!$A$5:$A$204,0))*1,0))))</f>
        <v>0</v>
      </c>
      <c r="W479" s="26">
        <f>IF(B479="","",ROUND(T479*V479,2))</f>
        <v>0</v>
      </c>
      <c r="X479" s="26">
        <f>IF(B479="","",ROUND(IF(M479="",0,W479*M479)+IF(N479="",0,N479),2))</f>
        <v>0</v>
      </c>
      <c r="Y479" s="26">
        <f>IF(B479="","",ROUND(W479-X479-IF(P479="",0,P479),2))</f>
        <v>0</v>
      </c>
      <c r="Z479" s="26">
        <f>IF(B479="","",IF(H479="Retail",IF(TaxOnRetail="Yes",ROUND(Y479*TaxRate,2),0),IF(H479="Service",IF(TaxOnServices="Yes",ROUND(Y479*TaxRate,2),0),0)))</f>
        <v>0</v>
      </c>
      <c r="AA479" s="26">
        <f>IF(B479="","",ROUND(Y479+Z479,2))</f>
        <v>0</v>
      </c>
      <c r="AB479" s="26">
        <f>IF(B479="","",ROUND(T479*IF(H479="Retail",IFERROR(INDEX(Inventory!$H$5:$H$304,MATCH(I479,Inventory!$A$5:$A$304,0))*1,0),IFERROR(INDEX(Services!$Q$5:$Q$204,MATCH(I479,Services!$A$5:$A$204,0))*1,0)),2))</f>
        <v>0</v>
      </c>
      <c r="AC479" s="26">
        <f>IF(B479="","",ROUND(Y479-AB479,2))</f>
        <v>0</v>
      </c>
      <c r="AD479" s="38">
        <f>IF(B479="","",IF(C479="","No",IF(COUNTIFS($C$5:C479,C479)=1,"Yes","No")))</f>
        <v>0</v>
      </c>
      <c r="AE479" s="26">
        <f>IF(B479="","",ROUND(SUMIFS(Payments!$G$5:$G$1204,Payments!$H$5:$H$1204,A479,Payments!$Q$5:$Q$1204,"Yes"),2))</f>
        <v>0</v>
      </c>
      <c r="AF479" s="26">
        <f>IF(B479="","",IF(AD479="No",0,ROUND(SUMIFS(Payments!$G$5:$G$1204,Payments!$I$5:$I$1204,C479,Payments!$H$5:$H$1204,"",Payments!$Q$5:$Q$1204,"Yes"),2)))</f>
        <v>0</v>
      </c>
      <c r="AG479" s="26">
        <f>IF(B479="","",ROUND(AE479+AF479,2))</f>
        <v>0</v>
      </c>
      <c r="AH479" s="26">
        <f>IF(B479="","",ROUND(AA479-AG479,2))</f>
        <v>0</v>
      </c>
      <c r="AI479" s="39">
        <f>IF(B479="","",IF(AA479&lt;=0,"No charge",IF(AH479&lt;=0.004,"Paid",IF(AG479&lt;=0.004,"Unpaid","Part paid"))))</f>
        <v>0</v>
      </c>
      <c r="AJ479" s="38">
        <f>IF(B479="","",IF(H479&lt;&gt;"Service","",IF(D479="","No",IF(COUNTIFS($D$5:$D$1204,D479,$B$5:$B$1204,B479,$H$5:$H$1204,"Retail")&gt;0,"Yes","No"))))</f>
        <v>0</v>
      </c>
      <c r="AK479" s="25">
        <f>IF(B479="","",COUNTIFS($Y$5:$Y$1204,"&gt;"&amp;Y479)+COUNTIFS($Y$5:Y479,Y479))</f>
        <v>0</v>
      </c>
      <c r="AL479" s="39">
        <f>IF(B479="","",IF(H479="","Add - what kind of sale is this?",IF(IF(V479&lt;=0,P479="",FALSE),"Check - no price found for this item",IF(F479="","Assign - nobody credited",IF(AH479&gt;0.004,"Unpaid - balance outstanding",IF(AC479&lt;0,"Loss - sold below cost",IF(X479&gt;W479*0.5,"Check - more than half off","OK")))))))</f>
        <v>0</v>
      </c>
    </row>
    <row r="480" spans="1:38">
      <c r="A480" s="28">
        <f>IF(B480="","",SalePrefix&amp;TEXT(ROW()-4,"0000"))</f>
        <v>0</v>
      </c>
      <c r="E480" s="15">
        <f>IF(D480="","",IFERROR(INDEX(Clients!$B$5:$B$504,MATCH(D480,Clients!$A$5:$A$504,0)),"Walk-in"))</f>
        <v>0</v>
      </c>
      <c r="G480" s="15">
        <f>IF(F480="","",IFERROR(INDEX(Staff!$B$5:$B$44,MATCH(F480,Staff!$A$5:$A$44,0)),"House"))</f>
        <v>0</v>
      </c>
      <c r="R480" s="15">
        <f>IF(B480="","",TEXT(B480,"yyyy-mm"))</f>
        <v>0</v>
      </c>
      <c r="S480" s="25">
        <f>IF(B480="","",WEEKNUM(B480,2))</f>
        <v>0</v>
      </c>
      <c r="T480" s="37">
        <f>IF(B480="","",IF(K480="",1,K480))</f>
        <v>0</v>
      </c>
      <c r="U480" s="15">
        <f>IF(B480="","",IF(J480&lt;&gt;"",J480,IF(H480="Retail",IFERROR(INDEX(Inventory!$B$5:$B$304,MATCH(I480,Inventory!$A$5:$A$304,0))&amp;"","Not in Inventory"),IFERROR(INDEX(Services!$B$5:$B$204,MATCH(I480,Services!$A$5:$A$204,0))&amp;"","Not in Services"))))</f>
        <v>0</v>
      </c>
      <c r="V480" s="26">
        <f>IF(B480="","",IF(L480&lt;&gt;"",L480,IF(H480="Retail",IFERROR(INDEX(Inventory!$I$5:$I$304,MATCH(I480,Inventory!$A$5:$A$304,0))*1,0),IFERROR(INDEX(Services!$G$5:$G$204,MATCH(I480,Services!$A$5:$A$204,0))*1,0))))</f>
        <v>0</v>
      </c>
      <c r="W480" s="26">
        <f>IF(B480="","",ROUND(T480*V480,2))</f>
        <v>0</v>
      </c>
      <c r="X480" s="26">
        <f>IF(B480="","",ROUND(IF(M480="",0,W480*M480)+IF(N480="",0,N480),2))</f>
        <v>0</v>
      </c>
      <c r="Y480" s="26">
        <f>IF(B480="","",ROUND(W480-X480-IF(P480="",0,P480),2))</f>
        <v>0</v>
      </c>
      <c r="Z480" s="26">
        <f>IF(B480="","",IF(H480="Retail",IF(TaxOnRetail="Yes",ROUND(Y480*TaxRate,2),0),IF(H480="Service",IF(TaxOnServices="Yes",ROUND(Y480*TaxRate,2),0),0)))</f>
        <v>0</v>
      </c>
      <c r="AA480" s="26">
        <f>IF(B480="","",ROUND(Y480+Z480,2))</f>
        <v>0</v>
      </c>
      <c r="AB480" s="26">
        <f>IF(B480="","",ROUND(T480*IF(H480="Retail",IFERROR(INDEX(Inventory!$H$5:$H$304,MATCH(I480,Inventory!$A$5:$A$304,0))*1,0),IFERROR(INDEX(Services!$Q$5:$Q$204,MATCH(I480,Services!$A$5:$A$204,0))*1,0)),2))</f>
        <v>0</v>
      </c>
      <c r="AC480" s="26">
        <f>IF(B480="","",ROUND(Y480-AB480,2))</f>
        <v>0</v>
      </c>
      <c r="AD480" s="38">
        <f>IF(B480="","",IF(C480="","No",IF(COUNTIFS($C$5:C480,C480)=1,"Yes","No")))</f>
        <v>0</v>
      </c>
      <c r="AE480" s="26">
        <f>IF(B480="","",ROUND(SUMIFS(Payments!$G$5:$G$1204,Payments!$H$5:$H$1204,A480,Payments!$Q$5:$Q$1204,"Yes"),2))</f>
        <v>0</v>
      </c>
      <c r="AF480" s="26">
        <f>IF(B480="","",IF(AD480="No",0,ROUND(SUMIFS(Payments!$G$5:$G$1204,Payments!$I$5:$I$1204,C480,Payments!$H$5:$H$1204,"",Payments!$Q$5:$Q$1204,"Yes"),2)))</f>
        <v>0</v>
      </c>
      <c r="AG480" s="26">
        <f>IF(B480="","",ROUND(AE480+AF480,2))</f>
        <v>0</v>
      </c>
      <c r="AH480" s="26">
        <f>IF(B480="","",ROUND(AA480-AG480,2))</f>
        <v>0</v>
      </c>
      <c r="AI480" s="39">
        <f>IF(B480="","",IF(AA480&lt;=0,"No charge",IF(AH480&lt;=0.004,"Paid",IF(AG480&lt;=0.004,"Unpaid","Part paid"))))</f>
        <v>0</v>
      </c>
      <c r="AJ480" s="38">
        <f>IF(B480="","",IF(H480&lt;&gt;"Service","",IF(D480="","No",IF(COUNTIFS($D$5:$D$1204,D480,$B$5:$B$1204,B480,$H$5:$H$1204,"Retail")&gt;0,"Yes","No"))))</f>
        <v>0</v>
      </c>
      <c r="AK480" s="25">
        <f>IF(B480="","",COUNTIFS($Y$5:$Y$1204,"&gt;"&amp;Y480)+COUNTIFS($Y$5:Y480,Y480))</f>
        <v>0</v>
      </c>
      <c r="AL480" s="39">
        <f>IF(B480="","",IF(H480="","Add - what kind of sale is this?",IF(IF(V480&lt;=0,P480="",FALSE),"Check - no price found for this item",IF(F480="","Assign - nobody credited",IF(AH480&gt;0.004,"Unpaid - balance outstanding",IF(AC480&lt;0,"Loss - sold below cost",IF(X480&gt;W480*0.5,"Check - more than half off","OK")))))))</f>
        <v>0</v>
      </c>
    </row>
    <row r="481" spans="1:38">
      <c r="A481" s="28">
        <f>IF(B481="","",SalePrefix&amp;TEXT(ROW()-4,"0000"))</f>
        <v>0</v>
      </c>
      <c r="E481" s="15">
        <f>IF(D481="","",IFERROR(INDEX(Clients!$B$5:$B$504,MATCH(D481,Clients!$A$5:$A$504,0)),"Walk-in"))</f>
        <v>0</v>
      </c>
      <c r="G481" s="15">
        <f>IF(F481="","",IFERROR(INDEX(Staff!$B$5:$B$44,MATCH(F481,Staff!$A$5:$A$44,0)),"House"))</f>
        <v>0</v>
      </c>
      <c r="R481" s="15">
        <f>IF(B481="","",TEXT(B481,"yyyy-mm"))</f>
        <v>0</v>
      </c>
      <c r="S481" s="25">
        <f>IF(B481="","",WEEKNUM(B481,2))</f>
        <v>0</v>
      </c>
      <c r="T481" s="37">
        <f>IF(B481="","",IF(K481="",1,K481))</f>
        <v>0</v>
      </c>
      <c r="U481" s="15">
        <f>IF(B481="","",IF(J481&lt;&gt;"",J481,IF(H481="Retail",IFERROR(INDEX(Inventory!$B$5:$B$304,MATCH(I481,Inventory!$A$5:$A$304,0))&amp;"","Not in Inventory"),IFERROR(INDEX(Services!$B$5:$B$204,MATCH(I481,Services!$A$5:$A$204,0))&amp;"","Not in Services"))))</f>
        <v>0</v>
      </c>
      <c r="V481" s="26">
        <f>IF(B481="","",IF(L481&lt;&gt;"",L481,IF(H481="Retail",IFERROR(INDEX(Inventory!$I$5:$I$304,MATCH(I481,Inventory!$A$5:$A$304,0))*1,0),IFERROR(INDEX(Services!$G$5:$G$204,MATCH(I481,Services!$A$5:$A$204,0))*1,0))))</f>
        <v>0</v>
      </c>
      <c r="W481" s="26">
        <f>IF(B481="","",ROUND(T481*V481,2))</f>
        <v>0</v>
      </c>
      <c r="X481" s="26">
        <f>IF(B481="","",ROUND(IF(M481="",0,W481*M481)+IF(N481="",0,N481),2))</f>
        <v>0</v>
      </c>
      <c r="Y481" s="26">
        <f>IF(B481="","",ROUND(W481-X481-IF(P481="",0,P481),2))</f>
        <v>0</v>
      </c>
      <c r="Z481" s="26">
        <f>IF(B481="","",IF(H481="Retail",IF(TaxOnRetail="Yes",ROUND(Y481*TaxRate,2),0),IF(H481="Service",IF(TaxOnServices="Yes",ROUND(Y481*TaxRate,2),0),0)))</f>
        <v>0</v>
      </c>
      <c r="AA481" s="26">
        <f>IF(B481="","",ROUND(Y481+Z481,2))</f>
        <v>0</v>
      </c>
      <c r="AB481" s="26">
        <f>IF(B481="","",ROUND(T481*IF(H481="Retail",IFERROR(INDEX(Inventory!$H$5:$H$304,MATCH(I481,Inventory!$A$5:$A$304,0))*1,0),IFERROR(INDEX(Services!$Q$5:$Q$204,MATCH(I481,Services!$A$5:$A$204,0))*1,0)),2))</f>
        <v>0</v>
      </c>
      <c r="AC481" s="26">
        <f>IF(B481="","",ROUND(Y481-AB481,2))</f>
        <v>0</v>
      </c>
      <c r="AD481" s="38">
        <f>IF(B481="","",IF(C481="","No",IF(COUNTIFS($C$5:C481,C481)=1,"Yes","No")))</f>
        <v>0</v>
      </c>
      <c r="AE481" s="26">
        <f>IF(B481="","",ROUND(SUMIFS(Payments!$G$5:$G$1204,Payments!$H$5:$H$1204,A481,Payments!$Q$5:$Q$1204,"Yes"),2))</f>
        <v>0</v>
      </c>
      <c r="AF481" s="26">
        <f>IF(B481="","",IF(AD481="No",0,ROUND(SUMIFS(Payments!$G$5:$G$1204,Payments!$I$5:$I$1204,C481,Payments!$H$5:$H$1204,"",Payments!$Q$5:$Q$1204,"Yes"),2)))</f>
        <v>0</v>
      </c>
      <c r="AG481" s="26">
        <f>IF(B481="","",ROUND(AE481+AF481,2))</f>
        <v>0</v>
      </c>
      <c r="AH481" s="26">
        <f>IF(B481="","",ROUND(AA481-AG481,2))</f>
        <v>0</v>
      </c>
      <c r="AI481" s="39">
        <f>IF(B481="","",IF(AA481&lt;=0,"No charge",IF(AH481&lt;=0.004,"Paid",IF(AG481&lt;=0.004,"Unpaid","Part paid"))))</f>
        <v>0</v>
      </c>
      <c r="AJ481" s="38">
        <f>IF(B481="","",IF(H481&lt;&gt;"Service","",IF(D481="","No",IF(COUNTIFS($D$5:$D$1204,D481,$B$5:$B$1204,B481,$H$5:$H$1204,"Retail")&gt;0,"Yes","No"))))</f>
        <v>0</v>
      </c>
      <c r="AK481" s="25">
        <f>IF(B481="","",COUNTIFS($Y$5:$Y$1204,"&gt;"&amp;Y481)+COUNTIFS($Y$5:Y481,Y481))</f>
        <v>0</v>
      </c>
      <c r="AL481" s="39">
        <f>IF(B481="","",IF(H481="","Add - what kind of sale is this?",IF(IF(V481&lt;=0,P481="",FALSE),"Check - no price found for this item",IF(F481="","Assign - nobody credited",IF(AH481&gt;0.004,"Unpaid - balance outstanding",IF(AC481&lt;0,"Loss - sold below cost",IF(X481&gt;W481*0.5,"Check - more than half off","OK")))))))</f>
        <v>0</v>
      </c>
    </row>
    <row r="482" spans="1:38">
      <c r="A482" s="28">
        <f>IF(B482="","",SalePrefix&amp;TEXT(ROW()-4,"0000"))</f>
        <v>0</v>
      </c>
      <c r="E482" s="15">
        <f>IF(D482="","",IFERROR(INDEX(Clients!$B$5:$B$504,MATCH(D482,Clients!$A$5:$A$504,0)),"Walk-in"))</f>
        <v>0</v>
      </c>
      <c r="G482" s="15">
        <f>IF(F482="","",IFERROR(INDEX(Staff!$B$5:$B$44,MATCH(F482,Staff!$A$5:$A$44,0)),"House"))</f>
        <v>0</v>
      </c>
      <c r="R482" s="15">
        <f>IF(B482="","",TEXT(B482,"yyyy-mm"))</f>
        <v>0</v>
      </c>
      <c r="S482" s="25">
        <f>IF(B482="","",WEEKNUM(B482,2))</f>
        <v>0</v>
      </c>
      <c r="T482" s="37">
        <f>IF(B482="","",IF(K482="",1,K482))</f>
        <v>0</v>
      </c>
      <c r="U482" s="15">
        <f>IF(B482="","",IF(J482&lt;&gt;"",J482,IF(H482="Retail",IFERROR(INDEX(Inventory!$B$5:$B$304,MATCH(I482,Inventory!$A$5:$A$304,0))&amp;"","Not in Inventory"),IFERROR(INDEX(Services!$B$5:$B$204,MATCH(I482,Services!$A$5:$A$204,0))&amp;"","Not in Services"))))</f>
        <v>0</v>
      </c>
      <c r="V482" s="26">
        <f>IF(B482="","",IF(L482&lt;&gt;"",L482,IF(H482="Retail",IFERROR(INDEX(Inventory!$I$5:$I$304,MATCH(I482,Inventory!$A$5:$A$304,0))*1,0),IFERROR(INDEX(Services!$G$5:$G$204,MATCH(I482,Services!$A$5:$A$204,0))*1,0))))</f>
        <v>0</v>
      </c>
      <c r="W482" s="26">
        <f>IF(B482="","",ROUND(T482*V482,2))</f>
        <v>0</v>
      </c>
      <c r="X482" s="26">
        <f>IF(B482="","",ROUND(IF(M482="",0,W482*M482)+IF(N482="",0,N482),2))</f>
        <v>0</v>
      </c>
      <c r="Y482" s="26">
        <f>IF(B482="","",ROUND(W482-X482-IF(P482="",0,P482),2))</f>
        <v>0</v>
      </c>
      <c r="Z482" s="26">
        <f>IF(B482="","",IF(H482="Retail",IF(TaxOnRetail="Yes",ROUND(Y482*TaxRate,2),0),IF(H482="Service",IF(TaxOnServices="Yes",ROUND(Y482*TaxRate,2),0),0)))</f>
        <v>0</v>
      </c>
      <c r="AA482" s="26">
        <f>IF(B482="","",ROUND(Y482+Z482,2))</f>
        <v>0</v>
      </c>
      <c r="AB482" s="26">
        <f>IF(B482="","",ROUND(T482*IF(H482="Retail",IFERROR(INDEX(Inventory!$H$5:$H$304,MATCH(I482,Inventory!$A$5:$A$304,0))*1,0),IFERROR(INDEX(Services!$Q$5:$Q$204,MATCH(I482,Services!$A$5:$A$204,0))*1,0)),2))</f>
        <v>0</v>
      </c>
      <c r="AC482" s="26">
        <f>IF(B482="","",ROUND(Y482-AB482,2))</f>
        <v>0</v>
      </c>
      <c r="AD482" s="38">
        <f>IF(B482="","",IF(C482="","No",IF(COUNTIFS($C$5:C482,C482)=1,"Yes","No")))</f>
        <v>0</v>
      </c>
      <c r="AE482" s="26">
        <f>IF(B482="","",ROUND(SUMIFS(Payments!$G$5:$G$1204,Payments!$H$5:$H$1204,A482,Payments!$Q$5:$Q$1204,"Yes"),2))</f>
        <v>0</v>
      </c>
      <c r="AF482" s="26">
        <f>IF(B482="","",IF(AD482="No",0,ROUND(SUMIFS(Payments!$G$5:$G$1204,Payments!$I$5:$I$1204,C482,Payments!$H$5:$H$1204,"",Payments!$Q$5:$Q$1204,"Yes"),2)))</f>
        <v>0</v>
      </c>
      <c r="AG482" s="26">
        <f>IF(B482="","",ROUND(AE482+AF482,2))</f>
        <v>0</v>
      </c>
      <c r="AH482" s="26">
        <f>IF(B482="","",ROUND(AA482-AG482,2))</f>
        <v>0</v>
      </c>
      <c r="AI482" s="39">
        <f>IF(B482="","",IF(AA482&lt;=0,"No charge",IF(AH482&lt;=0.004,"Paid",IF(AG482&lt;=0.004,"Unpaid","Part paid"))))</f>
        <v>0</v>
      </c>
      <c r="AJ482" s="38">
        <f>IF(B482="","",IF(H482&lt;&gt;"Service","",IF(D482="","No",IF(COUNTIFS($D$5:$D$1204,D482,$B$5:$B$1204,B482,$H$5:$H$1204,"Retail")&gt;0,"Yes","No"))))</f>
        <v>0</v>
      </c>
      <c r="AK482" s="25">
        <f>IF(B482="","",COUNTIFS($Y$5:$Y$1204,"&gt;"&amp;Y482)+COUNTIFS($Y$5:Y482,Y482))</f>
        <v>0</v>
      </c>
      <c r="AL482" s="39">
        <f>IF(B482="","",IF(H482="","Add - what kind of sale is this?",IF(IF(V482&lt;=0,P482="",FALSE),"Check - no price found for this item",IF(F482="","Assign - nobody credited",IF(AH482&gt;0.004,"Unpaid - balance outstanding",IF(AC482&lt;0,"Loss - sold below cost",IF(X482&gt;W482*0.5,"Check - more than half off","OK")))))))</f>
        <v>0</v>
      </c>
    </row>
    <row r="483" spans="1:38">
      <c r="A483" s="28">
        <f>IF(B483="","",SalePrefix&amp;TEXT(ROW()-4,"0000"))</f>
        <v>0</v>
      </c>
      <c r="E483" s="15">
        <f>IF(D483="","",IFERROR(INDEX(Clients!$B$5:$B$504,MATCH(D483,Clients!$A$5:$A$504,0)),"Walk-in"))</f>
        <v>0</v>
      </c>
      <c r="G483" s="15">
        <f>IF(F483="","",IFERROR(INDEX(Staff!$B$5:$B$44,MATCH(F483,Staff!$A$5:$A$44,0)),"House"))</f>
        <v>0</v>
      </c>
      <c r="R483" s="15">
        <f>IF(B483="","",TEXT(B483,"yyyy-mm"))</f>
        <v>0</v>
      </c>
      <c r="S483" s="25">
        <f>IF(B483="","",WEEKNUM(B483,2))</f>
        <v>0</v>
      </c>
      <c r="T483" s="37">
        <f>IF(B483="","",IF(K483="",1,K483))</f>
        <v>0</v>
      </c>
      <c r="U483" s="15">
        <f>IF(B483="","",IF(J483&lt;&gt;"",J483,IF(H483="Retail",IFERROR(INDEX(Inventory!$B$5:$B$304,MATCH(I483,Inventory!$A$5:$A$304,0))&amp;"","Not in Inventory"),IFERROR(INDEX(Services!$B$5:$B$204,MATCH(I483,Services!$A$5:$A$204,0))&amp;"","Not in Services"))))</f>
        <v>0</v>
      </c>
      <c r="V483" s="26">
        <f>IF(B483="","",IF(L483&lt;&gt;"",L483,IF(H483="Retail",IFERROR(INDEX(Inventory!$I$5:$I$304,MATCH(I483,Inventory!$A$5:$A$304,0))*1,0),IFERROR(INDEX(Services!$G$5:$G$204,MATCH(I483,Services!$A$5:$A$204,0))*1,0))))</f>
        <v>0</v>
      </c>
      <c r="W483" s="26">
        <f>IF(B483="","",ROUND(T483*V483,2))</f>
        <v>0</v>
      </c>
      <c r="X483" s="26">
        <f>IF(B483="","",ROUND(IF(M483="",0,W483*M483)+IF(N483="",0,N483),2))</f>
        <v>0</v>
      </c>
      <c r="Y483" s="26">
        <f>IF(B483="","",ROUND(W483-X483-IF(P483="",0,P483),2))</f>
        <v>0</v>
      </c>
      <c r="Z483" s="26">
        <f>IF(B483="","",IF(H483="Retail",IF(TaxOnRetail="Yes",ROUND(Y483*TaxRate,2),0),IF(H483="Service",IF(TaxOnServices="Yes",ROUND(Y483*TaxRate,2),0),0)))</f>
        <v>0</v>
      </c>
      <c r="AA483" s="26">
        <f>IF(B483="","",ROUND(Y483+Z483,2))</f>
        <v>0</v>
      </c>
      <c r="AB483" s="26">
        <f>IF(B483="","",ROUND(T483*IF(H483="Retail",IFERROR(INDEX(Inventory!$H$5:$H$304,MATCH(I483,Inventory!$A$5:$A$304,0))*1,0),IFERROR(INDEX(Services!$Q$5:$Q$204,MATCH(I483,Services!$A$5:$A$204,0))*1,0)),2))</f>
        <v>0</v>
      </c>
      <c r="AC483" s="26">
        <f>IF(B483="","",ROUND(Y483-AB483,2))</f>
        <v>0</v>
      </c>
      <c r="AD483" s="38">
        <f>IF(B483="","",IF(C483="","No",IF(COUNTIFS($C$5:C483,C483)=1,"Yes","No")))</f>
        <v>0</v>
      </c>
      <c r="AE483" s="26">
        <f>IF(B483="","",ROUND(SUMIFS(Payments!$G$5:$G$1204,Payments!$H$5:$H$1204,A483,Payments!$Q$5:$Q$1204,"Yes"),2))</f>
        <v>0</v>
      </c>
      <c r="AF483" s="26">
        <f>IF(B483="","",IF(AD483="No",0,ROUND(SUMIFS(Payments!$G$5:$G$1204,Payments!$I$5:$I$1204,C483,Payments!$H$5:$H$1204,"",Payments!$Q$5:$Q$1204,"Yes"),2)))</f>
        <v>0</v>
      </c>
      <c r="AG483" s="26">
        <f>IF(B483="","",ROUND(AE483+AF483,2))</f>
        <v>0</v>
      </c>
      <c r="AH483" s="26">
        <f>IF(B483="","",ROUND(AA483-AG483,2))</f>
        <v>0</v>
      </c>
      <c r="AI483" s="39">
        <f>IF(B483="","",IF(AA483&lt;=0,"No charge",IF(AH483&lt;=0.004,"Paid",IF(AG483&lt;=0.004,"Unpaid","Part paid"))))</f>
        <v>0</v>
      </c>
      <c r="AJ483" s="38">
        <f>IF(B483="","",IF(H483&lt;&gt;"Service","",IF(D483="","No",IF(COUNTIFS($D$5:$D$1204,D483,$B$5:$B$1204,B483,$H$5:$H$1204,"Retail")&gt;0,"Yes","No"))))</f>
        <v>0</v>
      </c>
      <c r="AK483" s="25">
        <f>IF(B483="","",COUNTIFS($Y$5:$Y$1204,"&gt;"&amp;Y483)+COUNTIFS($Y$5:Y483,Y483))</f>
        <v>0</v>
      </c>
      <c r="AL483" s="39">
        <f>IF(B483="","",IF(H483="","Add - what kind of sale is this?",IF(IF(V483&lt;=0,P483="",FALSE),"Check - no price found for this item",IF(F483="","Assign - nobody credited",IF(AH483&gt;0.004,"Unpaid - balance outstanding",IF(AC483&lt;0,"Loss - sold below cost",IF(X483&gt;W483*0.5,"Check - more than half off","OK")))))))</f>
        <v>0</v>
      </c>
    </row>
    <row r="484" spans="1:38">
      <c r="A484" s="28">
        <f>IF(B484="","",SalePrefix&amp;TEXT(ROW()-4,"0000"))</f>
        <v>0</v>
      </c>
      <c r="E484" s="15">
        <f>IF(D484="","",IFERROR(INDEX(Clients!$B$5:$B$504,MATCH(D484,Clients!$A$5:$A$504,0)),"Walk-in"))</f>
        <v>0</v>
      </c>
      <c r="G484" s="15">
        <f>IF(F484="","",IFERROR(INDEX(Staff!$B$5:$B$44,MATCH(F484,Staff!$A$5:$A$44,0)),"House"))</f>
        <v>0</v>
      </c>
      <c r="R484" s="15">
        <f>IF(B484="","",TEXT(B484,"yyyy-mm"))</f>
        <v>0</v>
      </c>
      <c r="S484" s="25">
        <f>IF(B484="","",WEEKNUM(B484,2))</f>
        <v>0</v>
      </c>
      <c r="T484" s="37">
        <f>IF(B484="","",IF(K484="",1,K484))</f>
        <v>0</v>
      </c>
      <c r="U484" s="15">
        <f>IF(B484="","",IF(J484&lt;&gt;"",J484,IF(H484="Retail",IFERROR(INDEX(Inventory!$B$5:$B$304,MATCH(I484,Inventory!$A$5:$A$304,0))&amp;"","Not in Inventory"),IFERROR(INDEX(Services!$B$5:$B$204,MATCH(I484,Services!$A$5:$A$204,0))&amp;"","Not in Services"))))</f>
        <v>0</v>
      </c>
      <c r="V484" s="26">
        <f>IF(B484="","",IF(L484&lt;&gt;"",L484,IF(H484="Retail",IFERROR(INDEX(Inventory!$I$5:$I$304,MATCH(I484,Inventory!$A$5:$A$304,0))*1,0),IFERROR(INDEX(Services!$G$5:$G$204,MATCH(I484,Services!$A$5:$A$204,0))*1,0))))</f>
        <v>0</v>
      </c>
      <c r="W484" s="26">
        <f>IF(B484="","",ROUND(T484*V484,2))</f>
        <v>0</v>
      </c>
      <c r="X484" s="26">
        <f>IF(B484="","",ROUND(IF(M484="",0,W484*M484)+IF(N484="",0,N484),2))</f>
        <v>0</v>
      </c>
      <c r="Y484" s="26">
        <f>IF(B484="","",ROUND(W484-X484-IF(P484="",0,P484),2))</f>
        <v>0</v>
      </c>
      <c r="Z484" s="26">
        <f>IF(B484="","",IF(H484="Retail",IF(TaxOnRetail="Yes",ROUND(Y484*TaxRate,2),0),IF(H484="Service",IF(TaxOnServices="Yes",ROUND(Y484*TaxRate,2),0),0)))</f>
        <v>0</v>
      </c>
      <c r="AA484" s="26">
        <f>IF(B484="","",ROUND(Y484+Z484,2))</f>
        <v>0</v>
      </c>
      <c r="AB484" s="26">
        <f>IF(B484="","",ROUND(T484*IF(H484="Retail",IFERROR(INDEX(Inventory!$H$5:$H$304,MATCH(I484,Inventory!$A$5:$A$304,0))*1,0),IFERROR(INDEX(Services!$Q$5:$Q$204,MATCH(I484,Services!$A$5:$A$204,0))*1,0)),2))</f>
        <v>0</v>
      </c>
      <c r="AC484" s="26">
        <f>IF(B484="","",ROUND(Y484-AB484,2))</f>
        <v>0</v>
      </c>
      <c r="AD484" s="38">
        <f>IF(B484="","",IF(C484="","No",IF(COUNTIFS($C$5:C484,C484)=1,"Yes","No")))</f>
        <v>0</v>
      </c>
      <c r="AE484" s="26">
        <f>IF(B484="","",ROUND(SUMIFS(Payments!$G$5:$G$1204,Payments!$H$5:$H$1204,A484,Payments!$Q$5:$Q$1204,"Yes"),2))</f>
        <v>0</v>
      </c>
      <c r="AF484" s="26">
        <f>IF(B484="","",IF(AD484="No",0,ROUND(SUMIFS(Payments!$G$5:$G$1204,Payments!$I$5:$I$1204,C484,Payments!$H$5:$H$1204,"",Payments!$Q$5:$Q$1204,"Yes"),2)))</f>
        <v>0</v>
      </c>
      <c r="AG484" s="26">
        <f>IF(B484="","",ROUND(AE484+AF484,2))</f>
        <v>0</v>
      </c>
      <c r="AH484" s="26">
        <f>IF(B484="","",ROUND(AA484-AG484,2))</f>
        <v>0</v>
      </c>
      <c r="AI484" s="39">
        <f>IF(B484="","",IF(AA484&lt;=0,"No charge",IF(AH484&lt;=0.004,"Paid",IF(AG484&lt;=0.004,"Unpaid","Part paid"))))</f>
        <v>0</v>
      </c>
      <c r="AJ484" s="38">
        <f>IF(B484="","",IF(H484&lt;&gt;"Service","",IF(D484="","No",IF(COUNTIFS($D$5:$D$1204,D484,$B$5:$B$1204,B484,$H$5:$H$1204,"Retail")&gt;0,"Yes","No"))))</f>
        <v>0</v>
      </c>
      <c r="AK484" s="25">
        <f>IF(B484="","",COUNTIFS($Y$5:$Y$1204,"&gt;"&amp;Y484)+COUNTIFS($Y$5:Y484,Y484))</f>
        <v>0</v>
      </c>
      <c r="AL484" s="39">
        <f>IF(B484="","",IF(H484="","Add - what kind of sale is this?",IF(IF(V484&lt;=0,P484="",FALSE),"Check - no price found for this item",IF(F484="","Assign - nobody credited",IF(AH484&gt;0.004,"Unpaid - balance outstanding",IF(AC484&lt;0,"Loss - sold below cost",IF(X484&gt;W484*0.5,"Check - more than half off","OK")))))))</f>
        <v>0</v>
      </c>
    </row>
    <row r="485" spans="1:38">
      <c r="A485" s="28">
        <f>IF(B485="","",SalePrefix&amp;TEXT(ROW()-4,"0000"))</f>
        <v>0</v>
      </c>
      <c r="E485" s="15">
        <f>IF(D485="","",IFERROR(INDEX(Clients!$B$5:$B$504,MATCH(D485,Clients!$A$5:$A$504,0)),"Walk-in"))</f>
        <v>0</v>
      </c>
      <c r="G485" s="15">
        <f>IF(F485="","",IFERROR(INDEX(Staff!$B$5:$B$44,MATCH(F485,Staff!$A$5:$A$44,0)),"House"))</f>
        <v>0</v>
      </c>
      <c r="R485" s="15">
        <f>IF(B485="","",TEXT(B485,"yyyy-mm"))</f>
        <v>0</v>
      </c>
      <c r="S485" s="25">
        <f>IF(B485="","",WEEKNUM(B485,2))</f>
        <v>0</v>
      </c>
      <c r="T485" s="37">
        <f>IF(B485="","",IF(K485="",1,K485))</f>
        <v>0</v>
      </c>
      <c r="U485" s="15">
        <f>IF(B485="","",IF(J485&lt;&gt;"",J485,IF(H485="Retail",IFERROR(INDEX(Inventory!$B$5:$B$304,MATCH(I485,Inventory!$A$5:$A$304,0))&amp;"","Not in Inventory"),IFERROR(INDEX(Services!$B$5:$B$204,MATCH(I485,Services!$A$5:$A$204,0))&amp;"","Not in Services"))))</f>
        <v>0</v>
      </c>
      <c r="V485" s="26">
        <f>IF(B485="","",IF(L485&lt;&gt;"",L485,IF(H485="Retail",IFERROR(INDEX(Inventory!$I$5:$I$304,MATCH(I485,Inventory!$A$5:$A$304,0))*1,0),IFERROR(INDEX(Services!$G$5:$G$204,MATCH(I485,Services!$A$5:$A$204,0))*1,0))))</f>
        <v>0</v>
      </c>
      <c r="W485" s="26">
        <f>IF(B485="","",ROUND(T485*V485,2))</f>
        <v>0</v>
      </c>
      <c r="X485" s="26">
        <f>IF(B485="","",ROUND(IF(M485="",0,W485*M485)+IF(N485="",0,N485),2))</f>
        <v>0</v>
      </c>
      <c r="Y485" s="26">
        <f>IF(B485="","",ROUND(W485-X485-IF(P485="",0,P485),2))</f>
        <v>0</v>
      </c>
      <c r="Z485" s="26">
        <f>IF(B485="","",IF(H485="Retail",IF(TaxOnRetail="Yes",ROUND(Y485*TaxRate,2),0),IF(H485="Service",IF(TaxOnServices="Yes",ROUND(Y485*TaxRate,2),0),0)))</f>
        <v>0</v>
      </c>
      <c r="AA485" s="26">
        <f>IF(B485="","",ROUND(Y485+Z485,2))</f>
        <v>0</v>
      </c>
      <c r="AB485" s="26">
        <f>IF(B485="","",ROUND(T485*IF(H485="Retail",IFERROR(INDEX(Inventory!$H$5:$H$304,MATCH(I485,Inventory!$A$5:$A$304,0))*1,0),IFERROR(INDEX(Services!$Q$5:$Q$204,MATCH(I485,Services!$A$5:$A$204,0))*1,0)),2))</f>
        <v>0</v>
      </c>
      <c r="AC485" s="26">
        <f>IF(B485="","",ROUND(Y485-AB485,2))</f>
        <v>0</v>
      </c>
      <c r="AD485" s="38">
        <f>IF(B485="","",IF(C485="","No",IF(COUNTIFS($C$5:C485,C485)=1,"Yes","No")))</f>
        <v>0</v>
      </c>
      <c r="AE485" s="26">
        <f>IF(B485="","",ROUND(SUMIFS(Payments!$G$5:$G$1204,Payments!$H$5:$H$1204,A485,Payments!$Q$5:$Q$1204,"Yes"),2))</f>
        <v>0</v>
      </c>
      <c r="AF485" s="26">
        <f>IF(B485="","",IF(AD485="No",0,ROUND(SUMIFS(Payments!$G$5:$G$1204,Payments!$I$5:$I$1204,C485,Payments!$H$5:$H$1204,"",Payments!$Q$5:$Q$1204,"Yes"),2)))</f>
        <v>0</v>
      </c>
      <c r="AG485" s="26">
        <f>IF(B485="","",ROUND(AE485+AF485,2))</f>
        <v>0</v>
      </c>
      <c r="AH485" s="26">
        <f>IF(B485="","",ROUND(AA485-AG485,2))</f>
        <v>0</v>
      </c>
      <c r="AI485" s="39">
        <f>IF(B485="","",IF(AA485&lt;=0,"No charge",IF(AH485&lt;=0.004,"Paid",IF(AG485&lt;=0.004,"Unpaid","Part paid"))))</f>
        <v>0</v>
      </c>
      <c r="AJ485" s="38">
        <f>IF(B485="","",IF(H485&lt;&gt;"Service","",IF(D485="","No",IF(COUNTIFS($D$5:$D$1204,D485,$B$5:$B$1204,B485,$H$5:$H$1204,"Retail")&gt;0,"Yes","No"))))</f>
        <v>0</v>
      </c>
      <c r="AK485" s="25">
        <f>IF(B485="","",COUNTIFS($Y$5:$Y$1204,"&gt;"&amp;Y485)+COUNTIFS($Y$5:Y485,Y485))</f>
        <v>0</v>
      </c>
      <c r="AL485" s="39">
        <f>IF(B485="","",IF(H485="","Add - what kind of sale is this?",IF(IF(V485&lt;=0,P485="",FALSE),"Check - no price found for this item",IF(F485="","Assign - nobody credited",IF(AH485&gt;0.004,"Unpaid - balance outstanding",IF(AC485&lt;0,"Loss - sold below cost",IF(X485&gt;W485*0.5,"Check - more than half off","OK")))))))</f>
        <v>0</v>
      </c>
    </row>
    <row r="486" spans="1:38">
      <c r="A486" s="28">
        <f>IF(B486="","",SalePrefix&amp;TEXT(ROW()-4,"0000"))</f>
        <v>0</v>
      </c>
      <c r="E486" s="15">
        <f>IF(D486="","",IFERROR(INDEX(Clients!$B$5:$B$504,MATCH(D486,Clients!$A$5:$A$504,0)),"Walk-in"))</f>
        <v>0</v>
      </c>
      <c r="G486" s="15">
        <f>IF(F486="","",IFERROR(INDEX(Staff!$B$5:$B$44,MATCH(F486,Staff!$A$5:$A$44,0)),"House"))</f>
        <v>0</v>
      </c>
      <c r="R486" s="15">
        <f>IF(B486="","",TEXT(B486,"yyyy-mm"))</f>
        <v>0</v>
      </c>
      <c r="S486" s="25">
        <f>IF(B486="","",WEEKNUM(B486,2))</f>
        <v>0</v>
      </c>
      <c r="T486" s="37">
        <f>IF(B486="","",IF(K486="",1,K486))</f>
        <v>0</v>
      </c>
      <c r="U486" s="15">
        <f>IF(B486="","",IF(J486&lt;&gt;"",J486,IF(H486="Retail",IFERROR(INDEX(Inventory!$B$5:$B$304,MATCH(I486,Inventory!$A$5:$A$304,0))&amp;"","Not in Inventory"),IFERROR(INDEX(Services!$B$5:$B$204,MATCH(I486,Services!$A$5:$A$204,0))&amp;"","Not in Services"))))</f>
        <v>0</v>
      </c>
      <c r="V486" s="26">
        <f>IF(B486="","",IF(L486&lt;&gt;"",L486,IF(H486="Retail",IFERROR(INDEX(Inventory!$I$5:$I$304,MATCH(I486,Inventory!$A$5:$A$304,0))*1,0),IFERROR(INDEX(Services!$G$5:$G$204,MATCH(I486,Services!$A$5:$A$204,0))*1,0))))</f>
        <v>0</v>
      </c>
      <c r="W486" s="26">
        <f>IF(B486="","",ROUND(T486*V486,2))</f>
        <v>0</v>
      </c>
      <c r="X486" s="26">
        <f>IF(B486="","",ROUND(IF(M486="",0,W486*M486)+IF(N486="",0,N486),2))</f>
        <v>0</v>
      </c>
      <c r="Y486" s="26">
        <f>IF(B486="","",ROUND(W486-X486-IF(P486="",0,P486),2))</f>
        <v>0</v>
      </c>
      <c r="Z486" s="26">
        <f>IF(B486="","",IF(H486="Retail",IF(TaxOnRetail="Yes",ROUND(Y486*TaxRate,2),0),IF(H486="Service",IF(TaxOnServices="Yes",ROUND(Y486*TaxRate,2),0),0)))</f>
        <v>0</v>
      </c>
      <c r="AA486" s="26">
        <f>IF(B486="","",ROUND(Y486+Z486,2))</f>
        <v>0</v>
      </c>
      <c r="AB486" s="26">
        <f>IF(B486="","",ROUND(T486*IF(H486="Retail",IFERROR(INDEX(Inventory!$H$5:$H$304,MATCH(I486,Inventory!$A$5:$A$304,0))*1,0),IFERROR(INDEX(Services!$Q$5:$Q$204,MATCH(I486,Services!$A$5:$A$204,0))*1,0)),2))</f>
        <v>0</v>
      </c>
      <c r="AC486" s="26">
        <f>IF(B486="","",ROUND(Y486-AB486,2))</f>
        <v>0</v>
      </c>
      <c r="AD486" s="38">
        <f>IF(B486="","",IF(C486="","No",IF(COUNTIFS($C$5:C486,C486)=1,"Yes","No")))</f>
        <v>0</v>
      </c>
      <c r="AE486" s="26">
        <f>IF(B486="","",ROUND(SUMIFS(Payments!$G$5:$G$1204,Payments!$H$5:$H$1204,A486,Payments!$Q$5:$Q$1204,"Yes"),2))</f>
        <v>0</v>
      </c>
      <c r="AF486" s="26">
        <f>IF(B486="","",IF(AD486="No",0,ROUND(SUMIFS(Payments!$G$5:$G$1204,Payments!$I$5:$I$1204,C486,Payments!$H$5:$H$1204,"",Payments!$Q$5:$Q$1204,"Yes"),2)))</f>
        <v>0</v>
      </c>
      <c r="AG486" s="26">
        <f>IF(B486="","",ROUND(AE486+AF486,2))</f>
        <v>0</v>
      </c>
      <c r="AH486" s="26">
        <f>IF(B486="","",ROUND(AA486-AG486,2))</f>
        <v>0</v>
      </c>
      <c r="AI486" s="39">
        <f>IF(B486="","",IF(AA486&lt;=0,"No charge",IF(AH486&lt;=0.004,"Paid",IF(AG486&lt;=0.004,"Unpaid","Part paid"))))</f>
        <v>0</v>
      </c>
      <c r="AJ486" s="38">
        <f>IF(B486="","",IF(H486&lt;&gt;"Service","",IF(D486="","No",IF(COUNTIFS($D$5:$D$1204,D486,$B$5:$B$1204,B486,$H$5:$H$1204,"Retail")&gt;0,"Yes","No"))))</f>
        <v>0</v>
      </c>
      <c r="AK486" s="25">
        <f>IF(B486="","",COUNTIFS($Y$5:$Y$1204,"&gt;"&amp;Y486)+COUNTIFS($Y$5:Y486,Y486))</f>
        <v>0</v>
      </c>
      <c r="AL486" s="39">
        <f>IF(B486="","",IF(H486="","Add - what kind of sale is this?",IF(IF(V486&lt;=0,P486="",FALSE),"Check - no price found for this item",IF(F486="","Assign - nobody credited",IF(AH486&gt;0.004,"Unpaid - balance outstanding",IF(AC486&lt;0,"Loss - sold below cost",IF(X486&gt;W486*0.5,"Check - more than half off","OK")))))))</f>
        <v>0</v>
      </c>
    </row>
    <row r="487" spans="1:38">
      <c r="A487" s="28">
        <f>IF(B487="","",SalePrefix&amp;TEXT(ROW()-4,"0000"))</f>
        <v>0</v>
      </c>
      <c r="E487" s="15">
        <f>IF(D487="","",IFERROR(INDEX(Clients!$B$5:$B$504,MATCH(D487,Clients!$A$5:$A$504,0)),"Walk-in"))</f>
        <v>0</v>
      </c>
      <c r="G487" s="15">
        <f>IF(F487="","",IFERROR(INDEX(Staff!$B$5:$B$44,MATCH(F487,Staff!$A$5:$A$44,0)),"House"))</f>
        <v>0</v>
      </c>
      <c r="R487" s="15">
        <f>IF(B487="","",TEXT(B487,"yyyy-mm"))</f>
        <v>0</v>
      </c>
      <c r="S487" s="25">
        <f>IF(B487="","",WEEKNUM(B487,2))</f>
        <v>0</v>
      </c>
      <c r="T487" s="37">
        <f>IF(B487="","",IF(K487="",1,K487))</f>
        <v>0</v>
      </c>
      <c r="U487" s="15">
        <f>IF(B487="","",IF(J487&lt;&gt;"",J487,IF(H487="Retail",IFERROR(INDEX(Inventory!$B$5:$B$304,MATCH(I487,Inventory!$A$5:$A$304,0))&amp;"","Not in Inventory"),IFERROR(INDEX(Services!$B$5:$B$204,MATCH(I487,Services!$A$5:$A$204,0))&amp;"","Not in Services"))))</f>
        <v>0</v>
      </c>
      <c r="V487" s="26">
        <f>IF(B487="","",IF(L487&lt;&gt;"",L487,IF(H487="Retail",IFERROR(INDEX(Inventory!$I$5:$I$304,MATCH(I487,Inventory!$A$5:$A$304,0))*1,0),IFERROR(INDEX(Services!$G$5:$G$204,MATCH(I487,Services!$A$5:$A$204,0))*1,0))))</f>
        <v>0</v>
      </c>
      <c r="W487" s="26">
        <f>IF(B487="","",ROUND(T487*V487,2))</f>
        <v>0</v>
      </c>
      <c r="X487" s="26">
        <f>IF(B487="","",ROUND(IF(M487="",0,W487*M487)+IF(N487="",0,N487),2))</f>
        <v>0</v>
      </c>
      <c r="Y487" s="26">
        <f>IF(B487="","",ROUND(W487-X487-IF(P487="",0,P487),2))</f>
        <v>0</v>
      </c>
      <c r="Z487" s="26">
        <f>IF(B487="","",IF(H487="Retail",IF(TaxOnRetail="Yes",ROUND(Y487*TaxRate,2),0),IF(H487="Service",IF(TaxOnServices="Yes",ROUND(Y487*TaxRate,2),0),0)))</f>
        <v>0</v>
      </c>
      <c r="AA487" s="26">
        <f>IF(B487="","",ROUND(Y487+Z487,2))</f>
        <v>0</v>
      </c>
      <c r="AB487" s="26">
        <f>IF(B487="","",ROUND(T487*IF(H487="Retail",IFERROR(INDEX(Inventory!$H$5:$H$304,MATCH(I487,Inventory!$A$5:$A$304,0))*1,0),IFERROR(INDEX(Services!$Q$5:$Q$204,MATCH(I487,Services!$A$5:$A$204,0))*1,0)),2))</f>
        <v>0</v>
      </c>
      <c r="AC487" s="26">
        <f>IF(B487="","",ROUND(Y487-AB487,2))</f>
        <v>0</v>
      </c>
      <c r="AD487" s="38">
        <f>IF(B487="","",IF(C487="","No",IF(COUNTIFS($C$5:C487,C487)=1,"Yes","No")))</f>
        <v>0</v>
      </c>
      <c r="AE487" s="26">
        <f>IF(B487="","",ROUND(SUMIFS(Payments!$G$5:$G$1204,Payments!$H$5:$H$1204,A487,Payments!$Q$5:$Q$1204,"Yes"),2))</f>
        <v>0</v>
      </c>
      <c r="AF487" s="26">
        <f>IF(B487="","",IF(AD487="No",0,ROUND(SUMIFS(Payments!$G$5:$G$1204,Payments!$I$5:$I$1204,C487,Payments!$H$5:$H$1204,"",Payments!$Q$5:$Q$1204,"Yes"),2)))</f>
        <v>0</v>
      </c>
      <c r="AG487" s="26">
        <f>IF(B487="","",ROUND(AE487+AF487,2))</f>
        <v>0</v>
      </c>
      <c r="AH487" s="26">
        <f>IF(B487="","",ROUND(AA487-AG487,2))</f>
        <v>0</v>
      </c>
      <c r="AI487" s="39">
        <f>IF(B487="","",IF(AA487&lt;=0,"No charge",IF(AH487&lt;=0.004,"Paid",IF(AG487&lt;=0.004,"Unpaid","Part paid"))))</f>
        <v>0</v>
      </c>
      <c r="AJ487" s="38">
        <f>IF(B487="","",IF(H487&lt;&gt;"Service","",IF(D487="","No",IF(COUNTIFS($D$5:$D$1204,D487,$B$5:$B$1204,B487,$H$5:$H$1204,"Retail")&gt;0,"Yes","No"))))</f>
        <v>0</v>
      </c>
      <c r="AK487" s="25">
        <f>IF(B487="","",COUNTIFS($Y$5:$Y$1204,"&gt;"&amp;Y487)+COUNTIFS($Y$5:Y487,Y487))</f>
        <v>0</v>
      </c>
      <c r="AL487" s="39">
        <f>IF(B487="","",IF(H487="","Add - what kind of sale is this?",IF(IF(V487&lt;=0,P487="",FALSE),"Check - no price found for this item",IF(F487="","Assign - nobody credited",IF(AH487&gt;0.004,"Unpaid - balance outstanding",IF(AC487&lt;0,"Loss - sold below cost",IF(X487&gt;W487*0.5,"Check - more than half off","OK")))))))</f>
        <v>0</v>
      </c>
    </row>
    <row r="488" spans="1:38">
      <c r="A488" s="28">
        <f>IF(B488="","",SalePrefix&amp;TEXT(ROW()-4,"0000"))</f>
        <v>0</v>
      </c>
      <c r="E488" s="15">
        <f>IF(D488="","",IFERROR(INDEX(Clients!$B$5:$B$504,MATCH(D488,Clients!$A$5:$A$504,0)),"Walk-in"))</f>
        <v>0</v>
      </c>
      <c r="G488" s="15">
        <f>IF(F488="","",IFERROR(INDEX(Staff!$B$5:$B$44,MATCH(F488,Staff!$A$5:$A$44,0)),"House"))</f>
        <v>0</v>
      </c>
      <c r="R488" s="15">
        <f>IF(B488="","",TEXT(B488,"yyyy-mm"))</f>
        <v>0</v>
      </c>
      <c r="S488" s="25">
        <f>IF(B488="","",WEEKNUM(B488,2))</f>
        <v>0</v>
      </c>
      <c r="T488" s="37">
        <f>IF(B488="","",IF(K488="",1,K488))</f>
        <v>0</v>
      </c>
      <c r="U488" s="15">
        <f>IF(B488="","",IF(J488&lt;&gt;"",J488,IF(H488="Retail",IFERROR(INDEX(Inventory!$B$5:$B$304,MATCH(I488,Inventory!$A$5:$A$304,0))&amp;"","Not in Inventory"),IFERROR(INDEX(Services!$B$5:$B$204,MATCH(I488,Services!$A$5:$A$204,0))&amp;"","Not in Services"))))</f>
        <v>0</v>
      </c>
      <c r="V488" s="26">
        <f>IF(B488="","",IF(L488&lt;&gt;"",L488,IF(H488="Retail",IFERROR(INDEX(Inventory!$I$5:$I$304,MATCH(I488,Inventory!$A$5:$A$304,0))*1,0),IFERROR(INDEX(Services!$G$5:$G$204,MATCH(I488,Services!$A$5:$A$204,0))*1,0))))</f>
        <v>0</v>
      </c>
      <c r="W488" s="26">
        <f>IF(B488="","",ROUND(T488*V488,2))</f>
        <v>0</v>
      </c>
      <c r="X488" s="26">
        <f>IF(B488="","",ROUND(IF(M488="",0,W488*M488)+IF(N488="",0,N488),2))</f>
        <v>0</v>
      </c>
      <c r="Y488" s="26">
        <f>IF(B488="","",ROUND(W488-X488-IF(P488="",0,P488),2))</f>
        <v>0</v>
      </c>
      <c r="Z488" s="26">
        <f>IF(B488="","",IF(H488="Retail",IF(TaxOnRetail="Yes",ROUND(Y488*TaxRate,2),0),IF(H488="Service",IF(TaxOnServices="Yes",ROUND(Y488*TaxRate,2),0),0)))</f>
        <v>0</v>
      </c>
      <c r="AA488" s="26">
        <f>IF(B488="","",ROUND(Y488+Z488,2))</f>
        <v>0</v>
      </c>
      <c r="AB488" s="26">
        <f>IF(B488="","",ROUND(T488*IF(H488="Retail",IFERROR(INDEX(Inventory!$H$5:$H$304,MATCH(I488,Inventory!$A$5:$A$304,0))*1,0),IFERROR(INDEX(Services!$Q$5:$Q$204,MATCH(I488,Services!$A$5:$A$204,0))*1,0)),2))</f>
        <v>0</v>
      </c>
      <c r="AC488" s="26">
        <f>IF(B488="","",ROUND(Y488-AB488,2))</f>
        <v>0</v>
      </c>
      <c r="AD488" s="38">
        <f>IF(B488="","",IF(C488="","No",IF(COUNTIFS($C$5:C488,C488)=1,"Yes","No")))</f>
        <v>0</v>
      </c>
      <c r="AE488" s="26">
        <f>IF(B488="","",ROUND(SUMIFS(Payments!$G$5:$G$1204,Payments!$H$5:$H$1204,A488,Payments!$Q$5:$Q$1204,"Yes"),2))</f>
        <v>0</v>
      </c>
      <c r="AF488" s="26">
        <f>IF(B488="","",IF(AD488="No",0,ROUND(SUMIFS(Payments!$G$5:$G$1204,Payments!$I$5:$I$1204,C488,Payments!$H$5:$H$1204,"",Payments!$Q$5:$Q$1204,"Yes"),2)))</f>
        <v>0</v>
      </c>
      <c r="AG488" s="26">
        <f>IF(B488="","",ROUND(AE488+AF488,2))</f>
        <v>0</v>
      </c>
      <c r="AH488" s="26">
        <f>IF(B488="","",ROUND(AA488-AG488,2))</f>
        <v>0</v>
      </c>
      <c r="AI488" s="39">
        <f>IF(B488="","",IF(AA488&lt;=0,"No charge",IF(AH488&lt;=0.004,"Paid",IF(AG488&lt;=0.004,"Unpaid","Part paid"))))</f>
        <v>0</v>
      </c>
      <c r="AJ488" s="38">
        <f>IF(B488="","",IF(H488&lt;&gt;"Service","",IF(D488="","No",IF(COUNTIFS($D$5:$D$1204,D488,$B$5:$B$1204,B488,$H$5:$H$1204,"Retail")&gt;0,"Yes","No"))))</f>
        <v>0</v>
      </c>
      <c r="AK488" s="25">
        <f>IF(B488="","",COUNTIFS($Y$5:$Y$1204,"&gt;"&amp;Y488)+COUNTIFS($Y$5:Y488,Y488))</f>
        <v>0</v>
      </c>
      <c r="AL488" s="39">
        <f>IF(B488="","",IF(H488="","Add - what kind of sale is this?",IF(IF(V488&lt;=0,P488="",FALSE),"Check - no price found for this item",IF(F488="","Assign - nobody credited",IF(AH488&gt;0.004,"Unpaid - balance outstanding",IF(AC488&lt;0,"Loss - sold below cost",IF(X488&gt;W488*0.5,"Check - more than half off","OK")))))))</f>
        <v>0</v>
      </c>
    </row>
    <row r="489" spans="1:38">
      <c r="A489" s="28">
        <f>IF(B489="","",SalePrefix&amp;TEXT(ROW()-4,"0000"))</f>
        <v>0</v>
      </c>
      <c r="E489" s="15">
        <f>IF(D489="","",IFERROR(INDEX(Clients!$B$5:$B$504,MATCH(D489,Clients!$A$5:$A$504,0)),"Walk-in"))</f>
        <v>0</v>
      </c>
      <c r="G489" s="15">
        <f>IF(F489="","",IFERROR(INDEX(Staff!$B$5:$B$44,MATCH(F489,Staff!$A$5:$A$44,0)),"House"))</f>
        <v>0</v>
      </c>
      <c r="R489" s="15">
        <f>IF(B489="","",TEXT(B489,"yyyy-mm"))</f>
        <v>0</v>
      </c>
      <c r="S489" s="25">
        <f>IF(B489="","",WEEKNUM(B489,2))</f>
        <v>0</v>
      </c>
      <c r="T489" s="37">
        <f>IF(B489="","",IF(K489="",1,K489))</f>
        <v>0</v>
      </c>
      <c r="U489" s="15">
        <f>IF(B489="","",IF(J489&lt;&gt;"",J489,IF(H489="Retail",IFERROR(INDEX(Inventory!$B$5:$B$304,MATCH(I489,Inventory!$A$5:$A$304,0))&amp;"","Not in Inventory"),IFERROR(INDEX(Services!$B$5:$B$204,MATCH(I489,Services!$A$5:$A$204,0))&amp;"","Not in Services"))))</f>
        <v>0</v>
      </c>
      <c r="V489" s="26">
        <f>IF(B489="","",IF(L489&lt;&gt;"",L489,IF(H489="Retail",IFERROR(INDEX(Inventory!$I$5:$I$304,MATCH(I489,Inventory!$A$5:$A$304,0))*1,0),IFERROR(INDEX(Services!$G$5:$G$204,MATCH(I489,Services!$A$5:$A$204,0))*1,0))))</f>
        <v>0</v>
      </c>
      <c r="W489" s="26">
        <f>IF(B489="","",ROUND(T489*V489,2))</f>
        <v>0</v>
      </c>
      <c r="X489" s="26">
        <f>IF(B489="","",ROUND(IF(M489="",0,W489*M489)+IF(N489="",0,N489),2))</f>
        <v>0</v>
      </c>
      <c r="Y489" s="26">
        <f>IF(B489="","",ROUND(W489-X489-IF(P489="",0,P489),2))</f>
        <v>0</v>
      </c>
      <c r="Z489" s="26">
        <f>IF(B489="","",IF(H489="Retail",IF(TaxOnRetail="Yes",ROUND(Y489*TaxRate,2),0),IF(H489="Service",IF(TaxOnServices="Yes",ROUND(Y489*TaxRate,2),0),0)))</f>
        <v>0</v>
      </c>
      <c r="AA489" s="26">
        <f>IF(B489="","",ROUND(Y489+Z489,2))</f>
        <v>0</v>
      </c>
      <c r="AB489" s="26">
        <f>IF(B489="","",ROUND(T489*IF(H489="Retail",IFERROR(INDEX(Inventory!$H$5:$H$304,MATCH(I489,Inventory!$A$5:$A$304,0))*1,0),IFERROR(INDEX(Services!$Q$5:$Q$204,MATCH(I489,Services!$A$5:$A$204,0))*1,0)),2))</f>
        <v>0</v>
      </c>
      <c r="AC489" s="26">
        <f>IF(B489="","",ROUND(Y489-AB489,2))</f>
        <v>0</v>
      </c>
      <c r="AD489" s="38">
        <f>IF(B489="","",IF(C489="","No",IF(COUNTIFS($C$5:C489,C489)=1,"Yes","No")))</f>
        <v>0</v>
      </c>
      <c r="AE489" s="26">
        <f>IF(B489="","",ROUND(SUMIFS(Payments!$G$5:$G$1204,Payments!$H$5:$H$1204,A489,Payments!$Q$5:$Q$1204,"Yes"),2))</f>
        <v>0</v>
      </c>
      <c r="AF489" s="26">
        <f>IF(B489="","",IF(AD489="No",0,ROUND(SUMIFS(Payments!$G$5:$G$1204,Payments!$I$5:$I$1204,C489,Payments!$H$5:$H$1204,"",Payments!$Q$5:$Q$1204,"Yes"),2)))</f>
        <v>0</v>
      </c>
      <c r="AG489" s="26">
        <f>IF(B489="","",ROUND(AE489+AF489,2))</f>
        <v>0</v>
      </c>
      <c r="AH489" s="26">
        <f>IF(B489="","",ROUND(AA489-AG489,2))</f>
        <v>0</v>
      </c>
      <c r="AI489" s="39">
        <f>IF(B489="","",IF(AA489&lt;=0,"No charge",IF(AH489&lt;=0.004,"Paid",IF(AG489&lt;=0.004,"Unpaid","Part paid"))))</f>
        <v>0</v>
      </c>
      <c r="AJ489" s="38">
        <f>IF(B489="","",IF(H489&lt;&gt;"Service","",IF(D489="","No",IF(COUNTIFS($D$5:$D$1204,D489,$B$5:$B$1204,B489,$H$5:$H$1204,"Retail")&gt;0,"Yes","No"))))</f>
        <v>0</v>
      </c>
      <c r="AK489" s="25">
        <f>IF(B489="","",COUNTIFS($Y$5:$Y$1204,"&gt;"&amp;Y489)+COUNTIFS($Y$5:Y489,Y489))</f>
        <v>0</v>
      </c>
      <c r="AL489" s="39">
        <f>IF(B489="","",IF(H489="","Add - what kind of sale is this?",IF(IF(V489&lt;=0,P489="",FALSE),"Check - no price found for this item",IF(F489="","Assign - nobody credited",IF(AH489&gt;0.004,"Unpaid - balance outstanding",IF(AC489&lt;0,"Loss - sold below cost",IF(X489&gt;W489*0.5,"Check - more than half off","OK")))))))</f>
        <v>0</v>
      </c>
    </row>
    <row r="490" spans="1:38">
      <c r="A490" s="28">
        <f>IF(B490="","",SalePrefix&amp;TEXT(ROW()-4,"0000"))</f>
        <v>0</v>
      </c>
      <c r="E490" s="15">
        <f>IF(D490="","",IFERROR(INDEX(Clients!$B$5:$B$504,MATCH(D490,Clients!$A$5:$A$504,0)),"Walk-in"))</f>
        <v>0</v>
      </c>
      <c r="G490" s="15">
        <f>IF(F490="","",IFERROR(INDEX(Staff!$B$5:$B$44,MATCH(F490,Staff!$A$5:$A$44,0)),"House"))</f>
        <v>0</v>
      </c>
      <c r="R490" s="15">
        <f>IF(B490="","",TEXT(B490,"yyyy-mm"))</f>
        <v>0</v>
      </c>
      <c r="S490" s="25">
        <f>IF(B490="","",WEEKNUM(B490,2))</f>
        <v>0</v>
      </c>
      <c r="T490" s="37">
        <f>IF(B490="","",IF(K490="",1,K490))</f>
        <v>0</v>
      </c>
      <c r="U490" s="15">
        <f>IF(B490="","",IF(J490&lt;&gt;"",J490,IF(H490="Retail",IFERROR(INDEX(Inventory!$B$5:$B$304,MATCH(I490,Inventory!$A$5:$A$304,0))&amp;"","Not in Inventory"),IFERROR(INDEX(Services!$B$5:$B$204,MATCH(I490,Services!$A$5:$A$204,0))&amp;"","Not in Services"))))</f>
        <v>0</v>
      </c>
      <c r="V490" s="26">
        <f>IF(B490="","",IF(L490&lt;&gt;"",L490,IF(H490="Retail",IFERROR(INDEX(Inventory!$I$5:$I$304,MATCH(I490,Inventory!$A$5:$A$304,0))*1,0),IFERROR(INDEX(Services!$G$5:$G$204,MATCH(I490,Services!$A$5:$A$204,0))*1,0))))</f>
        <v>0</v>
      </c>
      <c r="W490" s="26">
        <f>IF(B490="","",ROUND(T490*V490,2))</f>
        <v>0</v>
      </c>
      <c r="X490" s="26">
        <f>IF(B490="","",ROUND(IF(M490="",0,W490*M490)+IF(N490="",0,N490),2))</f>
        <v>0</v>
      </c>
      <c r="Y490" s="26">
        <f>IF(B490="","",ROUND(W490-X490-IF(P490="",0,P490),2))</f>
        <v>0</v>
      </c>
      <c r="Z490" s="26">
        <f>IF(B490="","",IF(H490="Retail",IF(TaxOnRetail="Yes",ROUND(Y490*TaxRate,2),0),IF(H490="Service",IF(TaxOnServices="Yes",ROUND(Y490*TaxRate,2),0),0)))</f>
        <v>0</v>
      </c>
      <c r="AA490" s="26">
        <f>IF(B490="","",ROUND(Y490+Z490,2))</f>
        <v>0</v>
      </c>
      <c r="AB490" s="26">
        <f>IF(B490="","",ROUND(T490*IF(H490="Retail",IFERROR(INDEX(Inventory!$H$5:$H$304,MATCH(I490,Inventory!$A$5:$A$304,0))*1,0),IFERROR(INDEX(Services!$Q$5:$Q$204,MATCH(I490,Services!$A$5:$A$204,0))*1,0)),2))</f>
        <v>0</v>
      </c>
      <c r="AC490" s="26">
        <f>IF(B490="","",ROUND(Y490-AB490,2))</f>
        <v>0</v>
      </c>
      <c r="AD490" s="38">
        <f>IF(B490="","",IF(C490="","No",IF(COUNTIFS($C$5:C490,C490)=1,"Yes","No")))</f>
        <v>0</v>
      </c>
      <c r="AE490" s="26">
        <f>IF(B490="","",ROUND(SUMIFS(Payments!$G$5:$G$1204,Payments!$H$5:$H$1204,A490,Payments!$Q$5:$Q$1204,"Yes"),2))</f>
        <v>0</v>
      </c>
      <c r="AF490" s="26">
        <f>IF(B490="","",IF(AD490="No",0,ROUND(SUMIFS(Payments!$G$5:$G$1204,Payments!$I$5:$I$1204,C490,Payments!$H$5:$H$1204,"",Payments!$Q$5:$Q$1204,"Yes"),2)))</f>
        <v>0</v>
      </c>
      <c r="AG490" s="26">
        <f>IF(B490="","",ROUND(AE490+AF490,2))</f>
        <v>0</v>
      </c>
      <c r="AH490" s="26">
        <f>IF(B490="","",ROUND(AA490-AG490,2))</f>
        <v>0</v>
      </c>
      <c r="AI490" s="39">
        <f>IF(B490="","",IF(AA490&lt;=0,"No charge",IF(AH490&lt;=0.004,"Paid",IF(AG490&lt;=0.004,"Unpaid","Part paid"))))</f>
        <v>0</v>
      </c>
      <c r="AJ490" s="38">
        <f>IF(B490="","",IF(H490&lt;&gt;"Service","",IF(D490="","No",IF(COUNTIFS($D$5:$D$1204,D490,$B$5:$B$1204,B490,$H$5:$H$1204,"Retail")&gt;0,"Yes","No"))))</f>
        <v>0</v>
      </c>
      <c r="AK490" s="25">
        <f>IF(B490="","",COUNTIFS($Y$5:$Y$1204,"&gt;"&amp;Y490)+COUNTIFS($Y$5:Y490,Y490))</f>
        <v>0</v>
      </c>
      <c r="AL490" s="39">
        <f>IF(B490="","",IF(H490="","Add - what kind of sale is this?",IF(IF(V490&lt;=0,P490="",FALSE),"Check - no price found for this item",IF(F490="","Assign - nobody credited",IF(AH490&gt;0.004,"Unpaid - balance outstanding",IF(AC490&lt;0,"Loss - sold below cost",IF(X490&gt;W490*0.5,"Check - more than half off","OK")))))))</f>
        <v>0</v>
      </c>
    </row>
    <row r="491" spans="1:38">
      <c r="A491" s="28">
        <f>IF(B491="","",SalePrefix&amp;TEXT(ROW()-4,"0000"))</f>
        <v>0</v>
      </c>
      <c r="E491" s="15">
        <f>IF(D491="","",IFERROR(INDEX(Clients!$B$5:$B$504,MATCH(D491,Clients!$A$5:$A$504,0)),"Walk-in"))</f>
        <v>0</v>
      </c>
      <c r="G491" s="15">
        <f>IF(F491="","",IFERROR(INDEX(Staff!$B$5:$B$44,MATCH(F491,Staff!$A$5:$A$44,0)),"House"))</f>
        <v>0</v>
      </c>
      <c r="R491" s="15">
        <f>IF(B491="","",TEXT(B491,"yyyy-mm"))</f>
        <v>0</v>
      </c>
      <c r="S491" s="25">
        <f>IF(B491="","",WEEKNUM(B491,2))</f>
        <v>0</v>
      </c>
      <c r="T491" s="37">
        <f>IF(B491="","",IF(K491="",1,K491))</f>
        <v>0</v>
      </c>
      <c r="U491" s="15">
        <f>IF(B491="","",IF(J491&lt;&gt;"",J491,IF(H491="Retail",IFERROR(INDEX(Inventory!$B$5:$B$304,MATCH(I491,Inventory!$A$5:$A$304,0))&amp;"","Not in Inventory"),IFERROR(INDEX(Services!$B$5:$B$204,MATCH(I491,Services!$A$5:$A$204,0))&amp;"","Not in Services"))))</f>
        <v>0</v>
      </c>
      <c r="V491" s="26">
        <f>IF(B491="","",IF(L491&lt;&gt;"",L491,IF(H491="Retail",IFERROR(INDEX(Inventory!$I$5:$I$304,MATCH(I491,Inventory!$A$5:$A$304,0))*1,0),IFERROR(INDEX(Services!$G$5:$G$204,MATCH(I491,Services!$A$5:$A$204,0))*1,0))))</f>
        <v>0</v>
      </c>
      <c r="W491" s="26">
        <f>IF(B491="","",ROUND(T491*V491,2))</f>
        <v>0</v>
      </c>
      <c r="X491" s="26">
        <f>IF(B491="","",ROUND(IF(M491="",0,W491*M491)+IF(N491="",0,N491),2))</f>
        <v>0</v>
      </c>
      <c r="Y491" s="26">
        <f>IF(B491="","",ROUND(W491-X491-IF(P491="",0,P491),2))</f>
        <v>0</v>
      </c>
      <c r="Z491" s="26">
        <f>IF(B491="","",IF(H491="Retail",IF(TaxOnRetail="Yes",ROUND(Y491*TaxRate,2),0),IF(H491="Service",IF(TaxOnServices="Yes",ROUND(Y491*TaxRate,2),0),0)))</f>
        <v>0</v>
      </c>
      <c r="AA491" s="26">
        <f>IF(B491="","",ROUND(Y491+Z491,2))</f>
        <v>0</v>
      </c>
      <c r="AB491" s="26">
        <f>IF(B491="","",ROUND(T491*IF(H491="Retail",IFERROR(INDEX(Inventory!$H$5:$H$304,MATCH(I491,Inventory!$A$5:$A$304,0))*1,0),IFERROR(INDEX(Services!$Q$5:$Q$204,MATCH(I491,Services!$A$5:$A$204,0))*1,0)),2))</f>
        <v>0</v>
      </c>
      <c r="AC491" s="26">
        <f>IF(B491="","",ROUND(Y491-AB491,2))</f>
        <v>0</v>
      </c>
      <c r="AD491" s="38">
        <f>IF(B491="","",IF(C491="","No",IF(COUNTIFS($C$5:C491,C491)=1,"Yes","No")))</f>
        <v>0</v>
      </c>
      <c r="AE491" s="26">
        <f>IF(B491="","",ROUND(SUMIFS(Payments!$G$5:$G$1204,Payments!$H$5:$H$1204,A491,Payments!$Q$5:$Q$1204,"Yes"),2))</f>
        <v>0</v>
      </c>
      <c r="AF491" s="26">
        <f>IF(B491="","",IF(AD491="No",0,ROUND(SUMIFS(Payments!$G$5:$G$1204,Payments!$I$5:$I$1204,C491,Payments!$H$5:$H$1204,"",Payments!$Q$5:$Q$1204,"Yes"),2)))</f>
        <v>0</v>
      </c>
      <c r="AG491" s="26">
        <f>IF(B491="","",ROUND(AE491+AF491,2))</f>
        <v>0</v>
      </c>
      <c r="AH491" s="26">
        <f>IF(B491="","",ROUND(AA491-AG491,2))</f>
        <v>0</v>
      </c>
      <c r="AI491" s="39">
        <f>IF(B491="","",IF(AA491&lt;=0,"No charge",IF(AH491&lt;=0.004,"Paid",IF(AG491&lt;=0.004,"Unpaid","Part paid"))))</f>
        <v>0</v>
      </c>
      <c r="AJ491" s="38">
        <f>IF(B491="","",IF(H491&lt;&gt;"Service","",IF(D491="","No",IF(COUNTIFS($D$5:$D$1204,D491,$B$5:$B$1204,B491,$H$5:$H$1204,"Retail")&gt;0,"Yes","No"))))</f>
        <v>0</v>
      </c>
      <c r="AK491" s="25">
        <f>IF(B491="","",COUNTIFS($Y$5:$Y$1204,"&gt;"&amp;Y491)+COUNTIFS($Y$5:Y491,Y491))</f>
        <v>0</v>
      </c>
      <c r="AL491" s="39">
        <f>IF(B491="","",IF(H491="","Add - what kind of sale is this?",IF(IF(V491&lt;=0,P491="",FALSE),"Check - no price found for this item",IF(F491="","Assign - nobody credited",IF(AH491&gt;0.004,"Unpaid - balance outstanding",IF(AC491&lt;0,"Loss - sold below cost",IF(X491&gt;W491*0.5,"Check - more than half off","OK")))))))</f>
        <v>0</v>
      </c>
    </row>
    <row r="492" spans="1:38">
      <c r="A492" s="28">
        <f>IF(B492="","",SalePrefix&amp;TEXT(ROW()-4,"0000"))</f>
        <v>0</v>
      </c>
      <c r="E492" s="15">
        <f>IF(D492="","",IFERROR(INDEX(Clients!$B$5:$B$504,MATCH(D492,Clients!$A$5:$A$504,0)),"Walk-in"))</f>
        <v>0</v>
      </c>
      <c r="G492" s="15">
        <f>IF(F492="","",IFERROR(INDEX(Staff!$B$5:$B$44,MATCH(F492,Staff!$A$5:$A$44,0)),"House"))</f>
        <v>0</v>
      </c>
      <c r="R492" s="15">
        <f>IF(B492="","",TEXT(B492,"yyyy-mm"))</f>
        <v>0</v>
      </c>
      <c r="S492" s="25">
        <f>IF(B492="","",WEEKNUM(B492,2))</f>
        <v>0</v>
      </c>
      <c r="T492" s="37">
        <f>IF(B492="","",IF(K492="",1,K492))</f>
        <v>0</v>
      </c>
      <c r="U492" s="15">
        <f>IF(B492="","",IF(J492&lt;&gt;"",J492,IF(H492="Retail",IFERROR(INDEX(Inventory!$B$5:$B$304,MATCH(I492,Inventory!$A$5:$A$304,0))&amp;"","Not in Inventory"),IFERROR(INDEX(Services!$B$5:$B$204,MATCH(I492,Services!$A$5:$A$204,0))&amp;"","Not in Services"))))</f>
        <v>0</v>
      </c>
      <c r="V492" s="26">
        <f>IF(B492="","",IF(L492&lt;&gt;"",L492,IF(H492="Retail",IFERROR(INDEX(Inventory!$I$5:$I$304,MATCH(I492,Inventory!$A$5:$A$304,0))*1,0),IFERROR(INDEX(Services!$G$5:$G$204,MATCH(I492,Services!$A$5:$A$204,0))*1,0))))</f>
        <v>0</v>
      </c>
      <c r="W492" s="26">
        <f>IF(B492="","",ROUND(T492*V492,2))</f>
        <v>0</v>
      </c>
      <c r="X492" s="26">
        <f>IF(B492="","",ROUND(IF(M492="",0,W492*M492)+IF(N492="",0,N492),2))</f>
        <v>0</v>
      </c>
      <c r="Y492" s="26">
        <f>IF(B492="","",ROUND(W492-X492-IF(P492="",0,P492),2))</f>
        <v>0</v>
      </c>
      <c r="Z492" s="26">
        <f>IF(B492="","",IF(H492="Retail",IF(TaxOnRetail="Yes",ROUND(Y492*TaxRate,2),0),IF(H492="Service",IF(TaxOnServices="Yes",ROUND(Y492*TaxRate,2),0),0)))</f>
        <v>0</v>
      </c>
      <c r="AA492" s="26">
        <f>IF(B492="","",ROUND(Y492+Z492,2))</f>
        <v>0</v>
      </c>
      <c r="AB492" s="26">
        <f>IF(B492="","",ROUND(T492*IF(H492="Retail",IFERROR(INDEX(Inventory!$H$5:$H$304,MATCH(I492,Inventory!$A$5:$A$304,0))*1,0),IFERROR(INDEX(Services!$Q$5:$Q$204,MATCH(I492,Services!$A$5:$A$204,0))*1,0)),2))</f>
        <v>0</v>
      </c>
      <c r="AC492" s="26">
        <f>IF(B492="","",ROUND(Y492-AB492,2))</f>
        <v>0</v>
      </c>
      <c r="AD492" s="38">
        <f>IF(B492="","",IF(C492="","No",IF(COUNTIFS($C$5:C492,C492)=1,"Yes","No")))</f>
        <v>0</v>
      </c>
      <c r="AE492" s="26">
        <f>IF(B492="","",ROUND(SUMIFS(Payments!$G$5:$G$1204,Payments!$H$5:$H$1204,A492,Payments!$Q$5:$Q$1204,"Yes"),2))</f>
        <v>0</v>
      </c>
      <c r="AF492" s="26">
        <f>IF(B492="","",IF(AD492="No",0,ROUND(SUMIFS(Payments!$G$5:$G$1204,Payments!$I$5:$I$1204,C492,Payments!$H$5:$H$1204,"",Payments!$Q$5:$Q$1204,"Yes"),2)))</f>
        <v>0</v>
      </c>
      <c r="AG492" s="26">
        <f>IF(B492="","",ROUND(AE492+AF492,2))</f>
        <v>0</v>
      </c>
      <c r="AH492" s="26">
        <f>IF(B492="","",ROUND(AA492-AG492,2))</f>
        <v>0</v>
      </c>
      <c r="AI492" s="39">
        <f>IF(B492="","",IF(AA492&lt;=0,"No charge",IF(AH492&lt;=0.004,"Paid",IF(AG492&lt;=0.004,"Unpaid","Part paid"))))</f>
        <v>0</v>
      </c>
      <c r="AJ492" s="38">
        <f>IF(B492="","",IF(H492&lt;&gt;"Service","",IF(D492="","No",IF(COUNTIFS($D$5:$D$1204,D492,$B$5:$B$1204,B492,$H$5:$H$1204,"Retail")&gt;0,"Yes","No"))))</f>
        <v>0</v>
      </c>
      <c r="AK492" s="25">
        <f>IF(B492="","",COUNTIFS($Y$5:$Y$1204,"&gt;"&amp;Y492)+COUNTIFS($Y$5:Y492,Y492))</f>
        <v>0</v>
      </c>
      <c r="AL492" s="39">
        <f>IF(B492="","",IF(H492="","Add - what kind of sale is this?",IF(IF(V492&lt;=0,P492="",FALSE),"Check - no price found for this item",IF(F492="","Assign - nobody credited",IF(AH492&gt;0.004,"Unpaid - balance outstanding",IF(AC492&lt;0,"Loss - sold below cost",IF(X492&gt;W492*0.5,"Check - more than half off","OK")))))))</f>
        <v>0</v>
      </c>
    </row>
    <row r="493" spans="1:38">
      <c r="A493" s="28">
        <f>IF(B493="","",SalePrefix&amp;TEXT(ROW()-4,"0000"))</f>
        <v>0</v>
      </c>
      <c r="E493" s="15">
        <f>IF(D493="","",IFERROR(INDEX(Clients!$B$5:$B$504,MATCH(D493,Clients!$A$5:$A$504,0)),"Walk-in"))</f>
        <v>0</v>
      </c>
      <c r="G493" s="15">
        <f>IF(F493="","",IFERROR(INDEX(Staff!$B$5:$B$44,MATCH(F493,Staff!$A$5:$A$44,0)),"House"))</f>
        <v>0</v>
      </c>
      <c r="R493" s="15">
        <f>IF(B493="","",TEXT(B493,"yyyy-mm"))</f>
        <v>0</v>
      </c>
      <c r="S493" s="25">
        <f>IF(B493="","",WEEKNUM(B493,2))</f>
        <v>0</v>
      </c>
      <c r="T493" s="37">
        <f>IF(B493="","",IF(K493="",1,K493))</f>
        <v>0</v>
      </c>
      <c r="U493" s="15">
        <f>IF(B493="","",IF(J493&lt;&gt;"",J493,IF(H493="Retail",IFERROR(INDEX(Inventory!$B$5:$B$304,MATCH(I493,Inventory!$A$5:$A$304,0))&amp;"","Not in Inventory"),IFERROR(INDEX(Services!$B$5:$B$204,MATCH(I493,Services!$A$5:$A$204,0))&amp;"","Not in Services"))))</f>
        <v>0</v>
      </c>
      <c r="V493" s="26">
        <f>IF(B493="","",IF(L493&lt;&gt;"",L493,IF(H493="Retail",IFERROR(INDEX(Inventory!$I$5:$I$304,MATCH(I493,Inventory!$A$5:$A$304,0))*1,0),IFERROR(INDEX(Services!$G$5:$G$204,MATCH(I493,Services!$A$5:$A$204,0))*1,0))))</f>
        <v>0</v>
      </c>
      <c r="W493" s="26">
        <f>IF(B493="","",ROUND(T493*V493,2))</f>
        <v>0</v>
      </c>
      <c r="X493" s="26">
        <f>IF(B493="","",ROUND(IF(M493="",0,W493*M493)+IF(N493="",0,N493),2))</f>
        <v>0</v>
      </c>
      <c r="Y493" s="26">
        <f>IF(B493="","",ROUND(W493-X493-IF(P493="",0,P493),2))</f>
        <v>0</v>
      </c>
      <c r="Z493" s="26">
        <f>IF(B493="","",IF(H493="Retail",IF(TaxOnRetail="Yes",ROUND(Y493*TaxRate,2),0),IF(H493="Service",IF(TaxOnServices="Yes",ROUND(Y493*TaxRate,2),0),0)))</f>
        <v>0</v>
      </c>
      <c r="AA493" s="26">
        <f>IF(B493="","",ROUND(Y493+Z493,2))</f>
        <v>0</v>
      </c>
      <c r="AB493" s="26">
        <f>IF(B493="","",ROUND(T493*IF(H493="Retail",IFERROR(INDEX(Inventory!$H$5:$H$304,MATCH(I493,Inventory!$A$5:$A$304,0))*1,0),IFERROR(INDEX(Services!$Q$5:$Q$204,MATCH(I493,Services!$A$5:$A$204,0))*1,0)),2))</f>
        <v>0</v>
      </c>
      <c r="AC493" s="26">
        <f>IF(B493="","",ROUND(Y493-AB493,2))</f>
        <v>0</v>
      </c>
      <c r="AD493" s="38">
        <f>IF(B493="","",IF(C493="","No",IF(COUNTIFS($C$5:C493,C493)=1,"Yes","No")))</f>
        <v>0</v>
      </c>
      <c r="AE493" s="26">
        <f>IF(B493="","",ROUND(SUMIFS(Payments!$G$5:$G$1204,Payments!$H$5:$H$1204,A493,Payments!$Q$5:$Q$1204,"Yes"),2))</f>
        <v>0</v>
      </c>
      <c r="AF493" s="26">
        <f>IF(B493="","",IF(AD493="No",0,ROUND(SUMIFS(Payments!$G$5:$G$1204,Payments!$I$5:$I$1204,C493,Payments!$H$5:$H$1204,"",Payments!$Q$5:$Q$1204,"Yes"),2)))</f>
        <v>0</v>
      </c>
      <c r="AG493" s="26">
        <f>IF(B493="","",ROUND(AE493+AF493,2))</f>
        <v>0</v>
      </c>
      <c r="AH493" s="26">
        <f>IF(B493="","",ROUND(AA493-AG493,2))</f>
        <v>0</v>
      </c>
      <c r="AI493" s="39">
        <f>IF(B493="","",IF(AA493&lt;=0,"No charge",IF(AH493&lt;=0.004,"Paid",IF(AG493&lt;=0.004,"Unpaid","Part paid"))))</f>
        <v>0</v>
      </c>
      <c r="AJ493" s="38">
        <f>IF(B493="","",IF(H493&lt;&gt;"Service","",IF(D493="","No",IF(COUNTIFS($D$5:$D$1204,D493,$B$5:$B$1204,B493,$H$5:$H$1204,"Retail")&gt;0,"Yes","No"))))</f>
        <v>0</v>
      </c>
      <c r="AK493" s="25">
        <f>IF(B493="","",COUNTIFS($Y$5:$Y$1204,"&gt;"&amp;Y493)+COUNTIFS($Y$5:Y493,Y493))</f>
        <v>0</v>
      </c>
      <c r="AL493" s="39">
        <f>IF(B493="","",IF(H493="","Add - what kind of sale is this?",IF(IF(V493&lt;=0,P493="",FALSE),"Check - no price found for this item",IF(F493="","Assign - nobody credited",IF(AH493&gt;0.004,"Unpaid - balance outstanding",IF(AC493&lt;0,"Loss - sold below cost",IF(X493&gt;W493*0.5,"Check - more than half off","OK")))))))</f>
        <v>0</v>
      </c>
    </row>
    <row r="494" spans="1:38">
      <c r="A494" s="28">
        <f>IF(B494="","",SalePrefix&amp;TEXT(ROW()-4,"0000"))</f>
        <v>0</v>
      </c>
      <c r="E494" s="15">
        <f>IF(D494="","",IFERROR(INDEX(Clients!$B$5:$B$504,MATCH(D494,Clients!$A$5:$A$504,0)),"Walk-in"))</f>
        <v>0</v>
      </c>
      <c r="G494" s="15">
        <f>IF(F494="","",IFERROR(INDEX(Staff!$B$5:$B$44,MATCH(F494,Staff!$A$5:$A$44,0)),"House"))</f>
        <v>0</v>
      </c>
      <c r="R494" s="15">
        <f>IF(B494="","",TEXT(B494,"yyyy-mm"))</f>
        <v>0</v>
      </c>
      <c r="S494" s="25">
        <f>IF(B494="","",WEEKNUM(B494,2))</f>
        <v>0</v>
      </c>
      <c r="T494" s="37">
        <f>IF(B494="","",IF(K494="",1,K494))</f>
        <v>0</v>
      </c>
      <c r="U494" s="15">
        <f>IF(B494="","",IF(J494&lt;&gt;"",J494,IF(H494="Retail",IFERROR(INDEX(Inventory!$B$5:$B$304,MATCH(I494,Inventory!$A$5:$A$304,0))&amp;"","Not in Inventory"),IFERROR(INDEX(Services!$B$5:$B$204,MATCH(I494,Services!$A$5:$A$204,0))&amp;"","Not in Services"))))</f>
        <v>0</v>
      </c>
      <c r="V494" s="26">
        <f>IF(B494="","",IF(L494&lt;&gt;"",L494,IF(H494="Retail",IFERROR(INDEX(Inventory!$I$5:$I$304,MATCH(I494,Inventory!$A$5:$A$304,0))*1,0),IFERROR(INDEX(Services!$G$5:$G$204,MATCH(I494,Services!$A$5:$A$204,0))*1,0))))</f>
        <v>0</v>
      </c>
      <c r="W494" s="26">
        <f>IF(B494="","",ROUND(T494*V494,2))</f>
        <v>0</v>
      </c>
      <c r="X494" s="26">
        <f>IF(B494="","",ROUND(IF(M494="",0,W494*M494)+IF(N494="",0,N494),2))</f>
        <v>0</v>
      </c>
      <c r="Y494" s="26">
        <f>IF(B494="","",ROUND(W494-X494-IF(P494="",0,P494),2))</f>
        <v>0</v>
      </c>
      <c r="Z494" s="26">
        <f>IF(B494="","",IF(H494="Retail",IF(TaxOnRetail="Yes",ROUND(Y494*TaxRate,2),0),IF(H494="Service",IF(TaxOnServices="Yes",ROUND(Y494*TaxRate,2),0),0)))</f>
        <v>0</v>
      </c>
      <c r="AA494" s="26">
        <f>IF(B494="","",ROUND(Y494+Z494,2))</f>
        <v>0</v>
      </c>
      <c r="AB494" s="26">
        <f>IF(B494="","",ROUND(T494*IF(H494="Retail",IFERROR(INDEX(Inventory!$H$5:$H$304,MATCH(I494,Inventory!$A$5:$A$304,0))*1,0),IFERROR(INDEX(Services!$Q$5:$Q$204,MATCH(I494,Services!$A$5:$A$204,0))*1,0)),2))</f>
        <v>0</v>
      </c>
      <c r="AC494" s="26">
        <f>IF(B494="","",ROUND(Y494-AB494,2))</f>
        <v>0</v>
      </c>
      <c r="AD494" s="38">
        <f>IF(B494="","",IF(C494="","No",IF(COUNTIFS($C$5:C494,C494)=1,"Yes","No")))</f>
        <v>0</v>
      </c>
      <c r="AE494" s="26">
        <f>IF(B494="","",ROUND(SUMIFS(Payments!$G$5:$G$1204,Payments!$H$5:$H$1204,A494,Payments!$Q$5:$Q$1204,"Yes"),2))</f>
        <v>0</v>
      </c>
      <c r="AF494" s="26">
        <f>IF(B494="","",IF(AD494="No",0,ROUND(SUMIFS(Payments!$G$5:$G$1204,Payments!$I$5:$I$1204,C494,Payments!$H$5:$H$1204,"",Payments!$Q$5:$Q$1204,"Yes"),2)))</f>
        <v>0</v>
      </c>
      <c r="AG494" s="26">
        <f>IF(B494="","",ROUND(AE494+AF494,2))</f>
        <v>0</v>
      </c>
      <c r="AH494" s="26">
        <f>IF(B494="","",ROUND(AA494-AG494,2))</f>
        <v>0</v>
      </c>
      <c r="AI494" s="39">
        <f>IF(B494="","",IF(AA494&lt;=0,"No charge",IF(AH494&lt;=0.004,"Paid",IF(AG494&lt;=0.004,"Unpaid","Part paid"))))</f>
        <v>0</v>
      </c>
      <c r="AJ494" s="38">
        <f>IF(B494="","",IF(H494&lt;&gt;"Service","",IF(D494="","No",IF(COUNTIFS($D$5:$D$1204,D494,$B$5:$B$1204,B494,$H$5:$H$1204,"Retail")&gt;0,"Yes","No"))))</f>
        <v>0</v>
      </c>
      <c r="AK494" s="25">
        <f>IF(B494="","",COUNTIFS($Y$5:$Y$1204,"&gt;"&amp;Y494)+COUNTIFS($Y$5:Y494,Y494))</f>
        <v>0</v>
      </c>
      <c r="AL494" s="39">
        <f>IF(B494="","",IF(H494="","Add - what kind of sale is this?",IF(IF(V494&lt;=0,P494="",FALSE),"Check - no price found for this item",IF(F494="","Assign - nobody credited",IF(AH494&gt;0.004,"Unpaid - balance outstanding",IF(AC494&lt;0,"Loss - sold below cost",IF(X494&gt;W494*0.5,"Check - more than half off","OK")))))))</f>
        <v>0</v>
      </c>
    </row>
    <row r="495" spans="1:38">
      <c r="A495" s="28">
        <f>IF(B495="","",SalePrefix&amp;TEXT(ROW()-4,"0000"))</f>
        <v>0</v>
      </c>
      <c r="E495" s="15">
        <f>IF(D495="","",IFERROR(INDEX(Clients!$B$5:$B$504,MATCH(D495,Clients!$A$5:$A$504,0)),"Walk-in"))</f>
        <v>0</v>
      </c>
      <c r="G495" s="15">
        <f>IF(F495="","",IFERROR(INDEX(Staff!$B$5:$B$44,MATCH(F495,Staff!$A$5:$A$44,0)),"House"))</f>
        <v>0</v>
      </c>
      <c r="R495" s="15">
        <f>IF(B495="","",TEXT(B495,"yyyy-mm"))</f>
        <v>0</v>
      </c>
      <c r="S495" s="25">
        <f>IF(B495="","",WEEKNUM(B495,2))</f>
        <v>0</v>
      </c>
      <c r="T495" s="37">
        <f>IF(B495="","",IF(K495="",1,K495))</f>
        <v>0</v>
      </c>
      <c r="U495" s="15">
        <f>IF(B495="","",IF(J495&lt;&gt;"",J495,IF(H495="Retail",IFERROR(INDEX(Inventory!$B$5:$B$304,MATCH(I495,Inventory!$A$5:$A$304,0))&amp;"","Not in Inventory"),IFERROR(INDEX(Services!$B$5:$B$204,MATCH(I495,Services!$A$5:$A$204,0))&amp;"","Not in Services"))))</f>
        <v>0</v>
      </c>
      <c r="V495" s="26">
        <f>IF(B495="","",IF(L495&lt;&gt;"",L495,IF(H495="Retail",IFERROR(INDEX(Inventory!$I$5:$I$304,MATCH(I495,Inventory!$A$5:$A$304,0))*1,0),IFERROR(INDEX(Services!$G$5:$G$204,MATCH(I495,Services!$A$5:$A$204,0))*1,0))))</f>
        <v>0</v>
      </c>
      <c r="W495" s="26">
        <f>IF(B495="","",ROUND(T495*V495,2))</f>
        <v>0</v>
      </c>
      <c r="X495" s="26">
        <f>IF(B495="","",ROUND(IF(M495="",0,W495*M495)+IF(N495="",0,N495),2))</f>
        <v>0</v>
      </c>
      <c r="Y495" s="26">
        <f>IF(B495="","",ROUND(W495-X495-IF(P495="",0,P495),2))</f>
        <v>0</v>
      </c>
      <c r="Z495" s="26">
        <f>IF(B495="","",IF(H495="Retail",IF(TaxOnRetail="Yes",ROUND(Y495*TaxRate,2),0),IF(H495="Service",IF(TaxOnServices="Yes",ROUND(Y495*TaxRate,2),0),0)))</f>
        <v>0</v>
      </c>
      <c r="AA495" s="26">
        <f>IF(B495="","",ROUND(Y495+Z495,2))</f>
        <v>0</v>
      </c>
      <c r="AB495" s="26">
        <f>IF(B495="","",ROUND(T495*IF(H495="Retail",IFERROR(INDEX(Inventory!$H$5:$H$304,MATCH(I495,Inventory!$A$5:$A$304,0))*1,0),IFERROR(INDEX(Services!$Q$5:$Q$204,MATCH(I495,Services!$A$5:$A$204,0))*1,0)),2))</f>
        <v>0</v>
      </c>
      <c r="AC495" s="26">
        <f>IF(B495="","",ROUND(Y495-AB495,2))</f>
        <v>0</v>
      </c>
      <c r="AD495" s="38">
        <f>IF(B495="","",IF(C495="","No",IF(COUNTIFS($C$5:C495,C495)=1,"Yes","No")))</f>
        <v>0</v>
      </c>
      <c r="AE495" s="26">
        <f>IF(B495="","",ROUND(SUMIFS(Payments!$G$5:$G$1204,Payments!$H$5:$H$1204,A495,Payments!$Q$5:$Q$1204,"Yes"),2))</f>
        <v>0</v>
      </c>
      <c r="AF495" s="26">
        <f>IF(B495="","",IF(AD495="No",0,ROUND(SUMIFS(Payments!$G$5:$G$1204,Payments!$I$5:$I$1204,C495,Payments!$H$5:$H$1204,"",Payments!$Q$5:$Q$1204,"Yes"),2)))</f>
        <v>0</v>
      </c>
      <c r="AG495" s="26">
        <f>IF(B495="","",ROUND(AE495+AF495,2))</f>
        <v>0</v>
      </c>
      <c r="AH495" s="26">
        <f>IF(B495="","",ROUND(AA495-AG495,2))</f>
        <v>0</v>
      </c>
      <c r="AI495" s="39">
        <f>IF(B495="","",IF(AA495&lt;=0,"No charge",IF(AH495&lt;=0.004,"Paid",IF(AG495&lt;=0.004,"Unpaid","Part paid"))))</f>
        <v>0</v>
      </c>
      <c r="AJ495" s="38">
        <f>IF(B495="","",IF(H495&lt;&gt;"Service","",IF(D495="","No",IF(COUNTIFS($D$5:$D$1204,D495,$B$5:$B$1204,B495,$H$5:$H$1204,"Retail")&gt;0,"Yes","No"))))</f>
        <v>0</v>
      </c>
      <c r="AK495" s="25">
        <f>IF(B495="","",COUNTIFS($Y$5:$Y$1204,"&gt;"&amp;Y495)+COUNTIFS($Y$5:Y495,Y495))</f>
        <v>0</v>
      </c>
      <c r="AL495" s="39">
        <f>IF(B495="","",IF(H495="","Add - what kind of sale is this?",IF(IF(V495&lt;=0,P495="",FALSE),"Check - no price found for this item",IF(F495="","Assign - nobody credited",IF(AH495&gt;0.004,"Unpaid - balance outstanding",IF(AC495&lt;0,"Loss - sold below cost",IF(X495&gt;W495*0.5,"Check - more than half off","OK")))))))</f>
        <v>0</v>
      </c>
    </row>
    <row r="496" spans="1:38">
      <c r="A496" s="28">
        <f>IF(B496="","",SalePrefix&amp;TEXT(ROW()-4,"0000"))</f>
        <v>0</v>
      </c>
      <c r="E496" s="15">
        <f>IF(D496="","",IFERROR(INDEX(Clients!$B$5:$B$504,MATCH(D496,Clients!$A$5:$A$504,0)),"Walk-in"))</f>
        <v>0</v>
      </c>
      <c r="G496" s="15">
        <f>IF(F496="","",IFERROR(INDEX(Staff!$B$5:$B$44,MATCH(F496,Staff!$A$5:$A$44,0)),"House"))</f>
        <v>0</v>
      </c>
      <c r="R496" s="15">
        <f>IF(B496="","",TEXT(B496,"yyyy-mm"))</f>
        <v>0</v>
      </c>
      <c r="S496" s="25">
        <f>IF(B496="","",WEEKNUM(B496,2))</f>
        <v>0</v>
      </c>
      <c r="T496" s="37">
        <f>IF(B496="","",IF(K496="",1,K496))</f>
        <v>0</v>
      </c>
      <c r="U496" s="15">
        <f>IF(B496="","",IF(J496&lt;&gt;"",J496,IF(H496="Retail",IFERROR(INDEX(Inventory!$B$5:$B$304,MATCH(I496,Inventory!$A$5:$A$304,0))&amp;"","Not in Inventory"),IFERROR(INDEX(Services!$B$5:$B$204,MATCH(I496,Services!$A$5:$A$204,0))&amp;"","Not in Services"))))</f>
        <v>0</v>
      </c>
      <c r="V496" s="26">
        <f>IF(B496="","",IF(L496&lt;&gt;"",L496,IF(H496="Retail",IFERROR(INDEX(Inventory!$I$5:$I$304,MATCH(I496,Inventory!$A$5:$A$304,0))*1,0),IFERROR(INDEX(Services!$G$5:$G$204,MATCH(I496,Services!$A$5:$A$204,0))*1,0))))</f>
        <v>0</v>
      </c>
      <c r="W496" s="26">
        <f>IF(B496="","",ROUND(T496*V496,2))</f>
        <v>0</v>
      </c>
      <c r="X496" s="26">
        <f>IF(B496="","",ROUND(IF(M496="",0,W496*M496)+IF(N496="",0,N496),2))</f>
        <v>0</v>
      </c>
      <c r="Y496" s="26">
        <f>IF(B496="","",ROUND(W496-X496-IF(P496="",0,P496),2))</f>
        <v>0</v>
      </c>
      <c r="Z496" s="26">
        <f>IF(B496="","",IF(H496="Retail",IF(TaxOnRetail="Yes",ROUND(Y496*TaxRate,2),0),IF(H496="Service",IF(TaxOnServices="Yes",ROUND(Y496*TaxRate,2),0),0)))</f>
        <v>0</v>
      </c>
      <c r="AA496" s="26">
        <f>IF(B496="","",ROUND(Y496+Z496,2))</f>
        <v>0</v>
      </c>
      <c r="AB496" s="26">
        <f>IF(B496="","",ROUND(T496*IF(H496="Retail",IFERROR(INDEX(Inventory!$H$5:$H$304,MATCH(I496,Inventory!$A$5:$A$304,0))*1,0),IFERROR(INDEX(Services!$Q$5:$Q$204,MATCH(I496,Services!$A$5:$A$204,0))*1,0)),2))</f>
        <v>0</v>
      </c>
      <c r="AC496" s="26">
        <f>IF(B496="","",ROUND(Y496-AB496,2))</f>
        <v>0</v>
      </c>
      <c r="AD496" s="38">
        <f>IF(B496="","",IF(C496="","No",IF(COUNTIFS($C$5:C496,C496)=1,"Yes","No")))</f>
        <v>0</v>
      </c>
      <c r="AE496" s="26">
        <f>IF(B496="","",ROUND(SUMIFS(Payments!$G$5:$G$1204,Payments!$H$5:$H$1204,A496,Payments!$Q$5:$Q$1204,"Yes"),2))</f>
        <v>0</v>
      </c>
      <c r="AF496" s="26">
        <f>IF(B496="","",IF(AD496="No",0,ROUND(SUMIFS(Payments!$G$5:$G$1204,Payments!$I$5:$I$1204,C496,Payments!$H$5:$H$1204,"",Payments!$Q$5:$Q$1204,"Yes"),2)))</f>
        <v>0</v>
      </c>
      <c r="AG496" s="26">
        <f>IF(B496="","",ROUND(AE496+AF496,2))</f>
        <v>0</v>
      </c>
      <c r="AH496" s="26">
        <f>IF(B496="","",ROUND(AA496-AG496,2))</f>
        <v>0</v>
      </c>
      <c r="AI496" s="39">
        <f>IF(B496="","",IF(AA496&lt;=0,"No charge",IF(AH496&lt;=0.004,"Paid",IF(AG496&lt;=0.004,"Unpaid","Part paid"))))</f>
        <v>0</v>
      </c>
      <c r="AJ496" s="38">
        <f>IF(B496="","",IF(H496&lt;&gt;"Service","",IF(D496="","No",IF(COUNTIFS($D$5:$D$1204,D496,$B$5:$B$1204,B496,$H$5:$H$1204,"Retail")&gt;0,"Yes","No"))))</f>
        <v>0</v>
      </c>
      <c r="AK496" s="25">
        <f>IF(B496="","",COUNTIFS($Y$5:$Y$1204,"&gt;"&amp;Y496)+COUNTIFS($Y$5:Y496,Y496))</f>
        <v>0</v>
      </c>
      <c r="AL496" s="39">
        <f>IF(B496="","",IF(H496="","Add - what kind of sale is this?",IF(IF(V496&lt;=0,P496="",FALSE),"Check - no price found for this item",IF(F496="","Assign - nobody credited",IF(AH496&gt;0.004,"Unpaid - balance outstanding",IF(AC496&lt;0,"Loss - sold below cost",IF(X496&gt;W496*0.5,"Check - more than half off","OK")))))))</f>
        <v>0</v>
      </c>
    </row>
    <row r="497" spans="1:38">
      <c r="A497" s="28">
        <f>IF(B497="","",SalePrefix&amp;TEXT(ROW()-4,"0000"))</f>
        <v>0</v>
      </c>
      <c r="E497" s="15">
        <f>IF(D497="","",IFERROR(INDEX(Clients!$B$5:$B$504,MATCH(D497,Clients!$A$5:$A$504,0)),"Walk-in"))</f>
        <v>0</v>
      </c>
      <c r="G497" s="15">
        <f>IF(F497="","",IFERROR(INDEX(Staff!$B$5:$B$44,MATCH(F497,Staff!$A$5:$A$44,0)),"House"))</f>
        <v>0</v>
      </c>
      <c r="R497" s="15">
        <f>IF(B497="","",TEXT(B497,"yyyy-mm"))</f>
        <v>0</v>
      </c>
      <c r="S497" s="25">
        <f>IF(B497="","",WEEKNUM(B497,2))</f>
        <v>0</v>
      </c>
      <c r="T497" s="37">
        <f>IF(B497="","",IF(K497="",1,K497))</f>
        <v>0</v>
      </c>
      <c r="U497" s="15">
        <f>IF(B497="","",IF(J497&lt;&gt;"",J497,IF(H497="Retail",IFERROR(INDEX(Inventory!$B$5:$B$304,MATCH(I497,Inventory!$A$5:$A$304,0))&amp;"","Not in Inventory"),IFERROR(INDEX(Services!$B$5:$B$204,MATCH(I497,Services!$A$5:$A$204,0))&amp;"","Not in Services"))))</f>
        <v>0</v>
      </c>
      <c r="V497" s="26">
        <f>IF(B497="","",IF(L497&lt;&gt;"",L497,IF(H497="Retail",IFERROR(INDEX(Inventory!$I$5:$I$304,MATCH(I497,Inventory!$A$5:$A$304,0))*1,0),IFERROR(INDEX(Services!$G$5:$G$204,MATCH(I497,Services!$A$5:$A$204,0))*1,0))))</f>
        <v>0</v>
      </c>
      <c r="W497" s="26">
        <f>IF(B497="","",ROUND(T497*V497,2))</f>
        <v>0</v>
      </c>
      <c r="X497" s="26">
        <f>IF(B497="","",ROUND(IF(M497="",0,W497*M497)+IF(N497="",0,N497),2))</f>
        <v>0</v>
      </c>
      <c r="Y497" s="26">
        <f>IF(B497="","",ROUND(W497-X497-IF(P497="",0,P497),2))</f>
        <v>0</v>
      </c>
      <c r="Z497" s="26">
        <f>IF(B497="","",IF(H497="Retail",IF(TaxOnRetail="Yes",ROUND(Y497*TaxRate,2),0),IF(H497="Service",IF(TaxOnServices="Yes",ROUND(Y497*TaxRate,2),0),0)))</f>
        <v>0</v>
      </c>
      <c r="AA497" s="26">
        <f>IF(B497="","",ROUND(Y497+Z497,2))</f>
        <v>0</v>
      </c>
      <c r="AB497" s="26">
        <f>IF(B497="","",ROUND(T497*IF(H497="Retail",IFERROR(INDEX(Inventory!$H$5:$H$304,MATCH(I497,Inventory!$A$5:$A$304,0))*1,0),IFERROR(INDEX(Services!$Q$5:$Q$204,MATCH(I497,Services!$A$5:$A$204,0))*1,0)),2))</f>
        <v>0</v>
      </c>
      <c r="AC497" s="26">
        <f>IF(B497="","",ROUND(Y497-AB497,2))</f>
        <v>0</v>
      </c>
      <c r="AD497" s="38">
        <f>IF(B497="","",IF(C497="","No",IF(COUNTIFS($C$5:C497,C497)=1,"Yes","No")))</f>
        <v>0</v>
      </c>
      <c r="AE497" s="26">
        <f>IF(B497="","",ROUND(SUMIFS(Payments!$G$5:$G$1204,Payments!$H$5:$H$1204,A497,Payments!$Q$5:$Q$1204,"Yes"),2))</f>
        <v>0</v>
      </c>
      <c r="AF497" s="26">
        <f>IF(B497="","",IF(AD497="No",0,ROUND(SUMIFS(Payments!$G$5:$G$1204,Payments!$I$5:$I$1204,C497,Payments!$H$5:$H$1204,"",Payments!$Q$5:$Q$1204,"Yes"),2)))</f>
        <v>0</v>
      </c>
      <c r="AG497" s="26">
        <f>IF(B497="","",ROUND(AE497+AF497,2))</f>
        <v>0</v>
      </c>
      <c r="AH497" s="26">
        <f>IF(B497="","",ROUND(AA497-AG497,2))</f>
        <v>0</v>
      </c>
      <c r="AI497" s="39">
        <f>IF(B497="","",IF(AA497&lt;=0,"No charge",IF(AH497&lt;=0.004,"Paid",IF(AG497&lt;=0.004,"Unpaid","Part paid"))))</f>
        <v>0</v>
      </c>
      <c r="AJ497" s="38">
        <f>IF(B497="","",IF(H497&lt;&gt;"Service","",IF(D497="","No",IF(COUNTIFS($D$5:$D$1204,D497,$B$5:$B$1204,B497,$H$5:$H$1204,"Retail")&gt;0,"Yes","No"))))</f>
        <v>0</v>
      </c>
      <c r="AK497" s="25">
        <f>IF(B497="","",COUNTIFS($Y$5:$Y$1204,"&gt;"&amp;Y497)+COUNTIFS($Y$5:Y497,Y497))</f>
        <v>0</v>
      </c>
      <c r="AL497" s="39">
        <f>IF(B497="","",IF(H497="","Add - what kind of sale is this?",IF(IF(V497&lt;=0,P497="",FALSE),"Check - no price found for this item",IF(F497="","Assign - nobody credited",IF(AH497&gt;0.004,"Unpaid - balance outstanding",IF(AC497&lt;0,"Loss - sold below cost",IF(X497&gt;W497*0.5,"Check - more than half off","OK")))))))</f>
        <v>0</v>
      </c>
    </row>
    <row r="498" spans="1:38">
      <c r="A498" s="28">
        <f>IF(B498="","",SalePrefix&amp;TEXT(ROW()-4,"0000"))</f>
        <v>0</v>
      </c>
      <c r="E498" s="15">
        <f>IF(D498="","",IFERROR(INDEX(Clients!$B$5:$B$504,MATCH(D498,Clients!$A$5:$A$504,0)),"Walk-in"))</f>
        <v>0</v>
      </c>
      <c r="G498" s="15">
        <f>IF(F498="","",IFERROR(INDEX(Staff!$B$5:$B$44,MATCH(F498,Staff!$A$5:$A$44,0)),"House"))</f>
        <v>0</v>
      </c>
      <c r="R498" s="15">
        <f>IF(B498="","",TEXT(B498,"yyyy-mm"))</f>
        <v>0</v>
      </c>
      <c r="S498" s="25">
        <f>IF(B498="","",WEEKNUM(B498,2))</f>
        <v>0</v>
      </c>
      <c r="T498" s="37">
        <f>IF(B498="","",IF(K498="",1,K498))</f>
        <v>0</v>
      </c>
      <c r="U498" s="15">
        <f>IF(B498="","",IF(J498&lt;&gt;"",J498,IF(H498="Retail",IFERROR(INDEX(Inventory!$B$5:$B$304,MATCH(I498,Inventory!$A$5:$A$304,0))&amp;"","Not in Inventory"),IFERROR(INDEX(Services!$B$5:$B$204,MATCH(I498,Services!$A$5:$A$204,0))&amp;"","Not in Services"))))</f>
        <v>0</v>
      </c>
      <c r="V498" s="26">
        <f>IF(B498="","",IF(L498&lt;&gt;"",L498,IF(H498="Retail",IFERROR(INDEX(Inventory!$I$5:$I$304,MATCH(I498,Inventory!$A$5:$A$304,0))*1,0),IFERROR(INDEX(Services!$G$5:$G$204,MATCH(I498,Services!$A$5:$A$204,0))*1,0))))</f>
        <v>0</v>
      </c>
      <c r="W498" s="26">
        <f>IF(B498="","",ROUND(T498*V498,2))</f>
        <v>0</v>
      </c>
      <c r="X498" s="26">
        <f>IF(B498="","",ROUND(IF(M498="",0,W498*M498)+IF(N498="",0,N498),2))</f>
        <v>0</v>
      </c>
      <c r="Y498" s="26">
        <f>IF(B498="","",ROUND(W498-X498-IF(P498="",0,P498),2))</f>
        <v>0</v>
      </c>
      <c r="Z498" s="26">
        <f>IF(B498="","",IF(H498="Retail",IF(TaxOnRetail="Yes",ROUND(Y498*TaxRate,2),0),IF(H498="Service",IF(TaxOnServices="Yes",ROUND(Y498*TaxRate,2),0),0)))</f>
        <v>0</v>
      </c>
      <c r="AA498" s="26">
        <f>IF(B498="","",ROUND(Y498+Z498,2))</f>
        <v>0</v>
      </c>
      <c r="AB498" s="26">
        <f>IF(B498="","",ROUND(T498*IF(H498="Retail",IFERROR(INDEX(Inventory!$H$5:$H$304,MATCH(I498,Inventory!$A$5:$A$304,0))*1,0),IFERROR(INDEX(Services!$Q$5:$Q$204,MATCH(I498,Services!$A$5:$A$204,0))*1,0)),2))</f>
        <v>0</v>
      </c>
      <c r="AC498" s="26">
        <f>IF(B498="","",ROUND(Y498-AB498,2))</f>
        <v>0</v>
      </c>
      <c r="AD498" s="38">
        <f>IF(B498="","",IF(C498="","No",IF(COUNTIFS($C$5:C498,C498)=1,"Yes","No")))</f>
        <v>0</v>
      </c>
      <c r="AE498" s="26">
        <f>IF(B498="","",ROUND(SUMIFS(Payments!$G$5:$G$1204,Payments!$H$5:$H$1204,A498,Payments!$Q$5:$Q$1204,"Yes"),2))</f>
        <v>0</v>
      </c>
      <c r="AF498" s="26">
        <f>IF(B498="","",IF(AD498="No",0,ROUND(SUMIFS(Payments!$G$5:$G$1204,Payments!$I$5:$I$1204,C498,Payments!$H$5:$H$1204,"",Payments!$Q$5:$Q$1204,"Yes"),2)))</f>
        <v>0</v>
      </c>
      <c r="AG498" s="26">
        <f>IF(B498="","",ROUND(AE498+AF498,2))</f>
        <v>0</v>
      </c>
      <c r="AH498" s="26">
        <f>IF(B498="","",ROUND(AA498-AG498,2))</f>
        <v>0</v>
      </c>
      <c r="AI498" s="39">
        <f>IF(B498="","",IF(AA498&lt;=0,"No charge",IF(AH498&lt;=0.004,"Paid",IF(AG498&lt;=0.004,"Unpaid","Part paid"))))</f>
        <v>0</v>
      </c>
      <c r="AJ498" s="38">
        <f>IF(B498="","",IF(H498&lt;&gt;"Service","",IF(D498="","No",IF(COUNTIFS($D$5:$D$1204,D498,$B$5:$B$1204,B498,$H$5:$H$1204,"Retail")&gt;0,"Yes","No"))))</f>
        <v>0</v>
      </c>
      <c r="AK498" s="25">
        <f>IF(B498="","",COUNTIFS($Y$5:$Y$1204,"&gt;"&amp;Y498)+COUNTIFS($Y$5:Y498,Y498))</f>
        <v>0</v>
      </c>
      <c r="AL498" s="39">
        <f>IF(B498="","",IF(H498="","Add - what kind of sale is this?",IF(IF(V498&lt;=0,P498="",FALSE),"Check - no price found for this item",IF(F498="","Assign - nobody credited",IF(AH498&gt;0.004,"Unpaid - balance outstanding",IF(AC498&lt;0,"Loss - sold below cost",IF(X498&gt;W498*0.5,"Check - more than half off","OK")))))))</f>
        <v>0</v>
      </c>
    </row>
    <row r="499" spans="1:38">
      <c r="A499" s="28">
        <f>IF(B499="","",SalePrefix&amp;TEXT(ROW()-4,"0000"))</f>
        <v>0</v>
      </c>
      <c r="E499" s="15">
        <f>IF(D499="","",IFERROR(INDEX(Clients!$B$5:$B$504,MATCH(D499,Clients!$A$5:$A$504,0)),"Walk-in"))</f>
        <v>0</v>
      </c>
      <c r="G499" s="15">
        <f>IF(F499="","",IFERROR(INDEX(Staff!$B$5:$B$44,MATCH(F499,Staff!$A$5:$A$44,0)),"House"))</f>
        <v>0</v>
      </c>
      <c r="R499" s="15">
        <f>IF(B499="","",TEXT(B499,"yyyy-mm"))</f>
        <v>0</v>
      </c>
      <c r="S499" s="25">
        <f>IF(B499="","",WEEKNUM(B499,2))</f>
        <v>0</v>
      </c>
      <c r="T499" s="37">
        <f>IF(B499="","",IF(K499="",1,K499))</f>
        <v>0</v>
      </c>
      <c r="U499" s="15">
        <f>IF(B499="","",IF(J499&lt;&gt;"",J499,IF(H499="Retail",IFERROR(INDEX(Inventory!$B$5:$B$304,MATCH(I499,Inventory!$A$5:$A$304,0))&amp;"","Not in Inventory"),IFERROR(INDEX(Services!$B$5:$B$204,MATCH(I499,Services!$A$5:$A$204,0))&amp;"","Not in Services"))))</f>
        <v>0</v>
      </c>
      <c r="V499" s="26">
        <f>IF(B499="","",IF(L499&lt;&gt;"",L499,IF(H499="Retail",IFERROR(INDEX(Inventory!$I$5:$I$304,MATCH(I499,Inventory!$A$5:$A$304,0))*1,0),IFERROR(INDEX(Services!$G$5:$G$204,MATCH(I499,Services!$A$5:$A$204,0))*1,0))))</f>
        <v>0</v>
      </c>
      <c r="W499" s="26">
        <f>IF(B499="","",ROUND(T499*V499,2))</f>
        <v>0</v>
      </c>
      <c r="X499" s="26">
        <f>IF(B499="","",ROUND(IF(M499="",0,W499*M499)+IF(N499="",0,N499),2))</f>
        <v>0</v>
      </c>
      <c r="Y499" s="26">
        <f>IF(B499="","",ROUND(W499-X499-IF(P499="",0,P499),2))</f>
        <v>0</v>
      </c>
      <c r="Z499" s="26">
        <f>IF(B499="","",IF(H499="Retail",IF(TaxOnRetail="Yes",ROUND(Y499*TaxRate,2),0),IF(H499="Service",IF(TaxOnServices="Yes",ROUND(Y499*TaxRate,2),0),0)))</f>
        <v>0</v>
      </c>
      <c r="AA499" s="26">
        <f>IF(B499="","",ROUND(Y499+Z499,2))</f>
        <v>0</v>
      </c>
      <c r="AB499" s="26">
        <f>IF(B499="","",ROUND(T499*IF(H499="Retail",IFERROR(INDEX(Inventory!$H$5:$H$304,MATCH(I499,Inventory!$A$5:$A$304,0))*1,0),IFERROR(INDEX(Services!$Q$5:$Q$204,MATCH(I499,Services!$A$5:$A$204,0))*1,0)),2))</f>
        <v>0</v>
      </c>
      <c r="AC499" s="26">
        <f>IF(B499="","",ROUND(Y499-AB499,2))</f>
        <v>0</v>
      </c>
      <c r="AD499" s="38">
        <f>IF(B499="","",IF(C499="","No",IF(COUNTIFS($C$5:C499,C499)=1,"Yes","No")))</f>
        <v>0</v>
      </c>
      <c r="AE499" s="26">
        <f>IF(B499="","",ROUND(SUMIFS(Payments!$G$5:$G$1204,Payments!$H$5:$H$1204,A499,Payments!$Q$5:$Q$1204,"Yes"),2))</f>
        <v>0</v>
      </c>
      <c r="AF499" s="26">
        <f>IF(B499="","",IF(AD499="No",0,ROUND(SUMIFS(Payments!$G$5:$G$1204,Payments!$I$5:$I$1204,C499,Payments!$H$5:$H$1204,"",Payments!$Q$5:$Q$1204,"Yes"),2)))</f>
        <v>0</v>
      </c>
      <c r="AG499" s="26">
        <f>IF(B499="","",ROUND(AE499+AF499,2))</f>
        <v>0</v>
      </c>
      <c r="AH499" s="26">
        <f>IF(B499="","",ROUND(AA499-AG499,2))</f>
        <v>0</v>
      </c>
      <c r="AI499" s="39">
        <f>IF(B499="","",IF(AA499&lt;=0,"No charge",IF(AH499&lt;=0.004,"Paid",IF(AG499&lt;=0.004,"Unpaid","Part paid"))))</f>
        <v>0</v>
      </c>
      <c r="AJ499" s="38">
        <f>IF(B499="","",IF(H499&lt;&gt;"Service","",IF(D499="","No",IF(COUNTIFS($D$5:$D$1204,D499,$B$5:$B$1204,B499,$H$5:$H$1204,"Retail")&gt;0,"Yes","No"))))</f>
        <v>0</v>
      </c>
      <c r="AK499" s="25">
        <f>IF(B499="","",COUNTIFS($Y$5:$Y$1204,"&gt;"&amp;Y499)+COUNTIFS($Y$5:Y499,Y499))</f>
        <v>0</v>
      </c>
      <c r="AL499" s="39">
        <f>IF(B499="","",IF(H499="","Add - what kind of sale is this?",IF(IF(V499&lt;=0,P499="",FALSE),"Check - no price found for this item",IF(F499="","Assign - nobody credited",IF(AH499&gt;0.004,"Unpaid - balance outstanding",IF(AC499&lt;0,"Loss - sold below cost",IF(X499&gt;W499*0.5,"Check - more than half off","OK")))))))</f>
        <v>0</v>
      </c>
    </row>
    <row r="500" spans="1:38">
      <c r="A500" s="28">
        <f>IF(B500="","",SalePrefix&amp;TEXT(ROW()-4,"0000"))</f>
        <v>0</v>
      </c>
      <c r="E500" s="15">
        <f>IF(D500="","",IFERROR(INDEX(Clients!$B$5:$B$504,MATCH(D500,Clients!$A$5:$A$504,0)),"Walk-in"))</f>
        <v>0</v>
      </c>
      <c r="G500" s="15">
        <f>IF(F500="","",IFERROR(INDEX(Staff!$B$5:$B$44,MATCH(F500,Staff!$A$5:$A$44,0)),"House"))</f>
        <v>0</v>
      </c>
      <c r="R500" s="15">
        <f>IF(B500="","",TEXT(B500,"yyyy-mm"))</f>
        <v>0</v>
      </c>
      <c r="S500" s="25">
        <f>IF(B500="","",WEEKNUM(B500,2))</f>
        <v>0</v>
      </c>
      <c r="T500" s="37">
        <f>IF(B500="","",IF(K500="",1,K500))</f>
        <v>0</v>
      </c>
      <c r="U500" s="15">
        <f>IF(B500="","",IF(J500&lt;&gt;"",J500,IF(H500="Retail",IFERROR(INDEX(Inventory!$B$5:$B$304,MATCH(I500,Inventory!$A$5:$A$304,0))&amp;"","Not in Inventory"),IFERROR(INDEX(Services!$B$5:$B$204,MATCH(I500,Services!$A$5:$A$204,0))&amp;"","Not in Services"))))</f>
        <v>0</v>
      </c>
      <c r="V500" s="26">
        <f>IF(B500="","",IF(L500&lt;&gt;"",L500,IF(H500="Retail",IFERROR(INDEX(Inventory!$I$5:$I$304,MATCH(I500,Inventory!$A$5:$A$304,0))*1,0),IFERROR(INDEX(Services!$G$5:$G$204,MATCH(I500,Services!$A$5:$A$204,0))*1,0))))</f>
        <v>0</v>
      </c>
      <c r="W500" s="26">
        <f>IF(B500="","",ROUND(T500*V500,2))</f>
        <v>0</v>
      </c>
      <c r="X500" s="26">
        <f>IF(B500="","",ROUND(IF(M500="",0,W500*M500)+IF(N500="",0,N500),2))</f>
        <v>0</v>
      </c>
      <c r="Y500" s="26">
        <f>IF(B500="","",ROUND(W500-X500-IF(P500="",0,P500),2))</f>
        <v>0</v>
      </c>
      <c r="Z500" s="26">
        <f>IF(B500="","",IF(H500="Retail",IF(TaxOnRetail="Yes",ROUND(Y500*TaxRate,2),0),IF(H500="Service",IF(TaxOnServices="Yes",ROUND(Y500*TaxRate,2),0),0)))</f>
        <v>0</v>
      </c>
      <c r="AA500" s="26">
        <f>IF(B500="","",ROUND(Y500+Z500,2))</f>
        <v>0</v>
      </c>
      <c r="AB500" s="26">
        <f>IF(B500="","",ROUND(T500*IF(H500="Retail",IFERROR(INDEX(Inventory!$H$5:$H$304,MATCH(I500,Inventory!$A$5:$A$304,0))*1,0),IFERROR(INDEX(Services!$Q$5:$Q$204,MATCH(I500,Services!$A$5:$A$204,0))*1,0)),2))</f>
        <v>0</v>
      </c>
      <c r="AC500" s="26">
        <f>IF(B500="","",ROUND(Y500-AB500,2))</f>
        <v>0</v>
      </c>
      <c r="AD500" s="38">
        <f>IF(B500="","",IF(C500="","No",IF(COUNTIFS($C$5:C500,C500)=1,"Yes","No")))</f>
        <v>0</v>
      </c>
      <c r="AE500" s="26">
        <f>IF(B500="","",ROUND(SUMIFS(Payments!$G$5:$G$1204,Payments!$H$5:$H$1204,A500,Payments!$Q$5:$Q$1204,"Yes"),2))</f>
        <v>0</v>
      </c>
      <c r="AF500" s="26">
        <f>IF(B500="","",IF(AD500="No",0,ROUND(SUMIFS(Payments!$G$5:$G$1204,Payments!$I$5:$I$1204,C500,Payments!$H$5:$H$1204,"",Payments!$Q$5:$Q$1204,"Yes"),2)))</f>
        <v>0</v>
      </c>
      <c r="AG500" s="26">
        <f>IF(B500="","",ROUND(AE500+AF500,2))</f>
        <v>0</v>
      </c>
      <c r="AH500" s="26">
        <f>IF(B500="","",ROUND(AA500-AG500,2))</f>
        <v>0</v>
      </c>
      <c r="AI500" s="39">
        <f>IF(B500="","",IF(AA500&lt;=0,"No charge",IF(AH500&lt;=0.004,"Paid",IF(AG500&lt;=0.004,"Unpaid","Part paid"))))</f>
        <v>0</v>
      </c>
      <c r="AJ500" s="38">
        <f>IF(B500="","",IF(H500&lt;&gt;"Service","",IF(D500="","No",IF(COUNTIFS($D$5:$D$1204,D500,$B$5:$B$1204,B500,$H$5:$H$1204,"Retail")&gt;0,"Yes","No"))))</f>
        <v>0</v>
      </c>
      <c r="AK500" s="25">
        <f>IF(B500="","",COUNTIFS($Y$5:$Y$1204,"&gt;"&amp;Y500)+COUNTIFS($Y$5:Y500,Y500))</f>
        <v>0</v>
      </c>
      <c r="AL500" s="39">
        <f>IF(B500="","",IF(H500="","Add - what kind of sale is this?",IF(IF(V500&lt;=0,P500="",FALSE),"Check - no price found for this item",IF(F500="","Assign - nobody credited",IF(AH500&gt;0.004,"Unpaid - balance outstanding",IF(AC500&lt;0,"Loss - sold below cost",IF(X500&gt;W500*0.5,"Check - more than half off","OK")))))))</f>
        <v>0</v>
      </c>
    </row>
    <row r="501" spans="1:38">
      <c r="A501" s="28">
        <f>IF(B501="","",SalePrefix&amp;TEXT(ROW()-4,"0000"))</f>
        <v>0</v>
      </c>
      <c r="E501" s="15">
        <f>IF(D501="","",IFERROR(INDEX(Clients!$B$5:$B$504,MATCH(D501,Clients!$A$5:$A$504,0)),"Walk-in"))</f>
        <v>0</v>
      </c>
      <c r="G501" s="15">
        <f>IF(F501="","",IFERROR(INDEX(Staff!$B$5:$B$44,MATCH(F501,Staff!$A$5:$A$44,0)),"House"))</f>
        <v>0</v>
      </c>
      <c r="R501" s="15">
        <f>IF(B501="","",TEXT(B501,"yyyy-mm"))</f>
        <v>0</v>
      </c>
      <c r="S501" s="25">
        <f>IF(B501="","",WEEKNUM(B501,2))</f>
        <v>0</v>
      </c>
      <c r="T501" s="37">
        <f>IF(B501="","",IF(K501="",1,K501))</f>
        <v>0</v>
      </c>
      <c r="U501" s="15">
        <f>IF(B501="","",IF(J501&lt;&gt;"",J501,IF(H501="Retail",IFERROR(INDEX(Inventory!$B$5:$B$304,MATCH(I501,Inventory!$A$5:$A$304,0))&amp;"","Not in Inventory"),IFERROR(INDEX(Services!$B$5:$B$204,MATCH(I501,Services!$A$5:$A$204,0))&amp;"","Not in Services"))))</f>
        <v>0</v>
      </c>
      <c r="V501" s="26">
        <f>IF(B501="","",IF(L501&lt;&gt;"",L501,IF(H501="Retail",IFERROR(INDEX(Inventory!$I$5:$I$304,MATCH(I501,Inventory!$A$5:$A$304,0))*1,0),IFERROR(INDEX(Services!$G$5:$G$204,MATCH(I501,Services!$A$5:$A$204,0))*1,0))))</f>
        <v>0</v>
      </c>
      <c r="W501" s="26">
        <f>IF(B501="","",ROUND(T501*V501,2))</f>
        <v>0</v>
      </c>
      <c r="X501" s="26">
        <f>IF(B501="","",ROUND(IF(M501="",0,W501*M501)+IF(N501="",0,N501),2))</f>
        <v>0</v>
      </c>
      <c r="Y501" s="26">
        <f>IF(B501="","",ROUND(W501-X501-IF(P501="",0,P501),2))</f>
        <v>0</v>
      </c>
      <c r="Z501" s="26">
        <f>IF(B501="","",IF(H501="Retail",IF(TaxOnRetail="Yes",ROUND(Y501*TaxRate,2),0),IF(H501="Service",IF(TaxOnServices="Yes",ROUND(Y501*TaxRate,2),0),0)))</f>
        <v>0</v>
      </c>
      <c r="AA501" s="26">
        <f>IF(B501="","",ROUND(Y501+Z501,2))</f>
        <v>0</v>
      </c>
      <c r="AB501" s="26">
        <f>IF(B501="","",ROUND(T501*IF(H501="Retail",IFERROR(INDEX(Inventory!$H$5:$H$304,MATCH(I501,Inventory!$A$5:$A$304,0))*1,0),IFERROR(INDEX(Services!$Q$5:$Q$204,MATCH(I501,Services!$A$5:$A$204,0))*1,0)),2))</f>
        <v>0</v>
      </c>
      <c r="AC501" s="26">
        <f>IF(B501="","",ROUND(Y501-AB501,2))</f>
        <v>0</v>
      </c>
      <c r="AD501" s="38">
        <f>IF(B501="","",IF(C501="","No",IF(COUNTIFS($C$5:C501,C501)=1,"Yes","No")))</f>
        <v>0</v>
      </c>
      <c r="AE501" s="26">
        <f>IF(B501="","",ROUND(SUMIFS(Payments!$G$5:$G$1204,Payments!$H$5:$H$1204,A501,Payments!$Q$5:$Q$1204,"Yes"),2))</f>
        <v>0</v>
      </c>
      <c r="AF501" s="26">
        <f>IF(B501="","",IF(AD501="No",0,ROUND(SUMIFS(Payments!$G$5:$G$1204,Payments!$I$5:$I$1204,C501,Payments!$H$5:$H$1204,"",Payments!$Q$5:$Q$1204,"Yes"),2)))</f>
        <v>0</v>
      </c>
      <c r="AG501" s="26">
        <f>IF(B501="","",ROUND(AE501+AF501,2))</f>
        <v>0</v>
      </c>
      <c r="AH501" s="26">
        <f>IF(B501="","",ROUND(AA501-AG501,2))</f>
        <v>0</v>
      </c>
      <c r="AI501" s="39">
        <f>IF(B501="","",IF(AA501&lt;=0,"No charge",IF(AH501&lt;=0.004,"Paid",IF(AG501&lt;=0.004,"Unpaid","Part paid"))))</f>
        <v>0</v>
      </c>
      <c r="AJ501" s="38">
        <f>IF(B501="","",IF(H501&lt;&gt;"Service","",IF(D501="","No",IF(COUNTIFS($D$5:$D$1204,D501,$B$5:$B$1204,B501,$H$5:$H$1204,"Retail")&gt;0,"Yes","No"))))</f>
        <v>0</v>
      </c>
      <c r="AK501" s="25">
        <f>IF(B501="","",COUNTIFS($Y$5:$Y$1204,"&gt;"&amp;Y501)+COUNTIFS($Y$5:Y501,Y501))</f>
        <v>0</v>
      </c>
      <c r="AL501" s="39">
        <f>IF(B501="","",IF(H501="","Add - what kind of sale is this?",IF(IF(V501&lt;=0,P501="",FALSE),"Check - no price found for this item",IF(F501="","Assign - nobody credited",IF(AH501&gt;0.004,"Unpaid - balance outstanding",IF(AC501&lt;0,"Loss - sold below cost",IF(X501&gt;W501*0.5,"Check - more than half off","OK")))))))</f>
        <v>0</v>
      </c>
    </row>
    <row r="502" spans="1:38">
      <c r="A502" s="28">
        <f>IF(B502="","",SalePrefix&amp;TEXT(ROW()-4,"0000"))</f>
        <v>0</v>
      </c>
      <c r="E502" s="15">
        <f>IF(D502="","",IFERROR(INDEX(Clients!$B$5:$B$504,MATCH(D502,Clients!$A$5:$A$504,0)),"Walk-in"))</f>
        <v>0</v>
      </c>
      <c r="G502" s="15">
        <f>IF(F502="","",IFERROR(INDEX(Staff!$B$5:$B$44,MATCH(F502,Staff!$A$5:$A$44,0)),"House"))</f>
        <v>0</v>
      </c>
      <c r="R502" s="15">
        <f>IF(B502="","",TEXT(B502,"yyyy-mm"))</f>
        <v>0</v>
      </c>
      <c r="S502" s="25">
        <f>IF(B502="","",WEEKNUM(B502,2))</f>
        <v>0</v>
      </c>
      <c r="T502" s="37">
        <f>IF(B502="","",IF(K502="",1,K502))</f>
        <v>0</v>
      </c>
      <c r="U502" s="15">
        <f>IF(B502="","",IF(J502&lt;&gt;"",J502,IF(H502="Retail",IFERROR(INDEX(Inventory!$B$5:$B$304,MATCH(I502,Inventory!$A$5:$A$304,0))&amp;"","Not in Inventory"),IFERROR(INDEX(Services!$B$5:$B$204,MATCH(I502,Services!$A$5:$A$204,0))&amp;"","Not in Services"))))</f>
        <v>0</v>
      </c>
      <c r="V502" s="26">
        <f>IF(B502="","",IF(L502&lt;&gt;"",L502,IF(H502="Retail",IFERROR(INDEX(Inventory!$I$5:$I$304,MATCH(I502,Inventory!$A$5:$A$304,0))*1,0),IFERROR(INDEX(Services!$G$5:$G$204,MATCH(I502,Services!$A$5:$A$204,0))*1,0))))</f>
        <v>0</v>
      </c>
      <c r="W502" s="26">
        <f>IF(B502="","",ROUND(T502*V502,2))</f>
        <v>0</v>
      </c>
      <c r="X502" s="26">
        <f>IF(B502="","",ROUND(IF(M502="",0,W502*M502)+IF(N502="",0,N502),2))</f>
        <v>0</v>
      </c>
      <c r="Y502" s="26">
        <f>IF(B502="","",ROUND(W502-X502-IF(P502="",0,P502),2))</f>
        <v>0</v>
      </c>
      <c r="Z502" s="26">
        <f>IF(B502="","",IF(H502="Retail",IF(TaxOnRetail="Yes",ROUND(Y502*TaxRate,2),0),IF(H502="Service",IF(TaxOnServices="Yes",ROUND(Y502*TaxRate,2),0),0)))</f>
        <v>0</v>
      </c>
      <c r="AA502" s="26">
        <f>IF(B502="","",ROUND(Y502+Z502,2))</f>
        <v>0</v>
      </c>
      <c r="AB502" s="26">
        <f>IF(B502="","",ROUND(T502*IF(H502="Retail",IFERROR(INDEX(Inventory!$H$5:$H$304,MATCH(I502,Inventory!$A$5:$A$304,0))*1,0),IFERROR(INDEX(Services!$Q$5:$Q$204,MATCH(I502,Services!$A$5:$A$204,0))*1,0)),2))</f>
        <v>0</v>
      </c>
      <c r="AC502" s="26">
        <f>IF(B502="","",ROUND(Y502-AB502,2))</f>
        <v>0</v>
      </c>
      <c r="AD502" s="38">
        <f>IF(B502="","",IF(C502="","No",IF(COUNTIFS($C$5:C502,C502)=1,"Yes","No")))</f>
        <v>0</v>
      </c>
      <c r="AE502" s="26">
        <f>IF(B502="","",ROUND(SUMIFS(Payments!$G$5:$G$1204,Payments!$H$5:$H$1204,A502,Payments!$Q$5:$Q$1204,"Yes"),2))</f>
        <v>0</v>
      </c>
      <c r="AF502" s="26">
        <f>IF(B502="","",IF(AD502="No",0,ROUND(SUMIFS(Payments!$G$5:$G$1204,Payments!$I$5:$I$1204,C502,Payments!$H$5:$H$1204,"",Payments!$Q$5:$Q$1204,"Yes"),2)))</f>
        <v>0</v>
      </c>
      <c r="AG502" s="26">
        <f>IF(B502="","",ROUND(AE502+AF502,2))</f>
        <v>0</v>
      </c>
      <c r="AH502" s="26">
        <f>IF(B502="","",ROUND(AA502-AG502,2))</f>
        <v>0</v>
      </c>
      <c r="AI502" s="39">
        <f>IF(B502="","",IF(AA502&lt;=0,"No charge",IF(AH502&lt;=0.004,"Paid",IF(AG502&lt;=0.004,"Unpaid","Part paid"))))</f>
        <v>0</v>
      </c>
      <c r="AJ502" s="38">
        <f>IF(B502="","",IF(H502&lt;&gt;"Service","",IF(D502="","No",IF(COUNTIFS($D$5:$D$1204,D502,$B$5:$B$1204,B502,$H$5:$H$1204,"Retail")&gt;0,"Yes","No"))))</f>
        <v>0</v>
      </c>
      <c r="AK502" s="25">
        <f>IF(B502="","",COUNTIFS($Y$5:$Y$1204,"&gt;"&amp;Y502)+COUNTIFS($Y$5:Y502,Y502))</f>
        <v>0</v>
      </c>
      <c r="AL502" s="39">
        <f>IF(B502="","",IF(H502="","Add - what kind of sale is this?",IF(IF(V502&lt;=0,P502="",FALSE),"Check - no price found for this item",IF(F502="","Assign - nobody credited",IF(AH502&gt;0.004,"Unpaid - balance outstanding",IF(AC502&lt;0,"Loss - sold below cost",IF(X502&gt;W502*0.5,"Check - more than half off","OK")))))))</f>
        <v>0</v>
      </c>
    </row>
    <row r="503" spans="1:38">
      <c r="A503" s="28">
        <f>IF(B503="","",SalePrefix&amp;TEXT(ROW()-4,"0000"))</f>
        <v>0</v>
      </c>
      <c r="E503" s="15">
        <f>IF(D503="","",IFERROR(INDEX(Clients!$B$5:$B$504,MATCH(D503,Clients!$A$5:$A$504,0)),"Walk-in"))</f>
        <v>0</v>
      </c>
      <c r="G503" s="15">
        <f>IF(F503="","",IFERROR(INDEX(Staff!$B$5:$B$44,MATCH(F503,Staff!$A$5:$A$44,0)),"House"))</f>
        <v>0</v>
      </c>
      <c r="R503" s="15">
        <f>IF(B503="","",TEXT(B503,"yyyy-mm"))</f>
        <v>0</v>
      </c>
      <c r="S503" s="25">
        <f>IF(B503="","",WEEKNUM(B503,2))</f>
        <v>0</v>
      </c>
      <c r="T503" s="37">
        <f>IF(B503="","",IF(K503="",1,K503))</f>
        <v>0</v>
      </c>
      <c r="U503" s="15">
        <f>IF(B503="","",IF(J503&lt;&gt;"",J503,IF(H503="Retail",IFERROR(INDEX(Inventory!$B$5:$B$304,MATCH(I503,Inventory!$A$5:$A$304,0))&amp;"","Not in Inventory"),IFERROR(INDEX(Services!$B$5:$B$204,MATCH(I503,Services!$A$5:$A$204,0))&amp;"","Not in Services"))))</f>
        <v>0</v>
      </c>
      <c r="V503" s="26">
        <f>IF(B503="","",IF(L503&lt;&gt;"",L503,IF(H503="Retail",IFERROR(INDEX(Inventory!$I$5:$I$304,MATCH(I503,Inventory!$A$5:$A$304,0))*1,0),IFERROR(INDEX(Services!$G$5:$G$204,MATCH(I503,Services!$A$5:$A$204,0))*1,0))))</f>
        <v>0</v>
      </c>
      <c r="W503" s="26">
        <f>IF(B503="","",ROUND(T503*V503,2))</f>
        <v>0</v>
      </c>
      <c r="X503" s="26">
        <f>IF(B503="","",ROUND(IF(M503="",0,W503*M503)+IF(N503="",0,N503),2))</f>
        <v>0</v>
      </c>
      <c r="Y503" s="26">
        <f>IF(B503="","",ROUND(W503-X503-IF(P503="",0,P503),2))</f>
        <v>0</v>
      </c>
      <c r="Z503" s="26">
        <f>IF(B503="","",IF(H503="Retail",IF(TaxOnRetail="Yes",ROUND(Y503*TaxRate,2),0),IF(H503="Service",IF(TaxOnServices="Yes",ROUND(Y503*TaxRate,2),0),0)))</f>
        <v>0</v>
      </c>
      <c r="AA503" s="26">
        <f>IF(B503="","",ROUND(Y503+Z503,2))</f>
        <v>0</v>
      </c>
      <c r="AB503" s="26">
        <f>IF(B503="","",ROUND(T503*IF(H503="Retail",IFERROR(INDEX(Inventory!$H$5:$H$304,MATCH(I503,Inventory!$A$5:$A$304,0))*1,0),IFERROR(INDEX(Services!$Q$5:$Q$204,MATCH(I503,Services!$A$5:$A$204,0))*1,0)),2))</f>
        <v>0</v>
      </c>
      <c r="AC503" s="26">
        <f>IF(B503="","",ROUND(Y503-AB503,2))</f>
        <v>0</v>
      </c>
      <c r="AD503" s="38">
        <f>IF(B503="","",IF(C503="","No",IF(COUNTIFS($C$5:C503,C503)=1,"Yes","No")))</f>
        <v>0</v>
      </c>
      <c r="AE503" s="26">
        <f>IF(B503="","",ROUND(SUMIFS(Payments!$G$5:$G$1204,Payments!$H$5:$H$1204,A503,Payments!$Q$5:$Q$1204,"Yes"),2))</f>
        <v>0</v>
      </c>
      <c r="AF503" s="26">
        <f>IF(B503="","",IF(AD503="No",0,ROUND(SUMIFS(Payments!$G$5:$G$1204,Payments!$I$5:$I$1204,C503,Payments!$H$5:$H$1204,"",Payments!$Q$5:$Q$1204,"Yes"),2)))</f>
        <v>0</v>
      </c>
      <c r="AG503" s="26">
        <f>IF(B503="","",ROUND(AE503+AF503,2))</f>
        <v>0</v>
      </c>
      <c r="AH503" s="26">
        <f>IF(B503="","",ROUND(AA503-AG503,2))</f>
        <v>0</v>
      </c>
      <c r="AI503" s="39">
        <f>IF(B503="","",IF(AA503&lt;=0,"No charge",IF(AH503&lt;=0.004,"Paid",IF(AG503&lt;=0.004,"Unpaid","Part paid"))))</f>
        <v>0</v>
      </c>
      <c r="AJ503" s="38">
        <f>IF(B503="","",IF(H503&lt;&gt;"Service","",IF(D503="","No",IF(COUNTIFS($D$5:$D$1204,D503,$B$5:$B$1204,B503,$H$5:$H$1204,"Retail")&gt;0,"Yes","No"))))</f>
        <v>0</v>
      </c>
      <c r="AK503" s="25">
        <f>IF(B503="","",COUNTIFS($Y$5:$Y$1204,"&gt;"&amp;Y503)+COUNTIFS($Y$5:Y503,Y503))</f>
        <v>0</v>
      </c>
      <c r="AL503" s="39">
        <f>IF(B503="","",IF(H503="","Add - what kind of sale is this?",IF(IF(V503&lt;=0,P503="",FALSE),"Check - no price found for this item",IF(F503="","Assign - nobody credited",IF(AH503&gt;0.004,"Unpaid - balance outstanding",IF(AC503&lt;0,"Loss - sold below cost",IF(X503&gt;W503*0.5,"Check - more than half off","OK")))))))</f>
        <v>0</v>
      </c>
    </row>
    <row r="504" spans="1:38">
      <c r="A504" s="28">
        <f>IF(B504="","",SalePrefix&amp;TEXT(ROW()-4,"0000"))</f>
        <v>0</v>
      </c>
      <c r="E504" s="15">
        <f>IF(D504="","",IFERROR(INDEX(Clients!$B$5:$B$504,MATCH(D504,Clients!$A$5:$A$504,0)),"Walk-in"))</f>
        <v>0</v>
      </c>
      <c r="G504" s="15">
        <f>IF(F504="","",IFERROR(INDEX(Staff!$B$5:$B$44,MATCH(F504,Staff!$A$5:$A$44,0)),"House"))</f>
        <v>0</v>
      </c>
      <c r="R504" s="15">
        <f>IF(B504="","",TEXT(B504,"yyyy-mm"))</f>
        <v>0</v>
      </c>
      <c r="S504" s="25">
        <f>IF(B504="","",WEEKNUM(B504,2))</f>
        <v>0</v>
      </c>
      <c r="T504" s="37">
        <f>IF(B504="","",IF(K504="",1,K504))</f>
        <v>0</v>
      </c>
      <c r="U504" s="15">
        <f>IF(B504="","",IF(J504&lt;&gt;"",J504,IF(H504="Retail",IFERROR(INDEX(Inventory!$B$5:$B$304,MATCH(I504,Inventory!$A$5:$A$304,0))&amp;"","Not in Inventory"),IFERROR(INDEX(Services!$B$5:$B$204,MATCH(I504,Services!$A$5:$A$204,0))&amp;"","Not in Services"))))</f>
        <v>0</v>
      </c>
      <c r="V504" s="26">
        <f>IF(B504="","",IF(L504&lt;&gt;"",L504,IF(H504="Retail",IFERROR(INDEX(Inventory!$I$5:$I$304,MATCH(I504,Inventory!$A$5:$A$304,0))*1,0),IFERROR(INDEX(Services!$G$5:$G$204,MATCH(I504,Services!$A$5:$A$204,0))*1,0))))</f>
        <v>0</v>
      </c>
      <c r="W504" s="26">
        <f>IF(B504="","",ROUND(T504*V504,2))</f>
        <v>0</v>
      </c>
      <c r="X504" s="26">
        <f>IF(B504="","",ROUND(IF(M504="",0,W504*M504)+IF(N504="",0,N504),2))</f>
        <v>0</v>
      </c>
      <c r="Y504" s="26">
        <f>IF(B504="","",ROUND(W504-X504-IF(P504="",0,P504),2))</f>
        <v>0</v>
      </c>
      <c r="Z504" s="26">
        <f>IF(B504="","",IF(H504="Retail",IF(TaxOnRetail="Yes",ROUND(Y504*TaxRate,2),0),IF(H504="Service",IF(TaxOnServices="Yes",ROUND(Y504*TaxRate,2),0),0)))</f>
        <v>0</v>
      </c>
      <c r="AA504" s="26">
        <f>IF(B504="","",ROUND(Y504+Z504,2))</f>
        <v>0</v>
      </c>
      <c r="AB504" s="26">
        <f>IF(B504="","",ROUND(T504*IF(H504="Retail",IFERROR(INDEX(Inventory!$H$5:$H$304,MATCH(I504,Inventory!$A$5:$A$304,0))*1,0),IFERROR(INDEX(Services!$Q$5:$Q$204,MATCH(I504,Services!$A$5:$A$204,0))*1,0)),2))</f>
        <v>0</v>
      </c>
      <c r="AC504" s="26">
        <f>IF(B504="","",ROUND(Y504-AB504,2))</f>
        <v>0</v>
      </c>
      <c r="AD504" s="38">
        <f>IF(B504="","",IF(C504="","No",IF(COUNTIFS($C$5:C504,C504)=1,"Yes","No")))</f>
        <v>0</v>
      </c>
      <c r="AE504" s="26">
        <f>IF(B504="","",ROUND(SUMIFS(Payments!$G$5:$G$1204,Payments!$H$5:$H$1204,A504,Payments!$Q$5:$Q$1204,"Yes"),2))</f>
        <v>0</v>
      </c>
      <c r="AF504" s="26">
        <f>IF(B504="","",IF(AD504="No",0,ROUND(SUMIFS(Payments!$G$5:$G$1204,Payments!$I$5:$I$1204,C504,Payments!$H$5:$H$1204,"",Payments!$Q$5:$Q$1204,"Yes"),2)))</f>
        <v>0</v>
      </c>
      <c r="AG504" s="26">
        <f>IF(B504="","",ROUND(AE504+AF504,2))</f>
        <v>0</v>
      </c>
      <c r="AH504" s="26">
        <f>IF(B504="","",ROUND(AA504-AG504,2))</f>
        <v>0</v>
      </c>
      <c r="AI504" s="39">
        <f>IF(B504="","",IF(AA504&lt;=0,"No charge",IF(AH504&lt;=0.004,"Paid",IF(AG504&lt;=0.004,"Unpaid","Part paid"))))</f>
        <v>0</v>
      </c>
      <c r="AJ504" s="38">
        <f>IF(B504="","",IF(H504&lt;&gt;"Service","",IF(D504="","No",IF(COUNTIFS($D$5:$D$1204,D504,$B$5:$B$1204,B504,$H$5:$H$1204,"Retail")&gt;0,"Yes","No"))))</f>
        <v>0</v>
      </c>
      <c r="AK504" s="25">
        <f>IF(B504="","",COUNTIFS($Y$5:$Y$1204,"&gt;"&amp;Y504)+COUNTIFS($Y$5:Y504,Y504))</f>
        <v>0</v>
      </c>
      <c r="AL504" s="39">
        <f>IF(B504="","",IF(H504="","Add - what kind of sale is this?",IF(IF(V504&lt;=0,P504="",FALSE),"Check - no price found for this item",IF(F504="","Assign - nobody credited",IF(AH504&gt;0.004,"Unpaid - balance outstanding",IF(AC504&lt;0,"Loss - sold below cost",IF(X504&gt;W504*0.5,"Check - more than half off","OK")))))))</f>
        <v>0</v>
      </c>
    </row>
    <row r="505" spans="1:38">
      <c r="A505" s="28">
        <f>IF(B505="","",SalePrefix&amp;TEXT(ROW()-4,"0000"))</f>
        <v>0</v>
      </c>
      <c r="E505" s="15">
        <f>IF(D505="","",IFERROR(INDEX(Clients!$B$5:$B$504,MATCH(D505,Clients!$A$5:$A$504,0)),"Walk-in"))</f>
        <v>0</v>
      </c>
      <c r="G505" s="15">
        <f>IF(F505="","",IFERROR(INDEX(Staff!$B$5:$B$44,MATCH(F505,Staff!$A$5:$A$44,0)),"House"))</f>
        <v>0</v>
      </c>
      <c r="R505" s="15">
        <f>IF(B505="","",TEXT(B505,"yyyy-mm"))</f>
        <v>0</v>
      </c>
      <c r="S505" s="25">
        <f>IF(B505="","",WEEKNUM(B505,2))</f>
        <v>0</v>
      </c>
      <c r="T505" s="37">
        <f>IF(B505="","",IF(K505="",1,K505))</f>
        <v>0</v>
      </c>
      <c r="U505" s="15">
        <f>IF(B505="","",IF(J505&lt;&gt;"",J505,IF(H505="Retail",IFERROR(INDEX(Inventory!$B$5:$B$304,MATCH(I505,Inventory!$A$5:$A$304,0))&amp;"","Not in Inventory"),IFERROR(INDEX(Services!$B$5:$B$204,MATCH(I505,Services!$A$5:$A$204,0))&amp;"","Not in Services"))))</f>
        <v>0</v>
      </c>
      <c r="V505" s="26">
        <f>IF(B505="","",IF(L505&lt;&gt;"",L505,IF(H505="Retail",IFERROR(INDEX(Inventory!$I$5:$I$304,MATCH(I505,Inventory!$A$5:$A$304,0))*1,0),IFERROR(INDEX(Services!$G$5:$G$204,MATCH(I505,Services!$A$5:$A$204,0))*1,0))))</f>
        <v>0</v>
      </c>
      <c r="W505" s="26">
        <f>IF(B505="","",ROUND(T505*V505,2))</f>
        <v>0</v>
      </c>
      <c r="X505" s="26">
        <f>IF(B505="","",ROUND(IF(M505="",0,W505*M505)+IF(N505="",0,N505),2))</f>
        <v>0</v>
      </c>
      <c r="Y505" s="26">
        <f>IF(B505="","",ROUND(W505-X505-IF(P505="",0,P505),2))</f>
        <v>0</v>
      </c>
      <c r="Z505" s="26">
        <f>IF(B505="","",IF(H505="Retail",IF(TaxOnRetail="Yes",ROUND(Y505*TaxRate,2),0),IF(H505="Service",IF(TaxOnServices="Yes",ROUND(Y505*TaxRate,2),0),0)))</f>
        <v>0</v>
      </c>
      <c r="AA505" s="26">
        <f>IF(B505="","",ROUND(Y505+Z505,2))</f>
        <v>0</v>
      </c>
      <c r="AB505" s="26">
        <f>IF(B505="","",ROUND(T505*IF(H505="Retail",IFERROR(INDEX(Inventory!$H$5:$H$304,MATCH(I505,Inventory!$A$5:$A$304,0))*1,0),IFERROR(INDEX(Services!$Q$5:$Q$204,MATCH(I505,Services!$A$5:$A$204,0))*1,0)),2))</f>
        <v>0</v>
      </c>
      <c r="AC505" s="26">
        <f>IF(B505="","",ROUND(Y505-AB505,2))</f>
        <v>0</v>
      </c>
      <c r="AD505" s="38">
        <f>IF(B505="","",IF(C505="","No",IF(COUNTIFS($C$5:C505,C505)=1,"Yes","No")))</f>
        <v>0</v>
      </c>
      <c r="AE505" s="26">
        <f>IF(B505="","",ROUND(SUMIFS(Payments!$G$5:$G$1204,Payments!$H$5:$H$1204,A505,Payments!$Q$5:$Q$1204,"Yes"),2))</f>
        <v>0</v>
      </c>
      <c r="AF505" s="26">
        <f>IF(B505="","",IF(AD505="No",0,ROUND(SUMIFS(Payments!$G$5:$G$1204,Payments!$I$5:$I$1204,C505,Payments!$H$5:$H$1204,"",Payments!$Q$5:$Q$1204,"Yes"),2)))</f>
        <v>0</v>
      </c>
      <c r="AG505" s="26">
        <f>IF(B505="","",ROUND(AE505+AF505,2))</f>
        <v>0</v>
      </c>
      <c r="AH505" s="26">
        <f>IF(B505="","",ROUND(AA505-AG505,2))</f>
        <v>0</v>
      </c>
      <c r="AI505" s="39">
        <f>IF(B505="","",IF(AA505&lt;=0,"No charge",IF(AH505&lt;=0.004,"Paid",IF(AG505&lt;=0.004,"Unpaid","Part paid"))))</f>
        <v>0</v>
      </c>
      <c r="AJ505" s="38">
        <f>IF(B505="","",IF(H505&lt;&gt;"Service","",IF(D505="","No",IF(COUNTIFS($D$5:$D$1204,D505,$B$5:$B$1204,B505,$H$5:$H$1204,"Retail")&gt;0,"Yes","No"))))</f>
        <v>0</v>
      </c>
      <c r="AK505" s="25">
        <f>IF(B505="","",COUNTIFS($Y$5:$Y$1204,"&gt;"&amp;Y505)+COUNTIFS($Y$5:Y505,Y505))</f>
        <v>0</v>
      </c>
      <c r="AL505" s="39">
        <f>IF(B505="","",IF(H505="","Add - what kind of sale is this?",IF(IF(V505&lt;=0,P505="",FALSE),"Check - no price found for this item",IF(F505="","Assign - nobody credited",IF(AH505&gt;0.004,"Unpaid - balance outstanding",IF(AC505&lt;0,"Loss - sold below cost",IF(X505&gt;W505*0.5,"Check - more than half off","OK")))))))</f>
        <v>0</v>
      </c>
    </row>
    <row r="506" spans="1:38">
      <c r="A506" s="28">
        <f>IF(B506="","",SalePrefix&amp;TEXT(ROW()-4,"0000"))</f>
        <v>0</v>
      </c>
      <c r="E506" s="15">
        <f>IF(D506="","",IFERROR(INDEX(Clients!$B$5:$B$504,MATCH(D506,Clients!$A$5:$A$504,0)),"Walk-in"))</f>
        <v>0</v>
      </c>
      <c r="G506" s="15">
        <f>IF(F506="","",IFERROR(INDEX(Staff!$B$5:$B$44,MATCH(F506,Staff!$A$5:$A$44,0)),"House"))</f>
        <v>0</v>
      </c>
      <c r="R506" s="15">
        <f>IF(B506="","",TEXT(B506,"yyyy-mm"))</f>
        <v>0</v>
      </c>
      <c r="S506" s="25">
        <f>IF(B506="","",WEEKNUM(B506,2))</f>
        <v>0</v>
      </c>
      <c r="T506" s="37">
        <f>IF(B506="","",IF(K506="",1,K506))</f>
        <v>0</v>
      </c>
      <c r="U506" s="15">
        <f>IF(B506="","",IF(J506&lt;&gt;"",J506,IF(H506="Retail",IFERROR(INDEX(Inventory!$B$5:$B$304,MATCH(I506,Inventory!$A$5:$A$304,0))&amp;"","Not in Inventory"),IFERROR(INDEX(Services!$B$5:$B$204,MATCH(I506,Services!$A$5:$A$204,0))&amp;"","Not in Services"))))</f>
        <v>0</v>
      </c>
      <c r="V506" s="26">
        <f>IF(B506="","",IF(L506&lt;&gt;"",L506,IF(H506="Retail",IFERROR(INDEX(Inventory!$I$5:$I$304,MATCH(I506,Inventory!$A$5:$A$304,0))*1,0),IFERROR(INDEX(Services!$G$5:$G$204,MATCH(I506,Services!$A$5:$A$204,0))*1,0))))</f>
        <v>0</v>
      </c>
      <c r="W506" s="26">
        <f>IF(B506="","",ROUND(T506*V506,2))</f>
        <v>0</v>
      </c>
      <c r="X506" s="26">
        <f>IF(B506="","",ROUND(IF(M506="",0,W506*M506)+IF(N506="",0,N506),2))</f>
        <v>0</v>
      </c>
      <c r="Y506" s="26">
        <f>IF(B506="","",ROUND(W506-X506-IF(P506="",0,P506),2))</f>
        <v>0</v>
      </c>
      <c r="Z506" s="26">
        <f>IF(B506="","",IF(H506="Retail",IF(TaxOnRetail="Yes",ROUND(Y506*TaxRate,2),0),IF(H506="Service",IF(TaxOnServices="Yes",ROUND(Y506*TaxRate,2),0),0)))</f>
        <v>0</v>
      </c>
      <c r="AA506" s="26">
        <f>IF(B506="","",ROUND(Y506+Z506,2))</f>
        <v>0</v>
      </c>
      <c r="AB506" s="26">
        <f>IF(B506="","",ROUND(T506*IF(H506="Retail",IFERROR(INDEX(Inventory!$H$5:$H$304,MATCH(I506,Inventory!$A$5:$A$304,0))*1,0),IFERROR(INDEX(Services!$Q$5:$Q$204,MATCH(I506,Services!$A$5:$A$204,0))*1,0)),2))</f>
        <v>0</v>
      </c>
      <c r="AC506" s="26">
        <f>IF(B506="","",ROUND(Y506-AB506,2))</f>
        <v>0</v>
      </c>
      <c r="AD506" s="38">
        <f>IF(B506="","",IF(C506="","No",IF(COUNTIFS($C$5:C506,C506)=1,"Yes","No")))</f>
        <v>0</v>
      </c>
      <c r="AE506" s="26">
        <f>IF(B506="","",ROUND(SUMIFS(Payments!$G$5:$G$1204,Payments!$H$5:$H$1204,A506,Payments!$Q$5:$Q$1204,"Yes"),2))</f>
        <v>0</v>
      </c>
      <c r="AF506" s="26">
        <f>IF(B506="","",IF(AD506="No",0,ROUND(SUMIFS(Payments!$G$5:$G$1204,Payments!$I$5:$I$1204,C506,Payments!$H$5:$H$1204,"",Payments!$Q$5:$Q$1204,"Yes"),2)))</f>
        <v>0</v>
      </c>
      <c r="AG506" s="26">
        <f>IF(B506="","",ROUND(AE506+AF506,2))</f>
        <v>0</v>
      </c>
      <c r="AH506" s="26">
        <f>IF(B506="","",ROUND(AA506-AG506,2))</f>
        <v>0</v>
      </c>
      <c r="AI506" s="39">
        <f>IF(B506="","",IF(AA506&lt;=0,"No charge",IF(AH506&lt;=0.004,"Paid",IF(AG506&lt;=0.004,"Unpaid","Part paid"))))</f>
        <v>0</v>
      </c>
      <c r="AJ506" s="38">
        <f>IF(B506="","",IF(H506&lt;&gt;"Service","",IF(D506="","No",IF(COUNTIFS($D$5:$D$1204,D506,$B$5:$B$1204,B506,$H$5:$H$1204,"Retail")&gt;0,"Yes","No"))))</f>
        <v>0</v>
      </c>
      <c r="AK506" s="25">
        <f>IF(B506="","",COUNTIFS($Y$5:$Y$1204,"&gt;"&amp;Y506)+COUNTIFS($Y$5:Y506,Y506))</f>
        <v>0</v>
      </c>
      <c r="AL506" s="39">
        <f>IF(B506="","",IF(H506="","Add - what kind of sale is this?",IF(IF(V506&lt;=0,P506="",FALSE),"Check - no price found for this item",IF(F506="","Assign - nobody credited",IF(AH506&gt;0.004,"Unpaid - balance outstanding",IF(AC506&lt;0,"Loss - sold below cost",IF(X506&gt;W506*0.5,"Check - more than half off","OK")))))))</f>
        <v>0</v>
      </c>
    </row>
    <row r="507" spans="1:38">
      <c r="A507" s="28">
        <f>IF(B507="","",SalePrefix&amp;TEXT(ROW()-4,"0000"))</f>
        <v>0</v>
      </c>
      <c r="E507" s="15">
        <f>IF(D507="","",IFERROR(INDEX(Clients!$B$5:$B$504,MATCH(D507,Clients!$A$5:$A$504,0)),"Walk-in"))</f>
        <v>0</v>
      </c>
      <c r="G507" s="15">
        <f>IF(F507="","",IFERROR(INDEX(Staff!$B$5:$B$44,MATCH(F507,Staff!$A$5:$A$44,0)),"House"))</f>
        <v>0</v>
      </c>
      <c r="R507" s="15">
        <f>IF(B507="","",TEXT(B507,"yyyy-mm"))</f>
        <v>0</v>
      </c>
      <c r="S507" s="25">
        <f>IF(B507="","",WEEKNUM(B507,2))</f>
        <v>0</v>
      </c>
      <c r="T507" s="37">
        <f>IF(B507="","",IF(K507="",1,K507))</f>
        <v>0</v>
      </c>
      <c r="U507" s="15">
        <f>IF(B507="","",IF(J507&lt;&gt;"",J507,IF(H507="Retail",IFERROR(INDEX(Inventory!$B$5:$B$304,MATCH(I507,Inventory!$A$5:$A$304,0))&amp;"","Not in Inventory"),IFERROR(INDEX(Services!$B$5:$B$204,MATCH(I507,Services!$A$5:$A$204,0))&amp;"","Not in Services"))))</f>
        <v>0</v>
      </c>
      <c r="V507" s="26">
        <f>IF(B507="","",IF(L507&lt;&gt;"",L507,IF(H507="Retail",IFERROR(INDEX(Inventory!$I$5:$I$304,MATCH(I507,Inventory!$A$5:$A$304,0))*1,0),IFERROR(INDEX(Services!$G$5:$G$204,MATCH(I507,Services!$A$5:$A$204,0))*1,0))))</f>
        <v>0</v>
      </c>
      <c r="W507" s="26">
        <f>IF(B507="","",ROUND(T507*V507,2))</f>
        <v>0</v>
      </c>
      <c r="X507" s="26">
        <f>IF(B507="","",ROUND(IF(M507="",0,W507*M507)+IF(N507="",0,N507),2))</f>
        <v>0</v>
      </c>
      <c r="Y507" s="26">
        <f>IF(B507="","",ROUND(W507-X507-IF(P507="",0,P507),2))</f>
        <v>0</v>
      </c>
      <c r="Z507" s="26">
        <f>IF(B507="","",IF(H507="Retail",IF(TaxOnRetail="Yes",ROUND(Y507*TaxRate,2),0),IF(H507="Service",IF(TaxOnServices="Yes",ROUND(Y507*TaxRate,2),0),0)))</f>
        <v>0</v>
      </c>
      <c r="AA507" s="26">
        <f>IF(B507="","",ROUND(Y507+Z507,2))</f>
        <v>0</v>
      </c>
      <c r="AB507" s="26">
        <f>IF(B507="","",ROUND(T507*IF(H507="Retail",IFERROR(INDEX(Inventory!$H$5:$H$304,MATCH(I507,Inventory!$A$5:$A$304,0))*1,0),IFERROR(INDEX(Services!$Q$5:$Q$204,MATCH(I507,Services!$A$5:$A$204,0))*1,0)),2))</f>
        <v>0</v>
      </c>
      <c r="AC507" s="26">
        <f>IF(B507="","",ROUND(Y507-AB507,2))</f>
        <v>0</v>
      </c>
      <c r="AD507" s="38">
        <f>IF(B507="","",IF(C507="","No",IF(COUNTIFS($C$5:C507,C507)=1,"Yes","No")))</f>
        <v>0</v>
      </c>
      <c r="AE507" s="26">
        <f>IF(B507="","",ROUND(SUMIFS(Payments!$G$5:$G$1204,Payments!$H$5:$H$1204,A507,Payments!$Q$5:$Q$1204,"Yes"),2))</f>
        <v>0</v>
      </c>
      <c r="AF507" s="26">
        <f>IF(B507="","",IF(AD507="No",0,ROUND(SUMIFS(Payments!$G$5:$G$1204,Payments!$I$5:$I$1204,C507,Payments!$H$5:$H$1204,"",Payments!$Q$5:$Q$1204,"Yes"),2)))</f>
        <v>0</v>
      </c>
      <c r="AG507" s="26">
        <f>IF(B507="","",ROUND(AE507+AF507,2))</f>
        <v>0</v>
      </c>
      <c r="AH507" s="26">
        <f>IF(B507="","",ROUND(AA507-AG507,2))</f>
        <v>0</v>
      </c>
      <c r="AI507" s="39">
        <f>IF(B507="","",IF(AA507&lt;=0,"No charge",IF(AH507&lt;=0.004,"Paid",IF(AG507&lt;=0.004,"Unpaid","Part paid"))))</f>
        <v>0</v>
      </c>
      <c r="AJ507" s="38">
        <f>IF(B507="","",IF(H507&lt;&gt;"Service","",IF(D507="","No",IF(COUNTIFS($D$5:$D$1204,D507,$B$5:$B$1204,B507,$H$5:$H$1204,"Retail")&gt;0,"Yes","No"))))</f>
        <v>0</v>
      </c>
      <c r="AK507" s="25">
        <f>IF(B507="","",COUNTIFS($Y$5:$Y$1204,"&gt;"&amp;Y507)+COUNTIFS($Y$5:Y507,Y507))</f>
        <v>0</v>
      </c>
      <c r="AL507" s="39">
        <f>IF(B507="","",IF(H507="","Add - what kind of sale is this?",IF(IF(V507&lt;=0,P507="",FALSE),"Check - no price found for this item",IF(F507="","Assign - nobody credited",IF(AH507&gt;0.004,"Unpaid - balance outstanding",IF(AC507&lt;0,"Loss - sold below cost",IF(X507&gt;W507*0.5,"Check - more than half off","OK")))))))</f>
        <v>0</v>
      </c>
    </row>
    <row r="508" spans="1:38">
      <c r="A508" s="28">
        <f>IF(B508="","",SalePrefix&amp;TEXT(ROW()-4,"0000"))</f>
        <v>0</v>
      </c>
      <c r="E508" s="15">
        <f>IF(D508="","",IFERROR(INDEX(Clients!$B$5:$B$504,MATCH(D508,Clients!$A$5:$A$504,0)),"Walk-in"))</f>
        <v>0</v>
      </c>
      <c r="G508" s="15">
        <f>IF(F508="","",IFERROR(INDEX(Staff!$B$5:$B$44,MATCH(F508,Staff!$A$5:$A$44,0)),"House"))</f>
        <v>0</v>
      </c>
      <c r="R508" s="15">
        <f>IF(B508="","",TEXT(B508,"yyyy-mm"))</f>
        <v>0</v>
      </c>
      <c r="S508" s="25">
        <f>IF(B508="","",WEEKNUM(B508,2))</f>
        <v>0</v>
      </c>
      <c r="T508" s="37">
        <f>IF(B508="","",IF(K508="",1,K508))</f>
        <v>0</v>
      </c>
      <c r="U508" s="15">
        <f>IF(B508="","",IF(J508&lt;&gt;"",J508,IF(H508="Retail",IFERROR(INDEX(Inventory!$B$5:$B$304,MATCH(I508,Inventory!$A$5:$A$304,0))&amp;"","Not in Inventory"),IFERROR(INDEX(Services!$B$5:$B$204,MATCH(I508,Services!$A$5:$A$204,0))&amp;"","Not in Services"))))</f>
        <v>0</v>
      </c>
      <c r="V508" s="26">
        <f>IF(B508="","",IF(L508&lt;&gt;"",L508,IF(H508="Retail",IFERROR(INDEX(Inventory!$I$5:$I$304,MATCH(I508,Inventory!$A$5:$A$304,0))*1,0),IFERROR(INDEX(Services!$G$5:$G$204,MATCH(I508,Services!$A$5:$A$204,0))*1,0))))</f>
        <v>0</v>
      </c>
      <c r="W508" s="26">
        <f>IF(B508="","",ROUND(T508*V508,2))</f>
        <v>0</v>
      </c>
      <c r="X508" s="26">
        <f>IF(B508="","",ROUND(IF(M508="",0,W508*M508)+IF(N508="",0,N508),2))</f>
        <v>0</v>
      </c>
      <c r="Y508" s="26">
        <f>IF(B508="","",ROUND(W508-X508-IF(P508="",0,P508),2))</f>
        <v>0</v>
      </c>
      <c r="Z508" s="26">
        <f>IF(B508="","",IF(H508="Retail",IF(TaxOnRetail="Yes",ROUND(Y508*TaxRate,2),0),IF(H508="Service",IF(TaxOnServices="Yes",ROUND(Y508*TaxRate,2),0),0)))</f>
        <v>0</v>
      </c>
      <c r="AA508" s="26">
        <f>IF(B508="","",ROUND(Y508+Z508,2))</f>
        <v>0</v>
      </c>
      <c r="AB508" s="26">
        <f>IF(B508="","",ROUND(T508*IF(H508="Retail",IFERROR(INDEX(Inventory!$H$5:$H$304,MATCH(I508,Inventory!$A$5:$A$304,0))*1,0),IFERROR(INDEX(Services!$Q$5:$Q$204,MATCH(I508,Services!$A$5:$A$204,0))*1,0)),2))</f>
        <v>0</v>
      </c>
      <c r="AC508" s="26">
        <f>IF(B508="","",ROUND(Y508-AB508,2))</f>
        <v>0</v>
      </c>
      <c r="AD508" s="38">
        <f>IF(B508="","",IF(C508="","No",IF(COUNTIFS($C$5:C508,C508)=1,"Yes","No")))</f>
        <v>0</v>
      </c>
      <c r="AE508" s="26">
        <f>IF(B508="","",ROUND(SUMIFS(Payments!$G$5:$G$1204,Payments!$H$5:$H$1204,A508,Payments!$Q$5:$Q$1204,"Yes"),2))</f>
        <v>0</v>
      </c>
      <c r="AF508" s="26">
        <f>IF(B508="","",IF(AD508="No",0,ROUND(SUMIFS(Payments!$G$5:$G$1204,Payments!$I$5:$I$1204,C508,Payments!$H$5:$H$1204,"",Payments!$Q$5:$Q$1204,"Yes"),2)))</f>
        <v>0</v>
      </c>
      <c r="AG508" s="26">
        <f>IF(B508="","",ROUND(AE508+AF508,2))</f>
        <v>0</v>
      </c>
      <c r="AH508" s="26">
        <f>IF(B508="","",ROUND(AA508-AG508,2))</f>
        <v>0</v>
      </c>
      <c r="AI508" s="39">
        <f>IF(B508="","",IF(AA508&lt;=0,"No charge",IF(AH508&lt;=0.004,"Paid",IF(AG508&lt;=0.004,"Unpaid","Part paid"))))</f>
        <v>0</v>
      </c>
      <c r="AJ508" s="38">
        <f>IF(B508="","",IF(H508&lt;&gt;"Service","",IF(D508="","No",IF(COUNTIFS($D$5:$D$1204,D508,$B$5:$B$1204,B508,$H$5:$H$1204,"Retail")&gt;0,"Yes","No"))))</f>
        <v>0</v>
      </c>
      <c r="AK508" s="25">
        <f>IF(B508="","",COUNTIFS($Y$5:$Y$1204,"&gt;"&amp;Y508)+COUNTIFS($Y$5:Y508,Y508))</f>
        <v>0</v>
      </c>
      <c r="AL508" s="39">
        <f>IF(B508="","",IF(H508="","Add - what kind of sale is this?",IF(IF(V508&lt;=0,P508="",FALSE),"Check - no price found for this item",IF(F508="","Assign - nobody credited",IF(AH508&gt;0.004,"Unpaid - balance outstanding",IF(AC508&lt;0,"Loss - sold below cost",IF(X508&gt;W508*0.5,"Check - more than half off","OK")))))))</f>
        <v>0</v>
      </c>
    </row>
    <row r="509" spans="1:38">
      <c r="A509" s="28">
        <f>IF(B509="","",SalePrefix&amp;TEXT(ROW()-4,"0000"))</f>
        <v>0</v>
      </c>
      <c r="E509" s="15">
        <f>IF(D509="","",IFERROR(INDEX(Clients!$B$5:$B$504,MATCH(D509,Clients!$A$5:$A$504,0)),"Walk-in"))</f>
        <v>0</v>
      </c>
      <c r="G509" s="15">
        <f>IF(F509="","",IFERROR(INDEX(Staff!$B$5:$B$44,MATCH(F509,Staff!$A$5:$A$44,0)),"House"))</f>
        <v>0</v>
      </c>
      <c r="R509" s="15">
        <f>IF(B509="","",TEXT(B509,"yyyy-mm"))</f>
        <v>0</v>
      </c>
      <c r="S509" s="25">
        <f>IF(B509="","",WEEKNUM(B509,2))</f>
        <v>0</v>
      </c>
      <c r="T509" s="37">
        <f>IF(B509="","",IF(K509="",1,K509))</f>
        <v>0</v>
      </c>
      <c r="U509" s="15">
        <f>IF(B509="","",IF(J509&lt;&gt;"",J509,IF(H509="Retail",IFERROR(INDEX(Inventory!$B$5:$B$304,MATCH(I509,Inventory!$A$5:$A$304,0))&amp;"","Not in Inventory"),IFERROR(INDEX(Services!$B$5:$B$204,MATCH(I509,Services!$A$5:$A$204,0))&amp;"","Not in Services"))))</f>
        <v>0</v>
      </c>
      <c r="V509" s="26">
        <f>IF(B509="","",IF(L509&lt;&gt;"",L509,IF(H509="Retail",IFERROR(INDEX(Inventory!$I$5:$I$304,MATCH(I509,Inventory!$A$5:$A$304,0))*1,0),IFERROR(INDEX(Services!$G$5:$G$204,MATCH(I509,Services!$A$5:$A$204,0))*1,0))))</f>
        <v>0</v>
      </c>
      <c r="W509" s="26">
        <f>IF(B509="","",ROUND(T509*V509,2))</f>
        <v>0</v>
      </c>
      <c r="X509" s="26">
        <f>IF(B509="","",ROUND(IF(M509="",0,W509*M509)+IF(N509="",0,N509),2))</f>
        <v>0</v>
      </c>
      <c r="Y509" s="26">
        <f>IF(B509="","",ROUND(W509-X509-IF(P509="",0,P509),2))</f>
        <v>0</v>
      </c>
      <c r="Z509" s="26">
        <f>IF(B509="","",IF(H509="Retail",IF(TaxOnRetail="Yes",ROUND(Y509*TaxRate,2),0),IF(H509="Service",IF(TaxOnServices="Yes",ROUND(Y509*TaxRate,2),0),0)))</f>
        <v>0</v>
      </c>
      <c r="AA509" s="26">
        <f>IF(B509="","",ROUND(Y509+Z509,2))</f>
        <v>0</v>
      </c>
      <c r="AB509" s="26">
        <f>IF(B509="","",ROUND(T509*IF(H509="Retail",IFERROR(INDEX(Inventory!$H$5:$H$304,MATCH(I509,Inventory!$A$5:$A$304,0))*1,0),IFERROR(INDEX(Services!$Q$5:$Q$204,MATCH(I509,Services!$A$5:$A$204,0))*1,0)),2))</f>
        <v>0</v>
      </c>
      <c r="AC509" s="26">
        <f>IF(B509="","",ROUND(Y509-AB509,2))</f>
        <v>0</v>
      </c>
      <c r="AD509" s="38">
        <f>IF(B509="","",IF(C509="","No",IF(COUNTIFS($C$5:C509,C509)=1,"Yes","No")))</f>
        <v>0</v>
      </c>
      <c r="AE509" s="26">
        <f>IF(B509="","",ROUND(SUMIFS(Payments!$G$5:$G$1204,Payments!$H$5:$H$1204,A509,Payments!$Q$5:$Q$1204,"Yes"),2))</f>
        <v>0</v>
      </c>
      <c r="AF509" s="26">
        <f>IF(B509="","",IF(AD509="No",0,ROUND(SUMIFS(Payments!$G$5:$G$1204,Payments!$I$5:$I$1204,C509,Payments!$H$5:$H$1204,"",Payments!$Q$5:$Q$1204,"Yes"),2)))</f>
        <v>0</v>
      </c>
      <c r="AG509" s="26">
        <f>IF(B509="","",ROUND(AE509+AF509,2))</f>
        <v>0</v>
      </c>
      <c r="AH509" s="26">
        <f>IF(B509="","",ROUND(AA509-AG509,2))</f>
        <v>0</v>
      </c>
      <c r="AI509" s="39">
        <f>IF(B509="","",IF(AA509&lt;=0,"No charge",IF(AH509&lt;=0.004,"Paid",IF(AG509&lt;=0.004,"Unpaid","Part paid"))))</f>
        <v>0</v>
      </c>
      <c r="AJ509" s="38">
        <f>IF(B509="","",IF(H509&lt;&gt;"Service","",IF(D509="","No",IF(COUNTIFS($D$5:$D$1204,D509,$B$5:$B$1204,B509,$H$5:$H$1204,"Retail")&gt;0,"Yes","No"))))</f>
        <v>0</v>
      </c>
      <c r="AK509" s="25">
        <f>IF(B509="","",COUNTIFS($Y$5:$Y$1204,"&gt;"&amp;Y509)+COUNTIFS($Y$5:Y509,Y509))</f>
        <v>0</v>
      </c>
      <c r="AL509" s="39">
        <f>IF(B509="","",IF(H509="","Add - what kind of sale is this?",IF(IF(V509&lt;=0,P509="",FALSE),"Check - no price found for this item",IF(F509="","Assign - nobody credited",IF(AH509&gt;0.004,"Unpaid - balance outstanding",IF(AC509&lt;0,"Loss - sold below cost",IF(X509&gt;W509*0.5,"Check - more than half off","OK")))))))</f>
        <v>0</v>
      </c>
    </row>
    <row r="510" spans="1:38">
      <c r="A510" s="28">
        <f>IF(B510="","",SalePrefix&amp;TEXT(ROW()-4,"0000"))</f>
        <v>0</v>
      </c>
      <c r="E510" s="15">
        <f>IF(D510="","",IFERROR(INDEX(Clients!$B$5:$B$504,MATCH(D510,Clients!$A$5:$A$504,0)),"Walk-in"))</f>
        <v>0</v>
      </c>
      <c r="G510" s="15">
        <f>IF(F510="","",IFERROR(INDEX(Staff!$B$5:$B$44,MATCH(F510,Staff!$A$5:$A$44,0)),"House"))</f>
        <v>0</v>
      </c>
      <c r="R510" s="15">
        <f>IF(B510="","",TEXT(B510,"yyyy-mm"))</f>
        <v>0</v>
      </c>
      <c r="S510" s="25">
        <f>IF(B510="","",WEEKNUM(B510,2))</f>
        <v>0</v>
      </c>
      <c r="T510" s="37">
        <f>IF(B510="","",IF(K510="",1,K510))</f>
        <v>0</v>
      </c>
      <c r="U510" s="15">
        <f>IF(B510="","",IF(J510&lt;&gt;"",J510,IF(H510="Retail",IFERROR(INDEX(Inventory!$B$5:$B$304,MATCH(I510,Inventory!$A$5:$A$304,0))&amp;"","Not in Inventory"),IFERROR(INDEX(Services!$B$5:$B$204,MATCH(I510,Services!$A$5:$A$204,0))&amp;"","Not in Services"))))</f>
        <v>0</v>
      </c>
      <c r="V510" s="26">
        <f>IF(B510="","",IF(L510&lt;&gt;"",L510,IF(H510="Retail",IFERROR(INDEX(Inventory!$I$5:$I$304,MATCH(I510,Inventory!$A$5:$A$304,0))*1,0),IFERROR(INDEX(Services!$G$5:$G$204,MATCH(I510,Services!$A$5:$A$204,0))*1,0))))</f>
        <v>0</v>
      </c>
      <c r="W510" s="26">
        <f>IF(B510="","",ROUND(T510*V510,2))</f>
        <v>0</v>
      </c>
      <c r="X510" s="26">
        <f>IF(B510="","",ROUND(IF(M510="",0,W510*M510)+IF(N510="",0,N510),2))</f>
        <v>0</v>
      </c>
      <c r="Y510" s="26">
        <f>IF(B510="","",ROUND(W510-X510-IF(P510="",0,P510),2))</f>
        <v>0</v>
      </c>
      <c r="Z510" s="26">
        <f>IF(B510="","",IF(H510="Retail",IF(TaxOnRetail="Yes",ROUND(Y510*TaxRate,2),0),IF(H510="Service",IF(TaxOnServices="Yes",ROUND(Y510*TaxRate,2),0),0)))</f>
        <v>0</v>
      </c>
      <c r="AA510" s="26">
        <f>IF(B510="","",ROUND(Y510+Z510,2))</f>
        <v>0</v>
      </c>
      <c r="AB510" s="26">
        <f>IF(B510="","",ROUND(T510*IF(H510="Retail",IFERROR(INDEX(Inventory!$H$5:$H$304,MATCH(I510,Inventory!$A$5:$A$304,0))*1,0),IFERROR(INDEX(Services!$Q$5:$Q$204,MATCH(I510,Services!$A$5:$A$204,0))*1,0)),2))</f>
        <v>0</v>
      </c>
      <c r="AC510" s="26">
        <f>IF(B510="","",ROUND(Y510-AB510,2))</f>
        <v>0</v>
      </c>
      <c r="AD510" s="38">
        <f>IF(B510="","",IF(C510="","No",IF(COUNTIFS($C$5:C510,C510)=1,"Yes","No")))</f>
        <v>0</v>
      </c>
      <c r="AE510" s="26">
        <f>IF(B510="","",ROUND(SUMIFS(Payments!$G$5:$G$1204,Payments!$H$5:$H$1204,A510,Payments!$Q$5:$Q$1204,"Yes"),2))</f>
        <v>0</v>
      </c>
      <c r="AF510" s="26">
        <f>IF(B510="","",IF(AD510="No",0,ROUND(SUMIFS(Payments!$G$5:$G$1204,Payments!$I$5:$I$1204,C510,Payments!$H$5:$H$1204,"",Payments!$Q$5:$Q$1204,"Yes"),2)))</f>
        <v>0</v>
      </c>
      <c r="AG510" s="26">
        <f>IF(B510="","",ROUND(AE510+AF510,2))</f>
        <v>0</v>
      </c>
      <c r="AH510" s="26">
        <f>IF(B510="","",ROUND(AA510-AG510,2))</f>
        <v>0</v>
      </c>
      <c r="AI510" s="39">
        <f>IF(B510="","",IF(AA510&lt;=0,"No charge",IF(AH510&lt;=0.004,"Paid",IF(AG510&lt;=0.004,"Unpaid","Part paid"))))</f>
        <v>0</v>
      </c>
      <c r="AJ510" s="38">
        <f>IF(B510="","",IF(H510&lt;&gt;"Service","",IF(D510="","No",IF(COUNTIFS($D$5:$D$1204,D510,$B$5:$B$1204,B510,$H$5:$H$1204,"Retail")&gt;0,"Yes","No"))))</f>
        <v>0</v>
      </c>
      <c r="AK510" s="25">
        <f>IF(B510="","",COUNTIFS($Y$5:$Y$1204,"&gt;"&amp;Y510)+COUNTIFS($Y$5:Y510,Y510))</f>
        <v>0</v>
      </c>
      <c r="AL510" s="39">
        <f>IF(B510="","",IF(H510="","Add - what kind of sale is this?",IF(IF(V510&lt;=0,P510="",FALSE),"Check - no price found for this item",IF(F510="","Assign - nobody credited",IF(AH510&gt;0.004,"Unpaid - balance outstanding",IF(AC510&lt;0,"Loss - sold below cost",IF(X510&gt;W510*0.5,"Check - more than half off","OK")))))))</f>
        <v>0</v>
      </c>
    </row>
    <row r="511" spans="1:38">
      <c r="A511" s="28">
        <f>IF(B511="","",SalePrefix&amp;TEXT(ROW()-4,"0000"))</f>
        <v>0</v>
      </c>
      <c r="E511" s="15">
        <f>IF(D511="","",IFERROR(INDEX(Clients!$B$5:$B$504,MATCH(D511,Clients!$A$5:$A$504,0)),"Walk-in"))</f>
        <v>0</v>
      </c>
      <c r="G511" s="15">
        <f>IF(F511="","",IFERROR(INDEX(Staff!$B$5:$B$44,MATCH(F511,Staff!$A$5:$A$44,0)),"House"))</f>
        <v>0</v>
      </c>
      <c r="R511" s="15">
        <f>IF(B511="","",TEXT(B511,"yyyy-mm"))</f>
        <v>0</v>
      </c>
      <c r="S511" s="25">
        <f>IF(B511="","",WEEKNUM(B511,2))</f>
        <v>0</v>
      </c>
      <c r="T511" s="37">
        <f>IF(B511="","",IF(K511="",1,K511))</f>
        <v>0</v>
      </c>
      <c r="U511" s="15">
        <f>IF(B511="","",IF(J511&lt;&gt;"",J511,IF(H511="Retail",IFERROR(INDEX(Inventory!$B$5:$B$304,MATCH(I511,Inventory!$A$5:$A$304,0))&amp;"","Not in Inventory"),IFERROR(INDEX(Services!$B$5:$B$204,MATCH(I511,Services!$A$5:$A$204,0))&amp;"","Not in Services"))))</f>
        <v>0</v>
      </c>
      <c r="V511" s="26">
        <f>IF(B511="","",IF(L511&lt;&gt;"",L511,IF(H511="Retail",IFERROR(INDEX(Inventory!$I$5:$I$304,MATCH(I511,Inventory!$A$5:$A$304,0))*1,0),IFERROR(INDEX(Services!$G$5:$G$204,MATCH(I511,Services!$A$5:$A$204,0))*1,0))))</f>
        <v>0</v>
      </c>
      <c r="W511" s="26">
        <f>IF(B511="","",ROUND(T511*V511,2))</f>
        <v>0</v>
      </c>
      <c r="X511" s="26">
        <f>IF(B511="","",ROUND(IF(M511="",0,W511*M511)+IF(N511="",0,N511),2))</f>
        <v>0</v>
      </c>
      <c r="Y511" s="26">
        <f>IF(B511="","",ROUND(W511-X511-IF(P511="",0,P511),2))</f>
        <v>0</v>
      </c>
      <c r="Z511" s="26">
        <f>IF(B511="","",IF(H511="Retail",IF(TaxOnRetail="Yes",ROUND(Y511*TaxRate,2),0),IF(H511="Service",IF(TaxOnServices="Yes",ROUND(Y511*TaxRate,2),0),0)))</f>
        <v>0</v>
      </c>
      <c r="AA511" s="26">
        <f>IF(B511="","",ROUND(Y511+Z511,2))</f>
        <v>0</v>
      </c>
      <c r="AB511" s="26">
        <f>IF(B511="","",ROUND(T511*IF(H511="Retail",IFERROR(INDEX(Inventory!$H$5:$H$304,MATCH(I511,Inventory!$A$5:$A$304,0))*1,0),IFERROR(INDEX(Services!$Q$5:$Q$204,MATCH(I511,Services!$A$5:$A$204,0))*1,0)),2))</f>
        <v>0</v>
      </c>
      <c r="AC511" s="26">
        <f>IF(B511="","",ROUND(Y511-AB511,2))</f>
        <v>0</v>
      </c>
      <c r="AD511" s="38">
        <f>IF(B511="","",IF(C511="","No",IF(COUNTIFS($C$5:C511,C511)=1,"Yes","No")))</f>
        <v>0</v>
      </c>
      <c r="AE511" s="26">
        <f>IF(B511="","",ROUND(SUMIFS(Payments!$G$5:$G$1204,Payments!$H$5:$H$1204,A511,Payments!$Q$5:$Q$1204,"Yes"),2))</f>
        <v>0</v>
      </c>
      <c r="AF511" s="26">
        <f>IF(B511="","",IF(AD511="No",0,ROUND(SUMIFS(Payments!$G$5:$G$1204,Payments!$I$5:$I$1204,C511,Payments!$H$5:$H$1204,"",Payments!$Q$5:$Q$1204,"Yes"),2)))</f>
        <v>0</v>
      </c>
      <c r="AG511" s="26">
        <f>IF(B511="","",ROUND(AE511+AF511,2))</f>
        <v>0</v>
      </c>
      <c r="AH511" s="26">
        <f>IF(B511="","",ROUND(AA511-AG511,2))</f>
        <v>0</v>
      </c>
      <c r="AI511" s="39">
        <f>IF(B511="","",IF(AA511&lt;=0,"No charge",IF(AH511&lt;=0.004,"Paid",IF(AG511&lt;=0.004,"Unpaid","Part paid"))))</f>
        <v>0</v>
      </c>
      <c r="AJ511" s="38">
        <f>IF(B511="","",IF(H511&lt;&gt;"Service","",IF(D511="","No",IF(COUNTIFS($D$5:$D$1204,D511,$B$5:$B$1204,B511,$H$5:$H$1204,"Retail")&gt;0,"Yes","No"))))</f>
        <v>0</v>
      </c>
      <c r="AK511" s="25">
        <f>IF(B511="","",COUNTIFS($Y$5:$Y$1204,"&gt;"&amp;Y511)+COUNTIFS($Y$5:Y511,Y511))</f>
        <v>0</v>
      </c>
      <c r="AL511" s="39">
        <f>IF(B511="","",IF(H511="","Add - what kind of sale is this?",IF(IF(V511&lt;=0,P511="",FALSE),"Check - no price found for this item",IF(F511="","Assign - nobody credited",IF(AH511&gt;0.004,"Unpaid - balance outstanding",IF(AC511&lt;0,"Loss - sold below cost",IF(X511&gt;W511*0.5,"Check - more than half off","OK")))))))</f>
        <v>0</v>
      </c>
    </row>
    <row r="512" spans="1:38">
      <c r="A512" s="28">
        <f>IF(B512="","",SalePrefix&amp;TEXT(ROW()-4,"0000"))</f>
        <v>0</v>
      </c>
      <c r="E512" s="15">
        <f>IF(D512="","",IFERROR(INDEX(Clients!$B$5:$B$504,MATCH(D512,Clients!$A$5:$A$504,0)),"Walk-in"))</f>
        <v>0</v>
      </c>
      <c r="G512" s="15">
        <f>IF(F512="","",IFERROR(INDEX(Staff!$B$5:$B$44,MATCH(F512,Staff!$A$5:$A$44,0)),"House"))</f>
        <v>0</v>
      </c>
      <c r="R512" s="15">
        <f>IF(B512="","",TEXT(B512,"yyyy-mm"))</f>
        <v>0</v>
      </c>
      <c r="S512" s="25">
        <f>IF(B512="","",WEEKNUM(B512,2))</f>
        <v>0</v>
      </c>
      <c r="T512" s="37">
        <f>IF(B512="","",IF(K512="",1,K512))</f>
        <v>0</v>
      </c>
      <c r="U512" s="15">
        <f>IF(B512="","",IF(J512&lt;&gt;"",J512,IF(H512="Retail",IFERROR(INDEX(Inventory!$B$5:$B$304,MATCH(I512,Inventory!$A$5:$A$304,0))&amp;"","Not in Inventory"),IFERROR(INDEX(Services!$B$5:$B$204,MATCH(I512,Services!$A$5:$A$204,0))&amp;"","Not in Services"))))</f>
        <v>0</v>
      </c>
      <c r="V512" s="26">
        <f>IF(B512="","",IF(L512&lt;&gt;"",L512,IF(H512="Retail",IFERROR(INDEX(Inventory!$I$5:$I$304,MATCH(I512,Inventory!$A$5:$A$304,0))*1,0),IFERROR(INDEX(Services!$G$5:$G$204,MATCH(I512,Services!$A$5:$A$204,0))*1,0))))</f>
        <v>0</v>
      </c>
      <c r="W512" s="26">
        <f>IF(B512="","",ROUND(T512*V512,2))</f>
        <v>0</v>
      </c>
      <c r="X512" s="26">
        <f>IF(B512="","",ROUND(IF(M512="",0,W512*M512)+IF(N512="",0,N512),2))</f>
        <v>0</v>
      </c>
      <c r="Y512" s="26">
        <f>IF(B512="","",ROUND(W512-X512-IF(P512="",0,P512),2))</f>
        <v>0</v>
      </c>
      <c r="Z512" s="26">
        <f>IF(B512="","",IF(H512="Retail",IF(TaxOnRetail="Yes",ROUND(Y512*TaxRate,2),0),IF(H512="Service",IF(TaxOnServices="Yes",ROUND(Y512*TaxRate,2),0),0)))</f>
        <v>0</v>
      </c>
      <c r="AA512" s="26">
        <f>IF(B512="","",ROUND(Y512+Z512,2))</f>
        <v>0</v>
      </c>
      <c r="AB512" s="26">
        <f>IF(B512="","",ROUND(T512*IF(H512="Retail",IFERROR(INDEX(Inventory!$H$5:$H$304,MATCH(I512,Inventory!$A$5:$A$304,0))*1,0),IFERROR(INDEX(Services!$Q$5:$Q$204,MATCH(I512,Services!$A$5:$A$204,0))*1,0)),2))</f>
        <v>0</v>
      </c>
      <c r="AC512" s="26">
        <f>IF(B512="","",ROUND(Y512-AB512,2))</f>
        <v>0</v>
      </c>
      <c r="AD512" s="38">
        <f>IF(B512="","",IF(C512="","No",IF(COUNTIFS($C$5:C512,C512)=1,"Yes","No")))</f>
        <v>0</v>
      </c>
      <c r="AE512" s="26">
        <f>IF(B512="","",ROUND(SUMIFS(Payments!$G$5:$G$1204,Payments!$H$5:$H$1204,A512,Payments!$Q$5:$Q$1204,"Yes"),2))</f>
        <v>0</v>
      </c>
      <c r="AF512" s="26">
        <f>IF(B512="","",IF(AD512="No",0,ROUND(SUMIFS(Payments!$G$5:$G$1204,Payments!$I$5:$I$1204,C512,Payments!$H$5:$H$1204,"",Payments!$Q$5:$Q$1204,"Yes"),2)))</f>
        <v>0</v>
      </c>
      <c r="AG512" s="26">
        <f>IF(B512="","",ROUND(AE512+AF512,2))</f>
        <v>0</v>
      </c>
      <c r="AH512" s="26">
        <f>IF(B512="","",ROUND(AA512-AG512,2))</f>
        <v>0</v>
      </c>
      <c r="AI512" s="39">
        <f>IF(B512="","",IF(AA512&lt;=0,"No charge",IF(AH512&lt;=0.004,"Paid",IF(AG512&lt;=0.004,"Unpaid","Part paid"))))</f>
        <v>0</v>
      </c>
      <c r="AJ512" s="38">
        <f>IF(B512="","",IF(H512&lt;&gt;"Service","",IF(D512="","No",IF(COUNTIFS($D$5:$D$1204,D512,$B$5:$B$1204,B512,$H$5:$H$1204,"Retail")&gt;0,"Yes","No"))))</f>
        <v>0</v>
      </c>
      <c r="AK512" s="25">
        <f>IF(B512="","",COUNTIFS($Y$5:$Y$1204,"&gt;"&amp;Y512)+COUNTIFS($Y$5:Y512,Y512))</f>
        <v>0</v>
      </c>
      <c r="AL512" s="39">
        <f>IF(B512="","",IF(H512="","Add - what kind of sale is this?",IF(IF(V512&lt;=0,P512="",FALSE),"Check - no price found for this item",IF(F512="","Assign - nobody credited",IF(AH512&gt;0.004,"Unpaid - balance outstanding",IF(AC512&lt;0,"Loss - sold below cost",IF(X512&gt;W512*0.5,"Check - more than half off","OK")))))))</f>
        <v>0</v>
      </c>
    </row>
    <row r="513" spans="1:38">
      <c r="A513" s="28">
        <f>IF(B513="","",SalePrefix&amp;TEXT(ROW()-4,"0000"))</f>
        <v>0</v>
      </c>
      <c r="E513" s="15">
        <f>IF(D513="","",IFERROR(INDEX(Clients!$B$5:$B$504,MATCH(D513,Clients!$A$5:$A$504,0)),"Walk-in"))</f>
        <v>0</v>
      </c>
      <c r="G513" s="15">
        <f>IF(F513="","",IFERROR(INDEX(Staff!$B$5:$B$44,MATCH(F513,Staff!$A$5:$A$44,0)),"House"))</f>
        <v>0</v>
      </c>
      <c r="R513" s="15">
        <f>IF(B513="","",TEXT(B513,"yyyy-mm"))</f>
        <v>0</v>
      </c>
      <c r="S513" s="25">
        <f>IF(B513="","",WEEKNUM(B513,2))</f>
        <v>0</v>
      </c>
      <c r="T513" s="37">
        <f>IF(B513="","",IF(K513="",1,K513))</f>
        <v>0</v>
      </c>
      <c r="U513" s="15">
        <f>IF(B513="","",IF(J513&lt;&gt;"",J513,IF(H513="Retail",IFERROR(INDEX(Inventory!$B$5:$B$304,MATCH(I513,Inventory!$A$5:$A$304,0))&amp;"","Not in Inventory"),IFERROR(INDEX(Services!$B$5:$B$204,MATCH(I513,Services!$A$5:$A$204,0))&amp;"","Not in Services"))))</f>
        <v>0</v>
      </c>
      <c r="V513" s="26">
        <f>IF(B513="","",IF(L513&lt;&gt;"",L513,IF(H513="Retail",IFERROR(INDEX(Inventory!$I$5:$I$304,MATCH(I513,Inventory!$A$5:$A$304,0))*1,0),IFERROR(INDEX(Services!$G$5:$G$204,MATCH(I513,Services!$A$5:$A$204,0))*1,0))))</f>
        <v>0</v>
      </c>
      <c r="W513" s="26">
        <f>IF(B513="","",ROUND(T513*V513,2))</f>
        <v>0</v>
      </c>
      <c r="X513" s="26">
        <f>IF(B513="","",ROUND(IF(M513="",0,W513*M513)+IF(N513="",0,N513),2))</f>
        <v>0</v>
      </c>
      <c r="Y513" s="26">
        <f>IF(B513="","",ROUND(W513-X513-IF(P513="",0,P513),2))</f>
        <v>0</v>
      </c>
      <c r="Z513" s="26">
        <f>IF(B513="","",IF(H513="Retail",IF(TaxOnRetail="Yes",ROUND(Y513*TaxRate,2),0),IF(H513="Service",IF(TaxOnServices="Yes",ROUND(Y513*TaxRate,2),0),0)))</f>
        <v>0</v>
      </c>
      <c r="AA513" s="26">
        <f>IF(B513="","",ROUND(Y513+Z513,2))</f>
        <v>0</v>
      </c>
      <c r="AB513" s="26">
        <f>IF(B513="","",ROUND(T513*IF(H513="Retail",IFERROR(INDEX(Inventory!$H$5:$H$304,MATCH(I513,Inventory!$A$5:$A$304,0))*1,0),IFERROR(INDEX(Services!$Q$5:$Q$204,MATCH(I513,Services!$A$5:$A$204,0))*1,0)),2))</f>
        <v>0</v>
      </c>
      <c r="AC513" s="26">
        <f>IF(B513="","",ROUND(Y513-AB513,2))</f>
        <v>0</v>
      </c>
      <c r="AD513" s="38">
        <f>IF(B513="","",IF(C513="","No",IF(COUNTIFS($C$5:C513,C513)=1,"Yes","No")))</f>
        <v>0</v>
      </c>
      <c r="AE513" s="26">
        <f>IF(B513="","",ROUND(SUMIFS(Payments!$G$5:$G$1204,Payments!$H$5:$H$1204,A513,Payments!$Q$5:$Q$1204,"Yes"),2))</f>
        <v>0</v>
      </c>
      <c r="AF513" s="26">
        <f>IF(B513="","",IF(AD513="No",0,ROUND(SUMIFS(Payments!$G$5:$G$1204,Payments!$I$5:$I$1204,C513,Payments!$H$5:$H$1204,"",Payments!$Q$5:$Q$1204,"Yes"),2)))</f>
        <v>0</v>
      </c>
      <c r="AG513" s="26">
        <f>IF(B513="","",ROUND(AE513+AF513,2))</f>
        <v>0</v>
      </c>
      <c r="AH513" s="26">
        <f>IF(B513="","",ROUND(AA513-AG513,2))</f>
        <v>0</v>
      </c>
      <c r="AI513" s="39">
        <f>IF(B513="","",IF(AA513&lt;=0,"No charge",IF(AH513&lt;=0.004,"Paid",IF(AG513&lt;=0.004,"Unpaid","Part paid"))))</f>
        <v>0</v>
      </c>
      <c r="AJ513" s="38">
        <f>IF(B513="","",IF(H513&lt;&gt;"Service","",IF(D513="","No",IF(COUNTIFS($D$5:$D$1204,D513,$B$5:$B$1204,B513,$H$5:$H$1204,"Retail")&gt;0,"Yes","No"))))</f>
        <v>0</v>
      </c>
      <c r="AK513" s="25">
        <f>IF(B513="","",COUNTIFS($Y$5:$Y$1204,"&gt;"&amp;Y513)+COUNTIFS($Y$5:Y513,Y513))</f>
        <v>0</v>
      </c>
      <c r="AL513" s="39">
        <f>IF(B513="","",IF(H513="","Add - what kind of sale is this?",IF(IF(V513&lt;=0,P513="",FALSE),"Check - no price found for this item",IF(F513="","Assign - nobody credited",IF(AH513&gt;0.004,"Unpaid - balance outstanding",IF(AC513&lt;0,"Loss - sold below cost",IF(X513&gt;W513*0.5,"Check - more than half off","OK")))))))</f>
        <v>0</v>
      </c>
    </row>
    <row r="514" spans="1:38">
      <c r="A514" s="28">
        <f>IF(B514="","",SalePrefix&amp;TEXT(ROW()-4,"0000"))</f>
        <v>0</v>
      </c>
      <c r="E514" s="15">
        <f>IF(D514="","",IFERROR(INDEX(Clients!$B$5:$B$504,MATCH(D514,Clients!$A$5:$A$504,0)),"Walk-in"))</f>
        <v>0</v>
      </c>
      <c r="G514" s="15">
        <f>IF(F514="","",IFERROR(INDEX(Staff!$B$5:$B$44,MATCH(F514,Staff!$A$5:$A$44,0)),"House"))</f>
        <v>0</v>
      </c>
      <c r="R514" s="15">
        <f>IF(B514="","",TEXT(B514,"yyyy-mm"))</f>
        <v>0</v>
      </c>
      <c r="S514" s="25">
        <f>IF(B514="","",WEEKNUM(B514,2))</f>
        <v>0</v>
      </c>
      <c r="T514" s="37">
        <f>IF(B514="","",IF(K514="",1,K514))</f>
        <v>0</v>
      </c>
      <c r="U514" s="15">
        <f>IF(B514="","",IF(J514&lt;&gt;"",J514,IF(H514="Retail",IFERROR(INDEX(Inventory!$B$5:$B$304,MATCH(I514,Inventory!$A$5:$A$304,0))&amp;"","Not in Inventory"),IFERROR(INDEX(Services!$B$5:$B$204,MATCH(I514,Services!$A$5:$A$204,0))&amp;"","Not in Services"))))</f>
        <v>0</v>
      </c>
      <c r="V514" s="26">
        <f>IF(B514="","",IF(L514&lt;&gt;"",L514,IF(H514="Retail",IFERROR(INDEX(Inventory!$I$5:$I$304,MATCH(I514,Inventory!$A$5:$A$304,0))*1,0),IFERROR(INDEX(Services!$G$5:$G$204,MATCH(I514,Services!$A$5:$A$204,0))*1,0))))</f>
        <v>0</v>
      </c>
      <c r="W514" s="26">
        <f>IF(B514="","",ROUND(T514*V514,2))</f>
        <v>0</v>
      </c>
      <c r="X514" s="26">
        <f>IF(B514="","",ROUND(IF(M514="",0,W514*M514)+IF(N514="",0,N514),2))</f>
        <v>0</v>
      </c>
      <c r="Y514" s="26">
        <f>IF(B514="","",ROUND(W514-X514-IF(P514="",0,P514),2))</f>
        <v>0</v>
      </c>
      <c r="Z514" s="26">
        <f>IF(B514="","",IF(H514="Retail",IF(TaxOnRetail="Yes",ROUND(Y514*TaxRate,2),0),IF(H514="Service",IF(TaxOnServices="Yes",ROUND(Y514*TaxRate,2),0),0)))</f>
        <v>0</v>
      </c>
      <c r="AA514" s="26">
        <f>IF(B514="","",ROUND(Y514+Z514,2))</f>
        <v>0</v>
      </c>
      <c r="AB514" s="26">
        <f>IF(B514="","",ROUND(T514*IF(H514="Retail",IFERROR(INDEX(Inventory!$H$5:$H$304,MATCH(I514,Inventory!$A$5:$A$304,0))*1,0),IFERROR(INDEX(Services!$Q$5:$Q$204,MATCH(I514,Services!$A$5:$A$204,0))*1,0)),2))</f>
        <v>0</v>
      </c>
      <c r="AC514" s="26">
        <f>IF(B514="","",ROUND(Y514-AB514,2))</f>
        <v>0</v>
      </c>
      <c r="AD514" s="38">
        <f>IF(B514="","",IF(C514="","No",IF(COUNTIFS($C$5:C514,C514)=1,"Yes","No")))</f>
        <v>0</v>
      </c>
      <c r="AE514" s="26">
        <f>IF(B514="","",ROUND(SUMIFS(Payments!$G$5:$G$1204,Payments!$H$5:$H$1204,A514,Payments!$Q$5:$Q$1204,"Yes"),2))</f>
        <v>0</v>
      </c>
      <c r="AF514" s="26">
        <f>IF(B514="","",IF(AD514="No",0,ROUND(SUMIFS(Payments!$G$5:$G$1204,Payments!$I$5:$I$1204,C514,Payments!$H$5:$H$1204,"",Payments!$Q$5:$Q$1204,"Yes"),2)))</f>
        <v>0</v>
      </c>
      <c r="AG514" s="26">
        <f>IF(B514="","",ROUND(AE514+AF514,2))</f>
        <v>0</v>
      </c>
      <c r="AH514" s="26">
        <f>IF(B514="","",ROUND(AA514-AG514,2))</f>
        <v>0</v>
      </c>
      <c r="AI514" s="39">
        <f>IF(B514="","",IF(AA514&lt;=0,"No charge",IF(AH514&lt;=0.004,"Paid",IF(AG514&lt;=0.004,"Unpaid","Part paid"))))</f>
        <v>0</v>
      </c>
      <c r="AJ514" s="38">
        <f>IF(B514="","",IF(H514&lt;&gt;"Service","",IF(D514="","No",IF(COUNTIFS($D$5:$D$1204,D514,$B$5:$B$1204,B514,$H$5:$H$1204,"Retail")&gt;0,"Yes","No"))))</f>
        <v>0</v>
      </c>
      <c r="AK514" s="25">
        <f>IF(B514="","",COUNTIFS($Y$5:$Y$1204,"&gt;"&amp;Y514)+COUNTIFS($Y$5:Y514,Y514))</f>
        <v>0</v>
      </c>
      <c r="AL514" s="39">
        <f>IF(B514="","",IF(H514="","Add - what kind of sale is this?",IF(IF(V514&lt;=0,P514="",FALSE),"Check - no price found for this item",IF(F514="","Assign - nobody credited",IF(AH514&gt;0.004,"Unpaid - balance outstanding",IF(AC514&lt;0,"Loss - sold below cost",IF(X514&gt;W514*0.5,"Check - more than half off","OK")))))))</f>
        <v>0</v>
      </c>
    </row>
    <row r="515" spans="1:38">
      <c r="A515" s="28">
        <f>IF(B515="","",SalePrefix&amp;TEXT(ROW()-4,"0000"))</f>
        <v>0</v>
      </c>
      <c r="E515" s="15">
        <f>IF(D515="","",IFERROR(INDEX(Clients!$B$5:$B$504,MATCH(D515,Clients!$A$5:$A$504,0)),"Walk-in"))</f>
        <v>0</v>
      </c>
      <c r="G515" s="15">
        <f>IF(F515="","",IFERROR(INDEX(Staff!$B$5:$B$44,MATCH(F515,Staff!$A$5:$A$44,0)),"House"))</f>
        <v>0</v>
      </c>
      <c r="R515" s="15">
        <f>IF(B515="","",TEXT(B515,"yyyy-mm"))</f>
        <v>0</v>
      </c>
      <c r="S515" s="25">
        <f>IF(B515="","",WEEKNUM(B515,2))</f>
        <v>0</v>
      </c>
      <c r="T515" s="37">
        <f>IF(B515="","",IF(K515="",1,K515))</f>
        <v>0</v>
      </c>
      <c r="U515" s="15">
        <f>IF(B515="","",IF(J515&lt;&gt;"",J515,IF(H515="Retail",IFERROR(INDEX(Inventory!$B$5:$B$304,MATCH(I515,Inventory!$A$5:$A$304,0))&amp;"","Not in Inventory"),IFERROR(INDEX(Services!$B$5:$B$204,MATCH(I515,Services!$A$5:$A$204,0))&amp;"","Not in Services"))))</f>
        <v>0</v>
      </c>
      <c r="V515" s="26">
        <f>IF(B515="","",IF(L515&lt;&gt;"",L515,IF(H515="Retail",IFERROR(INDEX(Inventory!$I$5:$I$304,MATCH(I515,Inventory!$A$5:$A$304,0))*1,0),IFERROR(INDEX(Services!$G$5:$G$204,MATCH(I515,Services!$A$5:$A$204,0))*1,0))))</f>
        <v>0</v>
      </c>
      <c r="W515" s="26">
        <f>IF(B515="","",ROUND(T515*V515,2))</f>
        <v>0</v>
      </c>
      <c r="X515" s="26">
        <f>IF(B515="","",ROUND(IF(M515="",0,W515*M515)+IF(N515="",0,N515),2))</f>
        <v>0</v>
      </c>
      <c r="Y515" s="26">
        <f>IF(B515="","",ROUND(W515-X515-IF(P515="",0,P515),2))</f>
        <v>0</v>
      </c>
      <c r="Z515" s="26">
        <f>IF(B515="","",IF(H515="Retail",IF(TaxOnRetail="Yes",ROUND(Y515*TaxRate,2),0),IF(H515="Service",IF(TaxOnServices="Yes",ROUND(Y515*TaxRate,2),0),0)))</f>
        <v>0</v>
      </c>
      <c r="AA515" s="26">
        <f>IF(B515="","",ROUND(Y515+Z515,2))</f>
        <v>0</v>
      </c>
      <c r="AB515" s="26">
        <f>IF(B515="","",ROUND(T515*IF(H515="Retail",IFERROR(INDEX(Inventory!$H$5:$H$304,MATCH(I515,Inventory!$A$5:$A$304,0))*1,0),IFERROR(INDEX(Services!$Q$5:$Q$204,MATCH(I515,Services!$A$5:$A$204,0))*1,0)),2))</f>
        <v>0</v>
      </c>
      <c r="AC515" s="26">
        <f>IF(B515="","",ROUND(Y515-AB515,2))</f>
        <v>0</v>
      </c>
      <c r="AD515" s="38">
        <f>IF(B515="","",IF(C515="","No",IF(COUNTIFS($C$5:C515,C515)=1,"Yes","No")))</f>
        <v>0</v>
      </c>
      <c r="AE515" s="26">
        <f>IF(B515="","",ROUND(SUMIFS(Payments!$G$5:$G$1204,Payments!$H$5:$H$1204,A515,Payments!$Q$5:$Q$1204,"Yes"),2))</f>
        <v>0</v>
      </c>
      <c r="AF515" s="26">
        <f>IF(B515="","",IF(AD515="No",0,ROUND(SUMIFS(Payments!$G$5:$G$1204,Payments!$I$5:$I$1204,C515,Payments!$H$5:$H$1204,"",Payments!$Q$5:$Q$1204,"Yes"),2)))</f>
        <v>0</v>
      </c>
      <c r="AG515" s="26">
        <f>IF(B515="","",ROUND(AE515+AF515,2))</f>
        <v>0</v>
      </c>
      <c r="AH515" s="26">
        <f>IF(B515="","",ROUND(AA515-AG515,2))</f>
        <v>0</v>
      </c>
      <c r="AI515" s="39">
        <f>IF(B515="","",IF(AA515&lt;=0,"No charge",IF(AH515&lt;=0.004,"Paid",IF(AG515&lt;=0.004,"Unpaid","Part paid"))))</f>
        <v>0</v>
      </c>
      <c r="AJ515" s="38">
        <f>IF(B515="","",IF(H515&lt;&gt;"Service","",IF(D515="","No",IF(COUNTIFS($D$5:$D$1204,D515,$B$5:$B$1204,B515,$H$5:$H$1204,"Retail")&gt;0,"Yes","No"))))</f>
        <v>0</v>
      </c>
      <c r="AK515" s="25">
        <f>IF(B515="","",COUNTIFS($Y$5:$Y$1204,"&gt;"&amp;Y515)+COUNTIFS($Y$5:Y515,Y515))</f>
        <v>0</v>
      </c>
      <c r="AL515" s="39">
        <f>IF(B515="","",IF(H515="","Add - what kind of sale is this?",IF(IF(V515&lt;=0,P515="",FALSE),"Check - no price found for this item",IF(F515="","Assign - nobody credited",IF(AH515&gt;0.004,"Unpaid - balance outstanding",IF(AC515&lt;0,"Loss - sold below cost",IF(X515&gt;W515*0.5,"Check - more than half off","OK")))))))</f>
        <v>0</v>
      </c>
    </row>
    <row r="516" spans="1:38">
      <c r="A516" s="28">
        <f>IF(B516="","",SalePrefix&amp;TEXT(ROW()-4,"0000"))</f>
        <v>0</v>
      </c>
      <c r="E516" s="15">
        <f>IF(D516="","",IFERROR(INDEX(Clients!$B$5:$B$504,MATCH(D516,Clients!$A$5:$A$504,0)),"Walk-in"))</f>
        <v>0</v>
      </c>
      <c r="G516" s="15">
        <f>IF(F516="","",IFERROR(INDEX(Staff!$B$5:$B$44,MATCH(F516,Staff!$A$5:$A$44,0)),"House"))</f>
        <v>0</v>
      </c>
      <c r="R516" s="15">
        <f>IF(B516="","",TEXT(B516,"yyyy-mm"))</f>
        <v>0</v>
      </c>
      <c r="S516" s="25">
        <f>IF(B516="","",WEEKNUM(B516,2))</f>
        <v>0</v>
      </c>
      <c r="T516" s="37">
        <f>IF(B516="","",IF(K516="",1,K516))</f>
        <v>0</v>
      </c>
      <c r="U516" s="15">
        <f>IF(B516="","",IF(J516&lt;&gt;"",J516,IF(H516="Retail",IFERROR(INDEX(Inventory!$B$5:$B$304,MATCH(I516,Inventory!$A$5:$A$304,0))&amp;"","Not in Inventory"),IFERROR(INDEX(Services!$B$5:$B$204,MATCH(I516,Services!$A$5:$A$204,0))&amp;"","Not in Services"))))</f>
        <v>0</v>
      </c>
      <c r="V516" s="26">
        <f>IF(B516="","",IF(L516&lt;&gt;"",L516,IF(H516="Retail",IFERROR(INDEX(Inventory!$I$5:$I$304,MATCH(I516,Inventory!$A$5:$A$304,0))*1,0),IFERROR(INDEX(Services!$G$5:$G$204,MATCH(I516,Services!$A$5:$A$204,0))*1,0))))</f>
        <v>0</v>
      </c>
      <c r="W516" s="26">
        <f>IF(B516="","",ROUND(T516*V516,2))</f>
        <v>0</v>
      </c>
      <c r="X516" s="26">
        <f>IF(B516="","",ROUND(IF(M516="",0,W516*M516)+IF(N516="",0,N516),2))</f>
        <v>0</v>
      </c>
      <c r="Y516" s="26">
        <f>IF(B516="","",ROUND(W516-X516-IF(P516="",0,P516),2))</f>
        <v>0</v>
      </c>
      <c r="Z516" s="26">
        <f>IF(B516="","",IF(H516="Retail",IF(TaxOnRetail="Yes",ROUND(Y516*TaxRate,2),0),IF(H516="Service",IF(TaxOnServices="Yes",ROUND(Y516*TaxRate,2),0),0)))</f>
        <v>0</v>
      </c>
      <c r="AA516" s="26">
        <f>IF(B516="","",ROUND(Y516+Z516,2))</f>
        <v>0</v>
      </c>
      <c r="AB516" s="26">
        <f>IF(B516="","",ROUND(T516*IF(H516="Retail",IFERROR(INDEX(Inventory!$H$5:$H$304,MATCH(I516,Inventory!$A$5:$A$304,0))*1,0),IFERROR(INDEX(Services!$Q$5:$Q$204,MATCH(I516,Services!$A$5:$A$204,0))*1,0)),2))</f>
        <v>0</v>
      </c>
      <c r="AC516" s="26">
        <f>IF(B516="","",ROUND(Y516-AB516,2))</f>
        <v>0</v>
      </c>
      <c r="AD516" s="38">
        <f>IF(B516="","",IF(C516="","No",IF(COUNTIFS($C$5:C516,C516)=1,"Yes","No")))</f>
        <v>0</v>
      </c>
      <c r="AE516" s="26">
        <f>IF(B516="","",ROUND(SUMIFS(Payments!$G$5:$G$1204,Payments!$H$5:$H$1204,A516,Payments!$Q$5:$Q$1204,"Yes"),2))</f>
        <v>0</v>
      </c>
      <c r="AF516" s="26">
        <f>IF(B516="","",IF(AD516="No",0,ROUND(SUMIFS(Payments!$G$5:$G$1204,Payments!$I$5:$I$1204,C516,Payments!$H$5:$H$1204,"",Payments!$Q$5:$Q$1204,"Yes"),2)))</f>
        <v>0</v>
      </c>
      <c r="AG516" s="26">
        <f>IF(B516="","",ROUND(AE516+AF516,2))</f>
        <v>0</v>
      </c>
      <c r="AH516" s="26">
        <f>IF(B516="","",ROUND(AA516-AG516,2))</f>
        <v>0</v>
      </c>
      <c r="AI516" s="39">
        <f>IF(B516="","",IF(AA516&lt;=0,"No charge",IF(AH516&lt;=0.004,"Paid",IF(AG516&lt;=0.004,"Unpaid","Part paid"))))</f>
        <v>0</v>
      </c>
      <c r="AJ516" s="38">
        <f>IF(B516="","",IF(H516&lt;&gt;"Service","",IF(D516="","No",IF(COUNTIFS($D$5:$D$1204,D516,$B$5:$B$1204,B516,$H$5:$H$1204,"Retail")&gt;0,"Yes","No"))))</f>
        <v>0</v>
      </c>
      <c r="AK516" s="25">
        <f>IF(B516="","",COUNTIFS($Y$5:$Y$1204,"&gt;"&amp;Y516)+COUNTIFS($Y$5:Y516,Y516))</f>
        <v>0</v>
      </c>
      <c r="AL516" s="39">
        <f>IF(B516="","",IF(H516="","Add - what kind of sale is this?",IF(IF(V516&lt;=0,P516="",FALSE),"Check - no price found for this item",IF(F516="","Assign - nobody credited",IF(AH516&gt;0.004,"Unpaid - balance outstanding",IF(AC516&lt;0,"Loss - sold below cost",IF(X516&gt;W516*0.5,"Check - more than half off","OK")))))))</f>
        <v>0</v>
      </c>
    </row>
    <row r="517" spans="1:38">
      <c r="A517" s="28">
        <f>IF(B517="","",SalePrefix&amp;TEXT(ROW()-4,"0000"))</f>
        <v>0</v>
      </c>
      <c r="E517" s="15">
        <f>IF(D517="","",IFERROR(INDEX(Clients!$B$5:$B$504,MATCH(D517,Clients!$A$5:$A$504,0)),"Walk-in"))</f>
        <v>0</v>
      </c>
      <c r="G517" s="15">
        <f>IF(F517="","",IFERROR(INDEX(Staff!$B$5:$B$44,MATCH(F517,Staff!$A$5:$A$44,0)),"House"))</f>
        <v>0</v>
      </c>
      <c r="R517" s="15">
        <f>IF(B517="","",TEXT(B517,"yyyy-mm"))</f>
        <v>0</v>
      </c>
      <c r="S517" s="25">
        <f>IF(B517="","",WEEKNUM(B517,2))</f>
        <v>0</v>
      </c>
      <c r="T517" s="37">
        <f>IF(B517="","",IF(K517="",1,K517))</f>
        <v>0</v>
      </c>
      <c r="U517" s="15">
        <f>IF(B517="","",IF(J517&lt;&gt;"",J517,IF(H517="Retail",IFERROR(INDEX(Inventory!$B$5:$B$304,MATCH(I517,Inventory!$A$5:$A$304,0))&amp;"","Not in Inventory"),IFERROR(INDEX(Services!$B$5:$B$204,MATCH(I517,Services!$A$5:$A$204,0))&amp;"","Not in Services"))))</f>
        <v>0</v>
      </c>
      <c r="V517" s="26">
        <f>IF(B517="","",IF(L517&lt;&gt;"",L517,IF(H517="Retail",IFERROR(INDEX(Inventory!$I$5:$I$304,MATCH(I517,Inventory!$A$5:$A$304,0))*1,0),IFERROR(INDEX(Services!$G$5:$G$204,MATCH(I517,Services!$A$5:$A$204,0))*1,0))))</f>
        <v>0</v>
      </c>
      <c r="W517" s="26">
        <f>IF(B517="","",ROUND(T517*V517,2))</f>
        <v>0</v>
      </c>
      <c r="X517" s="26">
        <f>IF(B517="","",ROUND(IF(M517="",0,W517*M517)+IF(N517="",0,N517),2))</f>
        <v>0</v>
      </c>
      <c r="Y517" s="26">
        <f>IF(B517="","",ROUND(W517-X517-IF(P517="",0,P517),2))</f>
        <v>0</v>
      </c>
      <c r="Z517" s="26">
        <f>IF(B517="","",IF(H517="Retail",IF(TaxOnRetail="Yes",ROUND(Y517*TaxRate,2),0),IF(H517="Service",IF(TaxOnServices="Yes",ROUND(Y517*TaxRate,2),0),0)))</f>
        <v>0</v>
      </c>
      <c r="AA517" s="26">
        <f>IF(B517="","",ROUND(Y517+Z517,2))</f>
        <v>0</v>
      </c>
      <c r="AB517" s="26">
        <f>IF(B517="","",ROUND(T517*IF(H517="Retail",IFERROR(INDEX(Inventory!$H$5:$H$304,MATCH(I517,Inventory!$A$5:$A$304,0))*1,0),IFERROR(INDEX(Services!$Q$5:$Q$204,MATCH(I517,Services!$A$5:$A$204,0))*1,0)),2))</f>
        <v>0</v>
      </c>
      <c r="AC517" s="26">
        <f>IF(B517="","",ROUND(Y517-AB517,2))</f>
        <v>0</v>
      </c>
      <c r="AD517" s="38">
        <f>IF(B517="","",IF(C517="","No",IF(COUNTIFS($C$5:C517,C517)=1,"Yes","No")))</f>
        <v>0</v>
      </c>
      <c r="AE517" s="26">
        <f>IF(B517="","",ROUND(SUMIFS(Payments!$G$5:$G$1204,Payments!$H$5:$H$1204,A517,Payments!$Q$5:$Q$1204,"Yes"),2))</f>
        <v>0</v>
      </c>
      <c r="AF517" s="26">
        <f>IF(B517="","",IF(AD517="No",0,ROUND(SUMIFS(Payments!$G$5:$G$1204,Payments!$I$5:$I$1204,C517,Payments!$H$5:$H$1204,"",Payments!$Q$5:$Q$1204,"Yes"),2)))</f>
        <v>0</v>
      </c>
      <c r="AG517" s="26">
        <f>IF(B517="","",ROUND(AE517+AF517,2))</f>
        <v>0</v>
      </c>
      <c r="AH517" s="26">
        <f>IF(B517="","",ROUND(AA517-AG517,2))</f>
        <v>0</v>
      </c>
      <c r="AI517" s="39">
        <f>IF(B517="","",IF(AA517&lt;=0,"No charge",IF(AH517&lt;=0.004,"Paid",IF(AG517&lt;=0.004,"Unpaid","Part paid"))))</f>
        <v>0</v>
      </c>
      <c r="AJ517" s="38">
        <f>IF(B517="","",IF(H517&lt;&gt;"Service","",IF(D517="","No",IF(COUNTIFS($D$5:$D$1204,D517,$B$5:$B$1204,B517,$H$5:$H$1204,"Retail")&gt;0,"Yes","No"))))</f>
        <v>0</v>
      </c>
      <c r="AK517" s="25">
        <f>IF(B517="","",COUNTIFS($Y$5:$Y$1204,"&gt;"&amp;Y517)+COUNTIFS($Y$5:Y517,Y517))</f>
        <v>0</v>
      </c>
      <c r="AL517" s="39">
        <f>IF(B517="","",IF(H517="","Add - what kind of sale is this?",IF(IF(V517&lt;=0,P517="",FALSE),"Check - no price found for this item",IF(F517="","Assign - nobody credited",IF(AH517&gt;0.004,"Unpaid - balance outstanding",IF(AC517&lt;0,"Loss - sold below cost",IF(X517&gt;W517*0.5,"Check - more than half off","OK")))))))</f>
        <v>0</v>
      </c>
    </row>
    <row r="518" spans="1:38">
      <c r="A518" s="28">
        <f>IF(B518="","",SalePrefix&amp;TEXT(ROW()-4,"0000"))</f>
        <v>0</v>
      </c>
      <c r="E518" s="15">
        <f>IF(D518="","",IFERROR(INDEX(Clients!$B$5:$B$504,MATCH(D518,Clients!$A$5:$A$504,0)),"Walk-in"))</f>
        <v>0</v>
      </c>
      <c r="G518" s="15">
        <f>IF(F518="","",IFERROR(INDEX(Staff!$B$5:$B$44,MATCH(F518,Staff!$A$5:$A$44,0)),"House"))</f>
        <v>0</v>
      </c>
      <c r="R518" s="15">
        <f>IF(B518="","",TEXT(B518,"yyyy-mm"))</f>
        <v>0</v>
      </c>
      <c r="S518" s="25">
        <f>IF(B518="","",WEEKNUM(B518,2))</f>
        <v>0</v>
      </c>
      <c r="T518" s="37">
        <f>IF(B518="","",IF(K518="",1,K518))</f>
        <v>0</v>
      </c>
      <c r="U518" s="15">
        <f>IF(B518="","",IF(J518&lt;&gt;"",J518,IF(H518="Retail",IFERROR(INDEX(Inventory!$B$5:$B$304,MATCH(I518,Inventory!$A$5:$A$304,0))&amp;"","Not in Inventory"),IFERROR(INDEX(Services!$B$5:$B$204,MATCH(I518,Services!$A$5:$A$204,0))&amp;"","Not in Services"))))</f>
        <v>0</v>
      </c>
      <c r="V518" s="26">
        <f>IF(B518="","",IF(L518&lt;&gt;"",L518,IF(H518="Retail",IFERROR(INDEX(Inventory!$I$5:$I$304,MATCH(I518,Inventory!$A$5:$A$304,0))*1,0),IFERROR(INDEX(Services!$G$5:$G$204,MATCH(I518,Services!$A$5:$A$204,0))*1,0))))</f>
        <v>0</v>
      </c>
      <c r="W518" s="26">
        <f>IF(B518="","",ROUND(T518*V518,2))</f>
        <v>0</v>
      </c>
      <c r="X518" s="26">
        <f>IF(B518="","",ROUND(IF(M518="",0,W518*M518)+IF(N518="",0,N518),2))</f>
        <v>0</v>
      </c>
      <c r="Y518" s="26">
        <f>IF(B518="","",ROUND(W518-X518-IF(P518="",0,P518),2))</f>
        <v>0</v>
      </c>
      <c r="Z518" s="26">
        <f>IF(B518="","",IF(H518="Retail",IF(TaxOnRetail="Yes",ROUND(Y518*TaxRate,2),0),IF(H518="Service",IF(TaxOnServices="Yes",ROUND(Y518*TaxRate,2),0),0)))</f>
        <v>0</v>
      </c>
      <c r="AA518" s="26">
        <f>IF(B518="","",ROUND(Y518+Z518,2))</f>
        <v>0</v>
      </c>
      <c r="AB518" s="26">
        <f>IF(B518="","",ROUND(T518*IF(H518="Retail",IFERROR(INDEX(Inventory!$H$5:$H$304,MATCH(I518,Inventory!$A$5:$A$304,0))*1,0),IFERROR(INDEX(Services!$Q$5:$Q$204,MATCH(I518,Services!$A$5:$A$204,0))*1,0)),2))</f>
        <v>0</v>
      </c>
      <c r="AC518" s="26">
        <f>IF(B518="","",ROUND(Y518-AB518,2))</f>
        <v>0</v>
      </c>
      <c r="AD518" s="38">
        <f>IF(B518="","",IF(C518="","No",IF(COUNTIFS($C$5:C518,C518)=1,"Yes","No")))</f>
        <v>0</v>
      </c>
      <c r="AE518" s="26">
        <f>IF(B518="","",ROUND(SUMIFS(Payments!$G$5:$G$1204,Payments!$H$5:$H$1204,A518,Payments!$Q$5:$Q$1204,"Yes"),2))</f>
        <v>0</v>
      </c>
      <c r="AF518" s="26">
        <f>IF(B518="","",IF(AD518="No",0,ROUND(SUMIFS(Payments!$G$5:$G$1204,Payments!$I$5:$I$1204,C518,Payments!$H$5:$H$1204,"",Payments!$Q$5:$Q$1204,"Yes"),2)))</f>
        <v>0</v>
      </c>
      <c r="AG518" s="26">
        <f>IF(B518="","",ROUND(AE518+AF518,2))</f>
        <v>0</v>
      </c>
      <c r="AH518" s="26">
        <f>IF(B518="","",ROUND(AA518-AG518,2))</f>
        <v>0</v>
      </c>
      <c r="AI518" s="39">
        <f>IF(B518="","",IF(AA518&lt;=0,"No charge",IF(AH518&lt;=0.004,"Paid",IF(AG518&lt;=0.004,"Unpaid","Part paid"))))</f>
        <v>0</v>
      </c>
      <c r="AJ518" s="38">
        <f>IF(B518="","",IF(H518&lt;&gt;"Service","",IF(D518="","No",IF(COUNTIFS($D$5:$D$1204,D518,$B$5:$B$1204,B518,$H$5:$H$1204,"Retail")&gt;0,"Yes","No"))))</f>
        <v>0</v>
      </c>
      <c r="AK518" s="25">
        <f>IF(B518="","",COUNTIFS($Y$5:$Y$1204,"&gt;"&amp;Y518)+COUNTIFS($Y$5:Y518,Y518))</f>
        <v>0</v>
      </c>
      <c r="AL518" s="39">
        <f>IF(B518="","",IF(H518="","Add - what kind of sale is this?",IF(IF(V518&lt;=0,P518="",FALSE),"Check - no price found for this item",IF(F518="","Assign - nobody credited",IF(AH518&gt;0.004,"Unpaid - balance outstanding",IF(AC518&lt;0,"Loss - sold below cost",IF(X518&gt;W518*0.5,"Check - more than half off","OK")))))))</f>
        <v>0</v>
      </c>
    </row>
    <row r="519" spans="1:38">
      <c r="A519" s="28">
        <f>IF(B519="","",SalePrefix&amp;TEXT(ROW()-4,"0000"))</f>
        <v>0</v>
      </c>
      <c r="E519" s="15">
        <f>IF(D519="","",IFERROR(INDEX(Clients!$B$5:$B$504,MATCH(D519,Clients!$A$5:$A$504,0)),"Walk-in"))</f>
        <v>0</v>
      </c>
      <c r="G519" s="15">
        <f>IF(F519="","",IFERROR(INDEX(Staff!$B$5:$B$44,MATCH(F519,Staff!$A$5:$A$44,0)),"House"))</f>
        <v>0</v>
      </c>
      <c r="R519" s="15">
        <f>IF(B519="","",TEXT(B519,"yyyy-mm"))</f>
        <v>0</v>
      </c>
      <c r="S519" s="25">
        <f>IF(B519="","",WEEKNUM(B519,2))</f>
        <v>0</v>
      </c>
      <c r="T519" s="37">
        <f>IF(B519="","",IF(K519="",1,K519))</f>
        <v>0</v>
      </c>
      <c r="U519" s="15">
        <f>IF(B519="","",IF(J519&lt;&gt;"",J519,IF(H519="Retail",IFERROR(INDEX(Inventory!$B$5:$B$304,MATCH(I519,Inventory!$A$5:$A$304,0))&amp;"","Not in Inventory"),IFERROR(INDEX(Services!$B$5:$B$204,MATCH(I519,Services!$A$5:$A$204,0))&amp;"","Not in Services"))))</f>
        <v>0</v>
      </c>
      <c r="V519" s="26">
        <f>IF(B519="","",IF(L519&lt;&gt;"",L519,IF(H519="Retail",IFERROR(INDEX(Inventory!$I$5:$I$304,MATCH(I519,Inventory!$A$5:$A$304,0))*1,0),IFERROR(INDEX(Services!$G$5:$G$204,MATCH(I519,Services!$A$5:$A$204,0))*1,0))))</f>
        <v>0</v>
      </c>
      <c r="W519" s="26">
        <f>IF(B519="","",ROUND(T519*V519,2))</f>
        <v>0</v>
      </c>
      <c r="X519" s="26">
        <f>IF(B519="","",ROUND(IF(M519="",0,W519*M519)+IF(N519="",0,N519),2))</f>
        <v>0</v>
      </c>
      <c r="Y519" s="26">
        <f>IF(B519="","",ROUND(W519-X519-IF(P519="",0,P519),2))</f>
        <v>0</v>
      </c>
      <c r="Z519" s="26">
        <f>IF(B519="","",IF(H519="Retail",IF(TaxOnRetail="Yes",ROUND(Y519*TaxRate,2),0),IF(H519="Service",IF(TaxOnServices="Yes",ROUND(Y519*TaxRate,2),0),0)))</f>
        <v>0</v>
      </c>
      <c r="AA519" s="26">
        <f>IF(B519="","",ROUND(Y519+Z519,2))</f>
        <v>0</v>
      </c>
      <c r="AB519" s="26">
        <f>IF(B519="","",ROUND(T519*IF(H519="Retail",IFERROR(INDEX(Inventory!$H$5:$H$304,MATCH(I519,Inventory!$A$5:$A$304,0))*1,0),IFERROR(INDEX(Services!$Q$5:$Q$204,MATCH(I519,Services!$A$5:$A$204,0))*1,0)),2))</f>
        <v>0</v>
      </c>
      <c r="AC519" s="26">
        <f>IF(B519="","",ROUND(Y519-AB519,2))</f>
        <v>0</v>
      </c>
      <c r="AD519" s="38">
        <f>IF(B519="","",IF(C519="","No",IF(COUNTIFS($C$5:C519,C519)=1,"Yes","No")))</f>
        <v>0</v>
      </c>
      <c r="AE519" s="26">
        <f>IF(B519="","",ROUND(SUMIFS(Payments!$G$5:$G$1204,Payments!$H$5:$H$1204,A519,Payments!$Q$5:$Q$1204,"Yes"),2))</f>
        <v>0</v>
      </c>
      <c r="AF519" s="26">
        <f>IF(B519="","",IF(AD519="No",0,ROUND(SUMIFS(Payments!$G$5:$G$1204,Payments!$I$5:$I$1204,C519,Payments!$H$5:$H$1204,"",Payments!$Q$5:$Q$1204,"Yes"),2)))</f>
        <v>0</v>
      </c>
      <c r="AG519" s="26">
        <f>IF(B519="","",ROUND(AE519+AF519,2))</f>
        <v>0</v>
      </c>
      <c r="AH519" s="26">
        <f>IF(B519="","",ROUND(AA519-AG519,2))</f>
        <v>0</v>
      </c>
      <c r="AI519" s="39">
        <f>IF(B519="","",IF(AA519&lt;=0,"No charge",IF(AH519&lt;=0.004,"Paid",IF(AG519&lt;=0.004,"Unpaid","Part paid"))))</f>
        <v>0</v>
      </c>
      <c r="AJ519" s="38">
        <f>IF(B519="","",IF(H519&lt;&gt;"Service","",IF(D519="","No",IF(COUNTIFS($D$5:$D$1204,D519,$B$5:$B$1204,B519,$H$5:$H$1204,"Retail")&gt;0,"Yes","No"))))</f>
        <v>0</v>
      </c>
      <c r="AK519" s="25">
        <f>IF(B519="","",COUNTIFS($Y$5:$Y$1204,"&gt;"&amp;Y519)+COUNTIFS($Y$5:Y519,Y519))</f>
        <v>0</v>
      </c>
      <c r="AL519" s="39">
        <f>IF(B519="","",IF(H519="","Add - what kind of sale is this?",IF(IF(V519&lt;=0,P519="",FALSE),"Check - no price found for this item",IF(F519="","Assign - nobody credited",IF(AH519&gt;0.004,"Unpaid - balance outstanding",IF(AC519&lt;0,"Loss - sold below cost",IF(X519&gt;W519*0.5,"Check - more than half off","OK")))))))</f>
        <v>0</v>
      </c>
    </row>
    <row r="520" spans="1:38">
      <c r="A520" s="28">
        <f>IF(B520="","",SalePrefix&amp;TEXT(ROW()-4,"0000"))</f>
        <v>0</v>
      </c>
      <c r="E520" s="15">
        <f>IF(D520="","",IFERROR(INDEX(Clients!$B$5:$B$504,MATCH(D520,Clients!$A$5:$A$504,0)),"Walk-in"))</f>
        <v>0</v>
      </c>
      <c r="G520" s="15">
        <f>IF(F520="","",IFERROR(INDEX(Staff!$B$5:$B$44,MATCH(F520,Staff!$A$5:$A$44,0)),"House"))</f>
        <v>0</v>
      </c>
      <c r="R520" s="15">
        <f>IF(B520="","",TEXT(B520,"yyyy-mm"))</f>
        <v>0</v>
      </c>
      <c r="S520" s="25">
        <f>IF(B520="","",WEEKNUM(B520,2))</f>
        <v>0</v>
      </c>
      <c r="T520" s="37">
        <f>IF(B520="","",IF(K520="",1,K520))</f>
        <v>0</v>
      </c>
      <c r="U520" s="15">
        <f>IF(B520="","",IF(J520&lt;&gt;"",J520,IF(H520="Retail",IFERROR(INDEX(Inventory!$B$5:$B$304,MATCH(I520,Inventory!$A$5:$A$304,0))&amp;"","Not in Inventory"),IFERROR(INDEX(Services!$B$5:$B$204,MATCH(I520,Services!$A$5:$A$204,0))&amp;"","Not in Services"))))</f>
        <v>0</v>
      </c>
      <c r="V520" s="26">
        <f>IF(B520="","",IF(L520&lt;&gt;"",L520,IF(H520="Retail",IFERROR(INDEX(Inventory!$I$5:$I$304,MATCH(I520,Inventory!$A$5:$A$304,0))*1,0),IFERROR(INDEX(Services!$G$5:$G$204,MATCH(I520,Services!$A$5:$A$204,0))*1,0))))</f>
        <v>0</v>
      </c>
      <c r="W520" s="26">
        <f>IF(B520="","",ROUND(T520*V520,2))</f>
        <v>0</v>
      </c>
      <c r="X520" s="26">
        <f>IF(B520="","",ROUND(IF(M520="",0,W520*M520)+IF(N520="",0,N520),2))</f>
        <v>0</v>
      </c>
      <c r="Y520" s="26">
        <f>IF(B520="","",ROUND(W520-X520-IF(P520="",0,P520),2))</f>
        <v>0</v>
      </c>
      <c r="Z520" s="26">
        <f>IF(B520="","",IF(H520="Retail",IF(TaxOnRetail="Yes",ROUND(Y520*TaxRate,2),0),IF(H520="Service",IF(TaxOnServices="Yes",ROUND(Y520*TaxRate,2),0),0)))</f>
        <v>0</v>
      </c>
      <c r="AA520" s="26">
        <f>IF(B520="","",ROUND(Y520+Z520,2))</f>
        <v>0</v>
      </c>
      <c r="AB520" s="26">
        <f>IF(B520="","",ROUND(T520*IF(H520="Retail",IFERROR(INDEX(Inventory!$H$5:$H$304,MATCH(I520,Inventory!$A$5:$A$304,0))*1,0),IFERROR(INDEX(Services!$Q$5:$Q$204,MATCH(I520,Services!$A$5:$A$204,0))*1,0)),2))</f>
        <v>0</v>
      </c>
      <c r="AC520" s="26">
        <f>IF(B520="","",ROUND(Y520-AB520,2))</f>
        <v>0</v>
      </c>
      <c r="AD520" s="38">
        <f>IF(B520="","",IF(C520="","No",IF(COUNTIFS($C$5:C520,C520)=1,"Yes","No")))</f>
        <v>0</v>
      </c>
      <c r="AE520" s="26">
        <f>IF(B520="","",ROUND(SUMIFS(Payments!$G$5:$G$1204,Payments!$H$5:$H$1204,A520,Payments!$Q$5:$Q$1204,"Yes"),2))</f>
        <v>0</v>
      </c>
      <c r="AF520" s="26">
        <f>IF(B520="","",IF(AD520="No",0,ROUND(SUMIFS(Payments!$G$5:$G$1204,Payments!$I$5:$I$1204,C520,Payments!$H$5:$H$1204,"",Payments!$Q$5:$Q$1204,"Yes"),2)))</f>
        <v>0</v>
      </c>
      <c r="AG520" s="26">
        <f>IF(B520="","",ROUND(AE520+AF520,2))</f>
        <v>0</v>
      </c>
      <c r="AH520" s="26">
        <f>IF(B520="","",ROUND(AA520-AG520,2))</f>
        <v>0</v>
      </c>
      <c r="AI520" s="39">
        <f>IF(B520="","",IF(AA520&lt;=0,"No charge",IF(AH520&lt;=0.004,"Paid",IF(AG520&lt;=0.004,"Unpaid","Part paid"))))</f>
        <v>0</v>
      </c>
      <c r="AJ520" s="38">
        <f>IF(B520="","",IF(H520&lt;&gt;"Service","",IF(D520="","No",IF(COUNTIFS($D$5:$D$1204,D520,$B$5:$B$1204,B520,$H$5:$H$1204,"Retail")&gt;0,"Yes","No"))))</f>
        <v>0</v>
      </c>
      <c r="AK520" s="25">
        <f>IF(B520="","",COUNTIFS($Y$5:$Y$1204,"&gt;"&amp;Y520)+COUNTIFS($Y$5:Y520,Y520))</f>
        <v>0</v>
      </c>
      <c r="AL520" s="39">
        <f>IF(B520="","",IF(H520="","Add - what kind of sale is this?",IF(IF(V520&lt;=0,P520="",FALSE),"Check - no price found for this item",IF(F520="","Assign - nobody credited",IF(AH520&gt;0.004,"Unpaid - balance outstanding",IF(AC520&lt;0,"Loss - sold below cost",IF(X520&gt;W520*0.5,"Check - more than half off","OK")))))))</f>
        <v>0</v>
      </c>
    </row>
    <row r="521" spans="1:38">
      <c r="A521" s="28">
        <f>IF(B521="","",SalePrefix&amp;TEXT(ROW()-4,"0000"))</f>
        <v>0</v>
      </c>
      <c r="E521" s="15">
        <f>IF(D521="","",IFERROR(INDEX(Clients!$B$5:$B$504,MATCH(D521,Clients!$A$5:$A$504,0)),"Walk-in"))</f>
        <v>0</v>
      </c>
      <c r="G521" s="15">
        <f>IF(F521="","",IFERROR(INDEX(Staff!$B$5:$B$44,MATCH(F521,Staff!$A$5:$A$44,0)),"House"))</f>
        <v>0</v>
      </c>
      <c r="R521" s="15">
        <f>IF(B521="","",TEXT(B521,"yyyy-mm"))</f>
        <v>0</v>
      </c>
      <c r="S521" s="25">
        <f>IF(B521="","",WEEKNUM(B521,2))</f>
        <v>0</v>
      </c>
      <c r="T521" s="37">
        <f>IF(B521="","",IF(K521="",1,K521))</f>
        <v>0</v>
      </c>
      <c r="U521" s="15">
        <f>IF(B521="","",IF(J521&lt;&gt;"",J521,IF(H521="Retail",IFERROR(INDEX(Inventory!$B$5:$B$304,MATCH(I521,Inventory!$A$5:$A$304,0))&amp;"","Not in Inventory"),IFERROR(INDEX(Services!$B$5:$B$204,MATCH(I521,Services!$A$5:$A$204,0))&amp;"","Not in Services"))))</f>
        <v>0</v>
      </c>
      <c r="V521" s="26">
        <f>IF(B521="","",IF(L521&lt;&gt;"",L521,IF(H521="Retail",IFERROR(INDEX(Inventory!$I$5:$I$304,MATCH(I521,Inventory!$A$5:$A$304,0))*1,0),IFERROR(INDEX(Services!$G$5:$G$204,MATCH(I521,Services!$A$5:$A$204,0))*1,0))))</f>
        <v>0</v>
      </c>
      <c r="W521" s="26">
        <f>IF(B521="","",ROUND(T521*V521,2))</f>
        <v>0</v>
      </c>
      <c r="X521" s="26">
        <f>IF(B521="","",ROUND(IF(M521="",0,W521*M521)+IF(N521="",0,N521),2))</f>
        <v>0</v>
      </c>
      <c r="Y521" s="26">
        <f>IF(B521="","",ROUND(W521-X521-IF(P521="",0,P521),2))</f>
        <v>0</v>
      </c>
      <c r="Z521" s="26">
        <f>IF(B521="","",IF(H521="Retail",IF(TaxOnRetail="Yes",ROUND(Y521*TaxRate,2),0),IF(H521="Service",IF(TaxOnServices="Yes",ROUND(Y521*TaxRate,2),0),0)))</f>
        <v>0</v>
      </c>
      <c r="AA521" s="26">
        <f>IF(B521="","",ROUND(Y521+Z521,2))</f>
        <v>0</v>
      </c>
      <c r="AB521" s="26">
        <f>IF(B521="","",ROUND(T521*IF(H521="Retail",IFERROR(INDEX(Inventory!$H$5:$H$304,MATCH(I521,Inventory!$A$5:$A$304,0))*1,0),IFERROR(INDEX(Services!$Q$5:$Q$204,MATCH(I521,Services!$A$5:$A$204,0))*1,0)),2))</f>
        <v>0</v>
      </c>
      <c r="AC521" s="26">
        <f>IF(B521="","",ROUND(Y521-AB521,2))</f>
        <v>0</v>
      </c>
      <c r="AD521" s="38">
        <f>IF(B521="","",IF(C521="","No",IF(COUNTIFS($C$5:C521,C521)=1,"Yes","No")))</f>
        <v>0</v>
      </c>
      <c r="AE521" s="26">
        <f>IF(B521="","",ROUND(SUMIFS(Payments!$G$5:$G$1204,Payments!$H$5:$H$1204,A521,Payments!$Q$5:$Q$1204,"Yes"),2))</f>
        <v>0</v>
      </c>
      <c r="AF521" s="26">
        <f>IF(B521="","",IF(AD521="No",0,ROUND(SUMIFS(Payments!$G$5:$G$1204,Payments!$I$5:$I$1204,C521,Payments!$H$5:$H$1204,"",Payments!$Q$5:$Q$1204,"Yes"),2)))</f>
        <v>0</v>
      </c>
      <c r="AG521" s="26">
        <f>IF(B521="","",ROUND(AE521+AF521,2))</f>
        <v>0</v>
      </c>
      <c r="AH521" s="26">
        <f>IF(B521="","",ROUND(AA521-AG521,2))</f>
        <v>0</v>
      </c>
      <c r="AI521" s="39">
        <f>IF(B521="","",IF(AA521&lt;=0,"No charge",IF(AH521&lt;=0.004,"Paid",IF(AG521&lt;=0.004,"Unpaid","Part paid"))))</f>
        <v>0</v>
      </c>
      <c r="AJ521" s="38">
        <f>IF(B521="","",IF(H521&lt;&gt;"Service","",IF(D521="","No",IF(COUNTIFS($D$5:$D$1204,D521,$B$5:$B$1204,B521,$H$5:$H$1204,"Retail")&gt;0,"Yes","No"))))</f>
        <v>0</v>
      </c>
      <c r="AK521" s="25">
        <f>IF(B521="","",COUNTIFS($Y$5:$Y$1204,"&gt;"&amp;Y521)+COUNTIFS($Y$5:Y521,Y521))</f>
        <v>0</v>
      </c>
      <c r="AL521" s="39">
        <f>IF(B521="","",IF(H521="","Add - what kind of sale is this?",IF(IF(V521&lt;=0,P521="",FALSE),"Check - no price found for this item",IF(F521="","Assign - nobody credited",IF(AH521&gt;0.004,"Unpaid - balance outstanding",IF(AC521&lt;0,"Loss - sold below cost",IF(X521&gt;W521*0.5,"Check - more than half off","OK")))))))</f>
        <v>0</v>
      </c>
    </row>
    <row r="522" spans="1:38">
      <c r="A522" s="28">
        <f>IF(B522="","",SalePrefix&amp;TEXT(ROW()-4,"0000"))</f>
        <v>0</v>
      </c>
      <c r="E522" s="15">
        <f>IF(D522="","",IFERROR(INDEX(Clients!$B$5:$B$504,MATCH(D522,Clients!$A$5:$A$504,0)),"Walk-in"))</f>
        <v>0</v>
      </c>
      <c r="G522" s="15">
        <f>IF(F522="","",IFERROR(INDEX(Staff!$B$5:$B$44,MATCH(F522,Staff!$A$5:$A$44,0)),"House"))</f>
        <v>0</v>
      </c>
      <c r="R522" s="15">
        <f>IF(B522="","",TEXT(B522,"yyyy-mm"))</f>
        <v>0</v>
      </c>
      <c r="S522" s="25">
        <f>IF(B522="","",WEEKNUM(B522,2))</f>
        <v>0</v>
      </c>
      <c r="T522" s="37">
        <f>IF(B522="","",IF(K522="",1,K522))</f>
        <v>0</v>
      </c>
      <c r="U522" s="15">
        <f>IF(B522="","",IF(J522&lt;&gt;"",J522,IF(H522="Retail",IFERROR(INDEX(Inventory!$B$5:$B$304,MATCH(I522,Inventory!$A$5:$A$304,0))&amp;"","Not in Inventory"),IFERROR(INDEX(Services!$B$5:$B$204,MATCH(I522,Services!$A$5:$A$204,0))&amp;"","Not in Services"))))</f>
        <v>0</v>
      </c>
      <c r="V522" s="26">
        <f>IF(B522="","",IF(L522&lt;&gt;"",L522,IF(H522="Retail",IFERROR(INDEX(Inventory!$I$5:$I$304,MATCH(I522,Inventory!$A$5:$A$304,0))*1,0),IFERROR(INDEX(Services!$G$5:$G$204,MATCH(I522,Services!$A$5:$A$204,0))*1,0))))</f>
        <v>0</v>
      </c>
      <c r="W522" s="26">
        <f>IF(B522="","",ROUND(T522*V522,2))</f>
        <v>0</v>
      </c>
      <c r="X522" s="26">
        <f>IF(B522="","",ROUND(IF(M522="",0,W522*M522)+IF(N522="",0,N522),2))</f>
        <v>0</v>
      </c>
      <c r="Y522" s="26">
        <f>IF(B522="","",ROUND(W522-X522-IF(P522="",0,P522),2))</f>
        <v>0</v>
      </c>
      <c r="Z522" s="26">
        <f>IF(B522="","",IF(H522="Retail",IF(TaxOnRetail="Yes",ROUND(Y522*TaxRate,2),0),IF(H522="Service",IF(TaxOnServices="Yes",ROUND(Y522*TaxRate,2),0),0)))</f>
        <v>0</v>
      </c>
      <c r="AA522" s="26">
        <f>IF(B522="","",ROUND(Y522+Z522,2))</f>
        <v>0</v>
      </c>
      <c r="AB522" s="26">
        <f>IF(B522="","",ROUND(T522*IF(H522="Retail",IFERROR(INDEX(Inventory!$H$5:$H$304,MATCH(I522,Inventory!$A$5:$A$304,0))*1,0),IFERROR(INDEX(Services!$Q$5:$Q$204,MATCH(I522,Services!$A$5:$A$204,0))*1,0)),2))</f>
        <v>0</v>
      </c>
      <c r="AC522" s="26">
        <f>IF(B522="","",ROUND(Y522-AB522,2))</f>
        <v>0</v>
      </c>
      <c r="AD522" s="38">
        <f>IF(B522="","",IF(C522="","No",IF(COUNTIFS($C$5:C522,C522)=1,"Yes","No")))</f>
        <v>0</v>
      </c>
      <c r="AE522" s="26">
        <f>IF(B522="","",ROUND(SUMIFS(Payments!$G$5:$G$1204,Payments!$H$5:$H$1204,A522,Payments!$Q$5:$Q$1204,"Yes"),2))</f>
        <v>0</v>
      </c>
      <c r="AF522" s="26">
        <f>IF(B522="","",IF(AD522="No",0,ROUND(SUMIFS(Payments!$G$5:$G$1204,Payments!$I$5:$I$1204,C522,Payments!$H$5:$H$1204,"",Payments!$Q$5:$Q$1204,"Yes"),2)))</f>
        <v>0</v>
      </c>
      <c r="AG522" s="26">
        <f>IF(B522="","",ROUND(AE522+AF522,2))</f>
        <v>0</v>
      </c>
      <c r="AH522" s="26">
        <f>IF(B522="","",ROUND(AA522-AG522,2))</f>
        <v>0</v>
      </c>
      <c r="AI522" s="39">
        <f>IF(B522="","",IF(AA522&lt;=0,"No charge",IF(AH522&lt;=0.004,"Paid",IF(AG522&lt;=0.004,"Unpaid","Part paid"))))</f>
        <v>0</v>
      </c>
      <c r="AJ522" s="38">
        <f>IF(B522="","",IF(H522&lt;&gt;"Service","",IF(D522="","No",IF(COUNTIFS($D$5:$D$1204,D522,$B$5:$B$1204,B522,$H$5:$H$1204,"Retail")&gt;0,"Yes","No"))))</f>
        <v>0</v>
      </c>
      <c r="AK522" s="25">
        <f>IF(B522="","",COUNTIFS($Y$5:$Y$1204,"&gt;"&amp;Y522)+COUNTIFS($Y$5:Y522,Y522))</f>
        <v>0</v>
      </c>
      <c r="AL522" s="39">
        <f>IF(B522="","",IF(H522="","Add - what kind of sale is this?",IF(IF(V522&lt;=0,P522="",FALSE),"Check - no price found for this item",IF(F522="","Assign - nobody credited",IF(AH522&gt;0.004,"Unpaid - balance outstanding",IF(AC522&lt;0,"Loss - sold below cost",IF(X522&gt;W522*0.5,"Check - more than half off","OK")))))))</f>
        <v>0</v>
      </c>
    </row>
    <row r="523" spans="1:38">
      <c r="A523" s="28">
        <f>IF(B523="","",SalePrefix&amp;TEXT(ROW()-4,"0000"))</f>
        <v>0</v>
      </c>
      <c r="E523" s="15">
        <f>IF(D523="","",IFERROR(INDEX(Clients!$B$5:$B$504,MATCH(D523,Clients!$A$5:$A$504,0)),"Walk-in"))</f>
        <v>0</v>
      </c>
      <c r="G523" s="15">
        <f>IF(F523="","",IFERROR(INDEX(Staff!$B$5:$B$44,MATCH(F523,Staff!$A$5:$A$44,0)),"House"))</f>
        <v>0</v>
      </c>
      <c r="R523" s="15">
        <f>IF(B523="","",TEXT(B523,"yyyy-mm"))</f>
        <v>0</v>
      </c>
      <c r="S523" s="25">
        <f>IF(B523="","",WEEKNUM(B523,2))</f>
        <v>0</v>
      </c>
      <c r="T523" s="37">
        <f>IF(B523="","",IF(K523="",1,K523))</f>
        <v>0</v>
      </c>
      <c r="U523" s="15">
        <f>IF(B523="","",IF(J523&lt;&gt;"",J523,IF(H523="Retail",IFERROR(INDEX(Inventory!$B$5:$B$304,MATCH(I523,Inventory!$A$5:$A$304,0))&amp;"","Not in Inventory"),IFERROR(INDEX(Services!$B$5:$B$204,MATCH(I523,Services!$A$5:$A$204,0))&amp;"","Not in Services"))))</f>
        <v>0</v>
      </c>
      <c r="V523" s="26">
        <f>IF(B523="","",IF(L523&lt;&gt;"",L523,IF(H523="Retail",IFERROR(INDEX(Inventory!$I$5:$I$304,MATCH(I523,Inventory!$A$5:$A$304,0))*1,0),IFERROR(INDEX(Services!$G$5:$G$204,MATCH(I523,Services!$A$5:$A$204,0))*1,0))))</f>
        <v>0</v>
      </c>
      <c r="W523" s="26">
        <f>IF(B523="","",ROUND(T523*V523,2))</f>
        <v>0</v>
      </c>
      <c r="X523" s="26">
        <f>IF(B523="","",ROUND(IF(M523="",0,W523*M523)+IF(N523="",0,N523),2))</f>
        <v>0</v>
      </c>
      <c r="Y523" s="26">
        <f>IF(B523="","",ROUND(W523-X523-IF(P523="",0,P523),2))</f>
        <v>0</v>
      </c>
      <c r="Z523" s="26">
        <f>IF(B523="","",IF(H523="Retail",IF(TaxOnRetail="Yes",ROUND(Y523*TaxRate,2),0),IF(H523="Service",IF(TaxOnServices="Yes",ROUND(Y523*TaxRate,2),0),0)))</f>
        <v>0</v>
      </c>
      <c r="AA523" s="26">
        <f>IF(B523="","",ROUND(Y523+Z523,2))</f>
        <v>0</v>
      </c>
      <c r="AB523" s="26">
        <f>IF(B523="","",ROUND(T523*IF(H523="Retail",IFERROR(INDEX(Inventory!$H$5:$H$304,MATCH(I523,Inventory!$A$5:$A$304,0))*1,0),IFERROR(INDEX(Services!$Q$5:$Q$204,MATCH(I523,Services!$A$5:$A$204,0))*1,0)),2))</f>
        <v>0</v>
      </c>
      <c r="AC523" s="26">
        <f>IF(B523="","",ROUND(Y523-AB523,2))</f>
        <v>0</v>
      </c>
      <c r="AD523" s="38">
        <f>IF(B523="","",IF(C523="","No",IF(COUNTIFS($C$5:C523,C523)=1,"Yes","No")))</f>
        <v>0</v>
      </c>
      <c r="AE523" s="26">
        <f>IF(B523="","",ROUND(SUMIFS(Payments!$G$5:$G$1204,Payments!$H$5:$H$1204,A523,Payments!$Q$5:$Q$1204,"Yes"),2))</f>
        <v>0</v>
      </c>
      <c r="AF523" s="26">
        <f>IF(B523="","",IF(AD523="No",0,ROUND(SUMIFS(Payments!$G$5:$G$1204,Payments!$I$5:$I$1204,C523,Payments!$H$5:$H$1204,"",Payments!$Q$5:$Q$1204,"Yes"),2)))</f>
        <v>0</v>
      </c>
      <c r="AG523" s="26">
        <f>IF(B523="","",ROUND(AE523+AF523,2))</f>
        <v>0</v>
      </c>
      <c r="AH523" s="26">
        <f>IF(B523="","",ROUND(AA523-AG523,2))</f>
        <v>0</v>
      </c>
      <c r="AI523" s="39">
        <f>IF(B523="","",IF(AA523&lt;=0,"No charge",IF(AH523&lt;=0.004,"Paid",IF(AG523&lt;=0.004,"Unpaid","Part paid"))))</f>
        <v>0</v>
      </c>
      <c r="AJ523" s="38">
        <f>IF(B523="","",IF(H523&lt;&gt;"Service","",IF(D523="","No",IF(COUNTIFS($D$5:$D$1204,D523,$B$5:$B$1204,B523,$H$5:$H$1204,"Retail")&gt;0,"Yes","No"))))</f>
        <v>0</v>
      </c>
      <c r="AK523" s="25">
        <f>IF(B523="","",COUNTIFS($Y$5:$Y$1204,"&gt;"&amp;Y523)+COUNTIFS($Y$5:Y523,Y523))</f>
        <v>0</v>
      </c>
      <c r="AL523" s="39">
        <f>IF(B523="","",IF(H523="","Add - what kind of sale is this?",IF(IF(V523&lt;=0,P523="",FALSE),"Check - no price found for this item",IF(F523="","Assign - nobody credited",IF(AH523&gt;0.004,"Unpaid - balance outstanding",IF(AC523&lt;0,"Loss - sold below cost",IF(X523&gt;W523*0.5,"Check - more than half off","OK")))))))</f>
        <v>0</v>
      </c>
    </row>
    <row r="524" spans="1:38">
      <c r="A524" s="28">
        <f>IF(B524="","",SalePrefix&amp;TEXT(ROW()-4,"0000"))</f>
        <v>0</v>
      </c>
      <c r="E524" s="15">
        <f>IF(D524="","",IFERROR(INDEX(Clients!$B$5:$B$504,MATCH(D524,Clients!$A$5:$A$504,0)),"Walk-in"))</f>
        <v>0</v>
      </c>
      <c r="G524" s="15">
        <f>IF(F524="","",IFERROR(INDEX(Staff!$B$5:$B$44,MATCH(F524,Staff!$A$5:$A$44,0)),"House"))</f>
        <v>0</v>
      </c>
      <c r="R524" s="15">
        <f>IF(B524="","",TEXT(B524,"yyyy-mm"))</f>
        <v>0</v>
      </c>
      <c r="S524" s="25">
        <f>IF(B524="","",WEEKNUM(B524,2))</f>
        <v>0</v>
      </c>
      <c r="T524" s="37">
        <f>IF(B524="","",IF(K524="",1,K524))</f>
        <v>0</v>
      </c>
      <c r="U524" s="15">
        <f>IF(B524="","",IF(J524&lt;&gt;"",J524,IF(H524="Retail",IFERROR(INDEX(Inventory!$B$5:$B$304,MATCH(I524,Inventory!$A$5:$A$304,0))&amp;"","Not in Inventory"),IFERROR(INDEX(Services!$B$5:$B$204,MATCH(I524,Services!$A$5:$A$204,0))&amp;"","Not in Services"))))</f>
        <v>0</v>
      </c>
      <c r="V524" s="26">
        <f>IF(B524="","",IF(L524&lt;&gt;"",L524,IF(H524="Retail",IFERROR(INDEX(Inventory!$I$5:$I$304,MATCH(I524,Inventory!$A$5:$A$304,0))*1,0),IFERROR(INDEX(Services!$G$5:$G$204,MATCH(I524,Services!$A$5:$A$204,0))*1,0))))</f>
        <v>0</v>
      </c>
      <c r="W524" s="26">
        <f>IF(B524="","",ROUND(T524*V524,2))</f>
        <v>0</v>
      </c>
      <c r="X524" s="26">
        <f>IF(B524="","",ROUND(IF(M524="",0,W524*M524)+IF(N524="",0,N524),2))</f>
        <v>0</v>
      </c>
      <c r="Y524" s="26">
        <f>IF(B524="","",ROUND(W524-X524-IF(P524="",0,P524),2))</f>
        <v>0</v>
      </c>
      <c r="Z524" s="26">
        <f>IF(B524="","",IF(H524="Retail",IF(TaxOnRetail="Yes",ROUND(Y524*TaxRate,2),0),IF(H524="Service",IF(TaxOnServices="Yes",ROUND(Y524*TaxRate,2),0),0)))</f>
        <v>0</v>
      </c>
      <c r="AA524" s="26">
        <f>IF(B524="","",ROUND(Y524+Z524,2))</f>
        <v>0</v>
      </c>
      <c r="AB524" s="26">
        <f>IF(B524="","",ROUND(T524*IF(H524="Retail",IFERROR(INDEX(Inventory!$H$5:$H$304,MATCH(I524,Inventory!$A$5:$A$304,0))*1,0),IFERROR(INDEX(Services!$Q$5:$Q$204,MATCH(I524,Services!$A$5:$A$204,0))*1,0)),2))</f>
        <v>0</v>
      </c>
      <c r="AC524" s="26">
        <f>IF(B524="","",ROUND(Y524-AB524,2))</f>
        <v>0</v>
      </c>
      <c r="AD524" s="38">
        <f>IF(B524="","",IF(C524="","No",IF(COUNTIFS($C$5:C524,C524)=1,"Yes","No")))</f>
        <v>0</v>
      </c>
      <c r="AE524" s="26">
        <f>IF(B524="","",ROUND(SUMIFS(Payments!$G$5:$G$1204,Payments!$H$5:$H$1204,A524,Payments!$Q$5:$Q$1204,"Yes"),2))</f>
        <v>0</v>
      </c>
      <c r="AF524" s="26">
        <f>IF(B524="","",IF(AD524="No",0,ROUND(SUMIFS(Payments!$G$5:$G$1204,Payments!$I$5:$I$1204,C524,Payments!$H$5:$H$1204,"",Payments!$Q$5:$Q$1204,"Yes"),2)))</f>
        <v>0</v>
      </c>
      <c r="AG524" s="26">
        <f>IF(B524="","",ROUND(AE524+AF524,2))</f>
        <v>0</v>
      </c>
      <c r="AH524" s="26">
        <f>IF(B524="","",ROUND(AA524-AG524,2))</f>
        <v>0</v>
      </c>
      <c r="AI524" s="39">
        <f>IF(B524="","",IF(AA524&lt;=0,"No charge",IF(AH524&lt;=0.004,"Paid",IF(AG524&lt;=0.004,"Unpaid","Part paid"))))</f>
        <v>0</v>
      </c>
      <c r="AJ524" s="38">
        <f>IF(B524="","",IF(H524&lt;&gt;"Service","",IF(D524="","No",IF(COUNTIFS($D$5:$D$1204,D524,$B$5:$B$1204,B524,$H$5:$H$1204,"Retail")&gt;0,"Yes","No"))))</f>
        <v>0</v>
      </c>
      <c r="AK524" s="25">
        <f>IF(B524="","",COUNTIFS($Y$5:$Y$1204,"&gt;"&amp;Y524)+COUNTIFS($Y$5:Y524,Y524))</f>
        <v>0</v>
      </c>
      <c r="AL524" s="39">
        <f>IF(B524="","",IF(H524="","Add - what kind of sale is this?",IF(IF(V524&lt;=0,P524="",FALSE),"Check - no price found for this item",IF(F524="","Assign - nobody credited",IF(AH524&gt;0.004,"Unpaid - balance outstanding",IF(AC524&lt;0,"Loss - sold below cost",IF(X524&gt;W524*0.5,"Check - more than half off","OK")))))))</f>
        <v>0</v>
      </c>
    </row>
    <row r="525" spans="1:38">
      <c r="A525" s="28">
        <f>IF(B525="","",SalePrefix&amp;TEXT(ROW()-4,"0000"))</f>
        <v>0</v>
      </c>
      <c r="E525" s="15">
        <f>IF(D525="","",IFERROR(INDEX(Clients!$B$5:$B$504,MATCH(D525,Clients!$A$5:$A$504,0)),"Walk-in"))</f>
        <v>0</v>
      </c>
      <c r="G525" s="15">
        <f>IF(F525="","",IFERROR(INDEX(Staff!$B$5:$B$44,MATCH(F525,Staff!$A$5:$A$44,0)),"House"))</f>
        <v>0</v>
      </c>
      <c r="R525" s="15">
        <f>IF(B525="","",TEXT(B525,"yyyy-mm"))</f>
        <v>0</v>
      </c>
      <c r="S525" s="25">
        <f>IF(B525="","",WEEKNUM(B525,2))</f>
        <v>0</v>
      </c>
      <c r="T525" s="37">
        <f>IF(B525="","",IF(K525="",1,K525))</f>
        <v>0</v>
      </c>
      <c r="U525" s="15">
        <f>IF(B525="","",IF(J525&lt;&gt;"",J525,IF(H525="Retail",IFERROR(INDEX(Inventory!$B$5:$B$304,MATCH(I525,Inventory!$A$5:$A$304,0))&amp;"","Not in Inventory"),IFERROR(INDEX(Services!$B$5:$B$204,MATCH(I525,Services!$A$5:$A$204,0))&amp;"","Not in Services"))))</f>
        <v>0</v>
      </c>
      <c r="V525" s="26">
        <f>IF(B525="","",IF(L525&lt;&gt;"",L525,IF(H525="Retail",IFERROR(INDEX(Inventory!$I$5:$I$304,MATCH(I525,Inventory!$A$5:$A$304,0))*1,0),IFERROR(INDEX(Services!$G$5:$G$204,MATCH(I525,Services!$A$5:$A$204,0))*1,0))))</f>
        <v>0</v>
      </c>
      <c r="W525" s="26">
        <f>IF(B525="","",ROUND(T525*V525,2))</f>
        <v>0</v>
      </c>
      <c r="X525" s="26">
        <f>IF(B525="","",ROUND(IF(M525="",0,W525*M525)+IF(N525="",0,N525),2))</f>
        <v>0</v>
      </c>
      <c r="Y525" s="26">
        <f>IF(B525="","",ROUND(W525-X525-IF(P525="",0,P525),2))</f>
        <v>0</v>
      </c>
      <c r="Z525" s="26">
        <f>IF(B525="","",IF(H525="Retail",IF(TaxOnRetail="Yes",ROUND(Y525*TaxRate,2),0),IF(H525="Service",IF(TaxOnServices="Yes",ROUND(Y525*TaxRate,2),0),0)))</f>
        <v>0</v>
      </c>
      <c r="AA525" s="26">
        <f>IF(B525="","",ROUND(Y525+Z525,2))</f>
        <v>0</v>
      </c>
      <c r="AB525" s="26">
        <f>IF(B525="","",ROUND(T525*IF(H525="Retail",IFERROR(INDEX(Inventory!$H$5:$H$304,MATCH(I525,Inventory!$A$5:$A$304,0))*1,0),IFERROR(INDEX(Services!$Q$5:$Q$204,MATCH(I525,Services!$A$5:$A$204,0))*1,0)),2))</f>
        <v>0</v>
      </c>
      <c r="AC525" s="26">
        <f>IF(B525="","",ROUND(Y525-AB525,2))</f>
        <v>0</v>
      </c>
      <c r="AD525" s="38">
        <f>IF(B525="","",IF(C525="","No",IF(COUNTIFS($C$5:C525,C525)=1,"Yes","No")))</f>
        <v>0</v>
      </c>
      <c r="AE525" s="26">
        <f>IF(B525="","",ROUND(SUMIFS(Payments!$G$5:$G$1204,Payments!$H$5:$H$1204,A525,Payments!$Q$5:$Q$1204,"Yes"),2))</f>
        <v>0</v>
      </c>
      <c r="AF525" s="26">
        <f>IF(B525="","",IF(AD525="No",0,ROUND(SUMIFS(Payments!$G$5:$G$1204,Payments!$I$5:$I$1204,C525,Payments!$H$5:$H$1204,"",Payments!$Q$5:$Q$1204,"Yes"),2)))</f>
        <v>0</v>
      </c>
      <c r="AG525" s="26">
        <f>IF(B525="","",ROUND(AE525+AF525,2))</f>
        <v>0</v>
      </c>
      <c r="AH525" s="26">
        <f>IF(B525="","",ROUND(AA525-AG525,2))</f>
        <v>0</v>
      </c>
      <c r="AI525" s="39">
        <f>IF(B525="","",IF(AA525&lt;=0,"No charge",IF(AH525&lt;=0.004,"Paid",IF(AG525&lt;=0.004,"Unpaid","Part paid"))))</f>
        <v>0</v>
      </c>
      <c r="AJ525" s="38">
        <f>IF(B525="","",IF(H525&lt;&gt;"Service","",IF(D525="","No",IF(COUNTIFS($D$5:$D$1204,D525,$B$5:$B$1204,B525,$H$5:$H$1204,"Retail")&gt;0,"Yes","No"))))</f>
        <v>0</v>
      </c>
      <c r="AK525" s="25">
        <f>IF(B525="","",COUNTIFS($Y$5:$Y$1204,"&gt;"&amp;Y525)+COUNTIFS($Y$5:Y525,Y525))</f>
        <v>0</v>
      </c>
      <c r="AL525" s="39">
        <f>IF(B525="","",IF(H525="","Add - what kind of sale is this?",IF(IF(V525&lt;=0,P525="",FALSE),"Check - no price found for this item",IF(F525="","Assign - nobody credited",IF(AH525&gt;0.004,"Unpaid - balance outstanding",IF(AC525&lt;0,"Loss - sold below cost",IF(X525&gt;W525*0.5,"Check - more than half off","OK")))))))</f>
        <v>0</v>
      </c>
    </row>
    <row r="526" spans="1:38">
      <c r="A526" s="28">
        <f>IF(B526="","",SalePrefix&amp;TEXT(ROW()-4,"0000"))</f>
        <v>0</v>
      </c>
      <c r="E526" s="15">
        <f>IF(D526="","",IFERROR(INDEX(Clients!$B$5:$B$504,MATCH(D526,Clients!$A$5:$A$504,0)),"Walk-in"))</f>
        <v>0</v>
      </c>
      <c r="G526" s="15">
        <f>IF(F526="","",IFERROR(INDEX(Staff!$B$5:$B$44,MATCH(F526,Staff!$A$5:$A$44,0)),"House"))</f>
        <v>0</v>
      </c>
      <c r="R526" s="15">
        <f>IF(B526="","",TEXT(B526,"yyyy-mm"))</f>
        <v>0</v>
      </c>
      <c r="S526" s="25">
        <f>IF(B526="","",WEEKNUM(B526,2))</f>
        <v>0</v>
      </c>
      <c r="T526" s="37">
        <f>IF(B526="","",IF(K526="",1,K526))</f>
        <v>0</v>
      </c>
      <c r="U526" s="15">
        <f>IF(B526="","",IF(J526&lt;&gt;"",J526,IF(H526="Retail",IFERROR(INDEX(Inventory!$B$5:$B$304,MATCH(I526,Inventory!$A$5:$A$304,0))&amp;"","Not in Inventory"),IFERROR(INDEX(Services!$B$5:$B$204,MATCH(I526,Services!$A$5:$A$204,0))&amp;"","Not in Services"))))</f>
        <v>0</v>
      </c>
      <c r="V526" s="26">
        <f>IF(B526="","",IF(L526&lt;&gt;"",L526,IF(H526="Retail",IFERROR(INDEX(Inventory!$I$5:$I$304,MATCH(I526,Inventory!$A$5:$A$304,0))*1,0),IFERROR(INDEX(Services!$G$5:$G$204,MATCH(I526,Services!$A$5:$A$204,0))*1,0))))</f>
        <v>0</v>
      </c>
      <c r="W526" s="26">
        <f>IF(B526="","",ROUND(T526*V526,2))</f>
        <v>0</v>
      </c>
      <c r="X526" s="26">
        <f>IF(B526="","",ROUND(IF(M526="",0,W526*M526)+IF(N526="",0,N526),2))</f>
        <v>0</v>
      </c>
      <c r="Y526" s="26">
        <f>IF(B526="","",ROUND(W526-X526-IF(P526="",0,P526),2))</f>
        <v>0</v>
      </c>
      <c r="Z526" s="26">
        <f>IF(B526="","",IF(H526="Retail",IF(TaxOnRetail="Yes",ROUND(Y526*TaxRate,2),0),IF(H526="Service",IF(TaxOnServices="Yes",ROUND(Y526*TaxRate,2),0),0)))</f>
        <v>0</v>
      </c>
      <c r="AA526" s="26">
        <f>IF(B526="","",ROUND(Y526+Z526,2))</f>
        <v>0</v>
      </c>
      <c r="AB526" s="26">
        <f>IF(B526="","",ROUND(T526*IF(H526="Retail",IFERROR(INDEX(Inventory!$H$5:$H$304,MATCH(I526,Inventory!$A$5:$A$304,0))*1,0),IFERROR(INDEX(Services!$Q$5:$Q$204,MATCH(I526,Services!$A$5:$A$204,0))*1,0)),2))</f>
        <v>0</v>
      </c>
      <c r="AC526" s="26">
        <f>IF(B526="","",ROUND(Y526-AB526,2))</f>
        <v>0</v>
      </c>
      <c r="AD526" s="38">
        <f>IF(B526="","",IF(C526="","No",IF(COUNTIFS($C$5:C526,C526)=1,"Yes","No")))</f>
        <v>0</v>
      </c>
      <c r="AE526" s="26">
        <f>IF(B526="","",ROUND(SUMIFS(Payments!$G$5:$G$1204,Payments!$H$5:$H$1204,A526,Payments!$Q$5:$Q$1204,"Yes"),2))</f>
        <v>0</v>
      </c>
      <c r="AF526" s="26">
        <f>IF(B526="","",IF(AD526="No",0,ROUND(SUMIFS(Payments!$G$5:$G$1204,Payments!$I$5:$I$1204,C526,Payments!$H$5:$H$1204,"",Payments!$Q$5:$Q$1204,"Yes"),2)))</f>
        <v>0</v>
      </c>
      <c r="AG526" s="26">
        <f>IF(B526="","",ROUND(AE526+AF526,2))</f>
        <v>0</v>
      </c>
      <c r="AH526" s="26">
        <f>IF(B526="","",ROUND(AA526-AG526,2))</f>
        <v>0</v>
      </c>
      <c r="AI526" s="39">
        <f>IF(B526="","",IF(AA526&lt;=0,"No charge",IF(AH526&lt;=0.004,"Paid",IF(AG526&lt;=0.004,"Unpaid","Part paid"))))</f>
        <v>0</v>
      </c>
      <c r="AJ526" s="38">
        <f>IF(B526="","",IF(H526&lt;&gt;"Service","",IF(D526="","No",IF(COUNTIFS($D$5:$D$1204,D526,$B$5:$B$1204,B526,$H$5:$H$1204,"Retail")&gt;0,"Yes","No"))))</f>
        <v>0</v>
      </c>
      <c r="AK526" s="25">
        <f>IF(B526="","",COUNTIFS($Y$5:$Y$1204,"&gt;"&amp;Y526)+COUNTIFS($Y$5:Y526,Y526))</f>
        <v>0</v>
      </c>
      <c r="AL526" s="39">
        <f>IF(B526="","",IF(H526="","Add - what kind of sale is this?",IF(IF(V526&lt;=0,P526="",FALSE),"Check - no price found for this item",IF(F526="","Assign - nobody credited",IF(AH526&gt;0.004,"Unpaid - balance outstanding",IF(AC526&lt;0,"Loss - sold below cost",IF(X526&gt;W526*0.5,"Check - more than half off","OK")))))))</f>
        <v>0</v>
      </c>
    </row>
    <row r="527" spans="1:38">
      <c r="A527" s="28">
        <f>IF(B527="","",SalePrefix&amp;TEXT(ROW()-4,"0000"))</f>
        <v>0</v>
      </c>
      <c r="E527" s="15">
        <f>IF(D527="","",IFERROR(INDEX(Clients!$B$5:$B$504,MATCH(D527,Clients!$A$5:$A$504,0)),"Walk-in"))</f>
        <v>0</v>
      </c>
      <c r="G527" s="15">
        <f>IF(F527="","",IFERROR(INDEX(Staff!$B$5:$B$44,MATCH(F527,Staff!$A$5:$A$44,0)),"House"))</f>
        <v>0</v>
      </c>
      <c r="R527" s="15">
        <f>IF(B527="","",TEXT(B527,"yyyy-mm"))</f>
        <v>0</v>
      </c>
      <c r="S527" s="25">
        <f>IF(B527="","",WEEKNUM(B527,2))</f>
        <v>0</v>
      </c>
      <c r="T527" s="37">
        <f>IF(B527="","",IF(K527="",1,K527))</f>
        <v>0</v>
      </c>
      <c r="U527" s="15">
        <f>IF(B527="","",IF(J527&lt;&gt;"",J527,IF(H527="Retail",IFERROR(INDEX(Inventory!$B$5:$B$304,MATCH(I527,Inventory!$A$5:$A$304,0))&amp;"","Not in Inventory"),IFERROR(INDEX(Services!$B$5:$B$204,MATCH(I527,Services!$A$5:$A$204,0))&amp;"","Not in Services"))))</f>
        <v>0</v>
      </c>
      <c r="V527" s="26">
        <f>IF(B527="","",IF(L527&lt;&gt;"",L527,IF(H527="Retail",IFERROR(INDEX(Inventory!$I$5:$I$304,MATCH(I527,Inventory!$A$5:$A$304,0))*1,0),IFERROR(INDEX(Services!$G$5:$G$204,MATCH(I527,Services!$A$5:$A$204,0))*1,0))))</f>
        <v>0</v>
      </c>
      <c r="W527" s="26">
        <f>IF(B527="","",ROUND(T527*V527,2))</f>
        <v>0</v>
      </c>
      <c r="X527" s="26">
        <f>IF(B527="","",ROUND(IF(M527="",0,W527*M527)+IF(N527="",0,N527),2))</f>
        <v>0</v>
      </c>
      <c r="Y527" s="26">
        <f>IF(B527="","",ROUND(W527-X527-IF(P527="",0,P527),2))</f>
        <v>0</v>
      </c>
      <c r="Z527" s="26">
        <f>IF(B527="","",IF(H527="Retail",IF(TaxOnRetail="Yes",ROUND(Y527*TaxRate,2),0),IF(H527="Service",IF(TaxOnServices="Yes",ROUND(Y527*TaxRate,2),0),0)))</f>
        <v>0</v>
      </c>
      <c r="AA527" s="26">
        <f>IF(B527="","",ROUND(Y527+Z527,2))</f>
        <v>0</v>
      </c>
      <c r="AB527" s="26">
        <f>IF(B527="","",ROUND(T527*IF(H527="Retail",IFERROR(INDEX(Inventory!$H$5:$H$304,MATCH(I527,Inventory!$A$5:$A$304,0))*1,0),IFERROR(INDEX(Services!$Q$5:$Q$204,MATCH(I527,Services!$A$5:$A$204,0))*1,0)),2))</f>
        <v>0</v>
      </c>
      <c r="AC527" s="26">
        <f>IF(B527="","",ROUND(Y527-AB527,2))</f>
        <v>0</v>
      </c>
      <c r="AD527" s="38">
        <f>IF(B527="","",IF(C527="","No",IF(COUNTIFS($C$5:C527,C527)=1,"Yes","No")))</f>
        <v>0</v>
      </c>
      <c r="AE527" s="26">
        <f>IF(B527="","",ROUND(SUMIFS(Payments!$G$5:$G$1204,Payments!$H$5:$H$1204,A527,Payments!$Q$5:$Q$1204,"Yes"),2))</f>
        <v>0</v>
      </c>
      <c r="AF527" s="26">
        <f>IF(B527="","",IF(AD527="No",0,ROUND(SUMIFS(Payments!$G$5:$G$1204,Payments!$I$5:$I$1204,C527,Payments!$H$5:$H$1204,"",Payments!$Q$5:$Q$1204,"Yes"),2)))</f>
        <v>0</v>
      </c>
      <c r="AG527" s="26">
        <f>IF(B527="","",ROUND(AE527+AF527,2))</f>
        <v>0</v>
      </c>
      <c r="AH527" s="26">
        <f>IF(B527="","",ROUND(AA527-AG527,2))</f>
        <v>0</v>
      </c>
      <c r="AI527" s="39">
        <f>IF(B527="","",IF(AA527&lt;=0,"No charge",IF(AH527&lt;=0.004,"Paid",IF(AG527&lt;=0.004,"Unpaid","Part paid"))))</f>
        <v>0</v>
      </c>
      <c r="AJ527" s="38">
        <f>IF(B527="","",IF(H527&lt;&gt;"Service","",IF(D527="","No",IF(COUNTIFS($D$5:$D$1204,D527,$B$5:$B$1204,B527,$H$5:$H$1204,"Retail")&gt;0,"Yes","No"))))</f>
        <v>0</v>
      </c>
      <c r="AK527" s="25">
        <f>IF(B527="","",COUNTIFS($Y$5:$Y$1204,"&gt;"&amp;Y527)+COUNTIFS($Y$5:Y527,Y527))</f>
        <v>0</v>
      </c>
      <c r="AL527" s="39">
        <f>IF(B527="","",IF(H527="","Add - what kind of sale is this?",IF(IF(V527&lt;=0,P527="",FALSE),"Check - no price found for this item",IF(F527="","Assign - nobody credited",IF(AH527&gt;0.004,"Unpaid - balance outstanding",IF(AC527&lt;0,"Loss - sold below cost",IF(X527&gt;W527*0.5,"Check - more than half off","OK")))))))</f>
        <v>0</v>
      </c>
    </row>
    <row r="528" spans="1:38">
      <c r="A528" s="28">
        <f>IF(B528="","",SalePrefix&amp;TEXT(ROW()-4,"0000"))</f>
        <v>0</v>
      </c>
      <c r="E528" s="15">
        <f>IF(D528="","",IFERROR(INDEX(Clients!$B$5:$B$504,MATCH(D528,Clients!$A$5:$A$504,0)),"Walk-in"))</f>
        <v>0</v>
      </c>
      <c r="G528" s="15">
        <f>IF(F528="","",IFERROR(INDEX(Staff!$B$5:$B$44,MATCH(F528,Staff!$A$5:$A$44,0)),"House"))</f>
        <v>0</v>
      </c>
      <c r="R528" s="15">
        <f>IF(B528="","",TEXT(B528,"yyyy-mm"))</f>
        <v>0</v>
      </c>
      <c r="S528" s="25">
        <f>IF(B528="","",WEEKNUM(B528,2))</f>
        <v>0</v>
      </c>
      <c r="T528" s="37">
        <f>IF(B528="","",IF(K528="",1,K528))</f>
        <v>0</v>
      </c>
      <c r="U528" s="15">
        <f>IF(B528="","",IF(J528&lt;&gt;"",J528,IF(H528="Retail",IFERROR(INDEX(Inventory!$B$5:$B$304,MATCH(I528,Inventory!$A$5:$A$304,0))&amp;"","Not in Inventory"),IFERROR(INDEX(Services!$B$5:$B$204,MATCH(I528,Services!$A$5:$A$204,0))&amp;"","Not in Services"))))</f>
        <v>0</v>
      </c>
      <c r="V528" s="26">
        <f>IF(B528="","",IF(L528&lt;&gt;"",L528,IF(H528="Retail",IFERROR(INDEX(Inventory!$I$5:$I$304,MATCH(I528,Inventory!$A$5:$A$304,0))*1,0),IFERROR(INDEX(Services!$G$5:$G$204,MATCH(I528,Services!$A$5:$A$204,0))*1,0))))</f>
        <v>0</v>
      </c>
      <c r="W528" s="26">
        <f>IF(B528="","",ROUND(T528*V528,2))</f>
        <v>0</v>
      </c>
      <c r="X528" s="26">
        <f>IF(B528="","",ROUND(IF(M528="",0,W528*M528)+IF(N528="",0,N528),2))</f>
        <v>0</v>
      </c>
      <c r="Y528" s="26">
        <f>IF(B528="","",ROUND(W528-X528-IF(P528="",0,P528),2))</f>
        <v>0</v>
      </c>
      <c r="Z528" s="26">
        <f>IF(B528="","",IF(H528="Retail",IF(TaxOnRetail="Yes",ROUND(Y528*TaxRate,2),0),IF(H528="Service",IF(TaxOnServices="Yes",ROUND(Y528*TaxRate,2),0),0)))</f>
        <v>0</v>
      </c>
      <c r="AA528" s="26">
        <f>IF(B528="","",ROUND(Y528+Z528,2))</f>
        <v>0</v>
      </c>
      <c r="AB528" s="26">
        <f>IF(B528="","",ROUND(T528*IF(H528="Retail",IFERROR(INDEX(Inventory!$H$5:$H$304,MATCH(I528,Inventory!$A$5:$A$304,0))*1,0),IFERROR(INDEX(Services!$Q$5:$Q$204,MATCH(I528,Services!$A$5:$A$204,0))*1,0)),2))</f>
        <v>0</v>
      </c>
      <c r="AC528" s="26">
        <f>IF(B528="","",ROUND(Y528-AB528,2))</f>
        <v>0</v>
      </c>
      <c r="AD528" s="38">
        <f>IF(B528="","",IF(C528="","No",IF(COUNTIFS($C$5:C528,C528)=1,"Yes","No")))</f>
        <v>0</v>
      </c>
      <c r="AE528" s="26">
        <f>IF(B528="","",ROUND(SUMIFS(Payments!$G$5:$G$1204,Payments!$H$5:$H$1204,A528,Payments!$Q$5:$Q$1204,"Yes"),2))</f>
        <v>0</v>
      </c>
      <c r="AF528" s="26">
        <f>IF(B528="","",IF(AD528="No",0,ROUND(SUMIFS(Payments!$G$5:$G$1204,Payments!$I$5:$I$1204,C528,Payments!$H$5:$H$1204,"",Payments!$Q$5:$Q$1204,"Yes"),2)))</f>
        <v>0</v>
      </c>
      <c r="AG528" s="26">
        <f>IF(B528="","",ROUND(AE528+AF528,2))</f>
        <v>0</v>
      </c>
      <c r="AH528" s="26">
        <f>IF(B528="","",ROUND(AA528-AG528,2))</f>
        <v>0</v>
      </c>
      <c r="AI528" s="39">
        <f>IF(B528="","",IF(AA528&lt;=0,"No charge",IF(AH528&lt;=0.004,"Paid",IF(AG528&lt;=0.004,"Unpaid","Part paid"))))</f>
        <v>0</v>
      </c>
      <c r="AJ528" s="38">
        <f>IF(B528="","",IF(H528&lt;&gt;"Service","",IF(D528="","No",IF(COUNTIFS($D$5:$D$1204,D528,$B$5:$B$1204,B528,$H$5:$H$1204,"Retail")&gt;0,"Yes","No"))))</f>
        <v>0</v>
      </c>
      <c r="AK528" s="25">
        <f>IF(B528="","",COUNTIFS($Y$5:$Y$1204,"&gt;"&amp;Y528)+COUNTIFS($Y$5:Y528,Y528))</f>
        <v>0</v>
      </c>
      <c r="AL528" s="39">
        <f>IF(B528="","",IF(H528="","Add - what kind of sale is this?",IF(IF(V528&lt;=0,P528="",FALSE),"Check - no price found for this item",IF(F528="","Assign - nobody credited",IF(AH528&gt;0.004,"Unpaid - balance outstanding",IF(AC528&lt;0,"Loss - sold below cost",IF(X528&gt;W528*0.5,"Check - more than half off","OK")))))))</f>
        <v>0</v>
      </c>
    </row>
    <row r="529" spans="1:38">
      <c r="A529" s="28">
        <f>IF(B529="","",SalePrefix&amp;TEXT(ROW()-4,"0000"))</f>
        <v>0</v>
      </c>
      <c r="E529" s="15">
        <f>IF(D529="","",IFERROR(INDEX(Clients!$B$5:$B$504,MATCH(D529,Clients!$A$5:$A$504,0)),"Walk-in"))</f>
        <v>0</v>
      </c>
      <c r="G529" s="15">
        <f>IF(F529="","",IFERROR(INDEX(Staff!$B$5:$B$44,MATCH(F529,Staff!$A$5:$A$44,0)),"House"))</f>
        <v>0</v>
      </c>
      <c r="R529" s="15">
        <f>IF(B529="","",TEXT(B529,"yyyy-mm"))</f>
        <v>0</v>
      </c>
      <c r="S529" s="25">
        <f>IF(B529="","",WEEKNUM(B529,2))</f>
        <v>0</v>
      </c>
      <c r="T529" s="37">
        <f>IF(B529="","",IF(K529="",1,K529))</f>
        <v>0</v>
      </c>
      <c r="U529" s="15">
        <f>IF(B529="","",IF(J529&lt;&gt;"",J529,IF(H529="Retail",IFERROR(INDEX(Inventory!$B$5:$B$304,MATCH(I529,Inventory!$A$5:$A$304,0))&amp;"","Not in Inventory"),IFERROR(INDEX(Services!$B$5:$B$204,MATCH(I529,Services!$A$5:$A$204,0))&amp;"","Not in Services"))))</f>
        <v>0</v>
      </c>
      <c r="V529" s="26">
        <f>IF(B529="","",IF(L529&lt;&gt;"",L529,IF(H529="Retail",IFERROR(INDEX(Inventory!$I$5:$I$304,MATCH(I529,Inventory!$A$5:$A$304,0))*1,0),IFERROR(INDEX(Services!$G$5:$G$204,MATCH(I529,Services!$A$5:$A$204,0))*1,0))))</f>
        <v>0</v>
      </c>
      <c r="W529" s="26">
        <f>IF(B529="","",ROUND(T529*V529,2))</f>
        <v>0</v>
      </c>
      <c r="X529" s="26">
        <f>IF(B529="","",ROUND(IF(M529="",0,W529*M529)+IF(N529="",0,N529),2))</f>
        <v>0</v>
      </c>
      <c r="Y529" s="26">
        <f>IF(B529="","",ROUND(W529-X529-IF(P529="",0,P529),2))</f>
        <v>0</v>
      </c>
      <c r="Z529" s="26">
        <f>IF(B529="","",IF(H529="Retail",IF(TaxOnRetail="Yes",ROUND(Y529*TaxRate,2),0),IF(H529="Service",IF(TaxOnServices="Yes",ROUND(Y529*TaxRate,2),0),0)))</f>
        <v>0</v>
      </c>
      <c r="AA529" s="26">
        <f>IF(B529="","",ROUND(Y529+Z529,2))</f>
        <v>0</v>
      </c>
      <c r="AB529" s="26">
        <f>IF(B529="","",ROUND(T529*IF(H529="Retail",IFERROR(INDEX(Inventory!$H$5:$H$304,MATCH(I529,Inventory!$A$5:$A$304,0))*1,0),IFERROR(INDEX(Services!$Q$5:$Q$204,MATCH(I529,Services!$A$5:$A$204,0))*1,0)),2))</f>
        <v>0</v>
      </c>
      <c r="AC529" s="26">
        <f>IF(B529="","",ROUND(Y529-AB529,2))</f>
        <v>0</v>
      </c>
      <c r="AD529" s="38">
        <f>IF(B529="","",IF(C529="","No",IF(COUNTIFS($C$5:C529,C529)=1,"Yes","No")))</f>
        <v>0</v>
      </c>
      <c r="AE529" s="26">
        <f>IF(B529="","",ROUND(SUMIFS(Payments!$G$5:$G$1204,Payments!$H$5:$H$1204,A529,Payments!$Q$5:$Q$1204,"Yes"),2))</f>
        <v>0</v>
      </c>
      <c r="AF529" s="26">
        <f>IF(B529="","",IF(AD529="No",0,ROUND(SUMIFS(Payments!$G$5:$G$1204,Payments!$I$5:$I$1204,C529,Payments!$H$5:$H$1204,"",Payments!$Q$5:$Q$1204,"Yes"),2)))</f>
        <v>0</v>
      </c>
      <c r="AG529" s="26">
        <f>IF(B529="","",ROUND(AE529+AF529,2))</f>
        <v>0</v>
      </c>
      <c r="AH529" s="26">
        <f>IF(B529="","",ROUND(AA529-AG529,2))</f>
        <v>0</v>
      </c>
      <c r="AI529" s="39">
        <f>IF(B529="","",IF(AA529&lt;=0,"No charge",IF(AH529&lt;=0.004,"Paid",IF(AG529&lt;=0.004,"Unpaid","Part paid"))))</f>
        <v>0</v>
      </c>
      <c r="AJ529" s="38">
        <f>IF(B529="","",IF(H529&lt;&gt;"Service","",IF(D529="","No",IF(COUNTIFS($D$5:$D$1204,D529,$B$5:$B$1204,B529,$H$5:$H$1204,"Retail")&gt;0,"Yes","No"))))</f>
        <v>0</v>
      </c>
      <c r="AK529" s="25">
        <f>IF(B529="","",COUNTIFS($Y$5:$Y$1204,"&gt;"&amp;Y529)+COUNTIFS($Y$5:Y529,Y529))</f>
        <v>0</v>
      </c>
      <c r="AL529" s="39">
        <f>IF(B529="","",IF(H529="","Add - what kind of sale is this?",IF(IF(V529&lt;=0,P529="",FALSE),"Check - no price found for this item",IF(F529="","Assign - nobody credited",IF(AH529&gt;0.004,"Unpaid - balance outstanding",IF(AC529&lt;0,"Loss - sold below cost",IF(X529&gt;W529*0.5,"Check - more than half off","OK")))))))</f>
        <v>0</v>
      </c>
    </row>
    <row r="530" spans="1:38">
      <c r="A530" s="28">
        <f>IF(B530="","",SalePrefix&amp;TEXT(ROW()-4,"0000"))</f>
        <v>0</v>
      </c>
      <c r="E530" s="15">
        <f>IF(D530="","",IFERROR(INDEX(Clients!$B$5:$B$504,MATCH(D530,Clients!$A$5:$A$504,0)),"Walk-in"))</f>
        <v>0</v>
      </c>
      <c r="G530" s="15">
        <f>IF(F530="","",IFERROR(INDEX(Staff!$B$5:$B$44,MATCH(F530,Staff!$A$5:$A$44,0)),"House"))</f>
        <v>0</v>
      </c>
      <c r="R530" s="15">
        <f>IF(B530="","",TEXT(B530,"yyyy-mm"))</f>
        <v>0</v>
      </c>
      <c r="S530" s="25">
        <f>IF(B530="","",WEEKNUM(B530,2))</f>
        <v>0</v>
      </c>
      <c r="T530" s="37">
        <f>IF(B530="","",IF(K530="",1,K530))</f>
        <v>0</v>
      </c>
      <c r="U530" s="15">
        <f>IF(B530="","",IF(J530&lt;&gt;"",J530,IF(H530="Retail",IFERROR(INDEX(Inventory!$B$5:$B$304,MATCH(I530,Inventory!$A$5:$A$304,0))&amp;"","Not in Inventory"),IFERROR(INDEX(Services!$B$5:$B$204,MATCH(I530,Services!$A$5:$A$204,0))&amp;"","Not in Services"))))</f>
        <v>0</v>
      </c>
      <c r="V530" s="26">
        <f>IF(B530="","",IF(L530&lt;&gt;"",L530,IF(H530="Retail",IFERROR(INDEX(Inventory!$I$5:$I$304,MATCH(I530,Inventory!$A$5:$A$304,0))*1,0),IFERROR(INDEX(Services!$G$5:$G$204,MATCH(I530,Services!$A$5:$A$204,0))*1,0))))</f>
        <v>0</v>
      </c>
      <c r="W530" s="26">
        <f>IF(B530="","",ROUND(T530*V530,2))</f>
        <v>0</v>
      </c>
      <c r="X530" s="26">
        <f>IF(B530="","",ROUND(IF(M530="",0,W530*M530)+IF(N530="",0,N530),2))</f>
        <v>0</v>
      </c>
      <c r="Y530" s="26">
        <f>IF(B530="","",ROUND(W530-X530-IF(P530="",0,P530),2))</f>
        <v>0</v>
      </c>
      <c r="Z530" s="26">
        <f>IF(B530="","",IF(H530="Retail",IF(TaxOnRetail="Yes",ROUND(Y530*TaxRate,2),0),IF(H530="Service",IF(TaxOnServices="Yes",ROUND(Y530*TaxRate,2),0),0)))</f>
        <v>0</v>
      </c>
      <c r="AA530" s="26">
        <f>IF(B530="","",ROUND(Y530+Z530,2))</f>
        <v>0</v>
      </c>
      <c r="AB530" s="26">
        <f>IF(B530="","",ROUND(T530*IF(H530="Retail",IFERROR(INDEX(Inventory!$H$5:$H$304,MATCH(I530,Inventory!$A$5:$A$304,0))*1,0),IFERROR(INDEX(Services!$Q$5:$Q$204,MATCH(I530,Services!$A$5:$A$204,0))*1,0)),2))</f>
        <v>0</v>
      </c>
      <c r="AC530" s="26">
        <f>IF(B530="","",ROUND(Y530-AB530,2))</f>
        <v>0</v>
      </c>
      <c r="AD530" s="38">
        <f>IF(B530="","",IF(C530="","No",IF(COUNTIFS($C$5:C530,C530)=1,"Yes","No")))</f>
        <v>0</v>
      </c>
      <c r="AE530" s="26">
        <f>IF(B530="","",ROUND(SUMIFS(Payments!$G$5:$G$1204,Payments!$H$5:$H$1204,A530,Payments!$Q$5:$Q$1204,"Yes"),2))</f>
        <v>0</v>
      </c>
      <c r="AF530" s="26">
        <f>IF(B530="","",IF(AD530="No",0,ROUND(SUMIFS(Payments!$G$5:$G$1204,Payments!$I$5:$I$1204,C530,Payments!$H$5:$H$1204,"",Payments!$Q$5:$Q$1204,"Yes"),2)))</f>
        <v>0</v>
      </c>
      <c r="AG530" s="26">
        <f>IF(B530="","",ROUND(AE530+AF530,2))</f>
        <v>0</v>
      </c>
      <c r="AH530" s="26">
        <f>IF(B530="","",ROUND(AA530-AG530,2))</f>
        <v>0</v>
      </c>
      <c r="AI530" s="39">
        <f>IF(B530="","",IF(AA530&lt;=0,"No charge",IF(AH530&lt;=0.004,"Paid",IF(AG530&lt;=0.004,"Unpaid","Part paid"))))</f>
        <v>0</v>
      </c>
      <c r="AJ530" s="38">
        <f>IF(B530="","",IF(H530&lt;&gt;"Service","",IF(D530="","No",IF(COUNTIFS($D$5:$D$1204,D530,$B$5:$B$1204,B530,$H$5:$H$1204,"Retail")&gt;0,"Yes","No"))))</f>
        <v>0</v>
      </c>
      <c r="AK530" s="25">
        <f>IF(B530="","",COUNTIFS($Y$5:$Y$1204,"&gt;"&amp;Y530)+COUNTIFS($Y$5:Y530,Y530))</f>
        <v>0</v>
      </c>
      <c r="AL530" s="39">
        <f>IF(B530="","",IF(H530="","Add - what kind of sale is this?",IF(IF(V530&lt;=0,P530="",FALSE),"Check - no price found for this item",IF(F530="","Assign - nobody credited",IF(AH530&gt;0.004,"Unpaid - balance outstanding",IF(AC530&lt;0,"Loss - sold below cost",IF(X530&gt;W530*0.5,"Check - more than half off","OK")))))))</f>
        <v>0</v>
      </c>
    </row>
    <row r="531" spans="1:38">
      <c r="A531" s="28">
        <f>IF(B531="","",SalePrefix&amp;TEXT(ROW()-4,"0000"))</f>
        <v>0</v>
      </c>
      <c r="E531" s="15">
        <f>IF(D531="","",IFERROR(INDEX(Clients!$B$5:$B$504,MATCH(D531,Clients!$A$5:$A$504,0)),"Walk-in"))</f>
        <v>0</v>
      </c>
      <c r="G531" s="15">
        <f>IF(F531="","",IFERROR(INDEX(Staff!$B$5:$B$44,MATCH(F531,Staff!$A$5:$A$44,0)),"House"))</f>
        <v>0</v>
      </c>
      <c r="R531" s="15">
        <f>IF(B531="","",TEXT(B531,"yyyy-mm"))</f>
        <v>0</v>
      </c>
      <c r="S531" s="25">
        <f>IF(B531="","",WEEKNUM(B531,2))</f>
        <v>0</v>
      </c>
      <c r="T531" s="37">
        <f>IF(B531="","",IF(K531="",1,K531))</f>
        <v>0</v>
      </c>
      <c r="U531" s="15">
        <f>IF(B531="","",IF(J531&lt;&gt;"",J531,IF(H531="Retail",IFERROR(INDEX(Inventory!$B$5:$B$304,MATCH(I531,Inventory!$A$5:$A$304,0))&amp;"","Not in Inventory"),IFERROR(INDEX(Services!$B$5:$B$204,MATCH(I531,Services!$A$5:$A$204,0))&amp;"","Not in Services"))))</f>
        <v>0</v>
      </c>
      <c r="V531" s="26">
        <f>IF(B531="","",IF(L531&lt;&gt;"",L531,IF(H531="Retail",IFERROR(INDEX(Inventory!$I$5:$I$304,MATCH(I531,Inventory!$A$5:$A$304,0))*1,0),IFERROR(INDEX(Services!$G$5:$G$204,MATCH(I531,Services!$A$5:$A$204,0))*1,0))))</f>
        <v>0</v>
      </c>
      <c r="W531" s="26">
        <f>IF(B531="","",ROUND(T531*V531,2))</f>
        <v>0</v>
      </c>
      <c r="X531" s="26">
        <f>IF(B531="","",ROUND(IF(M531="",0,W531*M531)+IF(N531="",0,N531),2))</f>
        <v>0</v>
      </c>
      <c r="Y531" s="26">
        <f>IF(B531="","",ROUND(W531-X531-IF(P531="",0,P531),2))</f>
        <v>0</v>
      </c>
      <c r="Z531" s="26">
        <f>IF(B531="","",IF(H531="Retail",IF(TaxOnRetail="Yes",ROUND(Y531*TaxRate,2),0),IF(H531="Service",IF(TaxOnServices="Yes",ROUND(Y531*TaxRate,2),0),0)))</f>
        <v>0</v>
      </c>
      <c r="AA531" s="26">
        <f>IF(B531="","",ROUND(Y531+Z531,2))</f>
        <v>0</v>
      </c>
      <c r="AB531" s="26">
        <f>IF(B531="","",ROUND(T531*IF(H531="Retail",IFERROR(INDEX(Inventory!$H$5:$H$304,MATCH(I531,Inventory!$A$5:$A$304,0))*1,0),IFERROR(INDEX(Services!$Q$5:$Q$204,MATCH(I531,Services!$A$5:$A$204,0))*1,0)),2))</f>
        <v>0</v>
      </c>
      <c r="AC531" s="26">
        <f>IF(B531="","",ROUND(Y531-AB531,2))</f>
        <v>0</v>
      </c>
      <c r="AD531" s="38">
        <f>IF(B531="","",IF(C531="","No",IF(COUNTIFS($C$5:C531,C531)=1,"Yes","No")))</f>
        <v>0</v>
      </c>
      <c r="AE531" s="26">
        <f>IF(B531="","",ROUND(SUMIFS(Payments!$G$5:$G$1204,Payments!$H$5:$H$1204,A531,Payments!$Q$5:$Q$1204,"Yes"),2))</f>
        <v>0</v>
      </c>
      <c r="AF531" s="26">
        <f>IF(B531="","",IF(AD531="No",0,ROUND(SUMIFS(Payments!$G$5:$G$1204,Payments!$I$5:$I$1204,C531,Payments!$H$5:$H$1204,"",Payments!$Q$5:$Q$1204,"Yes"),2)))</f>
        <v>0</v>
      </c>
      <c r="AG531" s="26">
        <f>IF(B531="","",ROUND(AE531+AF531,2))</f>
        <v>0</v>
      </c>
      <c r="AH531" s="26">
        <f>IF(B531="","",ROUND(AA531-AG531,2))</f>
        <v>0</v>
      </c>
      <c r="AI531" s="39">
        <f>IF(B531="","",IF(AA531&lt;=0,"No charge",IF(AH531&lt;=0.004,"Paid",IF(AG531&lt;=0.004,"Unpaid","Part paid"))))</f>
        <v>0</v>
      </c>
      <c r="AJ531" s="38">
        <f>IF(B531="","",IF(H531&lt;&gt;"Service","",IF(D531="","No",IF(COUNTIFS($D$5:$D$1204,D531,$B$5:$B$1204,B531,$H$5:$H$1204,"Retail")&gt;0,"Yes","No"))))</f>
        <v>0</v>
      </c>
      <c r="AK531" s="25">
        <f>IF(B531="","",COUNTIFS($Y$5:$Y$1204,"&gt;"&amp;Y531)+COUNTIFS($Y$5:Y531,Y531))</f>
        <v>0</v>
      </c>
      <c r="AL531" s="39">
        <f>IF(B531="","",IF(H531="","Add - what kind of sale is this?",IF(IF(V531&lt;=0,P531="",FALSE),"Check - no price found for this item",IF(F531="","Assign - nobody credited",IF(AH531&gt;0.004,"Unpaid - balance outstanding",IF(AC531&lt;0,"Loss - sold below cost",IF(X531&gt;W531*0.5,"Check - more than half off","OK")))))))</f>
        <v>0</v>
      </c>
    </row>
    <row r="532" spans="1:38">
      <c r="A532" s="28">
        <f>IF(B532="","",SalePrefix&amp;TEXT(ROW()-4,"0000"))</f>
        <v>0</v>
      </c>
      <c r="E532" s="15">
        <f>IF(D532="","",IFERROR(INDEX(Clients!$B$5:$B$504,MATCH(D532,Clients!$A$5:$A$504,0)),"Walk-in"))</f>
        <v>0</v>
      </c>
      <c r="G532" s="15">
        <f>IF(F532="","",IFERROR(INDEX(Staff!$B$5:$B$44,MATCH(F532,Staff!$A$5:$A$44,0)),"House"))</f>
        <v>0</v>
      </c>
      <c r="R532" s="15">
        <f>IF(B532="","",TEXT(B532,"yyyy-mm"))</f>
        <v>0</v>
      </c>
      <c r="S532" s="25">
        <f>IF(B532="","",WEEKNUM(B532,2))</f>
        <v>0</v>
      </c>
      <c r="T532" s="37">
        <f>IF(B532="","",IF(K532="",1,K532))</f>
        <v>0</v>
      </c>
      <c r="U532" s="15">
        <f>IF(B532="","",IF(J532&lt;&gt;"",J532,IF(H532="Retail",IFERROR(INDEX(Inventory!$B$5:$B$304,MATCH(I532,Inventory!$A$5:$A$304,0))&amp;"","Not in Inventory"),IFERROR(INDEX(Services!$B$5:$B$204,MATCH(I532,Services!$A$5:$A$204,0))&amp;"","Not in Services"))))</f>
        <v>0</v>
      </c>
      <c r="V532" s="26">
        <f>IF(B532="","",IF(L532&lt;&gt;"",L532,IF(H532="Retail",IFERROR(INDEX(Inventory!$I$5:$I$304,MATCH(I532,Inventory!$A$5:$A$304,0))*1,0),IFERROR(INDEX(Services!$G$5:$G$204,MATCH(I532,Services!$A$5:$A$204,0))*1,0))))</f>
        <v>0</v>
      </c>
      <c r="W532" s="26">
        <f>IF(B532="","",ROUND(T532*V532,2))</f>
        <v>0</v>
      </c>
      <c r="X532" s="26">
        <f>IF(B532="","",ROUND(IF(M532="",0,W532*M532)+IF(N532="",0,N532),2))</f>
        <v>0</v>
      </c>
      <c r="Y532" s="26">
        <f>IF(B532="","",ROUND(W532-X532-IF(P532="",0,P532),2))</f>
        <v>0</v>
      </c>
      <c r="Z532" s="26">
        <f>IF(B532="","",IF(H532="Retail",IF(TaxOnRetail="Yes",ROUND(Y532*TaxRate,2),0),IF(H532="Service",IF(TaxOnServices="Yes",ROUND(Y532*TaxRate,2),0),0)))</f>
        <v>0</v>
      </c>
      <c r="AA532" s="26">
        <f>IF(B532="","",ROUND(Y532+Z532,2))</f>
        <v>0</v>
      </c>
      <c r="AB532" s="26">
        <f>IF(B532="","",ROUND(T532*IF(H532="Retail",IFERROR(INDEX(Inventory!$H$5:$H$304,MATCH(I532,Inventory!$A$5:$A$304,0))*1,0),IFERROR(INDEX(Services!$Q$5:$Q$204,MATCH(I532,Services!$A$5:$A$204,0))*1,0)),2))</f>
        <v>0</v>
      </c>
      <c r="AC532" s="26">
        <f>IF(B532="","",ROUND(Y532-AB532,2))</f>
        <v>0</v>
      </c>
      <c r="AD532" s="38">
        <f>IF(B532="","",IF(C532="","No",IF(COUNTIFS($C$5:C532,C532)=1,"Yes","No")))</f>
        <v>0</v>
      </c>
      <c r="AE532" s="26">
        <f>IF(B532="","",ROUND(SUMIFS(Payments!$G$5:$G$1204,Payments!$H$5:$H$1204,A532,Payments!$Q$5:$Q$1204,"Yes"),2))</f>
        <v>0</v>
      </c>
      <c r="AF532" s="26">
        <f>IF(B532="","",IF(AD532="No",0,ROUND(SUMIFS(Payments!$G$5:$G$1204,Payments!$I$5:$I$1204,C532,Payments!$H$5:$H$1204,"",Payments!$Q$5:$Q$1204,"Yes"),2)))</f>
        <v>0</v>
      </c>
      <c r="AG532" s="26">
        <f>IF(B532="","",ROUND(AE532+AF532,2))</f>
        <v>0</v>
      </c>
      <c r="AH532" s="26">
        <f>IF(B532="","",ROUND(AA532-AG532,2))</f>
        <v>0</v>
      </c>
      <c r="AI532" s="39">
        <f>IF(B532="","",IF(AA532&lt;=0,"No charge",IF(AH532&lt;=0.004,"Paid",IF(AG532&lt;=0.004,"Unpaid","Part paid"))))</f>
        <v>0</v>
      </c>
      <c r="AJ532" s="38">
        <f>IF(B532="","",IF(H532&lt;&gt;"Service","",IF(D532="","No",IF(COUNTIFS($D$5:$D$1204,D532,$B$5:$B$1204,B532,$H$5:$H$1204,"Retail")&gt;0,"Yes","No"))))</f>
        <v>0</v>
      </c>
      <c r="AK532" s="25">
        <f>IF(B532="","",COUNTIFS($Y$5:$Y$1204,"&gt;"&amp;Y532)+COUNTIFS($Y$5:Y532,Y532))</f>
        <v>0</v>
      </c>
      <c r="AL532" s="39">
        <f>IF(B532="","",IF(H532="","Add - what kind of sale is this?",IF(IF(V532&lt;=0,P532="",FALSE),"Check - no price found for this item",IF(F532="","Assign - nobody credited",IF(AH532&gt;0.004,"Unpaid - balance outstanding",IF(AC532&lt;0,"Loss - sold below cost",IF(X532&gt;W532*0.5,"Check - more than half off","OK")))))))</f>
        <v>0</v>
      </c>
    </row>
    <row r="533" spans="1:38">
      <c r="A533" s="28">
        <f>IF(B533="","",SalePrefix&amp;TEXT(ROW()-4,"0000"))</f>
        <v>0</v>
      </c>
      <c r="E533" s="15">
        <f>IF(D533="","",IFERROR(INDEX(Clients!$B$5:$B$504,MATCH(D533,Clients!$A$5:$A$504,0)),"Walk-in"))</f>
        <v>0</v>
      </c>
      <c r="G533" s="15">
        <f>IF(F533="","",IFERROR(INDEX(Staff!$B$5:$B$44,MATCH(F533,Staff!$A$5:$A$44,0)),"House"))</f>
        <v>0</v>
      </c>
      <c r="R533" s="15">
        <f>IF(B533="","",TEXT(B533,"yyyy-mm"))</f>
        <v>0</v>
      </c>
      <c r="S533" s="25">
        <f>IF(B533="","",WEEKNUM(B533,2))</f>
        <v>0</v>
      </c>
      <c r="T533" s="37">
        <f>IF(B533="","",IF(K533="",1,K533))</f>
        <v>0</v>
      </c>
      <c r="U533" s="15">
        <f>IF(B533="","",IF(J533&lt;&gt;"",J533,IF(H533="Retail",IFERROR(INDEX(Inventory!$B$5:$B$304,MATCH(I533,Inventory!$A$5:$A$304,0))&amp;"","Not in Inventory"),IFERROR(INDEX(Services!$B$5:$B$204,MATCH(I533,Services!$A$5:$A$204,0))&amp;"","Not in Services"))))</f>
        <v>0</v>
      </c>
      <c r="V533" s="26">
        <f>IF(B533="","",IF(L533&lt;&gt;"",L533,IF(H533="Retail",IFERROR(INDEX(Inventory!$I$5:$I$304,MATCH(I533,Inventory!$A$5:$A$304,0))*1,0),IFERROR(INDEX(Services!$G$5:$G$204,MATCH(I533,Services!$A$5:$A$204,0))*1,0))))</f>
        <v>0</v>
      </c>
      <c r="W533" s="26">
        <f>IF(B533="","",ROUND(T533*V533,2))</f>
        <v>0</v>
      </c>
      <c r="X533" s="26">
        <f>IF(B533="","",ROUND(IF(M533="",0,W533*M533)+IF(N533="",0,N533),2))</f>
        <v>0</v>
      </c>
      <c r="Y533" s="26">
        <f>IF(B533="","",ROUND(W533-X533-IF(P533="",0,P533),2))</f>
        <v>0</v>
      </c>
      <c r="Z533" s="26">
        <f>IF(B533="","",IF(H533="Retail",IF(TaxOnRetail="Yes",ROUND(Y533*TaxRate,2),0),IF(H533="Service",IF(TaxOnServices="Yes",ROUND(Y533*TaxRate,2),0),0)))</f>
        <v>0</v>
      </c>
      <c r="AA533" s="26">
        <f>IF(B533="","",ROUND(Y533+Z533,2))</f>
        <v>0</v>
      </c>
      <c r="AB533" s="26">
        <f>IF(B533="","",ROUND(T533*IF(H533="Retail",IFERROR(INDEX(Inventory!$H$5:$H$304,MATCH(I533,Inventory!$A$5:$A$304,0))*1,0),IFERROR(INDEX(Services!$Q$5:$Q$204,MATCH(I533,Services!$A$5:$A$204,0))*1,0)),2))</f>
        <v>0</v>
      </c>
      <c r="AC533" s="26">
        <f>IF(B533="","",ROUND(Y533-AB533,2))</f>
        <v>0</v>
      </c>
      <c r="AD533" s="38">
        <f>IF(B533="","",IF(C533="","No",IF(COUNTIFS($C$5:C533,C533)=1,"Yes","No")))</f>
        <v>0</v>
      </c>
      <c r="AE533" s="26">
        <f>IF(B533="","",ROUND(SUMIFS(Payments!$G$5:$G$1204,Payments!$H$5:$H$1204,A533,Payments!$Q$5:$Q$1204,"Yes"),2))</f>
        <v>0</v>
      </c>
      <c r="AF533" s="26">
        <f>IF(B533="","",IF(AD533="No",0,ROUND(SUMIFS(Payments!$G$5:$G$1204,Payments!$I$5:$I$1204,C533,Payments!$H$5:$H$1204,"",Payments!$Q$5:$Q$1204,"Yes"),2)))</f>
        <v>0</v>
      </c>
      <c r="AG533" s="26">
        <f>IF(B533="","",ROUND(AE533+AF533,2))</f>
        <v>0</v>
      </c>
      <c r="AH533" s="26">
        <f>IF(B533="","",ROUND(AA533-AG533,2))</f>
        <v>0</v>
      </c>
      <c r="AI533" s="39">
        <f>IF(B533="","",IF(AA533&lt;=0,"No charge",IF(AH533&lt;=0.004,"Paid",IF(AG533&lt;=0.004,"Unpaid","Part paid"))))</f>
        <v>0</v>
      </c>
      <c r="AJ533" s="38">
        <f>IF(B533="","",IF(H533&lt;&gt;"Service","",IF(D533="","No",IF(COUNTIFS($D$5:$D$1204,D533,$B$5:$B$1204,B533,$H$5:$H$1204,"Retail")&gt;0,"Yes","No"))))</f>
        <v>0</v>
      </c>
      <c r="AK533" s="25">
        <f>IF(B533="","",COUNTIFS($Y$5:$Y$1204,"&gt;"&amp;Y533)+COUNTIFS($Y$5:Y533,Y533))</f>
        <v>0</v>
      </c>
      <c r="AL533" s="39">
        <f>IF(B533="","",IF(H533="","Add - what kind of sale is this?",IF(IF(V533&lt;=0,P533="",FALSE),"Check - no price found for this item",IF(F533="","Assign - nobody credited",IF(AH533&gt;0.004,"Unpaid - balance outstanding",IF(AC533&lt;0,"Loss - sold below cost",IF(X533&gt;W533*0.5,"Check - more than half off","OK")))))))</f>
        <v>0</v>
      </c>
    </row>
    <row r="534" spans="1:38">
      <c r="A534" s="28">
        <f>IF(B534="","",SalePrefix&amp;TEXT(ROW()-4,"0000"))</f>
        <v>0</v>
      </c>
      <c r="E534" s="15">
        <f>IF(D534="","",IFERROR(INDEX(Clients!$B$5:$B$504,MATCH(D534,Clients!$A$5:$A$504,0)),"Walk-in"))</f>
        <v>0</v>
      </c>
      <c r="G534" s="15">
        <f>IF(F534="","",IFERROR(INDEX(Staff!$B$5:$B$44,MATCH(F534,Staff!$A$5:$A$44,0)),"House"))</f>
        <v>0</v>
      </c>
      <c r="R534" s="15">
        <f>IF(B534="","",TEXT(B534,"yyyy-mm"))</f>
        <v>0</v>
      </c>
      <c r="S534" s="25">
        <f>IF(B534="","",WEEKNUM(B534,2))</f>
        <v>0</v>
      </c>
      <c r="T534" s="37">
        <f>IF(B534="","",IF(K534="",1,K534))</f>
        <v>0</v>
      </c>
      <c r="U534" s="15">
        <f>IF(B534="","",IF(J534&lt;&gt;"",J534,IF(H534="Retail",IFERROR(INDEX(Inventory!$B$5:$B$304,MATCH(I534,Inventory!$A$5:$A$304,0))&amp;"","Not in Inventory"),IFERROR(INDEX(Services!$B$5:$B$204,MATCH(I534,Services!$A$5:$A$204,0))&amp;"","Not in Services"))))</f>
        <v>0</v>
      </c>
      <c r="V534" s="26">
        <f>IF(B534="","",IF(L534&lt;&gt;"",L534,IF(H534="Retail",IFERROR(INDEX(Inventory!$I$5:$I$304,MATCH(I534,Inventory!$A$5:$A$304,0))*1,0),IFERROR(INDEX(Services!$G$5:$G$204,MATCH(I534,Services!$A$5:$A$204,0))*1,0))))</f>
        <v>0</v>
      </c>
      <c r="W534" s="26">
        <f>IF(B534="","",ROUND(T534*V534,2))</f>
        <v>0</v>
      </c>
      <c r="X534" s="26">
        <f>IF(B534="","",ROUND(IF(M534="",0,W534*M534)+IF(N534="",0,N534),2))</f>
        <v>0</v>
      </c>
      <c r="Y534" s="26">
        <f>IF(B534="","",ROUND(W534-X534-IF(P534="",0,P534),2))</f>
        <v>0</v>
      </c>
      <c r="Z534" s="26">
        <f>IF(B534="","",IF(H534="Retail",IF(TaxOnRetail="Yes",ROUND(Y534*TaxRate,2),0),IF(H534="Service",IF(TaxOnServices="Yes",ROUND(Y534*TaxRate,2),0),0)))</f>
        <v>0</v>
      </c>
      <c r="AA534" s="26">
        <f>IF(B534="","",ROUND(Y534+Z534,2))</f>
        <v>0</v>
      </c>
      <c r="AB534" s="26">
        <f>IF(B534="","",ROUND(T534*IF(H534="Retail",IFERROR(INDEX(Inventory!$H$5:$H$304,MATCH(I534,Inventory!$A$5:$A$304,0))*1,0),IFERROR(INDEX(Services!$Q$5:$Q$204,MATCH(I534,Services!$A$5:$A$204,0))*1,0)),2))</f>
        <v>0</v>
      </c>
      <c r="AC534" s="26">
        <f>IF(B534="","",ROUND(Y534-AB534,2))</f>
        <v>0</v>
      </c>
      <c r="AD534" s="38">
        <f>IF(B534="","",IF(C534="","No",IF(COUNTIFS($C$5:C534,C534)=1,"Yes","No")))</f>
        <v>0</v>
      </c>
      <c r="AE534" s="26">
        <f>IF(B534="","",ROUND(SUMIFS(Payments!$G$5:$G$1204,Payments!$H$5:$H$1204,A534,Payments!$Q$5:$Q$1204,"Yes"),2))</f>
        <v>0</v>
      </c>
      <c r="AF534" s="26">
        <f>IF(B534="","",IF(AD534="No",0,ROUND(SUMIFS(Payments!$G$5:$G$1204,Payments!$I$5:$I$1204,C534,Payments!$H$5:$H$1204,"",Payments!$Q$5:$Q$1204,"Yes"),2)))</f>
        <v>0</v>
      </c>
      <c r="AG534" s="26">
        <f>IF(B534="","",ROUND(AE534+AF534,2))</f>
        <v>0</v>
      </c>
      <c r="AH534" s="26">
        <f>IF(B534="","",ROUND(AA534-AG534,2))</f>
        <v>0</v>
      </c>
      <c r="AI534" s="39">
        <f>IF(B534="","",IF(AA534&lt;=0,"No charge",IF(AH534&lt;=0.004,"Paid",IF(AG534&lt;=0.004,"Unpaid","Part paid"))))</f>
        <v>0</v>
      </c>
      <c r="AJ534" s="38">
        <f>IF(B534="","",IF(H534&lt;&gt;"Service","",IF(D534="","No",IF(COUNTIFS($D$5:$D$1204,D534,$B$5:$B$1204,B534,$H$5:$H$1204,"Retail")&gt;0,"Yes","No"))))</f>
        <v>0</v>
      </c>
      <c r="AK534" s="25">
        <f>IF(B534="","",COUNTIFS($Y$5:$Y$1204,"&gt;"&amp;Y534)+COUNTIFS($Y$5:Y534,Y534))</f>
        <v>0</v>
      </c>
      <c r="AL534" s="39">
        <f>IF(B534="","",IF(H534="","Add - what kind of sale is this?",IF(IF(V534&lt;=0,P534="",FALSE),"Check - no price found for this item",IF(F534="","Assign - nobody credited",IF(AH534&gt;0.004,"Unpaid - balance outstanding",IF(AC534&lt;0,"Loss - sold below cost",IF(X534&gt;W534*0.5,"Check - more than half off","OK")))))))</f>
        <v>0</v>
      </c>
    </row>
    <row r="535" spans="1:38">
      <c r="A535" s="28">
        <f>IF(B535="","",SalePrefix&amp;TEXT(ROW()-4,"0000"))</f>
        <v>0</v>
      </c>
      <c r="E535" s="15">
        <f>IF(D535="","",IFERROR(INDEX(Clients!$B$5:$B$504,MATCH(D535,Clients!$A$5:$A$504,0)),"Walk-in"))</f>
        <v>0</v>
      </c>
      <c r="G535" s="15">
        <f>IF(F535="","",IFERROR(INDEX(Staff!$B$5:$B$44,MATCH(F535,Staff!$A$5:$A$44,0)),"House"))</f>
        <v>0</v>
      </c>
      <c r="R535" s="15">
        <f>IF(B535="","",TEXT(B535,"yyyy-mm"))</f>
        <v>0</v>
      </c>
      <c r="S535" s="25">
        <f>IF(B535="","",WEEKNUM(B535,2))</f>
        <v>0</v>
      </c>
      <c r="T535" s="37">
        <f>IF(B535="","",IF(K535="",1,K535))</f>
        <v>0</v>
      </c>
      <c r="U535" s="15">
        <f>IF(B535="","",IF(J535&lt;&gt;"",J535,IF(H535="Retail",IFERROR(INDEX(Inventory!$B$5:$B$304,MATCH(I535,Inventory!$A$5:$A$304,0))&amp;"","Not in Inventory"),IFERROR(INDEX(Services!$B$5:$B$204,MATCH(I535,Services!$A$5:$A$204,0))&amp;"","Not in Services"))))</f>
        <v>0</v>
      </c>
      <c r="V535" s="26">
        <f>IF(B535="","",IF(L535&lt;&gt;"",L535,IF(H535="Retail",IFERROR(INDEX(Inventory!$I$5:$I$304,MATCH(I535,Inventory!$A$5:$A$304,0))*1,0),IFERROR(INDEX(Services!$G$5:$G$204,MATCH(I535,Services!$A$5:$A$204,0))*1,0))))</f>
        <v>0</v>
      </c>
      <c r="W535" s="26">
        <f>IF(B535="","",ROUND(T535*V535,2))</f>
        <v>0</v>
      </c>
      <c r="X535" s="26">
        <f>IF(B535="","",ROUND(IF(M535="",0,W535*M535)+IF(N535="",0,N535),2))</f>
        <v>0</v>
      </c>
      <c r="Y535" s="26">
        <f>IF(B535="","",ROUND(W535-X535-IF(P535="",0,P535),2))</f>
        <v>0</v>
      </c>
      <c r="Z535" s="26">
        <f>IF(B535="","",IF(H535="Retail",IF(TaxOnRetail="Yes",ROUND(Y535*TaxRate,2),0),IF(H535="Service",IF(TaxOnServices="Yes",ROUND(Y535*TaxRate,2),0),0)))</f>
        <v>0</v>
      </c>
      <c r="AA535" s="26">
        <f>IF(B535="","",ROUND(Y535+Z535,2))</f>
        <v>0</v>
      </c>
      <c r="AB535" s="26">
        <f>IF(B535="","",ROUND(T535*IF(H535="Retail",IFERROR(INDEX(Inventory!$H$5:$H$304,MATCH(I535,Inventory!$A$5:$A$304,0))*1,0),IFERROR(INDEX(Services!$Q$5:$Q$204,MATCH(I535,Services!$A$5:$A$204,0))*1,0)),2))</f>
        <v>0</v>
      </c>
      <c r="AC535" s="26">
        <f>IF(B535="","",ROUND(Y535-AB535,2))</f>
        <v>0</v>
      </c>
      <c r="AD535" s="38">
        <f>IF(B535="","",IF(C535="","No",IF(COUNTIFS($C$5:C535,C535)=1,"Yes","No")))</f>
        <v>0</v>
      </c>
      <c r="AE535" s="26">
        <f>IF(B535="","",ROUND(SUMIFS(Payments!$G$5:$G$1204,Payments!$H$5:$H$1204,A535,Payments!$Q$5:$Q$1204,"Yes"),2))</f>
        <v>0</v>
      </c>
      <c r="AF535" s="26">
        <f>IF(B535="","",IF(AD535="No",0,ROUND(SUMIFS(Payments!$G$5:$G$1204,Payments!$I$5:$I$1204,C535,Payments!$H$5:$H$1204,"",Payments!$Q$5:$Q$1204,"Yes"),2)))</f>
        <v>0</v>
      </c>
      <c r="AG535" s="26">
        <f>IF(B535="","",ROUND(AE535+AF535,2))</f>
        <v>0</v>
      </c>
      <c r="AH535" s="26">
        <f>IF(B535="","",ROUND(AA535-AG535,2))</f>
        <v>0</v>
      </c>
      <c r="AI535" s="39">
        <f>IF(B535="","",IF(AA535&lt;=0,"No charge",IF(AH535&lt;=0.004,"Paid",IF(AG535&lt;=0.004,"Unpaid","Part paid"))))</f>
        <v>0</v>
      </c>
      <c r="AJ535" s="38">
        <f>IF(B535="","",IF(H535&lt;&gt;"Service","",IF(D535="","No",IF(COUNTIFS($D$5:$D$1204,D535,$B$5:$B$1204,B535,$H$5:$H$1204,"Retail")&gt;0,"Yes","No"))))</f>
        <v>0</v>
      </c>
      <c r="AK535" s="25">
        <f>IF(B535="","",COUNTIFS($Y$5:$Y$1204,"&gt;"&amp;Y535)+COUNTIFS($Y$5:Y535,Y535))</f>
        <v>0</v>
      </c>
      <c r="AL535" s="39">
        <f>IF(B535="","",IF(H535="","Add - what kind of sale is this?",IF(IF(V535&lt;=0,P535="",FALSE),"Check - no price found for this item",IF(F535="","Assign - nobody credited",IF(AH535&gt;0.004,"Unpaid - balance outstanding",IF(AC535&lt;0,"Loss - sold below cost",IF(X535&gt;W535*0.5,"Check - more than half off","OK")))))))</f>
        <v>0</v>
      </c>
    </row>
    <row r="536" spans="1:38">
      <c r="A536" s="28">
        <f>IF(B536="","",SalePrefix&amp;TEXT(ROW()-4,"0000"))</f>
        <v>0</v>
      </c>
      <c r="E536" s="15">
        <f>IF(D536="","",IFERROR(INDEX(Clients!$B$5:$B$504,MATCH(D536,Clients!$A$5:$A$504,0)),"Walk-in"))</f>
        <v>0</v>
      </c>
      <c r="G536" s="15">
        <f>IF(F536="","",IFERROR(INDEX(Staff!$B$5:$B$44,MATCH(F536,Staff!$A$5:$A$44,0)),"House"))</f>
        <v>0</v>
      </c>
      <c r="R536" s="15">
        <f>IF(B536="","",TEXT(B536,"yyyy-mm"))</f>
        <v>0</v>
      </c>
      <c r="S536" s="25">
        <f>IF(B536="","",WEEKNUM(B536,2))</f>
        <v>0</v>
      </c>
      <c r="T536" s="37">
        <f>IF(B536="","",IF(K536="",1,K536))</f>
        <v>0</v>
      </c>
      <c r="U536" s="15">
        <f>IF(B536="","",IF(J536&lt;&gt;"",J536,IF(H536="Retail",IFERROR(INDEX(Inventory!$B$5:$B$304,MATCH(I536,Inventory!$A$5:$A$304,0))&amp;"","Not in Inventory"),IFERROR(INDEX(Services!$B$5:$B$204,MATCH(I536,Services!$A$5:$A$204,0))&amp;"","Not in Services"))))</f>
        <v>0</v>
      </c>
      <c r="V536" s="26">
        <f>IF(B536="","",IF(L536&lt;&gt;"",L536,IF(H536="Retail",IFERROR(INDEX(Inventory!$I$5:$I$304,MATCH(I536,Inventory!$A$5:$A$304,0))*1,0),IFERROR(INDEX(Services!$G$5:$G$204,MATCH(I536,Services!$A$5:$A$204,0))*1,0))))</f>
        <v>0</v>
      </c>
      <c r="W536" s="26">
        <f>IF(B536="","",ROUND(T536*V536,2))</f>
        <v>0</v>
      </c>
      <c r="X536" s="26">
        <f>IF(B536="","",ROUND(IF(M536="",0,W536*M536)+IF(N536="",0,N536),2))</f>
        <v>0</v>
      </c>
      <c r="Y536" s="26">
        <f>IF(B536="","",ROUND(W536-X536-IF(P536="",0,P536),2))</f>
        <v>0</v>
      </c>
      <c r="Z536" s="26">
        <f>IF(B536="","",IF(H536="Retail",IF(TaxOnRetail="Yes",ROUND(Y536*TaxRate,2),0),IF(H536="Service",IF(TaxOnServices="Yes",ROUND(Y536*TaxRate,2),0),0)))</f>
        <v>0</v>
      </c>
      <c r="AA536" s="26">
        <f>IF(B536="","",ROUND(Y536+Z536,2))</f>
        <v>0</v>
      </c>
      <c r="AB536" s="26">
        <f>IF(B536="","",ROUND(T536*IF(H536="Retail",IFERROR(INDEX(Inventory!$H$5:$H$304,MATCH(I536,Inventory!$A$5:$A$304,0))*1,0),IFERROR(INDEX(Services!$Q$5:$Q$204,MATCH(I536,Services!$A$5:$A$204,0))*1,0)),2))</f>
        <v>0</v>
      </c>
      <c r="AC536" s="26">
        <f>IF(B536="","",ROUND(Y536-AB536,2))</f>
        <v>0</v>
      </c>
      <c r="AD536" s="38">
        <f>IF(B536="","",IF(C536="","No",IF(COUNTIFS($C$5:C536,C536)=1,"Yes","No")))</f>
        <v>0</v>
      </c>
      <c r="AE536" s="26">
        <f>IF(B536="","",ROUND(SUMIFS(Payments!$G$5:$G$1204,Payments!$H$5:$H$1204,A536,Payments!$Q$5:$Q$1204,"Yes"),2))</f>
        <v>0</v>
      </c>
      <c r="AF536" s="26">
        <f>IF(B536="","",IF(AD536="No",0,ROUND(SUMIFS(Payments!$G$5:$G$1204,Payments!$I$5:$I$1204,C536,Payments!$H$5:$H$1204,"",Payments!$Q$5:$Q$1204,"Yes"),2)))</f>
        <v>0</v>
      </c>
      <c r="AG536" s="26">
        <f>IF(B536="","",ROUND(AE536+AF536,2))</f>
        <v>0</v>
      </c>
      <c r="AH536" s="26">
        <f>IF(B536="","",ROUND(AA536-AG536,2))</f>
        <v>0</v>
      </c>
      <c r="AI536" s="39">
        <f>IF(B536="","",IF(AA536&lt;=0,"No charge",IF(AH536&lt;=0.004,"Paid",IF(AG536&lt;=0.004,"Unpaid","Part paid"))))</f>
        <v>0</v>
      </c>
      <c r="AJ536" s="38">
        <f>IF(B536="","",IF(H536&lt;&gt;"Service","",IF(D536="","No",IF(COUNTIFS($D$5:$D$1204,D536,$B$5:$B$1204,B536,$H$5:$H$1204,"Retail")&gt;0,"Yes","No"))))</f>
        <v>0</v>
      </c>
      <c r="AK536" s="25">
        <f>IF(B536="","",COUNTIFS($Y$5:$Y$1204,"&gt;"&amp;Y536)+COUNTIFS($Y$5:Y536,Y536))</f>
        <v>0</v>
      </c>
      <c r="AL536" s="39">
        <f>IF(B536="","",IF(H536="","Add - what kind of sale is this?",IF(IF(V536&lt;=0,P536="",FALSE),"Check - no price found for this item",IF(F536="","Assign - nobody credited",IF(AH536&gt;0.004,"Unpaid - balance outstanding",IF(AC536&lt;0,"Loss - sold below cost",IF(X536&gt;W536*0.5,"Check - more than half off","OK")))))))</f>
        <v>0</v>
      </c>
    </row>
    <row r="537" spans="1:38">
      <c r="A537" s="28">
        <f>IF(B537="","",SalePrefix&amp;TEXT(ROW()-4,"0000"))</f>
        <v>0</v>
      </c>
      <c r="E537" s="15">
        <f>IF(D537="","",IFERROR(INDEX(Clients!$B$5:$B$504,MATCH(D537,Clients!$A$5:$A$504,0)),"Walk-in"))</f>
        <v>0</v>
      </c>
      <c r="G537" s="15">
        <f>IF(F537="","",IFERROR(INDEX(Staff!$B$5:$B$44,MATCH(F537,Staff!$A$5:$A$44,0)),"House"))</f>
        <v>0</v>
      </c>
      <c r="R537" s="15">
        <f>IF(B537="","",TEXT(B537,"yyyy-mm"))</f>
        <v>0</v>
      </c>
      <c r="S537" s="25">
        <f>IF(B537="","",WEEKNUM(B537,2))</f>
        <v>0</v>
      </c>
      <c r="T537" s="37">
        <f>IF(B537="","",IF(K537="",1,K537))</f>
        <v>0</v>
      </c>
      <c r="U537" s="15">
        <f>IF(B537="","",IF(J537&lt;&gt;"",J537,IF(H537="Retail",IFERROR(INDEX(Inventory!$B$5:$B$304,MATCH(I537,Inventory!$A$5:$A$304,0))&amp;"","Not in Inventory"),IFERROR(INDEX(Services!$B$5:$B$204,MATCH(I537,Services!$A$5:$A$204,0))&amp;"","Not in Services"))))</f>
        <v>0</v>
      </c>
      <c r="V537" s="26">
        <f>IF(B537="","",IF(L537&lt;&gt;"",L537,IF(H537="Retail",IFERROR(INDEX(Inventory!$I$5:$I$304,MATCH(I537,Inventory!$A$5:$A$304,0))*1,0),IFERROR(INDEX(Services!$G$5:$G$204,MATCH(I537,Services!$A$5:$A$204,0))*1,0))))</f>
        <v>0</v>
      </c>
      <c r="W537" s="26">
        <f>IF(B537="","",ROUND(T537*V537,2))</f>
        <v>0</v>
      </c>
      <c r="X537" s="26">
        <f>IF(B537="","",ROUND(IF(M537="",0,W537*M537)+IF(N537="",0,N537),2))</f>
        <v>0</v>
      </c>
      <c r="Y537" s="26">
        <f>IF(B537="","",ROUND(W537-X537-IF(P537="",0,P537),2))</f>
        <v>0</v>
      </c>
      <c r="Z537" s="26">
        <f>IF(B537="","",IF(H537="Retail",IF(TaxOnRetail="Yes",ROUND(Y537*TaxRate,2),0),IF(H537="Service",IF(TaxOnServices="Yes",ROUND(Y537*TaxRate,2),0),0)))</f>
        <v>0</v>
      </c>
      <c r="AA537" s="26">
        <f>IF(B537="","",ROUND(Y537+Z537,2))</f>
        <v>0</v>
      </c>
      <c r="AB537" s="26">
        <f>IF(B537="","",ROUND(T537*IF(H537="Retail",IFERROR(INDEX(Inventory!$H$5:$H$304,MATCH(I537,Inventory!$A$5:$A$304,0))*1,0),IFERROR(INDEX(Services!$Q$5:$Q$204,MATCH(I537,Services!$A$5:$A$204,0))*1,0)),2))</f>
        <v>0</v>
      </c>
      <c r="AC537" s="26">
        <f>IF(B537="","",ROUND(Y537-AB537,2))</f>
        <v>0</v>
      </c>
      <c r="AD537" s="38">
        <f>IF(B537="","",IF(C537="","No",IF(COUNTIFS($C$5:C537,C537)=1,"Yes","No")))</f>
        <v>0</v>
      </c>
      <c r="AE537" s="26">
        <f>IF(B537="","",ROUND(SUMIFS(Payments!$G$5:$G$1204,Payments!$H$5:$H$1204,A537,Payments!$Q$5:$Q$1204,"Yes"),2))</f>
        <v>0</v>
      </c>
      <c r="AF537" s="26">
        <f>IF(B537="","",IF(AD537="No",0,ROUND(SUMIFS(Payments!$G$5:$G$1204,Payments!$I$5:$I$1204,C537,Payments!$H$5:$H$1204,"",Payments!$Q$5:$Q$1204,"Yes"),2)))</f>
        <v>0</v>
      </c>
      <c r="AG537" s="26">
        <f>IF(B537="","",ROUND(AE537+AF537,2))</f>
        <v>0</v>
      </c>
      <c r="AH537" s="26">
        <f>IF(B537="","",ROUND(AA537-AG537,2))</f>
        <v>0</v>
      </c>
      <c r="AI537" s="39">
        <f>IF(B537="","",IF(AA537&lt;=0,"No charge",IF(AH537&lt;=0.004,"Paid",IF(AG537&lt;=0.004,"Unpaid","Part paid"))))</f>
        <v>0</v>
      </c>
      <c r="AJ537" s="38">
        <f>IF(B537="","",IF(H537&lt;&gt;"Service","",IF(D537="","No",IF(COUNTIFS($D$5:$D$1204,D537,$B$5:$B$1204,B537,$H$5:$H$1204,"Retail")&gt;0,"Yes","No"))))</f>
        <v>0</v>
      </c>
      <c r="AK537" s="25">
        <f>IF(B537="","",COUNTIFS($Y$5:$Y$1204,"&gt;"&amp;Y537)+COUNTIFS($Y$5:Y537,Y537))</f>
        <v>0</v>
      </c>
      <c r="AL537" s="39">
        <f>IF(B537="","",IF(H537="","Add - what kind of sale is this?",IF(IF(V537&lt;=0,P537="",FALSE),"Check - no price found for this item",IF(F537="","Assign - nobody credited",IF(AH537&gt;0.004,"Unpaid - balance outstanding",IF(AC537&lt;0,"Loss - sold below cost",IF(X537&gt;W537*0.5,"Check - more than half off","OK")))))))</f>
        <v>0</v>
      </c>
    </row>
    <row r="538" spans="1:38">
      <c r="A538" s="28">
        <f>IF(B538="","",SalePrefix&amp;TEXT(ROW()-4,"0000"))</f>
        <v>0</v>
      </c>
      <c r="E538" s="15">
        <f>IF(D538="","",IFERROR(INDEX(Clients!$B$5:$B$504,MATCH(D538,Clients!$A$5:$A$504,0)),"Walk-in"))</f>
        <v>0</v>
      </c>
      <c r="G538" s="15">
        <f>IF(F538="","",IFERROR(INDEX(Staff!$B$5:$B$44,MATCH(F538,Staff!$A$5:$A$44,0)),"House"))</f>
        <v>0</v>
      </c>
      <c r="R538" s="15">
        <f>IF(B538="","",TEXT(B538,"yyyy-mm"))</f>
        <v>0</v>
      </c>
      <c r="S538" s="25">
        <f>IF(B538="","",WEEKNUM(B538,2))</f>
        <v>0</v>
      </c>
      <c r="T538" s="37">
        <f>IF(B538="","",IF(K538="",1,K538))</f>
        <v>0</v>
      </c>
      <c r="U538" s="15">
        <f>IF(B538="","",IF(J538&lt;&gt;"",J538,IF(H538="Retail",IFERROR(INDEX(Inventory!$B$5:$B$304,MATCH(I538,Inventory!$A$5:$A$304,0))&amp;"","Not in Inventory"),IFERROR(INDEX(Services!$B$5:$B$204,MATCH(I538,Services!$A$5:$A$204,0))&amp;"","Not in Services"))))</f>
        <v>0</v>
      </c>
      <c r="V538" s="26">
        <f>IF(B538="","",IF(L538&lt;&gt;"",L538,IF(H538="Retail",IFERROR(INDEX(Inventory!$I$5:$I$304,MATCH(I538,Inventory!$A$5:$A$304,0))*1,0),IFERROR(INDEX(Services!$G$5:$G$204,MATCH(I538,Services!$A$5:$A$204,0))*1,0))))</f>
        <v>0</v>
      </c>
      <c r="W538" s="26">
        <f>IF(B538="","",ROUND(T538*V538,2))</f>
        <v>0</v>
      </c>
      <c r="X538" s="26">
        <f>IF(B538="","",ROUND(IF(M538="",0,W538*M538)+IF(N538="",0,N538),2))</f>
        <v>0</v>
      </c>
      <c r="Y538" s="26">
        <f>IF(B538="","",ROUND(W538-X538-IF(P538="",0,P538),2))</f>
        <v>0</v>
      </c>
      <c r="Z538" s="26">
        <f>IF(B538="","",IF(H538="Retail",IF(TaxOnRetail="Yes",ROUND(Y538*TaxRate,2),0),IF(H538="Service",IF(TaxOnServices="Yes",ROUND(Y538*TaxRate,2),0),0)))</f>
        <v>0</v>
      </c>
      <c r="AA538" s="26">
        <f>IF(B538="","",ROUND(Y538+Z538,2))</f>
        <v>0</v>
      </c>
      <c r="AB538" s="26">
        <f>IF(B538="","",ROUND(T538*IF(H538="Retail",IFERROR(INDEX(Inventory!$H$5:$H$304,MATCH(I538,Inventory!$A$5:$A$304,0))*1,0),IFERROR(INDEX(Services!$Q$5:$Q$204,MATCH(I538,Services!$A$5:$A$204,0))*1,0)),2))</f>
        <v>0</v>
      </c>
      <c r="AC538" s="26">
        <f>IF(B538="","",ROUND(Y538-AB538,2))</f>
        <v>0</v>
      </c>
      <c r="AD538" s="38">
        <f>IF(B538="","",IF(C538="","No",IF(COUNTIFS($C$5:C538,C538)=1,"Yes","No")))</f>
        <v>0</v>
      </c>
      <c r="AE538" s="26">
        <f>IF(B538="","",ROUND(SUMIFS(Payments!$G$5:$G$1204,Payments!$H$5:$H$1204,A538,Payments!$Q$5:$Q$1204,"Yes"),2))</f>
        <v>0</v>
      </c>
      <c r="AF538" s="26">
        <f>IF(B538="","",IF(AD538="No",0,ROUND(SUMIFS(Payments!$G$5:$G$1204,Payments!$I$5:$I$1204,C538,Payments!$H$5:$H$1204,"",Payments!$Q$5:$Q$1204,"Yes"),2)))</f>
        <v>0</v>
      </c>
      <c r="AG538" s="26">
        <f>IF(B538="","",ROUND(AE538+AF538,2))</f>
        <v>0</v>
      </c>
      <c r="AH538" s="26">
        <f>IF(B538="","",ROUND(AA538-AG538,2))</f>
        <v>0</v>
      </c>
      <c r="AI538" s="39">
        <f>IF(B538="","",IF(AA538&lt;=0,"No charge",IF(AH538&lt;=0.004,"Paid",IF(AG538&lt;=0.004,"Unpaid","Part paid"))))</f>
        <v>0</v>
      </c>
      <c r="AJ538" s="38">
        <f>IF(B538="","",IF(H538&lt;&gt;"Service","",IF(D538="","No",IF(COUNTIFS($D$5:$D$1204,D538,$B$5:$B$1204,B538,$H$5:$H$1204,"Retail")&gt;0,"Yes","No"))))</f>
        <v>0</v>
      </c>
      <c r="AK538" s="25">
        <f>IF(B538="","",COUNTIFS($Y$5:$Y$1204,"&gt;"&amp;Y538)+COUNTIFS($Y$5:Y538,Y538))</f>
        <v>0</v>
      </c>
      <c r="AL538" s="39">
        <f>IF(B538="","",IF(H538="","Add - what kind of sale is this?",IF(IF(V538&lt;=0,P538="",FALSE),"Check - no price found for this item",IF(F538="","Assign - nobody credited",IF(AH538&gt;0.004,"Unpaid - balance outstanding",IF(AC538&lt;0,"Loss - sold below cost",IF(X538&gt;W538*0.5,"Check - more than half off","OK")))))))</f>
        <v>0</v>
      </c>
    </row>
    <row r="539" spans="1:38">
      <c r="A539" s="28">
        <f>IF(B539="","",SalePrefix&amp;TEXT(ROW()-4,"0000"))</f>
        <v>0</v>
      </c>
      <c r="E539" s="15">
        <f>IF(D539="","",IFERROR(INDEX(Clients!$B$5:$B$504,MATCH(D539,Clients!$A$5:$A$504,0)),"Walk-in"))</f>
        <v>0</v>
      </c>
      <c r="G539" s="15">
        <f>IF(F539="","",IFERROR(INDEX(Staff!$B$5:$B$44,MATCH(F539,Staff!$A$5:$A$44,0)),"House"))</f>
        <v>0</v>
      </c>
      <c r="R539" s="15">
        <f>IF(B539="","",TEXT(B539,"yyyy-mm"))</f>
        <v>0</v>
      </c>
      <c r="S539" s="25">
        <f>IF(B539="","",WEEKNUM(B539,2))</f>
        <v>0</v>
      </c>
      <c r="T539" s="37">
        <f>IF(B539="","",IF(K539="",1,K539))</f>
        <v>0</v>
      </c>
      <c r="U539" s="15">
        <f>IF(B539="","",IF(J539&lt;&gt;"",J539,IF(H539="Retail",IFERROR(INDEX(Inventory!$B$5:$B$304,MATCH(I539,Inventory!$A$5:$A$304,0))&amp;"","Not in Inventory"),IFERROR(INDEX(Services!$B$5:$B$204,MATCH(I539,Services!$A$5:$A$204,0))&amp;"","Not in Services"))))</f>
        <v>0</v>
      </c>
      <c r="V539" s="26">
        <f>IF(B539="","",IF(L539&lt;&gt;"",L539,IF(H539="Retail",IFERROR(INDEX(Inventory!$I$5:$I$304,MATCH(I539,Inventory!$A$5:$A$304,0))*1,0),IFERROR(INDEX(Services!$G$5:$G$204,MATCH(I539,Services!$A$5:$A$204,0))*1,0))))</f>
        <v>0</v>
      </c>
      <c r="W539" s="26">
        <f>IF(B539="","",ROUND(T539*V539,2))</f>
        <v>0</v>
      </c>
      <c r="X539" s="26">
        <f>IF(B539="","",ROUND(IF(M539="",0,W539*M539)+IF(N539="",0,N539),2))</f>
        <v>0</v>
      </c>
      <c r="Y539" s="26">
        <f>IF(B539="","",ROUND(W539-X539-IF(P539="",0,P539),2))</f>
        <v>0</v>
      </c>
      <c r="Z539" s="26">
        <f>IF(B539="","",IF(H539="Retail",IF(TaxOnRetail="Yes",ROUND(Y539*TaxRate,2),0),IF(H539="Service",IF(TaxOnServices="Yes",ROUND(Y539*TaxRate,2),0),0)))</f>
        <v>0</v>
      </c>
      <c r="AA539" s="26">
        <f>IF(B539="","",ROUND(Y539+Z539,2))</f>
        <v>0</v>
      </c>
      <c r="AB539" s="26">
        <f>IF(B539="","",ROUND(T539*IF(H539="Retail",IFERROR(INDEX(Inventory!$H$5:$H$304,MATCH(I539,Inventory!$A$5:$A$304,0))*1,0),IFERROR(INDEX(Services!$Q$5:$Q$204,MATCH(I539,Services!$A$5:$A$204,0))*1,0)),2))</f>
        <v>0</v>
      </c>
      <c r="AC539" s="26">
        <f>IF(B539="","",ROUND(Y539-AB539,2))</f>
        <v>0</v>
      </c>
      <c r="AD539" s="38">
        <f>IF(B539="","",IF(C539="","No",IF(COUNTIFS($C$5:C539,C539)=1,"Yes","No")))</f>
        <v>0</v>
      </c>
      <c r="AE539" s="26">
        <f>IF(B539="","",ROUND(SUMIFS(Payments!$G$5:$G$1204,Payments!$H$5:$H$1204,A539,Payments!$Q$5:$Q$1204,"Yes"),2))</f>
        <v>0</v>
      </c>
      <c r="AF539" s="26">
        <f>IF(B539="","",IF(AD539="No",0,ROUND(SUMIFS(Payments!$G$5:$G$1204,Payments!$I$5:$I$1204,C539,Payments!$H$5:$H$1204,"",Payments!$Q$5:$Q$1204,"Yes"),2)))</f>
        <v>0</v>
      </c>
      <c r="AG539" s="26">
        <f>IF(B539="","",ROUND(AE539+AF539,2))</f>
        <v>0</v>
      </c>
      <c r="AH539" s="26">
        <f>IF(B539="","",ROUND(AA539-AG539,2))</f>
        <v>0</v>
      </c>
      <c r="AI539" s="39">
        <f>IF(B539="","",IF(AA539&lt;=0,"No charge",IF(AH539&lt;=0.004,"Paid",IF(AG539&lt;=0.004,"Unpaid","Part paid"))))</f>
        <v>0</v>
      </c>
      <c r="AJ539" s="38">
        <f>IF(B539="","",IF(H539&lt;&gt;"Service","",IF(D539="","No",IF(COUNTIFS($D$5:$D$1204,D539,$B$5:$B$1204,B539,$H$5:$H$1204,"Retail")&gt;0,"Yes","No"))))</f>
        <v>0</v>
      </c>
      <c r="AK539" s="25">
        <f>IF(B539="","",COUNTIFS($Y$5:$Y$1204,"&gt;"&amp;Y539)+COUNTIFS($Y$5:Y539,Y539))</f>
        <v>0</v>
      </c>
      <c r="AL539" s="39">
        <f>IF(B539="","",IF(H539="","Add - what kind of sale is this?",IF(IF(V539&lt;=0,P539="",FALSE),"Check - no price found for this item",IF(F539="","Assign - nobody credited",IF(AH539&gt;0.004,"Unpaid - balance outstanding",IF(AC539&lt;0,"Loss - sold below cost",IF(X539&gt;W539*0.5,"Check - more than half off","OK")))))))</f>
        <v>0</v>
      </c>
    </row>
    <row r="540" spans="1:38">
      <c r="A540" s="28">
        <f>IF(B540="","",SalePrefix&amp;TEXT(ROW()-4,"0000"))</f>
        <v>0</v>
      </c>
      <c r="E540" s="15">
        <f>IF(D540="","",IFERROR(INDEX(Clients!$B$5:$B$504,MATCH(D540,Clients!$A$5:$A$504,0)),"Walk-in"))</f>
        <v>0</v>
      </c>
      <c r="G540" s="15">
        <f>IF(F540="","",IFERROR(INDEX(Staff!$B$5:$B$44,MATCH(F540,Staff!$A$5:$A$44,0)),"House"))</f>
        <v>0</v>
      </c>
      <c r="R540" s="15">
        <f>IF(B540="","",TEXT(B540,"yyyy-mm"))</f>
        <v>0</v>
      </c>
      <c r="S540" s="25">
        <f>IF(B540="","",WEEKNUM(B540,2))</f>
        <v>0</v>
      </c>
      <c r="T540" s="37">
        <f>IF(B540="","",IF(K540="",1,K540))</f>
        <v>0</v>
      </c>
      <c r="U540" s="15">
        <f>IF(B540="","",IF(J540&lt;&gt;"",J540,IF(H540="Retail",IFERROR(INDEX(Inventory!$B$5:$B$304,MATCH(I540,Inventory!$A$5:$A$304,0))&amp;"","Not in Inventory"),IFERROR(INDEX(Services!$B$5:$B$204,MATCH(I540,Services!$A$5:$A$204,0))&amp;"","Not in Services"))))</f>
        <v>0</v>
      </c>
      <c r="V540" s="26">
        <f>IF(B540="","",IF(L540&lt;&gt;"",L540,IF(H540="Retail",IFERROR(INDEX(Inventory!$I$5:$I$304,MATCH(I540,Inventory!$A$5:$A$304,0))*1,0),IFERROR(INDEX(Services!$G$5:$G$204,MATCH(I540,Services!$A$5:$A$204,0))*1,0))))</f>
        <v>0</v>
      </c>
      <c r="W540" s="26">
        <f>IF(B540="","",ROUND(T540*V540,2))</f>
        <v>0</v>
      </c>
      <c r="X540" s="26">
        <f>IF(B540="","",ROUND(IF(M540="",0,W540*M540)+IF(N540="",0,N540),2))</f>
        <v>0</v>
      </c>
      <c r="Y540" s="26">
        <f>IF(B540="","",ROUND(W540-X540-IF(P540="",0,P540),2))</f>
        <v>0</v>
      </c>
      <c r="Z540" s="26">
        <f>IF(B540="","",IF(H540="Retail",IF(TaxOnRetail="Yes",ROUND(Y540*TaxRate,2),0),IF(H540="Service",IF(TaxOnServices="Yes",ROUND(Y540*TaxRate,2),0),0)))</f>
        <v>0</v>
      </c>
      <c r="AA540" s="26">
        <f>IF(B540="","",ROUND(Y540+Z540,2))</f>
        <v>0</v>
      </c>
      <c r="AB540" s="26">
        <f>IF(B540="","",ROUND(T540*IF(H540="Retail",IFERROR(INDEX(Inventory!$H$5:$H$304,MATCH(I540,Inventory!$A$5:$A$304,0))*1,0),IFERROR(INDEX(Services!$Q$5:$Q$204,MATCH(I540,Services!$A$5:$A$204,0))*1,0)),2))</f>
        <v>0</v>
      </c>
      <c r="AC540" s="26">
        <f>IF(B540="","",ROUND(Y540-AB540,2))</f>
        <v>0</v>
      </c>
      <c r="AD540" s="38">
        <f>IF(B540="","",IF(C540="","No",IF(COUNTIFS($C$5:C540,C540)=1,"Yes","No")))</f>
        <v>0</v>
      </c>
      <c r="AE540" s="26">
        <f>IF(B540="","",ROUND(SUMIFS(Payments!$G$5:$G$1204,Payments!$H$5:$H$1204,A540,Payments!$Q$5:$Q$1204,"Yes"),2))</f>
        <v>0</v>
      </c>
      <c r="AF540" s="26">
        <f>IF(B540="","",IF(AD540="No",0,ROUND(SUMIFS(Payments!$G$5:$G$1204,Payments!$I$5:$I$1204,C540,Payments!$H$5:$H$1204,"",Payments!$Q$5:$Q$1204,"Yes"),2)))</f>
        <v>0</v>
      </c>
      <c r="AG540" s="26">
        <f>IF(B540="","",ROUND(AE540+AF540,2))</f>
        <v>0</v>
      </c>
      <c r="AH540" s="26">
        <f>IF(B540="","",ROUND(AA540-AG540,2))</f>
        <v>0</v>
      </c>
      <c r="AI540" s="39">
        <f>IF(B540="","",IF(AA540&lt;=0,"No charge",IF(AH540&lt;=0.004,"Paid",IF(AG540&lt;=0.004,"Unpaid","Part paid"))))</f>
        <v>0</v>
      </c>
      <c r="AJ540" s="38">
        <f>IF(B540="","",IF(H540&lt;&gt;"Service","",IF(D540="","No",IF(COUNTIFS($D$5:$D$1204,D540,$B$5:$B$1204,B540,$H$5:$H$1204,"Retail")&gt;0,"Yes","No"))))</f>
        <v>0</v>
      </c>
      <c r="AK540" s="25">
        <f>IF(B540="","",COUNTIFS($Y$5:$Y$1204,"&gt;"&amp;Y540)+COUNTIFS($Y$5:Y540,Y540))</f>
        <v>0</v>
      </c>
      <c r="AL540" s="39">
        <f>IF(B540="","",IF(H540="","Add - what kind of sale is this?",IF(IF(V540&lt;=0,P540="",FALSE),"Check - no price found for this item",IF(F540="","Assign - nobody credited",IF(AH540&gt;0.004,"Unpaid - balance outstanding",IF(AC540&lt;0,"Loss - sold below cost",IF(X540&gt;W540*0.5,"Check - more than half off","OK")))))))</f>
        <v>0</v>
      </c>
    </row>
    <row r="541" spans="1:38">
      <c r="A541" s="28">
        <f>IF(B541="","",SalePrefix&amp;TEXT(ROW()-4,"0000"))</f>
        <v>0</v>
      </c>
      <c r="E541" s="15">
        <f>IF(D541="","",IFERROR(INDEX(Clients!$B$5:$B$504,MATCH(D541,Clients!$A$5:$A$504,0)),"Walk-in"))</f>
        <v>0</v>
      </c>
      <c r="G541" s="15">
        <f>IF(F541="","",IFERROR(INDEX(Staff!$B$5:$B$44,MATCH(F541,Staff!$A$5:$A$44,0)),"House"))</f>
        <v>0</v>
      </c>
      <c r="R541" s="15">
        <f>IF(B541="","",TEXT(B541,"yyyy-mm"))</f>
        <v>0</v>
      </c>
      <c r="S541" s="25">
        <f>IF(B541="","",WEEKNUM(B541,2))</f>
        <v>0</v>
      </c>
      <c r="T541" s="37">
        <f>IF(B541="","",IF(K541="",1,K541))</f>
        <v>0</v>
      </c>
      <c r="U541" s="15">
        <f>IF(B541="","",IF(J541&lt;&gt;"",J541,IF(H541="Retail",IFERROR(INDEX(Inventory!$B$5:$B$304,MATCH(I541,Inventory!$A$5:$A$304,0))&amp;"","Not in Inventory"),IFERROR(INDEX(Services!$B$5:$B$204,MATCH(I541,Services!$A$5:$A$204,0))&amp;"","Not in Services"))))</f>
        <v>0</v>
      </c>
      <c r="V541" s="26">
        <f>IF(B541="","",IF(L541&lt;&gt;"",L541,IF(H541="Retail",IFERROR(INDEX(Inventory!$I$5:$I$304,MATCH(I541,Inventory!$A$5:$A$304,0))*1,0),IFERROR(INDEX(Services!$G$5:$G$204,MATCH(I541,Services!$A$5:$A$204,0))*1,0))))</f>
        <v>0</v>
      </c>
      <c r="W541" s="26">
        <f>IF(B541="","",ROUND(T541*V541,2))</f>
        <v>0</v>
      </c>
      <c r="X541" s="26">
        <f>IF(B541="","",ROUND(IF(M541="",0,W541*M541)+IF(N541="",0,N541),2))</f>
        <v>0</v>
      </c>
      <c r="Y541" s="26">
        <f>IF(B541="","",ROUND(W541-X541-IF(P541="",0,P541),2))</f>
        <v>0</v>
      </c>
      <c r="Z541" s="26">
        <f>IF(B541="","",IF(H541="Retail",IF(TaxOnRetail="Yes",ROUND(Y541*TaxRate,2),0),IF(H541="Service",IF(TaxOnServices="Yes",ROUND(Y541*TaxRate,2),0),0)))</f>
        <v>0</v>
      </c>
      <c r="AA541" s="26">
        <f>IF(B541="","",ROUND(Y541+Z541,2))</f>
        <v>0</v>
      </c>
      <c r="AB541" s="26">
        <f>IF(B541="","",ROUND(T541*IF(H541="Retail",IFERROR(INDEX(Inventory!$H$5:$H$304,MATCH(I541,Inventory!$A$5:$A$304,0))*1,0),IFERROR(INDEX(Services!$Q$5:$Q$204,MATCH(I541,Services!$A$5:$A$204,0))*1,0)),2))</f>
        <v>0</v>
      </c>
      <c r="AC541" s="26">
        <f>IF(B541="","",ROUND(Y541-AB541,2))</f>
        <v>0</v>
      </c>
      <c r="AD541" s="38">
        <f>IF(B541="","",IF(C541="","No",IF(COUNTIFS($C$5:C541,C541)=1,"Yes","No")))</f>
        <v>0</v>
      </c>
      <c r="AE541" s="26">
        <f>IF(B541="","",ROUND(SUMIFS(Payments!$G$5:$G$1204,Payments!$H$5:$H$1204,A541,Payments!$Q$5:$Q$1204,"Yes"),2))</f>
        <v>0</v>
      </c>
      <c r="AF541" s="26">
        <f>IF(B541="","",IF(AD541="No",0,ROUND(SUMIFS(Payments!$G$5:$G$1204,Payments!$I$5:$I$1204,C541,Payments!$H$5:$H$1204,"",Payments!$Q$5:$Q$1204,"Yes"),2)))</f>
        <v>0</v>
      </c>
      <c r="AG541" s="26">
        <f>IF(B541="","",ROUND(AE541+AF541,2))</f>
        <v>0</v>
      </c>
      <c r="AH541" s="26">
        <f>IF(B541="","",ROUND(AA541-AG541,2))</f>
        <v>0</v>
      </c>
      <c r="AI541" s="39">
        <f>IF(B541="","",IF(AA541&lt;=0,"No charge",IF(AH541&lt;=0.004,"Paid",IF(AG541&lt;=0.004,"Unpaid","Part paid"))))</f>
        <v>0</v>
      </c>
      <c r="AJ541" s="38">
        <f>IF(B541="","",IF(H541&lt;&gt;"Service","",IF(D541="","No",IF(COUNTIFS($D$5:$D$1204,D541,$B$5:$B$1204,B541,$H$5:$H$1204,"Retail")&gt;0,"Yes","No"))))</f>
        <v>0</v>
      </c>
      <c r="AK541" s="25">
        <f>IF(B541="","",COUNTIFS($Y$5:$Y$1204,"&gt;"&amp;Y541)+COUNTIFS($Y$5:Y541,Y541))</f>
        <v>0</v>
      </c>
      <c r="AL541" s="39">
        <f>IF(B541="","",IF(H541="","Add - what kind of sale is this?",IF(IF(V541&lt;=0,P541="",FALSE),"Check - no price found for this item",IF(F541="","Assign - nobody credited",IF(AH541&gt;0.004,"Unpaid - balance outstanding",IF(AC541&lt;0,"Loss - sold below cost",IF(X541&gt;W541*0.5,"Check - more than half off","OK")))))))</f>
        <v>0</v>
      </c>
    </row>
    <row r="542" spans="1:38">
      <c r="A542" s="28">
        <f>IF(B542="","",SalePrefix&amp;TEXT(ROW()-4,"0000"))</f>
        <v>0</v>
      </c>
      <c r="E542" s="15">
        <f>IF(D542="","",IFERROR(INDEX(Clients!$B$5:$B$504,MATCH(D542,Clients!$A$5:$A$504,0)),"Walk-in"))</f>
        <v>0</v>
      </c>
      <c r="G542" s="15">
        <f>IF(F542="","",IFERROR(INDEX(Staff!$B$5:$B$44,MATCH(F542,Staff!$A$5:$A$44,0)),"House"))</f>
        <v>0</v>
      </c>
      <c r="R542" s="15">
        <f>IF(B542="","",TEXT(B542,"yyyy-mm"))</f>
        <v>0</v>
      </c>
      <c r="S542" s="25">
        <f>IF(B542="","",WEEKNUM(B542,2))</f>
        <v>0</v>
      </c>
      <c r="T542" s="37">
        <f>IF(B542="","",IF(K542="",1,K542))</f>
        <v>0</v>
      </c>
      <c r="U542" s="15">
        <f>IF(B542="","",IF(J542&lt;&gt;"",J542,IF(H542="Retail",IFERROR(INDEX(Inventory!$B$5:$B$304,MATCH(I542,Inventory!$A$5:$A$304,0))&amp;"","Not in Inventory"),IFERROR(INDEX(Services!$B$5:$B$204,MATCH(I542,Services!$A$5:$A$204,0))&amp;"","Not in Services"))))</f>
        <v>0</v>
      </c>
      <c r="V542" s="26">
        <f>IF(B542="","",IF(L542&lt;&gt;"",L542,IF(H542="Retail",IFERROR(INDEX(Inventory!$I$5:$I$304,MATCH(I542,Inventory!$A$5:$A$304,0))*1,0),IFERROR(INDEX(Services!$G$5:$G$204,MATCH(I542,Services!$A$5:$A$204,0))*1,0))))</f>
        <v>0</v>
      </c>
      <c r="W542" s="26">
        <f>IF(B542="","",ROUND(T542*V542,2))</f>
        <v>0</v>
      </c>
      <c r="X542" s="26">
        <f>IF(B542="","",ROUND(IF(M542="",0,W542*M542)+IF(N542="",0,N542),2))</f>
        <v>0</v>
      </c>
      <c r="Y542" s="26">
        <f>IF(B542="","",ROUND(W542-X542-IF(P542="",0,P542),2))</f>
        <v>0</v>
      </c>
      <c r="Z542" s="26">
        <f>IF(B542="","",IF(H542="Retail",IF(TaxOnRetail="Yes",ROUND(Y542*TaxRate,2),0),IF(H542="Service",IF(TaxOnServices="Yes",ROUND(Y542*TaxRate,2),0),0)))</f>
        <v>0</v>
      </c>
      <c r="AA542" s="26">
        <f>IF(B542="","",ROUND(Y542+Z542,2))</f>
        <v>0</v>
      </c>
      <c r="AB542" s="26">
        <f>IF(B542="","",ROUND(T542*IF(H542="Retail",IFERROR(INDEX(Inventory!$H$5:$H$304,MATCH(I542,Inventory!$A$5:$A$304,0))*1,0),IFERROR(INDEX(Services!$Q$5:$Q$204,MATCH(I542,Services!$A$5:$A$204,0))*1,0)),2))</f>
        <v>0</v>
      </c>
      <c r="AC542" s="26">
        <f>IF(B542="","",ROUND(Y542-AB542,2))</f>
        <v>0</v>
      </c>
      <c r="AD542" s="38">
        <f>IF(B542="","",IF(C542="","No",IF(COUNTIFS($C$5:C542,C542)=1,"Yes","No")))</f>
        <v>0</v>
      </c>
      <c r="AE542" s="26">
        <f>IF(B542="","",ROUND(SUMIFS(Payments!$G$5:$G$1204,Payments!$H$5:$H$1204,A542,Payments!$Q$5:$Q$1204,"Yes"),2))</f>
        <v>0</v>
      </c>
      <c r="AF542" s="26">
        <f>IF(B542="","",IF(AD542="No",0,ROUND(SUMIFS(Payments!$G$5:$G$1204,Payments!$I$5:$I$1204,C542,Payments!$H$5:$H$1204,"",Payments!$Q$5:$Q$1204,"Yes"),2)))</f>
        <v>0</v>
      </c>
      <c r="AG542" s="26">
        <f>IF(B542="","",ROUND(AE542+AF542,2))</f>
        <v>0</v>
      </c>
      <c r="AH542" s="26">
        <f>IF(B542="","",ROUND(AA542-AG542,2))</f>
        <v>0</v>
      </c>
      <c r="AI542" s="39">
        <f>IF(B542="","",IF(AA542&lt;=0,"No charge",IF(AH542&lt;=0.004,"Paid",IF(AG542&lt;=0.004,"Unpaid","Part paid"))))</f>
        <v>0</v>
      </c>
      <c r="AJ542" s="38">
        <f>IF(B542="","",IF(H542&lt;&gt;"Service","",IF(D542="","No",IF(COUNTIFS($D$5:$D$1204,D542,$B$5:$B$1204,B542,$H$5:$H$1204,"Retail")&gt;0,"Yes","No"))))</f>
        <v>0</v>
      </c>
      <c r="AK542" s="25">
        <f>IF(B542="","",COUNTIFS($Y$5:$Y$1204,"&gt;"&amp;Y542)+COUNTIFS($Y$5:Y542,Y542))</f>
        <v>0</v>
      </c>
      <c r="AL542" s="39">
        <f>IF(B542="","",IF(H542="","Add - what kind of sale is this?",IF(IF(V542&lt;=0,P542="",FALSE),"Check - no price found for this item",IF(F542="","Assign - nobody credited",IF(AH542&gt;0.004,"Unpaid - balance outstanding",IF(AC542&lt;0,"Loss - sold below cost",IF(X542&gt;W542*0.5,"Check - more than half off","OK")))))))</f>
        <v>0</v>
      </c>
    </row>
    <row r="543" spans="1:38">
      <c r="A543" s="28">
        <f>IF(B543="","",SalePrefix&amp;TEXT(ROW()-4,"0000"))</f>
        <v>0</v>
      </c>
      <c r="E543" s="15">
        <f>IF(D543="","",IFERROR(INDEX(Clients!$B$5:$B$504,MATCH(D543,Clients!$A$5:$A$504,0)),"Walk-in"))</f>
        <v>0</v>
      </c>
      <c r="G543" s="15">
        <f>IF(F543="","",IFERROR(INDEX(Staff!$B$5:$B$44,MATCH(F543,Staff!$A$5:$A$44,0)),"House"))</f>
        <v>0</v>
      </c>
      <c r="R543" s="15">
        <f>IF(B543="","",TEXT(B543,"yyyy-mm"))</f>
        <v>0</v>
      </c>
      <c r="S543" s="25">
        <f>IF(B543="","",WEEKNUM(B543,2))</f>
        <v>0</v>
      </c>
      <c r="T543" s="37">
        <f>IF(B543="","",IF(K543="",1,K543))</f>
        <v>0</v>
      </c>
      <c r="U543" s="15">
        <f>IF(B543="","",IF(J543&lt;&gt;"",J543,IF(H543="Retail",IFERROR(INDEX(Inventory!$B$5:$B$304,MATCH(I543,Inventory!$A$5:$A$304,0))&amp;"","Not in Inventory"),IFERROR(INDEX(Services!$B$5:$B$204,MATCH(I543,Services!$A$5:$A$204,0))&amp;"","Not in Services"))))</f>
        <v>0</v>
      </c>
      <c r="V543" s="26">
        <f>IF(B543="","",IF(L543&lt;&gt;"",L543,IF(H543="Retail",IFERROR(INDEX(Inventory!$I$5:$I$304,MATCH(I543,Inventory!$A$5:$A$304,0))*1,0),IFERROR(INDEX(Services!$G$5:$G$204,MATCH(I543,Services!$A$5:$A$204,0))*1,0))))</f>
        <v>0</v>
      </c>
      <c r="W543" s="26">
        <f>IF(B543="","",ROUND(T543*V543,2))</f>
        <v>0</v>
      </c>
      <c r="X543" s="26">
        <f>IF(B543="","",ROUND(IF(M543="",0,W543*M543)+IF(N543="",0,N543),2))</f>
        <v>0</v>
      </c>
      <c r="Y543" s="26">
        <f>IF(B543="","",ROUND(W543-X543-IF(P543="",0,P543),2))</f>
        <v>0</v>
      </c>
      <c r="Z543" s="26">
        <f>IF(B543="","",IF(H543="Retail",IF(TaxOnRetail="Yes",ROUND(Y543*TaxRate,2),0),IF(H543="Service",IF(TaxOnServices="Yes",ROUND(Y543*TaxRate,2),0),0)))</f>
        <v>0</v>
      </c>
      <c r="AA543" s="26">
        <f>IF(B543="","",ROUND(Y543+Z543,2))</f>
        <v>0</v>
      </c>
      <c r="AB543" s="26">
        <f>IF(B543="","",ROUND(T543*IF(H543="Retail",IFERROR(INDEX(Inventory!$H$5:$H$304,MATCH(I543,Inventory!$A$5:$A$304,0))*1,0),IFERROR(INDEX(Services!$Q$5:$Q$204,MATCH(I543,Services!$A$5:$A$204,0))*1,0)),2))</f>
        <v>0</v>
      </c>
      <c r="AC543" s="26">
        <f>IF(B543="","",ROUND(Y543-AB543,2))</f>
        <v>0</v>
      </c>
      <c r="AD543" s="38">
        <f>IF(B543="","",IF(C543="","No",IF(COUNTIFS($C$5:C543,C543)=1,"Yes","No")))</f>
        <v>0</v>
      </c>
      <c r="AE543" s="26">
        <f>IF(B543="","",ROUND(SUMIFS(Payments!$G$5:$G$1204,Payments!$H$5:$H$1204,A543,Payments!$Q$5:$Q$1204,"Yes"),2))</f>
        <v>0</v>
      </c>
      <c r="AF543" s="26">
        <f>IF(B543="","",IF(AD543="No",0,ROUND(SUMIFS(Payments!$G$5:$G$1204,Payments!$I$5:$I$1204,C543,Payments!$H$5:$H$1204,"",Payments!$Q$5:$Q$1204,"Yes"),2)))</f>
        <v>0</v>
      </c>
      <c r="AG543" s="26">
        <f>IF(B543="","",ROUND(AE543+AF543,2))</f>
        <v>0</v>
      </c>
      <c r="AH543" s="26">
        <f>IF(B543="","",ROUND(AA543-AG543,2))</f>
        <v>0</v>
      </c>
      <c r="AI543" s="39">
        <f>IF(B543="","",IF(AA543&lt;=0,"No charge",IF(AH543&lt;=0.004,"Paid",IF(AG543&lt;=0.004,"Unpaid","Part paid"))))</f>
        <v>0</v>
      </c>
      <c r="AJ543" s="38">
        <f>IF(B543="","",IF(H543&lt;&gt;"Service","",IF(D543="","No",IF(COUNTIFS($D$5:$D$1204,D543,$B$5:$B$1204,B543,$H$5:$H$1204,"Retail")&gt;0,"Yes","No"))))</f>
        <v>0</v>
      </c>
      <c r="AK543" s="25">
        <f>IF(B543="","",COUNTIFS($Y$5:$Y$1204,"&gt;"&amp;Y543)+COUNTIFS($Y$5:Y543,Y543))</f>
        <v>0</v>
      </c>
      <c r="AL543" s="39">
        <f>IF(B543="","",IF(H543="","Add - what kind of sale is this?",IF(IF(V543&lt;=0,P543="",FALSE),"Check - no price found for this item",IF(F543="","Assign - nobody credited",IF(AH543&gt;0.004,"Unpaid - balance outstanding",IF(AC543&lt;0,"Loss - sold below cost",IF(X543&gt;W543*0.5,"Check - more than half off","OK")))))))</f>
        <v>0</v>
      </c>
    </row>
    <row r="544" spans="1:38">
      <c r="A544" s="28">
        <f>IF(B544="","",SalePrefix&amp;TEXT(ROW()-4,"0000"))</f>
        <v>0</v>
      </c>
      <c r="E544" s="15">
        <f>IF(D544="","",IFERROR(INDEX(Clients!$B$5:$B$504,MATCH(D544,Clients!$A$5:$A$504,0)),"Walk-in"))</f>
        <v>0</v>
      </c>
      <c r="G544" s="15">
        <f>IF(F544="","",IFERROR(INDEX(Staff!$B$5:$B$44,MATCH(F544,Staff!$A$5:$A$44,0)),"House"))</f>
        <v>0</v>
      </c>
      <c r="R544" s="15">
        <f>IF(B544="","",TEXT(B544,"yyyy-mm"))</f>
        <v>0</v>
      </c>
      <c r="S544" s="25">
        <f>IF(B544="","",WEEKNUM(B544,2))</f>
        <v>0</v>
      </c>
      <c r="T544" s="37">
        <f>IF(B544="","",IF(K544="",1,K544))</f>
        <v>0</v>
      </c>
      <c r="U544" s="15">
        <f>IF(B544="","",IF(J544&lt;&gt;"",J544,IF(H544="Retail",IFERROR(INDEX(Inventory!$B$5:$B$304,MATCH(I544,Inventory!$A$5:$A$304,0))&amp;"","Not in Inventory"),IFERROR(INDEX(Services!$B$5:$B$204,MATCH(I544,Services!$A$5:$A$204,0))&amp;"","Not in Services"))))</f>
        <v>0</v>
      </c>
      <c r="V544" s="26">
        <f>IF(B544="","",IF(L544&lt;&gt;"",L544,IF(H544="Retail",IFERROR(INDEX(Inventory!$I$5:$I$304,MATCH(I544,Inventory!$A$5:$A$304,0))*1,0),IFERROR(INDEX(Services!$G$5:$G$204,MATCH(I544,Services!$A$5:$A$204,0))*1,0))))</f>
        <v>0</v>
      </c>
      <c r="W544" s="26">
        <f>IF(B544="","",ROUND(T544*V544,2))</f>
        <v>0</v>
      </c>
      <c r="X544" s="26">
        <f>IF(B544="","",ROUND(IF(M544="",0,W544*M544)+IF(N544="",0,N544),2))</f>
        <v>0</v>
      </c>
      <c r="Y544" s="26">
        <f>IF(B544="","",ROUND(W544-X544-IF(P544="",0,P544),2))</f>
        <v>0</v>
      </c>
      <c r="Z544" s="26">
        <f>IF(B544="","",IF(H544="Retail",IF(TaxOnRetail="Yes",ROUND(Y544*TaxRate,2),0),IF(H544="Service",IF(TaxOnServices="Yes",ROUND(Y544*TaxRate,2),0),0)))</f>
        <v>0</v>
      </c>
      <c r="AA544" s="26">
        <f>IF(B544="","",ROUND(Y544+Z544,2))</f>
        <v>0</v>
      </c>
      <c r="AB544" s="26">
        <f>IF(B544="","",ROUND(T544*IF(H544="Retail",IFERROR(INDEX(Inventory!$H$5:$H$304,MATCH(I544,Inventory!$A$5:$A$304,0))*1,0),IFERROR(INDEX(Services!$Q$5:$Q$204,MATCH(I544,Services!$A$5:$A$204,0))*1,0)),2))</f>
        <v>0</v>
      </c>
      <c r="AC544" s="26">
        <f>IF(B544="","",ROUND(Y544-AB544,2))</f>
        <v>0</v>
      </c>
      <c r="AD544" s="38">
        <f>IF(B544="","",IF(C544="","No",IF(COUNTIFS($C$5:C544,C544)=1,"Yes","No")))</f>
        <v>0</v>
      </c>
      <c r="AE544" s="26">
        <f>IF(B544="","",ROUND(SUMIFS(Payments!$G$5:$G$1204,Payments!$H$5:$H$1204,A544,Payments!$Q$5:$Q$1204,"Yes"),2))</f>
        <v>0</v>
      </c>
      <c r="AF544" s="26">
        <f>IF(B544="","",IF(AD544="No",0,ROUND(SUMIFS(Payments!$G$5:$G$1204,Payments!$I$5:$I$1204,C544,Payments!$H$5:$H$1204,"",Payments!$Q$5:$Q$1204,"Yes"),2)))</f>
        <v>0</v>
      </c>
      <c r="AG544" s="26">
        <f>IF(B544="","",ROUND(AE544+AF544,2))</f>
        <v>0</v>
      </c>
      <c r="AH544" s="26">
        <f>IF(B544="","",ROUND(AA544-AG544,2))</f>
        <v>0</v>
      </c>
      <c r="AI544" s="39">
        <f>IF(B544="","",IF(AA544&lt;=0,"No charge",IF(AH544&lt;=0.004,"Paid",IF(AG544&lt;=0.004,"Unpaid","Part paid"))))</f>
        <v>0</v>
      </c>
      <c r="AJ544" s="38">
        <f>IF(B544="","",IF(H544&lt;&gt;"Service","",IF(D544="","No",IF(COUNTIFS($D$5:$D$1204,D544,$B$5:$B$1204,B544,$H$5:$H$1204,"Retail")&gt;0,"Yes","No"))))</f>
        <v>0</v>
      </c>
      <c r="AK544" s="25">
        <f>IF(B544="","",COUNTIFS($Y$5:$Y$1204,"&gt;"&amp;Y544)+COUNTIFS($Y$5:Y544,Y544))</f>
        <v>0</v>
      </c>
      <c r="AL544" s="39">
        <f>IF(B544="","",IF(H544="","Add - what kind of sale is this?",IF(IF(V544&lt;=0,P544="",FALSE),"Check - no price found for this item",IF(F544="","Assign - nobody credited",IF(AH544&gt;0.004,"Unpaid - balance outstanding",IF(AC544&lt;0,"Loss - sold below cost",IF(X544&gt;W544*0.5,"Check - more than half off","OK")))))))</f>
        <v>0</v>
      </c>
    </row>
    <row r="545" spans="1:38">
      <c r="A545" s="28">
        <f>IF(B545="","",SalePrefix&amp;TEXT(ROW()-4,"0000"))</f>
        <v>0</v>
      </c>
      <c r="E545" s="15">
        <f>IF(D545="","",IFERROR(INDEX(Clients!$B$5:$B$504,MATCH(D545,Clients!$A$5:$A$504,0)),"Walk-in"))</f>
        <v>0</v>
      </c>
      <c r="G545" s="15">
        <f>IF(F545="","",IFERROR(INDEX(Staff!$B$5:$B$44,MATCH(F545,Staff!$A$5:$A$44,0)),"House"))</f>
        <v>0</v>
      </c>
      <c r="R545" s="15">
        <f>IF(B545="","",TEXT(B545,"yyyy-mm"))</f>
        <v>0</v>
      </c>
      <c r="S545" s="25">
        <f>IF(B545="","",WEEKNUM(B545,2))</f>
        <v>0</v>
      </c>
      <c r="T545" s="37">
        <f>IF(B545="","",IF(K545="",1,K545))</f>
        <v>0</v>
      </c>
      <c r="U545" s="15">
        <f>IF(B545="","",IF(J545&lt;&gt;"",J545,IF(H545="Retail",IFERROR(INDEX(Inventory!$B$5:$B$304,MATCH(I545,Inventory!$A$5:$A$304,0))&amp;"","Not in Inventory"),IFERROR(INDEX(Services!$B$5:$B$204,MATCH(I545,Services!$A$5:$A$204,0))&amp;"","Not in Services"))))</f>
        <v>0</v>
      </c>
      <c r="V545" s="26">
        <f>IF(B545="","",IF(L545&lt;&gt;"",L545,IF(H545="Retail",IFERROR(INDEX(Inventory!$I$5:$I$304,MATCH(I545,Inventory!$A$5:$A$304,0))*1,0),IFERROR(INDEX(Services!$G$5:$G$204,MATCH(I545,Services!$A$5:$A$204,0))*1,0))))</f>
        <v>0</v>
      </c>
      <c r="W545" s="26">
        <f>IF(B545="","",ROUND(T545*V545,2))</f>
        <v>0</v>
      </c>
      <c r="X545" s="26">
        <f>IF(B545="","",ROUND(IF(M545="",0,W545*M545)+IF(N545="",0,N545),2))</f>
        <v>0</v>
      </c>
      <c r="Y545" s="26">
        <f>IF(B545="","",ROUND(W545-X545-IF(P545="",0,P545),2))</f>
        <v>0</v>
      </c>
      <c r="Z545" s="26">
        <f>IF(B545="","",IF(H545="Retail",IF(TaxOnRetail="Yes",ROUND(Y545*TaxRate,2),0),IF(H545="Service",IF(TaxOnServices="Yes",ROUND(Y545*TaxRate,2),0),0)))</f>
        <v>0</v>
      </c>
      <c r="AA545" s="26">
        <f>IF(B545="","",ROUND(Y545+Z545,2))</f>
        <v>0</v>
      </c>
      <c r="AB545" s="26">
        <f>IF(B545="","",ROUND(T545*IF(H545="Retail",IFERROR(INDEX(Inventory!$H$5:$H$304,MATCH(I545,Inventory!$A$5:$A$304,0))*1,0),IFERROR(INDEX(Services!$Q$5:$Q$204,MATCH(I545,Services!$A$5:$A$204,0))*1,0)),2))</f>
        <v>0</v>
      </c>
      <c r="AC545" s="26">
        <f>IF(B545="","",ROUND(Y545-AB545,2))</f>
        <v>0</v>
      </c>
      <c r="AD545" s="38">
        <f>IF(B545="","",IF(C545="","No",IF(COUNTIFS($C$5:C545,C545)=1,"Yes","No")))</f>
        <v>0</v>
      </c>
      <c r="AE545" s="26">
        <f>IF(B545="","",ROUND(SUMIFS(Payments!$G$5:$G$1204,Payments!$H$5:$H$1204,A545,Payments!$Q$5:$Q$1204,"Yes"),2))</f>
        <v>0</v>
      </c>
      <c r="AF545" s="26">
        <f>IF(B545="","",IF(AD545="No",0,ROUND(SUMIFS(Payments!$G$5:$G$1204,Payments!$I$5:$I$1204,C545,Payments!$H$5:$H$1204,"",Payments!$Q$5:$Q$1204,"Yes"),2)))</f>
        <v>0</v>
      </c>
      <c r="AG545" s="26">
        <f>IF(B545="","",ROUND(AE545+AF545,2))</f>
        <v>0</v>
      </c>
      <c r="AH545" s="26">
        <f>IF(B545="","",ROUND(AA545-AG545,2))</f>
        <v>0</v>
      </c>
      <c r="AI545" s="39">
        <f>IF(B545="","",IF(AA545&lt;=0,"No charge",IF(AH545&lt;=0.004,"Paid",IF(AG545&lt;=0.004,"Unpaid","Part paid"))))</f>
        <v>0</v>
      </c>
      <c r="AJ545" s="38">
        <f>IF(B545="","",IF(H545&lt;&gt;"Service","",IF(D545="","No",IF(COUNTIFS($D$5:$D$1204,D545,$B$5:$B$1204,B545,$H$5:$H$1204,"Retail")&gt;0,"Yes","No"))))</f>
        <v>0</v>
      </c>
      <c r="AK545" s="25">
        <f>IF(B545="","",COUNTIFS($Y$5:$Y$1204,"&gt;"&amp;Y545)+COUNTIFS($Y$5:Y545,Y545))</f>
        <v>0</v>
      </c>
      <c r="AL545" s="39">
        <f>IF(B545="","",IF(H545="","Add - what kind of sale is this?",IF(IF(V545&lt;=0,P545="",FALSE),"Check - no price found for this item",IF(F545="","Assign - nobody credited",IF(AH545&gt;0.004,"Unpaid - balance outstanding",IF(AC545&lt;0,"Loss - sold below cost",IF(X545&gt;W545*0.5,"Check - more than half off","OK")))))))</f>
        <v>0</v>
      </c>
    </row>
    <row r="546" spans="1:38">
      <c r="A546" s="28">
        <f>IF(B546="","",SalePrefix&amp;TEXT(ROW()-4,"0000"))</f>
        <v>0</v>
      </c>
      <c r="E546" s="15">
        <f>IF(D546="","",IFERROR(INDEX(Clients!$B$5:$B$504,MATCH(D546,Clients!$A$5:$A$504,0)),"Walk-in"))</f>
        <v>0</v>
      </c>
      <c r="G546" s="15">
        <f>IF(F546="","",IFERROR(INDEX(Staff!$B$5:$B$44,MATCH(F546,Staff!$A$5:$A$44,0)),"House"))</f>
        <v>0</v>
      </c>
      <c r="R546" s="15">
        <f>IF(B546="","",TEXT(B546,"yyyy-mm"))</f>
        <v>0</v>
      </c>
      <c r="S546" s="25">
        <f>IF(B546="","",WEEKNUM(B546,2))</f>
        <v>0</v>
      </c>
      <c r="T546" s="37">
        <f>IF(B546="","",IF(K546="",1,K546))</f>
        <v>0</v>
      </c>
      <c r="U546" s="15">
        <f>IF(B546="","",IF(J546&lt;&gt;"",J546,IF(H546="Retail",IFERROR(INDEX(Inventory!$B$5:$B$304,MATCH(I546,Inventory!$A$5:$A$304,0))&amp;"","Not in Inventory"),IFERROR(INDEX(Services!$B$5:$B$204,MATCH(I546,Services!$A$5:$A$204,0))&amp;"","Not in Services"))))</f>
        <v>0</v>
      </c>
      <c r="V546" s="26">
        <f>IF(B546="","",IF(L546&lt;&gt;"",L546,IF(H546="Retail",IFERROR(INDEX(Inventory!$I$5:$I$304,MATCH(I546,Inventory!$A$5:$A$304,0))*1,0),IFERROR(INDEX(Services!$G$5:$G$204,MATCH(I546,Services!$A$5:$A$204,0))*1,0))))</f>
        <v>0</v>
      </c>
      <c r="W546" s="26">
        <f>IF(B546="","",ROUND(T546*V546,2))</f>
        <v>0</v>
      </c>
      <c r="X546" s="26">
        <f>IF(B546="","",ROUND(IF(M546="",0,W546*M546)+IF(N546="",0,N546),2))</f>
        <v>0</v>
      </c>
      <c r="Y546" s="26">
        <f>IF(B546="","",ROUND(W546-X546-IF(P546="",0,P546),2))</f>
        <v>0</v>
      </c>
      <c r="Z546" s="26">
        <f>IF(B546="","",IF(H546="Retail",IF(TaxOnRetail="Yes",ROUND(Y546*TaxRate,2),0),IF(H546="Service",IF(TaxOnServices="Yes",ROUND(Y546*TaxRate,2),0),0)))</f>
        <v>0</v>
      </c>
      <c r="AA546" s="26">
        <f>IF(B546="","",ROUND(Y546+Z546,2))</f>
        <v>0</v>
      </c>
      <c r="AB546" s="26">
        <f>IF(B546="","",ROUND(T546*IF(H546="Retail",IFERROR(INDEX(Inventory!$H$5:$H$304,MATCH(I546,Inventory!$A$5:$A$304,0))*1,0),IFERROR(INDEX(Services!$Q$5:$Q$204,MATCH(I546,Services!$A$5:$A$204,0))*1,0)),2))</f>
        <v>0</v>
      </c>
      <c r="AC546" s="26">
        <f>IF(B546="","",ROUND(Y546-AB546,2))</f>
        <v>0</v>
      </c>
      <c r="AD546" s="38">
        <f>IF(B546="","",IF(C546="","No",IF(COUNTIFS($C$5:C546,C546)=1,"Yes","No")))</f>
        <v>0</v>
      </c>
      <c r="AE546" s="26">
        <f>IF(B546="","",ROUND(SUMIFS(Payments!$G$5:$G$1204,Payments!$H$5:$H$1204,A546,Payments!$Q$5:$Q$1204,"Yes"),2))</f>
        <v>0</v>
      </c>
      <c r="AF546" s="26">
        <f>IF(B546="","",IF(AD546="No",0,ROUND(SUMIFS(Payments!$G$5:$G$1204,Payments!$I$5:$I$1204,C546,Payments!$H$5:$H$1204,"",Payments!$Q$5:$Q$1204,"Yes"),2)))</f>
        <v>0</v>
      </c>
      <c r="AG546" s="26">
        <f>IF(B546="","",ROUND(AE546+AF546,2))</f>
        <v>0</v>
      </c>
      <c r="AH546" s="26">
        <f>IF(B546="","",ROUND(AA546-AG546,2))</f>
        <v>0</v>
      </c>
      <c r="AI546" s="39">
        <f>IF(B546="","",IF(AA546&lt;=0,"No charge",IF(AH546&lt;=0.004,"Paid",IF(AG546&lt;=0.004,"Unpaid","Part paid"))))</f>
        <v>0</v>
      </c>
      <c r="AJ546" s="38">
        <f>IF(B546="","",IF(H546&lt;&gt;"Service","",IF(D546="","No",IF(COUNTIFS($D$5:$D$1204,D546,$B$5:$B$1204,B546,$H$5:$H$1204,"Retail")&gt;0,"Yes","No"))))</f>
        <v>0</v>
      </c>
      <c r="AK546" s="25">
        <f>IF(B546="","",COUNTIFS($Y$5:$Y$1204,"&gt;"&amp;Y546)+COUNTIFS($Y$5:Y546,Y546))</f>
        <v>0</v>
      </c>
      <c r="AL546" s="39">
        <f>IF(B546="","",IF(H546="","Add - what kind of sale is this?",IF(IF(V546&lt;=0,P546="",FALSE),"Check - no price found for this item",IF(F546="","Assign - nobody credited",IF(AH546&gt;0.004,"Unpaid - balance outstanding",IF(AC546&lt;0,"Loss - sold below cost",IF(X546&gt;W546*0.5,"Check - more than half off","OK")))))))</f>
        <v>0</v>
      </c>
    </row>
    <row r="547" spans="1:38">
      <c r="A547" s="28">
        <f>IF(B547="","",SalePrefix&amp;TEXT(ROW()-4,"0000"))</f>
        <v>0</v>
      </c>
      <c r="E547" s="15">
        <f>IF(D547="","",IFERROR(INDEX(Clients!$B$5:$B$504,MATCH(D547,Clients!$A$5:$A$504,0)),"Walk-in"))</f>
        <v>0</v>
      </c>
      <c r="G547" s="15">
        <f>IF(F547="","",IFERROR(INDEX(Staff!$B$5:$B$44,MATCH(F547,Staff!$A$5:$A$44,0)),"House"))</f>
        <v>0</v>
      </c>
      <c r="R547" s="15">
        <f>IF(B547="","",TEXT(B547,"yyyy-mm"))</f>
        <v>0</v>
      </c>
      <c r="S547" s="25">
        <f>IF(B547="","",WEEKNUM(B547,2))</f>
        <v>0</v>
      </c>
      <c r="T547" s="37">
        <f>IF(B547="","",IF(K547="",1,K547))</f>
        <v>0</v>
      </c>
      <c r="U547" s="15">
        <f>IF(B547="","",IF(J547&lt;&gt;"",J547,IF(H547="Retail",IFERROR(INDEX(Inventory!$B$5:$B$304,MATCH(I547,Inventory!$A$5:$A$304,0))&amp;"","Not in Inventory"),IFERROR(INDEX(Services!$B$5:$B$204,MATCH(I547,Services!$A$5:$A$204,0))&amp;"","Not in Services"))))</f>
        <v>0</v>
      </c>
      <c r="V547" s="26">
        <f>IF(B547="","",IF(L547&lt;&gt;"",L547,IF(H547="Retail",IFERROR(INDEX(Inventory!$I$5:$I$304,MATCH(I547,Inventory!$A$5:$A$304,0))*1,0),IFERROR(INDEX(Services!$G$5:$G$204,MATCH(I547,Services!$A$5:$A$204,0))*1,0))))</f>
        <v>0</v>
      </c>
      <c r="W547" s="26">
        <f>IF(B547="","",ROUND(T547*V547,2))</f>
        <v>0</v>
      </c>
      <c r="X547" s="26">
        <f>IF(B547="","",ROUND(IF(M547="",0,W547*M547)+IF(N547="",0,N547),2))</f>
        <v>0</v>
      </c>
      <c r="Y547" s="26">
        <f>IF(B547="","",ROUND(W547-X547-IF(P547="",0,P547),2))</f>
        <v>0</v>
      </c>
      <c r="Z547" s="26">
        <f>IF(B547="","",IF(H547="Retail",IF(TaxOnRetail="Yes",ROUND(Y547*TaxRate,2),0),IF(H547="Service",IF(TaxOnServices="Yes",ROUND(Y547*TaxRate,2),0),0)))</f>
        <v>0</v>
      </c>
      <c r="AA547" s="26">
        <f>IF(B547="","",ROUND(Y547+Z547,2))</f>
        <v>0</v>
      </c>
      <c r="AB547" s="26">
        <f>IF(B547="","",ROUND(T547*IF(H547="Retail",IFERROR(INDEX(Inventory!$H$5:$H$304,MATCH(I547,Inventory!$A$5:$A$304,0))*1,0),IFERROR(INDEX(Services!$Q$5:$Q$204,MATCH(I547,Services!$A$5:$A$204,0))*1,0)),2))</f>
        <v>0</v>
      </c>
      <c r="AC547" s="26">
        <f>IF(B547="","",ROUND(Y547-AB547,2))</f>
        <v>0</v>
      </c>
      <c r="AD547" s="38">
        <f>IF(B547="","",IF(C547="","No",IF(COUNTIFS($C$5:C547,C547)=1,"Yes","No")))</f>
        <v>0</v>
      </c>
      <c r="AE547" s="26">
        <f>IF(B547="","",ROUND(SUMIFS(Payments!$G$5:$G$1204,Payments!$H$5:$H$1204,A547,Payments!$Q$5:$Q$1204,"Yes"),2))</f>
        <v>0</v>
      </c>
      <c r="AF547" s="26">
        <f>IF(B547="","",IF(AD547="No",0,ROUND(SUMIFS(Payments!$G$5:$G$1204,Payments!$I$5:$I$1204,C547,Payments!$H$5:$H$1204,"",Payments!$Q$5:$Q$1204,"Yes"),2)))</f>
        <v>0</v>
      </c>
      <c r="AG547" s="26">
        <f>IF(B547="","",ROUND(AE547+AF547,2))</f>
        <v>0</v>
      </c>
      <c r="AH547" s="26">
        <f>IF(B547="","",ROUND(AA547-AG547,2))</f>
        <v>0</v>
      </c>
      <c r="AI547" s="39">
        <f>IF(B547="","",IF(AA547&lt;=0,"No charge",IF(AH547&lt;=0.004,"Paid",IF(AG547&lt;=0.004,"Unpaid","Part paid"))))</f>
        <v>0</v>
      </c>
      <c r="AJ547" s="38">
        <f>IF(B547="","",IF(H547&lt;&gt;"Service","",IF(D547="","No",IF(COUNTIFS($D$5:$D$1204,D547,$B$5:$B$1204,B547,$H$5:$H$1204,"Retail")&gt;0,"Yes","No"))))</f>
        <v>0</v>
      </c>
      <c r="AK547" s="25">
        <f>IF(B547="","",COUNTIFS($Y$5:$Y$1204,"&gt;"&amp;Y547)+COUNTIFS($Y$5:Y547,Y547))</f>
        <v>0</v>
      </c>
      <c r="AL547" s="39">
        <f>IF(B547="","",IF(H547="","Add - what kind of sale is this?",IF(IF(V547&lt;=0,P547="",FALSE),"Check - no price found for this item",IF(F547="","Assign - nobody credited",IF(AH547&gt;0.004,"Unpaid - balance outstanding",IF(AC547&lt;0,"Loss - sold below cost",IF(X547&gt;W547*0.5,"Check - more than half off","OK")))))))</f>
        <v>0</v>
      </c>
    </row>
    <row r="548" spans="1:38">
      <c r="A548" s="28">
        <f>IF(B548="","",SalePrefix&amp;TEXT(ROW()-4,"0000"))</f>
        <v>0</v>
      </c>
      <c r="E548" s="15">
        <f>IF(D548="","",IFERROR(INDEX(Clients!$B$5:$B$504,MATCH(D548,Clients!$A$5:$A$504,0)),"Walk-in"))</f>
        <v>0</v>
      </c>
      <c r="G548" s="15">
        <f>IF(F548="","",IFERROR(INDEX(Staff!$B$5:$B$44,MATCH(F548,Staff!$A$5:$A$44,0)),"House"))</f>
        <v>0</v>
      </c>
      <c r="R548" s="15">
        <f>IF(B548="","",TEXT(B548,"yyyy-mm"))</f>
        <v>0</v>
      </c>
      <c r="S548" s="25">
        <f>IF(B548="","",WEEKNUM(B548,2))</f>
        <v>0</v>
      </c>
      <c r="T548" s="37">
        <f>IF(B548="","",IF(K548="",1,K548))</f>
        <v>0</v>
      </c>
      <c r="U548" s="15">
        <f>IF(B548="","",IF(J548&lt;&gt;"",J548,IF(H548="Retail",IFERROR(INDEX(Inventory!$B$5:$B$304,MATCH(I548,Inventory!$A$5:$A$304,0))&amp;"","Not in Inventory"),IFERROR(INDEX(Services!$B$5:$B$204,MATCH(I548,Services!$A$5:$A$204,0))&amp;"","Not in Services"))))</f>
        <v>0</v>
      </c>
      <c r="V548" s="26">
        <f>IF(B548="","",IF(L548&lt;&gt;"",L548,IF(H548="Retail",IFERROR(INDEX(Inventory!$I$5:$I$304,MATCH(I548,Inventory!$A$5:$A$304,0))*1,0),IFERROR(INDEX(Services!$G$5:$G$204,MATCH(I548,Services!$A$5:$A$204,0))*1,0))))</f>
        <v>0</v>
      </c>
      <c r="W548" s="26">
        <f>IF(B548="","",ROUND(T548*V548,2))</f>
        <v>0</v>
      </c>
      <c r="X548" s="26">
        <f>IF(B548="","",ROUND(IF(M548="",0,W548*M548)+IF(N548="",0,N548),2))</f>
        <v>0</v>
      </c>
      <c r="Y548" s="26">
        <f>IF(B548="","",ROUND(W548-X548-IF(P548="",0,P548),2))</f>
        <v>0</v>
      </c>
      <c r="Z548" s="26">
        <f>IF(B548="","",IF(H548="Retail",IF(TaxOnRetail="Yes",ROUND(Y548*TaxRate,2),0),IF(H548="Service",IF(TaxOnServices="Yes",ROUND(Y548*TaxRate,2),0),0)))</f>
        <v>0</v>
      </c>
      <c r="AA548" s="26">
        <f>IF(B548="","",ROUND(Y548+Z548,2))</f>
        <v>0</v>
      </c>
      <c r="AB548" s="26">
        <f>IF(B548="","",ROUND(T548*IF(H548="Retail",IFERROR(INDEX(Inventory!$H$5:$H$304,MATCH(I548,Inventory!$A$5:$A$304,0))*1,0),IFERROR(INDEX(Services!$Q$5:$Q$204,MATCH(I548,Services!$A$5:$A$204,0))*1,0)),2))</f>
        <v>0</v>
      </c>
      <c r="AC548" s="26">
        <f>IF(B548="","",ROUND(Y548-AB548,2))</f>
        <v>0</v>
      </c>
      <c r="AD548" s="38">
        <f>IF(B548="","",IF(C548="","No",IF(COUNTIFS($C$5:C548,C548)=1,"Yes","No")))</f>
        <v>0</v>
      </c>
      <c r="AE548" s="26">
        <f>IF(B548="","",ROUND(SUMIFS(Payments!$G$5:$G$1204,Payments!$H$5:$H$1204,A548,Payments!$Q$5:$Q$1204,"Yes"),2))</f>
        <v>0</v>
      </c>
      <c r="AF548" s="26">
        <f>IF(B548="","",IF(AD548="No",0,ROUND(SUMIFS(Payments!$G$5:$G$1204,Payments!$I$5:$I$1204,C548,Payments!$H$5:$H$1204,"",Payments!$Q$5:$Q$1204,"Yes"),2)))</f>
        <v>0</v>
      </c>
      <c r="AG548" s="26">
        <f>IF(B548="","",ROUND(AE548+AF548,2))</f>
        <v>0</v>
      </c>
      <c r="AH548" s="26">
        <f>IF(B548="","",ROUND(AA548-AG548,2))</f>
        <v>0</v>
      </c>
      <c r="AI548" s="39">
        <f>IF(B548="","",IF(AA548&lt;=0,"No charge",IF(AH548&lt;=0.004,"Paid",IF(AG548&lt;=0.004,"Unpaid","Part paid"))))</f>
        <v>0</v>
      </c>
      <c r="AJ548" s="38">
        <f>IF(B548="","",IF(H548&lt;&gt;"Service","",IF(D548="","No",IF(COUNTIFS($D$5:$D$1204,D548,$B$5:$B$1204,B548,$H$5:$H$1204,"Retail")&gt;0,"Yes","No"))))</f>
        <v>0</v>
      </c>
      <c r="AK548" s="25">
        <f>IF(B548="","",COUNTIFS($Y$5:$Y$1204,"&gt;"&amp;Y548)+COUNTIFS($Y$5:Y548,Y548))</f>
        <v>0</v>
      </c>
      <c r="AL548" s="39">
        <f>IF(B548="","",IF(H548="","Add - what kind of sale is this?",IF(IF(V548&lt;=0,P548="",FALSE),"Check - no price found for this item",IF(F548="","Assign - nobody credited",IF(AH548&gt;0.004,"Unpaid - balance outstanding",IF(AC548&lt;0,"Loss - sold below cost",IF(X548&gt;W548*0.5,"Check - more than half off","OK")))))))</f>
        <v>0</v>
      </c>
    </row>
    <row r="549" spans="1:38">
      <c r="A549" s="28">
        <f>IF(B549="","",SalePrefix&amp;TEXT(ROW()-4,"0000"))</f>
        <v>0</v>
      </c>
      <c r="E549" s="15">
        <f>IF(D549="","",IFERROR(INDEX(Clients!$B$5:$B$504,MATCH(D549,Clients!$A$5:$A$504,0)),"Walk-in"))</f>
        <v>0</v>
      </c>
      <c r="G549" s="15">
        <f>IF(F549="","",IFERROR(INDEX(Staff!$B$5:$B$44,MATCH(F549,Staff!$A$5:$A$44,0)),"House"))</f>
        <v>0</v>
      </c>
      <c r="R549" s="15">
        <f>IF(B549="","",TEXT(B549,"yyyy-mm"))</f>
        <v>0</v>
      </c>
      <c r="S549" s="25">
        <f>IF(B549="","",WEEKNUM(B549,2))</f>
        <v>0</v>
      </c>
      <c r="T549" s="37">
        <f>IF(B549="","",IF(K549="",1,K549))</f>
        <v>0</v>
      </c>
      <c r="U549" s="15">
        <f>IF(B549="","",IF(J549&lt;&gt;"",J549,IF(H549="Retail",IFERROR(INDEX(Inventory!$B$5:$B$304,MATCH(I549,Inventory!$A$5:$A$304,0))&amp;"","Not in Inventory"),IFERROR(INDEX(Services!$B$5:$B$204,MATCH(I549,Services!$A$5:$A$204,0))&amp;"","Not in Services"))))</f>
        <v>0</v>
      </c>
      <c r="V549" s="26">
        <f>IF(B549="","",IF(L549&lt;&gt;"",L549,IF(H549="Retail",IFERROR(INDEX(Inventory!$I$5:$I$304,MATCH(I549,Inventory!$A$5:$A$304,0))*1,0),IFERROR(INDEX(Services!$G$5:$G$204,MATCH(I549,Services!$A$5:$A$204,0))*1,0))))</f>
        <v>0</v>
      </c>
      <c r="W549" s="26">
        <f>IF(B549="","",ROUND(T549*V549,2))</f>
        <v>0</v>
      </c>
      <c r="X549" s="26">
        <f>IF(B549="","",ROUND(IF(M549="",0,W549*M549)+IF(N549="",0,N549),2))</f>
        <v>0</v>
      </c>
      <c r="Y549" s="26">
        <f>IF(B549="","",ROUND(W549-X549-IF(P549="",0,P549),2))</f>
        <v>0</v>
      </c>
      <c r="Z549" s="26">
        <f>IF(B549="","",IF(H549="Retail",IF(TaxOnRetail="Yes",ROUND(Y549*TaxRate,2),0),IF(H549="Service",IF(TaxOnServices="Yes",ROUND(Y549*TaxRate,2),0),0)))</f>
        <v>0</v>
      </c>
      <c r="AA549" s="26">
        <f>IF(B549="","",ROUND(Y549+Z549,2))</f>
        <v>0</v>
      </c>
      <c r="AB549" s="26">
        <f>IF(B549="","",ROUND(T549*IF(H549="Retail",IFERROR(INDEX(Inventory!$H$5:$H$304,MATCH(I549,Inventory!$A$5:$A$304,0))*1,0),IFERROR(INDEX(Services!$Q$5:$Q$204,MATCH(I549,Services!$A$5:$A$204,0))*1,0)),2))</f>
        <v>0</v>
      </c>
      <c r="AC549" s="26">
        <f>IF(B549="","",ROUND(Y549-AB549,2))</f>
        <v>0</v>
      </c>
      <c r="AD549" s="38">
        <f>IF(B549="","",IF(C549="","No",IF(COUNTIFS($C$5:C549,C549)=1,"Yes","No")))</f>
        <v>0</v>
      </c>
      <c r="AE549" s="26">
        <f>IF(B549="","",ROUND(SUMIFS(Payments!$G$5:$G$1204,Payments!$H$5:$H$1204,A549,Payments!$Q$5:$Q$1204,"Yes"),2))</f>
        <v>0</v>
      </c>
      <c r="AF549" s="26">
        <f>IF(B549="","",IF(AD549="No",0,ROUND(SUMIFS(Payments!$G$5:$G$1204,Payments!$I$5:$I$1204,C549,Payments!$H$5:$H$1204,"",Payments!$Q$5:$Q$1204,"Yes"),2)))</f>
        <v>0</v>
      </c>
      <c r="AG549" s="26">
        <f>IF(B549="","",ROUND(AE549+AF549,2))</f>
        <v>0</v>
      </c>
      <c r="AH549" s="26">
        <f>IF(B549="","",ROUND(AA549-AG549,2))</f>
        <v>0</v>
      </c>
      <c r="AI549" s="39">
        <f>IF(B549="","",IF(AA549&lt;=0,"No charge",IF(AH549&lt;=0.004,"Paid",IF(AG549&lt;=0.004,"Unpaid","Part paid"))))</f>
        <v>0</v>
      </c>
      <c r="AJ549" s="38">
        <f>IF(B549="","",IF(H549&lt;&gt;"Service","",IF(D549="","No",IF(COUNTIFS($D$5:$D$1204,D549,$B$5:$B$1204,B549,$H$5:$H$1204,"Retail")&gt;0,"Yes","No"))))</f>
        <v>0</v>
      </c>
      <c r="AK549" s="25">
        <f>IF(B549="","",COUNTIFS($Y$5:$Y$1204,"&gt;"&amp;Y549)+COUNTIFS($Y$5:Y549,Y549))</f>
        <v>0</v>
      </c>
      <c r="AL549" s="39">
        <f>IF(B549="","",IF(H549="","Add - what kind of sale is this?",IF(IF(V549&lt;=0,P549="",FALSE),"Check - no price found for this item",IF(F549="","Assign - nobody credited",IF(AH549&gt;0.004,"Unpaid - balance outstanding",IF(AC549&lt;0,"Loss - sold below cost",IF(X549&gt;W549*0.5,"Check - more than half off","OK")))))))</f>
        <v>0</v>
      </c>
    </row>
    <row r="550" spans="1:38">
      <c r="A550" s="28">
        <f>IF(B550="","",SalePrefix&amp;TEXT(ROW()-4,"0000"))</f>
        <v>0</v>
      </c>
      <c r="E550" s="15">
        <f>IF(D550="","",IFERROR(INDEX(Clients!$B$5:$B$504,MATCH(D550,Clients!$A$5:$A$504,0)),"Walk-in"))</f>
        <v>0</v>
      </c>
      <c r="G550" s="15">
        <f>IF(F550="","",IFERROR(INDEX(Staff!$B$5:$B$44,MATCH(F550,Staff!$A$5:$A$44,0)),"House"))</f>
        <v>0</v>
      </c>
      <c r="R550" s="15">
        <f>IF(B550="","",TEXT(B550,"yyyy-mm"))</f>
        <v>0</v>
      </c>
      <c r="S550" s="25">
        <f>IF(B550="","",WEEKNUM(B550,2))</f>
        <v>0</v>
      </c>
      <c r="T550" s="37">
        <f>IF(B550="","",IF(K550="",1,K550))</f>
        <v>0</v>
      </c>
      <c r="U550" s="15">
        <f>IF(B550="","",IF(J550&lt;&gt;"",J550,IF(H550="Retail",IFERROR(INDEX(Inventory!$B$5:$B$304,MATCH(I550,Inventory!$A$5:$A$304,0))&amp;"","Not in Inventory"),IFERROR(INDEX(Services!$B$5:$B$204,MATCH(I550,Services!$A$5:$A$204,0))&amp;"","Not in Services"))))</f>
        <v>0</v>
      </c>
      <c r="V550" s="26">
        <f>IF(B550="","",IF(L550&lt;&gt;"",L550,IF(H550="Retail",IFERROR(INDEX(Inventory!$I$5:$I$304,MATCH(I550,Inventory!$A$5:$A$304,0))*1,0),IFERROR(INDEX(Services!$G$5:$G$204,MATCH(I550,Services!$A$5:$A$204,0))*1,0))))</f>
        <v>0</v>
      </c>
      <c r="W550" s="26">
        <f>IF(B550="","",ROUND(T550*V550,2))</f>
        <v>0</v>
      </c>
      <c r="X550" s="26">
        <f>IF(B550="","",ROUND(IF(M550="",0,W550*M550)+IF(N550="",0,N550),2))</f>
        <v>0</v>
      </c>
      <c r="Y550" s="26">
        <f>IF(B550="","",ROUND(W550-X550-IF(P550="",0,P550),2))</f>
        <v>0</v>
      </c>
      <c r="Z550" s="26">
        <f>IF(B550="","",IF(H550="Retail",IF(TaxOnRetail="Yes",ROUND(Y550*TaxRate,2),0),IF(H550="Service",IF(TaxOnServices="Yes",ROUND(Y550*TaxRate,2),0),0)))</f>
        <v>0</v>
      </c>
      <c r="AA550" s="26">
        <f>IF(B550="","",ROUND(Y550+Z550,2))</f>
        <v>0</v>
      </c>
      <c r="AB550" s="26">
        <f>IF(B550="","",ROUND(T550*IF(H550="Retail",IFERROR(INDEX(Inventory!$H$5:$H$304,MATCH(I550,Inventory!$A$5:$A$304,0))*1,0),IFERROR(INDEX(Services!$Q$5:$Q$204,MATCH(I550,Services!$A$5:$A$204,0))*1,0)),2))</f>
        <v>0</v>
      </c>
      <c r="AC550" s="26">
        <f>IF(B550="","",ROUND(Y550-AB550,2))</f>
        <v>0</v>
      </c>
      <c r="AD550" s="38">
        <f>IF(B550="","",IF(C550="","No",IF(COUNTIFS($C$5:C550,C550)=1,"Yes","No")))</f>
        <v>0</v>
      </c>
      <c r="AE550" s="26">
        <f>IF(B550="","",ROUND(SUMIFS(Payments!$G$5:$G$1204,Payments!$H$5:$H$1204,A550,Payments!$Q$5:$Q$1204,"Yes"),2))</f>
        <v>0</v>
      </c>
      <c r="AF550" s="26">
        <f>IF(B550="","",IF(AD550="No",0,ROUND(SUMIFS(Payments!$G$5:$G$1204,Payments!$I$5:$I$1204,C550,Payments!$H$5:$H$1204,"",Payments!$Q$5:$Q$1204,"Yes"),2)))</f>
        <v>0</v>
      </c>
      <c r="AG550" s="26">
        <f>IF(B550="","",ROUND(AE550+AF550,2))</f>
        <v>0</v>
      </c>
      <c r="AH550" s="26">
        <f>IF(B550="","",ROUND(AA550-AG550,2))</f>
        <v>0</v>
      </c>
      <c r="AI550" s="39">
        <f>IF(B550="","",IF(AA550&lt;=0,"No charge",IF(AH550&lt;=0.004,"Paid",IF(AG550&lt;=0.004,"Unpaid","Part paid"))))</f>
        <v>0</v>
      </c>
      <c r="AJ550" s="38">
        <f>IF(B550="","",IF(H550&lt;&gt;"Service","",IF(D550="","No",IF(COUNTIFS($D$5:$D$1204,D550,$B$5:$B$1204,B550,$H$5:$H$1204,"Retail")&gt;0,"Yes","No"))))</f>
        <v>0</v>
      </c>
      <c r="AK550" s="25">
        <f>IF(B550="","",COUNTIFS($Y$5:$Y$1204,"&gt;"&amp;Y550)+COUNTIFS($Y$5:Y550,Y550))</f>
        <v>0</v>
      </c>
      <c r="AL550" s="39">
        <f>IF(B550="","",IF(H550="","Add - what kind of sale is this?",IF(IF(V550&lt;=0,P550="",FALSE),"Check - no price found for this item",IF(F550="","Assign - nobody credited",IF(AH550&gt;0.004,"Unpaid - balance outstanding",IF(AC550&lt;0,"Loss - sold below cost",IF(X550&gt;W550*0.5,"Check - more than half off","OK")))))))</f>
        <v>0</v>
      </c>
    </row>
    <row r="551" spans="1:38">
      <c r="A551" s="28">
        <f>IF(B551="","",SalePrefix&amp;TEXT(ROW()-4,"0000"))</f>
        <v>0</v>
      </c>
      <c r="E551" s="15">
        <f>IF(D551="","",IFERROR(INDEX(Clients!$B$5:$B$504,MATCH(D551,Clients!$A$5:$A$504,0)),"Walk-in"))</f>
        <v>0</v>
      </c>
      <c r="G551" s="15">
        <f>IF(F551="","",IFERROR(INDEX(Staff!$B$5:$B$44,MATCH(F551,Staff!$A$5:$A$44,0)),"House"))</f>
        <v>0</v>
      </c>
      <c r="R551" s="15">
        <f>IF(B551="","",TEXT(B551,"yyyy-mm"))</f>
        <v>0</v>
      </c>
      <c r="S551" s="25">
        <f>IF(B551="","",WEEKNUM(B551,2))</f>
        <v>0</v>
      </c>
      <c r="T551" s="37">
        <f>IF(B551="","",IF(K551="",1,K551))</f>
        <v>0</v>
      </c>
      <c r="U551" s="15">
        <f>IF(B551="","",IF(J551&lt;&gt;"",J551,IF(H551="Retail",IFERROR(INDEX(Inventory!$B$5:$B$304,MATCH(I551,Inventory!$A$5:$A$304,0))&amp;"","Not in Inventory"),IFERROR(INDEX(Services!$B$5:$B$204,MATCH(I551,Services!$A$5:$A$204,0))&amp;"","Not in Services"))))</f>
        <v>0</v>
      </c>
      <c r="V551" s="26">
        <f>IF(B551="","",IF(L551&lt;&gt;"",L551,IF(H551="Retail",IFERROR(INDEX(Inventory!$I$5:$I$304,MATCH(I551,Inventory!$A$5:$A$304,0))*1,0),IFERROR(INDEX(Services!$G$5:$G$204,MATCH(I551,Services!$A$5:$A$204,0))*1,0))))</f>
        <v>0</v>
      </c>
      <c r="W551" s="26">
        <f>IF(B551="","",ROUND(T551*V551,2))</f>
        <v>0</v>
      </c>
      <c r="X551" s="26">
        <f>IF(B551="","",ROUND(IF(M551="",0,W551*M551)+IF(N551="",0,N551),2))</f>
        <v>0</v>
      </c>
      <c r="Y551" s="26">
        <f>IF(B551="","",ROUND(W551-X551-IF(P551="",0,P551),2))</f>
        <v>0</v>
      </c>
      <c r="Z551" s="26">
        <f>IF(B551="","",IF(H551="Retail",IF(TaxOnRetail="Yes",ROUND(Y551*TaxRate,2),0),IF(H551="Service",IF(TaxOnServices="Yes",ROUND(Y551*TaxRate,2),0),0)))</f>
        <v>0</v>
      </c>
      <c r="AA551" s="26">
        <f>IF(B551="","",ROUND(Y551+Z551,2))</f>
        <v>0</v>
      </c>
      <c r="AB551" s="26">
        <f>IF(B551="","",ROUND(T551*IF(H551="Retail",IFERROR(INDEX(Inventory!$H$5:$H$304,MATCH(I551,Inventory!$A$5:$A$304,0))*1,0),IFERROR(INDEX(Services!$Q$5:$Q$204,MATCH(I551,Services!$A$5:$A$204,0))*1,0)),2))</f>
        <v>0</v>
      </c>
      <c r="AC551" s="26">
        <f>IF(B551="","",ROUND(Y551-AB551,2))</f>
        <v>0</v>
      </c>
      <c r="AD551" s="38">
        <f>IF(B551="","",IF(C551="","No",IF(COUNTIFS($C$5:C551,C551)=1,"Yes","No")))</f>
        <v>0</v>
      </c>
      <c r="AE551" s="26">
        <f>IF(B551="","",ROUND(SUMIFS(Payments!$G$5:$G$1204,Payments!$H$5:$H$1204,A551,Payments!$Q$5:$Q$1204,"Yes"),2))</f>
        <v>0</v>
      </c>
      <c r="AF551" s="26">
        <f>IF(B551="","",IF(AD551="No",0,ROUND(SUMIFS(Payments!$G$5:$G$1204,Payments!$I$5:$I$1204,C551,Payments!$H$5:$H$1204,"",Payments!$Q$5:$Q$1204,"Yes"),2)))</f>
        <v>0</v>
      </c>
      <c r="AG551" s="26">
        <f>IF(B551="","",ROUND(AE551+AF551,2))</f>
        <v>0</v>
      </c>
      <c r="AH551" s="26">
        <f>IF(B551="","",ROUND(AA551-AG551,2))</f>
        <v>0</v>
      </c>
      <c r="AI551" s="39">
        <f>IF(B551="","",IF(AA551&lt;=0,"No charge",IF(AH551&lt;=0.004,"Paid",IF(AG551&lt;=0.004,"Unpaid","Part paid"))))</f>
        <v>0</v>
      </c>
      <c r="AJ551" s="38">
        <f>IF(B551="","",IF(H551&lt;&gt;"Service","",IF(D551="","No",IF(COUNTIFS($D$5:$D$1204,D551,$B$5:$B$1204,B551,$H$5:$H$1204,"Retail")&gt;0,"Yes","No"))))</f>
        <v>0</v>
      </c>
      <c r="AK551" s="25">
        <f>IF(B551="","",COUNTIFS($Y$5:$Y$1204,"&gt;"&amp;Y551)+COUNTIFS($Y$5:Y551,Y551))</f>
        <v>0</v>
      </c>
      <c r="AL551" s="39">
        <f>IF(B551="","",IF(H551="","Add - what kind of sale is this?",IF(IF(V551&lt;=0,P551="",FALSE),"Check - no price found for this item",IF(F551="","Assign - nobody credited",IF(AH551&gt;0.004,"Unpaid - balance outstanding",IF(AC551&lt;0,"Loss - sold below cost",IF(X551&gt;W551*0.5,"Check - more than half off","OK")))))))</f>
        <v>0</v>
      </c>
    </row>
    <row r="552" spans="1:38">
      <c r="A552" s="28">
        <f>IF(B552="","",SalePrefix&amp;TEXT(ROW()-4,"0000"))</f>
        <v>0</v>
      </c>
      <c r="E552" s="15">
        <f>IF(D552="","",IFERROR(INDEX(Clients!$B$5:$B$504,MATCH(D552,Clients!$A$5:$A$504,0)),"Walk-in"))</f>
        <v>0</v>
      </c>
      <c r="G552" s="15">
        <f>IF(F552="","",IFERROR(INDEX(Staff!$B$5:$B$44,MATCH(F552,Staff!$A$5:$A$44,0)),"House"))</f>
        <v>0</v>
      </c>
      <c r="R552" s="15">
        <f>IF(B552="","",TEXT(B552,"yyyy-mm"))</f>
        <v>0</v>
      </c>
      <c r="S552" s="25">
        <f>IF(B552="","",WEEKNUM(B552,2))</f>
        <v>0</v>
      </c>
      <c r="T552" s="37">
        <f>IF(B552="","",IF(K552="",1,K552))</f>
        <v>0</v>
      </c>
      <c r="U552" s="15">
        <f>IF(B552="","",IF(J552&lt;&gt;"",J552,IF(H552="Retail",IFERROR(INDEX(Inventory!$B$5:$B$304,MATCH(I552,Inventory!$A$5:$A$304,0))&amp;"","Not in Inventory"),IFERROR(INDEX(Services!$B$5:$B$204,MATCH(I552,Services!$A$5:$A$204,0))&amp;"","Not in Services"))))</f>
        <v>0</v>
      </c>
      <c r="V552" s="26">
        <f>IF(B552="","",IF(L552&lt;&gt;"",L552,IF(H552="Retail",IFERROR(INDEX(Inventory!$I$5:$I$304,MATCH(I552,Inventory!$A$5:$A$304,0))*1,0),IFERROR(INDEX(Services!$G$5:$G$204,MATCH(I552,Services!$A$5:$A$204,0))*1,0))))</f>
        <v>0</v>
      </c>
      <c r="W552" s="26">
        <f>IF(B552="","",ROUND(T552*V552,2))</f>
        <v>0</v>
      </c>
      <c r="X552" s="26">
        <f>IF(B552="","",ROUND(IF(M552="",0,W552*M552)+IF(N552="",0,N552),2))</f>
        <v>0</v>
      </c>
      <c r="Y552" s="26">
        <f>IF(B552="","",ROUND(W552-X552-IF(P552="",0,P552),2))</f>
        <v>0</v>
      </c>
      <c r="Z552" s="26">
        <f>IF(B552="","",IF(H552="Retail",IF(TaxOnRetail="Yes",ROUND(Y552*TaxRate,2),0),IF(H552="Service",IF(TaxOnServices="Yes",ROUND(Y552*TaxRate,2),0),0)))</f>
        <v>0</v>
      </c>
      <c r="AA552" s="26">
        <f>IF(B552="","",ROUND(Y552+Z552,2))</f>
        <v>0</v>
      </c>
      <c r="AB552" s="26">
        <f>IF(B552="","",ROUND(T552*IF(H552="Retail",IFERROR(INDEX(Inventory!$H$5:$H$304,MATCH(I552,Inventory!$A$5:$A$304,0))*1,0),IFERROR(INDEX(Services!$Q$5:$Q$204,MATCH(I552,Services!$A$5:$A$204,0))*1,0)),2))</f>
        <v>0</v>
      </c>
      <c r="AC552" s="26">
        <f>IF(B552="","",ROUND(Y552-AB552,2))</f>
        <v>0</v>
      </c>
      <c r="AD552" s="38">
        <f>IF(B552="","",IF(C552="","No",IF(COUNTIFS($C$5:C552,C552)=1,"Yes","No")))</f>
        <v>0</v>
      </c>
      <c r="AE552" s="26">
        <f>IF(B552="","",ROUND(SUMIFS(Payments!$G$5:$G$1204,Payments!$H$5:$H$1204,A552,Payments!$Q$5:$Q$1204,"Yes"),2))</f>
        <v>0</v>
      </c>
      <c r="AF552" s="26">
        <f>IF(B552="","",IF(AD552="No",0,ROUND(SUMIFS(Payments!$G$5:$G$1204,Payments!$I$5:$I$1204,C552,Payments!$H$5:$H$1204,"",Payments!$Q$5:$Q$1204,"Yes"),2)))</f>
        <v>0</v>
      </c>
      <c r="AG552" s="26">
        <f>IF(B552="","",ROUND(AE552+AF552,2))</f>
        <v>0</v>
      </c>
      <c r="AH552" s="26">
        <f>IF(B552="","",ROUND(AA552-AG552,2))</f>
        <v>0</v>
      </c>
      <c r="AI552" s="39">
        <f>IF(B552="","",IF(AA552&lt;=0,"No charge",IF(AH552&lt;=0.004,"Paid",IF(AG552&lt;=0.004,"Unpaid","Part paid"))))</f>
        <v>0</v>
      </c>
      <c r="AJ552" s="38">
        <f>IF(B552="","",IF(H552&lt;&gt;"Service","",IF(D552="","No",IF(COUNTIFS($D$5:$D$1204,D552,$B$5:$B$1204,B552,$H$5:$H$1204,"Retail")&gt;0,"Yes","No"))))</f>
        <v>0</v>
      </c>
      <c r="AK552" s="25">
        <f>IF(B552="","",COUNTIFS($Y$5:$Y$1204,"&gt;"&amp;Y552)+COUNTIFS($Y$5:Y552,Y552))</f>
        <v>0</v>
      </c>
      <c r="AL552" s="39">
        <f>IF(B552="","",IF(H552="","Add - what kind of sale is this?",IF(IF(V552&lt;=0,P552="",FALSE),"Check - no price found for this item",IF(F552="","Assign - nobody credited",IF(AH552&gt;0.004,"Unpaid - balance outstanding",IF(AC552&lt;0,"Loss - sold below cost",IF(X552&gt;W552*0.5,"Check - more than half off","OK")))))))</f>
        <v>0</v>
      </c>
    </row>
    <row r="553" spans="1:38">
      <c r="A553" s="28">
        <f>IF(B553="","",SalePrefix&amp;TEXT(ROW()-4,"0000"))</f>
        <v>0</v>
      </c>
      <c r="E553" s="15">
        <f>IF(D553="","",IFERROR(INDEX(Clients!$B$5:$B$504,MATCH(D553,Clients!$A$5:$A$504,0)),"Walk-in"))</f>
        <v>0</v>
      </c>
      <c r="G553" s="15">
        <f>IF(F553="","",IFERROR(INDEX(Staff!$B$5:$B$44,MATCH(F553,Staff!$A$5:$A$44,0)),"House"))</f>
        <v>0</v>
      </c>
      <c r="R553" s="15">
        <f>IF(B553="","",TEXT(B553,"yyyy-mm"))</f>
        <v>0</v>
      </c>
      <c r="S553" s="25">
        <f>IF(B553="","",WEEKNUM(B553,2))</f>
        <v>0</v>
      </c>
      <c r="T553" s="37">
        <f>IF(B553="","",IF(K553="",1,K553))</f>
        <v>0</v>
      </c>
      <c r="U553" s="15">
        <f>IF(B553="","",IF(J553&lt;&gt;"",J553,IF(H553="Retail",IFERROR(INDEX(Inventory!$B$5:$B$304,MATCH(I553,Inventory!$A$5:$A$304,0))&amp;"","Not in Inventory"),IFERROR(INDEX(Services!$B$5:$B$204,MATCH(I553,Services!$A$5:$A$204,0))&amp;"","Not in Services"))))</f>
        <v>0</v>
      </c>
      <c r="V553" s="26">
        <f>IF(B553="","",IF(L553&lt;&gt;"",L553,IF(H553="Retail",IFERROR(INDEX(Inventory!$I$5:$I$304,MATCH(I553,Inventory!$A$5:$A$304,0))*1,0),IFERROR(INDEX(Services!$G$5:$G$204,MATCH(I553,Services!$A$5:$A$204,0))*1,0))))</f>
        <v>0</v>
      </c>
      <c r="W553" s="26">
        <f>IF(B553="","",ROUND(T553*V553,2))</f>
        <v>0</v>
      </c>
      <c r="X553" s="26">
        <f>IF(B553="","",ROUND(IF(M553="",0,W553*M553)+IF(N553="",0,N553),2))</f>
        <v>0</v>
      </c>
      <c r="Y553" s="26">
        <f>IF(B553="","",ROUND(W553-X553-IF(P553="",0,P553),2))</f>
        <v>0</v>
      </c>
      <c r="Z553" s="26">
        <f>IF(B553="","",IF(H553="Retail",IF(TaxOnRetail="Yes",ROUND(Y553*TaxRate,2),0),IF(H553="Service",IF(TaxOnServices="Yes",ROUND(Y553*TaxRate,2),0),0)))</f>
        <v>0</v>
      </c>
      <c r="AA553" s="26">
        <f>IF(B553="","",ROUND(Y553+Z553,2))</f>
        <v>0</v>
      </c>
      <c r="AB553" s="26">
        <f>IF(B553="","",ROUND(T553*IF(H553="Retail",IFERROR(INDEX(Inventory!$H$5:$H$304,MATCH(I553,Inventory!$A$5:$A$304,0))*1,0),IFERROR(INDEX(Services!$Q$5:$Q$204,MATCH(I553,Services!$A$5:$A$204,0))*1,0)),2))</f>
        <v>0</v>
      </c>
      <c r="AC553" s="26">
        <f>IF(B553="","",ROUND(Y553-AB553,2))</f>
        <v>0</v>
      </c>
      <c r="AD553" s="38">
        <f>IF(B553="","",IF(C553="","No",IF(COUNTIFS($C$5:C553,C553)=1,"Yes","No")))</f>
        <v>0</v>
      </c>
      <c r="AE553" s="26">
        <f>IF(B553="","",ROUND(SUMIFS(Payments!$G$5:$G$1204,Payments!$H$5:$H$1204,A553,Payments!$Q$5:$Q$1204,"Yes"),2))</f>
        <v>0</v>
      </c>
      <c r="AF553" s="26">
        <f>IF(B553="","",IF(AD553="No",0,ROUND(SUMIFS(Payments!$G$5:$G$1204,Payments!$I$5:$I$1204,C553,Payments!$H$5:$H$1204,"",Payments!$Q$5:$Q$1204,"Yes"),2)))</f>
        <v>0</v>
      </c>
      <c r="AG553" s="26">
        <f>IF(B553="","",ROUND(AE553+AF553,2))</f>
        <v>0</v>
      </c>
      <c r="AH553" s="26">
        <f>IF(B553="","",ROUND(AA553-AG553,2))</f>
        <v>0</v>
      </c>
      <c r="AI553" s="39">
        <f>IF(B553="","",IF(AA553&lt;=0,"No charge",IF(AH553&lt;=0.004,"Paid",IF(AG553&lt;=0.004,"Unpaid","Part paid"))))</f>
        <v>0</v>
      </c>
      <c r="AJ553" s="38">
        <f>IF(B553="","",IF(H553&lt;&gt;"Service","",IF(D553="","No",IF(COUNTIFS($D$5:$D$1204,D553,$B$5:$B$1204,B553,$H$5:$H$1204,"Retail")&gt;0,"Yes","No"))))</f>
        <v>0</v>
      </c>
      <c r="AK553" s="25">
        <f>IF(B553="","",COUNTIFS($Y$5:$Y$1204,"&gt;"&amp;Y553)+COUNTIFS($Y$5:Y553,Y553))</f>
        <v>0</v>
      </c>
      <c r="AL553" s="39">
        <f>IF(B553="","",IF(H553="","Add - what kind of sale is this?",IF(IF(V553&lt;=0,P553="",FALSE),"Check - no price found for this item",IF(F553="","Assign - nobody credited",IF(AH553&gt;0.004,"Unpaid - balance outstanding",IF(AC553&lt;0,"Loss - sold below cost",IF(X553&gt;W553*0.5,"Check - more than half off","OK")))))))</f>
        <v>0</v>
      </c>
    </row>
    <row r="554" spans="1:38">
      <c r="A554" s="28">
        <f>IF(B554="","",SalePrefix&amp;TEXT(ROW()-4,"0000"))</f>
        <v>0</v>
      </c>
      <c r="E554" s="15">
        <f>IF(D554="","",IFERROR(INDEX(Clients!$B$5:$B$504,MATCH(D554,Clients!$A$5:$A$504,0)),"Walk-in"))</f>
        <v>0</v>
      </c>
      <c r="G554" s="15">
        <f>IF(F554="","",IFERROR(INDEX(Staff!$B$5:$B$44,MATCH(F554,Staff!$A$5:$A$44,0)),"House"))</f>
        <v>0</v>
      </c>
      <c r="R554" s="15">
        <f>IF(B554="","",TEXT(B554,"yyyy-mm"))</f>
        <v>0</v>
      </c>
      <c r="S554" s="25">
        <f>IF(B554="","",WEEKNUM(B554,2))</f>
        <v>0</v>
      </c>
      <c r="T554" s="37">
        <f>IF(B554="","",IF(K554="",1,K554))</f>
        <v>0</v>
      </c>
      <c r="U554" s="15">
        <f>IF(B554="","",IF(J554&lt;&gt;"",J554,IF(H554="Retail",IFERROR(INDEX(Inventory!$B$5:$B$304,MATCH(I554,Inventory!$A$5:$A$304,0))&amp;"","Not in Inventory"),IFERROR(INDEX(Services!$B$5:$B$204,MATCH(I554,Services!$A$5:$A$204,0))&amp;"","Not in Services"))))</f>
        <v>0</v>
      </c>
      <c r="V554" s="26">
        <f>IF(B554="","",IF(L554&lt;&gt;"",L554,IF(H554="Retail",IFERROR(INDEX(Inventory!$I$5:$I$304,MATCH(I554,Inventory!$A$5:$A$304,0))*1,0),IFERROR(INDEX(Services!$G$5:$G$204,MATCH(I554,Services!$A$5:$A$204,0))*1,0))))</f>
        <v>0</v>
      </c>
      <c r="W554" s="26">
        <f>IF(B554="","",ROUND(T554*V554,2))</f>
        <v>0</v>
      </c>
      <c r="X554" s="26">
        <f>IF(B554="","",ROUND(IF(M554="",0,W554*M554)+IF(N554="",0,N554),2))</f>
        <v>0</v>
      </c>
      <c r="Y554" s="26">
        <f>IF(B554="","",ROUND(W554-X554-IF(P554="",0,P554),2))</f>
        <v>0</v>
      </c>
      <c r="Z554" s="26">
        <f>IF(B554="","",IF(H554="Retail",IF(TaxOnRetail="Yes",ROUND(Y554*TaxRate,2),0),IF(H554="Service",IF(TaxOnServices="Yes",ROUND(Y554*TaxRate,2),0),0)))</f>
        <v>0</v>
      </c>
      <c r="AA554" s="26">
        <f>IF(B554="","",ROUND(Y554+Z554,2))</f>
        <v>0</v>
      </c>
      <c r="AB554" s="26">
        <f>IF(B554="","",ROUND(T554*IF(H554="Retail",IFERROR(INDEX(Inventory!$H$5:$H$304,MATCH(I554,Inventory!$A$5:$A$304,0))*1,0),IFERROR(INDEX(Services!$Q$5:$Q$204,MATCH(I554,Services!$A$5:$A$204,0))*1,0)),2))</f>
        <v>0</v>
      </c>
      <c r="AC554" s="26">
        <f>IF(B554="","",ROUND(Y554-AB554,2))</f>
        <v>0</v>
      </c>
      <c r="AD554" s="38">
        <f>IF(B554="","",IF(C554="","No",IF(COUNTIFS($C$5:C554,C554)=1,"Yes","No")))</f>
        <v>0</v>
      </c>
      <c r="AE554" s="26">
        <f>IF(B554="","",ROUND(SUMIFS(Payments!$G$5:$G$1204,Payments!$H$5:$H$1204,A554,Payments!$Q$5:$Q$1204,"Yes"),2))</f>
        <v>0</v>
      </c>
      <c r="AF554" s="26">
        <f>IF(B554="","",IF(AD554="No",0,ROUND(SUMIFS(Payments!$G$5:$G$1204,Payments!$I$5:$I$1204,C554,Payments!$H$5:$H$1204,"",Payments!$Q$5:$Q$1204,"Yes"),2)))</f>
        <v>0</v>
      </c>
      <c r="AG554" s="26">
        <f>IF(B554="","",ROUND(AE554+AF554,2))</f>
        <v>0</v>
      </c>
      <c r="AH554" s="26">
        <f>IF(B554="","",ROUND(AA554-AG554,2))</f>
        <v>0</v>
      </c>
      <c r="AI554" s="39">
        <f>IF(B554="","",IF(AA554&lt;=0,"No charge",IF(AH554&lt;=0.004,"Paid",IF(AG554&lt;=0.004,"Unpaid","Part paid"))))</f>
        <v>0</v>
      </c>
      <c r="AJ554" s="38">
        <f>IF(B554="","",IF(H554&lt;&gt;"Service","",IF(D554="","No",IF(COUNTIFS($D$5:$D$1204,D554,$B$5:$B$1204,B554,$H$5:$H$1204,"Retail")&gt;0,"Yes","No"))))</f>
        <v>0</v>
      </c>
      <c r="AK554" s="25">
        <f>IF(B554="","",COUNTIFS($Y$5:$Y$1204,"&gt;"&amp;Y554)+COUNTIFS($Y$5:Y554,Y554))</f>
        <v>0</v>
      </c>
      <c r="AL554" s="39">
        <f>IF(B554="","",IF(H554="","Add - what kind of sale is this?",IF(IF(V554&lt;=0,P554="",FALSE),"Check - no price found for this item",IF(F554="","Assign - nobody credited",IF(AH554&gt;0.004,"Unpaid - balance outstanding",IF(AC554&lt;0,"Loss - sold below cost",IF(X554&gt;W554*0.5,"Check - more than half off","OK")))))))</f>
        <v>0</v>
      </c>
    </row>
    <row r="555" spans="1:38">
      <c r="A555" s="28">
        <f>IF(B555="","",SalePrefix&amp;TEXT(ROW()-4,"0000"))</f>
        <v>0</v>
      </c>
      <c r="E555" s="15">
        <f>IF(D555="","",IFERROR(INDEX(Clients!$B$5:$B$504,MATCH(D555,Clients!$A$5:$A$504,0)),"Walk-in"))</f>
        <v>0</v>
      </c>
      <c r="G555" s="15">
        <f>IF(F555="","",IFERROR(INDEX(Staff!$B$5:$B$44,MATCH(F555,Staff!$A$5:$A$44,0)),"House"))</f>
        <v>0</v>
      </c>
      <c r="R555" s="15">
        <f>IF(B555="","",TEXT(B555,"yyyy-mm"))</f>
        <v>0</v>
      </c>
      <c r="S555" s="25">
        <f>IF(B555="","",WEEKNUM(B555,2))</f>
        <v>0</v>
      </c>
      <c r="T555" s="37">
        <f>IF(B555="","",IF(K555="",1,K555))</f>
        <v>0</v>
      </c>
      <c r="U555" s="15">
        <f>IF(B555="","",IF(J555&lt;&gt;"",J555,IF(H555="Retail",IFERROR(INDEX(Inventory!$B$5:$B$304,MATCH(I555,Inventory!$A$5:$A$304,0))&amp;"","Not in Inventory"),IFERROR(INDEX(Services!$B$5:$B$204,MATCH(I555,Services!$A$5:$A$204,0))&amp;"","Not in Services"))))</f>
        <v>0</v>
      </c>
      <c r="V555" s="26">
        <f>IF(B555="","",IF(L555&lt;&gt;"",L555,IF(H555="Retail",IFERROR(INDEX(Inventory!$I$5:$I$304,MATCH(I555,Inventory!$A$5:$A$304,0))*1,0),IFERROR(INDEX(Services!$G$5:$G$204,MATCH(I555,Services!$A$5:$A$204,0))*1,0))))</f>
        <v>0</v>
      </c>
      <c r="W555" s="26">
        <f>IF(B555="","",ROUND(T555*V555,2))</f>
        <v>0</v>
      </c>
      <c r="X555" s="26">
        <f>IF(B555="","",ROUND(IF(M555="",0,W555*M555)+IF(N555="",0,N555),2))</f>
        <v>0</v>
      </c>
      <c r="Y555" s="26">
        <f>IF(B555="","",ROUND(W555-X555-IF(P555="",0,P555),2))</f>
        <v>0</v>
      </c>
      <c r="Z555" s="26">
        <f>IF(B555="","",IF(H555="Retail",IF(TaxOnRetail="Yes",ROUND(Y555*TaxRate,2),0),IF(H555="Service",IF(TaxOnServices="Yes",ROUND(Y555*TaxRate,2),0),0)))</f>
        <v>0</v>
      </c>
      <c r="AA555" s="26">
        <f>IF(B555="","",ROUND(Y555+Z555,2))</f>
        <v>0</v>
      </c>
      <c r="AB555" s="26">
        <f>IF(B555="","",ROUND(T555*IF(H555="Retail",IFERROR(INDEX(Inventory!$H$5:$H$304,MATCH(I555,Inventory!$A$5:$A$304,0))*1,0),IFERROR(INDEX(Services!$Q$5:$Q$204,MATCH(I555,Services!$A$5:$A$204,0))*1,0)),2))</f>
        <v>0</v>
      </c>
      <c r="AC555" s="26">
        <f>IF(B555="","",ROUND(Y555-AB555,2))</f>
        <v>0</v>
      </c>
      <c r="AD555" s="38">
        <f>IF(B555="","",IF(C555="","No",IF(COUNTIFS($C$5:C555,C555)=1,"Yes","No")))</f>
        <v>0</v>
      </c>
      <c r="AE555" s="26">
        <f>IF(B555="","",ROUND(SUMIFS(Payments!$G$5:$G$1204,Payments!$H$5:$H$1204,A555,Payments!$Q$5:$Q$1204,"Yes"),2))</f>
        <v>0</v>
      </c>
      <c r="AF555" s="26">
        <f>IF(B555="","",IF(AD555="No",0,ROUND(SUMIFS(Payments!$G$5:$G$1204,Payments!$I$5:$I$1204,C555,Payments!$H$5:$H$1204,"",Payments!$Q$5:$Q$1204,"Yes"),2)))</f>
        <v>0</v>
      </c>
      <c r="AG555" s="26">
        <f>IF(B555="","",ROUND(AE555+AF555,2))</f>
        <v>0</v>
      </c>
      <c r="AH555" s="26">
        <f>IF(B555="","",ROUND(AA555-AG555,2))</f>
        <v>0</v>
      </c>
      <c r="AI555" s="39">
        <f>IF(B555="","",IF(AA555&lt;=0,"No charge",IF(AH555&lt;=0.004,"Paid",IF(AG555&lt;=0.004,"Unpaid","Part paid"))))</f>
        <v>0</v>
      </c>
      <c r="AJ555" s="38">
        <f>IF(B555="","",IF(H555&lt;&gt;"Service","",IF(D555="","No",IF(COUNTIFS($D$5:$D$1204,D555,$B$5:$B$1204,B555,$H$5:$H$1204,"Retail")&gt;0,"Yes","No"))))</f>
        <v>0</v>
      </c>
      <c r="AK555" s="25">
        <f>IF(B555="","",COUNTIFS($Y$5:$Y$1204,"&gt;"&amp;Y555)+COUNTIFS($Y$5:Y555,Y555))</f>
        <v>0</v>
      </c>
      <c r="AL555" s="39">
        <f>IF(B555="","",IF(H555="","Add - what kind of sale is this?",IF(IF(V555&lt;=0,P555="",FALSE),"Check - no price found for this item",IF(F555="","Assign - nobody credited",IF(AH555&gt;0.004,"Unpaid - balance outstanding",IF(AC555&lt;0,"Loss - sold below cost",IF(X555&gt;W555*0.5,"Check - more than half off","OK")))))))</f>
        <v>0</v>
      </c>
    </row>
    <row r="556" spans="1:38">
      <c r="A556" s="28">
        <f>IF(B556="","",SalePrefix&amp;TEXT(ROW()-4,"0000"))</f>
        <v>0</v>
      </c>
      <c r="E556" s="15">
        <f>IF(D556="","",IFERROR(INDEX(Clients!$B$5:$B$504,MATCH(D556,Clients!$A$5:$A$504,0)),"Walk-in"))</f>
        <v>0</v>
      </c>
      <c r="G556" s="15">
        <f>IF(F556="","",IFERROR(INDEX(Staff!$B$5:$B$44,MATCH(F556,Staff!$A$5:$A$44,0)),"House"))</f>
        <v>0</v>
      </c>
      <c r="R556" s="15">
        <f>IF(B556="","",TEXT(B556,"yyyy-mm"))</f>
        <v>0</v>
      </c>
      <c r="S556" s="25">
        <f>IF(B556="","",WEEKNUM(B556,2))</f>
        <v>0</v>
      </c>
      <c r="T556" s="37">
        <f>IF(B556="","",IF(K556="",1,K556))</f>
        <v>0</v>
      </c>
      <c r="U556" s="15">
        <f>IF(B556="","",IF(J556&lt;&gt;"",J556,IF(H556="Retail",IFERROR(INDEX(Inventory!$B$5:$B$304,MATCH(I556,Inventory!$A$5:$A$304,0))&amp;"","Not in Inventory"),IFERROR(INDEX(Services!$B$5:$B$204,MATCH(I556,Services!$A$5:$A$204,0))&amp;"","Not in Services"))))</f>
        <v>0</v>
      </c>
      <c r="V556" s="26">
        <f>IF(B556="","",IF(L556&lt;&gt;"",L556,IF(H556="Retail",IFERROR(INDEX(Inventory!$I$5:$I$304,MATCH(I556,Inventory!$A$5:$A$304,0))*1,0),IFERROR(INDEX(Services!$G$5:$G$204,MATCH(I556,Services!$A$5:$A$204,0))*1,0))))</f>
        <v>0</v>
      </c>
      <c r="W556" s="26">
        <f>IF(B556="","",ROUND(T556*V556,2))</f>
        <v>0</v>
      </c>
      <c r="X556" s="26">
        <f>IF(B556="","",ROUND(IF(M556="",0,W556*M556)+IF(N556="",0,N556),2))</f>
        <v>0</v>
      </c>
      <c r="Y556" s="26">
        <f>IF(B556="","",ROUND(W556-X556-IF(P556="",0,P556),2))</f>
        <v>0</v>
      </c>
      <c r="Z556" s="26">
        <f>IF(B556="","",IF(H556="Retail",IF(TaxOnRetail="Yes",ROUND(Y556*TaxRate,2),0),IF(H556="Service",IF(TaxOnServices="Yes",ROUND(Y556*TaxRate,2),0),0)))</f>
        <v>0</v>
      </c>
      <c r="AA556" s="26">
        <f>IF(B556="","",ROUND(Y556+Z556,2))</f>
        <v>0</v>
      </c>
      <c r="AB556" s="26">
        <f>IF(B556="","",ROUND(T556*IF(H556="Retail",IFERROR(INDEX(Inventory!$H$5:$H$304,MATCH(I556,Inventory!$A$5:$A$304,0))*1,0),IFERROR(INDEX(Services!$Q$5:$Q$204,MATCH(I556,Services!$A$5:$A$204,0))*1,0)),2))</f>
        <v>0</v>
      </c>
      <c r="AC556" s="26">
        <f>IF(B556="","",ROUND(Y556-AB556,2))</f>
        <v>0</v>
      </c>
      <c r="AD556" s="38">
        <f>IF(B556="","",IF(C556="","No",IF(COUNTIFS($C$5:C556,C556)=1,"Yes","No")))</f>
        <v>0</v>
      </c>
      <c r="AE556" s="26">
        <f>IF(B556="","",ROUND(SUMIFS(Payments!$G$5:$G$1204,Payments!$H$5:$H$1204,A556,Payments!$Q$5:$Q$1204,"Yes"),2))</f>
        <v>0</v>
      </c>
      <c r="AF556" s="26">
        <f>IF(B556="","",IF(AD556="No",0,ROUND(SUMIFS(Payments!$G$5:$G$1204,Payments!$I$5:$I$1204,C556,Payments!$H$5:$H$1204,"",Payments!$Q$5:$Q$1204,"Yes"),2)))</f>
        <v>0</v>
      </c>
      <c r="AG556" s="26">
        <f>IF(B556="","",ROUND(AE556+AF556,2))</f>
        <v>0</v>
      </c>
      <c r="AH556" s="26">
        <f>IF(B556="","",ROUND(AA556-AG556,2))</f>
        <v>0</v>
      </c>
      <c r="AI556" s="39">
        <f>IF(B556="","",IF(AA556&lt;=0,"No charge",IF(AH556&lt;=0.004,"Paid",IF(AG556&lt;=0.004,"Unpaid","Part paid"))))</f>
        <v>0</v>
      </c>
      <c r="AJ556" s="38">
        <f>IF(B556="","",IF(H556&lt;&gt;"Service","",IF(D556="","No",IF(COUNTIFS($D$5:$D$1204,D556,$B$5:$B$1204,B556,$H$5:$H$1204,"Retail")&gt;0,"Yes","No"))))</f>
        <v>0</v>
      </c>
      <c r="AK556" s="25">
        <f>IF(B556="","",COUNTIFS($Y$5:$Y$1204,"&gt;"&amp;Y556)+COUNTIFS($Y$5:Y556,Y556))</f>
        <v>0</v>
      </c>
      <c r="AL556" s="39">
        <f>IF(B556="","",IF(H556="","Add - what kind of sale is this?",IF(IF(V556&lt;=0,P556="",FALSE),"Check - no price found for this item",IF(F556="","Assign - nobody credited",IF(AH556&gt;0.004,"Unpaid - balance outstanding",IF(AC556&lt;0,"Loss - sold below cost",IF(X556&gt;W556*0.5,"Check - more than half off","OK")))))))</f>
        <v>0</v>
      </c>
    </row>
    <row r="557" spans="1:38">
      <c r="A557" s="28">
        <f>IF(B557="","",SalePrefix&amp;TEXT(ROW()-4,"0000"))</f>
        <v>0</v>
      </c>
      <c r="E557" s="15">
        <f>IF(D557="","",IFERROR(INDEX(Clients!$B$5:$B$504,MATCH(D557,Clients!$A$5:$A$504,0)),"Walk-in"))</f>
        <v>0</v>
      </c>
      <c r="G557" s="15">
        <f>IF(F557="","",IFERROR(INDEX(Staff!$B$5:$B$44,MATCH(F557,Staff!$A$5:$A$44,0)),"House"))</f>
        <v>0</v>
      </c>
      <c r="R557" s="15">
        <f>IF(B557="","",TEXT(B557,"yyyy-mm"))</f>
        <v>0</v>
      </c>
      <c r="S557" s="25">
        <f>IF(B557="","",WEEKNUM(B557,2))</f>
        <v>0</v>
      </c>
      <c r="T557" s="37">
        <f>IF(B557="","",IF(K557="",1,K557))</f>
        <v>0</v>
      </c>
      <c r="U557" s="15">
        <f>IF(B557="","",IF(J557&lt;&gt;"",J557,IF(H557="Retail",IFERROR(INDEX(Inventory!$B$5:$B$304,MATCH(I557,Inventory!$A$5:$A$304,0))&amp;"","Not in Inventory"),IFERROR(INDEX(Services!$B$5:$B$204,MATCH(I557,Services!$A$5:$A$204,0))&amp;"","Not in Services"))))</f>
        <v>0</v>
      </c>
      <c r="V557" s="26">
        <f>IF(B557="","",IF(L557&lt;&gt;"",L557,IF(H557="Retail",IFERROR(INDEX(Inventory!$I$5:$I$304,MATCH(I557,Inventory!$A$5:$A$304,0))*1,0),IFERROR(INDEX(Services!$G$5:$G$204,MATCH(I557,Services!$A$5:$A$204,0))*1,0))))</f>
        <v>0</v>
      </c>
      <c r="W557" s="26">
        <f>IF(B557="","",ROUND(T557*V557,2))</f>
        <v>0</v>
      </c>
      <c r="X557" s="26">
        <f>IF(B557="","",ROUND(IF(M557="",0,W557*M557)+IF(N557="",0,N557),2))</f>
        <v>0</v>
      </c>
      <c r="Y557" s="26">
        <f>IF(B557="","",ROUND(W557-X557-IF(P557="",0,P557),2))</f>
        <v>0</v>
      </c>
      <c r="Z557" s="26">
        <f>IF(B557="","",IF(H557="Retail",IF(TaxOnRetail="Yes",ROUND(Y557*TaxRate,2),0),IF(H557="Service",IF(TaxOnServices="Yes",ROUND(Y557*TaxRate,2),0),0)))</f>
        <v>0</v>
      </c>
      <c r="AA557" s="26">
        <f>IF(B557="","",ROUND(Y557+Z557,2))</f>
        <v>0</v>
      </c>
      <c r="AB557" s="26">
        <f>IF(B557="","",ROUND(T557*IF(H557="Retail",IFERROR(INDEX(Inventory!$H$5:$H$304,MATCH(I557,Inventory!$A$5:$A$304,0))*1,0),IFERROR(INDEX(Services!$Q$5:$Q$204,MATCH(I557,Services!$A$5:$A$204,0))*1,0)),2))</f>
        <v>0</v>
      </c>
      <c r="AC557" s="26">
        <f>IF(B557="","",ROUND(Y557-AB557,2))</f>
        <v>0</v>
      </c>
      <c r="AD557" s="38">
        <f>IF(B557="","",IF(C557="","No",IF(COUNTIFS($C$5:C557,C557)=1,"Yes","No")))</f>
        <v>0</v>
      </c>
      <c r="AE557" s="26">
        <f>IF(B557="","",ROUND(SUMIFS(Payments!$G$5:$G$1204,Payments!$H$5:$H$1204,A557,Payments!$Q$5:$Q$1204,"Yes"),2))</f>
        <v>0</v>
      </c>
      <c r="AF557" s="26">
        <f>IF(B557="","",IF(AD557="No",0,ROUND(SUMIFS(Payments!$G$5:$G$1204,Payments!$I$5:$I$1204,C557,Payments!$H$5:$H$1204,"",Payments!$Q$5:$Q$1204,"Yes"),2)))</f>
        <v>0</v>
      </c>
      <c r="AG557" s="26">
        <f>IF(B557="","",ROUND(AE557+AF557,2))</f>
        <v>0</v>
      </c>
      <c r="AH557" s="26">
        <f>IF(B557="","",ROUND(AA557-AG557,2))</f>
        <v>0</v>
      </c>
      <c r="AI557" s="39">
        <f>IF(B557="","",IF(AA557&lt;=0,"No charge",IF(AH557&lt;=0.004,"Paid",IF(AG557&lt;=0.004,"Unpaid","Part paid"))))</f>
        <v>0</v>
      </c>
      <c r="AJ557" s="38">
        <f>IF(B557="","",IF(H557&lt;&gt;"Service","",IF(D557="","No",IF(COUNTIFS($D$5:$D$1204,D557,$B$5:$B$1204,B557,$H$5:$H$1204,"Retail")&gt;0,"Yes","No"))))</f>
        <v>0</v>
      </c>
      <c r="AK557" s="25">
        <f>IF(B557="","",COUNTIFS($Y$5:$Y$1204,"&gt;"&amp;Y557)+COUNTIFS($Y$5:Y557,Y557))</f>
        <v>0</v>
      </c>
      <c r="AL557" s="39">
        <f>IF(B557="","",IF(H557="","Add - what kind of sale is this?",IF(IF(V557&lt;=0,P557="",FALSE),"Check - no price found for this item",IF(F557="","Assign - nobody credited",IF(AH557&gt;0.004,"Unpaid - balance outstanding",IF(AC557&lt;0,"Loss - sold below cost",IF(X557&gt;W557*0.5,"Check - more than half off","OK")))))))</f>
        <v>0</v>
      </c>
    </row>
    <row r="558" spans="1:38">
      <c r="A558" s="28">
        <f>IF(B558="","",SalePrefix&amp;TEXT(ROW()-4,"0000"))</f>
        <v>0</v>
      </c>
      <c r="E558" s="15">
        <f>IF(D558="","",IFERROR(INDEX(Clients!$B$5:$B$504,MATCH(D558,Clients!$A$5:$A$504,0)),"Walk-in"))</f>
        <v>0</v>
      </c>
      <c r="G558" s="15">
        <f>IF(F558="","",IFERROR(INDEX(Staff!$B$5:$B$44,MATCH(F558,Staff!$A$5:$A$44,0)),"House"))</f>
        <v>0</v>
      </c>
      <c r="R558" s="15">
        <f>IF(B558="","",TEXT(B558,"yyyy-mm"))</f>
        <v>0</v>
      </c>
      <c r="S558" s="25">
        <f>IF(B558="","",WEEKNUM(B558,2))</f>
        <v>0</v>
      </c>
      <c r="T558" s="37">
        <f>IF(B558="","",IF(K558="",1,K558))</f>
        <v>0</v>
      </c>
      <c r="U558" s="15">
        <f>IF(B558="","",IF(J558&lt;&gt;"",J558,IF(H558="Retail",IFERROR(INDEX(Inventory!$B$5:$B$304,MATCH(I558,Inventory!$A$5:$A$304,0))&amp;"","Not in Inventory"),IFERROR(INDEX(Services!$B$5:$B$204,MATCH(I558,Services!$A$5:$A$204,0))&amp;"","Not in Services"))))</f>
        <v>0</v>
      </c>
      <c r="V558" s="26">
        <f>IF(B558="","",IF(L558&lt;&gt;"",L558,IF(H558="Retail",IFERROR(INDEX(Inventory!$I$5:$I$304,MATCH(I558,Inventory!$A$5:$A$304,0))*1,0),IFERROR(INDEX(Services!$G$5:$G$204,MATCH(I558,Services!$A$5:$A$204,0))*1,0))))</f>
        <v>0</v>
      </c>
      <c r="W558" s="26">
        <f>IF(B558="","",ROUND(T558*V558,2))</f>
        <v>0</v>
      </c>
      <c r="X558" s="26">
        <f>IF(B558="","",ROUND(IF(M558="",0,W558*M558)+IF(N558="",0,N558),2))</f>
        <v>0</v>
      </c>
      <c r="Y558" s="26">
        <f>IF(B558="","",ROUND(W558-X558-IF(P558="",0,P558),2))</f>
        <v>0</v>
      </c>
      <c r="Z558" s="26">
        <f>IF(B558="","",IF(H558="Retail",IF(TaxOnRetail="Yes",ROUND(Y558*TaxRate,2),0),IF(H558="Service",IF(TaxOnServices="Yes",ROUND(Y558*TaxRate,2),0),0)))</f>
        <v>0</v>
      </c>
      <c r="AA558" s="26">
        <f>IF(B558="","",ROUND(Y558+Z558,2))</f>
        <v>0</v>
      </c>
      <c r="AB558" s="26">
        <f>IF(B558="","",ROUND(T558*IF(H558="Retail",IFERROR(INDEX(Inventory!$H$5:$H$304,MATCH(I558,Inventory!$A$5:$A$304,0))*1,0),IFERROR(INDEX(Services!$Q$5:$Q$204,MATCH(I558,Services!$A$5:$A$204,0))*1,0)),2))</f>
        <v>0</v>
      </c>
      <c r="AC558" s="26">
        <f>IF(B558="","",ROUND(Y558-AB558,2))</f>
        <v>0</v>
      </c>
      <c r="AD558" s="38">
        <f>IF(B558="","",IF(C558="","No",IF(COUNTIFS($C$5:C558,C558)=1,"Yes","No")))</f>
        <v>0</v>
      </c>
      <c r="AE558" s="26">
        <f>IF(B558="","",ROUND(SUMIFS(Payments!$G$5:$G$1204,Payments!$H$5:$H$1204,A558,Payments!$Q$5:$Q$1204,"Yes"),2))</f>
        <v>0</v>
      </c>
      <c r="AF558" s="26">
        <f>IF(B558="","",IF(AD558="No",0,ROUND(SUMIFS(Payments!$G$5:$G$1204,Payments!$I$5:$I$1204,C558,Payments!$H$5:$H$1204,"",Payments!$Q$5:$Q$1204,"Yes"),2)))</f>
        <v>0</v>
      </c>
      <c r="AG558" s="26">
        <f>IF(B558="","",ROUND(AE558+AF558,2))</f>
        <v>0</v>
      </c>
      <c r="AH558" s="26">
        <f>IF(B558="","",ROUND(AA558-AG558,2))</f>
        <v>0</v>
      </c>
      <c r="AI558" s="39">
        <f>IF(B558="","",IF(AA558&lt;=0,"No charge",IF(AH558&lt;=0.004,"Paid",IF(AG558&lt;=0.004,"Unpaid","Part paid"))))</f>
        <v>0</v>
      </c>
      <c r="AJ558" s="38">
        <f>IF(B558="","",IF(H558&lt;&gt;"Service","",IF(D558="","No",IF(COUNTIFS($D$5:$D$1204,D558,$B$5:$B$1204,B558,$H$5:$H$1204,"Retail")&gt;0,"Yes","No"))))</f>
        <v>0</v>
      </c>
      <c r="AK558" s="25">
        <f>IF(B558="","",COUNTIFS($Y$5:$Y$1204,"&gt;"&amp;Y558)+COUNTIFS($Y$5:Y558,Y558))</f>
        <v>0</v>
      </c>
      <c r="AL558" s="39">
        <f>IF(B558="","",IF(H558="","Add - what kind of sale is this?",IF(IF(V558&lt;=0,P558="",FALSE),"Check - no price found for this item",IF(F558="","Assign - nobody credited",IF(AH558&gt;0.004,"Unpaid - balance outstanding",IF(AC558&lt;0,"Loss - sold below cost",IF(X558&gt;W558*0.5,"Check - more than half off","OK")))))))</f>
        <v>0</v>
      </c>
    </row>
    <row r="559" spans="1:38">
      <c r="A559" s="28">
        <f>IF(B559="","",SalePrefix&amp;TEXT(ROW()-4,"0000"))</f>
        <v>0</v>
      </c>
      <c r="E559" s="15">
        <f>IF(D559="","",IFERROR(INDEX(Clients!$B$5:$B$504,MATCH(D559,Clients!$A$5:$A$504,0)),"Walk-in"))</f>
        <v>0</v>
      </c>
      <c r="G559" s="15">
        <f>IF(F559="","",IFERROR(INDEX(Staff!$B$5:$B$44,MATCH(F559,Staff!$A$5:$A$44,0)),"House"))</f>
        <v>0</v>
      </c>
      <c r="R559" s="15">
        <f>IF(B559="","",TEXT(B559,"yyyy-mm"))</f>
        <v>0</v>
      </c>
      <c r="S559" s="25">
        <f>IF(B559="","",WEEKNUM(B559,2))</f>
        <v>0</v>
      </c>
      <c r="T559" s="37">
        <f>IF(B559="","",IF(K559="",1,K559))</f>
        <v>0</v>
      </c>
      <c r="U559" s="15">
        <f>IF(B559="","",IF(J559&lt;&gt;"",J559,IF(H559="Retail",IFERROR(INDEX(Inventory!$B$5:$B$304,MATCH(I559,Inventory!$A$5:$A$304,0))&amp;"","Not in Inventory"),IFERROR(INDEX(Services!$B$5:$B$204,MATCH(I559,Services!$A$5:$A$204,0))&amp;"","Not in Services"))))</f>
        <v>0</v>
      </c>
      <c r="V559" s="26">
        <f>IF(B559="","",IF(L559&lt;&gt;"",L559,IF(H559="Retail",IFERROR(INDEX(Inventory!$I$5:$I$304,MATCH(I559,Inventory!$A$5:$A$304,0))*1,0),IFERROR(INDEX(Services!$G$5:$G$204,MATCH(I559,Services!$A$5:$A$204,0))*1,0))))</f>
        <v>0</v>
      </c>
      <c r="W559" s="26">
        <f>IF(B559="","",ROUND(T559*V559,2))</f>
        <v>0</v>
      </c>
      <c r="X559" s="26">
        <f>IF(B559="","",ROUND(IF(M559="",0,W559*M559)+IF(N559="",0,N559),2))</f>
        <v>0</v>
      </c>
      <c r="Y559" s="26">
        <f>IF(B559="","",ROUND(W559-X559-IF(P559="",0,P559),2))</f>
        <v>0</v>
      </c>
      <c r="Z559" s="26">
        <f>IF(B559="","",IF(H559="Retail",IF(TaxOnRetail="Yes",ROUND(Y559*TaxRate,2),0),IF(H559="Service",IF(TaxOnServices="Yes",ROUND(Y559*TaxRate,2),0),0)))</f>
        <v>0</v>
      </c>
      <c r="AA559" s="26">
        <f>IF(B559="","",ROUND(Y559+Z559,2))</f>
        <v>0</v>
      </c>
      <c r="AB559" s="26">
        <f>IF(B559="","",ROUND(T559*IF(H559="Retail",IFERROR(INDEX(Inventory!$H$5:$H$304,MATCH(I559,Inventory!$A$5:$A$304,0))*1,0),IFERROR(INDEX(Services!$Q$5:$Q$204,MATCH(I559,Services!$A$5:$A$204,0))*1,0)),2))</f>
        <v>0</v>
      </c>
      <c r="AC559" s="26">
        <f>IF(B559="","",ROUND(Y559-AB559,2))</f>
        <v>0</v>
      </c>
      <c r="AD559" s="38">
        <f>IF(B559="","",IF(C559="","No",IF(COUNTIFS($C$5:C559,C559)=1,"Yes","No")))</f>
        <v>0</v>
      </c>
      <c r="AE559" s="26">
        <f>IF(B559="","",ROUND(SUMIFS(Payments!$G$5:$G$1204,Payments!$H$5:$H$1204,A559,Payments!$Q$5:$Q$1204,"Yes"),2))</f>
        <v>0</v>
      </c>
      <c r="AF559" s="26">
        <f>IF(B559="","",IF(AD559="No",0,ROUND(SUMIFS(Payments!$G$5:$G$1204,Payments!$I$5:$I$1204,C559,Payments!$H$5:$H$1204,"",Payments!$Q$5:$Q$1204,"Yes"),2)))</f>
        <v>0</v>
      </c>
      <c r="AG559" s="26">
        <f>IF(B559="","",ROUND(AE559+AF559,2))</f>
        <v>0</v>
      </c>
      <c r="AH559" s="26">
        <f>IF(B559="","",ROUND(AA559-AG559,2))</f>
        <v>0</v>
      </c>
      <c r="AI559" s="39">
        <f>IF(B559="","",IF(AA559&lt;=0,"No charge",IF(AH559&lt;=0.004,"Paid",IF(AG559&lt;=0.004,"Unpaid","Part paid"))))</f>
        <v>0</v>
      </c>
      <c r="AJ559" s="38">
        <f>IF(B559="","",IF(H559&lt;&gt;"Service","",IF(D559="","No",IF(COUNTIFS($D$5:$D$1204,D559,$B$5:$B$1204,B559,$H$5:$H$1204,"Retail")&gt;0,"Yes","No"))))</f>
        <v>0</v>
      </c>
      <c r="AK559" s="25">
        <f>IF(B559="","",COUNTIFS($Y$5:$Y$1204,"&gt;"&amp;Y559)+COUNTIFS($Y$5:Y559,Y559))</f>
        <v>0</v>
      </c>
      <c r="AL559" s="39">
        <f>IF(B559="","",IF(H559="","Add - what kind of sale is this?",IF(IF(V559&lt;=0,P559="",FALSE),"Check - no price found for this item",IF(F559="","Assign - nobody credited",IF(AH559&gt;0.004,"Unpaid - balance outstanding",IF(AC559&lt;0,"Loss - sold below cost",IF(X559&gt;W559*0.5,"Check - more than half off","OK")))))))</f>
        <v>0</v>
      </c>
    </row>
    <row r="560" spans="1:38">
      <c r="A560" s="28">
        <f>IF(B560="","",SalePrefix&amp;TEXT(ROW()-4,"0000"))</f>
        <v>0</v>
      </c>
      <c r="E560" s="15">
        <f>IF(D560="","",IFERROR(INDEX(Clients!$B$5:$B$504,MATCH(D560,Clients!$A$5:$A$504,0)),"Walk-in"))</f>
        <v>0</v>
      </c>
      <c r="G560" s="15">
        <f>IF(F560="","",IFERROR(INDEX(Staff!$B$5:$B$44,MATCH(F560,Staff!$A$5:$A$44,0)),"House"))</f>
        <v>0</v>
      </c>
      <c r="R560" s="15">
        <f>IF(B560="","",TEXT(B560,"yyyy-mm"))</f>
        <v>0</v>
      </c>
      <c r="S560" s="25">
        <f>IF(B560="","",WEEKNUM(B560,2))</f>
        <v>0</v>
      </c>
      <c r="T560" s="37">
        <f>IF(B560="","",IF(K560="",1,K560))</f>
        <v>0</v>
      </c>
      <c r="U560" s="15">
        <f>IF(B560="","",IF(J560&lt;&gt;"",J560,IF(H560="Retail",IFERROR(INDEX(Inventory!$B$5:$B$304,MATCH(I560,Inventory!$A$5:$A$304,0))&amp;"","Not in Inventory"),IFERROR(INDEX(Services!$B$5:$B$204,MATCH(I560,Services!$A$5:$A$204,0))&amp;"","Not in Services"))))</f>
        <v>0</v>
      </c>
      <c r="V560" s="26">
        <f>IF(B560="","",IF(L560&lt;&gt;"",L560,IF(H560="Retail",IFERROR(INDEX(Inventory!$I$5:$I$304,MATCH(I560,Inventory!$A$5:$A$304,0))*1,0),IFERROR(INDEX(Services!$G$5:$G$204,MATCH(I560,Services!$A$5:$A$204,0))*1,0))))</f>
        <v>0</v>
      </c>
      <c r="W560" s="26">
        <f>IF(B560="","",ROUND(T560*V560,2))</f>
        <v>0</v>
      </c>
      <c r="X560" s="26">
        <f>IF(B560="","",ROUND(IF(M560="",0,W560*M560)+IF(N560="",0,N560),2))</f>
        <v>0</v>
      </c>
      <c r="Y560" s="26">
        <f>IF(B560="","",ROUND(W560-X560-IF(P560="",0,P560),2))</f>
        <v>0</v>
      </c>
      <c r="Z560" s="26">
        <f>IF(B560="","",IF(H560="Retail",IF(TaxOnRetail="Yes",ROUND(Y560*TaxRate,2),0),IF(H560="Service",IF(TaxOnServices="Yes",ROUND(Y560*TaxRate,2),0),0)))</f>
        <v>0</v>
      </c>
      <c r="AA560" s="26">
        <f>IF(B560="","",ROUND(Y560+Z560,2))</f>
        <v>0</v>
      </c>
      <c r="AB560" s="26">
        <f>IF(B560="","",ROUND(T560*IF(H560="Retail",IFERROR(INDEX(Inventory!$H$5:$H$304,MATCH(I560,Inventory!$A$5:$A$304,0))*1,0),IFERROR(INDEX(Services!$Q$5:$Q$204,MATCH(I560,Services!$A$5:$A$204,0))*1,0)),2))</f>
        <v>0</v>
      </c>
      <c r="AC560" s="26">
        <f>IF(B560="","",ROUND(Y560-AB560,2))</f>
        <v>0</v>
      </c>
      <c r="AD560" s="38">
        <f>IF(B560="","",IF(C560="","No",IF(COUNTIFS($C$5:C560,C560)=1,"Yes","No")))</f>
        <v>0</v>
      </c>
      <c r="AE560" s="26">
        <f>IF(B560="","",ROUND(SUMIFS(Payments!$G$5:$G$1204,Payments!$H$5:$H$1204,A560,Payments!$Q$5:$Q$1204,"Yes"),2))</f>
        <v>0</v>
      </c>
      <c r="AF560" s="26">
        <f>IF(B560="","",IF(AD560="No",0,ROUND(SUMIFS(Payments!$G$5:$G$1204,Payments!$I$5:$I$1204,C560,Payments!$H$5:$H$1204,"",Payments!$Q$5:$Q$1204,"Yes"),2)))</f>
        <v>0</v>
      </c>
      <c r="AG560" s="26">
        <f>IF(B560="","",ROUND(AE560+AF560,2))</f>
        <v>0</v>
      </c>
      <c r="AH560" s="26">
        <f>IF(B560="","",ROUND(AA560-AG560,2))</f>
        <v>0</v>
      </c>
      <c r="AI560" s="39">
        <f>IF(B560="","",IF(AA560&lt;=0,"No charge",IF(AH560&lt;=0.004,"Paid",IF(AG560&lt;=0.004,"Unpaid","Part paid"))))</f>
        <v>0</v>
      </c>
      <c r="AJ560" s="38">
        <f>IF(B560="","",IF(H560&lt;&gt;"Service","",IF(D560="","No",IF(COUNTIFS($D$5:$D$1204,D560,$B$5:$B$1204,B560,$H$5:$H$1204,"Retail")&gt;0,"Yes","No"))))</f>
        <v>0</v>
      </c>
      <c r="AK560" s="25">
        <f>IF(B560="","",COUNTIFS($Y$5:$Y$1204,"&gt;"&amp;Y560)+COUNTIFS($Y$5:Y560,Y560))</f>
        <v>0</v>
      </c>
      <c r="AL560" s="39">
        <f>IF(B560="","",IF(H560="","Add - what kind of sale is this?",IF(IF(V560&lt;=0,P560="",FALSE),"Check - no price found for this item",IF(F560="","Assign - nobody credited",IF(AH560&gt;0.004,"Unpaid - balance outstanding",IF(AC560&lt;0,"Loss - sold below cost",IF(X560&gt;W560*0.5,"Check - more than half off","OK")))))))</f>
        <v>0</v>
      </c>
    </row>
    <row r="561" spans="1:38">
      <c r="A561" s="28">
        <f>IF(B561="","",SalePrefix&amp;TEXT(ROW()-4,"0000"))</f>
        <v>0</v>
      </c>
      <c r="E561" s="15">
        <f>IF(D561="","",IFERROR(INDEX(Clients!$B$5:$B$504,MATCH(D561,Clients!$A$5:$A$504,0)),"Walk-in"))</f>
        <v>0</v>
      </c>
      <c r="G561" s="15">
        <f>IF(F561="","",IFERROR(INDEX(Staff!$B$5:$B$44,MATCH(F561,Staff!$A$5:$A$44,0)),"House"))</f>
        <v>0</v>
      </c>
      <c r="R561" s="15">
        <f>IF(B561="","",TEXT(B561,"yyyy-mm"))</f>
        <v>0</v>
      </c>
      <c r="S561" s="25">
        <f>IF(B561="","",WEEKNUM(B561,2))</f>
        <v>0</v>
      </c>
      <c r="T561" s="37">
        <f>IF(B561="","",IF(K561="",1,K561))</f>
        <v>0</v>
      </c>
      <c r="U561" s="15">
        <f>IF(B561="","",IF(J561&lt;&gt;"",J561,IF(H561="Retail",IFERROR(INDEX(Inventory!$B$5:$B$304,MATCH(I561,Inventory!$A$5:$A$304,0))&amp;"","Not in Inventory"),IFERROR(INDEX(Services!$B$5:$B$204,MATCH(I561,Services!$A$5:$A$204,0))&amp;"","Not in Services"))))</f>
        <v>0</v>
      </c>
      <c r="V561" s="26">
        <f>IF(B561="","",IF(L561&lt;&gt;"",L561,IF(H561="Retail",IFERROR(INDEX(Inventory!$I$5:$I$304,MATCH(I561,Inventory!$A$5:$A$304,0))*1,0),IFERROR(INDEX(Services!$G$5:$G$204,MATCH(I561,Services!$A$5:$A$204,0))*1,0))))</f>
        <v>0</v>
      </c>
      <c r="W561" s="26">
        <f>IF(B561="","",ROUND(T561*V561,2))</f>
        <v>0</v>
      </c>
      <c r="X561" s="26">
        <f>IF(B561="","",ROUND(IF(M561="",0,W561*M561)+IF(N561="",0,N561),2))</f>
        <v>0</v>
      </c>
      <c r="Y561" s="26">
        <f>IF(B561="","",ROUND(W561-X561-IF(P561="",0,P561),2))</f>
        <v>0</v>
      </c>
      <c r="Z561" s="26">
        <f>IF(B561="","",IF(H561="Retail",IF(TaxOnRetail="Yes",ROUND(Y561*TaxRate,2),0),IF(H561="Service",IF(TaxOnServices="Yes",ROUND(Y561*TaxRate,2),0),0)))</f>
        <v>0</v>
      </c>
      <c r="AA561" s="26">
        <f>IF(B561="","",ROUND(Y561+Z561,2))</f>
        <v>0</v>
      </c>
      <c r="AB561" s="26">
        <f>IF(B561="","",ROUND(T561*IF(H561="Retail",IFERROR(INDEX(Inventory!$H$5:$H$304,MATCH(I561,Inventory!$A$5:$A$304,0))*1,0),IFERROR(INDEX(Services!$Q$5:$Q$204,MATCH(I561,Services!$A$5:$A$204,0))*1,0)),2))</f>
        <v>0</v>
      </c>
      <c r="AC561" s="26">
        <f>IF(B561="","",ROUND(Y561-AB561,2))</f>
        <v>0</v>
      </c>
      <c r="AD561" s="38">
        <f>IF(B561="","",IF(C561="","No",IF(COUNTIFS($C$5:C561,C561)=1,"Yes","No")))</f>
        <v>0</v>
      </c>
      <c r="AE561" s="26">
        <f>IF(B561="","",ROUND(SUMIFS(Payments!$G$5:$G$1204,Payments!$H$5:$H$1204,A561,Payments!$Q$5:$Q$1204,"Yes"),2))</f>
        <v>0</v>
      </c>
      <c r="AF561" s="26">
        <f>IF(B561="","",IF(AD561="No",0,ROUND(SUMIFS(Payments!$G$5:$G$1204,Payments!$I$5:$I$1204,C561,Payments!$H$5:$H$1204,"",Payments!$Q$5:$Q$1204,"Yes"),2)))</f>
        <v>0</v>
      </c>
      <c r="AG561" s="26">
        <f>IF(B561="","",ROUND(AE561+AF561,2))</f>
        <v>0</v>
      </c>
      <c r="AH561" s="26">
        <f>IF(B561="","",ROUND(AA561-AG561,2))</f>
        <v>0</v>
      </c>
      <c r="AI561" s="39">
        <f>IF(B561="","",IF(AA561&lt;=0,"No charge",IF(AH561&lt;=0.004,"Paid",IF(AG561&lt;=0.004,"Unpaid","Part paid"))))</f>
        <v>0</v>
      </c>
      <c r="AJ561" s="38">
        <f>IF(B561="","",IF(H561&lt;&gt;"Service","",IF(D561="","No",IF(COUNTIFS($D$5:$D$1204,D561,$B$5:$B$1204,B561,$H$5:$H$1204,"Retail")&gt;0,"Yes","No"))))</f>
        <v>0</v>
      </c>
      <c r="AK561" s="25">
        <f>IF(B561="","",COUNTIFS($Y$5:$Y$1204,"&gt;"&amp;Y561)+COUNTIFS($Y$5:Y561,Y561))</f>
        <v>0</v>
      </c>
      <c r="AL561" s="39">
        <f>IF(B561="","",IF(H561="","Add - what kind of sale is this?",IF(IF(V561&lt;=0,P561="",FALSE),"Check - no price found for this item",IF(F561="","Assign - nobody credited",IF(AH561&gt;0.004,"Unpaid - balance outstanding",IF(AC561&lt;0,"Loss - sold below cost",IF(X561&gt;W561*0.5,"Check - more than half off","OK")))))))</f>
        <v>0</v>
      </c>
    </row>
    <row r="562" spans="1:38">
      <c r="A562" s="28">
        <f>IF(B562="","",SalePrefix&amp;TEXT(ROW()-4,"0000"))</f>
        <v>0</v>
      </c>
      <c r="E562" s="15">
        <f>IF(D562="","",IFERROR(INDEX(Clients!$B$5:$B$504,MATCH(D562,Clients!$A$5:$A$504,0)),"Walk-in"))</f>
        <v>0</v>
      </c>
      <c r="G562" s="15">
        <f>IF(F562="","",IFERROR(INDEX(Staff!$B$5:$B$44,MATCH(F562,Staff!$A$5:$A$44,0)),"House"))</f>
        <v>0</v>
      </c>
      <c r="R562" s="15">
        <f>IF(B562="","",TEXT(B562,"yyyy-mm"))</f>
        <v>0</v>
      </c>
      <c r="S562" s="25">
        <f>IF(B562="","",WEEKNUM(B562,2))</f>
        <v>0</v>
      </c>
      <c r="T562" s="37">
        <f>IF(B562="","",IF(K562="",1,K562))</f>
        <v>0</v>
      </c>
      <c r="U562" s="15">
        <f>IF(B562="","",IF(J562&lt;&gt;"",J562,IF(H562="Retail",IFERROR(INDEX(Inventory!$B$5:$B$304,MATCH(I562,Inventory!$A$5:$A$304,0))&amp;"","Not in Inventory"),IFERROR(INDEX(Services!$B$5:$B$204,MATCH(I562,Services!$A$5:$A$204,0))&amp;"","Not in Services"))))</f>
        <v>0</v>
      </c>
      <c r="V562" s="26">
        <f>IF(B562="","",IF(L562&lt;&gt;"",L562,IF(H562="Retail",IFERROR(INDEX(Inventory!$I$5:$I$304,MATCH(I562,Inventory!$A$5:$A$304,0))*1,0),IFERROR(INDEX(Services!$G$5:$G$204,MATCH(I562,Services!$A$5:$A$204,0))*1,0))))</f>
        <v>0</v>
      </c>
      <c r="W562" s="26">
        <f>IF(B562="","",ROUND(T562*V562,2))</f>
        <v>0</v>
      </c>
      <c r="X562" s="26">
        <f>IF(B562="","",ROUND(IF(M562="",0,W562*M562)+IF(N562="",0,N562),2))</f>
        <v>0</v>
      </c>
      <c r="Y562" s="26">
        <f>IF(B562="","",ROUND(W562-X562-IF(P562="",0,P562),2))</f>
        <v>0</v>
      </c>
      <c r="Z562" s="26">
        <f>IF(B562="","",IF(H562="Retail",IF(TaxOnRetail="Yes",ROUND(Y562*TaxRate,2),0),IF(H562="Service",IF(TaxOnServices="Yes",ROUND(Y562*TaxRate,2),0),0)))</f>
        <v>0</v>
      </c>
      <c r="AA562" s="26">
        <f>IF(B562="","",ROUND(Y562+Z562,2))</f>
        <v>0</v>
      </c>
      <c r="AB562" s="26">
        <f>IF(B562="","",ROUND(T562*IF(H562="Retail",IFERROR(INDEX(Inventory!$H$5:$H$304,MATCH(I562,Inventory!$A$5:$A$304,0))*1,0),IFERROR(INDEX(Services!$Q$5:$Q$204,MATCH(I562,Services!$A$5:$A$204,0))*1,0)),2))</f>
        <v>0</v>
      </c>
      <c r="AC562" s="26">
        <f>IF(B562="","",ROUND(Y562-AB562,2))</f>
        <v>0</v>
      </c>
      <c r="AD562" s="38">
        <f>IF(B562="","",IF(C562="","No",IF(COUNTIFS($C$5:C562,C562)=1,"Yes","No")))</f>
        <v>0</v>
      </c>
      <c r="AE562" s="26">
        <f>IF(B562="","",ROUND(SUMIFS(Payments!$G$5:$G$1204,Payments!$H$5:$H$1204,A562,Payments!$Q$5:$Q$1204,"Yes"),2))</f>
        <v>0</v>
      </c>
      <c r="AF562" s="26">
        <f>IF(B562="","",IF(AD562="No",0,ROUND(SUMIFS(Payments!$G$5:$G$1204,Payments!$I$5:$I$1204,C562,Payments!$H$5:$H$1204,"",Payments!$Q$5:$Q$1204,"Yes"),2)))</f>
        <v>0</v>
      </c>
      <c r="AG562" s="26">
        <f>IF(B562="","",ROUND(AE562+AF562,2))</f>
        <v>0</v>
      </c>
      <c r="AH562" s="26">
        <f>IF(B562="","",ROUND(AA562-AG562,2))</f>
        <v>0</v>
      </c>
      <c r="AI562" s="39">
        <f>IF(B562="","",IF(AA562&lt;=0,"No charge",IF(AH562&lt;=0.004,"Paid",IF(AG562&lt;=0.004,"Unpaid","Part paid"))))</f>
        <v>0</v>
      </c>
      <c r="AJ562" s="38">
        <f>IF(B562="","",IF(H562&lt;&gt;"Service","",IF(D562="","No",IF(COUNTIFS($D$5:$D$1204,D562,$B$5:$B$1204,B562,$H$5:$H$1204,"Retail")&gt;0,"Yes","No"))))</f>
        <v>0</v>
      </c>
      <c r="AK562" s="25">
        <f>IF(B562="","",COUNTIFS($Y$5:$Y$1204,"&gt;"&amp;Y562)+COUNTIFS($Y$5:Y562,Y562))</f>
        <v>0</v>
      </c>
      <c r="AL562" s="39">
        <f>IF(B562="","",IF(H562="","Add - what kind of sale is this?",IF(IF(V562&lt;=0,P562="",FALSE),"Check - no price found for this item",IF(F562="","Assign - nobody credited",IF(AH562&gt;0.004,"Unpaid - balance outstanding",IF(AC562&lt;0,"Loss - sold below cost",IF(X562&gt;W562*0.5,"Check - more than half off","OK")))))))</f>
        <v>0</v>
      </c>
    </row>
    <row r="563" spans="1:38">
      <c r="A563" s="28">
        <f>IF(B563="","",SalePrefix&amp;TEXT(ROW()-4,"0000"))</f>
        <v>0</v>
      </c>
      <c r="E563" s="15">
        <f>IF(D563="","",IFERROR(INDEX(Clients!$B$5:$B$504,MATCH(D563,Clients!$A$5:$A$504,0)),"Walk-in"))</f>
        <v>0</v>
      </c>
      <c r="G563" s="15">
        <f>IF(F563="","",IFERROR(INDEX(Staff!$B$5:$B$44,MATCH(F563,Staff!$A$5:$A$44,0)),"House"))</f>
        <v>0</v>
      </c>
      <c r="R563" s="15">
        <f>IF(B563="","",TEXT(B563,"yyyy-mm"))</f>
        <v>0</v>
      </c>
      <c r="S563" s="25">
        <f>IF(B563="","",WEEKNUM(B563,2))</f>
        <v>0</v>
      </c>
      <c r="T563" s="37">
        <f>IF(B563="","",IF(K563="",1,K563))</f>
        <v>0</v>
      </c>
      <c r="U563" s="15">
        <f>IF(B563="","",IF(J563&lt;&gt;"",J563,IF(H563="Retail",IFERROR(INDEX(Inventory!$B$5:$B$304,MATCH(I563,Inventory!$A$5:$A$304,0))&amp;"","Not in Inventory"),IFERROR(INDEX(Services!$B$5:$B$204,MATCH(I563,Services!$A$5:$A$204,0))&amp;"","Not in Services"))))</f>
        <v>0</v>
      </c>
      <c r="V563" s="26">
        <f>IF(B563="","",IF(L563&lt;&gt;"",L563,IF(H563="Retail",IFERROR(INDEX(Inventory!$I$5:$I$304,MATCH(I563,Inventory!$A$5:$A$304,0))*1,0),IFERROR(INDEX(Services!$G$5:$G$204,MATCH(I563,Services!$A$5:$A$204,0))*1,0))))</f>
        <v>0</v>
      </c>
      <c r="W563" s="26">
        <f>IF(B563="","",ROUND(T563*V563,2))</f>
        <v>0</v>
      </c>
      <c r="X563" s="26">
        <f>IF(B563="","",ROUND(IF(M563="",0,W563*M563)+IF(N563="",0,N563),2))</f>
        <v>0</v>
      </c>
      <c r="Y563" s="26">
        <f>IF(B563="","",ROUND(W563-X563-IF(P563="",0,P563),2))</f>
        <v>0</v>
      </c>
      <c r="Z563" s="26">
        <f>IF(B563="","",IF(H563="Retail",IF(TaxOnRetail="Yes",ROUND(Y563*TaxRate,2),0),IF(H563="Service",IF(TaxOnServices="Yes",ROUND(Y563*TaxRate,2),0),0)))</f>
        <v>0</v>
      </c>
      <c r="AA563" s="26">
        <f>IF(B563="","",ROUND(Y563+Z563,2))</f>
        <v>0</v>
      </c>
      <c r="AB563" s="26">
        <f>IF(B563="","",ROUND(T563*IF(H563="Retail",IFERROR(INDEX(Inventory!$H$5:$H$304,MATCH(I563,Inventory!$A$5:$A$304,0))*1,0),IFERROR(INDEX(Services!$Q$5:$Q$204,MATCH(I563,Services!$A$5:$A$204,0))*1,0)),2))</f>
        <v>0</v>
      </c>
      <c r="AC563" s="26">
        <f>IF(B563="","",ROUND(Y563-AB563,2))</f>
        <v>0</v>
      </c>
      <c r="AD563" s="38">
        <f>IF(B563="","",IF(C563="","No",IF(COUNTIFS($C$5:C563,C563)=1,"Yes","No")))</f>
        <v>0</v>
      </c>
      <c r="AE563" s="26">
        <f>IF(B563="","",ROUND(SUMIFS(Payments!$G$5:$G$1204,Payments!$H$5:$H$1204,A563,Payments!$Q$5:$Q$1204,"Yes"),2))</f>
        <v>0</v>
      </c>
      <c r="AF563" s="26">
        <f>IF(B563="","",IF(AD563="No",0,ROUND(SUMIFS(Payments!$G$5:$G$1204,Payments!$I$5:$I$1204,C563,Payments!$H$5:$H$1204,"",Payments!$Q$5:$Q$1204,"Yes"),2)))</f>
        <v>0</v>
      </c>
      <c r="AG563" s="26">
        <f>IF(B563="","",ROUND(AE563+AF563,2))</f>
        <v>0</v>
      </c>
      <c r="AH563" s="26">
        <f>IF(B563="","",ROUND(AA563-AG563,2))</f>
        <v>0</v>
      </c>
      <c r="AI563" s="39">
        <f>IF(B563="","",IF(AA563&lt;=0,"No charge",IF(AH563&lt;=0.004,"Paid",IF(AG563&lt;=0.004,"Unpaid","Part paid"))))</f>
        <v>0</v>
      </c>
      <c r="AJ563" s="38">
        <f>IF(B563="","",IF(H563&lt;&gt;"Service","",IF(D563="","No",IF(COUNTIFS($D$5:$D$1204,D563,$B$5:$B$1204,B563,$H$5:$H$1204,"Retail")&gt;0,"Yes","No"))))</f>
        <v>0</v>
      </c>
      <c r="AK563" s="25">
        <f>IF(B563="","",COUNTIFS($Y$5:$Y$1204,"&gt;"&amp;Y563)+COUNTIFS($Y$5:Y563,Y563))</f>
        <v>0</v>
      </c>
      <c r="AL563" s="39">
        <f>IF(B563="","",IF(H563="","Add - what kind of sale is this?",IF(IF(V563&lt;=0,P563="",FALSE),"Check - no price found for this item",IF(F563="","Assign - nobody credited",IF(AH563&gt;0.004,"Unpaid - balance outstanding",IF(AC563&lt;0,"Loss - sold below cost",IF(X563&gt;W563*0.5,"Check - more than half off","OK")))))))</f>
        <v>0</v>
      </c>
    </row>
    <row r="564" spans="1:38">
      <c r="A564" s="28">
        <f>IF(B564="","",SalePrefix&amp;TEXT(ROW()-4,"0000"))</f>
        <v>0</v>
      </c>
      <c r="E564" s="15">
        <f>IF(D564="","",IFERROR(INDEX(Clients!$B$5:$B$504,MATCH(D564,Clients!$A$5:$A$504,0)),"Walk-in"))</f>
        <v>0</v>
      </c>
      <c r="G564" s="15">
        <f>IF(F564="","",IFERROR(INDEX(Staff!$B$5:$B$44,MATCH(F564,Staff!$A$5:$A$44,0)),"House"))</f>
        <v>0</v>
      </c>
      <c r="R564" s="15">
        <f>IF(B564="","",TEXT(B564,"yyyy-mm"))</f>
        <v>0</v>
      </c>
      <c r="S564" s="25">
        <f>IF(B564="","",WEEKNUM(B564,2))</f>
        <v>0</v>
      </c>
      <c r="T564" s="37">
        <f>IF(B564="","",IF(K564="",1,K564))</f>
        <v>0</v>
      </c>
      <c r="U564" s="15">
        <f>IF(B564="","",IF(J564&lt;&gt;"",J564,IF(H564="Retail",IFERROR(INDEX(Inventory!$B$5:$B$304,MATCH(I564,Inventory!$A$5:$A$304,0))&amp;"","Not in Inventory"),IFERROR(INDEX(Services!$B$5:$B$204,MATCH(I564,Services!$A$5:$A$204,0))&amp;"","Not in Services"))))</f>
        <v>0</v>
      </c>
      <c r="V564" s="26">
        <f>IF(B564="","",IF(L564&lt;&gt;"",L564,IF(H564="Retail",IFERROR(INDEX(Inventory!$I$5:$I$304,MATCH(I564,Inventory!$A$5:$A$304,0))*1,0),IFERROR(INDEX(Services!$G$5:$G$204,MATCH(I564,Services!$A$5:$A$204,0))*1,0))))</f>
        <v>0</v>
      </c>
      <c r="W564" s="26">
        <f>IF(B564="","",ROUND(T564*V564,2))</f>
        <v>0</v>
      </c>
      <c r="X564" s="26">
        <f>IF(B564="","",ROUND(IF(M564="",0,W564*M564)+IF(N564="",0,N564),2))</f>
        <v>0</v>
      </c>
      <c r="Y564" s="26">
        <f>IF(B564="","",ROUND(W564-X564-IF(P564="",0,P564),2))</f>
        <v>0</v>
      </c>
      <c r="Z564" s="26">
        <f>IF(B564="","",IF(H564="Retail",IF(TaxOnRetail="Yes",ROUND(Y564*TaxRate,2),0),IF(H564="Service",IF(TaxOnServices="Yes",ROUND(Y564*TaxRate,2),0),0)))</f>
        <v>0</v>
      </c>
      <c r="AA564" s="26">
        <f>IF(B564="","",ROUND(Y564+Z564,2))</f>
        <v>0</v>
      </c>
      <c r="AB564" s="26">
        <f>IF(B564="","",ROUND(T564*IF(H564="Retail",IFERROR(INDEX(Inventory!$H$5:$H$304,MATCH(I564,Inventory!$A$5:$A$304,0))*1,0),IFERROR(INDEX(Services!$Q$5:$Q$204,MATCH(I564,Services!$A$5:$A$204,0))*1,0)),2))</f>
        <v>0</v>
      </c>
      <c r="AC564" s="26">
        <f>IF(B564="","",ROUND(Y564-AB564,2))</f>
        <v>0</v>
      </c>
      <c r="AD564" s="38">
        <f>IF(B564="","",IF(C564="","No",IF(COUNTIFS($C$5:C564,C564)=1,"Yes","No")))</f>
        <v>0</v>
      </c>
      <c r="AE564" s="26">
        <f>IF(B564="","",ROUND(SUMIFS(Payments!$G$5:$G$1204,Payments!$H$5:$H$1204,A564,Payments!$Q$5:$Q$1204,"Yes"),2))</f>
        <v>0</v>
      </c>
      <c r="AF564" s="26">
        <f>IF(B564="","",IF(AD564="No",0,ROUND(SUMIFS(Payments!$G$5:$G$1204,Payments!$I$5:$I$1204,C564,Payments!$H$5:$H$1204,"",Payments!$Q$5:$Q$1204,"Yes"),2)))</f>
        <v>0</v>
      </c>
      <c r="AG564" s="26">
        <f>IF(B564="","",ROUND(AE564+AF564,2))</f>
        <v>0</v>
      </c>
      <c r="AH564" s="26">
        <f>IF(B564="","",ROUND(AA564-AG564,2))</f>
        <v>0</v>
      </c>
      <c r="AI564" s="39">
        <f>IF(B564="","",IF(AA564&lt;=0,"No charge",IF(AH564&lt;=0.004,"Paid",IF(AG564&lt;=0.004,"Unpaid","Part paid"))))</f>
        <v>0</v>
      </c>
      <c r="AJ564" s="38">
        <f>IF(B564="","",IF(H564&lt;&gt;"Service","",IF(D564="","No",IF(COUNTIFS($D$5:$D$1204,D564,$B$5:$B$1204,B564,$H$5:$H$1204,"Retail")&gt;0,"Yes","No"))))</f>
        <v>0</v>
      </c>
      <c r="AK564" s="25">
        <f>IF(B564="","",COUNTIFS($Y$5:$Y$1204,"&gt;"&amp;Y564)+COUNTIFS($Y$5:Y564,Y564))</f>
        <v>0</v>
      </c>
      <c r="AL564" s="39">
        <f>IF(B564="","",IF(H564="","Add - what kind of sale is this?",IF(IF(V564&lt;=0,P564="",FALSE),"Check - no price found for this item",IF(F564="","Assign - nobody credited",IF(AH564&gt;0.004,"Unpaid - balance outstanding",IF(AC564&lt;0,"Loss - sold below cost",IF(X564&gt;W564*0.5,"Check - more than half off","OK")))))))</f>
        <v>0</v>
      </c>
    </row>
    <row r="565" spans="1:38">
      <c r="A565" s="28">
        <f>IF(B565="","",SalePrefix&amp;TEXT(ROW()-4,"0000"))</f>
        <v>0</v>
      </c>
      <c r="E565" s="15">
        <f>IF(D565="","",IFERROR(INDEX(Clients!$B$5:$B$504,MATCH(D565,Clients!$A$5:$A$504,0)),"Walk-in"))</f>
        <v>0</v>
      </c>
      <c r="G565" s="15">
        <f>IF(F565="","",IFERROR(INDEX(Staff!$B$5:$B$44,MATCH(F565,Staff!$A$5:$A$44,0)),"House"))</f>
        <v>0</v>
      </c>
      <c r="R565" s="15">
        <f>IF(B565="","",TEXT(B565,"yyyy-mm"))</f>
        <v>0</v>
      </c>
      <c r="S565" s="25">
        <f>IF(B565="","",WEEKNUM(B565,2))</f>
        <v>0</v>
      </c>
      <c r="T565" s="37">
        <f>IF(B565="","",IF(K565="",1,K565))</f>
        <v>0</v>
      </c>
      <c r="U565" s="15">
        <f>IF(B565="","",IF(J565&lt;&gt;"",J565,IF(H565="Retail",IFERROR(INDEX(Inventory!$B$5:$B$304,MATCH(I565,Inventory!$A$5:$A$304,0))&amp;"","Not in Inventory"),IFERROR(INDEX(Services!$B$5:$B$204,MATCH(I565,Services!$A$5:$A$204,0))&amp;"","Not in Services"))))</f>
        <v>0</v>
      </c>
      <c r="V565" s="26">
        <f>IF(B565="","",IF(L565&lt;&gt;"",L565,IF(H565="Retail",IFERROR(INDEX(Inventory!$I$5:$I$304,MATCH(I565,Inventory!$A$5:$A$304,0))*1,0),IFERROR(INDEX(Services!$G$5:$G$204,MATCH(I565,Services!$A$5:$A$204,0))*1,0))))</f>
        <v>0</v>
      </c>
      <c r="W565" s="26">
        <f>IF(B565="","",ROUND(T565*V565,2))</f>
        <v>0</v>
      </c>
      <c r="X565" s="26">
        <f>IF(B565="","",ROUND(IF(M565="",0,W565*M565)+IF(N565="",0,N565),2))</f>
        <v>0</v>
      </c>
      <c r="Y565" s="26">
        <f>IF(B565="","",ROUND(W565-X565-IF(P565="",0,P565),2))</f>
        <v>0</v>
      </c>
      <c r="Z565" s="26">
        <f>IF(B565="","",IF(H565="Retail",IF(TaxOnRetail="Yes",ROUND(Y565*TaxRate,2),0),IF(H565="Service",IF(TaxOnServices="Yes",ROUND(Y565*TaxRate,2),0),0)))</f>
        <v>0</v>
      </c>
      <c r="AA565" s="26">
        <f>IF(B565="","",ROUND(Y565+Z565,2))</f>
        <v>0</v>
      </c>
      <c r="AB565" s="26">
        <f>IF(B565="","",ROUND(T565*IF(H565="Retail",IFERROR(INDEX(Inventory!$H$5:$H$304,MATCH(I565,Inventory!$A$5:$A$304,0))*1,0),IFERROR(INDEX(Services!$Q$5:$Q$204,MATCH(I565,Services!$A$5:$A$204,0))*1,0)),2))</f>
        <v>0</v>
      </c>
      <c r="AC565" s="26">
        <f>IF(B565="","",ROUND(Y565-AB565,2))</f>
        <v>0</v>
      </c>
      <c r="AD565" s="38">
        <f>IF(B565="","",IF(C565="","No",IF(COUNTIFS($C$5:C565,C565)=1,"Yes","No")))</f>
        <v>0</v>
      </c>
      <c r="AE565" s="26">
        <f>IF(B565="","",ROUND(SUMIFS(Payments!$G$5:$G$1204,Payments!$H$5:$H$1204,A565,Payments!$Q$5:$Q$1204,"Yes"),2))</f>
        <v>0</v>
      </c>
      <c r="AF565" s="26">
        <f>IF(B565="","",IF(AD565="No",0,ROUND(SUMIFS(Payments!$G$5:$G$1204,Payments!$I$5:$I$1204,C565,Payments!$H$5:$H$1204,"",Payments!$Q$5:$Q$1204,"Yes"),2)))</f>
        <v>0</v>
      </c>
      <c r="AG565" s="26">
        <f>IF(B565="","",ROUND(AE565+AF565,2))</f>
        <v>0</v>
      </c>
      <c r="AH565" s="26">
        <f>IF(B565="","",ROUND(AA565-AG565,2))</f>
        <v>0</v>
      </c>
      <c r="AI565" s="39">
        <f>IF(B565="","",IF(AA565&lt;=0,"No charge",IF(AH565&lt;=0.004,"Paid",IF(AG565&lt;=0.004,"Unpaid","Part paid"))))</f>
        <v>0</v>
      </c>
      <c r="AJ565" s="38">
        <f>IF(B565="","",IF(H565&lt;&gt;"Service","",IF(D565="","No",IF(COUNTIFS($D$5:$D$1204,D565,$B$5:$B$1204,B565,$H$5:$H$1204,"Retail")&gt;0,"Yes","No"))))</f>
        <v>0</v>
      </c>
      <c r="AK565" s="25">
        <f>IF(B565="","",COUNTIFS($Y$5:$Y$1204,"&gt;"&amp;Y565)+COUNTIFS($Y$5:Y565,Y565))</f>
        <v>0</v>
      </c>
      <c r="AL565" s="39">
        <f>IF(B565="","",IF(H565="","Add - what kind of sale is this?",IF(IF(V565&lt;=0,P565="",FALSE),"Check - no price found for this item",IF(F565="","Assign - nobody credited",IF(AH565&gt;0.004,"Unpaid - balance outstanding",IF(AC565&lt;0,"Loss - sold below cost",IF(X565&gt;W565*0.5,"Check - more than half off","OK")))))))</f>
        <v>0</v>
      </c>
    </row>
    <row r="566" spans="1:38">
      <c r="A566" s="28">
        <f>IF(B566="","",SalePrefix&amp;TEXT(ROW()-4,"0000"))</f>
        <v>0</v>
      </c>
      <c r="E566" s="15">
        <f>IF(D566="","",IFERROR(INDEX(Clients!$B$5:$B$504,MATCH(D566,Clients!$A$5:$A$504,0)),"Walk-in"))</f>
        <v>0</v>
      </c>
      <c r="G566" s="15">
        <f>IF(F566="","",IFERROR(INDEX(Staff!$B$5:$B$44,MATCH(F566,Staff!$A$5:$A$44,0)),"House"))</f>
        <v>0</v>
      </c>
      <c r="R566" s="15">
        <f>IF(B566="","",TEXT(B566,"yyyy-mm"))</f>
        <v>0</v>
      </c>
      <c r="S566" s="25">
        <f>IF(B566="","",WEEKNUM(B566,2))</f>
        <v>0</v>
      </c>
      <c r="T566" s="37">
        <f>IF(B566="","",IF(K566="",1,K566))</f>
        <v>0</v>
      </c>
      <c r="U566" s="15">
        <f>IF(B566="","",IF(J566&lt;&gt;"",J566,IF(H566="Retail",IFERROR(INDEX(Inventory!$B$5:$B$304,MATCH(I566,Inventory!$A$5:$A$304,0))&amp;"","Not in Inventory"),IFERROR(INDEX(Services!$B$5:$B$204,MATCH(I566,Services!$A$5:$A$204,0))&amp;"","Not in Services"))))</f>
        <v>0</v>
      </c>
      <c r="V566" s="26">
        <f>IF(B566="","",IF(L566&lt;&gt;"",L566,IF(H566="Retail",IFERROR(INDEX(Inventory!$I$5:$I$304,MATCH(I566,Inventory!$A$5:$A$304,0))*1,0),IFERROR(INDEX(Services!$G$5:$G$204,MATCH(I566,Services!$A$5:$A$204,0))*1,0))))</f>
        <v>0</v>
      </c>
      <c r="W566" s="26">
        <f>IF(B566="","",ROUND(T566*V566,2))</f>
        <v>0</v>
      </c>
      <c r="X566" s="26">
        <f>IF(B566="","",ROUND(IF(M566="",0,W566*M566)+IF(N566="",0,N566),2))</f>
        <v>0</v>
      </c>
      <c r="Y566" s="26">
        <f>IF(B566="","",ROUND(W566-X566-IF(P566="",0,P566),2))</f>
        <v>0</v>
      </c>
      <c r="Z566" s="26">
        <f>IF(B566="","",IF(H566="Retail",IF(TaxOnRetail="Yes",ROUND(Y566*TaxRate,2),0),IF(H566="Service",IF(TaxOnServices="Yes",ROUND(Y566*TaxRate,2),0),0)))</f>
        <v>0</v>
      </c>
      <c r="AA566" s="26">
        <f>IF(B566="","",ROUND(Y566+Z566,2))</f>
        <v>0</v>
      </c>
      <c r="AB566" s="26">
        <f>IF(B566="","",ROUND(T566*IF(H566="Retail",IFERROR(INDEX(Inventory!$H$5:$H$304,MATCH(I566,Inventory!$A$5:$A$304,0))*1,0),IFERROR(INDEX(Services!$Q$5:$Q$204,MATCH(I566,Services!$A$5:$A$204,0))*1,0)),2))</f>
        <v>0</v>
      </c>
      <c r="AC566" s="26">
        <f>IF(B566="","",ROUND(Y566-AB566,2))</f>
        <v>0</v>
      </c>
      <c r="AD566" s="38">
        <f>IF(B566="","",IF(C566="","No",IF(COUNTIFS($C$5:C566,C566)=1,"Yes","No")))</f>
        <v>0</v>
      </c>
      <c r="AE566" s="26">
        <f>IF(B566="","",ROUND(SUMIFS(Payments!$G$5:$G$1204,Payments!$H$5:$H$1204,A566,Payments!$Q$5:$Q$1204,"Yes"),2))</f>
        <v>0</v>
      </c>
      <c r="AF566" s="26">
        <f>IF(B566="","",IF(AD566="No",0,ROUND(SUMIFS(Payments!$G$5:$G$1204,Payments!$I$5:$I$1204,C566,Payments!$H$5:$H$1204,"",Payments!$Q$5:$Q$1204,"Yes"),2)))</f>
        <v>0</v>
      </c>
      <c r="AG566" s="26">
        <f>IF(B566="","",ROUND(AE566+AF566,2))</f>
        <v>0</v>
      </c>
      <c r="AH566" s="26">
        <f>IF(B566="","",ROUND(AA566-AG566,2))</f>
        <v>0</v>
      </c>
      <c r="AI566" s="39">
        <f>IF(B566="","",IF(AA566&lt;=0,"No charge",IF(AH566&lt;=0.004,"Paid",IF(AG566&lt;=0.004,"Unpaid","Part paid"))))</f>
        <v>0</v>
      </c>
      <c r="AJ566" s="38">
        <f>IF(B566="","",IF(H566&lt;&gt;"Service","",IF(D566="","No",IF(COUNTIFS($D$5:$D$1204,D566,$B$5:$B$1204,B566,$H$5:$H$1204,"Retail")&gt;0,"Yes","No"))))</f>
        <v>0</v>
      </c>
      <c r="AK566" s="25">
        <f>IF(B566="","",COUNTIFS($Y$5:$Y$1204,"&gt;"&amp;Y566)+COUNTIFS($Y$5:Y566,Y566))</f>
        <v>0</v>
      </c>
      <c r="AL566" s="39">
        <f>IF(B566="","",IF(H566="","Add - what kind of sale is this?",IF(IF(V566&lt;=0,P566="",FALSE),"Check - no price found for this item",IF(F566="","Assign - nobody credited",IF(AH566&gt;0.004,"Unpaid - balance outstanding",IF(AC566&lt;0,"Loss - sold below cost",IF(X566&gt;W566*0.5,"Check - more than half off","OK")))))))</f>
        <v>0</v>
      </c>
    </row>
    <row r="567" spans="1:38">
      <c r="A567" s="28">
        <f>IF(B567="","",SalePrefix&amp;TEXT(ROW()-4,"0000"))</f>
        <v>0</v>
      </c>
      <c r="E567" s="15">
        <f>IF(D567="","",IFERROR(INDEX(Clients!$B$5:$B$504,MATCH(D567,Clients!$A$5:$A$504,0)),"Walk-in"))</f>
        <v>0</v>
      </c>
      <c r="G567" s="15">
        <f>IF(F567="","",IFERROR(INDEX(Staff!$B$5:$B$44,MATCH(F567,Staff!$A$5:$A$44,0)),"House"))</f>
        <v>0</v>
      </c>
      <c r="R567" s="15">
        <f>IF(B567="","",TEXT(B567,"yyyy-mm"))</f>
        <v>0</v>
      </c>
      <c r="S567" s="25">
        <f>IF(B567="","",WEEKNUM(B567,2))</f>
        <v>0</v>
      </c>
      <c r="T567" s="37">
        <f>IF(B567="","",IF(K567="",1,K567))</f>
        <v>0</v>
      </c>
      <c r="U567" s="15">
        <f>IF(B567="","",IF(J567&lt;&gt;"",J567,IF(H567="Retail",IFERROR(INDEX(Inventory!$B$5:$B$304,MATCH(I567,Inventory!$A$5:$A$304,0))&amp;"","Not in Inventory"),IFERROR(INDEX(Services!$B$5:$B$204,MATCH(I567,Services!$A$5:$A$204,0))&amp;"","Not in Services"))))</f>
        <v>0</v>
      </c>
      <c r="V567" s="26">
        <f>IF(B567="","",IF(L567&lt;&gt;"",L567,IF(H567="Retail",IFERROR(INDEX(Inventory!$I$5:$I$304,MATCH(I567,Inventory!$A$5:$A$304,0))*1,0),IFERROR(INDEX(Services!$G$5:$G$204,MATCH(I567,Services!$A$5:$A$204,0))*1,0))))</f>
        <v>0</v>
      </c>
      <c r="W567" s="26">
        <f>IF(B567="","",ROUND(T567*V567,2))</f>
        <v>0</v>
      </c>
      <c r="X567" s="26">
        <f>IF(B567="","",ROUND(IF(M567="",0,W567*M567)+IF(N567="",0,N567),2))</f>
        <v>0</v>
      </c>
      <c r="Y567" s="26">
        <f>IF(B567="","",ROUND(W567-X567-IF(P567="",0,P567),2))</f>
        <v>0</v>
      </c>
      <c r="Z567" s="26">
        <f>IF(B567="","",IF(H567="Retail",IF(TaxOnRetail="Yes",ROUND(Y567*TaxRate,2),0),IF(H567="Service",IF(TaxOnServices="Yes",ROUND(Y567*TaxRate,2),0),0)))</f>
        <v>0</v>
      </c>
      <c r="AA567" s="26">
        <f>IF(B567="","",ROUND(Y567+Z567,2))</f>
        <v>0</v>
      </c>
      <c r="AB567" s="26">
        <f>IF(B567="","",ROUND(T567*IF(H567="Retail",IFERROR(INDEX(Inventory!$H$5:$H$304,MATCH(I567,Inventory!$A$5:$A$304,0))*1,0),IFERROR(INDEX(Services!$Q$5:$Q$204,MATCH(I567,Services!$A$5:$A$204,0))*1,0)),2))</f>
        <v>0</v>
      </c>
      <c r="AC567" s="26">
        <f>IF(B567="","",ROUND(Y567-AB567,2))</f>
        <v>0</v>
      </c>
      <c r="AD567" s="38">
        <f>IF(B567="","",IF(C567="","No",IF(COUNTIFS($C$5:C567,C567)=1,"Yes","No")))</f>
        <v>0</v>
      </c>
      <c r="AE567" s="26">
        <f>IF(B567="","",ROUND(SUMIFS(Payments!$G$5:$G$1204,Payments!$H$5:$H$1204,A567,Payments!$Q$5:$Q$1204,"Yes"),2))</f>
        <v>0</v>
      </c>
      <c r="AF567" s="26">
        <f>IF(B567="","",IF(AD567="No",0,ROUND(SUMIFS(Payments!$G$5:$G$1204,Payments!$I$5:$I$1204,C567,Payments!$H$5:$H$1204,"",Payments!$Q$5:$Q$1204,"Yes"),2)))</f>
        <v>0</v>
      </c>
      <c r="AG567" s="26">
        <f>IF(B567="","",ROUND(AE567+AF567,2))</f>
        <v>0</v>
      </c>
      <c r="AH567" s="26">
        <f>IF(B567="","",ROUND(AA567-AG567,2))</f>
        <v>0</v>
      </c>
      <c r="AI567" s="39">
        <f>IF(B567="","",IF(AA567&lt;=0,"No charge",IF(AH567&lt;=0.004,"Paid",IF(AG567&lt;=0.004,"Unpaid","Part paid"))))</f>
        <v>0</v>
      </c>
      <c r="AJ567" s="38">
        <f>IF(B567="","",IF(H567&lt;&gt;"Service","",IF(D567="","No",IF(COUNTIFS($D$5:$D$1204,D567,$B$5:$B$1204,B567,$H$5:$H$1204,"Retail")&gt;0,"Yes","No"))))</f>
        <v>0</v>
      </c>
      <c r="AK567" s="25">
        <f>IF(B567="","",COUNTIFS($Y$5:$Y$1204,"&gt;"&amp;Y567)+COUNTIFS($Y$5:Y567,Y567))</f>
        <v>0</v>
      </c>
      <c r="AL567" s="39">
        <f>IF(B567="","",IF(H567="","Add - what kind of sale is this?",IF(IF(V567&lt;=0,P567="",FALSE),"Check - no price found for this item",IF(F567="","Assign - nobody credited",IF(AH567&gt;0.004,"Unpaid - balance outstanding",IF(AC567&lt;0,"Loss - sold below cost",IF(X567&gt;W567*0.5,"Check - more than half off","OK")))))))</f>
        <v>0</v>
      </c>
    </row>
    <row r="568" spans="1:38">
      <c r="A568" s="28">
        <f>IF(B568="","",SalePrefix&amp;TEXT(ROW()-4,"0000"))</f>
        <v>0</v>
      </c>
      <c r="E568" s="15">
        <f>IF(D568="","",IFERROR(INDEX(Clients!$B$5:$B$504,MATCH(D568,Clients!$A$5:$A$504,0)),"Walk-in"))</f>
        <v>0</v>
      </c>
      <c r="G568" s="15">
        <f>IF(F568="","",IFERROR(INDEX(Staff!$B$5:$B$44,MATCH(F568,Staff!$A$5:$A$44,0)),"House"))</f>
        <v>0</v>
      </c>
      <c r="R568" s="15">
        <f>IF(B568="","",TEXT(B568,"yyyy-mm"))</f>
        <v>0</v>
      </c>
      <c r="S568" s="25">
        <f>IF(B568="","",WEEKNUM(B568,2))</f>
        <v>0</v>
      </c>
      <c r="T568" s="37">
        <f>IF(B568="","",IF(K568="",1,K568))</f>
        <v>0</v>
      </c>
      <c r="U568" s="15">
        <f>IF(B568="","",IF(J568&lt;&gt;"",J568,IF(H568="Retail",IFERROR(INDEX(Inventory!$B$5:$B$304,MATCH(I568,Inventory!$A$5:$A$304,0))&amp;"","Not in Inventory"),IFERROR(INDEX(Services!$B$5:$B$204,MATCH(I568,Services!$A$5:$A$204,0))&amp;"","Not in Services"))))</f>
        <v>0</v>
      </c>
      <c r="V568" s="26">
        <f>IF(B568="","",IF(L568&lt;&gt;"",L568,IF(H568="Retail",IFERROR(INDEX(Inventory!$I$5:$I$304,MATCH(I568,Inventory!$A$5:$A$304,0))*1,0),IFERROR(INDEX(Services!$G$5:$G$204,MATCH(I568,Services!$A$5:$A$204,0))*1,0))))</f>
        <v>0</v>
      </c>
      <c r="W568" s="26">
        <f>IF(B568="","",ROUND(T568*V568,2))</f>
        <v>0</v>
      </c>
      <c r="X568" s="26">
        <f>IF(B568="","",ROUND(IF(M568="",0,W568*M568)+IF(N568="",0,N568),2))</f>
        <v>0</v>
      </c>
      <c r="Y568" s="26">
        <f>IF(B568="","",ROUND(W568-X568-IF(P568="",0,P568),2))</f>
        <v>0</v>
      </c>
      <c r="Z568" s="26">
        <f>IF(B568="","",IF(H568="Retail",IF(TaxOnRetail="Yes",ROUND(Y568*TaxRate,2),0),IF(H568="Service",IF(TaxOnServices="Yes",ROUND(Y568*TaxRate,2),0),0)))</f>
        <v>0</v>
      </c>
      <c r="AA568" s="26">
        <f>IF(B568="","",ROUND(Y568+Z568,2))</f>
        <v>0</v>
      </c>
      <c r="AB568" s="26">
        <f>IF(B568="","",ROUND(T568*IF(H568="Retail",IFERROR(INDEX(Inventory!$H$5:$H$304,MATCH(I568,Inventory!$A$5:$A$304,0))*1,0),IFERROR(INDEX(Services!$Q$5:$Q$204,MATCH(I568,Services!$A$5:$A$204,0))*1,0)),2))</f>
        <v>0</v>
      </c>
      <c r="AC568" s="26">
        <f>IF(B568="","",ROUND(Y568-AB568,2))</f>
        <v>0</v>
      </c>
      <c r="AD568" s="38">
        <f>IF(B568="","",IF(C568="","No",IF(COUNTIFS($C$5:C568,C568)=1,"Yes","No")))</f>
        <v>0</v>
      </c>
      <c r="AE568" s="26">
        <f>IF(B568="","",ROUND(SUMIFS(Payments!$G$5:$G$1204,Payments!$H$5:$H$1204,A568,Payments!$Q$5:$Q$1204,"Yes"),2))</f>
        <v>0</v>
      </c>
      <c r="AF568" s="26">
        <f>IF(B568="","",IF(AD568="No",0,ROUND(SUMIFS(Payments!$G$5:$G$1204,Payments!$I$5:$I$1204,C568,Payments!$H$5:$H$1204,"",Payments!$Q$5:$Q$1204,"Yes"),2)))</f>
        <v>0</v>
      </c>
      <c r="AG568" s="26">
        <f>IF(B568="","",ROUND(AE568+AF568,2))</f>
        <v>0</v>
      </c>
      <c r="AH568" s="26">
        <f>IF(B568="","",ROUND(AA568-AG568,2))</f>
        <v>0</v>
      </c>
      <c r="AI568" s="39">
        <f>IF(B568="","",IF(AA568&lt;=0,"No charge",IF(AH568&lt;=0.004,"Paid",IF(AG568&lt;=0.004,"Unpaid","Part paid"))))</f>
        <v>0</v>
      </c>
      <c r="AJ568" s="38">
        <f>IF(B568="","",IF(H568&lt;&gt;"Service","",IF(D568="","No",IF(COUNTIFS($D$5:$D$1204,D568,$B$5:$B$1204,B568,$H$5:$H$1204,"Retail")&gt;0,"Yes","No"))))</f>
        <v>0</v>
      </c>
      <c r="AK568" s="25">
        <f>IF(B568="","",COUNTIFS($Y$5:$Y$1204,"&gt;"&amp;Y568)+COUNTIFS($Y$5:Y568,Y568))</f>
        <v>0</v>
      </c>
      <c r="AL568" s="39">
        <f>IF(B568="","",IF(H568="","Add - what kind of sale is this?",IF(IF(V568&lt;=0,P568="",FALSE),"Check - no price found for this item",IF(F568="","Assign - nobody credited",IF(AH568&gt;0.004,"Unpaid - balance outstanding",IF(AC568&lt;0,"Loss - sold below cost",IF(X568&gt;W568*0.5,"Check - more than half off","OK")))))))</f>
        <v>0</v>
      </c>
    </row>
    <row r="569" spans="1:38">
      <c r="A569" s="28">
        <f>IF(B569="","",SalePrefix&amp;TEXT(ROW()-4,"0000"))</f>
        <v>0</v>
      </c>
      <c r="E569" s="15">
        <f>IF(D569="","",IFERROR(INDEX(Clients!$B$5:$B$504,MATCH(D569,Clients!$A$5:$A$504,0)),"Walk-in"))</f>
        <v>0</v>
      </c>
      <c r="G569" s="15">
        <f>IF(F569="","",IFERROR(INDEX(Staff!$B$5:$B$44,MATCH(F569,Staff!$A$5:$A$44,0)),"House"))</f>
        <v>0</v>
      </c>
      <c r="R569" s="15">
        <f>IF(B569="","",TEXT(B569,"yyyy-mm"))</f>
        <v>0</v>
      </c>
      <c r="S569" s="25">
        <f>IF(B569="","",WEEKNUM(B569,2))</f>
        <v>0</v>
      </c>
      <c r="T569" s="37">
        <f>IF(B569="","",IF(K569="",1,K569))</f>
        <v>0</v>
      </c>
      <c r="U569" s="15">
        <f>IF(B569="","",IF(J569&lt;&gt;"",J569,IF(H569="Retail",IFERROR(INDEX(Inventory!$B$5:$B$304,MATCH(I569,Inventory!$A$5:$A$304,0))&amp;"","Not in Inventory"),IFERROR(INDEX(Services!$B$5:$B$204,MATCH(I569,Services!$A$5:$A$204,0))&amp;"","Not in Services"))))</f>
        <v>0</v>
      </c>
      <c r="V569" s="26">
        <f>IF(B569="","",IF(L569&lt;&gt;"",L569,IF(H569="Retail",IFERROR(INDEX(Inventory!$I$5:$I$304,MATCH(I569,Inventory!$A$5:$A$304,0))*1,0),IFERROR(INDEX(Services!$G$5:$G$204,MATCH(I569,Services!$A$5:$A$204,0))*1,0))))</f>
        <v>0</v>
      </c>
      <c r="W569" s="26">
        <f>IF(B569="","",ROUND(T569*V569,2))</f>
        <v>0</v>
      </c>
      <c r="X569" s="26">
        <f>IF(B569="","",ROUND(IF(M569="",0,W569*M569)+IF(N569="",0,N569),2))</f>
        <v>0</v>
      </c>
      <c r="Y569" s="26">
        <f>IF(B569="","",ROUND(W569-X569-IF(P569="",0,P569),2))</f>
        <v>0</v>
      </c>
      <c r="Z569" s="26">
        <f>IF(B569="","",IF(H569="Retail",IF(TaxOnRetail="Yes",ROUND(Y569*TaxRate,2),0),IF(H569="Service",IF(TaxOnServices="Yes",ROUND(Y569*TaxRate,2),0),0)))</f>
        <v>0</v>
      </c>
      <c r="AA569" s="26">
        <f>IF(B569="","",ROUND(Y569+Z569,2))</f>
        <v>0</v>
      </c>
      <c r="AB569" s="26">
        <f>IF(B569="","",ROUND(T569*IF(H569="Retail",IFERROR(INDEX(Inventory!$H$5:$H$304,MATCH(I569,Inventory!$A$5:$A$304,0))*1,0),IFERROR(INDEX(Services!$Q$5:$Q$204,MATCH(I569,Services!$A$5:$A$204,0))*1,0)),2))</f>
        <v>0</v>
      </c>
      <c r="AC569" s="26">
        <f>IF(B569="","",ROUND(Y569-AB569,2))</f>
        <v>0</v>
      </c>
      <c r="AD569" s="38">
        <f>IF(B569="","",IF(C569="","No",IF(COUNTIFS($C$5:C569,C569)=1,"Yes","No")))</f>
        <v>0</v>
      </c>
      <c r="AE569" s="26">
        <f>IF(B569="","",ROUND(SUMIFS(Payments!$G$5:$G$1204,Payments!$H$5:$H$1204,A569,Payments!$Q$5:$Q$1204,"Yes"),2))</f>
        <v>0</v>
      </c>
      <c r="AF569" s="26">
        <f>IF(B569="","",IF(AD569="No",0,ROUND(SUMIFS(Payments!$G$5:$G$1204,Payments!$I$5:$I$1204,C569,Payments!$H$5:$H$1204,"",Payments!$Q$5:$Q$1204,"Yes"),2)))</f>
        <v>0</v>
      </c>
      <c r="AG569" s="26">
        <f>IF(B569="","",ROUND(AE569+AF569,2))</f>
        <v>0</v>
      </c>
      <c r="AH569" s="26">
        <f>IF(B569="","",ROUND(AA569-AG569,2))</f>
        <v>0</v>
      </c>
      <c r="AI569" s="39">
        <f>IF(B569="","",IF(AA569&lt;=0,"No charge",IF(AH569&lt;=0.004,"Paid",IF(AG569&lt;=0.004,"Unpaid","Part paid"))))</f>
        <v>0</v>
      </c>
      <c r="AJ569" s="38">
        <f>IF(B569="","",IF(H569&lt;&gt;"Service","",IF(D569="","No",IF(COUNTIFS($D$5:$D$1204,D569,$B$5:$B$1204,B569,$H$5:$H$1204,"Retail")&gt;0,"Yes","No"))))</f>
        <v>0</v>
      </c>
      <c r="AK569" s="25">
        <f>IF(B569="","",COUNTIFS($Y$5:$Y$1204,"&gt;"&amp;Y569)+COUNTIFS($Y$5:Y569,Y569))</f>
        <v>0</v>
      </c>
      <c r="AL569" s="39">
        <f>IF(B569="","",IF(H569="","Add - what kind of sale is this?",IF(IF(V569&lt;=0,P569="",FALSE),"Check - no price found for this item",IF(F569="","Assign - nobody credited",IF(AH569&gt;0.004,"Unpaid - balance outstanding",IF(AC569&lt;0,"Loss - sold below cost",IF(X569&gt;W569*0.5,"Check - more than half off","OK")))))))</f>
        <v>0</v>
      </c>
    </row>
    <row r="570" spans="1:38">
      <c r="A570" s="28">
        <f>IF(B570="","",SalePrefix&amp;TEXT(ROW()-4,"0000"))</f>
        <v>0</v>
      </c>
      <c r="E570" s="15">
        <f>IF(D570="","",IFERROR(INDEX(Clients!$B$5:$B$504,MATCH(D570,Clients!$A$5:$A$504,0)),"Walk-in"))</f>
        <v>0</v>
      </c>
      <c r="G570" s="15">
        <f>IF(F570="","",IFERROR(INDEX(Staff!$B$5:$B$44,MATCH(F570,Staff!$A$5:$A$44,0)),"House"))</f>
        <v>0</v>
      </c>
      <c r="R570" s="15">
        <f>IF(B570="","",TEXT(B570,"yyyy-mm"))</f>
        <v>0</v>
      </c>
      <c r="S570" s="25">
        <f>IF(B570="","",WEEKNUM(B570,2))</f>
        <v>0</v>
      </c>
      <c r="T570" s="37">
        <f>IF(B570="","",IF(K570="",1,K570))</f>
        <v>0</v>
      </c>
      <c r="U570" s="15">
        <f>IF(B570="","",IF(J570&lt;&gt;"",J570,IF(H570="Retail",IFERROR(INDEX(Inventory!$B$5:$B$304,MATCH(I570,Inventory!$A$5:$A$304,0))&amp;"","Not in Inventory"),IFERROR(INDEX(Services!$B$5:$B$204,MATCH(I570,Services!$A$5:$A$204,0))&amp;"","Not in Services"))))</f>
        <v>0</v>
      </c>
      <c r="V570" s="26">
        <f>IF(B570="","",IF(L570&lt;&gt;"",L570,IF(H570="Retail",IFERROR(INDEX(Inventory!$I$5:$I$304,MATCH(I570,Inventory!$A$5:$A$304,0))*1,0),IFERROR(INDEX(Services!$G$5:$G$204,MATCH(I570,Services!$A$5:$A$204,0))*1,0))))</f>
        <v>0</v>
      </c>
      <c r="W570" s="26">
        <f>IF(B570="","",ROUND(T570*V570,2))</f>
        <v>0</v>
      </c>
      <c r="X570" s="26">
        <f>IF(B570="","",ROUND(IF(M570="",0,W570*M570)+IF(N570="",0,N570),2))</f>
        <v>0</v>
      </c>
      <c r="Y570" s="26">
        <f>IF(B570="","",ROUND(W570-X570-IF(P570="",0,P570),2))</f>
        <v>0</v>
      </c>
      <c r="Z570" s="26">
        <f>IF(B570="","",IF(H570="Retail",IF(TaxOnRetail="Yes",ROUND(Y570*TaxRate,2),0),IF(H570="Service",IF(TaxOnServices="Yes",ROUND(Y570*TaxRate,2),0),0)))</f>
        <v>0</v>
      </c>
      <c r="AA570" s="26">
        <f>IF(B570="","",ROUND(Y570+Z570,2))</f>
        <v>0</v>
      </c>
      <c r="AB570" s="26">
        <f>IF(B570="","",ROUND(T570*IF(H570="Retail",IFERROR(INDEX(Inventory!$H$5:$H$304,MATCH(I570,Inventory!$A$5:$A$304,0))*1,0),IFERROR(INDEX(Services!$Q$5:$Q$204,MATCH(I570,Services!$A$5:$A$204,0))*1,0)),2))</f>
        <v>0</v>
      </c>
      <c r="AC570" s="26">
        <f>IF(B570="","",ROUND(Y570-AB570,2))</f>
        <v>0</v>
      </c>
      <c r="AD570" s="38">
        <f>IF(B570="","",IF(C570="","No",IF(COUNTIFS($C$5:C570,C570)=1,"Yes","No")))</f>
        <v>0</v>
      </c>
      <c r="AE570" s="26">
        <f>IF(B570="","",ROUND(SUMIFS(Payments!$G$5:$G$1204,Payments!$H$5:$H$1204,A570,Payments!$Q$5:$Q$1204,"Yes"),2))</f>
        <v>0</v>
      </c>
      <c r="AF570" s="26">
        <f>IF(B570="","",IF(AD570="No",0,ROUND(SUMIFS(Payments!$G$5:$G$1204,Payments!$I$5:$I$1204,C570,Payments!$H$5:$H$1204,"",Payments!$Q$5:$Q$1204,"Yes"),2)))</f>
        <v>0</v>
      </c>
      <c r="AG570" s="26">
        <f>IF(B570="","",ROUND(AE570+AF570,2))</f>
        <v>0</v>
      </c>
      <c r="AH570" s="26">
        <f>IF(B570="","",ROUND(AA570-AG570,2))</f>
        <v>0</v>
      </c>
      <c r="AI570" s="39">
        <f>IF(B570="","",IF(AA570&lt;=0,"No charge",IF(AH570&lt;=0.004,"Paid",IF(AG570&lt;=0.004,"Unpaid","Part paid"))))</f>
        <v>0</v>
      </c>
      <c r="AJ570" s="38">
        <f>IF(B570="","",IF(H570&lt;&gt;"Service","",IF(D570="","No",IF(COUNTIFS($D$5:$D$1204,D570,$B$5:$B$1204,B570,$H$5:$H$1204,"Retail")&gt;0,"Yes","No"))))</f>
        <v>0</v>
      </c>
      <c r="AK570" s="25">
        <f>IF(B570="","",COUNTIFS($Y$5:$Y$1204,"&gt;"&amp;Y570)+COUNTIFS($Y$5:Y570,Y570))</f>
        <v>0</v>
      </c>
      <c r="AL570" s="39">
        <f>IF(B570="","",IF(H570="","Add - what kind of sale is this?",IF(IF(V570&lt;=0,P570="",FALSE),"Check - no price found for this item",IF(F570="","Assign - nobody credited",IF(AH570&gt;0.004,"Unpaid - balance outstanding",IF(AC570&lt;0,"Loss - sold below cost",IF(X570&gt;W570*0.5,"Check - more than half off","OK")))))))</f>
        <v>0</v>
      </c>
    </row>
    <row r="571" spans="1:38">
      <c r="A571" s="28">
        <f>IF(B571="","",SalePrefix&amp;TEXT(ROW()-4,"0000"))</f>
        <v>0</v>
      </c>
      <c r="E571" s="15">
        <f>IF(D571="","",IFERROR(INDEX(Clients!$B$5:$B$504,MATCH(D571,Clients!$A$5:$A$504,0)),"Walk-in"))</f>
        <v>0</v>
      </c>
      <c r="G571" s="15">
        <f>IF(F571="","",IFERROR(INDEX(Staff!$B$5:$B$44,MATCH(F571,Staff!$A$5:$A$44,0)),"House"))</f>
        <v>0</v>
      </c>
      <c r="R571" s="15">
        <f>IF(B571="","",TEXT(B571,"yyyy-mm"))</f>
        <v>0</v>
      </c>
      <c r="S571" s="25">
        <f>IF(B571="","",WEEKNUM(B571,2))</f>
        <v>0</v>
      </c>
      <c r="T571" s="37">
        <f>IF(B571="","",IF(K571="",1,K571))</f>
        <v>0</v>
      </c>
      <c r="U571" s="15">
        <f>IF(B571="","",IF(J571&lt;&gt;"",J571,IF(H571="Retail",IFERROR(INDEX(Inventory!$B$5:$B$304,MATCH(I571,Inventory!$A$5:$A$304,0))&amp;"","Not in Inventory"),IFERROR(INDEX(Services!$B$5:$B$204,MATCH(I571,Services!$A$5:$A$204,0))&amp;"","Not in Services"))))</f>
        <v>0</v>
      </c>
      <c r="V571" s="26">
        <f>IF(B571="","",IF(L571&lt;&gt;"",L571,IF(H571="Retail",IFERROR(INDEX(Inventory!$I$5:$I$304,MATCH(I571,Inventory!$A$5:$A$304,0))*1,0),IFERROR(INDEX(Services!$G$5:$G$204,MATCH(I571,Services!$A$5:$A$204,0))*1,0))))</f>
        <v>0</v>
      </c>
      <c r="W571" s="26">
        <f>IF(B571="","",ROUND(T571*V571,2))</f>
        <v>0</v>
      </c>
      <c r="X571" s="26">
        <f>IF(B571="","",ROUND(IF(M571="",0,W571*M571)+IF(N571="",0,N571),2))</f>
        <v>0</v>
      </c>
      <c r="Y571" s="26">
        <f>IF(B571="","",ROUND(W571-X571-IF(P571="",0,P571),2))</f>
        <v>0</v>
      </c>
      <c r="Z571" s="26">
        <f>IF(B571="","",IF(H571="Retail",IF(TaxOnRetail="Yes",ROUND(Y571*TaxRate,2),0),IF(H571="Service",IF(TaxOnServices="Yes",ROUND(Y571*TaxRate,2),0),0)))</f>
        <v>0</v>
      </c>
      <c r="AA571" s="26">
        <f>IF(B571="","",ROUND(Y571+Z571,2))</f>
        <v>0</v>
      </c>
      <c r="AB571" s="26">
        <f>IF(B571="","",ROUND(T571*IF(H571="Retail",IFERROR(INDEX(Inventory!$H$5:$H$304,MATCH(I571,Inventory!$A$5:$A$304,0))*1,0),IFERROR(INDEX(Services!$Q$5:$Q$204,MATCH(I571,Services!$A$5:$A$204,0))*1,0)),2))</f>
        <v>0</v>
      </c>
      <c r="AC571" s="26">
        <f>IF(B571="","",ROUND(Y571-AB571,2))</f>
        <v>0</v>
      </c>
      <c r="AD571" s="38">
        <f>IF(B571="","",IF(C571="","No",IF(COUNTIFS($C$5:C571,C571)=1,"Yes","No")))</f>
        <v>0</v>
      </c>
      <c r="AE571" s="26">
        <f>IF(B571="","",ROUND(SUMIFS(Payments!$G$5:$G$1204,Payments!$H$5:$H$1204,A571,Payments!$Q$5:$Q$1204,"Yes"),2))</f>
        <v>0</v>
      </c>
      <c r="AF571" s="26">
        <f>IF(B571="","",IF(AD571="No",0,ROUND(SUMIFS(Payments!$G$5:$G$1204,Payments!$I$5:$I$1204,C571,Payments!$H$5:$H$1204,"",Payments!$Q$5:$Q$1204,"Yes"),2)))</f>
        <v>0</v>
      </c>
      <c r="AG571" s="26">
        <f>IF(B571="","",ROUND(AE571+AF571,2))</f>
        <v>0</v>
      </c>
      <c r="AH571" s="26">
        <f>IF(B571="","",ROUND(AA571-AG571,2))</f>
        <v>0</v>
      </c>
      <c r="AI571" s="39">
        <f>IF(B571="","",IF(AA571&lt;=0,"No charge",IF(AH571&lt;=0.004,"Paid",IF(AG571&lt;=0.004,"Unpaid","Part paid"))))</f>
        <v>0</v>
      </c>
      <c r="AJ571" s="38">
        <f>IF(B571="","",IF(H571&lt;&gt;"Service","",IF(D571="","No",IF(COUNTIFS($D$5:$D$1204,D571,$B$5:$B$1204,B571,$H$5:$H$1204,"Retail")&gt;0,"Yes","No"))))</f>
        <v>0</v>
      </c>
      <c r="AK571" s="25">
        <f>IF(B571="","",COUNTIFS($Y$5:$Y$1204,"&gt;"&amp;Y571)+COUNTIFS($Y$5:Y571,Y571))</f>
        <v>0</v>
      </c>
      <c r="AL571" s="39">
        <f>IF(B571="","",IF(H571="","Add - what kind of sale is this?",IF(IF(V571&lt;=0,P571="",FALSE),"Check - no price found for this item",IF(F571="","Assign - nobody credited",IF(AH571&gt;0.004,"Unpaid - balance outstanding",IF(AC571&lt;0,"Loss - sold below cost",IF(X571&gt;W571*0.5,"Check - more than half off","OK")))))))</f>
        <v>0</v>
      </c>
    </row>
    <row r="572" spans="1:38">
      <c r="A572" s="28">
        <f>IF(B572="","",SalePrefix&amp;TEXT(ROW()-4,"0000"))</f>
        <v>0</v>
      </c>
      <c r="E572" s="15">
        <f>IF(D572="","",IFERROR(INDEX(Clients!$B$5:$B$504,MATCH(D572,Clients!$A$5:$A$504,0)),"Walk-in"))</f>
        <v>0</v>
      </c>
      <c r="G572" s="15">
        <f>IF(F572="","",IFERROR(INDEX(Staff!$B$5:$B$44,MATCH(F572,Staff!$A$5:$A$44,0)),"House"))</f>
        <v>0</v>
      </c>
      <c r="R572" s="15">
        <f>IF(B572="","",TEXT(B572,"yyyy-mm"))</f>
        <v>0</v>
      </c>
      <c r="S572" s="25">
        <f>IF(B572="","",WEEKNUM(B572,2))</f>
        <v>0</v>
      </c>
      <c r="T572" s="37">
        <f>IF(B572="","",IF(K572="",1,K572))</f>
        <v>0</v>
      </c>
      <c r="U572" s="15">
        <f>IF(B572="","",IF(J572&lt;&gt;"",J572,IF(H572="Retail",IFERROR(INDEX(Inventory!$B$5:$B$304,MATCH(I572,Inventory!$A$5:$A$304,0))&amp;"","Not in Inventory"),IFERROR(INDEX(Services!$B$5:$B$204,MATCH(I572,Services!$A$5:$A$204,0))&amp;"","Not in Services"))))</f>
        <v>0</v>
      </c>
      <c r="V572" s="26">
        <f>IF(B572="","",IF(L572&lt;&gt;"",L572,IF(H572="Retail",IFERROR(INDEX(Inventory!$I$5:$I$304,MATCH(I572,Inventory!$A$5:$A$304,0))*1,0),IFERROR(INDEX(Services!$G$5:$G$204,MATCH(I572,Services!$A$5:$A$204,0))*1,0))))</f>
        <v>0</v>
      </c>
      <c r="W572" s="26">
        <f>IF(B572="","",ROUND(T572*V572,2))</f>
        <v>0</v>
      </c>
      <c r="X572" s="26">
        <f>IF(B572="","",ROUND(IF(M572="",0,W572*M572)+IF(N572="",0,N572),2))</f>
        <v>0</v>
      </c>
      <c r="Y572" s="26">
        <f>IF(B572="","",ROUND(W572-X572-IF(P572="",0,P572),2))</f>
        <v>0</v>
      </c>
      <c r="Z572" s="26">
        <f>IF(B572="","",IF(H572="Retail",IF(TaxOnRetail="Yes",ROUND(Y572*TaxRate,2),0),IF(H572="Service",IF(TaxOnServices="Yes",ROUND(Y572*TaxRate,2),0),0)))</f>
        <v>0</v>
      </c>
      <c r="AA572" s="26">
        <f>IF(B572="","",ROUND(Y572+Z572,2))</f>
        <v>0</v>
      </c>
      <c r="AB572" s="26">
        <f>IF(B572="","",ROUND(T572*IF(H572="Retail",IFERROR(INDEX(Inventory!$H$5:$H$304,MATCH(I572,Inventory!$A$5:$A$304,0))*1,0),IFERROR(INDEX(Services!$Q$5:$Q$204,MATCH(I572,Services!$A$5:$A$204,0))*1,0)),2))</f>
        <v>0</v>
      </c>
      <c r="AC572" s="26">
        <f>IF(B572="","",ROUND(Y572-AB572,2))</f>
        <v>0</v>
      </c>
      <c r="AD572" s="38">
        <f>IF(B572="","",IF(C572="","No",IF(COUNTIFS($C$5:C572,C572)=1,"Yes","No")))</f>
        <v>0</v>
      </c>
      <c r="AE572" s="26">
        <f>IF(B572="","",ROUND(SUMIFS(Payments!$G$5:$G$1204,Payments!$H$5:$H$1204,A572,Payments!$Q$5:$Q$1204,"Yes"),2))</f>
        <v>0</v>
      </c>
      <c r="AF572" s="26">
        <f>IF(B572="","",IF(AD572="No",0,ROUND(SUMIFS(Payments!$G$5:$G$1204,Payments!$I$5:$I$1204,C572,Payments!$H$5:$H$1204,"",Payments!$Q$5:$Q$1204,"Yes"),2)))</f>
        <v>0</v>
      </c>
      <c r="AG572" s="26">
        <f>IF(B572="","",ROUND(AE572+AF572,2))</f>
        <v>0</v>
      </c>
      <c r="AH572" s="26">
        <f>IF(B572="","",ROUND(AA572-AG572,2))</f>
        <v>0</v>
      </c>
      <c r="AI572" s="39">
        <f>IF(B572="","",IF(AA572&lt;=0,"No charge",IF(AH572&lt;=0.004,"Paid",IF(AG572&lt;=0.004,"Unpaid","Part paid"))))</f>
        <v>0</v>
      </c>
      <c r="AJ572" s="38">
        <f>IF(B572="","",IF(H572&lt;&gt;"Service","",IF(D572="","No",IF(COUNTIFS($D$5:$D$1204,D572,$B$5:$B$1204,B572,$H$5:$H$1204,"Retail")&gt;0,"Yes","No"))))</f>
        <v>0</v>
      </c>
      <c r="AK572" s="25">
        <f>IF(B572="","",COUNTIFS($Y$5:$Y$1204,"&gt;"&amp;Y572)+COUNTIFS($Y$5:Y572,Y572))</f>
        <v>0</v>
      </c>
      <c r="AL572" s="39">
        <f>IF(B572="","",IF(H572="","Add - what kind of sale is this?",IF(IF(V572&lt;=0,P572="",FALSE),"Check - no price found for this item",IF(F572="","Assign - nobody credited",IF(AH572&gt;0.004,"Unpaid - balance outstanding",IF(AC572&lt;0,"Loss - sold below cost",IF(X572&gt;W572*0.5,"Check - more than half off","OK")))))))</f>
        <v>0</v>
      </c>
    </row>
    <row r="573" spans="1:38">
      <c r="A573" s="28">
        <f>IF(B573="","",SalePrefix&amp;TEXT(ROW()-4,"0000"))</f>
        <v>0</v>
      </c>
      <c r="E573" s="15">
        <f>IF(D573="","",IFERROR(INDEX(Clients!$B$5:$B$504,MATCH(D573,Clients!$A$5:$A$504,0)),"Walk-in"))</f>
        <v>0</v>
      </c>
      <c r="G573" s="15">
        <f>IF(F573="","",IFERROR(INDEX(Staff!$B$5:$B$44,MATCH(F573,Staff!$A$5:$A$44,0)),"House"))</f>
        <v>0</v>
      </c>
      <c r="R573" s="15">
        <f>IF(B573="","",TEXT(B573,"yyyy-mm"))</f>
        <v>0</v>
      </c>
      <c r="S573" s="25">
        <f>IF(B573="","",WEEKNUM(B573,2))</f>
        <v>0</v>
      </c>
      <c r="T573" s="37">
        <f>IF(B573="","",IF(K573="",1,K573))</f>
        <v>0</v>
      </c>
      <c r="U573" s="15">
        <f>IF(B573="","",IF(J573&lt;&gt;"",J573,IF(H573="Retail",IFERROR(INDEX(Inventory!$B$5:$B$304,MATCH(I573,Inventory!$A$5:$A$304,0))&amp;"","Not in Inventory"),IFERROR(INDEX(Services!$B$5:$B$204,MATCH(I573,Services!$A$5:$A$204,0))&amp;"","Not in Services"))))</f>
        <v>0</v>
      </c>
      <c r="V573" s="26">
        <f>IF(B573="","",IF(L573&lt;&gt;"",L573,IF(H573="Retail",IFERROR(INDEX(Inventory!$I$5:$I$304,MATCH(I573,Inventory!$A$5:$A$304,0))*1,0),IFERROR(INDEX(Services!$G$5:$G$204,MATCH(I573,Services!$A$5:$A$204,0))*1,0))))</f>
        <v>0</v>
      </c>
      <c r="W573" s="26">
        <f>IF(B573="","",ROUND(T573*V573,2))</f>
        <v>0</v>
      </c>
      <c r="X573" s="26">
        <f>IF(B573="","",ROUND(IF(M573="",0,W573*M573)+IF(N573="",0,N573),2))</f>
        <v>0</v>
      </c>
      <c r="Y573" s="26">
        <f>IF(B573="","",ROUND(W573-X573-IF(P573="",0,P573),2))</f>
        <v>0</v>
      </c>
      <c r="Z573" s="26">
        <f>IF(B573="","",IF(H573="Retail",IF(TaxOnRetail="Yes",ROUND(Y573*TaxRate,2),0),IF(H573="Service",IF(TaxOnServices="Yes",ROUND(Y573*TaxRate,2),0),0)))</f>
        <v>0</v>
      </c>
      <c r="AA573" s="26">
        <f>IF(B573="","",ROUND(Y573+Z573,2))</f>
        <v>0</v>
      </c>
      <c r="AB573" s="26">
        <f>IF(B573="","",ROUND(T573*IF(H573="Retail",IFERROR(INDEX(Inventory!$H$5:$H$304,MATCH(I573,Inventory!$A$5:$A$304,0))*1,0),IFERROR(INDEX(Services!$Q$5:$Q$204,MATCH(I573,Services!$A$5:$A$204,0))*1,0)),2))</f>
        <v>0</v>
      </c>
      <c r="AC573" s="26">
        <f>IF(B573="","",ROUND(Y573-AB573,2))</f>
        <v>0</v>
      </c>
      <c r="AD573" s="38">
        <f>IF(B573="","",IF(C573="","No",IF(COUNTIFS($C$5:C573,C573)=1,"Yes","No")))</f>
        <v>0</v>
      </c>
      <c r="AE573" s="26">
        <f>IF(B573="","",ROUND(SUMIFS(Payments!$G$5:$G$1204,Payments!$H$5:$H$1204,A573,Payments!$Q$5:$Q$1204,"Yes"),2))</f>
        <v>0</v>
      </c>
      <c r="AF573" s="26">
        <f>IF(B573="","",IF(AD573="No",0,ROUND(SUMIFS(Payments!$G$5:$G$1204,Payments!$I$5:$I$1204,C573,Payments!$H$5:$H$1204,"",Payments!$Q$5:$Q$1204,"Yes"),2)))</f>
        <v>0</v>
      </c>
      <c r="AG573" s="26">
        <f>IF(B573="","",ROUND(AE573+AF573,2))</f>
        <v>0</v>
      </c>
      <c r="AH573" s="26">
        <f>IF(B573="","",ROUND(AA573-AG573,2))</f>
        <v>0</v>
      </c>
      <c r="AI573" s="39">
        <f>IF(B573="","",IF(AA573&lt;=0,"No charge",IF(AH573&lt;=0.004,"Paid",IF(AG573&lt;=0.004,"Unpaid","Part paid"))))</f>
        <v>0</v>
      </c>
      <c r="AJ573" s="38">
        <f>IF(B573="","",IF(H573&lt;&gt;"Service","",IF(D573="","No",IF(COUNTIFS($D$5:$D$1204,D573,$B$5:$B$1204,B573,$H$5:$H$1204,"Retail")&gt;0,"Yes","No"))))</f>
        <v>0</v>
      </c>
      <c r="AK573" s="25">
        <f>IF(B573="","",COUNTIFS($Y$5:$Y$1204,"&gt;"&amp;Y573)+COUNTIFS($Y$5:Y573,Y573))</f>
        <v>0</v>
      </c>
      <c r="AL573" s="39">
        <f>IF(B573="","",IF(H573="","Add - what kind of sale is this?",IF(IF(V573&lt;=0,P573="",FALSE),"Check - no price found for this item",IF(F573="","Assign - nobody credited",IF(AH573&gt;0.004,"Unpaid - balance outstanding",IF(AC573&lt;0,"Loss - sold below cost",IF(X573&gt;W573*0.5,"Check - more than half off","OK")))))))</f>
        <v>0</v>
      </c>
    </row>
    <row r="574" spans="1:38">
      <c r="A574" s="28">
        <f>IF(B574="","",SalePrefix&amp;TEXT(ROW()-4,"0000"))</f>
        <v>0</v>
      </c>
      <c r="E574" s="15">
        <f>IF(D574="","",IFERROR(INDEX(Clients!$B$5:$B$504,MATCH(D574,Clients!$A$5:$A$504,0)),"Walk-in"))</f>
        <v>0</v>
      </c>
      <c r="G574" s="15">
        <f>IF(F574="","",IFERROR(INDEX(Staff!$B$5:$B$44,MATCH(F574,Staff!$A$5:$A$44,0)),"House"))</f>
        <v>0</v>
      </c>
      <c r="R574" s="15">
        <f>IF(B574="","",TEXT(B574,"yyyy-mm"))</f>
        <v>0</v>
      </c>
      <c r="S574" s="25">
        <f>IF(B574="","",WEEKNUM(B574,2))</f>
        <v>0</v>
      </c>
      <c r="T574" s="37">
        <f>IF(B574="","",IF(K574="",1,K574))</f>
        <v>0</v>
      </c>
      <c r="U574" s="15">
        <f>IF(B574="","",IF(J574&lt;&gt;"",J574,IF(H574="Retail",IFERROR(INDEX(Inventory!$B$5:$B$304,MATCH(I574,Inventory!$A$5:$A$304,0))&amp;"","Not in Inventory"),IFERROR(INDEX(Services!$B$5:$B$204,MATCH(I574,Services!$A$5:$A$204,0))&amp;"","Not in Services"))))</f>
        <v>0</v>
      </c>
      <c r="V574" s="26">
        <f>IF(B574="","",IF(L574&lt;&gt;"",L574,IF(H574="Retail",IFERROR(INDEX(Inventory!$I$5:$I$304,MATCH(I574,Inventory!$A$5:$A$304,0))*1,0),IFERROR(INDEX(Services!$G$5:$G$204,MATCH(I574,Services!$A$5:$A$204,0))*1,0))))</f>
        <v>0</v>
      </c>
      <c r="W574" s="26">
        <f>IF(B574="","",ROUND(T574*V574,2))</f>
        <v>0</v>
      </c>
      <c r="X574" s="26">
        <f>IF(B574="","",ROUND(IF(M574="",0,W574*M574)+IF(N574="",0,N574),2))</f>
        <v>0</v>
      </c>
      <c r="Y574" s="26">
        <f>IF(B574="","",ROUND(W574-X574-IF(P574="",0,P574),2))</f>
        <v>0</v>
      </c>
      <c r="Z574" s="26">
        <f>IF(B574="","",IF(H574="Retail",IF(TaxOnRetail="Yes",ROUND(Y574*TaxRate,2),0),IF(H574="Service",IF(TaxOnServices="Yes",ROUND(Y574*TaxRate,2),0),0)))</f>
        <v>0</v>
      </c>
      <c r="AA574" s="26">
        <f>IF(B574="","",ROUND(Y574+Z574,2))</f>
        <v>0</v>
      </c>
      <c r="AB574" s="26">
        <f>IF(B574="","",ROUND(T574*IF(H574="Retail",IFERROR(INDEX(Inventory!$H$5:$H$304,MATCH(I574,Inventory!$A$5:$A$304,0))*1,0),IFERROR(INDEX(Services!$Q$5:$Q$204,MATCH(I574,Services!$A$5:$A$204,0))*1,0)),2))</f>
        <v>0</v>
      </c>
      <c r="AC574" s="26">
        <f>IF(B574="","",ROUND(Y574-AB574,2))</f>
        <v>0</v>
      </c>
      <c r="AD574" s="38">
        <f>IF(B574="","",IF(C574="","No",IF(COUNTIFS($C$5:C574,C574)=1,"Yes","No")))</f>
        <v>0</v>
      </c>
      <c r="AE574" s="26">
        <f>IF(B574="","",ROUND(SUMIFS(Payments!$G$5:$G$1204,Payments!$H$5:$H$1204,A574,Payments!$Q$5:$Q$1204,"Yes"),2))</f>
        <v>0</v>
      </c>
      <c r="AF574" s="26">
        <f>IF(B574="","",IF(AD574="No",0,ROUND(SUMIFS(Payments!$G$5:$G$1204,Payments!$I$5:$I$1204,C574,Payments!$H$5:$H$1204,"",Payments!$Q$5:$Q$1204,"Yes"),2)))</f>
        <v>0</v>
      </c>
      <c r="AG574" s="26">
        <f>IF(B574="","",ROUND(AE574+AF574,2))</f>
        <v>0</v>
      </c>
      <c r="AH574" s="26">
        <f>IF(B574="","",ROUND(AA574-AG574,2))</f>
        <v>0</v>
      </c>
      <c r="AI574" s="39">
        <f>IF(B574="","",IF(AA574&lt;=0,"No charge",IF(AH574&lt;=0.004,"Paid",IF(AG574&lt;=0.004,"Unpaid","Part paid"))))</f>
        <v>0</v>
      </c>
      <c r="AJ574" s="38">
        <f>IF(B574="","",IF(H574&lt;&gt;"Service","",IF(D574="","No",IF(COUNTIFS($D$5:$D$1204,D574,$B$5:$B$1204,B574,$H$5:$H$1204,"Retail")&gt;0,"Yes","No"))))</f>
        <v>0</v>
      </c>
      <c r="AK574" s="25">
        <f>IF(B574="","",COUNTIFS($Y$5:$Y$1204,"&gt;"&amp;Y574)+COUNTIFS($Y$5:Y574,Y574))</f>
        <v>0</v>
      </c>
      <c r="AL574" s="39">
        <f>IF(B574="","",IF(H574="","Add - what kind of sale is this?",IF(IF(V574&lt;=0,P574="",FALSE),"Check - no price found for this item",IF(F574="","Assign - nobody credited",IF(AH574&gt;0.004,"Unpaid - balance outstanding",IF(AC574&lt;0,"Loss - sold below cost",IF(X574&gt;W574*0.5,"Check - more than half off","OK")))))))</f>
        <v>0</v>
      </c>
    </row>
    <row r="575" spans="1:38">
      <c r="A575" s="28">
        <f>IF(B575="","",SalePrefix&amp;TEXT(ROW()-4,"0000"))</f>
        <v>0</v>
      </c>
      <c r="E575" s="15">
        <f>IF(D575="","",IFERROR(INDEX(Clients!$B$5:$B$504,MATCH(D575,Clients!$A$5:$A$504,0)),"Walk-in"))</f>
        <v>0</v>
      </c>
      <c r="G575" s="15">
        <f>IF(F575="","",IFERROR(INDEX(Staff!$B$5:$B$44,MATCH(F575,Staff!$A$5:$A$44,0)),"House"))</f>
        <v>0</v>
      </c>
      <c r="R575" s="15">
        <f>IF(B575="","",TEXT(B575,"yyyy-mm"))</f>
        <v>0</v>
      </c>
      <c r="S575" s="25">
        <f>IF(B575="","",WEEKNUM(B575,2))</f>
        <v>0</v>
      </c>
      <c r="T575" s="37">
        <f>IF(B575="","",IF(K575="",1,K575))</f>
        <v>0</v>
      </c>
      <c r="U575" s="15">
        <f>IF(B575="","",IF(J575&lt;&gt;"",J575,IF(H575="Retail",IFERROR(INDEX(Inventory!$B$5:$B$304,MATCH(I575,Inventory!$A$5:$A$304,0))&amp;"","Not in Inventory"),IFERROR(INDEX(Services!$B$5:$B$204,MATCH(I575,Services!$A$5:$A$204,0))&amp;"","Not in Services"))))</f>
        <v>0</v>
      </c>
      <c r="V575" s="26">
        <f>IF(B575="","",IF(L575&lt;&gt;"",L575,IF(H575="Retail",IFERROR(INDEX(Inventory!$I$5:$I$304,MATCH(I575,Inventory!$A$5:$A$304,0))*1,0),IFERROR(INDEX(Services!$G$5:$G$204,MATCH(I575,Services!$A$5:$A$204,0))*1,0))))</f>
        <v>0</v>
      </c>
      <c r="W575" s="26">
        <f>IF(B575="","",ROUND(T575*V575,2))</f>
        <v>0</v>
      </c>
      <c r="X575" s="26">
        <f>IF(B575="","",ROUND(IF(M575="",0,W575*M575)+IF(N575="",0,N575),2))</f>
        <v>0</v>
      </c>
      <c r="Y575" s="26">
        <f>IF(B575="","",ROUND(W575-X575-IF(P575="",0,P575),2))</f>
        <v>0</v>
      </c>
      <c r="Z575" s="26">
        <f>IF(B575="","",IF(H575="Retail",IF(TaxOnRetail="Yes",ROUND(Y575*TaxRate,2),0),IF(H575="Service",IF(TaxOnServices="Yes",ROUND(Y575*TaxRate,2),0),0)))</f>
        <v>0</v>
      </c>
      <c r="AA575" s="26">
        <f>IF(B575="","",ROUND(Y575+Z575,2))</f>
        <v>0</v>
      </c>
      <c r="AB575" s="26">
        <f>IF(B575="","",ROUND(T575*IF(H575="Retail",IFERROR(INDEX(Inventory!$H$5:$H$304,MATCH(I575,Inventory!$A$5:$A$304,0))*1,0),IFERROR(INDEX(Services!$Q$5:$Q$204,MATCH(I575,Services!$A$5:$A$204,0))*1,0)),2))</f>
        <v>0</v>
      </c>
      <c r="AC575" s="26">
        <f>IF(B575="","",ROUND(Y575-AB575,2))</f>
        <v>0</v>
      </c>
      <c r="AD575" s="38">
        <f>IF(B575="","",IF(C575="","No",IF(COUNTIFS($C$5:C575,C575)=1,"Yes","No")))</f>
        <v>0</v>
      </c>
      <c r="AE575" s="26">
        <f>IF(B575="","",ROUND(SUMIFS(Payments!$G$5:$G$1204,Payments!$H$5:$H$1204,A575,Payments!$Q$5:$Q$1204,"Yes"),2))</f>
        <v>0</v>
      </c>
      <c r="AF575" s="26">
        <f>IF(B575="","",IF(AD575="No",0,ROUND(SUMIFS(Payments!$G$5:$G$1204,Payments!$I$5:$I$1204,C575,Payments!$H$5:$H$1204,"",Payments!$Q$5:$Q$1204,"Yes"),2)))</f>
        <v>0</v>
      </c>
      <c r="AG575" s="26">
        <f>IF(B575="","",ROUND(AE575+AF575,2))</f>
        <v>0</v>
      </c>
      <c r="AH575" s="26">
        <f>IF(B575="","",ROUND(AA575-AG575,2))</f>
        <v>0</v>
      </c>
      <c r="AI575" s="39">
        <f>IF(B575="","",IF(AA575&lt;=0,"No charge",IF(AH575&lt;=0.004,"Paid",IF(AG575&lt;=0.004,"Unpaid","Part paid"))))</f>
        <v>0</v>
      </c>
      <c r="AJ575" s="38">
        <f>IF(B575="","",IF(H575&lt;&gt;"Service","",IF(D575="","No",IF(COUNTIFS($D$5:$D$1204,D575,$B$5:$B$1204,B575,$H$5:$H$1204,"Retail")&gt;0,"Yes","No"))))</f>
        <v>0</v>
      </c>
      <c r="AK575" s="25">
        <f>IF(B575="","",COUNTIFS($Y$5:$Y$1204,"&gt;"&amp;Y575)+COUNTIFS($Y$5:Y575,Y575))</f>
        <v>0</v>
      </c>
      <c r="AL575" s="39">
        <f>IF(B575="","",IF(H575="","Add - what kind of sale is this?",IF(IF(V575&lt;=0,P575="",FALSE),"Check - no price found for this item",IF(F575="","Assign - nobody credited",IF(AH575&gt;0.004,"Unpaid - balance outstanding",IF(AC575&lt;0,"Loss - sold below cost",IF(X575&gt;W575*0.5,"Check - more than half off","OK")))))))</f>
        <v>0</v>
      </c>
    </row>
    <row r="576" spans="1:38">
      <c r="A576" s="28">
        <f>IF(B576="","",SalePrefix&amp;TEXT(ROW()-4,"0000"))</f>
        <v>0</v>
      </c>
      <c r="E576" s="15">
        <f>IF(D576="","",IFERROR(INDEX(Clients!$B$5:$B$504,MATCH(D576,Clients!$A$5:$A$504,0)),"Walk-in"))</f>
        <v>0</v>
      </c>
      <c r="G576" s="15">
        <f>IF(F576="","",IFERROR(INDEX(Staff!$B$5:$B$44,MATCH(F576,Staff!$A$5:$A$44,0)),"House"))</f>
        <v>0</v>
      </c>
      <c r="R576" s="15">
        <f>IF(B576="","",TEXT(B576,"yyyy-mm"))</f>
        <v>0</v>
      </c>
      <c r="S576" s="25">
        <f>IF(B576="","",WEEKNUM(B576,2))</f>
        <v>0</v>
      </c>
      <c r="T576" s="37">
        <f>IF(B576="","",IF(K576="",1,K576))</f>
        <v>0</v>
      </c>
      <c r="U576" s="15">
        <f>IF(B576="","",IF(J576&lt;&gt;"",J576,IF(H576="Retail",IFERROR(INDEX(Inventory!$B$5:$B$304,MATCH(I576,Inventory!$A$5:$A$304,0))&amp;"","Not in Inventory"),IFERROR(INDEX(Services!$B$5:$B$204,MATCH(I576,Services!$A$5:$A$204,0))&amp;"","Not in Services"))))</f>
        <v>0</v>
      </c>
      <c r="V576" s="26">
        <f>IF(B576="","",IF(L576&lt;&gt;"",L576,IF(H576="Retail",IFERROR(INDEX(Inventory!$I$5:$I$304,MATCH(I576,Inventory!$A$5:$A$304,0))*1,0),IFERROR(INDEX(Services!$G$5:$G$204,MATCH(I576,Services!$A$5:$A$204,0))*1,0))))</f>
        <v>0</v>
      </c>
      <c r="W576" s="26">
        <f>IF(B576="","",ROUND(T576*V576,2))</f>
        <v>0</v>
      </c>
      <c r="X576" s="26">
        <f>IF(B576="","",ROUND(IF(M576="",0,W576*M576)+IF(N576="",0,N576),2))</f>
        <v>0</v>
      </c>
      <c r="Y576" s="26">
        <f>IF(B576="","",ROUND(W576-X576-IF(P576="",0,P576),2))</f>
        <v>0</v>
      </c>
      <c r="Z576" s="26">
        <f>IF(B576="","",IF(H576="Retail",IF(TaxOnRetail="Yes",ROUND(Y576*TaxRate,2),0),IF(H576="Service",IF(TaxOnServices="Yes",ROUND(Y576*TaxRate,2),0),0)))</f>
        <v>0</v>
      </c>
      <c r="AA576" s="26">
        <f>IF(B576="","",ROUND(Y576+Z576,2))</f>
        <v>0</v>
      </c>
      <c r="AB576" s="26">
        <f>IF(B576="","",ROUND(T576*IF(H576="Retail",IFERROR(INDEX(Inventory!$H$5:$H$304,MATCH(I576,Inventory!$A$5:$A$304,0))*1,0),IFERROR(INDEX(Services!$Q$5:$Q$204,MATCH(I576,Services!$A$5:$A$204,0))*1,0)),2))</f>
        <v>0</v>
      </c>
      <c r="AC576" s="26">
        <f>IF(B576="","",ROUND(Y576-AB576,2))</f>
        <v>0</v>
      </c>
      <c r="AD576" s="38">
        <f>IF(B576="","",IF(C576="","No",IF(COUNTIFS($C$5:C576,C576)=1,"Yes","No")))</f>
        <v>0</v>
      </c>
      <c r="AE576" s="26">
        <f>IF(B576="","",ROUND(SUMIFS(Payments!$G$5:$G$1204,Payments!$H$5:$H$1204,A576,Payments!$Q$5:$Q$1204,"Yes"),2))</f>
        <v>0</v>
      </c>
      <c r="AF576" s="26">
        <f>IF(B576="","",IF(AD576="No",0,ROUND(SUMIFS(Payments!$G$5:$G$1204,Payments!$I$5:$I$1204,C576,Payments!$H$5:$H$1204,"",Payments!$Q$5:$Q$1204,"Yes"),2)))</f>
        <v>0</v>
      </c>
      <c r="AG576" s="26">
        <f>IF(B576="","",ROUND(AE576+AF576,2))</f>
        <v>0</v>
      </c>
      <c r="AH576" s="26">
        <f>IF(B576="","",ROUND(AA576-AG576,2))</f>
        <v>0</v>
      </c>
      <c r="AI576" s="39">
        <f>IF(B576="","",IF(AA576&lt;=0,"No charge",IF(AH576&lt;=0.004,"Paid",IF(AG576&lt;=0.004,"Unpaid","Part paid"))))</f>
        <v>0</v>
      </c>
      <c r="AJ576" s="38">
        <f>IF(B576="","",IF(H576&lt;&gt;"Service","",IF(D576="","No",IF(COUNTIFS($D$5:$D$1204,D576,$B$5:$B$1204,B576,$H$5:$H$1204,"Retail")&gt;0,"Yes","No"))))</f>
        <v>0</v>
      </c>
      <c r="AK576" s="25">
        <f>IF(B576="","",COUNTIFS($Y$5:$Y$1204,"&gt;"&amp;Y576)+COUNTIFS($Y$5:Y576,Y576))</f>
        <v>0</v>
      </c>
      <c r="AL576" s="39">
        <f>IF(B576="","",IF(H576="","Add - what kind of sale is this?",IF(IF(V576&lt;=0,P576="",FALSE),"Check - no price found for this item",IF(F576="","Assign - nobody credited",IF(AH576&gt;0.004,"Unpaid - balance outstanding",IF(AC576&lt;0,"Loss - sold below cost",IF(X576&gt;W576*0.5,"Check - more than half off","OK")))))))</f>
        <v>0</v>
      </c>
    </row>
    <row r="577" spans="1:38">
      <c r="A577" s="28">
        <f>IF(B577="","",SalePrefix&amp;TEXT(ROW()-4,"0000"))</f>
        <v>0</v>
      </c>
      <c r="E577" s="15">
        <f>IF(D577="","",IFERROR(INDEX(Clients!$B$5:$B$504,MATCH(D577,Clients!$A$5:$A$504,0)),"Walk-in"))</f>
        <v>0</v>
      </c>
      <c r="G577" s="15">
        <f>IF(F577="","",IFERROR(INDEX(Staff!$B$5:$B$44,MATCH(F577,Staff!$A$5:$A$44,0)),"House"))</f>
        <v>0</v>
      </c>
      <c r="R577" s="15">
        <f>IF(B577="","",TEXT(B577,"yyyy-mm"))</f>
        <v>0</v>
      </c>
      <c r="S577" s="25">
        <f>IF(B577="","",WEEKNUM(B577,2))</f>
        <v>0</v>
      </c>
      <c r="T577" s="37">
        <f>IF(B577="","",IF(K577="",1,K577))</f>
        <v>0</v>
      </c>
      <c r="U577" s="15">
        <f>IF(B577="","",IF(J577&lt;&gt;"",J577,IF(H577="Retail",IFERROR(INDEX(Inventory!$B$5:$B$304,MATCH(I577,Inventory!$A$5:$A$304,0))&amp;"","Not in Inventory"),IFERROR(INDEX(Services!$B$5:$B$204,MATCH(I577,Services!$A$5:$A$204,0))&amp;"","Not in Services"))))</f>
        <v>0</v>
      </c>
      <c r="V577" s="26">
        <f>IF(B577="","",IF(L577&lt;&gt;"",L577,IF(H577="Retail",IFERROR(INDEX(Inventory!$I$5:$I$304,MATCH(I577,Inventory!$A$5:$A$304,0))*1,0),IFERROR(INDEX(Services!$G$5:$G$204,MATCH(I577,Services!$A$5:$A$204,0))*1,0))))</f>
        <v>0</v>
      </c>
      <c r="W577" s="26">
        <f>IF(B577="","",ROUND(T577*V577,2))</f>
        <v>0</v>
      </c>
      <c r="X577" s="26">
        <f>IF(B577="","",ROUND(IF(M577="",0,W577*M577)+IF(N577="",0,N577),2))</f>
        <v>0</v>
      </c>
      <c r="Y577" s="26">
        <f>IF(B577="","",ROUND(W577-X577-IF(P577="",0,P577),2))</f>
        <v>0</v>
      </c>
      <c r="Z577" s="26">
        <f>IF(B577="","",IF(H577="Retail",IF(TaxOnRetail="Yes",ROUND(Y577*TaxRate,2),0),IF(H577="Service",IF(TaxOnServices="Yes",ROUND(Y577*TaxRate,2),0),0)))</f>
        <v>0</v>
      </c>
      <c r="AA577" s="26">
        <f>IF(B577="","",ROUND(Y577+Z577,2))</f>
        <v>0</v>
      </c>
      <c r="AB577" s="26">
        <f>IF(B577="","",ROUND(T577*IF(H577="Retail",IFERROR(INDEX(Inventory!$H$5:$H$304,MATCH(I577,Inventory!$A$5:$A$304,0))*1,0),IFERROR(INDEX(Services!$Q$5:$Q$204,MATCH(I577,Services!$A$5:$A$204,0))*1,0)),2))</f>
        <v>0</v>
      </c>
      <c r="AC577" s="26">
        <f>IF(B577="","",ROUND(Y577-AB577,2))</f>
        <v>0</v>
      </c>
      <c r="AD577" s="38">
        <f>IF(B577="","",IF(C577="","No",IF(COUNTIFS($C$5:C577,C577)=1,"Yes","No")))</f>
        <v>0</v>
      </c>
      <c r="AE577" s="26">
        <f>IF(B577="","",ROUND(SUMIFS(Payments!$G$5:$G$1204,Payments!$H$5:$H$1204,A577,Payments!$Q$5:$Q$1204,"Yes"),2))</f>
        <v>0</v>
      </c>
      <c r="AF577" s="26">
        <f>IF(B577="","",IF(AD577="No",0,ROUND(SUMIFS(Payments!$G$5:$G$1204,Payments!$I$5:$I$1204,C577,Payments!$H$5:$H$1204,"",Payments!$Q$5:$Q$1204,"Yes"),2)))</f>
        <v>0</v>
      </c>
      <c r="AG577" s="26">
        <f>IF(B577="","",ROUND(AE577+AF577,2))</f>
        <v>0</v>
      </c>
      <c r="AH577" s="26">
        <f>IF(B577="","",ROUND(AA577-AG577,2))</f>
        <v>0</v>
      </c>
      <c r="AI577" s="39">
        <f>IF(B577="","",IF(AA577&lt;=0,"No charge",IF(AH577&lt;=0.004,"Paid",IF(AG577&lt;=0.004,"Unpaid","Part paid"))))</f>
        <v>0</v>
      </c>
      <c r="AJ577" s="38">
        <f>IF(B577="","",IF(H577&lt;&gt;"Service","",IF(D577="","No",IF(COUNTIFS($D$5:$D$1204,D577,$B$5:$B$1204,B577,$H$5:$H$1204,"Retail")&gt;0,"Yes","No"))))</f>
        <v>0</v>
      </c>
      <c r="AK577" s="25">
        <f>IF(B577="","",COUNTIFS($Y$5:$Y$1204,"&gt;"&amp;Y577)+COUNTIFS($Y$5:Y577,Y577))</f>
        <v>0</v>
      </c>
      <c r="AL577" s="39">
        <f>IF(B577="","",IF(H577="","Add - what kind of sale is this?",IF(IF(V577&lt;=0,P577="",FALSE),"Check - no price found for this item",IF(F577="","Assign - nobody credited",IF(AH577&gt;0.004,"Unpaid - balance outstanding",IF(AC577&lt;0,"Loss - sold below cost",IF(X577&gt;W577*0.5,"Check - more than half off","OK")))))))</f>
        <v>0</v>
      </c>
    </row>
    <row r="578" spans="1:38">
      <c r="A578" s="28">
        <f>IF(B578="","",SalePrefix&amp;TEXT(ROW()-4,"0000"))</f>
        <v>0</v>
      </c>
      <c r="E578" s="15">
        <f>IF(D578="","",IFERROR(INDEX(Clients!$B$5:$B$504,MATCH(D578,Clients!$A$5:$A$504,0)),"Walk-in"))</f>
        <v>0</v>
      </c>
      <c r="G578" s="15">
        <f>IF(F578="","",IFERROR(INDEX(Staff!$B$5:$B$44,MATCH(F578,Staff!$A$5:$A$44,0)),"House"))</f>
        <v>0</v>
      </c>
      <c r="R578" s="15">
        <f>IF(B578="","",TEXT(B578,"yyyy-mm"))</f>
        <v>0</v>
      </c>
      <c r="S578" s="25">
        <f>IF(B578="","",WEEKNUM(B578,2))</f>
        <v>0</v>
      </c>
      <c r="T578" s="37">
        <f>IF(B578="","",IF(K578="",1,K578))</f>
        <v>0</v>
      </c>
      <c r="U578" s="15">
        <f>IF(B578="","",IF(J578&lt;&gt;"",J578,IF(H578="Retail",IFERROR(INDEX(Inventory!$B$5:$B$304,MATCH(I578,Inventory!$A$5:$A$304,0))&amp;"","Not in Inventory"),IFERROR(INDEX(Services!$B$5:$B$204,MATCH(I578,Services!$A$5:$A$204,0))&amp;"","Not in Services"))))</f>
        <v>0</v>
      </c>
      <c r="V578" s="26">
        <f>IF(B578="","",IF(L578&lt;&gt;"",L578,IF(H578="Retail",IFERROR(INDEX(Inventory!$I$5:$I$304,MATCH(I578,Inventory!$A$5:$A$304,0))*1,0),IFERROR(INDEX(Services!$G$5:$G$204,MATCH(I578,Services!$A$5:$A$204,0))*1,0))))</f>
        <v>0</v>
      </c>
      <c r="W578" s="26">
        <f>IF(B578="","",ROUND(T578*V578,2))</f>
        <v>0</v>
      </c>
      <c r="X578" s="26">
        <f>IF(B578="","",ROUND(IF(M578="",0,W578*M578)+IF(N578="",0,N578),2))</f>
        <v>0</v>
      </c>
      <c r="Y578" s="26">
        <f>IF(B578="","",ROUND(W578-X578-IF(P578="",0,P578),2))</f>
        <v>0</v>
      </c>
      <c r="Z578" s="26">
        <f>IF(B578="","",IF(H578="Retail",IF(TaxOnRetail="Yes",ROUND(Y578*TaxRate,2),0),IF(H578="Service",IF(TaxOnServices="Yes",ROUND(Y578*TaxRate,2),0),0)))</f>
        <v>0</v>
      </c>
      <c r="AA578" s="26">
        <f>IF(B578="","",ROUND(Y578+Z578,2))</f>
        <v>0</v>
      </c>
      <c r="AB578" s="26">
        <f>IF(B578="","",ROUND(T578*IF(H578="Retail",IFERROR(INDEX(Inventory!$H$5:$H$304,MATCH(I578,Inventory!$A$5:$A$304,0))*1,0),IFERROR(INDEX(Services!$Q$5:$Q$204,MATCH(I578,Services!$A$5:$A$204,0))*1,0)),2))</f>
        <v>0</v>
      </c>
      <c r="AC578" s="26">
        <f>IF(B578="","",ROUND(Y578-AB578,2))</f>
        <v>0</v>
      </c>
      <c r="AD578" s="38">
        <f>IF(B578="","",IF(C578="","No",IF(COUNTIFS($C$5:C578,C578)=1,"Yes","No")))</f>
        <v>0</v>
      </c>
      <c r="AE578" s="26">
        <f>IF(B578="","",ROUND(SUMIFS(Payments!$G$5:$G$1204,Payments!$H$5:$H$1204,A578,Payments!$Q$5:$Q$1204,"Yes"),2))</f>
        <v>0</v>
      </c>
      <c r="AF578" s="26">
        <f>IF(B578="","",IF(AD578="No",0,ROUND(SUMIFS(Payments!$G$5:$G$1204,Payments!$I$5:$I$1204,C578,Payments!$H$5:$H$1204,"",Payments!$Q$5:$Q$1204,"Yes"),2)))</f>
        <v>0</v>
      </c>
      <c r="AG578" s="26">
        <f>IF(B578="","",ROUND(AE578+AF578,2))</f>
        <v>0</v>
      </c>
      <c r="AH578" s="26">
        <f>IF(B578="","",ROUND(AA578-AG578,2))</f>
        <v>0</v>
      </c>
      <c r="AI578" s="39">
        <f>IF(B578="","",IF(AA578&lt;=0,"No charge",IF(AH578&lt;=0.004,"Paid",IF(AG578&lt;=0.004,"Unpaid","Part paid"))))</f>
        <v>0</v>
      </c>
      <c r="AJ578" s="38">
        <f>IF(B578="","",IF(H578&lt;&gt;"Service","",IF(D578="","No",IF(COUNTIFS($D$5:$D$1204,D578,$B$5:$B$1204,B578,$H$5:$H$1204,"Retail")&gt;0,"Yes","No"))))</f>
        <v>0</v>
      </c>
      <c r="AK578" s="25">
        <f>IF(B578="","",COUNTIFS($Y$5:$Y$1204,"&gt;"&amp;Y578)+COUNTIFS($Y$5:Y578,Y578))</f>
        <v>0</v>
      </c>
      <c r="AL578" s="39">
        <f>IF(B578="","",IF(H578="","Add - what kind of sale is this?",IF(IF(V578&lt;=0,P578="",FALSE),"Check - no price found for this item",IF(F578="","Assign - nobody credited",IF(AH578&gt;0.004,"Unpaid - balance outstanding",IF(AC578&lt;0,"Loss - sold below cost",IF(X578&gt;W578*0.5,"Check - more than half off","OK")))))))</f>
        <v>0</v>
      </c>
    </row>
    <row r="579" spans="1:38">
      <c r="A579" s="28">
        <f>IF(B579="","",SalePrefix&amp;TEXT(ROW()-4,"0000"))</f>
        <v>0</v>
      </c>
      <c r="E579" s="15">
        <f>IF(D579="","",IFERROR(INDEX(Clients!$B$5:$B$504,MATCH(D579,Clients!$A$5:$A$504,0)),"Walk-in"))</f>
        <v>0</v>
      </c>
      <c r="G579" s="15">
        <f>IF(F579="","",IFERROR(INDEX(Staff!$B$5:$B$44,MATCH(F579,Staff!$A$5:$A$44,0)),"House"))</f>
        <v>0</v>
      </c>
      <c r="R579" s="15">
        <f>IF(B579="","",TEXT(B579,"yyyy-mm"))</f>
        <v>0</v>
      </c>
      <c r="S579" s="25">
        <f>IF(B579="","",WEEKNUM(B579,2))</f>
        <v>0</v>
      </c>
      <c r="T579" s="37">
        <f>IF(B579="","",IF(K579="",1,K579))</f>
        <v>0</v>
      </c>
      <c r="U579" s="15">
        <f>IF(B579="","",IF(J579&lt;&gt;"",J579,IF(H579="Retail",IFERROR(INDEX(Inventory!$B$5:$B$304,MATCH(I579,Inventory!$A$5:$A$304,0))&amp;"","Not in Inventory"),IFERROR(INDEX(Services!$B$5:$B$204,MATCH(I579,Services!$A$5:$A$204,0))&amp;"","Not in Services"))))</f>
        <v>0</v>
      </c>
      <c r="V579" s="26">
        <f>IF(B579="","",IF(L579&lt;&gt;"",L579,IF(H579="Retail",IFERROR(INDEX(Inventory!$I$5:$I$304,MATCH(I579,Inventory!$A$5:$A$304,0))*1,0),IFERROR(INDEX(Services!$G$5:$G$204,MATCH(I579,Services!$A$5:$A$204,0))*1,0))))</f>
        <v>0</v>
      </c>
      <c r="W579" s="26">
        <f>IF(B579="","",ROUND(T579*V579,2))</f>
        <v>0</v>
      </c>
      <c r="X579" s="26">
        <f>IF(B579="","",ROUND(IF(M579="",0,W579*M579)+IF(N579="",0,N579),2))</f>
        <v>0</v>
      </c>
      <c r="Y579" s="26">
        <f>IF(B579="","",ROUND(W579-X579-IF(P579="",0,P579),2))</f>
        <v>0</v>
      </c>
      <c r="Z579" s="26">
        <f>IF(B579="","",IF(H579="Retail",IF(TaxOnRetail="Yes",ROUND(Y579*TaxRate,2),0),IF(H579="Service",IF(TaxOnServices="Yes",ROUND(Y579*TaxRate,2),0),0)))</f>
        <v>0</v>
      </c>
      <c r="AA579" s="26">
        <f>IF(B579="","",ROUND(Y579+Z579,2))</f>
        <v>0</v>
      </c>
      <c r="AB579" s="26">
        <f>IF(B579="","",ROUND(T579*IF(H579="Retail",IFERROR(INDEX(Inventory!$H$5:$H$304,MATCH(I579,Inventory!$A$5:$A$304,0))*1,0),IFERROR(INDEX(Services!$Q$5:$Q$204,MATCH(I579,Services!$A$5:$A$204,0))*1,0)),2))</f>
        <v>0</v>
      </c>
      <c r="AC579" s="26">
        <f>IF(B579="","",ROUND(Y579-AB579,2))</f>
        <v>0</v>
      </c>
      <c r="AD579" s="38">
        <f>IF(B579="","",IF(C579="","No",IF(COUNTIFS($C$5:C579,C579)=1,"Yes","No")))</f>
        <v>0</v>
      </c>
      <c r="AE579" s="26">
        <f>IF(B579="","",ROUND(SUMIFS(Payments!$G$5:$G$1204,Payments!$H$5:$H$1204,A579,Payments!$Q$5:$Q$1204,"Yes"),2))</f>
        <v>0</v>
      </c>
      <c r="AF579" s="26">
        <f>IF(B579="","",IF(AD579="No",0,ROUND(SUMIFS(Payments!$G$5:$G$1204,Payments!$I$5:$I$1204,C579,Payments!$H$5:$H$1204,"",Payments!$Q$5:$Q$1204,"Yes"),2)))</f>
        <v>0</v>
      </c>
      <c r="AG579" s="26">
        <f>IF(B579="","",ROUND(AE579+AF579,2))</f>
        <v>0</v>
      </c>
      <c r="AH579" s="26">
        <f>IF(B579="","",ROUND(AA579-AG579,2))</f>
        <v>0</v>
      </c>
      <c r="AI579" s="39">
        <f>IF(B579="","",IF(AA579&lt;=0,"No charge",IF(AH579&lt;=0.004,"Paid",IF(AG579&lt;=0.004,"Unpaid","Part paid"))))</f>
        <v>0</v>
      </c>
      <c r="AJ579" s="38">
        <f>IF(B579="","",IF(H579&lt;&gt;"Service","",IF(D579="","No",IF(COUNTIFS($D$5:$D$1204,D579,$B$5:$B$1204,B579,$H$5:$H$1204,"Retail")&gt;0,"Yes","No"))))</f>
        <v>0</v>
      </c>
      <c r="AK579" s="25">
        <f>IF(B579="","",COUNTIFS($Y$5:$Y$1204,"&gt;"&amp;Y579)+COUNTIFS($Y$5:Y579,Y579))</f>
        <v>0</v>
      </c>
      <c r="AL579" s="39">
        <f>IF(B579="","",IF(H579="","Add - what kind of sale is this?",IF(IF(V579&lt;=0,P579="",FALSE),"Check - no price found for this item",IF(F579="","Assign - nobody credited",IF(AH579&gt;0.004,"Unpaid - balance outstanding",IF(AC579&lt;0,"Loss - sold below cost",IF(X579&gt;W579*0.5,"Check - more than half off","OK")))))))</f>
        <v>0</v>
      </c>
    </row>
    <row r="580" spans="1:38">
      <c r="A580" s="28">
        <f>IF(B580="","",SalePrefix&amp;TEXT(ROW()-4,"0000"))</f>
        <v>0</v>
      </c>
      <c r="E580" s="15">
        <f>IF(D580="","",IFERROR(INDEX(Clients!$B$5:$B$504,MATCH(D580,Clients!$A$5:$A$504,0)),"Walk-in"))</f>
        <v>0</v>
      </c>
      <c r="G580" s="15">
        <f>IF(F580="","",IFERROR(INDEX(Staff!$B$5:$B$44,MATCH(F580,Staff!$A$5:$A$44,0)),"House"))</f>
        <v>0</v>
      </c>
      <c r="R580" s="15">
        <f>IF(B580="","",TEXT(B580,"yyyy-mm"))</f>
        <v>0</v>
      </c>
      <c r="S580" s="25">
        <f>IF(B580="","",WEEKNUM(B580,2))</f>
        <v>0</v>
      </c>
      <c r="T580" s="37">
        <f>IF(B580="","",IF(K580="",1,K580))</f>
        <v>0</v>
      </c>
      <c r="U580" s="15">
        <f>IF(B580="","",IF(J580&lt;&gt;"",J580,IF(H580="Retail",IFERROR(INDEX(Inventory!$B$5:$B$304,MATCH(I580,Inventory!$A$5:$A$304,0))&amp;"","Not in Inventory"),IFERROR(INDEX(Services!$B$5:$B$204,MATCH(I580,Services!$A$5:$A$204,0))&amp;"","Not in Services"))))</f>
        <v>0</v>
      </c>
      <c r="V580" s="26">
        <f>IF(B580="","",IF(L580&lt;&gt;"",L580,IF(H580="Retail",IFERROR(INDEX(Inventory!$I$5:$I$304,MATCH(I580,Inventory!$A$5:$A$304,0))*1,0),IFERROR(INDEX(Services!$G$5:$G$204,MATCH(I580,Services!$A$5:$A$204,0))*1,0))))</f>
        <v>0</v>
      </c>
      <c r="W580" s="26">
        <f>IF(B580="","",ROUND(T580*V580,2))</f>
        <v>0</v>
      </c>
      <c r="X580" s="26">
        <f>IF(B580="","",ROUND(IF(M580="",0,W580*M580)+IF(N580="",0,N580),2))</f>
        <v>0</v>
      </c>
      <c r="Y580" s="26">
        <f>IF(B580="","",ROUND(W580-X580-IF(P580="",0,P580),2))</f>
        <v>0</v>
      </c>
      <c r="Z580" s="26">
        <f>IF(B580="","",IF(H580="Retail",IF(TaxOnRetail="Yes",ROUND(Y580*TaxRate,2),0),IF(H580="Service",IF(TaxOnServices="Yes",ROUND(Y580*TaxRate,2),0),0)))</f>
        <v>0</v>
      </c>
      <c r="AA580" s="26">
        <f>IF(B580="","",ROUND(Y580+Z580,2))</f>
        <v>0</v>
      </c>
      <c r="AB580" s="26">
        <f>IF(B580="","",ROUND(T580*IF(H580="Retail",IFERROR(INDEX(Inventory!$H$5:$H$304,MATCH(I580,Inventory!$A$5:$A$304,0))*1,0),IFERROR(INDEX(Services!$Q$5:$Q$204,MATCH(I580,Services!$A$5:$A$204,0))*1,0)),2))</f>
        <v>0</v>
      </c>
      <c r="AC580" s="26">
        <f>IF(B580="","",ROUND(Y580-AB580,2))</f>
        <v>0</v>
      </c>
      <c r="AD580" s="38">
        <f>IF(B580="","",IF(C580="","No",IF(COUNTIFS($C$5:C580,C580)=1,"Yes","No")))</f>
        <v>0</v>
      </c>
      <c r="AE580" s="26">
        <f>IF(B580="","",ROUND(SUMIFS(Payments!$G$5:$G$1204,Payments!$H$5:$H$1204,A580,Payments!$Q$5:$Q$1204,"Yes"),2))</f>
        <v>0</v>
      </c>
      <c r="AF580" s="26">
        <f>IF(B580="","",IF(AD580="No",0,ROUND(SUMIFS(Payments!$G$5:$G$1204,Payments!$I$5:$I$1204,C580,Payments!$H$5:$H$1204,"",Payments!$Q$5:$Q$1204,"Yes"),2)))</f>
        <v>0</v>
      </c>
      <c r="AG580" s="26">
        <f>IF(B580="","",ROUND(AE580+AF580,2))</f>
        <v>0</v>
      </c>
      <c r="AH580" s="26">
        <f>IF(B580="","",ROUND(AA580-AG580,2))</f>
        <v>0</v>
      </c>
      <c r="AI580" s="39">
        <f>IF(B580="","",IF(AA580&lt;=0,"No charge",IF(AH580&lt;=0.004,"Paid",IF(AG580&lt;=0.004,"Unpaid","Part paid"))))</f>
        <v>0</v>
      </c>
      <c r="AJ580" s="38">
        <f>IF(B580="","",IF(H580&lt;&gt;"Service","",IF(D580="","No",IF(COUNTIFS($D$5:$D$1204,D580,$B$5:$B$1204,B580,$H$5:$H$1204,"Retail")&gt;0,"Yes","No"))))</f>
        <v>0</v>
      </c>
      <c r="AK580" s="25">
        <f>IF(B580="","",COUNTIFS($Y$5:$Y$1204,"&gt;"&amp;Y580)+COUNTIFS($Y$5:Y580,Y580))</f>
        <v>0</v>
      </c>
      <c r="AL580" s="39">
        <f>IF(B580="","",IF(H580="","Add - what kind of sale is this?",IF(IF(V580&lt;=0,P580="",FALSE),"Check - no price found for this item",IF(F580="","Assign - nobody credited",IF(AH580&gt;0.004,"Unpaid - balance outstanding",IF(AC580&lt;0,"Loss - sold below cost",IF(X580&gt;W580*0.5,"Check - more than half off","OK")))))))</f>
        <v>0</v>
      </c>
    </row>
    <row r="581" spans="1:38">
      <c r="A581" s="28">
        <f>IF(B581="","",SalePrefix&amp;TEXT(ROW()-4,"0000"))</f>
        <v>0</v>
      </c>
      <c r="E581" s="15">
        <f>IF(D581="","",IFERROR(INDEX(Clients!$B$5:$B$504,MATCH(D581,Clients!$A$5:$A$504,0)),"Walk-in"))</f>
        <v>0</v>
      </c>
      <c r="G581" s="15">
        <f>IF(F581="","",IFERROR(INDEX(Staff!$B$5:$B$44,MATCH(F581,Staff!$A$5:$A$44,0)),"House"))</f>
        <v>0</v>
      </c>
      <c r="R581" s="15">
        <f>IF(B581="","",TEXT(B581,"yyyy-mm"))</f>
        <v>0</v>
      </c>
      <c r="S581" s="25">
        <f>IF(B581="","",WEEKNUM(B581,2))</f>
        <v>0</v>
      </c>
      <c r="T581" s="37">
        <f>IF(B581="","",IF(K581="",1,K581))</f>
        <v>0</v>
      </c>
      <c r="U581" s="15">
        <f>IF(B581="","",IF(J581&lt;&gt;"",J581,IF(H581="Retail",IFERROR(INDEX(Inventory!$B$5:$B$304,MATCH(I581,Inventory!$A$5:$A$304,0))&amp;"","Not in Inventory"),IFERROR(INDEX(Services!$B$5:$B$204,MATCH(I581,Services!$A$5:$A$204,0))&amp;"","Not in Services"))))</f>
        <v>0</v>
      </c>
      <c r="V581" s="26">
        <f>IF(B581="","",IF(L581&lt;&gt;"",L581,IF(H581="Retail",IFERROR(INDEX(Inventory!$I$5:$I$304,MATCH(I581,Inventory!$A$5:$A$304,0))*1,0),IFERROR(INDEX(Services!$G$5:$G$204,MATCH(I581,Services!$A$5:$A$204,0))*1,0))))</f>
        <v>0</v>
      </c>
      <c r="W581" s="26">
        <f>IF(B581="","",ROUND(T581*V581,2))</f>
        <v>0</v>
      </c>
      <c r="X581" s="26">
        <f>IF(B581="","",ROUND(IF(M581="",0,W581*M581)+IF(N581="",0,N581),2))</f>
        <v>0</v>
      </c>
      <c r="Y581" s="26">
        <f>IF(B581="","",ROUND(W581-X581-IF(P581="",0,P581),2))</f>
        <v>0</v>
      </c>
      <c r="Z581" s="26">
        <f>IF(B581="","",IF(H581="Retail",IF(TaxOnRetail="Yes",ROUND(Y581*TaxRate,2),0),IF(H581="Service",IF(TaxOnServices="Yes",ROUND(Y581*TaxRate,2),0),0)))</f>
        <v>0</v>
      </c>
      <c r="AA581" s="26">
        <f>IF(B581="","",ROUND(Y581+Z581,2))</f>
        <v>0</v>
      </c>
      <c r="AB581" s="26">
        <f>IF(B581="","",ROUND(T581*IF(H581="Retail",IFERROR(INDEX(Inventory!$H$5:$H$304,MATCH(I581,Inventory!$A$5:$A$304,0))*1,0),IFERROR(INDEX(Services!$Q$5:$Q$204,MATCH(I581,Services!$A$5:$A$204,0))*1,0)),2))</f>
        <v>0</v>
      </c>
      <c r="AC581" s="26">
        <f>IF(B581="","",ROUND(Y581-AB581,2))</f>
        <v>0</v>
      </c>
      <c r="AD581" s="38">
        <f>IF(B581="","",IF(C581="","No",IF(COUNTIFS($C$5:C581,C581)=1,"Yes","No")))</f>
        <v>0</v>
      </c>
      <c r="AE581" s="26">
        <f>IF(B581="","",ROUND(SUMIFS(Payments!$G$5:$G$1204,Payments!$H$5:$H$1204,A581,Payments!$Q$5:$Q$1204,"Yes"),2))</f>
        <v>0</v>
      </c>
      <c r="AF581" s="26">
        <f>IF(B581="","",IF(AD581="No",0,ROUND(SUMIFS(Payments!$G$5:$G$1204,Payments!$I$5:$I$1204,C581,Payments!$H$5:$H$1204,"",Payments!$Q$5:$Q$1204,"Yes"),2)))</f>
        <v>0</v>
      </c>
      <c r="AG581" s="26">
        <f>IF(B581="","",ROUND(AE581+AF581,2))</f>
        <v>0</v>
      </c>
      <c r="AH581" s="26">
        <f>IF(B581="","",ROUND(AA581-AG581,2))</f>
        <v>0</v>
      </c>
      <c r="AI581" s="39">
        <f>IF(B581="","",IF(AA581&lt;=0,"No charge",IF(AH581&lt;=0.004,"Paid",IF(AG581&lt;=0.004,"Unpaid","Part paid"))))</f>
        <v>0</v>
      </c>
      <c r="AJ581" s="38">
        <f>IF(B581="","",IF(H581&lt;&gt;"Service","",IF(D581="","No",IF(COUNTIFS($D$5:$D$1204,D581,$B$5:$B$1204,B581,$H$5:$H$1204,"Retail")&gt;0,"Yes","No"))))</f>
        <v>0</v>
      </c>
      <c r="AK581" s="25">
        <f>IF(B581="","",COUNTIFS($Y$5:$Y$1204,"&gt;"&amp;Y581)+COUNTIFS($Y$5:Y581,Y581))</f>
        <v>0</v>
      </c>
      <c r="AL581" s="39">
        <f>IF(B581="","",IF(H581="","Add - what kind of sale is this?",IF(IF(V581&lt;=0,P581="",FALSE),"Check - no price found for this item",IF(F581="","Assign - nobody credited",IF(AH581&gt;0.004,"Unpaid - balance outstanding",IF(AC581&lt;0,"Loss - sold below cost",IF(X581&gt;W581*0.5,"Check - more than half off","OK")))))))</f>
        <v>0</v>
      </c>
    </row>
    <row r="582" spans="1:38">
      <c r="A582" s="28">
        <f>IF(B582="","",SalePrefix&amp;TEXT(ROW()-4,"0000"))</f>
        <v>0</v>
      </c>
      <c r="E582" s="15">
        <f>IF(D582="","",IFERROR(INDEX(Clients!$B$5:$B$504,MATCH(D582,Clients!$A$5:$A$504,0)),"Walk-in"))</f>
        <v>0</v>
      </c>
      <c r="G582" s="15">
        <f>IF(F582="","",IFERROR(INDEX(Staff!$B$5:$B$44,MATCH(F582,Staff!$A$5:$A$44,0)),"House"))</f>
        <v>0</v>
      </c>
      <c r="R582" s="15">
        <f>IF(B582="","",TEXT(B582,"yyyy-mm"))</f>
        <v>0</v>
      </c>
      <c r="S582" s="25">
        <f>IF(B582="","",WEEKNUM(B582,2))</f>
        <v>0</v>
      </c>
      <c r="T582" s="37">
        <f>IF(B582="","",IF(K582="",1,K582))</f>
        <v>0</v>
      </c>
      <c r="U582" s="15">
        <f>IF(B582="","",IF(J582&lt;&gt;"",J582,IF(H582="Retail",IFERROR(INDEX(Inventory!$B$5:$B$304,MATCH(I582,Inventory!$A$5:$A$304,0))&amp;"","Not in Inventory"),IFERROR(INDEX(Services!$B$5:$B$204,MATCH(I582,Services!$A$5:$A$204,0))&amp;"","Not in Services"))))</f>
        <v>0</v>
      </c>
      <c r="V582" s="26">
        <f>IF(B582="","",IF(L582&lt;&gt;"",L582,IF(H582="Retail",IFERROR(INDEX(Inventory!$I$5:$I$304,MATCH(I582,Inventory!$A$5:$A$304,0))*1,0),IFERROR(INDEX(Services!$G$5:$G$204,MATCH(I582,Services!$A$5:$A$204,0))*1,0))))</f>
        <v>0</v>
      </c>
      <c r="W582" s="26">
        <f>IF(B582="","",ROUND(T582*V582,2))</f>
        <v>0</v>
      </c>
      <c r="X582" s="26">
        <f>IF(B582="","",ROUND(IF(M582="",0,W582*M582)+IF(N582="",0,N582),2))</f>
        <v>0</v>
      </c>
      <c r="Y582" s="26">
        <f>IF(B582="","",ROUND(W582-X582-IF(P582="",0,P582),2))</f>
        <v>0</v>
      </c>
      <c r="Z582" s="26">
        <f>IF(B582="","",IF(H582="Retail",IF(TaxOnRetail="Yes",ROUND(Y582*TaxRate,2),0),IF(H582="Service",IF(TaxOnServices="Yes",ROUND(Y582*TaxRate,2),0),0)))</f>
        <v>0</v>
      </c>
      <c r="AA582" s="26">
        <f>IF(B582="","",ROUND(Y582+Z582,2))</f>
        <v>0</v>
      </c>
      <c r="AB582" s="26">
        <f>IF(B582="","",ROUND(T582*IF(H582="Retail",IFERROR(INDEX(Inventory!$H$5:$H$304,MATCH(I582,Inventory!$A$5:$A$304,0))*1,0),IFERROR(INDEX(Services!$Q$5:$Q$204,MATCH(I582,Services!$A$5:$A$204,0))*1,0)),2))</f>
        <v>0</v>
      </c>
      <c r="AC582" s="26">
        <f>IF(B582="","",ROUND(Y582-AB582,2))</f>
        <v>0</v>
      </c>
      <c r="AD582" s="38">
        <f>IF(B582="","",IF(C582="","No",IF(COUNTIFS($C$5:C582,C582)=1,"Yes","No")))</f>
        <v>0</v>
      </c>
      <c r="AE582" s="26">
        <f>IF(B582="","",ROUND(SUMIFS(Payments!$G$5:$G$1204,Payments!$H$5:$H$1204,A582,Payments!$Q$5:$Q$1204,"Yes"),2))</f>
        <v>0</v>
      </c>
      <c r="AF582" s="26">
        <f>IF(B582="","",IF(AD582="No",0,ROUND(SUMIFS(Payments!$G$5:$G$1204,Payments!$I$5:$I$1204,C582,Payments!$H$5:$H$1204,"",Payments!$Q$5:$Q$1204,"Yes"),2)))</f>
        <v>0</v>
      </c>
      <c r="AG582" s="26">
        <f>IF(B582="","",ROUND(AE582+AF582,2))</f>
        <v>0</v>
      </c>
      <c r="AH582" s="26">
        <f>IF(B582="","",ROUND(AA582-AG582,2))</f>
        <v>0</v>
      </c>
      <c r="AI582" s="39">
        <f>IF(B582="","",IF(AA582&lt;=0,"No charge",IF(AH582&lt;=0.004,"Paid",IF(AG582&lt;=0.004,"Unpaid","Part paid"))))</f>
        <v>0</v>
      </c>
      <c r="AJ582" s="38">
        <f>IF(B582="","",IF(H582&lt;&gt;"Service","",IF(D582="","No",IF(COUNTIFS($D$5:$D$1204,D582,$B$5:$B$1204,B582,$H$5:$H$1204,"Retail")&gt;0,"Yes","No"))))</f>
        <v>0</v>
      </c>
      <c r="AK582" s="25">
        <f>IF(B582="","",COUNTIFS($Y$5:$Y$1204,"&gt;"&amp;Y582)+COUNTIFS($Y$5:Y582,Y582))</f>
        <v>0</v>
      </c>
      <c r="AL582" s="39">
        <f>IF(B582="","",IF(H582="","Add - what kind of sale is this?",IF(IF(V582&lt;=0,P582="",FALSE),"Check - no price found for this item",IF(F582="","Assign - nobody credited",IF(AH582&gt;0.004,"Unpaid - balance outstanding",IF(AC582&lt;0,"Loss - sold below cost",IF(X582&gt;W582*0.5,"Check - more than half off","OK")))))))</f>
        <v>0</v>
      </c>
    </row>
    <row r="583" spans="1:38">
      <c r="A583" s="28">
        <f>IF(B583="","",SalePrefix&amp;TEXT(ROW()-4,"0000"))</f>
        <v>0</v>
      </c>
      <c r="E583" s="15">
        <f>IF(D583="","",IFERROR(INDEX(Clients!$B$5:$B$504,MATCH(D583,Clients!$A$5:$A$504,0)),"Walk-in"))</f>
        <v>0</v>
      </c>
      <c r="G583" s="15">
        <f>IF(F583="","",IFERROR(INDEX(Staff!$B$5:$B$44,MATCH(F583,Staff!$A$5:$A$44,0)),"House"))</f>
        <v>0</v>
      </c>
      <c r="R583" s="15">
        <f>IF(B583="","",TEXT(B583,"yyyy-mm"))</f>
        <v>0</v>
      </c>
      <c r="S583" s="25">
        <f>IF(B583="","",WEEKNUM(B583,2))</f>
        <v>0</v>
      </c>
      <c r="T583" s="37">
        <f>IF(B583="","",IF(K583="",1,K583))</f>
        <v>0</v>
      </c>
      <c r="U583" s="15">
        <f>IF(B583="","",IF(J583&lt;&gt;"",J583,IF(H583="Retail",IFERROR(INDEX(Inventory!$B$5:$B$304,MATCH(I583,Inventory!$A$5:$A$304,0))&amp;"","Not in Inventory"),IFERROR(INDEX(Services!$B$5:$B$204,MATCH(I583,Services!$A$5:$A$204,0))&amp;"","Not in Services"))))</f>
        <v>0</v>
      </c>
      <c r="V583" s="26">
        <f>IF(B583="","",IF(L583&lt;&gt;"",L583,IF(H583="Retail",IFERROR(INDEX(Inventory!$I$5:$I$304,MATCH(I583,Inventory!$A$5:$A$304,0))*1,0),IFERROR(INDEX(Services!$G$5:$G$204,MATCH(I583,Services!$A$5:$A$204,0))*1,0))))</f>
        <v>0</v>
      </c>
      <c r="W583" s="26">
        <f>IF(B583="","",ROUND(T583*V583,2))</f>
        <v>0</v>
      </c>
      <c r="X583" s="26">
        <f>IF(B583="","",ROUND(IF(M583="",0,W583*M583)+IF(N583="",0,N583),2))</f>
        <v>0</v>
      </c>
      <c r="Y583" s="26">
        <f>IF(B583="","",ROUND(W583-X583-IF(P583="",0,P583),2))</f>
        <v>0</v>
      </c>
      <c r="Z583" s="26">
        <f>IF(B583="","",IF(H583="Retail",IF(TaxOnRetail="Yes",ROUND(Y583*TaxRate,2),0),IF(H583="Service",IF(TaxOnServices="Yes",ROUND(Y583*TaxRate,2),0),0)))</f>
        <v>0</v>
      </c>
      <c r="AA583" s="26">
        <f>IF(B583="","",ROUND(Y583+Z583,2))</f>
        <v>0</v>
      </c>
      <c r="AB583" s="26">
        <f>IF(B583="","",ROUND(T583*IF(H583="Retail",IFERROR(INDEX(Inventory!$H$5:$H$304,MATCH(I583,Inventory!$A$5:$A$304,0))*1,0),IFERROR(INDEX(Services!$Q$5:$Q$204,MATCH(I583,Services!$A$5:$A$204,0))*1,0)),2))</f>
        <v>0</v>
      </c>
      <c r="AC583" s="26">
        <f>IF(B583="","",ROUND(Y583-AB583,2))</f>
        <v>0</v>
      </c>
      <c r="AD583" s="38">
        <f>IF(B583="","",IF(C583="","No",IF(COUNTIFS($C$5:C583,C583)=1,"Yes","No")))</f>
        <v>0</v>
      </c>
      <c r="AE583" s="26">
        <f>IF(B583="","",ROUND(SUMIFS(Payments!$G$5:$G$1204,Payments!$H$5:$H$1204,A583,Payments!$Q$5:$Q$1204,"Yes"),2))</f>
        <v>0</v>
      </c>
      <c r="AF583" s="26">
        <f>IF(B583="","",IF(AD583="No",0,ROUND(SUMIFS(Payments!$G$5:$G$1204,Payments!$I$5:$I$1204,C583,Payments!$H$5:$H$1204,"",Payments!$Q$5:$Q$1204,"Yes"),2)))</f>
        <v>0</v>
      </c>
      <c r="AG583" s="26">
        <f>IF(B583="","",ROUND(AE583+AF583,2))</f>
        <v>0</v>
      </c>
      <c r="AH583" s="26">
        <f>IF(B583="","",ROUND(AA583-AG583,2))</f>
        <v>0</v>
      </c>
      <c r="AI583" s="39">
        <f>IF(B583="","",IF(AA583&lt;=0,"No charge",IF(AH583&lt;=0.004,"Paid",IF(AG583&lt;=0.004,"Unpaid","Part paid"))))</f>
        <v>0</v>
      </c>
      <c r="AJ583" s="38">
        <f>IF(B583="","",IF(H583&lt;&gt;"Service","",IF(D583="","No",IF(COUNTIFS($D$5:$D$1204,D583,$B$5:$B$1204,B583,$H$5:$H$1204,"Retail")&gt;0,"Yes","No"))))</f>
        <v>0</v>
      </c>
      <c r="AK583" s="25">
        <f>IF(B583="","",COUNTIFS($Y$5:$Y$1204,"&gt;"&amp;Y583)+COUNTIFS($Y$5:Y583,Y583))</f>
        <v>0</v>
      </c>
      <c r="AL583" s="39">
        <f>IF(B583="","",IF(H583="","Add - what kind of sale is this?",IF(IF(V583&lt;=0,P583="",FALSE),"Check - no price found for this item",IF(F583="","Assign - nobody credited",IF(AH583&gt;0.004,"Unpaid - balance outstanding",IF(AC583&lt;0,"Loss - sold below cost",IF(X583&gt;W583*0.5,"Check - more than half off","OK")))))))</f>
        <v>0</v>
      </c>
    </row>
    <row r="584" spans="1:38">
      <c r="A584" s="28">
        <f>IF(B584="","",SalePrefix&amp;TEXT(ROW()-4,"0000"))</f>
        <v>0</v>
      </c>
      <c r="E584" s="15">
        <f>IF(D584="","",IFERROR(INDEX(Clients!$B$5:$B$504,MATCH(D584,Clients!$A$5:$A$504,0)),"Walk-in"))</f>
        <v>0</v>
      </c>
      <c r="G584" s="15">
        <f>IF(F584="","",IFERROR(INDEX(Staff!$B$5:$B$44,MATCH(F584,Staff!$A$5:$A$44,0)),"House"))</f>
        <v>0</v>
      </c>
      <c r="R584" s="15">
        <f>IF(B584="","",TEXT(B584,"yyyy-mm"))</f>
        <v>0</v>
      </c>
      <c r="S584" s="25">
        <f>IF(B584="","",WEEKNUM(B584,2))</f>
        <v>0</v>
      </c>
      <c r="T584" s="37">
        <f>IF(B584="","",IF(K584="",1,K584))</f>
        <v>0</v>
      </c>
      <c r="U584" s="15">
        <f>IF(B584="","",IF(J584&lt;&gt;"",J584,IF(H584="Retail",IFERROR(INDEX(Inventory!$B$5:$B$304,MATCH(I584,Inventory!$A$5:$A$304,0))&amp;"","Not in Inventory"),IFERROR(INDEX(Services!$B$5:$B$204,MATCH(I584,Services!$A$5:$A$204,0))&amp;"","Not in Services"))))</f>
        <v>0</v>
      </c>
      <c r="V584" s="26">
        <f>IF(B584="","",IF(L584&lt;&gt;"",L584,IF(H584="Retail",IFERROR(INDEX(Inventory!$I$5:$I$304,MATCH(I584,Inventory!$A$5:$A$304,0))*1,0),IFERROR(INDEX(Services!$G$5:$G$204,MATCH(I584,Services!$A$5:$A$204,0))*1,0))))</f>
        <v>0</v>
      </c>
      <c r="W584" s="26">
        <f>IF(B584="","",ROUND(T584*V584,2))</f>
        <v>0</v>
      </c>
      <c r="X584" s="26">
        <f>IF(B584="","",ROUND(IF(M584="",0,W584*M584)+IF(N584="",0,N584),2))</f>
        <v>0</v>
      </c>
      <c r="Y584" s="26">
        <f>IF(B584="","",ROUND(W584-X584-IF(P584="",0,P584),2))</f>
        <v>0</v>
      </c>
      <c r="Z584" s="26">
        <f>IF(B584="","",IF(H584="Retail",IF(TaxOnRetail="Yes",ROUND(Y584*TaxRate,2),0),IF(H584="Service",IF(TaxOnServices="Yes",ROUND(Y584*TaxRate,2),0),0)))</f>
        <v>0</v>
      </c>
      <c r="AA584" s="26">
        <f>IF(B584="","",ROUND(Y584+Z584,2))</f>
        <v>0</v>
      </c>
      <c r="AB584" s="26">
        <f>IF(B584="","",ROUND(T584*IF(H584="Retail",IFERROR(INDEX(Inventory!$H$5:$H$304,MATCH(I584,Inventory!$A$5:$A$304,0))*1,0),IFERROR(INDEX(Services!$Q$5:$Q$204,MATCH(I584,Services!$A$5:$A$204,0))*1,0)),2))</f>
        <v>0</v>
      </c>
      <c r="AC584" s="26">
        <f>IF(B584="","",ROUND(Y584-AB584,2))</f>
        <v>0</v>
      </c>
      <c r="AD584" s="38">
        <f>IF(B584="","",IF(C584="","No",IF(COUNTIFS($C$5:C584,C584)=1,"Yes","No")))</f>
        <v>0</v>
      </c>
      <c r="AE584" s="26">
        <f>IF(B584="","",ROUND(SUMIFS(Payments!$G$5:$G$1204,Payments!$H$5:$H$1204,A584,Payments!$Q$5:$Q$1204,"Yes"),2))</f>
        <v>0</v>
      </c>
      <c r="AF584" s="26">
        <f>IF(B584="","",IF(AD584="No",0,ROUND(SUMIFS(Payments!$G$5:$G$1204,Payments!$I$5:$I$1204,C584,Payments!$H$5:$H$1204,"",Payments!$Q$5:$Q$1204,"Yes"),2)))</f>
        <v>0</v>
      </c>
      <c r="AG584" s="26">
        <f>IF(B584="","",ROUND(AE584+AF584,2))</f>
        <v>0</v>
      </c>
      <c r="AH584" s="26">
        <f>IF(B584="","",ROUND(AA584-AG584,2))</f>
        <v>0</v>
      </c>
      <c r="AI584" s="39">
        <f>IF(B584="","",IF(AA584&lt;=0,"No charge",IF(AH584&lt;=0.004,"Paid",IF(AG584&lt;=0.004,"Unpaid","Part paid"))))</f>
        <v>0</v>
      </c>
      <c r="AJ584" s="38">
        <f>IF(B584="","",IF(H584&lt;&gt;"Service","",IF(D584="","No",IF(COUNTIFS($D$5:$D$1204,D584,$B$5:$B$1204,B584,$H$5:$H$1204,"Retail")&gt;0,"Yes","No"))))</f>
        <v>0</v>
      </c>
      <c r="AK584" s="25">
        <f>IF(B584="","",COUNTIFS($Y$5:$Y$1204,"&gt;"&amp;Y584)+COUNTIFS($Y$5:Y584,Y584))</f>
        <v>0</v>
      </c>
      <c r="AL584" s="39">
        <f>IF(B584="","",IF(H584="","Add - what kind of sale is this?",IF(IF(V584&lt;=0,P584="",FALSE),"Check - no price found for this item",IF(F584="","Assign - nobody credited",IF(AH584&gt;0.004,"Unpaid - balance outstanding",IF(AC584&lt;0,"Loss - sold below cost",IF(X584&gt;W584*0.5,"Check - more than half off","OK")))))))</f>
        <v>0</v>
      </c>
    </row>
    <row r="585" spans="1:38">
      <c r="A585" s="28">
        <f>IF(B585="","",SalePrefix&amp;TEXT(ROW()-4,"0000"))</f>
        <v>0</v>
      </c>
      <c r="E585" s="15">
        <f>IF(D585="","",IFERROR(INDEX(Clients!$B$5:$B$504,MATCH(D585,Clients!$A$5:$A$504,0)),"Walk-in"))</f>
        <v>0</v>
      </c>
      <c r="G585" s="15">
        <f>IF(F585="","",IFERROR(INDEX(Staff!$B$5:$B$44,MATCH(F585,Staff!$A$5:$A$44,0)),"House"))</f>
        <v>0</v>
      </c>
      <c r="R585" s="15">
        <f>IF(B585="","",TEXT(B585,"yyyy-mm"))</f>
        <v>0</v>
      </c>
      <c r="S585" s="25">
        <f>IF(B585="","",WEEKNUM(B585,2))</f>
        <v>0</v>
      </c>
      <c r="T585" s="37">
        <f>IF(B585="","",IF(K585="",1,K585))</f>
        <v>0</v>
      </c>
      <c r="U585" s="15">
        <f>IF(B585="","",IF(J585&lt;&gt;"",J585,IF(H585="Retail",IFERROR(INDEX(Inventory!$B$5:$B$304,MATCH(I585,Inventory!$A$5:$A$304,0))&amp;"","Not in Inventory"),IFERROR(INDEX(Services!$B$5:$B$204,MATCH(I585,Services!$A$5:$A$204,0))&amp;"","Not in Services"))))</f>
        <v>0</v>
      </c>
      <c r="V585" s="26">
        <f>IF(B585="","",IF(L585&lt;&gt;"",L585,IF(H585="Retail",IFERROR(INDEX(Inventory!$I$5:$I$304,MATCH(I585,Inventory!$A$5:$A$304,0))*1,0),IFERROR(INDEX(Services!$G$5:$G$204,MATCH(I585,Services!$A$5:$A$204,0))*1,0))))</f>
        <v>0</v>
      </c>
      <c r="W585" s="26">
        <f>IF(B585="","",ROUND(T585*V585,2))</f>
        <v>0</v>
      </c>
      <c r="X585" s="26">
        <f>IF(B585="","",ROUND(IF(M585="",0,W585*M585)+IF(N585="",0,N585),2))</f>
        <v>0</v>
      </c>
      <c r="Y585" s="26">
        <f>IF(B585="","",ROUND(W585-X585-IF(P585="",0,P585),2))</f>
        <v>0</v>
      </c>
      <c r="Z585" s="26">
        <f>IF(B585="","",IF(H585="Retail",IF(TaxOnRetail="Yes",ROUND(Y585*TaxRate,2),0),IF(H585="Service",IF(TaxOnServices="Yes",ROUND(Y585*TaxRate,2),0),0)))</f>
        <v>0</v>
      </c>
      <c r="AA585" s="26">
        <f>IF(B585="","",ROUND(Y585+Z585,2))</f>
        <v>0</v>
      </c>
      <c r="AB585" s="26">
        <f>IF(B585="","",ROUND(T585*IF(H585="Retail",IFERROR(INDEX(Inventory!$H$5:$H$304,MATCH(I585,Inventory!$A$5:$A$304,0))*1,0),IFERROR(INDEX(Services!$Q$5:$Q$204,MATCH(I585,Services!$A$5:$A$204,0))*1,0)),2))</f>
        <v>0</v>
      </c>
      <c r="AC585" s="26">
        <f>IF(B585="","",ROUND(Y585-AB585,2))</f>
        <v>0</v>
      </c>
      <c r="AD585" s="38">
        <f>IF(B585="","",IF(C585="","No",IF(COUNTIFS($C$5:C585,C585)=1,"Yes","No")))</f>
        <v>0</v>
      </c>
      <c r="AE585" s="26">
        <f>IF(B585="","",ROUND(SUMIFS(Payments!$G$5:$G$1204,Payments!$H$5:$H$1204,A585,Payments!$Q$5:$Q$1204,"Yes"),2))</f>
        <v>0</v>
      </c>
      <c r="AF585" s="26">
        <f>IF(B585="","",IF(AD585="No",0,ROUND(SUMIFS(Payments!$G$5:$G$1204,Payments!$I$5:$I$1204,C585,Payments!$H$5:$H$1204,"",Payments!$Q$5:$Q$1204,"Yes"),2)))</f>
        <v>0</v>
      </c>
      <c r="AG585" s="26">
        <f>IF(B585="","",ROUND(AE585+AF585,2))</f>
        <v>0</v>
      </c>
      <c r="AH585" s="26">
        <f>IF(B585="","",ROUND(AA585-AG585,2))</f>
        <v>0</v>
      </c>
      <c r="AI585" s="39">
        <f>IF(B585="","",IF(AA585&lt;=0,"No charge",IF(AH585&lt;=0.004,"Paid",IF(AG585&lt;=0.004,"Unpaid","Part paid"))))</f>
        <v>0</v>
      </c>
      <c r="AJ585" s="38">
        <f>IF(B585="","",IF(H585&lt;&gt;"Service","",IF(D585="","No",IF(COUNTIFS($D$5:$D$1204,D585,$B$5:$B$1204,B585,$H$5:$H$1204,"Retail")&gt;0,"Yes","No"))))</f>
        <v>0</v>
      </c>
      <c r="AK585" s="25">
        <f>IF(B585="","",COUNTIFS($Y$5:$Y$1204,"&gt;"&amp;Y585)+COUNTIFS($Y$5:Y585,Y585))</f>
        <v>0</v>
      </c>
      <c r="AL585" s="39">
        <f>IF(B585="","",IF(H585="","Add - what kind of sale is this?",IF(IF(V585&lt;=0,P585="",FALSE),"Check - no price found for this item",IF(F585="","Assign - nobody credited",IF(AH585&gt;0.004,"Unpaid - balance outstanding",IF(AC585&lt;0,"Loss - sold below cost",IF(X585&gt;W585*0.5,"Check - more than half off","OK")))))))</f>
        <v>0</v>
      </c>
    </row>
    <row r="586" spans="1:38">
      <c r="A586" s="28">
        <f>IF(B586="","",SalePrefix&amp;TEXT(ROW()-4,"0000"))</f>
        <v>0</v>
      </c>
      <c r="E586" s="15">
        <f>IF(D586="","",IFERROR(INDEX(Clients!$B$5:$B$504,MATCH(D586,Clients!$A$5:$A$504,0)),"Walk-in"))</f>
        <v>0</v>
      </c>
      <c r="G586" s="15">
        <f>IF(F586="","",IFERROR(INDEX(Staff!$B$5:$B$44,MATCH(F586,Staff!$A$5:$A$44,0)),"House"))</f>
        <v>0</v>
      </c>
      <c r="R586" s="15">
        <f>IF(B586="","",TEXT(B586,"yyyy-mm"))</f>
        <v>0</v>
      </c>
      <c r="S586" s="25">
        <f>IF(B586="","",WEEKNUM(B586,2))</f>
        <v>0</v>
      </c>
      <c r="T586" s="37">
        <f>IF(B586="","",IF(K586="",1,K586))</f>
        <v>0</v>
      </c>
      <c r="U586" s="15">
        <f>IF(B586="","",IF(J586&lt;&gt;"",J586,IF(H586="Retail",IFERROR(INDEX(Inventory!$B$5:$B$304,MATCH(I586,Inventory!$A$5:$A$304,0))&amp;"","Not in Inventory"),IFERROR(INDEX(Services!$B$5:$B$204,MATCH(I586,Services!$A$5:$A$204,0))&amp;"","Not in Services"))))</f>
        <v>0</v>
      </c>
      <c r="V586" s="26">
        <f>IF(B586="","",IF(L586&lt;&gt;"",L586,IF(H586="Retail",IFERROR(INDEX(Inventory!$I$5:$I$304,MATCH(I586,Inventory!$A$5:$A$304,0))*1,0),IFERROR(INDEX(Services!$G$5:$G$204,MATCH(I586,Services!$A$5:$A$204,0))*1,0))))</f>
        <v>0</v>
      </c>
      <c r="W586" s="26">
        <f>IF(B586="","",ROUND(T586*V586,2))</f>
        <v>0</v>
      </c>
      <c r="X586" s="26">
        <f>IF(B586="","",ROUND(IF(M586="",0,W586*M586)+IF(N586="",0,N586),2))</f>
        <v>0</v>
      </c>
      <c r="Y586" s="26">
        <f>IF(B586="","",ROUND(W586-X586-IF(P586="",0,P586),2))</f>
        <v>0</v>
      </c>
      <c r="Z586" s="26">
        <f>IF(B586="","",IF(H586="Retail",IF(TaxOnRetail="Yes",ROUND(Y586*TaxRate,2),0),IF(H586="Service",IF(TaxOnServices="Yes",ROUND(Y586*TaxRate,2),0),0)))</f>
        <v>0</v>
      </c>
      <c r="AA586" s="26">
        <f>IF(B586="","",ROUND(Y586+Z586,2))</f>
        <v>0</v>
      </c>
      <c r="AB586" s="26">
        <f>IF(B586="","",ROUND(T586*IF(H586="Retail",IFERROR(INDEX(Inventory!$H$5:$H$304,MATCH(I586,Inventory!$A$5:$A$304,0))*1,0),IFERROR(INDEX(Services!$Q$5:$Q$204,MATCH(I586,Services!$A$5:$A$204,0))*1,0)),2))</f>
        <v>0</v>
      </c>
      <c r="AC586" s="26">
        <f>IF(B586="","",ROUND(Y586-AB586,2))</f>
        <v>0</v>
      </c>
      <c r="AD586" s="38">
        <f>IF(B586="","",IF(C586="","No",IF(COUNTIFS($C$5:C586,C586)=1,"Yes","No")))</f>
        <v>0</v>
      </c>
      <c r="AE586" s="26">
        <f>IF(B586="","",ROUND(SUMIFS(Payments!$G$5:$G$1204,Payments!$H$5:$H$1204,A586,Payments!$Q$5:$Q$1204,"Yes"),2))</f>
        <v>0</v>
      </c>
      <c r="AF586" s="26">
        <f>IF(B586="","",IF(AD586="No",0,ROUND(SUMIFS(Payments!$G$5:$G$1204,Payments!$I$5:$I$1204,C586,Payments!$H$5:$H$1204,"",Payments!$Q$5:$Q$1204,"Yes"),2)))</f>
        <v>0</v>
      </c>
      <c r="AG586" s="26">
        <f>IF(B586="","",ROUND(AE586+AF586,2))</f>
        <v>0</v>
      </c>
      <c r="AH586" s="26">
        <f>IF(B586="","",ROUND(AA586-AG586,2))</f>
        <v>0</v>
      </c>
      <c r="AI586" s="39">
        <f>IF(B586="","",IF(AA586&lt;=0,"No charge",IF(AH586&lt;=0.004,"Paid",IF(AG586&lt;=0.004,"Unpaid","Part paid"))))</f>
        <v>0</v>
      </c>
      <c r="AJ586" s="38">
        <f>IF(B586="","",IF(H586&lt;&gt;"Service","",IF(D586="","No",IF(COUNTIFS($D$5:$D$1204,D586,$B$5:$B$1204,B586,$H$5:$H$1204,"Retail")&gt;0,"Yes","No"))))</f>
        <v>0</v>
      </c>
      <c r="AK586" s="25">
        <f>IF(B586="","",COUNTIFS($Y$5:$Y$1204,"&gt;"&amp;Y586)+COUNTIFS($Y$5:Y586,Y586))</f>
        <v>0</v>
      </c>
      <c r="AL586" s="39">
        <f>IF(B586="","",IF(H586="","Add - what kind of sale is this?",IF(IF(V586&lt;=0,P586="",FALSE),"Check - no price found for this item",IF(F586="","Assign - nobody credited",IF(AH586&gt;0.004,"Unpaid - balance outstanding",IF(AC586&lt;0,"Loss - sold below cost",IF(X586&gt;W586*0.5,"Check - more than half off","OK")))))))</f>
        <v>0</v>
      </c>
    </row>
    <row r="587" spans="1:38">
      <c r="A587" s="28">
        <f>IF(B587="","",SalePrefix&amp;TEXT(ROW()-4,"0000"))</f>
        <v>0</v>
      </c>
      <c r="E587" s="15">
        <f>IF(D587="","",IFERROR(INDEX(Clients!$B$5:$B$504,MATCH(D587,Clients!$A$5:$A$504,0)),"Walk-in"))</f>
        <v>0</v>
      </c>
      <c r="G587" s="15">
        <f>IF(F587="","",IFERROR(INDEX(Staff!$B$5:$B$44,MATCH(F587,Staff!$A$5:$A$44,0)),"House"))</f>
        <v>0</v>
      </c>
      <c r="R587" s="15">
        <f>IF(B587="","",TEXT(B587,"yyyy-mm"))</f>
        <v>0</v>
      </c>
      <c r="S587" s="25">
        <f>IF(B587="","",WEEKNUM(B587,2))</f>
        <v>0</v>
      </c>
      <c r="T587" s="37">
        <f>IF(B587="","",IF(K587="",1,K587))</f>
        <v>0</v>
      </c>
      <c r="U587" s="15">
        <f>IF(B587="","",IF(J587&lt;&gt;"",J587,IF(H587="Retail",IFERROR(INDEX(Inventory!$B$5:$B$304,MATCH(I587,Inventory!$A$5:$A$304,0))&amp;"","Not in Inventory"),IFERROR(INDEX(Services!$B$5:$B$204,MATCH(I587,Services!$A$5:$A$204,0))&amp;"","Not in Services"))))</f>
        <v>0</v>
      </c>
      <c r="V587" s="26">
        <f>IF(B587="","",IF(L587&lt;&gt;"",L587,IF(H587="Retail",IFERROR(INDEX(Inventory!$I$5:$I$304,MATCH(I587,Inventory!$A$5:$A$304,0))*1,0),IFERROR(INDEX(Services!$G$5:$G$204,MATCH(I587,Services!$A$5:$A$204,0))*1,0))))</f>
        <v>0</v>
      </c>
      <c r="W587" s="26">
        <f>IF(B587="","",ROUND(T587*V587,2))</f>
        <v>0</v>
      </c>
      <c r="X587" s="26">
        <f>IF(B587="","",ROUND(IF(M587="",0,W587*M587)+IF(N587="",0,N587),2))</f>
        <v>0</v>
      </c>
      <c r="Y587" s="26">
        <f>IF(B587="","",ROUND(W587-X587-IF(P587="",0,P587),2))</f>
        <v>0</v>
      </c>
      <c r="Z587" s="26">
        <f>IF(B587="","",IF(H587="Retail",IF(TaxOnRetail="Yes",ROUND(Y587*TaxRate,2),0),IF(H587="Service",IF(TaxOnServices="Yes",ROUND(Y587*TaxRate,2),0),0)))</f>
        <v>0</v>
      </c>
      <c r="AA587" s="26">
        <f>IF(B587="","",ROUND(Y587+Z587,2))</f>
        <v>0</v>
      </c>
      <c r="AB587" s="26">
        <f>IF(B587="","",ROUND(T587*IF(H587="Retail",IFERROR(INDEX(Inventory!$H$5:$H$304,MATCH(I587,Inventory!$A$5:$A$304,0))*1,0),IFERROR(INDEX(Services!$Q$5:$Q$204,MATCH(I587,Services!$A$5:$A$204,0))*1,0)),2))</f>
        <v>0</v>
      </c>
      <c r="AC587" s="26">
        <f>IF(B587="","",ROUND(Y587-AB587,2))</f>
        <v>0</v>
      </c>
      <c r="AD587" s="38">
        <f>IF(B587="","",IF(C587="","No",IF(COUNTIFS($C$5:C587,C587)=1,"Yes","No")))</f>
        <v>0</v>
      </c>
      <c r="AE587" s="26">
        <f>IF(B587="","",ROUND(SUMIFS(Payments!$G$5:$G$1204,Payments!$H$5:$H$1204,A587,Payments!$Q$5:$Q$1204,"Yes"),2))</f>
        <v>0</v>
      </c>
      <c r="AF587" s="26">
        <f>IF(B587="","",IF(AD587="No",0,ROUND(SUMIFS(Payments!$G$5:$G$1204,Payments!$I$5:$I$1204,C587,Payments!$H$5:$H$1204,"",Payments!$Q$5:$Q$1204,"Yes"),2)))</f>
        <v>0</v>
      </c>
      <c r="AG587" s="26">
        <f>IF(B587="","",ROUND(AE587+AF587,2))</f>
        <v>0</v>
      </c>
      <c r="AH587" s="26">
        <f>IF(B587="","",ROUND(AA587-AG587,2))</f>
        <v>0</v>
      </c>
      <c r="AI587" s="39">
        <f>IF(B587="","",IF(AA587&lt;=0,"No charge",IF(AH587&lt;=0.004,"Paid",IF(AG587&lt;=0.004,"Unpaid","Part paid"))))</f>
        <v>0</v>
      </c>
      <c r="AJ587" s="38">
        <f>IF(B587="","",IF(H587&lt;&gt;"Service","",IF(D587="","No",IF(COUNTIFS($D$5:$D$1204,D587,$B$5:$B$1204,B587,$H$5:$H$1204,"Retail")&gt;0,"Yes","No"))))</f>
        <v>0</v>
      </c>
      <c r="AK587" s="25">
        <f>IF(B587="","",COUNTIFS($Y$5:$Y$1204,"&gt;"&amp;Y587)+COUNTIFS($Y$5:Y587,Y587))</f>
        <v>0</v>
      </c>
      <c r="AL587" s="39">
        <f>IF(B587="","",IF(H587="","Add - what kind of sale is this?",IF(IF(V587&lt;=0,P587="",FALSE),"Check - no price found for this item",IF(F587="","Assign - nobody credited",IF(AH587&gt;0.004,"Unpaid - balance outstanding",IF(AC587&lt;0,"Loss - sold below cost",IF(X587&gt;W587*0.5,"Check - more than half off","OK")))))))</f>
        <v>0</v>
      </c>
    </row>
    <row r="588" spans="1:38">
      <c r="A588" s="28">
        <f>IF(B588="","",SalePrefix&amp;TEXT(ROW()-4,"0000"))</f>
        <v>0</v>
      </c>
      <c r="E588" s="15">
        <f>IF(D588="","",IFERROR(INDEX(Clients!$B$5:$B$504,MATCH(D588,Clients!$A$5:$A$504,0)),"Walk-in"))</f>
        <v>0</v>
      </c>
      <c r="G588" s="15">
        <f>IF(F588="","",IFERROR(INDEX(Staff!$B$5:$B$44,MATCH(F588,Staff!$A$5:$A$44,0)),"House"))</f>
        <v>0</v>
      </c>
      <c r="R588" s="15">
        <f>IF(B588="","",TEXT(B588,"yyyy-mm"))</f>
        <v>0</v>
      </c>
      <c r="S588" s="25">
        <f>IF(B588="","",WEEKNUM(B588,2))</f>
        <v>0</v>
      </c>
      <c r="T588" s="37">
        <f>IF(B588="","",IF(K588="",1,K588))</f>
        <v>0</v>
      </c>
      <c r="U588" s="15">
        <f>IF(B588="","",IF(J588&lt;&gt;"",J588,IF(H588="Retail",IFERROR(INDEX(Inventory!$B$5:$B$304,MATCH(I588,Inventory!$A$5:$A$304,0))&amp;"","Not in Inventory"),IFERROR(INDEX(Services!$B$5:$B$204,MATCH(I588,Services!$A$5:$A$204,0))&amp;"","Not in Services"))))</f>
        <v>0</v>
      </c>
      <c r="V588" s="26">
        <f>IF(B588="","",IF(L588&lt;&gt;"",L588,IF(H588="Retail",IFERROR(INDEX(Inventory!$I$5:$I$304,MATCH(I588,Inventory!$A$5:$A$304,0))*1,0),IFERROR(INDEX(Services!$G$5:$G$204,MATCH(I588,Services!$A$5:$A$204,0))*1,0))))</f>
        <v>0</v>
      </c>
      <c r="W588" s="26">
        <f>IF(B588="","",ROUND(T588*V588,2))</f>
        <v>0</v>
      </c>
      <c r="X588" s="26">
        <f>IF(B588="","",ROUND(IF(M588="",0,W588*M588)+IF(N588="",0,N588),2))</f>
        <v>0</v>
      </c>
      <c r="Y588" s="26">
        <f>IF(B588="","",ROUND(W588-X588-IF(P588="",0,P588),2))</f>
        <v>0</v>
      </c>
      <c r="Z588" s="26">
        <f>IF(B588="","",IF(H588="Retail",IF(TaxOnRetail="Yes",ROUND(Y588*TaxRate,2),0),IF(H588="Service",IF(TaxOnServices="Yes",ROUND(Y588*TaxRate,2),0),0)))</f>
        <v>0</v>
      </c>
      <c r="AA588" s="26">
        <f>IF(B588="","",ROUND(Y588+Z588,2))</f>
        <v>0</v>
      </c>
      <c r="AB588" s="26">
        <f>IF(B588="","",ROUND(T588*IF(H588="Retail",IFERROR(INDEX(Inventory!$H$5:$H$304,MATCH(I588,Inventory!$A$5:$A$304,0))*1,0),IFERROR(INDEX(Services!$Q$5:$Q$204,MATCH(I588,Services!$A$5:$A$204,0))*1,0)),2))</f>
        <v>0</v>
      </c>
      <c r="AC588" s="26">
        <f>IF(B588="","",ROUND(Y588-AB588,2))</f>
        <v>0</v>
      </c>
      <c r="AD588" s="38">
        <f>IF(B588="","",IF(C588="","No",IF(COUNTIFS($C$5:C588,C588)=1,"Yes","No")))</f>
        <v>0</v>
      </c>
      <c r="AE588" s="26">
        <f>IF(B588="","",ROUND(SUMIFS(Payments!$G$5:$G$1204,Payments!$H$5:$H$1204,A588,Payments!$Q$5:$Q$1204,"Yes"),2))</f>
        <v>0</v>
      </c>
      <c r="AF588" s="26">
        <f>IF(B588="","",IF(AD588="No",0,ROUND(SUMIFS(Payments!$G$5:$G$1204,Payments!$I$5:$I$1204,C588,Payments!$H$5:$H$1204,"",Payments!$Q$5:$Q$1204,"Yes"),2)))</f>
        <v>0</v>
      </c>
      <c r="AG588" s="26">
        <f>IF(B588="","",ROUND(AE588+AF588,2))</f>
        <v>0</v>
      </c>
      <c r="AH588" s="26">
        <f>IF(B588="","",ROUND(AA588-AG588,2))</f>
        <v>0</v>
      </c>
      <c r="AI588" s="39">
        <f>IF(B588="","",IF(AA588&lt;=0,"No charge",IF(AH588&lt;=0.004,"Paid",IF(AG588&lt;=0.004,"Unpaid","Part paid"))))</f>
        <v>0</v>
      </c>
      <c r="AJ588" s="38">
        <f>IF(B588="","",IF(H588&lt;&gt;"Service","",IF(D588="","No",IF(COUNTIFS($D$5:$D$1204,D588,$B$5:$B$1204,B588,$H$5:$H$1204,"Retail")&gt;0,"Yes","No"))))</f>
        <v>0</v>
      </c>
      <c r="AK588" s="25">
        <f>IF(B588="","",COUNTIFS($Y$5:$Y$1204,"&gt;"&amp;Y588)+COUNTIFS($Y$5:Y588,Y588))</f>
        <v>0</v>
      </c>
      <c r="AL588" s="39">
        <f>IF(B588="","",IF(H588="","Add - what kind of sale is this?",IF(IF(V588&lt;=0,P588="",FALSE),"Check - no price found for this item",IF(F588="","Assign - nobody credited",IF(AH588&gt;0.004,"Unpaid - balance outstanding",IF(AC588&lt;0,"Loss - sold below cost",IF(X588&gt;W588*0.5,"Check - more than half off","OK")))))))</f>
        <v>0</v>
      </c>
    </row>
    <row r="589" spans="1:38">
      <c r="A589" s="28">
        <f>IF(B589="","",SalePrefix&amp;TEXT(ROW()-4,"0000"))</f>
        <v>0</v>
      </c>
      <c r="E589" s="15">
        <f>IF(D589="","",IFERROR(INDEX(Clients!$B$5:$B$504,MATCH(D589,Clients!$A$5:$A$504,0)),"Walk-in"))</f>
        <v>0</v>
      </c>
      <c r="G589" s="15">
        <f>IF(F589="","",IFERROR(INDEX(Staff!$B$5:$B$44,MATCH(F589,Staff!$A$5:$A$44,0)),"House"))</f>
        <v>0</v>
      </c>
      <c r="R589" s="15">
        <f>IF(B589="","",TEXT(B589,"yyyy-mm"))</f>
        <v>0</v>
      </c>
      <c r="S589" s="25">
        <f>IF(B589="","",WEEKNUM(B589,2))</f>
        <v>0</v>
      </c>
      <c r="T589" s="37">
        <f>IF(B589="","",IF(K589="",1,K589))</f>
        <v>0</v>
      </c>
      <c r="U589" s="15">
        <f>IF(B589="","",IF(J589&lt;&gt;"",J589,IF(H589="Retail",IFERROR(INDEX(Inventory!$B$5:$B$304,MATCH(I589,Inventory!$A$5:$A$304,0))&amp;"","Not in Inventory"),IFERROR(INDEX(Services!$B$5:$B$204,MATCH(I589,Services!$A$5:$A$204,0))&amp;"","Not in Services"))))</f>
        <v>0</v>
      </c>
      <c r="V589" s="26">
        <f>IF(B589="","",IF(L589&lt;&gt;"",L589,IF(H589="Retail",IFERROR(INDEX(Inventory!$I$5:$I$304,MATCH(I589,Inventory!$A$5:$A$304,0))*1,0),IFERROR(INDEX(Services!$G$5:$G$204,MATCH(I589,Services!$A$5:$A$204,0))*1,0))))</f>
        <v>0</v>
      </c>
      <c r="W589" s="26">
        <f>IF(B589="","",ROUND(T589*V589,2))</f>
        <v>0</v>
      </c>
      <c r="X589" s="26">
        <f>IF(B589="","",ROUND(IF(M589="",0,W589*M589)+IF(N589="",0,N589),2))</f>
        <v>0</v>
      </c>
      <c r="Y589" s="26">
        <f>IF(B589="","",ROUND(W589-X589-IF(P589="",0,P589),2))</f>
        <v>0</v>
      </c>
      <c r="Z589" s="26">
        <f>IF(B589="","",IF(H589="Retail",IF(TaxOnRetail="Yes",ROUND(Y589*TaxRate,2),0),IF(H589="Service",IF(TaxOnServices="Yes",ROUND(Y589*TaxRate,2),0),0)))</f>
        <v>0</v>
      </c>
      <c r="AA589" s="26">
        <f>IF(B589="","",ROUND(Y589+Z589,2))</f>
        <v>0</v>
      </c>
      <c r="AB589" s="26">
        <f>IF(B589="","",ROUND(T589*IF(H589="Retail",IFERROR(INDEX(Inventory!$H$5:$H$304,MATCH(I589,Inventory!$A$5:$A$304,0))*1,0),IFERROR(INDEX(Services!$Q$5:$Q$204,MATCH(I589,Services!$A$5:$A$204,0))*1,0)),2))</f>
        <v>0</v>
      </c>
      <c r="AC589" s="26">
        <f>IF(B589="","",ROUND(Y589-AB589,2))</f>
        <v>0</v>
      </c>
      <c r="AD589" s="38">
        <f>IF(B589="","",IF(C589="","No",IF(COUNTIFS($C$5:C589,C589)=1,"Yes","No")))</f>
        <v>0</v>
      </c>
      <c r="AE589" s="26">
        <f>IF(B589="","",ROUND(SUMIFS(Payments!$G$5:$G$1204,Payments!$H$5:$H$1204,A589,Payments!$Q$5:$Q$1204,"Yes"),2))</f>
        <v>0</v>
      </c>
      <c r="AF589" s="26">
        <f>IF(B589="","",IF(AD589="No",0,ROUND(SUMIFS(Payments!$G$5:$G$1204,Payments!$I$5:$I$1204,C589,Payments!$H$5:$H$1204,"",Payments!$Q$5:$Q$1204,"Yes"),2)))</f>
        <v>0</v>
      </c>
      <c r="AG589" s="26">
        <f>IF(B589="","",ROUND(AE589+AF589,2))</f>
        <v>0</v>
      </c>
      <c r="AH589" s="26">
        <f>IF(B589="","",ROUND(AA589-AG589,2))</f>
        <v>0</v>
      </c>
      <c r="AI589" s="39">
        <f>IF(B589="","",IF(AA589&lt;=0,"No charge",IF(AH589&lt;=0.004,"Paid",IF(AG589&lt;=0.004,"Unpaid","Part paid"))))</f>
        <v>0</v>
      </c>
      <c r="AJ589" s="38">
        <f>IF(B589="","",IF(H589&lt;&gt;"Service","",IF(D589="","No",IF(COUNTIFS($D$5:$D$1204,D589,$B$5:$B$1204,B589,$H$5:$H$1204,"Retail")&gt;0,"Yes","No"))))</f>
        <v>0</v>
      </c>
      <c r="AK589" s="25">
        <f>IF(B589="","",COUNTIFS($Y$5:$Y$1204,"&gt;"&amp;Y589)+COUNTIFS($Y$5:Y589,Y589))</f>
        <v>0</v>
      </c>
      <c r="AL589" s="39">
        <f>IF(B589="","",IF(H589="","Add - what kind of sale is this?",IF(IF(V589&lt;=0,P589="",FALSE),"Check - no price found for this item",IF(F589="","Assign - nobody credited",IF(AH589&gt;0.004,"Unpaid - balance outstanding",IF(AC589&lt;0,"Loss - sold below cost",IF(X589&gt;W589*0.5,"Check - more than half off","OK")))))))</f>
        <v>0</v>
      </c>
    </row>
    <row r="590" spans="1:38">
      <c r="A590" s="28">
        <f>IF(B590="","",SalePrefix&amp;TEXT(ROW()-4,"0000"))</f>
        <v>0</v>
      </c>
      <c r="E590" s="15">
        <f>IF(D590="","",IFERROR(INDEX(Clients!$B$5:$B$504,MATCH(D590,Clients!$A$5:$A$504,0)),"Walk-in"))</f>
        <v>0</v>
      </c>
      <c r="G590" s="15">
        <f>IF(F590="","",IFERROR(INDEX(Staff!$B$5:$B$44,MATCH(F590,Staff!$A$5:$A$44,0)),"House"))</f>
        <v>0</v>
      </c>
      <c r="R590" s="15">
        <f>IF(B590="","",TEXT(B590,"yyyy-mm"))</f>
        <v>0</v>
      </c>
      <c r="S590" s="25">
        <f>IF(B590="","",WEEKNUM(B590,2))</f>
        <v>0</v>
      </c>
      <c r="T590" s="37">
        <f>IF(B590="","",IF(K590="",1,K590))</f>
        <v>0</v>
      </c>
      <c r="U590" s="15">
        <f>IF(B590="","",IF(J590&lt;&gt;"",J590,IF(H590="Retail",IFERROR(INDEX(Inventory!$B$5:$B$304,MATCH(I590,Inventory!$A$5:$A$304,0))&amp;"","Not in Inventory"),IFERROR(INDEX(Services!$B$5:$B$204,MATCH(I590,Services!$A$5:$A$204,0))&amp;"","Not in Services"))))</f>
        <v>0</v>
      </c>
      <c r="V590" s="26">
        <f>IF(B590="","",IF(L590&lt;&gt;"",L590,IF(H590="Retail",IFERROR(INDEX(Inventory!$I$5:$I$304,MATCH(I590,Inventory!$A$5:$A$304,0))*1,0),IFERROR(INDEX(Services!$G$5:$G$204,MATCH(I590,Services!$A$5:$A$204,0))*1,0))))</f>
        <v>0</v>
      </c>
      <c r="W590" s="26">
        <f>IF(B590="","",ROUND(T590*V590,2))</f>
        <v>0</v>
      </c>
      <c r="X590" s="26">
        <f>IF(B590="","",ROUND(IF(M590="",0,W590*M590)+IF(N590="",0,N590),2))</f>
        <v>0</v>
      </c>
      <c r="Y590" s="26">
        <f>IF(B590="","",ROUND(W590-X590-IF(P590="",0,P590),2))</f>
        <v>0</v>
      </c>
      <c r="Z590" s="26">
        <f>IF(B590="","",IF(H590="Retail",IF(TaxOnRetail="Yes",ROUND(Y590*TaxRate,2),0),IF(H590="Service",IF(TaxOnServices="Yes",ROUND(Y590*TaxRate,2),0),0)))</f>
        <v>0</v>
      </c>
      <c r="AA590" s="26">
        <f>IF(B590="","",ROUND(Y590+Z590,2))</f>
        <v>0</v>
      </c>
      <c r="AB590" s="26">
        <f>IF(B590="","",ROUND(T590*IF(H590="Retail",IFERROR(INDEX(Inventory!$H$5:$H$304,MATCH(I590,Inventory!$A$5:$A$304,0))*1,0),IFERROR(INDEX(Services!$Q$5:$Q$204,MATCH(I590,Services!$A$5:$A$204,0))*1,0)),2))</f>
        <v>0</v>
      </c>
      <c r="AC590" s="26">
        <f>IF(B590="","",ROUND(Y590-AB590,2))</f>
        <v>0</v>
      </c>
      <c r="AD590" s="38">
        <f>IF(B590="","",IF(C590="","No",IF(COUNTIFS($C$5:C590,C590)=1,"Yes","No")))</f>
        <v>0</v>
      </c>
      <c r="AE590" s="26">
        <f>IF(B590="","",ROUND(SUMIFS(Payments!$G$5:$G$1204,Payments!$H$5:$H$1204,A590,Payments!$Q$5:$Q$1204,"Yes"),2))</f>
        <v>0</v>
      </c>
      <c r="AF590" s="26">
        <f>IF(B590="","",IF(AD590="No",0,ROUND(SUMIFS(Payments!$G$5:$G$1204,Payments!$I$5:$I$1204,C590,Payments!$H$5:$H$1204,"",Payments!$Q$5:$Q$1204,"Yes"),2)))</f>
        <v>0</v>
      </c>
      <c r="AG590" s="26">
        <f>IF(B590="","",ROUND(AE590+AF590,2))</f>
        <v>0</v>
      </c>
      <c r="AH590" s="26">
        <f>IF(B590="","",ROUND(AA590-AG590,2))</f>
        <v>0</v>
      </c>
      <c r="AI590" s="39">
        <f>IF(B590="","",IF(AA590&lt;=0,"No charge",IF(AH590&lt;=0.004,"Paid",IF(AG590&lt;=0.004,"Unpaid","Part paid"))))</f>
        <v>0</v>
      </c>
      <c r="AJ590" s="38">
        <f>IF(B590="","",IF(H590&lt;&gt;"Service","",IF(D590="","No",IF(COUNTIFS($D$5:$D$1204,D590,$B$5:$B$1204,B590,$H$5:$H$1204,"Retail")&gt;0,"Yes","No"))))</f>
        <v>0</v>
      </c>
      <c r="AK590" s="25">
        <f>IF(B590="","",COUNTIFS($Y$5:$Y$1204,"&gt;"&amp;Y590)+COUNTIFS($Y$5:Y590,Y590))</f>
        <v>0</v>
      </c>
      <c r="AL590" s="39">
        <f>IF(B590="","",IF(H590="","Add - what kind of sale is this?",IF(IF(V590&lt;=0,P590="",FALSE),"Check - no price found for this item",IF(F590="","Assign - nobody credited",IF(AH590&gt;0.004,"Unpaid - balance outstanding",IF(AC590&lt;0,"Loss - sold below cost",IF(X590&gt;W590*0.5,"Check - more than half off","OK")))))))</f>
        <v>0</v>
      </c>
    </row>
    <row r="591" spans="1:38">
      <c r="A591" s="28">
        <f>IF(B591="","",SalePrefix&amp;TEXT(ROW()-4,"0000"))</f>
        <v>0</v>
      </c>
      <c r="E591" s="15">
        <f>IF(D591="","",IFERROR(INDEX(Clients!$B$5:$B$504,MATCH(D591,Clients!$A$5:$A$504,0)),"Walk-in"))</f>
        <v>0</v>
      </c>
      <c r="G591" s="15">
        <f>IF(F591="","",IFERROR(INDEX(Staff!$B$5:$B$44,MATCH(F591,Staff!$A$5:$A$44,0)),"House"))</f>
        <v>0</v>
      </c>
      <c r="R591" s="15">
        <f>IF(B591="","",TEXT(B591,"yyyy-mm"))</f>
        <v>0</v>
      </c>
      <c r="S591" s="25">
        <f>IF(B591="","",WEEKNUM(B591,2))</f>
        <v>0</v>
      </c>
      <c r="T591" s="37">
        <f>IF(B591="","",IF(K591="",1,K591))</f>
        <v>0</v>
      </c>
      <c r="U591" s="15">
        <f>IF(B591="","",IF(J591&lt;&gt;"",J591,IF(H591="Retail",IFERROR(INDEX(Inventory!$B$5:$B$304,MATCH(I591,Inventory!$A$5:$A$304,0))&amp;"","Not in Inventory"),IFERROR(INDEX(Services!$B$5:$B$204,MATCH(I591,Services!$A$5:$A$204,0))&amp;"","Not in Services"))))</f>
        <v>0</v>
      </c>
      <c r="V591" s="26">
        <f>IF(B591="","",IF(L591&lt;&gt;"",L591,IF(H591="Retail",IFERROR(INDEX(Inventory!$I$5:$I$304,MATCH(I591,Inventory!$A$5:$A$304,0))*1,0),IFERROR(INDEX(Services!$G$5:$G$204,MATCH(I591,Services!$A$5:$A$204,0))*1,0))))</f>
        <v>0</v>
      </c>
      <c r="W591" s="26">
        <f>IF(B591="","",ROUND(T591*V591,2))</f>
        <v>0</v>
      </c>
      <c r="X591" s="26">
        <f>IF(B591="","",ROUND(IF(M591="",0,W591*M591)+IF(N591="",0,N591),2))</f>
        <v>0</v>
      </c>
      <c r="Y591" s="26">
        <f>IF(B591="","",ROUND(W591-X591-IF(P591="",0,P591),2))</f>
        <v>0</v>
      </c>
      <c r="Z591" s="26">
        <f>IF(B591="","",IF(H591="Retail",IF(TaxOnRetail="Yes",ROUND(Y591*TaxRate,2),0),IF(H591="Service",IF(TaxOnServices="Yes",ROUND(Y591*TaxRate,2),0),0)))</f>
        <v>0</v>
      </c>
      <c r="AA591" s="26">
        <f>IF(B591="","",ROUND(Y591+Z591,2))</f>
        <v>0</v>
      </c>
      <c r="AB591" s="26">
        <f>IF(B591="","",ROUND(T591*IF(H591="Retail",IFERROR(INDEX(Inventory!$H$5:$H$304,MATCH(I591,Inventory!$A$5:$A$304,0))*1,0),IFERROR(INDEX(Services!$Q$5:$Q$204,MATCH(I591,Services!$A$5:$A$204,0))*1,0)),2))</f>
        <v>0</v>
      </c>
      <c r="AC591" s="26">
        <f>IF(B591="","",ROUND(Y591-AB591,2))</f>
        <v>0</v>
      </c>
      <c r="AD591" s="38">
        <f>IF(B591="","",IF(C591="","No",IF(COUNTIFS($C$5:C591,C591)=1,"Yes","No")))</f>
        <v>0</v>
      </c>
      <c r="AE591" s="26">
        <f>IF(B591="","",ROUND(SUMIFS(Payments!$G$5:$G$1204,Payments!$H$5:$H$1204,A591,Payments!$Q$5:$Q$1204,"Yes"),2))</f>
        <v>0</v>
      </c>
      <c r="AF591" s="26">
        <f>IF(B591="","",IF(AD591="No",0,ROUND(SUMIFS(Payments!$G$5:$G$1204,Payments!$I$5:$I$1204,C591,Payments!$H$5:$H$1204,"",Payments!$Q$5:$Q$1204,"Yes"),2)))</f>
        <v>0</v>
      </c>
      <c r="AG591" s="26">
        <f>IF(B591="","",ROUND(AE591+AF591,2))</f>
        <v>0</v>
      </c>
      <c r="AH591" s="26">
        <f>IF(B591="","",ROUND(AA591-AG591,2))</f>
        <v>0</v>
      </c>
      <c r="AI591" s="39">
        <f>IF(B591="","",IF(AA591&lt;=0,"No charge",IF(AH591&lt;=0.004,"Paid",IF(AG591&lt;=0.004,"Unpaid","Part paid"))))</f>
        <v>0</v>
      </c>
      <c r="AJ591" s="38">
        <f>IF(B591="","",IF(H591&lt;&gt;"Service","",IF(D591="","No",IF(COUNTIFS($D$5:$D$1204,D591,$B$5:$B$1204,B591,$H$5:$H$1204,"Retail")&gt;0,"Yes","No"))))</f>
        <v>0</v>
      </c>
      <c r="AK591" s="25">
        <f>IF(B591="","",COUNTIFS($Y$5:$Y$1204,"&gt;"&amp;Y591)+COUNTIFS($Y$5:Y591,Y591))</f>
        <v>0</v>
      </c>
      <c r="AL591" s="39">
        <f>IF(B591="","",IF(H591="","Add - what kind of sale is this?",IF(IF(V591&lt;=0,P591="",FALSE),"Check - no price found for this item",IF(F591="","Assign - nobody credited",IF(AH591&gt;0.004,"Unpaid - balance outstanding",IF(AC591&lt;0,"Loss - sold below cost",IF(X591&gt;W591*0.5,"Check - more than half off","OK")))))))</f>
        <v>0</v>
      </c>
    </row>
    <row r="592" spans="1:38">
      <c r="A592" s="28">
        <f>IF(B592="","",SalePrefix&amp;TEXT(ROW()-4,"0000"))</f>
        <v>0</v>
      </c>
      <c r="E592" s="15">
        <f>IF(D592="","",IFERROR(INDEX(Clients!$B$5:$B$504,MATCH(D592,Clients!$A$5:$A$504,0)),"Walk-in"))</f>
        <v>0</v>
      </c>
      <c r="G592" s="15">
        <f>IF(F592="","",IFERROR(INDEX(Staff!$B$5:$B$44,MATCH(F592,Staff!$A$5:$A$44,0)),"House"))</f>
        <v>0</v>
      </c>
      <c r="R592" s="15">
        <f>IF(B592="","",TEXT(B592,"yyyy-mm"))</f>
        <v>0</v>
      </c>
      <c r="S592" s="25">
        <f>IF(B592="","",WEEKNUM(B592,2))</f>
        <v>0</v>
      </c>
      <c r="T592" s="37">
        <f>IF(B592="","",IF(K592="",1,K592))</f>
        <v>0</v>
      </c>
      <c r="U592" s="15">
        <f>IF(B592="","",IF(J592&lt;&gt;"",J592,IF(H592="Retail",IFERROR(INDEX(Inventory!$B$5:$B$304,MATCH(I592,Inventory!$A$5:$A$304,0))&amp;"","Not in Inventory"),IFERROR(INDEX(Services!$B$5:$B$204,MATCH(I592,Services!$A$5:$A$204,0))&amp;"","Not in Services"))))</f>
        <v>0</v>
      </c>
      <c r="V592" s="26">
        <f>IF(B592="","",IF(L592&lt;&gt;"",L592,IF(H592="Retail",IFERROR(INDEX(Inventory!$I$5:$I$304,MATCH(I592,Inventory!$A$5:$A$304,0))*1,0),IFERROR(INDEX(Services!$G$5:$G$204,MATCH(I592,Services!$A$5:$A$204,0))*1,0))))</f>
        <v>0</v>
      </c>
      <c r="W592" s="26">
        <f>IF(B592="","",ROUND(T592*V592,2))</f>
        <v>0</v>
      </c>
      <c r="X592" s="26">
        <f>IF(B592="","",ROUND(IF(M592="",0,W592*M592)+IF(N592="",0,N592),2))</f>
        <v>0</v>
      </c>
      <c r="Y592" s="26">
        <f>IF(B592="","",ROUND(W592-X592-IF(P592="",0,P592),2))</f>
        <v>0</v>
      </c>
      <c r="Z592" s="26">
        <f>IF(B592="","",IF(H592="Retail",IF(TaxOnRetail="Yes",ROUND(Y592*TaxRate,2),0),IF(H592="Service",IF(TaxOnServices="Yes",ROUND(Y592*TaxRate,2),0),0)))</f>
        <v>0</v>
      </c>
      <c r="AA592" s="26">
        <f>IF(B592="","",ROUND(Y592+Z592,2))</f>
        <v>0</v>
      </c>
      <c r="AB592" s="26">
        <f>IF(B592="","",ROUND(T592*IF(H592="Retail",IFERROR(INDEX(Inventory!$H$5:$H$304,MATCH(I592,Inventory!$A$5:$A$304,0))*1,0),IFERROR(INDEX(Services!$Q$5:$Q$204,MATCH(I592,Services!$A$5:$A$204,0))*1,0)),2))</f>
        <v>0</v>
      </c>
      <c r="AC592" s="26">
        <f>IF(B592="","",ROUND(Y592-AB592,2))</f>
        <v>0</v>
      </c>
      <c r="AD592" s="38">
        <f>IF(B592="","",IF(C592="","No",IF(COUNTIFS($C$5:C592,C592)=1,"Yes","No")))</f>
        <v>0</v>
      </c>
      <c r="AE592" s="26">
        <f>IF(B592="","",ROUND(SUMIFS(Payments!$G$5:$G$1204,Payments!$H$5:$H$1204,A592,Payments!$Q$5:$Q$1204,"Yes"),2))</f>
        <v>0</v>
      </c>
      <c r="AF592" s="26">
        <f>IF(B592="","",IF(AD592="No",0,ROUND(SUMIFS(Payments!$G$5:$G$1204,Payments!$I$5:$I$1204,C592,Payments!$H$5:$H$1204,"",Payments!$Q$5:$Q$1204,"Yes"),2)))</f>
        <v>0</v>
      </c>
      <c r="AG592" s="26">
        <f>IF(B592="","",ROUND(AE592+AF592,2))</f>
        <v>0</v>
      </c>
      <c r="AH592" s="26">
        <f>IF(B592="","",ROUND(AA592-AG592,2))</f>
        <v>0</v>
      </c>
      <c r="AI592" s="39">
        <f>IF(B592="","",IF(AA592&lt;=0,"No charge",IF(AH592&lt;=0.004,"Paid",IF(AG592&lt;=0.004,"Unpaid","Part paid"))))</f>
        <v>0</v>
      </c>
      <c r="AJ592" s="38">
        <f>IF(B592="","",IF(H592&lt;&gt;"Service","",IF(D592="","No",IF(COUNTIFS($D$5:$D$1204,D592,$B$5:$B$1204,B592,$H$5:$H$1204,"Retail")&gt;0,"Yes","No"))))</f>
        <v>0</v>
      </c>
      <c r="AK592" s="25">
        <f>IF(B592="","",COUNTIFS($Y$5:$Y$1204,"&gt;"&amp;Y592)+COUNTIFS($Y$5:Y592,Y592))</f>
        <v>0</v>
      </c>
      <c r="AL592" s="39">
        <f>IF(B592="","",IF(H592="","Add - what kind of sale is this?",IF(IF(V592&lt;=0,P592="",FALSE),"Check - no price found for this item",IF(F592="","Assign - nobody credited",IF(AH592&gt;0.004,"Unpaid - balance outstanding",IF(AC592&lt;0,"Loss - sold below cost",IF(X592&gt;W592*0.5,"Check - more than half off","OK")))))))</f>
        <v>0</v>
      </c>
    </row>
    <row r="593" spans="1:38">
      <c r="A593" s="28">
        <f>IF(B593="","",SalePrefix&amp;TEXT(ROW()-4,"0000"))</f>
        <v>0</v>
      </c>
      <c r="E593" s="15">
        <f>IF(D593="","",IFERROR(INDEX(Clients!$B$5:$B$504,MATCH(D593,Clients!$A$5:$A$504,0)),"Walk-in"))</f>
        <v>0</v>
      </c>
      <c r="G593" s="15">
        <f>IF(F593="","",IFERROR(INDEX(Staff!$B$5:$B$44,MATCH(F593,Staff!$A$5:$A$44,0)),"House"))</f>
        <v>0</v>
      </c>
      <c r="R593" s="15">
        <f>IF(B593="","",TEXT(B593,"yyyy-mm"))</f>
        <v>0</v>
      </c>
      <c r="S593" s="25">
        <f>IF(B593="","",WEEKNUM(B593,2))</f>
        <v>0</v>
      </c>
      <c r="T593" s="37">
        <f>IF(B593="","",IF(K593="",1,K593))</f>
        <v>0</v>
      </c>
      <c r="U593" s="15">
        <f>IF(B593="","",IF(J593&lt;&gt;"",J593,IF(H593="Retail",IFERROR(INDEX(Inventory!$B$5:$B$304,MATCH(I593,Inventory!$A$5:$A$304,0))&amp;"","Not in Inventory"),IFERROR(INDEX(Services!$B$5:$B$204,MATCH(I593,Services!$A$5:$A$204,0))&amp;"","Not in Services"))))</f>
        <v>0</v>
      </c>
      <c r="V593" s="26">
        <f>IF(B593="","",IF(L593&lt;&gt;"",L593,IF(H593="Retail",IFERROR(INDEX(Inventory!$I$5:$I$304,MATCH(I593,Inventory!$A$5:$A$304,0))*1,0),IFERROR(INDEX(Services!$G$5:$G$204,MATCH(I593,Services!$A$5:$A$204,0))*1,0))))</f>
        <v>0</v>
      </c>
      <c r="W593" s="26">
        <f>IF(B593="","",ROUND(T593*V593,2))</f>
        <v>0</v>
      </c>
      <c r="X593" s="26">
        <f>IF(B593="","",ROUND(IF(M593="",0,W593*M593)+IF(N593="",0,N593),2))</f>
        <v>0</v>
      </c>
      <c r="Y593" s="26">
        <f>IF(B593="","",ROUND(W593-X593-IF(P593="",0,P593),2))</f>
        <v>0</v>
      </c>
      <c r="Z593" s="26">
        <f>IF(B593="","",IF(H593="Retail",IF(TaxOnRetail="Yes",ROUND(Y593*TaxRate,2),0),IF(H593="Service",IF(TaxOnServices="Yes",ROUND(Y593*TaxRate,2),0),0)))</f>
        <v>0</v>
      </c>
      <c r="AA593" s="26">
        <f>IF(B593="","",ROUND(Y593+Z593,2))</f>
        <v>0</v>
      </c>
      <c r="AB593" s="26">
        <f>IF(B593="","",ROUND(T593*IF(H593="Retail",IFERROR(INDEX(Inventory!$H$5:$H$304,MATCH(I593,Inventory!$A$5:$A$304,0))*1,0),IFERROR(INDEX(Services!$Q$5:$Q$204,MATCH(I593,Services!$A$5:$A$204,0))*1,0)),2))</f>
        <v>0</v>
      </c>
      <c r="AC593" s="26">
        <f>IF(B593="","",ROUND(Y593-AB593,2))</f>
        <v>0</v>
      </c>
      <c r="AD593" s="38">
        <f>IF(B593="","",IF(C593="","No",IF(COUNTIFS($C$5:C593,C593)=1,"Yes","No")))</f>
        <v>0</v>
      </c>
      <c r="AE593" s="26">
        <f>IF(B593="","",ROUND(SUMIFS(Payments!$G$5:$G$1204,Payments!$H$5:$H$1204,A593,Payments!$Q$5:$Q$1204,"Yes"),2))</f>
        <v>0</v>
      </c>
      <c r="AF593" s="26">
        <f>IF(B593="","",IF(AD593="No",0,ROUND(SUMIFS(Payments!$G$5:$G$1204,Payments!$I$5:$I$1204,C593,Payments!$H$5:$H$1204,"",Payments!$Q$5:$Q$1204,"Yes"),2)))</f>
        <v>0</v>
      </c>
      <c r="AG593" s="26">
        <f>IF(B593="","",ROUND(AE593+AF593,2))</f>
        <v>0</v>
      </c>
      <c r="AH593" s="26">
        <f>IF(B593="","",ROUND(AA593-AG593,2))</f>
        <v>0</v>
      </c>
      <c r="AI593" s="39">
        <f>IF(B593="","",IF(AA593&lt;=0,"No charge",IF(AH593&lt;=0.004,"Paid",IF(AG593&lt;=0.004,"Unpaid","Part paid"))))</f>
        <v>0</v>
      </c>
      <c r="AJ593" s="38">
        <f>IF(B593="","",IF(H593&lt;&gt;"Service","",IF(D593="","No",IF(COUNTIFS($D$5:$D$1204,D593,$B$5:$B$1204,B593,$H$5:$H$1204,"Retail")&gt;0,"Yes","No"))))</f>
        <v>0</v>
      </c>
      <c r="AK593" s="25">
        <f>IF(B593="","",COUNTIFS($Y$5:$Y$1204,"&gt;"&amp;Y593)+COUNTIFS($Y$5:Y593,Y593))</f>
        <v>0</v>
      </c>
      <c r="AL593" s="39">
        <f>IF(B593="","",IF(H593="","Add - what kind of sale is this?",IF(IF(V593&lt;=0,P593="",FALSE),"Check - no price found for this item",IF(F593="","Assign - nobody credited",IF(AH593&gt;0.004,"Unpaid - balance outstanding",IF(AC593&lt;0,"Loss - sold below cost",IF(X593&gt;W593*0.5,"Check - more than half off","OK")))))))</f>
        <v>0</v>
      </c>
    </row>
    <row r="594" spans="1:38">
      <c r="A594" s="28">
        <f>IF(B594="","",SalePrefix&amp;TEXT(ROW()-4,"0000"))</f>
        <v>0</v>
      </c>
      <c r="E594" s="15">
        <f>IF(D594="","",IFERROR(INDEX(Clients!$B$5:$B$504,MATCH(D594,Clients!$A$5:$A$504,0)),"Walk-in"))</f>
        <v>0</v>
      </c>
      <c r="G594" s="15">
        <f>IF(F594="","",IFERROR(INDEX(Staff!$B$5:$B$44,MATCH(F594,Staff!$A$5:$A$44,0)),"House"))</f>
        <v>0</v>
      </c>
      <c r="R594" s="15">
        <f>IF(B594="","",TEXT(B594,"yyyy-mm"))</f>
        <v>0</v>
      </c>
      <c r="S594" s="25">
        <f>IF(B594="","",WEEKNUM(B594,2))</f>
        <v>0</v>
      </c>
      <c r="T594" s="37">
        <f>IF(B594="","",IF(K594="",1,K594))</f>
        <v>0</v>
      </c>
      <c r="U594" s="15">
        <f>IF(B594="","",IF(J594&lt;&gt;"",J594,IF(H594="Retail",IFERROR(INDEX(Inventory!$B$5:$B$304,MATCH(I594,Inventory!$A$5:$A$304,0))&amp;"","Not in Inventory"),IFERROR(INDEX(Services!$B$5:$B$204,MATCH(I594,Services!$A$5:$A$204,0))&amp;"","Not in Services"))))</f>
        <v>0</v>
      </c>
      <c r="V594" s="26">
        <f>IF(B594="","",IF(L594&lt;&gt;"",L594,IF(H594="Retail",IFERROR(INDEX(Inventory!$I$5:$I$304,MATCH(I594,Inventory!$A$5:$A$304,0))*1,0),IFERROR(INDEX(Services!$G$5:$G$204,MATCH(I594,Services!$A$5:$A$204,0))*1,0))))</f>
        <v>0</v>
      </c>
      <c r="W594" s="26">
        <f>IF(B594="","",ROUND(T594*V594,2))</f>
        <v>0</v>
      </c>
      <c r="X594" s="26">
        <f>IF(B594="","",ROUND(IF(M594="",0,W594*M594)+IF(N594="",0,N594),2))</f>
        <v>0</v>
      </c>
      <c r="Y594" s="26">
        <f>IF(B594="","",ROUND(W594-X594-IF(P594="",0,P594),2))</f>
        <v>0</v>
      </c>
      <c r="Z594" s="26">
        <f>IF(B594="","",IF(H594="Retail",IF(TaxOnRetail="Yes",ROUND(Y594*TaxRate,2),0),IF(H594="Service",IF(TaxOnServices="Yes",ROUND(Y594*TaxRate,2),0),0)))</f>
        <v>0</v>
      </c>
      <c r="AA594" s="26">
        <f>IF(B594="","",ROUND(Y594+Z594,2))</f>
        <v>0</v>
      </c>
      <c r="AB594" s="26">
        <f>IF(B594="","",ROUND(T594*IF(H594="Retail",IFERROR(INDEX(Inventory!$H$5:$H$304,MATCH(I594,Inventory!$A$5:$A$304,0))*1,0),IFERROR(INDEX(Services!$Q$5:$Q$204,MATCH(I594,Services!$A$5:$A$204,0))*1,0)),2))</f>
        <v>0</v>
      </c>
      <c r="AC594" s="26">
        <f>IF(B594="","",ROUND(Y594-AB594,2))</f>
        <v>0</v>
      </c>
      <c r="AD594" s="38">
        <f>IF(B594="","",IF(C594="","No",IF(COUNTIFS($C$5:C594,C594)=1,"Yes","No")))</f>
        <v>0</v>
      </c>
      <c r="AE594" s="26">
        <f>IF(B594="","",ROUND(SUMIFS(Payments!$G$5:$G$1204,Payments!$H$5:$H$1204,A594,Payments!$Q$5:$Q$1204,"Yes"),2))</f>
        <v>0</v>
      </c>
      <c r="AF594" s="26">
        <f>IF(B594="","",IF(AD594="No",0,ROUND(SUMIFS(Payments!$G$5:$G$1204,Payments!$I$5:$I$1204,C594,Payments!$H$5:$H$1204,"",Payments!$Q$5:$Q$1204,"Yes"),2)))</f>
        <v>0</v>
      </c>
      <c r="AG594" s="26">
        <f>IF(B594="","",ROUND(AE594+AF594,2))</f>
        <v>0</v>
      </c>
      <c r="AH594" s="26">
        <f>IF(B594="","",ROUND(AA594-AG594,2))</f>
        <v>0</v>
      </c>
      <c r="AI594" s="39">
        <f>IF(B594="","",IF(AA594&lt;=0,"No charge",IF(AH594&lt;=0.004,"Paid",IF(AG594&lt;=0.004,"Unpaid","Part paid"))))</f>
        <v>0</v>
      </c>
      <c r="AJ594" s="38">
        <f>IF(B594="","",IF(H594&lt;&gt;"Service","",IF(D594="","No",IF(COUNTIFS($D$5:$D$1204,D594,$B$5:$B$1204,B594,$H$5:$H$1204,"Retail")&gt;0,"Yes","No"))))</f>
        <v>0</v>
      </c>
      <c r="AK594" s="25">
        <f>IF(B594="","",COUNTIFS($Y$5:$Y$1204,"&gt;"&amp;Y594)+COUNTIFS($Y$5:Y594,Y594))</f>
        <v>0</v>
      </c>
      <c r="AL594" s="39">
        <f>IF(B594="","",IF(H594="","Add - what kind of sale is this?",IF(IF(V594&lt;=0,P594="",FALSE),"Check - no price found for this item",IF(F594="","Assign - nobody credited",IF(AH594&gt;0.004,"Unpaid - balance outstanding",IF(AC594&lt;0,"Loss - sold below cost",IF(X594&gt;W594*0.5,"Check - more than half off","OK")))))))</f>
        <v>0</v>
      </c>
    </row>
    <row r="595" spans="1:38">
      <c r="A595" s="28">
        <f>IF(B595="","",SalePrefix&amp;TEXT(ROW()-4,"0000"))</f>
        <v>0</v>
      </c>
      <c r="E595" s="15">
        <f>IF(D595="","",IFERROR(INDEX(Clients!$B$5:$B$504,MATCH(D595,Clients!$A$5:$A$504,0)),"Walk-in"))</f>
        <v>0</v>
      </c>
      <c r="G595" s="15">
        <f>IF(F595="","",IFERROR(INDEX(Staff!$B$5:$B$44,MATCH(F595,Staff!$A$5:$A$44,0)),"House"))</f>
        <v>0</v>
      </c>
      <c r="R595" s="15">
        <f>IF(B595="","",TEXT(B595,"yyyy-mm"))</f>
        <v>0</v>
      </c>
      <c r="S595" s="25">
        <f>IF(B595="","",WEEKNUM(B595,2))</f>
        <v>0</v>
      </c>
      <c r="T595" s="37">
        <f>IF(B595="","",IF(K595="",1,K595))</f>
        <v>0</v>
      </c>
      <c r="U595" s="15">
        <f>IF(B595="","",IF(J595&lt;&gt;"",J595,IF(H595="Retail",IFERROR(INDEX(Inventory!$B$5:$B$304,MATCH(I595,Inventory!$A$5:$A$304,0))&amp;"","Not in Inventory"),IFERROR(INDEX(Services!$B$5:$B$204,MATCH(I595,Services!$A$5:$A$204,0))&amp;"","Not in Services"))))</f>
        <v>0</v>
      </c>
      <c r="V595" s="26">
        <f>IF(B595="","",IF(L595&lt;&gt;"",L595,IF(H595="Retail",IFERROR(INDEX(Inventory!$I$5:$I$304,MATCH(I595,Inventory!$A$5:$A$304,0))*1,0),IFERROR(INDEX(Services!$G$5:$G$204,MATCH(I595,Services!$A$5:$A$204,0))*1,0))))</f>
        <v>0</v>
      </c>
      <c r="W595" s="26">
        <f>IF(B595="","",ROUND(T595*V595,2))</f>
        <v>0</v>
      </c>
      <c r="X595" s="26">
        <f>IF(B595="","",ROUND(IF(M595="",0,W595*M595)+IF(N595="",0,N595),2))</f>
        <v>0</v>
      </c>
      <c r="Y595" s="26">
        <f>IF(B595="","",ROUND(W595-X595-IF(P595="",0,P595),2))</f>
        <v>0</v>
      </c>
      <c r="Z595" s="26">
        <f>IF(B595="","",IF(H595="Retail",IF(TaxOnRetail="Yes",ROUND(Y595*TaxRate,2),0),IF(H595="Service",IF(TaxOnServices="Yes",ROUND(Y595*TaxRate,2),0),0)))</f>
        <v>0</v>
      </c>
      <c r="AA595" s="26">
        <f>IF(B595="","",ROUND(Y595+Z595,2))</f>
        <v>0</v>
      </c>
      <c r="AB595" s="26">
        <f>IF(B595="","",ROUND(T595*IF(H595="Retail",IFERROR(INDEX(Inventory!$H$5:$H$304,MATCH(I595,Inventory!$A$5:$A$304,0))*1,0),IFERROR(INDEX(Services!$Q$5:$Q$204,MATCH(I595,Services!$A$5:$A$204,0))*1,0)),2))</f>
        <v>0</v>
      </c>
      <c r="AC595" s="26">
        <f>IF(B595="","",ROUND(Y595-AB595,2))</f>
        <v>0</v>
      </c>
      <c r="AD595" s="38">
        <f>IF(B595="","",IF(C595="","No",IF(COUNTIFS($C$5:C595,C595)=1,"Yes","No")))</f>
        <v>0</v>
      </c>
      <c r="AE595" s="26">
        <f>IF(B595="","",ROUND(SUMIFS(Payments!$G$5:$G$1204,Payments!$H$5:$H$1204,A595,Payments!$Q$5:$Q$1204,"Yes"),2))</f>
        <v>0</v>
      </c>
      <c r="AF595" s="26">
        <f>IF(B595="","",IF(AD595="No",0,ROUND(SUMIFS(Payments!$G$5:$G$1204,Payments!$I$5:$I$1204,C595,Payments!$H$5:$H$1204,"",Payments!$Q$5:$Q$1204,"Yes"),2)))</f>
        <v>0</v>
      </c>
      <c r="AG595" s="26">
        <f>IF(B595="","",ROUND(AE595+AF595,2))</f>
        <v>0</v>
      </c>
      <c r="AH595" s="26">
        <f>IF(B595="","",ROUND(AA595-AG595,2))</f>
        <v>0</v>
      </c>
      <c r="AI595" s="39">
        <f>IF(B595="","",IF(AA595&lt;=0,"No charge",IF(AH595&lt;=0.004,"Paid",IF(AG595&lt;=0.004,"Unpaid","Part paid"))))</f>
        <v>0</v>
      </c>
      <c r="AJ595" s="38">
        <f>IF(B595="","",IF(H595&lt;&gt;"Service","",IF(D595="","No",IF(COUNTIFS($D$5:$D$1204,D595,$B$5:$B$1204,B595,$H$5:$H$1204,"Retail")&gt;0,"Yes","No"))))</f>
        <v>0</v>
      </c>
      <c r="AK595" s="25">
        <f>IF(B595="","",COUNTIFS($Y$5:$Y$1204,"&gt;"&amp;Y595)+COUNTIFS($Y$5:Y595,Y595))</f>
        <v>0</v>
      </c>
      <c r="AL595" s="39">
        <f>IF(B595="","",IF(H595="","Add - what kind of sale is this?",IF(IF(V595&lt;=0,P595="",FALSE),"Check - no price found for this item",IF(F595="","Assign - nobody credited",IF(AH595&gt;0.004,"Unpaid - balance outstanding",IF(AC595&lt;0,"Loss - sold below cost",IF(X595&gt;W595*0.5,"Check - more than half off","OK")))))))</f>
        <v>0</v>
      </c>
    </row>
    <row r="596" spans="1:38">
      <c r="A596" s="28">
        <f>IF(B596="","",SalePrefix&amp;TEXT(ROW()-4,"0000"))</f>
        <v>0</v>
      </c>
      <c r="E596" s="15">
        <f>IF(D596="","",IFERROR(INDEX(Clients!$B$5:$B$504,MATCH(D596,Clients!$A$5:$A$504,0)),"Walk-in"))</f>
        <v>0</v>
      </c>
      <c r="G596" s="15">
        <f>IF(F596="","",IFERROR(INDEX(Staff!$B$5:$B$44,MATCH(F596,Staff!$A$5:$A$44,0)),"House"))</f>
        <v>0</v>
      </c>
      <c r="R596" s="15">
        <f>IF(B596="","",TEXT(B596,"yyyy-mm"))</f>
        <v>0</v>
      </c>
      <c r="S596" s="25">
        <f>IF(B596="","",WEEKNUM(B596,2))</f>
        <v>0</v>
      </c>
      <c r="T596" s="37">
        <f>IF(B596="","",IF(K596="",1,K596))</f>
        <v>0</v>
      </c>
      <c r="U596" s="15">
        <f>IF(B596="","",IF(J596&lt;&gt;"",J596,IF(H596="Retail",IFERROR(INDEX(Inventory!$B$5:$B$304,MATCH(I596,Inventory!$A$5:$A$304,0))&amp;"","Not in Inventory"),IFERROR(INDEX(Services!$B$5:$B$204,MATCH(I596,Services!$A$5:$A$204,0))&amp;"","Not in Services"))))</f>
        <v>0</v>
      </c>
      <c r="V596" s="26">
        <f>IF(B596="","",IF(L596&lt;&gt;"",L596,IF(H596="Retail",IFERROR(INDEX(Inventory!$I$5:$I$304,MATCH(I596,Inventory!$A$5:$A$304,0))*1,0),IFERROR(INDEX(Services!$G$5:$G$204,MATCH(I596,Services!$A$5:$A$204,0))*1,0))))</f>
        <v>0</v>
      </c>
      <c r="W596" s="26">
        <f>IF(B596="","",ROUND(T596*V596,2))</f>
        <v>0</v>
      </c>
      <c r="X596" s="26">
        <f>IF(B596="","",ROUND(IF(M596="",0,W596*M596)+IF(N596="",0,N596),2))</f>
        <v>0</v>
      </c>
      <c r="Y596" s="26">
        <f>IF(B596="","",ROUND(W596-X596-IF(P596="",0,P596),2))</f>
        <v>0</v>
      </c>
      <c r="Z596" s="26">
        <f>IF(B596="","",IF(H596="Retail",IF(TaxOnRetail="Yes",ROUND(Y596*TaxRate,2),0),IF(H596="Service",IF(TaxOnServices="Yes",ROUND(Y596*TaxRate,2),0),0)))</f>
        <v>0</v>
      </c>
      <c r="AA596" s="26">
        <f>IF(B596="","",ROUND(Y596+Z596,2))</f>
        <v>0</v>
      </c>
      <c r="AB596" s="26">
        <f>IF(B596="","",ROUND(T596*IF(H596="Retail",IFERROR(INDEX(Inventory!$H$5:$H$304,MATCH(I596,Inventory!$A$5:$A$304,0))*1,0),IFERROR(INDEX(Services!$Q$5:$Q$204,MATCH(I596,Services!$A$5:$A$204,0))*1,0)),2))</f>
        <v>0</v>
      </c>
      <c r="AC596" s="26">
        <f>IF(B596="","",ROUND(Y596-AB596,2))</f>
        <v>0</v>
      </c>
      <c r="AD596" s="38">
        <f>IF(B596="","",IF(C596="","No",IF(COUNTIFS($C$5:C596,C596)=1,"Yes","No")))</f>
        <v>0</v>
      </c>
      <c r="AE596" s="26">
        <f>IF(B596="","",ROUND(SUMIFS(Payments!$G$5:$G$1204,Payments!$H$5:$H$1204,A596,Payments!$Q$5:$Q$1204,"Yes"),2))</f>
        <v>0</v>
      </c>
      <c r="AF596" s="26">
        <f>IF(B596="","",IF(AD596="No",0,ROUND(SUMIFS(Payments!$G$5:$G$1204,Payments!$I$5:$I$1204,C596,Payments!$H$5:$H$1204,"",Payments!$Q$5:$Q$1204,"Yes"),2)))</f>
        <v>0</v>
      </c>
      <c r="AG596" s="26">
        <f>IF(B596="","",ROUND(AE596+AF596,2))</f>
        <v>0</v>
      </c>
      <c r="AH596" s="26">
        <f>IF(B596="","",ROUND(AA596-AG596,2))</f>
        <v>0</v>
      </c>
      <c r="AI596" s="39">
        <f>IF(B596="","",IF(AA596&lt;=0,"No charge",IF(AH596&lt;=0.004,"Paid",IF(AG596&lt;=0.004,"Unpaid","Part paid"))))</f>
        <v>0</v>
      </c>
      <c r="AJ596" s="38">
        <f>IF(B596="","",IF(H596&lt;&gt;"Service","",IF(D596="","No",IF(COUNTIFS($D$5:$D$1204,D596,$B$5:$B$1204,B596,$H$5:$H$1204,"Retail")&gt;0,"Yes","No"))))</f>
        <v>0</v>
      </c>
      <c r="AK596" s="25">
        <f>IF(B596="","",COUNTIFS($Y$5:$Y$1204,"&gt;"&amp;Y596)+COUNTIFS($Y$5:Y596,Y596))</f>
        <v>0</v>
      </c>
      <c r="AL596" s="39">
        <f>IF(B596="","",IF(H596="","Add - what kind of sale is this?",IF(IF(V596&lt;=0,P596="",FALSE),"Check - no price found for this item",IF(F596="","Assign - nobody credited",IF(AH596&gt;0.004,"Unpaid - balance outstanding",IF(AC596&lt;0,"Loss - sold below cost",IF(X596&gt;W596*0.5,"Check - more than half off","OK")))))))</f>
        <v>0</v>
      </c>
    </row>
    <row r="597" spans="1:38">
      <c r="A597" s="28">
        <f>IF(B597="","",SalePrefix&amp;TEXT(ROW()-4,"0000"))</f>
        <v>0</v>
      </c>
      <c r="E597" s="15">
        <f>IF(D597="","",IFERROR(INDEX(Clients!$B$5:$B$504,MATCH(D597,Clients!$A$5:$A$504,0)),"Walk-in"))</f>
        <v>0</v>
      </c>
      <c r="G597" s="15">
        <f>IF(F597="","",IFERROR(INDEX(Staff!$B$5:$B$44,MATCH(F597,Staff!$A$5:$A$44,0)),"House"))</f>
        <v>0</v>
      </c>
      <c r="R597" s="15">
        <f>IF(B597="","",TEXT(B597,"yyyy-mm"))</f>
        <v>0</v>
      </c>
      <c r="S597" s="25">
        <f>IF(B597="","",WEEKNUM(B597,2))</f>
        <v>0</v>
      </c>
      <c r="T597" s="37">
        <f>IF(B597="","",IF(K597="",1,K597))</f>
        <v>0</v>
      </c>
      <c r="U597" s="15">
        <f>IF(B597="","",IF(J597&lt;&gt;"",J597,IF(H597="Retail",IFERROR(INDEX(Inventory!$B$5:$B$304,MATCH(I597,Inventory!$A$5:$A$304,0))&amp;"","Not in Inventory"),IFERROR(INDEX(Services!$B$5:$B$204,MATCH(I597,Services!$A$5:$A$204,0))&amp;"","Not in Services"))))</f>
        <v>0</v>
      </c>
      <c r="V597" s="26">
        <f>IF(B597="","",IF(L597&lt;&gt;"",L597,IF(H597="Retail",IFERROR(INDEX(Inventory!$I$5:$I$304,MATCH(I597,Inventory!$A$5:$A$304,0))*1,0),IFERROR(INDEX(Services!$G$5:$G$204,MATCH(I597,Services!$A$5:$A$204,0))*1,0))))</f>
        <v>0</v>
      </c>
      <c r="W597" s="26">
        <f>IF(B597="","",ROUND(T597*V597,2))</f>
        <v>0</v>
      </c>
      <c r="X597" s="26">
        <f>IF(B597="","",ROUND(IF(M597="",0,W597*M597)+IF(N597="",0,N597),2))</f>
        <v>0</v>
      </c>
      <c r="Y597" s="26">
        <f>IF(B597="","",ROUND(W597-X597-IF(P597="",0,P597),2))</f>
        <v>0</v>
      </c>
      <c r="Z597" s="26">
        <f>IF(B597="","",IF(H597="Retail",IF(TaxOnRetail="Yes",ROUND(Y597*TaxRate,2),0),IF(H597="Service",IF(TaxOnServices="Yes",ROUND(Y597*TaxRate,2),0),0)))</f>
        <v>0</v>
      </c>
      <c r="AA597" s="26">
        <f>IF(B597="","",ROUND(Y597+Z597,2))</f>
        <v>0</v>
      </c>
      <c r="AB597" s="26">
        <f>IF(B597="","",ROUND(T597*IF(H597="Retail",IFERROR(INDEX(Inventory!$H$5:$H$304,MATCH(I597,Inventory!$A$5:$A$304,0))*1,0),IFERROR(INDEX(Services!$Q$5:$Q$204,MATCH(I597,Services!$A$5:$A$204,0))*1,0)),2))</f>
        <v>0</v>
      </c>
      <c r="AC597" s="26">
        <f>IF(B597="","",ROUND(Y597-AB597,2))</f>
        <v>0</v>
      </c>
      <c r="AD597" s="38">
        <f>IF(B597="","",IF(C597="","No",IF(COUNTIFS($C$5:C597,C597)=1,"Yes","No")))</f>
        <v>0</v>
      </c>
      <c r="AE597" s="26">
        <f>IF(B597="","",ROUND(SUMIFS(Payments!$G$5:$G$1204,Payments!$H$5:$H$1204,A597,Payments!$Q$5:$Q$1204,"Yes"),2))</f>
        <v>0</v>
      </c>
      <c r="AF597" s="26">
        <f>IF(B597="","",IF(AD597="No",0,ROUND(SUMIFS(Payments!$G$5:$G$1204,Payments!$I$5:$I$1204,C597,Payments!$H$5:$H$1204,"",Payments!$Q$5:$Q$1204,"Yes"),2)))</f>
        <v>0</v>
      </c>
      <c r="AG597" s="26">
        <f>IF(B597="","",ROUND(AE597+AF597,2))</f>
        <v>0</v>
      </c>
      <c r="AH597" s="26">
        <f>IF(B597="","",ROUND(AA597-AG597,2))</f>
        <v>0</v>
      </c>
      <c r="AI597" s="39">
        <f>IF(B597="","",IF(AA597&lt;=0,"No charge",IF(AH597&lt;=0.004,"Paid",IF(AG597&lt;=0.004,"Unpaid","Part paid"))))</f>
        <v>0</v>
      </c>
      <c r="AJ597" s="38">
        <f>IF(B597="","",IF(H597&lt;&gt;"Service","",IF(D597="","No",IF(COUNTIFS($D$5:$D$1204,D597,$B$5:$B$1204,B597,$H$5:$H$1204,"Retail")&gt;0,"Yes","No"))))</f>
        <v>0</v>
      </c>
      <c r="AK597" s="25">
        <f>IF(B597="","",COUNTIFS($Y$5:$Y$1204,"&gt;"&amp;Y597)+COUNTIFS($Y$5:Y597,Y597))</f>
        <v>0</v>
      </c>
      <c r="AL597" s="39">
        <f>IF(B597="","",IF(H597="","Add - what kind of sale is this?",IF(IF(V597&lt;=0,P597="",FALSE),"Check - no price found for this item",IF(F597="","Assign - nobody credited",IF(AH597&gt;0.004,"Unpaid - balance outstanding",IF(AC597&lt;0,"Loss - sold below cost",IF(X597&gt;W597*0.5,"Check - more than half off","OK")))))))</f>
        <v>0</v>
      </c>
    </row>
    <row r="598" spans="1:38">
      <c r="A598" s="28">
        <f>IF(B598="","",SalePrefix&amp;TEXT(ROW()-4,"0000"))</f>
        <v>0</v>
      </c>
      <c r="E598" s="15">
        <f>IF(D598="","",IFERROR(INDEX(Clients!$B$5:$B$504,MATCH(D598,Clients!$A$5:$A$504,0)),"Walk-in"))</f>
        <v>0</v>
      </c>
      <c r="G598" s="15">
        <f>IF(F598="","",IFERROR(INDEX(Staff!$B$5:$B$44,MATCH(F598,Staff!$A$5:$A$44,0)),"House"))</f>
        <v>0</v>
      </c>
      <c r="R598" s="15">
        <f>IF(B598="","",TEXT(B598,"yyyy-mm"))</f>
        <v>0</v>
      </c>
      <c r="S598" s="25">
        <f>IF(B598="","",WEEKNUM(B598,2))</f>
        <v>0</v>
      </c>
      <c r="T598" s="37">
        <f>IF(B598="","",IF(K598="",1,K598))</f>
        <v>0</v>
      </c>
      <c r="U598" s="15">
        <f>IF(B598="","",IF(J598&lt;&gt;"",J598,IF(H598="Retail",IFERROR(INDEX(Inventory!$B$5:$B$304,MATCH(I598,Inventory!$A$5:$A$304,0))&amp;"","Not in Inventory"),IFERROR(INDEX(Services!$B$5:$B$204,MATCH(I598,Services!$A$5:$A$204,0))&amp;"","Not in Services"))))</f>
        <v>0</v>
      </c>
      <c r="V598" s="26">
        <f>IF(B598="","",IF(L598&lt;&gt;"",L598,IF(H598="Retail",IFERROR(INDEX(Inventory!$I$5:$I$304,MATCH(I598,Inventory!$A$5:$A$304,0))*1,0),IFERROR(INDEX(Services!$G$5:$G$204,MATCH(I598,Services!$A$5:$A$204,0))*1,0))))</f>
        <v>0</v>
      </c>
      <c r="W598" s="26">
        <f>IF(B598="","",ROUND(T598*V598,2))</f>
        <v>0</v>
      </c>
      <c r="X598" s="26">
        <f>IF(B598="","",ROUND(IF(M598="",0,W598*M598)+IF(N598="",0,N598),2))</f>
        <v>0</v>
      </c>
      <c r="Y598" s="26">
        <f>IF(B598="","",ROUND(W598-X598-IF(P598="",0,P598),2))</f>
        <v>0</v>
      </c>
      <c r="Z598" s="26">
        <f>IF(B598="","",IF(H598="Retail",IF(TaxOnRetail="Yes",ROUND(Y598*TaxRate,2),0),IF(H598="Service",IF(TaxOnServices="Yes",ROUND(Y598*TaxRate,2),0),0)))</f>
        <v>0</v>
      </c>
      <c r="AA598" s="26">
        <f>IF(B598="","",ROUND(Y598+Z598,2))</f>
        <v>0</v>
      </c>
      <c r="AB598" s="26">
        <f>IF(B598="","",ROUND(T598*IF(H598="Retail",IFERROR(INDEX(Inventory!$H$5:$H$304,MATCH(I598,Inventory!$A$5:$A$304,0))*1,0),IFERROR(INDEX(Services!$Q$5:$Q$204,MATCH(I598,Services!$A$5:$A$204,0))*1,0)),2))</f>
        <v>0</v>
      </c>
      <c r="AC598" s="26">
        <f>IF(B598="","",ROUND(Y598-AB598,2))</f>
        <v>0</v>
      </c>
      <c r="AD598" s="38">
        <f>IF(B598="","",IF(C598="","No",IF(COUNTIFS($C$5:C598,C598)=1,"Yes","No")))</f>
        <v>0</v>
      </c>
      <c r="AE598" s="26">
        <f>IF(B598="","",ROUND(SUMIFS(Payments!$G$5:$G$1204,Payments!$H$5:$H$1204,A598,Payments!$Q$5:$Q$1204,"Yes"),2))</f>
        <v>0</v>
      </c>
      <c r="AF598" s="26">
        <f>IF(B598="","",IF(AD598="No",0,ROUND(SUMIFS(Payments!$G$5:$G$1204,Payments!$I$5:$I$1204,C598,Payments!$H$5:$H$1204,"",Payments!$Q$5:$Q$1204,"Yes"),2)))</f>
        <v>0</v>
      </c>
      <c r="AG598" s="26">
        <f>IF(B598="","",ROUND(AE598+AF598,2))</f>
        <v>0</v>
      </c>
      <c r="AH598" s="26">
        <f>IF(B598="","",ROUND(AA598-AG598,2))</f>
        <v>0</v>
      </c>
      <c r="AI598" s="39">
        <f>IF(B598="","",IF(AA598&lt;=0,"No charge",IF(AH598&lt;=0.004,"Paid",IF(AG598&lt;=0.004,"Unpaid","Part paid"))))</f>
        <v>0</v>
      </c>
      <c r="AJ598" s="38">
        <f>IF(B598="","",IF(H598&lt;&gt;"Service","",IF(D598="","No",IF(COUNTIFS($D$5:$D$1204,D598,$B$5:$B$1204,B598,$H$5:$H$1204,"Retail")&gt;0,"Yes","No"))))</f>
        <v>0</v>
      </c>
      <c r="AK598" s="25">
        <f>IF(B598="","",COUNTIFS($Y$5:$Y$1204,"&gt;"&amp;Y598)+COUNTIFS($Y$5:Y598,Y598))</f>
        <v>0</v>
      </c>
      <c r="AL598" s="39">
        <f>IF(B598="","",IF(H598="","Add - what kind of sale is this?",IF(IF(V598&lt;=0,P598="",FALSE),"Check - no price found for this item",IF(F598="","Assign - nobody credited",IF(AH598&gt;0.004,"Unpaid - balance outstanding",IF(AC598&lt;0,"Loss - sold below cost",IF(X598&gt;W598*0.5,"Check - more than half off","OK")))))))</f>
        <v>0</v>
      </c>
    </row>
    <row r="599" spans="1:38">
      <c r="A599" s="28">
        <f>IF(B599="","",SalePrefix&amp;TEXT(ROW()-4,"0000"))</f>
        <v>0</v>
      </c>
      <c r="E599" s="15">
        <f>IF(D599="","",IFERROR(INDEX(Clients!$B$5:$B$504,MATCH(D599,Clients!$A$5:$A$504,0)),"Walk-in"))</f>
        <v>0</v>
      </c>
      <c r="G599" s="15">
        <f>IF(F599="","",IFERROR(INDEX(Staff!$B$5:$B$44,MATCH(F599,Staff!$A$5:$A$44,0)),"House"))</f>
        <v>0</v>
      </c>
      <c r="R599" s="15">
        <f>IF(B599="","",TEXT(B599,"yyyy-mm"))</f>
        <v>0</v>
      </c>
      <c r="S599" s="25">
        <f>IF(B599="","",WEEKNUM(B599,2))</f>
        <v>0</v>
      </c>
      <c r="T599" s="37">
        <f>IF(B599="","",IF(K599="",1,K599))</f>
        <v>0</v>
      </c>
      <c r="U599" s="15">
        <f>IF(B599="","",IF(J599&lt;&gt;"",J599,IF(H599="Retail",IFERROR(INDEX(Inventory!$B$5:$B$304,MATCH(I599,Inventory!$A$5:$A$304,0))&amp;"","Not in Inventory"),IFERROR(INDEX(Services!$B$5:$B$204,MATCH(I599,Services!$A$5:$A$204,0))&amp;"","Not in Services"))))</f>
        <v>0</v>
      </c>
      <c r="V599" s="26">
        <f>IF(B599="","",IF(L599&lt;&gt;"",L599,IF(H599="Retail",IFERROR(INDEX(Inventory!$I$5:$I$304,MATCH(I599,Inventory!$A$5:$A$304,0))*1,0),IFERROR(INDEX(Services!$G$5:$G$204,MATCH(I599,Services!$A$5:$A$204,0))*1,0))))</f>
        <v>0</v>
      </c>
      <c r="W599" s="26">
        <f>IF(B599="","",ROUND(T599*V599,2))</f>
        <v>0</v>
      </c>
      <c r="X599" s="26">
        <f>IF(B599="","",ROUND(IF(M599="",0,W599*M599)+IF(N599="",0,N599),2))</f>
        <v>0</v>
      </c>
      <c r="Y599" s="26">
        <f>IF(B599="","",ROUND(W599-X599-IF(P599="",0,P599),2))</f>
        <v>0</v>
      </c>
      <c r="Z599" s="26">
        <f>IF(B599="","",IF(H599="Retail",IF(TaxOnRetail="Yes",ROUND(Y599*TaxRate,2),0),IF(H599="Service",IF(TaxOnServices="Yes",ROUND(Y599*TaxRate,2),0),0)))</f>
        <v>0</v>
      </c>
      <c r="AA599" s="26">
        <f>IF(B599="","",ROUND(Y599+Z599,2))</f>
        <v>0</v>
      </c>
      <c r="AB599" s="26">
        <f>IF(B599="","",ROUND(T599*IF(H599="Retail",IFERROR(INDEX(Inventory!$H$5:$H$304,MATCH(I599,Inventory!$A$5:$A$304,0))*1,0),IFERROR(INDEX(Services!$Q$5:$Q$204,MATCH(I599,Services!$A$5:$A$204,0))*1,0)),2))</f>
        <v>0</v>
      </c>
      <c r="AC599" s="26">
        <f>IF(B599="","",ROUND(Y599-AB599,2))</f>
        <v>0</v>
      </c>
      <c r="AD599" s="38">
        <f>IF(B599="","",IF(C599="","No",IF(COUNTIFS($C$5:C599,C599)=1,"Yes","No")))</f>
        <v>0</v>
      </c>
      <c r="AE599" s="26">
        <f>IF(B599="","",ROUND(SUMIFS(Payments!$G$5:$G$1204,Payments!$H$5:$H$1204,A599,Payments!$Q$5:$Q$1204,"Yes"),2))</f>
        <v>0</v>
      </c>
      <c r="AF599" s="26">
        <f>IF(B599="","",IF(AD599="No",0,ROUND(SUMIFS(Payments!$G$5:$G$1204,Payments!$I$5:$I$1204,C599,Payments!$H$5:$H$1204,"",Payments!$Q$5:$Q$1204,"Yes"),2)))</f>
        <v>0</v>
      </c>
      <c r="AG599" s="26">
        <f>IF(B599="","",ROUND(AE599+AF599,2))</f>
        <v>0</v>
      </c>
      <c r="AH599" s="26">
        <f>IF(B599="","",ROUND(AA599-AG599,2))</f>
        <v>0</v>
      </c>
      <c r="AI599" s="39">
        <f>IF(B599="","",IF(AA599&lt;=0,"No charge",IF(AH599&lt;=0.004,"Paid",IF(AG599&lt;=0.004,"Unpaid","Part paid"))))</f>
        <v>0</v>
      </c>
      <c r="AJ599" s="38">
        <f>IF(B599="","",IF(H599&lt;&gt;"Service","",IF(D599="","No",IF(COUNTIFS($D$5:$D$1204,D599,$B$5:$B$1204,B599,$H$5:$H$1204,"Retail")&gt;0,"Yes","No"))))</f>
        <v>0</v>
      </c>
      <c r="AK599" s="25">
        <f>IF(B599="","",COUNTIFS($Y$5:$Y$1204,"&gt;"&amp;Y599)+COUNTIFS($Y$5:Y599,Y599))</f>
        <v>0</v>
      </c>
      <c r="AL599" s="39">
        <f>IF(B599="","",IF(H599="","Add - what kind of sale is this?",IF(IF(V599&lt;=0,P599="",FALSE),"Check - no price found for this item",IF(F599="","Assign - nobody credited",IF(AH599&gt;0.004,"Unpaid - balance outstanding",IF(AC599&lt;0,"Loss - sold below cost",IF(X599&gt;W599*0.5,"Check - more than half off","OK")))))))</f>
        <v>0</v>
      </c>
    </row>
    <row r="600" spans="1:38">
      <c r="A600" s="28">
        <f>IF(B600="","",SalePrefix&amp;TEXT(ROW()-4,"0000"))</f>
        <v>0</v>
      </c>
      <c r="E600" s="15">
        <f>IF(D600="","",IFERROR(INDEX(Clients!$B$5:$B$504,MATCH(D600,Clients!$A$5:$A$504,0)),"Walk-in"))</f>
        <v>0</v>
      </c>
      <c r="G600" s="15">
        <f>IF(F600="","",IFERROR(INDEX(Staff!$B$5:$B$44,MATCH(F600,Staff!$A$5:$A$44,0)),"House"))</f>
        <v>0</v>
      </c>
      <c r="R600" s="15">
        <f>IF(B600="","",TEXT(B600,"yyyy-mm"))</f>
        <v>0</v>
      </c>
      <c r="S600" s="25">
        <f>IF(B600="","",WEEKNUM(B600,2))</f>
        <v>0</v>
      </c>
      <c r="T600" s="37">
        <f>IF(B600="","",IF(K600="",1,K600))</f>
        <v>0</v>
      </c>
      <c r="U600" s="15">
        <f>IF(B600="","",IF(J600&lt;&gt;"",J600,IF(H600="Retail",IFERROR(INDEX(Inventory!$B$5:$B$304,MATCH(I600,Inventory!$A$5:$A$304,0))&amp;"","Not in Inventory"),IFERROR(INDEX(Services!$B$5:$B$204,MATCH(I600,Services!$A$5:$A$204,0))&amp;"","Not in Services"))))</f>
        <v>0</v>
      </c>
      <c r="V600" s="26">
        <f>IF(B600="","",IF(L600&lt;&gt;"",L600,IF(H600="Retail",IFERROR(INDEX(Inventory!$I$5:$I$304,MATCH(I600,Inventory!$A$5:$A$304,0))*1,0),IFERROR(INDEX(Services!$G$5:$G$204,MATCH(I600,Services!$A$5:$A$204,0))*1,0))))</f>
        <v>0</v>
      </c>
      <c r="W600" s="26">
        <f>IF(B600="","",ROUND(T600*V600,2))</f>
        <v>0</v>
      </c>
      <c r="X600" s="26">
        <f>IF(B600="","",ROUND(IF(M600="",0,W600*M600)+IF(N600="",0,N600),2))</f>
        <v>0</v>
      </c>
      <c r="Y600" s="26">
        <f>IF(B600="","",ROUND(W600-X600-IF(P600="",0,P600),2))</f>
        <v>0</v>
      </c>
      <c r="Z600" s="26">
        <f>IF(B600="","",IF(H600="Retail",IF(TaxOnRetail="Yes",ROUND(Y600*TaxRate,2),0),IF(H600="Service",IF(TaxOnServices="Yes",ROUND(Y600*TaxRate,2),0),0)))</f>
        <v>0</v>
      </c>
      <c r="AA600" s="26">
        <f>IF(B600="","",ROUND(Y600+Z600,2))</f>
        <v>0</v>
      </c>
      <c r="AB600" s="26">
        <f>IF(B600="","",ROUND(T600*IF(H600="Retail",IFERROR(INDEX(Inventory!$H$5:$H$304,MATCH(I600,Inventory!$A$5:$A$304,0))*1,0),IFERROR(INDEX(Services!$Q$5:$Q$204,MATCH(I600,Services!$A$5:$A$204,0))*1,0)),2))</f>
        <v>0</v>
      </c>
      <c r="AC600" s="26">
        <f>IF(B600="","",ROUND(Y600-AB600,2))</f>
        <v>0</v>
      </c>
      <c r="AD600" s="38">
        <f>IF(B600="","",IF(C600="","No",IF(COUNTIFS($C$5:C600,C600)=1,"Yes","No")))</f>
        <v>0</v>
      </c>
      <c r="AE600" s="26">
        <f>IF(B600="","",ROUND(SUMIFS(Payments!$G$5:$G$1204,Payments!$H$5:$H$1204,A600,Payments!$Q$5:$Q$1204,"Yes"),2))</f>
        <v>0</v>
      </c>
      <c r="AF600" s="26">
        <f>IF(B600="","",IF(AD600="No",0,ROUND(SUMIFS(Payments!$G$5:$G$1204,Payments!$I$5:$I$1204,C600,Payments!$H$5:$H$1204,"",Payments!$Q$5:$Q$1204,"Yes"),2)))</f>
        <v>0</v>
      </c>
      <c r="AG600" s="26">
        <f>IF(B600="","",ROUND(AE600+AF600,2))</f>
        <v>0</v>
      </c>
      <c r="AH600" s="26">
        <f>IF(B600="","",ROUND(AA600-AG600,2))</f>
        <v>0</v>
      </c>
      <c r="AI600" s="39">
        <f>IF(B600="","",IF(AA600&lt;=0,"No charge",IF(AH600&lt;=0.004,"Paid",IF(AG600&lt;=0.004,"Unpaid","Part paid"))))</f>
        <v>0</v>
      </c>
      <c r="AJ600" s="38">
        <f>IF(B600="","",IF(H600&lt;&gt;"Service","",IF(D600="","No",IF(COUNTIFS($D$5:$D$1204,D600,$B$5:$B$1204,B600,$H$5:$H$1204,"Retail")&gt;0,"Yes","No"))))</f>
        <v>0</v>
      </c>
      <c r="AK600" s="25">
        <f>IF(B600="","",COUNTIFS($Y$5:$Y$1204,"&gt;"&amp;Y600)+COUNTIFS($Y$5:Y600,Y600))</f>
        <v>0</v>
      </c>
      <c r="AL600" s="39">
        <f>IF(B600="","",IF(H600="","Add - what kind of sale is this?",IF(IF(V600&lt;=0,P600="",FALSE),"Check - no price found for this item",IF(F600="","Assign - nobody credited",IF(AH600&gt;0.004,"Unpaid - balance outstanding",IF(AC600&lt;0,"Loss - sold below cost",IF(X600&gt;W600*0.5,"Check - more than half off","OK")))))))</f>
        <v>0</v>
      </c>
    </row>
    <row r="601" spans="1:38">
      <c r="A601" s="28">
        <f>IF(B601="","",SalePrefix&amp;TEXT(ROW()-4,"0000"))</f>
        <v>0</v>
      </c>
      <c r="E601" s="15">
        <f>IF(D601="","",IFERROR(INDEX(Clients!$B$5:$B$504,MATCH(D601,Clients!$A$5:$A$504,0)),"Walk-in"))</f>
        <v>0</v>
      </c>
      <c r="G601" s="15">
        <f>IF(F601="","",IFERROR(INDEX(Staff!$B$5:$B$44,MATCH(F601,Staff!$A$5:$A$44,0)),"House"))</f>
        <v>0</v>
      </c>
      <c r="R601" s="15">
        <f>IF(B601="","",TEXT(B601,"yyyy-mm"))</f>
        <v>0</v>
      </c>
      <c r="S601" s="25">
        <f>IF(B601="","",WEEKNUM(B601,2))</f>
        <v>0</v>
      </c>
      <c r="T601" s="37">
        <f>IF(B601="","",IF(K601="",1,K601))</f>
        <v>0</v>
      </c>
      <c r="U601" s="15">
        <f>IF(B601="","",IF(J601&lt;&gt;"",J601,IF(H601="Retail",IFERROR(INDEX(Inventory!$B$5:$B$304,MATCH(I601,Inventory!$A$5:$A$304,0))&amp;"","Not in Inventory"),IFERROR(INDEX(Services!$B$5:$B$204,MATCH(I601,Services!$A$5:$A$204,0))&amp;"","Not in Services"))))</f>
        <v>0</v>
      </c>
      <c r="V601" s="26">
        <f>IF(B601="","",IF(L601&lt;&gt;"",L601,IF(H601="Retail",IFERROR(INDEX(Inventory!$I$5:$I$304,MATCH(I601,Inventory!$A$5:$A$304,0))*1,0),IFERROR(INDEX(Services!$G$5:$G$204,MATCH(I601,Services!$A$5:$A$204,0))*1,0))))</f>
        <v>0</v>
      </c>
      <c r="W601" s="26">
        <f>IF(B601="","",ROUND(T601*V601,2))</f>
        <v>0</v>
      </c>
      <c r="X601" s="26">
        <f>IF(B601="","",ROUND(IF(M601="",0,W601*M601)+IF(N601="",0,N601),2))</f>
        <v>0</v>
      </c>
      <c r="Y601" s="26">
        <f>IF(B601="","",ROUND(W601-X601-IF(P601="",0,P601),2))</f>
        <v>0</v>
      </c>
      <c r="Z601" s="26">
        <f>IF(B601="","",IF(H601="Retail",IF(TaxOnRetail="Yes",ROUND(Y601*TaxRate,2),0),IF(H601="Service",IF(TaxOnServices="Yes",ROUND(Y601*TaxRate,2),0),0)))</f>
        <v>0</v>
      </c>
      <c r="AA601" s="26">
        <f>IF(B601="","",ROUND(Y601+Z601,2))</f>
        <v>0</v>
      </c>
      <c r="AB601" s="26">
        <f>IF(B601="","",ROUND(T601*IF(H601="Retail",IFERROR(INDEX(Inventory!$H$5:$H$304,MATCH(I601,Inventory!$A$5:$A$304,0))*1,0),IFERROR(INDEX(Services!$Q$5:$Q$204,MATCH(I601,Services!$A$5:$A$204,0))*1,0)),2))</f>
        <v>0</v>
      </c>
      <c r="AC601" s="26">
        <f>IF(B601="","",ROUND(Y601-AB601,2))</f>
        <v>0</v>
      </c>
      <c r="AD601" s="38">
        <f>IF(B601="","",IF(C601="","No",IF(COUNTIFS($C$5:C601,C601)=1,"Yes","No")))</f>
        <v>0</v>
      </c>
      <c r="AE601" s="26">
        <f>IF(B601="","",ROUND(SUMIFS(Payments!$G$5:$G$1204,Payments!$H$5:$H$1204,A601,Payments!$Q$5:$Q$1204,"Yes"),2))</f>
        <v>0</v>
      </c>
      <c r="AF601" s="26">
        <f>IF(B601="","",IF(AD601="No",0,ROUND(SUMIFS(Payments!$G$5:$G$1204,Payments!$I$5:$I$1204,C601,Payments!$H$5:$H$1204,"",Payments!$Q$5:$Q$1204,"Yes"),2)))</f>
        <v>0</v>
      </c>
      <c r="AG601" s="26">
        <f>IF(B601="","",ROUND(AE601+AF601,2))</f>
        <v>0</v>
      </c>
      <c r="AH601" s="26">
        <f>IF(B601="","",ROUND(AA601-AG601,2))</f>
        <v>0</v>
      </c>
      <c r="AI601" s="39">
        <f>IF(B601="","",IF(AA601&lt;=0,"No charge",IF(AH601&lt;=0.004,"Paid",IF(AG601&lt;=0.004,"Unpaid","Part paid"))))</f>
        <v>0</v>
      </c>
      <c r="AJ601" s="38">
        <f>IF(B601="","",IF(H601&lt;&gt;"Service","",IF(D601="","No",IF(COUNTIFS($D$5:$D$1204,D601,$B$5:$B$1204,B601,$H$5:$H$1204,"Retail")&gt;0,"Yes","No"))))</f>
        <v>0</v>
      </c>
      <c r="AK601" s="25">
        <f>IF(B601="","",COUNTIFS($Y$5:$Y$1204,"&gt;"&amp;Y601)+COUNTIFS($Y$5:Y601,Y601))</f>
        <v>0</v>
      </c>
      <c r="AL601" s="39">
        <f>IF(B601="","",IF(H601="","Add - what kind of sale is this?",IF(IF(V601&lt;=0,P601="",FALSE),"Check - no price found for this item",IF(F601="","Assign - nobody credited",IF(AH601&gt;0.004,"Unpaid - balance outstanding",IF(AC601&lt;0,"Loss - sold below cost",IF(X601&gt;W601*0.5,"Check - more than half off","OK")))))))</f>
        <v>0</v>
      </c>
    </row>
    <row r="602" spans="1:38">
      <c r="A602" s="28">
        <f>IF(B602="","",SalePrefix&amp;TEXT(ROW()-4,"0000"))</f>
        <v>0</v>
      </c>
      <c r="E602" s="15">
        <f>IF(D602="","",IFERROR(INDEX(Clients!$B$5:$B$504,MATCH(D602,Clients!$A$5:$A$504,0)),"Walk-in"))</f>
        <v>0</v>
      </c>
      <c r="G602" s="15">
        <f>IF(F602="","",IFERROR(INDEX(Staff!$B$5:$B$44,MATCH(F602,Staff!$A$5:$A$44,0)),"House"))</f>
        <v>0</v>
      </c>
      <c r="R602" s="15">
        <f>IF(B602="","",TEXT(B602,"yyyy-mm"))</f>
        <v>0</v>
      </c>
      <c r="S602" s="25">
        <f>IF(B602="","",WEEKNUM(B602,2))</f>
        <v>0</v>
      </c>
      <c r="T602" s="37">
        <f>IF(B602="","",IF(K602="",1,K602))</f>
        <v>0</v>
      </c>
      <c r="U602" s="15">
        <f>IF(B602="","",IF(J602&lt;&gt;"",J602,IF(H602="Retail",IFERROR(INDEX(Inventory!$B$5:$B$304,MATCH(I602,Inventory!$A$5:$A$304,0))&amp;"","Not in Inventory"),IFERROR(INDEX(Services!$B$5:$B$204,MATCH(I602,Services!$A$5:$A$204,0))&amp;"","Not in Services"))))</f>
        <v>0</v>
      </c>
      <c r="V602" s="26">
        <f>IF(B602="","",IF(L602&lt;&gt;"",L602,IF(H602="Retail",IFERROR(INDEX(Inventory!$I$5:$I$304,MATCH(I602,Inventory!$A$5:$A$304,0))*1,0),IFERROR(INDEX(Services!$G$5:$G$204,MATCH(I602,Services!$A$5:$A$204,0))*1,0))))</f>
        <v>0</v>
      </c>
      <c r="W602" s="26">
        <f>IF(B602="","",ROUND(T602*V602,2))</f>
        <v>0</v>
      </c>
      <c r="X602" s="26">
        <f>IF(B602="","",ROUND(IF(M602="",0,W602*M602)+IF(N602="",0,N602),2))</f>
        <v>0</v>
      </c>
      <c r="Y602" s="26">
        <f>IF(B602="","",ROUND(W602-X602-IF(P602="",0,P602),2))</f>
        <v>0</v>
      </c>
      <c r="Z602" s="26">
        <f>IF(B602="","",IF(H602="Retail",IF(TaxOnRetail="Yes",ROUND(Y602*TaxRate,2),0),IF(H602="Service",IF(TaxOnServices="Yes",ROUND(Y602*TaxRate,2),0),0)))</f>
        <v>0</v>
      </c>
      <c r="AA602" s="26">
        <f>IF(B602="","",ROUND(Y602+Z602,2))</f>
        <v>0</v>
      </c>
      <c r="AB602" s="26">
        <f>IF(B602="","",ROUND(T602*IF(H602="Retail",IFERROR(INDEX(Inventory!$H$5:$H$304,MATCH(I602,Inventory!$A$5:$A$304,0))*1,0),IFERROR(INDEX(Services!$Q$5:$Q$204,MATCH(I602,Services!$A$5:$A$204,0))*1,0)),2))</f>
        <v>0</v>
      </c>
      <c r="AC602" s="26">
        <f>IF(B602="","",ROUND(Y602-AB602,2))</f>
        <v>0</v>
      </c>
      <c r="AD602" s="38">
        <f>IF(B602="","",IF(C602="","No",IF(COUNTIFS($C$5:C602,C602)=1,"Yes","No")))</f>
        <v>0</v>
      </c>
      <c r="AE602" s="26">
        <f>IF(B602="","",ROUND(SUMIFS(Payments!$G$5:$G$1204,Payments!$H$5:$H$1204,A602,Payments!$Q$5:$Q$1204,"Yes"),2))</f>
        <v>0</v>
      </c>
      <c r="AF602" s="26">
        <f>IF(B602="","",IF(AD602="No",0,ROUND(SUMIFS(Payments!$G$5:$G$1204,Payments!$I$5:$I$1204,C602,Payments!$H$5:$H$1204,"",Payments!$Q$5:$Q$1204,"Yes"),2)))</f>
        <v>0</v>
      </c>
      <c r="AG602" s="26">
        <f>IF(B602="","",ROUND(AE602+AF602,2))</f>
        <v>0</v>
      </c>
      <c r="AH602" s="26">
        <f>IF(B602="","",ROUND(AA602-AG602,2))</f>
        <v>0</v>
      </c>
      <c r="AI602" s="39">
        <f>IF(B602="","",IF(AA602&lt;=0,"No charge",IF(AH602&lt;=0.004,"Paid",IF(AG602&lt;=0.004,"Unpaid","Part paid"))))</f>
        <v>0</v>
      </c>
      <c r="AJ602" s="38">
        <f>IF(B602="","",IF(H602&lt;&gt;"Service","",IF(D602="","No",IF(COUNTIFS($D$5:$D$1204,D602,$B$5:$B$1204,B602,$H$5:$H$1204,"Retail")&gt;0,"Yes","No"))))</f>
        <v>0</v>
      </c>
      <c r="AK602" s="25">
        <f>IF(B602="","",COUNTIFS($Y$5:$Y$1204,"&gt;"&amp;Y602)+COUNTIFS($Y$5:Y602,Y602))</f>
        <v>0</v>
      </c>
      <c r="AL602" s="39">
        <f>IF(B602="","",IF(H602="","Add - what kind of sale is this?",IF(IF(V602&lt;=0,P602="",FALSE),"Check - no price found for this item",IF(F602="","Assign - nobody credited",IF(AH602&gt;0.004,"Unpaid - balance outstanding",IF(AC602&lt;0,"Loss - sold below cost",IF(X602&gt;W602*0.5,"Check - more than half off","OK")))))))</f>
        <v>0</v>
      </c>
    </row>
    <row r="603" spans="1:38">
      <c r="A603" s="28">
        <f>IF(B603="","",SalePrefix&amp;TEXT(ROW()-4,"0000"))</f>
        <v>0</v>
      </c>
      <c r="E603" s="15">
        <f>IF(D603="","",IFERROR(INDEX(Clients!$B$5:$B$504,MATCH(D603,Clients!$A$5:$A$504,0)),"Walk-in"))</f>
        <v>0</v>
      </c>
      <c r="G603" s="15">
        <f>IF(F603="","",IFERROR(INDEX(Staff!$B$5:$B$44,MATCH(F603,Staff!$A$5:$A$44,0)),"House"))</f>
        <v>0</v>
      </c>
      <c r="R603" s="15">
        <f>IF(B603="","",TEXT(B603,"yyyy-mm"))</f>
        <v>0</v>
      </c>
      <c r="S603" s="25">
        <f>IF(B603="","",WEEKNUM(B603,2))</f>
        <v>0</v>
      </c>
      <c r="T603" s="37">
        <f>IF(B603="","",IF(K603="",1,K603))</f>
        <v>0</v>
      </c>
      <c r="U603" s="15">
        <f>IF(B603="","",IF(J603&lt;&gt;"",J603,IF(H603="Retail",IFERROR(INDEX(Inventory!$B$5:$B$304,MATCH(I603,Inventory!$A$5:$A$304,0))&amp;"","Not in Inventory"),IFERROR(INDEX(Services!$B$5:$B$204,MATCH(I603,Services!$A$5:$A$204,0))&amp;"","Not in Services"))))</f>
        <v>0</v>
      </c>
      <c r="V603" s="26">
        <f>IF(B603="","",IF(L603&lt;&gt;"",L603,IF(H603="Retail",IFERROR(INDEX(Inventory!$I$5:$I$304,MATCH(I603,Inventory!$A$5:$A$304,0))*1,0),IFERROR(INDEX(Services!$G$5:$G$204,MATCH(I603,Services!$A$5:$A$204,0))*1,0))))</f>
        <v>0</v>
      </c>
      <c r="W603" s="26">
        <f>IF(B603="","",ROUND(T603*V603,2))</f>
        <v>0</v>
      </c>
      <c r="X603" s="26">
        <f>IF(B603="","",ROUND(IF(M603="",0,W603*M603)+IF(N603="",0,N603),2))</f>
        <v>0</v>
      </c>
      <c r="Y603" s="26">
        <f>IF(B603="","",ROUND(W603-X603-IF(P603="",0,P603),2))</f>
        <v>0</v>
      </c>
      <c r="Z603" s="26">
        <f>IF(B603="","",IF(H603="Retail",IF(TaxOnRetail="Yes",ROUND(Y603*TaxRate,2),0),IF(H603="Service",IF(TaxOnServices="Yes",ROUND(Y603*TaxRate,2),0),0)))</f>
        <v>0</v>
      </c>
      <c r="AA603" s="26">
        <f>IF(B603="","",ROUND(Y603+Z603,2))</f>
        <v>0</v>
      </c>
      <c r="AB603" s="26">
        <f>IF(B603="","",ROUND(T603*IF(H603="Retail",IFERROR(INDEX(Inventory!$H$5:$H$304,MATCH(I603,Inventory!$A$5:$A$304,0))*1,0),IFERROR(INDEX(Services!$Q$5:$Q$204,MATCH(I603,Services!$A$5:$A$204,0))*1,0)),2))</f>
        <v>0</v>
      </c>
      <c r="AC603" s="26">
        <f>IF(B603="","",ROUND(Y603-AB603,2))</f>
        <v>0</v>
      </c>
      <c r="AD603" s="38">
        <f>IF(B603="","",IF(C603="","No",IF(COUNTIFS($C$5:C603,C603)=1,"Yes","No")))</f>
        <v>0</v>
      </c>
      <c r="AE603" s="26">
        <f>IF(B603="","",ROUND(SUMIFS(Payments!$G$5:$G$1204,Payments!$H$5:$H$1204,A603,Payments!$Q$5:$Q$1204,"Yes"),2))</f>
        <v>0</v>
      </c>
      <c r="AF603" s="26">
        <f>IF(B603="","",IF(AD603="No",0,ROUND(SUMIFS(Payments!$G$5:$G$1204,Payments!$I$5:$I$1204,C603,Payments!$H$5:$H$1204,"",Payments!$Q$5:$Q$1204,"Yes"),2)))</f>
        <v>0</v>
      </c>
      <c r="AG603" s="26">
        <f>IF(B603="","",ROUND(AE603+AF603,2))</f>
        <v>0</v>
      </c>
      <c r="AH603" s="26">
        <f>IF(B603="","",ROUND(AA603-AG603,2))</f>
        <v>0</v>
      </c>
      <c r="AI603" s="39">
        <f>IF(B603="","",IF(AA603&lt;=0,"No charge",IF(AH603&lt;=0.004,"Paid",IF(AG603&lt;=0.004,"Unpaid","Part paid"))))</f>
        <v>0</v>
      </c>
      <c r="AJ603" s="38">
        <f>IF(B603="","",IF(H603&lt;&gt;"Service","",IF(D603="","No",IF(COUNTIFS($D$5:$D$1204,D603,$B$5:$B$1204,B603,$H$5:$H$1204,"Retail")&gt;0,"Yes","No"))))</f>
        <v>0</v>
      </c>
      <c r="AK603" s="25">
        <f>IF(B603="","",COUNTIFS($Y$5:$Y$1204,"&gt;"&amp;Y603)+COUNTIFS($Y$5:Y603,Y603))</f>
        <v>0</v>
      </c>
      <c r="AL603" s="39">
        <f>IF(B603="","",IF(H603="","Add - what kind of sale is this?",IF(IF(V603&lt;=0,P603="",FALSE),"Check - no price found for this item",IF(F603="","Assign - nobody credited",IF(AH603&gt;0.004,"Unpaid - balance outstanding",IF(AC603&lt;0,"Loss - sold below cost",IF(X603&gt;W603*0.5,"Check - more than half off","OK")))))))</f>
        <v>0</v>
      </c>
    </row>
    <row r="604" spans="1:38">
      <c r="A604" s="28">
        <f>IF(B604="","",SalePrefix&amp;TEXT(ROW()-4,"0000"))</f>
        <v>0</v>
      </c>
      <c r="E604" s="15">
        <f>IF(D604="","",IFERROR(INDEX(Clients!$B$5:$B$504,MATCH(D604,Clients!$A$5:$A$504,0)),"Walk-in"))</f>
        <v>0</v>
      </c>
      <c r="G604" s="15">
        <f>IF(F604="","",IFERROR(INDEX(Staff!$B$5:$B$44,MATCH(F604,Staff!$A$5:$A$44,0)),"House"))</f>
        <v>0</v>
      </c>
      <c r="R604" s="15">
        <f>IF(B604="","",TEXT(B604,"yyyy-mm"))</f>
        <v>0</v>
      </c>
      <c r="S604" s="25">
        <f>IF(B604="","",WEEKNUM(B604,2))</f>
        <v>0</v>
      </c>
      <c r="T604" s="37">
        <f>IF(B604="","",IF(K604="",1,K604))</f>
        <v>0</v>
      </c>
      <c r="U604" s="15">
        <f>IF(B604="","",IF(J604&lt;&gt;"",J604,IF(H604="Retail",IFERROR(INDEX(Inventory!$B$5:$B$304,MATCH(I604,Inventory!$A$5:$A$304,0))&amp;"","Not in Inventory"),IFERROR(INDEX(Services!$B$5:$B$204,MATCH(I604,Services!$A$5:$A$204,0))&amp;"","Not in Services"))))</f>
        <v>0</v>
      </c>
      <c r="V604" s="26">
        <f>IF(B604="","",IF(L604&lt;&gt;"",L604,IF(H604="Retail",IFERROR(INDEX(Inventory!$I$5:$I$304,MATCH(I604,Inventory!$A$5:$A$304,0))*1,0),IFERROR(INDEX(Services!$G$5:$G$204,MATCH(I604,Services!$A$5:$A$204,0))*1,0))))</f>
        <v>0</v>
      </c>
      <c r="W604" s="26">
        <f>IF(B604="","",ROUND(T604*V604,2))</f>
        <v>0</v>
      </c>
      <c r="X604" s="26">
        <f>IF(B604="","",ROUND(IF(M604="",0,W604*M604)+IF(N604="",0,N604),2))</f>
        <v>0</v>
      </c>
      <c r="Y604" s="26">
        <f>IF(B604="","",ROUND(W604-X604-IF(P604="",0,P604),2))</f>
        <v>0</v>
      </c>
      <c r="Z604" s="26">
        <f>IF(B604="","",IF(H604="Retail",IF(TaxOnRetail="Yes",ROUND(Y604*TaxRate,2),0),IF(H604="Service",IF(TaxOnServices="Yes",ROUND(Y604*TaxRate,2),0),0)))</f>
        <v>0</v>
      </c>
      <c r="AA604" s="26">
        <f>IF(B604="","",ROUND(Y604+Z604,2))</f>
        <v>0</v>
      </c>
      <c r="AB604" s="26">
        <f>IF(B604="","",ROUND(T604*IF(H604="Retail",IFERROR(INDEX(Inventory!$H$5:$H$304,MATCH(I604,Inventory!$A$5:$A$304,0))*1,0),IFERROR(INDEX(Services!$Q$5:$Q$204,MATCH(I604,Services!$A$5:$A$204,0))*1,0)),2))</f>
        <v>0</v>
      </c>
      <c r="AC604" s="26">
        <f>IF(B604="","",ROUND(Y604-AB604,2))</f>
        <v>0</v>
      </c>
      <c r="AD604" s="38">
        <f>IF(B604="","",IF(C604="","No",IF(COUNTIFS($C$5:C604,C604)=1,"Yes","No")))</f>
        <v>0</v>
      </c>
      <c r="AE604" s="26">
        <f>IF(B604="","",ROUND(SUMIFS(Payments!$G$5:$G$1204,Payments!$H$5:$H$1204,A604,Payments!$Q$5:$Q$1204,"Yes"),2))</f>
        <v>0</v>
      </c>
      <c r="AF604" s="26">
        <f>IF(B604="","",IF(AD604="No",0,ROUND(SUMIFS(Payments!$G$5:$G$1204,Payments!$I$5:$I$1204,C604,Payments!$H$5:$H$1204,"",Payments!$Q$5:$Q$1204,"Yes"),2)))</f>
        <v>0</v>
      </c>
      <c r="AG604" s="26">
        <f>IF(B604="","",ROUND(AE604+AF604,2))</f>
        <v>0</v>
      </c>
      <c r="AH604" s="26">
        <f>IF(B604="","",ROUND(AA604-AG604,2))</f>
        <v>0</v>
      </c>
      <c r="AI604" s="39">
        <f>IF(B604="","",IF(AA604&lt;=0,"No charge",IF(AH604&lt;=0.004,"Paid",IF(AG604&lt;=0.004,"Unpaid","Part paid"))))</f>
        <v>0</v>
      </c>
      <c r="AJ604" s="38">
        <f>IF(B604="","",IF(H604&lt;&gt;"Service","",IF(D604="","No",IF(COUNTIFS($D$5:$D$1204,D604,$B$5:$B$1204,B604,$H$5:$H$1204,"Retail")&gt;0,"Yes","No"))))</f>
        <v>0</v>
      </c>
      <c r="AK604" s="25">
        <f>IF(B604="","",COUNTIFS($Y$5:$Y$1204,"&gt;"&amp;Y604)+COUNTIFS($Y$5:Y604,Y604))</f>
        <v>0</v>
      </c>
      <c r="AL604" s="39">
        <f>IF(B604="","",IF(H604="","Add - what kind of sale is this?",IF(IF(V604&lt;=0,P604="",FALSE),"Check - no price found for this item",IF(F604="","Assign - nobody credited",IF(AH604&gt;0.004,"Unpaid - balance outstanding",IF(AC604&lt;0,"Loss - sold below cost",IF(X604&gt;W604*0.5,"Check - more than half off","OK")))))))</f>
        <v>0</v>
      </c>
    </row>
    <row r="605" spans="1:38">
      <c r="A605" s="28">
        <f>IF(B605="","",SalePrefix&amp;TEXT(ROW()-4,"0000"))</f>
        <v>0</v>
      </c>
      <c r="E605" s="15">
        <f>IF(D605="","",IFERROR(INDEX(Clients!$B$5:$B$504,MATCH(D605,Clients!$A$5:$A$504,0)),"Walk-in"))</f>
        <v>0</v>
      </c>
      <c r="G605" s="15">
        <f>IF(F605="","",IFERROR(INDEX(Staff!$B$5:$B$44,MATCH(F605,Staff!$A$5:$A$44,0)),"House"))</f>
        <v>0</v>
      </c>
      <c r="R605" s="15">
        <f>IF(B605="","",TEXT(B605,"yyyy-mm"))</f>
        <v>0</v>
      </c>
      <c r="S605" s="25">
        <f>IF(B605="","",WEEKNUM(B605,2))</f>
        <v>0</v>
      </c>
      <c r="T605" s="37">
        <f>IF(B605="","",IF(K605="",1,K605))</f>
        <v>0</v>
      </c>
      <c r="U605" s="15">
        <f>IF(B605="","",IF(J605&lt;&gt;"",J605,IF(H605="Retail",IFERROR(INDEX(Inventory!$B$5:$B$304,MATCH(I605,Inventory!$A$5:$A$304,0))&amp;"","Not in Inventory"),IFERROR(INDEX(Services!$B$5:$B$204,MATCH(I605,Services!$A$5:$A$204,0))&amp;"","Not in Services"))))</f>
        <v>0</v>
      </c>
      <c r="V605" s="26">
        <f>IF(B605="","",IF(L605&lt;&gt;"",L605,IF(H605="Retail",IFERROR(INDEX(Inventory!$I$5:$I$304,MATCH(I605,Inventory!$A$5:$A$304,0))*1,0),IFERROR(INDEX(Services!$G$5:$G$204,MATCH(I605,Services!$A$5:$A$204,0))*1,0))))</f>
        <v>0</v>
      </c>
      <c r="W605" s="26">
        <f>IF(B605="","",ROUND(T605*V605,2))</f>
        <v>0</v>
      </c>
      <c r="X605" s="26">
        <f>IF(B605="","",ROUND(IF(M605="",0,W605*M605)+IF(N605="",0,N605),2))</f>
        <v>0</v>
      </c>
      <c r="Y605" s="26">
        <f>IF(B605="","",ROUND(W605-X605-IF(P605="",0,P605),2))</f>
        <v>0</v>
      </c>
      <c r="Z605" s="26">
        <f>IF(B605="","",IF(H605="Retail",IF(TaxOnRetail="Yes",ROUND(Y605*TaxRate,2),0),IF(H605="Service",IF(TaxOnServices="Yes",ROUND(Y605*TaxRate,2),0),0)))</f>
        <v>0</v>
      </c>
      <c r="AA605" s="26">
        <f>IF(B605="","",ROUND(Y605+Z605,2))</f>
        <v>0</v>
      </c>
      <c r="AB605" s="26">
        <f>IF(B605="","",ROUND(T605*IF(H605="Retail",IFERROR(INDEX(Inventory!$H$5:$H$304,MATCH(I605,Inventory!$A$5:$A$304,0))*1,0),IFERROR(INDEX(Services!$Q$5:$Q$204,MATCH(I605,Services!$A$5:$A$204,0))*1,0)),2))</f>
        <v>0</v>
      </c>
      <c r="AC605" s="26">
        <f>IF(B605="","",ROUND(Y605-AB605,2))</f>
        <v>0</v>
      </c>
      <c r="AD605" s="38">
        <f>IF(B605="","",IF(C605="","No",IF(COUNTIFS($C$5:C605,C605)=1,"Yes","No")))</f>
        <v>0</v>
      </c>
      <c r="AE605" s="26">
        <f>IF(B605="","",ROUND(SUMIFS(Payments!$G$5:$G$1204,Payments!$H$5:$H$1204,A605,Payments!$Q$5:$Q$1204,"Yes"),2))</f>
        <v>0</v>
      </c>
      <c r="AF605" s="26">
        <f>IF(B605="","",IF(AD605="No",0,ROUND(SUMIFS(Payments!$G$5:$G$1204,Payments!$I$5:$I$1204,C605,Payments!$H$5:$H$1204,"",Payments!$Q$5:$Q$1204,"Yes"),2)))</f>
        <v>0</v>
      </c>
      <c r="AG605" s="26">
        <f>IF(B605="","",ROUND(AE605+AF605,2))</f>
        <v>0</v>
      </c>
      <c r="AH605" s="26">
        <f>IF(B605="","",ROUND(AA605-AG605,2))</f>
        <v>0</v>
      </c>
      <c r="AI605" s="39">
        <f>IF(B605="","",IF(AA605&lt;=0,"No charge",IF(AH605&lt;=0.004,"Paid",IF(AG605&lt;=0.004,"Unpaid","Part paid"))))</f>
        <v>0</v>
      </c>
      <c r="AJ605" s="38">
        <f>IF(B605="","",IF(H605&lt;&gt;"Service","",IF(D605="","No",IF(COUNTIFS($D$5:$D$1204,D605,$B$5:$B$1204,B605,$H$5:$H$1204,"Retail")&gt;0,"Yes","No"))))</f>
        <v>0</v>
      </c>
      <c r="AK605" s="25">
        <f>IF(B605="","",COUNTIFS($Y$5:$Y$1204,"&gt;"&amp;Y605)+COUNTIFS($Y$5:Y605,Y605))</f>
        <v>0</v>
      </c>
      <c r="AL605" s="39">
        <f>IF(B605="","",IF(H605="","Add - what kind of sale is this?",IF(IF(V605&lt;=0,P605="",FALSE),"Check - no price found for this item",IF(F605="","Assign - nobody credited",IF(AH605&gt;0.004,"Unpaid - balance outstanding",IF(AC605&lt;0,"Loss - sold below cost",IF(X605&gt;W605*0.5,"Check - more than half off","OK")))))))</f>
        <v>0</v>
      </c>
    </row>
    <row r="606" spans="1:38">
      <c r="A606" s="28">
        <f>IF(B606="","",SalePrefix&amp;TEXT(ROW()-4,"0000"))</f>
        <v>0</v>
      </c>
      <c r="E606" s="15">
        <f>IF(D606="","",IFERROR(INDEX(Clients!$B$5:$B$504,MATCH(D606,Clients!$A$5:$A$504,0)),"Walk-in"))</f>
        <v>0</v>
      </c>
      <c r="G606" s="15">
        <f>IF(F606="","",IFERROR(INDEX(Staff!$B$5:$B$44,MATCH(F606,Staff!$A$5:$A$44,0)),"House"))</f>
        <v>0</v>
      </c>
      <c r="R606" s="15">
        <f>IF(B606="","",TEXT(B606,"yyyy-mm"))</f>
        <v>0</v>
      </c>
      <c r="S606" s="25">
        <f>IF(B606="","",WEEKNUM(B606,2))</f>
        <v>0</v>
      </c>
      <c r="T606" s="37">
        <f>IF(B606="","",IF(K606="",1,K606))</f>
        <v>0</v>
      </c>
      <c r="U606" s="15">
        <f>IF(B606="","",IF(J606&lt;&gt;"",J606,IF(H606="Retail",IFERROR(INDEX(Inventory!$B$5:$B$304,MATCH(I606,Inventory!$A$5:$A$304,0))&amp;"","Not in Inventory"),IFERROR(INDEX(Services!$B$5:$B$204,MATCH(I606,Services!$A$5:$A$204,0))&amp;"","Not in Services"))))</f>
        <v>0</v>
      </c>
      <c r="V606" s="26">
        <f>IF(B606="","",IF(L606&lt;&gt;"",L606,IF(H606="Retail",IFERROR(INDEX(Inventory!$I$5:$I$304,MATCH(I606,Inventory!$A$5:$A$304,0))*1,0),IFERROR(INDEX(Services!$G$5:$G$204,MATCH(I606,Services!$A$5:$A$204,0))*1,0))))</f>
        <v>0</v>
      </c>
      <c r="W606" s="26">
        <f>IF(B606="","",ROUND(T606*V606,2))</f>
        <v>0</v>
      </c>
      <c r="X606" s="26">
        <f>IF(B606="","",ROUND(IF(M606="",0,W606*M606)+IF(N606="",0,N606),2))</f>
        <v>0</v>
      </c>
      <c r="Y606" s="26">
        <f>IF(B606="","",ROUND(W606-X606-IF(P606="",0,P606),2))</f>
        <v>0</v>
      </c>
      <c r="Z606" s="26">
        <f>IF(B606="","",IF(H606="Retail",IF(TaxOnRetail="Yes",ROUND(Y606*TaxRate,2),0),IF(H606="Service",IF(TaxOnServices="Yes",ROUND(Y606*TaxRate,2),0),0)))</f>
        <v>0</v>
      </c>
      <c r="AA606" s="26">
        <f>IF(B606="","",ROUND(Y606+Z606,2))</f>
        <v>0</v>
      </c>
      <c r="AB606" s="26">
        <f>IF(B606="","",ROUND(T606*IF(H606="Retail",IFERROR(INDEX(Inventory!$H$5:$H$304,MATCH(I606,Inventory!$A$5:$A$304,0))*1,0),IFERROR(INDEX(Services!$Q$5:$Q$204,MATCH(I606,Services!$A$5:$A$204,0))*1,0)),2))</f>
        <v>0</v>
      </c>
      <c r="AC606" s="26">
        <f>IF(B606="","",ROUND(Y606-AB606,2))</f>
        <v>0</v>
      </c>
      <c r="AD606" s="38">
        <f>IF(B606="","",IF(C606="","No",IF(COUNTIFS($C$5:C606,C606)=1,"Yes","No")))</f>
        <v>0</v>
      </c>
      <c r="AE606" s="26">
        <f>IF(B606="","",ROUND(SUMIFS(Payments!$G$5:$G$1204,Payments!$H$5:$H$1204,A606,Payments!$Q$5:$Q$1204,"Yes"),2))</f>
        <v>0</v>
      </c>
      <c r="AF606" s="26">
        <f>IF(B606="","",IF(AD606="No",0,ROUND(SUMIFS(Payments!$G$5:$G$1204,Payments!$I$5:$I$1204,C606,Payments!$H$5:$H$1204,"",Payments!$Q$5:$Q$1204,"Yes"),2)))</f>
        <v>0</v>
      </c>
      <c r="AG606" s="26">
        <f>IF(B606="","",ROUND(AE606+AF606,2))</f>
        <v>0</v>
      </c>
      <c r="AH606" s="26">
        <f>IF(B606="","",ROUND(AA606-AG606,2))</f>
        <v>0</v>
      </c>
      <c r="AI606" s="39">
        <f>IF(B606="","",IF(AA606&lt;=0,"No charge",IF(AH606&lt;=0.004,"Paid",IF(AG606&lt;=0.004,"Unpaid","Part paid"))))</f>
        <v>0</v>
      </c>
      <c r="AJ606" s="38">
        <f>IF(B606="","",IF(H606&lt;&gt;"Service","",IF(D606="","No",IF(COUNTIFS($D$5:$D$1204,D606,$B$5:$B$1204,B606,$H$5:$H$1204,"Retail")&gt;0,"Yes","No"))))</f>
        <v>0</v>
      </c>
      <c r="AK606" s="25">
        <f>IF(B606="","",COUNTIFS($Y$5:$Y$1204,"&gt;"&amp;Y606)+COUNTIFS($Y$5:Y606,Y606))</f>
        <v>0</v>
      </c>
      <c r="AL606" s="39">
        <f>IF(B606="","",IF(H606="","Add - what kind of sale is this?",IF(IF(V606&lt;=0,P606="",FALSE),"Check - no price found for this item",IF(F606="","Assign - nobody credited",IF(AH606&gt;0.004,"Unpaid - balance outstanding",IF(AC606&lt;0,"Loss - sold below cost",IF(X606&gt;W606*0.5,"Check - more than half off","OK")))))))</f>
        <v>0</v>
      </c>
    </row>
    <row r="607" spans="1:38">
      <c r="A607" s="28">
        <f>IF(B607="","",SalePrefix&amp;TEXT(ROW()-4,"0000"))</f>
        <v>0</v>
      </c>
      <c r="E607" s="15">
        <f>IF(D607="","",IFERROR(INDEX(Clients!$B$5:$B$504,MATCH(D607,Clients!$A$5:$A$504,0)),"Walk-in"))</f>
        <v>0</v>
      </c>
      <c r="G607" s="15">
        <f>IF(F607="","",IFERROR(INDEX(Staff!$B$5:$B$44,MATCH(F607,Staff!$A$5:$A$44,0)),"House"))</f>
        <v>0</v>
      </c>
      <c r="R607" s="15">
        <f>IF(B607="","",TEXT(B607,"yyyy-mm"))</f>
        <v>0</v>
      </c>
      <c r="S607" s="25">
        <f>IF(B607="","",WEEKNUM(B607,2))</f>
        <v>0</v>
      </c>
      <c r="T607" s="37">
        <f>IF(B607="","",IF(K607="",1,K607))</f>
        <v>0</v>
      </c>
      <c r="U607" s="15">
        <f>IF(B607="","",IF(J607&lt;&gt;"",J607,IF(H607="Retail",IFERROR(INDEX(Inventory!$B$5:$B$304,MATCH(I607,Inventory!$A$5:$A$304,0))&amp;"","Not in Inventory"),IFERROR(INDEX(Services!$B$5:$B$204,MATCH(I607,Services!$A$5:$A$204,0))&amp;"","Not in Services"))))</f>
        <v>0</v>
      </c>
      <c r="V607" s="26">
        <f>IF(B607="","",IF(L607&lt;&gt;"",L607,IF(H607="Retail",IFERROR(INDEX(Inventory!$I$5:$I$304,MATCH(I607,Inventory!$A$5:$A$304,0))*1,0),IFERROR(INDEX(Services!$G$5:$G$204,MATCH(I607,Services!$A$5:$A$204,0))*1,0))))</f>
        <v>0</v>
      </c>
      <c r="W607" s="26">
        <f>IF(B607="","",ROUND(T607*V607,2))</f>
        <v>0</v>
      </c>
      <c r="X607" s="26">
        <f>IF(B607="","",ROUND(IF(M607="",0,W607*M607)+IF(N607="",0,N607),2))</f>
        <v>0</v>
      </c>
      <c r="Y607" s="26">
        <f>IF(B607="","",ROUND(W607-X607-IF(P607="",0,P607),2))</f>
        <v>0</v>
      </c>
      <c r="Z607" s="26">
        <f>IF(B607="","",IF(H607="Retail",IF(TaxOnRetail="Yes",ROUND(Y607*TaxRate,2),0),IF(H607="Service",IF(TaxOnServices="Yes",ROUND(Y607*TaxRate,2),0),0)))</f>
        <v>0</v>
      </c>
      <c r="AA607" s="26">
        <f>IF(B607="","",ROUND(Y607+Z607,2))</f>
        <v>0</v>
      </c>
      <c r="AB607" s="26">
        <f>IF(B607="","",ROUND(T607*IF(H607="Retail",IFERROR(INDEX(Inventory!$H$5:$H$304,MATCH(I607,Inventory!$A$5:$A$304,0))*1,0),IFERROR(INDEX(Services!$Q$5:$Q$204,MATCH(I607,Services!$A$5:$A$204,0))*1,0)),2))</f>
        <v>0</v>
      </c>
      <c r="AC607" s="26">
        <f>IF(B607="","",ROUND(Y607-AB607,2))</f>
        <v>0</v>
      </c>
      <c r="AD607" s="38">
        <f>IF(B607="","",IF(C607="","No",IF(COUNTIFS($C$5:C607,C607)=1,"Yes","No")))</f>
        <v>0</v>
      </c>
      <c r="AE607" s="26">
        <f>IF(B607="","",ROUND(SUMIFS(Payments!$G$5:$G$1204,Payments!$H$5:$H$1204,A607,Payments!$Q$5:$Q$1204,"Yes"),2))</f>
        <v>0</v>
      </c>
      <c r="AF607" s="26">
        <f>IF(B607="","",IF(AD607="No",0,ROUND(SUMIFS(Payments!$G$5:$G$1204,Payments!$I$5:$I$1204,C607,Payments!$H$5:$H$1204,"",Payments!$Q$5:$Q$1204,"Yes"),2)))</f>
        <v>0</v>
      </c>
      <c r="AG607" s="26">
        <f>IF(B607="","",ROUND(AE607+AF607,2))</f>
        <v>0</v>
      </c>
      <c r="AH607" s="26">
        <f>IF(B607="","",ROUND(AA607-AG607,2))</f>
        <v>0</v>
      </c>
      <c r="AI607" s="39">
        <f>IF(B607="","",IF(AA607&lt;=0,"No charge",IF(AH607&lt;=0.004,"Paid",IF(AG607&lt;=0.004,"Unpaid","Part paid"))))</f>
        <v>0</v>
      </c>
      <c r="AJ607" s="38">
        <f>IF(B607="","",IF(H607&lt;&gt;"Service","",IF(D607="","No",IF(COUNTIFS($D$5:$D$1204,D607,$B$5:$B$1204,B607,$H$5:$H$1204,"Retail")&gt;0,"Yes","No"))))</f>
        <v>0</v>
      </c>
      <c r="AK607" s="25">
        <f>IF(B607="","",COUNTIFS($Y$5:$Y$1204,"&gt;"&amp;Y607)+COUNTIFS($Y$5:Y607,Y607))</f>
        <v>0</v>
      </c>
      <c r="AL607" s="39">
        <f>IF(B607="","",IF(H607="","Add - what kind of sale is this?",IF(IF(V607&lt;=0,P607="",FALSE),"Check - no price found for this item",IF(F607="","Assign - nobody credited",IF(AH607&gt;0.004,"Unpaid - balance outstanding",IF(AC607&lt;0,"Loss - sold below cost",IF(X607&gt;W607*0.5,"Check - more than half off","OK")))))))</f>
        <v>0</v>
      </c>
    </row>
    <row r="608" spans="1:38">
      <c r="A608" s="28">
        <f>IF(B608="","",SalePrefix&amp;TEXT(ROW()-4,"0000"))</f>
        <v>0</v>
      </c>
      <c r="E608" s="15">
        <f>IF(D608="","",IFERROR(INDEX(Clients!$B$5:$B$504,MATCH(D608,Clients!$A$5:$A$504,0)),"Walk-in"))</f>
        <v>0</v>
      </c>
      <c r="G608" s="15">
        <f>IF(F608="","",IFERROR(INDEX(Staff!$B$5:$B$44,MATCH(F608,Staff!$A$5:$A$44,0)),"House"))</f>
        <v>0</v>
      </c>
      <c r="R608" s="15">
        <f>IF(B608="","",TEXT(B608,"yyyy-mm"))</f>
        <v>0</v>
      </c>
      <c r="S608" s="25">
        <f>IF(B608="","",WEEKNUM(B608,2))</f>
        <v>0</v>
      </c>
      <c r="T608" s="37">
        <f>IF(B608="","",IF(K608="",1,K608))</f>
        <v>0</v>
      </c>
      <c r="U608" s="15">
        <f>IF(B608="","",IF(J608&lt;&gt;"",J608,IF(H608="Retail",IFERROR(INDEX(Inventory!$B$5:$B$304,MATCH(I608,Inventory!$A$5:$A$304,0))&amp;"","Not in Inventory"),IFERROR(INDEX(Services!$B$5:$B$204,MATCH(I608,Services!$A$5:$A$204,0))&amp;"","Not in Services"))))</f>
        <v>0</v>
      </c>
      <c r="V608" s="26">
        <f>IF(B608="","",IF(L608&lt;&gt;"",L608,IF(H608="Retail",IFERROR(INDEX(Inventory!$I$5:$I$304,MATCH(I608,Inventory!$A$5:$A$304,0))*1,0),IFERROR(INDEX(Services!$G$5:$G$204,MATCH(I608,Services!$A$5:$A$204,0))*1,0))))</f>
        <v>0</v>
      </c>
      <c r="W608" s="26">
        <f>IF(B608="","",ROUND(T608*V608,2))</f>
        <v>0</v>
      </c>
      <c r="X608" s="26">
        <f>IF(B608="","",ROUND(IF(M608="",0,W608*M608)+IF(N608="",0,N608),2))</f>
        <v>0</v>
      </c>
      <c r="Y608" s="26">
        <f>IF(B608="","",ROUND(W608-X608-IF(P608="",0,P608),2))</f>
        <v>0</v>
      </c>
      <c r="Z608" s="26">
        <f>IF(B608="","",IF(H608="Retail",IF(TaxOnRetail="Yes",ROUND(Y608*TaxRate,2),0),IF(H608="Service",IF(TaxOnServices="Yes",ROUND(Y608*TaxRate,2),0),0)))</f>
        <v>0</v>
      </c>
      <c r="AA608" s="26">
        <f>IF(B608="","",ROUND(Y608+Z608,2))</f>
        <v>0</v>
      </c>
      <c r="AB608" s="26">
        <f>IF(B608="","",ROUND(T608*IF(H608="Retail",IFERROR(INDEX(Inventory!$H$5:$H$304,MATCH(I608,Inventory!$A$5:$A$304,0))*1,0),IFERROR(INDEX(Services!$Q$5:$Q$204,MATCH(I608,Services!$A$5:$A$204,0))*1,0)),2))</f>
        <v>0</v>
      </c>
      <c r="AC608" s="26">
        <f>IF(B608="","",ROUND(Y608-AB608,2))</f>
        <v>0</v>
      </c>
      <c r="AD608" s="38">
        <f>IF(B608="","",IF(C608="","No",IF(COUNTIFS($C$5:C608,C608)=1,"Yes","No")))</f>
        <v>0</v>
      </c>
      <c r="AE608" s="26">
        <f>IF(B608="","",ROUND(SUMIFS(Payments!$G$5:$G$1204,Payments!$H$5:$H$1204,A608,Payments!$Q$5:$Q$1204,"Yes"),2))</f>
        <v>0</v>
      </c>
      <c r="AF608" s="26">
        <f>IF(B608="","",IF(AD608="No",0,ROUND(SUMIFS(Payments!$G$5:$G$1204,Payments!$I$5:$I$1204,C608,Payments!$H$5:$H$1204,"",Payments!$Q$5:$Q$1204,"Yes"),2)))</f>
        <v>0</v>
      </c>
      <c r="AG608" s="26">
        <f>IF(B608="","",ROUND(AE608+AF608,2))</f>
        <v>0</v>
      </c>
      <c r="AH608" s="26">
        <f>IF(B608="","",ROUND(AA608-AG608,2))</f>
        <v>0</v>
      </c>
      <c r="AI608" s="39">
        <f>IF(B608="","",IF(AA608&lt;=0,"No charge",IF(AH608&lt;=0.004,"Paid",IF(AG608&lt;=0.004,"Unpaid","Part paid"))))</f>
        <v>0</v>
      </c>
      <c r="AJ608" s="38">
        <f>IF(B608="","",IF(H608&lt;&gt;"Service","",IF(D608="","No",IF(COUNTIFS($D$5:$D$1204,D608,$B$5:$B$1204,B608,$H$5:$H$1204,"Retail")&gt;0,"Yes","No"))))</f>
        <v>0</v>
      </c>
      <c r="AK608" s="25">
        <f>IF(B608="","",COUNTIFS($Y$5:$Y$1204,"&gt;"&amp;Y608)+COUNTIFS($Y$5:Y608,Y608))</f>
        <v>0</v>
      </c>
      <c r="AL608" s="39">
        <f>IF(B608="","",IF(H608="","Add - what kind of sale is this?",IF(IF(V608&lt;=0,P608="",FALSE),"Check - no price found for this item",IF(F608="","Assign - nobody credited",IF(AH608&gt;0.004,"Unpaid - balance outstanding",IF(AC608&lt;0,"Loss - sold below cost",IF(X608&gt;W608*0.5,"Check - more than half off","OK")))))))</f>
        <v>0</v>
      </c>
    </row>
    <row r="609" spans="1:38">
      <c r="A609" s="28">
        <f>IF(B609="","",SalePrefix&amp;TEXT(ROW()-4,"0000"))</f>
        <v>0</v>
      </c>
      <c r="E609" s="15">
        <f>IF(D609="","",IFERROR(INDEX(Clients!$B$5:$B$504,MATCH(D609,Clients!$A$5:$A$504,0)),"Walk-in"))</f>
        <v>0</v>
      </c>
      <c r="G609" s="15">
        <f>IF(F609="","",IFERROR(INDEX(Staff!$B$5:$B$44,MATCH(F609,Staff!$A$5:$A$44,0)),"House"))</f>
        <v>0</v>
      </c>
      <c r="R609" s="15">
        <f>IF(B609="","",TEXT(B609,"yyyy-mm"))</f>
        <v>0</v>
      </c>
      <c r="S609" s="25">
        <f>IF(B609="","",WEEKNUM(B609,2))</f>
        <v>0</v>
      </c>
      <c r="T609" s="37">
        <f>IF(B609="","",IF(K609="",1,K609))</f>
        <v>0</v>
      </c>
      <c r="U609" s="15">
        <f>IF(B609="","",IF(J609&lt;&gt;"",J609,IF(H609="Retail",IFERROR(INDEX(Inventory!$B$5:$B$304,MATCH(I609,Inventory!$A$5:$A$304,0))&amp;"","Not in Inventory"),IFERROR(INDEX(Services!$B$5:$B$204,MATCH(I609,Services!$A$5:$A$204,0))&amp;"","Not in Services"))))</f>
        <v>0</v>
      </c>
      <c r="V609" s="26">
        <f>IF(B609="","",IF(L609&lt;&gt;"",L609,IF(H609="Retail",IFERROR(INDEX(Inventory!$I$5:$I$304,MATCH(I609,Inventory!$A$5:$A$304,0))*1,0),IFERROR(INDEX(Services!$G$5:$G$204,MATCH(I609,Services!$A$5:$A$204,0))*1,0))))</f>
        <v>0</v>
      </c>
      <c r="W609" s="26">
        <f>IF(B609="","",ROUND(T609*V609,2))</f>
        <v>0</v>
      </c>
      <c r="X609" s="26">
        <f>IF(B609="","",ROUND(IF(M609="",0,W609*M609)+IF(N609="",0,N609),2))</f>
        <v>0</v>
      </c>
      <c r="Y609" s="26">
        <f>IF(B609="","",ROUND(W609-X609-IF(P609="",0,P609),2))</f>
        <v>0</v>
      </c>
      <c r="Z609" s="26">
        <f>IF(B609="","",IF(H609="Retail",IF(TaxOnRetail="Yes",ROUND(Y609*TaxRate,2),0),IF(H609="Service",IF(TaxOnServices="Yes",ROUND(Y609*TaxRate,2),0),0)))</f>
        <v>0</v>
      </c>
      <c r="AA609" s="26">
        <f>IF(B609="","",ROUND(Y609+Z609,2))</f>
        <v>0</v>
      </c>
      <c r="AB609" s="26">
        <f>IF(B609="","",ROUND(T609*IF(H609="Retail",IFERROR(INDEX(Inventory!$H$5:$H$304,MATCH(I609,Inventory!$A$5:$A$304,0))*1,0),IFERROR(INDEX(Services!$Q$5:$Q$204,MATCH(I609,Services!$A$5:$A$204,0))*1,0)),2))</f>
        <v>0</v>
      </c>
      <c r="AC609" s="26">
        <f>IF(B609="","",ROUND(Y609-AB609,2))</f>
        <v>0</v>
      </c>
      <c r="AD609" s="38">
        <f>IF(B609="","",IF(C609="","No",IF(COUNTIFS($C$5:C609,C609)=1,"Yes","No")))</f>
        <v>0</v>
      </c>
      <c r="AE609" s="26">
        <f>IF(B609="","",ROUND(SUMIFS(Payments!$G$5:$G$1204,Payments!$H$5:$H$1204,A609,Payments!$Q$5:$Q$1204,"Yes"),2))</f>
        <v>0</v>
      </c>
      <c r="AF609" s="26">
        <f>IF(B609="","",IF(AD609="No",0,ROUND(SUMIFS(Payments!$G$5:$G$1204,Payments!$I$5:$I$1204,C609,Payments!$H$5:$H$1204,"",Payments!$Q$5:$Q$1204,"Yes"),2)))</f>
        <v>0</v>
      </c>
      <c r="AG609" s="26">
        <f>IF(B609="","",ROUND(AE609+AF609,2))</f>
        <v>0</v>
      </c>
      <c r="AH609" s="26">
        <f>IF(B609="","",ROUND(AA609-AG609,2))</f>
        <v>0</v>
      </c>
      <c r="AI609" s="39">
        <f>IF(B609="","",IF(AA609&lt;=0,"No charge",IF(AH609&lt;=0.004,"Paid",IF(AG609&lt;=0.004,"Unpaid","Part paid"))))</f>
        <v>0</v>
      </c>
      <c r="AJ609" s="38">
        <f>IF(B609="","",IF(H609&lt;&gt;"Service","",IF(D609="","No",IF(COUNTIFS($D$5:$D$1204,D609,$B$5:$B$1204,B609,$H$5:$H$1204,"Retail")&gt;0,"Yes","No"))))</f>
        <v>0</v>
      </c>
      <c r="AK609" s="25">
        <f>IF(B609="","",COUNTIFS($Y$5:$Y$1204,"&gt;"&amp;Y609)+COUNTIFS($Y$5:Y609,Y609))</f>
        <v>0</v>
      </c>
      <c r="AL609" s="39">
        <f>IF(B609="","",IF(H609="","Add - what kind of sale is this?",IF(IF(V609&lt;=0,P609="",FALSE),"Check - no price found for this item",IF(F609="","Assign - nobody credited",IF(AH609&gt;0.004,"Unpaid - balance outstanding",IF(AC609&lt;0,"Loss - sold below cost",IF(X609&gt;W609*0.5,"Check - more than half off","OK")))))))</f>
        <v>0</v>
      </c>
    </row>
    <row r="610" spans="1:38">
      <c r="A610" s="28">
        <f>IF(B610="","",SalePrefix&amp;TEXT(ROW()-4,"0000"))</f>
        <v>0</v>
      </c>
      <c r="E610" s="15">
        <f>IF(D610="","",IFERROR(INDEX(Clients!$B$5:$B$504,MATCH(D610,Clients!$A$5:$A$504,0)),"Walk-in"))</f>
        <v>0</v>
      </c>
      <c r="G610" s="15">
        <f>IF(F610="","",IFERROR(INDEX(Staff!$B$5:$B$44,MATCH(F610,Staff!$A$5:$A$44,0)),"House"))</f>
        <v>0</v>
      </c>
      <c r="R610" s="15">
        <f>IF(B610="","",TEXT(B610,"yyyy-mm"))</f>
        <v>0</v>
      </c>
      <c r="S610" s="25">
        <f>IF(B610="","",WEEKNUM(B610,2))</f>
        <v>0</v>
      </c>
      <c r="T610" s="37">
        <f>IF(B610="","",IF(K610="",1,K610))</f>
        <v>0</v>
      </c>
      <c r="U610" s="15">
        <f>IF(B610="","",IF(J610&lt;&gt;"",J610,IF(H610="Retail",IFERROR(INDEX(Inventory!$B$5:$B$304,MATCH(I610,Inventory!$A$5:$A$304,0))&amp;"","Not in Inventory"),IFERROR(INDEX(Services!$B$5:$B$204,MATCH(I610,Services!$A$5:$A$204,0))&amp;"","Not in Services"))))</f>
        <v>0</v>
      </c>
      <c r="V610" s="26">
        <f>IF(B610="","",IF(L610&lt;&gt;"",L610,IF(H610="Retail",IFERROR(INDEX(Inventory!$I$5:$I$304,MATCH(I610,Inventory!$A$5:$A$304,0))*1,0),IFERROR(INDEX(Services!$G$5:$G$204,MATCH(I610,Services!$A$5:$A$204,0))*1,0))))</f>
        <v>0</v>
      </c>
      <c r="W610" s="26">
        <f>IF(B610="","",ROUND(T610*V610,2))</f>
        <v>0</v>
      </c>
      <c r="X610" s="26">
        <f>IF(B610="","",ROUND(IF(M610="",0,W610*M610)+IF(N610="",0,N610),2))</f>
        <v>0</v>
      </c>
      <c r="Y610" s="26">
        <f>IF(B610="","",ROUND(W610-X610-IF(P610="",0,P610),2))</f>
        <v>0</v>
      </c>
      <c r="Z610" s="26">
        <f>IF(B610="","",IF(H610="Retail",IF(TaxOnRetail="Yes",ROUND(Y610*TaxRate,2),0),IF(H610="Service",IF(TaxOnServices="Yes",ROUND(Y610*TaxRate,2),0),0)))</f>
        <v>0</v>
      </c>
      <c r="AA610" s="26">
        <f>IF(B610="","",ROUND(Y610+Z610,2))</f>
        <v>0</v>
      </c>
      <c r="AB610" s="26">
        <f>IF(B610="","",ROUND(T610*IF(H610="Retail",IFERROR(INDEX(Inventory!$H$5:$H$304,MATCH(I610,Inventory!$A$5:$A$304,0))*1,0),IFERROR(INDEX(Services!$Q$5:$Q$204,MATCH(I610,Services!$A$5:$A$204,0))*1,0)),2))</f>
        <v>0</v>
      </c>
      <c r="AC610" s="26">
        <f>IF(B610="","",ROUND(Y610-AB610,2))</f>
        <v>0</v>
      </c>
      <c r="AD610" s="38">
        <f>IF(B610="","",IF(C610="","No",IF(COUNTIFS($C$5:C610,C610)=1,"Yes","No")))</f>
        <v>0</v>
      </c>
      <c r="AE610" s="26">
        <f>IF(B610="","",ROUND(SUMIFS(Payments!$G$5:$G$1204,Payments!$H$5:$H$1204,A610,Payments!$Q$5:$Q$1204,"Yes"),2))</f>
        <v>0</v>
      </c>
      <c r="AF610" s="26">
        <f>IF(B610="","",IF(AD610="No",0,ROUND(SUMIFS(Payments!$G$5:$G$1204,Payments!$I$5:$I$1204,C610,Payments!$H$5:$H$1204,"",Payments!$Q$5:$Q$1204,"Yes"),2)))</f>
        <v>0</v>
      </c>
      <c r="AG610" s="26">
        <f>IF(B610="","",ROUND(AE610+AF610,2))</f>
        <v>0</v>
      </c>
      <c r="AH610" s="26">
        <f>IF(B610="","",ROUND(AA610-AG610,2))</f>
        <v>0</v>
      </c>
      <c r="AI610" s="39">
        <f>IF(B610="","",IF(AA610&lt;=0,"No charge",IF(AH610&lt;=0.004,"Paid",IF(AG610&lt;=0.004,"Unpaid","Part paid"))))</f>
        <v>0</v>
      </c>
      <c r="AJ610" s="38">
        <f>IF(B610="","",IF(H610&lt;&gt;"Service","",IF(D610="","No",IF(COUNTIFS($D$5:$D$1204,D610,$B$5:$B$1204,B610,$H$5:$H$1204,"Retail")&gt;0,"Yes","No"))))</f>
        <v>0</v>
      </c>
      <c r="AK610" s="25">
        <f>IF(B610="","",COUNTIFS($Y$5:$Y$1204,"&gt;"&amp;Y610)+COUNTIFS($Y$5:Y610,Y610))</f>
        <v>0</v>
      </c>
      <c r="AL610" s="39">
        <f>IF(B610="","",IF(H610="","Add - what kind of sale is this?",IF(IF(V610&lt;=0,P610="",FALSE),"Check - no price found for this item",IF(F610="","Assign - nobody credited",IF(AH610&gt;0.004,"Unpaid - balance outstanding",IF(AC610&lt;0,"Loss - sold below cost",IF(X610&gt;W610*0.5,"Check - more than half off","OK")))))))</f>
        <v>0</v>
      </c>
    </row>
    <row r="611" spans="1:38">
      <c r="A611" s="28">
        <f>IF(B611="","",SalePrefix&amp;TEXT(ROW()-4,"0000"))</f>
        <v>0</v>
      </c>
      <c r="E611" s="15">
        <f>IF(D611="","",IFERROR(INDEX(Clients!$B$5:$B$504,MATCH(D611,Clients!$A$5:$A$504,0)),"Walk-in"))</f>
        <v>0</v>
      </c>
      <c r="G611" s="15">
        <f>IF(F611="","",IFERROR(INDEX(Staff!$B$5:$B$44,MATCH(F611,Staff!$A$5:$A$44,0)),"House"))</f>
        <v>0</v>
      </c>
      <c r="R611" s="15">
        <f>IF(B611="","",TEXT(B611,"yyyy-mm"))</f>
        <v>0</v>
      </c>
      <c r="S611" s="25">
        <f>IF(B611="","",WEEKNUM(B611,2))</f>
        <v>0</v>
      </c>
      <c r="T611" s="37">
        <f>IF(B611="","",IF(K611="",1,K611))</f>
        <v>0</v>
      </c>
      <c r="U611" s="15">
        <f>IF(B611="","",IF(J611&lt;&gt;"",J611,IF(H611="Retail",IFERROR(INDEX(Inventory!$B$5:$B$304,MATCH(I611,Inventory!$A$5:$A$304,0))&amp;"","Not in Inventory"),IFERROR(INDEX(Services!$B$5:$B$204,MATCH(I611,Services!$A$5:$A$204,0))&amp;"","Not in Services"))))</f>
        <v>0</v>
      </c>
      <c r="V611" s="26">
        <f>IF(B611="","",IF(L611&lt;&gt;"",L611,IF(H611="Retail",IFERROR(INDEX(Inventory!$I$5:$I$304,MATCH(I611,Inventory!$A$5:$A$304,0))*1,0),IFERROR(INDEX(Services!$G$5:$G$204,MATCH(I611,Services!$A$5:$A$204,0))*1,0))))</f>
        <v>0</v>
      </c>
      <c r="W611" s="26">
        <f>IF(B611="","",ROUND(T611*V611,2))</f>
        <v>0</v>
      </c>
      <c r="X611" s="26">
        <f>IF(B611="","",ROUND(IF(M611="",0,W611*M611)+IF(N611="",0,N611),2))</f>
        <v>0</v>
      </c>
      <c r="Y611" s="26">
        <f>IF(B611="","",ROUND(W611-X611-IF(P611="",0,P611),2))</f>
        <v>0</v>
      </c>
      <c r="Z611" s="26">
        <f>IF(B611="","",IF(H611="Retail",IF(TaxOnRetail="Yes",ROUND(Y611*TaxRate,2),0),IF(H611="Service",IF(TaxOnServices="Yes",ROUND(Y611*TaxRate,2),0),0)))</f>
        <v>0</v>
      </c>
      <c r="AA611" s="26">
        <f>IF(B611="","",ROUND(Y611+Z611,2))</f>
        <v>0</v>
      </c>
      <c r="AB611" s="26">
        <f>IF(B611="","",ROUND(T611*IF(H611="Retail",IFERROR(INDEX(Inventory!$H$5:$H$304,MATCH(I611,Inventory!$A$5:$A$304,0))*1,0),IFERROR(INDEX(Services!$Q$5:$Q$204,MATCH(I611,Services!$A$5:$A$204,0))*1,0)),2))</f>
        <v>0</v>
      </c>
      <c r="AC611" s="26">
        <f>IF(B611="","",ROUND(Y611-AB611,2))</f>
        <v>0</v>
      </c>
      <c r="AD611" s="38">
        <f>IF(B611="","",IF(C611="","No",IF(COUNTIFS($C$5:C611,C611)=1,"Yes","No")))</f>
        <v>0</v>
      </c>
      <c r="AE611" s="26">
        <f>IF(B611="","",ROUND(SUMIFS(Payments!$G$5:$G$1204,Payments!$H$5:$H$1204,A611,Payments!$Q$5:$Q$1204,"Yes"),2))</f>
        <v>0</v>
      </c>
      <c r="AF611" s="26">
        <f>IF(B611="","",IF(AD611="No",0,ROUND(SUMIFS(Payments!$G$5:$G$1204,Payments!$I$5:$I$1204,C611,Payments!$H$5:$H$1204,"",Payments!$Q$5:$Q$1204,"Yes"),2)))</f>
        <v>0</v>
      </c>
      <c r="AG611" s="26">
        <f>IF(B611="","",ROUND(AE611+AF611,2))</f>
        <v>0</v>
      </c>
      <c r="AH611" s="26">
        <f>IF(B611="","",ROUND(AA611-AG611,2))</f>
        <v>0</v>
      </c>
      <c r="AI611" s="39">
        <f>IF(B611="","",IF(AA611&lt;=0,"No charge",IF(AH611&lt;=0.004,"Paid",IF(AG611&lt;=0.004,"Unpaid","Part paid"))))</f>
        <v>0</v>
      </c>
      <c r="AJ611" s="38">
        <f>IF(B611="","",IF(H611&lt;&gt;"Service","",IF(D611="","No",IF(COUNTIFS($D$5:$D$1204,D611,$B$5:$B$1204,B611,$H$5:$H$1204,"Retail")&gt;0,"Yes","No"))))</f>
        <v>0</v>
      </c>
      <c r="AK611" s="25">
        <f>IF(B611="","",COUNTIFS($Y$5:$Y$1204,"&gt;"&amp;Y611)+COUNTIFS($Y$5:Y611,Y611))</f>
        <v>0</v>
      </c>
      <c r="AL611" s="39">
        <f>IF(B611="","",IF(H611="","Add - what kind of sale is this?",IF(IF(V611&lt;=0,P611="",FALSE),"Check - no price found for this item",IF(F611="","Assign - nobody credited",IF(AH611&gt;0.004,"Unpaid - balance outstanding",IF(AC611&lt;0,"Loss - sold below cost",IF(X611&gt;W611*0.5,"Check - more than half off","OK")))))))</f>
        <v>0</v>
      </c>
    </row>
    <row r="612" spans="1:38">
      <c r="A612" s="28">
        <f>IF(B612="","",SalePrefix&amp;TEXT(ROW()-4,"0000"))</f>
        <v>0</v>
      </c>
      <c r="E612" s="15">
        <f>IF(D612="","",IFERROR(INDEX(Clients!$B$5:$B$504,MATCH(D612,Clients!$A$5:$A$504,0)),"Walk-in"))</f>
        <v>0</v>
      </c>
      <c r="G612" s="15">
        <f>IF(F612="","",IFERROR(INDEX(Staff!$B$5:$B$44,MATCH(F612,Staff!$A$5:$A$44,0)),"House"))</f>
        <v>0</v>
      </c>
      <c r="R612" s="15">
        <f>IF(B612="","",TEXT(B612,"yyyy-mm"))</f>
        <v>0</v>
      </c>
      <c r="S612" s="25">
        <f>IF(B612="","",WEEKNUM(B612,2))</f>
        <v>0</v>
      </c>
      <c r="T612" s="37">
        <f>IF(B612="","",IF(K612="",1,K612))</f>
        <v>0</v>
      </c>
      <c r="U612" s="15">
        <f>IF(B612="","",IF(J612&lt;&gt;"",J612,IF(H612="Retail",IFERROR(INDEX(Inventory!$B$5:$B$304,MATCH(I612,Inventory!$A$5:$A$304,0))&amp;"","Not in Inventory"),IFERROR(INDEX(Services!$B$5:$B$204,MATCH(I612,Services!$A$5:$A$204,0))&amp;"","Not in Services"))))</f>
        <v>0</v>
      </c>
      <c r="V612" s="26">
        <f>IF(B612="","",IF(L612&lt;&gt;"",L612,IF(H612="Retail",IFERROR(INDEX(Inventory!$I$5:$I$304,MATCH(I612,Inventory!$A$5:$A$304,0))*1,0),IFERROR(INDEX(Services!$G$5:$G$204,MATCH(I612,Services!$A$5:$A$204,0))*1,0))))</f>
        <v>0</v>
      </c>
      <c r="W612" s="26">
        <f>IF(B612="","",ROUND(T612*V612,2))</f>
        <v>0</v>
      </c>
      <c r="X612" s="26">
        <f>IF(B612="","",ROUND(IF(M612="",0,W612*M612)+IF(N612="",0,N612),2))</f>
        <v>0</v>
      </c>
      <c r="Y612" s="26">
        <f>IF(B612="","",ROUND(W612-X612-IF(P612="",0,P612),2))</f>
        <v>0</v>
      </c>
      <c r="Z612" s="26">
        <f>IF(B612="","",IF(H612="Retail",IF(TaxOnRetail="Yes",ROUND(Y612*TaxRate,2),0),IF(H612="Service",IF(TaxOnServices="Yes",ROUND(Y612*TaxRate,2),0),0)))</f>
        <v>0</v>
      </c>
      <c r="AA612" s="26">
        <f>IF(B612="","",ROUND(Y612+Z612,2))</f>
        <v>0</v>
      </c>
      <c r="AB612" s="26">
        <f>IF(B612="","",ROUND(T612*IF(H612="Retail",IFERROR(INDEX(Inventory!$H$5:$H$304,MATCH(I612,Inventory!$A$5:$A$304,0))*1,0),IFERROR(INDEX(Services!$Q$5:$Q$204,MATCH(I612,Services!$A$5:$A$204,0))*1,0)),2))</f>
        <v>0</v>
      </c>
      <c r="AC612" s="26">
        <f>IF(B612="","",ROUND(Y612-AB612,2))</f>
        <v>0</v>
      </c>
      <c r="AD612" s="38">
        <f>IF(B612="","",IF(C612="","No",IF(COUNTIFS($C$5:C612,C612)=1,"Yes","No")))</f>
        <v>0</v>
      </c>
      <c r="AE612" s="26">
        <f>IF(B612="","",ROUND(SUMIFS(Payments!$G$5:$G$1204,Payments!$H$5:$H$1204,A612,Payments!$Q$5:$Q$1204,"Yes"),2))</f>
        <v>0</v>
      </c>
      <c r="AF612" s="26">
        <f>IF(B612="","",IF(AD612="No",0,ROUND(SUMIFS(Payments!$G$5:$G$1204,Payments!$I$5:$I$1204,C612,Payments!$H$5:$H$1204,"",Payments!$Q$5:$Q$1204,"Yes"),2)))</f>
        <v>0</v>
      </c>
      <c r="AG612" s="26">
        <f>IF(B612="","",ROUND(AE612+AF612,2))</f>
        <v>0</v>
      </c>
      <c r="AH612" s="26">
        <f>IF(B612="","",ROUND(AA612-AG612,2))</f>
        <v>0</v>
      </c>
      <c r="AI612" s="39">
        <f>IF(B612="","",IF(AA612&lt;=0,"No charge",IF(AH612&lt;=0.004,"Paid",IF(AG612&lt;=0.004,"Unpaid","Part paid"))))</f>
        <v>0</v>
      </c>
      <c r="AJ612" s="38">
        <f>IF(B612="","",IF(H612&lt;&gt;"Service","",IF(D612="","No",IF(COUNTIFS($D$5:$D$1204,D612,$B$5:$B$1204,B612,$H$5:$H$1204,"Retail")&gt;0,"Yes","No"))))</f>
        <v>0</v>
      </c>
      <c r="AK612" s="25">
        <f>IF(B612="","",COUNTIFS($Y$5:$Y$1204,"&gt;"&amp;Y612)+COUNTIFS($Y$5:Y612,Y612))</f>
        <v>0</v>
      </c>
      <c r="AL612" s="39">
        <f>IF(B612="","",IF(H612="","Add - what kind of sale is this?",IF(IF(V612&lt;=0,P612="",FALSE),"Check - no price found for this item",IF(F612="","Assign - nobody credited",IF(AH612&gt;0.004,"Unpaid - balance outstanding",IF(AC612&lt;0,"Loss - sold below cost",IF(X612&gt;W612*0.5,"Check - more than half off","OK")))))))</f>
        <v>0</v>
      </c>
    </row>
    <row r="613" spans="1:38">
      <c r="A613" s="28">
        <f>IF(B613="","",SalePrefix&amp;TEXT(ROW()-4,"0000"))</f>
        <v>0</v>
      </c>
      <c r="E613" s="15">
        <f>IF(D613="","",IFERROR(INDEX(Clients!$B$5:$B$504,MATCH(D613,Clients!$A$5:$A$504,0)),"Walk-in"))</f>
        <v>0</v>
      </c>
      <c r="G613" s="15">
        <f>IF(F613="","",IFERROR(INDEX(Staff!$B$5:$B$44,MATCH(F613,Staff!$A$5:$A$44,0)),"House"))</f>
        <v>0</v>
      </c>
      <c r="R613" s="15">
        <f>IF(B613="","",TEXT(B613,"yyyy-mm"))</f>
        <v>0</v>
      </c>
      <c r="S613" s="25">
        <f>IF(B613="","",WEEKNUM(B613,2))</f>
        <v>0</v>
      </c>
      <c r="T613" s="37">
        <f>IF(B613="","",IF(K613="",1,K613))</f>
        <v>0</v>
      </c>
      <c r="U613" s="15">
        <f>IF(B613="","",IF(J613&lt;&gt;"",J613,IF(H613="Retail",IFERROR(INDEX(Inventory!$B$5:$B$304,MATCH(I613,Inventory!$A$5:$A$304,0))&amp;"","Not in Inventory"),IFERROR(INDEX(Services!$B$5:$B$204,MATCH(I613,Services!$A$5:$A$204,0))&amp;"","Not in Services"))))</f>
        <v>0</v>
      </c>
      <c r="V613" s="26">
        <f>IF(B613="","",IF(L613&lt;&gt;"",L613,IF(H613="Retail",IFERROR(INDEX(Inventory!$I$5:$I$304,MATCH(I613,Inventory!$A$5:$A$304,0))*1,0),IFERROR(INDEX(Services!$G$5:$G$204,MATCH(I613,Services!$A$5:$A$204,0))*1,0))))</f>
        <v>0</v>
      </c>
      <c r="W613" s="26">
        <f>IF(B613="","",ROUND(T613*V613,2))</f>
        <v>0</v>
      </c>
      <c r="X613" s="26">
        <f>IF(B613="","",ROUND(IF(M613="",0,W613*M613)+IF(N613="",0,N613),2))</f>
        <v>0</v>
      </c>
      <c r="Y613" s="26">
        <f>IF(B613="","",ROUND(W613-X613-IF(P613="",0,P613),2))</f>
        <v>0</v>
      </c>
      <c r="Z613" s="26">
        <f>IF(B613="","",IF(H613="Retail",IF(TaxOnRetail="Yes",ROUND(Y613*TaxRate,2),0),IF(H613="Service",IF(TaxOnServices="Yes",ROUND(Y613*TaxRate,2),0),0)))</f>
        <v>0</v>
      </c>
      <c r="AA613" s="26">
        <f>IF(B613="","",ROUND(Y613+Z613,2))</f>
        <v>0</v>
      </c>
      <c r="AB613" s="26">
        <f>IF(B613="","",ROUND(T613*IF(H613="Retail",IFERROR(INDEX(Inventory!$H$5:$H$304,MATCH(I613,Inventory!$A$5:$A$304,0))*1,0),IFERROR(INDEX(Services!$Q$5:$Q$204,MATCH(I613,Services!$A$5:$A$204,0))*1,0)),2))</f>
        <v>0</v>
      </c>
      <c r="AC613" s="26">
        <f>IF(B613="","",ROUND(Y613-AB613,2))</f>
        <v>0</v>
      </c>
      <c r="AD613" s="38">
        <f>IF(B613="","",IF(C613="","No",IF(COUNTIFS($C$5:C613,C613)=1,"Yes","No")))</f>
        <v>0</v>
      </c>
      <c r="AE613" s="26">
        <f>IF(B613="","",ROUND(SUMIFS(Payments!$G$5:$G$1204,Payments!$H$5:$H$1204,A613,Payments!$Q$5:$Q$1204,"Yes"),2))</f>
        <v>0</v>
      </c>
      <c r="AF613" s="26">
        <f>IF(B613="","",IF(AD613="No",0,ROUND(SUMIFS(Payments!$G$5:$G$1204,Payments!$I$5:$I$1204,C613,Payments!$H$5:$H$1204,"",Payments!$Q$5:$Q$1204,"Yes"),2)))</f>
        <v>0</v>
      </c>
      <c r="AG613" s="26">
        <f>IF(B613="","",ROUND(AE613+AF613,2))</f>
        <v>0</v>
      </c>
      <c r="AH613" s="26">
        <f>IF(B613="","",ROUND(AA613-AG613,2))</f>
        <v>0</v>
      </c>
      <c r="AI613" s="39">
        <f>IF(B613="","",IF(AA613&lt;=0,"No charge",IF(AH613&lt;=0.004,"Paid",IF(AG613&lt;=0.004,"Unpaid","Part paid"))))</f>
        <v>0</v>
      </c>
      <c r="AJ613" s="38">
        <f>IF(B613="","",IF(H613&lt;&gt;"Service","",IF(D613="","No",IF(COUNTIFS($D$5:$D$1204,D613,$B$5:$B$1204,B613,$H$5:$H$1204,"Retail")&gt;0,"Yes","No"))))</f>
        <v>0</v>
      </c>
      <c r="AK613" s="25">
        <f>IF(B613="","",COUNTIFS($Y$5:$Y$1204,"&gt;"&amp;Y613)+COUNTIFS($Y$5:Y613,Y613))</f>
        <v>0</v>
      </c>
      <c r="AL613" s="39">
        <f>IF(B613="","",IF(H613="","Add - what kind of sale is this?",IF(IF(V613&lt;=0,P613="",FALSE),"Check - no price found for this item",IF(F613="","Assign - nobody credited",IF(AH613&gt;0.004,"Unpaid - balance outstanding",IF(AC613&lt;0,"Loss - sold below cost",IF(X613&gt;W613*0.5,"Check - more than half off","OK")))))))</f>
        <v>0</v>
      </c>
    </row>
    <row r="614" spans="1:38">
      <c r="A614" s="28">
        <f>IF(B614="","",SalePrefix&amp;TEXT(ROW()-4,"0000"))</f>
        <v>0</v>
      </c>
      <c r="E614" s="15">
        <f>IF(D614="","",IFERROR(INDEX(Clients!$B$5:$B$504,MATCH(D614,Clients!$A$5:$A$504,0)),"Walk-in"))</f>
        <v>0</v>
      </c>
      <c r="G614" s="15">
        <f>IF(F614="","",IFERROR(INDEX(Staff!$B$5:$B$44,MATCH(F614,Staff!$A$5:$A$44,0)),"House"))</f>
        <v>0</v>
      </c>
      <c r="R614" s="15">
        <f>IF(B614="","",TEXT(B614,"yyyy-mm"))</f>
        <v>0</v>
      </c>
      <c r="S614" s="25">
        <f>IF(B614="","",WEEKNUM(B614,2))</f>
        <v>0</v>
      </c>
      <c r="T614" s="37">
        <f>IF(B614="","",IF(K614="",1,K614))</f>
        <v>0</v>
      </c>
      <c r="U614" s="15">
        <f>IF(B614="","",IF(J614&lt;&gt;"",J614,IF(H614="Retail",IFERROR(INDEX(Inventory!$B$5:$B$304,MATCH(I614,Inventory!$A$5:$A$304,0))&amp;"","Not in Inventory"),IFERROR(INDEX(Services!$B$5:$B$204,MATCH(I614,Services!$A$5:$A$204,0))&amp;"","Not in Services"))))</f>
        <v>0</v>
      </c>
      <c r="V614" s="26">
        <f>IF(B614="","",IF(L614&lt;&gt;"",L614,IF(H614="Retail",IFERROR(INDEX(Inventory!$I$5:$I$304,MATCH(I614,Inventory!$A$5:$A$304,0))*1,0),IFERROR(INDEX(Services!$G$5:$G$204,MATCH(I614,Services!$A$5:$A$204,0))*1,0))))</f>
        <v>0</v>
      </c>
      <c r="W614" s="26">
        <f>IF(B614="","",ROUND(T614*V614,2))</f>
        <v>0</v>
      </c>
      <c r="X614" s="26">
        <f>IF(B614="","",ROUND(IF(M614="",0,W614*M614)+IF(N614="",0,N614),2))</f>
        <v>0</v>
      </c>
      <c r="Y614" s="26">
        <f>IF(B614="","",ROUND(W614-X614-IF(P614="",0,P614),2))</f>
        <v>0</v>
      </c>
      <c r="Z614" s="26">
        <f>IF(B614="","",IF(H614="Retail",IF(TaxOnRetail="Yes",ROUND(Y614*TaxRate,2),0),IF(H614="Service",IF(TaxOnServices="Yes",ROUND(Y614*TaxRate,2),0),0)))</f>
        <v>0</v>
      </c>
      <c r="AA614" s="26">
        <f>IF(B614="","",ROUND(Y614+Z614,2))</f>
        <v>0</v>
      </c>
      <c r="AB614" s="26">
        <f>IF(B614="","",ROUND(T614*IF(H614="Retail",IFERROR(INDEX(Inventory!$H$5:$H$304,MATCH(I614,Inventory!$A$5:$A$304,0))*1,0),IFERROR(INDEX(Services!$Q$5:$Q$204,MATCH(I614,Services!$A$5:$A$204,0))*1,0)),2))</f>
        <v>0</v>
      </c>
      <c r="AC614" s="26">
        <f>IF(B614="","",ROUND(Y614-AB614,2))</f>
        <v>0</v>
      </c>
      <c r="AD614" s="38">
        <f>IF(B614="","",IF(C614="","No",IF(COUNTIFS($C$5:C614,C614)=1,"Yes","No")))</f>
        <v>0</v>
      </c>
      <c r="AE614" s="26">
        <f>IF(B614="","",ROUND(SUMIFS(Payments!$G$5:$G$1204,Payments!$H$5:$H$1204,A614,Payments!$Q$5:$Q$1204,"Yes"),2))</f>
        <v>0</v>
      </c>
      <c r="AF614" s="26">
        <f>IF(B614="","",IF(AD614="No",0,ROUND(SUMIFS(Payments!$G$5:$G$1204,Payments!$I$5:$I$1204,C614,Payments!$H$5:$H$1204,"",Payments!$Q$5:$Q$1204,"Yes"),2)))</f>
        <v>0</v>
      </c>
      <c r="AG614" s="26">
        <f>IF(B614="","",ROUND(AE614+AF614,2))</f>
        <v>0</v>
      </c>
      <c r="AH614" s="26">
        <f>IF(B614="","",ROUND(AA614-AG614,2))</f>
        <v>0</v>
      </c>
      <c r="AI614" s="39">
        <f>IF(B614="","",IF(AA614&lt;=0,"No charge",IF(AH614&lt;=0.004,"Paid",IF(AG614&lt;=0.004,"Unpaid","Part paid"))))</f>
        <v>0</v>
      </c>
      <c r="AJ614" s="38">
        <f>IF(B614="","",IF(H614&lt;&gt;"Service","",IF(D614="","No",IF(COUNTIFS($D$5:$D$1204,D614,$B$5:$B$1204,B614,$H$5:$H$1204,"Retail")&gt;0,"Yes","No"))))</f>
        <v>0</v>
      </c>
      <c r="AK614" s="25">
        <f>IF(B614="","",COUNTIFS($Y$5:$Y$1204,"&gt;"&amp;Y614)+COUNTIFS($Y$5:Y614,Y614))</f>
        <v>0</v>
      </c>
      <c r="AL614" s="39">
        <f>IF(B614="","",IF(H614="","Add - what kind of sale is this?",IF(IF(V614&lt;=0,P614="",FALSE),"Check - no price found for this item",IF(F614="","Assign - nobody credited",IF(AH614&gt;0.004,"Unpaid - balance outstanding",IF(AC614&lt;0,"Loss - sold below cost",IF(X614&gt;W614*0.5,"Check - more than half off","OK")))))))</f>
        <v>0</v>
      </c>
    </row>
    <row r="615" spans="1:38">
      <c r="A615" s="28">
        <f>IF(B615="","",SalePrefix&amp;TEXT(ROW()-4,"0000"))</f>
        <v>0</v>
      </c>
      <c r="E615" s="15">
        <f>IF(D615="","",IFERROR(INDEX(Clients!$B$5:$B$504,MATCH(D615,Clients!$A$5:$A$504,0)),"Walk-in"))</f>
        <v>0</v>
      </c>
      <c r="G615" s="15">
        <f>IF(F615="","",IFERROR(INDEX(Staff!$B$5:$B$44,MATCH(F615,Staff!$A$5:$A$44,0)),"House"))</f>
        <v>0</v>
      </c>
      <c r="R615" s="15">
        <f>IF(B615="","",TEXT(B615,"yyyy-mm"))</f>
        <v>0</v>
      </c>
      <c r="S615" s="25">
        <f>IF(B615="","",WEEKNUM(B615,2))</f>
        <v>0</v>
      </c>
      <c r="T615" s="37">
        <f>IF(B615="","",IF(K615="",1,K615))</f>
        <v>0</v>
      </c>
      <c r="U615" s="15">
        <f>IF(B615="","",IF(J615&lt;&gt;"",J615,IF(H615="Retail",IFERROR(INDEX(Inventory!$B$5:$B$304,MATCH(I615,Inventory!$A$5:$A$304,0))&amp;"","Not in Inventory"),IFERROR(INDEX(Services!$B$5:$B$204,MATCH(I615,Services!$A$5:$A$204,0))&amp;"","Not in Services"))))</f>
        <v>0</v>
      </c>
      <c r="V615" s="26">
        <f>IF(B615="","",IF(L615&lt;&gt;"",L615,IF(H615="Retail",IFERROR(INDEX(Inventory!$I$5:$I$304,MATCH(I615,Inventory!$A$5:$A$304,0))*1,0),IFERROR(INDEX(Services!$G$5:$G$204,MATCH(I615,Services!$A$5:$A$204,0))*1,0))))</f>
        <v>0</v>
      </c>
      <c r="W615" s="26">
        <f>IF(B615="","",ROUND(T615*V615,2))</f>
        <v>0</v>
      </c>
      <c r="X615" s="26">
        <f>IF(B615="","",ROUND(IF(M615="",0,W615*M615)+IF(N615="",0,N615),2))</f>
        <v>0</v>
      </c>
      <c r="Y615" s="26">
        <f>IF(B615="","",ROUND(W615-X615-IF(P615="",0,P615),2))</f>
        <v>0</v>
      </c>
      <c r="Z615" s="26">
        <f>IF(B615="","",IF(H615="Retail",IF(TaxOnRetail="Yes",ROUND(Y615*TaxRate,2),0),IF(H615="Service",IF(TaxOnServices="Yes",ROUND(Y615*TaxRate,2),0),0)))</f>
        <v>0</v>
      </c>
      <c r="AA615" s="26">
        <f>IF(B615="","",ROUND(Y615+Z615,2))</f>
        <v>0</v>
      </c>
      <c r="AB615" s="26">
        <f>IF(B615="","",ROUND(T615*IF(H615="Retail",IFERROR(INDEX(Inventory!$H$5:$H$304,MATCH(I615,Inventory!$A$5:$A$304,0))*1,0),IFERROR(INDEX(Services!$Q$5:$Q$204,MATCH(I615,Services!$A$5:$A$204,0))*1,0)),2))</f>
        <v>0</v>
      </c>
      <c r="AC615" s="26">
        <f>IF(B615="","",ROUND(Y615-AB615,2))</f>
        <v>0</v>
      </c>
      <c r="AD615" s="38">
        <f>IF(B615="","",IF(C615="","No",IF(COUNTIFS($C$5:C615,C615)=1,"Yes","No")))</f>
        <v>0</v>
      </c>
      <c r="AE615" s="26">
        <f>IF(B615="","",ROUND(SUMIFS(Payments!$G$5:$G$1204,Payments!$H$5:$H$1204,A615,Payments!$Q$5:$Q$1204,"Yes"),2))</f>
        <v>0</v>
      </c>
      <c r="AF615" s="26">
        <f>IF(B615="","",IF(AD615="No",0,ROUND(SUMIFS(Payments!$G$5:$G$1204,Payments!$I$5:$I$1204,C615,Payments!$H$5:$H$1204,"",Payments!$Q$5:$Q$1204,"Yes"),2)))</f>
        <v>0</v>
      </c>
      <c r="AG615" s="26">
        <f>IF(B615="","",ROUND(AE615+AF615,2))</f>
        <v>0</v>
      </c>
      <c r="AH615" s="26">
        <f>IF(B615="","",ROUND(AA615-AG615,2))</f>
        <v>0</v>
      </c>
      <c r="AI615" s="39">
        <f>IF(B615="","",IF(AA615&lt;=0,"No charge",IF(AH615&lt;=0.004,"Paid",IF(AG615&lt;=0.004,"Unpaid","Part paid"))))</f>
        <v>0</v>
      </c>
      <c r="AJ615" s="38">
        <f>IF(B615="","",IF(H615&lt;&gt;"Service","",IF(D615="","No",IF(COUNTIFS($D$5:$D$1204,D615,$B$5:$B$1204,B615,$H$5:$H$1204,"Retail")&gt;0,"Yes","No"))))</f>
        <v>0</v>
      </c>
      <c r="AK615" s="25">
        <f>IF(B615="","",COUNTIFS($Y$5:$Y$1204,"&gt;"&amp;Y615)+COUNTIFS($Y$5:Y615,Y615))</f>
        <v>0</v>
      </c>
      <c r="AL615" s="39">
        <f>IF(B615="","",IF(H615="","Add - what kind of sale is this?",IF(IF(V615&lt;=0,P615="",FALSE),"Check - no price found for this item",IF(F615="","Assign - nobody credited",IF(AH615&gt;0.004,"Unpaid - balance outstanding",IF(AC615&lt;0,"Loss - sold below cost",IF(X615&gt;W615*0.5,"Check - more than half off","OK")))))))</f>
        <v>0</v>
      </c>
    </row>
    <row r="616" spans="1:38">
      <c r="A616" s="28">
        <f>IF(B616="","",SalePrefix&amp;TEXT(ROW()-4,"0000"))</f>
        <v>0</v>
      </c>
      <c r="E616" s="15">
        <f>IF(D616="","",IFERROR(INDEX(Clients!$B$5:$B$504,MATCH(D616,Clients!$A$5:$A$504,0)),"Walk-in"))</f>
        <v>0</v>
      </c>
      <c r="G616" s="15">
        <f>IF(F616="","",IFERROR(INDEX(Staff!$B$5:$B$44,MATCH(F616,Staff!$A$5:$A$44,0)),"House"))</f>
        <v>0</v>
      </c>
      <c r="R616" s="15">
        <f>IF(B616="","",TEXT(B616,"yyyy-mm"))</f>
        <v>0</v>
      </c>
      <c r="S616" s="25">
        <f>IF(B616="","",WEEKNUM(B616,2))</f>
        <v>0</v>
      </c>
      <c r="T616" s="37">
        <f>IF(B616="","",IF(K616="",1,K616))</f>
        <v>0</v>
      </c>
      <c r="U616" s="15">
        <f>IF(B616="","",IF(J616&lt;&gt;"",J616,IF(H616="Retail",IFERROR(INDEX(Inventory!$B$5:$B$304,MATCH(I616,Inventory!$A$5:$A$304,0))&amp;"","Not in Inventory"),IFERROR(INDEX(Services!$B$5:$B$204,MATCH(I616,Services!$A$5:$A$204,0))&amp;"","Not in Services"))))</f>
        <v>0</v>
      </c>
      <c r="V616" s="26">
        <f>IF(B616="","",IF(L616&lt;&gt;"",L616,IF(H616="Retail",IFERROR(INDEX(Inventory!$I$5:$I$304,MATCH(I616,Inventory!$A$5:$A$304,0))*1,0),IFERROR(INDEX(Services!$G$5:$G$204,MATCH(I616,Services!$A$5:$A$204,0))*1,0))))</f>
        <v>0</v>
      </c>
      <c r="W616" s="26">
        <f>IF(B616="","",ROUND(T616*V616,2))</f>
        <v>0</v>
      </c>
      <c r="X616" s="26">
        <f>IF(B616="","",ROUND(IF(M616="",0,W616*M616)+IF(N616="",0,N616),2))</f>
        <v>0</v>
      </c>
      <c r="Y616" s="26">
        <f>IF(B616="","",ROUND(W616-X616-IF(P616="",0,P616),2))</f>
        <v>0</v>
      </c>
      <c r="Z616" s="26">
        <f>IF(B616="","",IF(H616="Retail",IF(TaxOnRetail="Yes",ROUND(Y616*TaxRate,2),0),IF(H616="Service",IF(TaxOnServices="Yes",ROUND(Y616*TaxRate,2),0),0)))</f>
        <v>0</v>
      </c>
      <c r="AA616" s="26">
        <f>IF(B616="","",ROUND(Y616+Z616,2))</f>
        <v>0</v>
      </c>
      <c r="AB616" s="26">
        <f>IF(B616="","",ROUND(T616*IF(H616="Retail",IFERROR(INDEX(Inventory!$H$5:$H$304,MATCH(I616,Inventory!$A$5:$A$304,0))*1,0),IFERROR(INDEX(Services!$Q$5:$Q$204,MATCH(I616,Services!$A$5:$A$204,0))*1,0)),2))</f>
        <v>0</v>
      </c>
      <c r="AC616" s="26">
        <f>IF(B616="","",ROUND(Y616-AB616,2))</f>
        <v>0</v>
      </c>
      <c r="AD616" s="38">
        <f>IF(B616="","",IF(C616="","No",IF(COUNTIFS($C$5:C616,C616)=1,"Yes","No")))</f>
        <v>0</v>
      </c>
      <c r="AE616" s="26">
        <f>IF(B616="","",ROUND(SUMIFS(Payments!$G$5:$G$1204,Payments!$H$5:$H$1204,A616,Payments!$Q$5:$Q$1204,"Yes"),2))</f>
        <v>0</v>
      </c>
      <c r="AF616" s="26">
        <f>IF(B616="","",IF(AD616="No",0,ROUND(SUMIFS(Payments!$G$5:$G$1204,Payments!$I$5:$I$1204,C616,Payments!$H$5:$H$1204,"",Payments!$Q$5:$Q$1204,"Yes"),2)))</f>
        <v>0</v>
      </c>
      <c r="AG616" s="26">
        <f>IF(B616="","",ROUND(AE616+AF616,2))</f>
        <v>0</v>
      </c>
      <c r="AH616" s="26">
        <f>IF(B616="","",ROUND(AA616-AG616,2))</f>
        <v>0</v>
      </c>
      <c r="AI616" s="39">
        <f>IF(B616="","",IF(AA616&lt;=0,"No charge",IF(AH616&lt;=0.004,"Paid",IF(AG616&lt;=0.004,"Unpaid","Part paid"))))</f>
        <v>0</v>
      </c>
      <c r="AJ616" s="38">
        <f>IF(B616="","",IF(H616&lt;&gt;"Service","",IF(D616="","No",IF(COUNTIFS($D$5:$D$1204,D616,$B$5:$B$1204,B616,$H$5:$H$1204,"Retail")&gt;0,"Yes","No"))))</f>
        <v>0</v>
      </c>
      <c r="AK616" s="25">
        <f>IF(B616="","",COUNTIFS($Y$5:$Y$1204,"&gt;"&amp;Y616)+COUNTIFS($Y$5:Y616,Y616))</f>
        <v>0</v>
      </c>
      <c r="AL616" s="39">
        <f>IF(B616="","",IF(H616="","Add - what kind of sale is this?",IF(IF(V616&lt;=0,P616="",FALSE),"Check - no price found for this item",IF(F616="","Assign - nobody credited",IF(AH616&gt;0.004,"Unpaid - balance outstanding",IF(AC616&lt;0,"Loss - sold below cost",IF(X616&gt;W616*0.5,"Check - more than half off","OK")))))))</f>
        <v>0</v>
      </c>
    </row>
    <row r="617" spans="1:38">
      <c r="A617" s="28">
        <f>IF(B617="","",SalePrefix&amp;TEXT(ROW()-4,"0000"))</f>
        <v>0</v>
      </c>
      <c r="E617" s="15">
        <f>IF(D617="","",IFERROR(INDEX(Clients!$B$5:$B$504,MATCH(D617,Clients!$A$5:$A$504,0)),"Walk-in"))</f>
        <v>0</v>
      </c>
      <c r="G617" s="15">
        <f>IF(F617="","",IFERROR(INDEX(Staff!$B$5:$B$44,MATCH(F617,Staff!$A$5:$A$44,0)),"House"))</f>
        <v>0</v>
      </c>
      <c r="R617" s="15">
        <f>IF(B617="","",TEXT(B617,"yyyy-mm"))</f>
        <v>0</v>
      </c>
      <c r="S617" s="25">
        <f>IF(B617="","",WEEKNUM(B617,2))</f>
        <v>0</v>
      </c>
      <c r="T617" s="37">
        <f>IF(B617="","",IF(K617="",1,K617))</f>
        <v>0</v>
      </c>
      <c r="U617" s="15">
        <f>IF(B617="","",IF(J617&lt;&gt;"",J617,IF(H617="Retail",IFERROR(INDEX(Inventory!$B$5:$B$304,MATCH(I617,Inventory!$A$5:$A$304,0))&amp;"","Not in Inventory"),IFERROR(INDEX(Services!$B$5:$B$204,MATCH(I617,Services!$A$5:$A$204,0))&amp;"","Not in Services"))))</f>
        <v>0</v>
      </c>
      <c r="V617" s="26">
        <f>IF(B617="","",IF(L617&lt;&gt;"",L617,IF(H617="Retail",IFERROR(INDEX(Inventory!$I$5:$I$304,MATCH(I617,Inventory!$A$5:$A$304,0))*1,0),IFERROR(INDEX(Services!$G$5:$G$204,MATCH(I617,Services!$A$5:$A$204,0))*1,0))))</f>
        <v>0</v>
      </c>
      <c r="W617" s="26">
        <f>IF(B617="","",ROUND(T617*V617,2))</f>
        <v>0</v>
      </c>
      <c r="X617" s="26">
        <f>IF(B617="","",ROUND(IF(M617="",0,W617*M617)+IF(N617="",0,N617),2))</f>
        <v>0</v>
      </c>
      <c r="Y617" s="26">
        <f>IF(B617="","",ROUND(W617-X617-IF(P617="",0,P617),2))</f>
        <v>0</v>
      </c>
      <c r="Z617" s="26">
        <f>IF(B617="","",IF(H617="Retail",IF(TaxOnRetail="Yes",ROUND(Y617*TaxRate,2),0),IF(H617="Service",IF(TaxOnServices="Yes",ROUND(Y617*TaxRate,2),0),0)))</f>
        <v>0</v>
      </c>
      <c r="AA617" s="26">
        <f>IF(B617="","",ROUND(Y617+Z617,2))</f>
        <v>0</v>
      </c>
      <c r="AB617" s="26">
        <f>IF(B617="","",ROUND(T617*IF(H617="Retail",IFERROR(INDEX(Inventory!$H$5:$H$304,MATCH(I617,Inventory!$A$5:$A$304,0))*1,0),IFERROR(INDEX(Services!$Q$5:$Q$204,MATCH(I617,Services!$A$5:$A$204,0))*1,0)),2))</f>
        <v>0</v>
      </c>
      <c r="AC617" s="26">
        <f>IF(B617="","",ROUND(Y617-AB617,2))</f>
        <v>0</v>
      </c>
      <c r="AD617" s="38">
        <f>IF(B617="","",IF(C617="","No",IF(COUNTIFS($C$5:C617,C617)=1,"Yes","No")))</f>
        <v>0</v>
      </c>
      <c r="AE617" s="26">
        <f>IF(B617="","",ROUND(SUMIFS(Payments!$G$5:$G$1204,Payments!$H$5:$H$1204,A617,Payments!$Q$5:$Q$1204,"Yes"),2))</f>
        <v>0</v>
      </c>
      <c r="AF617" s="26">
        <f>IF(B617="","",IF(AD617="No",0,ROUND(SUMIFS(Payments!$G$5:$G$1204,Payments!$I$5:$I$1204,C617,Payments!$H$5:$H$1204,"",Payments!$Q$5:$Q$1204,"Yes"),2)))</f>
        <v>0</v>
      </c>
      <c r="AG617" s="26">
        <f>IF(B617="","",ROUND(AE617+AF617,2))</f>
        <v>0</v>
      </c>
      <c r="AH617" s="26">
        <f>IF(B617="","",ROUND(AA617-AG617,2))</f>
        <v>0</v>
      </c>
      <c r="AI617" s="39">
        <f>IF(B617="","",IF(AA617&lt;=0,"No charge",IF(AH617&lt;=0.004,"Paid",IF(AG617&lt;=0.004,"Unpaid","Part paid"))))</f>
        <v>0</v>
      </c>
      <c r="AJ617" s="38">
        <f>IF(B617="","",IF(H617&lt;&gt;"Service","",IF(D617="","No",IF(COUNTIFS($D$5:$D$1204,D617,$B$5:$B$1204,B617,$H$5:$H$1204,"Retail")&gt;0,"Yes","No"))))</f>
        <v>0</v>
      </c>
      <c r="AK617" s="25">
        <f>IF(B617="","",COUNTIFS($Y$5:$Y$1204,"&gt;"&amp;Y617)+COUNTIFS($Y$5:Y617,Y617))</f>
        <v>0</v>
      </c>
      <c r="AL617" s="39">
        <f>IF(B617="","",IF(H617="","Add - what kind of sale is this?",IF(IF(V617&lt;=0,P617="",FALSE),"Check - no price found for this item",IF(F617="","Assign - nobody credited",IF(AH617&gt;0.004,"Unpaid - balance outstanding",IF(AC617&lt;0,"Loss - sold below cost",IF(X617&gt;W617*0.5,"Check - more than half off","OK")))))))</f>
        <v>0</v>
      </c>
    </row>
    <row r="618" spans="1:38">
      <c r="A618" s="28">
        <f>IF(B618="","",SalePrefix&amp;TEXT(ROW()-4,"0000"))</f>
        <v>0</v>
      </c>
      <c r="E618" s="15">
        <f>IF(D618="","",IFERROR(INDEX(Clients!$B$5:$B$504,MATCH(D618,Clients!$A$5:$A$504,0)),"Walk-in"))</f>
        <v>0</v>
      </c>
      <c r="G618" s="15">
        <f>IF(F618="","",IFERROR(INDEX(Staff!$B$5:$B$44,MATCH(F618,Staff!$A$5:$A$44,0)),"House"))</f>
        <v>0</v>
      </c>
      <c r="R618" s="15">
        <f>IF(B618="","",TEXT(B618,"yyyy-mm"))</f>
        <v>0</v>
      </c>
      <c r="S618" s="25">
        <f>IF(B618="","",WEEKNUM(B618,2))</f>
        <v>0</v>
      </c>
      <c r="T618" s="37">
        <f>IF(B618="","",IF(K618="",1,K618))</f>
        <v>0</v>
      </c>
      <c r="U618" s="15">
        <f>IF(B618="","",IF(J618&lt;&gt;"",J618,IF(H618="Retail",IFERROR(INDEX(Inventory!$B$5:$B$304,MATCH(I618,Inventory!$A$5:$A$304,0))&amp;"","Not in Inventory"),IFERROR(INDEX(Services!$B$5:$B$204,MATCH(I618,Services!$A$5:$A$204,0))&amp;"","Not in Services"))))</f>
        <v>0</v>
      </c>
      <c r="V618" s="26">
        <f>IF(B618="","",IF(L618&lt;&gt;"",L618,IF(H618="Retail",IFERROR(INDEX(Inventory!$I$5:$I$304,MATCH(I618,Inventory!$A$5:$A$304,0))*1,0),IFERROR(INDEX(Services!$G$5:$G$204,MATCH(I618,Services!$A$5:$A$204,0))*1,0))))</f>
        <v>0</v>
      </c>
      <c r="W618" s="26">
        <f>IF(B618="","",ROUND(T618*V618,2))</f>
        <v>0</v>
      </c>
      <c r="X618" s="26">
        <f>IF(B618="","",ROUND(IF(M618="",0,W618*M618)+IF(N618="",0,N618),2))</f>
        <v>0</v>
      </c>
      <c r="Y618" s="26">
        <f>IF(B618="","",ROUND(W618-X618-IF(P618="",0,P618),2))</f>
        <v>0</v>
      </c>
      <c r="Z618" s="26">
        <f>IF(B618="","",IF(H618="Retail",IF(TaxOnRetail="Yes",ROUND(Y618*TaxRate,2),0),IF(H618="Service",IF(TaxOnServices="Yes",ROUND(Y618*TaxRate,2),0),0)))</f>
        <v>0</v>
      </c>
      <c r="AA618" s="26">
        <f>IF(B618="","",ROUND(Y618+Z618,2))</f>
        <v>0</v>
      </c>
      <c r="AB618" s="26">
        <f>IF(B618="","",ROUND(T618*IF(H618="Retail",IFERROR(INDEX(Inventory!$H$5:$H$304,MATCH(I618,Inventory!$A$5:$A$304,0))*1,0),IFERROR(INDEX(Services!$Q$5:$Q$204,MATCH(I618,Services!$A$5:$A$204,0))*1,0)),2))</f>
        <v>0</v>
      </c>
      <c r="AC618" s="26">
        <f>IF(B618="","",ROUND(Y618-AB618,2))</f>
        <v>0</v>
      </c>
      <c r="AD618" s="38">
        <f>IF(B618="","",IF(C618="","No",IF(COUNTIFS($C$5:C618,C618)=1,"Yes","No")))</f>
        <v>0</v>
      </c>
      <c r="AE618" s="26">
        <f>IF(B618="","",ROUND(SUMIFS(Payments!$G$5:$G$1204,Payments!$H$5:$H$1204,A618,Payments!$Q$5:$Q$1204,"Yes"),2))</f>
        <v>0</v>
      </c>
      <c r="AF618" s="26">
        <f>IF(B618="","",IF(AD618="No",0,ROUND(SUMIFS(Payments!$G$5:$G$1204,Payments!$I$5:$I$1204,C618,Payments!$H$5:$H$1204,"",Payments!$Q$5:$Q$1204,"Yes"),2)))</f>
        <v>0</v>
      </c>
      <c r="AG618" s="26">
        <f>IF(B618="","",ROUND(AE618+AF618,2))</f>
        <v>0</v>
      </c>
      <c r="AH618" s="26">
        <f>IF(B618="","",ROUND(AA618-AG618,2))</f>
        <v>0</v>
      </c>
      <c r="AI618" s="39">
        <f>IF(B618="","",IF(AA618&lt;=0,"No charge",IF(AH618&lt;=0.004,"Paid",IF(AG618&lt;=0.004,"Unpaid","Part paid"))))</f>
        <v>0</v>
      </c>
      <c r="AJ618" s="38">
        <f>IF(B618="","",IF(H618&lt;&gt;"Service","",IF(D618="","No",IF(COUNTIFS($D$5:$D$1204,D618,$B$5:$B$1204,B618,$H$5:$H$1204,"Retail")&gt;0,"Yes","No"))))</f>
        <v>0</v>
      </c>
      <c r="AK618" s="25">
        <f>IF(B618="","",COUNTIFS($Y$5:$Y$1204,"&gt;"&amp;Y618)+COUNTIFS($Y$5:Y618,Y618))</f>
        <v>0</v>
      </c>
      <c r="AL618" s="39">
        <f>IF(B618="","",IF(H618="","Add - what kind of sale is this?",IF(IF(V618&lt;=0,P618="",FALSE),"Check - no price found for this item",IF(F618="","Assign - nobody credited",IF(AH618&gt;0.004,"Unpaid - balance outstanding",IF(AC618&lt;0,"Loss - sold below cost",IF(X618&gt;W618*0.5,"Check - more than half off","OK")))))))</f>
        <v>0</v>
      </c>
    </row>
    <row r="619" spans="1:38">
      <c r="A619" s="28">
        <f>IF(B619="","",SalePrefix&amp;TEXT(ROW()-4,"0000"))</f>
        <v>0</v>
      </c>
      <c r="E619" s="15">
        <f>IF(D619="","",IFERROR(INDEX(Clients!$B$5:$B$504,MATCH(D619,Clients!$A$5:$A$504,0)),"Walk-in"))</f>
        <v>0</v>
      </c>
      <c r="G619" s="15">
        <f>IF(F619="","",IFERROR(INDEX(Staff!$B$5:$B$44,MATCH(F619,Staff!$A$5:$A$44,0)),"House"))</f>
        <v>0</v>
      </c>
      <c r="R619" s="15">
        <f>IF(B619="","",TEXT(B619,"yyyy-mm"))</f>
        <v>0</v>
      </c>
      <c r="S619" s="25">
        <f>IF(B619="","",WEEKNUM(B619,2))</f>
        <v>0</v>
      </c>
      <c r="T619" s="37">
        <f>IF(B619="","",IF(K619="",1,K619))</f>
        <v>0</v>
      </c>
      <c r="U619" s="15">
        <f>IF(B619="","",IF(J619&lt;&gt;"",J619,IF(H619="Retail",IFERROR(INDEX(Inventory!$B$5:$B$304,MATCH(I619,Inventory!$A$5:$A$304,0))&amp;"","Not in Inventory"),IFERROR(INDEX(Services!$B$5:$B$204,MATCH(I619,Services!$A$5:$A$204,0))&amp;"","Not in Services"))))</f>
        <v>0</v>
      </c>
      <c r="V619" s="26">
        <f>IF(B619="","",IF(L619&lt;&gt;"",L619,IF(H619="Retail",IFERROR(INDEX(Inventory!$I$5:$I$304,MATCH(I619,Inventory!$A$5:$A$304,0))*1,0),IFERROR(INDEX(Services!$G$5:$G$204,MATCH(I619,Services!$A$5:$A$204,0))*1,0))))</f>
        <v>0</v>
      </c>
      <c r="W619" s="26">
        <f>IF(B619="","",ROUND(T619*V619,2))</f>
        <v>0</v>
      </c>
      <c r="X619" s="26">
        <f>IF(B619="","",ROUND(IF(M619="",0,W619*M619)+IF(N619="",0,N619),2))</f>
        <v>0</v>
      </c>
      <c r="Y619" s="26">
        <f>IF(B619="","",ROUND(W619-X619-IF(P619="",0,P619),2))</f>
        <v>0</v>
      </c>
      <c r="Z619" s="26">
        <f>IF(B619="","",IF(H619="Retail",IF(TaxOnRetail="Yes",ROUND(Y619*TaxRate,2),0),IF(H619="Service",IF(TaxOnServices="Yes",ROUND(Y619*TaxRate,2),0),0)))</f>
        <v>0</v>
      </c>
      <c r="AA619" s="26">
        <f>IF(B619="","",ROUND(Y619+Z619,2))</f>
        <v>0</v>
      </c>
      <c r="AB619" s="26">
        <f>IF(B619="","",ROUND(T619*IF(H619="Retail",IFERROR(INDEX(Inventory!$H$5:$H$304,MATCH(I619,Inventory!$A$5:$A$304,0))*1,0),IFERROR(INDEX(Services!$Q$5:$Q$204,MATCH(I619,Services!$A$5:$A$204,0))*1,0)),2))</f>
        <v>0</v>
      </c>
      <c r="AC619" s="26">
        <f>IF(B619="","",ROUND(Y619-AB619,2))</f>
        <v>0</v>
      </c>
      <c r="AD619" s="38">
        <f>IF(B619="","",IF(C619="","No",IF(COUNTIFS($C$5:C619,C619)=1,"Yes","No")))</f>
        <v>0</v>
      </c>
      <c r="AE619" s="26">
        <f>IF(B619="","",ROUND(SUMIFS(Payments!$G$5:$G$1204,Payments!$H$5:$H$1204,A619,Payments!$Q$5:$Q$1204,"Yes"),2))</f>
        <v>0</v>
      </c>
      <c r="AF619" s="26">
        <f>IF(B619="","",IF(AD619="No",0,ROUND(SUMIFS(Payments!$G$5:$G$1204,Payments!$I$5:$I$1204,C619,Payments!$H$5:$H$1204,"",Payments!$Q$5:$Q$1204,"Yes"),2)))</f>
        <v>0</v>
      </c>
      <c r="AG619" s="26">
        <f>IF(B619="","",ROUND(AE619+AF619,2))</f>
        <v>0</v>
      </c>
      <c r="AH619" s="26">
        <f>IF(B619="","",ROUND(AA619-AG619,2))</f>
        <v>0</v>
      </c>
      <c r="AI619" s="39">
        <f>IF(B619="","",IF(AA619&lt;=0,"No charge",IF(AH619&lt;=0.004,"Paid",IF(AG619&lt;=0.004,"Unpaid","Part paid"))))</f>
        <v>0</v>
      </c>
      <c r="AJ619" s="38">
        <f>IF(B619="","",IF(H619&lt;&gt;"Service","",IF(D619="","No",IF(COUNTIFS($D$5:$D$1204,D619,$B$5:$B$1204,B619,$H$5:$H$1204,"Retail")&gt;0,"Yes","No"))))</f>
        <v>0</v>
      </c>
      <c r="AK619" s="25">
        <f>IF(B619="","",COUNTIFS($Y$5:$Y$1204,"&gt;"&amp;Y619)+COUNTIFS($Y$5:Y619,Y619))</f>
        <v>0</v>
      </c>
      <c r="AL619" s="39">
        <f>IF(B619="","",IF(H619="","Add - what kind of sale is this?",IF(IF(V619&lt;=0,P619="",FALSE),"Check - no price found for this item",IF(F619="","Assign - nobody credited",IF(AH619&gt;0.004,"Unpaid - balance outstanding",IF(AC619&lt;0,"Loss - sold below cost",IF(X619&gt;W619*0.5,"Check - more than half off","OK")))))))</f>
        <v>0</v>
      </c>
    </row>
    <row r="620" spans="1:38">
      <c r="A620" s="28">
        <f>IF(B620="","",SalePrefix&amp;TEXT(ROW()-4,"0000"))</f>
        <v>0</v>
      </c>
      <c r="E620" s="15">
        <f>IF(D620="","",IFERROR(INDEX(Clients!$B$5:$B$504,MATCH(D620,Clients!$A$5:$A$504,0)),"Walk-in"))</f>
        <v>0</v>
      </c>
      <c r="G620" s="15">
        <f>IF(F620="","",IFERROR(INDEX(Staff!$B$5:$B$44,MATCH(F620,Staff!$A$5:$A$44,0)),"House"))</f>
        <v>0</v>
      </c>
      <c r="R620" s="15">
        <f>IF(B620="","",TEXT(B620,"yyyy-mm"))</f>
        <v>0</v>
      </c>
      <c r="S620" s="25">
        <f>IF(B620="","",WEEKNUM(B620,2))</f>
        <v>0</v>
      </c>
      <c r="T620" s="37">
        <f>IF(B620="","",IF(K620="",1,K620))</f>
        <v>0</v>
      </c>
      <c r="U620" s="15">
        <f>IF(B620="","",IF(J620&lt;&gt;"",J620,IF(H620="Retail",IFERROR(INDEX(Inventory!$B$5:$B$304,MATCH(I620,Inventory!$A$5:$A$304,0))&amp;"","Not in Inventory"),IFERROR(INDEX(Services!$B$5:$B$204,MATCH(I620,Services!$A$5:$A$204,0))&amp;"","Not in Services"))))</f>
        <v>0</v>
      </c>
      <c r="V620" s="26">
        <f>IF(B620="","",IF(L620&lt;&gt;"",L620,IF(H620="Retail",IFERROR(INDEX(Inventory!$I$5:$I$304,MATCH(I620,Inventory!$A$5:$A$304,0))*1,0),IFERROR(INDEX(Services!$G$5:$G$204,MATCH(I620,Services!$A$5:$A$204,0))*1,0))))</f>
        <v>0</v>
      </c>
      <c r="W620" s="26">
        <f>IF(B620="","",ROUND(T620*V620,2))</f>
        <v>0</v>
      </c>
      <c r="X620" s="26">
        <f>IF(B620="","",ROUND(IF(M620="",0,W620*M620)+IF(N620="",0,N620),2))</f>
        <v>0</v>
      </c>
      <c r="Y620" s="26">
        <f>IF(B620="","",ROUND(W620-X620-IF(P620="",0,P620),2))</f>
        <v>0</v>
      </c>
      <c r="Z620" s="26">
        <f>IF(B620="","",IF(H620="Retail",IF(TaxOnRetail="Yes",ROUND(Y620*TaxRate,2),0),IF(H620="Service",IF(TaxOnServices="Yes",ROUND(Y620*TaxRate,2),0),0)))</f>
        <v>0</v>
      </c>
      <c r="AA620" s="26">
        <f>IF(B620="","",ROUND(Y620+Z620,2))</f>
        <v>0</v>
      </c>
      <c r="AB620" s="26">
        <f>IF(B620="","",ROUND(T620*IF(H620="Retail",IFERROR(INDEX(Inventory!$H$5:$H$304,MATCH(I620,Inventory!$A$5:$A$304,0))*1,0),IFERROR(INDEX(Services!$Q$5:$Q$204,MATCH(I620,Services!$A$5:$A$204,0))*1,0)),2))</f>
        <v>0</v>
      </c>
      <c r="AC620" s="26">
        <f>IF(B620="","",ROUND(Y620-AB620,2))</f>
        <v>0</v>
      </c>
      <c r="AD620" s="38">
        <f>IF(B620="","",IF(C620="","No",IF(COUNTIFS($C$5:C620,C620)=1,"Yes","No")))</f>
        <v>0</v>
      </c>
      <c r="AE620" s="26">
        <f>IF(B620="","",ROUND(SUMIFS(Payments!$G$5:$G$1204,Payments!$H$5:$H$1204,A620,Payments!$Q$5:$Q$1204,"Yes"),2))</f>
        <v>0</v>
      </c>
      <c r="AF620" s="26">
        <f>IF(B620="","",IF(AD620="No",0,ROUND(SUMIFS(Payments!$G$5:$G$1204,Payments!$I$5:$I$1204,C620,Payments!$H$5:$H$1204,"",Payments!$Q$5:$Q$1204,"Yes"),2)))</f>
        <v>0</v>
      </c>
      <c r="AG620" s="26">
        <f>IF(B620="","",ROUND(AE620+AF620,2))</f>
        <v>0</v>
      </c>
      <c r="AH620" s="26">
        <f>IF(B620="","",ROUND(AA620-AG620,2))</f>
        <v>0</v>
      </c>
      <c r="AI620" s="39">
        <f>IF(B620="","",IF(AA620&lt;=0,"No charge",IF(AH620&lt;=0.004,"Paid",IF(AG620&lt;=0.004,"Unpaid","Part paid"))))</f>
        <v>0</v>
      </c>
      <c r="AJ620" s="38">
        <f>IF(B620="","",IF(H620&lt;&gt;"Service","",IF(D620="","No",IF(COUNTIFS($D$5:$D$1204,D620,$B$5:$B$1204,B620,$H$5:$H$1204,"Retail")&gt;0,"Yes","No"))))</f>
        <v>0</v>
      </c>
      <c r="AK620" s="25">
        <f>IF(B620="","",COUNTIFS($Y$5:$Y$1204,"&gt;"&amp;Y620)+COUNTIFS($Y$5:Y620,Y620))</f>
        <v>0</v>
      </c>
      <c r="AL620" s="39">
        <f>IF(B620="","",IF(H620="","Add - what kind of sale is this?",IF(IF(V620&lt;=0,P620="",FALSE),"Check - no price found for this item",IF(F620="","Assign - nobody credited",IF(AH620&gt;0.004,"Unpaid - balance outstanding",IF(AC620&lt;0,"Loss - sold below cost",IF(X620&gt;W620*0.5,"Check - more than half off","OK")))))))</f>
        <v>0</v>
      </c>
    </row>
    <row r="621" spans="1:38">
      <c r="A621" s="28">
        <f>IF(B621="","",SalePrefix&amp;TEXT(ROW()-4,"0000"))</f>
        <v>0</v>
      </c>
      <c r="E621" s="15">
        <f>IF(D621="","",IFERROR(INDEX(Clients!$B$5:$B$504,MATCH(D621,Clients!$A$5:$A$504,0)),"Walk-in"))</f>
        <v>0</v>
      </c>
      <c r="G621" s="15">
        <f>IF(F621="","",IFERROR(INDEX(Staff!$B$5:$B$44,MATCH(F621,Staff!$A$5:$A$44,0)),"House"))</f>
        <v>0</v>
      </c>
      <c r="R621" s="15">
        <f>IF(B621="","",TEXT(B621,"yyyy-mm"))</f>
        <v>0</v>
      </c>
      <c r="S621" s="25">
        <f>IF(B621="","",WEEKNUM(B621,2))</f>
        <v>0</v>
      </c>
      <c r="T621" s="37">
        <f>IF(B621="","",IF(K621="",1,K621))</f>
        <v>0</v>
      </c>
      <c r="U621" s="15">
        <f>IF(B621="","",IF(J621&lt;&gt;"",J621,IF(H621="Retail",IFERROR(INDEX(Inventory!$B$5:$B$304,MATCH(I621,Inventory!$A$5:$A$304,0))&amp;"","Not in Inventory"),IFERROR(INDEX(Services!$B$5:$B$204,MATCH(I621,Services!$A$5:$A$204,0))&amp;"","Not in Services"))))</f>
        <v>0</v>
      </c>
      <c r="V621" s="26">
        <f>IF(B621="","",IF(L621&lt;&gt;"",L621,IF(H621="Retail",IFERROR(INDEX(Inventory!$I$5:$I$304,MATCH(I621,Inventory!$A$5:$A$304,0))*1,0),IFERROR(INDEX(Services!$G$5:$G$204,MATCH(I621,Services!$A$5:$A$204,0))*1,0))))</f>
        <v>0</v>
      </c>
      <c r="W621" s="26">
        <f>IF(B621="","",ROUND(T621*V621,2))</f>
        <v>0</v>
      </c>
      <c r="X621" s="26">
        <f>IF(B621="","",ROUND(IF(M621="",0,W621*M621)+IF(N621="",0,N621),2))</f>
        <v>0</v>
      </c>
      <c r="Y621" s="26">
        <f>IF(B621="","",ROUND(W621-X621-IF(P621="",0,P621),2))</f>
        <v>0</v>
      </c>
      <c r="Z621" s="26">
        <f>IF(B621="","",IF(H621="Retail",IF(TaxOnRetail="Yes",ROUND(Y621*TaxRate,2),0),IF(H621="Service",IF(TaxOnServices="Yes",ROUND(Y621*TaxRate,2),0),0)))</f>
        <v>0</v>
      </c>
      <c r="AA621" s="26">
        <f>IF(B621="","",ROUND(Y621+Z621,2))</f>
        <v>0</v>
      </c>
      <c r="AB621" s="26">
        <f>IF(B621="","",ROUND(T621*IF(H621="Retail",IFERROR(INDEX(Inventory!$H$5:$H$304,MATCH(I621,Inventory!$A$5:$A$304,0))*1,0),IFERROR(INDEX(Services!$Q$5:$Q$204,MATCH(I621,Services!$A$5:$A$204,0))*1,0)),2))</f>
        <v>0</v>
      </c>
      <c r="AC621" s="26">
        <f>IF(B621="","",ROUND(Y621-AB621,2))</f>
        <v>0</v>
      </c>
      <c r="AD621" s="38">
        <f>IF(B621="","",IF(C621="","No",IF(COUNTIFS($C$5:C621,C621)=1,"Yes","No")))</f>
        <v>0</v>
      </c>
      <c r="AE621" s="26">
        <f>IF(B621="","",ROUND(SUMIFS(Payments!$G$5:$G$1204,Payments!$H$5:$H$1204,A621,Payments!$Q$5:$Q$1204,"Yes"),2))</f>
        <v>0</v>
      </c>
      <c r="AF621" s="26">
        <f>IF(B621="","",IF(AD621="No",0,ROUND(SUMIFS(Payments!$G$5:$G$1204,Payments!$I$5:$I$1204,C621,Payments!$H$5:$H$1204,"",Payments!$Q$5:$Q$1204,"Yes"),2)))</f>
        <v>0</v>
      </c>
      <c r="AG621" s="26">
        <f>IF(B621="","",ROUND(AE621+AF621,2))</f>
        <v>0</v>
      </c>
      <c r="AH621" s="26">
        <f>IF(B621="","",ROUND(AA621-AG621,2))</f>
        <v>0</v>
      </c>
      <c r="AI621" s="39">
        <f>IF(B621="","",IF(AA621&lt;=0,"No charge",IF(AH621&lt;=0.004,"Paid",IF(AG621&lt;=0.004,"Unpaid","Part paid"))))</f>
        <v>0</v>
      </c>
      <c r="AJ621" s="38">
        <f>IF(B621="","",IF(H621&lt;&gt;"Service","",IF(D621="","No",IF(COUNTIFS($D$5:$D$1204,D621,$B$5:$B$1204,B621,$H$5:$H$1204,"Retail")&gt;0,"Yes","No"))))</f>
        <v>0</v>
      </c>
      <c r="AK621" s="25">
        <f>IF(B621="","",COUNTIFS($Y$5:$Y$1204,"&gt;"&amp;Y621)+COUNTIFS($Y$5:Y621,Y621))</f>
        <v>0</v>
      </c>
      <c r="AL621" s="39">
        <f>IF(B621="","",IF(H621="","Add - what kind of sale is this?",IF(IF(V621&lt;=0,P621="",FALSE),"Check - no price found for this item",IF(F621="","Assign - nobody credited",IF(AH621&gt;0.004,"Unpaid - balance outstanding",IF(AC621&lt;0,"Loss - sold below cost",IF(X621&gt;W621*0.5,"Check - more than half off","OK")))))))</f>
        <v>0</v>
      </c>
    </row>
    <row r="622" spans="1:38">
      <c r="A622" s="28">
        <f>IF(B622="","",SalePrefix&amp;TEXT(ROW()-4,"0000"))</f>
        <v>0</v>
      </c>
      <c r="E622" s="15">
        <f>IF(D622="","",IFERROR(INDEX(Clients!$B$5:$B$504,MATCH(D622,Clients!$A$5:$A$504,0)),"Walk-in"))</f>
        <v>0</v>
      </c>
      <c r="G622" s="15">
        <f>IF(F622="","",IFERROR(INDEX(Staff!$B$5:$B$44,MATCH(F622,Staff!$A$5:$A$44,0)),"House"))</f>
        <v>0</v>
      </c>
      <c r="R622" s="15">
        <f>IF(B622="","",TEXT(B622,"yyyy-mm"))</f>
        <v>0</v>
      </c>
      <c r="S622" s="25">
        <f>IF(B622="","",WEEKNUM(B622,2))</f>
        <v>0</v>
      </c>
      <c r="T622" s="37">
        <f>IF(B622="","",IF(K622="",1,K622))</f>
        <v>0</v>
      </c>
      <c r="U622" s="15">
        <f>IF(B622="","",IF(J622&lt;&gt;"",J622,IF(H622="Retail",IFERROR(INDEX(Inventory!$B$5:$B$304,MATCH(I622,Inventory!$A$5:$A$304,0))&amp;"","Not in Inventory"),IFERROR(INDEX(Services!$B$5:$B$204,MATCH(I622,Services!$A$5:$A$204,0))&amp;"","Not in Services"))))</f>
        <v>0</v>
      </c>
      <c r="V622" s="26">
        <f>IF(B622="","",IF(L622&lt;&gt;"",L622,IF(H622="Retail",IFERROR(INDEX(Inventory!$I$5:$I$304,MATCH(I622,Inventory!$A$5:$A$304,0))*1,0),IFERROR(INDEX(Services!$G$5:$G$204,MATCH(I622,Services!$A$5:$A$204,0))*1,0))))</f>
        <v>0</v>
      </c>
      <c r="W622" s="26">
        <f>IF(B622="","",ROUND(T622*V622,2))</f>
        <v>0</v>
      </c>
      <c r="X622" s="26">
        <f>IF(B622="","",ROUND(IF(M622="",0,W622*M622)+IF(N622="",0,N622),2))</f>
        <v>0</v>
      </c>
      <c r="Y622" s="26">
        <f>IF(B622="","",ROUND(W622-X622-IF(P622="",0,P622),2))</f>
        <v>0</v>
      </c>
      <c r="Z622" s="26">
        <f>IF(B622="","",IF(H622="Retail",IF(TaxOnRetail="Yes",ROUND(Y622*TaxRate,2),0),IF(H622="Service",IF(TaxOnServices="Yes",ROUND(Y622*TaxRate,2),0),0)))</f>
        <v>0</v>
      </c>
      <c r="AA622" s="26">
        <f>IF(B622="","",ROUND(Y622+Z622,2))</f>
        <v>0</v>
      </c>
      <c r="AB622" s="26">
        <f>IF(B622="","",ROUND(T622*IF(H622="Retail",IFERROR(INDEX(Inventory!$H$5:$H$304,MATCH(I622,Inventory!$A$5:$A$304,0))*1,0),IFERROR(INDEX(Services!$Q$5:$Q$204,MATCH(I622,Services!$A$5:$A$204,0))*1,0)),2))</f>
        <v>0</v>
      </c>
      <c r="AC622" s="26">
        <f>IF(B622="","",ROUND(Y622-AB622,2))</f>
        <v>0</v>
      </c>
      <c r="AD622" s="38">
        <f>IF(B622="","",IF(C622="","No",IF(COUNTIFS($C$5:C622,C622)=1,"Yes","No")))</f>
        <v>0</v>
      </c>
      <c r="AE622" s="26">
        <f>IF(B622="","",ROUND(SUMIFS(Payments!$G$5:$G$1204,Payments!$H$5:$H$1204,A622,Payments!$Q$5:$Q$1204,"Yes"),2))</f>
        <v>0</v>
      </c>
      <c r="AF622" s="26">
        <f>IF(B622="","",IF(AD622="No",0,ROUND(SUMIFS(Payments!$G$5:$G$1204,Payments!$I$5:$I$1204,C622,Payments!$H$5:$H$1204,"",Payments!$Q$5:$Q$1204,"Yes"),2)))</f>
        <v>0</v>
      </c>
      <c r="AG622" s="26">
        <f>IF(B622="","",ROUND(AE622+AF622,2))</f>
        <v>0</v>
      </c>
      <c r="AH622" s="26">
        <f>IF(B622="","",ROUND(AA622-AG622,2))</f>
        <v>0</v>
      </c>
      <c r="AI622" s="39">
        <f>IF(B622="","",IF(AA622&lt;=0,"No charge",IF(AH622&lt;=0.004,"Paid",IF(AG622&lt;=0.004,"Unpaid","Part paid"))))</f>
        <v>0</v>
      </c>
      <c r="AJ622" s="38">
        <f>IF(B622="","",IF(H622&lt;&gt;"Service","",IF(D622="","No",IF(COUNTIFS($D$5:$D$1204,D622,$B$5:$B$1204,B622,$H$5:$H$1204,"Retail")&gt;0,"Yes","No"))))</f>
        <v>0</v>
      </c>
      <c r="AK622" s="25">
        <f>IF(B622="","",COUNTIFS($Y$5:$Y$1204,"&gt;"&amp;Y622)+COUNTIFS($Y$5:Y622,Y622))</f>
        <v>0</v>
      </c>
      <c r="AL622" s="39">
        <f>IF(B622="","",IF(H622="","Add - what kind of sale is this?",IF(IF(V622&lt;=0,P622="",FALSE),"Check - no price found for this item",IF(F622="","Assign - nobody credited",IF(AH622&gt;0.004,"Unpaid - balance outstanding",IF(AC622&lt;0,"Loss - sold below cost",IF(X622&gt;W622*0.5,"Check - more than half off","OK")))))))</f>
        <v>0</v>
      </c>
    </row>
    <row r="623" spans="1:38">
      <c r="A623" s="28">
        <f>IF(B623="","",SalePrefix&amp;TEXT(ROW()-4,"0000"))</f>
        <v>0</v>
      </c>
      <c r="E623" s="15">
        <f>IF(D623="","",IFERROR(INDEX(Clients!$B$5:$B$504,MATCH(D623,Clients!$A$5:$A$504,0)),"Walk-in"))</f>
        <v>0</v>
      </c>
      <c r="G623" s="15">
        <f>IF(F623="","",IFERROR(INDEX(Staff!$B$5:$B$44,MATCH(F623,Staff!$A$5:$A$44,0)),"House"))</f>
        <v>0</v>
      </c>
      <c r="R623" s="15">
        <f>IF(B623="","",TEXT(B623,"yyyy-mm"))</f>
        <v>0</v>
      </c>
      <c r="S623" s="25">
        <f>IF(B623="","",WEEKNUM(B623,2))</f>
        <v>0</v>
      </c>
      <c r="T623" s="37">
        <f>IF(B623="","",IF(K623="",1,K623))</f>
        <v>0</v>
      </c>
      <c r="U623" s="15">
        <f>IF(B623="","",IF(J623&lt;&gt;"",J623,IF(H623="Retail",IFERROR(INDEX(Inventory!$B$5:$B$304,MATCH(I623,Inventory!$A$5:$A$304,0))&amp;"","Not in Inventory"),IFERROR(INDEX(Services!$B$5:$B$204,MATCH(I623,Services!$A$5:$A$204,0))&amp;"","Not in Services"))))</f>
        <v>0</v>
      </c>
      <c r="V623" s="26">
        <f>IF(B623="","",IF(L623&lt;&gt;"",L623,IF(H623="Retail",IFERROR(INDEX(Inventory!$I$5:$I$304,MATCH(I623,Inventory!$A$5:$A$304,0))*1,0),IFERROR(INDEX(Services!$G$5:$G$204,MATCH(I623,Services!$A$5:$A$204,0))*1,0))))</f>
        <v>0</v>
      </c>
      <c r="W623" s="26">
        <f>IF(B623="","",ROUND(T623*V623,2))</f>
        <v>0</v>
      </c>
      <c r="X623" s="26">
        <f>IF(B623="","",ROUND(IF(M623="",0,W623*M623)+IF(N623="",0,N623),2))</f>
        <v>0</v>
      </c>
      <c r="Y623" s="26">
        <f>IF(B623="","",ROUND(W623-X623-IF(P623="",0,P623),2))</f>
        <v>0</v>
      </c>
      <c r="Z623" s="26">
        <f>IF(B623="","",IF(H623="Retail",IF(TaxOnRetail="Yes",ROUND(Y623*TaxRate,2),0),IF(H623="Service",IF(TaxOnServices="Yes",ROUND(Y623*TaxRate,2),0),0)))</f>
        <v>0</v>
      </c>
      <c r="AA623" s="26">
        <f>IF(B623="","",ROUND(Y623+Z623,2))</f>
        <v>0</v>
      </c>
      <c r="AB623" s="26">
        <f>IF(B623="","",ROUND(T623*IF(H623="Retail",IFERROR(INDEX(Inventory!$H$5:$H$304,MATCH(I623,Inventory!$A$5:$A$304,0))*1,0),IFERROR(INDEX(Services!$Q$5:$Q$204,MATCH(I623,Services!$A$5:$A$204,0))*1,0)),2))</f>
        <v>0</v>
      </c>
      <c r="AC623" s="26">
        <f>IF(B623="","",ROUND(Y623-AB623,2))</f>
        <v>0</v>
      </c>
      <c r="AD623" s="38">
        <f>IF(B623="","",IF(C623="","No",IF(COUNTIFS($C$5:C623,C623)=1,"Yes","No")))</f>
        <v>0</v>
      </c>
      <c r="AE623" s="26">
        <f>IF(B623="","",ROUND(SUMIFS(Payments!$G$5:$G$1204,Payments!$H$5:$H$1204,A623,Payments!$Q$5:$Q$1204,"Yes"),2))</f>
        <v>0</v>
      </c>
      <c r="AF623" s="26">
        <f>IF(B623="","",IF(AD623="No",0,ROUND(SUMIFS(Payments!$G$5:$G$1204,Payments!$I$5:$I$1204,C623,Payments!$H$5:$H$1204,"",Payments!$Q$5:$Q$1204,"Yes"),2)))</f>
        <v>0</v>
      </c>
      <c r="AG623" s="26">
        <f>IF(B623="","",ROUND(AE623+AF623,2))</f>
        <v>0</v>
      </c>
      <c r="AH623" s="26">
        <f>IF(B623="","",ROUND(AA623-AG623,2))</f>
        <v>0</v>
      </c>
      <c r="AI623" s="39">
        <f>IF(B623="","",IF(AA623&lt;=0,"No charge",IF(AH623&lt;=0.004,"Paid",IF(AG623&lt;=0.004,"Unpaid","Part paid"))))</f>
        <v>0</v>
      </c>
      <c r="AJ623" s="38">
        <f>IF(B623="","",IF(H623&lt;&gt;"Service","",IF(D623="","No",IF(COUNTIFS($D$5:$D$1204,D623,$B$5:$B$1204,B623,$H$5:$H$1204,"Retail")&gt;0,"Yes","No"))))</f>
        <v>0</v>
      </c>
      <c r="AK623" s="25">
        <f>IF(B623="","",COUNTIFS($Y$5:$Y$1204,"&gt;"&amp;Y623)+COUNTIFS($Y$5:Y623,Y623))</f>
        <v>0</v>
      </c>
      <c r="AL623" s="39">
        <f>IF(B623="","",IF(H623="","Add - what kind of sale is this?",IF(IF(V623&lt;=0,P623="",FALSE),"Check - no price found for this item",IF(F623="","Assign - nobody credited",IF(AH623&gt;0.004,"Unpaid - balance outstanding",IF(AC623&lt;0,"Loss - sold below cost",IF(X623&gt;W623*0.5,"Check - more than half off","OK")))))))</f>
        <v>0</v>
      </c>
    </row>
    <row r="624" spans="1:38">
      <c r="A624" s="28">
        <f>IF(B624="","",SalePrefix&amp;TEXT(ROW()-4,"0000"))</f>
        <v>0</v>
      </c>
      <c r="E624" s="15">
        <f>IF(D624="","",IFERROR(INDEX(Clients!$B$5:$B$504,MATCH(D624,Clients!$A$5:$A$504,0)),"Walk-in"))</f>
        <v>0</v>
      </c>
      <c r="G624" s="15">
        <f>IF(F624="","",IFERROR(INDEX(Staff!$B$5:$B$44,MATCH(F624,Staff!$A$5:$A$44,0)),"House"))</f>
        <v>0</v>
      </c>
      <c r="R624" s="15">
        <f>IF(B624="","",TEXT(B624,"yyyy-mm"))</f>
        <v>0</v>
      </c>
      <c r="S624" s="25">
        <f>IF(B624="","",WEEKNUM(B624,2))</f>
        <v>0</v>
      </c>
      <c r="T624" s="37">
        <f>IF(B624="","",IF(K624="",1,K624))</f>
        <v>0</v>
      </c>
      <c r="U624" s="15">
        <f>IF(B624="","",IF(J624&lt;&gt;"",J624,IF(H624="Retail",IFERROR(INDEX(Inventory!$B$5:$B$304,MATCH(I624,Inventory!$A$5:$A$304,0))&amp;"","Not in Inventory"),IFERROR(INDEX(Services!$B$5:$B$204,MATCH(I624,Services!$A$5:$A$204,0))&amp;"","Not in Services"))))</f>
        <v>0</v>
      </c>
      <c r="V624" s="26">
        <f>IF(B624="","",IF(L624&lt;&gt;"",L624,IF(H624="Retail",IFERROR(INDEX(Inventory!$I$5:$I$304,MATCH(I624,Inventory!$A$5:$A$304,0))*1,0),IFERROR(INDEX(Services!$G$5:$G$204,MATCH(I624,Services!$A$5:$A$204,0))*1,0))))</f>
        <v>0</v>
      </c>
      <c r="W624" s="26">
        <f>IF(B624="","",ROUND(T624*V624,2))</f>
        <v>0</v>
      </c>
      <c r="X624" s="26">
        <f>IF(B624="","",ROUND(IF(M624="",0,W624*M624)+IF(N624="",0,N624),2))</f>
        <v>0</v>
      </c>
      <c r="Y624" s="26">
        <f>IF(B624="","",ROUND(W624-X624-IF(P624="",0,P624),2))</f>
        <v>0</v>
      </c>
      <c r="Z624" s="26">
        <f>IF(B624="","",IF(H624="Retail",IF(TaxOnRetail="Yes",ROUND(Y624*TaxRate,2),0),IF(H624="Service",IF(TaxOnServices="Yes",ROUND(Y624*TaxRate,2),0),0)))</f>
        <v>0</v>
      </c>
      <c r="AA624" s="26">
        <f>IF(B624="","",ROUND(Y624+Z624,2))</f>
        <v>0</v>
      </c>
      <c r="AB624" s="26">
        <f>IF(B624="","",ROUND(T624*IF(H624="Retail",IFERROR(INDEX(Inventory!$H$5:$H$304,MATCH(I624,Inventory!$A$5:$A$304,0))*1,0),IFERROR(INDEX(Services!$Q$5:$Q$204,MATCH(I624,Services!$A$5:$A$204,0))*1,0)),2))</f>
        <v>0</v>
      </c>
      <c r="AC624" s="26">
        <f>IF(B624="","",ROUND(Y624-AB624,2))</f>
        <v>0</v>
      </c>
      <c r="AD624" s="38">
        <f>IF(B624="","",IF(C624="","No",IF(COUNTIFS($C$5:C624,C624)=1,"Yes","No")))</f>
        <v>0</v>
      </c>
      <c r="AE624" s="26">
        <f>IF(B624="","",ROUND(SUMIFS(Payments!$G$5:$G$1204,Payments!$H$5:$H$1204,A624,Payments!$Q$5:$Q$1204,"Yes"),2))</f>
        <v>0</v>
      </c>
      <c r="AF624" s="26">
        <f>IF(B624="","",IF(AD624="No",0,ROUND(SUMIFS(Payments!$G$5:$G$1204,Payments!$I$5:$I$1204,C624,Payments!$H$5:$H$1204,"",Payments!$Q$5:$Q$1204,"Yes"),2)))</f>
        <v>0</v>
      </c>
      <c r="AG624" s="26">
        <f>IF(B624="","",ROUND(AE624+AF624,2))</f>
        <v>0</v>
      </c>
      <c r="AH624" s="26">
        <f>IF(B624="","",ROUND(AA624-AG624,2))</f>
        <v>0</v>
      </c>
      <c r="AI624" s="39">
        <f>IF(B624="","",IF(AA624&lt;=0,"No charge",IF(AH624&lt;=0.004,"Paid",IF(AG624&lt;=0.004,"Unpaid","Part paid"))))</f>
        <v>0</v>
      </c>
      <c r="AJ624" s="38">
        <f>IF(B624="","",IF(H624&lt;&gt;"Service","",IF(D624="","No",IF(COUNTIFS($D$5:$D$1204,D624,$B$5:$B$1204,B624,$H$5:$H$1204,"Retail")&gt;0,"Yes","No"))))</f>
        <v>0</v>
      </c>
      <c r="AK624" s="25">
        <f>IF(B624="","",COUNTIFS($Y$5:$Y$1204,"&gt;"&amp;Y624)+COUNTIFS($Y$5:Y624,Y624))</f>
        <v>0</v>
      </c>
      <c r="AL624" s="39">
        <f>IF(B624="","",IF(H624="","Add - what kind of sale is this?",IF(IF(V624&lt;=0,P624="",FALSE),"Check - no price found for this item",IF(F624="","Assign - nobody credited",IF(AH624&gt;0.004,"Unpaid - balance outstanding",IF(AC624&lt;0,"Loss - sold below cost",IF(X624&gt;W624*0.5,"Check - more than half off","OK")))))))</f>
        <v>0</v>
      </c>
    </row>
    <row r="625" spans="1:38">
      <c r="A625" s="28">
        <f>IF(B625="","",SalePrefix&amp;TEXT(ROW()-4,"0000"))</f>
        <v>0</v>
      </c>
      <c r="E625" s="15">
        <f>IF(D625="","",IFERROR(INDEX(Clients!$B$5:$B$504,MATCH(D625,Clients!$A$5:$A$504,0)),"Walk-in"))</f>
        <v>0</v>
      </c>
      <c r="G625" s="15">
        <f>IF(F625="","",IFERROR(INDEX(Staff!$B$5:$B$44,MATCH(F625,Staff!$A$5:$A$44,0)),"House"))</f>
        <v>0</v>
      </c>
      <c r="R625" s="15">
        <f>IF(B625="","",TEXT(B625,"yyyy-mm"))</f>
        <v>0</v>
      </c>
      <c r="S625" s="25">
        <f>IF(B625="","",WEEKNUM(B625,2))</f>
        <v>0</v>
      </c>
      <c r="T625" s="37">
        <f>IF(B625="","",IF(K625="",1,K625))</f>
        <v>0</v>
      </c>
      <c r="U625" s="15">
        <f>IF(B625="","",IF(J625&lt;&gt;"",J625,IF(H625="Retail",IFERROR(INDEX(Inventory!$B$5:$B$304,MATCH(I625,Inventory!$A$5:$A$304,0))&amp;"","Not in Inventory"),IFERROR(INDEX(Services!$B$5:$B$204,MATCH(I625,Services!$A$5:$A$204,0))&amp;"","Not in Services"))))</f>
        <v>0</v>
      </c>
      <c r="V625" s="26">
        <f>IF(B625="","",IF(L625&lt;&gt;"",L625,IF(H625="Retail",IFERROR(INDEX(Inventory!$I$5:$I$304,MATCH(I625,Inventory!$A$5:$A$304,0))*1,0),IFERROR(INDEX(Services!$G$5:$G$204,MATCH(I625,Services!$A$5:$A$204,0))*1,0))))</f>
        <v>0</v>
      </c>
      <c r="W625" s="26">
        <f>IF(B625="","",ROUND(T625*V625,2))</f>
        <v>0</v>
      </c>
      <c r="X625" s="26">
        <f>IF(B625="","",ROUND(IF(M625="",0,W625*M625)+IF(N625="",0,N625),2))</f>
        <v>0</v>
      </c>
      <c r="Y625" s="26">
        <f>IF(B625="","",ROUND(W625-X625-IF(P625="",0,P625),2))</f>
        <v>0</v>
      </c>
      <c r="Z625" s="26">
        <f>IF(B625="","",IF(H625="Retail",IF(TaxOnRetail="Yes",ROUND(Y625*TaxRate,2),0),IF(H625="Service",IF(TaxOnServices="Yes",ROUND(Y625*TaxRate,2),0),0)))</f>
        <v>0</v>
      </c>
      <c r="AA625" s="26">
        <f>IF(B625="","",ROUND(Y625+Z625,2))</f>
        <v>0</v>
      </c>
      <c r="AB625" s="26">
        <f>IF(B625="","",ROUND(T625*IF(H625="Retail",IFERROR(INDEX(Inventory!$H$5:$H$304,MATCH(I625,Inventory!$A$5:$A$304,0))*1,0),IFERROR(INDEX(Services!$Q$5:$Q$204,MATCH(I625,Services!$A$5:$A$204,0))*1,0)),2))</f>
        <v>0</v>
      </c>
      <c r="AC625" s="26">
        <f>IF(B625="","",ROUND(Y625-AB625,2))</f>
        <v>0</v>
      </c>
      <c r="AD625" s="38">
        <f>IF(B625="","",IF(C625="","No",IF(COUNTIFS($C$5:C625,C625)=1,"Yes","No")))</f>
        <v>0</v>
      </c>
      <c r="AE625" s="26">
        <f>IF(B625="","",ROUND(SUMIFS(Payments!$G$5:$G$1204,Payments!$H$5:$H$1204,A625,Payments!$Q$5:$Q$1204,"Yes"),2))</f>
        <v>0</v>
      </c>
      <c r="AF625" s="26">
        <f>IF(B625="","",IF(AD625="No",0,ROUND(SUMIFS(Payments!$G$5:$G$1204,Payments!$I$5:$I$1204,C625,Payments!$H$5:$H$1204,"",Payments!$Q$5:$Q$1204,"Yes"),2)))</f>
        <v>0</v>
      </c>
      <c r="AG625" s="26">
        <f>IF(B625="","",ROUND(AE625+AF625,2))</f>
        <v>0</v>
      </c>
      <c r="AH625" s="26">
        <f>IF(B625="","",ROUND(AA625-AG625,2))</f>
        <v>0</v>
      </c>
      <c r="AI625" s="39">
        <f>IF(B625="","",IF(AA625&lt;=0,"No charge",IF(AH625&lt;=0.004,"Paid",IF(AG625&lt;=0.004,"Unpaid","Part paid"))))</f>
        <v>0</v>
      </c>
      <c r="AJ625" s="38">
        <f>IF(B625="","",IF(H625&lt;&gt;"Service","",IF(D625="","No",IF(COUNTIFS($D$5:$D$1204,D625,$B$5:$B$1204,B625,$H$5:$H$1204,"Retail")&gt;0,"Yes","No"))))</f>
        <v>0</v>
      </c>
      <c r="AK625" s="25">
        <f>IF(B625="","",COUNTIFS($Y$5:$Y$1204,"&gt;"&amp;Y625)+COUNTIFS($Y$5:Y625,Y625))</f>
        <v>0</v>
      </c>
      <c r="AL625" s="39">
        <f>IF(B625="","",IF(H625="","Add - what kind of sale is this?",IF(IF(V625&lt;=0,P625="",FALSE),"Check - no price found for this item",IF(F625="","Assign - nobody credited",IF(AH625&gt;0.004,"Unpaid - balance outstanding",IF(AC625&lt;0,"Loss - sold below cost",IF(X625&gt;W625*0.5,"Check - more than half off","OK")))))))</f>
        <v>0</v>
      </c>
    </row>
    <row r="626" spans="1:38">
      <c r="A626" s="28">
        <f>IF(B626="","",SalePrefix&amp;TEXT(ROW()-4,"0000"))</f>
        <v>0</v>
      </c>
      <c r="E626" s="15">
        <f>IF(D626="","",IFERROR(INDEX(Clients!$B$5:$B$504,MATCH(D626,Clients!$A$5:$A$504,0)),"Walk-in"))</f>
        <v>0</v>
      </c>
      <c r="G626" s="15">
        <f>IF(F626="","",IFERROR(INDEX(Staff!$B$5:$B$44,MATCH(F626,Staff!$A$5:$A$44,0)),"House"))</f>
        <v>0</v>
      </c>
      <c r="R626" s="15">
        <f>IF(B626="","",TEXT(B626,"yyyy-mm"))</f>
        <v>0</v>
      </c>
      <c r="S626" s="25">
        <f>IF(B626="","",WEEKNUM(B626,2))</f>
        <v>0</v>
      </c>
      <c r="T626" s="37">
        <f>IF(B626="","",IF(K626="",1,K626))</f>
        <v>0</v>
      </c>
      <c r="U626" s="15">
        <f>IF(B626="","",IF(J626&lt;&gt;"",J626,IF(H626="Retail",IFERROR(INDEX(Inventory!$B$5:$B$304,MATCH(I626,Inventory!$A$5:$A$304,0))&amp;"","Not in Inventory"),IFERROR(INDEX(Services!$B$5:$B$204,MATCH(I626,Services!$A$5:$A$204,0))&amp;"","Not in Services"))))</f>
        <v>0</v>
      </c>
      <c r="V626" s="26">
        <f>IF(B626="","",IF(L626&lt;&gt;"",L626,IF(H626="Retail",IFERROR(INDEX(Inventory!$I$5:$I$304,MATCH(I626,Inventory!$A$5:$A$304,0))*1,0),IFERROR(INDEX(Services!$G$5:$G$204,MATCH(I626,Services!$A$5:$A$204,0))*1,0))))</f>
        <v>0</v>
      </c>
      <c r="W626" s="26">
        <f>IF(B626="","",ROUND(T626*V626,2))</f>
        <v>0</v>
      </c>
      <c r="X626" s="26">
        <f>IF(B626="","",ROUND(IF(M626="",0,W626*M626)+IF(N626="",0,N626),2))</f>
        <v>0</v>
      </c>
      <c r="Y626" s="26">
        <f>IF(B626="","",ROUND(W626-X626-IF(P626="",0,P626),2))</f>
        <v>0</v>
      </c>
      <c r="Z626" s="26">
        <f>IF(B626="","",IF(H626="Retail",IF(TaxOnRetail="Yes",ROUND(Y626*TaxRate,2),0),IF(H626="Service",IF(TaxOnServices="Yes",ROUND(Y626*TaxRate,2),0),0)))</f>
        <v>0</v>
      </c>
      <c r="AA626" s="26">
        <f>IF(B626="","",ROUND(Y626+Z626,2))</f>
        <v>0</v>
      </c>
      <c r="AB626" s="26">
        <f>IF(B626="","",ROUND(T626*IF(H626="Retail",IFERROR(INDEX(Inventory!$H$5:$H$304,MATCH(I626,Inventory!$A$5:$A$304,0))*1,0),IFERROR(INDEX(Services!$Q$5:$Q$204,MATCH(I626,Services!$A$5:$A$204,0))*1,0)),2))</f>
        <v>0</v>
      </c>
      <c r="AC626" s="26">
        <f>IF(B626="","",ROUND(Y626-AB626,2))</f>
        <v>0</v>
      </c>
      <c r="AD626" s="38">
        <f>IF(B626="","",IF(C626="","No",IF(COUNTIFS($C$5:C626,C626)=1,"Yes","No")))</f>
        <v>0</v>
      </c>
      <c r="AE626" s="26">
        <f>IF(B626="","",ROUND(SUMIFS(Payments!$G$5:$G$1204,Payments!$H$5:$H$1204,A626,Payments!$Q$5:$Q$1204,"Yes"),2))</f>
        <v>0</v>
      </c>
      <c r="AF626" s="26">
        <f>IF(B626="","",IF(AD626="No",0,ROUND(SUMIFS(Payments!$G$5:$G$1204,Payments!$I$5:$I$1204,C626,Payments!$H$5:$H$1204,"",Payments!$Q$5:$Q$1204,"Yes"),2)))</f>
        <v>0</v>
      </c>
      <c r="AG626" s="26">
        <f>IF(B626="","",ROUND(AE626+AF626,2))</f>
        <v>0</v>
      </c>
      <c r="AH626" s="26">
        <f>IF(B626="","",ROUND(AA626-AG626,2))</f>
        <v>0</v>
      </c>
      <c r="AI626" s="39">
        <f>IF(B626="","",IF(AA626&lt;=0,"No charge",IF(AH626&lt;=0.004,"Paid",IF(AG626&lt;=0.004,"Unpaid","Part paid"))))</f>
        <v>0</v>
      </c>
      <c r="AJ626" s="38">
        <f>IF(B626="","",IF(H626&lt;&gt;"Service","",IF(D626="","No",IF(COUNTIFS($D$5:$D$1204,D626,$B$5:$B$1204,B626,$H$5:$H$1204,"Retail")&gt;0,"Yes","No"))))</f>
        <v>0</v>
      </c>
      <c r="AK626" s="25">
        <f>IF(B626="","",COUNTIFS($Y$5:$Y$1204,"&gt;"&amp;Y626)+COUNTIFS($Y$5:Y626,Y626))</f>
        <v>0</v>
      </c>
      <c r="AL626" s="39">
        <f>IF(B626="","",IF(H626="","Add - what kind of sale is this?",IF(IF(V626&lt;=0,P626="",FALSE),"Check - no price found for this item",IF(F626="","Assign - nobody credited",IF(AH626&gt;0.004,"Unpaid - balance outstanding",IF(AC626&lt;0,"Loss - sold below cost",IF(X626&gt;W626*0.5,"Check - more than half off","OK")))))))</f>
        <v>0</v>
      </c>
    </row>
    <row r="627" spans="1:38">
      <c r="A627" s="28">
        <f>IF(B627="","",SalePrefix&amp;TEXT(ROW()-4,"0000"))</f>
        <v>0</v>
      </c>
      <c r="E627" s="15">
        <f>IF(D627="","",IFERROR(INDEX(Clients!$B$5:$B$504,MATCH(D627,Clients!$A$5:$A$504,0)),"Walk-in"))</f>
        <v>0</v>
      </c>
      <c r="G627" s="15">
        <f>IF(F627="","",IFERROR(INDEX(Staff!$B$5:$B$44,MATCH(F627,Staff!$A$5:$A$44,0)),"House"))</f>
        <v>0</v>
      </c>
      <c r="R627" s="15">
        <f>IF(B627="","",TEXT(B627,"yyyy-mm"))</f>
        <v>0</v>
      </c>
      <c r="S627" s="25">
        <f>IF(B627="","",WEEKNUM(B627,2))</f>
        <v>0</v>
      </c>
      <c r="T627" s="37">
        <f>IF(B627="","",IF(K627="",1,K627))</f>
        <v>0</v>
      </c>
      <c r="U627" s="15">
        <f>IF(B627="","",IF(J627&lt;&gt;"",J627,IF(H627="Retail",IFERROR(INDEX(Inventory!$B$5:$B$304,MATCH(I627,Inventory!$A$5:$A$304,0))&amp;"","Not in Inventory"),IFERROR(INDEX(Services!$B$5:$B$204,MATCH(I627,Services!$A$5:$A$204,0))&amp;"","Not in Services"))))</f>
        <v>0</v>
      </c>
      <c r="V627" s="26">
        <f>IF(B627="","",IF(L627&lt;&gt;"",L627,IF(H627="Retail",IFERROR(INDEX(Inventory!$I$5:$I$304,MATCH(I627,Inventory!$A$5:$A$304,0))*1,0),IFERROR(INDEX(Services!$G$5:$G$204,MATCH(I627,Services!$A$5:$A$204,0))*1,0))))</f>
        <v>0</v>
      </c>
      <c r="W627" s="26">
        <f>IF(B627="","",ROUND(T627*V627,2))</f>
        <v>0</v>
      </c>
      <c r="X627" s="26">
        <f>IF(B627="","",ROUND(IF(M627="",0,W627*M627)+IF(N627="",0,N627),2))</f>
        <v>0</v>
      </c>
      <c r="Y627" s="26">
        <f>IF(B627="","",ROUND(W627-X627-IF(P627="",0,P627),2))</f>
        <v>0</v>
      </c>
      <c r="Z627" s="26">
        <f>IF(B627="","",IF(H627="Retail",IF(TaxOnRetail="Yes",ROUND(Y627*TaxRate,2),0),IF(H627="Service",IF(TaxOnServices="Yes",ROUND(Y627*TaxRate,2),0),0)))</f>
        <v>0</v>
      </c>
      <c r="AA627" s="26">
        <f>IF(B627="","",ROUND(Y627+Z627,2))</f>
        <v>0</v>
      </c>
      <c r="AB627" s="26">
        <f>IF(B627="","",ROUND(T627*IF(H627="Retail",IFERROR(INDEX(Inventory!$H$5:$H$304,MATCH(I627,Inventory!$A$5:$A$304,0))*1,0),IFERROR(INDEX(Services!$Q$5:$Q$204,MATCH(I627,Services!$A$5:$A$204,0))*1,0)),2))</f>
        <v>0</v>
      </c>
      <c r="AC627" s="26">
        <f>IF(B627="","",ROUND(Y627-AB627,2))</f>
        <v>0</v>
      </c>
      <c r="AD627" s="38">
        <f>IF(B627="","",IF(C627="","No",IF(COUNTIFS($C$5:C627,C627)=1,"Yes","No")))</f>
        <v>0</v>
      </c>
      <c r="AE627" s="26">
        <f>IF(B627="","",ROUND(SUMIFS(Payments!$G$5:$G$1204,Payments!$H$5:$H$1204,A627,Payments!$Q$5:$Q$1204,"Yes"),2))</f>
        <v>0</v>
      </c>
      <c r="AF627" s="26">
        <f>IF(B627="","",IF(AD627="No",0,ROUND(SUMIFS(Payments!$G$5:$G$1204,Payments!$I$5:$I$1204,C627,Payments!$H$5:$H$1204,"",Payments!$Q$5:$Q$1204,"Yes"),2)))</f>
        <v>0</v>
      </c>
      <c r="AG627" s="26">
        <f>IF(B627="","",ROUND(AE627+AF627,2))</f>
        <v>0</v>
      </c>
      <c r="AH627" s="26">
        <f>IF(B627="","",ROUND(AA627-AG627,2))</f>
        <v>0</v>
      </c>
      <c r="AI627" s="39">
        <f>IF(B627="","",IF(AA627&lt;=0,"No charge",IF(AH627&lt;=0.004,"Paid",IF(AG627&lt;=0.004,"Unpaid","Part paid"))))</f>
        <v>0</v>
      </c>
      <c r="AJ627" s="38">
        <f>IF(B627="","",IF(H627&lt;&gt;"Service","",IF(D627="","No",IF(COUNTIFS($D$5:$D$1204,D627,$B$5:$B$1204,B627,$H$5:$H$1204,"Retail")&gt;0,"Yes","No"))))</f>
        <v>0</v>
      </c>
      <c r="AK627" s="25">
        <f>IF(B627="","",COUNTIFS($Y$5:$Y$1204,"&gt;"&amp;Y627)+COUNTIFS($Y$5:Y627,Y627))</f>
        <v>0</v>
      </c>
      <c r="AL627" s="39">
        <f>IF(B627="","",IF(H627="","Add - what kind of sale is this?",IF(IF(V627&lt;=0,P627="",FALSE),"Check - no price found for this item",IF(F627="","Assign - nobody credited",IF(AH627&gt;0.004,"Unpaid - balance outstanding",IF(AC627&lt;0,"Loss - sold below cost",IF(X627&gt;W627*0.5,"Check - more than half off","OK")))))))</f>
        <v>0</v>
      </c>
    </row>
    <row r="628" spans="1:38">
      <c r="A628" s="28">
        <f>IF(B628="","",SalePrefix&amp;TEXT(ROW()-4,"0000"))</f>
        <v>0</v>
      </c>
      <c r="E628" s="15">
        <f>IF(D628="","",IFERROR(INDEX(Clients!$B$5:$B$504,MATCH(D628,Clients!$A$5:$A$504,0)),"Walk-in"))</f>
        <v>0</v>
      </c>
      <c r="G628" s="15">
        <f>IF(F628="","",IFERROR(INDEX(Staff!$B$5:$B$44,MATCH(F628,Staff!$A$5:$A$44,0)),"House"))</f>
        <v>0</v>
      </c>
      <c r="R628" s="15">
        <f>IF(B628="","",TEXT(B628,"yyyy-mm"))</f>
        <v>0</v>
      </c>
      <c r="S628" s="25">
        <f>IF(B628="","",WEEKNUM(B628,2))</f>
        <v>0</v>
      </c>
      <c r="T628" s="37">
        <f>IF(B628="","",IF(K628="",1,K628))</f>
        <v>0</v>
      </c>
      <c r="U628" s="15">
        <f>IF(B628="","",IF(J628&lt;&gt;"",J628,IF(H628="Retail",IFERROR(INDEX(Inventory!$B$5:$B$304,MATCH(I628,Inventory!$A$5:$A$304,0))&amp;"","Not in Inventory"),IFERROR(INDEX(Services!$B$5:$B$204,MATCH(I628,Services!$A$5:$A$204,0))&amp;"","Not in Services"))))</f>
        <v>0</v>
      </c>
      <c r="V628" s="26">
        <f>IF(B628="","",IF(L628&lt;&gt;"",L628,IF(H628="Retail",IFERROR(INDEX(Inventory!$I$5:$I$304,MATCH(I628,Inventory!$A$5:$A$304,0))*1,0),IFERROR(INDEX(Services!$G$5:$G$204,MATCH(I628,Services!$A$5:$A$204,0))*1,0))))</f>
        <v>0</v>
      </c>
      <c r="W628" s="26">
        <f>IF(B628="","",ROUND(T628*V628,2))</f>
        <v>0</v>
      </c>
      <c r="X628" s="26">
        <f>IF(B628="","",ROUND(IF(M628="",0,W628*M628)+IF(N628="",0,N628),2))</f>
        <v>0</v>
      </c>
      <c r="Y628" s="26">
        <f>IF(B628="","",ROUND(W628-X628-IF(P628="",0,P628),2))</f>
        <v>0</v>
      </c>
      <c r="Z628" s="26">
        <f>IF(B628="","",IF(H628="Retail",IF(TaxOnRetail="Yes",ROUND(Y628*TaxRate,2),0),IF(H628="Service",IF(TaxOnServices="Yes",ROUND(Y628*TaxRate,2),0),0)))</f>
        <v>0</v>
      </c>
      <c r="AA628" s="26">
        <f>IF(B628="","",ROUND(Y628+Z628,2))</f>
        <v>0</v>
      </c>
      <c r="AB628" s="26">
        <f>IF(B628="","",ROUND(T628*IF(H628="Retail",IFERROR(INDEX(Inventory!$H$5:$H$304,MATCH(I628,Inventory!$A$5:$A$304,0))*1,0),IFERROR(INDEX(Services!$Q$5:$Q$204,MATCH(I628,Services!$A$5:$A$204,0))*1,0)),2))</f>
        <v>0</v>
      </c>
      <c r="AC628" s="26">
        <f>IF(B628="","",ROUND(Y628-AB628,2))</f>
        <v>0</v>
      </c>
      <c r="AD628" s="38">
        <f>IF(B628="","",IF(C628="","No",IF(COUNTIFS($C$5:C628,C628)=1,"Yes","No")))</f>
        <v>0</v>
      </c>
      <c r="AE628" s="26">
        <f>IF(B628="","",ROUND(SUMIFS(Payments!$G$5:$G$1204,Payments!$H$5:$H$1204,A628,Payments!$Q$5:$Q$1204,"Yes"),2))</f>
        <v>0</v>
      </c>
      <c r="AF628" s="26">
        <f>IF(B628="","",IF(AD628="No",0,ROUND(SUMIFS(Payments!$G$5:$G$1204,Payments!$I$5:$I$1204,C628,Payments!$H$5:$H$1204,"",Payments!$Q$5:$Q$1204,"Yes"),2)))</f>
        <v>0</v>
      </c>
      <c r="AG628" s="26">
        <f>IF(B628="","",ROUND(AE628+AF628,2))</f>
        <v>0</v>
      </c>
      <c r="AH628" s="26">
        <f>IF(B628="","",ROUND(AA628-AG628,2))</f>
        <v>0</v>
      </c>
      <c r="AI628" s="39">
        <f>IF(B628="","",IF(AA628&lt;=0,"No charge",IF(AH628&lt;=0.004,"Paid",IF(AG628&lt;=0.004,"Unpaid","Part paid"))))</f>
        <v>0</v>
      </c>
      <c r="AJ628" s="38">
        <f>IF(B628="","",IF(H628&lt;&gt;"Service","",IF(D628="","No",IF(COUNTIFS($D$5:$D$1204,D628,$B$5:$B$1204,B628,$H$5:$H$1204,"Retail")&gt;0,"Yes","No"))))</f>
        <v>0</v>
      </c>
      <c r="AK628" s="25">
        <f>IF(B628="","",COUNTIFS($Y$5:$Y$1204,"&gt;"&amp;Y628)+COUNTIFS($Y$5:Y628,Y628))</f>
        <v>0</v>
      </c>
      <c r="AL628" s="39">
        <f>IF(B628="","",IF(H628="","Add - what kind of sale is this?",IF(IF(V628&lt;=0,P628="",FALSE),"Check - no price found for this item",IF(F628="","Assign - nobody credited",IF(AH628&gt;0.004,"Unpaid - balance outstanding",IF(AC628&lt;0,"Loss - sold below cost",IF(X628&gt;W628*0.5,"Check - more than half off","OK")))))))</f>
        <v>0</v>
      </c>
    </row>
    <row r="629" spans="1:38">
      <c r="A629" s="28">
        <f>IF(B629="","",SalePrefix&amp;TEXT(ROW()-4,"0000"))</f>
        <v>0</v>
      </c>
      <c r="E629" s="15">
        <f>IF(D629="","",IFERROR(INDEX(Clients!$B$5:$B$504,MATCH(D629,Clients!$A$5:$A$504,0)),"Walk-in"))</f>
        <v>0</v>
      </c>
      <c r="G629" s="15">
        <f>IF(F629="","",IFERROR(INDEX(Staff!$B$5:$B$44,MATCH(F629,Staff!$A$5:$A$44,0)),"House"))</f>
        <v>0</v>
      </c>
      <c r="R629" s="15">
        <f>IF(B629="","",TEXT(B629,"yyyy-mm"))</f>
        <v>0</v>
      </c>
      <c r="S629" s="25">
        <f>IF(B629="","",WEEKNUM(B629,2))</f>
        <v>0</v>
      </c>
      <c r="T629" s="37">
        <f>IF(B629="","",IF(K629="",1,K629))</f>
        <v>0</v>
      </c>
      <c r="U629" s="15">
        <f>IF(B629="","",IF(J629&lt;&gt;"",J629,IF(H629="Retail",IFERROR(INDEX(Inventory!$B$5:$B$304,MATCH(I629,Inventory!$A$5:$A$304,0))&amp;"","Not in Inventory"),IFERROR(INDEX(Services!$B$5:$B$204,MATCH(I629,Services!$A$5:$A$204,0))&amp;"","Not in Services"))))</f>
        <v>0</v>
      </c>
      <c r="V629" s="26">
        <f>IF(B629="","",IF(L629&lt;&gt;"",L629,IF(H629="Retail",IFERROR(INDEX(Inventory!$I$5:$I$304,MATCH(I629,Inventory!$A$5:$A$304,0))*1,0),IFERROR(INDEX(Services!$G$5:$G$204,MATCH(I629,Services!$A$5:$A$204,0))*1,0))))</f>
        <v>0</v>
      </c>
      <c r="W629" s="26">
        <f>IF(B629="","",ROUND(T629*V629,2))</f>
        <v>0</v>
      </c>
      <c r="X629" s="26">
        <f>IF(B629="","",ROUND(IF(M629="",0,W629*M629)+IF(N629="",0,N629),2))</f>
        <v>0</v>
      </c>
      <c r="Y629" s="26">
        <f>IF(B629="","",ROUND(W629-X629-IF(P629="",0,P629),2))</f>
        <v>0</v>
      </c>
      <c r="Z629" s="26">
        <f>IF(B629="","",IF(H629="Retail",IF(TaxOnRetail="Yes",ROUND(Y629*TaxRate,2),0),IF(H629="Service",IF(TaxOnServices="Yes",ROUND(Y629*TaxRate,2),0),0)))</f>
        <v>0</v>
      </c>
      <c r="AA629" s="26">
        <f>IF(B629="","",ROUND(Y629+Z629,2))</f>
        <v>0</v>
      </c>
      <c r="AB629" s="26">
        <f>IF(B629="","",ROUND(T629*IF(H629="Retail",IFERROR(INDEX(Inventory!$H$5:$H$304,MATCH(I629,Inventory!$A$5:$A$304,0))*1,0),IFERROR(INDEX(Services!$Q$5:$Q$204,MATCH(I629,Services!$A$5:$A$204,0))*1,0)),2))</f>
        <v>0</v>
      </c>
      <c r="AC629" s="26">
        <f>IF(B629="","",ROUND(Y629-AB629,2))</f>
        <v>0</v>
      </c>
      <c r="AD629" s="38">
        <f>IF(B629="","",IF(C629="","No",IF(COUNTIFS($C$5:C629,C629)=1,"Yes","No")))</f>
        <v>0</v>
      </c>
      <c r="AE629" s="26">
        <f>IF(B629="","",ROUND(SUMIFS(Payments!$G$5:$G$1204,Payments!$H$5:$H$1204,A629,Payments!$Q$5:$Q$1204,"Yes"),2))</f>
        <v>0</v>
      </c>
      <c r="AF629" s="26">
        <f>IF(B629="","",IF(AD629="No",0,ROUND(SUMIFS(Payments!$G$5:$G$1204,Payments!$I$5:$I$1204,C629,Payments!$H$5:$H$1204,"",Payments!$Q$5:$Q$1204,"Yes"),2)))</f>
        <v>0</v>
      </c>
      <c r="AG629" s="26">
        <f>IF(B629="","",ROUND(AE629+AF629,2))</f>
        <v>0</v>
      </c>
      <c r="AH629" s="26">
        <f>IF(B629="","",ROUND(AA629-AG629,2))</f>
        <v>0</v>
      </c>
      <c r="AI629" s="39">
        <f>IF(B629="","",IF(AA629&lt;=0,"No charge",IF(AH629&lt;=0.004,"Paid",IF(AG629&lt;=0.004,"Unpaid","Part paid"))))</f>
        <v>0</v>
      </c>
      <c r="AJ629" s="38">
        <f>IF(B629="","",IF(H629&lt;&gt;"Service","",IF(D629="","No",IF(COUNTIFS($D$5:$D$1204,D629,$B$5:$B$1204,B629,$H$5:$H$1204,"Retail")&gt;0,"Yes","No"))))</f>
        <v>0</v>
      </c>
      <c r="AK629" s="25">
        <f>IF(B629="","",COUNTIFS($Y$5:$Y$1204,"&gt;"&amp;Y629)+COUNTIFS($Y$5:Y629,Y629))</f>
        <v>0</v>
      </c>
      <c r="AL629" s="39">
        <f>IF(B629="","",IF(H629="","Add - what kind of sale is this?",IF(IF(V629&lt;=0,P629="",FALSE),"Check - no price found for this item",IF(F629="","Assign - nobody credited",IF(AH629&gt;0.004,"Unpaid - balance outstanding",IF(AC629&lt;0,"Loss - sold below cost",IF(X629&gt;W629*0.5,"Check - more than half off","OK")))))))</f>
        <v>0</v>
      </c>
    </row>
    <row r="630" spans="1:38">
      <c r="A630" s="28">
        <f>IF(B630="","",SalePrefix&amp;TEXT(ROW()-4,"0000"))</f>
        <v>0</v>
      </c>
      <c r="E630" s="15">
        <f>IF(D630="","",IFERROR(INDEX(Clients!$B$5:$B$504,MATCH(D630,Clients!$A$5:$A$504,0)),"Walk-in"))</f>
        <v>0</v>
      </c>
      <c r="G630" s="15">
        <f>IF(F630="","",IFERROR(INDEX(Staff!$B$5:$B$44,MATCH(F630,Staff!$A$5:$A$44,0)),"House"))</f>
        <v>0</v>
      </c>
      <c r="R630" s="15">
        <f>IF(B630="","",TEXT(B630,"yyyy-mm"))</f>
        <v>0</v>
      </c>
      <c r="S630" s="25">
        <f>IF(B630="","",WEEKNUM(B630,2))</f>
        <v>0</v>
      </c>
      <c r="T630" s="37">
        <f>IF(B630="","",IF(K630="",1,K630))</f>
        <v>0</v>
      </c>
      <c r="U630" s="15">
        <f>IF(B630="","",IF(J630&lt;&gt;"",J630,IF(H630="Retail",IFERROR(INDEX(Inventory!$B$5:$B$304,MATCH(I630,Inventory!$A$5:$A$304,0))&amp;"","Not in Inventory"),IFERROR(INDEX(Services!$B$5:$B$204,MATCH(I630,Services!$A$5:$A$204,0))&amp;"","Not in Services"))))</f>
        <v>0</v>
      </c>
      <c r="V630" s="26">
        <f>IF(B630="","",IF(L630&lt;&gt;"",L630,IF(H630="Retail",IFERROR(INDEX(Inventory!$I$5:$I$304,MATCH(I630,Inventory!$A$5:$A$304,0))*1,0),IFERROR(INDEX(Services!$G$5:$G$204,MATCH(I630,Services!$A$5:$A$204,0))*1,0))))</f>
        <v>0</v>
      </c>
      <c r="W630" s="26">
        <f>IF(B630="","",ROUND(T630*V630,2))</f>
        <v>0</v>
      </c>
      <c r="X630" s="26">
        <f>IF(B630="","",ROUND(IF(M630="",0,W630*M630)+IF(N630="",0,N630),2))</f>
        <v>0</v>
      </c>
      <c r="Y630" s="26">
        <f>IF(B630="","",ROUND(W630-X630-IF(P630="",0,P630),2))</f>
        <v>0</v>
      </c>
      <c r="Z630" s="26">
        <f>IF(B630="","",IF(H630="Retail",IF(TaxOnRetail="Yes",ROUND(Y630*TaxRate,2),0),IF(H630="Service",IF(TaxOnServices="Yes",ROUND(Y630*TaxRate,2),0),0)))</f>
        <v>0</v>
      </c>
      <c r="AA630" s="26">
        <f>IF(B630="","",ROUND(Y630+Z630,2))</f>
        <v>0</v>
      </c>
      <c r="AB630" s="26">
        <f>IF(B630="","",ROUND(T630*IF(H630="Retail",IFERROR(INDEX(Inventory!$H$5:$H$304,MATCH(I630,Inventory!$A$5:$A$304,0))*1,0),IFERROR(INDEX(Services!$Q$5:$Q$204,MATCH(I630,Services!$A$5:$A$204,0))*1,0)),2))</f>
        <v>0</v>
      </c>
      <c r="AC630" s="26">
        <f>IF(B630="","",ROUND(Y630-AB630,2))</f>
        <v>0</v>
      </c>
      <c r="AD630" s="38">
        <f>IF(B630="","",IF(C630="","No",IF(COUNTIFS($C$5:C630,C630)=1,"Yes","No")))</f>
        <v>0</v>
      </c>
      <c r="AE630" s="26">
        <f>IF(B630="","",ROUND(SUMIFS(Payments!$G$5:$G$1204,Payments!$H$5:$H$1204,A630,Payments!$Q$5:$Q$1204,"Yes"),2))</f>
        <v>0</v>
      </c>
      <c r="AF630" s="26">
        <f>IF(B630="","",IF(AD630="No",0,ROUND(SUMIFS(Payments!$G$5:$G$1204,Payments!$I$5:$I$1204,C630,Payments!$H$5:$H$1204,"",Payments!$Q$5:$Q$1204,"Yes"),2)))</f>
        <v>0</v>
      </c>
      <c r="AG630" s="26">
        <f>IF(B630="","",ROUND(AE630+AF630,2))</f>
        <v>0</v>
      </c>
      <c r="AH630" s="26">
        <f>IF(B630="","",ROUND(AA630-AG630,2))</f>
        <v>0</v>
      </c>
      <c r="AI630" s="39">
        <f>IF(B630="","",IF(AA630&lt;=0,"No charge",IF(AH630&lt;=0.004,"Paid",IF(AG630&lt;=0.004,"Unpaid","Part paid"))))</f>
        <v>0</v>
      </c>
      <c r="AJ630" s="38">
        <f>IF(B630="","",IF(H630&lt;&gt;"Service","",IF(D630="","No",IF(COUNTIFS($D$5:$D$1204,D630,$B$5:$B$1204,B630,$H$5:$H$1204,"Retail")&gt;0,"Yes","No"))))</f>
        <v>0</v>
      </c>
      <c r="AK630" s="25">
        <f>IF(B630="","",COUNTIFS($Y$5:$Y$1204,"&gt;"&amp;Y630)+COUNTIFS($Y$5:Y630,Y630))</f>
        <v>0</v>
      </c>
      <c r="AL630" s="39">
        <f>IF(B630="","",IF(H630="","Add - what kind of sale is this?",IF(IF(V630&lt;=0,P630="",FALSE),"Check - no price found for this item",IF(F630="","Assign - nobody credited",IF(AH630&gt;0.004,"Unpaid - balance outstanding",IF(AC630&lt;0,"Loss - sold below cost",IF(X630&gt;W630*0.5,"Check - more than half off","OK")))))))</f>
        <v>0</v>
      </c>
    </row>
    <row r="631" spans="1:38">
      <c r="A631" s="28">
        <f>IF(B631="","",SalePrefix&amp;TEXT(ROW()-4,"0000"))</f>
        <v>0</v>
      </c>
      <c r="E631" s="15">
        <f>IF(D631="","",IFERROR(INDEX(Clients!$B$5:$B$504,MATCH(D631,Clients!$A$5:$A$504,0)),"Walk-in"))</f>
        <v>0</v>
      </c>
      <c r="G631" s="15">
        <f>IF(F631="","",IFERROR(INDEX(Staff!$B$5:$B$44,MATCH(F631,Staff!$A$5:$A$44,0)),"House"))</f>
        <v>0</v>
      </c>
      <c r="R631" s="15">
        <f>IF(B631="","",TEXT(B631,"yyyy-mm"))</f>
        <v>0</v>
      </c>
      <c r="S631" s="25">
        <f>IF(B631="","",WEEKNUM(B631,2))</f>
        <v>0</v>
      </c>
      <c r="T631" s="37">
        <f>IF(B631="","",IF(K631="",1,K631))</f>
        <v>0</v>
      </c>
      <c r="U631" s="15">
        <f>IF(B631="","",IF(J631&lt;&gt;"",J631,IF(H631="Retail",IFERROR(INDEX(Inventory!$B$5:$B$304,MATCH(I631,Inventory!$A$5:$A$304,0))&amp;"","Not in Inventory"),IFERROR(INDEX(Services!$B$5:$B$204,MATCH(I631,Services!$A$5:$A$204,0))&amp;"","Not in Services"))))</f>
        <v>0</v>
      </c>
      <c r="V631" s="26">
        <f>IF(B631="","",IF(L631&lt;&gt;"",L631,IF(H631="Retail",IFERROR(INDEX(Inventory!$I$5:$I$304,MATCH(I631,Inventory!$A$5:$A$304,0))*1,0),IFERROR(INDEX(Services!$G$5:$G$204,MATCH(I631,Services!$A$5:$A$204,0))*1,0))))</f>
        <v>0</v>
      </c>
      <c r="W631" s="26">
        <f>IF(B631="","",ROUND(T631*V631,2))</f>
        <v>0</v>
      </c>
      <c r="X631" s="26">
        <f>IF(B631="","",ROUND(IF(M631="",0,W631*M631)+IF(N631="",0,N631),2))</f>
        <v>0</v>
      </c>
      <c r="Y631" s="26">
        <f>IF(B631="","",ROUND(W631-X631-IF(P631="",0,P631),2))</f>
        <v>0</v>
      </c>
      <c r="Z631" s="26">
        <f>IF(B631="","",IF(H631="Retail",IF(TaxOnRetail="Yes",ROUND(Y631*TaxRate,2),0),IF(H631="Service",IF(TaxOnServices="Yes",ROUND(Y631*TaxRate,2),0),0)))</f>
        <v>0</v>
      </c>
      <c r="AA631" s="26">
        <f>IF(B631="","",ROUND(Y631+Z631,2))</f>
        <v>0</v>
      </c>
      <c r="AB631" s="26">
        <f>IF(B631="","",ROUND(T631*IF(H631="Retail",IFERROR(INDEX(Inventory!$H$5:$H$304,MATCH(I631,Inventory!$A$5:$A$304,0))*1,0),IFERROR(INDEX(Services!$Q$5:$Q$204,MATCH(I631,Services!$A$5:$A$204,0))*1,0)),2))</f>
        <v>0</v>
      </c>
      <c r="AC631" s="26">
        <f>IF(B631="","",ROUND(Y631-AB631,2))</f>
        <v>0</v>
      </c>
      <c r="AD631" s="38">
        <f>IF(B631="","",IF(C631="","No",IF(COUNTIFS($C$5:C631,C631)=1,"Yes","No")))</f>
        <v>0</v>
      </c>
      <c r="AE631" s="26">
        <f>IF(B631="","",ROUND(SUMIFS(Payments!$G$5:$G$1204,Payments!$H$5:$H$1204,A631,Payments!$Q$5:$Q$1204,"Yes"),2))</f>
        <v>0</v>
      </c>
      <c r="AF631" s="26">
        <f>IF(B631="","",IF(AD631="No",0,ROUND(SUMIFS(Payments!$G$5:$G$1204,Payments!$I$5:$I$1204,C631,Payments!$H$5:$H$1204,"",Payments!$Q$5:$Q$1204,"Yes"),2)))</f>
        <v>0</v>
      </c>
      <c r="AG631" s="26">
        <f>IF(B631="","",ROUND(AE631+AF631,2))</f>
        <v>0</v>
      </c>
      <c r="AH631" s="26">
        <f>IF(B631="","",ROUND(AA631-AG631,2))</f>
        <v>0</v>
      </c>
      <c r="AI631" s="39">
        <f>IF(B631="","",IF(AA631&lt;=0,"No charge",IF(AH631&lt;=0.004,"Paid",IF(AG631&lt;=0.004,"Unpaid","Part paid"))))</f>
        <v>0</v>
      </c>
      <c r="AJ631" s="38">
        <f>IF(B631="","",IF(H631&lt;&gt;"Service","",IF(D631="","No",IF(COUNTIFS($D$5:$D$1204,D631,$B$5:$B$1204,B631,$H$5:$H$1204,"Retail")&gt;0,"Yes","No"))))</f>
        <v>0</v>
      </c>
      <c r="AK631" s="25">
        <f>IF(B631="","",COUNTIFS($Y$5:$Y$1204,"&gt;"&amp;Y631)+COUNTIFS($Y$5:Y631,Y631))</f>
        <v>0</v>
      </c>
      <c r="AL631" s="39">
        <f>IF(B631="","",IF(H631="","Add - what kind of sale is this?",IF(IF(V631&lt;=0,P631="",FALSE),"Check - no price found for this item",IF(F631="","Assign - nobody credited",IF(AH631&gt;0.004,"Unpaid - balance outstanding",IF(AC631&lt;0,"Loss - sold below cost",IF(X631&gt;W631*0.5,"Check - more than half off","OK")))))))</f>
        <v>0</v>
      </c>
    </row>
    <row r="632" spans="1:38">
      <c r="A632" s="28">
        <f>IF(B632="","",SalePrefix&amp;TEXT(ROW()-4,"0000"))</f>
        <v>0</v>
      </c>
      <c r="E632" s="15">
        <f>IF(D632="","",IFERROR(INDEX(Clients!$B$5:$B$504,MATCH(D632,Clients!$A$5:$A$504,0)),"Walk-in"))</f>
        <v>0</v>
      </c>
      <c r="G632" s="15">
        <f>IF(F632="","",IFERROR(INDEX(Staff!$B$5:$B$44,MATCH(F632,Staff!$A$5:$A$44,0)),"House"))</f>
        <v>0</v>
      </c>
      <c r="R632" s="15">
        <f>IF(B632="","",TEXT(B632,"yyyy-mm"))</f>
        <v>0</v>
      </c>
      <c r="S632" s="25">
        <f>IF(B632="","",WEEKNUM(B632,2))</f>
        <v>0</v>
      </c>
      <c r="T632" s="37">
        <f>IF(B632="","",IF(K632="",1,K632))</f>
        <v>0</v>
      </c>
      <c r="U632" s="15">
        <f>IF(B632="","",IF(J632&lt;&gt;"",J632,IF(H632="Retail",IFERROR(INDEX(Inventory!$B$5:$B$304,MATCH(I632,Inventory!$A$5:$A$304,0))&amp;"","Not in Inventory"),IFERROR(INDEX(Services!$B$5:$B$204,MATCH(I632,Services!$A$5:$A$204,0))&amp;"","Not in Services"))))</f>
        <v>0</v>
      </c>
      <c r="V632" s="26">
        <f>IF(B632="","",IF(L632&lt;&gt;"",L632,IF(H632="Retail",IFERROR(INDEX(Inventory!$I$5:$I$304,MATCH(I632,Inventory!$A$5:$A$304,0))*1,0),IFERROR(INDEX(Services!$G$5:$G$204,MATCH(I632,Services!$A$5:$A$204,0))*1,0))))</f>
        <v>0</v>
      </c>
      <c r="W632" s="26">
        <f>IF(B632="","",ROUND(T632*V632,2))</f>
        <v>0</v>
      </c>
      <c r="X632" s="26">
        <f>IF(B632="","",ROUND(IF(M632="",0,W632*M632)+IF(N632="",0,N632),2))</f>
        <v>0</v>
      </c>
      <c r="Y632" s="26">
        <f>IF(B632="","",ROUND(W632-X632-IF(P632="",0,P632),2))</f>
        <v>0</v>
      </c>
      <c r="Z632" s="26">
        <f>IF(B632="","",IF(H632="Retail",IF(TaxOnRetail="Yes",ROUND(Y632*TaxRate,2),0),IF(H632="Service",IF(TaxOnServices="Yes",ROUND(Y632*TaxRate,2),0),0)))</f>
        <v>0</v>
      </c>
      <c r="AA632" s="26">
        <f>IF(B632="","",ROUND(Y632+Z632,2))</f>
        <v>0</v>
      </c>
      <c r="AB632" s="26">
        <f>IF(B632="","",ROUND(T632*IF(H632="Retail",IFERROR(INDEX(Inventory!$H$5:$H$304,MATCH(I632,Inventory!$A$5:$A$304,0))*1,0),IFERROR(INDEX(Services!$Q$5:$Q$204,MATCH(I632,Services!$A$5:$A$204,0))*1,0)),2))</f>
        <v>0</v>
      </c>
      <c r="AC632" s="26">
        <f>IF(B632="","",ROUND(Y632-AB632,2))</f>
        <v>0</v>
      </c>
      <c r="AD632" s="38">
        <f>IF(B632="","",IF(C632="","No",IF(COUNTIFS($C$5:C632,C632)=1,"Yes","No")))</f>
        <v>0</v>
      </c>
      <c r="AE632" s="26">
        <f>IF(B632="","",ROUND(SUMIFS(Payments!$G$5:$G$1204,Payments!$H$5:$H$1204,A632,Payments!$Q$5:$Q$1204,"Yes"),2))</f>
        <v>0</v>
      </c>
      <c r="AF632" s="26">
        <f>IF(B632="","",IF(AD632="No",0,ROUND(SUMIFS(Payments!$G$5:$G$1204,Payments!$I$5:$I$1204,C632,Payments!$H$5:$H$1204,"",Payments!$Q$5:$Q$1204,"Yes"),2)))</f>
        <v>0</v>
      </c>
      <c r="AG632" s="26">
        <f>IF(B632="","",ROUND(AE632+AF632,2))</f>
        <v>0</v>
      </c>
      <c r="AH632" s="26">
        <f>IF(B632="","",ROUND(AA632-AG632,2))</f>
        <v>0</v>
      </c>
      <c r="AI632" s="39">
        <f>IF(B632="","",IF(AA632&lt;=0,"No charge",IF(AH632&lt;=0.004,"Paid",IF(AG632&lt;=0.004,"Unpaid","Part paid"))))</f>
        <v>0</v>
      </c>
      <c r="AJ632" s="38">
        <f>IF(B632="","",IF(H632&lt;&gt;"Service","",IF(D632="","No",IF(COUNTIFS($D$5:$D$1204,D632,$B$5:$B$1204,B632,$H$5:$H$1204,"Retail")&gt;0,"Yes","No"))))</f>
        <v>0</v>
      </c>
      <c r="AK632" s="25">
        <f>IF(B632="","",COUNTIFS($Y$5:$Y$1204,"&gt;"&amp;Y632)+COUNTIFS($Y$5:Y632,Y632))</f>
        <v>0</v>
      </c>
      <c r="AL632" s="39">
        <f>IF(B632="","",IF(H632="","Add - what kind of sale is this?",IF(IF(V632&lt;=0,P632="",FALSE),"Check - no price found for this item",IF(F632="","Assign - nobody credited",IF(AH632&gt;0.004,"Unpaid - balance outstanding",IF(AC632&lt;0,"Loss - sold below cost",IF(X632&gt;W632*0.5,"Check - more than half off","OK")))))))</f>
        <v>0</v>
      </c>
    </row>
    <row r="633" spans="1:38">
      <c r="A633" s="28">
        <f>IF(B633="","",SalePrefix&amp;TEXT(ROW()-4,"0000"))</f>
        <v>0</v>
      </c>
      <c r="E633" s="15">
        <f>IF(D633="","",IFERROR(INDEX(Clients!$B$5:$B$504,MATCH(D633,Clients!$A$5:$A$504,0)),"Walk-in"))</f>
        <v>0</v>
      </c>
      <c r="G633" s="15">
        <f>IF(F633="","",IFERROR(INDEX(Staff!$B$5:$B$44,MATCH(F633,Staff!$A$5:$A$44,0)),"House"))</f>
        <v>0</v>
      </c>
      <c r="R633" s="15">
        <f>IF(B633="","",TEXT(B633,"yyyy-mm"))</f>
        <v>0</v>
      </c>
      <c r="S633" s="25">
        <f>IF(B633="","",WEEKNUM(B633,2))</f>
        <v>0</v>
      </c>
      <c r="T633" s="37">
        <f>IF(B633="","",IF(K633="",1,K633))</f>
        <v>0</v>
      </c>
      <c r="U633" s="15">
        <f>IF(B633="","",IF(J633&lt;&gt;"",J633,IF(H633="Retail",IFERROR(INDEX(Inventory!$B$5:$B$304,MATCH(I633,Inventory!$A$5:$A$304,0))&amp;"","Not in Inventory"),IFERROR(INDEX(Services!$B$5:$B$204,MATCH(I633,Services!$A$5:$A$204,0))&amp;"","Not in Services"))))</f>
        <v>0</v>
      </c>
      <c r="V633" s="26">
        <f>IF(B633="","",IF(L633&lt;&gt;"",L633,IF(H633="Retail",IFERROR(INDEX(Inventory!$I$5:$I$304,MATCH(I633,Inventory!$A$5:$A$304,0))*1,0),IFERROR(INDEX(Services!$G$5:$G$204,MATCH(I633,Services!$A$5:$A$204,0))*1,0))))</f>
        <v>0</v>
      </c>
      <c r="W633" s="26">
        <f>IF(B633="","",ROUND(T633*V633,2))</f>
        <v>0</v>
      </c>
      <c r="X633" s="26">
        <f>IF(B633="","",ROUND(IF(M633="",0,W633*M633)+IF(N633="",0,N633),2))</f>
        <v>0</v>
      </c>
      <c r="Y633" s="26">
        <f>IF(B633="","",ROUND(W633-X633-IF(P633="",0,P633),2))</f>
        <v>0</v>
      </c>
      <c r="Z633" s="26">
        <f>IF(B633="","",IF(H633="Retail",IF(TaxOnRetail="Yes",ROUND(Y633*TaxRate,2),0),IF(H633="Service",IF(TaxOnServices="Yes",ROUND(Y633*TaxRate,2),0),0)))</f>
        <v>0</v>
      </c>
      <c r="AA633" s="26">
        <f>IF(B633="","",ROUND(Y633+Z633,2))</f>
        <v>0</v>
      </c>
      <c r="AB633" s="26">
        <f>IF(B633="","",ROUND(T633*IF(H633="Retail",IFERROR(INDEX(Inventory!$H$5:$H$304,MATCH(I633,Inventory!$A$5:$A$304,0))*1,0),IFERROR(INDEX(Services!$Q$5:$Q$204,MATCH(I633,Services!$A$5:$A$204,0))*1,0)),2))</f>
        <v>0</v>
      </c>
      <c r="AC633" s="26">
        <f>IF(B633="","",ROUND(Y633-AB633,2))</f>
        <v>0</v>
      </c>
      <c r="AD633" s="38">
        <f>IF(B633="","",IF(C633="","No",IF(COUNTIFS($C$5:C633,C633)=1,"Yes","No")))</f>
        <v>0</v>
      </c>
      <c r="AE633" s="26">
        <f>IF(B633="","",ROUND(SUMIFS(Payments!$G$5:$G$1204,Payments!$H$5:$H$1204,A633,Payments!$Q$5:$Q$1204,"Yes"),2))</f>
        <v>0</v>
      </c>
      <c r="AF633" s="26">
        <f>IF(B633="","",IF(AD633="No",0,ROUND(SUMIFS(Payments!$G$5:$G$1204,Payments!$I$5:$I$1204,C633,Payments!$H$5:$H$1204,"",Payments!$Q$5:$Q$1204,"Yes"),2)))</f>
        <v>0</v>
      </c>
      <c r="AG633" s="26">
        <f>IF(B633="","",ROUND(AE633+AF633,2))</f>
        <v>0</v>
      </c>
      <c r="AH633" s="26">
        <f>IF(B633="","",ROUND(AA633-AG633,2))</f>
        <v>0</v>
      </c>
      <c r="AI633" s="39">
        <f>IF(B633="","",IF(AA633&lt;=0,"No charge",IF(AH633&lt;=0.004,"Paid",IF(AG633&lt;=0.004,"Unpaid","Part paid"))))</f>
        <v>0</v>
      </c>
      <c r="AJ633" s="38">
        <f>IF(B633="","",IF(H633&lt;&gt;"Service","",IF(D633="","No",IF(COUNTIFS($D$5:$D$1204,D633,$B$5:$B$1204,B633,$H$5:$H$1204,"Retail")&gt;0,"Yes","No"))))</f>
        <v>0</v>
      </c>
      <c r="AK633" s="25">
        <f>IF(B633="","",COUNTIFS($Y$5:$Y$1204,"&gt;"&amp;Y633)+COUNTIFS($Y$5:Y633,Y633))</f>
        <v>0</v>
      </c>
      <c r="AL633" s="39">
        <f>IF(B633="","",IF(H633="","Add - what kind of sale is this?",IF(IF(V633&lt;=0,P633="",FALSE),"Check - no price found for this item",IF(F633="","Assign - nobody credited",IF(AH633&gt;0.004,"Unpaid - balance outstanding",IF(AC633&lt;0,"Loss - sold below cost",IF(X633&gt;W633*0.5,"Check - more than half off","OK")))))))</f>
        <v>0</v>
      </c>
    </row>
    <row r="634" spans="1:38">
      <c r="A634" s="28">
        <f>IF(B634="","",SalePrefix&amp;TEXT(ROW()-4,"0000"))</f>
        <v>0</v>
      </c>
      <c r="E634" s="15">
        <f>IF(D634="","",IFERROR(INDEX(Clients!$B$5:$B$504,MATCH(D634,Clients!$A$5:$A$504,0)),"Walk-in"))</f>
        <v>0</v>
      </c>
      <c r="G634" s="15">
        <f>IF(F634="","",IFERROR(INDEX(Staff!$B$5:$B$44,MATCH(F634,Staff!$A$5:$A$44,0)),"House"))</f>
        <v>0</v>
      </c>
      <c r="R634" s="15">
        <f>IF(B634="","",TEXT(B634,"yyyy-mm"))</f>
        <v>0</v>
      </c>
      <c r="S634" s="25">
        <f>IF(B634="","",WEEKNUM(B634,2))</f>
        <v>0</v>
      </c>
      <c r="T634" s="37">
        <f>IF(B634="","",IF(K634="",1,K634))</f>
        <v>0</v>
      </c>
      <c r="U634" s="15">
        <f>IF(B634="","",IF(J634&lt;&gt;"",J634,IF(H634="Retail",IFERROR(INDEX(Inventory!$B$5:$B$304,MATCH(I634,Inventory!$A$5:$A$304,0))&amp;"","Not in Inventory"),IFERROR(INDEX(Services!$B$5:$B$204,MATCH(I634,Services!$A$5:$A$204,0))&amp;"","Not in Services"))))</f>
        <v>0</v>
      </c>
      <c r="V634" s="26">
        <f>IF(B634="","",IF(L634&lt;&gt;"",L634,IF(H634="Retail",IFERROR(INDEX(Inventory!$I$5:$I$304,MATCH(I634,Inventory!$A$5:$A$304,0))*1,0),IFERROR(INDEX(Services!$G$5:$G$204,MATCH(I634,Services!$A$5:$A$204,0))*1,0))))</f>
        <v>0</v>
      </c>
      <c r="W634" s="26">
        <f>IF(B634="","",ROUND(T634*V634,2))</f>
        <v>0</v>
      </c>
      <c r="X634" s="26">
        <f>IF(B634="","",ROUND(IF(M634="",0,W634*M634)+IF(N634="",0,N634),2))</f>
        <v>0</v>
      </c>
      <c r="Y634" s="26">
        <f>IF(B634="","",ROUND(W634-X634-IF(P634="",0,P634),2))</f>
        <v>0</v>
      </c>
      <c r="Z634" s="26">
        <f>IF(B634="","",IF(H634="Retail",IF(TaxOnRetail="Yes",ROUND(Y634*TaxRate,2),0),IF(H634="Service",IF(TaxOnServices="Yes",ROUND(Y634*TaxRate,2),0),0)))</f>
        <v>0</v>
      </c>
      <c r="AA634" s="26">
        <f>IF(B634="","",ROUND(Y634+Z634,2))</f>
        <v>0</v>
      </c>
      <c r="AB634" s="26">
        <f>IF(B634="","",ROUND(T634*IF(H634="Retail",IFERROR(INDEX(Inventory!$H$5:$H$304,MATCH(I634,Inventory!$A$5:$A$304,0))*1,0),IFERROR(INDEX(Services!$Q$5:$Q$204,MATCH(I634,Services!$A$5:$A$204,0))*1,0)),2))</f>
        <v>0</v>
      </c>
      <c r="AC634" s="26">
        <f>IF(B634="","",ROUND(Y634-AB634,2))</f>
        <v>0</v>
      </c>
      <c r="AD634" s="38">
        <f>IF(B634="","",IF(C634="","No",IF(COUNTIFS($C$5:C634,C634)=1,"Yes","No")))</f>
        <v>0</v>
      </c>
      <c r="AE634" s="26">
        <f>IF(B634="","",ROUND(SUMIFS(Payments!$G$5:$G$1204,Payments!$H$5:$H$1204,A634,Payments!$Q$5:$Q$1204,"Yes"),2))</f>
        <v>0</v>
      </c>
      <c r="AF634" s="26">
        <f>IF(B634="","",IF(AD634="No",0,ROUND(SUMIFS(Payments!$G$5:$G$1204,Payments!$I$5:$I$1204,C634,Payments!$H$5:$H$1204,"",Payments!$Q$5:$Q$1204,"Yes"),2)))</f>
        <v>0</v>
      </c>
      <c r="AG634" s="26">
        <f>IF(B634="","",ROUND(AE634+AF634,2))</f>
        <v>0</v>
      </c>
      <c r="AH634" s="26">
        <f>IF(B634="","",ROUND(AA634-AG634,2))</f>
        <v>0</v>
      </c>
      <c r="AI634" s="39">
        <f>IF(B634="","",IF(AA634&lt;=0,"No charge",IF(AH634&lt;=0.004,"Paid",IF(AG634&lt;=0.004,"Unpaid","Part paid"))))</f>
        <v>0</v>
      </c>
      <c r="AJ634" s="38">
        <f>IF(B634="","",IF(H634&lt;&gt;"Service","",IF(D634="","No",IF(COUNTIFS($D$5:$D$1204,D634,$B$5:$B$1204,B634,$H$5:$H$1204,"Retail")&gt;0,"Yes","No"))))</f>
        <v>0</v>
      </c>
      <c r="AK634" s="25">
        <f>IF(B634="","",COUNTIFS($Y$5:$Y$1204,"&gt;"&amp;Y634)+COUNTIFS($Y$5:Y634,Y634))</f>
        <v>0</v>
      </c>
      <c r="AL634" s="39">
        <f>IF(B634="","",IF(H634="","Add - what kind of sale is this?",IF(IF(V634&lt;=0,P634="",FALSE),"Check - no price found for this item",IF(F634="","Assign - nobody credited",IF(AH634&gt;0.004,"Unpaid - balance outstanding",IF(AC634&lt;0,"Loss - sold below cost",IF(X634&gt;W634*0.5,"Check - more than half off","OK")))))))</f>
        <v>0</v>
      </c>
    </row>
    <row r="635" spans="1:38">
      <c r="A635" s="28">
        <f>IF(B635="","",SalePrefix&amp;TEXT(ROW()-4,"0000"))</f>
        <v>0</v>
      </c>
      <c r="E635" s="15">
        <f>IF(D635="","",IFERROR(INDEX(Clients!$B$5:$B$504,MATCH(D635,Clients!$A$5:$A$504,0)),"Walk-in"))</f>
        <v>0</v>
      </c>
      <c r="G635" s="15">
        <f>IF(F635="","",IFERROR(INDEX(Staff!$B$5:$B$44,MATCH(F635,Staff!$A$5:$A$44,0)),"House"))</f>
        <v>0</v>
      </c>
      <c r="R635" s="15">
        <f>IF(B635="","",TEXT(B635,"yyyy-mm"))</f>
        <v>0</v>
      </c>
      <c r="S635" s="25">
        <f>IF(B635="","",WEEKNUM(B635,2))</f>
        <v>0</v>
      </c>
      <c r="T635" s="37">
        <f>IF(B635="","",IF(K635="",1,K635))</f>
        <v>0</v>
      </c>
      <c r="U635" s="15">
        <f>IF(B635="","",IF(J635&lt;&gt;"",J635,IF(H635="Retail",IFERROR(INDEX(Inventory!$B$5:$B$304,MATCH(I635,Inventory!$A$5:$A$304,0))&amp;"","Not in Inventory"),IFERROR(INDEX(Services!$B$5:$B$204,MATCH(I635,Services!$A$5:$A$204,0))&amp;"","Not in Services"))))</f>
        <v>0</v>
      </c>
      <c r="V635" s="26">
        <f>IF(B635="","",IF(L635&lt;&gt;"",L635,IF(H635="Retail",IFERROR(INDEX(Inventory!$I$5:$I$304,MATCH(I635,Inventory!$A$5:$A$304,0))*1,0),IFERROR(INDEX(Services!$G$5:$G$204,MATCH(I635,Services!$A$5:$A$204,0))*1,0))))</f>
        <v>0</v>
      </c>
      <c r="W635" s="26">
        <f>IF(B635="","",ROUND(T635*V635,2))</f>
        <v>0</v>
      </c>
      <c r="X635" s="26">
        <f>IF(B635="","",ROUND(IF(M635="",0,W635*M635)+IF(N635="",0,N635),2))</f>
        <v>0</v>
      </c>
      <c r="Y635" s="26">
        <f>IF(B635="","",ROUND(W635-X635-IF(P635="",0,P635),2))</f>
        <v>0</v>
      </c>
      <c r="Z635" s="26">
        <f>IF(B635="","",IF(H635="Retail",IF(TaxOnRetail="Yes",ROUND(Y635*TaxRate,2),0),IF(H635="Service",IF(TaxOnServices="Yes",ROUND(Y635*TaxRate,2),0),0)))</f>
        <v>0</v>
      </c>
      <c r="AA635" s="26">
        <f>IF(B635="","",ROUND(Y635+Z635,2))</f>
        <v>0</v>
      </c>
      <c r="AB635" s="26">
        <f>IF(B635="","",ROUND(T635*IF(H635="Retail",IFERROR(INDEX(Inventory!$H$5:$H$304,MATCH(I635,Inventory!$A$5:$A$304,0))*1,0),IFERROR(INDEX(Services!$Q$5:$Q$204,MATCH(I635,Services!$A$5:$A$204,0))*1,0)),2))</f>
        <v>0</v>
      </c>
      <c r="AC635" s="26">
        <f>IF(B635="","",ROUND(Y635-AB635,2))</f>
        <v>0</v>
      </c>
      <c r="AD635" s="38">
        <f>IF(B635="","",IF(C635="","No",IF(COUNTIFS($C$5:C635,C635)=1,"Yes","No")))</f>
        <v>0</v>
      </c>
      <c r="AE635" s="26">
        <f>IF(B635="","",ROUND(SUMIFS(Payments!$G$5:$G$1204,Payments!$H$5:$H$1204,A635,Payments!$Q$5:$Q$1204,"Yes"),2))</f>
        <v>0</v>
      </c>
      <c r="AF635" s="26">
        <f>IF(B635="","",IF(AD635="No",0,ROUND(SUMIFS(Payments!$G$5:$G$1204,Payments!$I$5:$I$1204,C635,Payments!$H$5:$H$1204,"",Payments!$Q$5:$Q$1204,"Yes"),2)))</f>
        <v>0</v>
      </c>
      <c r="AG635" s="26">
        <f>IF(B635="","",ROUND(AE635+AF635,2))</f>
        <v>0</v>
      </c>
      <c r="AH635" s="26">
        <f>IF(B635="","",ROUND(AA635-AG635,2))</f>
        <v>0</v>
      </c>
      <c r="AI635" s="39">
        <f>IF(B635="","",IF(AA635&lt;=0,"No charge",IF(AH635&lt;=0.004,"Paid",IF(AG635&lt;=0.004,"Unpaid","Part paid"))))</f>
        <v>0</v>
      </c>
      <c r="AJ635" s="38">
        <f>IF(B635="","",IF(H635&lt;&gt;"Service","",IF(D635="","No",IF(COUNTIFS($D$5:$D$1204,D635,$B$5:$B$1204,B635,$H$5:$H$1204,"Retail")&gt;0,"Yes","No"))))</f>
        <v>0</v>
      </c>
      <c r="AK635" s="25">
        <f>IF(B635="","",COUNTIFS($Y$5:$Y$1204,"&gt;"&amp;Y635)+COUNTIFS($Y$5:Y635,Y635))</f>
        <v>0</v>
      </c>
      <c r="AL635" s="39">
        <f>IF(B635="","",IF(H635="","Add - what kind of sale is this?",IF(IF(V635&lt;=0,P635="",FALSE),"Check - no price found for this item",IF(F635="","Assign - nobody credited",IF(AH635&gt;0.004,"Unpaid - balance outstanding",IF(AC635&lt;0,"Loss - sold below cost",IF(X635&gt;W635*0.5,"Check - more than half off","OK")))))))</f>
        <v>0</v>
      </c>
    </row>
    <row r="636" spans="1:38">
      <c r="A636" s="28">
        <f>IF(B636="","",SalePrefix&amp;TEXT(ROW()-4,"0000"))</f>
        <v>0</v>
      </c>
      <c r="E636" s="15">
        <f>IF(D636="","",IFERROR(INDEX(Clients!$B$5:$B$504,MATCH(D636,Clients!$A$5:$A$504,0)),"Walk-in"))</f>
        <v>0</v>
      </c>
      <c r="G636" s="15">
        <f>IF(F636="","",IFERROR(INDEX(Staff!$B$5:$B$44,MATCH(F636,Staff!$A$5:$A$44,0)),"House"))</f>
        <v>0</v>
      </c>
      <c r="R636" s="15">
        <f>IF(B636="","",TEXT(B636,"yyyy-mm"))</f>
        <v>0</v>
      </c>
      <c r="S636" s="25">
        <f>IF(B636="","",WEEKNUM(B636,2))</f>
        <v>0</v>
      </c>
      <c r="T636" s="37">
        <f>IF(B636="","",IF(K636="",1,K636))</f>
        <v>0</v>
      </c>
      <c r="U636" s="15">
        <f>IF(B636="","",IF(J636&lt;&gt;"",J636,IF(H636="Retail",IFERROR(INDEX(Inventory!$B$5:$B$304,MATCH(I636,Inventory!$A$5:$A$304,0))&amp;"","Not in Inventory"),IFERROR(INDEX(Services!$B$5:$B$204,MATCH(I636,Services!$A$5:$A$204,0))&amp;"","Not in Services"))))</f>
        <v>0</v>
      </c>
      <c r="V636" s="26">
        <f>IF(B636="","",IF(L636&lt;&gt;"",L636,IF(H636="Retail",IFERROR(INDEX(Inventory!$I$5:$I$304,MATCH(I636,Inventory!$A$5:$A$304,0))*1,0),IFERROR(INDEX(Services!$G$5:$G$204,MATCH(I636,Services!$A$5:$A$204,0))*1,0))))</f>
        <v>0</v>
      </c>
      <c r="W636" s="26">
        <f>IF(B636="","",ROUND(T636*V636,2))</f>
        <v>0</v>
      </c>
      <c r="X636" s="26">
        <f>IF(B636="","",ROUND(IF(M636="",0,W636*M636)+IF(N636="",0,N636),2))</f>
        <v>0</v>
      </c>
      <c r="Y636" s="26">
        <f>IF(B636="","",ROUND(W636-X636-IF(P636="",0,P636),2))</f>
        <v>0</v>
      </c>
      <c r="Z636" s="26">
        <f>IF(B636="","",IF(H636="Retail",IF(TaxOnRetail="Yes",ROUND(Y636*TaxRate,2),0),IF(H636="Service",IF(TaxOnServices="Yes",ROUND(Y636*TaxRate,2),0),0)))</f>
        <v>0</v>
      </c>
      <c r="AA636" s="26">
        <f>IF(B636="","",ROUND(Y636+Z636,2))</f>
        <v>0</v>
      </c>
      <c r="AB636" s="26">
        <f>IF(B636="","",ROUND(T636*IF(H636="Retail",IFERROR(INDEX(Inventory!$H$5:$H$304,MATCH(I636,Inventory!$A$5:$A$304,0))*1,0),IFERROR(INDEX(Services!$Q$5:$Q$204,MATCH(I636,Services!$A$5:$A$204,0))*1,0)),2))</f>
        <v>0</v>
      </c>
      <c r="AC636" s="26">
        <f>IF(B636="","",ROUND(Y636-AB636,2))</f>
        <v>0</v>
      </c>
      <c r="AD636" s="38">
        <f>IF(B636="","",IF(C636="","No",IF(COUNTIFS($C$5:C636,C636)=1,"Yes","No")))</f>
        <v>0</v>
      </c>
      <c r="AE636" s="26">
        <f>IF(B636="","",ROUND(SUMIFS(Payments!$G$5:$G$1204,Payments!$H$5:$H$1204,A636,Payments!$Q$5:$Q$1204,"Yes"),2))</f>
        <v>0</v>
      </c>
      <c r="AF636" s="26">
        <f>IF(B636="","",IF(AD636="No",0,ROUND(SUMIFS(Payments!$G$5:$G$1204,Payments!$I$5:$I$1204,C636,Payments!$H$5:$H$1204,"",Payments!$Q$5:$Q$1204,"Yes"),2)))</f>
        <v>0</v>
      </c>
      <c r="AG636" s="26">
        <f>IF(B636="","",ROUND(AE636+AF636,2))</f>
        <v>0</v>
      </c>
      <c r="AH636" s="26">
        <f>IF(B636="","",ROUND(AA636-AG636,2))</f>
        <v>0</v>
      </c>
      <c r="AI636" s="39">
        <f>IF(B636="","",IF(AA636&lt;=0,"No charge",IF(AH636&lt;=0.004,"Paid",IF(AG636&lt;=0.004,"Unpaid","Part paid"))))</f>
        <v>0</v>
      </c>
      <c r="AJ636" s="38">
        <f>IF(B636="","",IF(H636&lt;&gt;"Service","",IF(D636="","No",IF(COUNTIFS($D$5:$D$1204,D636,$B$5:$B$1204,B636,$H$5:$H$1204,"Retail")&gt;0,"Yes","No"))))</f>
        <v>0</v>
      </c>
      <c r="AK636" s="25">
        <f>IF(B636="","",COUNTIFS($Y$5:$Y$1204,"&gt;"&amp;Y636)+COUNTIFS($Y$5:Y636,Y636))</f>
        <v>0</v>
      </c>
      <c r="AL636" s="39">
        <f>IF(B636="","",IF(H636="","Add - what kind of sale is this?",IF(IF(V636&lt;=0,P636="",FALSE),"Check - no price found for this item",IF(F636="","Assign - nobody credited",IF(AH636&gt;0.004,"Unpaid - balance outstanding",IF(AC636&lt;0,"Loss - sold below cost",IF(X636&gt;W636*0.5,"Check - more than half off","OK")))))))</f>
        <v>0</v>
      </c>
    </row>
    <row r="637" spans="1:38">
      <c r="A637" s="28">
        <f>IF(B637="","",SalePrefix&amp;TEXT(ROW()-4,"0000"))</f>
        <v>0</v>
      </c>
      <c r="E637" s="15">
        <f>IF(D637="","",IFERROR(INDEX(Clients!$B$5:$B$504,MATCH(D637,Clients!$A$5:$A$504,0)),"Walk-in"))</f>
        <v>0</v>
      </c>
      <c r="G637" s="15">
        <f>IF(F637="","",IFERROR(INDEX(Staff!$B$5:$B$44,MATCH(F637,Staff!$A$5:$A$44,0)),"House"))</f>
        <v>0</v>
      </c>
      <c r="R637" s="15">
        <f>IF(B637="","",TEXT(B637,"yyyy-mm"))</f>
        <v>0</v>
      </c>
      <c r="S637" s="25">
        <f>IF(B637="","",WEEKNUM(B637,2))</f>
        <v>0</v>
      </c>
      <c r="T637" s="37">
        <f>IF(B637="","",IF(K637="",1,K637))</f>
        <v>0</v>
      </c>
      <c r="U637" s="15">
        <f>IF(B637="","",IF(J637&lt;&gt;"",J637,IF(H637="Retail",IFERROR(INDEX(Inventory!$B$5:$B$304,MATCH(I637,Inventory!$A$5:$A$304,0))&amp;"","Not in Inventory"),IFERROR(INDEX(Services!$B$5:$B$204,MATCH(I637,Services!$A$5:$A$204,0))&amp;"","Not in Services"))))</f>
        <v>0</v>
      </c>
      <c r="V637" s="26">
        <f>IF(B637="","",IF(L637&lt;&gt;"",L637,IF(H637="Retail",IFERROR(INDEX(Inventory!$I$5:$I$304,MATCH(I637,Inventory!$A$5:$A$304,0))*1,0),IFERROR(INDEX(Services!$G$5:$G$204,MATCH(I637,Services!$A$5:$A$204,0))*1,0))))</f>
        <v>0</v>
      </c>
      <c r="W637" s="26">
        <f>IF(B637="","",ROUND(T637*V637,2))</f>
        <v>0</v>
      </c>
      <c r="X637" s="26">
        <f>IF(B637="","",ROUND(IF(M637="",0,W637*M637)+IF(N637="",0,N637),2))</f>
        <v>0</v>
      </c>
      <c r="Y637" s="26">
        <f>IF(B637="","",ROUND(W637-X637-IF(P637="",0,P637),2))</f>
        <v>0</v>
      </c>
      <c r="Z637" s="26">
        <f>IF(B637="","",IF(H637="Retail",IF(TaxOnRetail="Yes",ROUND(Y637*TaxRate,2),0),IF(H637="Service",IF(TaxOnServices="Yes",ROUND(Y637*TaxRate,2),0),0)))</f>
        <v>0</v>
      </c>
      <c r="AA637" s="26">
        <f>IF(B637="","",ROUND(Y637+Z637,2))</f>
        <v>0</v>
      </c>
      <c r="AB637" s="26">
        <f>IF(B637="","",ROUND(T637*IF(H637="Retail",IFERROR(INDEX(Inventory!$H$5:$H$304,MATCH(I637,Inventory!$A$5:$A$304,0))*1,0),IFERROR(INDEX(Services!$Q$5:$Q$204,MATCH(I637,Services!$A$5:$A$204,0))*1,0)),2))</f>
        <v>0</v>
      </c>
      <c r="AC637" s="26">
        <f>IF(B637="","",ROUND(Y637-AB637,2))</f>
        <v>0</v>
      </c>
      <c r="AD637" s="38">
        <f>IF(B637="","",IF(C637="","No",IF(COUNTIFS($C$5:C637,C637)=1,"Yes","No")))</f>
        <v>0</v>
      </c>
      <c r="AE637" s="26">
        <f>IF(B637="","",ROUND(SUMIFS(Payments!$G$5:$G$1204,Payments!$H$5:$H$1204,A637,Payments!$Q$5:$Q$1204,"Yes"),2))</f>
        <v>0</v>
      </c>
      <c r="AF637" s="26">
        <f>IF(B637="","",IF(AD637="No",0,ROUND(SUMIFS(Payments!$G$5:$G$1204,Payments!$I$5:$I$1204,C637,Payments!$H$5:$H$1204,"",Payments!$Q$5:$Q$1204,"Yes"),2)))</f>
        <v>0</v>
      </c>
      <c r="AG637" s="26">
        <f>IF(B637="","",ROUND(AE637+AF637,2))</f>
        <v>0</v>
      </c>
      <c r="AH637" s="26">
        <f>IF(B637="","",ROUND(AA637-AG637,2))</f>
        <v>0</v>
      </c>
      <c r="AI637" s="39">
        <f>IF(B637="","",IF(AA637&lt;=0,"No charge",IF(AH637&lt;=0.004,"Paid",IF(AG637&lt;=0.004,"Unpaid","Part paid"))))</f>
        <v>0</v>
      </c>
      <c r="AJ637" s="38">
        <f>IF(B637="","",IF(H637&lt;&gt;"Service","",IF(D637="","No",IF(COUNTIFS($D$5:$D$1204,D637,$B$5:$B$1204,B637,$H$5:$H$1204,"Retail")&gt;0,"Yes","No"))))</f>
        <v>0</v>
      </c>
      <c r="AK637" s="25">
        <f>IF(B637="","",COUNTIFS($Y$5:$Y$1204,"&gt;"&amp;Y637)+COUNTIFS($Y$5:Y637,Y637))</f>
        <v>0</v>
      </c>
      <c r="AL637" s="39">
        <f>IF(B637="","",IF(H637="","Add - what kind of sale is this?",IF(IF(V637&lt;=0,P637="",FALSE),"Check - no price found for this item",IF(F637="","Assign - nobody credited",IF(AH637&gt;0.004,"Unpaid - balance outstanding",IF(AC637&lt;0,"Loss - sold below cost",IF(X637&gt;W637*0.5,"Check - more than half off","OK")))))))</f>
        <v>0</v>
      </c>
    </row>
    <row r="638" spans="1:38">
      <c r="A638" s="28">
        <f>IF(B638="","",SalePrefix&amp;TEXT(ROW()-4,"0000"))</f>
        <v>0</v>
      </c>
      <c r="E638" s="15">
        <f>IF(D638="","",IFERROR(INDEX(Clients!$B$5:$B$504,MATCH(D638,Clients!$A$5:$A$504,0)),"Walk-in"))</f>
        <v>0</v>
      </c>
      <c r="G638" s="15">
        <f>IF(F638="","",IFERROR(INDEX(Staff!$B$5:$B$44,MATCH(F638,Staff!$A$5:$A$44,0)),"House"))</f>
        <v>0</v>
      </c>
      <c r="R638" s="15">
        <f>IF(B638="","",TEXT(B638,"yyyy-mm"))</f>
        <v>0</v>
      </c>
      <c r="S638" s="25">
        <f>IF(B638="","",WEEKNUM(B638,2))</f>
        <v>0</v>
      </c>
      <c r="T638" s="37">
        <f>IF(B638="","",IF(K638="",1,K638))</f>
        <v>0</v>
      </c>
      <c r="U638" s="15">
        <f>IF(B638="","",IF(J638&lt;&gt;"",J638,IF(H638="Retail",IFERROR(INDEX(Inventory!$B$5:$B$304,MATCH(I638,Inventory!$A$5:$A$304,0))&amp;"","Not in Inventory"),IFERROR(INDEX(Services!$B$5:$B$204,MATCH(I638,Services!$A$5:$A$204,0))&amp;"","Not in Services"))))</f>
        <v>0</v>
      </c>
      <c r="V638" s="26">
        <f>IF(B638="","",IF(L638&lt;&gt;"",L638,IF(H638="Retail",IFERROR(INDEX(Inventory!$I$5:$I$304,MATCH(I638,Inventory!$A$5:$A$304,0))*1,0),IFERROR(INDEX(Services!$G$5:$G$204,MATCH(I638,Services!$A$5:$A$204,0))*1,0))))</f>
        <v>0</v>
      </c>
      <c r="W638" s="26">
        <f>IF(B638="","",ROUND(T638*V638,2))</f>
        <v>0</v>
      </c>
      <c r="X638" s="26">
        <f>IF(B638="","",ROUND(IF(M638="",0,W638*M638)+IF(N638="",0,N638),2))</f>
        <v>0</v>
      </c>
      <c r="Y638" s="26">
        <f>IF(B638="","",ROUND(W638-X638-IF(P638="",0,P638),2))</f>
        <v>0</v>
      </c>
      <c r="Z638" s="26">
        <f>IF(B638="","",IF(H638="Retail",IF(TaxOnRetail="Yes",ROUND(Y638*TaxRate,2),0),IF(H638="Service",IF(TaxOnServices="Yes",ROUND(Y638*TaxRate,2),0),0)))</f>
        <v>0</v>
      </c>
      <c r="AA638" s="26">
        <f>IF(B638="","",ROUND(Y638+Z638,2))</f>
        <v>0</v>
      </c>
      <c r="AB638" s="26">
        <f>IF(B638="","",ROUND(T638*IF(H638="Retail",IFERROR(INDEX(Inventory!$H$5:$H$304,MATCH(I638,Inventory!$A$5:$A$304,0))*1,0),IFERROR(INDEX(Services!$Q$5:$Q$204,MATCH(I638,Services!$A$5:$A$204,0))*1,0)),2))</f>
        <v>0</v>
      </c>
      <c r="AC638" s="26">
        <f>IF(B638="","",ROUND(Y638-AB638,2))</f>
        <v>0</v>
      </c>
      <c r="AD638" s="38">
        <f>IF(B638="","",IF(C638="","No",IF(COUNTIFS($C$5:C638,C638)=1,"Yes","No")))</f>
        <v>0</v>
      </c>
      <c r="AE638" s="26">
        <f>IF(B638="","",ROUND(SUMIFS(Payments!$G$5:$G$1204,Payments!$H$5:$H$1204,A638,Payments!$Q$5:$Q$1204,"Yes"),2))</f>
        <v>0</v>
      </c>
      <c r="AF638" s="26">
        <f>IF(B638="","",IF(AD638="No",0,ROUND(SUMIFS(Payments!$G$5:$G$1204,Payments!$I$5:$I$1204,C638,Payments!$H$5:$H$1204,"",Payments!$Q$5:$Q$1204,"Yes"),2)))</f>
        <v>0</v>
      </c>
      <c r="AG638" s="26">
        <f>IF(B638="","",ROUND(AE638+AF638,2))</f>
        <v>0</v>
      </c>
      <c r="AH638" s="26">
        <f>IF(B638="","",ROUND(AA638-AG638,2))</f>
        <v>0</v>
      </c>
      <c r="AI638" s="39">
        <f>IF(B638="","",IF(AA638&lt;=0,"No charge",IF(AH638&lt;=0.004,"Paid",IF(AG638&lt;=0.004,"Unpaid","Part paid"))))</f>
        <v>0</v>
      </c>
      <c r="AJ638" s="38">
        <f>IF(B638="","",IF(H638&lt;&gt;"Service","",IF(D638="","No",IF(COUNTIFS($D$5:$D$1204,D638,$B$5:$B$1204,B638,$H$5:$H$1204,"Retail")&gt;0,"Yes","No"))))</f>
        <v>0</v>
      </c>
      <c r="AK638" s="25">
        <f>IF(B638="","",COUNTIFS($Y$5:$Y$1204,"&gt;"&amp;Y638)+COUNTIFS($Y$5:Y638,Y638))</f>
        <v>0</v>
      </c>
      <c r="AL638" s="39">
        <f>IF(B638="","",IF(H638="","Add - what kind of sale is this?",IF(IF(V638&lt;=0,P638="",FALSE),"Check - no price found for this item",IF(F638="","Assign - nobody credited",IF(AH638&gt;0.004,"Unpaid - balance outstanding",IF(AC638&lt;0,"Loss - sold below cost",IF(X638&gt;W638*0.5,"Check - more than half off","OK")))))))</f>
        <v>0</v>
      </c>
    </row>
    <row r="639" spans="1:38">
      <c r="A639" s="28">
        <f>IF(B639="","",SalePrefix&amp;TEXT(ROW()-4,"0000"))</f>
        <v>0</v>
      </c>
      <c r="E639" s="15">
        <f>IF(D639="","",IFERROR(INDEX(Clients!$B$5:$B$504,MATCH(D639,Clients!$A$5:$A$504,0)),"Walk-in"))</f>
        <v>0</v>
      </c>
      <c r="G639" s="15">
        <f>IF(F639="","",IFERROR(INDEX(Staff!$B$5:$B$44,MATCH(F639,Staff!$A$5:$A$44,0)),"House"))</f>
        <v>0</v>
      </c>
      <c r="R639" s="15">
        <f>IF(B639="","",TEXT(B639,"yyyy-mm"))</f>
        <v>0</v>
      </c>
      <c r="S639" s="25">
        <f>IF(B639="","",WEEKNUM(B639,2))</f>
        <v>0</v>
      </c>
      <c r="T639" s="37">
        <f>IF(B639="","",IF(K639="",1,K639))</f>
        <v>0</v>
      </c>
      <c r="U639" s="15">
        <f>IF(B639="","",IF(J639&lt;&gt;"",J639,IF(H639="Retail",IFERROR(INDEX(Inventory!$B$5:$B$304,MATCH(I639,Inventory!$A$5:$A$304,0))&amp;"","Not in Inventory"),IFERROR(INDEX(Services!$B$5:$B$204,MATCH(I639,Services!$A$5:$A$204,0))&amp;"","Not in Services"))))</f>
        <v>0</v>
      </c>
      <c r="V639" s="26">
        <f>IF(B639="","",IF(L639&lt;&gt;"",L639,IF(H639="Retail",IFERROR(INDEX(Inventory!$I$5:$I$304,MATCH(I639,Inventory!$A$5:$A$304,0))*1,0),IFERROR(INDEX(Services!$G$5:$G$204,MATCH(I639,Services!$A$5:$A$204,0))*1,0))))</f>
        <v>0</v>
      </c>
      <c r="W639" s="26">
        <f>IF(B639="","",ROUND(T639*V639,2))</f>
        <v>0</v>
      </c>
      <c r="X639" s="26">
        <f>IF(B639="","",ROUND(IF(M639="",0,W639*M639)+IF(N639="",0,N639),2))</f>
        <v>0</v>
      </c>
      <c r="Y639" s="26">
        <f>IF(B639="","",ROUND(W639-X639-IF(P639="",0,P639),2))</f>
        <v>0</v>
      </c>
      <c r="Z639" s="26">
        <f>IF(B639="","",IF(H639="Retail",IF(TaxOnRetail="Yes",ROUND(Y639*TaxRate,2),0),IF(H639="Service",IF(TaxOnServices="Yes",ROUND(Y639*TaxRate,2),0),0)))</f>
        <v>0</v>
      </c>
      <c r="AA639" s="26">
        <f>IF(B639="","",ROUND(Y639+Z639,2))</f>
        <v>0</v>
      </c>
      <c r="AB639" s="26">
        <f>IF(B639="","",ROUND(T639*IF(H639="Retail",IFERROR(INDEX(Inventory!$H$5:$H$304,MATCH(I639,Inventory!$A$5:$A$304,0))*1,0),IFERROR(INDEX(Services!$Q$5:$Q$204,MATCH(I639,Services!$A$5:$A$204,0))*1,0)),2))</f>
        <v>0</v>
      </c>
      <c r="AC639" s="26">
        <f>IF(B639="","",ROUND(Y639-AB639,2))</f>
        <v>0</v>
      </c>
      <c r="AD639" s="38">
        <f>IF(B639="","",IF(C639="","No",IF(COUNTIFS($C$5:C639,C639)=1,"Yes","No")))</f>
        <v>0</v>
      </c>
      <c r="AE639" s="26">
        <f>IF(B639="","",ROUND(SUMIFS(Payments!$G$5:$G$1204,Payments!$H$5:$H$1204,A639,Payments!$Q$5:$Q$1204,"Yes"),2))</f>
        <v>0</v>
      </c>
      <c r="AF639" s="26">
        <f>IF(B639="","",IF(AD639="No",0,ROUND(SUMIFS(Payments!$G$5:$G$1204,Payments!$I$5:$I$1204,C639,Payments!$H$5:$H$1204,"",Payments!$Q$5:$Q$1204,"Yes"),2)))</f>
        <v>0</v>
      </c>
      <c r="AG639" s="26">
        <f>IF(B639="","",ROUND(AE639+AF639,2))</f>
        <v>0</v>
      </c>
      <c r="AH639" s="26">
        <f>IF(B639="","",ROUND(AA639-AG639,2))</f>
        <v>0</v>
      </c>
      <c r="AI639" s="39">
        <f>IF(B639="","",IF(AA639&lt;=0,"No charge",IF(AH639&lt;=0.004,"Paid",IF(AG639&lt;=0.004,"Unpaid","Part paid"))))</f>
        <v>0</v>
      </c>
      <c r="AJ639" s="38">
        <f>IF(B639="","",IF(H639&lt;&gt;"Service","",IF(D639="","No",IF(COUNTIFS($D$5:$D$1204,D639,$B$5:$B$1204,B639,$H$5:$H$1204,"Retail")&gt;0,"Yes","No"))))</f>
        <v>0</v>
      </c>
      <c r="AK639" s="25">
        <f>IF(B639="","",COUNTIFS($Y$5:$Y$1204,"&gt;"&amp;Y639)+COUNTIFS($Y$5:Y639,Y639))</f>
        <v>0</v>
      </c>
      <c r="AL639" s="39">
        <f>IF(B639="","",IF(H639="","Add - what kind of sale is this?",IF(IF(V639&lt;=0,P639="",FALSE),"Check - no price found for this item",IF(F639="","Assign - nobody credited",IF(AH639&gt;0.004,"Unpaid - balance outstanding",IF(AC639&lt;0,"Loss - sold below cost",IF(X639&gt;W639*0.5,"Check - more than half off","OK")))))))</f>
        <v>0</v>
      </c>
    </row>
    <row r="640" spans="1:38">
      <c r="A640" s="28">
        <f>IF(B640="","",SalePrefix&amp;TEXT(ROW()-4,"0000"))</f>
        <v>0</v>
      </c>
      <c r="E640" s="15">
        <f>IF(D640="","",IFERROR(INDEX(Clients!$B$5:$B$504,MATCH(D640,Clients!$A$5:$A$504,0)),"Walk-in"))</f>
        <v>0</v>
      </c>
      <c r="G640" s="15">
        <f>IF(F640="","",IFERROR(INDEX(Staff!$B$5:$B$44,MATCH(F640,Staff!$A$5:$A$44,0)),"House"))</f>
        <v>0</v>
      </c>
      <c r="R640" s="15">
        <f>IF(B640="","",TEXT(B640,"yyyy-mm"))</f>
        <v>0</v>
      </c>
      <c r="S640" s="25">
        <f>IF(B640="","",WEEKNUM(B640,2))</f>
        <v>0</v>
      </c>
      <c r="T640" s="37">
        <f>IF(B640="","",IF(K640="",1,K640))</f>
        <v>0</v>
      </c>
      <c r="U640" s="15">
        <f>IF(B640="","",IF(J640&lt;&gt;"",J640,IF(H640="Retail",IFERROR(INDEX(Inventory!$B$5:$B$304,MATCH(I640,Inventory!$A$5:$A$304,0))&amp;"","Not in Inventory"),IFERROR(INDEX(Services!$B$5:$B$204,MATCH(I640,Services!$A$5:$A$204,0))&amp;"","Not in Services"))))</f>
        <v>0</v>
      </c>
      <c r="V640" s="26">
        <f>IF(B640="","",IF(L640&lt;&gt;"",L640,IF(H640="Retail",IFERROR(INDEX(Inventory!$I$5:$I$304,MATCH(I640,Inventory!$A$5:$A$304,0))*1,0),IFERROR(INDEX(Services!$G$5:$G$204,MATCH(I640,Services!$A$5:$A$204,0))*1,0))))</f>
        <v>0</v>
      </c>
      <c r="W640" s="26">
        <f>IF(B640="","",ROUND(T640*V640,2))</f>
        <v>0</v>
      </c>
      <c r="X640" s="26">
        <f>IF(B640="","",ROUND(IF(M640="",0,W640*M640)+IF(N640="",0,N640),2))</f>
        <v>0</v>
      </c>
      <c r="Y640" s="26">
        <f>IF(B640="","",ROUND(W640-X640-IF(P640="",0,P640),2))</f>
        <v>0</v>
      </c>
      <c r="Z640" s="26">
        <f>IF(B640="","",IF(H640="Retail",IF(TaxOnRetail="Yes",ROUND(Y640*TaxRate,2),0),IF(H640="Service",IF(TaxOnServices="Yes",ROUND(Y640*TaxRate,2),0),0)))</f>
        <v>0</v>
      </c>
      <c r="AA640" s="26">
        <f>IF(B640="","",ROUND(Y640+Z640,2))</f>
        <v>0</v>
      </c>
      <c r="AB640" s="26">
        <f>IF(B640="","",ROUND(T640*IF(H640="Retail",IFERROR(INDEX(Inventory!$H$5:$H$304,MATCH(I640,Inventory!$A$5:$A$304,0))*1,0),IFERROR(INDEX(Services!$Q$5:$Q$204,MATCH(I640,Services!$A$5:$A$204,0))*1,0)),2))</f>
        <v>0</v>
      </c>
      <c r="AC640" s="26">
        <f>IF(B640="","",ROUND(Y640-AB640,2))</f>
        <v>0</v>
      </c>
      <c r="AD640" s="38">
        <f>IF(B640="","",IF(C640="","No",IF(COUNTIFS($C$5:C640,C640)=1,"Yes","No")))</f>
        <v>0</v>
      </c>
      <c r="AE640" s="26">
        <f>IF(B640="","",ROUND(SUMIFS(Payments!$G$5:$G$1204,Payments!$H$5:$H$1204,A640,Payments!$Q$5:$Q$1204,"Yes"),2))</f>
        <v>0</v>
      </c>
      <c r="AF640" s="26">
        <f>IF(B640="","",IF(AD640="No",0,ROUND(SUMIFS(Payments!$G$5:$G$1204,Payments!$I$5:$I$1204,C640,Payments!$H$5:$H$1204,"",Payments!$Q$5:$Q$1204,"Yes"),2)))</f>
        <v>0</v>
      </c>
      <c r="AG640" s="26">
        <f>IF(B640="","",ROUND(AE640+AF640,2))</f>
        <v>0</v>
      </c>
      <c r="AH640" s="26">
        <f>IF(B640="","",ROUND(AA640-AG640,2))</f>
        <v>0</v>
      </c>
      <c r="AI640" s="39">
        <f>IF(B640="","",IF(AA640&lt;=0,"No charge",IF(AH640&lt;=0.004,"Paid",IF(AG640&lt;=0.004,"Unpaid","Part paid"))))</f>
        <v>0</v>
      </c>
      <c r="AJ640" s="38">
        <f>IF(B640="","",IF(H640&lt;&gt;"Service","",IF(D640="","No",IF(COUNTIFS($D$5:$D$1204,D640,$B$5:$B$1204,B640,$H$5:$H$1204,"Retail")&gt;0,"Yes","No"))))</f>
        <v>0</v>
      </c>
      <c r="AK640" s="25">
        <f>IF(B640="","",COUNTIFS($Y$5:$Y$1204,"&gt;"&amp;Y640)+COUNTIFS($Y$5:Y640,Y640))</f>
        <v>0</v>
      </c>
      <c r="AL640" s="39">
        <f>IF(B640="","",IF(H640="","Add - what kind of sale is this?",IF(IF(V640&lt;=0,P640="",FALSE),"Check - no price found for this item",IF(F640="","Assign - nobody credited",IF(AH640&gt;0.004,"Unpaid - balance outstanding",IF(AC640&lt;0,"Loss - sold below cost",IF(X640&gt;W640*0.5,"Check - more than half off","OK")))))))</f>
        <v>0</v>
      </c>
    </row>
    <row r="641" spans="1:38">
      <c r="A641" s="28">
        <f>IF(B641="","",SalePrefix&amp;TEXT(ROW()-4,"0000"))</f>
        <v>0</v>
      </c>
      <c r="E641" s="15">
        <f>IF(D641="","",IFERROR(INDEX(Clients!$B$5:$B$504,MATCH(D641,Clients!$A$5:$A$504,0)),"Walk-in"))</f>
        <v>0</v>
      </c>
      <c r="G641" s="15">
        <f>IF(F641="","",IFERROR(INDEX(Staff!$B$5:$B$44,MATCH(F641,Staff!$A$5:$A$44,0)),"House"))</f>
        <v>0</v>
      </c>
      <c r="R641" s="15">
        <f>IF(B641="","",TEXT(B641,"yyyy-mm"))</f>
        <v>0</v>
      </c>
      <c r="S641" s="25">
        <f>IF(B641="","",WEEKNUM(B641,2))</f>
        <v>0</v>
      </c>
      <c r="T641" s="37">
        <f>IF(B641="","",IF(K641="",1,K641))</f>
        <v>0</v>
      </c>
      <c r="U641" s="15">
        <f>IF(B641="","",IF(J641&lt;&gt;"",J641,IF(H641="Retail",IFERROR(INDEX(Inventory!$B$5:$B$304,MATCH(I641,Inventory!$A$5:$A$304,0))&amp;"","Not in Inventory"),IFERROR(INDEX(Services!$B$5:$B$204,MATCH(I641,Services!$A$5:$A$204,0))&amp;"","Not in Services"))))</f>
        <v>0</v>
      </c>
      <c r="V641" s="26">
        <f>IF(B641="","",IF(L641&lt;&gt;"",L641,IF(H641="Retail",IFERROR(INDEX(Inventory!$I$5:$I$304,MATCH(I641,Inventory!$A$5:$A$304,0))*1,0),IFERROR(INDEX(Services!$G$5:$G$204,MATCH(I641,Services!$A$5:$A$204,0))*1,0))))</f>
        <v>0</v>
      </c>
      <c r="W641" s="26">
        <f>IF(B641="","",ROUND(T641*V641,2))</f>
        <v>0</v>
      </c>
      <c r="X641" s="26">
        <f>IF(B641="","",ROUND(IF(M641="",0,W641*M641)+IF(N641="",0,N641),2))</f>
        <v>0</v>
      </c>
      <c r="Y641" s="26">
        <f>IF(B641="","",ROUND(W641-X641-IF(P641="",0,P641),2))</f>
        <v>0</v>
      </c>
      <c r="Z641" s="26">
        <f>IF(B641="","",IF(H641="Retail",IF(TaxOnRetail="Yes",ROUND(Y641*TaxRate,2),0),IF(H641="Service",IF(TaxOnServices="Yes",ROUND(Y641*TaxRate,2),0),0)))</f>
        <v>0</v>
      </c>
      <c r="AA641" s="26">
        <f>IF(B641="","",ROUND(Y641+Z641,2))</f>
        <v>0</v>
      </c>
      <c r="AB641" s="26">
        <f>IF(B641="","",ROUND(T641*IF(H641="Retail",IFERROR(INDEX(Inventory!$H$5:$H$304,MATCH(I641,Inventory!$A$5:$A$304,0))*1,0),IFERROR(INDEX(Services!$Q$5:$Q$204,MATCH(I641,Services!$A$5:$A$204,0))*1,0)),2))</f>
        <v>0</v>
      </c>
      <c r="AC641" s="26">
        <f>IF(B641="","",ROUND(Y641-AB641,2))</f>
        <v>0</v>
      </c>
      <c r="AD641" s="38">
        <f>IF(B641="","",IF(C641="","No",IF(COUNTIFS($C$5:C641,C641)=1,"Yes","No")))</f>
        <v>0</v>
      </c>
      <c r="AE641" s="26">
        <f>IF(B641="","",ROUND(SUMIFS(Payments!$G$5:$G$1204,Payments!$H$5:$H$1204,A641,Payments!$Q$5:$Q$1204,"Yes"),2))</f>
        <v>0</v>
      </c>
      <c r="AF641" s="26">
        <f>IF(B641="","",IF(AD641="No",0,ROUND(SUMIFS(Payments!$G$5:$G$1204,Payments!$I$5:$I$1204,C641,Payments!$H$5:$H$1204,"",Payments!$Q$5:$Q$1204,"Yes"),2)))</f>
        <v>0</v>
      </c>
      <c r="AG641" s="26">
        <f>IF(B641="","",ROUND(AE641+AF641,2))</f>
        <v>0</v>
      </c>
      <c r="AH641" s="26">
        <f>IF(B641="","",ROUND(AA641-AG641,2))</f>
        <v>0</v>
      </c>
      <c r="AI641" s="39">
        <f>IF(B641="","",IF(AA641&lt;=0,"No charge",IF(AH641&lt;=0.004,"Paid",IF(AG641&lt;=0.004,"Unpaid","Part paid"))))</f>
        <v>0</v>
      </c>
      <c r="AJ641" s="38">
        <f>IF(B641="","",IF(H641&lt;&gt;"Service","",IF(D641="","No",IF(COUNTIFS($D$5:$D$1204,D641,$B$5:$B$1204,B641,$H$5:$H$1204,"Retail")&gt;0,"Yes","No"))))</f>
        <v>0</v>
      </c>
      <c r="AK641" s="25">
        <f>IF(B641="","",COUNTIFS($Y$5:$Y$1204,"&gt;"&amp;Y641)+COUNTIFS($Y$5:Y641,Y641))</f>
        <v>0</v>
      </c>
      <c r="AL641" s="39">
        <f>IF(B641="","",IF(H641="","Add - what kind of sale is this?",IF(IF(V641&lt;=0,P641="",FALSE),"Check - no price found for this item",IF(F641="","Assign - nobody credited",IF(AH641&gt;0.004,"Unpaid - balance outstanding",IF(AC641&lt;0,"Loss - sold below cost",IF(X641&gt;W641*0.5,"Check - more than half off","OK")))))))</f>
        <v>0</v>
      </c>
    </row>
    <row r="642" spans="1:38">
      <c r="A642" s="28">
        <f>IF(B642="","",SalePrefix&amp;TEXT(ROW()-4,"0000"))</f>
        <v>0</v>
      </c>
      <c r="E642" s="15">
        <f>IF(D642="","",IFERROR(INDEX(Clients!$B$5:$B$504,MATCH(D642,Clients!$A$5:$A$504,0)),"Walk-in"))</f>
        <v>0</v>
      </c>
      <c r="G642" s="15">
        <f>IF(F642="","",IFERROR(INDEX(Staff!$B$5:$B$44,MATCH(F642,Staff!$A$5:$A$44,0)),"House"))</f>
        <v>0</v>
      </c>
      <c r="R642" s="15">
        <f>IF(B642="","",TEXT(B642,"yyyy-mm"))</f>
        <v>0</v>
      </c>
      <c r="S642" s="25">
        <f>IF(B642="","",WEEKNUM(B642,2))</f>
        <v>0</v>
      </c>
      <c r="T642" s="37">
        <f>IF(B642="","",IF(K642="",1,K642))</f>
        <v>0</v>
      </c>
      <c r="U642" s="15">
        <f>IF(B642="","",IF(J642&lt;&gt;"",J642,IF(H642="Retail",IFERROR(INDEX(Inventory!$B$5:$B$304,MATCH(I642,Inventory!$A$5:$A$304,0))&amp;"","Not in Inventory"),IFERROR(INDEX(Services!$B$5:$B$204,MATCH(I642,Services!$A$5:$A$204,0))&amp;"","Not in Services"))))</f>
        <v>0</v>
      </c>
      <c r="V642" s="26">
        <f>IF(B642="","",IF(L642&lt;&gt;"",L642,IF(H642="Retail",IFERROR(INDEX(Inventory!$I$5:$I$304,MATCH(I642,Inventory!$A$5:$A$304,0))*1,0),IFERROR(INDEX(Services!$G$5:$G$204,MATCH(I642,Services!$A$5:$A$204,0))*1,0))))</f>
        <v>0</v>
      </c>
      <c r="W642" s="26">
        <f>IF(B642="","",ROUND(T642*V642,2))</f>
        <v>0</v>
      </c>
      <c r="X642" s="26">
        <f>IF(B642="","",ROUND(IF(M642="",0,W642*M642)+IF(N642="",0,N642),2))</f>
        <v>0</v>
      </c>
      <c r="Y642" s="26">
        <f>IF(B642="","",ROUND(W642-X642-IF(P642="",0,P642),2))</f>
        <v>0</v>
      </c>
      <c r="Z642" s="26">
        <f>IF(B642="","",IF(H642="Retail",IF(TaxOnRetail="Yes",ROUND(Y642*TaxRate,2),0),IF(H642="Service",IF(TaxOnServices="Yes",ROUND(Y642*TaxRate,2),0),0)))</f>
        <v>0</v>
      </c>
      <c r="AA642" s="26">
        <f>IF(B642="","",ROUND(Y642+Z642,2))</f>
        <v>0</v>
      </c>
      <c r="AB642" s="26">
        <f>IF(B642="","",ROUND(T642*IF(H642="Retail",IFERROR(INDEX(Inventory!$H$5:$H$304,MATCH(I642,Inventory!$A$5:$A$304,0))*1,0),IFERROR(INDEX(Services!$Q$5:$Q$204,MATCH(I642,Services!$A$5:$A$204,0))*1,0)),2))</f>
        <v>0</v>
      </c>
      <c r="AC642" s="26">
        <f>IF(B642="","",ROUND(Y642-AB642,2))</f>
        <v>0</v>
      </c>
      <c r="AD642" s="38">
        <f>IF(B642="","",IF(C642="","No",IF(COUNTIFS($C$5:C642,C642)=1,"Yes","No")))</f>
        <v>0</v>
      </c>
      <c r="AE642" s="26">
        <f>IF(B642="","",ROUND(SUMIFS(Payments!$G$5:$G$1204,Payments!$H$5:$H$1204,A642,Payments!$Q$5:$Q$1204,"Yes"),2))</f>
        <v>0</v>
      </c>
      <c r="AF642" s="26">
        <f>IF(B642="","",IF(AD642="No",0,ROUND(SUMIFS(Payments!$G$5:$G$1204,Payments!$I$5:$I$1204,C642,Payments!$H$5:$H$1204,"",Payments!$Q$5:$Q$1204,"Yes"),2)))</f>
        <v>0</v>
      </c>
      <c r="AG642" s="26">
        <f>IF(B642="","",ROUND(AE642+AF642,2))</f>
        <v>0</v>
      </c>
      <c r="AH642" s="26">
        <f>IF(B642="","",ROUND(AA642-AG642,2))</f>
        <v>0</v>
      </c>
      <c r="AI642" s="39">
        <f>IF(B642="","",IF(AA642&lt;=0,"No charge",IF(AH642&lt;=0.004,"Paid",IF(AG642&lt;=0.004,"Unpaid","Part paid"))))</f>
        <v>0</v>
      </c>
      <c r="AJ642" s="38">
        <f>IF(B642="","",IF(H642&lt;&gt;"Service","",IF(D642="","No",IF(COUNTIFS($D$5:$D$1204,D642,$B$5:$B$1204,B642,$H$5:$H$1204,"Retail")&gt;0,"Yes","No"))))</f>
        <v>0</v>
      </c>
      <c r="AK642" s="25">
        <f>IF(B642="","",COUNTIFS($Y$5:$Y$1204,"&gt;"&amp;Y642)+COUNTIFS($Y$5:Y642,Y642))</f>
        <v>0</v>
      </c>
      <c r="AL642" s="39">
        <f>IF(B642="","",IF(H642="","Add - what kind of sale is this?",IF(IF(V642&lt;=0,P642="",FALSE),"Check - no price found for this item",IF(F642="","Assign - nobody credited",IF(AH642&gt;0.004,"Unpaid - balance outstanding",IF(AC642&lt;0,"Loss - sold below cost",IF(X642&gt;W642*0.5,"Check - more than half off","OK")))))))</f>
        <v>0</v>
      </c>
    </row>
    <row r="643" spans="1:38">
      <c r="A643" s="28">
        <f>IF(B643="","",SalePrefix&amp;TEXT(ROW()-4,"0000"))</f>
        <v>0</v>
      </c>
      <c r="E643" s="15">
        <f>IF(D643="","",IFERROR(INDEX(Clients!$B$5:$B$504,MATCH(D643,Clients!$A$5:$A$504,0)),"Walk-in"))</f>
        <v>0</v>
      </c>
      <c r="G643" s="15">
        <f>IF(F643="","",IFERROR(INDEX(Staff!$B$5:$B$44,MATCH(F643,Staff!$A$5:$A$44,0)),"House"))</f>
        <v>0</v>
      </c>
      <c r="R643" s="15">
        <f>IF(B643="","",TEXT(B643,"yyyy-mm"))</f>
        <v>0</v>
      </c>
      <c r="S643" s="25">
        <f>IF(B643="","",WEEKNUM(B643,2))</f>
        <v>0</v>
      </c>
      <c r="T643" s="37">
        <f>IF(B643="","",IF(K643="",1,K643))</f>
        <v>0</v>
      </c>
      <c r="U643" s="15">
        <f>IF(B643="","",IF(J643&lt;&gt;"",J643,IF(H643="Retail",IFERROR(INDEX(Inventory!$B$5:$B$304,MATCH(I643,Inventory!$A$5:$A$304,0))&amp;"","Not in Inventory"),IFERROR(INDEX(Services!$B$5:$B$204,MATCH(I643,Services!$A$5:$A$204,0))&amp;"","Not in Services"))))</f>
        <v>0</v>
      </c>
      <c r="V643" s="26">
        <f>IF(B643="","",IF(L643&lt;&gt;"",L643,IF(H643="Retail",IFERROR(INDEX(Inventory!$I$5:$I$304,MATCH(I643,Inventory!$A$5:$A$304,0))*1,0),IFERROR(INDEX(Services!$G$5:$G$204,MATCH(I643,Services!$A$5:$A$204,0))*1,0))))</f>
        <v>0</v>
      </c>
      <c r="W643" s="26">
        <f>IF(B643="","",ROUND(T643*V643,2))</f>
        <v>0</v>
      </c>
      <c r="X643" s="26">
        <f>IF(B643="","",ROUND(IF(M643="",0,W643*M643)+IF(N643="",0,N643),2))</f>
        <v>0</v>
      </c>
      <c r="Y643" s="26">
        <f>IF(B643="","",ROUND(W643-X643-IF(P643="",0,P643),2))</f>
        <v>0</v>
      </c>
      <c r="Z643" s="26">
        <f>IF(B643="","",IF(H643="Retail",IF(TaxOnRetail="Yes",ROUND(Y643*TaxRate,2),0),IF(H643="Service",IF(TaxOnServices="Yes",ROUND(Y643*TaxRate,2),0),0)))</f>
        <v>0</v>
      </c>
      <c r="AA643" s="26">
        <f>IF(B643="","",ROUND(Y643+Z643,2))</f>
        <v>0</v>
      </c>
      <c r="AB643" s="26">
        <f>IF(B643="","",ROUND(T643*IF(H643="Retail",IFERROR(INDEX(Inventory!$H$5:$H$304,MATCH(I643,Inventory!$A$5:$A$304,0))*1,0),IFERROR(INDEX(Services!$Q$5:$Q$204,MATCH(I643,Services!$A$5:$A$204,0))*1,0)),2))</f>
        <v>0</v>
      </c>
      <c r="AC643" s="26">
        <f>IF(B643="","",ROUND(Y643-AB643,2))</f>
        <v>0</v>
      </c>
      <c r="AD643" s="38">
        <f>IF(B643="","",IF(C643="","No",IF(COUNTIFS($C$5:C643,C643)=1,"Yes","No")))</f>
        <v>0</v>
      </c>
      <c r="AE643" s="26">
        <f>IF(B643="","",ROUND(SUMIFS(Payments!$G$5:$G$1204,Payments!$H$5:$H$1204,A643,Payments!$Q$5:$Q$1204,"Yes"),2))</f>
        <v>0</v>
      </c>
      <c r="AF643" s="26">
        <f>IF(B643="","",IF(AD643="No",0,ROUND(SUMIFS(Payments!$G$5:$G$1204,Payments!$I$5:$I$1204,C643,Payments!$H$5:$H$1204,"",Payments!$Q$5:$Q$1204,"Yes"),2)))</f>
        <v>0</v>
      </c>
      <c r="AG643" s="26">
        <f>IF(B643="","",ROUND(AE643+AF643,2))</f>
        <v>0</v>
      </c>
      <c r="AH643" s="26">
        <f>IF(B643="","",ROUND(AA643-AG643,2))</f>
        <v>0</v>
      </c>
      <c r="AI643" s="39">
        <f>IF(B643="","",IF(AA643&lt;=0,"No charge",IF(AH643&lt;=0.004,"Paid",IF(AG643&lt;=0.004,"Unpaid","Part paid"))))</f>
        <v>0</v>
      </c>
      <c r="AJ643" s="38">
        <f>IF(B643="","",IF(H643&lt;&gt;"Service","",IF(D643="","No",IF(COUNTIFS($D$5:$D$1204,D643,$B$5:$B$1204,B643,$H$5:$H$1204,"Retail")&gt;0,"Yes","No"))))</f>
        <v>0</v>
      </c>
      <c r="AK643" s="25">
        <f>IF(B643="","",COUNTIFS($Y$5:$Y$1204,"&gt;"&amp;Y643)+COUNTIFS($Y$5:Y643,Y643))</f>
        <v>0</v>
      </c>
      <c r="AL643" s="39">
        <f>IF(B643="","",IF(H643="","Add - what kind of sale is this?",IF(IF(V643&lt;=0,P643="",FALSE),"Check - no price found for this item",IF(F643="","Assign - nobody credited",IF(AH643&gt;0.004,"Unpaid - balance outstanding",IF(AC643&lt;0,"Loss - sold below cost",IF(X643&gt;W643*0.5,"Check - more than half off","OK")))))))</f>
        <v>0</v>
      </c>
    </row>
    <row r="644" spans="1:38">
      <c r="A644" s="28">
        <f>IF(B644="","",SalePrefix&amp;TEXT(ROW()-4,"0000"))</f>
        <v>0</v>
      </c>
      <c r="E644" s="15">
        <f>IF(D644="","",IFERROR(INDEX(Clients!$B$5:$B$504,MATCH(D644,Clients!$A$5:$A$504,0)),"Walk-in"))</f>
        <v>0</v>
      </c>
      <c r="G644" s="15">
        <f>IF(F644="","",IFERROR(INDEX(Staff!$B$5:$B$44,MATCH(F644,Staff!$A$5:$A$44,0)),"House"))</f>
        <v>0</v>
      </c>
      <c r="R644" s="15">
        <f>IF(B644="","",TEXT(B644,"yyyy-mm"))</f>
        <v>0</v>
      </c>
      <c r="S644" s="25">
        <f>IF(B644="","",WEEKNUM(B644,2))</f>
        <v>0</v>
      </c>
      <c r="T644" s="37">
        <f>IF(B644="","",IF(K644="",1,K644))</f>
        <v>0</v>
      </c>
      <c r="U644" s="15">
        <f>IF(B644="","",IF(J644&lt;&gt;"",J644,IF(H644="Retail",IFERROR(INDEX(Inventory!$B$5:$B$304,MATCH(I644,Inventory!$A$5:$A$304,0))&amp;"","Not in Inventory"),IFERROR(INDEX(Services!$B$5:$B$204,MATCH(I644,Services!$A$5:$A$204,0))&amp;"","Not in Services"))))</f>
        <v>0</v>
      </c>
      <c r="V644" s="26">
        <f>IF(B644="","",IF(L644&lt;&gt;"",L644,IF(H644="Retail",IFERROR(INDEX(Inventory!$I$5:$I$304,MATCH(I644,Inventory!$A$5:$A$304,0))*1,0),IFERROR(INDEX(Services!$G$5:$G$204,MATCH(I644,Services!$A$5:$A$204,0))*1,0))))</f>
        <v>0</v>
      </c>
      <c r="W644" s="26">
        <f>IF(B644="","",ROUND(T644*V644,2))</f>
        <v>0</v>
      </c>
      <c r="X644" s="26">
        <f>IF(B644="","",ROUND(IF(M644="",0,W644*M644)+IF(N644="",0,N644),2))</f>
        <v>0</v>
      </c>
      <c r="Y644" s="26">
        <f>IF(B644="","",ROUND(W644-X644-IF(P644="",0,P644),2))</f>
        <v>0</v>
      </c>
      <c r="Z644" s="26">
        <f>IF(B644="","",IF(H644="Retail",IF(TaxOnRetail="Yes",ROUND(Y644*TaxRate,2),0),IF(H644="Service",IF(TaxOnServices="Yes",ROUND(Y644*TaxRate,2),0),0)))</f>
        <v>0</v>
      </c>
      <c r="AA644" s="26">
        <f>IF(B644="","",ROUND(Y644+Z644,2))</f>
        <v>0</v>
      </c>
      <c r="AB644" s="26">
        <f>IF(B644="","",ROUND(T644*IF(H644="Retail",IFERROR(INDEX(Inventory!$H$5:$H$304,MATCH(I644,Inventory!$A$5:$A$304,0))*1,0),IFERROR(INDEX(Services!$Q$5:$Q$204,MATCH(I644,Services!$A$5:$A$204,0))*1,0)),2))</f>
        <v>0</v>
      </c>
      <c r="AC644" s="26">
        <f>IF(B644="","",ROUND(Y644-AB644,2))</f>
        <v>0</v>
      </c>
      <c r="AD644" s="38">
        <f>IF(B644="","",IF(C644="","No",IF(COUNTIFS($C$5:C644,C644)=1,"Yes","No")))</f>
        <v>0</v>
      </c>
      <c r="AE644" s="26">
        <f>IF(B644="","",ROUND(SUMIFS(Payments!$G$5:$G$1204,Payments!$H$5:$H$1204,A644,Payments!$Q$5:$Q$1204,"Yes"),2))</f>
        <v>0</v>
      </c>
      <c r="AF644" s="26">
        <f>IF(B644="","",IF(AD644="No",0,ROUND(SUMIFS(Payments!$G$5:$G$1204,Payments!$I$5:$I$1204,C644,Payments!$H$5:$H$1204,"",Payments!$Q$5:$Q$1204,"Yes"),2)))</f>
        <v>0</v>
      </c>
      <c r="AG644" s="26">
        <f>IF(B644="","",ROUND(AE644+AF644,2))</f>
        <v>0</v>
      </c>
      <c r="AH644" s="26">
        <f>IF(B644="","",ROUND(AA644-AG644,2))</f>
        <v>0</v>
      </c>
      <c r="AI644" s="39">
        <f>IF(B644="","",IF(AA644&lt;=0,"No charge",IF(AH644&lt;=0.004,"Paid",IF(AG644&lt;=0.004,"Unpaid","Part paid"))))</f>
        <v>0</v>
      </c>
      <c r="AJ644" s="38">
        <f>IF(B644="","",IF(H644&lt;&gt;"Service","",IF(D644="","No",IF(COUNTIFS($D$5:$D$1204,D644,$B$5:$B$1204,B644,$H$5:$H$1204,"Retail")&gt;0,"Yes","No"))))</f>
        <v>0</v>
      </c>
      <c r="AK644" s="25">
        <f>IF(B644="","",COUNTIFS($Y$5:$Y$1204,"&gt;"&amp;Y644)+COUNTIFS($Y$5:Y644,Y644))</f>
        <v>0</v>
      </c>
      <c r="AL644" s="39">
        <f>IF(B644="","",IF(H644="","Add - what kind of sale is this?",IF(IF(V644&lt;=0,P644="",FALSE),"Check - no price found for this item",IF(F644="","Assign - nobody credited",IF(AH644&gt;0.004,"Unpaid - balance outstanding",IF(AC644&lt;0,"Loss - sold below cost",IF(X644&gt;W644*0.5,"Check - more than half off","OK")))))))</f>
        <v>0</v>
      </c>
    </row>
    <row r="645" spans="1:38">
      <c r="A645" s="28">
        <f>IF(B645="","",SalePrefix&amp;TEXT(ROW()-4,"0000"))</f>
        <v>0</v>
      </c>
      <c r="E645" s="15">
        <f>IF(D645="","",IFERROR(INDEX(Clients!$B$5:$B$504,MATCH(D645,Clients!$A$5:$A$504,0)),"Walk-in"))</f>
        <v>0</v>
      </c>
      <c r="G645" s="15">
        <f>IF(F645="","",IFERROR(INDEX(Staff!$B$5:$B$44,MATCH(F645,Staff!$A$5:$A$44,0)),"House"))</f>
        <v>0</v>
      </c>
      <c r="R645" s="15">
        <f>IF(B645="","",TEXT(B645,"yyyy-mm"))</f>
        <v>0</v>
      </c>
      <c r="S645" s="25">
        <f>IF(B645="","",WEEKNUM(B645,2))</f>
        <v>0</v>
      </c>
      <c r="T645" s="37">
        <f>IF(B645="","",IF(K645="",1,K645))</f>
        <v>0</v>
      </c>
      <c r="U645" s="15">
        <f>IF(B645="","",IF(J645&lt;&gt;"",J645,IF(H645="Retail",IFERROR(INDEX(Inventory!$B$5:$B$304,MATCH(I645,Inventory!$A$5:$A$304,0))&amp;"","Not in Inventory"),IFERROR(INDEX(Services!$B$5:$B$204,MATCH(I645,Services!$A$5:$A$204,0))&amp;"","Not in Services"))))</f>
        <v>0</v>
      </c>
      <c r="V645" s="26">
        <f>IF(B645="","",IF(L645&lt;&gt;"",L645,IF(H645="Retail",IFERROR(INDEX(Inventory!$I$5:$I$304,MATCH(I645,Inventory!$A$5:$A$304,0))*1,0),IFERROR(INDEX(Services!$G$5:$G$204,MATCH(I645,Services!$A$5:$A$204,0))*1,0))))</f>
        <v>0</v>
      </c>
      <c r="W645" s="26">
        <f>IF(B645="","",ROUND(T645*V645,2))</f>
        <v>0</v>
      </c>
      <c r="X645" s="26">
        <f>IF(B645="","",ROUND(IF(M645="",0,W645*M645)+IF(N645="",0,N645),2))</f>
        <v>0</v>
      </c>
      <c r="Y645" s="26">
        <f>IF(B645="","",ROUND(W645-X645-IF(P645="",0,P645),2))</f>
        <v>0</v>
      </c>
      <c r="Z645" s="26">
        <f>IF(B645="","",IF(H645="Retail",IF(TaxOnRetail="Yes",ROUND(Y645*TaxRate,2),0),IF(H645="Service",IF(TaxOnServices="Yes",ROUND(Y645*TaxRate,2),0),0)))</f>
        <v>0</v>
      </c>
      <c r="AA645" s="26">
        <f>IF(B645="","",ROUND(Y645+Z645,2))</f>
        <v>0</v>
      </c>
      <c r="AB645" s="26">
        <f>IF(B645="","",ROUND(T645*IF(H645="Retail",IFERROR(INDEX(Inventory!$H$5:$H$304,MATCH(I645,Inventory!$A$5:$A$304,0))*1,0),IFERROR(INDEX(Services!$Q$5:$Q$204,MATCH(I645,Services!$A$5:$A$204,0))*1,0)),2))</f>
        <v>0</v>
      </c>
      <c r="AC645" s="26">
        <f>IF(B645="","",ROUND(Y645-AB645,2))</f>
        <v>0</v>
      </c>
      <c r="AD645" s="38">
        <f>IF(B645="","",IF(C645="","No",IF(COUNTIFS($C$5:C645,C645)=1,"Yes","No")))</f>
        <v>0</v>
      </c>
      <c r="AE645" s="26">
        <f>IF(B645="","",ROUND(SUMIFS(Payments!$G$5:$G$1204,Payments!$H$5:$H$1204,A645,Payments!$Q$5:$Q$1204,"Yes"),2))</f>
        <v>0</v>
      </c>
      <c r="AF645" s="26">
        <f>IF(B645="","",IF(AD645="No",0,ROUND(SUMIFS(Payments!$G$5:$G$1204,Payments!$I$5:$I$1204,C645,Payments!$H$5:$H$1204,"",Payments!$Q$5:$Q$1204,"Yes"),2)))</f>
        <v>0</v>
      </c>
      <c r="AG645" s="26">
        <f>IF(B645="","",ROUND(AE645+AF645,2))</f>
        <v>0</v>
      </c>
      <c r="AH645" s="26">
        <f>IF(B645="","",ROUND(AA645-AG645,2))</f>
        <v>0</v>
      </c>
      <c r="AI645" s="39">
        <f>IF(B645="","",IF(AA645&lt;=0,"No charge",IF(AH645&lt;=0.004,"Paid",IF(AG645&lt;=0.004,"Unpaid","Part paid"))))</f>
        <v>0</v>
      </c>
      <c r="AJ645" s="38">
        <f>IF(B645="","",IF(H645&lt;&gt;"Service","",IF(D645="","No",IF(COUNTIFS($D$5:$D$1204,D645,$B$5:$B$1204,B645,$H$5:$H$1204,"Retail")&gt;0,"Yes","No"))))</f>
        <v>0</v>
      </c>
      <c r="AK645" s="25">
        <f>IF(B645="","",COUNTIFS($Y$5:$Y$1204,"&gt;"&amp;Y645)+COUNTIFS($Y$5:Y645,Y645))</f>
        <v>0</v>
      </c>
      <c r="AL645" s="39">
        <f>IF(B645="","",IF(H645="","Add - what kind of sale is this?",IF(IF(V645&lt;=0,P645="",FALSE),"Check - no price found for this item",IF(F645="","Assign - nobody credited",IF(AH645&gt;0.004,"Unpaid - balance outstanding",IF(AC645&lt;0,"Loss - sold below cost",IF(X645&gt;W645*0.5,"Check - more than half off","OK")))))))</f>
        <v>0</v>
      </c>
    </row>
    <row r="646" spans="1:38">
      <c r="A646" s="28">
        <f>IF(B646="","",SalePrefix&amp;TEXT(ROW()-4,"0000"))</f>
        <v>0</v>
      </c>
      <c r="E646" s="15">
        <f>IF(D646="","",IFERROR(INDEX(Clients!$B$5:$B$504,MATCH(D646,Clients!$A$5:$A$504,0)),"Walk-in"))</f>
        <v>0</v>
      </c>
      <c r="G646" s="15">
        <f>IF(F646="","",IFERROR(INDEX(Staff!$B$5:$B$44,MATCH(F646,Staff!$A$5:$A$44,0)),"House"))</f>
        <v>0</v>
      </c>
      <c r="R646" s="15">
        <f>IF(B646="","",TEXT(B646,"yyyy-mm"))</f>
        <v>0</v>
      </c>
      <c r="S646" s="25">
        <f>IF(B646="","",WEEKNUM(B646,2))</f>
        <v>0</v>
      </c>
      <c r="T646" s="37">
        <f>IF(B646="","",IF(K646="",1,K646))</f>
        <v>0</v>
      </c>
      <c r="U646" s="15">
        <f>IF(B646="","",IF(J646&lt;&gt;"",J646,IF(H646="Retail",IFERROR(INDEX(Inventory!$B$5:$B$304,MATCH(I646,Inventory!$A$5:$A$304,0))&amp;"","Not in Inventory"),IFERROR(INDEX(Services!$B$5:$B$204,MATCH(I646,Services!$A$5:$A$204,0))&amp;"","Not in Services"))))</f>
        <v>0</v>
      </c>
      <c r="V646" s="26">
        <f>IF(B646="","",IF(L646&lt;&gt;"",L646,IF(H646="Retail",IFERROR(INDEX(Inventory!$I$5:$I$304,MATCH(I646,Inventory!$A$5:$A$304,0))*1,0),IFERROR(INDEX(Services!$G$5:$G$204,MATCH(I646,Services!$A$5:$A$204,0))*1,0))))</f>
        <v>0</v>
      </c>
      <c r="W646" s="26">
        <f>IF(B646="","",ROUND(T646*V646,2))</f>
        <v>0</v>
      </c>
      <c r="X646" s="26">
        <f>IF(B646="","",ROUND(IF(M646="",0,W646*M646)+IF(N646="",0,N646),2))</f>
        <v>0</v>
      </c>
      <c r="Y646" s="26">
        <f>IF(B646="","",ROUND(W646-X646-IF(P646="",0,P646),2))</f>
        <v>0</v>
      </c>
      <c r="Z646" s="26">
        <f>IF(B646="","",IF(H646="Retail",IF(TaxOnRetail="Yes",ROUND(Y646*TaxRate,2),0),IF(H646="Service",IF(TaxOnServices="Yes",ROUND(Y646*TaxRate,2),0),0)))</f>
        <v>0</v>
      </c>
      <c r="AA646" s="26">
        <f>IF(B646="","",ROUND(Y646+Z646,2))</f>
        <v>0</v>
      </c>
      <c r="AB646" s="26">
        <f>IF(B646="","",ROUND(T646*IF(H646="Retail",IFERROR(INDEX(Inventory!$H$5:$H$304,MATCH(I646,Inventory!$A$5:$A$304,0))*1,0),IFERROR(INDEX(Services!$Q$5:$Q$204,MATCH(I646,Services!$A$5:$A$204,0))*1,0)),2))</f>
        <v>0</v>
      </c>
      <c r="AC646" s="26">
        <f>IF(B646="","",ROUND(Y646-AB646,2))</f>
        <v>0</v>
      </c>
      <c r="AD646" s="38">
        <f>IF(B646="","",IF(C646="","No",IF(COUNTIFS($C$5:C646,C646)=1,"Yes","No")))</f>
        <v>0</v>
      </c>
      <c r="AE646" s="26">
        <f>IF(B646="","",ROUND(SUMIFS(Payments!$G$5:$G$1204,Payments!$H$5:$H$1204,A646,Payments!$Q$5:$Q$1204,"Yes"),2))</f>
        <v>0</v>
      </c>
      <c r="AF646" s="26">
        <f>IF(B646="","",IF(AD646="No",0,ROUND(SUMIFS(Payments!$G$5:$G$1204,Payments!$I$5:$I$1204,C646,Payments!$H$5:$H$1204,"",Payments!$Q$5:$Q$1204,"Yes"),2)))</f>
        <v>0</v>
      </c>
      <c r="AG646" s="26">
        <f>IF(B646="","",ROUND(AE646+AF646,2))</f>
        <v>0</v>
      </c>
      <c r="AH646" s="26">
        <f>IF(B646="","",ROUND(AA646-AG646,2))</f>
        <v>0</v>
      </c>
      <c r="AI646" s="39">
        <f>IF(B646="","",IF(AA646&lt;=0,"No charge",IF(AH646&lt;=0.004,"Paid",IF(AG646&lt;=0.004,"Unpaid","Part paid"))))</f>
        <v>0</v>
      </c>
      <c r="AJ646" s="38">
        <f>IF(B646="","",IF(H646&lt;&gt;"Service","",IF(D646="","No",IF(COUNTIFS($D$5:$D$1204,D646,$B$5:$B$1204,B646,$H$5:$H$1204,"Retail")&gt;0,"Yes","No"))))</f>
        <v>0</v>
      </c>
      <c r="AK646" s="25">
        <f>IF(B646="","",COUNTIFS($Y$5:$Y$1204,"&gt;"&amp;Y646)+COUNTIFS($Y$5:Y646,Y646))</f>
        <v>0</v>
      </c>
      <c r="AL646" s="39">
        <f>IF(B646="","",IF(H646="","Add - what kind of sale is this?",IF(IF(V646&lt;=0,P646="",FALSE),"Check - no price found for this item",IF(F646="","Assign - nobody credited",IF(AH646&gt;0.004,"Unpaid - balance outstanding",IF(AC646&lt;0,"Loss - sold below cost",IF(X646&gt;W646*0.5,"Check - more than half off","OK")))))))</f>
        <v>0</v>
      </c>
    </row>
    <row r="647" spans="1:38">
      <c r="A647" s="28">
        <f>IF(B647="","",SalePrefix&amp;TEXT(ROW()-4,"0000"))</f>
        <v>0</v>
      </c>
      <c r="E647" s="15">
        <f>IF(D647="","",IFERROR(INDEX(Clients!$B$5:$B$504,MATCH(D647,Clients!$A$5:$A$504,0)),"Walk-in"))</f>
        <v>0</v>
      </c>
      <c r="G647" s="15">
        <f>IF(F647="","",IFERROR(INDEX(Staff!$B$5:$B$44,MATCH(F647,Staff!$A$5:$A$44,0)),"House"))</f>
        <v>0</v>
      </c>
      <c r="R647" s="15">
        <f>IF(B647="","",TEXT(B647,"yyyy-mm"))</f>
        <v>0</v>
      </c>
      <c r="S647" s="25">
        <f>IF(B647="","",WEEKNUM(B647,2))</f>
        <v>0</v>
      </c>
      <c r="T647" s="37">
        <f>IF(B647="","",IF(K647="",1,K647))</f>
        <v>0</v>
      </c>
      <c r="U647" s="15">
        <f>IF(B647="","",IF(J647&lt;&gt;"",J647,IF(H647="Retail",IFERROR(INDEX(Inventory!$B$5:$B$304,MATCH(I647,Inventory!$A$5:$A$304,0))&amp;"","Not in Inventory"),IFERROR(INDEX(Services!$B$5:$B$204,MATCH(I647,Services!$A$5:$A$204,0))&amp;"","Not in Services"))))</f>
        <v>0</v>
      </c>
      <c r="V647" s="26">
        <f>IF(B647="","",IF(L647&lt;&gt;"",L647,IF(H647="Retail",IFERROR(INDEX(Inventory!$I$5:$I$304,MATCH(I647,Inventory!$A$5:$A$304,0))*1,0),IFERROR(INDEX(Services!$G$5:$G$204,MATCH(I647,Services!$A$5:$A$204,0))*1,0))))</f>
        <v>0</v>
      </c>
      <c r="W647" s="26">
        <f>IF(B647="","",ROUND(T647*V647,2))</f>
        <v>0</v>
      </c>
      <c r="X647" s="26">
        <f>IF(B647="","",ROUND(IF(M647="",0,W647*M647)+IF(N647="",0,N647),2))</f>
        <v>0</v>
      </c>
      <c r="Y647" s="26">
        <f>IF(B647="","",ROUND(W647-X647-IF(P647="",0,P647),2))</f>
        <v>0</v>
      </c>
      <c r="Z647" s="26">
        <f>IF(B647="","",IF(H647="Retail",IF(TaxOnRetail="Yes",ROUND(Y647*TaxRate,2),0),IF(H647="Service",IF(TaxOnServices="Yes",ROUND(Y647*TaxRate,2),0),0)))</f>
        <v>0</v>
      </c>
      <c r="AA647" s="26">
        <f>IF(B647="","",ROUND(Y647+Z647,2))</f>
        <v>0</v>
      </c>
      <c r="AB647" s="26">
        <f>IF(B647="","",ROUND(T647*IF(H647="Retail",IFERROR(INDEX(Inventory!$H$5:$H$304,MATCH(I647,Inventory!$A$5:$A$304,0))*1,0),IFERROR(INDEX(Services!$Q$5:$Q$204,MATCH(I647,Services!$A$5:$A$204,0))*1,0)),2))</f>
        <v>0</v>
      </c>
      <c r="AC647" s="26">
        <f>IF(B647="","",ROUND(Y647-AB647,2))</f>
        <v>0</v>
      </c>
      <c r="AD647" s="38">
        <f>IF(B647="","",IF(C647="","No",IF(COUNTIFS($C$5:C647,C647)=1,"Yes","No")))</f>
        <v>0</v>
      </c>
      <c r="AE647" s="26">
        <f>IF(B647="","",ROUND(SUMIFS(Payments!$G$5:$G$1204,Payments!$H$5:$H$1204,A647,Payments!$Q$5:$Q$1204,"Yes"),2))</f>
        <v>0</v>
      </c>
      <c r="AF647" s="26">
        <f>IF(B647="","",IF(AD647="No",0,ROUND(SUMIFS(Payments!$G$5:$G$1204,Payments!$I$5:$I$1204,C647,Payments!$H$5:$H$1204,"",Payments!$Q$5:$Q$1204,"Yes"),2)))</f>
        <v>0</v>
      </c>
      <c r="AG647" s="26">
        <f>IF(B647="","",ROUND(AE647+AF647,2))</f>
        <v>0</v>
      </c>
      <c r="AH647" s="26">
        <f>IF(B647="","",ROUND(AA647-AG647,2))</f>
        <v>0</v>
      </c>
      <c r="AI647" s="39">
        <f>IF(B647="","",IF(AA647&lt;=0,"No charge",IF(AH647&lt;=0.004,"Paid",IF(AG647&lt;=0.004,"Unpaid","Part paid"))))</f>
        <v>0</v>
      </c>
      <c r="AJ647" s="38">
        <f>IF(B647="","",IF(H647&lt;&gt;"Service","",IF(D647="","No",IF(COUNTIFS($D$5:$D$1204,D647,$B$5:$B$1204,B647,$H$5:$H$1204,"Retail")&gt;0,"Yes","No"))))</f>
        <v>0</v>
      </c>
      <c r="AK647" s="25">
        <f>IF(B647="","",COUNTIFS($Y$5:$Y$1204,"&gt;"&amp;Y647)+COUNTIFS($Y$5:Y647,Y647))</f>
        <v>0</v>
      </c>
      <c r="AL647" s="39">
        <f>IF(B647="","",IF(H647="","Add - what kind of sale is this?",IF(IF(V647&lt;=0,P647="",FALSE),"Check - no price found for this item",IF(F647="","Assign - nobody credited",IF(AH647&gt;0.004,"Unpaid - balance outstanding",IF(AC647&lt;0,"Loss - sold below cost",IF(X647&gt;W647*0.5,"Check - more than half off","OK")))))))</f>
        <v>0</v>
      </c>
    </row>
    <row r="648" spans="1:38">
      <c r="A648" s="28">
        <f>IF(B648="","",SalePrefix&amp;TEXT(ROW()-4,"0000"))</f>
        <v>0</v>
      </c>
      <c r="E648" s="15">
        <f>IF(D648="","",IFERROR(INDEX(Clients!$B$5:$B$504,MATCH(D648,Clients!$A$5:$A$504,0)),"Walk-in"))</f>
        <v>0</v>
      </c>
      <c r="G648" s="15">
        <f>IF(F648="","",IFERROR(INDEX(Staff!$B$5:$B$44,MATCH(F648,Staff!$A$5:$A$44,0)),"House"))</f>
        <v>0</v>
      </c>
      <c r="R648" s="15">
        <f>IF(B648="","",TEXT(B648,"yyyy-mm"))</f>
        <v>0</v>
      </c>
      <c r="S648" s="25">
        <f>IF(B648="","",WEEKNUM(B648,2))</f>
        <v>0</v>
      </c>
      <c r="T648" s="37">
        <f>IF(B648="","",IF(K648="",1,K648))</f>
        <v>0</v>
      </c>
      <c r="U648" s="15">
        <f>IF(B648="","",IF(J648&lt;&gt;"",J648,IF(H648="Retail",IFERROR(INDEX(Inventory!$B$5:$B$304,MATCH(I648,Inventory!$A$5:$A$304,0))&amp;"","Not in Inventory"),IFERROR(INDEX(Services!$B$5:$B$204,MATCH(I648,Services!$A$5:$A$204,0))&amp;"","Not in Services"))))</f>
        <v>0</v>
      </c>
      <c r="V648" s="26">
        <f>IF(B648="","",IF(L648&lt;&gt;"",L648,IF(H648="Retail",IFERROR(INDEX(Inventory!$I$5:$I$304,MATCH(I648,Inventory!$A$5:$A$304,0))*1,0),IFERROR(INDEX(Services!$G$5:$G$204,MATCH(I648,Services!$A$5:$A$204,0))*1,0))))</f>
        <v>0</v>
      </c>
      <c r="W648" s="26">
        <f>IF(B648="","",ROUND(T648*V648,2))</f>
        <v>0</v>
      </c>
      <c r="X648" s="26">
        <f>IF(B648="","",ROUND(IF(M648="",0,W648*M648)+IF(N648="",0,N648),2))</f>
        <v>0</v>
      </c>
      <c r="Y648" s="26">
        <f>IF(B648="","",ROUND(W648-X648-IF(P648="",0,P648),2))</f>
        <v>0</v>
      </c>
      <c r="Z648" s="26">
        <f>IF(B648="","",IF(H648="Retail",IF(TaxOnRetail="Yes",ROUND(Y648*TaxRate,2),0),IF(H648="Service",IF(TaxOnServices="Yes",ROUND(Y648*TaxRate,2),0),0)))</f>
        <v>0</v>
      </c>
      <c r="AA648" s="26">
        <f>IF(B648="","",ROUND(Y648+Z648,2))</f>
        <v>0</v>
      </c>
      <c r="AB648" s="26">
        <f>IF(B648="","",ROUND(T648*IF(H648="Retail",IFERROR(INDEX(Inventory!$H$5:$H$304,MATCH(I648,Inventory!$A$5:$A$304,0))*1,0),IFERROR(INDEX(Services!$Q$5:$Q$204,MATCH(I648,Services!$A$5:$A$204,0))*1,0)),2))</f>
        <v>0</v>
      </c>
      <c r="AC648" s="26">
        <f>IF(B648="","",ROUND(Y648-AB648,2))</f>
        <v>0</v>
      </c>
      <c r="AD648" s="38">
        <f>IF(B648="","",IF(C648="","No",IF(COUNTIFS($C$5:C648,C648)=1,"Yes","No")))</f>
        <v>0</v>
      </c>
      <c r="AE648" s="26">
        <f>IF(B648="","",ROUND(SUMIFS(Payments!$G$5:$G$1204,Payments!$H$5:$H$1204,A648,Payments!$Q$5:$Q$1204,"Yes"),2))</f>
        <v>0</v>
      </c>
      <c r="AF648" s="26">
        <f>IF(B648="","",IF(AD648="No",0,ROUND(SUMIFS(Payments!$G$5:$G$1204,Payments!$I$5:$I$1204,C648,Payments!$H$5:$H$1204,"",Payments!$Q$5:$Q$1204,"Yes"),2)))</f>
        <v>0</v>
      </c>
      <c r="AG648" s="26">
        <f>IF(B648="","",ROUND(AE648+AF648,2))</f>
        <v>0</v>
      </c>
      <c r="AH648" s="26">
        <f>IF(B648="","",ROUND(AA648-AG648,2))</f>
        <v>0</v>
      </c>
      <c r="AI648" s="39">
        <f>IF(B648="","",IF(AA648&lt;=0,"No charge",IF(AH648&lt;=0.004,"Paid",IF(AG648&lt;=0.004,"Unpaid","Part paid"))))</f>
        <v>0</v>
      </c>
      <c r="AJ648" s="38">
        <f>IF(B648="","",IF(H648&lt;&gt;"Service","",IF(D648="","No",IF(COUNTIFS($D$5:$D$1204,D648,$B$5:$B$1204,B648,$H$5:$H$1204,"Retail")&gt;0,"Yes","No"))))</f>
        <v>0</v>
      </c>
      <c r="AK648" s="25">
        <f>IF(B648="","",COUNTIFS($Y$5:$Y$1204,"&gt;"&amp;Y648)+COUNTIFS($Y$5:Y648,Y648))</f>
        <v>0</v>
      </c>
      <c r="AL648" s="39">
        <f>IF(B648="","",IF(H648="","Add - what kind of sale is this?",IF(IF(V648&lt;=0,P648="",FALSE),"Check - no price found for this item",IF(F648="","Assign - nobody credited",IF(AH648&gt;0.004,"Unpaid - balance outstanding",IF(AC648&lt;0,"Loss - sold below cost",IF(X648&gt;W648*0.5,"Check - more than half off","OK")))))))</f>
        <v>0</v>
      </c>
    </row>
    <row r="649" spans="1:38">
      <c r="A649" s="28">
        <f>IF(B649="","",SalePrefix&amp;TEXT(ROW()-4,"0000"))</f>
        <v>0</v>
      </c>
      <c r="E649" s="15">
        <f>IF(D649="","",IFERROR(INDEX(Clients!$B$5:$B$504,MATCH(D649,Clients!$A$5:$A$504,0)),"Walk-in"))</f>
        <v>0</v>
      </c>
      <c r="G649" s="15">
        <f>IF(F649="","",IFERROR(INDEX(Staff!$B$5:$B$44,MATCH(F649,Staff!$A$5:$A$44,0)),"House"))</f>
        <v>0</v>
      </c>
      <c r="R649" s="15">
        <f>IF(B649="","",TEXT(B649,"yyyy-mm"))</f>
        <v>0</v>
      </c>
      <c r="S649" s="25">
        <f>IF(B649="","",WEEKNUM(B649,2))</f>
        <v>0</v>
      </c>
      <c r="T649" s="37">
        <f>IF(B649="","",IF(K649="",1,K649))</f>
        <v>0</v>
      </c>
      <c r="U649" s="15">
        <f>IF(B649="","",IF(J649&lt;&gt;"",J649,IF(H649="Retail",IFERROR(INDEX(Inventory!$B$5:$B$304,MATCH(I649,Inventory!$A$5:$A$304,0))&amp;"","Not in Inventory"),IFERROR(INDEX(Services!$B$5:$B$204,MATCH(I649,Services!$A$5:$A$204,0))&amp;"","Not in Services"))))</f>
        <v>0</v>
      </c>
      <c r="V649" s="26">
        <f>IF(B649="","",IF(L649&lt;&gt;"",L649,IF(H649="Retail",IFERROR(INDEX(Inventory!$I$5:$I$304,MATCH(I649,Inventory!$A$5:$A$304,0))*1,0),IFERROR(INDEX(Services!$G$5:$G$204,MATCH(I649,Services!$A$5:$A$204,0))*1,0))))</f>
        <v>0</v>
      </c>
      <c r="W649" s="26">
        <f>IF(B649="","",ROUND(T649*V649,2))</f>
        <v>0</v>
      </c>
      <c r="X649" s="26">
        <f>IF(B649="","",ROUND(IF(M649="",0,W649*M649)+IF(N649="",0,N649),2))</f>
        <v>0</v>
      </c>
      <c r="Y649" s="26">
        <f>IF(B649="","",ROUND(W649-X649-IF(P649="",0,P649),2))</f>
        <v>0</v>
      </c>
      <c r="Z649" s="26">
        <f>IF(B649="","",IF(H649="Retail",IF(TaxOnRetail="Yes",ROUND(Y649*TaxRate,2),0),IF(H649="Service",IF(TaxOnServices="Yes",ROUND(Y649*TaxRate,2),0),0)))</f>
        <v>0</v>
      </c>
      <c r="AA649" s="26">
        <f>IF(B649="","",ROUND(Y649+Z649,2))</f>
        <v>0</v>
      </c>
      <c r="AB649" s="26">
        <f>IF(B649="","",ROUND(T649*IF(H649="Retail",IFERROR(INDEX(Inventory!$H$5:$H$304,MATCH(I649,Inventory!$A$5:$A$304,0))*1,0),IFERROR(INDEX(Services!$Q$5:$Q$204,MATCH(I649,Services!$A$5:$A$204,0))*1,0)),2))</f>
        <v>0</v>
      </c>
      <c r="AC649" s="26">
        <f>IF(B649="","",ROUND(Y649-AB649,2))</f>
        <v>0</v>
      </c>
      <c r="AD649" s="38">
        <f>IF(B649="","",IF(C649="","No",IF(COUNTIFS($C$5:C649,C649)=1,"Yes","No")))</f>
        <v>0</v>
      </c>
      <c r="AE649" s="26">
        <f>IF(B649="","",ROUND(SUMIFS(Payments!$G$5:$G$1204,Payments!$H$5:$H$1204,A649,Payments!$Q$5:$Q$1204,"Yes"),2))</f>
        <v>0</v>
      </c>
      <c r="AF649" s="26">
        <f>IF(B649="","",IF(AD649="No",0,ROUND(SUMIFS(Payments!$G$5:$G$1204,Payments!$I$5:$I$1204,C649,Payments!$H$5:$H$1204,"",Payments!$Q$5:$Q$1204,"Yes"),2)))</f>
        <v>0</v>
      </c>
      <c r="AG649" s="26">
        <f>IF(B649="","",ROUND(AE649+AF649,2))</f>
        <v>0</v>
      </c>
      <c r="AH649" s="26">
        <f>IF(B649="","",ROUND(AA649-AG649,2))</f>
        <v>0</v>
      </c>
      <c r="AI649" s="39">
        <f>IF(B649="","",IF(AA649&lt;=0,"No charge",IF(AH649&lt;=0.004,"Paid",IF(AG649&lt;=0.004,"Unpaid","Part paid"))))</f>
        <v>0</v>
      </c>
      <c r="AJ649" s="38">
        <f>IF(B649="","",IF(H649&lt;&gt;"Service","",IF(D649="","No",IF(COUNTIFS($D$5:$D$1204,D649,$B$5:$B$1204,B649,$H$5:$H$1204,"Retail")&gt;0,"Yes","No"))))</f>
        <v>0</v>
      </c>
      <c r="AK649" s="25">
        <f>IF(B649="","",COUNTIFS($Y$5:$Y$1204,"&gt;"&amp;Y649)+COUNTIFS($Y$5:Y649,Y649))</f>
        <v>0</v>
      </c>
      <c r="AL649" s="39">
        <f>IF(B649="","",IF(H649="","Add - what kind of sale is this?",IF(IF(V649&lt;=0,P649="",FALSE),"Check - no price found for this item",IF(F649="","Assign - nobody credited",IF(AH649&gt;0.004,"Unpaid - balance outstanding",IF(AC649&lt;0,"Loss - sold below cost",IF(X649&gt;W649*0.5,"Check - more than half off","OK")))))))</f>
        <v>0</v>
      </c>
    </row>
    <row r="650" spans="1:38">
      <c r="A650" s="28">
        <f>IF(B650="","",SalePrefix&amp;TEXT(ROW()-4,"0000"))</f>
        <v>0</v>
      </c>
      <c r="E650" s="15">
        <f>IF(D650="","",IFERROR(INDEX(Clients!$B$5:$B$504,MATCH(D650,Clients!$A$5:$A$504,0)),"Walk-in"))</f>
        <v>0</v>
      </c>
      <c r="G650" s="15">
        <f>IF(F650="","",IFERROR(INDEX(Staff!$B$5:$B$44,MATCH(F650,Staff!$A$5:$A$44,0)),"House"))</f>
        <v>0</v>
      </c>
      <c r="R650" s="15">
        <f>IF(B650="","",TEXT(B650,"yyyy-mm"))</f>
        <v>0</v>
      </c>
      <c r="S650" s="25">
        <f>IF(B650="","",WEEKNUM(B650,2))</f>
        <v>0</v>
      </c>
      <c r="T650" s="37">
        <f>IF(B650="","",IF(K650="",1,K650))</f>
        <v>0</v>
      </c>
      <c r="U650" s="15">
        <f>IF(B650="","",IF(J650&lt;&gt;"",J650,IF(H650="Retail",IFERROR(INDEX(Inventory!$B$5:$B$304,MATCH(I650,Inventory!$A$5:$A$304,0))&amp;"","Not in Inventory"),IFERROR(INDEX(Services!$B$5:$B$204,MATCH(I650,Services!$A$5:$A$204,0))&amp;"","Not in Services"))))</f>
        <v>0</v>
      </c>
      <c r="V650" s="26">
        <f>IF(B650="","",IF(L650&lt;&gt;"",L650,IF(H650="Retail",IFERROR(INDEX(Inventory!$I$5:$I$304,MATCH(I650,Inventory!$A$5:$A$304,0))*1,0),IFERROR(INDEX(Services!$G$5:$G$204,MATCH(I650,Services!$A$5:$A$204,0))*1,0))))</f>
        <v>0</v>
      </c>
      <c r="W650" s="26">
        <f>IF(B650="","",ROUND(T650*V650,2))</f>
        <v>0</v>
      </c>
      <c r="X650" s="26">
        <f>IF(B650="","",ROUND(IF(M650="",0,W650*M650)+IF(N650="",0,N650),2))</f>
        <v>0</v>
      </c>
      <c r="Y650" s="26">
        <f>IF(B650="","",ROUND(W650-X650-IF(P650="",0,P650),2))</f>
        <v>0</v>
      </c>
      <c r="Z650" s="26">
        <f>IF(B650="","",IF(H650="Retail",IF(TaxOnRetail="Yes",ROUND(Y650*TaxRate,2),0),IF(H650="Service",IF(TaxOnServices="Yes",ROUND(Y650*TaxRate,2),0),0)))</f>
        <v>0</v>
      </c>
      <c r="AA650" s="26">
        <f>IF(B650="","",ROUND(Y650+Z650,2))</f>
        <v>0</v>
      </c>
      <c r="AB650" s="26">
        <f>IF(B650="","",ROUND(T650*IF(H650="Retail",IFERROR(INDEX(Inventory!$H$5:$H$304,MATCH(I650,Inventory!$A$5:$A$304,0))*1,0),IFERROR(INDEX(Services!$Q$5:$Q$204,MATCH(I650,Services!$A$5:$A$204,0))*1,0)),2))</f>
        <v>0</v>
      </c>
      <c r="AC650" s="26">
        <f>IF(B650="","",ROUND(Y650-AB650,2))</f>
        <v>0</v>
      </c>
      <c r="AD650" s="38">
        <f>IF(B650="","",IF(C650="","No",IF(COUNTIFS($C$5:C650,C650)=1,"Yes","No")))</f>
        <v>0</v>
      </c>
      <c r="AE650" s="26">
        <f>IF(B650="","",ROUND(SUMIFS(Payments!$G$5:$G$1204,Payments!$H$5:$H$1204,A650,Payments!$Q$5:$Q$1204,"Yes"),2))</f>
        <v>0</v>
      </c>
      <c r="AF650" s="26">
        <f>IF(B650="","",IF(AD650="No",0,ROUND(SUMIFS(Payments!$G$5:$G$1204,Payments!$I$5:$I$1204,C650,Payments!$H$5:$H$1204,"",Payments!$Q$5:$Q$1204,"Yes"),2)))</f>
        <v>0</v>
      </c>
      <c r="AG650" s="26">
        <f>IF(B650="","",ROUND(AE650+AF650,2))</f>
        <v>0</v>
      </c>
      <c r="AH650" s="26">
        <f>IF(B650="","",ROUND(AA650-AG650,2))</f>
        <v>0</v>
      </c>
      <c r="AI650" s="39">
        <f>IF(B650="","",IF(AA650&lt;=0,"No charge",IF(AH650&lt;=0.004,"Paid",IF(AG650&lt;=0.004,"Unpaid","Part paid"))))</f>
        <v>0</v>
      </c>
      <c r="AJ650" s="38">
        <f>IF(B650="","",IF(H650&lt;&gt;"Service","",IF(D650="","No",IF(COUNTIFS($D$5:$D$1204,D650,$B$5:$B$1204,B650,$H$5:$H$1204,"Retail")&gt;0,"Yes","No"))))</f>
        <v>0</v>
      </c>
      <c r="AK650" s="25">
        <f>IF(B650="","",COUNTIFS($Y$5:$Y$1204,"&gt;"&amp;Y650)+COUNTIFS($Y$5:Y650,Y650))</f>
        <v>0</v>
      </c>
      <c r="AL650" s="39">
        <f>IF(B650="","",IF(H650="","Add - what kind of sale is this?",IF(IF(V650&lt;=0,P650="",FALSE),"Check - no price found for this item",IF(F650="","Assign - nobody credited",IF(AH650&gt;0.004,"Unpaid - balance outstanding",IF(AC650&lt;0,"Loss - sold below cost",IF(X650&gt;W650*0.5,"Check - more than half off","OK")))))))</f>
        <v>0</v>
      </c>
    </row>
    <row r="651" spans="1:38">
      <c r="A651" s="28">
        <f>IF(B651="","",SalePrefix&amp;TEXT(ROW()-4,"0000"))</f>
        <v>0</v>
      </c>
      <c r="E651" s="15">
        <f>IF(D651="","",IFERROR(INDEX(Clients!$B$5:$B$504,MATCH(D651,Clients!$A$5:$A$504,0)),"Walk-in"))</f>
        <v>0</v>
      </c>
      <c r="G651" s="15">
        <f>IF(F651="","",IFERROR(INDEX(Staff!$B$5:$B$44,MATCH(F651,Staff!$A$5:$A$44,0)),"House"))</f>
        <v>0</v>
      </c>
      <c r="R651" s="15">
        <f>IF(B651="","",TEXT(B651,"yyyy-mm"))</f>
        <v>0</v>
      </c>
      <c r="S651" s="25">
        <f>IF(B651="","",WEEKNUM(B651,2))</f>
        <v>0</v>
      </c>
      <c r="T651" s="37">
        <f>IF(B651="","",IF(K651="",1,K651))</f>
        <v>0</v>
      </c>
      <c r="U651" s="15">
        <f>IF(B651="","",IF(J651&lt;&gt;"",J651,IF(H651="Retail",IFERROR(INDEX(Inventory!$B$5:$B$304,MATCH(I651,Inventory!$A$5:$A$304,0))&amp;"","Not in Inventory"),IFERROR(INDEX(Services!$B$5:$B$204,MATCH(I651,Services!$A$5:$A$204,0))&amp;"","Not in Services"))))</f>
        <v>0</v>
      </c>
      <c r="V651" s="26">
        <f>IF(B651="","",IF(L651&lt;&gt;"",L651,IF(H651="Retail",IFERROR(INDEX(Inventory!$I$5:$I$304,MATCH(I651,Inventory!$A$5:$A$304,0))*1,0),IFERROR(INDEX(Services!$G$5:$G$204,MATCH(I651,Services!$A$5:$A$204,0))*1,0))))</f>
        <v>0</v>
      </c>
      <c r="W651" s="26">
        <f>IF(B651="","",ROUND(T651*V651,2))</f>
        <v>0</v>
      </c>
      <c r="X651" s="26">
        <f>IF(B651="","",ROUND(IF(M651="",0,W651*M651)+IF(N651="",0,N651),2))</f>
        <v>0</v>
      </c>
      <c r="Y651" s="26">
        <f>IF(B651="","",ROUND(W651-X651-IF(P651="",0,P651),2))</f>
        <v>0</v>
      </c>
      <c r="Z651" s="26">
        <f>IF(B651="","",IF(H651="Retail",IF(TaxOnRetail="Yes",ROUND(Y651*TaxRate,2),0),IF(H651="Service",IF(TaxOnServices="Yes",ROUND(Y651*TaxRate,2),0),0)))</f>
        <v>0</v>
      </c>
      <c r="AA651" s="26">
        <f>IF(B651="","",ROUND(Y651+Z651,2))</f>
        <v>0</v>
      </c>
      <c r="AB651" s="26">
        <f>IF(B651="","",ROUND(T651*IF(H651="Retail",IFERROR(INDEX(Inventory!$H$5:$H$304,MATCH(I651,Inventory!$A$5:$A$304,0))*1,0),IFERROR(INDEX(Services!$Q$5:$Q$204,MATCH(I651,Services!$A$5:$A$204,0))*1,0)),2))</f>
        <v>0</v>
      </c>
      <c r="AC651" s="26">
        <f>IF(B651="","",ROUND(Y651-AB651,2))</f>
        <v>0</v>
      </c>
      <c r="AD651" s="38">
        <f>IF(B651="","",IF(C651="","No",IF(COUNTIFS($C$5:C651,C651)=1,"Yes","No")))</f>
        <v>0</v>
      </c>
      <c r="AE651" s="26">
        <f>IF(B651="","",ROUND(SUMIFS(Payments!$G$5:$G$1204,Payments!$H$5:$H$1204,A651,Payments!$Q$5:$Q$1204,"Yes"),2))</f>
        <v>0</v>
      </c>
      <c r="AF651" s="26">
        <f>IF(B651="","",IF(AD651="No",0,ROUND(SUMIFS(Payments!$G$5:$G$1204,Payments!$I$5:$I$1204,C651,Payments!$H$5:$H$1204,"",Payments!$Q$5:$Q$1204,"Yes"),2)))</f>
        <v>0</v>
      </c>
      <c r="AG651" s="26">
        <f>IF(B651="","",ROUND(AE651+AF651,2))</f>
        <v>0</v>
      </c>
      <c r="AH651" s="26">
        <f>IF(B651="","",ROUND(AA651-AG651,2))</f>
        <v>0</v>
      </c>
      <c r="AI651" s="39">
        <f>IF(B651="","",IF(AA651&lt;=0,"No charge",IF(AH651&lt;=0.004,"Paid",IF(AG651&lt;=0.004,"Unpaid","Part paid"))))</f>
        <v>0</v>
      </c>
      <c r="AJ651" s="38">
        <f>IF(B651="","",IF(H651&lt;&gt;"Service","",IF(D651="","No",IF(COUNTIFS($D$5:$D$1204,D651,$B$5:$B$1204,B651,$H$5:$H$1204,"Retail")&gt;0,"Yes","No"))))</f>
        <v>0</v>
      </c>
      <c r="AK651" s="25">
        <f>IF(B651="","",COUNTIFS($Y$5:$Y$1204,"&gt;"&amp;Y651)+COUNTIFS($Y$5:Y651,Y651))</f>
        <v>0</v>
      </c>
      <c r="AL651" s="39">
        <f>IF(B651="","",IF(H651="","Add - what kind of sale is this?",IF(IF(V651&lt;=0,P651="",FALSE),"Check - no price found for this item",IF(F651="","Assign - nobody credited",IF(AH651&gt;0.004,"Unpaid - balance outstanding",IF(AC651&lt;0,"Loss - sold below cost",IF(X651&gt;W651*0.5,"Check - more than half off","OK")))))))</f>
        <v>0</v>
      </c>
    </row>
    <row r="652" spans="1:38">
      <c r="A652" s="28">
        <f>IF(B652="","",SalePrefix&amp;TEXT(ROW()-4,"0000"))</f>
        <v>0</v>
      </c>
      <c r="E652" s="15">
        <f>IF(D652="","",IFERROR(INDEX(Clients!$B$5:$B$504,MATCH(D652,Clients!$A$5:$A$504,0)),"Walk-in"))</f>
        <v>0</v>
      </c>
      <c r="G652" s="15">
        <f>IF(F652="","",IFERROR(INDEX(Staff!$B$5:$B$44,MATCH(F652,Staff!$A$5:$A$44,0)),"House"))</f>
        <v>0</v>
      </c>
      <c r="R652" s="15">
        <f>IF(B652="","",TEXT(B652,"yyyy-mm"))</f>
        <v>0</v>
      </c>
      <c r="S652" s="25">
        <f>IF(B652="","",WEEKNUM(B652,2))</f>
        <v>0</v>
      </c>
      <c r="T652" s="37">
        <f>IF(B652="","",IF(K652="",1,K652))</f>
        <v>0</v>
      </c>
      <c r="U652" s="15">
        <f>IF(B652="","",IF(J652&lt;&gt;"",J652,IF(H652="Retail",IFERROR(INDEX(Inventory!$B$5:$B$304,MATCH(I652,Inventory!$A$5:$A$304,0))&amp;"","Not in Inventory"),IFERROR(INDEX(Services!$B$5:$B$204,MATCH(I652,Services!$A$5:$A$204,0))&amp;"","Not in Services"))))</f>
        <v>0</v>
      </c>
      <c r="V652" s="26">
        <f>IF(B652="","",IF(L652&lt;&gt;"",L652,IF(H652="Retail",IFERROR(INDEX(Inventory!$I$5:$I$304,MATCH(I652,Inventory!$A$5:$A$304,0))*1,0),IFERROR(INDEX(Services!$G$5:$G$204,MATCH(I652,Services!$A$5:$A$204,0))*1,0))))</f>
        <v>0</v>
      </c>
      <c r="W652" s="26">
        <f>IF(B652="","",ROUND(T652*V652,2))</f>
        <v>0</v>
      </c>
      <c r="X652" s="26">
        <f>IF(B652="","",ROUND(IF(M652="",0,W652*M652)+IF(N652="",0,N652),2))</f>
        <v>0</v>
      </c>
      <c r="Y652" s="26">
        <f>IF(B652="","",ROUND(W652-X652-IF(P652="",0,P652),2))</f>
        <v>0</v>
      </c>
      <c r="Z652" s="26">
        <f>IF(B652="","",IF(H652="Retail",IF(TaxOnRetail="Yes",ROUND(Y652*TaxRate,2),0),IF(H652="Service",IF(TaxOnServices="Yes",ROUND(Y652*TaxRate,2),0),0)))</f>
        <v>0</v>
      </c>
      <c r="AA652" s="26">
        <f>IF(B652="","",ROUND(Y652+Z652,2))</f>
        <v>0</v>
      </c>
      <c r="AB652" s="26">
        <f>IF(B652="","",ROUND(T652*IF(H652="Retail",IFERROR(INDEX(Inventory!$H$5:$H$304,MATCH(I652,Inventory!$A$5:$A$304,0))*1,0),IFERROR(INDEX(Services!$Q$5:$Q$204,MATCH(I652,Services!$A$5:$A$204,0))*1,0)),2))</f>
        <v>0</v>
      </c>
      <c r="AC652" s="26">
        <f>IF(B652="","",ROUND(Y652-AB652,2))</f>
        <v>0</v>
      </c>
      <c r="AD652" s="38">
        <f>IF(B652="","",IF(C652="","No",IF(COUNTIFS($C$5:C652,C652)=1,"Yes","No")))</f>
        <v>0</v>
      </c>
      <c r="AE652" s="26">
        <f>IF(B652="","",ROUND(SUMIFS(Payments!$G$5:$G$1204,Payments!$H$5:$H$1204,A652,Payments!$Q$5:$Q$1204,"Yes"),2))</f>
        <v>0</v>
      </c>
      <c r="AF652" s="26">
        <f>IF(B652="","",IF(AD652="No",0,ROUND(SUMIFS(Payments!$G$5:$G$1204,Payments!$I$5:$I$1204,C652,Payments!$H$5:$H$1204,"",Payments!$Q$5:$Q$1204,"Yes"),2)))</f>
        <v>0</v>
      </c>
      <c r="AG652" s="26">
        <f>IF(B652="","",ROUND(AE652+AF652,2))</f>
        <v>0</v>
      </c>
      <c r="AH652" s="26">
        <f>IF(B652="","",ROUND(AA652-AG652,2))</f>
        <v>0</v>
      </c>
      <c r="AI652" s="39">
        <f>IF(B652="","",IF(AA652&lt;=0,"No charge",IF(AH652&lt;=0.004,"Paid",IF(AG652&lt;=0.004,"Unpaid","Part paid"))))</f>
        <v>0</v>
      </c>
      <c r="AJ652" s="38">
        <f>IF(B652="","",IF(H652&lt;&gt;"Service","",IF(D652="","No",IF(COUNTIFS($D$5:$D$1204,D652,$B$5:$B$1204,B652,$H$5:$H$1204,"Retail")&gt;0,"Yes","No"))))</f>
        <v>0</v>
      </c>
      <c r="AK652" s="25">
        <f>IF(B652="","",COUNTIFS($Y$5:$Y$1204,"&gt;"&amp;Y652)+COUNTIFS($Y$5:Y652,Y652))</f>
        <v>0</v>
      </c>
      <c r="AL652" s="39">
        <f>IF(B652="","",IF(H652="","Add - what kind of sale is this?",IF(IF(V652&lt;=0,P652="",FALSE),"Check - no price found for this item",IF(F652="","Assign - nobody credited",IF(AH652&gt;0.004,"Unpaid - balance outstanding",IF(AC652&lt;0,"Loss - sold below cost",IF(X652&gt;W652*0.5,"Check - more than half off","OK")))))))</f>
        <v>0</v>
      </c>
    </row>
    <row r="653" spans="1:38">
      <c r="A653" s="28">
        <f>IF(B653="","",SalePrefix&amp;TEXT(ROW()-4,"0000"))</f>
        <v>0</v>
      </c>
      <c r="E653" s="15">
        <f>IF(D653="","",IFERROR(INDEX(Clients!$B$5:$B$504,MATCH(D653,Clients!$A$5:$A$504,0)),"Walk-in"))</f>
        <v>0</v>
      </c>
      <c r="G653" s="15">
        <f>IF(F653="","",IFERROR(INDEX(Staff!$B$5:$B$44,MATCH(F653,Staff!$A$5:$A$44,0)),"House"))</f>
        <v>0</v>
      </c>
      <c r="R653" s="15">
        <f>IF(B653="","",TEXT(B653,"yyyy-mm"))</f>
        <v>0</v>
      </c>
      <c r="S653" s="25">
        <f>IF(B653="","",WEEKNUM(B653,2))</f>
        <v>0</v>
      </c>
      <c r="T653" s="37">
        <f>IF(B653="","",IF(K653="",1,K653))</f>
        <v>0</v>
      </c>
      <c r="U653" s="15">
        <f>IF(B653="","",IF(J653&lt;&gt;"",J653,IF(H653="Retail",IFERROR(INDEX(Inventory!$B$5:$B$304,MATCH(I653,Inventory!$A$5:$A$304,0))&amp;"","Not in Inventory"),IFERROR(INDEX(Services!$B$5:$B$204,MATCH(I653,Services!$A$5:$A$204,0))&amp;"","Not in Services"))))</f>
        <v>0</v>
      </c>
      <c r="V653" s="26">
        <f>IF(B653="","",IF(L653&lt;&gt;"",L653,IF(H653="Retail",IFERROR(INDEX(Inventory!$I$5:$I$304,MATCH(I653,Inventory!$A$5:$A$304,0))*1,0),IFERROR(INDEX(Services!$G$5:$G$204,MATCH(I653,Services!$A$5:$A$204,0))*1,0))))</f>
        <v>0</v>
      </c>
      <c r="W653" s="26">
        <f>IF(B653="","",ROUND(T653*V653,2))</f>
        <v>0</v>
      </c>
      <c r="X653" s="26">
        <f>IF(B653="","",ROUND(IF(M653="",0,W653*M653)+IF(N653="",0,N653),2))</f>
        <v>0</v>
      </c>
      <c r="Y653" s="26">
        <f>IF(B653="","",ROUND(W653-X653-IF(P653="",0,P653),2))</f>
        <v>0</v>
      </c>
      <c r="Z653" s="26">
        <f>IF(B653="","",IF(H653="Retail",IF(TaxOnRetail="Yes",ROUND(Y653*TaxRate,2),0),IF(H653="Service",IF(TaxOnServices="Yes",ROUND(Y653*TaxRate,2),0),0)))</f>
        <v>0</v>
      </c>
      <c r="AA653" s="26">
        <f>IF(B653="","",ROUND(Y653+Z653,2))</f>
        <v>0</v>
      </c>
      <c r="AB653" s="26">
        <f>IF(B653="","",ROUND(T653*IF(H653="Retail",IFERROR(INDEX(Inventory!$H$5:$H$304,MATCH(I653,Inventory!$A$5:$A$304,0))*1,0),IFERROR(INDEX(Services!$Q$5:$Q$204,MATCH(I653,Services!$A$5:$A$204,0))*1,0)),2))</f>
        <v>0</v>
      </c>
      <c r="AC653" s="26">
        <f>IF(B653="","",ROUND(Y653-AB653,2))</f>
        <v>0</v>
      </c>
      <c r="AD653" s="38">
        <f>IF(B653="","",IF(C653="","No",IF(COUNTIFS($C$5:C653,C653)=1,"Yes","No")))</f>
        <v>0</v>
      </c>
      <c r="AE653" s="26">
        <f>IF(B653="","",ROUND(SUMIFS(Payments!$G$5:$G$1204,Payments!$H$5:$H$1204,A653,Payments!$Q$5:$Q$1204,"Yes"),2))</f>
        <v>0</v>
      </c>
      <c r="AF653" s="26">
        <f>IF(B653="","",IF(AD653="No",0,ROUND(SUMIFS(Payments!$G$5:$G$1204,Payments!$I$5:$I$1204,C653,Payments!$H$5:$H$1204,"",Payments!$Q$5:$Q$1204,"Yes"),2)))</f>
        <v>0</v>
      </c>
      <c r="AG653" s="26">
        <f>IF(B653="","",ROUND(AE653+AF653,2))</f>
        <v>0</v>
      </c>
      <c r="AH653" s="26">
        <f>IF(B653="","",ROUND(AA653-AG653,2))</f>
        <v>0</v>
      </c>
      <c r="AI653" s="39">
        <f>IF(B653="","",IF(AA653&lt;=0,"No charge",IF(AH653&lt;=0.004,"Paid",IF(AG653&lt;=0.004,"Unpaid","Part paid"))))</f>
        <v>0</v>
      </c>
      <c r="AJ653" s="38">
        <f>IF(B653="","",IF(H653&lt;&gt;"Service","",IF(D653="","No",IF(COUNTIFS($D$5:$D$1204,D653,$B$5:$B$1204,B653,$H$5:$H$1204,"Retail")&gt;0,"Yes","No"))))</f>
        <v>0</v>
      </c>
      <c r="AK653" s="25">
        <f>IF(B653="","",COUNTIFS($Y$5:$Y$1204,"&gt;"&amp;Y653)+COUNTIFS($Y$5:Y653,Y653))</f>
        <v>0</v>
      </c>
      <c r="AL653" s="39">
        <f>IF(B653="","",IF(H653="","Add - what kind of sale is this?",IF(IF(V653&lt;=0,P653="",FALSE),"Check - no price found for this item",IF(F653="","Assign - nobody credited",IF(AH653&gt;0.004,"Unpaid - balance outstanding",IF(AC653&lt;0,"Loss - sold below cost",IF(X653&gt;W653*0.5,"Check - more than half off","OK")))))))</f>
        <v>0</v>
      </c>
    </row>
    <row r="654" spans="1:38">
      <c r="A654" s="28">
        <f>IF(B654="","",SalePrefix&amp;TEXT(ROW()-4,"0000"))</f>
        <v>0</v>
      </c>
      <c r="E654" s="15">
        <f>IF(D654="","",IFERROR(INDEX(Clients!$B$5:$B$504,MATCH(D654,Clients!$A$5:$A$504,0)),"Walk-in"))</f>
        <v>0</v>
      </c>
      <c r="G654" s="15">
        <f>IF(F654="","",IFERROR(INDEX(Staff!$B$5:$B$44,MATCH(F654,Staff!$A$5:$A$44,0)),"House"))</f>
        <v>0</v>
      </c>
      <c r="R654" s="15">
        <f>IF(B654="","",TEXT(B654,"yyyy-mm"))</f>
        <v>0</v>
      </c>
      <c r="S654" s="25">
        <f>IF(B654="","",WEEKNUM(B654,2))</f>
        <v>0</v>
      </c>
      <c r="T654" s="37">
        <f>IF(B654="","",IF(K654="",1,K654))</f>
        <v>0</v>
      </c>
      <c r="U654" s="15">
        <f>IF(B654="","",IF(J654&lt;&gt;"",J654,IF(H654="Retail",IFERROR(INDEX(Inventory!$B$5:$B$304,MATCH(I654,Inventory!$A$5:$A$304,0))&amp;"","Not in Inventory"),IFERROR(INDEX(Services!$B$5:$B$204,MATCH(I654,Services!$A$5:$A$204,0))&amp;"","Not in Services"))))</f>
        <v>0</v>
      </c>
      <c r="V654" s="26">
        <f>IF(B654="","",IF(L654&lt;&gt;"",L654,IF(H654="Retail",IFERROR(INDEX(Inventory!$I$5:$I$304,MATCH(I654,Inventory!$A$5:$A$304,0))*1,0),IFERROR(INDEX(Services!$G$5:$G$204,MATCH(I654,Services!$A$5:$A$204,0))*1,0))))</f>
        <v>0</v>
      </c>
      <c r="W654" s="26">
        <f>IF(B654="","",ROUND(T654*V654,2))</f>
        <v>0</v>
      </c>
      <c r="X654" s="26">
        <f>IF(B654="","",ROUND(IF(M654="",0,W654*M654)+IF(N654="",0,N654),2))</f>
        <v>0</v>
      </c>
      <c r="Y654" s="26">
        <f>IF(B654="","",ROUND(W654-X654-IF(P654="",0,P654),2))</f>
        <v>0</v>
      </c>
      <c r="Z654" s="26">
        <f>IF(B654="","",IF(H654="Retail",IF(TaxOnRetail="Yes",ROUND(Y654*TaxRate,2),0),IF(H654="Service",IF(TaxOnServices="Yes",ROUND(Y654*TaxRate,2),0),0)))</f>
        <v>0</v>
      </c>
      <c r="AA654" s="26">
        <f>IF(B654="","",ROUND(Y654+Z654,2))</f>
        <v>0</v>
      </c>
      <c r="AB654" s="26">
        <f>IF(B654="","",ROUND(T654*IF(H654="Retail",IFERROR(INDEX(Inventory!$H$5:$H$304,MATCH(I654,Inventory!$A$5:$A$304,0))*1,0),IFERROR(INDEX(Services!$Q$5:$Q$204,MATCH(I654,Services!$A$5:$A$204,0))*1,0)),2))</f>
        <v>0</v>
      </c>
      <c r="AC654" s="26">
        <f>IF(B654="","",ROUND(Y654-AB654,2))</f>
        <v>0</v>
      </c>
      <c r="AD654" s="38">
        <f>IF(B654="","",IF(C654="","No",IF(COUNTIFS($C$5:C654,C654)=1,"Yes","No")))</f>
        <v>0</v>
      </c>
      <c r="AE654" s="26">
        <f>IF(B654="","",ROUND(SUMIFS(Payments!$G$5:$G$1204,Payments!$H$5:$H$1204,A654,Payments!$Q$5:$Q$1204,"Yes"),2))</f>
        <v>0</v>
      </c>
      <c r="AF654" s="26">
        <f>IF(B654="","",IF(AD654="No",0,ROUND(SUMIFS(Payments!$G$5:$G$1204,Payments!$I$5:$I$1204,C654,Payments!$H$5:$H$1204,"",Payments!$Q$5:$Q$1204,"Yes"),2)))</f>
        <v>0</v>
      </c>
      <c r="AG654" s="26">
        <f>IF(B654="","",ROUND(AE654+AF654,2))</f>
        <v>0</v>
      </c>
      <c r="AH654" s="26">
        <f>IF(B654="","",ROUND(AA654-AG654,2))</f>
        <v>0</v>
      </c>
      <c r="AI654" s="39">
        <f>IF(B654="","",IF(AA654&lt;=0,"No charge",IF(AH654&lt;=0.004,"Paid",IF(AG654&lt;=0.004,"Unpaid","Part paid"))))</f>
        <v>0</v>
      </c>
      <c r="AJ654" s="38">
        <f>IF(B654="","",IF(H654&lt;&gt;"Service","",IF(D654="","No",IF(COUNTIFS($D$5:$D$1204,D654,$B$5:$B$1204,B654,$H$5:$H$1204,"Retail")&gt;0,"Yes","No"))))</f>
        <v>0</v>
      </c>
      <c r="AK654" s="25">
        <f>IF(B654="","",COUNTIFS($Y$5:$Y$1204,"&gt;"&amp;Y654)+COUNTIFS($Y$5:Y654,Y654))</f>
        <v>0</v>
      </c>
      <c r="AL654" s="39">
        <f>IF(B654="","",IF(H654="","Add - what kind of sale is this?",IF(IF(V654&lt;=0,P654="",FALSE),"Check - no price found for this item",IF(F654="","Assign - nobody credited",IF(AH654&gt;0.004,"Unpaid - balance outstanding",IF(AC654&lt;0,"Loss - sold below cost",IF(X654&gt;W654*0.5,"Check - more than half off","OK")))))))</f>
        <v>0</v>
      </c>
    </row>
    <row r="655" spans="1:38">
      <c r="A655" s="28">
        <f>IF(B655="","",SalePrefix&amp;TEXT(ROW()-4,"0000"))</f>
        <v>0</v>
      </c>
      <c r="E655" s="15">
        <f>IF(D655="","",IFERROR(INDEX(Clients!$B$5:$B$504,MATCH(D655,Clients!$A$5:$A$504,0)),"Walk-in"))</f>
        <v>0</v>
      </c>
      <c r="G655" s="15">
        <f>IF(F655="","",IFERROR(INDEX(Staff!$B$5:$B$44,MATCH(F655,Staff!$A$5:$A$44,0)),"House"))</f>
        <v>0</v>
      </c>
      <c r="R655" s="15">
        <f>IF(B655="","",TEXT(B655,"yyyy-mm"))</f>
        <v>0</v>
      </c>
      <c r="S655" s="25">
        <f>IF(B655="","",WEEKNUM(B655,2))</f>
        <v>0</v>
      </c>
      <c r="T655" s="37">
        <f>IF(B655="","",IF(K655="",1,K655))</f>
        <v>0</v>
      </c>
      <c r="U655" s="15">
        <f>IF(B655="","",IF(J655&lt;&gt;"",J655,IF(H655="Retail",IFERROR(INDEX(Inventory!$B$5:$B$304,MATCH(I655,Inventory!$A$5:$A$304,0))&amp;"","Not in Inventory"),IFERROR(INDEX(Services!$B$5:$B$204,MATCH(I655,Services!$A$5:$A$204,0))&amp;"","Not in Services"))))</f>
        <v>0</v>
      </c>
      <c r="V655" s="26">
        <f>IF(B655="","",IF(L655&lt;&gt;"",L655,IF(H655="Retail",IFERROR(INDEX(Inventory!$I$5:$I$304,MATCH(I655,Inventory!$A$5:$A$304,0))*1,0),IFERROR(INDEX(Services!$G$5:$G$204,MATCH(I655,Services!$A$5:$A$204,0))*1,0))))</f>
        <v>0</v>
      </c>
      <c r="W655" s="26">
        <f>IF(B655="","",ROUND(T655*V655,2))</f>
        <v>0</v>
      </c>
      <c r="X655" s="26">
        <f>IF(B655="","",ROUND(IF(M655="",0,W655*M655)+IF(N655="",0,N655),2))</f>
        <v>0</v>
      </c>
      <c r="Y655" s="26">
        <f>IF(B655="","",ROUND(W655-X655-IF(P655="",0,P655),2))</f>
        <v>0</v>
      </c>
      <c r="Z655" s="26">
        <f>IF(B655="","",IF(H655="Retail",IF(TaxOnRetail="Yes",ROUND(Y655*TaxRate,2),0),IF(H655="Service",IF(TaxOnServices="Yes",ROUND(Y655*TaxRate,2),0),0)))</f>
        <v>0</v>
      </c>
      <c r="AA655" s="26">
        <f>IF(B655="","",ROUND(Y655+Z655,2))</f>
        <v>0</v>
      </c>
      <c r="AB655" s="26">
        <f>IF(B655="","",ROUND(T655*IF(H655="Retail",IFERROR(INDEX(Inventory!$H$5:$H$304,MATCH(I655,Inventory!$A$5:$A$304,0))*1,0),IFERROR(INDEX(Services!$Q$5:$Q$204,MATCH(I655,Services!$A$5:$A$204,0))*1,0)),2))</f>
        <v>0</v>
      </c>
      <c r="AC655" s="26">
        <f>IF(B655="","",ROUND(Y655-AB655,2))</f>
        <v>0</v>
      </c>
      <c r="AD655" s="38">
        <f>IF(B655="","",IF(C655="","No",IF(COUNTIFS($C$5:C655,C655)=1,"Yes","No")))</f>
        <v>0</v>
      </c>
      <c r="AE655" s="26">
        <f>IF(B655="","",ROUND(SUMIFS(Payments!$G$5:$G$1204,Payments!$H$5:$H$1204,A655,Payments!$Q$5:$Q$1204,"Yes"),2))</f>
        <v>0</v>
      </c>
      <c r="AF655" s="26">
        <f>IF(B655="","",IF(AD655="No",0,ROUND(SUMIFS(Payments!$G$5:$G$1204,Payments!$I$5:$I$1204,C655,Payments!$H$5:$H$1204,"",Payments!$Q$5:$Q$1204,"Yes"),2)))</f>
        <v>0</v>
      </c>
      <c r="AG655" s="26">
        <f>IF(B655="","",ROUND(AE655+AF655,2))</f>
        <v>0</v>
      </c>
      <c r="AH655" s="26">
        <f>IF(B655="","",ROUND(AA655-AG655,2))</f>
        <v>0</v>
      </c>
      <c r="AI655" s="39">
        <f>IF(B655="","",IF(AA655&lt;=0,"No charge",IF(AH655&lt;=0.004,"Paid",IF(AG655&lt;=0.004,"Unpaid","Part paid"))))</f>
        <v>0</v>
      </c>
      <c r="AJ655" s="38">
        <f>IF(B655="","",IF(H655&lt;&gt;"Service","",IF(D655="","No",IF(COUNTIFS($D$5:$D$1204,D655,$B$5:$B$1204,B655,$H$5:$H$1204,"Retail")&gt;0,"Yes","No"))))</f>
        <v>0</v>
      </c>
      <c r="AK655" s="25">
        <f>IF(B655="","",COUNTIFS($Y$5:$Y$1204,"&gt;"&amp;Y655)+COUNTIFS($Y$5:Y655,Y655))</f>
        <v>0</v>
      </c>
      <c r="AL655" s="39">
        <f>IF(B655="","",IF(H655="","Add - what kind of sale is this?",IF(IF(V655&lt;=0,P655="",FALSE),"Check - no price found for this item",IF(F655="","Assign - nobody credited",IF(AH655&gt;0.004,"Unpaid - balance outstanding",IF(AC655&lt;0,"Loss - sold below cost",IF(X655&gt;W655*0.5,"Check - more than half off","OK")))))))</f>
        <v>0</v>
      </c>
    </row>
    <row r="656" spans="1:38">
      <c r="A656" s="28">
        <f>IF(B656="","",SalePrefix&amp;TEXT(ROW()-4,"0000"))</f>
        <v>0</v>
      </c>
      <c r="E656" s="15">
        <f>IF(D656="","",IFERROR(INDEX(Clients!$B$5:$B$504,MATCH(D656,Clients!$A$5:$A$504,0)),"Walk-in"))</f>
        <v>0</v>
      </c>
      <c r="G656" s="15">
        <f>IF(F656="","",IFERROR(INDEX(Staff!$B$5:$B$44,MATCH(F656,Staff!$A$5:$A$44,0)),"House"))</f>
        <v>0</v>
      </c>
      <c r="R656" s="15">
        <f>IF(B656="","",TEXT(B656,"yyyy-mm"))</f>
        <v>0</v>
      </c>
      <c r="S656" s="25">
        <f>IF(B656="","",WEEKNUM(B656,2))</f>
        <v>0</v>
      </c>
      <c r="T656" s="37">
        <f>IF(B656="","",IF(K656="",1,K656))</f>
        <v>0</v>
      </c>
      <c r="U656" s="15">
        <f>IF(B656="","",IF(J656&lt;&gt;"",J656,IF(H656="Retail",IFERROR(INDEX(Inventory!$B$5:$B$304,MATCH(I656,Inventory!$A$5:$A$304,0))&amp;"","Not in Inventory"),IFERROR(INDEX(Services!$B$5:$B$204,MATCH(I656,Services!$A$5:$A$204,0))&amp;"","Not in Services"))))</f>
        <v>0</v>
      </c>
      <c r="V656" s="26">
        <f>IF(B656="","",IF(L656&lt;&gt;"",L656,IF(H656="Retail",IFERROR(INDEX(Inventory!$I$5:$I$304,MATCH(I656,Inventory!$A$5:$A$304,0))*1,0),IFERROR(INDEX(Services!$G$5:$G$204,MATCH(I656,Services!$A$5:$A$204,0))*1,0))))</f>
        <v>0</v>
      </c>
      <c r="W656" s="26">
        <f>IF(B656="","",ROUND(T656*V656,2))</f>
        <v>0</v>
      </c>
      <c r="X656" s="26">
        <f>IF(B656="","",ROUND(IF(M656="",0,W656*M656)+IF(N656="",0,N656),2))</f>
        <v>0</v>
      </c>
      <c r="Y656" s="26">
        <f>IF(B656="","",ROUND(W656-X656-IF(P656="",0,P656),2))</f>
        <v>0</v>
      </c>
      <c r="Z656" s="26">
        <f>IF(B656="","",IF(H656="Retail",IF(TaxOnRetail="Yes",ROUND(Y656*TaxRate,2),0),IF(H656="Service",IF(TaxOnServices="Yes",ROUND(Y656*TaxRate,2),0),0)))</f>
        <v>0</v>
      </c>
      <c r="AA656" s="26">
        <f>IF(B656="","",ROUND(Y656+Z656,2))</f>
        <v>0</v>
      </c>
      <c r="AB656" s="26">
        <f>IF(B656="","",ROUND(T656*IF(H656="Retail",IFERROR(INDEX(Inventory!$H$5:$H$304,MATCH(I656,Inventory!$A$5:$A$304,0))*1,0),IFERROR(INDEX(Services!$Q$5:$Q$204,MATCH(I656,Services!$A$5:$A$204,0))*1,0)),2))</f>
        <v>0</v>
      </c>
      <c r="AC656" s="26">
        <f>IF(B656="","",ROUND(Y656-AB656,2))</f>
        <v>0</v>
      </c>
      <c r="AD656" s="38">
        <f>IF(B656="","",IF(C656="","No",IF(COUNTIFS($C$5:C656,C656)=1,"Yes","No")))</f>
        <v>0</v>
      </c>
      <c r="AE656" s="26">
        <f>IF(B656="","",ROUND(SUMIFS(Payments!$G$5:$G$1204,Payments!$H$5:$H$1204,A656,Payments!$Q$5:$Q$1204,"Yes"),2))</f>
        <v>0</v>
      </c>
      <c r="AF656" s="26">
        <f>IF(B656="","",IF(AD656="No",0,ROUND(SUMIFS(Payments!$G$5:$G$1204,Payments!$I$5:$I$1204,C656,Payments!$H$5:$H$1204,"",Payments!$Q$5:$Q$1204,"Yes"),2)))</f>
        <v>0</v>
      </c>
      <c r="AG656" s="26">
        <f>IF(B656="","",ROUND(AE656+AF656,2))</f>
        <v>0</v>
      </c>
      <c r="AH656" s="26">
        <f>IF(B656="","",ROUND(AA656-AG656,2))</f>
        <v>0</v>
      </c>
      <c r="AI656" s="39">
        <f>IF(B656="","",IF(AA656&lt;=0,"No charge",IF(AH656&lt;=0.004,"Paid",IF(AG656&lt;=0.004,"Unpaid","Part paid"))))</f>
        <v>0</v>
      </c>
      <c r="AJ656" s="38">
        <f>IF(B656="","",IF(H656&lt;&gt;"Service","",IF(D656="","No",IF(COUNTIFS($D$5:$D$1204,D656,$B$5:$B$1204,B656,$H$5:$H$1204,"Retail")&gt;0,"Yes","No"))))</f>
        <v>0</v>
      </c>
      <c r="AK656" s="25">
        <f>IF(B656="","",COUNTIFS($Y$5:$Y$1204,"&gt;"&amp;Y656)+COUNTIFS($Y$5:Y656,Y656))</f>
        <v>0</v>
      </c>
      <c r="AL656" s="39">
        <f>IF(B656="","",IF(H656="","Add - what kind of sale is this?",IF(IF(V656&lt;=0,P656="",FALSE),"Check - no price found for this item",IF(F656="","Assign - nobody credited",IF(AH656&gt;0.004,"Unpaid - balance outstanding",IF(AC656&lt;0,"Loss - sold below cost",IF(X656&gt;W656*0.5,"Check - more than half off","OK")))))))</f>
        <v>0</v>
      </c>
    </row>
    <row r="657" spans="1:38">
      <c r="A657" s="28">
        <f>IF(B657="","",SalePrefix&amp;TEXT(ROW()-4,"0000"))</f>
        <v>0</v>
      </c>
      <c r="E657" s="15">
        <f>IF(D657="","",IFERROR(INDEX(Clients!$B$5:$B$504,MATCH(D657,Clients!$A$5:$A$504,0)),"Walk-in"))</f>
        <v>0</v>
      </c>
      <c r="G657" s="15">
        <f>IF(F657="","",IFERROR(INDEX(Staff!$B$5:$B$44,MATCH(F657,Staff!$A$5:$A$44,0)),"House"))</f>
        <v>0</v>
      </c>
      <c r="R657" s="15">
        <f>IF(B657="","",TEXT(B657,"yyyy-mm"))</f>
        <v>0</v>
      </c>
      <c r="S657" s="25">
        <f>IF(B657="","",WEEKNUM(B657,2))</f>
        <v>0</v>
      </c>
      <c r="T657" s="37">
        <f>IF(B657="","",IF(K657="",1,K657))</f>
        <v>0</v>
      </c>
      <c r="U657" s="15">
        <f>IF(B657="","",IF(J657&lt;&gt;"",J657,IF(H657="Retail",IFERROR(INDEX(Inventory!$B$5:$B$304,MATCH(I657,Inventory!$A$5:$A$304,0))&amp;"","Not in Inventory"),IFERROR(INDEX(Services!$B$5:$B$204,MATCH(I657,Services!$A$5:$A$204,0))&amp;"","Not in Services"))))</f>
        <v>0</v>
      </c>
      <c r="V657" s="26">
        <f>IF(B657="","",IF(L657&lt;&gt;"",L657,IF(H657="Retail",IFERROR(INDEX(Inventory!$I$5:$I$304,MATCH(I657,Inventory!$A$5:$A$304,0))*1,0),IFERROR(INDEX(Services!$G$5:$G$204,MATCH(I657,Services!$A$5:$A$204,0))*1,0))))</f>
        <v>0</v>
      </c>
      <c r="W657" s="26">
        <f>IF(B657="","",ROUND(T657*V657,2))</f>
        <v>0</v>
      </c>
      <c r="X657" s="26">
        <f>IF(B657="","",ROUND(IF(M657="",0,W657*M657)+IF(N657="",0,N657),2))</f>
        <v>0</v>
      </c>
      <c r="Y657" s="26">
        <f>IF(B657="","",ROUND(W657-X657-IF(P657="",0,P657),2))</f>
        <v>0</v>
      </c>
      <c r="Z657" s="26">
        <f>IF(B657="","",IF(H657="Retail",IF(TaxOnRetail="Yes",ROUND(Y657*TaxRate,2),0),IF(H657="Service",IF(TaxOnServices="Yes",ROUND(Y657*TaxRate,2),0),0)))</f>
        <v>0</v>
      </c>
      <c r="AA657" s="26">
        <f>IF(B657="","",ROUND(Y657+Z657,2))</f>
        <v>0</v>
      </c>
      <c r="AB657" s="26">
        <f>IF(B657="","",ROUND(T657*IF(H657="Retail",IFERROR(INDEX(Inventory!$H$5:$H$304,MATCH(I657,Inventory!$A$5:$A$304,0))*1,0),IFERROR(INDEX(Services!$Q$5:$Q$204,MATCH(I657,Services!$A$5:$A$204,0))*1,0)),2))</f>
        <v>0</v>
      </c>
      <c r="AC657" s="26">
        <f>IF(B657="","",ROUND(Y657-AB657,2))</f>
        <v>0</v>
      </c>
      <c r="AD657" s="38">
        <f>IF(B657="","",IF(C657="","No",IF(COUNTIFS($C$5:C657,C657)=1,"Yes","No")))</f>
        <v>0</v>
      </c>
      <c r="AE657" s="26">
        <f>IF(B657="","",ROUND(SUMIFS(Payments!$G$5:$G$1204,Payments!$H$5:$H$1204,A657,Payments!$Q$5:$Q$1204,"Yes"),2))</f>
        <v>0</v>
      </c>
      <c r="AF657" s="26">
        <f>IF(B657="","",IF(AD657="No",0,ROUND(SUMIFS(Payments!$G$5:$G$1204,Payments!$I$5:$I$1204,C657,Payments!$H$5:$H$1204,"",Payments!$Q$5:$Q$1204,"Yes"),2)))</f>
        <v>0</v>
      </c>
      <c r="AG657" s="26">
        <f>IF(B657="","",ROUND(AE657+AF657,2))</f>
        <v>0</v>
      </c>
      <c r="AH657" s="26">
        <f>IF(B657="","",ROUND(AA657-AG657,2))</f>
        <v>0</v>
      </c>
      <c r="AI657" s="39">
        <f>IF(B657="","",IF(AA657&lt;=0,"No charge",IF(AH657&lt;=0.004,"Paid",IF(AG657&lt;=0.004,"Unpaid","Part paid"))))</f>
        <v>0</v>
      </c>
      <c r="AJ657" s="38">
        <f>IF(B657="","",IF(H657&lt;&gt;"Service","",IF(D657="","No",IF(COUNTIFS($D$5:$D$1204,D657,$B$5:$B$1204,B657,$H$5:$H$1204,"Retail")&gt;0,"Yes","No"))))</f>
        <v>0</v>
      </c>
      <c r="AK657" s="25">
        <f>IF(B657="","",COUNTIFS($Y$5:$Y$1204,"&gt;"&amp;Y657)+COUNTIFS($Y$5:Y657,Y657))</f>
        <v>0</v>
      </c>
      <c r="AL657" s="39">
        <f>IF(B657="","",IF(H657="","Add - what kind of sale is this?",IF(IF(V657&lt;=0,P657="",FALSE),"Check - no price found for this item",IF(F657="","Assign - nobody credited",IF(AH657&gt;0.004,"Unpaid - balance outstanding",IF(AC657&lt;0,"Loss - sold below cost",IF(X657&gt;W657*0.5,"Check - more than half off","OK")))))))</f>
        <v>0</v>
      </c>
    </row>
    <row r="658" spans="1:38">
      <c r="A658" s="28">
        <f>IF(B658="","",SalePrefix&amp;TEXT(ROW()-4,"0000"))</f>
        <v>0</v>
      </c>
      <c r="E658" s="15">
        <f>IF(D658="","",IFERROR(INDEX(Clients!$B$5:$B$504,MATCH(D658,Clients!$A$5:$A$504,0)),"Walk-in"))</f>
        <v>0</v>
      </c>
      <c r="G658" s="15">
        <f>IF(F658="","",IFERROR(INDEX(Staff!$B$5:$B$44,MATCH(F658,Staff!$A$5:$A$44,0)),"House"))</f>
        <v>0</v>
      </c>
      <c r="R658" s="15">
        <f>IF(B658="","",TEXT(B658,"yyyy-mm"))</f>
        <v>0</v>
      </c>
      <c r="S658" s="25">
        <f>IF(B658="","",WEEKNUM(B658,2))</f>
        <v>0</v>
      </c>
      <c r="T658" s="37">
        <f>IF(B658="","",IF(K658="",1,K658))</f>
        <v>0</v>
      </c>
      <c r="U658" s="15">
        <f>IF(B658="","",IF(J658&lt;&gt;"",J658,IF(H658="Retail",IFERROR(INDEX(Inventory!$B$5:$B$304,MATCH(I658,Inventory!$A$5:$A$304,0))&amp;"","Not in Inventory"),IFERROR(INDEX(Services!$B$5:$B$204,MATCH(I658,Services!$A$5:$A$204,0))&amp;"","Not in Services"))))</f>
        <v>0</v>
      </c>
      <c r="V658" s="26">
        <f>IF(B658="","",IF(L658&lt;&gt;"",L658,IF(H658="Retail",IFERROR(INDEX(Inventory!$I$5:$I$304,MATCH(I658,Inventory!$A$5:$A$304,0))*1,0),IFERROR(INDEX(Services!$G$5:$G$204,MATCH(I658,Services!$A$5:$A$204,0))*1,0))))</f>
        <v>0</v>
      </c>
      <c r="W658" s="26">
        <f>IF(B658="","",ROUND(T658*V658,2))</f>
        <v>0</v>
      </c>
      <c r="X658" s="26">
        <f>IF(B658="","",ROUND(IF(M658="",0,W658*M658)+IF(N658="",0,N658),2))</f>
        <v>0</v>
      </c>
      <c r="Y658" s="26">
        <f>IF(B658="","",ROUND(W658-X658-IF(P658="",0,P658),2))</f>
        <v>0</v>
      </c>
      <c r="Z658" s="26">
        <f>IF(B658="","",IF(H658="Retail",IF(TaxOnRetail="Yes",ROUND(Y658*TaxRate,2),0),IF(H658="Service",IF(TaxOnServices="Yes",ROUND(Y658*TaxRate,2),0),0)))</f>
        <v>0</v>
      </c>
      <c r="AA658" s="26">
        <f>IF(B658="","",ROUND(Y658+Z658,2))</f>
        <v>0</v>
      </c>
      <c r="AB658" s="26">
        <f>IF(B658="","",ROUND(T658*IF(H658="Retail",IFERROR(INDEX(Inventory!$H$5:$H$304,MATCH(I658,Inventory!$A$5:$A$304,0))*1,0),IFERROR(INDEX(Services!$Q$5:$Q$204,MATCH(I658,Services!$A$5:$A$204,0))*1,0)),2))</f>
        <v>0</v>
      </c>
      <c r="AC658" s="26">
        <f>IF(B658="","",ROUND(Y658-AB658,2))</f>
        <v>0</v>
      </c>
      <c r="AD658" s="38">
        <f>IF(B658="","",IF(C658="","No",IF(COUNTIFS($C$5:C658,C658)=1,"Yes","No")))</f>
        <v>0</v>
      </c>
      <c r="AE658" s="26">
        <f>IF(B658="","",ROUND(SUMIFS(Payments!$G$5:$G$1204,Payments!$H$5:$H$1204,A658,Payments!$Q$5:$Q$1204,"Yes"),2))</f>
        <v>0</v>
      </c>
      <c r="AF658" s="26">
        <f>IF(B658="","",IF(AD658="No",0,ROUND(SUMIFS(Payments!$G$5:$G$1204,Payments!$I$5:$I$1204,C658,Payments!$H$5:$H$1204,"",Payments!$Q$5:$Q$1204,"Yes"),2)))</f>
        <v>0</v>
      </c>
      <c r="AG658" s="26">
        <f>IF(B658="","",ROUND(AE658+AF658,2))</f>
        <v>0</v>
      </c>
      <c r="AH658" s="26">
        <f>IF(B658="","",ROUND(AA658-AG658,2))</f>
        <v>0</v>
      </c>
      <c r="AI658" s="39">
        <f>IF(B658="","",IF(AA658&lt;=0,"No charge",IF(AH658&lt;=0.004,"Paid",IF(AG658&lt;=0.004,"Unpaid","Part paid"))))</f>
        <v>0</v>
      </c>
      <c r="AJ658" s="38">
        <f>IF(B658="","",IF(H658&lt;&gt;"Service","",IF(D658="","No",IF(COUNTIFS($D$5:$D$1204,D658,$B$5:$B$1204,B658,$H$5:$H$1204,"Retail")&gt;0,"Yes","No"))))</f>
        <v>0</v>
      </c>
      <c r="AK658" s="25">
        <f>IF(B658="","",COUNTIFS($Y$5:$Y$1204,"&gt;"&amp;Y658)+COUNTIFS($Y$5:Y658,Y658))</f>
        <v>0</v>
      </c>
      <c r="AL658" s="39">
        <f>IF(B658="","",IF(H658="","Add - what kind of sale is this?",IF(IF(V658&lt;=0,P658="",FALSE),"Check - no price found for this item",IF(F658="","Assign - nobody credited",IF(AH658&gt;0.004,"Unpaid - balance outstanding",IF(AC658&lt;0,"Loss - sold below cost",IF(X658&gt;W658*0.5,"Check - more than half off","OK")))))))</f>
        <v>0</v>
      </c>
    </row>
    <row r="659" spans="1:38">
      <c r="A659" s="28">
        <f>IF(B659="","",SalePrefix&amp;TEXT(ROW()-4,"0000"))</f>
        <v>0</v>
      </c>
      <c r="E659" s="15">
        <f>IF(D659="","",IFERROR(INDEX(Clients!$B$5:$B$504,MATCH(D659,Clients!$A$5:$A$504,0)),"Walk-in"))</f>
        <v>0</v>
      </c>
      <c r="G659" s="15">
        <f>IF(F659="","",IFERROR(INDEX(Staff!$B$5:$B$44,MATCH(F659,Staff!$A$5:$A$44,0)),"House"))</f>
        <v>0</v>
      </c>
      <c r="R659" s="15">
        <f>IF(B659="","",TEXT(B659,"yyyy-mm"))</f>
        <v>0</v>
      </c>
      <c r="S659" s="25">
        <f>IF(B659="","",WEEKNUM(B659,2))</f>
        <v>0</v>
      </c>
      <c r="T659" s="37">
        <f>IF(B659="","",IF(K659="",1,K659))</f>
        <v>0</v>
      </c>
      <c r="U659" s="15">
        <f>IF(B659="","",IF(J659&lt;&gt;"",J659,IF(H659="Retail",IFERROR(INDEX(Inventory!$B$5:$B$304,MATCH(I659,Inventory!$A$5:$A$304,0))&amp;"","Not in Inventory"),IFERROR(INDEX(Services!$B$5:$B$204,MATCH(I659,Services!$A$5:$A$204,0))&amp;"","Not in Services"))))</f>
        <v>0</v>
      </c>
      <c r="V659" s="26">
        <f>IF(B659="","",IF(L659&lt;&gt;"",L659,IF(H659="Retail",IFERROR(INDEX(Inventory!$I$5:$I$304,MATCH(I659,Inventory!$A$5:$A$304,0))*1,0),IFERROR(INDEX(Services!$G$5:$G$204,MATCH(I659,Services!$A$5:$A$204,0))*1,0))))</f>
        <v>0</v>
      </c>
      <c r="W659" s="26">
        <f>IF(B659="","",ROUND(T659*V659,2))</f>
        <v>0</v>
      </c>
      <c r="X659" s="26">
        <f>IF(B659="","",ROUND(IF(M659="",0,W659*M659)+IF(N659="",0,N659),2))</f>
        <v>0</v>
      </c>
      <c r="Y659" s="26">
        <f>IF(B659="","",ROUND(W659-X659-IF(P659="",0,P659),2))</f>
        <v>0</v>
      </c>
      <c r="Z659" s="26">
        <f>IF(B659="","",IF(H659="Retail",IF(TaxOnRetail="Yes",ROUND(Y659*TaxRate,2),0),IF(H659="Service",IF(TaxOnServices="Yes",ROUND(Y659*TaxRate,2),0),0)))</f>
        <v>0</v>
      </c>
      <c r="AA659" s="26">
        <f>IF(B659="","",ROUND(Y659+Z659,2))</f>
        <v>0</v>
      </c>
      <c r="AB659" s="26">
        <f>IF(B659="","",ROUND(T659*IF(H659="Retail",IFERROR(INDEX(Inventory!$H$5:$H$304,MATCH(I659,Inventory!$A$5:$A$304,0))*1,0),IFERROR(INDEX(Services!$Q$5:$Q$204,MATCH(I659,Services!$A$5:$A$204,0))*1,0)),2))</f>
        <v>0</v>
      </c>
      <c r="AC659" s="26">
        <f>IF(B659="","",ROUND(Y659-AB659,2))</f>
        <v>0</v>
      </c>
      <c r="AD659" s="38">
        <f>IF(B659="","",IF(C659="","No",IF(COUNTIFS($C$5:C659,C659)=1,"Yes","No")))</f>
        <v>0</v>
      </c>
      <c r="AE659" s="26">
        <f>IF(B659="","",ROUND(SUMIFS(Payments!$G$5:$G$1204,Payments!$H$5:$H$1204,A659,Payments!$Q$5:$Q$1204,"Yes"),2))</f>
        <v>0</v>
      </c>
      <c r="AF659" s="26">
        <f>IF(B659="","",IF(AD659="No",0,ROUND(SUMIFS(Payments!$G$5:$G$1204,Payments!$I$5:$I$1204,C659,Payments!$H$5:$H$1204,"",Payments!$Q$5:$Q$1204,"Yes"),2)))</f>
        <v>0</v>
      </c>
      <c r="AG659" s="26">
        <f>IF(B659="","",ROUND(AE659+AF659,2))</f>
        <v>0</v>
      </c>
      <c r="AH659" s="26">
        <f>IF(B659="","",ROUND(AA659-AG659,2))</f>
        <v>0</v>
      </c>
      <c r="AI659" s="39">
        <f>IF(B659="","",IF(AA659&lt;=0,"No charge",IF(AH659&lt;=0.004,"Paid",IF(AG659&lt;=0.004,"Unpaid","Part paid"))))</f>
        <v>0</v>
      </c>
      <c r="AJ659" s="38">
        <f>IF(B659="","",IF(H659&lt;&gt;"Service","",IF(D659="","No",IF(COUNTIFS($D$5:$D$1204,D659,$B$5:$B$1204,B659,$H$5:$H$1204,"Retail")&gt;0,"Yes","No"))))</f>
        <v>0</v>
      </c>
      <c r="AK659" s="25">
        <f>IF(B659="","",COUNTIFS($Y$5:$Y$1204,"&gt;"&amp;Y659)+COUNTIFS($Y$5:Y659,Y659))</f>
        <v>0</v>
      </c>
      <c r="AL659" s="39">
        <f>IF(B659="","",IF(H659="","Add - what kind of sale is this?",IF(IF(V659&lt;=0,P659="",FALSE),"Check - no price found for this item",IF(F659="","Assign - nobody credited",IF(AH659&gt;0.004,"Unpaid - balance outstanding",IF(AC659&lt;0,"Loss - sold below cost",IF(X659&gt;W659*0.5,"Check - more than half off","OK")))))))</f>
        <v>0</v>
      </c>
    </row>
    <row r="660" spans="1:38">
      <c r="A660" s="28">
        <f>IF(B660="","",SalePrefix&amp;TEXT(ROW()-4,"0000"))</f>
        <v>0</v>
      </c>
      <c r="E660" s="15">
        <f>IF(D660="","",IFERROR(INDEX(Clients!$B$5:$B$504,MATCH(D660,Clients!$A$5:$A$504,0)),"Walk-in"))</f>
        <v>0</v>
      </c>
      <c r="G660" s="15">
        <f>IF(F660="","",IFERROR(INDEX(Staff!$B$5:$B$44,MATCH(F660,Staff!$A$5:$A$44,0)),"House"))</f>
        <v>0</v>
      </c>
      <c r="R660" s="15">
        <f>IF(B660="","",TEXT(B660,"yyyy-mm"))</f>
        <v>0</v>
      </c>
      <c r="S660" s="25">
        <f>IF(B660="","",WEEKNUM(B660,2))</f>
        <v>0</v>
      </c>
      <c r="T660" s="37">
        <f>IF(B660="","",IF(K660="",1,K660))</f>
        <v>0</v>
      </c>
      <c r="U660" s="15">
        <f>IF(B660="","",IF(J660&lt;&gt;"",J660,IF(H660="Retail",IFERROR(INDEX(Inventory!$B$5:$B$304,MATCH(I660,Inventory!$A$5:$A$304,0))&amp;"","Not in Inventory"),IFERROR(INDEX(Services!$B$5:$B$204,MATCH(I660,Services!$A$5:$A$204,0))&amp;"","Not in Services"))))</f>
        <v>0</v>
      </c>
      <c r="V660" s="26">
        <f>IF(B660="","",IF(L660&lt;&gt;"",L660,IF(H660="Retail",IFERROR(INDEX(Inventory!$I$5:$I$304,MATCH(I660,Inventory!$A$5:$A$304,0))*1,0),IFERROR(INDEX(Services!$G$5:$G$204,MATCH(I660,Services!$A$5:$A$204,0))*1,0))))</f>
        <v>0</v>
      </c>
      <c r="W660" s="26">
        <f>IF(B660="","",ROUND(T660*V660,2))</f>
        <v>0</v>
      </c>
      <c r="X660" s="26">
        <f>IF(B660="","",ROUND(IF(M660="",0,W660*M660)+IF(N660="",0,N660),2))</f>
        <v>0</v>
      </c>
      <c r="Y660" s="26">
        <f>IF(B660="","",ROUND(W660-X660-IF(P660="",0,P660),2))</f>
        <v>0</v>
      </c>
      <c r="Z660" s="26">
        <f>IF(B660="","",IF(H660="Retail",IF(TaxOnRetail="Yes",ROUND(Y660*TaxRate,2),0),IF(H660="Service",IF(TaxOnServices="Yes",ROUND(Y660*TaxRate,2),0),0)))</f>
        <v>0</v>
      </c>
      <c r="AA660" s="26">
        <f>IF(B660="","",ROUND(Y660+Z660,2))</f>
        <v>0</v>
      </c>
      <c r="AB660" s="26">
        <f>IF(B660="","",ROUND(T660*IF(H660="Retail",IFERROR(INDEX(Inventory!$H$5:$H$304,MATCH(I660,Inventory!$A$5:$A$304,0))*1,0),IFERROR(INDEX(Services!$Q$5:$Q$204,MATCH(I660,Services!$A$5:$A$204,0))*1,0)),2))</f>
        <v>0</v>
      </c>
      <c r="AC660" s="26">
        <f>IF(B660="","",ROUND(Y660-AB660,2))</f>
        <v>0</v>
      </c>
      <c r="AD660" s="38">
        <f>IF(B660="","",IF(C660="","No",IF(COUNTIFS($C$5:C660,C660)=1,"Yes","No")))</f>
        <v>0</v>
      </c>
      <c r="AE660" s="26">
        <f>IF(B660="","",ROUND(SUMIFS(Payments!$G$5:$G$1204,Payments!$H$5:$H$1204,A660,Payments!$Q$5:$Q$1204,"Yes"),2))</f>
        <v>0</v>
      </c>
      <c r="AF660" s="26">
        <f>IF(B660="","",IF(AD660="No",0,ROUND(SUMIFS(Payments!$G$5:$G$1204,Payments!$I$5:$I$1204,C660,Payments!$H$5:$H$1204,"",Payments!$Q$5:$Q$1204,"Yes"),2)))</f>
        <v>0</v>
      </c>
      <c r="AG660" s="26">
        <f>IF(B660="","",ROUND(AE660+AF660,2))</f>
        <v>0</v>
      </c>
      <c r="AH660" s="26">
        <f>IF(B660="","",ROUND(AA660-AG660,2))</f>
        <v>0</v>
      </c>
      <c r="AI660" s="39">
        <f>IF(B660="","",IF(AA660&lt;=0,"No charge",IF(AH660&lt;=0.004,"Paid",IF(AG660&lt;=0.004,"Unpaid","Part paid"))))</f>
        <v>0</v>
      </c>
      <c r="AJ660" s="38">
        <f>IF(B660="","",IF(H660&lt;&gt;"Service","",IF(D660="","No",IF(COUNTIFS($D$5:$D$1204,D660,$B$5:$B$1204,B660,$H$5:$H$1204,"Retail")&gt;0,"Yes","No"))))</f>
        <v>0</v>
      </c>
      <c r="AK660" s="25">
        <f>IF(B660="","",COUNTIFS($Y$5:$Y$1204,"&gt;"&amp;Y660)+COUNTIFS($Y$5:Y660,Y660))</f>
        <v>0</v>
      </c>
      <c r="AL660" s="39">
        <f>IF(B660="","",IF(H660="","Add - what kind of sale is this?",IF(IF(V660&lt;=0,P660="",FALSE),"Check - no price found for this item",IF(F660="","Assign - nobody credited",IF(AH660&gt;0.004,"Unpaid - balance outstanding",IF(AC660&lt;0,"Loss - sold below cost",IF(X660&gt;W660*0.5,"Check - more than half off","OK")))))))</f>
        <v>0</v>
      </c>
    </row>
    <row r="661" spans="1:38">
      <c r="A661" s="28">
        <f>IF(B661="","",SalePrefix&amp;TEXT(ROW()-4,"0000"))</f>
        <v>0</v>
      </c>
      <c r="E661" s="15">
        <f>IF(D661="","",IFERROR(INDEX(Clients!$B$5:$B$504,MATCH(D661,Clients!$A$5:$A$504,0)),"Walk-in"))</f>
        <v>0</v>
      </c>
      <c r="G661" s="15">
        <f>IF(F661="","",IFERROR(INDEX(Staff!$B$5:$B$44,MATCH(F661,Staff!$A$5:$A$44,0)),"House"))</f>
        <v>0</v>
      </c>
      <c r="R661" s="15">
        <f>IF(B661="","",TEXT(B661,"yyyy-mm"))</f>
        <v>0</v>
      </c>
      <c r="S661" s="25">
        <f>IF(B661="","",WEEKNUM(B661,2))</f>
        <v>0</v>
      </c>
      <c r="T661" s="37">
        <f>IF(B661="","",IF(K661="",1,K661))</f>
        <v>0</v>
      </c>
      <c r="U661" s="15">
        <f>IF(B661="","",IF(J661&lt;&gt;"",J661,IF(H661="Retail",IFERROR(INDEX(Inventory!$B$5:$B$304,MATCH(I661,Inventory!$A$5:$A$304,0))&amp;"","Not in Inventory"),IFERROR(INDEX(Services!$B$5:$B$204,MATCH(I661,Services!$A$5:$A$204,0))&amp;"","Not in Services"))))</f>
        <v>0</v>
      </c>
      <c r="V661" s="26">
        <f>IF(B661="","",IF(L661&lt;&gt;"",L661,IF(H661="Retail",IFERROR(INDEX(Inventory!$I$5:$I$304,MATCH(I661,Inventory!$A$5:$A$304,0))*1,0),IFERROR(INDEX(Services!$G$5:$G$204,MATCH(I661,Services!$A$5:$A$204,0))*1,0))))</f>
        <v>0</v>
      </c>
      <c r="W661" s="26">
        <f>IF(B661="","",ROUND(T661*V661,2))</f>
        <v>0</v>
      </c>
      <c r="X661" s="26">
        <f>IF(B661="","",ROUND(IF(M661="",0,W661*M661)+IF(N661="",0,N661),2))</f>
        <v>0</v>
      </c>
      <c r="Y661" s="26">
        <f>IF(B661="","",ROUND(W661-X661-IF(P661="",0,P661),2))</f>
        <v>0</v>
      </c>
      <c r="Z661" s="26">
        <f>IF(B661="","",IF(H661="Retail",IF(TaxOnRetail="Yes",ROUND(Y661*TaxRate,2),0),IF(H661="Service",IF(TaxOnServices="Yes",ROUND(Y661*TaxRate,2),0),0)))</f>
        <v>0</v>
      </c>
      <c r="AA661" s="26">
        <f>IF(B661="","",ROUND(Y661+Z661,2))</f>
        <v>0</v>
      </c>
      <c r="AB661" s="26">
        <f>IF(B661="","",ROUND(T661*IF(H661="Retail",IFERROR(INDEX(Inventory!$H$5:$H$304,MATCH(I661,Inventory!$A$5:$A$304,0))*1,0),IFERROR(INDEX(Services!$Q$5:$Q$204,MATCH(I661,Services!$A$5:$A$204,0))*1,0)),2))</f>
        <v>0</v>
      </c>
      <c r="AC661" s="26">
        <f>IF(B661="","",ROUND(Y661-AB661,2))</f>
        <v>0</v>
      </c>
      <c r="AD661" s="38">
        <f>IF(B661="","",IF(C661="","No",IF(COUNTIFS($C$5:C661,C661)=1,"Yes","No")))</f>
        <v>0</v>
      </c>
      <c r="AE661" s="26">
        <f>IF(B661="","",ROUND(SUMIFS(Payments!$G$5:$G$1204,Payments!$H$5:$H$1204,A661,Payments!$Q$5:$Q$1204,"Yes"),2))</f>
        <v>0</v>
      </c>
      <c r="AF661" s="26">
        <f>IF(B661="","",IF(AD661="No",0,ROUND(SUMIFS(Payments!$G$5:$G$1204,Payments!$I$5:$I$1204,C661,Payments!$H$5:$H$1204,"",Payments!$Q$5:$Q$1204,"Yes"),2)))</f>
        <v>0</v>
      </c>
      <c r="AG661" s="26">
        <f>IF(B661="","",ROUND(AE661+AF661,2))</f>
        <v>0</v>
      </c>
      <c r="AH661" s="26">
        <f>IF(B661="","",ROUND(AA661-AG661,2))</f>
        <v>0</v>
      </c>
      <c r="AI661" s="39">
        <f>IF(B661="","",IF(AA661&lt;=0,"No charge",IF(AH661&lt;=0.004,"Paid",IF(AG661&lt;=0.004,"Unpaid","Part paid"))))</f>
        <v>0</v>
      </c>
      <c r="AJ661" s="38">
        <f>IF(B661="","",IF(H661&lt;&gt;"Service","",IF(D661="","No",IF(COUNTIFS($D$5:$D$1204,D661,$B$5:$B$1204,B661,$H$5:$H$1204,"Retail")&gt;0,"Yes","No"))))</f>
        <v>0</v>
      </c>
      <c r="AK661" s="25">
        <f>IF(B661="","",COUNTIFS($Y$5:$Y$1204,"&gt;"&amp;Y661)+COUNTIFS($Y$5:Y661,Y661))</f>
        <v>0</v>
      </c>
      <c r="AL661" s="39">
        <f>IF(B661="","",IF(H661="","Add - what kind of sale is this?",IF(IF(V661&lt;=0,P661="",FALSE),"Check - no price found for this item",IF(F661="","Assign - nobody credited",IF(AH661&gt;0.004,"Unpaid - balance outstanding",IF(AC661&lt;0,"Loss - sold below cost",IF(X661&gt;W661*0.5,"Check - more than half off","OK")))))))</f>
        <v>0</v>
      </c>
    </row>
    <row r="662" spans="1:38">
      <c r="A662" s="28">
        <f>IF(B662="","",SalePrefix&amp;TEXT(ROW()-4,"0000"))</f>
        <v>0</v>
      </c>
      <c r="E662" s="15">
        <f>IF(D662="","",IFERROR(INDEX(Clients!$B$5:$B$504,MATCH(D662,Clients!$A$5:$A$504,0)),"Walk-in"))</f>
        <v>0</v>
      </c>
      <c r="G662" s="15">
        <f>IF(F662="","",IFERROR(INDEX(Staff!$B$5:$B$44,MATCH(F662,Staff!$A$5:$A$44,0)),"House"))</f>
        <v>0</v>
      </c>
      <c r="R662" s="15">
        <f>IF(B662="","",TEXT(B662,"yyyy-mm"))</f>
        <v>0</v>
      </c>
      <c r="S662" s="25">
        <f>IF(B662="","",WEEKNUM(B662,2))</f>
        <v>0</v>
      </c>
      <c r="T662" s="37">
        <f>IF(B662="","",IF(K662="",1,K662))</f>
        <v>0</v>
      </c>
      <c r="U662" s="15">
        <f>IF(B662="","",IF(J662&lt;&gt;"",J662,IF(H662="Retail",IFERROR(INDEX(Inventory!$B$5:$B$304,MATCH(I662,Inventory!$A$5:$A$304,0))&amp;"","Not in Inventory"),IFERROR(INDEX(Services!$B$5:$B$204,MATCH(I662,Services!$A$5:$A$204,0))&amp;"","Not in Services"))))</f>
        <v>0</v>
      </c>
      <c r="V662" s="26">
        <f>IF(B662="","",IF(L662&lt;&gt;"",L662,IF(H662="Retail",IFERROR(INDEX(Inventory!$I$5:$I$304,MATCH(I662,Inventory!$A$5:$A$304,0))*1,0),IFERROR(INDEX(Services!$G$5:$G$204,MATCH(I662,Services!$A$5:$A$204,0))*1,0))))</f>
        <v>0</v>
      </c>
      <c r="W662" s="26">
        <f>IF(B662="","",ROUND(T662*V662,2))</f>
        <v>0</v>
      </c>
      <c r="X662" s="26">
        <f>IF(B662="","",ROUND(IF(M662="",0,W662*M662)+IF(N662="",0,N662),2))</f>
        <v>0</v>
      </c>
      <c r="Y662" s="26">
        <f>IF(B662="","",ROUND(W662-X662-IF(P662="",0,P662),2))</f>
        <v>0</v>
      </c>
      <c r="Z662" s="26">
        <f>IF(B662="","",IF(H662="Retail",IF(TaxOnRetail="Yes",ROUND(Y662*TaxRate,2),0),IF(H662="Service",IF(TaxOnServices="Yes",ROUND(Y662*TaxRate,2),0),0)))</f>
        <v>0</v>
      </c>
      <c r="AA662" s="26">
        <f>IF(B662="","",ROUND(Y662+Z662,2))</f>
        <v>0</v>
      </c>
      <c r="AB662" s="26">
        <f>IF(B662="","",ROUND(T662*IF(H662="Retail",IFERROR(INDEX(Inventory!$H$5:$H$304,MATCH(I662,Inventory!$A$5:$A$304,0))*1,0),IFERROR(INDEX(Services!$Q$5:$Q$204,MATCH(I662,Services!$A$5:$A$204,0))*1,0)),2))</f>
        <v>0</v>
      </c>
      <c r="AC662" s="26">
        <f>IF(B662="","",ROUND(Y662-AB662,2))</f>
        <v>0</v>
      </c>
      <c r="AD662" s="38">
        <f>IF(B662="","",IF(C662="","No",IF(COUNTIFS($C$5:C662,C662)=1,"Yes","No")))</f>
        <v>0</v>
      </c>
      <c r="AE662" s="26">
        <f>IF(B662="","",ROUND(SUMIFS(Payments!$G$5:$G$1204,Payments!$H$5:$H$1204,A662,Payments!$Q$5:$Q$1204,"Yes"),2))</f>
        <v>0</v>
      </c>
      <c r="AF662" s="26">
        <f>IF(B662="","",IF(AD662="No",0,ROUND(SUMIFS(Payments!$G$5:$G$1204,Payments!$I$5:$I$1204,C662,Payments!$H$5:$H$1204,"",Payments!$Q$5:$Q$1204,"Yes"),2)))</f>
        <v>0</v>
      </c>
      <c r="AG662" s="26">
        <f>IF(B662="","",ROUND(AE662+AF662,2))</f>
        <v>0</v>
      </c>
      <c r="AH662" s="26">
        <f>IF(B662="","",ROUND(AA662-AG662,2))</f>
        <v>0</v>
      </c>
      <c r="AI662" s="39">
        <f>IF(B662="","",IF(AA662&lt;=0,"No charge",IF(AH662&lt;=0.004,"Paid",IF(AG662&lt;=0.004,"Unpaid","Part paid"))))</f>
        <v>0</v>
      </c>
      <c r="AJ662" s="38">
        <f>IF(B662="","",IF(H662&lt;&gt;"Service","",IF(D662="","No",IF(COUNTIFS($D$5:$D$1204,D662,$B$5:$B$1204,B662,$H$5:$H$1204,"Retail")&gt;0,"Yes","No"))))</f>
        <v>0</v>
      </c>
      <c r="AK662" s="25">
        <f>IF(B662="","",COUNTIFS($Y$5:$Y$1204,"&gt;"&amp;Y662)+COUNTIFS($Y$5:Y662,Y662))</f>
        <v>0</v>
      </c>
      <c r="AL662" s="39">
        <f>IF(B662="","",IF(H662="","Add - what kind of sale is this?",IF(IF(V662&lt;=0,P662="",FALSE),"Check - no price found for this item",IF(F662="","Assign - nobody credited",IF(AH662&gt;0.004,"Unpaid - balance outstanding",IF(AC662&lt;0,"Loss - sold below cost",IF(X662&gt;W662*0.5,"Check - more than half off","OK")))))))</f>
        <v>0</v>
      </c>
    </row>
    <row r="663" spans="1:38">
      <c r="A663" s="28">
        <f>IF(B663="","",SalePrefix&amp;TEXT(ROW()-4,"0000"))</f>
        <v>0</v>
      </c>
      <c r="E663" s="15">
        <f>IF(D663="","",IFERROR(INDEX(Clients!$B$5:$B$504,MATCH(D663,Clients!$A$5:$A$504,0)),"Walk-in"))</f>
        <v>0</v>
      </c>
      <c r="G663" s="15">
        <f>IF(F663="","",IFERROR(INDEX(Staff!$B$5:$B$44,MATCH(F663,Staff!$A$5:$A$44,0)),"House"))</f>
        <v>0</v>
      </c>
      <c r="R663" s="15">
        <f>IF(B663="","",TEXT(B663,"yyyy-mm"))</f>
        <v>0</v>
      </c>
      <c r="S663" s="25">
        <f>IF(B663="","",WEEKNUM(B663,2))</f>
        <v>0</v>
      </c>
      <c r="T663" s="37">
        <f>IF(B663="","",IF(K663="",1,K663))</f>
        <v>0</v>
      </c>
      <c r="U663" s="15">
        <f>IF(B663="","",IF(J663&lt;&gt;"",J663,IF(H663="Retail",IFERROR(INDEX(Inventory!$B$5:$B$304,MATCH(I663,Inventory!$A$5:$A$304,0))&amp;"","Not in Inventory"),IFERROR(INDEX(Services!$B$5:$B$204,MATCH(I663,Services!$A$5:$A$204,0))&amp;"","Not in Services"))))</f>
        <v>0</v>
      </c>
      <c r="V663" s="26">
        <f>IF(B663="","",IF(L663&lt;&gt;"",L663,IF(H663="Retail",IFERROR(INDEX(Inventory!$I$5:$I$304,MATCH(I663,Inventory!$A$5:$A$304,0))*1,0),IFERROR(INDEX(Services!$G$5:$G$204,MATCH(I663,Services!$A$5:$A$204,0))*1,0))))</f>
        <v>0</v>
      </c>
      <c r="W663" s="26">
        <f>IF(B663="","",ROUND(T663*V663,2))</f>
        <v>0</v>
      </c>
      <c r="X663" s="26">
        <f>IF(B663="","",ROUND(IF(M663="",0,W663*M663)+IF(N663="",0,N663),2))</f>
        <v>0</v>
      </c>
      <c r="Y663" s="26">
        <f>IF(B663="","",ROUND(W663-X663-IF(P663="",0,P663),2))</f>
        <v>0</v>
      </c>
      <c r="Z663" s="26">
        <f>IF(B663="","",IF(H663="Retail",IF(TaxOnRetail="Yes",ROUND(Y663*TaxRate,2),0),IF(H663="Service",IF(TaxOnServices="Yes",ROUND(Y663*TaxRate,2),0),0)))</f>
        <v>0</v>
      </c>
      <c r="AA663" s="26">
        <f>IF(B663="","",ROUND(Y663+Z663,2))</f>
        <v>0</v>
      </c>
      <c r="AB663" s="26">
        <f>IF(B663="","",ROUND(T663*IF(H663="Retail",IFERROR(INDEX(Inventory!$H$5:$H$304,MATCH(I663,Inventory!$A$5:$A$304,0))*1,0),IFERROR(INDEX(Services!$Q$5:$Q$204,MATCH(I663,Services!$A$5:$A$204,0))*1,0)),2))</f>
        <v>0</v>
      </c>
      <c r="AC663" s="26">
        <f>IF(B663="","",ROUND(Y663-AB663,2))</f>
        <v>0</v>
      </c>
      <c r="AD663" s="38">
        <f>IF(B663="","",IF(C663="","No",IF(COUNTIFS($C$5:C663,C663)=1,"Yes","No")))</f>
        <v>0</v>
      </c>
      <c r="AE663" s="26">
        <f>IF(B663="","",ROUND(SUMIFS(Payments!$G$5:$G$1204,Payments!$H$5:$H$1204,A663,Payments!$Q$5:$Q$1204,"Yes"),2))</f>
        <v>0</v>
      </c>
      <c r="AF663" s="26">
        <f>IF(B663="","",IF(AD663="No",0,ROUND(SUMIFS(Payments!$G$5:$G$1204,Payments!$I$5:$I$1204,C663,Payments!$H$5:$H$1204,"",Payments!$Q$5:$Q$1204,"Yes"),2)))</f>
        <v>0</v>
      </c>
      <c r="AG663" s="26">
        <f>IF(B663="","",ROUND(AE663+AF663,2))</f>
        <v>0</v>
      </c>
      <c r="AH663" s="26">
        <f>IF(B663="","",ROUND(AA663-AG663,2))</f>
        <v>0</v>
      </c>
      <c r="AI663" s="39">
        <f>IF(B663="","",IF(AA663&lt;=0,"No charge",IF(AH663&lt;=0.004,"Paid",IF(AG663&lt;=0.004,"Unpaid","Part paid"))))</f>
        <v>0</v>
      </c>
      <c r="AJ663" s="38">
        <f>IF(B663="","",IF(H663&lt;&gt;"Service","",IF(D663="","No",IF(COUNTIFS($D$5:$D$1204,D663,$B$5:$B$1204,B663,$H$5:$H$1204,"Retail")&gt;0,"Yes","No"))))</f>
        <v>0</v>
      </c>
      <c r="AK663" s="25">
        <f>IF(B663="","",COUNTIFS($Y$5:$Y$1204,"&gt;"&amp;Y663)+COUNTIFS($Y$5:Y663,Y663))</f>
        <v>0</v>
      </c>
      <c r="AL663" s="39">
        <f>IF(B663="","",IF(H663="","Add - what kind of sale is this?",IF(IF(V663&lt;=0,P663="",FALSE),"Check - no price found for this item",IF(F663="","Assign - nobody credited",IF(AH663&gt;0.004,"Unpaid - balance outstanding",IF(AC663&lt;0,"Loss - sold below cost",IF(X663&gt;W663*0.5,"Check - more than half off","OK")))))))</f>
        <v>0</v>
      </c>
    </row>
    <row r="664" spans="1:38">
      <c r="A664" s="28">
        <f>IF(B664="","",SalePrefix&amp;TEXT(ROW()-4,"0000"))</f>
        <v>0</v>
      </c>
      <c r="E664" s="15">
        <f>IF(D664="","",IFERROR(INDEX(Clients!$B$5:$B$504,MATCH(D664,Clients!$A$5:$A$504,0)),"Walk-in"))</f>
        <v>0</v>
      </c>
      <c r="G664" s="15">
        <f>IF(F664="","",IFERROR(INDEX(Staff!$B$5:$B$44,MATCH(F664,Staff!$A$5:$A$44,0)),"House"))</f>
        <v>0</v>
      </c>
      <c r="R664" s="15">
        <f>IF(B664="","",TEXT(B664,"yyyy-mm"))</f>
        <v>0</v>
      </c>
      <c r="S664" s="25">
        <f>IF(B664="","",WEEKNUM(B664,2))</f>
        <v>0</v>
      </c>
      <c r="T664" s="37">
        <f>IF(B664="","",IF(K664="",1,K664))</f>
        <v>0</v>
      </c>
      <c r="U664" s="15">
        <f>IF(B664="","",IF(J664&lt;&gt;"",J664,IF(H664="Retail",IFERROR(INDEX(Inventory!$B$5:$B$304,MATCH(I664,Inventory!$A$5:$A$304,0))&amp;"","Not in Inventory"),IFERROR(INDEX(Services!$B$5:$B$204,MATCH(I664,Services!$A$5:$A$204,0))&amp;"","Not in Services"))))</f>
        <v>0</v>
      </c>
      <c r="V664" s="26">
        <f>IF(B664="","",IF(L664&lt;&gt;"",L664,IF(H664="Retail",IFERROR(INDEX(Inventory!$I$5:$I$304,MATCH(I664,Inventory!$A$5:$A$304,0))*1,0),IFERROR(INDEX(Services!$G$5:$G$204,MATCH(I664,Services!$A$5:$A$204,0))*1,0))))</f>
        <v>0</v>
      </c>
      <c r="W664" s="26">
        <f>IF(B664="","",ROUND(T664*V664,2))</f>
        <v>0</v>
      </c>
      <c r="X664" s="26">
        <f>IF(B664="","",ROUND(IF(M664="",0,W664*M664)+IF(N664="",0,N664),2))</f>
        <v>0</v>
      </c>
      <c r="Y664" s="26">
        <f>IF(B664="","",ROUND(W664-X664-IF(P664="",0,P664),2))</f>
        <v>0</v>
      </c>
      <c r="Z664" s="26">
        <f>IF(B664="","",IF(H664="Retail",IF(TaxOnRetail="Yes",ROUND(Y664*TaxRate,2),0),IF(H664="Service",IF(TaxOnServices="Yes",ROUND(Y664*TaxRate,2),0),0)))</f>
        <v>0</v>
      </c>
      <c r="AA664" s="26">
        <f>IF(B664="","",ROUND(Y664+Z664,2))</f>
        <v>0</v>
      </c>
      <c r="AB664" s="26">
        <f>IF(B664="","",ROUND(T664*IF(H664="Retail",IFERROR(INDEX(Inventory!$H$5:$H$304,MATCH(I664,Inventory!$A$5:$A$304,0))*1,0),IFERROR(INDEX(Services!$Q$5:$Q$204,MATCH(I664,Services!$A$5:$A$204,0))*1,0)),2))</f>
        <v>0</v>
      </c>
      <c r="AC664" s="26">
        <f>IF(B664="","",ROUND(Y664-AB664,2))</f>
        <v>0</v>
      </c>
      <c r="AD664" s="38">
        <f>IF(B664="","",IF(C664="","No",IF(COUNTIFS($C$5:C664,C664)=1,"Yes","No")))</f>
        <v>0</v>
      </c>
      <c r="AE664" s="26">
        <f>IF(B664="","",ROUND(SUMIFS(Payments!$G$5:$G$1204,Payments!$H$5:$H$1204,A664,Payments!$Q$5:$Q$1204,"Yes"),2))</f>
        <v>0</v>
      </c>
      <c r="AF664" s="26">
        <f>IF(B664="","",IF(AD664="No",0,ROUND(SUMIFS(Payments!$G$5:$G$1204,Payments!$I$5:$I$1204,C664,Payments!$H$5:$H$1204,"",Payments!$Q$5:$Q$1204,"Yes"),2)))</f>
        <v>0</v>
      </c>
      <c r="AG664" s="26">
        <f>IF(B664="","",ROUND(AE664+AF664,2))</f>
        <v>0</v>
      </c>
      <c r="AH664" s="26">
        <f>IF(B664="","",ROUND(AA664-AG664,2))</f>
        <v>0</v>
      </c>
      <c r="AI664" s="39">
        <f>IF(B664="","",IF(AA664&lt;=0,"No charge",IF(AH664&lt;=0.004,"Paid",IF(AG664&lt;=0.004,"Unpaid","Part paid"))))</f>
        <v>0</v>
      </c>
      <c r="AJ664" s="38">
        <f>IF(B664="","",IF(H664&lt;&gt;"Service","",IF(D664="","No",IF(COUNTIFS($D$5:$D$1204,D664,$B$5:$B$1204,B664,$H$5:$H$1204,"Retail")&gt;0,"Yes","No"))))</f>
        <v>0</v>
      </c>
      <c r="AK664" s="25">
        <f>IF(B664="","",COUNTIFS($Y$5:$Y$1204,"&gt;"&amp;Y664)+COUNTIFS($Y$5:Y664,Y664))</f>
        <v>0</v>
      </c>
      <c r="AL664" s="39">
        <f>IF(B664="","",IF(H664="","Add - what kind of sale is this?",IF(IF(V664&lt;=0,P664="",FALSE),"Check - no price found for this item",IF(F664="","Assign - nobody credited",IF(AH664&gt;0.004,"Unpaid - balance outstanding",IF(AC664&lt;0,"Loss - sold below cost",IF(X664&gt;W664*0.5,"Check - more than half off","OK")))))))</f>
        <v>0</v>
      </c>
    </row>
    <row r="665" spans="1:38">
      <c r="A665" s="28">
        <f>IF(B665="","",SalePrefix&amp;TEXT(ROW()-4,"0000"))</f>
        <v>0</v>
      </c>
      <c r="E665" s="15">
        <f>IF(D665="","",IFERROR(INDEX(Clients!$B$5:$B$504,MATCH(D665,Clients!$A$5:$A$504,0)),"Walk-in"))</f>
        <v>0</v>
      </c>
      <c r="G665" s="15">
        <f>IF(F665="","",IFERROR(INDEX(Staff!$B$5:$B$44,MATCH(F665,Staff!$A$5:$A$44,0)),"House"))</f>
        <v>0</v>
      </c>
      <c r="R665" s="15">
        <f>IF(B665="","",TEXT(B665,"yyyy-mm"))</f>
        <v>0</v>
      </c>
      <c r="S665" s="25">
        <f>IF(B665="","",WEEKNUM(B665,2))</f>
        <v>0</v>
      </c>
      <c r="T665" s="37">
        <f>IF(B665="","",IF(K665="",1,K665))</f>
        <v>0</v>
      </c>
      <c r="U665" s="15">
        <f>IF(B665="","",IF(J665&lt;&gt;"",J665,IF(H665="Retail",IFERROR(INDEX(Inventory!$B$5:$B$304,MATCH(I665,Inventory!$A$5:$A$304,0))&amp;"","Not in Inventory"),IFERROR(INDEX(Services!$B$5:$B$204,MATCH(I665,Services!$A$5:$A$204,0))&amp;"","Not in Services"))))</f>
        <v>0</v>
      </c>
      <c r="V665" s="26">
        <f>IF(B665="","",IF(L665&lt;&gt;"",L665,IF(H665="Retail",IFERROR(INDEX(Inventory!$I$5:$I$304,MATCH(I665,Inventory!$A$5:$A$304,0))*1,0),IFERROR(INDEX(Services!$G$5:$G$204,MATCH(I665,Services!$A$5:$A$204,0))*1,0))))</f>
        <v>0</v>
      </c>
      <c r="W665" s="26">
        <f>IF(B665="","",ROUND(T665*V665,2))</f>
        <v>0</v>
      </c>
      <c r="X665" s="26">
        <f>IF(B665="","",ROUND(IF(M665="",0,W665*M665)+IF(N665="",0,N665),2))</f>
        <v>0</v>
      </c>
      <c r="Y665" s="26">
        <f>IF(B665="","",ROUND(W665-X665-IF(P665="",0,P665),2))</f>
        <v>0</v>
      </c>
      <c r="Z665" s="26">
        <f>IF(B665="","",IF(H665="Retail",IF(TaxOnRetail="Yes",ROUND(Y665*TaxRate,2),0),IF(H665="Service",IF(TaxOnServices="Yes",ROUND(Y665*TaxRate,2),0),0)))</f>
        <v>0</v>
      </c>
      <c r="AA665" s="26">
        <f>IF(B665="","",ROUND(Y665+Z665,2))</f>
        <v>0</v>
      </c>
      <c r="AB665" s="26">
        <f>IF(B665="","",ROUND(T665*IF(H665="Retail",IFERROR(INDEX(Inventory!$H$5:$H$304,MATCH(I665,Inventory!$A$5:$A$304,0))*1,0),IFERROR(INDEX(Services!$Q$5:$Q$204,MATCH(I665,Services!$A$5:$A$204,0))*1,0)),2))</f>
        <v>0</v>
      </c>
      <c r="AC665" s="26">
        <f>IF(B665="","",ROUND(Y665-AB665,2))</f>
        <v>0</v>
      </c>
      <c r="AD665" s="38">
        <f>IF(B665="","",IF(C665="","No",IF(COUNTIFS($C$5:C665,C665)=1,"Yes","No")))</f>
        <v>0</v>
      </c>
      <c r="AE665" s="26">
        <f>IF(B665="","",ROUND(SUMIFS(Payments!$G$5:$G$1204,Payments!$H$5:$H$1204,A665,Payments!$Q$5:$Q$1204,"Yes"),2))</f>
        <v>0</v>
      </c>
      <c r="AF665" s="26">
        <f>IF(B665="","",IF(AD665="No",0,ROUND(SUMIFS(Payments!$G$5:$G$1204,Payments!$I$5:$I$1204,C665,Payments!$H$5:$H$1204,"",Payments!$Q$5:$Q$1204,"Yes"),2)))</f>
        <v>0</v>
      </c>
      <c r="AG665" s="26">
        <f>IF(B665="","",ROUND(AE665+AF665,2))</f>
        <v>0</v>
      </c>
      <c r="AH665" s="26">
        <f>IF(B665="","",ROUND(AA665-AG665,2))</f>
        <v>0</v>
      </c>
      <c r="AI665" s="39">
        <f>IF(B665="","",IF(AA665&lt;=0,"No charge",IF(AH665&lt;=0.004,"Paid",IF(AG665&lt;=0.004,"Unpaid","Part paid"))))</f>
        <v>0</v>
      </c>
      <c r="AJ665" s="38">
        <f>IF(B665="","",IF(H665&lt;&gt;"Service","",IF(D665="","No",IF(COUNTIFS($D$5:$D$1204,D665,$B$5:$B$1204,B665,$H$5:$H$1204,"Retail")&gt;0,"Yes","No"))))</f>
        <v>0</v>
      </c>
      <c r="AK665" s="25">
        <f>IF(B665="","",COUNTIFS($Y$5:$Y$1204,"&gt;"&amp;Y665)+COUNTIFS($Y$5:Y665,Y665))</f>
        <v>0</v>
      </c>
      <c r="AL665" s="39">
        <f>IF(B665="","",IF(H665="","Add - what kind of sale is this?",IF(IF(V665&lt;=0,P665="",FALSE),"Check - no price found for this item",IF(F665="","Assign - nobody credited",IF(AH665&gt;0.004,"Unpaid - balance outstanding",IF(AC665&lt;0,"Loss - sold below cost",IF(X665&gt;W665*0.5,"Check - more than half off","OK")))))))</f>
        <v>0</v>
      </c>
    </row>
    <row r="666" spans="1:38">
      <c r="A666" s="28">
        <f>IF(B666="","",SalePrefix&amp;TEXT(ROW()-4,"0000"))</f>
        <v>0</v>
      </c>
      <c r="E666" s="15">
        <f>IF(D666="","",IFERROR(INDEX(Clients!$B$5:$B$504,MATCH(D666,Clients!$A$5:$A$504,0)),"Walk-in"))</f>
        <v>0</v>
      </c>
      <c r="G666" s="15">
        <f>IF(F666="","",IFERROR(INDEX(Staff!$B$5:$B$44,MATCH(F666,Staff!$A$5:$A$44,0)),"House"))</f>
        <v>0</v>
      </c>
      <c r="R666" s="15">
        <f>IF(B666="","",TEXT(B666,"yyyy-mm"))</f>
        <v>0</v>
      </c>
      <c r="S666" s="25">
        <f>IF(B666="","",WEEKNUM(B666,2))</f>
        <v>0</v>
      </c>
      <c r="T666" s="37">
        <f>IF(B666="","",IF(K666="",1,K666))</f>
        <v>0</v>
      </c>
      <c r="U666" s="15">
        <f>IF(B666="","",IF(J666&lt;&gt;"",J666,IF(H666="Retail",IFERROR(INDEX(Inventory!$B$5:$B$304,MATCH(I666,Inventory!$A$5:$A$304,0))&amp;"","Not in Inventory"),IFERROR(INDEX(Services!$B$5:$B$204,MATCH(I666,Services!$A$5:$A$204,0))&amp;"","Not in Services"))))</f>
        <v>0</v>
      </c>
      <c r="V666" s="26">
        <f>IF(B666="","",IF(L666&lt;&gt;"",L666,IF(H666="Retail",IFERROR(INDEX(Inventory!$I$5:$I$304,MATCH(I666,Inventory!$A$5:$A$304,0))*1,0),IFERROR(INDEX(Services!$G$5:$G$204,MATCH(I666,Services!$A$5:$A$204,0))*1,0))))</f>
        <v>0</v>
      </c>
      <c r="W666" s="26">
        <f>IF(B666="","",ROUND(T666*V666,2))</f>
        <v>0</v>
      </c>
      <c r="X666" s="26">
        <f>IF(B666="","",ROUND(IF(M666="",0,W666*M666)+IF(N666="",0,N666),2))</f>
        <v>0</v>
      </c>
      <c r="Y666" s="26">
        <f>IF(B666="","",ROUND(W666-X666-IF(P666="",0,P666),2))</f>
        <v>0</v>
      </c>
      <c r="Z666" s="26">
        <f>IF(B666="","",IF(H666="Retail",IF(TaxOnRetail="Yes",ROUND(Y666*TaxRate,2),0),IF(H666="Service",IF(TaxOnServices="Yes",ROUND(Y666*TaxRate,2),0),0)))</f>
        <v>0</v>
      </c>
      <c r="AA666" s="26">
        <f>IF(B666="","",ROUND(Y666+Z666,2))</f>
        <v>0</v>
      </c>
      <c r="AB666" s="26">
        <f>IF(B666="","",ROUND(T666*IF(H666="Retail",IFERROR(INDEX(Inventory!$H$5:$H$304,MATCH(I666,Inventory!$A$5:$A$304,0))*1,0),IFERROR(INDEX(Services!$Q$5:$Q$204,MATCH(I666,Services!$A$5:$A$204,0))*1,0)),2))</f>
        <v>0</v>
      </c>
      <c r="AC666" s="26">
        <f>IF(B666="","",ROUND(Y666-AB666,2))</f>
        <v>0</v>
      </c>
      <c r="AD666" s="38">
        <f>IF(B666="","",IF(C666="","No",IF(COUNTIFS($C$5:C666,C666)=1,"Yes","No")))</f>
        <v>0</v>
      </c>
      <c r="AE666" s="26">
        <f>IF(B666="","",ROUND(SUMIFS(Payments!$G$5:$G$1204,Payments!$H$5:$H$1204,A666,Payments!$Q$5:$Q$1204,"Yes"),2))</f>
        <v>0</v>
      </c>
      <c r="AF666" s="26">
        <f>IF(B666="","",IF(AD666="No",0,ROUND(SUMIFS(Payments!$G$5:$G$1204,Payments!$I$5:$I$1204,C666,Payments!$H$5:$H$1204,"",Payments!$Q$5:$Q$1204,"Yes"),2)))</f>
        <v>0</v>
      </c>
      <c r="AG666" s="26">
        <f>IF(B666="","",ROUND(AE666+AF666,2))</f>
        <v>0</v>
      </c>
      <c r="AH666" s="26">
        <f>IF(B666="","",ROUND(AA666-AG666,2))</f>
        <v>0</v>
      </c>
      <c r="AI666" s="39">
        <f>IF(B666="","",IF(AA666&lt;=0,"No charge",IF(AH666&lt;=0.004,"Paid",IF(AG666&lt;=0.004,"Unpaid","Part paid"))))</f>
        <v>0</v>
      </c>
      <c r="AJ666" s="38">
        <f>IF(B666="","",IF(H666&lt;&gt;"Service","",IF(D666="","No",IF(COUNTIFS($D$5:$D$1204,D666,$B$5:$B$1204,B666,$H$5:$H$1204,"Retail")&gt;0,"Yes","No"))))</f>
        <v>0</v>
      </c>
      <c r="AK666" s="25">
        <f>IF(B666="","",COUNTIFS($Y$5:$Y$1204,"&gt;"&amp;Y666)+COUNTIFS($Y$5:Y666,Y666))</f>
        <v>0</v>
      </c>
      <c r="AL666" s="39">
        <f>IF(B666="","",IF(H666="","Add - what kind of sale is this?",IF(IF(V666&lt;=0,P666="",FALSE),"Check - no price found for this item",IF(F666="","Assign - nobody credited",IF(AH666&gt;0.004,"Unpaid - balance outstanding",IF(AC666&lt;0,"Loss - sold below cost",IF(X666&gt;W666*0.5,"Check - more than half off","OK")))))))</f>
        <v>0</v>
      </c>
    </row>
    <row r="667" spans="1:38">
      <c r="A667" s="28">
        <f>IF(B667="","",SalePrefix&amp;TEXT(ROW()-4,"0000"))</f>
        <v>0</v>
      </c>
      <c r="E667" s="15">
        <f>IF(D667="","",IFERROR(INDEX(Clients!$B$5:$B$504,MATCH(D667,Clients!$A$5:$A$504,0)),"Walk-in"))</f>
        <v>0</v>
      </c>
      <c r="G667" s="15">
        <f>IF(F667="","",IFERROR(INDEX(Staff!$B$5:$B$44,MATCH(F667,Staff!$A$5:$A$44,0)),"House"))</f>
        <v>0</v>
      </c>
      <c r="R667" s="15">
        <f>IF(B667="","",TEXT(B667,"yyyy-mm"))</f>
        <v>0</v>
      </c>
      <c r="S667" s="25">
        <f>IF(B667="","",WEEKNUM(B667,2))</f>
        <v>0</v>
      </c>
      <c r="T667" s="37">
        <f>IF(B667="","",IF(K667="",1,K667))</f>
        <v>0</v>
      </c>
      <c r="U667" s="15">
        <f>IF(B667="","",IF(J667&lt;&gt;"",J667,IF(H667="Retail",IFERROR(INDEX(Inventory!$B$5:$B$304,MATCH(I667,Inventory!$A$5:$A$304,0))&amp;"","Not in Inventory"),IFERROR(INDEX(Services!$B$5:$B$204,MATCH(I667,Services!$A$5:$A$204,0))&amp;"","Not in Services"))))</f>
        <v>0</v>
      </c>
      <c r="V667" s="26">
        <f>IF(B667="","",IF(L667&lt;&gt;"",L667,IF(H667="Retail",IFERROR(INDEX(Inventory!$I$5:$I$304,MATCH(I667,Inventory!$A$5:$A$304,0))*1,0),IFERROR(INDEX(Services!$G$5:$G$204,MATCH(I667,Services!$A$5:$A$204,0))*1,0))))</f>
        <v>0</v>
      </c>
      <c r="W667" s="26">
        <f>IF(B667="","",ROUND(T667*V667,2))</f>
        <v>0</v>
      </c>
      <c r="X667" s="26">
        <f>IF(B667="","",ROUND(IF(M667="",0,W667*M667)+IF(N667="",0,N667),2))</f>
        <v>0</v>
      </c>
      <c r="Y667" s="26">
        <f>IF(B667="","",ROUND(W667-X667-IF(P667="",0,P667),2))</f>
        <v>0</v>
      </c>
      <c r="Z667" s="26">
        <f>IF(B667="","",IF(H667="Retail",IF(TaxOnRetail="Yes",ROUND(Y667*TaxRate,2),0),IF(H667="Service",IF(TaxOnServices="Yes",ROUND(Y667*TaxRate,2),0),0)))</f>
        <v>0</v>
      </c>
      <c r="AA667" s="26">
        <f>IF(B667="","",ROUND(Y667+Z667,2))</f>
        <v>0</v>
      </c>
      <c r="AB667" s="26">
        <f>IF(B667="","",ROUND(T667*IF(H667="Retail",IFERROR(INDEX(Inventory!$H$5:$H$304,MATCH(I667,Inventory!$A$5:$A$304,0))*1,0),IFERROR(INDEX(Services!$Q$5:$Q$204,MATCH(I667,Services!$A$5:$A$204,0))*1,0)),2))</f>
        <v>0</v>
      </c>
      <c r="AC667" s="26">
        <f>IF(B667="","",ROUND(Y667-AB667,2))</f>
        <v>0</v>
      </c>
      <c r="AD667" s="38">
        <f>IF(B667="","",IF(C667="","No",IF(COUNTIFS($C$5:C667,C667)=1,"Yes","No")))</f>
        <v>0</v>
      </c>
      <c r="AE667" s="26">
        <f>IF(B667="","",ROUND(SUMIFS(Payments!$G$5:$G$1204,Payments!$H$5:$H$1204,A667,Payments!$Q$5:$Q$1204,"Yes"),2))</f>
        <v>0</v>
      </c>
      <c r="AF667" s="26">
        <f>IF(B667="","",IF(AD667="No",0,ROUND(SUMIFS(Payments!$G$5:$G$1204,Payments!$I$5:$I$1204,C667,Payments!$H$5:$H$1204,"",Payments!$Q$5:$Q$1204,"Yes"),2)))</f>
        <v>0</v>
      </c>
      <c r="AG667" s="26">
        <f>IF(B667="","",ROUND(AE667+AF667,2))</f>
        <v>0</v>
      </c>
      <c r="AH667" s="26">
        <f>IF(B667="","",ROUND(AA667-AG667,2))</f>
        <v>0</v>
      </c>
      <c r="AI667" s="39">
        <f>IF(B667="","",IF(AA667&lt;=0,"No charge",IF(AH667&lt;=0.004,"Paid",IF(AG667&lt;=0.004,"Unpaid","Part paid"))))</f>
        <v>0</v>
      </c>
      <c r="AJ667" s="38">
        <f>IF(B667="","",IF(H667&lt;&gt;"Service","",IF(D667="","No",IF(COUNTIFS($D$5:$D$1204,D667,$B$5:$B$1204,B667,$H$5:$H$1204,"Retail")&gt;0,"Yes","No"))))</f>
        <v>0</v>
      </c>
      <c r="AK667" s="25">
        <f>IF(B667="","",COUNTIFS($Y$5:$Y$1204,"&gt;"&amp;Y667)+COUNTIFS($Y$5:Y667,Y667))</f>
        <v>0</v>
      </c>
      <c r="AL667" s="39">
        <f>IF(B667="","",IF(H667="","Add - what kind of sale is this?",IF(IF(V667&lt;=0,P667="",FALSE),"Check - no price found for this item",IF(F667="","Assign - nobody credited",IF(AH667&gt;0.004,"Unpaid - balance outstanding",IF(AC667&lt;0,"Loss - sold below cost",IF(X667&gt;W667*0.5,"Check - more than half off","OK")))))))</f>
        <v>0</v>
      </c>
    </row>
    <row r="668" spans="1:38">
      <c r="A668" s="28">
        <f>IF(B668="","",SalePrefix&amp;TEXT(ROW()-4,"0000"))</f>
        <v>0</v>
      </c>
      <c r="E668" s="15">
        <f>IF(D668="","",IFERROR(INDEX(Clients!$B$5:$B$504,MATCH(D668,Clients!$A$5:$A$504,0)),"Walk-in"))</f>
        <v>0</v>
      </c>
      <c r="G668" s="15">
        <f>IF(F668="","",IFERROR(INDEX(Staff!$B$5:$B$44,MATCH(F668,Staff!$A$5:$A$44,0)),"House"))</f>
        <v>0</v>
      </c>
      <c r="R668" s="15">
        <f>IF(B668="","",TEXT(B668,"yyyy-mm"))</f>
        <v>0</v>
      </c>
      <c r="S668" s="25">
        <f>IF(B668="","",WEEKNUM(B668,2))</f>
        <v>0</v>
      </c>
      <c r="T668" s="37">
        <f>IF(B668="","",IF(K668="",1,K668))</f>
        <v>0</v>
      </c>
      <c r="U668" s="15">
        <f>IF(B668="","",IF(J668&lt;&gt;"",J668,IF(H668="Retail",IFERROR(INDEX(Inventory!$B$5:$B$304,MATCH(I668,Inventory!$A$5:$A$304,0))&amp;"","Not in Inventory"),IFERROR(INDEX(Services!$B$5:$B$204,MATCH(I668,Services!$A$5:$A$204,0))&amp;"","Not in Services"))))</f>
        <v>0</v>
      </c>
      <c r="V668" s="26">
        <f>IF(B668="","",IF(L668&lt;&gt;"",L668,IF(H668="Retail",IFERROR(INDEX(Inventory!$I$5:$I$304,MATCH(I668,Inventory!$A$5:$A$304,0))*1,0),IFERROR(INDEX(Services!$G$5:$G$204,MATCH(I668,Services!$A$5:$A$204,0))*1,0))))</f>
        <v>0</v>
      </c>
      <c r="W668" s="26">
        <f>IF(B668="","",ROUND(T668*V668,2))</f>
        <v>0</v>
      </c>
      <c r="X668" s="26">
        <f>IF(B668="","",ROUND(IF(M668="",0,W668*M668)+IF(N668="",0,N668),2))</f>
        <v>0</v>
      </c>
      <c r="Y668" s="26">
        <f>IF(B668="","",ROUND(W668-X668-IF(P668="",0,P668),2))</f>
        <v>0</v>
      </c>
      <c r="Z668" s="26">
        <f>IF(B668="","",IF(H668="Retail",IF(TaxOnRetail="Yes",ROUND(Y668*TaxRate,2),0),IF(H668="Service",IF(TaxOnServices="Yes",ROUND(Y668*TaxRate,2),0),0)))</f>
        <v>0</v>
      </c>
      <c r="AA668" s="26">
        <f>IF(B668="","",ROUND(Y668+Z668,2))</f>
        <v>0</v>
      </c>
      <c r="AB668" s="26">
        <f>IF(B668="","",ROUND(T668*IF(H668="Retail",IFERROR(INDEX(Inventory!$H$5:$H$304,MATCH(I668,Inventory!$A$5:$A$304,0))*1,0),IFERROR(INDEX(Services!$Q$5:$Q$204,MATCH(I668,Services!$A$5:$A$204,0))*1,0)),2))</f>
        <v>0</v>
      </c>
      <c r="AC668" s="26">
        <f>IF(B668="","",ROUND(Y668-AB668,2))</f>
        <v>0</v>
      </c>
      <c r="AD668" s="38">
        <f>IF(B668="","",IF(C668="","No",IF(COUNTIFS($C$5:C668,C668)=1,"Yes","No")))</f>
        <v>0</v>
      </c>
      <c r="AE668" s="26">
        <f>IF(B668="","",ROUND(SUMIFS(Payments!$G$5:$G$1204,Payments!$H$5:$H$1204,A668,Payments!$Q$5:$Q$1204,"Yes"),2))</f>
        <v>0</v>
      </c>
      <c r="AF668" s="26">
        <f>IF(B668="","",IF(AD668="No",0,ROUND(SUMIFS(Payments!$G$5:$G$1204,Payments!$I$5:$I$1204,C668,Payments!$H$5:$H$1204,"",Payments!$Q$5:$Q$1204,"Yes"),2)))</f>
        <v>0</v>
      </c>
      <c r="AG668" s="26">
        <f>IF(B668="","",ROUND(AE668+AF668,2))</f>
        <v>0</v>
      </c>
      <c r="AH668" s="26">
        <f>IF(B668="","",ROUND(AA668-AG668,2))</f>
        <v>0</v>
      </c>
      <c r="AI668" s="39">
        <f>IF(B668="","",IF(AA668&lt;=0,"No charge",IF(AH668&lt;=0.004,"Paid",IF(AG668&lt;=0.004,"Unpaid","Part paid"))))</f>
        <v>0</v>
      </c>
      <c r="AJ668" s="38">
        <f>IF(B668="","",IF(H668&lt;&gt;"Service","",IF(D668="","No",IF(COUNTIFS($D$5:$D$1204,D668,$B$5:$B$1204,B668,$H$5:$H$1204,"Retail")&gt;0,"Yes","No"))))</f>
        <v>0</v>
      </c>
      <c r="AK668" s="25">
        <f>IF(B668="","",COUNTIFS($Y$5:$Y$1204,"&gt;"&amp;Y668)+COUNTIFS($Y$5:Y668,Y668))</f>
        <v>0</v>
      </c>
      <c r="AL668" s="39">
        <f>IF(B668="","",IF(H668="","Add - what kind of sale is this?",IF(IF(V668&lt;=0,P668="",FALSE),"Check - no price found for this item",IF(F668="","Assign - nobody credited",IF(AH668&gt;0.004,"Unpaid - balance outstanding",IF(AC668&lt;0,"Loss - sold below cost",IF(X668&gt;W668*0.5,"Check - more than half off","OK")))))))</f>
        <v>0</v>
      </c>
    </row>
    <row r="669" spans="1:38">
      <c r="A669" s="28">
        <f>IF(B669="","",SalePrefix&amp;TEXT(ROW()-4,"0000"))</f>
        <v>0</v>
      </c>
      <c r="E669" s="15">
        <f>IF(D669="","",IFERROR(INDEX(Clients!$B$5:$B$504,MATCH(D669,Clients!$A$5:$A$504,0)),"Walk-in"))</f>
        <v>0</v>
      </c>
      <c r="G669" s="15">
        <f>IF(F669="","",IFERROR(INDEX(Staff!$B$5:$B$44,MATCH(F669,Staff!$A$5:$A$44,0)),"House"))</f>
        <v>0</v>
      </c>
      <c r="R669" s="15">
        <f>IF(B669="","",TEXT(B669,"yyyy-mm"))</f>
        <v>0</v>
      </c>
      <c r="S669" s="25">
        <f>IF(B669="","",WEEKNUM(B669,2))</f>
        <v>0</v>
      </c>
      <c r="T669" s="37">
        <f>IF(B669="","",IF(K669="",1,K669))</f>
        <v>0</v>
      </c>
      <c r="U669" s="15">
        <f>IF(B669="","",IF(J669&lt;&gt;"",J669,IF(H669="Retail",IFERROR(INDEX(Inventory!$B$5:$B$304,MATCH(I669,Inventory!$A$5:$A$304,0))&amp;"","Not in Inventory"),IFERROR(INDEX(Services!$B$5:$B$204,MATCH(I669,Services!$A$5:$A$204,0))&amp;"","Not in Services"))))</f>
        <v>0</v>
      </c>
      <c r="V669" s="26">
        <f>IF(B669="","",IF(L669&lt;&gt;"",L669,IF(H669="Retail",IFERROR(INDEX(Inventory!$I$5:$I$304,MATCH(I669,Inventory!$A$5:$A$304,0))*1,0),IFERROR(INDEX(Services!$G$5:$G$204,MATCH(I669,Services!$A$5:$A$204,0))*1,0))))</f>
        <v>0</v>
      </c>
      <c r="W669" s="26">
        <f>IF(B669="","",ROUND(T669*V669,2))</f>
        <v>0</v>
      </c>
      <c r="X669" s="26">
        <f>IF(B669="","",ROUND(IF(M669="",0,W669*M669)+IF(N669="",0,N669),2))</f>
        <v>0</v>
      </c>
      <c r="Y669" s="26">
        <f>IF(B669="","",ROUND(W669-X669-IF(P669="",0,P669),2))</f>
        <v>0</v>
      </c>
      <c r="Z669" s="26">
        <f>IF(B669="","",IF(H669="Retail",IF(TaxOnRetail="Yes",ROUND(Y669*TaxRate,2),0),IF(H669="Service",IF(TaxOnServices="Yes",ROUND(Y669*TaxRate,2),0),0)))</f>
        <v>0</v>
      </c>
      <c r="AA669" s="26">
        <f>IF(B669="","",ROUND(Y669+Z669,2))</f>
        <v>0</v>
      </c>
      <c r="AB669" s="26">
        <f>IF(B669="","",ROUND(T669*IF(H669="Retail",IFERROR(INDEX(Inventory!$H$5:$H$304,MATCH(I669,Inventory!$A$5:$A$304,0))*1,0),IFERROR(INDEX(Services!$Q$5:$Q$204,MATCH(I669,Services!$A$5:$A$204,0))*1,0)),2))</f>
        <v>0</v>
      </c>
      <c r="AC669" s="26">
        <f>IF(B669="","",ROUND(Y669-AB669,2))</f>
        <v>0</v>
      </c>
      <c r="AD669" s="38">
        <f>IF(B669="","",IF(C669="","No",IF(COUNTIFS($C$5:C669,C669)=1,"Yes","No")))</f>
        <v>0</v>
      </c>
      <c r="AE669" s="26">
        <f>IF(B669="","",ROUND(SUMIFS(Payments!$G$5:$G$1204,Payments!$H$5:$H$1204,A669,Payments!$Q$5:$Q$1204,"Yes"),2))</f>
        <v>0</v>
      </c>
      <c r="AF669" s="26">
        <f>IF(B669="","",IF(AD669="No",0,ROUND(SUMIFS(Payments!$G$5:$G$1204,Payments!$I$5:$I$1204,C669,Payments!$H$5:$H$1204,"",Payments!$Q$5:$Q$1204,"Yes"),2)))</f>
        <v>0</v>
      </c>
      <c r="AG669" s="26">
        <f>IF(B669="","",ROUND(AE669+AF669,2))</f>
        <v>0</v>
      </c>
      <c r="AH669" s="26">
        <f>IF(B669="","",ROUND(AA669-AG669,2))</f>
        <v>0</v>
      </c>
      <c r="AI669" s="39">
        <f>IF(B669="","",IF(AA669&lt;=0,"No charge",IF(AH669&lt;=0.004,"Paid",IF(AG669&lt;=0.004,"Unpaid","Part paid"))))</f>
        <v>0</v>
      </c>
      <c r="AJ669" s="38">
        <f>IF(B669="","",IF(H669&lt;&gt;"Service","",IF(D669="","No",IF(COUNTIFS($D$5:$D$1204,D669,$B$5:$B$1204,B669,$H$5:$H$1204,"Retail")&gt;0,"Yes","No"))))</f>
        <v>0</v>
      </c>
      <c r="AK669" s="25">
        <f>IF(B669="","",COUNTIFS($Y$5:$Y$1204,"&gt;"&amp;Y669)+COUNTIFS($Y$5:Y669,Y669))</f>
        <v>0</v>
      </c>
      <c r="AL669" s="39">
        <f>IF(B669="","",IF(H669="","Add - what kind of sale is this?",IF(IF(V669&lt;=0,P669="",FALSE),"Check - no price found for this item",IF(F669="","Assign - nobody credited",IF(AH669&gt;0.004,"Unpaid - balance outstanding",IF(AC669&lt;0,"Loss - sold below cost",IF(X669&gt;W669*0.5,"Check - more than half off","OK")))))))</f>
        <v>0</v>
      </c>
    </row>
    <row r="670" spans="1:38">
      <c r="A670" s="28">
        <f>IF(B670="","",SalePrefix&amp;TEXT(ROW()-4,"0000"))</f>
        <v>0</v>
      </c>
      <c r="E670" s="15">
        <f>IF(D670="","",IFERROR(INDEX(Clients!$B$5:$B$504,MATCH(D670,Clients!$A$5:$A$504,0)),"Walk-in"))</f>
        <v>0</v>
      </c>
      <c r="G670" s="15">
        <f>IF(F670="","",IFERROR(INDEX(Staff!$B$5:$B$44,MATCH(F670,Staff!$A$5:$A$44,0)),"House"))</f>
        <v>0</v>
      </c>
      <c r="R670" s="15">
        <f>IF(B670="","",TEXT(B670,"yyyy-mm"))</f>
        <v>0</v>
      </c>
      <c r="S670" s="25">
        <f>IF(B670="","",WEEKNUM(B670,2))</f>
        <v>0</v>
      </c>
      <c r="T670" s="37">
        <f>IF(B670="","",IF(K670="",1,K670))</f>
        <v>0</v>
      </c>
      <c r="U670" s="15">
        <f>IF(B670="","",IF(J670&lt;&gt;"",J670,IF(H670="Retail",IFERROR(INDEX(Inventory!$B$5:$B$304,MATCH(I670,Inventory!$A$5:$A$304,0))&amp;"","Not in Inventory"),IFERROR(INDEX(Services!$B$5:$B$204,MATCH(I670,Services!$A$5:$A$204,0))&amp;"","Not in Services"))))</f>
        <v>0</v>
      </c>
      <c r="V670" s="26">
        <f>IF(B670="","",IF(L670&lt;&gt;"",L670,IF(H670="Retail",IFERROR(INDEX(Inventory!$I$5:$I$304,MATCH(I670,Inventory!$A$5:$A$304,0))*1,0),IFERROR(INDEX(Services!$G$5:$G$204,MATCH(I670,Services!$A$5:$A$204,0))*1,0))))</f>
        <v>0</v>
      </c>
      <c r="W670" s="26">
        <f>IF(B670="","",ROUND(T670*V670,2))</f>
        <v>0</v>
      </c>
      <c r="X670" s="26">
        <f>IF(B670="","",ROUND(IF(M670="",0,W670*M670)+IF(N670="",0,N670),2))</f>
        <v>0</v>
      </c>
      <c r="Y670" s="26">
        <f>IF(B670="","",ROUND(W670-X670-IF(P670="",0,P670),2))</f>
        <v>0</v>
      </c>
      <c r="Z670" s="26">
        <f>IF(B670="","",IF(H670="Retail",IF(TaxOnRetail="Yes",ROUND(Y670*TaxRate,2),0),IF(H670="Service",IF(TaxOnServices="Yes",ROUND(Y670*TaxRate,2),0),0)))</f>
        <v>0</v>
      </c>
      <c r="AA670" s="26">
        <f>IF(B670="","",ROUND(Y670+Z670,2))</f>
        <v>0</v>
      </c>
      <c r="AB670" s="26">
        <f>IF(B670="","",ROUND(T670*IF(H670="Retail",IFERROR(INDEX(Inventory!$H$5:$H$304,MATCH(I670,Inventory!$A$5:$A$304,0))*1,0),IFERROR(INDEX(Services!$Q$5:$Q$204,MATCH(I670,Services!$A$5:$A$204,0))*1,0)),2))</f>
        <v>0</v>
      </c>
      <c r="AC670" s="26">
        <f>IF(B670="","",ROUND(Y670-AB670,2))</f>
        <v>0</v>
      </c>
      <c r="AD670" s="38">
        <f>IF(B670="","",IF(C670="","No",IF(COUNTIFS($C$5:C670,C670)=1,"Yes","No")))</f>
        <v>0</v>
      </c>
      <c r="AE670" s="26">
        <f>IF(B670="","",ROUND(SUMIFS(Payments!$G$5:$G$1204,Payments!$H$5:$H$1204,A670,Payments!$Q$5:$Q$1204,"Yes"),2))</f>
        <v>0</v>
      </c>
      <c r="AF670" s="26">
        <f>IF(B670="","",IF(AD670="No",0,ROUND(SUMIFS(Payments!$G$5:$G$1204,Payments!$I$5:$I$1204,C670,Payments!$H$5:$H$1204,"",Payments!$Q$5:$Q$1204,"Yes"),2)))</f>
        <v>0</v>
      </c>
      <c r="AG670" s="26">
        <f>IF(B670="","",ROUND(AE670+AF670,2))</f>
        <v>0</v>
      </c>
      <c r="AH670" s="26">
        <f>IF(B670="","",ROUND(AA670-AG670,2))</f>
        <v>0</v>
      </c>
      <c r="AI670" s="39">
        <f>IF(B670="","",IF(AA670&lt;=0,"No charge",IF(AH670&lt;=0.004,"Paid",IF(AG670&lt;=0.004,"Unpaid","Part paid"))))</f>
        <v>0</v>
      </c>
      <c r="AJ670" s="38">
        <f>IF(B670="","",IF(H670&lt;&gt;"Service","",IF(D670="","No",IF(COUNTIFS($D$5:$D$1204,D670,$B$5:$B$1204,B670,$H$5:$H$1204,"Retail")&gt;0,"Yes","No"))))</f>
        <v>0</v>
      </c>
      <c r="AK670" s="25">
        <f>IF(B670="","",COUNTIFS($Y$5:$Y$1204,"&gt;"&amp;Y670)+COUNTIFS($Y$5:Y670,Y670))</f>
        <v>0</v>
      </c>
      <c r="AL670" s="39">
        <f>IF(B670="","",IF(H670="","Add - what kind of sale is this?",IF(IF(V670&lt;=0,P670="",FALSE),"Check - no price found for this item",IF(F670="","Assign - nobody credited",IF(AH670&gt;0.004,"Unpaid - balance outstanding",IF(AC670&lt;0,"Loss - sold below cost",IF(X670&gt;W670*0.5,"Check - more than half off","OK")))))))</f>
        <v>0</v>
      </c>
    </row>
    <row r="671" spans="1:38">
      <c r="A671" s="28">
        <f>IF(B671="","",SalePrefix&amp;TEXT(ROW()-4,"0000"))</f>
        <v>0</v>
      </c>
      <c r="E671" s="15">
        <f>IF(D671="","",IFERROR(INDEX(Clients!$B$5:$B$504,MATCH(D671,Clients!$A$5:$A$504,0)),"Walk-in"))</f>
        <v>0</v>
      </c>
      <c r="G671" s="15">
        <f>IF(F671="","",IFERROR(INDEX(Staff!$B$5:$B$44,MATCH(F671,Staff!$A$5:$A$44,0)),"House"))</f>
        <v>0</v>
      </c>
      <c r="R671" s="15">
        <f>IF(B671="","",TEXT(B671,"yyyy-mm"))</f>
        <v>0</v>
      </c>
      <c r="S671" s="25">
        <f>IF(B671="","",WEEKNUM(B671,2))</f>
        <v>0</v>
      </c>
      <c r="T671" s="37">
        <f>IF(B671="","",IF(K671="",1,K671))</f>
        <v>0</v>
      </c>
      <c r="U671" s="15">
        <f>IF(B671="","",IF(J671&lt;&gt;"",J671,IF(H671="Retail",IFERROR(INDEX(Inventory!$B$5:$B$304,MATCH(I671,Inventory!$A$5:$A$304,0))&amp;"","Not in Inventory"),IFERROR(INDEX(Services!$B$5:$B$204,MATCH(I671,Services!$A$5:$A$204,0))&amp;"","Not in Services"))))</f>
        <v>0</v>
      </c>
      <c r="V671" s="26">
        <f>IF(B671="","",IF(L671&lt;&gt;"",L671,IF(H671="Retail",IFERROR(INDEX(Inventory!$I$5:$I$304,MATCH(I671,Inventory!$A$5:$A$304,0))*1,0),IFERROR(INDEX(Services!$G$5:$G$204,MATCH(I671,Services!$A$5:$A$204,0))*1,0))))</f>
        <v>0</v>
      </c>
      <c r="W671" s="26">
        <f>IF(B671="","",ROUND(T671*V671,2))</f>
        <v>0</v>
      </c>
      <c r="X671" s="26">
        <f>IF(B671="","",ROUND(IF(M671="",0,W671*M671)+IF(N671="",0,N671),2))</f>
        <v>0</v>
      </c>
      <c r="Y671" s="26">
        <f>IF(B671="","",ROUND(W671-X671-IF(P671="",0,P671),2))</f>
        <v>0</v>
      </c>
      <c r="Z671" s="26">
        <f>IF(B671="","",IF(H671="Retail",IF(TaxOnRetail="Yes",ROUND(Y671*TaxRate,2),0),IF(H671="Service",IF(TaxOnServices="Yes",ROUND(Y671*TaxRate,2),0),0)))</f>
        <v>0</v>
      </c>
      <c r="AA671" s="26">
        <f>IF(B671="","",ROUND(Y671+Z671,2))</f>
        <v>0</v>
      </c>
      <c r="AB671" s="26">
        <f>IF(B671="","",ROUND(T671*IF(H671="Retail",IFERROR(INDEX(Inventory!$H$5:$H$304,MATCH(I671,Inventory!$A$5:$A$304,0))*1,0),IFERROR(INDEX(Services!$Q$5:$Q$204,MATCH(I671,Services!$A$5:$A$204,0))*1,0)),2))</f>
        <v>0</v>
      </c>
      <c r="AC671" s="26">
        <f>IF(B671="","",ROUND(Y671-AB671,2))</f>
        <v>0</v>
      </c>
      <c r="AD671" s="38">
        <f>IF(B671="","",IF(C671="","No",IF(COUNTIFS($C$5:C671,C671)=1,"Yes","No")))</f>
        <v>0</v>
      </c>
      <c r="AE671" s="26">
        <f>IF(B671="","",ROUND(SUMIFS(Payments!$G$5:$G$1204,Payments!$H$5:$H$1204,A671,Payments!$Q$5:$Q$1204,"Yes"),2))</f>
        <v>0</v>
      </c>
      <c r="AF671" s="26">
        <f>IF(B671="","",IF(AD671="No",0,ROUND(SUMIFS(Payments!$G$5:$G$1204,Payments!$I$5:$I$1204,C671,Payments!$H$5:$H$1204,"",Payments!$Q$5:$Q$1204,"Yes"),2)))</f>
        <v>0</v>
      </c>
      <c r="AG671" s="26">
        <f>IF(B671="","",ROUND(AE671+AF671,2))</f>
        <v>0</v>
      </c>
      <c r="AH671" s="26">
        <f>IF(B671="","",ROUND(AA671-AG671,2))</f>
        <v>0</v>
      </c>
      <c r="AI671" s="39">
        <f>IF(B671="","",IF(AA671&lt;=0,"No charge",IF(AH671&lt;=0.004,"Paid",IF(AG671&lt;=0.004,"Unpaid","Part paid"))))</f>
        <v>0</v>
      </c>
      <c r="AJ671" s="38">
        <f>IF(B671="","",IF(H671&lt;&gt;"Service","",IF(D671="","No",IF(COUNTIFS($D$5:$D$1204,D671,$B$5:$B$1204,B671,$H$5:$H$1204,"Retail")&gt;0,"Yes","No"))))</f>
        <v>0</v>
      </c>
      <c r="AK671" s="25">
        <f>IF(B671="","",COUNTIFS($Y$5:$Y$1204,"&gt;"&amp;Y671)+COUNTIFS($Y$5:Y671,Y671))</f>
        <v>0</v>
      </c>
      <c r="AL671" s="39">
        <f>IF(B671="","",IF(H671="","Add - what kind of sale is this?",IF(IF(V671&lt;=0,P671="",FALSE),"Check - no price found for this item",IF(F671="","Assign - nobody credited",IF(AH671&gt;0.004,"Unpaid - balance outstanding",IF(AC671&lt;0,"Loss - sold below cost",IF(X671&gt;W671*0.5,"Check - more than half off","OK")))))))</f>
        <v>0</v>
      </c>
    </row>
    <row r="672" spans="1:38">
      <c r="A672" s="28">
        <f>IF(B672="","",SalePrefix&amp;TEXT(ROW()-4,"0000"))</f>
        <v>0</v>
      </c>
      <c r="E672" s="15">
        <f>IF(D672="","",IFERROR(INDEX(Clients!$B$5:$B$504,MATCH(D672,Clients!$A$5:$A$504,0)),"Walk-in"))</f>
        <v>0</v>
      </c>
      <c r="G672" s="15">
        <f>IF(F672="","",IFERROR(INDEX(Staff!$B$5:$B$44,MATCH(F672,Staff!$A$5:$A$44,0)),"House"))</f>
        <v>0</v>
      </c>
      <c r="R672" s="15">
        <f>IF(B672="","",TEXT(B672,"yyyy-mm"))</f>
        <v>0</v>
      </c>
      <c r="S672" s="25">
        <f>IF(B672="","",WEEKNUM(B672,2))</f>
        <v>0</v>
      </c>
      <c r="T672" s="37">
        <f>IF(B672="","",IF(K672="",1,K672))</f>
        <v>0</v>
      </c>
      <c r="U672" s="15">
        <f>IF(B672="","",IF(J672&lt;&gt;"",J672,IF(H672="Retail",IFERROR(INDEX(Inventory!$B$5:$B$304,MATCH(I672,Inventory!$A$5:$A$304,0))&amp;"","Not in Inventory"),IFERROR(INDEX(Services!$B$5:$B$204,MATCH(I672,Services!$A$5:$A$204,0))&amp;"","Not in Services"))))</f>
        <v>0</v>
      </c>
      <c r="V672" s="26">
        <f>IF(B672="","",IF(L672&lt;&gt;"",L672,IF(H672="Retail",IFERROR(INDEX(Inventory!$I$5:$I$304,MATCH(I672,Inventory!$A$5:$A$304,0))*1,0),IFERROR(INDEX(Services!$G$5:$G$204,MATCH(I672,Services!$A$5:$A$204,0))*1,0))))</f>
        <v>0</v>
      </c>
      <c r="W672" s="26">
        <f>IF(B672="","",ROUND(T672*V672,2))</f>
        <v>0</v>
      </c>
      <c r="X672" s="26">
        <f>IF(B672="","",ROUND(IF(M672="",0,W672*M672)+IF(N672="",0,N672),2))</f>
        <v>0</v>
      </c>
      <c r="Y672" s="26">
        <f>IF(B672="","",ROUND(W672-X672-IF(P672="",0,P672),2))</f>
        <v>0</v>
      </c>
      <c r="Z672" s="26">
        <f>IF(B672="","",IF(H672="Retail",IF(TaxOnRetail="Yes",ROUND(Y672*TaxRate,2),0),IF(H672="Service",IF(TaxOnServices="Yes",ROUND(Y672*TaxRate,2),0),0)))</f>
        <v>0</v>
      </c>
      <c r="AA672" s="26">
        <f>IF(B672="","",ROUND(Y672+Z672,2))</f>
        <v>0</v>
      </c>
      <c r="AB672" s="26">
        <f>IF(B672="","",ROUND(T672*IF(H672="Retail",IFERROR(INDEX(Inventory!$H$5:$H$304,MATCH(I672,Inventory!$A$5:$A$304,0))*1,0),IFERROR(INDEX(Services!$Q$5:$Q$204,MATCH(I672,Services!$A$5:$A$204,0))*1,0)),2))</f>
        <v>0</v>
      </c>
      <c r="AC672" s="26">
        <f>IF(B672="","",ROUND(Y672-AB672,2))</f>
        <v>0</v>
      </c>
      <c r="AD672" s="38">
        <f>IF(B672="","",IF(C672="","No",IF(COUNTIFS($C$5:C672,C672)=1,"Yes","No")))</f>
        <v>0</v>
      </c>
      <c r="AE672" s="26">
        <f>IF(B672="","",ROUND(SUMIFS(Payments!$G$5:$G$1204,Payments!$H$5:$H$1204,A672,Payments!$Q$5:$Q$1204,"Yes"),2))</f>
        <v>0</v>
      </c>
      <c r="AF672" s="26">
        <f>IF(B672="","",IF(AD672="No",0,ROUND(SUMIFS(Payments!$G$5:$G$1204,Payments!$I$5:$I$1204,C672,Payments!$H$5:$H$1204,"",Payments!$Q$5:$Q$1204,"Yes"),2)))</f>
        <v>0</v>
      </c>
      <c r="AG672" s="26">
        <f>IF(B672="","",ROUND(AE672+AF672,2))</f>
        <v>0</v>
      </c>
      <c r="AH672" s="26">
        <f>IF(B672="","",ROUND(AA672-AG672,2))</f>
        <v>0</v>
      </c>
      <c r="AI672" s="39">
        <f>IF(B672="","",IF(AA672&lt;=0,"No charge",IF(AH672&lt;=0.004,"Paid",IF(AG672&lt;=0.004,"Unpaid","Part paid"))))</f>
        <v>0</v>
      </c>
      <c r="AJ672" s="38">
        <f>IF(B672="","",IF(H672&lt;&gt;"Service","",IF(D672="","No",IF(COUNTIFS($D$5:$D$1204,D672,$B$5:$B$1204,B672,$H$5:$H$1204,"Retail")&gt;0,"Yes","No"))))</f>
        <v>0</v>
      </c>
      <c r="AK672" s="25">
        <f>IF(B672="","",COUNTIFS($Y$5:$Y$1204,"&gt;"&amp;Y672)+COUNTIFS($Y$5:Y672,Y672))</f>
        <v>0</v>
      </c>
      <c r="AL672" s="39">
        <f>IF(B672="","",IF(H672="","Add - what kind of sale is this?",IF(IF(V672&lt;=0,P672="",FALSE),"Check - no price found for this item",IF(F672="","Assign - nobody credited",IF(AH672&gt;0.004,"Unpaid - balance outstanding",IF(AC672&lt;0,"Loss - sold below cost",IF(X672&gt;W672*0.5,"Check - more than half off","OK")))))))</f>
        <v>0</v>
      </c>
    </row>
    <row r="673" spans="1:38">
      <c r="A673" s="28">
        <f>IF(B673="","",SalePrefix&amp;TEXT(ROW()-4,"0000"))</f>
        <v>0</v>
      </c>
      <c r="E673" s="15">
        <f>IF(D673="","",IFERROR(INDEX(Clients!$B$5:$B$504,MATCH(D673,Clients!$A$5:$A$504,0)),"Walk-in"))</f>
        <v>0</v>
      </c>
      <c r="G673" s="15">
        <f>IF(F673="","",IFERROR(INDEX(Staff!$B$5:$B$44,MATCH(F673,Staff!$A$5:$A$44,0)),"House"))</f>
        <v>0</v>
      </c>
      <c r="R673" s="15">
        <f>IF(B673="","",TEXT(B673,"yyyy-mm"))</f>
        <v>0</v>
      </c>
      <c r="S673" s="25">
        <f>IF(B673="","",WEEKNUM(B673,2))</f>
        <v>0</v>
      </c>
      <c r="T673" s="37">
        <f>IF(B673="","",IF(K673="",1,K673))</f>
        <v>0</v>
      </c>
      <c r="U673" s="15">
        <f>IF(B673="","",IF(J673&lt;&gt;"",J673,IF(H673="Retail",IFERROR(INDEX(Inventory!$B$5:$B$304,MATCH(I673,Inventory!$A$5:$A$304,0))&amp;"","Not in Inventory"),IFERROR(INDEX(Services!$B$5:$B$204,MATCH(I673,Services!$A$5:$A$204,0))&amp;"","Not in Services"))))</f>
        <v>0</v>
      </c>
      <c r="V673" s="26">
        <f>IF(B673="","",IF(L673&lt;&gt;"",L673,IF(H673="Retail",IFERROR(INDEX(Inventory!$I$5:$I$304,MATCH(I673,Inventory!$A$5:$A$304,0))*1,0),IFERROR(INDEX(Services!$G$5:$G$204,MATCH(I673,Services!$A$5:$A$204,0))*1,0))))</f>
        <v>0</v>
      </c>
      <c r="W673" s="26">
        <f>IF(B673="","",ROUND(T673*V673,2))</f>
        <v>0</v>
      </c>
      <c r="X673" s="26">
        <f>IF(B673="","",ROUND(IF(M673="",0,W673*M673)+IF(N673="",0,N673),2))</f>
        <v>0</v>
      </c>
      <c r="Y673" s="26">
        <f>IF(B673="","",ROUND(W673-X673-IF(P673="",0,P673),2))</f>
        <v>0</v>
      </c>
      <c r="Z673" s="26">
        <f>IF(B673="","",IF(H673="Retail",IF(TaxOnRetail="Yes",ROUND(Y673*TaxRate,2),0),IF(H673="Service",IF(TaxOnServices="Yes",ROUND(Y673*TaxRate,2),0),0)))</f>
        <v>0</v>
      </c>
      <c r="AA673" s="26">
        <f>IF(B673="","",ROUND(Y673+Z673,2))</f>
        <v>0</v>
      </c>
      <c r="AB673" s="26">
        <f>IF(B673="","",ROUND(T673*IF(H673="Retail",IFERROR(INDEX(Inventory!$H$5:$H$304,MATCH(I673,Inventory!$A$5:$A$304,0))*1,0),IFERROR(INDEX(Services!$Q$5:$Q$204,MATCH(I673,Services!$A$5:$A$204,0))*1,0)),2))</f>
        <v>0</v>
      </c>
      <c r="AC673" s="26">
        <f>IF(B673="","",ROUND(Y673-AB673,2))</f>
        <v>0</v>
      </c>
      <c r="AD673" s="38">
        <f>IF(B673="","",IF(C673="","No",IF(COUNTIFS($C$5:C673,C673)=1,"Yes","No")))</f>
        <v>0</v>
      </c>
      <c r="AE673" s="26">
        <f>IF(B673="","",ROUND(SUMIFS(Payments!$G$5:$G$1204,Payments!$H$5:$H$1204,A673,Payments!$Q$5:$Q$1204,"Yes"),2))</f>
        <v>0</v>
      </c>
      <c r="AF673" s="26">
        <f>IF(B673="","",IF(AD673="No",0,ROUND(SUMIFS(Payments!$G$5:$G$1204,Payments!$I$5:$I$1204,C673,Payments!$H$5:$H$1204,"",Payments!$Q$5:$Q$1204,"Yes"),2)))</f>
        <v>0</v>
      </c>
      <c r="AG673" s="26">
        <f>IF(B673="","",ROUND(AE673+AF673,2))</f>
        <v>0</v>
      </c>
      <c r="AH673" s="26">
        <f>IF(B673="","",ROUND(AA673-AG673,2))</f>
        <v>0</v>
      </c>
      <c r="AI673" s="39">
        <f>IF(B673="","",IF(AA673&lt;=0,"No charge",IF(AH673&lt;=0.004,"Paid",IF(AG673&lt;=0.004,"Unpaid","Part paid"))))</f>
        <v>0</v>
      </c>
      <c r="AJ673" s="38">
        <f>IF(B673="","",IF(H673&lt;&gt;"Service","",IF(D673="","No",IF(COUNTIFS($D$5:$D$1204,D673,$B$5:$B$1204,B673,$H$5:$H$1204,"Retail")&gt;0,"Yes","No"))))</f>
        <v>0</v>
      </c>
      <c r="AK673" s="25">
        <f>IF(B673="","",COUNTIFS($Y$5:$Y$1204,"&gt;"&amp;Y673)+COUNTIFS($Y$5:Y673,Y673))</f>
        <v>0</v>
      </c>
      <c r="AL673" s="39">
        <f>IF(B673="","",IF(H673="","Add - what kind of sale is this?",IF(IF(V673&lt;=0,P673="",FALSE),"Check - no price found for this item",IF(F673="","Assign - nobody credited",IF(AH673&gt;0.004,"Unpaid - balance outstanding",IF(AC673&lt;0,"Loss - sold below cost",IF(X673&gt;W673*0.5,"Check - more than half off","OK")))))))</f>
        <v>0</v>
      </c>
    </row>
    <row r="674" spans="1:38">
      <c r="A674" s="28">
        <f>IF(B674="","",SalePrefix&amp;TEXT(ROW()-4,"0000"))</f>
        <v>0</v>
      </c>
      <c r="E674" s="15">
        <f>IF(D674="","",IFERROR(INDEX(Clients!$B$5:$B$504,MATCH(D674,Clients!$A$5:$A$504,0)),"Walk-in"))</f>
        <v>0</v>
      </c>
      <c r="G674" s="15">
        <f>IF(F674="","",IFERROR(INDEX(Staff!$B$5:$B$44,MATCH(F674,Staff!$A$5:$A$44,0)),"House"))</f>
        <v>0</v>
      </c>
      <c r="R674" s="15">
        <f>IF(B674="","",TEXT(B674,"yyyy-mm"))</f>
        <v>0</v>
      </c>
      <c r="S674" s="25">
        <f>IF(B674="","",WEEKNUM(B674,2))</f>
        <v>0</v>
      </c>
      <c r="T674" s="37">
        <f>IF(B674="","",IF(K674="",1,K674))</f>
        <v>0</v>
      </c>
      <c r="U674" s="15">
        <f>IF(B674="","",IF(J674&lt;&gt;"",J674,IF(H674="Retail",IFERROR(INDEX(Inventory!$B$5:$B$304,MATCH(I674,Inventory!$A$5:$A$304,0))&amp;"","Not in Inventory"),IFERROR(INDEX(Services!$B$5:$B$204,MATCH(I674,Services!$A$5:$A$204,0))&amp;"","Not in Services"))))</f>
        <v>0</v>
      </c>
      <c r="V674" s="26">
        <f>IF(B674="","",IF(L674&lt;&gt;"",L674,IF(H674="Retail",IFERROR(INDEX(Inventory!$I$5:$I$304,MATCH(I674,Inventory!$A$5:$A$304,0))*1,0),IFERROR(INDEX(Services!$G$5:$G$204,MATCH(I674,Services!$A$5:$A$204,0))*1,0))))</f>
        <v>0</v>
      </c>
      <c r="W674" s="26">
        <f>IF(B674="","",ROUND(T674*V674,2))</f>
        <v>0</v>
      </c>
      <c r="X674" s="26">
        <f>IF(B674="","",ROUND(IF(M674="",0,W674*M674)+IF(N674="",0,N674),2))</f>
        <v>0</v>
      </c>
      <c r="Y674" s="26">
        <f>IF(B674="","",ROUND(W674-X674-IF(P674="",0,P674),2))</f>
        <v>0</v>
      </c>
      <c r="Z674" s="26">
        <f>IF(B674="","",IF(H674="Retail",IF(TaxOnRetail="Yes",ROUND(Y674*TaxRate,2),0),IF(H674="Service",IF(TaxOnServices="Yes",ROUND(Y674*TaxRate,2),0),0)))</f>
        <v>0</v>
      </c>
      <c r="AA674" s="26">
        <f>IF(B674="","",ROUND(Y674+Z674,2))</f>
        <v>0</v>
      </c>
      <c r="AB674" s="26">
        <f>IF(B674="","",ROUND(T674*IF(H674="Retail",IFERROR(INDEX(Inventory!$H$5:$H$304,MATCH(I674,Inventory!$A$5:$A$304,0))*1,0),IFERROR(INDEX(Services!$Q$5:$Q$204,MATCH(I674,Services!$A$5:$A$204,0))*1,0)),2))</f>
        <v>0</v>
      </c>
      <c r="AC674" s="26">
        <f>IF(B674="","",ROUND(Y674-AB674,2))</f>
        <v>0</v>
      </c>
      <c r="AD674" s="38">
        <f>IF(B674="","",IF(C674="","No",IF(COUNTIFS($C$5:C674,C674)=1,"Yes","No")))</f>
        <v>0</v>
      </c>
      <c r="AE674" s="26">
        <f>IF(B674="","",ROUND(SUMIFS(Payments!$G$5:$G$1204,Payments!$H$5:$H$1204,A674,Payments!$Q$5:$Q$1204,"Yes"),2))</f>
        <v>0</v>
      </c>
      <c r="AF674" s="26">
        <f>IF(B674="","",IF(AD674="No",0,ROUND(SUMIFS(Payments!$G$5:$G$1204,Payments!$I$5:$I$1204,C674,Payments!$H$5:$H$1204,"",Payments!$Q$5:$Q$1204,"Yes"),2)))</f>
        <v>0</v>
      </c>
      <c r="AG674" s="26">
        <f>IF(B674="","",ROUND(AE674+AF674,2))</f>
        <v>0</v>
      </c>
      <c r="AH674" s="26">
        <f>IF(B674="","",ROUND(AA674-AG674,2))</f>
        <v>0</v>
      </c>
      <c r="AI674" s="39">
        <f>IF(B674="","",IF(AA674&lt;=0,"No charge",IF(AH674&lt;=0.004,"Paid",IF(AG674&lt;=0.004,"Unpaid","Part paid"))))</f>
        <v>0</v>
      </c>
      <c r="AJ674" s="38">
        <f>IF(B674="","",IF(H674&lt;&gt;"Service","",IF(D674="","No",IF(COUNTIFS($D$5:$D$1204,D674,$B$5:$B$1204,B674,$H$5:$H$1204,"Retail")&gt;0,"Yes","No"))))</f>
        <v>0</v>
      </c>
      <c r="AK674" s="25">
        <f>IF(B674="","",COUNTIFS($Y$5:$Y$1204,"&gt;"&amp;Y674)+COUNTIFS($Y$5:Y674,Y674))</f>
        <v>0</v>
      </c>
      <c r="AL674" s="39">
        <f>IF(B674="","",IF(H674="","Add - what kind of sale is this?",IF(IF(V674&lt;=0,P674="",FALSE),"Check - no price found for this item",IF(F674="","Assign - nobody credited",IF(AH674&gt;0.004,"Unpaid - balance outstanding",IF(AC674&lt;0,"Loss - sold below cost",IF(X674&gt;W674*0.5,"Check - more than half off","OK")))))))</f>
        <v>0</v>
      </c>
    </row>
    <row r="675" spans="1:38">
      <c r="A675" s="28">
        <f>IF(B675="","",SalePrefix&amp;TEXT(ROW()-4,"0000"))</f>
        <v>0</v>
      </c>
      <c r="E675" s="15">
        <f>IF(D675="","",IFERROR(INDEX(Clients!$B$5:$B$504,MATCH(D675,Clients!$A$5:$A$504,0)),"Walk-in"))</f>
        <v>0</v>
      </c>
      <c r="G675" s="15">
        <f>IF(F675="","",IFERROR(INDEX(Staff!$B$5:$B$44,MATCH(F675,Staff!$A$5:$A$44,0)),"House"))</f>
        <v>0</v>
      </c>
      <c r="R675" s="15">
        <f>IF(B675="","",TEXT(B675,"yyyy-mm"))</f>
        <v>0</v>
      </c>
      <c r="S675" s="25">
        <f>IF(B675="","",WEEKNUM(B675,2))</f>
        <v>0</v>
      </c>
      <c r="T675" s="37">
        <f>IF(B675="","",IF(K675="",1,K675))</f>
        <v>0</v>
      </c>
      <c r="U675" s="15">
        <f>IF(B675="","",IF(J675&lt;&gt;"",J675,IF(H675="Retail",IFERROR(INDEX(Inventory!$B$5:$B$304,MATCH(I675,Inventory!$A$5:$A$304,0))&amp;"","Not in Inventory"),IFERROR(INDEX(Services!$B$5:$B$204,MATCH(I675,Services!$A$5:$A$204,0))&amp;"","Not in Services"))))</f>
        <v>0</v>
      </c>
      <c r="V675" s="26">
        <f>IF(B675="","",IF(L675&lt;&gt;"",L675,IF(H675="Retail",IFERROR(INDEX(Inventory!$I$5:$I$304,MATCH(I675,Inventory!$A$5:$A$304,0))*1,0),IFERROR(INDEX(Services!$G$5:$G$204,MATCH(I675,Services!$A$5:$A$204,0))*1,0))))</f>
        <v>0</v>
      </c>
      <c r="W675" s="26">
        <f>IF(B675="","",ROUND(T675*V675,2))</f>
        <v>0</v>
      </c>
      <c r="X675" s="26">
        <f>IF(B675="","",ROUND(IF(M675="",0,W675*M675)+IF(N675="",0,N675),2))</f>
        <v>0</v>
      </c>
      <c r="Y675" s="26">
        <f>IF(B675="","",ROUND(W675-X675-IF(P675="",0,P675),2))</f>
        <v>0</v>
      </c>
      <c r="Z675" s="26">
        <f>IF(B675="","",IF(H675="Retail",IF(TaxOnRetail="Yes",ROUND(Y675*TaxRate,2),0),IF(H675="Service",IF(TaxOnServices="Yes",ROUND(Y675*TaxRate,2),0),0)))</f>
        <v>0</v>
      </c>
      <c r="AA675" s="26">
        <f>IF(B675="","",ROUND(Y675+Z675,2))</f>
        <v>0</v>
      </c>
      <c r="AB675" s="26">
        <f>IF(B675="","",ROUND(T675*IF(H675="Retail",IFERROR(INDEX(Inventory!$H$5:$H$304,MATCH(I675,Inventory!$A$5:$A$304,0))*1,0),IFERROR(INDEX(Services!$Q$5:$Q$204,MATCH(I675,Services!$A$5:$A$204,0))*1,0)),2))</f>
        <v>0</v>
      </c>
      <c r="AC675" s="26">
        <f>IF(B675="","",ROUND(Y675-AB675,2))</f>
        <v>0</v>
      </c>
      <c r="AD675" s="38">
        <f>IF(B675="","",IF(C675="","No",IF(COUNTIFS($C$5:C675,C675)=1,"Yes","No")))</f>
        <v>0</v>
      </c>
      <c r="AE675" s="26">
        <f>IF(B675="","",ROUND(SUMIFS(Payments!$G$5:$G$1204,Payments!$H$5:$H$1204,A675,Payments!$Q$5:$Q$1204,"Yes"),2))</f>
        <v>0</v>
      </c>
      <c r="AF675" s="26">
        <f>IF(B675="","",IF(AD675="No",0,ROUND(SUMIFS(Payments!$G$5:$G$1204,Payments!$I$5:$I$1204,C675,Payments!$H$5:$H$1204,"",Payments!$Q$5:$Q$1204,"Yes"),2)))</f>
        <v>0</v>
      </c>
      <c r="AG675" s="26">
        <f>IF(B675="","",ROUND(AE675+AF675,2))</f>
        <v>0</v>
      </c>
      <c r="AH675" s="26">
        <f>IF(B675="","",ROUND(AA675-AG675,2))</f>
        <v>0</v>
      </c>
      <c r="AI675" s="39">
        <f>IF(B675="","",IF(AA675&lt;=0,"No charge",IF(AH675&lt;=0.004,"Paid",IF(AG675&lt;=0.004,"Unpaid","Part paid"))))</f>
        <v>0</v>
      </c>
      <c r="AJ675" s="38">
        <f>IF(B675="","",IF(H675&lt;&gt;"Service","",IF(D675="","No",IF(COUNTIFS($D$5:$D$1204,D675,$B$5:$B$1204,B675,$H$5:$H$1204,"Retail")&gt;0,"Yes","No"))))</f>
        <v>0</v>
      </c>
      <c r="AK675" s="25">
        <f>IF(B675="","",COUNTIFS($Y$5:$Y$1204,"&gt;"&amp;Y675)+COUNTIFS($Y$5:Y675,Y675))</f>
        <v>0</v>
      </c>
      <c r="AL675" s="39">
        <f>IF(B675="","",IF(H675="","Add - what kind of sale is this?",IF(IF(V675&lt;=0,P675="",FALSE),"Check - no price found for this item",IF(F675="","Assign - nobody credited",IF(AH675&gt;0.004,"Unpaid - balance outstanding",IF(AC675&lt;0,"Loss - sold below cost",IF(X675&gt;W675*0.5,"Check - more than half off","OK")))))))</f>
        <v>0</v>
      </c>
    </row>
    <row r="676" spans="1:38">
      <c r="A676" s="28">
        <f>IF(B676="","",SalePrefix&amp;TEXT(ROW()-4,"0000"))</f>
        <v>0</v>
      </c>
      <c r="E676" s="15">
        <f>IF(D676="","",IFERROR(INDEX(Clients!$B$5:$B$504,MATCH(D676,Clients!$A$5:$A$504,0)),"Walk-in"))</f>
        <v>0</v>
      </c>
      <c r="G676" s="15">
        <f>IF(F676="","",IFERROR(INDEX(Staff!$B$5:$B$44,MATCH(F676,Staff!$A$5:$A$44,0)),"House"))</f>
        <v>0</v>
      </c>
      <c r="R676" s="15">
        <f>IF(B676="","",TEXT(B676,"yyyy-mm"))</f>
        <v>0</v>
      </c>
      <c r="S676" s="25">
        <f>IF(B676="","",WEEKNUM(B676,2))</f>
        <v>0</v>
      </c>
      <c r="T676" s="37">
        <f>IF(B676="","",IF(K676="",1,K676))</f>
        <v>0</v>
      </c>
      <c r="U676" s="15">
        <f>IF(B676="","",IF(J676&lt;&gt;"",J676,IF(H676="Retail",IFERROR(INDEX(Inventory!$B$5:$B$304,MATCH(I676,Inventory!$A$5:$A$304,0))&amp;"","Not in Inventory"),IFERROR(INDEX(Services!$B$5:$B$204,MATCH(I676,Services!$A$5:$A$204,0))&amp;"","Not in Services"))))</f>
        <v>0</v>
      </c>
      <c r="V676" s="26">
        <f>IF(B676="","",IF(L676&lt;&gt;"",L676,IF(H676="Retail",IFERROR(INDEX(Inventory!$I$5:$I$304,MATCH(I676,Inventory!$A$5:$A$304,0))*1,0),IFERROR(INDEX(Services!$G$5:$G$204,MATCH(I676,Services!$A$5:$A$204,0))*1,0))))</f>
        <v>0</v>
      </c>
      <c r="W676" s="26">
        <f>IF(B676="","",ROUND(T676*V676,2))</f>
        <v>0</v>
      </c>
      <c r="X676" s="26">
        <f>IF(B676="","",ROUND(IF(M676="",0,W676*M676)+IF(N676="",0,N676),2))</f>
        <v>0</v>
      </c>
      <c r="Y676" s="26">
        <f>IF(B676="","",ROUND(W676-X676-IF(P676="",0,P676),2))</f>
        <v>0</v>
      </c>
      <c r="Z676" s="26">
        <f>IF(B676="","",IF(H676="Retail",IF(TaxOnRetail="Yes",ROUND(Y676*TaxRate,2),0),IF(H676="Service",IF(TaxOnServices="Yes",ROUND(Y676*TaxRate,2),0),0)))</f>
        <v>0</v>
      </c>
      <c r="AA676" s="26">
        <f>IF(B676="","",ROUND(Y676+Z676,2))</f>
        <v>0</v>
      </c>
      <c r="AB676" s="26">
        <f>IF(B676="","",ROUND(T676*IF(H676="Retail",IFERROR(INDEX(Inventory!$H$5:$H$304,MATCH(I676,Inventory!$A$5:$A$304,0))*1,0),IFERROR(INDEX(Services!$Q$5:$Q$204,MATCH(I676,Services!$A$5:$A$204,0))*1,0)),2))</f>
        <v>0</v>
      </c>
      <c r="AC676" s="26">
        <f>IF(B676="","",ROUND(Y676-AB676,2))</f>
        <v>0</v>
      </c>
      <c r="AD676" s="38">
        <f>IF(B676="","",IF(C676="","No",IF(COUNTIFS($C$5:C676,C676)=1,"Yes","No")))</f>
        <v>0</v>
      </c>
      <c r="AE676" s="26">
        <f>IF(B676="","",ROUND(SUMIFS(Payments!$G$5:$G$1204,Payments!$H$5:$H$1204,A676,Payments!$Q$5:$Q$1204,"Yes"),2))</f>
        <v>0</v>
      </c>
      <c r="AF676" s="26">
        <f>IF(B676="","",IF(AD676="No",0,ROUND(SUMIFS(Payments!$G$5:$G$1204,Payments!$I$5:$I$1204,C676,Payments!$H$5:$H$1204,"",Payments!$Q$5:$Q$1204,"Yes"),2)))</f>
        <v>0</v>
      </c>
      <c r="AG676" s="26">
        <f>IF(B676="","",ROUND(AE676+AF676,2))</f>
        <v>0</v>
      </c>
      <c r="AH676" s="26">
        <f>IF(B676="","",ROUND(AA676-AG676,2))</f>
        <v>0</v>
      </c>
      <c r="AI676" s="39">
        <f>IF(B676="","",IF(AA676&lt;=0,"No charge",IF(AH676&lt;=0.004,"Paid",IF(AG676&lt;=0.004,"Unpaid","Part paid"))))</f>
        <v>0</v>
      </c>
      <c r="AJ676" s="38">
        <f>IF(B676="","",IF(H676&lt;&gt;"Service","",IF(D676="","No",IF(COUNTIFS($D$5:$D$1204,D676,$B$5:$B$1204,B676,$H$5:$H$1204,"Retail")&gt;0,"Yes","No"))))</f>
        <v>0</v>
      </c>
      <c r="AK676" s="25">
        <f>IF(B676="","",COUNTIFS($Y$5:$Y$1204,"&gt;"&amp;Y676)+COUNTIFS($Y$5:Y676,Y676))</f>
        <v>0</v>
      </c>
      <c r="AL676" s="39">
        <f>IF(B676="","",IF(H676="","Add - what kind of sale is this?",IF(IF(V676&lt;=0,P676="",FALSE),"Check - no price found for this item",IF(F676="","Assign - nobody credited",IF(AH676&gt;0.004,"Unpaid - balance outstanding",IF(AC676&lt;0,"Loss - sold below cost",IF(X676&gt;W676*0.5,"Check - more than half off","OK")))))))</f>
        <v>0</v>
      </c>
    </row>
    <row r="677" spans="1:38">
      <c r="A677" s="28">
        <f>IF(B677="","",SalePrefix&amp;TEXT(ROW()-4,"0000"))</f>
        <v>0</v>
      </c>
      <c r="E677" s="15">
        <f>IF(D677="","",IFERROR(INDEX(Clients!$B$5:$B$504,MATCH(D677,Clients!$A$5:$A$504,0)),"Walk-in"))</f>
        <v>0</v>
      </c>
      <c r="G677" s="15">
        <f>IF(F677="","",IFERROR(INDEX(Staff!$B$5:$B$44,MATCH(F677,Staff!$A$5:$A$44,0)),"House"))</f>
        <v>0</v>
      </c>
      <c r="R677" s="15">
        <f>IF(B677="","",TEXT(B677,"yyyy-mm"))</f>
        <v>0</v>
      </c>
      <c r="S677" s="25">
        <f>IF(B677="","",WEEKNUM(B677,2))</f>
        <v>0</v>
      </c>
      <c r="T677" s="37">
        <f>IF(B677="","",IF(K677="",1,K677))</f>
        <v>0</v>
      </c>
      <c r="U677" s="15">
        <f>IF(B677="","",IF(J677&lt;&gt;"",J677,IF(H677="Retail",IFERROR(INDEX(Inventory!$B$5:$B$304,MATCH(I677,Inventory!$A$5:$A$304,0))&amp;"","Not in Inventory"),IFERROR(INDEX(Services!$B$5:$B$204,MATCH(I677,Services!$A$5:$A$204,0))&amp;"","Not in Services"))))</f>
        <v>0</v>
      </c>
      <c r="V677" s="26">
        <f>IF(B677="","",IF(L677&lt;&gt;"",L677,IF(H677="Retail",IFERROR(INDEX(Inventory!$I$5:$I$304,MATCH(I677,Inventory!$A$5:$A$304,0))*1,0),IFERROR(INDEX(Services!$G$5:$G$204,MATCH(I677,Services!$A$5:$A$204,0))*1,0))))</f>
        <v>0</v>
      </c>
      <c r="W677" s="26">
        <f>IF(B677="","",ROUND(T677*V677,2))</f>
        <v>0</v>
      </c>
      <c r="X677" s="26">
        <f>IF(B677="","",ROUND(IF(M677="",0,W677*M677)+IF(N677="",0,N677),2))</f>
        <v>0</v>
      </c>
      <c r="Y677" s="26">
        <f>IF(B677="","",ROUND(W677-X677-IF(P677="",0,P677),2))</f>
        <v>0</v>
      </c>
      <c r="Z677" s="26">
        <f>IF(B677="","",IF(H677="Retail",IF(TaxOnRetail="Yes",ROUND(Y677*TaxRate,2),0),IF(H677="Service",IF(TaxOnServices="Yes",ROUND(Y677*TaxRate,2),0),0)))</f>
        <v>0</v>
      </c>
      <c r="AA677" s="26">
        <f>IF(B677="","",ROUND(Y677+Z677,2))</f>
        <v>0</v>
      </c>
      <c r="AB677" s="26">
        <f>IF(B677="","",ROUND(T677*IF(H677="Retail",IFERROR(INDEX(Inventory!$H$5:$H$304,MATCH(I677,Inventory!$A$5:$A$304,0))*1,0),IFERROR(INDEX(Services!$Q$5:$Q$204,MATCH(I677,Services!$A$5:$A$204,0))*1,0)),2))</f>
        <v>0</v>
      </c>
      <c r="AC677" s="26">
        <f>IF(B677="","",ROUND(Y677-AB677,2))</f>
        <v>0</v>
      </c>
      <c r="AD677" s="38">
        <f>IF(B677="","",IF(C677="","No",IF(COUNTIFS($C$5:C677,C677)=1,"Yes","No")))</f>
        <v>0</v>
      </c>
      <c r="AE677" s="26">
        <f>IF(B677="","",ROUND(SUMIFS(Payments!$G$5:$G$1204,Payments!$H$5:$H$1204,A677,Payments!$Q$5:$Q$1204,"Yes"),2))</f>
        <v>0</v>
      </c>
      <c r="AF677" s="26">
        <f>IF(B677="","",IF(AD677="No",0,ROUND(SUMIFS(Payments!$G$5:$G$1204,Payments!$I$5:$I$1204,C677,Payments!$H$5:$H$1204,"",Payments!$Q$5:$Q$1204,"Yes"),2)))</f>
        <v>0</v>
      </c>
      <c r="AG677" s="26">
        <f>IF(B677="","",ROUND(AE677+AF677,2))</f>
        <v>0</v>
      </c>
      <c r="AH677" s="26">
        <f>IF(B677="","",ROUND(AA677-AG677,2))</f>
        <v>0</v>
      </c>
      <c r="AI677" s="39">
        <f>IF(B677="","",IF(AA677&lt;=0,"No charge",IF(AH677&lt;=0.004,"Paid",IF(AG677&lt;=0.004,"Unpaid","Part paid"))))</f>
        <v>0</v>
      </c>
      <c r="AJ677" s="38">
        <f>IF(B677="","",IF(H677&lt;&gt;"Service","",IF(D677="","No",IF(COUNTIFS($D$5:$D$1204,D677,$B$5:$B$1204,B677,$H$5:$H$1204,"Retail")&gt;0,"Yes","No"))))</f>
        <v>0</v>
      </c>
      <c r="AK677" s="25">
        <f>IF(B677="","",COUNTIFS($Y$5:$Y$1204,"&gt;"&amp;Y677)+COUNTIFS($Y$5:Y677,Y677))</f>
        <v>0</v>
      </c>
      <c r="AL677" s="39">
        <f>IF(B677="","",IF(H677="","Add - what kind of sale is this?",IF(IF(V677&lt;=0,P677="",FALSE),"Check - no price found for this item",IF(F677="","Assign - nobody credited",IF(AH677&gt;0.004,"Unpaid - balance outstanding",IF(AC677&lt;0,"Loss - sold below cost",IF(X677&gt;W677*0.5,"Check - more than half off","OK")))))))</f>
        <v>0</v>
      </c>
    </row>
    <row r="678" spans="1:38">
      <c r="A678" s="28">
        <f>IF(B678="","",SalePrefix&amp;TEXT(ROW()-4,"0000"))</f>
        <v>0</v>
      </c>
      <c r="E678" s="15">
        <f>IF(D678="","",IFERROR(INDEX(Clients!$B$5:$B$504,MATCH(D678,Clients!$A$5:$A$504,0)),"Walk-in"))</f>
        <v>0</v>
      </c>
      <c r="G678" s="15">
        <f>IF(F678="","",IFERROR(INDEX(Staff!$B$5:$B$44,MATCH(F678,Staff!$A$5:$A$44,0)),"House"))</f>
        <v>0</v>
      </c>
      <c r="R678" s="15">
        <f>IF(B678="","",TEXT(B678,"yyyy-mm"))</f>
        <v>0</v>
      </c>
      <c r="S678" s="25">
        <f>IF(B678="","",WEEKNUM(B678,2))</f>
        <v>0</v>
      </c>
      <c r="T678" s="37">
        <f>IF(B678="","",IF(K678="",1,K678))</f>
        <v>0</v>
      </c>
      <c r="U678" s="15">
        <f>IF(B678="","",IF(J678&lt;&gt;"",J678,IF(H678="Retail",IFERROR(INDEX(Inventory!$B$5:$B$304,MATCH(I678,Inventory!$A$5:$A$304,0))&amp;"","Not in Inventory"),IFERROR(INDEX(Services!$B$5:$B$204,MATCH(I678,Services!$A$5:$A$204,0))&amp;"","Not in Services"))))</f>
        <v>0</v>
      </c>
      <c r="V678" s="26">
        <f>IF(B678="","",IF(L678&lt;&gt;"",L678,IF(H678="Retail",IFERROR(INDEX(Inventory!$I$5:$I$304,MATCH(I678,Inventory!$A$5:$A$304,0))*1,0),IFERROR(INDEX(Services!$G$5:$G$204,MATCH(I678,Services!$A$5:$A$204,0))*1,0))))</f>
        <v>0</v>
      </c>
      <c r="W678" s="26">
        <f>IF(B678="","",ROUND(T678*V678,2))</f>
        <v>0</v>
      </c>
      <c r="X678" s="26">
        <f>IF(B678="","",ROUND(IF(M678="",0,W678*M678)+IF(N678="",0,N678),2))</f>
        <v>0</v>
      </c>
      <c r="Y678" s="26">
        <f>IF(B678="","",ROUND(W678-X678-IF(P678="",0,P678),2))</f>
        <v>0</v>
      </c>
      <c r="Z678" s="26">
        <f>IF(B678="","",IF(H678="Retail",IF(TaxOnRetail="Yes",ROUND(Y678*TaxRate,2),0),IF(H678="Service",IF(TaxOnServices="Yes",ROUND(Y678*TaxRate,2),0),0)))</f>
        <v>0</v>
      </c>
      <c r="AA678" s="26">
        <f>IF(B678="","",ROUND(Y678+Z678,2))</f>
        <v>0</v>
      </c>
      <c r="AB678" s="26">
        <f>IF(B678="","",ROUND(T678*IF(H678="Retail",IFERROR(INDEX(Inventory!$H$5:$H$304,MATCH(I678,Inventory!$A$5:$A$304,0))*1,0),IFERROR(INDEX(Services!$Q$5:$Q$204,MATCH(I678,Services!$A$5:$A$204,0))*1,0)),2))</f>
        <v>0</v>
      </c>
      <c r="AC678" s="26">
        <f>IF(B678="","",ROUND(Y678-AB678,2))</f>
        <v>0</v>
      </c>
      <c r="AD678" s="38">
        <f>IF(B678="","",IF(C678="","No",IF(COUNTIFS($C$5:C678,C678)=1,"Yes","No")))</f>
        <v>0</v>
      </c>
      <c r="AE678" s="26">
        <f>IF(B678="","",ROUND(SUMIFS(Payments!$G$5:$G$1204,Payments!$H$5:$H$1204,A678,Payments!$Q$5:$Q$1204,"Yes"),2))</f>
        <v>0</v>
      </c>
      <c r="AF678" s="26">
        <f>IF(B678="","",IF(AD678="No",0,ROUND(SUMIFS(Payments!$G$5:$G$1204,Payments!$I$5:$I$1204,C678,Payments!$H$5:$H$1204,"",Payments!$Q$5:$Q$1204,"Yes"),2)))</f>
        <v>0</v>
      </c>
      <c r="AG678" s="26">
        <f>IF(B678="","",ROUND(AE678+AF678,2))</f>
        <v>0</v>
      </c>
      <c r="AH678" s="26">
        <f>IF(B678="","",ROUND(AA678-AG678,2))</f>
        <v>0</v>
      </c>
      <c r="AI678" s="39">
        <f>IF(B678="","",IF(AA678&lt;=0,"No charge",IF(AH678&lt;=0.004,"Paid",IF(AG678&lt;=0.004,"Unpaid","Part paid"))))</f>
        <v>0</v>
      </c>
      <c r="AJ678" s="38">
        <f>IF(B678="","",IF(H678&lt;&gt;"Service","",IF(D678="","No",IF(COUNTIFS($D$5:$D$1204,D678,$B$5:$B$1204,B678,$H$5:$H$1204,"Retail")&gt;0,"Yes","No"))))</f>
        <v>0</v>
      </c>
      <c r="AK678" s="25">
        <f>IF(B678="","",COUNTIFS($Y$5:$Y$1204,"&gt;"&amp;Y678)+COUNTIFS($Y$5:Y678,Y678))</f>
        <v>0</v>
      </c>
      <c r="AL678" s="39">
        <f>IF(B678="","",IF(H678="","Add - what kind of sale is this?",IF(IF(V678&lt;=0,P678="",FALSE),"Check - no price found for this item",IF(F678="","Assign - nobody credited",IF(AH678&gt;0.004,"Unpaid - balance outstanding",IF(AC678&lt;0,"Loss - sold below cost",IF(X678&gt;W678*0.5,"Check - more than half off","OK")))))))</f>
        <v>0</v>
      </c>
    </row>
    <row r="679" spans="1:38">
      <c r="A679" s="28">
        <f>IF(B679="","",SalePrefix&amp;TEXT(ROW()-4,"0000"))</f>
        <v>0</v>
      </c>
      <c r="E679" s="15">
        <f>IF(D679="","",IFERROR(INDEX(Clients!$B$5:$B$504,MATCH(D679,Clients!$A$5:$A$504,0)),"Walk-in"))</f>
        <v>0</v>
      </c>
      <c r="G679" s="15">
        <f>IF(F679="","",IFERROR(INDEX(Staff!$B$5:$B$44,MATCH(F679,Staff!$A$5:$A$44,0)),"House"))</f>
        <v>0</v>
      </c>
      <c r="R679" s="15">
        <f>IF(B679="","",TEXT(B679,"yyyy-mm"))</f>
        <v>0</v>
      </c>
      <c r="S679" s="25">
        <f>IF(B679="","",WEEKNUM(B679,2))</f>
        <v>0</v>
      </c>
      <c r="T679" s="37">
        <f>IF(B679="","",IF(K679="",1,K679))</f>
        <v>0</v>
      </c>
      <c r="U679" s="15">
        <f>IF(B679="","",IF(J679&lt;&gt;"",J679,IF(H679="Retail",IFERROR(INDEX(Inventory!$B$5:$B$304,MATCH(I679,Inventory!$A$5:$A$304,0))&amp;"","Not in Inventory"),IFERROR(INDEX(Services!$B$5:$B$204,MATCH(I679,Services!$A$5:$A$204,0))&amp;"","Not in Services"))))</f>
        <v>0</v>
      </c>
      <c r="V679" s="26">
        <f>IF(B679="","",IF(L679&lt;&gt;"",L679,IF(H679="Retail",IFERROR(INDEX(Inventory!$I$5:$I$304,MATCH(I679,Inventory!$A$5:$A$304,0))*1,0),IFERROR(INDEX(Services!$G$5:$G$204,MATCH(I679,Services!$A$5:$A$204,0))*1,0))))</f>
        <v>0</v>
      </c>
      <c r="W679" s="26">
        <f>IF(B679="","",ROUND(T679*V679,2))</f>
        <v>0</v>
      </c>
      <c r="X679" s="26">
        <f>IF(B679="","",ROUND(IF(M679="",0,W679*M679)+IF(N679="",0,N679),2))</f>
        <v>0</v>
      </c>
      <c r="Y679" s="26">
        <f>IF(B679="","",ROUND(W679-X679-IF(P679="",0,P679),2))</f>
        <v>0</v>
      </c>
      <c r="Z679" s="26">
        <f>IF(B679="","",IF(H679="Retail",IF(TaxOnRetail="Yes",ROUND(Y679*TaxRate,2),0),IF(H679="Service",IF(TaxOnServices="Yes",ROUND(Y679*TaxRate,2),0),0)))</f>
        <v>0</v>
      </c>
      <c r="AA679" s="26">
        <f>IF(B679="","",ROUND(Y679+Z679,2))</f>
        <v>0</v>
      </c>
      <c r="AB679" s="26">
        <f>IF(B679="","",ROUND(T679*IF(H679="Retail",IFERROR(INDEX(Inventory!$H$5:$H$304,MATCH(I679,Inventory!$A$5:$A$304,0))*1,0),IFERROR(INDEX(Services!$Q$5:$Q$204,MATCH(I679,Services!$A$5:$A$204,0))*1,0)),2))</f>
        <v>0</v>
      </c>
      <c r="AC679" s="26">
        <f>IF(B679="","",ROUND(Y679-AB679,2))</f>
        <v>0</v>
      </c>
      <c r="AD679" s="38">
        <f>IF(B679="","",IF(C679="","No",IF(COUNTIFS($C$5:C679,C679)=1,"Yes","No")))</f>
        <v>0</v>
      </c>
      <c r="AE679" s="26">
        <f>IF(B679="","",ROUND(SUMIFS(Payments!$G$5:$G$1204,Payments!$H$5:$H$1204,A679,Payments!$Q$5:$Q$1204,"Yes"),2))</f>
        <v>0</v>
      </c>
      <c r="AF679" s="26">
        <f>IF(B679="","",IF(AD679="No",0,ROUND(SUMIFS(Payments!$G$5:$G$1204,Payments!$I$5:$I$1204,C679,Payments!$H$5:$H$1204,"",Payments!$Q$5:$Q$1204,"Yes"),2)))</f>
        <v>0</v>
      </c>
      <c r="AG679" s="26">
        <f>IF(B679="","",ROUND(AE679+AF679,2))</f>
        <v>0</v>
      </c>
      <c r="AH679" s="26">
        <f>IF(B679="","",ROUND(AA679-AG679,2))</f>
        <v>0</v>
      </c>
      <c r="AI679" s="39">
        <f>IF(B679="","",IF(AA679&lt;=0,"No charge",IF(AH679&lt;=0.004,"Paid",IF(AG679&lt;=0.004,"Unpaid","Part paid"))))</f>
        <v>0</v>
      </c>
      <c r="AJ679" s="38">
        <f>IF(B679="","",IF(H679&lt;&gt;"Service","",IF(D679="","No",IF(COUNTIFS($D$5:$D$1204,D679,$B$5:$B$1204,B679,$H$5:$H$1204,"Retail")&gt;0,"Yes","No"))))</f>
        <v>0</v>
      </c>
      <c r="AK679" s="25">
        <f>IF(B679="","",COUNTIFS($Y$5:$Y$1204,"&gt;"&amp;Y679)+COUNTIFS($Y$5:Y679,Y679))</f>
        <v>0</v>
      </c>
      <c r="AL679" s="39">
        <f>IF(B679="","",IF(H679="","Add - what kind of sale is this?",IF(IF(V679&lt;=0,P679="",FALSE),"Check - no price found for this item",IF(F679="","Assign - nobody credited",IF(AH679&gt;0.004,"Unpaid - balance outstanding",IF(AC679&lt;0,"Loss - sold below cost",IF(X679&gt;W679*0.5,"Check - more than half off","OK")))))))</f>
        <v>0</v>
      </c>
    </row>
    <row r="680" spans="1:38">
      <c r="A680" s="28">
        <f>IF(B680="","",SalePrefix&amp;TEXT(ROW()-4,"0000"))</f>
        <v>0</v>
      </c>
      <c r="E680" s="15">
        <f>IF(D680="","",IFERROR(INDEX(Clients!$B$5:$B$504,MATCH(D680,Clients!$A$5:$A$504,0)),"Walk-in"))</f>
        <v>0</v>
      </c>
      <c r="G680" s="15">
        <f>IF(F680="","",IFERROR(INDEX(Staff!$B$5:$B$44,MATCH(F680,Staff!$A$5:$A$44,0)),"House"))</f>
        <v>0</v>
      </c>
      <c r="R680" s="15">
        <f>IF(B680="","",TEXT(B680,"yyyy-mm"))</f>
        <v>0</v>
      </c>
      <c r="S680" s="25">
        <f>IF(B680="","",WEEKNUM(B680,2))</f>
        <v>0</v>
      </c>
      <c r="T680" s="37">
        <f>IF(B680="","",IF(K680="",1,K680))</f>
        <v>0</v>
      </c>
      <c r="U680" s="15">
        <f>IF(B680="","",IF(J680&lt;&gt;"",J680,IF(H680="Retail",IFERROR(INDEX(Inventory!$B$5:$B$304,MATCH(I680,Inventory!$A$5:$A$304,0))&amp;"","Not in Inventory"),IFERROR(INDEX(Services!$B$5:$B$204,MATCH(I680,Services!$A$5:$A$204,0))&amp;"","Not in Services"))))</f>
        <v>0</v>
      </c>
      <c r="V680" s="26">
        <f>IF(B680="","",IF(L680&lt;&gt;"",L680,IF(H680="Retail",IFERROR(INDEX(Inventory!$I$5:$I$304,MATCH(I680,Inventory!$A$5:$A$304,0))*1,0),IFERROR(INDEX(Services!$G$5:$G$204,MATCH(I680,Services!$A$5:$A$204,0))*1,0))))</f>
        <v>0</v>
      </c>
      <c r="W680" s="26">
        <f>IF(B680="","",ROUND(T680*V680,2))</f>
        <v>0</v>
      </c>
      <c r="X680" s="26">
        <f>IF(B680="","",ROUND(IF(M680="",0,W680*M680)+IF(N680="",0,N680),2))</f>
        <v>0</v>
      </c>
      <c r="Y680" s="26">
        <f>IF(B680="","",ROUND(W680-X680-IF(P680="",0,P680),2))</f>
        <v>0</v>
      </c>
      <c r="Z680" s="26">
        <f>IF(B680="","",IF(H680="Retail",IF(TaxOnRetail="Yes",ROUND(Y680*TaxRate,2),0),IF(H680="Service",IF(TaxOnServices="Yes",ROUND(Y680*TaxRate,2),0),0)))</f>
        <v>0</v>
      </c>
      <c r="AA680" s="26">
        <f>IF(B680="","",ROUND(Y680+Z680,2))</f>
        <v>0</v>
      </c>
      <c r="AB680" s="26">
        <f>IF(B680="","",ROUND(T680*IF(H680="Retail",IFERROR(INDEX(Inventory!$H$5:$H$304,MATCH(I680,Inventory!$A$5:$A$304,0))*1,0),IFERROR(INDEX(Services!$Q$5:$Q$204,MATCH(I680,Services!$A$5:$A$204,0))*1,0)),2))</f>
        <v>0</v>
      </c>
      <c r="AC680" s="26">
        <f>IF(B680="","",ROUND(Y680-AB680,2))</f>
        <v>0</v>
      </c>
      <c r="AD680" s="38">
        <f>IF(B680="","",IF(C680="","No",IF(COUNTIFS($C$5:C680,C680)=1,"Yes","No")))</f>
        <v>0</v>
      </c>
      <c r="AE680" s="26">
        <f>IF(B680="","",ROUND(SUMIFS(Payments!$G$5:$G$1204,Payments!$H$5:$H$1204,A680,Payments!$Q$5:$Q$1204,"Yes"),2))</f>
        <v>0</v>
      </c>
      <c r="AF680" s="26">
        <f>IF(B680="","",IF(AD680="No",0,ROUND(SUMIFS(Payments!$G$5:$G$1204,Payments!$I$5:$I$1204,C680,Payments!$H$5:$H$1204,"",Payments!$Q$5:$Q$1204,"Yes"),2)))</f>
        <v>0</v>
      </c>
      <c r="AG680" s="26">
        <f>IF(B680="","",ROUND(AE680+AF680,2))</f>
        <v>0</v>
      </c>
      <c r="AH680" s="26">
        <f>IF(B680="","",ROUND(AA680-AG680,2))</f>
        <v>0</v>
      </c>
      <c r="AI680" s="39">
        <f>IF(B680="","",IF(AA680&lt;=0,"No charge",IF(AH680&lt;=0.004,"Paid",IF(AG680&lt;=0.004,"Unpaid","Part paid"))))</f>
        <v>0</v>
      </c>
      <c r="AJ680" s="38">
        <f>IF(B680="","",IF(H680&lt;&gt;"Service","",IF(D680="","No",IF(COUNTIFS($D$5:$D$1204,D680,$B$5:$B$1204,B680,$H$5:$H$1204,"Retail")&gt;0,"Yes","No"))))</f>
        <v>0</v>
      </c>
      <c r="AK680" s="25">
        <f>IF(B680="","",COUNTIFS($Y$5:$Y$1204,"&gt;"&amp;Y680)+COUNTIFS($Y$5:Y680,Y680))</f>
        <v>0</v>
      </c>
      <c r="AL680" s="39">
        <f>IF(B680="","",IF(H680="","Add - what kind of sale is this?",IF(IF(V680&lt;=0,P680="",FALSE),"Check - no price found for this item",IF(F680="","Assign - nobody credited",IF(AH680&gt;0.004,"Unpaid - balance outstanding",IF(AC680&lt;0,"Loss - sold below cost",IF(X680&gt;W680*0.5,"Check - more than half off","OK")))))))</f>
        <v>0</v>
      </c>
    </row>
    <row r="681" spans="1:38">
      <c r="A681" s="28">
        <f>IF(B681="","",SalePrefix&amp;TEXT(ROW()-4,"0000"))</f>
        <v>0</v>
      </c>
      <c r="E681" s="15">
        <f>IF(D681="","",IFERROR(INDEX(Clients!$B$5:$B$504,MATCH(D681,Clients!$A$5:$A$504,0)),"Walk-in"))</f>
        <v>0</v>
      </c>
      <c r="G681" s="15">
        <f>IF(F681="","",IFERROR(INDEX(Staff!$B$5:$B$44,MATCH(F681,Staff!$A$5:$A$44,0)),"House"))</f>
        <v>0</v>
      </c>
      <c r="R681" s="15">
        <f>IF(B681="","",TEXT(B681,"yyyy-mm"))</f>
        <v>0</v>
      </c>
      <c r="S681" s="25">
        <f>IF(B681="","",WEEKNUM(B681,2))</f>
        <v>0</v>
      </c>
      <c r="T681" s="37">
        <f>IF(B681="","",IF(K681="",1,K681))</f>
        <v>0</v>
      </c>
      <c r="U681" s="15">
        <f>IF(B681="","",IF(J681&lt;&gt;"",J681,IF(H681="Retail",IFERROR(INDEX(Inventory!$B$5:$B$304,MATCH(I681,Inventory!$A$5:$A$304,0))&amp;"","Not in Inventory"),IFERROR(INDEX(Services!$B$5:$B$204,MATCH(I681,Services!$A$5:$A$204,0))&amp;"","Not in Services"))))</f>
        <v>0</v>
      </c>
      <c r="V681" s="26">
        <f>IF(B681="","",IF(L681&lt;&gt;"",L681,IF(H681="Retail",IFERROR(INDEX(Inventory!$I$5:$I$304,MATCH(I681,Inventory!$A$5:$A$304,0))*1,0),IFERROR(INDEX(Services!$G$5:$G$204,MATCH(I681,Services!$A$5:$A$204,0))*1,0))))</f>
        <v>0</v>
      </c>
      <c r="W681" s="26">
        <f>IF(B681="","",ROUND(T681*V681,2))</f>
        <v>0</v>
      </c>
      <c r="X681" s="26">
        <f>IF(B681="","",ROUND(IF(M681="",0,W681*M681)+IF(N681="",0,N681),2))</f>
        <v>0</v>
      </c>
      <c r="Y681" s="26">
        <f>IF(B681="","",ROUND(W681-X681-IF(P681="",0,P681),2))</f>
        <v>0</v>
      </c>
      <c r="Z681" s="26">
        <f>IF(B681="","",IF(H681="Retail",IF(TaxOnRetail="Yes",ROUND(Y681*TaxRate,2),0),IF(H681="Service",IF(TaxOnServices="Yes",ROUND(Y681*TaxRate,2),0),0)))</f>
        <v>0</v>
      </c>
      <c r="AA681" s="26">
        <f>IF(B681="","",ROUND(Y681+Z681,2))</f>
        <v>0</v>
      </c>
      <c r="AB681" s="26">
        <f>IF(B681="","",ROUND(T681*IF(H681="Retail",IFERROR(INDEX(Inventory!$H$5:$H$304,MATCH(I681,Inventory!$A$5:$A$304,0))*1,0),IFERROR(INDEX(Services!$Q$5:$Q$204,MATCH(I681,Services!$A$5:$A$204,0))*1,0)),2))</f>
        <v>0</v>
      </c>
      <c r="AC681" s="26">
        <f>IF(B681="","",ROUND(Y681-AB681,2))</f>
        <v>0</v>
      </c>
      <c r="AD681" s="38">
        <f>IF(B681="","",IF(C681="","No",IF(COUNTIFS($C$5:C681,C681)=1,"Yes","No")))</f>
        <v>0</v>
      </c>
      <c r="AE681" s="26">
        <f>IF(B681="","",ROUND(SUMIFS(Payments!$G$5:$G$1204,Payments!$H$5:$H$1204,A681,Payments!$Q$5:$Q$1204,"Yes"),2))</f>
        <v>0</v>
      </c>
      <c r="AF681" s="26">
        <f>IF(B681="","",IF(AD681="No",0,ROUND(SUMIFS(Payments!$G$5:$G$1204,Payments!$I$5:$I$1204,C681,Payments!$H$5:$H$1204,"",Payments!$Q$5:$Q$1204,"Yes"),2)))</f>
        <v>0</v>
      </c>
      <c r="AG681" s="26">
        <f>IF(B681="","",ROUND(AE681+AF681,2))</f>
        <v>0</v>
      </c>
      <c r="AH681" s="26">
        <f>IF(B681="","",ROUND(AA681-AG681,2))</f>
        <v>0</v>
      </c>
      <c r="AI681" s="39">
        <f>IF(B681="","",IF(AA681&lt;=0,"No charge",IF(AH681&lt;=0.004,"Paid",IF(AG681&lt;=0.004,"Unpaid","Part paid"))))</f>
        <v>0</v>
      </c>
      <c r="AJ681" s="38">
        <f>IF(B681="","",IF(H681&lt;&gt;"Service","",IF(D681="","No",IF(COUNTIFS($D$5:$D$1204,D681,$B$5:$B$1204,B681,$H$5:$H$1204,"Retail")&gt;0,"Yes","No"))))</f>
        <v>0</v>
      </c>
      <c r="AK681" s="25">
        <f>IF(B681="","",COUNTIFS($Y$5:$Y$1204,"&gt;"&amp;Y681)+COUNTIFS($Y$5:Y681,Y681))</f>
        <v>0</v>
      </c>
      <c r="AL681" s="39">
        <f>IF(B681="","",IF(H681="","Add - what kind of sale is this?",IF(IF(V681&lt;=0,P681="",FALSE),"Check - no price found for this item",IF(F681="","Assign - nobody credited",IF(AH681&gt;0.004,"Unpaid - balance outstanding",IF(AC681&lt;0,"Loss - sold below cost",IF(X681&gt;W681*0.5,"Check - more than half off","OK")))))))</f>
        <v>0</v>
      </c>
    </row>
    <row r="682" spans="1:38">
      <c r="A682" s="28">
        <f>IF(B682="","",SalePrefix&amp;TEXT(ROW()-4,"0000"))</f>
        <v>0</v>
      </c>
      <c r="E682" s="15">
        <f>IF(D682="","",IFERROR(INDEX(Clients!$B$5:$B$504,MATCH(D682,Clients!$A$5:$A$504,0)),"Walk-in"))</f>
        <v>0</v>
      </c>
      <c r="G682" s="15">
        <f>IF(F682="","",IFERROR(INDEX(Staff!$B$5:$B$44,MATCH(F682,Staff!$A$5:$A$44,0)),"House"))</f>
        <v>0</v>
      </c>
      <c r="R682" s="15">
        <f>IF(B682="","",TEXT(B682,"yyyy-mm"))</f>
        <v>0</v>
      </c>
      <c r="S682" s="25">
        <f>IF(B682="","",WEEKNUM(B682,2))</f>
        <v>0</v>
      </c>
      <c r="T682" s="37">
        <f>IF(B682="","",IF(K682="",1,K682))</f>
        <v>0</v>
      </c>
      <c r="U682" s="15">
        <f>IF(B682="","",IF(J682&lt;&gt;"",J682,IF(H682="Retail",IFERROR(INDEX(Inventory!$B$5:$B$304,MATCH(I682,Inventory!$A$5:$A$304,0))&amp;"","Not in Inventory"),IFERROR(INDEX(Services!$B$5:$B$204,MATCH(I682,Services!$A$5:$A$204,0))&amp;"","Not in Services"))))</f>
        <v>0</v>
      </c>
      <c r="V682" s="26">
        <f>IF(B682="","",IF(L682&lt;&gt;"",L682,IF(H682="Retail",IFERROR(INDEX(Inventory!$I$5:$I$304,MATCH(I682,Inventory!$A$5:$A$304,0))*1,0),IFERROR(INDEX(Services!$G$5:$G$204,MATCH(I682,Services!$A$5:$A$204,0))*1,0))))</f>
        <v>0</v>
      </c>
      <c r="W682" s="26">
        <f>IF(B682="","",ROUND(T682*V682,2))</f>
        <v>0</v>
      </c>
      <c r="X682" s="26">
        <f>IF(B682="","",ROUND(IF(M682="",0,W682*M682)+IF(N682="",0,N682),2))</f>
        <v>0</v>
      </c>
      <c r="Y682" s="26">
        <f>IF(B682="","",ROUND(W682-X682-IF(P682="",0,P682),2))</f>
        <v>0</v>
      </c>
      <c r="Z682" s="26">
        <f>IF(B682="","",IF(H682="Retail",IF(TaxOnRetail="Yes",ROUND(Y682*TaxRate,2),0),IF(H682="Service",IF(TaxOnServices="Yes",ROUND(Y682*TaxRate,2),0),0)))</f>
        <v>0</v>
      </c>
      <c r="AA682" s="26">
        <f>IF(B682="","",ROUND(Y682+Z682,2))</f>
        <v>0</v>
      </c>
      <c r="AB682" s="26">
        <f>IF(B682="","",ROUND(T682*IF(H682="Retail",IFERROR(INDEX(Inventory!$H$5:$H$304,MATCH(I682,Inventory!$A$5:$A$304,0))*1,0),IFERROR(INDEX(Services!$Q$5:$Q$204,MATCH(I682,Services!$A$5:$A$204,0))*1,0)),2))</f>
        <v>0</v>
      </c>
      <c r="AC682" s="26">
        <f>IF(B682="","",ROUND(Y682-AB682,2))</f>
        <v>0</v>
      </c>
      <c r="AD682" s="38">
        <f>IF(B682="","",IF(C682="","No",IF(COUNTIFS($C$5:C682,C682)=1,"Yes","No")))</f>
        <v>0</v>
      </c>
      <c r="AE682" s="26">
        <f>IF(B682="","",ROUND(SUMIFS(Payments!$G$5:$G$1204,Payments!$H$5:$H$1204,A682,Payments!$Q$5:$Q$1204,"Yes"),2))</f>
        <v>0</v>
      </c>
      <c r="AF682" s="26">
        <f>IF(B682="","",IF(AD682="No",0,ROUND(SUMIFS(Payments!$G$5:$G$1204,Payments!$I$5:$I$1204,C682,Payments!$H$5:$H$1204,"",Payments!$Q$5:$Q$1204,"Yes"),2)))</f>
        <v>0</v>
      </c>
      <c r="AG682" s="26">
        <f>IF(B682="","",ROUND(AE682+AF682,2))</f>
        <v>0</v>
      </c>
      <c r="AH682" s="26">
        <f>IF(B682="","",ROUND(AA682-AG682,2))</f>
        <v>0</v>
      </c>
      <c r="AI682" s="39">
        <f>IF(B682="","",IF(AA682&lt;=0,"No charge",IF(AH682&lt;=0.004,"Paid",IF(AG682&lt;=0.004,"Unpaid","Part paid"))))</f>
        <v>0</v>
      </c>
      <c r="AJ682" s="38">
        <f>IF(B682="","",IF(H682&lt;&gt;"Service","",IF(D682="","No",IF(COUNTIFS($D$5:$D$1204,D682,$B$5:$B$1204,B682,$H$5:$H$1204,"Retail")&gt;0,"Yes","No"))))</f>
        <v>0</v>
      </c>
      <c r="AK682" s="25">
        <f>IF(B682="","",COUNTIFS($Y$5:$Y$1204,"&gt;"&amp;Y682)+COUNTIFS($Y$5:Y682,Y682))</f>
        <v>0</v>
      </c>
      <c r="AL682" s="39">
        <f>IF(B682="","",IF(H682="","Add - what kind of sale is this?",IF(IF(V682&lt;=0,P682="",FALSE),"Check - no price found for this item",IF(F682="","Assign - nobody credited",IF(AH682&gt;0.004,"Unpaid - balance outstanding",IF(AC682&lt;0,"Loss - sold below cost",IF(X682&gt;W682*0.5,"Check - more than half off","OK")))))))</f>
        <v>0</v>
      </c>
    </row>
    <row r="683" spans="1:38">
      <c r="A683" s="28">
        <f>IF(B683="","",SalePrefix&amp;TEXT(ROW()-4,"0000"))</f>
        <v>0</v>
      </c>
      <c r="E683" s="15">
        <f>IF(D683="","",IFERROR(INDEX(Clients!$B$5:$B$504,MATCH(D683,Clients!$A$5:$A$504,0)),"Walk-in"))</f>
        <v>0</v>
      </c>
      <c r="G683" s="15">
        <f>IF(F683="","",IFERROR(INDEX(Staff!$B$5:$B$44,MATCH(F683,Staff!$A$5:$A$44,0)),"House"))</f>
        <v>0</v>
      </c>
      <c r="R683" s="15">
        <f>IF(B683="","",TEXT(B683,"yyyy-mm"))</f>
        <v>0</v>
      </c>
      <c r="S683" s="25">
        <f>IF(B683="","",WEEKNUM(B683,2))</f>
        <v>0</v>
      </c>
      <c r="T683" s="37">
        <f>IF(B683="","",IF(K683="",1,K683))</f>
        <v>0</v>
      </c>
      <c r="U683" s="15">
        <f>IF(B683="","",IF(J683&lt;&gt;"",J683,IF(H683="Retail",IFERROR(INDEX(Inventory!$B$5:$B$304,MATCH(I683,Inventory!$A$5:$A$304,0))&amp;"","Not in Inventory"),IFERROR(INDEX(Services!$B$5:$B$204,MATCH(I683,Services!$A$5:$A$204,0))&amp;"","Not in Services"))))</f>
        <v>0</v>
      </c>
      <c r="V683" s="26">
        <f>IF(B683="","",IF(L683&lt;&gt;"",L683,IF(H683="Retail",IFERROR(INDEX(Inventory!$I$5:$I$304,MATCH(I683,Inventory!$A$5:$A$304,0))*1,0),IFERROR(INDEX(Services!$G$5:$G$204,MATCH(I683,Services!$A$5:$A$204,0))*1,0))))</f>
        <v>0</v>
      </c>
      <c r="W683" s="26">
        <f>IF(B683="","",ROUND(T683*V683,2))</f>
        <v>0</v>
      </c>
      <c r="X683" s="26">
        <f>IF(B683="","",ROUND(IF(M683="",0,W683*M683)+IF(N683="",0,N683),2))</f>
        <v>0</v>
      </c>
      <c r="Y683" s="26">
        <f>IF(B683="","",ROUND(W683-X683-IF(P683="",0,P683),2))</f>
        <v>0</v>
      </c>
      <c r="Z683" s="26">
        <f>IF(B683="","",IF(H683="Retail",IF(TaxOnRetail="Yes",ROUND(Y683*TaxRate,2),0),IF(H683="Service",IF(TaxOnServices="Yes",ROUND(Y683*TaxRate,2),0),0)))</f>
        <v>0</v>
      </c>
      <c r="AA683" s="26">
        <f>IF(B683="","",ROUND(Y683+Z683,2))</f>
        <v>0</v>
      </c>
      <c r="AB683" s="26">
        <f>IF(B683="","",ROUND(T683*IF(H683="Retail",IFERROR(INDEX(Inventory!$H$5:$H$304,MATCH(I683,Inventory!$A$5:$A$304,0))*1,0),IFERROR(INDEX(Services!$Q$5:$Q$204,MATCH(I683,Services!$A$5:$A$204,0))*1,0)),2))</f>
        <v>0</v>
      </c>
      <c r="AC683" s="26">
        <f>IF(B683="","",ROUND(Y683-AB683,2))</f>
        <v>0</v>
      </c>
      <c r="AD683" s="38">
        <f>IF(B683="","",IF(C683="","No",IF(COUNTIFS($C$5:C683,C683)=1,"Yes","No")))</f>
        <v>0</v>
      </c>
      <c r="AE683" s="26">
        <f>IF(B683="","",ROUND(SUMIFS(Payments!$G$5:$G$1204,Payments!$H$5:$H$1204,A683,Payments!$Q$5:$Q$1204,"Yes"),2))</f>
        <v>0</v>
      </c>
      <c r="AF683" s="26">
        <f>IF(B683="","",IF(AD683="No",0,ROUND(SUMIFS(Payments!$G$5:$G$1204,Payments!$I$5:$I$1204,C683,Payments!$H$5:$H$1204,"",Payments!$Q$5:$Q$1204,"Yes"),2)))</f>
        <v>0</v>
      </c>
      <c r="AG683" s="26">
        <f>IF(B683="","",ROUND(AE683+AF683,2))</f>
        <v>0</v>
      </c>
      <c r="AH683" s="26">
        <f>IF(B683="","",ROUND(AA683-AG683,2))</f>
        <v>0</v>
      </c>
      <c r="AI683" s="39">
        <f>IF(B683="","",IF(AA683&lt;=0,"No charge",IF(AH683&lt;=0.004,"Paid",IF(AG683&lt;=0.004,"Unpaid","Part paid"))))</f>
        <v>0</v>
      </c>
      <c r="AJ683" s="38">
        <f>IF(B683="","",IF(H683&lt;&gt;"Service","",IF(D683="","No",IF(COUNTIFS($D$5:$D$1204,D683,$B$5:$B$1204,B683,$H$5:$H$1204,"Retail")&gt;0,"Yes","No"))))</f>
        <v>0</v>
      </c>
      <c r="AK683" s="25">
        <f>IF(B683="","",COUNTIFS($Y$5:$Y$1204,"&gt;"&amp;Y683)+COUNTIFS($Y$5:Y683,Y683))</f>
        <v>0</v>
      </c>
      <c r="AL683" s="39">
        <f>IF(B683="","",IF(H683="","Add - what kind of sale is this?",IF(IF(V683&lt;=0,P683="",FALSE),"Check - no price found for this item",IF(F683="","Assign - nobody credited",IF(AH683&gt;0.004,"Unpaid - balance outstanding",IF(AC683&lt;0,"Loss - sold below cost",IF(X683&gt;W683*0.5,"Check - more than half off","OK")))))))</f>
        <v>0</v>
      </c>
    </row>
    <row r="684" spans="1:38">
      <c r="A684" s="28">
        <f>IF(B684="","",SalePrefix&amp;TEXT(ROW()-4,"0000"))</f>
        <v>0</v>
      </c>
      <c r="E684" s="15">
        <f>IF(D684="","",IFERROR(INDEX(Clients!$B$5:$B$504,MATCH(D684,Clients!$A$5:$A$504,0)),"Walk-in"))</f>
        <v>0</v>
      </c>
      <c r="G684" s="15">
        <f>IF(F684="","",IFERROR(INDEX(Staff!$B$5:$B$44,MATCH(F684,Staff!$A$5:$A$44,0)),"House"))</f>
        <v>0</v>
      </c>
      <c r="R684" s="15">
        <f>IF(B684="","",TEXT(B684,"yyyy-mm"))</f>
        <v>0</v>
      </c>
      <c r="S684" s="25">
        <f>IF(B684="","",WEEKNUM(B684,2))</f>
        <v>0</v>
      </c>
      <c r="T684" s="37">
        <f>IF(B684="","",IF(K684="",1,K684))</f>
        <v>0</v>
      </c>
      <c r="U684" s="15">
        <f>IF(B684="","",IF(J684&lt;&gt;"",J684,IF(H684="Retail",IFERROR(INDEX(Inventory!$B$5:$B$304,MATCH(I684,Inventory!$A$5:$A$304,0))&amp;"","Not in Inventory"),IFERROR(INDEX(Services!$B$5:$B$204,MATCH(I684,Services!$A$5:$A$204,0))&amp;"","Not in Services"))))</f>
        <v>0</v>
      </c>
      <c r="V684" s="26">
        <f>IF(B684="","",IF(L684&lt;&gt;"",L684,IF(H684="Retail",IFERROR(INDEX(Inventory!$I$5:$I$304,MATCH(I684,Inventory!$A$5:$A$304,0))*1,0),IFERROR(INDEX(Services!$G$5:$G$204,MATCH(I684,Services!$A$5:$A$204,0))*1,0))))</f>
        <v>0</v>
      </c>
      <c r="W684" s="26">
        <f>IF(B684="","",ROUND(T684*V684,2))</f>
        <v>0</v>
      </c>
      <c r="X684" s="26">
        <f>IF(B684="","",ROUND(IF(M684="",0,W684*M684)+IF(N684="",0,N684),2))</f>
        <v>0</v>
      </c>
      <c r="Y684" s="26">
        <f>IF(B684="","",ROUND(W684-X684-IF(P684="",0,P684),2))</f>
        <v>0</v>
      </c>
      <c r="Z684" s="26">
        <f>IF(B684="","",IF(H684="Retail",IF(TaxOnRetail="Yes",ROUND(Y684*TaxRate,2),0),IF(H684="Service",IF(TaxOnServices="Yes",ROUND(Y684*TaxRate,2),0),0)))</f>
        <v>0</v>
      </c>
      <c r="AA684" s="26">
        <f>IF(B684="","",ROUND(Y684+Z684,2))</f>
        <v>0</v>
      </c>
      <c r="AB684" s="26">
        <f>IF(B684="","",ROUND(T684*IF(H684="Retail",IFERROR(INDEX(Inventory!$H$5:$H$304,MATCH(I684,Inventory!$A$5:$A$304,0))*1,0),IFERROR(INDEX(Services!$Q$5:$Q$204,MATCH(I684,Services!$A$5:$A$204,0))*1,0)),2))</f>
        <v>0</v>
      </c>
      <c r="AC684" s="26">
        <f>IF(B684="","",ROUND(Y684-AB684,2))</f>
        <v>0</v>
      </c>
      <c r="AD684" s="38">
        <f>IF(B684="","",IF(C684="","No",IF(COUNTIFS($C$5:C684,C684)=1,"Yes","No")))</f>
        <v>0</v>
      </c>
      <c r="AE684" s="26">
        <f>IF(B684="","",ROUND(SUMIFS(Payments!$G$5:$G$1204,Payments!$H$5:$H$1204,A684,Payments!$Q$5:$Q$1204,"Yes"),2))</f>
        <v>0</v>
      </c>
      <c r="AF684" s="26">
        <f>IF(B684="","",IF(AD684="No",0,ROUND(SUMIFS(Payments!$G$5:$G$1204,Payments!$I$5:$I$1204,C684,Payments!$H$5:$H$1204,"",Payments!$Q$5:$Q$1204,"Yes"),2)))</f>
        <v>0</v>
      </c>
      <c r="AG684" s="26">
        <f>IF(B684="","",ROUND(AE684+AF684,2))</f>
        <v>0</v>
      </c>
      <c r="AH684" s="26">
        <f>IF(B684="","",ROUND(AA684-AG684,2))</f>
        <v>0</v>
      </c>
      <c r="AI684" s="39">
        <f>IF(B684="","",IF(AA684&lt;=0,"No charge",IF(AH684&lt;=0.004,"Paid",IF(AG684&lt;=0.004,"Unpaid","Part paid"))))</f>
        <v>0</v>
      </c>
      <c r="AJ684" s="38">
        <f>IF(B684="","",IF(H684&lt;&gt;"Service","",IF(D684="","No",IF(COUNTIFS($D$5:$D$1204,D684,$B$5:$B$1204,B684,$H$5:$H$1204,"Retail")&gt;0,"Yes","No"))))</f>
        <v>0</v>
      </c>
      <c r="AK684" s="25">
        <f>IF(B684="","",COUNTIFS($Y$5:$Y$1204,"&gt;"&amp;Y684)+COUNTIFS($Y$5:Y684,Y684))</f>
        <v>0</v>
      </c>
      <c r="AL684" s="39">
        <f>IF(B684="","",IF(H684="","Add - what kind of sale is this?",IF(IF(V684&lt;=0,P684="",FALSE),"Check - no price found for this item",IF(F684="","Assign - nobody credited",IF(AH684&gt;0.004,"Unpaid - balance outstanding",IF(AC684&lt;0,"Loss - sold below cost",IF(X684&gt;W684*0.5,"Check - more than half off","OK")))))))</f>
        <v>0</v>
      </c>
    </row>
    <row r="685" spans="1:38">
      <c r="A685" s="28">
        <f>IF(B685="","",SalePrefix&amp;TEXT(ROW()-4,"0000"))</f>
        <v>0</v>
      </c>
      <c r="E685" s="15">
        <f>IF(D685="","",IFERROR(INDEX(Clients!$B$5:$B$504,MATCH(D685,Clients!$A$5:$A$504,0)),"Walk-in"))</f>
        <v>0</v>
      </c>
      <c r="G685" s="15">
        <f>IF(F685="","",IFERROR(INDEX(Staff!$B$5:$B$44,MATCH(F685,Staff!$A$5:$A$44,0)),"House"))</f>
        <v>0</v>
      </c>
      <c r="R685" s="15">
        <f>IF(B685="","",TEXT(B685,"yyyy-mm"))</f>
        <v>0</v>
      </c>
      <c r="S685" s="25">
        <f>IF(B685="","",WEEKNUM(B685,2))</f>
        <v>0</v>
      </c>
      <c r="T685" s="37">
        <f>IF(B685="","",IF(K685="",1,K685))</f>
        <v>0</v>
      </c>
      <c r="U685" s="15">
        <f>IF(B685="","",IF(J685&lt;&gt;"",J685,IF(H685="Retail",IFERROR(INDEX(Inventory!$B$5:$B$304,MATCH(I685,Inventory!$A$5:$A$304,0))&amp;"","Not in Inventory"),IFERROR(INDEX(Services!$B$5:$B$204,MATCH(I685,Services!$A$5:$A$204,0))&amp;"","Not in Services"))))</f>
        <v>0</v>
      </c>
      <c r="V685" s="26">
        <f>IF(B685="","",IF(L685&lt;&gt;"",L685,IF(H685="Retail",IFERROR(INDEX(Inventory!$I$5:$I$304,MATCH(I685,Inventory!$A$5:$A$304,0))*1,0),IFERROR(INDEX(Services!$G$5:$G$204,MATCH(I685,Services!$A$5:$A$204,0))*1,0))))</f>
        <v>0</v>
      </c>
      <c r="W685" s="26">
        <f>IF(B685="","",ROUND(T685*V685,2))</f>
        <v>0</v>
      </c>
      <c r="X685" s="26">
        <f>IF(B685="","",ROUND(IF(M685="",0,W685*M685)+IF(N685="",0,N685),2))</f>
        <v>0</v>
      </c>
      <c r="Y685" s="26">
        <f>IF(B685="","",ROUND(W685-X685-IF(P685="",0,P685),2))</f>
        <v>0</v>
      </c>
      <c r="Z685" s="26">
        <f>IF(B685="","",IF(H685="Retail",IF(TaxOnRetail="Yes",ROUND(Y685*TaxRate,2),0),IF(H685="Service",IF(TaxOnServices="Yes",ROUND(Y685*TaxRate,2),0),0)))</f>
        <v>0</v>
      </c>
      <c r="AA685" s="26">
        <f>IF(B685="","",ROUND(Y685+Z685,2))</f>
        <v>0</v>
      </c>
      <c r="AB685" s="26">
        <f>IF(B685="","",ROUND(T685*IF(H685="Retail",IFERROR(INDEX(Inventory!$H$5:$H$304,MATCH(I685,Inventory!$A$5:$A$304,0))*1,0),IFERROR(INDEX(Services!$Q$5:$Q$204,MATCH(I685,Services!$A$5:$A$204,0))*1,0)),2))</f>
        <v>0</v>
      </c>
      <c r="AC685" s="26">
        <f>IF(B685="","",ROUND(Y685-AB685,2))</f>
        <v>0</v>
      </c>
      <c r="AD685" s="38">
        <f>IF(B685="","",IF(C685="","No",IF(COUNTIFS($C$5:C685,C685)=1,"Yes","No")))</f>
        <v>0</v>
      </c>
      <c r="AE685" s="26">
        <f>IF(B685="","",ROUND(SUMIFS(Payments!$G$5:$G$1204,Payments!$H$5:$H$1204,A685,Payments!$Q$5:$Q$1204,"Yes"),2))</f>
        <v>0</v>
      </c>
      <c r="AF685" s="26">
        <f>IF(B685="","",IF(AD685="No",0,ROUND(SUMIFS(Payments!$G$5:$G$1204,Payments!$I$5:$I$1204,C685,Payments!$H$5:$H$1204,"",Payments!$Q$5:$Q$1204,"Yes"),2)))</f>
        <v>0</v>
      </c>
      <c r="AG685" s="26">
        <f>IF(B685="","",ROUND(AE685+AF685,2))</f>
        <v>0</v>
      </c>
      <c r="AH685" s="26">
        <f>IF(B685="","",ROUND(AA685-AG685,2))</f>
        <v>0</v>
      </c>
      <c r="AI685" s="39">
        <f>IF(B685="","",IF(AA685&lt;=0,"No charge",IF(AH685&lt;=0.004,"Paid",IF(AG685&lt;=0.004,"Unpaid","Part paid"))))</f>
        <v>0</v>
      </c>
      <c r="AJ685" s="38">
        <f>IF(B685="","",IF(H685&lt;&gt;"Service","",IF(D685="","No",IF(COUNTIFS($D$5:$D$1204,D685,$B$5:$B$1204,B685,$H$5:$H$1204,"Retail")&gt;0,"Yes","No"))))</f>
        <v>0</v>
      </c>
      <c r="AK685" s="25">
        <f>IF(B685="","",COUNTIFS($Y$5:$Y$1204,"&gt;"&amp;Y685)+COUNTIFS($Y$5:Y685,Y685))</f>
        <v>0</v>
      </c>
      <c r="AL685" s="39">
        <f>IF(B685="","",IF(H685="","Add - what kind of sale is this?",IF(IF(V685&lt;=0,P685="",FALSE),"Check - no price found for this item",IF(F685="","Assign - nobody credited",IF(AH685&gt;0.004,"Unpaid - balance outstanding",IF(AC685&lt;0,"Loss - sold below cost",IF(X685&gt;W685*0.5,"Check - more than half off","OK")))))))</f>
        <v>0</v>
      </c>
    </row>
    <row r="686" spans="1:38">
      <c r="A686" s="28">
        <f>IF(B686="","",SalePrefix&amp;TEXT(ROW()-4,"0000"))</f>
        <v>0</v>
      </c>
      <c r="E686" s="15">
        <f>IF(D686="","",IFERROR(INDEX(Clients!$B$5:$B$504,MATCH(D686,Clients!$A$5:$A$504,0)),"Walk-in"))</f>
        <v>0</v>
      </c>
      <c r="G686" s="15">
        <f>IF(F686="","",IFERROR(INDEX(Staff!$B$5:$B$44,MATCH(F686,Staff!$A$5:$A$44,0)),"House"))</f>
        <v>0</v>
      </c>
      <c r="R686" s="15">
        <f>IF(B686="","",TEXT(B686,"yyyy-mm"))</f>
        <v>0</v>
      </c>
      <c r="S686" s="25">
        <f>IF(B686="","",WEEKNUM(B686,2))</f>
        <v>0</v>
      </c>
      <c r="T686" s="37">
        <f>IF(B686="","",IF(K686="",1,K686))</f>
        <v>0</v>
      </c>
      <c r="U686" s="15">
        <f>IF(B686="","",IF(J686&lt;&gt;"",J686,IF(H686="Retail",IFERROR(INDEX(Inventory!$B$5:$B$304,MATCH(I686,Inventory!$A$5:$A$304,0))&amp;"","Not in Inventory"),IFERROR(INDEX(Services!$B$5:$B$204,MATCH(I686,Services!$A$5:$A$204,0))&amp;"","Not in Services"))))</f>
        <v>0</v>
      </c>
      <c r="V686" s="26">
        <f>IF(B686="","",IF(L686&lt;&gt;"",L686,IF(H686="Retail",IFERROR(INDEX(Inventory!$I$5:$I$304,MATCH(I686,Inventory!$A$5:$A$304,0))*1,0),IFERROR(INDEX(Services!$G$5:$G$204,MATCH(I686,Services!$A$5:$A$204,0))*1,0))))</f>
        <v>0</v>
      </c>
      <c r="W686" s="26">
        <f>IF(B686="","",ROUND(T686*V686,2))</f>
        <v>0</v>
      </c>
      <c r="X686" s="26">
        <f>IF(B686="","",ROUND(IF(M686="",0,W686*M686)+IF(N686="",0,N686),2))</f>
        <v>0</v>
      </c>
      <c r="Y686" s="26">
        <f>IF(B686="","",ROUND(W686-X686-IF(P686="",0,P686),2))</f>
        <v>0</v>
      </c>
      <c r="Z686" s="26">
        <f>IF(B686="","",IF(H686="Retail",IF(TaxOnRetail="Yes",ROUND(Y686*TaxRate,2),0),IF(H686="Service",IF(TaxOnServices="Yes",ROUND(Y686*TaxRate,2),0),0)))</f>
        <v>0</v>
      </c>
      <c r="AA686" s="26">
        <f>IF(B686="","",ROUND(Y686+Z686,2))</f>
        <v>0</v>
      </c>
      <c r="AB686" s="26">
        <f>IF(B686="","",ROUND(T686*IF(H686="Retail",IFERROR(INDEX(Inventory!$H$5:$H$304,MATCH(I686,Inventory!$A$5:$A$304,0))*1,0),IFERROR(INDEX(Services!$Q$5:$Q$204,MATCH(I686,Services!$A$5:$A$204,0))*1,0)),2))</f>
        <v>0</v>
      </c>
      <c r="AC686" s="26">
        <f>IF(B686="","",ROUND(Y686-AB686,2))</f>
        <v>0</v>
      </c>
      <c r="AD686" s="38">
        <f>IF(B686="","",IF(C686="","No",IF(COUNTIFS($C$5:C686,C686)=1,"Yes","No")))</f>
        <v>0</v>
      </c>
      <c r="AE686" s="26">
        <f>IF(B686="","",ROUND(SUMIFS(Payments!$G$5:$G$1204,Payments!$H$5:$H$1204,A686,Payments!$Q$5:$Q$1204,"Yes"),2))</f>
        <v>0</v>
      </c>
      <c r="AF686" s="26">
        <f>IF(B686="","",IF(AD686="No",0,ROUND(SUMIFS(Payments!$G$5:$G$1204,Payments!$I$5:$I$1204,C686,Payments!$H$5:$H$1204,"",Payments!$Q$5:$Q$1204,"Yes"),2)))</f>
        <v>0</v>
      </c>
      <c r="AG686" s="26">
        <f>IF(B686="","",ROUND(AE686+AF686,2))</f>
        <v>0</v>
      </c>
      <c r="AH686" s="26">
        <f>IF(B686="","",ROUND(AA686-AG686,2))</f>
        <v>0</v>
      </c>
      <c r="AI686" s="39">
        <f>IF(B686="","",IF(AA686&lt;=0,"No charge",IF(AH686&lt;=0.004,"Paid",IF(AG686&lt;=0.004,"Unpaid","Part paid"))))</f>
        <v>0</v>
      </c>
      <c r="AJ686" s="38">
        <f>IF(B686="","",IF(H686&lt;&gt;"Service","",IF(D686="","No",IF(COUNTIFS($D$5:$D$1204,D686,$B$5:$B$1204,B686,$H$5:$H$1204,"Retail")&gt;0,"Yes","No"))))</f>
        <v>0</v>
      </c>
      <c r="AK686" s="25">
        <f>IF(B686="","",COUNTIFS($Y$5:$Y$1204,"&gt;"&amp;Y686)+COUNTIFS($Y$5:Y686,Y686))</f>
        <v>0</v>
      </c>
      <c r="AL686" s="39">
        <f>IF(B686="","",IF(H686="","Add - what kind of sale is this?",IF(IF(V686&lt;=0,P686="",FALSE),"Check - no price found for this item",IF(F686="","Assign - nobody credited",IF(AH686&gt;0.004,"Unpaid - balance outstanding",IF(AC686&lt;0,"Loss - sold below cost",IF(X686&gt;W686*0.5,"Check - more than half off","OK")))))))</f>
        <v>0</v>
      </c>
    </row>
    <row r="687" spans="1:38">
      <c r="A687" s="28">
        <f>IF(B687="","",SalePrefix&amp;TEXT(ROW()-4,"0000"))</f>
        <v>0</v>
      </c>
      <c r="E687" s="15">
        <f>IF(D687="","",IFERROR(INDEX(Clients!$B$5:$B$504,MATCH(D687,Clients!$A$5:$A$504,0)),"Walk-in"))</f>
        <v>0</v>
      </c>
      <c r="G687" s="15">
        <f>IF(F687="","",IFERROR(INDEX(Staff!$B$5:$B$44,MATCH(F687,Staff!$A$5:$A$44,0)),"House"))</f>
        <v>0</v>
      </c>
      <c r="R687" s="15">
        <f>IF(B687="","",TEXT(B687,"yyyy-mm"))</f>
        <v>0</v>
      </c>
      <c r="S687" s="25">
        <f>IF(B687="","",WEEKNUM(B687,2))</f>
        <v>0</v>
      </c>
      <c r="T687" s="37">
        <f>IF(B687="","",IF(K687="",1,K687))</f>
        <v>0</v>
      </c>
      <c r="U687" s="15">
        <f>IF(B687="","",IF(J687&lt;&gt;"",J687,IF(H687="Retail",IFERROR(INDEX(Inventory!$B$5:$B$304,MATCH(I687,Inventory!$A$5:$A$304,0))&amp;"","Not in Inventory"),IFERROR(INDEX(Services!$B$5:$B$204,MATCH(I687,Services!$A$5:$A$204,0))&amp;"","Not in Services"))))</f>
        <v>0</v>
      </c>
      <c r="V687" s="26">
        <f>IF(B687="","",IF(L687&lt;&gt;"",L687,IF(H687="Retail",IFERROR(INDEX(Inventory!$I$5:$I$304,MATCH(I687,Inventory!$A$5:$A$304,0))*1,0),IFERROR(INDEX(Services!$G$5:$G$204,MATCH(I687,Services!$A$5:$A$204,0))*1,0))))</f>
        <v>0</v>
      </c>
      <c r="W687" s="26">
        <f>IF(B687="","",ROUND(T687*V687,2))</f>
        <v>0</v>
      </c>
      <c r="X687" s="26">
        <f>IF(B687="","",ROUND(IF(M687="",0,W687*M687)+IF(N687="",0,N687),2))</f>
        <v>0</v>
      </c>
      <c r="Y687" s="26">
        <f>IF(B687="","",ROUND(W687-X687-IF(P687="",0,P687),2))</f>
        <v>0</v>
      </c>
      <c r="Z687" s="26">
        <f>IF(B687="","",IF(H687="Retail",IF(TaxOnRetail="Yes",ROUND(Y687*TaxRate,2),0),IF(H687="Service",IF(TaxOnServices="Yes",ROUND(Y687*TaxRate,2),0),0)))</f>
        <v>0</v>
      </c>
      <c r="AA687" s="26">
        <f>IF(B687="","",ROUND(Y687+Z687,2))</f>
        <v>0</v>
      </c>
      <c r="AB687" s="26">
        <f>IF(B687="","",ROUND(T687*IF(H687="Retail",IFERROR(INDEX(Inventory!$H$5:$H$304,MATCH(I687,Inventory!$A$5:$A$304,0))*1,0),IFERROR(INDEX(Services!$Q$5:$Q$204,MATCH(I687,Services!$A$5:$A$204,0))*1,0)),2))</f>
        <v>0</v>
      </c>
      <c r="AC687" s="26">
        <f>IF(B687="","",ROUND(Y687-AB687,2))</f>
        <v>0</v>
      </c>
      <c r="AD687" s="38">
        <f>IF(B687="","",IF(C687="","No",IF(COUNTIFS($C$5:C687,C687)=1,"Yes","No")))</f>
        <v>0</v>
      </c>
      <c r="AE687" s="26">
        <f>IF(B687="","",ROUND(SUMIFS(Payments!$G$5:$G$1204,Payments!$H$5:$H$1204,A687,Payments!$Q$5:$Q$1204,"Yes"),2))</f>
        <v>0</v>
      </c>
      <c r="AF687" s="26">
        <f>IF(B687="","",IF(AD687="No",0,ROUND(SUMIFS(Payments!$G$5:$G$1204,Payments!$I$5:$I$1204,C687,Payments!$H$5:$H$1204,"",Payments!$Q$5:$Q$1204,"Yes"),2)))</f>
        <v>0</v>
      </c>
      <c r="AG687" s="26">
        <f>IF(B687="","",ROUND(AE687+AF687,2))</f>
        <v>0</v>
      </c>
      <c r="AH687" s="26">
        <f>IF(B687="","",ROUND(AA687-AG687,2))</f>
        <v>0</v>
      </c>
      <c r="AI687" s="39">
        <f>IF(B687="","",IF(AA687&lt;=0,"No charge",IF(AH687&lt;=0.004,"Paid",IF(AG687&lt;=0.004,"Unpaid","Part paid"))))</f>
        <v>0</v>
      </c>
      <c r="AJ687" s="38">
        <f>IF(B687="","",IF(H687&lt;&gt;"Service","",IF(D687="","No",IF(COUNTIFS($D$5:$D$1204,D687,$B$5:$B$1204,B687,$H$5:$H$1204,"Retail")&gt;0,"Yes","No"))))</f>
        <v>0</v>
      </c>
      <c r="AK687" s="25">
        <f>IF(B687="","",COUNTIFS($Y$5:$Y$1204,"&gt;"&amp;Y687)+COUNTIFS($Y$5:Y687,Y687))</f>
        <v>0</v>
      </c>
      <c r="AL687" s="39">
        <f>IF(B687="","",IF(H687="","Add - what kind of sale is this?",IF(IF(V687&lt;=0,P687="",FALSE),"Check - no price found for this item",IF(F687="","Assign - nobody credited",IF(AH687&gt;0.004,"Unpaid - balance outstanding",IF(AC687&lt;0,"Loss - sold below cost",IF(X687&gt;W687*0.5,"Check - more than half off","OK")))))))</f>
        <v>0</v>
      </c>
    </row>
    <row r="688" spans="1:38">
      <c r="A688" s="28">
        <f>IF(B688="","",SalePrefix&amp;TEXT(ROW()-4,"0000"))</f>
        <v>0</v>
      </c>
      <c r="E688" s="15">
        <f>IF(D688="","",IFERROR(INDEX(Clients!$B$5:$B$504,MATCH(D688,Clients!$A$5:$A$504,0)),"Walk-in"))</f>
        <v>0</v>
      </c>
      <c r="G688" s="15">
        <f>IF(F688="","",IFERROR(INDEX(Staff!$B$5:$B$44,MATCH(F688,Staff!$A$5:$A$44,0)),"House"))</f>
        <v>0</v>
      </c>
      <c r="R688" s="15">
        <f>IF(B688="","",TEXT(B688,"yyyy-mm"))</f>
        <v>0</v>
      </c>
      <c r="S688" s="25">
        <f>IF(B688="","",WEEKNUM(B688,2))</f>
        <v>0</v>
      </c>
      <c r="T688" s="37">
        <f>IF(B688="","",IF(K688="",1,K688))</f>
        <v>0</v>
      </c>
      <c r="U688" s="15">
        <f>IF(B688="","",IF(J688&lt;&gt;"",J688,IF(H688="Retail",IFERROR(INDEX(Inventory!$B$5:$B$304,MATCH(I688,Inventory!$A$5:$A$304,0))&amp;"","Not in Inventory"),IFERROR(INDEX(Services!$B$5:$B$204,MATCH(I688,Services!$A$5:$A$204,0))&amp;"","Not in Services"))))</f>
        <v>0</v>
      </c>
      <c r="V688" s="26">
        <f>IF(B688="","",IF(L688&lt;&gt;"",L688,IF(H688="Retail",IFERROR(INDEX(Inventory!$I$5:$I$304,MATCH(I688,Inventory!$A$5:$A$304,0))*1,0),IFERROR(INDEX(Services!$G$5:$G$204,MATCH(I688,Services!$A$5:$A$204,0))*1,0))))</f>
        <v>0</v>
      </c>
      <c r="W688" s="26">
        <f>IF(B688="","",ROUND(T688*V688,2))</f>
        <v>0</v>
      </c>
      <c r="X688" s="26">
        <f>IF(B688="","",ROUND(IF(M688="",0,W688*M688)+IF(N688="",0,N688),2))</f>
        <v>0</v>
      </c>
      <c r="Y688" s="26">
        <f>IF(B688="","",ROUND(W688-X688-IF(P688="",0,P688),2))</f>
        <v>0</v>
      </c>
      <c r="Z688" s="26">
        <f>IF(B688="","",IF(H688="Retail",IF(TaxOnRetail="Yes",ROUND(Y688*TaxRate,2),0),IF(H688="Service",IF(TaxOnServices="Yes",ROUND(Y688*TaxRate,2),0),0)))</f>
        <v>0</v>
      </c>
      <c r="AA688" s="26">
        <f>IF(B688="","",ROUND(Y688+Z688,2))</f>
        <v>0</v>
      </c>
      <c r="AB688" s="26">
        <f>IF(B688="","",ROUND(T688*IF(H688="Retail",IFERROR(INDEX(Inventory!$H$5:$H$304,MATCH(I688,Inventory!$A$5:$A$304,0))*1,0),IFERROR(INDEX(Services!$Q$5:$Q$204,MATCH(I688,Services!$A$5:$A$204,0))*1,0)),2))</f>
        <v>0</v>
      </c>
      <c r="AC688" s="26">
        <f>IF(B688="","",ROUND(Y688-AB688,2))</f>
        <v>0</v>
      </c>
      <c r="AD688" s="38">
        <f>IF(B688="","",IF(C688="","No",IF(COUNTIFS($C$5:C688,C688)=1,"Yes","No")))</f>
        <v>0</v>
      </c>
      <c r="AE688" s="26">
        <f>IF(B688="","",ROUND(SUMIFS(Payments!$G$5:$G$1204,Payments!$H$5:$H$1204,A688,Payments!$Q$5:$Q$1204,"Yes"),2))</f>
        <v>0</v>
      </c>
      <c r="AF688" s="26">
        <f>IF(B688="","",IF(AD688="No",0,ROUND(SUMIFS(Payments!$G$5:$G$1204,Payments!$I$5:$I$1204,C688,Payments!$H$5:$H$1204,"",Payments!$Q$5:$Q$1204,"Yes"),2)))</f>
        <v>0</v>
      </c>
      <c r="AG688" s="26">
        <f>IF(B688="","",ROUND(AE688+AF688,2))</f>
        <v>0</v>
      </c>
      <c r="AH688" s="26">
        <f>IF(B688="","",ROUND(AA688-AG688,2))</f>
        <v>0</v>
      </c>
      <c r="AI688" s="39">
        <f>IF(B688="","",IF(AA688&lt;=0,"No charge",IF(AH688&lt;=0.004,"Paid",IF(AG688&lt;=0.004,"Unpaid","Part paid"))))</f>
        <v>0</v>
      </c>
      <c r="AJ688" s="38">
        <f>IF(B688="","",IF(H688&lt;&gt;"Service","",IF(D688="","No",IF(COUNTIFS($D$5:$D$1204,D688,$B$5:$B$1204,B688,$H$5:$H$1204,"Retail")&gt;0,"Yes","No"))))</f>
        <v>0</v>
      </c>
      <c r="AK688" s="25">
        <f>IF(B688="","",COUNTIFS($Y$5:$Y$1204,"&gt;"&amp;Y688)+COUNTIFS($Y$5:Y688,Y688))</f>
        <v>0</v>
      </c>
      <c r="AL688" s="39">
        <f>IF(B688="","",IF(H688="","Add - what kind of sale is this?",IF(IF(V688&lt;=0,P688="",FALSE),"Check - no price found for this item",IF(F688="","Assign - nobody credited",IF(AH688&gt;0.004,"Unpaid - balance outstanding",IF(AC688&lt;0,"Loss - sold below cost",IF(X688&gt;W688*0.5,"Check - more than half off","OK")))))))</f>
        <v>0</v>
      </c>
    </row>
    <row r="689" spans="1:38">
      <c r="A689" s="28">
        <f>IF(B689="","",SalePrefix&amp;TEXT(ROW()-4,"0000"))</f>
        <v>0</v>
      </c>
      <c r="E689" s="15">
        <f>IF(D689="","",IFERROR(INDEX(Clients!$B$5:$B$504,MATCH(D689,Clients!$A$5:$A$504,0)),"Walk-in"))</f>
        <v>0</v>
      </c>
      <c r="G689" s="15">
        <f>IF(F689="","",IFERROR(INDEX(Staff!$B$5:$B$44,MATCH(F689,Staff!$A$5:$A$44,0)),"House"))</f>
        <v>0</v>
      </c>
      <c r="R689" s="15">
        <f>IF(B689="","",TEXT(B689,"yyyy-mm"))</f>
        <v>0</v>
      </c>
      <c r="S689" s="25">
        <f>IF(B689="","",WEEKNUM(B689,2))</f>
        <v>0</v>
      </c>
      <c r="T689" s="37">
        <f>IF(B689="","",IF(K689="",1,K689))</f>
        <v>0</v>
      </c>
      <c r="U689" s="15">
        <f>IF(B689="","",IF(J689&lt;&gt;"",J689,IF(H689="Retail",IFERROR(INDEX(Inventory!$B$5:$B$304,MATCH(I689,Inventory!$A$5:$A$304,0))&amp;"","Not in Inventory"),IFERROR(INDEX(Services!$B$5:$B$204,MATCH(I689,Services!$A$5:$A$204,0))&amp;"","Not in Services"))))</f>
        <v>0</v>
      </c>
      <c r="V689" s="26">
        <f>IF(B689="","",IF(L689&lt;&gt;"",L689,IF(H689="Retail",IFERROR(INDEX(Inventory!$I$5:$I$304,MATCH(I689,Inventory!$A$5:$A$304,0))*1,0),IFERROR(INDEX(Services!$G$5:$G$204,MATCH(I689,Services!$A$5:$A$204,0))*1,0))))</f>
        <v>0</v>
      </c>
      <c r="W689" s="26">
        <f>IF(B689="","",ROUND(T689*V689,2))</f>
        <v>0</v>
      </c>
      <c r="X689" s="26">
        <f>IF(B689="","",ROUND(IF(M689="",0,W689*M689)+IF(N689="",0,N689),2))</f>
        <v>0</v>
      </c>
      <c r="Y689" s="26">
        <f>IF(B689="","",ROUND(W689-X689-IF(P689="",0,P689),2))</f>
        <v>0</v>
      </c>
      <c r="Z689" s="26">
        <f>IF(B689="","",IF(H689="Retail",IF(TaxOnRetail="Yes",ROUND(Y689*TaxRate,2),0),IF(H689="Service",IF(TaxOnServices="Yes",ROUND(Y689*TaxRate,2),0),0)))</f>
        <v>0</v>
      </c>
      <c r="AA689" s="26">
        <f>IF(B689="","",ROUND(Y689+Z689,2))</f>
        <v>0</v>
      </c>
      <c r="AB689" s="26">
        <f>IF(B689="","",ROUND(T689*IF(H689="Retail",IFERROR(INDEX(Inventory!$H$5:$H$304,MATCH(I689,Inventory!$A$5:$A$304,0))*1,0),IFERROR(INDEX(Services!$Q$5:$Q$204,MATCH(I689,Services!$A$5:$A$204,0))*1,0)),2))</f>
        <v>0</v>
      </c>
      <c r="AC689" s="26">
        <f>IF(B689="","",ROUND(Y689-AB689,2))</f>
        <v>0</v>
      </c>
      <c r="AD689" s="38">
        <f>IF(B689="","",IF(C689="","No",IF(COUNTIFS($C$5:C689,C689)=1,"Yes","No")))</f>
        <v>0</v>
      </c>
      <c r="AE689" s="26">
        <f>IF(B689="","",ROUND(SUMIFS(Payments!$G$5:$G$1204,Payments!$H$5:$H$1204,A689,Payments!$Q$5:$Q$1204,"Yes"),2))</f>
        <v>0</v>
      </c>
      <c r="AF689" s="26">
        <f>IF(B689="","",IF(AD689="No",0,ROUND(SUMIFS(Payments!$G$5:$G$1204,Payments!$I$5:$I$1204,C689,Payments!$H$5:$H$1204,"",Payments!$Q$5:$Q$1204,"Yes"),2)))</f>
        <v>0</v>
      </c>
      <c r="AG689" s="26">
        <f>IF(B689="","",ROUND(AE689+AF689,2))</f>
        <v>0</v>
      </c>
      <c r="AH689" s="26">
        <f>IF(B689="","",ROUND(AA689-AG689,2))</f>
        <v>0</v>
      </c>
      <c r="AI689" s="39">
        <f>IF(B689="","",IF(AA689&lt;=0,"No charge",IF(AH689&lt;=0.004,"Paid",IF(AG689&lt;=0.004,"Unpaid","Part paid"))))</f>
        <v>0</v>
      </c>
      <c r="AJ689" s="38">
        <f>IF(B689="","",IF(H689&lt;&gt;"Service","",IF(D689="","No",IF(COUNTIFS($D$5:$D$1204,D689,$B$5:$B$1204,B689,$H$5:$H$1204,"Retail")&gt;0,"Yes","No"))))</f>
        <v>0</v>
      </c>
      <c r="AK689" s="25">
        <f>IF(B689="","",COUNTIFS($Y$5:$Y$1204,"&gt;"&amp;Y689)+COUNTIFS($Y$5:Y689,Y689))</f>
        <v>0</v>
      </c>
      <c r="AL689" s="39">
        <f>IF(B689="","",IF(H689="","Add - what kind of sale is this?",IF(IF(V689&lt;=0,P689="",FALSE),"Check - no price found for this item",IF(F689="","Assign - nobody credited",IF(AH689&gt;0.004,"Unpaid - balance outstanding",IF(AC689&lt;0,"Loss - sold below cost",IF(X689&gt;W689*0.5,"Check - more than half off","OK")))))))</f>
        <v>0</v>
      </c>
    </row>
    <row r="690" spans="1:38">
      <c r="A690" s="28">
        <f>IF(B690="","",SalePrefix&amp;TEXT(ROW()-4,"0000"))</f>
        <v>0</v>
      </c>
      <c r="E690" s="15">
        <f>IF(D690="","",IFERROR(INDEX(Clients!$B$5:$B$504,MATCH(D690,Clients!$A$5:$A$504,0)),"Walk-in"))</f>
        <v>0</v>
      </c>
      <c r="G690" s="15">
        <f>IF(F690="","",IFERROR(INDEX(Staff!$B$5:$B$44,MATCH(F690,Staff!$A$5:$A$44,0)),"House"))</f>
        <v>0</v>
      </c>
      <c r="R690" s="15">
        <f>IF(B690="","",TEXT(B690,"yyyy-mm"))</f>
        <v>0</v>
      </c>
      <c r="S690" s="25">
        <f>IF(B690="","",WEEKNUM(B690,2))</f>
        <v>0</v>
      </c>
      <c r="T690" s="37">
        <f>IF(B690="","",IF(K690="",1,K690))</f>
        <v>0</v>
      </c>
      <c r="U690" s="15">
        <f>IF(B690="","",IF(J690&lt;&gt;"",J690,IF(H690="Retail",IFERROR(INDEX(Inventory!$B$5:$B$304,MATCH(I690,Inventory!$A$5:$A$304,0))&amp;"","Not in Inventory"),IFERROR(INDEX(Services!$B$5:$B$204,MATCH(I690,Services!$A$5:$A$204,0))&amp;"","Not in Services"))))</f>
        <v>0</v>
      </c>
      <c r="V690" s="26">
        <f>IF(B690="","",IF(L690&lt;&gt;"",L690,IF(H690="Retail",IFERROR(INDEX(Inventory!$I$5:$I$304,MATCH(I690,Inventory!$A$5:$A$304,0))*1,0),IFERROR(INDEX(Services!$G$5:$G$204,MATCH(I690,Services!$A$5:$A$204,0))*1,0))))</f>
        <v>0</v>
      </c>
      <c r="W690" s="26">
        <f>IF(B690="","",ROUND(T690*V690,2))</f>
        <v>0</v>
      </c>
      <c r="X690" s="26">
        <f>IF(B690="","",ROUND(IF(M690="",0,W690*M690)+IF(N690="",0,N690),2))</f>
        <v>0</v>
      </c>
      <c r="Y690" s="26">
        <f>IF(B690="","",ROUND(W690-X690-IF(P690="",0,P690),2))</f>
        <v>0</v>
      </c>
      <c r="Z690" s="26">
        <f>IF(B690="","",IF(H690="Retail",IF(TaxOnRetail="Yes",ROUND(Y690*TaxRate,2),0),IF(H690="Service",IF(TaxOnServices="Yes",ROUND(Y690*TaxRate,2),0),0)))</f>
        <v>0</v>
      </c>
      <c r="AA690" s="26">
        <f>IF(B690="","",ROUND(Y690+Z690,2))</f>
        <v>0</v>
      </c>
      <c r="AB690" s="26">
        <f>IF(B690="","",ROUND(T690*IF(H690="Retail",IFERROR(INDEX(Inventory!$H$5:$H$304,MATCH(I690,Inventory!$A$5:$A$304,0))*1,0),IFERROR(INDEX(Services!$Q$5:$Q$204,MATCH(I690,Services!$A$5:$A$204,0))*1,0)),2))</f>
        <v>0</v>
      </c>
      <c r="AC690" s="26">
        <f>IF(B690="","",ROUND(Y690-AB690,2))</f>
        <v>0</v>
      </c>
      <c r="AD690" s="38">
        <f>IF(B690="","",IF(C690="","No",IF(COUNTIFS($C$5:C690,C690)=1,"Yes","No")))</f>
        <v>0</v>
      </c>
      <c r="AE690" s="26">
        <f>IF(B690="","",ROUND(SUMIFS(Payments!$G$5:$G$1204,Payments!$H$5:$H$1204,A690,Payments!$Q$5:$Q$1204,"Yes"),2))</f>
        <v>0</v>
      </c>
      <c r="AF690" s="26">
        <f>IF(B690="","",IF(AD690="No",0,ROUND(SUMIFS(Payments!$G$5:$G$1204,Payments!$I$5:$I$1204,C690,Payments!$H$5:$H$1204,"",Payments!$Q$5:$Q$1204,"Yes"),2)))</f>
        <v>0</v>
      </c>
      <c r="AG690" s="26">
        <f>IF(B690="","",ROUND(AE690+AF690,2))</f>
        <v>0</v>
      </c>
      <c r="AH690" s="26">
        <f>IF(B690="","",ROUND(AA690-AG690,2))</f>
        <v>0</v>
      </c>
      <c r="AI690" s="39">
        <f>IF(B690="","",IF(AA690&lt;=0,"No charge",IF(AH690&lt;=0.004,"Paid",IF(AG690&lt;=0.004,"Unpaid","Part paid"))))</f>
        <v>0</v>
      </c>
      <c r="AJ690" s="38">
        <f>IF(B690="","",IF(H690&lt;&gt;"Service","",IF(D690="","No",IF(COUNTIFS($D$5:$D$1204,D690,$B$5:$B$1204,B690,$H$5:$H$1204,"Retail")&gt;0,"Yes","No"))))</f>
        <v>0</v>
      </c>
      <c r="AK690" s="25">
        <f>IF(B690="","",COUNTIFS($Y$5:$Y$1204,"&gt;"&amp;Y690)+COUNTIFS($Y$5:Y690,Y690))</f>
        <v>0</v>
      </c>
      <c r="AL690" s="39">
        <f>IF(B690="","",IF(H690="","Add - what kind of sale is this?",IF(IF(V690&lt;=0,P690="",FALSE),"Check - no price found for this item",IF(F690="","Assign - nobody credited",IF(AH690&gt;0.004,"Unpaid - balance outstanding",IF(AC690&lt;0,"Loss - sold below cost",IF(X690&gt;W690*0.5,"Check - more than half off","OK")))))))</f>
        <v>0</v>
      </c>
    </row>
    <row r="691" spans="1:38">
      <c r="A691" s="28">
        <f>IF(B691="","",SalePrefix&amp;TEXT(ROW()-4,"0000"))</f>
        <v>0</v>
      </c>
      <c r="E691" s="15">
        <f>IF(D691="","",IFERROR(INDEX(Clients!$B$5:$B$504,MATCH(D691,Clients!$A$5:$A$504,0)),"Walk-in"))</f>
        <v>0</v>
      </c>
      <c r="G691" s="15">
        <f>IF(F691="","",IFERROR(INDEX(Staff!$B$5:$B$44,MATCH(F691,Staff!$A$5:$A$44,0)),"House"))</f>
        <v>0</v>
      </c>
      <c r="R691" s="15">
        <f>IF(B691="","",TEXT(B691,"yyyy-mm"))</f>
        <v>0</v>
      </c>
      <c r="S691" s="25">
        <f>IF(B691="","",WEEKNUM(B691,2))</f>
        <v>0</v>
      </c>
      <c r="T691" s="37">
        <f>IF(B691="","",IF(K691="",1,K691))</f>
        <v>0</v>
      </c>
      <c r="U691" s="15">
        <f>IF(B691="","",IF(J691&lt;&gt;"",J691,IF(H691="Retail",IFERROR(INDEX(Inventory!$B$5:$B$304,MATCH(I691,Inventory!$A$5:$A$304,0))&amp;"","Not in Inventory"),IFERROR(INDEX(Services!$B$5:$B$204,MATCH(I691,Services!$A$5:$A$204,0))&amp;"","Not in Services"))))</f>
        <v>0</v>
      </c>
      <c r="V691" s="26">
        <f>IF(B691="","",IF(L691&lt;&gt;"",L691,IF(H691="Retail",IFERROR(INDEX(Inventory!$I$5:$I$304,MATCH(I691,Inventory!$A$5:$A$304,0))*1,0),IFERROR(INDEX(Services!$G$5:$G$204,MATCH(I691,Services!$A$5:$A$204,0))*1,0))))</f>
        <v>0</v>
      </c>
      <c r="W691" s="26">
        <f>IF(B691="","",ROUND(T691*V691,2))</f>
        <v>0</v>
      </c>
      <c r="X691" s="26">
        <f>IF(B691="","",ROUND(IF(M691="",0,W691*M691)+IF(N691="",0,N691),2))</f>
        <v>0</v>
      </c>
      <c r="Y691" s="26">
        <f>IF(B691="","",ROUND(W691-X691-IF(P691="",0,P691),2))</f>
        <v>0</v>
      </c>
      <c r="Z691" s="26">
        <f>IF(B691="","",IF(H691="Retail",IF(TaxOnRetail="Yes",ROUND(Y691*TaxRate,2),0),IF(H691="Service",IF(TaxOnServices="Yes",ROUND(Y691*TaxRate,2),0),0)))</f>
        <v>0</v>
      </c>
      <c r="AA691" s="26">
        <f>IF(B691="","",ROUND(Y691+Z691,2))</f>
        <v>0</v>
      </c>
      <c r="AB691" s="26">
        <f>IF(B691="","",ROUND(T691*IF(H691="Retail",IFERROR(INDEX(Inventory!$H$5:$H$304,MATCH(I691,Inventory!$A$5:$A$304,0))*1,0),IFERROR(INDEX(Services!$Q$5:$Q$204,MATCH(I691,Services!$A$5:$A$204,0))*1,0)),2))</f>
        <v>0</v>
      </c>
      <c r="AC691" s="26">
        <f>IF(B691="","",ROUND(Y691-AB691,2))</f>
        <v>0</v>
      </c>
      <c r="AD691" s="38">
        <f>IF(B691="","",IF(C691="","No",IF(COUNTIFS($C$5:C691,C691)=1,"Yes","No")))</f>
        <v>0</v>
      </c>
      <c r="AE691" s="26">
        <f>IF(B691="","",ROUND(SUMIFS(Payments!$G$5:$G$1204,Payments!$H$5:$H$1204,A691,Payments!$Q$5:$Q$1204,"Yes"),2))</f>
        <v>0</v>
      </c>
      <c r="AF691" s="26">
        <f>IF(B691="","",IF(AD691="No",0,ROUND(SUMIFS(Payments!$G$5:$G$1204,Payments!$I$5:$I$1204,C691,Payments!$H$5:$H$1204,"",Payments!$Q$5:$Q$1204,"Yes"),2)))</f>
        <v>0</v>
      </c>
      <c r="AG691" s="26">
        <f>IF(B691="","",ROUND(AE691+AF691,2))</f>
        <v>0</v>
      </c>
      <c r="AH691" s="26">
        <f>IF(B691="","",ROUND(AA691-AG691,2))</f>
        <v>0</v>
      </c>
      <c r="AI691" s="39">
        <f>IF(B691="","",IF(AA691&lt;=0,"No charge",IF(AH691&lt;=0.004,"Paid",IF(AG691&lt;=0.004,"Unpaid","Part paid"))))</f>
        <v>0</v>
      </c>
      <c r="AJ691" s="38">
        <f>IF(B691="","",IF(H691&lt;&gt;"Service","",IF(D691="","No",IF(COUNTIFS($D$5:$D$1204,D691,$B$5:$B$1204,B691,$H$5:$H$1204,"Retail")&gt;0,"Yes","No"))))</f>
        <v>0</v>
      </c>
      <c r="AK691" s="25">
        <f>IF(B691="","",COUNTIFS($Y$5:$Y$1204,"&gt;"&amp;Y691)+COUNTIFS($Y$5:Y691,Y691))</f>
        <v>0</v>
      </c>
      <c r="AL691" s="39">
        <f>IF(B691="","",IF(H691="","Add - what kind of sale is this?",IF(IF(V691&lt;=0,P691="",FALSE),"Check - no price found for this item",IF(F691="","Assign - nobody credited",IF(AH691&gt;0.004,"Unpaid - balance outstanding",IF(AC691&lt;0,"Loss - sold below cost",IF(X691&gt;W691*0.5,"Check - more than half off","OK")))))))</f>
        <v>0</v>
      </c>
    </row>
    <row r="692" spans="1:38">
      <c r="A692" s="28">
        <f>IF(B692="","",SalePrefix&amp;TEXT(ROW()-4,"0000"))</f>
        <v>0</v>
      </c>
      <c r="E692" s="15">
        <f>IF(D692="","",IFERROR(INDEX(Clients!$B$5:$B$504,MATCH(D692,Clients!$A$5:$A$504,0)),"Walk-in"))</f>
        <v>0</v>
      </c>
      <c r="G692" s="15">
        <f>IF(F692="","",IFERROR(INDEX(Staff!$B$5:$B$44,MATCH(F692,Staff!$A$5:$A$44,0)),"House"))</f>
        <v>0</v>
      </c>
      <c r="R692" s="15">
        <f>IF(B692="","",TEXT(B692,"yyyy-mm"))</f>
        <v>0</v>
      </c>
      <c r="S692" s="25">
        <f>IF(B692="","",WEEKNUM(B692,2))</f>
        <v>0</v>
      </c>
      <c r="T692" s="37">
        <f>IF(B692="","",IF(K692="",1,K692))</f>
        <v>0</v>
      </c>
      <c r="U692" s="15">
        <f>IF(B692="","",IF(J692&lt;&gt;"",J692,IF(H692="Retail",IFERROR(INDEX(Inventory!$B$5:$B$304,MATCH(I692,Inventory!$A$5:$A$304,0))&amp;"","Not in Inventory"),IFERROR(INDEX(Services!$B$5:$B$204,MATCH(I692,Services!$A$5:$A$204,0))&amp;"","Not in Services"))))</f>
        <v>0</v>
      </c>
      <c r="V692" s="26">
        <f>IF(B692="","",IF(L692&lt;&gt;"",L692,IF(H692="Retail",IFERROR(INDEX(Inventory!$I$5:$I$304,MATCH(I692,Inventory!$A$5:$A$304,0))*1,0),IFERROR(INDEX(Services!$G$5:$G$204,MATCH(I692,Services!$A$5:$A$204,0))*1,0))))</f>
        <v>0</v>
      </c>
      <c r="W692" s="26">
        <f>IF(B692="","",ROUND(T692*V692,2))</f>
        <v>0</v>
      </c>
      <c r="X692" s="26">
        <f>IF(B692="","",ROUND(IF(M692="",0,W692*M692)+IF(N692="",0,N692),2))</f>
        <v>0</v>
      </c>
      <c r="Y692" s="26">
        <f>IF(B692="","",ROUND(W692-X692-IF(P692="",0,P692),2))</f>
        <v>0</v>
      </c>
      <c r="Z692" s="26">
        <f>IF(B692="","",IF(H692="Retail",IF(TaxOnRetail="Yes",ROUND(Y692*TaxRate,2),0),IF(H692="Service",IF(TaxOnServices="Yes",ROUND(Y692*TaxRate,2),0),0)))</f>
        <v>0</v>
      </c>
      <c r="AA692" s="26">
        <f>IF(B692="","",ROUND(Y692+Z692,2))</f>
        <v>0</v>
      </c>
      <c r="AB692" s="26">
        <f>IF(B692="","",ROUND(T692*IF(H692="Retail",IFERROR(INDEX(Inventory!$H$5:$H$304,MATCH(I692,Inventory!$A$5:$A$304,0))*1,0),IFERROR(INDEX(Services!$Q$5:$Q$204,MATCH(I692,Services!$A$5:$A$204,0))*1,0)),2))</f>
        <v>0</v>
      </c>
      <c r="AC692" s="26">
        <f>IF(B692="","",ROUND(Y692-AB692,2))</f>
        <v>0</v>
      </c>
      <c r="AD692" s="38">
        <f>IF(B692="","",IF(C692="","No",IF(COUNTIFS($C$5:C692,C692)=1,"Yes","No")))</f>
        <v>0</v>
      </c>
      <c r="AE692" s="26">
        <f>IF(B692="","",ROUND(SUMIFS(Payments!$G$5:$G$1204,Payments!$H$5:$H$1204,A692,Payments!$Q$5:$Q$1204,"Yes"),2))</f>
        <v>0</v>
      </c>
      <c r="AF692" s="26">
        <f>IF(B692="","",IF(AD692="No",0,ROUND(SUMIFS(Payments!$G$5:$G$1204,Payments!$I$5:$I$1204,C692,Payments!$H$5:$H$1204,"",Payments!$Q$5:$Q$1204,"Yes"),2)))</f>
        <v>0</v>
      </c>
      <c r="AG692" s="26">
        <f>IF(B692="","",ROUND(AE692+AF692,2))</f>
        <v>0</v>
      </c>
      <c r="AH692" s="26">
        <f>IF(B692="","",ROUND(AA692-AG692,2))</f>
        <v>0</v>
      </c>
      <c r="AI692" s="39">
        <f>IF(B692="","",IF(AA692&lt;=0,"No charge",IF(AH692&lt;=0.004,"Paid",IF(AG692&lt;=0.004,"Unpaid","Part paid"))))</f>
        <v>0</v>
      </c>
      <c r="AJ692" s="38">
        <f>IF(B692="","",IF(H692&lt;&gt;"Service","",IF(D692="","No",IF(COUNTIFS($D$5:$D$1204,D692,$B$5:$B$1204,B692,$H$5:$H$1204,"Retail")&gt;0,"Yes","No"))))</f>
        <v>0</v>
      </c>
      <c r="AK692" s="25">
        <f>IF(B692="","",COUNTIFS($Y$5:$Y$1204,"&gt;"&amp;Y692)+COUNTIFS($Y$5:Y692,Y692))</f>
        <v>0</v>
      </c>
      <c r="AL692" s="39">
        <f>IF(B692="","",IF(H692="","Add - what kind of sale is this?",IF(IF(V692&lt;=0,P692="",FALSE),"Check - no price found for this item",IF(F692="","Assign - nobody credited",IF(AH692&gt;0.004,"Unpaid - balance outstanding",IF(AC692&lt;0,"Loss - sold below cost",IF(X692&gt;W692*0.5,"Check - more than half off","OK")))))))</f>
        <v>0</v>
      </c>
    </row>
    <row r="693" spans="1:38">
      <c r="A693" s="28">
        <f>IF(B693="","",SalePrefix&amp;TEXT(ROW()-4,"0000"))</f>
        <v>0</v>
      </c>
      <c r="E693" s="15">
        <f>IF(D693="","",IFERROR(INDEX(Clients!$B$5:$B$504,MATCH(D693,Clients!$A$5:$A$504,0)),"Walk-in"))</f>
        <v>0</v>
      </c>
      <c r="G693" s="15">
        <f>IF(F693="","",IFERROR(INDEX(Staff!$B$5:$B$44,MATCH(F693,Staff!$A$5:$A$44,0)),"House"))</f>
        <v>0</v>
      </c>
      <c r="R693" s="15">
        <f>IF(B693="","",TEXT(B693,"yyyy-mm"))</f>
        <v>0</v>
      </c>
      <c r="S693" s="25">
        <f>IF(B693="","",WEEKNUM(B693,2))</f>
        <v>0</v>
      </c>
      <c r="T693" s="37">
        <f>IF(B693="","",IF(K693="",1,K693))</f>
        <v>0</v>
      </c>
      <c r="U693" s="15">
        <f>IF(B693="","",IF(J693&lt;&gt;"",J693,IF(H693="Retail",IFERROR(INDEX(Inventory!$B$5:$B$304,MATCH(I693,Inventory!$A$5:$A$304,0))&amp;"","Not in Inventory"),IFERROR(INDEX(Services!$B$5:$B$204,MATCH(I693,Services!$A$5:$A$204,0))&amp;"","Not in Services"))))</f>
        <v>0</v>
      </c>
      <c r="V693" s="26">
        <f>IF(B693="","",IF(L693&lt;&gt;"",L693,IF(H693="Retail",IFERROR(INDEX(Inventory!$I$5:$I$304,MATCH(I693,Inventory!$A$5:$A$304,0))*1,0),IFERROR(INDEX(Services!$G$5:$G$204,MATCH(I693,Services!$A$5:$A$204,0))*1,0))))</f>
        <v>0</v>
      </c>
      <c r="W693" s="26">
        <f>IF(B693="","",ROUND(T693*V693,2))</f>
        <v>0</v>
      </c>
      <c r="X693" s="26">
        <f>IF(B693="","",ROUND(IF(M693="",0,W693*M693)+IF(N693="",0,N693),2))</f>
        <v>0</v>
      </c>
      <c r="Y693" s="26">
        <f>IF(B693="","",ROUND(W693-X693-IF(P693="",0,P693),2))</f>
        <v>0</v>
      </c>
      <c r="Z693" s="26">
        <f>IF(B693="","",IF(H693="Retail",IF(TaxOnRetail="Yes",ROUND(Y693*TaxRate,2),0),IF(H693="Service",IF(TaxOnServices="Yes",ROUND(Y693*TaxRate,2),0),0)))</f>
        <v>0</v>
      </c>
      <c r="AA693" s="26">
        <f>IF(B693="","",ROUND(Y693+Z693,2))</f>
        <v>0</v>
      </c>
      <c r="AB693" s="26">
        <f>IF(B693="","",ROUND(T693*IF(H693="Retail",IFERROR(INDEX(Inventory!$H$5:$H$304,MATCH(I693,Inventory!$A$5:$A$304,0))*1,0),IFERROR(INDEX(Services!$Q$5:$Q$204,MATCH(I693,Services!$A$5:$A$204,0))*1,0)),2))</f>
        <v>0</v>
      </c>
      <c r="AC693" s="26">
        <f>IF(B693="","",ROUND(Y693-AB693,2))</f>
        <v>0</v>
      </c>
      <c r="AD693" s="38">
        <f>IF(B693="","",IF(C693="","No",IF(COUNTIFS($C$5:C693,C693)=1,"Yes","No")))</f>
        <v>0</v>
      </c>
      <c r="AE693" s="26">
        <f>IF(B693="","",ROUND(SUMIFS(Payments!$G$5:$G$1204,Payments!$H$5:$H$1204,A693,Payments!$Q$5:$Q$1204,"Yes"),2))</f>
        <v>0</v>
      </c>
      <c r="AF693" s="26">
        <f>IF(B693="","",IF(AD693="No",0,ROUND(SUMIFS(Payments!$G$5:$G$1204,Payments!$I$5:$I$1204,C693,Payments!$H$5:$H$1204,"",Payments!$Q$5:$Q$1204,"Yes"),2)))</f>
        <v>0</v>
      </c>
      <c r="AG693" s="26">
        <f>IF(B693="","",ROUND(AE693+AF693,2))</f>
        <v>0</v>
      </c>
      <c r="AH693" s="26">
        <f>IF(B693="","",ROUND(AA693-AG693,2))</f>
        <v>0</v>
      </c>
      <c r="AI693" s="39">
        <f>IF(B693="","",IF(AA693&lt;=0,"No charge",IF(AH693&lt;=0.004,"Paid",IF(AG693&lt;=0.004,"Unpaid","Part paid"))))</f>
        <v>0</v>
      </c>
      <c r="AJ693" s="38">
        <f>IF(B693="","",IF(H693&lt;&gt;"Service","",IF(D693="","No",IF(COUNTIFS($D$5:$D$1204,D693,$B$5:$B$1204,B693,$H$5:$H$1204,"Retail")&gt;0,"Yes","No"))))</f>
        <v>0</v>
      </c>
      <c r="AK693" s="25">
        <f>IF(B693="","",COUNTIFS($Y$5:$Y$1204,"&gt;"&amp;Y693)+COUNTIFS($Y$5:Y693,Y693))</f>
        <v>0</v>
      </c>
      <c r="AL693" s="39">
        <f>IF(B693="","",IF(H693="","Add - what kind of sale is this?",IF(IF(V693&lt;=0,P693="",FALSE),"Check - no price found for this item",IF(F693="","Assign - nobody credited",IF(AH693&gt;0.004,"Unpaid - balance outstanding",IF(AC693&lt;0,"Loss - sold below cost",IF(X693&gt;W693*0.5,"Check - more than half off","OK")))))))</f>
        <v>0</v>
      </c>
    </row>
    <row r="694" spans="1:38">
      <c r="A694" s="28">
        <f>IF(B694="","",SalePrefix&amp;TEXT(ROW()-4,"0000"))</f>
        <v>0</v>
      </c>
      <c r="E694" s="15">
        <f>IF(D694="","",IFERROR(INDEX(Clients!$B$5:$B$504,MATCH(D694,Clients!$A$5:$A$504,0)),"Walk-in"))</f>
        <v>0</v>
      </c>
      <c r="G694" s="15">
        <f>IF(F694="","",IFERROR(INDEX(Staff!$B$5:$B$44,MATCH(F694,Staff!$A$5:$A$44,0)),"House"))</f>
        <v>0</v>
      </c>
      <c r="R694" s="15">
        <f>IF(B694="","",TEXT(B694,"yyyy-mm"))</f>
        <v>0</v>
      </c>
      <c r="S694" s="25">
        <f>IF(B694="","",WEEKNUM(B694,2))</f>
        <v>0</v>
      </c>
      <c r="T694" s="37">
        <f>IF(B694="","",IF(K694="",1,K694))</f>
        <v>0</v>
      </c>
      <c r="U694" s="15">
        <f>IF(B694="","",IF(J694&lt;&gt;"",J694,IF(H694="Retail",IFERROR(INDEX(Inventory!$B$5:$B$304,MATCH(I694,Inventory!$A$5:$A$304,0))&amp;"","Not in Inventory"),IFERROR(INDEX(Services!$B$5:$B$204,MATCH(I694,Services!$A$5:$A$204,0))&amp;"","Not in Services"))))</f>
        <v>0</v>
      </c>
      <c r="V694" s="26">
        <f>IF(B694="","",IF(L694&lt;&gt;"",L694,IF(H694="Retail",IFERROR(INDEX(Inventory!$I$5:$I$304,MATCH(I694,Inventory!$A$5:$A$304,0))*1,0),IFERROR(INDEX(Services!$G$5:$G$204,MATCH(I694,Services!$A$5:$A$204,0))*1,0))))</f>
        <v>0</v>
      </c>
      <c r="W694" s="26">
        <f>IF(B694="","",ROUND(T694*V694,2))</f>
        <v>0</v>
      </c>
      <c r="X694" s="26">
        <f>IF(B694="","",ROUND(IF(M694="",0,W694*M694)+IF(N694="",0,N694),2))</f>
        <v>0</v>
      </c>
      <c r="Y694" s="26">
        <f>IF(B694="","",ROUND(W694-X694-IF(P694="",0,P694),2))</f>
        <v>0</v>
      </c>
      <c r="Z694" s="26">
        <f>IF(B694="","",IF(H694="Retail",IF(TaxOnRetail="Yes",ROUND(Y694*TaxRate,2),0),IF(H694="Service",IF(TaxOnServices="Yes",ROUND(Y694*TaxRate,2),0),0)))</f>
        <v>0</v>
      </c>
      <c r="AA694" s="26">
        <f>IF(B694="","",ROUND(Y694+Z694,2))</f>
        <v>0</v>
      </c>
      <c r="AB694" s="26">
        <f>IF(B694="","",ROUND(T694*IF(H694="Retail",IFERROR(INDEX(Inventory!$H$5:$H$304,MATCH(I694,Inventory!$A$5:$A$304,0))*1,0),IFERROR(INDEX(Services!$Q$5:$Q$204,MATCH(I694,Services!$A$5:$A$204,0))*1,0)),2))</f>
        <v>0</v>
      </c>
      <c r="AC694" s="26">
        <f>IF(B694="","",ROUND(Y694-AB694,2))</f>
        <v>0</v>
      </c>
      <c r="AD694" s="38">
        <f>IF(B694="","",IF(C694="","No",IF(COUNTIFS($C$5:C694,C694)=1,"Yes","No")))</f>
        <v>0</v>
      </c>
      <c r="AE694" s="26">
        <f>IF(B694="","",ROUND(SUMIFS(Payments!$G$5:$G$1204,Payments!$H$5:$H$1204,A694,Payments!$Q$5:$Q$1204,"Yes"),2))</f>
        <v>0</v>
      </c>
      <c r="AF694" s="26">
        <f>IF(B694="","",IF(AD694="No",0,ROUND(SUMIFS(Payments!$G$5:$G$1204,Payments!$I$5:$I$1204,C694,Payments!$H$5:$H$1204,"",Payments!$Q$5:$Q$1204,"Yes"),2)))</f>
        <v>0</v>
      </c>
      <c r="AG694" s="26">
        <f>IF(B694="","",ROUND(AE694+AF694,2))</f>
        <v>0</v>
      </c>
      <c r="AH694" s="26">
        <f>IF(B694="","",ROUND(AA694-AG694,2))</f>
        <v>0</v>
      </c>
      <c r="AI694" s="39">
        <f>IF(B694="","",IF(AA694&lt;=0,"No charge",IF(AH694&lt;=0.004,"Paid",IF(AG694&lt;=0.004,"Unpaid","Part paid"))))</f>
        <v>0</v>
      </c>
      <c r="AJ694" s="38">
        <f>IF(B694="","",IF(H694&lt;&gt;"Service","",IF(D694="","No",IF(COUNTIFS($D$5:$D$1204,D694,$B$5:$B$1204,B694,$H$5:$H$1204,"Retail")&gt;0,"Yes","No"))))</f>
        <v>0</v>
      </c>
      <c r="AK694" s="25">
        <f>IF(B694="","",COUNTIFS($Y$5:$Y$1204,"&gt;"&amp;Y694)+COUNTIFS($Y$5:Y694,Y694))</f>
        <v>0</v>
      </c>
      <c r="AL694" s="39">
        <f>IF(B694="","",IF(H694="","Add - what kind of sale is this?",IF(IF(V694&lt;=0,P694="",FALSE),"Check - no price found for this item",IF(F694="","Assign - nobody credited",IF(AH694&gt;0.004,"Unpaid - balance outstanding",IF(AC694&lt;0,"Loss - sold below cost",IF(X694&gt;W694*0.5,"Check - more than half off","OK")))))))</f>
        <v>0</v>
      </c>
    </row>
    <row r="695" spans="1:38">
      <c r="A695" s="28">
        <f>IF(B695="","",SalePrefix&amp;TEXT(ROW()-4,"0000"))</f>
        <v>0</v>
      </c>
      <c r="E695" s="15">
        <f>IF(D695="","",IFERROR(INDEX(Clients!$B$5:$B$504,MATCH(D695,Clients!$A$5:$A$504,0)),"Walk-in"))</f>
        <v>0</v>
      </c>
      <c r="G695" s="15">
        <f>IF(F695="","",IFERROR(INDEX(Staff!$B$5:$B$44,MATCH(F695,Staff!$A$5:$A$44,0)),"House"))</f>
        <v>0</v>
      </c>
      <c r="R695" s="15">
        <f>IF(B695="","",TEXT(B695,"yyyy-mm"))</f>
        <v>0</v>
      </c>
      <c r="S695" s="25">
        <f>IF(B695="","",WEEKNUM(B695,2))</f>
        <v>0</v>
      </c>
      <c r="T695" s="37">
        <f>IF(B695="","",IF(K695="",1,K695))</f>
        <v>0</v>
      </c>
      <c r="U695" s="15">
        <f>IF(B695="","",IF(J695&lt;&gt;"",J695,IF(H695="Retail",IFERROR(INDEX(Inventory!$B$5:$B$304,MATCH(I695,Inventory!$A$5:$A$304,0))&amp;"","Not in Inventory"),IFERROR(INDEX(Services!$B$5:$B$204,MATCH(I695,Services!$A$5:$A$204,0))&amp;"","Not in Services"))))</f>
        <v>0</v>
      </c>
      <c r="V695" s="26">
        <f>IF(B695="","",IF(L695&lt;&gt;"",L695,IF(H695="Retail",IFERROR(INDEX(Inventory!$I$5:$I$304,MATCH(I695,Inventory!$A$5:$A$304,0))*1,0),IFERROR(INDEX(Services!$G$5:$G$204,MATCH(I695,Services!$A$5:$A$204,0))*1,0))))</f>
        <v>0</v>
      </c>
      <c r="W695" s="26">
        <f>IF(B695="","",ROUND(T695*V695,2))</f>
        <v>0</v>
      </c>
      <c r="X695" s="26">
        <f>IF(B695="","",ROUND(IF(M695="",0,W695*M695)+IF(N695="",0,N695),2))</f>
        <v>0</v>
      </c>
      <c r="Y695" s="26">
        <f>IF(B695="","",ROUND(W695-X695-IF(P695="",0,P695),2))</f>
        <v>0</v>
      </c>
      <c r="Z695" s="26">
        <f>IF(B695="","",IF(H695="Retail",IF(TaxOnRetail="Yes",ROUND(Y695*TaxRate,2),0),IF(H695="Service",IF(TaxOnServices="Yes",ROUND(Y695*TaxRate,2),0),0)))</f>
        <v>0</v>
      </c>
      <c r="AA695" s="26">
        <f>IF(B695="","",ROUND(Y695+Z695,2))</f>
        <v>0</v>
      </c>
      <c r="AB695" s="26">
        <f>IF(B695="","",ROUND(T695*IF(H695="Retail",IFERROR(INDEX(Inventory!$H$5:$H$304,MATCH(I695,Inventory!$A$5:$A$304,0))*1,0),IFERROR(INDEX(Services!$Q$5:$Q$204,MATCH(I695,Services!$A$5:$A$204,0))*1,0)),2))</f>
        <v>0</v>
      </c>
      <c r="AC695" s="26">
        <f>IF(B695="","",ROUND(Y695-AB695,2))</f>
        <v>0</v>
      </c>
      <c r="AD695" s="38">
        <f>IF(B695="","",IF(C695="","No",IF(COUNTIFS($C$5:C695,C695)=1,"Yes","No")))</f>
        <v>0</v>
      </c>
      <c r="AE695" s="26">
        <f>IF(B695="","",ROUND(SUMIFS(Payments!$G$5:$G$1204,Payments!$H$5:$H$1204,A695,Payments!$Q$5:$Q$1204,"Yes"),2))</f>
        <v>0</v>
      </c>
      <c r="AF695" s="26">
        <f>IF(B695="","",IF(AD695="No",0,ROUND(SUMIFS(Payments!$G$5:$G$1204,Payments!$I$5:$I$1204,C695,Payments!$H$5:$H$1204,"",Payments!$Q$5:$Q$1204,"Yes"),2)))</f>
        <v>0</v>
      </c>
      <c r="AG695" s="26">
        <f>IF(B695="","",ROUND(AE695+AF695,2))</f>
        <v>0</v>
      </c>
      <c r="AH695" s="26">
        <f>IF(B695="","",ROUND(AA695-AG695,2))</f>
        <v>0</v>
      </c>
      <c r="AI695" s="39">
        <f>IF(B695="","",IF(AA695&lt;=0,"No charge",IF(AH695&lt;=0.004,"Paid",IF(AG695&lt;=0.004,"Unpaid","Part paid"))))</f>
        <v>0</v>
      </c>
      <c r="AJ695" s="38">
        <f>IF(B695="","",IF(H695&lt;&gt;"Service","",IF(D695="","No",IF(COUNTIFS($D$5:$D$1204,D695,$B$5:$B$1204,B695,$H$5:$H$1204,"Retail")&gt;0,"Yes","No"))))</f>
        <v>0</v>
      </c>
      <c r="AK695" s="25">
        <f>IF(B695="","",COUNTIFS($Y$5:$Y$1204,"&gt;"&amp;Y695)+COUNTIFS($Y$5:Y695,Y695))</f>
        <v>0</v>
      </c>
      <c r="AL695" s="39">
        <f>IF(B695="","",IF(H695="","Add - what kind of sale is this?",IF(IF(V695&lt;=0,P695="",FALSE),"Check - no price found for this item",IF(F695="","Assign - nobody credited",IF(AH695&gt;0.004,"Unpaid - balance outstanding",IF(AC695&lt;0,"Loss - sold below cost",IF(X695&gt;W695*0.5,"Check - more than half off","OK")))))))</f>
        <v>0</v>
      </c>
    </row>
    <row r="696" spans="1:38">
      <c r="A696" s="28">
        <f>IF(B696="","",SalePrefix&amp;TEXT(ROW()-4,"0000"))</f>
        <v>0</v>
      </c>
      <c r="E696" s="15">
        <f>IF(D696="","",IFERROR(INDEX(Clients!$B$5:$B$504,MATCH(D696,Clients!$A$5:$A$504,0)),"Walk-in"))</f>
        <v>0</v>
      </c>
      <c r="G696" s="15">
        <f>IF(F696="","",IFERROR(INDEX(Staff!$B$5:$B$44,MATCH(F696,Staff!$A$5:$A$44,0)),"House"))</f>
        <v>0</v>
      </c>
      <c r="R696" s="15">
        <f>IF(B696="","",TEXT(B696,"yyyy-mm"))</f>
        <v>0</v>
      </c>
      <c r="S696" s="25">
        <f>IF(B696="","",WEEKNUM(B696,2))</f>
        <v>0</v>
      </c>
      <c r="T696" s="37">
        <f>IF(B696="","",IF(K696="",1,K696))</f>
        <v>0</v>
      </c>
      <c r="U696" s="15">
        <f>IF(B696="","",IF(J696&lt;&gt;"",J696,IF(H696="Retail",IFERROR(INDEX(Inventory!$B$5:$B$304,MATCH(I696,Inventory!$A$5:$A$304,0))&amp;"","Not in Inventory"),IFERROR(INDEX(Services!$B$5:$B$204,MATCH(I696,Services!$A$5:$A$204,0))&amp;"","Not in Services"))))</f>
        <v>0</v>
      </c>
      <c r="V696" s="26">
        <f>IF(B696="","",IF(L696&lt;&gt;"",L696,IF(H696="Retail",IFERROR(INDEX(Inventory!$I$5:$I$304,MATCH(I696,Inventory!$A$5:$A$304,0))*1,0),IFERROR(INDEX(Services!$G$5:$G$204,MATCH(I696,Services!$A$5:$A$204,0))*1,0))))</f>
        <v>0</v>
      </c>
      <c r="W696" s="26">
        <f>IF(B696="","",ROUND(T696*V696,2))</f>
        <v>0</v>
      </c>
      <c r="X696" s="26">
        <f>IF(B696="","",ROUND(IF(M696="",0,W696*M696)+IF(N696="",0,N696),2))</f>
        <v>0</v>
      </c>
      <c r="Y696" s="26">
        <f>IF(B696="","",ROUND(W696-X696-IF(P696="",0,P696),2))</f>
        <v>0</v>
      </c>
      <c r="Z696" s="26">
        <f>IF(B696="","",IF(H696="Retail",IF(TaxOnRetail="Yes",ROUND(Y696*TaxRate,2),0),IF(H696="Service",IF(TaxOnServices="Yes",ROUND(Y696*TaxRate,2),0),0)))</f>
        <v>0</v>
      </c>
      <c r="AA696" s="26">
        <f>IF(B696="","",ROUND(Y696+Z696,2))</f>
        <v>0</v>
      </c>
      <c r="AB696" s="26">
        <f>IF(B696="","",ROUND(T696*IF(H696="Retail",IFERROR(INDEX(Inventory!$H$5:$H$304,MATCH(I696,Inventory!$A$5:$A$304,0))*1,0),IFERROR(INDEX(Services!$Q$5:$Q$204,MATCH(I696,Services!$A$5:$A$204,0))*1,0)),2))</f>
        <v>0</v>
      </c>
      <c r="AC696" s="26">
        <f>IF(B696="","",ROUND(Y696-AB696,2))</f>
        <v>0</v>
      </c>
      <c r="AD696" s="38">
        <f>IF(B696="","",IF(C696="","No",IF(COUNTIFS($C$5:C696,C696)=1,"Yes","No")))</f>
        <v>0</v>
      </c>
      <c r="AE696" s="26">
        <f>IF(B696="","",ROUND(SUMIFS(Payments!$G$5:$G$1204,Payments!$H$5:$H$1204,A696,Payments!$Q$5:$Q$1204,"Yes"),2))</f>
        <v>0</v>
      </c>
      <c r="AF696" s="26">
        <f>IF(B696="","",IF(AD696="No",0,ROUND(SUMIFS(Payments!$G$5:$G$1204,Payments!$I$5:$I$1204,C696,Payments!$H$5:$H$1204,"",Payments!$Q$5:$Q$1204,"Yes"),2)))</f>
        <v>0</v>
      </c>
      <c r="AG696" s="26">
        <f>IF(B696="","",ROUND(AE696+AF696,2))</f>
        <v>0</v>
      </c>
      <c r="AH696" s="26">
        <f>IF(B696="","",ROUND(AA696-AG696,2))</f>
        <v>0</v>
      </c>
      <c r="AI696" s="39">
        <f>IF(B696="","",IF(AA696&lt;=0,"No charge",IF(AH696&lt;=0.004,"Paid",IF(AG696&lt;=0.004,"Unpaid","Part paid"))))</f>
        <v>0</v>
      </c>
      <c r="AJ696" s="38">
        <f>IF(B696="","",IF(H696&lt;&gt;"Service","",IF(D696="","No",IF(COUNTIFS($D$5:$D$1204,D696,$B$5:$B$1204,B696,$H$5:$H$1204,"Retail")&gt;0,"Yes","No"))))</f>
        <v>0</v>
      </c>
      <c r="AK696" s="25">
        <f>IF(B696="","",COUNTIFS($Y$5:$Y$1204,"&gt;"&amp;Y696)+COUNTIFS($Y$5:Y696,Y696))</f>
        <v>0</v>
      </c>
      <c r="AL696" s="39">
        <f>IF(B696="","",IF(H696="","Add - what kind of sale is this?",IF(IF(V696&lt;=0,P696="",FALSE),"Check - no price found for this item",IF(F696="","Assign - nobody credited",IF(AH696&gt;0.004,"Unpaid - balance outstanding",IF(AC696&lt;0,"Loss - sold below cost",IF(X696&gt;W696*0.5,"Check - more than half off","OK")))))))</f>
        <v>0</v>
      </c>
    </row>
    <row r="697" spans="1:38">
      <c r="A697" s="28">
        <f>IF(B697="","",SalePrefix&amp;TEXT(ROW()-4,"0000"))</f>
        <v>0</v>
      </c>
      <c r="E697" s="15">
        <f>IF(D697="","",IFERROR(INDEX(Clients!$B$5:$B$504,MATCH(D697,Clients!$A$5:$A$504,0)),"Walk-in"))</f>
        <v>0</v>
      </c>
      <c r="G697" s="15">
        <f>IF(F697="","",IFERROR(INDEX(Staff!$B$5:$B$44,MATCH(F697,Staff!$A$5:$A$44,0)),"House"))</f>
        <v>0</v>
      </c>
      <c r="R697" s="15">
        <f>IF(B697="","",TEXT(B697,"yyyy-mm"))</f>
        <v>0</v>
      </c>
      <c r="S697" s="25">
        <f>IF(B697="","",WEEKNUM(B697,2))</f>
        <v>0</v>
      </c>
      <c r="T697" s="37">
        <f>IF(B697="","",IF(K697="",1,K697))</f>
        <v>0</v>
      </c>
      <c r="U697" s="15">
        <f>IF(B697="","",IF(J697&lt;&gt;"",J697,IF(H697="Retail",IFERROR(INDEX(Inventory!$B$5:$B$304,MATCH(I697,Inventory!$A$5:$A$304,0))&amp;"","Not in Inventory"),IFERROR(INDEX(Services!$B$5:$B$204,MATCH(I697,Services!$A$5:$A$204,0))&amp;"","Not in Services"))))</f>
        <v>0</v>
      </c>
      <c r="V697" s="26">
        <f>IF(B697="","",IF(L697&lt;&gt;"",L697,IF(H697="Retail",IFERROR(INDEX(Inventory!$I$5:$I$304,MATCH(I697,Inventory!$A$5:$A$304,0))*1,0),IFERROR(INDEX(Services!$G$5:$G$204,MATCH(I697,Services!$A$5:$A$204,0))*1,0))))</f>
        <v>0</v>
      </c>
      <c r="W697" s="26">
        <f>IF(B697="","",ROUND(T697*V697,2))</f>
        <v>0</v>
      </c>
      <c r="X697" s="26">
        <f>IF(B697="","",ROUND(IF(M697="",0,W697*M697)+IF(N697="",0,N697),2))</f>
        <v>0</v>
      </c>
      <c r="Y697" s="26">
        <f>IF(B697="","",ROUND(W697-X697-IF(P697="",0,P697),2))</f>
        <v>0</v>
      </c>
      <c r="Z697" s="26">
        <f>IF(B697="","",IF(H697="Retail",IF(TaxOnRetail="Yes",ROUND(Y697*TaxRate,2),0),IF(H697="Service",IF(TaxOnServices="Yes",ROUND(Y697*TaxRate,2),0),0)))</f>
        <v>0</v>
      </c>
      <c r="AA697" s="26">
        <f>IF(B697="","",ROUND(Y697+Z697,2))</f>
        <v>0</v>
      </c>
      <c r="AB697" s="26">
        <f>IF(B697="","",ROUND(T697*IF(H697="Retail",IFERROR(INDEX(Inventory!$H$5:$H$304,MATCH(I697,Inventory!$A$5:$A$304,0))*1,0),IFERROR(INDEX(Services!$Q$5:$Q$204,MATCH(I697,Services!$A$5:$A$204,0))*1,0)),2))</f>
        <v>0</v>
      </c>
      <c r="AC697" s="26">
        <f>IF(B697="","",ROUND(Y697-AB697,2))</f>
        <v>0</v>
      </c>
      <c r="AD697" s="38">
        <f>IF(B697="","",IF(C697="","No",IF(COUNTIFS($C$5:C697,C697)=1,"Yes","No")))</f>
        <v>0</v>
      </c>
      <c r="AE697" s="26">
        <f>IF(B697="","",ROUND(SUMIFS(Payments!$G$5:$G$1204,Payments!$H$5:$H$1204,A697,Payments!$Q$5:$Q$1204,"Yes"),2))</f>
        <v>0</v>
      </c>
      <c r="AF697" s="26">
        <f>IF(B697="","",IF(AD697="No",0,ROUND(SUMIFS(Payments!$G$5:$G$1204,Payments!$I$5:$I$1204,C697,Payments!$H$5:$H$1204,"",Payments!$Q$5:$Q$1204,"Yes"),2)))</f>
        <v>0</v>
      </c>
      <c r="AG697" s="26">
        <f>IF(B697="","",ROUND(AE697+AF697,2))</f>
        <v>0</v>
      </c>
      <c r="AH697" s="26">
        <f>IF(B697="","",ROUND(AA697-AG697,2))</f>
        <v>0</v>
      </c>
      <c r="AI697" s="39">
        <f>IF(B697="","",IF(AA697&lt;=0,"No charge",IF(AH697&lt;=0.004,"Paid",IF(AG697&lt;=0.004,"Unpaid","Part paid"))))</f>
        <v>0</v>
      </c>
      <c r="AJ697" s="38">
        <f>IF(B697="","",IF(H697&lt;&gt;"Service","",IF(D697="","No",IF(COUNTIFS($D$5:$D$1204,D697,$B$5:$B$1204,B697,$H$5:$H$1204,"Retail")&gt;0,"Yes","No"))))</f>
        <v>0</v>
      </c>
      <c r="AK697" s="25">
        <f>IF(B697="","",COUNTIFS($Y$5:$Y$1204,"&gt;"&amp;Y697)+COUNTIFS($Y$5:Y697,Y697))</f>
        <v>0</v>
      </c>
      <c r="AL697" s="39">
        <f>IF(B697="","",IF(H697="","Add - what kind of sale is this?",IF(IF(V697&lt;=0,P697="",FALSE),"Check - no price found for this item",IF(F697="","Assign - nobody credited",IF(AH697&gt;0.004,"Unpaid - balance outstanding",IF(AC697&lt;0,"Loss - sold below cost",IF(X697&gt;W697*0.5,"Check - more than half off","OK")))))))</f>
        <v>0</v>
      </c>
    </row>
    <row r="698" spans="1:38">
      <c r="A698" s="28">
        <f>IF(B698="","",SalePrefix&amp;TEXT(ROW()-4,"0000"))</f>
        <v>0</v>
      </c>
      <c r="E698" s="15">
        <f>IF(D698="","",IFERROR(INDEX(Clients!$B$5:$B$504,MATCH(D698,Clients!$A$5:$A$504,0)),"Walk-in"))</f>
        <v>0</v>
      </c>
      <c r="G698" s="15">
        <f>IF(F698="","",IFERROR(INDEX(Staff!$B$5:$B$44,MATCH(F698,Staff!$A$5:$A$44,0)),"House"))</f>
        <v>0</v>
      </c>
      <c r="R698" s="15">
        <f>IF(B698="","",TEXT(B698,"yyyy-mm"))</f>
        <v>0</v>
      </c>
      <c r="S698" s="25">
        <f>IF(B698="","",WEEKNUM(B698,2))</f>
        <v>0</v>
      </c>
      <c r="T698" s="37">
        <f>IF(B698="","",IF(K698="",1,K698))</f>
        <v>0</v>
      </c>
      <c r="U698" s="15">
        <f>IF(B698="","",IF(J698&lt;&gt;"",J698,IF(H698="Retail",IFERROR(INDEX(Inventory!$B$5:$B$304,MATCH(I698,Inventory!$A$5:$A$304,0))&amp;"","Not in Inventory"),IFERROR(INDEX(Services!$B$5:$B$204,MATCH(I698,Services!$A$5:$A$204,0))&amp;"","Not in Services"))))</f>
        <v>0</v>
      </c>
      <c r="V698" s="26">
        <f>IF(B698="","",IF(L698&lt;&gt;"",L698,IF(H698="Retail",IFERROR(INDEX(Inventory!$I$5:$I$304,MATCH(I698,Inventory!$A$5:$A$304,0))*1,0),IFERROR(INDEX(Services!$G$5:$G$204,MATCH(I698,Services!$A$5:$A$204,0))*1,0))))</f>
        <v>0</v>
      </c>
      <c r="W698" s="26">
        <f>IF(B698="","",ROUND(T698*V698,2))</f>
        <v>0</v>
      </c>
      <c r="X698" s="26">
        <f>IF(B698="","",ROUND(IF(M698="",0,W698*M698)+IF(N698="",0,N698),2))</f>
        <v>0</v>
      </c>
      <c r="Y698" s="26">
        <f>IF(B698="","",ROUND(W698-X698-IF(P698="",0,P698),2))</f>
        <v>0</v>
      </c>
      <c r="Z698" s="26">
        <f>IF(B698="","",IF(H698="Retail",IF(TaxOnRetail="Yes",ROUND(Y698*TaxRate,2),0),IF(H698="Service",IF(TaxOnServices="Yes",ROUND(Y698*TaxRate,2),0),0)))</f>
        <v>0</v>
      </c>
      <c r="AA698" s="26">
        <f>IF(B698="","",ROUND(Y698+Z698,2))</f>
        <v>0</v>
      </c>
      <c r="AB698" s="26">
        <f>IF(B698="","",ROUND(T698*IF(H698="Retail",IFERROR(INDEX(Inventory!$H$5:$H$304,MATCH(I698,Inventory!$A$5:$A$304,0))*1,0),IFERROR(INDEX(Services!$Q$5:$Q$204,MATCH(I698,Services!$A$5:$A$204,0))*1,0)),2))</f>
        <v>0</v>
      </c>
      <c r="AC698" s="26">
        <f>IF(B698="","",ROUND(Y698-AB698,2))</f>
        <v>0</v>
      </c>
      <c r="AD698" s="38">
        <f>IF(B698="","",IF(C698="","No",IF(COUNTIFS($C$5:C698,C698)=1,"Yes","No")))</f>
        <v>0</v>
      </c>
      <c r="AE698" s="26">
        <f>IF(B698="","",ROUND(SUMIFS(Payments!$G$5:$G$1204,Payments!$H$5:$H$1204,A698,Payments!$Q$5:$Q$1204,"Yes"),2))</f>
        <v>0</v>
      </c>
      <c r="AF698" s="26">
        <f>IF(B698="","",IF(AD698="No",0,ROUND(SUMIFS(Payments!$G$5:$G$1204,Payments!$I$5:$I$1204,C698,Payments!$H$5:$H$1204,"",Payments!$Q$5:$Q$1204,"Yes"),2)))</f>
        <v>0</v>
      </c>
      <c r="AG698" s="26">
        <f>IF(B698="","",ROUND(AE698+AF698,2))</f>
        <v>0</v>
      </c>
      <c r="AH698" s="26">
        <f>IF(B698="","",ROUND(AA698-AG698,2))</f>
        <v>0</v>
      </c>
      <c r="AI698" s="39">
        <f>IF(B698="","",IF(AA698&lt;=0,"No charge",IF(AH698&lt;=0.004,"Paid",IF(AG698&lt;=0.004,"Unpaid","Part paid"))))</f>
        <v>0</v>
      </c>
      <c r="AJ698" s="38">
        <f>IF(B698="","",IF(H698&lt;&gt;"Service","",IF(D698="","No",IF(COUNTIFS($D$5:$D$1204,D698,$B$5:$B$1204,B698,$H$5:$H$1204,"Retail")&gt;0,"Yes","No"))))</f>
        <v>0</v>
      </c>
      <c r="AK698" s="25">
        <f>IF(B698="","",COUNTIFS($Y$5:$Y$1204,"&gt;"&amp;Y698)+COUNTIFS($Y$5:Y698,Y698))</f>
        <v>0</v>
      </c>
      <c r="AL698" s="39">
        <f>IF(B698="","",IF(H698="","Add - what kind of sale is this?",IF(IF(V698&lt;=0,P698="",FALSE),"Check - no price found for this item",IF(F698="","Assign - nobody credited",IF(AH698&gt;0.004,"Unpaid - balance outstanding",IF(AC698&lt;0,"Loss - sold below cost",IF(X698&gt;W698*0.5,"Check - more than half off","OK")))))))</f>
        <v>0</v>
      </c>
    </row>
    <row r="699" spans="1:38">
      <c r="A699" s="28">
        <f>IF(B699="","",SalePrefix&amp;TEXT(ROW()-4,"0000"))</f>
        <v>0</v>
      </c>
      <c r="E699" s="15">
        <f>IF(D699="","",IFERROR(INDEX(Clients!$B$5:$B$504,MATCH(D699,Clients!$A$5:$A$504,0)),"Walk-in"))</f>
        <v>0</v>
      </c>
      <c r="G699" s="15">
        <f>IF(F699="","",IFERROR(INDEX(Staff!$B$5:$B$44,MATCH(F699,Staff!$A$5:$A$44,0)),"House"))</f>
        <v>0</v>
      </c>
      <c r="R699" s="15">
        <f>IF(B699="","",TEXT(B699,"yyyy-mm"))</f>
        <v>0</v>
      </c>
      <c r="S699" s="25">
        <f>IF(B699="","",WEEKNUM(B699,2))</f>
        <v>0</v>
      </c>
      <c r="T699" s="37">
        <f>IF(B699="","",IF(K699="",1,K699))</f>
        <v>0</v>
      </c>
      <c r="U699" s="15">
        <f>IF(B699="","",IF(J699&lt;&gt;"",J699,IF(H699="Retail",IFERROR(INDEX(Inventory!$B$5:$B$304,MATCH(I699,Inventory!$A$5:$A$304,0))&amp;"","Not in Inventory"),IFERROR(INDEX(Services!$B$5:$B$204,MATCH(I699,Services!$A$5:$A$204,0))&amp;"","Not in Services"))))</f>
        <v>0</v>
      </c>
      <c r="V699" s="26">
        <f>IF(B699="","",IF(L699&lt;&gt;"",L699,IF(H699="Retail",IFERROR(INDEX(Inventory!$I$5:$I$304,MATCH(I699,Inventory!$A$5:$A$304,0))*1,0),IFERROR(INDEX(Services!$G$5:$G$204,MATCH(I699,Services!$A$5:$A$204,0))*1,0))))</f>
        <v>0</v>
      </c>
      <c r="W699" s="26">
        <f>IF(B699="","",ROUND(T699*V699,2))</f>
        <v>0</v>
      </c>
      <c r="X699" s="26">
        <f>IF(B699="","",ROUND(IF(M699="",0,W699*M699)+IF(N699="",0,N699),2))</f>
        <v>0</v>
      </c>
      <c r="Y699" s="26">
        <f>IF(B699="","",ROUND(W699-X699-IF(P699="",0,P699),2))</f>
        <v>0</v>
      </c>
      <c r="Z699" s="26">
        <f>IF(B699="","",IF(H699="Retail",IF(TaxOnRetail="Yes",ROUND(Y699*TaxRate,2),0),IF(H699="Service",IF(TaxOnServices="Yes",ROUND(Y699*TaxRate,2),0),0)))</f>
        <v>0</v>
      </c>
      <c r="AA699" s="26">
        <f>IF(B699="","",ROUND(Y699+Z699,2))</f>
        <v>0</v>
      </c>
      <c r="AB699" s="26">
        <f>IF(B699="","",ROUND(T699*IF(H699="Retail",IFERROR(INDEX(Inventory!$H$5:$H$304,MATCH(I699,Inventory!$A$5:$A$304,0))*1,0),IFERROR(INDEX(Services!$Q$5:$Q$204,MATCH(I699,Services!$A$5:$A$204,0))*1,0)),2))</f>
        <v>0</v>
      </c>
      <c r="AC699" s="26">
        <f>IF(B699="","",ROUND(Y699-AB699,2))</f>
        <v>0</v>
      </c>
      <c r="AD699" s="38">
        <f>IF(B699="","",IF(C699="","No",IF(COUNTIFS($C$5:C699,C699)=1,"Yes","No")))</f>
        <v>0</v>
      </c>
      <c r="AE699" s="26">
        <f>IF(B699="","",ROUND(SUMIFS(Payments!$G$5:$G$1204,Payments!$H$5:$H$1204,A699,Payments!$Q$5:$Q$1204,"Yes"),2))</f>
        <v>0</v>
      </c>
      <c r="AF699" s="26">
        <f>IF(B699="","",IF(AD699="No",0,ROUND(SUMIFS(Payments!$G$5:$G$1204,Payments!$I$5:$I$1204,C699,Payments!$H$5:$H$1204,"",Payments!$Q$5:$Q$1204,"Yes"),2)))</f>
        <v>0</v>
      </c>
      <c r="AG699" s="26">
        <f>IF(B699="","",ROUND(AE699+AF699,2))</f>
        <v>0</v>
      </c>
      <c r="AH699" s="26">
        <f>IF(B699="","",ROUND(AA699-AG699,2))</f>
        <v>0</v>
      </c>
      <c r="AI699" s="39">
        <f>IF(B699="","",IF(AA699&lt;=0,"No charge",IF(AH699&lt;=0.004,"Paid",IF(AG699&lt;=0.004,"Unpaid","Part paid"))))</f>
        <v>0</v>
      </c>
      <c r="AJ699" s="38">
        <f>IF(B699="","",IF(H699&lt;&gt;"Service","",IF(D699="","No",IF(COUNTIFS($D$5:$D$1204,D699,$B$5:$B$1204,B699,$H$5:$H$1204,"Retail")&gt;0,"Yes","No"))))</f>
        <v>0</v>
      </c>
      <c r="AK699" s="25">
        <f>IF(B699="","",COUNTIFS($Y$5:$Y$1204,"&gt;"&amp;Y699)+COUNTIFS($Y$5:Y699,Y699))</f>
        <v>0</v>
      </c>
      <c r="AL699" s="39">
        <f>IF(B699="","",IF(H699="","Add - what kind of sale is this?",IF(IF(V699&lt;=0,P699="",FALSE),"Check - no price found for this item",IF(F699="","Assign - nobody credited",IF(AH699&gt;0.004,"Unpaid - balance outstanding",IF(AC699&lt;0,"Loss - sold below cost",IF(X699&gt;W699*0.5,"Check - more than half off","OK")))))))</f>
        <v>0</v>
      </c>
    </row>
    <row r="700" spans="1:38">
      <c r="A700" s="28">
        <f>IF(B700="","",SalePrefix&amp;TEXT(ROW()-4,"0000"))</f>
        <v>0</v>
      </c>
      <c r="E700" s="15">
        <f>IF(D700="","",IFERROR(INDEX(Clients!$B$5:$B$504,MATCH(D700,Clients!$A$5:$A$504,0)),"Walk-in"))</f>
        <v>0</v>
      </c>
      <c r="G700" s="15">
        <f>IF(F700="","",IFERROR(INDEX(Staff!$B$5:$B$44,MATCH(F700,Staff!$A$5:$A$44,0)),"House"))</f>
        <v>0</v>
      </c>
      <c r="R700" s="15">
        <f>IF(B700="","",TEXT(B700,"yyyy-mm"))</f>
        <v>0</v>
      </c>
      <c r="S700" s="25">
        <f>IF(B700="","",WEEKNUM(B700,2))</f>
        <v>0</v>
      </c>
      <c r="T700" s="37">
        <f>IF(B700="","",IF(K700="",1,K700))</f>
        <v>0</v>
      </c>
      <c r="U700" s="15">
        <f>IF(B700="","",IF(J700&lt;&gt;"",J700,IF(H700="Retail",IFERROR(INDEX(Inventory!$B$5:$B$304,MATCH(I700,Inventory!$A$5:$A$304,0))&amp;"","Not in Inventory"),IFERROR(INDEX(Services!$B$5:$B$204,MATCH(I700,Services!$A$5:$A$204,0))&amp;"","Not in Services"))))</f>
        <v>0</v>
      </c>
      <c r="V700" s="26">
        <f>IF(B700="","",IF(L700&lt;&gt;"",L700,IF(H700="Retail",IFERROR(INDEX(Inventory!$I$5:$I$304,MATCH(I700,Inventory!$A$5:$A$304,0))*1,0),IFERROR(INDEX(Services!$G$5:$G$204,MATCH(I700,Services!$A$5:$A$204,0))*1,0))))</f>
        <v>0</v>
      </c>
      <c r="W700" s="26">
        <f>IF(B700="","",ROUND(T700*V700,2))</f>
        <v>0</v>
      </c>
      <c r="X700" s="26">
        <f>IF(B700="","",ROUND(IF(M700="",0,W700*M700)+IF(N700="",0,N700),2))</f>
        <v>0</v>
      </c>
      <c r="Y700" s="26">
        <f>IF(B700="","",ROUND(W700-X700-IF(P700="",0,P700),2))</f>
        <v>0</v>
      </c>
      <c r="Z700" s="26">
        <f>IF(B700="","",IF(H700="Retail",IF(TaxOnRetail="Yes",ROUND(Y700*TaxRate,2),0),IF(H700="Service",IF(TaxOnServices="Yes",ROUND(Y700*TaxRate,2),0),0)))</f>
        <v>0</v>
      </c>
      <c r="AA700" s="26">
        <f>IF(B700="","",ROUND(Y700+Z700,2))</f>
        <v>0</v>
      </c>
      <c r="AB700" s="26">
        <f>IF(B700="","",ROUND(T700*IF(H700="Retail",IFERROR(INDEX(Inventory!$H$5:$H$304,MATCH(I700,Inventory!$A$5:$A$304,0))*1,0),IFERROR(INDEX(Services!$Q$5:$Q$204,MATCH(I700,Services!$A$5:$A$204,0))*1,0)),2))</f>
        <v>0</v>
      </c>
      <c r="AC700" s="26">
        <f>IF(B700="","",ROUND(Y700-AB700,2))</f>
        <v>0</v>
      </c>
      <c r="AD700" s="38">
        <f>IF(B700="","",IF(C700="","No",IF(COUNTIFS($C$5:C700,C700)=1,"Yes","No")))</f>
        <v>0</v>
      </c>
      <c r="AE700" s="26">
        <f>IF(B700="","",ROUND(SUMIFS(Payments!$G$5:$G$1204,Payments!$H$5:$H$1204,A700,Payments!$Q$5:$Q$1204,"Yes"),2))</f>
        <v>0</v>
      </c>
      <c r="AF700" s="26">
        <f>IF(B700="","",IF(AD700="No",0,ROUND(SUMIFS(Payments!$G$5:$G$1204,Payments!$I$5:$I$1204,C700,Payments!$H$5:$H$1204,"",Payments!$Q$5:$Q$1204,"Yes"),2)))</f>
        <v>0</v>
      </c>
      <c r="AG700" s="26">
        <f>IF(B700="","",ROUND(AE700+AF700,2))</f>
        <v>0</v>
      </c>
      <c r="AH700" s="26">
        <f>IF(B700="","",ROUND(AA700-AG700,2))</f>
        <v>0</v>
      </c>
      <c r="AI700" s="39">
        <f>IF(B700="","",IF(AA700&lt;=0,"No charge",IF(AH700&lt;=0.004,"Paid",IF(AG700&lt;=0.004,"Unpaid","Part paid"))))</f>
        <v>0</v>
      </c>
      <c r="AJ700" s="38">
        <f>IF(B700="","",IF(H700&lt;&gt;"Service","",IF(D700="","No",IF(COUNTIFS($D$5:$D$1204,D700,$B$5:$B$1204,B700,$H$5:$H$1204,"Retail")&gt;0,"Yes","No"))))</f>
        <v>0</v>
      </c>
      <c r="AK700" s="25">
        <f>IF(B700="","",COUNTIFS($Y$5:$Y$1204,"&gt;"&amp;Y700)+COUNTIFS($Y$5:Y700,Y700))</f>
        <v>0</v>
      </c>
      <c r="AL700" s="39">
        <f>IF(B700="","",IF(H700="","Add - what kind of sale is this?",IF(IF(V700&lt;=0,P700="",FALSE),"Check - no price found for this item",IF(F700="","Assign - nobody credited",IF(AH700&gt;0.004,"Unpaid - balance outstanding",IF(AC700&lt;0,"Loss - sold below cost",IF(X700&gt;W700*0.5,"Check - more than half off","OK")))))))</f>
        <v>0</v>
      </c>
    </row>
    <row r="701" spans="1:38">
      <c r="A701" s="28">
        <f>IF(B701="","",SalePrefix&amp;TEXT(ROW()-4,"0000"))</f>
        <v>0</v>
      </c>
      <c r="E701" s="15">
        <f>IF(D701="","",IFERROR(INDEX(Clients!$B$5:$B$504,MATCH(D701,Clients!$A$5:$A$504,0)),"Walk-in"))</f>
        <v>0</v>
      </c>
      <c r="G701" s="15">
        <f>IF(F701="","",IFERROR(INDEX(Staff!$B$5:$B$44,MATCH(F701,Staff!$A$5:$A$44,0)),"House"))</f>
        <v>0</v>
      </c>
      <c r="R701" s="15">
        <f>IF(B701="","",TEXT(B701,"yyyy-mm"))</f>
        <v>0</v>
      </c>
      <c r="S701" s="25">
        <f>IF(B701="","",WEEKNUM(B701,2))</f>
        <v>0</v>
      </c>
      <c r="T701" s="37">
        <f>IF(B701="","",IF(K701="",1,K701))</f>
        <v>0</v>
      </c>
      <c r="U701" s="15">
        <f>IF(B701="","",IF(J701&lt;&gt;"",J701,IF(H701="Retail",IFERROR(INDEX(Inventory!$B$5:$B$304,MATCH(I701,Inventory!$A$5:$A$304,0))&amp;"","Not in Inventory"),IFERROR(INDEX(Services!$B$5:$B$204,MATCH(I701,Services!$A$5:$A$204,0))&amp;"","Not in Services"))))</f>
        <v>0</v>
      </c>
      <c r="V701" s="26">
        <f>IF(B701="","",IF(L701&lt;&gt;"",L701,IF(H701="Retail",IFERROR(INDEX(Inventory!$I$5:$I$304,MATCH(I701,Inventory!$A$5:$A$304,0))*1,0),IFERROR(INDEX(Services!$G$5:$G$204,MATCH(I701,Services!$A$5:$A$204,0))*1,0))))</f>
        <v>0</v>
      </c>
      <c r="W701" s="26">
        <f>IF(B701="","",ROUND(T701*V701,2))</f>
        <v>0</v>
      </c>
      <c r="X701" s="26">
        <f>IF(B701="","",ROUND(IF(M701="",0,W701*M701)+IF(N701="",0,N701),2))</f>
        <v>0</v>
      </c>
      <c r="Y701" s="26">
        <f>IF(B701="","",ROUND(W701-X701-IF(P701="",0,P701),2))</f>
        <v>0</v>
      </c>
      <c r="Z701" s="26">
        <f>IF(B701="","",IF(H701="Retail",IF(TaxOnRetail="Yes",ROUND(Y701*TaxRate,2),0),IF(H701="Service",IF(TaxOnServices="Yes",ROUND(Y701*TaxRate,2),0),0)))</f>
        <v>0</v>
      </c>
      <c r="AA701" s="26">
        <f>IF(B701="","",ROUND(Y701+Z701,2))</f>
        <v>0</v>
      </c>
      <c r="AB701" s="26">
        <f>IF(B701="","",ROUND(T701*IF(H701="Retail",IFERROR(INDEX(Inventory!$H$5:$H$304,MATCH(I701,Inventory!$A$5:$A$304,0))*1,0),IFERROR(INDEX(Services!$Q$5:$Q$204,MATCH(I701,Services!$A$5:$A$204,0))*1,0)),2))</f>
        <v>0</v>
      </c>
      <c r="AC701" s="26">
        <f>IF(B701="","",ROUND(Y701-AB701,2))</f>
        <v>0</v>
      </c>
      <c r="AD701" s="38">
        <f>IF(B701="","",IF(C701="","No",IF(COUNTIFS($C$5:C701,C701)=1,"Yes","No")))</f>
        <v>0</v>
      </c>
      <c r="AE701" s="26">
        <f>IF(B701="","",ROUND(SUMIFS(Payments!$G$5:$G$1204,Payments!$H$5:$H$1204,A701,Payments!$Q$5:$Q$1204,"Yes"),2))</f>
        <v>0</v>
      </c>
      <c r="AF701" s="26">
        <f>IF(B701="","",IF(AD701="No",0,ROUND(SUMIFS(Payments!$G$5:$G$1204,Payments!$I$5:$I$1204,C701,Payments!$H$5:$H$1204,"",Payments!$Q$5:$Q$1204,"Yes"),2)))</f>
        <v>0</v>
      </c>
      <c r="AG701" s="26">
        <f>IF(B701="","",ROUND(AE701+AF701,2))</f>
        <v>0</v>
      </c>
      <c r="AH701" s="26">
        <f>IF(B701="","",ROUND(AA701-AG701,2))</f>
        <v>0</v>
      </c>
      <c r="AI701" s="39">
        <f>IF(B701="","",IF(AA701&lt;=0,"No charge",IF(AH701&lt;=0.004,"Paid",IF(AG701&lt;=0.004,"Unpaid","Part paid"))))</f>
        <v>0</v>
      </c>
      <c r="AJ701" s="38">
        <f>IF(B701="","",IF(H701&lt;&gt;"Service","",IF(D701="","No",IF(COUNTIFS($D$5:$D$1204,D701,$B$5:$B$1204,B701,$H$5:$H$1204,"Retail")&gt;0,"Yes","No"))))</f>
        <v>0</v>
      </c>
      <c r="AK701" s="25">
        <f>IF(B701="","",COUNTIFS($Y$5:$Y$1204,"&gt;"&amp;Y701)+COUNTIFS($Y$5:Y701,Y701))</f>
        <v>0</v>
      </c>
      <c r="AL701" s="39">
        <f>IF(B701="","",IF(H701="","Add - what kind of sale is this?",IF(IF(V701&lt;=0,P701="",FALSE),"Check - no price found for this item",IF(F701="","Assign - nobody credited",IF(AH701&gt;0.004,"Unpaid - balance outstanding",IF(AC701&lt;0,"Loss - sold below cost",IF(X701&gt;W701*0.5,"Check - more than half off","OK")))))))</f>
        <v>0</v>
      </c>
    </row>
    <row r="702" spans="1:38">
      <c r="A702" s="28">
        <f>IF(B702="","",SalePrefix&amp;TEXT(ROW()-4,"0000"))</f>
        <v>0</v>
      </c>
      <c r="E702" s="15">
        <f>IF(D702="","",IFERROR(INDEX(Clients!$B$5:$B$504,MATCH(D702,Clients!$A$5:$A$504,0)),"Walk-in"))</f>
        <v>0</v>
      </c>
      <c r="G702" s="15">
        <f>IF(F702="","",IFERROR(INDEX(Staff!$B$5:$B$44,MATCH(F702,Staff!$A$5:$A$44,0)),"House"))</f>
        <v>0</v>
      </c>
      <c r="R702" s="15">
        <f>IF(B702="","",TEXT(B702,"yyyy-mm"))</f>
        <v>0</v>
      </c>
      <c r="S702" s="25">
        <f>IF(B702="","",WEEKNUM(B702,2))</f>
        <v>0</v>
      </c>
      <c r="T702" s="37">
        <f>IF(B702="","",IF(K702="",1,K702))</f>
        <v>0</v>
      </c>
      <c r="U702" s="15">
        <f>IF(B702="","",IF(J702&lt;&gt;"",J702,IF(H702="Retail",IFERROR(INDEX(Inventory!$B$5:$B$304,MATCH(I702,Inventory!$A$5:$A$304,0))&amp;"","Not in Inventory"),IFERROR(INDEX(Services!$B$5:$B$204,MATCH(I702,Services!$A$5:$A$204,0))&amp;"","Not in Services"))))</f>
        <v>0</v>
      </c>
      <c r="V702" s="26">
        <f>IF(B702="","",IF(L702&lt;&gt;"",L702,IF(H702="Retail",IFERROR(INDEX(Inventory!$I$5:$I$304,MATCH(I702,Inventory!$A$5:$A$304,0))*1,0),IFERROR(INDEX(Services!$G$5:$G$204,MATCH(I702,Services!$A$5:$A$204,0))*1,0))))</f>
        <v>0</v>
      </c>
      <c r="W702" s="26">
        <f>IF(B702="","",ROUND(T702*V702,2))</f>
        <v>0</v>
      </c>
      <c r="X702" s="26">
        <f>IF(B702="","",ROUND(IF(M702="",0,W702*M702)+IF(N702="",0,N702),2))</f>
        <v>0</v>
      </c>
      <c r="Y702" s="26">
        <f>IF(B702="","",ROUND(W702-X702-IF(P702="",0,P702),2))</f>
        <v>0</v>
      </c>
      <c r="Z702" s="26">
        <f>IF(B702="","",IF(H702="Retail",IF(TaxOnRetail="Yes",ROUND(Y702*TaxRate,2),0),IF(H702="Service",IF(TaxOnServices="Yes",ROUND(Y702*TaxRate,2),0),0)))</f>
        <v>0</v>
      </c>
      <c r="AA702" s="26">
        <f>IF(B702="","",ROUND(Y702+Z702,2))</f>
        <v>0</v>
      </c>
      <c r="AB702" s="26">
        <f>IF(B702="","",ROUND(T702*IF(H702="Retail",IFERROR(INDEX(Inventory!$H$5:$H$304,MATCH(I702,Inventory!$A$5:$A$304,0))*1,0),IFERROR(INDEX(Services!$Q$5:$Q$204,MATCH(I702,Services!$A$5:$A$204,0))*1,0)),2))</f>
        <v>0</v>
      </c>
      <c r="AC702" s="26">
        <f>IF(B702="","",ROUND(Y702-AB702,2))</f>
        <v>0</v>
      </c>
      <c r="AD702" s="38">
        <f>IF(B702="","",IF(C702="","No",IF(COUNTIFS($C$5:C702,C702)=1,"Yes","No")))</f>
        <v>0</v>
      </c>
      <c r="AE702" s="26">
        <f>IF(B702="","",ROUND(SUMIFS(Payments!$G$5:$G$1204,Payments!$H$5:$H$1204,A702,Payments!$Q$5:$Q$1204,"Yes"),2))</f>
        <v>0</v>
      </c>
      <c r="AF702" s="26">
        <f>IF(B702="","",IF(AD702="No",0,ROUND(SUMIFS(Payments!$G$5:$G$1204,Payments!$I$5:$I$1204,C702,Payments!$H$5:$H$1204,"",Payments!$Q$5:$Q$1204,"Yes"),2)))</f>
        <v>0</v>
      </c>
      <c r="AG702" s="26">
        <f>IF(B702="","",ROUND(AE702+AF702,2))</f>
        <v>0</v>
      </c>
      <c r="AH702" s="26">
        <f>IF(B702="","",ROUND(AA702-AG702,2))</f>
        <v>0</v>
      </c>
      <c r="AI702" s="39">
        <f>IF(B702="","",IF(AA702&lt;=0,"No charge",IF(AH702&lt;=0.004,"Paid",IF(AG702&lt;=0.004,"Unpaid","Part paid"))))</f>
        <v>0</v>
      </c>
      <c r="AJ702" s="38">
        <f>IF(B702="","",IF(H702&lt;&gt;"Service","",IF(D702="","No",IF(COUNTIFS($D$5:$D$1204,D702,$B$5:$B$1204,B702,$H$5:$H$1204,"Retail")&gt;0,"Yes","No"))))</f>
        <v>0</v>
      </c>
      <c r="AK702" s="25">
        <f>IF(B702="","",COUNTIFS($Y$5:$Y$1204,"&gt;"&amp;Y702)+COUNTIFS($Y$5:Y702,Y702))</f>
        <v>0</v>
      </c>
      <c r="AL702" s="39">
        <f>IF(B702="","",IF(H702="","Add - what kind of sale is this?",IF(IF(V702&lt;=0,P702="",FALSE),"Check - no price found for this item",IF(F702="","Assign - nobody credited",IF(AH702&gt;0.004,"Unpaid - balance outstanding",IF(AC702&lt;0,"Loss - sold below cost",IF(X702&gt;W702*0.5,"Check - more than half off","OK")))))))</f>
        <v>0</v>
      </c>
    </row>
    <row r="703" spans="1:38">
      <c r="A703" s="28">
        <f>IF(B703="","",SalePrefix&amp;TEXT(ROW()-4,"0000"))</f>
        <v>0</v>
      </c>
      <c r="E703" s="15">
        <f>IF(D703="","",IFERROR(INDEX(Clients!$B$5:$B$504,MATCH(D703,Clients!$A$5:$A$504,0)),"Walk-in"))</f>
        <v>0</v>
      </c>
      <c r="G703" s="15">
        <f>IF(F703="","",IFERROR(INDEX(Staff!$B$5:$B$44,MATCH(F703,Staff!$A$5:$A$44,0)),"House"))</f>
        <v>0</v>
      </c>
      <c r="R703" s="15">
        <f>IF(B703="","",TEXT(B703,"yyyy-mm"))</f>
        <v>0</v>
      </c>
      <c r="S703" s="25">
        <f>IF(B703="","",WEEKNUM(B703,2))</f>
        <v>0</v>
      </c>
      <c r="T703" s="37">
        <f>IF(B703="","",IF(K703="",1,K703))</f>
        <v>0</v>
      </c>
      <c r="U703" s="15">
        <f>IF(B703="","",IF(J703&lt;&gt;"",J703,IF(H703="Retail",IFERROR(INDEX(Inventory!$B$5:$B$304,MATCH(I703,Inventory!$A$5:$A$304,0))&amp;"","Not in Inventory"),IFERROR(INDEX(Services!$B$5:$B$204,MATCH(I703,Services!$A$5:$A$204,0))&amp;"","Not in Services"))))</f>
        <v>0</v>
      </c>
      <c r="V703" s="26">
        <f>IF(B703="","",IF(L703&lt;&gt;"",L703,IF(H703="Retail",IFERROR(INDEX(Inventory!$I$5:$I$304,MATCH(I703,Inventory!$A$5:$A$304,0))*1,0),IFERROR(INDEX(Services!$G$5:$G$204,MATCH(I703,Services!$A$5:$A$204,0))*1,0))))</f>
        <v>0</v>
      </c>
      <c r="W703" s="26">
        <f>IF(B703="","",ROUND(T703*V703,2))</f>
        <v>0</v>
      </c>
      <c r="X703" s="26">
        <f>IF(B703="","",ROUND(IF(M703="",0,W703*M703)+IF(N703="",0,N703),2))</f>
        <v>0</v>
      </c>
      <c r="Y703" s="26">
        <f>IF(B703="","",ROUND(W703-X703-IF(P703="",0,P703),2))</f>
        <v>0</v>
      </c>
      <c r="Z703" s="26">
        <f>IF(B703="","",IF(H703="Retail",IF(TaxOnRetail="Yes",ROUND(Y703*TaxRate,2),0),IF(H703="Service",IF(TaxOnServices="Yes",ROUND(Y703*TaxRate,2),0),0)))</f>
        <v>0</v>
      </c>
      <c r="AA703" s="26">
        <f>IF(B703="","",ROUND(Y703+Z703,2))</f>
        <v>0</v>
      </c>
      <c r="AB703" s="26">
        <f>IF(B703="","",ROUND(T703*IF(H703="Retail",IFERROR(INDEX(Inventory!$H$5:$H$304,MATCH(I703,Inventory!$A$5:$A$304,0))*1,0),IFERROR(INDEX(Services!$Q$5:$Q$204,MATCH(I703,Services!$A$5:$A$204,0))*1,0)),2))</f>
        <v>0</v>
      </c>
      <c r="AC703" s="26">
        <f>IF(B703="","",ROUND(Y703-AB703,2))</f>
        <v>0</v>
      </c>
      <c r="AD703" s="38">
        <f>IF(B703="","",IF(C703="","No",IF(COUNTIFS($C$5:C703,C703)=1,"Yes","No")))</f>
        <v>0</v>
      </c>
      <c r="AE703" s="26">
        <f>IF(B703="","",ROUND(SUMIFS(Payments!$G$5:$G$1204,Payments!$H$5:$H$1204,A703,Payments!$Q$5:$Q$1204,"Yes"),2))</f>
        <v>0</v>
      </c>
      <c r="AF703" s="26">
        <f>IF(B703="","",IF(AD703="No",0,ROUND(SUMIFS(Payments!$G$5:$G$1204,Payments!$I$5:$I$1204,C703,Payments!$H$5:$H$1204,"",Payments!$Q$5:$Q$1204,"Yes"),2)))</f>
        <v>0</v>
      </c>
      <c r="AG703" s="26">
        <f>IF(B703="","",ROUND(AE703+AF703,2))</f>
        <v>0</v>
      </c>
      <c r="AH703" s="26">
        <f>IF(B703="","",ROUND(AA703-AG703,2))</f>
        <v>0</v>
      </c>
      <c r="AI703" s="39">
        <f>IF(B703="","",IF(AA703&lt;=0,"No charge",IF(AH703&lt;=0.004,"Paid",IF(AG703&lt;=0.004,"Unpaid","Part paid"))))</f>
        <v>0</v>
      </c>
      <c r="AJ703" s="38">
        <f>IF(B703="","",IF(H703&lt;&gt;"Service","",IF(D703="","No",IF(COUNTIFS($D$5:$D$1204,D703,$B$5:$B$1204,B703,$H$5:$H$1204,"Retail")&gt;0,"Yes","No"))))</f>
        <v>0</v>
      </c>
      <c r="AK703" s="25">
        <f>IF(B703="","",COUNTIFS($Y$5:$Y$1204,"&gt;"&amp;Y703)+COUNTIFS($Y$5:Y703,Y703))</f>
        <v>0</v>
      </c>
      <c r="AL703" s="39">
        <f>IF(B703="","",IF(H703="","Add - what kind of sale is this?",IF(IF(V703&lt;=0,P703="",FALSE),"Check - no price found for this item",IF(F703="","Assign - nobody credited",IF(AH703&gt;0.004,"Unpaid - balance outstanding",IF(AC703&lt;0,"Loss - sold below cost",IF(X703&gt;W703*0.5,"Check - more than half off","OK")))))))</f>
        <v>0</v>
      </c>
    </row>
    <row r="704" spans="1:38">
      <c r="A704" s="28">
        <f>IF(B704="","",SalePrefix&amp;TEXT(ROW()-4,"0000"))</f>
        <v>0</v>
      </c>
      <c r="E704" s="15">
        <f>IF(D704="","",IFERROR(INDEX(Clients!$B$5:$B$504,MATCH(D704,Clients!$A$5:$A$504,0)),"Walk-in"))</f>
        <v>0</v>
      </c>
      <c r="G704" s="15">
        <f>IF(F704="","",IFERROR(INDEX(Staff!$B$5:$B$44,MATCH(F704,Staff!$A$5:$A$44,0)),"House"))</f>
        <v>0</v>
      </c>
      <c r="R704" s="15">
        <f>IF(B704="","",TEXT(B704,"yyyy-mm"))</f>
        <v>0</v>
      </c>
      <c r="S704" s="25">
        <f>IF(B704="","",WEEKNUM(B704,2))</f>
        <v>0</v>
      </c>
      <c r="T704" s="37">
        <f>IF(B704="","",IF(K704="",1,K704))</f>
        <v>0</v>
      </c>
      <c r="U704" s="15">
        <f>IF(B704="","",IF(J704&lt;&gt;"",J704,IF(H704="Retail",IFERROR(INDEX(Inventory!$B$5:$B$304,MATCH(I704,Inventory!$A$5:$A$304,0))&amp;"","Not in Inventory"),IFERROR(INDEX(Services!$B$5:$B$204,MATCH(I704,Services!$A$5:$A$204,0))&amp;"","Not in Services"))))</f>
        <v>0</v>
      </c>
      <c r="V704" s="26">
        <f>IF(B704="","",IF(L704&lt;&gt;"",L704,IF(H704="Retail",IFERROR(INDEX(Inventory!$I$5:$I$304,MATCH(I704,Inventory!$A$5:$A$304,0))*1,0),IFERROR(INDEX(Services!$G$5:$G$204,MATCH(I704,Services!$A$5:$A$204,0))*1,0))))</f>
        <v>0</v>
      </c>
      <c r="W704" s="26">
        <f>IF(B704="","",ROUND(T704*V704,2))</f>
        <v>0</v>
      </c>
      <c r="X704" s="26">
        <f>IF(B704="","",ROUND(IF(M704="",0,W704*M704)+IF(N704="",0,N704),2))</f>
        <v>0</v>
      </c>
      <c r="Y704" s="26">
        <f>IF(B704="","",ROUND(W704-X704-IF(P704="",0,P704),2))</f>
        <v>0</v>
      </c>
      <c r="Z704" s="26">
        <f>IF(B704="","",IF(H704="Retail",IF(TaxOnRetail="Yes",ROUND(Y704*TaxRate,2),0),IF(H704="Service",IF(TaxOnServices="Yes",ROUND(Y704*TaxRate,2),0),0)))</f>
        <v>0</v>
      </c>
      <c r="AA704" s="26">
        <f>IF(B704="","",ROUND(Y704+Z704,2))</f>
        <v>0</v>
      </c>
      <c r="AB704" s="26">
        <f>IF(B704="","",ROUND(T704*IF(H704="Retail",IFERROR(INDEX(Inventory!$H$5:$H$304,MATCH(I704,Inventory!$A$5:$A$304,0))*1,0),IFERROR(INDEX(Services!$Q$5:$Q$204,MATCH(I704,Services!$A$5:$A$204,0))*1,0)),2))</f>
        <v>0</v>
      </c>
      <c r="AC704" s="26">
        <f>IF(B704="","",ROUND(Y704-AB704,2))</f>
        <v>0</v>
      </c>
      <c r="AD704" s="38">
        <f>IF(B704="","",IF(C704="","No",IF(COUNTIFS($C$5:C704,C704)=1,"Yes","No")))</f>
        <v>0</v>
      </c>
      <c r="AE704" s="26">
        <f>IF(B704="","",ROUND(SUMIFS(Payments!$G$5:$G$1204,Payments!$H$5:$H$1204,A704,Payments!$Q$5:$Q$1204,"Yes"),2))</f>
        <v>0</v>
      </c>
      <c r="AF704" s="26">
        <f>IF(B704="","",IF(AD704="No",0,ROUND(SUMIFS(Payments!$G$5:$G$1204,Payments!$I$5:$I$1204,C704,Payments!$H$5:$H$1204,"",Payments!$Q$5:$Q$1204,"Yes"),2)))</f>
        <v>0</v>
      </c>
      <c r="AG704" s="26">
        <f>IF(B704="","",ROUND(AE704+AF704,2))</f>
        <v>0</v>
      </c>
      <c r="AH704" s="26">
        <f>IF(B704="","",ROUND(AA704-AG704,2))</f>
        <v>0</v>
      </c>
      <c r="AI704" s="39">
        <f>IF(B704="","",IF(AA704&lt;=0,"No charge",IF(AH704&lt;=0.004,"Paid",IF(AG704&lt;=0.004,"Unpaid","Part paid"))))</f>
        <v>0</v>
      </c>
      <c r="AJ704" s="38">
        <f>IF(B704="","",IF(H704&lt;&gt;"Service","",IF(D704="","No",IF(COUNTIFS($D$5:$D$1204,D704,$B$5:$B$1204,B704,$H$5:$H$1204,"Retail")&gt;0,"Yes","No"))))</f>
        <v>0</v>
      </c>
      <c r="AK704" s="25">
        <f>IF(B704="","",COUNTIFS($Y$5:$Y$1204,"&gt;"&amp;Y704)+COUNTIFS($Y$5:Y704,Y704))</f>
        <v>0</v>
      </c>
      <c r="AL704" s="39">
        <f>IF(B704="","",IF(H704="","Add - what kind of sale is this?",IF(IF(V704&lt;=0,P704="",FALSE),"Check - no price found for this item",IF(F704="","Assign - nobody credited",IF(AH704&gt;0.004,"Unpaid - balance outstanding",IF(AC704&lt;0,"Loss - sold below cost",IF(X704&gt;W704*0.5,"Check - more than half off","OK")))))))</f>
        <v>0</v>
      </c>
    </row>
    <row r="705" spans="1:38">
      <c r="A705" s="28">
        <f>IF(B705="","",SalePrefix&amp;TEXT(ROW()-4,"0000"))</f>
        <v>0</v>
      </c>
      <c r="E705" s="15">
        <f>IF(D705="","",IFERROR(INDEX(Clients!$B$5:$B$504,MATCH(D705,Clients!$A$5:$A$504,0)),"Walk-in"))</f>
        <v>0</v>
      </c>
      <c r="G705" s="15">
        <f>IF(F705="","",IFERROR(INDEX(Staff!$B$5:$B$44,MATCH(F705,Staff!$A$5:$A$44,0)),"House"))</f>
        <v>0</v>
      </c>
      <c r="R705" s="15">
        <f>IF(B705="","",TEXT(B705,"yyyy-mm"))</f>
        <v>0</v>
      </c>
      <c r="S705" s="25">
        <f>IF(B705="","",WEEKNUM(B705,2))</f>
        <v>0</v>
      </c>
      <c r="T705" s="37">
        <f>IF(B705="","",IF(K705="",1,K705))</f>
        <v>0</v>
      </c>
      <c r="U705" s="15">
        <f>IF(B705="","",IF(J705&lt;&gt;"",J705,IF(H705="Retail",IFERROR(INDEX(Inventory!$B$5:$B$304,MATCH(I705,Inventory!$A$5:$A$304,0))&amp;"","Not in Inventory"),IFERROR(INDEX(Services!$B$5:$B$204,MATCH(I705,Services!$A$5:$A$204,0))&amp;"","Not in Services"))))</f>
        <v>0</v>
      </c>
      <c r="V705" s="26">
        <f>IF(B705="","",IF(L705&lt;&gt;"",L705,IF(H705="Retail",IFERROR(INDEX(Inventory!$I$5:$I$304,MATCH(I705,Inventory!$A$5:$A$304,0))*1,0),IFERROR(INDEX(Services!$G$5:$G$204,MATCH(I705,Services!$A$5:$A$204,0))*1,0))))</f>
        <v>0</v>
      </c>
      <c r="W705" s="26">
        <f>IF(B705="","",ROUND(T705*V705,2))</f>
        <v>0</v>
      </c>
      <c r="X705" s="26">
        <f>IF(B705="","",ROUND(IF(M705="",0,W705*M705)+IF(N705="",0,N705),2))</f>
        <v>0</v>
      </c>
      <c r="Y705" s="26">
        <f>IF(B705="","",ROUND(W705-X705-IF(P705="",0,P705),2))</f>
        <v>0</v>
      </c>
      <c r="Z705" s="26">
        <f>IF(B705="","",IF(H705="Retail",IF(TaxOnRetail="Yes",ROUND(Y705*TaxRate,2),0),IF(H705="Service",IF(TaxOnServices="Yes",ROUND(Y705*TaxRate,2),0),0)))</f>
        <v>0</v>
      </c>
      <c r="AA705" s="26">
        <f>IF(B705="","",ROUND(Y705+Z705,2))</f>
        <v>0</v>
      </c>
      <c r="AB705" s="26">
        <f>IF(B705="","",ROUND(T705*IF(H705="Retail",IFERROR(INDEX(Inventory!$H$5:$H$304,MATCH(I705,Inventory!$A$5:$A$304,0))*1,0),IFERROR(INDEX(Services!$Q$5:$Q$204,MATCH(I705,Services!$A$5:$A$204,0))*1,0)),2))</f>
        <v>0</v>
      </c>
      <c r="AC705" s="26">
        <f>IF(B705="","",ROUND(Y705-AB705,2))</f>
        <v>0</v>
      </c>
      <c r="AD705" s="38">
        <f>IF(B705="","",IF(C705="","No",IF(COUNTIFS($C$5:C705,C705)=1,"Yes","No")))</f>
        <v>0</v>
      </c>
      <c r="AE705" s="26">
        <f>IF(B705="","",ROUND(SUMIFS(Payments!$G$5:$G$1204,Payments!$H$5:$H$1204,A705,Payments!$Q$5:$Q$1204,"Yes"),2))</f>
        <v>0</v>
      </c>
      <c r="AF705" s="26">
        <f>IF(B705="","",IF(AD705="No",0,ROUND(SUMIFS(Payments!$G$5:$G$1204,Payments!$I$5:$I$1204,C705,Payments!$H$5:$H$1204,"",Payments!$Q$5:$Q$1204,"Yes"),2)))</f>
        <v>0</v>
      </c>
      <c r="AG705" s="26">
        <f>IF(B705="","",ROUND(AE705+AF705,2))</f>
        <v>0</v>
      </c>
      <c r="AH705" s="26">
        <f>IF(B705="","",ROUND(AA705-AG705,2))</f>
        <v>0</v>
      </c>
      <c r="AI705" s="39">
        <f>IF(B705="","",IF(AA705&lt;=0,"No charge",IF(AH705&lt;=0.004,"Paid",IF(AG705&lt;=0.004,"Unpaid","Part paid"))))</f>
        <v>0</v>
      </c>
      <c r="AJ705" s="38">
        <f>IF(B705="","",IF(H705&lt;&gt;"Service","",IF(D705="","No",IF(COUNTIFS($D$5:$D$1204,D705,$B$5:$B$1204,B705,$H$5:$H$1204,"Retail")&gt;0,"Yes","No"))))</f>
        <v>0</v>
      </c>
      <c r="AK705" s="25">
        <f>IF(B705="","",COUNTIFS($Y$5:$Y$1204,"&gt;"&amp;Y705)+COUNTIFS($Y$5:Y705,Y705))</f>
        <v>0</v>
      </c>
      <c r="AL705" s="39">
        <f>IF(B705="","",IF(H705="","Add - what kind of sale is this?",IF(IF(V705&lt;=0,P705="",FALSE),"Check - no price found for this item",IF(F705="","Assign - nobody credited",IF(AH705&gt;0.004,"Unpaid - balance outstanding",IF(AC705&lt;0,"Loss - sold below cost",IF(X705&gt;W705*0.5,"Check - more than half off","OK")))))))</f>
        <v>0</v>
      </c>
    </row>
    <row r="706" spans="1:38">
      <c r="A706" s="28">
        <f>IF(B706="","",SalePrefix&amp;TEXT(ROW()-4,"0000"))</f>
        <v>0</v>
      </c>
      <c r="E706" s="15">
        <f>IF(D706="","",IFERROR(INDEX(Clients!$B$5:$B$504,MATCH(D706,Clients!$A$5:$A$504,0)),"Walk-in"))</f>
        <v>0</v>
      </c>
      <c r="G706" s="15">
        <f>IF(F706="","",IFERROR(INDEX(Staff!$B$5:$B$44,MATCH(F706,Staff!$A$5:$A$44,0)),"House"))</f>
        <v>0</v>
      </c>
      <c r="R706" s="15">
        <f>IF(B706="","",TEXT(B706,"yyyy-mm"))</f>
        <v>0</v>
      </c>
      <c r="S706" s="25">
        <f>IF(B706="","",WEEKNUM(B706,2))</f>
        <v>0</v>
      </c>
      <c r="T706" s="37">
        <f>IF(B706="","",IF(K706="",1,K706))</f>
        <v>0</v>
      </c>
      <c r="U706" s="15">
        <f>IF(B706="","",IF(J706&lt;&gt;"",J706,IF(H706="Retail",IFERROR(INDEX(Inventory!$B$5:$B$304,MATCH(I706,Inventory!$A$5:$A$304,0))&amp;"","Not in Inventory"),IFERROR(INDEX(Services!$B$5:$B$204,MATCH(I706,Services!$A$5:$A$204,0))&amp;"","Not in Services"))))</f>
        <v>0</v>
      </c>
      <c r="V706" s="26">
        <f>IF(B706="","",IF(L706&lt;&gt;"",L706,IF(H706="Retail",IFERROR(INDEX(Inventory!$I$5:$I$304,MATCH(I706,Inventory!$A$5:$A$304,0))*1,0),IFERROR(INDEX(Services!$G$5:$G$204,MATCH(I706,Services!$A$5:$A$204,0))*1,0))))</f>
        <v>0</v>
      </c>
      <c r="W706" s="26">
        <f>IF(B706="","",ROUND(T706*V706,2))</f>
        <v>0</v>
      </c>
      <c r="X706" s="26">
        <f>IF(B706="","",ROUND(IF(M706="",0,W706*M706)+IF(N706="",0,N706),2))</f>
        <v>0</v>
      </c>
      <c r="Y706" s="26">
        <f>IF(B706="","",ROUND(W706-X706-IF(P706="",0,P706),2))</f>
        <v>0</v>
      </c>
      <c r="Z706" s="26">
        <f>IF(B706="","",IF(H706="Retail",IF(TaxOnRetail="Yes",ROUND(Y706*TaxRate,2),0),IF(H706="Service",IF(TaxOnServices="Yes",ROUND(Y706*TaxRate,2),0),0)))</f>
        <v>0</v>
      </c>
      <c r="AA706" s="26">
        <f>IF(B706="","",ROUND(Y706+Z706,2))</f>
        <v>0</v>
      </c>
      <c r="AB706" s="26">
        <f>IF(B706="","",ROUND(T706*IF(H706="Retail",IFERROR(INDEX(Inventory!$H$5:$H$304,MATCH(I706,Inventory!$A$5:$A$304,0))*1,0),IFERROR(INDEX(Services!$Q$5:$Q$204,MATCH(I706,Services!$A$5:$A$204,0))*1,0)),2))</f>
        <v>0</v>
      </c>
      <c r="AC706" s="26">
        <f>IF(B706="","",ROUND(Y706-AB706,2))</f>
        <v>0</v>
      </c>
      <c r="AD706" s="38">
        <f>IF(B706="","",IF(C706="","No",IF(COUNTIFS($C$5:C706,C706)=1,"Yes","No")))</f>
        <v>0</v>
      </c>
      <c r="AE706" s="26">
        <f>IF(B706="","",ROUND(SUMIFS(Payments!$G$5:$G$1204,Payments!$H$5:$H$1204,A706,Payments!$Q$5:$Q$1204,"Yes"),2))</f>
        <v>0</v>
      </c>
      <c r="AF706" s="26">
        <f>IF(B706="","",IF(AD706="No",0,ROUND(SUMIFS(Payments!$G$5:$G$1204,Payments!$I$5:$I$1204,C706,Payments!$H$5:$H$1204,"",Payments!$Q$5:$Q$1204,"Yes"),2)))</f>
        <v>0</v>
      </c>
      <c r="AG706" s="26">
        <f>IF(B706="","",ROUND(AE706+AF706,2))</f>
        <v>0</v>
      </c>
      <c r="AH706" s="26">
        <f>IF(B706="","",ROUND(AA706-AG706,2))</f>
        <v>0</v>
      </c>
      <c r="AI706" s="39">
        <f>IF(B706="","",IF(AA706&lt;=0,"No charge",IF(AH706&lt;=0.004,"Paid",IF(AG706&lt;=0.004,"Unpaid","Part paid"))))</f>
        <v>0</v>
      </c>
      <c r="AJ706" s="38">
        <f>IF(B706="","",IF(H706&lt;&gt;"Service","",IF(D706="","No",IF(COUNTIFS($D$5:$D$1204,D706,$B$5:$B$1204,B706,$H$5:$H$1204,"Retail")&gt;0,"Yes","No"))))</f>
        <v>0</v>
      </c>
      <c r="AK706" s="25">
        <f>IF(B706="","",COUNTIFS($Y$5:$Y$1204,"&gt;"&amp;Y706)+COUNTIFS($Y$5:Y706,Y706))</f>
        <v>0</v>
      </c>
      <c r="AL706" s="39">
        <f>IF(B706="","",IF(H706="","Add - what kind of sale is this?",IF(IF(V706&lt;=0,P706="",FALSE),"Check - no price found for this item",IF(F706="","Assign - nobody credited",IF(AH706&gt;0.004,"Unpaid - balance outstanding",IF(AC706&lt;0,"Loss - sold below cost",IF(X706&gt;W706*0.5,"Check - more than half off","OK")))))))</f>
        <v>0</v>
      </c>
    </row>
    <row r="707" spans="1:38">
      <c r="A707" s="28">
        <f>IF(B707="","",SalePrefix&amp;TEXT(ROW()-4,"0000"))</f>
        <v>0</v>
      </c>
      <c r="E707" s="15">
        <f>IF(D707="","",IFERROR(INDEX(Clients!$B$5:$B$504,MATCH(D707,Clients!$A$5:$A$504,0)),"Walk-in"))</f>
        <v>0</v>
      </c>
      <c r="G707" s="15">
        <f>IF(F707="","",IFERROR(INDEX(Staff!$B$5:$B$44,MATCH(F707,Staff!$A$5:$A$44,0)),"House"))</f>
        <v>0</v>
      </c>
      <c r="R707" s="15">
        <f>IF(B707="","",TEXT(B707,"yyyy-mm"))</f>
        <v>0</v>
      </c>
      <c r="S707" s="25">
        <f>IF(B707="","",WEEKNUM(B707,2))</f>
        <v>0</v>
      </c>
      <c r="T707" s="37">
        <f>IF(B707="","",IF(K707="",1,K707))</f>
        <v>0</v>
      </c>
      <c r="U707" s="15">
        <f>IF(B707="","",IF(J707&lt;&gt;"",J707,IF(H707="Retail",IFERROR(INDEX(Inventory!$B$5:$B$304,MATCH(I707,Inventory!$A$5:$A$304,0))&amp;"","Not in Inventory"),IFERROR(INDEX(Services!$B$5:$B$204,MATCH(I707,Services!$A$5:$A$204,0))&amp;"","Not in Services"))))</f>
        <v>0</v>
      </c>
      <c r="V707" s="26">
        <f>IF(B707="","",IF(L707&lt;&gt;"",L707,IF(H707="Retail",IFERROR(INDEX(Inventory!$I$5:$I$304,MATCH(I707,Inventory!$A$5:$A$304,0))*1,0),IFERROR(INDEX(Services!$G$5:$G$204,MATCH(I707,Services!$A$5:$A$204,0))*1,0))))</f>
        <v>0</v>
      </c>
      <c r="W707" s="26">
        <f>IF(B707="","",ROUND(T707*V707,2))</f>
        <v>0</v>
      </c>
      <c r="X707" s="26">
        <f>IF(B707="","",ROUND(IF(M707="",0,W707*M707)+IF(N707="",0,N707),2))</f>
        <v>0</v>
      </c>
      <c r="Y707" s="26">
        <f>IF(B707="","",ROUND(W707-X707-IF(P707="",0,P707),2))</f>
        <v>0</v>
      </c>
      <c r="Z707" s="26">
        <f>IF(B707="","",IF(H707="Retail",IF(TaxOnRetail="Yes",ROUND(Y707*TaxRate,2),0),IF(H707="Service",IF(TaxOnServices="Yes",ROUND(Y707*TaxRate,2),0),0)))</f>
        <v>0</v>
      </c>
      <c r="AA707" s="26">
        <f>IF(B707="","",ROUND(Y707+Z707,2))</f>
        <v>0</v>
      </c>
      <c r="AB707" s="26">
        <f>IF(B707="","",ROUND(T707*IF(H707="Retail",IFERROR(INDEX(Inventory!$H$5:$H$304,MATCH(I707,Inventory!$A$5:$A$304,0))*1,0),IFERROR(INDEX(Services!$Q$5:$Q$204,MATCH(I707,Services!$A$5:$A$204,0))*1,0)),2))</f>
        <v>0</v>
      </c>
      <c r="AC707" s="26">
        <f>IF(B707="","",ROUND(Y707-AB707,2))</f>
        <v>0</v>
      </c>
      <c r="AD707" s="38">
        <f>IF(B707="","",IF(C707="","No",IF(COUNTIFS($C$5:C707,C707)=1,"Yes","No")))</f>
        <v>0</v>
      </c>
      <c r="AE707" s="26">
        <f>IF(B707="","",ROUND(SUMIFS(Payments!$G$5:$G$1204,Payments!$H$5:$H$1204,A707,Payments!$Q$5:$Q$1204,"Yes"),2))</f>
        <v>0</v>
      </c>
      <c r="AF707" s="26">
        <f>IF(B707="","",IF(AD707="No",0,ROUND(SUMIFS(Payments!$G$5:$G$1204,Payments!$I$5:$I$1204,C707,Payments!$H$5:$H$1204,"",Payments!$Q$5:$Q$1204,"Yes"),2)))</f>
        <v>0</v>
      </c>
      <c r="AG707" s="26">
        <f>IF(B707="","",ROUND(AE707+AF707,2))</f>
        <v>0</v>
      </c>
      <c r="AH707" s="26">
        <f>IF(B707="","",ROUND(AA707-AG707,2))</f>
        <v>0</v>
      </c>
      <c r="AI707" s="39">
        <f>IF(B707="","",IF(AA707&lt;=0,"No charge",IF(AH707&lt;=0.004,"Paid",IF(AG707&lt;=0.004,"Unpaid","Part paid"))))</f>
        <v>0</v>
      </c>
      <c r="AJ707" s="38">
        <f>IF(B707="","",IF(H707&lt;&gt;"Service","",IF(D707="","No",IF(COUNTIFS($D$5:$D$1204,D707,$B$5:$B$1204,B707,$H$5:$H$1204,"Retail")&gt;0,"Yes","No"))))</f>
        <v>0</v>
      </c>
      <c r="AK707" s="25">
        <f>IF(B707="","",COUNTIFS($Y$5:$Y$1204,"&gt;"&amp;Y707)+COUNTIFS($Y$5:Y707,Y707))</f>
        <v>0</v>
      </c>
      <c r="AL707" s="39">
        <f>IF(B707="","",IF(H707="","Add - what kind of sale is this?",IF(IF(V707&lt;=0,P707="",FALSE),"Check - no price found for this item",IF(F707="","Assign - nobody credited",IF(AH707&gt;0.004,"Unpaid - balance outstanding",IF(AC707&lt;0,"Loss - sold below cost",IF(X707&gt;W707*0.5,"Check - more than half off","OK")))))))</f>
        <v>0</v>
      </c>
    </row>
    <row r="708" spans="1:38">
      <c r="A708" s="28">
        <f>IF(B708="","",SalePrefix&amp;TEXT(ROW()-4,"0000"))</f>
        <v>0</v>
      </c>
      <c r="E708" s="15">
        <f>IF(D708="","",IFERROR(INDEX(Clients!$B$5:$B$504,MATCH(D708,Clients!$A$5:$A$504,0)),"Walk-in"))</f>
        <v>0</v>
      </c>
      <c r="G708" s="15">
        <f>IF(F708="","",IFERROR(INDEX(Staff!$B$5:$B$44,MATCH(F708,Staff!$A$5:$A$44,0)),"House"))</f>
        <v>0</v>
      </c>
      <c r="R708" s="15">
        <f>IF(B708="","",TEXT(B708,"yyyy-mm"))</f>
        <v>0</v>
      </c>
      <c r="S708" s="25">
        <f>IF(B708="","",WEEKNUM(B708,2))</f>
        <v>0</v>
      </c>
      <c r="T708" s="37">
        <f>IF(B708="","",IF(K708="",1,K708))</f>
        <v>0</v>
      </c>
      <c r="U708" s="15">
        <f>IF(B708="","",IF(J708&lt;&gt;"",J708,IF(H708="Retail",IFERROR(INDEX(Inventory!$B$5:$B$304,MATCH(I708,Inventory!$A$5:$A$304,0))&amp;"","Not in Inventory"),IFERROR(INDEX(Services!$B$5:$B$204,MATCH(I708,Services!$A$5:$A$204,0))&amp;"","Not in Services"))))</f>
        <v>0</v>
      </c>
      <c r="V708" s="26">
        <f>IF(B708="","",IF(L708&lt;&gt;"",L708,IF(H708="Retail",IFERROR(INDEX(Inventory!$I$5:$I$304,MATCH(I708,Inventory!$A$5:$A$304,0))*1,0),IFERROR(INDEX(Services!$G$5:$G$204,MATCH(I708,Services!$A$5:$A$204,0))*1,0))))</f>
        <v>0</v>
      </c>
      <c r="W708" s="26">
        <f>IF(B708="","",ROUND(T708*V708,2))</f>
        <v>0</v>
      </c>
      <c r="X708" s="26">
        <f>IF(B708="","",ROUND(IF(M708="",0,W708*M708)+IF(N708="",0,N708),2))</f>
        <v>0</v>
      </c>
      <c r="Y708" s="26">
        <f>IF(B708="","",ROUND(W708-X708-IF(P708="",0,P708),2))</f>
        <v>0</v>
      </c>
      <c r="Z708" s="26">
        <f>IF(B708="","",IF(H708="Retail",IF(TaxOnRetail="Yes",ROUND(Y708*TaxRate,2),0),IF(H708="Service",IF(TaxOnServices="Yes",ROUND(Y708*TaxRate,2),0),0)))</f>
        <v>0</v>
      </c>
      <c r="AA708" s="26">
        <f>IF(B708="","",ROUND(Y708+Z708,2))</f>
        <v>0</v>
      </c>
      <c r="AB708" s="26">
        <f>IF(B708="","",ROUND(T708*IF(H708="Retail",IFERROR(INDEX(Inventory!$H$5:$H$304,MATCH(I708,Inventory!$A$5:$A$304,0))*1,0),IFERROR(INDEX(Services!$Q$5:$Q$204,MATCH(I708,Services!$A$5:$A$204,0))*1,0)),2))</f>
        <v>0</v>
      </c>
      <c r="AC708" s="26">
        <f>IF(B708="","",ROUND(Y708-AB708,2))</f>
        <v>0</v>
      </c>
      <c r="AD708" s="38">
        <f>IF(B708="","",IF(C708="","No",IF(COUNTIFS($C$5:C708,C708)=1,"Yes","No")))</f>
        <v>0</v>
      </c>
      <c r="AE708" s="26">
        <f>IF(B708="","",ROUND(SUMIFS(Payments!$G$5:$G$1204,Payments!$H$5:$H$1204,A708,Payments!$Q$5:$Q$1204,"Yes"),2))</f>
        <v>0</v>
      </c>
      <c r="AF708" s="26">
        <f>IF(B708="","",IF(AD708="No",0,ROUND(SUMIFS(Payments!$G$5:$G$1204,Payments!$I$5:$I$1204,C708,Payments!$H$5:$H$1204,"",Payments!$Q$5:$Q$1204,"Yes"),2)))</f>
        <v>0</v>
      </c>
      <c r="AG708" s="26">
        <f>IF(B708="","",ROUND(AE708+AF708,2))</f>
        <v>0</v>
      </c>
      <c r="AH708" s="26">
        <f>IF(B708="","",ROUND(AA708-AG708,2))</f>
        <v>0</v>
      </c>
      <c r="AI708" s="39">
        <f>IF(B708="","",IF(AA708&lt;=0,"No charge",IF(AH708&lt;=0.004,"Paid",IF(AG708&lt;=0.004,"Unpaid","Part paid"))))</f>
        <v>0</v>
      </c>
      <c r="AJ708" s="38">
        <f>IF(B708="","",IF(H708&lt;&gt;"Service","",IF(D708="","No",IF(COUNTIFS($D$5:$D$1204,D708,$B$5:$B$1204,B708,$H$5:$H$1204,"Retail")&gt;0,"Yes","No"))))</f>
        <v>0</v>
      </c>
      <c r="AK708" s="25">
        <f>IF(B708="","",COUNTIFS($Y$5:$Y$1204,"&gt;"&amp;Y708)+COUNTIFS($Y$5:Y708,Y708))</f>
        <v>0</v>
      </c>
      <c r="AL708" s="39">
        <f>IF(B708="","",IF(H708="","Add - what kind of sale is this?",IF(IF(V708&lt;=0,P708="",FALSE),"Check - no price found for this item",IF(F708="","Assign - nobody credited",IF(AH708&gt;0.004,"Unpaid - balance outstanding",IF(AC708&lt;0,"Loss - sold below cost",IF(X708&gt;W708*0.5,"Check - more than half off","OK")))))))</f>
        <v>0</v>
      </c>
    </row>
    <row r="709" spans="1:38">
      <c r="A709" s="28">
        <f>IF(B709="","",SalePrefix&amp;TEXT(ROW()-4,"0000"))</f>
        <v>0</v>
      </c>
      <c r="E709" s="15">
        <f>IF(D709="","",IFERROR(INDEX(Clients!$B$5:$B$504,MATCH(D709,Clients!$A$5:$A$504,0)),"Walk-in"))</f>
        <v>0</v>
      </c>
      <c r="G709" s="15">
        <f>IF(F709="","",IFERROR(INDEX(Staff!$B$5:$B$44,MATCH(F709,Staff!$A$5:$A$44,0)),"House"))</f>
        <v>0</v>
      </c>
      <c r="R709" s="15">
        <f>IF(B709="","",TEXT(B709,"yyyy-mm"))</f>
        <v>0</v>
      </c>
      <c r="S709" s="25">
        <f>IF(B709="","",WEEKNUM(B709,2))</f>
        <v>0</v>
      </c>
      <c r="T709" s="37">
        <f>IF(B709="","",IF(K709="",1,K709))</f>
        <v>0</v>
      </c>
      <c r="U709" s="15">
        <f>IF(B709="","",IF(J709&lt;&gt;"",J709,IF(H709="Retail",IFERROR(INDEX(Inventory!$B$5:$B$304,MATCH(I709,Inventory!$A$5:$A$304,0))&amp;"","Not in Inventory"),IFERROR(INDEX(Services!$B$5:$B$204,MATCH(I709,Services!$A$5:$A$204,0))&amp;"","Not in Services"))))</f>
        <v>0</v>
      </c>
      <c r="V709" s="26">
        <f>IF(B709="","",IF(L709&lt;&gt;"",L709,IF(H709="Retail",IFERROR(INDEX(Inventory!$I$5:$I$304,MATCH(I709,Inventory!$A$5:$A$304,0))*1,0),IFERROR(INDEX(Services!$G$5:$G$204,MATCH(I709,Services!$A$5:$A$204,0))*1,0))))</f>
        <v>0</v>
      </c>
      <c r="W709" s="26">
        <f>IF(B709="","",ROUND(T709*V709,2))</f>
        <v>0</v>
      </c>
      <c r="X709" s="26">
        <f>IF(B709="","",ROUND(IF(M709="",0,W709*M709)+IF(N709="",0,N709),2))</f>
        <v>0</v>
      </c>
      <c r="Y709" s="26">
        <f>IF(B709="","",ROUND(W709-X709-IF(P709="",0,P709),2))</f>
        <v>0</v>
      </c>
      <c r="Z709" s="26">
        <f>IF(B709="","",IF(H709="Retail",IF(TaxOnRetail="Yes",ROUND(Y709*TaxRate,2),0),IF(H709="Service",IF(TaxOnServices="Yes",ROUND(Y709*TaxRate,2),0),0)))</f>
        <v>0</v>
      </c>
      <c r="AA709" s="26">
        <f>IF(B709="","",ROUND(Y709+Z709,2))</f>
        <v>0</v>
      </c>
      <c r="AB709" s="26">
        <f>IF(B709="","",ROUND(T709*IF(H709="Retail",IFERROR(INDEX(Inventory!$H$5:$H$304,MATCH(I709,Inventory!$A$5:$A$304,0))*1,0),IFERROR(INDEX(Services!$Q$5:$Q$204,MATCH(I709,Services!$A$5:$A$204,0))*1,0)),2))</f>
        <v>0</v>
      </c>
      <c r="AC709" s="26">
        <f>IF(B709="","",ROUND(Y709-AB709,2))</f>
        <v>0</v>
      </c>
      <c r="AD709" s="38">
        <f>IF(B709="","",IF(C709="","No",IF(COUNTIFS($C$5:C709,C709)=1,"Yes","No")))</f>
        <v>0</v>
      </c>
      <c r="AE709" s="26">
        <f>IF(B709="","",ROUND(SUMIFS(Payments!$G$5:$G$1204,Payments!$H$5:$H$1204,A709,Payments!$Q$5:$Q$1204,"Yes"),2))</f>
        <v>0</v>
      </c>
      <c r="AF709" s="26">
        <f>IF(B709="","",IF(AD709="No",0,ROUND(SUMIFS(Payments!$G$5:$G$1204,Payments!$I$5:$I$1204,C709,Payments!$H$5:$H$1204,"",Payments!$Q$5:$Q$1204,"Yes"),2)))</f>
        <v>0</v>
      </c>
      <c r="AG709" s="26">
        <f>IF(B709="","",ROUND(AE709+AF709,2))</f>
        <v>0</v>
      </c>
      <c r="AH709" s="26">
        <f>IF(B709="","",ROUND(AA709-AG709,2))</f>
        <v>0</v>
      </c>
      <c r="AI709" s="39">
        <f>IF(B709="","",IF(AA709&lt;=0,"No charge",IF(AH709&lt;=0.004,"Paid",IF(AG709&lt;=0.004,"Unpaid","Part paid"))))</f>
        <v>0</v>
      </c>
      <c r="AJ709" s="38">
        <f>IF(B709="","",IF(H709&lt;&gt;"Service","",IF(D709="","No",IF(COUNTIFS($D$5:$D$1204,D709,$B$5:$B$1204,B709,$H$5:$H$1204,"Retail")&gt;0,"Yes","No"))))</f>
        <v>0</v>
      </c>
      <c r="AK709" s="25">
        <f>IF(B709="","",COUNTIFS($Y$5:$Y$1204,"&gt;"&amp;Y709)+COUNTIFS($Y$5:Y709,Y709))</f>
        <v>0</v>
      </c>
      <c r="AL709" s="39">
        <f>IF(B709="","",IF(H709="","Add - what kind of sale is this?",IF(IF(V709&lt;=0,P709="",FALSE),"Check - no price found for this item",IF(F709="","Assign - nobody credited",IF(AH709&gt;0.004,"Unpaid - balance outstanding",IF(AC709&lt;0,"Loss - sold below cost",IF(X709&gt;W709*0.5,"Check - more than half off","OK")))))))</f>
        <v>0</v>
      </c>
    </row>
    <row r="710" spans="1:38">
      <c r="A710" s="28">
        <f>IF(B710="","",SalePrefix&amp;TEXT(ROW()-4,"0000"))</f>
        <v>0</v>
      </c>
      <c r="E710" s="15">
        <f>IF(D710="","",IFERROR(INDEX(Clients!$B$5:$B$504,MATCH(D710,Clients!$A$5:$A$504,0)),"Walk-in"))</f>
        <v>0</v>
      </c>
      <c r="G710" s="15">
        <f>IF(F710="","",IFERROR(INDEX(Staff!$B$5:$B$44,MATCH(F710,Staff!$A$5:$A$44,0)),"House"))</f>
        <v>0</v>
      </c>
      <c r="R710" s="15">
        <f>IF(B710="","",TEXT(B710,"yyyy-mm"))</f>
        <v>0</v>
      </c>
      <c r="S710" s="25">
        <f>IF(B710="","",WEEKNUM(B710,2))</f>
        <v>0</v>
      </c>
      <c r="T710" s="37">
        <f>IF(B710="","",IF(K710="",1,K710))</f>
        <v>0</v>
      </c>
      <c r="U710" s="15">
        <f>IF(B710="","",IF(J710&lt;&gt;"",J710,IF(H710="Retail",IFERROR(INDEX(Inventory!$B$5:$B$304,MATCH(I710,Inventory!$A$5:$A$304,0))&amp;"","Not in Inventory"),IFERROR(INDEX(Services!$B$5:$B$204,MATCH(I710,Services!$A$5:$A$204,0))&amp;"","Not in Services"))))</f>
        <v>0</v>
      </c>
      <c r="V710" s="26">
        <f>IF(B710="","",IF(L710&lt;&gt;"",L710,IF(H710="Retail",IFERROR(INDEX(Inventory!$I$5:$I$304,MATCH(I710,Inventory!$A$5:$A$304,0))*1,0),IFERROR(INDEX(Services!$G$5:$G$204,MATCH(I710,Services!$A$5:$A$204,0))*1,0))))</f>
        <v>0</v>
      </c>
      <c r="W710" s="26">
        <f>IF(B710="","",ROUND(T710*V710,2))</f>
        <v>0</v>
      </c>
      <c r="X710" s="26">
        <f>IF(B710="","",ROUND(IF(M710="",0,W710*M710)+IF(N710="",0,N710),2))</f>
        <v>0</v>
      </c>
      <c r="Y710" s="26">
        <f>IF(B710="","",ROUND(W710-X710-IF(P710="",0,P710),2))</f>
        <v>0</v>
      </c>
      <c r="Z710" s="26">
        <f>IF(B710="","",IF(H710="Retail",IF(TaxOnRetail="Yes",ROUND(Y710*TaxRate,2),0),IF(H710="Service",IF(TaxOnServices="Yes",ROUND(Y710*TaxRate,2),0),0)))</f>
        <v>0</v>
      </c>
      <c r="AA710" s="26">
        <f>IF(B710="","",ROUND(Y710+Z710,2))</f>
        <v>0</v>
      </c>
      <c r="AB710" s="26">
        <f>IF(B710="","",ROUND(T710*IF(H710="Retail",IFERROR(INDEX(Inventory!$H$5:$H$304,MATCH(I710,Inventory!$A$5:$A$304,0))*1,0),IFERROR(INDEX(Services!$Q$5:$Q$204,MATCH(I710,Services!$A$5:$A$204,0))*1,0)),2))</f>
        <v>0</v>
      </c>
      <c r="AC710" s="26">
        <f>IF(B710="","",ROUND(Y710-AB710,2))</f>
        <v>0</v>
      </c>
      <c r="AD710" s="38">
        <f>IF(B710="","",IF(C710="","No",IF(COUNTIFS($C$5:C710,C710)=1,"Yes","No")))</f>
        <v>0</v>
      </c>
      <c r="AE710" s="26">
        <f>IF(B710="","",ROUND(SUMIFS(Payments!$G$5:$G$1204,Payments!$H$5:$H$1204,A710,Payments!$Q$5:$Q$1204,"Yes"),2))</f>
        <v>0</v>
      </c>
      <c r="AF710" s="26">
        <f>IF(B710="","",IF(AD710="No",0,ROUND(SUMIFS(Payments!$G$5:$G$1204,Payments!$I$5:$I$1204,C710,Payments!$H$5:$H$1204,"",Payments!$Q$5:$Q$1204,"Yes"),2)))</f>
        <v>0</v>
      </c>
      <c r="AG710" s="26">
        <f>IF(B710="","",ROUND(AE710+AF710,2))</f>
        <v>0</v>
      </c>
      <c r="AH710" s="26">
        <f>IF(B710="","",ROUND(AA710-AG710,2))</f>
        <v>0</v>
      </c>
      <c r="AI710" s="39">
        <f>IF(B710="","",IF(AA710&lt;=0,"No charge",IF(AH710&lt;=0.004,"Paid",IF(AG710&lt;=0.004,"Unpaid","Part paid"))))</f>
        <v>0</v>
      </c>
      <c r="AJ710" s="38">
        <f>IF(B710="","",IF(H710&lt;&gt;"Service","",IF(D710="","No",IF(COUNTIFS($D$5:$D$1204,D710,$B$5:$B$1204,B710,$H$5:$H$1204,"Retail")&gt;0,"Yes","No"))))</f>
        <v>0</v>
      </c>
      <c r="AK710" s="25">
        <f>IF(B710="","",COUNTIFS($Y$5:$Y$1204,"&gt;"&amp;Y710)+COUNTIFS($Y$5:Y710,Y710))</f>
        <v>0</v>
      </c>
      <c r="AL710" s="39">
        <f>IF(B710="","",IF(H710="","Add - what kind of sale is this?",IF(IF(V710&lt;=0,P710="",FALSE),"Check - no price found for this item",IF(F710="","Assign - nobody credited",IF(AH710&gt;0.004,"Unpaid - balance outstanding",IF(AC710&lt;0,"Loss - sold below cost",IF(X710&gt;W710*0.5,"Check - more than half off","OK")))))))</f>
        <v>0</v>
      </c>
    </row>
    <row r="711" spans="1:38">
      <c r="A711" s="28">
        <f>IF(B711="","",SalePrefix&amp;TEXT(ROW()-4,"0000"))</f>
        <v>0</v>
      </c>
      <c r="E711" s="15">
        <f>IF(D711="","",IFERROR(INDEX(Clients!$B$5:$B$504,MATCH(D711,Clients!$A$5:$A$504,0)),"Walk-in"))</f>
        <v>0</v>
      </c>
      <c r="G711" s="15">
        <f>IF(F711="","",IFERROR(INDEX(Staff!$B$5:$B$44,MATCH(F711,Staff!$A$5:$A$44,0)),"House"))</f>
        <v>0</v>
      </c>
      <c r="R711" s="15">
        <f>IF(B711="","",TEXT(B711,"yyyy-mm"))</f>
        <v>0</v>
      </c>
      <c r="S711" s="25">
        <f>IF(B711="","",WEEKNUM(B711,2))</f>
        <v>0</v>
      </c>
      <c r="T711" s="37">
        <f>IF(B711="","",IF(K711="",1,K711))</f>
        <v>0</v>
      </c>
      <c r="U711" s="15">
        <f>IF(B711="","",IF(J711&lt;&gt;"",J711,IF(H711="Retail",IFERROR(INDEX(Inventory!$B$5:$B$304,MATCH(I711,Inventory!$A$5:$A$304,0))&amp;"","Not in Inventory"),IFERROR(INDEX(Services!$B$5:$B$204,MATCH(I711,Services!$A$5:$A$204,0))&amp;"","Not in Services"))))</f>
        <v>0</v>
      </c>
      <c r="V711" s="26">
        <f>IF(B711="","",IF(L711&lt;&gt;"",L711,IF(H711="Retail",IFERROR(INDEX(Inventory!$I$5:$I$304,MATCH(I711,Inventory!$A$5:$A$304,0))*1,0),IFERROR(INDEX(Services!$G$5:$G$204,MATCH(I711,Services!$A$5:$A$204,0))*1,0))))</f>
        <v>0</v>
      </c>
      <c r="W711" s="26">
        <f>IF(B711="","",ROUND(T711*V711,2))</f>
        <v>0</v>
      </c>
      <c r="X711" s="26">
        <f>IF(B711="","",ROUND(IF(M711="",0,W711*M711)+IF(N711="",0,N711),2))</f>
        <v>0</v>
      </c>
      <c r="Y711" s="26">
        <f>IF(B711="","",ROUND(W711-X711-IF(P711="",0,P711),2))</f>
        <v>0</v>
      </c>
      <c r="Z711" s="26">
        <f>IF(B711="","",IF(H711="Retail",IF(TaxOnRetail="Yes",ROUND(Y711*TaxRate,2),0),IF(H711="Service",IF(TaxOnServices="Yes",ROUND(Y711*TaxRate,2),0),0)))</f>
        <v>0</v>
      </c>
      <c r="AA711" s="26">
        <f>IF(B711="","",ROUND(Y711+Z711,2))</f>
        <v>0</v>
      </c>
      <c r="AB711" s="26">
        <f>IF(B711="","",ROUND(T711*IF(H711="Retail",IFERROR(INDEX(Inventory!$H$5:$H$304,MATCH(I711,Inventory!$A$5:$A$304,0))*1,0),IFERROR(INDEX(Services!$Q$5:$Q$204,MATCH(I711,Services!$A$5:$A$204,0))*1,0)),2))</f>
        <v>0</v>
      </c>
      <c r="AC711" s="26">
        <f>IF(B711="","",ROUND(Y711-AB711,2))</f>
        <v>0</v>
      </c>
      <c r="AD711" s="38">
        <f>IF(B711="","",IF(C711="","No",IF(COUNTIFS($C$5:C711,C711)=1,"Yes","No")))</f>
        <v>0</v>
      </c>
      <c r="AE711" s="26">
        <f>IF(B711="","",ROUND(SUMIFS(Payments!$G$5:$G$1204,Payments!$H$5:$H$1204,A711,Payments!$Q$5:$Q$1204,"Yes"),2))</f>
        <v>0</v>
      </c>
      <c r="AF711" s="26">
        <f>IF(B711="","",IF(AD711="No",0,ROUND(SUMIFS(Payments!$G$5:$G$1204,Payments!$I$5:$I$1204,C711,Payments!$H$5:$H$1204,"",Payments!$Q$5:$Q$1204,"Yes"),2)))</f>
        <v>0</v>
      </c>
      <c r="AG711" s="26">
        <f>IF(B711="","",ROUND(AE711+AF711,2))</f>
        <v>0</v>
      </c>
      <c r="AH711" s="26">
        <f>IF(B711="","",ROUND(AA711-AG711,2))</f>
        <v>0</v>
      </c>
      <c r="AI711" s="39">
        <f>IF(B711="","",IF(AA711&lt;=0,"No charge",IF(AH711&lt;=0.004,"Paid",IF(AG711&lt;=0.004,"Unpaid","Part paid"))))</f>
        <v>0</v>
      </c>
      <c r="AJ711" s="38">
        <f>IF(B711="","",IF(H711&lt;&gt;"Service","",IF(D711="","No",IF(COUNTIFS($D$5:$D$1204,D711,$B$5:$B$1204,B711,$H$5:$H$1204,"Retail")&gt;0,"Yes","No"))))</f>
        <v>0</v>
      </c>
      <c r="AK711" s="25">
        <f>IF(B711="","",COUNTIFS($Y$5:$Y$1204,"&gt;"&amp;Y711)+COUNTIFS($Y$5:Y711,Y711))</f>
        <v>0</v>
      </c>
      <c r="AL711" s="39">
        <f>IF(B711="","",IF(H711="","Add - what kind of sale is this?",IF(IF(V711&lt;=0,P711="",FALSE),"Check - no price found for this item",IF(F711="","Assign - nobody credited",IF(AH711&gt;0.004,"Unpaid - balance outstanding",IF(AC711&lt;0,"Loss - sold below cost",IF(X711&gt;W711*0.5,"Check - more than half off","OK")))))))</f>
        <v>0</v>
      </c>
    </row>
    <row r="712" spans="1:38">
      <c r="A712" s="28">
        <f>IF(B712="","",SalePrefix&amp;TEXT(ROW()-4,"0000"))</f>
        <v>0</v>
      </c>
      <c r="E712" s="15">
        <f>IF(D712="","",IFERROR(INDEX(Clients!$B$5:$B$504,MATCH(D712,Clients!$A$5:$A$504,0)),"Walk-in"))</f>
        <v>0</v>
      </c>
      <c r="G712" s="15">
        <f>IF(F712="","",IFERROR(INDEX(Staff!$B$5:$B$44,MATCH(F712,Staff!$A$5:$A$44,0)),"House"))</f>
        <v>0</v>
      </c>
      <c r="R712" s="15">
        <f>IF(B712="","",TEXT(B712,"yyyy-mm"))</f>
        <v>0</v>
      </c>
      <c r="S712" s="25">
        <f>IF(B712="","",WEEKNUM(B712,2))</f>
        <v>0</v>
      </c>
      <c r="T712" s="37">
        <f>IF(B712="","",IF(K712="",1,K712))</f>
        <v>0</v>
      </c>
      <c r="U712" s="15">
        <f>IF(B712="","",IF(J712&lt;&gt;"",J712,IF(H712="Retail",IFERROR(INDEX(Inventory!$B$5:$B$304,MATCH(I712,Inventory!$A$5:$A$304,0))&amp;"","Not in Inventory"),IFERROR(INDEX(Services!$B$5:$B$204,MATCH(I712,Services!$A$5:$A$204,0))&amp;"","Not in Services"))))</f>
        <v>0</v>
      </c>
      <c r="V712" s="26">
        <f>IF(B712="","",IF(L712&lt;&gt;"",L712,IF(H712="Retail",IFERROR(INDEX(Inventory!$I$5:$I$304,MATCH(I712,Inventory!$A$5:$A$304,0))*1,0),IFERROR(INDEX(Services!$G$5:$G$204,MATCH(I712,Services!$A$5:$A$204,0))*1,0))))</f>
        <v>0</v>
      </c>
      <c r="W712" s="26">
        <f>IF(B712="","",ROUND(T712*V712,2))</f>
        <v>0</v>
      </c>
      <c r="X712" s="26">
        <f>IF(B712="","",ROUND(IF(M712="",0,W712*M712)+IF(N712="",0,N712),2))</f>
        <v>0</v>
      </c>
      <c r="Y712" s="26">
        <f>IF(B712="","",ROUND(W712-X712-IF(P712="",0,P712),2))</f>
        <v>0</v>
      </c>
      <c r="Z712" s="26">
        <f>IF(B712="","",IF(H712="Retail",IF(TaxOnRetail="Yes",ROUND(Y712*TaxRate,2),0),IF(H712="Service",IF(TaxOnServices="Yes",ROUND(Y712*TaxRate,2),0),0)))</f>
        <v>0</v>
      </c>
      <c r="AA712" s="26">
        <f>IF(B712="","",ROUND(Y712+Z712,2))</f>
        <v>0</v>
      </c>
      <c r="AB712" s="26">
        <f>IF(B712="","",ROUND(T712*IF(H712="Retail",IFERROR(INDEX(Inventory!$H$5:$H$304,MATCH(I712,Inventory!$A$5:$A$304,0))*1,0),IFERROR(INDEX(Services!$Q$5:$Q$204,MATCH(I712,Services!$A$5:$A$204,0))*1,0)),2))</f>
        <v>0</v>
      </c>
      <c r="AC712" s="26">
        <f>IF(B712="","",ROUND(Y712-AB712,2))</f>
        <v>0</v>
      </c>
      <c r="AD712" s="38">
        <f>IF(B712="","",IF(C712="","No",IF(COUNTIFS($C$5:C712,C712)=1,"Yes","No")))</f>
        <v>0</v>
      </c>
      <c r="AE712" s="26">
        <f>IF(B712="","",ROUND(SUMIFS(Payments!$G$5:$G$1204,Payments!$H$5:$H$1204,A712,Payments!$Q$5:$Q$1204,"Yes"),2))</f>
        <v>0</v>
      </c>
      <c r="AF712" s="26">
        <f>IF(B712="","",IF(AD712="No",0,ROUND(SUMIFS(Payments!$G$5:$G$1204,Payments!$I$5:$I$1204,C712,Payments!$H$5:$H$1204,"",Payments!$Q$5:$Q$1204,"Yes"),2)))</f>
        <v>0</v>
      </c>
      <c r="AG712" s="26">
        <f>IF(B712="","",ROUND(AE712+AF712,2))</f>
        <v>0</v>
      </c>
      <c r="AH712" s="26">
        <f>IF(B712="","",ROUND(AA712-AG712,2))</f>
        <v>0</v>
      </c>
      <c r="AI712" s="39">
        <f>IF(B712="","",IF(AA712&lt;=0,"No charge",IF(AH712&lt;=0.004,"Paid",IF(AG712&lt;=0.004,"Unpaid","Part paid"))))</f>
        <v>0</v>
      </c>
      <c r="AJ712" s="38">
        <f>IF(B712="","",IF(H712&lt;&gt;"Service","",IF(D712="","No",IF(COUNTIFS($D$5:$D$1204,D712,$B$5:$B$1204,B712,$H$5:$H$1204,"Retail")&gt;0,"Yes","No"))))</f>
        <v>0</v>
      </c>
      <c r="AK712" s="25">
        <f>IF(B712="","",COUNTIFS($Y$5:$Y$1204,"&gt;"&amp;Y712)+COUNTIFS($Y$5:Y712,Y712))</f>
        <v>0</v>
      </c>
      <c r="AL712" s="39">
        <f>IF(B712="","",IF(H712="","Add - what kind of sale is this?",IF(IF(V712&lt;=0,P712="",FALSE),"Check - no price found for this item",IF(F712="","Assign - nobody credited",IF(AH712&gt;0.004,"Unpaid - balance outstanding",IF(AC712&lt;0,"Loss - sold below cost",IF(X712&gt;W712*0.5,"Check - more than half off","OK")))))))</f>
        <v>0</v>
      </c>
    </row>
    <row r="713" spans="1:38">
      <c r="A713" s="28">
        <f>IF(B713="","",SalePrefix&amp;TEXT(ROW()-4,"0000"))</f>
        <v>0</v>
      </c>
      <c r="E713" s="15">
        <f>IF(D713="","",IFERROR(INDEX(Clients!$B$5:$B$504,MATCH(D713,Clients!$A$5:$A$504,0)),"Walk-in"))</f>
        <v>0</v>
      </c>
      <c r="G713" s="15">
        <f>IF(F713="","",IFERROR(INDEX(Staff!$B$5:$B$44,MATCH(F713,Staff!$A$5:$A$44,0)),"House"))</f>
        <v>0</v>
      </c>
      <c r="R713" s="15">
        <f>IF(B713="","",TEXT(B713,"yyyy-mm"))</f>
        <v>0</v>
      </c>
      <c r="S713" s="25">
        <f>IF(B713="","",WEEKNUM(B713,2))</f>
        <v>0</v>
      </c>
      <c r="T713" s="37">
        <f>IF(B713="","",IF(K713="",1,K713))</f>
        <v>0</v>
      </c>
      <c r="U713" s="15">
        <f>IF(B713="","",IF(J713&lt;&gt;"",J713,IF(H713="Retail",IFERROR(INDEX(Inventory!$B$5:$B$304,MATCH(I713,Inventory!$A$5:$A$304,0))&amp;"","Not in Inventory"),IFERROR(INDEX(Services!$B$5:$B$204,MATCH(I713,Services!$A$5:$A$204,0))&amp;"","Not in Services"))))</f>
        <v>0</v>
      </c>
      <c r="V713" s="26">
        <f>IF(B713="","",IF(L713&lt;&gt;"",L713,IF(H713="Retail",IFERROR(INDEX(Inventory!$I$5:$I$304,MATCH(I713,Inventory!$A$5:$A$304,0))*1,0),IFERROR(INDEX(Services!$G$5:$G$204,MATCH(I713,Services!$A$5:$A$204,0))*1,0))))</f>
        <v>0</v>
      </c>
      <c r="W713" s="26">
        <f>IF(B713="","",ROUND(T713*V713,2))</f>
        <v>0</v>
      </c>
      <c r="X713" s="26">
        <f>IF(B713="","",ROUND(IF(M713="",0,W713*M713)+IF(N713="",0,N713),2))</f>
        <v>0</v>
      </c>
      <c r="Y713" s="26">
        <f>IF(B713="","",ROUND(W713-X713-IF(P713="",0,P713),2))</f>
        <v>0</v>
      </c>
      <c r="Z713" s="26">
        <f>IF(B713="","",IF(H713="Retail",IF(TaxOnRetail="Yes",ROUND(Y713*TaxRate,2),0),IF(H713="Service",IF(TaxOnServices="Yes",ROUND(Y713*TaxRate,2),0),0)))</f>
        <v>0</v>
      </c>
      <c r="AA713" s="26">
        <f>IF(B713="","",ROUND(Y713+Z713,2))</f>
        <v>0</v>
      </c>
      <c r="AB713" s="26">
        <f>IF(B713="","",ROUND(T713*IF(H713="Retail",IFERROR(INDEX(Inventory!$H$5:$H$304,MATCH(I713,Inventory!$A$5:$A$304,0))*1,0),IFERROR(INDEX(Services!$Q$5:$Q$204,MATCH(I713,Services!$A$5:$A$204,0))*1,0)),2))</f>
        <v>0</v>
      </c>
      <c r="AC713" s="26">
        <f>IF(B713="","",ROUND(Y713-AB713,2))</f>
        <v>0</v>
      </c>
      <c r="AD713" s="38">
        <f>IF(B713="","",IF(C713="","No",IF(COUNTIFS($C$5:C713,C713)=1,"Yes","No")))</f>
        <v>0</v>
      </c>
      <c r="AE713" s="26">
        <f>IF(B713="","",ROUND(SUMIFS(Payments!$G$5:$G$1204,Payments!$H$5:$H$1204,A713,Payments!$Q$5:$Q$1204,"Yes"),2))</f>
        <v>0</v>
      </c>
      <c r="AF713" s="26">
        <f>IF(B713="","",IF(AD713="No",0,ROUND(SUMIFS(Payments!$G$5:$G$1204,Payments!$I$5:$I$1204,C713,Payments!$H$5:$H$1204,"",Payments!$Q$5:$Q$1204,"Yes"),2)))</f>
        <v>0</v>
      </c>
      <c r="AG713" s="26">
        <f>IF(B713="","",ROUND(AE713+AF713,2))</f>
        <v>0</v>
      </c>
      <c r="AH713" s="26">
        <f>IF(B713="","",ROUND(AA713-AG713,2))</f>
        <v>0</v>
      </c>
      <c r="AI713" s="39">
        <f>IF(B713="","",IF(AA713&lt;=0,"No charge",IF(AH713&lt;=0.004,"Paid",IF(AG713&lt;=0.004,"Unpaid","Part paid"))))</f>
        <v>0</v>
      </c>
      <c r="AJ713" s="38">
        <f>IF(B713="","",IF(H713&lt;&gt;"Service","",IF(D713="","No",IF(COUNTIFS($D$5:$D$1204,D713,$B$5:$B$1204,B713,$H$5:$H$1204,"Retail")&gt;0,"Yes","No"))))</f>
        <v>0</v>
      </c>
      <c r="AK713" s="25">
        <f>IF(B713="","",COUNTIFS($Y$5:$Y$1204,"&gt;"&amp;Y713)+COUNTIFS($Y$5:Y713,Y713))</f>
        <v>0</v>
      </c>
      <c r="AL713" s="39">
        <f>IF(B713="","",IF(H713="","Add - what kind of sale is this?",IF(IF(V713&lt;=0,P713="",FALSE),"Check - no price found for this item",IF(F713="","Assign - nobody credited",IF(AH713&gt;0.004,"Unpaid - balance outstanding",IF(AC713&lt;0,"Loss - sold below cost",IF(X713&gt;W713*0.5,"Check - more than half off","OK")))))))</f>
        <v>0</v>
      </c>
    </row>
    <row r="714" spans="1:38">
      <c r="A714" s="28">
        <f>IF(B714="","",SalePrefix&amp;TEXT(ROW()-4,"0000"))</f>
        <v>0</v>
      </c>
      <c r="E714" s="15">
        <f>IF(D714="","",IFERROR(INDEX(Clients!$B$5:$B$504,MATCH(D714,Clients!$A$5:$A$504,0)),"Walk-in"))</f>
        <v>0</v>
      </c>
      <c r="G714" s="15">
        <f>IF(F714="","",IFERROR(INDEX(Staff!$B$5:$B$44,MATCH(F714,Staff!$A$5:$A$44,0)),"House"))</f>
        <v>0</v>
      </c>
      <c r="R714" s="15">
        <f>IF(B714="","",TEXT(B714,"yyyy-mm"))</f>
        <v>0</v>
      </c>
      <c r="S714" s="25">
        <f>IF(B714="","",WEEKNUM(B714,2))</f>
        <v>0</v>
      </c>
      <c r="T714" s="37">
        <f>IF(B714="","",IF(K714="",1,K714))</f>
        <v>0</v>
      </c>
      <c r="U714" s="15">
        <f>IF(B714="","",IF(J714&lt;&gt;"",J714,IF(H714="Retail",IFERROR(INDEX(Inventory!$B$5:$B$304,MATCH(I714,Inventory!$A$5:$A$304,0))&amp;"","Not in Inventory"),IFERROR(INDEX(Services!$B$5:$B$204,MATCH(I714,Services!$A$5:$A$204,0))&amp;"","Not in Services"))))</f>
        <v>0</v>
      </c>
      <c r="V714" s="26">
        <f>IF(B714="","",IF(L714&lt;&gt;"",L714,IF(H714="Retail",IFERROR(INDEX(Inventory!$I$5:$I$304,MATCH(I714,Inventory!$A$5:$A$304,0))*1,0),IFERROR(INDEX(Services!$G$5:$G$204,MATCH(I714,Services!$A$5:$A$204,0))*1,0))))</f>
        <v>0</v>
      </c>
      <c r="W714" s="26">
        <f>IF(B714="","",ROUND(T714*V714,2))</f>
        <v>0</v>
      </c>
      <c r="X714" s="26">
        <f>IF(B714="","",ROUND(IF(M714="",0,W714*M714)+IF(N714="",0,N714),2))</f>
        <v>0</v>
      </c>
      <c r="Y714" s="26">
        <f>IF(B714="","",ROUND(W714-X714-IF(P714="",0,P714),2))</f>
        <v>0</v>
      </c>
      <c r="Z714" s="26">
        <f>IF(B714="","",IF(H714="Retail",IF(TaxOnRetail="Yes",ROUND(Y714*TaxRate,2),0),IF(H714="Service",IF(TaxOnServices="Yes",ROUND(Y714*TaxRate,2),0),0)))</f>
        <v>0</v>
      </c>
      <c r="AA714" s="26">
        <f>IF(B714="","",ROUND(Y714+Z714,2))</f>
        <v>0</v>
      </c>
      <c r="AB714" s="26">
        <f>IF(B714="","",ROUND(T714*IF(H714="Retail",IFERROR(INDEX(Inventory!$H$5:$H$304,MATCH(I714,Inventory!$A$5:$A$304,0))*1,0),IFERROR(INDEX(Services!$Q$5:$Q$204,MATCH(I714,Services!$A$5:$A$204,0))*1,0)),2))</f>
        <v>0</v>
      </c>
      <c r="AC714" s="26">
        <f>IF(B714="","",ROUND(Y714-AB714,2))</f>
        <v>0</v>
      </c>
      <c r="AD714" s="38">
        <f>IF(B714="","",IF(C714="","No",IF(COUNTIFS($C$5:C714,C714)=1,"Yes","No")))</f>
        <v>0</v>
      </c>
      <c r="AE714" s="26">
        <f>IF(B714="","",ROUND(SUMIFS(Payments!$G$5:$G$1204,Payments!$H$5:$H$1204,A714,Payments!$Q$5:$Q$1204,"Yes"),2))</f>
        <v>0</v>
      </c>
      <c r="AF714" s="26">
        <f>IF(B714="","",IF(AD714="No",0,ROUND(SUMIFS(Payments!$G$5:$G$1204,Payments!$I$5:$I$1204,C714,Payments!$H$5:$H$1204,"",Payments!$Q$5:$Q$1204,"Yes"),2)))</f>
        <v>0</v>
      </c>
      <c r="AG714" s="26">
        <f>IF(B714="","",ROUND(AE714+AF714,2))</f>
        <v>0</v>
      </c>
      <c r="AH714" s="26">
        <f>IF(B714="","",ROUND(AA714-AG714,2))</f>
        <v>0</v>
      </c>
      <c r="AI714" s="39">
        <f>IF(B714="","",IF(AA714&lt;=0,"No charge",IF(AH714&lt;=0.004,"Paid",IF(AG714&lt;=0.004,"Unpaid","Part paid"))))</f>
        <v>0</v>
      </c>
      <c r="AJ714" s="38">
        <f>IF(B714="","",IF(H714&lt;&gt;"Service","",IF(D714="","No",IF(COUNTIFS($D$5:$D$1204,D714,$B$5:$B$1204,B714,$H$5:$H$1204,"Retail")&gt;0,"Yes","No"))))</f>
        <v>0</v>
      </c>
      <c r="AK714" s="25">
        <f>IF(B714="","",COUNTIFS($Y$5:$Y$1204,"&gt;"&amp;Y714)+COUNTIFS($Y$5:Y714,Y714))</f>
        <v>0</v>
      </c>
      <c r="AL714" s="39">
        <f>IF(B714="","",IF(H714="","Add - what kind of sale is this?",IF(IF(V714&lt;=0,P714="",FALSE),"Check - no price found for this item",IF(F714="","Assign - nobody credited",IF(AH714&gt;0.004,"Unpaid - balance outstanding",IF(AC714&lt;0,"Loss - sold below cost",IF(X714&gt;W714*0.5,"Check - more than half off","OK")))))))</f>
        <v>0</v>
      </c>
    </row>
    <row r="715" spans="1:38">
      <c r="A715" s="28">
        <f>IF(B715="","",SalePrefix&amp;TEXT(ROW()-4,"0000"))</f>
        <v>0</v>
      </c>
      <c r="E715" s="15">
        <f>IF(D715="","",IFERROR(INDEX(Clients!$B$5:$B$504,MATCH(D715,Clients!$A$5:$A$504,0)),"Walk-in"))</f>
        <v>0</v>
      </c>
      <c r="G715" s="15">
        <f>IF(F715="","",IFERROR(INDEX(Staff!$B$5:$B$44,MATCH(F715,Staff!$A$5:$A$44,0)),"House"))</f>
        <v>0</v>
      </c>
      <c r="R715" s="15">
        <f>IF(B715="","",TEXT(B715,"yyyy-mm"))</f>
        <v>0</v>
      </c>
      <c r="S715" s="25">
        <f>IF(B715="","",WEEKNUM(B715,2))</f>
        <v>0</v>
      </c>
      <c r="T715" s="37">
        <f>IF(B715="","",IF(K715="",1,K715))</f>
        <v>0</v>
      </c>
      <c r="U715" s="15">
        <f>IF(B715="","",IF(J715&lt;&gt;"",J715,IF(H715="Retail",IFERROR(INDEX(Inventory!$B$5:$B$304,MATCH(I715,Inventory!$A$5:$A$304,0))&amp;"","Not in Inventory"),IFERROR(INDEX(Services!$B$5:$B$204,MATCH(I715,Services!$A$5:$A$204,0))&amp;"","Not in Services"))))</f>
        <v>0</v>
      </c>
      <c r="V715" s="26">
        <f>IF(B715="","",IF(L715&lt;&gt;"",L715,IF(H715="Retail",IFERROR(INDEX(Inventory!$I$5:$I$304,MATCH(I715,Inventory!$A$5:$A$304,0))*1,0),IFERROR(INDEX(Services!$G$5:$G$204,MATCH(I715,Services!$A$5:$A$204,0))*1,0))))</f>
        <v>0</v>
      </c>
      <c r="W715" s="26">
        <f>IF(B715="","",ROUND(T715*V715,2))</f>
        <v>0</v>
      </c>
      <c r="X715" s="26">
        <f>IF(B715="","",ROUND(IF(M715="",0,W715*M715)+IF(N715="",0,N715),2))</f>
        <v>0</v>
      </c>
      <c r="Y715" s="26">
        <f>IF(B715="","",ROUND(W715-X715-IF(P715="",0,P715),2))</f>
        <v>0</v>
      </c>
      <c r="Z715" s="26">
        <f>IF(B715="","",IF(H715="Retail",IF(TaxOnRetail="Yes",ROUND(Y715*TaxRate,2),0),IF(H715="Service",IF(TaxOnServices="Yes",ROUND(Y715*TaxRate,2),0),0)))</f>
        <v>0</v>
      </c>
      <c r="AA715" s="26">
        <f>IF(B715="","",ROUND(Y715+Z715,2))</f>
        <v>0</v>
      </c>
      <c r="AB715" s="26">
        <f>IF(B715="","",ROUND(T715*IF(H715="Retail",IFERROR(INDEX(Inventory!$H$5:$H$304,MATCH(I715,Inventory!$A$5:$A$304,0))*1,0),IFERROR(INDEX(Services!$Q$5:$Q$204,MATCH(I715,Services!$A$5:$A$204,0))*1,0)),2))</f>
        <v>0</v>
      </c>
      <c r="AC715" s="26">
        <f>IF(B715="","",ROUND(Y715-AB715,2))</f>
        <v>0</v>
      </c>
      <c r="AD715" s="38">
        <f>IF(B715="","",IF(C715="","No",IF(COUNTIFS($C$5:C715,C715)=1,"Yes","No")))</f>
        <v>0</v>
      </c>
      <c r="AE715" s="26">
        <f>IF(B715="","",ROUND(SUMIFS(Payments!$G$5:$G$1204,Payments!$H$5:$H$1204,A715,Payments!$Q$5:$Q$1204,"Yes"),2))</f>
        <v>0</v>
      </c>
      <c r="AF715" s="26">
        <f>IF(B715="","",IF(AD715="No",0,ROUND(SUMIFS(Payments!$G$5:$G$1204,Payments!$I$5:$I$1204,C715,Payments!$H$5:$H$1204,"",Payments!$Q$5:$Q$1204,"Yes"),2)))</f>
        <v>0</v>
      </c>
      <c r="AG715" s="26">
        <f>IF(B715="","",ROUND(AE715+AF715,2))</f>
        <v>0</v>
      </c>
      <c r="AH715" s="26">
        <f>IF(B715="","",ROUND(AA715-AG715,2))</f>
        <v>0</v>
      </c>
      <c r="AI715" s="39">
        <f>IF(B715="","",IF(AA715&lt;=0,"No charge",IF(AH715&lt;=0.004,"Paid",IF(AG715&lt;=0.004,"Unpaid","Part paid"))))</f>
        <v>0</v>
      </c>
      <c r="AJ715" s="38">
        <f>IF(B715="","",IF(H715&lt;&gt;"Service","",IF(D715="","No",IF(COUNTIFS($D$5:$D$1204,D715,$B$5:$B$1204,B715,$H$5:$H$1204,"Retail")&gt;0,"Yes","No"))))</f>
        <v>0</v>
      </c>
      <c r="AK715" s="25">
        <f>IF(B715="","",COUNTIFS($Y$5:$Y$1204,"&gt;"&amp;Y715)+COUNTIFS($Y$5:Y715,Y715))</f>
        <v>0</v>
      </c>
      <c r="AL715" s="39">
        <f>IF(B715="","",IF(H715="","Add - what kind of sale is this?",IF(IF(V715&lt;=0,P715="",FALSE),"Check - no price found for this item",IF(F715="","Assign - nobody credited",IF(AH715&gt;0.004,"Unpaid - balance outstanding",IF(AC715&lt;0,"Loss - sold below cost",IF(X715&gt;W715*0.5,"Check - more than half off","OK")))))))</f>
        <v>0</v>
      </c>
    </row>
    <row r="716" spans="1:38">
      <c r="A716" s="28">
        <f>IF(B716="","",SalePrefix&amp;TEXT(ROW()-4,"0000"))</f>
        <v>0</v>
      </c>
      <c r="E716" s="15">
        <f>IF(D716="","",IFERROR(INDEX(Clients!$B$5:$B$504,MATCH(D716,Clients!$A$5:$A$504,0)),"Walk-in"))</f>
        <v>0</v>
      </c>
      <c r="G716" s="15">
        <f>IF(F716="","",IFERROR(INDEX(Staff!$B$5:$B$44,MATCH(F716,Staff!$A$5:$A$44,0)),"House"))</f>
        <v>0</v>
      </c>
      <c r="R716" s="15">
        <f>IF(B716="","",TEXT(B716,"yyyy-mm"))</f>
        <v>0</v>
      </c>
      <c r="S716" s="25">
        <f>IF(B716="","",WEEKNUM(B716,2))</f>
        <v>0</v>
      </c>
      <c r="T716" s="37">
        <f>IF(B716="","",IF(K716="",1,K716))</f>
        <v>0</v>
      </c>
      <c r="U716" s="15">
        <f>IF(B716="","",IF(J716&lt;&gt;"",J716,IF(H716="Retail",IFERROR(INDEX(Inventory!$B$5:$B$304,MATCH(I716,Inventory!$A$5:$A$304,0))&amp;"","Not in Inventory"),IFERROR(INDEX(Services!$B$5:$B$204,MATCH(I716,Services!$A$5:$A$204,0))&amp;"","Not in Services"))))</f>
        <v>0</v>
      </c>
      <c r="V716" s="26">
        <f>IF(B716="","",IF(L716&lt;&gt;"",L716,IF(H716="Retail",IFERROR(INDEX(Inventory!$I$5:$I$304,MATCH(I716,Inventory!$A$5:$A$304,0))*1,0),IFERROR(INDEX(Services!$G$5:$G$204,MATCH(I716,Services!$A$5:$A$204,0))*1,0))))</f>
        <v>0</v>
      </c>
      <c r="W716" s="26">
        <f>IF(B716="","",ROUND(T716*V716,2))</f>
        <v>0</v>
      </c>
      <c r="X716" s="26">
        <f>IF(B716="","",ROUND(IF(M716="",0,W716*M716)+IF(N716="",0,N716),2))</f>
        <v>0</v>
      </c>
      <c r="Y716" s="26">
        <f>IF(B716="","",ROUND(W716-X716-IF(P716="",0,P716),2))</f>
        <v>0</v>
      </c>
      <c r="Z716" s="26">
        <f>IF(B716="","",IF(H716="Retail",IF(TaxOnRetail="Yes",ROUND(Y716*TaxRate,2),0),IF(H716="Service",IF(TaxOnServices="Yes",ROUND(Y716*TaxRate,2),0),0)))</f>
        <v>0</v>
      </c>
      <c r="AA716" s="26">
        <f>IF(B716="","",ROUND(Y716+Z716,2))</f>
        <v>0</v>
      </c>
      <c r="AB716" s="26">
        <f>IF(B716="","",ROUND(T716*IF(H716="Retail",IFERROR(INDEX(Inventory!$H$5:$H$304,MATCH(I716,Inventory!$A$5:$A$304,0))*1,0),IFERROR(INDEX(Services!$Q$5:$Q$204,MATCH(I716,Services!$A$5:$A$204,0))*1,0)),2))</f>
        <v>0</v>
      </c>
      <c r="AC716" s="26">
        <f>IF(B716="","",ROUND(Y716-AB716,2))</f>
        <v>0</v>
      </c>
      <c r="AD716" s="38">
        <f>IF(B716="","",IF(C716="","No",IF(COUNTIFS($C$5:C716,C716)=1,"Yes","No")))</f>
        <v>0</v>
      </c>
      <c r="AE716" s="26">
        <f>IF(B716="","",ROUND(SUMIFS(Payments!$G$5:$G$1204,Payments!$H$5:$H$1204,A716,Payments!$Q$5:$Q$1204,"Yes"),2))</f>
        <v>0</v>
      </c>
      <c r="AF716" s="26">
        <f>IF(B716="","",IF(AD716="No",0,ROUND(SUMIFS(Payments!$G$5:$G$1204,Payments!$I$5:$I$1204,C716,Payments!$H$5:$H$1204,"",Payments!$Q$5:$Q$1204,"Yes"),2)))</f>
        <v>0</v>
      </c>
      <c r="AG716" s="26">
        <f>IF(B716="","",ROUND(AE716+AF716,2))</f>
        <v>0</v>
      </c>
      <c r="AH716" s="26">
        <f>IF(B716="","",ROUND(AA716-AG716,2))</f>
        <v>0</v>
      </c>
      <c r="AI716" s="39">
        <f>IF(B716="","",IF(AA716&lt;=0,"No charge",IF(AH716&lt;=0.004,"Paid",IF(AG716&lt;=0.004,"Unpaid","Part paid"))))</f>
        <v>0</v>
      </c>
      <c r="AJ716" s="38">
        <f>IF(B716="","",IF(H716&lt;&gt;"Service","",IF(D716="","No",IF(COUNTIFS($D$5:$D$1204,D716,$B$5:$B$1204,B716,$H$5:$H$1204,"Retail")&gt;0,"Yes","No"))))</f>
        <v>0</v>
      </c>
      <c r="AK716" s="25">
        <f>IF(B716="","",COUNTIFS($Y$5:$Y$1204,"&gt;"&amp;Y716)+COUNTIFS($Y$5:Y716,Y716))</f>
        <v>0</v>
      </c>
      <c r="AL716" s="39">
        <f>IF(B716="","",IF(H716="","Add - what kind of sale is this?",IF(IF(V716&lt;=0,P716="",FALSE),"Check - no price found for this item",IF(F716="","Assign - nobody credited",IF(AH716&gt;0.004,"Unpaid - balance outstanding",IF(AC716&lt;0,"Loss - sold below cost",IF(X716&gt;W716*0.5,"Check - more than half off","OK")))))))</f>
        <v>0</v>
      </c>
    </row>
    <row r="717" spans="1:38">
      <c r="A717" s="28">
        <f>IF(B717="","",SalePrefix&amp;TEXT(ROW()-4,"0000"))</f>
        <v>0</v>
      </c>
      <c r="E717" s="15">
        <f>IF(D717="","",IFERROR(INDEX(Clients!$B$5:$B$504,MATCH(D717,Clients!$A$5:$A$504,0)),"Walk-in"))</f>
        <v>0</v>
      </c>
      <c r="G717" s="15">
        <f>IF(F717="","",IFERROR(INDEX(Staff!$B$5:$B$44,MATCH(F717,Staff!$A$5:$A$44,0)),"House"))</f>
        <v>0</v>
      </c>
      <c r="R717" s="15">
        <f>IF(B717="","",TEXT(B717,"yyyy-mm"))</f>
        <v>0</v>
      </c>
      <c r="S717" s="25">
        <f>IF(B717="","",WEEKNUM(B717,2))</f>
        <v>0</v>
      </c>
      <c r="T717" s="37">
        <f>IF(B717="","",IF(K717="",1,K717))</f>
        <v>0</v>
      </c>
      <c r="U717" s="15">
        <f>IF(B717="","",IF(J717&lt;&gt;"",J717,IF(H717="Retail",IFERROR(INDEX(Inventory!$B$5:$B$304,MATCH(I717,Inventory!$A$5:$A$304,0))&amp;"","Not in Inventory"),IFERROR(INDEX(Services!$B$5:$B$204,MATCH(I717,Services!$A$5:$A$204,0))&amp;"","Not in Services"))))</f>
        <v>0</v>
      </c>
      <c r="V717" s="26">
        <f>IF(B717="","",IF(L717&lt;&gt;"",L717,IF(H717="Retail",IFERROR(INDEX(Inventory!$I$5:$I$304,MATCH(I717,Inventory!$A$5:$A$304,0))*1,0),IFERROR(INDEX(Services!$G$5:$G$204,MATCH(I717,Services!$A$5:$A$204,0))*1,0))))</f>
        <v>0</v>
      </c>
      <c r="W717" s="26">
        <f>IF(B717="","",ROUND(T717*V717,2))</f>
        <v>0</v>
      </c>
      <c r="X717" s="26">
        <f>IF(B717="","",ROUND(IF(M717="",0,W717*M717)+IF(N717="",0,N717),2))</f>
        <v>0</v>
      </c>
      <c r="Y717" s="26">
        <f>IF(B717="","",ROUND(W717-X717-IF(P717="",0,P717),2))</f>
        <v>0</v>
      </c>
      <c r="Z717" s="26">
        <f>IF(B717="","",IF(H717="Retail",IF(TaxOnRetail="Yes",ROUND(Y717*TaxRate,2),0),IF(H717="Service",IF(TaxOnServices="Yes",ROUND(Y717*TaxRate,2),0),0)))</f>
        <v>0</v>
      </c>
      <c r="AA717" s="26">
        <f>IF(B717="","",ROUND(Y717+Z717,2))</f>
        <v>0</v>
      </c>
      <c r="AB717" s="26">
        <f>IF(B717="","",ROUND(T717*IF(H717="Retail",IFERROR(INDEX(Inventory!$H$5:$H$304,MATCH(I717,Inventory!$A$5:$A$304,0))*1,0),IFERROR(INDEX(Services!$Q$5:$Q$204,MATCH(I717,Services!$A$5:$A$204,0))*1,0)),2))</f>
        <v>0</v>
      </c>
      <c r="AC717" s="26">
        <f>IF(B717="","",ROUND(Y717-AB717,2))</f>
        <v>0</v>
      </c>
      <c r="AD717" s="38">
        <f>IF(B717="","",IF(C717="","No",IF(COUNTIFS($C$5:C717,C717)=1,"Yes","No")))</f>
        <v>0</v>
      </c>
      <c r="AE717" s="26">
        <f>IF(B717="","",ROUND(SUMIFS(Payments!$G$5:$G$1204,Payments!$H$5:$H$1204,A717,Payments!$Q$5:$Q$1204,"Yes"),2))</f>
        <v>0</v>
      </c>
      <c r="AF717" s="26">
        <f>IF(B717="","",IF(AD717="No",0,ROUND(SUMIFS(Payments!$G$5:$G$1204,Payments!$I$5:$I$1204,C717,Payments!$H$5:$H$1204,"",Payments!$Q$5:$Q$1204,"Yes"),2)))</f>
        <v>0</v>
      </c>
      <c r="AG717" s="26">
        <f>IF(B717="","",ROUND(AE717+AF717,2))</f>
        <v>0</v>
      </c>
      <c r="AH717" s="26">
        <f>IF(B717="","",ROUND(AA717-AG717,2))</f>
        <v>0</v>
      </c>
      <c r="AI717" s="39">
        <f>IF(B717="","",IF(AA717&lt;=0,"No charge",IF(AH717&lt;=0.004,"Paid",IF(AG717&lt;=0.004,"Unpaid","Part paid"))))</f>
        <v>0</v>
      </c>
      <c r="AJ717" s="38">
        <f>IF(B717="","",IF(H717&lt;&gt;"Service","",IF(D717="","No",IF(COUNTIFS($D$5:$D$1204,D717,$B$5:$B$1204,B717,$H$5:$H$1204,"Retail")&gt;0,"Yes","No"))))</f>
        <v>0</v>
      </c>
      <c r="AK717" s="25">
        <f>IF(B717="","",COUNTIFS($Y$5:$Y$1204,"&gt;"&amp;Y717)+COUNTIFS($Y$5:Y717,Y717))</f>
        <v>0</v>
      </c>
      <c r="AL717" s="39">
        <f>IF(B717="","",IF(H717="","Add - what kind of sale is this?",IF(IF(V717&lt;=0,P717="",FALSE),"Check - no price found for this item",IF(F717="","Assign - nobody credited",IF(AH717&gt;0.004,"Unpaid - balance outstanding",IF(AC717&lt;0,"Loss - sold below cost",IF(X717&gt;W717*0.5,"Check - more than half off","OK")))))))</f>
        <v>0</v>
      </c>
    </row>
    <row r="718" spans="1:38">
      <c r="A718" s="28">
        <f>IF(B718="","",SalePrefix&amp;TEXT(ROW()-4,"0000"))</f>
        <v>0</v>
      </c>
      <c r="E718" s="15">
        <f>IF(D718="","",IFERROR(INDEX(Clients!$B$5:$B$504,MATCH(D718,Clients!$A$5:$A$504,0)),"Walk-in"))</f>
        <v>0</v>
      </c>
      <c r="G718" s="15">
        <f>IF(F718="","",IFERROR(INDEX(Staff!$B$5:$B$44,MATCH(F718,Staff!$A$5:$A$44,0)),"House"))</f>
        <v>0</v>
      </c>
      <c r="R718" s="15">
        <f>IF(B718="","",TEXT(B718,"yyyy-mm"))</f>
        <v>0</v>
      </c>
      <c r="S718" s="25">
        <f>IF(B718="","",WEEKNUM(B718,2))</f>
        <v>0</v>
      </c>
      <c r="T718" s="37">
        <f>IF(B718="","",IF(K718="",1,K718))</f>
        <v>0</v>
      </c>
      <c r="U718" s="15">
        <f>IF(B718="","",IF(J718&lt;&gt;"",J718,IF(H718="Retail",IFERROR(INDEX(Inventory!$B$5:$B$304,MATCH(I718,Inventory!$A$5:$A$304,0))&amp;"","Not in Inventory"),IFERROR(INDEX(Services!$B$5:$B$204,MATCH(I718,Services!$A$5:$A$204,0))&amp;"","Not in Services"))))</f>
        <v>0</v>
      </c>
      <c r="V718" s="26">
        <f>IF(B718="","",IF(L718&lt;&gt;"",L718,IF(H718="Retail",IFERROR(INDEX(Inventory!$I$5:$I$304,MATCH(I718,Inventory!$A$5:$A$304,0))*1,0),IFERROR(INDEX(Services!$G$5:$G$204,MATCH(I718,Services!$A$5:$A$204,0))*1,0))))</f>
        <v>0</v>
      </c>
      <c r="W718" s="26">
        <f>IF(B718="","",ROUND(T718*V718,2))</f>
        <v>0</v>
      </c>
      <c r="X718" s="26">
        <f>IF(B718="","",ROUND(IF(M718="",0,W718*M718)+IF(N718="",0,N718),2))</f>
        <v>0</v>
      </c>
      <c r="Y718" s="26">
        <f>IF(B718="","",ROUND(W718-X718-IF(P718="",0,P718),2))</f>
        <v>0</v>
      </c>
      <c r="Z718" s="26">
        <f>IF(B718="","",IF(H718="Retail",IF(TaxOnRetail="Yes",ROUND(Y718*TaxRate,2),0),IF(H718="Service",IF(TaxOnServices="Yes",ROUND(Y718*TaxRate,2),0),0)))</f>
        <v>0</v>
      </c>
      <c r="AA718" s="26">
        <f>IF(B718="","",ROUND(Y718+Z718,2))</f>
        <v>0</v>
      </c>
      <c r="AB718" s="26">
        <f>IF(B718="","",ROUND(T718*IF(H718="Retail",IFERROR(INDEX(Inventory!$H$5:$H$304,MATCH(I718,Inventory!$A$5:$A$304,0))*1,0),IFERROR(INDEX(Services!$Q$5:$Q$204,MATCH(I718,Services!$A$5:$A$204,0))*1,0)),2))</f>
        <v>0</v>
      </c>
      <c r="AC718" s="26">
        <f>IF(B718="","",ROUND(Y718-AB718,2))</f>
        <v>0</v>
      </c>
      <c r="AD718" s="38">
        <f>IF(B718="","",IF(C718="","No",IF(COUNTIFS($C$5:C718,C718)=1,"Yes","No")))</f>
        <v>0</v>
      </c>
      <c r="AE718" s="26">
        <f>IF(B718="","",ROUND(SUMIFS(Payments!$G$5:$G$1204,Payments!$H$5:$H$1204,A718,Payments!$Q$5:$Q$1204,"Yes"),2))</f>
        <v>0</v>
      </c>
      <c r="AF718" s="26">
        <f>IF(B718="","",IF(AD718="No",0,ROUND(SUMIFS(Payments!$G$5:$G$1204,Payments!$I$5:$I$1204,C718,Payments!$H$5:$H$1204,"",Payments!$Q$5:$Q$1204,"Yes"),2)))</f>
        <v>0</v>
      </c>
      <c r="AG718" s="26">
        <f>IF(B718="","",ROUND(AE718+AF718,2))</f>
        <v>0</v>
      </c>
      <c r="AH718" s="26">
        <f>IF(B718="","",ROUND(AA718-AG718,2))</f>
        <v>0</v>
      </c>
      <c r="AI718" s="39">
        <f>IF(B718="","",IF(AA718&lt;=0,"No charge",IF(AH718&lt;=0.004,"Paid",IF(AG718&lt;=0.004,"Unpaid","Part paid"))))</f>
        <v>0</v>
      </c>
      <c r="AJ718" s="38">
        <f>IF(B718="","",IF(H718&lt;&gt;"Service","",IF(D718="","No",IF(COUNTIFS($D$5:$D$1204,D718,$B$5:$B$1204,B718,$H$5:$H$1204,"Retail")&gt;0,"Yes","No"))))</f>
        <v>0</v>
      </c>
      <c r="AK718" s="25">
        <f>IF(B718="","",COUNTIFS($Y$5:$Y$1204,"&gt;"&amp;Y718)+COUNTIFS($Y$5:Y718,Y718))</f>
        <v>0</v>
      </c>
      <c r="AL718" s="39">
        <f>IF(B718="","",IF(H718="","Add - what kind of sale is this?",IF(IF(V718&lt;=0,P718="",FALSE),"Check - no price found for this item",IF(F718="","Assign - nobody credited",IF(AH718&gt;0.004,"Unpaid - balance outstanding",IF(AC718&lt;0,"Loss - sold below cost",IF(X718&gt;W718*0.5,"Check - more than half off","OK")))))))</f>
        <v>0</v>
      </c>
    </row>
    <row r="719" spans="1:38">
      <c r="A719" s="28">
        <f>IF(B719="","",SalePrefix&amp;TEXT(ROW()-4,"0000"))</f>
        <v>0</v>
      </c>
      <c r="E719" s="15">
        <f>IF(D719="","",IFERROR(INDEX(Clients!$B$5:$B$504,MATCH(D719,Clients!$A$5:$A$504,0)),"Walk-in"))</f>
        <v>0</v>
      </c>
      <c r="G719" s="15">
        <f>IF(F719="","",IFERROR(INDEX(Staff!$B$5:$B$44,MATCH(F719,Staff!$A$5:$A$44,0)),"House"))</f>
        <v>0</v>
      </c>
      <c r="R719" s="15">
        <f>IF(B719="","",TEXT(B719,"yyyy-mm"))</f>
        <v>0</v>
      </c>
      <c r="S719" s="25">
        <f>IF(B719="","",WEEKNUM(B719,2))</f>
        <v>0</v>
      </c>
      <c r="T719" s="37">
        <f>IF(B719="","",IF(K719="",1,K719))</f>
        <v>0</v>
      </c>
      <c r="U719" s="15">
        <f>IF(B719="","",IF(J719&lt;&gt;"",J719,IF(H719="Retail",IFERROR(INDEX(Inventory!$B$5:$B$304,MATCH(I719,Inventory!$A$5:$A$304,0))&amp;"","Not in Inventory"),IFERROR(INDEX(Services!$B$5:$B$204,MATCH(I719,Services!$A$5:$A$204,0))&amp;"","Not in Services"))))</f>
        <v>0</v>
      </c>
      <c r="V719" s="26">
        <f>IF(B719="","",IF(L719&lt;&gt;"",L719,IF(H719="Retail",IFERROR(INDEX(Inventory!$I$5:$I$304,MATCH(I719,Inventory!$A$5:$A$304,0))*1,0),IFERROR(INDEX(Services!$G$5:$G$204,MATCH(I719,Services!$A$5:$A$204,0))*1,0))))</f>
        <v>0</v>
      </c>
      <c r="W719" s="26">
        <f>IF(B719="","",ROUND(T719*V719,2))</f>
        <v>0</v>
      </c>
      <c r="X719" s="26">
        <f>IF(B719="","",ROUND(IF(M719="",0,W719*M719)+IF(N719="",0,N719),2))</f>
        <v>0</v>
      </c>
      <c r="Y719" s="26">
        <f>IF(B719="","",ROUND(W719-X719-IF(P719="",0,P719),2))</f>
        <v>0</v>
      </c>
      <c r="Z719" s="26">
        <f>IF(B719="","",IF(H719="Retail",IF(TaxOnRetail="Yes",ROUND(Y719*TaxRate,2),0),IF(H719="Service",IF(TaxOnServices="Yes",ROUND(Y719*TaxRate,2),0),0)))</f>
        <v>0</v>
      </c>
      <c r="AA719" s="26">
        <f>IF(B719="","",ROUND(Y719+Z719,2))</f>
        <v>0</v>
      </c>
      <c r="AB719" s="26">
        <f>IF(B719="","",ROUND(T719*IF(H719="Retail",IFERROR(INDEX(Inventory!$H$5:$H$304,MATCH(I719,Inventory!$A$5:$A$304,0))*1,0),IFERROR(INDEX(Services!$Q$5:$Q$204,MATCH(I719,Services!$A$5:$A$204,0))*1,0)),2))</f>
        <v>0</v>
      </c>
      <c r="AC719" s="26">
        <f>IF(B719="","",ROUND(Y719-AB719,2))</f>
        <v>0</v>
      </c>
      <c r="AD719" s="38">
        <f>IF(B719="","",IF(C719="","No",IF(COUNTIFS($C$5:C719,C719)=1,"Yes","No")))</f>
        <v>0</v>
      </c>
      <c r="AE719" s="26">
        <f>IF(B719="","",ROUND(SUMIFS(Payments!$G$5:$G$1204,Payments!$H$5:$H$1204,A719,Payments!$Q$5:$Q$1204,"Yes"),2))</f>
        <v>0</v>
      </c>
      <c r="AF719" s="26">
        <f>IF(B719="","",IF(AD719="No",0,ROUND(SUMIFS(Payments!$G$5:$G$1204,Payments!$I$5:$I$1204,C719,Payments!$H$5:$H$1204,"",Payments!$Q$5:$Q$1204,"Yes"),2)))</f>
        <v>0</v>
      </c>
      <c r="AG719" s="26">
        <f>IF(B719="","",ROUND(AE719+AF719,2))</f>
        <v>0</v>
      </c>
      <c r="AH719" s="26">
        <f>IF(B719="","",ROUND(AA719-AG719,2))</f>
        <v>0</v>
      </c>
      <c r="AI719" s="39">
        <f>IF(B719="","",IF(AA719&lt;=0,"No charge",IF(AH719&lt;=0.004,"Paid",IF(AG719&lt;=0.004,"Unpaid","Part paid"))))</f>
        <v>0</v>
      </c>
      <c r="AJ719" s="38">
        <f>IF(B719="","",IF(H719&lt;&gt;"Service","",IF(D719="","No",IF(COUNTIFS($D$5:$D$1204,D719,$B$5:$B$1204,B719,$H$5:$H$1204,"Retail")&gt;0,"Yes","No"))))</f>
        <v>0</v>
      </c>
      <c r="AK719" s="25">
        <f>IF(B719="","",COUNTIFS($Y$5:$Y$1204,"&gt;"&amp;Y719)+COUNTIFS($Y$5:Y719,Y719))</f>
        <v>0</v>
      </c>
      <c r="AL719" s="39">
        <f>IF(B719="","",IF(H719="","Add - what kind of sale is this?",IF(IF(V719&lt;=0,P719="",FALSE),"Check - no price found for this item",IF(F719="","Assign - nobody credited",IF(AH719&gt;0.004,"Unpaid - balance outstanding",IF(AC719&lt;0,"Loss - sold below cost",IF(X719&gt;W719*0.5,"Check - more than half off","OK")))))))</f>
        <v>0</v>
      </c>
    </row>
    <row r="720" spans="1:38">
      <c r="A720" s="28">
        <f>IF(B720="","",SalePrefix&amp;TEXT(ROW()-4,"0000"))</f>
        <v>0</v>
      </c>
      <c r="E720" s="15">
        <f>IF(D720="","",IFERROR(INDEX(Clients!$B$5:$B$504,MATCH(D720,Clients!$A$5:$A$504,0)),"Walk-in"))</f>
        <v>0</v>
      </c>
      <c r="G720" s="15">
        <f>IF(F720="","",IFERROR(INDEX(Staff!$B$5:$B$44,MATCH(F720,Staff!$A$5:$A$44,0)),"House"))</f>
        <v>0</v>
      </c>
      <c r="R720" s="15">
        <f>IF(B720="","",TEXT(B720,"yyyy-mm"))</f>
        <v>0</v>
      </c>
      <c r="S720" s="25">
        <f>IF(B720="","",WEEKNUM(B720,2))</f>
        <v>0</v>
      </c>
      <c r="T720" s="37">
        <f>IF(B720="","",IF(K720="",1,K720))</f>
        <v>0</v>
      </c>
      <c r="U720" s="15">
        <f>IF(B720="","",IF(J720&lt;&gt;"",J720,IF(H720="Retail",IFERROR(INDEX(Inventory!$B$5:$B$304,MATCH(I720,Inventory!$A$5:$A$304,0))&amp;"","Not in Inventory"),IFERROR(INDEX(Services!$B$5:$B$204,MATCH(I720,Services!$A$5:$A$204,0))&amp;"","Not in Services"))))</f>
        <v>0</v>
      </c>
      <c r="V720" s="26">
        <f>IF(B720="","",IF(L720&lt;&gt;"",L720,IF(H720="Retail",IFERROR(INDEX(Inventory!$I$5:$I$304,MATCH(I720,Inventory!$A$5:$A$304,0))*1,0),IFERROR(INDEX(Services!$G$5:$G$204,MATCH(I720,Services!$A$5:$A$204,0))*1,0))))</f>
        <v>0</v>
      </c>
      <c r="W720" s="26">
        <f>IF(B720="","",ROUND(T720*V720,2))</f>
        <v>0</v>
      </c>
      <c r="X720" s="26">
        <f>IF(B720="","",ROUND(IF(M720="",0,W720*M720)+IF(N720="",0,N720),2))</f>
        <v>0</v>
      </c>
      <c r="Y720" s="26">
        <f>IF(B720="","",ROUND(W720-X720-IF(P720="",0,P720),2))</f>
        <v>0</v>
      </c>
      <c r="Z720" s="26">
        <f>IF(B720="","",IF(H720="Retail",IF(TaxOnRetail="Yes",ROUND(Y720*TaxRate,2),0),IF(H720="Service",IF(TaxOnServices="Yes",ROUND(Y720*TaxRate,2),0),0)))</f>
        <v>0</v>
      </c>
      <c r="AA720" s="26">
        <f>IF(B720="","",ROUND(Y720+Z720,2))</f>
        <v>0</v>
      </c>
      <c r="AB720" s="26">
        <f>IF(B720="","",ROUND(T720*IF(H720="Retail",IFERROR(INDEX(Inventory!$H$5:$H$304,MATCH(I720,Inventory!$A$5:$A$304,0))*1,0),IFERROR(INDEX(Services!$Q$5:$Q$204,MATCH(I720,Services!$A$5:$A$204,0))*1,0)),2))</f>
        <v>0</v>
      </c>
      <c r="AC720" s="26">
        <f>IF(B720="","",ROUND(Y720-AB720,2))</f>
        <v>0</v>
      </c>
      <c r="AD720" s="38">
        <f>IF(B720="","",IF(C720="","No",IF(COUNTIFS($C$5:C720,C720)=1,"Yes","No")))</f>
        <v>0</v>
      </c>
      <c r="AE720" s="26">
        <f>IF(B720="","",ROUND(SUMIFS(Payments!$G$5:$G$1204,Payments!$H$5:$H$1204,A720,Payments!$Q$5:$Q$1204,"Yes"),2))</f>
        <v>0</v>
      </c>
      <c r="AF720" s="26">
        <f>IF(B720="","",IF(AD720="No",0,ROUND(SUMIFS(Payments!$G$5:$G$1204,Payments!$I$5:$I$1204,C720,Payments!$H$5:$H$1204,"",Payments!$Q$5:$Q$1204,"Yes"),2)))</f>
        <v>0</v>
      </c>
      <c r="AG720" s="26">
        <f>IF(B720="","",ROUND(AE720+AF720,2))</f>
        <v>0</v>
      </c>
      <c r="AH720" s="26">
        <f>IF(B720="","",ROUND(AA720-AG720,2))</f>
        <v>0</v>
      </c>
      <c r="AI720" s="39">
        <f>IF(B720="","",IF(AA720&lt;=0,"No charge",IF(AH720&lt;=0.004,"Paid",IF(AG720&lt;=0.004,"Unpaid","Part paid"))))</f>
        <v>0</v>
      </c>
      <c r="AJ720" s="38">
        <f>IF(B720="","",IF(H720&lt;&gt;"Service","",IF(D720="","No",IF(COUNTIFS($D$5:$D$1204,D720,$B$5:$B$1204,B720,$H$5:$H$1204,"Retail")&gt;0,"Yes","No"))))</f>
        <v>0</v>
      </c>
      <c r="AK720" s="25">
        <f>IF(B720="","",COUNTIFS($Y$5:$Y$1204,"&gt;"&amp;Y720)+COUNTIFS($Y$5:Y720,Y720))</f>
        <v>0</v>
      </c>
      <c r="AL720" s="39">
        <f>IF(B720="","",IF(H720="","Add - what kind of sale is this?",IF(IF(V720&lt;=0,P720="",FALSE),"Check - no price found for this item",IF(F720="","Assign - nobody credited",IF(AH720&gt;0.004,"Unpaid - balance outstanding",IF(AC720&lt;0,"Loss - sold below cost",IF(X720&gt;W720*0.5,"Check - more than half off","OK")))))))</f>
        <v>0</v>
      </c>
    </row>
    <row r="721" spans="1:38">
      <c r="A721" s="28">
        <f>IF(B721="","",SalePrefix&amp;TEXT(ROW()-4,"0000"))</f>
        <v>0</v>
      </c>
      <c r="E721" s="15">
        <f>IF(D721="","",IFERROR(INDEX(Clients!$B$5:$B$504,MATCH(D721,Clients!$A$5:$A$504,0)),"Walk-in"))</f>
        <v>0</v>
      </c>
      <c r="G721" s="15">
        <f>IF(F721="","",IFERROR(INDEX(Staff!$B$5:$B$44,MATCH(F721,Staff!$A$5:$A$44,0)),"House"))</f>
        <v>0</v>
      </c>
      <c r="R721" s="15">
        <f>IF(B721="","",TEXT(B721,"yyyy-mm"))</f>
        <v>0</v>
      </c>
      <c r="S721" s="25">
        <f>IF(B721="","",WEEKNUM(B721,2))</f>
        <v>0</v>
      </c>
      <c r="T721" s="37">
        <f>IF(B721="","",IF(K721="",1,K721))</f>
        <v>0</v>
      </c>
      <c r="U721" s="15">
        <f>IF(B721="","",IF(J721&lt;&gt;"",J721,IF(H721="Retail",IFERROR(INDEX(Inventory!$B$5:$B$304,MATCH(I721,Inventory!$A$5:$A$304,0))&amp;"","Not in Inventory"),IFERROR(INDEX(Services!$B$5:$B$204,MATCH(I721,Services!$A$5:$A$204,0))&amp;"","Not in Services"))))</f>
        <v>0</v>
      </c>
      <c r="V721" s="26">
        <f>IF(B721="","",IF(L721&lt;&gt;"",L721,IF(H721="Retail",IFERROR(INDEX(Inventory!$I$5:$I$304,MATCH(I721,Inventory!$A$5:$A$304,0))*1,0),IFERROR(INDEX(Services!$G$5:$G$204,MATCH(I721,Services!$A$5:$A$204,0))*1,0))))</f>
        <v>0</v>
      </c>
      <c r="W721" s="26">
        <f>IF(B721="","",ROUND(T721*V721,2))</f>
        <v>0</v>
      </c>
      <c r="X721" s="26">
        <f>IF(B721="","",ROUND(IF(M721="",0,W721*M721)+IF(N721="",0,N721),2))</f>
        <v>0</v>
      </c>
      <c r="Y721" s="26">
        <f>IF(B721="","",ROUND(W721-X721-IF(P721="",0,P721),2))</f>
        <v>0</v>
      </c>
      <c r="Z721" s="26">
        <f>IF(B721="","",IF(H721="Retail",IF(TaxOnRetail="Yes",ROUND(Y721*TaxRate,2),0),IF(H721="Service",IF(TaxOnServices="Yes",ROUND(Y721*TaxRate,2),0),0)))</f>
        <v>0</v>
      </c>
      <c r="AA721" s="26">
        <f>IF(B721="","",ROUND(Y721+Z721,2))</f>
        <v>0</v>
      </c>
      <c r="AB721" s="26">
        <f>IF(B721="","",ROUND(T721*IF(H721="Retail",IFERROR(INDEX(Inventory!$H$5:$H$304,MATCH(I721,Inventory!$A$5:$A$304,0))*1,0),IFERROR(INDEX(Services!$Q$5:$Q$204,MATCH(I721,Services!$A$5:$A$204,0))*1,0)),2))</f>
        <v>0</v>
      </c>
      <c r="AC721" s="26">
        <f>IF(B721="","",ROUND(Y721-AB721,2))</f>
        <v>0</v>
      </c>
      <c r="AD721" s="38">
        <f>IF(B721="","",IF(C721="","No",IF(COUNTIFS($C$5:C721,C721)=1,"Yes","No")))</f>
        <v>0</v>
      </c>
      <c r="AE721" s="26">
        <f>IF(B721="","",ROUND(SUMIFS(Payments!$G$5:$G$1204,Payments!$H$5:$H$1204,A721,Payments!$Q$5:$Q$1204,"Yes"),2))</f>
        <v>0</v>
      </c>
      <c r="AF721" s="26">
        <f>IF(B721="","",IF(AD721="No",0,ROUND(SUMIFS(Payments!$G$5:$G$1204,Payments!$I$5:$I$1204,C721,Payments!$H$5:$H$1204,"",Payments!$Q$5:$Q$1204,"Yes"),2)))</f>
        <v>0</v>
      </c>
      <c r="AG721" s="26">
        <f>IF(B721="","",ROUND(AE721+AF721,2))</f>
        <v>0</v>
      </c>
      <c r="AH721" s="26">
        <f>IF(B721="","",ROUND(AA721-AG721,2))</f>
        <v>0</v>
      </c>
      <c r="AI721" s="39">
        <f>IF(B721="","",IF(AA721&lt;=0,"No charge",IF(AH721&lt;=0.004,"Paid",IF(AG721&lt;=0.004,"Unpaid","Part paid"))))</f>
        <v>0</v>
      </c>
      <c r="AJ721" s="38">
        <f>IF(B721="","",IF(H721&lt;&gt;"Service","",IF(D721="","No",IF(COUNTIFS($D$5:$D$1204,D721,$B$5:$B$1204,B721,$H$5:$H$1204,"Retail")&gt;0,"Yes","No"))))</f>
        <v>0</v>
      </c>
      <c r="AK721" s="25">
        <f>IF(B721="","",COUNTIFS($Y$5:$Y$1204,"&gt;"&amp;Y721)+COUNTIFS($Y$5:Y721,Y721))</f>
        <v>0</v>
      </c>
      <c r="AL721" s="39">
        <f>IF(B721="","",IF(H721="","Add - what kind of sale is this?",IF(IF(V721&lt;=0,P721="",FALSE),"Check - no price found for this item",IF(F721="","Assign - nobody credited",IF(AH721&gt;0.004,"Unpaid - balance outstanding",IF(AC721&lt;0,"Loss - sold below cost",IF(X721&gt;W721*0.5,"Check - more than half off","OK")))))))</f>
        <v>0</v>
      </c>
    </row>
    <row r="722" spans="1:38">
      <c r="A722" s="28">
        <f>IF(B722="","",SalePrefix&amp;TEXT(ROW()-4,"0000"))</f>
        <v>0</v>
      </c>
      <c r="E722" s="15">
        <f>IF(D722="","",IFERROR(INDEX(Clients!$B$5:$B$504,MATCH(D722,Clients!$A$5:$A$504,0)),"Walk-in"))</f>
        <v>0</v>
      </c>
      <c r="G722" s="15">
        <f>IF(F722="","",IFERROR(INDEX(Staff!$B$5:$B$44,MATCH(F722,Staff!$A$5:$A$44,0)),"House"))</f>
        <v>0</v>
      </c>
      <c r="R722" s="15">
        <f>IF(B722="","",TEXT(B722,"yyyy-mm"))</f>
        <v>0</v>
      </c>
      <c r="S722" s="25">
        <f>IF(B722="","",WEEKNUM(B722,2))</f>
        <v>0</v>
      </c>
      <c r="T722" s="37">
        <f>IF(B722="","",IF(K722="",1,K722))</f>
        <v>0</v>
      </c>
      <c r="U722" s="15">
        <f>IF(B722="","",IF(J722&lt;&gt;"",J722,IF(H722="Retail",IFERROR(INDEX(Inventory!$B$5:$B$304,MATCH(I722,Inventory!$A$5:$A$304,0))&amp;"","Not in Inventory"),IFERROR(INDEX(Services!$B$5:$B$204,MATCH(I722,Services!$A$5:$A$204,0))&amp;"","Not in Services"))))</f>
        <v>0</v>
      </c>
      <c r="V722" s="26">
        <f>IF(B722="","",IF(L722&lt;&gt;"",L722,IF(H722="Retail",IFERROR(INDEX(Inventory!$I$5:$I$304,MATCH(I722,Inventory!$A$5:$A$304,0))*1,0),IFERROR(INDEX(Services!$G$5:$G$204,MATCH(I722,Services!$A$5:$A$204,0))*1,0))))</f>
        <v>0</v>
      </c>
      <c r="W722" s="26">
        <f>IF(B722="","",ROUND(T722*V722,2))</f>
        <v>0</v>
      </c>
      <c r="X722" s="26">
        <f>IF(B722="","",ROUND(IF(M722="",0,W722*M722)+IF(N722="",0,N722),2))</f>
        <v>0</v>
      </c>
      <c r="Y722" s="26">
        <f>IF(B722="","",ROUND(W722-X722-IF(P722="",0,P722),2))</f>
        <v>0</v>
      </c>
      <c r="Z722" s="26">
        <f>IF(B722="","",IF(H722="Retail",IF(TaxOnRetail="Yes",ROUND(Y722*TaxRate,2),0),IF(H722="Service",IF(TaxOnServices="Yes",ROUND(Y722*TaxRate,2),0),0)))</f>
        <v>0</v>
      </c>
      <c r="AA722" s="26">
        <f>IF(B722="","",ROUND(Y722+Z722,2))</f>
        <v>0</v>
      </c>
      <c r="AB722" s="26">
        <f>IF(B722="","",ROUND(T722*IF(H722="Retail",IFERROR(INDEX(Inventory!$H$5:$H$304,MATCH(I722,Inventory!$A$5:$A$304,0))*1,0),IFERROR(INDEX(Services!$Q$5:$Q$204,MATCH(I722,Services!$A$5:$A$204,0))*1,0)),2))</f>
        <v>0</v>
      </c>
      <c r="AC722" s="26">
        <f>IF(B722="","",ROUND(Y722-AB722,2))</f>
        <v>0</v>
      </c>
      <c r="AD722" s="38">
        <f>IF(B722="","",IF(C722="","No",IF(COUNTIFS($C$5:C722,C722)=1,"Yes","No")))</f>
        <v>0</v>
      </c>
      <c r="AE722" s="26">
        <f>IF(B722="","",ROUND(SUMIFS(Payments!$G$5:$G$1204,Payments!$H$5:$H$1204,A722,Payments!$Q$5:$Q$1204,"Yes"),2))</f>
        <v>0</v>
      </c>
      <c r="AF722" s="26">
        <f>IF(B722="","",IF(AD722="No",0,ROUND(SUMIFS(Payments!$G$5:$G$1204,Payments!$I$5:$I$1204,C722,Payments!$H$5:$H$1204,"",Payments!$Q$5:$Q$1204,"Yes"),2)))</f>
        <v>0</v>
      </c>
      <c r="AG722" s="26">
        <f>IF(B722="","",ROUND(AE722+AF722,2))</f>
        <v>0</v>
      </c>
      <c r="AH722" s="26">
        <f>IF(B722="","",ROUND(AA722-AG722,2))</f>
        <v>0</v>
      </c>
      <c r="AI722" s="39">
        <f>IF(B722="","",IF(AA722&lt;=0,"No charge",IF(AH722&lt;=0.004,"Paid",IF(AG722&lt;=0.004,"Unpaid","Part paid"))))</f>
        <v>0</v>
      </c>
      <c r="AJ722" s="38">
        <f>IF(B722="","",IF(H722&lt;&gt;"Service","",IF(D722="","No",IF(COUNTIFS($D$5:$D$1204,D722,$B$5:$B$1204,B722,$H$5:$H$1204,"Retail")&gt;0,"Yes","No"))))</f>
        <v>0</v>
      </c>
      <c r="AK722" s="25">
        <f>IF(B722="","",COUNTIFS($Y$5:$Y$1204,"&gt;"&amp;Y722)+COUNTIFS($Y$5:Y722,Y722))</f>
        <v>0</v>
      </c>
      <c r="AL722" s="39">
        <f>IF(B722="","",IF(H722="","Add - what kind of sale is this?",IF(IF(V722&lt;=0,P722="",FALSE),"Check - no price found for this item",IF(F722="","Assign - nobody credited",IF(AH722&gt;0.004,"Unpaid - balance outstanding",IF(AC722&lt;0,"Loss - sold below cost",IF(X722&gt;W722*0.5,"Check - more than half off","OK")))))))</f>
        <v>0</v>
      </c>
    </row>
    <row r="723" spans="1:38">
      <c r="A723" s="28">
        <f>IF(B723="","",SalePrefix&amp;TEXT(ROW()-4,"0000"))</f>
        <v>0</v>
      </c>
      <c r="E723" s="15">
        <f>IF(D723="","",IFERROR(INDEX(Clients!$B$5:$B$504,MATCH(D723,Clients!$A$5:$A$504,0)),"Walk-in"))</f>
        <v>0</v>
      </c>
      <c r="G723" s="15">
        <f>IF(F723="","",IFERROR(INDEX(Staff!$B$5:$B$44,MATCH(F723,Staff!$A$5:$A$44,0)),"House"))</f>
        <v>0</v>
      </c>
      <c r="R723" s="15">
        <f>IF(B723="","",TEXT(B723,"yyyy-mm"))</f>
        <v>0</v>
      </c>
      <c r="S723" s="25">
        <f>IF(B723="","",WEEKNUM(B723,2))</f>
        <v>0</v>
      </c>
      <c r="T723" s="37">
        <f>IF(B723="","",IF(K723="",1,K723))</f>
        <v>0</v>
      </c>
      <c r="U723" s="15">
        <f>IF(B723="","",IF(J723&lt;&gt;"",J723,IF(H723="Retail",IFERROR(INDEX(Inventory!$B$5:$B$304,MATCH(I723,Inventory!$A$5:$A$304,0))&amp;"","Not in Inventory"),IFERROR(INDEX(Services!$B$5:$B$204,MATCH(I723,Services!$A$5:$A$204,0))&amp;"","Not in Services"))))</f>
        <v>0</v>
      </c>
      <c r="V723" s="26">
        <f>IF(B723="","",IF(L723&lt;&gt;"",L723,IF(H723="Retail",IFERROR(INDEX(Inventory!$I$5:$I$304,MATCH(I723,Inventory!$A$5:$A$304,0))*1,0),IFERROR(INDEX(Services!$G$5:$G$204,MATCH(I723,Services!$A$5:$A$204,0))*1,0))))</f>
        <v>0</v>
      </c>
      <c r="W723" s="26">
        <f>IF(B723="","",ROUND(T723*V723,2))</f>
        <v>0</v>
      </c>
      <c r="X723" s="26">
        <f>IF(B723="","",ROUND(IF(M723="",0,W723*M723)+IF(N723="",0,N723),2))</f>
        <v>0</v>
      </c>
      <c r="Y723" s="26">
        <f>IF(B723="","",ROUND(W723-X723-IF(P723="",0,P723),2))</f>
        <v>0</v>
      </c>
      <c r="Z723" s="26">
        <f>IF(B723="","",IF(H723="Retail",IF(TaxOnRetail="Yes",ROUND(Y723*TaxRate,2),0),IF(H723="Service",IF(TaxOnServices="Yes",ROUND(Y723*TaxRate,2),0),0)))</f>
        <v>0</v>
      </c>
      <c r="AA723" s="26">
        <f>IF(B723="","",ROUND(Y723+Z723,2))</f>
        <v>0</v>
      </c>
      <c r="AB723" s="26">
        <f>IF(B723="","",ROUND(T723*IF(H723="Retail",IFERROR(INDEX(Inventory!$H$5:$H$304,MATCH(I723,Inventory!$A$5:$A$304,0))*1,0),IFERROR(INDEX(Services!$Q$5:$Q$204,MATCH(I723,Services!$A$5:$A$204,0))*1,0)),2))</f>
        <v>0</v>
      </c>
      <c r="AC723" s="26">
        <f>IF(B723="","",ROUND(Y723-AB723,2))</f>
        <v>0</v>
      </c>
      <c r="AD723" s="38">
        <f>IF(B723="","",IF(C723="","No",IF(COUNTIFS($C$5:C723,C723)=1,"Yes","No")))</f>
        <v>0</v>
      </c>
      <c r="AE723" s="26">
        <f>IF(B723="","",ROUND(SUMIFS(Payments!$G$5:$G$1204,Payments!$H$5:$H$1204,A723,Payments!$Q$5:$Q$1204,"Yes"),2))</f>
        <v>0</v>
      </c>
      <c r="AF723" s="26">
        <f>IF(B723="","",IF(AD723="No",0,ROUND(SUMIFS(Payments!$G$5:$G$1204,Payments!$I$5:$I$1204,C723,Payments!$H$5:$H$1204,"",Payments!$Q$5:$Q$1204,"Yes"),2)))</f>
        <v>0</v>
      </c>
      <c r="AG723" s="26">
        <f>IF(B723="","",ROUND(AE723+AF723,2))</f>
        <v>0</v>
      </c>
      <c r="AH723" s="26">
        <f>IF(B723="","",ROUND(AA723-AG723,2))</f>
        <v>0</v>
      </c>
      <c r="AI723" s="39">
        <f>IF(B723="","",IF(AA723&lt;=0,"No charge",IF(AH723&lt;=0.004,"Paid",IF(AG723&lt;=0.004,"Unpaid","Part paid"))))</f>
        <v>0</v>
      </c>
      <c r="AJ723" s="38">
        <f>IF(B723="","",IF(H723&lt;&gt;"Service","",IF(D723="","No",IF(COUNTIFS($D$5:$D$1204,D723,$B$5:$B$1204,B723,$H$5:$H$1204,"Retail")&gt;0,"Yes","No"))))</f>
        <v>0</v>
      </c>
      <c r="AK723" s="25">
        <f>IF(B723="","",COUNTIFS($Y$5:$Y$1204,"&gt;"&amp;Y723)+COUNTIFS($Y$5:Y723,Y723))</f>
        <v>0</v>
      </c>
      <c r="AL723" s="39">
        <f>IF(B723="","",IF(H723="","Add - what kind of sale is this?",IF(IF(V723&lt;=0,P723="",FALSE),"Check - no price found for this item",IF(F723="","Assign - nobody credited",IF(AH723&gt;0.004,"Unpaid - balance outstanding",IF(AC723&lt;0,"Loss - sold below cost",IF(X723&gt;W723*0.5,"Check - more than half off","OK")))))))</f>
        <v>0</v>
      </c>
    </row>
    <row r="724" spans="1:38">
      <c r="A724" s="28">
        <f>IF(B724="","",SalePrefix&amp;TEXT(ROW()-4,"0000"))</f>
        <v>0</v>
      </c>
      <c r="E724" s="15">
        <f>IF(D724="","",IFERROR(INDEX(Clients!$B$5:$B$504,MATCH(D724,Clients!$A$5:$A$504,0)),"Walk-in"))</f>
        <v>0</v>
      </c>
      <c r="G724" s="15">
        <f>IF(F724="","",IFERROR(INDEX(Staff!$B$5:$B$44,MATCH(F724,Staff!$A$5:$A$44,0)),"House"))</f>
        <v>0</v>
      </c>
      <c r="R724" s="15">
        <f>IF(B724="","",TEXT(B724,"yyyy-mm"))</f>
        <v>0</v>
      </c>
      <c r="S724" s="25">
        <f>IF(B724="","",WEEKNUM(B724,2))</f>
        <v>0</v>
      </c>
      <c r="T724" s="37">
        <f>IF(B724="","",IF(K724="",1,K724))</f>
        <v>0</v>
      </c>
      <c r="U724" s="15">
        <f>IF(B724="","",IF(J724&lt;&gt;"",J724,IF(H724="Retail",IFERROR(INDEX(Inventory!$B$5:$B$304,MATCH(I724,Inventory!$A$5:$A$304,0))&amp;"","Not in Inventory"),IFERROR(INDEX(Services!$B$5:$B$204,MATCH(I724,Services!$A$5:$A$204,0))&amp;"","Not in Services"))))</f>
        <v>0</v>
      </c>
      <c r="V724" s="26">
        <f>IF(B724="","",IF(L724&lt;&gt;"",L724,IF(H724="Retail",IFERROR(INDEX(Inventory!$I$5:$I$304,MATCH(I724,Inventory!$A$5:$A$304,0))*1,0),IFERROR(INDEX(Services!$G$5:$G$204,MATCH(I724,Services!$A$5:$A$204,0))*1,0))))</f>
        <v>0</v>
      </c>
      <c r="W724" s="26">
        <f>IF(B724="","",ROUND(T724*V724,2))</f>
        <v>0</v>
      </c>
      <c r="X724" s="26">
        <f>IF(B724="","",ROUND(IF(M724="",0,W724*M724)+IF(N724="",0,N724),2))</f>
        <v>0</v>
      </c>
      <c r="Y724" s="26">
        <f>IF(B724="","",ROUND(W724-X724-IF(P724="",0,P724),2))</f>
        <v>0</v>
      </c>
      <c r="Z724" s="26">
        <f>IF(B724="","",IF(H724="Retail",IF(TaxOnRetail="Yes",ROUND(Y724*TaxRate,2),0),IF(H724="Service",IF(TaxOnServices="Yes",ROUND(Y724*TaxRate,2),0),0)))</f>
        <v>0</v>
      </c>
      <c r="AA724" s="26">
        <f>IF(B724="","",ROUND(Y724+Z724,2))</f>
        <v>0</v>
      </c>
      <c r="AB724" s="26">
        <f>IF(B724="","",ROUND(T724*IF(H724="Retail",IFERROR(INDEX(Inventory!$H$5:$H$304,MATCH(I724,Inventory!$A$5:$A$304,0))*1,0),IFERROR(INDEX(Services!$Q$5:$Q$204,MATCH(I724,Services!$A$5:$A$204,0))*1,0)),2))</f>
        <v>0</v>
      </c>
      <c r="AC724" s="26">
        <f>IF(B724="","",ROUND(Y724-AB724,2))</f>
        <v>0</v>
      </c>
      <c r="AD724" s="38">
        <f>IF(B724="","",IF(C724="","No",IF(COUNTIFS($C$5:C724,C724)=1,"Yes","No")))</f>
        <v>0</v>
      </c>
      <c r="AE724" s="26">
        <f>IF(B724="","",ROUND(SUMIFS(Payments!$G$5:$G$1204,Payments!$H$5:$H$1204,A724,Payments!$Q$5:$Q$1204,"Yes"),2))</f>
        <v>0</v>
      </c>
      <c r="AF724" s="26">
        <f>IF(B724="","",IF(AD724="No",0,ROUND(SUMIFS(Payments!$G$5:$G$1204,Payments!$I$5:$I$1204,C724,Payments!$H$5:$H$1204,"",Payments!$Q$5:$Q$1204,"Yes"),2)))</f>
        <v>0</v>
      </c>
      <c r="AG724" s="26">
        <f>IF(B724="","",ROUND(AE724+AF724,2))</f>
        <v>0</v>
      </c>
      <c r="AH724" s="26">
        <f>IF(B724="","",ROUND(AA724-AG724,2))</f>
        <v>0</v>
      </c>
      <c r="AI724" s="39">
        <f>IF(B724="","",IF(AA724&lt;=0,"No charge",IF(AH724&lt;=0.004,"Paid",IF(AG724&lt;=0.004,"Unpaid","Part paid"))))</f>
        <v>0</v>
      </c>
      <c r="AJ724" s="38">
        <f>IF(B724="","",IF(H724&lt;&gt;"Service","",IF(D724="","No",IF(COUNTIFS($D$5:$D$1204,D724,$B$5:$B$1204,B724,$H$5:$H$1204,"Retail")&gt;0,"Yes","No"))))</f>
        <v>0</v>
      </c>
      <c r="AK724" s="25">
        <f>IF(B724="","",COUNTIFS($Y$5:$Y$1204,"&gt;"&amp;Y724)+COUNTIFS($Y$5:Y724,Y724))</f>
        <v>0</v>
      </c>
      <c r="AL724" s="39">
        <f>IF(B724="","",IF(H724="","Add - what kind of sale is this?",IF(IF(V724&lt;=0,P724="",FALSE),"Check - no price found for this item",IF(F724="","Assign - nobody credited",IF(AH724&gt;0.004,"Unpaid - balance outstanding",IF(AC724&lt;0,"Loss - sold below cost",IF(X724&gt;W724*0.5,"Check - more than half off","OK")))))))</f>
        <v>0</v>
      </c>
    </row>
    <row r="725" spans="1:38">
      <c r="A725" s="28">
        <f>IF(B725="","",SalePrefix&amp;TEXT(ROW()-4,"0000"))</f>
        <v>0</v>
      </c>
      <c r="E725" s="15">
        <f>IF(D725="","",IFERROR(INDEX(Clients!$B$5:$B$504,MATCH(D725,Clients!$A$5:$A$504,0)),"Walk-in"))</f>
        <v>0</v>
      </c>
      <c r="G725" s="15">
        <f>IF(F725="","",IFERROR(INDEX(Staff!$B$5:$B$44,MATCH(F725,Staff!$A$5:$A$44,0)),"House"))</f>
        <v>0</v>
      </c>
      <c r="R725" s="15">
        <f>IF(B725="","",TEXT(B725,"yyyy-mm"))</f>
        <v>0</v>
      </c>
      <c r="S725" s="25">
        <f>IF(B725="","",WEEKNUM(B725,2))</f>
        <v>0</v>
      </c>
      <c r="T725" s="37">
        <f>IF(B725="","",IF(K725="",1,K725))</f>
        <v>0</v>
      </c>
      <c r="U725" s="15">
        <f>IF(B725="","",IF(J725&lt;&gt;"",J725,IF(H725="Retail",IFERROR(INDEX(Inventory!$B$5:$B$304,MATCH(I725,Inventory!$A$5:$A$304,0))&amp;"","Not in Inventory"),IFERROR(INDEX(Services!$B$5:$B$204,MATCH(I725,Services!$A$5:$A$204,0))&amp;"","Not in Services"))))</f>
        <v>0</v>
      </c>
      <c r="V725" s="26">
        <f>IF(B725="","",IF(L725&lt;&gt;"",L725,IF(H725="Retail",IFERROR(INDEX(Inventory!$I$5:$I$304,MATCH(I725,Inventory!$A$5:$A$304,0))*1,0),IFERROR(INDEX(Services!$G$5:$G$204,MATCH(I725,Services!$A$5:$A$204,0))*1,0))))</f>
        <v>0</v>
      </c>
      <c r="W725" s="26">
        <f>IF(B725="","",ROUND(T725*V725,2))</f>
        <v>0</v>
      </c>
      <c r="X725" s="26">
        <f>IF(B725="","",ROUND(IF(M725="",0,W725*M725)+IF(N725="",0,N725),2))</f>
        <v>0</v>
      </c>
      <c r="Y725" s="26">
        <f>IF(B725="","",ROUND(W725-X725-IF(P725="",0,P725),2))</f>
        <v>0</v>
      </c>
      <c r="Z725" s="26">
        <f>IF(B725="","",IF(H725="Retail",IF(TaxOnRetail="Yes",ROUND(Y725*TaxRate,2),0),IF(H725="Service",IF(TaxOnServices="Yes",ROUND(Y725*TaxRate,2),0),0)))</f>
        <v>0</v>
      </c>
      <c r="AA725" s="26">
        <f>IF(B725="","",ROUND(Y725+Z725,2))</f>
        <v>0</v>
      </c>
      <c r="AB725" s="26">
        <f>IF(B725="","",ROUND(T725*IF(H725="Retail",IFERROR(INDEX(Inventory!$H$5:$H$304,MATCH(I725,Inventory!$A$5:$A$304,0))*1,0),IFERROR(INDEX(Services!$Q$5:$Q$204,MATCH(I725,Services!$A$5:$A$204,0))*1,0)),2))</f>
        <v>0</v>
      </c>
      <c r="AC725" s="26">
        <f>IF(B725="","",ROUND(Y725-AB725,2))</f>
        <v>0</v>
      </c>
      <c r="AD725" s="38">
        <f>IF(B725="","",IF(C725="","No",IF(COUNTIFS($C$5:C725,C725)=1,"Yes","No")))</f>
        <v>0</v>
      </c>
      <c r="AE725" s="26">
        <f>IF(B725="","",ROUND(SUMIFS(Payments!$G$5:$G$1204,Payments!$H$5:$H$1204,A725,Payments!$Q$5:$Q$1204,"Yes"),2))</f>
        <v>0</v>
      </c>
      <c r="AF725" s="26">
        <f>IF(B725="","",IF(AD725="No",0,ROUND(SUMIFS(Payments!$G$5:$G$1204,Payments!$I$5:$I$1204,C725,Payments!$H$5:$H$1204,"",Payments!$Q$5:$Q$1204,"Yes"),2)))</f>
        <v>0</v>
      </c>
      <c r="AG725" s="26">
        <f>IF(B725="","",ROUND(AE725+AF725,2))</f>
        <v>0</v>
      </c>
      <c r="AH725" s="26">
        <f>IF(B725="","",ROUND(AA725-AG725,2))</f>
        <v>0</v>
      </c>
      <c r="AI725" s="39">
        <f>IF(B725="","",IF(AA725&lt;=0,"No charge",IF(AH725&lt;=0.004,"Paid",IF(AG725&lt;=0.004,"Unpaid","Part paid"))))</f>
        <v>0</v>
      </c>
      <c r="AJ725" s="38">
        <f>IF(B725="","",IF(H725&lt;&gt;"Service","",IF(D725="","No",IF(COUNTIFS($D$5:$D$1204,D725,$B$5:$B$1204,B725,$H$5:$H$1204,"Retail")&gt;0,"Yes","No"))))</f>
        <v>0</v>
      </c>
      <c r="AK725" s="25">
        <f>IF(B725="","",COUNTIFS($Y$5:$Y$1204,"&gt;"&amp;Y725)+COUNTIFS($Y$5:Y725,Y725))</f>
        <v>0</v>
      </c>
      <c r="AL725" s="39">
        <f>IF(B725="","",IF(H725="","Add - what kind of sale is this?",IF(IF(V725&lt;=0,P725="",FALSE),"Check - no price found for this item",IF(F725="","Assign - nobody credited",IF(AH725&gt;0.004,"Unpaid - balance outstanding",IF(AC725&lt;0,"Loss - sold below cost",IF(X725&gt;W725*0.5,"Check - more than half off","OK")))))))</f>
        <v>0</v>
      </c>
    </row>
    <row r="726" spans="1:38">
      <c r="A726" s="28">
        <f>IF(B726="","",SalePrefix&amp;TEXT(ROW()-4,"0000"))</f>
        <v>0</v>
      </c>
      <c r="E726" s="15">
        <f>IF(D726="","",IFERROR(INDEX(Clients!$B$5:$B$504,MATCH(D726,Clients!$A$5:$A$504,0)),"Walk-in"))</f>
        <v>0</v>
      </c>
      <c r="G726" s="15">
        <f>IF(F726="","",IFERROR(INDEX(Staff!$B$5:$B$44,MATCH(F726,Staff!$A$5:$A$44,0)),"House"))</f>
        <v>0</v>
      </c>
      <c r="R726" s="15">
        <f>IF(B726="","",TEXT(B726,"yyyy-mm"))</f>
        <v>0</v>
      </c>
      <c r="S726" s="25">
        <f>IF(B726="","",WEEKNUM(B726,2))</f>
        <v>0</v>
      </c>
      <c r="T726" s="37">
        <f>IF(B726="","",IF(K726="",1,K726))</f>
        <v>0</v>
      </c>
      <c r="U726" s="15">
        <f>IF(B726="","",IF(J726&lt;&gt;"",J726,IF(H726="Retail",IFERROR(INDEX(Inventory!$B$5:$B$304,MATCH(I726,Inventory!$A$5:$A$304,0))&amp;"","Not in Inventory"),IFERROR(INDEX(Services!$B$5:$B$204,MATCH(I726,Services!$A$5:$A$204,0))&amp;"","Not in Services"))))</f>
        <v>0</v>
      </c>
      <c r="V726" s="26">
        <f>IF(B726="","",IF(L726&lt;&gt;"",L726,IF(H726="Retail",IFERROR(INDEX(Inventory!$I$5:$I$304,MATCH(I726,Inventory!$A$5:$A$304,0))*1,0),IFERROR(INDEX(Services!$G$5:$G$204,MATCH(I726,Services!$A$5:$A$204,0))*1,0))))</f>
        <v>0</v>
      </c>
      <c r="W726" s="26">
        <f>IF(B726="","",ROUND(T726*V726,2))</f>
        <v>0</v>
      </c>
      <c r="X726" s="26">
        <f>IF(B726="","",ROUND(IF(M726="",0,W726*M726)+IF(N726="",0,N726),2))</f>
        <v>0</v>
      </c>
      <c r="Y726" s="26">
        <f>IF(B726="","",ROUND(W726-X726-IF(P726="",0,P726),2))</f>
        <v>0</v>
      </c>
      <c r="Z726" s="26">
        <f>IF(B726="","",IF(H726="Retail",IF(TaxOnRetail="Yes",ROUND(Y726*TaxRate,2),0),IF(H726="Service",IF(TaxOnServices="Yes",ROUND(Y726*TaxRate,2),0),0)))</f>
        <v>0</v>
      </c>
      <c r="AA726" s="26">
        <f>IF(B726="","",ROUND(Y726+Z726,2))</f>
        <v>0</v>
      </c>
      <c r="AB726" s="26">
        <f>IF(B726="","",ROUND(T726*IF(H726="Retail",IFERROR(INDEX(Inventory!$H$5:$H$304,MATCH(I726,Inventory!$A$5:$A$304,0))*1,0),IFERROR(INDEX(Services!$Q$5:$Q$204,MATCH(I726,Services!$A$5:$A$204,0))*1,0)),2))</f>
        <v>0</v>
      </c>
      <c r="AC726" s="26">
        <f>IF(B726="","",ROUND(Y726-AB726,2))</f>
        <v>0</v>
      </c>
      <c r="AD726" s="38">
        <f>IF(B726="","",IF(C726="","No",IF(COUNTIFS($C$5:C726,C726)=1,"Yes","No")))</f>
        <v>0</v>
      </c>
      <c r="AE726" s="26">
        <f>IF(B726="","",ROUND(SUMIFS(Payments!$G$5:$G$1204,Payments!$H$5:$H$1204,A726,Payments!$Q$5:$Q$1204,"Yes"),2))</f>
        <v>0</v>
      </c>
      <c r="AF726" s="26">
        <f>IF(B726="","",IF(AD726="No",0,ROUND(SUMIFS(Payments!$G$5:$G$1204,Payments!$I$5:$I$1204,C726,Payments!$H$5:$H$1204,"",Payments!$Q$5:$Q$1204,"Yes"),2)))</f>
        <v>0</v>
      </c>
      <c r="AG726" s="26">
        <f>IF(B726="","",ROUND(AE726+AF726,2))</f>
        <v>0</v>
      </c>
      <c r="AH726" s="26">
        <f>IF(B726="","",ROUND(AA726-AG726,2))</f>
        <v>0</v>
      </c>
      <c r="AI726" s="39">
        <f>IF(B726="","",IF(AA726&lt;=0,"No charge",IF(AH726&lt;=0.004,"Paid",IF(AG726&lt;=0.004,"Unpaid","Part paid"))))</f>
        <v>0</v>
      </c>
      <c r="AJ726" s="38">
        <f>IF(B726="","",IF(H726&lt;&gt;"Service","",IF(D726="","No",IF(COUNTIFS($D$5:$D$1204,D726,$B$5:$B$1204,B726,$H$5:$H$1204,"Retail")&gt;0,"Yes","No"))))</f>
        <v>0</v>
      </c>
      <c r="AK726" s="25">
        <f>IF(B726="","",COUNTIFS($Y$5:$Y$1204,"&gt;"&amp;Y726)+COUNTIFS($Y$5:Y726,Y726))</f>
        <v>0</v>
      </c>
      <c r="AL726" s="39">
        <f>IF(B726="","",IF(H726="","Add - what kind of sale is this?",IF(IF(V726&lt;=0,P726="",FALSE),"Check - no price found for this item",IF(F726="","Assign - nobody credited",IF(AH726&gt;0.004,"Unpaid - balance outstanding",IF(AC726&lt;0,"Loss - sold below cost",IF(X726&gt;W726*0.5,"Check - more than half off","OK")))))))</f>
        <v>0</v>
      </c>
    </row>
    <row r="727" spans="1:38">
      <c r="A727" s="28">
        <f>IF(B727="","",SalePrefix&amp;TEXT(ROW()-4,"0000"))</f>
        <v>0</v>
      </c>
      <c r="E727" s="15">
        <f>IF(D727="","",IFERROR(INDEX(Clients!$B$5:$B$504,MATCH(D727,Clients!$A$5:$A$504,0)),"Walk-in"))</f>
        <v>0</v>
      </c>
      <c r="G727" s="15">
        <f>IF(F727="","",IFERROR(INDEX(Staff!$B$5:$B$44,MATCH(F727,Staff!$A$5:$A$44,0)),"House"))</f>
        <v>0</v>
      </c>
      <c r="R727" s="15">
        <f>IF(B727="","",TEXT(B727,"yyyy-mm"))</f>
        <v>0</v>
      </c>
      <c r="S727" s="25">
        <f>IF(B727="","",WEEKNUM(B727,2))</f>
        <v>0</v>
      </c>
      <c r="T727" s="37">
        <f>IF(B727="","",IF(K727="",1,K727))</f>
        <v>0</v>
      </c>
      <c r="U727" s="15">
        <f>IF(B727="","",IF(J727&lt;&gt;"",J727,IF(H727="Retail",IFERROR(INDEX(Inventory!$B$5:$B$304,MATCH(I727,Inventory!$A$5:$A$304,0))&amp;"","Not in Inventory"),IFERROR(INDEX(Services!$B$5:$B$204,MATCH(I727,Services!$A$5:$A$204,0))&amp;"","Not in Services"))))</f>
        <v>0</v>
      </c>
      <c r="V727" s="26">
        <f>IF(B727="","",IF(L727&lt;&gt;"",L727,IF(H727="Retail",IFERROR(INDEX(Inventory!$I$5:$I$304,MATCH(I727,Inventory!$A$5:$A$304,0))*1,0),IFERROR(INDEX(Services!$G$5:$G$204,MATCH(I727,Services!$A$5:$A$204,0))*1,0))))</f>
        <v>0</v>
      </c>
      <c r="W727" s="26">
        <f>IF(B727="","",ROUND(T727*V727,2))</f>
        <v>0</v>
      </c>
      <c r="X727" s="26">
        <f>IF(B727="","",ROUND(IF(M727="",0,W727*M727)+IF(N727="",0,N727),2))</f>
        <v>0</v>
      </c>
      <c r="Y727" s="26">
        <f>IF(B727="","",ROUND(W727-X727-IF(P727="",0,P727),2))</f>
        <v>0</v>
      </c>
      <c r="Z727" s="26">
        <f>IF(B727="","",IF(H727="Retail",IF(TaxOnRetail="Yes",ROUND(Y727*TaxRate,2),0),IF(H727="Service",IF(TaxOnServices="Yes",ROUND(Y727*TaxRate,2),0),0)))</f>
        <v>0</v>
      </c>
      <c r="AA727" s="26">
        <f>IF(B727="","",ROUND(Y727+Z727,2))</f>
        <v>0</v>
      </c>
      <c r="AB727" s="26">
        <f>IF(B727="","",ROUND(T727*IF(H727="Retail",IFERROR(INDEX(Inventory!$H$5:$H$304,MATCH(I727,Inventory!$A$5:$A$304,0))*1,0),IFERROR(INDEX(Services!$Q$5:$Q$204,MATCH(I727,Services!$A$5:$A$204,0))*1,0)),2))</f>
        <v>0</v>
      </c>
      <c r="AC727" s="26">
        <f>IF(B727="","",ROUND(Y727-AB727,2))</f>
        <v>0</v>
      </c>
      <c r="AD727" s="38">
        <f>IF(B727="","",IF(C727="","No",IF(COUNTIFS($C$5:C727,C727)=1,"Yes","No")))</f>
        <v>0</v>
      </c>
      <c r="AE727" s="26">
        <f>IF(B727="","",ROUND(SUMIFS(Payments!$G$5:$G$1204,Payments!$H$5:$H$1204,A727,Payments!$Q$5:$Q$1204,"Yes"),2))</f>
        <v>0</v>
      </c>
      <c r="AF727" s="26">
        <f>IF(B727="","",IF(AD727="No",0,ROUND(SUMIFS(Payments!$G$5:$G$1204,Payments!$I$5:$I$1204,C727,Payments!$H$5:$H$1204,"",Payments!$Q$5:$Q$1204,"Yes"),2)))</f>
        <v>0</v>
      </c>
      <c r="AG727" s="26">
        <f>IF(B727="","",ROUND(AE727+AF727,2))</f>
        <v>0</v>
      </c>
      <c r="AH727" s="26">
        <f>IF(B727="","",ROUND(AA727-AG727,2))</f>
        <v>0</v>
      </c>
      <c r="AI727" s="39">
        <f>IF(B727="","",IF(AA727&lt;=0,"No charge",IF(AH727&lt;=0.004,"Paid",IF(AG727&lt;=0.004,"Unpaid","Part paid"))))</f>
        <v>0</v>
      </c>
      <c r="AJ727" s="38">
        <f>IF(B727="","",IF(H727&lt;&gt;"Service","",IF(D727="","No",IF(COUNTIFS($D$5:$D$1204,D727,$B$5:$B$1204,B727,$H$5:$H$1204,"Retail")&gt;0,"Yes","No"))))</f>
        <v>0</v>
      </c>
      <c r="AK727" s="25">
        <f>IF(B727="","",COUNTIFS($Y$5:$Y$1204,"&gt;"&amp;Y727)+COUNTIFS($Y$5:Y727,Y727))</f>
        <v>0</v>
      </c>
      <c r="AL727" s="39">
        <f>IF(B727="","",IF(H727="","Add - what kind of sale is this?",IF(IF(V727&lt;=0,P727="",FALSE),"Check - no price found for this item",IF(F727="","Assign - nobody credited",IF(AH727&gt;0.004,"Unpaid - balance outstanding",IF(AC727&lt;0,"Loss - sold below cost",IF(X727&gt;W727*0.5,"Check - more than half off","OK")))))))</f>
        <v>0</v>
      </c>
    </row>
    <row r="728" spans="1:38">
      <c r="A728" s="28">
        <f>IF(B728="","",SalePrefix&amp;TEXT(ROW()-4,"0000"))</f>
        <v>0</v>
      </c>
      <c r="E728" s="15">
        <f>IF(D728="","",IFERROR(INDEX(Clients!$B$5:$B$504,MATCH(D728,Clients!$A$5:$A$504,0)),"Walk-in"))</f>
        <v>0</v>
      </c>
      <c r="G728" s="15">
        <f>IF(F728="","",IFERROR(INDEX(Staff!$B$5:$B$44,MATCH(F728,Staff!$A$5:$A$44,0)),"House"))</f>
        <v>0</v>
      </c>
      <c r="R728" s="15">
        <f>IF(B728="","",TEXT(B728,"yyyy-mm"))</f>
        <v>0</v>
      </c>
      <c r="S728" s="25">
        <f>IF(B728="","",WEEKNUM(B728,2))</f>
        <v>0</v>
      </c>
      <c r="T728" s="37">
        <f>IF(B728="","",IF(K728="",1,K728))</f>
        <v>0</v>
      </c>
      <c r="U728" s="15">
        <f>IF(B728="","",IF(J728&lt;&gt;"",J728,IF(H728="Retail",IFERROR(INDEX(Inventory!$B$5:$B$304,MATCH(I728,Inventory!$A$5:$A$304,0))&amp;"","Not in Inventory"),IFERROR(INDEX(Services!$B$5:$B$204,MATCH(I728,Services!$A$5:$A$204,0))&amp;"","Not in Services"))))</f>
        <v>0</v>
      </c>
      <c r="V728" s="26">
        <f>IF(B728="","",IF(L728&lt;&gt;"",L728,IF(H728="Retail",IFERROR(INDEX(Inventory!$I$5:$I$304,MATCH(I728,Inventory!$A$5:$A$304,0))*1,0),IFERROR(INDEX(Services!$G$5:$G$204,MATCH(I728,Services!$A$5:$A$204,0))*1,0))))</f>
        <v>0</v>
      </c>
      <c r="W728" s="26">
        <f>IF(B728="","",ROUND(T728*V728,2))</f>
        <v>0</v>
      </c>
      <c r="X728" s="26">
        <f>IF(B728="","",ROUND(IF(M728="",0,W728*M728)+IF(N728="",0,N728),2))</f>
        <v>0</v>
      </c>
      <c r="Y728" s="26">
        <f>IF(B728="","",ROUND(W728-X728-IF(P728="",0,P728),2))</f>
        <v>0</v>
      </c>
      <c r="Z728" s="26">
        <f>IF(B728="","",IF(H728="Retail",IF(TaxOnRetail="Yes",ROUND(Y728*TaxRate,2),0),IF(H728="Service",IF(TaxOnServices="Yes",ROUND(Y728*TaxRate,2),0),0)))</f>
        <v>0</v>
      </c>
      <c r="AA728" s="26">
        <f>IF(B728="","",ROUND(Y728+Z728,2))</f>
        <v>0</v>
      </c>
      <c r="AB728" s="26">
        <f>IF(B728="","",ROUND(T728*IF(H728="Retail",IFERROR(INDEX(Inventory!$H$5:$H$304,MATCH(I728,Inventory!$A$5:$A$304,0))*1,0),IFERROR(INDEX(Services!$Q$5:$Q$204,MATCH(I728,Services!$A$5:$A$204,0))*1,0)),2))</f>
        <v>0</v>
      </c>
      <c r="AC728" s="26">
        <f>IF(B728="","",ROUND(Y728-AB728,2))</f>
        <v>0</v>
      </c>
      <c r="AD728" s="38">
        <f>IF(B728="","",IF(C728="","No",IF(COUNTIFS($C$5:C728,C728)=1,"Yes","No")))</f>
        <v>0</v>
      </c>
      <c r="AE728" s="26">
        <f>IF(B728="","",ROUND(SUMIFS(Payments!$G$5:$G$1204,Payments!$H$5:$H$1204,A728,Payments!$Q$5:$Q$1204,"Yes"),2))</f>
        <v>0</v>
      </c>
      <c r="AF728" s="26">
        <f>IF(B728="","",IF(AD728="No",0,ROUND(SUMIFS(Payments!$G$5:$G$1204,Payments!$I$5:$I$1204,C728,Payments!$H$5:$H$1204,"",Payments!$Q$5:$Q$1204,"Yes"),2)))</f>
        <v>0</v>
      </c>
      <c r="AG728" s="26">
        <f>IF(B728="","",ROUND(AE728+AF728,2))</f>
        <v>0</v>
      </c>
      <c r="AH728" s="26">
        <f>IF(B728="","",ROUND(AA728-AG728,2))</f>
        <v>0</v>
      </c>
      <c r="AI728" s="39">
        <f>IF(B728="","",IF(AA728&lt;=0,"No charge",IF(AH728&lt;=0.004,"Paid",IF(AG728&lt;=0.004,"Unpaid","Part paid"))))</f>
        <v>0</v>
      </c>
      <c r="AJ728" s="38">
        <f>IF(B728="","",IF(H728&lt;&gt;"Service","",IF(D728="","No",IF(COUNTIFS($D$5:$D$1204,D728,$B$5:$B$1204,B728,$H$5:$H$1204,"Retail")&gt;0,"Yes","No"))))</f>
        <v>0</v>
      </c>
      <c r="AK728" s="25">
        <f>IF(B728="","",COUNTIFS($Y$5:$Y$1204,"&gt;"&amp;Y728)+COUNTIFS($Y$5:Y728,Y728))</f>
        <v>0</v>
      </c>
      <c r="AL728" s="39">
        <f>IF(B728="","",IF(H728="","Add - what kind of sale is this?",IF(IF(V728&lt;=0,P728="",FALSE),"Check - no price found for this item",IF(F728="","Assign - nobody credited",IF(AH728&gt;0.004,"Unpaid - balance outstanding",IF(AC728&lt;0,"Loss - sold below cost",IF(X728&gt;W728*0.5,"Check - more than half off","OK")))))))</f>
        <v>0</v>
      </c>
    </row>
    <row r="729" spans="1:38">
      <c r="A729" s="28">
        <f>IF(B729="","",SalePrefix&amp;TEXT(ROW()-4,"0000"))</f>
        <v>0</v>
      </c>
      <c r="E729" s="15">
        <f>IF(D729="","",IFERROR(INDEX(Clients!$B$5:$B$504,MATCH(D729,Clients!$A$5:$A$504,0)),"Walk-in"))</f>
        <v>0</v>
      </c>
      <c r="G729" s="15">
        <f>IF(F729="","",IFERROR(INDEX(Staff!$B$5:$B$44,MATCH(F729,Staff!$A$5:$A$44,0)),"House"))</f>
        <v>0</v>
      </c>
      <c r="R729" s="15">
        <f>IF(B729="","",TEXT(B729,"yyyy-mm"))</f>
        <v>0</v>
      </c>
      <c r="S729" s="25">
        <f>IF(B729="","",WEEKNUM(B729,2))</f>
        <v>0</v>
      </c>
      <c r="T729" s="37">
        <f>IF(B729="","",IF(K729="",1,K729))</f>
        <v>0</v>
      </c>
      <c r="U729" s="15">
        <f>IF(B729="","",IF(J729&lt;&gt;"",J729,IF(H729="Retail",IFERROR(INDEX(Inventory!$B$5:$B$304,MATCH(I729,Inventory!$A$5:$A$304,0))&amp;"","Not in Inventory"),IFERROR(INDEX(Services!$B$5:$B$204,MATCH(I729,Services!$A$5:$A$204,0))&amp;"","Not in Services"))))</f>
        <v>0</v>
      </c>
      <c r="V729" s="26">
        <f>IF(B729="","",IF(L729&lt;&gt;"",L729,IF(H729="Retail",IFERROR(INDEX(Inventory!$I$5:$I$304,MATCH(I729,Inventory!$A$5:$A$304,0))*1,0),IFERROR(INDEX(Services!$G$5:$G$204,MATCH(I729,Services!$A$5:$A$204,0))*1,0))))</f>
        <v>0</v>
      </c>
      <c r="W729" s="26">
        <f>IF(B729="","",ROUND(T729*V729,2))</f>
        <v>0</v>
      </c>
      <c r="X729" s="26">
        <f>IF(B729="","",ROUND(IF(M729="",0,W729*M729)+IF(N729="",0,N729),2))</f>
        <v>0</v>
      </c>
      <c r="Y729" s="26">
        <f>IF(B729="","",ROUND(W729-X729-IF(P729="",0,P729),2))</f>
        <v>0</v>
      </c>
      <c r="Z729" s="26">
        <f>IF(B729="","",IF(H729="Retail",IF(TaxOnRetail="Yes",ROUND(Y729*TaxRate,2),0),IF(H729="Service",IF(TaxOnServices="Yes",ROUND(Y729*TaxRate,2),0),0)))</f>
        <v>0</v>
      </c>
      <c r="AA729" s="26">
        <f>IF(B729="","",ROUND(Y729+Z729,2))</f>
        <v>0</v>
      </c>
      <c r="AB729" s="26">
        <f>IF(B729="","",ROUND(T729*IF(H729="Retail",IFERROR(INDEX(Inventory!$H$5:$H$304,MATCH(I729,Inventory!$A$5:$A$304,0))*1,0),IFERROR(INDEX(Services!$Q$5:$Q$204,MATCH(I729,Services!$A$5:$A$204,0))*1,0)),2))</f>
        <v>0</v>
      </c>
      <c r="AC729" s="26">
        <f>IF(B729="","",ROUND(Y729-AB729,2))</f>
        <v>0</v>
      </c>
      <c r="AD729" s="38">
        <f>IF(B729="","",IF(C729="","No",IF(COUNTIFS($C$5:C729,C729)=1,"Yes","No")))</f>
        <v>0</v>
      </c>
      <c r="AE729" s="26">
        <f>IF(B729="","",ROUND(SUMIFS(Payments!$G$5:$G$1204,Payments!$H$5:$H$1204,A729,Payments!$Q$5:$Q$1204,"Yes"),2))</f>
        <v>0</v>
      </c>
      <c r="AF729" s="26">
        <f>IF(B729="","",IF(AD729="No",0,ROUND(SUMIFS(Payments!$G$5:$G$1204,Payments!$I$5:$I$1204,C729,Payments!$H$5:$H$1204,"",Payments!$Q$5:$Q$1204,"Yes"),2)))</f>
        <v>0</v>
      </c>
      <c r="AG729" s="26">
        <f>IF(B729="","",ROUND(AE729+AF729,2))</f>
        <v>0</v>
      </c>
      <c r="AH729" s="26">
        <f>IF(B729="","",ROUND(AA729-AG729,2))</f>
        <v>0</v>
      </c>
      <c r="AI729" s="39">
        <f>IF(B729="","",IF(AA729&lt;=0,"No charge",IF(AH729&lt;=0.004,"Paid",IF(AG729&lt;=0.004,"Unpaid","Part paid"))))</f>
        <v>0</v>
      </c>
      <c r="AJ729" s="38">
        <f>IF(B729="","",IF(H729&lt;&gt;"Service","",IF(D729="","No",IF(COUNTIFS($D$5:$D$1204,D729,$B$5:$B$1204,B729,$H$5:$H$1204,"Retail")&gt;0,"Yes","No"))))</f>
        <v>0</v>
      </c>
      <c r="AK729" s="25">
        <f>IF(B729="","",COUNTIFS($Y$5:$Y$1204,"&gt;"&amp;Y729)+COUNTIFS($Y$5:Y729,Y729))</f>
        <v>0</v>
      </c>
      <c r="AL729" s="39">
        <f>IF(B729="","",IF(H729="","Add - what kind of sale is this?",IF(IF(V729&lt;=0,P729="",FALSE),"Check - no price found for this item",IF(F729="","Assign - nobody credited",IF(AH729&gt;0.004,"Unpaid - balance outstanding",IF(AC729&lt;0,"Loss - sold below cost",IF(X729&gt;W729*0.5,"Check - more than half off","OK")))))))</f>
        <v>0</v>
      </c>
    </row>
    <row r="730" spans="1:38">
      <c r="A730" s="28">
        <f>IF(B730="","",SalePrefix&amp;TEXT(ROW()-4,"0000"))</f>
        <v>0</v>
      </c>
      <c r="E730" s="15">
        <f>IF(D730="","",IFERROR(INDEX(Clients!$B$5:$B$504,MATCH(D730,Clients!$A$5:$A$504,0)),"Walk-in"))</f>
        <v>0</v>
      </c>
      <c r="G730" s="15">
        <f>IF(F730="","",IFERROR(INDEX(Staff!$B$5:$B$44,MATCH(F730,Staff!$A$5:$A$44,0)),"House"))</f>
        <v>0</v>
      </c>
      <c r="R730" s="15">
        <f>IF(B730="","",TEXT(B730,"yyyy-mm"))</f>
        <v>0</v>
      </c>
      <c r="S730" s="25">
        <f>IF(B730="","",WEEKNUM(B730,2))</f>
        <v>0</v>
      </c>
      <c r="T730" s="37">
        <f>IF(B730="","",IF(K730="",1,K730))</f>
        <v>0</v>
      </c>
      <c r="U730" s="15">
        <f>IF(B730="","",IF(J730&lt;&gt;"",J730,IF(H730="Retail",IFERROR(INDEX(Inventory!$B$5:$B$304,MATCH(I730,Inventory!$A$5:$A$304,0))&amp;"","Not in Inventory"),IFERROR(INDEX(Services!$B$5:$B$204,MATCH(I730,Services!$A$5:$A$204,0))&amp;"","Not in Services"))))</f>
        <v>0</v>
      </c>
      <c r="V730" s="26">
        <f>IF(B730="","",IF(L730&lt;&gt;"",L730,IF(H730="Retail",IFERROR(INDEX(Inventory!$I$5:$I$304,MATCH(I730,Inventory!$A$5:$A$304,0))*1,0),IFERROR(INDEX(Services!$G$5:$G$204,MATCH(I730,Services!$A$5:$A$204,0))*1,0))))</f>
        <v>0</v>
      </c>
      <c r="W730" s="26">
        <f>IF(B730="","",ROUND(T730*V730,2))</f>
        <v>0</v>
      </c>
      <c r="X730" s="26">
        <f>IF(B730="","",ROUND(IF(M730="",0,W730*M730)+IF(N730="",0,N730),2))</f>
        <v>0</v>
      </c>
      <c r="Y730" s="26">
        <f>IF(B730="","",ROUND(W730-X730-IF(P730="",0,P730),2))</f>
        <v>0</v>
      </c>
      <c r="Z730" s="26">
        <f>IF(B730="","",IF(H730="Retail",IF(TaxOnRetail="Yes",ROUND(Y730*TaxRate,2),0),IF(H730="Service",IF(TaxOnServices="Yes",ROUND(Y730*TaxRate,2),0),0)))</f>
        <v>0</v>
      </c>
      <c r="AA730" s="26">
        <f>IF(B730="","",ROUND(Y730+Z730,2))</f>
        <v>0</v>
      </c>
      <c r="AB730" s="26">
        <f>IF(B730="","",ROUND(T730*IF(H730="Retail",IFERROR(INDEX(Inventory!$H$5:$H$304,MATCH(I730,Inventory!$A$5:$A$304,0))*1,0),IFERROR(INDEX(Services!$Q$5:$Q$204,MATCH(I730,Services!$A$5:$A$204,0))*1,0)),2))</f>
        <v>0</v>
      </c>
      <c r="AC730" s="26">
        <f>IF(B730="","",ROUND(Y730-AB730,2))</f>
        <v>0</v>
      </c>
      <c r="AD730" s="38">
        <f>IF(B730="","",IF(C730="","No",IF(COUNTIFS($C$5:C730,C730)=1,"Yes","No")))</f>
        <v>0</v>
      </c>
      <c r="AE730" s="26">
        <f>IF(B730="","",ROUND(SUMIFS(Payments!$G$5:$G$1204,Payments!$H$5:$H$1204,A730,Payments!$Q$5:$Q$1204,"Yes"),2))</f>
        <v>0</v>
      </c>
      <c r="AF730" s="26">
        <f>IF(B730="","",IF(AD730="No",0,ROUND(SUMIFS(Payments!$G$5:$G$1204,Payments!$I$5:$I$1204,C730,Payments!$H$5:$H$1204,"",Payments!$Q$5:$Q$1204,"Yes"),2)))</f>
        <v>0</v>
      </c>
      <c r="AG730" s="26">
        <f>IF(B730="","",ROUND(AE730+AF730,2))</f>
        <v>0</v>
      </c>
      <c r="AH730" s="26">
        <f>IF(B730="","",ROUND(AA730-AG730,2))</f>
        <v>0</v>
      </c>
      <c r="AI730" s="39">
        <f>IF(B730="","",IF(AA730&lt;=0,"No charge",IF(AH730&lt;=0.004,"Paid",IF(AG730&lt;=0.004,"Unpaid","Part paid"))))</f>
        <v>0</v>
      </c>
      <c r="AJ730" s="38">
        <f>IF(B730="","",IF(H730&lt;&gt;"Service","",IF(D730="","No",IF(COUNTIFS($D$5:$D$1204,D730,$B$5:$B$1204,B730,$H$5:$H$1204,"Retail")&gt;0,"Yes","No"))))</f>
        <v>0</v>
      </c>
      <c r="AK730" s="25">
        <f>IF(B730="","",COUNTIFS($Y$5:$Y$1204,"&gt;"&amp;Y730)+COUNTIFS($Y$5:Y730,Y730))</f>
        <v>0</v>
      </c>
      <c r="AL730" s="39">
        <f>IF(B730="","",IF(H730="","Add - what kind of sale is this?",IF(IF(V730&lt;=0,P730="",FALSE),"Check - no price found for this item",IF(F730="","Assign - nobody credited",IF(AH730&gt;0.004,"Unpaid - balance outstanding",IF(AC730&lt;0,"Loss - sold below cost",IF(X730&gt;W730*0.5,"Check - more than half off","OK")))))))</f>
        <v>0</v>
      </c>
    </row>
    <row r="731" spans="1:38">
      <c r="A731" s="28">
        <f>IF(B731="","",SalePrefix&amp;TEXT(ROW()-4,"0000"))</f>
        <v>0</v>
      </c>
      <c r="E731" s="15">
        <f>IF(D731="","",IFERROR(INDEX(Clients!$B$5:$B$504,MATCH(D731,Clients!$A$5:$A$504,0)),"Walk-in"))</f>
        <v>0</v>
      </c>
      <c r="G731" s="15">
        <f>IF(F731="","",IFERROR(INDEX(Staff!$B$5:$B$44,MATCH(F731,Staff!$A$5:$A$44,0)),"House"))</f>
        <v>0</v>
      </c>
      <c r="R731" s="15">
        <f>IF(B731="","",TEXT(B731,"yyyy-mm"))</f>
        <v>0</v>
      </c>
      <c r="S731" s="25">
        <f>IF(B731="","",WEEKNUM(B731,2))</f>
        <v>0</v>
      </c>
      <c r="T731" s="37">
        <f>IF(B731="","",IF(K731="",1,K731))</f>
        <v>0</v>
      </c>
      <c r="U731" s="15">
        <f>IF(B731="","",IF(J731&lt;&gt;"",J731,IF(H731="Retail",IFERROR(INDEX(Inventory!$B$5:$B$304,MATCH(I731,Inventory!$A$5:$A$304,0))&amp;"","Not in Inventory"),IFERROR(INDEX(Services!$B$5:$B$204,MATCH(I731,Services!$A$5:$A$204,0))&amp;"","Not in Services"))))</f>
        <v>0</v>
      </c>
      <c r="V731" s="26">
        <f>IF(B731="","",IF(L731&lt;&gt;"",L731,IF(H731="Retail",IFERROR(INDEX(Inventory!$I$5:$I$304,MATCH(I731,Inventory!$A$5:$A$304,0))*1,0),IFERROR(INDEX(Services!$G$5:$G$204,MATCH(I731,Services!$A$5:$A$204,0))*1,0))))</f>
        <v>0</v>
      </c>
      <c r="W731" s="26">
        <f>IF(B731="","",ROUND(T731*V731,2))</f>
        <v>0</v>
      </c>
      <c r="X731" s="26">
        <f>IF(B731="","",ROUND(IF(M731="",0,W731*M731)+IF(N731="",0,N731),2))</f>
        <v>0</v>
      </c>
      <c r="Y731" s="26">
        <f>IF(B731="","",ROUND(W731-X731-IF(P731="",0,P731),2))</f>
        <v>0</v>
      </c>
      <c r="Z731" s="26">
        <f>IF(B731="","",IF(H731="Retail",IF(TaxOnRetail="Yes",ROUND(Y731*TaxRate,2),0),IF(H731="Service",IF(TaxOnServices="Yes",ROUND(Y731*TaxRate,2),0),0)))</f>
        <v>0</v>
      </c>
      <c r="AA731" s="26">
        <f>IF(B731="","",ROUND(Y731+Z731,2))</f>
        <v>0</v>
      </c>
      <c r="AB731" s="26">
        <f>IF(B731="","",ROUND(T731*IF(H731="Retail",IFERROR(INDEX(Inventory!$H$5:$H$304,MATCH(I731,Inventory!$A$5:$A$304,0))*1,0),IFERROR(INDEX(Services!$Q$5:$Q$204,MATCH(I731,Services!$A$5:$A$204,0))*1,0)),2))</f>
        <v>0</v>
      </c>
      <c r="AC731" s="26">
        <f>IF(B731="","",ROUND(Y731-AB731,2))</f>
        <v>0</v>
      </c>
      <c r="AD731" s="38">
        <f>IF(B731="","",IF(C731="","No",IF(COUNTIFS($C$5:C731,C731)=1,"Yes","No")))</f>
        <v>0</v>
      </c>
      <c r="AE731" s="26">
        <f>IF(B731="","",ROUND(SUMIFS(Payments!$G$5:$G$1204,Payments!$H$5:$H$1204,A731,Payments!$Q$5:$Q$1204,"Yes"),2))</f>
        <v>0</v>
      </c>
      <c r="AF731" s="26">
        <f>IF(B731="","",IF(AD731="No",0,ROUND(SUMIFS(Payments!$G$5:$G$1204,Payments!$I$5:$I$1204,C731,Payments!$H$5:$H$1204,"",Payments!$Q$5:$Q$1204,"Yes"),2)))</f>
        <v>0</v>
      </c>
      <c r="AG731" s="26">
        <f>IF(B731="","",ROUND(AE731+AF731,2))</f>
        <v>0</v>
      </c>
      <c r="AH731" s="26">
        <f>IF(B731="","",ROUND(AA731-AG731,2))</f>
        <v>0</v>
      </c>
      <c r="AI731" s="39">
        <f>IF(B731="","",IF(AA731&lt;=0,"No charge",IF(AH731&lt;=0.004,"Paid",IF(AG731&lt;=0.004,"Unpaid","Part paid"))))</f>
        <v>0</v>
      </c>
      <c r="AJ731" s="38">
        <f>IF(B731="","",IF(H731&lt;&gt;"Service","",IF(D731="","No",IF(COUNTIFS($D$5:$D$1204,D731,$B$5:$B$1204,B731,$H$5:$H$1204,"Retail")&gt;0,"Yes","No"))))</f>
        <v>0</v>
      </c>
      <c r="AK731" s="25">
        <f>IF(B731="","",COUNTIFS($Y$5:$Y$1204,"&gt;"&amp;Y731)+COUNTIFS($Y$5:Y731,Y731))</f>
        <v>0</v>
      </c>
      <c r="AL731" s="39">
        <f>IF(B731="","",IF(H731="","Add - what kind of sale is this?",IF(IF(V731&lt;=0,P731="",FALSE),"Check - no price found for this item",IF(F731="","Assign - nobody credited",IF(AH731&gt;0.004,"Unpaid - balance outstanding",IF(AC731&lt;0,"Loss - sold below cost",IF(X731&gt;W731*0.5,"Check - more than half off","OK")))))))</f>
        <v>0</v>
      </c>
    </row>
    <row r="732" spans="1:38">
      <c r="A732" s="28">
        <f>IF(B732="","",SalePrefix&amp;TEXT(ROW()-4,"0000"))</f>
        <v>0</v>
      </c>
      <c r="E732" s="15">
        <f>IF(D732="","",IFERROR(INDEX(Clients!$B$5:$B$504,MATCH(D732,Clients!$A$5:$A$504,0)),"Walk-in"))</f>
        <v>0</v>
      </c>
      <c r="G732" s="15">
        <f>IF(F732="","",IFERROR(INDEX(Staff!$B$5:$B$44,MATCH(F732,Staff!$A$5:$A$44,0)),"House"))</f>
        <v>0</v>
      </c>
      <c r="R732" s="15">
        <f>IF(B732="","",TEXT(B732,"yyyy-mm"))</f>
        <v>0</v>
      </c>
      <c r="S732" s="25">
        <f>IF(B732="","",WEEKNUM(B732,2))</f>
        <v>0</v>
      </c>
      <c r="T732" s="37">
        <f>IF(B732="","",IF(K732="",1,K732))</f>
        <v>0</v>
      </c>
      <c r="U732" s="15">
        <f>IF(B732="","",IF(J732&lt;&gt;"",J732,IF(H732="Retail",IFERROR(INDEX(Inventory!$B$5:$B$304,MATCH(I732,Inventory!$A$5:$A$304,0))&amp;"","Not in Inventory"),IFERROR(INDEX(Services!$B$5:$B$204,MATCH(I732,Services!$A$5:$A$204,0))&amp;"","Not in Services"))))</f>
        <v>0</v>
      </c>
      <c r="V732" s="26">
        <f>IF(B732="","",IF(L732&lt;&gt;"",L732,IF(H732="Retail",IFERROR(INDEX(Inventory!$I$5:$I$304,MATCH(I732,Inventory!$A$5:$A$304,0))*1,0),IFERROR(INDEX(Services!$G$5:$G$204,MATCH(I732,Services!$A$5:$A$204,0))*1,0))))</f>
        <v>0</v>
      </c>
      <c r="W732" s="26">
        <f>IF(B732="","",ROUND(T732*V732,2))</f>
        <v>0</v>
      </c>
      <c r="X732" s="26">
        <f>IF(B732="","",ROUND(IF(M732="",0,W732*M732)+IF(N732="",0,N732),2))</f>
        <v>0</v>
      </c>
      <c r="Y732" s="26">
        <f>IF(B732="","",ROUND(W732-X732-IF(P732="",0,P732),2))</f>
        <v>0</v>
      </c>
      <c r="Z732" s="26">
        <f>IF(B732="","",IF(H732="Retail",IF(TaxOnRetail="Yes",ROUND(Y732*TaxRate,2),0),IF(H732="Service",IF(TaxOnServices="Yes",ROUND(Y732*TaxRate,2),0),0)))</f>
        <v>0</v>
      </c>
      <c r="AA732" s="26">
        <f>IF(B732="","",ROUND(Y732+Z732,2))</f>
        <v>0</v>
      </c>
      <c r="AB732" s="26">
        <f>IF(B732="","",ROUND(T732*IF(H732="Retail",IFERROR(INDEX(Inventory!$H$5:$H$304,MATCH(I732,Inventory!$A$5:$A$304,0))*1,0),IFERROR(INDEX(Services!$Q$5:$Q$204,MATCH(I732,Services!$A$5:$A$204,0))*1,0)),2))</f>
        <v>0</v>
      </c>
      <c r="AC732" s="26">
        <f>IF(B732="","",ROUND(Y732-AB732,2))</f>
        <v>0</v>
      </c>
      <c r="AD732" s="38">
        <f>IF(B732="","",IF(C732="","No",IF(COUNTIFS($C$5:C732,C732)=1,"Yes","No")))</f>
        <v>0</v>
      </c>
      <c r="AE732" s="26">
        <f>IF(B732="","",ROUND(SUMIFS(Payments!$G$5:$G$1204,Payments!$H$5:$H$1204,A732,Payments!$Q$5:$Q$1204,"Yes"),2))</f>
        <v>0</v>
      </c>
      <c r="AF732" s="26">
        <f>IF(B732="","",IF(AD732="No",0,ROUND(SUMIFS(Payments!$G$5:$G$1204,Payments!$I$5:$I$1204,C732,Payments!$H$5:$H$1204,"",Payments!$Q$5:$Q$1204,"Yes"),2)))</f>
        <v>0</v>
      </c>
      <c r="AG732" s="26">
        <f>IF(B732="","",ROUND(AE732+AF732,2))</f>
        <v>0</v>
      </c>
      <c r="AH732" s="26">
        <f>IF(B732="","",ROUND(AA732-AG732,2))</f>
        <v>0</v>
      </c>
      <c r="AI732" s="39">
        <f>IF(B732="","",IF(AA732&lt;=0,"No charge",IF(AH732&lt;=0.004,"Paid",IF(AG732&lt;=0.004,"Unpaid","Part paid"))))</f>
        <v>0</v>
      </c>
      <c r="AJ732" s="38">
        <f>IF(B732="","",IF(H732&lt;&gt;"Service","",IF(D732="","No",IF(COUNTIFS($D$5:$D$1204,D732,$B$5:$B$1204,B732,$H$5:$H$1204,"Retail")&gt;0,"Yes","No"))))</f>
        <v>0</v>
      </c>
      <c r="AK732" s="25">
        <f>IF(B732="","",COUNTIFS($Y$5:$Y$1204,"&gt;"&amp;Y732)+COUNTIFS($Y$5:Y732,Y732))</f>
        <v>0</v>
      </c>
      <c r="AL732" s="39">
        <f>IF(B732="","",IF(H732="","Add - what kind of sale is this?",IF(IF(V732&lt;=0,P732="",FALSE),"Check - no price found for this item",IF(F732="","Assign - nobody credited",IF(AH732&gt;0.004,"Unpaid - balance outstanding",IF(AC732&lt;0,"Loss - sold below cost",IF(X732&gt;W732*0.5,"Check - more than half off","OK")))))))</f>
        <v>0</v>
      </c>
    </row>
    <row r="733" spans="1:38">
      <c r="A733" s="28">
        <f>IF(B733="","",SalePrefix&amp;TEXT(ROW()-4,"0000"))</f>
        <v>0</v>
      </c>
      <c r="E733" s="15">
        <f>IF(D733="","",IFERROR(INDEX(Clients!$B$5:$B$504,MATCH(D733,Clients!$A$5:$A$504,0)),"Walk-in"))</f>
        <v>0</v>
      </c>
      <c r="G733" s="15">
        <f>IF(F733="","",IFERROR(INDEX(Staff!$B$5:$B$44,MATCH(F733,Staff!$A$5:$A$44,0)),"House"))</f>
        <v>0</v>
      </c>
      <c r="R733" s="15">
        <f>IF(B733="","",TEXT(B733,"yyyy-mm"))</f>
        <v>0</v>
      </c>
      <c r="S733" s="25">
        <f>IF(B733="","",WEEKNUM(B733,2))</f>
        <v>0</v>
      </c>
      <c r="T733" s="37">
        <f>IF(B733="","",IF(K733="",1,K733))</f>
        <v>0</v>
      </c>
      <c r="U733" s="15">
        <f>IF(B733="","",IF(J733&lt;&gt;"",J733,IF(H733="Retail",IFERROR(INDEX(Inventory!$B$5:$B$304,MATCH(I733,Inventory!$A$5:$A$304,0))&amp;"","Not in Inventory"),IFERROR(INDEX(Services!$B$5:$B$204,MATCH(I733,Services!$A$5:$A$204,0))&amp;"","Not in Services"))))</f>
        <v>0</v>
      </c>
      <c r="V733" s="26">
        <f>IF(B733="","",IF(L733&lt;&gt;"",L733,IF(H733="Retail",IFERROR(INDEX(Inventory!$I$5:$I$304,MATCH(I733,Inventory!$A$5:$A$304,0))*1,0),IFERROR(INDEX(Services!$G$5:$G$204,MATCH(I733,Services!$A$5:$A$204,0))*1,0))))</f>
        <v>0</v>
      </c>
      <c r="W733" s="26">
        <f>IF(B733="","",ROUND(T733*V733,2))</f>
        <v>0</v>
      </c>
      <c r="X733" s="26">
        <f>IF(B733="","",ROUND(IF(M733="",0,W733*M733)+IF(N733="",0,N733),2))</f>
        <v>0</v>
      </c>
      <c r="Y733" s="26">
        <f>IF(B733="","",ROUND(W733-X733-IF(P733="",0,P733),2))</f>
        <v>0</v>
      </c>
      <c r="Z733" s="26">
        <f>IF(B733="","",IF(H733="Retail",IF(TaxOnRetail="Yes",ROUND(Y733*TaxRate,2),0),IF(H733="Service",IF(TaxOnServices="Yes",ROUND(Y733*TaxRate,2),0),0)))</f>
        <v>0</v>
      </c>
      <c r="AA733" s="26">
        <f>IF(B733="","",ROUND(Y733+Z733,2))</f>
        <v>0</v>
      </c>
      <c r="AB733" s="26">
        <f>IF(B733="","",ROUND(T733*IF(H733="Retail",IFERROR(INDEX(Inventory!$H$5:$H$304,MATCH(I733,Inventory!$A$5:$A$304,0))*1,0),IFERROR(INDEX(Services!$Q$5:$Q$204,MATCH(I733,Services!$A$5:$A$204,0))*1,0)),2))</f>
        <v>0</v>
      </c>
      <c r="AC733" s="26">
        <f>IF(B733="","",ROUND(Y733-AB733,2))</f>
        <v>0</v>
      </c>
      <c r="AD733" s="38">
        <f>IF(B733="","",IF(C733="","No",IF(COUNTIFS($C$5:C733,C733)=1,"Yes","No")))</f>
        <v>0</v>
      </c>
      <c r="AE733" s="26">
        <f>IF(B733="","",ROUND(SUMIFS(Payments!$G$5:$G$1204,Payments!$H$5:$H$1204,A733,Payments!$Q$5:$Q$1204,"Yes"),2))</f>
        <v>0</v>
      </c>
      <c r="AF733" s="26">
        <f>IF(B733="","",IF(AD733="No",0,ROUND(SUMIFS(Payments!$G$5:$G$1204,Payments!$I$5:$I$1204,C733,Payments!$H$5:$H$1204,"",Payments!$Q$5:$Q$1204,"Yes"),2)))</f>
        <v>0</v>
      </c>
      <c r="AG733" s="26">
        <f>IF(B733="","",ROUND(AE733+AF733,2))</f>
        <v>0</v>
      </c>
      <c r="AH733" s="26">
        <f>IF(B733="","",ROUND(AA733-AG733,2))</f>
        <v>0</v>
      </c>
      <c r="AI733" s="39">
        <f>IF(B733="","",IF(AA733&lt;=0,"No charge",IF(AH733&lt;=0.004,"Paid",IF(AG733&lt;=0.004,"Unpaid","Part paid"))))</f>
        <v>0</v>
      </c>
      <c r="AJ733" s="38">
        <f>IF(B733="","",IF(H733&lt;&gt;"Service","",IF(D733="","No",IF(COUNTIFS($D$5:$D$1204,D733,$B$5:$B$1204,B733,$H$5:$H$1204,"Retail")&gt;0,"Yes","No"))))</f>
        <v>0</v>
      </c>
      <c r="AK733" s="25">
        <f>IF(B733="","",COUNTIFS($Y$5:$Y$1204,"&gt;"&amp;Y733)+COUNTIFS($Y$5:Y733,Y733))</f>
        <v>0</v>
      </c>
      <c r="AL733" s="39">
        <f>IF(B733="","",IF(H733="","Add - what kind of sale is this?",IF(IF(V733&lt;=0,P733="",FALSE),"Check - no price found for this item",IF(F733="","Assign - nobody credited",IF(AH733&gt;0.004,"Unpaid - balance outstanding",IF(AC733&lt;0,"Loss - sold below cost",IF(X733&gt;W733*0.5,"Check - more than half off","OK")))))))</f>
        <v>0</v>
      </c>
    </row>
    <row r="734" spans="1:38">
      <c r="A734" s="28">
        <f>IF(B734="","",SalePrefix&amp;TEXT(ROW()-4,"0000"))</f>
        <v>0</v>
      </c>
      <c r="E734" s="15">
        <f>IF(D734="","",IFERROR(INDEX(Clients!$B$5:$B$504,MATCH(D734,Clients!$A$5:$A$504,0)),"Walk-in"))</f>
        <v>0</v>
      </c>
      <c r="G734" s="15">
        <f>IF(F734="","",IFERROR(INDEX(Staff!$B$5:$B$44,MATCH(F734,Staff!$A$5:$A$44,0)),"House"))</f>
        <v>0</v>
      </c>
      <c r="R734" s="15">
        <f>IF(B734="","",TEXT(B734,"yyyy-mm"))</f>
        <v>0</v>
      </c>
      <c r="S734" s="25">
        <f>IF(B734="","",WEEKNUM(B734,2))</f>
        <v>0</v>
      </c>
      <c r="T734" s="37">
        <f>IF(B734="","",IF(K734="",1,K734))</f>
        <v>0</v>
      </c>
      <c r="U734" s="15">
        <f>IF(B734="","",IF(J734&lt;&gt;"",J734,IF(H734="Retail",IFERROR(INDEX(Inventory!$B$5:$B$304,MATCH(I734,Inventory!$A$5:$A$304,0))&amp;"","Not in Inventory"),IFERROR(INDEX(Services!$B$5:$B$204,MATCH(I734,Services!$A$5:$A$204,0))&amp;"","Not in Services"))))</f>
        <v>0</v>
      </c>
      <c r="V734" s="26">
        <f>IF(B734="","",IF(L734&lt;&gt;"",L734,IF(H734="Retail",IFERROR(INDEX(Inventory!$I$5:$I$304,MATCH(I734,Inventory!$A$5:$A$304,0))*1,0),IFERROR(INDEX(Services!$G$5:$G$204,MATCH(I734,Services!$A$5:$A$204,0))*1,0))))</f>
        <v>0</v>
      </c>
      <c r="W734" s="26">
        <f>IF(B734="","",ROUND(T734*V734,2))</f>
        <v>0</v>
      </c>
      <c r="X734" s="26">
        <f>IF(B734="","",ROUND(IF(M734="",0,W734*M734)+IF(N734="",0,N734),2))</f>
        <v>0</v>
      </c>
      <c r="Y734" s="26">
        <f>IF(B734="","",ROUND(W734-X734-IF(P734="",0,P734),2))</f>
        <v>0</v>
      </c>
      <c r="Z734" s="26">
        <f>IF(B734="","",IF(H734="Retail",IF(TaxOnRetail="Yes",ROUND(Y734*TaxRate,2),0),IF(H734="Service",IF(TaxOnServices="Yes",ROUND(Y734*TaxRate,2),0),0)))</f>
        <v>0</v>
      </c>
      <c r="AA734" s="26">
        <f>IF(B734="","",ROUND(Y734+Z734,2))</f>
        <v>0</v>
      </c>
      <c r="AB734" s="26">
        <f>IF(B734="","",ROUND(T734*IF(H734="Retail",IFERROR(INDEX(Inventory!$H$5:$H$304,MATCH(I734,Inventory!$A$5:$A$304,0))*1,0),IFERROR(INDEX(Services!$Q$5:$Q$204,MATCH(I734,Services!$A$5:$A$204,0))*1,0)),2))</f>
        <v>0</v>
      </c>
      <c r="AC734" s="26">
        <f>IF(B734="","",ROUND(Y734-AB734,2))</f>
        <v>0</v>
      </c>
      <c r="AD734" s="38">
        <f>IF(B734="","",IF(C734="","No",IF(COUNTIFS($C$5:C734,C734)=1,"Yes","No")))</f>
        <v>0</v>
      </c>
      <c r="AE734" s="26">
        <f>IF(B734="","",ROUND(SUMIFS(Payments!$G$5:$G$1204,Payments!$H$5:$H$1204,A734,Payments!$Q$5:$Q$1204,"Yes"),2))</f>
        <v>0</v>
      </c>
      <c r="AF734" s="26">
        <f>IF(B734="","",IF(AD734="No",0,ROUND(SUMIFS(Payments!$G$5:$G$1204,Payments!$I$5:$I$1204,C734,Payments!$H$5:$H$1204,"",Payments!$Q$5:$Q$1204,"Yes"),2)))</f>
        <v>0</v>
      </c>
      <c r="AG734" s="26">
        <f>IF(B734="","",ROUND(AE734+AF734,2))</f>
        <v>0</v>
      </c>
      <c r="AH734" s="26">
        <f>IF(B734="","",ROUND(AA734-AG734,2))</f>
        <v>0</v>
      </c>
      <c r="AI734" s="39">
        <f>IF(B734="","",IF(AA734&lt;=0,"No charge",IF(AH734&lt;=0.004,"Paid",IF(AG734&lt;=0.004,"Unpaid","Part paid"))))</f>
        <v>0</v>
      </c>
      <c r="AJ734" s="38">
        <f>IF(B734="","",IF(H734&lt;&gt;"Service","",IF(D734="","No",IF(COUNTIFS($D$5:$D$1204,D734,$B$5:$B$1204,B734,$H$5:$H$1204,"Retail")&gt;0,"Yes","No"))))</f>
        <v>0</v>
      </c>
      <c r="AK734" s="25">
        <f>IF(B734="","",COUNTIFS($Y$5:$Y$1204,"&gt;"&amp;Y734)+COUNTIFS($Y$5:Y734,Y734))</f>
        <v>0</v>
      </c>
      <c r="AL734" s="39">
        <f>IF(B734="","",IF(H734="","Add - what kind of sale is this?",IF(IF(V734&lt;=0,P734="",FALSE),"Check - no price found for this item",IF(F734="","Assign - nobody credited",IF(AH734&gt;0.004,"Unpaid - balance outstanding",IF(AC734&lt;0,"Loss - sold below cost",IF(X734&gt;W734*0.5,"Check - more than half off","OK")))))))</f>
        <v>0</v>
      </c>
    </row>
    <row r="735" spans="1:38">
      <c r="A735" s="28">
        <f>IF(B735="","",SalePrefix&amp;TEXT(ROW()-4,"0000"))</f>
        <v>0</v>
      </c>
      <c r="E735" s="15">
        <f>IF(D735="","",IFERROR(INDEX(Clients!$B$5:$B$504,MATCH(D735,Clients!$A$5:$A$504,0)),"Walk-in"))</f>
        <v>0</v>
      </c>
      <c r="G735" s="15">
        <f>IF(F735="","",IFERROR(INDEX(Staff!$B$5:$B$44,MATCH(F735,Staff!$A$5:$A$44,0)),"House"))</f>
        <v>0</v>
      </c>
      <c r="R735" s="15">
        <f>IF(B735="","",TEXT(B735,"yyyy-mm"))</f>
        <v>0</v>
      </c>
      <c r="S735" s="25">
        <f>IF(B735="","",WEEKNUM(B735,2))</f>
        <v>0</v>
      </c>
      <c r="T735" s="37">
        <f>IF(B735="","",IF(K735="",1,K735))</f>
        <v>0</v>
      </c>
      <c r="U735" s="15">
        <f>IF(B735="","",IF(J735&lt;&gt;"",J735,IF(H735="Retail",IFERROR(INDEX(Inventory!$B$5:$B$304,MATCH(I735,Inventory!$A$5:$A$304,0))&amp;"","Not in Inventory"),IFERROR(INDEX(Services!$B$5:$B$204,MATCH(I735,Services!$A$5:$A$204,0))&amp;"","Not in Services"))))</f>
        <v>0</v>
      </c>
      <c r="V735" s="26">
        <f>IF(B735="","",IF(L735&lt;&gt;"",L735,IF(H735="Retail",IFERROR(INDEX(Inventory!$I$5:$I$304,MATCH(I735,Inventory!$A$5:$A$304,0))*1,0),IFERROR(INDEX(Services!$G$5:$G$204,MATCH(I735,Services!$A$5:$A$204,0))*1,0))))</f>
        <v>0</v>
      </c>
      <c r="W735" s="26">
        <f>IF(B735="","",ROUND(T735*V735,2))</f>
        <v>0</v>
      </c>
      <c r="X735" s="26">
        <f>IF(B735="","",ROUND(IF(M735="",0,W735*M735)+IF(N735="",0,N735),2))</f>
        <v>0</v>
      </c>
      <c r="Y735" s="26">
        <f>IF(B735="","",ROUND(W735-X735-IF(P735="",0,P735),2))</f>
        <v>0</v>
      </c>
      <c r="Z735" s="26">
        <f>IF(B735="","",IF(H735="Retail",IF(TaxOnRetail="Yes",ROUND(Y735*TaxRate,2),0),IF(H735="Service",IF(TaxOnServices="Yes",ROUND(Y735*TaxRate,2),0),0)))</f>
        <v>0</v>
      </c>
      <c r="AA735" s="26">
        <f>IF(B735="","",ROUND(Y735+Z735,2))</f>
        <v>0</v>
      </c>
      <c r="AB735" s="26">
        <f>IF(B735="","",ROUND(T735*IF(H735="Retail",IFERROR(INDEX(Inventory!$H$5:$H$304,MATCH(I735,Inventory!$A$5:$A$304,0))*1,0),IFERROR(INDEX(Services!$Q$5:$Q$204,MATCH(I735,Services!$A$5:$A$204,0))*1,0)),2))</f>
        <v>0</v>
      </c>
      <c r="AC735" s="26">
        <f>IF(B735="","",ROUND(Y735-AB735,2))</f>
        <v>0</v>
      </c>
      <c r="AD735" s="38">
        <f>IF(B735="","",IF(C735="","No",IF(COUNTIFS($C$5:C735,C735)=1,"Yes","No")))</f>
        <v>0</v>
      </c>
      <c r="AE735" s="26">
        <f>IF(B735="","",ROUND(SUMIFS(Payments!$G$5:$G$1204,Payments!$H$5:$H$1204,A735,Payments!$Q$5:$Q$1204,"Yes"),2))</f>
        <v>0</v>
      </c>
      <c r="AF735" s="26">
        <f>IF(B735="","",IF(AD735="No",0,ROUND(SUMIFS(Payments!$G$5:$G$1204,Payments!$I$5:$I$1204,C735,Payments!$H$5:$H$1204,"",Payments!$Q$5:$Q$1204,"Yes"),2)))</f>
        <v>0</v>
      </c>
      <c r="AG735" s="26">
        <f>IF(B735="","",ROUND(AE735+AF735,2))</f>
        <v>0</v>
      </c>
      <c r="AH735" s="26">
        <f>IF(B735="","",ROUND(AA735-AG735,2))</f>
        <v>0</v>
      </c>
      <c r="AI735" s="39">
        <f>IF(B735="","",IF(AA735&lt;=0,"No charge",IF(AH735&lt;=0.004,"Paid",IF(AG735&lt;=0.004,"Unpaid","Part paid"))))</f>
        <v>0</v>
      </c>
      <c r="AJ735" s="38">
        <f>IF(B735="","",IF(H735&lt;&gt;"Service","",IF(D735="","No",IF(COUNTIFS($D$5:$D$1204,D735,$B$5:$B$1204,B735,$H$5:$H$1204,"Retail")&gt;0,"Yes","No"))))</f>
        <v>0</v>
      </c>
      <c r="AK735" s="25">
        <f>IF(B735="","",COUNTIFS($Y$5:$Y$1204,"&gt;"&amp;Y735)+COUNTIFS($Y$5:Y735,Y735))</f>
        <v>0</v>
      </c>
      <c r="AL735" s="39">
        <f>IF(B735="","",IF(H735="","Add - what kind of sale is this?",IF(IF(V735&lt;=0,P735="",FALSE),"Check - no price found for this item",IF(F735="","Assign - nobody credited",IF(AH735&gt;0.004,"Unpaid - balance outstanding",IF(AC735&lt;0,"Loss - sold below cost",IF(X735&gt;W735*0.5,"Check - more than half off","OK")))))))</f>
        <v>0</v>
      </c>
    </row>
    <row r="736" spans="1:38">
      <c r="A736" s="28">
        <f>IF(B736="","",SalePrefix&amp;TEXT(ROW()-4,"0000"))</f>
        <v>0</v>
      </c>
      <c r="E736" s="15">
        <f>IF(D736="","",IFERROR(INDEX(Clients!$B$5:$B$504,MATCH(D736,Clients!$A$5:$A$504,0)),"Walk-in"))</f>
        <v>0</v>
      </c>
      <c r="G736" s="15">
        <f>IF(F736="","",IFERROR(INDEX(Staff!$B$5:$B$44,MATCH(F736,Staff!$A$5:$A$44,0)),"House"))</f>
        <v>0</v>
      </c>
      <c r="R736" s="15">
        <f>IF(B736="","",TEXT(B736,"yyyy-mm"))</f>
        <v>0</v>
      </c>
      <c r="S736" s="25">
        <f>IF(B736="","",WEEKNUM(B736,2))</f>
        <v>0</v>
      </c>
      <c r="T736" s="37">
        <f>IF(B736="","",IF(K736="",1,K736))</f>
        <v>0</v>
      </c>
      <c r="U736" s="15">
        <f>IF(B736="","",IF(J736&lt;&gt;"",J736,IF(H736="Retail",IFERROR(INDEX(Inventory!$B$5:$B$304,MATCH(I736,Inventory!$A$5:$A$304,0))&amp;"","Not in Inventory"),IFERROR(INDEX(Services!$B$5:$B$204,MATCH(I736,Services!$A$5:$A$204,0))&amp;"","Not in Services"))))</f>
        <v>0</v>
      </c>
      <c r="V736" s="26">
        <f>IF(B736="","",IF(L736&lt;&gt;"",L736,IF(H736="Retail",IFERROR(INDEX(Inventory!$I$5:$I$304,MATCH(I736,Inventory!$A$5:$A$304,0))*1,0),IFERROR(INDEX(Services!$G$5:$G$204,MATCH(I736,Services!$A$5:$A$204,0))*1,0))))</f>
        <v>0</v>
      </c>
      <c r="W736" s="26">
        <f>IF(B736="","",ROUND(T736*V736,2))</f>
        <v>0</v>
      </c>
      <c r="X736" s="26">
        <f>IF(B736="","",ROUND(IF(M736="",0,W736*M736)+IF(N736="",0,N736),2))</f>
        <v>0</v>
      </c>
      <c r="Y736" s="26">
        <f>IF(B736="","",ROUND(W736-X736-IF(P736="",0,P736),2))</f>
        <v>0</v>
      </c>
      <c r="Z736" s="26">
        <f>IF(B736="","",IF(H736="Retail",IF(TaxOnRetail="Yes",ROUND(Y736*TaxRate,2),0),IF(H736="Service",IF(TaxOnServices="Yes",ROUND(Y736*TaxRate,2),0),0)))</f>
        <v>0</v>
      </c>
      <c r="AA736" s="26">
        <f>IF(B736="","",ROUND(Y736+Z736,2))</f>
        <v>0</v>
      </c>
      <c r="AB736" s="26">
        <f>IF(B736="","",ROUND(T736*IF(H736="Retail",IFERROR(INDEX(Inventory!$H$5:$H$304,MATCH(I736,Inventory!$A$5:$A$304,0))*1,0),IFERROR(INDEX(Services!$Q$5:$Q$204,MATCH(I736,Services!$A$5:$A$204,0))*1,0)),2))</f>
        <v>0</v>
      </c>
      <c r="AC736" s="26">
        <f>IF(B736="","",ROUND(Y736-AB736,2))</f>
        <v>0</v>
      </c>
      <c r="AD736" s="38">
        <f>IF(B736="","",IF(C736="","No",IF(COUNTIFS($C$5:C736,C736)=1,"Yes","No")))</f>
        <v>0</v>
      </c>
      <c r="AE736" s="26">
        <f>IF(B736="","",ROUND(SUMIFS(Payments!$G$5:$G$1204,Payments!$H$5:$H$1204,A736,Payments!$Q$5:$Q$1204,"Yes"),2))</f>
        <v>0</v>
      </c>
      <c r="AF736" s="26">
        <f>IF(B736="","",IF(AD736="No",0,ROUND(SUMIFS(Payments!$G$5:$G$1204,Payments!$I$5:$I$1204,C736,Payments!$H$5:$H$1204,"",Payments!$Q$5:$Q$1204,"Yes"),2)))</f>
        <v>0</v>
      </c>
      <c r="AG736" s="26">
        <f>IF(B736="","",ROUND(AE736+AF736,2))</f>
        <v>0</v>
      </c>
      <c r="AH736" s="26">
        <f>IF(B736="","",ROUND(AA736-AG736,2))</f>
        <v>0</v>
      </c>
      <c r="AI736" s="39">
        <f>IF(B736="","",IF(AA736&lt;=0,"No charge",IF(AH736&lt;=0.004,"Paid",IF(AG736&lt;=0.004,"Unpaid","Part paid"))))</f>
        <v>0</v>
      </c>
      <c r="AJ736" s="38">
        <f>IF(B736="","",IF(H736&lt;&gt;"Service","",IF(D736="","No",IF(COUNTIFS($D$5:$D$1204,D736,$B$5:$B$1204,B736,$H$5:$H$1204,"Retail")&gt;0,"Yes","No"))))</f>
        <v>0</v>
      </c>
      <c r="AK736" s="25">
        <f>IF(B736="","",COUNTIFS($Y$5:$Y$1204,"&gt;"&amp;Y736)+COUNTIFS($Y$5:Y736,Y736))</f>
        <v>0</v>
      </c>
      <c r="AL736" s="39">
        <f>IF(B736="","",IF(H736="","Add - what kind of sale is this?",IF(IF(V736&lt;=0,P736="",FALSE),"Check - no price found for this item",IF(F736="","Assign - nobody credited",IF(AH736&gt;0.004,"Unpaid - balance outstanding",IF(AC736&lt;0,"Loss - sold below cost",IF(X736&gt;W736*0.5,"Check - more than half off","OK")))))))</f>
        <v>0</v>
      </c>
    </row>
    <row r="737" spans="1:38">
      <c r="A737" s="28">
        <f>IF(B737="","",SalePrefix&amp;TEXT(ROW()-4,"0000"))</f>
        <v>0</v>
      </c>
      <c r="E737" s="15">
        <f>IF(D737="","",IFERROR(INDEX(Clients!$B$5:$B$504,MATCH(D737,Clients!$A$5:$A$504,0)),"Walk-in"))</f>
        <v>0</v>
      </c>
      <c r="G737" s="15">
        <f>IF(F737="","",IFERROR(INDEX(Staff!$B$5:$B$44,MATCH(F737,Staff!$A$5:$A$44,0)),"House"))</f>
        <v>0</v>
      </c>
      <c r="R737" s="15">
        <f>IF(B737="","",TEXT(B737,"yyyy-mm"))</f>
        <v>0</v>
      </c>
      <c r="S737" s="25">
        <f>IF(B737="","",WEEKNUM(B737,2))</f>
        <v>0</v>
      </c>
      <c r="T737" s="37">
        <f>IF(B737="","",IF(K737="",1,K737))</f>
        <v>0</v>
      </c>
      <c r="U737" s="15">
        <f>IF(B737="","",IF(J737&lt;&gt;"",J737,IF(H737="Retail",IFERROR(INDEX(Inventory!$B$5:$B$304,MATCH(I737,Inventory!$A$5:$A$304,0))&amp;"","Not in Inventory"),IFERROR(INDEX(Services!$B$5:$B$204,MATCH(I737,Services!$A$5:$A$204,0))&amp;"","Not in Services"))))</f>
        <v>0</v>
      </c>
      <c r="V737" s="26">
        <f>IF(B737="","",IF(L737&lt;&gt;"",L737,IF(H737="Retail",IFERROR(INDEX(Inventory!$I$5:$I$304,MATCH(I737,Inventory!$A$5:$A$304,0))*1,0),IFERROR(INDEX(Services!$G$5:$G$204,MATCH(I737,Services!$A$5:$A$204,0))*1,0))))</f>
        <v>0</v>
      </c>
      <c r="W737" s="26">
        <f>IF(B737="","",ROUND(T737*V737,2))</f>
        <v>0</v>
      </c>
      <c r="X737" s="26">
        <f>IF(B737="","",ROUND(IF(M737="",0,W737*M737)+IF(N737="",0,N737),2))</f>
        <v>0</v>
      </c>
      <c r="Y737" s="26">
        <f>IF(B737="","",ROUND(W737-X737-IF(P737="",0,P737),2))</f>
        <v>0</v>
      </c>
      <c r="Z737" s="26">
        <f>IF(B737="","",IF(H737="Retail",IF(TaxOnRetail="Yes",ROUND(Y737*TaxRate,2),0),IF(H737="Service",IF(TaxOnServices="Yes",ROUND(Y737*TaxRate,2),0),0)))</f>
        <v>0</v>
      </c>
      <c r="AA737" s="26">
        <f>IF(B737="","",ROUND(Y737+Z737,2))</f>
        <v>0</v>
      </c>
      <c r="AB737" s="26">
        <f>IF(B737="","",ROUND(T737*IF(H737="Retail",IFERROR(INDEX(Inventory!$H$5:$H$304,MATCH(I737,Inventory!$A$5:$A$304,0))*1,0),IFERROR(INDEX(Services!$Q$5:$Q$204,MATCH(I737,Services!$A$5:$A$204,0))*1,0)),2))</f>
        <v>0</v>
      </c>
      <c r="AC737" s="26">
        <f>IF(B737="","",ROUND(Y737-AB737,2))</f>
        <v>0</v>
      </c>
      <c r="AD737" s="38">
        <f>IF(B737="","",IF(C737="","No",IF(COUNTIFS($C$5:C737,C737)=1,"Yes","No")))</f>
        <v>0</v>
      </c>
      <c r="AE737" s="26">
        <f>IF(B737="","",ROUND(SUMIFS(Payments!$G$5:$G$1204,Payments!$H$5:$H$1204,A737,Payments!$Q$5:$Q$1204,"Yes"),2))</f>
        <v>0</v>
      </c>
      <c r="AF737" s="26">
        <f>IF(B737="","",IF(AD737="No",0,ROUND(SUMIFS(Payments!$G$5:$G$1204,Payments!$I$5:$I$1204,C737,Payments!$H$5:$H$1204,"",Payments!$Q$5:$Q$1204,"Yes"),2)))</f>
        <v>0</v>
      </c>
      <c r="AG737" s="26">
        <f>IF(B737="","",ROUND(AE737+AF737,2))</f>
        <v>0</v>
      </c>
      <c r="AH737" s="26">
        <f>IF(B737="","",ROUND(AA737-AG737,2))</f>
        <v>0</v>
      </c>
      <c r="AI737" s="39">
        <f>IF(B737="","",IF(AA737&lt;=0,"No charge",IF(AH737&lt;=0.004,"Paid",IF(AG737&lt;=0.004,"Unpaid","Part paid"))))</f>
        <v>0</v>
      </c>
      <c r="AJ737" s="38">
        <f>IF(B737="","",IF(H737&lt;&gt;"Service","",IF(D737="","No",IF(COUNTIFS($D$5:$D$1204,D737,$B$5:$B$1204,B737,$H$5:$H$1204,"Retail")&gt;0,"Yes","No"))))</f>
        <v>0</v>
      </c>
      <c r="AK737" s="25">
        <f>IF(B737="","",COUNTIFS($Y$5:$Y$1204,"&gt;"&amp;Y737)+COUNTIFS($Y$5:Y737,Y737))</f>
        <v>0</v>
      </c>
      <c r="AL737" s="39">
        <f>IF(B737="","",IF(H737="","Add - what kind of sale is this?",IF(IF(V737&lt;=0,P737="",FALSE),"Check - no price found for this item",IF(F737="","Assign - nobody credited",IF(AH737&gt;0.004,"Unpaid - balance outstanding",IF(AC737&lt;0,"Loss - sold below cost",IF(X737&gt;W737*0.5,"Check - more than half off","OK")))))))</f>
        <v>0</v>
      </c>
    </row>
    <row r="738" spans="1:38">
      <c r="A738" s="28">
        <f>IF(B738="","",SalePrefix&amp;TEXT(ROW()-4,"0000"))</f>
        <v>0</v>
      </c>
      <c r="E738" s="15">
        <f>IF(D738="","",IFERROR(INDEX(Clients!$B$5:$B$504,MATCH(D738,Clients!$A$5:$A$504,0)),"Walk-in"))</f>
        <v>0</v>
      </c>
      <c r="G738" s="15">
        <f>IF(F738="","",IFERROR(INDEX(Staff!$B$5:$B$44,MATCH(F738,Staff!$A$5:$A$44,0)),"House"))</f>
        <v>0</v>
      </c>
      <c r="R738" s="15">
        <f>IF(B738="","",TEXT(B738,"yyyy-mm"))</f>
        <v>0</v>
      </c>
      <c r="S738" s="25">
        <f>IF(B738="","",WEEKNUM(B738,2))</f>
        <v>0</v>
      </c>
      <c r="T738" s="37">
        <f>IF(B738="","",IF(K738="",1,K738))</f>
        <v>0</v>
      </c>
      <c r="U738" s="15">
        <f>IF(B738="","",IF(J738&lt;&gt;"",J738,IF(H738="Retail",IFERROR(INDEX(Inventory!$B$5:$B$304,MATCH(I738,Inventory!$A$5:$A$304,0))&amp;"","Not in Inventory"),IFERROR(INDEX(Services!$B$5:$B$204,MATCH(I738,Services!$A$5:$A$204,0))&amp;"","Not in Services"))))</f>
        <v>0</v>
      </c>
      <c r="V738" s="26">
        <f>IF(B738="","",IF(L738&lt;&gt;"",L738,IF(H738="Retail",IFERROR(INDEX(Inventory!$I$5:$I$304,MATCH(I738,Inventory!$A$5:$A$304,0))*1,0),IFERROR(INDEX(Services!$G$5:$G$204,MATCH(I738,Services!$A$5:$A$204,0))*1,0))))</f>
        <v>0</v>
      </c>
      <c r="W738" s="26">
        <f>IF(B738="","",ROUND(T738*V738,2))</f>
        <v>0</v>
      </c>
      <c r="X738" s="26">
        <f>IF(B738="","",ROUND(IF(M738="",0,W738*M738)+IF(N738="",0,N738),2))</f>
        <v>0</v>
      </c>
      <c r="Y738" s="26">
        <f>IF(B738="","",ROUND(W738-X738-IF(P738="",0,P738),2))</f>
        <v>0</v>
      </c>
      <c r="Z738" s="26">
        <f>IF(B738="","",IF(H738="Retail",IF(TaxOnRetail="Yes",ROUND(Y738*TaxRate,2),0),IF(H738="Service",IF(TaxOnServices="Yes",ROUND(Y738*TaxRate,2),0),0)))</f>
        <v>0</v>
      </c>
      <c r="AA738" s="26">
        <f>IF(B738="","",ROUND(Y738+Z738,2))</f>
        <v>0</v>
      </c>
      <c r="AB738" s="26">
        <f>IF(B738="","",ROUND(T738*IF(H738="Retail",IFERROR(INDEX(Inventory!$H$5:$H$304,MATCH(I738,Inventory!$A$5:$A$304,0))*1,0),IFERROR(INDEX(Services!$Q$5:$Q$204,MATCH(I738,Services!$A$5:$A$204,0))*1,0)),2))</f>
        <v>0</v>
      </c>
      <c r="AC738" s="26">
        <f>IF(B738="","",ROUND(Y738-AB738,2))</f>
        <v>0</v>
      </c>
      <c r="AD738" s="38">
        <f>IF(B738="","",IF(C738="","No",IF(COUNTIFS($C$5:C738,C738)=1,"Yes","No")))</f>
        <v>0</v>
      </c>
      <c r="AE738" s="26">
        <f>IF(B738="","",ROUND(SUMIFS(Payments!$G$5:$G$1204,Payments!$H$5:$H$1204,A738,Payments!$Q$5:$Q$1204,"Yes"),2))</f>
        <v>0</v>
      </c>
      <c r="AF738" s="26">
        <f>IF(B738="","",IF(AD738="No",0,ROUND(SUMIFS(Payments!$G$5:$G$1204,Payments!$I$5:$I$1204,C738,Payments!$H$5:$H$1204,"",Payments!$Q$5:$Q$1204,"Yes"),2)))</f>
        <v>0</v>
      </c>
      <c r="AG738" s="26">
        <f>IF(B738="","",ROUND(AE738+AF738,2))</f>
        <v>0</v>
      </c>
      <c r="AH738" s="26">
        <f>IF(B738="","",ROUND(AA738-AG738,2))</f>
        <v>0</v>
      </c>
      <c r="AI738" s="39">
        <f>IF(B738="","",IF(AA738&lt;=0,"No charge",IF(AH738&lt;=0.004,"Paid",IF(AG738&lt;=0.004,"Unpaid","Part paid"))))</f>
        <v>0</v>
      </c>
      <c r="AJ738" s="38">
        <f>IF(B738="","",IF(H738&lt;&gt;"Service","",IF(D738="","No",IF(COUNTIFS($D$5:$D$1204,D738,$B$5:$B$1204,B738,$H$5:$H$1204,"Retail")&gt;0,"Yes","No"))))</f>
        <v>0</v>
      </c>
      <c r="AK738" s="25">
        <f>IF(B738="","",COUNTIFS($Y$5:$Y$1204,"&gt;"&amp;Y738)+COUNTIFS($Y$5:Y738,Y738))</f>
        <v>0</v>
      </c>
      <c r="AL738" s="39">
        <f>IF(B738="","",IF(H738="","Add - what kind of sale is this?",IF(IF(V738&lt;=0,P738="",FALSE),"Check - no price found for this item",IF(F738="","Assign - nobody credited",IF(AH738&gt;0.004,"Unpaid - balance outstanding",IF(AC738&lt;0,"Loss - sold below cost",IF(X738&gt;W738*0.5,"Check - more than half off","OK")))))))</f>
        <v>0</v>
      </c>
    </row>
    <row r="739" spans="1:38">
      <c r="A739" s="28">
        <f>IF(B739="","",SalePrefix&amp;TEXT(ROW()-4,"0000"))</f>
        <v>0</v>
      </c>
      <c r="E739" s="15">
        <f>IF(D739="","",IFERROR(INDEX(Clients!$B$5:$B$504,MATCH(D739,Clients!$A$5:$A$504,0)),"Walk-in"))</f>
        <v>0</v>
      </c>
      <c r="G739" s="15">
        <f>IF(F739="","",IFERROR(INDEX(Staff!$B$5:$B$44,MATCH(F739,Staff!$A$5:$A$44,0)),"House"))</f>
        <v>0</v>
      </c>
      <c r="R739" s="15">
        <f>IF(B739="","",TEXT(B739,"yyyy-mm"))</f>
        <v>0</v>
      </c>
      <c r="S739" s="25">
        <f>IF(B739="","",WEEKNUM(B739,2))</f>
        <v>0</v>
      </c>
      <c r="T739" s="37">
        <f>IF(B739="","",IF(K739="",1,K739))</f>
        <v>0</v>
      </c>
      <c r="U739" s="15">
        <f>IF(B739="","",IF(J739&lt;&gt;"",J739,IF(H739="Retail",IFERROR(INDEX(Inventory!$B$5:$B$304,MATCH(I739,Inventory!$A$5:$A$304,0))&amp;"","Not in Inventory"),IFERROR(INDEX(Services!$B$5:$B$204,MATCH(I739,Services!$A$5:$A$204,0))&amp;"","Not in Services"))))</f>
        <v>0</v>
      </c>
      <c r="V739" s="26">
        <f>IF(B739="","",IF(L739&lt;&gt;"",L739,IF(H739="Retail",IFERROR(INDEX(Inventory!$I$5:$I$304,MATCH(I739,Inventory!$A$5:$A$304,0))*1,0),IFERROR(INDEX(Services!$G$5:$G$204,MATCH(I739,Services!$A$5:$A$204,0))*1,0))))</f>
        <v>0</v>
      </c>
      <c r="W739" s="26">
        <f>IF(B739="","",ROUND(T739*V739,2))</f>
        <v>0</v>
      </c>
      <c r="X739" s="26">
        <f>IF(B739="","",ROUND(IF(M739="",0,W739*M739)+IF(N739="",0,N739),2))</f>
        <v>0</v>
      </c>
      <c r="Y739" s="26">
        <f>IF(B739="","",ROUND(W739-X739-IF(P739="",0,P739),2))</f>
        <v>0</v>
      </c>
      <c r="Z739" s="26">
        <f>IF(B739="","",IF(H739="Retail",IF(TaxOnRetail="Yes",ROUND(Y739*TaxRate,2),0),IF(H739="Service",IF(TaxOnServices="Yes",ROUND(Y739*TaxRate,2),0),0)))</f>
        <v>0</v>
      </c>
      <c r="AA739" s="26">
        <f>IF(B739="","",ROUND(Y739+Z739,2))</f>
        <v>0</v>
      </c>
      <c r="AB739" s="26">
        <f>IF(B739="","",ROUND(T739*IF(H739="Retail",IFERROR(INDEX(Inventory!$H$5:$H$304,MATCH(I739,Inventory!$A$5:$A$304,0))*1,0),IFERROR(INDEX(Services!$Q$5:$Q$204,MATCH(I739,Services!$A$5:$A$204,0))*1,0)),2))</f>
        <v>0</v>
      </c>
      <c r="AC739" s="26">
        <f>IF(B739="","",ROUND(Y739-AB739,2))</f>
        <v>0</v>
      </c>
      <c r="AD739" s="38">
        <f>IF(B739="","",IF(C739="","No",IF(COUNTIFS($C$5:C739,C739)=1,"Yes","No")))</f>
        <v>0</v>
      </c>
      <c r="AE739" s="26">
        <f>IF(B739="","",ROUND(SUMIFS(Payments!$G$5:$G$1204,Payments!$H$5:$H$1204,A739,Payments!$Q$5:$Q$1204,"Yes"),2))</f>
        <v>0</v>
      </c>
      <c r="AF739" s="26">
        <f>IF(B739="","",IF(AD739="No",0,ROUND(SUMIFS(Payments!$G$5:$G$1204,Payments!$I$5:$I$1204,C739,Payments!$H$5:$H$1204,"",Payments!$Q$5:$Q$1204,"Yes"),2)))</f>
        <v>0</v>
      </c>
      <c r="AG739" s="26">
        <f>IF(B739="","",ROUND(AE739+AF739,2))</f>
        <v>0</v>
      </c>
      <c r="AH739" s="26">
        <f>IF(B739="","",ROUND(AA739-AG739,2))</f>
        <v>0</v>
      </c>
      <c r="AI739" s="39">
        <f>IF(B739="","",IF(AA739&lt;=0,"No charge",IF(AH739&lt;=0.004,"Paid",IF(AG739&lt;=0.004,"Unpaid","Part paid"))))</f>
        <v>0</v>
      </c>
      <c r="AJ739" s="38">
        <f>IF(B739="","",IF(H739&lt;&gt;"Service","",IF(D739="","No",IF(COUNTIFS($D$5:$D$1204,D739,$B$5:$B$1204,B739,$H$5:$H$1204,"Retail")&gt;0,"Yes","No"))))</f>
        <v>0</v>
      </c>
      <c r="AK739" s="25">
        <f>IF(B739="","",COUNTIFS($Y$5:$Y$1204,"&gt;"&amp;Y739)+COUNTIFS($Y$5:Y739,Y739))</f>
        <v>0</v>
      </c>
      <c r="AL739" s="39">
        <f>IF(B739="","",IF(H739="","Add - what kind of sale is this?",IF(IF(V739&lt;=0,P739="",FALSE),"Check - no price found for this item",IF(F739="","Assign - nobody credited",IF(AH739&gt;0.004,"Unpaid - balance outstanding",IF(AC739&lt;0,"Loss - sold below cost",IF(X739&gt;W739*0.5,"Check - more than half off","OK")))))))</f>
        <v>0</v>
      </c>
    </row>
    <row r="740" spans="1:38">
      <c r="A740" s="28">
        <f>IF(B740="","",SalePrefix&amp;TEXT(ROW()-4,"0000"))</f>
        <v>0</v>
      </c>
      <c r="E740" s="15">
        <f>IF(D740="","",IFERROR(INDEX(Clients!$B$5:$B$504,MATCH(D740,Clients!$A$5:$A$504,0)),"Walk-in"))</f>
        <v>0</v>
      </c>
      <c r="G740" s="15">
        <f>IF(F740="","",IFERROR(INDEX(Staff!$B$5:$B$44,MATCH(F740,Staff!$A$5:$A$44,0)),"House"))</f>
        <v>0</v>
      </c>
      <c r="R740" s="15">
        <f>IF(B740="","",TEXT(B740,"yyyy-mm"))</f>
        <v>0</v>
      </c>
      <c r="S740" s="25">
        <f>IF(B740="","",WEEKNUM(B740,2))</f>
        <v>0</v>
      </c>
      <c r="T740" s="37">
        <f>IF(B740="","",IF(K740="",1,K740))</f>
        <v>0</v>
      </c>
      <c r="U740" s="15">
        <f>IF(B740="","",IF(J740&lt;&gt;"",J740,IF(H740="Retail",IFERROR(INDEX(Inventory!$B$5:$B$304,MATCH(I740,Inventory!$A$5:$A$304,0))&amp;"","Not in Inventory"),IFERROR(INDEX(Services!$B$5:$B$204,MATCH(I740,Services!$A$5:$A$204,0))&amp;"","Not in Services"))))</f>
        <v>0</v>
      </c>
      <c r="V740" s="26">
        <f>IF(B740="","",IF(L740&lt;&gt;"",L740,IF(H740="Retail",IFERROR(INDEX(Inventory!$I$5:$I$304,MATCH(I740,Inventory!$A$5:$A$304,0))*1,0),IFERROR(INDEX(Services!$G$5:$G$204,MATCH(I740,Services!$A$5:$A$204,0))*1,0))))</f>
        <v>0</v>
      </c>
      <c r="W740" s="26">
        <f>IF(B740="","",ROUND(T740*V740,2))</f>
        <v>0</v>
      </c>
      <c r="X740" s="26">
        <f>IF(B740="","",ROUND(IF(M740="",0,W740*M740)+IF(N740="",0,N740),2))</f>
        <v>0</v>
      </c>
      <c r="Y740" s="26">
        <f>IF(B740="","",ROUND(W740-X740-IF(P740="",0,P740),2))</f>
        <v>0</v>
      </c>
      <c r="Z740" s="26">
        <f>IF(B740="","",IF(H740="Retail",IF(TaxOnRetail="Yes",ROUND(Y740*TaxRate,2),0),IF(H740="Service",IF(TaxOnServices="Yes",ROUND(Y740*TaxRate,2),0),0)))</f>
        <v>0</v>
      </c>
      <c r="AA740" s="26">
        <f>IF(B740="","",ROUND(Y740+Z740,2))</f>
        <v>0</v>
      </c>
      <c r="AB740" s="26">
        <f>IF(B740="","",ROUND(T740*IF(H740="Retail",IFERROR(INDEX(Inventory!$H$5:$H$304,MATCH(I740,Inventory!$A$5:$A$304,0))*1,0),IFERROR(INDEX(Services!$Q$5:$Q$204,MATCH(I740,Services!$A$5:$A$204,0))*1,0)),2))</f>
        <v>0</v>
      </c>
      <c r="AC740" s="26">
        <f>IF(B740="","",ROUND(Y740-AB740,2))</f>
        <v>0</v>
      </c>
      <c r="AD740" s="38">
        <f>IF(B740="","",IF(C740="","No",IF(COUNTIFS($C$5:C740,C740)=1,"Yes","No")))</f>
        <v>0</v>
      </c>
      <c r="AE740" s="26">
        <f>IF(B740="","",ROUND(SUMIFS(Payments!$G$5:$G$1204,Payments!$H$5:$H$1204,A740,Payments!$Q$5:$Q$1204,"Yes"),2))</f>
        <v>0</v>
      </c>
      <c r="AF740" s="26">
        <f>IF(B740="","",IF(AD740="No",0,ROUND(SUMIFS(Payments!$G$5:$G$1204,Payments!$I$5:$I$1204,C740,Payments!$H$5:$H$1204,"",Payments!$Q$5:$Q$1204,"Yes"),2)))</f>
        <v>0</v>
      </c>
      <c r="AG740" s="26">
        <f>IF(B740="","",ROUND(AE740+AF740,2))</f>
        <v>0</v>
      </c>
      <c r="AH740" s="26">
        <f>IF(B740="","",ROUND(AA740-AG740,2))</f>
        <v>0</v>
      </c>
      <c r="AI740" s="39">
        <f>IF(B740="","",IF(AA740&lt;=0,"No charge",IF(AH740&lt;=0.004,"Paid",IF(AG740&lt;=0.004,"Unpaid","Part paid"))))</f>
        <v>0</v>
      </c>
      <c r="AJ740" s="38">
        <f>IF(B740="","",IF(H740&lt;&gt;"Service","",IF(D740="","No",IF(COUNTIFS($D$5:$D$1204,D740,$B$5:$B$1204,B740,$H$5:$H$1204,"Retail")&gt;0,"Yes","No"))))</f>
        <v>0</v>
      </c>
      <c r="AK740" s="25">
        <f>IF(B740="","",COUNTIFS($Y$5:$Y$1204,"&gt;"&amp;Y740)+COUNTIFS($Y$5:Y740,Y740))</f>
        <v>0</v>
      </c>
      <c r="AL740" s="39">
        <f>IF(B740="","",IF(H740="","Add - what kind of sale is this?",IF(IF(V740&lt;=0,P740="",FALSE),"Check - no price found for this item",IF(F740="","Assign - nobody credited",IF(AH740&gt;0.004,"Unpaid - balance outstanding",IF(AC740&lt;0,"Loss - sold below cost",IF(X740&gt;W740*0.5,"Check - more than half off","OK")))))))</f>
        <v>0</v>
      </c>
    </row>
    <row r="741" spans="1:38">
      <c r="A741" s="28">
        <f>IF(B741="","",SalePrefix&amp;TEXT(ROW()-4,"0000"))</f>
        <v>0</v>
      </c>
      <c r="E741" s="15">
        <f>IF(D741="","",IFERROR(INDEX(Clients!$B$5:$B$504,MATCH(D741,Clients!$A$5:$A$504,0)),"Walk-in"))</f>
        <v>0</v>
      </c>
      <c r="G741" s="15">
        <f>IF(F741="","",IFERROR(INDEX(Staff!$B$5:$B$44,MATCH(F741,Staff!$A$5:$A$44,0)),"House"))</f>
        <v>0</v>
      </c>
      <c r="R741" s="15">
        <f>IF(B741="","",TEXT(B741,"yyyy-mm"))</f>
        <v>0</v>
      </c>
      <c r="S741" s="25">
        <f>IF(B741="","",WEEKNUM(B741,2))</f>
        <v>0</v>
      </c>
      <c r="T741" s="37">
        <f>IF(B741="","",IF(K741="",1,K741))</f>
        <v>0</v>
      </c>
      <c r="U741" s="15">
        <f>IF(B741="","",IF(J741&lt;&gt;"",J741,IF(H741="Retail",IFERROR(INDEX(Inventory!$B$5:$B$304,MATCH(I741,Inventory!$A$5:$A$304,0))&amp;"","Not in Inventory"),IFERROR(INDEX(Services!$B$5:$B$204,MATCH(I741,Services!$A$5:$A$204,0))&amp;"","Not in Services"))))</f>
        <v>0</v>
      </c>
      <c r="V741" s="26">
        <f>IF(B741="","",IF(L741&lt;&gt;"",L741,IF(H741="Retail",IFERROR(INDEX(Inventory!$I$5:$I$304,MATCH(I741,Inventory!$A$5:$A$304,0))*1,0),IFERROR(INDEX(Services!$G$5:$G$204,MATCH(I741,Services!$A$5:$A$204,0))*1,0))))</f>
        <v>0</v>
      </c>
      <c r="W741" s="26">
        <f>IF(B741="","",ROUND(T741*V741,2))</f>
        <v>0</v>
      </c>
      <c r="X741" s="26">
        <f>IF(B741="","",ROUND(IF(M741="",0,W741*M741)+IF(N741="",0,N741),2))</f>
        <v>0</v>
      </c>
      <c r="Y741" s="26">
        <f>IF(B741="","",ROUND(W741-X741-IF(P741="",0,P741),2))</f>
        <v>0</v>
      </c>
      <c r="Z741" s="26">
        <f>IF(B741="","",IF(H741="Retail",IF(TaxOnRetail="Yes",ROUND(Y741*TaxRate,2),0),IF(H741="Service",IF(TaxOnServices="Yes",ROUND(Y741*TaxRate,2),0),0)))</f>
        <v>0</v>
      </c>
      <c r="AA741" s="26">
        <f>IF(B741="","",ROUND(Y741+Z741,2))</f>
        <v>0</v>
      </c>
      <c r="AB741" s="26">
        <f>IF(B741="","",ROUND(T741*IF(H741="Retail",IFERROR(INDEX(Inventory!$H$5:$H$304,MATCH(I741,Inventory!$A$5:$A$304,0))*1,0),IFERROR(INDEX(Services!$Q$5:$Q$204,MATCH(I741,Services!$A$5:$A$204,0))*1,0)),2))</f>
        <v>0</v>
      </c>
      <c r="AC741" s="26">
        <f>IF(B741="","",ROUND(Y741-AB741,2))</f>
        <v>0</v>
      </c>
      <c r="AD741" s="38">
        <f>IF(B741="","",IF(C741="","No",IF(COUNTIFS($C$5:C741,C741)=1,"Yes","No")))</f>
        <v>0</v>
      </c>
      <c r="AE741" s="26">
        <f>IF(B741="","",ROUND(SUMIFS(Payments!$G$5:$G$1204,Payments!$H$5:$H$1204,A741,Payments!$Q$5:$Q$1204,"Yes"),2))</f>
        <v>0</v>
      </c>
      <c r="AF741" s="26">
        <f>IF(B741="","",IF(AD741="No",0,ROUND(SUMIFS(Payments!$G$5:$G$1204,Payments!$I$5:$I$1204,C741,Payments!$H$5:$H$1204,"",Payments!$Q$5:$Q$1204,"Yes"),2)))</f>
        <v>0</v>
      </c>
      <c r="AG741" s="26">
        <f>IF(B741="","",ROUND(AE741+AF741,2))</f>
        <v>0</v>
      </c>
      <c r="AH741" s="26">
        <f>IF(B741="","",ROUND(AA741-AG741,2))</f>
        <v>0</v>
      </c>
      <c r="AI741" s="39">
        <f>IF(B741="","",IF(AA741&lt;=0,"No charge",IF(AH741&lt;=0.004,"Paid",IF(AG741&lt;=0.004,"Unpaid","Part paid"))))</f>
        <v>0</v>
      </c>
      <c r="AJ741" s="38">
        <f>IF(B741="","",IF(H741&lt;&gt;"Service","",IF(D741="","No",IF(COUNTIFS($D$5:$D$1204,D741,$B$5:$B$1204,B741,$H$5:$H$1204,"Retail")&gt;0,"Yes","No"))))</f>
        <v>0</v>
      </c>
      <c r="AK741" s="25">
        <f>IF(B741="","",COUNTIFS($Y$5:$Y$1204,"&gt;"&amp;Y741)+COUNTIFS($Y$5:Y741,Y741))</f>
        <v>0</v>
      </c>
      <c r="AL741" s="39">
        <f>IF(B741="","",IF(H741="","Add - what kind of sale is this?",IF(IF(V741&lt;=0,P741="",FALSE),"Check - no price found for this item",IF(F741="","Assign - nobody credited",IF(AH741&gt;0.004,"Unpaid - balance outstanding",IF(AC741&lt;0,"Loss - sold below cost",IF(X741&gt;W741*0.5,"Check - more than half off","OK")))))))</f>
        <v>0</v>
      </c>
    </row>
    <row r="742" spans="1:38">
      <c r="A742" s="28">
        <f>IF(B742="","",SalePrefix&amp;TEXT(ROW()-4,"0000"))</f>
        <v>0</v>
      </c>
      <c r="E742" s="15">
        <f>IF(D742="","",IFERROR(INDEX(Clients!$B$5:$B$504,MATCH(D742,Clients!$A$5:$A$504,0)),"Walk-in"))</f>
        <v>0</v>
      </c>
      <c r="G742" s="15">
        <f>IF(F742="","",IFERROR(INDEX(Staff!$B$5:$B$44,MATCH(F742,Staff!$A$5:$A$44,0)),"House"))</f>
        <v>0</v>
      </c>
      <c r="R742" s="15">
        <f>IF(B742="","",TEXT(B742,"yyyy-mm"))</f>
        <v>0</v>
      </c>
      <c r="S742" s="25">
        <f>IF(B742="","",WEEKNUM(B742,2))</f>
        <v>0</v>
      </c>
      <c r="T742" s="37">
        <f>IF(B742="","",IF(K742="",1,K742))</f>
        <v>0</v>
      </c>
      <c r="U742" s="15">
        <f>IF(B742="","",IF(J742&lt;&gt;"",J742,IF(H742="Retail",IFERROR(INDEX(Inventory!$B$5:$B$304,MATCH(I742,Inventory!$A$5:$A$304,0))&amp;"","Not in Inventory"),IFERROR(INDEX(Services!$B$5:$B$204,MATCH(I742,Services!$A$5:$A$204,0))&amp;"","Not in Services"))))</f>
        <v>0</v>
      </c>
      <c r="V742" s="26">
        <f>IF(B742="","",IF(L742&lt;&gt;"",L742,IF(H742="Retail",IFERROR(INDEX(Inventory!$I$5:$I$304,MATCH(I742,Inventory!$A$5:$A$304,0))*1,0),IFERROR(INDEX(Services!$G$5:$G$204,MATCH(I742,Services!$A$5:$A$204,0))*1,0))))</f>
        <v>0</v>
      </c>
      <c r="W742" s="26">
        <f>IF(B742="","",ROUND(T742*V742,2))</f>
        <v>0</v>
      </c>
      <c r="X742" s="26">
        <f>IF(B742="","",ROUND(IF(M742="",0,W742*M742)+IF(N742="",0,N742),2))</f>
        <v>0</v>
      </c>
      <c r="Y742" s="26">
        <f>IF(B742="","",ROUND(W742-X742-IF(P742="",0,P742),2))</f>
        <v>0</v>
      </c>
      <c r="Z742" s="26">
        <f>IF(B742="","",IF(H742="Retail",IF(TaxOnRetail="Yes",ROUND(Y742*TaxRate,2),0),IF(H742="Service",IF(TaxOnServices="Yes",ROUND(Y742*TaxRate,2),0),0)))</f>
        <v>0</v>
      </c>
      <c r="AA742" s="26">
        <f>IF(B742="","",ROUND(Y742+Z742,2))</f>
        <v>0</v>
      </c>
      <c r="AB742" s="26">
        <f>IF(B742="","",ROUND(T742*IF(H742="Retail",IFERROR(INDEX(Inventory!$H$5:$H$304,MATCH(I742,Inventory!$A$5:$A$304,0))*1,0),IFERROR(INDEX(Services!$Q$5:$Q$204,MATCH(I742,Services!$A$5:$A$204,0))*1,0)),2))</f>
        <v>0</v>
      </c>
      <c r="AC742" s="26">
        <f>IF(B742="","",ROUND(Y742-AB742,2))</f>
        <v>0</v>
      </c>
      <c r="AD742" s="38">
        <f>IF(B742="","",IF(C742="","No",IF(COUNTIFS($C$5:C742,C742)=1,"Yes","No")))</f>
        <v>0</v>
      </c>
      <c r="AE742" s="26">
        <f>IF(B742="","",ROUND(SUMIFS(Payments!$G$5:$G$1204,Payments!$H$5:$H$1204,A742,Payments!$Q$5:$Q$1204,"Yes"),2))</f>
        <v>0</v>
      </c>
      <c r="AF742" s="26">
        <f>IF(B742="","",IF(AD742="No",0,ROUND(SUMIFS(Payments!$G$5:$G$1204,Payments!$I$5:$I$1204,C742,Payments!$H$5:$H$1204,"",Payments!$Q$5:$Q$1204,"Yes"),2)))</f>
        <v>0</v>
      </c>
      <c r="AG742" s="26">
        <f>IF(B742="","",ROUND(AE742+AF742,2))</f>
        <v>0</v>
      </c>
      <c r="AH742" s="26">
        <f>IF(B742="","",ROUND(AA742-AG742,2))</f>
        <v>0</v>
      </c>
      <c r="AI742" s="39">
        <f>IF(B742="","",IF(AA742&lt;=0,"No charge",IF(AH742&lt;=0.004,"Paid",IF(AG742&lt;=0.004,"Unpaid","Part paid"))))</f>
        <v>0</v>
      </c>
      <c r="AJ742" s="38">
        <f>IF(B742="","",IF(H742&lt;&gt;"Service","",IF(D742="","No",IF(COUNTIFS($D$5:$D$1204,D742,$B$5:$B$1204,B742,$H$5:$H$1204,"Retail")&gt;0,"Yes","No"))))</f>
        <v>0</v>
      </c>
      <c r="AK742" s="25">
        <f>IF(B742="","",COUNTIFS($Y$5:$Y$1204,"&gt;"&amp;Y742)+COUNTIFS($Y$5:Y742,Y742))</f>
        <v>0</v>
      </c>
      <c r="AL742" s="39">
        <f>IF(B742="","",IF(H742="","Add - what kind of sale is this?",IF(IF(V742&lt;=0,P742="",FALSE),"Check - no price found for this item",IF(F742="","Assign - nobody credited",IF(AH742&gt;0.004,"Unpaid - balance outstanding",IF(AC742&lt;0,"Loss - sold below cost",IF(X742&gt;W742*0.5,"Check - more than half off","OK")))))))</f>
        <v>0</v>
      </c>
    </row>
    <row r="743" spans="1:38">
      <c r="A743" s="28">
        <f>IF(B743="","",SalePrefix&amp;TEXT(ROW()-4,"0000"))</f>
        <v>0</v>
      </c>
      <c r="E743" s="15">
        <f>IF(D743="","",IFERROR(INDEX(Clients!$B$5:$B$504,MATCH(D743,Clients!$A$5:$A$504,0)),"Walk-in"))</f>
        <v>0</v>
      </c>
      <c r="G743" s="15">
        <f>IF(F743="","",IFERROR(INDEX(Staff!$B$5:$B$44,MATCH(F743,Staff!$A$5:$A$44,0)),"House"))</f>
        <v>0</v>
      </c>
      <c r="R743" s="15">
        <f>IF(B743="","",TEXT(B743,"yyyy-mm"))</f>
        <v>0</v>
      </c>
      <c r="S743" s="25">
        <f>IF(B743="","",WEEKNUM(B743,2))</f>
        <v>0</v>
      </c>
      <c r="T743" s="37">
        <f>IF(B743="","",IF(K743="",1,K743))</f>
        <v>0</v>
      </c>
      <c r="U743" s="15">
        <f>IF(B743="","",IF(J743&lt;&gt;"",J743,IF(H743="Retail",IFERROR(INDEX(Inventory!$B$5:$B$304,MATCH(I743,Inventory!$A$5:$A$304,0))&amp;"","Not in Inventory"),IFERROR(INDEX(Services!$B$5:$B$204,MATCH(I743,Services!$A$5:$A$204,0))&amp;"","Not in Services"))))</f>
        <v>0</v>
      </c>
      <c r="V743" s="26">
        <f>IF(B743="","",IF(L743&lt;&gt;"",L743,IF(H743="Retail",IFERROR(INDEX(Inventory!$I$5:$I$304,MATCH(I743,Inventory!$A$5:$A$304,0))*1,0),IFERROR(INDEX(Services!$G$5:$G$204,MATCH(I743,Services!$A$5:$A$204,0))*1,0))))</f>
        <v>0</v>
      </c>
      <c r="W743" s="26">
        <f>IF(B743="","",ROUND(T743*V743,2))</f>
        <v>0</v>
      </c>
      <c r="X743" s="26">
        <f>IF(B743="","",ROUND(IF(M743="",0,W743*M743)+IF(N743="",0,N743),2))</f>
        <v>0</v>
      </c>
      <c r="Y743" s="26">
        <f>IF(B743="","",ROUND(W743-X743-IF(P743="",0,P743),2))</f>
        <v>0</v>
      </c>
      <c r="Z743" s="26">
        <f>IF(B743="","",IF(H743="Retail",IF(TaxOnRetail="Yes",ROUND(Y743*TaxRate,2),0),IF(H743="Service",IF(TaxOnServices="Yes",ROUND(Y743*TaxRate,2),0),0)))</f>
        <v>0</v>
      </c>
      <c r="AA743" s="26">
        <f>IF(B743="","",ROUND(Y743+Z743,2))</f>
        <v>0</v>
      </c>
      <c r="AB743" s="26">
        <f>IF(B743="","",ROUND(T743*IF(H743="Retail",IFERROR(INDEX(Inventory!$H$5:$H$304,MATCH(I743,Inventory!$A$5:$A$304,0))*1,0),IFERROR(INDEX(Services!$Q$5:$Q$204,MATCH(I743,Services!$A$5:$A$204,0))*1,0)),2))</f>
        <v>0</v>
      </c>
      <c r="AC743" s="26">
        <f>IF(B743="","",ROUND(Y743-AB743,2))</f>
        <v>0</v>
      </c>
      <c r="AD743" s="38">
        <f>IF(B743="","",IF(C743="","No",IF(COUNTIFS($C$5:C743,C743)=1,"Yes","No")))</f>
        <v>0</v>
      </c>
      <c r="AE743" s="26">
        <f>IF(B743="","",ROUND(SUMIFS(Payments!$G$5:$G$1204,Payments!$H$5:$H$1204,A743,Payments!$Q$5:$Q$1204,"Yes"),2))</f>
        <v>0</v>
      </c>
      <c r="AF743" s="26">
        <f>IF(B743="","",IF(AD743="No",0,ROUND(SUMIFS(Payments!$G$5:$G$1204,Payments!$I$5:$I$1204,C743,Payments!$H$5:$H$1204,"",Payments!$Q$5:$Q$1204,"Yes"),2)))</f>
        <v>0</v>
      </c>
      <c r="AG743" s="26">
        <f>IF(B743="","",ROUND(AE743+AF743,2))</f>
        <v>0</v>
      </c>
      <c r="AH743" s="26">
        <f>IF(B743="","",ROUND(AA743-AG743,2))</f>
        <v>0</v>
      </c>
      <c r="AI743" s="39">
        <f>IF(B743="","",IF(AA743&lt;=0,"No charge",IF(AH743&lt;=0.004,"Paid",IF(AG743&lt;=0.004,"Unpaid","Part paid"))))</f>
        <v>0</v>
      </c>
      <c r="AJ743" s="38">
        <f>IF(B743="","",IF(H743&lt;&gt;"Service","",IF(D743="","No",IF(COUNTIFS($D$5:$D$1204,D743,$B$5:$B$1204,B743,$H$5:$H$1204,"Retail")&gt;0,"Yes","No"))))</f>
        <v>0</v>
      </c>
      <c r="AK743" s="25">
        <f>IF(B743="","",COUNTIFS($Y$5:$Y$1204,"&gt;"&amp;Y743)+COUNTIFS($Y$5:Y743,Y743))</f>
        <v>0</v>
      </c>
      <c r="AL743" s="39">
        <f>IF(B743="","",IF(H743="","Add - what kind of sale is this?",IF(IF(V743&lt;=0,P743="",FALSE),"Check - no price found for this item",IF(F743="","Assign - nobody credited",IF(AH743&gt;0.004,"Unpaid - balance outstanding",IF(AC743&lt;0,"Loss - sold below cost",IF(X743&gt;W743*0.5,"Check - more than half off","OK")))))))</f>
        <v>0</v>
      </c>
    </row>
    <row r="744" spans="1:38">
      <c r="A744" s="28">
        <f>IF(B744="","",SalePrefix&amp;TEXT(ROW()-4,"0000"))</f>
        <v>0</v>
      </c>
      <c r="E744" s="15">
        <f>IF(D744="","",IFERROR(INDEX(Clients!$B$5:$B$504,MATCH(D744,Clients!$A$5:$A$504,0)),"Walk-in"))</f>
        <v>0</v>
      </c>
      <c r="G744" s="15">
        <f>IF(F744="","",IFERROR(INDEX(Staff!$B$5:$B$44,MATCH(F744,Staff!$A$5:$A$44,0)),"House"))</f>
        <v>0</v>
      </c>
      <c r="R744" s="15">
        <f>IF(B744="","",TEXT(B744,"yyyy-mm"))</f>
        <v>0</v>
      </c>
      <c r="S744" s="25">
        <f>IF(B744="","",WEEKNUM(B744,2))</f>
        <v>0</v>
      </c>
      <c r="T744" s="37">
        <f>IF(B744="","",IF(K744="",1,K744))</f>
        <v>0</v>
      </c>
      <c r="U744" s="15">
        <f>IF(B744="","",IF(J744&lt;&gt;"",J744,IF(H744="Retail",IFERROR(INDEX(Inventory!$B$5:$B$304,MATCH(I744,Inventory!$A$5:$A$304,0))&amp;"","Not in Inventory"),IFERROR(INDEX(Services!$B$5:$B$204,MATCH(I744,Services!$A$5:$A$204,0))&amp;"","Not in Services"))))</f>
        <v>0</v>
      </c>
      <c r="V744" s="26">
        <f>IF(B744="","",IF(L744&lt;&gt;"",L744,IF(H744="Retail",IFERROR(INDEX(Inventory!$I$5:$I$304,MATCH(I744,Inventory!$A$5:$A$304,0))*1,0),IFERROR(INDEX(Services!$G$5:$G$204,MATCH(I744,Services!$A$5:$A$204,0))*1,0))))</f>
        <v>0</v>
      </c>
      <c r="W744" s="26">
        <f>IF(B744="","",ROUND(T744*V744,2))</f>
        <v>0</v>
      </c>
      <c r="X744" s="26">
        <f>IF(B744="","",ROUND(IF(M744="",0,W744*M744)+IF(N744="",0,N744),2))</f>
        <v>0</v>
      </c>
      <c r="Y744" s="26">
        <f>IF(B744="","",ROUND(W744-X744-IF(P744="",0,P744),2))</f>
        <v>0</v>
      </c>
      <c r="Z744" s="26">
        <f>IF(B744="","",IF(H744="Retail",IF(TaxOnRetail="Yes",ROUND(Y744*TaxRate,2),0),IF(H744="Service",IF(TaxOnServices="Yes",ROUND(Y744*TaxRate,2),0),0)))</f>
        <v>0</v>
      </c>
      <c r="AA744" s="26">
        <f>IF(B744="","",ROUND(Y744+Z744,2))</f>
        <v>0</v>
      </c>
      <c r="AB744" s="26">
        <f>IF(B744="","",ROUND(T744*IF(H744="Retail",IFERROR(INDEX(Inventory!$H$5:$H$304,MATCH(I744,Inventory!$A$5:$A$304,0))*1,0),IFERROR(INDEX(Services!$Q$5:$Q$204,MATCH(I744,Services!$A$5:$A$204,0))*1,0)),2))</f>
        <v>0</v>
      </c>
      <c r="AC744" s="26">
        <f>IF(B744="","",ROUND(Y744-AB744,2))</f>
        <v>0</v>
      </c>
      <c r="AD744" s="38">
        <f>IF(B744="","",IF(C744="","No",IF(COUNTIFS($C$5:C744,C744)=1,"Yes","No")))</f>
        <v>0</v>
      </c>
      <c r="AE744" s="26">
        <f>IF(B744="","",ROUND(SUMIFS(Payments!$G$5:$G$1204,Payments!$H$5:$H$1204,A744,Payments!$Q$5:$Q$1204,"Yes"),2))</f>
        <v>0</v>
      </c>
      <c r="AF744" s="26">
        <f>IF(B744="","",IF(AD744="No",0,ROUND(SUMIFS(Payments!$G$5:$G$1204,Payments!$I$5:$I$1204,C744,Payments!$H$5:$H$1204,"",Payments!$Q$5:$Q$1204,"Yes"),2)))</f>
        <v>0</v>
      </c>
      <c r="AG744" s="26">
        <f>IF(B744="","",ROUND(AE744+AF744,2))</f>
        <v>0</v>
      </c>
      <c r="AH744" s="26">
        <f>IF(B744="","",ROUND(AA744-AG744,2))</f>
        <v>0</v>
      </c>
      <c r="AI744" s="39">
        <f>IF(B744="","",IF(AA744&lt;=0,"No charge",IF(AH744&lt;=0.004,"Paid",IF(AG744&lt;=0.004,"Unpaid","Part paid"))))</f>
        <v>0</v>
      </c>
      <c r="AJ744" s="38">
        <f>IF(B744="","",IF(H744&lt;&gt;"Service","",IF(D744="","No",IF(COUNTIFS($D$5:$D$1204,D744,$B$5:$B$1204,B744,$H$5:$H$1204,"Retail")&gt;0,"Yes","No"))))</f>
        <v>0</v>
      </c>
      <c r="AK744" s="25">
        <f>IF(B744="","",COUNTIFS($Y$5:$Y$1204,"&gt;"&amp;Y744)+COUNTIFS($Y$5:Y744,Y744))</f>
        <v>0</v>
      </c>
      <c r="AL744" s="39">
        <f>IF(B744="","",IF(H744="","Add - what kind of sale is this?",IF(IF(V744&lt;=0,P744="",FALSE),"Check - no price found for this item",IF(F744="","Assign - nobody credited",IF(AH744&gt;0.004,"Unpaid - balance outstanding",IF(AC744&lt;0,"Loss - sold below cost",IF(X744&gt;W744*0.5,"Check - more than half off","OK")))))))</f>
        <v>0</v>
      </c>
    </row>
    <row r="745" spans="1:38">
      <c r="A745" s="28">
        <f>IF(B745="","",SalePrefix&amp;TEXT(ROW()-4,"0000"))</f>
        <v>0</v>
      </c>
      <c r="E745" s="15">
        <f>IF(D745="","",IFERROR(INDEX(Clients!$B$5:$B$504,MATCH(D745,Clients!$A$5:$A$504,0)),"Walk-in"))</f>
        <v>0</v>
      </c>
      <c r="G745" s="15">
        <f>IF(F745="","",IFERROR(INDEX(Staff!$B$5:$B$44,MATCH(F745,Staff!$A$5:$A$44,0)),"House"))</f>
        <v>0</v>
      </c>
      <c r="R745" s="15">
        <f>IF(B745="","",TEXT(B745,"yyyy-mm"))</f>
        <v>0</v>
      </c>
      <c r="S745" s="25">
        <f>IF(B745="","",WEEKNUM(B745,2))</f>
        <v>0</v>
      </c>
      <c r="T745" s="37">
        <f>IF(B745="","",IF(K745="",1,K745))</f>
        <v>0</v>
      </c>
      <c r="U745" s="15">
        <f>IF(B745="","",IF(J745&lt;&gt;"",J745,IF(H745="Retail",IFERROR(INDEX(Inventory!$B$5:$B$304,MATCH(I745,Inventory!$A$5:$A$304,0))&amp;"","Not in Inventory"),IFERROR(INDEX(Services!$B$5:$B$204,MATCH(I745,Services!$A$5:$A$204,0))&amp;"","Not in Services"))))</f>
        <v>0</v>
      </c>
      <c r="V745" s="26">
        <f>IF(B745="","",IF(L745&lt;&gt;"",L745,IF(H745="Retail",IFERROR(INDEX(Inventory!$I$5:$I$304,MATCH(I745,Inventory!$A$5:$A$304,0))*1,0),IFERROR(INDEX(Services!$G$5:$G$204,MATCH(I745,Services!$A$5:$A$204,0))*1,0))))</f>
        <v>0</v>
      </c>
      <c r="W745" s="26">
        <f>IF(B745="","",ROUND(T745*V745,2))</f>
        <v>0</v>
      </c>
      <c r="X745" s="26">
        <f>IF(B745="","",ROUND(IF(M745="",0,W745*M745)+IF(N745="",0,N745),2))</f>
        <v>0</v>
      </c>
      <c r="Y745" s="26">
        <f>IF(B745="","",ROUND(W745-X745-IF(P745="",0,P745),2))</f>
        <v>0</v>
      </c>
      <c r="Z745" s="26">
        <f>IF(B745="","",IF(H745="Retail",IF(TaxOnRetail="Yes",ROUND(Y745*TaxRate,2),0),IF(H745="Service",IF(TaxOnServices="Yes",ROUND(Y745*TaxRate,2),0),0)))</f>
        <v>0</v>
      </c>
      <c r="AA745" s="26">
        <f>IF(B745="","",ROUND(Y745+Z745,2))</f>
        <v>0</v>
      </c>
      <c r="AB745" s="26">
        <f>IF(B745="","",ROUND(T745*IF(H745="Retail",IFERROR(INDEX(Inventory!$H$5:$H$304,MATCH(I745,Inventory!$A$5:$A$304,0))*1,0),IFERROR(INDEX(Services!$Q$5:$Q$204,MATCH(I745,Services!$A$5:$A$204,0))*1,0)),2))</f>
        <v>0</v>
      </c>
      <c r="AC745" s="26">
        <f>IF(B745="","",ROUND(Y745-AB745,2))</f>
        <v>0</v>
      </c>
      <c r="AD745" s="38">
        <f>IF(B745="","",IF(C745="","No",IF(COUNTIFS($C$5:C745,C745)=1,"Yes","No")))</f>
        <v>0</v>
      </c>
      <c r="AE745" s="26">
        <f>IF(B745="","",ROUND(SUMIFS(Payments!$G$5:$G$1204,Payments!$H$5:$H$1204,A745,Payments!$Q$5:$Q$1204,"Yes"),2))</f>
        <v>0</v>
      </c>
      <c r="AF745" s="26">
        <f>IF(B745="","",IF(AD745="No",0,ROUND(SUMIFS(Payments!$G$5:$G$1204,Payments!$I$5:$I$1204,C745,Payments!$H$5:$H$1204,"",Payments!$Q$5:$Q$1204,"Yes"),2)))</f>
        <v>0</v>
      </c>
      <c r="AG745" s="26">
        <f>IF(B745="","",ROUND(AE745+AF745,2))</f>
        <v>0</v>
      </c>
      <c r="AH745" s="26">
        <f>IF(B745="","",ROUND(AA745-AG745,2))</f>
        <v>0</v>
      </c>
      <c r="AI745" s="39">
        <f>IF(B745="","",IF(AA745&lt;=0,"No charge",IF(AH745&lt;=0.004,"Paid",IF(AG745&lt;=0.004,"Unpaid","Part paid"))))</f>
        <v>0</v>
      </c>
      <c r="AJ745" s="38">
        <f>IF(B745="","",IF(H745&lt;&gt;"Service","",IF(D745="","No",IF(COUNTIFS($D$5:$D$1204,D745,$B$5:$B$1204,B745,$H$5:$H$1204,"Retail")&gt;0,"Yes","No"))))</f>
        <v>0</v>
      </c>
      <c r="AK745" s="25">
        <f>IF(B745="","",COUNTIFS($Y$5:$Y$1204,"&gt;"&amp;Y745)+COUNTIFS($Y$5:Y745,Y745))</f>
        <v>0</v>
      </c>
      <c r="AL745" s="39">
        <f>IF(B745="","",IF(H745="","Add - what kind of sale is this?",IF(IF(V745&lt;=0,P745="",FALSE),"Check - no price found for this item",IF(F745="","Assign - nobody credited",IF(AH745&gt;0.004,"Unpaid - balance outstanding",IF(AC745&lt;0,"Loss - sold below cost",IF(X745&gt;W745*0.5,"Check - more than half off","OK")))))))</f>
        <v>0</v>
      </c>
    </row>
    <row r="746" spans="1:38">
      <c r="A746" s="28">
        <f>IF(B746="","",SalePrefix&amp;TEXT(ROW()-4,"0000"))</f>
        <v>0</v>
      </c>
      <c r="E746" s="15">
        <f>IF(D746="","",IFERROR(INDEX(Clients!$B$5:$B$504,MATCH(D746,Clients!$A$5:$A$504,0)),"Walk-in"))</f>
        <v>0</v>
      </c>
      <c r="G746" s="15">
        <f>IF(F746="","",IFERROR(INDEX(Staff!$B$5:$B$44,MATCH(F746,Staff!$A$5:$A$44,0)),"House"))</f>
        <v>0</v>
      </c>
      <c r="R746" s="15">
        <f>IF(B746="","",TEXT(B746,"yyyy-mm"))</f>
        <v>0</v>
      </c>
      <c r="S746" s="25">
        <f>IF(B746="","",WEEKNUM(B746,2))</f>
        <v>0</v>
      </c>
      <c r="T746" s="37">
        <f>IF(B746="","",IF(K746="",1,K746))</f>
        <v>0</v>
      </c>
      <c r="U746" s="15">
        <f>IF(B746="","",IF(J746&lt;&gt;"",J746,IF(H746="Retail",IFERROR(INDEX(Inventory!$B$5:$B$304,MATCH(I746,Inventory!$A$5:$A$304,0))&amp;"","Not in Inventory"),IFERROR(INDEX(Services!$B$5:$B$204,MATCH(I746,Services!$A$5:$A$204,0))&amp;"","Not in Services"))))</f>
        <v>0</v>
      </c>
      <c r="V746" s="26">
        <f>IF(B746="","",IF(L746&lt;&gt;"",L746,IF(H746="Retail",IFERROR(INDEX(Inventory!$I$5:$I$304,MATCH(I746,Inventory!$A$5:$A$304,0))*1,0),IFERROR(INDEX(Services!$G$5:$G$204,MATCH(I746,Services!$A$5:$A$204,0))*1,0))))</f>
        <v>0</v>
      </c>
      <c r="W746" s="26">
        <f>IF(B746="","",ROUND(T746*V746,2))</f>
        <v>0</v>
      </c>
      <c r="X746" s="26">
        <f>IF(B746="","",ROUND(IF(M746="",0,W746*M746)+IF(N746="",0,N746),2))</f>
        <v>0</v>
      </c>
      <c r="Y746" s="26">
        <f>IF(B746="","",ROUND(W746-X746-IF(P746="",0,P746),2))</f>
        <v>0</v>
      </c>
      <c r="Z746" s="26">
        <f>IF(B746="","",IF(H746="Retail",IF(TaxOnRetail="Yes",ROUND(Y746*TaxRate,2),0),IF(H746="Service",IF(TaxOnServices="Yes",ROUND(Y746*TaxRate,2),0),0)))</f>
        <v>0</v>
      </c>
      <c r="AA746" s="26">
        <f>IF(B746="","",ROUND(Y746+Z746,2))</f>
        <v>0</v>
      </c>
      <c r="AB746" s="26">
        <f>IF(B746="","",ROUND(T746*IF(H746="Retail",IFERROR(INDEX(Inventory!$H$5:$H$304,MATCH(I746,Inventory!$A$5:$A$304,0))*1,0),IFERROR(INDEX(Services!$Q$5:$Q$204,MATCH(I746,Services!$A$5:$A$204,0))*1,0)),2))</f>
        <v>0</v>
      </c>
      <c r="AC746" s="26">
        <f>IF(B746="","",ROUND(Y746-AB746,2))</f>
        <v>0</v>
      </c>
      <c r="AD746" s="38">
        <f>IF(B746="","",IF(C746="","No",IF(COUNTIFS($C$5:C746,C746)=1,"Yes","No")))</f>
        <v>0</v>
      </c>
      <c r="AE746" s="26">
        <f>IF(B746="","",ROUND(SUMIFS(Payments!$G$5:$G$1204,Payments!$H$5:$H$1204,A746,Payments!$Q$5:$Q$1204,"Yes"),2))</f>
        <v>0</v>
      </c>
      <c r="AF746" s="26">
        <f>IF(B746="","",IF(AD746="No",0,ROUND(SUMIFS(Payments!$G$5:$G$1204,Payments!$I$5:$I$1204,C746,Payments!$H$5:$H$1204,"",Payments!$Q$5:$Q$1204,"Yes"),2)))</f>
        <v>0</v>
      </c>
      <c r="AG746" s="26">
        <f>IF(B746="","",ROUND(AE746+AF746,2))</f>
        <v>0</v>
      </c>
      <c r="AH746" s="26">
        <f>IF(B746="","",ROUND(AA746-AG746,2))</f>
        <v>0</v>
      </c>
      <c r="AI746" s="39">
        <f>IF(B746="","",IF(AA746&lt;=0,"No charge",IF(AH746&lt;=0.004,"Paid",IF(AG746&lt;=0.004,"Unpaid","Part paid"))))</f>
        <v>0</v>
      </c>
      <c r="AJ746" s="38">
        <f>IF(B746="","",IF(H746&lt;&gt;"Service","",IF(D746="","No",IF(COUNTIFS($D$5:$D$1204,D746,$B$5:$B$1204,B746,$H$5:$H$1204,"Retail")&gt;0,"Yes","No"))))</f>
        <v>0</v>
      </c>
      <c r="AK746" s="25">
        <f>IF(B746="","",COUNTIFS($Y$5:$Y$1204,"&gt;"&amp;Y746)+COUNTIFS($Y$5:Y746,Y746))</f>
        <v>0</v>
      </c>
      <c r="AL746" s="39">
        <f>IF(B746="","",IF(H746="","Add - what kind of sale is this?",IF(IF(V746&lt;=0,P746="",FALSE),"Check - no price found for this item",IF(F746="","Assign - nobody credited",IF(AH746&gt;0.004,"Unpaid - balance outstanding",IF(AC746&lt;0,"Loss - sold below cost",IF(X746&gt;W746*0.5,"Check - more than half off","OK")))))))</f>
        <v>0</v>
      </c>
    </row>
    <row r="747" spans="1:38">
      <c r="A747" s="28">
        <f>IF(B747="","",SalePrefix&amp;TEXT(ROW()-4,"0000"))</f>
        <v>0</v>
      </c>
      <c r="E747" s="15">
        <f>IF(D747="","",IFERROR(INDEX(Clients!$B$5:$B$504,MATCH(D747,Clients!$A$5:$A$504,0)),"Walk-in"))</f>
        <v>0</v>
      </c>
      <c r="G747" s="15">
        <f>IF(F747="","",IFERROR(INDEX(Staff!$B$5:$B$44,MATCH(F747,Staff!$A$5:$A$44,0)),"House"))</f>
        <v>0</v>
      </c>
      <c r="R747" s="15">
        <f>IF(B747="","",TEXT(B747,"yyyy-mm"))</f>
        <v>0</v>
      </c>
      <c r="S747" s="25">
        <f>IF(B747="","",WEEKNUM(B747,2))</f>
        <v>0</v>
      </c>
      <c r="T747" s="37">
        <f>IF(B747="","",IF(K747="",1,K747))</f>
        <v>0</v>
      </c>
      <c r="U747" s="15">
        <f>IF(B747="","",IF(J747&lt;&gt;"",J747,IF(H747="Retail",IFERROR(INDEX(Inventory!$B$5:$B$304,MATCH(I747,Inventory!$A$5:$A$304,0))&amp;"","Not in Inventory"),IFERROR(INDEX(Services!$B$5:$B$204,MATCH(I747,Services!$A$5:$A$204,0))&amp;"","Not in Services"))))</f>
        <v>0</v>
      </c>
      <c r="V747" s="26">
        <f>IF(B747="","",IF(L747&lt;&gt;"",L747,IF(H747="Retail",IFERROR(INDEX(Inventory!$I$5:$I$304,MATCH(I747,Inventory!$A$5:$A$304,0))*1,0),IFERROR(INDEX(Services!$G$5:$G$204,MATCH(I747,Services!$A$5:$A$204,0))*1,0))))</f>
        <v>0</v>
      </c>
      <c r="W747" s="26">
        <f>IF(B747="","",ROUND(T747*V747,2))</f>
        <v>0</v>
      </c>
      <c r="X747" s="26">
        <f>IF(B747="","",ROUND(IF(M747="",0,W747*M747)+IF(N747="",0,N747),2))</f>
        <v>0</v>
      </c>
      <c r="Y747" s="26">
        <f>IF(B747="","",ROUND(W747-X747-IF(P747="",0,P747),2))</f>
        <v>0</v>
      </c>
      <c r="Z747" s="26">
        <f>IF(B747="","",IF(H747="Retail",IF(TaxOnRetail="Yes",ROUND(Y747*TaxRate,2),0),IF(H747="Service",IF(TaxOnServices="Yes",ROUND(Y747*TaxRate,2),0),0)))</f>
        <v>0</v>
      </c>
      <c r="AA747" s="26">
        <f>IF(B747="","",ROUND(Y747+Z747,2))</f>
        <v>0</v>
      </c>
      <c r="AB747" s="26">
        <f>IF(B747="","",ROUND(T747*IF(H747="Retail",IFERROR(INDEX(Inventory!$H$5:$H$304,MATCH(I747,Inventory!$A$5:$A$304,0))*1,0),IFERROR(INDEX(Services!$Q$5:$Q$204,MATCH(I747,Services!$A$5:$A$204,0))*1,0)),2))</f>
        <v>0</v>
      </c>
      <c r="AC747" s="26">
        <f>IF(B747="","",ROUND(Y747-AB747,2))</f>
        <v>0</v>
      </c>
      <c r="AD747" s="38">
        <f>IF(B747="","",IF(C747="","No",IF(COUNTIFS($C$5:C747,C747)=1,"Yes","No")))</f>
        <v>0</v>
      </c>
      <c r="AE747" s="26">
        <f>IF(B747="","",ROUND(SUMIFS(Payments!$G$5:$G$1204,Payments!$H$5:$H$1204,A747,Payments!$Q$5:$Q$1204,"Yes"),2))</f>
        <v>0</v>
      </c>
      <c r="AF747" s="26">
        <f>IF(B747="","",IF(AD747="No",0,ROUND(SUMIFS(Payments!$G$5:$G$1204,Payments!$I$5:$I$1204,C747,Payments!$H$5:$H$1204,"",Payments!$Q$5:$Q$1204,"Yes"),2)))</f>
        <v>0</v>
      </c>
      <c r="AG747" s="26">
        <f>IF(B747="","",ROUND(AE747+AF747,2))</f>
        <v>0</v>
      </c>
      <c r="AH747" s="26">
        <f>IF(B747="","",ROUND(AA747-AG747,2))</f>
        <v>0</v>
      </c>
      <c r="AI747" s="39">
        <f>IF(B747="","",IF(AA747&lt;=0,"No charge",IF(AH747&lt;=0.004,"Paid",IF(AG747&lt;=0.004,"Unpaid","Part paid"))))</f>
        <v>0</v>
      </c>
      <c r="AJ747" s="38">
        <f>IF(B747="","",IF(H747&lt;&gt;"Service","",IF(D747="","No",IF(COUNTIFS($D$5:$D$1204,D747,$B$5:$B$1204,B747,$H$5:$H$1204,"Retail")&gt;0,"Yes","No"))))</f>
        <v>0</v>
      </c>
      <c r="AK747" s="25">
        <f>IF(B747="","",COUNTIFS($Y$5:$Y$1204,"&gt;"&amp;Y747)+COUNTIFS($Y$5:Y747,Y747))</f>
        <v>0</v>
      </c>
      <c r="AL747" s="39">
        <f>IF(B747="","",IF(H747="","Add - what kind of sale is this?",IF(IF(V747&lt;=0,P747="",FALSE),"Check - no price found for this item",IF(F747="","Assign - nobody credited",IF(AH747&gt;0.004,"Unpaid - balance outstanding",IF(AC747&lt;0,"Loss - sold below cost",IF(X747&gt;W747*0.5,"Check - more than half off","OK")))))))</f>
        <v>0</v>
      </c>
    </row>
    <row r="748" spans="1:38">
      <c r="A748" s="28">
        <f>IF(B748="","",SalePrefix&amp;TEXT(ROW()-4,"0000"))</f>
        <v>0</v>
      </c>
      <c r="E748" s="15">
        <f>IF(D748="","",IFERROR(INDEX(Clients!$B$5:$B$504,MATCH(D748,Clients!$A$5:$A$504,0)),"Walk-in"))</f>
        <v>0</v>
      </c>
      <c r="G748" s="15">
        <f>IF(F748="","",IFERROR(INDEX(Staff!$B$5:$B$44,MATCH(F748,Staff!$A$5:$A$44,0)),"House"))</f>
        <v>0</v>
      </c>
      <c r="R748" s="15">
        <f>IF(B748="","",TEXT(B748,"yyyy-mm"))</f>
        <v>0</v>
      </c>
      <c r="S748" s="25">
        <f>IF(B748="","",WEEKNUM(B748,2))</f>
        <v>0</v>
      </c>
      <c r="T748" s="37">
        <f>IF(B748="","",IF(K748="",1,K748))</f>
        <v>0</v>
      </c>
      <c r="U748" s="15">
        <f>IF(B748="","",IF(J748&lt;&gt;"",J748,IF(H748="Retail",IFERROR(INDEX(Inventory!$B$5:$B$304,MATCH(I748,Inventory!$A$5:$A$304,0))&amp;"","Not in Inventory"),IFERROR(INDEX(Services!$B$5:$B$204,MATCH(I748,Services!$A$5:$A$204,0))&amp;"","Not in Services"))))</f>
        <v>0</v>
      </c>
      <c r="V748" s="26">
        <f>IF(B748="","",IF(L748&lt;&gt;"",L748,IF(H748="Retail",IFERROR(INDEX(Inventory!$I$5:$I$304,MATCH(I748,Inventory!$A$5:$A$304,0))*1,0),IFERROR(INDEX(Services!$G$5:$G$204,MATCH(I748,Services!$A$5:$A$204,0))*1,0))))</f>
        <v>0</v>
      </c>
      <c r="W748" s="26">
        <f>IF(B748="","",ROUND(T748*V748,2))</f>
        <v>0</v>
      </c>
      <c r="X748" s="26">
        <f>IF(B748="","",ROUND(IF(M748="",0,W748*M748)+IF(N748="",0,N748),2))</f>
        <v>0</v>
      </c>
      <c r="Y748" s="26">
        <f>IF(B748="","",ROUND(W748-X748-IF(P748="",0,P748),2))</f>
        <v>0</v>
      </c>
      <c r="Z748" s="26">
        <f>IF(B748="","",IF(H748="Retail",IF(TaxOnRetail="Yes",ROUND(Y748*TaxRate,2),0),IF(H748="Service",IF(TaxOnServices="Yes",ROUND(Y748*TaxRate,2),0),0)))</f>
        <v>0</v>
      </c>
      <c r="AA748" s="26">
        <f>IF(B748="","",ROUND(Y748+Z748,2))</f>
        <v>0</v>
      </c>
      <c r="AB748" s="26">
        <f>IF(B748="","",ROUND(T748*IF(H748="Retail",IFERROR(INDEX(Inventory!$H$5:$H$304,MATCH(I748,Inventory!$A$5:$A$304,0))*1,0),IFERROR(INDEX(Services!$Q$5:$Q$204,MATCH(I748,Services!$A$5:$A$204,0))*1,0)),2))</f>
        <v>0</v>
      </c>
      <c r="AC748" s="26">
        <f>IF(B748="","",ROUND(Y748-AB748,2))</f>
        <v>0</v>
      </c>
      <c r="AD748" s="38">
        <f>IF(B748="","",IF(C748="","No",IF(COUNTIFS($C$5:C748,C748)=1,"Yes","No")))</f>
        <v>0</v>
      </c>
      <c r="AE748" s="26">
        <f>IF(B748="","",ROUND(SUMIFS(Payments!$G$5:$G$1204,Payments!$H$5:$H$1204,A748,Payments!$Q$5:$Q$1204,"Yes"),2))</f>
        <v>0</v>
      </c>
      <c r="AF748" s="26">
        <f>IF(B748="","",IF(AD748="No",0,ROUND(SUMIFS(Payments!$G$5:$G$1204,Payments!$I$5:$I$1204,C748,Payments!$H$5:$H$1204,"",Payments!$Q$5:$Q$1204,"Yes"),2)))</f>
        <v>0</v>
      </c>
      <c r="AG748" s="26">
        <f>IF(B748="","",ROUND(AE748+AF748,2))</f>
        <v>0</v>
      </c>
      <c r="AH748" s="26">
        <f>IF(B748="","",ROUND(AA748-AG748,2))</f>
        <v>0</v>
      </c>
      <c r="AI748" s="39">
        <f>IF(B748="","",IF(AA748&lt;=0,"No charge",IF(AH748&lt;=0.004,"Paid",IF(AG748&lt;=0.004,"Unpaid","Part paid"))))</f>
        <v>0</v>
      </c>
      <c r="AJ748" s="38">
        <f>IF(B748="","",IF(H748&lt;&gt;"Service","",IF(D748="","No",IF(COUNTIFS($D$5:$D$1204,D748,$B$5:$B$1204,B748,$H$5:$H$1204,"Retail")&gt;0,"Yes","No"))))</f>
        <v>0</v>
      </c>
      <c r="AK748" s="25">
        <f>IF(B748="","",COUNTIFS($Y$5:$Y$1204,"&gt;"&amp;Y748)+COUNTIFS($Y$5:Y748,Y748))</f>
        <v>0</v>
      </c>
      <c r="AL748" s="39">
        <f>IF(B748="","",IF(H748="","Add - what kind of sale is this?",IF(IF(V748&lt;=0,P748="",FALSE),"Check - no price found for this item",IF(F748="","Assign - nobody credited",IF(AH748&gt;0.004,"Unpaid - balance outstanding",IF(AC748&lt;0,"Loss - sold below cost",IF(X748&gt;W748*0.5,"Check - more than half off","OK")))))))</f>
        <v>0</v>
      </c>
    </row>
    <row r="749" spans="1:38">
      <c r="A749" s="28">
        <f>IF(B749="","",SalePrefix&amp;TEXT(ROW()-4,"0000"))</f>
        <v>0</v>
      </c>
      <c r="E749" s="15">
        <f>IF(D749="","",IFERROR(INDEX(Clients!$B$5:$B$504,MATCH(D749,Clients!$A$5:$A$504,0)),"Walk-in"))</f>
        <v>0</v>
      </c>
      <c r="G749" s="15">
        <f>IF(F749="","",IFERROR(INDEX(Staff!$B$5:$B$44,MATCH(F749,Staff!$A$5:$A$44,0)),"House"))</f>
        <v>0</v>
      </c>
      <c r="R749" s="15">
        <f>IF(B749="","",TEXT(B749,"yyyy-mm"))</f>
        <v>0</v>
      </c>
      <c r="S749" s="25">
        <f>IF(B749="","",WEEKNUM(B749,2))</f>
        <v>0</v>
      </c>
      <c r="T749" s="37">
        <f>IF(B749="","",IF(K749="",1,K749))</f>
        <v>0</v>
      </c>
      <c r="U749" s="15">
        <f>IF(B749="","",IF(J749&lt;&gt;"",J749,IF(H749="Retail",IFERROR(INDEX(Inventory!$B$5:$B$304,MATCH(I749,Inventory!$A$5:$A$304,0))&amp;"","Not in Inventory"),IFERROR(INDEX(Services!$B$5:$B$204,MATCH(I749,Services!$A$5:$A$204,0))&amp;"","Not in Services"))))</f>
        <v>0</v>
      </c>
      <c r="V749" s="26">
        <f>IF(B749="","",IF(L749&lt;&gt;"",L749,IF(H749="Retail",IFERROR(INDEX(Inventory!$I$5:$I$304,MATCH(I749,Inventory!$A$5:$A$304,0))*1,0),IFERROR(INDEX(Services!$G$5:$G$204,MATCH(I749,Services!$A$5:$A$204,0))*1,0))))</f>
        <v>0</v>
      </c>
      <c r="W749" s="26">
        <f>IF(B749="","",ROUND(T749*V749,2))</f>
        <v>0</v>
      </c>
      <c r="X749" s="26">
        <f>IF(B749="","",ROUND(IF(M749="",0,W749*M749)+IF(N749="",0,N749),2))</f>
        <v>0</v>
      </c>
      <c r="Y749" s="26">
        <f>IF(B749="","",ROUND(W749-X749-IF(P749="",0,P749),2))</f>
        <v>0</v>
      </c>
      <c r="Z749" s="26">
        <f>IF(B749="","",IF(H749="Retail",IF(TaxOnRetail="Yes",ROUND(Y749*TaxRate,2),0),IF(H749="Service",IF(TaxOnServices="Yes",ROUND(Y749*TaxRate,2),0),0)))</f>
        <v>0</v>
      </c>
      <c r="AA749" s="26">
        <f>IF(B749="","",ROUND(Y749+Z749,2))</f>
        <v>0</v>
      </c>
      <c r="AB749" s="26">
        <f>IF(B749="","",ROUND(T749*IF(H749="Retail",IFERROR(INDEX(Inventory!$H$5:$H$304,MATCH(I749,Inventory!$A$5:$A$304,0))*1,0),IFERROR(INDEX(Services!$Q$5:$Q$204,MATCH(I749,Services!$A$5:$A$204,0))*1,0)),2))</f>
        <v>0</v>
      </c>
      <c r="AC749" s="26">
        <f>IF(B749="","",ROUND(Y749-AB749,2))</f>
        <v>0</v>
      </c>
      <c r="AD749" s="38">
        <f>IF(B749="","",IF(C749="","No",IF(COUNTIFS($C$5:C749,C749)=1,"Yes","No")))</f>
        <v>0</v>
      </c>
      <c r="AE749" s="26">
        <f>IF(B749="","",ROUND(SUMIFS(Payments!$G$5:$G$1204,Payments!$H$5:$H$1204,A749,Payments!$Q$5:$Q$1204,"Yes"),2))</f>
        <v>0</v>
      </c>
      <c r="AF749" s="26">
        <f>IF(B749="","",IF(AD749="No",0,ROUND(SUMIFS(Payments!$G$5:$G$1204,Payments!$I$5:$I$1204,C749,Payments!$H$5:$H$1204,"",Payments!$Q$5:$Q$1204,"Yes"),2)))</f>
        <v>0</v>
      </c>
      <c r="AG749" s="26">
        <f>IF(B749="","",ROUND(AE749+AF749,2))</f>
        <v>0</v>
      </c>
      <c r="AH749" s="26">
        <f>IF(B749="","",ROUND(AA749-AG749,2))</f>
        <v>0</v>
      </c>
      <c r="AI749" s="39">
        <f>IF(B749="","",IF(AA749&lt;=0,"No charge",IF(AH749&lt;=0.004,"Paid",IF(AG749&lt;=0.004,"Unpaid","Part paid"))))</f>
        <v>0</v>
      </c>
      <c r="AJ749" s="38">
        <f>IF(B749="","",IF(H749&lt;&gt;"Service","",IF(D749="","No",IF(COUNTIFS($D$5:$D$1204,D749,$B$5:$B$1204,B749,$H$5:$H$1204,"Retail")&gt;0,"Yes","No"))))</f>
        <v>0</v>
      </c>
      <c r="AK749" s="25">
        <f>IF(B749="","",COUNTIFS($Y$5:$Y$1204,"&gt;"&amp;Y749)+COUNTIFS($Y$5:Y749,Y749))</f>
        <v>0</v>
      </c>
      <c r="AL749" s="39">
        <f>IF(B749="","",IF(H749="","Add - what kind of sale is this?",IF(IF(V749&lt;=0,P749="",FALSE),"Check - no price found for this item",IF(F749="","Assign - nobody credited",IF(AH749&gt;0.004,"Unpaid - balance outstanding",IF(AC749&lt;0,"Loss - sold below cost",IF(X749&gt;W749*0.5,"Check - more than half off","OK")))))))</f>
        <v>0</v>
      </c>
    </row>
    <row r="750" spans="1:38">
      <c r="A750" s="28">
        <f>IF(B750="","",SalePrefix&amp;TEXT(ROW()-4,"0000"))</f>
        <v>0</v>
      </c>
      <c r="E750" s="15">
        <f>IF(D750="","",IFERROR(INDEX(Clients!$B$5:$B$504,MATCH(D750,Clients!$A$5:$A$504,0)),"Walk-in"))</f>
        <v>0</v>
      </c>
      <c r="G750" s="15">
        <f>IF(F750="","",IFERROR(INDEX(Staff!$B$5:$B$44,MATCH(F750,Staff!$A$5:$A$44,0)),"House"))</f>
        <v>0</v>
      </c>
      <c r="R750" s="15">
        <f>IF(B750="","",TEXT(B750,"yyyy-mm"))</f>
        <v>0</v>
      </c>
      <c r="S750" s="25">
        <f>IF(B750="","",WEEKNUM(B750,2))</f>
        <v>0</v>
      </c>
      <c r="T750" s="37">
        <f>IF(B750="","",IF(K750="",1,K750))</f>
        <v>0</v>
      </c>
      <c r="U750" s="15">
        <f>IF(B750="","",IF(J750&lt;&gt;"",J750,IF(H750="Retail",IFERROR(INDEX(Inventory!$B$5:$B$304,MATCH(I750,Inventory!$A$5:$A$304,0))&amp;"","Not in Inventory"),IFERROR(INDEX(Services!$B$5:$B$204,MATCH(I750,Services!$A$5:$A$204,0))&amp;"","Not in Services"))))</f>
        <v>0</v>
      </c>
      <c r="V750" s="26">
        <f>IF(B750="","",IF(L750&lt;&gt;"",L750,IF(H750="Retail",IFERROR(INDEX(Inventory!$I$5:$I$304,MATCH(I750,Inventory!$A$5:$A$304,0))*1,0),IFERROR(INDEX(Services!$G$5:$G$204,MATCH(I750,Services!$A$5:$A$204,0))*1,0))))</f>
        <v>0</v>
      </c>
      <c r="W750" s="26">
        <f>IF(B750="","",ROUND(T750*V750,2))</f>
        <v>0</v>
      </c>
      <c r="X750" s="26">
        <f>IF(B750="","",ROUND(IF(M750="",0,W750*M750)+IF(N750="",0,N750),2))</f>
        <v>0</v>
      </c>
      <c r="Y750" s="26">
        <f>IF(B750="","",ROUND(W750-X750-IF(P750="",0,P750),2))</f>
        <v>0</v>
      </c>
      <c r="Z750" s="26">
        <f>IF(B750="","",IF(H750="Retail",IF(TaxOnRetail="Yes",ROUND(Y750*TaxRate,2),0),IF(H750="Service",IF(TaxOnServices="Yes",ROUND(Y750*TaxRate,2),0),0)))</f>
        <v>0</v>
      </c>
      <c r="AA750" s="26">
        <f>IF(B750="","",ROUND(Y750+Z750,2))</f>
        <v>0</v>
      </c>
      <c r="AB750" s="26">
        <f>IF(B750="","",ROUND(T750*IF(H750="Retail",IFERROR(INDEX(Inventory!$H$5:$H$304,MATCH(I750,Inventory!$A$5:$A$304,0))*1,0),IFERROR(INDEX(Services!$Q$5:$Q$204,MATCH(I750,Services!$A$5:$A$204,0))*1,0)),2))</f>
        <v>0</v>
      </c>
      <c r="AC750" s="26">
        <f>IF(B750="","",ROUND(Y750-AB750,2))</f>
        <v>0</v>
      </c>
      <c r="AD750" s="38">
        <f>IF(B750="","",IF(C750="","No",IF(COUNTIFS($C$5:C750,C750)=1,"Yes","No")))</f>
        <v>0</v>
      </c>
      <c r="AE750" s="26">
        <f>IF(B750="","",ROUND(SUMIFS(Payments!$G$5:$G$1204,Payments!$H$5:$H$1204,A750,Payments!$Q$5:$Q$1204,"Yes"),2))</f>
        <v>0</v>
      </c>
      <c r="AF750" s="26">
        <f>IF(B750="","",IF(AD750="No",0,ROUND(SUMIFS(Payments!$G$5:$G$1204,Payments!$I$5:$I$1204,C750,Payments!$H$5:$H$1204,"",Payments!$Q$5:$Q$1204,"Yes"),2)))</f>
        <v>0</v>
      </c>
      <c r="AG750" s="26">
        <f>IF(B750="","",ROUND(AE750+AF750,2))</f>
        <v>0</v>
      </c>
      <c r="AH750" s="26">
        <f>IF(B750="","",ROUND(AA750-AG750,2))</f>
        <v>0</v>
      </c>
      <c r="AI750" s="39">
        <f>IF(B750="","",IF(AA750&lt;=0,"No charge",IF(AH750&lt;=0.004,"Paid",IF(AG750&lt;=0.004,"Unpaid","Part paid"))))</f>
        <v>0</v>
      </c>
      <c r="AJ750" s="38">
        <f>IF(B750="","",IF(H750&lt;&gt;"Service","",IF(D750="","No",IF(COUNTIFS($D$5:$D$1204,D750,$B$5:$B$1204,B750,$H$5:$H$1204,"Retail")&gt;0,"Yes","No"))))</f>
        <v>0</v>
      </c>
      <c r="AK750" s="25">
        <f>IF(B750="","",COUNTIFS($Y$5:$Y$1204,"&gt;"&amp;Y750)+COUNTIFS($Y$5:Y750,Y750))</f>
        <v>0</v>
      </c>
      <c r="AL750" s="39">
        <f>IF(B750="","",IF(H750="","Add - what kind of sale is this?",IF(IF(V750&lt;=0,P750="",FALSE),"Check - no price found for this item",IF(F750="","Assign - nobody credited",IF(AH750&gt;0.004,"Unpaid - balance outstanding",IF(AC750&lt;0,"Loss - sold below cost",IF(X750&gt;W750*0.5,"Check - more than half off","OK")))))))</f>
        <v>0</v>
      </c>
    </row>
    <row r="751" spans="1:38">
      <c r="A751" s="28">
        <f>IF(B751="","",SalePrefix&amp;TEXT(ROW()-4,"0000"))</f>
        <v>0</v>
      </c>
      <c r="E751" s="15">
        <f>IF(D751="","",IFERROR(INDEX(Clients!$B$5:$B$504,MATCH(D751,Clients!$A$5:$A$504,0)),"Walk-in"))</f>
        <v>0</v>
      </c>
      <c r="G751" s="15">
        <f>IF(F751="","",IFERROR(INDEX(Staff!$B$5:$B$44,MATCH(F751,Staff!$A$5:$A$44,0)),"House"))</f>
        <v>0</v>
      </c>
      <c r="R751" s="15">
        <f>IF(B751="","",TEXT(B751,"yyyy-mm"))</f>
        <v>0</v>
      </c>
      <c r="S751" s="25">
        <f>IF(B751="","",WEEKNUM(B751,2))</f>
        <v>0</v>
      </c>
      <c r="T751" s="37">
        <f>IF(B751="","",IF(K751="",1,K751))</f>
        <v>0</v>
      </c>
      <c r="U751" s="15">
        <f>IF(B751="","",IF(J751&lt;&gt;"",J751,IF(H751="Retail",IFERROR(INDEX(Inventory!$B$5:$B$304,MATCH(I751,Inventory!$A$5:$A$304,0))&amp;"","Not in Inventory"),IFERROR(INDEX(Services!$B$5:$B$204,MATCH(I751,Services!$A$5:$A$204,0))&amp;"","Not in Services"))))</f>
        <v>0</v>
      </c>
      <c r="V751" s="26">
        <f>IF(B751="","",IF(L751&lt;&gt;"",L751,IF(H751="Retail",IFERROR(INDEX(Inventory!$I$5:$I$304,MATCH(I751,Inventory!$A$5:$A$304,0))*1,0),IFERROR(INDEX(Services!$G$5:$G$204,MATCH(I751,Services!$A$5:$A$204,0))*1,0))))</f>
        <v>0</v>
      </c>
      <c r="W751" s="26">
        <f>IF(B751="","",ROUND(T751*V751,2))</f>
        <v>0</v>
      </c>
      <c r="X751" s="26">
        <f>IF(B751="","",ROUND(IF(M751="",0,W751*M751)+IF(N751="",0,N751),2))</f>
        <v>0</v>
      </c>
      <c r="Y751" s="26">
        <f>IF(B751="","",ROUND(W751-X751-IF(P751="",0,P751),2))</f>
        <v>0</v>
      </c>
      <c r="Z751" s="26">
        <f>IF(B751="","",IF(H751="Retail",IF(TaxOnRetail="Yes",ROUND(Y751*TaxRate,2),0),IF(H751="Service",IF(TaxOnServices="Yes",ROUND(Y751*TaxRate,2),0),0)))</f>
        <v>0</v>
      </c>
      <c r="AA751" s="26">
        <f>IF(B751="","",ROUND(Y751+Z751,2))</f>
        <v>0</v>
      </c>
      <c r="AB751" s="26">
        <f>IF(B751="","",ROUND(T751*IF(H751="Retail",IFERROR(INDEX(Inventory!$H$5:$H$304,MATCH(I751,Inventory!$A$5:$A$304,0))*1,0),IFERROR(INDEX(Services!$Q$5:$Q$204,MATCH(I751,Services!$A$5:$A$204,0))*1,0)),2))</f>
        <v>0</v>
      </c>
      <c r="AC751" s="26">
        <f>IF(B751="","",ROUND(Y751-AB751,2))</f>
        <v>0</v>
      </c>
      <c r="AD751" s="38">
        <f>IF(B751="","",IF(C751="","No",IF(COUNTIFS($C$5:C751,C751)=1,"Yes","No")))</f>
        <v>0</v>
      </c>
      <c r="AE751" s="26">
        <f>IF(B751="","",ROUND(SUMIFS(Payments!$G$5:$G$1204,Payments!$H$5:$H$1204,A751,Payments!$Q$5:$Q$1204,"Yes"),2))</f>
        <v>0</v>
      </c>
      <c r="AF751" s="26">
        <f>IF(B751="","",IF(AD751="No",0,ROUND(SUMIFS(Payments!$G$5:$G$1204,Payments!$I$5:$I$1204,C751,Payments!$H$5:$H$1204,"",Payments!$Q$5:$Q$1204,"Yes"),2)))</f>
        <v>0</v>
      </c>
      <c r="AG751" s="26">
        <f>IF(B751="","",ROUND(AE751+AF751,2))</f>
        <v>0</v>
      </c>
      <c r="AH751" s="26">
        <f>IF(B751="","",ROUND(AA751-AG751,2))</f>
        <v>0</v>
      </c>
      <c r="AI751" s="39">
        <f>IF(B751="","",IF(AA751&lt;=0,"No charge",IF(AH751&lt;=0.004,"Paid",IF(AG751&lt;=0.004,"Unpaid","Part paid"))))</f>
        <v>0</v>
      </c>
      <c r="AJ751" s="38">
        <f>IF(B751="","",IF(H751&lt;&gt;"Service","",IF(D751="","No",IF(COUNTIFS($D$5:$D$1204,D751,$B$5:$B$1204,B751,$H$5:$H$1204,"Retail")&gt;0,"Yes","No"))))</f>
        <v>0</v>
      </c>
      <c r="AK751" s="25">
        <f>IF(B751="","",COUNTIFS($Y$5:$Y$1204,"&gt;"&amp;Y751)+COUNTIFS($Y$5:Y751,Y751))</f>
        <v>0</v>
      </c>
      <c r="AL751" s="39">
        <f>IF(B751="","",IF(H751="","Add - what kind of sale is this?",IF(IF(V751&lt;=0,P751="",FALSE),"Check - no price found for this item",IF(F751="","Assign - nobody credited",IF(AH751&gt;0.004,"Unpaid - balance outstanding",IF(AC751&lt;0,"Loss - sold below cost",IF(X751&gt;W751*0.5,"Check - more than half off","OK")))))))</f>
        <v>0</v>
      </c>
    </row>
    <row r="752" spans="1:38">
      <c r="A752" s="28">
        <f>IF(B752="","",SalePrefix&amp;TEXT(ROW()-4,"0000"))</f>
        <v>0</v>
      </c>
      <c r="E752" s="15">
        <f>IF(D752="","",IFERROR(INDEX(Clients!$B$5:$B$504,MATCH(D752,Clients!$A$5:$A$504,0)),"Walk-in"))</f>
        <v>0</v>
      </c>
      <c r="G752" s="15">
        <f>IF(F752="","",IFERROR(INDEX(Staff!$B$5:$B$44,MATCH(F752,Staff!$A$5:$A$44,0)),"House"))</f>
        <v>0</v>
      </c>
      <c r="R752" s="15">
        <f>IF(B752="","",TEXT(B752,"yyyy-mm"))</f>
        <v>0</v>
      </c>
      <c r="S752" s="25">
        <f>IF(B752="","",WEEKNUM(B752,2))</f>
        <v>0</v>
      </c>
      <c r="T752" s="37">
        <f>IF(B752="","",IF(K752="",1,K752))</f>
        <v>0</v>
      </c>
      <c r="U752" s="15">
        <f>IF(B752="","",IF(J752&lt;&gt;"",J752,IF(H752="Retail",IFERROR(INDEX(Inventory!$B$5:$B$304,MATCH(I752,Inventory!$A$5:$A$304,0))&amp;"","Not in Inventory"),IFERROR(INDEX(Services!$B$5:$B$204,MATCH(I752,Services!$A$5:$A$204,0))&amp;"","Not in Services"))))</f>
        <v>0</v>
      </c>
      <c r="V752" s="26">
        <f>IF(B752="","",IF(L752&lt;&gt;"",L752,IF(H752="Retail",IFERROR(INDEX(Inventory!$I$5:$I$304,MATCH(I752,Inventory!$A$5:$A$304,0))*1,0),IFERROR(INDEX(Services!$G$5:$G$204,MATCH(I752,Services!$A$5:$A$204,0))*1,0))))</f>
        <v>0</v>
      </c>
      <c r="W752" s="26">
        <f>IF(B752="","",ROUND(T752*V752,2))</f>
        <v>0</v>
      </c>
      <c r="X752" s="26">
        <f>IF(B752="","",ROUND(IF(M752="",0,W752*M752)+IF(N752="",0,N752),2))</f>
        <v>0</v>
      </c>
      <c r="Y752" s="26">
        <f>IF(B752="","",ROUND(W752-X752-IF(P752="",0,P752),2))</f>
        <v>0</v>
      </c>
      <c r="Z752" s="26">
        <f>IF(B752="","",IF(H752="Retail",IF(TaxOnRetail="Yes",ROUND(Y752*TaxRate,2),0),IF(H752="Service",IF(TaxOnServices="Yes",ROUND(Y752*TaxRate,2),0),0)))</f>
        <v>0</v>
      </c>
      <c r="AA752" s="26">
        <f>IF(B752="","",ROUND(Y752+Z752,2))</f>
        <v>0</v>
      </c>
      <c r="AB752" s="26">
        <f>IF(B752="","",ROUND(T752*IF(H752="Retail",IFERROR(INDEX(Inventory!$H$5:$H$304,MATCH(I752,Inventory!$A$5:$A$304,0))*1,0),IFERROR(INDEX(Services!$Q$5:$Q$204,MATCH(I752,Services!$A$5:$A$204,0))*1,0)),2))</f>
        <v>0</v>
      </c>
      <c r="AC752" s="26">
        <f>IF(B752="","",ROUND(Y752-AB752,2))</f>
        <v>0</v>
      </c>
      <c r="AD752" s="38">
        <f>IF(B752="","",IF(C752="","No",IF(COUNTIFS($C$5:C752,C752)=1,"Yes","No")))</f>
        <v>0</v>
      </c>
      <c r="AE752" s="26">
        <f>IF(B752="","",ROUND(SUMIFS(Payments!$G$5:$G$1204,Payments!$H$5:$H$1204,A752,Payments!$Q$5:$Q$1204,"Yes"),2))</f>
        <v>0</v>
      </c>
      <c r="AF752" s="26">
        <f>IF(B752="","",IF(AD752="No",0,ROUND(SUMIFS(Payments!$G$5:$G$1204,Payments!$I$5:$I$1204,C752,Payments!$H$5:$H$1204,"",Payments!$Q$5:$Q$1204,"Yes"),2)))</f>
        <v>0</v>
      </c>
      <c r="AG752" s="26">
        <f>IF(B752="","",ROUND(AE752+AF752,2))</f>
        <v>0</v>
      </c>
      <c r="AH752" s="26">
        <f>IF(B752="","",ROUND(AA752-AG752,2))</f>
        <v>0</v>
      </c>
      <c r="AI752" s="39">
        <f>IF(B752="","",IF(AA752&lt;=0,"No charge",IF(AH752&lt;=0.004,"Paid",IF(AG752&lt;=0.004,"Unpaid","Part paid"))))</f>
        <v>0</v>
      </c>
      <c r="AJ752" s="38">
        <f>IF(B752="","",IF(H752&lt;&gt;"Service","",IF(D752="","No",IF(COUNTIFS($D$5:$D$1204,D752,$B$5:$B$1204,B752,$H$5:$H$1204,"Retail")&gt;0,"Yes","No"))))</f>
        <v>0</v>
      </c>
      <c r="AK752" s="25">
        <f>IF(B752="","",COUNTIFS($Y$5:$Y$1204,"&gt;"&amp;Y752)+COUNTIFS($Y$5:Y752,Y752))</f>
        <v>0</v>
      </c>
      <c r="AL752" s="39">
        <f>IF(B752="","",IF(H752="","Add - what kind of sale is this?",IF(IF(V752&lt;=0,P752="",FALSE),"Check - no price found for this item",IF(F752="","Assign - nobody credited",IF(AH752&gt;0.004,"Unpaid - balance outstanding",IF(AC752&lt;0,"Loss - sold below cost",IF(X752&gt;W752*0.5,"Check - more than half off","OK")))))))</f>
        <v>0</v>
      </c>
    </row>
    <row r="753" spans="1:38">
      <c r="A753" s="28">
        <f>IF(B753="","",SalePrefix&amp;TEXT(ROW()-4,"0000"))</f>
        <v>0</v>
      </c>
      <c r="E753" s="15">
        <f>IF(D753="","",IFERROR(INDEX(Clients!$B$5:$B$504,MATCH(D753,Clients!$A$5:$A$504,0)),"Walk-in"))</f>
        <v>0</v>
      </c>
      <c r="G753" s="15">
        <f>IF(F753="","",IFERROR(INDEX(Staff!$B$5:$B$44,MATCH(F753,Staff!$A$5:$A$44,0)),"House"))</f>
        <v>0</v>
      </c>
      <c r="R753" s="15">
        <f>IF(B753="","",TEXT(B753,"yyyy-mm"))</f>
        <v>0</v>
      </c>
      <c r="S753" s="25">
        <f>IF(B753="","",WEEKNUM(B753,2))</f>
        <v>0</v>
      </c>
      <c r="T753" s="37">
        <f>IF(B753="","",IF(K753="",1,K753))</f>
        <v>0</v>
      </c>
      <c r="U753" s="15">
        <f>IF(B753="","",IF(J753&lt;&gt;"",J753,IF(H753="Retail",IFERROR(INDEX(Inventory!$B$5:$B$304,MATCH(I753,Inventory!$A$5:$A$304,0))&amp;"","Not in Inventory"),IFERROR(INDEX(Services!$B$5:$B$204,MATCH(I753,Services!$A$5:$A$204,0))&amp;"","Not in Services"))))</f>
        <v>0</v>
      </c>
      <c r="V753" s="26">
        <f>IF(B753="","",IF(L753&lt;&gt;"",L753,IF(H753="Retail",IFERROR(INDEX(Inventory!$I$5:$I$304,MATCH(I753,Inventory!$A$5:$A$304,0))*1,0),IFERROR(INDEX(Services!$G$5:$G$204,MATCH(I753,Services!$A$5:$A$204,0))*1,0))))</f>
        <v>0</v>
      </c>
      <c r="W753" s="26">
        <f>IF(B753="","",ROUND(T753*V753,2))</f>
        <v>0</v>
      </c>
      <c r="X753" s="26">
        <f>IF(B753="","",ROUND(IF(M753="",0,W753*M753)+IF(N753="",0,N753),2))</f>
        <v>0</v>
      </c>
      <c r="Y753" s="26">
        <f>IF(B753="","",ROUND(W753-X753-IF(P753="",0,P753),2))</f>
        <v>0</v>
      </c>
      <c r="Z753" s="26">
        <f>IF(B753="","",IF(H753="Retail",IF(TaxOnRetail="Yes",ROUND(Y753*TaxRate,2),0),IF(H753="Service",IF(TaxOnServices="Yes",ROUND(Y753*TaxRate,2),0),0)))</f>
        <v>0</v>
      </c>
      <c r="AA753" s="26">
        <f>IF(B753="","",ROUND(Y753+Z753,2))</f>
        <v>0</v>
      </c>
      <c r="AB753" s="26">
        <f>IF(B753="","",ROUND(T753*IF(H753="Retail",IFERROR(INDEX(Inventory!$H$5:$H$304,MATCH(I753,Inventory!$A$5:$A$304,0))*1,0),IFERROR(INDEX(Services!$Q$5:$Q$204,MATCH(I753,Services!$A$5:$A$204,0))*1,0)),2))</f>
        <v>0</v>
      </c>
      <c r="AC753" s="26">
        <f>IF(B753="","",ROUND(Y753-AB753,2))</f>
        <v>0</v>
      </c>
      <c r="AD753" s="38">
        <f>IF(B753="","",IF(C753="","No",IF(COUNTIFS($C$5:C753,C753)=1,"Yes","No")))</f>
        <v>0</v>
      </c>
      <c r="AE753" s="26">
        <f>IF(B753="","",ROUND(SUMIFS(Payments!$G$5:$G$1204,Payments!$H$5:$H$1204,A753,Payments!$Q$5:$Q$1204,"Yes"),2))</f>
        <v>0</v>
      </c>
      <c r="AF753" s="26">
        <f>IF(B753="","",IF(AD753="No",0,ROUND(SUMIFS(Payments!$G$5:$G$1204,Payments!$I$5:$I$1204,C753,Payments!$H$5:$H$1204,"",Payments!$Q$5:$Q$1204,"Yes"),2)))</f>
        <v>0</v>
      </c>
      <c r="AG753" s="26">
        <f>IF(B753="","",ROUND(AE753+AF753,2))</f>
        <v>0</v>
      </c>
      <c r="AH753" s="26">
        <f>IF(B753="","",ROUND(AA753-AG753,2))</f>
        <v>0</v>
      </c>
      <c r="AI753" s="39">
        <f>IF(B753="","",IF(AA753&lt;=0,"No charge",IF(AH753&lt;=0.004,"Paid",IF(AG753&lt;=0.004,"Unpaid","Part paid"))))</f>
        <v>0</v>
      </c>
      <c r="AJ753" s="38">
        <f>IF(B753="","",IF(H753&lt;&gt;"Service","",IF(D753="","No",IF(COUNTIFS($D$5:$D$1204,D753,$B$5:$B$1204,B753,$H$5:$H$1204,"Retail")&gt;0,"Yes","No"))))</f>
        <v>0</v>
      </c>
      <c r="AK753" s="25">
        <f>IF(B753="","",COUNTIFS($Y$5:$Y$1204,"&gt;"&amp;Y753)+COUNTIFS($Y$5:Y753,Y753))</f>
        <v>0</v>
      </c>
      <c r="AL753" s="39">
        <f>IF(B753="","",IF(H753="","Add - what kind of sale is this?",IF(IF(V753&lt;=0,P753="",FALSE),"Check - no price found for this item",IF(F753="","Assign - nobody credited",IF(AH753&gt;0.004,"Unpaid - balance outstanding",IF(AC753&lt;0,"Loss - sold below cost",IF(X753&gt;W753*0.5,"Check - more than half off","OK")))))))</f>
        <v>0</v>
      </c>
    </row>
    <row r="754" spans="1:38">
      <c r="A754" s="28">
        <f>IF(B754="","",SalePrefix&amp;TEXT(ROW()-4,"0000"))</f>
        <v>0</v>
      </c>
      <c r="E754" s="15">
        <f>IF(D754="","",IFERROR(INDEX(Clients!$B$5:$B$504,MATCH(D754,Clients!$A$5:$A$504,0)),"Walk-in"))</f>
        <v>0</v>
      </c>
      <c r="G754" s="15">
        <f>IF(F754="","",IFERROR(INDEX(Staff!$B$5:$B$44,MATCH(F754,Staff!$A$5:$A$44,0)),"House"))</f>
        <v>0</v>
      </c>
      <c r="R754" s="15">
        <f>IF(B754="","",TEXT(B754,"yyyy-mm"))</f>
        <v>0</v>
      </c>
      <c r="S754" s="25">
        <f>IF(B754="","",WEEKNUM(B754,2))</f>
        <v>0</v>
      </c>
      <c r="T754" s="37">
        <f>IF(B754="","",IF(K754="",1,K754))</f>
        <v>0</v>
      </c>
      <c r="U754" s="15">
        <f>IF(B754="","",IF(J754&lt;&gt;"",J754,IF(H754="Retail",IFERROR(INDEX(Inventory!$B$5:$B$304,MATCH(I754,Inventory!$A$5:$A$304,0))&amp;"","Not in Inventory"),IFERROR(INDEX(Services!$B$5:$B$204,MATCH(I754,Services!$A$5:$A$204,0))&amp;"","Not in Services"))))</f>
        <v>0</v>
      </c>
      <c r="V754" s="26">
        <f>IF(B754="","",IF(L754&lt;&gt;"",L754,IF(H754="Retail",IFERROR(INDEX(Inventory!$I$5:$I$304,MATCH(I754,Inventory!$A$5:$A$304,0))*1,0),IFERROR(INDEX(Services!$G$5:$G$204,MATCH(I754,Services!$A$5:$A$204,0))*1,0))))</f>
        <v>0</v>
      </c>
      <c r="W754" s="26">
        <f>IF(B754="","",ROUND(T754*V754,2))</f>
        <v>0</v>
      </c>
      <c r="X754" s="26">
        <f>IF(B754="","",ROUND(IF(M754="",0,W754*M754)+IF(N754="",0,N754),2))</f>
        <v>0</v>
      </c>
      <c r="Y754" s="26">
        <f>IF(B754="","",ROUND(W754-X754-IF(P754="",0,P754),2))</f>
        <v>0</v>
      </c>
      <c r="Z754" s="26">
        <f>IF(B754="","",IF(H754="Retail",IF(TaxOnRetail="Yes",ROUND(Y754*TaxRate,2),0),IF(H754="Service",IF(TaxOnServices="Yes",ROUND(Y754*TaxRate,2),0),0)))</f>
        <v>0</v>
      </c>
      <c r="AA754" s="26">
        <f>IF(B754="","",ROUND(Y754+Z754,2))</f>
        <v>0</v>
      </c>
      <c r="AB754" s="26">
        <f>IF(B754="","",ROUND(T754*IF(H754="Retail",IFERROR(INDEX(Inventory!$H$5:$H$304,MATCH(I754,Inventory!$A$5:$A$304,0))*1,0),IFERROR(INDEX(Services!$Q$5:$Q$204,MATCH(I754,Services!$A$5:$A$204,0))*1,0)),2))</f>
        <v>0</v>
      </c>
      <c r="AC754" s="26">
        <f>IF(B754="","",ROUND(Y754-AB754,2))</f>
        <v>0</v>
      </c>
      <c r="AD754" s="38">
        <f>IF(B754="","",IF(C754="","No",IF(COUNTIFS($C$5:C754,C754)=1,"Yes","No")))</f>
        <v>0</v>
      </c>
      <c r="AE754" s="26">
        <f>IF(B754="","",ROUND(SUMIFS(Payments!$G$5:$G$1204,Payments!$H$5:$H$1204,A754,Payments!$Q$5:$Q$1204,"Yes"),2))</f>
        <v>0</v>
      </c>
      <c r="AF754" s="26">
        <f>IF(B754="","",IF(AD754="No",0,ROUND(SUMIFS(Payments!$G$5:$G$1204,Payments!$I$5:$I$1204,C754,Payments!$H$5:$H$1204,"",Payments!$Q$5:$Q$1204,"Yes"),2)))</f>
        <v>0</v>
      </c>
      <c r="AG754" s="26">
        <f>IF(B754="","",ROUND(AE754+AF754,2))</f>
        <v>0</v>
      </c>
      <c r="AH754" s="26">
        <f>IF(B754="","",ROUND(AA754-AG754,2))</f>
        <v>0</v>
      </c>
      <c r="AI754" s="39">
        <f>IF(B754="","",IF(AA754&lt;=0,"No charge",IF(AH754&lt;=0.004,"Paid",IF(AG754&lt;=0.004,"Unpaid","Part paid"))))</f>
        <v>0</v>
      </c>
      <c r="AJ754" s="38">
        <f>IF(B754="","",IF(H754&lt;&gt;"Service","",IF(D754="","No",IF(COUNTIFS($D$5:$D$1204,D754,$B$5:$B$1204,B754,$H$5:$H$1204,"Retail")&gt;0,"Yes","No"))))</f>
        <v>0</v>
      </c>
      <c r="AK754" s="25">
        <f>IF(B754="","",COUNTIFS($Y$5:$Y$1204,"&gt;"&amp;Y754)+COUNTIFS($Y$5:Y754,Y754))</f>
        <v>0</v>
      </c>
      <c r="AL754" s="39">
        <f>IF(B754="","",IF(H754="","Add - what kind of sale is this?",IF(IF(V754&lt;=0,P754="",FALSE),"Check - no price found for this item",IF(F754="","Assign - nobody credited",IF(AH754&gt;0.004,"Unpaid - balance outstanding",IF(AC754&lt;0,"Loss - sold below cost",IF(X754&gt;W754*0.5,"Check - more than half off","OK")))))))</f>
        <v>0</v>
      </c>
    </row>
    <row r="755" spans="1:38">
      <c r="A755" s="28">
        <f>IF(B755="","",SalePrefix&amp;TEXT(ROW()-4,"0000"))</f>
        <v>0</v>
      </c>
      <c r="E755" s="15">
        <f>IF(D755="","",IFERROR(INDEX(Clients!$B$5:$B$504,MATCH(D755,Clients!$A$5:$A$504,0)),"Walk-in"))</f>
        <v>0</v>
      </c>
      <c r="G755" s="15">
        <f>IF(F755="","",IFERROR(INDEX(Staff!$B$5:$B$44,MATCH(F755,Staff!$A$5:$A$44,0)),"House"))</f>
        <v>0</v>
      </c>
      <c r="R755" s="15">
        <f>IF(B755="","",TEXT(B755,"yyyy-mm"))</f>
        <v>0</v>
      </c>
      <c r="S755" s="25">
        <f>IF(B755="","",WEEKNUM(B755,2))</f>
        <v>0</v>
      </c>
      <c r="T755" s="37">
        <f>IF(B755="","",IF(K755="",1,K755))</f>
        <v>0</v>
      </c>
      <c r="U755" s="15">
        <f>IF(B755="","",IF(J755&lt;&gt;"",J755,IF(H755="Retail",IFERROR(INDEX(Inventory!$B$5:$B$304,MATCH(I755,Inventory!$A$5:$A$304,0))&amp;"","Not in Inventory"),IFERROR(INDEX(Services!$B$5:$B$204,MATCH(I755,Services!$A$5:$A$204,0))&amp;"","Not in Services"))))</f>
        <v>0</v>
      </c>
      <c r="V755" s="26">
        <f>IF(B755="","",IF(L755&lt;&gt;"",L755,IF(H755="Retail",IFERROR(INDEX(Inventory!$I$5:$I$304,MATCH(I755,Inventory!$A$5:$A$304,0))*1,0),IFERROR(INDEX(Services!$G$5:$G$204,MATCH(I755,Services!$A$5:$A$204,0))*1,0))))</f>
        <v>0</v>
      </c>
      <c r="W755" s="26">
        <f>IF(B755="","",ROUND(T755*V755,2))</f>
        <v>0</v>
      </c>
      <c r="X755" s="26">
        <f>IF(B755="","",ROUND(IF(M755="",0,W755*M755)+IF(N755="",0,N755),2))</f>
        <v>0</v>
      </c>
      <c r="Y755" s="26">
        <f>IF(B755="","",ROUND(W755-X755-IF(P755="",0,P755),2))</f>
        <v>0</v>
      </c>
      <c r="Z755" s="26">
        <f>IF(B755="","",IF(H755="Retail",IF(TaxOnRetail="Yes",ROUND(Y755*TaxRate,2),0),IF(H755="Service",IF(TaxOnServices="Yes",ROUND(Y755*TaxRate,2),0),0)))</f>
        <v>0</v>
      </c>
      <c r="AA755" s="26">
        <f>IF(B755="","",ROUND(Y755+Z755,2))</f>
        <v>0</v>
      </c>
      <c r="AB755" s="26">
        <f>IF(B755="","",ROUND(T755*IF(H755="Retail",IFERROR(INDEX(Inventory!$H$5:$H$304,MATCH(I755,Inventory!$A$5:$A$304,0))*1,0),IFERROR(INDEX(Services!$Q$5:$Q$204,MATCH(I755,Services!$A$5:$A$204,0))*1,0)),2))</f>
        <v>0</v>
      </c>
      <c r="AC755" s="26">
        <f>IF(B755="","",ROUND(Y755-AB755,2))</f>
        <v>0</v>
      </c>
      <c r="AD755" s="38">
        <f>IF(B755="","",IF(C755="","No",IF(COUNTIFS($C$5:C755,C755)=1,"Yes","No")))</f>
        <v>0</v>
      </c>
      <c r="AE755" s="26">
        <f>IF(B755="","",ROUND(SUMIFS(Payments!$G$5:$G$1204,Payments!$H$5:$H$1204,A755,Payments!$Q$5:$Q$1204,"Yes"),2))</f>
        <v>0</v>
      </c>
      <c r="AF755" s="26">
        <f>IF(B755="","",IF(AD755="No",0,ROUND(SUMIFS(Payments!$G$5:$G$1204,Payments!$I$5:$I$1204,C755,Payments!$H$5:$H$1204,"",Payments!$Q$5:$Q$1204,"Yes"),2)))</f>
        <v>0</v>
      </c>
      <c r="AG755" s="26">
        <f>IF(B755="","",ROUND(AE755+AF755,2))</f>
        <v>0</v>
      </c>
      <c r="AH755" s="26">
        <f>IF(B755="","",ROUND(AA755-AG755,2))</f>
        <v>0</v>
      </c>
      <c r="AI755" s="39">
        <f>IF(B755="","",IF(AA755&lt;=0,"No charge",IF(AH755&lt;=0.004,"Paid",IF(AG755&lt;=0.004,"Unpaid","Part paid"))))</f>
        <v>0</v>
      </c>
      <c r="AJ755" s="38">
        <f>IF(B755="","",IF(H755&lt;&gt;"Service","",IF(D755="","No",IF(COUNTIFS($D$5:$D$1204,D755,$B$5:$B$1204,B755,$H$5:$H$1204,"Retail")&gt;0,"Yes","No"))))</f>
        <v>0</v>
      </c>
      <c r="AK755" s="25">
        <f>IF(B755="","",COUNTIFS($Y$5:$Y$1204,"&gt;"&amp;Y755)+COUNTIFS($Y$5:Y755,Y755))</f>
        <v>0</v>
      </c>
      <c r="AL755" s="39">
        <f>IF(B755="","",IF(H755="","Add - what kind of sale is this?",IF(IF(V755&lt;=0,P755="",FALSE),"Check - no price found for this item",IF(F755="","Assign - nobody credited",IF(AH755&gt;0.004,"Unpaid - balance outstanding",IF(AC755&lt;0,"Loss - sold below cost",IF(X755&gt;W755*0.5,"Check - more than half off","OK")))))))</f>
        <v>0</v>
      </c>
    </row>
    <row r="756" spans="1:38">
      <c r="A756" s="28">
        <f>IF(B756="","",SalePrefix&amp;TEXT(ROW()-4,"0000"))</f>
        <v>0</v>
      </c>
      <c r="E756" s="15">
        <f>IF(D756="","",IFERROR(INDEX(Clients!$B$5:$B$504,MATCH(D756,Clients!$A$5:$A$504,0)),"Walk-in"))</f>
        <v>0</v>
      </c>
      <c r="G756" s="15">
        <f>IF(F756="","",IFERROR(INDEX(Staff!$B$5:$B$44,MATCH(F756,Staff!$A$5:$A$44,0)),"House"))</f>
        <v>0</v>
      </c>
      <c r="R756" s="15">
        <f>IF(B756="","",TEXT(B756,"yyyy-mm"))</f>
        <v>0</v>
      </c>
      <c r="S756" s="25">
        <f>IF(B756="","",WEEKNUM(B756,2))</f>
        <v>0</v>
      </c>
      <c r="T756" s="37">
        <f>IF(B756="","",IF(K756="",1,K756))</f>
        <v>0</v>
      </c>
      <c r="U756" s="15">
        <f>IF(B756="","",IF(J756&lt;&gt;"",J756,IF(H756="Retail",IFERROR(INDEX(Inventory!$B$5:$B$304,MATCH(I756,Inventory!$A$5:$A$304,0))&amp;"","Not in Inventory"),IFERROR(INDEX(Services!$B$5:$B$204,MATCH(I756,Services!$A$5:$A$204,0))&amp;"","Not in Services"))))</f>
        <v>0</v>
      </c>
      <c r="V756" s="26">
        <f>IF(B756="","",IF(L756&lt;&gt;"",L756,IF(H756="Retail",IFERROR(INDEX(Inventory!$I$5:$I$304,MATCH(I756,Inventory!$A$5:$A$304,0))*1,0),IFERROR(INDEX(Services!$G$5:$G$204,MATCH(I756,Services!$A$5:$A$204,0))*1,0))))</f>
        <v>0</v>
      </c>
      <c r="W756" s="26">
        <f>IF(B756="","",ROUND(T756*V756,2))</f>
        <v>0</v>
      </c>
      <c r="X756" s="26">
        <f>IF(B756="","",ROUND(IF(M756="",0,W756*M756)+IF(N756="",0,N756),2))</f>
        <v>0</v>
      </c>
      <c r="Y756" s="26">
        <f>IF(B756="","",ROUND(W756-X756-IF(P756="",0,P756),2))</f>
        <v>0</v>
      </c>
      <c r="Z756" s="26">
        <f>IF(B756="","",IF(H756="Retail",IF(TaxOnRetail="Yes",ROUND(Y756*TaxRate,2),0),IF(H756="Service",IF(TaxOnServices="Yes",ROUND(Y756*TaxRate,2),0),0)))</f>
        <v>0</v>
      </c>
      <c r="AA756" s="26">
        <f>IF(B756="","",ROUND(Y756+Z756,2))</f>
        <v>0</v>
      </c>
      <c r="AB756" s="26">
        <f>IF(B756="","",ROUND(T756*IF(H756="Retail",IFERROR(INDEX(Inventory!$H$5:$H$304,MATCH(I756,Inventory!$A$5:$A$304,0))*1,0),IFERROR(INDEX(Services!$Q$5:$Q$204,MATCH(I756,Services!$A$5:$A$204,0))*1,0)),2))</f>
        <v>0</v>
      </c>
      <c r="AC756" s="26">
        <f>IF(B756="","",ROUND(Y756-AB756,2))</f>
        <v>0</v>
      </c>
      <c r="AD756" s="38">
        <f>IF(B756="","",IF(C756="","No",IF(COUNTIFS($C$5:C756,C756)=1,"Yes","No")))</f>
        <v>0</v>
      </c>
      <c r="AE756" s="26">
        <f>IF(B756="","",ROUND(SUMIFS(Payments!$G$5:$G$1204,Payments!$H$5:$H$1204,A756,Payments!$Q$5:$Q$1204,"Yes"),2))</f>
        <v>0</v>
      </c>
      <c r="AF756" s="26">
        <f>IF(B756="","",IF(AD756="No",0,ROUND(SUMIFS(Payments!$G$5:$G$1204,Payments!$I$5:$I$1204,C756,Payments!$H$5:$H$1204,"",Payments!$Q$5:$Q$1204,"Yes"),2)))</f>
        <v>0</v>
      </c>
      <c r="AG756" s="26">
        <f>IF(B756="","",ROUND(AE756+AF756,2))</f>
        <v>0</v>
      </c>
      <c r="AH756" s="26">
        <f>IF(B756="","",ROUND(AA756-AG756,2))</f>
        <v>0</v>
      </c>
      <c r="AI756" s="39">
        <f>IF(B756="","",IF(AA756&lt;=0,"No charge",IF(AH756&lt;=0.004,"Paid",IF(AG756&lt;=0.004,"Unpaid","Part paid"))))</f>
        <v>0</v>
      </c>
      <c r="AJ756" s="38">
        <f>IF(B756="","",IF(H756&lt;&gt;"Service","",IF(D756="","No",IF(COUNTIFS($D$5:$D$1204,D756,$B$5:$B$1204,B756,$H$5:$H$1204,"Retail")&gt;0,"Yes","No"))))</f>
        <v>0</v>
      </c>
      <c r="AK756" s="25">
        <f>IF(B756="","",COUNTIFS($Y$5:$Y$1204,"&gt;"&amp;Y756)+COUNTIFS($Y$5:Y756,Y756))</f>
        <v>0</v>
      </c>
      <c r="AL756" s="39">
        <f>IF(B756="","",IF(H756="","Add - what kind of sale is this?",IF(IF(V756&lt;=0,P756="",FALSE),"Check - no price found for this item",IF(F756="","Assign - nobody credited",IF(AH756&gt;0.004,"Unpaid - balance outstanding",IF(AC756&lt;0,"Loss - sold below cost",IF(X756&gt;W756*0.5,"Check - more than half off","OK")))))))</f>
        <v>0</v>
      </c>
    </row>
    <row r="757" spans="1:38">
      <c r="A757" s="28">
        <f>IF(B757="","",SalePrefix&amp;TEXT(ROW()-4,"0000"))</f>
        <v>0</v>
      </c>
      <c r="E757" s="15">
        <f>IF(D757="","",IFERROR(INDEX(Clients!$B$5:$B$504,MATCH(D757,Clients!$A$5:$A$504,0)),"Walk-in"))</f>
        <v>0</v>
      </c>
      <c r="G757" s="15">
        <f>IF(F757="","",IFERROR(INDEX(Staff!$B$5:$B$44,MATCH(F757,Staff!$A$5:$A$44,0)),"House"))</f>
        <v>0</v>
      </c>
      <c r="R757" s="15">
        <f>IF(B757="","",TEXT(B757,"yyyy-mm"))</f>
        <v>0</v>
      </c>
      <c r="S757" s="25">
        <f>IF(B757="","",WEEKNUM(B757,2))</f>
        <v>0</v>
      </c>
      <c r="T757" s="37">
        <f>IF(B757="","",IF(K757="",1,K757))</f>
        <v>0</v>
      </c>
      <c r="U757" s="15">
        <f>IF(B757="","",IF(J757&lt;&gt;"",J757,IF(H757="Retail",IFERROR(INDEX(Inventory!$B$5:$B$304,MATCH(I757,Inventory!$A$5:$A$304,0))&amp;"","Not in Inventory"),IFERROR(INDEX(Services!$B$5:$B$204,MATCH(I757,Services!$A$5:$A$204,0))&amp;"","Not in Services"))))</f>
        <v>0</v>
      </c>
      <c r="V757" s="26">
        <f>IF(B757="","",IF(L757&lt;&gt;"",L757,IF(H757="Retail",IFERROR(INDEX(Inventory!$I$5:$I$304,MATCH(I757,Inventory!$A$5:$A$304,0))*1,0),IFERROR(INDEX(Services!$G$5:$G$204,MATCH(I757,Services!$A$5:$A$204,0))*1,0))))</f>
        <v>0</v>
      </c>
      <c r="W757" s="26">
        <f>IF(B757="","",ROUND(T757*V757,2))</f>
        <v>0</v>
      </c>
      <c r="X757" s="26">
        <f>IF(B757="","",ROUND(IF(M757="",0,W757*M757)+IF(N757="",0,N757),2))</f>
        <v>0</v>
      </c>
      <c r="Y757" s="26">
        <f>IF(B757="","",ROUND(W757-X757-IF(P757="",0,P757),2))</f>
        <v>0</v>
      </c>
      <c r="Z757" s="26">
        <f>IF(B757="","",IF(H757="Retail",IF(TaxOnRetail="Yes",ROUND(Y757*TaxRate,2),0),IF(H757="Service",IF(TaxOnServices="Yes",ROUND(Y757*TaxRate,2),0),0)))</f>
        <v>0</v>
      </c>
      <c r="AA757" s="26">
        <f>IF(B757="","",ROUND(Y757+Z757,2))</f>
        <v>0</v>
      </c>
      <c r="AB757" s="26">
        <f>IF(B757="","",ROUND(T757*IF(H757="Retail",IFERROR(INDEX(Inventory!$H$5:$H$304,MATCH(I757,Inventory!$A$5:$A$304,0))*1,0),IFERROR(INDEX(Services!$Q$5:$Q$204,MATCH(I757,Services!$A$5:$A$204,0))*1,0)),2))</f>
        <v>0</v>
      </c>
      <c r="AC757" s="26">
        <f>IF(B757="","",ROUND(Y757-AB757,2))</f>
        <v>0</v>
      </c>
      <c r="AD757" s="38">
        <f>IF(B757="","",IF(C757="","No",IF(COUNTIFS($C$5:C757,C757)=1,"Yes","No")))</f>
        <v>0</v>
      </c>
      <c r="AE757" s="26">
        <f>IF(B757="","",ROUND(SUMIFS(Payments!$G$5:$G$1204,Payments!$H$5:$H$1204,A757,Payments!$Q$5:$Q$1204,"Yes"),2))</f>
        <v>0</v>
      </c>
      <c r="AF757" s="26">
        <f>IF(B757="","",IF(AD757="No",0,ROUND(SUMIFS(Payments!$G$5:$G$1204,Payments!$I$5:$I$1204,C757,Payments!$H$5:$H$1204,"",Payments!$Q$5:$Q$1204,"Yes"),2)))</f>
        <v>0</v>
      </c>
      <c r="AG757" s="26">
        <f>IF(B757="","",ROUND(AE757+AF757,2))</f>
        <v>0</v>
      </c>
      <c r="AH757" s="26">
        <f>IF(B757="","",ROUND(AA757-AG757,2))</f>
        <v>0</v>
      </c>
      <c r="AI757" s="39">
        <f>IF(B757="","",IF(AA757&lt;=0,"No charge",IF(AH757&lt;=0.004,"Paid",IF(AG757&lt;=0.004,"Unpaid","Part paid"))))</f>
        <v>0</v>
      </c>
      <c r="AJ757" s="38">
        <f>IF(B757="","",IF(H757&lt;&gt;"Service","",IF(D757="","No",IF(COUNTIFS($D$5:$D$1204,D757,$B$5:$B$1204,B757,$H$5:$H$1204,"Retail")&gt;0,"Yes","No"))))</f>
        <v>0</v>
      </c>
      <c r="AK757" s="25">
        <f>IF(B757="","",COUNTIFS($Y$5:$Y$1204,"&gt;"&amp;Y757)+COUNTIFS($Y$5:Y757,Y757))</f>
        <v>0</v>
      </c>
      <c r="AL757" s="39">
        <f>IF(B757="","",IF(H757="","Add - what kind of sale is this?",IF(IF(V757&lt;=0,P757="",FALSE),"Check - no price found for this item",IF(F757="","Assign - nobody credited",IF(AH757&gt;0.004,"Unpaid - balance outstanding",IF(AC757&lt;0,"Loss - sold below cost",IF(X757&gt;W757*0.5,"Check - more than half off","OK")))))))</f>
        <v>0</v>
      </c>
    </row>
    <row r="758" spans="1:38">
      <c r="A758" s="28">
        <f>IF(B758="","",SalePrefix&amp;TEXT(ROW()-4,"0000"))</f>
        <v>0</v>
      </c>
      <c r="E758" s="15">
        <f>IF(D758="","",IFERROR(INDEX(Clients!$B$5:$B$504,MATCH(D758,Clients!$A$5:$A$504,0)),"Walk-in"))</f>
        <v>0</v>
      </c>
      <c r="G758" s="15">
        <f>IF(F758="","",IFERROR(INDEX(Staff!$B$5:$B$44,MATCH(F758,Staff!$A$5:$A$44,0)),"House"))</f>
        <v>0</v>
      </c>
      <c r="R758" s="15">
        <f>IF(B758="","",TEXT(B758,"yyyy-mm"))</f>
        <v>0</v>
      </c>
      <c r="S758" s="25">
        <f>IF(B758="","",WEEKNUM(B758,2))</f>
        <v>0</v>
      </c>
      <c r="T758" s="37">
        <f>IF(B758="","",IF(K758="",1,K758))</f>
        <v>0</v>
      </c>
      <c r="U758" s="15">
        <f>IF(B758="","",IF(J758&lt;&gt;"",J758,IF(H758="Retail",IFERROR(INDEX(Inventory!$B$5:$B$304,MATCH(I758,Inventory!$A$5:$A$304,0))&amp;"","Not in Inventory"),IFERROR(INDEX(Services!$B$5:$B$204,MATCH(I758,Services!$A$5:$A$204,0))&amp;"","Not in Services"))))</f>
        <v>0</v>
      </c>
      <c r="V758" s="26">
        <f>IF(B758="","",IF(L758&lt;&gt;"",L758,IF(H758="Retail",IFERROR(INDEX(Inventory!$I$5:$I$304,MATCH(I758,Inventory!$A$5:$A$304,0))*1,0),IFERROR(INDEX(Services!$G$5:$G$204,MATCH(I758,Services!$A$5:$A$204,0))*1,0))))</f>
        <v>0</v>
      </c>
      <c r="W758" s="26">
        <f>IF(B758="","",ROUND(T758*V758,2))</f>
        <v>0</v>
      </c>
      <c r="X758" s="26">
        <f>IF(B758="","",ROUND(IF(M758="",0,W758*M758)+IF(N758="",0,N758),2))</f>
        <v>0</v>
      </c>
      <c r="Y758" s="26">
        <f>IF(B758="","",ROUND(W758-X758-IF(P758="",0,P758),2))</f>
        <v>0</v>
      </c>
      <c r="Z758" s="26">
        <f>IF(B758="","",IF(H758="Retail",IF(TaxOnRetail="Yes",ROUND(Y758*TaxRate,2),0),IF(H758="Service",IF(TaxOnServices="Yes",ROUND(Y758*TaxRate,2),0),0)))</f>
        <v>0</v>
      </c>
      <c r="AA758" s="26">
        <f>IF(B758="","",ROUND(Y758+Z758,2))</f>
        <v>0</v>
      </c>
      <c r="AB758" s="26">
        <f>IF(B758="","",ROUND(T758*IF(H758="Retail",IFERROR(INDEX(Inventory!$H$5:$H$304,MATCH(I758,Inventory!$A$5:$A$304,0))*1,0),IFERROR(INDEX(Services!$Q$5:$Q$204,MATCH(I758,Services!$A$5:$A$204,0))*1,0)),2))</f>
        <v>0</v>
      </c>
      <c r="AC758" s="26">
        <f>IF(B758="","",ROUND(Y758-AB758,2))</f>
        <v>0</v>
      </c>
      <c r="AD758" s="38">
        <f>IF(B758="","",IF(C758="","No",IF(COUNTIFS($C$5:C758,C758)=1,"Yes","No")))</f>
        <v>0</v>
      </c>
      <c r="AE758" s="26">
        <f>IF(B758="","",ROUND(SUMIFS(Payments!$G$5:$G$1204,Payments!$H$5:$H$1204,A758,Payments!$Q$5:$Q$1204,"Yes"),2))</f>
        <v>0</v>
      </c>
      <c r="AF758" s="26">
        <f>IF(B758="","",IF(AD758="No",0,ROUND(SUMIFS(Payments!$G$5:$G$1204,Payments!$I$5:$I$1204,C758,Payments!$H$5:$H$1204,"",Payments!$Q$5:$Q$1204,"Yes"),2)))</f>
        <v>0</v>
      </c>
      <c r="AG758" s="26">
        <f>IF(B758="","",ROUND(AE758+AF758,2))</f>
        <v>0</v>
      </c>
      <c r="AH758" s="26">
        <f>IF(B758="","",ROUND(AA758-AG758,2))</f>
        <v>0</v>
      </c>
      <c r="AI758" s="39">
        <f>IF(B758="","",IF(AA758&lt;=0,"No charge",IF(AH758&lt;=0.004,"Paid",IF(AG758&lt;=0.004,"Unpaid","Part paid"))))</f>
        <v>0</v>
      </c>
      <c r="AJ758" s="38">
        <f>IF(B758="","",IF(H758&lt;&gt;"Service","",IF(D758="","No",IF(COUNTIFS($D$5:$D$1204,D758,$B$5:$B$1204,B758,$H$5:$H$1204,"Retail")&gt;0,"Yes","No"))))</f>
        <v>0</v>
      </c>
      <c r="AK758" s="25">
        <f>IF(B758="","",COUNTIFS($Y$5:$Y$1204,"&gt;"&amp;Y758)+COUNTIFS($Y$5:Y758,Y758))</f>
        <v>0</v>
      </c>
      <c r="AL758" s="39">
        <f>IF(B758="","",IF(H758="","Add - what kind of sale is this?",IF(IF(V758&lt;=0,P758="",FALSE),"Check - no price found for this item",IF(F758="","Assign - nobody credited",IF(AH758&gt;0.004,"Unpaid - balance outstanding",IF(AC758&lt;0,"Loss - sold below cost",IF(X758&gt;W758*0.5,"Check - more than half off","OK")))))))</f>
        <v>0</v>
      </c>
    </row>
    <row r="759" spans="1:38">
      <c r="A759" s="28">
        <f>IF(B759="","",SalePrefix&amp;TEXT(ROW()-4,"0000"))</f>
        <v>0</v>
      </c>
      <c r="E759" s="15">
        <f>IF(D759="","",IFERROR(INDEX(Clients!$B$5:$B$504,MATCH(D759,Clients!$A$5:$A$504,0)),"Walk-in"))</f>
        <v>0</v>
      </c>
      <c r="G759" s="15">
        <f>IF(F759="","",IFERROR(INDEX(Staff!$B$5:$B$44,MATCH(F759,Staff!$A$5:$A$44,0)),"House"))</f>
        <v>0</v>
      </c>
      <c r="R759" s="15">
        <f>IF(B759="","",TEXT(B759,"yyyy-mm"))</f>
        <v>0</v>
      </c>
      <c r="S759" s="25">
        <f>IF(B759="","",WEEKNUM(B759,2))</f>
        <v>0</v>
      </c>
      <c r="T759" s="37">
        <f>IF(B759="","",IF(K759="",1,K759))</f>
        <v>0</v>
      </c>
      <c r="U759" s="15">
        <f>IF(B759="","",IF(J759&lt;&gt;"",J759,IF(H759="Retail",IFERROR(INDEX(Inventory!$B$5:$B$304,MATCH(I759,Inventory!$A$5:$A$304,0))&amp;"","Not in Inventory"),IFERROR(INDEX(Services!$B$5:$B$204,MATCH(I759,Services!$A$5:$A$204,0))&amp;"","Not in Services"))))</f>
        <v>0</v>
      </c>
      <c r="V759" s="26">
        <f>IF(B759="","",IF(L759&lt;&gt;"",L759,IF(H759="Retail",IFERROR(INDEX(Inventory!$I$5:$I$304,MATCH(I759,Inventory!$A$5:$A$304,0))*1,0),IFERROR(INDEX(Services!$G$5:$G$204,MATCH(I759,Services!$A$5:$A$204,0))*1,0))))</f>
        <v>0</v>
      </c>
      <c r="W759" s="26">
        <f>IF(B759="","",ROUND(T759*V759,2))</f>
        <v>0</v>
      </c>
      <c r="X759" s="26">
        <f>IF(B759="","",ROUND(IF(M759="",0,W759*M759)+IF(N759="",0,N759),2))</f>
        <v>0</v>
      </c>
      <c r="Y759" s="26">
        <f>IF(B759="","",ROUND(W759-X759-IF(P759="",0,P759),2))</f>
        <v>0</v>
      </c>
      <c r="Z759" s="26">
        <f>IF(B759="","",IF(H759="Retail",IF(TaxOnRetail="Yes",ROUND(Y759*TaxRate,2),0),IF(H759="Service",IF(TaxOnServices="Yes",ROUND(Y759*TaxRate,2),0),0)))</f>
        <v>0</v>
      </c>
      <c r="AA759" s="26">
        <f>IF(B759="","",ROUND(Y759+Z759,2))</f>
        <v>0</v>
      </c>
      <c r="AB759" s="26">
        <f>IF(B759="","",ROUND(T759*IF(H759="Retail",IFERROR(INDEX(Inventory!$H$5:$H$304,MATCH(I759,Inventory!$A$5:$A$304,0))*1,0),IFERROR(INDEX(Services!$Q$5:$Q$204,MATCH(I759,Services!$A$5:$A$204,0))*1,0)),2))</f>
        <v>0</v>
      </c>
      <c r="AC759" s="26">
        <f>IF(B759="","",ROUND(Y759-AB759,2))</f>
        <v>0</v>
      </c>
      <c r="AD759" s="38">
        <f>IF(B759="","",IF(C759="","No",IF(COUNTIFS($C$5:C759,C759)=1,"Yes","No")))</f>
        <v>0</v>
      </c>
      <c r="AE759" s="26">
        <f>IF(B759="","",ROUND(SUMIFS(Payments!$G$5:$G$1204,Payments!$H$5:$H$1204,A759,Payments!$Q$5:$Q$1204,"Yes"),2))</f>
        <v>0</v>
      </c>
      <c r="AF759" s="26">
        <f>IF(B759="","",IF(AD759="No",0,ROUND(SUMIFS(Payments!$G$5:$G$1204,Payments!$I$5:$I$1204,C759,Payments!$H$5:$H$1204,"",Payments!$Q$5:$Q$1204,"Yes"),2)))</f>
        <v>0</v>
      </c>
      <c r="AG759" s="26">
        <f>IF(B759="","",ROUND(AE759+AF759,2))</f>
        <v>0</v>
      </c>
      <c r="AH759" s="26">
        <f>IF(B759="","",ROUND(AA759-AG759,2))</f>
        <v>0</v>
      </c>
      <c r="AI759" s="39">
        <f>IF(B759="","",IF(AA759&lt;=0,"No charge",IF(AH759&lt;=0.004,"Paid",IF(AG759&lt;=0.004,"Unpaid","Part paid"))))</f>
        <v>0</v>
      </c>
      <c r="AJ759" s="38">
        <f>IF(B759="","",IF(H759&lt;&gt;"Service","",IF(D759="","No",IF(COUNTIFS($D$5:$D$1204,D759,$B$5:$B$1204,B759,$H$5:$H$1204,"Retail")&gt;0,"Yes","No"))))</f>
        <v>0</v>
      </c>
      <c r="AK759" s="25">
        <f>IF(B759="","",COUNTIFS($Y$5:$Y$1204,"&gt;"&amp;Y759)+COUNTIFS($Y$5:Y759,Y759))</f>
        <v>0</v>
      </c>
      <c r="AL759" s="39">
        <f>IF(B759="","",IF(H759="","Add - what kind of sale is this?",IF(IF(V759&lt;=0,P759="",FALSE),"Check - no price found for this item",IF(F759="","Assign - nobody credited",IF(AH759&gt;0.004,"Unpaid - balance outstanding",IF(AC759&lt;0,"Loss - sold below cost",IF(X759&gt;W759*0.5,"Check - more than half off","OK")))))))</f>
        <v>0</v>
      </c>
    </row>
    <row r="760" spans="1:38">
      <c r="A760" s="28">
        <f>IF(B760="","",SalePrefix&amp;TEXT(ROW()-4,"0000"))</f>
        <v>0</v>
      </c>
      <c r="E760" s="15">
        <f>IF(D760="","",IFERROR(INDEX(Clients!$B$5:$B$504,MATCH(D760,Clients!$A$5:$A$504,0)),"Walk-in"))</f>
        <v>0</v>
      </c>
      <c r="G760" s="15">
        <f>IF(F760="","",IFERROR(INDEX(Staff!$B$5:$B$44,MATCH(F760,Staff!$A$5:$A$44,0)),"House"))</f>
        <v>0</v>
      </c>
      <c r="R760" s="15">
        <f>IF(B760="","",TEXT(B760,"yyyy-mm"))</f>
        <v>0</v>
      </c>
      <c r="S760" s="25">
        <f>IF(B760="","",WEEKNUM(B760,2))</f>
        <v>0</v>
      </c>
      <c r="T760" s="37">
        <f>IF(B760="","",IF(K760="",1,K760))</f>
        <v>0</v>
      </c>
      <c r="U760" s="15">
        <f>IF(B760="","",IF(J760&lt;&gt;"",J760,IF(H760="Retail",IFERROR(INDEX(Inventory!$B$5:$B$304,MATCH(I760,Inventory!$A$5:$A$304,0))&amp;"","Not in Inventory"),IFERROR(INDEX(Services!$B$5:$B$204,MATCH(I760,Services!$A$5:$A$204,0))&amp;"","Not in Services"))))</f>
        <v>0</v>
      </c>
      <c r="V760" s="26">
        <f>IF(B760="","",IF(L760&lt;&gt;"",L760,IF(H760="Retail",IFERROR(INDEX(Inventory!$I$5:$I$304,MATCH(I760,Inventory!$A$5:$A$304,0))*1,0),IFERROR(INDEX(Services!$G$5:$G$204,MATCH(I760,Services!$A$5:$A$204,0))*1,0))))</f>
        <v>0</v>
      </c>
      <c r="W760" s="26">
        <f>IF(B760="","",ROUND(T760*V760,2))</f>
        <v>0</v>
      </c>
      <c r="X760" s="26">
        <f>IF(B760="","",ROUND(IF(M760="",0,W760*M760)+IF(N760="",0,N760),2))</f>
        <v>0</v>
      </c>
      <c r="Y760" s="26">
        <f>IF(B760="","",ROUND(W760-X760-IF(P760="",0,P760),2))</f>
        <v>0</v>
      </c>
      <c r="Z760" s="26">
        <f>IF(B760="","",IF(H760="Retail",IF(TaxOnRetail="Yes",ROUND(Y760*TaxRate,2),0),IF(H760="Service",IF(TaxOnServices="Yes",ROUND(Y760*TaxRate,2),0),0)))</f>
        <v>0</v>
      </c>
      <c r="AA760" s="26">
        <f>IF(B760="","",ROUND(Y760+Z760,2))</f>
        <v>0</v>
      </c>
      <c r="AB760" s="26">
        <f>IF(B760="","",ROUND(T760*IF(H760="Retail",IFERROR(INDEX(Inventory!$H$5:$H$304,MATCH(I760,Inventory!$A$5:$A$304,0))*1,0),IFERROR(INDEX(Services!$Q$5:$Q$204,MATCH(I760,Services!$A$5:$A$204,0))*1,0)),2))</f>
        <v>0</v>
      </c>
      <c r="AC760" s="26">
        <f>IF(B760="","",ROUND(Y760-AB760,2))</f>
        <v>0</v>
      </c>
      <c r="AD760" s="38">
        <f>IF(B760="","",IF(C760="","No",IF(COUNTIFS($C$5:C760,C760)=1,"Yes","No")))</f>
        <v>0</v>
      </c>
      <c r="AE760" s="26">
        <f>IF(B760="","",ROUND(SUMIFS(Payments!$G$5:$G$1204,Payments!$H$5:$H$1204,A760,Payments!$Q$5:$Q$1204,"Yes"),2))</f>
        <v>0</v>
      </c>
      <c r="AF760" s="26">
        <f>IF(B760="","",IF(AD760="No",0,ROUND(SUMIFS(Payments!$G$5:$G$1204,Payments!$I$5:$I$1204,C760,Payments!$H$5:$H$1204,"",Payments!$Q$5:$Q$1204,"Yes"),2)))</f>
        <v>0</v>
      </c>
      <c r="AG760" s="26">
        <f>IF(B760="","",ROUND(AE760+AF760,2))</f>
        <v>0</v>
      </c>
      <c r="AH760" s="26">
        <f>IF(B760="","",ROUND(AA760-AG760,2))</f>
        <v>0</v>
      </c>
      <c r="AI760" s="39">
        <f>IF(B760="","",IF(AA760&lt;=0,"No charge",IF(AH760&lt;=0.004,"Paid",IF(AG760&lt;=0.004,"Unpaid","Part paid"))))</f>
        <v>0</v>
      </c>
      <c r="AJ760" s="38">
        <f>IF(B760="","",IF(H760&lt;&gt;"Service","",IF(D760="","No",IF(COUNTIFS($D$5:$D$1204,D760,$B$5:$B$1204,B760,$H$5:$H$1204,"Retail")&gt;0,"Yes","No"))))</f>
        <v>0</v>
      </c>
      <c r="AK760" s="25">
        <f>IF(B760="","",COUNTIFS($Y$5:$Y$1204,"&gt;"&amp;Y760)+COUNTIFS($Y$5:Y760,Y760))</f>
        <v>0</v>
      </c>
      <c r="AL760" s="39">
        <f>IF(B760="","",IF(H760="","Add - what kind of sale is this?",IF(IF(V760&lt;=0,P760="",FALSE),"Check - no price found for this item",IF(F760="","Assign - nobody credited",IF(AH760&gt;0.004,"Unpaid - balance outstanding",IF(AC760&lt;0,"Loss - sold below cost",IF(X760&gt;W760*0.5,"Check - more than half off","OK")))))))</f>
        <v>0</v>
      </c>
    </row>
    <row r="761" spans="1:38">
      <c r="A761" s="28">
        <f>IF(B761="","",SalePrefix&amp;TEXT(ROW()-4,"0000"))</f>
        <v>0</v>
      </c>
      <c r="E761" s="15">
        <f>IF(D761="","",IFERROR(INDEX(Clients!$B$5:$B$504,MATCH(D761,Clients!$A$5:$A$504,0)),"Walk-in"))</f>
        <v>0</v>
      </c>
      <c r="G761" s="15">
        <f>IF(F761="","",IFERROR(INDEX(Staff!$B$5:$B$44,MATCH(F761,Staff!$A$5:$A$44,0)),"House"))</f>
        <v>0</v>
      </c>
      <c r="R761" s="15">
        <f>IF(B761="","",TEXT(B761,"yyyy-mm"))</f>
        <v>0</v>
      </c>
      <c r="S761" s="25">
        <f>IF(B761="","",WEEKNUM(B761,2))</f>
        <v>0</v>
      </c>
      <c r="T761" s="37">
        <f>IF(B761="","",IF(K761="",1,K761))</f>
        <v>0</v>
      </c>
      <c r="U761" s="15">
        <f>IF(B761="","",IF(J761&lt;&gt;"",J761,IF(H761="Retail",IFERROR(INDEX(Inventory!$B$5:$B$304,MATCH(I761,Inventory!$A$5:$A$304,0))&amp;"","Not in Inventory"),IFERROR(INDEX(Services!$B$5:$B$204,MATCH(I761,Services!$A$5:$A$204,0))&amp;"","Not in Services"))))</f>
        <v>0</v>
      </c>
      <c r="V761" s="26">
        <f>IF(B761="","",IF(L761&lt;&gt;"",L761,IF(H761="Retail",IFERROR(INDEX(Inventory!$I$5:$I$304,MATCH(I761,Inventory!$A$5:$A$304,0))*1,0),IFERROR(INDEX(Services!$G$5:$G$204,MATCH(I761,Services!$A$5:$A$204,0))*1,0))))</f>
        <v>0</v>
      </c>
      <c r="W761" s="26">
        <f>IF(B761="","",ROUND(T761*V761,2))</f>
        <v>0</v>
      </c>
      <c r="X761" s="26">
        <f>IF(B761="","",ROUND(IF(M761="",0,W761*M761)+IF(N761="",0,N761),2))</f>
        <v>0</v>
      </c>
      <c r="Y761" s="26">
        <f>IF(B761="","",ROUND(W761-X761-IF(P761="",0,P761),2))</f>
        <v>0</v>
      </c>
      <c r="Z761" s="26">
        <f>IF(B761="","",IF(H761="Retail",IF(TaxOnRetail="Yes",ROUND(Y761*TaxRate,2),0),IF(H761="Service",IF(TaxOnServices="Yes",ROUND(Y761*TaxRate,2),0),0)))</f>
        <v>0</v>
      </c>
      <c r="AA761" s="26">
        <f>IF(B761="","",ROUND(Y761+Z761,2))</f>
        <v>0</v>
      </c>
      <c r="AB761" s="26">
        <f>IF(B761="","",ROUND(T761*IF(H761="Retail",IFERROR(INDEX(Inventory!$H$5:$H$304,MATCH(I761,Inventory!$A$5:$A$304,0))*1,0),IFERROR(INDEX(Services!$Q$5:$Q$204,MATCH(I761,Services!$A$5:$A$204,0))*1,0)),2))</f>
        <v>0</v>
      </c>
      <c r="AC761" s="26">
        <f>IF(B761="","",ROUND(Y761-AB761,2))</f>
        <v>0</v>
      </c>
      <c r="AD761" s="38">
        <f>IF(B761="","",IF(C761="","No",IF(COUNTIFS($C$5:C761,C761)=1,"Yes","No")))</f>
        <v>0</v>
      </c>
      <c r="AE761" s="26">
        <f>IF(B761="","",ROUND(SUMIFS(Payments!$G$5:$G$1204,Payments!$H$5:$H$1204,A761,Payments!$Q$5:$Q$1204,"Yes"),2))</f>
        <v>0</v>
      </c>
      <c r="AF761" s="26">
        <f>IF(B761="","",IF(AD761="No",0,ROUND(SUMIFS(Payments!$G$5:$G$1204,Payments!$I$5:$I$1204,C761,Payments!$H$5:$H$1204,"",Payments!$Q$5:$Q$1204,"Yes"),2)))</f>
        <v>0</v>
      </c>
      <c r="AG761" s="26">
        <f>IF(B761="","",ROUND(AE761+AF761,2))</f>
        <v>0</v>
      </c>
      <c r="AH761" s="26">
        <f>IF(B761="","",ROUND(AA761-AG761,2))</f>
        <v>0</v>
      </c>
      <c r="AI761" s="39">
        <f>IF(B761="","",IF(AA761&lt;=0,"No charge",IF(AH761&lt;=0.004,"Paid",IF(AG761&lt;=0.004,"Unpaid","Part paid"))))</f>
        <v>0</v>
      </c>
      <c r="AJ761" s="38">
        <f>IF(B761="","",IF(H761&lt;&gt;"Service","",IF(D761="","No",IF(COUNTIFS($D$5:$D$1204,D761,$B$5:$B$1204,B761,$H$5:$H$1204,"Retail")&gt;0,"Yes","No"))))</f>
        <v>0</v>
      </c>
      <c r="AK761" s="25">
        <f>IF(B761="","",COUNTIFS($Y$5:$Y$1204,"&gt;"&amp;Y761)+COUNTIFS($Y$5:Y761,Y761))</f>
        <v>0</v>
      </c>
      <c r="AL761" s="39">
        <f>IF(B761="","",IF(H761="","Add - what kind of sale is this?",IF(IF(V761&lt;=0,P761="",FALSE),"Check - no price found for this item",IF(F761="","Assign - nobody credited",IF(AH761&gt;0.004,"Unpaid - balance outstanding",IF(AC761&lt;0,"Loss - sold below cost",IF(X761&gt;W761*0.5,"Check - more than half off","OK")))))))</f>
        <v>0</v>
      </c>
    </row>
    <row r="762" spans="1:38">
      <c r="A762" s="28">
        <f>IF(B762="","",SalePrefix&amp;TEXT(ROW()-4,"0000"))</f>
        <v>0</v>
      </c>
      <c r="E762" s="15">
        <f>IF(D762="","",IFERROR(INDEX(Clients!$B$5:$B$504,MATCH(D762,Clients!$A$5:$A$504,0)),"Walk-in"))</f>
        <v>0</v>
      </c>
      <c r="G762" s="15">
        <f>IF(F762="","",IFERROR(INDEX(Staff!$B$5:$B$44,MATCH(F762,Staff!$A$5:$A$44,0)),"House"))</f>
        <v>0</v>
      </c>
      <c r="R762" s="15">
        <f>IF(B762="","",TEXT(B762,"yyyy-mm"))</f>
        <v>0</v>
      </c>
      <c r="S762" s="25">
        <f>IF(B762="","",WEEKNUM(B762,2))</f>
        <v>0</v>
      </c>
      <c r="T762" s="37">
        <f>IF(B762="","",IF(K762="",1,K762))</f>
        <v>0</v>
      </c>
      <c r="U762" s="15">
        <f>IF(B762="","",IF(J762&lt;&gt;"",J762,IF(H762="Retail",IFERROR(INDEX(Inventory!$B$5:$B$304,MATCH(I762,Inventory!$A$5:$A$304,0))&amp;"","Not in Inventory"),IFERROR(INDEX(Services!$B$5:$B$204,MATCH(I762,Services!$A$5:$A$204,0))&amp;"","Not in Services"))))</f>
        <v>0</v>
      </c>
      <c r="V762" s="26">
        <f>IF(B762="","",IF(L762&lt;&gt;"",L762,IF(H762="Retail",IFERROR(INDEX(Inventory!$I$5:$I$304,MATCH(I762,Inventory!$A$5:$A$304,0))*1,0),IFERROR(INDEX(Services!$G$5:$G$204,MATCH(I762,Services!$A$5:$A$204,0))*1,0))))</f>
        <v>0</v>
      </c>
      <c r="W762" s="26">
        <f>IF(B762="","",ROUND(T762*V762,2))</f>
        <v>0</v>
      </c>
      <c r="X762" s="26">
        <f>IF(B762="","",ROUND(IF(M762="",0,W762*M762)+IF(N762="",0,N762),2))</f>
        <v>0</v>
      </c>
      <c r="Y762" s="26">
        <f>IF(B762="","",ROUND(W762-X762-IF(P762="",0,P762),2))</f>
        <v>0</v>
      </c>
      <c r="Z762" s="26">
        <f>IF(B762="","",IF(H762="Retail",IF(TaxOnRetail="Yes",ROUND(Y762*TaxRate,2),0),IF(H762="Service",IF(TaxOnServices="Yes",ROUND(Y762*TaxRate,2),0),0)))</f>
        <v>0</v>
      </c>
      <c r="AA762" s="26">
        <f>IF(B762="","",ROUND(Y762+Z762,2))</f>
        <v>0</v>
      </c>
      <c r="AB762" s="26">
        <f>IF(B762="","",ROUND(T762*IF(H762="Retail",IFERROR(INDEX(Inventory!$H$5:$H$304,MATCH(I762,Inventory!$A$5:$A$304,0))*1,0),IFERROR(INDEX(Services!$Q$5:$Q$204,MATCH(I762,Services!$A$5:$A$204,0))*1,0)),2))</f>
        <v>0</v>
      </c>
      <c r="AC762" s="26">
        <f>IF(B762="","",ROUND(Y762-AB762,2))</f>
        <v>0</v>
      </c>
      <c r="AD762" s="38">
        <f>IF(B762="","",IF(C762="","No",IF(COUNTIFS($C$5:C762,C762)=1,"Yes","No")))</f>
        <v>0</v>
      </c>
      <c r="AE762" s="26">
        <f>IF(B762="","",ROUND(SUMIFS(Payments!$G$5:$G$1204,Payments!$H$5:$H$1204,A762,Payments!$Q$5:$Q$1204,"Yes"),2))</f>
        <v>0</v>
      </c>
      <c r="AF762" s="26">
        <f>IF(B762="","",IF(AD762="No",0,ROUND(SUMIFS(Payments!$G$5:$G$1204,Payments!$I$5:$I$1204,C762,Payments!$H$5:$H$1204,"",Payments!$Q$5:$Q$1204,"Yes"),2)))</f>
        <v>0</v>
      </c>
      <c r="AG762" s="26">
        <f>IF(B762="","",ROUND(AE762+AF762,2))</f>
        <v>0</v>
      </c>
      <c r="AH762" s="26">
        <f>IF(B762="","",ROUND(AA762-AG762,2))</f>
        <v>0</v>
      </c>
      <c r="AI762" s="39">
        <f>IF(B762="","",IF(AA762&lt;=0,"No charge",IF(AH762&lt;=0.004,"Paid",IF(AG762&lt;=0.004,"Unpaid","Part paid"))))</f>
        <v>0</v>
      </c>
      <c r="AJ762" s="38">
        <f>IF(B762="","",IF(H762&lt;&gt;"Service","",IF(D762="","No",IF(COUNTIFS($D$5:$D$1204,D762,$B$5:$B$1204,B762,$H$5:$H$1204,"Retail")&gt;0,"Yes","No"))))</f>
        <v>0</v>
      </c>
      <c r="AK762" s="25">
        <f>IF(B762="","",COUNTIFS($Y$5:$Y$1204,"&gt;"&amp;Y762)+COUNTIFS($Y$5:Y762,Y762))</f>
        <v>0</v>
      </c>
      <c r="AL762" s="39">
        <f>IF(B762="","",IF(H762="","Add - what kind of sale is this?",IF(IF(V762&lt;=0,P762="",FALSE),"Check - no price found for this item",IF(F762="","Assign - nobody credited",IF(AH762&gt;0.004,"Unpaid - balance outstanding",IF(AC762&lt;0,"Loss - sold below cost",IF(X762&gt;W762*0.5,"Check - more than half off","OK")))))))</f>
        <v>0</v>
      </c>
    </row>
    <row r="763" spans="1:38">
      <c r="A763" s="28">
        <f>IF(B763="","",SalePrefix&amp;TEXT(ROW()-4,"0000"))</f>
        <v>0</v>
      </c>
      <c r="E763" s="15">
        <f>IF(D763="","",IFERROR(INDEX(Clients!$B$5:$B$504,MATCH(D763,Clients!$A$5:$A$504,0)),"Walk-in"))</f>
        <v>0</v>
      </c>
      <c r="G763" s="15">
        <f>IF(F763="","",IFERROR(INDEX(Staff!$B$5:$B$44,MATCH(F763,Staff!$A$5:$A$44,0)),"House"))</f>
        <v>0</v>
      </c>
      <c r="R763" s="15">
        <f>IF(B763="","",TEXT(B763,"yyyy-mm"))</f>
        <v>0</v>
      </c>
      <c r="S763" s="25">
        <f>IF(B763="","",WEEKNUM(B763,2))</f>
        <v>0</v>
      </c>
      <c r="T763" s="37">
        <f>IF(B763="","",IF(K763="",1,K763))</f>
        <v>0</v>
      </c>
      <c r="U763" s="15">
        <f>IF(B763="","",IF(J763&lt;&gt;"",J763,IF(H763="Retail",IFERROR(INDEX(Inventory!$B$5:$B$304,MATCH(I763,Inventory!$A$5:$A$304,0))&amp;"","Not in Inventory"),IFERROR(INDEX(Services!$B$5:$B$204,MATCH(I763,Services!$A$5:$A$204,0))&amp;"","Not in Services"))))</f>
        <v>0</v>
      </c>
      <c r="V763" s="26">
        <f>IF(B763="","",IF(L763&lt;&gt;"",L763,IF(H763="Retail",IFERROR(INDEX(Inventory!$I$5:$I$304,MATCH(I763,Inventory!$A$5:$A$304,0))*1,0),IFERROR(INDEX(Services!$G$5:$G$204,MATCH(I763,Services!$A$5:$A$204,0))*1,0))))</f>
        <v>0</v>
      </c>
      <c r="W763" s="26">
        <f>IF(B763="","",ROUND(T763*V763,2))</f>
        <v>0</v>
      </c>
      <c r="X763" s="26">
        <f>IF(B763="","",ROUND(IF(M763="",0,W763*M763)+IF(N763="",0,N763),2))</f>
        <v>0</v>
      </c>
      <c r="Y763" s="26">
        <f>IF(B763="","",ROUND(W763-X763-IF(P763="",0,P763),2))</f>
        <v>0</v>
      </c>
      <c r="Z763" s="26">
        <f>IF(B763="","",IF(H763="Retail",IF(TaxOnRetail="Yes",ROUND(Y763*TaxRate,2),0),IF(H763="Service",IF(TaxOnServices="Yes",ROUND(Y763*TaxRate,2),0),0)))</f>
        <v>0</v>
      </c>
      <c r="AA763" s="26">
        <f>IF(B763="","",ROUND(Y763+Z763,2))</f>
        <v>0</v>
      </c>
      <c r="AB763" s="26">
        <f>IF(B763="","",ROUND(T763*IF(H763="Retail",IFERROR(INDEX(Inventory!$H$5:$H$304,MATCH(I763,Inventory!$A$5:$A$304,0))*1,0),IFERROR(INDEX(Services!$Q$5:$Q$204,MATCH(I763,Services!$A$5:$A$204,0))*1,0)),2))</f>
        <v>0</v>
      </c>
      <c r="AC763" s="26">
        <f>IF(B763="","",ROUND(Y763-AB763,2))</f>
        <v>0</v>
      </c>
      <c r="AD763" s="38">
        <f>IF(B763="","",IF(C763="","No",IF(COUNTIFS($C$5:C763,C763)=1,"Yes","No")))</f>
        <v>0</v>
      </c>
      <c r="AE763" s="26">
        <f>IF(B763="","",ROUND(SUMIFS(Payments!$G$5:$G$1204,Payments!$H$5:$H$1204,A763,Payments!$Q$5:$Q$1204,"Yes"),2))</f>
        <v>0</v>
      </c>
      <c r="AF763" s="26">
        <f>IF(B763="","",IF(AD763="No",0,ROUND(SUMIFS(Payments!$G$5:$G$1204,Payments!$I$5:$I$1204,C763,Payments!$H$5:$H$1204,"",Payments!$Q$5:$Q$1204,"Yes"),2)))</f>
        <v>0</v>
      </c>
      <c r="AG763" s="26">
        <f>IF(B763="","",ROUND(AE763+AF763,2))</f>
        <v>0</v>
      </c>
      <c r="AH763" s="26">
        <f>IF(B763="","",ROUND(AA763-AG763,2))</f>
        <v>0</v>
      </c>
      <c r="AI763" s="39">
        <f>IF(B763="","",IF(AA763&lt;=0,"No charge",IF(AH763&lt;=0.004,"Paid",IF(AG763&lt;=0.004,"Unpaid","Part paid"))))</f>
        <v>0</v>
      </c>
      <c r="AJ763" s="38">
        <f>IF(B763="","",IF(H763&lt;&gt;"Service","",IF(D763="","No",IF(COUNTIFS($D$5:$D$1204,D763,$B$5:$B$1204,B763,$H$5:$H$1204,"Retail")&gt;0,"Yes","No"))))</f>
        <v>0</v>
      </c>
      <c r="AK763" s="25">
        <f>IF(B763="","",COUNTIFS($Y$5:$Y$1204,"&gt;"&amp;Y763)+COUNTIFS($Y$5:Y763,Y763))</f>
        <v>0</v>
      </c>
      <c r="AL763" s="39">
        <f>IF(B763="","",IF(H763="","Add - what kind of sale is this?",IF(IF(V763&lt;=0,P763="",FALSE),"Check - no price found for this item",IF(F763="","Assign - nobody credited",IF(AH763&gt;0.004,"Unpaid - balance outstanding",IF(AC763&lt;0,"Loss - sold below cost",IF(X763&gt;W763*0.5,"Check - more than half off","OK")))))))</f>
        <v>0</v>
      </c>
    </row>
    <row r="764" spans="1:38">
      <c r="A764" s="28">
        <f>IF(B764="","",SalePrefix&amp;TEXT(ROW()-4,"0000"))</f>
        <v>0</v>
      </c>
      <c r="E764" s="15">
        <f>IF(D764="","",IFERROR(INDEX(Clients!$B$5:$B$504,MATCH(D764,Clients!$A$5:$A$504,0)),"Walk-in"))</f>
        <v>0</v>
      </c>
      <c r="G764" s="15">
        <f>IF(F764="","",IFERROR(INDEX(Staff!$B$5:$B$44,MATCH(F764,Staff!$A$5:$A$44,0)),"House"))</f>
        <v>0</v>
      </c>
      <c r="R764" s="15">
        <f>IF(B764="","",TEXT(B764,"yyyy-mm"))</f>
        <v>0</v>
      </c>
      <c r="S764" s="25">
        <f>IF(B764="","",WEEKNUM(B764,2))</f>
        <v>0</v>
      </c>
      <c r="T764" s="37">
        <f>IF(B764="","",IF(K764="",1,K764))</f>
        <v>0</v>
      </c>
      <c r="U764" s="15">
        <f>IF(B764="","",IF(J764&lt;&gt;"",J764,IF(H764="Retail",IFERROR(INDEX(Inventory!$B$5:$B$304,MATCH(I764,Inventory!$A$5:$A$304,0))&amp;"","Not in Inventory"),IFERROR(INDEX(Services!$B$5:$B$204,MATCH(I764,Services!$A$5:$A$204,0))&amp;"","Not in Services"))))</f>
        <v>0</v>
      </c>
      <c r="V764" s="26">
        <f>IF(B764="","",IF(L764&lt;&gt;"",L764,IF(H764="Retail",IFERROR(INDEX(Inventory!$I$5:$I$304,MATCH(I764,Inventory!$A$5:$A$304,0))*1,0),IFERROR(INDEX(Services!$G$5:$G$204,MATCH(I764,Services!$A$5:$A$204,0))*1,0))))</f>
        <v>0</v>
      </c>
      <c r="W764" s="26">
        <f>IF(B764="","",ROUND(T764*V764,2))</f>
        <v>0</v>
      </c>
      <c r="X764" s="26">
        <f>IF(B764="","",ROUND(IF(M764="",0,W764*M764)+IF(N764="",0,N764),2))</f>
        <v>0</v>
      </c>
      <c r="Y764" s="26">
        <f>IF(B764="","",ROUND(W764-X764-IF(P764="",0,P764),2))</f>
        <v>0</v>
      </c>
      <c r="Z764" s="26">
        <f>IF(B764="","",IF(H764="Retail",IF(TaxOnRetail="Yes",ROUND(Y764*TaxRate,2),0),IF(H764="Service",IF(TaxOnServices="Yes",ROUND(Y764*TaxRate,2),0),0)))</f>
        <v>0</v>
      </c>
      <c r="AA764" s="26">
        <f>IF(B764="","",ROUND(Y764+Z764,2))</f>
        <v>0</v>
      </c>
      <c r="AB764" s="26">
        <f>IF(B764="","",ROUND(T764*IF(H764="Retail",IFERROR(INDEX(Inventory!$H$5:$H$304,MATCH(I764,Inventory!$A$5:$A$304,0))*1,0),IFERROR(INDEX(Services!$Q$5:$Q$204,MATCH(I764,Services!$A$5:$A$204,0))*1,0)),2))</f>
        <v>0</v>
      </c>
      <c r="AC764" s="26">
        <f>IF(B764="","",ROUND(Y764-AB764,2))</f>
        <v>0</v>
      </c>
      <c r="AD764" s="38">
        <f>IF(B764="","",IF(C764="","No",IF(COUNTIFS($C$5:C764,C764)=1,"Yes","No")))</f>
        <v>0</v>
      </c>
      <c r="AE764" s="26">
        <f>IF(B764="","",ROUND(SUMIFS(Payments!$G$5:$G$1204,Payments!$H$5:$H$1204,A764,Payments!$Q$5:$Q$1204,"Yes"),2))</f>
        <v>0</v>
      </c>
      <c r="AF764" s="26">
        <f>IF(B764="","",IF(AD764="No",0,ROUND(SUMIFS(Payments!$G$5:$G$1204,Payments!$I$5:$I$1204,C764,Payments!$H$5:$H$1204,"",Payments!$Q$5:$Q$1204,"Yes"),2)))</f>
        <v>0</v>
      </c>
      <c r="AG764" s="26">
        <f>IF(B764="","",ROUND(AE764+AF764,2))</f>
        <v>0</v>
      </c>
      <c r="AH764" s="26">
        <f>IF(B764="","",ROUND(AA764-AG764,2))</f>
        <v>0</v>
      </c>
      <c r="AI764" s="39">
        <f>IF(B764="","",IF(AA764&lt;=0,"No charge",IF(AH764&lt;=0.004,"Paid",IF(AG764&lt;=0.004,"Unpaid","Part paid"))))</f>
        <v>0</v>
      </c>
      <c r="AJ764" s="38">
        <f>IF(B764="","",IF(H764&lt;&gt;"Service","",IF(D764="","No",IF(COUNTIFS($D$5:$D$1204,D764,$B$5:$B$1204,B764,$H$5:$H$1204,"Retail")&gt;0,"Yes","No"))))</f>
        <v>0</v>
      </c>
      <c r="AK764" s="25">
        <f>IF(B764="","",COUNTIFS($Y$5:$Y$1204,"&gt;"&amp;Y764)+COUNTIFS($Y$5:Y764,Y764))</f>
        <v>0</v>
      </c>
      <c r="AL764" s="39">
        <f>IF(B764="","",IF(H764="","Add - what kind of sale is this?",IF(IF(V764&lt;=0,P764="",FALSE),"Check - no price found for this item",IF(F764="","Assign - nobody credited",IF(AH764&gt;0.004,"Unpaid - balance outstanding",IF(AC764&lt;0,"Loss - sold below cost",IF(X764&gt;W764*0.5,"Check - more than half off","OK")))))))</f>
        <v>0</v>
      </c>
    </row>
    <row r="765" spans="1:38">
      <c r="A765" s="28">
        <f>IF(B765="","",SalePrefix&amp;TEXT(ROW()-4,"0000"))</f>
        <v>0</v>
      </c>
      <c r="E765" s="15">
        <f>IF(D765="","",IFERROR(INDEX(Clients!$B$5:$B$504,MATCH(D765,Clients!$A$5:$A$504,0)),"Walk-in"))</f>
        <v>0</v>
      </c>
      <c r="G765" s="15">
        <f>IF(F765="","",IFERROR(INDEX(Staff!$B$5:$B$44,MATCH(F765,Staff!$A$5:$A$44,0)),"House"))</f>
        <v>0</v>
      </c>
      <c r="R765" s="15">
        <f>IF(B765="","",TEXT(B765,"yyyy-mm"))</f>
        <v>0</v>
      </c>
      <c r="S765" s="25">
        <f>IF(B765="","",WEEKNUM(B765,2))</f>
        <v>0</v>
      </c>
      <c r="T765" s="37">
        <f>IF(B765="","",IF(K765="",1,K765))</f>
        <v>0</v>
      </c>
      <c r="U765" s="15">
        <f>IF(B765="","",IF(J765&lt;&gt;"",J765,IF(H765="Retail",IFERROR(INDEX(Inventory!$B$5:$B$304,MATCH(I765,Inventory!$A$5:$A$304,0))&amp;"","Not in Inventory"),IFERROR(INDEX(Services!$B$5:$B$204,MATCH(I765,Services!$A$5:$A$204,0))&amp;"","Not in Services"))))</f>
        <v>0</v>
      </c>
      <c r="V765" s="26">
        <f>IF(B765="","",IF(L765&lt;&gt;"",L765,IF(H765="Retail",IFERROR(INDEX(Inventory!$I$5:$I$304,MATCH(I765,Inventory!$A$5:$A$304,0))*1,0),IFERROR(INDEX(Services!$G$5:$G$204,MATCH(I765,Services!$A$5:$A$204,0))*1,0))))</f>
        <v>0</v>
      </c>
      <c r="W765" s="26">
        <f>IF(B765="","",ROUND(T765*V765,2))</f>
        <v>0</v>
      </c>
      <c r="X765" s="26">
        <f>IF(B765="","",ROUND(IF(M765="",0,W765*M765)+IF(N765="",0,N765),2))</f>
        <v>0</v>
      </c>
      <c r="Y765" s="26">
        <f>IF(B765="","",ROUND(W765-X765-IF(P765="",0,P765),2))</f>
        <v>0</v>
      </c>
      <c r="Z765" s="26">
        <f>IF(B765="","",IF(H765="Retail",IF(TaxOnRetail="Yes",ROUND(Y765*TaxRate,2),0),IF(H765="Service",IF(TaxOnServices="Yes",ROUND(Y765*TaxRate,2),0),0)))</f>
        <v>0</v>
      </c>
      <c r="AA765" s="26">
        <f>IF(B765="","",ROUND(Y765+Z765,2))</f>
        <v>0</v>
      </c>
      <c r="AB765" s="26">
        <f>IF(B765="","",ROUND(T765*IF(H765="Retail",IFERROR(INDEX(Inventory!$H$5:$H$304,MATCH(I765,Inventory!$A$5:$A$304,0))*1,0),IFERROR(INDEX(Services!$Q$5:$Q$204,MATCH(I765,Services!$A$5:$A$204,0))*1,0)),2))</f>
        <v>0</v>
      </c>
      <c r="AC765" s="26">
        <f>IF(B765="","",ROUND(Y765-AB765,2))</f>
        <v>0</v>
      </c>
      <c r="AD765" s="38">
        <f>IF(B765="","",IF(C765="","No",IF(COUNTIFS($C$5:C765,C765)=1,"Yes","No")))</f>
        <v>0</v>
      </c>
      <c r="AE765" s="26">
        <f>IF(B765="","",ROUND(SUMIFS(Payments!$G$5:$G$1204,Payments!$H$5:$H$1204,A765,Payments!$Q$5:$Q$1204,"Yes"),2))</f>
        <v>0</v>
      </c>
      <c r="AF765" s="26">
        <f>IF(B765="","",IF(AD765="No",0,ROUND(SUMIFS(Payments!$G$5:$G$1204,Payments!$I$5:$I$1204,C765,Payments!$H$5:$H$1204,"",Payments!$Q$5:$Q$1204,"Yes"),2)))</f>
        <v>0</v>
      </c>
      <c r="AG765" s="26">
        <f>IF(B765="","",ROUND(AE765+AF765,2))</f>
        <v>0</v>
      </c>
      <c r="AH765" s="26">
        <f>IF(B765="","",ROUND(AA765-AG765,2))</f>
        <v>0</v>
      </c>
      <c r="AI765" s="39">
        <f>IF(B765="","",IF(AA765&lt;=0,"No charge",IF(AH765&lt;=0.004,"Paid",IF(AG765&lt;=0.004,"Unpaid","Part paid"))))</f>
        <v>0</v>
      </c>
      <c r="AJ765" s="38">
        <f>IF(B765="","",IF(H765&lt;&gt;"Service","",IF(D765="","No",IF(COUNTIFS($D$5:$D$1204,D765,$B$5:$B$1204,B765,$H$5:$H$1204,"Retail")&gt;0,"Yes","No"))))</f>
        <v>0</v>
      </c>
      <c r="AK765" s="25">
        <f>IF(B765="","",COUNTIFS($Y$5:$Y$1204,"&gt;"&amp;Y765)+COUNTIFS($Y$5:Y765,Y765))</f>
        <v>0</v>
      </c>
      <c r="AL765" s="39">
        <f>IF(B765="","",IF(H765="","Add - what kind of sale is this?",IF(IF(V765&lt;=0,P765="",FALSE),"Check - no price found for this item",IF(F765="","Assign - nobody credited",IF(AH765&gt;0.004,"Unpaid - balance outstanding",IF(AC765&lt;0,"Loss - sold below cost",IF(X765&gt;W765*0.5,"Check - more than half off","OK")))))))</f>
        <v>0</v>
      </c>
    </row>
    <row r="766" spans="1:38">
      <c r="A766" s="28">
        <f>IF(B766="","",SalePrefix&amp;TEXT(ROW()-4,"0000"))</f>
        <v>0</v>
      </c>
      <c r="E766" s="15">
        <f>IF(D766="","",IFERROR(INDEX(Clients!$B$5:$B$504,MATCH(D766,Clients!$A$5:$A$504,0)),"Walk-in"))</f>
        <v>0</v>
      </c>
      <c r="G766" s="15">
        <f>IF(F766="","",IFERROR(INDEX(Staff!$B$5:$B$44,MATCH(F766,Staff!$A$5:$A$44,0)),"House"))</f>
        <v>0</v>
      </c>
      <c r="R766" s="15">
        <f>IF(B766="","",TEXT(B766,"yyyy-mm"))</f>
        <v>0</v>
      </c>
      <c r="S766" s="25">
        <f>IF(B766="","",WEEKNUM(B766,2))</f>
        <v>0</v>
      </c>
      <c r="T766" s="37">
        <f>IF(B766="","",IF(K766="",1,K766))</f>
        <v>0</v>
      </c>
      <c r="U766" s="15">
        <f>IF(B766="","",IF(J766&lt;&gt;"",J766,IF(H766="Retail",IFERROR(INDEX(Inventory!$B$5:$B$304,MATCH(I766,Inventory!$A$5:$A$304,0))&amp;"","Not in Inventory"),IFERROR(INDEX(Services!$B$5:$B$204,MATCH(I766,Services!$A$5:$A$204,0))&amp;"","Not in Services"))))</f>
        <v>0</v>
      </c>
      <c r="V766" s="26">
        <f>IF(B766="","",IF(L766&lt;&gt;"",L766,IF(H766="Retail",IFERROR(INDEX(Inventory!$I$5:$I$304,MATCH(I766,Inventory!$A$5:$A$304,0))*1,0),IFERROR(INDEX(Services!$G$5:$G$204,MATCH(I766,Services!$A$5:$A$204,0))*1,0))))</f>
        <v>0</v>
      </c>
      <c r="W766" s="26">
        <f>IF(B766="","",ROUND(T766*V766,2))</f>
        <v>0</v>
      </c>
      <c r="X766" s="26">
        <f>IF(B766="","",ROUND(IF(M766="",0,W766*M766)+IF(N766="",0,N766),2))</f>
        <v>0</v>
      </c>
      <c r="Y766" s="26">
        <f>IF(B766="","",ROUND(W766-X766-IF(P766="",0,P766),2))</f>
        <v>0</v>
      </c>
      <c r="Z766" s="26">
        <f>IF(B766="","",IF(H766="Retail",IF(TaxOnRetail="Yes",ROUND(Y766*TaxRate,2),0),IF(H766="Service",IF(TaxOnServices="Yes",ROUND(Y766*TaxRate,2),0),0)))</f>
        <v>0</v>
      </c>
      <c r="AA766" s="26">
        <f>IF(B766="","",ROUND(Y766+Z766,2))</f>
        <v>0</v>
      </c>
      <c r="AB766" s="26">
        <f>IF(B766="","",ROUND(T766*IF(H766="Retail",IFERROR(INDEX(Inventory!$H$5:$H$304,MATCH(I766,Inventory!$A$5:$A$304,0))*1,0),IFERROR(INDEX(Services!$Q$5:$Q$204,MATCH(I766,Services!$A$5:$A$204,0))*1,0)),2))</f>
        <v>0</v>
      </c>
      <c r="AC766" s="26">
        <f>IF(B766="","",ROUND(Y766-AB766,2))</f>
        <v>0</v>
      </c>
      <c r="AD766" s="38">
        <f>IF(B766="","",IF(C766="","No",IF(COUNTIFS($C$5:C766,C766)=1,"Yes","No")))</f>
        <v>0</v>
      </c>
      <c r="AE766" s="26">
        <f>IF(B766="","",ROUND(SUMIFS(Payments!$G$5:$G$1204,Payments!$H$5:$H$1204,A766,Payments!$Q$5:$Q$1204,"Yes"),2))</f>
        <v>0</v>
      </c>
      <c r="AF766" s="26">
        <f>IF(B766="","",IF(AD766="No",0,ROUND(SUMIFS(Payments!$G$5:$G$1204,Payments!$I$5:$I$1204,C766,Payments!$H$5:$H$1204,"",Payments!$Q$5:$Q$1204,"Yes"),2)))</f>
        <v>0</v>
      </c>
      <c r="AG766" s="26">
        <f>IF(B766="","",ROUND(AE766+AF766,2))</f>
        <v>0</v>
      </c>
      <c r="AH766" s="26">
        <f>IF(B766="","",ROUND(AA766-AG766,2))</f>
        <v>0</v>
      </c>
      <c r="AI766" s="39">
        <f>IF(B766="","",IF(AA766&lt;=0,"No charge",IF(AH766&lt;=0.004,"Paid",IF(AG766&lt;=0.004,"Unpaid","Part paid"))))</f>
        <v>0</v>
      </c>
      <c r="AJ766" s="38">
        <f>IF(B766="","",IF(H766&lt;&gt;"Service","",IF(D766="","No",IF(COUNTIFS($D$5:$D$1204,D766,$B$5:$B$1204,B766,$H$5:$H$1204,"Retail")&gt;0,"Yes","No"))))</f>
        <v>0</v>
      </c>
      <c r="AK766" s="25">
        <f>IF(B766="","",COUNTIFS($Y$5:$Y$1204,"&gt;"&amp;Y766)+COUNTIFS($Y$5:Y766,Y766))</f>
        <v>0</v>
      </c>
      <c r="AL766" s="39">
        <f>IF(B766="","",IF(H766="","Add - what kind of sale is this?",IF(IF(V766&lt;=0,P766="",FALSE),"Check - no price found for this item",IF(F766="","Assign - nobody credited",IF(AH766&gt;0.004,"Unpaid - balance outstanding",IF(AC766&lt;0,"Loss - sold below cost",IF(X766&gt;W766*0.5,"Check - more than half off","OK")))))))</f>
        <v>0</v>
      </c>
    </row>
    <row r="767" spans="1:38">
      <c r="A767" s="28">
        <f>IF(B767="","",SalePrefix&amp;TEXT(ROW()-4,"0000"))</f>
        <v>0</v>
      </c>
      <c r="E767" s="15">
        <f>IF(D767="","",IFERROR(INDEX(Clients!$B$5:$B$504,MATCH(D767,Clients!$A$5:$A$504,0)),"Walk-in"))</f>
        <v>0</v>
      </c>
      <c r="G767" s="15">
        <f>IF(F767="","",IFERROR(INDEX(Staff!$B$5:$B$44,MATCH(F767,Staff!$A$5:$A$44,0)),"House"))</f>
        <v>0</v>
      </c>
      <c r="R767" s="15">
        <f>IF(B767="","",TEXT(B767,"yyyy-mm"))</f>
        <v>0</v>
      </c>
      <c r="S767" s="25">
        <f>IF(B767="","",WEEKNUM(B767,2))</f>
        <v>0</v>
      </c>
      <c r="T767" s="37">
        <f>IF(B767="","",IF(K767="",1,K767))</f>
        <v>0</v>
      </c>
      <c r="U767" s="15">
        <f>IF(B767="","",IF(J767&lt;&gt;"",J767,IF(H767="Retail",IFERROR(INDEX(Inventory!$B$5:$B$304,MATCH(I767,Inventory!$A$5:$A$304,0))&amp;"","Not in Inventory"),IFERROR(INDEX(Services!$B$5:$B$204,MATCH(I767,Services!$A$5:$A$204,0))&amp;"","Not in Services"))))</f>
        <v>0</v>
      </c>
      <c r="V767" s="26">
        <f>IF(B767="","",IF(L767&lt;&gt;"",L767,IF(H767="Retail",IFERROR(INDEX(Inventory!$I$5:$I$304,MATCH(I767,Inventory!$A$5:$A$304,0))*1,0),IFERROR(INDEX(Services!$G$5:$G$204,MATCH(I767,Services!$A$5:$A$204,0))*1,0))))</f>
        <v>0</v>
      </c>
      <c r="W767" s="26">
        <f>IF(B767="","",ROUND(T767*V767,2))</f>
        <v>0</v>
      </c>
      <c r="X767" s="26">
        <f>IF(B767="","",ROUND(IF(M767="",0,W767*M767)+IF(N767="",0,N767),2))</f>
        <v>0</v>
      </c>
      <c r="Y767" s="26">
        <f>IF(B767="","",ROUND(W767-X767-IF(P767="",0,P767),2))</f>
        <v>0</v>
      </c>
      <c r="Z767" s="26">
        <f>IF(B767="","",IF(H767="Retail",IF(TaxOnRetail="Yes",ROUND(Y767*TaxRate,2),0),IF(H767="Service",IF(TaxOnServices="Yes",ROUND(Y767*TaxRate,2),0),0)))</f>
        <v>0</v>
      </c>
      <c r="AA767" s="26">
        <f>IF(B767="","",ROUND(Y767+Z767,2))</f>
        <v>0</v>
      </c>
      <c r="AB767" s="26">
        <f>IF(B767="","",ROUND(T767*IF(H767="Retail",IFERROR(INDEX(Inventory!$H$5:$H$304,MATCH(I767,Inventory!$A$5:$A$304,0))*1,0),IFERROR(INDEX(Services!$Q$5:$Q$204,MATCH(I767,Services!$A$5:$A$204,0))*1,0)),2))</f>
        <v>0</v>
      </c>
      <c r="AC767" s="26">
        <f>IF(B767="","",ROUND(Y767-AB767,2))</f>
        <v>0</v>
      </c>
      <c r="AD767" s="38">
        <f>IF(B767="","",IF(C767="","No",IF(COUNTIFS($C$5:C767,C767)=1,"Yes","No")))</f>
        <v>0</v>
      </c>
      <c r="AE767" s="26">
        <f>IF(B767="","",ROUND(SUMIFS(Payments!$G$5:$G$1204,Payments!$H$5:$H$1204,A767,Payments!$Q$5:$Q$1204,"Yes"),2))</f>
        <v>0</v>
      </c>
      <c r="AF767" s="26">
        <f>IF(B767="","",IF(AD767="No",0,ROUND(SUMIFS(Payments!$G$5:$G$1204,Payments!$I$5:$I$1204,C767,Payments!$H$5:$H$1204,"",Payments!$Q$5:$Q$1204,"Yes"),2)))</f>
        <v>0</v>
      </c>
      <c r="AG767" s="26">
        <f>IF(B767="","",ROUND(AE767+AF767,2))</f>
        <v>0</v>
      </c>
      <c r="AH767" s="26">
        <f>IF(B767="","",ROUND(AA767-AG767,2))</f>
        <v>0</v>
      </c>
      <c r="AI767" s="39">
        <f>IF(B767="","",IF(AA767&lt;=0,"No charge",IF(AH767&lt;=0.004,"Paid",IF(AG767&lt;=0.004,"Unpaid","Part paid"))))</f>
        <v>0</v>
      </c>
      <c r="AJ767" s="38">
        <f>IF(B767="","",IF(H767&lt;&gt;"Service","",IF(D767="","No",IF(COUNTIFS($D$5:$D$1204,D767,$B$5:$B$1204,B767,$H$5:$H$1204,"Retail")&gt;0,"Yes","No"))))</f>
        <v>0</v>
      </c>
      <c r="AK767" s="25">
        <f>IF(B767="","",COUNTIFS($Y$5:$Y$1204,"&gt;"&amp;Y767)+COUNTIFS($Y$5:Y767,Y767))</f>
        <v>0</v>
      </c>
      <c r="AL767" s="39">
        <f>IF(B767="","",IF(H767="","Add - what kind of sale is this?",IF(IF(V767&lt;=0,P767="",FALSE),"Check - no price found for this item",IF(F767="","Assign - nobody credited",IF(AH767&gt;0.004,"Unpaid - balance outstanding",IF(AC767&lt;0,"Loss - sold below cost",IF(X767&gt;W767*0.5,"Check - more than half off","OK")))))))</f>
        <v>0</v>
      </c>
    </row>
    <row r="768" spans="1:38">
      <c r="A768" s="28">
        <f>IF(B768="","",SalePrefix&amp;TEXT(ROW()-4,"0000"))</f>
        <v>0</v>
      </c>
      <c r="E768" s="15">
        <f>IF(D768="","",IFERROR(INDEX(Clients!$B$5:$B$504,MATCH(D768,Clients!$A$5:$A$504,0)),"Walk-in"))</f>
        <v>0</v>
      </c>
      <c r="G768" s="15">
        <f>IF(F768="","",IFERROR(INDEX(Staff!$B$5:$B$44,MATCH(F768,Staff!$A$5:$A$44,0)),"House"))</f>
        <v>0</v>
      </c>
      <c r="R768" s="15">
        <f>IF(B768="","",TEXT(B768,"yyyy-mm"))</f>
        <v>0</v>
      </c>
      <c r="S768" s="25">
        <f>IF(B768="","",WEEKNUM(B768,2))</f>
        <v>0</v>
      </c>
      <c r="T768" s="37">
        <f>IF(B768="","",IF(K768="",1,K768))</f>
        <v>0</v>
      </c>
      <c r="U768" s="15">
        <f>IF(B768="","",IF(J768&lt;&gt;"",J768,IF(H768="Retail",IFERROR(INDEX(Inventory!$B$5:$B$304,MATCH(I768,Inventory!$A$5:$A$304,0))&amp;"","Not in Inventory"),IFERROR(INDEX(Services!$B$5:$B$204,MATCH(I768,Services!$A$5:$A$204,0))&amp;"","Not in Services"))))</f>
        <v>0</v>
      </c>
      <c r="V768" s="26">
        <f>IF(B768="","",IF(L768&lt;&gt;"",L768,IF(H768="Retail",IFERROR(INDEX(Inventory!$I$5:$I$304,MATCH(I768,Inventory!$A$5:$A$304,0))*1,0),IFERROR(INDEX(Services!$G$5:$G$204,MATCH(I768,Services!$A$5:$A$204,0))*1,0))))</f>
        <v>0</v>
      </c>
      <c r="W768" s="26">
        <f>IF(B768="","",ROUND(T768*V768,2))</f>
        <v>0</v>
      </c>
      <c r="X768" s="26">
        <f>IF(B768="","",ROUND(IF(M768="",0,W768*M768)+IF(N768="",0,N768),2))</f>
        <v>0</v>
      </c>
      <c r="Y768" s="26">
        <f>IF(B768="","",ROUND(W768-X768-IF(P768="",0,P768),2))</f>
        <v>0</v>
      </c>
      <c r="Z768" s="26">
        <f>IF(B768="","",IF(H768="Retail",IF(TaxOnRetail="Yes",ROUND(Y768*TaxRate,2),0),IF(H768="Service",IF(TaxOnServices="Yes",ROUND(Y768*TaxRate,2),0),0)))</f>
        <v>0</v>
      </c>
      <c r="AA768" s="26">
        <f>IF(B768="","",ROUND(Y768+Z768,2))</f>
        <v>0</v>
      </c>
      <c r="AB768" s="26">
        <f>IF(B768="","",ROUND(T768*IF(H768="Retail",IFERROR(INDEX(Inventory!$H$5:$H$304,MATCH(I768,Inventory!$A$5:$A$304,0))*1,0),IFERROR(INDEX(Services!$Q$5:$Q$204,MATCH(I768,Services!$A$5:$A$204,0))*1,0)),2))</f>
        <v>0</v>
      </c>
      <c r="AC768" s="26">
        <f>IF(B768="","",ROUND(Y768-AB768,2))</f>
        <v>0</v>
      </c>
      <c r="AD768" s="38">
        <f>IF(B768="","",IF(C768="","No",IF(COUNTIFS($C$5:C768,C768)=1,"Yes","No")))</f>
        <v>0</v>
      </c>
      <c r="AE768" s="26">
        <f>IF(B768="","",ROUND(SUMIFS(Payments!$G$5:$G$1204,Payments!$H$5:$H$1204,A768,Payments!$Q$5:$Q$1204,"Yes"),2))</f>
        <v>0</v>
      </c>
      <c r="AF768" s="26">
        <f>IF(B768="","",IF(AD768="No",0,ROUND(SUMIFS(Payments!$G$5:$G$1204,Payments!$I$5:$I$1204,C768,Payments!$H$5:$H$1204,"",Payments!$Q$5:$Q$1204,"Yes"),2)))</f>
        <v>0</v>
      </c>
      <c r="AG768" s="26">
        <f>IF(B768="","",ROUND(AE768+AF768,2))</f>
        <v>0</v>
      </c>
      <c r="AH768" s="26">
        <f>IF(B768="","",ROUND(AA768-AG768,2))</f>
        <v>0</v>
      </c>
      <c r="AI768" s="39">
        <f>IF(B768="","",IF(AA768&lt;=0,"No charge",IF(AH768&lt;=0.004,"Paid",IF(AG768&lt;=0.004,"Unpaid","Part paid"))))</f>
        <v>0</v>
      </c>
      <c r="AJ768" s="38">
        <f>IF(B768="","",IF(H768&lt;&gt;"Service","",IF(D768="","No",IF(COUNTIFS($D$5:$D$1204,D768,$B$5:$B$1204,B768,$H$5:$H$1204,"Retail")&gt;0,"Yes","No"))))</f>
        <v>0</v>
      </c>
      <c r="AK768" s="25">
        <f>IF(B768="","",COUNTIFS($Y$5:$Y$1204,"&gt;"&amp;Y768)+COUNTIFS($Y$5:Y768,Y768))</f>
        <v>0</v>
      </c>
      <c r="AL768" s="39">
        <f>IF(B768="","",IF(H768="","Add - what kind of sale is this?",IF(IF(V768&lt;=0,P768="",FALSE),"Check - no price found for this item",IF(F768="","Assign - nobody credited",IF(AH768&gt;0.004,"Unpaid - balance outstanding",IF(AC768&lt;0,"Loss - sold below cost",IF(X768&gt;W768*0.5,"Check - more than half off","OK")))))))</f>
        <v>0</v>
      </c>
    </row>
    <row r="769" spans="1:38">
      <c r="A769" s="28">
        <f>IF(B769="","",SalePrefix&amp;TEXT(ROW()-4,"0000"))</f>
        <v>0</v>
      </c>
      <c r="E769" s="15">
        <f>IF(D769="","",IFERROR(INDEX(Clients!$B$5:$B$504,MATCH(D769,Clients!$A$5:$A$504,0)),"Walk-in"))</f>
        <v>0</v>
      </c>
      <c r="G769" s="15">
        <f>IF(F769="","",IFERROR(INDEX(Staff!$B$5:$B$44,MATCH(F769,Staff!$A$5:$A$44,0)),"House"))</f>
        <v>0</v>
      </c>
      <c r="R769" s="15">
        <f>IF(B769="","",TEXT(B769,"yyyy-mm"))</f>
        <v>0</v>
      </c>
      <c r="S769" s="25">
        <f>IF(B769="","",WEEKNUM(B769,2))</f>
        <v>0</v>
      </c>
      <c r="T769" s="37">
        <f>IF(B769="","",IF(K769="",1,K769))</f>
        <v>0</v>
      </c>
      <c r="U769" s="15">
        <f>IF(B769="","",IF(J769&lt;&gt;"",J769,IF(H769="Retail",IFERROR(INDEX(Inventory!$B$5:$B$304,MATCH(I769,Inventory!$A$5:$A$304,0))&amp;"","Not in Inventory"),IFERROR(INDEX(Services!$B$5:$B$204,MATCH(I769,Services!$A$5:$A$204,0))&amp;"","Not in Services"))))</f>
        <v>0</v>
      </c>
      <c r="V769" s="26">
        <f>IF(B769="","",IF(L769&lt;&gt;"",L769,IF(H769="Retail",IFERROR(INDEX(Inventory!$I$5:$I$304,MATCH(I769,Inventory!$A$5:$A$304,0))*1,0),IFERROR(INDEX(Services!$G$5:$G$204,MATCH(I769,Services!$A$5:$A$204,0))*1,0))))</f>
        <v>0</v>
      </c>
      <c r="W769" s="26">
        <f>IF(B769="","",ROUND(T769*V769,2))</f>
        <v>0</v>
      </c>
      <c r="X769" s="26">
        <f>IF(B769="","",ROUND(IF(M769="",0,W769*M769)+IF(N769="",0,N769),2))</f>
        <v>0</v>
      </c>
      <c r="Y769" s="26">
        <f>IF(B769="","",ROUND(W769-X769-IF(P769="",0,P769),2))</f>
        <v>0</v>
      </c>
      <c r="Z769" s="26">
        <f>IF(B769="","",IF(H769="Retail",IF(TaxOnRetail="Yes",ROUND(Y769*TaxRate,2),0),IF(H769="Service",IF(TaxOnServices="Yes",ROUND(Y769*TaxRate,2),0),0)))</f>
        <v>0</v>
      </c>
      <c r="AA769" s="26">
        <f>IF(B769="","",ROUND(Y769+Z769,2))</f>
        <v>0</v>
      </c>
      <c r="AB769" s="26">
        <f>IF(B769="","",ROUND(T769*IF(H769="Retail",IFERROR(INDEX(Inventory!$H$5:$H$304,MATCH(I769,Inventory!$A$5:$A$304,0))*1,0),IFERROR(INDEX(Services!$Q$5:$Q$204,MATCH(I769,Services!$A$5:$A$204,0))*1,0)),2))</f>
        <v>0</v>
      </c>
      <c r="AC769" s="26">
        <f>IF(B769="","",ROUND(Y769-AB769,2))</f>
        <v>0</v>
      </c>
      <c r="AD769" s="38">
        <f>IF(B769="","",IF(C769="","No",IF(COUNTIFS($C$5:C769,C769)=1,"Yes","No")))</f>
        <v>0</v>
      </c>
      <c r="AE769" s="26">
        <f>IF(B769="","",ROUND(SUMIFS(Payments!$G$5:$G$1204,Payments!$H$5:$H$1204,A769,Payments!$Q$5:$Q$1204,"Yes"),2))</f>
        <v>0</v>
      </c>
      <c r="AF769" s="26">
        <f>IF(B769="","",IF(AD769="No",0,ROUND(SUMIFS(Payments!$G$5:$G$1204,Payments!$I$5:$I$1204,C769,Payments!$H$5:$H$1204,"",Payments!$Q$5:$Q$1204,"Yes"),2)))</f>
        <v>0</v>
      </c>
      <c r="AG769" s="26">
        <f>IF(B769="","",ROUND(AE769+AF769,2))</f>
        <v>0</v>
      </c>
      <c r="AH769" s="26">
        <f>IF(B769="","",ROUND(AA769-AG769,2))</f>
        <v>0</v>
      </c>
      <c r="AI769" s="39">
        <f>IF(B769="","",IF(AA769&lt;=0,"No charge",IF(AH769&lt;=0.004,"Paid",IF(AG769&lt;=0.004,"Unpaid","Part paid"))))</f>
        <v>0</v>
      </c>
      <c r="AJ769" s="38">
        <f>IF(B769="","",IF(H769&lt;&gt;"Service","",IF(D769="","No",IF(COUNTIFS($D$5:$D$1204,D769,$B$5:$B$1204,B769,$H$5:$H$1204,"Retail")&gt;0,"Yes","No"))))</f>
        <v>0</v>
      </c>
      <c r="AK769" s="25">
        <f>IF(B769="","",COUNTIFS($Y$5:$Y$1204,"&gt;"&amp;Y769)+COUNTIFS($Y$5:Y769,Y769))</f>
        <v>0</v>
      </c>
      <c r="AL769" s="39">
        <f>IF(B769="","",IF(H769="","Add - what kind of sale is this?",IF(IF(V769&lt;=0,P769="",FALSE),"Check - no price found for this item",IF(F769="","Assign - nobody credited",IF(AH769&gt;0.004,"Unpaid - balance outstanding",IF(AC769&lt;0,"Loss - sold below cost",IF(X769&gt;W769*0.5,"Check - more than half off","OK")))))))</f>
        <v>0</v>
      </c>
    </row>
    <row r="770" spans="1:38">
      <c r="A770" s="28">
        <f>IF(B770="","",SalePrefix&amp;TEXT(ROW()-4,"0000"))</f>
        <v>0</v>
      </c>
      <c r="E770" s="15">
        <f>IF(D770="","",IFERROR(INDEX(Clients!$B$5:$B$504,MATCH(D770,Clients!$A$5:$A$504,0)),"Walk-in"))</f>
        <v>0</v>
      </c>
      <c r="G770" s="15">
        <f>IF(F770="","",IFERROR(INDEX(Staff!$B$5:$B$44,MATCH(F770,Staff!$A$5:$A$44,0)),"House"))</f>
        <v>0</v>
      </c>
      <c r="R770" s="15">
        <f>IF(B770="","",TEXT(B770,"yyyy-mm"))</f>
        <v>0</v>
      </c>
      <c r="S770" s="25">
        <f>IF(B770="","",WEEKNUM(B770,2))</f>
        <v>0</v>
      </c>
      <c r="T770" s="37">
        <f>IF(B770="","",IF(K770="",1,K770))</f>
        <v>0</v>
      </c>
      <c r="U770" s="15">
        <f>IF(B770="","",IF(J770&lt;&gt;"",J770,IF(H770="Retail",IFERROR(INDEX(Inventory!$B$5:$B$304,MATCH(I770,Inventory!$A$5:$A$304,0))&amp;"","Not in Inventory"),IFERROR(INDEX(Services!$B$5:$B$204,MATCH(I770,Services!$A$5:$A$204,0))&amp;"","Not in Services"))))</f>
        <v>0</v>
      </c>
      <c r="V770" s="26">
        <f>IF(B770="","",IF(L770&lt;&gt;"",L770,IF(H770="Retail",IFERROR(INDEX(Inventory!$I$5:$I$304,MATCH(I770,Inventory!$A$5:$A$304,0))*1,0),IFERROR(INDEX(Services!$G$5:$G$204,MATCH(I770,Services!$A$5:$A$204,0))*1,0))))</f>
        <v>0</v>
      </c>
      <c r="W770" s="26">
        <f>IF(B770="","",ROUND(T770*V770,2))</f>
        <v>0</v>
      </c>
      <c r="X770" s="26">
        <f>IF(B770="","",ROUND(IF(M770="",0,W770*M770)+IF(N770="",0,N770),2))</f>
        <v>0</v>
      </c>
      <c r="Y770" s="26">
        <f>IF(B770="","",ROUND(W770-X770-IF(P770="",0,P770),2))</f>
        <v>0</v>
      </c>
      <c r="Z770" s="26">
        <f>IF(B770="","",IF(H770="Retail",IF(TaxOnRetail="Yes",ROUND(Y770*TaxRate,2),0),IF(H770="Service",IF(TaxOnServices="Yes",ROUND(Y770*TaxRate,2),0),0)))</f>
        <v>0</v>
      </c>
      <c r="AA770" s="26">
        <f>IF(B770="","",ROUND(Y770+Z770,2))</f>
        <v>0</v>
      </c>
      <c r="AB770" s="26">
        <f>IF(B770="","",ROUND(T770*IF(H770="Retail",IFERROR(INDEX(Inventory!$H$5:$H$304,MATCH(I770,Inventory!$A$5:$A$304,0))*1,0),IFERROR(INDEX(Services!$Q$5:$Q$204,MATCH(I770,Services!$A$5:$A$204,0))*1,0)),2))</f>
        <v>0</v>
      </c>
      <c r="AC770" s="26">
        <f>IF(B770="","",ROUND(Y770-AB770,2))</f>
        <v>0</v>
      </c>
      <c r="AD770" s="38">
        <f>IF(B770="","",IF(C770="","No",IF(COUNTIFS($C$5:C770,C770)=1,"Yes","No")))</f>
        <v>0</v>
      </c>
      <c r="AE770" s="26">
        <f>IF(B770="","",ROUND(SUMIFS(Payments!$G$5:$G$1204,Payments!$H$5:$H$1204,A770,Payments!$Q$5:$Q$1204,"Yes"),2))</f>
        <v>0</v>
      </c>
      <c r="AF770" s="26">
        <f>IF(B770="","",IF(AD770="No",0,ROUND(SUMIFS(Payments!$G$5:$G$1204,Payments!$I$5:$I$1204,C770,Payments!$H$5:$H$1204,"",Payments!$Q$5:$Q$1204,"Yes"),2)))</f>
        <v>0</v>
      </c>
      <c r="AG770" s="26">
        <f>IF(B770="","",ROUND(AE770+AF770,2))</f>
        <v>0</v>
      </c>
      <c r="AH770" s="26">
        <f>IF(B770="","",ROUND(AA770-AG770,2))</f>
        <v>0</v>
      </c>
      <c r="AI770" s="39">
        <f>IF(B770="","",IF(AA770&lt;=0,"No charge",IF(AH770&lt;=0.004,"Paid",IF(AG770&lt;=0.004,"Unpaid","Part paid"))))</f>
        <v>0</v>
      </c>
      <c r="AJ770" s="38">
        <f>IF(B770="","",IF(H770&lt;&gt;"Service","",IF(D770="","No",IF(COUNTIFS($D$5:$D$1204,D770,$B$5:$B$1204,B770,$H$5:$H$1204,"Retail")&gt;0,"Yes","No"))))</f>
        <v>0</v>
      </c>
      <c r="AK770" s="25">
        <f>IF(B770="","",COUNTIFS($Y$5:$Y$1204,"&gt;"&amp;Y770)+COUNTIFS($Y$5:Y770,Y770))</f>
        <v>0</v>
      </c>
      <c r="AL770" s="39">
        <f>IF(B770="","",IF(H770="","Add - what kind of sale is this?",IF(IF(V770&lt;=0,P770="",FALSE),"Check - no price found for this item",IF(F770="","Assign - nobody credited",IF(AH770&gt;0.004,"Unpaid - balance outstanding",IF(AC770&lt;0,"Loss - sold below cost",IF(X770&gt;W770*0.5,"Check - more than half off","OK")))))))</f>
        <v>0</v>
      </c>
    </row>
    <row r="771" spans="1:38">
      <c r="A771" s="28">
        <f>IF(B771="","",SalePrefix&amp;TEXT(ROW()-4,"0000"))</f>
        <v>0</v>
      </c>
      <c r="E771" s="15">
        <f>IF(D771="","",IFERROR(INDEX(Clients!$B$5:$B$504,MATCH(D771,Clients!$A$5:$A$504,0)),"Walk-in"))</f>
        <v>0</v>
      </c>
      <c r="G771" s="15">
        <f>IF(F771="","",IFERROR(INDEX(Staff!$B$5:$B$44,MATCH(F771,Staff!$A$5:$A$44,0)),"House"))</f>
        <v>0</v>
      </c>
      <c r="R771" s="15">
        <f>IF(B771="","",TEXT(B771,"yyyy-mm"))</f>
        <v>0</v>
      </c>
      <c r="S771" s="25">
        <f>IF(B771="","",WEEKNUM(B771,2))</f>
        <v>0</v>
      </c>
      <c r="T771" s="37">
        <f>IF(B771="","",IF(K771="",1,K771))</f>
        <v>0</v>
      </c>
      <c r="U771" s="15">
        <f>IF(B771="","",IF(J771&lt;&gt;"",J771,IF(H771="Retail",IFERROR(INDEX(Inventory!$B$5:$B$304,MATCH(I771,Inventory!$A$5:$A$304,0))&amp;"","Not in Inventory"),IFERROR(INDEX(Services!$B$5:$B$204,MATCH(I771,Services!$A$5:$A$204,0))&amp;"","Not in Services"))))</f>
        <v>0</v>
      </c>
      <c r="V771" s="26">
        <f>IF(B771="","",IF(L771&lt;&gt;"",L771,IF(H771="Retail",IFERROR(INDEX(Inventory!$I$5:$I$304,MATCH(I771,Inventory!$A$5:$A$304,0))*1,0),IFERROR(INDEX(Services!$G$5:$G$204,MATCH(I771,Services!$A$5:$A$204,0))*1,0))))</f>
        <v>0</v>
      </c>
      <c r="W771" s="26">
        <f>IF(B771="","",ROUND(T771*V771,2))</f>
        <v>0</v>
      </c>
      <c r="X771" s="26">
        <f>IF(B771="","",ROUND(IF(M771="",0,W771*M771)+IF(N771="",0,N771),2))</f>
        <v>0</v>
      </c>
      <c r="Y771" s="26">
        <f>IF(B771="","",ROUND(W771-X771-IF(P771="",0,P771),2))</f>
        <v>0</v>
      </c>
      <c r="Z771" s="26">
        <f>IF(B771="","",IF(H771="Retail",IF(TaxOnRetail="Yes",ROUND(Y771*TaxRate,2),0),IF(H771="Service",IF(TaxOnServices="Yes",ROUND(Y771*TaxRate,2),0),0)))</f>
        <v>0</v>
      </c>
      <c r="AA771" s="26">
        <f>IF(B771="","",ROUND(Y771+Z771,2))</f>
        <v>0</v>
      </c>
      <c r="AB771" s="26">
        <f>IF(B771="","",ROUND(T771*IF(H771="Retail",IFERROR(INDEX(Inventory!$H$5:$H$304,MATCH(I771,Inventory!$A$5:$A$304,0))*1,0),IFERROR(INDEX(Services!$Q$5:$Q$204,MATCH(I771,Services!$A$5:$A$204,0))*1,0)),2))</f>
        <v>0</v>
      </c>
      <c r="AC771" s="26">
        <f>IF(B771="","",ROUND(Y771-AB771,2))</f>
        <v>0</v>
      </c>
      <c r="AD771" s="38">
        <f>IF(B771="","",IF(C771="","No",IF(COUNTIFS($C$5:C771,C771)=1,"Yes","No")))</f>
        <v>0</v>
      </c>
      <c r="AE771" s="26">
        <f>IF(B771="","",ROUND(SUMIFS(Payments!$G$5:$G$1204,Payments!$H$5:$H$1204,A771,Payments!$Q$5:$Q$1204,"Yes"),2))</f>
        <v>0</v>
      </c>
      <c r="AF771" s="26">
        <f>IF(B771="","",IF(AD771="No",0,ROUND(SUMIFS(Payments!$G$5:$G$1204,Payments!$I$5:$I$1204,C771,Payments!$H$5:$H$1204,"",Payments!$Q$5:$Q$1204,"Yes"),2)))</f>
        <v>0</v>
      </c>
      <c r="AG771" s="26">
        <f>IF(B771="","",ROUND(AE771+AF771,2))</f>
        <v>0</v>
      </c>
      <c r="AH771" s="26">
        <f>IF(B771="","",ROUND(AA771-AG771,2))</f>
        <v>0</v>
      </c>
      <c r="AI771" s="39">
        <f>IF(B771="","",IF(AA771&lt;=0,"No charge",IF(AH771&lt;=0.004,"Paid",IF(AG771&lt;=0.004,"Unpaid","Part paid"))))</f>
        <v>0</v>
      </c>
      <c r="AJ771" s="38">
        <f>IF(B771="","",IF(H771&lt;&gt;"Service","",IF(D771="","No",IF(COUNTIFS($D$5:$D$1204,D771,$B$5:$B$1204,B771,$H$5:$H$1204,"Retail")&gt;0,"Yes","No"))))</f>
        <v>0</v>
      </c>
      <c r="AK771" s="25">
        <f>IF(B771="","",COUNTIFS($Y$5:$Y$1204,"&gt;"&amp;Y771)+COUNTIFS($Y$5:Y771,Y771))</f>
        <v>0</v>
      </c>
      <c r="AL771" s="39">
        <f>IF(B771="","",IF(H771="","Add - what kind of sale is this?",IF(IF(V771&lt;=0,P771="",FALSE),"Check - no price found for this item",IF(F771="","Assign - nobody credited",IF(AH771&gt;0.004,"Unpaid - balance outstanding",IF(AC771&lt;0,"Loss - sold below cost",IF(X771&gt;W771*0.5,"Check - more than half off","OK")))))))</f>
        <v>0</v>
      </c>
    </row>
    <row r="772" spans="1:38">
      <c r="A772" s="28">
        <f>IF(B772="","",SalePrefix&amp;TEXT(ROW()-4,"0000"))</f>
        <v>0</v>
      </c>
      <c r="E772" s="15">
        <f>IF(D772="","",IFERROR(INDEX(Clients!$B$5:$B$504,MATCH(D772,Clients!$A$5:$A$504,0)),"Walk-in"))</f>
        <v>0</v>
      </c>
      <c r="G772" s="15">
        <f>IF(F772="","",IFERROR(INDEX(Staff!$B$5:$B$44,MATCH(F772,Staff!$A$5:$A$44,0)),"House"))</f>
        <v>0</v>
      </c>
      <c r="R772" s="15">
        <f>IF(B772="","",TEXT(B772,"yyyy-mm"))</f>
        <v>0</v>
      </c>
      <c r="S772" s="25">
        <f>IF(B772="","",WEEKNUM(B772,2))</f>
        <v>0</v>
      </c>
      <c r="T772" s="37">
        <f>IF(B772="","",IF(K772="",1,K772))</f>
        <v>0</v>
      </c>
      <c r="U772" s="15">
        <f>IF(B772="","",IF(J772&lt;&gt;"",J772,IF(H772="Retail",IFERROR(INDEX(Inventory!$B$5:$B$304,MATCH(I772,Inventory!$A$5:$A$304,0))&amp;"","Not in Inventory"),IFERROR(INDEX(Services!$B$5:$B$204,MATCH(I772,Services!$A$5:$A$204,0))&amp;"","Not in Services"))))</f>
        <v>0</v>
      </c>
      <c r="V772" s="26">
        <f>IF(B772="","",IF(L772&lt;&gt;"",L772,IF(H772="Retail",IFERROR(INDEX(Inventory!$I$5:$I$304,MATCH(I772,Inventory!$A$5:$A$304,0))*1,0),IFERROR(INDEX(Services!$G$5:$G$204,MATCH(I772,Services!$A$5:$A$204,0))*1,0))))</f>
        <v>0</v>
      </c>
      <c r="W772" s="26">
        <f>IF(B772="","",ROUND(T772*V772,2))</f>
        <v>0</v>
      </c>
      <c r="X772" s="26">
        <f>IF(B772="","",ROUND(IF(M772="",0,W772*M772)+IF(N772="",0,N772),2))</f>
        <v>0</v>
      </c>
      <c r="Y772" s="26">
        <f>IF(B772="","",ROUND(W772-X772-IF(P772="",0,P772),2))</f>
        <v>0</v>
      </c>
      <c r="Z772" s="26">
        <f>IF(B772="","",IF(H772="Retail",IF(TaxOnRetail="Yes",ROUND(Y772*TaxRate,2),0),IF(H772="Service",IF(TaxOnServices="Yes",ROUND(Y772*TaxRate,2),0),0)))</f>
        <v>0</v>
      </c>
      <c r="AA772" s="26">
        <f>IF(B772="","",ROUND(Y772+Z772,2))</f>
        <v>0</v>
      </c>
      <c r="AB772" s="26">
        <f>IF(B772="","",ROUND(T772*IF(H772="Retail",IFERROR(INDEX(Inventory!$H$5:$H$304,MATCH(I772,Inventory!$A$5:$A$304,0))*1,0),IFERROR(INDEX(Services!$Q$5:$Q$204,MATCH(I772,Services!$A$5:$A$204,0))*1,0)),2))</f>
        <v>0</v>
      </c>
      <c r="AC772" s="26">
        <f>IF(B772="","",ROUND(Y772-AB772,2))</f>
        <v>0</v>
      </c>
      <c r="AD772" s="38">
        <f>IF(B772="","",IF(C772="","No",IF(COUNTIFS($C$5:C772,C772)=1,"Yes","No")))</f>
        <v>0</v>
      </c>
      <c r="AE772" s="26">
        <f>IF(B772="","",ROUND(SUMIFS(Payments!$G$5:$G$1204,Payments!$H$5:$H$1204,A772,Payments!$Q$5:$Q$1204,"Yes"),2))</f>
        <v>0</v>
      </c>
      <c r="AF772" s="26">
        <f>IF(B772="","",IF(AD772="No",0,ROUND(SUMIFS(Payments!$G$5:$G$1204,Payments!$I$5:$I$1204,C772,Payments!$H$5:$H$1204,"",Payments!$Q$5:$Q$1204,"Yes"),2)))</f>
        <v>0</v>
      </c>
      <c r="AG772" s="26">
        <f>IF(B772="","",ROUND(AE772+AF772,2))</f>
        <v>0</v>
      </c>
      <c r="AH772" s="26">
        <f>IF(B772="","",ROUND(AA772-AG772,2))</f>
        <v>0</v>
      </c>
      <c r="AI772" s="39">
        <f>IF(B772="","",IF(AA772&lt;=0,"No charge",IF(AH772&lt;=0.004,"Paid",IF(AG772&lt;=0.004,"Unpaid","Part paid"))))</f>
        <v>0</v>
      </c>
      <c r="AJ772" s="38">
        <f>IF(B772="","",IF(H772&lt;&gt;"Service","",IF(D772="","No",IF(COUNTIFS($D$5:$D$1204,D772,$B$5:$B$1204,B772,$H$5:$H$1204,"Retail")&gt;0,"Yes","No"))))</f>
        <v>0</v>
      </c>
      <c r="AK772" s="25">
        <f>IF(B772="","",COUNTIFS($Y$5:$Y$1204,"&gt;"&amp;Y772)+COUNTIFS($Y$5:Y772,Y772))</f>
        <v>0</v>
      </c>
      <c r="AL772" s="39">
        <f>IF(B772="","",IF(H772="","Add - what kind of sale is this?",IF(IF(V772&lt;=0,P772="",FALSE),"Check - no price found for this item",IF(F772="","Assign - nobody credited",IF(AH772&gt;0.004,"Unpaid - balance outstanding",IF(AC772&lt;0,"Loss - sold below cost",IF(X772&gt;W772*0.5,"Check - more than half off","OK")))))))</f>
        <v>0</v>
      </c>
    </row>
    <row r="773" spans="1:38">
      <c r="A773" s="28">
        <f>IF(B773="","",SalePrefix&amp;TEXT(ROW()-4,"0000"))</f>
        <v>0</v>
      </c>
      <c r="E773" s="15">
        <f>IF(D773="","",IFERROR(INDEX(Clients!$B$5:$B$504,MATCH(D773,Clients!$A$5:$A$504,0)),"Walk-in"))</f>
        <v>0</v>
      </c>
      <c r="G773" s="15">
        <f>IF(F773="","",IFERROR(INDEX(Staff!$B$5:$B$44,MATCH(F773,Staff!$A$5:$A$44,0)),"House"))</f>
        <v>0</v>
      </c>
      <c r="R773" s="15">
        <f>IF(B773="","",TEXT(B773,"yyyy-mm"))</f>
        <v>0</v>
      </c>
      <c r="S773" s="25">
        <f>IF(B773="","",WEEKNUM(B773,2))</f>
        <v>0</v>
      </c>
      <c r="T773" s="37">
        <f>IF(B773="","",IF(K773="",1,K773))</f>
        <v>0</v>
      </c>
      <c r="U773" s="15">
        <f>IF(B773="","",IF(J773&lt;&gt;"",J773,IF(H773="Retail",IFERROR(INDEX(Inventory!$B$5:$B$304,MATCH(I773,Inventory!$A$5:$A$304,0))&amp;"","Not in Inventory"),IFERROR(INDEX(Services!$B$5:$B$204,MATCH(I773,Services!$A$5:$A$204,0))&amp;"","Not in Services"))))</f>
        <v>0</v>
      </c>
      <c r="V773" s="26">
        <f>IF(B773="","",IF(L773&lt;&gt;"",L773,IF(H773="Retail",IFERROR(INDEX(Inventory!$I$5:$I$304,MATCH(I773,Inventory!$A$5:$A$304,0))*1,0),IFERROR(INDEX(Services!$G$5:$G$204,MATCH(I773,Services!$A$5:$A$204,0))*1,0))))</f>
        <v>0</v>
      </c>
      <c r="W773" s="26">
        <f>IF(B773="","",ROUND(T773*V773,2))</f>
        <v>0</v>
      </c>
      <c r="X773" s="26">
        <f>IF(B773="","",ROUND(IF(M773="",0,W773*M773)+IF(N773="",0,N773),2))</f>
        <v>0</v>
      </c>
      <c r="Y773" s="26">
        <f>IF(B773="","",ROUND(W773-X773-IF(P773="",0,P773),2))</f>
        <v>0</v>
      </c>
      <c r="Z773" s="26">
        <f>IF(B773="","",IF(H773="Retail",IF(TaxOnRetail="Yes",ROUND(Y773*TaxRate,2),0),IF(H773="Service",IF(TaxOnServices="Yes",ROUND(Y773*TaxRate,2),0),0)))</f>
        <v>0</v>
      </c>
      <c r="AA773" s="26">
        <f>IF(B773="","",ROUND(Y773+Z773,2))</f>
        <v>0</v>
      </c>
      <c r="AB773" s="26">
        <f>IF(B773="","",ROUND(T773*IF(H773="Retail",IFERROR(INDEX(Inventory!$H$5:$H$304,MATCH(I773,Inventory!$A$5:$A$304,0))*1,0),IFERROR(INDEX(Services!$Q$5:$Q$204,MATCH(I773,Services!$A$5:$A$204,0))*1,0)),2))</f>
        <v>0</v>
      </c>
      <c r="AC773" s="26">
        <f>IF(B773="","",ROUND(Y773-AB773,2))</f>
        <v>0</v>
      </c>
      <c r="AD773" s="38">
        <f>IF(B773="","",IF(C773="","No",IF(COUNTIFS($C$5:C773,C773)=1,"Yes","No")))</f>
        <v>0</v>
      </c>
      <c r="AE773" s="26">
        <f>IF(B773="","",ROUND(SUMIFS(Payments!$G$5:$G$1204,Payments!$H$5:$H$1204,A773,Payments!$Q$5:$Q$1204,"Yes"),2))</f>
        <v>0</v>
      </c>
      <c r="AF773" s="26">
        <f>IF(B773="","",IF(AD773="No",0,ROUND(SUMIFS(Payments!$G$5:$G$1204,Payments!$I$5:$I$1204,C773,Payments!$H$5:$H$1204,"",Payments!$Q$5:$Q$1204,"Yes"),2)))</f>
        <v>0</v>
      </c>
      <c r="AG773" s="26">
        <f>IF(B773="","",ROUND(AE773+AF773,2))</f>
        <v>0</v>
      </c>
      <c r="AH773" s="26">
        <f>IF(B773="","",ROUND(AA773-AG773,2))</f>
        <v>0</v>
      </c>
      <c r="AI773" s="39">
        <f>IF(B773="","",IF(AA773&lt;=0,"No charge",IF(AH773&lt;=0.004,"Paid",IF(AG773&lt;=0.004,"Unpaid","Part paid"))))</f>
        <v>0</v>
      </c>
      <c r="AJ773" s="38">
        <f>IF(B773="","",IF(H773&lt;&gt;"Service","",IF(D773="","No",IF(COUNTIFS($D$5:$D$1204,D773,$B$5:$B$1204,B773,$H$5:$H$1204,"Retail")&gt;0,"Yes","No"))))</f>
        <v>0</v>
      </c>
      <c r="AK773" s="25">
        <f>IF(B773="","",COUNTIFS($Y$5:$Y$1204,"&gt;"&amp;Y773)+COUNTIFS($Y$5:Y773,Y773))</f>
        <v>0</v>
      </c>
      <c r="AL773" s="39">
        <f>IF(B773="","",IF(H773="","Add - what kind of sale is this?",IF(IF(V773&lt;=0,P773="",FALSE),"Check - no price found for this item",IF(F773="","Assign - nobody credited",IF(AH773&gt;0.004,"Unpaid - balance outstanding",IF(AC773&lt;0,"Loss - sold below cost",IF(X773&gt;W773*0.5,"Check - more than half off","OK")))))))</f>
        <v>0</v>
      </c>
    </row>
    <row r="774" spans="1:38">
      <c r="A774" s="28">
        <f>IF(B774="","",SalePrefix&amp;TEXT(ROW()-4,"0000"))</f>
        <v>0</v>
      </c>
      <c r="E774" s="15">
        <f>IF(D774="","",IFERROR(INDEX(Clients!$B$5:$B$504,MATCH(D774,Clients!$A$5:$A$504,0)),"Walk-in"))</f>
        <v>0</v>
      </c>
      <c r="G774" s="15">
        <f>IF(F774="","",IFERROR(INDEX(Staff!$B$5:$B$44,MATCH(F774,Staff!$A$5:$A$44,0)),"House"))</f>
        <v>0</v>
      </c>
      <c r="R774" s="15">
        <f>IF(B774="","",TEXT(B774,"yyyy-mm"))</f>
        <v>0</v>
      </c>
      <c r="S774" s="25">
        <f>IF(B774="","",WEEKNUM(B774,2))</f>
        <v>0</v>
      </c>
      <c r="T774" s="37">
        <f>IF(B774="","",IF(K774="",1,K774))</f>
        <v>0</v>
      </c>
      <c r="U774" s="15">
        <f>IF(B774="","",IF(J774&lt;&gt;"",J774,IF(H774="Retail",IFERROR(INDEX(Inventory!$B$5:$B$304,MATCH(I774,Inventory!$A$5:$A$304,0))&amp;"","Not in Inventory"),IFERROR(INDEX(Services!$B$5:$B$204,MATCH(I774,Services!$A$5:$A$204,0))&amp;"","Not in Services"))))</f>
        <v>0</v>
      </c>
      <c r="V774" s="26">
        <f>IF(B774="","",IF(L774&lt;&gt;"",L774,IF(H774="Retail",IFERROR(INDEX(Inventory!$I$5:$I$304,MATCH(I774,Inventory!$A$5:$A$304,0))*1,0),IFERROR(INDEX(Services!$G$5:$G$204,MATCH(I774,Services!$A$5:$A$204,0))*1,0))))</f>
        <v>0</v>
      </c>
      <c r="W774" s="26">
        <f>IF(B774="","",ROUND(T774*V774,2))</f>
        <v>0</v>
      </c>
      <c r="X774" s="26">
        <f>IF(B774="","",ROUND(IF(M774="",0,W774*M774)+IF(N774="",0,N774),2))</f>
        <v>0</v>
      </c>
      <c r="Y774" s="26">
        <f>IF(B774="","",ROUND(W774-X774-IF(P774="",0,P774),2))</f>
        <v>0</v>
      </c>
      <c r="Z774" s="26">
        <f>IF(B774="","",IF(H774="Retail",IF(TaxOnRetail="Yes",ROUND(Y774*TaxRate,2),0),IF(H774="Service",IF(TaxOnServices="Yes",ROUND(Y774*TaxRate,2),0),0)))</f>
        <v>0</v>
      </c>
      <c r="AA774" s="26">
        <f>IF(B774="","",ROUND(Y774+Z774,2))</f>
        <v>0</v>
      </c>
      <c r="AB774" s="26">
        <f>IF(B774="","",ROUND(T774*IF(H774="Retail",IFERROR(INDEX(Inventory!$H$5:$H$304,MATCH(I774,Inventory!$A$5:$A$304,0))*1,0),IFERROR(INDEX(Services!$Q$5:$Q$204,MATCH(I774,Services!$A$5:$A$204,0))*1,0)),2))</f>
        <v>0</v>
      </c>
      <c r="AC774" s="26">
        <f>IF(B774="","",ROUND(Y774-AB774,2))</f>
        <v>0</v>
      </c>
      <c r="AD774" s="38">
        <f>IF(B774="","",IF(C774="","No",IF(COUNTIFS($C$5:C774,C774)=1,"Yes","No")))</f>
        <v>0</v>
      </c>
      <c r="AE774" s="26">
        <f>IF(B774="","",ROUND(SUMIFS(Payments!$G$5:$G$1204,Payments!$H$5:$H$1204,A774,Payments!$Q$5:$Q$1204,"Yes"),2))</f>
        <v>0</v>
      </c>
      <c r="AF774" s="26">
        <f>IF(B774="","",IF(AD774="No",0,ROUND(SUMIFS(Payments!$G$5:$G$1204,Payments!$I$5:$I$1204,C774,Payments!$H$5:$H$1204,"",Payments!$Q$5:$Q$1204,"Yes"),2)))</f>
        <v>0</v>
      </c>
      <c r="AG774" s="26">
        <f>IF(B774="","",ROUND(AE774+AF774,2))</f>
        <v>0</v>
      </c>
      <c r="AH774" s="26">
        <f>IF(B774="","",ROUND(AA774-AG774,2))</f>
        <v>0</v>
      </c>
      <c r="AI774" s="39">
        <f>IF(B774="","",IF(AA774&lt;=0,"No charge",IF(AH774&lt;=0.004,"Paid",IF(AG774&lt;=0.004,"Unpaid","Part paid"))))</f>
        <v>0</v>
      </c>
      <c r="AJ774" s="38">
        <f>IF(B774="","",IF(H774&lt;&gt;"Service","",IF(D774="","No",IF(COUNTIFS($D$5:$D$1204,D774,$B$5:$B$1204,B774,$H$5:$H$1204,"Retail")&gt;0,"Yes","No"))))</f>
        <v>0</v>
      </c>
      <c r="AK774" s="25">
        <f>IF(B774="","",COUNTIFS($Y$5:$Y$1204,"&gt;"&amp;Y774)+COUNTIFS($Y$5:Y774,Y774))</f>
        <v>0</v>
      </c>
      <c r="AL774" s="39">
        <f>IF(B774="","",IF(H774="","Add - what kind of sale is this?",IF(IF(V774&lt;=0,P774="",FALSE),"Check - no price found for this item",IF(F774="","Assign - nobody credited",IF(AH774&gt;0.004,"Unpaid - balance outstanding",IF(AC774&lt;0,"Loss - sold below cost",IF(X774&gt;W774*0.5,"Check - more than half off","OK")))))))</f>
        <v>0</v>
      </c>
    </row>
    <row r="775" spans="1:38">
      <c r="A775" s="28">
        <f>IF(B775="","",SalePrefix&amp;TEXT(ROW()-4,"0000"))</f>
        <v>0</v>
      </c>
      <c r="E775" s="15">
        <f>IF(D775="","",IFERROR(INDEX(Clients!$B$5:$B$504,MATCH(D775,Clients!$A$5:$A$504,0)),"Walk-in"))</f>
        <v>0</v>
      </c>
      <c r="G775" s="15">
        <f>IF(F775="","",IFERROR(INDEX(Staff!$B$5:$B$44,MATCH(F775,Staff!$A$5:$A$44,0)),"House"))</f>
        <v>0</v>
      </c>
      <c r="R775" s="15">
        <f>IF(B775="","",TEXT(B775,"yyyy-mm"))</f>
        <v>0</v>
      </c>
      <c r="S775" s="25">
        <f>IF(B775="","",WEEKNUM(B775,2))</f>
        <v>0</v>
      </c>
      <c r="T775" s="37">
        <f>IF(B775="","",IF(K775="",1,K775))</f>
        <v>0</v>
      </c>
      <c r="U775" s="15">
        <f>IF(B775="","",IF(J775&lt;&gt;"",J775,IF(H775="Retail",IFERROR(INDEX(Inventory!$B$5:$B$304,MATCH(I775,Inventory!$A$5:$A$304,0))&amp;"","Not in Inventory"),IFERROR(INDEX(Services!$B$5:$B$204,MATCH(I775,Services!$A$5:$A$204,0))&amp;"","Not in Services"))))</f>
        <v>0</v>
      </c>
      <c r="V775" s="26">
        <f>IF(B775="","",IF(L775&lt;&gt;"",L775,IF(H775="Retail",IFERROR(INDEX(Inventory!$I$5:$I$304,MATCH(I775,Inventory!$A$5:$A$304,0))*1,0),IFERROR(INDEX(Services!$G$5:$G$204,MATCH(I775,Services!$A$5:$A$204,0))*1,0))))</f>
        <v>0</v>
      </c>
      <c r="W775" s="26">
        <f>IF(B775="","",ROUND(T775*V775,2))</f>
        <v>0</v>
      </c>
      <c r="X775" s="26">
        <f>IF(B775="","",ROUND(IF(M775="",0,W775*M775)+IF(N775="",0,N775),2))</f>
        <v>0</v>
      </c>
      <c r="Y775" s="26">
        <f>IF(B775="","",ROUND(W775-X775-IF(P775="",0,P775),2))</f>
        <v>0</v>
      </c>
      <c r="Z775" s="26">
        <f>IF(B775="","",IF(H775="Retail",IF(TaxOnRetail="Yes",ROUND(Y775*TaxRate,2),0),IF(H775="Service",IF(TaxOnServices="Yes",ROUND(Y775*TaxRate,2),0),0)))</f>
        <v>0</v>
      </c>
      <c r="AA775" s="26">
        <f>IF(B775="","",ROUND(Y775+Z775,2))</f>
        <v>0</v>
      </c>
      <c r="AB775" s="26">
        <f>IF(B775="","",ROUND(T775*IF(H775="Retail",IFERROR(INDEX(Inventory!$H$5:$H$304,MATCH(I775,Inventory!$A$5:$A$304,0))*1,0),IFERROR(INDEX(Services!$Q$5:$Q$204,MATCH(I775,Services!$A$5:$A$204,0))*1,0)),2))</f>
        <v>0</v>
      </c>
      <c r="AC775" s="26">
        <f>IF(B775="","",ROUND(Y775-AB775,2))</f>
        <v>0</v>
      </c>
      <c r="AD775" s="38">
        <f>IF(B775="","",IF(C775="","No",IF(COUNTIFS($C$5:C775,C775)=1,"Yes","No")))</f>
        <v>0</v>
      </c>
      <c r="AE775" s="26">
        <f>IF(B775="","",ROUND(SUMIFS(Payments!$G$5:$G$1204,Payments!$H$5:$H$1204,A775,Payments!$Q$5:$Q$1204,"Yes"),2))</f>
        <v>0</v>
      </c>
      <c r="AF775" s="26">
        <f>IF(B775="","",IF(AD775="No",0,ROUND(SUMIFS(Payments!$G$5:$G$1204,Payments!$I$5:$I$1204,C775,Payments!$H$5:$H$1204,"",Payments!$Q$5:$Q$1204,"Yes"),2)))</f>
        <v>0</v>
      </c>
      <c r="AG775" s="26">
        <f>IF(B775="","",ROUND(AE775+AF775,2))</f>
        <v>0</v>
      </c>
      <c r="AH775" s="26">
        <f>IF(B775="","",ROUND(AA775-AG775,2))</f>
        <v>0</v>
      </c>
      <c r="AI775" s="39">
        <f>IF(B775="","",IF(AA775&lt;=0,"No charge",IF(AH775&lt;=0.004,"Paid",IF(AG775&lt;=0.004,"Unpaid","Part paid"))))</f>
        <v>0</v>
      </c>
      <c r="AJ775" s="38">
        <f>IF(B775="","",IF(H775&lt;&gt;"Service","",IF(D775="","No",IF(COUNTIFS($D$5:$D$1204,D775,$B$5:$B$1204,B775,$H$5:$H$1204,"Retail")&gt;0,"Yes","No"))))</f>
        <v>0</v>
      </c>
      <c r="AK775" s="25">
        <f>IF(B775="","",COUNTIFS($Y$5:$Y$1204,"&gt;"&amp;Y775)+COUNTIFS($Y$5:Y775,Y775))</f>
        <v>0</v>
      </c>
      <c r="AL775" s="39">
        <f>IF(B775="","",IF(H775="","Add - what kind of sale is this?",IF(IF(V775&lt;=0,P775="",FALSE),"Check - no price found for this item",IF(F775="","Assign - nobody credited",IF(AH775&gt;0.004,"Unpaid - balance outstanding",IF(AC775&lt;0,"Loss - sold below cost",IF(X775&gt;W775*0.5,"Check - more than half off","OK")))))))</f>
        <v>0</v>
      </c>
    </row>
    <row r="776" spans="1:38">
      <c r="A776" s="28">
        <f>IF(B776="","",SalePrefix&amp;TEXT(ROW()-4,"0000"))</f>
        <v>0</v>
      </c>
      <c r="E776" s="15">
        <f>IF(D776="","",IFERROR(INDEX(Clients!$B$5:$B$504,MATCH(D776,Clients!$A$5:$A$504,0)),"Walk-in"))</f>
        <v>0</v>
      </c>
      <c r="G776" s="15">
        <f>IF(F776="","",IFERROR(INDEX(Staff!$B$5:$B$44,MATCH(F776,Staff!$A$5:$A$44,0)),"House"))</f>
        <v>0</v>
      </c>
      <c r="R776" s="15">
        <f>IF(B776="","",TEXT(B776,"yyyy-mm"))</f>
        <v>0</v>
      </c>
      <c r="S776" s="25">
        <f>IF(B776="","",WEEKNUM(B776,2))</f>
        <v>0</v>
      </c>
      <c r="T776" s="37">
        <f>IF(B776="","",IF(K776="",1,K776))</f>
        <v>0</v>
      </c>
      <c r="U776" s="15">
        <f>IF(B776="","",IF(J776&lt;&gt;"",J776,IF(H776="Retail",IFERROR(INDEX(Inventory!$B$5:$B$304,MATCH(I776,Inventory!$A$5:$A$304,0))&amp;"","Not in Inventory"),IFERROR(INDEX(Services!$B$5:$B$204,MATCH(I776,Services!$A$5:$A$204,0))&amp;"","Not in Services"))))</f>
        <v>0</v>
      </c>
      <c r="V776" s="26">
        <f>IF(B776="","",IF(L776&lt;&gt;"",L776,IF(H776="Retail",IFERROR(INDEX(Inventory!$I$5:$I$304,MATCH(I776,Inventory!$A$5:$A$304,0))*1,0),IFERROR(INDEX(Services!$G$5:$G$204,MATCH(I776,Services!$A$5:$A$204,0))*1,0))))</f>
        <v>0</v>
      </c>
      <c r="W776" s="26">
        <f>IF(B776="","",ROUND(T776*V776,2))</f>
        <v>0</v>
      </c>
      <c r="X776" s="26">
        <f>IF(B776="","",ROUND(IF(M776="",0,W776*M776)+IF(N776="",0,N776),2))</f>
        <v>0</v>
      </c>
      <c r="Y776" s="26">
        <f>IF(B776="","",ROUND(W776-X776-IF(P776="",0,P776),2))</f>
        <v>0</v>
      </c>
      <c r="Z776" s="26">
        <f>IF(B776="","",IF(H776="Retail",IF(TaxOnRetail="Yes",ROUND(Y776*TaxRate,2),0),IF(H776="Service",IF(TaxOnServices="Yes",ROUND(Y776*TaxRate,2),0),0)))</f>
        <v>0</v>
      </c>
      <c r="AA776" s="26">
        <f>IF(B776="","",ROUND(Y776+Z776,2))</f>
        <v>0</v>
      </c>
      <c r="AB776" s="26">
        <f>IF(B776="","",ROUND(T776*IF(H776="Retail",IFERROR(INDEX(Inventory!$H$5:$H$304,MATCH(I776,Inventory!$A$5:$A$304,0))*1,0),IFERROR(INDEX(Services!$Q$5:$Q$204,MATCH(I776,Services!$A$5:$A$204,0))*1,0)),2))</f>
        <v>0</v>
      </c>
      <c r="AC776" s="26">
        <f>IF(B776="","",ROUND(Y776-AB776,2))</f>
        <v>0</v>
      </c>
      <c r="AD776" s="38">
        <f>IF(B776="","",IF(C776="","No",IF(COUNTIFS($C$5:C776,C776)=1,"Yes","No")))</f>
        <v>0</v>
      </c>
      <c r="AE776" s="26">
        <f>IF(B776="","",ROUND(SUMIFS(Payments!$G$5:$G$1204,Payments!$H$5:$H$1204,A776,Payments!$Q$5:$Q$1204,"Yes"),2))</f>
        <v>0</v>
      </c>
      <c r="AF776" s="26">
        <f>IF(B776="","",IF(AD776="No",0,ROUND(SUMIFS(Payments!$G$5:$G$1204,Payments!$I$5:$I$1204,C776,Payments!$H$5:$H$1204,"",Payments!$Q$5:$Q$1204,"Yes"),2)))</f>
        <v>0</v>
      </c>
      <c r="AG776" s="26">
        <f>IF(B776="","",ROUND(AE776+AF776,2))</f>
        <v>0</v>
      </c>
      <c r="AH776" s="26">
        <f>IF(B776="","",ROUND(AA776-AG776,2))</f>
        <v>0</v>
      </c>
      <c r="AI776" s="39">
        <f>IF(B776="","",IF(AA776&lt;=0,"No charge",IF(AH776&lt;=0.004,"Paid",IF(AG776&lt;=0.004,"Unpaid","Part paid"))))</f>
        <v>0</v>
      </c>
      <c r="AJ776" s="38">
        <f>IF(B776="","",IF(H776&lt;&gt;"Service","",IF(D776="","No",IF(COUNTIFS($D$5:$D$1204,D776,$B$5:$B$1204,B776,$H$5:$H$1204,"Retail")&gt;0,"Yes","No"))))</f>
        <v>0</v>
      </c>
      <c r="AK776" s="25">
        <f>IF(B776="","",COUNTIFS($Y$5:$Y$1204,"&gt;"&amp;Y776)+COUNTIFS($Y$5:Y776,Y776))</f>
        <v>0</v>
      </c>
      <c r="AL776" s="39">
        <f>IF(B776="","",IF(H776="","Add - what kind of sale is this?",IF(IF(V776&lt;=0,P776="",FALSE),"Check - no price found for this item",IF(F776="","Assign - nobody credited",IF(AH776&gt;0.004,"Unpaid - balance outstanding",IF(AC776&lt;0,"Loss - sold below cost",IF(X776&gt;W776*0.5,"Check - more than half off","OK")))))))</f>
        <v>0</v>
      </c>
    </row>
    <row r="777" spans="1:38">
      <c r="A777" s="28">
        <f>IF(B777="","",SalePrefix&amp;TEXT(ROW()-4,"0000"))</f>
        <v>0</v>
      </c>
      <c r="E777" s="15">
        <f>IF(D777="","",IFERROR(INDEX(Clients!$B$5:$B$504,MATCH(D777,Clients!$A$5:$A$504,0)),"Walk-in"))</f>
        <v>0</v>
      </c>
      <c r="G777" s="15">
        <f>IF(F777="","",IFERROR(INDEX(Staff!$B$5:$B$44,MATCH(F777,Staff!$A$5:$A$44,0)),"House"))</f>
        <v>0</v>
      </c>
      <c r="R777" s="15">
        <f>IF(B777="","",TEXT(B777,"yyyy-mm"))</f>
        <v>0</v>
      </c>
      <c r="S777" s="25">
        <f>IF(B777="","",WEEKNUM(B777,2))</f>
        <v>0</v>
      </c>
      <c r="T777" s="37">
        <f>IF(B777="","",IF(K777="",1,K777))</f>
        <v>0</v>
      </c>
      <c r="U777" s="15">
        <f>IF(B777="","",IF(J777&lt;&gt;"",J777,IF(H777="Retail",IFERROR(INDEX(Inventory!$B$5:$B$304,MATCH(I777,Inventory!$A$5:$A$304,0))&amp;"","Not in Inventory"),IFERROR(INDEX(Services!$B$5:$B$204,MATCH(I777,Services!$A$5:$A$204,0))&amp;"","Not in Services"))))</f>
        <v>0</v>
      </c>
      <c r="V777" s="26">
        <f>IF(B777="","",IF(L777&lt;&gt;"",L777,IF(H777="Retail",IFERROR(INDEX(Inventory!$I$5:$I$304,MATCH(I777,Inventory!$A$5:$A$304,0))*1,0),IFERROR(INDEX(Services!$G$5:$G$204,MATCH(I777,Services!$A$5:$A$204,0))*1,0))))</f>
        <v>0</v>
      </c>
      <c r="W777" s="26">
        <f>IF(B777="","",ROUND(T777*V777,2))</f>
        <v>0</v>
      </c>
      <c r="X777" s="26">
        <f>IF(B777="","",ROUND(IF(M777="",0,W777*M777)+IF(N777="",0,N777),2))</f>
        <v>0</v>
      </c>
      <c r="Y777" s="26">
        <f>IF(B777="","",ROUND(W777-X777-IF(P777="",0,P777),2))</f>
        <v>0</v>
      </c>
      <c r="Z777" s="26">
        <f>IF(B777="","",IF(H777="Retail",IF(TaxOnRetail="Yes",ROUND(Y777*TaxRate,2),0),IF(H777="Service",IF(TaxOnServices="Yes",ROUND(Y777*TaxRate,2),0),0)))</f>
        <v>0</v>
      </c>
      <c r="AA777" s="26">
        <f>IF(B777="","",ROUND(Y777+Z777,2))</f>
        <v>0</v>
      </c>
      <c r="AB777" s="26">
        <f>IF(B777="","",ROUND(T777*IF(H777="Retail",IFERROR(INDEX(Inventory!$H$5:$H$304,MATCH(I777,Inventory!$A$5:$A$304,0))*1,0),IFERROR(INDEX(Services!$Q$5:$Q$204,MATCH(I777,Services!$A$5:$A$204,0))*1,0)),2))</f>
        <v>0</v>
      </c>
      <c r="AC777" s="26">
        <f>IF(B777="","",ROUND(Y777-AB777,2))</f>
        <v>0</v>
      </c>
      <c r="AD777" s="38">
        <f>IF(B777="","",IF(C777="","No",IF(COUNTIFS($C$5:C777,C777)=1,"Yes","No")))</f>
        <v>0</v>
      </c>
      <c r="AE777" s="26">
        <f>IF(B777="","",ROUND(SUMIFS(Payments!$G$5:$G$1204,Payments!$H$5:$H$1204,A777,Payments!$Q$5:$Q$1204,"Yes"),2))</f>
        <v>0</v>
      </c>
      <c r="AF777" s="26">
        <f>IF(B777="","",IF(AD777="No",0,ROUND(SUMIFS(Payments!$G$5:$G$1204,Payments!$I$5:$I$1204,C777,Payments!$H$5:$H$1204,"",Payments!$Q$5:$Q$1204,"Yes"),2)))</f>
        <v>0</v>
      </c>
      <c r="AG777" s="26">
        <f>IF(B777="","",ROUND(AE777+AF777,2))</f>
        <v>0</v>
      </c>
      <c r="AH777" s="26">
        <f>IF(B777="","",ROUND(AA777-AG777,2))</f>
        <v>0</v>
      </c>
      <c r="AI777" s="39">
        <f>IF(B777="","",IF(AA777&lt;=0,"No charge",IF(AH777&lt;=0.004,"Paid",IF(AG777&lt;=0.004,"Unpaid","Part paid"))))</f>
        <v>0</v>
      </c>
      <c r="AJ777" s="38">
        <f>IF(B777="","",IF(H777&lt;&gt;"Service","",IF(D777="","No",IF(COUNTIFS($D$5:$D$1204,D777,$B$5:$B$1204,B777,$H$5:$H$1204,"Retail")&gt;0,"Yes","No"))))</f>
        <v>0</v>
      </c>
      <c r="AK777" s="25">
        <f>IF(B777="","",COUNTIFS($Y$5:$Y$1204,"&gt;"&amp;Y777)+COUNTIFS($Y$5:Y777,Y777))</f>
        <v>0</v>
      </c>
      <c r="AL777" s="39">
        <f>IF(B777="","",IF(H777="","Add - what kind of sale is this?",IF(IF(V777&lt;=0,P777="",FALSE),"Check - no price found for this item",IF(F777="","Assign - nobody credited",IF(AH777&gt;0.004,"Unpaid - balance outstanding",IF(AC777&lt;0,"Loss - sold below cost",IF(X777&gt;W777*0.5,"Check - more than half off","OK")))))))</f>
        <v>0</v>
      </c>
    </row>
    <row r="778" spans="1:38">
      <c r="A778" s="28">
        <f>IF(B778="","",SalePrefix&amp;TEXT(ROW()-4,"0000"))</f>
        <v>0</v>
      </c>
      <c r="E778" s="15">
        <f>IF(D778="","",IFERROR(INDEX(Clients!$B$5:$B$504,MATCH(D778,Clients!$A$5:$A$504,0)),"Walk-in"))</f>
        <v>0</v>
      </c>
      <c r="G778" s="15">
        <f>IF(F778="","",IFERROR(INDEX(Staff!$B$5:$B$44,MATCH(F778,Staff!$A$5:$A$44,0)),"House"))</f>
        <v>0</v>
      </c>
      <c r="R778" s="15">
        <f>IF(B778="","",TEXT(B778,"yyyy-mm"))</f>
        <v>0</v>
      </c>
      <c r="S778" s="25">
        <f>IF(B778="","",WEEKNUM(B778,2))</f>
        <v>0</v>
      </c>
      <c r="T778" s="37">
        <f>IF(B778="","",IF(K778="",1,K778))</f>
        <v>0</v>
      </c>
      <c r="U778" s="15">
        <f>IF(B778="","",IF(J778&lt;&gt;"",J778,IF(H778="Retail",IFERROR(INDEX(Inventory!$B$5:$B$304,MATCH(I778,Inventory!$A$5:$A$304,0))&amp;"","Not in Inventory"),IFERROR(INDEX(Services!$B$5:$B$204,MATCH(I778,Services!$A$5:$A$204,0))&amp;"","Not in Services"))))</f>
        <v>0</v>
      </c>
      <c r="V778" s="26">
        <f>IF(B778="","",IF(L778&lt;&gt;"",L778,IF(H778="Retail",IFERROR(INDEX(Inventory!$I$5:$I$304,MATCH(I778,Inventory!$A$5:$A$304,0))*1,0),IFERROR(INDEX(Services!$G$5:$G$204,MATCH(I778,Services!$A$5:$A$204,0))*1,0))))</f>
        <v>0</v>
      </c>
      <c r="W778" s="26">
        <f>IF(B778="","",ROUND(T778*V778,2))</f>
        <v>0</v>
      </c>
      <c r="X778" s="26">
        <f>IF(B778="","",ROUND(IF(M778="",0,W778*M778)+IF(N778="",0,N778),2))</f>
        <v>0</v>
      </c>
      <c r="Y778" s="26">
        <f>IF(B778="","",ROUND(W778-X778-IF(P778="",0,P778),2))</f>
        <v>0</v>
      </c>
      <c r="Z778" s="26">
        <f>IF(B778="","",IF(H778="Retail",IF(TaxOnRetail="Yes",ROUND(Y778*TaxRate,2),0),IF(H778="Service",IF(TaxOnServices="Yes",ROUND(Y778*TaxRate,2),0),0)))</f>
        <v>0</v>
      </c>
      <c r="AA778" s="26">
        <f>IF(B778="","",ROUND(Y778+Z778,2))</f>
        <v>0</v>
      </c>
      <c r="AB778" s="26">
        <f>IF(B778="","",ROUND(T778*IF(H778="Retail",IFERROR(INDEX(Inventory!$H$5:$H$304,MATCH(I778,Inventory!$A$5:$A$304,0))*1,0),IFERROR(INDEX(Services!$Q$5:$Q$204,MATCH(I778,Services!$A$5:$A$204,0))*1,0)),2))</f>
        <v>0</v>
      </c>
      <c r="AC778" s="26">
        <f>IF(B778="","",ROUND(Y778-AB778,2))</f>
        <v>0</v>
      </c>
      <c r="AD778" s="38">
        <f>IF(B778="","",IF(C778="","No",IF(COUNTIFS($C$5:C778,C778)=1,"Yes","No")))</f>
        <v>0</v>
      </c>
      <c r="AE778" s="26">
        <f>IF(B778="","",ROUND(SUMIFS(Payments!$G$5:$G$1204,Payments!$H$5:$H$1204,A778,Payments!$Q$5:$Q$1204,"Yes"),2))</f>
        <v>0</v>
      </c>
      <c r="AF778" s="26">
        <f>IF(B778="","",IF(AD778="No",0,ROUND(SUMIFS(Payments!$G$5:$G$1204,Payments!$I$5:$I$1204,C778,Payments!$H$5:$H$1204,"",Payments!$Q$5:$Q$1204,"Yes"),2)))</f>
        <v>0</v>
      </c>
      <c r="AG778" s="26">
        <f>IF(B778="","",ROUND(AE778+AF778,2))</f>
        <v>0</v>
      </c>
      <c r="AH778" s="26">
        <f>IF(B778="","",ROUND(AA778-AG778,2))</f>
        <v>0</v>
      </c>
      <c r="AI778" s="39">
        <f>IF(B778="","",IF(AA778&lt;=0,"No charge",IF(AH778&lt;=0.004,"Paid",IF(AG778&lt;=0.004,"Unpaid","Part paid"))))</f>
        <v>0</v>
      </c>
      <c r="AJ778" s="38">
        <f>IF(B778="","",IF(H778&lt;&gt;"Service","",IF(D778="","No",IF(COUNTIFS($D$5:$D$1204,D778,$B$5:$B$1204,B778,$H$5:$H$1204,"Retail")&gt;0,"Yes","No"))))</f>
        <v>0</v>
      </c>
      <c r="AK778" s="25">
        <f>IF(B778="","",COUNTIFS($Y$5:$Y$1204,"&gt;"&amp;Y778)+COUNTIFS($Y$5:Y778,Y778))</f>
        <v>0</v>
      </c>
      <c r="AL778" s="39">
        <f>IF(B778="","",IF(H778="","Add - what kind of sale is this?",IF(IF(V778&lt;=0,P778="",FALSE),"Check - no price found for this item",IF(F778="","Assign - nobody credited",IF(AH778&gt;0.004,"Unpaid - balance outstanding",IF(AC778&lt;0,"Loss - sold below cost",IF(X778&gt;W778*0.5,"Check - more than half off","OK")))))))</f>
        <v>0</v>
      </c>
    </row>
    <row r="779" spans="1:38">
      <c r="A779" s="28">
        <f>IF(B779="","",SalePrefix&amp;TEXT(ROW()-4,"0000"))</f>
        <v>0</v>
      </c>
      <c r="E779" s="15">
        <f>IF(D779="","",IFERROR(INDEX(Clients!$B$5:$B$504,MATCH(D779,Clients!$A$5:$A$504,0)),"Walk-in"))</f>
        <v>0</v>
      </c>
      <c r="G779" s="15">
        <f>IF(F779="","",IFERROR(INDEX(Staff!$B$5:$B$44,MATCH(F779,Staff!$A$5:$A$44,0)),"House"))</f>
        <v>0</v>
      </c>
      <c r="R779" s="15">
        <f>IF(B779="","",TEXT(B779,"yyyy-mm"))</f>
        <v>0</v>
      </c>
      <c r="S779" s="25">
        <f>IF(B779="","",WEEKNUM(B779,2))</f>
        <v>0</v>
      </c>
      <c r="T779" s="37">
        <f>IF(B779="","",IF(K779="",1,K779))</f>
        <v>0</v>
      </c>
      <c r="U779" s="15">
        <f>IF(B779="","",IF(J779&lt;&gt;"",J779,IF(H779="Retail",IFERROR(INDEX(Inventory!$B$5:$B$304,MATCH(I779,Inventory!$A$5:$A$304,0))&amp;"","Not in Inventory"),IFERROR(INDEX(Services!$B$5:$B$204,MATCH(I779,Services!$A$5:$A$204,0))&amp;"","Not in Services"))))</f>
        <v>0</v>
      </c>
      <c r="V779" s="26">
        <f>IF(B779="","",IF(L779&lt;&gt;"",L779,IF(H779="Retail",IFERROR(INDEX(Inventory!$I$5:$I$304,MATCH(I779,Inventory!$A$5:$A$304,0))*1,0),IFERROR(INDEX(Services!$G$5:$G$204,MATCH(I779,Services!$A$5:$A$204,0))*1,0))))</f>
        <v>0</v>
      </c>
      <c r="W779" s="26">
        <f>IF(B779="","",ROUND(T779*V779,2))</f>
        <v>0</v>
      </c>
      <c r="X779" s="26">
        <f>IF(B779="","",ROUND(IF(M779="",0,W779*M779)+IF(N779="",0,N779),2))</f>
        <v>0</v>
      </c>
      <c r="Y779" s="26">
        <f>IF(B779="","",ROUND(W779-X779-IF(P779="",0,P779),2))</f>
        <v>0</v>
      </c>
      <c r="Z779" s="26">
        <f>IF(B779="","",IF(H779="Retail",IF(TaxOnRetail="Yes",ROUND(Y779*TaxRate,2),0),IF(H779="Service",IF(TaxOnServices="Yes",ROUND(Y779*TaxRate,2),0),0)))</f>
        <v>0</v>
      </c>
      <c r="AA779" s="26">
        <f>IF(B779="","",ROUND(Y779+Z779,2))</f>
        <v>0</v>
      </c>
      <c r="AB779" s="26">
        <f>IF(B779="","",ROUND(T779*IF(H779="Retail",IFERROR(INDEX(Inventory!$H$5:$H$304,MATCH(I779,Inventory!$A$5:$A$304,0))*1,0),IFERROR(INDEX(Services!$Q$5:$Q$204,MATCH(I779,Services!$A$5:$A$204,0))*1,0)),2))</f>
        <v>0</v>
      </c>
      <c r="AC779" s="26">
        <f>IF(B779="","",ROUND(Y779-AB779,2))</f>
        <v>0</v>
      </c>
      <c r="AD779" s="38">
        <f>IF(B779="","",IF(C779="","No",IF(COUNTIFS($C$5:C779,C779)=1,"Yes","No")))</f>
        <v>0</v>
      </c>
      <c r="AE779" s="26">
        <f>IF(B779="","",ROUND(SUMIFS(Payments!$G$5:$G$1204,Payments!$H$5:$H$1204,A779,Payments!$Q$5:$Q$1204,"Yes"),2))</f>
        <v>0</v>
      </c>
      <c r="AF779" s="26">
        <f>IF(B779="","",IF(AD779="No",0,ROUND(SUMIFS(Payments!$G$5:$G$1204,Payments!$I$5:$I$1204,C779,Payments!$H$5:$H$1204,"",Payments!$Q$5:$Q$1204,"Yes"),2)))</f>
        <v>0</v>
      </c>
      <c r="AG779" s="26">
        <f>IF(B779="","",ROUND(AE779+AF779,2))</f>
        <v>0</v>
      </c>
      <c r="AH779" s="26">
        <f>IF(B779="","",ROUND(AA779-AG779,2))</f>
        <v>0</v>
      </c>
      <c r="AI779" s="39">
        <f>IF(B779="","",IF(AA779&lt;=0,"No charge",IF(AH779&lt;=0.004,"Paid",IF(AG779&lt;=0.004,"Unpaid","Part paid"))))</f>
        <v>0</v>
      </c>
      <c r="AJ779" s="38">
        <f>IF(B779="","",IF(H779&lt;&gt;"Service","",IF(D779="","No",IF(COUNTIFS($D$5:$D$1204,D779,$B$5:$B$1204,B779,$H$5:$H$1204,"Retail")&gt;0,"Yes","No"))))</f>
        <v>0</v>
      </c>
      <c r="AK779" s="25">
        <f>IF(B779="","",COUNTIFS($Y$5:$Y$1204,"&gt;"&amp;Y779)+COUNTIFS($Y$5:Y779,Y779))</f>
        <v>0</v>
      </c>
      <c r="AL779" s="39">
        <f>IF(B779="","",IF(H779="","Add - what kind of sale is this?",IF(IF(V779&lt;=0,P779="",FALSE),"Check - no price found for this item",IF(F779="","Assign - nobody credited",IF(AH779&gt;0.004,"Unpaid - balance outstanding",IF(AC779&lt;0,"Loss - sold below cost",IF(X779&gt;W779*0.5,"Check - more than half off","OK")))))))</f>
        <v>0</v>
      </c>
    </row>
    <row r="780" spans="1:38">
      <c r="A780" s="28">
        <f>IF(B780="","",SalePrefix&amp;TEXT(ROW()-4,"0000"))</f>
        <v>0</v>
      </c>
      <c r="E780" s="15">
        <f>IF(D780="","",IFERROR(INDEX(Clients!$B$5:$B$504,MATCH(D780,Clients!$A$5:$A$504,0)),"Walk-in"))</f>
        <v>0</v>
      </c>
      <c r="G780" s="15">
        <f>IF(F780="","",IFERROR(INDEX(Staff!$B$5:$B$44,MATCH(F780,Staff!$A$5:$A$44,0)),"House"))</f>
        <v>0</v>
      </c>
      <c r="R780" s="15">
        <f>IF(B780="","",TEXT(B780,"yyyy-mm"))</f>
        <v>0</v>
      </c>
      <c r="S780" s="25">
        <f>IF(B780="","",WEEKNUM(B780,2))</f>
        <v>0</v>
      </c>
      <c r="T780" s="37">
        <f>IF(B780="","",IF(K780="",1,K780))</f>
        <v>0</v>
      </c>
      <c r="U780" s="15">
        <f>IF(B780="","",IF(J780&lt;&gt;"",J780,IF(H780="Retail",IFERROR(INDEX(Inventory!$B$5:$B$304,MATCH(I780,Inventory!$A$5:$A$304,0))&amp;"","Not in Inventory"),IFERROR(INDEX(Services!$B$5:$B$204,MATCH(I780,Services!$A$5:$A$204,0))&amp;"","Not in Services"))))</f>
        <v>0</v>
      </c>
      <c r="V780" s="26">
        <f>IF(B780="","",IF(L780&lt;&gt;"",L780,IF(H780="Retail",IFERROR(INDEX(Inventory!$I$5:$I$304,MATCH(I780,Inventory!$A$5:$A$304,0))*1,0),IFERROR(INDEX(Services!$G$5:$G$204,MATCH(I780,Services!$A$5:$A$204,0))*1,0))))</f>
        <v>0</v>
      </c>
      <c r="W780" s="26">
        <f>IF(B780="","",ROUND(T780*V780,2))</f>
        <v>0</v>
      </c>
      <c r="X780" s="26">
        <f>IF(B780="","",ROUND(IF(M780="",0,W780*M780)+IF(N780="",0,N780),2))</f>
        <v>0</v>
      </c>
      <c r="Y780" s="26">
        <f>IF(B780="","",ROUND(W780-X780-IF(P780="",0,P780),2))</f>
        <v>0</v>
      </c>
      <c r="Z780" s="26">
        <f>IF(B780="","",IF(H780="Retail",IF(TaxOnRetail="Yes",ROUND(Y780*TaxRate,2),0),IF(H780="Service",IF(TaxOnServices="Yes",ROUND(Y780*TaxRate,2),0),0)))</f>
        <v>0</v>
      </c>
      <c r="AA780" s="26">
        <f>IF(B780="","",ROUND(Y780+Z780,2))</f>
        <v>0</v>
      </c>
      <c r="AB780" s="26">
        <f>IF(B780="","",ROUND(T780*IF(H780="Retail",IFERROR(INDEX(Inventory!$H$5:$H$304,MATCH(I780,Inventory!$A$5:$A$304,0))*1,0),IFERROR(INDEX(Services!$Q$5:$Q$204,MATCH(I780,Services!$A$5:$A$204,0))*1,0)),2))</f>
        <v>0</v>
      </c>
      <c r="AC780" s="26">
        <f>IF(B780="","",ROUND(Y780-AB780,2))</f>
        <v>0</v>
      </c>
      <c r="AD780" s="38">
        <f>IF(B780="","",IF(C780="","No",IF(COUNTIFS($C$5:C780,C780)=1,"Yes","No")))</f>
        <v>0</v>
      </c>
      <c r="AE780" s="26">
        <f>IF(B780="","",ROUND(SUMIFS(Payments!$G$5:$G$1204,Payments!$H$5:$H$1204,A780,Payments!$Q$5:$Q$1204,"Yes"),2))</f>
        <v>0</v>
      </c>
      <c r="AF780" s="26">
        <f>IF(B780="","",IF(AD780="No",0,ROUND(SUMIFS(Payments!$G$5:$G$1204,Payments!$I$5:$I$1204,C780,Payments!$H$5:$H$1204,"",Payments!$Q$5:$Q$1204,"Yes"),2)))</f>
        <v>0</v>
      </c>
      <c r="AG780" s="26">
        <f>IF(B780="","",ROUND(AE780+AF780,2))</f>
        <v>0</v>
      </c>
      <c r="AH780" s="26">
        <f>IF(B780="","",ROUND(AA780-AG780,2))</f>
        <v>0</v>
      </c>
      <c r="AI780" s="39">
        <f>IF(B780="","",IF(AA780&lt;=0,"No charge",IF(AH780&lt;=0.004,"Paid",IF(AG780&lt;=0.004,"Unpaid","Part paid"))))</f>
        <v>0</v>
      </c>
      <c r="AJ780" s="38">
        <f>IF(B780="","",IF(H780&lt;&gt;"Service","",IF(D780="","No",IF(COUNTIFS($D$5:$D$1204,D780,$B$5:$B$1204,B780,$H$5:$H$1204,"Retail")&gt;0,"Yes","No"))))</f>
        <v>0</v>
      </c>
      <c r="AK780" s="25">
        <f>IF(B780="","",COUNTIFS($Y$5:$Y$1204,"&gt;"&amp;Y780)+COUNTIFS($Y$5:Y780,Y780))</f>
        <v>0</v>
      </c>
      <c r="AL780" s="39">
        <f>IF(B780="","",IF(H780="","Add - what kind of sale is this?",IF(IF(V780&lt;=0,P780="",FALSE),"Check - no price found for this item",IF(F780="","Assign - nobody credited",IF(AH780&gt;0.004,"Unpaid - balance outstanding",IF(AC780&lt;0,"Loss - sold below cost",IF(X780&gt;W780*0.5,"Check - more than half off","OK")))))))</f>
        <v>0</v>
      </c>
    </row>
    <row r="781" spans="1:38">
      <c r="A781" s="28">
        <f>IF(B781="","",SalePrefix&amp;TEXT(ROW()-4,"0000"))</f>
        <v>0</v>
      </c>
      <c r="E781" s="15">
        <f>IF(D781="","",IFERROR(INDEX(Clients!$B$5:$B$504,MATCH(D781,Clients!$A$5:$A$504,0)),"Walk-in"))</f>
        <v>0</v>
      </c>
      <c r="G781" s="15">
        <f>IF(F781="","",IFERROR(INDEX(Staff!$B$5:$B$44,MATCH(F781,Staff!$A$5:$A$44,0)),"House"))</f>
        <v>0</v>
      </c>
      <c r="R781" s="15">
        <f>IF(B781="","",TEXT(B781,"yyyy-mm"))</f>
        <v>0</v>
      </c>
      <c r="S781" s="25">
        <f>IF(B781="","",WEEKNUM(B781,2))</f>
        <v>0</v>
      </c>
      <c r="T781" s="37">
        <f>IF(B781="","",IF(K781="",1,K781))</f>
        <v>0</v>
      </c>
      <c r="U781" s="15">
        <f>IF(B781="","",IF(J781&lt;&gt;"",J781,IF(H781="Retail",IFERROR(INDEX(Inventory!$B$5:$B$304,MATCH(I781,Inventory!$A$5:$A$304,0))&amp;"","Not in Inventory"),IFERROR(INDEX(Services!$B$5:$B$204,MATCH(I781,Services!$A$5:$A$204,0))&amp;"","Not in Services"))))</f>
        <v>0</v>
      </c>
      <c r="V781" s="26">
        <f>IF(B781="","",IF(L781&lt;&gt;"",L781,IF(H781="Retail",IFERROR(INDEX(Inventory!$I$5:$I$304,MATCH(I781,Inventory!$A$5:$A$304,0))*1,0),IFERROR(INDEX(Services!$G$5:$G$204,MATCH(I781,Services!$A$5:$A$204,0))*1,0))))</f>
        <v>0</v>
      </c>
      <c r="W781" s="26">
        <f>IF(B781="","",ROUND(T781*V781,2))</f>
        <v>0</v>
      </c>
      <c r="X781" s="26">
        <f>IF(B781="","",ROUND(IF(M781="",0,W781*M781)+IF(N781="",0,N781),2))</f>
        <v>0</v>
      </c>
      <c r="Y781" s="26">
        <f>IF(B781="","",ROUND(W781-X781-IF(P781="",0,P781),2))</f>
        <v>0</v>
      </c>
      <c r="Z781" s="26">
        <f>IF(B781="","",IF(H781="Retail",IF(TaxOnRetail="Yes",ROUND(Y781*TaxRate,2),0),IF(H781="Service",IF(TaxOnServices="Yes",ROUND(Y781*TaxRate,2),0),0)))</f>
        <v>0</v>
      </c>
      <c r="AA781" s="26">
        <f>IF(B781="","",ROUND(Y781+Z781,2))</f>
        <v>0</v>
      </c>
      <c r="AB781" s="26">
        <f>IF(B781="","",ROUND(T781*IF(H781="Retail",IFERROR(INDEX(Inventory!$H$5:$H$304,MATCH(I781,Inventory!$A$5:$A$304,0))*1,0),IFERROR(INDEX(Services!$Q$5:$Q$204,MATCH(I781,Services!$A$5:$A$204,0))*1,0)),2))</f>
        <v>0</v>
      </c>
      <c r="AC781" s="26">
        <f>IF(B781="","",ROUND(Y781-AB781,2))</f>
        <v>0</v>
      </c>
      <c r="AD781" s="38">
        <f>IF(B781="","",IF(C781="","No",IF(COUNTIFS($C$5:C781,C781)=1,"Yes","No")))</f>
        <v>0</v>
      </c>
      <c r="AE781" s="26">
        <f>IF(B781="","",ROUND(SUMIFS(Payments!$G$5:$G$1204,Payments!$H$5:$H$1204,A781,Payments!$Q$5:$Q$1204,"Yes"),2))</f>
        <v>0</v>
      </c>
      <c r="AF781" s="26">
        <f>IF(B781="","",IF(AD781="No",0,ROUND(SUMIFS(Payments!$G$5:$G$1204,Payments!$I$5:$I$1204,C781,Payments!$H$5:$H$1204,"",Payments!$Q$5:$Q$1204,"Yes"),2)))</f>
        <v>0</v>
      </c>
      <c r="AG781" s="26">
        <f>IF(B781="","",ROUND(AE781+AF781,2))</f>
        <v>0</v>
      </c>
      <c r="AH781" s="26">
        <f>IF(B781="","",ROUND(AA781-AG781,2))</f>
        <v>0</v>
      </c>
      <c r="AI781" s="39">
        <f>IF(B781="","",IF(AA781&lt;=0,"No charge",IF(AH781&lt;=0.004,"Paid",IF(AG781&lt;=0.004,"Unpaid","Part paid"))))</f>
        <v>0</v>
      </c>
      <c r="AJ781" s="38">
        <f>IF(B781="","",IF(H781&lt;&gt;"Service","",IF(D781="","No",IF(COUNTIFS($D$5:$D$1204,D781,$B$5:$B$1204,B781,$H$5:$H$1204,"Retail")&gt;0,"Yes","No"))))</f>
        <v>0</v>
      </c>
      <c r="AK781" s="25">
        <f>IF(B781="","",COUNTIFS($Y$5:$Y$1204,"&gt;"&amp;Y781)+COUNTIFS($Y$5:Y781,Y781))</f>
        <v>0</v>
      </c>
      <c r="AL781" s="39">
        <f>IF(B781="","",IF(H781="","Add - what kind of sale is this?",IF(IF(V781&lt;=0,P781="",FALSE),"Check - no price found for this item",IF(F781="","Assign - nobody credited",IF(AH781&gt;0.004,"Unpaid - balance outstanding",IF(AC781&lt;0,"Loss - sold below cost",IF(X781&gt;W781*0.5,"Check - more than half off","OK")))))))</f>
        <v>0</v>
      </c>
    </row>
    <row r="782" spans="1:38">
      <c r="A782" s="28">
        <f>IF(B782="","",SalePrefix&amp;TEXT(ROW()-4,"0000"))</f>
        <v>0</v>
      </c>
      <c r="E782" s="15">
        <f>IF(D782="","",IFERROR(INDEX(Clients!$B$5:$B$504,MATCH(D782,Clients!$A$5:$A$504,0)),"Walk-in"))</f>
        <v>0</v>
      </c>
      <c r="G782" s="15">
        <f>IF(F782="","",IFERROR(INDEX(Staff!$B$5:$B$44,MATCH(F782,Staff!$A$5:$A$44,0)),"House"))</f>
        <v>0</v>
      </c>
      <c r="R782" s="15">
        <f>IF(B782="","",TEXT(B782,"yyyy-mm"))</f>
        <v>0</v>
      </c>
      <c r="S782" s="25">
        <f>IF(B782="","",WEEKNUM(B782,2))</f>
        <v>0</v>
      </c>
      <c r="T782" s="37">
        <f>IF(B782="","",IF(K782="",1,K782))</f>
        <v>0</v>
      </c>
      <c r="U782" s="15">
        <f>IF(B782="","",IF(J782&lt;&gt;"",J782,IF(H782="Retail",IFERROR(INDEX(Inventory!$B$5:$B$304,MATCH(I782,Inventory!$A$5:$A$304,0))&amp;"","Not in Inventory"),IFERROR(INDEX(Services!$B$5:$B$204,MATCH(I782,Services!$A$5:$A$204,0))&amp;"","Not in Services"))))</f>
        <v>0</v>
      </c>
      <c r="V782" s="26">
        <f>IF(B782="","",IF(L782&lt;&gt;"",L782,IF(H782="Retail",IFERROR(INDEX(Inventory!$I$5:$I$304,MATCH(I782,Inventory!$A$5:$A$304,0))*1,0),IFERROR(INDEX(Services!$G$5:$G$204,MATCH(I782,Services!$A$5:$A$204,0))*1,0))))</f>
        <v>0</v>
      </c>
      <c r="W782" s="26">
        <f>IF(B782="","",ROUND(T782*V782,2))</f>
        <v>0</v>
      </c>
      <c r="X782" s="26">
        <f>IF(B782="","",ROUND(IF(M782="",0,W782*M782)+IF(N782="",0,N782),2))</f>
        <v>0</v>
      </c>
      <c r="Y782" s="26">
        <f>IF(B782="","",ROUND(W782-X782-IF(P782="",0,P782),2))</f>
        <v>0</v>
      </c>
      <c r="Z782" s="26">
        <f>IF(B782="","",IF(H782="Retail",IF(TaxOnRetail="Yes",ROUND(Y782*TaxRate,2),0),IF(H782="Service",IF(TaxOnServices="Yes",ROUND(Y782*TaxRate,2),0),0)))</f>
        <v>0</v>
      </c>
      <c r="AA782" s="26">
        <f>IF(B782="","",ROUND(Y782+Z782,2))</f>
        <v>0</v>
      </c>
      <c r="AB782" s="26">
        <f>IF(B782="","",ROUND(T782*IF(H782="Retail",IFERROR(INDEX(Inventory!$H$5:$H$304,MATCH(I782,Inventory!$A$5:$A$304,0))*1,0),IFERROR(INDEX(Services!$Q$5:$Q$204,MATCH(I782,Services!$A$5:$A$204,0))*1,0)),2))</f>
        <v>0</v>
      </c>
      <c r="AC782" s="26">
        <f>IF(B782="","",ROUND(Y782-AB782,2))</f>
        <v>0</v>
      </c>
      <c r="AD782" s="38">
        <f>IF(B782="","",IF(C782="","No",IF(COUNTIFS($C$5:C782,C782)=1,"Yes","No")))</f>
        <v>0</v>
      </c>
      <c r="AE782" s="26">
        <f>IF(B782="","",ROUND(SUMIFS(Payments!$G$5:$G$1204,Payments!$H$5:$H$1204,A782,Payments!$Q$5:$Q$1204,"Yes"),2))</f>
        <v>0</v>
      </c>
      <c r="AF782" s="26">
        <f>IF(B782="","",IF(AD782="No",0,ROUND(SUMIFS(Payments!$G$5:$G$1204,Payments!$I$5:$I$1204,C782,Payments!$H$5:$H$1204,"",Payments!$Q$5:$Q$1204,"Yes"),2)))</f>
        <v>0</v>
      </c>
      <c r="AG782" s="26">
        <f>IF(B782="","",ROUND(AE782+AF782,2))</f>
        <v>0</v>
      </c>
      <c r="AH782" s="26">
        <f>IF(B782="","",ROUND(AA782-AG782,2))</f>
        <v>0</v>
      </c>
      <c r="AI782" s="39">
        <f>IF(B782="","",IF(AA782&lt;=0,"No charge",IF(AH782&lt;=0.004,"Paid",IF(AG782&lt;=0.004,"Unpaid","Part paid"))))</f>
        <v>0</v>
      </c>
      <c r="AJ782" s="38">
        <f>IF(B782="","",IF(H782&lt;&gt;"Service","",IF(D782="","No",IF(COUNTIFS($D$5:$D$1204,D782,$B$5:$B$1204,B782,$H$5:$H$1204,"Retail")&gt;0,"Yes","No"))))</f>
        <v>0</v>
      </c>
      <c r="AK782" s="25">
        <f>IF(B782="","",COUNTIFS($Y$5:$Y$1204,"&gt;"&amp;Y782)+COUNTIFS($Y$5:Y782,Y782))</f>
        <v>0</v>
      </c>
      <c r="AL782" s="39">
        <f>IF(B782="","",IF(H782="","Add - what kind of sale is this?",IF(IF(V782&lt;=0,P782="",FALSE),"Check - no price found for this item",IF(F782="","Assign - nobody credited",IF(AH782&gt;0.004,"Unpaid - balance outstanding",IF(AC782&lt;0,"Loss - sold below cost",IF(X782&gt;W782*0.5,"Check - more than half off","OK")))))))</f>
        <v>0</v>
      </c>
    </row>
    <row r="783" spans="1:38">
      <c r="A783" s="28">
        <f>IF(B783="","",SalePrefix&amp;TEXT(ROW()-4,"0000"))</f>
        <v>0</v>
      </c>
      <c r="E783" s="15">
        <f>IF(D783="","",IFERROR(INDEX(Clients!$B$5:$B$504,MATCH(D783,Clients!$A$5:$A$504,0)),"Walk-in"))</f>
        <v>0</v>
      </c>
      <c r="G783" s="15">
        <f>IF(F783="","",IFERROR(INDEX(Staff!$B$5:$B$44,MATCH(F783,Staff!$A$5:$A$44,0)),"House"))</f>
        <v>0</v>
      </c>
      <c r="R783" s="15">
        <f>IF(B783="","",TEXT(B783,"yyyy-mm"))</f>
        <v>0</v>
      </c>
      <c r="S783" s="25">
        <f>IF(B783="","",WEEKNUM(B783,2))</f>
        <v>0</v>
      </c>
      <c r="T783" s="37">
        <f>IF(B783="","",IF(K783="",1,K783))</f>
        <v>0</v>
      </c>
      <c r="U783" s="15">
        <f>IF(B783="","",IF(J783&lt;&gt;"",J783,IF(H783="Retail",IFERROR(INDEX(Inventory!$B$5:$B$304,MATCH(I783,Inventory!$A$5:$A$304,0))&amp;"","Not in Inventory"),IFERROR(INDEX(Services!$B$5:$B$204,MATCH(I783,Services!$A$5:$A$204,0))&amp;"","Not in Services"))))</f>
        <v>0</v>
      </c>
      <c r="V783" s="26">
        <f>IF(B783="","",IF(L783&lt;&gt;"",L783,IF(H783="Retail",IFERROR(INDEX(Inventory!$I$5:$I$304,MATCH(I783,Inventory!$A$5:$A$304,0))*1,0),IFERROR(INDEX(Services!$G$5:$G$204,MATCH(I783,Services!$A$5:$A$204,0))*1,0))))</f>
        <v>0</v>
      </c>
      <c r="W783" s="26">
        <f>IF(B783="","",ROUND(T783*V783,2))</f>
        <v>0</v>
      </c>
      <c r="X783" s="26">
        <f>IF(B783="","",ROUND(IF(M783="",0,W783*M783)+IF(N783="",0,N783),2))</f>
        <v>0</v>
      </c>
      <c r="Y783" s="26">
        <f>IF(B783="","",ROUND(W783-X783-IF(P783="",0,P783),2))</f>
        <v>0</v>
      </c>
      <c r="Z783" s="26">
        <f>IF(B783="","",IF(H783="Retail",IF(TaxOnRetail="Yes",ROUND(Y783*TaxRate,2),0),IF(H783="Service",IF(TaxOnServices="Yes",ROUND(Y783*TaxRate,2),0),0)))</f>
        <v>0</v>
      </c>
      <c r="AA783" s="26">
        <f>IF(B783="","",ROUND(Y783+Z783,2))</f>
        <v>0</v>
      </c>
      <c r="AB783" s="26">
        <f>IF(B783="","",ROUND(T783*IF(H783="Retail",IFERROR(INDEX(Inventory!$H$5:$H$304,MATCH(I783,Inventory!$A$5:$A$304,0))*1,0),IFERROR(INDEX(Services!$Q$5:$Q$204,MATCH(I783,Services!$A$5:$A$204,0))*1,0)),2))</f>
        <v>0</v>
      </c>
      <c r="AC783" s="26">
        <f>IF(B783="","",ROUND(Y783-AB783,2))</f>
        <v>0</v>
      </c>
      <c r="AD783" s="38">
        <f>IF(B783="","",IF(C783="","No",IF(COUNTIFS($C$5:C783,C783)=1,"Yes","No")))</f>
        <v>0</v>
      </c>
      <c r="AE783" s="26">
        <f>IF(B783="","",ROUND(SUMIFS(Payments!$G$5:$G$1204,Payments!$H$5:$H$1204,A783,Payments!$Q$5:$Q$1204,"Yes"),2))</f>
        <v>0</v>
      </c>
      <c r="AF783" s="26">
        <f>IF(B783="","",IF(AD783="No",0,ROUND(SUMIFS(Payments!$G$5:$G$1204,Payments!$I$5:$I$1204,C783,Payments!$H$5:$H$1204,"",Payments!$Q$5:$Q$1204,"Yes"),2)))</f>
        <v>0</v>
      </c>
      <c r="AG783" s="26">
        <f>IF(B783="","",ROUND(AE783+AF783,2))</f>
        <v>0</v>
      </c>
      <c r="AH783" s="26">
        <f>IF(B783="","",ROUND(AA783-AG783,2))</f>
        <v>0</v>
      </c>
      <c r="AI783" s="39">
        <f>IF(B783="","",IF(AA783&lt;=0,"No charge",IF(AH783&lt;=0.004,"Paid",IF(AG783&lt;=0.004,"Unpaid","Part paid"))))</f>
        <v>0</v>
      </c>
      <c r="AJ783" s="38">
        <f>IF(B783="","",IF(H783&lt;&gt;"Service","",IF(D783="","No",IF(COUNTIFS($D$5:$D$1204,D783,$B$5:$B$1204,B783,$H$5:$H$1204,"Retail")&gt;0,"Yes","No"))))</f>
        <v>0</v>
      </c>
      <c r="AK783" s="25">
        <f>IF(B783="","",COUNTIFS($Y$5:$Y$1204,"&gt;"&amp;Y783)+COUNTIFS($Y$5:Y783,Y783))</f>
        <v>0</v>
      </c>
      <c r="AL783" s="39">
        <f>IF(B783="","",IF(H783="","Add - what kind of sale is this?",IF(IF(V783&lt;=0,P783="",FALSE),"Check - no price found for this item",IF(F783="","Assign - nobody credited",IF(AH783&gt;0.004,"Unpaid - balance outstanding",IF(AC783&lt;0,"Loss - sold below cost",IF(X783&gt;W783*0.5,"Check - more than half off","OK")))))))</f>
        <v>0</v>
      </c>
    </row>
    <row r="784" spans="1:38">
      <c r="A784" s="28">
        <f>IF(B784="","",SalePrefix&amp;TEXT(ROW()-4,"0000"))</f>
        <v>0</v>
      </c>
      <c r="E784" s="15">
        <f>IF(D784="","",IFERROR(INDEX(Clients!$B$5:$B$504,MATCH(D784,Clients!$A$5:$A$504,0)),"Walk-in"))</f>
        <v>0</v>
      </c>
      <c r="G784" s="15">
        <f>IF(F784="","",IFERROR(INDEX(Staff!$B$5:$B$44,MATCH(F784,Staff!$A$5:$A$44,0)),"House"))</f>
        <v>0</v>
      </c>
      <c r="R784" s="15">
        <f>IF(B784="","",TEXT(B784,"yyyy-mm"))</f>
        <v>0</v>
      </c>
      <c r="S784" s="25">
        <f>IF(B784="","",WEEKNUM(B784,2))</f>
        <v>0</v>
      </c>
      <c r="T784" s="37">
        <f>IF(B784="","",IF(K784="",1,K784))</f>
        <v>0</v>
      </c>
      <c r="U784" s="15">
        <f>IF(B784="","",IF(J784&lt;&gt;"",J784,IF(H784="Retail",IFERROR(INDEX(Inventory!$B$5:$B$304,MATCH(I784,Inventory!$A$5:$A$304,0))&amp;"","Not in Inventory"),IFERROR(INDEX(Services!$B$5:$B$204,MATCH(I784,Services!$A$5:$A$204,0))&amp;"","Not in Services"))))</f>
        <v>0</v>
      </c>
      <c r="V784" s="26">
        <f>IF(B784="","",IF(L784&lt;&gt;"",L784,IF(H784="Retail",IFERROR(INDEX(Inventory!$I$5:$I$304,MATCH(I784,Inventory!$A$5:$A$304,0))*1,0),IFERROR(INDEX(Services!$G$5:$G$204,MATCH(I784,Services!$A$5:$A$204,0))*1,0))))</f>
        <v>0</v>
      </c>
      <c r="W784" s="26">
        <f>IF(B784="","",ROUND(T784*V784,2))</f>
        <v>0</v>
      </c>
      <c r="X784" s="26">
        <f>IF(B784="","",ROUND(IF(M784="",0,W784*M784)+IF(N784="",0,N784),2))</f>
        <v>0</v>
      </c>
      <c r="Y784" s="26">
        <f>IF(B784="","",ROUND(W784-X784-IF(P784="",0,P784),2))</f>
        <v>0</v>
      </c>
      <c r="Z784" s="26">
        <f>IF(B784="","",IF(H784="Retail",IF(TaxOnRetail="Yes",ROUND(Y784*TaxRate,2),0),IF(H784="Service",IF(TaxOnServices="Yes",ROUND(Y784*TaxRate,2),0),0)))</f>
        <v>0</v>
      </c>
      <c r="AA784" s="26">
        <f>IF(B784="","",ROUND(Y784+Z784,2))</f>
        <v>0</v>
      </c>
      <c r="AB784" s="26">
        <f>IF(B784="","",ROUND(T784*IF(H784="Retail",IFERROR(INDEX(Inventory!$H$5:$H$304,MATCH(I784,Inventory!$A$5:$A$304,0))*1,0),IFERROR(INDEX(Services!$Q$5:$Q$204,MATCH(I784,Services!$A$5:$A$204,0))*1,0)),2))</f>
        <v>0</v>
      </c>
      <c r="AC784" s="26">
        <f>IF(B784="","",ROUND(Y784-AB784,2))</f>
        <v>0</v>
      </c>
      <c r="AD784" s="38">
        <f>IF(B784="","",IF(C784="","No",IF(COUNTIFS($C$5:C784,C784)=1,"Yes","No")))</f>
        <v>0</v>
      </c>
      <c r="AE784" s="26">
        <f>IF(B784="","",ROUND(SUMIFS(Payments!$G$5:$G$1204,Payments!$H$5:$H$1204,A784,Payments!$Q$5:$Q$1204,"Yes"),2))</f>
        <v>0</v>
      </c>
      <c r="AF784" s="26">
        <f>IF(B784="","",IF(AD784="No",0,ROUND(SUMIFS(Payments!$G$5:$G$1204,Payments!$I$5:$I$1204,C784,Payments!$H$5:$H$1204,"",Payments!$Q$5:$Q$1204,"Yes"),2)))</f>
        <v>0</v>
      </c>
      <c r="AG784" s="26">
        <f>IF(B784="","",ROUND(AE784+AF784,2))</f>
        <v>0</v>
      </c>
      <c r="AH784" s="26">
        <f>IF(B784="","",ROUND(AA784-AG784,2))</f>
        <v>0</v>
      </c>
      <c r="AI784" s="39">
        <f>IF(B784="","",IF(AA784&lt;=0,"No charge",IF(AH784&lt;=0.004,"Paid",IF(AG784&lt;=0.004,"Unpaid","Part paid"))))</f>
        <v>0</v>
      </c>
      <c r="AJ784" s="38">
        <f>IF(B784="","",IF(H784&lt;&gt;"Service","",IF(D784="","No",IF(COUNTIFS($D$5:$D$1204,D784,$B$5:$B$1204,B784,$H$5:$H$1204,"Retail")&gt;0,"Yes","No"))))</f>
        <v>0</v>
      </c>
      <c r="AK784" s="25">
        <f>IF(B784="","",COUNTIFS($Y$5:$Y$1204,"&gt;"&amp;Y784)+COUNTIFS($Y$5:Y784,Y784))</f>
        <v>0</v>
      </c>
      <c r="AL784" s="39">
        <f>IF(B784="","",IF(H784="","Add - what kind of sale is this?",IF(IF(V784&lt;=0,P784="",FALSE),"Check - no price found for this item",IF(F784="","Assign - nobody credited",IF(AH784&gt;0.004,"Unpaid - balance outstanding",IF(AC784&lt;0,"Loss - sold below cost",IF(X784&gt;W784*0.5,"Check - more than half off","OK")))))))</f>
        <v>0</v>
      </c>
    </row>
    <row r="785" spans="1:38">
      <c r="A785" s="28">
        <f>IF(B785="","",SalePrefix&amp;TEXT(ROW()-4,"0000"))</f>
        <v>0</v>
      </c>
      <c r="E785" s="15">
        <f>IF(D785="","",IFERROR(INDEX(Clients!$B$5:$B$504,MATCH(D785,Clients!$A$5:$A$504,0)),"Walk-in"))</f>
        <v>0</v>
      </c>
      <c r="G785" s="15">
        <f>IF(F785="","",IFERROR(INDEX(Staff!$B$5:$B$44,MATCH(F785,Staff!$A$5:$A$44,0)),"House"))</f>
        <v>0</v>
      </c>
      <c r="R785" s="15">
        <f>IF(B785="","",TEXT(B785,"yyyy-mm"))</f>
        <v>0</v>
      </c>
      <c r="S785" s="25">
        <f>IF(B785="","",WEEKNUM(B785,2))</f>
        <v>0</v>
      </c>
      <c r="T785" s="37">
        <f>IF(B785="","",IF(K785="",1,K785))</f>
        <v>0</v>
      </c>
      <c r="U785" s="15">
        <f>IF(B785="","",IF(J785&lt;&gt;"",J785,IF(H785="Retail",IFERROR(INDEX(Inventory!$B$5:$B$304,MATCH(I785,Inventory!$A$5:$A$304,0))&amp;"","Not in Inventory"),IFERROR(INDEX(Services!$B$5:$B$204,MATCH(I785,Services!$A$5:$A$204,0))&amp;"","Not in Services"))))</f>
        <v>0</v>
      </c>
      <c r="V785" s="26">
        <f>IF(B785="","",IF(L785&lt;&gt;"",L785,IF(H785="Retail",IFERROR(INDEX(Inventory!$I$5:$I$304,MATCH(I785,Inventory!$A$5:$A$304,0))*1,0),IFERROR(INDEX(Services!$G$5:$G$204,MATCH(I785,Services!$A$5:$A$204,0))*1,0))))</f>
        <v>0</v>
      </c>
      <c r="W785" s="26">
        <f>IF(B785="","",ROUND(T785*V785,2))</f>
        <v>0</v>
      </c>
      <c r="X785" s="26">
        <f>IF(B785="","",ROUND(IF(M785="",0,W785*M785)+IF(N785="",0,N785),2))</f>
        <v>0</v>
      </c>
      <c r="Y785" s="26">
        <f>IF(B785="","",ROUND(W785-X785-IF(P785="",0,P785),2))</f>
        <v>0</v>
      </c>
      <c r="Z785" s="26">
        <f>IF(B785="","",IF(H785="Retail",IF(TaxOnRetail="Yes",ROUND(Y785*TaxRate,2),0),IF(H785="Service",IF(TaxOnServices="Yes",ROUND(Y785*TaxRate,2),0),0)))</f>
        <v>0</v>
      </c>
      <c r="AA785" s="26">
        <f>IF(B785="","",ROUND(Y785+Z785,2))</f>
        <v>0</v>
      </c>
      <c r="AB785" s="26">
        <f>IF(B785="","",ROUND(T785*IF(H785="Retail",IFERROR(INDEX(Inventory!$H$5:$H$304,MATCH(I785,Inventory!$A$5:$A$304,0))*1,0),IFERROR(INDEX(Services!$Q$5:$Q$204,MATCH(I785,Services!$A$5:$A$204,0))*1,0)),2))</f>
        <v>0</v>
      </c>
      <c r="AC785" s="26">
        <f>IF(B785="","",ROUND(Y785-AB785,2))</f>
        <v>0</v>
      </c>
      <c r="AD785" s="38">
        <f>IF(B785="","",IF(C785="","No",IF(COUNTIFS($C$5:C785,C785)=1,"Yes","No")))</f>
        <v>0</v>
      </c>
      <c r="AE785" s="26">
        <f>IF(B785="","",ROUND(SUMIFS(Payments!$G$5:$G$1204,Payments!$H$5:$H$1204,A785,Payments!$Q$5:$Q$1204,"Yes"),2))</f>
        <v>0</v>
      </c>
      <c r="AF785" s="26">
        <f>IF(B785="","",IF(AD785="No",0,ROUND(SUMIFS(Payments!$G$5:$G$1204,Payments!$I$5:$I$1204,C785,Payments!$H$5:$H$1204,"",Payments!$Q$5:$Q$1204,"Yes"),2)))</f>
        <v>0</v>
      </c>
      <c r="AG785" s="26">
        <f>IF(B785="","",ROUND(AE785+AF785,2))</f>
        <v>0</v>
      </c>
      <c r="AH785" s="26">
        <f>IF(B785="","",ROUND(AA785-AG785,2))</f>
        <v>0</v>
      </c>
      <c r="AI785" s="39">
        <f>IF(B785="","",IF(AA785&lt;=0,"No charge",IF(AH785&lt;=0.004,"Paid",IF(AG785&lt;=0.004,"Unpaid","Part paid"))))</f>
        <v>0</v>
      </c>
      <c r="AJ785" s="38">
        <f>IF(B785="","",IF(H785&lt;&gt;"Service","",IF(D785="","No",IF(COUNTIFS($D$5:$D$1204,D785,$B$5:$B$1204,B785,$H$5:$H$1204,"Retail")&gt;0,"Yes","No"))))</f>
        <v>0</v>
      </c>
      <c r="AK785" s="25">
        <f>IF(B785="","",COUNTIFS($Y$5:$Y$1204,"&gt;"&amp;Y785)+COUNTIFS($Y$5:Y785,Y785))</f>
        <v>0</v>
      </c>
      <c r="AL785" s="39">
        <f>IF(B785="","",IF(H785="","Add - what kind of sale is this?",IF(IF(V785&lt;=0,P785="",FALSE),"Check - no price found for this item",IF(F785="","Assign - nobody credited",IF(AH785&gt;0.004,"Unpaid - balance outstanding",IF(AC785&lt;0,"Loss - sold below cost",IF(X785&gt;W785*0.5,"Check - more than half off","OK")))))))</f>
        <v>0</v>
      </c>
    </row>
    <row r="786" spans="1:38">
      <c r="A786" s="28">
        <f>IF(B786="","",SalePrefix&amp;TEXT(ROW()-4,"0000"))</f>
        <v>0</v>
      </c>
      <c r="E786" s="15">
        <f>IF(D786="","",IFERROR(INDEX(Clients!$B$5:$B$504,MATCH(D786,Clients!$A$5:$A$504,0)),"Walk-in"))</f>
        <v>0</v>
      </c>
      <c r="G786" s="15">
        <f>IF(F786="","",IFERROR(INDEX(Staff!$B$5:$B$44,MATCH(F786,Staff!$A$5:$A$44,0)),"House"))</f>
        <v>0</v>
      </c>
      <c r="R786" s="15">
        <f>IF(B786="","",TEXT(B786,"yyyy-mm"))</f>
        <v>0</v>
      </c>
      <c r="S786" s="25">
        <f>IF(B786="","",WEEKNUM(B786,2))</f>
        <v>0</v>
      </c>
      <c r="T786" s="37">
        <f>IF(B786="","",IF(K786="",1,K786))</f>
        <v>0</v>
      </c>
      <c r="U786" s="15">
        <f>IF(B786="","",IF(J786&lt;&gt;"",J786,IF(H786="Retail",IFERROR(INDEX(Inventory!$B$5:$B$304,MATCH(I786,Inventory!$A$5:$A$304,0))&amp;"","Not in Inventory"),IFERROR(INDEX(Services!$B$5:$B$204,MATCH(I786,Services!$A$5:$A$204,0))&amp;"","Not in Services"))))</f>
        <v>0</v>
      </c>
      <c r="V786" s="26">
        <f>IF(B786="","",IF(L786&lt;&gt;"",L786,IF(H786="Retail",IFERROR(INDEX(Inventory!$I$5:$I$304,MATCH(I786,Inventory!$A$5:$A$304,0))*1,0),IFERROR(INDEX(Services!$G$5:$G$204,MATCH(I786,Services!$A$5:$A$204,0))*1,0))))</f>
        <v>0</v>
      </c>
      <c r="W786" s="26">
        <f>IF(B786="","",ROUND(T786*V786,2))</f>
        <v>0</v>
      </c>
      <c r="X786" s="26">
        <f>IF(B786="","",ROUND(IF(M786="",0,W786*M786)+IF(N786="",0,N786),2))</f>
        <v>0</v>
      </c>
      <c r="Y786" s="26">
        <f>IF(B786="","",ROUND(W786-X786-IF(P786="",0,P786),2))</f>
        <v>0</v>
      </c>
      <c r="Z786" s="26">
        <f>IF(B786="","",IF(H786="Retail",IF(TaxOnRetail="Yes",ROUND(Y786*TaxRate,2),0),IF(H786="Service",IF(TaxOnServices="Yes",ROUND(Y786*TaxRate,2),0),0)))</f>
        <v>0</v>
      </c>
      <c r="AA786" s="26">
        <f>IF(B786="","",ROUND(Y786+Z786,2))</f>
        <v>0</v>
      </c>
      <c r="AB786" s="26">
        <f>IF(B786="","",ROUND(T786*IF(H786="Retail",IFERROR(INDEX(Inventory!$H$5:$H$304,MATCH(I786,Inventory!$A$5:$A$304,0))*1,0),IFERROR(INDEX(Services!$Q$5:$Q$204,MATCH(I786,Services!$A$5:$A$204,0))*1,0)),2))</f>
        <v>0</v>
      </c>
      <c r="AC786" s="26">
        <f>IF(B786="","",ROUND(Y786-AB786,2))</f>
        <v>0</v>
      </c>
      <c r="AD786" s="38">
        <f>IF(B786="","",IF(C786="","No",IF(COUNTIFS($C$5:C786,C786)=1,"Yes","No")))</f>
        <v>0</v>
      </c>
      <c r="AE786" s="26">
        <f>IF(B786="","",ROUND(SUMIFS(Payments!$G$5:$G$1204,Payments!$H$5:$H$1204,A786,Payments!$Q$5:$Q$1204,"Yes"),2))</f>
        <v>0</v>
      </c>
      <c r="AF786" s="26">
        <f>IF(B786="","",IF(AD786="No",0,ROUND(SUMIFS(Payments!$G$5:$G$1204,Payments!$I$5:$I$1204,C786,Payments!$H$5:$H$1204,"",Payments!$Q$5:$Q$1204,"Yes"),2)))</f>
        <v>0</v>
      </c>
      <c r="AG786" s="26">
        <f>IF(B786="","",ROUND(AE786+AF786,2))</f>
        <v>0</v>
      </c>
      <c r="AH786" s="26">
        <f>IF(B786="","",ROUND(AA786-AG786,2))</f>
        <v>0</v>
      </c>
      <c r="AI786" s="39">
        <f>IF(B786="","",IF(AA786&lt;=0,"No charge",IF(AH786&lt;=0.004,"Paid",IF(AG786&lt;=0.004,"Unpaid","Part paid"))))</f>
        <v>0</v>
      </c>
      <c r="AJ786" s="38">
        <f>IF(B786="","",IF(H786&lt;&gt;"Service","",IF(D786="","No",IF(COUNTIFS($D$5:$D$1204,D786,$B$5:$B$1204,B786,$H$5:$H$1204,"Retail")&gt;0,"Yes","No"))))</f>
        <v>0</v>
      </c>
      <c r="AK786" s="25">
        <f>IF(B786="","",COUNTIFS($Y$5:$Y$1204,"&gt;"&amp;Y786)+COUNTIFS($Y$5:Y786,Y786))</f>
        <v>0</v>
      </c>
      <c r="AL786" s="39">
        <f>IF(B786="","",IF(H786="","Add - what kind of sale is this?",IF(IF(V786&lt;=0,P786="",FALSE),"Check - no price found for this item",IF(F786="","Assign - nobody credited",IF(AH786&gt;0.004,"Unpaid - balance outstanding",IF(AC786&lt;0,"Loss - sold below cost",IF(X786&gt;W786*0.5,"Check - more than half off","OK")))))))</f>
        <v>0</v>
      </c>
    </row>
    <row r="787" spans="1:38">
      <c r="A787" s="28">
        <f>IF(B787="","",SalePrefix&amp;TEXT(ROW()-4,"0000"))</f>
        <v>0</v>
      </c>
      <c r="E787" s="15">
        <f>IF(D787="","",IFERROR(INDEX(Clients!$B$5:$B$504,MATCH(D787,Clients!$A$5:$A$504,0)),"Walk-in"))</f>
        <v>0</v>
      </c>
      <c r="G787" s="15">
        <f>IF(F787="","",IFERROR(INDEX(Staff!$B$5:$B$44,MATCH(F787,Staff!$A$5:$A$44,0)),"House"))</f>
        <v>0</v>
      </c>
      <c r="R787" s="15">
        <f>IF(B787="","",TEXT(B787,"yyyy-mm"))</f>
        <v>0</v>
      </c>
      <c r="S787" s="25">
        <f>IF(B787="","",WEEKNUM(B787,2))</f>
        <v>0</v>
      </c>
      <c r="T787" s="37">
        <f>IF(B787="","",IF(K787="",1,K787))</f>
        <v>0</v>
      </c>
      <c r="U787" s="15">
        <f>IF(B787="","",IF(J787&lt;&gt;"",J787,IF(H787="Retail",IFERROR(INDEX(Inventory!$B$5:$B$304,MATCH(I787,Inventory!$A$5:$A$304,0))&amp;"","Not in Inventory"),IFERROR(INDEX(Services!$B$5:$B$204,MATCH(I787,Services!$A$5:$A$204,0))&amp;"","Not in Services"))))</f>
        <v>0</v>
      </c>
      <c r="V787" s="26">
        <f>IF(B787="","",IF(L787&lt;&gt;"",L787,IF(H787="Retail",IFERROR(INDEX(Inventory!$I$5:$I$304,MATCH(I787,Inventory!$A$5:$A$304,0))*1,0),IFERROR(INDEX(Services!$G$5:$G$204,MATCH(I787,Services!$A$5:$A$204,0))*1,0))))</f>
        <v>0</v>
      </c>
      <c r="W787" s="26">
        <f>IF(B787="","",ROUND(T787*V787,2))</f>
        <v>0</v>
      </c>
      <c r="X787" s="26">
        <f>IF(B787="","",ROUND(IF(M787="",0,W787*M787)+IF(N787="",0,N787),2))</f>
        <v>0</v>
      </c>
      <c r="Y787" s="26">
        <f>IF(B787="","",ROUND(W787-X787-IF(P787="",0,P787),2))</f>
        <v>0</v>
      </c>
      <c r="Z787" s="26">
        <f>IF(B787="","",IF(H787="Retail",IF(TaxOnRetail="Yes",ROUND(Y787*TaxRate,2),0),IF(H787="Service",IF(TaxOnServices="Yes",ROUND(Y787*TaxRate,2),0),0)))</f>
        <v>0</v>
      </c>
      <c r="AA787" s="26">
        <f>IF(B787="","",ROUND(Y787+Z787,2))</f>
        <v>0</v>
      </c>
      <c r="AB787" s="26">
        <f>IF(B787="","",ROUND(T787*IF(H787="Retail",IFERROR(INDEX(Inventory!$H$5:$H$304,MATCH(I787,Inventory!$A$5:$A$304,0))*1,0),IFERROR(INDEX(Services!$Q$5:$Q$204,MATCH(I787,Services!$A$5:$A$204,0))*1,0)),2))</f>
        <v>0</v>
      </c>
      <c r="AC787" s="26">
        <f>IF(B787="","",ROUND(Y787-AB787,2))</f>
        <v>0</v>
      </c>
      <c r="AD787" s="38">
        <f>IF(B787="","",IF(C787="","No",IF(COUNTIFS($C$5:C787,C787)=1,"Yes","No")))</f>
        <v>0</v>
      </c>
      <c r="AE787" s="26">
        <f>IF(B787="","",ROUND(SUMIFS(Payments!$G$5:$G$1204,Payments!$H$5:$H$1204,A787,Payments!$Q$5:$Q$1204,"Yes"),2))</f>
        <v>0</v>
      </c>
      <c r="AF787" s="26">
        <f>IF(B787="","",IF(AD787="No",0,ROUND(SUMIFS(Payments!$G$5:$G$1204,Payments!$I$5:$I$1204,C787,Payments!$H$5:$H$1204,"",Payments!$Q$5:$Q$1204,"Yes"),2)))</f>
        <v>0</v>
      </c>
      <c r="AG787" s="26">
        <f>IF(B787="","",ROUND(AE787+AF787,2))</f>
        <v>0</v>
      </c>
      <c r="AH787" s="26">
        <f>IF(B787="","",ROUND(AA787-AG787,2))</f>
        <v>0</v>
      </c>
      <c r="AI787" s="39">
        <f>IF(B787="","",IF(AA787&lt;=0,"No charge",IF(AH787&lt;=0.004,"Paid",IF(AG787&lt;=0.004,"Unpaid","Part paid"))))</f>
        <v>0</v>
      </c>
      <c r="AJ787" s="38">
        <f>IF(B787="","",IF(H787&lt;&gt;"Service","",IF(D787="","No",IF(COUNTIFS($D$5:$D$1204,D787,$B$5:$B$1204,B787,$H$5:$H$1204,"Retail")&gt;0,"Yes","No"))))</f>
        <v>0</v>
      </c>
      <c r="AK787" s="25">
        <f>IF(B787="","",COUNTIFS($Y$5:$Y$1204,"&gt;"&amp;Y787)+COUNTIFS($Y$5:Y787,Y787))</f>
        <v>0</v>
      </c>
      <c r="AL787" s="39">
        <f>IF(B787="","",IF(H787="","Add - what kind of sale is this?",IF(IF(V787&lt;=0,P787="",FALSE),"Check - no price found for this item",IF(F787="","Assign - nobody credited",IF(AH787&gt;0.004,"Unpaid - balance outstanding",IF(AC787&lt;0,"Loss - sold below cost",IF(X787&gt;W787*0.5,"Check - more than half off","OK")))))))</f>
        <v>0</v>
      </c>
    </row>
    <row r="788" spans="1:38">
      <c r="A788" s="28">
        <f>IF(B788="","",SalePrefix&amp;TEXT(ROW()-4,"0000"))</f>
        <v>0</v>
      </c>
      <c r="E788" s="15">
        <f>IF(D788="","",IFERROR(INDEX(Clients!$B$5:$B$504,MATCH(D788,Clients!$A$5:$A$504,0)),"Walk-in"))</f>
        <v>0</v>
      </c>
      <c r="G788" s="15">
        <f>IF(F788="","",IFERROR(INDEX(Staff!$B$5:$B$44,MATCH(F788,Staff!$A$5:$A$44,0)),"House"))</f>
        <v>0</v>
      </c>
      <c r="R788" s="15">
        <f>IF(B788="","",TEXT(B788,"yyyy-mm"))</f>
        <v>0</v>
      </c>
      <c r="S788" s="25">
        <f>IF(B788="","",WEEKNUM(B788,2))</f>
        <v>0</v>
      </c>
      <c r="T788" s="37">
        <f>IF(B788="","",IF(K788="",1,K788))</f>
        <v>0</v>
      </c>
      <c r="U788" s="15">
        <f>IF(B788="","",IF(J788&lt;&gt;"",J788,IF(H788="Retail",IFERROR(INDEX(Inventory!$B$5:$B$304,MATCH(I788,Inventory!$A$5:$A$304,0))&amp;"","Not in Inventory"),IFERROR(INDEX(Services!$B$5:$B$204,MATCH(I788,Services!$A$5:$A$204,0))&amp;"","Not in Services"))))</f>
        <v>0</v>
      </c>
      <c r="V788" s="26">
        <f>IF(B788="","",IF(L788&lt;&gt;"",L788,IF(H788="Retail",IFERROR(INDEX(Inventory!$I$5:$I$304,MATCH(I788,Inventory!$A$5:$A$304,0))*1,0),IFERROR(INDEX(Services!$G$5:$G$204,MATCH(I788,Services!$A$5:$A$204,0))*1,0))))</f>
        <v>0</v>
      </c>
      <c r="W788" s="26">
        <f>IF(B788="","",ROUND(T788*V788,2))</f>
        <v>0</v>
      </c>
      <c r="X788" s="26">
        <f>IF(B788="","",ROUND(IF(M788="",0,W788*M788)+IF(N788="",0,N788),2))</f>
        <v>0</v>
      </c>
      <c r="Y788" s="26">
        <f>IF(B788="","",ROUND(W788-X788-IF(P788="",0,P788),2))</f>
        <v>0</v>
      </c>
      <c r="Z788" s="26">
        <f>IF(B788="","",IF(H788="Retail",IF(TaxOnRetail="Yes",ROUND(Y788*TaxRate,2),0),IF(H788="Service",IF(TaxOnServices="Yes",ROUND(Y788*TaxRate,2),0),0)))</f>
        <v>0</v>
      </c>
      <c r="AA788" s="26">
        <f>IF(B788="","",ROUND(Y788+Z788,2))</f>
        <v>0</v>
      </c>
      <c r="AB788" s="26">
        <f>IF(B788="","",ROUND(T788*IF(H788="Retail",IFERROR(INDEX(Inventory!$H$5:$H$304,MATCH(I788,Inventory!$A$5:$A$304,0))*1,0),IFERROR(INDEX(Services!$Q$5:$Q$204,MATCH(I788,Services!$A$5:$A$204,0))*1,0)),2))</f>
        <v>0</v>
      </c>
      <c r="AC788" s="26">
        <f>IF(B788="","",ROUND(Y788-AB788,2))</f>
        <v>0</v>
      </c>
      <c r="AD788" s="38">
        <f>IF(B788="","",IF(C788="","No",IF(COUNTIFS($C$5:C788,C788)=1,"Yes","No")))</f>
        <v>0</v>
      </c>
      <c r="AE788" s="26">
        <f>IF(B788="","",ROUND(SUMIFS(Payments!$G$5:$G$1204,Payments!$H$5:$H$1204,A788,Payments!$Q$5:$Q$1204,"Yes"),2))</f>
        <v>0</v>
      </c>
      <c r="AF788" s="26">
        <f>IF(B788="","",IF(AD788="No",0,ROUND(SUMIFS(Payments!$G$5:$G$1204,Payments!$I$5:$I$1204,C788,Payments!$H$5:$H$1204,"",Payments!$Q$5:$Q$1204,"Yes"),2)))</f>
        <v>0</v>
      </c>
      <c r="AG788" s="26">
        <f>IF(B788="","",ROUND(AE788+AF788,2))</f>
        <v>0</v>
      </c>
      <c r="AH788" s="26">
        <f>IF(B788="","",ROUND(AA788-AG788,2))</f>
        <v>0</v>
      </c>
      <c r="AI788" s="39">
        <f>IF(B788="","",IF(AA788&lt;=0,"No charge",IF(AH788&lt;=0.004,"Paid",IF(AG788&lt;=0.004,"Unpaid","Part paid"))))</f>
        <v>0</v>
      </c>
      <c r="AJ788" s="38">
        <f>IF(B788="","",IF(H788&lt;&gt;"Service","",IF(D788="","No",IF(COUNTIFS($D$5:$D$1204,D788,$B$5:$B$1204,B788,$H$5:$H$1204,"Retail")&gt;0,"Yes","No"))))</f>
        <v>0</v>
      </c>
      <c r="AK788" s="25">
        <f>IF(B788="","",COUNTIFS($Y$5:$Y$1204,"&gt;"&amp;Y788)+COUNTIFS($Y$5:Y788,Y788))</f>
        <v>0</v>
      </c>
      <c r="AL788" s="39">
        <f>IF(B788="","",IF(H788="","Add - what kind of sale is this?",IF(IF(V788&lt;=0,P788="",FALSE),"Check - no price found for this item",IF(F788="","Assign - nobody credited",IF(AH788&gt;0.004,"Unpaid - balance outstanding",IF(AC788&lt;0,"Loss - sold below cost",IF(X788&gt;W788*0.5,"Check - more than half off","OK")))))))</f>
        <v>0</v>
      </c>
    </row>
    <row r="789" spans="1:38">
      <c r="A789" s="28">
        <f>IF(B789="","",SalePrefix&amp;TEXT(ROW()-4,"0000"))</f>
        <v>0</v>
      </c>
      <c r="E789" s="15">
        <f>IF(D789="","",IFERROR(INDEX(Clients!$B$5:$B$504,MATCH(D789,Clients!$A$5:$A$504,0)),"Walk-in"))</f>
        <v>0</v>
      </c>
      <c r="G789" s="15">
        <f>IF(F789="","",IFERROR(INDEX(Staff!$B$5:$B$44,MATCH(F789,Staff!$A$5:$A$44,0)),"House"))</f>
        <v>0</v>
      </c>
      <c r="R789" s="15">
        <f>IF(B789="","",TEXT(B789,"yyyy-mm"))</f>
        <v>0</v>
      </c>
      <c r="S789" s="25">
        <f>IF(B789="","",WEEKNUM(B789,2))</f>
        <v>0</v>
      </c>
      <c r="T789" s="37">
        <f>IF(B789="","",IF(K789="",1,K789))</f>
        <v>0</v>
      </c>
      <c r="U789" s="15">
        <f>IF(B789="","",IF(J789&lt;&gt;"",J789,IF(H789="Retail",IFERROR(INDEX(Inventory!$B$5:$B$304,MATCH(I789,Inventory!$A$5:$A$304,0))&amp;"","Not in Inventory"),IFERROR(INDEX(Services!$B$5:$B$204,MATCH(I789,Services!$A$5:$A$204,0))&amp;"","Not in Services"))))</f>
        <v>0</v>
      </c>
      <c r="V789" s="26">
        <f>IF(B789="","",IF(L789&lt;&gt;"",L789,IF(H789="Retail",IFERROR(INDEX(Inventory!$I$5:$I$304,MATCH(I789,Inventory!$A$5:$A$304,0))*1,0),IFERROR(INDEX(Services!$G$5:$G$204,MATCH(I789,Services!$A$5:$A$204,0))*1,0))))</f>
        <v>0</v>
      </c>
      <c r="W789" s="26">
        <f>IF(B789="","",ROUND(T789*V789,2))</f>
        <v>0</v>
      </c>
      <c r="X789" s="26">
        <f>IF(B789="","",ROUND(IF(M789="",0,W789*M789)+IF(N789="",0,N789),2))</f>
        <v>0</v>
      </c>
      <c r="Y789" s="26">
        <f>IF(B789="","",ROUND(W789-X789-IF(P789="",0,P789),2))</f>
        <v>0</v>
      </c>
      <c r="Z789" s="26">
        <f>IF(B789="","",IF(H789="Retail",IF(TaxOnRetail="Yes",ROUND(Y789*TaxRate,2),0),IF(H789="Service",IF(TaxOnServices="Yes",ROUND(Y789*TaxRate,2),0),0)))</f>
        <v>0</v>
      </c>
      <c r="AA789" s="26">
        <f>IF(B789="","",ROUND(Y789+Z789,2))</f>
        <v>0</v>
      </c>
      <c r="AB789" s="26">
        <f>IF(B789="","",ROUND(T789*IF(H789="Retail",IFERROR(INDEX(Inventory!$H$5:$H$304,MATCH(I789,Inventory!$A$5:$A$304,0))*1,0),IFERROR(INDEX(Services!$Q$5:$Q$204,MATCH(I789,Services!$A$5:$A$204,0))*1,0)),2))</f>
        <v>0</v>
      </c>
      <c r="AC789" s="26">
        <f>IF(B789="","",ROUND(Y789-AB789,2))</f>
        <v>0</v>
      </c>
      <c r="AD789" s="38">
        <f>IF(B789="","",IF(C789="","No",IF(COUNTIFS($C$5:C789,C789)=1,"Yes","No")))</f>
        <v>0</v>
      </c>
      <c r="AE789" s="26">
        <f>IF(B789="","",ROUND(SUMIFS(Payments!$G$5:$G$1204,Payments!$H$5:$H$1204,A789,Payments!$Q$5:$Q$1204,"Yes"),2))</f>
        <v>0</v>
      </c>
      <c r="AF789" s="26">
        <f>IF(B789="","",IF(AD789="No",0,ROUND(SUMIFS(Payments!$G$5:$G$1204,Payments!$I$5:$I$1204,C789,Payments!$H$5:$H$1204,"",Payments!$Q$5:$Q$1204,"Yes"),2)))</f>
        <v>0</v>
      </c>
      <c r="AG789" s="26">
        <f>IF(B789="","",ROUND(AE789+AF789,2))</f>
        <v>0</v>
      </c>
      <c r="AH789" s="26">
        <f>IF(B789="","",ROUND(AA789-AG789,2))</f>
        <v>0</v>
      </c>
      <c r="AI789" s="39">
        <f>IF(B789="","",IF(AA789&lt;=0,"No charge",IF(AH789&lt;=0.004,"Paid",IF(AG789&lt;=0.004,"Unpaid","Part paid"))))</f>
        <v>0</v>
      </c>
      <c r="AJ789" s="38">
        <f>IF(B789="","",IF(H789&lt;&gt;"Service","",IF(D789="","No",IF(COUNTIFS($D$5:$D$1204,D789,$B$5:$B$1204,B789,$H$5:$H$1204,"Retail")&gt;0,"Yes","No"))))</f>
        <v>0</v>
      </c>
      <c r="AK789" s="25">
        <f>IF(B789="","",COUNTIFS($Y$5:$Y$1204,"&gt;"&amp;Y789)+COUNTIFS($Y$5:Y789,Y789))</f>
        <v>0</v>
      </c>
      <c r="AL789" s="39">
        <f>IF(B789="","",IF(H789="","Add - what kind of sale is this?",IF(IF(V789&lt;=0,P789="",FALSE),"Check - no price found for this item",IF(F789="","Assign - nobody credited",IF(AH789&gt;0.004,"Unpaid - balance outstanding",IF(AC789&lt;0,"Loss - sold below cost",IF(X789&gt;W789*0.5,"Check - more than half off","OK")))))))</f>
        <v>0</v>
      </c>
    </row>
    <row r="790" spans="1:38">
      <c r="A790" s="28">
        <f>IF(B790="","",SalePrefix&amp;TEXT(ROW()-4,"0000"))</f>
        <v>0</v>
      </c>
      <c r="E790" s="15">
        <f>IF(D790="","",IFERROR(INDEX(Clients!$B$5:$B$504,MATCH(D790,Clients!$A$5:$A$504,0)),"Walk-in"))</f>
        <v>0</v>
      </c>
      <c r="G790" s="15">
        <f>IF(F790="","",IFERROR(INDEX(Staff!$B$5:$B$44,MATCH(F790,Staff!$A$5:$A$44,0)),"House"))</f>
        <v>0</v>
      </c>
      <c r="R790" s="15">
        <f>IF(B790="","",TEXT(B790,"yyyy-mm"))</f>
        <v>0</v>
      </c>
      <c r="S790" s="25">
        <f>IF(B790="","",WEEKNUM(B790,2))</f>
        <v>0</v>
      </c>
      <c r="T790" s="37">
        <f>IF(B790="","",IF(K790="",1,K790))</f>
        <v>0</v>
      </c>
      <c r="U790" s="15">
        <f>IF(B790="","",IF(J790&lt;&gt;"",J790,IF(H790="Retail",IFERROR(INDEX(Inventory!$B$5:$B$304,MATCH(I790,Inventory!$A$5:$A$304,0))&amp;"","Not in Inventory"),IFERROR(INDEX(Services!$B$5:$B$204,MATCH(I790,Services!$A$5:$A$204,0))&amp;"","Not in Services"))))</f>
        <v>0</v>
      </c>
      <c r="V790" s="26">
        <f>IF(B790="","",IF(L790&lt;&gt;"",L790,IF(H790="Retail",IFERROR(INDEX(Inventory!$I$5:$I$304,MATCH(I790,Inventory!$A$5:$A$304,0))*1,0),IFERROR(INDEX(Services!$G$5:$G$204,MATCH(I790,Services!$A$5:$A$204,0))*1,0))))</f>
        <v>0</v>
      </c>
      <c r="W790" s="26">
        <f>IF(B790="","",ROUND(T790*V790,2))</f>
        <v>0</v>
      </c>
      <c r="X790" s="26">
        <f>IF(B790="","",ROUND(IF(M790="",0,W790*M790)+IF(N790="",0,N790),2))</f>
        <v>0</v>
      </c>
      <c r="Y790" s="26">
        <f>IF(B790="","",ROUND(W790-X790-IF(P790="",0,P790),2))</f>
        <v>0</v>
      </c>
      <c r="Z790" s="26">
        <f>IF(B790="","",IF(H790="Retail",IF(TaxOnRetail="Yes",ROUND(Y790*TaxRate,2),0),IF(H790="Service",IF(TaxOnServices="Yes",ROUND(Y790*TaxRate,2),0),0)))</f>
        <v>0</v>
      </c>
      <c r="AA790" s="26">
        <f>IF(B790="","",ROUND(Y790+Z790,2))</f>
        <v>0</v>
      </c>
      <c r="AB790" s="26">
        <f>IF(B790="","",ROUND(T790*IF(H790="Retail",IFERROR(INDEX(Inventory!$H$5:$H$304,MATCH(I790,Inventory!$A$5:$A$304,0))*1,0),IFERROR(INDEX(Services!$Q$5:$Q$204,MATCH(I790,Services!$A$5:$A$204,0))*1,0)),2))</f>
        <v>0</v>
      </c>
      <c r="AC790" s="26">
        <f>IF(B790="","",ROUND(Y790-AB790,2))</f>
        <v>0</v>
      </c>
      <c r="AD790" s="38">
        <f>IF(B790="","",IF(C790="","No",IF(COUNTIFS($C$5:C790,C790)=1,"Yes","No")))</f>
        <v>0</v>
      </c>
      <c r="AE790" s="26">
        <f>IF(B790="","",ROUND(SUMIFS(Payments!$G$5:$G$1204,Payments!$H$5:$H$1204,A790,Payments!$Q$5:$Q$1204,"Yes"),2))</f>
        <v>0</v>
      </c>
      <c r="AF790" s="26">
        <f>IF(B790="","",IF(AD790="No",0,ROUND(SUMIFS(Payments!$G$5:$G$1204,Payments!$I$5:$I$1204,C790,Payments!$H$5:$H$1204,"",Payments!$Q$5:$Q$1204,"Yes"),2)))</f>
        <v>0</v>
      </c>
      <c r="AG790" s="26">
        <f>IF(B790="","",ROUND(AE790+AF790,2))</f>
        <v>0</v>
      </c>
      <c r="AH790" s="26">
        <f>IF(B790="","",ROUND(AA790-AG790,2))</f>
        <v>0</v>
      </c>
      <c r="AI790" s="39">
        <f>IF(B790="","",IF(AA790&lt;=0,"No charge",IF(AH790&lt;=0.004,"Paid",IF(AG790&lt;=0.004,"Unpaid","Part paid"))))</f>
        <v>0</v>
      </c>
      <c r="AJ790" s="38">
        <f>IF(B790="","",IF(H790&lt;&gt;"Service","",IF(D790="","No",IF(COUNTIFS($D$5:$D$1204,D790,$B$5:$B$1204,B790,$H$5:$H$1204,"Retail")&gt;0,"Yes","No"))))</f>
        <v>0</v>
      </c>
      <c r="AK790" s="25">
        <f>IF(B790="","",COUNTIFS($Y$5:$Y$1204,"&gt;"&amp;Y790)+COUNTIFS($Y$5:Y790,Y790))</f>
        <v>0</v>
      </c>
      <c r="AL790" s="39">
        <f>IF(B790="","",IF(H790="","Add - what kind of sale is this?",IF(IF(V790&lt;=0,P790="",FALSE),"Check - no price found for this item",IF(F790="","Assign - nobody credited",IF(AH790&gt;0.004,"Unpaid - balance outstanding",IF(AC790&lt;0,"Loss - sold below cost",IF(X790&gt;W790*0.5,"Check - more than half off","OK")))))))</f>
        <v>0</v>
      </c>
    </row>
    <row r="791" spans="1:38">
      <c r="A791" s="28">
        <f>IF(B791="","",SalePrefix&amp;TEXT(ROW()-4,"0000"))</f>
        <v>0</v>
      </c>
      <c r="E791" s="15">
        <f>IF(D791="","",IFERROR(INDEX(Clients!$B$5:$B$504,MATCH(D791,Clients!$A$5:$A$504,0)),"Walk-in"))</f>
        <v>0</v>
      </c>
      <c r="G791" s="15">
        <f>IF(F791="","",IFERROR(INDEX(Staff!$B$5:$B$44,MATCH(F791,Staff!$A$5:$A$44,0)),"House"))</f>
        <v>0</v>
      </c>
      <c r="R791" s="15">
        <f>IF(B791="","",TEXT(B791,"yyyy-mm"))</f>
        <v>0</v>
      </c>
      <c r="S791" s="25">
        <f>IF(B791="","",WEEKNUM(B791,2))</f>
        <v>0</v>
      </c>
      <c r="T791" s="37">
        <f>IF(B791="","",IF(K791="",1,K791))</f>
        <v>0</v>
      </c>
      <c r="U791" s="15">
        <f>IF(B791="","",IF(J791&lt;&gt;"",J791,IF(H791="Retail",IFERROR(INDEX(Inventory!$B$5:$B$304,MATCH(I791,Inventory!$A$5:$A$304,0))&amp;"","Not in Inventory"),IFERROR(INDEX(Services!$B$5:$B$204,MATCH(I791,Services!$A$5:$A$204,0))&amp;"","Not in Services"))))</f>
        <v>0</v>
      </c>
      <c r="V791" s="26">
        <f>IF(B791="","",IF(L791&lt;&gt;"",L791,IF(H791="Retail",IFERROR(INDEX(Inventory!$I$5:$I$304,MATCH(I791,Inventory!$A$5:$A$304,0))*1,0),IFERROR(INDEX(Services!$G$5:$G$204,MATCH(I791,Services!$A$5:$A$204,0))*1,0))))</f>
        <v>0</v>
      </c>
      <c r="W791" s="26">
        <f>IF(B791="","",ROUND(T791*V791,2))</f>
        <v>0</v>
      </c>
      <c r="X791" s="26">
        <f>IF(B791="","",ROUND(IF(M791="",0,W791*M791)+IF(N791="",0,N791),2))</f>
        <v>0</v>
      </c>
      <c r="Y791" s="26">
        <f>IF(B791="","",ROUND(W791-X791-IF(P791="",0,P791),2))</f>
        <v>0</v>
      </c>
      <c r="Z791" s="26">
        <f>IF(B791="","",IF(H791="Retail",IF(TaxOnRetail="Yes",ROUND(Y791*TaxRate,2),0),IF(H791="Service",IF(TaxOnServices="Yes",ROUND(Y791*TaxRate,2),0),0)))</f>
        <v>0</v>
      </c>
      <c r="AA791" s="26">
        <f>IF(B791="","",ROUND(Y791+Z791,2))</f>
        <v>0</v>
      </c>
      <c r="AB791" s="26">
        <f>IF(B791="","",ROUND(T791*IF(H791="Retail",IFERROR(INDEX(Inventory!$H$5:$H$304,MATCH(I791,Inventory!$A$5:$A$304,0))*1,0),IFERROR(INDEX(Services!$Q$5:$Q$204,MATCH(I791,Services!$A$5:$A$204,0))*1,0)),2))</f>
        <v>0</v>
      </c>
      <c r="AC791" s="26">
        <f>IF(B791="","",ROUND(Y791-AB791,2))</f>
        <v>0</v>
      </c>
      <c r="AD791" s="38">
        <f>IF(B791="","",IF(C791="","No",IF(COUNTIFS($C$5:C791,C791)=1,"Yes","No")))</f>
        <v>0</v>
      </c>
      <c r="AE791" s="26">
        <f>IF(B791="","",ROUND(SUMIFS(Payments!$G$5:$G$1204,Payments!$H$5:$H$1204,A791,Payments!$Q$5:$Q$1204,"Yes"),2))</f>
        <v>0</v>
      </c>
      <c r="AF791" s="26">
        <f>IF(B791="","",IF(AD791="No",0,ROUND(SUMIFS(Payments!$G$5:$G$1204,Payments!$I$5:$I$1204,C791,Payments!$H$5:$H$1204,"",Payments!$Q$5:$Q$1204,"Yes"),2)))</f>
        <v>0</v>
      </c>
      <c r="AG791" s="26">
        <f>IF(B791="","",ROUND(AE791+AF791,2))</f>
        <v>0</v>
      </c>
      <c r="AH791" s="26">
        <f>IF(B791="","",ROUND(AA791-AG791,2))</f>
        <v>0</v>
      </c>
      <c r="AI791" s="39">
        <f>IF(B791="","",IF(AA791&lt;=0,"No charge",IF(AH791&lt;=0.004,"Paid",IF(AG791&lt;=0.004,"Unpaid","Part paid"))))</f>
        <v>0</v>
      </c>
      <c r="AJ791" s="38">
        <f>IF(B791="","",IF(H791&lt;&gt;"Service","",IF(D791="","No",IF(COUNTIFS($D$5:$D$1204,D791,$B$5:$B$1204,B791,$H$5:$H$1204,"Retail")&gt;0,"Yes","No"))))</f>
        <v>0</v>
      </c>
      <c r="AK791" s="25">
        <f>IF(B791="","",COUNTIFS($Y$5:$Y$1204,"&gt;"&amp;Y791)+COUNTIFS($Y$5:Y791,Y791))</f>
        <v>0</v>
      </c>
      <c r="AL791" s="39">
        <f>IF(B791="","",IF(H791="","Add - what kind of sale is this?",IF(IF(V791&lt;=0,P791="",FALSE),"Check - no price found for this item",IF(F791="","Assign - nobody credited",IF(AH791&gt;0.004,"Unpaid - balance outstanding",IF(AC791&lt;0,"Loss - sold below cost",IF(X791&gt;W791*0.5,"Check - more than half off","OK")))))))</f>
        <v>0</v>
      </c>
    </row>
    <row r="792" spans="1:38">
      <c r="A792" s="28">
        <f>IF(B792="","",SalePrefix&amp;TEXT(ROW()-4,"0000"))</f>
        <v>0</v>
      </c>
      <c r="E792" s="15">
        <f>IF(D792="","",IFERROR(INDEX(Clients!$B$5:$B$504,MATCH(D792,Clients!$A$5:$A$504,0)),"Walk-in"))</f>
        <v>0</v>
      </c>
      <c r="G792" s="15">
        <f>IF(F792="","",IFERROR(INDEX(Staff!$B$5:$B$44,MATCH(F792,Staff!$A$5:$A$44,0)),"House"))</f>
        <v>0</v>
      </c>
      <c r="R792" s="15">
        <f>IF(B792="","",TEXT(B792,"yyyy-mm"))</f>
        <v>0</v>
      </c>
      <c r="S792" s="25">
        <f>IF(B792="","",WEEKNUM(B792,2))</f>
        <v>0</v>
      </c>
      <c r="T792" s="37">
        <f>IF(B792="","",IF(K792="",1,K792))</f>
        <v>0</v>
      </c>
      <c r="U792" s="15">
        <f>IF(B792="","",IF(J792&lt;&gt;"",J792,IF(H792="Retail",IFERROR(INDEX(Inventory!$B$5:$B$304,MATCH(I792,Inventory!$A$5:$A$304,0))&amp;"","Not in Inventory"),IFERROR(INDEX(Services!$B$5:$B$204,MATCH(I792,Services!$A$5:$A$204,0))&amp;"","Not in Services"))))</f>
        <v>0</v>
      </c>
      <c r="V792" s="26">
        <f>IF(B792="","",IF(L792&lt;&gt;"",L792,IF(H792="Retail",IFERROR(INDEX(Inventory!$I$5:$I$304,MATCH(I792,Inventory!$A$5:$A$304,0))*1,0),IFERROR(INDEX(Services!$G$5:$G$204,MATCH(I792,Services!$A$5:$A$204,0))*1,0))))</f>
        <v>0</v>
      </c>
      <c r="W792" s="26">
        <f>IF(B792="","",ROUND(T792*V792,2))</f>
        <v>0</v>
      </c>
      <c r="X792" s="26">
        <f>IF(B792="","",ROUND(IF(M792="",0,W792*M792)+IF(N792="",0,N792),2))</f>
        <v>0</v>
      </c>
      <c r="Y792" s="26">
        <f>IF(B792="","",ROUND(W792-X792-IF(P792="",0,P792),2))</f>
        <v>0</v>
      </c>
      <c r="Z792" s="26">
        <f>IF(B792="","",IF(H792="Retail",IF(TaxOnRetail="Yes",ROUND(Y792*TaxRate,2),0),IF(H792="Service",IF(TaxOnServices="Yes",ROUND(Y792*TaxRate,2),0),0)))</f>
        <v>0</v>
      </c>
      <c r="AA792" s="26">
        <f>IF(B792="","",ROUND(Y792+Z792,2))</f>
        <v>0</v>
      </c>
      <c r="AB792" s="26">
        <f>IF(B792="","",ROUND(T792*IF(H792="Retail",IFERROR(INDEX(Inventory!$H$5:$H$304,MATCH(I792,Inventory!$A$5:$A$304,0))*1,0),IFERROR(INDEX(Services!$Q$5:$Q$204,MATCH(I792,Services!$A$5:$A$204,0))*1,0)),2))</f>
        <v>0</v>
      </c>
      <c r="AC792" s="26">
        <f>IF(B792="","",ROUND(Y792-AB792,2))</f>
        <v>0</v>
      </c>
      <c r="AD792" s="38">
        <f>IF(B792="","",IF(C792="","No",IF(COUNTIFS($C$5:C792,C792)=1,"Yes","No")))</f>
        <v>0</v>
      </c>
      <c r="AE792" s="26">
        <f>IF(B792="","",ROUND(SUMIFS(Payments!$G$5:$G$1204,Payments!$H$5:$H$1204,A792,Payments!$Q$5:$Q$1204,"Yes"),2))</f>
        <v>0</v>
      </c>
      <c r="AF792" s="26">
        <f>IF(B792="","",IF(AD792="No",0,ROUND(SUMIFS(Payments!$G$5:$G$1204,Payments!$I$5:$I$1204,C792,Payments!$H$5:$H$1204,"",Payments!$Q$5:$Q$1204,"Yes"),2)))</f>
        <v>0</v>
      </c>
      <c r="AG792" s="26">
        <f>IF(B792="","",ROUND(AE792+AF792,2))</f>
        <v>0</v>
      </c>
      <c r="AH792" s="26">
        <f>IF(B792="","",ROUND(AA792-AG792,2))</f>
        <v>0</v>
      </c>
      <c r="AI792" s="39">
        <f>IF(B792="","",IF(AA792&lt;=0,"No charge",IF(AH792&lt;=0.004,"Paid",IF(AG792&lt;=0.004,"Unpaid","Part paid"))))</f>
        <v>0</v>
      </c>
      <c r="AJ792" s="38">
        <f>IF(B792="","",IF(H792&lt;&gt;"Service","",IF(D792="","No",IF(COUNTIFS($D$5:$D$1204,D792,$B$5:$B$1204,B792,$H$5:$H$1204,"Retail")&gt;0,"Yes","No"))))</f>
        <v>0</v>
      </c>
      <c r="AK792" s="25">
        <f>IF(B792="","",COUNTIFS($Y$5:$Y$1204,"&gt;"&amp;Y792)+COUNTIFS($Y$5:Y792,Y792))</f>
        <v>0</v>
      </c>
      <c r="AL792" s="39">
        <f>IF(B792="","",IF(H792="","Add - what kind of sale is this?",IF(IF(V792&lt;=0,P792="",FALSE),"Check - no price found for this item",IF(F792="","Assign - nobody credited",IF(AH792&gt;0.004,"Unpaid - balance outstanding",IF(AC792&lt;0,"Loss - sold below cost",IF(X792&gt;W792*0.5,"Check - more than half off","OK")))))))</f>
        <v>0</v>
      </c>
    </row>
    <row r="793" spans="1:38">
      <c r="A793" s="28">
        <f>IF(B793="","",SalePrefix&amp;TEXT(ROW()-4,"0000"))</f>
        <v>0</v>
      </c>
      <c r="E793" s="15">
        <f>IF(D793="","",IFERROR(INDEX(Clients!$B$5:$B$504,MATCH(D793,Clients!$A$5:$A$504,0)),"Walk-in"))</f>
        <v>0</v>
      </c>
      <c r="G793" s="15">
        <f>IF(F793="","",IFERROR(INDEX(Staff!$B$5:$B$44,MATCH(F793,Staff!$A$5:$A$44,0)),"House"))</f>
        <v>0</v>
      </c>
      <c r="R793" s="15">
        <f>IF(B793="","",TEXT(B793,"yyyy-mm"))</f>
        <v>0</v>
      </c>
      <c r="S793" s="25">
        <f>IF(B793="","",WEEKNUM(B793,2))</f>
        <v>0</v>
      </c>
      <c r="T793" s="37">
        <f>IF(B793="","",IF(K793="",1,K793))</f>
        <v>0</v>
      </c>
      <c r="U793" s="15">
        <f>IF(B793="","",IF(J793&lt;&gt;"",J793,IF(H793="Retail",IFERROR(INDEX(Inventory!$B$5:$B$304,MATCH(I793,Inventory!$A$5:$A$304,0))&amp;"","Not in Inventory"),IFERROR(INDEX(Services!$B$5:$B$204,MATCH(I793,Services!$A$5:$A$204,0))&amp;"","Not in Services"))))</f>
        <v>0</v>
      </c>
      <c r="V793" s="26">
        <f>IF(B793="","",IF(L793&lt;&gt;"",L793,IF(H793="Retail",IFERROR(INDEX(Inventory!$I$5:$I$304,MATCH(I793,Inventory!$A$5:$A$304,0))*1,0),IFERROR(INDEX(Services!$G$5:$G$204,MATCH(I793,Services!$A$5:$A$204,0))*1,0))))</f>
        <v>0</v>
      </c>
      <c r="W793" s="26">
        <f>IF(B793="","",ROUND(T793*V793,2))</f>
        <v>0</v>
      </c>
      <c r="X793" s="26">
        <f>IF(B793="","",ROUND(IF(M793="",0,W793*M793)+IF(N793="",0,N793),2))</f>
        <v>0</v>
      </c>
      <c r="Y793" s="26">
        <f>IF(B793="","",ROUND(W793-X793-IF(P793="",0,P793),2))</f>
        <v>0</v>
      </c>
      <c r="Z793" s="26">
        <f>IF(B793="","",IF(H793="Retail",IF(TaxOnRetail="Yes",ROUND(Y793*TaxRate,2),0),IF(H793="Service",IF(TaxOnServices="Yes",ROUND(Y793*TaxRate,2),0),0)))</f>
        <v>0</v>
      </c>
      <c r="AA793" s="26">
        <f>IF(B793="","",ROUND(Y793+Z793,2))</f>
        <v>0</v>
      </c>
      <c r="AB793" s="26">
        <f>IF(B793="","",ROUND(T793*IF(H793="Retail",IFERROR(INDEX(Inventory!$H$5:$H$304,MATCH(I793,Inventory!$A$5:$A$304,0))*1,0),IFERROR(INDEX(Services!$Q$5:$Q$204,MATCH(I793,Services!$A$5:$A$204,0))*1,0)),2))</f>
        <v>0</v>
      </c>
      <c r="AC793" s="26">
        <f>IF(B793="","",ROUND(Y793-AB793,2))</f>
        <v>0</v>
      </c>
      <c r="AD793" s="38">
        <f>IF(B793="","",IF(C793="","No",IF(COUNTIFS($C$5:C793,C793)=1,"Yes","No")))</f>
        <v>0</v>
      </c>
      <c r="AE793" s="26">
        <f>IF(B793="","",ROUND(SUMIFS(Payments!$G$5:$G$1204,Payments!$H$5:$H$1204,A793,Payments!$Q$5:$Q$1204,"Yes"),2))</f>
        <v>0</v>
      </c>
      <c r="AF793" s="26">
        <f>IF(B793="","",IF(AD793="No",0,ROUND(SUMIFS(Payments!$G$5:$G$1204,Payments!$I$5:$I$1204,C793,Payments!$H$5:$H$1204,"",Payments!$Q$5:$Q$1204,"Yes"),2)))</f>
        <v>0</v>
      </c>
      <c r="AG793" s="26">
        <f>IF(B793="","",ROUND(AE793+AF793,2))</f>
        <v>0</v>
      </c>
      <c r="AH793" s="26">
        <f>IF(B793="","",ROUND(AA793-AG793,2))</f>
        <v>0</v>
      </c>
      <c r="AI793" s="39">
        <f>IF(B793="","",IF(AA793&lt;=0,"No charge",IF(AH793&lt;=0.004,"Paid",IF(AG793&lt;=0.004,"Unpaid","Part paid"))))</f>
        <v>0</v>
      </c>
      <c r="AJ793" s="38">
        <f>IF(B793="","",IF(H793&lt;&gt;"Service","",IF(D793="","No",IF(COUNTIFS($D$5:$D$1204,D793,$B$5:$B$1204,B793,$H$5:$H$1204,"Retail")&gt;0,"Yes","No"))))</f>
        <v>0</v>
      </c>
      <c r="AK793" s="25">
        <f>IF(B793="","",COUNTIFS($Y$5:$Y$1204,"&gt;"&amp;Y793)+COUNTIFS($Y$5:Y793,Y793))</f>
        <v>0</v>
      </c>
      <c r="AL793" s="39">
        <f>IF(B793="","",IF(H793="","Add - what kind of sale is this?",IF(IF(V793&lt;=0,P793="",FALSE),"Check - no price found for this item",IF(F793="","Assign - nobody credited",IF(AH793&gt;0.004,"Unpaid - balance outstanding",IF(AC793&lt;0,"Loss - sold below cost",IF(X793&gt;W793*0.5,"Check - more than half off","OK")))))))</f>
        <v>0</v>
      </c>
    </row>
    <row r="794" spans="1:38">
      <c r="A794" s="28">
        <f>IF(B794="","",SalePrefix&amp;TEXT(ROW()-4,"0000"))</f>
        <v>0</v>
      </c>
      <c r="E794" s="15">
        <f>IF(D794="","",IFERROR(INDEX(Clients!$B$5:$B$504,MATCH(D794,Clients!$A$5:$A$504,0)),"Walk-in"))</f>
        <v>0</v>
      </c>
      <c r="G794" s="15">
        <f>IF(F794="","",IFERROR(INDEX(Staff!$B$5:$B$44,MATCH(F794,Staff!$A$5:$A$44,0)),"House"))</f>
        <v>0</v>
      </c>
      <c r="R794" s="15">
        <f>IF(B794="","",TEXT(B794,"yyyy-mm"))</f>
        <v>0</v>
      </c>
      <c r="S794" s="25">
        <f>IF(B794="","",WEEKNUM(B794,2))</f>
        <v>0</v>
      </c>
      <c r="T794" s="37">
        <f>IF(B794="","",IF(K794="",1,K794))</f>
        <v>0</v>
      </c>
      <c r="U794" s="15">
        <f>IF(B794="","",IF(J794&lt;&gt;"",J794,IF(H794="Retail",IFERROR(INDEX(Inventory!$B$5:$B$304,MATCH(I794,Inventory!$A$5:$A$304,0))&amp;"","Not in Inventory"),IFERROR(INDEX(Services!$B$5:$B$204,MATCH(I794,Services!$A$5:$A$204,0))&amp;"","Not in Services"))))</f>
        <v>0</v>
      </c>
      <c r="V794" s="26">
        <f>IF(B794="","",IF(L794&lt;&gt;"",L794,IF(H794="Retail",IFERROR(INDEX(Inventory!$I$5:$I$304,MATCH(I794,Inventory!$A$5:$A$304,0))*1,0),IFERROR(INDEX(Services!$G$5:$G$204,MATCH(I794,Services!$A$5:$A$204,0))*1,0))))</f>
        <v>0</v>
      </c>
      <c r="W794" s="26">
        <f>IF(B794="","",ROUND(T794*V794,2))</f>
        <v>0</v>
      </c>
      <c r="X794" s="26">
        <f>IF(B794="","",ROUND(IF(M794="",0,W794*M794)+IF(N794="",0,N794),2))</f>
        <v>0</v>
      </c>
      <c r="Y794" s="26">
        <f>IF(B794="","",ROUND(W794-X794-IF(P794="",0,P794),2))</f>
        <v>0</v>
      </c>
      <c r="Z794" s="26">
        <f>IF(B794="","",IF(H794="Retail",IF(TaxOnRetail="Yes",ROUND(Y794*TaxRate,2),0),IF(H794="Service",IF(TaxOnServices="Yes",ROUND(Y794*TaxRate,2),0),0)))</f>
        <v>0</v>
      </c>
      <c r="AA794" s="26">
        <f>IF(B794="","",ROUND(Y794+Z794,2))</f>
        <v>0</v>
      </c>
      <c r="AB794" s="26">
        <f>IF(B794="","",ROUND(T794*IF(H794="Retail",IFERROR(INDEX(Inventory!$H$5:$H$304,MATCH(I794,Inventory!$A$5:$A$304,0))*1,0),IFERROR(INDEX(Services!$Q$5:$Q$204,MATCH(I794,Services!$A$5:$A$204,0))*1,0)),2))</f>
        <v>0</v>
      </c>
      <c r="AC794" s="26">
        <f>IF(B794="","",ROUND(Y794-AB794,2))</f>
        <v>0</v>
      </c>
      <c r="AD794" s="38">
        <f>IF(B794="","",IF(C794="","No",IF(COUNTIFS($C$5:C794,C794)=1,"Yes","No")))</f>
        <v>0</v>
      </c>
      <c r="AE794" s="26">
        <f>IF(B794="","",ROUND(SUMIFS(Payments!$G$5:$G$1204,Payments!$H$5:$H$1204,A794,Payments!$Q$5:$Q$1204,"Yes"),2))</f>
        <v>0</v>
      </c>
      <c r="AF794" s="26">
        <f>IF(B794="","",IF(AD794="No",0,ROUND(SUMIFS(Payments!$G$5:$G$1204,Payments!$I$5:$I$1204,C794,Payments!$H$5:$H$1204,"",Payments!$Q$5:$Q$1204,"Yes"),2)))</f>
        <v>0</v>
      </c>
      <c r="AG794" s="26">
        <f>IF(B794="","",ROUND(AE794+AF794,2))</f>
        <v>0</v>
      </c>
      <c r="AH794" s="26">
        <f>IF(B794="","",ROUND(AA794-AG794,2))</f>
        <v>0</v>
      </c>
      <c r="AI794" s="39">
        <f>IF(B794="","",IF(AA794&lt;=0,"No charge",IF(AH794&lt;=0.004,"Paid",IF(AG794&lt;=0.004,"Unpaid","Part paid"))))</f>
        <v>0</v>
      </c>
      <c r="AJ794" s="38">
        <f>IF(B794="","",IF(H794&lt;&gt;"Service","",IF(D794="","No",IF(COUNTIFS($D$5:$D$1204,D794,$B$5:$B$1204,B794,$H$5:$H$1204,"Retail")&gt;0,"Yes","No"))))</f>
        <v>0</v>
      </c>
      <c r="AK794" s="25">
        <f>IF(B794="","",COUNTIFS($Y$5:$Y$1204,"&gt;"&amp;Y794)+COUNTIFS($Y$5:Y794,Y794))</f>
        <v>0</v>
      </c>
      <c r="AL794" s="39">
        <f>IF(B794="","",IF(H794="","Add - what kind of sale is this?",IF(IF(V794&lt;=0,P794="",FALSE),"Check - no price found for this item",IF(F794="","Assign - nobody credited",IF(AH794&gt;0.004,"Unpaid - balance outstanding",IF(AC794&lt;0,"Loss - sold below cost",IF(X794&gt;W794*0.5,"Check - more than half off","OK")))))))</f>
        <v>0</v>
      </c>
    </row>
    <row r="795" spans="1:38">
      <c r="A795" s="28">
        <f>IF(B795="","",SalePrefix&amp;TEXT(ROW()-4,"0000"))</f>
        <v>0</v>
      </c>
      <c r="E795" s="15">
        <f>IF(D795="","",IFERROR(INDEX(Clients!$B$5:$B$504,MATCH(D795,Clients!$A$5:$A$504,0)),"Walk-in"))</f>
        <v>0</v>
      </c>
      <c r="G795" s="15">
        <f>IF(F795="","",IFERROR(INDEX(Staff!$B$5:$B$44,MATCH(F795,Staff!$A$5:$A$44,0)),"House"))</f>
        <v>0</v>
      </c>
      <c r="R795" s="15">
        <f>IF(B795="","",TEXT(B795,"yyyy-mm"))</f>
        <v>0</v>
      </c>
      <c r="S795" s="25">
        <f>IF(B795="","",WEEKNUM(B795,2))</f>
        <v>0</v>
      </c>
      <c r="T795" s="37">
        <f>IF(B795="","",IF(K795="",1,K795))</f>
        <v>0</v>
      </c>
      <c r="U795" s="15">
        <f>IF(B795="","",IF(J795&lt;&gt;"",J795,IF(H795="Retail",IFERROR(INDEX(Inventory!$B$5:$B$304,MATCH(I795,Inventory!$A$5:$A$304,0))&amp;"","Not in Inventory"),IFERROR(INDEX(Services!$B$5:$B$204,MATCH(I795,Services!$A$5:$A$204,0))&amp;"","Not in Services"))))</f>
        <v>0</v>
      </c>
      <c r="V795" s="26">
        <f>IF(B795="","",IF(L795&lt;&gt;"",L795,IF(H795="Retail",IFERROR(INDEX(Inventory!$I$5:$I$304,MATCH(I795,Inventory!$A$5:$A$304,0))*1,0),IFERROR(INDEX(Services!$G$5:$G$204,MATCH(I795,Services!$A$5:$A$204,0))*1,0))))</f>
        <v>0</v>
      </c>
      <c r="W795" s="26">
        <f>IF(B795="","",ROUND(T795*V795,2))</f>
        <v>0</v>
      </c>
      <c r="X795" s="26">
        <f>IF(B795="","",ROUND(IF(M795="",0,W795*M795)+IF(N795="",0,N795),2))</f>
        <v>0</v>
      </c>
      <c r="Y795" s="26">
        <f>IF(B795="","",ROUND(W795-X795-IF(P795="",0,P795),2))</f>
        <v>0</v>
      </c>
      <c r="Z795" s="26">
        <f>IF(B795="","",IF(H795="Retail",IF(TaxOnRetail="Yes",ROUND(Y795*TaxRate,2),0),IF(H795="Service",IF(TaxOnServices="Yes",ROUND(Y795*TaxRate,2),0),0)))</f>
        <v>0</v>
      </c>
      <c r="AA795" s="26">
        <f>IF(B795="","",ROUND(Y795+Z795,2))</f>
        <v>0</v>
      </c>
      <c r="AB795" s="26">
        <f>IF(B795="","",ROUND(T795*IF(H795="Retail",IFERROR(INDEX(Inventory!$H$5:$H$304,MATCH(I795,Inventory!$A$5:$A$304,0))*1,0),IFERROR(INDEX(Services!$Q$5:$Q$204,MATCH(I795,Services!$A$5:$A$204,0))*1,0)),2))</f>
        <v>0</v>
      </c>
      <c r="AC795" s="26">
        <f>IF(B795="","",ROUND(Y795-AB795,2))</f>
        <v>0</v>
      </c>
      <c r="AD795" s="38">
        <f>IF(B795="","",IF(C795="","No",IF(COUNTIFS($C$5:C795,C795)=1,"Yes","No")))</f>
        <v>0</v>
      </c>
      <c r="AE795" s="26">
        <f>IF(B795="","",ROUND(SUMIFS(Payments!$G$5:$G$1204,Payments!$H$5:$H$1204,A795,Payments!$Q$5:$Q$1204,"Yes"),2))</f>
        <v>0</v>
      </c>
      <c r="AF795" s="26">
        <f>IF(B795="","",IF(AD795="No",0,ROUND(SUMIFS(Payments!$G$5:$G$1204,Payments!$I$5:$I$1204,C795,Payments!$H$5:$H$1204,"",Payments!$Q$5:$Q$1204,"Yes"),2)))</f>
        <v>0</v>
      </c>
      <c r="AG795" s="26">
        <f>IF(B795="","",ROUND(AE795+AF795,2))</f>
        <v>0</v>
      </c>
      <c r="AH795" s="26">
        <f>IF(B795="","",ROUND(AA795-AG795,2))</f>
        <v>0</v>
      </c>
      <c r="AI795" s="39">
        <f>IF(B795="","",IF(AA795&lt;=0,"No charge",IF(AH795&lt;=0.004,"Paid",IF(AG795&lt;=0.004,"Unpaid","Part paid"))))</f>
        <v>0</v>
      </c>
      <c r="AJ795" s="38">
        <f>IF(B795="","",IF(H795&lt;&gt;"Service","",IF(D795="","No",IF(COUNTIFS($D$5:$D$1204,D795,$B$5:$B$1204,B795,$H$5:$H$1204,"Retail")&gt;0,"Yes","No"))))</f>
        <v>0</v>
      </c>
      <c r="AK795" s="25">
        <f>IF(B795="","",COUNTIFS($Y$5:$Y$1204,"&gt;"&amp;Y795)+COUNTIFS($Y$5:Y795,Y795))</f>
        <v>0</v>
      </c>
      <c r="AL795" s="39">
        <f>IF(B795="","",IF(H795="","Add - what kind of sale is this?",IF(IF(V795&lt;=0,P795="",FALSE),"Check - no price found for this item",IF(F795="","Assign - nobody credited",IF(AH795&gt;0.004,"Unpaid - balance outstanding",IF(AC795&lt;0,"Loss - sold below cost",IF(X795&gt;W795*0.5,"Check - more than half off","OK")))))))</f>
        <v>0</v>
      </c>
    </row>
    <row r="796" spans="1:38">
      <c r="A796" s="28">
        <f>IF(B796="","",SalePrefix&amp;TEXT(ROW()-4,"0000"))</f>
        <v>0</v>
      </c>
      <c r="E796" s="15">
        <f>IF(D796="","",IFERROR(INDEX(Clients!$B$5:$B$504,MATCH(D796,Clients!$A$5:$A$504,0)),"Walk-in"))</f>
        <v>0</v>
      </c>
      <c r="G796" s="15">
        <f>IF(F796="","",IFERROR(INDEX(Staff!$B$5:$B$44,MATCH(F796,Staff!$A$5:$A$44,0)),"House"))</f>
        <v>0</v>
      </c>
      <c r="R796" s="15">
        <f>IF(B796="","",TEXT(B796,"yyyy-mm"))</f>
        <v>0</v>
      </c>
      <c r="S796" s="25">
        <f>IF(B796="","",WEEKNUM(B796,2))</f>
        <v>0</v>
      </c>
      <c r="T796" s="37">
        <f>IF(B796="","",IF(K796="",1,K796))</f>
        <v>0</v>
      </c>
      <c r="U796" s="15">
        <f>IF(B796="","",IF(J796&lt;&gt;"",J796,IF(H796="Retail",IFERROR(INDEX(Inventory!$B$5:$B$304,MATCH(I796,Inventory!$A$5:$A$304,0))&amp;"","Not in Inventory"),IFERROR(INDEX(Services!$B$5:$B$204,MATCH(I796,Services!$A$5:$A$204,0))&amp;"","Not in Services"))))</f>
        <v>0</v>
      </c>
      <c r="V796" s="26">
        <f>IF(B796="","",IF(L796&lt;&gt;"",L796,IF(H796="Retail",IFERROR(INDEX(Inventory!$I$5:$I$304,MATCH(I796,Inventory!$A$5:$A$304,0))*1,0),IFERROR(INDEX(Services!$G$5:$G$204,MATCH(I796,Services!$A$5:$A$204,0))*1,0))))</f>
        <v>0</v>
      </c>
      <c r="W796" s="26">
        <f>IF(B796="","",ROUND(T796*V796,2))</f>
        <v>0</v>
      </c>
      <c r="X796" s="26">
        <f>IF(B796="","",ROUND(IF(M796="",0,W796*M796)+IF(N796="",0,N796),2))</f>
        <v>0</v>
      </c>
      <c r="Y796" s="26">
        <f>IF(B796="","",ROUND(W796-X796-IF(P796="",0,P796),2))</f>
        <v>0</v>
      </c>
      <c r="Z796" s="26">
        <f>IF(B796="","",IF(H796="Retail",IF(TaxOnRetail="Yes",ROUND(Y796*TaxRate,2),0),IF(H796="Service",IF(TaxOnServices="Yes",ROUND(Y796*TaxRate,2),0),0)))</f>
        <v>0</v>
      </c>
      <c r="AA796" s="26">
        <f>IF(B796="","",ROUND(Y796+Z796,2))</f>
        <v>0</v>
      </c>
      <c r="AB796" s="26">
        <f>IF(B796="","",ROUND(T796*IF(H796="Retail",IFERROR(INDEX(Inventory!$H$5:$H$304,MATCH(I796,Inventory!$A$5:$A$304,0))*1,0),IFERROR(INDEX(Services!$Q$5:$Q$204,MATCH(I796,Services!$A$5:$A$204,0))*1,0)),2))</f>
        <v>0</v>
      </c>
      <c r="AC796" s="26">
        <f>IF(B796="","",ROUND(Y796-AB796,2))</f>
        <v>0</v>
      </c>
      <c r="AD796" s="38">
        <f>IF(B796="","",IF(C796="","No",IF(COUNTIFS($C$5:C796,C796)=1,"Yes","No")))</f>
        <v>0</v>
      </c>
      <c r="AE796" s="26">
        <f>IF(B796="","",ROUND(SUMIFS(Payments!$G$5:$G$1204,Payments!$H$5:$H$1204,A796,Payments!$Q$5:$Q$1204,"Yes"),2))</f>
        <v>0</v>
      </c>
      <c r="AF796" s="26">
        <f>IF(B796="","",IF(AD796="No",0,ROUND(SUMIFS(Payments!$G$5:$G$1204,Payments!$I$5:$I$1204,C796,Payments!$H$5:$H$1204,"",Payments!$Q$5:$Q$1204,"Yes"),2)))</f>
        <v>0</v>
      </c>
      <c r="AG796" s="26">
        <f>IF(B796="","",ROUND(AE796+AF796,2))</f>
        <v>0</v>
      </c>
      <c r="AH796" s="26">
        <f>IF(B796="","",ROUND(AA796-AG796,2))</f>
        <v>0</v>
      </c>
      <c r="AI796" s="39">
        <f>IF(B796="","",IF(AA796&lt;=0,"No charge",IF(AH796&lt;=0.004,"Paid",IF(AG796&lt;=0.004,"Unpaid","Part paid"))))</f>
        <v>0</v>
      </c>
      <c r="AJ796" s="38">
        <f>IF(B796="","",IF(H796&lt;&gt;"Service","",IF(D796="","No",IF(COUNTIFS($D$5:$D$1204,D796,$B$5:$B$1204,B796,$H$5:$H$1204,"Retail")&gt;0,"Yes","No"))))</f>
        <v>0</v>
      </c>
      <c r="AK796" s="25">
        <f>IF(B796="","",COUNTIFS($Y$5:$Y$1204,"&gt;"&amp;Y796)+COUNTIFS($Y$5:Y796,Y796))</f>
        <v>0</v>
      </c>
      <c r="AL796" s="39">
        <f>IF(B796="","",IF(H796="","Add - what kind of sale is this?",IF(IF(V796&lt;=0,P796="",FALSE),"Check - no price found for this item",IF(F796="","Assign - nobody credited",IF(AH796&gt;0.004,"Unpaid - balance outstanding",IF(AC796&lt;0,"Loss - sold below cost",IF(X796&gt;W796*0.5,"Check - more than half off","OK")))))))</f>
        <v>0</v>
      </c>
    </row>
    <row r="797" spans="1:38">
      <c r="A797" s="28">
        <f>IF(B797="","",SalePrefix&amp;TEXT(ROW()-4,"0000"))</f>
        <v>0</v>
      </c>
      <c r="E797" s="15">
        <f>IF(D797="","",IFERROR(INDEX(Clients!$B$5:$B$504,MATCH(D797,Clients!$A$5:$A$504,0)),"Walk-in"))</f>
        <v>0</v>
      </c>
      <c r="G797" s="15">
        <f>IF(F797="","",IFERROR(INDEX(Staff!$B$5:$B$44,MATCH(F797,Staff!$A$5:$A$44,0)),"House"))</f>
        <v>0</v>
      </c>
      <c r="R797" s="15">
        <f>IF(B797="","",TEXT(B797,"yyyy-mm"))</f>
        <v>0</v>
      </c>
      <c r="S797" s="25">
        <f>IF(B797="","",WEEKNUM(B797,2))</f>
        <v>0</v>
      </c>
      <c r="T797" s="37">
        <f>IF(B797="","",IF(K797="",1,K797))</f>
        <v>0</v>
      </c>
      <c r="U797" s="15">
        <f>IF(B797="","",IF(J797&lt;&gt;"",J797,IF(H797="Retail",IFERROR(INDEX(Inventory!$B$5:$B$304,MATCH(I797,Inventory!$A$5:$A$304,0))&amp;"","Not in Inventory"),IFERROR(INDEX(Services!$B$5:$B$204,MATCH(I797,Services!$A$5:$A$204,0))&amp;"","Not in Services"))))</f>
        <v>0</v>
      </c>
      <c r="V797" s="26">
        <f>IF(B797="","",IF(L797&lt;&gt;"",L797,IF(H797="Retail",IFERROR(INDEX(Inventory!$I$5:$I$304,MATCH(I797,Inventory!$A$5:$A$304,0))*1,0),IFERROR(INDEX(Services!$G$5:$G$204,MATCH(I797,Services!$A$5:$A$204,0))*1,0))))</f>
        <v>0</v>
      </c>
      <c r="W797" s="26">
        <f>IF(B797="","",ROUND(T797*V797,2))</f>
        <v>0</v>
      </c>
      <c r="X797" s="26">
        <f>IF(B797="","",ROUND(IF(M797="",0,W797*M797)+IF(N797="",0,N797),2))</f>
        <v>0</v>
      </c>
      <c r="Y797" s="26">
        <f>IF(B797="","",ROUND(W797-X797-IF(P797="",0,P797),2))</f>
        <v>0</v>
      </c>
      <c r="Z797" s="26">
        <f>IF(B797="","",IF(H797="Retail",IF(TaxOnRetail="Yes",ROUND(Y797*TaxRate,2),0),IF(H797="Service",IF(TaxOnServices="Yes",ROUND(Y797*TaxRate,2),0),0)))</f>
        <v>0</v>
      </c>
      <c r="AA797" s="26">
        <f>IF(B797="","",ROUND(Y797+Z797,2))</f>
        <v>0</v>
      </c>
      <c r="AB797" s="26">
        <f>IF(B797="","",ROUND(T797*IF(H797="Retail",IFERROR(INDEX(Inventory!$H$5:$H$304,MATCH(I797,Inventory!$A$5:$A$304,0))*1,0),IFERROR(INDEX(Services!$Q$5:$Q$204,MATCH(I797,Services!$A$5:$A$204,0))*1,0)),2))</f>
        <v>0</v>
      </c>
      <c r="AC797" s="26">
        <f>IF(B797="","",ROUND(Y797-AB797,2))</f>
        <v>0</v>
      </c>
      <c r="AD797" s="38">
        <f>IF(B797="","",IF(C797="","No",IF(COUNTIFS($C$5:C797,C797)=1,"Yes","No")))</f>
        <v>0</v>
      </c>
      <c r="AE797" s="26">
        <f>IF(B797="","",ROUND(SUMIFS(Payments!$G$5:$G$1204,Payments!$H$5:$H$1204,A797,Payments!$Q$5:$Q$1204,"Yes"),2))</f>
        <v>0</v>
      </c>
      <c r="AF797" s="26">
        <f>IF(B797="","",IF(AD797="No",0,ROUND(SUMIFS(Payments!$G$5:$G$1204,Payments!$I$5:$I$1204,C797,Payments!$H$5:$H$1204,"",Payments!$Q$5:$Q$1204,"Yes"),2)))</f>
        <v>0</v>
      </c>
      <c r="AG797" s="26">
        <f>IF(B797="","",ROUND(AE797+AF797,2))</f>
        <v>0</v>
      </c>
      <c r="AH797" s="26">
        <f>IF(B797="","",ROUND(AA797-AG797,2))</f>
        <v>0</v>
      </c>
      <c r="AI797" s="39">
        <f>IF(B797="","",IF(AA797&lt;=0,"No charge",IF(AH797&lt;=0.004,"Paid",IF(AG797&lt;=0.004,"Unpaid","Part paid"))))</f>
        <v>0</v>
      </c>
      <c r="AJ797" s="38">
        <f>IF(B797="","",IF(H797&lt;&gt;"Service","",IF(D797="","No",IF(COUNTIFS($D$5:$D$1204,D797,$B$5:$B$1204,B797,$H$5:$H$1204,"Retail")&gt;0,"Yes","No"))))</f>
        <v>0</v>
      </c>
      <c r="AK797" s="25">
        <f>IF(B797="","",COUNTIFS($Y$5:$Y$1204,"&gt;"&amp;Y797)+COUNTIFS($Y$5:Y797,Y797))</f>
        <v>0</v>
      </c>
      <c r="AL797" s="39">
        <f>IF(B797="","",IF(H797="","Add - what kind of sale is this?",IF(IF(V797&lt;=0,P797="",FALSE),"Check - no price found for this item",IF(F797="","Assign - nobody credited",IF(AH797&gt;0.004,"Unpaid - balance outstanding",IF(AC797&lt;0,"Loss - sold below cost",IF(X797&gt;W797*0.5,"Check - more than half off","OK")))))))</f>
        <v>0</v>
      </c>
    </row>
    <row r="798" spans="1:38">
      <c r="A798" s="28">
        <f>IF(B798="","",SalePrefix&amp;TEXT(ROW()-4,"0000"))</f>
        <v>0</v>
      </c>
      <c r="E798" s="15">
        <f>IF(D798="","",IFERROR(INDEX(Clients!$B$5:$B$504,MATCH(D798,Clients!$A$5:$A$504,0)),"Walk-in"))</f>
        <v>0</v>
      </c>
      <c r="G798" s="15">
        <f>IF(F798="","",IFERROR(INDEX(Staff!$B$5:$B$44,MATCH(F798,Staff!$A$5:$A$44,0)),"House"))</f>
        <v>0</v>
      </c>
      <c r="R798" s="15">
        <f>IF(B798="","",TEXT(B798,"yyyy-mm"))</f>
        <v>0</v>
      </c>
      <c r="S798" s="25">
        <f>IF(B798="","",WEEKNUM(B798,2))</f>
        <v>0</v>
      </c>
      <c r="T798" s="37">
        <f>IF(B798="","",IF(K798="",1,K798))</f>
        <v>0</v>
      </c>
      <c r="U798" s="15">
        <f>IF(B798="","",IF(J798&lt;&gt;"",J798,IF(H798="Retail",IFERROR(INDEX(Inventory!$B$5:$B$304,MATCH(I798,Inventory!$A$5:$A$304,0))&amp;"","Not in Inventory"),IFERROR(INDEX(Services!$B$5:$B$204,MATCH(I798,Services!$A$5:$A$204,0))&amp;"","Not in Services"))))</f>
        <v>0</v>
      </c>
      <c r="V798" s="26">
        <f>IF(B798="","",IF(L798&lt;&gt;"",L798,IF(H798="Retail",IFERROR(INDEX(Inventory!$I$5:$I$304,MATCH(I798,Inventory!$A$5:$A$304,0))*1,0),IFERROR(INDEX(Services!$G$5:$G$204,MATCH(I798,Services!$A$5:$A$204,0))*1,0))))</f>
        <v>0</v>
      </c>
      <c r="W798" s="26">
        <f>IF(B798="","",ROUND(T798*V798,2))</f>
        <v>0</v>
      </c>
      <c r="X798" s="26">
        <f>IF(B798="","",ROUND(IF(M798="",0,W798*M798)+IF(N798="",0,N798),2))</f>
        <v>0</v>
      </c>
      <c r="Y798" s="26">
        <f>IF(B798="","",ROUND(W798-X798-IF(P798="",0,P798),2))</f>
        <v>0</v>
      </c>
      <c r="Z798" s="26">
        <f>IF(B798="","",IF(H798="Retail",IF(TaxOnRetail="Yes",ROUND(Y798*TaxRate,2),0),IF(H798="Service",IF(TaxOnServices="Yes",ROUND(Y798*TaxRate,2),0),0)))</f>
        <v>0</v>
      </c>
      <c r="AA798" s="26">
        <f>IF(B798="","",ROUND(Y798+Z798,2))</f>
        <v>0</v>
      </c>
      <c r="AB798" s="26">
        <f>IF(B798="","",ROUND(T798*IF(H798="Retail",IFERROR(INDEX(Inventory!$H$5:$H$304,MATCH(I798,Inventory!$A$5:$A$304,0))*1,0),IFERROR(INDEX(Services!$Q$5:$Q$204,MATCH(I798,Services!$A$5:$A$204,0))*1,0)),2))</f>
        <v>0</v>
      </c>
      <c r="AC798" s="26">
        <f>IF(B798="","",ROUND(Y798-AB798,2))</f>
        <v>0</v>
      </c>
      <c r="AD798" s="38">
        <f>IF(B798="","",IF(C798="","No",IF(COUNTIFS($C$5:C798,C798)=1,"Yes","No")))</f>
        <v>0</v>
      </c>
      <c r="AE798" s="26">
        <f>IF(B798="","",ROUND(SUMIFS(Payments!$G$5:$G$1204,Payments!$H$5:$H$1204,A798,Payments!$Q$5:$Q$1204,"Yes"),2))</f>
        <v>0</v>
      </c>
      <c r="AF798" s="26">
        <f>IF(B798="","",IF(AD798="No",0,ROUND(SUMIFS(Payments!$G$5:$G$1204,Payments!$I$5:$I$1204,C798,Payments!$H$5:$H$1204,"",Payments!$Q$5:$Q$1204,"Yes"),2)))</f>
        <v>0</v>
      </c>
      <c r="AG798" s="26">
        <f>IF(B798="","",ROUND(AE798+AF798,2))</f>
        <v>0</v>
      </c>
      <c r="AH798" s="26">
        <f>IF(B798="","",ROUND(AA798-AG798,2))</f>
        <v>0</v>
      </c>
      <c r="AI798" s="39">
        <f>IF(B798="","",IF(AA798&lt;=0,"No charge",IF(AH798&lt;=0.004,"Paid",IF(AG798&lt;=0.004,"Unpaid","Part paid"))))</f>
        <v>0</v>
      </c>
      <c r="AJ798" s="38">
        <f>IF(B798="","",IF(H798&lt;&gt;"Service","",IF(D798="","No",IF(COUNTIFS($D$5:$D$1204,D798,$B$5:$B$1204,B798,$H$5:$H$1204,"Retail")&gt;0,"Yes","No"))))</f>
        <v>0</v>
      </c>
      <c r="AK798" s="25">
        <f>IF(B798="","",COUNTIFS($Y$5:$Y$1204,"&gt;"&amp;Y798)+COUNTIFS($Y$5:Y798,Y798))</f>
        <v>0</v>
      </c>
      <c r="AL798" s="39">
        <f>IF(B798="","",IF(H798="","Add - what kind of sale is this?",IF(IF(V798&lt;=0,P798="",FALSE),"Check - no price found for this item",IF(F798="","Assign - nobody credited",IF(AH798&gt;0.004,"Unpaid - balance outstanding",IF(AC798&lt;0,"Loss - sold below cost",IF(X798&gt;W798*0.5,"Check - more than half off","OK")))))))</f>
        <v>0</v>
      </c>
    </row>
    <row r="799" spans="1:38">
      <c r="A799" s="28">
        <f>IF(B799="","",SalePrefix&amp;TEXT(ROW()-4,"0000"))</f>
        <v>0</v>
      </c>
      <c r="E799" s="15">
        <f>IF(D799="","",IFERROR(INDEX(Clients!$B$5:$B$504,MATCH(D799,Clients!$A$5:$A$504,0)),"Walk-in"))</f>
        <v>0</v>
      </c>
      <c r="G799" s="15">
        <f>IF(F799="","",IFERROR(INDEX(Staff!$B$5:$B$44,MATCH(F799,Staff!$A$5:$A$44,0)),"House"))</f>
        <v>0</v>
      </c>
      <c r="R799" s="15">
        <f>IF(B799="","",TEXT(B799,"yyyy-mm"))</f>
        <v>0</v>
      </c>
      <c r="S799" s="25">
        <f>IF(B799="","",WEEKNUM(B799,2))</f>
        <v>0</v>
      </c>
      <c r="T799" s="37">
        <f>IF(B799="","",IF(K799="",1,K799))</f>
        <v>0</v>
      </c>
      <c r="U799" s="15">
        <f>IF(B799="","",IF(J799&lt;&gt;"",J799,IF(H799="Retail",IFERROR(INDEX(Inventory!$B$5:$B$304,MATCH(I799,Inventory!$A$5:$A$304,0))&amp;"","Not in Inventory"),IFERROR(INDEX(Services!$B$5:$B$204,MATCH(I799,Services!$A$5:$A$204,0))&amp;"","Not in Services"))))</f>
        <v>0</v>
      </c>
      <c r="V799" s="26">
        <f>IF(B799="","",IF(L799&lt;&gt;"",L799,IF(H799="Retail",IFERROR(INDEX(Inventory!$I$5:$I$304,MATCH(I799,Inventory!$A$5:$A$304,0))*1,0),IFERROR(INDEX(Services!$G$5:$G$204,MATCH(I799,Services!$A$5:$A$204,0))*1,0))))</f>
        <v>0</v>
      </c>
      <c r="W799" s="26">
        <f>IF(B799="","",ROUND(T799*V799,2))</f>
        <v>0</v>
      </c>
      <c r="X799" s="26">
        <f>IF(B799="","",ROUND(IF(M799="",0,W799*M799)+IF(N799="",0,N799),2))</f>
        <v>0</v>
      </c>
      <c r="Y799" s="26">
        <f>IF(B799="","",ROUND(W799-X799-IF(P799="",0,P799),2))</f>
        <v>0</v>
      </c>
      <c r="Z799" s="26">
        <f>IF(B799="","",IF(H799="Retail",IF(TaxOnRetail="Yes",ROUND(Y799*TaxRate,2),0),IF(H799="Service",IF(TaxOnServices="Yes",ROUND(Y799*TaxRate,2),0),0)))</f>
        <v>0</v>
      </c>
      <c r="AA799" s="26">
        <f>IF(B799="","",ROUND(Y799+Z799,2))</f>
        <v>0</v>
      </c>
      <c r="AB799" s="26">
        <f>IF(B799="","",ROUND(T799*IF(H799="Retail",IFERROR(INDEX(Inventory!$H$5:$H$304,MATCH(I799,Inventory!$A$5:$A$304,0))*1,0),IFERROR(INDEX(Services!$Q$5:$Q$204,MATCH(I799,Services!$A$5:$A$204,0))*1,0)),2))</f>
        <v>0</v>
      </c>
      <c r="AC799" s="26">
        <f>IF(B799="","",ROUND(Y799-AB799,2))</f>
        <v>0</v>
      </c>
      <c r="AD799" s="38">
        <f>IF(B799="","",IF(C799="","No",IF(COUNTIFS($C$5:C799,C799)=1,"Yes","No")))</f>
        <v>0</v>
      </c>
      <c r="AE799" s="26">
        <f>IF(B799="","",ROUND(SUMIFS(Payments!$G$5:$G$1204,Payments!$H$5:$H$1204,A799,Payments!$Q$5:$Q$1204,"Yes"),2))</f>
        <v>0</v>
      </c>
      <c r="AF799" s="26">
        <f>IF(B799="","",IF(AD799="No",0,ROUND(SUMIFS(Payments!$G$5:$G$1204,Payments!$I$5:$I$1204,C799,Payments!$H$5:$H$1204,"",Payments!$Q$5:$Q$1204,"Yes"),2)))</f>
        <v>0</v>
      </c>
      <c r="AG799" s="26">
        <f>IF(B799="","",ROUND(AE799+AF799,2))</f>
        <v>0</v>
      </c>
      <c r="AH799" s="26">
        <f>IF(B799="","",ROUND(AA799-AG799,2))</f>
        <v>0</v>
      </c>
      <c r="AI799" s="39">
        <f>IF(B799="","",IF(AA799&lt;=0,"No charge",IF(AH799&lt;=0.004,"Paid",IF(AG799&lt;=0.004,"Unpaid","Part paid"))))</f>
        <v>0</v>
      </c>
      <c r="AJ799" s="38">
        <f>IF(B799="","",IF(H799&lt;&gt;"Service","",IF(D799="","No",IF(COUNTIFS($D$5:$D$1204,D799,$B$5:$B$1204,B799,$H$5:$H$1204,"Retail")&gt;0,"Yes","No"))))</f>
        <v>0</v>
      </c>
      <c r="AK799" s="25">
        <f>IF(B799="","",COUNTIFS($Y$5:$Y$1204,"&gt;"&amp;Y799)+COUNTIFS($Y$5:Y799,Y799))</f>
        <v>0</v>
      </c>
      <c r="AL799" s="39">
        <f>IF(B799="","",IF(H799="","Add - what kind of sale is this?",IF(IF(V799&lt;=0,P799="",FALSE),"Check - no price found for this item",IF(F799="","Assign - nobody credited",IF(AH799&gt;0.004,"Unpaid - balance outstanding",IF(AC799&lt;0,"Loss - sold below cost",IF(X799&gt;W799*0.5,"Check - more than half off","OK")))))))</f>
        <v>0</v>
      </c>
    </row>
    <row r="800" spans="1:38">
      <c r="A800" s="28">
        <f>IF(B800="","",SalePrefix&amp;TEXT(ROW()-4,"0000"))</f>
        <v>0</v>
      </c>
      <c r="E800" s="15">
        <f>IF(D800="","",IFERROR(INDEX(Clients!$B$5:$B$504,MATCH(D800,Clients!$A$5:$A$504,0)),"Walk-in"))</f>
        <v>0</v>
      </c>
      <c r="G800" s="15">
        <f>IF(F800="","",IFERROR(INDEX(Staff!$B$5:$B$44,MATCH(F800,Staff!$A$5:$A$44,0)),"House"))</f>
        <v>0</v>
      </c>
      <c r="R800" s="15">
        <f>IF(B800="","",TEXT(B800,"yyyy-mm"))</f>
        <v>0</v>
      </c>
      <c r="S800" s="25">
        <f>IF(B800="","",WEEKNUM(B800,2))</f>
        <v>0</v>
      </c>
      <c r="T800" s="37">
        <f>IF(B800="","",IF(K800="",1,K800))</f>
        <v>0</v>
      </c>
      <c r="U800" s="15">
        <f>IF(B800="","",IF(J800&lt;&gt;"",J800,IF(H800="Retail",IFERROR(INDEX(Inventory!$B$5:$B$304,MATCH(I800,Inventory!$A$5:$A$304,0))&amp;"","Not in Inventory"),IFERROR(INDEX(Services!$B$5:$B$204,MATCH(I800,Services!$A$5:$A$204,0))&amp;"","Not in Services"))))</f>
        <v>0</v>
      </c>
      <c r="V800" s="26">
        <f>IF(B800="","",IF(L800&lt;&gt;"",L800,IF(H800="Retail",IFERROR(INDEX(Inventory!$I$5:$I$304,MATCH(I800,Inventory!$A$5:$A$304,0))*1,0),IFERROR(INDEX(Services!$G$5:$G$204,MATCH(I800,Services!$A$5:$A$204,0))*1,0))))</f>
        <v>0</v>
      </c>
      <c r="W800" s="26">
        <f>IF(B800="","",ROUND(T800*V800,2))</f>
        <v>0</v>
      </c>
      <c r="X800" s="26">
        <f>IF(B800="","",ROUND(IF(M800="",0,W800*M800)+IF(N800="",0,N800),2))</f>
        <v>0</v>
      </c>
      <c r="Y800" s="26">
        <f>IF(B800="","",ROUND(W800-X800-IF(P800="",0,P800),2))</f>
        <v>0</v>
      </c>
      <c r="Z800" s="26">
        <f>IF(B800="","",IF(H800="Retail",IF(TaxOnRetail="Yes",ROUND(Y800*TaxRate,2),0),IF(H800="Service",IF(TaxOnServices="Yes",ROUND(Y800*TaxRate,2),0),0)))</f>
        <v>0</v>
      </c>
      <c r="AA800" s="26">
        <f>IF(B800="","",ROUND(Y800+Z800,2))</f>
        <v>0</v>
      </c>
      <c r="AB800" s="26">
        <f>IF(B800="","",ROUND(T800*IF(H800="Retail",IFERROR(INDEX(Inventory!$H$5:$H$304,MATCH(I800,Inventory!$A$5:$A$304,0))*1,0),IFERROR(INDEX(Services!$Q$5:$Q$204,MATCH(I800,Services!$A$5:$A$204,0))*1,0)),2))</f>
        <v>0</v>
      </c>
      <c r="AC800" s="26">
        <f>IF(B800="","",ROUND(Y800-AB800,2))</f>
        <v>0</v>
      </c>
      <c r="AD800" s="38">
        <f>IF(B800="","",IF(C800="","No",IF(COUNTIFS($C$5:C800,C800)=1,"Yes","No")))</f>
        <v>0</v>
      </c>
      <c r="AE800" s="26">
        <f>IF(B800="","",ROUND(SUMIFS(Payments!$G$5:$G$1204,Payments!$H$5:$H$1204,A800,Payments!$Q$5:$Q$1204,"Yes"),2))</f>
        <v>0</v>
      </c>
      <c r="AF800" s="26">
        <f>IF(B800="","",IF(AD800="No",0,ROUND(SUMIFS(Payments!$G$5:$G$1204,Payments!$I$5:$I$1204,C800,Payments!$H$5:$H$1204,"",Payments!$Q$5:$Q$1204,"Yes"),2)))</f>
        <v>0</v>
      </c>
      <c r="AG800" s="26">
        <f>IF(B800="","",ROUND(AE800+AF800,2))</f>
        <v>0</v>
      </c>
      <c r="AH800" s="26">
        <f>IF(B800="","",ROUND(AA800-AG800,2))</f>
        <v>0</v>
      </c>
      <c r="AI800" s="39">
        <f>IF(B800="","",IF(AA800&lt;=0,"No charge",IF(AH800&lt;=0.004,"Paid",IF(AG800&lt;=0.004,"Unpaid","Part paid"))))</f>
        <v>0</v>
      </c>
      <c r="AJ800" s="38">
        <f>IF(B800="","",IF(H800&lt;&gt;"Service","",IF(D800="","No",IF(COUNTIFS($D$5:$D$1204,D800,$B$5:$B$1204,B800,$H$5:$H$1204,"Retail")&gt;0,"Yes","No"))))</f>
        <v>0</v>
      </c>
      <c r="AK800" s="25">
        <f>IF(B800="","",COUNTIFS($Y$5:$Y$1204,"&gt;"&amp;Y800)+COUNTIFS($Y$5:Y800,Y800))</f>
        <v>0</v>
      </c>
      <c r="AL800" s="39">
        <f>IF(B800="","",IF(H800="","Add - what kind of sale is this?",IF(IF(V800&lt;=0,P800="",FALSE),"Check - no price found for this item",IF(F800="","Assign - nobody credited",IF(AH800&gt;0.004,"Unpaid - balance outstanding",IF(AC800&lt;0,"Loss - sold below cost",IF(X800&gt;W800*0.5,"Check - more than half off","OK")))))))</f>
        <v>0</v>
      </c>
    </row>
    <row r="801" spans="1:38">
      <c r="A801" s="28">
        <f>IF(B801="","",SalePrefix&amp;TEXT(ROW()-4,"0000"))</f>
        <v>0</v>
      </c>
      <c r="E801" s="15">
        <f>IF(D801="","",IFERROR(INDEX(Clients!$B$5:$B$504,MATCH(D801,Clients!$A$5:$A$504,0)),"Walk-in"))</f>
        <v>0</v>
      </c>
      <c r="G801" s="15">
        <f>IF(F801="","",IFERROR(INDEX(Staff!$B$5:$B$44,MATCH(F801,Staff!$A$5:$A$44,0)),"House"))</f>
        <v>0</v>
      </c>
      <c r="R801" s="15">
        <f>IF(B801="","",TEXT(B801,"yyyy-mm"))</f>
        <v>0</v>
      </c>
      <c r="S801" s="25">
        <f>IF(B801="","",WEEKNUM(B801,2))</f>
        <v>0</v>
      </c>
      <c r="T801" s="37">
        <f>IF(B801="","",IF(K801="",1,K801))</f>
        <v>0</v>
      </c>
      <c r="U801" s="15">
        <f>IF(B801="","",IF(J801&lt;&gt;"",J801,IF(H801="Retail",IFERROR(INDEX(Inventory!$B$5:$B$304,MATCH(I801,Inventory!$A$5:$A$304,0))&amp;"","Not in Inventory"),IFERROR(INDEX(Services!$B$5:$B$204,MATCH(I801,Services!$A$5:$A$204,0))&amp;"","Not in Services"))))</f>
        <v>0</v>
      </c>
      <c r="V801" s="26">
        <f>IF(B801="","",IF(L801&lt;&gt;"",L801,IF(H801="Retail",IFERROR(INDEX(Inventory!$I$5:$I$304,MATCH(I801,Inventory!$A$5:$A$304,0))*1,0),IFERROR(INDEX(Services!$G$5:$G$204,MATCH(I801,Services!$A$5:$A$204,0))*1,0))))</f>
        <v>0</v>
      </c>
      <c r="W801" s="26">
        <f>IF(B801="","",ROUND(T801*V801,2))</f>
        <v>0</v>
      </c>
      <c r="X801" s="26">
        <f>IF(B801="","",ROUND(IF(M801="",0,W801*M801)+IF(N801="",0,N801),2))</f>
        <v>0</v>
      </c>
      <c r="Y801" s="26">
        <f>IF(B801="","",ROUND(W801-X801-IF(P801="",0,P801),2))</f>
        <v>0</v>
      </c>
      <c r="Z801" s="26">
        <f>IF(B801="","",IF(H801="Retail",IF(TaxOnRetail="Yes",ROUND(Y801*TaxRate,2),0),IF(H801="Service",IF(TaxOnServices="Yes",ROUND(Y801*TaxRate,2),0),0)))</f>
        <v>0</v>
      </c>
      <c r="AA801" s="26">
        <f>IF(B801="","",ROUND(Y801+Z801,2))</f>
        <v>0</v>
      </c>
      <c r="AB801" s="26">
        <f>IF(B801="","",ROUND(T801*IF(H801="Retail",IFERROR(INDEX(Inventory!$H$5:$H$304,MATCH(I801,Inventory!$A$5:$A$304,0))*1,0),IFERROR(INDEX(Services!$Q$5:$Q$204,MATCH(I801,Services!$A$5:$A$204,0))*1,0)),2))</f>
        <v>0</v>
      </c>
      <c r="AC801" s="26">
        <f>IF(B801="","",ROUND(Y801-AB801,2))</f>
        <v>0</v>
      </c>
      <c r="AD801" s="38">
        <f>IF(B801="","",IF(C801="","No",IF(COUNTIFS($C$5:C801,C801)=1,"Yes","No")))</f>
        <v>0</v>
      </c>
      <c r="AE801" s="26">
        <f>IF(B801="","",ROUND(SUMIFS(Payments!$G$5:$G$1204,Payments!$H$5:$H$1204,A801,Payments!$Q$5:$Q$1204,"Yes"),2))</f>
        <v>0</v>
      </c>
      <c r="AF801" s="26">
        <f>IF(B801="","",IF(AD801="No",0,ROUND(SUMIFS(Payments!$G$5:$G$1204,Payments!$I$5:$I$1204,C801,Payments!$H$5:$H$1204,"",Payments!$Q$5:$Q$1204,"Yes"),2)))</f>
        <v>0</v>
      </c>
      <c r="AG801" s="26">
        <f>IF(B801="","",ROUND(AE801+AF801,2))</f>
        <v>0</v>
      </c>
      <c r="AH801" s="26">
        <f>IF(B801="","",ROUND(AA801-AG801,2))</f>
        <v>0</v>
      </c>
      <c r="AI801" s="39">
        <f>IF(B801="","",IF(AA801&lt;=0,"No charge",IF(AH801&lt;=0.004,"Paid",IF(AG801&lt;=0.004,"Unpaid","Part paid"))))</f>
        <v>0</v>
      </c>
      <c r="AJ801" s="38">
        <f>IF(B801="","",IF(H801&lt;&gt;"Service","",IF(D801="","No",IF(COUNTIFS($D$5:$D$1204,D801,$B$5:$B$1204,B801,$H$5:$H$1204,"Retail")&gt;0,"Yes","No"))))</f>
        <v>0</v>
      </c>
      <c r="AK801" s="25">
        <f>IF(B801="","",COUNTIFS($Y$5:$Y$1204,"&gt;"&amp;Y801)+COUNTIFS($Y$5:Y801,Y801))</f>
        <v>0</v>
      </c>
      <c r="AL801" s="39">
        <f>IF(B801="","",IF(H801="","Add - what kind of sale is this?",IF(IF(V801&lt;=0,P801="",FALSE),"Check - no price found for this item",IF(F801="","Assign - nobody credited",IF(AH801&gt;0.004,"Unpaid - balance outstanding",IF(AC801&lt;0,"Loss - sold below cost",IF(X801&gt;W801*0.5,"Check - more than half off","OK")))))))</f>
        <v>0</v>
      </c>
    </row>
    <row r="802" spans="1:38">
      <c r="A802" s="28">
        <f>IF(B802="","",SalePrefix&amp;TEXT(ROW()-4,"0000"))</f>
        <v>0</v>
      </c>
      <c r="E802" s="15">
        <f>IF(D802="","",IFERROR(INDEX(Clients!$B$5:$B$504,MATCH(D802,Clients!$A$5:$A$504,0)),"Walk-in"))</f>
        <v>0</v>
      </c>
      <c r="G802" s="15">
        <f>IF(F802="","",IFERROR(INDEX(Staff!$B$5:$B$44,MATCH(F802,Staff!$A$5:$A$44,0)),"House"))</f>
        <v>0</v>
      </c>
      <c r="R802" s="15">
        <f>IF(B802="","",TEXT(B802,"yyyy-mm"))</f>
        <v>0</v>
      </c>
      <c r="S802" s="25">
        <f>IF(B802="","",WEEKNUM(B802,2))</f>
        <v>0</v>
      </c>
      <c r="T802" s="37">
        <f>IF(B802="","",IF(K802="",1,K802))</f>
        <v>0</v>
      </c>
      <c r="U802" s="15">
        <f>IF(B802="","",IF(J802&lt;&gt;"",J802,IF(H802="Retail",IFERROR(INDEX(Inventory!$B$5:$B$304,MATCH(I802,Inventory!$A$5:$A$304,0))&amp;"","Not in Inventory"),IFERROR(INDEX(Services!$B$5:$B$204,MATCH(I802,Services!$A$5:$A$204,0))&amp;"","Not in Services"))))</f>
        <v>0</v>
      </c>
      <c r="V802" s="26">
        <f>IF(B802="","",IF(L802&lt;&gt;"",L802,IF(H802="Retail",IFERROR(INDEX(Inventory!$I$5:$I$304,MATCH(I802,Inventory!$A$5:$A$304,0))*1,0),IFERROR(INDEX(Services!$G$5:$G$204,MATCH(I802,Services!$A$5:$A$204,0))*1,0))))</f>
        <v>0</v>
      </c>
      <c r="W802" s="26">
        <f>IF(B802="","",ROUND(T802*V802,2))</f>
        <v>0</v>
      </c>
      <c r="X802" s="26">
        <f>IF(B802="","",ROUND(IF(M802="",0,W802*M802)+IF(N802="",0,N802),2))</f>
        <v>0</v>
      </c>
      <c r="Y802" s="26">
        <f>IF(B802="","",ROUND(W802-X802-IF(P802="",0,P802),2))</f>
        <v>0</v>
      </c>
      <c r="Z802" s="26">
        <f>IF(B802="","",IF(H802="Retail",IF(TaxOnRetail="Yes",ROUND(Y802*TaxRate,2),0),IF(H802="Service",IF(TaxOnServices="Yes",ROUND(Y802*TaxRate,2),0),0)))</f>
        <v>0</v>
      </c>
      <c r="AA802" s="26">
        <f>IF(B802="","",ROUND(Y802+Z802,2))</f>
        <v>0</v>
      </c>
      <c r="AB802" s="26">
        <f>IF(B802="","",ROUND(T802*IF(H802="Retail",IFERROR(INDEX(Inventory!$H$5:$H$304,MATCH(I802,Inventory!$A$5:$A$304,0))*1,0),IFERROR(INDEX(Services!$Q$5:$Q$204,MATCH(I802,Services!$A$5:$A$204,0))*1,0)),2))</f>
        <v>0</v>
      </c>
      <c r="AC802" s="26">
        <f>IF(B802="","",ROUND(Y802-AB802,2))</f>
        <v>0</v>
      </c>
      <c r="AD802" s="38">
        <f>IF(B802="","",IF(C802="","No",IF(COUNTIFS($C$5:C802,C802)=1,"Yes","No")))</f>
        <v>0</v>
      </c>
      <c r="AE802" s="26">
        <f>IF(B802="","",ROUND(SUMIFS(Payments!$G$5:$G$1204,Payments!$H$5:$H$1204,A802,Payments!$Q$5:$Q$1204,"Yes"),2))</f>
        <v>0</v>
      </c>
      <c r="AF802" s="26">
        <f>IF(B802="","",IF(AD802="No",0,ROUND(SUMIFS(Payments!$G$5:$G$1204,Payments!$I$5:$I$1204,C802,Payments!$H$5:$H$1204,"",Payments!$Q$5:$Q$1204,"Yes"),2)))</f>
        <v>0</v>
      </c>
      <c r="AG802" s="26">
        <f>IF(B802="","",ROUND(AE802+AF802,2))</f>
        <v>0</v>
      </c>
      <c r="AH802" s="26">
        <f>IF(B802="","",ROUND(AA802-AG802,2))</f>
        <v>0</v>
      </c>
      <c r="AI802" s="39">
        <f>IF(B802="","",IF(AA802&lt;=0,"No charge",IF(AH802&lt;=0.004,"Paid",IF(AG802&lt;=0.004,"Unpaid","Part paid"))))</f>
        <v>0</v>
      </c>
      <c r="AJ802" s="38">
        <f>IF(B802="","",IF(H802&lt;&gt;"Service","",IF(D802="","No",IF(COUNTIFS($D$5:$D$1204,D802,$B$5:$B$1204,B802,$H$5:$H$1204,"Retail")&gt;0,"Yes","No"))))</f>
        <v>0</v>
      </c>
      <c r="AK802" s="25">
        <f>IF(B802="","",COUNTIFS($Y$5:$Y$1204,"&gt;"&amp;Y802)+COUNTIFS($Y$5:Y802,Y802))</f>
        <v>0</v>
      </c>
      <c r="AL802" s="39">
        <f>IF(B802="","",IF(H802="","Add - what kind of sale is this?",IF(IF(V802&lt;=0,P802="",FALSE),"Check - no price found for this item",IF(F802="","Assign - nobody credited",IF(AH802&gt;0.004,"Unpaid - balance outstanding",IF(AC802&lt;0,"Loss - sold below cost",IF(X802&gt;W802*0.5,"Check - more than half off","OK")))))))</f>
        <v>0</v>
      </c>
    </row>
    <row r="803" spans="1:38">
      <c r="A803" s="28">
        <f>IF(B803="","",SalePrefix&amp;TEXT(ROW()-4,"0000"))</f>
        <v>0</v>
      </c>
      <c r="E803" s="15">
        <f>IF(D803="","",IFERROR(INDEX(Clients!$B$5:$B$504,MATCH(D803,Clients!$A$5:$A$504,0)),"Walk-in"))</f>
        <v>0</v>
      </c>
      <c r="G803" s="15">
        <f>IF(F803="","",IFERROR(INDEX(Staff!$B$5:$B$44,MATCH(F803,Staff!$A$5:$A$44,0)),"House"))</f>
        <v>0</v>
      </c>
      <c r="R803" s="15">
        <f>IF(B803="","",TEXT(B803,"yyyy-mm"))</f>
        <v>0</v>
      </c>
      <c r="S803" s="25">
        <f>IF(B803="","",WEEKNUM(B803,2))</f>
        <v>0</v>
      </c>
      <c r="T803" s="37">
        <f>IF(B803="","",IF(K803="",1,K803))</f>
        <v>0</v>
      </c>
      <c r="U803" s="15">
        <f>IF(B803="","",IF(J803&lt;&gt;"",J803,IF(H803="Retail",IFERROR(INDEX(Inventory!$B$5:$B$304,MATCH(I803,Inventory!$A$5:$A$304,0))&amp;"","Not in Inventory"),IFERROR(INDEX(Services!$B$5:$B$204,MATCH(I803,Services!$A$5:$A$204,0))&amp;"","Not in Services"))))</f>
        <v>0</v>
      </c>
      <c r="V803" s="26">
        <f>IF(B803="","",IF(L803&lt;&gt;"",L803,IF(H803="Retail",IFERROR(INDEX(Inventory!$I$5:$I$304,MATCH(I803,Inventory!$A$5:$A$304,0))*1,0),IFERROR(INDEX(Services!$G$5:$G$204,MATCH(I803,Services!$A$5:$A$204,0))*1,0))))</f>
        <v>0</v>
      </c>
      <c r="W803" s="26">
        <f>IF(B803="","",ROUND(T803*V803,2))</f>
        <v>0</v>
      </c>
      <c r="X803" s="26">
        <f>IF(B803="","",ROUND(IF(M803="",0,W803*M803)+IF(N803="",0,N803),2))</f>
        <v>0</v>
      </c>
      <c r="Y803" s="26">
        <f>IF(B803="","",ROUND(W803-X803-IF(P803="",0,P803),2))</f>
        <v>0</v>
      </c>
      <c r="Z803" s="26">
        <f>IF(B803="","",IF(H803="Retail",IF(TaxOnRetail="Yes",ROUND(Y803*TaxRate,2),0),IF(H803="Service",IF(TaxOnServices="Yes",ROUND(Y803*TaxRate,2),0),0)))</f>
        <v>0</v>
      </c>
      <c r="AA803" s="26">
        <f>IF(B803="","",ROUND(Y803+Z803,2))</f>
        <v>0</v>
      </c>
      <c r="AB803" s="26">
        <f>IF(B803="","",ROUND(T803*IF(H803="Retail",IFERROR(INDEX(Inventory!$H$5:$H$304,MATCH(I803,Inventory!$A$5:$A$304,0))*1,0),IFERROR(INDEX(Services!$Q$5:$Q$204,MATCH(I803,Services!$A$5:$A$204,0))*1,0)),2))</f>
        <v>0</v>
      </c>
      <c r="AC803" s="26">
        <f>IF(B803="","",ROUND(Y803-AB803,2))</f>
        <v>0</v>
      </c>
      <c r="AD803" s="38">
        <f>IF(B803="","",IF(C803="","No",IF(COUNTIFS($C$5:C803,C803)=1,"Yes","No")))</f>
        <v>0</v>
      </c>
      <c r="AE803" s="26">
        <f>IF(B803="","",ROUND(SUMIFS(Payments!$G$5:$G$1204,Payments!$H$5:$H$1204,A803,Payments!$Q$5:$Q$1204,"Yes"),2))</f>
        <v>0</v>
      </c>
      <c r="AF803" s="26">
        <f>IF(B803="","",IF(AD803="No",0,ROUND(SUMIFS(Payments!$G$5:$G$1204,Payments!$I$5:$I$1204,C803,Payments!$H$5:$H$1204,"",Payments!$Q$5:$Q$1204,"Yes"),2)))</f>
        <v>0</v>
      </c>
      <c r="AG803" s="26">
        <f>IF(B803="","",ROUND(AE803+AF803,2))</f>
        <v>0</v>
      </c>
      <c r="AH803" s="26">
        <f>IF(B803="","",ROUND(AA803-AG803,2))</f>
        <v>0</v>
      </c>
      <c r="AI803" s="39">
        <f>IF(B803="","",IF(AA803&lt;=0,"No charge",IF(AH803&lt;=0.004,"Paid",IF(AG803&lt;=0.004,"Unpaid","Part paid"))))</f>
        <v>0</v>
      </c>
      <c r="AJ803" s="38">
        <f>IF(B803="","",IF(H803&lt;&gt;"Service","",IF(D803="","No",IF(COUNTIFS($D$5:$D$1204,D803,$B$5:$B$1204,B803,$H$5:$H$1204,"Retail")&gt;0,"Yes","No"))))</f>
        <v>0</v>
      </c>
      <c r="AK803" s="25">
        <f>IF(B803="","",COUNTIFS($Y$5:$Y$1204,"&gt;"&amp;Y803)+COUNTIFS($Y$5:Y803,Y803))</f>
        <v>0</v>
      </c>
      <c r="AL803" s="39">
        <f>IF(B803="","",IF(H803="","Add - what kind of sale is this?",IF(IF(V803&lt;=0,P803="",FALSE),"Check - no price found for this item",IF(F803="","Assign - nobody credited",IF(AH803&gt;0.004,"Unpaid - balance outstanding",IF(AC803&lt;0,"Loss - sold below cost",IF(X803&gt;W803*0.5,"Check - more than half off","OK")))))))</f>
        <v>0</v>
      </c>
    </row>
    <row r="804" spans="1:38">
      <c r="A804" s="28">
        <f>IF(B804="","",SalePrefix&amp;TEXT(ROW()-4,"0000"))</f>
        <v>0</v>
      </c>
      <c r="E804" s="15">
        <f>IF(D804="","",IFERROR(INDEX(Clients!$B$5:$B$504,MATCH(D804,Clients!$A$5:$A$504,0)),"Walk-in"))</f>
        <v>0</v>
      </c>
      <c r="G804" s="15">
        <f>IF(F804="","",IFERROR(INDEX(Staff!$B$5:$B$44,MATCH(F804,Staff!$A$5:$A$44,0)),"House"))</f>
        <v>0</v>
      </c>
      <c r="R804" s="15">
        <f>IF(B804="","",TEXT(B804,"yyyy-mm"))</f>
        <v>0</v>
      </c>
      <c r="S804" s="25">
        <f>IF(B804="","",WEEKNUM(B804,2))</f>
        <v>0</v>
      </c>
      <c r="T804" s="37">
        <f>IF(B804="","",IF(K804="",1,K804))</f>
        <v>0</v>
      </c>
      <c r="U804" s="15">
        <f>IF(B804="","",IF(J804&lt;&gt;"",J804,IF(H804="Retail",IFERROR(INDEX(Inventory!$B$5:$B$304,MATCH(I804,Inventory!$A$5:$A$304,0))&amp;"","Not in Inventory"),IFERROR(INDEX(Services!$B$5:$B$204,MATCH(I804,Services!$A$5:$A$204,0))&amp;"","Not in Services"))))</f>
        <v>0</v>
      </c>
      <c r="V804" s="26">
        <f>IF(B804="","",IF(L804&lt;&gt;"",L804,IF(H804="Retail",IFERROR(INDEX(Inventory!$I$5:$I$304,MATCH(I804,Inventory!$A$5:$A$304,0))*1,0),IFERROR(INDEX(Services!$G$5:$G$204,MATCH(I804,Services!$A$5:$A$204,0))*1,0))))</f>
        <v>0</v>
      </c>
      <c r="W804" s="26">
        <f>IF(B804="","",ROUND(T804*V804,2))</f>
        <v>0</v>
      </c>
      <c r="X804" s="26">
        <f>IF(B804="","",ROUND(IF(M804="",0,W804*M804)+IF(N804="",0,N804),2))</f>
        <v>0</v>
      </c>
      <c r="Y804" s="26">
        <f>IF(B804="","",ROUND(W804-X804-IF(P804="",0,P804),2))</f>
        <v>0</v>
      </c>
      <c r="Z804" s="26">
        <f>IF(B804="","",IF(H804="Retail",IF(TaxOnRetail="Yes",ROUND(Y804*TaxRate,2),0),IF(H804="Service",IF(TaxOnServices="Yes",ROUND(Y804*TaxRate,2),0),0)))</f>
        <v>0</v>
      </c>
      <c r="AA804" s="26">
        <f>IF(B804="","",ROUND(Y804+Z804,2))</f>
        <v>0</v>
      </c>
      <c r="AB804" s="26">
        <f>IF(B804="","",ROUND(T804*IF(H804="Retail",IFERROR(INDEX(Inventory!$H$5:$H$304,MATCH(I804,Inventory!$A$5:$A$304,0))*1,0),IFERROR(INDEX(Services!$Q$5:$Q$204,MATCH(I804,Services!$A$5:$A$204,0))*1,0)),2))</f>
        <v>0</v>
      </c>
      <c r="AC804" s="26">
        <f>IF(B804="","",ROUND(Y804-AB804,2))</f>
        <v>0</v>
      </c>
      <c r="AD804" s="38">
        <f>IF(B804="","",IF(C804="","No",IF(COUNTIFS($C$5:C804,C804)=1,"Yes","No")))</f>
        <v>0</v>
      </c>
      <c r="AE804" s="26">
        <f>IF(B804="","",ROUND(SUMIFS(Payments!$G$5:$G$1204,Payments!$H$5:$H$1204,A804,Payments!$Q$5:$Q$1204,"Yes"),2))</f>
        <v>0</v>
      </c>
      <c r="AF804" s="26">
        <f>IF(B804="","",IF(AD804="No",0,ROUND(SUMIFS(Payments!$G$5:$G$1204,Payments!$I$5:$I$1204,C804,Payments!$H$5:$H$1204,"",Payments!$Q$5:$Q$1204,"Yes"),2)))</f>
        <v>0</v>
      </c>
      <c r="AG804" s="26">
        <f>IF(B804="","",ROUND(AE804+AF804,2))</f>
        <v>0</v>
      </c>
      <c r="AH804" s="26">
        <f>IF(B804="","",ROUND(AA804-AG804,2))</f>
        <v>0</v>
      </c>
      <c r="AI804" s="39">
        <f>IF(B804="","",IF(AA804&lt;=0,"No charge",IF(AH804&lt;=0.004,"Paid",IF(AG804&lt;=0.004,"Unpaid","Part paid"))))</f>
        <v>0</v>
      </c>
      <c r="AJ804" s="38">
        <f>IF(B804="","",IF(H804&lt;&gt;"Service","",IF(D804="","No",IF(COUNTIFS($D$5:$D$1204,D804,$B$5:$B$1204,B804,$H$5:$H$1204,"Retail")&gt;0,"Yes","No"))))</f>
        <v>0</v>
      </c>
      <c r="AK804" s="25">
        <f>IF(B804="","",COUNTIFS($Y$5:$Y$1204,"&gt;"&amp;Y804)+COUNTIFS($Y$5:Y804,Y804))</f>
        <v>0</v>
      </c>
      <c r="AL804" s="39">
        <f>IF(B804="","",IF(H804="","Add - what kind of sale is this?",IF(IF(V804&lt;=0,P804="",FALSE),"Check - no price found for this item",IF(F804="","Assign - nobody credited",IF(AH804&gt;0.004,"Unpaid - balance outstanding",IF(AC804&lt;0,"Loss - sold below cost",IF(X804&gt;W804*0.5,"Check - more than half off","OK")))))))</f>
        <v>0</v>
      </c>
    </row>
    <row r="805" spans="1:38">
      <c r="A805" s="28">
        <f>IF(B805="","",SalePrefix&amp;TEXT(ROW()-4,"0000"))</f>
        <v>0</v>
      </c>
      <c r="E805" s="15">
        <f>IF(D805="","",IFERROR(INDEX(Clients!$B$5:$B$504,MATCH(D805,Clients!$A$5:$A$504,0)),"Walk-in"))</f>
        <v>0</v>
      </c>
      <c r="G805" s="15">
        <f>IF(F805="","",IFERROR(INDEX(Staff!$B$5:$B$44,MATCH(F805,Staff!$A$5:$A$44,0)),"House"))</f>
        <v>0</v>
      </c>
      <c r="R805" s="15">
        <f>IF(B805="","",TEXT(B805,"yyyy-mm"))</f>
        <v>0</v>
      </c>
      <c r="S805" s="25">
        <f>IF(B805="","",WEEKNUM(B805,2))</f>
        <v>0</v>
      </c>
      <c r="T805" s="37">
        <f>IF(B805="","",IF(K805="",1,K805))</f>
        <v>0</v>
      </c>
      <c r="U805" s="15">
        <f>IF(B805="","",IF(J805&lt;&gt;"",J805,IF(H805="Retail",IFERROR(INDEX(Inventory!$B$5:$B$304,MATCH(I805,Inventory!$A$5:$A$304,0))&amp;"","Not in Inventory"),IFERROR(INDEX(Services!$B$5:$B$204,MATCH(I805,Services!$A$5:$A$204,0))&amp;"","Not in Services"))))</f>
        <v>0</v>
      </c>
      <c r="V805" s="26">
        <f>IF(B805="","",IF(L805&lt;&gt;"",L805,IF(H805="Retail",IFERROR(INDEX(Inventory!$I$5:$I$304,MATCH(I805,Inventory!$A$5:$A$304,0))*1,0),IFERROR(INDEX(Services!$G$5:$G$204,MATCH(I805,Services!$A$5:$A$204,0))*1,0))))</f>
        <v>0</v>
      </c>
      <c r="W805" s="26">
        <f>IF(B805="","",ROUND(T805*V805,2))</f>
        <v>0</v>
      </c>
      <c r="X805" s="26">
        <f>IF(B805="","",ROUND(IF(M805="",0,W805*M805)+IF(N805="",0,N805),2))</f>
        <v>0</v>
      </c>
      <c r="Y805" s="26">
        <f>IF(B805="","",ROUND(W805-X805-IF(P805="",0,P805),2))</f>
        <v>0</v>
      </c>
      <c r="Z805" s="26">
        <f>IF(B805="","",IF(H805="Retail",IF(TaxOnRetail="Yes",ROUND(Y805*TaxRate,2),0),IF(H805="Service",IF(TaxOnServices="Yes",ROUND(Y805*TaxRate,2),0),0)))</f>
        <v>0</v>
      </c>
      <c r="AA805" s="26">
        <f>IF(B805="","",ROUND(Y805+Z805,2))</f>
        <v>0</v>
      </c>
      <c r="AB805" s="26">
        <f>IF(B805="","",ROUND(T805*IF(H805="Retail",IFERROR(INDEX(Inventory!$H$5:$H$304,MATCH(I805,Inventory!$A$5:$A$304,0))*1,0),IFERROR(INDEX(Services!$Q$5:$Q$204,MATCH(I805,Services!$A$5:$A$204,0))*1,0)),2))</f>
        <v>0</v>
      </c>
      <c r="AC805" s="26">
        <f>IF(B805="","",ROUND(Y805-AB805,2))</f>
        <v>0</v>
      </c>
      <c r="AD805" s="38">
        <f>IF(B805="","",IF(C805="","No",IF(COUNTIFS($C$5:C805,C805)=1,"Yes","No")))</f>
        <v>0</v>
      </c>
      <c r="AE805" s="26">
        <f>IF(B805="","",ROUND(SUMIFS(Payments!$G$5:$G$1204,Payments!$H$5:$H$1204,A805,Payments!$Q$5:$Q$1204,"Yes"),2))</f>
        <v>0</v>
      </c>
      <c r="AF805" s="26">
        <f>IF(B805="","",IF(AD805="No",0,ROUND(SUMIFS(Payments!$G$5:$G$1204,Payments!$I$5:$I$1204,C805,Payments!$H$5:$H$1204,"",Payments!$Q$5:$Q$1204,"Yes"),2)))</f>
        <v>0</v>
      </c>
      <c r="AG805" s="26">
        <f>IF(B805="","",ROUND(AE805+AF805,2))</f>
        <v>0</v>
      </c>
      <c r="AH805" s="26">
        <f>IF(B805="","",ROUND(AA805-AG805,2))</f>
        <v>0</v>
      </c>
      <c r="AI805" s="39">
        <f>IF(B805="","",IF(AA805&lt;=0,"No charge",IF(AH805&lt;=0.004,"Paid",IF(AG805&lt;=0.004,"Unpaid","Part paid"))))</f>
        <v>0</v>
      </c>
      <c r="AJ805" s="38">
        <f>IF(B805="","",IF(H805&lt;&gt;"Service","",IF(D805="","No",IF(COUNTIFS($D$5:$D$1204,D805,$B$5:$B$1204,B805,$H$5:$H$1204,"Retail")&gt;0,"Yes","No"))))</f>
        <v>0</v>
      </c>
      <c r="AK805" s="25">
        <f>IF(B805="","",COUNTIFS($Y$5:$Y$1204,"&gt;"&amp;Y805)+COUNTIFS($Y$5:Y805,Y805))</f>
        <v>0</v>
      </c>
      <c r="AL805" s="39">
        <f>IF(B805="","",IF(H805="","Add - what kind of sale is this?",IF(IF(V805&lt;=0,P805="",FALSE),"Check - no price found for this item",IF(F805="","Assign - nobody credited",IF(AH805&gt;0.004,"Unpaid - balance outstanding",IF(AC805&lt;0,"Loss - sold below cost",IF(X805&gt;W805*0.5,"Check - more than half off","OK")))))))</f>
        <v>0</v>
      </c>
    </row>
    <row r="806" spans="1:38">
      <c r="A806" s="28">
        <f>IF(B806="","",SalePrefix&amp;TEXT(ROW()-4,"0000"))</f>
        <v>0</v>
      </c>
      <c r="E806" s="15">
        <f>IF(D806="","",IFERROR(INDEX(Clients!$B$5:$B$504,MATCH(D806,Clients!$A$5:$A$504,0)),"Walk-in"))</f>
        <v>0</v>
      </c>
      <c r="G806" s="15">
        <f>IF(F806="","",IFERROR(INDEX(Staff!$B$5:$B$44,MATCH(F806,Staff!$A$5:$A$44,0)),"House"))</f>
        <v>0</v>
      </c>
      <c r="R806" s="15">
        <f>IF(B806="","",TEXT(B806,"yyyy-mm"))</f>
        <v>0</v>
      </c>
      <c r="S806" s="25">
        <f>IF(B806="","",WEEKNUM(B806,2))</f>
        <v>0</v>
      </c>
      <c r="T806" s="37">
        <f>IF(B806="","",IF(K806="",1,K806))</f>
        <v>0</v>
      </c>
      <c r="U806" s="15">
        <f>IF(B806="","",IF(J806&lt;&gt;"",J806,IF(H806="Retail",IFERROR(INDEX(Inventory!$B$5:$B$304,MATCH(I806,Inventory!$A$5:$A$304,0))&amp;"","Not in Inventory"),IFERROR(INDEX(Services!$B$5:$B$204,MATCH(I806,Services!$A$5:$A$204,0))&amp;"","Not in Services"))))</f>
        <v>0</v>
      </c>
      <c r="V806" s="26">
        <f>IF(B806="","",IF(L806&lt;&gt;"",L806,IF(H806="Retail",IFERROR(INDEX(Inventory!$I$5:$I$304,MATCH(I806,Inventory!$A$5:$A$304,0))*1,0),IFERROR(INDEX(Services!$G$5:$G$204,MATCH(I806,Services!$A$5:$A$204,0))*1,0))))</f>
        <v>0</v>
      </c>
      <c r="W806" s="26">
        <f>IF(B806="","",ROUND(T806*V806,2))</f>
        <v>0</v>
      </c>
      <c r="X806" s="26">
        <f>IF(B806="","",ROUND(IF(M806="",0,W806*M806)+IF(N806="",0,N806),2))</f>
        <v>0</v>
      </c>
      <c r="Y806" s="26">
        <f>IF(B806="","",ROUND(W806-X806-IF(P806="",0,P806),2))</f>
        <v>0</v>
      </c>
      <c r="Z806" s="26">
        <f>IF(B806="","",IF(H806="Retail",IF(TaxOnRetail="Yes",ROUND(Y806*TaxRate,2),0),IF(H806="Service",IF(TaxOnServices="Yes",ROUND(Y806*TaxRate,2),0),0)))</f>
        <v>0</v>
      </c>
      <c r="AA806" s="26">
        <f>IF(B806="","",ROUND(Y806+Z806,2))</f>
        <v>0</v>
      </c>
      <c r="AB806" s="26">
        <f>IF(B806="","",ROUND(T806*IF(H806="Retail",IFERROR(INDEX(Inventory!$H$5:$H$304,MATCH(I806,Inventory!$A$5:$A$304,0))*1,0),IFERROR(INDEX(Services!$Q$5:$Q$204,MATCH(I806,Services!$A$5:$A$204,0))*1,0)),2))</f>
        <v>0</v>
      </c>
      <c r="AC806" s="26">
        <f>IF(B806="","",ROUND(Y806-AB806,2))</f>
        <v>0</v>
      </c>
      <c r="AD806" s="38">
        <f>IF(B806="","",IF(C806="","No",IF(COUNTIFS($C$5:C806,C806)=1,"Yes","No")))</f>
        <v>0</v>
      </c>
      <c r="AE806" s="26">
        <f>IF(B806="","",ROUND(SUMIFS(Payments!$G$5:$G$1204,Payments!$H$5:$H$1204,A806,Payments!$Q$5:$Q$1204,"Yes"),2))</f>
        <v>0</v>
      </c>
      <c r="AF806" s="26">
        <f>IF(B806="","",IF(AD806="No",0,ROUND(SUMIFS(Payments!$G$5:$G$1204,Payments!$I$5:$I$1204,C806,Payments!$H$5:$H$1204,"",Payments!$Q$5:$Q$1204,"Yes"),2)))</f>
        <v>0</v>
      </c>
      <c r="AG806" s="26">
        <f>IF(B806="","",ROUND(AE806+AF806,2))</f>
        <v>0</v>
      </c>
      <c r="AH806" s="26">
        <f>IF(B806="","",ROUND(AA806-AG806,2))</f>
        <v>0</v>
      </c>
      <c r="AI806" s="39">
        <f>IF(B806="","",IF(AA806&lt;=0,"No charge",IF(AH806&lt;=0.004,"Paid",IF(AG806&lt;=0.004,"Unpaid","Part paid"))))</f>
        <v>0</v>
      </c>
      <c r="AJ806" s="38">
        <f>IF(B806="","",IF(H806&lt;&gt;"Service","",IF(D806="","No",IF(COUNTIFS($D$5:$D$1204,D806,$B$5:$B$1204,B806,$H$5:$H$1204,"Retail")&gt;0,"Yes","No"))))</f>
        <v>0</v>
      </c>
      <c r="AK806" s="25">
        <f>IF(B806="","",COUNTIFS($Y$5:$Y$1204,"&gt;"&amp;Y806)+COUNTIFS($Y$5:Y806,Y806))</f>
        <v>0</v>
      </c>
      <c r="AL806" s="39">
        <f>IF(B806="","",IF(H806="","Add - what kind of sale is this?",IF(IF(V806&lt;=0,P806="",FALSE),"Check - no price found for this item",IF(F806="","Assign - nobody credited",IF(AH806&gt;0.004,"Unpaid - balance outstanding",IF(AC806&lt;0,"Loss - sold below cost",IF(X806&gt;W806*0.5,"Check - more than half off","OK")))))))</f>
        <v>0</v>
      </c>
    </row>
    <row r="807" spans="1:38">
      <c r="A807" s="28">
        <f>IF(B807="","",SalePrefix&amp;TEXT(ROW()-4,"0000"))</f>
        <v>0</v>
      </c>
      <c r="E807" s="15">
        <f>IF(D807="","",IFERROR(INDEX(Clients!$B$5:$B$504,MATCH(D807,Clients!$A$5:$A$504,0)),"Walk-in"))</f>
        <v>0</v>
      </c>
      <c r="G807" s="15">
        <f>IF(F807="","",IFERROR(INDEX(Staff!$B$5:$B$44,MATCH(F807,Staff!$A$5:$A$44,0)),"House"))</f>
        <v>0</v>
      </c>
      <c r="R807" s="15">
        <f>IF(B807="","",TEXT(B807,"yyyy-mm"))</f>
        <v>0</v>
      </c>
      <c r="S807" s="25">
        <f>IF(B807="","",WEEKNUM(B807,2))</f>
        <v>0</v>
      </c>
      <c r="T807" s="37">
        <f>IF(B807="","",IF(K807="",1,K807))</f>
        <v>0</v>
      </c>
      <c r="U807" s="15">
        <f>IF(B807="","",IF(J807&lt;&gt;"",J807,IF(H807="Retail",IFERROR(INDEX(Inventory!$B$5:$B$304,MATCH(I807,Inventory!$A$5:$A$304,0))&amp;"","Not in Inventory"),IFERROR(INDEX(Services!$B$5:$B$204,MATCH(I807,Services!$A$5:$A$204,0))&amp;"","Not in Services"))))</f>
        <v>0</v>
      </c>
      <c r="V807" s="26">
        <f>IF(B807="","",IF(L807&lt;&gt;"",L807,IF(H807="Retail",IFERROR(INDEX(Inventory!$I$5:$I$304,MATCH(I807,Inventory!$A$5:$A$304,0))*1,0),IFERROR(INDEX(Services!$G$5:$G$204,MATCH(I807,Services!$A$5:$A$204,0))*1,0))))</f>
        <v>0</v>
      </c>
      <c r="W807" s="26">
        <f>IF(B807="","",ROUND(T807*V807,2))</f>
        <v>0</v>
      </c>
      <c r="X807" s="26">
        <f>IF(B807="","",ROUND(IF(M807="",0,W807*M807)+IF(N807="",0,N807),2))</f>
        <v>0</v>
      </c>
      <c r="Y807" s="26">
        <f>IF(B807="","",ROUND(W807-X807-IF(P807="",0,P807),2))</f>
        <v>0</v>
      </c>
      <c r="Z807" s="26">
        <f>IF(B807="","",IF(H807="Retail",IF(TaxOnRetail="Yes",ROUND(Y807*TaxRate,2),0),IF(H807="Service",IF(TaxOnServices="Yes",ROUND(Y807*TaxRate,2),0),0)))</f>
        <v>0</v>
      </c>
      <c r="AA807" s="26">
        <f>IF(B807="","",ROUND(Y807+Z807,2))</f>
        <v>0</v>
      </c>
      <c r="AB807" s="26">
        <f>IF(B807="","",ROUND(T807*IF(H807="Retail",IFERROR(INDEX(Inventory!$H$5:$H$304,MATCH(I807,Inventory!$A$5:$A$304,0))*1,0),IFERROR(INDEX(Services!$Q$5:$Q$204,MATCH(I807,Services!$A$5:$A$204,0))*1,0)),2))</f>
        <v>0</v>
      </c>
      <c r="AC807" s="26">
        <f>IF(B807="","",ROUND(Y807-AB807,2))</f>
        <v>0</v>
      </c>
      <c r="AD807" s="38">
        <f>IF(B807="","",IF(C807="","No",IF(COUNTIFS($C$5:C807,C807)=1,"Yes","No")))</f>
        <v>0</v>
      </c>
      <c r="AE807" s="26">
        <f>IF(B807="","",ROUND(SUMIFS(Payments!$G$5:$G$1204,Payments!$H$5:$H$1204,A807,Payments!$Q$5:$Q$1204,"Yes"),2))</f>
        <v>0</v>
      </c>
      <c r="AF807" s="26">
        <f>IF(B807="","",IF(AD807="No",0,ROUND(SUMIFS(Payments!$G$5:$G$1204,Payments!$I$5:$I$1204,C807,Payments!$H$5:$H$1204,"",Payments!$Q$5:$Q$1204,"Yes"),2)))</f>
        <v>0</v>
      </c>
      <c r="AG807" s="26">
        <f>IF(B807="","",ROUND(AE807+AF807,2))</f>
        <v>0</v>
      </c>
      <c r="AH807" s="26">
        <f>IF(B807="","",ROUND(AA807-AG807,2))</f>
        <v>0</v>
      </c>
      <c r="AI807" s="39">
        <f>IF(B807="","",IF(AA807&lt;=0,"No charge",IF(AH807&lt;=0.004,"Paid",IF(AG807&lt;=0.004,"Unpaid","Part paid"))))</f>
        <v>0</v>
      </c>
      <c r="AJ807" s="38">
        <f>IF(B807="","",IF(H807&lt;&gt;"Service","",IF(D807="","No",IF(COUNTIFS($D$5:$D$1204,D807,$B$5:$B$1204,B807,$H$5:$H$1204,"Retail")&gt;0,"Yes","No"))))</f>
        <v>0</v>
      </c>
      <c r="AK807" s="25">
        <f>IF(B807="","",COUNTIFS($Y$5:$Y$1204,"&gt;"&amp;Y807)+COUNTIFS($Y$5:Y807,Y807))</f>
        <v>0</v>
      </c>
      <c r="AL807" s="39">
        <f>IF(B807="","",IF(H807="","Add - what kind of sale is this?",IF(IF(V807&lt;=0,P807="",FALSE),"Check - no price found for this item",IF(F807="","Assign - nobody credited",IF(AH807&gt;0.004,"Unpaid - balance outstanding",IF(AC807&lt;0,"Loss - sold below cost",IF(X807&gt;W807*0.5,"Check - more than half off","OK")))))))</f>
        <v>0</v>
      </c>
    </row>
    <row r="808" spans="1:38">
      <c r="A808" s="28">
        <f>IF(B808="","",SalePrefix&amp;TEXT(ROW()-4,"0000"))</f>
        <v>0</v>
      </c>
      <c r="E808" s="15">
        <f>IF(D808="","",IFERROR(INDEX(Clients!$B$5:$B$504,MATCH(D808,Clients!$A$5:$A$504,0)),"Walk-in"))</f>
        <v>0</v>
      </c>
      <c r="G808" s="15">
        <f>IF(F808="","",IFERROR(INDEX(Staff!$B$5:$B$44,MATCH(F808,Staff!$A$5:$A$44,0)),"House"))</f>
        <v>0</v>
      </c>
      <c r="R808" s="15">
        <f>IF(B808="","",TEXT(B808,"yyyy-mm"))</f>
        <v>0</v>
      </c>
      <c r="S808" s="25">
        <f>IF(B808="","",WEEKNUM(B808,2))</f>
        <v>0</v>
      </c>
      <c r="T808" s="37">
        <f>IF(B808="","",IF(K808="",1,K808))</f>
        <v>0</v>
      </c>
      <c r="U808" s="15">
        <f>IF(B808="","",IF(J808&lt;&gt;"",J808,IF(H808="Retail",IFERROR(INDEX(Inventory!$B$5:$B$304,MATCH(I808,Inventory!$A$5:$A$304,0))&amp;"","Not in Inventory"),IFERROR(INDEX(Services!$B$5:$B$204,MATCH(I808,Services!$A$5:$A$204,0))&amp;"","Not in Services"))))</f>
        <v>0</v>
      </c>
      <c r="V808" s="26">
        <f>IF(B808="","",IF(L808&lt;&gt;"",L808,IF(H808="Retail",IFERROR(INDEX(Inventory!$I$5:$I$304,MATCH(I808,Inventory!$A$5:$A$304,0))*1,0),IFERROR(INDEX(Services!$G$5:$G$204,MATCH(I808,Services!$A$5:$A$204,0))*1,0))))</f>
        <v>0</v>
      </c>
      <c r="W808" s="26">
        <f>IF(B808="","",ROUND(T808*V808,2))</f>
        <v>0</v>
      </c>
      <c r="X808" s="26">
        <f>IF(B808="","",ROUND(IF(M808="",0,W808*M808)+IF(N808="",0,N808),2))</f>
        <v>0</v>
      </c>
      <c r="Y808" s="26">
        <f>IF(B808="","",ROUND(W808-X808-IF(P808="",0,P808),2))</f>
        <v>0</v>
      </c>
      <c r="Z808" s="26">
        <f>IF(B808="","",IF(H808="Retail",IF(TaxOnRetail="Yes",ROUND(Y808*TaxRate,2),0),IF(H808="Service",IF(TaxOnServices="Yes",ROUND(Y808*TaxRate,2),0),0)))</f>
        <v>0</v>
      </c>
      <c r="AA808" s="26">
        <f>IF(B808="","",ROUND(Y808+Z808,2))</f>
        <v>0</v>
      </c>
      <c r="AB808" s="26">
        <f>IF(B808="","",ROUND(T808*IF(H808="Retail",IFERROR(INDEX(Inventory!$H$5:$H$304,MATCH(I808,Inventory!$A$5:$A$304,0))*1,0),IFERROR(INDEX(Services!$Q$5:$Q$204,MATCH(I808,Services!$A$5:$A$204,0))*1,0)),2))</f>
        <v>0</v>
      </c>
      <c r="AC808" s="26">
        <f>IF(B808="","",ROUND(Y808-AB808,2))</f>
        <v>0</v>
      </c>
      <c r="AD808" s="38">
        <f>IF(B808="","",IF(C808="","No",IF(COUNTIFS($C$5:C808,C808)=1,"Yes","No")))</f>
        <v>0</v>
      </c>
      <c r="AE808" s="26">
        <f>IF(B808="","",ROUND(SUMIFS(Payments!$G$5:$G$1204,Payments!$H$5:$H$1204,A808,Payments!$Q$5:$Q$1204,"Yes"),2))</f>
        <v>0</v>
      </c>
      <c r="AF808" s="26">
        <f>IF(B808="","",IF(AD808="No",0,ROUND(SUMIFS(Payments!$G$5:$G$1204,Payments!$I$5:$I$1204,C808,Payments!$H$5:$H$1204,"",Payments!$Q$5:$Q$1204,"Yes"),2)))</f>
        <v>0</v>
      </c>
      <c r="AG808" s="26">
        <f>IF(B808="","",ROUND(AE808+AF808,2))</f>
        <v>0</v>
      </c>
      <c r="AH808" s="26">
        <f>IF(B808="","",ROUND(AA808-AG808,2))</f>
        <v>0</v>
      </c>
      <c r="AI808" s="39">
        <f>IF(B808="","",IF(AA808&lt;=0,"No charge",IF(AH808&lt;=0.004,"Paid",IF(AG808&lt;=0.004,"Unpaid","Part paid"))))</f>
        <v>0</v>
      </c>
      <c r="AJ808" s="38">
        <f>IF(B808="","",IF(H808&lt;&gt;"Service","",IF(D808="","No",IF(COUNTIFS($D$5:$D$1204,D808,$B$5:$B$1204,B808,$H$5:$H$1204,"Retail")&gt;0,"Yes","No"))))</f>
        <v>0</v>
      </c>
      <c r="AK808" s="25">
        <f>IF(B808="","",COUNTIFS($Y$5:$Y$1204,"&gt;"&amp;Y808)+COUNTIFS($Y$5:Y808,Y808))</f>
        <v>0</v>
      </c>
      <c r="AL808" s="39">
        <f>IF(B808="","",IF(H808="","Add - what kind of sale is this?",IF(IF(V808&lt;=0,P808="",FALSE),"Check - no price found for this item",IF(F808="","Assign - nobody credited",IF(AH808&gt;0.004,"Unpaid - balance outstanding",IF(AC808&lt;0,"Loss - sold below cost",IF(X808&gt;W808*0.5,"Check - more than half off","OK")))))))</f>
        <v>0</v>
      </c>
    </row>
    <row r="809" spans="1:38">
      <c r="A809" s="28">
        <f>IF(B809="","",SalePrefix&amp;TEXT(ROW()-4,"0000"))</f>
        <v>0</v>
      </c>
      <c r="E809" s="15">
        <f>IF(D809="","",IFERROR(INDEX(Clients!$B$5:$B$504,MATCH(D809,Clients!$A$5:$A$504,0)),"Walk-in"))</f>
        <v>0</v>
      </c>
      <c r="G809" s="15">
        <f>IF(F809="","",IFERROR(INDEX(Staff!$B$5:$B$44,MATCH(F809,Staff!$A$5:$A$44,0)),"House"))</f>
        <v>0</v>
      </c>
      <c r="R809" s="15">
        <f>IF(B809="","",TEXT(B809,"yyyy-mm"))</f>
        <v>0</v>
      </c>
      <c r="S809" s="25">
        <f>IF(B809="","",WEEKNUM(B809,2))</f>
        <v>0</v>
      </c>
      <c r="T809" s="37">
        <f>IF(B809="","",IF(K809="",1,K809))</f>
        <v>0</v>
      </c>
      <c r="U809" s="15">
        <f>IF(B809="","",IF(J809&lt;&gt;"",J809,IF(H809="Retail",IFERROR(INDEX(Inventory!$B$5:$B$304,MATCH(I809,Inventory!$A$5:$A$304,0))&amp;"","Not in Inventory"),IFERROR(INDEX(Services!$B$5:$B$204,MATCH(I809,Services!$A$5:$A$204,0))&amp;"","Not in Services"))))</f>
        <v>0</v>
      </c>
      <c r="V809" s="26">
        <f>IF(B809="","",IF(L809&lt;&gt;"",L809,IF(H809="Retail",IFERROR(INDEX(Inventory!$I$5:$I$304,MATCH(I809,Inventory!$A$5:$A$304,0))*1,0),IFERROR(INDEX(Services!$G$5:$G$204,MATCH(I809,Services!$A$5:$A$204,0))*1,0))))</f>
        <v>0</v>
      </c>
      <c r="W809" s="26">
        <f>IF(B809="","",ROUND(T809*V809,2))</f>
        <v>0</v>
      </c>
      <c r="X809" s="26">
        <f>IF(B809="","",ROUND(IF(M809="",0,W809*M809)+IF(N809="",0,N809),2))</f>
        <v>0</v>
      </c>
      <c r="Y809" s="26">
        <f>IF(B809="","",ROUND(W809-X809-IF(P809="",0,P809),2))</f>
        <v>0</v>
      </c>
      <c r="Z809" s="26">
        <f>IF(B809="","",IF(H809="Retail",IF(TaxOnRetail="Yes",ROUND(Y809*TaxRate,2),0),IF(H809="Service",IF(TaxOnServices="Yes",ROUND(Y809*TaxRate,2),0),0)))</f>
        <v>0</v>
      </c>
      <c r="AA809" s="26">
        <f>IF(B809="","",ROUND(Y809+Z809,2))</f>
        <v>0</v>
      </c>
      <c r="AB809" s="26">
        <f>IF(B809="","",ROUND(T809*IF(H809="Retail",IFERROR(INDEX(Inventory!$H$5:$H$304,MATCH(I809,Inventory!$A$5:$A$304,0))*1,0),IFERROR(INDEX(Services!$Q$5:$Q$204,MATCH(I809,Services!$A$5:$A$204,0))*1,0)),2))</f>
        <v>0</v>
      </c>
      <c r="AC809" s="26">
        <f>IF(B809="","",ROUND(Y809-AB809,2))</f>
        <v>0</v>
      </c>
      <c r="AD809" s="38">
        <f>IF(B809="","",IF(C809="","No",IF(COUNTIFS($C$5:C809,C809)=1,"Yes","No")))</f>
        <v>0</v>
      </c>
      <c r="AE809" s="26">
        <f>IF(B809="","",ROUND(SUMIFS(Payments!$G$5:$G$1204,Payments!$H$5:$H$1204,A809,Payments!$Q$5:$Q$1204,"Yes"),2))</f>
        <v>0</v>
      </c>
      <c r="AF809" s="26">
        <f>IF(B809="","",IF(AD809="No",0,ROUND(SUMIFS(Payments!$G$5:$G$1204,Payments!$I$5:$I$1204,C809,Payments!$H$5:$H$1204,"",Payments!$Q$5:$Q$1204,"Yes"),2)))</f>
        <v>0</v>
      </c>
      <c r="AG809" s="26">
        <f>IF(B809="","",ROUND(AE809+AF809,2))</f>
        <v>0</v>
      </c>
      <c r="AH809" s="26">
        <f>IF(B809="","",ROUND(AA809-AG809,2))</f>
        <v>0</v>
      </c>
      <c r="AI809" s="39">
        <f>IF(B809="","",IF(AA809&lt;=0,"No charge",IF(AH809&lt;=0.004,"Paid",IF(AG809&lt;=0.004,"Unpaid","Part paid"))))</f>
        <v>0</v>
      </c>
      <c r="AJ809" s="38">
        <f>IF(B809="","",IF(H809&lt;&gt;"Service","",IF(D809="","No",IF(COUNTIFS($D$5:$D$1204,D809,$B$5:$B$1204,B809,$H$5:$H$1204,"Retail")&gt;0,"Yes","No"))))</f>
        <v>0</v>
      </c>
      <c r="AK809" s="25">
        <f>IF(B809="","",COUNTIFS($Y$5:$Y$1204,"&gt;"&amp;Y809)+COUNTIFS($Y$5:Y809,Y809))</f>
        <v>0</v>
      </c>
      <c r="AL809" s="39">
        <f>IF(B809="","",IF(H809="","Add - what kind of sale is this?",IF(IF(V809&lt;=0,P809="",FALSE),"Check - no price found for this item",IF(F809="","Assign - nobody credited",IF(AH809&gt;0.004,"Unpaid - balance outstanding",IF(AC809&lt;0,"Loss - sold below cost",IF(X809&gt;W809*0.5,"Check - more than half off","OK")))))))</f>
        <v>0</v>
      </c>
    </row>
    <row r="810" spans="1:38">
      <c r="A810" s="28">
        <f>IF(B810="","",SalePrefix&amp;TEXT(ROW()-4,"0000"))</f>
        <v>0</v>
      </c>
      <c r="E810" s="15">
        <f>IF(D810="","",IFERROR(INDEX(Clients!$B$5:$B$504,MATCH(D810,Clients!$A$5:$A$504,0)),"Walk-in"))</f>
        <v>0</v>
      </c>
      <c r="G810" s="15">
        <f>IF(F810="","",IFERROR(INDEX(Staff!$B$5:$B$44,MATCH(F810,Staff!$A$5:$A$44,0)),"House"))</f>
        <v>0</v>
      </c>
      <c r="R810" s="15">
        <f>IF(B810="","",TEXT(B810,"yyyy-mm"))</f>
        <v>0</v>
      </c>
      <c r="S810" s="25">
        <f>IF(B810="","",WEEKNUM(B810,2))</f>
        <v>0</v>
      </c>
      <c r="T810" s="37">
        <f>IF(B810="","",IF(K810="",1,K810))</f>
        <v>0</v>
      </c>
      <c r="U810" s="15">
        <f>IF(B810="","",IF(J810&lt;&gt;"",J810,IF(H810="Retail",IFERROR(INDEX(Inventory!$B$5:$B$304,MATCH(I810,Inventory!$A$5:$A$304,0))&amp;"","Not in Inventory"),IFERROR(INDEX(Services!$B$5:$B$204,MATCH(I810,Services!$A$5:$A$204,0))&amp;"","Not in Services"))))</f>
        <v>0</v>
      </c>
      <c r="V810" s="26">
        <f>IF(B810="","",IF(L810&lt;&gt;"",L810,IF(H810="Retail",IFERROR(INDEX(Inventory!$I$5:$I$304,MATCH(I810,Inventory!$A$5:$A$304,0))*1,0),IFERROR(INDEX(Services!$G$5:$G$204,MATCH(I810,Services!$A$5:$A$204,0))*1,0))))</f>
        <v>0</v>
      </c>
      <c r="W810" s="26">
        <f>IF(B810="","",ROUND(T810*V810,2))</f>
        <v>0</v>
      </c>
      <c r="X810" s="26">
        <f>IF(B810="","",ROUND(IF(M810="",0,W810*M810)+IF(N810="",0,N810),2))</f>
        <v>0</v>
      </c>
      <c r="Y810" s="26">
        <f>IF(B810="","",ROUND(W810-X810-IF(P810="",0,P810),2))</f>
        <v>0</v>
      </c>
      <c r="Z810" s="26">
        <f>IF(B810="","",IF(H810="Retail",IF(TaxOnRetail="Yes",ROUND(Y810*TaxRate,2),0),IF(H810="Service",IF(TaxOnServices="Yes",ROUND(Y810*TaxRate,2),0),0)))</f>
        <v>0</v>
      </c>
      <c r="AA810" s="26">
        <f>IF(B810="","",ROUND(Y810+Z810,2))</f>
        <v>0</v>
      </c>
      <c r="AB810" s="26">
        <f>IF(B810="","",ROUND(T810*IF(H810="Retail",IFERROR(INDEX(Inventory!$H$5:$H$304,MATCH(I810,Inventory!$A$5:$A$304,0))*1,0),IFERROR(INDEX(Services!$Q$5:$Q$204,MATCH(I810,Services!$A$5:$A$204,0))*1,0)),2))</f>
        <v>0</v>
      </c>
      <c r="AC810" s="26">
        <f>IF(B810="","",ROUND(Y810-AB810,2))</f>
        <v>0</v>
      </c>
      <c r="AD810" s="38">
        <f>IF(B810="","",IF(C810="","No",IF(COUNTIFS($C$5:C810,C810)=1,"Yes","No")))</f>
        <v>0</v>
      </c>
      <c r="AE810" s="26">
        <f>IF(B810="","",ROUND(SUMIFS(Payments!$G$5:$G$1204,Payments!$H$5:$H$1204,A810,Payments!$Q$5:$Q$1204,"Yes"),2))</f>
        <v>0</v>
      </c>
      <c r="AF810" s="26">
        <f>IF(B810="","",IF(AD810="No",0,ROUND(SUMIFS(Payments!$G$5:$G$1204,Payments!$I$5:$I$1204,C810,Payments!$H$5:$H$1204,"",Payments!$Q$5:$Q$1204,"Yes"),2)))</f>
        <v>0</v>
      </c>
      <c r="AG810" s="26">
        <f>IF(B810="","",ROUND(AE810+AF810,2))</f>
        <v>0</v>
      </c>
      <c r="AH810" s="26">
        <f>IF(B810="","",ROUND(AA810-AG810,2))</f>
        <v>0</v>
      </c>
      <c r="AI810" s="39">
        <f>IF(B810="","",IF(AA810&lt;=0,"No charge",IF(AH810&lt;=0.004,"Paid",IF(AG810&lt;=0.004,"Unpaid","Part paid"))))</f>
        <v>0</v>
      </c>
      <c r="AJ810" s="38">
        <f>IF(B810="","",IF(H810&lt;&gt;"Service","",IF(D810="","No",IF(COUNTIFS($D$5:$D$1204,D810,$B$5:$B$1204,B810,$H$5:$H$1204,"Retail")&gt;0,"Yes","No"))))</f>
        <v>0</v>
      </c>
      <c r="AK810" s="25">
        <f>IF(B810="","",COUNTIFS($Y$5:$Y$1204,"&gt;"&amp;Y810)+COUNTIFS($Y$5:Y810,Y810))</f>
        <v>0</v>
      </c>
      <c r="AL810" s="39">
        <f>IF(B810="","",IF(H810="","Add - what kind of sale is this?",IF(IF(V810&lt;=0,P810="",FALSE),"Check - no price found for this item",IF(F810="","Assign - nobody credited",IF(AH810&gt;0.004,"Unpaid - balance outstanding",IF(AC810&lt;0,"Loss - sold below cost",IF(X810&gt;W810*0.5,"Check - more than half off","OK")))))))</f>
        <v>0</v>
      </c>
    </row>
    <row r="811" spans="1:38">
      <c r="A811" s="28">
        <f>IF(B811="","",SalePrefix&amp;TEXT(ROW()-4,"0000"))</f>
        <v>0</v>
      </c>
      <c r="E811" s="15">
        <f>IF(D811="","",IFERROR(INDEX(Clients!$B$5:$B$504,MATCH(D811,Clients!$A$5:$A$504,0)),"Walk-in"))</f>
        <v>0</v>
      </c>
      <c r="G811" s="15">
        <f>IF(F811="","",IFERROR(INDEX(Staff!$B$5:$B$44,MATCH(F811,Staff!$A$5:$A$44,0)),"House"))</f>
        <v>0</v>
      </c>
      <c r="R811" s="15">
        <f>IF(B811="","",TEXT(B811,"yyyy-mm"))</f>
        <v>0</v>
      </c>
      <c r="S811" s="25">
        <f>IF(B811="","",WEEKNUM(B811,2))</f>
        <v>0</v>
      </c>
      <c r="T811" s="37">
        <f>IF(B811="","",IF(K811="",1,K811))</f>
        <v>0</v>
      </c>
      <c r="U811" s="15">
        <f>IF(B811="","",IF(J811&lt;&gt;"",J811,IF(H811="Retail",IFERROR(INDEX(Inventory!$B$5:$B$304,MATCH(I811,Inventory!$A$5:$A$304,0))&amp;"","Not in Inventory"),IFERROR(INDEX(Services!$B$5:$B$204,MATCH(I811,Services!$A$5:$A$204,0))&amp;"","Not in Services"))))</f>
        <v>0</v>
      </c>
      <c r="V811" s="26">
        <f>IF(B811="","",IF(L811&lt;&gt;"",L811,IF(H811="Retail",IFERROR(INDEX(Inventory!$I$5:$I$304,MATCH(I811,Inventory!$A$5:$A$304,0))*1,0),IFERROR(INDEX(Services!$G$5:$G$204,MATCH(I811,Services!$A$5:$A$204,0))*1,0))))</f>
        <v>0</v>
      </c>
      <c r="W811" s="26">
        <f>IF(B811="","",ROUND(T811*V811,2))</f>
        <v>0</v>
      </c>
      <c r="X811" s="26">
        <f>IF(B811="","",ROUND(IF(M811="",0,W811*M811)+IF(N811="",0,N811),2))</f>
        <v>0</v>
      </c>
      <c r="Y811" s="26">
        <f>IF(B811="","",ROUND(W811-X811-IF(P811="",0,P811),2))</f>
        <v>0</v>
      </c>
      <c r="Z811" s="26">
        <f>IF(B811="","",IF(H811="Retail",IF(TaxOnRetail="Yes",ROUND(Y811*TaxRate,2),0),IF(H811="Service",IF(TaxOnServices="Yes",ROUND(Y811*TaxRate,2),0),0)))</f>
        <v>0</v>
      </c>
      <c r="AA811" s="26">
        <f>IF(B811="","",ROUND(Y811+Z811,2))</f>
        <v>0</v>
      </c>
      <c r="AB811" s="26">
        <f>IF(B811="","",ROUND(T811*IF(H811="Retail",IFERROR(INDEX(Inventory!$H$5:$H$304,MATCH(I811,Inventory!$A$5:$A$304,0))*1,0),IFERROR(INDEX(Services!$Q$5:$Q$204,MATCH(I811,Services!$A$5:$A$204,0))*1,0)),2))</f>
        <v>0</v>
      </c>
      <c r="AC811" s="26">
        <f>IF(B811="","",ROUND(Y811-AB811,2))</f>
        <v>0</v>
      </c>
      <c r="AD811" s="38">
        <f>IF(B811="","",IF(C811="","No",IF(COUNTIFS($C$5:C811,C811)=1,"Yes","No")))</f>
        <v>0</v>
      </c>
      <c r="AE811" s="26">
        <f>IF(B811="","",ROUND(SUMIFS(Payments!$G$5:$G$1204,Payments!$H$5:$H$1204,A811,Payments!$Q$5:$Q$1204,"Yes"),2))</f>
        <v>0</v>
      </c>
      <c r="AF811" s="26">
        <f>IF(B811="","",IF(AD811="No",0,ROUND(SUMIFS(Payments!$G$5:$G$1204,Payments!$I$5:$I$1204,C811,Payments!$H$5:$H$1204,"",Payments!$Q$5:$Q$1204,"Yes"),2)))</f>
        <v>0</v>
      </c>
      <c r="AG811" s="26">
        <f>IF(B811="","",ROUND(AE811+AF811,2))</f>
        <v>0</v>
      </c>
      <c r="AH811" s="26">
        <f>IF(B811="","",ROUND(AA811-AG811,2))</f>
        <v>0</v>
      </c>
      <c r="AI811" s="39">
        <f>IF(B811="","",IF(AA811&lt;=0,"No charge",IF(AH811&lt;=0.004,"Paid",IF(AG811&lt;=0.004,"Unpaid","Part paid"))))</f>
        <v>0</v>
      </c>
      <c r="AJ811" s="38">
        <f>IF(B811="","",IF(H811&lt;&gt;"Service","",IF(D811="","No",IF(COUNTIFS($D$5:$D$1204,D811,$B$5:$B$1204,B811,$H$5:$H$1204,"Retail")&gt;0,"Yes","No"))))</f>
        <v>0</v>
      </c>
      <c r="AK811" s="25">
        <f>IF(B811="","",COUNTIFS($Y$5:$Y$1204,"&gt;"&amp;Y811)+COUNTIFS($Y$5:Y811,Y811))</f>
        <v>0</v>
      </c>
      <c r="AL811" s="39">
        <f>IF(B811="","",IF(H811="","Add - what kind of sale is this?",IF(IF(V811&lt;=0,P811="",FALSE),"Check - no price found for this item",IF(F811="","Assign - nobody credited",IF(AH811&gt;0.004,"Unpaid - balance outstanding",IF(AC811&lt;0,"Loss - sold below cost",IF(X811&gt;W811*0.5,"Check - more than half off","OK")))))))</f>
        <v>0</v>
      </c>
    </row>
    <row r="812" spans="1:38">
      <c r="A812" s="28">
        <f>IF(B812="","",SalePrefix&amp;TEXT(ROW()-4,"0000"))</f>
        <v>0</v>
      </c>
      <c r="E812" s="15">
        <f>IF(D812="","",IFERROR(INDEX(Clients!$B$5:$B$504,MATCH(D812,Clients!$A$5:$A$504,0)),"Walk-in"))</f>
        <v>0</v>
      </c>
      <c r="G812" s="15">
        <f>IF(F812="","",IFERROR(INDEX(Staff!$B$5:$B$44,MATCH(F812,Staff!$A$5:$A$44,0)),"House"))</f>
        <v>0</v>
      </c>
      <c r="R812" s="15">
        <f>IF(B812="","",TEXT(B812,"yyyy-mm"))</f>
        <v>0</v>
      </c>
      <c r="S812" s="25">
        <f>IF(B812="","",WEEKNUM(B812,2))</f>
        <v>0</v>
      </c>
      <c r="T812" s="37">
        <f>IF(B812="","",IF(K812="",1,K812))</f>
        <v>0</v>
      </c>
      <c r="U812" s="15">
        <f>IF(B812="","",IF(J812&lt;&gt;"",J812,IF(H812="Retail",IFERROR(INDEX(Inventory!$B$5:$B$304,MATCH(I812,Inventory!$A$5:$A$304,0))&amp;"","Not in Inventory"),IFERROR(INDEX(Services!$B$5:$B$204,MATCH(I812,Services!$A$5:$A$204,0))&amp;"","Not in Services"))))</f>
        <v>0</v>
      </c>
      <c r="V812" s="26">
        <f>IF(B812="","",IF(L812&lt;&gt;"",L812,IF(H812="Retail",IFERROR(INDEX(Inventory!$I$5:$I$304,MATCH(I812,Inventory!$A$5:$A$304,0))*1,0),IFERROR(INDEX(Services!$G$5:$G$204,MATCH(I812,Services!$A$5:$A$204,0))*1,0))))</f>
        <v>0</v>
      </c>
      <c r="W812" s="26">
        <f>IF(B812="","",ROUND(T812*V812,2))</f>
        <v>0</v>
      </c>
      <c r="X812" s="26">
        <f>IF(B812="","",ROUND(IF(M812="",0,W812*M812)+IF(N812="",0,N812),2))</f>
        <v>0</v>
      </c>
      <c r="Y812" s="26">
        <f>IF(B812="","",ROUND(W812-X812-IF(P812="",0,P812),2))</f>
        <v>0</v>
      </c>
      <c r="Z812" s="26">
        <f>IF(B812="","",IF(H812="Retail",IF(TaxOnRetail="Yes",ROUND(Y812*TaxRate,2),0),IF(H812="Service",IF(TaxOnServices="Yes",ROUND(Y812*TaxRate,2),0),0)))</f>
        <v>0</v>
      </c>
      <c r="AA812" s="26">
        <f>IF(B812="","",ROUND(Y812+Z812,2))</f>
        <v>0</v>
      </c>
      <c r="AB812" s="26">
        <f>IF(B812="","",ROUND(T812*IF(H812="Retail",IFERROR(INDEX(Inventory!$H$5:$H$304,MATCH(I812,Inventory!$A$5:$A$304,0))*1,0),IFERROR(INDEX(Services!$Q$5:$Q$204,MATCH(I812,Services!$A$5:$A$204,0))*1,0)),2))</f>
        <v>0</v>
      </c>
      <c r="AC812" s="26">
        <f>IF(B812="","",ROUND(Y812-AB812,2))</f>
        <v>0</v>
      </c>
      <c r="AD812" s="38">
        <f>IF(B812="","",IF(C812="","No",IF(COUNTIFS($C$5:C812,C812)=1,"Yes","No")))</f>
        <v>0</v>
      </c>
      <c r="AE812" s="26">
        <f>IF(B812="","",ROUND(SUMIFS(Payments!$G$5:$G$1204,Payments!$H$5:$H$1204,A812,Payments!$Q$5:$Q$1204,"Yes"),2))</f>
        <v>0</v>
      </c>
      <c r="AF812" s="26">
        <f>IF(B812="","",IF(AD812="No",0,ROUND(SUMIFS(Payments!$G$5:$G$1204,Payments!$I$5:$I$1204,C812,Payments!$H$5:$H$1204,"",Payments!$Q$5:$Q$1204,"Yes"),2)))</f>
        <v>0</v>
      </c>
      <c r="AG812" s="26">
        <f>IF(B812="","",ROUND(AE812+AF812,2))</f>
        <v>0</v>
      </c>
      <c r="AH812" s="26">
        <f>IF(B812="","",ROUND(AA812-AG812,2))</f>
        <v>0</v>
      </c>
      <c r="AI812" s="39">
        <f>IF(B812="","",IF(AA812&lt;=0,"No charge",IF(AH812&lt;=0.004,"Paid",IF(AG812&lt;=0.004,"Unpaid","Part paid"))))</f>
        <v>0</v>
      </c>
      <c r="AJ812" s="38">
        <f>IF(B812="","",IF(H812&lt;&gt;"Service","",IF(D812="","No",IF(COUNTIFS($D$5:$D$1204,D812,$B$5:$B$1204,B812,$H$5:$H$1204,"Retail")&gt;0,"Yes","No"))))</f>
        <v>0</v>
      </c>
      <c r="AK812" s="25">
        <f>IF(B812="","",COUNTIFS($Y$5:$Y$1204,"&gt;"&amp;Y812)+COUNTIFS($Y$5:Y812,Y812))</f>
        <v>0</v>
      </c>
      <c r="AL812" s="39">
        <f>IF(B812="","",IF(H812="","Add - what kind of sale is this?",IF(IF(V812&lt;=0,P812="",FALSE),"Check - no price found for this item",IF(F812="","Assign - nobody credited",IF(AH812&gt;0.004,"Unpaid - balance outstanding",IF(AC812&lt;0,"Loss - sold below cost",IF(X812&gt;W812*0.5,"Check - more than half off","OK")))))))</f>
        <v>0</v>
      </c>
    </row>
    <row r="813" spans="1:38">
      <c r="A813" s="28">
        <f>IF(B813="","",SalePrefix&amp;TEXT(ROW()-4,"0000"))</f>
        <v>0</v>
      </c>
      <c r="E813" s="15">
        <f>IF(D813="","",IFERROR(INDEX(Clients!$B$5:$B$504,MATCH(D813,Clients!$A$5:$A$504,0)),"Walk-in"))</f>
        <v>0</v>
      </c>
      <c r="G813" s="15">
        <f>IF(F813="","",IFERROR(INDEX(Staff!$B$5:$B$44,MATCH(F813,Staff!$A$5:$A$44,0)),"House"))</f>
        <v>0</v>
      </c>
      <c r="R813" s="15">
        <f>IF(B813="","",TEXT(B813,"yyyy-mm"))</f>
        <v>0</v>
      </c>
      <c r="S813" s="25">
        <f>IF(B813="","",WEEKNUM(B813,2))</f>
        <v>0</v>
      </c>
      <c r="T813" s="37">
        <f>IF(B813="","",IF(K813="",1,K813))</f>
        <v>0</v>
      </c>
      <c r="U813" s="15">
        <f>IF(B813="","",IF(J813&lt;&gt;"",J813,IF(H813="Retail",IFERROR(INDEX(Inventory!$B$5:$B$304,MATCH(I813,Inventory!$A$5:$A$304,0))&amp;"","Not in Inventory"),IFERROR(INDEX(Services!$B$5:$B$204,MATCH(I813,Services!$A$5:$A$204,0))&amp;"","Not in Services"))))</f>
        <v>0</v>
      </c>
      <c r="V813" s="26">
        <f>IF(B813="","",IF(L813&lt;&gt;"",L813,IF(H813="Retail",IFERROR(INDEX(Inventory!$I$5:$I$304,MATCH(I813,Inventory!$A$5:$A$304,0))*1,0),IFERROR(INDEX(Services!$G$5:$G$204,MATCH(I813,Services!$A$5:$A$204,0))*1,0))))</f>
        <v>0</v>
      </c>
      <c r="W813" s="26">
        <f>IF(B813="","",ROUND(T813*V813,2))</f>
        <v>0</v>
      </c>
      <c r="X813" s="26">
        <f>IF(B813="","",ROUND(IF(M813="",0,W813*M813)+IF(N813="",0,N813),2))</f>
        <v>0</v>
      </c>
      <c r="Y813" s="26">
        <f>IF(B813="","",ROUND(W813-X813-IF(P813="",0,P813),2))</f>
        <v>0</v>
      </c>
      <c r="Z813" s="26">
        <f>IF(B813="","",IF(H813="Retail",IF(TaxOnRetail="Yes",ROUND(Y813*TaxRate,2),0),IF(H813="Service",IF(TaxOnServices="Yes",ROUND(Y813*TaxRate,2),0),0)))</f>
        <v>0</v>
      </c>
      <c r="AA813" s="26">
        <f>IF(B813="","",ROUND(Y813+Z813,2))</f>
        <v>0</v>
      </c>
      <c r="AB813" s="26">
        <f>IF(B813="","",ROUND(T813*IF(H813="Retail",IFERROR(INDEX(Inventory!$H$5:$H$304,MATCH(I813,Inventory!$A$5:$A$304,0))*1,0),IFERROR(INDEX(Services!$Q$5:$Q$204,MATCH(I813,Services!$A$5:$A$204,0))*1,0)),2))</f>
        <v>0</v>
      </c>
      <c r="AC813" s="26">
        <f>IF(B813="","",ROUND(Y813-AB813,2))</f>
        <v>0</v>
      </c>
      <c r="AD813" s="38">
        <f>IF(B813="","",IF(C813="","No",IF(COUNTIFS($C$5:C813,C813)=1,"Yes","No")))</f>
        <v>0</v>
      </c>
      <c r="AE813" s="26">
        <f>IF(B813="","",ROUND(SUMIFS(Payments!$G$5:$G$1204,Payments!$H$5:$H$1204,A813,Payments!$Q$5:$Q$1204,"Yes"),2))</f>
        <v>0</v>
      </c>
      <c r="AF813" s="26">
        <f>IF(B813="","",IF(AD813="No",0,ROUND(SUMIFS(Payments!$G$5:$G$1204,Payments!$I$5:$I$1204,C813,Payments!$H$5:$H$1204,"",Payments!$Q$5:$Q$1204,"Yes"),2)))</f>
        <v>0</v>
      </c>
      <c r="AG813" s="26">
        <f>IF(B813="","",ROUND(AE813+AF813,2))</f>
        <v>0</v>
      </c>
      <c r="AH813" s="26">
        <f>IF(B813="","",ROUND(AA813-AG813,2))</f>
        <v>0</v>
      </c>
      <c r="AI813" s="39">
        <f>IF(B813="","",IF(AA813&lt;=0,"No charge",IF(AH813&lt;=0.004,"Paid",IF(AG813&lt;=0.004,"Unpaid","Part paid"))))</f>
        <v>0</v>
      </c>
      <c r="AJ813" s="38">
        <f>IF(B813="","",IF(H813&lt;&gt;"Service","",IF(D813="","No",IF(COUNTIFS($D$5:$D$1204,D813,$B$5:$B$1204,B813,$H$5:$H$1204,"Retail")&gt;0,"Yes","No"))))</f>
        <v>0</v>
      </c>
      <c r="AK813" s="25">
        <f>IF(B813="","",COUNTIFS($Y$5:$Y$1204,"&gt;"&amp;Y813)+COUNTIFS($Y$5:Y813,Y813))</f>
        <v>0</v>
      </c>
      <c r="AL813" s="39">
        <f>IF(B813="","",IF(H813="","Add - what kind of sale is this?",IF(IF(V813&lt;=0,P813="",FALSE),"Check - no price found for this item",IF(F813="","Assign - nobody credited",IF(AH813&gt;0.004,"Unpaid - balance outstanding",IF(AC813&lt;0,"Loss - sold below cost",IF(X813&gt;W813*0.5,"Check - more than half off","OK")))))))</f>
        <v>0</v>
      </c>
    </row>
    <row r="814" spans="1:38">
      <c r="A814" s="28">
        <f>IF(B814="","",SalePrefix&amp;TEXT(ROW()-4,"0000"))</f>
        <v>0</v>
      </c>
      <c r="E814" s="15">
        <f>IF(D814="","",IFERROR(INDEX(Clients!$B$5:$B$504,MATCH(D814,Clients!$A$5:$A$504,0)),"Walk-in"))</f>
        <v>0</v>
      </c>
      <c r="G814" s="15">
        <f>IF(F814="","",IFERROR(INDEX(Staff!$B$5:$B$44,MATCH(F814,Staff!$A$5:$A$44,0)),"House"))</f>
        <v>0</v>
      </c>
      <c r="R814" s="15">
        <f>IF(B814="","",TEXT(B814,"yyyy-mm"))</f>
        <v>0</v>
      </c>
      <c r="S814" s="25">
        <f>IF(B814="","",WEEKNUM(B814,2))</f>
        <v>0</v>
      </c>
      <c r="T814" s="37">
        <f>IF(B814="","",IF(K814="",1,K814))</f>
        <v>0</v>
      </c>
      <c r="U814" s="15">
        <f>IF(B814="","",IF(J814&lt;&gt;"",J814,IF(H814="Retail",IFERROR(INDEX(Inventory!$B$5:$B$304,MATCH(I814,Inventory!$A$5:$A$304,0))&amp;"","Not in Inventory"),IFERROR(INDEX(Services!$B$5:$B$204,MATCH(I814,Services!$A$5:$A$204,0))&amp;"","Not in Services"))))</f>
        <v>0</v>
      </c>
      <c r="V814" s="26">
        <f>IF(B814="","",IF(L814&lt;&gt;"",L814,IF(H814="Retail",IFERROR(INDEX(Inventory!$I$5:$I$304,MATCH(I814,Inventory!$A$5:$A$304,0))*1,0),IFERROR(INDEX(Services!$G$5:$G$204,MATCH(I814,Services!$A$5:$A$204,0))*1,0))))</f>
        <v>0</v>
      </c>
      <c r="W814" s="26">
        <f>IF(B814="","",ROUND(T814*V814,2))</f>
        <v>0</v>
      </c>
      <c r="X814" s="26">
        <f>IF(B814="","",ROUND(IF(M814="",0,W814*M814)+IF(N814="",0,N814),2))</f>
        <v>0</v>
      </c>
      <c r="Y814" s="26">
        <f>IF(B814="","",ROUND(W814-X814-IF(P814="",0,P814),2))</f>
        <v>0</v>
      </c>
      <c r="Z814" s="26">
        <f>IF(B814="","",IF(H814="Retail",IF(TaxOnRetail="Yes",ROUND(Y814*TaxRate,2),0),IF(H814="Service",IF(TaxOnServices="Yes",ROUND(Y814*TaxRate,2),0),0)))</f>
        <v>0</v>
      </c>
      <c r="AA814" s="26">
        <f>IF(B814="","",ROUND(Y814+Z814,2))</f>
        <v>0</v>
      </c>
      <c r="AB814" s="26">
        <f>IF(B814="","",ROUND(T814*IF(H814="Retail",IFERROR(INDEX(Inventory!$H$5:$H$304,MATCH(I814,Inventory!$A$5:$A$304,0))*1,0),IFERROR(INDEX(Services!$Q$5:$Q$204,MATCH(I814,Services!$A$5:$A$204,0))*1,0)),2))</f>
        <v>0</v>
      </c>
      <c r="AC814" s="26">
        <f>IF(B814="","",ROUND(Y814-AB814,2))</f>
        <v>0</v>
      </c>
      <c r="AD814" s="38">
        <f>IF(B814="","",IF(C814="","No",IF(COUNTIFS($C$5:C814,C814)=1,"Yes","No")))</f>
        <v>0</v>
      </c>
      <c r="AE814" s="26">
        <f>IF(B814="","",ROUND(SUMIFS(Payments!$G$5:$G$1204,Payments!$H$5:$H$1204,A814,Payments!$Q$5:$Q$1204,"Yes"),2))</f>
        <v>0</v>
      </c>
      <c r="AF814" s="26">
        <f>IF(B814="","",IF(AD814="No",0,ROUND(SUMIFS(Payments!$G$5:$G$1204,Payments!$I$5:$I$1204,C814,Payments!$H$5:$H$1204,"",Payments!$Q$5:$Q$1204,"Yes"),2)))</f>
        <v>0</v>
      </c>
      <c r="AG814" s="26">
        <f>IF(B814="","",ROUND(AE814+AF814,2))</f>
        <v>0</v>
      </c>
      <c r="AH814" s="26">
        <f>IF(B814="","",ROUND(AA814-AG814,2))</f>
        <v>0</v>
      </c>
      <c r="AI814" s="39">
        <f>IF(B814="","",IF(AA814&lt;=0,"No charge",IF(AH814&lt;=0.004,"Paid",IF(AG814&lt;=0.004,"Unpaid","Part paid"))))</f>
        <v>0</v>
      </c>
      <c r="AJ814" s="38">
        <f>IF(B814="","",IF(H814&lt;&gt;"Service","",IF(D814="","No",IF(COUNTIFS($D$5:$D$1204,D814,$B$5:$B$1204,B814,$H$5:$H$1204,"Retail")&gt;0,"Yes","No"))))</f>
        <v>0</v>
      </c>
      <c r="AK814" s="25">
        <f>IF(B814="","",COUNTIFS($Y$5:$Y$1204,"&gt;"&amp;Y814)+COUNTIFS($Y$5:Y814,Y814))</f>
        <v>0</v>
      </c>
      <c r="AL814" s="39">
        <f>IF(B814="","",IF(H814="","Add - what kind of sale is this?",IF(IF(V814&lt;=0,P814="",FALSE),"Check - no price found for this item",IF(F814="","Assign - nobody credited",IF(AH814&gt;0.004,"Unpaid - balance outstanding",IF(AC814&lt;0,"Loss - sold below cost",IF(X814&gt;W814*0.5,"Check - more than half off","OK")))))))</f>
        <v>0</v>
      </c>
    </row>
    <row r="815" spans="1:38">
      <c r="A815" s="28">
        <f>IF(B815="","",SalePrefix&amp;TEXT(ROW()-4,"0000"))</f>
        <v>0</v>
      </c>
      <c r="E815" s="15">
        <f>IF(D815="","",IFERROR(INDEX(Clients!$B$5:$B$504,MATCH(D815,Clients!$A$5:$A$504,0)),"Walk-in"))</f>
        <v>0</v>
      </c>
      <c r="G815" s="15">
        <f>IF(F815="","",IFERROR(INDEX(Staff!$B$5:$B$44,MATCH(F815,Staff!$A$5:$A$44,0)),"House"))</f>
        <v>0</v>
      </c>
      <c r="R815" s="15">
        <f>IF(B815="","",TEXT(B815,"yyyy-mm"))</f>
        <v>0</v>
      </c>
      <c r="S815" s="25">
        <f>IF(B815="","",WEEKNUM(B815,2))</f>
        <v>0</v>
      </c>
      <c r="T815" s="37">
        <f>IF(B815="","",IF(K815="",1,K815))</f>
        <v>0</v>
      </c>
      <c r="U815" s="15">
        <f>IF(B815="","",IF(J815&lt;&gt;"",J815,IF(H815="Retail",IFERROR(INDEX(Inventory!$B$5:$B$304,MATCH(I815,Inventory!$A$5:$A$304,0))&amp;"","Not in Inventory"),IFERROR(INDEX(Services!$B$5:$B$204,MATCH(I815,Services!$A$5:$A$204,0))&amp;"","Not in Services"))))</f>
        <v>0</v>
      </c>
      <c r="V815" s="26">
        <f>IF(B815="","",IF(L815&lt;&gt;"",L815,IF(H815="Retail",IFERROR(INDEX(Inventory!$I$5:$I$304,MATCH(I815,Inventory!$A$5:$A$304,0))*1,0),IFERROR(INDEX(Services!$G$5:$G$204,MATCH(I815,Services!$A$5:$A$204,0))*1,0))))</f>
        <v>0</v>
      </c>
      <c r="W815" s="26">
        <f>IF(B815="","",ROUND(T815*V815,2))</f>
        <v>0</v>
      </c>
      <c r="X815" s="26">
        <f>IF(B815="","",ROUND(IF(M815="",0,W815*M815)+IF(N815="",0,N815),2))</f>
        <v>0</v>
      </c>
      <c r="Y815" s="26">
        <f>IF(B815="","",ROUND(W815-X815-IF(P815="",0,P815),2))</f>
        <v>0</v>
      </c>
      <c r="Z815" s="26">
        <f>IF(B815="","",IF(H815="Retail",IF(TaxOnRetail="Yes",ROUND(Y815*TaxRate,2),0),IF(H815="Service",IF(TaxOnServices="Yes",ROUND(Y815*TaxRate,2),0),0)))</f>
        <v>0</v>
      </c>
      <c r="AA815" s="26">
        <f>IF(B815="","",ROUND(Y815+Z815,2))</f>
        <v>0</v>
      </c>
      <c r="AB815" s="26">
        <f>IF(B815="","",ROUND(T815*IF(H815="Retail",IFERROR(INDEX(Inventory!$H$5:$H$304,MATCH(I815,Inventory!$A$5:$A$304,0))*1,0),IFERROR(INDEX(Services!$Q$5:$Q$204,MATCH(I815,Services!$A$5:$A$204,0))*1,0)),2))</f>
        <v>0</v>
      </c>
      <c r="AC815" s="26">
        <f>IF(B815="","",ROUND(Y815-AB815,2))</f>
        <v>0</v>
      </c>
      <c r="AD815" s="38">
        <f>IF(B815="","",IF(C815="","No",IF(COUNTIFS($C$5:C815,C815)=1,"Yes","No")))</f>
        <v>0</v>
      </c>
      <c r="AE815" s="26">
        <f>IF(B815="","",ROUND(SUMIFS(Payments!$G$5:$G$1204,Payments!$H$5:$H$1204,A815,Payments!$Q$5:$Q$1204,"Yes"),2))</f>
        <v>0</v>
      </c>
      <c r="AF815" s="26">
        <f>IF(B815="","",IF(AD815="No",0,ROUND(SUMIFS(Payments!$G$5:$G$1204,Payments!$I$5:$I$1204,C815,Payments!$H$5:$H$1204,"",Payments!$Q$5:$Q$1204,"Yes"),2)))</f>
        <v>0</v>
      </c>
      <c r="AG815" s="26">
        <f>IF(B815="","",ROUND(AE815+AF815,2))</f>
        <v>0</v>
      </c>
      <c r="AH815" s="26">
        <f>IF(B815="","",ROUND(AA815-AG815,2))</f>
        <v>0</v>
      </c>
      <c r="AI815" s="39">
        <f>IF(B815="","",IF(AA815&lt;=0,"No charge",IF(AH815&lt;=0.004,"Paid",IF(AG815&lt;=0.004,"Unpaid","Part paid"))))</f>
        <v>0</v>
      </c>
      <c r="AJ815" s="38">
        <f>IF(B815="","",IF(H815&lt;&gt;"Service","",IF(D815="","No",IF(COUNTIFS($D$5:$D$1204,D815,$B$5:$B$1204,B815,$H$5:$H$1204,"Retail")&gt;0,"Yes","No"))))</f>
        <v>0</v>
      </c>
      <c r="AK815" s="25">
        <f>IF(B815="","",COUNTIFS($Y$5:$Y$1204,"&gt;"&amp;Y815)+COUNTIFS($Y$5:Y815,Y815))</f>
        <v>0</v>
      </c>
      <c r="AL815" s="39">
        <f>IF(B815="","",IF(H815="","Add - what kind of sale is this?",IF(IF(V815&lt;=0,P815="",FALSE),"Check - no price found for this item",IF(F815="","Assign - nobody credited",IF(AH815&gt;0.004,"Unpaid - balance outstanding",IF(AC815&lt;0,"Loss - sold below cost",IF(X815&gt;W815*0.5,"Check - more than half off","OK")))))))</f>
        <v>0</v>
      </c>
    </row>
    <row r="816" spans="1:38">
      <c r="A816" s="28">
        <f>IF(B816="","",SalePrefix&amp;TEXT(ROW()-4,"0000"))</f>
        <v>0</v>
      </c>
      <c r="E816" s="15">
        <f>IF(D816="","",IFERROR(INDEX(Clients!$B$5:$B$504,MATCH(D816,Clients!$A$5:$A$504,0)),"Walk-in"))</f>
        <v>0</v>
      </c>
      <c r="G816" s="15">
        <f>IF(F816="","",IFERROR(INDEX(Staff!$B$5:$B$44,MATCH(F816,Staff!$A$5:$A$44,0)),"House"))</f>
        <v>0</v>
      </c>
      <c r="R816" s="15">
        <f>IF(B816="","",TEXT(B816,"yyyy-mm"))</f>
        <v>0</v>
      </c>
      <c r="S816" s="25">
        <f>IF(B816="","",WEEKNUM(B816,2))</f>
        <v>0</v>
      </c>
      <c r="T816" s="37">
        <f>IF(B816="","",IF(K816="",1,K816))</f>
        <v>0</v>
      </c>
      <c r="U816" s="15">
        <f>IF(B816="","",IF(J816&lt;&gt;"",J816,IF(H816="Retail",IFERROR(INDEX(Inventory!$B$5:$B$304,MATCH(I816,Inventory!$A$5:$A$304,0))&amp;"","Not in Inventory"),IFERROR(INDEX(Services!$B$5:$B$204,MATCH(I816,Services!$A$5:$A$204,0))&amp;"","Not in Services"))))</f>
        <v>0</v>
      </c>
      <c r="V816" s="26">
        <f>IF(B816="","",IF(L816&lt;&gt;"",L816,IF(H816="Retail",IFERROR(INDEX(Inventory!$I$5:$I$304,MATCH(I816,Inventory!$A$5:$A$304,0))*1,0),IFERROR(INDEX(Services!$G$5:$G$204,MATCH(I816,Services!$A$5:$A$204,0))*1,0))))</f>
        <v>0</v>
      </c>
      <c r="W816" s="26">
        <f>IF(B816="","",ROUND(T816*V816,2))</f>
        <v>0</v>
      </c>
      <c r="X816" s="26">
        <f>IF(B816="","",ROUND(IF(M816="",0,W816*M816)+IF(N816="",0,N816),2))</f>
        <v>0</v>
      </c>
      <c r="Y816" s="26">
        <f>IF(B816="","",ROUND(W816-X816-IF(P816="",0,P816),2))</f>
        <v>0</v>
      </c>
      <c r="Z816" s="26">
        <f>IF(B816="","",IF(H816="Retail",IF(TaxOnRetail="Yes",ROUND(Y816*TaxRate,2),0),IF(H816="Service",IF(TaxOnServices="Yes",ROUND(Y816*TaxRate,2),0),0)))</f>
        <v>0</v>
      </c>
      <c r="AA816" s="26">
        <f>IF(B816="","",ROUND(Y816+Z816,2))</f>
        <v>0</v>
      </c>
      <c r="AB816" s="26">
        <f>IF(B816="","",ROUND(T816*IF(H816="Retail",IFERROR(INDEX(Inventory!$H$5:$H$304,MATCH(I816,Inventory!$A$5:$A$304,0))*1,0),IFERROR(INDEX(Services!$Q$5:$Q$204,MATCH(I816,Services!$A$5:$A$204,0))*1,0)),2))</f>
        <v>0</v>
      </c>
      <c r="AC816" s="26">
        <f>IF(B816="","",ROUND(Y816-AB816,2))</f>
        <v>0</v>
      </c>
      <c r="AD816" s="38">
        <f>IF(B816="","",IF(C816="","No",IF(COUNTIFS($C$5:C816,C816)=1,"Yes","No")))</f>
        <v>0</v>
      </c>
      <c r="AE816" s="26">
        <f>IF(B816="","",ROUND(SUMIFS(Payments!$G$5:$G$1204,Payments!$H$5:$H$1204,A816,Payments!$Q$5:$Q$1204,"Yes"),2))</f>
        <v>0</v>
      </c>
      <c r="AF816" s="26">
        <f>IF(B816="","",IF(AD816="No",0,ROUND(SUMIFS(Payments!$G$5:$G$1204,Payments!$I$5:$I$1204,C816,Payments!$H$5:$H$1204,"",Payments!$Q$5:$Q$1204,"Yes"),2)))</f>
        <v>0</v>
      </c>
      <c r="AG816" s="26">
        <f>IF(B816="","",ROUND(AE816+AF816,2))</f>
        <v>0</v>
      </c>
      <c r="AH816" s="26">
        <f>IF(B816="","",ROUND(AA816-AG816,2))</f>
        <v>0</v>
      </c>
      <c r="AI816" s="39">
        <f>IF(B816="","",IF(AA816&lt;=0,"No charge",IF(AH816&lt;=0.004,"Paid",IF(AG816&lt;=0.004,"Unpaid","Part paid"))))</f>
        <v>0</v>
      </c>
      <c r="AJ816" s="38">
        <f>IF(B816="","",IF(H816&lt;&gt;"Service","",IF(D816="","No",IF(COUNTIFS($D$5:$D$1204,D816,$B$5:$B$1204,B816,$H$5:$H$1204,"Retail")&gt;0,"Yes","No"))))</f>
        <v>0</v>
      </c>
      <c r="AK816" s="25">
        <f>IF(B816="","",COUNTIFS($Y$5:$Y$1204,"&gt;"&amp;Y816)+COUNTIFS($Y$5:Y816,Y816))</f>
        <v>0</v>
      </c>
      <c r="AL816" s="39">
        <f>IF(B816="","",IF(H816="","Add - what kind of sale is this?",IF(IF(V816&lt;=0,P816="",FALSE),"Check - no price found for this item",IF(F816="","Assign - nobody credited",IF(AH816&gt;0.004,"Unpaid - balance outstanding",IF(AC816&lt;0,"Loss - sold below cost",IF(X816&gt;W816*0.5,"Check - more than half off","OK")))))))</f>
        <v>0</v>
      </c>
    </row>
    <row r="817" spans="1:38">
      <c r="A817" s="28">
        <f>IF(B817="","",SalePrefix&amp;TEXT(ROW()-4,"0000"))</f>
        <v>0</v>
      </c>
      <c r="E817" s="15">
        <f>IF(D817="","",IFERROR(INDEX(Clients!$B$5:$B$504,MATCH(D817,Clients!$A$5:$A$504,0)),"Walk-in"))</f>
        <v>0</v>
      </c>
      <c r="G817" s="15">
        <f>IF(F817="","",IFERROR(INDEX(Staff!$B$5:$B$44,MATCH(F817,Staff!$A$5:$A$44,0)),"House"))</f>
        <v>0</v>
      </c>
      <c r="R817" s="15">
        <f>IF(B817="","",TEXT(B817,"yyyy-mm"))</f>
        <v>0</v>
      </c>
      <c r="S817" s="25">
        <f>IF(B817="","",WEEKNUM(B817,2))</f>
        <v>0</v>
      </c>
      <c r="T817" s="37">
        <f>IF(B817="","",IF(K817="",1,K817))</f>
        <v>0</v>
      </c>
      <c r="U817" s="15">
        <f>IF(B817="","",IF(J817&lt;&gt;"",J817,IF(H817="Retail",IFERROR(INDEX(Inventory!$B$5:$B$304,MATCH(I817,Inventory!$A$5:$A$304,0))&amp;"","Not in Inventory"),IFERROR(INDEX(Services!$B$5:$B$204,MATCH(I817,Services!$A$5:$A$204,0))&amp;"","Not in Services"))))</f>
        <v>0</v>
      </c>
      <c r="V817" s="26">
        <f>IF(B817="","",IF(L817&lt;&gt;"",L817,IF(H817="Retail",IFERROR(INDEX(Inventory!$I$5:$I$304,MATCH(I817,Inventory!$A$5:$A$304,0))*1,0),IFERROR(INDEX(Services!$G$5:$G$204,MATCH(I817,Services!$A$5:$A$204,0))*1,0))))</f>
        <v>0</v>
      </c>
      <c r="W817" s="26">
        <f>IF(B817="","",ROUND(T817*V817,2))</f>
        <v>0</v>
      </c>
      <c r="X817" s="26">
        <f>IF(B817="","",ROUND(IF(M817="",0,W817*M817)+IF(N817="",0,N817),2))</f>
        <v>0</v>
      </c>
      <c r="Y817" s="26">
        <f>IF(B817="","",ROUND(W817-X817-IF(P817="",0,P817),2))</f>
        <v>0</v>
      </c>
      <c r="Z817" s="26">
        <f>IF(B817="","",IF(H817="Retail",IF(TaxOnRetail="Yes",ROUND(Y817*TaxRate,2),0),IF(H817="Service",IF(TaxOnServices="Yes",ROUND(Y817*TaxRate,2),0),0)))</f>
        <v>0</v>
      </c>
      <c r="AA817" s="26">
        <f>IF(B817="","",ROUND(Y817+Z817,2))</f>
        <v>0</v>
      </c>
      <c r="AB817" s="26">
        <f>IF(B817="","",ROUND(T817*IF(H817="Retail",IFERROR(INDEX(Inventory!$H$5:$H$304,MATCH(I817,Inventory!$A$5:$A$304,0))*1,0),IFERROR(INDEX(Services!$Q$5:$Q$204,MATCH(I817,Services!$A$5:$A$204,0))*1,0)),2))</f>
        <v>0</v>
      </c>
      <c r="AC817" s="26">
        <f>IF(B817="","",ROUND(Y817-AB817,2))</f>
        <v>0</v>
      </c>
      <c r="AD817" s="38">
        <f>IF(B817="","",IF(C817="","No",IF(COUNTIFS($C$5:C817,C817)=1,"Yes","No")))</f>
        <v>0</v>
      </c>
      <c r="AE817" s="26">
        <f>IF(B817="","",ROUND(SUMIFS(Payments!$G$5:$G$1204,Payments!$H$5:$H$1204,A817,Payments!$Q$5:$Q$1204,"Yes"),2))</f>
        <v>0</v>
      </c>
      <c r="AF817" s="26">
        <f>IF(B817="","",IF(AD817="No",0,ROUND(SUMIFS(Payments!$G$5:$G$1204,Payments!$I$5:$I$1204,C817,Payments!$H$5:$H$1204,"",Payments!$Q$5:$Q$1204,"Yes"),2)))</f>
        <v>0</v>
      </c>
      <c r="AG817" s="26">
        <f>IF(B817="","",ROUND(AE817+AF817,2))</f>
        <v>0</v>
      </c>
      <c r="AH817" s="26">
        <f>IF(B817="","",ROUND(AA817-AG817,2))</f>
        <v>0</v>
      </c>
      <c r="AI817" s="39">
        <f>IF(B817="","",IF(AA817&lt;=0,"No charge",IF(AH817&lt;=0.004,"Paid",IF(AG817&lt;=0.004,"Unpaid","Part paid"))))</f>
        <v>0</v>
      </c>
      <c r="AJ817" s="38">
        <f>IF(B817="","",IF(H817&lt;&gt;"Service","",IF(D817="","No",IF(COUNTIFS($D$5:$D$1204,D817,$B$5:$B$1204,B817,$H$5:$H$1204,"Retail")&gt;0,"Yes","No"))))</f>
        <v>0</v>
      </c>
      <c r="AK817" s="25">
        <f>IF(B817="","",COUNTIFS($Y$5:$Y$1204,"&gt;"&amp;Y817)+COUNTIFS($Y$5:Y817,Y817))</f>
        <v>0</v>
      </c>
      <c r="AL817" s="39">
        <f>IF(B817="","",IF(H817="","Add - what kind of sale is this?",IF(IF(V817&lt;=0,P817="",FALSE),"Check - no price found for this item",IF(F817="","Assign - nobody credited",IF(AH817&gt;0.004,"Unpaid - balance outstanding",IF(AC817&lt;0,"Loss - sold below cost",IF(X817&gt;W817*0.5,"Check - more than half off","OK")))))))</f>
        <v>0</v>
      </c>
    </row>
    <row r="818" spans="1:38">
      <c r="A818" s="28">
        <f>IF(B818="","",SalePrefix&amp;TEXT(ROW()-4,"0000"))</f>
        <v>0</v>
      </c>
      <c r="E818" s="15">
        <f>IF(D818="","",IFERROR(INDEX(Clients!$B$5:$B$504,MATCH(D818,Clients!$A$5:$A$504,0)),"Walk-in"))</f>
        <v>0</v>
      </c>
      <c r="G818" s="15">
        <f>IF(F818="","",IFERROR(INDEX(Staff!$B$5:$B$44,MATCH(F818,Staff!$A$5:$A$44,0)),"House"))</f>
        <v>0</v>
      </c>
      <c r="R818" s="15">
        <f>IF(B818="","",TEXT(B818,"yyyy-mm"))</f>
        <v>0</v>
      </c>
      <c r="S818" s="25">
        <f>IF(B818="","",WEEKNUM(B818,2))</f>
        <v>0</v>
      </c>
      <c r="T818" s="37">
        <f>IF(B818="","",IF(K818="",1,K818))</f>
        <v>0</v>
      </c>
      <c r="U818" s="15">
        <f>IF(B818="","",IF(J818&lt;&gt;"",J818,IF(H818="Retail",IFERROR(INDEX(Inventory!$B$5:$B$304,MATCH(I818,Inventory!$A$5:$A$304,0))&amp;"","Not in Inventory"),IFERROR(INDEX(Services!$B$5:$B$204,MATCH(I818,Services!$A$5:$A$204,0))&amp;"","Not in Services"))))</f>
        <v>0</v>
      </c>
      <c r="V818" s="26">
        <f>IF(B818="","",IF(L818&lt;&gt;"",L818,IF(H818="Retail",IFERROR(INDEX(Inventory!$I$5:$I$304,MATCH(I818,Inventory!$A$5:$A$304,0))*1,0),IFERROR(INDEX(Services!$G$5:$G$204,MATCH(I818,Services!$A$5:$A$204,0))*1,0))))</f>
        <v>0</v>
      </c>
      <c r="W818" s="26">
        <f>IF(B818="","",ROUND(T818*V818,2))</f>
        <v>0</v>
      </c>
      <c r="X818" s="26">
        <f>IF(B818="","",ROUND(IF(M818="",0,W818*M818)+IF(N818="",0,N818),2))</f>
        <v>0</v>
      </c>
      <c r="Y818" s="26">
        <f>IF(B818="","",ROUND(W818-X818-IF(P818="",0,P818),2))</f>
        <v>0</v>
      </c>
      <c r="Z818" s="26">
        <f>IF(B818="","",IF(H818="Retail",IF(TaxOnRetail="Yes",ROUND(Y818*TaxRate,2),0),IF(H818="Service",IF(TaxOnServices="Yes",ROUND(Y818*TaxRate,2),0),0)))</f>
        <v>0</v>
      </c>
      <c r="AA818" s="26">
        <f>IF(B818="","",ROUND(Y818+Z818,2))</f>
        <v>0</v>
      </c>
      <c r="AB818" s="26">
        <f>IF(B818="","",ROUND(T818*IF(H818="Retail",IFERROR(INDEX(Inventory!$H$5:$H$304,MATCH(I818,Inventory!$A$5:$A$304,0))*1,0),IFERROR(INDEX(Services!$Q$5:$Q$204,MATCH(I818,Services!$A$5:$A$204,0))*1,0)),2))</f>
        <v>0</v>
      </c>
      <c r="AC818" s="26">
        <f>IF(B818="","",ROUND(Y818-AB818,2))</f>
        <v>0</v>
      </c>
      <c r="AD818" s="38">
        <f>IF(B818="","",IF(C818="","No",IF(COUNTIFS($C$5:C818,C818)=1,"Yes","No")))</f>
        <v>0</v>
      </c>
      <c r="AE818" s="26">
        <f>IF(B818="","",ROUND(SUMIFS(Payments!$G$5:$G$1204,Payments!$H$5:$H$1204,A818,Payments!$Q$5:$Q$1204,"Yes"),2))</f>
        <v>0</v>
      </c>
      <c r="AF818" s="26">
        <f>IF(B818="","",IF(AD818="No",0,ROUND(SUMIFS(Payments!$G$5:$G$1204,Payments!$I$5:$I$1204,C818,Payments!$H$5:$H$1204,"",Payments!$Q$5:$Q$1204,"Yes"),2)))</f>
        <v>0</v>
      </c>
      <c r="AG818" s="26">
        <f>IF(B818="","",ROUND(AE818+AF818,2))</f>
        <v>0</v>
      </c>
      <c r="AH818" s="26">
        <f>IF(B818="","",ROUND(AA818-AG818,2))</f>
        <v>0</v>
      </c>
      <c r="AI818" s="39">
        <f>IF(B818="","",IF(AA818&lt;=0,"No charge",IF(AH818&lt;=0.004,"Paid",IF(AG818&lt;=0.004,"Unpaid","Part paid"))))</f>
        <v>0</v>
      </c>
      <c r="AJ818" s="38">
        <f>IF(B818="","",IF(H818&lt;&gt;"Service","",IF(D818="","No",IF(COUNTIFS($D$5:$D$1204,D818,$B$5:$B$1204,B818,$H$5:$H$1204,"Retail")&gt;0,"Yes","No"))))</f>
        <v>0</v>
      </c>
      <c r="AK818" s="25">
        <f>IF(B818="","",COUNTIFS($Y$5:$Y$1204,"&gt;"&amp;Y818)+COUNTIFS($Y$5:Y818,Y818))</f>
        <v>0</v>
      </c>
      <c r="AL818" s="39">
        <f>IF(B818="","",IF(H818="","Add - what kind of sale is this?",IF(IF(V818&lt;=0,P818="",FALSE),"Check - no price found for this item",IF(F818="","Assign - nobody credited",IF(AH818&gt;0.004,"Unpaid - balance outstanding",IF(AC818&lt;0,"Loss - sold below cost",IF(X818&gt;W818*0.5,"Check - more than half off","OK")))))))</f>
        <v>0</v>
      </c>
    </row>
    <row r="819" spans="1:38">
      <c r="A819" s="28">
        <f>IF(B819="","",SalePrefix&amp;TEXT(ROW()-4,"0000"))</f>
        <v>0</v>
      </c>
      <c r="E819" s="15">
        <f>IF(D819="","",IFERROR(INDEX(Clients!$B$5:$B$504,MATCH(D819,Clients!$A$5:$A$504,0)),"Walk-in"))</f>
        <v>0</v>
      </c>
      <c r="G819" s="15">
        <f>IF(F819="","",IFERROR(INDEX(Staff!$B$5:$B$44,MATCH(F819,Staff!$A$5:$A$44,0)),"House"))</f>
        <v>0</v>
      </c>
      <c r="R819" s="15">
        <f>IF(B819="","",TEXT(B819,"yyyy-mm"))</f>
        <v>0</v>
      </c>
      <c r="S819" s="25">
        <f>IF(B819="","",WEEKNUM(B819,2))</f>
        <v>0</v>
      </c>
      <c r="T819" s="37">
        <f>IF(B819="","",IF(K819="",1,K819))</f>
        <v>0</v>
      </c>
      <c r="U819" s="15">
        <f>IF(B819="","",IF(J819&lt;&gt;"",J819,IF(H819="Retail",IFERROR(INDEX(Inventory!$B$5:$B$304,MATCH(I819,Inventory!$A$5:$A$304,0))&amp;"","Not in Inventory"),IFERROR(INDEX(Services!$B$5:$B$204,MATCH(I819,Services!$A$5:$A$204,0))&amp;"","Not in Services"))))</f>
        <v>0</v>
      </c>
      <c r="V819" s="26">
        <f>IF(B819="","",IF(L819&lt;&gt;"",L819,IF(H819="Retail",IFERROR(INDEX(Inventory!$I$5:$I$304,MATCH(I819,Inventory!$A$5:$A$304,0))*1,0),IFERROR(INDEX(Services!$G$5:$G$204,MATCH(I819,Services!$A$5:$A$204,0))*1,0))))</f>
        <v>0</v>
      </c>
      <c r="W819" s="26">
        <f>IF(B819="","",ROUND(T819*V819,2))</f>
        <v>0</v>
      </c>
      <c r="X819" s="26">
        <f>IF(B819="","",ROUND(IF(M819="",0,W819*M819)+IF(N819="",0,N819),2))</f>
        <v>0</v>
      </c>
      <c r="Y819" s="26">
        <f>IF(B819="","",ROUND(W819-X819-IF(P819="",0,P819),2))</f>
        <v>0</v>
      </c>
      <c r="Z819" s="26">
        <f>IF(B819="","",IF(H819="Retail",IF(TaxOnRetail="Yes",ROUND(Y819*TaxRate,2),0),IF(H819="Service",IF(TaxOnServices="Yes",ROUND(Y819*TaxRate,2),0),0)))</f>
        <v>0</v>
      </c>
      <c r="AA819" s="26">
        <f>IF(B819="","",ROUND(Y819+Z819,2))</f>
        <v>0</v>
      </c>
      <c r="AB819" s="26">
        <f>IF(B819="","",ROUND(T819*IF(H819="Retail",IFERROR(INDEX(Inventory!$H$5:$H$304,MATCH(I819,Inventory!$A$5:$A$304,0))*1,0),IFERROR(INDEX(Services!$Q$5:$Q$204,MATCH(I819,Services!$A$5:$A$204,0))*1,0)),2))</f>
        <v>0</v>
      </c>
      <c r="AC819" s="26">
        <f>IF(B819="","",ROUND(Y819-AB819,2))</f>
        <v>0</v>
      </c>
      <c r="AD819" s="38">
        <f>IF(B819="","",IF(C819="","No",IF(COUNTIFS($C$5:C819,C819)=1,"Yes","No")))</f>
        <v>0</v>
      </c>
      <c r="AE819" s="26">
        <f>IF(B819="","",ROUND(SUMIFS(Payments!$G$5:$G$1204,Payments!$H$5:$H$1204,A819,Payments!$Q$5:$Q$1204,"Yes"),2))</f>
        <v>0</v>
      </c>
      <c r="AF819" s="26">
        <f>IF(B819="","",IF(AD819="No",0,ROUND(SUMIFS(Payments!$G$5:$G$1204,Payments!$I$5:$I$1204,C819,Payments!$H$5:$H$1204,"",Payments!$Q$5:$Q$1204,"Yes"),2)))</f>
        <v>0</v>
      </c>
      <c r="AG819" s="26">
        <f>IF(B819="","",ROUND(AE819+AF819,2))</f>
        <v>0</v>
      </c>
      <c r="AH819" s="26">
        <f>IF(B819="","",ROUND(AA819-AG819,2))</f>
        <v>0</v>
      </c>
      <c r="AI819" s="39">
        <f>IF(B819="","",IF(AA819&lt;=0,"No charge",IF(AH819&lt;=0.004,"Paid",IF(AG819&lt;=0.004,"Unpaid","Part paid"))))</f>
        <v>0</v>
      </c>
      <c r="AJ819" s="38">
        <f>IF(B819="","",IF(H819&lt;&gt;"Service","",IF(D819="","No",IF(COUNTIFS($D$5:$D$1204,D819,$B$5:$B$1204,B819,$H$5:$H$1204,"Retail")&gt;0,"Yes","No"))))</f>
        <v>0</v>
      </c>
      <c r="AK819" s="25">
        <f>IF(B819="","",COUNTIFS($Y$5:$Y$1204,"&gt;"&amp;Y819)+COUNTIFS($Y$5:Y819,Y819))</f>
        <v>0</v>
      </c>
      <c r="AL819" s="39">
        <f>IF(B819="","",IF(H819="","Add - what kind of sale is this?",IF(IF(V819&lt;=0,P819="",FALSE),"Check - no price found for this item",IF(F819="","Assign - nobody credited",IF(AH819&gt;0.004,"Unpaid - balance outstanding",IF(AC819&lt;0,"Loss - sold below cost",IF(X819&gt;W819*0.5,"Check - more than half off","OK")))))))</f>
        <v>0</v>
      </c>
    </row>
    <row r="820" spans="1:38">
      <c r="A820" s="28">
        <f>IF(B820="","",SalePrefix&amp;TEXT(ROW()-4,"0000"))</f>
        <v>0</v>
      </c>
      <c r="E820" s="15">
        <f>IF(D820="","",IFERROR(INDEX(Clients!$B$5:$B$504,MATCH(D820,Clients!$A$5:$A$504,0)),"Walk-in"))</f>
        <v>0</v>
      </c>
      <c r="G820" s="15">
        <f>IF(F820="","",IFERROR(INDEX(Staff!$B$5:$B$44,MATCH(F820,Staff!$A$5:$A$44,0)),"House"))</f>
        <v>0</v>
      </c>
      <c r="R820" s="15">
        <f>IF(B820="","",TEXT(B820,"yyyy-mm"))</f>
        <v>0</v>
      </c>
      <c r="S820" s="25">
        <f>IF(B820="","",WEEKNUM(B820,2))</f>
        <v>0</v>
      </c>
      <c r="T820" s="37">
        <f>IF(B820="","",IF(K820="",1,K820))</f>
        <v>0</v>
      </c>
      <c r="U820" s="15">
        <f>IF(B820="","",IF(J820&lt;&gt;"",J820,IF(H820="Retail",IFERROR(INDEX(Inventory!$B$5:$B$304,MATCH(I820,Inventory!$A$5:$A$304,0))&amp;"","Not in Inventory"),IFERROR(INDEX(Services!$B$5:$B$204,MATCH(I820,Services!$A$5:$A$204,0))&amp;"","Not in Services"))))</f>
        <v>0</v>
      </c>
      <c r="V820" s="26">
        <f>IF(B820="","",IF(L820&lt;&gt;"",L820,IF(H820="Retail",IFERROR(INDEX(Inventory!$I$5:$I$304,MATCH(I820,Inventory!$A$5:$A$304,0))*1,0),IFERROR(INDEX(Services!$G$5:$G$204,MATCH(I820,Services!$A$5:$A$204,0))*1,0))))</f>
        <v>0</v>
      </c>
      <c r="W820" s="26">
        <f>IF(B820="","",ROUND(T820*V820,2))</f>
        <v>0</v>
      </c>
      <c r="X820" s="26">
        <f>IF(B820="","",ROUND(IF(M820="",0,W820*M820)+IF(N820="",0,N820),2))</f>
        <v>0</v>
      </c>
      <c r="Y820" s="26">
        <f>IF(B820="","",ROUND(W820-X820-IF(P820="",0,P820),2))</f>
        <v>0</v>
      </c>
      <c r="Z820" s="26">
        <f>IF(B820="","",IF(H820="Retail",IF(TaxOnRetail="Yes",ROUND(Y820*TaxRate,2),0),IF(H820="Service",IF(TaxOnServices="Yes",ROUND(Y820*TaxRate,2),0),0)))</f>
        <v>0</v>
      </c>
      <c r="AA820" s="26">
        <f>IF(B820="","",ROUND(Y820+Z820,2))</f>
        <v>0</v>
      </c>
      <c r="AB820" s="26">
        <f>IF(B820="","",ROUND(T820*IF(H820="Retail",IFERROR(INDEX(Inventory!$H$5:$H$304,MATCH(I820,Inventory!$A$5:$A$304,0))*1,0),IFERROR(INDEX(Services!$Q$5:$Q$204,MATCH(I820,Services!$A$5:$A$204,0))*1,0)),2))</f>
        <v>0</v>
      </c>
      <c r="AC820" s="26">
        <f>IF(B820="","",ROUND(Y820-AB820,2))</f>
        <v>0</v>
      </c>
      <c r="AD820" s="38">
        <f>IF(B820="","",IF(C820="","No",IF(COUNTIFS($C$5:C820,C820)=1,"Yes","No")))</f>
        <v>0</v>
      </c>
      <c r="AE820" s="26">
        <f>IF(B820="","",ROUND(SUMIFS(Payments!$G$5:$G$1204,Payments!$H$5:$H$1204,A820,Payments!$Q$5:$Q$1204,"Yes"),2))</f>
        <v>0</v>
      </c>
      <c r="AF820" s="26">
        <f>IF(B820="","",IF(AD820="No",0,ROUND(SUMIFS(Payments!$G$5:$G$1204,Payments!$I$5:$I$1204,C820,Payments!$H$5:$H$1204,"",Payments!$Q$5:$Q$1204,"Yes"),2)))</f>
        <v>0</v>
      </c>
      <c r="AG820" s="26">
        <f>IF(B820="","",ROUND(AE820+AF820,2))</f>
        <v>0</v>
      </c>
      <c r="AH820" s="26">
        <f>IF(B820="","",ROUND(AA820-AG820,2))</f>
        <v>0</v>
      </c>
      <c r="AI820" s="39">
        <f>IF(B820="","",IF(AA820&lt;=0,"No charge",IF(AH820&lt;=0.004,"Paid",IF(AG820&lt;=0.004,"Unpaid","Part paid"))))</f>
        <v>0</v>
      </c>
      <c r="AJ820" s="38">
        <f>IF(B820="","",IF(H820&lt;&gt;"Service","",IF(D820="","No",IF(COUNTIFS($D$5:$D$1204,D820,$B$5:$B$1204,B820,$H$5:$H$1204,"Retail")&gt;0,"Yes","No"))))</f>
        <v>0</v>
      </c>
      <c r="AK820" s="25">
        <f>IF(B820="","",COUNTIFS($Y$5:$Y$1204,"&gt;"&amp;Y820)+COUNTIFS($Y$5:Y820,Y820))</f>
        <v>0</v>
      </c>
      <c r="AL820" s="39">
        <f>IF(B820="","",IF(H820="","Add - what kind of sale is this?",IF(IF(V820&lt;=0,P820="",FALSE),"Check - no price found for this item",IF(F820="","Assign - nobody credited",IF(AH820&gt;0.004,"Unpaid - balance outstanding",IF(AC820&lt;0,"Loss - sold below cost",IF(X820&gt;W820*0.5,"Check - more than half off","OK")))))))</f>
        <v>0</v>
      </c>
    </row>
    <row r="821" spans="1:38">
      <c r="A821" s="28">
        <f>IF(B821="","",SalePrefix&amp;TEXT(ROW()-4,"0000"))</f>
        <v>0</v>
      </c>
      <c r="E821" s="15">
        <f>IF(D821="","",IFERROR(INDEX(Clients!$B$5:$B$504,MATCH(D821,Clients!$A$5:$A$504,0)),"Walk-in"))</f>
        <v>0</v>
      </c>
      <c r="G821" s="15">
        <f>IF(F821="","",IFERROR(INDEX(Staff!$B$5:$B$44,MATCH(F821,Staff!$A$5:$A$44,0)),"House"))</f>
        <v>0</v>
      </c>
      <c r="R821" s="15">
        <f>IF(B821="","",TEXT(B821,"yyyy-mm"))</f>
        <v>0</v>
      </c>
      <c r="S821" s="25">
        <f>IF(B821="","",WEEKNUM(B821,2))</f>
        <v>0</v>
      </c>
      <c r="T821" s="37">
        <f>IF(B821="","",IF(K821="",1,K821))</f>
        <v>0</v>
      </c>
      <c r="U821" s="15">
        <f>IF(B821="","",IF(J821&lt;&gt;"",J821,IF(H821="Retail",IFERROR(INDEX(Inventory!$B$5:$B$304,MATCH(I821,Inventory!$A$5:$A$304,0))&amp;"","Not in Inventory"),IFERROR(INDEX(Services!$B$5:$B$204,MATCH(I821,Services!$A$5:$A$204,0))&amp;"","Not in Services"))))</f>
        <v>0</v>
      </c>
      <c r="V821" s="26">
        <f>IF(B821="","",IF(L821&lt;&gt;"",L821,IF(H821="Retail",IFERROR(INDEX(Inventory!$I$5:$I$304,MATCH(I821,Inventory!$A$5:$A$304,0))*1,0),IFERROR(INDEX(Services!$G$5:$G$204,MATCH(I821,Services!$A$5:$A$204,0))*1,0))))</f>
        <v>0</v>
      </c>
      <c r="W821" s="26">
        <f>IF(B821="","",ROUND(T821*V821,2))</f>
        <v>0</v>
      </c>
      <c r="X821" s="26">
        <f>IF(B821="","",ROUND(IF(M821="",0,W821*M821)+IF(N821="",0,N821),2))</f>
        <v>0</v>
      </c>
      <c r="Y821" s="26">
        <f>IF(B821="","",ROUND(W821-X821-IF(P821="",0,P821),2))</f>
        <v>0</v>
      </c>
      <c r="Z821" s="26">
        <f>IF(B821="","",IF(H821="Retail",IF(TaxOnRetail="Yes",ROUND(Y821*TaxRate,2),0),IF(H821="Service",IF(TaxOnServices="Yes",ROUND(Y821*TaxRate,2),0),0)))</f>
        <v>0</v>
      </c>
      <c r="AA821" s="26">
        <f>IF(B821="","",ROUND(Y821+Z821,2))</f>
        <v>0</v>
      </c>
      <c r="AB821" s="26">
        <f>IF(B821="","",ROUND(T821*IF(H821="Retail",IFERROR(INDEX(Inventory!$H$5:$H$304,MATCH(I821,Inventory!$A$5:$A$304,0))*1,0),IFERROR(INDEX(Services!$Q$5:$Q$204,MATCH(I821,Services!$A$5:$A$204,0))*1,0)),2))</f>
        <v>0</v>
      </c>
      <c r="AC821" s="26">
        <f>IF(B821="","",ROUND(Y821-AB821,2))</f>
        <v>0</v>
      </c>
      <c r="AD821" s="38">
        <f>IF(B821="","",IF(C821="","No",IF(COUNTIFS($C$5:C821,C821)=1,"Yes","No")))</f>
        <v>0</v>
      </c>
      <c r="AE821" s="26">
        <f>IF(B821="","",ROUND(SUMIFS(Payments!$G$5:$G$1204,Payments!$H$5:$H$1204,A821,Payments!$Q$5:$Q$1204,"Yes"),2))</f>
        <v>0</v>
      </c>
      <c r="AF821" s="26">
        <f>IF(B821="","",IF(AD821="No",0,ROUND(SUMIFS(Payments!$G$5:$G$1204,Payments!$I$5:$I$1204,C821,Payments!$H$5:$H$1204,"",Payments!$Q$5:$Q$1204,"Yes"),2)))</f>
        <v>0</v>
      </c>
      <c r="AG821" s="26">
        <f>IF(B821="","",ROUND(AE821+AF821,2))</f>
        <v>0</v>
      </c>
      <c r="AH821" s="26">
        <f>IF(B821="","",ROUND(AA821-AG821,2))</f>
        <v>0</v>
      </c>
      <c r="AI821" s="39">
        <f>IF(B821="","",IF(AA821&lt;=0,"No charge",IF(AH821&lt;=0.004,"Paid",IF(AG821&lt;=0.004,"Unpaid","Part paid"))))</f>
        <v>0</v>
      </c>
      <c r="AJ821" s="38">
        <f>IF(B821="","",IF(H821&lt;&gt;"Service","",IF(D821="","No",IF(COUNTIFS($D$5:$D$1204,D821,$B$5:$B$1204,B821,$H$5:$H$1204,"Retail")&gt;0,"Yes","No"))))</f>
        <v>0</v>
      </c>
      <c r="AK821" s="25">
        <f>IF(B821="","",COUNTIFS($Y$5:$Y$1204,"&gt;"&amp;Y821)+COUNTIFS($Y$5:Y821,Y821))</f>
        <v>0</v>
      </c>
      <c r="AL821" s="39">
        <f>IF(B821="","",IF(H821="","Add - what kind of sale is this?",IF(IF(V821&lt;=0,P821="",FALSE),"Check - no price found for this item",IF(F821="","Assign - nobody credited",IF(AH821&gt;0.004,"Unpaid - balance outstanding",IF(AC821&lt;0,"Loss - sold below cost",IF(X821&gt;W821*0.5,"Check - more than half off","OK")))))))</f>
        <v>0</v>
      </c>
    </row>
    <row r="822" spans="1:38">
      <c r="A822" s="28">
        <f>IF(B822="","",SalePrefix&amp;TEXT(ROW()-4,"0000"))</f>
        <v>0</v>
      </c>
      <c r="E822" s="15">
        <f>IF(D822="","",IFERROR(INDEX(Clients!$B$5:$B$504,MATCH(D822,Clients!$A$5:$A$504,0)),"Walk-in"))</f>
        <v>0</v>
      </c>
      <c r="G822" s="15">
        <f>IF(F822="","",IFERROR(INDEX(Staff!$B$5:$B$44,MATCH(F822,Staff!$A$5:$A$44,0)),"House"))</f>
        <v>0</v>
      </c>
      <c r="R822" s="15">
        <f>IF(B822="","",TEXT(B822,"yyyy-mm"))</f>
        <v>0</v>
      </c>
      <c r="S822" s="25">
        <f>IF(B822="","",WEEKNUM(B822,2))</f>
        <v>0</v>
      </c>
      <c r="T822" s="37">
        <f>IF(B822="","",IF(K822="",1,K822))</f>
        <v>0</v>
      </c>
      <c r="U822" s="15">
        <f>IF(B822="","",IF(J822&lt;&gt;"",J822,IF(H822="Retail",IFERROR(INDEX(Inventory!$B$5:$B$304,MATCH(I822,Inventory!$A$5:$A$304,0))&amp;"","Not in Inventory"),IFERROR(INDEX(Services!$B$5:$B$204,MATCH(I822,Services!$A$5:$A$204,0))&amp;"","Not in Services"))))</f>
        <v>0</v>
      </c>
      <c r="V822" s="26">
        <f>IF(B822="","",IF(L822&lt;&gt;"",L822,IF(H822="Retail",IFERROR(INDEX(Inventory!$I$5:$I$304,MATCH(I822,Inventory!$A$5:$A$304,0))*1,0),IFERROR(INDEX(Services!$G$5:$G$204,MATCH(I822,Services!$A$5:$A$204,0))*1,0))))</f>
        <v>0</v>
      </c>
      <c r="W822" s="26">
        <f>IF(B822="","",ROUND(T822*V822,2))</f>
        <v>0</v>
      </c>
      <c r="X822" s="26">
        <f>IF(B822="","",ROUND(IF(M822="",0,W822*M822)+IF(N822="",0,N822),2))</f>
        <v>0</v>
      </c>
      <c r="Y822" s="26">
        <f>IF(B822="","",ROUND(W822-X822-IF(P822="",0,P822),2))</f>
        <v>0</v>
      </c>
      <c r="Z822" s="26">
        <f>IF(B822="","",IF(H822="Retail",IF(TaxOnRetail="Yes",ROUND(Y822*TaxRate,2),0),IF(H822="Service",IF(TaxOnServices="Yes",ROUND(Y822*TaxRate,2),0),0)))</f>
        <v>0</v>
      </c>
      <c r="AA822" s="26">
        <f>IF(B822="","",ROUND(Y822+Z822,2))</f>
        <v>0</v>
      </c>
      <c r="AB822" s="26">
        <f>IF(B822="","",ROUND(T822*IF(H822="Retail",IFERROR(INDEX(Inventory!$H$5:$H$304,MATCH(I822,Inventory!$A$5:$A$304,0))*1,0),IFERROR(INDEX(Services!$Q$5:$Q$204,MATCH(I822,Services!$A$5:$A$204,0))*1,0)),2))</f>
        <v>0</v>
      </c>
      <c r="AC822" s="26">
        <f>IF(B822="","",ROUND(Y822-AB822,2))</f>
        <v>0</v>
      </c>
      <c r="AD822" s="38">
        <f>IF(B822="","",IF(C822="","No",IF(COUNTIFS($C$5:C822,C822)=1,"Yes","No")))</f>
        <v>0</v>
      </c>
      <c r="AE822" s="26">
        <f>IF(B822="","",ROUND(SUMIFS(Payments!$G$5:$G$1204,Payments!$H$5:$H$1204,A822,Payments!$Q$5:$Q$1204,"Yes"),2))</f>
        <v>0</v>
      </c>
      <c r="AF822" s="26">
        <f>IF(B822="","",IF(AD822="No",0,ROUND(SUMIFS(Payments!$G$5:$G$1204,Payments!$I$5:$I$1204,C822,Payments!$H$5:$H$1204,"",Payments!$Q$5:$Q$1204,"Yes"),2)))</f>
        <v>0</v>
      </c>
      <c r="AG822" s="26">
        <f>IF(B822="","",ROUND(AE822+AF822,2))</f>
        <v>0</v>
      </c>
      <c r="AH822" s="26">
        <f>IF(B822="","",ROUND(AA822-AG822,2))</f>
        <v>0</v>
      </c>
      <c r="AI822" s="39">
        <f>IF(B822="","",IF(AA822&lt;=0,"No charge",IF(AH822&lt;=0.004,"Paid",IF(AG822&lt;=0.004,"Unpaid","Part paid"))))</f>
        <v>0</v>
      </c>
      <c r="AJ822" s="38">
        <f>IF(B822="","",IF(H822&lt;&gt;"Service","",IF(D822="","No",IF(COUNTIFS($D$5:$D$1204,D822,$B$5:$B$1204,B822,$H$5:$H$1204,"Retail")&gt;0,"Yes","No"))))</f>
        <v>0</v>
      </c>
      <c r="AK822" s="25">
        <f>IF(B822="","",COUNTIFS($Y$5:$Y$1204,"&gt;"&amp;Y822)+COUNTIFS($Y$5:Y822,Y822))</f>
        <v>0</v>
      </c>
      <c r="AL822" s="39">
        <f>IF(B822="","",IF(H822="","Add - what kind of sale is this?",IF(IF(V822&lt;=0,P822="",FALSE),"Check - no price found for this item",IF(F822="","Assign - nobody credited",IF(AH822&gt;0.004,"Unpaid - balance outstanding",IF(AC822&lt;0,"Loss - sold below cost",IF(X822&gt;W822*0.5,"Check - more than half off","OK")))))))</f>
        <v>0</v>
      </c>
    </row>
    <row r="823" spans="1:38">
      <c r="A823" s="28">
        <f>IF(B823="","",SalePrefix&amp;TEXT(ROW()-4,"0000"))</f>
        <v>0</v>
      </c>
      <c r="E823" s="15">
        <f>IF(D823="","",IFERROR(INDEX(Clients!$B$5:$B$504,MATCH(D823,Clients!$A$5:$A$504,0)),"Walk-in"))</f>
        <v>0</v>
      </c>
      <c r="G823" s="15">
        <f>IF(F823="","",IFERROR(INDEX(Staff!$B$5:$B$44,MATCH(F823,Staff!$A$5:$A$44,0)),"House"))</f>
        <v>0</v>
      </c>
      <c r="R823" s="15">
        <f>IF(B823="","",TEXT(B823,"yyyy-mm"))</f>
        <v>0</v>
      </c>
      <c r="S823" s="25">
        <f>IF(B823="","",WEEKNUM(B823,2))</f>
        <v>0</v>
      </c>
      <c r="T823" s="37">
        <f>IF(B823="","",IF(K823="",1,K823))</f>
        <v>0</v>
      </c>
      <c r="U823" s="15">
        <f>IF(B823="","",IF(J823&lt;&gt;"",J823,IF(H823="Retail",IFERROR(INDEX(Inventory!$B$5:$B$304,MATCH(I823,Inventory!$A$5:$A$304,0))&amp;"","Not in Inventory"),IFERROR(INDEX(Services!$B$5:$B$204,MATCH(I823,Services!$A$5:$A$204,0))&amp;"","Not in Services"))))</f>
        <v>0</v>
      </c>
      <c r="V823" s="26">
        <f>IF(B823="","",IF(L823&lt;&gt;"",L823,IF(H823="Retail",IFERROR(INDEX(Inventory!$I$5:$I$304,MATCH(I823,Inventory!$A$5:$A$304,0))*1,0),IFERROR(INDEX(Services!$G$5:$G$204,MATCH(I823,Services!$A$5:$A$204,0))*1,0))))</f>
        <v>0</v>
      </c>
      <c r="W823" s="26">
        <f>IF(B823="","",ROUND(T823*V823,2))</f>
        <v>0</v>
      </c>
      <c r="X823" s="26">
        <f>IF(B823="","",ROUND(IF(M823="",0,W823*M823)+IF(N823="",0,N823),2))</f>
        <v>0</v>
      </c>
      <c r="Y823" s="26">
        <f>IF(B823="","",ROUND(W823-X823-IF(P823="",0,P823),2))</f>
        <v>0</v>
      </c>
      <c r="Z823" s="26">
        <f>IF(B823="","",IF(H823="Retail",IF(TaxOnRetail="Yes",ROUND(Y823*TaxRate,2),0),IF(H823="Service",IF(TaxOnServices="Yes",ROUND(Y823*TaxRate,2),0),0)))</f>
        <v>0</v>
      </c>
      <c r="AA823" s="26">
        <f>IF(B823="","",ROUND(Y823+Z823,2))</f>
        <v>0</v>
      </c>
      <c r="AB823" s="26">
        <f>IF(B823="","",ROUND(T823*IF(H823="Retail",IFERROR(INDEX(Inventory!$H$5:$H$304,MATCH(I823,Inventory!$A$5:$A$304,0))*1,0),IFERROR(INDEX(Services!$Q$5:$Q$204,MATCH(I823,Services!$A$5:$A$204,0))*1,0)),2))</f>
        <v>0</v>
      </c>
      <c r="AC823" s="26">
        <f>IF(B823="","",ROUND(Y823-AB823,2))</f>
        <v>0</v>
      </c>
      <c r="AD823" s="38">
        <f>IF(B823="","",IF(C823="","No",IF(COUNTIFS($C$5:C823,C823)=1,"Yes","No")))</f>
        <v>0</v>
      </c>
      <c r="AE823" s="26">
        <f>IF(B823="","",ROUND(SUMIFS(Payments!$G$5:$G$1204,Payments!$H$5:$H$1204,A823,Payments!$Q$5:$Q$1204,"Yes"),2))</f>
        <v>0</v>
      </c>
      <c r="AF823" s="26">
        <f>IF(B823="","",IF(AD823="No",0,ROUND(SUMIFS(Payments!$G$5:$G$1204,Payments!$I$5:$I$1204,C823,Payments!$H$5:$H$1204,"",Payments!$Q$5:$Q$1204,"Yes"),2)))</f>
        <v>0</v>
      </c>
      <c r="AG823" s="26">
        <f>IF(B823="","",ROUND(AE823+AF823,2))</f>
        <v>0</v>
      </c>
      <c r="AH823" s="26">
        <f>IF(B823="","",ROUND(AA823-AG823,2))</f>
        <v>0</v>
      </c>
      <c r="AI823" s="39">
        <f>IF(B823="","",IF(AA823&lt;=0,"No charge",IF(AH823&lt;=0.004,"Paid",IF(AG823&lt;=0.004,"Unpaid","Part paid"))))</f>
        <v>0</v>
      </c>
      <c r="AJ823" s="38">
        <f>IF(B823="","",IF(H823&lt;&gt;"Service","",IF(D823="","No",IF(COUNTIFS($D$5:$D$1204,D823,$B$5:$B$1204,B823,$H$5:$H$1204,"Retail")&gt;0,"Yes","No"))))</f>
        <v>0</v>
      </c>
      <c r="AK823" s="25">
        <f>IF(B823="","",COUNTIFS($Y$5:$Y$1204,"&gt;"&amp;Y823)+COUNTIFS($Y$5:Y823,Y823))</f>
        <v>0</v>
      </c>
      <c r="AL823" s="39">
        <f>IF(B823="","",IF(H823="","Add - what kind of sale is this?",IF(IF(V823&lt;=0,P823="",FALSE),"Check - no price found for this item",IF(F823="","Assign - nobody credited",IF(AH823&gt;0.004,"Unpaid - balance outstanding",IF(AC823&lt;0,"Loss - sold below cost",IF(X823&gt;W823*0.5,"Check - more than half off","OK")))))))</f>
        <v>0</v>
      </c>
    </row>
    <row r="824" spans="1:38">
      <c r="A824" s="28">
        <f>IF(B824="","",SalePrefix&amp;TEXT(ROW()-4,"0000"))</f>
        <v>0</v>
      </c>
      <c r="E824" s="15">
        <f>IF(D824="","",IFERROR(INDEX(Clients!$B$5:$B$504,MATCH(D824,Clients!$A$5:$A$504,0)),"Walk-in"))</f>
        <v>0</v>
      </c>
      <c r="G824" s="15">
        <f>IF(F824="","",IFERROR(INDEX(Staff!$B$5:$B$44,MATCH(F824,Staff!$A$5:$A$44,0)),"House"))</f>
        <v>0</v>
      </c>
      <c r="R824" s="15">
        <f>IF(B824="","",TEXT(B824,"yyyy-mm"))</f>
        <v>0</v>
      </c>
      <c r="S824" s="25">
        <f>IF(B824="","",WEEKNUM(B824,2))</f>
        <v>0</v>
      </c>
      <c r="T824" s="37">
        <f>IF(B824="","",IF(K824="",1,K824))</f>
        <v>0</v>
      </c>
      <c r="U824" s="15">
        <f>IF(B824="","",IF(J824&lt;&gt;"",J824,IF(H824="Retail",IFERROR(INDEX(Inventory!$B$5:$B$304,MATCH(I824,Inventory!$A$5:$A$304,0))&amp;"","Not in Inventory"),IFERROR(INDEX(Services!$B$5:$B$204,MATCH(I824,Services!$A$5:$A$204,0))&amp;"","Not in Services"))))</f>
        <v>0</v>
      </c>
      <c r="V824" s="26">
        <f>IF(B824="","",IF(L824&lt;&gt;"",L824,IF(H824="Retail",IFERROR(INDEX(Inventory!$I$5:$I$304,MATCH(I824,Inventory!$A$5:$A$304,0))*1,0),IFERROR(INDEX(Services!$G$5:$G$204,MATCH(I824,Services!$A$5:$A$204,0))*1,0))))</f>
        <v>0</v>
      </c>
      <c r="W824" s="26">
        <f>IF(B824="","",ROUND(T824*V824,2))</f>
        <v>0</v>
      </c>
      <c r="X824" s="26">
        <f>IF(B824="","",ROUND(IF(M824="",0,W824*M824)+IF(N824="",0,N824),2))</f>
        <v>0</v>
      </c>
      <c r="Y824" s="26">
        <f>IF(B824="","",ROUND(W824-X824-IF(P824="",0,P824),2))</f>
        <v>0</v>
      </c>
      <c r="Z824" s="26">
        <f>IF(B824="","",IF(H824="Retail",IF(TaxOnRetail="Yes",ROUND(Y824*TaxRate,2),0),IF(H824="Service",IF(TaxOnServices="Yes",ROUND(Y824*TaxRate,2),0),0)))</f>
        <v>0</v>
      </c>
      <c r="AA824" s="26">
        <f>IF(B824="","",ROUND(Y824+Z824,2))</f>
        <v>0</v>
      </c>
      <c r="AB824" s="26">
        <f>IF(B824="","",ROUND(T824*IF(H824="Retail",IFERROR(INDEX(Inventory!$H$5:$H$304,MATCH(I824,Inventory!$A$5:$A$304,0))*1,0),IFERROR(INDEX(Services!$Q$5:$Q$204,MATCH(I824,Services!$A$5:$A$204,0))*1,0)),2))</f>
        <v>0</v>
      </c>
      <c r="AC824" s="26">
        <f>IF(B824="","",ROUND(Y824-AB824,2))</f>
        <v>0</v>
      </c>
      <c r="AD824" s="38">
        <f>IF(B824="","",IF(C824="","No",IF(COUNTIFS($C$5:C824,C824)=1,"Yes","No")))</f>
        <v>0</v>
      </c>
      <c r="AE824" s="26">
        <f>IF(B824="","",ROUND(SUMIFS(Payments!$G$5:$G$1204,Payments!$H$5:$H$1204,A824,Payments!$Q$5:$Q$1204,"Yes"),2))</f>
        <v>0</v>
      </c>
      <c r="AF824" s="26">
        <f>IF(B824="","",IF(AD824="No",0,ROUND(SUMIFS(Payments!$G$5:$G$1204,Payments!$I$5:$I$1204,C824,Payments!$H$5:$H$1204,"",Payments!$Q$5:$Q$1204,"Yes"),2)))</f>
        <v>0</v>
      </c>
      <c r="AG824" s="26">
        <f>IF(B824="","",ROUND(AE824+AF824,2))</f>
        <v>0</v>
      </c>
      <c r="AH824" s="26">
        <f>IF(B824="","",ROUND(AA824-AG824,2))</f>
        <v>0</v>
      </c>
      <c r="AI824" s="39">
        <f>IF(B824="","",IF(AA824&lt;=0,"No charge",IF(AH824&lt;=0.004,"Paid",IF(AG824&lt;=0.004,"Unpaid","Part paid"))))</f>
        <v>0</v>
      </c>
      <c r="AJ824" s="38">
        <f>IF(B824="","",IF(H824&lt;&gt;"Service","",IF(D824="","No",IF(COUNTIFS($D$5:$D$1204,D824,$B$5:$B$1204,B824,$H$5:$H$1204,"Retail")&gt;0,"Yes","No"))))</f>
        <v>0</v>
      </c>
      <c r="AK824" s="25">
        <f>IF(B824="","",COUNTIFS($Y$5:$Y$1204,"&gt;"&amp;Y824)+COUNTIFS($Y$5:Y824,Y824))</f>
        <v>0</v>
      </c>
      <c r="AL824" s="39">
        <f>IF(B824="","",IF(H824="","Add - what kind of sale is this?",IF(IF(V824&lt;=0,P824="",FALSE),"Check - no price found for this item",IF(F824="","Assign - nobody credited",IF(AH824&gt;0.004,"Unpaid - balance outstanding",IF(AC824&lt;0,"Loss - sold below cost",IF(X824&gt;W824*0.5,"Check - more than half off","OK")))))))</f>
        <v>0</v>
      </c>
    </row>
    <row r="825" spans="1:38">
      <c r="A825" s="28">
        <f>IF(B825="","",SalePrefix&amp;TEXT(ROW()-4,"0000"))</f>
        <v>0</v>
      </c>
      <c r="E825" s="15">
        <f>IF(D825="","",IFERROR(INDEX(Clients!$B$5:$B$504,MATCH(D825,Clients!$A$5:$A$504,0)),"Walk-in"))</f>
        <v>0</v>
      </c>
      <c r="G825" s="15">
        <f>IF(F825="","",IFERROR(INDEX(Staff!$B$5:$B$44,MATCH(F825,Staff!$A$5:$A$44,0)),"House"))</f>
        <v>0</v>
      </c>
      <c r="R825" s="15">
        <f>IF(B825="","",TEXT(B825,"yyyy-mm"))</f>
        <v>0</v>
      </c>
      <c r="S825" s="25">
        <f>IF(B825="","",WEEKNUM(B825,2))</f>
        <v>0</v>
      </c>
      <c r="T825" s="37">
        <f>IF(B825="","",IF(K825="",1,K825))</f>
        <v>0</v>
      </c>
      <c r="U825" s="15">
        <f>IF(B825="","",IF(J825&lt;&gt;"",J825,IF(H825="Retail",IFERROR(INDEX(Inventory!$B$5:$B$304,MATCH(I825,Inventory!$A$5:$A$304,0))&amp;"","Not in Inventory"),IFERROR(INDEX(Services!$B$5:$B$204,MATCH(I825,Services!$A$5:$A$204,0))&amp;"","Not in Services"))))</f>
        <v>0</v>
      </c>
      <c r="V825" s="26">
        <f>IF(B825="","",IF(L825&lt;&gt;"",L825,IF(H825="Retail",IFERROR(INDEX(Inventory!$I$5:$I$304,MATCH(I825,Inventory!$A$5:$A$304,0))*1,0),IFERROR(INDEX(Services!$G$5:$G$204,MATCH(I825,Services!$A$5:$A$204,0))*1,0))))</f>
        <v>0</v>
      </c>
      <c r="W825" s="26">
        <f>IF(B825="","",ROUND(T825*V825,2))</f>
        <v>0</v>
      </c>
      <c r="X825" s="26">
        <f>IF(B825="","",ROUND(IF(M825="",0,W825*M825)+IF(N825="",0,N825),2))</f>
        <v>0</v>
      </c>
      <c r="Y825" s="26">
        <f>IF(B825="","",ROUND(W825-X825-IF(P825="",0,P825),2))</f>
        <v>0</v>
      </c>
      <c r="Z825" s="26">
        <f>IF(B825="","",IF(H825="Retail",IF(TaxOnRetail="Yes",ROUND(Y825*TaxRate,2),0),IF(H825="Service",IF(TaxOnServices="Yes",ROUND(Y825*TaxRate,2),0),0)))</f>
        <v>0</v>
      </c>
      <c r="AA825" s="26">
        <f>IF(B825="","",ROUND(Y825+Z825,2))</f>
        <v>0</v>
      </c>
      <c r="AB825" s="26">
        <f>IF(B825="","",ROUND(T825*IF(H825="Retail",IFERROR(INDEX(Inventory!$H$5:$H$304,MATCH(I825,Inventory!$A$5:$A$304,0))*1,0),IFERROR(INDEX(Services!$Q$5:$Q$204,MATCH(I825,Services!$A$5:$A$204,0))*1,0)),2))</f>
        <v>0</v>
      </c>
      <c r="AC825" s="26">
        <f>IF(B825="","",ROUND(Y825-AB825,2))</f>
        <v>0</v>
      </c>
      <c r="AD825" s="38">
        <f>IF(B825="","",IF(C825="","No",IF(COUNTIFS($C$5:C825,C825)=1,"Yes","No")))</f>
        <v>0</v>
      </c>
      <c r="AE825" s="26">
        <f>IF(B825="","",ROUND(SUMIFS(Payments!$G$5:$G$1204,Payments!$H$5:$H$1204,A825,Payments!$Q$5:$Q$1204,"Yes"),2))</f>
        <v>0</v>
      </c>
      <c r="AF825" s="26">
        <f>IF(B825="","",IF(AD825="No",0,ROUND(SUMIFS(Payments!$G$5:$G$1204,Payments!$I$5:$I$1204,C825,Payments!$H$5:$H$1204,"",Payments!$Q$5:$Q$1204,"Yes"),2)))</f>
        <v>0</v>
      </c>
      <c r="AG825" s="26">
        <f>IF(B825="","",ROUND(AE825+AF825,2))</f>
        <v>0</v>
      </c>
      <c r="AH825" s="26">
        <f>IF(B825="","",ROUND(AA825-AG825,2))</f>
        <v>0</v>
      </c>
      <c r="AI825" s="39">
        <f>IF(B825="","",IF(AA825&lt;=0,"No charge",IF(AH825&lt;=0.004,"Paid",IF(AG825&lt;=0.004,"Unpaid","Part paid"))))</f>
        <v>0</v>
      </c>
      <c r="AJ825" s="38">
        <f>IF(B825="","",IF(H825&lt;&gt;"Service","",IF(D825="","No",IF(COUNTIFS($D$5:$D$1204,D825,$B$5:$B$1204,B825,$H$5:$H$1204,"Retail")&gt;0,"Yes","No"))))</f>
        <v>0</v>
      </c>
      <c r="AK825" s="25">
        <f>IF(B825="","",COUNTIFS($Y$5:$Y$1204,"&gt;"&amp;Y825)+COUNTIFS($Y$5:Y825,Y825))</f>
        <v>0</v>
      </c>
      <c r="AL825" s="39">
        <f>IF(B825="","",IF(H825="","Add - what kind of sale is this?",IF(IF(V825&lt;=0,P825="",FALSE),"Check - no price found for this item",IF(F825="","Assign - nobody credited",IF(AH825&gt;0.004,"Unpaid - balance outstanding",IF(AC825&lt;0,"Loss - sold below cost",IF(X825&gt;W825*0.5,"Check - more than half off","OK")))))))</f>
        <v>0</v>
      </c>
    </row>
    <row r="826" spans="1:38">
      <c r="A826" s="28">
        <f>IF(B826="","",SalePrefix&amp;TEXT(ROW()-4,"0000"))</f>
        <v>0</v>
      </c>
      <c r="E826" s="15">
        <f>IF(D826="","",IFERROR(INDEX(Clients!$B$5:$B$504,MATCH(D826,Clients!$A$5:$A$504,0)),"Walk-in"))</f>
        <v>0</v>
      </c>
      <c r="G826" s="15">
        <f>IF(F826="","",IFERROR(INDEX(Staff!$B$5:$B$44,MATCH(F826,Staff!$A$5:$A$44,0)),"House"))</f>
        <v>0</v>
      </c>
      <c r="R826" s="15">
        <f>IF(B826="","",TEXT(B826,"yyyy-mm"))</f>
        <v>0</v>
      </c>
      <c r="S826" s="25">
        <f>IF(B826="","",WEEKNUM(B826,2))</f>
        <v>0</v>
      </c>
      <c r="T826" s="37">
        <f>IF(B826="","",IF(K826="",1,K826))</f>
        <v>0</v>
      </c>
      <c r="U826" s="15">
        <f>IF(B826="","",IF(J826&lt;&gt;"",J826,IF(H826="Retail",IFERROR(INDEX(Inventory!$B$5:$B$304,MATCH(I826,Inventory!$A$5:$A$304,0))&amp;"","Not in Inventory"),IFERROR(INDEX(Services!$B$5:$B$204,MATCH(I826,Services!$A$5:$A$204,0))&amp;"","Not in Services"))))</f>
        <v>0</v>
      </c>
      <c r="V826" s="26">
        <f>IF(B826="","",IF(L826&lt;&gt;"",L826,IF(H826="Retail",IFERROR(INDEX(Inventory!$I$5:$I$304,MATCH(I826,Inventory!$A$5:$A$304,0))*1,0),IFERROR(INDEX(Services!$G$5:$G$204,MATCH(I826,Services!$A$5:$A$204,0))*1,0))))</f>
        <v>0</v>
      </c>
      <c r="W826" s="26">
        <f>IF(B826="","",ROUND(T826*V826,2))</f>
        <v>0</v>
      </c>
      <c r="X826" s="26">
        <f>IF(B826="","",ROUND(IF(M826="",0,W826*M826)+IF(N826="",0,N826),2))</f>
        <v>0</v>
      </c>
      <c r="Y826" s="26">
        <f>IF(B826="","",ROUND(W826-X826-IF(P826="",0,P826),2))</f>
        <v>0</v>
      </c>
      <c r="Z826" s="26">
        <f>IF(B826="","",IF(H826="Retail",IF(TaxOnRetail="Yes",ROUND(Y826*TaxRate,2),0),IF(H826="Service",IF(TaxOnServices="Yes",ROUND(Y826*TaxRate,2),0),0)))</f>
        <v>0</v>
      </c>
      <c r="AA826" s="26">
        <f>IF(B826="","",ROUND(Y826+Z826,2))</f>
        <v>0</v>
      </c>
      <c r="AB826" s="26">
        <f>IF(B826="","",ROUND(T826*IF(H826="Retail",IFERROR(INDEX(Inventory!$H$5:$H$304,MATCH(I826,Inventory!$A$5:$A$304,0))*1,0),IFERROR(INDEX(Services!$Q$5:$Q$204,MATCH(I826,Services!$A$5:$A$204,0))*1,0)),2))</f>
        <v>0</v>
      </c>
      <c r="AC826" s="26">
        <f>IF(B826="","",ROUND(Y826-AB826,2))</f>
        <v>0</v>
      </c>
      <c r="AD826" s="38">
        <f>IF(B826="","",IF(C826="","No",IF(COUNTIFS($C$5:C826,C826)=1,"Yes","No")))</f>
        <v>0</v>
      </c>
      <c r="AE826" s="26">
        <f>IF(B826="","",ROUND(SUMIFS(Payments!$G$5:$G$1204,Payments!$H$5:$H$1204,A826,Payments!$Q$5:$Q$1204,"Yes"),2))</f>
        <v>0</v>
      </c>
      <c r="AF826" s="26">
        <f>IF(B826="","",IF(AD826="No",0,ROUND(SUMIFS(Payments!$G$5:$G$1204,Payments!$I$5:$I$1204,C826,Payments!$H$5:$H$1204,"",Payments!$Q$5:$Q$1204,"Yes"),2)))</f>
        <v>0</v>
      </c>
      <c r="AG826" s="26">
        <f>IF(B826="","",ROUND(AE826+AF826,2))</f>
        <v>0</v>
      </c>
      <c r="AH826" s="26">
        <f>IF(B826="","",ROUND(AA826-AG826,2))</f>
        <v>0</v>
      </c>
      <c r="AI826" s="39">
        <f>IF(B826="","",IF(AA826&lt;=0,"No charge",IF(AH826&lt;=0.004,"Paid",IF(AG826&lt;=0.004,"Unpaid","Part paid"))))</f>
        <v>0</v>
      </c>
      <c r="AJ826" s="38">
        <f>IF(B826="","",IF(H826&lt;&gt;"Service","",IF(D826="","No",IF(COUNTIFS($D$5:$D$1204,D826,$B$5:$B$1204,B826,$H$5:$H$1204,"Retail")&gt;0,"Yes","No"))))</f>
        <v>0</v>
      </c>
      <c r="AK826" s="25">
        <f>IF(B826="","",COUNTIFS($Y$5:$Y$1204,"&gt;"&amp;Y826)+COUNTIFS($Y$5:Y826,Y826))</f>
        <v>0</v>
      </c>
      <c r="AL826" s="39">
        <f>IF(B826="","",IF(H826="","Add - what kind of sale is this?",IF(IF(V826&lt;=0,P826="",FALSE),"Check - no price found for this item",IF(F826="","Assign - nobody credited",IF(AH826&gt;0.004,"Unpaid - balance outstanding",IF(AC826&lt;0,"Loss - sold below cost",IF(X826&gt;W826*0.5,"Check - more than half off","OK")))))))</f>
        <v>0</v>
      </c>
    </row>
    <row r="827" spans="1:38">
      <c r="A827" s="28">
        <f>IF(B827="","",SalePrefix&amp;TEXT(ROW()-4,"0000"))</f>
        <v>0</v>
      </c>
      <c r="E827" s="15">
        <f>IF(D827="","",IFERROR(INDEX(Clients!$B$5:$B$504,MATCH(D827,Clients!$A$5:$A$504,0)),"Walk-in"))</f>
        <v>0</v>
      </c>
      <c r="G827" s="15">
        <f>IF(F827="","",IFERROR(INDEX(Staff!$B$5:$B$44,MATCH(F827,Staff!$A$5:$A$44,0)),"House"))</f>
        <v>0</v>
      </c>
      <c r="R827" s="15">
        <f>IF(B827="","",TEXT(B827,"yyyy-mm"))</f>
        <v>0</v>
      </c>
      <c r="S827" s="25">
        <f>IF(B827="","",WEEKNUM(B827,2))</f>
        <v>0</v>
      </c>
      <c r="T827" s="37">
        <f>IF(B827="","",IF(K827="",1,K827))</f>
        <v>0</v>
      </c>
      <c r="U827" s="15">
        <f>IF(B827="","",IF(J827&lt;&gt;"",J827,IF(H827="Retail",IFERROR(INDEX(Inventory!$B$5:$B$304,MATCH(I827,Inventory!$A$5:$A$304,0))&amp;"","Not in Inventory"),IFERROR(INDEX(Services!$B$5:$B$204,MATCH(I827,Services!$A$5:$A$204,0))&amp;"","Not in Services"))))</f>
        <v>0</v>
      </c>
      <c r="V827" s="26">
        <f>IF(B827="","",IF(L827&lt;&gt;"",L827,IF(H827="Retail",IFERROR(INDEX(Inventory!$I$5:$I$304,MATCH(I827,Inventory!$A$5:$A$304,0))*1,0),IFERROR(INDEX(Services!$G$5:$G$204,MATCH(I827,Services!$A$5:$A$204,0))*1,0))))</f>
        <v>0</v>
      </c>
      <c r="W827" s="26">
        <f>IF(B827="","",ROUND(T827*V827,2))</f>
        <v>0</v>
      </c>
      <c r="X827" s="26">
        <f>IF(B827="","",ROUND(IF(M827="",0,W827*M827)+IF(N827="",0,N827),2))</f>
        <v>0</v>
      </c>
      <c r="Y827" s="26">
        <f>IF(B827="","",ROUND(W827-X827-IF(P827="",0,P827),2))</f>
        <v>0</v>
      </c>
      <c r="Z827" s="26">
        <f>IF(B827="","",IF(H827="Retail",IF(TaxOnRetail="Yes",ROUND(Y827*TaxRate,2),0),IF(H827="Service",IF(TaxOnServices="Yes",ROUND(Y827*TaxRate,2),0),0)))</f>
        <v>0</v>
      </c>
      <c r="AA827" s="26">
        <f>IF(B827="","",ROUND(Y827+Z827,2))</f>
        <v>0</v>
      </c>
      <c r="AB827" s="26">
        <f>IF(B827="","",ROUND(T827*IF(H827="Retail",IFERROR(INDEX(Inventory!$H$5:$H$304,MATCH(I827,Inventory!$A$5:$A$304,0))*1,0),IFERROR(INDEX(Services!$Q$5:$Q$204,MATCH(I827,Services!$A$5:$A$204,0))*1,0)),2))</f>
        <v>0</v>
      </c>
      <c r="AC827" s="26">
        <f>IF(B827="","",ROUND(Y827-AB827,2))</f>
        <v>0</v>
      </c>
      <c r="AD827" s="38">
        <f>IF(B827="","",IF(C827="","No",IF(COUNTIFS($C$5:C827,C827)=1,"Yes","No")))</f>
        <v>0</v>
      </c>
      <c r="AE827" s="26">
        <f>IF(B827="","",ROUND(SUMIFS(Payments!$G$5:$G$1204,Payments!$H$5:$H$1204,A827,Payments!$Q$5:$Q$1204,"Yes"),2))</f>
        <v>0</v>
      </c>
      <c r="AF827" s="26">
        <f>IF(B827="","",IF(AD827="No",0,ROUND(SUMIFS(Payments!$G$5:$G$1204,Payments!$I$5:$I$1204,C827,Payments!$H$5:$H$1204,"",Payments!$Q$5:$Q$1204,"Yes"),2)))</f>
        <v>0</v>
      </c>
      <c r="AG827" s="26">
        <f>IF(B827="","",ROUND(AE827+AF827,2))</f>
        <v>0</v>
      </c>
      <c r="AH827" s="26">
        <f>IF(B827="","",ROUND(AA827-AG827,2))</f>
        <v>0</v>
      </c>
      <c r="AI827" s="39">
        <f>IF(B827="","",IF(AA827&lt;=0,"No charge",IF(AH827&lt;=0.004,"Paid",IF(AG827&lt;=0.004,"Unpaid","Part paid"))))</f>
        <v>0</v>
      </c>
      <c r="AJ827" s="38">
        <f>IF(B827="","",IF(H827&lt;&gt;"Service","",IF(D827="","No",IF(COUNTIFS($D$5:$D$1204,D827,$B$5:$B$1204,B827,$H$5:$H$1204,"Retail")&gt;0,"Yes","No"))))</f>
        <v>0</v>
      </c>
      <c r="AK827" s="25">
        <f>IF(B827="","",COUNTIFS($Y$5:$Y$1204,"&gt;"&amp;Y827)+COUNTIFS($Y$5:Y827,Y827))</f>
        <v>0</v>
      </c>
      <c r="AL827" s="39">
        <f>IF(B827="","",IF(H827="","Add - what kind of sale is this?",IF(IF(V827&lt;=0,P827="",FALSE),"Check - no price found for this item",IF(F827="","Assign - nobody credited",IF(AH827&gt;0.004,"Unpaid - balance outstanding",IF(AC827&lt;0,"Loss - sold below cost",IF(X827&gt;W827*0.5,"Check - more than half off","OK")))))))</f>
        <v>0</v>
      </c>
    </row>
    <row r="828" spans="1:38">
      <c r="A828" s="28">
        <f>IF(B828="","",SalePrefix&amp;TEXT(ROW()-4,"0000"))</f>
        <v>0</v>
      </c>
      <c r="E828" s="15">
        <f>IF(D828="","",IFERROR(INDEX(Clients!$B$5:$B$504,MATCH(D828,Clients!$A$5:$A$504,0)),"Walk-in"))</f>
        <v>0</v>
      </c>
      <c r="G828" s="15">
        <f>IF(F828="","",IFERROR(INDEX(Staff!$B$5:$B$44,MATCH(F828,Staff!$A$5:$A$44,0)),"House"))</f>
        <v>0</v>
      </c>
      <c r="R828" s="15">
        <f>IF(B828="","",TEXT(B828,"yyyy-mm"))</f>
        <v>0</v>
      </c>
      <c r="S828" s="25">
        <f>IF(B828="","",WEEKNUM(B828,2))</f>
        <v>0</v>
      </c>
      <c r="T828" s="37">
        <f>IF(B828="","",IF(K828="",1,K828))</f>
        <v>0</v>
      </c>
      <c r="U828" s="15">
        <f>IF(B828="","",IF(J828&lt;&gt;"",J828,IF(H828="Retail",IFERROR(INDEX(Inventory!$B$5:$B$304,MATCH(I828,Inventory!$A$5:$A$304,0))&amp;"","Not in Inventory"),IFERROR(INDEX(Services!$B$5:$B$204,MATCH(I828,Services!$A$5:$A$204,0))&amp;"","Not in Services"))))</f>
        <v>0</v>
      </c>
      <c r="V828" s="26">
        <f>IF(B828="","",IF(L828&lt;&gt;"",L828,IF(H828="Retail",IFERROR(INDEX(Inventory!$I$5:$I$304,MATCH(I828,Inventory!$A$5:$A$304,0))*1,0),IFERROR(INDEX(Services!$G$5:$G$204,MATCH(I828,Services!$A$5:$A$204,0))*1,0))))</f>
        <v>0</v>
      </c>
      <c r="W828" s="26">
        <f>IF(B828="","",ROUND(T828*V828,2))</f>
        <v>0</v>
      </c>
      <c r="X828" s="26">
        <f>IF(B828="","",ROUND(IF(M828="",0,W828*M828)+IF(N828="",0,N828),2))</f>
        <v>0</v>
      </c>
      <c r="Y828" s="26">
        <f>IF(B828="","",ROUND(W828-X828-IF(P828="",0,P828),2))</f>
        <v>0</v>
      </c>
      <c r="Z828" s="26">
        <f>IF(B828="","",IF(H828="Retail",IF(TaxOnRetail="Yes",ROUND(Y828*TaxRate,2),0),IF(H828="Service",IF(TaxOnServices="Yes",ROUND(Y828*TaxRate,2),0),0)))</f>
        <v>0</v>
      </c>
      <c r="AA828" s="26">
        <f>IF(B828="","",ROUND(Y828+Z828,2))</f>
        <v>0</v>
      </c>
      <c r="AB828" s="26">
        <f>IF(B828="","",ROUND(T828*IF(H828="Retail",IFERROR(INDEX(Inventory!$H$5:$H$304,MATCH(I828,Inventory!$A$5:$A$304,0))*1,0),IFERROR(INDEX(Services!$Q$5:$Q$204,MATCH(I828,Services!$A$5:$A$204,0))*1,0)),2))</f>
        <v>0</v>
      </c>
      <c r="AC828" s="26">
        <f>IF(B828="","",ROUND(Y828-AB828,2))</f>
        <v>0</v>
      </c>
      <c r="AD828" s="38">
        <f>IF(B828="","",IF(C828="","No",IF(COUNTIFS($C$5:C828,C828)=1,"Yes","No")))</f>
        <v>0</v>
      </c>
      <c r="AE828" s="26">
        <f>IF(B828="","",ROUND(SUMIFS(Payments!$G$5:$G$1204,Payments!$H$5:$H$1204,A828,Payments!$Q$5:$Q$1204,"Yes"),2))</f>
        <v>0</v>
      </c>
      <c r="AF828" s="26">
        <f>IF(B828="","",IF(AD828="No",0,ROUND(SUMIFS(Payments!$G$5:$G$1204,Payments!$I$5:$I$1204,C828,Payments!$H$5:$H$1204,"",Payments!$Q$5:$Q$1204,"Yes"),2)))</f>
        <v>0</v>
      </c>
      <c r="AG828" s="26">
        <f>IF(B828="","",ROUND(AE828+AF828,2))</f>
        <v>0</v>
      </c>
      <c r="AH828" s="26">
        <f>IF(B828="","",ROUND(AA828-AG828,2))</f>
        <v>0</v>
      </c>
      <c r="AI828" s="39">
        <f>IF(B828="","",IF(AA828&lt;=0,"No charge",IF(AH828&lt;=0.004,"Paid",IF(AG828&lt;=0.004,"Unpaid","Part paid"))))</f>
        <v>0</v>
      </c>
      <c r="AJ828" s="38">
        <f>IF(B828="","",IF(H828&lt;&gt;"Service","",IF(D828="","No",IF(COUNTIFS($D$5:$D$1204,D828,$B$5:$B$1204,B828,$H$5:$H$1204,"Retail")&gt;0,"Yes","No"))))</f>
        <v>0</v>
      </c>
      <c r="AK828" s="25">
        <f>IF(B828="","",COUNTIFS($Y$5:$Y$1204,"&gt;"&amp;Y828)+COUNTIFS($Y$5:Y828,Y828))</f>
        <v>0</v>
      </c>
      <c r="AL828" s="39">
        <f>IF(B828="","",IF(H828="","Add - what kind of sale is this?",IF(IF(V828&lt;=0,P828="",FALSE),"Check - no price found for this item",IF(F828="","Assign - nobody credited",IF(AH828&gt;0.004,"Unpaid - balance outstanding",IF(AC828&lt;0,"Loss - sold below cost",IF(X828&gt;W828*0.5,"Check - more than half off","OK")))))))</f>
        <v>0</v>
      </c>
    </row>
    <row r="829" spans="1:38">
      <c r="A829" s="28">
        <f>IF(B829="","",SalePrefix&amp;TEXT(ROW()-4,"0000"))</f>
        <v>0</v>
      </c>
      <c r="E829" s="15">
        <f>IF(D829="","",IFERROR(INDEX(Clients!$B$5:$B$504,MATCH(D829,Clients!$A$5:$A$504,0)),"Walk-in"))</f>
        <v>0</v>
      </c>
      <c r="G829" s="15">
        <f>IF(F829="","",IFERROR(INDEX(Staff!$B$5:$B$44,MATCH(F829,Staff!$A$5:$A$44,0)),"House"))</f>
        <v>0</v>
      </c>
      <c r="R829" s="15">
        <f>IF(B829="","",TEXT(B829,"yyyy-mm"))</f>
        <v>0</v>
      </c>
      <c r="S829" s="25">
        <f>IF(B829="","",WEEKNUM(B829,2))</f>
        <v>0</v>
      </c>
      <c r="T829" s="37">
        <f>IF(B829="","",IF(K829="",1,K829))</f>
        <v>0</v>
      </c>
      <c r="U829" s="15">
        <f>IF(B829="","",IF(J829&lt;&gt;"",J829,IF(H829="Retail",IFERROR(INDEX(Inventory!$B$5:$B$304,MATCH(I829,Inventory!$A$5:$A$304,0))&amp;"","Not in Inventory"),IFERROR(INDEX(Services!$B$5:$B$204,MATCH(I829,Services!$A$5:$A$204,0))&amp;"","Not in Services"))))</f>
        <v>0</v>
      </c>
      <c r="V829" s="26">
        <f>IF(B829="","",IF(L829&lt;&gt;"",L829,IF(H829="Retail",IFERROR(INDEX(Inventory!$I$5:$I$304,MATCH(I829,Inventory!$A$5:$A$304,0))*1,0),IFERROR(INDEX(Services!$G$5:$G$204,MATCH(I829,Services!$A$5:$A$204,0))*1,0))))</f>
        <v>0</v>
      </c>
      <c r="W829" s="26">
        <f>IF(B829="","",ROUND(T829*V829,2))</f>
        <v>0</v>
      </c>
      <c r="X829" s="26">
        <f>IF(B829="","",ROUND(IF(M829="",0,W829*M829)+IF(N829="",0,N829),2))</f>
        <v>0</v>
      </c>
      <c r="Y829" s="26">
        <f>IF(B829="","",ROUND(W829-X829-IF(P829="",0,P829),2))</f>
        <v>0</v>
      </c>
      <c r="Z829" s="26">
        <f>IF(B829="","",IF(H829="Retail",IF(TaxOnRetail="Yes",ROUND(Y829*TaxRate,2),0),IF(H829="Service",IF(TaxOnServices="Yes",ROUND(Y829*TaxRate,2),0),0)))</f>
        <v>0</v>
      </c>
      <c r="AA829" s="26">
        <f>IF(B829="","",ROUND(Y829+Z829,2))</f>
        <v>0</v>
      </c>
      <c r="AB829" s="26">
        <f>IF(B829="","",ROUND(T829*IF(H829="Retail",IFERROR(INDEX(Inventory!$H$5:$H$304,MATCH(I829,Inventory!$A$5:$A$304,0))*1,0),IFERROR(INDEX(Services!$Q$5:$Q$204,MATCH(I829,Services!$A$5:$A$204,0))*1,0)),2))</f>
        <v>0</v>
      </c>
      <c r="AC829" s="26">
        <f>IF(B829="","",ROUND(Y829-AB829,2))</f>
        <v>0</v>
      </c>
      <c r="AD829" s="38">
        <f>IF(B829="","",IF(C829="","No",IF(COUNTIFS($C$5:C829,C829)=1,"Yes","No")))</f>
        <v>0</v>
      </c>
      <c r="AE829" s="26">
        <f>IF(B829="","",ROUND(SUMIFS(Payments!$G$5:$G$1204,Payments!$H$5:$H$1204,A829,Payments!$Q$5:$Q$1204,"Yes"),2))</f>
        <v>0</v>
      </c>
      <c r="AF829" s="26">
        <f>IF(B829="","",IF(AD829="No",0,ROUND(SUMIFS(Payments!$G$5:$G$1204,Payments!$I$5:$I$1204,C829,Payments!$H$5:$H$1204,"",Payments!$Q$5:$Q$1204,"Yes"),2)))</f>
        <v>0</v>
      </c>
      <c r="AG829" s="26">
        <f>IF(B829="","",ROUND(AE829+AF829,2))</f>
        <v>0</v>
      </c>
      <c r="AH829" s="26">
        <f>IF(B829="","",ROUND(AA829-AG829,2))</f>
        <v>0</v>
      </c>
      <c r="AI829" s="39">
        <f>IF(B829="","",IF(AA829&lt;=0,"No charge",IF(AH829&lt;=0.004,"Paid",IF(AG829&lt;=0.004,"Unpaid","Part paid"))))</f>
        <v>0</v>
      </c>
      <c r="AJ829" s="38">
        <f>IF(B829="","",IF(H829&lt;&gt;"Service","",IF(D829="","No",IF(COUNTIFS($D$5:$D$1204,D829,$B$5:$B$1204,B829,$H$5:$H$1204,"Retail")&gt;0,"Yes","No"))))</f>
        <v>0</v>
      </c>
      <c r="AK829" s="25">
        <f>IF(B829="","",COUNTIFS($Y$5:$Y$1204,"&gt;"&amp;Y829)+COUNTIFS($Y$5:Y829,Y829))</f>
        <v>0</v>
      </c>
      <c r="AL829" s="39">
        <f>IF(B829="","",IF(H829="","Add - what kind of sale is this?",IF(IF(V829&lt;=0,P829="",FALSE),"Check - no price found for this item",IF(F829="","Assign - nobody credited",IF(AH829&gt;0.004,"Unpaid - balance outstanding",IF(AC829&lt;0,"Loss - sold below cost",IF(X829&gt;W829*0.5,"Check - more than half off","OK")))))))</f>
        <v>0</v>
      </c>
    </row>
    <row r="830" spans="1:38">
      <c r="A830" s="28">
        <f>IF(B830="","",SalePrefix&amp;TEXT(ROW()-4,"0000"))</f>
        <v>0</v>
      </c>
      <c r="E830" s="15">
        <f>IF(D830="","",IFERROR(INDEX(Clients!$B$5:$B$504,MATCH(D830,Clients!$A$5:$A$504,0)),"Walk-in"))</f>
        <v>0</v>
      </c>
      <c r="G830" s="15">
        <f>IF(F830="","",IFERROR(INDEX(Staff!$B$5:$B$44,MATCH(F830,Staff!$A$5:$A$44,0)),"House"))</f>
        <v>0</v>
      </c>
      <c r="R830" s="15">
        <f>IF(B830="","",TEXT(B830,"yyyy-mm"))</f>
        <v>0</v>
      </c>
      <c r="S830" s="25">
        <f>IF(B830="","",WEEKNUM(B830,2))</f>
        <v>0</v>
      </c>
      <c r="T830" s="37">
        <f>IF(B830="","",IF(K830="",1,K830))</f>
        <v>0</v>
      </c>
      <c r="U830" s="15">
        <f>IF(B830="","",IF(J830&lt;&gt;"",J830,IF(H830="Retail",IFERROR(INDEX(Inventory!$B$5:$B$304,MATCH(I830,Inventory!$A$5:$A$304,0))&amp;"","Not in Inventory"),IFERROR(INDEX(Services!$B$5:$B$204,MATCH(I830,Services!$A$5:$A$204,0))&amp;"","Not in Services"))))</f>
        <v>0</v>
      </c>
      <c r="V830" s="26">
        <f>IF(B830="","",IF(L830&lt;&gt;"",L830,IF(H830="Retail",IFERROR(INDEX(Inventory!$I$5:$I$304,MATCH(I830,Inventory!$A$5:$A$304,0))*1,0),IFERROR(INDEX(Services!$G$5:$G$204,MATCH(I830,Services!$A$5:$A$204,0))*1,0))))</f>
        <v>0</v>
      </c>
      <c r="W830" s="26">
        <f>IF(B830="","",ROUND(T830*V830,2))</f>
        <v>0</v>
      </c>
      <c r="X830" s="26">
        <f>IF(B830="","",ROUND(IF(M830="",0,W830*M830)+IF(N830="",0,N830),2))</f>
        <v>0</v>
      </c>
      <c r="Y830" s="26">
        <f>IF(B830="","",ROUND(W830-X830-IF(P830="",0,P830),2))</f>
        <v>0</v>
      </c>
      <c r="Z830" s="26">
        <f>IF(B830="","",IF(H830="Retail",IF(TaxOnRetail="Yes",ROUND(Y830*TaxRate,2),0),IF(H830="Service",IF(TaxOnServices="Yes",ROUND(Y830*TaxRate,2),0),0)))</f>
        <v>0</v>
      </c>
      <c r="AA830" s="26">
        <f>IF(B830="","",ROUND(Y830+Z830,2))</f>
        <v>0</v>
      </c>
      <c r="AB830" s="26">
        <f>IF(B830="","",ROUND(T830*IF(H830="Retail",IFERROR(INDEX(Inventory!$H$5:$H$304,MATCH(I830,Inventory!$A$5:$A$304,0))*1,0),IFERROR(INDEX(Services!$Q$5:$Q$204,MATCH(I830,Services!$A$5:$A$204,0))*1,0)),2))</f>
        <v>0</v>
      </c>
      <c r="AC830" s="26">
        <f>IF(B830="","",ROUND(Y830-AB830,2))</f>
        <v>0</v>
      </c>
      <c r="AD830" s="38">
        <f>IF(B830="","",IF(C830="","No",IF(COUNTIFS($C$5:C830,C830)=1,"Yes","No")))</f>
        <v>0</v>
      </c>
      <c r="AE830" s="26">
        <f>IF(B830="","",ROUND(SUMIFS(Payments!$G$5:$G$1204,Payments!$H$5:$H$1204,A830,Payments!$Q$5:$Q$1204,"Yes"),2))</f>
        <v>0</v>
      </c>
      <c r="AF830" s="26">
        <f>IF(B830="","",IF(AD830="No",0,ROUND(SUMIFS(Payments!$G$5:$G$1204,Payments!$I$5:$I$1204,C830,Payments!$H$5:$H$1204,"",Payments!$Q$5:$Q$1204,"Yes"),2)))</f>
        <v>0</v>
      </c>
      <c r="AG830" s="26">
        <f>IF(B830="","",ROUND(AE830+AF830,2))</f>
        <v>0</v>
      </c>
      <c r="AH830" s="26">
        <f>IF(B830="","",ROUND(AA830-AG830,2))</f>
        <v>0</v>
      </c>
      <c r="AI830" s="39">
        <f>IF(B830="","",IF(AA830&lt;=0,"No charge",IF(AH830&lt;=0.004,"Paid",IF(AG830&lt;=0.004,"Unpaid","Part paid"))))</f>
        <v>0</v>
      </c>
      <c r="AJ830" s="38">
        <f>IF(B830="","",IF(H830&lt;&gt;"Service","",IF(D830="","No",IF(COUNTIFS($D$5:$D$1204,D830,$B$5:$B$1204,B830,$H$5:$H$1204,"Retail")&gt;0,"Yes","No"))))</f>
        <v>0</v>
      </c>
      <c r="AK830" s="25">
        <f>IF(B830="","",COUNTIFS($Y$5:$Y$1204,"&gt;"&amp;Y830)+COUNTIFS($Y$5:Y830,Y830))</f>
        <v>0</v>
      </c>
      <c r="AL830" s="39">
        <f>IF(B830="","",IF(H830="","Add - what kind of sale is this?",IF(IF(V830&lt;=0,P830="",FALSE),"Check - no price found for this item",IF(F830="","Assign - nobody credited",IF(AH830&gt;0.004,"Unpaid - balance outstanding",IF(AC830&lt;0,"Loss - sold below cost",IF(X830&gt;W830*0.5,"Check - more than half off","OK")))))))</f>
        <v>0</v>
      </c>
    </row>
    <row r="831" spans="1:38">
      <c r="A831" s="28">
        <f>IF(B831="","",SalePrefix&amp;TEXT(ROW()-4,"0000"))</f>
        <v>0</v>
      </c>
      <c r="E831" s="15">
        <f>IF(D831="","",IFERROR(INDEX(Clients!$B$5:$B$504,MATCH(D831,Clients!$A$5:$A$504,0)),"Walk-in"))</f>
        <v>0</v>
      </c>
      <c r="G831" s="15">
        <f>IF(F831="","",IFERROR(INDEX(Staff!$B$5:$B$44,MATCH(F831,Staff!$A$5:$A$44,0)),"House"))</f>
        <v>0</v>
      </c>
      <c r="R831" s="15">
        <f>IF(B831="","",TEXT(B831,"yyyy-mm"))</f>
        <v>0</v>
      </c>
      <c r="S831" s="25">
        <f>IF(B831="","",WEEKNUM(B831,2))</f>
        <v>0</v>
      </c>
      <c r="T831" s="37">
        <f>IF(B831="","",IF(K831="",1,K831))</f>
        <v>0</v>
      </c>
      <c r="U831" s="15">
        <f>IF(B831="","",IF(J831&lt;&gt;"",J831,IF(H831="Retail",IFERROR(INDEX(Inventory!$B$5:$B$304,MATCH(I831,Inventory!$A$5:$A$304,0))&amp;"","Not in Inventory"),IFERROR(INDEX(Services!$B$5:$B$204,MATCH(I831,Services!$A$5:$A$204,0))&amp;"","Not in Services"))))</f>
        <v>0</v>
      </c>
      <c r="V831" s="26">
        <f>IF(B831="","",IF(L831&lt;&gt;"",L831,IF(H831="Retail",IFERROR(INDEX(Inventory!$I$5:$I$304,MATCH(I831,Inventory!$A$5:$A$304,0))*1,0),IFERROR(INDEX(Services!$G$5:$G$204,MATCH(I831,Services!$A$5:$A$204,0))*1,0))))</f>
        <v>0</v>
      </c>
      <c r="W831" s="26">
        <f>IF(B831="","",ROUND(T831*V831,2))</f>
        <v>0</v>
      </c>
      <c r="X831" s="26">
        <f>IF(B831="","",ROUND(IF(M831="",0,W831*M831)+IF(N831="",0,N831),2))</f>
        <v>0</v>
      </c>
      <c r="Y831" s="26">
        <f>IF(B831="","",ROUND(W831-X831-IF(P831="",0,P831),2))</f>
        <v>0</v>
      </c>
      <c r="Z831" s="26">
        <f>IF(B831="","",IF(H831="Retail",IF(TaxOnRetail="Yes",ROUND(Y831*TaxRate,2),0),IF(H831="Service",IF(TaxOnServices="Yes",ROUND(Y831*TaxRate,2),0),0)))</f>
        <v>0</v>
      </c>
      <c r="AA831" s="26">
        <f>IF(B831="","",ROUND(Y831+Z831,2))</f>
        <v>0</v>
      </c>
      <c r="AB831" s="26">
        <f>IF(B831="","",ROUND(T831*IF(H831="Retail",IFERROR(INDEX(Inventory!$H$5:$H$304,MATCH(I831,Inventory!$A$5:$A$304,0))*1,0),IFERROR(INDEX(Services!$Q$5:$Q$204,MATCH(I831,Services!$A$5:$A$204,0))*1,0)),2))</f>
        <v>0</v>
      </c>
      <c r="AC831" s="26">
        <f>IF(B831="","",ROUND(Y831-AB831,2))</f>
        <v>0</v>
      </c>
      <c r="AD831" s="38">
        <f>IF(B831="","",IF(C831="","No",IF(COUNTIFS($C$5:C831,C831)=1,"Yes","No")))</f>
        <v>0</v>
      </c>
      <c r="AE831" s="26">
        <f>IF(B831="","",ROUND(SUMIFS(Payments!$G$5:$G$1204,Payments!$H$5:$H$1204,A831,Payments!$Q$5:$Q$1204,"Yes"),2))</f>
        <v>0</v>
      </c>
      <c r="AF831" s="26">
        <f>IF(B831="","",IF(AD831="No",0,ROUND(SUMIFS(Payments!$G$5:$G$1204,Payments!$I$5:$I$1204,C831,Payments!$H$5:$H$1204,"",Payments!$Q$5:$Q$1204,"Yes"),2)))</f>
        <v>0</v>
      </c>
      <c r="AG831" s="26">
        <f>IF(B831="","",ROUND(AE831+AF831,2))</f>
        <v>0</v>
      </c>
      <c r="AH831" s="26">
        <f>IF(B831="","",ROUND(AA831-AG831,2))</f>
        <v>0</v>
      </c>
      <c r="AI831" s="39">
        <f>IF(B831="","",IF(AA831&lt;=0,"No charge",IF(AH831&lt;=0.004,"Paid",IF(AG831&lt;=0.004,"Unpaid","Part paid"))))</f>
        <v>0</v>
      </c>
      <c r="AJ831" s="38">
        <f>IF(B831="","",IF(H831&lt;&gt;"Service","",IF(D831="","No",IF(COUNTIFS($D$5:$D$1204,D831,$B$5:$B$1204,B831,$H$5:$H$1204,"Retail")&gt;0,"Yes","No"))))</f>
        <v>0</v>
      </c>
      <c r="AK831" s="25">
        <f>IF(B831="","",COUNTIFS($Y$5:$Y$1204,"&gt;"&amp;Y831)+COUNTIFS($Y$5:Y831,Y831))</f>
        <v>0</v>
      </c>
      <c r="AL831" s="39">
        <f>IF(B831="","",IF(H831="","Add - what kind of sale is this?",IF(IF(V831&lt;=0,P831="",FALSE),"Check - no price found for this item",IF(F831="","Assign - nobody credited",IF(AH831&gt;0.004,"Unpaid - balance outstanding",IF(AC831&lt;0,"Loss - sold below cost",IF(X831&gt;W831*0.5,"Check - more than half off","OK")))))))</f>
        <v>0</v>
      </c>
    </row>
    <row r="832" spans="1:38">
      <c r="A832" s="28">
        <f>IF(B832="","",SalePrefix&amp;TEXT(ROW()-4,"0000"))</f>
        <v>0</v>
      </c>
      <c r="E832" s="15">
        <f>IF(D832="","",IFERROR(INDEX(Clients!$B$5:$B$504,MATCH(D832,Clients!$A$5:$A$504,0)),"Walk-in"))</f>
        <v>0</v>
      </c>
      <c r="G832" s="15">
        <f>IF(F832="","",IFERROR(INDEX(Staff!$B$5:$B$44,MATCH(F832,Staff!$A$5:$A$44,0)),"House"))</f>
        <v>0</v>
      </c>
      <c r="R832" s="15">
        <f>IF(B832="","",TEXT(B832,"yyyy-mm"))</f>
        <v>0</v>
      </c>
      <c r="S832" s="25">
        <f>IF(B832="","",WEEKNUM(B832,2))</f>
        <v>0</v>
      </c>
      <c r="T832" s="37">
        <f>IF(B832="","",IF(K832="",1,K832))</f>
        <v>0</v>
      </c>
      <c r="U832" s="15">
        <f>IF(B832="","",IF(J832&lt;&gt;"",J832,IF(H832="Retail",IFERROR(INDEX(Inventory!$B$5:$B$304,MATCH(I832,Inventory!$A$5:$A$304,0))&amp;"","Not in Inventory"),IFERROR(INDEX(Services!$B$5:$B$204,MATCH(I832,Services!$A$5:$A$204,0))&amp;"","Not in Services"))))</f>
        <v>0</v>
      </c>
      <c r="V832" s="26">
        <f>IF(B832="","",IF(L832&lt;&gt;"",L832,IF(H832="Retail",IFERROR(INDEX(Inventory!$I$5:$I$304,MATCH(I832,Inventory!$A$5:$A$304,0))*1,0),IFERROR(INDEX(Services!$G$5:$G$204,MATCH(I832,Services!$A$5:$A$204,0))*1,0))))</f>
        <v>0</v>
      </c>
      <c r="W832" s="26">
        <f>IF(B832="","",ROUND(T832*V832,2))</f>
        <v>0</v>
      </c>
      <c r="X832" s="26">
        <f>IF(B832="","",ROUND(IF(M832="",0,W832*M832)+IF(N832="",0,N832),2))</f>
        <v>0</v>
      </c>
      <c r="Y832" s="26">
        <f>IF(B832="","",ROUND(W832-X832-IF(P832="",0,P832),2))</f>
        <v>0</v>
      </c>
      <c r="Z832" s="26">
        <f>IF(B832="","",IF(H832="Retail",IF(TaxOnRetail="Yes",ROUND(Y832*TaxRate,2),0),IF(H832="Service",IF(TaxOnServices="Yes",ROUND(Y832*TaxRate,2),0),0)))</f>
        <v>0</v>
      </c>
      <c r="AA832" s="26">
        <f>IF(B832="","",ROUND(Y832+Z832,2))</f>
        <v>0</v>
      </c>
      <c r="AB832" s="26">
        <f>IF(B832="","",ROUND(T832*IF(H832="Retail",IFERROR(INDEX(Inventory!$H$5:$H$304,MATCH(I832,Inventory!$A$5:$A$304,0))*1,0),IFERROR(INDEX(Services!$Q$5:$Q$204,MATCH(I832,Services!$A$5:$A$204,0))*1,0)),2))</f>
        <v>0</v>
      </c>
      <c r="AC832" s="26">
        <f>IF(B832="","",ROUND(Y832-AB832,2))</f>
        <v>0</v>
      </c>
      <c r="AD832" s="38">
        <f>IF(B832="","",IF(C832="","No",IF(COUNTIFS($C$5:C832,C832)=1,"Yes","No")))</f>
        <v>0</v>
      </c>
      <c r="AE832" s="26">
        <f>IF(B832="","",ROUND(SUMIFS(Payments!$G$5:$G$1204,Payments!$H$5:$H$1204,A832,Payments!$Q$5:$Q$1204,"Yes"),2))</f>
        <v>0</v>
      </c>
      <c r="AF832" s="26">
        <f>IF(B832="","",IF(AD832="No",0,ROUND(SUMIFS(Payments!$G$5:$G$1204,Payments!$I$5:$I$1204,C832,Payments!$H$5:$H$1204,"",Payments!$Q$5:$Q$1204,"Yes"),2)))</f>
        <v>0</v>
      </c>
      <c r="AG832" s="26">
        <f>IF(B832="","",ROUND(AE832+AF832,2))</f>
        <v>0</v>
      </c>
      <c r="AH832" s="26">
        <f>IF(B832="","",ROUND(AA832-AG832,2))</f>
        <v>0</v>
      </c>
      <c r="AI832" s="39">
        <f>IF(B832="","",IF(AA832&lt;=0,"No charge",IF(AH832&lt;=0.004,"Paid",IF(AG832&lt;=0.004,"Unpaid","Part paid"))))</f>
        <v>0</v>
      </c>
      <c r="AJ832" s="38">
        <f>IF(B832="","",IF(H832&lt;&gt;"Service","",IF(D832="","No",IF(COUNTIFS($D$5:$D$1204,D832,$B$5:$B$1204,B832,$H$5:$H$1204,"Retail")&gt;0,"Yes","No"))))</f>
        <v>0</v>
      </c>
      <c r="AK832" s="25">
        <f>IF(B832="","",COUNTIFS($Y$5:$Y$1204,"&gt;"&amp;Y832)+COUNTIFS($Y$5:Y832,Y832))</f>
        <v>0</v>
      </c>
      <c r="AL832" s="39">
        <f>IF(B832="","",IF(H832="","Add - what kind of sale is this?",IF(IF(V832&lt;=0,P832="",FALSE),"Check - no price found for this item",IF(F832="","Assign - nobody credited",IF(AH832&gt;0.004,"Unpaid - balance outstanding",IF(AC832&lt;0,"Loss - sold below cost",IF(X832&gt;W832*0.5,"Check - more than half off","OK")))))))</f>
        <v>0</v>
      </c>
    </row>
    <row r="833" spans="1:38">
      <c r="A833" s="28">
        <f>IF(B833="","",SalePrefix&amp;TEXT(ROW()-4,"0000"))</f>
        <v>0</v>
      </c>
      <c r="E833" s="15">
        <f>IF(D833="","",IFERROR(INDEX(Clients!$B$5:$B$504,MATCH(D833,Clients!$A$5:$A$504,0)),"Walk-in"))</f>
        <v>0</v>
      </c>
      <c r="G833" s="15">
        <f>IF(F833="","",IFERROR(INDEX(Staff!$B$5:$B$44,MATCH(F833,Staff!$A$5:$A$44,0)),"House"))</f>
        <v>0</v>
      </c>
      <c r="R833" s="15">
        <f>IF(B833="","",TEXT(B833,"yyyy-mm"))</f>
        <v>0</v>
      </c>
      <c r="S833" s="25">
        <f>IF(B833="","",WEEKNUM(B833,2))</f>
        <v>0</v>
      </c>
      <c r="T833" s="37">
        <f>IF(B833="","",IF(K833="",1,K833))</f>
        <v>0</v>
      </c>
      <c r="U833" s="15">
        <f>IF(B833="","",IF(J833&lt;&gt;"",J833,IF(H833="Retail",IFERROR(INDEX(Inventory!$B$5:$B$304,MATCH(I833,Inventory!$A$5:$A$304,0))&amp;"","Not in Inventory"),IFERROR(INDEX(Services!$B$5:$B$204,MATCH(I833,Services!$A$5:$A$204,0))&amp;"","Not in Services"))))</f>
        <v>0</v>
      </c>
      <c r="V833" s="26">
        <f>IF(B833="","",IF(L833&lt;&gt;"",L833,IF(H833="Retail",IFERROR(INDEX(Inventory!$I$5:$I$304,MATCH(I833,Inventory!$A$5:$A$304,0))*1,0),IFERROR(INDEX(Services!$G$5:$G$204,MATCH(I833,Services!$A$5:$A$204,0))*1,0))))</f>
        <v>0</v>
      </c>
      <c r="W833" s="26">
        <f>IF(B833="","",ROUND(T833*V833,2))</f>
        <v>0</v>
      </c>
      <c r="X833" s="26">
        <f>IF(B833="","",ROUND(IF(M833="",0,W833*M833)+IF(N833="",0,N833),2))</f>
        <v>0</v>
      </c>
      <c r="Y833" s="26">
        <f>IF(B833="","",ROUND(W833-X833-IF(P833="",0,P833),2))</f>
        <v>0</v>
      </c>
      <c r="Z833" s="26">
        <f>IF(B833="","",IF(H833="Retail",IF(TaxOnRetail="Yes",ROUND(Y833*TaxRate,2),0),IF(H833="Service",IF(TaxOnServices="Yes",ROUND(Y833*TaxRate,2),0),0)))</f>
        <v>0</v>
      </c>
      <c r="AA833" s="26">
        <f>IF(B833="","",ROUND(Y833+Z833,2))</f>
        <v>0</v>
      </c>
      <c r="AB833" s="26">
        <f>IF(B833="","",ROUND(T833*IF(H833="Retail",IFERROR(INDEX(Inventory!$H$5:$H$304,MATCH(I833,Inventory!$A$5:$A$304,0))*1,0),IFERROR(INDEX(Services!$Q$5:$Q$204,MATCH(I833,Services!$A$5:$A$204,0))*1,0)),2))</f>
        <v>0</v>
      </c>
      <c r="AC833" s="26">
        <f>IF(B833="","",ROUND(Y833-AB833,2))</f>
        <v>0</v>
      </c>
      <c r="AD833" s="38">
        <f>IF(B833="","",IF(C833="","No",IF(COUNTIFS($C$5:C833,C833)=1,"Yes","No")))</f>
        <v>0</v>
      </c>
      <c r="AE833" s="26">
        <f>IF(B833="","",ROUND(SUMIFS(Payments!$G$5:$G$1204,Payments!$H$5:$H$1204,A833,Payments!$Q$5:$Q$1204,"Yes"),2))</f>
        <v>0</v>
      </c>
      <c r="AF833" s="26">
        <f>IF(B833="","",IF(AD833="No",0,ROUND(SUMIFS(Payments!$G$5:$G$1204,Payments!$I$5:$I$1204,C833,Payments!$H$5:$H$1204,"",Payments!$Q$5:$Q$1204,"Yes"),2)))</f>
        <v>0</v>
      </c>
      <c r="AG833" s="26">
        <f>IF(B833="","",ROUND(AE833+AF833,2))</f>
        <v>0</v>
      </c>
      <c r="AH833" s="26">
        <f>IF(B833="","",ROUND(AA833-AG833,2))</f>
        <v>0</v>
      </c>
      <c r="AI833" s="39">
        <f>IF(B833="","",IF(AA833&lt;=0,"No charge",IF(AH833&lt;=0.004,"Paid",IF(AG833&lt;=0.004,"Unpaid","Part paid"))))</f>
        <v>0</v>
      </c>
      <c r="AJ833" s="38">
        <f>IF(B833="","",IF(H833&lt;&gt;"Service","",IF(D833="","No",IF(COUNTIFS($D$5:$D$1204,D833,$B$5:$B$1204,B833,$H$5:$H$1204,"Retail")&gt;0,"Yes","No"))))</f>
        <v>0</v>
      </c>
      <c r="AK833" s="25">
        <f>IF(B833="","",COUNTIFS($Y$5:$Y$1204,"&gt;"&amp;Y833)+COUNTIFS($Y$5:Y833,Y833))</f>
        <v>0</v>
      </c>
      <c r="AL833" s="39">
        <f>IF(B833="","",IF(H833="","Add - what kind of sale is this?",IF(IF(V833&lt;=0,P833="",FALSE),"Check - no price found for this item",IF(F833="","Assign - nobody credited",IF(AH833&gt;0.004,"Unpaid - balance outstanding",IF(AC833&lt;0,"Loss - sold below cost",IF(X833&gt;W833*0.5,"Check - more than half off","OK")))))))</f>
        <v>0</v>
      </c>
    </row>
    <row r="834" spans="1:38">
      <c r="A834" s="28">
        <f>IF(B834="","",SalePrefix&amp;TEXT(ROW()-4,"0000"))</f>
        <v>0</v>
      </c>
      <c r="E834" s="15">
        <f>IF(D834="","",IFERROR(INDEX(Clients!$B$5:$B$504,MATCH(D834,Clients!$A$5:$A$504,0)),"Walk-in"))</f>
        <v>0</v>
      </c>
      <c r="G834" s="15">
        <f>IF(F834="","",IFERROR(INDEX(Staff!$B$5:$B$44,MATCH(F834,Staff!$A$5:$A$44,0)),"House"))</f>
        <v>0</v>
      </c>
      <c r="R834" s="15">
        <f>IF(B834="","",TEXT(B834,"yyyy-mm"))</f>
        <v>0</v>
      </c>
      <c r="S834" s="25">
        <f>IF(B834="","",WEEKNUM(B834,2))</f>
        <v>0</v>
      </c>
      <c r="T834" s="37">
        <f>IF(B834="","",IF(K834="",1,K834))</f>
        <v>0</v>
      </c>
      <c r="U834" s="15">
        <f>IF(B834="","",IF(J834&lt;&gt;"",J834,IF(H834="Retail",IFERROR(INDEX(Inventory!$B$5:$B$304,MATCH(I834,Inventory!$A$5:$A$304,0))&amp;"","Not in Inventory"),IFERROR(INDEX(Services!$B$5:$B$204,MATCH(I834,Services!$A$5:$A$204,0))&amp;"","Not in Services"))))</f>
        <v>0</v>
      </c>
      <c r="V834" s="26">
        <f>IF(B834="","",IF(L834&lt;&gt;"",L834,IF(H834="Retail",IFERROR(INDEX(Inventory!$I$5:$I$304,MATCH(I834,Inventory!$A$5:$A$304,0))*1,0),IFERROR(INDEX(Services!$G$5:$G$204,MATCH(I834,Services!$A$5:$A$204,0))*1,0))))</f>
        <v>0</v>
      </c>
      <c r="W834" s="26">
        <f>IF(B834="","",ROUND(T834*V834,2))</f>
        <v>0</v>
      </c>
      <c r="X834" s="26">
        <f>IF(B834="","",ROUND(IF(M834="",0,W834*M834)+IF(N834="",0,N834),2))</f>
        <v>0</v>
      </c>
      <c r="Y834" s="26">
        <f>IF(B834="","",ROUND(W834-X834-IF(P834="",0,P834),2))</f>
        <v>0</v>
      </c>
      <c r="Z834" s="26">
        <f>IF(B834="","",IF(H834="Retail",IF(TaxOnRetail="Yes",ROUND(Y834*TaxRate,2),0),IF(H834="Service",IF(TaxOnServices="Yes",ROUND(Y834*TaxRate,2),0),0)))</f>
        <v>0</v>
      </c>
      <c r="AA834" s="26">
        <f>IF(B834="","",ROUND(Y834+Z834,2))</f>
        <v>0</v>
      </c>
      <c r="AB834" s="26">
        <f>IF(B834="","",ROUND(T834*IF(H834="Retail",IFERROR(INDEX(Inventory!$H$5:$H$304,MATCH(I834,Inventory!$A$5:$A$304,0))*1,0),IFERROR(INDEX(Services!$Q$5:$Q$204,MATCH(I834,Services!$A$5:$A$204,0))*1,0)),2))</f>
        <v>0</v>
      </c>
      <c r="AC834" s="26">
        <f>IF(B834="","",ROUND(Y834-AB834,2))</f>
        <v>0</v>
      </c>
      <c r="AD834" s="38">
        <f>IF(B834="","",IF(C834="","No",IF(COUNTIFS($C$5:C834,C834)=1,"Yes","No")))</f>
        <v>0</v>
      </c>
      <c r="AE834" s="26">
        <f>IF(B834="","",ROUND(SUMIFS(Payments!$G$5:$G$1204,Payments!$H$5:$H$1204,A834,Payments!$Q$5:$Q$1204,"Yes"),2))</f>
        <v>0</v>
      </c>
      <c r="AF834" s="26">
        <f>IF(B834="","",IF(AD834="No",0,ROUND(SUMIFS(Payments!$G$5:$G$1204,Payments!$I$5:$I$1204,C834,Payments!$H$5:$H$1204,"",Payments!$Q$5:$Q$1204,"Yes"),2)))</f>
        <v>0</v>
      </c>
      <c r="AG834" s="26">
        <f>IF(B834="","",ROUND(AE834+AF834,2))</f>
        <v>0</v>
      </c>
      <c r="AH834" s="26">
        <f>IF(B834="","",ROUND(AA834-AG834,2))</f>
        <v>0</v>
      </c>
      <c r="AI834" s="39">
        <f>IF(B834="","",IF(AA834&lt;=0,"No charge",IF(AH834&lt;=0.004,"Paid",IF(AG834&lt;=0.004,"Unpaid","Part paid"))))</f>
        <v>0</v>
      </c>
      <c r="AJ834" s="38">
        <f>IF(B834="","",IF(H834&lt;&gt;"Service","",IF(D834="","No",IF(COUNTIFS($D$5:$D$1204,D834,$B$5:$B$1204,B834,$H$5:$H$1204,"Retail")&gt;0,"Yes","No"))))</f>
        <v>0</v>
      </c>
      <c r="AK834" s="25">
        <f>IF(B834="","",COUNTIFS($Y$5:$Y$1204,"&gt;"&amp;Y834)+COUNTIFS($Y$5:Y834,Y834))</f>
        <v>0</v>
      </c>
      <c r="AL834" s="39">
        <f>IF(B834="","",IF(H834="","Add - what kind of sale is this?",IF(IF(V834&lt;=0,P834="",FALSE),"Check - no price found for this item",IF(F834="","Assign - nobody credited",IF(AH834&gt;0.004,"Unpaid - balance outstanding",IF(AC834&lt;0,"Loss - sold below cost",IF(X834&gt;W834*0.5,"Check - more than half off","OK")))))))</f>
        <v>0</v>
      </c>
    </row>
    <row r="835" spans="1:38">
      <c r="A835" s="28">
        <f>IF(B835="","",SalePrefix&amp;TEXT(ROW()-4,"0000"))</f>
        <v>0</v>
      </c>
      <c r="E835" s="15">
        <f>IF(D835="","",IFERROR(INDEX(Clients!$B$5:$B$504,MATCH(D835,Clients!$A$5:$A$504,0)),"Walk-in"))</f>
        <v>0</v>
      </c>
      <c r="G835" s="15">
        <f>IF(F835="","",IFERROR(INDEX(Staff!$B$5:$B$44,MATCH(F835,Staff!$A$5:$A$44,0)),"House"))</f>
        <v>0</v>
      </c>
      <c r="R835" s="15">
        <f>IF(B835="","",TEXT(B835,"yyyy-mm"))</f>
        <v>0</v>
      </c>
      <c r="S835" s="25">
        <f>IF(B835="","",WEEKNUM(B835,2))</f>
        <v>0</v>
      </c>
      <c r="T835" s="37">
        <f>IF(B835="","",IF(K835="",1,K835))</f>
        <v>0</v>
      </c>
      <c r="U835" s="15">
        <f>IF(B835="","",IF(J835&lt;&gt;"",J835,IF(H835="Retail",IFERROR(INDEX(Inventory!$B$5:$B$304,MATCH(I835,Inventory!$A$5:$A$304,0))&amp;"","Not in Inventory"),IFERROR(INDEX(Services!$B$5:$B$204,MATCH(I835,Services!$A$5:$A$204,0))&amp;"","Not in Services"))))</f>
        <v>0</v>
      </c>
      <c r="V835" s="26">
        <f>IF(B835="","",IF(L835&lt;&gt;"",L835,IF(H835="Retail",IFERROR(INDEX(Inventory!$I$5:$I$304,MATCH(I835,Inventory!$A$5:$A$304,0))*1,0),IFERROR(INDEX(Services!$G$5:$G$204,MATCH(I835,Services!$A$5:$A$204,0))*1,0))))</f>
        <v>0</v>
      </c>
      <c r="W835" s="26">
        <f>IF(B835="","",ROUND(T835*V835,2))</f>
        <v>0</v>
      </c>
      <c r="X835" s="26">
        <f>IF(B835="","",ROUND(IF(M835="",0,W835*M835)+IF(N835="",0,N835),2))</f>
        <v>0</v>
      </c>
      <c r="Y835" s="26">
        <f>IF(B835="","",ROUND(W835-X835-IF(P835="",0,P835),2))</f>
        <v>0</v>
      </c>
      <c r="Z835" s="26">
        <f>IF(B835="","",IF(H835="Retail",IF(TaxOnRetail="Yes",ROUND(Y835*TaxRate,2),0),IF(H835="Service",IF(TaxOnServices="Yes",ROUND(Y835*TaxRate,2),0),0)))</f>
        <v>0</v>
      </c>
      <c r="AA835" s="26">
        <f>IF(B835="","",ROUND(Y835+Z835,2))</f>
        <v>0</v>
      </c>
      <c r="AB835" s="26">
        <f>IF(B835="","",ROUND(T835*IF(H835="Retail",IFERROR(INDEX(Inventory!$H$5:$H$304,MATCH(I835,Inventory!$A$5:$A$304,0))*1,0),IFERROR(INDEX(Services!$Q$5:$Q$204,MATCH(I835,Services!$A$5:$A$204,0))*1,0)),2))</f>
        <v>0</v>
      </c>
      <c r="AC835" s="26">
        <f>IF(B835="","",ROUND(Y835-AB835,2))</f>
        <v>0</v>
      </c>
      <c r="AD835" s="38">
        <f>IF(B835="","",IF(C835="","No",IF(COUNTIFS($C$5:C835,C835)=1,"Yes","No")))</f>
        <v>0</v>
      </c>
      <c r="AE835" s="26">
        <f>IF(B835="","",ROUND(SUMIFS(Payments!$G$5:$G$1204,Payments!$H$5:$H$1204,A835,Payments!$Q$5:$Q$1204,"Yes"),2))</f>
        <v>0</v>
      </c>
      <c r="AF835" s="26">
        <f>IF(B835="","",IF(AD835="No",0,ROUND(SUMIFS(Payments!$G$5:$G$1204,Payments!$I$5:$I$1204,C835,Payments!$H$5:$H$1204,"",Payments!$Q$5:$Q$1204,"Yes"),2)))</f>
        <v>0</v>
      </c>
      <c r="AG835" s="26">
        <f>IF(B835="","",ROUND(AE835+AF835,2))</f>
        <v>0</v>
      </c>
      <c r="AH835" s="26">
        <f>IF(B835="","",ROUND(AA835-AG835,2))</f>
        <v>0</v>
      </c>
      <c r="AI835" s="39">
        <f>IF(B835="","",IF(AA835&lt;=0,"No charge",IF(AH835&lt;=0.004,"Paid",IF(AG835&lt;=0.004,"Unpaid","Part paid"))))</f>
        <v>0</v>
      </c>
      <c r="AJ835" s="38">
        <f>IF(B835="","",IF(H835&lt;&gt;"Service","",IF(D835="","No",IF(COUNTIFS($D$5:$D$1204,D835,$B$5:$B$1204,B835,$H$5:$H$1204,"Retail")&gt;0,"Yes","No"))))</f>
        <v>0</v>
      </c>
      <c r="AK835" s="25">
        <f>IF(B835="","",COUNTIFS($Y$5:$Y$1204,"&gt;"&amp;Y835)+COUNTIFS($Y$5:Y835,Y835))</f>
        <v>0</v>
      </c>
      <c r="AL835" s="39">
        <f>IF(B835="","",IF(H835="","Add - what kind of sale is this?",IF(IF(V835&lt;=0,P835="",FALSE),"Check - no price found for this item",IF(F835="","Assign - nobody credited",IF(AH835&gt;0.004,"Unpaid - balance outstanding",IF(AC835&lt;0,"Loss - sold below cost",IF(X835&gt;W835*0.5,"Check - more than half off","OK")))))))</f>
        <v>0</v>
      </c>
    </row>
    <row r="836" spans="1:38">
      <c r="A836" s="28">
        <f>IF(B836="","",SalePrefix&amp;TEXT(ROW()-4,"0000"))</f>
        <v>0</v>
      </c>
      <c r="E836" s="15">
        <f>IF(D836="","",IFERROR(INDEX(Clients!$B$5:$B$504,MATCH(D836,Clients!$A$5:$A$504,0)),"Walk-in"))</f>
        <v>0</v>
      </c>
      <c r="G836" s="15">
        <f>IF(F836="","",IFERROR(INDEX(Staff!$B$5:$B$44,MATCH(F836,Staff!$A$5:$A$44,0)),"House"))</f>
        <v>0</v>
      </c>
      <c r="R836" s="15">
        <f>IF(B836="","",TEXT(B836,"yyyy-mm"))</f>
        <v>0</v>
      </c>
      <c r="S836" s="25">
        <f>IF(B836="","",WEEKNUM(B836,2))</f>
        <v>0</v>
      </c>
      <c r="T836" s="37">
        <f>IF(B836="","",IF(K836="",1,K836))</f>
        <v>0</v>
      </c>
      <c r="U836" s="15">
        <f>IF(B836="","",IF(J836&lt;&gt;"",J836,IF(H836="Retail",IFERROR(INDEX(Inventory!$B$5:$B$304,MATCH(I836,Inventory!$A$5:$A$304,0))&amp;"","Not in Inventory"),IFERROR(INDEX(Services!$B$5:$B$204,MATCH(I836,Services!$A$5:$A$204,0))&amp;"","Not in Services"))))</f>
        <v>0</v>
      </c>
      <c r="V836" s="26">
        <f>IF(B836="","",IF(L836&lt;&gt;"",L836,IF(H836="Retail",IFERROR(INDEX(Inventory!$I$5:$I$304,MATCH(I836,Inventory!$A$5:$A$304,0))*1,0),IFERROR(INDEX(Services!$G$5:$G$204,MATCH(I836,Services!$A$5:$A$204,0))*1,0))))</f>
        <v>0</v>
      </c>
      <c r="W836" s="26">
        <f>IF(B836="","",ROUND(T836*V836,2))</f>
        <v>0</v>
      </c>
      <c r="X836" s="26">
        <f>IF(B836="","",ROUND(IF(M836="",0,W836*M836)+IF(N836="",0,N836),2))</f>
        <v>0</v>
      </c>
      <c r="Y836" s="26">
        <f>IF(B836="","",ROUND(W836-X836-IF(P836="",0,P836),2))</f>
        <v>0</v>
      </c>
      <c r="Z836" s="26">
        <f>IF(B836="","",IF(H836="Retail",IF(TaxOnRetail="Yes",ROUND(Y836*TaxRate,2),0),IF(H836="Service",IF(TaxOnServices="Yes",ROUND(Y836*TaxRate,2),0),0)))</f>
        <v>0</v>
      </c>
      <c r="AA836" s="26">
        <f>IF(B836="","",ROUND(Y836+Z836,2))</f>
        <v>0</v>
      </c>
      <c r="AB836" s="26">
        <f>IF(B836="","",ROUND(T836*IF(H836="Retail",IFERROR(INDEX(Inventory!$H$5:$H$304,MATCH(I836,Inventory!$A$5:$A$304,0))*1,0),IFERROR(INDEX(Services!$Q$5:$Q$204,MATCH(I836,Services!$A$5:$A$204,0))*1,0)),2))</f>
        <v>0</v>
      </c>
      <c r="AC836" s="26">
        <f>IF(B836="","",ROUND(Y836-AB836,2))</f>
        <v>0</v>
      </c>
      <c r="AD836" s="38">
        <f>IF(B836="","",IF(C836="","No",IF(COUNTIFS($C$5:C836,C836)=1,"Yes","No")))</f>
        <v>0</v>
      </c>
      <c r="AE836" s="26">
        <f>IF(B836="","",ROUND(SUMIFS(Payments!$G$5:$G$1204,Payments!$H$5:$H$1204,A836,Payments!$Q$5:$Q$1204,"Yes"),2))</f>
        <v>0</v>
      </c>
      <c r="AF836" s="26">
        <f>IF(B836="","",IF(AD836="No",0,ROUND(SUMIFS(Payments!$G$5:$G$1204,Payments!$I$5:$I$1204,C836,Payments!$H$5:$H$1204,"",Payments!$Q$5:$Q$1204,"Yes"),2)))</f>
        <v>0</v>
      </c>
      <c r="AG836" s="26">
        <f>IF(B836="","",ROUND(AE836+AF836,2))</f>
        <v>0</v>
      </c>
      <c r="AH836" s="26">
        <f>IF(B836="","",ROUND(AA836-AG836,2))</f>
        <v>0</v>
      </c>
      <c r="AI836" s="39">
        <f>IF(B836="","",IF(AA836&lt;=0,"No charge",IF(AH836&lt;=0.004,"Paid",IF(AG836&lt;=0.004,"Unpaid","Part paid"))))</f>
        <v>0</v>
      </c>
      <c r="AJ836" s="38">
        <f>IF(B836="","",IF(H836&lt;&gt;"Service","",IF(D836="","No",IF(COUNTIFS($D$5:$D$1204,D836,$B$5:$B$1204,B836,$H$5:$H$1204,"Retail")&gt;0,"Yes","No"))))</f>
        <v>0</v>
      </c>
      <c r="AK836" s="25">
        <f>IF(B836="","",COUNTIFS($Y$5:$Y$1204,"&gt;"&amp;Y836)+COUNTIFS($Y$5:Y836,Y836))</f>
        <v>0</v>
      </c>
      <c r="AL836" s="39">
        <f>IF(B836="","",IF(H836="","Add - what kind of sale is this?",IF(IF(V836&lt;=0,P836="",FALSE),"Check - no price found for this item",IF(F836="","Assign - nobody credited",IF(AH836&gt;0.004,"Unpaid - balance outstanding",IF(AC836&lt;0,"Loss - sold below cost",IF(X836&gt;W836*0.5,"Check - more than half off","OK")))))))</f>
        <v>0</v>
      </c>
    </row>
    <row r="837" spans="1:38">
      <c r="A837" s="28">
        <f>IF(B837="","",SalePrefix&amp;TEXT(ROW()-4,"0000"))</f>
        <v>0</v>
      </c>
      <c r="E837" s="15">
        <f>IF(D837="","",IFERROR(INDEX(Clients!$B$5:$B$504,MATCH(D837,Clients!$A$5:$A$504,0)),"Walk-in"))</f>
        <v>0</v>
      </c>
      <c r="G837" s="15">
        <f>IF(F837="","",IFERROR(INDEX(Staff!$B$5:$B$44,MATCH(F837,Staff!$A$5:$A$44,0)),"House"))</f>
        <v>0</v>
      </c>
      <c r="R837" s="15">
        <f>IF(B837="","",TEXT(B837,"yyyy-mm"))</f>
        <v>0</v>
      </c>
      <c r="S837" s="25">
        <f>IF(B837="","",WEEKNUM(B837,2))</f>
        <v>0</v>
      </c>
      <c r="T837" s="37">
        <f>IF(B837="","",IF(K837="",1,K837))</f>
        <v>0</v>
      </c>
      <c r="U837" s="15">
        <f>IF(B837="","",IF(J837&lt;&gt;"",J837,IF(H837="Retail",IFERROR(INDEX(Inventory!$B$5:$B$304,MATCH(I837,Inventory!$A$5:$A$304,0))&amp;"","Not in Inventory"),IFERROR(INDEX(Services!$B$5:$B$204,MATCH(I837,Services!$A$5:$A$204,0))&amp;"","Not in Services"))))</f>
        <v>0</v>
      </c>
      <c r="V837" s="26">
        <f>IF(B837="","",IF(L837&lt;&gt;"",L837,IF(H837="Retail",IFERROR(INDEX(Inventory!$I$5:$I$304,MATCH(I837,Inventory!$A$5:$A$304,0))*1,0),IFERROR(INDEX(Services!$G$5:$G$204,MATCH(I837,Services!$A$5:$A$204,0))*1,0))))</f>
        <v>0</v>
      </c>
      <c r="W837" s="26">
        <f>IF(B837="","",ROUND(T837*V837,2))</f>
        <v>0</v>
      </c>
      <c r="X837" s="26">
        <f>IF(B837="","",ROUND(IF(M837="",0,W837*M837)+IF(N837="",0,N837),2))</f>
        <v>0</v>
      </c>
      <c r="Y837" s="26">
        <f>IF(B837="","",ROUND(W837-X837-IF(P837="",0,P837),2))</f>
        <v>0</v>
      </c>
      <c r="Z837" s="26">
        <f>IF(B837="","",IF(H837="Retail",IF(TaxOnRetail="Yes",ROUND(Y837*TaxRate,2),0),IF(H837="Service",IF(TaxOnServices="Yes",ROUND(Y837*TaxRate,2),0),0)))</f>
        <v>0</v>
      </c>
      <c r="AA837" s="26">
        <f>IF(B837="","",ROUND(Y837+Z837,2))</f>
        <v>0</v>
      </c>
      <c r="AB837" s="26">
        <f>IF(B837="","",ROUND(T837*IF(H837="Retail",IFERROR(INDEX(Inventory!$H$5:$H$304,MATCH(I837,Inventory!$A$5:$A$304,0))*1,0),IFERROR(INDEX(Services!$Q$5:$Q$204,MATCH(I837,Services!$A$5:$A$204,0))*1,0)),2))</f>
        <v>0</v>
      </c>
      <c r="AC837" s="26">
        <f>IF(B837="","",ROUND(Y837-AB837,2))</f>
        <v>0</v>
      </c>
      <c r="AD837" s="38">
        <f>IF(B837="","",IF(C837="","No",IF(COUNTIFS($C$5:C837,C837)=1,"Yes","No")))</f>
        <v>0</v>
      </c>
      <c r="AE837" s="26">
        <f>IF(B837="","",ROUND(SUMIFS(Payments!$G$5:$G$1204,Payments!$H$5:$H$1204,A837,Payments!$Q$5:$Q$1204,"Yes"),2))</f>
        <v>0</v>
      </c>
      <c r="AF837" s="26">
        <f>IF(B837="","",IF(AD837="No",0,ROUND(SUMIFS(Payments!$G$5:$G$1204,Payments!$I$5:$I$1204,C837,Payments!$H$5:$H$1204,"",Payments!$Q$5:$Q$1204,"Yes"),2)))</f>
        <v>0</v>
      </c>
      <c r="AG837" s="26">
        <f>IF(B837="","",ROUND(AE837+AF837,2))</f>
        <v>0</v>
      </c>
      <c r="AH837" s="26">
        <f>IF(B837="","",ROUND(AA837-AG837,2))</f>
        <v>0</v>
      </c>
      <c r="AI837" s="39">
        <f>IF(B837="","",IF(AA837&lt;=0,"No charge",IF(AH837&lt;=0.004,"Paid",IF(AG837&lt;=0.004,"Unpaid","Part paid"))))</f>
        <v>0</v>
      </c>
      <c r="AJ837" s="38">
        <f>IF(B837="","",IF(H837&lt;&gt;"Service","",IF(D837="","No",IF(COUNTIFS($D$5:$D$1204,D837,$B$5:$B$1204,B837,$H$5:$H$1204,"Retail")&gt;0,"Yes","No"))))</f>
        <v>0</v>
      </c>
      <c r="AK837" s="25">
        <f>IF(B837="","",COUNTIFS($Y$5:$Y$1204,"&gt;"&amp;Y837)+COUNTIFS($Y$5:Y837,Y837))</f>
        <v>0</v>
      </c>
      <c r="AL837" s="39">
        <f>IF(B837="","",IF(H837="","Add - what kind of sale is this?",IF(IF(V837&lt;=0,P837="",FALSE),"Check - no price found for this item",IF(F837="","Assign - nobody credited",IF(AH837&gt;0.004,"Unpaid - balance outstanding",IF(AC837&lt;0,"Loss - sold below cost",IF(X837&gt;W837*0.5,"Check - more than half off","OK")))))))</f>
        <v>0</v>
      </c>
    </row>
    <row r="838" spans="1:38">
      <c r="A838" s="28">
        <f>IF(B838="","",SalePrefix&amp;TEXT(ROW()-4,"0000"))</f>
        <v>0</v>
      </c>
      <c r="E838" s="15">
        <f>IF(D838="","",IFERROR(INDEX(Clients!$B$5:$B$504,MATCH(D838,Clients!$A$5:$A$504,0)),"Walk-in"))</f>
        <v>0</v>
      </c>
      <c r="G838" s="15">
        <f>IF(F838="","",IFERROR(INDEX(Staff!$B$5:$B$44,MATCH(F838,Staff!$A$5:$A$44,0)),"House"))</f>
        <v>0</v>
      </c>
      <c r="R838" s="15">
        <f>IF(B838="","",TEXT(B838,"yyyy-mm"))</f>
        <v>0</v>
      </c>
      <c r="S838" s="25">
        <f>IF(B838="","",WEEKNUM(B838,2))</f>
        <v>0</v>
      </c>
      <c r="T838" s="37">
        <f>IF(B838="","",IF(K838="",1,K838))</f>
        <v>0</v>
      </c>
      <c r="U838" s="15">
        <f>IF(B838="","",IF(J838&lt;&gt;"",J838,IF(H838="Retail",IFERROR(INDEX(Inventory!$B$5:$B$304,MATCH(I838,Inventory!$A$5:$A$304,0))&amp;"","Not in Inventory"),IFERROR(INDEX(Services!$B$5:$B$204,MATCH(I838,Services!$A$5:$A$204,0))&amp;"","Not in Services"))))</f>
        <v>0</v>
      </c>
      <c r="V838" s="26">
        <f>IF(B838="","",IF(L838&lt;&gt;"",L838,IF(H838="Retail",IFERROR(INDEX(Inventory!$I$5:$I$304,MATCH(I838,Inventory!$A$5:$A$304,0))*1,0),IFERROR(INDEX(Services!$G$5:$G$204,MATCH(I838,Services!$A$5:$A$204,0))*1,0))))</f>
        <v>0</v>
      </c>
      <c r="W838" s="26">
        <f>IF(B838="","",ROUND(T838*V838,2))</f>
        <v>0</v>
      </c>
      <c r="X838" s="26">
        <f>IF(B838="","",ROUND(IF(M838="",0,W838*M838)+IF(N838="",0,N838),2))</f>
        <v>0</v>
      </c>
      <c r="Y838" s="26">
        <f>IF(B838="","",ROUND(W838-X838-IF(P838="",0,P838),2))</f>
        <v>0</v>
      </c>
      <c r="Z838" s="26">
        <f>IF(B838="","",IF(H838="Retail",IF(TaxOnRetail="Yes",ROUND(Y838*TaxRate,2),0),IF(H838="Service",IF(TaxOnServices="Yes",ROUND(Y838*TaxRate,2),0),0)))</f>
        <v>0</v>
      </c>
      <c r="AA838" s="26">
        <f>IF(B838="","",ROUND(Y838+Z838,2))</f>
        <v>0</v>
      </c>
      <c r="AB838" s="26">
        <f>IF(B838="","",ROUND(T838*IF(H838="Retail",IFERROR(INDEX(Inventory!$H$5:$H$304,MATCH(I838,Inventory!$A$5:$A$304,0))*1,0),IFERROR(INDEX(Services!$Q$5:$Q$204,MATCH(I838,Services!$A$5:$A$204,0))*1,0)),2))</f>
        <v>0</v>
      </c>
      <c r="AC838" s="26">
        <f>IF(B838="","",ROUND(Y838-AB838,2))</f>
        <v>0</v>
      </c>
      <c r="AD838" s="38">
        <f>IF(B838="","",IF(C838="","No",IF(COUNTIFS($C$5:C838,C838)=1,"Yes","No")))</f>
        <v>0</v>
      </c>
      <c r="AE838" s="26">
        <f>IF(B838="","",ROUND(SUMIFS(Payments!$G$5:$G$1204,Payments!$H$5:$H$1204,A838,Payments!$Q$5:$Q$1204,"Yes"),2))</f>
        <v>0</v>
      </c>
      <c r="AF838" s="26">
        <f>IF(B838="","",IF(AD838="No",0,ROUND(SUMIFS(Payments!$G$5:$G$1204,Payments!$I$5:$I$1204,C838,Payments!$H$5:$H$1204,"",Payments!$Q$5:$Q$1204,"Yes"),2)))</f>
        <v>0</v>
      </c>
      <c r="AG838" s="26">
        <f>IF(B838="","",ROUND(AE838+AF838,2))</f>
        <v>0</v>
      </c>
      <c r="AH838" s="26">
        <f>IF(B838="","",ROUND(AA838-AG838,2))</f>
        <v>0</v>
      </c>
      <c r="AI838" s="39">
        <f>IF(B838="","",IF(AA838&lt;=0,"No charge",IF(AH838&lt;=0.004,"Paid",IF(AG838&lt;=0.004,"Unpaid","Part paid"))))</f>
        <v>0</v>
      </c>
      <c r="AJ838" s="38">
        <f>IF(B838="","",IF(H838&lt;&gt;"Service","",IF(D838="","No",IF(COUNTIFS($D$5:$D$1204,D838,$B$5:$B$1204,B838,$H$5:$H$1204,"Retail")&gt;0,"Yes","No"))))</f>
        <v>0</v>
      </c>
      <c r="AK838" s="25">
        <f>IF(B838="","",COUNTIFS($Y$5:$Y$1204,"&gt;"&amp;Y838)+COUNTIFS($Y$5:Y838,Y838))</f>
        <v>0</v>
      </c>
      <c r="AL838" s="39">
        <f>IF(B838="","",IF(H838="","Add - what kind of sale is this?",IF(IF(V838&lt;=0,P838="",FALSE),"Check - no price found for this item",IF(F838="","Assign - nobody credited",IF(AH838&gt;0.004,"Unpaid - balance outstanding",IF(AC838&lt;0,"Loss - sold below cost",IF(X838&gt;W838*0.5,"Check - more than half off","OK")))))))</f>
        <v>0</v>
      </c>
    </row>
    <row r="839" spans="1:38">
      <c r="A839" s="28">
        <f>IF(B839="","",SalePrefix&amp;TEXT(ROW()-4,"0000"))</f>
        <v>0</v>
      </c>
      <c r="E839" s="15">
        <f>IF(D839="","",IFERROR(INDEX(Clients!$B$5:$B$504,MATCH(D839,Clients!$A$5:$A$504,0)),"Walk-in"))</f>
        <v>0</v>
      </c>
      <c r="G839" s="15">
        <f>IF(F839="","",IFERROR(INDEX(Staff!$B$5:$B$44,MATCH(F839,Staff!$A$5:$A$44,0)),"House"))</f>
        <v>0</v>
      </c>
      <c r="R839" s="15">
        <f>IF(B839="","",TEXT(B839,"yyyy-mm"))</f>
        <v>0</v>
      </c>
      <c r="S839" s="25">
        <f>IF(B839="","",WEEKNUM(B839,2))</f>
        <v>0</v>
      </c>
      <c r="T839" s="37">
        <f>IF(B839="","",IF(K839="",1,K839))</f>
        <v>0</v>
      </c>
      <c r="U839" s="15">
        <f>IF(B839="","",IF(J839&lt;&gt;"",J839,IF(H839="Retail",IFERROR(INDEX(Inventory!$B$5:$B$304,MATCH(I839,Inventory!$A$5:$A$304,0))&amp;"","Not in Inventory"),IFERROR(INDEX(Services!$B$5:$B$204,MATCH(I839,Services!$A$5:$A$204,0))&amp;"","Not in Services"))))</f>
        <v>0</v>
      </c>
      <c r="V839" s="26">
        <f>IF(B839="","",IF(L839&lt;&gt;"",L839,IF(H839="Retail",IFERROR(INDEX(Inventory!$I$5:$I$304,MATCH(I839,Inventory!$A$5:$A$304,0))*1,0),IFERROR(INDEX(Services!$G$5:$G$204,MATCH(I839,Services!$A$5:$A$204,0))*1,0))))</f>
        <v>0</v>
      </c>
      <c r="W839" s="26">
        <f>IF(B839="","",ROUND(T839*V839,2))</f>
        <v>0</v>
      </c>
      <c r="X839" s="26">
        <f>IF(B839="","",ROUND(IF(M839="",0,W839*M839)+IF(N839="",0,N839),2))</f>
        <v>0</v>
      </c>
      <c r="Y839" s="26">
        <f>IF(B839="","",ROUND(W839-X839-IF(P839="",0,P839),2))</f>
        <v>0</v>
      </c>
      <c r="Z839" s="26">
        <f>IF(B839="","",IF(H839="Retail",IF(TaxOnRetail="Yes",ROUND(Y839*TaxRate,2),0),IF(H839="Service",IF(TaxOnServices="Yes",ROUND(Y839*TaxRate,2),0),0)))</f>
        <v>0</v>
      </c>
      <c r="AA839" s="26">
        <f>IF(B839="","",ROUND(Y839+Z839,2))</f>
        <v>0</v>
      </c>
      <c r="AB839" s="26">
        <f>IF(B839="","",ROUND(T839*IF(H839="Retail",IFERROR(INDEX(Inventory!$H$5:$H$304,MATCH(I839,Inventory!$A$5:$A$304,0))*1,0),IFERROR(INDEX(Services!$Q$5:$Q$204,MATCH(I839,Services!$A$5:$A$204,0))*1,0)),2))</f>
        <v>0</v>
      </c>
      <c r="AC839" s="26">
        <f>IF(B839="","",ROUND(Y839-AB839,2))</f>
        <v>0</v>
      </c>
      <c r="AD839" s="38">
        <f>IF(B839="","",IF(C839="","No",IF(COUNTIFS($C$5:C839,C839)=1,"Yes","No")))</f>
        <v>0</v>
      </c>
      <c r="AE839" s="26">
        <f>IF(B839="","",ROUND(SUMIFS(Payments!$G$5:$G$1204,Payments!$H$5:$H$1204,A839,Payments!$Q$5:$Q$1204,"Yes"),2))</f>
        <v>0</v>
      </c>
      <c r="AF839" s="26">
        <f>IF(B839="","",IF(AD839="No",0,ROUND(SUMIFS(Payments!$G$5:$G$1204,Payments!$I$5:$I$1204,C839,Payments!$H$5:$H$1204,"",Payments!$Q$5:$Q$1204,"Yes"),2)))</f>
        <v>0</v>
      </c>
      <c r="AG839" s="26">
        <f>IF(B839="","",ROUND(AE839+AF839,2))</f>
        <v>0</v>
      </c>
      <c r="AH839" s="26">
        <f>IF(B839="","",ROUND(AA839-AG839,2))</f>
        <v>0</v>
      </c>
      <c r="AI839" s="39">
        <f>IF(B839="","",IF(AA839&lt;=0,"No charge",IF(AH839&lt;=0.004,"Paid",IF(AG839&lt;=0.004,"Unpaid","Part paid"))))</f>
        <v>0</v>
      </c>
      <c r="AJ839" s="38">
        <f>IF(B839="","",IF(H839&lt;&gt;"Service","",IF(D839="","No",IF(COUNTIFS($D$5:$D$1204,D839,$B$5:$B$1204,B839,$H$5:$H$1204,"Retail")&gt;0,"Yes","No"))))</f>
        <v>0</v>
      </c>
      <c r="AK839" s="25">
        <f>IF(B839="","",COUNTIFS($Y$5:$Y$1204,"&gt;"&amp;Y839)+COUNTIFS($Y$5:Y839,Y839))</f>
        <v>0</v>
      </c>
      <c r="AL839" s="39">
        <f>IF(B839="","",IF(H839="","Add - what kind of sale is this?",IF(IF(V839&lt;=0,P839="",FALSE),"Check - no price found for this item",IF(F839="","Assign - nobody credited",IF(AH839&gt;0.004,"Unpaid - balance outstanding",IF(AC839&lt;0,"Loss - sold below cost",IF(X839&gt;W839*0.5,"Check - more than half off","OK")))))))</f>
        <v>0</v>
      </c>
    </row>
    <row r="840" spans="1:38">
      <c r="A840" s="28">
        <f>IF(B840="","",SalePrefix&amp;TEXT(ROW()-4,"0000"))</f>
        <v>0</v>
      </c>
      <c r="E840" s="15">
        <f>IF(D840="","",IFERROR(INDEX(Clients!$B$5:$B$504,MATCH(D840,Clients!$A$5:$A$504,0)),"Walk-in"))</f>
        <v>0</v>
      </c>
      <c r="G840" s="15">
        <f>IF(F840="","",IFERROR(INDEX(Staff!$B$5:$B$44,MATCH(F840,Staff!$A$5:$A$44,0)),"House"))</f>
        <v>0</v>
      </c>
      <c r="R840" s="15">
        <f>IF(B840="","",TEXT(B840,"yyyy-mm"))</f>
        <v>0</v>
      </c>
      <c r="S840" s="25">
        <f>IF(B840="","",WEEKNUM(B840,2))</f>
        <v>0</v>
      </c>
      <c r="T840" s="37">
        <f>IF(B840="","",IF(K840="",1,K840))</f>
        <v>0</v>
      </c>
      <c r="U840" s="15">
        <f>IF(B840="","",IF(J840&lt;&gt;"",J840,IF(H840="Retail",IFERROR(INDEX(Inventory!$B$5:$B$304,MATCH(I840,Inventory!$A$5:$A$304,0))&amp;"","Not in Inventory"),IFERROR(INDEX(Services!$B$5:$B$204,MATCH(I840,Services!$A$5:$A$204,0))&amp;"","Not in Services"))))</f>
        <v>0</v>
      </c>
      <c r="V840" s="26">
        <f>IF(B840="","",IF(L840&lt;&gt;"",L840,IF(H840="Retail",IFERROR(INDEX(Inventory!$I$5:$I$304,MATCH(I840,Inventory!$A$5:$A$304,0))*1,0),IFERROR(INDEX(Services!$G$5:$G$204,MATCH(I840,Services!$A$5:$A$204,0))*1,0))))</f>
        <v>0</v>
      </c>
      <c r="W840" s="26">
        <f>IF(B840="","",ROUND(T840*V840,2))</f>
        <v>0</v>
      </c>
      <c r="X840" s="26">
        <f>IF(B840="","",ROUND(IF(M840="",0,W840*M840)+IF(N840="",0,N840),2))</f>
        <v>0</v>
      </c>
      <c r="Y840" s="26">
        <f>IF(B840="","",ROUND(W840-X840-IF(P840="",0,P840),2))</f>
        <v>0</v>
      </c>
      <c r="Z840" s="26">
        <f>IF(B840="","",IF(H840="Retail",IF(TaxOnRetail="Yes",ROUND(Y840*TaxRate,2),0),IF(H840="Service",IF(TaxOnServices="Yes",ROUND(Y840*TaxRate,2),0),0)))</f>
        <v>0</v>
      </c>
      <c r="AA840" s="26">
        <f>IF(B840="","",ROUND(Y840+Z840,2))</f>
        <v>0</v>
      </c>
      <c r="AB840" s="26">
        <f>IF(B840="","",ROUND(T840*IF(H840="Retail",IFERROR(INDEX(Inventory!$H$5:$H$304,MATCH(I840,Inventory!$A$5:$A$304,0))*1,0),IFERROR(INDEX(Services!$Q$5:$Q$204,MATCH(I840,Services!$A$5:$A$204,0))*1,0)),2))</f>
        <v>0</v>
      </c>
      <c r="AC840" s="26">
        <f>IF(B840="","",ROUND(Y840-AB840,2))</f>
        <v>0</v>
      </c>
      <c r="AD840" s="38">
        <f>IF(B840="","",IF(C840="","No",IF(COUNTIFS($C$5:C840,C840)=1,"Yes","No")))</f>
        <v>0</v>
      </c>
      <c r="AE840" s="26">
        <f>IF(B840="","",ROUND(SUMIFS(Payments!$G$5:$G$1204,Payments!$H$5:$H$1204,A840,Payments!$Q$5:$Q$1204,"Yes"),2))</f>
        <v>0</v>
      </c>
      <c r="AF840" s="26">
        <f>IF(B840="","",IF(AD840="No",0,ROUND(SUMIFS(Payments!$G$5:$G$1204,Payments!$I$5:$I$1204,C840,Payments!$H$5:$H$1204,"",Payments!$Q$5:$Q$1204,"Yes"),2)))</f>
        <v>0</v>
      </c>
      <c r="AG840" s="26">
        <f>IF(B840="","",ROUND(AE840+AF840,2))</f>
        <v>0</v>
      </c>
      <c r="AH840" s="26">
        <f>IF(B840="","",ROUND(AA840-AG840,2))</f>
        <v>0</v>
      </c>
      <c r="AI840" s="39">
        <f>IF(B840="","",IF(AA840&lt;=0,"No charge",IF(AH840&lt;=0.004,"Paid",IF(AG840&lt;=0.004,"Unpaid","Part paid"))))</f>
        <v>0</v>
      </c>
      <c r="AJ840" s="38">
        <f>IF(B840="","",IF(H840&lt;&gt;"Service","",IF(D840="","No",IF(COUNTIFS($D$5:$D$1204,D840,$B$5:$B$1204,B840,$H$5:$H$1204,"Retail")&gt;0,"Yes","No"))))</f>
        <v>0</v>
      </c>
      <c r="AK840" s="25">
        <f>IF(B840="","",COUNTIFS($Y$5:$Y$1204,"&gt;"&amp;Y840)+COUNTIFS($Y$5:Y840,Y840))</f>
        <v>0</v>
      </c>
      <c r="AL840" s="39">
        <f>IF(B840="","",IF(H840="","Add - what kind of sale is this?",IF(IF(V840&lt;=0,P840="",FALSE),"Check - no price found for this item",IF(F840="","Assign - nobody credited",IF(AH840&gt;0.004,"Unpaid - balance outstanding",IF(AC840&lt;0,"Loss - sold below cost",IF(X840&gt;W840*0.5,"Check - more than half off","OK")))))))</f>
        <v>0</v>
      </c>
    </row>
    <row r="841" spans="1:38">
      <c r="A841" s="28">
        <f>IF(B841="","",SalePrefix&amp;TEXT(ROW()-4,"0000"))</f>
        <v>0</v>
      </c>
      <c r="E841" s="15">
        <f>IF(D841="","",IFERROR(INDEX(Clients!$B$5:$B$504,MATCH(D841,Clients!$A$5:$A$504,0)),"Walk-in"))</f>
        <v>0</v>
      </c>
      <c r="G841" s="15">
        <f>IF(F841="","",IFERROR(INDEX(Staff!$B$5:$B$44,MATCH(F841,Staff!$A$5:$A$44,0)),"House"))</f>
        <v>0</v>
      </c>
      <c r="R841" s="15">
        <f>IF(B841="","",TEXT(B841,"yyyy-mm"))</f>
        <v>0</v>
      </c>
      <c r="S841" s="25">
        <f>IF(B841="","",WEEKNUM(B841,2))</f>
        <v>0</v>
      </c>
      <c r="T841" s="37">
        <f>IF(B841="","",IF(K841="",1,K841))</f>
        <v>0</v>
      </c>
      <c r="U841" s="15">
        <f>IF(B841="","",IF(J841&lt;&gt;"",J841,IF(H841="Retail",IFERROR(INDEX(Inventory!$B$5:$B$304,MATCH(I841,Inventory!$A$5:$A$304,0))&amp;"","Not in Inventory"),IFERROR(INDEX(Services!$B$5:$B$204,MATCH(I841,Services!$A$5:$A$204,0))&amp;"","Not in Services"))))</f>
        <v>0</v>
      </c>
      <c r="V841" s="26">
        <f>IF(B841="","",IF(L841&lt;&gt;"",L841,IF(H841="Retail",IFERROR(INDEX(Inventory!$I$5:$I$304,MATCH(I841,Inventory!$A$5:$A$304,0))*1,0),IFERROR(INDEX(Services!$G$5:$G$204,MATCH(I841,Services!$A$5:$A$204,0))*1,0))))</f>
        <v>0</v>
      </c>
      <c r="W841" s="26">
        <f>IF(B841="","",ROUND(T841*V841,2))</f>
        <v>0</v>
      </c>
      <c r="X841" s="26">
        <f>IF(B841="","",ROUND(IF(M841="",0,W841*M841)+IF(N841="",0,N841),2))</f>
        <v>0</v>
      </c>
      <c r="Y841" s="26">
        <f>IF(B841="","",ROUND(W841-X841-IF(P841="",0,P841),2))</f>
        <v>0</v>
      </c>
      <c r="Z841" s="26">
        <f>IF(B841="","",IF(H841="Retail",IF(TaxOnRetail="Yes",ROUND(Y841*TaxRate,2),0),IF(H841="Service",IF(TaxOnServices="Yes",ROUND(Y841*TaxRate,2),0),0)))</f>
        <v>0</v>
      </c>
      <c r="AA841" s="26">
        <f>IF(B841="","",ROUND(Y841+Z841,2))</f>
        <v>0</v>
      </c>
      <c r="AB841" s="26">
        <f>IF(B841="","",ROUND(T841*IF(H841="Retail",IFERROR(INDEX(Inventory!$H$5:$H$304,MATCH(I841,Inventory!$A$5:$A$304,0))*1,0),IFERROR(INDEX(Services!$Q$5:$Q$204,MATCH(I841,Services!$A$5:$A$204,0))*1,0)),2))</f>
        <v>0</v>
      </c>
      <c r="AC841" s="26">
        <f>IF(B841="","",ROUND(Y841-AB841,2))</f>
        <v>0</v>
      </c>
      <c r="AD841" s="38">
        <f>IF(B841="","",IF(C841="","No",IF(COUNTIFS($C$5:C841,C841)=1,"Yes","No")))</f>
        <v>0</v>
      </c>
      <c r="AE841" s="26">
        <f>IF(B841="","",ROUND(SUMIFS(Payments!$G$5:$G$1204,Payments!$H$5:$H$1204,A841,Payments!$Q$5:$Q$1204,"Yes"),2))</f>
        <v>0</v>
      </c>
      <c r="AF841" s="26">
        <f>IF(B841="","",IF(AD841="No",0,ROUND(SUMIFS(Payments!$G$5:$G$1204,Payments!$I$5:$I$1204,C841,Payments!$H$5:$H$1204,"",Payments!$Q$5:$Q$1204,"Yes"),2)))</f>
        <v>0</v>
      </c>
      <c r="AG841" s="26">
        <f>IF(B841="","",ROUND(AE841+AF841,2))</f>
        <v>0</v>
      </c>
      <c r="AH841" s="26">
        <f>IF(B841="","",ROUND(AA841-AG841,2))</f>
        <v>0</v>
      </c>
      <c r="AI841" s="39">
        <f>IF(B841="","",IF(AA841&lt;=0,"No charge",IF(AH841&lt;=0.004,"Paid",IF(AG841&lt;=0.004,"Unpaid","Part paid"))))</f>
        <v>0</v>
      </c>
      <c r="AJ841" s="38">
        <f>IF(B841="","",IF(H841&lt;&gt;"Service","",IF(D841="","No",IF(COUNTIFS($D$5:$D$1204,D841,$B$5:$B$1204,B841,$H$5:$H$1204,"Retail")&gt;0,"Yes","No"))))</f>
        <v>0</v>
      </c>
      <c r="AK841" s="25">
        <f>IF(B841="","",COUNTIFS($Y$5:$Y$1204,"&gt;"&amp;Y841)+COUNTIFS($Y$5:Y841,Y841))</f>
        <v>0</v>
      </c>
      <c r="AL841" s="39">
        <f>IF(B841="","",IF(H841="","Add - what kind of sale is this?",IF(IF(V841&lt;=0,P841="",FALSE),"Check - no price found for this item",IF(F841="","Assign - nobody credited",IF(AH841&gt;0.004,"Unpaid - balance outstanding",IF(AC841&lt;0,"Loss - sold below cost",IF(X841&gt;W841*0.5,"Check - more than half off","OK")))))))</f>
        <v>0</v>
      </c>
    </row>
    <row r="842" spans="1:38">
      <c r="A842" s="28">
        <f>IF(B842="","",SalePrefix&amp;TEXT(ROW()-4,"0000"))</f>
        <v>0</v>
      </c>
      <c r="E842" s="15">
        <f>IF(D842="","",IFERROR(INDEX(Clients!$B$5:$B$504,MATCH(D842,Clients!$A$5:$A$504,0)),"Walk-in"))</f>
        <v>0</v>
      </c>
      <c r="G842" s="15">
        <f>IF(F842="","",IFERROR(INDEX(Staff!$B$5:$B$44,MATCH(F842,Staff!$A$5:$A$44,0)),"House"))</f>
        <v>0</v>
      </c>
      <c r="R842" s="15">
        <f>IF(B842="","",TEXT(B842,"yyyy-mm"))</f>
        <v>0</v>
      </c>
      <c r="S842" s="25">
        <f>IF(B842="","",WEEKNUM(B842,2))</f>
        <v>0</v>
      </c>
      <c r="T842" s="37">
        <f>IF(B842="","",IF(K842="",1,K842))</f>
        <v>0</v>
      </c>
      <c r="U842" s="15">
        <f>IF(B842="","",IF(J842&lt;&gt;"",J842,IF(H842="Retail",IFERROR(INDEX(Inventory!$B$5:$B$304,MATCH(I842,Inventory!$A$5:$A$304,0))&amp;"","Not in Inventory"),IFERROR(INDEX(Services!$B$5:$B$204,MATCH(I842,Services!$A$5:$A$204,0))&amp;"","Not in Services"))))</f>
        <v>0</v>
      </c>
      <c r="V842" s="26">
        <f>IF(B842="","",IF(L842&lt;&gt;"",L842,IF(H842="Retail",IFERROR(INDEX(Inventory!$I$5:$I$304,MATCH(I842,Inventory!$A$5:$A$304,0))*1,0),IFERROR(INDEX(Services!$G$5:$G$204,MATCH(I842,Services!$A$5:$A$204,0))*1,0))))</f>
        <v>0</v>
      </c>
      <c r="W842" s="26">
        <f>IF(B842="","",ROUND(T842*V842,2))</f>
        <v>0</v>
      </c>
      <c r="X842" s="26">
        <f>IF(B842="","",ROUND(IF(M842="",0,W842*M842)+IF(N842="",0,N842),2))</f>
        <v>0</v>
      </c>
      <c r="Y842" s="26">
        <f>IF(B842="","",ROUND(W842-X842-IF(P842="",0,P842),2))</f>
        <v>0</v>
      </c>
      <c r="Z842" s="26">
        <f>IF(B842="","",IF(H842="Retail",IF(TaxOnRetail="Yes",ROUND(Y842*TaxRate,2),0),IF(H842="Service",IF(TaxOnServices="Yes",ROUND(Y842*TaxRate,2),0),0)))</f>
        <v>0</v>
      </c>
      <c r="AA842" s="26">
        <f>IF(B842="","",ROUND(Y842+Z842,2))</f>
        <v>0</v>
      </c>
      <c r="AB842" s="26">
        <f>IF(B842="","",ROUND(T842*IF(H842="Retail",IFERROR(INDEX(Inventory!$H$5:$H$304,MATCH(I842,Inventory!$A$5:$A$304,0))*1,0),IFERROR(INDEX(Services!$Q$5:$Q$204,MATCH(I842,Services!$A$5:$A$204,0))*1,0)),2))</f>
        <v>0</v>
      </c>
      <c r="AC842" s="26">
        <f>IF(B842="","",ROUND(Y842-AB842,2))</f>
        <v>0</v>
      </c>
      <c r="AD842" s="38">
        <f>IF(B842="","",IF(C842="","No",IF(COUNTIFS($C$5:C842,C842)=1,"Yes","No")))</f>
        <v>0</v>
      </c>
      <c r="AE842" s="26">
        <f>IF(B842="","",ROUND(SUMIFS(Payments!$G$5:$G$1204,Payments!$H$5:$H$1204,A842,Payments!$Q$5:$Q$1204,"Yes"),2))</f>
        <v>0</v>
      </c>
      <c r="AF842" s="26">
        <f>IF(B842="","",IF(AD842="No",0,ROUND(SUMIFS(Payments!$G$5:$G$1204,Payments!$I$5:$I$1204,C842,Payments!$H$5:$H$1204,"",Payments!$Q$5:$Q$1204,"Yes"),2)))</f>
        <v>0</v>
      </c>
      <c r="AG842" s="26">
        <f>IF(B842="","",ROUND(AE842+AF842,2))</f>
        <v>0</v>
      </c>
      <c r="AH842" s="26">
        <f>IF(B842="","",ROUND(AA842-AG842,2))</f>
        <v>0</v>
      </c>
      <c r="AI842" s="39">
        <f>IF(B842="","",IF(AA842&lt;=0,"No charge",IF(AH842&lt;=0.004,"Paid",IF(AG842&lt;=0.004,"Unpaid","Part paid"))))</f>
        <v>0</v>
      </c>
      <c r="AJ842" s="38">
        <f>IF(B842="","",IF(H842&lt;&gt;"Service","",IF(D842="","No",IF(COUNTIFS($D$5:$D$1204,D842,$B$5:$B$1204,B842,$H$5:$H$1204,"Retail")&gt;0,"Yes","No"))))</f>
        <v>0</v>
      </c>
      <c r="AK842" s="25">
        <f>IF(B842="","",COUNTIFS($Y$5:$Y$1204,"&gt;"&amp;Y842)+COUNTIFS($Y$5:Y842,Y842))</f>
        <v>0</v>
      </c>
      <c r="AL842" s="39">
        <f>IF(B842="","",IF(H842="","Add - what kind of sale is this?",IF(IF(V842&lt;=0,P842="",FALSE),"Check - no price found for this item",IF(F842="","Assign - nobody credited",IF(AH842&gt;0.004,"Unpaid - balance outstanding",IF(AC842&lt;0,"Loss - sold below cost",IF(X842&gt;W842*0.5,"Check - more than half off","OK")))))))</f>
        <v>0</v>
      </c>
    </row>
    <row r="843" spans="1:38">
      <c r="A843" s="28">
        <f>IF(B843="","",SalePrefix&amp;TEXT(ROW()-4,"0000"))</f>
        <v>0</v>
      </c>
      <c r="E843" s="15">
        <f>IF(D843="","",IFERROR(INDEX(Clients!$B$5:$B$504,MATCH(D843,Clients!$A$5:$A$504,0)),"Walk-in"))</f>
        <v>0</v>
      </c>
      <c r="G843" s="15">
        <f>IF(F843="","",IFERROR(INDEX(Staff!$B$5:$B$44,MATCH(F843,Staff!$A$5:$A$44,0)),"House"))</f>
        <v>0</v>
      </c>
      <c r="R843" s="15">
        <f>IF(B843="","",TEXT(B843,"yyyy-mm"))</f>
        <v>0</v>
      </c>
      <c r="S843" s="25">
        <f>IF(B843="","",WEEKNUM(B843,2))</f>
        <v>0</v>
      </c>
      <c r="T843" s="37">
        <f>IF(B843="","",IF(K843="",1,K843))</f>
        <v>0</v>
      </c>
      <c r="U843" s="15">
        <f>IF(B843="","",IF(J843&lt;&gt;"",J843,IF(H843="Retail",IFERROR(INDEX(Inventory!$B$5:$B$304,MATCH(I843,Inventory!$A$5:$A$304,0))&amp;"","Not in Inventory"),IFERROR(INDEX(Services!$B$5:$B$204,MATCH(I843,Services!$A$5:$A$204,0))&amp;"","Not in Services"))))</f>
        <v>0</v>
      </c>
      <c r="V843" s="26">
        <f>IF(B843="","",IF(L843&lt;&gt;"",L843,IF(H843="Retail",IFERROR(INDEX(Inventory!$I$5:$I$304,MATCH(I843,Inventory!$A$5:$A$304,0))*1,0),IFERROR(INDEX(Services!$G$5:$G$204,MATCH(I843,Services!$A$5:$A$204,0))*1,0))))</f>
        <v>0</v>
      </c>
      <c r="W843" s="26">
        <f>IF(B843="","",ROUND(T843*V843,2))</f>
        <v>0</v>
      </c>
      <c r="X843" s="26">
        <f>IF(B843="","",ROUND(IF(M843="",0,W843*M843)+IF(N843="",0,N843),2))</f>
        <v>0</v>
      </c>
      <c r="Y843" s="26">
        <f>IF(B843="","",ROUND(W843-X843-IF(P843="",0,P843),2))</f>
        <v>0</v>
      </c>
      <c r="Z843" s="26">
        <f>IF(B843="","",IF(H843="Retail",IF(TaxOnRetail="Yes",ROUND(Y843*TaxRate,2),0),IF(H843="Service",IF(TaxOnServices="Yes",ROUND(Y843*TaxRate,2),0),0)))</f>
        <v>0</v>
      </c>
      <c r="AA843" s="26">
        <f>IF(B843="","",ROUND(Y843+Z843,2))</f>
        <v>0</v>
      </c>
      <c r="AB843" s="26">
        <f>IF(B843="","",ROUND(T843*IF(H843="Retail",IFERROR(INDEX(Inventory!$H$5:$H$304,MATCH(I843,Inventory!$A$5:$A$304,0))*1,0),IFERROR(INDEX(Services!$Q$5:$Q$204,MATCH(I843,Services!$A$5:$A$204,0))*1,0)),2))</f>
        <v>0</v>
      </c>
      <c r="AC843" s="26">
        <f>IF(B843="","",ROUND(Y843-AB843,2))</f>
        <v>0</v>
      </c>
      <c r="AD843" s="38">
        <f>IF(B843="","",IF(C843="","No",IF(COUNTIFS($C$5:C843,C843)=1,"Yes","No")))</f>
        <v>0</v>
      </c>
      <c r="AE843" s="26">
        <f>IF(B843="","",ROUND(SUMIFS(Payments!$G$5:$G$1204,Payments!$H$5:$H$1204,A843,Payments!$Q$5:$Q$1204,"Yes"),2))</f>
        <v>0</v>
      </c>
      <c r="AF843" s="26">
        <f>IF(B843="","",IF(AD843="No",0,ROUND(SUMIFS(Payments!$G$5:$G$1204,Payments!$I$5:$I$1204,C843,Payments!$H$5:$H$1204,"",Payments!$Q$5:$Q$1204,"Yes"),2)))</f>
        <v>0</v>
      </c>
      <c r="AG843" s="26">
        <f>IF(B843="","",ROUND(AE843+AF843,2))</f>
        <v>0</v>
      </c>
      <c r="AH843" s="26">
        <f>IF(B843="","",ROUND(AA843-AG843,2))</f>
        <v>0</v>
      </c>
      <c r="AI843" s="39">
        <f>IF(B843="","",IF(AA843&lt;=0,"No charge",IF(AH843&lt;=0.004,"Paid",IF(AG843&lt;=0.004,"Unpaid","Part paid"))))</f>
        <v>0</v>
      </c>
      <c r="AJ843" s="38">
        <f>IF(B843="","",IF(H843&lt;&gt;"Service","",IF(D843="","No",IF(COUNTIFS($D$5:$D$1204,D843,$B$5:$B$1204,B843,$H$5:$H$1204,"Retail")&gt;0,"Yes","No"))))</f>
        <v>0</v>
      </c>
      <c r="AK843" s="25">
        <f>IF(B843="","",COUNTIFS($Y$5:$Y$1204,"&gt;"&amp;Y843)+COUNTIFS($Y$5:Y843,Y843))</f>
        <v>0</v>
      </c>
      <c r="AL843" s="39">
        <f>IF(B843="","",IF(H843="","Add - what kind of sale is this?",IF(IF(V843&lt;=0,P843="",FALSE),"Check - no price found for this item",IF(F843="","Assign - nobody credited",IF(AH843&gt;0.004,"Unpaid - balance outstanding",IF(AC843&lt;0,"Loss - sold below cost",IF(X843&gt;W843*0.5,"Check - more than half off","OK")))))))</f>
        <v>0</v>
      </c>
    </row>
    <row r="844" spans="1:38">
      <c r="A844" s="28">
        <f>IF(B844="","",SalePrefix&amp;TEXT(ROW()-4,"0000"))</f>
        <v>0</v>
      </c>
      <c r="E844" s="15">
        <f>IF(D844="","",IFERROR(INDEX(Clients!$B$5:$B$504,MATCH(D844,Clients!$A$5:$A$504,0)),"Walk-in"))</f>
        <v>0</v>
      </c>
      <c r="G844" s="15">
        <f>IF(F844="","",IFERROR(INDEX(Staff!$B$5:$B$44,MATCH(F844,Staff!$A$5:$A$44,0)),"House"))</f>
        <v>0</v>
      </c>
      <c r="R844" s="15">
        <f>IF(B844="","",TEXT(B844,"yyyy-mm"))</f>
        <v>0</v>
      </c>
      <c r="S844" s="25">
        <f>IF(B844="","",WEEKNUM(B844,2))</f>
        <v>0</v>
      </c>
      <c r="T844" s="37">
        <f>IF(B844="","",IF(K844="",1,K844))</f>
        <v>0</v>
      </c>
      <c r="U844" s="15">
        <f>IF(B844="","",IF(J844&lt;&gt;"",J844,IF(H844="Retail",IFERROR(INDEX(Inventory!$B$5:$B$304,MATCH(I844,Inventory!$A$5:$A$304,0))&amp;"","Not in Inventory"),IFERROR(INDEX(Services!$B$5:$B$204,MATCH(I844,Services!$A$5:$A$204,0))&amp;"","Not in Services"))))</f>
        <v>0</v>
      </c>
      <c r="V844" s="26">
        <f>IF(B844="","",IF(L844&lt;&gt;"",L844,IF(H844="Retail",IFERROR(INDEX(Inventory!$I$5:$I$304,MATCH(I844,Inventory!$A$5:$A$304,0))*1,0),IFERROR(INDEX(Services!$G$5:$G$204,MATCH(I844,Services!$A$5:$A$204,0))*1,0))))</f>
        <v>0</v>
      </c>
      <c r="W844" s="26">
        <f>IF(B844="","",ROUND(T844*V844,2))</f>
        <v>0</v>
      </c>
      <c r="X844" s="26">
        <f>IF(B844="","",ROUND(IF(M844="",0,W844*M844)+IF(N844="",0,N844),2))</f>
        <v>0</v>
      </c>
      <c r="Y844" s="26">
        <f>IF(B844="","",ROUND(W844-X844-IF(P844="",0,P844),2))</f>
        <v>0</v>
      </c>
      <c r="Z844" s="26">
        <f>IF(B844="","",IF(H844="Retail",IF(TaxOnRetail="Yes",ROUND(Y844*TaxRate,2),0),IF(H844="Service",IF(TaxOnServices="Yes",ROUND(Y844*TaxRate,2),0),0)))</f>
        <v>0</v>
      </c>
      <c r="AA844" s="26">
        <f>IF(B844="","",ROUND(Y844+Z844,2))</f>
        <v>0</v>
      </c>
      <c r="AB844" s="26">
        <f>IF(B844="","",ROUND(T844*IF(H844="Retail",IFERROR(INDEX(Inventory!$H$5:$H$304,MATCH(I844,Inventory!$A$5:$A$304,0))*1,0),IFERROR(INDEX(Services!$Q$5:$Q$204,MATCH(I844,Services!$A$5:$A$204,0))*1,0)),2))</f>
        <v>0</v>
      </c>
      <c r="AC844" s="26">
        <f>IF(B844="","",ROUND(Y844-AB844,2))</f>
        <v>0</v>
      </c>
      <c r="AD844" s="38">
        <f>IF(B844="","",IF(C844="","No",IF(COUNTIFS($C$5:C844,C844)=1,"Yes","No")))</f>
        <v>0</v>
      </c>
      <c r="AE844" s="26">
        <f>IF(B844="","",ROUND(SUMIFS(Payments!$G$5:$G$1204,Payments!$H$5:$H$1204,A844,Payments!$Q$5:$Q$1204,"Yes"),2))</f>
        <v>0</v>
      </c>
      <c r="AF844" s="26">
        <f>IF(B844="","",IF(AD844="No",0,ROUND(SUMIFS(Payments!$G$5:$G$1204,Payments!$I$5:$I$1204,C844,Payments!$H$5:$H$1204,"",Payments!$Q$5:$Q$1204,"Yes"),2)))</f>
        <v>0</v>
      </c>
      <c r="AG844" s="26">
        <f>IF(B844="","",ROUND(AE844+AF844,2))</f>
        <v>0</v>
      </c>
      <c r="AH844" s="26">
        <f>IF(B844="","",ROUND(AA844-AG844,2))</f>
        <v>0</v>
      </c>
      <c r="AI844" s="39">
        <f>IF(B844="","",IF(AA844&lt;=0,"No charge",IF(AH844&lt;=0.004,"Paid",IF(AG844&lt;=0.004,"Unpaid","Part paid"))))</f>
        <v>0</v>
      </c>
      <c r="AJ844" s="38">
        <f>IF(B844="","",IF(H844&lt;&gt;"Service","",IF(D844="","No",IF(COUNTIFS($D$5:$D$1204,D844,$B$5:$B$1204,B844,$H$5:$H$1204,"Retail")&gt;0,"Yes","No"))))</f>
        <v>0</v>
      </c>
      <c r="AK844" s="25">
        <f>IF(B844="","",COUNTIFS($Y$5:$Y$1204,"&gt;"&amp;Y844)+COUNTIFS($Y$5:Y844,Y844))</f>
        <v>0</v>
      </c>
      <c r="AL844" s="39">
        <f>IF(B844="","",IF(H844="","Add - what kind of sale is this?",IF(IF(V844&lt;=0,P844="",FALSE),"Check - no price found for this item",IF(F844="","Assign - nobody credited",IF(AH844&gt;0.004,"Unpaid - balance outstanding",IF(AC844&lt;0,"Loss - sold below cost",IF(X844&gt;W844*0.5,"Check - more than half off","OK")))))))</f>
        <v>0</v>
      </c>
    </row>
    <row r="845" spans="1:38">
      <c r="A845" s="28">
        <f>IF(B845="","",SalePrefix&amp;TEXT(ROW()-4,"0000"))</f>
        <v>0</v>
      </c>
      <c r="E845" s="15">
        <f>IF(D845="","",IFERROR(INDEX(Clients!$B$5:$B$504,MATCH(D845,Clients!$A$5:$A$504,0)),"Walk-in"))</f>
        <v>0</v>
      </c>
      <c r="G845" s="15">
        <f>IF(F845="","",IFERROR(INDEX(Staff!$B$5:$B$44,MATCH(F845,Staff!$A$5:$A$44,0)),"House"))</f>
        <v>0</v>
      </c>
      <c r="R845" s="15">
        <f>IF(B845="","",TEXT(B845,"yyyy-mm"))</f>
        <v>0</v>
      </c>
      <c r="S845" s="25">
        <f>IF(B845="","",WEEKNUM(B845,2))</f>
        <v>0</v>
      </c>
      <c r="T845" s="37">
        <f>IF(B845="","",IF(K845="",1,K845))</f>
        <v>0</v>
      </c>
      <c r="U845" s="15">
        <f>IF(B845="","",IF(J845&lt;&gt;"",J845,IF(H845="Retail",IFERROR(INDEX(Inventory!$B$5:$B$304,MATCH(I845,Inventory!$A$5:$A$304,0))&amp;"","Not in Inventory"),IFERROR(INDEX(Services!$B$5:$B$204,MATCH(I845,Services!$A$5:$A$204,0))&amp;"","Not in Services"))))</f>
        <v>0</v>
      </c>
      <c r="V845" s="26">
        <f>IF(B845="","",IF(L845&lt;&gt;"",L845,IF(H845="Retail",IFERROR(INDEX(Inventory!$I$5:$I$304,MATCH(I845,Inventory!$A$5:$A$304,0))*1,0),IFERROR(INDEX(Services!$G$5:$G$204,MATCH(I845,Services!$A$5:$A$204,0))*1,0))))</f>
        <v>0</v>
      </c>
      <c r="W845" s="26">
        <f>IF(B845="","",ROUND(T845*V845,2))</f>
        <v>0</v>
      </c>
      <c r="X845" s="26">
        <f>IF(B845="","",ROUND(IF(M845="",0,W845*M845)+IF(N845="",0,N845),2))</f>
        <v>0</v>
      </c>
      <c r="Y845" s="26">
        <f>IF(B845="","",ROUND(W845-X845-IF(P845="",0,P845),2))</f>
        <v>0</v>
      </c>
      <c r="Z845" s="26">
        <f>IF(B845="","",IF(H845="Retail",IF(TaxOnRetail="Yes",ROUND(Y845*TaxRate,2),0),IF(H845="Service",IF(TaxOnServices="Yes",ROUND(Y845*TaxRate,2),0),0)))</f>
        <v>0</v>
      </c>
      <c r="AA845" s="26">
        <f>IF(B845="","",ROUND(Y845+Z845,2))</f>
        <v>0</v>
      </c>
      <c r="AB845" s="26">
        <f>IF(B845="","",ROUND(T845*IF(H845="Retail",IFERROR(INDEX(Inventory!$H$5:$H$304,MATCH(I845,Inventory!$A$5:$A$304,0))*1,0),IFERROR(INDEX(Services!$Q$5:$Q$204,MATCH(I845,Services!$A$5:$A$204,0))*1,0)),2))</f>
        <v>0</v>
      </c>
      <c r="AC845" s="26">
        <f>IF(B845="","",ROUND(Y845-AB845,2))</f>
        <v>0</v>
      </c>
      <c r="AD845" s="38">
        <f>IF(B845="","",IF(C845="","No",IF(COUNTIFS($C$5:C845,C845)=1,"Yes","No")))</f>
        <v>0</v>
      </c>
      <c r="AE845" s="26">
        <f>IF(B845="","",ROUND(SUMIFS(Payments!$G$5:$G$1204,Payments!$H$5:$H$1204,A845,Payments!$Q$5:$Q$1204,"Yes"),2))</f>
        <v>0</v>
      </c>
      <c r="AF845" s="26">
        <f>IF(B845="","",IF(AD845="No",0,ROUND(SUMIFS(Payments!$G$5:$G$1204,Payments!$I$5:$I$1204,C845,Payments!$H$5:$H$1204,"",Payments!$Q$5:$Q$1204,"Yes"),2)))</f>
        <v>0</v>
      </c>
      <c r="AG845" s="26">
        <f>IF(B845="","",ROUND(AE845+AF845,2))</f>
        <v>0</v>
      </c>
      <c r="AH845" s="26">
        <f>IF(B845="","",ROUND(AA845-AG845,2))</f>
        <v>0</v>
      </c>
      <c r="AI845" s="39">
        <f>IF(B845="","",IF(AA845&lt;=0,"No charge",IF(AH845&lt;=0.004,"Paid",IF(AG845&lt;=0.004,"Unpaid","Part paid"))))</f>
        <v>0</v>
      </c>
      <c r="AJ845" s="38">
        <f>IF(B845="","",IF(H845&lt;&gt;"Service","",IF(D845="","No",IF(COUNTIFS($D$5:$D$1204,D845,$B$5:$B$1204,B845,$H$5:$H$1204,"Retail")&gt;0,"Yes","No"))))</f>
        <v>0</v>
      </c>
      <c r="AK845" s="25">
        <f>IF(B845="","",COUNTIFS($Y$5:$Y$1204,"&gt;"&amp;Y845)+COUNTIFS($Y$5:Y845,Y845))</f>
        <v>0</v>
      </c>
      <c r="AL845" s="39">
        <f>IF(B845="","",IF(H845="","Add - what kind of sale is this?",IF(IF(V845&lt;=0,P845="",FALSE),"Check - no price found for this item",IF(F845="","Assign - nobody credited",IF(AH845&gt;0.004,"Unpaid - balance outstanding",IF(AC845&lt;0,"Loss - sold below cost",IF(X845&gt;W845*0.5,"Check - more than half off","OK")))))))</f>
        <v>0</v>
      </c>
    </row>
    <row r="846" spans="1:38">
      <c r="A846" s="28">
        <f>IF(B846="","",SalePrefix&amp;TEXT(ROW()-4,"0000"))</f>
        <v>0</v>
      </c>
      <c r="E846" s="15">
        <f>IF(D846="","",IFERROR(INDEX(Clients!$B$5:$B$504,MATCH(D846,Clients!$A$5:$A$504,0)),"Walk-in"))</f>
        <v>0</v>
      </c>
      <c r="G846" s="15">
        <f>IF(F846="","",IFERROR(INDEX(Staff!$B$5:$B$44,MATCH(F846,Staff!$A$5:$A$44,0)),"House"))</f>
        <v>0</v>
      </c>
      <c r="R846" s="15">
        <f>IF(B846="","",TEXT(B846,"yyyy-mm"))</f>
        <v>0</v>
      </c>
      <c r="S846" s="25">
        <f>IF(B846="","",WEEKNUM(B846,2))</f>
        <v>0</v>
      </c>
      <c r="T846" s="37">
        <f>IF(B846="","",IF(K846="",1,K846))</f>
        <v>0</v>
      </c>
      <c r="U846" s="15">
        <f>IF(B846="","",IF(J846&lt;&gt;"",J846,IF(H846="Retail",IFERROR(INDEX(Inventory!$B$5:$B$304,MATCH(I846,Inventory!$A$5:$A$304,0))&amp;"","Not in Inventory"),IFERROR(INDEX(Services!$B$5:$B$204,MATCH(I846,Services!$A$5:$A$204,0))&amp;"","Not in Services"))))</f>
        <v>0</v>
      </c>
      <c r="V846" s="26">
        <f>IF(B846="","",IF(L846&lt;&gt;"",L846,IF(H846="Retail",IFERROR(INDEX(Inventory!$I$5:$I$304,MATCH(I846,Inventory!$A$5:$A$304,0))*1,0),IFERROR(INDEX(Services!$G$5:$G$204,MATCH(I846,Services!$A$5:$A$204,0))*1,0))))</f>
        <v>0</v>
      </c>
      <c r="W846" s="26">
        <f>IF(B846="","",ROUND(T846*V846,2))</f>
        <v>0</v>
      </c>
      <c r="X846" s="26">
        <f>IF(B846="","",ROUND(IF(M846="",0,W846*M846)+IF(N846="",0,N846),2))</f>
        <v>0</v>
      </c>
      <c r="Y846" s="26">
        <f>IF(B846="","",ROUND(W846-X846-IF(P846="",0,P846),2))</f>
        <v>0</v>
      </c>
      <c r="Z846" s="26">
        <f>IF(B846="","",IF(H846="Retail",IF(TaxOnRetail="Yes",ROUND(Y846*TaxRate,2),0),IF(H846="Service",IF(TaxOnServices="Yes",ROUND(Y846*TaxRate,2),0),0)))</f>
        <v>0</v>
      </c>
      <c r="AA846" s="26">
        <f>IF(B846="","",ROUND(Y846+Z846,2))</f>
        <v>0</v>
      </c>
      <c r="AB846" s="26">
        <f>IF(B846="","",ROUND(T846*IF(H846="Retail",IFERROR(INDEX(Inventory!$H$5:$H$304,MATCH(I846,Inventory!$A$5:$A$304,0))*1,0),IFERROR(INDEX(Services!$Q$5:$Q$204,MATCH(I846,Services!$A$5:$A$204,0))*1,0)),2))</f>
        <v>0</v>
      </c>
      <c r="AC846" s="26">
        <f>IF(B846="","",ROUND(Y846-AB846,2))</f>
        <v>0</v>
      </c>
      <c r="AD846" s="38">
        <f>IF(B846="","",IF(C846="","No",IF(COUNTIFS($C$5:C846,C846)=1,"Yes","No")))</f>
        <v>0</v>
      </c>
      <c r="AE846" s="26">
        <f>IF(B846="","",ROUND(SUMIFS(Payments!$G$5:$G$1204,Payments!$H$5:$H$1204,A846,Payments!$Q$5:$Q$1204,"Yes"),2))</f>
        <v>0</v>
      </c>
      <c r="AF846" s="26">
        <f>IF(B846="","",IF(AD846="No",0,ROUND(SUMIFS(Payments!$G$5:$G$1204,Payments!$I$5:$I$1204,C846,Payments!$H$5:$H$1204,"",Payments!$Q$5:$Q$1204,"Yes"),2)))</f>
        <v>0</v>
      </c>
      <c r="AG846" s="26">
        <f>IF(B846="","",ROUND(AE846+AF846,2))</f>
        <v>0</v>
      </c>
      <c r="AH846" s="26">
        <f>IF(B846="","",ROUND(AA846-AG846,2))</f>
        <v>0</v>
      </c>
      <c r="AI846" s="39">
        <f>IF(B846="","",IF(AA846&lt;=0,"No charge",IF(AH846&lt;=0.004,"Paid",IF(AG846&lt;=0.004,"Unpaid","Part paid"))))</f>
        <v>0</v>
      </c>
      <c r="AJ846" s="38">
        <f>IF(B846="","",IF(H846&lt;&gt;"Service","",IF(D846="","No",IF(COUNTIFS($D$5:$D$1204,D846,$B$5:$B$1204,B846,$H$5:$H$1204,"Retail")&gt;0,"Yes","No"))))</f>
        <v>0</v>
      </c>
      <c r="AK846" s="25">
        <f>IF(B846="","",COUNTIFS($Y$5:$Y$1204,"&gt;"&amp;Y846)+COUNTIFS($Y$5:Y846,Y846))</f>
        <v>0</v>
      </c>
      <c r="AL846" s="39">
        <f>IF(B846="","",IF(H846="","Add - what kind of sale is this?",IF(IF(V846&lt;=0,P846="",FALSE),"Check - no price found for this item",IF(F846="","Assign - nobody credited",IF(AH846&gt;0.004,"Unpaid - balance outstanding",IF(AC846&lt;0,"Loss - sold below cost",IF(X846&gt;W846*0.5,"Check - more than half off","OK")))))))</f>
        <v>0</v>
      </c>
    </row>
    <row r="847" spans="1:38">
      <c r="A847" s="28">
        <f>IF(B847="","",SalePrefix&amp;TEXT(ROW()-4,"0000"))</f>
        <v>0</v>
      </c>
      <c r="E847" s="15">
        <f>IF(D847="","",IFERROR(INDEX(Clients!$B$5:$B$504,MATCH(D847,Clients!$A$5:$A$504,0)),"Walk-in"))</f>
        <v>0</v>
      </c>
      <c r="G847" s="15">
        <f>IF(F847="","",IFERROR(INDEX(Staff!$B$5:$B$44,MATCH(F847,Staff!$A$5:$A$44,0)),"House"))</f>
        <v>0</v>
      </c>
      <c r="R847" s="15">
        <f>IF(B847="","",TEXT(B847,"yyyy-mm"))</f>
        <v>0</v>
      </c>
      <c r="S847" s="25">
        <f>IF(B847="","",WEEKNUM(B847,2))</f>
        <v>0</v>
      </c>
      <c r="T847" s="37">
        <f>IF(B847="","",IF(K847="",1,K847))</f>
        <v>0</v>
      </c>
      <c r="U847" s="15">
        <f>IF(B847="","",IF(J847&lt;&gt;"",J847,IF(H847="Retail",IFERROR(INDEX(Inventory!$B$5:$B$304,MATCH(I847,Inventory!$A$5:$A$304,0))&amp;"","Not in Inventory"),IFERROR(INDEX(Services!$B$5:$B$204,MATCH(I847,Services!$A$5:$A$204,0))&amp;"","Not in Services"))))</f>
        <v>0</v>
      </c>
      <c r="V847" s="26">
        <f>IF(B847="","",IF(L847&lt;&gt;"",L847,IF(H847="Retail",IFERROR(INDEX(Inventory!$I$5:$I$304,MATCH(I847,Inventory!$A$5:$A$304,0))*1,0),IFERROR(INDEX(Services!$G$5:$G$204,MATCH(I847,Services!$A$5:$A$204,0))*1,0))))</f>
        <v>0</v>
      </c>
      <c r="W847" s="26">
        <f>IF(B847="","",ROUND(T847*V847,2))</f>
        <v>0</v>
      </c>
      <c r="X847" s="26">
        <f>IF(B847="","",ROUND(IF(M847="",0,W847*M847)+IF(N847="",0,N847),2))</f>
        <v>0</v>
      </c>
      <c r="Y847" s="26">
        <f>IF(B847="","",ROUND(W847-X847-IF(P847="",0,P847),2))</f>
        <v>0</v>
      </c>
      <c r="Z847" s="26">
        <f>IF(B847="","",IF(H847="Retail",IF(TaxOnRetail="Yes",ROUND(Y847*TaxRate,2),0),IF(H847="Service",IF(TaxOnServices="Yes",ROUND(Y847*TaxRate,2),0),0)))</f>
        <v>0</v>
      </c>
      <c r="AA847" s="26">
        <f>IF(B847="","",ROUND(Y847+Z847,2))</f>
        <v>0</v>
      </c>
      <c r="AB847" s="26">
        <f>IF(B847="","",ROUND(T847*IF(H847="Retail",IFERROR(INDEX(Inventory!$H$5:$H$304,MATCH(I847,Inventory!$A$5:$A$304,0))*1,0),IFERROR(INDEX(Services!$Q$5:$Q$204,MATCH(I847,Services!$A$5:$A$204,0))*1,0)),2))</f>
        <v>0</v>
      </c>
      <c r="AC847" s="26">
        <f>IF(B847="","",ROUND(Y847-AB847,2))</f>
        <v>0</v>
      </c>
      <c r="AD847" s="38">
        <f>IF(B847="","",IF(C847="","No",IF(COUNTIFS($C$5:C847,C847)=1,"Yes","No")))</f>
        <v>0</v>
      </c>
      <c r="AE847" s="26">
        <f>IF(B847="","",ROUND(SUMIFS(Payments!$G$5:$G$1204,Payments!$H$5:$H$1204,A847,Payments!$Q$5:$Q$1204,"Yes"),2))</f>
        <v>0</v>
      </c>
      <c r="AF847" s="26">
        <f>IF(B847="","",IF(AD847="No",0,ROUND(SUMIFS(Payments!$G$5:$G$1204,Payments!$I$5:$I$1204,C847,Payments!$H$5:$H$1204,"",Payments!$Q$5:$Q$1204,"Yes"),2)))</f>
        <v>0</v>
      </c>
      <c r="AG847" s="26">
        <f>IF(B847="","",ROUND(AE847+AF847,2))</f>
        <v>0</v>
      </c>
      <c r="AH847" s="26">
        <f>IF(B847="","",ROUND(AA847-AG847,2))</f>
        <v>0</v>
      </c>
      <c r="AI847" s="39">
        <f>IF(B847="","",IF(AA847&lt;=0,"No charge",IF(AH847&lt;=0.004,"Paid",IF(AG847&lt;=0.004,"Unpaid","Part paid"))))</f>
        <v>0</v>
      </c>
      <c r="AJ847" s="38">
        <f>IF(B847="","",IF(H847&lt;&gt;"Service","",IF(D847="","No",IF(COUNTIFS($D$5:$D$1204,D847,$B$5:$B$1204,B847,$H$5:$H$1204,"Retail")&gt;0,"Yes","No"))))</f>
        <v>0</v>
      </c>
      <c r="AK847" s="25">
        <f>IF(B847="","",COUNTIFS($Y$5:$Y$1204,"&gt;"&amp;Y847)+COUNTIFS($Y$5:Y847,Y847))</f>
        <v>0</v>
      </c>
      <c r="AL847" s="39">
        <f>IF(B847="","",IF(H847="","Add - what kind of sale is this?",IF(IF(V847&lt;=0,P847="",FALSE),"Check - no price found for this item",IF(F847="","Assign - nobody credited",IF(AH847&gt;0.004,"Unpaid - balance outstanding",IF(AC847&lt;0,"Loss - sold below cost",IF(X847&gt;W847*0.5,"Check - more than half off","OK")))))))</f>
        <v>0</v>
      </c>
    </row>
    <row r="848" spans="1:38">
      <c r="A848" s="28">
        <f>IF(B848="","",SalePrefix&amp;TEXT(ROW()-4,"0000"))</f>
        <v>0</v>
      </c>
      <c r="E848" s="15">
        <f>IF(D848="","",IFERROR(INDEX(Clients!$B$5:$B$504,MATCH(D848,Clients!$A$5:$A$504,0)),"Walk-in"))</f>
        <v>0</v>
      </c>
      <c r="G848" s="15">
        <f>IF(F848="","",IFERROR(INDEX(Staff!$B$5:$B$44,MATCH(F848,Staff!$A$5:$A$44,0)),"House"))</f>
        <v>0</v>
      </c>
      <c r="R848" s="15">
        <f>IF(B848="","",TEXT(B848,"yyyy-mm"))</f>
        <v>0</v>
      </c>
      <c r="S848" s="25">
        <f>IF(B848="","",WEEKNUM(B848,2))</f>
        <v>0</v>
      </c>
      <c r="T848" s="37">
        <f>IF(B848="","",IF(K848="",1,K848))</f>
        <v>0</v>
      </c>
      <c r="U848" s="15">
        <f>IF(B848="","",IF(J848&lt;&gt;"",J848,IF(H848="Retail",IFERROR(INDEX(Inventory!$B$5:$B$304,MATCH(I848,Inventory!$A$5:$A$304,0))&amp;"","Not in Inventory"),IFERROR(INDEX(Services!$B$5:$B$204,MATCH(I848,Services!$A$5:$A$204,0))&amp;"","Not in Services"))))</f>
        <v>0</v>
      </c>
      <c r="V848" s="26">
        <f>IF(B848="","",IF(L848&lt;&gt;"",L848,IF(H848="Retail",IFERROR(INDEX(Inventory!$I$5:$I$304,MATCH(I848,Inventory!$A$5:$A$304,0))*1,0),IFERROR(INDEX(Services!$G$5:$G$204,MATCH(I848,Services!$A$5:$A$204,0))*1,0))))</f>
        <v>0</v>
      </c>
      <c r="W848" s="26">
        <f>IF(B848="","",ROUND(T848*V848,2))</f>
        <v>0</v>
      </c>
      <c r="X848" s="26">
        <f>IF(B848="","",ROUND(IF(M848="",0,W848*M848)+IF(N848="",0,N848),2))</f>
        <v>0</v>
      </c>
      <c r="Y848" s="26">
        <f>IF(B848="","",ROUND(W848-X848-IF(P848="",0,P848),2))</f>
        <v>0</v>
      </c>
      <c r="Z848" s="26">
        <f>IF(B848="","",IF(H848="Retail",IF(TaxOnRetail="Yes",ROUND(Y848*TaxRate,2),0),IF(H848="Service",IF(TaxOnServices="Yes",ROUND(Y848*TaxRate,2),0),0)))</f>
        <v>0</v>
      </c>
      <c r="AA848" s="26">
        <f>IF(B848="","",ROUND(Y848+Z848,2))</f>
        <v>0</v>
      </c>
      <c r="AB848" s="26">
        <f>IF(B848="","",ROUND(T848*IF(H848="Retail",IFERROR(INDEX(Inventory!$H$5:$H$304,MATCH(I848,Inventory!$A$5:$A$304,0))*1,0),IFERROR(INDEX(Services!$Q$5:$Q$204,MATCH(I848,Services!$A$5:$A$204,0))*1,0)),2))</f>
        <v>0</v>
      </c>
      <c r="AC848" s="26">
        <f>IF(B848="","",ROUND(Y848-AB848,2))</f>
        <v>0</v>
      </c>
      <c r="AD848" s="38">
        <f>IF(B848="","",IF(C848="","No",IF(COUNTIFS($C$5:C848,C848)=1,"Yes","No")))</f>
        <v>0</v>
      </c>
      <c r="AE848" s="26">
        <f>IF(B848="","",ROUND(SUMIFS(Payments!$G$5:$G$1204,Payments!$H$5:$H$1204,A848,Payments!$Q$5:$Q$1204,"Yes"),2))</f>
        <v>0</v>
      </c>
      <c r="AF848" s="26">
        <f>IF(B848="","",IF(AD848="No",0,ROUND(SUMIFS(Payments!$G$5:$G$1204,Payments!$I$5:$I$1204,C848,Payments!$H$5:$H$1204,"",Payments!$Q$5:$Q$1204,"Yes"),2)))</f>
        <v>0</v>
      </c>
      <c r="AG848" s="26">
        <f>IF(B848="","",ROUND(AE848+AF848,2))</f>
        <v>0</v>
      </c>
      <c r="AH848" s="26">
        <f>IF(B848="","",ROUND(AA848-AG848,2))</f>
        <v>0</v>
      </c>
      <c r="AI848" s="39">
        <f>IF(B848="","",IF(AA848&lt;=0,"No charge",IF(AH848&lt;=0.004,"Paid",IF(AG848&lt;=0.004,"Unpaid","Part paid"))))</f>
        <v>0</v>
      </c>
      <c r="AJ848" s="38">
        <f>IF(B848="","",IF(H848&lt;&gt;"Service","",IF(D848="","No",IF(COUNTIFS($D$5:$D$1204,D848,$B$5:$B$1204,B848,$H$5:$H$1204,"Retail")&gt;0,"Yes","No"))))</f>
        <v>0</v>
      </c>
      <c r="AK848" s="25">
        <f>IF(B848="","",COUNTIFS($Y$5:$Y$1204,"&gt;"&amp;Y848)+COUNTIFS($Y$5:Y848,Y848))</f>
        <v>0</v>
      </c>
      <c r="AL848" s="39">
        <f>IF(B848="","",IF(H848="","Add - what kind of sale is this?",IF(IF(V848&lt;=0,P848="",FALSE),"Check - no price found for this item",IF(F848="","Assign - nobody credited",IF(AH848&gt;0.004,"Unpaid - balance outstanding",IF(AC848&lt;0,"Loss - sold below cost",IF(X848&gt;W848*0.5,"Check - more than half off","OK")))))))</f>
        <v>0</v>
      </c>
    </row>
    <row r="849" spans="1:38">
      <c r="A849" s="28">
        <f>IF(B849="","",SalePrefix&amp;TEXT(ROW()-4,"0000"))</f>
        <v>0</v>
      </c>
      <c r="E849" s="15">
        <f>IF(D849="","",IFERROR(INDEX(Clients!$B$5:$B$504,MATCH(D849,Clients!$A$5:$A$504,0)),"Walk-in"))</f>
        <v>0</v>
      </c>
      <c r="G849" s="15">
        <f>IF(F849="","",IFERROR(INDEX(Staff!$B$5:$B$44,MATCH(F849,Staff!$A$5:$A$44,0)),"House"))</f>
        <v>0</v>
      </c>
      <c r="R849" s="15">
        <f>IF(B849="","",TEXT(B849,"yyyy-mm"))</f>
        <v>0</v>
      </c>
      <c r="S849" s="25">
        <f>IF(B849="","",WEEKNUM(B849,2))</f>
        <v>0</v>
      </c>
      <c r="T849" s="37">
        <f>IF(B849="","",IF(K849="",1,K849))</f>
        <v>0</v>
      </c>
      <c r="U849" s="15">
        <f>IF(B849="","",IF(J849&lt;&gt;"",J849,IF(H849="Retail",IFERROR(INDEX(Inventory!$B$5:$B$304,MATCH(I849,Inventory!$A$5:$A$304,0))&amp;"","Not in Inventory"),IFERROR(INDEX(Services!$B$5:$B$204,MATCH(I849,Services!$A$5:$A$204,0))&amp;"","Not in Services"))))</f>
        <v>0</v>
      </c>
      <c r="V849" s="26">
        <f>IF(B849="","",IF(L849&lt;&gt;"",L849,IF(H849="Retail",IFERROR(INDEX(Inventory!$I$5:$I$304,MATCH(I849,Inventory!$A$5:$A$304,0))*1,0),IFERROR(INDEX(Services!$G$5:$G$204,MATCH(I849,Services!$A$5:$A$204,0))*1,0))))</f>
        <v>0</v>
      </c>
      <c r="W849" s="26">
        <f>IF(B849="","",ROUND(T849*V849,2))</f>
        <v>0</v>
      </c>
      <c r="X849" s="26">
        <f>IF(B849="","",ROUND(IF(M849="",0,W849*M849)+IF(N849="",0,N849),2))</f>
        <v>0</v>
      </c>
      <c r="Y849" s="26">
        <f>IF(B849="","",ROUND(W849-X849-IF(P849="",0,P849),2))</f>
        <v>0</v>
      </c>
      <c r="Z849" s="26">
        <f>IF(B849="","",IF(H849="Retail",IF(TaxOnRetail="Yes",ROUND(Y849*TaxRate,2),0),IF(H849="Service",IF(TaxOnServices="Yes",ROUND(Y849*TaxRate,2),0),0)))</f>
        <v>0</v>
      </c>
      <c r="AA849" s="26">
        <f>IF(B849="","",ROUND(Y849+Z849,2))</f>
        <v>0</v>
      </c>
      <c r="AB849" s="26">
        <f>IF(B849="","",ROUND(T849*IF(H849="Retail",IFERROR(INDEX(Inventory!$H$5:$H$304,MATCH(I849,Inventory!$A$5:$A$304,0))*1,0),IFERROR(INDEX(Services!$Q$5:$Q$204,MATCH(I849,Services!$A$5:$A$204,0))*1,0)),2))</f>
        <v>0</v>
      </c>
      <c r="AC849" s="26">
        <f>IF(B849="","",ROUND(Y849-AB849,2))</f>
        <v>0</v>
      </c>
      <c r="AD849" s="38">
        <f>IF(B849="","",IF(C849="","No",IF(COUNTIFS($C$5:C849,C849)=1,"Yes","No")))</f>
        <v>0</v>
      </c>
      <c r="AE849" s="26">
        <f>IF(B849="","",ROUND(SUMIFS(Payments!$G$5:$G$1204,Payments!$H$5:$H$1204,A849,Payments!$Q$5:$Q$1204,"Yes"),2))</f>
        <v>0</v>
      </c>
      <c r="AF849" s="26">
        <f>IF(B849="","",IF(AD849="No",0,ROUND(SUMIFS(Payments!$G$5:$G$1204,Payments!$I$5:$I$1204,C849,Payments!$H$5:$H$1204,"",Payments!$Q$5:$Q$1204,"Yes"),2)))</f>
        <v>0</v>
      </c>
      <c r="AG849" s="26">
        <f>IF(B849="","",ROUND(AE849+AF849,2))</f>
        <v>0</v>
      </c>
      <c r="AH849" s="26">
        <f>IF(B849="","",ROUND(AA849-AG849,2))</f>
        <v>0</v>
      </c>
      <c r="AI849" s="39">
        <f>IF(B849="","",IF(AA849&lt;=0,"No charge",IF(AH849&lt;=0.004,"Paid",IF(AG849&lt;=0.004,"Unpaid","Part paid"))))</f>
        <v>0</v>
      </c>
      <c r="AJ849" s="38">
        <f>IF(B849="","",IF(H849&lt;&gt;"Service","",IF(D849="","No",IF(COUNTIFS($D$5:$D$1204,D849,$B$5:$B$1204,B849,$H$5:$H$1204,"Retail")&gt;0,"Yes","No"))))</f>
        <v>0</v>
      </c>
      <c r="AK849" s="25">
        <f>IF(B849="","",COUNTIFS($Y$5:$Y$1204,"&gt;"&amp;Y849)+COUNTIFS($Y$5:Y849,Y849))</f>
        <v>0</v>
      </c>
      <c r="AL849" s="39">
        <f>IF(B849="","",IF(H849="","Add - what kind of sale is this?",IF(IF(V849&lt;=0,P849="",FALSE),"Check - no price found for this item",IF(F849="","Assign - nobody credited",IF(AH849&gt;0.004,"Unpaid - balance outstanding",IF(AC849&lt;0,"Loss - sold below cost",IF(X849&gt;W849*0.5,"Check - more than half off","OK")))))))</f>
        <v>0</v>
      </c>
    </row>
    <row r="850" spans="1:38">
      <c r="A850" s="28">
        <f>IF(B850="","",SalePrefix&amp;TEXT(ROW()-4,"0000"))</f>
        <v>0</v>
      </c>
      <c r="E850" s="15">
        <f>IF(D850="","",IFERROR(INDEX(Clients!$B$5:$B$504,MATCH(D850,Clients!$A$5:$A$504,0)),"Walk-in"))</f>
        <v>0</v>
      </c>
      <c r="G850" s="15">
        <f>IF(F850="","",IFERROR(INDEX(Staff!$B$5:$B$44,MATCH(F850,Staff!$A$5:$A$44,0)),"House"))</f>
        <v>0</v>
      </c>
      <c r="R850" s="15">
        <f>IF(B850="","",TEXT(B850,"yyyy-mm"))</f>
        <v>0</v>
      </c>
      <c r="S850" s="25">
        <f>IF(B850="","",WEEKNUM(B850,2))</f>
        <v>0</v>
      </c>
      <c r="T850" s="37">
        <f>IF(B850="","",IF(K850="",1,K850))</f>
        <v>0</v>
      </c>
      <c r="U850" s="15">
        <f>IF(B850="","",IF(J850&lt;&gt;"",J850,IF(H850="Retail",IFERROR(INDEX(Inventory!$B$5:$B$304,MATCH(I850,Inventory!$A$5:$A$304,0))&amp;"","Not in Inventory"),IFERROR(INDEX(Services!$B$5:$B$204,MATCH(I850,Services!$A$5:$A$204,0))&amp;"","Not in Services"))))</f>
        <v>0</v>
      </c>
      <c r="V850" s="26">
        <f>IF(B850="","",IF(L850&lt;&gt;"",L850,IF(H850="Retail",IFERROR(INDEX(Inventory!$I$5:$I$304,MATCH(I850,Inventory!$A$5:$A$304,0))*1,0),IFERROR(INDEX(Services!$G$5:$G$204,MATCH(I850,Services!$A$5:$A$204,0))*1,0))))</f>
        <v>0</v>
      </c>
      <c r="W850" s="26">
        <f>IF(B850="","",ROUND(T850*V850,2))</f>
        <v>0</v>
      </c>
      <c r="X850" s="26">
        <f>IF(B850="","",ROUND(IF(M850="",0,W850*M850)+IF(N850="",0,N850),2))</f>
        <v>0</v>
      </c>
      <c r="Y850" s="26">
        <f>IF(B850="","",ROUND(W850-X850-IF(P850="",0,P850),2))</f>
        <v>0</v>
      </c>
      <c r="Z850" s="26">
        <f>IF(B850="","",IF(H850="Retail",IF(TaxOnRetail="Yes",ROUND(Y850*TaxRate,2),0),IF(H850="Service",IF(TaxOnServices="Yes",ROUND(Y850*TaxRate,2),0),0)))</f>
        <v>0</v>
      </c>
      <c r="AA850" s="26">
        <f>IF(B850="","",ROUND(Y850+Z850,2))</f>
        <v>0</v>
      </c>
      <c r="AB850" s="26">
        <f>IF(B850="","",ROUND(T850*IF(H850="Retail",IFERROR(INDEX(Inventory!$H$5:$H$304,MATCH(I850,Inventory!$A$5:$A$304,0))*1,0),IFERROR(INDEX(Services!$Q$5:$Q$204,MATCH(I850,Services!$A$5:$A$204,0))*1,0)),2))</f>
        <v>0</v>
      </c>
      <c r="AC850" s="26">
        <f>IF(B850="","",ROUND(Y850-AB850,2))</f>
        <v>0</v>
      </c>
      <c r="AD850" s="38">
        <f>IF(B850="","",IF(C850="","No",IF(COUNTIFS($C$5:C850,C850)=1,"Yes","No")))</f>
        <v>0</v>
      </c>
      <c r="AE850" s="26">
        <f>IF(B850="","",ROUND(SUMIFS(Payments!$G$5:$G$1204,Payments!$H$5:$H$1204,A850,Payments!$Q$5:$Q$1204,"Yes"),2))</f>
        <v>0</v>
      </c>
      <c r="AF850" s="26">
        <f>IF(B850="","",IF(AD850="No",0,ROUND(SUMIFS(Payments!$G$5:$G$1204,Payments!$I$5:$I$1204,C850,Payments!$H$5:$H$1204,"",Payments!$Q$5:$Q$1204,"Yes"),2)))</f>
        <v>0</v>
      </c>
      <c r="AG850" s="26">
        <f>IF(B850="","",ROUND(AE850+AF850,2))</f>
        <v>0</v>
      </c>
      <c r="AH850" s="26">
        <f>IF(B850="","",ROUND(AA850-AG850,2))</f>
        <v>0</v>
      </c>
      <c r="AI850" s="39">
        <f>IF(B850="","",IF(AA850&lt;=0,"No charge",IF(AH850&lt;=0.004,"Paid",IF(AG850&lt;=0.004,"Unpaid","Part paid"))))</f>
        <v>0</v>
      </c>
      <c r="AJ850" s="38">
        <f>IF(B850="","",IF(H850&lt;&gt;"Service","",IF(D850="","No",IF(COUNTIFS($D$5:$D$1204,D850,$B$5:$B$1204,B850,$H$5:$H$1204,"Retail")&gt;0,"Yes","No"))))</f>
        <v>0</v>
      </c>
      <c r="AK850" s="25">
        <f>IF(B850="","",COUNTIFS($Y$5:$Y$1204,"&gt;"&amp;Y850)+COUNTIFS($Y$5:Y850,Y850))</f>
        <v>0</v>
      </c>
      <c r="AL850" s="39">
        <f>IF(B850="","",IF(H850="","Add - what kind of sale is this?",IF(IF(V850&lt;=0,P850="",FALSE),"Check - no price found for this item",IF(F850="","Assign - nobody credited",IF(AH850&gt;0.004,"Unpaid - balance outstanding",IF(AC850&lt;0,"Loss - sold below cost",IF(X850&gt;W850*0.5,"Check - more than half off","OK")))))))</f>
        <v>0</v>
      </c>
    </row>
    <row r="851" spans="1:38">
      <c r="A851" s="28">
        <f>IF(B851="","",SalePrefix&amp;TEXT(ROW()-4,"0000"))</f>
        <v>0</v>
      </c>
      <c r="E851" s="15">
        <f>IF(D851="","",IFERROR(INDEX(Clients!$B$5:$B$504,MATCH(D851,Clients!$A$5:$A$504,0)),"Walk-in"))</f>
        <v>0</v>
      </c>
      <c r="G851" s="15">
        <f>IF(F851="","",IFERROR(INDEX(Staff!$B$5:$B$44,MATCH(F851,Staff!$A$5:$A$44,0)),"House"))</f>
        <v>0</v>
      </c>
      <c r="R851" s="15">
        <f>IF(B851="","",TEXT(B851,"yyyy-mm"))</f>
        <v>0</v>
      </c>
      <c r="S851" s="25">
        <f>IF(B851="","",WEEKNUM(B851,2))</f>
        <v>0</v>
      </c>
      <c r="T851" s="37">
        <f>IF(B851="","",IF(K851="",1,K851))</f>
        <v>0</v>
      </c>
      <c r="U851" s="15">
        <f>IF(B851="","",IF(J851&lt;&gt;"",J851,IF(H851="Retail",IFERROR(INDEX(Inventory!$B$5:$B$304,MATCH(I851,Inventory!$A$5:$A$304,0))&amp;"","Not in Inventory"),IFERROR(INDEX(Services!$B$5:$B$204,MATCH(I851,Services!$A$5:$A$204,0))&amp;"","Not in Services"))))</f>
        <v>0</v>
      </c>
      <c r="V851" s="26">
        <f>IF(B851="","",IF(L851&lt;&gt;"",L851,IF(H851="Retail",IFERROR(INDEX(Inventory!$I$5:$I$304,MATCH(I851,Inventory!$A$5:$A$304,0))*1,0),IFERROR(INDEX(Services!$G$5:$G$204,MATCH(I851,Services!$A$5:$A$204,0))*1,0))))</f>
        <v>0</v>
      </c>
      <c r="W851" s="26">
        <f>IF(B851="","",ROUND(T851*V851,2))</f>
        <v>0</v>
      </c>
      <c r="X851" s="26">
        <f>IF(B851="","",ROUND(IF(M851="",0,W851*M851)+IF(N851="",0,N851),2))</f>
        <v>0</v>
      </c>
      <c r="Y851" s="26">
        <f>IF(B851="","",ROUND(W851-X851-IF(P851="",0,P851),2))</f>
        <v>0</v>
      </c>
      <c r="Z851" s="26">
        <f>IF(B851="","",IF(H851="Retail",IF(TaxOnRetail="Yes",ROUND(Y851*TaxRate,2),0),IF(H851="Service",IF(TaxOnServices="Yes",ROUND(Y851*TaxRate,2),0),0)))</f>
        <v>0</v>
      </c>
      <c r="AA851" s="26">
        <f>IF(B851="","",ROUND(Y851+Z851,2))</f>
        <v>0</v>
      </c>
      <c r="AB851" s="26">
        <f>IF(B851="","",ROUND(T851*IF(H851="Retail",IFERROR(INDEX(Inventory!$H$5:$H$304,MATCH(I851,Inventory!$A$5:$A$304,0))*1,0),IFERROR(INDEX(Services!$Q$5:$Q$204,MATCH(I851,Services!$A$5:$A$204,0))*1,0)),2))</f>
        <v>0</v>
      </c>
      <c r="AC851" s="26">
        <f>IF(B851="","",ROUND(Y851-AB851,2))</f>
        <v>0</v>
      </c>
      <c r="AD851" s="38">
        <f>IF(B851="","",IF(C851="","No",IF(COUNTIFS($C$5:C851,C851)=1,"Yes","No")))</f>
        <v>0</v>
      </c>
      <c r="AE851" s="26">
        <f>IF(B851="","",ROUND(SUMIFS(Payments!$G$5:$G$1204,Payments!$H$5:$H$1204,A851,Payments!$Q$5:$Q$1204,"Yes"),2))</f>
        <v>0</v>
      </c>
      <c r="AF851" s="26">
        <f>IF(B851="","",IF(AD851="No",0,ROUND(SUMIFS(Payments!$G$5:$G$1204,Payments!$I$5:$I$1204,C851,Payments!$H$5:$H$1204,"",Payments!$Q$5:$Q$1204,"Yes"),2)))</f>
        <v>0</v>
      </c>
      <c r="AG851" s="26">
        <f>IF(B851="","",ROUND(AE851+AF851,2))</f>
        <v>0</v>
      </c>
      <c r="AH851" s="26">
        <f>IF(B851="","",ROUND(AA851-AG851,2))</f>
        <v>0</v>
      </c>
      <c r="AI851" s="39">
        <f>IF(B851="","",IF(AA851&lt;=0,"No charge",IF(AH851&lt;=0.004,"Paid",IF(AG851&lt;=0.004,"Unpaid","Part paid"))))</f>
        <v>0</v>
      </c>
      <c r="AJ851" s="38">
        <f>IF(B851="","",IF(H851&lt;&gt;"Service","",IF(D851="","No",IF(COUNTIFS($D$5:$D$1204,D851,$B$5:$B$1204,B851,$H$5:$H$1204,"Retail")&gt;0,"Yes","No"))))</f>
        <v>0</v>
      </c>
      <c r="AK851" s="25">
        <f>IF(B851="","",COUNTIFS($Y$5:$Y$1204,"&gt;"&amp;Y851)+COUNTIFS($Y$5:Y851,Y851))</f>
        <v>0</v>
      </c>
      <c r="AL851" s="39">
        <f>IF(B851="","",IF(H851="","Add - what kind of sale is this?",IF(IF(V851&lt;=0,P851="",FALSE),"Check - no price found for this item",IF(F851="","Assign - nobody credited",IF(AH851&gt;0.004,"Unpaid - balance outstanding",IF(AC851&lt;0,"Loss - sold below cost",IF(X851&gt;W851*0.5,"Check - more than half off","OK")))))))</f>
        <v>0</v>
      </c>
    </row>
    <row r="852" spans="1:38">
      <c r="A852" s="28">
        <f>IF(B852="","",SalePrefix&amp;TEXT(ROW()-4,"0000"))</f>
        <v>0</v>
      </c>
      <c r="E852" s="15">
        <f>IF(D852="","",IFERROR(INDEX(Clients!$B$5:$B$504,MATCH(D852,Clients!$A$5:$A$504,0)),"Walk-in"))</f>
        <v>0</v>
      </c>
      <c r="G852" s="15">
        <f>IF(F852="","",IFERROR(INDEX(Staff!$B$5:$B$44,MATCH(F852,Staff!$A$5:$A$44,0)),"House"))</f>
        <v>0</v>
      </c>
      <c r="R852" s="15">
        <f>IF(B852="","",TEXT(B852,"yyyy-mm"))</f>
        <v>0</v>
      </c>
      <c r="S852" s="25">
        <f>IF(B852="","",WEEKNUM(B852,2))</f>
        <v>0</v>
      </c>
      <c r="T852" s="37">
        <f>IF(B852="","",IF(K852="",1,K852))</f>
        <v>0</v>
      </c>
      <c r="U852" s="15">
        <f>IF(B852="","",IF(J852&lt;&gt;"",J852,IF(H852="Retail",IFERROR(INDEX(Inventory!$B$5:$B$304,MATCH(I852,Inventory!$A$5:$A$304,0))&amp;"","Not in Inventory"),IFERROR(INDEX(Services!$B$5:$B$204,MATCH(I852,Services!$A$5:$A$204,0))&amp;"","Not in Services"))))</f>
        <v>0</v>
      </c>
      <c r="V852" s="26">
        <f>IF(B852="","",IF(L852&lt;&gt;"",L852,IF(H852="Retail",IFERROR(INDEX(Inventory!$I$5:$I$304,MATCH(I852,Inventory!$A$5:$A$304,0))*1,0),IFERROR(INDEX(Services!$G$5:$G$204,MATCH(I852,Services!$A$5:$A$204,0))*1,0))))</f>
        <v>0</v>
      </c>
      <c r="W852" s="26">
        <f>IF(B852="","",ROUND(T852*V852,2))</f>
        <v>0</v>
      </c>
      <c r="X852" s="26">
        <f>IF(B852="","",ROUND(IF(M852="",0,W852*M852)+IF(N852="",0,N852),2))</f>
        <v>0</v>
      </c>
      <c r="Y852" s="26">
        <f>IF(B852="","",ROUND(W852-X852-IF(P852="",0,P852),2))</f>
        <v>0</v>
      </c>
      <c r="Z852" s="26">
        <f>IF(B852="","",IF(H852="Retail",IF(TaxOnRetail="Yes",ROUND(Y852*TaxRate,2),0),IF(H852="Service",IF(TaxOnServices="Yes",ROUND(Y852*TaxRate,2),0),0)))</f>
        <v>0</v>
      </c>
      <c r="AA852" s="26">
        <f>IF(B852="","",ROUND(Y852+Z852,2))</f>
        <v>0</v>
      </c>
      <c r="AB852" s="26">
        <f>IF(B852="","",ROUND(T852*IF(H852="Retail",IFERROR(INDEX(Inventory!$H$5:$H$304,MATCH(I852,Inventory!$A$5:$A$304,0))*1,0),IFERROR(INDEX(Services!$Q$5:$Q$204,MATCH(I852,Services!$A$5:$A$204,0))*1,0)),2))</f>
        <v>0</v>
      </c>
      <c r="AC852" s="26">
        <f>IF(B852="","",ROUND(Y852-AB852,2))</f>
        <v>0</v>
      </c>
      <c r="AD852" s="38">
        <f>IF(B852="","",IF(C852="","No",IF(COUNTIFS($C$5:C852,C852)=1,"Yes","No")))</f>
        <v>0</v>
      </c>
      <c r="AE852" s="26">
        <f>IF(B852="","",ROUND(SUMIFS(Payments!$G$5:$G$1204,Payments!$H$5:$H$1204,A852,Payments!$Q$5:$Q$1204,"Yes"),2))</f>
        <v>0</v>
      </c>
      <c r="AF852" s="26">
        <f>IF(B852="","",IF(AD852="No",0,ROUND(SUMIFS(Payments!$G$5:$G$1204,Payments!$I$5:$I$1204,C852,Payments!$H$5:$H$1204,"",Payments!$Q$5:$Q$1204,"Yes"),2)))</f>
        <v>0</v>
      </c>
      <c r="AG852" s="26">
        <f>IF(B852="","",ROUND(AE852+AF852,2))</f>
        <v>0</v>
      </c>
      <c r="AH852" s="26">
        <f>IF(B852="","",ROUND(AA852-AG852,2))</f>
        <v>0</v>
      </c>
      <c r="AI852" s="39">
        <f>IF(B852="","",IF(AA852&lt;=0,"No charge",IF(AH852&lt;=0.004,"Paid",IF(AG852&lt;=0.004,"Unpaid","Part paid"))))</f>
        <v>0</v>
      </c>
      <c r="AJ852" s="38">
        <f>IF(B852="","",IF(H852&lt;&gt;"Service","",IF(D852="","No",IF(COUNTIFS($D$5:$D$1204,D852,$B$5:$B$1204,B852,$H$5:$H$1204,"Retail")&gt;0,"Yes","No"))))</f>
        <v>0</v>
      </c>
      <c r="AK852" s="25">
        <f>IF(B852="","",COUNTIFS($Y$5:$Y$1204,"&gt;"&amp;Y852)+COUNTIFS($Y$5:Y852,Y852))</f>
        <v>0</v>
      </c>
      <c r="AL852" s="39">
        <f>IF(B852="","",IF(H852="","Add - what kind of sale is this?",IF(IF(V852&lt;=0,P852="",FALSE),"Check - no price found for this item",IF(F852="","Assign - nobody credited",IF(AH852&gt;0.004,"Unpaid - balance outstanding",IF(AC852&lt;0,"Loss - sold below cost",IF(X852&gt;W852*0.5,"Check - more than half off","OK")))))))</f>
        <v>0</v>
      </c>
    </row>
    <row r="853" spans="1:38">
      <c r="A853" s="28">
        <f>IF(B853="","",SalePrefix&amp;TEXT(ROW()-4,"0000"))</f>
        <v>0</v>
      </c>
      <c r="E853" s="15">
        <f>IF(D853="","",IFERROR(INDEX(Clients!$B$5:$B$504,MATCH(D853,Clients!$A$5:$A$504,0)),"Walk-in"))</f>
        <v>0</v>
      </c>
      <c r="G853" s="15">
        <f>IF(F853="","",IFERROR(INDEX(Staff!$B$5:$B$44,MATCH(F853,Staff!$A$5:$A$44,0)),"House"))</f>
        <v>0</v>
      </c>
      <c r="R853" s="15">
        <f>IF(B853="","",TEXT(B853,"yyyy-mm"))</f>
        <v>0</v>
      </c>
      <c r="S853" s="25">
        <f>IF(B853="","",WEEKNUM(B853,2))</f>
        <v>0</v>
      </c>
      <c r="T853" s="37">
        <f>IF(B853="","",IF(K853="",1,K853))</f>
        <v>0</v>
      </c>
      <c r="U853" s="15">
        <f>IF(B853="","",IF(J853&lt;&gt;"",J853,IF(H853="Retail",IFERROR(INDEX(Inventory!$B$5:$B$304,MATCH(I853,Inventory!$A$5:$A$304,0))&amp;"","Not in Inventory"),IFERROR(INDEX(Services!$B$5:$B$204,MATCH(I853,Services!$A$5:$A$204,0))&amp;"","Not in Services"))))</f>
        <v>0</v>
      </c>
      <c r="V853" s="26">
        <f>IF(B853="","",IF(L853&lt;&gt;"",L853,IF(H853="Retail",IFERROR(INDEX(Inventory!$I$5:$I$304,MATCH(I853,Inventory!$A$5:$A$304,0))*1,0),IFERROR(INDEX(Services!$G$5:$G$204,MATCH(I853,Services!$A$5:$A$204,0))*1,0))))</f>
        <v>0</v>
      </c>
      <c r="W853" s="26">
        <f>IF(B853="","",ROUND(T853*V853,2))</f>
        <v>0</v>
      </c>
      <c r="X853" s="26">
        <f>IF(B853="","",ROUND(IF(M853="",0,W853*M853)+IF(N853="",0,N853),2))</f>
        <v>0</v>
      </c>
      <c r="Y853" s="26">
        <f>IF(B853="","",ROUND(W853-X853-IF(P853="",0,P853),2))</f>
        <v>0</v>
      </c>
      <c r="Z853" s="26">
        <f>IF(B853="","",IF(H853="Retail",IF(TaxOnRetail="Yes",ROUND(Y853*TaxRate,2),0),IF(H853="Service",IF(TaxOnServices="Yes",ROUND(Y853*TaxRate,2),0),0)))</f>
        <v>0</v>
      </c>
      <c r="AA853" s="26">
        <f>IF(B853="","",ROUND(Y853+Z853,2))</f>
        <v>0</v>
      </c>
      <c r="AB853" s="26">
        <f>IF(B853="","",ROUND(T853*IF(H853="Retail",IFERROR(INDEX(Inventory!$H$5:$H$304,MATCH(I853,Inventory!$A$5:$A$304,0))*1,0),IFERROR(INDEX(Services!$Q$5:$Q$204,MATCH(I853,Services!$A$5:$A$204,0))*1,0)),2))</f>
        <v>0</v>
      </c>
      <c r="AC853" s="26">
        <f>IF(B853="","",ROUND(Y853-AB853,2))</f>
        <v>0</v>
      </c>
      <c r="AD853" s="38">
        <f>IF(B853="","",IF(C853="","No",IF(COUNTIFS($C$5:C853,C853)=1,"Yes","No")))</f>
        <v>0</v>
      </c>
      <c r="AE853" s="26">
        <f>IF(B853="","",ROUND(SUMIFS(Payments!$G$5:$G$1204,Payments!$H$5:$H$1204,A853,Payments!$Q$5:$Q$1204,"Yes"),2))</f>
        <v>0</v>
      </c>
      <c r="AF853" s="26">
        <f>IF(B853="","",IF(AD853="No",0,ROUND(SUMIFS(Payments!$G$5:$G$1204,Payments!$I$5:$I$1204,C853,Payments!$H$5:$H$1204,"",Payments!$Q$5:$Q$1204,"Yes"),2)))</f>
        <v>0</v>
      </c>
      <c r="AG853" s="26">
        <f>IF(B853="","",ROUND(AE853+AF853,2))</f>
        <v>0</v>
      </c>
      <c r="AH853" s="26">
        <f>IF(B853="","",ROUND(AA853-AG853,2))</f>
        <v>0</v>
      </c>
      <c r="AI853" s="39">
        <f>IF(B853="","",IF(AA853&lt;=0,"No charge",IF(AH853&lt;=0.004,"Paid",IF(AG853&lt;=0.004,"Unpaid","Part paid"))))</f>
        <v>0</v>
      </c>
      <c r="AJ853" s="38">
        <f>IF(B853="","",IF(H853&lt;&gt;"Service","",IF(D853="","No",IF(COUNTIFS($D$5:$D$1204,D853,$B$5:$B$1204,B853,$H$5:$H$1204,"Retail")&gt;0,"Yes","No"))))</f>
        <v>0</v>
      </c>
      <c r="AK853" s="25">
        <f>IF(B853="","",COUNTIFS($Y$5:$Y$1204,"&gt;"&amp;Y853)+COUNTIFS($Y$5:Y853,Y853))</f>
        <v>0</v>
      </c>
      <c r="AL853" s="39">
        <f>IF(B853="","",IF(H853="","Add - what kind of sale is this?",IF(IF(V853&lt;=0,P853="",FALSE),"Check - no price found for this item",IF(F853="","Assign - nobody credited",IF(AH853&gt;0.004,"Unpaid - balance outstanding",IF(AC853&lt;0,"Loss - sold below cost",IF(X853&gt;W853*0.5,"Check - more than half off","OK")))))))</f>
        <v>0</v>
      </c>
    </row>
    <row r="854" spans="1:38">
      <c r="A854" s="28">
        <f>IF(B854="","",SalePrefix&amp;TEXT(ROW()-4,"0000"))</f>
        <v>0</v>
      </c>
      <c r="E854" s="15">
        <f>IF(D854="","",IFERROR(INDEX(Clients!$B$5:$B$504,MATCH(D854,Clients!$A$5:$A$504,0)),"Walk-in"))</f>
        <v>0</v>
      </c>
      <c r="G854" s="15">
        <f>IF(F854="","",IFERROR(INDEX(Staff!$B$5:$B$44,MATCH(F854,Staff!$A$5:$A$44,0)),"House"))</f>
        <v>0</v>
      </c>
      <c r="R854" s="15">
        <f>IF(B854="","",TEXT(B854,"yyyy-mm"))</f>
        <v>0</v>
      </c>
      <c r="S854" s="25">
        <f>IF(B854="","",WEEKNUM(B854,2))</f>
        <v>0</v>
      </c>
      <c r="T854" s="37">
        <f>IF(B854="","",IF(K854="",1,K854))</f>
        <v>0</v>
      </c>
      <c r="U854" s="15">
        <f>IF(B854="","",IF(J854&lt;&gt;"",J854,IF(H854="Retail",IFERROR(INDEX(Inventory!$B$5:$B$304,MATCH(I854,Inventory!$A$5:$A$304,0))&amp;"","Not in Inventory"),IFERROR(INDEX(Services!$B$5:$B$204,MATCH(I854,Services!$A$5:$A$204,0))&amp;"","Not in Services"))))</f>
        <v>0</v>
      </c>
      <c r="V854" s="26">
        <f>IF(B854="","",IF(L854&lt;&gt;"",L854,IF(H854="Retail",IFERROR(INDEX(Inventory!$I$5:$I$304,MATCH(I854,Inventory!$A$5:$A$304,0))*1,0),IFERROR(INDEX(Services!$G$5:$G$204,MATCH(I854,Services!$A$5:$A$204,0))*1,0))))</f>
        <v>0</v>
      </c>
      <c r="W854" s="26">
        <f>IF(B854="","",ROUND(T854*V854,2))</f>
        <v>0</v>
      </c>
      <c r="X854" s="26">
        <f>IF(B854="","",ROUND(IF(M854="",0,W854*M854)+IF(N854="",0,N854),2))</f>
        <v>0</v>
      </c>
      <c r="Y854" s="26">
        <f>IF(B854="","",ROUND(W854-X854-IF(P854="",0,P854),2))</f>
        <v>0</v>
      </c>
      <c r="Z854" s="26">
        <f>IF(B854="","",IF(H854="Retail",IF(TaxOnRetail="Yes",ROUND(Y854*TaxRate,2),0),IF(H854="Service",IF(TaxOnServices="Yes",ROUND(Y854*TaxRate,2),0),0)))</f>
        <v>0</v>
      </c>
      <c r="AA854" s="26">
        <f>IF(B854="","",ROUND(Y854+Z854,2))</f>
        <v>0</v>
      </c>
      <c r="AB854" s="26">
        <f>IF(B854="","",ROUND(T854*IF(H854="Retail",IFERROR(INDEX(Inventory!$H$5:$H$304,MATCH(I854,Inventory!$A$5:$A$304,0))*1,0),IFERROR(INDEX(Services!$Q$5:$Q$204,MATCH(I854,Services!$A$5:$A$204,0))*1,0)),2))</f>
        <v>0</v>
      </c>
      <c r="AC854" s="26">
        <f>IF(B854="","",ROUND(Y854-AB854,2))</f>
        <v>0</v>
      </c>
      <c r="AD854" s="38">
        <f>IF(B854="","",IF(C854="","No",IF(COUNTIFS($C$5:C854,C854)=1,"Yes","No")))</f>
        <v>0</v>
      </c>
      <c r="AE854" s="26">
        <f>IF(B854="","",ROUND(SUMIFS(Payments!$G$5:$G$1204,Payments!$H$5:$H$1204,A854,Payments!$Q$5:$Q$1204,"Yes"),2))</f>
        <v>0</v>
      </c>
      <c r="AF854" s="26">
        <f>IF(B854="","",IF(AD854="No",0,ROUND(SUMIFS(Payments!$G$5:$G$1204,Payments!$I$5:$I$1204,C854,Payments!$H$5:$H$1204,"",Payments!$Q$5:$Q$1204,"Yes"),2)))</f>
        <v>0</v>
      </c>
      <c r="AG854" s="26">
        <f>IF(B854="","",ROUND(AE854+AF854,2))</f>
        <v>0</v>
      </c>
      <c r="AH854" s="26">
        <f>IF(B854="","",ROUND(AA854-AG854,2))</f>
        <v>0</v>
      </c>
      <c r="AI854" s="39">
        <f>IF(B854="","",IF(AA854&lt;=0,"No charge",IF(AH854&lt;=0.004,"Paid",IF(AG854&lt;=0.004,"Unpaid","Part paid"))))</f>
        <v>0</v>
      </c>
      <c r="AJ854" s="38">
        <f>IF(B854="","",IF(H854&lt;&gt;"Service","",IF(D854="","No",IF(COUNTIFS($D$5:$D$1204,D854,$B$5:$B$1204,B854,$H$5:$H$1204,"Retail")&gt;0,"Yes","No"))))</f>
        <v>0</v>
      </c>
      <c r="AK854" s="25">
        <f>IF(B854="","",COUNTIFS($Y$5:$Y$1204,"&gt;"&amp;Y854)+COUNTIFS($Y$5:Y854,Y854))</f>
        <v>0</v>
      </c>
      <c r="AL854" s="39">
        <f>IF(B854="","",IF(H854="","Add - what kind of sale is this?",IF(IF(V854&lt;=0,P854="",FALSE),"Check - no price found for this item",IF(F854="","Assign - nobody credited",IF(AH854&gt;0.004,"Unpaid - balance outstanding",IF(AC854&lt;0,"Loss - sold below cost",IF(X854&gt;W854*0.5,"Check - more than half off","OK")))))))</f>
        <v>0</v>
      </c>
    </row>
    <row r="855" spans="1:38">
      <c r="A855" s="28">
        <f>IF(B855="","",SalePrefix&amp;TEXT(ROW()-4,"0000"))</f>
        <v>0</v>
      </c>
      <c r="E855" s="15">
        <f>IF(D855="","",IFERROR(INDEX(Clients!$B$5:$B$504,MATCH(D855,Clients!$A$5:$A$504,0)),"Walk-in"))</f>
        <v>0</v>
      </c>
      <c r="G855" s="15">
        <f>IF(F855="","",IFERROR(INDEX(Staff!$B$5:$B$44,MATCH(F855,Staff!$A$5:$A$44,0)),"House"))</f>
        <v>0</v>
      </c>
      <c r="R855" s="15">
        <f>IF(B855="","",TEXT(B855,"yyyy-mm"))</f>
        <v>0</v>
      </c>
      <c r="S855" s="25">
        <f>IF(B855="","",WEEKNUM(B855,2))</f>
        <v>0</v>
      </c>
      <c r="T855" s="37">
        <f>IF(B855="","",IF(K855="",1,K855))</f>
        <v>0</v>
      </c>
      <c r="U855" s="15">
        <f>IF(B855="","",IF(J855&lt;&gt;"",J855,IF(H855="Retail",IFERROR(INDEX(Inventory!$B$5:$B$304,MATCH(I855,Inventory!$A$5:$A$304,0))&amp;"","Not in Inventory"),IFERROR(INDEX(Services!$B$5:$B$204,MATCH(I855,Services!$A$5:$A$204,0))&amp;"","Not in Services"))))</f>
        <v>0</v>
      </c>
      <c r="V855" s="26">
        <f>IF(B855="","",IF(L855&lt;&gt;"",L855,IF(H855="Retail",IFERROR(INDEX(Inventory!$I$5:$I$304,MATCH(I855,Inventory!$A$5:$A$304,0))*1,0),IFERROR(INDEX(Services!$G$5:$G$204,MATCH(I855,Services!$A$5:$A$204,0))*1,0))))</f>
        <v>0</v>
      </c>
      <c r="W855" s="26">
        <f>IF(B855="","",ROUND(T855*V855,2))</f>
        <v>0</v>
      </c>
      <c r="X855" s="26">
        <f>IF(B855="","",ROUND(IF(M855="",0,W855*M855)+IF(N855="",0,N855),2))</f>
        <v>0</v>
      </c>
      <c r="Y855" s="26">
        <f>IF(B855="","",ROUND(W855-X855-IF(P855="",0,P855),2))</f>
        <v>0</v>
      </c>
      <c r="Z855" s="26">
        <f>IF(B855="","",IF(H855="Retail",IF(TaxOnRetail="Yes",ROUND(Y855*TaxRate,2),0),IF(H855="Service",IF(TaxOnServices="Yes",ROUND(Y855*TaxRate,2),0),0)))</f>
        <v>0</v>
      </c>
      <c r="AA855" s="26">
        <f>IF(B855="","",ROUND(Y855+Z855,2))</f>
        <v>0</v>
      </c>
      <c r="AB855" s="26">
        <f>IF(B855="","",ROUND(T855*IF(H855="Retail",IFERROR(INDEX(Inventory!$H$5:$H$304,MATCH(I855,Inventory!$A$5:$A$304,0))*1,0),IFERROR(INDEX(Services!$Q$5:$Q$204,MATCH(I855,Services!$A$5:$A$204,0))*1,0)),2))</f>
        <v>0</v>
      </c>
      <c r="AC855" s="26">
        <f>IF(B855="","",ROUND(Y855-AB855,2))</f>
        <v>0</v>
      </c>
      <c r="AD855" s="38">
        <f>IF(B855="","",IF(C855="","No",IF(COUNTIFS($C$5:C855,C855)=1,"Yes","No")))</f>
        <v>0</v>
      </c>
      <c r="AE855" s="26">
        <f>IF(B855="","",ROUND(SUMIFS(Payments!$G$5:$G$1204,Payments!$H$5:$H$1204,A855,Payments!$Q$5:$Q$1204,"Yes"),2))</f>
        <v>0</v>
      </c>
      <c r="AF855" s="26">
        <f>IF(B855="","",IF(AD855="No",0,ROUND(SUMIFS(Payments!$G$5:$G$1204,Payments!$I$5:$I$1204,C855,Payments!$H$5:$H$1204,"",Payments!$Q$5:$Q$1204,"Yes"),2)))</f>
        <v>0</v>
      </c>
      <c r="AG855" s="26">
        <f>IF(B855="","",ROUND(AE855+AF855,2))</f>
        <v>0</v>
      </c>
      <c r="AH855" s="26">
        <f>IF(B855="","",ROUND(AA855-AG855,2))</f>
        <v>0</v>
      </c>
      <c r="AI855" s="39">
        <f>IF(B855="","",IF(AA855&lt;=0,"No charge",IF(AH855&lt;=0.004,"Paid",IF(AG855&lt;=0.004,"Unpaid","Part paid"))))</f>
        <v>0</v>
      </c>
      <c r="AJ855" s="38">
        <f>IF(B855="","",IF(H855&lt;&gt;"Service","",IF(D855="","No",IF(COUNTIFS($D$5:$D$1204,D855,$B$5:$B$1204,B855,$H$5:$H$1204,"Retail")&gt;0,"Yes","No"))))</f>
        <v>0</v>
      </c>
      <c r="AK855" s="25">
        <f>IF(B855="","",COUNTIFS($Y$5:$Y$1204,"&gt;"&amp;Y855)+COUNTIFS($Y$5:Y855,Y855))</f>
        <v>0</v>
      </c>
      <c r="AL855" s="39">
        <f>IF(B855="","",IF(H855="","Add - what kind of sale is this?",IF(IF(V855&lt;=0,P855="",FALSE),"Check - no price found for this item",IF(F855="","Assign - nobody credited",IF(AH855&gt;0.004,"Unpaid - balance outstanding",IF(AC855&lt;0,"Loss - sold below cost",IF(X855&gt;W855*0.5,"Check - more than half off","OK")))))))</f>
        <v>0</v>
      </c>
    </row>
    <row r="856" spans="1:38">
      <c r="A856" s="28">
        <f>IF(B856="","",SalePrefix&amp;TEXT(ROW()-4,"0000"))</f>
        <v>0</v>
      </c>
      <c r="E856" s="15">
        <f>IF(D856="","",IFERROR(INDEX(Clients!$B$5:$B$504,MATCH(D856,Clients!$A$5:$A$504,0)),"Walk-in"))</f>
        <v>0</v>
      </c>
      <c r="G856" s="15">
        <f>IF(F856="","",IFERROR(INDEX(Staff!$B$5:$B$44,MATCH(F856,Staff!$A$5:$A$44,0)),"House"))</f>
        <v>0</v>
      </c>
      <c r="R856" s="15">
        <f>IF(B856="","",TEXT(B856,"yyyy-mm"))</f>
        <v>0</v>
      </c>
      <c r="S856" s="25">
        <f>IF(B856="","",WEEKNUM(B856,2))</f>
        <v>0</v>
      </c>
      <c r="T856" s="37">
        <f>IF(B856="","",IF(K856="",1,K856))</f>
        <v>0</v>
      </c>
      <c r="U856" s="15">
        <f>IF(B856="","",IF(J856&lt;&gt;"",J856,IF(H856="Retail",IFERROR(INDEX(Inventory!$B$5:$B$304,MATCH(I856,Inventory!$A$5:$A$304,0))&amp;"","Not in Inventory"),IFERROR(INDEX(Services!$B$5:$B$204,MATCH(I856,Services!$A$5:$A$204,0))&amp;"","Not in Services"))))</f>
        <v>0</v>
      </c>
      <c r="V856" s="26">
        <f>IF(B856="","",IF(L856&lt;&gt;"",L856,IF(H856="Retail",IFERROR(INDEX(Inventory!$I$5:$I$304,MATCH(I856,Inventory!$A$5:$A$304,0))*1,0),IFERROR(INDEX(Services!$G$5:$G$204,MATCH(I856,Services!$A$5:$A$204,0))*1,0))))</f>
        <v>0</v>
      </c>
      <c r="W856" s="26">
        <f>IF(B856="","",ROUND(T856*V856,2))</f>
        <v>0</v>
      </c>
      <c r="X856" s="26">
        <f>IF(B856="","",ROUND(IF(M856="",0,W856*M856)+IF(N856="",0,N856),2))</f>
        <v>0</v>
      </c>
      <c r="Y856" s="26">
        <f>IF(B856="","",ROUND(W856-X856-IF(P856="",0,P856),2))</f>
        <v>0</v>
      </c>
      <c r="Z856" s="26">
        <f>IF(B856="","",IF(H856="Retail",IF(TaxOnRetail="Yes",ROUND(Y856*TaxRate,2),0),IF(H856="Service",IF(TaxOnServices="Yes",ROUND(Y856*TaxRate,2),0),0)))</f>
        <v>0</v>
      </c>
      <c r="AA856" s="26">
        <f>IF(B856="","",ROUND(Y856+Z856,2))</f>
        <v>0</v>
      </c>
      <c r="AB856" s="26">
        <f>IF(B856="","",ROUND(T856*IF(H856="Retail",IFERROR(INDEX(Inventory!$H$5:$H$304,MATCH(I856,Inventory!$A$5:$A$304,0))*1,0),IFERROR(INDEX(Services!$Q$5:$Q$204,MATCH(I856,Services!$A$5:$A$204,0))*1,0)),2))</f>
        <v>0</v>
      </c>
      <c r="AC856" s="26">
        <f>IF(B856="","",ROUND(Y856-AB856,2))</f>
        <v>0</v>
      </c>
      <c r="AD856" s="38">
        <f>IF(B856="","",IF(C856="","No",IF(COUNTIFS($C$5:C856,C856)=1,"Yes","No")))</f>
        <v>0</v>
      </c>
      <c r="AE856" s="26">
        <f>IF(B856="","",ROUND(SUMIFS(Payments!$G$5:$G$1204,Payments!$H$5:$H$1204,A856,Payments!$Q$5:$Q$1204,"Yes"),2))</f>
        <v>0</v>
      </c>
      <c r="AF856" s="26">
        <f>IF(B856="","",IF(AD856="No",0,ROUND(SUMIFS(Payments!$G$5:$G$1204,Payments!$I$5:$I$1204,C856,Payments!$H$5:$H$1204,"",Payments!$Q$5:$Q$1204,"Yes"),2)))</f>
        <v>0</v>
      </c>
      <c r="AG856" s="26">
        <f>IF(B856="","",ROUND(AE856+AF856,2))</f>
        <v>0</v>
      </c>
      <c r="AH856" s="26">
        <f>IF(B856="","",ROUND(AA856-AG856,2))</f>
        <v>0</v>
      </c>
      <c r="AI856" s="39">
        <f>IF(B856="","",IF(AA856&lt;=0,"No charge",IF(AH856&lt;=0.004,"Paid",IF(AG856&lt;=0.004,"Unpaid","Part paid"))))</f>
        <v>0</v>
      </c>
      <c r="AJ856" s="38">
        <f>IF(B856="","",IF(H856&lt;&gt;"Service","",IF(D856="","No",IF(COUNTIFS($D$5:$D$1204,D856,$B$5:$B$1204,B856,$H$5:$H$1204,"Retail")&gt;0,"Yes","No"))))</f>
        <v>0</v>
      </c>
      <c r="AK856" s="25">
        <f>IF(B856="","",COUNTIFS($Y$5:$Y$1204,"&gt;"&amp;Y856)+COUNTIFS($Y$5:Y856,Y856))</f>
        <v>0</v>
      </c>
      <c r="AL856" s="39">
        <f>IF(B856="","",IF(H856="","Add - what kind of sale is this?",IF(IF(V856&lt;=0,P856="",FALSE),"Check - no price found for this item",IF(F856="","Assign - nobody credited",IF(AH856&gt;0.004,"Unpaid - balance outstanding",IF(AC856&lt;0,"Loss - sold below cost",IF(X856&gt;W856*0.5,"Check - more than half off","OK")))))))</f>
        <v>0</v>
      </c>
    </row>
    <row r="857" spans="1:38">
      <c r="A857" s="28">
        <f>IF(B857="","",SalePrefix&amp;TEXT(ROW()-4,"0000"))</f>
        <v>0</v>
      </c>
      <c r="E857" s="15">
        <f>IF(D857="","",IFERROR(INDEX(Clients!$B$5:$B$504,MATCH(D857,Clients!$A$5:$A$504,0)),"Walk-in"))</f>
        <v>0</v>
      </c>
      <c r="G857" s="15">
        <f>IF(F857="","",IFERROR(INDEX(Staff!$B$5:$B$44,MATCH(F857,Staff!$A$5:$A$44,0)),"House"))</f>
        <v>0</v>
      </c>
      <c r="R857" s="15">
        <f>IF(B857="","",TEXT(B857,"yyyy-mm"))</f>
        <v>0</v>
      </c>
      <c r="S857" s="25">
        <f>IF(B857="","",WEEKNUM(B857,2))</f>
        <v>0</v>
      </c>
      <c r="T857" s="37">
        <f>IF(B857="","",IF(K857="",1,K857))</f>
        <v>0</v>
      </c>
      <c r="U857" s="15">
        <f>IF(B857="","",IF(J857&lt;&gt;"",J857,IF(H857="Retail",IFERROR(INDEX(Inventory!$B$5:$B$304,MATCH(I857,Inventory!$A$5:$A$304,0))&amp;"","Not in Inventory"),IFERROR(INDEX(Services!$B$5:$B$204,MATCH(I857,Services!$A$5:$A$204,0))&amp;"","Not in Services"))))</f>
        <v>0</v>
      </c>
      <c r="V857" s="26">
        <f>IF(B857="","",IF(L857&lt;&gt;"",L857,IF(H857="Retail",IFERROR(INDEX(Inventory!$I$5:$I$304,MATCH(I857,Inventory!$A$5:$A$304,0))*1,0),IFERROR(INDEX(Services!$G$5:$G$204,MATCH(I857,Services!$A$5:$A$204,0))*1,0))))</f>
        <v>0</v>
      </c>
      <c r="W857" s="26">
        <f>IF(B857="","",ROUND(T857*V857,2))</f>
        <v>0</v>
      </c>
      <c r="X857" s="26">
        <f>IF(B857="","",ROUND(IF(M857="",0,W857*M857)+IF(N857="",0,N857),2))</f>
        <v>0</v>
      </c>
      <c r="Y857" s="26">
        <f>IF(B857="","",ROUND(W857-X857-IF(P857="",0,P857),2))</f>
        <v>0</v>
      </c>
      <c r="Z857" s="26">
        <f>IF(B857="","",IF(H857="Retail",IF(TaxOnRetail="Yes",ROUND(Y857*TaxRate,2),0),IF(H857="Service",IF(TaxOnServices="Yes",ROUND(Y857*TaxRate,2),0),0)))</f>
        <v>0</v>
      </c>
      <c r="AA857" s="26">
        <f>IF(B857="","",ROUND(Y857+Z857,2))</f>
        <v>0</v>
      </c>
      <c r="AB857" s="26">
        <f>IF(B857="","",ROUND(T857*IF(H857="Retail",IFERROR(INDEX(Inventory!$H$5:$H$304,MATCH(I857,Inventory!$A$5:$A$304,0))*1,0),IFERROR(INDEX(Services!$Q$5:$Q$204,MATCH(I857,Services!$A$5:$A$204,0))*1,0)),2))</f>
        <v>0</v>
      </c>
      <c r="AC857" s="26">
        <f>IF(B857="","",ROUND(Y857-AB857,2))</f>
        <v>0</v>
      </c>
      <c r="AD857" s="38">
        <f>IF(B857="","",IF(C857="","No",IF(COUNTIFS($C$5:C857,C857)=1,"Yes","No")))</f>
        <v>0</v>
      </c>
      <c r="AE857" s="26">
        <f>IF(B857="","",ROUND(SUMIFS(Payments!$G$5:$G$1204,Payments!$H$5:$H$1204,A857,Payments!$Q$5:$Q$1204,"Yes"),2))</f>
        <v>0</v>
      </c>
      <c r="AF857" s="26">
        <f>IF(B857="","",IF(AD857="No",0,ROUND(SUMIFS(Payments!$G$5:$G$1204,Payments!$I$5:$I$1204,C857,Payments!$H$5:$H$1204,"",Payments!$Q$5:$Q$1204,"Yes"),2)))</f>
        <v>0</v>
      </c>
      <c r="AG857" s="26">
        <f>IF(B857="","",ROUND(AE857+AF857,2))</f>
        <v>0</v>
      </c>
      <c r="AH857" s="26">
        <f>IF(B857="","",ROUND(AA857-AG857,2))</f>
        <v>0</v>
      </c>
      <c r="AI857" s="39">
        <f>IF(B857="","",IF(AA857&lt;=0,"No charge",IF(AH857&lt;=0.004,"Paid",IF(AG857&lt;=0.004,"Unpaid","Part paid"))))</f>
        <v>0</v>
      </c>
      <c r="AJ857" s="38">
        <f>IF(B857="","",IF(H857&lt;&gt;"Service","",IF(D857="","No",IF(COUNTIFS($D$5:$D$1204,D857,$B$5:$B$1204,B857,$H$5:$H$1204,"Retail")&gt;0,"Yes","No"))))</f>
        <v>0</v>
      </c>
      <c r="AK857" s="25">
        <f>IF(B857="","",COUNTIFS($Y$5:$Y$1204,"&gt;"&amp;Y857)+COUNTIFS($Y$5:Y857,Y857))</f>
        <v>0</v>
      </c>
      <c r="AL857" s="39">
        <f>IF(B857="","",IF(H857="","Add - what kind of sale is this?",IF(IF(V857&lt;=0,P857="",FALSE),"Check - no price found for this item",IF(F857="","Assign - nobody credited",IF(AH857&gt;0.004,"Unpaid - balance outstanding",IF(AC857&lt;0,"Loss - sold below cost",IF(X857&gt;W857*0.5,"Check - more than half off","OK")))))))</f>
        <v>0</v>
      </c>
    </row>
    <row r="858" spans="1:38">
      <c r="A858" s="28">
        <f>IF(B858="","",SalePrefix&amp;TEXT(ROW()-4,"0000"))</f>
        <v>0</v>
      </c>
      <c r="E858" s="15">
        <f>IF(D858="","",IFERROR(INDEX(Clients!$B$5:$B$504,MATCH(D858,Clients!$A$5:$A$504,0)),"Walk-in"))</f>
        <v>0</v>
      </c>
      <c r="G858" s="15">
        <f>IF(F858="","",IFERROR(INDEX(Staff!$B$5:$B$44,MATCH(F858,Staff!$A$5:$A$44,0)),"House"))</f>
        <v>0</v>
      </c>
      <c r="R858" s="15">
        <f>IF(B858="","",TEXT(B858,"yyyy-mm"))</f>
        <v>0</v>
      </c>
      <c r="S858" s="25">
        <f>IF(B858="","",WEEKNUM(B858,2))</f>
        <v>0</v>
      </c>
      <c r="T858" s="37">
        <f>IF(B858="","",IF(K858="",1,K858))</f>
        <v>0</v>
      </c>
      <c r="U858" s="15">
        <f>IF(B858="","",IF(J858&lt;&gt;"",J858,IF(H858="Retail",IFERROR(INDEX(Inventory!$B$5:$B$304,MATCH(I858,Inventory!$A$5:$A$304,0))&amp;"","Not in Inventory"),IFERROR(INDEX(Services!$B$5:$B$204,MATCH(I858,Services!$A$5:$A$204,0))&amp;"","Not in Services"))))</f>
        <v>0</v>
      </c>
      <c r="V858" s="26">
        <f>IF(B858="","",IF(L858&lt;&gt;"",L858,IF(H858="Retail",IFERROR(INDEX(Inventory!$I$5:$I$304,MATCH(I858,Inventory!$A$5:$A$304,0))*1,0),IFERROR(INDEX(Services!$G$5:$G$204,MATCH(I858,Services!$A$5:$A$204,0))*1,0))))</f>
        <v>0</v>
      </c>
      <c r="W858" s="26">
        <f>IF(B858="","",ROUND(T858*V858,2))</f>
        <v>0</v>
      </c>
      <c r="X858" s="26">
        <f>IF(B858="","",ROUND(IF(M858="",0,W858*M858)+IF(N858="",0,N858),2))</f>
        <v>0</v>
      </c>
      <c r="Y858" s="26">
        <f>IF(B858="","",ROUND(W858-X858-IF(P858="",0,P858),2))</f>
        <v>0</v>
      </c>
      <c r="Z858" s="26">
        <f>IF(B858="","",IF(H858="Retail",IF(TaxOnRetail="Yes",ROUND(Y858*TaxRate,2),0),IF(H858="Service",IF(TaxOnServices="Yes",ROUND(Y858*TaxRate,2),0),0)))</f>
        <v>0</v>
      </c>
      <c r="AA858" s="26">
        <f>IF(B858="","",ROUND(Y858+Z858,2))</f>
        <v>0</v>
      </c>
      <c r="AB858" s="26">
        <f>IF(B858="","",ROUND(T858*IF(H858="Retail",IFERROR(INDEX(Inventory!$H$5:$H$304,MATCH(I858,Inventory!$A$5:$A$304,0))*1,0),IFERROR(INDEX(Services!$Q$5:$Q$204,MATCH(I858,Services!$A$5:$A$204,0))*1,0)),2))</f>
        <v>0</v>
      </c>
      <c r="AC858" s="26">
        <f>IF(B858="","",ROUND(Y858-AB858,2))</f>
        <v>0</v>
      </c>
      <c r="AD858" s="38">
        <f>IF(B858="","",IF(C858="","No",IF(COUNTIFS($C$5:C858,C858)=1,"Yes","No")))</f>
        <v>0</v>
      </c>
      <c r="AE858" s="26">
        <f>IF(B858="","",ROUND(SUMIFS(Payments!$G$5:$G$1204,Payments!$H$5:$H$1204,A858,Payments!$Q$5:$Q$1204,"Yes"),2))</f>
        <v>0</v>
      </c>
      <c r="AF858" s="26">
        <f>IF(B858="","",IF(AD858="No",0,ROUND(SUMIFS(Payments!$G$5:$G$1204,Payments!$I$5:$I$1204,C858,Payments!$H$5:$H$1204,"",Payments!$Q$5:$Q$1204,"Yes"),2)))</f>
        <v>0</v>
      </c>
      <c r="AG858" s="26">
        <f>IF(B858="","",ROUND(AE858+AF858,2))</f>
        <v>0</v>
      </c>
      <c r="AH858" s="26">
        <f>IF(B858="","",ROUND(AA858-AG858,2))</f>
        <v>0</v>
      </c>
      <c r="AI858" s="39">
        <f>IF(B858="","",IF(AA858&lt;=0,"No charge",IF(AH858&lt;=0.004,"Paid",IF(AG858&lt;=0.004,"Unpaid","Part paid"))))</f>
        <v>0</v>
      </c>
      <c r="AJ858" s="38">
        <f>IF(B858="","",IF(H858&lt;&gt;"Service","",IF(D858="","No",IF(COUNTIFS($D$5:$D$1204,D858,$B$5:$B$1204,B858,$H$5:$H$1204,"Retail")&gt;0,"Yes","No"))))</f>
        <v>0</v>
      </c>
      <c r="AK858" s="25">
        <f>IF(B858="","",COUNTIFS($Y$5:$Y$1204,"&gt;"&amp;Y858)+COUNTIFS($Y$5:Y858,Y858))</f>
        <v>0</v>
      </c>
      <c r="AL858" s="39">
        <f>IF(B858="","",IF(H858="","Add - what kind of sale is this?",IF(IF(V858&lt;=0,P858="",FALSE),"Check - no price found for this item",IF(F858="","Assign - nobody credited",IF(AH858&gt;0.004,"Unpaid - balance outstanding",IF(AC858&lt;0,"Loss - sold below cost",IF(X858&gt;W858*0.5,"Check - more than half off","OK")))))))</f>
        <v>0</v>
      </c>
    </row>
    <row r="859" spans="1:38">
      <c r="A859" s="28">
        <f>IF(B859="","",SalePrefix&amp;TEXT(ROW()-4,"0000"))</f>
        <v>0</v>
      </c>
      <c r="E859" s="15">
        <f>IF(D859="","",IFERROR(INDEX(Clients!$B$5:$B$504,MATCH(D859,Clients!$A$5:$A$504,0)),"Walk-in"))</f>
        <v>0</v>
      </c>
      <c r="G859" s="15">
        <f>IF(F859="","",IFERROR(INDEX(Staff!$B$5:$B$44,MATCH(F859,Staff!$A$5:$A$44,0)),"House"))</f>
        <v>0</v>
      </c>
      <c r="R859" s="15">
        <f>IF(B859="","",TEXT(B859,"yyyy-mm"))</f>
        <v>0</v>
      </c>
      <c r="S859" s="25">
        <f>IF(B859="","",WEEKNUM(B859,2))</f>
        <v>0</v>
      </c>
      <c r="T859" s="37">
        <f>IF(B859="","",IF(K859="",1,K859))</f>
        <v>0</v>
      </c>
      <c r="U859" s="15">
        <f>IF(B859="","",IF(J859&lt;&gt;"",J859,IF(H859="Retail",IFERROR(INDEX(Inventory!$B$5:$B$304,MATCH(I859,Inventory!$A$5:$A$304,0))&amp;"","Not in Inventory"),IFERROR(INDEX(Services!$B$5:$B$204,MATCH(I859,Services!$A$5:$A$204,0))&amp;"","Not in Services"))))</f>
        <v>0</v>
      </c>
      <c r="V859" s="26">
        <f>IF(B859="","",IF(L859&lt;&gt;"",L859,IF(H859="Retail",IFERROR(INDEX(Inventory!$I$5:$I$304,MATCH(I859,Inventory!$A$5:$A$304,0))*1,0),IFERROR(INDEX(Services!$G$5:$G$204,MATCH(I859,Services!$A$5:$A$204,0))*1,0))))</f>
        <v>0</v>
      </c>
      <c r="W859" s="26">
        <f>IF(B859="","",ROUND(T859*V859,2))</f>
        <v>0</v>
      </c>
      <c r="X859" s="26">
        <f>IF(B859="","",ROUND(IF(M859="",0,W859*M859)+IF(N859="",0,N859),2))</f>
        <v>0</v>
      </c>
      <c r="Y859" s="26">
        <f>IF(B859="","",ROUND(W859-X859-IF(P859="",0,P859),2))</f>
        <v>0</v>
      </c>
      <c r="Z859" s="26">
        <f>IF(B859="","",IF(H859="Retail",IF(TaxOnRetail="Yes",ROUND(Y859*TaxRate,2),0),IF(H859="Service",IF(TaxOnServices="Yes",ROUND(Y859*TaxRate,2),0),0)))</f>
        <v>0</v>
      </c>
      <c r="AA859" s="26">
        <f>IF(B859="","",ROUND(Y859+Z859,2))</f>
        <v>0</v>
      </c>
      <c r="AB859" s="26">
        <f>IF(B859="","",ROUND(T859*IF(H859="Retail",IFERROR(INDEX(Inventory!$H$5:$H$304,MATCH(I859,Inventory!$A$5:$A$304,0))*1,0),IFERROR(INDEX(Services!$Q$5:$Q$204,MATCH(I859,Services!$A$5:$A$204,0))*1,0)),2))</f>
        <v>0</v>
      </c>
      <c r="AC859" s="26">
        <f>IF(B859="","",ROUND(Y859-AB859,2))</f>
        <v>0</v>
      </c>
      <c r="AD859" s="38">
        <f>IF(B859="","",IF(C859="","No",IF(COUNTIFS($C$5:C859,C859)=1,"Yes","No")))</f>
        <v>0</v>
      </c>
      <c r="AE859" s="26">
        <f>IF(B859="","",ROUND(SUMIFS(Payments!$G$5:$G$1204,Payments!$H$5:$H$1204,A859,Payments!$Q$5:$Q$1204,"Yes"),2))</f>
        <v>0</v>
      </c>
      <c r="AF859" s="26">
        <f>IF(B859="","",IF(AD859="No",0,ROUND(SUMIFS(Payments!$G$5:$G$1204,Payments!$I$5:$I$1204,C859,Payments!$H$5:$H$1204,"",Payments!$Q$5:$Q$1204,"Yes"),2)))</f>
        <v>0</v>
      </c>
      <c r="AG859" s="26">
        <f>IF(B859="","",ROUND(AE859+AF859,2))</f>
        <v>0</v>
      </c>
      <c r="AH859" s="26">
        <f>IF(B859="","",ROUND(AA859-AG859,2))</f>
        <v>0</v>
      </c>
      <c r="AI859" s="39">
        <f>IF(B859="","",IF(AA859&lt;=0,"No charge",IF(AH859&lt;=0.004,"Paid",IF(AG859&lt;=0.004,"Unpaid","Part paid"))))</f>
        <v>0</v>
      </c>
      <c r="AJ859" s="38">
        <f>IF(B859="","",IF(H859&lt;&gt;"Service","",IF(D859="","No",IF(COUNTIFS($D$5:$D$1204,D859,$B$5:$B$1204,B859,$H$5:$H$1204,"Retail")&gt;0,"Yes","No"))))</f>
        <v>0</v>
      </c>
      <c r="AK859" s="25">
        <f>IF(B859="","",COUNTIFS($Y$5:$Y$1204,"&gt;"&amp;Y859)+COUNTIFS($Y$5:Y859,Y859))</f>
        <v>0</v>
      </c>
      <c r="AL859" s="39">
        <f>IF(B859="","",IF(H859="","Add - what kind of sale is this?",IF(IF(V859&lt;=0,P859="",FALSE),"Check - no price found for this item",IF(F859="","Assign - nobody credited",IF(AH859&gt;0.004,"Unpaid - balance outstanding",IF(AC859&lt;0,"Loss - sold below cost",IF(X859&gt;W859*0.5,"Check - more than half off","OK")))))))</f>
        <v>0</v>
      </c>
    </row>
    <row r="860" spans="1:38">
      <c r="A860" s="28">
        <f>IF(B860="","",SalePrefix&amp;TEXT(ROW()-4,"0000"))</f>
        <v>0</v>
      </c>
      <c r="E860" s="15">
        <f>IF(D860="","",IFERROR(INDEX(Clients!$B$5:$B$504,MATCH(D860,Clients!$A$5:$A$504,0)),"Walk-in"))</f>
        <v>0</v>
      </c>
      <c r="G860" s="15">
        <f>IF(F860="","",IFERROR(INDEX(Staff!$B$5:$B$44,MATCH(F860,Staff!$A$5:$A$44,0)),"House"))</f>
        <v>0</v>
      </c>
      <c r="R860" s="15">
        <f>IF(B860="","",TEXT(B860,"yyyy-mm"))</f>
        <v>0</v>
      </c>
      <c r="S860" s="25">
        <f>IF(B860="","",WEEKNUM(B860,2))</f>
        <v>0</v>
      </c>
      <c r="T860" s="37">
        <f>IF(B860="","",IF(K860="",1,K860))</f>
        <v>0</v>
      </c>
      <c r="U860" s="15">
        <f>IF(B860="","",IF(J860&lt;&gt;"",J860,IF(H860="Retail",IFERROR(INDEX(Inventory!$B$5:$B$304,MATCH(I860,Inventory!$A$5:$A$304,0))&amp;"","Not in Inventory"),IFERROR(INDEX(Services!$B$5:$B$204,MATCH(I860,Services!$A$5:$A$204,0))&amp;"","Not in Services"))))</f>
        <v>0</v>
      </c>
      <c r="V860" s="26">
        <f>IF(B860="","",IF(L860&lt;&gt;"",L860,IF(H860="Retail",IFERROR(INDEX(Inventory!$I$5:$I$304,MATCH(I860,Inventory!$A$5:$A$304,0))*1,0),IFERROR(INDEX(Services!$G$5:$G$204,MATCH(I860,Services!$A$5:$A$204,0))*1,0))))</f>
        <v>0</v>
      </c>
      <c r="W860" s="26">
        <f>IF(B860="","",ROUND(T860*V860,2))</f>
        <v>0</v>
      </c>
      <c r="X860" s="26">
        <f>IF(B860="","",ROUND(IF(M860="",0,W860*M860)+IF(N860="",0,N860),2))</f>
        <v>0</v>
      </c>
      <c r="Y860" s="26">
        <f>IF(B860="","",ROUND(W860-X860-IF(P860="",0,P860),2))</f>
        <v>0</v>
      </c>
      <c r="Z860" s="26">
        <f>IF(B860="","",IF(H860="Retail",IF(TaxOnRetail="Yes",ROUND(Y860*TaxRate,2),0),IF(H860="Service",IF(TaxOnServices="Yes",ROUND(Y860*TaxRate,2),0),0)))</f>
        <v>0</v>
      </c>
      <c r="AA860" s="26">
        <f>IF(B860="","",ROUND(Y860+Z860,2))</f>
        <v>0</v>
      </c>
      <c r="AB860" s="26">
        <f>IF(B860="","",ROUND(T860*IF(H860="Retail",IFERROR(INDEX(Inventory!$H$5:$H$304,MATCH(I860,Inventory!$A$5:$A$304,0))*1,0),IFERROR(INDEX(Services!$Q$5:$Q$204,MATCH(I860,Services!$A$5:$A$204,0))*1,0)),2))</f>
        <v>0</v>
      </c>
      <c r="AC860" s="26">
        <f>IF(B860="","",ROUND(Y860-AB860,2))</f>
        <v>0</v>
      </c>
      <c r="AD860" s="38">
        <f>IF(B860="","",IF(C860="","No",IF(COUNTIFS($C$5:C860,C860)=1,"Yes","No")))</f>
        <v>0</v>
      </c>
      <c r="AE860" s="26">
        <f>IF(B860="","",ROUND(SUMIFS(Payments!$G$5:$G$1204,Payments!$H$5:$H$1204,A860,Payments!$Q$5:$Q$1204,"Yes"),2))</f>
        <v>0</v>
      </c>
      <c r="AF860" s="26">
        <f>IF(B860="","",IF(AD860="No",0,ROUND(SUMIFS(Payments!$G$5:$G$1204,Payments!$I$5:$I$1204,C860,Payments!$H$5:$H$1204,"",Payments!$Q$5:$Q$1204,"Yes"),2)))</f>
        <v>0</v>
      </c>
      <c r="AG860" s="26">
        <f>IF(B860="","",ROUND(AE860+AF860,2))</f>
        <v>0</v>
      </c>
      <c r="AH860" s="26">
        <f>IF(B860="","",ROUND(AA860-AG860,2))</f>
        <v>0</v>
      </c>
      <c r="AI860" s="39">
        <f>IF(B860="","",IF(AA860&lt;=0,"No charge",IF(AH860&lt;=0.004,"Paid",IF(AG860&lt;=0.004,"Unpaid","Part paid"))))</f>
        <v>0</v>
      </c>
      <c r="AJ860" s="38">
        <f>IF(B860="","",IF(H860&lt;&gt;"Service","",IF(D860="","No",IF(COUNTIFS($D$5:$D$1204,D860,$B$5:$B$1204,B860,$H$5:$H$1204,"Retail")&gt;0,"Yes","No"))))</f>
        <v>0</v>
      </c>
      <c r="AK860" s="25">
        <f>IF(B860="","",COUNTIFS($Y$5:$Y$1204,"&gt;"&amp;Y860)+COUNTIFS($Y$5:Y860,Y860))</f>
        <v>0</v>
      </c>
      <c r="AL860" s="39">
        <f>IF(B860="","",IF(H860="","Add - what kind of sale is this?",IF(IF(V860&lt;=0,P860="",FALSE),"Check - no price found for this item",IF(F860="","Assign - nobody credited",IF(AH860&gt;0.004,"Unpaid - balance outstanding",IF(AC860&lt;0,"Loss - sold below cost",IF(X860&gt;W860*0.5,"Check - more than half off","OK")))))))</f>
        <v>0</v>
      </c>
    </row>
    <row r="861" spans="1:38">
      <c r="A861" s="28">
        <f>IF(B861="","",SalePrefix&amp;TEXT(ROW()-4,"0000"))</f>
        <v>0</v>
      </c>
      <c r="E861" s="15">
        <f>IF(D861="","",IFERROR(INDEX(Clients!$B$5:$B$504,MATCH(D861,Clients!$A$5:$A$504,0)),"Walk-in"))</f>
        <v>0</v>
      </c>
      <c r="G861" s="15">
        <f>IF(F861="","",IFERROR(INDEX(Staff!$B$5:$B$44,MATCH(F861,Staff!$A$5:$A$44,0)),"House"))</f>
        <v>0</v>
      </c>
      <c r="R861" s="15">
        <f>IF(B861="","",TEXT(B861,"yyyy-mm"))</f>
        <v>0</v>
      </c>
      <c r="S861" s="25">
        <f>IF(B861="","",WEEKNUM(B861,2))</f>
        <v>0</v>
      </c>
      <c r="T861" s="37">
        <f>IF(B861="","",IF(K861="",1,K861))</f>
        <v>0</v>
      </c>
      <c r="U861" s="15">
        <f>IF(B861="","",IF(J861&lt;&gt;"",J861,IF(H861="Retail",IFERROR(INDEX(Inventory!$B$5:$B$304,MATCH(I861,Inventory!$A$5:$A$304,0))&amp;"","Not in Inventory"),IFERROR(INDEX(Services!$B$5:$B$204,MATCH(I861,Services!$A$5:$A$204,0))&amp;"","Not in Services"))))</f>
        <v>0</v>
      </c>
      <c r="V861" s="26">
        <f>IF(B861="","",IF(L861&lt;&gt;"",L861,IF(H861="Retail",IFERROR(INDEX(Inventory!$I$5:$I$304,MATCH(I861,Inventory!$A$5:$A$304,0))*1,0),IFERROR(INDEX(Services!$G$5:$G$204,MATCH(I861,Services!$A$5:$A$204,0))*1,0))))</f>
        <v>0</v>
      </c>
      <c r="W861" s="26">
        <f>IF(B861="","",ROUND(T861*V861,2))</f>
        <v>0</v>
      </c>
      <c r="X861" s="26">
        <f>IF(B861="","",ROUND(IF(M861="",0,W861*M861)+IF(N861="",0,N861),2))</f>
        <v>0</v>
      </c>
      <c r="Y861" s="26">
        <f>IF(B861="","",ROUND(W861-X861-IF(P861="",0,P861),2))</f>
        <v>0</v>
      </c>
      <c r="Z861" s="26">
        <f>IF(B861="","",IF(H861="Retail",IF(TaxOnRetail="Yes",ROUND(Y861*TaxRate,2),0),IF(H861="Service",IF(TaxOnServices="Yes",ROUND(Y861*TaxRate,2),0),0)))</f>
        <v>0</v>
      </c>
      <c r="AA861" s="26">
        <f>IF(B861="","",ROUND(Y861+Z861,2))</f>
        <v>0</v>
      </c>
      <c r="AB861" s="26">
        <f>IF(B861="","",ROUND(T861*IF(H861="Retail",IFERROR(INDEX(Inventory!$H$5:$H$304,MATCH(I861,Inventory!$A$5:$A$304,0))*1,0),IFERROR(INDEX(Services!$Q$5:$Q$204,MATCH(I861,Services!$A$5:$A$204,0))*1,0)),2))</f>
        <v>0</v>
      </c>
      <c r="AC861" s="26">
        <f>IF(B861="","",ROUND(Y861-AB861,2))</f>
        <v>0</v>
      </c>
      <c r="AD861" s="38">
        <f>IF(B861="","",IF(C861="","No",IF(COUNTIFS($C$5:C861,C861)=1,"Yes","No")))</f>
        <v>0</v>
      </c>
      <c r="AE861" s="26">
        <f>IF(B861="","",ROUND(SUMIFS(Payments!$G$5:$G$1204,Payments!$H$5:$H$1204,A861,Payments!$Q$5:$Q$1204,"Yes"),2))</f>
        <v>0</v>
      </c>
      <c r="AF861" s="26">
        <f>IF(B861="","",IF(AD861="No",0,ROUND(SUMIFS(Payments!$G$5:$G$1204,Payments!$I$5:$I$1204,C861,Payments!$H$5:$H$1204,"",Payments!$Q$5:$Q$1204,"Yes"),2)))</f>
        <v>0</v>
      </c>
      <c r="AG861" s="26">
        <f>IF(B861="","",ROUND(AE861+AF861,2))</f>
        <v>0</v>
      </c>
      <c r="AH861" s="26">
        <f>IF(B861="","",ROUND(AA861-AG861,2))</f>
        <v>0</v>
      </c>
      <c r="AI861" s="39">
        <f>IF(B861="","",IF(AA861&lt;=0,"No charge",IF(AH861&lt;=0.004,"Paid",IF(AG861&lt;=0.004,"Unpaid","Part paid"))))</f>
        <v>0</v>
      </c>
      <c r="AJ861" s="38">
        <f>IF(B861="","",IF(H861&lt;&gt;"Service","",IF(D861="","No",IF(COUNTIFS($D$5:$D$1204,D861,$B$5:$B$1204,B861,$H$5:$H$1204,"Retail")&gt;0,"Yes","No"))))</f>
        <v>0</v>
      </c>
      <c r="AK861" s="25">
        <f>IF(B861="","",COUNTIFS($Y$5:$Y$1204,"&gt;"&amp;Y861)+COUNTIFS($Y$5:Y861,Y861))</f>
        <v>0</v>
      </c>
      <c r="AL861" s="39">
        <f>IF(B861="","",IF(H861="","Add - what kind of sale is this?",IF(IF(V861&lt;=0,P861="",FALSE),"Check - no price found for this item",IF(F861="","Assign - nobody credited",IF(AH861&gt;0.004,"Unpaid - balance outstanding",IF(AC861&lt;0,"Loss - sold below cost",IF(X861&gt;W861*0.5,"Check - more than half off","OK")))))))</f>
        <v>0</v>
      </c>
    </row>
    <row r="862" spans="1:38">
      <c r="A862" s="28">
        <f>IF(B862="","",SalePrefix&amp;TEXT(ROW()-4,"0000"))</f>
        <v>0</v>
      </c>
      <c r="E862" s="15">
        <f>IF(D862="","",IFERROR(INDEX(Clients!$B$5:$B$504,MATCH(D862,Clients!$A$5:$A$504,0)),"Walk-in"))</f>
        <v>0</v>
      </c>
      <c r="G862" s="15">
        <f>IF(F862="","",IFERROR(INDEX(Staff!$B$5:$B$44,MATCH(F862,Staff!$A$5:$A$44,0)),"House"))</f>
        <v>0</v>
      </c>
      <c r="R862" s="15">
        <f>IF(B862="","",TEXT(B862,"yyyy-mm"))</f>
        <v>0</v>
      </c>
      <c r="S862" s="25">
        <f>IF(B862="","",WEEKNUM(B862,2))</f>
        <v>0</v>
      </c>
      <c r="T862" s="37">
        <f>IF(B862="","",IF(K862="",1,K862))</f>
        <v>0</v>
      </c>
      <c r="U862" s="15">
        <f>IF(B862="","",IF(J862&lt;&gt;"",J862,IF(H862="Retail",IFERROR(INDEX(Inventory!$B$5:$B$304,MATCH(I862,Inventory!$A$5:$A$304,0))&amp;"","Not in Inventory"),IFERROR(INDEX(Services!$B$5:$B$204,MATCH(I862,Services!$A$5:$A$204,0))&amp;"","Not in Services"))))</f>
        <v>0</v>
      </c>
      <c r="V862" s="26">
        <f>IF(B862="","",IF(L862&lt;&gt;"",L862,IF(H862="Retail",IFERROR(INDEX(Inventory!$I$5:$I$304,MATCH(I862,Inventory!$A$5:$A$304,0))*1,0),IFERROR(INDEX(Services!$G$5:$G$204,MATCH(I862,Services!$A$5:$A$204,0))*1,0))))</f>
        <v>0</v>
      </c>
      <c r="W862" s="26">
        <f>IF(B862="","",ROUND(T862*V862,2))</f>
        <v>0</v>
      </c>
      <c r="X862" s="26">
        <f>IF(B862="","",ROUND(IF(M862="",0,W862*M862)+IF(N862="",0,N862),2))</f>
        <v>0</v>
      </c>
      <c r="Y862" s="26">
        <f>IF(B862="","",ROUND(W862-X862-IF(P862="",0,P862),2))</f>
        <v>0</v>
      </c>
      <c r="Z862" s="26">
        <f>IF(B862="","",IF(H862="Retail",IF(TaxOnRetail="Yes",ROUND(Y862*TaxRate,2),0),IF(H862="Service",IF(TaxOnServices="Yes",ROUND(Y862*TaxRate,2),0),0)))</f>
        <v>0</v>
      </c>
      <c r="AA862" s="26">
        <f>IF(B862="","",ROUND(Y862+Z862,2))</f>
        <v>0</v>
      </c>
      <c r="AB862" s="26">
        <f>IF(B862="","",ROUND(T862*IF(H862="Retail",IFERROR(INDEX(Inventory!$H$5:$H$304,MATCH(I862,Inventory!$A$5:$A$304,0))*1,0),IFERROR(INDEX(Services!$Q$5:$Q$204,MATCH(I862,Services!$A$5:$A$204,0))*1,0)),2))</f>
        <v>0</v>
      </c>
      <c r="AC862" s="26">
        <f>IF(B862="","",ROUND(Y862-AB862,2))</f>
        <v>0</v>
      </c>
      <c r="AD862" s="38">
        <f>IF(B862="","",IF(C862="","No",IF(COUNTIFS($C$5:C862,C862)=1,"Yes","No")))</f>
        <v>0</v>
      </c>
      <c r="AE862" s="26">
        <f>IF(B862="","",ROUND(SUMIFS(Payments!$G$5:$G$1204,Payments!$H$5:$H$1204,A862,Payments!$Q$5:$Q$1204,"Yes"),2))</f>
        <v>0</v>
      </c>
      <c r="AF862" s="26">
        <f>IF(B862="","",IF(AD862="No",0,ROUND(SUMIFS(Payments!$G$5:$G$1204,Payments!$I$5:$I$1204,C862,Payments!$H$5:$H$1204,"",Payments!$Q$5:$Q$1204,"Yes"),2)))</f>
        <v>0</v>
      </c>
      <c r="AG862" s="26">
        <f>IF(B862="","",ROUND(AE862+AF862,2))</f>
        <v>0</v>
      </c>
      <c r="AH862" s="26">
        <f>IF(B862="","",ROUND(AA862-AG862,2))</f>
        <v>0</v>
      </c>
      <c r="AI862" s="39">
        <f>IF(B862="","",IF(AA862&lt;=0,"No charge",IF(AH862&lt;=0.004,"Paid",IF(AG862&lt;=0.004,"Unpaid","Part paid"))))</f>
        <v>0</v>
      </c>
      <c r="AJ862" s="38">
        <f>IF(B862="","",IF(H862&lt;&gt;"Service","",IF(D862="","No",IF(COUNTIFS($D$5:$D$1204,D862,$B$5:$B$1204,B862,$H$5:$H$1204,"Retail")&gt;0,"Yes","No"))))</f>
        <v>0</v>
      </c>
      <c r="AK862" s="25">
        <f>IF(B862="","",COUNTIFS($Y$5:$Y$1204,"&gt;"&amp;Y862)+COUNTIFS($Y$5:Y862,Y862))</f>
        <v>0</v>
      </c>
      <c r="AL862" s="39">
        <f>IF(B862="","",IF(H862="","Add - what kind of sale is this?",IF(IF(V862&lt;=0,P862="",FALSE),"Check - no price found for this item",IF(F862="","Assign - nobody credited",IF(AH862&gt;0.004,"Unpaid - balance outstanding",IF(AC862&lt;0,"Loss - sold below cost",IF(X862&gt;W862*0.5,"Check - more than half off","OK")))))))</f>
        <v>0</v>
      </c>
    </row>
    <row r="863" spans="1:38">
      <c r="A863" s="28">
        <f>IF(B863="","",SalePrefix&amp;TEXT(ROW()-4,"0000"))</f>
        <v>0</v>
      </c>
      <c r="E863" s="15">
        <f>IF(D863="","",IFERROR(INDEX(Clients!$B$5:$B$504,MATCH(D863,Clients!$A$5:$A$504,0)),"Walk-in"))</f>
        <v>0</v>
      </c>
      <c r="G863" s="15">
        <f>IF(F863="","",IFERROR(INDEX(Staff!$B$5:$B$44,MATCH(F863,Staff!$A$5:$A$44,0)),"House"))</f>
        <v>0</v>
      </c>
      <c r="R863" s="15">
        <f>IF(B863="","",TEXT(B863,"yyyy-mm"))</f>
        <v>0</v>
      </c>
      <c r="S863" s="25">
        <f>IF(B863="","",WEEKNUM(B863,2))</f>
        <v>0</v>
      </c>
      <c r="T863" s="37">
        <f>IF(B863="","",IF(K863="",1,K863))</f>
        <v>0</v>
      </c>
      <c r="U863" s="15">
        <f>IF(B863="","",IF(J863&lt;&gt;"",J863,IF(H863="Retail",IFERROR(INDEX(Inventory!$B$5:$B$304,MATCH(I863,Inventory!$A$5:$A$304,0))&amp;"","Not in Inventory"),IFERROR(INDEX(Services!$B$5:$B$204,MATCH(I863,Services!$A$5:$A$204,0))&amp;"","Not in Services"))))</f>
        <v>0</v>
      </c>
      <c r="V863" s="26">
        <f>IF(B863="","",IF(L863&lt;&gt;"",L863,IF(H863="Retail",IFERROR(INDEX(Inventory!$I$5:$I$304,MATCH(I863,Inventory!$A$5:$A$304,0))*1,0),IFERROR(INDEX(Services!$G$5:$G$204,MATCH(I863,Services!$A$5:$A$204,0))*1,0))))</f>
        <v>0</v>
      </c>
      <c r="W863" s="26">
        <f>IF(B863="","",ROUND(T863*V863,2))</f>
        <v>0</v>
      </c>
      <c r="X863" s="26">
        <f>IF(B863="","",ROUND(IF(M863="",0,W863*M863)+IF(N863="",0,N863),2))</f>
        <v>0</v>
      </c>
      <c r="Y863" s="26">
        <f>IF(B863="","",ROUND(W863-X863-IF(P863="",0,P863),2))</f>
        <v>0</v>
      </c>
      <c r="Z863" s="26">
        <f>IF(B863="","",IF(H863="Retail",IF(TaxOnRetail="Yes",ROUND(Y863*TaxRate,2),0),IF(H863="Service",IF(TaxOnServices="Yes",ROUND(Y863*TaxRate,2),0),0)))</f>
        <v>0</v>
      </c>
      <c r="AA863" s="26">
        <f>IF(B863="","",ROUND(Y863+Z863,2))</f>
        <v>0</v>
      </c>
      <c r="AB863" s="26">
        <f>IF(B863="","",ROUND(T863*IF(H863="Retail",IFERROR(INDEX(Inventory!$H$5:$H$304,MATCH(I863,Inventory!$A$5:$A$304,0))*1,0),IFERROR(INDEX(Services!$Q$5:$Q$204,MATCH(I863,Services!$A$5:$A$204,0))*1,0)),2))</f>
        <v>0</v>
      </c>
      <c r="AC863" s="26">
        <f>IF(B863="","",ROUND(Y863-AB863,2))</f>
        <v>0</v>
      </c>
      <c r="AD863" s="38">
        <f>IF(B863="","",IF(C863="","No",IF(COUNTIFS($C$5:C863,C863)=1,"Yes","No")))</f>
        <v>0</v>
      </c>
      <c r="AE863" s="26">
        <f>IF(B863="","",ROUND(SUMIFS(Payments!$G$5:$G$1204,Payments!$H$5:$H$1204,A863,Payments!$Q$5:$Q$1204,"Yes"),2))</f>
        <v>0</v>
      </c>
      <c r="AF863" s="26">
        <f>IF(B863="","",IF(AD863="No",0,ROUND(SUMIFS(Payments!$G$5:$G$1204,Payments!$I$5:$I$1204,C863,Payments!$H$5:$H$1204,"",Payments!$Q$5:$Q$1204,"Yes"),2)))</f>
        <v>0</v>
      </c>
      <c r="AG863" s="26">
        <f>IF(B863="","",ROUND(AE863+AF863,2))</f>
        <v>0</v>
      </c>
      <c r="AH863" s="26">
        <f>IF(B863="","",ROUND(AA863-AG863,2))</f>
        <v>0</v>
      </c>
      <c r="AI863" s="39">
        <f>IF(B863="","",IF(AA863&lt;=0,"No charge",IF(AH863&lt;=0.004,"Paid",IF(AG863&lt;=0.004,"Unpaid","Part paid"))))</f>
        <v>0</v>
      </c>
      <c r="AJ863" s="38">
        <f>IF(B863="","",IF(H863&lt;&gt;"Service","",IF(D863="","No",IF(COUNTIFS($D$5:$D$1204,D863,$B$5:$B$1204,B863,$H$5:$H$1204,"Retail")&gt;0,"Yes","No"))))</f>
        <v>0</v>
      </c>
      <c r="AK863" s="25">
        <f>IF(B863="","",COUNTIFS($Y$5:$Y$1204,"&gt;"&amp;Y863)+COUNTIFS($Y$5:Y863,Y863))</f>
        <v>0</v>
      </c>
      <c r="AL863" s="39">
        <f>IF(B863="","",IF(H863="","Add - what kind of sale is this?",IF(IF(V863&lt;=0,P863="",FALSE),"Check - no price found for this item",IF(F863="","Assign - nobody credited",IF(AH863&gt;0.004,"Unpaid - balance outstanding",IF(AC863&lt;0,"Loss - sold below cost",IF(X863&gt;W863*0.5,"Check - more than half off","OK")))))))</f>
        <v>0</v>
      </c>
    </row>
    <row r="864" spans="1:38">
      <c r="A864" s="28">
        <f>IF(B864="","",SalePrefix&amp;TEXT(ROW()-4,"0000"))</f>
        <v>0</v>
      </c>
      <c r="E864" s="15">
        <f>IF(D864="","",IFERROR(INDEX(Clients!$B$5:$B$504,MATCH(D864,Clients!$A$5:$A$504,0)),"Walk-in"))</f>
        <v>0</v>
      </c>
      <c r="G864" s="15">
        <f>IF(F864="","",IFERROR(INDEX(Staff!$B$5:$B$44,MATCH(F864,Staff!$A$5:$A$44,0)),"House"))</f>
        <v>0</v>
      </c>
      <c r="R864" s="15">
        <f>IF(B864="","",TEXT(B864,"yyyy-mm"))</f>
        <v>0</v>
      </c>
      <c r="S864" s="25">
        <f>IF(B864="","",WEEKNUM(B864,2))</f>
        <v>0</v>
      </c>
      <c r="T864" s="37">
        <f>IF(B864="","",IF(K864="",1,K864))</f>
        <v>0</v>
      </c>
      <c r="U864" s="15">
        <f>IF(B864="","",IF(J864&lt;&gt;"",J864,IF(H864="Retail",IFERROR(INDEX(Inventory!$B$5:$B$304,MATCH(I864,Inventory!$A$5:$A$304,0))&amp;"","Not in Inventory"),IFERROR(INDEX(Services!$B$5:$B$204,MATCH(I864,Services!$A$5:$A$204,0))&amp;"","Not in Services"))))</f>
        <v>0</v>
      </c>
      <c r="V864" s="26">
        <f>IF(B864="","",IF(L864&lt;&gt;"",L864,IF(H864="Retail",IFERROR(INDEX(Inventory!$I$5:$I$304,MATCH(I864,Inventory!$A$5:$A$304,0))*1,0),IFERROR(INDEX(Services!$G$5:$G$204,MATCH(I864,Services!$A$5:$A$204,0))*1,0))))</f>
        <v>0</v>
      </c>
      <c r="W864" s="26">
        <f>IF(B864="","",ROUND(T864*V864,2))</f>
        <v>0</v>
      </c>
      <c r="X864" s="26">
        <f>IF(B864="","",ROUND(IF(M864="",0,W864*M864)+IF(N864="",0,N864),2))</f>
        <v>0</v>
      </c>
      <c r="Y864" s="26">
        <f>IF(B864="","",ROUND(W864-X864-IF(P864="",0,P864),2))</f>
        <v>0</v>
      </c>
      <c r="Z864" s="26">
        <f>IF(B864="","",IF(H864="Retail",IF(TaxOnRetail="Yes",ROUND(Y864*TaxRate,2),0),IF(H864="Service",IF(TaxOnServices="Yes",ROUND(Y864*TaxRate,2),0),0)))</f>
        <v>0</v>
      </c>
      <c r="AA864" s="26">
        <f>IF(B864="","",ROUND(Y864+Z864,2))</f>
        <v>0</v>
      </c>
      <c r="AB864" s="26">
        <f>IF(B864="","",ROUND(T864*IF(H864="Retail",IFERROR(INDEX(Inventory!$H$5:$H$304,MATCH(I864,Inventory!$A$5:$A$304,0))*1,0),IFERROR(INDEX(Services!$Q$5:$Q$204,MATCH(I864,Services!$A$5:$A$204,0))*1,0)),2))</f>
        <v>0</v>
      </c>
      <c r="AC864" s="26">
        <f>IF(B864="","",ROUND(Y864-AB864,2))</f>
        <v>0</v>
      </c>
      <c r="AD864" s="38">
        <f>IF(B864="","",IF(C864="","No",IF(COUNTIFS($C$5:C864,C864)=1,"Yes","No")))</f>
        <v>0</v>
      </c>
      <c r="AE864" s="26">
        <f>IF(B864="","",ROUND(SUMIFS(Payments!$G$5:$G$1204,Payments!$H$5:$H$1204,A864,Payments!$Q$5:$Q$1204,"Yes"),2))</f>
        <v>0</v>
      </c>
      <c r="AF864" s="26">
        <f>IF(B864="","",IF(AD864="No",0,ROUND(SUMIFS(Payments!$G$5:$G$1204,Payments!$I$5:$I$1204,C864,Payments!$H$5:$H$1204,"",Payments!$Q$5:$Q$1204,"Yes"),2)))</f>
        <v>0</v>
      </c>
      <c r="AG864" s="26">
        <f>IF(B864="","",ROUND(AE864+AF864,2))</f>
        <v>0</v>
      </c>
      <c r="AH864" s="26">
        <f>IF(B864="","",ROUND(AA864-AG864,2))</f>
        <v>0</v>
      </c>
      <c r="AI864" s="39">
        <f>IF(B864="","",IF(AA864&lt;=0,"No charge",IF(AH864&lt;=0.004,"Paid",IF(AG864&lt;=0.004,"Unpaid","Part paid"))))</f>
        <v>0</v>
      </c>
      <c r="AJ864" s="38">
        <f>IF(B864="","",IF(H864&lt;&gt;"Service","",IF(D864="","No",IF(COUNTIFS($D$5:$D$1204,D864,$B$5:$B$1204,B864,$H$5:$H$1204,"Retail")&gt;0,"Yes","No"))))</f>
        <v>0</v>
      </c>
      <c r="AK864" s="25">
        <f>IF(B864="","",COUNTIFS($Y$5:$Y$1204,"&gt;"&amp;Y864)+COUNTIFS($Y$5:Y864,Y864))</f>
        <v>0</v>
      </c>
      <c r="AL864" s="39">
        <f>IF(B864="","",IF(H864="","Add - what kind of sale is this?",IF(IF(V864&lt;=0,P864="",FALSE),"Check - no price found for this item",IF(F864="","Assign - nobody credited",IF(AH864&gt;0.004,"Unpaid - balance outstanding",IF(AC864&lt;0,"Loss - sold below cost",IF(X864&gt;W864*0.5,"Check - more than half off","OK")))))))</f>
        <v>0</v>
      </c>
    </row>
    <row r="865" spans="1:38">
      <c r="A865" s="28">
        <f>IF(B865="","",SalePrefix&amp;TEXT(ROW()-4,"0000"))</f>
        <v>0</v>
      </c>
      <c r="E865" s="15">
        <f>IF(D865="","",IFERROR(INDEX(Clients!$B$5:$B$504,MATCH(D865,Clients!$A$5:$A$504,0)),"Walk-in"))</f>
        <v>0</v>
      </c>
      <c r="G865" s="15">
        <f>IF(F865="","",IFERROR(INDEX(Staff!$B$5:$B$44,MATCH(F865,Staff!$A$5:$A$44,0)),"House"))</f>
        <v>0</v>
      </c>
      <c r="R865" s="15">
        <f>IF(B865="","",TEXT(B865,"yyyy-mm"))</f>
        <v>0</v>
      </c>
      <c r="S865" s="25">
        <f>IF(B865="","",WEEKNUM(B865,2))</f>
        <v>0</v>
      </c>
      <c r="T865" s="37">
        <f>IF(B865="","",IF(K865="",1,K865))</f>
        <v>0</v>
      </c>
      <c r="U865" s="15">
        <f>IF(B865="","",IF(J865&lt;&gt;"",J865,IF(H865="Retail",IFERROR(INDEX(Inventory!$B$5:$B$304,MATCH(I865,Inventory!$A$5:$A$304,0))&amp;"","Not in Inventory"),IFERROR(INDEX(Services!$B$5:$B$204,MATCH(I865,Services!$A$5:$A$204,0))&amp;"","Not in Services"))))</f>
        <v>0</v>
      </c>
      <c r="V865" s="26">
        <f>IF(B865="","",IF(L865&lt;&gt;"",L865,IF(H865="Retail",IFERROR(INDEX(Inventory!$I$5:$I$304,MATCH(I865,Inventory!$A$5:$A$304,0))*1,0),IFERROR(INDEX(Services!$G$5:$G$204,MATCH(I865,Services!$A$5:$A$204,0))*1,0))))</f>
        <v>0</v>
      </c>
      <c r="W865" s="26">
        <f>IF(B865="","",ROUND(T865*V865,2))</f>
        <v>0</v>
      </c>
      <c r="X865" s="26">
        <f>IF(B865="","",ROUND(IF(M865="",0,W865*M865)+IF(N865="",0,N865),2))</f>
        <v>0</v>
      </c>
      <c r="Y865" s="26">
        <f>IF(B865="","",ROUND(W865-X865-IF(P865="",0,P865),2))</f>
        <v>0</v>
      </c>
      <c r="Z865" s="26">
        <f>IF(B865="","",IF(H865="Retail",IF(TaxOnRetail="Yes",ROUND(Y865*TaxRate,2),0),IF(H865="Service",IF(TaxOnServices="Yes",ROUND(Y865*TaxRate,2),0),0)))</f>
        <v>0</v>
      </c>
      <c r="AA865" s="26">
        <f>IF(B865="","",ROUND(Y865+Z865,2))</f>
        <v>0</v>
      </c>
      <c r="AB865" s="26">
        <f>IF(B865="","",ROUND(T865*IF(H865="Retail",IFERROR(INDEX(Inventory!$H$5:$H$304,MATCH(I865,Inventory!$A$5:$A$304,0))*1,0),IFERROR(INDEX(Services!$Q$5:$Q$204,MATCH(I865,Services!$A$5:$A$204,0))*1,0)),2))</f>
        <v>0</v>
      </c>
      <c r="AC865" s="26">
        <f>IF(B865="","",ROUND(Y865-AB865,2))</f>
        <v>0</v>
      </c>
      <c r="AD865" s="38">
        <f>IF(B865="","",IF(C865="","No",IF(COUNTIFS($C$5:C865,C865)=1,"Yes","No")))</f>
        <v>0</v>
      </c>
      <c r="AE865" s="26">
        <f>IF(B865="","",ROUND(SUMIFS(Payments!$G$5:$G$1204,Payments!$H$5:$H$1204,A865,Payments!$Q$5:$Q$1204,"Yes"),2))</f>
        <v>0</v>
      </c>
      <c r="AF865" s="26">
        <f>IF(B865="","",IF(AD865="No",0,ROUND(SUMIFS(Payments!$G$5:$G$1204,Payments!$I$5:$I$1204,C865,Payments!$H$5:$H$1204,"",Payments!$Q$5:$Q$1204,"Yes"),2)))</f>
        <v>0</v>
      </c>
      <c r="AG865" s="26">
        <f>IF(B865="","",ROUND(AE865+AF865,2))</f>
        <v>0</v>
      </c>
      <c r="AH865" s="26">
        <f>IF(B865="","",ROUND(AA865-AG865,2))</f>
        <v>0</v>
      </c>
      <c r="AI865" s="39">
        <f>IF(B865="","",IF(AA865&lt;=0,"No charge",IF(AH865&lt;=0.004,"Paid",IF(AG865&lt;=0.004,"Unpaid","Part paid"))))</f>
        <v>0</v>
      </c>
      <c r="AJ865" s="38">
        <f>IF(B865="","",IF(H865&lt;&gt;"Service","",IF(D865="","No",IF(COUNTIFS($D$5:$D$1204,D865,$B$5:$B$1204,B865,$H$5:$H$1204,"Retail")&gt;0,"Yes","No"))))</f>
        <v>0</v>
      </c>
      <c r="AK865" s="25">
        <f>IF(B865="","",COUNTIFS($Y$5:$Y$1204,"&gt;"&amp;Y865)+COUNTIFS($Y$5:Y865,Y865))</f>
        <v>0</v>
      </c>
      <c r="AL865" s="39">
        <f>IF(B865="","",IF(H865="","Add - what kind of sale is this?",IF(IF(V865&lt;=0,P865="",FALSE),"Check - no price found for this item",IF(F865="","Assign - nobody credited",IF(AH865&gt;0.004,"Unpaid - balance outstanding",IF(AC865&lt;0,"Loss - sold below cost",IF(X865&gt;W865*0.5,"Check - more than half off","OK")))))))</f>
        <v>0</v>
      </c>
    </row>
    <row r="866" spans="1:38">
      <c r="A866" s="28">
        <f>IF(B866="","",SalePrefix&amp;TEXT(ROW()-4,"0000"))</f>
        <v>0</v>
      </c>
      <c r="E866" s="15">
        <f>IF(D866="","",IFERROR(INDEX(Clients!$B$5:$B$504,MATCH(D866,Clients!$A$5:$A$504,0)),"Walk-in"))</f>
        <v>0</v>
      </c>
      <c r="G866" s="15">
        <f>IF(F866="","",IFERROR(INDEX(Staff!$B$5:$B$44,MATCH(F866,Staff!$A$5:$A$44,0)),"House"))</f>
        <v>0</v>
      </c>
      <c r="R866" s="15">
        <f>IF(B866="","",TEXT(B866,"yyyy-mm"))</f>
        <v>0</v>
      </c>
      <c r="S866" s="25">
        <f>IF(B866="","",WEEKNUM(B866,2))</f>
        <v>0</v>
      </c>
      <c r="T866" s="37">
        <f>IF(B866="","",IF(K866="",1,K866))</f>
        <v>0</v>
      </c>
      <c r="U866" s="15">
        <f>IF(B866="","",IF(J866&lt;&gt;"",J866,IF(H866="Retail",IFERROR(INDEX(Inventory!$B$5:$B$304,MATCH(I866,Inventory!$A$5:$A$304,0))&amp;"","Not in Inventory"),IFERROR(INDEX(Services!$B$5:$B$204,MATCH(I866,Services!$A$5:$A$204,0))&amp;"","Not in Services"))))</f>
        <v>0</v>
      </c>
      <c r="V866" s="26">
        <f>IF(B866="","",IF(L866&lt;&gt;"",L866,IF(H866="Retail",IFERROR(INDEX(Inventory!$I$5:$I$304,MATCH(I866,Inventory!$A$5:$A$304,0))*1,0),IFERROR(INDEX(Services!$G$5:$G$204,MATCH(I866,Services!$A$5:$A$204,0))*1,0))))</f>
        <v>0</v>
      </c>
      <c r="W866" s="26">
        <f>IF(B866="","",ROUND(T866*V866,2))</f>
        <v>0</v>
      </c>
      <c r="X866" s="26">
        <f>IF(B866="","",ROUND(IF(M866="",0,W866*M866)+IF(N866="",0,N866),2))</f>
        <v>0</v>
      </c>
      <c r="Y866" s="26">
        <f>IF(B866="","",ROUND(W866-X866-IF(P866="",0,P866),2))</f>
        <v>0</v>
      </c>
      <c r="Z866" s="26">
        <f>IF(B866="","",IF(H866="Retail",IF(TaxOnRetail="Yes",ROUND(Y866*TaxRate,2),0),IF(H866="Service",IF(TaxOnServices="Yes",ROUND(Y866*TaxRate,2),0),0)))</f>
        <v>0</v>
      </c>
      <c r="AA866" s="26">
        <f>IF(B866="","",ROUND(Y866+Z866,2))</f>
        <v>0</v>
      </c>
      <c r="AB866" s="26">
        <f>IF(B866="","",ROUND(T866*IF(H866="Retail",IFERROR(INDEX(Inventory!$H$5:$H$304,MATCH(I866,Inventory!$A$5:$A$304,0))*1,0),IFERROR(INDEX(Services!$Q$5:$Q$204,MATCH(I866,Services!$A$5:$A$204,0))*1,0)),2))</f>
        <v>0</v>
      </c>
      <c r="AC866" s="26">
        <f>IF(B866="","",ROUND(Y866-AB866,2))</f>
        <v>0</v>
      </c>
      <c r="AD866" s="38">
        <f>IF(B866="","",IF(C866="","No",IF(COUNTIFS($C$5:C866,C866)=1,"Yes","No")))</f>
        <v>0</v>
      </c>
      <c r="AE866" s="26">
        <f>IF(B866="","",ROUND(SUMIFS(Payments!$G$5:$G$1204,Payments!$H$5:$H$1204,A866,Payments!$Q$5:$Q$1204,"Yes"),2))</f>
        <v>0</v>
      </c>
      <c r="AF866" s="26">
        <f>IF(B866="","",IF(AD866="No",0,ROUND(SUMIFS(Payments!$G$5:$G$1204,Payments!$I$5:$I$1204,C866,Payments!$H$5:$H$1204,"",Payments!$Q$5:$Q$1204,"Yes"),2)))</f>
        <v>0</v>
      </c>
      <c r="AG866" s="26">
        <f>IF(B866="","",ROUND(AE866+AF866,2))</f>
        <v>0</v>
      </c>
      <c r="AH866" s="26">
        <f>IF(B866="","",ROUND(AA866-AG866,2))</f>
        <v>0</v>
      </c>
      <c r="AI866" s="39">
        <f>IF(B866="","",IF(AA866&lt;=0,"No charge",IF(AH866&lt;=0.004,"Paid",IF(AG866&lt;=0.004,"Unpaid","Part paid"))))</f>
        <v>0</v>
      </c>
      <c r="AJ866" s="38">
        <f>IF(B866="","",IF(H866&lt;&gt;"Service","",IF(D866="","No",IF(COUNTIFS($D$5:$D$1204,D866,$B$5:$B$1204,B866,$H$5:$H$1204,"Retail")&gt;0,"Yes","No"))))</f>
        <v>0</v>
      </c>
      <c r="AK866" s="25">
        <f>IF(B866="","",COUNTIFS($Y$5:$Y$1204,"&gt;"&amp;Y866)+COUNTIFS($Y$5:Y866,Y866))</f>
        <v>0</v>
      </c>
      <c r="AL866" s="39">
        <f>IF(B866="","",IF(H866="","Add - what kind of sale is this?",IF(IF(V866&lt;=0,P866="",FALSE),"Check - no price found for this item",IF(F866="","Assign - nobody credited",IF(AH866&gt;0.004,"Unpaid - balance outstanding",IF(AC866&lt;0,"Loss - sold below cost",IF(X866&gt;W866*0.5,"Check - more than half off","OK")))))))</f>
        <v>0</v>
      </c>
    </row>
    <row r="867" spans="1:38">
      <c r="A867" s="28">
        <f>IF(B867="","",SalePrefix&amp;TEXT(ROW()-4,"0000"))</f>
        <v>0</v>
      </c>
      <c r="E867" s="15">
        <f>IF(D867="","",IFERROR(INDEX(Clients!$B$5:$B$504,MATCH(D867,Clients!$A$5:$A$504,0)),"Walk-in"))</f>
        <v>0</v>
      </c>
      <c r="G867" s="15">
        <f>IF(F867="","",IFERROR(INDEX(Staff!$B$5:$B$44,MATCH(F867,Staff!$A$5:$A$44,0)),"House"))</f>
        <v>0</v>
      </c>
      <c r="R867" s="15">
        <f>IF(B867="","",TEXT(B867,"yyyy-mm"))</f>
        <v>0</v>
      </c>
      <c r="S867" s="25">
        <f>IF(B867="","",WEEKNUM(B867,2))</f>
        <v>0</v>
      </c>
      <c r="T867" s="37">
        <f>IF(B867="","",IF(K867="",1,K867))</f>
        <v>0</v>
      </c>
      <c r="U867" s="15">
        <f>IF(B867="","",IF(J867&lt;&gt;"",J867,IF(H867="Retail",IFERROR(INDEX(Inventory!$B$5:$B$304,MATCH(I867,Inventory!$A$5:$A$304,0))&amp;"","Not in Inventory"),IFERROR(INDEX(Services!$B$5:$B$204,MATCH(I867,Services!$A$5:$A$204,0))&amp;"","Not in Services"))))</f>
        <v>0</v>
      </c>
      <c r="V867" s="26">
        <f>IF(B867="","",IF(L867&lt;&gt;"",L867,IF(H867="Retail",IFERROR(INDEX(Inventory!$I$5:$I$304,MATCH(I867,Inventory!$A$5:$A$304,0))*1,0),IFERROR(INDEX(Services!$G$5:$G$204,MATCH(I867,Services!$A$5:$A$204,0))*1,0))))</f>
        <v>0</v>
      </c>
      <c r="W867" s="26">
        <f>IF(B867="","",ROUND(T867*V867,2))</f>
        <v>0</v>
      </c>
      <c r="X867" s="26">
        <f>IF(B867="","",ROUND(IF(M867="",0,W867*M867)+IF(N867="",0,N867),2))</f>
        <v>0</v>
      </c>
      <c r="Y867" s="26">
        <f>IF(B867="","",ROUND(W867-X867-IF(P867="",0,P867),2))</f>
        <v>0</v>
      </c>
      <c r="Z867" s="26">
        <f>IF(B867="","",IF(H867="Retail",IF(TaxOnRetail="Yes",ROUND(Y867*TaxRate,2),0),IF(H867="Service",IF(TaxOnServices="Yes",ROUND(Y867*TaxRate,2),0),0)))</f>
        <v>0</v>
      </c>
      <c r="AA867" s="26">
        <f>IF(B867="","",ROUND(Y867+Z867,2))</f>
        <v>0</v>
      </c>
      <c r="AB867" s="26">
        <f>IF(B867="","",ROUND(T867*IF(H867="Retail",IFERROR(INDEX(Inventory!$H$5:$H$304,MATCH(I867,Inventory!$A$5:$A$304,0))*1,0),IFERROR(INDEX(Services!$Q$5:$Q$204,MATCH(I867,Services!$A$5:$A$204,0))*1,0)),2))</f>
        <v>0</v>
      </c>
      <c r="AC867" s="26">
        <f>IF(B867="","",ROUND(Y867-AB867,2))</f>
        <v>0</v>
      </c>
      <c r="AD867" s="38">
        <f>IF(B867="","",IF(C867="","No",IF(COUNTIFS($C$5:C867,C867)=1,"Yes","No")))</f>
        <v>0</v>
      </c>
      <c r="AE867" s="26">
        <f>IF(B867="","",ROUND(SUMIFS(Payments!$G$5:$G$1204,Payments!$H$5:$H$1204,A867,Payments!$Q$5:$Q$1204,"Yes"),2))</f>
        <v>0</v>
      </c>
      <c r="AF867" s="26">
        <f>IF(B867="","",IF(AD867="No",0,ROUND(SUMIFS(Payments!$G$5:$G$1204,Payments!$I$5:$I$1204,C867,Payments!$H$5:$H$1204,"",Payments!$Q$5:$Q$1204,"Yes"),2)))</f>
        <v>0</v>
      </c>
      <c r="AG867" s="26">
        <f>IF(B867="","",ROUND(AE867+AF867,2))</f>
        <v>0</v>
      </c>
      <c r="AH867" s="26">
        <f>IF(B867="","",ROUND(AA867-AG867,2))</f>
        <v>0</v>
      </c>
      <c r="AI867" s="39">
        <f>IF(B867="","",IF(AA867&lt;=0,"No charge",IF(AH867&lt;=0.004,"Paid",IF(AG867&lt;=0.004,"Unpaid","Part paid"))))</f>
        <v>0</v>
      </c>
      <c r="AJ867" s="38">
        <f>IF(B867="","",IF(H867&lt;&gt;"Service","",IF(D867="","No",IF(COUNTIFS($D$5:$D$1204,D867,$B$5:$B$1204,B867,$H$5:$H$1204,"Retail")&gt;0,"Yes","No"))))</f>
        <v>0</v>
      </c>
      <c r="AK867" s="25">
        <f>IF(B867="","",COUNTIFS($Y$5:$Y$1204,"&gt;"&amp;Y867)+COUNTIFS($Y$5:Y867,Y867))</f>
        <v>0</v>
      </c>
      <c r="AL867" s="39">
        <f>IF(B867="","",IF(H867="","Add - what kind of sale is this?",IF(IF(V867&lt;=0,P867="",FALSE),"Check - no price found for this item",IF(F867="","Assign - nobody credited",IF(AH867&gt;0.004,"Unpaid - balance outstanding",IF(AC867&lt;0,"Loss - sold below cost",IF(X867&gt;W867*0.5,"Check - more than half off","OK")))))))</f>
        <v>0</v>
      </c>
    </row>
    <row r="868" spans="1:38">
      <c r="A868" s="28">
        <f>IF(B868="","",SalePrefix&amp;TEXT(ROW()-4,"0000"))</f>
        <v>0</v>
      </c>
      <c r="E868" s="15">
        <f>IF(D868="","",IFERROR(INDEX(Clients!$B$5:$B$504,MATCH(D868,Clients!$A$5:$A$504,0)),"Walk-in"))</f>
        <v>0</v>
      </c>
      <c r="G868" s="15">
        <f>IF(F868="","",IFERROR(INDEX(Staff!$B$5:$B$44,MATCH(F868,Staff!$A$5:$A$44,0)),"House"))</f>
        <v>0</v>
      </c>
      <c r="R868" s="15">
        <f>IF(B868="","",TEXT(B868,"yyyy-mm"))</f>
        <v>0</v>
      </c>
      <c r="S868" s="25">
        <f>IF(B868="","",WEEKNUM(B868,2))</f>
        <v>0</v>
      </c>
      <c r="T868" s="37">
        <f>IF(B868="","",IF(K868="",1,K868))</f>
        <v>0</v>
      </c>
      <c r="U868" s="15">
        <f>IF(B868="","",IF(J868&lt;&gt;"",J868,IF(H868="Retail",IFERROR(INDEX(Inventory!$B$5:$B$304,MATCH(I868,Inventory!$A$5:$A$304,0))&amp;"","Not in Inventory"),IFERROR(INDEX(Services!$B$5:$B$204,MATCH(I868,Services!$A$5:$A$204,0))&amp;"","Not in Services"))))</f>
        <v>0</v>
      </c>
      <c r="V868" s="26">
        <f>IF(B868="","",IF(L868&lt;&gt;"",L868,IF(H868="Retail",IFERROR(INDEX(Inventory!$I$5:$I$304,MATCH(I868,Inventory!$A$5:$A$304,0))*1,0),IFERROR(INDEX(Services!$G$5:$G$204,MATCH(I868,Services!$A$5:$A$204,0))*1,0))))</f>
        <v>0</v>
      </c>
      <c r="W868" s="26">
        <f>IF(B868="","",ROUND(T868*V868,2))</f>
        <v>0</v>
      </c>
      <c r="X868" s="26">
        <f>IF(B868="","",ROUND(IF(M868="",0,W868*M868)+IF(N868="",0,N868),2))</f>
        <v>0</v>
      </c>
      <c r="Y868" s="26">
        <f>IF(B868="","",ROUND(W868-X868-IF(P868="",0,P868),2))</f>
        <v>0</v>
      </c>
      <c r="Z868" s="26">
        <f>IF(B868="","",IF(H868="Retail",IF(TaxOnRetail="Yes",ROUND(Y868*TaxRate,2),0),IF(H868="Service",IF(TaxOnServices="Yes",ROUND(Y868*TaxRate,2),0),0)))</f>
        <v>0</v>
      </c>
      <c r="AA868" s="26">
        <f>IF(B868="","",ROUND(Y868+Z868,2))</f>
        <v>0</v>
      </c>
      <c r="AB868" s="26">
        <f>IF(B868="","",ROUND(T868*IF(H868="Retail",IFERROR(INDEX(Inventory!$H$5:$H$304,MATCH(I868,Inventory!$A$5:$A$304,0))*1,0),IFERROR(INDEX(Services!$Q$5:$Q$204,MATCH(I868,Services!$A$5:$A$204,0))*1,0)),2))</f>
        <v>0</v>
      </c>
      <c r="AC868" s="26">
        <f>IF(B868="","",ROUND(Y868-AB868,2))</f>
        <v>0</v>
      </c>
      <c r="AD868" s="38">
        <f>IF(B868="","",IF(C868="","No",IF(COUNTIFS($C$5:C868,C868)=1,"Yes","No")))</f>
        <v>0</v>
      </c>
      <c r="AE868" s="26">
        <f>IF(B868="","",ROUND(SUMIFS(Payments!$G$5:$G$1204,Payments!$H$5:$H$1204,A868,Payments!$Q$5:$Q$1204,"Yes"),2))</f>
        <v>0</v>
      </c>
      <c r="AF868" s="26">
        <f>IF(B868="","",IF(AD868="No",0,ROUND(SUMIFS(Payments!$G$5:$G$1204,Payments!$I$5:$I$1204,C868,Payments!$H$5:$H$1204,"",Payments!$Q$5:$Q$1204,"Yes"),2)))</f>
        <v>0</v>
      </c>
      <c r="AG868" s="26">
        <f>IF(B868="","",ROUND(AE868+AF868,2))</f>
        <v>0</v>
      </c>
      <c r="AH868" s="26">
        <f>IF(B868="","",ROUND(AA868-AG868,2))</f>
        <v>0</v>
      </c>
      <c r="AI868" s="39">
        <f>IF(B868="","",IF(AA868&lt;=0,"No charge",IF(AH868&lt;=0.004,"Paid",IF(AG868&lt;=0.004,"Unpaid","Part paid"))))</f>
        <v>0</v>
      </c>
      <c r="AJ868" s="38">
        <f>IF(B868="","",IF(H868&lt;&gt;"Service","",IF(D868="","No",IF(COUNTIFS($D$5:$D$1204,D868,$B$5:$B$1204,B868,$H$5:$H$1204,"Retail")&gt;0,"Yes","No"))))</f>
        <v>0</v>
      </c>
      <c r="AK868" s="25">
        <f>IF(B868="","",COUNTIFS($Y$5:$Y$1204,"&gt;"&amp;Y868)+COUNTIFS($Y$5:Y868,Y868))</f>
        <v>0</v>
      </c>
      <c r="AL868" s="39">
        <f>IF(B868="","",IF(H868="","Add - what kind of sale is this?",IF(IF(V868&lt;=0,P868="",FALSE),"Check - no price found for this item",IF(F868="","Assign - nobody credited",IF(AH868&gt;0.004,"Unpaid - balance outstanding",IF(AC868&lt;0,"Loss - sold below cost",IF(X868&gt;W868*0.5,"Check - more than half off","OK")))))))</f>
        <v>0</v>
      </c>
    </row>
    <row r="869" spans="1:38">
      <c r="A869" s="28">
        <f>IF(B869="","",SalePrefix&amp;TEXT(ROW()-4,"0000"))</f>
        <v>0</v>
      </c>
      <c r="E869" s="15">
        <f>IF(D869="","",IFERROR(INDEX(Clients!$B$5:$B$504,MATCH(D869,Clients!$A$5:$A$504,0)),"Walk-in"))</f>
        <v>0</v>
      </c>
      <c r="G869" s="15">
        <f>IF(F869="","",IFERROR(INDEX(Staff!$B$5:$B$44,MATCH(F869,Staff!$A$5:$A$44,0)),"House"))</f>
        <v>0</v>
      </c>
      <c r="R869" s="15">
        <f>IF(B869="","",TEXT(B869,"yyyy-mm"))</f>
        <v>0</v>
      </c>
      <c r="S869" s="25">
        <f>IF(B869="","",WEEKNUM(B869,2))</f>
        <v>0</v>
      </c>
      <c r="T869" s="37">
        <f>IF(B869="","",IF(K869="",1,K869))</f>
        <v>0</v>
      </c>
      <c r="U869" s="15">
        <f>IF(B869="","",IF(J869&lt;&gt;"",J869,IF(H869="Retail",IFERROR(INDEX(Inventory!$B$5:$B$304,MATCH(I869,Inventory!$A$5:$A$304,0))&amp;"","Not in Inventory"),IFERROR(INDEX(Services!$B$5:$B$204,MATCH(I869,Services!$A$5:$A$204,0))&amp;"","Not in Services"))))</f>
        <v>0</v>
      </c>
      <c r="V869" s="26">
        <f>IF(B869="","",IF(L869&lt;&gt;"",L869,IF(H869="Retail",IFERROR(INDEX(Inventory!$I$5:$I$304,MATCH(I869,Inventory!$A$5:$A$304,0))*1,0),IFERROR(INDEX(Services!$G$5:$G$204,MATCH(I869,Services!$A$5:$A$204,0))*1,0))))</f>
        <v>0</v>
      </c>
      <c r="W869" s="26">
        <f>IF(B869="","",ROUND(T869*V869,2))</f>
        <v>0</v>
      </c>
      <c r="X869" s="26">
        <f>IF(B869="","",ROUND(IF(M869="",0,W869*M869)+IF(N869="",0,N869),2))</f>
        <v>0</v>
      </c>
      <c r="Y869" s="26">
        <f>IF(B869="","",ROUND(W869-X869-IF(P869="",0,P869),2))</f>
        <v>0</v>
      </c>
      <c r="Z869" s="26">
        <f>IF(B869="","",IF(H869="Retail",IF(TaxOnRetail="Yes",ROUND(Y869*TaxRate,2),0),IF(H869="Service",IF(TaxOnServices="Yes",ROUND(Y869*TaxRate,2),0),0)))</f>
        <v>0</v>
      </c>
      <c r="AA869" s="26">
        <f>IF(B869="","",ROUND(Y869+Z869,2))</f>
        <v>0</v>
      </c>
      <c r="AB869" s="26">
        <f>IF(B869="","",ROUND(T869*IF(H869="Retail",IFERROR(INDEX(Inventory!$H$5:$H$304,MATCH(I869,Inventory!$A$5:$A$304,0))*1,0),IFERROR(INDEX(Services!$Q$5:$Q$204,MATCH(I869,Services!$A$5:$A$204,0))*1,0)),2))</f>
        <v>0</v>
      </c>
      <c r="AC869" s="26">
        <f>IF(B869="","",ROUND(Y869-AB869,2))</f>
        <v>0</v>
      </c>
      <c r="AD869" s="38">
        <f>IF(B869="","",IF(C869="","No",IF(COUNTIFS($C$5:C869,C869)=1,"Yes","No")))</f>
        <v>0</v>
      </c>
      <c r="AE869" s="26">
        <f>IF(B869="","",ROUND(SUMIFS(Payments!$G$5:$G$1204,Payments!$H$5:$H$1204,A869,Payments!$Q$5:$Q$1204,"Yes"),2))</f>
        <v>0</v>
      </c>
      <c r="AF869" s="26">
        <f>IF(B869="","",IF(AD869="No",0,ROUND(SUMIFS(Payments!$G$5:$G$1204,Payments!$I$5:$I$1204,C869,Payments!$H$5:$H$1204,"",Payments!$Q$5:$Q$1204,"Yes"),2)))</f>
        <v>0</v>
      </c>
      <c r="AG869" s="26">
        <f>IF(B869="","",ROUND(AE869+AF869,2))</f>
        <v>0</v>
      </c>
      <c r="AH869" s="26">
        <f>IF(B869="","",ROUND(AA869-AG869,2))</f>
        <v>0</v>
      </c>
      <c r="AI869" s="39">
        <f>IF(B869="","",IF(AA869&lt;=0,"No charge",IF(AH869&lt;=0.004,"Paid",IF(AG869&lt;=0.004,"Unpaid","Part paid"))))</f>
        <v>0</v>
      </c>
      <c r="AJ869" s="38">
        <f>IF(B869="","",IF(H869&lt;&gt;"Service","",IF(D869="","No",IF(COUNTIFS($D$5:$D$1204,D869,$B$5:$B$1204,B869,$H$5:$H$1204,"Retail")&gt;0,"Yes","No"))))</f>
        <v>0</v>
      </c>
      <c r="AK869" s="25">
        <f>IF(B869="","",COUNTIFS($Y$5:$Y$1204,"&gt;"&amp;Y869)+COUNTIFS($Y$5:Y869,Y869))</f>
        <v>0</v>
      </c>
      <c r="AL869" s="39">
        <f>IF(B869="","",IF(H869="","Add - what kind of sale is this?",IF(IF(V869&lt;=0,P869="",FALSE),"Check - no price found for this item",IF(F869="","Assign - nobody credited",IF(AH869&gt;0.004,"Unpaid - balance outstanding",IF(AC869&lt;0,"Loss - sold below cost",IF(X869&gt;W869*0.5,"Check - more than half off","OK")))))))</f>
        <v>0</v>
      </c>
    </row>
    <row r="870" spans="1:38">
      <c r="A870" s="28">
        <f>IF(B870="","",SalePrefix&amp;TEXT(ROW()-4,"0000"))</f>
        <v>0</v>
      </c>
      <c r="E870" s="15">
        <f>IF(D870="","",IFERROR(INDEX(Clients!$B$5:$B$504,MATCH(D870,Clients!$A$5:$A$504,0)),"Walk-in"))</f>
        <v>0</v>
      </c>
      <c r="G870" s="15">
        <f>IF(F870="","",IFERROR(INDEX(Staff!$B$5:$B$44,MATCH(F870,Staff!$A$5:$A$44,0)),"House"))</f>
        <v>0</v>
      </c>
      <c r="R870" s="15">
        <f>IF(B870="","",TEXT(B870,"yyyy-mm"))</f>
        <v>0</v>
      </c>
      <c r="S870" s="25">
        <f>IF(B870="","",WEEKNUM(B870,2))</f>
        <v>0</v>
      </c>
      <c r="T870" s="37">
        <f>IF(B870="","",IF(K870="",1,K870))</f>
        <v>0</v>
      </c>
      <c r="U870" s="15">
        <f>IF(B870="","",IF(J870&lt;&gt;"",J870,IF(H870="Retail",IFERROR(INDEX(Inventory!$B$5:$B$304,MATCH(I870,Inventory!$A$5:$A$304,0))&amp;"","Not in Inventory"),IFERROR(INDEX(Services!$B$5:$B$204,MATCH(I870,Services!$A$5:$A$204,0))&amp;"","Not in Services"))))</f>
        <v>0</v>
      </c>
      <c r="V870" s="26">
        <f>IF(B870="","",IF(L870&lt;&gt;"",L870,IF(H870="Retail",IFERROR(INDEX(Inventory!$I$5:$I$304,MATCH(I870,Inventory!$A$5:$A$304,0))*1,0),IFERROR(INDEX(Services!$G$5:$G$204,MATCH(I870,Services!$A$5:$A$204,0))*1,0))))</f>
        <v>0</v>
      </c>
      <c r="W870" s="26">
        <f>IF(B870="","",ROUND(T870*V870,2))</f>
        <v>0</v>
      </c>
      <c r="X870" s="26">
        <f>IF(B870="","",ROUND(IF(M870="",0,W870*M870)+IF(N870="",0,N870),2))</f>
        <v>0</v>
      </c>
      <c r="Y870" s="26">
        <f>IF(B870="","",ROUND(W870-X870-IF(P870="",0,P870),2))</f>
        <v>0</v>
      </c>
      <c r="Z870" s="26">
        <f>IF(B870="","",IF(H870="Retail",IF(TaxOnRetail="Yes",ROUND(Y870*TaxRate,2),0),IF(H870="Service",IF(TaxOnServices="Yes",ROUND(Y870*TaxRate,2),0),0)))</f>
        <v>0</v>
      </c>
      <c r="AA870" s="26">
        <f>IF(B870="","",ROUND(Y870+Z870,2))</f>
        <v>0</v>
      </c>
      <c r="AB870" s="26">
        <f>IF(B870="","",ROUND(T870*IF(H870="Retail",IFERROR(INDEX(Inventory!$H$5:$H$304,MATCH(I870,Inventory!$A$5:$A$304,0))*1,0),IFERROR(INDEX(Services!$Q$5:$Q$204,MATCH(I870,Services!$A$5:$A$204,0))*1,0)),2))</f>
        <v>0</v>
      </c>
      <c r="AC870" s="26">
        <f>IF(B870="","",ROUND(Y870-AB870,2))</f>
        <v>0</v>
      </c>
      <c r="AD870" s="38">
        <f>IF(B870="","",IF(C870="","No",IF(COUNTIFS($C$5:C870,C870)=1,"Yes","No")))</f>
        <v>0</v>
      </c>
      <c r="AE870" s="26">
        <f>IF(B870="","",ROUND(SUMIFS(Payments!$G$5:$G$1204,Payments!$H$5:$H$1204,A870,Payments!$Q$5:$Q$1204,"Yes"),2))</f>
        <v>0</v>
      </c>
      <c r="AF870" s="26">
        <f>IF(B870="","",IF(AD870="No",0,ROUND(SUMIFS(Payments!$G$5:$G$1204,Payments!$I$5:$I$1204,C870,Payments!$H$5:$H$1204,"",Payments!$Q$5:$Q$1204,"Yes"),2)))</f>
        <v>0</v>
      </c>
      <c r="AG870" s="26">
        <f>IF(B870="","",ROUND(AE870+AF870,2))</f>
        <v>0</v>
      </c>
      <c r="AH870" s="26">
        <f>IF(B870="","",ROUND(AA870-AG870,2))</f>
        <v>0</v>
      </c>
      <c r="AI870" s="39">
        <f>IF(B870="","",IF(AA870&lt;=0,"No charge",IF(AH870&lt;=0.004,"Paid",IF(AG870&lt;=0.004,"Unpaid","Part paid"))))</f>
        <v>0</v>
      </c>
      <c r="AJ870" s="38">
        <f>IF(B870="","",IF(H870&lt;&gt;"Service","",IF(D870="","No",IF(COUNTIFS($D$5:$D$1204,D870,$B$5:$B$1204,B870,$H$5:$H$1204,"Retail")&gt;0,"Yes","No"))))</f>
        <v>0</v>
      </c>
      <c r="AK870" s="25">
        <f>IF(B870="","",COUNTIFS($Y$5:$Y$1204,"&gt;"&amp;Y870)+COUNTIFS($Y$5:Y870,Y870))</f>
        <v>0</v>
      </c>
      <c r="AL870" s="39">
        <f>IF(B870="","",IF(H870="","Add - what kind of sale is this?",IF(IF(V870&lt;=0,P870="",FALSE),"Check - no price found for this item",IF(F870="","Assign - nobody credited",IF(AH870&gt;0.004,"Unpaid - balance outstanding",IF(AC870&lt;0,"Loss - sold below cost",IF(X870&gt;W870*0.5,"Check - more than half off","OK")))))))</f>
        <v>0</v>
      </c>
    </row>
    <row r="871" spans="1:38">
      <c r="A871" s="28">
        <f>IF(B871="","",SalePrefix&amp;TEXT(ROW()-4,"0000"))</f>
        <v>0</v>
      </c>
      <c r="E871" s="15">
        <f>IF(D871="","",IFERROR(INDEX(Clients!$B$5:$B$504,MATCH(D871,Clients!$A$5:$A$504,0)),"Walk-in"))</f>
        <v>0</v>
      </c>
      <c r="G871" s="15">
        <f>IF(F871="","",IFERROR(INDEX(Staff!$B$5:$B$44,MATCH(F871,Staff!$A$5:$A$44,0)),"House"))</f>
        <v>0</v>
      </c>
      <c r="R871" s="15">
        <f>IF(B871="","",TEXT(B871,"yyyy-mm"))</f>
        <v>0</v>
      </c>
      <c r="S871" s="25">
        <f>IF(B871="","",WEEKNUM(B871,2))</f>
        <v>0</v>
      </c>
      <c r="T871" s="37">
        <f>IF(B871="","",IF(K871="",1,K871))</f>
        <v>0</v>
      </c>
      <c r="U871" s="15">
        <f>IF(B871="","",IF(J871&lt;&gt;"",J871,IF(H871="Retail",IFERROR(INDEX(Inventory!$B$5:$B$304,MATCH(I871,Inventory!$A$5:$A$304,0))&amp;"","Not in Inventory"),IFERROR(INDEX(Services!$B$5:$B$204,MATCH(I871,Services!$A$5:$A$204,0))&amp;"","Not in Services"))))</f>
        <v>0</v>
      </c>
      <c r="V871" s="26">
        <f>IF(B871="","",IF(L871&lt;&gt;"",L871,IF(H871="Retail",IFERROR(INDEX(Inventory!$I$5:$I$304,MATCH(I871,Inventory!$A$5:$A$304,0))*1,0),IFERROR(INDEX(Services!$G$5:$G$204,MATCH(I871,Services!$A$5:$A$204,0))*1,0))))</f>
        <v>0</v>
      </c>
      <c r="W871" s="26">
        <f>IF(B871="","",ROUND(T871*V871,2))</f>
        <v>0</v>
      </c>
      <c r="X871" s="26">
        <f>IF(B871="","",ROUND(IF(M871="",0,W871*M871)+IF(N871="",0,N871),2))</f>
        <v>0</v>
      </c>
      <c r="Y871" s="26">
        <f>IF(B871="","",ROUND(W871-X871-IF(P871="",0,P871),2))</f>
        <v>0</v>
      </c>
      <c r="Z871" s="26">
        <f>IF(B871="","",IF(H871="Retail",IF(TaxOnRetail="Yes",ROUND(Y871*TaxRate,2),0),IF(H871="Service",IF(TaxOnServices="Yes",ROUND(Y871*TaxRate,2),0),0)))</f>
        <v>0</v>
      </c>
      <c r="AA871" s="26">
        <f>IF(B871="","",ROUND(Y871+Z871,2))</f>
        <v>0</v>
      </c>
      <c r="AB871" s="26">
        <f>IF(B871="","",ROUND(T871*IF(H871="Retail",IFERROR(INDEX(Inventory!$H$5:$H$304,MATCH(I871,Inventory!$A$5:$A$304,0))*1,0),IFERROR(INDEX(Services!$Q$5:$Q$204,MATCH(I871,Services!$A$5:$A$204,0))*1,0)),2))</f>
        <v>0</v>
      </c>
      <c r="AC871" s="26">
        <f>IF(B871="","",ROUND(Y871-AB871,2))</f>
        <v>0</v>
      </c>
      <c r="AD871" s="38">
        <f>IF(B871="","",IF(C871="","No",IF(COUNTIFS($C$5:C871,C871)=1,"Yes","No")))</f>
        <v>0</v>
      </c>
      <c r="AE871" s="26">
        <f>IF(B871="","",ROUND(SUMIFS(Payments!$G$5:$G$1204,Payments!$H$5:$H$1204,A871,Payments!$Q$5:$Q$1204,"Yes"),2))</f>
        <v>0</v>
      </c>
      <c r="AF871" s="26">
        <f>IF(B871="","",IF(AD871="No",0,ROUND(SUMIFS(Payments!$G$5:$G$1204,Payments!$I$5:$I$1204,C871,Payments!$H$5:$H$1204,"",Payments!$Q$5:$Q$1204,"Yes"),2)))</f>
        <v>0</v>
      </c>
      <c r="AG871" s="26">
        <f>IF(B871="","",ROUND(AE871+AF871,2))</f>
        <v>0</v>
      </c>
      <c r="AH871" s="26">
        <f>IF(B871="","",ROUND(AA871-AG871,2))</f>
        <v>0</v>
      </c>
      <c r="AI871" s="39">
        <f>IF(B871="","",IF(AA871&lt;=0,"No charge",IF(AH871&lt;=0.004,"Paid",IF(AG871&lt;=0.004,"Unpaid","Part paid"))))</f>
        <v>0</v>
      </c>
      <c r="AJ871" s="38">
        <f>IF(B871="","",IF(H871&lt;&gt;"Service","",IF(D871="","No",IF(COUNTIFS($D$5:$D$1204,D871,$B$5:$B$1204,B871,$H$5:$H$1204,"Retail")&gt;0,"Yes","No"))))</f>
        <v>0</v>
      </c>
      <c r="AK871" s="25">
        <f>IF(B871="","",COUNTIFS($Y$5:$Y$1204,"&gt;"&amp;Y871)+COUNTIFS($Y$5:Y871,Y871))</f>
        <v>0</v>
      </c>
      <c r="AL871" s="39">
        <f>IF(B871="","",IF(H871="","Add - what kind of sale is this?",IF(IF(V871&lt;=0,P871="",FALSE),"Check - no price found for this item",IF(F871="","Assign - nobody credited",IF(AH871&gt;0.004,"Unpaid - balance outstanding",IF(AC871&lt;0,"Loss - sold below cost",IF(X871&gt;W871*0.5,"Check - more than half off","OK")))))))</f>
        <v>0</v>
      </c>
    </row>
    <row r="872" spans="1:38">
      <c r="A872" s="28">
        <f>IF(B872="","",SalePrefix&amp;TEXT(ROW()-4,"0000"))</f>
        <v>0</v>
      </c>
      <c r="E872" s="15">
        <f>IF(D872="","",IFERROR(INDEX(Clients!$B$5:$B$504,MATCH(D872,Clients!$A$5:$A$504,0)),"Walk-in"))</f>
        <v>0</v>
      </c>
      <c r="G872" s="15">
        <f>IF(F872="","",IFERROR(INDEX(Staff!$B$5:$B$44,MATCH(F872,Staff!$A$5:$A$44,0)),"House"))</f>
        <v>0</v>
      </c>
      <c r="R872" s="15">
        <f>IF(B872="","",TEXT(B872,"yyyy-mm"))</f>
        <v>0</v>
      </c>
      <c r="S872" s="25">
        <f>IF(B872="","",WEEKNUM(B872,2))</f>
        <v>0</v>
      </c>
      <c r="T872" s="37">
        <f>IF(B872="","",IF(K872="",1,K872))</f>
        <v>0</v>
      </c>
      <c r="U872" s="15">
        <f>IF(B872="","",IF(J872&lt;&gt;"",J872,IF(H872="Retail",IFERROR(INDEX(Inventory!$B$5:$B$304,MATCH(I872,Inventory!$A$5:$A$304,0))&amp;"","Not in Inventory"),IFERROR(INDEX(Services!$B$5:$B$204,MATCH(I872,Services!$A$5:$A$204,0))&amp;"","Not in Services"))))</f>
        <v>0</v>
      </c>
      <c r="V872" s="26">
        <f>IF(B872="","",IF(L872&lt;&gt;"",L872,IF(H872="Retail",IFERROR(INDEX(Inventory!$I$5:$I$304,MATCH(I872,Inventory!$A$5:$A$304,0))*1,0),IFERROR(INDEX(Services!$G$5:$G$204,MATCH(I872,Services!$A$5:$A$204,0))*1,0))))</f>
        <v>0</v>
      </c>
      <c r="W872" s="26">
        <f>IF(B872="","",ROUND(T872*V872,2))</f>
        <v>0</v>
      </c>
      <c r="X872" s="26">
        <f>IF(B872="","",ROUND(IF(M872="",0,W872*M872)+IF(N872="",0,N872),2))</f>
        <v>0</v>
      </c>
      <c r="Y872" s="26">
        <f>IF(B872="","",ROUND(W872-X872-IF(P872="",0,P872),2))</f>
        <v>0</v>
      </c>
      <c r="Z872" s="26">
        <f>IF(B872="","",IF(H872="Retail",IF(TaxOnRetail="Yes",ROUND(Y872*TaxRate,2),0),IF(H872="Service",IF(TaxOnServices="Yes",ROUND(Y872*TaxRate,2),0),0)))</f>
        <v>0</v>
      </c>
      <c r="AA872" s="26">
        <f>IF(B872="","",ROUND(Y872+Z872,2))</f>
        <v>0</v>
      </c>
      <c r="AB872" s="26">
        <f>IF(B872="","",ROUND(T872*IF(H872="Retail",IFERROR(INDEX(Inventory!$H$5:$H$304,MATCH(I872,Inventory!$A$5:$A$304,0))*1,0),IFERROR(INDEX(Services!$Q$5:$Q$204,MATCH(I872,Services!$A$5:$A$204,0))*1,0)),2))</f>
        <v>0</v>
      </c>
      <c r="AC872" s="26">
        <f>IF(B872="","",ROUND(Y872-AB872,2))</f>
        <v>0</v>
      </c>
      <c r="AD872" s="38">
        <f>IF(B872="","",IF(C872="","No",IF(COUNTIFS($C$5:C872,C872)=1,"Yes","No")))</f>
        <v>0</v>
      </c>
      <c r="AE872" s="26">
        <f>IF(B872="","",ROUND(SUMIFS(Payments!$G$5:$G$1204,Payments!$H$5:$H$1204,A872,Payments!$Q$5:$Q$1204,"Yes"),2))</f>
        <v>0</v>
      </c>
      <c r="AF872" s="26">
        <f>IF(B872="","",IF(AD872="No",0,ROUND(SUMIFS(Payments!$G$5:$G$1204,Payments!$I$5:$I$1204,C872,Payments!$H$5:$H$1204,"",Payments!$Q$5:$Q$1204,"Yes"),2)))</f>
        <v>0</v>
      </c>
      <c r="AG872" s="26">
        <f>IF(B872="","",ROUND(AE872+AF872,2))</f>
        <v>0</v>
      </c>
      <c r="AH872" s="26">
        <f>IF(B872="","",ROUND(AA872-AG872,2))</f>
        <v>0</v>
      </c>
      <c r="AI872" s="39">
        <f>IF(B872="","",IF(AA872&lt;=0,"No charge",IF(AH872&lt;=0.004,"Paid",IF(AG872&lt;=0.004,"Unpaid","Part paid"))))</f>
        <v>0</v>
      </c>
      <c r="AJ872" s="38">
        <f>IF(B872="","",IF(H872&lt;&gt;"Service","",IF(D872="","No",IF(COUNTIFS($D$5:$D$1204,D872,$B$5:$B$1204,B872,$H$5:$H$1204,"Retail")&gt;0,"Yes","No"))))</f>
        <v>0</v>
      </c>
      <c r="AK872" s="25">
        <f>IF(B872="","",COUNTIFS($Y$5:$Y$1204,"&gt;"&amp;Y872)+COUNTIFS($Y$5:Y872,Y872))</f>
        <v>0</v>
      </c>
      <c r="AL872" s="39">
        <f>IF(B872="","",IF(H872="","Add - what kind of sale is this?",IF(IF(V872&lt;=0,P872="",FALSE),"Check - no price found for this item",IF(F872="","Assign - nobody credited",IF(AH872&gt;0.004,"Unpaid - balance outstanding",IF(AC872&lt;0,"Loss - sold below cost",IF(X872&gt;W872*0.5,"Check - more than half off","OK")))))))</f>
        <v>0</v>
      </c>
    </row>
    <row r="873" spans="1:38">
      <c r="A873" s="28">
        <f>IF(B873="","",SalePrefix&amp;TEXT(ROW()-4,"0000"))</f>
        <v>0</v>
      </c>
      <c r="E873" s="15">
        <f>IF(D873="","",IFERROR(INDEX(Clients!$B$5:$B$504,MATCH(D873,Clients!$A$5:$A$504,0)),"Walk-in"))</f>
        <v>0</v>
      </c>
      <c r="G873" s="15">
        <f>IF(F873="","",IFERROR(INDEX(Staff!$B$5:$B$44,MATCH(F873,Staff!$A$5:$A$44,0)),"House"))</f>
        <v>0</v>
      </c>
      <c r="R873" s="15">
        <f>IF(B873="","",TEXT(B873,"yyyy-mm"))</f>
        <v>0</v>
      </c>
      <c r="S873" s="25">
        <f>IF(B873="","",WEEKNUM(B873,2))</f>
        <v>0</v>
      </c>
      <c r="T873" s="37">
        <f>IF(B873="","",IF(K873="",1,K873))</f>
        <v>0</v>
      </c>
      <c r="U873" s="15">
        <f>IF(B873="","",IF(J873&lt;&gt;"",J873,IF(H873="Retail",IFERROR(INDEX(Inventory!$B$5:$B$304,MATCH(I873,Inventory!$A$5:$A$304,0))&amp;"","Not in Inventory"),IFERROR(INDEX(Services!$B$5:$B$204,MATCH(I873,Services!$A$5:$A$204,0))&amp;"","Not in Services"))))</f>
        <v>0</v>
      </c>
      <c r="V873" s="26">
        <f>IF(B873="","",IF(L873&lt;&gt;"",L873,IF(H873="Retail",IFERROR(INDEX(Inventory!$I$5:$I$304,MATCH(I873,Inventory!$A$5:$A$304,0))*1,0),IFERROR(INDEX(Services!$G$5:$G$204,MATCH(I873,Services!$A$5:$A$204,0))*1,0))))</f>
        <v>0</v>
      </c>
      <c r="W873" s="26">
        <f>IF(B873="","",ROUND(T873*V873,2))</f>
        <v>0</v>
      </c>
      <c r="X873" s="26">
        <f>IF(B873="","",ROUND(IF(M873="",0,W873*M873)+IF(N873="",0,N873),2))</f>
        <v>0</v>
      </c>
      <c r="Y873" s="26">
        <f>IF(B873="","",ROUND(W873-X873-IF(P873="",0,P873),2))</f>
        <v>0</v>
      </c>
      <c r="Z873" s="26">
        <f>IF(B873="","",IF(H873="Retail",IF(TaxOnRetail="Yes",ROUND(Y873*TaxRate,2),0),IF(H873="Service",IF(TaxOnServices="Yes",ROUND(Y873*TaxRate,2),0),0)))</f>
        <v>0</v>
      </c>
      <c r="AA873" s="26">
        <f>IF(B873="","",ROUND(Y873+Z873,2))</f>
        <v>0</v>
      </c>
      <c r="AB873" s="26">
        <f>IF(B873="","",ROUND(T873*IF(H873="Retail",IFERROR(INDEX(Inventory!$H$5:$H$304,MATCH(I873,Inventory!$A$5:$A$304,0))*1,0),IFERROR(INDEX(Services!$Q$5:$Q$204,MATCH(I873,Services!$A$5:$A$204,0))*1,0)),2))</f>
        <v>0</v>
      </c>
      <c r="AC873" s="26">
        <f>IF(B873="","",ROUND(Y873-AB873,2))</f>
        <v>0</v>
      </c>
      <c r="AD873" s="38">
        <f>IF(B873="","",IF(C873="","No",IF(COUNTIFS($C$5:C873,C873)=1,"Yes","No")))</f>
        <v>0</v>
      </c>
      <c r="AE873" s="26">
        <f>IF(B873="","",ROUND(SUMIFS(Payments!$G$5:$G$1204,Payments!$H$5:$H$1204,A873,Payments!$Q$5:$Q$1204,"Yes"),2))</f>
        <v>0</v>
      </c>
      <c r="AF873" s="26">
        <f>IF(B873="","",IF(AD873="No",0,ROUND(SUMIFS(Payments!$G$5:$G$1204,Payments!$I$5:$I$1204,C873,Payments!$H$5:$H$1204,"",Payments!$Q$5:$Q$1204,"Yes"),2)))</f>
        <v>0</v>
      </c>
      <c r="AG873" s="26">
        <f>IF(B873="","",ROUND(AE873+AF873,2))</f>
        <v>0</v>
      </c>
      <c r="AH873" s="26">
        <f>IF(B873="","",ROUND(AA873-AG873,2))</f>
        <v>0</v>
      </c>
      <c r="AI873" s="39">
        <f>IF(B873="","",IF(AA873&lt;=0,"No charge",IF(AH873&lt;=0.004,"Paid",IF(AG873&lt;=0.004,"Unpaid","Part paid"))))</f>
        <v>0</v>
      </c>
      <c r="AJ873" s="38">
        <f>IF(B873="","",IF(H873&lt;&gt;"Service","",IF(D873="","No",IF(COUNTIFS($D$5:$D$1204,D873,$B$5:$B$1204,B873,$H$5:$H$1204,"Retail")&gt;0,"Yes","No"))))</f>
        <v>0</v>
      </c>
      <c r="AK873" s="25">
        <f>IF(B873="","",COUNTIFS($Y$5:$Y$1204,"&gt;"&amp;Y873)+COUNTIFS($Y$5:Y873,Y873))</f>
        <v>0</v>
      </c>
      <c r="AL873" s="39">
        <f>IF(B873="","",IF(H873="","Add - what kind of sale is this?",IF(IF(V873&lt;=0,P873="",FALSE),"Check - no price found for this item",IF(F873="","Assign - nobody credited",IF(AH873&gt;0.004,"Unpaid - balance outstanding",IF(AC873&lt;0,"Loss - sold below cost",IF(X873&gt;W873*0.5,"Check - more than half off","OK")))))))</f>
        <v>0</v>
      </c>
    </row>
    <row r="874" spans="1:38">
      <c r="A874" s="28">
        <f>IF(B874="","",SalePrefix&amp;TEXT(ROW()-4,"0000"))</f>
        <v>0</v>
      </c>
      <c r="E874" s="15">
        <f>IF(D874="","",IFERROR(INDEX(Clients!$B$5:$B$504,MATCH(D874,Clients!$A$5:$A$504,0)),"Walk-in"))</f>
        <v>0</v>
      </c>
      <c r="G874" s="15">
        <f>IF(F874="","",IFERROR(INDEX(Staff!$B$5:$B$44,MATCH(F874,Staff!$A$5:$A$44,0)),"House"))</f>
        <v>0</v>
      </c>
      <c r="R874" s="15">
        <f>IF(B874="","",TEXT(B874,"yyyy-mm"))</f>
        <v>0</v>
      </c>
      <c r="S874" s="25">
        <f>IF(B874="","",WEEKNUM(B874,2))</f>
        <v>0</v>
      </c>
      <c r="T874" s="37">
        <f>IF(B874="","",IF(K874="",1,K874))</f>
        <v>0</v>
      </c>
      <c r="U874" s="15">
        <f>IF(B874="","",IF(J874&lt;&gt;"",J874,IF(H874="Retail",IFERROR(INDEX(Inventory!$B$5:$B$304,MATCH(I874,Inventory!$A$5:$A$304,0))&amp;"","Not in Inventory"),IFERROR(INDEX(Services!$B$5:$B$204,MATCH(I874,Services!$A$5:$A$204,0))&amp;"","Not in Services"))))</f>
        <v>0</v>
      </c>
      <c r="V874" s="26">
        <f>IF(B874="","",IF(L874&lt;&gt;"",L874,IF(H874="Retail",IFERROR(INDEX(Inventory!$I$5:$I$304,MATCH(I874,Inventory!$A$5:$A$304,0))*1,0),IFERROR(INDEX(Services!$G$5:$G$204,MATCH(I874,Services!$A$5:$A$204,0))*1,0))))</f>
        <v>0</v>
      </c>
      <c r="W874" s="26">
        <f>IF(B874="","",ROUND(T874*V874,2))</f>
        <v>0</v>
      </c>
      <c r="X874" s="26">
        <f>IF(B874="","",ROUND(IF(M874="",0,W874*M874)+IF(N874="",0,N874),2))</f>
        <v>0</v>
      </c>
      <c r="Y874" s="26">
        <f>IF(B874="","",ROUND(W874-X874-IF(P874="",0,P874),2))</f>
        <v>0</v>
      </c>
      <c r="Z874" s="26">
        <f>IF(B874="","",IF(H874="Retail",IF(TaxOnRetail="Yes",ROUND(Y874*TaxRate,2),0),IF(H874="Service",IF(TaxOnServices="Yes",ROUND(Y874*TaxRate,2),0),0)))</f>
        <v>0</v>
      </c>
      <c r="AA874" s="26">
        <f>IF(B874="","",ROUND(Y874+Z874,2))</f>
        <v>0</v>
      </c>
      <c r="AB874" s="26">
        <f>IF(B874="","",ROUND(T874*IF(H874="Retail",IFERROR(INDEX(Inventory!$H$5:$H$304,MATCH(I874,Inventory!$A$5:$A$304,0))*1,0),IFERROR(INDEX(Services!$Q$5:$Q$204,MATCH(I874,Services!$A$5:$A$204,0))*1,0)),2))</f>
        <v>0</v>
      </c>
      <c r="AC874" s="26">
        <f>IF(B874="","",ROUND(Y874-AB874,2))</f>
        <v>0</v>
      </c>
      <c r="AD874" s="38">
        <f>IF(B874="","",IF(C874="","No",IF(COUNTIFS($C$5:C874,C874)=1,"Yes","No")))</f>
        <v>0</v>
      </c>
      <c r="AE874" s="26">
        <f>IF(B874="","",ROUND(SUMIFS(Payments!$G$5:$G$1204,Payments!$H$5:$H$1204,A874,Payments!$Q$5:$Q$1204,"Yes"),2))</f>
        <v>0</v>
      </c>
      <c r="AF874" s="26">
        <f>IF(B874="","",IF(AD874="No",0,ROUND(SUMIFS(Payments!$G$5:$G$1204,Payments!$I$5:$I$1204,C874,Payments!$H$5:$H$1204,"",Payments!$Q$5:$Q$1204,"Yes"),2)))</f>
        <v>0</v>
      </c>
      <c r="AG874" s="26">
        <f>IF(B874="","",ROUND(AE874+AF874,2))</f>
        <v>0</v>
      </c>
      <c r="AH874" s="26">
        <f>IF(B874="","",ROUND(AA874-AG874,2))</f>
        <v>0</v>
      </c>
      <c r="AI874" s="39">
        <f>IF(B874="","",IF(AA874&lt;=0,"No charge",IF(AH874&lt;=0.004,"Paid",IF(AG874&lt;=0.004,"Unpaid","Part paid"))))</f>
        <v>0</v>
      </c>
      <c r="AJ874" s="38">
        <f>IF(B874="","",IF(H874&lt;&gt;"Service","",IF(D874="","No",IF(COUNTIFS($D$5:$D$1204,D874,$B$5:$B$1204,B874,$H$5:$H$1204,"Retail")&gt;0,"Yes","No"))))</f>
        <v>0</v>
      </c>
      <c r="AK874" s="25">
        <f>IF(B874="","",COUNTIFS($Y$5:$Y$1204,"&gt;"&amp;Y874)+COUNTIFS($Y$5:Y874,Y874))</f>
        <v>0</v>
      </c>
      <c r="AL874" s="39">
        <f>IF(B874="","",IF(H874="","Add - what kind of sale is this?",IF(IF(V874&lt;=0,P874="",FALSE),"Check - no price found for this item",IF(F874="","Assign - nobody credited",IF(AH874&gt;0.004,"Unpaid - balance outstanding",IF(AC874&lt;0,"Loss - sold below cost",IF(X874&gt;W874*0.5,"Check - more than half off","OK")))))))</f>
        <v>0</v>
      </c>
    </row>
    <row r="875" spans="1:38">
      <c r="A875" s="28">
        <f>IF(B875="","",SalePrefix&amp;TEXT(ROW()-4,"0000"))</f>
        <v>0</v>
      </c>
      <c r="E875" s="15">
        <f>IF(D875="","",IFERROR(INDEX(Clients!$B$5:$B$504,MATCH(D875,Clients!$A$5:$A$504,0)),"Walk-in"))</f>
        <v>0</v>
      </c>
      <c r="G875" s="15">
        <f>IF(F875="","",IFERROR(INDEX(Staff!$B$5:$B$44,MATCH(F875,Staff!$A$5:$A$44,0)),"House"))</f>
        <v>0</v>
      </c>
      <c r="R875" s="15">
        <f>IF(B875="","",TEXT(B875,"yyyy-mm"))</f>
        <v>0</v>
      </c>
      <c r="S875" s="25">
        <f>IF(B875="","",WEEKNUM(B875,2))</f>
        <v>0</v>
      </c>
      <c r="T875" s="37">
        <f>IF(B875="","",IF(K875="",1,K875))</f>
        <v>0</v>
      </c>
      <c r="U875" s="15">
        <f>IF(B875="","",IF(J875&lt;&gt;"",J875,IF(H875="Retail",IFERROR(INDEX(Inventory!$B$5:$B$304,MATCH(I875,Inventory!$A$5:$A$304,0))&amp;"","Not in Inventory"),IFERROR(INDEX(Services!$B$5:$B$204,MATCH(I875,Services!$A$5:$A$204,0))&amp;"","Not in Services"))))</f>
        <v>0</v>
      </c>
      <c r="V875" s="26">
        <f>IF(B875="","",IF(L875&lt;&gt;"",L875,IF(H875="Retail",IFERROR(INDEX(Inventory!$I$5:$I$304,MATCH(I875,Inventory!$A$5:$A$304,0))*1,0),IFERROR(INDEX(Services!$G$5:$G$204,MATCH(I875,Services!$A$5:$A$204,0))*1,0))))</f>
        <v>0</v>
      </c>
      <c r="W875" s="26">
        <f>IF(B875="","",ROUND(T875*V875,2))</f>
        <v>0</v>
      </c>
      <c r="X875" s="26">
        <f>IF(B875="","",ROUND(IF(M875="",0,W875*M875)+IF(N875="",0,N875),2))</f>
        <v>0</v>
      </c>
      <c r="Y875" s="26">
        <f>IF(B875="","",ROUND(W875-X875-IF(P875="",0,P875),2))</f>
        <v>0</v>
      </c>
      <c r="Z875" s="26">
        <f>IF(B875="","",IF(H875="Retail",IF(TaxOnRetail="Yes",ROUND(Y875*TaxRate,2),0),IF(H875="Service",IF(TaxOnServices="Yes",ROUND(Y875*TaxRate,2),0),0)))</f>
        <v>0</v>
      </c>
      <c r="AA875" s="26">
        <f>IF(B875="","",ROUND(Y875+Z875,2))</f>
        <v>0</v>
      </c>
      <c r="AB875" s="26">
        <f>IF(B875="","",ROUND(T875*IF(H875="Retail",IFERROR(INDEX(Inventory!$H$5:$H$304,MATCH(I875,Inventory!$A$5:$A$304,0))*1,0),IFERROR(INDEX(Services!$Q$5:$Q$204,MATCH(I875,Services!$A$5:$A$204,0))*1,0)),2))</f>
        <v>0</v>
      </c>
      <c r="AC875" s="26">
        <f>IF(B875="","",ROUND(Y875-AB875,2))</f>
        <v>0</v>
      </c>
      <c r="AD875" s="38">
        <f>IF(B875="","",IF(C875="","No",IF(COUNTIFS($C$5:C875,C875)=1,"Yes","No")))</f>
        <v>0</v>
      </c>
      <c r="AE875" s="26">
        <f>IF(B875="","",ROUND(SUMIFS(Payments!$G$5:$G$1204,Payments!$H$5:$H$1204,A875,Payments!$Q$5:$Q$1204,"Yes"),2))</f>
        <v>0</v>
      </c>
      <c r="AF875" s="26">
        <f>IF(B875="","",IF(AD875="No",0,ROUND(SUMIFS(Payments!$G$5:$G$1204,Payments!$I$5:$I$1204,C875,Payments!$H$5:$H$1204,"",Payments!$Q$5:$Q$1204,"Yes"),2)))</f>
        <v>0</v>
      </c>
      <c r="AG875" s="26">
        <f>IF(B875="","",ROUND(AE875+AF875,2))</f>
        <v>0</v>
      </c>
      <c r="AH875" s="26">
        <f>IF(B875="","",ROUND(AA875-AG875,2))</f>
        <v>0</v>
      </c>
      <c r="AI875" s="39">
        <f>IF(B875="","",IF(AA875&lt;=0,"No charge",IF(AH875&lt;=0.004,"Paid",IF(AG875&lt;=0.004,"Unpaid","Part paid"))))</f>
        <v>0</v>
      </c>
      <c r="AJ875" s="38">
        <f>IF(B875="","",IF(H875&lt;&gt;"Service","",IF(D875="","No",IF(COUNTIFS($D$5:$D$1204,D875,$B$5:$B$1204,B875,$H$5:$H$1204,"Retail")&gt;0,"Yes","No"))))</f>
        <v>0</v>
      </c>
      <c r="AK875" s="25">
        <f>IF(B875="","",COUNTIFS($Y$5:$Y$1204,"&gt;"&amp;Y875)+COUNTIFS($Y$5:Y875,Y875))</f>
        <v>0</v>
      </c>
      <c r="AL875" s="39">
        <f>IF(B875="","",IF(H875="","Add - what kind of sale is this?",IF(IF(V875&lt;=0,P875="",FALSE),"Check - no price found for this item",IF(F875="","Assign - nobody credited",IF(AH875&gt;0.004,"Unpaid - balance outstanding",IF(AC875&lt;0,"Loss - sold below cost",IF(X875&gt;W875*0.5,"Check - more than half off","OK")))))))</f>
        <v>0</v>
      </c>
    </row>
    <row r="876" spans="1:38">
      <c r="A876" s="28">
        <f>IF(B876="","",SalePrefix&amp;TEXT(ROW()-4,"0000"))</f>
        <v>0</v>
      </c>
      <c r="E876" s="15">
        <f>IF(D876="","",IFERROR(INDEX(Clients!$B$5:$B$504,MATCH(D876,Clients!$A$5:$A$504,0)),"Walk-in"))</f>
        <v>0</v>
      </c>
      <c r="G876" s="15">
        <f>IF(F876="","",IFERROR(INDEX(Staff!$B$5:$B$44,MATCH(F876,Staff!$A$5:$A$44,0)),"House"))</f>
        <v>0</v>
      </c>
      <c r="R876" s="15">
        <f>IF(B876="","",TEXT(B876,"yyyy-mm"))</f>
        <v>0</v>
      </c>
      <c r="S876" s="25">
        <f>IF(B876="","",WEEKNUM(B876,2))</f>
        <v>0</v>
      </c>
      <c r="T876" s="37">
        <f>IF(B876="","",IF(K876="",1,K876))</f>
        <v>0</v>
      </c>
      <c r="U876" s="15">
        <f>IF(B876="","",IF(J876&lt;&gt;"",J876,IF(H876="Retail",IFERROR(INDEX(Inventory!$B$5:$B$304,MATCH(I876,Inventory!$A$5:$A$304,0))&amp;"","Not in Inventory"),IFERROR(INDEX(Services!$B$5:$B$204,MATCH(I876,Services!$A$5:$A$204,0))&amp;"","Not in Services"))))</f>
        <v>0</v>
      </c>
      <c r="V876" s="26">
        <f>IF(B876="","",IF(L876&lt;&gt;"",L876,IF(H876="Retail",IFERROR(INDEX(Inventory!$I$5:$I$304,MATCH(I876,Inventory!$A$5:$A$304,0))*1,0),IFERROR(INDEX(Services!$G$5:$G$204,MATCH(I876,Services!$A$5:$A$204,0))*1,0))))</f>
        <v>0</v>
      </c>
      <c r="W876" s="26">
        <f>IF(B876="","",ROUND(T876*V876,2))</f>
        <v>0</v>
      </c>
      <c r="X876" s="26">
        <f>IF(B876="","",ROUND(IF(M876="",0,W876*M876)+IF(N876="",0,N876),2))</f>
        <v>0</v>
      </c>
      <c r="Y876" s="26">
        <f>IF(B876="","",ROUND(W876-X876-IF(P876="",0,P876),2))</f>
        <v>0</v>
      </c>
      <c r="Z876" s="26">
        <f>IF(B876="","",IF(H876="Retail",IF(TaxOnRetail="Yes",ROUND(Y876*TaxRate,2),0),IF(H876="Service",IF(TaxOnServices="Yes",ROUND(Y876*TaxRate,2),0),0)))</f>
        <v>0</v>
      </c>
      <c r="AA876" s="26">
        <f>IF(B876="","",ROUND(Y876+Z876,2))</f>
        <v>0</v>
      </c>
      <c r="AB876" s="26">
        <f>IF(B876="","",ROUND(T876*IF(H876="Retail",IFERROR(INDEX(Inventory!$H$5:$H$304,MATCH(I876,Inventory!$A$5:$A$304,0))*1,0),IFERROR(INDEX(Services!$Q$5:$Q$204,MATCH(I876,Services!$A$5:$A$204,0))*1,0)),2))</f>
        <v>0</v>
      </c>
      <c r="AC876" s="26">
        <f>IF(B876="","",ROUND(Y876-AB876,2))</f>
        <v>0</v>
      </c>
      <c r="AD876" s="38">
        <f>IF(B876="","",IF(C876="","No",IF(COUNTIFS($C$5:C876,C876)=1,"Yes","No")))</f>
        <v>0</v>
      </c>
      <c r="AE876" s="26">
        <f>IF(B876="","",ROUND(SUMIFS(Payments!$G$5:$G$1204,Payments!$H$5:$H$1204,A876,Payments!$Q$5:$Q$1204,"Yes"),2))</f>
        <v>0</v>
      </c>
      <c r="AF876" s="26">
        <f>IF(B876="","",IF(AD876="No",0,ROUND(SUMIFS(Payments!$G$5:$G$1204,Payments!$I$5:$I$1204,C876,Payments!$H$5:$H$1204,"",Payments!$Q$5:$Q$1204,"Yes"),2)))</f>
        <v>0</v>
      </c>
      <c r="AG876" s="26">
        <f>IF(B876="","",ROUND(AE876+AF876,2))</f>
        <v>0</v>
      </c>
      <c r="AH876" s="26">
        <f>IF(B876="","",ROUND(AA876-AG876,2))</f>
        <v>0</v>
      </c>
      <c r="AI876" s="39">
        <f>IF(B876="","",IF(AA876&lt;=0,"No charge",IF(AH876&lt;=0.004,"Paid",IF(AG876&lt;=0.004,"Unpaid","Part paid"))))</f>
        <v>0</v>
      </c>
      <c r="AJ876" s="38">
        <f>IF(B876="","",IF(H876&lt;&gt;"Service","",IF(D876="","No",IF(COUNTIFS($D$5:$D$1204,D876,$B$5:$B$1204,B876,$H$5:$H$1204,"Retail")&gt;0,"Yes","No"))))</f>
        <v>0</v>
      </c>
      <c r="AK876" s="25">
        <f>IF(B876="","",COUNTIFS($Y$5:$Y$1204,"&gt;"&amp;Y876)+COUNTIFS($Y$5:Y876,Y876))</f>
        <v>0</v>
      </c>
      <c r="AL876" s="39">
        <f>IF(B876="","",IF(H876="","Add - what kind of sale is this?",IF(IF(V876&lt;=0,P876="",FALSE),"Check - no price found for this item",IF(F876="","Assign - nobody credited",IF(AH876&gt;0.004,"Unpaid - balance outstanding",IF(AC876&lt;0,"Loss - sold below cost",IF(X876&gt;W876*0.5,"Check - more than half off","OK")))))))</f>
        <v>0</v>
      </c>
    </row>
    <row r="877" spans="1:38">
      <c r="A877" s="28">
        <f>IF(B877="","",SalePrefix&amp;TEXT(ROW()-4,"0000"))</f>
        <v>0</v>
      </c>
      <c r="E877" s="15">
        <f>IF(D877="","",IFERROR(INDEX(Clients!$B$5:$B$504,MATCH(D877,Clients!$A$5:$A$504,0)),"Walk-in"))</f>
        <v>0</v>
      </c>
      <c r="G877" s="15">
        <f>IF(F877="","",IFERROR(INDEX(Staff!$B$5:$B$44,MATCH(F877,Staff!$A$5:$A$44,0)),"House"))</f>
        <v>0</v>
      </c>
      <c r="R877" s="15">
        <f>IF(B877="","",TEXT(B877,"yyyy-mm"))</f>
        <v>0</v>
      </c>
      <c r="S877" s="25">
        <f>IF(B877="","",WEEKNUM(B877,2))</f>
        <v>0</v>
      </c>
      <c r="T877" s="37">
        <f>IF(B877="","",IF(K877="",1,K877))</f>
        <v>0</v>
      </c>
      <c r="U877" s="15">
        <f>IF(B877="","",IF(J877&lt;&gt;"",J877,IF(H877="Retail",IFERROR(INDEX(Inventory!$B$5:$B$304,MATCH(I877,Inventory!$A$5:$A$304,0))&amp;"","Not in Inventory"),IFERROR(INDEX(Services!$B$5:$B$204,MATCH(I877,Services!$A$5:$A$204,0))&amp;"","Not in Services"))))</f>
        <v>0</v>
      </c>
      <c r="V877" s="26">
        <f>IF(B877="","",IF(L877&lt;&gt;"",L877,IF(H877="Retail",IFERROR(INDEX(Inventory!$I$5:$I$304,MATCH(I877,Inventory!$A$5:$A$304,0))*1,0),IFERROR(INDEX(Services!$G$5:$G$204,MATCH(I877,Services!$A$5:$A$204,0))*1,0))))</f>
        <v>0</v>
      </c>
      <c r="W877" s="26">
        <f>IF(B877="","",ROUND(T877*V877,2))</f>
        <v>0</v>
      </c>
      <c r="X877" s="26">
        <f>IF(B877="","",ROUND(IF(M877="",0,W877*M877)+IF(N877="",0,N877),2))</f>
        <v>0</v>
      </c>
      <c r="Y877" s="26">
        <f>IF(B877="","",ROUND(W877-X877-IF(P877="",0,P877),2))</f>
        <v>0</v>
      </c>
      <c r="Z877" s="26">
        <f>IF(B877="","",IF(H877="Retail",IF(TaxOnRetail="Yes",ROUND(Y877*TaxRate,2),0),IF(H877="Service",IF(TaxOnServices="Yes",ROUND(Y877*TaxRate,2),0),0)))</f>
        <v>0</v>
      </c>
      <c r="AA877" s="26">
        <f>IF(B877="","",ROUND(Y877+Z877,2))</f>
        <v>0</v>
      </c>
      <c r="AB877" s="26">
        <f>IF(B877="","",ROUND(T877*IF(H877="Retail",IFERROR(INDEX(Inventory!$H$5:$H$304,MATCH(I877,Inventory!$A$5:$A$304,0))*1,0),IFERROR(INDEX(Services!$Q$5:$Q$204,MATCH(I877,Services!$A$5:$A$204,0))*1,0)),2))</f>
        <v>0</v>
      </c>
      <c r="AC877" s="26">
        <f>IF(B877="","",ROUND(Y877-AB877,2))</f>
        <v>0</v>
      </c>
      <c r="AD877" s="38">
        <f>IF(B877="","",IF(C877="","No",IF(COUNTIFS($C$5:C877,C877)=1,"Yes","No")))</f>
        <v>0</v>
      </c>
      <c r="AE877" s="26">
        <f>IF(B877="","",ROUND(SUMIFS(Payments!$G$5:$G$1204,Payments!$H$5:$H$1204,A877,Payments!$Q$5:$Q$1204,"Yes"),2))</f>
        <v>0</v>
      </c>
      <c r="AF877" s="26">
        <f>IF(B877="","",IF(AD877="No",0,ROUND(SUMIFS(Payments!$G$5:$G$1204,Payments!$I$5:$I$1204,C877,Payments!$H$5:$H$1204,"",Payments!$Q$5:$Q$1204,"Yes"),2)))</f>
        <v>0</v>
      </c>
      <c r="AG877" s="26">
        <f>IF(B877="","",ROUND(AE877+AF877,2))</f>
        <v>0</v>
      </c>
      <c r="AH877" s="26">
        <f>IF(B877="","",ROUND(AA877-AG877,2))</f>
        <v>0</v>
      </c>
      <c r="AI877" s="39">
        <f>IF(B877="","",IF(AA877&lt;=0,"No charge",IF(AH877&lt;=0.004,"Paid",IF(AG877&lt;=0.004,"Unpaid","Part paid"))))</f>
        <v>0</v>
      </c>
      <c r="AJ877" s="38">
        <f>IF(B877="","",IF(H877&lt;&gt;"Service","",IF(D877="","No",IF(COUNTIFS($D$5:$D$1204,D877,$B$5:$B$1204,B877,$H$5:$H$1204,"Retail")&gt;0,"Yes","No"))))</f>
        <v>0</v>
      </c>
      <c r="AK877" s="25">
        <f>IF(B877="","",COUNTIFS($Y$5:$Y$1204,"&gt;"&amp;Y877)+COUNTIFS($Y$5:Y877,Y877))</f>
        <v>0</v>
      </c>
      <c r="AL877" s="39">
        <f>IF(B877="","",IF(H877="","Add - what kind of sale is this?",IF(IF(V877&lt;=0,P877="",FALSE),"Check - no price found for this item",IF(F877="","Assign - nobody credited",IF(AH877&gt;0.004,"Unpaid - balance outstanding",IF(AC877&lt;0,"Loss - sold below cost",IF(X877&gt;W877*0.5,"Check - more than half off","OK")))))))</f>
        <v>0</v>
      </c>
    </row>
    <row r="878" spans="1:38">
      <c r="A878" s="28">
        <f>IF(B878="","",SalePrefix&amp;TEXT(ROW()-4,"0000"))</f>
        <v>0</v>
      </c>
      <c r="E878" s="15">
        <f>IF(D878="","",IFERROR(INDEX(Clients!$B$5:$B$504,MATCH(D878,Clients!$A$5:$A$504,0)),"Walk-in"))</f>
        <v>0</v>
      </c>
      <c r="G878" s="15">
        <f>IF(F878="","",IFERROR(INDEX(Staff!$B$5:$B$44,MATCH(F878,Staff!$A$5:$A$44,0)),"House"))</f>
        <v>0</v>
      </c>
      <c r="R878" s="15">
        <f>IF(B878="","",TEXT(B878,"yyyy-mm"))</f>
        <v>0</v>
      </c>
      <c r="S878" s="25">
        <f>IF(B878="","",WEEKNUM(B878,2))</f>
        <v>0</v>
      </c>
      <c r="T878" s="37">
        <f>IF(B878="","",IF(K878="",1,K878))</f>
        <v>0</v>
      </c>
      <c r="U878" s="15">
        <f>IF(B878="","",IF(J878&lt;&gt;"",J878,IF(H878="Retail",IFERROR(INDEX(Inventory!$B$5:$B$304,MATCH(I878,Inventory!$A$5:$A$304,0))&amp;"","Not in Inventory"),IFERROR(INDEX(Services!$B$5:$B$204,MATCH(I878,Services!$A$5:$A$204,0))&amp;"","Not in Services"))))</f>
        <v>0</v>
      </c>
      <c r="V878" s="26">
        <f>IF(B878="","",IF(L878&lt;&gt;"",L878,IF(H878="Retail",IFERROR(INDEX(Inventory!$I$5:$I$304,MATCH(I878,Inventory!$A$5:$A$304,0))*1,0),IFERROR(INDEX(Services!$G$5:$G$204,MATCH(I878,Services!$A$5:$A$204,0))*1,0))))</f>
        <v>0</v>
      </c>
      <c r="W878" s="26">
        <f>IF(B878="","",ROUND(T878*V878,2))</f>
        <v>0</v>
      </c>
      <c r="X878" s="26">
        <f>IF(B878="","",ROUND(IF(M878="",0,W878*M878)+IF(N878="",0,N878),2))</f>
        <v>0</v>
      </c>
      <c r="Y878" s="26">
        <f>IF(B878="","",ROUND(W878-X878-IF(P878="",0,P878),2))</f>
        <v>0</v>
      </c>
      <c r="Z878" s="26">
        <f>IF(B878="","",IF(H878="Retail",IF(TaxOnRetail="Yes",ROUND(Y878*TaxRate,2),0),IF(H878="Service",IF(TaxOnServices="Yes",ROUND(Y878*TaxRate,2),0),0)))</f>
        <v>0</v>
      </c>
      <c r="AA878" s="26">
        <f>IF(B878="","",ROUND(Y878+Z878,2))</f>
        <v>0</v>
      </c>
      <c r="AB878" s="26">
        <f>IF(B878="","",ROUND(T878*IF(H878="Retail",IFERROR(INDEX(Inventory!$H$5:$H$304,MATCH(I878,Inventory!$A$5:$A$304,0))*1,0),IFERROR(INDEX(Services!$Q$5:$Q$204,MATCH(I878,Services!$A$5:$A$204,0))*1,0)),2))</f>
        <v>0</v>
      </c>
      <c r="AC878" s="26">
        <f>IF(B878="","",ROUND(Y878-AB878,2))</f>
        <v>0</v>
      </c>
      <c r="AD878" s="38">
        <f>IF(B878="","",IF(C878="","No",IF(COUNTIFS($C$5:C878,C878)=1,"Yes","No")))</f>
        <v>0</v>
      </c>
      <c r="AE878" s="26">
        <f>IF(B878="","",ROUND(SUMIFS(Payments!$G$5:$G$1204,Payments!$H$5:$H$1204,A878,Payments!$Q$5:$Q$1204,"Yes"),2))</f>
        <v>0</v>
      </c>
      <c r="AF878" s="26">
        <f>IF(B878="","",IF(AD878="No",0,ROUND(SUMIFS(Payments!$G$5:$G$1204,Payments!$I$5:$I$1204,C878,Payments!$H$5:$H$1204,"",Payments!$Q$5:$Q$1204,"Yes"),2)))</f>
        <v>0</v>
      </c>
      <c r="AG878" s="26">
        <f>IF(B878="","",ROUND(AE878+AF878,2))</f>
        <v>0</v>
      </c>
      <c r="AH878" s="26">
        <f>IF(B878="","",ROUND(AA878-AG878,2))</f>
        <v>0</v>
      </c>
      <c r="AI878" s="39">
        <f>IF(B878="","",IF(AA878&lt;=0,"No charge",IF(AH878&lt;=0.004,"Paid",IF(AG878&lt;=0.004,"Unpaid","Part paid"))))</f>
        <v>0</v>
      </c>
      <c r="AJ878" s="38">
        <f>IF(B878="","",IF(H878&lt;&gt;"Service","",IF(D878="","No",IF(COUNTIFS($D$5:$D$1204,D878,$B$5:$B$1204,B878,$H$5:$H$1204,"Retail")&gt;0,"Yes","No"))))</f>
        <v>0</v>
      </c>
      <c r="AK878" s="25">
        <f>IF(B878="","",COUNTIFS($Y$5:$Y$1204,"&gt;"&amp;Y878)+COUNTIFS($Y$5:Y878,Y878))</f>
        <v>0</v>
      </c>
      <c r="AL878" s="39">
        <f>IF(B878="","",IF(H878="","Add - what kind of sale is this?",IF(IF(V878&lt;=0,P878="",FALSE),"Check - no price found for this item",IF(F878="","Assign - nobody credited",IF(AH878&gt;0.004,"Unpaid - balance outstanding",IF(AC878&lt;0,"Loss - sold below cost",IF(X878&gt;W878*0.5,"Check - more than half off","OK")))))))</f>
        <v>0</v>
      </c>
    </row>
    <row r="879" spans="1:38">
      <c r="A879" s="28">
        <f>IF(B879="","",SalePrefix&amp;TEXT(ROW()-4,"0000"))</f>
        <v>0</v>
      </c>
      <c r="E879" s="15">
        <f>IF(D879="","",IFERROR(INDEX(Clients!$B$5:$B$504,MATCH(D879,Clients!$A$5:$A$504,0)),"Walk-in"))</f>
        <v>0</v>
      </c>
      <c r="G879" s="15">
        <f>IF(F879="","",IFERROR(INDEX(Staff!$B$5:$B$44,MATCH(F879,Staff!$A$5:$A$44,0)),"House"))</f>
        <v>0</v>
      </c>
      <c r="R879" s="15">
        <f>IF(B879="","",TEXT(B879,"yyyy-mm"))</f>
        <v>0</v>
      </c>
      <c r="S879" s="25">
        <f>IF(B879="","",WEEKNUM(B879,2))</f>
        <v>0</v>
      </c>
      <c r="T879" s="37">
        <f>IF(B879="","",IF(K879="",1,K879))</f>
        <v>0</v>
      </c>
      <c r="U879" s="15">
        <f>IF(B879="","",IF(J879&lt;&gt;"",J879,IF(H879="Retail",IFERROR(INDEX(Inventory!$B$5:$B$304,MATCH(I879,Inventory!$A$5:$A$304,0))&amp;"","Not in Inventory"),IFERROR(INDEX(Services!$B$5:$B$204,MATCH(I879,Services!$A$5:$A$204,0))&amp;"","Not in Services"))))</f>
        <v>0</v>
      </c>
      <c r="V879" s="26">
        <f>IF(B879="","",IF(L879&lt;&gt;"",L879,IF(H879="Retail",IFERROR(INDEX(Inventory!$I$5:$I$304,MATCH(I879,Inventory!$A$5:$A$304,0))*1,0),IFERROR(INDEX(Services!$G$5:$G$204,MATCH(I879,Services!$A$5:$A$204,0))*1,0))))</f>
        <v>0</v>
      </c>
      <c r="W879" s="26">
        <f>IF(B879="","",ROUND(T879*V879,2))</f>
        <v>0</v>
      </c>
      <c r="X879" s="26">
        <f>IF(B879="","",ROUND(IF(M879="",0,W879*M879)+IF(N879="",0,N879),2))</f>
        <v>0</v>
      </c>
      <c r="Y879" s="26">
        <f>IF(B879="","",ROUND(W879-X879-IF(P879="",0,P879),2))</f>
        <v>0</v>
      </c>
      <c r="Z879" s="26">
        <f>IF(B879="","",IF(H879="Retail",IF(TaxOnRetail="Yes",ROUND(Y879*TaxRate,2),0),IF(H879="Service",IF(TaxOnServices="Yes",ROUND(Y879*TaxRate,2),0),0)))</f>
        <v>0</v>
      </c>
      <c r="AA879" s="26">
        <f>IF(B879="","",ROUND(Y879+Z879,2))</f>
        <v>0</v>
      </c>
      <c r="AB879" s="26">
        <f>IF(B879="","",ROUND(T879*IF(H879="Retail",IFERROR(INDEX(Inventory!$H$5:$H$304,MATCH(I879,Inventory!$A$5:$A$304,0))*1,0),IFERROR(INDEX(Services!$Q$5:$Q$204,MATCH(I879,Services!$A$5:$A$204,0))*1,0)),2))</f>
        <v>0</v>
      </c>
      <c r="AC879" s="26">
        <f>IF(B879="","",ROUND(Y879-AB879,2))</f>
        <v>0</v>
      </c>
      <c r="AD879" s="38">
        <f>IF(B879="","",IF(C879="","No",IF(COUNTIFS($C$5:C879,C879)=1,"Yes","No")))</f>
        <v>0</v>
      </c>
      <c r="AE879" s="26">
        <f>IF(B879="","",ROUND(SUMIFS(Payments!$G$5:$G$1204,Payments!$H$5:$H$1204,A879,Payments!$Q$5:$Q$1204,"Yes"),2))</f>
        <v>0</v>
      </c>
      <c r="AF879" s="26">
        <f>IF(B879="","",IF(AD879="No",0,ROUND(SUMIFS(Payments!$G$5:$G$1204,Payments!$I$5:$I$1204,C879,Payments!$H$5:$H$1204,"",Payments!$Q$5:$Q$1204,"Yes"),2)))</f>
        <v>0</v>
      </c>
      <c r="AG879" s="26">
        <f>IF(B879="","",ROUND(AE879+AF879,2))</f>
        <v>0</v>
      </c>
      <c r="AH879" s="26">
        <f>IF(B879="","",ROUND(AA879-AG879,2))</f>
        <v>0</v>
      </c>
      <c r="AI879" s="39">
        <f>IF(B879="","",IF(AA879&lt;=0,"No charge",IF(AH879&lt;=0.004,"Paid",IF(AG879&lt;=0.004,"Unpaid","Part paid"))))</f>
        <v>0</v>
      </c>
      <c r="AJ879" s="38">
        <f>IF(B879="","",IF(H879&lt;&gt;"Service","",IF(D879="","No",IF(COUNTIFS($D$5:$D$1204,D879,$B$5:$B$1204,B879,$H$5:$H$1204,"Retail")&gt;0,"Yes","No"))))</f>
        <v>0</v>
      </c>
      <c r="AK879" s="25">
        <f>IF(B879="","",COUNTIFS($Y$5:$Y$1204,"&gt;"&amp;Y879)+COUNTIFS($Y$5:Y879,Y879))</f>
        <v>0</v>
      </c>
      <c r="AL879" s="39">
        <f>IF(B879="","",IF(H879="","Add - what kind of sale is this?",IF(IF(V879&lt;=0,P879="",FALSE),"Check - no price found for this item",IF(F879="","Assign - nobody credited",IF(AH879&gt;0.004,"Unpaid - balance outstanding",IF(AC879&lt;0,"Loss - sold below cost",IF(X879&gt;W879*0.5,"Check - more than half off","OK")))))))</f>
        <v>0</v>
      </c>
    </row>
    <row r="880" spans="1:38">
      <c r="A880" s="28">
        <f>IF(B880="","",SalePrefix&amp;TEXT(ROW()-4,"0000"))</f>
        <v>0</v>
      </c>
      <c r="E880" s="15">
        <f>IF(D880="","",IFERROR(INDEX(Clients!$B$5:$B$504,MATCH(D880,Clients!$A$5:$A$504,0)),"Walk-in"))</f>
        <v>0</v>
      </c>
      <c r="G880" s="15">
        <f>IF(F880="","",IFERROR(INDEX(Staff!$B$5:$B$44,MATCH(F880,Staff!$A$5:$A$44,0)),"House"))</f>
        <v>0</v>
      </c>
      <c r="R880" s="15">
        <f>IF(B880="","",TEXT(B880,"yyyy-mm"))</f>
        <v>0</v>
      </c>
      <c r="S880" s="25">
        <f>IF(B880="","",WEEKNUM(B880,2))</f>
        <v>0</v>
      </c>
      <c r="T880" s="37">
        <f>IF(B880="","",IF(K880="",1,K880))</f>
        <v>0</v>
      </c>
      <c r="U880" s="15">
        <f>IF(B880="","",IF(J880&lt;&gt;"",J880,IF(H880="Retail",IFERROR(INDEX(Inventory!$B$5:$B$304,MATCH(I880,Inventory!$A$5:$A$304,0))&amp;"","Not in Inventory"),IFERROR(INDEX(Services!$B$5:$B$204,MATCH(I880,Services!$A$5:$A$204,0))&amp;"","Not in Services"))))</f>
        <v>0</v>
      </c>
      <c r="V880" s="26">
        <f>IF(B880="","",IF(L880&lt;&gt;"",L880,IF(H880="Retail",IFERROR(INDEX(Inventory!$I$5:$I$304,MATCH(I880,Inventory!$A$5:$A$304,0))*1,0),IFERROR(INDEX(Services!$G$5:$G$204,MATCH(I880,Services!$A$5:$A$204,0))*1,0))))</f>
        <v>0</v>
      </c>
      <c r="W880" s="26">
        <f>IF(B880="","",ROUND(T880*V880,2))</f>
        <v>0</v>
      </c>
      <c r="X880" s="26">
        <f>IF(B880="","",ROUND(IF(M880="",0,W880*M880)+IF(N880="",0,N880),2))</f>
        <v>0</v>
      </c>
      <c r="Y880" s="26">
        <f>IF(B880="","",ROUND(W880-X880-IF(P880="",0,P880),2))</f>
        <v>0</v>
      </c>
      <c r="Z880" s="26">
        <f>IF(B880="","",IF(H880="Retail",IF(TaxOnRetail="Yes",ROUND(Y880*TaxRate,2),0),IF(H880="Service",IF(TaxOnServices="Yes",ROUND(Y880*TaxRate,2),0),0)))</f>
        <v>0</v>
      </c>
      <c r="AA880" s="26">
        <f>IF(B880="","",ROUND(Y880+Z880,2))</f>
        <v>0</v>
      </c>
      <c r="AB880" s="26">
        <f>IF(B880="","",ROUND(T880*IF(H880="Retail",IFERROR(INDEX(Inventory!$H$5:$H$304,MATCH(I880,Inventory!$A$5:$A$304,0))*1,0),IFERROR(INDEX(Services!$Q$5:$Q$204,MATCH(I880,Services!$A$5:$A$204,0))*1,0)),2))</f>
        <v>0</v>
      </c>
      <c r="AC880" s="26">
        <f>IF(B880="","",ROUND(Y880-AB880,2))</f>
        <v>0</v>
      </c>
      <c r="AD880" s="38">
        <f>IF(B880="","",IF(C880="","No",IF(COUNTIFS($C$5:C880,C880)=1,"Yes","No")))</f>
        <v>0</v>
      </c>
      <c r="AE880" s="26">
        <f>IF(B880="","",ROUND(SUMIFS(Payments!$G$5:$G$1204,Payments!$H$5:$H$1204,A880,Payments!$Q$5:$Q$1204,"Yes"),2))</f>
        <v>0</v>
      </c>
      <c r="AF880" s="26">
        <f>IF(B880="","",IF(AD880="No",0,ROUND(SUMIFS(Payments!$G$5:$G$1204,Payments!$I$5:$I$1204,C880,Payments!$H$5:$H$1204,"",Payments!$Q$5:$Q$1204,"Yes"),2)))</f>
        <v>0</v>
      </c>
      <c r="AG880" s="26">
        <f>IF(B880="","",ROUND(AE880+AF880,2))</f>
        <v>0</v>
      </c>
      <c r="AH880" s="26">
        <f>IF(B880="","",ROUND(AA880-AG880,2))</f>
        <v>0</v>
      </c>
      <c r="AI880" s="39">
        <f>IF(B880="","",IF(AA880&lt;=0,"No charge",IF(AH880&lt;=0.004,"Paid",IF(AG880&lt;=0.004,"Unpaid","Part paid"))))</f>
        <v>0</v>
      </c>
      <c r="AJ880" s="38">
        <f>IF(B880="","",IF(H880&lt;&gt;"Service","",IF(D880="","No",IF(COUNTIFS($D$5:$D$1204,D880,$B$5:$B$1204,B880,$H$5:$H$1204,"Retail")&gt;0,"Yes","No"))))</f>
        <v>0</v>
      </c>
      <c r="AK880" s="25">
        <f>IF(B880="","",COUNTIFS($Y$5:$Y$1204,"&gt;"&amp;Y880)+COUNTIFS($Y$5:Y880,Y880))</f>
        <v>0</v>
      </c>
      <c r="AL880" s="39">
        <f>IF(B880="","",IF(H880="","Add - what kind of sale is this?",IF(IF(V880&lt;=0,P880="",FALSE),"Check - no price found for this item",IF(F880="","Assign - nobody credited",IF(AH880&gt;0.004,"Unpaid - balance outstanding",IF(AC880&lt;0,"Loss - sold below cost",IF(X880&gt;W880*0.5,"Check - more than half off","OK")))))))</f>
        <v>0</v>
      </c>
    </row>
    <row r="881" spans="1:38">
      <c r="A881" s="28">
        <f>IF(B881="","",SalePrefix&amp;TEXT(ROW()-4,"0000"))</f>
        <v>0</v>
      </c>
      <c r="E881" s="15">
        <f>IF(D881="","",IFERROR(INDEX(Clients!$B$5:$B$504,MATCH(D881,Clients!$A$5:$A$504,0)),"Walk-in"))</f>
        <v>0</v>
      </c>
      <c r="G881" s="15">
        <f>IF(F881="","",IFERROR(INDEX(Staff!$B$5:$B$44,MATCH(F881,Staff!$A$5:$A$44,0)),"House"))</f>
        <v>0</v>
      </c>
      <c r="R881" s="15">
        <f>IF(B881="","",TEXT(B881,"yyyy-mm"))</f>
        <v>0</v>
      </c>
      <c r="S881" s="25">
        <f>IF(B881="","",WEEKNUM(B881,2))</f>
        <v>0</v>
      </c>
      <c r="T881" s="37">
        <f>IF(B881="","",IF(K881="",1,K881))</f>
        <v>0</v>
      </c>
      <c r="U881" s="15">
        <f>IF(B881="","",IF(J881&lt;&gt;"",J881,IF(H881="Retail",IFERROR(INDEX(Inventory!$B$5:$B$304,MATCH(I881,Inventory!$A$5:$A$304,0))&amp;"","Not in Inventory"),IFERROR(INDEX(Services!$B$5:$B$204,MATCH(I881,Services!$A$5:$A$204,0))&amp;"","Not in Services"))))</f>
        <v>0</v>
      </c>
      <c r="V881" s="26">
        <f>IF(B881="","",IF(L881&lt;&gt;"",L881,IF(H881="Retail",IFERROR(INDEX(Inventory!$I$5:$I$304,MATCH(I881,Inventory!$A$5:$A$304,0))*1,0),IFERROR(INDEX(Services!$G$5:$G$204,MATCH(I881,Services!$A$5:$A$204,0))*1,0))))</f>
        <v>0</v>
      </c>
      <c r="W881" s="26">
        <f>IF(B881="","",ROUND(T881*V881,2))</f>
        <v>0</v>
      </c>
      <c r="X881" s="26">
        <f>IF(B881="","",ROUND(IF(M881="",0,W881*M881)+IF(N881="",0,N881),2))</f>
        <v>0</v>
      </c>
      <c r="Y881" s="26">
        <f>IF(B881="","",ROUND(W881-X881-IF(P881="",0,P881),2))</f>
        <v>0</v>
      </c>
      <c r="Z881" s="26">
        <f>IF(B881="","",IF(H881="Retail",IF(TaxOnRetail="Yes",ROUND(Y881*TaxRate,2),0),IF(H881="Service",IF(TaxOnServices="Yes",ROUND(Y881*TaxRate,2),0),0)))</f>
        <v>0</v>
      </c>
      <c r="AA881" s="26">
        <f>IF(B881="","",ROUND(Y881+Z881,2))</f>
        <v>0</v>
      </c>
      <c r="AB881" s="26">
        <f>IF(B881="","",ROUND(T881*IF(H881="Retail",IFERROR(INDEX(Inventory!$H$5:$H$304,MATCH(I881,Inventory!$A$5:$A$304,0))*1,0),IFERROR(INDEX(Services!$Q$5:$Q$204,MATCH(I881,Services!$A$5:$A$204,0))*1,0)),2))</f>
        <v>0</v>
      </c>
      <c r="AC881" s="26">
        <f>IF(B881="","",ROUND(Y881-AB881,2))</f>
        <v>0</v>
      </c>
      <c r="AD881" s="38">
        <f>IF(B881="","",IF(C881="","No",IF(COUNTIFS($C$5:C881,C881)=1,"Yes","No")))</f>
        <v>0</v>
      </c>
      <c r="AE881" s="26">
        <f>IF(B881="","",ROUND(SUMIFS(Payments!$G$5:$G$1204,Payments!$H$5:$H$1204,A881,Payments!$Q$5:$Q$1204,"Yes"),2))</f>
        <v>0</v>
      </c>
      <c r="AF881" s="26">
        <f>IF(B881="","",IF(AD881="No",0,ROUND(SUMIFS(Payments!$G$5:$G$1204,Payments!$I$5:$I$1204,C881,Payments!$H$5:$H$1204,"",Payments!$Q$5:$Q$1204,"Yes"),2)))</f>
        <v>0</v>
      </c>
      <c r="AG881" s="26">
        <f>IF(B881="","",ROUND(AE881+AF881,2))</f>
        <v>0</v>
      </c>
      <c r="AH881" s="26">
        <f>IF(B881="","",ROUND(AA881-AG881,2))</f>
        <v>0</v>
      </c>
      <c r="AI881" s="39">
        <f>IF(B881="","",IF(AA881&lt;=0,"No charge",IF(AH881&lt;=0.004,"Paid",IF(AG881&lt;=0.004,"Unpaid","Part paid"))))</f>
        <v>0</v>
      </c>
      <c r="AJ881" s="38">
        <f>IF(B881="","",IF(H881&lt;&gt;"Service","",IF(D881="","No",IF(COUNTIFS($D$5:$D$1204,D881,$B$5:$B$1204,B881,$H$5:$H$1204,"Retail")&gt;0,"Yes","No"))))</f>
        <v>0</v>
      </c>
      <c r="AK881" s="25">
        <f>IF(B881="","",COUNTIFS($Y$5:$Y$1204,"&gt;"&amp;Y881)+COUNTIFS($Y$5:Y881,Y881))</f>
        <v>0</v>
      </c>
      <c r="AL881" s="39">
        <f>IF(B881="","",IF(H881="","Add - what kind of sale is this?",IF(IF(V881&lt;=0,P881="",FALSE),"Check - no price found for this item",IF(F881="","Assign - nobody credited",IF(AH881&gt;0.004,"Unpaid - balance outstanding",IF(AC881&lt;0,"Loss - sold below cost",IF(X881&gt;W881*0.5,"Check - more than half off","OK")))))))</f>
        <v>0</v>
      </c>
    </row>
    <row r="882" spans="1:38">
      <c r="A882" s="28">
        <f>IF(B882="","",SalePrefix&amp;TEXT(ROW()-4,"0000"))</f>
        <v>0</v>
      </c>
      <c r="E882" s="15">
        <f>IF(D882="","",IFERROR(INDEX(Clients!$B$5:$B$504,MATCH(D882,Clients!$A$5:$A$504,0)),"Walk-in"))</f>
        <v>0</v>
      </c>
      <c r="G882" s="15">
        <f>IF(F882="","",IFERROR(INDEX(Staff!$B$5:$B$44,MATCH(F882,Staff!$A$5:$A$44,0)),"House"))</f>
        <v>0</v>
      </c>
      <c r="R882" s="15">
        <f>IF(B882="","",TEXT(B882,"yyyy-mm"))</f>
        <v>0</v>
      </c>
      <c r="S882" s="25">
        <f>IF(B882="","",WEEKNUM(B882,2))</f>
        <v>0</v>
      </c>
      <c r="T882" s="37">
        <f>IF(B882="","",IF(K882="",1,K882))</f>
        <v>0</v>
      </c>
      <c r="U882" s="15">
        <f>IF(B882="","",IF(J882&lt;&gt;"",J882,IF(H882="Retail",IFERROR(INDEX(Inventory!$B$5:$B$304,MATCH(I882,Inventory!$A$5:$A$304,0))&amp;"","Not in Inventory"),IFERROR(INDEX(Services!$B$5:$B$204,MATCH(I882,Services!$A$5:$A$204,0))&amp;"","Not in Services"))))</f>
        <v>0</v>
      </c>
      <c r="V882" s="26">
        <f>IF(B882="","",IF(L882&lt;&gt;"",L882,IF(H882="Retail",IFERROR(INDEX(Inventory!$I$5:$I$304,MATCH(I882,Inventory!$A$5:$A$304,0))*1,0),IFERROR(INDEX(Services!$G$5:$G$204,MATCH(I882,Services!$A$5:$A$204,0))*1,0))))</f>
        <v>0</v>
      </c>
      <c r="W882" s="26">
        <f>IF(B882="","",ROUND(T882*V882,2))</f>
        <v>0</v>
      </c>
      <c r="X882" s="26">
        <f>IF(B882="","",ROUND(IF(M882="",0,W882*M882)+IF(N882="",0,N882),2))</f>
        <v>0</v>
      </c>
      <c r="Y882" s="26">
        <f>IF(B882="","",ROUND(W882-X882-IF(P882="",0,P882),2))</f>
        <v>0</v>
      </c>
      <c r="Z882" s="26">
        <f>IF(B882="","",IF(H882="Retail",IF(TaxOnRetail="Yes",ROUND(Y882*TaxRate,2),0),IF(H882="Service",IF(TaxOnServices="Yes",ROUND(Y882*TaxRate,2),0),0)))</f>
        <v>0</v>
      </c>
      <c r="AA882" s="26">
        <f>IF(B882="","",ROUND(Y882+Z882,2))</f>
        <v>0</v>
      </c>
      <c r="AB882" s="26">
        <f>IF(B882="","",ROUND(T882*IF(H882="Retail",IFERROR(INDEX(Inventory!$H$5:$H$304,MATCH(I882,Inventory!$A$5:$A$304,0))*1,0),IFERROR(INDEX(Services!$Q$5:$Q$204,MATCH(I882,Services!$A$5:$A$204,0))*1,0)),2))</f>
        <v>0</v>
      </c>
      <c r="AC882" s="26">
        <f>IF(B882="","",ROUND(Y882-AB882,2))</f>
        <v>0</v>
      </c>
      <c r="AD882" s="38">
        <f>IF(B882="","",IF(C882="","No",IF(COUNTIFS($C$5:C882,C882)=1,"Yes","No")))</f>
        <v>0</v>
      </c>
      <c r="AE882" s="26">
        <f>IF(B882="","",ROUND(SUMIFS(Payments!$G$5:$G$1204,Payments!$H$5:$H$1204,A882,Payments!$Q$5:$Q$1204,"Yes"),2))</f>
        <v>0</v>
      </c>
      <c r="AF882" s="26">
        <f>IF(B882="","",IF(AD882="No",0,ROUND(SUMIFS(Payments!$G$5:$G$1204,Payments!$I$5:$I$1204,C882,Payments!$H$5:$H$1204,"",Payments!$Q$5:$Q$1204,"Yes"),2)))</f>
        <v>0</v>
      </c>
      <c r="AG882" s="26">
        <f>IF(B882="","",ROUND(AE882+AF882,2))</f>
        <v>0</v>
      </c>
      <c r="AH882" s="26">
        <f>IF(B882="","",ROUND(AA882-AG882,2))</f>
        <v>0</v>
      </c>
      <c r="AI882" s="39">
        <f>IF(B882="","",IF(AA882&lt;=0,"No charge",IF(AH882&lt;=0.004,"Paid",IF(AG882&lt;=0.004,"Unpaid","Part paid"))))</f>
        <v>0</v>
      </c>
      <c r="AJ882" s="38">
        <f>IF(B882="","",IF(H882&lt;&gt;"Service","",IF(D882="","No",IF(COUNTIFS($D$5:$D$1204,D882,$B$5:$B$1204,B882,$H$5:$H$1204,"Retail")&gt;0,"Yes","No"))))</f>
        <v>0</v>
      </c>
      <c r="AK882" s="25">
        <f>IF(B882="","",COUNTIFS($Y$5:$Y$1204,"&gt;"&amp;Y882)+COUNTIFS($Y$5:Y882,Y882))</f>
        <v>0</v>
      </c>
      <c r="AL882" s="39">
        <f>IF(B882="","",IF(H882="","Add - what kind of sale is this?",IF(IF(V882&lt;=0,P882="",FALSE),"Check - no price found for this item",IF(F882="","Assign - nobody credited",IF(AH882&gt;0.004,"Unpaid - balance outstanding",IF(AC882&lt;0,"Loss - sold below cost",IF(X882&gt;W882*0.5,"Check - more than half off","OK")))))))</f>
        <v>0</v>
      </c>
    </row>
    <row r="883" spans="1:38">
      <c r="A883" s="28">
        <f>IF(B883="","",SalePrefix&amp;TEXT(ROW()-4,"0000"))</f>
        <v>0</v>
      </c>
      <c r="E883" s="15">
        <f>IF(D883="","",IFERROR(INDEX(Clients!$B$5:$B$504,MATCH(D883,Clients!$A$5:$A$504,0)),"Walk-in"))</f>
        <v>0</v>
      </c>
      <c r="G883" s="15">
        <f>IF(F883="","",IFERROR(INDEX(Staff!$B$5:$B$44,MATCH(F883,Staff!$A$5:$A$44,0)),"House"))</f>
        <v>0</v>
      </c>
      <c r="R883" s="15">
        <f>IF(B883="","",TEXT(B883,"yyyy-mm"))</f>
        <v>0</v>
      </c>
      <c r="S883" s="25">
        <f>IF(B883="","",WEEKNUM(B883,2))</f>
        <v>0</v>
      </c>
      <c r="T883" s="37">
        <f>IF(B883="","",IF(K883="",1,K883))</f>
        <v>0</v>
      </c>
      <c r="U883" s="15">
        <f>IF(B883="","",IF(J883&lt;&gt;"",J883,IF(H883="Retail",IFERROR(INDEX(Inventory!$B$5:$B$304,MATCH(I883,Inventory!$A$5:$A$304,0))&amp;"","Not in Inventory"),IFERROR(INDEX(Services!$B$5:$B$204,MATCH(I883,Services!$A$5:$A$204,0))&amp;"","Not in Services"))))</f>
        <v>0</v>
      </c>
      <c r="V883" s="26">
        <f>IF(B883="","",IF(L883&lt;&gt;"",L883,IF(H883="Retail",IFERROR(INDEX(Inventory!$I$5:$I$304,MATCH(I883,Inventory!$A$5:$A$304,0))*1,0),IFERROR(INDEX(Services!$G$5:$G$204,MATCH(I883,Services!$A$5:$A$204,0))*1,0))))</f>
        <v>0</v>
      </c>
      <c r="W883" s="26">
        <f>IF(B883="","",ROUND(T883*V883,2))</f>
        <v>0</v>
      </c>
      <c r="X883" s="26">
        <f>IF(B883="","",ROUND(IF(M883="",0,W883*M883)+IF(N883="",0,N883),2))</f>
        <v>0</v>
      </c>
      <c r="Y883" s="26">
        <f>IF(B883="","",ROUND(W883-X883-IF(P883="",0,P883),2))</f>
        <v>0</v>
      </c>
      <c r="Z883" s="26">
        <f>IF(B883="","",IF(H883="Retail",IF(TaxOnRetail="Yes",ROUND(Y883*TaxRate,2),0),IF(H883="Service",IF(TaxOnServices="Yes",ROUND(Y883*TaxRate,2),0),0)))</f>
        <v>0</v>
      </c>
      <c r="AA883" s="26">
        <f>IF(B883="","",ROUND(Y883+Z883,2))</f>
        <v>0</v>
      </c>
      <c r="AB883" s="26">
        <f>IF(B883="","",ROUND(T883*IF(H883="Retail",IFERROR(INDEX(Inventory!$H$5:$H$304,MATCH(I883,Inventory!$A$5:$A$304,0))*1,0),IFERROR(INDEX(Services!$Q$5:$Q$204,MATCH(I883,Services!$A$5:$A$204,0))*1,0)),2))</f>
        <v>0</v>
      </c>
      <c r="AC883" s="26">
        <f>IF(B883="","",ROUND(Y883-AB883,2))</f>
        <v>0</v>
      </c>
      <c r="AD883" s="38">
        <f>IF(B883="","",IF(C883="","No",IF(COUNTIFS($C$5:C883,C883)=1,"Yes","No")))</f>
        <v>0</v>
      </c>
      <c r="AE883" s="26">
        <f>IF(B883="","",ROUND(SUMIFS(Payments!$G$5:$G$1204,Payments!$H$5:$H$1204,A883,Payments!$Q$5:$Q$1204,"Yes"),2))</f>
        <v>0</v>
      </c>
      <c r="AF883" s="26">
        <f>IF(B883="","",IF(AD883="No",0,ROUND(SUMIFS(Payments!$G$5:$G$1204,Payments!$I$5:$I$1204,C883,Payments!$H$5:$H$1204,"",Payments!$Q$5:$Q$1204,"Yes"),2)))</f>
        <v>0</v>
      </c>
      <c r="AG883" s="26">
        <f>IF(B883="","",ROUND(AE883+AF883,2))</f>
        <v>0</v>
      </c>
      <c r="AH883" s="26">
        <f>IF(B883="","",ROUND(AA883-AG883,2))</f>
        <v>0</v>
      </c>
      <c r="AI883" s="39">
        <f>IF(B883="","",IF(AA883&lt;=0,"No charge",IF(AH883&lt;=0.004,"Paid",IF(AG883&lt;=0.004,"Unpaid","Part paid"))))</f>
        <v>0</v>
      </c>
      <c r="AJ883" s="38">
        <f>IF(B883="","",IF(H883&lt;&gt;"Service","",IF(D883="","No",IF(COUNTIFS($D$5:$D$1204,D883,$B$5:$B$1204,B883,$H$5:$H$1204,"Retail")&gt;0,"Yes","No"))))</f>
        <v>0</v>
      </c>
      <c r="AK883" s="25">
        <f>IF(B883="","",COUNTIFS($Y$5:$Y$1204,"&gt;"&amp;Y883)+COUNTIFS($Y$5:Y883,Y883))</f>
        <v>0</v>
      </c>
      <c r="AL883" s="39">
        <f>IF(B883="","",IF(H883="","Add - what kind of sale is this?",IF(IF(V883&lt;=0,P883="",FALSE),"Check - no price found for this item",IF(F883="","Assign - nobody credited",IF(AH883&gt;0.004,"Unpaid - balance outstanding",IF(AC883&lt;0,"Loss - sold below cost",IF(X883&gt;W883*0.5,"Check - more than half off","OK")))))))</f>
        <v>0</v>
      </c>
    </row>
    <row r="884" spans="1:38">
      <c r="A884" s="28">
        <f>IF(B884="","",SalePrefix&amp;TEXT(ROW()-4,"0000"))</f>
        <v>0</v>
      </c>
      <c r="E884" s="15">
        <f>IF(D884="","",IFERROR(INDEX(Clients!$B$5:$B$504,MATCH(D884,Clients!$A$5:$A$504,0)),"Walk-in"))</f>
        <v>0</v>
      </c>
      <c r="G884" s="15">
        <f>IF(F884="","",IFERROR(INDEX(Staff!$B$5:$B$44,MATCH(F884,Staff!$A$5:$A$44,0)),"House"))</f>
        <v>0</v>
      </c>
      <c r="R884" s="15">
        <f>IF(B884="","",TEXT(B884,"yyyy-mm"))</f>
        <v>0</v>
      </c>
      <c r="S884" s="25">
        <f>IF(B884="","",WEEKNUM(B884,2))</f>
        <v>0</v>
      </c>
      <c r="T884" s="37">
        <f>IF(B884="","",IF(K884="",1,K884))</f>
        <v>0</v>
      </c>
      <c r="U884" s="15">
        <f>IF(B884="","",IF(J884&lt;&gt;"",J884,IF(H884="Retail",IFERROR(INDEX(Inventory!$B$5:$B$304,MATCH(I884,Inventory!$A$5:$A$304,0))&amp;"","Not in Inventory"),IFERROR(INDEX(Services!$B$5:$B$204,MATCH(I884,Services!$A$5:$A$204,0))&amp;"","Not in Services"))))</f>
        <v>0</v>
      </c>
      <c r="V884" s="26">
        <f>IF(B884="","",IF(L884&lt;&gt;"",L884,IF(H884="Retail",IFERROR(INDEX(Inventory!$I$5:$I$304,MATCH(I884,Inventory!$A$5:$A$304,0))*1,0),IFERROR(INDEX(Services!$G$5:$G$204,MATCH(I884,Services!$A$5:$A$204,0))*1,0))))</f>
        <v>0</v>
      </c>
      <c r="W884" s="26">
        <f>IF(B884="","",ROUND(T884*V884,2))</f>
        <v>0</v>
      </c>
      <c r="X884" s="26">
        <f>IF(B884="","",ROUND(IF(M884="",0,W884*M884)+IF(N884="",0,N884),2))</f>
        <v>0</v>
      </c>
      <c r="Y884" s="26">
        <f>IF(B884="","",ROUND(W884-X884-IF(P884="",0,P884),2))</f>
        <v>0</v>
      </c>
      <c r="Z884" s="26">
        <f>IF(B884="","",IF(H884="Retail",IF(TaxOnRetail="Yes",ROUND(Y884*TaxRate,2),0),IF(H884="Service",IF(TaxOnServices="Yes",ROUND(Y884*TaxRate,2),0),0)))</f>
        <v>0</v>
      </c>
      <c r="AA884" s="26">
        <f>IF(B884="","",ROUND(Y884+Z884,2))</f>
        <v>0</v>
      </c>
      <c r="AB884" s="26">
        <f>IF(B884="","",ROUND(T884*IF(H884="Retail",IFERROR(INDEX(Inventory!$H$5:$H$304,MATCH(I884,Inventory!$A$5:$A$304,0))*1,0),IFERROR(INDEX(Services!$Q$5:$Q$204,MATCH(I884,Services!$A$5:$A$204,0))*1,0)),2))</f>
        <v>0</v>
      </c>
      <c r="AC884" s="26">
        <f>IF(B884="","",ROUND(Y884-AB884,2))</f>
        <v>0</v>
      </c>
      <c r="AD884" s="38">
        <f>IF(B884="","",IF(C884="","No",IF(COUNTIFS($C$5:C884,C884)=1,"Yes","No")))</f>
        <v>0</v>
      </c>
      <c r="AE884" s="26">
        <f>IF(B884="","",ROUND(SUMIFS(Payments!$G$5:$G$1204,Payments!$H$5:$H$1204,A884,Payments!$Q$5:$Q$1204,"Yes"),2))</f>
        <v>0</v>
      </c>
      <c r="AF884" s="26">
        <f>IF(B884="","",IF(AD884="No",0,ROUND(SUMIFS(Payments!$G$5:$G$1204,Payments!$I$5:$I$1204,C884,Payments!$H$5:$H$1204,"",Payments!$Q$5:$Q$1204,"Yes"),2)))</f>
        <v>0</v>
      </c>
      <c r="AG884" s="26">
        <f>IF(B884="","",ROUND(AE884+AF884,2))</f>
        <v>0</v>
      </c>
      <c r="AH884" s="26">
        <f>IF(B884="","",ROUND(AA884-AG884,2))</f>
        <v>0</v>
      </c>
      <c r="AI884" s="39">
        <f>IF(B884="","",IF(AA884&lt;=0,"No charge",IF(AH884&lt;=0.004,"Paid",IF(AG884&lt;=0.004,"Unpaid","Part paid"))))</f>
        <v>0</v>
      </c>
      <c r="AJ884" s="38">
        <f>IF(B884="","",IF(H884&lt;&gt;"Service","",IF(D884="","No",IF(COUNTIFS($D$5:$D$1204,D884,$B$5:$B$1204,B884,$H$5:$H$1204,"Retail")&gt;0,"Yes","No"))))</f>
        <v>0</v>
      </c>
      <c r="AK884" s="25">
        <f>IF(B884="","",COUNTIFS($Y$5:$Y$1204,"&gt;"&amp;Y884)+COUNTIFS($Y$5:Y884,Y884))</f>
        <v>0</v>
      </c>
      <c r="AL884" s="39">
        <f>IF(B884="","",IF(H884="","Add - what kind of sale is this?",IF(IF(V884&lt;=0,P884="",FALSE),"Check - no price found for this item",IF(F884="","Assign - nobody credited",IF(AH884&gt;0.004,"Unpaid - balance outstanding",IF(AC884&lt;0,"Loss - sold below cost",IF(X884&gt;W884*0.5,"Check - more than half off","OK")))))))</f>
        <v>0</v>
      </c>
    </row>
    <row r="885" spans="1:38">
      <c r="A885" s="28">
        <f>IF(B885="","",SalePrefix&amp;TEXT(ROW()-4,"0000"))</f>
        <v>0</v>
      </c>
      <c r="E885" s="15">
        <f>IF(D885="","",IFERROR(INDEX(Clients!$B$5:$B$504,MATCH(D885,Clients!$A$5:$A$504,0)),"Walk-in"))</f>
        <v>0</v>
      </c>
      <c r="G885" s="15">
        <f>IF(F885="","",IFERROR(INDEX(Staff!$B$5:$B$44,MATCH(F885,Staff!$A$5:$A$44,0)),"House"))</f>
        <v>0</v>
      </c>
      <c r="R885" s="15">
        <f>IF(B885="","",TEXT(B885,"yyyy-mm"))</f>
        <v>0</v>
      </c>
      <c r="S885" s="25">
        <f>IF(B885="","",WEEKNUM(B885,2))</f>
        <v>0</v>
      </c>
      <c r="T885" s="37">
        <f>IF(B885="","",IF(K885="",1,K885))</f>
        <v>0</v>
      </c>
      <c r="U885" s="15">
        <f>IF(B885="","",IF(J885&lt;&gt;"",J885,IF(H885="Retail",IFERROR(INDEX(Inventory!$B$5:$B$304,MATCH(I885,Inventory!$A$5:$A$304,0))&amp;"","Not in Inventory"),IFERROR(INDEX(Services!$B$5:$B$204,MATCH(I885,Services!$A$5:$A$204,0))&amp;"","Not in Services"))))</f>
        <v>0</v>
      </c>
      <c r="V885" s="26">
        <f>IF(B885="","",IF(L885&lt;&gt;"",L885,IF(H885="Retail",IFERROR(INDEX(Inventory!$I$5:$I$304,MATCH(I885,Inventory!$A$5:$A$304,0))*1,0),IFERROR(INDEX(Services!$G$5:$G$204,MATCH(I885,Services!$A$5:$A$204,0))*1,0))))</f>
        <v>0</v>
      </c>
      <c r="W885" s="26">
        <f>IF(B885="","",ROUND(T885*V885,2))</f>
        <v>0</v>
      </c>
      <c r="X885" s="26">
        <f>IF(B885="","",ROUND(IF(M885="",0,W885*M885)+IF(N885="",0,N885),2))</f>
        <v>0</v>
      </c>
      <c r="Y885" s="26">
        <f>IF(B885="","",ROUND(W885-X885-IF(P885="",0,P885),2))</f>
        <v>0</v>
      </c>
      <c r="Z885" s="26">
        <f>IF(B885="","",IF(H885="Retail",IF(TaxOnRetail="Yes",ROUND(Y885*TaxRate,2),0),IF(H885="Service",IF(TaxOnServices="Yes",ROUND(Y885*TaxRate,2),0),0)))</f>
        <v>0</v>
      </c>
      <c r="AA885" s="26">
        <f>IF(B885="","",ROUND(Y885+Z885,2))</f>
        <v>0</v>
      </c>
      <c r="AB885" s="26">
        <f>IF(B885="","",ROUND(T885*IF(H885="Retail",IFERROR(INDEX(Inventory!$H$5:$H$304,MATCH(I885,Inventory!$A$5:$A$304,0))*1,0),IFERROR(INDEX(Services!$Q$5:$Q$204,MATCH(I885,Services!$A$5:$A$204,0))*1,0)),2))</f>
        <v>0</v>
      </c>
      <c r="AC885" s="26">
        <f>IF(B885="","",ROUND(Y885-AB885,2))</f>
        <v>0</v>
      </c>
      <c r="AD885" s="38">
        <f>IF(B885="","",IF(C885="","No",IF(COUNTIFS($C$5:C885,C885)=1,"Yes","No")))</f>
        <v>0</v>
      </c>
      <c r="AE885" s="26">
        <f>IF(B885="","",ROUND(SUMIFS(Payments!$G$5:$G$1204,Payments!$H$5:$H$1204,A885,Payments!$Q$5:$Q$1204,"Yes"),2))</f>
        <v>0</v>
      </c>
      <c r="AF885" s="26">
        <f>IF(B885="","",IF(AD885="No",0,ROUND(SUMIFS(Payments!$G$5:$G$1204,Payments!$I$5:$I$1204,C885,Payments!$H$5:$H$1204,"",Payments!$Q$5:$Q$1204,"Yes"),2)))</f>
        <v>0</v>
      </c>
      <c r="AG885" s="26">
        <f>IF(B885="","",ROUND(AE885+AF885,2))</f>
        <v>0</v>
      </c>
      <c r="AH885" s="26">
        <f>IF(B885="","",ROUND(AA885-AG885,2))</f>
        <v>0</v>
      </c>
      <c r="AI885" s="39">
        <f>IF(B885="","",IF(AA885&lt;=0,"No charge",IF(AH885&lt;=0.004,"Paid",IF(AG885&lt;=0.004,"Unpaid","Part paid"))))</f>
        <v>0</v>
      </c>
      <c r="AJ885" s="38">
        <f>IF(B885="","",IF(H885&lt;&gt;"Service","",IF(D885="","No",IF(COUNTIFS($D$5:$D$1204,D885,$B$5:$B$1204,B885,$H$5:$H$1204,"Retail")&gt;0,"Yes","No"))))</f>
        <v>0</v>
      </c>
      <c r="AK885" s="25">
        <f>IF(B885="","",COUNTIFS($Y$5:$Y$1204,"&gt;"&amp;Y885)+COUNTIFS($Y$5:Y885,Y885))</f>
        <v>0</v>
      </c>
      <c r="AL885" s="39">
        <f>IF(B885="","",IF(H885="","Add - what kind of sale is this?",IF(IF(V885&lt;=0,P885="",FALSE),"Check - no price found for this item",IF(F885="","Assign - nobody credited",IF(AH885&gt;0.004,"Unpaid - balance outstanding",IF(AC885&lt;0,"Loss - sold below cost",IF(X885&gt;W885*0.5,"Check - more than half off","OK")))))))</f>
        <v>0</v>
      </c>
    </row>
    <row r="886" spans="1:38">
      <c r="A886" s="28">
        <f>IF(B886="","",SalePrefix&amp;TEXT(ROW()-4,"0000"))</f>
        <v>0</v>
      </c>
      <c r="E886" s="15">
        <f>IF(D886="","",IFERROR(INDEX(Clients!$B$5:$B$504,MATCH(D886,Clients!$A$5:$A$504,0)),"Walk-in"))</f>
        <v>0</v>
      </c>
      <c r="G886" s="15">
        <f>IF(F886="","",IFERROR(INDEX(Staff!$B$5:$B$44,MATCH(F886,Staff!$A$5:$A$44,0)),"House"))</f>
        <v>0</v>
      </c>
      <c r="R886" s="15">
        <f>IF(B886="","",TEXT(B886,"yyyy-mm"))</f>
        <v>0</v>
      </c>
      <c r="S886" s="25">
        <f>IF(B886="","",WEEKNUM(B886,2))</f>
        <v>0</v>
      </c>
      <c r="T886" s="37">
        <f>IF(B886="","",IF(K886="",1,K886))</f>
        <v>0</v>
      </c>
      <c r="U886" s="15">
        <f>IF(B886="","",IF(J886&lt;&gt;"",J886,IF(H886="Retail",IFERROR(INDEX(Inventory!$B$5:$B$304,MATCH(I886,Inventory!$A$5:$A$304,0))&amp;"","Not in Inventory"),IFERROR(INDEX(Services!$B$5:$B$204,MATCH(I886,Services!$A$5:$A$204,0))&amp;"","Not in Services"))))</f>
        <v>0</v>
      </c>
      <c r="V886" s="26">
        <f>IF(B886="","",IF(L886&lt;&gt;"",L886,IF(H886="Retail",IFERROR(INDEX(Inventory!$I$5:$I$304,MATCH(I886,Inventory!$A$5:$A$304,0))*1,0),IFERROR(INDEX(Services!$G$5:$G$204,MATCH(I886,Services!$A$5:$A$204,0))*1,0))))</f>
        <v>0</v>
      </c>
      <c r="W886" s="26">
        <f>IF(B886="","",ROUND(T886*V886,2))</f>
        <v>0</v>
      </c>
      <c r="X886" s="26">
        <f>IF(B886="","",ROUND(IF(M886="",0,W886*M886)+IF(N886="",0,N886),2))</f>
        <v>0</v>
      </c>
      <c r="Y886" s="26">
        <f>IF(B886="","",ROUND(W886-X886-IF(P886="",0,P886),2))</f>
        <v>0</v>
      </c>
      <c r="Z886" s="26">
        <f>IF(B886="","",IF(H886="Retail",IF(TaxOnRetail="Yes",ROUND(Y886*TaxRate,2),0),IF(H886="Service",IF(TaxOnServices="Yes",ROUND(Y886*TaxRate,2),0),0)))</f>
        <v>0</v>
      </c>
      <c r="AA886" s="26">
        <f>IF(B886="","",ROUND(Y886+Z886,2))</f>
        <v>0</v>
      </c>
      <c r="AB886" s="26">
        <f>IF(B886="","",ROUND(T886*IF(H886="Retail",IFERROR(INDEX(Inventory!$H$5:$H$304,MATCH(I886,Inventory!$A$5:$A$304,0))*1,0),IFERROR(INDEX(Services!$Q$5:$Q$204,MATCH(I886,Services!$A$5:$A$204,0))*1,0)),2))</f>
        <v>0</v>
      </c>
      <c r="AC886" s="26">
        <f>IF(B886="","",ROUND(Y886-AB886,2))</f>
        <v>0</v>
      </c>
      <c r="AD886" s="38">
        <f>IF(B886="","",IF(C886="","No",IF(COUNTIFS($C$5:C886,C886)=1,"Yes","No")))</f>
        <v>0</v>
      </c>
      <c r="AE886" s="26">
        <f>IF(B886="","",ROUND(SUMIFS(Payments!$G$5:$G$1204,Payments!$H$5:$H$1204,A886,Payments!$Q$5:$Q$1204,"Yes"),2))</f>
        <v>0</v>
      </c>
      <c r="AF886" s="26">
        <f>IF(B886="","",IF(AD886="No",0,ROUND(SUMIFS(Payments!$G$5:$G$1204,Payments!$I$5:$I$1204,C886,Payments!$H$5:$H$1204,"",Payments!$Q$5:$Q$1204,"Yes"),2)))</f>
        <v>0</v>
      </c>
      <c r="AG886" s="26">
        <f>IF(B886="","",ROUND(AE886+AF886,2))</f>
        <v>0</v>
      </c>
      <c r="AH886" s="26">
        <f>IF(B886="","",ROUND(AA886-AG886,2))</f>
        <v>0</v>
      </c>
      <c r="AI886" s="39">
        <f>IF(B886="","",IF(AA886&lt;=0,"No charge",IF(AH886&lt;=0.004,"Paid",IF(AG886&lt;=0.004,"Unpaid","Part paid"))))</f>
        <v>0</v>
      </c>
      <c r="AJ886" s="38">
        <f>IF(B886="","",IF(H886&lt;&gt;"Service","",IF(D886="","No",IF(COUNTIFS($D$5:$D$1204,D886,$B$5:$B$1204,B886,$H$5:$H$1204,"Retail")&gt;0,"Yes","No"))))</f>
        <v>0</v>
      </c>
      <c r="AK886" s="25">
        <f>IF(B886="","",COUNTIFS($Y$5:$Y$1204,"&gt;"&amp;Y886)+COUNTIFS($Y$5:Y886,Y886))</f>
        <v>0</v>
      </c>
      <c r="AL886" s="39">
        <f>IF(B886="","",IF(H886="","Add - what kind of sale is this?",IF(IF(V886&lt;=0,P886="",FALSE),"Check - no price found for this item",IF(F886="","Assign - nobody credited",IF(AH886&gt;0.004,"Unpaid - balance outstanding",IF(AC886&lt;0,"Loss - sold below cost",IF(X886&gt;W886*0.5,"Check - more than half off","OK")))))))</f>
        <v>0</v>
      </c>
    </row>
    <row r="887" spans="1:38">
      <c r="A887" s="28">
        <f>IF(B887="","",SalePrefix&amp;TEXT(ROW()-4,"0000"))</f>
        <v>0</v>
      </c>
      <c r="E887" s="15">
        <f>IF(D887="","",IFERROR(INDEX(Clients!$B$5:$B$504,MATCH(D887,Clients!$A$5:$A$504,0)),"Walk-in"))</f>
        <v>0</v>
      </c>
      <c r="G887" s="15">
        <f>IF(F887="","",IFERROR(INDEX(Staff!$B$5:$B$44,MATCH(F887,Staff!$A$5:$A$44,0)),"House"))</f>
        <v>0</v>
      </c>
      <c r="R887" s="15">
        <f>IF(B887="","",TEXT(B887,"yyyy-mm"))</f>
        <v>0</v>
      </c>
      <c r="S887" s="25">
        <f>IF(B887="","",WEEKNUM(B887,2))</f>
        <v>0</v>
      </c>
      <c r="T887" s="37">
        <f>IF(B887="","",IF(K887="",1,K887))</f>
        <v>0</v>
      </c>
      <c r="U887" s="15">
        <f>IF(B887="","",IF(J887&lt;&gt;"",J887,IF(H887="Retail",IFERROR(INDEX(Inventory!$B$5:$B$304,MATCH(I887,Inventory!$A$5:$A$304,0))&amp;"","Not in Inventory"),IFERROR(INDEX(Services!$B$5:$B$204,MATCH(I887,Services!$A$5:$A$204,0))&amp;"","Not in Services"))))</f>
        <v>0</v>
      </c>
      <c r="V887" s="26">
        <f>IF(B887="","",IF(L887&lt;&gt;"",L887,IF(H887="Retail",IFERROR(INDEX(Inventory!$I$5:$I$304,MATCH(I887,Inventory!$A$5:$A$304,0))*1,0),IFERROR(INDEX(Services!$G$5:$G$204,MATCH(I887,Services!$A$5:$A$204,0))*1,0))))</f>
        <v>0</v>
      </c>
      <c r="W887" s="26">
        <f>IF(B887="","",ROUND(T887*V887,2))</f>
        <v>0</v>
      </c>
      <c r="X887" s="26">
        <f>IF(B887="","",ROUND(IF(M887="",0,W887*M887)+IF(N887="",0,N887),2))</f>
        <v>0</v>
      </c>
      <c r="Y887" s="26">
        <f>IF(B887="","",ROUND(W887-X887-IF(P887="",0,P887),2))</f>
        <v>0</v>
      </c>
      <c r="Z887" s="26">
        <f>IF(B887="","",IF(H887="Retail",IF(TaxOnRetail="Yes",ROUND(Y887*TaxRate,2),0),IF(H887="Service",IF(TaxOnServices="Yes",ROUND(Y887*TaxRate,2),0),0)))</f>
        <v>0</v>
      </c>
      <c r="AA887" s="26">
        <f>IF(B887="","",ROUND(Y887+Z887,2))</f>
        <v>0</v>
      </c>
      <c r="AB887" s="26">
        <f>IF(B887="","",ROUND(T887*IF(H887="Retail",IFERROR(INDEX(Inventory!$H$5:$H$304,MATCH(I887,Inventory!$A$5:$A$304,0))*1,0),IFERROR(INDEX(Services!$Q$5:$Q$204,MATCH(I887,Services!$A$5:$A$204,0))*1,0)),2))</f>
        <v>0</v>
      </c>
      <c r="AC887" s="26">
        <f>IF(B887="","",ROUND(Y887-AB887,2))</f>
        <v>0</v>
      </c>
      <c r="AD887" s="38">
        <f>IF(B887="","",IF(C887="","No",IF(COUNTIFS($C$5:C887,C887)=1,"Yes","No")))</f>
        <v>0</v>
      </c>
      <c r="AE887" s="26">
        <f>IF(B887="","",ROUND(SUMIFS(Payments!$G$5:$G$1204,Payments!$H$5:$H$1204,A887,Payments!$Q$5:$Q$1204,"Yes"),2))</f>
        <v>0</v>
      </c>
      <c r="AF887" s="26">
        <f>IF(B887="","",IF(AD887="No",0,ROUND(SUMIFS(Payments!$G$5:$G$1204,Payments!$I$5:$I$1204,C887,Payments!$H$5:$H$1204,"",Payments!$Q$5:$Q$1204,"Yes"),2)))</f>
        <v>0</v>
      </c>
      <c r="AG887" s="26">
        <f>IF(B887="","",ROUND(AE887+AF887,2))</f>
        <v>0</v>
      </c>
      <c r="AH887" s="26">
        <f>IF(B887="","",ROUND(AA887-AG887,2))</f>
        <v>0</v>
      </c>
      <c r="AI887" s="39">
        <f>IF(B887="","",IF(AA887&lt;=0,"No charge",IF(AH887&lt;=0.004,"Paid",IF(AG887&lt;=0.004,"Unpaid","Part paid"))))</f>
        <v>0</v>
      </c>
      <c r="AJ887" s="38">
        <f>IF(B887="","",IF(H887&lt;&gt;"Service","",IF(D887="","No",IF(COUNTIFS($D$5:$D$1204,D887,$B$5:$B$1204,B887,$H$5:$H$1204,"Retail")&gt;0,"Yes","No"))))</f>
        <v>0</v>
      </c>
      <c r="AK887" s="25">
        <f>IF(B887="","",COUNTIFS($Y$5:$Y$1204,"&gt;"&amp;Y887)+COUNTIFS($Y$5:Y887,Y887))</f>
        <v>0</v>
      </c>
      <c r="AL887" s="39">
        <f>IF(B887="","",IF(H887="","Add - what kind of sale is this?",IF(IF(V887&lt;=0,P887="",FALSE),"Check - no price found for this item",IF(F887="","Assign - nobody credited",IF(AH887&gt;0.004,"Unpaid - balance outstanding",IF(AC887&lt;0,"Loss - sold below cost",IF(X887&gt;W887*0.5,"Check - more than half off","OK")))))))</f>
        <v>0</v>
      </c>
    </row>
    <row r="888" spans="1:38">
      <c r="A888" s="28">
        <f>IF(B888="","",SalePrefix&amp;TEXT(ROW()-4,"0000"))</f>
        <v>0</v>
      </c>
      <c r="E888" s="15">
        <f>IF(D888="","",IFERROR(INDEX(Clients!$B$5:$B$504,MATCH(D888,Clients!$A$5:$A$504,0)),"Walk-in"))</f>
        <v>0</v>
      </c>
      <c r="G888" s="15">
        <f>IF(F888="","",IFERROR(INDEX(Staff!$B$5:$B$44,MATCH(F888,Staff!$A$5:$A$44,0)),"House"))</f>
        <v>0</v>
      </c>
      <c r="R888" s="15">
        <f>IF(B888="","",TEXT(B888,"yyyy-mm"))</f>
        <v>0</v>
      </c>
      <c r="S888" s="25">
        <f>IF(B888="","",WEEKNUM(B888,2))</f>
        <v>0</v>
      </c>
      <c r="T888" s="37">
        <f>IF(B888="","",IF(K888="",1,K888))</f>
        <v>0</v>
      </c>
      <c r="U888" s="15">
        <f>IF(B888="","",IF(J888&lt;&gt;"",J888,IF(H888="Retail",IFERROR(INDEX(Inventory!$B$5:$B$304,MATCH(I888,Inventory!$A$5:$A$304,0))&amp;"","Not in Inventory"),IFERROR(INDEX(Services!$B$5:$B$204,MATCH(I888,Services!$A$5:$A$204,0))&amp;"","Not in Services"))))</f>
        <v>0</v>
      </c>
      <c r="V888" s="26">
        <f>IF(B888="","",IF(L888&lt;&gt;"",L888,IF(H888="Retail",IFERROR(INDEX(Inventory!$I$5:$I$304,MATCH(I888,Inventory!$A$5:$A$304,0))*1,0),IFERROR(INDEX(Services!$G$5:$G$204,MATCH(I888,Services!$A$5:$A$204,0))*1,0))))</f>
        <v>0</v>
      </c>
      <c r="W888" s="26">
        <f>IF(B888="","",ROUND(T888*V888,2))</f>
        <v>0</v>
      </c>
      <c r="X888" s="26">
        <f>IF(B888="","",ROUND(IF(M888="",0,W888*M888)+IF(N888="",0,N888),2))</f>
        <v>0</v>
      </c>
      <c r="Y888" s="26">
        <f>IF(B888="","",ROUND(W888-X888-IF(P888="",0,P888),2))</f>
        <v>0</v>
      </c>
      <c r="Z888" s="26">
        <f>IF(B888="","",IF(H888="Retail",IF(TaxOnRetail="Yes",ROUND(Y888*TaxRate,2),0),IF(H888="Service",IF(TaxOnServices="Yes",ROUND(Y888*TaxRate,2),0),0)))</f>
        <v>0</v>
      </c>
      <c r="AA888" s="26">
        <f>IF(B888="","",ROUND(Y888+Z888,2))</f>
        <v>0</v>
      </c>
      <c r="AB888" s="26">
        <f>IF(B888="","",ROUND(T888*IF(H888="Retail",IFERROR(INDEX(Inventory!$H$5:$H$304,MATCH(I888,Inventory!$A$5:$A$304,0))*1,0),IFERROR(INDEX(Services!$Q$5:$Q$204,MATCH(I888,Services!$A$5:$A$204,0))*1,0)),2))</f>
        <v>0</v>
      </c>
      <c r="AC888" s="26">
        <f>IF(B888="","",ROUND(Y888-AB888,2))</f>
        <v>0</v>
      </c>
      <c r="AD888" s="38">
        <f>IF(B888="","",IF(C888="","No",IF(COUNTIFS($C$5:C888,C888)=1,"Yes","No")))</f>
        <v>0</v>
      </c>
      <c r="AE888" s="26">
        <f>IF(B888="","",ROUND(SUMIFS(Payments!$G$5:$G$1204,Payments!$H$5:$H$1204,A888,Payments!$Q$5:$Q$1204,"Yes"),2))</f>
        <v>0</v>
      </c>
      <c r="AF888" s="26">
        <f>IF(B888="","",IF(AD888="No",0,ROUND(SUMIFS(Payments!$G$5:$G$1204,Payments!$I$5:$I$1204,C888,Payments!$H$5:$H$1204,"",Payments!$Q$5:$Q$1204,"Yes"),2)))</f>
        <v>0</v>
      </c>
      <c r="AG888" s="26">
        <f>IF(B888="","",ROUND(AE888+AF888,2))</f>
        <v>0</v>
      </c>
      <c r="AH888" s="26">
        <f>IF(B888="","",ROUND(AA888-AG888,2))</f>
        <v>0</v>
      </c>
      <c r="AI888" s="39">
        <f>IF(B888="","",IF(AA888&lt;=0,"No charge",IF(AH888&lt;=0.004,"Paid",IF(AG888&lt;=0.004,"Unpaid","Part paid"))))</f>
        <v>0</v>
      </c>
      <c r="AJ888" s="38">
        <f>IF(B888="","",IF(H888&lt;&gt;"Service","",IF(D888="","No",IF(COUNTIFS($D$5:$D$1204,D888,$B$5:$B$1204,B888,$H$5:$H$1204,"Retail")&gt;0,"Yes","No"))))</f>
        <v>0</v>
      </c>
      <c r="AK888" s="25">
        <f>IF(B888="","",COUNTIFS($Y$5:$Y$1204,"&gt;"&amp;Y888)+COUNTIFS($Y$5:Y888,Y888))</f>
        <v>0</v>
      </c>
      <c r="AL888" s="39">
        <f>IF(B888="","",IF(H888="","Add - what kind of sale is this?",IF(IF(V888&lt;=0,P888="",FALSE),"Check - no price found for this item",IF(F888="","Assign - nobody credited",IF(AH888&gt;0.004,"Unpaid - balance outstanding",IF(AC888&lt;0,"Loss - sold below cost",IF(X888&gt;W888*0.5,"Check - more than half off","OK")))))))</f>
        <v>0</v>
      </c>
    </row>
    <row r="889" spans="1:38">
      <c r="A889" s="28">
        <f>IF(B889="","",SalePrefix&amp;TEXT(ROW()-4,"0000"))</f>
        <v>0</v>
      </c>
      <c r="E889" s="15">
        <f>IF(D889="","",IFERROR(INDEX(Clients!$B$5:$B$504,MATCH(D889,Clients!$A$5:$A$504,0)),"Walk-in"))</f>
        <v>0</v>
      </c>
      <c r="G889" s="15">
        <f>IF(F889="","",IFERROR(INDEX(Staff!$B$5:$B$44,MATCH(F889,Staff!$A$5:$A$44,0)),"House"))</f>
        <v>0</v>
      </c>
      <c r="R889" s="15">
        <f>IF(B889="","",TEXT(B889,"yyyy-mm"))</f>
        <v>0</v>
      </c>
      <c r="S889" s="25">
        <f>IF(B889="","",WEEKNUM(B889,2))</f>
        <v>0</v>
      </c>
      <c r="T889" s="37">
        <f>IF(B889="","",IF(K889="",1,K889))</f>
        <v>0</v>
      </c>
      <c r="U889" s="15">
        <f>IF(B889="","",IF(J889&lt;&gt;"",J889,IF(H889="Retail",IFERROR(INDEX(Inventory!$B$5:$B$304,MATCH(I889,Inventory!$A$5:$A$304,0))&amp;"","Not in Inventory"),IFERROR(INDEX(Services!$B$5:$B$204,MATCH(I889,Services!$A$5:$A$204,0))&amp;"","Not in Services"))))</f>
        <v>0</v>
      </c>
      <c r="V889" s="26">
        <f>IF(B889="","",IF(L889&lt;&gt;"",L889,IF(H889="Retail",IFERROR(INDEX(Inventory!$I$5:$I$304,MATCH(I889,Inventory!$A$5:$A$304,0))*1,0),IFERROR(INDEX(Services!$G$5:$G$204,MATCH(I889,Services!$A$5:$A$204,0))*1,0))))</f>
        <v>0</v>
      </c>
      <c r="W889" s="26">
        <f>IF(B889="","",ROUND(T889*V889,2))</f>
        <v>0</v>
      </c>
      <c r="X889" s="26">
        <f>IF(B889="","",ROUND(IF(M889="",0,W889*M889)+IF(N889="",0,N889),2))</f>
        <v>0</v>
      </c>
      <c r="Y889" s="26">
        <f>IF(B889="","",ROUND(W889-X889-IF(P889="",0,P889),2))</f>
        <v>0</v>
      </c>
      <c r="Z889" s="26">
        <f>IF(B889="","",IF(H889="Retail",IF(TaxOnRetail="Yes",ROUND(Y889*TaxRate,2),0),IF(H889="Service",IF(TaxOnServices="Yes",ROUND(Y889*TaxRate,2),0),0)))</f>
        <v>0</v>
      </c>
      <c r="AA889" s="26">
        <f>IF(B889="","",ROUND(Y889+Z889,2))</f>
        <v>0</v>
      </c>
      <c r="AB889" s="26">
        <f>IF(B889="","",ROUND(T889*IF(H889="Retail",IFERROR(INDEX(Inventory!$H$5:$H$304,MATCH(I889,Inventory!$A$5:$A$304,0))*1,0),IFERROR(INDEX(Services!$Q$5:$Q$204,MATCH(I889,Services!$A$5:$A$204,0))*1,0)),2))</f>
        <v>0</v>
      </c>
      <c r="AC889" s="26">
        <f>IF(B889="","",ROUND(Y889-AB889,2))</f>
        <v>0</v>
      </c>
      <c r="AD889" s="38">
        <f>IF(B889="","",IF(C889="","No",IF(COUNTIFS($C$5:C889,C889)=1,"Yes","No")))</f>
        <v>0</v>
      </c>
      <c r="AE889" s="26">
        <f>IF(B889="","",ROUND(SUMIFS(Payments!$G$5:$G$1204,Payments!$H$5:$H$1204,A889,Payments!$Q$5:$Q$1204,"Yes"),2))</f>
        <v>0</v>
      </c>
      <c r="AF889" s="26">
        <f>IF(B889="","",IF(AD889="No",0,ROUND(SUMIFS(Payments!$G$5:$G$1204,Payments!$I$5:$I$1204,C889,Payments!$H$5:$H$1204,"",Payments!$Q$5:$Q$1204,"Yes"),2)))</f>
        <v>0</v>
      </c>
      <c r="AG889" s="26">
        <f>IF(B889="","",ROUND(AE889+AF889,2))</f>
        <v>0</v>
      </c>
      <c r="AH889" s="26">
        <f>IF(B889="","",ROUND(AA889-AG889,2))</f>
        <v>0</v>
      </c>
      <c r="AI889" s="39">
        <f>IF(B889="","",IF(AA889&lt;=0,"No charge",IF(AH889&lt;=0.004,"Paid",IF(AG889&lt;=0.004,"Unpaid","Part paid"))))</f>
        <v>0</v>
      </c>
      <c r="AJ889" s="38">
        <f>IF(B889="","",IF(H889&lt;&gt;"Service","",IF(D889="","No",IF(COUNTIFS($D$5:$D$1204,D889,$B$5:$B$1204,B889,$H$5:$H$1204,"Retail")&gt;0,"Yes","No"))))</f>
        <v>0</v>
      </c>
      <c r="AK889" s="25">
        <f>IF(B889="","",COUNTIFS($Y$5:$Y$1204,"&gt;"&amp;Y889)+COUNTIFS($Y$5:Y889,Y889))</f>
        <v>0</v>
      </c>
      <c r="AL889" s="39">
        <f>IF(B889="","",IF(H889="","Add - what kind of sale is this?",IF(IF(V889&lt;=0,P889="",FALSE),"Check - no price found for this item",IF(F889="","Assign - nobody credited",IF(AH889&gt;0.004,"Unpaid - balance outstanding",IF(AC889&lt;0,"Loss - sold below cost",IF(X889&gt;W889*0.5,"Check - more than half off","OK")))))))</f>
        <v>0</v>
      </c>
    </row>
    <row r="890" spans="1:38">
      <c r="A890" s="28">
        <f>IF(B890="","",SalePrefix&amp;TEXT(ROW()-4,"0000"))</f>
        <v>0</v>
      </c>
      <c r="E890" s="15">
        <f>IF(D890="","",IFERROR(INDEX(Clients!$B$5:$B$504,MATCH(D890,Clients!$A$5:$A$504,0)),"Walk-in"))</f>
        <v>0</v>
      </c>
      <c r="G890" s="15">
        <f>IF(F890="","",IFERROR(INDEX(Staff!$B$5:$B$44,MATCH(F890,Staff!$A$5:$A$44,0)),"House"))</f>
        <v>0</v>
      </c>
      <c r="R890" s="15">
        <f>IF(B890="","",TEXT(B890,"yyyy-mm"))</f>
        <v>0</v>
      </c>
      <c r="S890" s="25">
        <f>IF(B890="","",WEEKNUM(B890,2))</f>
        <v>0</v>
      </c>
      <c r="T890" s="37">
        <f>IF(B890="","",IF(K890="",1,K890))</f>
        <v>0</v>
      </c>
      <c r="U890" s="15">
        <f>IF(B890="","",IF(J890&lt;&gt;"",J890,IF(H890="Retail",IFERROR(INDEX(Inventory!$B$5:$B$304,MATCH(I890,Inventory!$A$5:$A$304,0))&amp;"","Not in Inventory"),IFERROR(INDEX(Services!$B$5:$B$204,MATCH(I890,Services!$A$5:$A$204,0))&amp;"","Not in Services"))))</f>
        <v>0</v>
      </c>
      <c r="V890" s="26">
        <f>IF(B890="","",IF(L890&lt;&gt;"",L890,IF(H890="Retail",IFERROR(INDEX(Inventory!$I$5:$I$304,MATCH(I890,Inventory!$A$5:$A$304,0))*1,0),IFERROR(INDEX(Services!$G$5:$G$204,MATCH(I890,Services!$A$5:$A$204,0))*1,0))))</f>
        <v>0</v>
      </c>
      <c r="W890" s="26">
        <f>IF(B890="","",ROUND(T890*V890,2))</f>
        <v>0</v>
      </c>
      <c r="X890" s="26">
        <f>IF(B890="","",ROUND(IF(M890="",0,W890*M890)+IF(N890="",0,N890),2))</f>
        <v>0</v>
      </c>
      <c r="Y890" s="26">
        <f>IF(B890="","",ROUND(W890-X890-IF(P890="",0,P890),2))</f>
        <v>0</v>
      </c>
      <c r="Z890" s="26">
        <f>IF(B890="","",IF(H890="Retail",IF(TaxOnRetail="Yes",ROUND(Y890*TaxRate,2),0),IF(H890="Service",IF(TaxOnServices="Yes",ROUND(Y890*TaxRate,2),0),0)))</f>
        <v>0</v>
      </c>
      <c r="AA890" s="26">
        <f>IF(B890="","",ROUND(Y890+Z890,2))</f>
        <v>0</v>
      </c>
      <c r="AB890" s="26">
        <f>IF(B890="","",ROUND(T890*IF(H890="Retail",IFERROR(INDEX(Inventory!$H$5:$H$304,MATCH(I890,Inventory!$A$5:$A$304,0))*1,0),IFERROR(INDEX(Services!$Q$5:$Q$204,MATCH(I890,Services!$A$5:$A$204,0))*1,0)),2))</f>
        <v>0</v>
      </c>
      <c r="AC890" s="26">
        <f>IF(B890="","",ROUND(Y890-AB890,2))</f>
        <v>0</v>
      </c>
      <c r="AD890" s="38">
        <f>IF(B890="","",IF(C890="","No",IF(COUNTIFS($C$5:C890,C890)=1,"Yes","No")))</f>
        <v>0</v>
      </c>
      <c r="AE890" s="26">
        <f>IF(B890="","",ROUND(SUMIFS(Payments!$G$5:$G$1204,Payments!$H$5:$H$1204,A890,Payments!$Q$5:$Q$1204,"Yes"),2))</f>
        <v>0</v>
      </c>
      <c r="AF890" s="26">
        <f>IF(B890="","",IF(AD890="No",0,ROUND(SUMIFS(Payments!$G$5:$G$1204,Payments!$I$5:$I$1204,C890,Payments!$H$5:$H$1204,"",Payments!$Q$5:$Q$1204,"Yes"),2)))</f>
        <v>0</v>
      </c>
      <c r="AG890" s="26">
        <f>IF(B890="","",ROUND(AE890+AF890,2))</f>
        <v>0</v>
      </c>
      <c r="AH890" s="26">
        <f>IF(B890="","",ROUND(AA890-AG890,2))</f>
        <v>0</v>
      </c>
      <c r="AI890" s="39">
        <f>IF(B890="","",IF(AA890&lt;=0,"No charge",IF(AH890&lt;=0.004,"Paid",IF(AG890&lt;=0.004,"Unpaid","Part paid"))))</f>
        <v>0</v>
      </c>
      <c r="AJ890" s="38">
        <f>IF(B890="","",IF(H890&lt;&gt;"Service","",IF(D890="","No",IF(COUNTIFS($D$5:$D$1204,D890,$B$5:$B$1204,B890,$H$5:$H$1204,"Retail")&gt;0,"Yes","No"))))</f>
        <v>0</v>
      </c>
      <c r="AK890" s="25">
        <f>IF(B890="","",COUNTIFS($Y$5:$Y$1204,"&gt;"&amp;Y890)+COUNTIFS($Y$5:Y890,Y890))</f>
        <v>0</v>
      </c>
      <c r="AL890" s="39">
        <f>IF(B890="","",IF(H890="","Add - what kind of sale is this?",IF(IF(V890&lt;=0,P890="",FALSE),"Check - no price found for this item",IF(F890="","Assign - nobody credited",IF(AH890&gt;0.004,"Unpaid - balance outstanding",IF(AC890&lt;0,"Loss - sold below cost",IF(X890&gt;W890*0.5,"Check - more than half off","OK")))))))</f>
        <v>0</v>
      </c>
    </row>
    <row r="891" spans="1:38">
      <c r="A891" s="28">
        <f>IF(B891="","",SalePrefix&amp;TEXT(ROW()-4,"0000"))</f>
        <v>0</v>
      </c>
      <c r="E891" s="15">
        <f>IF(D891="","",IFERROR(INDEX(Clients!$B$5:$B$504,MATCH(D891,Clients!$A$5:$A$504,0)),"Walk-in"))</f>
        <v>0</v>
      </c>
      <c r="G891" s="15">
        <f>IF(F891="","",IFERROR(INDEX(Staff!$B$5:$B$44,MATCH(F891,Staff!$A$5:$A$44,0)),"House"))</f>
        <v>0</v>
      </c>
      <c r="R891" s="15">
        <f>IF(B891="","",TEXT(B891,"yyyy-mm"))</f>
        <v>0</v>
      </c>
      <c r="S891" s="25">
        <f>IF(B891="","",WEEKNUM(B891,2))</f>
        <v>0</v>
      </c>
      <c r="T891" s="37">
        <f>IF(B891="","",IF(K891="",1,K891))</f>
        <v>0</v>
      </c>
      <c r="U891" s="15">
        <f>IF(B891="","",IF(J891&lt;&gt;"",J891,IF(H891="Retail",IFERROR(INDEX(Inventory!$B$5:$B$304,MATCH(I891,Inventory!$A$5:$A$304,0))&amp;"","Not in Inventory"),IFERROR(INDEX(Services!$B$5:$B$204,MATCH(I891,Services!$A$5:$A$204,0))&amp;"","Not in Services"))))</f>
        <v>0</v>
      </c>
      <c r="V891" s="26">
        <f>IF(B891="","",IF(L891&lt;&gt;"",L891,IF(H891="Retail",IFERROR(INDEX(Inventory!$I$5:$I$304,MATCH(I891,Inventory!$A$5:$A$304,0))*1,0),IFERROR(INDEX(Services!$G$5:$G$204,MATCH(I891,Services!$A$5:$A$204,0))*1,0))))</f>
        <v>0</v>
      </c>
      <c r="W891" s="26">
        <f>IF(B891="","",ROUND(T891*V891,2))</f>
        <v>0</v>
      </c>
      <c r="X891" s="26">
        <f>IF(B891="","",ROUND(IF(M891="",0,W891*M891)+IF(N891="",0,N891),2))</f>
        <v>0</v>
      </c>
      <c r="Y891" s="26">
        <f>IF(B891="","",ROUND(W891-X891-IF(P891="",0,P891),2))</f>
        <v>0</v>
      </c>
      <c r="Z891" s="26">
        <f>IF(B891="","",IF(H891="Retail",IF(TaxOnRetail="Yes",ROUND(Y891*TaxRate,2),0),IF(H891="Service",IF(TaxOnServices="Yes",ROUND(Y891*TaxRate,2),0),0)))</f>
        <v>0</v>
      </c>
      <c r="AA891" s="26">
        <f>IF(B891="","",ROUND(Y891+Z891,2))</f>
        <v>0</v>
      </c>
      <c r="AB891" s="26">
        <f>IF(B891="","",ROUND(T891*IF(H891="Retail",IFERROR(INDEX(Inventory!$H$5:$H$304,MATCH(I891,Inventory!$A$5:$A$304,0))*1,0),IFERROR(INDEX(Services!$Q$5:$Q$204,MATCH(I891,Services!$A$5:$A$204,0))*1,0)),2))</f>
        <v>0</v>
      </c>
      <c r="AC891" s="26">
        <f>IF(B891="","",ROUND(Y891-AB891,2))</f>
        <v>0</v>
      </c>
      <c r="AD891" s="38">
        <f>IF(B891="","",IF(C891="","No",IF(COUNTIFS($C$5:C891,C891)=1,"Yes","No")))</f>
        <v>0</v>
      </c>
      <c r="AE891" s="26">
        <f>IF(B891="","",ROUND(SUMIFS(Payments!$G$5:$G$1204,Payments!$H$5:$H$1204,A891,Payments!$Q$5:$Q$1204,"Yes"),2))</f>
        <v>0</v>
      </c>
      <c r="AF891" s="26">
        <f>IF(B891="","",IF(AD891="No",0,ROUND(SUMIFS(Payments!$G$5:$G$1204,Payments!$I$5:$I$1204,C891,Payments!$H$5:$H$1204,"",Payments!$Q$5:$Q$1204,"Yes"),2)))</f>
        <v>0</v>
      </c>
      <c r="AG891" s="26">
        <f>IF(B891="","",ROUND(AE891+AF891,2))</f>
        <v>0</v>
      </c>
      <c r="AH891" s="26">
        <f>IF(B891="","",ROUND(AA891-AG891,2))</f>
        <v>0</v>
      </c>
      <c r="AI891" s="39">
        <f>IF(B891="","",IF(AA891&lt;=0,"No charge",IF(AH891&lt;=0.004,"Paid",IF(AG891&lt;=0.004,"Unpaid","Part paid"))))</f>
        <v>0</v>
      </c>
      <c r="AJ891" s="38">
        <f>IF(B891="","",IF(H891&lt;&gt;"Service","",IF(D891="","No",IF(COUNTIFS($D$5:$D$1204,D891,$B$5:$B$1204,B891,$H$5:$H$1204,"Retail")&gt;0,"Yes","No"))))</f>
        <v>0</v>
      </c>
      <c r="AK891" s="25">
        <f>IF(B891="","",COUNTIFS($Y$5:$Y$1204,"&gt;"&amp;Y891)+COUNTIFS($Y$5:Y891,Y891))</f>
        <v>0</v>
      </c>
      <c r="AL891" s="39">
        <f>IF(B891="","",IF(H891="","Add - what kind of sale is this?",IF(IF(V891&lt;=0,P891="",FALSE),"Check - no price found for this item",IF(F891="","Assign - nobody credited",IF(AH891&gt;0.004,"Unpaid - balance outstanding",IF(AC891&lt;0,"Loss - sold below cost",IF(X891&gt;W891*0.5,"Check - more than half off","OK")))))))</f>
        <v>0</v>
      </c>
    </row>
    <row r="892" spans="1:38">
      <c r="A892" s="28">
        <f>IF(B892="","",SalePrefix&amp;TEXT(ROW()-4,"0000"))</f>
        <v>0</v>
      </c>
      <c r="E892" s="15">
        <f>IF(D892="","",IFERROR(INDEX(Clients!$B$5:$B$504,MATCH(D892,Clients!$A$5:$A$504,0)),"Walk-in"))</f>
        <v>0</v>
      </c>
      <c r="G892" s="15">
        <f>IF(F892="","",IFERROR(INDEX(Staff!$B$5:$B$44,MATCH(F892,Staff!$A$5:$A$44,0)),"House"))</f>
        <v>0</v>
      </c>
      <c r="R892" s="15">
        <f>IF(B892="","",TEXT(B892,"yyyy-mm"))</f>
        <v>0</v>
      </c>
      <c r="S892" s="25">
        <f>IF(B892="","",WEEKNUM(B892,2))</f>
        <v>0</v>
      </c>
      <c r="T892" s="37">
        <f>IF(B892="","",IF(K892="",1,K892))</f>
        <v>0</v>
      </c>
      <c r="U892" s="15">
        <f>IF(B892="","",IF(J892&lt;&gt;"",J892,IF(H892="Retail",IFERROR(INDEX(Inventory!$B$5:$B$304,MATCH(I892,Inventory!$A$5:$A$304,0))&amp;"","Not in Inventory"),IFERROR(INDEX(Services!$B$5:$B$204,MATCH(I892,Services!$A$5:$A$204,0))&amp;"","Not in Services"))))</f>
        <v>0</v>
      </c>
      <c r="V892" s="26">
        <f>IF(B892="","",IF(L892&lt;&gt;"",L892,IF(H892="Retail",IFERROR(INDEX(Inventory!$I$5:$I$304,MATCH(I892,Inventory!$A$5:$A$304,0))*1,0),IFERROR(INDEX(Services!$G$5:$G$204,MATCH(I892,Services!$A$5:$A$204,0))*1,0))))</f>
        <v>0</v>
      </c>
      <c r="W892" s="26">
        <f>IF(B892="","",ROUND(T892*V892,2))</f>
        <v>0</v>
      </c>
      <c r="X892" s="26">
        <f>IF(B892="","",ROUND(IF(M892="",0,W892*M892)+IF(N892="",0,N892),2))</f>
        <v>0</v>
      </c>
      <c r="Y892" s="26">
        <f>IF(B892="","",ROUND(W892-X892-IF(P892="",0,P892),2))</f>
        <v>0</v>
      </c>
      <c r="Z892" s="26">
        <f>IF(B892="","",IF(H892="Retail",IF(TaxOnRetail="Yes",ROUND(Y892*TaxRate,2),0),IF(H892="Service",IF(TaxOnServices="Yes",ROUND(Y892*TaxRate,2),0),0)))</f>
        <v>0</v>
      </c>
      <c r="AA892" s="26">
        <f>IF(B892="","",ROUND(Y892+Z892,2))</f>
        <v>0</v>
      </c>
      <c r="AB892" s="26">
        <f>IF(B892="","",ROUND(T892*IF(H892="Retail",IFERROR(INDEX(Inventory!$H$5:$H$304,MATCH(I892,Inventory!$A$5:$A$304,0))*1,0),IFERROR(INDEX(Services!$Q$5:$Q$204,MATCH(I892,Services!$A$5:$A$204,0))*1,0)),2))</f>
        <v>0</v>
      </c>
      <c r="AC892" s="26">
        <f>IF(B892="","",ROUND(Y892-AB892,2))</f>
        <v>0</v>
      </c>
      <c r="AD892" s="38">
        <f>IF(B892="","",IF(C892="","No",IF(COUNTIFS($C$5:C892,C892)=1,"Yes","No")))</f>
        <v>0</v>
      </c>
      <c r="AE892" s="26">
        <f>IF(B892="","",ROUND(SUMIFS(Payments!$G$5:$G$1204,Payments!$H$5:$H$1204,A892,Payments!$Q$5:$Q$1204,"Yes"),2))</f>
        <v>0</v>
      </c>
      <c r="AF892" s="26">
        <f>IF(B892="","",IF(AD892="No",0,ROUND(SUMIFS(Payments!$G$5:$G$1204,Payments!$I$5:$I$1204,C892,Payments!$H$5:$H$1204,"",Payments!$Q$5:$Q$1204,"Yes"),2)))</f>
        <v>0</v>
      </c>
      <c r="AG892" s="26">
        <f>IF(B892="","",ROUND(AE892+AF892,2))</f>
        <v>0</v>
      </c>
      <c r="AH892" s="26">
        <f>IF(B892="","",ROUND(AA892-AG892,2))</f>
        <v>0</v>
      </c>
      <c r="AI892" s="39">
        <f>IF(B892="","",IF(AA892&lt;=0,"No charge",IF(AH892&lt;=0.004,"Paid",IF(AG892&lt;=0.004,"Unpaid","Part paid"))))</f>
        <v>0</v>
      </c>
      <c r="AJ892" s="38">
        <f>IF(B892="","",IF(H892&lt;&gt;"Service","",IF(D892="","No",IF(COUNTIFS($D$5:$D$1204,D892,$B$5:$B$1204,B892,$H$5:$H$1204,"Retail")&gt;0,"Yes","No"))))</f>
        <v>0</v>
      </c>
      <c r="AK892" s="25">
        <f>IF(B892="","",COUNTIFS($Y$5:$Y$1204,"&gt;"&amp;Y892)+COUNTIFS($Y$5:Y892,Y892))</f>
        <v>0</v>
      </c>
      <c r="AL892" s="39">
        <f>IF(B892="","",IF(H892="","Add - what kind of sale is this?",IF(IF(V892&lt;=0,P892="",FALSE),"Check - no price found for this item",IF(F892="","Assign - nobody credited",IF(AH892&gt;0.004,"Unpaid - balance outstanding",IF(AC892&lt;0,"Loss - sold below cost",IF(X892&gt;W892*0.5,"Check - more than half off","OK")))))))</f>
        <v>0</v>
      </c>
    </row>
    <row r="893" spans="1:38">
      <c r="A893" s="28">
        <f>IF(B893="","",SalePrefix&amp;TEXT(ROW()-4,"0000"))</f>
        <v>0</v>
      </c>
      <c r="E893" s="15">
        <f>IF(D893="","",IFERROR(INDEX(Clients!$B$5:$B$504,MATCH(D893,Clients!$A$5:$A$504,0)),"Walk-in"))</f>
        <v>0</v>
      </c>
      <c r="G893" s="15">
        <f>IF(F893="","",IFERROR(INDEX(Staff!$B$5:$B$44,MATCH(F893,Staff!$A$5:$A$44,0)),"House"))</f>
        <v>0</v>
      </c>
      <c r="R893" s="15">
        <f>IF(B893="","",TEXT(B893,"yyyy-mm"))</f>
        <v>0</v>
      </c>
      <c r="S893" s="25">
        <f>IF(B893="","",WEEKNUM(B893,2))</f>
        <v>0</v>
      </c>
      <c r="T893" s="37">
        <f>IF(B893="","",IF(K893="",1,K893))</f>
        <v>0</v>
      </c>
      <c r="U893" s="15">
        <f>IF(B893="","",IF(J893&lt;&gt;"",J893,IF(H893="Retail",IFERROR(INDEX(Inventory!$B$5:$B$304,MATCH(I893,Inventory!$A$5:$A$304,0))&amp;"","Not in Inventory"),IFERROR(INDEX(Services!$B$5:$B$204,MATCH(I893,Services!$A$5:$A$204,0))&amp;"","Not in Services"))))</f>
        <v>0</v>
      </c>
      <c r="V893" s="26">
        <f>IF(B893="","",IF(L893&lt;&gt;"",L893,IF(H893="Retail",IFERROR(INDEX(Inventory!$I$5:$I$304,MATCH(I893,Inventory!$A$5:$A$304,0))*1,0),IFERROR(INDEX(Services!$G$5:$G$204,MATCH(I893,Services!$A$5:$A$204,0))*1,0))))</f>
        <v>0</v>
      </c>
      <c r="W893" s="26">
        <f>IF(B893="","",ROUND(T893*V893,2))</f>
        <v>0</v>
      </c>
      <c r="X893" s="26">
        <f>IF(B893="","",ROUND(IF(M893="",0,W893*M893)+IF(N893="",0,N893),2))</f>
        <v>0</v>
      </c>
      <c r="Y893" s="26">
        <f>IF(B893="","",ROUND(W893-X893-IF(P893="",0,P893),2))</f>
        <v>0</v>
      </c>
      <c r="Z893" s="26">
        <f>IF(B893="","",IF(H893="Retail",IF(TaxOnRetail="Yes",ROUND(Y893*TaxRate,2),0),IF(H893="Service",IF(TaxOnServices="Yes",ROUND(Y893*TaxRate,2),0),0)))</f>
        <v>0</v>
      </c>
      <c r="AA893" s="26">
        <f>IF(B893="","",ROUND(Y893+Z893,2))</f>
        <v>0</v>
      </c>
      <c r="AB893" s="26">
        <f>IF(B893="","",ROUND(T893*IF(H893="Retail",IFERROR(INDEX(Inventory!$H$5:$H$304,MATCH(I893,Inventory!$A$5:$A$304,0))*1,0),IFERROR(INDEX(Services!$Q$5:$Q$204,MATCH(I893,Services!$A$5:$A$204,0))*1,0)),2))</f>
        <v>0</v>
      </c>
      <c r="AC893" s="26">
        <f>IF(B893="","",ROUND(Y893-AB893,2))</f>
        <v>0</v>
      </c>
      <c r="AD893" s="38">
        <f>IF(B893="","",IF(C893="","No",IF(COUNTIFS($C$5:C893,C893)=1,"Yes","No")))</f>
        <v>0</v>
      </c>
      <c r="AE893" s="26">
        <f>IF(B893="","",ROUND(SUMIFS(Payments!$G$5:$G$1204,Payments!$H$5:$H$1204,A893,Payments!$Q$5:$Q$1204,"Yes"),2))</f>
        <v>0</v>
      </c>
      <c r="AF893" s="26">
        <f>IF(B893="","",IF(AD893="No",0,ROUND(SUMIFS(Payments!$G$5:$G$1204,Payments!$I$5:$I$1204,C893,Payments!$H$5:$H$1204,"",Payments!$Q$5:$Q$1204,"Yes"),2)))</f>
        <v>0</v>
      </c>
      <c r="AG893" s="26">
        <f>IF(B893="","",ROUND(AE893+AF893,2))</f>
        <v>0</v>
      </c>
      <c r="AH893" s="26">
        <f>IF(B893="","",ROUND(AA893-AG893,2))</f>
        <v>0</v>
      </c>
      <c r="AI893" s="39">
        <f>IF(B893="","",IF(AA893&lt;=0,"No charge",IF(AH893&lt;=0.004,"Paid",IF(AG893&lt;=0.004,"Unpaid","Part paid"))))</f>
        <v>0</v>
      </c>
      <c r="AJ893" s="38">
        <f>IF(B893="","",IF(H893&lt;&gt;"Service","",IF(D893="","No",IF(COUNTIFS($D$5:$D$1204,D893,$B$5:$B$1204,B893,$H$5:$H$1204,"Retail")&gt;0,"Yes","No"))))</f>
        <v>0</v>
      </c>
      <c r="AK893" s="25">
        <f>IF(B893="","",COUNTIFS($Y$5:$Y$1204,"&gt;"&amp;Y893)+COUNTIFS($Y$5:Y893,Y893))</f>
        <v>0</v>
      </c>
      <c r="AL893" s="39">
        <f>IF(B893="","",IF(H893="","Add - what kind of sale is this?",IF(IF(V893&lt;=0,P893="",FALSE),"Check - no price found for this item",IF(F893="","Assign - nobody credited",IF(AH893&gt;0.004,"Unpaid - balance outstanding",IF(AC893&lt;0,"Loss - sold below cost",IF(X893&gt;W893*0.5,"Check - more than half off","OK")))))))</f>
        <v>0</v>
      </c>
    </row>
    <row r="894" spans="1:38">
      <c r="A894" s="28">
        <f>IF(B894="","",SalePrefix&amp;TEXT(ROW()-4,"0000"))</f>
        <v>0</v>
      </c>
      <c r="E894" s="15">
        <f>IF(D894="","",IFERROR(INDEX(Clients!$B$5:$B$504,MATCH(D894,Clients!$A$5:$A$504,0)),"Walk-in"))</f>
        <v>0</v>
      </c>
      <c r="G894" s="15">
        <f>IF(F894="","",IFERROR(INDEX(Staff!$B$5:$B$44,MATCH(F894,Staff!$A$5:$A$44,0)),"House"))</f>
        <v>0</v>
      </c>
      <c r="R894" s="15">
        <f>IF(B894="","",TEXT(B894,"yyyy-mm"))</f>
        <v>0</v>
      </c>
      <c r="S894" s="25">
        <f>IF(B894="","",WEEKNUM(B894,2))</f>
        <v>0</v>
      </c>
      <c r="T894" s="37">
        <f>IF(B894="","",IF(K894="",1,K894))</f>
        <v>0</v>
      </c>
      <c r="U894" s="15">
        <f>IF(B894="","",IF(J894&lt;&gt;"",J894,IF(H894="Retail",IFERROR(INDEX(Inventory!$B$5:$B$304,MATCH(I894,Inventory!$A$5:$A$304,0))&amp;"","Not in Inventory"),IFERROR(INDEX(Services!$B$5:$B$204,MATCH(I894,Services!$A$5:$A$204,0))&amp;"","Not in Services"))))</f>
        <v>0</v>
      </c>
      <c r="V894" s="26">
        <f>IF(B894="","",IF(L894&lt;&gt;"",L894,IF(H894="Retail",IFERROR(INDEX(Inventory!$I$5:$I$304,MATCH(I894,Inventory!$A$5:$A$304,0))*1,0),IFERROR(INDEX(Services!$G$5:$G$204,MATCH(I894,Services!$A$5:$A$204,0))*1,0))))</f>
        <v>0</v>
      </c>
      <c r="W894" s="26">
        <f>IF(B894="","",ROUND(T894*V894,2))</f>
        <v>0</v>
      </c>
      <c r="X894" s="26">
        <f>IF(B894="","",ROUND(IF(M894="",0,W894*M894)+IF(N894="",0,N894),2))</f>
        <v>0</v>
      </c>
      <c r="Y894" s="26">
        <f>IF(B894="","",ROUND(W894-X894-IF(P894="",0,P894),2))</f>
        <v>0</v>
      </c>
      <c r="Z894" s="26">
        <f>IF(B894="","",IF(H894="Retail",IF(TaxOnRetail="Yes",ROUND(Y894*TaxRate,2),0),IF(H894="Service",IF(TaxOnServices="Yes",ROUND(Y894*TaxRate,2),0),0)))</f>
        <v>0</v>
      </c>
      <c r="AA894" s="26">
        <f>IF(B894="","",ROUND(Y894+Z894,2))</f>
        <v>0</v>
      </c>
      <c r="AB894" s="26">
        <f>IF(B894="","",ROUND(T894*IF(H894="Retail",IFERROR(INDEX(Inventory!$H$5:$H$304,MATCH(I894,Inventory!$A$5:$A$304,0))*1,0),IFERROR(INDEX(Services!$Q$5:$Q$204,MATCH(I894,Services!$A$5:$A$204,0))*1,0)),2))</f>
        <v>0</v>
      </c>
      <c r="AC894" s="26">
        <f>IF(B894="","",ROUND(Y894-AB894,2))</f>
        <v>0</v>
      </c>
      <c r="AD894" s="38">
        <f>IF(B894="","",IF(C894="","No",IF(COUNTIFS($C$5:C894,C894)=1,"Yes","No")))</f>
        <v>0</v>
      </c>
      <c r="AE894" s="26">
        <f>IF(B894="","",ROUND(SUMIFS(Payments!$G$5:$G$1204,Payments!$H$5:$H$1204,A894,Payments!$Q$5:$Q$1204,"Yes"),2))</f>
        <v>0</v>
      </c>
      <c r="AF894" s="26">
        <f>IF(B894="","",IF(AD894="No",0,ROUND(SUMIFS(Payments!$G$5:$G$1204,Payments!$I$5:$I$1204,C894,Payments!$H$5:$H$1204,"",Payments!$Q$5:$Q$1204,"Yes"),2)))</f>
        <v>0</v>
      </c>
      <c r="AG894" s="26">
        <f>IF(B894="","",ROUND(AE894+AF894,2))</f>
        <v>0</v>
      </c>
      <c r="AH894" s="26">
        <f>IF(B894="","",ROUND(AA894-AG894,2))</f>
        <v>0</v>
      </c>
      <c r="AI894" s="39">
        <f>IF(B894="","",IF(AA894&lt;=0,"No charge",IF(AH894&lt;=0.004,"Paid",IF(AG894&lt;=0.004,"Unpaid","Part paid"))))</f>
        <v>0</v>
      </c>
      <c r="AJ894" s="38">
        <f>IF(B894="","",IF(H894&lt;&gt;"Service","",IF(D894="","No",IF(COUNTIFS($D$5:$D$1204,D894,$B$5:$B$1204,B894,$H$5:$H$1204,"Retail")&gt;0,"Yes","No"))))</f>
        <v>0</v>
      </c>
      <c r="AK894" s="25">
        <f>IF(B894="","",COUNTIFS($Y$5:$Y$1204,"&gt;"&amp;Y894)+COUNTIFS($Y$5:Y894,Y894))</f>
        <v>0</v>
      </c>
      <c r="AL894" s="39">
        <f>IF(B894="","",IF(H894="","Add - what kind of sale is this?",IF(IF(V894&lt;=0,P894="",FALSE),"Check - no price found for this item",IF(F894="","Assign - nobody credited",IF(AH894&gt;0.004,"Unpaid - balance outstanding",IF(AC894&lt;0,"Loss - sold below cost",IF(X894&gt;W894*0.5,"Check - more than half off","OK")))))))</f>
        <v>0</v>
      </c>
    </row>
    <row r="895" spans="1:38">
      <c r="A895" s="28">
        <f>IF(B895="","",SalePrefix&amp;TEXT(ROW()-4,"0000"))</f>
        <v>0</v>
      </c>
      <c r="E895" s="15">
        <f>IF(D895="","",IFERROR(INDEX(Clients!$B$5:$B$504,MATCH(D895,Clients!$A$5:$A$504,0)),"Walk-in"))</f>
        <v>0</v>
      </c>
      <c r="G895" s="15">
        <f>IF(F895="","",IFERROR(INDEX(Staff!$B$5:$B$44,MATCH(F895,Staff!$A$5:$A$44,0)),"House"))</f>
        <v>0</v>
      </c>
      <c r="R895" s="15">
        <f>IF(B895="","",TEXT(B895,"yyyy-mm"))</f>
        <v>0</v>
      </c>
      <c r="S895" s="25">
        <f>IF(B895="","",WEEKNUM(B895,2))</f>
        <v>0</v>
      </c>
      <c r="T895" s="37">
        <f>IF(B895="","",IF(K895="",1,K895))</f>
        <v>0</v>
      </c>
      <c r="U895" s="15">
        <f>IF(B895="","",IF(J895&lt;&gt;"",J895,IF(H895="Retail",IFERROR(INDEX(Inventory!$B$5:$B$304,MATCH(I895,Inventory!$A$5:$A$304,0))&amp;"","Not in Inventory"),IFERROR(INDEX(Services!$B$5:$B$204,MATCH(I895,Services!$A$5:$A$204,0))&amp;"","Not in Services"))))</f>
        <v>0</v>
      </c>
      <c r="V895" s="26">
        <f>IF(B895="","",IF(L895&lt;&gt;"",L895,IF(H895="Retail",IFERROR(INDEX(Inventory!$I$5:$I$304,MATCH(I895,Inventory!$A$5:$A$304,0))*1,0),IFERROR(INDEX(Services!$G$5:$G$204,MATCH(I895,Services!$A$5:$A$204,0))*1,0))))</f>
        <v>0</v>
      </c>
      <c r="W895" s="26">
        <f>IF(B895="","",ROUND(T895*V895,2))</f>
        <v>0</v>
      </c>
      <c r="X895" s="26">
        <f>IF(B895="","",ROUND(IF(M895="",0,W895*M895)+IF(N895="",0,N895),2))</f>
        <v>0</v>
      </c>
      <c r="Y895" s="26">
        <f>IF(B895="","",ROUND(W895-X895-IF(P895="",0,P895),2))</f>
        <v>0</v>
      </c>
      <c r="Z895" s="26">
        <f>IF(B895="","",IF(H895="Retail",IF(TaxOnRetail="Yes",ROUND(Y895*TaxRate,2),0),IF(H895="Service",IF(TaxOnServices="Yes",ROUND(Y895*TaxRate,2),0),0)))</f>
        <v>0</v>
      </c>
      <c r="AA895" s="26">
        <f>IF(B895="","",ROUND(Y895+Z895,2))</f>
        <v>0</v>
      </c>
      <c r="AB895" s="26">
        <f>IF(B895="","",ROUND(T895*IF(H895="Retail",IFERROR(INDEX(Inventory!$H$5:$H$304,MATCH(I895,Inventory!$A$5:$A$304,0))*1,0),IFERROR(INDEX(Services!$Q$5:$Q$204,MATCH(I895,Services!$A$5:$A$204,0))*1,0)),2))</f>
        <v>0</v>
      </c>
      <c r="AC895" s="26">
        <f>IF(B895="","",ROUND(Y895-AB895,2))</f>
        <v>0</v>
      </c>
      <c r="AD895" s="38">
        <f>IF(B895="","",IF(C895="","No",IF(COUNTIFS($C$5:C895,C895)=1,"Yes","No")))</f>
        <v>0</v>
      </c>
      <c r="AE895" s="26">
        <f>IF(B895="","",ROUND(SUMIFS(Payments!$G$5:$G$1204,Payments!$H$5:$H$1204,A895,Payments!$Q$5:$Q$1204,"Yes"),2))</f>
        <v>0</v>
      </c>
      <c r="AF895" s="26">
        <f>IF(B895="","",IF(AD895="No",0,ROUND(SUMIFS(Payments!$G$5:$G$1204,Payments!$I$5:$I$1204,C895,Payments!$H$5:$H$1204,"",Payments!$Q$5:$Q$1204,"Yes"),2)))</f>
        <v>0</v>
      </c>
      <c r="AG895" s="26">
        <f>IF(B895="","",ROUND(AE895+AF895,2))</f>
        <v>0</v>
      </c>
      <c r="AH895" s="26">
        <f>IF(B895="","",ROUND(AA895-AG895,2))</f>
        <v>0</v>
      </c>
      <c r="AI895" s="39">
        <f>IF(B895="","",IF(AA895&lt;=0,"No charge",IF(AH895&lt;=0.004,"Paid",IF(AG895&lt;=0.004,"Unpaid","Part paid"))))</f>
        <v>0</v>
      </c>
      <c r="AJ895" s="38">
        <f>IF(B895="","",IF(H895&lt;&gt;"Service","",IF(D895="","No",IF(COUNTIFS($D$5:$D$1204,D895,$B$5:$B$1204,B895,$H$5:$H$1204,"Retail")&gt;0,"Yes","No"))))</f>
        <v>0</v>
      </c>
      <c r="AK895" s="25">
        <f>IF(B895="","",COUNTIFS($Y$5:$Y$1204,"&gt;"&amp;Y895)+COUNTIFS($Y$5:Y895,Y895))</f>
        <v>0</v>
      </c>
      <c r="AL895" s="39">
        <f>IF(B895="","",IF(H895="","Add - what kind of sale is this?",IF(IF(V895&lt;=0,P895="",FALSE),"Check - no price found for this item",IF(F895="","Assign - nobody credited",IF(AH895&gt;0.004,"Unpaid - balance outstanding",IF(AC895&lt;0,"Loss - sold below cost",IF(X895&gt;W895*0.5,"Check - more than half off","OK")))))))</f>
        <v>0</v>
      </c>
    </row>
    <row r="896" spans="1:38">
      <c r="A896" s="28">
        <f>IF(B896="","",SalePrefix&amp;TEXT(ROW()-4,"0000"))</f>
        <v>0</v>
      </c>
      <c r="E896" s="15">
        <f>IF(D896="","",IFERROR(INDEX(Clients!$B$5:$B$504,MATCH(D896,Clients!$A$5:$A$504,0)),"Walk-in"))</f>
        <v>0</v>
      </c>
      <c r="G896" s="15">
        <f>IF(F896="","",IFERROR(INDEX(Staff!$B$5:$B$44,MATCH(F896,Staff!$A$5:$A$44,0)),"House"))</f>
        <v>0</v>
      </c>
      <c r="R896" s="15">
        <f>IF(B896="","",TEXT(B896,"yyyy-mm"))</f>
        <v>0</v>
      </c>
      <c r="S896" s="25">
        <f>IF(B896="","",WEEKNUM(B896,2))</f>
        <v>0</v>
      </c>
      <c r="T896" s="37">
        <f>IF(B896="","",IF(K896="",1,K896))</f>
        <v>0</v>
      </c>
      <c r="U896" s="15">
        <f>IF(B896="","",IF(J896&lt;&gt;"",J896,IF(H896="Retail",IFERROR(INDEX(Inventory!$B$5:$B$304,MATCH(I896,Inventory!$A$5:$A$304,0))&amp;"","Not in Inventory"),IFERROR(INDEX(Services!$B$5:$B$204,MATCH(I896,Services!$A$5:$A$204,0))&amp;"","Not in Services"))))</f>
        <v>0</v>
      </c>
      <c r="V896" s="26">
        <f>IF(B896="","",IF(L896&lt;&gt;"",L896,IF(H896="Retail",IFERROR(INDEX(Inventory!$I$5:$I$304,MATCH(I896,Inventory!$A$5:$A$304,0))*1,0),IFERROR(INDEX(Services!$G$5:$G$204,MATCH(I896,Services!$A$5:$A$204,0))*1,0))))</f>
        <v>0</v>
      </c>
      <c r="W896" s="26">
        <f>IF(B896="","",ROUND(T896*V896,2))</f>
        <v>0</v>
      </c>
      <c r="X896" s="26">
        <f>IF(B896="","",ROUND(IF(M896="",0,W896*M896)+IF(N896="",0,N896),2))</f>
        <v>0</v>
      </c>
      <c r="Y896" s="26">
        <f>IF(B896="","",ROUND(W896-X896-IF(P896="",0,P896),2))</f>
        <v>0</v>
      </c>
      <c r="Z896" s="26">
        <f>IF(B896="","",IF(H896="Retail",IF(TaxOnRetail="Yes",ROUND(Y896*TaxRate,2),0),IF(H896="Service",IF(TaxOnServices="Yes",ROUND(Y896*TaxRate,2),0),0)))</f>
        <v>0</v>
      </c>
      <c r="AA896" s="26">
        <f>IF(B896="","",ROUND(Y896+Z896,2))</f>
        <v>0</v>
      </c>
      <c r="AB896" s="26">
        <f>IF(B896="","",ROUND(T896*IF(H896="Retail",IFERROR(INDEX(Inventory!$H$5:$H$304,MATCH(I896,Inventory!$A$5:$A$304,0))*1,0),IFERROR(INDEX(Services!$Q$5:$Q$204,MATCH(I896,Services!$A$5:$A$204,0))*1,0)),2))</f>
        <v>0</v>
      </c>
      <c r="AC896" s="26">
        <f>IF(B896="","",ROUND(Y896-AB896,2))</f>
        <v>0</v>
      </c>
      <c r="AD896" s="38">
        <f>IF(B896="","",IF(C896="","No",IF(COUNTIFS($C$5:C896,C896)=1,"Yes","No")))</f>
        <v>0</v>
      </c>
      <c r="AE896" s="26">
        <f>IF(B896="","",ROUND(SUMIFS(Payments!$G$5:$G$1204,Payments!$H$5:$H$1204,A896,Payments!$Q$5:$Q$1204,"Yes"),2))</f>
        <v>0</v>
      </c>
      <c r="AF896" s="26">
        <f>IF(B896="","",IF(AD896="No",0,ROUND(SUMIFS(Payments!$G$5:$G$1204,Payments!$I$5:$I$1204,C896,Payments!$H$5:$H$1204,"",Payments!$Q$5:$Q$1204,"Yes"),2)))</f>
        <v>0</v>
      </c>
      <c r="AG896" s="26">
        <f>IF(B896="","",ROUND(AE896+AF896,2))</f>
        <v>0</v>
      </c>
      <c r="AH896" s="26">
        <f>IF(B896="","",ROUND(AA896-AG896,2))</f>
        <v>0</v>
      </c>
      <c r="AI896" s="39">
        <f>IF(B896="","",IF(AA896&lt;=0,"No charge",IF(AH896&lt;=0.004,"Paid",IF(AG896&lt;=0.004,"Unpaid","Part paid"))))</f>
        <v>0</v>
      </c>
      <c r="AJ896" s="38">
        <f>IF(B896="","",IF(H896&lt;&gt;"Service","",IF(D896="","No",IF(COUNTIFS($D$5:$D$1204,D896,$B$5:$B$1204,B896,$H$5:$H$1204,"Retail")&gt;0,"Yes","No"))))</f>
        <v>0</v>
      </c>
      <c r="AK896" s="25">
        <f>IF(B896="","",COUNTIFS($Y$5:$Y$1204,"&gt;"&amp;Y896)+COUNTIFS($Y$5:Y896,Y896))</f>
        <v>0</v>
      </c>
      <c r="AL896" s="39">
        <f>IF(B896="","",IF(H896="","Add - what kind of sale is this?",IF(IF(V896&lt;=0,P896="",FALSE),"Check - no price found for this item",IF(F896="","Assign - nobody credited",IF(AH896&gt;0.004,"Unpaid - balance outstanding",IF(AC896&lt;0,"Loss - sold below cost",IF(X896&gt;W896*0.5,"Check - more than half off","OK")))))))</f>
        <v>0</v>
      </c>
    </row>
    <row r="897" spans="1:38">
      <c r="A897" s="28">
        <f>IF(B897="","",SalePrefix&amp;TEXT(ROW()-4,"0000"))</f>
        <v>0</v>
      </c>
      <c r="E897" s="15">
        <f>IF(D897="","",IFERROR(INDEX(Clients!$B$5:$B$504,MATCH(D897,Clients!$A$5:$A$504,0)),"Walk-in"))</f>
        <v>0</v>
      </c>
      <c r="G897" s="15">
        <f>IF(F897="","",IFERROR(INDEX(Staff!$B$5:$B$44,MATCH(F897,Staff!$A$5:$A$44,0)),"House"))</f>
        <v>0</v>
      </c>
      <c r="R897" s="15">
        <f>IF(B897="","",TEXT(B897,"yyyy-mm"))</f>
        <v>0</v>
      </c>
      <c r="S897" s="25">
        <f>IF(B897="","",WEEKNUM(B897,2))</f>
        <v>0</v>
      </c>
      <c r="T897" s="37">
        <f>IF(B897="","",IF(K897="",1,K897))</f>
        <v>0</v>
      </c>
      <c r="U897" s="15">
        <f>IF(B897="","",IF(J897&lt;&gt;"",J897,IF(H897="Retail",IFERROR(INDEX(Inventory!$B$5:$B$304,MATCH(I897,Inventory!$A$5:$A$304,0))&amp;"","Not in Inventory"),IFERROR(INDEX(Services!$B$5:$B$204,MATCH(I897,Services!$A$5:$A$204,0))&amp;"","Not in Services"))))</f>
        <v>0</v>
      </c>
      <c r="V897" s="26">
        <f>IF(B897="","",IF(L897&lt;&gt;"",L897,IF(H897="Retail",IFERROR(INDEX(Inventory!$I$5:$I$304,MATCH(I897,Inventory!$A$5:$A$304,0))*1,0),IFERROR(INDEX(Services!$G$5:$G$204,MATCH(I897,Services!$A$5:$A$204,0))*1,0))))</f>
        <v>0</v>
      </c>
      <c r="W897" s="26">
        <f>IF(B897="","",ROUND(T897*V897,2))</f>
        <v>0</v>
      </c>
      <c r="X897" s="26">
        <f>IF(B897="","",ROUND(IF(M897="",0,W897*M897)+IF(N897="",0,N897),2))</f>
        <v>0</v>
      </c>
      <c r="Y897" s="26">
        <f>IF(B897="","",ROUND(W897-X897-IF(P897="",0,P897),2))</f>
        <v>0</v>
      </c>
      <c r="Z897" s="26">
        <f>IF(B897="","",IF(H897="Retail",IF(TaxOnRetail="Yes",ROUND(Y897*TaxRate,2),0),IF(H897="Service",IF(TaxOnServices="Yes",ROUND(Y897*TaxRate,2),0),0)))</f>
        <v>0</v>
      </c>
      <c r="AA897" s="26">
        <f>IF(B897="","",ROUND(Y897+Z897,2))</f>
        <v>0</v>
      </c>
      <c r="AB897" s="26">
        <f>IF(B897="","",ROUND(T897*IF(H897="Retail",IFERROR(INDEX(Inventory!$H$5:$H$304,MATCH(I897,Inventory!$A$5:$A$304,0))*1,0),IFERROR(INDEX(Services!$Q$5:$Q$204,MATCH(I897,Services!$A$5:$A$204,0))*1,0)),2))</f>
        <v>0</v>
      </c>
      <c r="AC897" s="26">
        <f>IF(B897="","",ROUND(Y897-AB897,2))</f>
        <v>0</v>
      </c>
      <c r="AD897" s="38">
        <f>IF(B897="","",IF(C897="","No",IF(COUNTIFS($C$5:C897,C897)=1,"Yes","No")))</f>
        <v>0</v>
      </c>
      <c r="AE897" s="26">
        <f>IF(B897="","",ROUND(SUMIFS(Payments!$G$5:$G$1204,Payments!$H$5:$H$1204,A897,Payments!$Q$5:$Q$1204,"Yes"),2))</f>
        <v>0</v>
      </c>
      <c r="AF897" s="26">
        <f>IF(B897="","",IF(AD897="No",0,ROUND(SUMIFS(Payments!$G$5:$G$1204,Payments!$I$5:$I$1204,C897,Payments!$H$5:$H$1204,"",Payments!$Q$5:$Q$1204,"Yes"),2)))</f>
        <v>0</v>
      </c>
      <c r="AG897" s="26">
        <f>IF(B897="","",ROUND(AE897+AF897,2))</f>
        <v>0</v>
      </c>
      <c r="AH897" s="26">
        <f>IF(B897="","",ROUND(AA897-AG897,2))</f>
        <v>0</v>
      </c>
      <c r="AI897" s="39">
        <f>IF(B897="","",IF(AA897&lt;=0,"No charge",IF(AH897&lt;=0.004,"Paid",IF(AG897&lt;=0.004,"Unpaid","Part paid"))))</f>
        <v>0</v>
      </c>
      <c r="AJ897" s="38">
        <f>IF(B897="","",IF(H897&lt;&gt;"Service","",IF(D897="","No",IF(COUNTIFS($D$5:$D$1204,D897,$B$5:$B$1204,B897,$H$5:$H$1204,"Retail")&gt;0,"Yes","No"))))</f>
        <v>0</v>
      </c>
      <c r="AK897" s="25">
        <f>IF(B897="","",COUNTIFS($Y$5:$Y$1204,"&gt;"&amp;Y897)+COUNTIFS($Y$5:Y897,Y897))</f>
        <v>0</v>
      </c>
      <c r="AL897" s="39">
        <f>IF(B897="","",IF(H897="","Add - what kind of sale is this?",IF(IF(V897&lt;=0,P897="",FALSE),"Check - no price found for this item",IF(F897="","Assign - nobody credited",IF(AH897&gt;0.004,"Unpaid - balance outstanding",IF(AC897&lt;0,"Loss - sold below cost",IF(X897&gt;W897*0.5,"Check - more than half off","OK")))))))</f>
        <v>0</v>
      </c>
    </row>
    <row r="898" spans="1:38">
      <c r="A898" s="28">
        <f>IF(B898="","",SalePrefix&amp;TEXT(ROW()-4,"0000"))</f>
        <v>0</v>
      </c>
      <c r="E898" s="15">
        <f>IF(D898="","",IFERROR(INDEX(Clients!$B$5:$B$504,MATCH(D898,Clients!$A$5:$A$504,0)),"Walk-in"))</f>
        <v>0</v>
      </c>
      <c r="G898" s="15">
        <f>IF(F898="","",IFERROR(INDEX(Staff!$B$5:$B$44,MATCH(F898,Staff!$A$5:$A$44,0)),"House"))</f>
        <v>0</v>
      </c>
      <c r="R898" s="15">
        <f>IF(B898="","",TEXT(B898,"yyyy-mm"))</f>
        <v>0</v>
      </c>
      <c r="S898" s="25">
        <f>IF(B898="","",WEEKNUM(B898,2))</f>
        <v>0</v>
      </c>
      <c r="T898" s="37">
        <f>IF(B898="","",IF(K898="",1,K898))</f>
        <v>0</v>
      </c>
      <c r="U898" s="15">
        <f>IF(B898="","",IF(J898&lt;&gt;"",J898,IF(H898="Retail",IFERROR(INDEX(Inventory!$B$5:$B$304,MATCH(I898,Inventory!$A$5:$A$304,0))&amp;"","Not in Inventory"),IFERROR(INDEX(Services!$B$5:$B$204,MATCH(I898,Services!$A$5:$A$204,0))&amp;"","Not in Services"))))</f>
        <v>0</v>
      </c>
      <c r="V898" s="26">
        <f>IF(B898="","",IF(L898&lt;&gt;"",L898,IF(H898="Retail",IFERROR(INDEX(Inventory!$I$5:$I$304,MATCH(I898,Inventory!$A$5:$A$304,0))*1,0),IFERROR(INDEX(Services!$G$5:$G$204,MATCH(I898,Services!$A$5:$A$204,0))*1,0))))</f>
        <v>0</v>
      </c>
      <c r="W898" s="26">
        <f>IF(B898="","",ROUND(T898*V898,2))</f>
        <v>0</v>
      </c>
      <c r="X898" s="26">
        <f>IF(B898="","",ROUND(IF(M898="",0,W898*M898)+IF(N898="",0,N898),2))</f>
        <v>0</v>
      </c>
      <c r="Y898" s="26">
        <f>IF(B898="","",ROUND(W898-X898-IF(P898="",0,P898),2))</f>
        <v>0</v>
      </c>
      <c r="Z898" s="26">
        <f>IF(B898="","",IF(H898="Retail",IF(TaxOnRetail="Yes",ROUND(Y898*TaxRate,2),0),IF(H898="Service",IF(TaxOnServices="Yes",ROUND(Y898*TaxRate,2),0),0)))</f>
        <v>0</v>
      </c>
      <c r="AA898" s="26">
        <f>IF(B898="","",ROUND(Y898+Z898,2))</f>
        <v>0</v>
      </c>
      <c r="AB898" s="26">
        <f>IF(B898="","",ROUND(T898*IF(H898="Retail",IFERROR(INDEX(Inventory!$H$5:$H$304,MATCH(I898,Inventory!$A$5:$A$304,0))*1,0),IFERROR(INDEX(Services!$Q$5:$Q$204,MATCH(I898,Services!$A$5:$A$204,0))*1,0)),2))</f>
        <v>0</v>
      </c>
      <c r="AC898" s="26">
        <f>IF(B898="","",ROUND(Y898-AB898,2))</f>
        <v>0</v>
      </c>
      <c r="AD898" s="38">
        <f>IF(B898="","",IF(C898="","No",IF(COUNTIFS($C$5:C898,C898)=1,"Yes","No")))</f>
        <v>0</v>
      </c>
      <c r="AE898" s="26">
        <f>IF(B898="","",ROUND(SUMIFS(Payments!$G$5:$G$1204,Payments!$H$5:$H$1204,A898,Payments!$Q$5:$Q$1204,"Yes"),2))</f>
        <v>0</v>
      </c>
      <c r="AF898" s="26">
        <f>IF(B898="","",IF(AD898="No",0,ROUND(SUMIFS(Payments!$G$5:$G$1204,Payments!$I$5:$I$1204,C898,Payments!$H$5:$H$1204,"",Payments!$Q$5:$Q$1204,"Yes"),2)))</f>
        <v>0</v>
      </c>
      <c r="AG898" s="26">
        <f>IF(B898="","",ROUND(AE898+AF898,2))</f>
        <v>0</v>
      </c>
      <c r="AH898" s="26">
        <f>IF(B898="","",ROUND(AA898-AG898,2))</f>
        <v>0</v>
      </c>
      <c r="AI898" s="39">
        <f>IF(B898="","",IF(AA898&lt;=0,"No charge",IF(AH898&lt;=0.004,"Paid",IF(AG898&lt;=0.004,"Unpaid","Part paid"))))</f>
        <v>0</v>
      </c>
      <c r="AJ898" s="38">
        <f>IF(B898="","",IF(H898&lt;&gt;"Service","",IF(D898="","No",IF(COUNTIFS($D$5:$D$1204,D898,$B$5:$B$1204,B898,$H$5:$H$1204,"Retail")&gt;0,"Yes","No"))))</f>
        <v>0</v>
      </c>
      <c r="AK898" s="25">
        <f>IF(B898="","",COUNTIFS($Y$5:$Y$1204,"&gt;"&amp;Y898)+COUNTIFS($Y$5:Y898,Y898))</f>
        <v>0</v>
      </c>
      <c r="AL898" s="39">
        <f>IF(B898="","",IF(H898="","Add - what kind of sale is this?",IF(IF(V898&lt;=0,P898="",FALSE),"Check - no price found for this item",IF(F898="","Assign - nobody credited",IF(AH898&gt;0.004,"Unpaid - balance outstanding",IF(AC898&lt;0,"Loss - sold below cost",IF(X898&gt;W898*0.5,"Check - more than half off","OK")))))))</f>
        <v>0</v>
      </c>
    </row>
    <row r="899" spans="1:38">
      <c r="A899" s="28">
        <f>IF(B899="","",SalePrefix&amp;TEXT(ROW()-4,"0000"))</f>
        <v>0</v>
      </c>
      <c r="E899" s="15">
        <f>IF(D899="","",IFERROR(INDEX(Clients!$B$5:$B$504,MATCH(D899,Clients!$A$5:$A$504,0)),"Walk-in"))</f>
        <v>0</v>
      </c>
      <c r="G899" s="15">
        <f>IF(F899="","",IFERROR(INDEX(Staff!$B$5:$B$44,MATCH(F899,Staff!$A$5:$A$44,0)),"House"))</f>
        <v>0</v>
      </c>
      <c r="R899" s="15">
        <f>IF(B899="","",TEXT(B899,"yyyy-mm"))</f>
        <v>0</v>
      </c>
      <c r="S899" s="25">
        <f>IF(B899="","",WEEKNUM(B899,2))</f>
        <v>0</v>
      </c>
      <c r="T899" s="37">
        <f>IF(B899="","",IF(K899="",1,K899))</f>
        <v>0</v>
      </c>
      <c r="U899" s="15">
        <f>IF(B899="","",IF(J899&lt;&gt;"",J899,IF(H899="Retail",IFERROR(INDEX(Inventory!$B$5:$B$304,MATCH(I899,Inventory!$A$5:$A$304,0))&amp;"","Not in Inventory"),IFERROR(INDEX(Services!$B$5:$B$204,MATCH(I899,Services!$A$5:$A$204,0))&amp;"","Not in Services"))))</f>
        <v>0</v>
      </c>
      <c r="V899" s="26">
        <f>IF(B899="","",IF(L899&lt;&gt;"",L899,IF(H899="Retail",IFERROR(INDEX(Inventory!$I$5:$I$304,MATCH(I899,Inventory!$A$5:$A$304,0))*1,0),IFERROR(INDEX(Services!$G$5:$G$204,MATCH(I899,Services!$A$5:$A$204,0))*1,0))))</f>
        <v>0</v>
      </c>
      <c r="W899" s="26">
        <f>IF(B899="","",ROUND(T899*V899,2))</f>
        <v>0</v>
      </c>
      <c r="X899" s="26">
        <f>IF(B899="","",ROUND(IF(M899="",0,W899*M899)+IF(N899="",0,N899),2))</f>
        <v>0</v>
      </c>
      <c r="Y899" s="26">
        <f>IF(B899="","",ROUND(W899-X899-IF(P899="",0,P899),2))</f>
        <v>0</v>
      </c>
      <c r="Z899" s="26">
        <f>IF(B899="","",IF(H899="Retail",IF(TaxOnRetail="Yes",ROUND(Y899*TaxRate,2),0),IF(H899="Service",IF(TaxOnServices="Yes",ROUND(Y899*TaxRate,2),0),0)))</f>
        <v>0</v>
      </c>
      <c r="AA899" s="26">
        <f>IF(B899="","",ROUND(Y899+Z899,2))</f>
        <v>0</v>
      </c>
      <c r="AB899" s="26">
        <f>IF(B899="","",ROUND(T899*IF(H899="Retail",IFERROR(INDEX(Inventory!$H$5:$H$304,MATCH(I899,Inventory!$A$5:$A$304,0))*1,0),IFERROR(INDEX(Services!$Q$5:$Q$204,MATCH(I899,Services!$A$5:$A$204,0))*1,0)),2))</f>
        <v>0</v>
      </c>
      <c r="AC899" s="26">
        <f>IF(B899="","",ROUND(Y899-AB899,2))</f>
        <v>0</v>
      </c>
      <c r="AD899" s="38">
        <f>IF(B899="","",IF(C899="","No",IF(COUNTIFS($C$5:C899,C899)=1,"Yes","No")))</f>
        <v>0</v>
      </c>
      <c r="AE899" s="26">
        <f>IF(B899="","",ROUND(SUMIFS(Payments!$G$5:$G$1204,Payments!$H$5:$H$1204,A899,Payments!$Q$5:$Q$1204,"Yes"),2))</f>
        <v>0</v>
      </c>
      <c r="AF899" s="26">
        <f>IF(B899="","",IF(AD899="No",0,ROUND(SUMIFS(Payments!$G$5:$G$1204,Payments!$I$5:$I$1204,C899,Payments!$H$5:$H$1204,"",Payments!$Q$5:$Q$1204,"Yes"),2)))</f>
        <v>0</v>
      </c>
      <c r="AG899" s="26">
        <f>IF(B899="","",ROUND(AE899+AF899,2))</f>
        <v>0</v>
      </c>
      <c r="AH899" s="26">
        <f>IF(B899="","",ROUND(AA899-AG899,2))</f>
        <v>0</v>
      </c>
      <c r="AI899" s="39">
        <f>IF(B899="","",IF(AA899&lt;=0,"No charge",IF(AH899&lt;=0.004,"Paid",IF(AG899&lt;=0.004,"Unpaid","Part paid"))))</f>
        <v>0</v>
      </c>
      <c r="AJ899" s="38">
        <f>IF(B899="","",IF(H899&lt;&gt;"Service","",IF(D899="","No",IF(COUNTIFS($D$5:$D$1204,D899,$B$5:$B$1204,B899,$H$5:$H$1204,"Retail")&gt;0,"Yes","No"))))</f>
        <v>0</v>
      </c>
      <c r="AK899" s="25">
        <f>IF(B899="","",COUNTIFS($Y$5:$Y$1204,"&gt;"&amp;Y899)+COUNTIFS($Y$5:Y899,Y899))</f>
        <v>0</v>
      </c>
      <c r="AL899" s="39">
        <f>IF(B899="","",IF(H899="","Add - what kind of sale is this?",IF(IF(V899&lt;=0,P899="",FALSE),"Check - no price found for this item",IF(F899="","Assign - nobody credited",IF(AH899&gt;0.004,"Unpaid - balance outstanding",IF(AC899&lt;0,"Loss - sold below cost",IF(X899&gt;W899*0.5,"Check - more than half off","OK")))))))</f>
        <v>0</v>
      </c>
    </row>
    <row r="900" spans="1:38">
      <c r="A900" s="28">
        <f>IF(B900="","",SalePrefix&amp;TEXT(ROW()-4,"0000"))</f>
        <v>0</v>
      </c>
      <c r="E900" s="15">
        <f>IF(D900="","",IFERROR(INDEX(Clients!$B$5:$B$504,MATCH(D900,Clients!$A$5:$A$504,0)),"Walk-in"))</f>
        <v>0</v>
      </c>
      <c r="G900" s="15">
        <f>IF(F900="","",IFERROR(INDEX(Staff!$B$5:$B$44,MATCH(F900,Staff!$A$5:$A$44,0)),"House"))</f>
        <v>0</v>
      </c>
      <c r="R900" s="15">
        <f>IF(B900="","",TEXT(B900,"yyyy-mm"))</f>
        <v>0</v>
      </c>
      <c r="S900" s="25">
        <f>IF(B900="","",WEEKNUM(B900,2))</f>
        <v>0</v>
      </c>
      <c r="T900" s="37">
        <f>IF(B900="","",IF(K900="",1,K900))</f>
        <v>0</v>
      </c>
      <c r="U900" s="15">
        <f>IF(B900="","",IF(J900&lt;&gt;"",J900,IF(H900="Retail",IFERROR(INDEX(Inventory!$B$5:$B$304,MATCH(I900,Inventory!$A$5:$A$304,0))&amp;"","Not in Inventory"),IFERROR(INDEX(Services!$B$5:$B$204,MATCH(I900,Services!$A$5:$A$204,0))&amp;"","Not in Services"))))</f>
        <v>0</v>
      </c>
      <c r="V900" s="26">
        <f>IF(B900="","",IF(L900&lt;&gt;"",L900,IF(H900="Retail",IFERROR(INDEX(Inventory!$I$5:$I$304,MATCH(I900,Inventory!$A$5:$A$304,0))*1,0),IFERROR(INDEX(Services!$G$5:$G$204,MATCH(I900,Services!$A$5:$A$204,0))*1,0))))</f>
        <v>0</v>
      </c>
      <c r="W900" s="26">
        <f>IF(B900="","",ROUND(T900*V900,2))</f>
        <v>0</v>
      </c>
      <c r="X900" s="26">
        <f>IF(B900="","",ROUND(IF(M900="",0,W900*M900)+IF(N900="",0,N900),2))</f>
        <v>0</v>
      </c>
      <c r="Y900" s="26">
        <f>IF(B900="","",ROUND(W900-X900-IF(P900="",0,P900),2))</f>
        <v>0</v>
      </c>
      <c r="Z900" s="26">
        <f>IF(B900="","",IF(H900="Retail",IF(TaxOnRetail="Yes",ROUND(Y900*TaxRate,2),0),IF(H900="Service",IF(TaxOnServices="Yes",ROUND(Y900*TaxRate,2),0),0)))</f>
        <v>0</v>
      </c>
      <c r="AA900" s="26">
        <f>IF(B900="","",ROUND(Y900+Z900,2))</f>
        <v>0</v>
      </c>
      <c r="AB900" s="26">
        <f>IF(B900="","",ROUND(T900*IF(H900="Retail",IFERROR(INDEX(Inventory!$H$5:$H$304,MATCH(I900,Inventory!$A$5:$A$304,0))*1,0),IFERROR(INDEX(Services!$Q$5:$Q$204,MATCH(I900,Services!$A$5:$A$204,0))*1,0)),2))</f>
        <v>0</v>
      </c>
      <c r="AC900" s="26">
        <f>IF(B900="","",ROUND(Y900-AB900,2))</f>
        <v>0</v>
      </c>
      <c r="AD900" s="38">
        <f>IF(B900="","",IF(C900="","No",IF(COUNTIFS($C$5:C900,C900)=1,"Yes","No")))</f>
        <v>0</v>
      </c>
      <c r="AE900" s="26">
        <f>IF(B900="","",ROUND(SUMIFS(Payments!$G$5:$G$1204,Payments!$H$5:$H$1204,A900,Payments!$Q$5:$Q$1204,"Yes"),2))</f>
        <v>0</v>
      </c>
      <c r="AF900" s="26">
        <f>IF(B900="","",IF(AD900="No",0,ROUND(SUMIFS(Payments!$G$5:$G$1204,Payments!$I$5:$I$1204,C900,Payments!$H$5:$H$1204,"",Payments!$Q$5:$Q$1204,"Yes"),2)))</f>
        <v>0</v>
      </c>
      <c r="AG900" s="26">
        <f>IF(B900="","",ROUND(AE900+AF900,2))</f>
        <v>0</v>
      </c>
      <c r="AH900" s="26">
        <f>IF(B900="","",ROUND(AA900-AG900,2))</f>
        <v>0</v>
      </c>
      <c r="AI900" s="39">
        <f>IF(B900="","",IF(AA900&lt;=0,"No charge",IF(AH900&lt;=0.004,"Paid",IF(AG900&lt;=0.004,"Unpaid","Part paid"))))</f>
        <v>0</v>
      </c>
      <c r="AJ900" s="38">
        <f>IF(B900="","",IF(H900&lt;&gt;"Service","",IF(D900="","No",IF(COUNTIFS($D$5:$D$1204,D900,$B$5:$B$1204,B900,$H$5:$H$1204,"Retail")&gt;0,"Yes","No"))))</f>
        <v>0</v>
      </c>
      <c r="AK900" s="25">
        <f>IF(B900="","",COUNTIFS($Y$5:$Y$1204,"&gt;"&amp;Y900)+COUNTIFS($Y$5:Y900,Y900))</f>
        <v>0</v>
      </c>
      <c r="AL900" s="39">
        <f>IF(B900="","",IF(H900="","Add - what kind of sale is this?",IF(IF(V900&lt;=0,P900="",FALSE),"Check - no price found for this item",IF(F900="","Assign - nobody credited",IF(AH900&gt;0.004,"Unpaid - balance outstanding",IF(AC900&lt;0,"Loss - sold below cost",IF(X900&gt;W900*0.5,"Check - more than half off","OK")))))))</f>
        <v>0</v>
      </c>
    </row>
    <row r="901" spans="1:38">
      <c r="A901" s="28">
        <f>IF(B901="","",SalePrefix&amp;TEXT(ROW()-4,"0000"))</f>
        <v>0</v>
      </c>
      <c r="E901" s="15">
        <f>IF(D901="","",IFERROR(INDEX(Clients!$B$5:$B$504,MATCH(D901,Clients!$A$5:$A$504,0)),"Walk-in"))</f>
        <v>0</v>
      </c>
      <c r="G901" s="15">
        <f>IF(F901="","",IFERROR(INDEX(Staff!$B$5:$B$44,MATCH(F901,Staff!$A$5:$A$44,0)),"House"))</f>
        <v>0</v>
      </c>
      <c r="R901" s="15">
        <f>IF(B901="","",TEXT(B901,"yyyy-mm"))</f>
        <v>0</v>
      </c>
      <c r="S901" s="25">
        <f>IF(B901="","",WEEKNUM(B901,2))</f>
        <v>0</v>
      </c>
      <c r="T901" s="37">
        <f>IF(B901="","",IF(K901="",1,K901))</f>
        <v>0</v>
      </c>
      <c r="U901" s="15">
        <f>IF(B901="","",IF(J901&lt;&gt;"",J901,IF(H901="Retail",IFERROR(INDEX(Inventory!$B$5:$B$304,MATCH(I901,Inventory!$A$5:$A$304,0))&amp;"","Not in Inventory"),IFERROR(INDEX(Services!$B$5:$B$204,MATCH(I901,Services!$A$5:$A$204,0))&amp;"","Not in Services"))))</f>
        <v>0</v>
      </c>
      <c r="V901" s="26">
        <f>IF(B901="","",IF(L901&lt;&gt;"",L901,IF(H901="Retail",IFERROR(INDEX(Inventory!$I$5:$I$304,MATCH(I901,Inventory!$A$5:$A$304,0))*1,0),IFERROR(INDEX(Services!$G$5:$G$204,MATCH(I901,Services!$A$5:$A$204,0))*1,0))))</f>
        <v>0</v>
      </c>
      <c r="W901" s="26">
        <f>IF(B901="","",ROUND(T901*V901,2))</f>
        <v>0</v>
      </c>
      <c r="X901" s="26">
        <f>IF(B901="","",ROUND(IF(M901="",0,W901*M901)+IF(N901="",0,N901),2))</f>
        <v>0</v>
      </c>
      <c r="Y901" s="26">
        <f>IF(B901="","",ROUND(W901-X901-IF(P901="",0,P901),2))</f>
        <v>0</v>
      </c>
      <c r="Z901" s="26">
        <f>IF(B901="","",IF(H901="Retail",IF(TaxOnRetail="Yes",ROUND(Y901*TaxRate,2),0),IF(H901="Service",IF(TaxOnServices="Yes",ROUND(Y901*TaxRate,2),0),0)))</f>
        <v>0</v>
      </c>
      <c r="AA901" s="26">
        <f>IF(B901="","",ROUND(Y901+Z901,2))</f>
        <v>0</v>
      </c>
      <c r="AB901" s="26">
        <f>IF(B901="","",ROUND(T901*IF(H901="Retail",IFERROR(INDEX(Inventory!$H$5:$H$304,MATCH(I901,Inventory!$A$5:$A$304,0))*1,0),IFERROR(INDEX(Services!$Q$5:$Q$204,MATCH(I901,Services!$A$5:$A$204,0))*1,0)),2))</f>
        <v>0</v>
      </c>
      <c r="AC901" s="26">
        <f>IF(B901="","",ROUND(Y901-AB901,2))</f>
        <v>0</v>
      </c>
      <c r="AD901" s="38">
        <f>IF(B901="","",IF(C901="","No",IF(COUNTIFS($C$5:C901,C901)=1,"Yes","No")))</f>
        <v>0</v>
      </c>
      <c r="AE901" s="26">
        <f>IF(B901="","",ROUND(SUMIFS(Payments!$G$5:$G$1204,Payments!$H$5:$H$1204,A901,Payments!$Q$5:$Q$1204,"Yes"),2))</f>
        <v>0</v>
      </c>
      <c r="AF901" s="26">
        <f>IF(B901="","",IF(AD901="No",0,ROUND(SUMIFS(Payments!$G$5:$G$1204,Payments!$I$5:$I$1204,C901,Payments!$H$5:$H$1204,"",Payments!$Q$5:$Q$1204,"Yes"),2)))</f>
        <v>0</v>
      </c>
      <c r="AG901" s="26">
        <f>IF(B901="","",ROUND(AE901+AF901,2))</f>
        <v>0</v>
      </c>
      <c r="AH901" s="26">
        <f>IF(B901="","",ROUND(AA901-AG901,2))</f>
        <v>0</v>
      </c>
      <c r="AI901" s="39">
        <f>IF(B901="","",IF(AA901&lt;=0,"No charge",IF(AH901&lt;=0.004,"Paid",IF(AG901&lt;=0.004,"Unpaid","Part paid"))))</f>
        <v>0</v>
      </c>
      <c r="AJ901" s="38">
        <f>IF(B901="","",IF(H901&lt;&gt;"Service","",IF(D901="","No",IF(COUNTIFS($D$5:$D$1204,D901,$B$5:$B$1204,B901,$H$5:$H$1204,"Retail")&gt;0,"Yes","No"))))</f>
        <v>0</v>
      </c>
      <c r="AK901" s="25">
        <f>IF(B901="","",COUNTIFS($Y$5:$Y$1204,"&gt;"&amp;Y901)+COUNTIFS($Y$5:Y901,Y901))</f>
        <v>0</v>
      </c>
      <c r="AL901" s="39">
        <f>IF(B901="","",IF(H901="","Add - what kind of sale is this?",IF(IF(V901&lt;=0,P901="",FALSE),"Check - no price found for this item",IF(F901="","Assign - nobody credited",IF(AH901&gt;0.004,"Unpaid - balance outstanding",IF(AC901&lt;0,"Loss - sold below cost",IF(X901&gt;W901*0.5,"Check - more than half off","OK")))))))</f>
        <v>0</v>
      </c>
    </row>
    <row r="902" spans="1:38">
      <c r="A902" s="28">
        <f>IF(B902="","",SalePrefix&amp;TEXT(ROW()-4,"0000"))</f>
        <v>0</v>
      </c>
      <c r="E902" s="15">
        <f>IF(D902="","",IFERROR(INDEX(Clients!$B$5:$B$504,MATCH(D902,Clients!$A$5:$A$504,0)),"Walk-in"))</f>
        <v>0</v>
      </c>
      <c r="G902" s="15">
        <f>IF(F902="","",IFERROR(INDEX(Staff!$B$5:$B$44,MATCH(F902,Staff!$A$5:$A$44,0)),"House"))</f>
        <v>0</v>
      </c>
      <c r="R902" s="15">
        <f>IF(B902="","",TEXT(B902,"yyyy-mm"))</f>
        <v>0</v>
      </c>
      <c r="S902" s="25">
        <f>IF(B902="","",WEEKNUM(B902,2))</f>
        <v>0</v>
      </c>
      <c r="T902" s="37">
        <f>IF(B902="","",IF(K902="",1,K902))</f>
        <v>0</v>
      </c>
      <c r="U902" s="15">
        <f>IF(B902="","",IF(J902&lt;&gt;"",J902,IF(H902="Retail",IFERROR(INDEX(Inventory!$B$5:$B$304,MATCH(I902,Inventory!$A$5:$A$304,0))&amp;"","Not in Inventory"),IFERROR(INDEX(Services!$B$5:$B$204,MATCH(I902,Services!$A$5:$A$204,0))&amp;"","Not in Services"))))</f>
        <v>0</v>
      </c>
      <c r="V902" s="26">
        <f>IF(B902="","",IF(L902&lt;&gt;"",L902,IF(H902="Retail",IFERROR(INDEX(Inventory!$I$5:$I$304,MATCH(I902,Inventory!$A$5:$A$304,0))*1,0),IFERROR(INDEX(Services!$G$5:$G$204,MATCH(I902,Services!$A$5:$A$204,0))*1,0))))</f>
        <v>0</v>
      </c>
      <c r="W902" s="26">
        <f>IF(B902="","",ROUND(T902*V902,2))</f>
        <v>0</v>
      </c>
      <c r="X902" s="26">
        <f>IF(B902="","",ROUND(IF(M902="",0,W902*M902)+IF(N902="",0,N902),2))</f>
        <v>0</v>
      </c>
      <c r="Y902" s="26">
        <f>IF(B902="","",ROUND(W902-X902-IF(P902="",0,P902),2))</f>
        <v>0</v>
      </c>
      <c r="Z902" s="26">
        <f>IF(B902="","",IF(H902="Retail",IF(TaxOnRetail="Yes",ROUND(Y902*TaxRate,2),0),IF(H902="Service",IF(TaxOnServices="Yes",ROUND(Y902*TaxRate,2),0),0)))</f>
        <v>0</v>
      </c>
      <c r="AA902" s="26">
        <f>IF(B902="","",ROUND(Y902+Z902,2))</f>
        <v>0</v>
      </c>
      <c r="AB902" s="26">
        <f>IF(B902="","",ROUND(T902*IF(H902="Retail",IFERROR(INDEX(Inventory!$H$5:$H$304,MATCH(I902,Inventory!$A$5:$A$304,0))*1,0),IFERROR(INDEX(Services!$Q$5:$Q$204,MATCH(I902,Services!$A$5:$A$204,0))*1,0)),2))</f>
        <v>0</v>
      </c>
      <c r="AC902" s="26">
        <f>IF(B902="","",ROUND(Y902-AB902,2))</f>
        <v>0</v>
      </c>
      <c r="AD902" s="38">
        <f>IF(B902="","",IF(C902="","No",IF(COUNTIFS($C$5:C902,C902)=1,"Yes","No")))</f>
        <v>0</v>
      </c>
      <c r="AE902" s="26">
        <f>IF(B902="","",ROUND(SUMIFS(Payments!$G$5:$G$1204,Payments!$H$5:$H$1204,A902,Payments!$Q$5:$Q$1204,"Yes"),2))</f>
        <v>0</v>
      </c>
      <c r="AF902" s="26">
        <f>IF(B902="","",IF(AD902="No",0,ROUND(SUMIFS(Payments!$G$5:$G$1204,Payments!$I$5:$I$1204,C902,Payments!$H$5:$H$1204,"",Payments!$Q$5:$Q$1204,"Yes"),2)))</f>
        <v>0</v>
      </c>
      <c r="AG902" s="26">
        <f>IF(B902="","",ROUND(AE902+AF902,2))</f>
        <v>0</v>
      </c>
      <c r="AH902" s="26">
        <f>IF(B902="","",ROUND(AA902-AG902,2))</f>
        <v>0</v>
      </c>
      <c r="AI902" s="39">
        <f>IF(B902="","",IF(AA902&lt;=0,"No charge",IF(AH902&lt;=0.004,"Paid",IF(AG902&lt;=0.004,"Unpaid","Part paid"))))</f>
        <v>0</v>
      </c>
      <c r="AJ902" s="38">
        <f>IF(B902="","",IF(H902&lt;&gt;"Service","",IF(D902="","No",IF(COUNTIFS($D$5:$D$1204,D902,$B$5:$B$1204,B902,$H$5:$H$1204,"Retail")&gt;0,"Yes","No"))))</f>
        <v>0</v>
      </c>
      <c r="AK902" s="25">
        <f>IF(B902="","",COUNTIFS($Y$5:$Y$1204,"&gt;"&amp;Y902)+COUNTIFS($Y$5:Y902,Y902))</f>
        <v>0</v>
      </c>
      <c r="AL902" s="39">
        <f>IF(B902="","",IF(H902="","Add - what kind of sale is this?",IF(IF(V902&lt;=0,P902="",FALSE),"Check - no price found for this item",IF(F902="","Assign - nobody credited",IF(AH902&gt;0.004,"Unpaid - balance outstanding",IF(AC902&lt;0,"Loss - sold below cost",IF(X902&gt;W902*0.5,"Check - more than half off","OK")))))))</f>
        <v>0</v>
      </c>
    </row>
    <row r="903" spans="1:38">
      <c r="A903" s="28">
        <f>IF(B903="","",SalePrefix&amp;TEXT(ROW()-4,"0000"))</f>
        <v>0</v>
      </c>
      <c r="E903" s="15">
        <f>IF(D903="","",IFERROR(INDEX(Clients!$B$5:$B$504,MATCH(D903,Clients!$A$5:$A$504,0)),"Walk-in"))</f>
        <v>0</v>
      </c>
      <c r="G903" s="15">
        <f>IF(F903="","",IFERROR(INDEX(Staff!$B$5:$B$44,MATCH(F903,Staff!$A$5:$A$44,0)),"House"))</f>
        <v>0</v>
      </c>
      <c r="R903" s="15">
        <f>IF(B903="","",TEXT(B903,"yyyy-mm"))</f>
        <v>0</v>
      </c>
      <c r="S903" s="25">
        <f>IF(B903="","",WEEKNUM(B903,2))</f>
        <v>0</v>
      </c>
      <c r="T903" s="37">
        <f>IF(B903="","",IF(K903="",1,K903))</f>
        <v>0</v>
      </c>
      <c r="U903" s="15">
        <f>IF(B903="","",IF(J903&lt;&gt;"",J903,IF(H903="Retail",IFERROR(INDEX(Inventory!$B$5:$B$304,MATCH(I903,Inventory!$A$5:$A$304,0))&amp;"","Not in Inventory"),IFERROR(INDEX(Services!$B$5:$B$204,MATCH(I903,Services!$A$5:$A$204,0))&amp;"","Not in Services"))))</f>
        <v>0</v>
      </c>
      <c r="V903" s="26">
        <f>IF(B903="","",IF(L903&lt;&gt;"",L903,IF(H903="Retail",IFERROR(INDEX(Inventory!$I$5:$I$304,MATCH(I903,Inventory!$A$5:$A$304,0))*1,0),IFERROR(INDEX(Services!$G$5:$G$204,MATCH(I903,Services!$A$5:$A$204,0))*1,0))))</f>
        <v>0</v>
      </c>
      <c r="W903" s="26">
        <f>IF(B903="","",ROUND(T903*V903,2))</f>
        <v>0</v>
      </c>
      <c r="X903" s="26">
        <f>IF(B903="","",ROUND(IF(M903="",0,W903*M903)+IF(N903="",0,N903),2))</f>
        <v>0</v>
      </c>
      <c r="Y903" s="26">
        <f>IF(B903="","",ROUND(W903-X903-IF(P903="",0,P903),2))</f>
        <v>0</v>
      </c>
      <c r="Z903" s="26">
        <f>IF(B903="","",IF(H903="Retail",IF(TaxOnRetail="Yes",ROUND(Y903*TaxRate,2),0),IF(H903="Service",IF(TaxOnServices="Yes",ROUND(Y903*TaxRate,2),0),0)))</f>
        <v>0</v>
      </c>
      <c r="AA903" s="26">
        <f>IF(B903="","",ROUND(Y903+Z903,2))</f>
        <v>0</v>
      </c>
      <c r="AB903" s="26">
        <f>IF(B903="","",ROUND(T903*IF(H903="Retail",IFERROR(INDEX(Inventory!$H$5:$H$304,MATCH(I903,Inventory!$A$5:$A$304,0))*1,0),IFERROR(INDEX(Services!$Q$5:$Q$204,MATCH(I903,Services!$A$5:$A$204,0))*1,0)),2))</f>
        <v>0</v>
      </c>
      <c r="AC903" s="26">
        <f>IF(B903="","",ROUND(Y903-AB903,2))</f>
        <v>0</v>
      </c>
      <c r="AD903" s="38">
        <f>IF(B903="","",IF(C903="","No",IF(COUNTIFS($C$5:C903,C903)=1,"Yes","No")))</f>
        <v>0</v>
      </c>
      <c r="AE903" s="26">
        <f>IF(B903="","",ROUND(SUMIFS(Payments!$G$5:$G$1204,Payments!$H$5:$H$1204,A903,Payments!$Q$5:$Q$1204,"Yes"),2))</f>
        <v>0</v>
      </c>
      <c r="AF903" s="26">
        <f>IF(B903="","",IF(AD903="No",0,ROUND(SUMIFS(Payments!$G$5:$G$1204,Payments!$I$5:$I$1204,C903,Payments!$H$5:$H$1204,"",Payments!$Q$5:$Q$1204,"Yes"),2)))</f>
        <v>0</v>
      </c>
      <c r="AG903" s="26">
        <f>IF(B903="","",ROUND(AE903+AF903,2))</f>
        <v>0</v>
      </c>
      <c r="AH903" s="26">
        <f>IF(B903="","",ROUND(AA903-AG903,2))</f>
        <v>0</v>
      </c>
      <c r="AI903" s="39">
        <f>IF(B903="","",IF(AA903&lt;=0,"No charge",IF(AH903&lt;=0.004,"Paid",IF(AG903&lt;=0.004,"Unpaid","Part paid"))))</f>
        <v>0</v>
      </c>
      <c r="AJ903" s="38">
        <f>IF(B903="","",IF(H903&lt;&gt;"Service","",IF(D903="","No",IF(COUNTIFS($D$5:$D$1204,D903,$B$5:$B$1204,B903,$H$5:$H$1204,"Retail")&gt;0,"Yes","No"))))</f>
        <v>0</v>
      </c>
      <c r="AK903" s="25">
        <f>IF(B903="","",COUNTIFS($Y$5:$Y$1204,"&gt;"&amp;Y903)+COUNTIFS($Y$5:Y903,Y903))</f>
        <v>0</v>
      </c>
      <c r="AL903" s="39">
        <f>IF(B903="","",IF(H903="","Add - what kind of sale is this?",IF(IF(V903&lt;=0,P903="",FALSE),"Check - no price found for this item",IF(F903="","Assign - nobody credited",IF(AH903&gt;0.004,"Unpaid - balance outstanding",IF(AC903&lt;0,"Loss - sold below cost",IF(X903&gt;W903*0.5,"Check - more than half off","OK")))))))</f>
        <v>0</v>
      </c>
    </row>
    <row r="904" spans="1:38">
      <c r="A904" s="28">
        <f>IF(B904="","",SalePrefix&amp;TEXT(ROW()-4,"0000"))</f>
        <v>0</v>
      </c>
      <c r="E904" s="15">
        <f>IF(D904="","",IFERROR(INDEX(Clients!$B$5:$B$504,MATCH(D904,Clients!$A$5:$A$504,0)),"Walk-in"))</f>
        <v>0</v>
      </c>
      <c r="G904" s="15">
        <f>IF(F904="","",IFERROR(INDEX(Staff!$B$5:$B$44,MATCH(F904,Staff!$A$5:$A$44,0)),"House"))</f>
        <v>0</v>
      </c>
      <c r="R904" s="15">
        <f>IF(B904="","",TEXT(B904,"yyyy-mm"))</f>
        <v>0</v>
      </c>
      <c r="S904" s="25">
        <f>IF(B904="","",WEEKNUM(B904,2))</f>
        <v>0</v>
      </c>
      <c r="T904" s="37">
        <f>IF(B904="","",IF(K904="",1,K904))</f>
        <v>0</v>
      </c>
      <c r="U904" s="15">
        <f>IF(B904="","",IF(J904&lt;&gt;"",J904,IF(H904="Retail",IFERROR(INDEX(Inventory!$B$5:$B$304,MATCH(I904,Inventory!$A$5:$A$304,0))&amp;"","Not in Inventory"),IFERROR(INDEX(Services!$B$5:$B$204,MATCH(I904,Services!$A$5:$A$204,0))&amp;"","Not in Services"))))</f>
        <v>0</v>
      </c>
      <c r="V904" s="26">
        <f>IF(B904="","",IF(L904&lt;&gt;"",L904,IF(H904="Retail",IFERROR(INDEX(Inventory!$I$5:$I$304,MATCH(I904,Inventory!$A$5:$A$304,0))*1,0),IFERROR(INDEX(Services!$G$5:$G$204,MATCH(I904,Services!$A$5:$A$204,0))*1,0))))</f>
        <v>0</v>
      </c>
      <c r="W904" s="26">
        <f>IF(B904="","",ROUND(T904*V904,2))</f>
        <v>0</v>
      </c>
      <c r="X904" s="26">
        <f>IF(B904="","",ROUND(IF(M904="",0,W904*M904)+IF(N904="",0,N904),2))</f>
        <v>0</v>
      </c>
      <c r="Y904" s="26">
        <f>IF(B904="","",ROUND(W904-X904-IF(P904="",0,P904),2))</f>
        <v>0</v>
      </c>
      <c r="Z904" s="26">
        <f>IF(B904="","",IF(H904="Retail",IF(TaxOnRetail="Yes",ROUND(Y904*TaxRate,2),0),IF(H904="Service",IF(TaxOnServices="Yes",ROUND(Y904*TaxRate,2),0),0)))</f>
        <v>0</v>
      </c>
      <c r="AA904" s="26">
        <f>IF(B904="","",ROUND(Y904+Z904,2))</f>
        <v>0</v>
      </c>
      <c r="AB904" s="26">
        <f>IF(B904="","",ROUND(T904*IF(H904="Retail",IFERROR(INDEX(Inventory!$H$5:$H$304,MATCH(I904,Inventory!$A$5:$A$304,0))*1,0),IFERROR(INDEX(Services!$Q$5:$Q$204,MATCH(I904,Services!$A$5:$A$204,0))*1,0)),2))</f>
        <v>0</v>
      </c>
      <c r="AC904" s="26">
        <f>IF(B904="","",ROUND(Y904-AB904,2))</f>
        <v>0</v>
      </c>
      <c r="AD904" s="38">
        <f>IF(B904="","",IF(C904="","No",IF(COUNTIFS($C$5:C904,C904)=1,"Yes","No")))</f>
        <v>0</v>
      </c>
      <c r="AE904" s="26">
        <f>IF(B904="","",ROUND(SUMIFS(Payments!$G$5:$G$1204,Payments!$H$5:$H$1204,A904,Payments!$Q$5:$Q$1204,"Yes"),2))</f>
        <v>0</v>
      </c>
      <c r="AF904" s="26">
        <f>IF(B904="","",IF(AD904="No",0,ROUND(SUMIFS(Payments!$G$5:$G$1204,Payments!$I$5:$I$1204,C904,Payments!$H$5:$H$1204,"",Payments!$Q$5:$Q$1204,"Yes"),2)))</f>
        <v>0</v>
      </c>
      <c r="AG904" s="26">
        <f>IF(B904="","",ROUND(AE904+AF904,2))</f>
        <v>0</v>
      </c>
      <c r="AH904" s="26">
        <f>IF(B904="","",ROUND(AA904-AG904,2))</f>
        <v>0</v>
      </c>
      <c r="AI904" s="39">
        <f>IF(B904="","",IF(AA904&lt;=0,"No charge",IF(AH904&lt;=0.004,"Paid",IF(AG904&lt;=0.004,"Unpaid","Part paid"))))</f>
        <v>0</v>
      </c>
      <c r="AJ904" s="38">
        <f>IF(B904="","",IF(H904&lt;&gt;"Service","",IF(D904="","No",IF(COUNTIFS($D$5:$D$1204,D904,$B$5:$B$1204,B904,$H$5:$H$1204,"Retail")&gt;0,"Yes","No"))))</f>
        <v>0</v>
      </c>
      <c r="AK904" s="25">
        <f>IF(B904="","",COUNTIFS($Y$5:$Y$1204,"&gt;"&amp;Y904)+COUNTIFS($Y$5:Y904,Y904))</f>
        <v>0</v>
      </c>
      <c r="AL904" s="39">
        <f>IF(B904="","",IF(H904="","Add - what kind of sale is this?",IF(IF(V904&lt;=0,P904="",FALSE),"Check - no price found for this item",IF(F904="","Assign - nobody credited",IF(AH904&gt;0.004,"Unpaid - balance outstanding",IF(AC904&lt;0,"Loss - sold below cost",IF(X904&gt;W904*0.5,"Check - more than half off","OK")))))))</f>
        <v>0</v>
      </c>
    </row>
    <row r="905" spans="1:38">
      <c r="A905" s="28">
        <f>IF(B905="","",SalePrefix&amp;TEXT(ROW()-4,"0000"))</f>
        <v>0</v>
      </c>
      <c r="E905" s="15">
        <f>IF(D905="","",IFERROR(INDEX(Clients!$B$5:$B$504,MATCH(D905,Clients!$A$5:$A$504,0)),"Walk-in"))</f>
        <v>0</v>
      </c>
      <c r="G905" s="15">
        <f>IF(F905="","",IFERROR(INDEX(Staff!$B$5:$B$44,MATCH(F905,Staff!$A$5:$A$44,0)),"House"))</f>
        <v>0</v>
      </c>
      <c r="R905" s="15">
        <f>IF(B905="","",TEXT(B905,"yyyy-mm"))</f>
        <v>0</v>
      </c>
      <c r="S905" s="25">
        <f>IF(B905="","",WEEKNUM(B905,2))</f>
        <v>0</v>
      </c>
      <c r="T905" s="37">
        <f>IF(B905="","",IF(K905="",1,K905))</f>
        <v>0</v>
      </c>
      <c r="U905" s="15">
        <f>IF(B905="","",IF(J905&lt;&gt;"",J905,IF(H905="Retail",IFERROR(INDEX(Inventory!$B$5:$B$304,MATCH(I905,Inventory!$A$5:$A$304,0))&amp;"","Not in Inventory"),IFERROR(INDEX(Services!$B$5:$B$204,MATCH(I905,Services!$A$5:$A$204,0))&amp;"","Not in Services"))))</f>
        <v>0</v>
      </c>
      <c r="V905" s="26">
        <f>IF(B905="","",IF(L905&lt;&gt;"",L905,IF(H905="Retail",IFERROR(INDEX(Inventory!$I$5:$I$304,MATCH(I905,Inventory!$A$5:$A$304,0))*1,0),IFERROR(INDEX(Services!$G$5:$G$204,MATCH(I905,Services!$A$5:$A$204,0))*1,0))))</f>
        <v>0</v>
      </c>
      <c r="W905" s="26">
        <f>IF(B905="","",ROUND(T905*V905,2))</f>
        <v>0</v>
      </c>
      <c r="X905" s="26">
        <f>IF(B905="","",ROUND(IF(M905="",0,W905*M905)+IF(N905="",0,N905),2))</f>
        <v>0</v>
      </c>
      <c r="Y905" s="26">
        <f>IF(B905="","",ROUND(W905-X905-IF(P905="",0,P905),2))</f>
        <v>0</v>
      </c>
      <c r="Z905" s="26">
        <f>IF(B905="","",IF(H905="Retail",IF(TaxOnRetail="Yes",ROUND(Y905*TaxRate,2),0),IF(H905="Service",IF(TaxOnServices="Yes",ROUND(Y905*TaxRate,2),0),0)))</f>
        <v>0</v>
      </c>
      <c r="AA905" s="26">
        <f>IF(B905="","",ROUND(Y905+Z905,2))</f>
        <v>0</v>
      </c>
      <c r="AB905" s="26">
        <f>IF(B905="","",ROUND(T905*IF(H905="Retail",IFERROR(INDEX(Inventory!$H$5:$H$304,MATCH(I905,Inventory!$A$5:$A$304,0))*1,0),IFERROR(INDEX(Services!$Q$5:$Q$204,MATCH(I905,Services!$A$5:$A$204,0))*1,0)),2))</f>
        <v>0</v>
      </c>
      <c r="AC905" s="26">
        <f>IF(B905="","",ROUND(Y905-AB905,2))</f>
        <v>0</v>
      </c>
      <c r="AD905" s="38">
        <f>IF(B905="","",IF(C905="","No",IF(COUNTIFS($C$5:C905,C905)=1,"Yes","No")))</f>
        <v>0</v>
      </c>
      <c r="AE905" s="26">
        <f>IF(B905="","",ROUND(SUMIFS(Payments!$G$5:$G$1204,Payments!$H$5:$H$1204,A905,Payments!$Q$5:$Q$1204,"Yes"),2))</f>
        <v>0</v>
      </c>
      <c r="AF905" s="26">
        <f>IF(B905="","",IF(AD905="No",0,ROUND(SUMIFS(Payments!$G$5:$G$1204,Payments!$I$5:$I$1204,C905,Payments!$H$5:$H$1204,"",Payments!$Q$5:$Q$1204,"Yes"),2)))</f>
        <v>0</v>
      </c>
      <c r="AG905" s="26">
        <f>IF(B905="","",ROUND(AE905+AF905,2))</f>
        <v>0</v>
      </c>
      <c r="AH905" s="26">
        <f>IF(B905="","",ROUND(AA905-AG905,2))</f>
        <v>0</v>
      </c>
      <c r="AI905" s="39">
        <f>IF(B905="","",IF(AA905&lt;=0,"No charge",IF(AH905&lt;=0.004,"Paid",IF(AG905&lt;=0.004,"Unpaid","Part paid"))))</f>
        <v>0</v>
      </c>
      <c r="AJ905" s="38">
        <f>IF(B905="","",IF(H905&lt;&gt;"Service","",IF(D905="","No",IF(COUNTIFS($D$5:$D$1204,D905,$B$5:$B$1204,B905,$H$5:$H$1204,"Retail")&gt;0,"Yes","No"))))</f>
        <v>0</v>
      </c>
      <c r="AK905" s="25">
        <f>IF(B905="","",COUNTIFS($Y$5:$Y$1204,"&gt;"&amp;Y905)+COUNTIFS($Y$5:Y905,Y905))</f>
        <v>0</v>
      </c>
      <c r="AL905" s="39">
        <f>IF(B905="","",IF(H905="","Add - what kind of sale is this?",IF(IF(V905&lt;=0,P905="",FALSE),"Check - no price found for this item",IF(F905="","Assign - nobody credited",IF(AH905&gt;0.004,"Unpaid - balance outstanding",IF(AC905&lt;0,"Loss - sold below cost",IF(X905&gt;W905*0.5,"Check - more than half off","OK")))))))</f>
        <v>0</v>
      </c>
    </row>
    <row r="906" spans="1:38">
      <c r="A906" s="28">
        <f>IF(B906="","",SalePrefix&amp;TEXT(ROW()-4,"0000"))</f>
        <v>0</v>
      </c>
      <c r="E906" s="15">
        <f>IF(D906="","",IFERROR(INDEX(Clients!$B$5:$B$504,MATCH(D906,Clients!$A$5:$A$504,0)),"Walk-in"))</f>
        <v>0</v>
      </c>
      <c r="G906" s="15">
        <f>IF(F906="","",IFERROR(INDEX(Staff!$B$5:$B$44,MATCH(F906,Staff!$A$5:$A$44,0)),"House"))</f>
        <v>0</v>
      </c>
      <c r="R906" s="15">
        <f>IF(B906="","",TEXT(B906,"yyyy-mm"))</f>
        <v>0</v>
      </c>
      <c r="S906" s="25">
        <f>IF(B906="","",WEEKNUM(B906,2))</f>
        <v>0</v>
      </c>
      <c r="T906" s="37">
        <f>IF(B906="","",IF(K906="",1,K906))</f>
        <v>0</v>
      </c>
      <c r="U906" s="15">
        <f>IF(B906="","",IF(J906&lt;&gt;"",J906,IF(H906="Retail",IFERROR(INDEX(Inventory!$B$5:$B$304,MATCH(I906,Inventory!$A$5:$A$304,0))&amp;"","Not in Inventory"),IFERROR(INDEX(Services!$B$5:$B$204,MATCH(I906,Services!$A$5:$A$204,0))&amp;"","Not in Services"))))</f>
        <v>0</v>
      </c>
      <c r="V906" s="26">
        <f>IF(B906="","",IF(L906&lt;&gt;"",L906,IF(H906="Retail",IFERROR(INDEX(Inventory!$I$5:$I$304,MATCH(I906,Inventory!$A$5:$A$304,0))*1,0),IFERROR(INDEX(Services!$G$5:$G$204,MATCH(I906,Services!$A$5:$A$204,0))*1,0))))</f>
        <v>0</v>
      </c>
      <c r="W906" s="26">
        <f>IF(B906="","",ROUND(T906*V906,2))</f>
        <v>0</v>
      </c>
      <c r="X906" s="26">
        <f>IF(B906="","",ROUND(IF(M906="",0,W906*M906)+IF(N906="",0,N906),2))</f>
        <v>0</v>
      </c>
      <c r="Y906" s="26">
        <f>IF(B906="","",ROUND(W906-X906-IF(P906="",0,P906),2))</f>
        <v>0</v>
      </c>
      <c r="Z906" s="26">
        <f>IF(B906="","",IF(H906="Retail",IF(TaxOnRetail="Yes",ROUND(Y906*TaxRate,2),0),IF(H906="Service",IF(TaxOnServices="Yes",ROUND(Y906*TaxRate,2),0),0)))</f>
        <v>0</v>
      </c>
      <c r="AA906" s="26">
        <f>IF(B906="","",ROUND(Y906+Z906,2))</f>
        <v>0</v>
      </c>
      <c r="AB906" s="26">
        <f>IF(B906="","",ROUND(T906*IF(H906="Retail",IFERROR(INDEX(Inventory!$H$5:$H$304,MATCH(I906,Inventory!$A$5:$A$304,0))*1,0),IFERROR(INDEX(Services!$Q$5:$Q$204,MATCH(I906,Services!$A$5:$A$204,0))*1,0)),2))</f>
        <v>0</v>
      </c>
      <c r="AC906" s="26">
        <f>IF(B906="","",ROUND(Y906-AB906,2))</f>
        <v>0</v>
      </c>
      <c r="AD906" s="38">
        <f>IF(B906="","",IF(C906="","No",IF(COUNTIFS($C$5:C906,C906)=1,"Yes","No")))</f>
        <v>0</v>
      </c>
      <c r="AE906" s="26">
        <f>IF(B906="","",ROUND(SUMIFS(Payments!$G$5:$G$1204,Payments!$H$5:$H$1204,A906,Payments!$Q$5:$Q$1204,"Yes"),2))</f>
        <v>0</v>
      </c>
      <c r="AF906" s="26">
        <f>IF(B906="","",IF(AD906="No",0,ROUND(SUMIFS(Payments!$G$5:$G$1204,Payments!$I$5:$I$1204,C906,Payments!$H$5:$H$1204,"",Payments!$Q$5:$Q$1204,"Yes"),2)))</f>
        <v>0</v>
      </c>
      <c r="AG906" s="26">
        <f>IF(B906="","",ROUND(AE906+AF906,2))</f>
        <v>0</v>
      </c>
      <c r="AH906" s="26">
        <f>IF(B906="","",ROUND(AA906-AG906,2))</f>
        <v>0</v>
      </c>
      <c r="AI906" s="39">
        <f>IF(B906="","",IF(AA906&lt;=0,"No charge",IF(AH906&lt;=0.004,"Paid",IF(AG906&lt;=0.004,"Unpaid","Part paid"))))</f>
        <v>0</v>
      </c>
      <c r="AJ906" s="38">
        <f>IF(B906="","",IF(H906&lt;&gt;"Service","",IF(D906="","No",IF(COUNTIFS($D$5:$D$1204,D906,$B$5:$B$1204,B906,$H$5:$H$1204,"Retail")&gt;0,"Yes","No"))))</f>
        <v>0</v>
      </c>
      <c r="AK906" s="25">
        <f>IF(B906="","",COUNTIFS($Y$5:$Y$1204,"&gt;"&amp;Y906)+COUNTIFS($Y$5:Y906,Y906))</f>
        <v>0</v>
      </c>
      <c r="AL906" s="39">
        <f>IF(B906="","",IF(H906="","Add - what kind of sale is this?",IF(IF(V906&lt;=0,P906="",FALSE),"Check - no price found for this item",IF(F906="","Assign - nobody credited",IF(AH906&gt;0.004,"Unpaid - balance outstanding",IF(AC906&lt;0,"Loss - sold below cost",IF(X906&gt;W906*0.5,"Check - more than half off","OK")))))))</f>
        <v>0</v>
      </c>
    </row>
    <row r="907" spans="1:38">
      <c r="A907" s="28">
        <f>IF(B907="","",SalePrefix&amp;TEXT(ROW()-4,"0000"))</f>
        <v>0</v>
      </c>
      <c r="E907" s="15">
        <f>IF(D907="","",IFERROR(INDEX(Clients!$B$5:$B$504,MATCH(D907,Clients!$A$5:$A$504,0)),"Walk-in"))</f>
        <v>0</v>
      </c>
      <c r="G907" s="15">
        <f>IF(F907="","",IFERROR(INDEX(Staff!$B$5:$B$44,MATCH(F907,Staff!$A$5:$A$44,0)),"House"))</f>
        <v>0</v>
      </c>
      <c r="R907" s="15">
        <f>IF(B907="","",TEXT(B907,"yyyy-mm"))</f>
        <v>0</v>
      </c>
      <c r="S907" s="25">
        <f>IF(B907="","",WEEKNUM(B907,2))</f>
        <v>0</v>
      </c>
      <c r="T907" s="37">
        <f>IF(B907="","",IF(K907="",1,K907))</f>
        <v>0</v>
      </c>
      <c r="U907" s="15">
        <f>IF(B907="","",IF(J907&lt;&gt;"",J907,IF(H907="Retail",IFERROR(INDEX(Inventory!$B$5:$B$304,MATCH(I907,Inventory!$A$5:$A$304,0))&amp;"","Not in Inventory"),IFERROR(INDEX(Services!$B$5:$B$204,MATCH(I907,Services!$A$5:$A$204,0))&amp;"","Not in Services"))))</f>
        <v>0</v>
      </c>
      <c r="V907" s="26">
        <f>IF(B907="","",IF(L907&lt;&gt;"",L907,IF(H907="Retail",IFERROR(INDEX(Inventory!$I$5:$I$304,MATCH(I907,Inventory!$A$5:$A$304,0))*1,0),IFERROR(INDEX(Services!$G$5:$G$204,MATCH(I907,Services!$A$5:$A$204,0))*1,0))))</f>
        <v>0</v>
      </c>
      <c r="W907" s="26">
        <f>IF(B907="","",ROUND(T907*V907,2))</f>
        <v>0</v>
      </c>
      <c r="X907" s="26">
        <f>IF(B907="","",ROUND(IF(M907="",0,W907*M907)+IF(N907="",0,N907),2))</f>
        <v>0</v>
      </c>
      <c r="Y907" s="26">
        <f>IF(B907="","",ROUND(W907-X907-IF(P907="",0,P907),2))</f>
        <v>0</v>
      </c>
      <c r="Z907" s="26">
        <f>IF(B907="","",IF(H907="Retail",IF(TaxOnRetail="Yes",ROUND(Y907*TaxRate,2),0),IF(H907="Service",IF(TaxOnServices="Yes",ROUND(Y907*TaxRate,2),0),0)))</f>
        <v>0</v>
      </c>
      <c r="AA907" s="26">
        <f>IF(B907="","",ROUND(Y907+Z907,2))</f>
        <v>0</v>
      </c>
      <c r="AB907" s="26">
        <f>IF(B907="","",ROUND(T907*IF(H907="Retail",IFERROR(INDEX(Inventory!$H$5:$H$304,MATCH(I907,Inventory!$A$5:$A$304,0))*1,0),IFERROR(INDEX(Services!$Q$5:$Q$204,MATCH(I907,Services!$A$5:$A$204,0))*1,0)),2))</f>
        <v>0</v>
      </c>
      <c r="AC907" s="26">
        <f>IF(B907="","",ROUND(Y907-AB907,2))</f>
        <v>0</v>
      </c>
      <c r="AD907" s="38">
        <f>IF(B907="","",IF(C907="","No",IF(COUNTIFS($C$5:C907,C907)=1,"Yes","No")))</f>
        <v>0</v>
      </c>
      <c r="AE907" s="26">
        <f>IF(B907="","",ROUND(SUMIFS(Payments!$G$5:$G$1204,Payments!$H$5:$H$1204,A907,Payments!$Q$5:$Q$1204,"Yes"),2))</f>
        <v>0</v>
      </c>
      <c r="AF907" s="26">
        <f>IF(B907="","",IF(AD907="No",0,ROUND(SUMIFS(Payments!$G$5:$G$1204,Payments!$I$5:$I$1204,C907,Payments!$H$5:$H$1204,"",Payments!$Q$5:$Q$1204,"Yes"),2)))</f>
        <v>0</v>
      </c>
      <c r="AG907" s="26">
        <f>IF(B907="","",ROUND(AE907+AF907,2))</f>
        <v>0</v>
      </c>
      <c r="AH907" s="26">
        <f>IF(B907="","",ROUND(AA907-AG907,2))</f>
        <v>0</v>
      </c>
      <c r="AI907" s="39">
        <f>IF(B907="","",IF(AA907&lt;=0,"No charge",IF(AH907&lt;=0.004,"Paid",IF(AG907&lt;=0.004,"Unpaid","Part paid"))))</f>
        <v>0</v>
      </c>
      <c r="AJ907" s="38">
        <f>IF(B907="","",IF(H907&lt;&gt;"Service","",IF(D907="","No",IF(COUNTIFS($D$5:$D$1204,D907,$B$5:$B$1204,B907,$H$5:$H$1204,"Retail")&gt;0,"Yes","No"))))</f>
        <v>0</v>
      </c>
      <c r="AK907" s="25">
        <f>IF(B907="","",COUNTIFS($Y$5:$Y$1204,"&gt;"&amp;Y907)+COUNTIFS($Y$5:Y907,Y907))</f>
        <v>0</v>
      </c>
      <c r="AL907" s="39">
        <f>IF(B907="","",IF(H907="","Add - what kind of sale is this?",IF(IF(V907&lt;=0,P907="",FALSE),"Check - no price found for this item",IF(F907="","Assign - nobody credited",IF(AH907&gt;0.004,"Unpaid - balance outstanding",IF(AC907&lt;0,"Loss - sold below cost",IF(X907&gt;W907*0.5,"Check - more than half off","OK")))))))</f>
        <v>0</v>
      </c>
    </row>
    <row r="908" spans="1:38">
      <c r="A908" s="28">
        <f>IF(B908="","",SalePrefix&amp;TEXT(ROW()-4,"0000"))</f>
        <v>0</v>
      </c>
      <c r="E908" s="15">
        <f>IF(D908="","",IFERROR(INDEX(Clients!$B$5:$B$504,MATCH(D908,Clients!$A$5:$A$504,0)),"Walk-in"))</f>
        <v>0</v>
      </c>
      <c r="G908" s="15">
        <f>IF(F908="","",IFERROR(INDEX(Staff!$B$5:$B$44,MATCH(F908,Staff!$A$5:$A$44,0)),"House"))</f>
        <v>0</v>
      </c>
      <c r="R908" s="15">
        <f>IF(B908="","",TEXT(B908,"yyyy-mm"))</f>
        <v>0</v>
      </c>
      <c r="S908" s="25">
        <f>IF(B908="","",WEEKNUM(B908,2))</f>
        <v>0</v>
      </c>
      <c r="T908" s="37">
        <f>IF(B908="","",IF(K908="",1,K908))</f>
        <v>0</v>
      </c>
      <c r="U908" s="15">
        <f>IF(B908="","",IF(J908&lt;&gt;"",J908,IF(H908="Retail",IFERROR(INDEX(Inventory!$B$5:$B$304,MATCH(I908,Inventory!$A$5:$A$304,0))&amp;"","Not in Inventory"),IFERROR(INDEX(Services!$B$5:$B$204,MATCH(I908,Services!$A$5:$A$204,0))&amp;"","Not in Services"))))</f>
        <v>0</v>
      </c>
      <c r="V908" s="26">
        <f>IF(B908="","",IF(L908&lt;&gt;"",L908,IF(H908="Retail",IFERROR(INDEX(Inventory!$I$5:$I$304,MATCH(I908,Inventory!$A$5:$A$304,0))*1,0),IFERROR(INDEX(Services!$G$5:$G$204,MATCH(I908,Services!$A$5:$A$204,0))*1,0))))</f>
        <v>0</v>
      </c>
      <c r="W908" s="26">
        <f>IF(B908="","",ROUND(T908*V908,2))</f>
        <v>0</v>
      </c>
      <c r="X908" s="26">
        <f>IF(B908="","",ROUND(IF(M908="",0,W908*M908)+IF(N908="",0,N908),2))</f>
        <v>0</v>
      </c>
      <c r="Y908" s="26">
        <f>IF(B908="","",ROUND(W908-X908-IF(P908="",0,P908),2))</f>
        <v>0</v>
      </c>
      <c r="Z908" s="26">
        <f>IF(B908="","",IF(H908="Retail",IF(TaxOnRetail="Yes",ROUND(Y908*TaxRate,2),0),IF(H908="Service",IF(TaxOnServices="Yes",ROUND(Y908*TaxRate,2),0),0)))</f>
        <v>0</v>
      </c>
      <c r="AA908" s="26">
        <f>IF(B908="","",ROUND(Y908+Z908,2))</f>
        <v>0</v>
      </c>
      <c r="AB908" s="26">
        <f>IF(B908="","",ROUND(T908*IF(H908="Retail",IFERROR(INDEX(Inventory!$H$5:$H$304,MATCH(I908,Inventory!$A$5:$A$304,0))*1,0),IFERROR(INDEX(Services!$Q$5:$Q$204,MATCH(I908,Services!$A$5:$A$204,0))*1,0)),2))</f>
        <v>0</v>
      </c>
      <c r="AC908" s="26">
        <f>IF(B908="","",ROUND(Y908-AB908,2))</f>
        <v>0</v>
      </c>
      <c r="AD908" s="38">
        <f>IF(B908="","",IF(C908="","No",IF(COUNTIFS($C$5:C908,C908)=1,"Yes","No")))</f>
        <v>0</v>
      </c>
      <c r="AE908" s="26">
        <f>IF(B908="","",ROUND(SUMIFS(Payments!$G$5:$G$1204,Payments!$H$5:$H$1204,A908,Payments!$Q$5:$Q$1204,"Yes"),2))</f>
        <v>0</v>
      </c>
      <c r="AF908" s="26">
        <f>IF(B908="","",IF(AD908="No",0,ROUND(SUMIFS(Payments!$G$5:$G$1204,Payments!$I$5:$I$1204,C908,Payments!$H$5:$H$1204,"",Payments!$Q$5:$Q$1204,"Yes"),2)))</f>
        <v>0</v>
      </c>
      <c r="AG908" s="26">
        <f>IF(B908="","",ROUND(AE908+AF908,2))</f>
        <v>0</v>
      </c>
      <c r="AH908" s="26">
        <f>IF(B908="","",ROUND(AA908-AG908,2))</f>
        <v>0</v>
      </c>
      <c r="AI908" s="39">
        <f>IF(B908="","",IF(AA908&lt;=0,"No charge",IF(AH908&lt;=0.004,"Paid",IF(AG908&lt;=0.004,"Unpaid","Part paid"))))</f>
        <v>0</v>
      </c>
      <c r="AJ908" s="38">
        <f>IF(B908="","",IF(H908&lt;&gt;"Service","",IF(D908="","No",IF(COUNTIFS($D$5:$D$1204,D908,$B$5:$B$1204,B908,$H$5:$H$1204,"Retail")&gt;0,"Yes","No"))))</f>
        <v>0</v>
      </c>
      <c r="AK908" s="25">
        <f>IF(B908="","",COUNTIFS($Y$5:$Y$1204,"&gt;"&amp;Y908)+COUNTIFS($Y$5:Y908,Y908))</f>
        <v>0</v>
      </c>
      <c r="AL908" s="39">
        <f>IF(B908="","",IF(H908="","Add - what kind of sale is this?",IF(IF(V908&lt;=0,P908="",FALSE),"Check - no price found for this item",IF(F908="","Assign - nobody credited",IF(AH908&gt;0.004,"Unpaid - balance outstanding",IF(AC908&lt;0,"Loss - sold below cost",IF(X908&gt;W908*0.5,"Check - more than half off","OK")))))))</f>
        <v>0</v>
      </c>
    </row>
    <row r="909" spans="1:38">
      <c r="A909" s="28">
        <f>IF(B909="","",SalePrefix&amp;TEXT(ROW()-4,"0000"))</f>
        <v>0</v>
      </c>
      <c r="E909" s="15">
        <f>IF(D909="","",IFERROR(INDEX(Clients!$B$5:$B$504,MATCH(D909,Clients!$A$5:$A$504,0)),"Walk-in"))</f>
        <v>0</v>
      </c>
      <c r="G909" s="15">
        <f>IF(F909="","",IFERROR(INDEX(Staff!$B$5:$B$44,MATCH(F909,Staff!$A$5:$A$44,0)),"House"))</f>
        <v>0</v>
      </c>
      <c r="R909" s="15">
        <f>IF(B909="","",TEXT(B909,"yyyy-mm"))</f>
        <v>0</v>
      </c>
      <c r="S909" s="25">
        <f>IF(B909="","",WEEKNUM(B909,2))</f>
        <v>0</v>
      </c>
      <c r="T909" s="37">
        <f>IF(B909="","",IF(K909="",1,K909))</f>
        <v>0</v>
      </c>
      <c r="U909" s="15">
        <f>IF(B909="","",IF(J909&lt;&gt;"",J909,IF(H909="Retail",IFERROR(INDEX(Inventory!$B$5:$B$304,MATCH(I909,Inventory!$A$5:$A$304,0))&amp;"","Not in Inventory"),IFERROR(INDEX(Services!$B$5:$B$204,MATCH(I909,Services!$A$5:$A$204,0))&amp;"","Not in Services"))))</f>
        <v>0</v>
      </c>
      <c r="V909" s="26">
        <f>IF(B909="","",IF(L909&lt;&gt;"",L909,IF(H909="Retail",IFERROR(INDEX(Inventory!$I$5:$I$304,MATCH(I909,Inventory!$A$5:$A$304,0))*1,0),IFERROR(INDEX(Services!$G$5:$G$204,MATCH(I909,Services!$A$5:$A$204,0))*1,0))))</f>
        <v>0</v>
      </c>
      <c r="W909" s="26">
        <f>IF(B909="","",ROUND(T909*V909,2))</f>
        <v>0</v>
      </c>
      <c r="X909" s="26">
        <f>IF(B909="","",ROUND(IF(M909="",0,W909*M909)+IF(N909="",0,N909),2))</f>
        <v>0</v>
      </c>
      <c r="Y909" s="26">
        <f>IF(B909="","",ROUND(W909-X909-IF(P909="",0,P909),2))</f>
        <v>0</v>
      </c>
      <c r="Z909" s="26">
        <f>IF(B909="","",IF(H909="Retail",IF(TaxOnRetail="Yes",ROUND(Y909*TaxRate,2),0),IF(H909="Service",IF(TaxOnServices="Yes",ROUND(Y909*TaxRate,2),0),0)))</f>
        <v>0</v>
      </c>
      <c r="AA909" s="26">
        <f>IF(B909="","",ROUND(Y909+Z909,2))</f>
        <v>0</v>
      </c>
      <c r="AB909" s="26">
        <f>IF(B909="","",ROUND(T909*IF(H909="Retail",IFERROR(INDEX(Inventory!$H$5:$H$304,MATCH(I909,Inventory!$A$5:$A$304,0))*1,0),IFERROR(INDEX(Services!$Q$5:$Q$204,MATCH(I909,Services!$A$5:$A$204,0))*1,0)),2))</f>
        <v>0</v>
      </c>
      <c r="AC909" s="26">
        <f>IF(B909="","",ROUND(Y909-AB909,2))</f>
        <v>0</v>
      </c>
      <c r="AD909" s="38">
        <f>IF(B909="","",IF(C909="","No",IF(COUNTIFS($C$5:C909,C909)=1,"Yes","No")))</f>
        <v>0</v>
      </c>
      <c r="AE909" s="26">
        <f>IF(B909="","",ROUND(SUMIFS(Payments!$G$5:$G$1204,Payments!$H$5:$H$1204,A909,Payments!$Q$5:$Q$1204,"Yes"),2))</f>
        <v>0</v>
      </c>
      <c r="AF909" s="26">
        <f>IF(B909="","",IF(AD909="No",0,ROUND(SUMIFS(Payments!$G$5:$G$1204,Payments!$I$5:$I$1204,C909,Payments!$H$5:$H$1204,"",Payments!$Q$5:$Q$1204,"Yes"),2)))</f>
        <v>0</v>
      </c>
      <c r="AG909" s="26">
        <f>IF(B909="","",ROUND(AE909+AF909,2))</f>
        <v>0</v>
      </c>
      <c r="AH909" s="26">
        <f>IF(B909="","",ROUND(AA909-AG909,2))</f>
        <v>0</v>
      </c>
      <c r="AI909" s="39">
        <f>IF(B909="","",IF(AA909&lt;=0,"No charge",IF(AH909&lt;=0.004,"Paid",IF(AG909&lt;=0.004,"Unpaid","Part paid"))))</f>
        <v>0</v>
      </c>
      <c r="AJ909" s="38">
        <f>IF(B909="","",IF(H909&lt;&gt;"Service","",IF(D909="","No",IF(COUNTIFS($D$5:$D$1204,D909,$B$5:$B$1204,B909,$H$5:$H$1204,"Retail")&gt;0,"Yes","No"))))</f>
        <v>0</v>
      </c>
      <c r="AK909" s="25">
        <f>IF(B909="","",COUNTIFS($Y$5:$Y$1204,"&gt;"&amp;Y909)+COUNTIFS($Y$5:Y909,Y909))</f>
        <v>0</v>
      </c>
      <c r="AL909" s="39">
        <f>IF(B909="","",IF(H909="","Add - what kind of sale is this?",IF(IF(V909&lt;=0,P909="",FALSE),"Check - no price found for this item",IF(F909="","Assign - nobody credited",IF(AH909&gt;0.004,"Unpaid - balance outstanding",IF(AC909&lt;0,"Loss - sold below cost",IF(X909&gt;W909*0.5,"Check - more than half off","OK")))))))</f>
        <v>0</v>
      </c>
    </row>
    <row r="910" spans="1:38">
      <c r="A910" s="28">
        <f>IF(B910="","",SalePrefix&amp;TEXT(ROW()-4,"0000"))</f>
        <v>0</v>
      </c>
      <c r="E910" s="15">
        <f>IF(D910="","",IFERROR(INDEX(Clients!$B$5:$B$504,MATCH(D910,Clients!$A$5:$A$504,0)),"Walk-in"))</f>
        <v>0</v>
      </c>
      <c r="G910" s="15">
        <f>IF(F910="","",IFERROR(INDEX(Staff!$B$5:$B$44,MATCH(F910,Staff!$A$5:$A$44,0)),"House"))</f>
        <v>0</v>
      </c>
      <c r="R910" s="15">
        <f>IF(B910="","",TEXT(B910,"yyyy-mm"))</f>
        <v>0</v>
      </c>
      <c r="S910" s="25">
        <f>IF(B910="","",WEEKNUM(B910,2))</f>
        <v>0</v>
      </c>
      <c r="T910" s="37">
        <f>IF(B910="","",IF(K910="",1,K910))</f>
        <v>0</v>
      </c>
      <c r="U910" s="15">
        <f>IF(B910="","",IF(J910&lt;&gt;"",J910,IF(H910="Retail",IFERROR(INDEX(Inventory!$B$5:$B$304,MATCH(I910,Inventory!$A$5:$A$304,0))&amp;"","Not in Inventory"),IFERROR(INDEX(Services!$B$5:$B$204,MATCH(I910,Services!$A$5:$A$204,0))&amp;"","Not in Services"))))</f>
        <v>0</v>
      </c>
      <c r="V910" s="26">
        <f>IF(B910="","",IF(L910&lt;&gt;"",L910,IF(H910="Retail",IFERROR(INDEX(Inventory!$I$5:$I$304,MATCH(I910,Inventory!$A$5:$A$304,0))*1,0),IFERROR(INDEX(Services!$G$5:$G$204,MATCH(I910,Services!$A$5:$A$204,0))*1,0))))</f>
        <v>0</v>
      </c>
      <c r="W910" s="26">
        <f>IF(B910="","",ROUND(T910*V910,2))</f>
        <v>0</v>
      </c>
      <c r="X910" s="26">
        <f>IF(B910="","",ROUND(IF(M910="",0,W910*M910)+IF(N910="",0,N910),2))</f>
        <v>0</v>
      </c>
      <c r="Y910" s="26">
        <f>IF(B910="","",ROUND(W910-X910-IF(P910="",0,P910),2))</f>
        <v>0</v>
      </c>
      <c r="Z910" s="26">
        <f>IF(B910="","",IF(H910="Retail",IF(TaxOnRetail="Yes",ROUND(Y910*TaxRate,2),0),IF(H910="Service",IF(TaxOnServices="Yes",ROUND(Y910*TaxRate,2),0),0)))</f>
        <v>0</v>
      </c>
      <c r="AA910" s="26">
        <f>IF(B910="","",ROUND(Y910+Z910,2))</f>
        <v>0</v>
      </c>
      <c r="AB910" s="26">
        <f>IF(B910="","",ROUND(T910*IF(H910="Retail",IFERROR(INDEX(Inventory!$H$5:$H$304,MATCH(I910,Inventory!$A$5:$A$304,0))*1,0),IFERROR(INDEX(Services!$Q$5:$Q$204,MATCH(I910,Services!$A$5:$A$204,0))*1,0)),2))</f>
        <v>0</v>
      </c>
      <c r="AC910" s="26">
        <f>IF(B910="","",ROUND(Y910-AB910,2))</f>
        <v>0</v>
      </c>
      <c r="AD910" s="38">
        <f>IF(B910="","",IF(C910="","No",IF(COUNTIFS($C$5:C910,C910)=1,"Yes","No")))</f>
        <v>0</v>
      </c>
      <c r="AE910" s="26">
        <f>IF(B910="","",ROUND(SUMIFS(Payments!$G$5:$G$1204,Payments!$H$5:$H$1204,A910,Payments!$Q$5:$Q$1204,"Yes"),2))</f>
        <v>0</v>
      </c>
      <c r="AF910" s="26">
        <f>IF(B910="","",IF(AD910="No",0,ROUND(SUMIFS(Payments!$G$5:$G$1204,Payments!$I$5:$I$1204,C910,Payments!$H$5:$H$1204,"",Payments!$Q$5:$Q$1204,"Yes"),2)))</f>
        <v>0</v>
      </c>
      <c r="AG910" s="26">
        <f>IF(B910="","",ROUND(AE910+AF910,2))</f>
        <v>0</v>
      </c>
      <c r="AH910" s="26">
        <f>IF(B910="","",ROUND(AA910-AG910,2))</f>
        <v>0</v>
      </c>
      <c r="AI910" s="39">
        <f>IF(B910="","",IF(AA910&lt;=0,"No charge",IF(AH910&lt;=0.004,"Paid",IF(AG910&lt;=0.004,"Unpaid","Part paid"))))</f>
        <v>0</v>
      </c>
      <c r="AJ910" s="38">
        <f>IF(B910="","",IF(H910&lt;&gt;"Service","",IF(D910="","No",IF(COUNTIFS($D$5:$D$1204,D910,$B$5:$B$1204,B910,$H$5:$H$1204,"Retail")&gt;0,"Yes","No"))))</f>
        <v>0</v>
      </c>
      <c r="AK910" s="25">
        <f>IF(B910="","",COUNTIFS($Y$5:$Y$1204,"&gt;"&amp;Y910)+COUNTIFS($Y$5:Y910,Y910))</f>
        <v>0</v>
      </c>
      <c r="AL910" s="39">
        <f>IF(B910="","",IF(H910="","Add - what kind of sale is this?",IF(IF(V910&lt;=0,P910="",FALSE),"Check - no price found for this item",IF(F910="","Assign - nobody credited",IF(AH910&gt;0.004,"Unpaid - balance outstanding",IF(AC910&lt;0,"Loss - sold below cost",IF(X910&gt;W910*0.5,"Check - more than half off","OK")))))))</f>
        <v>0</v>
      </c>
    </row>
    <row r="911" spans="1:38">
      <c r="A911" s="28">
        <f>IF(B911="","",SalePrefix&amp;TEXT(ROW()-4,"0000"))</f>
        <v>0</v>
      </c>
      <c r="E911" s="15">
        <f>IF(D911="","",IFERROR(INDEX(Clients!$B$5:$B$504,MATCH(D911,Clients!$A$5:$A$504,0)),"Walk-in"))</f>
        <v>0</v>
      </c>
      <c r="G911" s="15">
        <f>IF(F911="","",IFERROR(INDEX(Staff!$B$5:$B$44,MATCH(F911,Staff!$A$5:$A$44,0)),"House"))</f>
        <v>0</v>
      </c>
      <c r="R911" s="15">
        <f>IF(B911="","",TEXT(B911,"yyyy-mm"))</f>
        <v>0</v>
      </c>
      <c r="S911" s="25">
        <f>IF(B911="","",WEEKNUM(B911,2))</f>
        <v>0</v>
      </c>
      <c r="T911" s="37">
        <f>IF(B911="","",IF(K911="",1,K911))</f>
        <v>0</v>
      </c>
      <c r="U911" s="15">
        <f>IF(B911="","",IF(J911&lt;&gt;"",J911,IF(H911="Retail",IFERROR(INDEX(Inventory!$B$5:$B$304,MATCH(I911,Inventory!$A$5:$A$304,0))&amp;"","Not in Inventory"),IFERROR(INDEX(Services!$B$5:$B$204,MATCH(I911,Services!$A$5:$A$204,0))&amp;"","Not in Services"))))</f>
        <v>0</v>
      </c>
      <c r="V911" s="26">
        <f>IF(B911="","",IF(L911&lt;&gt;"",L911,IF(H911="Retail",IFERROR(INDEX(Inventory!$I$5:$I$304,MATCH(I911,Inventory!$A$5:$A$304,0))*1,0),IFERROR(INDEX(Services!$G$5:$G$204,MATCH(I911,Services!$A$5:$A$204,0))*1,0))))</f>
        <v>0</v>
      </c>
      <c r="W911" s="26">
        <f>IF(B911="","",ROUND(T911*V911,2))</f>
        <v>0</v>
      </c>
      <c r="X911" s="26">
        <f>IF(B911="","",ROUND(IF(M911="",0,W911*M911)+IF(N911="",0,N911),2))</f>
        <v>0</v>
      </c>
      <c r="Y911" s="26">
        <f>IF(B911="","",ROUND(W911-X911-IF(P911="",0,P911),2))</f>
        <v>0</v>
      </c>
      <c r="Z911" s="26">
        <f>IF(B911="","",IF(H911="Retail",IF(TaxOnRetail="Yes",ROUND(Y911*TaxRate,2),0),IF(H911="Service",IF(TaxOnServices="Yes",ROUND(Y911*TaxRate,2),0),0)))</f>
        <v>0</v>
      </c>
      <c r="AA911" s="26">
        <f>IF(B911="","",ROUND(Y911+Z911,2))</f>
        <v>0</v>
      </c>
      <c r="AB911" s="26">
        <f>IF(B911="","",ROUND(T911*IF(H911="Retail",IFERROR(INDEX(Inventory!$H$5:$H$304,MATCH(I911,Inventory!$A$5:$A$304,0))*1,0),IFERROR(INDEX(Services!$Q$5:$Q$204,MATCH(I911,Services!$A$5:$A$204,0))*1,0)),2))</f>
        <v>0</v>
      </c>
      <c r="AC911" s="26">
        <f>IF(B911="","",ROUND(Y911-AB911,2))</f>
        <v>0</v>
      </c>
      <c r="AD911" s="38">
        <f>IF(B911="","",IF(C911="","No",IF(COUNTIFS($C$5:C911,C911)=1,"Yes","No")))</f>
        <v>0</v>
      </c>
      <c r="AE911" s="26">
        <f>IF(B911="","",ROUND(SUMIFS(Payments!$G$5:$G$1204,Payments!$H$5:$H$1204,A911,Payments!$Q$5:$Q$1204,"Yes"),2))</f>
        <v>0</v>
      </c>
      <c r="AF911" s="26">
        <f>IF(B911="","",IF(AD911="No",0,ROUND(SUMIFS(Payments!$G$5:$G$1204,Payments!$I$5:$I$1204,C911,Payments!$H$5:$H$1204,"",Payments!$Q$5:$Q$1204,"Yes"),2)))</f>
        <v>0</v>
      </c>
      <c r="AG911" s="26">
        <f>IF(B911="","",ROUND(AE911+AF911,2))</f>
        <v>0</v>
      </c>
      <c r="AH911" s="26">
        <f>IF(B911="","",ROUND(AA911-AG911,2))</f>
        <v>0</v>
      </c>
      <c r="AI911" s="39">
        <f>IF(B911="","",IF(AA911&lt;=0,"No charge",IF(AH911&lt;=0.004,"Paid",IF(AG911&lt;=0.004,"Unpaid","Part paid"))))</f>
        <v>0</v>
      </c>
      <c r="AJ911" s="38">
        <f>IF(B911="","",IF(H911&lt;&gt;"Service","",IF(D911="","No",IF(COUNTIFS($D$5:$D$1204,D911,$B$5:$B$1204,B911,$H$5:$H$1204,"Retail")&gt;0,"Yes","No"))))</f>
        <v>0</v>
      </c>
      <c r="AK911" s="25">
        <f>IF(B911="","",COUNTIFS($Y$5:$Y$1204,"&gt;"&amp;Y911)+COUNTIFS($Y$5:Y911,Y911))</f>
        <v>0</v>
      </c>
      <c r="AL911" s="39">
        <f>IF(B911="","",IF(H911="","Add - what kind of sale is this?",IF(IF(V911&lt;=0,P911="",FALSE),"Check - no price found for this item",IF(F911="","Assign - nobody credited",IF(AH911&gt;0.004,"Unpaid - balance outstanding",IF(AC911&lt;0,"Loss - sold below cost",IF(X911&gt;W911*0.5,"Check - more than half off","OK")))))))</f>
        <v>0</v>
      </c>
    </row>
    <row r="912" spans="1:38">
      <c r="A912" s="28">
        <f>IF(B912="","",SalePrefix&amp;TEXT(ROW()-4,"0000"))</f>
        <v>0</v>
      </c>
      <c r="E912" s="15">
        <f>IF(D912="","",IFERROR(INDEX(Clients!$B$5:$B$504,MATCH(D912,Clients!$A$5:$A$504,0)),"Walk-in"))</f>
        <v>0</v>
      </c>
      <c r="G912" s="15">
        <f>IF(F912="","",IFERROR(INDEX(Staff!$B$5:$B$44,MATCH(F912,Staff!$A$5:$A$44,0)),"House"))</f>
        <v>0</v>
      </c>
      <c r="R912" s="15">
        <f>IF(B912="","",TEXT(B912,"yyyy-mm"))</f>
        <v>0</v>
      </c>
      <c r="S912" s="25">
        <f>IF(B912="","",WEEKNUM(B912,2))</f>
        <v>0</v>
      </c>
      <c r="T912" s="37">
        <f>IF(B912="","",IF(K912="",1,K912))</f>
        <v>0</v>
      </c>
      <c r="U912" s="15">
        <f>IF(B912="","",IF(J912&lt;&gt;"",J912,IF(H912="Retail",IFERROR(INDEX(Inventory!$B$5:$B$304,MATCH(I912,Inventory!$A$5:$A$304,0))&amp;"","Not in Inventory"),IFERROR(INDEX(Services!$B$5:$B$204,MATCH(I912,Services!$A$5:$A$204,0))&amp;"","Not in Services"))))</f>
        <v>0</v>
      </c>
      <c r="V912" s="26">
        <f>IF(B912="","",IF(L912&lt;&gt;"",L912,IF(H912="Retail",IFERROR(INDEX(Inventory!$I$5:$I$304,MATCH(I912,Inventory!$A$5:$A$304,0))*1,0),IFERROR(INDEX(Services!$G$5:$G$204,MATCH(I912,Services!$A$5:$A$204,0))*1,0))))</f>
        <v>0</v>
      </c>
      <c r="W912" s="26">
        <f>IF(B912="","",ROUND(T912*V912,2))</f>
        <v>0</v>
      </c>
      <c r="X912" s="26">
        <f>IF(B912="","",ROUND(IF(M912="",0,W912*M912)+IF(N912="",0,N912),2))</f>
        <v>0</v>
      </c>
      <c r="Y912" s="26">
        <f>IF(B912="","",ROUND(W912-X912-IF(P912="",0,P912),2))</f>
        <v>0</v>
      </c>
      <c r="Z912" s="26">
        <f>IF(B912="","",IF(H912="Retail",IF(TaxOnRetail="Yes",ROUND(Y912*TaxRate,2),0),IF(H912="Service",IF(TaxOnServices="Yes",ROUND(Y912*TaxRate,2),0),0)))</f>
        <v>0</v>
      </c>
      <c r="AA912" s="26">
        <f>IF(B912="","",ROUND(Y912+Z912,2))</f>
        <v>0</v>
      </c>
      <c r="AB912" s="26">
        <f>IF(B912="","",ROUND(T912*IF(H912="Retail",IFERROR(INDEX(Inventory!$H$5:$H$304,MATCH(I912,Inventory!$A$5:$A$304,0))*1,0),IFERROR(INDEX(Services!$Q$5:$Q$204,MATCH(I912,Services!$A$5:$A$204,0))*1,0)),2))</f>
        <v>0</v>
      </c>
      <c r="AC912" s="26">
        <f>IF(B912="","",ROUND(Y912-AB912,2))</f>
        <v>0</v>
      </c>
      <c r="AD912" s="38">
        <f>IF(B912="","",IF(C912="","No",IF(COUNTIFS($C$5:C912,C912)=1,"Yes","No")))</f>
        <v>0</v>
      </c>
      <c r="AE912" s="26">
        <f>IF(B912="","",ROUND(SUMIFS(Payments!$G$5:$G$1204,Payments!$H$5:$H$1204,A912,Payments!$Q$5:$Q$1204,"Yes"),2))</f>
        <v>0</v>
      </c>
      <c r="AF912" s="26">
        <f>IF(B912="","",IF(AD912="No",0,ROUND(SUMIFS(Payments!$G$5:$G$1204,Payments!$I$5:$I$1204,C912,Payments!$H$5:$H$1204,"",Payments!$Q$5:$Q$1204,"Yes"),2)))</f>
        <v>0</v>
      </c>
      <c r="AG912" s="26">
        <f>IF(B912="","",ROUND(AE912+AF912,2))</f>
        <v>0</v>
      </c>
      <c r="AH912" s="26">
        <f>IF(B912="","",ROUND(AA912-AG912,2))</f>
        <v>0</v>
      </c>
      <c r="AI912" s="39">
        <f>IF(B912="","",IF(AA912&lt;=0,"No charge",IF(AH912&lt;=0.004,"Paid",IF(AG912&lt;=0.004,"Unpaid","Part paid"))))</f>
        <v>0</v>
      </c>
      <c r="AJ912" s="38">
        <f>IF(B912="","",IF(H912&lt;&gt;"Service","",IF(D912="","No",IF(COUNTIFS($D$5:$D$1204,D912,$B$5:$B$1204,B912,$H$5:$H$1204,"Retail")&gt;0,"Yes","No"))))</f>
        <v>0</v>
      </c>
      <c r="AK912" s="25">
        <f>IF(B912="","",COUNTIFS($Y$5:$Y$1204,"&gt;"&amp;Y912)+COUNTIFS($Y$5:Y912,Y912))</f>
        <v>0</v>
      </c>
      <c r="AL912" s="39">
        <f>IF(B912="","",IF(H912="","Add - what kind of sale is this?",IF(IF(V912&lt;=0,P912="",FALSE),"Check - no price found for this item",IF(F912="","Assign - nobody credited",IF(AH912&gt;0.004,"Unpaid - balance outstanding",IF(AC912&lt;0,"Loss - sold below cost",IF(X912&gt;W912*0.5,"Check - more than half off","OK")))))))</f>
        <v>0</v>
      </c>
    </row>
    <row r="913" spans="1:38">
      <c r="A913" s="28">
        <f>IF(B913="","",SalePrefix&amp;TEXT(ROW()-4,"0000"))</f>
        <v>0</v>
      </c>
      <c r="E913" s="15">
        <f>IF(D913="","",IFERROR(INDEX(Clients!$B$5:$B$504,MATCH(D913,Clients!$A$5:$A$504,0)),"Walk-in"))</f>
        <v>0</v>
      </c>
      <c r="G913" s="15">
        <f>IF(F913="","",IFERROR(INDEX(Staff!$B$5:$B$44,MATCH(F913,Staff!$A$5:$A$44,0)),"House"))</f>
        <v>0</v>
      </c>
      <c r="R913" s="15">
        <f>IF(B913="","",TEXT(B913,"yyyy-mm"))</f>
        <v>0</v>
      </c>
      <c r="S913" s="25">
        <f>IF(B913="","",WEEKNUM(B913,2))</f>
        <v>0</v>
      </c>
      <c r="T913" s="37">
        <f>IF(B913="","",IF(K913="",1,K913))</f>
        <v>0</v>
      </c>
      <c r="U913" s="15">
        <f>IF(B913="","",IF(J913&lt;&gt;"",J913,IF(H913="Retail",IFERROR(INDEX(Inventory!$B$5:$B$304,MATCH(I913,Inventory!$A$5:$A$304,0))&amp;"","Not in Inventory"),IFERROR(INDEX(Services!$B$5:$B$204,MATCH(I913,Services!$A$5:$A$204,0))&amp;"","Not in Services"))))</f>
        <v>0</v>
      </c>
      <c r="V913" s="26">
        <f>IF(B913="","",IF(L913&lt;&gt;"",L913,IF(H913="Retail",IFERROR(INDEX(Inventory!$I$5:$I$304,MATCH(I913,Inventory!$A$5:$A$304,0))*1,0),IFERROR(INDEX(Services!$G$5:$G$204,MATCH(I913,Services!$A$5:$A$204,0))*1,0))))</f>
        <v>0</v>
      </c>
      <c r="W913" s="26">
        <f>IF(B913="","",ROUND(T913*V913,2))</f>
        <v>0</v>
      </c>
      <c r="X913" s="26">
        <f>IF(B913="","",ROUND(IF(M913="",0,W913*M913)+IF(N913="",0,N913),2))</f>
        <v>0</v>
      </c>
      <c r="Y913" s="26">
        <f>IF(B913="","",ROUND(W913-X913-IF(P913="",0,P913),2))</f>
        <v>0</v>
      </c>
      <c r="Z913" s="26">
        <f>IF(B913="","",IF(H913="Retail",IF(TaxOnRetail="Yes",ROUND(Y913*TaxRate,2),0),IF(H913="Service",IF(TaxOnServices="Yes",ROUND(Y913*TaxRate,2),0),0)))</f>
        <v>0</v>
      </c>
      <c r="AA913" s="26">
        <f>IF(B913="","",ROUND(Y913+Z913,2))</f>
        <v>0</v>
      </c>
      <c r="AB913" s="26">
        <f>IF(B913="","",ROUND(T913*IF(H913="Retail",IFERROR(INDEX(Inventory!$H$5:$H$304,MATCH(I913,Inventory!$A$5:$A$304,0))*1,0),IFERROR(INDEX(Services!$Q$5:$Q$204,MATCH(I913,Services!$A$5:$A$204,0))*1,0)),2))</f>
        <v>0</v>
      </c>
      <c r="AC913" s="26">
        <f>IF(B913="","",ROUND(Y913-AB913,2))</f>
        <v>0</v>
      </c>
      <c r="AD913" s="38">
        <f>IF(B913="","",IF(C913="","No",IF(COUNTIFS($C$5:C913,C913)=1,"Yes","No")))</f>
        <v>0</v>
      </c>
      <c r="AE913" s="26">
        <f>IF(B913="","",ROUND(SUMIFS(Payments!$G$5:$G$1204,Payments!$H$5:$H$1204,A913,Payments!$Q$5:$Q$1204,"Yes"),2))</f>
        <v>0</v>
      </c>
      <c r="AF913" s="26">
        <f>IF(B913="","",IF(AD913="No",0,ROUND(SUMIFS(Payments!$G$5:$G$1204,Payments!$I$5:$I$1204,C913,Payments!$H$5:$H$1204,"",Payments!$Q$5:$Q$1204,"Yes"),2)))</f>
        <v>0</v>
      </c>
      <c r="AG913" s="26">
        <f>IF(B913="","",ROUND(AE913+AF913,2))</f>
        <v>0</v>
      </c>
      <c r="AH913" s="26">
        <f>IF(B913="","",ROUND(AA913-AG913,2))</f>
        <v>0</v>
      </c>
      <c r="AI913" s="39">
        <f>IF(B913="","",IF(AA913&lt;=0,"No charge",IF(AH913&lt;=0.004,"Paid",IF(AG913&lt;=0.004,"Unpaid","Part paid"))))</f>
        <v>0</v>
      </c>
      <c r="AJ913" s="38">
        <f>IF(B913="","",IF(H913&lt;&gt;"Service","",IF(D913="","No",IF(COUNTIFS($D$5:$D$1204,D913,$B$5:$B$1204,B913,$H$5:$H$1204,"Retail")&gt;0,"Yes","No"))))</f>
        <v>0</v>
      </c>
      <c r="AK913" s="25">
        <f>IF(B913="","",COUNTIFS($Y$5:$Y$1204,"&gt;"&amp;Y913)+COUNTIFS($Y$5:Y913,Y913))</f>
        <v>0</v>
      </c>
      <c r="AL913" s="39">
        <f>IF(B913="","",IF(H913="","Add - what kind of sale is this?",IF(IF(V913&lt;=0,P913="",FALSE),"Check - no price found for this item",IF(F913="","Assign - nobody credited",IF(AH913&gt;0.004,"Unpaid - balance outstanding",IF(AC913&lt;0,"Loss - sold below cost",IF(X913&gt;W913*0.5,"Check - more than half off","OK")))))))</f>
        <v>0</v>
      </c>
    </row>
    <row r="914" spans="1:38">
      <c r="A914" s="28">
        <f>IF(B914="","",SalePrefix&amp;TEXT(ROW()-4,"0000"))</f>
        <v>0</v>
      </c>
      <c r="E914" s="15">
        <f>IF(D914="","",IFERROR(INDEX(Clients!$B$5:$B$504,MATCH(D914,Clients!$A$5:$A$504,0)),"Walk-in"))</f>
        <v>0</v>
      </c>
      <c r="G914" s="15">
        <f>IF(F914="","",IFERROR(INDEX(Staff!$B$5:$B$44,MATCH(F914,Staff!$A$5:$A$44,0)),"House"))</f>
        <v>0</v>
      </c>
      <c r="R914" s="15">
        <f>IF(B914="","",TEXT(B914,"yyyy-mm"))</f>
        <v>0</v>
      </c>
      <c r="S914" s="25">
        <f>IF(B914="","",WEEKNUM(B914,2))</f>
        <v>0</v>
      </c>
      <c r="T914" s="37">
        <f>IF(B914="","",IF(K914="",1,K914))</f>
        <v>0</v>
      </c>
      <c r="U914" s="15">
        <f>IF(B914="","",IF(J914&lt;&gt;"",J914,IF(H914="Retail",IFERROR(INDEX(Inventory!$B$5:$B$304,MATCH(I914,Inventory!$A$5:$A$304,0))&amp;"","Not in Inventory"),IFERROR(INDEX(Services!$B$5:$B$204,MATCH(I914,Services!$A$5:$A$204,0))&amp;"","Not in Services"))))</f>
        <v>0</v>
      </c>
      <c r="V914" s="26">
        <f>IF(B914="","",IF(L914&lt;&gt;"",L914,IF(H914="Retail",IFERROR(INDEX(Inventory!$I$5:$I$304,MATCH(I914,Inventory!$A$5:$A$304,0))*1,0),IFERROR(INDEX(Services!$G$5:$G$204,MATCH(I914,Services!$A$5:$A$204,0))*1,0))))</f>
        <v>0</v>
      </c>
      <c r="W914" s="26">
        <f>IF(B914="","",ROUND(T914*V914,2))</f>
        <v>0</v>
      </c>
      <c r="X914" s="26">
        <f>IF(B914="","",ROUND(IF(M914="",0,W914*M914)+IF(N914="",0,N914),2))</f>
        <v>0</v>
      </c>
      <c r="Y914" s="26">
        <f>IF(B914="","",ROUND(W914-X914-IF(P914="",0,P914),2))</f>
        <v>0</v>
      </c>
      <c r="Z914" s="26">
        <f>IF(B914="","",IF(H914="Retail",IF(TaxOnRetail="Yes",ROUND(Y914*TaxRate,2),0),IF(H914="Service",IF(TaxOnServices="Yes",ROUND(Y914*TaxRate,2),0),0)))</f>
        <v>0</v>
      </c>
      <c r="AA914" s="26">
        <f>IF(B914="","",ROUND(Y914+Z914,2))</f>
        <v>0</v>
      </c>
      <c r="AB914" s="26">
        <f>IF(B914="","",ROUND(T914*IF(H914="Retail",IFERROR(INDEX(Inventory!$H$5:$H$304,MATCH(I914,Inventory!$A$5:$A$304,0))*1,0),IFERROR(INDEX(Services!$Q$5:$Q$204,MATCH(I914,Services!$A$5:$A$204,0))*1,0)),2))</f>
        <v>0</v>
      </c>
      <c r="AC914" s="26">
        <f>IF(B914="","",ROUND(Y914-AB914,2))</f>
        <v>0</v>
      </c>
      <c r="AD914" s="38">
        <f>IF(B914="","",IF(C914="","No",IF(COUNTIFS($C$5:C914,C914)=1,"Yes","No")))</f>
        <v>0</v>
      </c>
      <c r="AE914" s="26">
        <f>IF(B914="","",ROUND(SUMIFS(Payments!$G$5:$G$1204,Payments!$H$5:$H$1204,A914,Payments!$Q$5:$Q$1204,"Yes"),2))</f>
        <v>0</v>
      </c>
      <c r="AF914" s="26">
        <f>IF(B914="","",IF(AD914="No",0,ROUND(SUMIFS(Payments!$G$5:$G$1204,Payments!$I$5:$I$1204,C914,Payments!$H$5:$H$1204,"",Payments!$Q$5:$Q$1204,"Yes"),2)))</f>
        <v>0</v>
      </c>
      <c r="AG914" s="26">
        <f>IF(B914="","",ROUND(AE914+AF914,2))</f>
        <v>0</v>
      </c>
      <c r="AH914" s="26">
        <f>IF(B914="","",ROUND(AA914-AG914,2))</f>
        <v>0</v>
      </c>
      <c r="AI914" s="39">
        <f>IF(B914="","",IF(AA914&lt;=0,"No charge",IF(AH914&lt;=0.004,"Paid",IF(AG914&lt;=0.004,"Unpaid","Part paid"))))</f>
        <v>0</v>
      </c>
      <c r="AJ914" s="38">
        <f>IF(B914="","",IF(H914&lt;&gt;"Service","",IF(D914="","No",IF(COUNTIFS($D$5:$D$1204,D914,$B$5:$B$1204,B914,$H$5:$H$1204,"Retail")&gt;0,"Yes","No"))))</f>
        <v>0</v>
      </c>
      <c r="AK914" s="25">
        <f>IF(B914="","",COUNTIFS($Y$5:$Y$1204,"&gt;"&amp;Y914)+COUNTIFS($Y$5:Y914,Y914))</f>
        <v>0</v>
      </c>
      <c r="AL914" s="39">
        <f>IF(B914="","",IF(H914="","Add - what kind of sale is this?",IF(IF(V914&lt;=0,P914="",FALSE),"Check - no price found for this item",IF(F914="","Assign - nobody credited",IF(AH914&gt;0.004,"Unpaid - balance outstanding",IF(AC914&lt;0,"Loss - sold below cost",IF(X914&gt;W914*0.5,"Check - more than half off","OK")))))))</f>
        <v>0</v>
      </c>
    </row>
    <row r="915" spans="1:38">
      <c r="A915" s="28">
        <f>IF(B915="","",SalePrefix&amp;TEXT(ROW()-4,"0000"))</f>
        <v>0</v>
      </c>
      <c r="E915" s="15">
        <f>IF(D915="","",IFERROR(INDEX(Clients!$B$5:$B$504,MATCH(D915,Clients!$A$5:$A$504,0)),"Walk-in"))</f>
        <v>0</v>
      </c>
      <c r="G915" s="15">
        <f>IF(F915="","",IFERROR(INDEX(Staff!$B$5:$B$44,MATCH(F915,Staff!$A$5:$A$44,0)),"House"))</f>
        <v>0</v>
      </c>
      <c r="R915" s="15">
        <f>IF(B915="","",TEXT(B915,"yyyy-mm"))</f>
        <v>0</v>
      </c>
      <c r="S915" s="25">
        <f>IF(B915="","",WEEKNUM(B915,2))</f>
        <v>0</v>
      </c>
      <c r="T915" s="37">
        <f>IF(B915="","",IF(K915="",1,K915))</f>
        <v>0</v>
      </c>
      <c r="U915" s="15">
        <f>IF(B915="","",IF(J915&lt;&gt;"",J915,IF(H915="Retail",IFERROR(INDEX(Inventory!$B$5:$B$304,MATCH(I915,Inventory!$A$5:$A$304,0))&amp;"","Not in Inventory"),IFERROR(INDEX(Services!$B$5:$B$204,MATCH(I915,Services!$A$5:$A$204,0))&amp;"","Not in Services"))))</f>
        <v>0</v>
      </c>
      <c r="V915" s="26">
        <f>IF(B915="","",IF(L915&lt;&gt;"",L915,IF(H915="Retail",IFERROR(INDEX(Inventory!$I$5:$I$304,MATCH(I915,Inventory!$A$5:$A$304,0))*1,0),IFERROR(INDEX(Services!$G$5:$G$204,MATCH(I915,Services!$A$5:$A$204,0))*1,0))))</f>
        <v>0</v>
      </c>
      <c r="W915" s="26">
        <f>IF(B915="","",ROUND(T915*V915,2))</f>
        <v>0</v>
      </c>
      <c r="X915" s="26">
        <f>IF(B915="","",ROUND(IF(M915="",0,W915*M915)+IF(N915="",0,N915),2))</f>
        <v>0</v>
      </c>
      <c r="Y915" s="26">
        <f>IF(B915="","",ROUND(W915-X915-IF(P915="",0,P915),2))</f>
        <v>0</v>
      </c>
      <c r="Z915" s="26">
        <f>IF(B915="","",IF(H915="Retail",IF(TaxOnRetail="Yes",ROUND(Y915*TaxRate,2),0),IF(H915="Service",IF(TaxOnServices="Yes",ROUND(Y915*TaxRate,2),0),0)))</f>
        <v>0</v>
      </c>
      <c r="AA915" s="26">
        <f>IF(B915="","",ROUND(Y915+Z915,2))</f>
        <v>0</v>
      </c>
      <c r="AB915" s="26">
        <f>IF(B915="","",ROUND(T915*IF(H915="Retail",IFERROR(INDEX(Inventory!$H$5:$H$304,MATCH(I915,Inventory!$A$5:$A$304,0))*1,0),IFERROR(INDEX(Services!$Q$5:$Q$204,MATCH(I915,Services!$A$5:$A$204,0))*1,0)),2))</f>
        <v>0</v>
      </c>
      <c r="AC915" s="26">
        <f>IF(B915="","",ROUND(Y915-AB915,2))</f>
        <v>0</v>
      </c>
      <c r="AD915" s="38">
        <f>IF(B915="","",IF(C915="","No",IF(COUNTIFS($C$5:C915,C915)=1,"Yes","No")))</f>
        <v>0</v>
      </c>
      <c r="AE915" s="26">
        <f>IF(B915="","",ROUND(SUMIFS(Payments!$G$5:$G$1204,Payments!$H$5:$H$1204,A915,Payments!$Q$5:$Q$1204,"Yes"),2))</f>
        <v>0</v>
      </c>
      <c r="AF915" s="26">
        <f>IF(B915="","",IF(AD915="No",0,ROUND(SUMIFS(Payments!$G$5:$G$1204,Payments!$I$5:$I$1204,C915,Payments!$H$5:$H$1204,"",Payments!$Q$5:$Q$1204,"Yes"),2)))</f>
        <v>0</v>
      </c>
      <c r="AG915" s="26">
        <f>IF(B915="","",ROUND(AE915+AF915,2))</f>
        <v>0</v>
      </c>
      <c r="AH915" s="26">
        <f>IF(B915="","",ROUND(AA915-AG915,2))</f>
        <v>0</v>
      </c>
      <c r="AI915" s="39">
        <f>IF(B915="","",IF(AA915&lt;=0,"No charge",IF(AH915&lt;=0.004,"Paid",IF(AG915&lt;=0.004,"Unpaid","Part paid"))))</f>
        <v>0</v>
      </c>
      <c r="AJ915" s="38">
        <f>IF(B915="","",IF(H915&lt;&gt;"Service","",IF(D915="","No",IF(COUNTIFS($D$5:$D$1204,D915,$B$5:$B$1204,B915,$H$5:$H$1204,"Retail")&gt;0,"Yes","No"))))</f>
        <v>0</v>
      </c>
      <c r="AK915" s="25">
        <f>IF(B915="","",COUNTIFS($Y$5:$Y$1204,"&gt;"&amp;Y915)+COUNTIFS($Y$5:Y915,Y915))</f>
        <v>0</v>
      </c>
      <c r="AL915" s="39">
        <f>IF(B915="","",IF(H915="","Add - what kind of sale is this?",IF(IF(V915&lt;=0,P915="",FALSE),"Check - no price found for this item",IF(F915="","Assign - nobody credited",IF(AH915&gt;0.004,"Unpaid - balance outstanding",IF(AC915&lt;0,"Loss - sold below cost",IF(X915&gt;W915*0.5,"Check - more than half off","OK")))))))</f>
        <v>0</v>
      </c>
    </row>
    <row r="916" spans="1:38">
      <c r="A916" s="28">
        <f>IF(B916="","",SalePrefix&amp;TEXT(ROW()-4,"0000"))</f>
        <v>0</v>
      </c>
      <c r="E916" s="15">
        <f>IF(D916="","",IFERROR(INDEX(Clients!$B$5:$B$504,MATCH(D916,Clients!$A$5:$A$504,0)),"Walk-in"))</f>
        <v>0</v>
      </c>
      <c r="G916" s="15">
        <f>IF(F916="","",IFERROR(INDEX(Staff!$B$5:$B$44,MATCH(F916,Staff!$A$5:$A$44,0)),"House"))</f>
        <v>0</v>
      </c>
      <c r="R916" s="15">
        <f>IF(B916="","",TEXT(B916,"yyyy-mm"))</f>
        <v>0</v>
      </c>
      <c r="S916" s="25">
        <f>IF(B916="","",WEEKNUM(B916,2))</f>
        <v>0</v>
      </c>
      <c r="T916" s="37">
        <f>IF(B916="","",IF(K916="",1,K916))</f>
        <v>0</v>
      </c>
      <c r="U916" s="15">
        <f>IF(B916="","",IF(J916&lt;&gt;"",J916,IF(H916="Retail",IFERROR(INDEX(Inventory!$B$5:$B$304,MATCH(I916,Inventory!$A$5:$A$304,0))&amp;"","Not in Inventory"),IFERROR(INDEX(Services!$B$5:$B$204,MATCH(I916,Services!$A$5:$A$204,0))&amp;"","Not in Services"))))</f>
        <v>0</v>
      </c>
      <c r="V916" s="26">
        <f>IF(B916="","",IF(L916&lt;&gt;"",L916,IF(H916="Retail",IFERROR(INDEX(Inventory!$I$5:$I$304,MATCH(I916,Inventory!$A$5:$A$304,0))*1,0),IFERROR(INDEX(Services!$G$5:$G$204,MATCH(I916,Services!$A$5:$A$204,0))*1,0))))</f>
        <v>0</v>
      </c>
      <c r="W916" s="26">
        <f>IF(B916="","",ROUND(T916*V916,2))</f>
        <v>0</v>
      </c>
      <c r="X916" s="26">
        <f>IF(B916="","",ROUND(IF(M916="",0,W916*M916)+IF(N916="",0,N916),2))</f>
        <v>0</v>
      </c>
      <c r="Y916" s="26">
        <f>IF(B916="","",ROUND(W916-X916-IF(P916="",0,P916),2))</f>
        <v>0</v>
      </c>
      <c r="Z916" s="26">
        <f>IF(B916="","",IF(H916="Retail",IF(TaxOnRetail="Yes",ROUND(Y916*TaxRate,2),0),IF(H916="Service",IF(TaxOnServices="Yes",ROUND(Y916*TaxRate,2),0),0)))</f>
        <v>0</v>
      </c>
      <c r="AA916" s="26">
        <f>IF(B916="","",ROUND(Y916+Z916,2))</f>
        <v>0</v>
      </c>
      <c r="AB916" s="26">
        <f>IF(B916="","",ROUND(T916*IF(H916="Retail",IFERROR(INDEX(Inventory!$H$5:$H$304,MATCH(I916,Inventory!$A$5:$A$304,0))*1,0),IFERROR(INDEX(Services!$Q$5:$Q$204,MATCH(I916,Services!$A$5:$A$204,0))*1,0)),2))</f>
        <v>0</v>
      </c>
      <c r="AC916" s="26">
        <f>IF(B916="","",ROUND(Y916-AB916,2))</f>
        <v>0</v>
      </c>
      <c r="AD916" s="38">
        <f>IF(B916="","",IF(C916="","No",IF(COUNTIFS($C$5:C916,C916)=1,"Yes","No")))</f>
        <v>0</v>
      </c>
      <c r="AE916" s="26">
        <f>IF(B916="","",ROUND(SUMIFS(Payments!$G$5:$G$1204,Payments!$H$5:$H$1204,A916,Payments!$Q$5:$Q$1204,"Yes"),2))</f>
        <v>0</v>
      </c>
      <c r="AF916" s="26">
        <f>IF(B916="","",IF(AD916="No",0,ROUND(SUMIFS(Payments!$G$5:$G$1204,Payments!$I$5:$I$1204,C916,Payments!$H$5:$H$1204,"",Payments!$Q$5:$Q$1204,"Yes"),2)))</f>
        <v>0</v>
      </c>
      <c r="AG916" s="26">
        <f>IF(B916="","",ROUND(AE916+AF916,2))</f>
        <v>0</v>
      </c>
      <c r="AH916" s="26">
        <f>IF(B916="","",ROUND(AA916-AG916,2))</f>
        <v>0</v>
      </c>
      <c r="AI916" s="39">
        <f>IF(B916="","",IF(AA916&lt;=0,"No charge",IF(AH916&lt;=0.004,"Paid",IF(AG916&lt;=0.004,"Unpaid","Part paid"))))</f>
        <v>0</v>
      </c>
      <c r="AJ916" s="38">
        <f>IF(B916="","",IF(H916&lt;&gt;"Service","",IF(D916="","No",IF(COUNTIFS($D$5:$D$1204,D916,$B$5:$B$1204,B916,$H$5:$H$1204,"Retail")&gt;0,"Yes","No"))))</f>
        <v>0</v>
      </c>
      <c r="AK916" s="25">
        <f>IF(B916="","",COUNTIFS($Y$5:$Y$1204,"&gt;"&amp;Y916)+COUNTIFS($Y$5:Y916,Y916))</f>
        <v>0</v>
      </c>
      <c r="AL916" s="39">
        <f>IF(B916="","",IF(H916="","Add - what kind of sale is this?",IF(IF(V916&lt;=0,P916="",FALSE),"Check - no price found for this item",IF(F916="","Assign - nobody credited",IF(AH916&gt;0.004,"Unpaid - balance outstanding",IF(AC916&lt;0,"Loss - sold below cost",IF(X916&gt;W916*0.5,"Check - more than half off","OK")))))))</f>
        <v>0</v>
      </c>
    </row>
    <row r="917" spans="1:38">
      <c r="A917" s="28">
        <f>IF(B917="","",SalePrefix&amp;TEXT(ROW()-4,"0000"))</f>
        <v>0</v>
      </c>
      <c r="E917" s="15">
        <f>IF(D917="","",IFERROR(INDEX(Clients!$B$5:$B$504,MATCH(D917,Clients!$A$5:$A$504,0)),"Walk-in"))</f>
        <v>0</v>
      </c>
      <c r="G917" s="15">
        <f>IF(F917="","",IFERROR(INDEX(Staff!$B$5:$B$44,MATCH(F917,Staff!$A$5:$A$44,0)),"House"))</f>
        <v>0</v>
      </c>
      <c r="R917" s="15">
        <f>IF(B917="","",TEXT(B917,"yyyy-mm"))</f>
        <v>0</v>
      </c>
      <c r="S917" s="25">
        <f>IF(B917="","",WEEKNUM(B917,2))</f>
        <v>0</v>
      </c>
      <c r="T917" s="37">
        <f>IF(B917="","",IF(K917="",1,K917))</f>
        <v>0</v>
      </c>
      <c r="U917" s="15">
        <f>IF(B917="","",IF(J917&lt;&gt;"",J917,IF(H917="Retail",IFERROR(INDEX(Inventory!$B$5:$B$304,MATCH(I917,Inventory!$A$5:$A$304,0))&amp;"","Not in Inventory"),IFERROR(INDEX(Services!$B$5:$B$204,MATCH(I917,Services!$A$5:$A$204,0))&amp;"","Not in Services"))))</f>
        <v>0</v>
      </c>
      <c r="V917" s="26">
        <f>IF(B917="","",IF(L917&lt;&gt;"",L917,IF(H917="Retail",IFERROR(INDEX(Inventory!$I$5:$I$304,MATCH(I917,Inventory!$A$5:$A$304,0))*1,0),IFERROR(INDEX(Services!$G$5:$G$204,MATCH(I917,Services!$A$5:$A$204,0))*1,0))))</f>
        <v>0</v>
      </c>
      <c r="W917" s="26">
        <f>IF(B917="","",ROUND(T917*V917,2))</f>
        <v>0</v>
      </c>
      <c r="X917" s="26">
        <f>IF(B917="","",ROUND(IF(M917="",0,W917*M917)+IF(N917="",0,N917),2))</f>
        <v>0</v>
      </c>
      <c r="Y917" s="26">
        <f>IF(B917="","",ROUND(W917-X917-IF(P917="",0,P917),2))</f>
        <v>0</v>
      </c>
      <c r="Z917" s="26">
        <f>IF(B917="","",IF(H917="Retail",IF(TaxOnRetail="Yes",ROUND(Y917*TaxRate,2),0),IF(H917="Service",IF(TaxOnServices="Yes",ROUND(Y917*TaxRate,2),0),0)))</f>
        <v>0</v>
      </c>
      <c r="AA917" s="26">
        <f>IF(B917="","",ROUND(Y917+Z917,2))</f>
        <v>0</v>
      </c>
      <c r="AB917" s="26">
        <f>IF(B917="","",ROUND(T917*IF(H917="Retail",IFERROR(INDEX(Inventory!$H$5:$H$304,MATCH(I917,Inventory!$A$5:$A$304,0))*1,0),IFERROR(INDEX(Services!$Q$5:$Q$204,MATCH(I917,Services!$A$5:$A$204,0))*1,0)),2))</f>
        <v>0</v>
      </c>
      <c r="AC917" s="26">
        <f>IF(B917="","",ROUND(Y917-AB917,2))</f>
        <v>0</v>
      </c>
      <c r="AD917" s="38">
        <f>IF(B917="","",IF(C917="","No",IF(COUNTIFS($C$5:C917,C917)=1,"Yes","No")))</f>
        <v>0</v>
      </c>
      <c r="AE917" s="26">
        <f>IF(B917="","",ROUND(SUMIFS(Payments!$G$5:$G$1204,Payments!$H$5:$H$1204,A917,Payments!$Q$5:$Q$1204,"Yes"),2))</f>
        <v>0</v>
      </c>
      <c r="AF917" s="26">
        <f>IF(B917="","",IF(AD917="No",0,ROUND(SUMIFS(Payments!$G$5:$G$1204,Payments!$I$5:$I$1204,C917,Payments!$H$5:$H$1204,"",Payments!$Q$5:$Q$1204,"Yes"),2)))</f>
        <v>0</v>
      </c>
      <c r="AG917" s="26">
        <f>IF(B917="","",ROUND(AE917+AF917,2))</f>
        <v>0</v>
      </c>
      <c r="AH917" s="26">
        <f>IF(B917="","",ROUND(AA917-AG917,2))</f>
        <v>0</v>
      </c>
      <c r="AI917" s="39">
        <f>IF(B917="","",IF(AA917&lt;=0,"No charge",IF(AH917&lt;=0.004,"Paid",IF(AG917&lt;=0.004,"Unpaid","Part paid"))))</f>
        <v>0</v>
      </c>
      <c r="AJ917" s="38">
        <f>IF(B917="","",IF(H917&lt;&gt;"Service","",IF(D917="","No",IF(COUNTIFS($D$5:$D$1204,D917,$B$5:$B$1204,B917,$H$5:$H$1204,"Retail")&gt;0,"Yes","No"))))</f>
        <v>0</v>
      </c>
      <c r="AK917" s="25">
        <f>IF(B917="","",COUNTIFS($Y$5:$Y$1204,"&gt;"&amp;Y917)+COUNTIFS($Y$5:Y917,Y917))</f>
        <v>0</v>
      </c>
      <c r="AL917" s="39">
        <f>IF(B917="","",IF(H917="","Add - what kind of sale is this?",IF(IF(V917&lt;=0,P917="",FALSE),"Check - no price found for this item",IF(F917="","Assign - nobody credited",IF(AH917&gt;0.004,"Unpaid - balance outstanding",IF(AC917&lt;0,"Loss - sold below cost",IF(X917&gt;W917*0.5,"Check - more than half off","OK")))))))</f>
        <v>0</v>
      </c>
    </row>
    <row r="918" spans="1:38">
      <c r="A918" s="28">
        <f>IF(B918="","",SalePrefix&amp;TEXT(ROW()-4,"0000"))</f>
        <v>0</v>
      </c>
      <c r="E918" s="15">
        <f>IF(D918="","",IFERROR(INDEX(Clients!$B$5:$B$504,MATCH(D918,Clients!$A$5:$A$504,0)),"Walk-in"))</f>
        <v>0</v>
      </c>
      <c r="G918" s="15">
        <f>IF(F918="","",IFERROR(INDEX(Staff!$B$5:$B$44,MATCH(F918,Staff!$A$5:$A$44,0)),"House"))</f>
        <v>0</v>
      </c>
      <c r="R918" s="15">
        <f>IF(B918="","",TEXT(B918,"yyyy-mm"))</f>
        <v>0</v>
      </c>
      <c r="S918" s="25">
        <f>IF(B918="","",WEEKNUM(B918,2))</f>
        <v>0</v>
      </c>
      <c r="T918" s="37">
        <f>IF(B918="","",IF(K918="",1,K918))</f>
        <v>0</v>
      </c>
      <c r="U918" s="15">
        <f>IF(B918="","",IF(J918&lt;&gt;"",J918,IF(H918="Retail",IFERROR(INDEX(Inventory!$B$5:$B$304,MATCH(I918,Inventory!$A$5:$A$304,0))&amp;"","Not in Inventory"),IFERROR(INDEX(Services!$B$5:$B$204,MATCH(I918,Services!$A$5:$A$204,0))&amp;"","Not in Services"))))</f>
        <v>0</v>
      </c>
      <c r="V918" s="26">
        <f>IF(B918="","",IF(L918&lt;&gt;"",L918,IF(H918="Retail",IFERROR(INDEX(Inventory!$I$5:$I$304,MATCH(I918,Inventory!$A$5:$A$304,0))*1,0),IFERROR(INDEX(Services!$G$5:$G$204,MATCH(I918,Services!$A$5:$A$204,0))*1,0))))</f>
        <v>0</v>
      </c>
      <c r="W918" s="26">
        <f>IF(B918="","",ROUND(T918*V918,2))</f>
        <v>0</v>
      </c>
      <c r="X918" s="26">
        <f>IF(B918="","",ROUND(IF(M918="",0,W918*M918)+IF(N918="",0,N918),2))</f>
        <v>0</v>
      </c>
      <c r="Y918" s="26">
        <f>IF(B918="","",ROUND(W918-X918-IF(P918="",0,P918),2))</f>
        <v>0</v>
      </c>
      <c r="Z918" s="26">
        <f>IF(B918="","",IF(H918="Retail",IF(TaxOnRetail="Yes",ROUND(Y918*TaxRate,2),0),IF(H918="Service",IF(TaxOnServices="Yes",ROUND(Y918*TaxRate,2),0),0)))</f>
        <v>0</v>
      </c>
      <c r="AA918" s="26">
        <f>IF(B918="","",ROUND(Y918+Z918,2))</f>
        <v>0</v>
      </c>
      <c r="AB918" s="26">
        <f>IF(B918="","",ROUND(T918*IF(H918="Retail",IFERROR(INDEX(Inventory!$H$5:$H$304,MATCH(I918,Inventory!$A$5:$A$304,0))*1,0),IFERROR(INDEX(Services!$Q$5:$Q$204,MATCH(I918,Services!$A$5:$A$204,0))*1,0)),2))</f>
        <v>0</v>
      </c>
      <c r="AC918" s="26">
        <f>IF(B918="","",ROUND(Y918-AB918,2))</f>
        <v>0</v>
      </c>
      <c r="AD918" s="38">
        <f>IF(B918="","",IF(C918="","No",IF(COUNTIFS($C$5:C918,C918)=1,"Yes","No")))</f>
        <v>0</v>
      </c>
      <c r="AE918" s="26">
        <f>IF(B918="","",ROUND(SUMIFS(Payments!$G$5:$G$1204,Payments!$H$5:$H$1204,A918,Payments!$Q$5:$Q$1204,"Yes"),2))</f>
        <v>0</v>
      </c>
      <c r="AF918" s="26">
        <f>IF(B918="","",IF(AD918="No",0,ROUND(SUMIFS(Payments!$G$5:$G$1204,Payments!$I$5:$I$1204,C918,Payments!$H$5:$H$1204,"",Payments!$Q$5:$Q$1204,"Yes"),2)))</f>
        <v>0</v>
      </c>
      <c r="AG918" s="26">
        <f>IF(B918="","",ROUND(AE918+AF918,2))</f>
        <v>0</v>
      </c>
      <c r="AH918" s="26">
        <f>IF(B918="","",ROUND(AA918-AG918,2))</f>
        <v>0</v>
      </c>
      <c r="AI918" s="39">
        <f>IF(B918="","",IF(AA918&lt;=0,"No charge",IF(AH918&lt;=0.004,"Paid",IF(AG918&lt;=0.004,"Unpaid","Part paid"))))</f>
        <v>0</v>
      </c>
      <c r="AJ918" s="38">
        <f>IF(B918="","",IF(H918&lt;&gt;"Service","",IF(D918="","No",IF(COUNTIFS($D$5:$D$1204,D918,$B$5:$B$1204,B918,$H$5:$H$1204,"Retail")&gt;0,"Yes","No"))))</f>
        <v>0</v>
      </c>
      <c r="AK918" s="25">
        <f>IF(B918="","",COUNTIFS($Y$5:$Y$1204,"&gt;"&amp;Y918)+COUNTIFS($Y$5:Y918,Y918))</f>
        <v>0</v>
      </c>
      <c r="AL918" s="39">
        <f>IF(B918="","",IF(H918="","Add - what kind of sale is this?",IF(IF(V918&lt;=0,P918="",FALSE),"Check - no price found for this item",IF(F918="","Assign - nobody credited",IF(AH918&gt;0.004,"Unpaid - balance outstanding",IF(AC918&lt;0,"Loss - sold below cost",IF(X918&gt;W918*0.5,"Check - more than half off","OK")))))))</f>
        <v>0</v>
      </c>
    </row>
    <row r="919" spans="1:38">
      <c r="A919" s="28">
        <f>IF(B919="","",SalePrefix&amp;TEXT(ROW()-4,"0000"))</f>
        <v>0</v>
      </c>
      <c r="E919" s="15">
        <f>IF(D919="","",IFERROR(INDEX(Clients!$B$5:$B$504,MATCH(D919,Clients!$A$5:$A$504,0)),"Walk-in"))</f>
        <v>0</v>
      </c>
      <c r="G919" s="15">
        <f>IF(F919="","",IFERROR(INDEX(Staff!$B$5:$B$44,MATCH(F919,Staff!$A$5:$A$44,0)),"House"))</f>
        <v>0</v>
      </c>
      <c r="R919" s="15">
        <f>IF(B919="","",TEXT(B919,"yyyy-mm"))</f>
        <v>0</v>
      </c>
      <c r="S919" s="25">
        <f>IF(B919="","",WEEKNUM(B919,2))</f>
        <v>0</v>
      </c>
      <c r="T919" s="37">
        <f>IF(B919="","",IF(K919="",1,K919))</f>
        <v>0</v>
      </c>
      <c r="U919" s="15">
        <f>IF(B919="","",IF(J919&lt;&gt;"",J919,IF(H919="Retail",IFERROR(INDEX(Inventory!$B$5:$B$304,MATCH(I919,Inventory!$A$5:$A$304,0))&amp;"","Not in Inventory"),IFERROR(INDEX(Services!$B$5:$B$204,MATCH(I919,Services!$A$5:$A$204,0))&amp;"","Not in Services"))))</f>
        <v>0</v>
      </c>
      <c r="V919" s="26">
        <f>IF(B919="","",IF(L919&lt;&gt;"",L919,IF(H919="Retail",IFERROR(INDEX(Inventory!$I$5:$I$304,MATCH(I919,Inventory!$A$5:$A$304,0))*1,0),IFERROR(INDEX(Services!$G$5:$G$204,MATCH(I919,Services!$A$5:$A$204,0))*1,0))))</f>
        <v>0</v>
      </c>
      <c r="W919" s="26">
        <f>IF(B919="","",ROUND(T919*V919,2))</f>
        <v>0</v>
      </c>
      <c r="X919" s="26">
        <f>IF(B919="","",ROUND(IF(M919="",0,W919*M919)+IF(N919="",0,N919),2))</f>
        <v>0</v>
      </c>
      <c r="Y919" s="26">
        <f>IF(B919="","",ROUND(W919-X919-IF(P919="",0,P919),2))</f>
        <v>0</v>
      </c>
      <c r="Z919" s="26">
        <f>IF(B919="","",IF(H919="Retail",IF(TaxOnRetail="Yes",ROUND(Y919*TaxRate,2),0),IF(H919="Service",IF(TaxOnServices="Yes",ROUND(Y919*TaxRate,2),0),0)))</f>
        <v>0</v>
      </c>
      <c r="AA919" s="26">
        <f>IF(B919="","",ROUND(Y919+Z919,2))</f>
        <v>0</v>
      </c>
      <c r="AB919" s="26">
        <f>IF(B919="","",ROUND(T919*IF(H919="Retail",IFERROR(INDEX(Inventory!$H$5:$H$304,MATCH(I919,Inventory!$A$5:$A$304,0))*1,0),IFERROR(INDEX(Services!$Q$5:$Q$204,MATCH(I919,Services!$A$5:$A$204,0))*1,0)),2))</f>
        <v>0</v>
      </c>
      <c r="AC919" s="26">
        <f>IF(B919="","",ROUND(Y919-AB919,2))</f>
        <v>0</v>
      </c>
      <c r="AD919" s="38">
        <f>IF(B919="","",IF(C919="","No",IF(COUNTIFS($C$5:C919,C919)=1,"Yes","No")))</f>
        <v>0</v>
      </c>
      <c r="AE919" s="26">
        <f>IF(B919="","",ROUND(SUMIFS(Payments!$G$5:$G$1204,Payments!$H$5:$H$1204,A919,Payments!$Q$5:$Q$1204,"Yes"),2))</f>
        <v>0</v>
      </c>
      <c r="AF919" s="26">
        <f>IF(B919="","",IF(AD919="No",0,ROUND(SUMIFS(Payments!$G$5:$G$1204,Payments!$I$5:$I$1204,C919,Payments!$H$5:$H$1204,"",Payments!$Q$5:$Q$1204,"Yes"),2)))</f>
        <v>0</v>
      </c>
      <c r="AG919" s="26">
        <f>IF(B919="","",ROUND(AE919+AF919,2))</f>
        <v>0</v>
      </c>
      <c r="AH919" s="26">
        <f>IF(B919="","",ROUND(AA919-AG919,2))</f>
        <v>0</v>
      </c>
      <c r="AI919" s="39">
        <f>IF(B919="","",IF(AA919&lt;=0,"No charge",IF(AH919&lt;=0.004,"Paid",IF(AG919&lt;=0.004,"Unpaid","Part paid"))))</f>
        <v>0</v>
      </c>
      <c r="AJ919" s="38">
        <f>IF(B919="","",IF(H919&lt;&gt;"Service","",IF(D919="","No",IF(COUNTIFS($D$5:$D$1204,D919,$B$5:$B$1204,B919,$H$5:$H$1204,"Retail")&gt;0,"Yes","No"))))</f>
        <v>0</v>
      </c>
      <c r="AK919" s="25">
        <f>IF(B919="","",COUNTIFS($Y$5:$Y$1204,"&gt;"&amp;Y919)+COUNTIFS($Y$5:Y919,Y919))</f>
        <v>0</v>
      </c>
      <c r="AL919" s="39">
        <f>IF(B919="","",IF(H919="","Add - what kind of sale is this?",IF(IF(V919&lt;=0,P919="",FALSE),"Check - no price found for this item",IF(F919="","Assign - nobody credited",IF(AH919&gt;0.004,"Unpaid - balance outstanding",IF(AC919&lt;0,"Loss - sold below cost",IF(X919&gt;W919*0.5,"Check - more than half off","OK")))))))</f>
        <v>0</v>
      </c>
    </row>
    <row r="920" spans="1:38">
      <c r="A920" s="28">
        <f>IF(B920="","",SalePrefix&amp;TEXT(ROW()-4,"0000"))</f>
        <v>0</v>
      </c>
      <c r="E920" s="15">
        <f>IF(D920="","",IFERROR(INDEX(Clients!$B$5:$B$504,MATCH(D920,Clients!$A$5:$A$504,0)),"Walk-in"))</f>
        <v>0</v>
      </c>
      <c r="G920" s="15">
        <f>IF(F920="","",IFERROR(INDEX(Staff!$B$5:$B$44,MATCH(F920,Staff!$A$5:$A$44,0)),"House"))</f>
        <v>0</v>
      </c>
      <c r="R920" s="15">
        <f>IF(B920="","",TEXT(B920,"yyyy-mm"))</f>
        <v>0</v>
      </c>
      <c r="S920" s="25">
        <f>IF(B920="","",WEEKNUM(B920,2))</f>
        <v>0</v>
      </c>
      <c r="T920" s="37">
        <f>IF(B920="","",IF(K920="",1,K920))</f>
        <v>0</v>
      </c>
      <c r="U920" s="15">
        <f>IF(B920="","",IF(J920&lt;&gt;"",J920,IF(H920="Retail",IFERROR(INDEX(Inventory!$B$5:$B$304,MATCH(I920,Inventory!$A$5:$A$304,0))&amp;"","Not in Inventory"),IFERROR(INDEX(Services!$B$5:$B$204,MATCH(I920,Services!$A$5:$A$204,0))&amp;"","Not in Services"))))</f>
        <v>0</v>
      </c>
      <c r="V920" s="26">
        <f>IF(B920="","",IF(L920&lt;&gt;"",L920,IF(H920="Retail",IFERROR(INDEX(Inventory!$I$5:$I$304,MATCH(I920,Inventory!$A$5:$A$304,0))*1,0),IFERROR(INDEX(Services!$G$5:$G$204,MATCH(I920,Services!$A$5:$A$204,0))*1,0))))</f>
        <v>0</v>
      </c>
      <c r="W920" s="26">
        <f>IF(B920="","",ROUND(T920*V920,2))</f>
        <v>0</v>
      </c>
      <c r="X920" s="26">
        <f>IF(B920="","",ROUND(IF(M920="",0,W920*M920)+IF(N920="",0,N920),2))</f>
        <v>0</v>
      </c>
      <c r="Y920" s="26">
        <f>IF(B920="","",ROUND(W920-X920-IF(P920="",0,P920),2))</f>
        <v>0</v>
      </c>
      <c r="Z920" s="26">
        <f>IF(B920="","",IF(H920="Retail",IF(TaxOnRetail="Yes",ROUND(Y920*TaxRate,2),0),IF(H920="Service",IF(TaxOnServices="Yes",ROUND(Y920*TaxRate,2),0),0)))</f>
        <v>0</v>
      </c>
      <c r="AA920" s="26">
        <f>IF(B920="","",ROUND(Y920+Z920,2))</f>
        <v>0</v>
      </c>
      <c r="AB920" s="26">
        <f>IF(B920="","",ROUND(T920*IF(H920="Retail",IFERROR(INDEX(Inventory!$H$5:$H$304,MATCH(I920,Inventory!$A$5:$A$304,0))*1,0),IFERROR(INDEX(Services!$Q$5:$Q$204,MATCH(I920,Services!$A$5:$A$204,0))*1,0)),2))</f>
        <v>0</v>
      </c>
      <c r="AC920" s="26">
        <f>IF(B920="","",ROUND(Y920-AB920,2))</f>
        <v>0</v>
      </c>
      <c r="AD920" s="38">
        <f>IF(B920="","",IF(C920="","No",IF(COUNTIFS($C$5:C920,C920)=1,"Yes","No")))</f>
        <v>0</v>
      </c>
      <c r="AE920" s="26">
        <f>IF(B920="","",ROUND(SUMIFS(Payments!$G$5:$G$1204,Payments!$H$5:$H$1204,A920,Payments!$Q$5:$Q$1204,"Yes"),2))</f>
        <v>0</v>
      </c>
      <c r="AF920" s="26">
        <f>IF(B920="","",IF(AD920="No",0,ROUND(SUMIFS(Payments!$G$5:$G$1204,Payments!$I$5:$I$1204,C920,Payments!$H$5:$H$1204,"",Payments!$Q$5:$Q$1204,"Yes"),2)))</f>
        <v>0</v>
      </c>
      <c r="AG920" s="26">
        <f>IF(B920="","",ROUND(AE920+AF920,2))</f>
        <v>0</v>
      </c>
      <c r="AH920" s="26">
        <f>IF(B920="","",ROUND(AA920-AG920,2))</f>
        <v>0</v>
      </c>
      <c r="AI920" s="39">
        <f>IF(B920="","",IF(AA920&lt;=0,"No charge",IF(AH920&lt;=0.004,"Paid",IF(AG920&lt;=0.004,"Unpaid","Part paid"))))</f>
        <v>0</v>
      </c>
      <c r="AJ920" s="38">
        <f>IF(B920="","",IF(H920&lt;&gt;"Service","",IF(D920="","No",IF(COUNTIFS($D$5:$D$1204,D920,$B$5:$B$1204,B920,$H$5:$H$1204,"Retail")&gt;0,"Yes","No"))))</f>
        <v>0</v>
      </c>
      <c r="AK920" s="25">
        <f>IF(B920="","",COUNTIFS($Y$5:$Y$1204,"&gt;"&amp;Y920)+COUNTIFS($Y$5:Y920,Y920))</f>
        <v>0</v>
      </c>
      <c r="AL920" s="39">
        <f>IF(B920="","",IF(H920="","Add - what kind of sale is this?",IF(IF(V920&lt;=0,P920="",FALSE),"Check - no price found for this item",IF(F920="","Assign - nobody credited",IF(AH920&gt;0.004,"Unpaid - balance outstanding",IF(AC920&lt;0,"Loss - sold below cost",IF(X920&gt;W920*0.5,"Check - more than half off","OK")))))))</f>
        <v>0</v>
      </c>
    </row>
    <row r="921" spans="1:38">
      <c r="A921" s="28">
        <f>IF(B921="","",SalePrefix&amp;TEXT(ROW()-4,"0000"))</f>
        <v>0</v>
      </c>
      <c r="E921" s="15">
        <f>IF(D921="","",IFERROR(INDEX(Clients!$B$5:$B$504,MATCH(D921,Clients!$A$5:$A$504,0)),"Walk-in"))</f>
        <v>0</v>
      </c>
      <c r="G921" s="15">
        <f>IF(F921="","",IFERROR(INDEX(Staff!$B$5:$B$44,MATCH(F921,Staff!$A$5:$A$44,0)),"House"))</f>
        <v>0</v>
      </c>
      <c r="R921" s="15">
        <f>IF(B921="","",TEXT(B921,"yyyy-mm"))</f>
        <v>0</v>
      </c>
      <c r="S921" s="25">
        <f>IF(B921="","",WEEKNUM(B921,2))</f>
        <v>0</v>
      </c>
      <c r="T921" s="37">
        <f>IF(B921="","",IF(K921="",1,K921))</f>
        <v>0</v>
      </c>
      <c r="U921" s="15">
        <f>IF(B921="","",IF(J921&lt;&gt;"",J921,IF(H921="Retail",IFERROR(INDEX(Inventory!$B$5:$B$304,MATCH(I921,Inventory!$A$5:$A$304,0))&amp;"","Not in Inventory"),IFERROR(INDEX(Services!$B$5:$B$204,MATCH(I921,Services!$A$5:$A$204,0))&amp;"","Not in Services"))))</f>
        <v>0</v>
      </c>
      <c r="V921" s="26">
        <f>IF(B921="","",IF(L921&lt;&gt;"",L921,IF(H921="Retail",IFERROR(INDEX(Inventory!$I$5:$I$304,MATCH(I921,Inventory!$A$5:$A$304,0))*1,0),IFERROR(INDEX(Services!$G$5:$G$204,MATCH(I921,Services!$A$5:$A$204,0))*1,0))))</f>
        <v>0</v>
      </c>
      <c r="W921" s="26">
        <f>IF(B921="","",ROUND(T921*V921,2))</f>
        <v>0</v>
      </c>
      <c r="X921" s="26">
        <f>IF(B921="","",ROUND(IF(M921="",0,W921*M921)+IF(N921="",0,N921),2))</f>
        <v>0</v>
      </c>
      <c r="Y921" s="26">
        <f>IF(B921="","",ROUND(W921-X921-IF(P921="",0,P921),2))</f>
        <v>0</v>
      </c>
      <c r="Z921" s="26">
        <f>IF(B921="","",IF(H921="Retail",IF(TaxOnRetail="Yes",ROUND(Y921*TaxRate,2),0),IF(H921="Service",IF(TaxOnServices="Yes",ROUND(Y921*TaxRate,2),0),0)))</f>
        <v>0</v>
      </c>
      <c r="AA921" s="26">
        <f>IF(B921="","",ROUND(Y921+Z921,2))</f>
        <v>0</v>
      </c>
      <c r="AB921" s="26">
        <f>IF(B921="","",ROUND(T921*IF(H921="Retail",IFERROR(INDEX(Inventory!$H$5:$H$304,MATCH(I921,Inventory!$A$5:$A$304,0))*1,0),IFERROR(INDEX(Services!$Q$5:$Q$204,MATCH(I921,Services!$A$5:$A$204,0))*1,0)),2))</f>
        <v>0</v>
      </c>
      <c r="AC921" s="26">
        <f>IF(B921="","",ROUND(Y921-AB921,2))</f>
        <v>0</v>
      </c>
      <c r="AD921" s="38">
        <f>IF(B921="","",IF(C921="","No",IF(COUNTIFS($C$5:C921,C921)=1,"Yes","No")))</f>
        <v>0</v>
      </c>
      <c r="AE921" s="26">
        <f>IF(B921="","",ROUND(SUMIFS(Payments!$G$5:$G$1204,Payments!$H$5:$H$1204,A921,Payments!$Q$5:$Q$1204,"Yes"),2))</f>
        <v>0</v>
      </c>
      <c r="AF921" s="26">
        <f>IF(B921="","",IF(AD921="No",0,ROUND(SUMIFS(Payments!$G$5:$G$1204,Payments!$I$5:$I$1204,C921,Payments!$H$5:$H$1204,"",Payments!$Q$5:$Q$1204,"Yes"),2)))</f>
        <v>0</v>
      </c>
      <c r="AG921" s="26">
        <f>IF(B921="","",ROUND(AE921+AF921,2))</f>
        <v>0</v>
      </c>
      <c r="AH921" s="26">
        <f>IF(B921="","",ROUND(AA921-AG921,2))</f>
        <v>0</v>
      </c>
      <c r="AI921" s="39">
        <f>IF(B921="","",IF(AA921&lt;=0,"No charge",IF(AH921&lt;=0.004,"Paid",IF(AG921&lt;=0.004,"Unpaid","Part paid"))))</f>
        <v>0</v>
      </c>
      <c r="AJ921" s="38">
        <f>IF(B921="","",IF(H921&lt;&gt;"Service","",IF(D921="","No",IF(COUNTIFS($D$5:$D$1204,D921,$B$5:$B$1204,B921,$H$5:$H$1204,"Retail")&gt;0,"Yes","No"))))</f>
        <v>0</v>
      </c>
      <c r="AK921" s="25">
        <f>IF(B921="","",COUNTIFS($Y$5:$Y$1204,"&gt;"&amp;Y921)+COUNTIFS($Y$5:Y921,Y921))</f>
        <v>0</v>
      </c>
      <c r="AL921" s="39">
        <f>IF(B921="","",IF(H921="","Add - what kind of sale is this?",IF(IF(V921&lt;=0,P921="",FALSE),"Check - no price found for this item",IF(F921="","Assign - nobody credited",IF(AH921&gt;0.004,"Unpaid - balance outstanding",IF(AC921&lt;0,"Loss - sold below cost",IF(X921&gt;W921*0.5,"Check - more than half off","OK")))))))</f>
        <v>0</v>
      </c>
    </row>
    <row r="922" spans="1:38">
      <c r="A922" s="28">
        <f>IF(B922="","",SalePrefix&amp;TEXT(ROW()-4,"0000"))</f>
        <v>0</v>
      </c>
      <c r="E922" s="15">
        <f>IF(D922="","",IFERROR(INDEX(Clients!$B$5:$B$504,MATCH(D922,Clients!$A$5:$A$504,0)),"Walk-in"))</f>
        <v>0</v>
      </c>
      <c r="G922" s="15">
        <f>IF(F922="","",IFERROR(INDEX(Staff!$B$5:$B$44,MATCH(F922,Staff!$A$5:$A$44,0)),"House"))</f>
        <v>0</v>
      </c>
      <c r="R922" s="15">
        <f>IF(B922="","",TEXT(B922,"yyyy-mm"))</f>
        <v>0</v>
      </c>
      <c r="S922" s="25">
        <f>IF(B922="","",WEEKNUM(B922,2))</f>
        <v>0</v>
      </c>
      <c r="T922" s="37">
        <f>IF(B922="","",IF(K922="",1,K922))</f>
        <v>0</v>
      </c>
      <c r="U922" s="15">
        <f>IF(B922="","",IF(J922&lt;&gt;"",J922,IF(H922="Retail",IFERROR(INDEX(Inventory!$B$5:$B$304,MATCH(I922,Inventory!$A$5:$A$304,0))&amp;"","Not in Inventory"),IFERROR(INDEX(Services!$B$5:$B$204,MATCH(I922,Services!$A$5:$A$204,0))&amp;"","Not in Services"))))</f>
        <v>0</v>
      </c>
      <c r="V922" s="26">
        <f>IF(B922="","",IF(L922&lt;&gt;"",L922,IF(H922="Retail",IFERROR(INDEX(Inventory!$I$5:$I$304,MATCH(I922,Inventory!$A$5:$A$304,0))*1,0),IFERROR(INDEX(Services!$G$5:$G$204,MATCH(I922,Services!$A$5:$A$204,0))*1,0))))</f>
        <v>0</v>
      </c>
      <c r="W922" s="26">
        <f>IF(B922="","",ROUND(T922*V922,2))</f>
        <v>0</v>
      </c>
      <c r="X922" s="26">
        <f>IF(B922="","",ROUND(IF(M922="",0,W922*M922)+IF(N922="",0,N922),2))</f>
        <v>0</v>
      </c>
      <c r="Y922" s="26">
        <f>IF(B922="","",ROUND(W922-X922-IF(P922="",0,P922),2))</f>
        <v>0</v>
      </c>
      <c r="Z922" s="26">
        <f>IF(B922="","",IF(H922="Retail",IF(TaxOnRetail="Yes",ROUND(Y922*TaxRate,2),0),IF(H922="Service",IF(TaxOnServices="Yes",ROUND(Y922*TaxRate,2),0),0)))</f>
        <v>0</v>
      </c>
      <c r="AA922" s="26">
        <f>IF(B922="","",ROUND(Y922+Z922,2))</f>
        <v>0</v>
      </c>
      <c r="AB922" s="26">
        <f>IF(B922="","",ROUND(T922*IF(H922="Retail",IFERROR(INDEX(Inventory!$H$5:$H$304,MATCH(I922,Inventory!$A$5:$A$304,0))*1,0),IFERROR(INDEX(Services!$Q$5:$Q$204,MATCH(I922,Services!$A$5:$A$204,0))*1,0)),2))</f>
        <v>0</v>
      </c>
      <c r="AC922" s="26">
        <f>IF(B922="","",ROUND(Y922-AB922,2))</f>
        <v>0</v>
      </c>
      <c r="AD922" s="38">
        <f>IF(B922="","",IF(C922="","No",IF(COUNTIFS($C$5:C922,C922)=1,"Yes","No")))</f>
        <v>0</v>
      </c>
      <c r="AE922" s="26">
        <f>IF(B922="","",ROUND(SUMIFS(Payments!$G$5:$G$1204,Payments!$H$5:$H$1204,A922,Payments!$Q$5:$Q$1204,"Yes"),2))</f>
        <v>0</v>
      </c>
      <c r="AF922" s="26">
        <f>IF(B922="","",IF(AD922="No",0,ROUND(SUMIFS(Payments!$G$5:$G$1204,Payments!$I$5:$I$1204,C922,Payments!$H$5:$H$1204,"",Payments!$Q$5:$Q$1204,"Yes"),2)))</f>
        <v>0</v>
      </c>
      <c r="AG922" s="26">
        <f>IF(B922="","",ROUND(AE922+AF922,2))</f>
        <v>0</v>
      </c>
      <c r="AH922" s="26">
        <f>IF(B922="","",ROUND(AA922-AG922,2))</f>
        <v>0</v>
      </c>
      <c r="AI922" s="39">
        <f>IF(B922="","",IF(AA922&lt;=0,"No charge",IF(AH922&lt;=0.004,"Paid",IF(AG922&lt;=0.004,"Unpaid","Part paid"))))</f>
        <v>0</v>
      </c>
      <c r="AJ922" s="38">
        <f>IF(B922="","",IF(H922&lt;&gt;"Service","",IF(D922="","No",IF(COUNTIFS($D$5:$D$1204,D922,$B$5:$B$1204,B922,$H$5:$H$1204,"Retail")&gt;0,"Yes","No"))))</f>
        <v>0</v>
      </c>
      <c r="AK922" s="25">
        <f>IF(B922="","",COUNTIFS($Y$5:$Y$1204,"&gt;"&amp;Y922)+COUNTIFS($Y$5:Y922,Y922))</f>
        <v>0</v>
      </c>
      <c r="AL922" s="39">
        <f>IF(B922="","",IF(H922="","Add - what kind of sale is this?",IF(IF(V922&lt;=0,P922="",FALSE),"Check - no price found for this item",IF(F922="","Assign - nobody credited",IF(AH922&gt;0.004,"Unpaid - balance outstanding",IF(AC922&lt;0,"Loss - sold below cost",IF(X922&gt;W922*0.5,"Check - more than half off","OK")))))))</f>
        <v>0</v>
      </c>
    </row>
    <row r="923" spans="1:38">
      <c r="A923" s="28">
        <f>IF(B923="","",SalePrefix&amp;TEXT(ROW()-4,"0000"))</f>
        <v>0</v>
      </c>
      <c r="E923" s="15">
        <f>IF(D923="","",IFERROR(INDEX(Clients!$B$5:$B$504,MATCH(D923,Clients!$A$5:$A$504,0)),"Walk-in"))</f>
        <v>0</v>
      </c>
      <c r="G923" s="15">
        <f>IF(F923="","",IFERROR(INDEX(Staff!$B$5:$B$44,MATCH(F923,Staff!$A$5:$A$44,0)),"House"))</f>
        <v>0</v>
      </c>
      <c r="R923" s="15">
        <f>IF(B923="","",TEXT(B923,"yyyy-mm"))</f>
        <v>0</v>
      </c>
      <c r="S923" s="25">
        <f>IF(B923="","",WEEKNUM(B923,2))</f>
        <v>0</v>
      </c>
      <c r="T923" s="37">
        <f>IF(B923="","",IF(K923="",1,K923))</f>
        <v>0</v>
      </c>
      <c r="U923" s="15">
        <f>IF(B923="","",IF(J923&lt;&gt;"",J923,IF(H923="Retail",IFERROR(INDEX(Inventory!$B$5:$B$304,MATCH(I923,Inventory!$A$5:$A$304,0))&amp;"","Not in Inventory"),IFERROR(INDEX(Services!$B$5:$B$204,MATCH(I923,Services!$A$5:$A$204,0))&amp;"","Not in Services"))))</f>
        <v>0</v>
      </c>
      <c r="V923" s="26">
        <f>IF(B923="","",IF(L923&lt;&gt;"",L923,IF(H923="Retail",IFERROR(INDEX(Inventory!$I$5:$I$304,MATCH(I923,Inventory!$A$5:$A$304,0))*1,0),IFERROR(INDEX(Services!$G$5:$G$204,MATCH(I923,Services!$A$5:$A$204,0))*1,0))))</f>
        <v>0</v>
      </c>
      <c r="W923" s="26">
        <f>IF(B923="","",ROUND(T923*V923,2))</f>
        <v>0</v>
      </c>
      <c r="X923" s="26">
        <f>IF(B923="","",ROUND(IF(M923="",0,W923*M923)+IF(N923="",0,N923),2))</f>
        <v>0</v>
      </c>
      <c r="Y923" s="26">
        <f>IF(B923="","",ROUND(W923-X923-IF(P923="",0,P923),2))</f>
        <v>0</v>
      </c>
      <c r="Z923" s="26">
        <f>IF(B923="","",IF(H923="Retail",IF(TaxOnRetail="Yes",ROUND(Y923*TaxRate,2),0),IF(H923="Service",IF(TaxOnServices="Yes",ROUND(Y923*TaxRate,2),0),0)))</f>
        <v>0</v>
      </c>
      <c r="AA923" s="26">
        <f>IF(B923="","",ROUND(Y923+Z923,2))</f>
        <v>0</v>
      </c>
      <c r="AB923" s="26">
        <f>IF(B923="","",ROUND(T923*IF(H923="Retail",IFERROR(INDEX(Inventory!$H$5:$H$304,MATCH(I923,Inventory!$A$5:$A$304,0))*1,0),IFERROR(INDEX(Services!$Q$5:$Q$204,MATCH(I923,Services!$A$5:$A$204,0))*1,0)),2))</f>
        <v>0</v>
      </c>
      <c r="AC923" s="26">
        <f>IF(B923="","",ROUND(Y923-AB923,2))</f>
        <v>0</v>
      </c>
      <c r="AD923" s="38">
        <f>IF(B923="","",IF(C923="","No",IF(COUNTIFS($C$5:C923,C923)=1,"Yes","No")))</f>
        <v>0</v>
      </c>
      <c r="AE923" s="26">
        <f>IF(B923="","",ROUND(SUMIFS(Payments!$G$5:$G$1204,Payments!$H$5:$H$1204,A923,Payments!$Q$5:$Q$1204,"Yes"),2))</f>
        <v>0</v>
      </c>
      <c r="AF923" s="26">
        <f>IF(B923="","",IF(AD923="No",0,ROUND(SUMIFS(Payments!$G$5:$G$1204,Payments!$I$5:$I$1204,C923,Payments!$H$5:$H$1204,"",Payments!$Q$5:$Q$1204,"Yes"),2)))</f>
        <v>0</v>
      </c>
      <c r="AG923" s="26">
        <f>IF(B923="","",ROUND(AE923+AF923,2))</f>
        <v>0</v>
      </c>
      <c r="AH923" s="26">
        <f>IF(B923="","",ROUND(AA923-AG923,2))</f>
        <v>0</v>
      </c>
      <c r="AI923" s="39">
        <f>IF(B923="","",IF(AA923&lt;=0,"No charge",IF(AH923&lt;=0.004,"Paid",IF(AG923&lt;=0.004,"Unpaid","Part paid"))))</f>
        <v>0</v>
      </c>
      <c r="AJ923" s="38">
        <f>IF(B923="","",IF(H923&lt;&gt;"Service","",IF(D923="","No",IF(COUNTIFS($D$5:$D$1204,D923,$B$5:$B$1204,B923,$H$5:$H$1204,"Retail")&gt;0,"Yes","No"))))</f>
        <v>0</v>
      </c>
      <c r="AK923" s="25">
        <f>IF(B923="","",COUNTIFS($Y$5:$Y$1204,"&gt;"&amp;Y923)+COUNTIFS($Y$5:Y923,Y923))</f>
        <v>0</v>
      </c>
      <c r="AL923" s="39">
        <f>IF(B923="","",IF(H923="","Add - what kind of sale is this?",IF(IF(V923&lt;=0,P923="",FALSE),"Check - no price found for this item",IF(F923="","Assign - nobody credited",IF(AH923&gt;0.004,"Unpaid - balance outstanding",IF(AC923&lt;0,"Loss - sold below cost",IF(X923&gt;W923*0.5,"Check - more than half off","OK")))))))</f>
        <v>0</v>
      </c>
    </row>
    <row r="924" spans="1:38">
      <c r="A924" s="28">
        <f>IF(B924="","",SalePrefix&amp;TEXT(ROW()-4,"0000"))</f>
        <v>0</v>
      </c>
      <c r="E924" s="15">
        <f>IF(D924="","",IFERROR(INDEX(Clients!$B$5:$B$504,MATCH(D924,Clients!$A$5:$A$504,0)),"Walk-in"))</f>
        <v>0</v>
      </c>
      <c r="G924" s="15">
        <f>IF(F924="","",IFERROR(INDEX(Staff!$B$5:$B$44,MATCH(F924,Staff!$A$5:$A$44,0)),"House"))</f>
        <v>0</v>
      </c>
      <c r="R924" s="15">
        <f>IF(B924="","",TEXT(B924,"yyyy-mm"))</f>
        <v>0</v>
      </c>
      <c r="S924" s="25">
        <f>IF(B924="","",WEEKNUM(B924,2))</f>
        <v>0</v>
      </c>
      <c r="T924" s="37">
        <f>IF(B924="","",IF(K924="",1,K924))</f>
        <v>0</v>
      </c>
      <c r="U924" s="15">
        <f>IF(B924="","",IF(J924&lt;&gt;"",J924,IF(H924="Retail",IFERROR(INDEX(Inventory!$B$5:$B$304,MATCH(I924,Inventory!$A$5:$A$304,0))&amp;"","Not in Inventory"),IFERROR(INDEX(Services!$B$5:$B$204,MATCH(I924,Services!$A$5:$A$204,0))&amp;"","Not in Services"))))</f>
        <v>0</v>
      </c>
      <c r="V924" s="26">
        <f>IF(B924="","",IF(L924&lt;&gt;"",L924,IF(H924="Retail",IFERROR(INDEX(Inventory!$I$5:$I$304,MATCH(I924,Inventory!$A$5:$A$304,0))*1,0),IFERROR(INDEX(Services!$G$5:$G$204,MATCH(I924,Services!$A$5:$A$204,0))*1,0))))</f>
        <v>0</v>
      </c>
      <c r="W924" s="26">
        <f>IF(B924="","",ROUND(T924*V924,2))</f>
        <v>0</v>
      </c>
      <c r="X924" s="26">
        <f>IF(B924="","",ROUND(IF(M924="",0,W924*M924)+IF(N924="",0,N924),2))</f>
        <v>0</v>
      </c>
      <c r="Y924" s="26">
        <f>IF(B924="","",ROUND(W924-X924-IF(P924="",0,P924),2))</f>
        <v>0</v>
      </c>
      <c r="Z924" s="26">
        <f>IF(B924="","",IF(H924="Retail",IF(TaxOnRetail="Yes",ROUND(Y924*TaxRate,2),0),IF(H924="Service",IF(TaxOnServices="Yes",ROUND(Y924*TaxRate,2),0),0)))</f>
        <v>0</v>
      </c>
      <c r="AA924" s="26">
        <f>IF(B924="","",ROUND(Y924+Z924,2))</f>
        <v>0</v>
      </c>
      <c r="AB924" s="26">
        <f>IF(B924="","",ROUND(T924*IF(H924="Retail",IFERROR(INDEX(Inventory!$H$5:$H$304,MATCH(I924,Inventory!$A$5:$A$304,0))*1,0),IFERROR(INDEX(Services!$Q$5:$Q$204,MATCH(I924,Services!$A$5:$A$204,0))*1,0)),2))</f>
        <v>0</v>
      </c>
      <c r="AC924" s="26">
        <f>IF(B924="","",ROUND(Y924-AB924,2))</f>
        <v>0</v>
      </c>
      <c r="AD924" s="38">
        <f>IF(B924="","",IF(C924="","No",IF(COUNTIFS($C$5:C924,C924)=1,"Yes","No")))</f>
        <v>0</v>
      </c>
      <c r="AE924" s="26">
        <f>IF(B924="","",ROUND(SUMIFS(Payments!$G$5:$G$1204,Payments!$H$5:$H$1204,A924,Payments!$Q$5:$Q$1204,"Yes"),2))</f>
        <v>0</v>
      </c>
      <c r="AF924" s="26">
        <f>IF(B924="","",IF(AD924="No",0,ROUND(SUMIFS(Payments!$G$5:$G$1204,Payments!$I$5:$I$1204,C924,Payments!$H$5:$H$1204,"",Payments!$Q$5:$Q$1204,"Yes"),2)))</f>
        <v>0</v>
      </c>
      <c r="AG924" s="26">
        <f>IF(B924="","",ROUND(AE924+AF924,2))</f>
        <v>0</v>
      </c>
      <c r="AH924" s="26">
        <f>IF(B924="","",ROUND(AA924-AG924,2))</f>
        <v>0</v>
      </c>
      <c r="AI924" s="39">
        <f>IF(B924="","",IF(AA924&lt;=0,"No charge",IF(AH924&lt;=0.004,"Paid",IF(AG924&lt;=0.004,"Unpaid","Part paid"))))</f>
        <v>0</v>
      </c>
      <c r="AJ924" s="38">
        <f>IF(B924="","",IF(H924&lt;&gt;"Service","",IF(D924="","No",IF(COUNTIFS($D$5:$D$1204,D924,$B$5:$B$1204,B924,$H$5:$H$1204,"Retail")&gt;0,"Yes","No"))))</f>
        <v>0</v>
      </c>
      <c r="AK924" s="25">
        <f>IF(B924="","",COUNTIFS($Y$5:$Y$1204,"&gt;"&amp;Y924)+COUNTIFS($Y$5:Y924,Y924))</f>
        <v>0</v>
      </c>
      <c r="AL924" s="39">
        <f>IF(B924="","",IF(H924="","Add - what kind of sale is this?",IF(IF(V924&lt;=0,P924="",FALSE),"Check - no price found for this item",IF(F924="","Assign - nobody credited",IF(AH924&gt;0.004,"Unpaid - balance outstanding",IF(AC924&lt;0,"Loss - sold below cost",IF(X924&gt;W924*0.5,"Check - more than half off","OK")))))))</f>
        <v>0</v>
      </c>
    </row>
    <row r="925" spans="1:38">
      <c r="A925" s="28">
        <f>IF(B925="","",SalePrefix&amp;TEXT(ROW()-4,"0000"))</f>
        <v>0</v>
      </c>
      <c r="E925" s="15">
        <f>IF(D925="","",IFERROR(INDEX(Clients!$B$5:$B$504,MATCH(D925,Clients!$A$5:$A$504,0)),"Walk-in"))</f>
        <v>0</v>
      </c>
      <c r="G925" s="15">
        <f>IF(F925="","",IFERROR(INDEX(Staff!$B$5:$B$44,MATCH(F925,Staff!$A$5:$A$44,0)),"House"))</f>
        <v>0</v>
      </c>
      <c r="R925" s="15">
        <f>IF(B925="","",TEXT(B925,"yyyy-mm"))</f>
        <v>0</v>
      </c>
      <c r="S925" s="25">
        <f>IF(B925="","",WEEKNUM(B925,2))</f>
        <v>0</v>
      </c>
      <c r="T925" s="37">
        <f>IF(B925="","",IF(K925="",1,K925))</f>
        <v>0</v>
      </c>
      <c r="U925" s="15">
        <f>IF(B925="","",IF(J925&lt;&gt;"",J925,IF(H925="Retail",IFERROR(INDEX(Inventory!$B$5:$B$304,MATCH(I925,Inventory!$A$5:$A$304,0))&amp;"","Not in Inventory"),IFERROR(INDEX(Services!$B$5:$B$204,MATCH(I925,Services!$A$5:$A$204,0))&amp;"","Not in Services"))))</f>
        <v>0</v>
      </c>
      <c r="V925" s="26">
        <f>IF(B925="","",IF(L925&lt;&gt;"",L925,IF(H925="Retail",IFERROR(INDEX(Inventory!$I$5:$I$304,MATCH(I925,Inventory!$A$5:$A$304,0))*1,0),IFERROR(INDEX(Services!$G$5:$G$204,MATCH(I925,Services!$A$5:$A$204,0))*1,0))))</f>
        <v>0</v>
      </c>
      <c r="W925" s="26">
        <f>IF(B925="","",ROUND(T925*V925,2))</f>
        <v>0</v>
      </c>
      <c r="X925" s="26">
        <f>IF(B925="","",ROUND(IF(M925="",0,W925*M925)+IF(N925="",0,N925),2))</f>
        <v>0</v>
      </c>
      <c r="Y925" s="26">
        <f>IF(B925="","",ROUND(W925-X925-IF(P925="",0,P925),2))</f>
        <v>0</v>
      </c>
      <c r="Z925" s="26">
        <f>IF(B925="","",IF(H925="Retail",IF(TaxOnRetail="Yes",ROUND(Y925*TaxRate,2),0),IF(H925="Service",IF(TaxOnServices="Yes",ROUND(Y925*TaxRate,2),0),0)))</f>
        <v>0</v>
      </c>
      <c r="AA925" s="26">
        <f>IF(B925="","",ROUND(Y925+Z925,2))</f>
        <v>0</v>
      </c>
      <c r="AB925" s="26">
        <f>IF(B925="","",ROUND(T925*IF(H925="Retail",IFERROR(INDEX(Inventory!$H$5:$H$304,MATCH(I925,Inventory!$A$5:$A$304,0))*1,0),IFERROR(INDEX(Services!$Q$5:$Q$204,MATCH(I925,Services!$A$5:$A$204,0))*1,0)),2))</f>
        <v>0</v>
      </c>
      <c r="AC925" s="26">
        <f>IF(B925="","",ROUND(Y925-AB925,2))</f>
        <v>0</v>
      </c>
      <c r="AD925" s="38">
        <f>IF(B925="","",IF(C925="","No",IF(COUNTIFS($C$5:C925,C925)=1,"Yes","No")))</f>
        <v>0</v>
      </c>
      <c r="AE925" s="26">
        <f>IF(B925="","",ROUND(SUMIFS(Payments!$G$5:$G$1204,Payments!$H$5:$H$1204,A925,Payments!$Q$5:$Q$1204,"Yes"),2))</f>
        <v>0</v>
      </c>
      <c r="AF925" s="26">
        <f>IF(B925="","",IF(AD925="No",0,ROUND(SUMIFS(Payments!$G$5:$G$1204,Payments!$I$5:$I$1204,C925,Payments!$H$5:$H$1204,"",Payments!$Q$5:$Q$1204,"Yes"),2)))</f>
        <v>0</v>
      </c>
      <c r="AG925" s="26">
        <f>IF(B925="","",ROUND(AE925+AF925,2))</f>
        <v>0</v>
      </c>
      <c r="AH925" s="26">
        <f>IF(B925="","",ROUND(AA925-AG925,2))</f>
        <v>0</v>
      </c>
      <c r="AI925" s="39">
        <f>IF(B925="","",IF(AA925&lt;=0,"No charge",IF(AH925&lt;=0.004,"Paid",IF(AG925&lt;=0.004,"Unpaid","Part paid"))))</f>
        <v>0</v>
      </c>
      <c r="AJ925" s="38">
        <f>IF(B925="","",IF(H925&lt;&gt;"Service","",IF(D925="","No",IF(COUNTIFS($D$5:$D$1204,D925,$B$5:$B$1204,B925,$H$5:$H$1204,"Retail")&gt;0,"Yes","No"))))</f>
        <v>0</v>
      </c>
      <c r="AK925" s="25">
        <f>IF(B925="","",COUNTIFS($Y$5:$Y$1204,"&gt;"&amp;Y925)+COUNTIFS($Y$5:Y925,Y925))</f>
        <v>0</v>
      </c>
      <c r="AL925" s="39">
        <f>IF(B925="","",IF(H925="","Add - what kind of sale is this?",IF(IF(V925&lt;=0,P925="",FALSE),"Check - no price found for this item",IF(F925="","Assign - nobody credited",IF(AH925&gt;0.004,"Unpaid - balance outstanding",IF(AC925&lt;0,"Loss - sold below cost",IF(X925&gt;W925*0.5,"Check - more than half off","OK")))))))</f>
        <v>0</v>
      </c>
    </row>
    <row r="926" spans="1:38">
      <c r="A926" s="28">
        <f>IF(B926="","",SalePrefix&amp;TEXT(ROW()-4,"0000"))</f>
        <v>0</v>
      </c>
      <c r="E926" s="15">
        <f>IF(D926="","",IFERROR(INDEX(Clients!$B$5:$B$504,MATCH(D926,Clients!$A$5:$A$504,0)),"Walk-in"))</f>
        <v>0</v>
      </c>
      <c r="G926" s="15">
        <f>IF(F926="","",IFERROR(INDEX(Staff!$B$5:$B$44,MATCH(F926,Staff!$A$5:$A$44,0)),"House"))</f>
        <v>0</v>
      </c>
      <c r="R926" s="15">
        <f>IF(B926="","",TEXT(B926,"yyyy-mm"))</f>
        <v>0</v>
      </c>
      <c r="S926" s="25">
        <f>IF(B926="","",WEEKNUM(B926,2))</f>
        <v>0</v>
      </c>
      <c r="T926" s="37">
        <f>IF(B926="","",IF(K926="",1,K926))</f>
        <v>0</v>
      </c>
      <c r="U926" s="15">
        <f>IF(B926="","",IF(J926&lt;&gt;"",J926,IF(H926="Retail",IFERROR(INDEX(Inventory!$B$5:$B$304,MATCH(I926,Inventory!$A$5:$A$304,0))&amp;"","Not in Inventory"),IFERROR(INDEX(Services!$B$5:$B$204,MATCH(I926,Services!$A$5:$A$204,0))&amp;"","Not in Services"))))</f>
        <v>0</v>
      </c>
      <c r="V926" s="26">
        <f>IF(B926="","",IF(L926&lt;&gt;"",L926,IF(H926="Retail",IFERROR(INDEX(Inventory!$I$5:$I$304,MATCH(I926,Inventory!$A$5:$A$304,0))*1,0),IFERROR(INDEX(Services!$G$5:$G$204,MATCH(I926,Services!$A$5:$A$204,0))*1,0))))</f>
        <v>0</v>
      </c>
      <c r="W926" s="26">
        <f>IF(B926="","",ROUND(T926*V926,2))</f>
        <v>0</v>
      </c>
      <c r="X926" s="26">
        <f>IF(B926="","",ROUND(IF(M926="",0,W926*M926)+IF(N926="",0,N926),2))</f>
        <v>0</v>
      </c>
      <c r="Y926" s="26">
        <f>IF(B926="","",ROUND(W926-X926-IF(P926="",0,P926),2))</f>
        <v>0</v>
      </c>
      <c r="Z926" s="26">
        <f>IF(B926="","",IF(H926="Retail",IF(TaxOnRetail="Yes",ROUND(Y926*TaxRate,2),0),IF(H926="Service",IF(TaxOnServices="Yes",ROUND(Y926*TaxRate,2),0),0)))</f>
        <v>0</v>
      </c>
      <c r="AA926" s="26">
        <f>IF(B926="","",ROUND(Y926+Z926,2))</f>
        <v>0</v>
      </c>
      <c r="AB926" s="26">
        <f>IF(B926="","",ROUND(T926*IF(H926="Retail",IFERROR(INDEX(Inventory!$H$5:$H$304,MATCH(I926,Inventory!$A$5:$A$304,0))*1,0),IFERROR(INDEX(Services!$Q$5:$Q$204,MATCH(I926,Services!$A$5:$A$204,0))*1,0)),2))</f>
        <v>0</v>
      </c>
      <c r="AC926" s="26">
        <f>IF(B926="","",ROUND(Y926-AB926,2))</f>
        <v>0</v>
      </c>
      <c r="AD926" s="38">
        <f>IF(B926="","",IF(C926="","No",IF(COUNTIFS($C$5:C926,C926)=1,"Yes","No")))</f>
        <v>0</v>
      </c>
      <c r="AE926" s="26">
        <f>IF(B926="","",ROUND(SUMIFS(Payments!$G$5:$G$1204,Payments!$H$5:$H$1204,A926,Payments!$Q$5:$Q$1204,"Yes"),2))</f>
        <v>0</v>
      </c>
      <c r="AF926" s="26">
        <f>IF(B926="","",IF(AD926="No",0,ROUND(SUMIFS(Payments!$G$5:$G$1204,Payments!$I$5:$I$1204,C926,Payments!$H$5:$H$1204,"",Payments!$Q$5:$Q$1204,"Yes"),2)))</f>
        <v>0</v>
      </c>
      <c r="AG926" s="26">
        <f>IF(B926="","",ROUND(AE926+AF926,2))</f>
        <v>0</v>
      </c>
      <c r="AH926" s="26">
        <f>IF(B926="","",ROUND(AA926-AG926,2))</f>
        <v>0</v>
      </c>
      <c r="AI926" s="39">
        <f>IF(B926="","",IF(AA926&lt;=0,"No charge",IF(AH926&lt;=0.004,"Paid",IF(AG926&lt;=0.004,"Unpaid","Part paid"))))</f>
        <v>0</v>
      </c>
      <c r="AJ926" s="38">
        <f>IF(B926="","",IF(H926&lt;&gt;"Service","",IF(D926="","No",IF(COUNTIFS($D$5:$D$1204,D926,$B$5:$B$1204,B926,$H$5:$H$1204,"Retail")&gt;0,"Yes","No"))))</f>
        <v>0</v>
      </c>
      <c r="AK926" s="25">
        <f>IF(B926="","",COUNTIFS($Y$5:$Y$1204,"&gt;"&amp;Y926)+COUNTIFS($Y$5:Y926,Y926))</f>
        <v>0</v>
      </c>
      <c r="AL926" s="39">
        <f>IF(B926="","",IF(H926="","Add - what kind of sale is this?",IF(IF(V926&lt;=0,P926="",FALSE),"Check - no price found for this item",IF(F926="","Assign - nobody credited",IF(AH926&gt;0.004,"Unpaid - balance outstanding",IF(AC926&lt;0,"Loss - sold below cost",IF(X926&gt;W926*0.5,"Check - more than half off","OK")))))))</f>
        <v>0</v>
      </c>
    </row>
    <row r="927" spans="1:38">
      <c r="A927" s="28">
        <f>IF(B927="","",SalePrefix&amp;TEXT(ROW()-4,"0000"))</f>
        <v>0</v>
      </c>
      <c r="E927" s="15">
        <f>IF(D927="","",IFERROR(INDEX(Clients!$B$5:$B$504,MATCH(D927,Clients!$A$5:$A$504,0)),"Walk-in"))</f>
        <v>0</v>
      </c>
      <c r="G927" s="15">
        <f>IF(F927="","",IFERROR(INDEX(Staff!$B$5:$B$44,MATCH(F927,Staff!$A$5:$A$44,0)),"House"))</f>
        <v>0</v>
      </c>
      <c r="R927" s="15">
        <f>IF(B927="","",TEXT(B927,"yyyy-mm"))</f>
        <v>0</v>
      </c>
      <c r="S927" s="25">
        <f>IF(B927="","",WEEKNUM(B927,2))</f>
        <v>0</v>
      </c>
      <c r="T927" s="37">
        <f>IF(B927="","",IF(K927="",1,K927))</f>
        <v>0</v>
      </c>
      <c r="U927" s="15">
        <f>IF(B927="","",IF(J927&lt;&gt;"",J927,IF(H927="Retail",IFERROR(INDEX(Inventory!$B$5:$B$304,MATCH(I927,Inventory!$A$5:$A$304,0))&amp;"","Not in Inventory"),IFERROR(INDEX(Services!$B$5:$B$204,MATCH(I927,Services!$A$5:$A$204,0))&amp;"","Not in Services"))))</f>
        <v>0</v>
      </c>
      <c r="V927" s="26">
        <f>IF(B927="","",IF(L927&lt;&gt;"",L927,IF(H927="Retail",IFERROR(INDEX(Inventory!$I$5:$I$304,MATCH(I927,Inventory!$A$5:$A$304,0))*1,0),IFERROR(INDEX(Services!$G$5:$G$204,MATCH(I927,Services!$A$5:$A$204,0))*1,0))))</f>
        <v>0</v>
      </c>
      <c r="W927" s="26">
        <f>IF(B927="","",ROUND(T927*V927,2))</f>
        <v>0</v>
      </c>
      <c r="X927" s="26">
        <f>IF(B927="","",ROUND(IF(M927="",0,W927*M927)+IF(N927="",0,N927),2))</f>
        <v>0</v>
      </c>
      <c r="Y927" s="26">
        <f>IF(B927="","",ROUND(W927-X927-IF(P927="",0,P927),2))</f>
        <v>0</v>
      </c>
      <c r="Z927" s="26">
        <f>IF(B927="","",IF(H927="Retail",IF(TaxOnRetail="Yes",ROUND(Y927*TaxRate,2),0),IF(H927="Service",IF(TaxOnServices="Yes",ROUND(Y927*TaxRate,2),0),0)))</f>
        <v>0</v>
      </c>
      <c r="AA927" s="26">
        <f>IF(B927="","",ROUND(Y927+Z927,2))</f>
        <v>0</v>
      </c>
      <c r="AB927" s="26">
        <f>IF(B927="","",ROUND(T927*IF(H927="Retail",IFERROR(INDEX(Inventory!$H$5:$H$304,MATCH(I927,Inventory!$A$5:$A$304,0))*1,0),IFERROR(INDEX(Services!$Q$5:$Q$204,MATCH(I927,Services!$A$5:$A$204,0))*1,0)),2))</f>
        <v>0</v>
      </c>
      <c r="AC927" s="26">
        <f>IF(B927="","",ROUND(Y927-AB927,2))</f>
        <v>0</v>
      </c>
      <c r="AD927" s="38">
        <f>IF(B927="","",IF(C927="","No",IF(COUNTIFS($C$5:C927,C927)=1,"Yes","No")))</f>
        <v>0</v>
      </c>
      <c r="AE927" s="26">
        <f>IF(B927="","",ROUND(SUMIFS(Payments!$G$5:$G$1204,Payments!$H$5:$H$1204,A927,Payments!$Q$5:$Q$1204,"Yes"),2))</f>
        <v>0</v>
      </c>
      <c r="AF927" s="26">
        <f>IF(B927="","",IF(AD927="No",0,ROUND(SUMIFS(Payments!$G$5:$G$1204,Payments!$I$5:$I$1204,C927,Payments!$H$5:$H$1204,"",Payments!$Q$5:$Q$1204,"Yes"),2)))</f>
        <v>0</v>
      </c>
      <c r="AG927" s="26">
        <f>IF(B927="","",ROUND(AE927+AF927,2))</f>
        <v>0</v>
      </c>
      <c r="AH927" s="26">
        <f>IF(B927="","",ROUND(AA927-AG927,2))</f>
        <v>0</v>
      </c>
      <c r="AI927" s="39">
        <f>IF(B927="","",IF(AA927&lt;=0,"No charge",IF(AH927&lt;=0.004,"Paid",IF(AG927&lt;=0.004,"Unpaid","Part paid"))))</f>
        <v>0</v>
      </c>
      <c r="AJ927" s="38">
        <f>IF(B927="","",IF(H927&lt;&gt;"Service","",IF(D927="","No",IF(COUNTIFS($D$5:$D$1204,D927,$B$5:$B$1204,B927,$H$5:$H$1204,"Retail")&gt;0,"Yes","No"))))</f>
        <v>0</v>
      </c>
      <c r="AK927" s="25">
        <f>IF(B927="","",COUNTIFS($Y$5:$Y$1204,"&gt;"&amp;Y927)+COUNTIFS($Y$5:Y927,Y927))</f>
        <v>0</v>
      </c>
      <c r="AL927" s="39">
        <f>IF(B927="","",IF(H927="","Add - what kind of sale is this?",IF(IF(V927&lt;=0,P927="",FALSE),"Check - no price found for this item",IF(F927="","Assign - nobody credited",IF(AH927&gt;0.004,"Unpaid - balance outstanding",IF(AC927&lt;0,"Loss - sold below cost",IF(X927&gt;W927*0.5,"Check - more than half off","OK")))))))</f>
        <v>0</v>
      </c>
    </row>
    <row r="928" spans="1:38">
      <c r="A928" s="28">
        <f>IF(B928="","",SalePrefix&amp;TEXT(ROW()-4,"0000"))</f>
        <v>0</v>
      </c>
      <c r="E928" s="15">
        <f>IF(D928="","",IFERROR(INDEX(Clients!$B$5:$B$504,MATCH(D928,Clients!$A$5:$A$504,0)),"Walk-in"))</f>
        <v>0</v>
      </c>
      <c r="G928" s="15">
        <f>IF(F928="","",IFERROR(INDEX(Staff!$B$5:$B$44,MATCH(F928,Staff!$A$5:$A$44,0)),"House"))</f>
        <v>0</v>
      </c>
      <c r="R928" s="15">
        <f>IF(B928="","",TEXT(B928,"yyyy-mm"))</f>
        <v>0</v>
      </c>
      <c r="S928" s="25">
        <f>IF(B928="","",WEEKNUM(B928,2))</f>
        <v>0</v>
      </c>
      <c r="T928" s="37">
        <f>IF(B928="","",IF(K928="",1,K928))</f>
        <v>0</v>
      </c>
      <c r="U928" s="15">
        <f>IF(B928="","",IF(J928&lt;&gt;"",J928,IF(H928="Retail",IFERROR(INDEX(Inventory!$B$5:$B$304,MATCH(I928,Inventory!$A$5:$A$304,0))&amp;"","Not in Inventory"),IFERROR(INDEX(Services!$B$5:$B$204,MATCH(I928,Services!$A$5:$A$204,0))&amp;"","Not in Services"))))</f>
        <v>0</v>
      </c>
      <c r="V928" s="26">
        <f>IF(B928="","",IF(L928&lt;&gt;"",L928,IF(H928="Retail",IFERROR(INDEX(Inventory!$I$5:$I$304,MATCH(I928,Inventory!$A$5:$A$304,0))*1,0),IFERROR(INDEX(Services!$G$5:$G$204,MATCH(I928,Services!$A$5:$A$204,0))*1,0))))</f>
        <v>0</v>
      </c>
      <c r="W928" s="26">
        <f>IF(B928="","",ROUND(T928*V928,2))</f>
        <v>0</v>
      </c>
      <c r="X928" s="26">
        <f>IF(B928="","",ROUND(IF(M928="",0,W928*M928)+IF(N928="",0,N928),2))</f>
        <v>0</v>
      </c>
      <c r="Y928" s="26">
        <f>IF(B928="","",ROUND(W928-X928-IF(P928="",0,P928),2))</f>
        <v>0</v>
      </c>
      <c r="Z928" s="26">
        <f>IF(B928="","",IF(H928="Retail",IF(TaxOnRetail="Yes",ROUND(Y928*TaxRate,2),0),IF(H928="Service",IF(TaxOnServices="Yes",ROUND(Y928*TaxRate,2),0),0)))</f>
        <v>0</v>
      </c>
      <c r="AA928" s="26">
        <f>IF(B928="","",ROUND(Y928+Z928,2))</f>
        <v>0</v>
      </c>
      <c r="AB928" s="26">
        <f>IF(B928="","",ROUND(T928*IF(H928="Retail",IFERROR(INDEX(Inventory!$H$5:$H$304,MATCH(I928,Inventory!$A$5:$A$304,0))*1,0),IFERROR(INDEX(Services!$Q$5:$Q$204,MATCH(I928,Services!$A$5:$A$204,0))*1,0)),2))</f>
        <v>0</v>
      </c>
      <c r="AC928" s="26">
        <f>IF(B928="","",ROUND(Y928-AB928,2))</f>
        <v>0</v>
      </c>
      <c r="AD928" s="38">
        <f>IF(B928="","",IF(C928="","No",IF(COUNTIFS($C$5:C928,C928)=1,"Yes","No")))</f>
        <v>0</v>
      </c>
      <c r="AE928" s="26">
        <f>IF(B928="","",ROUND(SUMIFS(Payments!$G$5:$G$1204,Payments!$H$5:$H$1204,A928,Payments!$Q$5:$Q$1204,"Yes"),2))</f>
        <v>0</v>
      </c>
      <c r="AF928" s="26">
        <f>IF(B928="","",IF(AD928="No",0,ROUND(SUMIFS(Payments!$G$5:$G$1204,Payments!$I$5:$I$1204,C928,Payments!$H$5:$H$1204,"",Payments!$Q$5:$Q$1204,"Yes"),2)))</f>
        <v>0</v>
      </c>
      <c r="AG928" s="26">
        <f>IF(B928="","",ROUND(AE928+AF928,2))</f>
        <v>0</v>
      </c>
      <c r="AH928" s="26">
        <f>IF(B928="","",ROUND(AA928-AG928,2))</f>
        <v>0</v>
      </c>
      <c r="AI928" s="39">
        <f>IF(B928="","",IF(AA928&lt;=0,"No charge",IF(AH928&lt;=0.004,"Paid",IF(AG928&lt;=0.004,"Unpaid","Part paid"))))</f>
        <v>0</v>
      </c>
      <c r="AJ928" s="38">
        <f>IF(B928="","",IF(H928&lt;&gt;"Service","",IF(D928="","No",IF(COUNTIFS($D$5:$D$1204,D928,$B$5:$B$1204,B928,$H$5:$H$1204,"Retail")&gt;0,"Yes","No"))))</f>
        <v>0</v>
      </c>
      <c r="AK928" s="25">
        <f>IF(B928="","",COUNTIFS($Y$5:$Y$1204,"&gt;"&amp;Y928)+COUNTIFS($Y$5:Y928,Y928))</f>
        <v>0</v>
      </c>
      <c r="AL928" s="39">
        <f>IF(B928="","",IF(H928="","Add - what kind of sale is this?",IF(IF(V928&lt;=0,P928="",FALSE),"Check - no price found for this item",IF(F928="","Assign - nobody credited",IF(AH928&gt;0.004,"Unpaid - balance outstanding",IF(AC928&lt;0,"Loss - sold below cost",IF(X928&gt;W928*0.5,"Check - more than half off","OK")))))))</f>
        <v>0</v>
      </c>
    </row>
    <row r="929" spans="1:38">
      <c r="A929" s="28">
        <f>IF(B929="","",SalePrefix&amp;TEXT(ROW()-4,"0000"))</f>
        <v>0</v>
      </c>
      <c r="E929" s="15">
        <f>IF(D929="","",IFERROR(INDEX(Clients!$B$5:$B$504,MATCH(D929,Clients!$A$5:$A$504,0)),"Walk-in"))</f>
        <v>0</v>
      </c>
      <c r="G929" s="15">
        <f>IF(F929="","",IFERROR(INDEX(Staff!$B$5:$B$44,MATCH(F929,Staff!$A$5:$A$44,0)),"House"))</f>
        <v>0</v>
      </c>
      <c r="R929" s="15">
        <f>IF(B929="","",TEXT(B929,"yyyy-mm"))</f>
        <v>0</v>
      </c>
      <c r="S929" s="25">
        <f>IF(B929="","",WEEKNUM(B929,2))</f>
        <v>0</v>
      </c>
      <c r="T929" s="37">
        <f>IF(B929="","",IF(K929="",1,K929))</f>
        <v>0</v>
      </c>
      <c r="U929" s="15">
        <f>IF(B929="","",IF(J929&lt;&gt;"",J929,IF(H929="Retail",IFERROR(INDEX(Inventory!$B$5:$B$304,MATCH(I929,Inventory!$A$5:$A$304,0))&amp;"","Not in Inventory"),IFERROR(INDEX(Services!$B$5:$B$204,MATCH(I929,Services!$A$5:$A$204,0))&amp;"","Not in Services"))))</f>
        <v>0</v>
      </c>
      <c r="V929" s="26">
        <f>IF(B929="","",IF(L929&lt;&gt;"",L929,IF(H929="Retail",IFERROR(INDEX(Inventory!$I$5:$I$304,MATCH(I929,Inventory!$A$5:$A$304,0))*1,0),IFERROR(INDEX(Services!$G$5:$G$204,MATCH(I929,Services!$A$5:$A$204,0))*1,0))))</f>
        <v>0</v>
      </c>
      <c r="W929" s="26">
        <f>IF(B929="","",ROUND(T929*V929,2))</f>
        <v>0</v>
      </c>
      <c r="X929" s="26">
        <f>IF(B929="","",ROUND(IF(M929="",0,W929*M929)+IF(N929="",0,N929),2))</f>
        <v>0</v>
      </c>
      <c r="Y929" s="26">
        <f>IF(B929="","",ROUND(W929-X929-IF(P929="",0,P929),2))</f>
        <v>0</v>
      </c>
      <c r="Z929" s="26">
        <f>IF(B929="","",IF(H929="Retail",IF(TaxOnRetail="Yes",ROUND(Y929*TaxRate,2),0),IF(H929="Service",IF(TaxOnServices="Yes",ROUND(Y929*TaxRate,2),0),0)))</f>
        <v>0</v>
      </c>
      <c r="AA929" s="26">
        <f>IF(B929="","",ROUND(Y929+Z929,2))</f>
        <v>0</v>
      </c>
      <c r="AB929" s="26">
        <f>IF(B929="","",ROUND(T929*IF(H929="Retail",IFERROR(INDEX(Inventory!$H$5:$H$304,MATCH(I929,Inventory!$A$5:$A$304,0))*1,0),IFERROR(INDEX(Services!$Q$5:$Q$204,MATCH(I929,Services!$A$5:$A$204,0))*1,0)),2))</f>
        <v>0</v>
      </c>
      <c r="AC929" s="26">
        <f>IF(B929="","",ROUND(Y929-AB929,2))</f>
        <v>0</v>
      </c>
      <c r="AD929" s="38">
        <f>IF(B929="","",IF(C929="","No",IF(COUNTIFS($C$5:C929,C929)=1,"Yes","No")))</f>
        <v>0</v>
      </c>
      <c r="AE929" s="26">
        <f>IF(B929="","",ROUND(SUMIFS(Payments!$G$5:$G$1204,Payments!$H$5:$H$1204,A929,Payments!$Q$5:$Q$1204,"Yes"),2))</f>
        <v>0</v>
      </c>
      <c r="AF929" s="26">
        <f>IF(B929="","",IF(AD929="No",0,ROUND(SUMIFS(Payments!$G$5:$G$1204,Payments!$I$5:$I$1204,C929,Payments!$H$5:$H$1204,"",Payments!$Q$5:$Q$1204,"Yes"),2)))</f>
        <v>0</v>
      </c>
      <c r="AG929" s="26">
        <f>IF(B929="","",ROUND(AE929+AF929,2))</f>
        <v>0</v>
      </c>
      <c r="AH929" s="26">
        <f>IF(B929="","",ROUND(AA929-AG929,2))</f>
        <v>0</v>
      </c>
      <c r="AI929" s="39">
        <f>IF(B929="","",IF(AA929&lt;=0,"No charge",IF(AH929&lt;=0.004,"Paid",IF(AG929&lt;=0.004,"Unpaid","Part paid"))))</f>
        <v>0</v>
      </c>
      <c r="AJ929" s="38">
        <f>IF(B929="","",IF(H929&lt;&gt;"Service","",IF(D929="","No",IF(COUNTIFS($D$5:$D$1204,D929,$B$5:$B$1204,B929,$H$5:$H$1204,"Retail")&gt;0,"Yes","No"))))</f>
        <v>0</v>
      </c>
      <c r="AK929" s="25">
        <f>IF(B929="","",COUNTIFS($Y$5:$Y$1204,"&gt;"&amp;Y929)+COUNTIFS($Y$5:Y929,Y929))</f>
        <v>0</v>
      </c>
      <c r="AL929" s="39">
        <f>IF(B929="","",IF(H929="","Add - what kind of sale is this?",IF(IF(V929&lt;=0,P929="",FALSE),"Check - no price found for this item",IF(F929="","Assign - nobody credited",IF(AH929&gt;0.004,"Unpaid - balance outstanding",IF(AC929&lt;0,"Loss - sold below cost",IF(X929&gt;W929*0.5,"Check - more than half off","OK")))))))</f>
        <v>0</v>
      </c>
    </row>
    <row r="930" spans="1:38">
      <c r="A930" s="28">
        <f>IF(B930="","",SalePrefix&amp;TEXT(ROW()-4,"0000"))</f>
        <v>0</v>
      </c>
      <c r="E930" s="15">
        <f>IF(D930="","",IFERROR(INDEX(Clients!$B$5:$B$504,MATCH(D930,Clients!$A$5:$A$504,0)),"Walk-in"))</f>
        <v>0</v>
      </c>
      <c r="G930" s="15">
        <f>IF(F930="","",IFERROR(INDEX(Staff!$B$5:$B$44,MATCH(F930,Staff!$A$5:$A$44,0)),"House"))</f>
        <v>0</v>
      </c>
      <c r="R930" s="15">
        <f>IF(B930="","",TEXT(B930,"yyyy-mm"))</f>
        <v>0</v>
      </c>
      <c r="S930" s="25">
        <f>IF(B930="","",WEEKNUM(B930,2))</f>
        <v>0</v>
      </c>
      <c r="T930" s="37">
        <f>IF(B930="","",IF(K930="",1,K930))</f>
        <v>0</v>
      </c>
      <c r="U930" s="15">
        <f>IF(B930="","",IF(J930&lt;&gt;"",J930,IF(H930="Retail",IFERROR(INDEX(Inventory!$B$5:$B$304,MATCH(I930,Inventory!$A$5:$A$304,0))&amp;"","Not in Inventory"),IFERROR(INDEX(Services!$B$5:$B$204,MATCH(I930,Services!$A$5:$A$204,0))&amp;"","Not in Services"))))</f>
        <v>0</v>
      </c>
      <c r="V930" s="26">
        <f>IF(B930="","",IF(L930&lt;&gt;"",L930,IF(H930="Retail",IFERROR(INDEX(Inventory!$I$5:$I$304,MATCH(I930,Inventory!$A$5:$A$304,0))*1,0),IFERROR(INDEX(Services!$G$5:$G$204,MATCH(I930,Services!$A$5:$A$204,0))*1,0))))</f>
        <v>0</v>
      </c>
      <c r="W930" s="26">
        <f>IF(B930="","",ROUND(T930*V930,2))</f>
        <v>0</v>
      </c>
      <c r="X930" s="26">
        <f>IF(B930="","",ROUND(IF(M930="",0,W930*M930)+IF(N930="",0,N930),2))</f>
        <v>0</v>
      </c>
      <c r="Y930" s="26">
        <f>IF(B930="","",ROUND(W930-X930-IF(P930="",0,P930),2))</f>
        <v>0</v>
      </c>
      <c r="Z930" s="26">
        <f>IF(B930="","",IF(H930="Retail",IF(TaxOnRetail="Yes",ROUND(Y930*TaxRate,2),0),IF(H930="Service",IF(TaxOnServices="Yes",ROUND(Y930*TaxRate,2),0),0)))</f>
        <v>0</v>
      </c>
      <c r="AA930" s="26">
        <f>IF(B930="","",ROUND(Y930+Z930,2))</f>
        <v>0</v>
      </c>
      <c r="AB930" s="26">
        <f>IF(B930="","",ROUND(T930*IF(H930="Retail",IFERROR(INDEX(Inventory!$H$5:$H$304,MATCH(I930,Inventory!$A$5:$A$304,0))*1,0),IFERROR(INDEX(Services!$Q$5:$Q$204,MATCH(I930,Services!$A$5:$A$204,0))*1,0)),2))</f>
        <v>0</v>
      </c>
      <c r="AC930" s="26">
        <f>IF(B930="","",ROUND(Y930-AB930,2))</f>
        <v>0</v>
      </c>
      <c r="AD930" s="38">
        <f>IF(B930="","",IF(C930="","No",IF(COUNTIFS($C$5:C930,C930)=1,"Yes","No")))</f>
        <v>0</v>
      </c>
      <c r="AE930" s="26">
        <f>IF(B930="","",ROUND(SUMIFS(Payments!$G$5:$G$1204,Payments!$H$5:$H$1204,A930,Payments!$Q$5:$Q$1204,"Yes"),2))</f>
        <v>0</v>
      </c>
      <c r="AF930" s="26">
        <f>IF(B930="","",IF(AD930="No",0,ROUND(SUMIFS(Payments!$G$5:$G$1204,Payments!$I$5:$I$1204,C930,Payments!$H$5:$H$1204,"",Payments!$Q$5:$Q$1204,"Yes"),2)))</f>
        <v>0</v>
      </c>
      <c r="AG930" s="26">
        <f>IF(B930="","",ROUND(AE930+AF930,2))</f>
        <v>0</v>
      </c>
      <c r="AH930" s="26">
        <f>IF(B930="","",ROUND(AA930-AG930,2))</f>
        <v>0</v>
      </c>
      <c r="AI930" s="39">
        <f>IF(B930="","",IF(AA930&lt;=0,"No charge",IF(AH930&lt;=0.004,"Paid",IF(AG930&lt;=0.004,"Unpaid","Part paid"))))</f>
        <v>0</v>
      </c>
      <c r="AJ930" s="38">
        <f>IF(B930="","",IF(H930&lt;&gt;"Service","",IF(D930="","No",IF(COUNTIFS($D$5:$D$1204,D930,$B$5:$B$1204,B930,$H$5:$H$1204,"Retail")&gt;0,"Yes","No"))))</f>
        <v>0</v>
      </c>
      <c r="AK930" s="25">
        <f>IF(B930="","",COUNTIFS($Y$5:$Y$1204,"&gt;"&amp;Y930)+COUNTIFS($Y$5:Y930,Y930))</f>
        <v>0</v>
      </c>
      <c r="AL930" s="39">
        <f>IF(B930="","",IF(H930="","Add - what kind of sale is this?",IF(IF(V930&lt;=0,P930="",FALSE),"Check - no price found for this item",IF(F930="","Assign - nobody credited",IF(AH930&gt;0.004,"Unpaid - balance outstanding",IF(AC930&lt;0,"Loss - sold below cost",IF(X930&gt;W930*0.5,"Check - more than half off","OK")))))))</f>
        <v>0</v>
      </c>
    </row>
    <row r="931" spans="1:38">
      <c r="A931" s="28">
        <f>IF(B931="","",SalePrefix&amp;TEXT(ROW()-4,"0000"))</f>
        <v>0</v>
      </c>
      <c r="E931" s="15">
        <f>IF(D931="","",IFERROR(INDEX(Clients!$B$5:$B$504,MATCH(D931,Clients!$A$5:$A$504,0)),"Walk-in"))</f>
        <v>0</v>
      </c>
      <c r="G931" s="15">
        <f>IF(F931="","",IFERROR(INDEX(Staff!$B$5:$B$44,MATCH(F931,Staff!$A$5:$A$44,0)),"House"))</f>
        <v>0</v>
      </c>
      <c r="R931" s="15">
        <f>IF(B931="","",TEXT(B931,"yyyy-mm"))</f>
        <v>0</v>
      </c>
      <c r="S931" s="25">
        <f>IF(B931="","",WEEKNUM(B931,2))</f>
        <v>0</v>
      </c>
      <c r="T931" s="37">
        <f>IF(B931="","",IF(K931="",1,K931))</f>
        <v>0</v>
      </c>
      <c r="U931" s="15">
        <f>IF(B931="","",IF(J931&lt;&gt;"",J931,IF(H931="Retail",IFERROR(INDEX(Inventory!$B$5:$B$304,MATCH(I931,Inventory!$A$5:$A$304,0))&amp;"","Not in Inventory"),IFERROR(INDEX(Services!$B$5:$B$204,MATCH(I931,Services!$A$5:$A$204,0))&amp;"","Not in Services"))))</f>
        <v>0</v>
      </c>
      <c r="V931" s="26">
        <f>IF(B931="","",IF(L931&lt;&gt;"",L931,IF(H931="Retail",IFERROR(INDEX(Inventory!$I$5:$I$304,MATCH(I931,Inventory!$A$5:$A$304,0))*1,0),IFERROR(INDEX(Services!$G$5:$G$204,MATCH(I931,Services!$A$5:$A$204,0))*1,0))))</f>
        <v>0</v>
      </c>
      <c r="W931" s="26">
        <f>IF(B931="","",ROUND(T931*V931,2))</f>
        <v>0</v>
      </c>
      <c r="X931" s="26">
        <f>IF(B931="","",ROUND(IF(M931="",0,W931*M931)+IF(N931="",0,N931),2))</f>
        <v>0</v>
      </c>
      <c r="Y931" s="26">
        <f>IF(B931="","",ROUND(W931-X931-IF(P931="",0,P931),2))</f>
        <v>0</v>
      </c>
      <c r="Z931" s="26">
        <f>IF(B931="","",IF(H931="Retail",IF(TaxOnRetail="Yes",ROUND(Y931*TaxRate,2),0),IF(H931="Service",IF(TaxOnServices="Yes",ROUND(Y931*TaxRate,2),0),0)))</f>
        <v>0</v>
      </c>
      <c r="AA931" s="26">
        <f>IF(B931="","",ROUND(Y931+Z931,2))</f>
        <v>0</v>
      </c>
      <c r="AB931" s="26">
        <f>IF(B931="","",ROUND(T931*IF(H931="Retail",IFERROR(INDEX(Inventory!$H$5:$H$304,MATCH(I931,Inventory!$A$5:$A$304,0))*1,0),IFERROR(INDEX(Services!$Q$5:$Q$204,MATCH(I931,Services!$A$5:$A$204,0))*1,0)),2))</f>
        <v>0</v>
      </c>
      <c r="AC931" s="26">
        <f>IF(B931="","",ROUND(Y931-AB931,2))</f>
        <v>0</v>
      </c>
      <c r="AD931" s="38">
        <f>IF(B931="","",IF(C931="","No",IF(COUNTIFS($C$5:C931,C931)=1,"Yes","No")))</f>
        <v>0</v>
      </c>
      <c r="AE931" s="26">
        <f>IF(B931="","",ROUND(SUMIFS(Payments!$G$5:$G$1204,Payments!$H$5:$H$1204,A931,Payments!$Q$5:$Q$1204,"Yes"),2))</f>
        <v>0</v>
      </c>
      <c r="AF931" s="26">
        <f>IF(B931="","",IF(AD931="No",0,ROUND(SUMIFS(Payments!$G$5:$G$1204,Payments!$I$5:$I$1204,C931,Payments!$H$5:$H$1204,"",Payments!$Q$5:$Q$1204,"Yes"),2)))</f>
        <v>0</v>
      </c>
      <c r="AG931" s="26">
        <f>IF(B931="","",ROUND(AE931+AF931,2))</f>
        <v>0</v>
      </c>
      <c r="AH931" s="26">
        <f>IF(B931="","",ROUND(AA931-AG931,2))</f>
        <v>0</v>
      </c>
      <c r="AI931" s="39">
        <f>IF(B931="","",IF(AA931&lt;=0,"No charge",IF(AH931&lt;=0.004,"Paid",IF(AG931&lt;=0.004,"Unpaid","Part paid"))))</f>
        <v>0</v>
      </c>
      <c r="AJ931" s="38">
        <f>IF(B931="","",IF(H931&lt;&gt;"Service","",IF(D931="","No",IF(COUNTIFS($D$5:$D$1204,D931,$B$5:$B$1204,B931,$H$5:$H$1204,"Retail")&gt;0,"Yes","No"))))</f>
        <v>0</v>
      </c>
      <c r="AK931" s="25">
        <f>IF(B931="","",COUNTIFS($Y$5:$Y$1204,"&gt;"&amp;Y931)+COUNTIFS($Y$5:Y931,Y931))</f>
        <v>0</v>
      </c>
      <c r="AL931" s="39">
        <f>IF(B931="","",IF(H931="","Add - what kind of sale is this?",IF(IF(V931&lt;=0,P931="",FALSE),"Check - no price found for this item",IF(F931="","Assign - nobody credited",IF(AH931&gt;0.004,"Unpaid - balance outstanding",IF(AC931&lt;0,"Loss - sold below cost",IF(X931&gt;W931*0.5,"Check - more than half off","OK")))))))</f>
        <v>0</v>
      </c>
    </row>
    <row r="932" spans="1:38">
      <c r="A932" s="28">
        <f>IF(B932="","",SalePrefix&amp;TEXT(ROW()-4,"0000"))</f>
        <v>0</v>
      </c>
      <c r="E932" s="15">
        <f>IF(D932="","",IFERROR(INDEX(Clients!$B$5:$B$504,MATCH(D932,Clients!$A$5:$A$504,0)),"Walk-in"))</f>
        <v>0</v>
      </c>
      <c r="G932" s="15">
        <f>IF(F932="","",IFERROR(INDEX(Staff!$B$5:$B$44,MATCH(F932,Staff!$A$5:$A$44,0)),"House"))</f>
        <v>0</v>
      </c>
      <c r="R932" s="15">
        <f>IF(B932="","",TEXT(B932,"yyyy-mm"))</f>
        <v>0</v>
      </c>
      <c r="S932" s="25">
        <f>IF(B932="","",WEEKNUM(B932,2))</f>
        <v>0</v>
      </c>
      <c r="T932" s="37">
        <f>IF(B932="","",IF(K932="",1,K932))</f>
        <v>0</v>
      </c>
      <c r="U932" s="15">
        <f>IF(B932="","",IF(J932&lt;&gt;"",J932,IF(H932="Retail",IFERROR(INDEX(Inventory!$B$5:$B$304,MATCH(I932,Inventory!$A$5:$A$304,0))&amp;"","Not in Inventory"),IFERROR(INDEX(Services!$B$5:$B$204,MATCH(I932,Services!$A$5:$A$204,0))&amp;"","Not in Services"))))</f>
        <v>0</v>
      </c>
      <c r="V932" s="26">
        <f>IF(B932="","",IF(L932&lt;&gt;"",L932,IF(H932="Retail",IFERROR(INDEX(Inventory!$I$5:$I$304,MATCH(I932,Inventory!$A$5:$A$304,0))*1,0),IFERROR(INDEX(Services!$G$5:$G$204,MATCH(I932,Services!$A$5:$A$204,0))*1,0))))</f>
        <v>0</v>
      </c>
      <c r="W932" s="26">
        <f>IF(B932="","",ROUND(T932*V932,2))</f>
        <v>0</v>
      </c>
      <c r="X932" s="26">
        <f>IF(B932="","",ROUND(IF(M932="",0,W932*M932)+IF(N932="",0,N932),2))</f>
        <v>0</v>
      </c>
      <c r="Y932" s="26">
        <f>IF(B932="","",ROUND(W932-X932-IF(P932="",0,P932),2))</f>
        <v>0</v>
      </c>
      <c r="Z932" s="26">
        <f>IF(B932="","",IF(H932="Retail",IF(TaxOnRetail="Yes",ROUND(Y932*TaxRate,2),0),IF(H932="Service",IF(TaxOnServices="Yes",ROUND(Y932*TaxRate,2),0),0)))</f>
        <v>0</v>
      </c>
      <c r="AA932" s="26">
        <f>IF(B932="","",ROUND(Y932+Z932,2))</f>
        <v>0</v>
      </c>
      <c r="AB932" s="26">
        <f>IF(B932="","",ROUND(T932*IF(H932="Retail",IFERROR(INDEX(Inventory!$H$5:$H$304,MATCH(I932,Inventory!$A$5:$A$304,0))*1,0),IFERROR(INDEX(Services!$Q$5:$Q$204,MATCH(I932,Services!$A$5:$A$204,0))*1,0)),2))</f>
        <v>0</v>
      </c>
      <c r="AC932" s="26">
        <f>IF(B932="","",ROUND(Y932-AB932,2))</f>
        <v>0</v>
      </c>
      <c r="AD932" s="38">
        <f>IF(B932="","",IF(C932="","No",IF(COUNTIFS($C$5:C932,C932)=1,"Yes","No")))</f>
        <v>0</v>
      </c>
      <c r="AE932" s="26">
        <f>IF(B932="","",ROUND(SUMIFS(Payments!$G$5:$G$1204,Payments!$H$5:$H$1204,A932,Payments!$Q$5:$Q$1204,"Yes"),2))</f>
        <v>0</v>
      </c>
      <c r="AF932" s="26">
        <f>IF(B932="","",IF(AD932="No",0,ROUND(SUMIFS(Payments!$G$5:$G$1204,Payments!$I$5:$I$1204,C932,Payments!$H$5:$H$1204,"",Payments!$Q$5:$Q$1204,"Yes"),2)))</f>
        <v>0</v>
      </c>
      <c r="AG932" s="26">
        <f>IF(B932="","",ROUND(AE932+AF932,2))</f>
        <v>0</v>
      </c>
      <c r="AH932" s="26">
        <f>IF(B932="","",ROUND(AA932-AG932,2))</f>
        <v>0</v>
      </c>
      <c r="AI932" s="39">
        <f>IF(B932="","",IF(AA932&lt;=0,"No charge",IF(AH932&lt;=0.004,"Paid",IF(AG932&lt;=0.004,"Unpaid","Part paid"))))</f>
        <v>0</v>
      </c>
      <c r="AJ932" s="38">
        <f>IF(B932="","",IF(H932&lt;&gt;"Service","",IF(D932="","No",IF(COUNTIFS($D$5:$D$1204,D932,$B$5:$B$1204,B932,$H$5:$H$1204,"Retail")&gt;0,"Yes","No"))))</f>
        <v>0</v>
      </c>
      <c r="AK932" s="25">
        <f>IF(B932="","",COUNTIFS($Y$5:$Y$1204,"&gt;"&amp;Y932)+COUNTIFS($Y$5:Y932,Y932))</f>
        <v>0</v>
      </c>
      <c r="AL932" s="39">
        <f>IF(B932="","",IF(H932="","Add - what kind of sale is this?",IF(IF(V932&lt;=0,P932="",FALSE),"Check - no price found for this item",IF(F932="","Assign - nobody credited",IF(AH932&gt;0.004,"Unpaid - balance outstanding",IF(AC932&lt;0,"Loss - sold below cost",IF(X932&gt;W932*0.5,"Check - more than half off","OK")))))))</f>
        <v>0</v>
      </c>
    </row>
    <row r="933" spans="1:38">
      <c r="A933" s="28">
        <f>IF(B933="","",SalePrefix&amp;TEXT(ROW()-4,"0000"))</f>
        <v>0</v>
      </c>
      <c r="E933" s="15">
        <f>IF(D933="","",IFERROR(INDEX(Clients!$B$5:$B$504,MATCH(D933,Clients!$A$5:$A$504,0)),"Walk-in"))</f>
        <v>0</v>
      </c>
      <c r="G933" s="15">
        <f>IF(F933="","",IFERROR(INDEX(Staff!$B$5:$B$44,MATCH(F933,Staff!$A$5:$A$44,0)),"House"))</f>
        <v>0</v>
      </c>
      <c r="R933" s="15">
        <f>IF(B933="","",TEXT(B933,"yyyy-mm"))</f>
        <v>0</v>
      </c>
      <c r="S933" s="25">
        <f>IF(B933="","",WEEKNUM(B933,2))</f>
        <v>0</v>
      </c>
      <c r="T933" s="37">
        <f>IF(B933="","",IF(K933="",1,K933))</f>
        <v>0</v>
      </c>
      <c r="U933" s="15">
        <f>IF(B933="","",IF(J933&lt;&gt;"",J933,IF(H933="Retail",IFERROR(INDEX(Inventory!$B$5:$B$304,MATCH(I933,Inventory!$A$5:$A$304,0))&amp;"","Not in Inventory"),IFERROR(INDEX(Services!$B$5:$B$204,MATCH(I933,Services!$A$5:$A$204,0))&amp;"","Not in Services"))))</f>
        <v>0</v>
      </c>
      <c r="V933" s="26">
        <f>IF(B933="","",IF(L933&lt;&gt;"",L933,IF(H933="Retail",IFERROR(INDEX(Inventory!$I$5:$I$304,MATCH(I933,Inventory!$A$5:$A$304,0))*1,0),IFERROR(INDEX(Services!$G$5:$G$204,MATCH(I933,Services!$A$5:$A$204,0))*1,0))))</f>
        <v>0</v>
      </c>
      <c r="W933" s="26">
        <f>IF(B933="","",ROUND(T933*V933,2))</f>
        <v>0</v>
      </c>
      <c r="X933" s="26">
        <f>IF(B933="","",ROUND(IF(M933="",0,W933*M933)+IF(N933="",0,N933),2))</f>
        <v>0</v>
      </c>
      <c r="Y933" s="26">
        <f>IF(B933="","",ROUND(W933-X933-IF(P933="",0,P933),2))</f>
        <v>0</v>
      </c>
      <c r="Z933" s="26">
        <f>IF(B933="","",IF(H933="Retail",IF(TaxOnRetail="Yes",ROUND(Y933*TaxRate,2),0),IF(H933="Service",IF(TaxOnServices="Yes",ROUND(Y933*TaxRate,2),0),0)))</f>
        <v>0</v>
      </c>
      <c r="AA933" s="26">
        <f>IF(B933="","",ROUND(Y933+Z933,2))</f>
        <v>0</v>
      </c>
      <c r="AB933" s="26">
        <f>IF(B933="","",ROUND(T933*IF(H933="Retail",IFERROR(INDEX(Inventory!$H$5:$H$304,MATCH(I933,Inventory!$A$5:$A$304,0))*1,0),IFERROR(INDEX(Services!$Q$5:$Q$204,MATCH(I933,Services!$A$5:$A$204,0))*1,0)),2))</f>
        <v>0</v>
      </c>
      <c r="AC933" s="26">
        <f>IF(B933="","",ROUND(Y933-AB933,2))</f>
        <v>0</v>
      </c>
      <c r="AD933" s="38">
        <f>IF(B933="","",IF(C933="","No",IF(COUNTIFS($C$5:C933,C933)=1,"Yes","No")))</f>
        <v>0</v>
      </c>
      <c r="AE933" s="26">
        <f>IF(B933="","",ROUND(SUMIFS(Payments!$G$5:$G$1204,Payments!$H$5:$H$1204,A933,Payments!$Q$5:$Q$1204,"Yes"),2))</f>
        <v>0</v>
      </c>
      <c r="AF933" s="26">
        <f>IF(B933="","",IF(AD933="No",0,ROUND(SUMIFS(Payments!$G$5:$G$1204,Payments!$I$5:$I$1204,C933,Payments!$H$5:$H$1204,"",Payments!$Q$5:$Q$1204,"Yes"),2)))</f>
        <v>0</v>
      </c>
      <c r="AG933" s="26">
        <f>IF(B933="","",ROUND(AE933+AF933,2))</f>
        <v>0</v>
      </c>
      <c r="AH933" s="26">
        <f>IF(B933="","",ROUND(AA933-AG933,2))</f>
        <v>0</v>
      </c>
      <c r="AI933" s="39">
        <f>IF(B933="","",IF(AA933&lt;=0,"No charge",IF(AH933&lt;=0.004,"Paid",IF(AG933&lt;=0.004,"Unpaid","Part paid"))))</f>
        <v>0</v>
      </c>
      <c r="AJ933" s="38">
        <f>IF(B933="","",IF(H933&lt;&gt;"Service","",IF(D933="","No",IF(COUNTIFS($D$5:$D$1204,D933,$B$5:$B$1204,B933,$H$5:$H$1204,"Retail")&gt;0,"Yes","No"))))</f>
        <v>0</v>
      </c>
      <c r="AK933" s="25">
        <f>IF(B933="","",COUNTIFS($Y$5:$Y$1204,"&gt;"&amp;Y933)+COUNTIFS($Y$5:Y933,Y933))</f>
        <v>0</v>
      </c>
      <c r="AL933" s="39">
        <f>IF(B933="","",IF(H933="","Add - what kind of sale is this?",IF(IF(V933&lt;=0,P933="",FALSE),"Check - no price found for this item",IF(F933="","Assign - nobody credited",IF(AH933&gt;0.004,"Unpaid - balance outstanding",IF(AC933&lt;0,"Loss - sold below cost",IF(X933&gt;W933*0.5,"Check - more than half off","OK")))))))</f>
        <v>0</v>
      </c>
    </row>
    <row r="934" spans="1:38">
      <c r="A934" s="28">
        <f>IF(B934="","",SalePrefix&amp;TEXT(ROW()-4,"0000"))</f>
        <v>0</v>
      </c>
      <c r="E934" s="15">
        <f>IF(D934="","",IFERROR(INDEX(Clients!$B$5:$B$504,MATCH(D934,Clients!$A$5:$A$504,0)),"Walk-in"))</f>
        <v>0</v>
      </c>
      <c r="G934" s="15">
        <f>IF(F934="","",IFERROR(INDEX(Staff!$B$5:$B$44,MATCH(F934,Staff!$A$5:$A$44,0)),"House"))</f>
        <v>0</v>
      </c>
      <c r="R934" s="15">
        <f>IF(B934="","",TEXT(B934,"yyyy-mm"))</f>
        <v>0</v>
      </c>
      <c r="S934" s="25">
        <f>IF(B934="","",WEEKNUM(B934,2))</f>
        <v>0</v>
      </c>
      <c r="T934" s="37">
        <f>IF(B934="","",IF(K934="",1,K934))</f>
        <v>0</v>
      </c>
      <c r="U934" s="15">
        <f>IF(B934="","",IF(J934&lt;&gt;"",J934,IF(H934="Retail",IFERROR(INDEX(Inventory!$B$5:$B$304,MATCH(I934,Inventory!$A$5:$A$304,0))&amp;"","Not in Inventory"),IFERROR(INDEX(Services!$B$5:$B$204,MATCH(I934,Services!$A$5:$A$204,0))&amp;"","Not in Services"))))</f>
        <v>0</v>
      </c>
      <c r="V934" s="26">
        <f>IF(B934="","",IF(L934&lt;&gt;"",L934,IF(H934="Retail",IFERROR(INDEX(Inventory!$I$5:$I$304,MATCH(I934,Inventory!$A$5:$A$304,0))*1,0),IFERROR(INDEX(Services!$G$5:$G$204,MATCH(I934,Services!$A$5:$A$204,0))*1,0))))</f>
        <v>0</v>
      </c>
      <c r="W934" s="26">
        <f>IF(B934="","",ROUND(T934*V934,2))</f>
        <v>0</v>
      </c>
      <c r="X934" s="26">
        <f>IF(B934="","",ROUND(IF(M934="",0,W934*M934)+IF(N934="",0,N934),2))</f>
        <v>0</v>
      </c>
      <c r="Y934" s="26">
        <f>IF(B934="","",ROUND(W934-X934-IF(P934="",0,P934),2))</f>
        <v>0</v>
      </c>
      <c r="Z934" s="26">
        <f>IF(B934="","",IF(H934="Retail",IF(TaxOnRetail="Yes",ROUND(Y934*TaxRate,2),0),IF(H934="Service",IF(TaxOnServices="Yes",ROUND(Y934*TaxRate,2),0),0)))</f>
        <v>0</v>
      </c>
      <c r="AA934" s="26">
        <f>IF(B934="","",ROUND(Y934+Z934,2))</f>
        <v>0</v>
      </c>
      <c r="AB934" s="26">
        <f>IF(B934="","",ROUND(T934*IF(H934="Retail",IFERROR(INDEX(Inventory!$H$5:$H$304,MATCH(I934,Inventory!$A$5:$A$304,0))*1,0),IFERROR(INDEX(Services!$Q$5:$Q$204,MATCH(I934,Services!$A$5:$A$204,0))*1,0)),2))</f>
        <v>0</v>
      </c>
      <c r="AC934" s="26">
        <f>IF(B934="","",ROUND(Y934-AB934,2))</f>
        <v>0</v>
      </c>
      <c r="AD934" s="38">
        <f>IF(B934="","",IF(C934="","No",IF(COUNTIFS($C$5:C934,C934)=1,"Yes","No")))</f>
        <v>0</v>
      </c>
      <c r="AE934" s="26">
        <f>IF(B934="","",ROUND(SUMIFS(Payments!$G$5:$G$1204,Payments!$H$5:$H$1204,A934,Payments!$Q$5:$Q$1204,"Yes"),2))</f>
        <v>0</v>
      </c>
      <c r="AF934" s="26">
        <f>IF(B934="","",IF(AD934="No",0,ROUND(SUMIFS(Payments!$G$5:$G$1204,Payments!$I$5:$I$1204,C934,Payments!$H$5:$H$1204,"",Payments!$Q$5:$Q$1204,"Yes"),2)))</f>
        <v>0</v>
      </c>
      <c r="AG934" s="26">
        <f>IF(B934="","",ROUND(AE934+AF934,2))</f>
        <v>0</v>
      </c>
      <c r="AH934" s="26">
        <f>IF(B934="","",ROUND(AA934-AG934,2))</f>
        <v>0</v>
      </c>
      <c r="AI934" s="39">
        <f>IF(B934="","",IF(AA934&lt;=0,"No charge",IF(AH934&lt;=0.004,"Paid",IF(AG934&lt;=0.004,"Unpaid","Part paid"))))</f>
        <v>0</v>
      </c>
      <c r="AJ934" s="38">
        <f>IF(B934="","",IF(H934&lt;&gt;"Service","",IF(D934="","No",IF(COUNTIFS($D$5:$D$1204,D934,$B$5:$B$1204,B934,$H$5:$H$1204,"Retail")&gt;0,"Yes","No"))))</f>
        <v>0</v>
      </c>
      <c r="AK934" s="25">
        <f>IF(B934="","",COUNTIFS($Y$5:$Y$1204,"&gt;"&amp;Y934)+COUNTIFS($Y$5:Y934,Y934))</f>
        <v>0</v>
      </c>
      <c r="AL934" s="39">
        <f>IF(B934="","",IF(H934="","Add - what kind of sale is this?",IF(IF(V934&lt;=0,P934="",FALSE),"Check - no price found for this item",IF(F934="","Assign - nobody credited",IF(AH934&gt;0.004,"Unpaid - balance outstanding",IF(AC934&lt;0,"Loss - sold below cost",IF(X934&gt;W934*0.5,"Check - more than half off","OK")))))))</f>
        <v>0</v>
      </c>
    </row>
    <row r="935" spans="1:38">
      <c r="A935" s="28">
        <f>IF(B935="","",SalePrefix&amp;TEXT(ROW()-4,"0000"))</f>
        <v>0</v>
      </c>
      <c r="E935" s="15">
        <f>IF(D935="","",IFERROR(INDEX(Clients!$B$5:$B$504,MATCH(D935,Clients!$A$5:$A$504,0)),"Walk-in"))</f>
        <v>0</v>
      </c>
      <c r="G935" s="15">
        <f>IF(F935="","",IFERROR(INDEX(Staff!$B$5:$B$44,MATCH(F935,Staff!$A$5:$A$44,0)),"House"))</f>
        <v>0</v>
      </c>
      <c r="R935" s="15">
        <f>IF(B935="","",TEXT(B935,"yyyy-mm"))</f>
        <v>0</v>
      </c>
      <c r="S935" s="25">
        <f>IF(B935="","",WEEKNUM(B935,2))</f>
        <v>0</v>
      </c>
      <c r="T935" s="37">
        <f>IF(B935="","",IF(K935="",1,K935))</f>
        <v>0</v>
      </c>
      <c r="U935" s="15">
        <f>IF(B935="","",IF(J935&lt;&gt;"",J935,IF(H935="Retail",IFERROR(INDEX(Inventory!$B$5:$B$304,MATCH(I935,Inventory!$A$5:$A$304,0))&amp;"","Not in Inventory"),IFERROR(INDEX(Services!$B$5:$B$204,MATCH(I935,Services!$A$5:$A$204,0))&amp;"","Not in Services"))))</f>
        <v>0</v>
      </c>
      <c r="V935" s="26">
        <f>IF(B935="","",IF(L935&lt;&gt;"",L935,IF(H935="Retail",IFERROR(INDEX(Inventory!$I$5:$I$304,MATCH(I935,Inventory!$A$5:$A$304,0))*1,0),IFERROR(INDEX(Services!$G$5:$G$204,MATCH(I935,Services!$A$5:$A$204,0))*1,0))))</f>
        <v>0</v>
      </c>
      <c r="W935" s="26">
        <f>IF(B935="","",ROUND(T935*V935,2))</f>
        <v>0</v>
      </c>
      <c r="X935" s="26">
        <f>IF(B935="","",ROUND(IF(M935="",0,W935*M935)+IF(N935="",0,N935),2))</f>
        <v>0</v>
      </c>
      <c r="Y935" s="26">
        <f>IF(B935="","",ROUND(W935-X935-IF(P935="",0,P935),2))</f>
        <v>0</v>
      </c>
      <c r="Z935" s="26">
        <f>IF(B935="","",IF(H935="Retail",IF(TaxOnRetail="Yes",ROUND(Y935*TaxRate,2),0),IF(H935="Service",IF(TaxOnServices="Yes",ROUND(Y935*TaxRate,2),0),0)))</f>
        <v>0</v>
      </c>
      <c r="AA935" s="26">
        <f>IF(B935="","",ROUND(Y935+Z935,2))</f>
        <v>0</v>
      </c>
      <c r="AB935" s="26">
        <f>IF(B935="","",ROUND(T935*IF(H935="Retail",IFERROR(INDEX(Inventory!$H$5:$H$304,MATCH(I935,Inventory!$A$5:$A$304,0))*1,0),IFERROR(INDEX(Services!$Q$5:$Q$204,MATCH(I935,Services!$A$5:$A$204,0))*1,0)),2))</f>
        <v>0</v>
      </c>
      <c r="AC935" s="26">
        <f>IF(B935="","",ROUND(Y935-AB935,2))</f>
        <v>0</v>
      </c>
      <c r="AD935" s="38">
        <f>IF(B935="","",IF(C935="","No",IF(COUNTIFS($C$5:C935,C935)=1,"Yes","No")))</f>
        <v>0</v>
      </c>
      <c r="AE935" s="26">
        <f>IF(B935="","",ROUND(SUMIFS(Payments!$G$5:$G$1204,Payments!$H$5:$H$1204,A935,Payments!$Q$5:$Q$1204,"Yes"),2))</f>
        <v>0</v>
      </c>
      <c r="AF935" s="26">
        <f>IF(B935="","",IF(AD935="No",0,ROUND(SUMIFS(Payments!$G$5:$G$1204,Payments!$I$5:$I$1204,C935,Payments!$H$5:$H$1204,"",Payments!$Q$5:$Q$1204,"Yes"),2)))</f>
        <v>0</v>
      </c>
      <c r="AG935" s="26">
        <f>IF(B935="","",ROUND(AE935+AF935,2))</f>
        <v>0</v>
      </c>
      <c r="AH935" s="26">
        <f>IF(B935="","",ROUND(AA935-AG935,2))</f>
        <v>0</v>
      </c>
      <c r="AI935" s="39">
        <f>IF(B935="","",IF(AA935&lt;=0,"No charge",IF(AH935&lt;=0.004,"Paid",IF(AG935&lt;=0.004,"Unpaid","Part paid"))))</f>
        <v>0</v>
      </c>
      <c r="AJ935" s="38">
        <f>IF(B935="","",IF(H935&lt;&gt;"Service","",IF(D935="","No",IF(COUNTIFS($D$5:$D$1204,D935,$B$5:$B$1204,B935,$H$5:$H$1204,"Retail")&gt;0,"Yes","No"))))</f>
        <v>0</v>
      </c>
      <c r="AK935" s="25">
        <f>IF(B935="","",COUNTIFS($Y$5:$Y$1204,"&gt;"&amp;Y935)+COUNTIFS($Y$5:Y935,Y935))</f>
        <v>0</v>
      </c>
      <c r="AL935" s="39">
        <f>IF(B935="","",IF(H935="","Add - what kind of sale is this?",IF(IF(V935&lt;=0,P935="",FALSE),"Check - no price found for this item",IF(F935="","Assign - nobody credited",IF(AH935&gt;0.004,"Unpaid - balance outstanding",IF(AC935&lt;0,"Loss - sold below cost",IF(X935&gt;W935*0.5,"Check - more than half off","OK")))))))</f>
        <v>0</v>
      </c>
    </row>
    <row r="936" spans="1:38">
      <c r="A936" s="28">
        <f>IF(B936="","",SalePrefix&amp;TEXT(ROW()-4,"0000"))</f>
        <v>0</v>
      </c>
      <c r="E936" s="15">
        <f>IF(D936="","",IFERROR(INDEX(Clients!$B$5:$B$504,MATCH(D936,Clients!$A$5:$A$504,0)),"Walk-in"))</f>
        <v>0</v>
      </c>
      <c r="G936" s="15">
        <f>IF(F936="","",IFERROR(INDEX(Staff!$B$5:$B$44,MATCH(F936,Staff!$A$5:$A$44,0)),"House"))</f>
        <v>0</v>
      </c>
      <c r="R936" s="15">
        <f>IF(B936="","",TEXT(B936,"yyyy-mm"))</f>
        <v>0</v>
      </c>
      <c r="S936" s="25">
        <f>IF(B936="","",WEEKNUM(B936,2))</f>
        <v>0</v>
      </c>
      <c r="T936" s="37">
        <f>IF(B936="","",IF(K936="",1,K936))</f>
        <v>0</v>
      </c>
      <c r="U936" s="15">
        <f>IF(B936="","",IF(J936&lt;&gt;"",J936,IF(H936="Retail",IFERROR(INDEX(Inventory!$B$5:$B$304,MATCH(I936,Inventory!$A$5:$A$304,0))&amp;"","Not in Inventory"),IFERROR(INDEX(Services!$B$5:$B$204,MATCH(I936,Services!$A$5:$A$204,0))&amp;"","Not in Services"))))</f>
        <v>0</v>
      </c>
      <c r="V936" s="26">
        <f>IF(B936="","",IF(L936&lt;&gt;"",L936,IF(H936="Retail",IFERROR(INDEX(Inventory!$I$5:$I$304,MATCH(I936,Inventory!$A$5:$A$304,0))*1,0),IFERROR(INDEX(Services!$G$5:$G$204,MATCH(I936,Services!$A$5:$A$204,0))*1,0))))</f>
        <v>0</v>
      </c>
      <c r="W936" s="26">
        <f>IF(B936="","",ROUND(T936*V936,2))</f>
        <v>0</v>
      </c>
      <c r="X936" s="26">
        <f>IF(B936="","",ROUND(IF(M936="",0,W936*M936)+IF(N936="",0,N936),2))</f>
        <v>0</v>
      </c>
      <c r="Y936" s="26">
        <f>IF(B936="","",ROUND(W936-X936-IF(P936="",0,P936),2))</f>
        <v>0</v>
      </c>
      <c r="Z936" s="26">
        <f>IF(B936="","",IF(H936="Retail",IF(TaxOnRetail="Yes",ROUND(Y936*TaxRate,2),0),IF(H936="Service",IF(TaxOnServices="Yes",ROUND(Y936*TaxRate,2),0),0)))</f>
        <v>0</v>
      </c>
      <c r="AA936" s="26">
        <f>IF(B936="","",ROUND(Y936+Z936,2))</f>
        <v>0</v>
      </c>
      <c r="AB936" s="26">
        <f>IF(B936="","",ROUND(T936*IF(H936="Retail",IFERROR(INDEX(Inventory!$H$5:$H$304,MATCH(I936,Inventory!$A$5:$A$304,0))*1,0),IFERROR(INDEX(Services!$Q$5:$Q$204,MATCH(I936,Services!$A$5:$A$204,0))*1,0)),2))</f>
        <v>0</v>
      </c>
      <c r="AC936" s="26">
        <f>IF(B936="","",ROUND(Y936-AB936,2))</f>
        <v>0</v>
      </c>
      <c r="AD936" s="38">
        <f>IF(B936="","",IF(C936="","No",IF(COUNTIFS($C$5:C936,C936)=1,"Yes","No")))</f>
        <v>0</v>
      </c>
      <c r="AE936" s="26">
        <f>IF(B936="","",ROUND(SUMIFS(Payments!$G$5:$G$1204,Payments!$H$5:$H$1204,A936,Payments!$Q$5:$Q$1204,"Yes"),2))</f>
        <v>0</v>
      </c>
      <c r="AF936" s="26">
        <f>IF(B936="","",IF(AD936="No",0,ROUND(SUMIFS(Payments!$G$5:$G$1204,Payments!$I$5:$I$1204,C936,Payments!$H$5:$H$1204,"",Payments!$Q$5:$Q$1204,"Yes"),2)))</f>
        <v>0</v>
      </c>
      <c r="AG936" s="26">
        <f>IF(B936="","",ROUND(AE936+AF936,2))</f>
        <v>0</v>
      </c>
      <c r="AH936" s="26">
        <f>IF(B936="","",ROUND(AA936-AG936,2))</f>
        <v>0</v>
      </c>
      <c r="AI936" s="39">
        <f>IF(B936="","",IF(AA936&lt;=0,"No charge",IF(AH936&lt;=0.004,"Paid",IF(AG936&lt;=0.004,"Unpaid","Part paid"))))</f>
        <v>0</v>
      </c>
      <c r="AJ936" s="38">
        <f>IF(B936="","",IF(H936&lt;&gt;"Service","",IF(D936="","No",IF(COUNTIFS($D$5:$D$1204,D936,$B$5:$B$1204,B936,$H$5:$H$1204,"Retail")&gt;0,"Yes","No"))))</f>
        <v>0</v>
      </c>
      <c r="AK936" s="25">
        <f>IF(B936="","",COUNTIFS($Y$5:$Y$1204,"&gt;"&amp;Y936)+COUNTIFS($Y$5:Y936,Y936))</f>
        <v>0</v>
      </c>
      <c r="AL936" s="39">
        <f>IF(B936="","",IF(H936="","Add - what kind of sale is this?",IF(IF(V936&lt;=0,P936="",FALSE),"Check - no price found for this item",IF(F936="","Assign - nobody credited",IF(AH936&gt;0.004,"Unpaid - balance outstanding",IF(AC936&lt;0,"Loss - sold below cost",IF(X936&gt;W936*0.5,"Check - more than half off","OK")))))))</f>
        <v>0</v>
      </c>
    </row>
    <row r="937" spans="1:38">
      <c r="A937" s="28">
        <f>IF(B937="","",SalePrefix&amp;TEXT(ROW()-4,"0000"))</f>
        <v>0</v>
      </c>
      <c r="E937" s="15">
        <f>IF(D937="","",IFERROR(INDEX(Clients!$B$5:$B$504,MATCH(D937,Clients!$A$5:$A$504,0)),"Walk-in"))</f>
        <v>0</v>
      </c>
      <c r="G937" s="15">
        <f>IF(F937="","",IFERROR(INDEX(Staff!$B$5:$B$44,MATCH(F937,Staff!$A$5:$A$44,0)),"House"))</f>
        <v>0</v>
      </c>
      <c r="R937" s="15">
        <f>IF(B937="","",TEXT(B937,"yyyy-mm"))</f>
        <v>0</v>
      </c>
      <c r="S937" s="25">
        <f>IF(B937="","",WEEKNUM(B937,2))</f>
        <v>0</v>
      </c>
      <c r="T937" s="37">
        <f>IF(B937="","",IF(K937="",1,K937))</f>
        <v>0</v>
      </c>
      <c r="U937" s="15">
        <f>IF(B937="","",IF(J937&lt;&gt;"",J937,IF(H937="Retail",IFERROR(INDEX(Inventory!$B$5:$B$304,MATCH(I937,Inventory!$A$5:$A$304,0))&amp;"","Not in Inventory"),IFERROR(INDEX(Services!$B$5:$B$204,MATCH(I937,Services!$A$5:$A$204,0))&amp;"","Not in Services"))))</f>
        <v>0</v>
      </c>
      <c r="V937" s="26">
        <f>IF(B937="","",IF(L937&lt;&gt;"",L937,IF(H937="Retail",IFERROR(INDEX(Inventory!$I$5:$I$304,MATCH(I937,Inventory!$A$5:$A$304,0))*1,0),IFERROR(INDEX(Services!$G$5:$G$204,MATCH(I937,Services!$A$5:$A$204,0))*1,0))))</f>
        <v>0</v>
      </c>
      <c r="W937" s="26">
        <f>IF(B937="","",ROUND(T937*V937,2))</f>
        <v>0</v>
      </c>
      <c r="X937" s="26">
        <f>IF(B937="","",ROUND(IF(M937="",0,W937*M937)+IF(N937="",0,N937),2))</f>
        <v>0</v>
      </c>
      <c r="Y937" s="26">
        <f>IF(B937="","",ROUND(W937-X937-IF(P937="",0,P937),2))</f>
        <v>0</v>
      </c>
      <c r="Z937" s="26">
        <f>IF(B937="","",IF(H937="Retail",IF(TaxOnRetail="Yes",ROUND(Y937*TaxRate,2),0),IF(H937="Service",IF(TaxOnServices="Yes",ROUND(Y937*TaxRate,2),0),0)))</f>
        <v>0</v>
      </c>
      <c r="AA937" s="26">
        <f>IF(B937="","",ROUND(Y937+Z937,2))</f>
        <v>0</v>
      </c>
      <c r="AB937" s="26">
        <f>IF(B937="","",ROUND(T937*IF(H937="Retail",IFERROR(INDEX(Inventory!$H$5:$H$304,MATCH(I937,Inventory!$A$5:$A$304,0))*1,0),IFERROR(INDEX(Services!$Q$5:$Q$204,MATCH(I937,Services!$A$5:$A$204,0))*1,0)),2))</f>
        <v>0</v>
      </c>
      <c r="AC937" s="26">
        <f>IF(B937="","",ROUND(Y937-AB937,2))</f>
        <v>0</v>
      </c>
      <c r="AD937" s="38">
        <f>IF(B937="","",IF(C937="","No",IF(COUNTIFS($C$5:C937,C937)=1,"Yes","No")))</f>
        <v>0</v>
      </c>
      <c r="AE937" s="26">
        <f>IF(B937="","",ROUND(SUMIFS(Payments!$G$5:$G$1204,Payments!$H$5:$H$1204,A937,Payments!$Q$5:$Q$1204,"Yes"),2))</f>
        <v>0</v>
      </c>
      <c r="AF937" s="26">
        <f>IF(B937="","",IF(AD937="No",0,ROUND(SUMIFS(Payments!$G$5:$G$1204,Payments!$I$5:$I$1204,C937,Payments!$H$5:$H$1204,"",Payments!$Q$5:$Q$1204,"Yes"),2)))</f>
        <v>0</v>
      </c>
      <c r="AG937" s="26">
        <f>IF(B937="","",ROUND(AE937+AF937,2))</f>
        <v>0</v>
      </c>
      <c r="AH937" s="26">
        <f>IF(B937="","",ROUND(AA937-AG937,2))</f>
        <v>0</v>
      </c>
      <c r="AI937" s="39">
        <f>IF(B937="","",IF(AA937&lt;=0,"No charge",IF(AH937&lt;=0.004,"Paid",IF(AG937&lt;=0.004,"Unpaid","Part paid"))))</f>
        <v>0</v>
      </c>
      <c r="AJ937" s="38">
        <f>IF(B937="","",IF(H937&lt;&gt;"Service","",IF(D937="","No",IF(COUNTIFS($D$5:$D$1204,D937,$B$5:$B$1204,B937,$H$5:$H$1204,"Retail")&gt;0,"Yes","No"))))</f>
        <v>0</v>
      </c>
      <c r="AK937" s="25">
        <f>IF(B937="","",COUNTIFS($Y$5:$Y$1204,"&gt;"&amp;Y937)+COUNTIFS($Y$5:Y937,Y937))</f>
        <v>0</v>
      </c>
      <c r="AL937" s="39">
        <f>IF(B937="","",IF(H937="","Add - what kind of sale is this?",IF(IF(V937&lt;=0,P937="",FALSE),"Check - no price found for this item",IF(F937="","Assign - nobody credited",IF(AH937&gt;0.004,"Unpaid - balance outstanding",IF(AC937&lt;0,"Loss - sold below cost",IF(X937&gt;W937*0.5,"Check - more than half off","OK")))))))</f>
        <v>0</v>
      </c>
    </row>
    <row r="938" spans="1:38">
      <c r="A938" s="28">
        <f>IF(B938="","",SalePrefix&amp;TEXT(ROW()-4,"0000"))</f>
        <v>0</v>
      </c>
      <c r="E938" s="15">
        <f>IF(D938="","",IFERROR(INDEX(Clients!$B$5:$B$504,MATCH(D938,Clients!$A$5:$A$504,0)),"Walk-in"))</f>
        <v>0</v>
      </c>
      <c r="G938" s="15">
        <f>IF(F938="","",IFERROR(INDEX(Staff!$B$5:$B$44,MATCH(F938,Staff!$A$5:$A$44,0)),"House"))</f>
        <v>0</v>
      </c>
      <c r="R938" s="15">
        <f>IF(B938="","",TEXT(B938,"yyyy-mm"))</f>
        <v>0</v>
      </c>
      <c r="S938" s="25">
        <f>IF(B938="","",WEEKNUM(B938,2))</f>
        <v>0</v>
      </c>
      <c r="T938" s="37">
        <f>IF(B938="","",IF(K938="",1,K938))</f>
        <v>0</v>
      </c>
      <c r="U938" s="15">
        <f>IF(B938="","",IF(J938&lt;&gt;"",J938,IF(H938="Retail",IFERROR(INDEX(Inventory!$B$5:$B$304,MATCH(I938,Inventory!$A$5:$A$304,0))&amp;"","Not in Inventory"),IFERROR(INDEX(Services!$B$5:$B$204,MATCH(I938,Services!$A$5:$A$204,0))&amp;"","Not in Services"))))</f>
        <v>0</v>
      </c>
      <c r="V938" s="26">
        <f>IF(B938="","",IF(L938&lt;&gt;"",L938,IF(H938="Retail",IFERROR(INDEX(Inventory!$I$5:$I$304,MATCH(I938,Inventory!$A$5:$A$304,0))*1,0),IFERROR(INDEX(Services!$G$5:$G$204,MATCH(I938,Services!$A$5:$A$204,0))*1,0))))</f>
        <v>0</v>
      </c>
      <c r="W938" s="26">
        <f>IF(B938="","",ROUND(T938*V938,2))</f>
        <v>0</v>
      </c>
      <c r="X938" s="26">
        <f>IF(B938="","",ROUND(IF(M938="",0,W938*M938)+IF(N938="",0,N938),2))</f>
        <v>0</v>
      </c>
      <c r="Y938" s="26">
        <f>IF(B938="","",ROUND(W938-X938-IF(P938="",0,P938),2))</f>
        <v>0</v>
      </c>
      <c r="Z938" s="26">
        <f>IF(B938="","",IF(H938="Retail",IF(TaxOnRetail="Yes",ROUND(Y938*TaxRate,2),0),IF(H938="Service",IF(TaxOnServices="Yes",ROUND(Y938*TaxRate,2),0),0)))</f>
        <v>0</v>
      </c>
      <c r="AA938" s="26">
        <f>IF(B938="","",ROUND(Y938+Z938,2))</f>
        <v>0</v>
      </c>
      <c r="AB938" s="26">
        <f>IF(B938="","",ROUND(T938*IF(H938="Retail",IFERROR(INDEX(Inventory!$H$5:$H$304,MATCH(I938,Inventory!$A$5:$A$304,0))*1,0),IFERROR(INDEX(Services!$Q$5:$Q$204,MATCH(I938,Services!$A$5:$A$204,0))*1,0)),2))</f>
        <v>0</v>
      </c>
      <c r="AC938" s="26">
        <f>IF(B938="","",ROUND(Y938-AB938,2))</f>
        <v>0</v>
      </c>
      <c r="AD938" s="38">
        <f>IF(B938="","",IF(C938="","No",IF(COUNTIFS($C$5:C938,C938)=1,"Yes","No")))</f>
        <v>0</v>
      </c>
      <c r="AE938" s="26">
        <f>IF(B938="","",ROUND(SUMIFS(Payments!$G$5:$G$1204,Payments!$H$5:$H$1204,A938,Payments!$Q$5:$Q$1204,"Yes"),2))</f>
        <v>0</v>
      </c>
      <c r="AF938" s="26">
        <f>IF(B938="","",IF(AD938="No",0,ROUND(SUMIFS(Payments!$G$5:$G$1204,Payments!$I$5:$I$1204,C938,Payments!$H$5:$H$1204,"",Payments!$Q$5:$Q$1204,"Yes"),2)))</f>
        <v>0</v>
      </c>
      <c r="AG938" s="26">
        <f>IF(B938="","",ROUND(AE938+AF938,2))</f>
        <v>0</v>
      </c>
      <c r="AH938" s="26">
        <f>IF(B938="","",ROUND(AA938-AG938,2))</f>
        <v>0</v>
      </c>
      <c r="AI938" s="39">
        <f>IF(B938="","",IF(AA938&lt;=0,"No charge",IF(AH938&lt;=0.004,"Paid",IF(AG938&lt;=0.004,"Unpaid","Part paid"))))</f>
        <v>0</v>
      </c>
      <c r="AJ938" s="38">
        <f>IF(B938="","",IF(H938&lt;&gt;"Service","",IF(D938="","No",IF(COUNTIFS($D$5:$D$1204,D938,$B$5:$B$1204,B938,$H$5:$H$1204,"Retail")&gt;0,"Yes","No"))))</f>
        <v>0</v>
      </c>
      <c r="AK938" s="25">
        <f>IF(B938="","",COUNTIFS($Y$5:$Y$1204,"&gt;"&amp;Y938)+COUNTIFS($Y$5:Y938,Y938))</f>
        <v>0</v>
      </c>
      <c r="AL938" s="39">
        <f>IF(B938="","",IF(H938="","Add - what kind of sale is this?",IF(IF(V938&lt;=0,P938="",FALSE),"Check - no price found for this item",IF(F938="","Assign - nobody credited",IF(AH938&gt;0.004,"Unpaid - balance outstanding",IF(AC938&lt;0,"Loss - sold below cost",IF(X938&gt;W938*0.5,"Check - more than half off","OK")))))))</f>
        <v>0</v>
      </c>
    </row>
    <row r="939" spans="1:38">
      <c r="A939" s="28">
        <f>IF(B939="","",SalePrefix&amp;TEXT(ROW()-4,"0000"))</f>
        <v>0</v>
      </c>
      <c r="E939" s="15">
        <f>IF(D939="","",IFERROR(INDEX(Clients!$B$5:$B$504,MATCH(D939,Clients!$A$5:$A$504,0)),"Walk-in"))</f>
        <v>0</v>
      </c>
      <c r="G939" s="15">
        <f>IF(F939="","",IFERROR(INDEX(Staff!$B$5:$B$44,MATCH(F939,Staff!$A$5:$A$44,0)),"House"))</f>
        <v>0</v>
      </c>
      <c r="R939" s="15">
        <f>IF(B939="","",TEXT(B939,"yyyy-mm"))</f>
        <v>0</v>
      </c>
      <c r="S939" s="25">
        <f>IF(B939="","",WEEKNUM(B939,2))</f>
        <v>0</v>
      </c>
      <c r="T939" s="37">
        <f>IF(B939="","",IF(K939="",1,K939))</f>
        <v>0</v>
      </c>
      <c r="U939" s="15">
        <f>IF(B939="","",IF(J939&lt;&gt;"",J939,IF(H939="Retail",IFERROR(INDEX(Inventory!$B$5:$B$304,MATCH(I939,Inventory!$A$5:$A$304,0))&amp;"","Not in Inventory"),IFERROR(INDEX(Services!$B$5:$B$204,MATCH(I939,Services!$A$5:$A$204,0))&amp;"","Not in Services"))))</f>
        <v>0</v>
      </c>
      <c r="V939" s="26">
        <f>IF(B939="","",IF(L939&lt;&gt;"",L939,IF(H939="Retail",IFERROR(INDEX(Inventory!$I$5:$I$304,MATCH(I939,Inventory!$A$5:$A$304,0))*1,0),IFERROR(INDEX(Services!$G$5:$G$204,MATCH(I939,Services!$A$5:$A$204,0))*1,0))))</f>
        <v>0</v>
      </c>
      <c r="W939" s="26">
        <f>IF(B939="","",ROUND(T939*V939,2))</f>
        <v>0</v>
      </c>
      <c r="X939" s="26">
        <f>IF(B939="","",ROUND(IF(M939="",0,W939*M939)+IF(N939="",0,N939),2))</f>
        <v>0</v>
      </c>
      <c r="Y939" s="26">
        <f>IF(B939="","",ROUND(W939-X939-IF(P939="",0,P939),2))</f>
        <v>0</v>
      </c>
      <c r="Z939" s="26">
        <f>IF(B939="","",IF(H939="Retail",IF(TaxOnRetail="Yes",ROUND(Y939*TaxRate,2),0),IF(H939="Service",IF(TaxOnServices="Yes",ROUND(Y939*TaxRate,2),0),0)))</f>
        <v>0</v>
      </c>
      <c r="AA939" s="26">
        <f>IF(B939="","",ROUND(Y939+Z939,2))</f>
        <v>0</v>
      </c>
      <c r="AB939" s="26">
        <f>IF(B939="","",ROUND(T939*IF(H939="Retail",IFERROR(INDEX(Inventory!$H$5:$H$304,MATCH(I939,Inventory!$A$5:$A$304,0))*1,0),IFERROR(INDEX(Services!$Q$5:$Q$204,MATCH(I939,Services!$A$5:$A$204,0))*1,0)),2))</f>
        <v>0</v>
      </c>
      <c r="AC939" s="26">
        <f>IF(B939="","",ROUND(Y939-AB939,2))</f>
        <v>0</v>
      </c>
      <c r="AD939" s="38">
        <f>IF(B939="","",IF(C939="","No",IF(COUNTIFS($C$5:C939,C939)=1,"Yes","No")))</f>
        <v>0</v>
      </c>
      <c r="AE939" s="26">
        <f>IF(B939="","",ROUND(SUMIFS(Payments!$G$5:$G$1204,Payments!$H$5:$H$1204,A939,Payments!$Q$5:$Q$1204,"Yes"),2))</f>
        <v>0</v>
      </c>
      <c r="AF939" s="26">
        <f>IF(B939="","",IF(AD939="No",0,ROUND(SUMIFS(Payments!$G$5:$G$1204,Payments!$I$5:$I$1204,C939,Payments!$H$5:$H$1204,"",Payments!$Q$5:$Q$1204,"Yes"),2)))</f>
        <v>0</v>
      </c>
      <c r="AG939" s="26">
        <f>IF(B939="","",ROUND(AE939+AF939,2))</f>
        <v>0</v>
      </c>
      <c r="AH939" s="26">
        <f>IF(B939="","",ROUND(AA939-AG939,2))</f>
        <v>0</v>
      </c>
      <c r="AI939" s="39">
        <f>IF(B939="","",IF(AA939&lt;=0,"No charge",IF(AH939&lt;=0.004,"Paid",IF(AG939&lt;=0.004,"Unpaid","Part paid"))))</f>
        <v>0</v>
      </c>
      <c r="AJ939" s="38">
        <f>IF(B939="","",IF(H939&lt;&gt;"Service","",IF(D939="","No",IF(COUNTIFS($D$5:$D$1204,D939,$B$5:$B$1204,B939,$H$5:$H$1204,"Retail")&gt;0,"Yes","No"))))</f>
        <v>0</v>
      </c>
      <c r="AK939" s="25">
        <f>IF(B939="","",COUNTIFS($Y$5:$Y$1204,"&gt;"&amp;Y939)+COUNTIFS($Y$5:Y939,Y939))</f>
        <v>0</v>
      </c>
      <c r="AL939" s="39">
        <f>IF(B939="","",IF(H939="","Add - what kind of sale is this?",IF(IF(V939&lt;=0,P939="",FALSE),"Check - no price found for this item",IF(F939="","Assign - nobody credited",IF(AH939&gt;0.004,"Unpaid - balance outstanding",IF(AC939&lt;0,"Loss - sold below cost",IF(X939&gt;W939*0.5,"Check - more than half off","OK")))))))</f>
        <v>0</v>
      </c>
    </row>
    <row r="940" spans="1:38">
      <c r="A940" s="28">
        <f>IF(B940="","",SalePrefix&amp;TEXT(ROW()-4,"0000"))</f>
        <v>0</v>
      </c>
      <c r="E940" s="15">
        <f>IF(D940="","",IFERROR(INDEX(Clients!$B$5:$B$504,MATCH(D940,Clients!$A$5:$A$504,0)),"Walk-in"))</f>
        <v>0</v>
      </c>
      <c r="G940" s="15">
        <f>IF(F940="","",IFERROR(INDEX(Staff!$B$5:$B$44,MATCH(F940,Staff!$A$5:$A$44,0)),"House"))</f>
        <v>0</v>
      </c>
      <c r="R940" s="15">
        <f>IF(B940="","",TEXT(B940,"yyyy-mm"))</f>
        <v>0</v>
      </c>
      <c r="S940" s="25">
        <f>IF(B940="","",WEEKNUM(B940,2))</f>
        <v>0</v>
      </c>
      <c r="T940" s="37">
        <f>IF(B940="","",IF(K940="",1,K940))</f>
        <v>0</v>
      </c>
      <c r="U940" s="15">
        <f>IF(B940="","",IF(J940&lt;&gt;"",J940,IF(H940="Retail",IFERROR(INDEX(Inventory!$B$5:$B$304,MATCH(I940,Inventory!$A$5:$A$304,0))&amp;"","Not in Inventory"),IFERROR(INDEX(Services!$B$5:$B$204,MATCH(I940,Services!$A$5:$A$204,0))&amp;"","Not in Services"))))</f>
        <v>0</v>
      </c>
      <c r="V940" s="26">
        <f>IF(B940="","",IF(L940&lt;&gt;"",L940,IF(H940="Retail",IFERROR(INDEX(Inventory!$I$5:$I$304,MATCH(I940,Inventory!$A$5:$A$304,0))*1,0),IFERROR(INDEX(Services!$G$5:$G$204,MATCH(I940,Services!$A$5:$A$204,0))*1,0))))</f>
        <v>0</v>
      </c>
      <c r="W940" s="26">
        <f>IF(B940="","",ROUND(T940*V940,2))</f>
        <v>0</v>
      </c>
      <c r="X940" s="26">
        <f>IF(B940="","",ROUND(IF(M940="",0,W940*M940)+IF(N940="",0,N940),2))</f>
        <v>0</v>
      </c>
      <c r="Y940" s="26">
        <f>IF(B940="","",ROUND(W940-X940-IF(P940="",0,P940),2))</f>
        <v>0</v>
      </c>
      <c r="Z940" s="26">
        <f>IF(B940="","",IF(H940="Retail",IF(TaxOnRetail="Yes",ROUND(Y940*TaxRate,2),0),IF(H940="Service",IF(TaxOnServices="Yes",ROUND(Y940*TaxRate,2),0),0)))</f>
        <v>0</v>
      </c>
      <c r="AA940" s="26">
        <f>IF(B940="","",ROUND(Y940+Z940,2))</f>
        <v>0</v>
      </c>
      <c r="AB940" s="26">
        <f>IF(B940="","",ROUND(T940*IF(H940="Retail",IFERROR(INDEX(Inventory!$H$5:$H$304,MATCH(I940,Inventory!$A$5:$A$304,0))*1,0),IFERROR(INDEX(Services!$Q$5:$Q$204,MATCH(I940,Services!$A$5:$A$204,0))*1,0)),2))</f>
        <v>0</v>
      </c>
      <c r="AC940" s="26">
        <f>IF(B940="","",ROUND(Y940-AB940,2))</f>
        <v>0</v>
      </c>
      <c r="AD940" s="38">
        <f>IF(B940="","",IF(C940="","No",IF(COUNTIFS($C$5:C940,C940)=1,"Yes","No")))</f>
        <v>0</v>
      </c>
      <c r="AE940" s="26">
        <f>IF(B940="","",ROUND(SUMIFS(Payments!$G$5:$G$1204,Payments!$H$5:$H$1204,A940,Payments!$Q$5:$Q$1204,"Yes"),2))</f>
        <v>0</v>
      </c>
      <c r="AF940" s="26">
        <f>IF(B940="","",IF(AD940="No",0,ROUND(SUMIFS(Payments!$G$5:$G$1204,Payments!$I$5:$I$1204,C940,Payments!$H$5:$H$1204,"",Payments!$Q$5:$Q$1204,"Yes"),2)))</f>
        <v>0</v>
      </c>
      <c r="AG940" s="26">
        <f>IF(B940="","",ROUND(AE940+AF940,2))</f>
        <v>0</v>
      </c>
      <c r="AH940" s="26">
        <f>IF(B940="","",ROUND(AA940-AG940,2))</f>
        <v>0</v>
      </c>
      <c r="AI940" s="39">
        <f>IF(B940="","",IF(AA940&lt;=0,"No charge",IF(AH940&lt;=0.004,"Paid",IF(AG940&lt;=0.004,"Unpaid","Part paid"))))</f>
        <v>0</v>
      </c>
      <c r="AJ940" s="38">
        <f>IF(B940="","",IF(H940&lt;&gt;"Service","",IF(D940="","No",IF(COUNTIFS($D$5:$D$1204,D940,$B$5:$B$1204,B940,$H$5:$H$1204,"Retail")&gt;0,"Yes","No"))))</f>
        <v>0</v>
      </c>
      <c r="AK940" s="25">
        <f>IF(B940="","",COUNTIFS($Y$5:$Y$1204,"&gt;"&amp;Y940)+COUNTIFS($Y$5:Y940,Y940))</f>
        <v>0</v>
      </c>
      <c r="AL940" s="39">
        <f>IF(B940="","",IF(H940="","Add - what kind of sale is this?",IF(IF(V940&lt;=0,P940="",FALSE),"Check - no price found for this item",IF(F940="","Assign - nobody credited",IF(AH940&gt;0.004,"Unpaid - balance outstanding",IF(AC940&lt;0,"Loss - sold below cost",IF(X940&gt;W940*0.5,"Check - more than half off","OK")))))))</f>
        <v>0</v>
      </c>
    </row>
    <row r="941" spans="1:38">
      <c r="A941" s="28">
        <f>IF(B941="","",SalePrefix&amp;TEXT(ROW()-4,"0000"))</f>
        <v>0</v>
      </c>
      <c r="E941" s="15">
        <f>IF(D941="","",IFERROR(INDEX(Clients!$B$5:$B$504,MATCH(D941,Clients!$A$5:$A$504,0)),"Walk-in"))</f>
        <v>0</v>
      </c>
      <c r="G941" s="15">
        <f>IF(F941="","",IFERROR(INDEX(Staff!$B$5:$B$44,MATCH(F941,Staff!$A$5:$A$44,0)),"House"))</f>
        <v>0</v>
      </c>
      <c r="R941" s="15">
        <f>IF(B941="","",TEXT(B941,"yyyy-mm"))</f>
        <v>0</v>
      </c>
      <c r="S941" s="25">
        <f>IF(B941="","",WEEKNUM(B941,2))</f>
        <v>0</v>
      </c>
      <c r="T941" s="37">
        <f>IF(B941="","",IF(K941="",1,K941))</f>
        <v>0</v>
      </c>
      <c r="U941" s="15">
        <f>IF(B941="","",IF(J941&lt;&gt;"",J941,IF(H941="Retail",IFERROR(INDEX(Inventory!$B$5:$B$304,MATCH(I941,Inventory!$A$5:$A$304,0))&amp;"","Not in Inventory"),IFERROR(INDEX(Services!$B$5:$B$204,MATCH(I941,Services!$A$5:$A$204,0))&amp;"","Not in Services"))))</f>
        <v>0</v>
      </c>
      <c r="V941" s="26">
        <f>IF(B941="","",IF(L941&lt;&gt;"",L941,IF(H941="Retail",IFERROR(INDEX(Inventory!$I$5:$I$304,MATCH(I941,Inventory!$A$5:$A$304,0))*1,0),IFERROR(INDEX(Services!$G$5:$G$204,MATCH(I941,Services!$A$5:$A$204,0))*1,0))))</f>
        <v>0</v>
      </c>
      <c r="W941" s="26">
        <f>IF(B941="","",ROUND(T941*V941,2))</f>
        <v>0</v>
      </c>
      <c r="X941" s="26">
        <f>IF(B941="","",ROUND(IF(M941="",0,W941*M941)+IF(N941="",0,N941),2))</f>
        <v>0</v>
      </c>
      <c r="Y941" s="26">
        <f>IF(B941="","",ROUND(W941-X941-IF(P941="",0,P941),2))</f>
        <v>0</v>
      </c>
      <c r="Z941" s="26">
        <f>IF(B941="","",IF(H941="Retail",IF(TaxOnRetail="Yes",ROUND(Y941*TaxRate,2),0),IF(H941="Service",IF(TaxOnServices="Yes",ROUND(Y941*TaxRate,2),0),0)))</f>
        <v>0</v>
      </c>
      <c r="AA941" s="26">
        <f>IF(B941="","",ROUND(Y941+Z941,2))</f>
        <v>0</v>
      </c>
      <c r="AB941" s="26">
        <f>IF(B941="","",ROUND(T941*IF(H941="Retail",IFERROR(INDEX(Inventory!$H$5:$H$304,MATCH(I941,Inventory!$A$5:$A$304,0))*1,0),IFERROR(INDEX(Services!$Q$5:$Q$204,MATCH(I941,Services!$A$5:$A$204,0))*1,0)),2))</f>
        <v>0</v>
      </c>
      <c r="AC941" s="26">
        <f>IF(B941="","",ROUND(Y941-AB941,2))</f>
        <v>0</v>
      </c>
      <c r="AD941" s="38">
        <f>IF(B941="","",IF(C941="","No",IF(COUNTIFS($C$5:C941,C941)=1,"Yes","No")))</f>
        <v>0</v>
      </c>
      <c r="AE941" s="26">
        <f>IF(B941="","",ROUND(SUMIFS(Payments!$G$5:$G$1204,Payments!$H$5:$H$1204,A941,Payments!$Q$5:$Q$1204,"Yes"),2))</f>
        <v>0</v>
      </c>
      <c r="AF941" s="26">
        <f>IF(B941="","",IF(AD941="No",0,ROUND(SUMIFS(Payments!$G$5:$G$1204,Payments!$I$5:$I$1204,C941,Payments!$H$5:$H$1204,"",Payments!$Q$5:$Q$1204,"Yes"),2)))</f>
        <v>0</v>
      </c>
      <c r="AG941" s="26">
        <f>IF(B941="","",ROUND(AE941+AF941,2))</f>
        <v>0</v>
      </c>
      <c r="AH941" s="26">
        <f>IF(B941="","",ROUND(AA941-AG941,2))</f>
        <v>0</v>
      </c>
      <c r="AI941" s="39">
        <f>IF(B941="","",IF(AA941&lt;=0,"No charge",IF(AH941&lt;=0.004,"Paid",IF(AG941&lt;=0.004,"Unpaid","Part paid"))))</f>
        <v>0</v>
      </c>
      <c r="AJ941" s="38">
        <f>IF(B941="","",IF(H941&lt;&gt;"Service","",IF(D941="","No",IF(COUNTIFS($D$5:$D$1204,D941,$B$5:$B$1204,B941,$H$5:$H$1204,"Retail")&gt;0,"Yes","No"))))</f>
        <v>0</v>
      </c>
      <c r="AK941" s="25">
        <f>IF(B941="","",COUNTIFS($Y$5:$Y$1204,"&gt;"&amp;Y941)+COUNTIFS($Y$5:Y941,Y941))</f>
        <v>0</v>
      </c>
      <c r="AL941" s="39">
        <f>IF(B941="","",IF(H941="","Add - what kind of sale is this?",IF(IF(V941&lt;=0,P941="",FALSE),"Check - no price found for this item",IF(F941="","Assign - nobody credited",IF(AH941&gt;0.004,"Unpaid - balance outstanding",IF(AC941&lt;0,"Loss - sold below cost",IF(X941&gt;W941*0.5,"Check - more than half off","OK")))))))</f>
        <v>0</v>
      </c>
    </row>
    <row r="942" spans="1:38">
      <c r="A942" s="28">
        <f>IF(B942="","",SalePrefix&amp;TEXT(ROW()-4,"0000"))</f>
        <v>0</v>
      </c>
      <c r="E942" s="15">
        <f>IF(D942="","",IFERROR(INDEX(Clients!$B$5:$B$504,MATCH(D942,Clients!$A$5:$A$504,0)),"Walk-in"))</f>
        <v>0</v>
      </c>
      <c r="G942" s="15">
        <f>IF(F942="","",IFERROR(INDEX(Staff!$B$5:$B$44,MATCH(F942,Staff!$A$5:$A$44,0)),"House"))</f>
        <v>0</v>
      </c>
      <c r="R942" s="15">
        <f>IF(B942="","",TEXT(B942,"yyyy-mm"))</f>
        <v>0</v>
      </c>
      <c r="S942" s="25">
        <f>IF(B942="","",WEEKNUM(B942,2))</f>
        <v>0</v>
      </c>
      <c r="T942" s="37">
        <f>IF(B942="","",IF(K942="",1,K942))</f>
        <v>0</v>
      </c>
      <c r="U942" s="15">
        <f>IF(B942="","",IF(J942&lt;&gt;"",J942,IF(H942="Retail",IFERROR(INDEX(Inventory!$B$5:$B$304,MATCH(I942,Inventory!$A$5:$A$304,0))&amp;"","Not in Inventory"),IFERROR(INDEX(Services!$B$5:$B$204,MATCH(I942,Services!$A$5:$A$204,0))&amp;"","Not in Services"))))</f>
        <v>0</v>
      </c>
      <c r="V942" s="26">
        <f>IF(B942="","",IF(L942&lt;&gt;"",L942,IF(H942="Retail",IFERROR(INDEX(Inventory!$I$5:$I$304,MATCH(I942,Inventory!$A$5:$A$304,0))*1,0),IFERROR(INDEX(Services!$G$5:$G$204,MATCH(I942,Services!$A$5:$A$204,0))*1,0))))</f>
        <v>0</v>
      </c>
      <c r="W942" s="26">
        <f>IF(B942="","",ROUND(T942*V942,2))</f>
        <v>0</v>
      </c>
      <c r="X942" s="26">
        <f>IF(B942="","",ROUND(IF(M942="",0,W942*M942)+IF(N942="",0,N942),2))</f>
        <v>0</v>
      </c>
      <c r="Y942" s="26">
        <f>IF(B942="","",ROUND(W942-X942-IF(P942="",0,P942),2))</f>
        <v>0</v>
      </c>
      <c r="Z942" s="26">
        <f>IF(B942="","",IF(H942="Retail",IF(TaxOnRetail="Yes",ROUND(Y942*TaxRate,2),0),IF(H942="Service",IF(TaxOnServices="Yes",ROUND(Y942*TaxRate,2),0),0)))</f>
        <v>0</v>
      </c>
      <c r="AA942" s="26">
        <f>IF(B942="","",ROUND(Y942+Z942,2))</f>
        <v>0</v>
      </c>
      <c r="AB942" s="26">
        <f>IF(B942="","",ROUND(T942*IF(H942="Retail",IFERROR(INDEX(Inventory!$H$5:$H$304,MATCH(I942,Inventory!$A$5:$A$304,0))*1,0),IFERROR(INDEX(Services!$Q$5:$Q$204,MATCH(I942,Services!$A$5:$A$204,0))*1,0)),2))</f>
        <v>0</v>
      </c>
      <c r="AC942" s="26">
        <f>IF(B942="","",ROUND(Y942-AB942,2))</f>
        <v>0</v>
      </c>
      <c r="AD942" s="38">
        <f>IF(B942="","",IF(C942="","No",IF(COUNTIFS($C$5:C942,C942)=1,"Yes","No")))</f>
        <v>0</v>
      </c>
      <c r="AE942" s="26">
        <f>IF(B942="","",ROUND(SUMIFS(Payments!$G$5:$G$1204,Payments!$H$5:$H$1204,A942,Payments!$Q$5:$Q$1204,"Yes"),2))</f>
        <v>0</v>
      </c>
      <c r="AF942" s="26">
        <f>IF(B942="","",IF(AD942="No",0,ROUND(SUMIFS(Payments!$G$5:$G$1204,Payments!$I$5:$I$1204,C942,Payments!$H$5:$H$1204,"",Payments!$Q$5:$Q$1204,"Yes"),2)))</f>
        <v>0</v>
      </c>
      <c r="AG942" s="26">
        <f>IF(B942="","",ROUND(AE942+AF942,2))</f>
        <v>0</v>
      </c>
      <c r="AH942" s="26">
        <f>IF(B942="","",ROUND(AA942-AG942,2))</f>
        <v>0</v>
      </c>
      <c r="AI942" s="39">
        <f>IF(B942="","",IF(AA942&lt;=0,"No charge",IF(AH942&lt;=0.004,"Paid",IF(AG942&lt;=0.004,"Unpaid","Part paid"))))</f>
        <v>0</v>
      </c>
      <c r="AJ942" s="38">
        <f>IF(B942="","",IF(H942&lt;&gt;"Service","",IF(D942="","No",IF(COUNTIFS($D$5:$D$1204,D942,$B$5:$B$1204,B942,$H$5:$H$1204,"Retail")&gt;0,"Yes","No"))))</f>
        <v>0</v>
      </c>
      <c r="AK942" s="25">
        <f>IF(B942="","",COUNTIFS($Y$5:$Y$1204,"&gt;"&amp;Y942)+COUNTIFS($Y$5:Y942,Y942))</f>
        <v>0</v>
      </c>
      <c r="AL942" s="39">
        <f>IF(B942="","",IF(H942="","Add - what kind of sale is this?",IF(IF(V942&lt;=0,P942="",FALSE),"Check - no price found for this item",IF(F942="","Assign - nobody credited",IF(AH942&gt;0.004,"Unpaid - balance outstanding",IF(AC942&lt;0,"Loss - sold below cost",IF(X942&gt;W942*0.5,"Check - more than half off","OK")))))))</f>
        <v>0</v>
      </c>
    </row>
    <row r="943" spans="1:38">
      <c r="A943" s="28">
        <f>IF(B943="","",SalePrefix&amp;TEXT(ROW()-4,"0000"))</f>
        <v>0</v>
      </c>
      <c r="E943" s="15">
        <f>IF(D943="","",IFERROR(INDEX(Clients!$B$5:$B$504,MATCH(D943,Clients!$A$5:$A$504,0)),"Walk-in"))</f>
        <v>0</v>
      </c>
      <c r="G943" s="15">
        <f>IF(F943="","",IFERROR(INDEX(Staff!$B$5:$B$44,MATCH(F943,Staff!$A$5:$A$44,0)),"House"))</f>
        <v>0</v>
      </c>
      <c r="R943" s="15">
        <f>IF(B943="","",TEXT(B943,"yyyy-mm"))</f>
        <v>0</v>
      </c>
      <c r="S943" s="25">
        <f>IF(B943="","",WEEKNUM(B943,2))</f>
        <v>0</v>
      </c>
      <c r="T943" s="37">
        <f>IF(B943="","",IF(K943="",1,K943))</f>
        <v>0</v>
      </c>
      <c r="U943" s="15">
        <f>IF(B943="","",IF(J943&lt;&gt;"",J943,IF(H943="Retail",IFERROR(INDEX(Inventory!$B$5:$B$304,MATCH(I943,Inventory!$A$5:$A$304,0))&amp;"","Not in Inventory"),IFERROR(INDEX(Services!$B$5:$B$204,MATCH(I943,Services!$A$5:$A$204,0))&amp;"","Not in Services"))))</f>
        <v>0</v>
      </c>
      <c r="V943" s="26">
        <f>IF(B943="","",IF(L943&lt;&gt;"",L943,IF(H943="Retail",IFERROR(INDEX(Inventory!$I$5:$I$304,MATCH(I943,Inventory!$A$5:$A$304,0))*1,0),IFERROR(INDEX(Services!$G$5:$G$204,MATCH(I943,Services!$A$5:$A$204,0))*1,0))))</f>
        <v>0</v>
      </c>
      <c r="W943" s="26">
        <f>IF(B943="","",ROUND(T943*V943,2))</f>
        <v>0</v>
      </c>
      <c r="X943" s="26">
        <f>IF(B943="","",ROUND(IF(M943="",0,W943*M943)+IF(N943="",0,N943),2))</f>
        <v>0</v>
      </c>
      <c r="Y943" s="26">
        <f>IF(B943="","",ROUND(W943-X943-IF(P943="",0,P943),2))</f>
        <v>0</v>
      </c>
      <c r="Z943" s="26">
        <f>IF(B943="","",IF(H943="Retail",IF(TaxOnRetail="Yes",ROUND(Y943*TaxRate,2),0),IF(H943="Service",IF(TaxOnServices="Yes",ROUND(Y943*TaxRate,2),0),0)))</f>
        <v>0</v>
      </c>
      <c r="AA943" s="26">
        <f>IF(B943="","",ROUND(Y943+Z943,2))</f>
        <v>0</v>
      </c>
      <c r="AB943" s="26">
        <f>IF(B943="","",ROUND(T943*IF(H943="Retail",IFERROR(INDEX(Inventory!$H$5:$H$304,MATCH(I943,Inventory!$A$5:$A$304,0))*1,0),IFERROR(INDEX(Services!$Q$5:$Q$204,MATCH(I943,Services!$A$5:$A$204,0))*1,0)),2))</f>
        <v>0</v>
      </c>
      <c r="AC943" s="26">
        <f>IF(B943="","",ROUND(Y943-AB943,2))</f>
        <v>0</v>
      </c>
      <c r="AD943" s="38">
        <f>IF(B943="","",IF(C943="","No",IF(COUNTIFS($C$5:C943,C943)=1,"Yes","No")))</f>
        <v>0</v>
      </c>
      <c r="AE943" s="26">
        <f>IF(B943="","",ROUND(SUMIFS(Payments!$G$5:$G$1204,Payments!$H$5:$H$1204,A943,Payments!$Q$5:$Q$1204,"Yes"),2))</f>
        <v>0</v>
      </c>
      <c r="AF943" s="26">
        <f>IF(B943="","",IF(AD943="No",0,ROUND(SUMIFS(Payments!$G$5:$G$1204,Payments!$I$5:$I$1204,C943,Payments!$H$5:$H$1204,"",Payments!$Q$5:$Q$1204,"Yes"),2)))</f>
        <v>0</v>
      </c>
      <c r="AG943" s="26">
        <f>IF(B943="","",ROUND(AE943+AF943,2))</f>
        <v>0</v>
      </c>
      <c r="AH943" s="26">
        <f>IF(B943="","",ROUND(AA943-AG943,2))</f>
        <v>0</v>
      </c>
      <c r="AI943" s="39">
        <f>IF(B943="","",IF(AA943&lt;=0,"No charge",IF(AH943&lt;=0.004,"Paid",IF(AG943&lt;=0.004,"Unpaid","Part paid"))))</f>
        <v>0</v>
      </c>
      <c r="AJ943" s="38">
        <f>IF(B943="","",IF(H943&lt;&gt;"Service","",IF(D943="","No",IF(COUNTIFS($D$5:$D$1204,D943,$B$5:$B$1204,B943,$H$5:$H$1204,"Retail")&gt;0,"Yes","No"))))</f>
        <v>0</v>
      </c>
      <c r="AK943" s="25">
        <f>IF(B943="","",COUNTIFS($Y$5:$Y$1204,"&gt;"&amp;Y943)+COUNTIFS($Y$5:Y943,Y943))</f>
        <v>0</v>
      </c>
      <c r="AL943" s="39">
        <f>IF(B943="","",IF(H943="","Add - what kind of sale is this?",IF(IF(V943&lt;=0,P943="",FALSE),"Check - no price found for this item",IF(F943="","Assign - nobody credited",IF(AH943&gt;0.004,"Unpaid - balance outstanding",IF(AC943&lt;0,"Loss - sold below cost",IF(X943&gt;W943*0.5,"Check - more than half off","OK")))))))</f>
        <v>0</v>
      </c>
    </row>
    <row r="944" spans="1:38">
      <c r="A944" s="28">
        <f>IF(B944="","",SalePrefix&amp;TEXT(ROW()-4,"0000"))</f>
        <v>0</v>
      </c>
      <c r="E944" s="15">
        <f>IF(D944="","",IFERROR(INDEX(Clients!$B$5:$B$504,MATCH(D944,Clients!$A$5:$A$504,0)),"Walk-in"))</f>
        <v>0</v>
      </c>
      <c r="G944" s="15">
        <f>IF(F944="","",IFERROR(INDEX(Staff!$B$5:$B$44,MATCH(F944,Staff!$A$5:$A$44,0)),"House"))</f>
        <v>0</v>
      </c>
      <c r="R944" s="15">
        <f>IF(B944="","",TEXT(B944,"yyyy-mm"))</f>
        <v>0</v>
      </c>
      <c r="S944" s="25">
        <f>IF(B944="","",WEEKNUM(B944,2))</f>
        <v>0</v>
      </c>
      <c r="T944" s="37">
        <f>IF(B944="","",IF(K944="",1,K944))</f>
        <v>0</v>
      </c>
      <c r="U944" s="15">
        <f>IF(B944="","",IF(J944&lt;&gt;"",J944,IF(H944="Retail",IFERROR(INDEX(Inventory!$B$5:$B$304,MATCH(I944,Inventory!$A$5:$A$304,0))&amp;"","Not in Inventory"),IFERROR(INDEX(Services!$B$5:$B$204,MATCH(I944,Services!$A$5:$A$204,0))&amp;"","Not in Services"))))</f>
        <v>0</v>
      </c>
      <c r="V944" s="26">
        <f>IF(B944="","",IF(L944&lt;&gt;"",L944,IF(H944="Retail",IFERROR(INDEX(Inventory!$I$5:$I$304,MATCH(I944,Inventory!$A$5:$A$304,0))*1,0),IFERROR(INDEX(Services!$G$5:$G$204,MATCH(I944,Services!$A$5:$A$204,0))*1,0))))</f>
        <v>0</v>
      </c>
      <c r="W944" s="26">
        <f>IF(B944="","",ROUND(T944*V944,2))</f>
        <v>0</v>
      </c>
      <c r="X944" s="26">
        <f>IF(B944="","",ROUND(IF(M944="",0,W944*M944)+IF(N944="",0,N944),2))</f>
        <v>0</v>
      </c>
      <c r="Y944" s="26">
        <f>IF(B944="","",ROUND(W944-X944-IF(P944="",0,P944),2))</f>
        <v>0</v>
      </c>
      <c r="Z944" s="26">
        <f>IF(B944="","",IF(H944="Retail",IF(TaxOnRetail="Yes",ROUND(Y944*TaxRate,2),0),IF(H944="Service",IF(TaxOnServices="Yes",ROUND(Y944*TaxRate,2),0),0)))</f>
        <v>0</v>
      </c>
      <c r="AA944" s="26">
        <f>IF(B944="","",ROUND(Y944+Z944,2))</f>
        <v>0</v>
      </c>
      <c r="AB944" s="26">
        <f>IF(B944="","",ROUND(T944*IF(H944="Retail",IFERROR(INDEX(Inventory!$H$5:$H$304,MATCH(I944,Inventory!$A$5:$A$304,0))*1,0),IFERROR(INDEX(Services!$Q$5:$Q$204,MATCH(I944,Services!$A$5:$A$204,0))*1,0)),2))</f>
        <v>0</v>
      </c>
      <c r="AC944" s="26">
        <f>IF(B944="","",ROUND(Y944-AB944,2))</f>
        <v>0</v>
      </c>
      <c r="AD944" s="38">
        <f>IF(B944="","",IF(C944="","No",IF(COUNTIFS($C$5:C944,C944)=1,"Yes","No")))</f>
        <v>0</v>
      </c>
      <c r="AE944" s="26">
        <f>IF(B944="","",ROUND(SUMIFS(Payments!$G$5:$G$1204,Payments!$H$5:$H$1204,A944,Payments!$Q$5:$Q$1204,"Yes"),2))</f>
        <v>0</v>
      </c>
      <c r="AF944" s="26">
        <f>IF(B944="","",IF(AD944="No",0,ROUND(SUMIFS(Payments!$G$5:$G$1204,Payments!$I$5:$I$1204,C944,Payments!$H$5:$H$1204,"",Payments!$Q$5:$Q$1204,"Yes"),2)))</f>
        <v>0</v>
      </c>
      <c r="AG944" s="26">
        <f>IF(B944="","",ROUND(AE944+AF944,2))</f>
        <v>0</v>
      </c>
      <c r="AH944" s="26">
        <f>IF(B944="","",ROUND(AA944-AG944,2))</f>
        <v>0</v>
      </c>
      <c r="AI944" s="39">
        <f>IF(B944="","",IF(AA944&lt;=0,"No charge",IF(AH944&lt;=0.004,"Paid",IF(AG944&lt;=0.004,"Unpaid","Part paid"))))</f>
        <v>0</v>
      </c>
      <c r="AJ944" s="38">
        <f>IF(B944="","",IF(H944&lt;&gt;"Service","",IF(D944="","No",IF(COUNTIFS($D$5:$D$1204,D944,$B$5:$B$1204,B944,$H$5:$H$1204,"Retail")&gt;0,"Yes","No"))))</f>
        <v>0</v>
      </c>
      <c r="AK944" s="25">
        <f>IF(B944="","",COUNTIFS($Y$5:$Y$1204,"&gt;"&amp;Y944)+COUNTIFS($Y$5:Y944,Y944))</f>
        <v>0</v>
      </c>
      <c r="AL944" s="39">
        <f>IF(B944="","",IF(H944="","Add - what kind of sale is this?",IF(IF(V944&lt;=0,P944="",FALSE),"Check - no price found for this item",IF(F944="","Assign - nobody credited",IF(AH944&gt;0.004,"Unpaid - balance outstanding",IF(AC944&lt;0,"Loss - sold below cost",IF(X944&gt;W944*0.5,"Check - more than half off","OK")))))))</f>
        <v>0</v>
      </c>
    </row>
    <row r="945" spans="1:38">
      <c r="A945" s="28">
        <f>IF(B945="","",SalePrefix&amp;TEXT(ROW()-4,"0000"))</f>
        <v>0</v>
      </c>
      <c r="E945" s="15">
        <f>IF(D945="","",IFERROR(INDEX(Clients!$B$5:$B$504,MATCH(D945,Clients!$A$5:$A$504,0)),"Walk-in"))</f>
        <v>0</v>
      </c>
      <c r="G945" s="15">
        <f>IF(F945="","",IFERROR(INDEX(Staff!$B$5:$B$44,MATCH(F945,Staff!$A$5:$A$44,0)),"House"))</f>
        <v>0</v>
      </c>
      <c r="R945" s="15">
        <f>IF(B945="","",TEXT(B945,"yyyy-mm"))</f>
        <v>0</v>
      </c>
      <c r="S945" s="25">
        <f>IF(B945="","",WEEKNUM(B945,2))</f>
        <v>0</v>
      </c>
      <c r="T945" s="37">
        <f>IF(B945="","",IF(K945="",1,K945))</f>
        <v>0</v>
      </c>
      <c r="U945" s="15">
        <f>IF(B945="","",IF(J945&lt;&gt;"",J945,IF(H945="Retail",IFERROR(INDEX(Inventory!$B$5:$B$304,MATCH(I945,Inventory!$A$5:$A$304,0))&amp;"","Not in Inventory"),IFERROR(INDEX(Services!$B$5:$B$204,MATCH(I945,Services!$A$5:$A$204,0))&amp;"","Not in Services"))))</f>
        <v>0</v>
      </c>
      <c r="V945" s="26">
        <f>IF(B945="","",IF(L945&lt;&gt;"",L945,IF(H945="Retail",IFERROR(INDEX(Inventory!$I$5:$I$304,MATCH(I945,Inventory!$A$5:$A$304,0))*1,0),IFERROR(INDEX(Services!$G$5:$G$204,MATCH(I945,Services!$A$5:$A$204,0))*1,0))))</f>
        <v>0</v>
      </c>
      <c r="W945" s="26">
        <f>IF(B945="","",ROUND(T945*V945,2))</f>
        <v>0</v>
      </c>
      <c r="X945" s="26">
        <f>IF(B945="","",ROUND(IF(M945="",0,W945*M945)+IF(N945="",0,N945),2))</f>
        <v>0</v>
      </c>
      <c r="Y945" s="26">
        <f>IF(B945="","",ROUND(W945-X945-IF(P945="",0,P945),2))</f>
        <v>0</v>
      </c>
      <c r="Z945" s="26">
        <f>IF(B945="","",IF(H945="Retail",IF(TaxOnRetail="Yes",ROUND(Y945*TaxRate,2),0),IF(H945="Service",IF(TaxOnServices="Yes",ROUND(Y945*TaxRate,2),0),0)))</f>
        <v>0</v>
      </c>
      <c r="AA945" s="26">
        <f>IF(B945="","",ROUND(Y945+Z945,2))</f>
        <v>0</v>
      </c>
      <c r="AB945" s="26">
        <f>IF(B945="","",ROUND(T945*IF(H945="Retail",IFERROR(INDEX(Inventory!$H$5:$H$304,MATCH(I945,Inventory!$A$5:$A$304,0))*1,0),IFERROR(INDEX(Services!$Q$5:$Q$204,MATCH(I945,Services!$A$5:$A$204,0))*1,0)),2))</f>
        <v>0</v>
      </c>
      <c r="AC945" s="26">
        <f>IF(B945="","",ROUND(Y945-AB945,2))</f>
        <v>0</v>
      </c>
      <c r="AD945" s="38">
        <f>IF(B945="","",IF(C945="","No",IF(COUNTIFS($C$5:C945,C945)=1,"Yes","No")))</f>
        <v>0</v>
      </c>
      <c r="AE945" s="26">
        <f>IF(B945="","",ROUND(SUMIFS(Payments!$G$5:$G$1204,Payments!$H$5:$H$1204,A945,Payments!$Q$5:$Q$1204,"Yes"),2))</f>
        <v>0</v>
      </c>
      <c r="AF945" s="26">
        <f>IF(B945="","",IF(AD945="No",0,ROUND(SUMIFS(Payments!$G$5:$G$1204,Payments!$I$5:$I$1204,C945,Payments!$H$5:$H$1204,"",Payments!$Q$5:$Q$1204,"Yes"),2)))</f>
        <v>0</v>
      </c>
      <c r="AG945" s="26">
        <f>IF(B945="","",ROUND(AE945+AF945,2))</f>
        <v>0</v>
      </c>
      <c r="AH945" s="26">
        <f>IF(B945="","",ROUND(AA945-AG945,2))</f>
        <v>0</v>
      </c>
      <c r="AI945" s="39">
        <f>IF(B945="","",IF(AA945&lt;=0,"No charge",IF(AH945&lt;=0.004,"Paid",IF(AG945&lt;=0.004,"Unpaid","Part paid"))))</f>
        <v>0</v>
      </c>
      <c r="AJ945" s="38">
        <f>IF(B945="","",IF(H945&lt;&gt;"Service","",IF(D945="","No",IF(COUNTIFS($D$5:$D$1204,D945,$B$5:$B$1204,B945,$H$5:$H$1204,"Retail")&gt;0,"Yes","No"))))</f>
        <v>0</v>
      </c>
      <c r="AK945" s="25">
        <f>IF(B945="","",COUNTIFS($Y$5:$Y$1204,"&gt;"&amp;Y945)+COUNTIFS($Y$5:Y945,Y945))</f>
        <v>0</v>
      </c>
      <c r="AL945" s="39">
        <f>IF(B945="","",IF(H945="","Add - what kind of sale is this?",IF(IF(V945&lt;=0,P945="",FALSE),"Check - no price found for this item",IF(F945="","Assign - nobody credited",IF(AH945&gt;0.004,"Unpaid - balance outstanding",IF(AC945&lt;0,"Loss - sold below cost",IF(X945&gt;W945*0.5,"Check - more than half off","OK")))))))</f>
        <v>0</v>
      </c>
    </row>
    <row r="946" spans="1:38">
      <c r="A946" s="28">
        <f>IF(B946="","",SalePrefix&amp;TEXT(ROW()-4,"0000"))</f>
        <v>0</v>
      </c>
      <c r="E946" s="15">
        <f>IF(D946="","",IFERROR(INDEX(Clients!$B$5:$B$504,MATCH(D946,Clients!$A$5:$A$504,0)),"Walk-in"))</f>
        <v>0</v>
      </c>
      <c r="G946" s="15">
        <f>IF(F946="","",IFERROR(INDEX(Staff!$B$5:$B$44,MATCH(F946,Staff!$A$5:$A$44,0)),"House"))</f>
        <v>0</v>
      </c>
      <c r="R946" s="15">
        <f>IF(B946="","",TEXT(B946,"yyyy-mm"))</f>
        <v>0</v>
      </c>
      <c r="S946" s="25">
        <f>IF(B946="","",WEEKNUM(B946,2))</f>
        <v>0</v>
      </c>
      <c r="T946" s="37">
        <f>IF(B946="","",IF(K946="",1,K946))</f>
        <v>0</v>
      </c>
      <c r="U946" s="15">
        <f>IF(B946="","",IF(J946&lt;&gt;"",J946,IF(H946="Retail",IFERROR(INDEX(Inventory!$B$5:$B$304,MATCH(I946,Inventory!$A$5:$A$304,0))&amp;"","Not in Inventory"),IFERROR(INDEX(Services!$B$5:$B$204,MATCH(I946,Services!$A$5:$A$204,0))&amp;"","Not in Services"))))</f>
        <v>0</v>
      </c>
      <c r="V946" s="26">
        <f>IF(B946="","",IF(L946&lt;&gt;"",L946,IF(H946="Retail",IFERROR(INDEX(Inventory!$I$5:$I$304,MATCH(I946,Inventory!$A$5:$A$304,0))*1,0),IFERROR(INDEX(Services!$G$5:$G$204,MATCH(I946,Services!$A$5:$A$204,0))*1,0))))</f>
        <v>0</v>
      </c>
      <c r="W946" s="26">
        <f>IF(B946="","",ROUND(T946*V946,2))</f>
        <v>0</v>
      </c>
      <c r="X946" s="26">
        <f>IF(B946="","",ROUND(IF(M946="",0,W946*M946)+IF(N946="",0,N946),2))</f>
        <v>0</v>
      </c>
      <c r="Y946" s="26">
        <f>IF(B946="","",ROUND(W946-X946-IF(P946="",0,P946),2))</f>
        <v>0</v>
      </c>
      <c r="Z946" s="26">
        <f>IF(B946="","",IF(H946="Retail",IF(TaxOnRetail="Yes",ROUND(Y946*TaxRate,2),0),IF(H946="Service",IF(TaxOnServices="Yes",ROUND(Y946*TaxRate,2),0),0)))</f>
        <v>0</v>
      </c>
      <c r="AA946" s="26">
        <f>IF(B946="","",ROUND(Y946+Z946,2))</f>
        <v>0</v>
      </c>
      <c r="AB946" s="26">
        <f>IF(B946="","",ROUND(T946*IF(H946="Retail",IFERROR(INDEX(Inventory!$H$5:$H$304,MATCH(I946,Inventory!$A$5:$A$304,0))*1,0),IFERROR(INDEX(Services!$Q$5:$Q$204,MATCH(I946,Services!$A$5:$A$204,0))*1,0)),2))</f>
        <v>0</v>
      </c>
      <c r="AC946" s="26">
        <f>IF(B946="","",ROUND(Y946-AB946,2))</f>
        <v>0</v>
      </c>
      <c r="AD946" s="38">
        <f>IF(B946="","",IF(C946="","No",IF(COUNTIFS($C$5:C946,C946)=1,"Yes","No")))</f>
        <v>0</v>
      </c>
      <c r="AE946" s="26">
        <f>IF(B946="","",ROUND(SUMIFS(Payments!$G$5:$G$1204,Payments!$H$5:$H$1204,A946,Payments!$Q$5:$Q$1204,"Yes"),2))</f>
        <v>0</v>
      </c>
      <c r="AF946" s="26">
        <f>IF(B946="","",IF(AD946="No",0,ROUND(SUMIFS(Payments!$G$5:$G$1204,Payments!$I$5:$I$1204,C946,Payments!$H$5:$H$1204,"",Payments!$Q$5:$Q$1204,"Yes"),2)))</f>
        <v>0</v>
      </c>
      <c r="AG946" s="26">
        <f>IF(B946="","",ROUND(AE946+AF946,2))</f>
        <v>0</v>
      </c>
      <c r="AH946" s="26">
        <f>IF(B946="","",ROUND(AA946-AG946,2))</f>
        <v>0</v>
      </c>
      <c r="AI946" s="39">
        <f>IF(B946="","",IF(AA946&lt;=0,"No charge",IF(AH946&lt;=0.004,"Paid",IF(AG946&lt;=0.004,"Unpaid","Part paid"))))</f>
        <v>0</v>
      </c>
      <c r="AJ946" s="38">
        <f>IF(B946="","",IF(H946&lt;&gt;"Service","",IF(D946="","No",IF(COUNTIFS($D$5:$D$1204,D946,$B$5:$B$1204,B946,$H$5:$H$1204,"Retail")&gt;0,"Yes","No"))))</f>
        <v>0</v>
      </c>
      <c r="AK946" s="25">
        <f>IF(B946="","",COUNTIFS($Y$5:$Y$1204,"&gt;"&amp;Y946)+COUNTIFS($Y$5:Y946,Y946))</f>
        <v>0</v>
      </c>
      <c r="AL946" s="39">
        <f>IF(B946="","",IF(H946="","Add - what kind of sale is this?",IF(IF(V946&lt;=0,P946="",FALSE),"Check - no price found for this item",IF(F946="","Assign - nobody credited",IF(AH946&gt;0.004,"Unpaid - balance outstanding",IF(AC946&lt;0,"Loss - sold below cost",IF(X946&gt;W946*0.5,"Check - more than half off","OK")))))))</f>
        <v>0</v>
      </c>
    </row>
    <row r="947" spans="1:38">
      <c r="A947" s="28">
        <f>IF(B947="","",SalePrefix&amp;TEXT(ROW()-4,"0000"))</f>
        <v>0</v>
      </c>
      <c r="E947" s="15">
        <f>IF(D947="","",IFERROR(INDEX(Clients!$B$5:$B$504,MATCH(D947,Clients!$A$5:$A$504,0)),"Walk-in"))</f>
        <v>0</v>
      </c>
      <c r="G947" s="15">
        <f>IF(F947="","",IFERROR(INDEX(Staff!$B$5:$B$44,MATCH(F947,Staff!$A$5:$A$44,0)),"House"))</f>
        <v>0</v>
      </c>
      <c r="R947" s="15">
        <f>IF(B947="","",TEXT(B947,"yyyy-mm"))</f>
        <v>0</v>
      </c>
      <c r="S947" s="25">
        <f>IF(B947="","",WEEKNUM(B947,2))</f>
        <v>0</v>
      </c>
      <c r="T947" s="37">
        <f>IF(B947="","",IF(K947="",1,K947))</f>
        <v>0</v>
      </c>
      <c r="U947" s="15">
        <f>IF(B947="","",IF(J947&lt;&gt;"",J947,IF(H947="Retail",IFERROR(INDEX(Inventory!$B$5:$B$304,MATCH(I947,Inventory!$A$5:$A$304,0))&amp;"","Not in Inventory"),IFERROR(INDEX(Services!$B$5:$B$204,MATCH(I947,Services!$A$5:$A$204,0))&amp;"","Not in Services"))))</f>
        <v>0</v>
      </c>
      <c r="V947" s="26">
        <f>IF(B947="","",IF(L947&lt;&gt;"",L947,IF(H947="Retail",IFERROR(INDEX(Inventory!$I$5:$I$304,MATCH(I947,Inventory!$A$5:$A$304,0))*1,0),IFERROR(INDEX(Services!$G$5:$G$204,MATCH(I947,Services!$A$5:$A$204,0))*1,0))))</f>
        <v>0</v>
      </c>
      <c r="W947" s="26">
        <f>IF(B947="","",ROUND(T947*V947,2))</f>
        <v>0</v>
      </c>
      <c r="X947" s="26">
        <f>IF(B947="","",ROUND(IF(M947="",0,W947*M947)+IF(N947="",0,N947),2))</f>
        <v>0</v>
      </c>
      <c r="Y947" s="26">
        <f>IF(B947="","",ROUND(W947-X947-IF(P947="",0,P947),2))</f>
        <v>0</v>
      </c>
      <c r="Z947" s="26">
        <f>IF(B947="","",IF(H947="Retail",IF(TaxOnRetail="Yes",ROUND(Y947*TaxRate,2),0),IF(H947="Service",IF(TaxOnServices="Yes",ROUND(Y947*TaxRate,2),0),0)))</f>
        <v>0</v>
      </c>
      <c r="AA947" s="26">
        <f>IF(B947="","",ROUND(Y947+Z947,2))</f>
        <v>0</v>
      </c>
      <c r="AB947" s="26">
        <f>IF(B947="","",ROUND(T947*IF(H947="Retail",IFERROR(INDEX(Inventory!$H$5:$H$304,MATCH(I947,Inventory!$A$5:$A$304,0))*1,0),IFERROR(INDEX(Services!$Q$5:$Q$204,MATCH(I947,Services!$A$5:$A$204,0))*1,0)),2))</f>
        <v>0</v>
      </c>
      <c r="AC947" s="26">
        <f>IF(B947="","",ROUND(Y947-AB947,2))</f>
        <v>0</v>
      </c>
      <c r="AD947" s="38">
        <f>IF(B947="","",IF(C947="","No",IF(COUNTIFS($C$5:C947,C947)=1,"Yes","No")))</f>
        <v>0</v>
      </c>
      <c r="AE947" s="26">
        <f>IF(B947="","",ROUND(SUMIFS(Payments!$G$5:$G$1204,Payments!$H$5:$H$1204,A947,Payments!$Q$5:$Q$1204,"Yes"),2))</f>
        <v>0</v>
      </c>
      <c r="AF947" s="26">
        <f>IF(B947="","",IF(AD947="No",0,ROUND(SUMIFS(Payments!$G$5:$G$1204,Payments!$I$5:$I$1204,C947,Payments!$H$5:$H$1204,"",Payments!$Q$5:$Q$1204,"Yes"),2)))</f>
        <v>0</v>
      </c>
      <c r="AG947" s="26">
        <f>IF(B947="","",ROUND(AE947+AF947,2))</f>
        <v>0</v>
      </c>
      <c r="AH947" s="26">
        <f>IF(B947="","",ROUND(AA947-AG947,2))</f>
        <v>0</v>
      </c>
      <c r="AI947" s="39">
        <f>IF(B947="","",IF(AA947&lt;=0,"No charge",IF(AH947&lt;=0.004,"Paid",IF(AG947&lt;=0.004,"Unpaid","Part paid"))))</f>
        <v>0</v>
      </c>
      <c r="AJ947" s="38">
        <f>IF(B947="","",IF(H947&lt;&gt;"Service","",IF(D947="","No",IF(COUNTIFS($D$5:$D$1204,D947,$B$5:$B$1204,B947,$H$5:$H$1204,"Retail")&gt;0,"Yes","No"))))</f>
        <v>0</v>
      </c>
      <c r="AK947" s="25">
        <f>IF(B947="","",COUNTIFS($Y$5:$Y$1204,"&gt;"&amp;Y947)+COUNTIFS($Y$5:Y947,Y947))</f>
        <v>0</v>
      </c>
      <c r="AL947" s="39">
        <f>IF(B947="","",IF(H947="","Add - what kind of sale is this?",IF(IF(V947&lt;=0,P947="",FALSE),"Check - no price found for this item",IF(F947="","Assign - nobody credited",IF(AH947&gt;0.004,"Unpaid - balance outstanding",IF(AC947&lt;0,"Loss - sold below cost",IF(X947&gt;W947*0.5,"Check - more than half off","OK")))))))</f>
        <v>0</v>
      </c>
    </row>
    <row r="948" spans="1:38">
      <c r="A948" s="28">
        <f>IF(B948="","",SalePrefix&amp;TEXT(ROW()-4,"0000"))</f>
        <v>0</v>
      </c>
      <c r="E948" s="15">
        <f>IF(D948="","",IFERROR(INDEX(Clients!$B$5:$B$504,MATCH(D948,Clients!$A$5:$A$504,0)),"Walk-in"))</f>
        <v>0</v>
      </c>
      <c r="G948" s="15">
        <f>IF(F948="","",IFERROR(INDEX(Staff!$B$5:$B$44,MATCH(F948,Staff!$A$5:$A$44,0)),"House"))</f>
        <v>0</v>
      </c>
      <c r="R948" s="15">
        <f>IF(B948="","",TEXT(B948,"yyyy-mm"))</f>
        <v>0</v>
      </c>
      <c r="S948" s="25">
        <f>IF(B948="","",WEEKNUM(B948,2))</f>
        <v>0</v>
      </c>
      <c r="T948" s="37">
        <f>IF(B948="","",IF(K948="",1,K948))</f>
        <v>0</v>
      </c>
      <c r="U948" s="15">
        <f>IF(B948="","",IF(J948&lt;&gt;"",J948,IF(H948="Retail",IFERROR(INDEX(Inventory!$B$5:$B$304,MATCH(I948,Inventory!$A$5:$A$304,0))&amp;"","Not in Inventory"),IFERROR(INDEX(Services!$B$5:$B$204,MATCH(I948,Services!$A$5:$A$204,0))&amp;"","Not in Services"))))</f>
        <v>0</v>
      </c>
      <c r="V948" s="26">
        <f>IF(B948="","",IF(L948&lt;&gt;"",L948,IF(H948="Retail",IFERROR(INDEX(Inventory!$I$5:$I$304,MATCH(I948,Inventory!$A$5:$A$304,0))*1,0),IFERROR(INDEX(Services!$G$5:$G$204,MATCH(I948,Services!$A$5:$A$204,0))*1,0))))</f>
        <v>0</v>
      </c>
      <c r="W948" s="26">
        <f>IF(B948="","",ROUND(T948*V948,2))</f>
        <v>0</v>
      </c>
      <c r="X948" s="26">
        <f>IF(B948="","",ROUND(IF(M948="",0,W948*M948)+IF(N948="",0,N948),2))</f>
        <v>0</v>
      </c>
      <c r="Y948" s="26">
        <f>IF(B948="","",ROUND(W948-X948-IF(P948="",0,P948),2))</f>
        <v>0</v>
      </c>
      <c r="Z948" s="26">
        <f>IF(B948="","",IF(H948="Retail",IF(TaxOnRetail="Yes",ROUND(Y948*TaxRate,2),0),IF(H948="Service",IF(TaxOnServices="Yes",ROUND(Y948*TaxRate,2),0),0)))</f>
        <v>0</v>
      </c>
      <c r="AA948" s="26">
        <f>IF(B948="","",ROUND(Y948+Z948,2))</f>
        <v>0</v>
      </c>
      <c r="AB948" s="26">
        <f>IF(B948="","",ROUND(T948*IF(H948="Retail",IFERROR(INDEX(Inventory!$H$5:$H$304,MATCH(I948,Inventory!$A$5:$A$304,0))*1,0),IFERROR(INDEX(Services!$Q$5:$Q$204,MATCH(I948,Services!$A$5:$A$204,0))*1,0)),2))</f>
        <v>0</v>
      </c>
      <c r="AC948" s="26">
        <f>IF(B948="","",ROUND(Y948-AB948,2))</f>
        <v>0</v>
      </c>
      <c r="AD948" s="38">
        <f>IF(B948="","",IF(C948="","No",IF(COUNTIFS($C$5:C948,C948)=1,"Yes","No")))</f>
        <v>0</v>
      </c>
      <c r="AE948" s="26">
        <f>IF(B948="","",ROUND(SUMIFS(Payments!$G$5:$G$1204,Payments!$H$5:$H$1204,A948,Payments!$Q$5:$Q$1204,"Yes"),2))</f>
        <v>0</v>
      </c>
      <c r="AF948" s="26">
        <f>IF(B948="","",IF(AD948="No",0,ROUND(SUMIFS(Payments!$G$5:$G$1204,Payments!$I$5:$I$1204,C948,Payments!$H$5:$H$1204,"",Payments!$Q$5:$Q$1204,"Yes"),2)))</f>
        <v>0</v>
      </c>
      <c r="AG948" s="26">
        <f>IF(B948="","",ROUND(AE948+AF948,2))</f>
        <v>0</v>
      </c>
      <c r="AH948" s="26">
        <f>IF(B948="","",ROUND(AA948-AG948,2))</f>
        <v>0</v>
      </c>
      <c r="AI948" s="39">
        <f>IF(B948="","",IF(AA948&lt;=0,"No charge",IF(AH948&lt;=0.004,"Paid",IF(AG948&lt;=0.004,"Unpaid","Part paid"))))</f>
        <v>0</v>
      </c>
      <c r="AJ948" s="38">
        <f>IF(B948="","",IF(H948&lt;&gt;"Service","",IF(D948="","No",IF(COUNTIFS($D$5:$D$1204,D948,$B$5:$B$1204,B948,$H$5:$H$1204,"Retail")&gt;0,"Yes","No"))))</f>
        <v>0</v>
      </c>
      <c r="AK948" s="25">
        <f>IF(B948="","",COUNTIFS($Y$5:$Y$1204,"&gt;"&amp;Y948)+COUNTIFS($Y$5:Y948,Y948))</f>
        <v>0</v>
      </c>
      <c r="AL948" s="39">
        <f>IF(B948="","",IF(H948="","Add - what kind of sale is this?",IF(IF(V948&lt;=0,P948="",FALSE),"Check - no price found for this item",IF(F948="","Assign - nobody credited",IF(AH948&gt;0.004,"Unpaid - balance outstanding",IF(AC948&lt;0,"Loss - sold below cost",IF(X948&gt;W948*0.5,"Check - more than half off","OK")))))))</f>
        <v>0</v>
      </c>
    </row>
    <row r="949" spans="1:38">
      <c r="A949" s="28">
        <f>IF(B949="","",SalePrefix&amp;TEXT(ROW()-4,"0000"))</f>
        <v>0</v>
      </c>
      <c r="E949" s="15">
        <f>IF(D949="","",IFERROR(INDEX(Clients!$B$5:$B$504,MATCH(D949,Clients!$A$5:$A$504,0)),"Walk-in"))</f>
        <v>0</v>
      </c>
      <c r="G949" s="15">
        <f>IF(F949="","",IFERROR(INDEX(Staff!$B$5:$B$44,MATCH(F949,Staff!$A$5:$A$44,0)),"House"))</f>
        <v>0</v>
      </c>
      <c r="R949" s="15">
        <f>IF(B949="","",TEXT(B949,"yyyy-mm"))</f>
        <v>0</v>
      </c>
      <c r="S949" s="25">
        <f>IF(B949="","",WEEKNUM(B949,2))</f>
        <v>0</v>
      </c>
      <c r="T949" s="37">
        <f>IF(B949="","",IF(K949="",1,K949))</f>
        <v>0</v>
      </c>
      <c r="U949" s="15">
        <f>IF(B949="","",IF(J949&lt;&gt;"",J949,IF(H949="Retail",IFERROR(INDEX(Inventory!$B$5:$B$304,MATCH(I949,Inventory!$A$5:$A$304,0))&amp;"","Not in Inventory"),IFERROR(INDEX(Services!$B$5:$B$204,MATCH(I949,Services!$A$5:$A$204,0))&amp;"","Not in Services"))))</f>
        <v>0</v>
      </c>
      <c r="V949" s="26">
        <f>IF(B949="","",IF(L949&lt;&gt;"",L949,IF(H949="Retail",IFERROR(INDEX(Inventory!$I$5:$I$304,MATCH(I949,Inventory!$A$5:$A$304,0))*1,0),IFERROR(INDEX(Services!$G$5:$G$204,MATCH(I949,Services!$A$5:$A$204,0))*1,0))))</f>
        <v>0</v>
      </c>
      <c r="W949" s="26">
        <f>IF(B949="","",ROUND(T949*V949,2))</f>
        <v>0</v>
      </c>
      <c r="X949" s="26">
        <f>IF(B949="","",ROUND(IF(M949="",0,W949*M949)+IF(N949="",0,N949),2))</f>
        <v>0</v>
      </c>
      <c r="Y949" s="26">
        <f>IF(B949="","",ROUND(W949-X949-IF(P949="",0,P949),2))</f>
        <v>0</v>
      </c>
      <c r="Z949" s="26">
        <f>IF(B949="","",IF(H949="Retail",IF(TaxOnRetail="Yes",ROUND(Y949*TaxRate,2),0),IF(H949="Service",IF(TaxOnServices="Yes",ROUND(Y949*TaxRate,2),0),0)))</f>
        <v>0</v>
      </c>
      <c r="AA949" s="26">
        <f>IF(B949="","",ROUND(Y949+Z949,2))</f>
        <v>0</v>
      </c>
      <c r="AB949" s="26">
        <f>IF(B949="","",ROUND(T949*IF(H949="Retail",IFERROR(INDEX(Inventory!$H$5:$H$304,MATCH(I949,Inventory!$A$5:$A$304,0))*1,0),IFERROR(INDEX(Services!$Q$5:$Q$204,MATCH(I949,Services!$A$5:$A$204,0))*1,0)),2))</f>
        <v>0</v>
      </c>
      <c r="AC949" s="26">
        <f>IF(B949="","",ROUND(Y949-AB949,2))</f>
        <v>0</v>
      </c>
      <c r="AD949" s="38">
        <f>IF(B949="","",IF(C949="","No",IF(COUNTIFS($C$5:C949,C949)=1,"Yes","No")))</f>
        <v>0</v>
      </c>
      <c r="AE949" s="26">
        <f>IF(B949="","",ROUND(SUMIFS(Payments!$G$5:$G$1204,Payments!$H$5:$H$1204,A949,Payments!$Q$5:$Q$1204,"Yes"),2))</f>
        <v>0</v>
      </c>
      <c r="AF949" s="26">
        <f>IF(B949="","",IF(AD949="No",0,ROUND(SUMIFS(Payments!$G$5:$G$1204,Payments!$I$5:$I$1204,C949,Payments!$H$5:$H$1204,"",Payments!$Q$5:$Q$1204,"Yes"),2)))</f>
        <v>0</v>
      </c>
      <c r="AG949" s="26">
        <f>IF(B949="","",ROUND(AE949+AF949,2))</f>
        <v>0</v>
      </c>
      <c r="AH949" s="26">
        <f>IF(B949="","",ROUND(AA949-AG949,2))</f>
        <v>0</v>
      </c>
      <c r="AI949" s="39">
        <f>IF(B949="","",IF(AA949&lt;=0,"No charge",IF(AH949&lt;=0.004,"Paid",IF(AG949&lt;=0.004,"Unpaid","Part paid"))))</f>
        <v>0</v>
      </c>
      <c r="AJ949" s="38">
        <f>IF(B949="","",IF(H949&lt;&gt;"Service","",IF(D949="","No",IF(COUNTIFS($D$5:$D$1204,D949,$B$5:$B$1204,B949,$H$5:$H$1204,"Retail")&gt;0,"Yes","No"))))</f>
        <v>0</v>
      </c>
      <c r="AK949" s="25">
        <f>IF(B949="","",COUNTIFS($Y$5:$Y$1204,"&gt;"&amp;Y949)+COUNTIFS($Y$5:Y949,Y949))</f>
        <v>0</v>
      </c>
      <c r="AL949" s="39">
        <f>IF(B949="","",IF(H949="","Add - what kind of sale is this?",IF(IF(V949&lt;=0,P949="",FALSE),"Check - no price found for this item",IF(F949="","Assign - nobody credited",IF(AH949&gt;0.004,"Unpaid - balance outstanding",IF(AC949&lt;0,"Loss - sold below cost",IF(X949&gt;W949*0.5,"Check - more than half off","OK")))))))</f>
        <v>0</v>
      </c>
    </row>
    <row r="950" spans="1:38">
      <c r="A950" s="28">
        <f>IF(B950="","",SalePrefix&amp;TEXT(ROW()-4,"0000"))</f>
        <v>0</v>
      </c>
      <c r="E950" s="15">
        <f>IF(D950="","",IFERROR(INDEX(Clients!$B$5:$B$504,MATCH(D950,Clients!$A$5:$A$504,0)),"Walk-in"))</f>
        <v>0</v>
      </c>
      <c r="G950" s="15">
        <f>IF(F950="","",IFERROR(INDEX(Staff!$B$5:$B$44,MATCH(F950,Staff!$A$5:$A$44,0)),"House"))</f>
        <v>0</v>
      </c>
      <c r="R950" s="15">
        <f>IF(B950="","",TEXT(B950,"yyyy-mm"))</f>
        <v>0</v>
      </c>
      <c r="S950" s="25">
        <f>IF(B950="","",WEEKNUM(B950,2))</f>
        <v>0</v>
      </c>
      <c r="T950" s="37">
        <f>IF(B950="","",IF(K950="",1,K950))</f>
        <v>0</v>
      </c>
      <c r="U950" s="15">
        <f>IF(B950="","",IF(J950&lt;&gt;"",J950,IF(H950="Retail",IFERROR(INDEX(Inventory!$B$5:$B$304,MATCH(I950,Inventory!$A$5:$A$304,0))&amp;"","Not in Inventory"),IFERROR(INDEX(Services!$B$5:$B$204,MATCH(I950,Services!$A$5:$A$204,0))&amp;"","Not in Services"))))</f>
        <v>0</v>
      </c>
      <c r="V950" s="26">
        <f>IF(B950="","",IF(L950&lt;&gt;"",L950,IF(H950="Retail",IFERROR(INDEX(Inventory!$I$5:$I$304,MATCH(I950,Inventory!$A$5:$A$304,0))*1,0),IFERROR(INDEX(Services!$G$5:$G$204,MATCH(I950,Services!$A$5:$A$204,0))*1,0))))</f>
        <v>0</v>
      </c>
      <c r="W950" s="26">
        <f>IF(B950="","",ROUND(T950*V950,2))</f>
        <v>0</v>
      </c>
      <c r="X950" s="26">
        <f>IF(B950="","",ROUND(IF(M950="",0,W950*M950)+IF(N950="",0,N950),2))</f>
        <v>0</v>
      </c>
      <c r="Y950" s="26">
        <f>IF(B950="","",ROUND(W950-X950-IF(P950="",0,P950),2))</f>
        <v>0</v>
      </c>
      <c r="Z950" s="26">
        <f>IF(B950="","",IF(H950="Retail",IF(TaxOnRetail="Yes",ROUND(Y950*TaxRate,2),0),IF(H950="Service",IF(TaxOnServices="Yes",ROUND(Y950*TaxRate,2),0),0)))</f>
        <v>0</v>
      </c>
      <c r="AA950" s="26">
        <f>IF(B950="","",ROUND(Y950+Z950,2))</f>
        <v>0</v>
      </c>
      <c r="AB950" s="26">
        <f>IF(B950="","",ROUND(T950*IF(H950="Retail",IFERROR(INDEX(Inventory!$H$5:$H$304,MATCH(I950,Inventory!$A$5:$A$304,0))*1,0),IFERROR(INDEX(Services!$Q$5:$Q$204,MATCH(I950,Services!$A$5:$A$204,0))*1,0)),2))</f>
        <v>0</v>
      </c>
      <c r="AC950" s="26">
        <f>IF(B950="","",ROUND(Y950-AB950,2))</f>
        <v>0</v>
      </c>
      <c r="AD950" s="38">
        <f>IF(B950="","",IF(C950="","No",IF(COUNTIFS($C$5:C950,C950)=1,"Yes","No")))</f>
        <v>0</v>
      </c>
      <c r="AE950" s="26">
        <f>IF(B950="","",ROUND(SUMIFS(Payments!$G$5:$G$1204,Payments!$H$5:$H$1204,A950,Payments!$Q$5:$Q$1204,"Yes"),2))</f>
        <v>0</v>
      </c>
      <c r="AF950" s="26">
        <f>IF(B950="","",IF(AD950="No",0,ROUND(SUMIFS(Payments!$G$5:$G$1204,Payments!$I$5:$I$1204,C950,Payments!$H$5:$H$1204,"",Payments!$Q$5:$Q$1204,"Yes"),2)))</f>
        <v>0</v>
      </c>
      <c r="AG950" s="26">
        <f>IF(B950="","",ROUND(AE950+AF950,2))</f>
        <v>0</v>
      </c>
      <c r="AH950" s="26">
        <f>IF(B950="","",ROUND(AA950-AG950,2))</f>
        <v>0</v>
      </c>
      <c r="AI950" s="39">
        <f>IF(B950="","",IF(AA950&lt;=0,"No charge",IF(AH950&lt;=0.004,"Paid",IF(AG950&lt;=0.004,"Unpaid","Part paid"))))</f>
        <v>0</v>
      </c>
      <c r="AJ950" s="38">
        <f>IF(B950="","",IF(H950&lt;&gt;"Service","",IF(D950="","No",IF(COUNTIFS($D$5:$D$1204,D950,$B$5:$B$1204,B950,$H$5:$H$1204,"Retail")&gt;0,"Yes","No"))))</f>
        <v>0</v>
      </c>
      <c r="AK950" s="25">
        <f>IF(B950="","",COUNTIFS($Y$5:$Y$1204,"&gt;"&amp;Y950)+COUNTIFS($Y$5:Y950,Y950))</f>
        <v>0</v>
      </c>
      <c r="AL950" s="39">
        <f>IF(B950="","",IF(H950="","Add - what kind of sale is this?",IF(IF(V950&lt;=0,P950="",FALSE),"Check - no price found for this item",IF(F950="","Assign - nobody credited",IF(AH950&gt;0.004,"Unpaid - balance outstanding",IF(AC950&lt;0,"Loss - sold below cost",IF(X950&gt;W950*0.5,"Check - more than half off","OK")))))))</f>
        <v>0</v>
      </c>
    </row>
    <row r="951" spans="1:38">
      <c r="A951" s="28">
        <f>IF(B951="","",SalePrefix&amp;TEXT(ROW()-4,"0000"))</f>
        <v>0</v>
      </c>
      <c r="E951" s="15">
        <f>IF(D951="","",IFERROR(INDEX(Clients!$B$5:$B$504,MATCH(D951,Clients!$A$5:$A$504,0)),"Walk-in"))</f>
        <v>0</v>
      </c>
      <c r="G951" s="15">
        <f>IF(F951="","",IFERROR(INDEX(Staff!$B$5:$B$44,MATCH(F951,Staff!$A$5:$A$44,0)),"House"))</f>
        <v>0</v>
      </c>
      <c r="R951" s="15">
        <f>IF(B951="","",TEXT(B951,"yyyy-mm"))</f>
        <v>0</v>
      </c>
      <c r="S951" s="25">
        <f>IF(B951="","",WEEKNUM(B951,2))</f>
        <v>0</v>
      </c>
      <c r="T951" s="37">
        <f>IF(B951="","",IF(K951="",1,K951))</f>
        <v>0</v>
      </c>
      <c r="U951" s="15">
        <f>IF(B951="","",IF(J951&lt;&gt;"",J951,IF(H951="Retail",IFERROR(INDEX(Inventory!$B$5:$B$304,MATCH(I951,Inventory!$A$5:$A$304,0))&amp;"","Not in Inventory"),IFERROR(INDEX(Services!$B$5:$B$204,MATCH(I951,Services!$A$5:$A$204,0))&amp;"","Not in Services"))))</f>
        <v>0</v>
      </c>
      <c r="V951" s="26">
        <f>IF(B951="","",IF(L951&lt;&gt;"",L951,IF(H951="Retail",IFERROR(INDEX(Inventory!$I$5:$I$304,MATCH(I951,Inventory!$A$5:$A$304,0))*1,0),IFERROR(INDEX(Services!$G$5:$G$204,MATCH(I951,Services!$A$5:$A$204,0))*1,0))))</f>
        <v>0</v>
      </c>
      <c r="W951" s="26">
        <f>IF(B951="","",ROUND(T951*V951,2))</f>
        <v>0</v>
      </c>
      <c r="X951" s="26">
        <f>IF(B951="","",ROUND(IF(M951="",0,W951*M951)+IF(N951="",0,N951),2))</f>
        <v>0</v>
      </c>
      <c r="Y951" s="26">
        <f>IF(B951="","",ROUND(W951-X951-IF(P951="",0,P951),2))</f>
        <v>0</v>
      </c>
      <c r="Z951" s="26">
        <f>IF(B951="","",IF(H951="Retail",IF(TaxOnRetail="Yes",ROUND(Y951*TaxRate,2),0),IF(H951="Service",IF(TaxOnServices="Yes",ROUND(Y951*TaxRate,2),0),0)))</f>
        <v>0</v>
      </c>
      <c r="AA951" s="26">
        <f>IF(B951="","",ROUND(Y951+Z951,2))</f>
        <v>0</v>
      </c>
      <c r="AB951" s="26">
        <f>IF(B951="","",ROUND(T951*IF(H951="Retail",IFERROR(INDEX(Inventory!$H$5:$H$304,MATCH(I951,Inventory!$A$5:$A$304,0))*1,0),IFERROR(INDEX(Services!$Q$5:$Q$204,MATCH(I951,Services!$A$5:$A$204,0))*1,0)),2))</f>
        <v>0</v>
      </c>
      <c r="AC951" s="26">
        <f>IF(B951="","",ROUND(Y951-AB951,2))</f>
        <v>0</v>
      </c>
      <c r="AD951" s="38">
        <f>IF(B951="","",IF(C951="","No",IF(COUNTIFS($C$5:C951,C951)=1,"Yes","No")))</f>
        <v>0</v>
      </c>
      <c r="AE951" s="26">
        <f>IF(B951="","",ROUND(SUMIFS(Payments!$G$5:$G$1204,Payments!$H$5:$H$1204,A951,Payments!$Q$5:$Q$1204,"Yes"),2))</f>
        <v>0</v>
      </c>
      <c r="AF951" s="26">
        <f>IF(B951="","",IF(AD951="No",0,ROUND(SUMIFS(Payments!$G$5:$G$1204,Payments!$I$5:$I$1204,C951,Payments!$H$5:$H$1204,"",Payments!$Q$5:$Q$1204,"Yes"),2)))</f>
        <v>0</v>
      </c>
      <c r="AG951" s="26">
        <f>IF(B951="","",ROUND(AE951+AF951,2))</f>
        <v>0</v>
      </c>
      <c r="AH951" s="26">
        <f>IF(B951="","",ROUND(AA951-AG951,2))</f>
        <v>0</v>
      </c>
      <c r="AI951" s="39">
        <f>IF(B951="","",IF(AA951&lt;=0,"No charge",IF(AH951&lt;=0.004,"Paid",IF(AG951&lt;=0.004,"Unpaid","Part paid"))))</f>
        <v>0</v>
      </c>
      <c r="AJ951" s="38">
        <f>IF(B951="","",IF(H951&lt;&gt;"Service","",IF(D951="","No",IF(COUNTIFS($D$5:$D$1204,D951,$B$5:$B$1204,B951,$H$5:$H$1204,"Retail")&gt;0,"Yes","No"))))</f>
        <v>0</v>
      </c>
      <c r="AK951" s="25">
        <f>IF(B951="","",COUNTIFS($Y$5:$Y$1204,"&gt;"&amp;Y951)+COUNTIFS($Y$5:Y951,Y951))</f>
        <v>0</v>
      </c>
      <c r="AL951" s="39">
        <f>IF(B951="","",IF(H951="","Add - what kind of sale is this?",IF(IF(V951&lt;=0,P951="",FALSE),"Check - no price found for this item",IF(F951="","Assign - nobody credited",IF(AH951&gt;0.004,"Unpaid - balance outstanding",IF(AC951&lt;0,"Loss - sold below cost",IF(X951&gt;W951*0.5,"Check - more than half off","OK")))))))</f>
        <v>0</v>
      </c>
    </row>
    <row r="952" spans="1:38">
      <c r="A952" s="28">
        <f>IF(B952="","",SalePrefix&amp;TEXT(ROW()-4,"0000"))</f>
        <v>0</v>
      </c>
      <c r="E952" s="15">
        <f>IF(D952="","",IFERROR(INDEX(Clients!$B$5:$B$504,MATCH(D952,Clients!$A$5:$A$504,0)),"Walk-in"))</f>
        <v>0</v>
      </c>
      <c r="G952" s="15">
        <f>IF(F952="","",IFERROR(INDEX(Staff!$B$5:$B$44,MATCH(F952,Staff!$A$5:$A$44,0)),"House"))</f>
        <v>0</v>
      </c>
      <c r="R952" s="15">
        <f>IF(B952="","",TEXT(B952,"yyyy-mm"))</f>
        <v>0</v>
      </c>
      <c r="S952" s="25">
        <f>IF(B952="","",WEEKNUM(B952,2))</f>
        <v>0</v>
      </c>
      <c r="T952" s="37">
        <f>IF(B952="","",IF(K952="",1,K952))</f>
        <v>0</v>
      </c>
      <c r="U952" s="15">
        <f>IF(B952="","",IF(J952&lt;&gt;"",J952,IF(H952="Retail",IFERROR(INDEX(Inventory!$B$5:$B$304,MATCH(I952,Inventory!$A$5:$A$304,0))&amp;"","Not in Inventory"),IFERROR(INDEX(Services!$B$5:$B$204,MATCH(I952,Services!$A$5:$A$204,0))&amp;"","Not in Services"))))</f>
        <v>0</v>
      </c>
      <c r="V952" s="26">
        <f>IF(B952="","",IF(L952&lt;&gt;"",L952,IF(H952="Retail",IFERROR(INDEX(Inventory!$I$5:$I$304,MATCH(I952,Inventory!$A$5:$A$304,0))*1,0),IFERROR(INDEX(Services!$G$5:$G$204,MATCH(I952,Services!$A$5:$A$204,0))*1,0))))</f>
        <v>0</v>
      </c>
      <c r="W952" s="26">
        <f>IF(B952="","",ROUND(T952*V952,2))</f>
        <v>0</v>
      </c>
      <c r="X952" s="26">
        <f>IF(B952="","",ROUND(IF(M952="",0,W952*M952)+IF(N952="",0,N952),2))</f>
        <v>0</v>
      </c>
      <c r="Y952" s="26">
        <f>IF(B952="","",ROUND(W952-X952-IF(P952="",0,P952),2))</f>
        <v>0</v>
      </c>
      <c r="Z952" s="26">
        <f>IF(B952="","",IF(H952="Retail",IF(TaxOnRetail="Yes",ROUND(Y952*TaxRate,2),0),IF(H952="Service",IF(TaxOnServices="Yes",ROUND(Y952*TaxRate,2),0),0)))</f>
        <v>0</v>
      </c>
      <c r="AA952" s="26">
        <f>IF(B952="","",ROUND(Y952+Z952,2))</f>
        <v>0</v>
      </c>
      <c r="AB952" s="26">
        <f>IF(B952="","",ROUND(T952*IF(H952="Retail",IFERROR(INDEX(Inventory!$H$5:$H$304,MATCH(I952,Inventory!$A$5:$A$304,0))*1,0),IFERROR(INDEX(Services!$Q$5:$Q$204,MATCH(I952,Services!$A$5:$A$204,0))*1,0)),2))</f>
        <v>0</v>
      </c>
      <c r="AC952" s="26">
        <f>IF(B952="","",ROUND(Y952-AB952,2))</f>
        <v>0</v>
      </c>
      <c r="AD952" s="38">
        <f>IF(B952="","",IF(C952="","No",IF(COUNTIFS($C$5:C952,C952)=1,"Yes","No")))</f>
        <v>0</v>
      </c>
      <c r="AE952" s="26">
        <f>IF(B952="","",ROUND(SUMIFS(Payments!$G$5:$G$1204,Payments!$H$5:$H$1204,A952,Payments!$Q$5:$Q$1204,"Yes"),2))</f>
        <v>0</v>
      </c>
      <c r="AF952" s="26">
        <f>IF(B952="","",IF(AD952="No",0,ROUND(SUMIFS(Payments!$G$5:$G$1204,Payments!$I$5:$I$1204,C952,Payments!$H$5:$H$1204,"",Payments!$Q$5:$Q$1204,"Yes"),2)))</f>
        <v>0</v>
      </c>
      <c r="AG952" s="26">
        <f>IF(B952="","",ROUND(AE952+AF952,2))</f>
        <v>0</v>
      </c>
      <c r="AH952" s="26">
        <f>IF(B952="","",ROUND(AA952-AG952,2))</f>
        <v>0</v>
      </c>
      <c r="AI952" s="39">
        <f>IF(B952="","",IF(AA952&lt;=0,"No charge",IF(AH952&lt;=0.004,"Paid",IF(AG952&lt;=0.004,"Unpaid","Part paid"))))</f>
        <v>0</v>
      </c>
      <c r="AJ952" s="38">
        <f>IF(B952="","",IF(H952&lt;&gt;"Service","",IF(D952="","No",IF(COUNTIFS($D$5:$D$1204,D952,$B$5:$B$1204,B952,$H$5:$H$1204,"Retail")&gt;0,"Yes","No"))))</f>
        <v>0</v>
      </c>
      <c r="AK952" s="25">
        <f>IF(B952="","",COUNTIFS($Y$5:$Y$1204,"&gt;"&amp;Y952)+COUNTIFS($Y$5:Y952,Y952))</f>
        <v>0</v>
      </c>
      <c r="AL952" s="39">
        <f>IF(B952="","",IF(H952="","Add - what kind of sale is this?",IF(IF(V952&lt;=0,P952="",FALSE),"Check - no price found for this item",IF(F952="","Assign - nobody credited",IF(AH952&gt;0.004,"Unpaid - balance outstanding",IF(AC952&lt;0,"Loss - sold below cost",IF(X952&gt;W952*0.5,"Check - more than half off","OK")))))))</f>
        <v>0</v>
      </c>
    </row>
    <row r="953" spans="1:38">
      <c r="A953" s="28">
        <f>IF(B953="","",SalePrefix&amp;TEXT(ROW()-4,"0000"))</f>
        <v>0</v>
      </c>
      <c r="E953" s="15">
        <f>IF(D953="","",IFERROR(INDEX(Clients!$B$5:$B$504,MATCH(D953,Clients!$A$5:$A$504,0)),"Walk-in"))</f>
        <v>0</v>
      </c>
      <c r="G953" s="15">
        <f>IF(F953="","",IFERROR(INDEX(Staff!$B$5:$B$44,MATCH(F953,Staff!$A$5:$A$44,0)),"House"))</f>
        <v>0</v>
      </c>
      <c r="R953" s="15">
        <f>IF(B953="","",TEXT(B953,"yyyy-mm"))</f>
        <v>0</v>
      </c>
      <c r="S953" s="25">
        <f>IF(B953="","",WEEKNUM(B953,2))</f>
        <v>0</v>
      </c>
      <c r="T953" s="37">
        <f>IF(B953="","",IF(K953="",1,K953))</f>
        <v>0</v>
      </c>
      <c r="U953" s="15">
        <f>IF(B953="","",IF(J953&lt;&gt;"",J953,IF(H953="Retail",IFERROR(INDEX(Inventory!$B$5:$B$304,MATCH(I953,Inventory!$A$5:$A$304,0))&amp;"","Not in Inventory"),IFERROR(INDEX(Services!$B$5:$B$204,MATCH(I953,Services!$A$5:$A$204,0))&amp;"","Not in Services"))))</f>
        <v>0</v>
      </c>
      <c r="V953" s="26">
        <f>IF(B953="","",IF(L953&lt;&gt;"",L953,IF(H953="Retail",IFERROR(INDEX(Inventory!$I$5:$I$304,MATCH(I953,Inventory!$A$5:$A$304,0))*1,0),IFERROR(INDEX(Services!$G$5:$G$204,MATCH(I953,Services!$A$5:$A$204,0))*1,0))))</f>
        <v>0</v>
      </c>
      <c r="W953" s="26">
        <f>IF(B953="","",ROUND(T953*V953,2))</f>
        <v>0</v>
      </c>
      <c r="X953" s="26">
        <f>IF(B953="","",ROUND(IF(M953="",0,W953*M953)+IF(N953="",0,N953),2))</f>
        <v>0</v>
      </c>
      <c r="Y953" s="26">
        <f>IF(B953="","",ROUND(W953-X953-IF(P953="",0,P953),2))</f>
        <v>0</v>
      </c>
      <c r="Z953" s="26">
        <f>IF(B953="","",IF(H953="Retail",IF(TaxOnRetail="Yes",ROUND(Y953*TaxRate,2),0),IF(H953="Service",IF(TaxOnServices="Yes",ROUND(Y953*TaxRate,2),0),0)))</f>
        <v>0</v>
      </c>
      <c r="AA953" s="26">
        <f>IF(B953="","",ROUND(Y953+Z953,2))</f>
        <v>0</v>
      </c>
      <c r="AB953" s="26">
        <f>IF(B953="","",ROUND(T953*IF(H953="Retail",IFERROR(INDEX(Inventory!$H$5:$H$304,MATCH(I953,Inventory!$A$5:$A$304,0))*1,0),IFERROR(INDEX(Services!$Q$5:$Q$204,MATCH(I953,Services!$A$5:$A$204,0))*1,0)),2))</f>
        <v>0</v>
      </c>
      <c r="AC953" s="26">
        <f>IF(B953="","",ROUND(Y953-AB953,2))</f>
        <v>0</v>
      </c>
      <c r="AD953" s="38">
        <f>IF(B953="","",IF(C953="","No",IF(COUNTIFS($C$5:C953,C953)=1,"Yes","No")))</f>
        <v>0</v>
      </c>
      <c r="AE953" s="26">
        <f>IF(B953="","",ROUND(SUMIFS(Payments!$G$5:$G$1204,Payments!$H$5:$H$1204,A953,Payments!$Q$5:$Q$1204,"Yes"),2))</f>
        <v>0</v>
      </c>
      <c r="AF953" s="26">
        <f>IF(B953="","",IF(AD953="No",0,ROUND(SUMIFS(Payments!$G$5:$G$1204,Payments!$I$5:$I$1204,C953,Payments!$H$5:$H$1204,"",Payments!$Q$5:$Q$1204,"Yes"),2)))</f>
        <v>0</v>
      </c>
      <c r="AG953" s="26">
        <f>IF(B953="","",ROUND(AE953+AF953,2))</f>
        <v>0</v>
      </c>
      <c r="AH953" s="26">
        <f>IF(B953="","",ROUND(AA953-AG953,2))</f>
        <v>0</v>
      </c>
      <c r="AI953" s="39">
        <f>IF(B953="","",IF(AA953&lt;=0,"No charge",IF(AH953&lt;=0.004,"Paid",IF(AG953&lt;=0.004,"Unpaid","Part paid"))))</f>
        <v>0</v>
      </c>
      <c r="AJ953" s="38">
        <f>IF(B953="","",IF(H953&lt;&gt;"Service","",IF(D953="","No",IF(COUNTIFS($D$5:$D$1204,D953,$B$5:$B$1204,B953,$H$5:$H$1204,"Retail")&gt;0,"Yes","No"))))</f>
        <v>0</v>
      </c>
      <c r="AK953" s="25">
        <f>IF(B953="","",COUNTIFS($Y$5:$Y$1204,"&gt;"&amp;Y953)+COUNTIFS($Y$5:Y953,Y953))</f>
        <v>0</v>
      </c>
      <c r="AL953" s="39">
        <f>IF(B953="","",IF(H953="","Add - what kind of sale is this?",IF(IF(V953&lt;=0,P953="",FALSE),"Check - no price found for this item",IF(F953="","Assign - nobody credited",IF(AH953&gt;0.004,"Unpaid - balance outstanding",IF(AC953&lt;0,"Loss - sold below cost",IF(X953&gt;W953*0.5,"Check - more than half off","OK")))))))</f>
        <v>0</v>
      </c>
    </row>
    <row r="954" spans="1:38">
      <c r="A954" s="28">
        <f>IF(B954="","",SalePrefix&amp;TEXT(ROW()-4,"0000"))</f>
        <v>0</v>
      </c>
      <c r="E954" s="15">
        <f>IF(D954="","",IFERROR(INDEX(Clients!$B$5:$B$504,MATCH(D954,Clients!$A$5:$A$504,0)),"Walk-in"))</f>
        <v>0</v>
      </c>
      <c r="G954" s="15">
        <f>IF(F954="","",IFERROR(INDEX(Staff!$B$5:$B$44,MATCH(F954,Staff!$A$5:$A$44,0)),"House"))</f>
        <v>0</v>
      </c>
      <c r="R954" s="15">
        <f>IF(B954="","",TEXT(B954,"yyyy-mm"))</f>
        <v>0</v>
      </c>
      <c r="S954" s="25">
        <f>IF(B954="","",WEEKNUM(B954,2))</f>
        <v>0</v>
      </c>
      <c r="T954" s="37">
        <f>IF(B954="","",IF(K954="",1,K954))</f>
        <v>0</v>
      </c>
      <c r="U954" s="15">
        <f>IF(B954="","",IF(J954&lt;&gt;"",J954,IF(H954="Retail",IFERROR(INDEX(Inventory!$B$5:$B$304,MATCH(I954,Inventory!$A$5:$A$304,0))&amp;"","Not in Inventory"),IFERROR(INDEX(Services!$B$5:$B$204,MATCH(I954,Services!$A$5:$A$204,0))&amp;"","Not in Services"))))</f>
        <v>0</v>
      </c>
      <c r="V954" s="26">
        <f>IF(B954="","",IF(L954&lt;&gt;"",L954,IF(H954="Retail",IFERROR(INDEX(Inventory!$I$5:$I$304,MATCH(I954,Inventory!$A$5:$A$304,0))*1,0),IFERROR(INDEX(Services!$G$5:$G$204,MATCH(I954,Services!$A$5:$A$204,0))*1,0))))</f>
        <v>0</v>
      </c>
      <c r="W954" s="26">
        <f>IF(B954="","",ROUND(T954*V954,2))</f>
        <v>0</v>
      </c>
      <c r="X954" s="26">
        <f>IF(B954="","",ROUND(IF(M954="",0,W954*M954)+IF(N954="",0,N954),2))</f>
        <v>0</v>
      </c>
      <c r="Y954" s="26">
        <f>IF(B954="","",ROUND(W954-X954-IF(P954="",0,P954),2))</f>
        <v>0</v>
      </c>
      <c r="Z954" s="26">
        <f>IF(B954="","",IF(H954="Retail",IF(TaxOnRetail="Yes",ROUND(Y954*TaxRate,2),0),IF(H954="Service",IF(TaxOnServices="Yes",ROUND(Y954*TaxRate,2),0),0)))</f>
        <v>0</v>
      </c>
      <c r="AA954" s="26">
        <f>IF(B954="","",ROUND(Y954+Z954,2))</f>
        <v>0</v>
      </c>
      <c r="AB954" s="26">
        <f>IF(B954="","",ROUND(T954*IF(H954="Retail",IFERROR(INDEX(Inventory!$H$5:$H$304,MATCH(I954,Inventory!$A$5:$A$304,0))*1,0),IFERROR(INDEX(Services!$Q$5:$Q$204,MATCH(I954,Services!$A$5:$A$204,0))*1,0)),2))</f>
        <v>0</v>
      </c>
      <c r="AC954" s="26">
        <f>IF(B954="","",ROUND(Y954-AB954,2))</f>
        <v>0</v>
      </c>
      <c r="AD954" s="38">
        <f>IF(B954="","",IF(C954="","No",IF(COUNTIFS($C$5:C954,C954)=1,"Yes","No")))</f>
        <v>0</v>
      </c>
      <c r="AE954" s="26">
        <f>IF(B954="","",ROUND(SUMIFS(Payments!$G$5:$G$1204,Payments!$H$5:$H$1204,A954,Payments!$Q$5:$Q$1204,"Yes"),2))</f>
        <v>0</v>
      </c>
      <c r="AF954" s="26">
        <f>IF(B954="","",IF(AD954="No",0,ROUND(SUMIFS(Payments!$G$5:$G$1204,Payments!$I$5:$I$1204,C954,Payments!$H$5:$H$1204,"",Payments!$Q$5:$Q$1204,"Yes"),2)))</f>
        <v>0</v>
      </c>
      <c r="AG954" s="26">
        <f>IF(B954="","",ROUND(AE954+AF954,2))</f>
        <v>0</v>
      </c>
      <c r="AH954" s="26">
        <f>IF(B954="","",ROUND(AA954-AG954,2))</f>
        <v>0</v>
      </c>
      <c r="AI954" s="39">
        <f>IF(B954="","",IF(AA954&lt;=0,"No charge",IF(AH954&lt;=0.004,"Paid",IF(AG954&lt;=0.004,"Unpaid","Part paid"))))</f>
        <v>0</v>
      </c>
      <c r="AJ954" s="38">
        <f>IF(B954="","",IF(H954&lt;&gt;"Service","",IF(D954="","No",IF(COUNTIFS($D$5:$D$1204,D954,$B$5:$B$1204,B954,$H$5:$H$1204,"Retail")&gt;0,"Yes","No"))))</f>
        <v>0</v>
      </c>
      <c r="AK954" s="25">
        <f>IF(B954="","",COUNTIFS($Y$5:$Y$1204,"&gt;"&amp;Y954)+COUNTIFS($Y$5:Y954,Y954))</f>
        <v>0</v>
      </c>
      <c r="AL954" s="39">
        <f>IF(B954="","",IF(H954="","Add - what kind of sale is this?",IF(IF(V954&lt;=0,P954="",FALSE),"Check - no price found for this item",IF(F954="","Assign - nobody credited",IF(AH954&gt;0.004,"Unpaid - balance outstanding",IF(AC954&lt;0,"Loss - sold below cost",IF(X954&gt;W954*0.5,"Check - more than half off","OK")))))))</f>
        <v>0</v>
      </c>
    </row>
    <row r="955" spans="1:38">
      <c r="A955" s="28">
        <f>IF(B955="","",SalePrefix&amp;TEXT(ROW()-4,"0000"))</f>
        <v>0</v>
      </c>
      <c r="E955" s="15">
        <f>IF(D955="","",IFERROR(INDEX(Clients!$B$5:$B$504,MATCH(D955,Clients!$A$5:$A$504,0)),"Walk-in"))</f>
        <v>0</v>
      </c>
      <c r="G955" s="15">
        <f>IF(F955="","",IFERROR(INDEX(Staff!$B$5:$B$44,MATCH(F955,Staff!$A$5:$A$44,0)),"House"))</f>
        <v>0</v>
      </c>
      <c r="R955" s="15">
        <f>IF(B955="","",TEXT(B955,"yyyy-mm"))</f>
        <v>0</v>
      </c>
      <c r="S955" s="25">
        <f>IF(B955="","",WEEKNUM(B955,2))</f>
        <v>0</v>
      </c>
      <c r="T955" s="37">
        <f>IF(B955="","",IF(K955="",1,K955))</f>
        <v>0</v>
      </c>
      <c r="U955" s="15">
        <f>IF(B955="","",IF(J955&lt;&gt;"",J955,IF(H955="Retail",IFERROR(INDEX(Inventory!$B$5:$B$304,MATCH(I955,Inventory!$A$5:$A$304,0))&amp;"","Not in Inventory"),IFERROR(INDEX(Services!$B$5:$B$204,MATCH(I955,Services!$A$5:$A$204,0))&amp;"","Not in Services"))))</f>
        <v>0</v>
      </c>
      <c r="V955" s="26">
        <f>IF(B955="","",IF(L955&lt;&gt;"",L955,IF(H955="Retail",IFERROR(INDEX(Inventory!$I$5:$I$304,MATCH(I955,Inventory!$A$5:$A$304,0))*1,0),IFERROR(INDEX(Services!$G$5:$G$204,MATCH(I955,Services!$A$5:$A$204,0))*1,0))))</f>
        <v>0</v>
      </c>
      <c r="W955" s="26">
        <f>IF(B955="","",ROUND(T955*V955,2))</f>
        <v>0</v>
      </c>
      <c r="X955" s="26">
        <f>IF(B955="","",ROUND(IF(M955="",0,W955*M955)+IF(N955="",0,N955),2))</f>
        <v>0</v>
      </c>
      <c r="Y955" s="26">
        <f>IF(B955="","",ROUND(W955-X955-IF(P955="",0,P955),2))</f>
        <v>0</v>
      </c>
      <c r="Z955" s="26">
        <f>IF(B955="","",IF(H955="Retail",IF(TaxOnRetail="Yes",ROUND(Y955*TaxRate,2),0),IF(H955="Service",IF(TaxOnServices="Yes",ROUND(Y955*TaxRate,2),0),0)))</f>
        <v>0</v>
      </c>
      <c r="AA955" s="26">
        <f>IF(B955="","",ROUND(Y955+Z955,2))</f>
        <v>0</v>
      </c>
      <c r="AB955" s="26">
        <f>IF(B955="","",ROUND(T955*IF(H955="Retail",IFERROR(INDEX(Inventory!$H$5:$H$304,MATCH(I955,Inventory!$A$5:$A$304,0))*1,0),IFERROR(INDEX(Services!$Q$5:$Q$204,MATCH(I955,Services!$A$5:$A$204,0))*1,0)),2))</f>
        <v>0</v>
      </c>
      <c r="AC955" s="26">
        <f>IF(B955="","",ROUND(Y955-AB955,2))</f>
        <v>0</v>
      </c>
      <c r="AD955" s="38">
        <f>IF(B955="","",IF(C955="","No",IF(COUNTIFS($C$5:C955,C955)=1,"Yes","No")))</f>
        <v>0</v>
      </c>
      <c r="AE955" s="26">
        <f>IF(B955="","",ROUND(SUMIFS(Payments!$G$5:$G$1204,Payments!$H$5:$H$1204,A955,Payments!$Q$5:$Q$1204,"Yes"),2))</f>
        <v>0</v>
      </c>
      <c r="AF955" s="26">
        <f>IF(B955="","",IF(AD955="No",0,ROUND(SUMIFS(Payments!$G$5:$G$1204,Payments!$I$5:$I$1204,C955,Payments!$H$5:$H$1204,"",Payments!$Q$5:$Q$1204,"Yes"),2)))</f>
        <v>0</v>
      </c>
      <c r="AG955" s="26">
        <f>IF(B955="","",ROUND(AE955+AF955,2))</f>
        <v>0</v>
      </c>
      <c r="AH955" s="26">
        <f>IF(B955="","",ROUND(AA955-AG955,2))</f>
        <v>0</v>
      </c>
      <c r="AI955" s="39">
        <f>IF(B955="","",IF(AA955&lt;=0,"No charge",IF(AH955&lt;=0.004,"Paid",IF(AG955&lt;=0.004,"Unpaid","Part paid"))))</f>
        <v>0</v>
      </c>
      <c r="AJ955" s="38">
        <f>IF(B955="","",IF(H955&lt;&gt;"Service","",IF(D955="","No",IF(COUNTIFS($D$5:$D$1204,D955,$B$5:$B$1204,B955,$H$5:$H$1204,"Retail")&gt;0,"Yes","No"))))</f>
        <v>0</v>
      </c>
      <c r="AK955" s="25">
        <f>IF(B955="","",COUNTIFS($Y$5:$Y$1204,"&gt;"&amp;Y955)+COUNTIFS($Y$5:Y955,Y955))</f>
        <v>0</v>
      </c>
      <c r="AL955" s="39">
        <f>IF(B955="","",IF(H955="","Add - what kind of sale is this?",IF(IF(V955&lt;=0,P955="",FALSE),"Check - no price found for this item",IF(F955="","Assign - nobody credited",IF(AH955&gt;0.004,"Unpaid - balance outstanding",IF(AC955&lt;0,"Loss - sold below cost",IF(X955&gt;W955*0.5,"Check - more than half off","OK")))))))</f>
        <v>0</v>
      </c>
    </row>
    <row r="956" spans="1:38">
      <c r="A956" s="28">
        <f>IF(B956="","",SalePrefix&amp;TEXT(ROW()-4,"0000"))</f>
        <v>0</v>
      </c>
      <c r="E956" s="15">
        <f>IF(D956="","",IFERROR(INDEX(Clients!$B$5:$B$504,MATCH(D956,Clients!$A$5:$A$504,0)),"Walk-in"))</f>
        <v>0</v>
      </c>
      <c r="G956" s="15">
        <f>IF(F956="","",IFERROR(INDEX(Staff!$B$5:$B$44,MATCH(F956,Staff!$A$5:$A$44,0)),"House"))</f>
        <v>0</v>
      </c>
      <c r="R956" s="15">
        <f>IF(B956="","",TEXT(B956,"yyyy-mm"))</f>
        <v>0</v>
      </c>
      <c r="S956" s="25">
        <f>IF(B956="","",WEEKNUM(B956,2))</f>
        <v>0</v>
      </c>
      <c r="T956" s="37">
        <f>IF(B956="","",IF(K956="",1,K956))</f>
        <v>0</v>
      </c>
      <c r="U956" s="15">
        <f>IF(B956="","",IF(J956&lt;&gt;"",J956,IF(H956="Retail",IFERROR(INDEX(Inventory!$B$5:$B$304,MATCH(I956,Inventory!$A$5:$A$304,0))&amp;"","Not in Inventory"),IFERROR(INDEX(Services!$B$5:$B$204,MATCH(I956,Services!$A$5:$A$204,0))&amp;"","Not in Services"))))</f>
        <v>0</v>
      </c>
      <c r="V956" s="26">
        <f>IF(B956="","",IF(L956&lt;&gt;"",L956,IF(H956="Retail",IFERROR(INDEX(Inventory!$I$5:$I$304,MATCH(I956,Inventory!$A$5:$A$304,0))*1,0),IFERROR(INDEX(Services!$G$5:$G$204,MATCH(I956,Services!$A$5:$A$204,0))*1,0))))</f>
        <v>0</v>
      </c>
      <c r="W956" s="26">
        <f>IF(B956="","",ROUND(T956*V956,2))</f>
        <v>0</v>
      </c>
      <c r="X956" s="26">
        <f>IF(B956="","",ROUND(IF(M956="",0,W956*M956)+IF(N956="",0,N956),2))</f>
        <v>0</v>
      </c>
      <c r="Y956" s="26">
        <f>IF(B956="","",ROUND(W956-X956-IF(P956="",0,P956),2))</f>
        <v>0</v>
      </c>
      <c r="Z956" s="26">
        <f>IF(B956="","",IF(H956="Retail",IF(TaxOnRetail="Yes",ROUND(Y956*TaxRate,2),0),IF(H956="Service",IF(TaxOnServices="Yes",ROUND(Y956*TaxRate,2),0),0)))</f>
        <v>0</v>
      </c>
      <c r="AA956" s="26">
        <f>IF(B956="","",ROUND(Y956+Z956,2))</f>
        <v>0</v>
      </c>
      <c r="AB956" s="26">
        <f>IF(B956="","",ROUND(T956*IF(H956="Retail",IFERROR(INDEX(Inventory!$H$5:$H$304,MATCH(I956,Inventory!$A$5:$A$304,0))*1,0),IFERROR(INDEX(Services!$Q$5:$Q$204,MATCH(I956,Services!$A$5:$A$204,0))*1,0)),2))</f>
        <v>0</v>
      </c>
      <c r="AC956" s="26">
        <f>IF(B956="","",ROUND(Y956-AB956,2))</f>
        <v>0</v>
      </c>
      <c r="AD956" s="38">
        <f>IF(B956="","",IF(C956="","No",IF(COUNTIFS($C$5:C956,C956)=1,"Yes","No")))</f>
        <v>0</v>
      </c>
      <c r="AE956" s="26">
        <f>IF(B956="","",ROUND(SUMIFS(Payments!$G$5:$G$1204,Payments!$H$5:$H$1204,A956,Payments!$Q$5:$Q$1204,"Yes"),2))</f>
        <v>0</v>
      </c>
      <c r="AF956" s="26">
        <f>IF(B956="","",IF(AD956="No",0,ROUND(SUMIFS(Payments!$G$5:$G$1204,Payments!$I$5:$I$1204,C956,Payments!$H$5:$H$1204,"",Payments!$Q$5:$Q$1204,"Yes"),2)))</f>
        <v>0</v>
      </c>
      <c r="AG956" s="26">
        <f>IF(B956="","",ROUND(AE956+AF956,2))</f>
        <v>0</v>
      </c>
      <c r="AH956" s="26">
        <f>IF(B956="","",ROUND(AA956-AG956,2))</f>
        <v>0</v>
      </c>
      <c r="AI956" s="39">
        <f>IF(B956="","",IF(AA956&lt;=0,"No charge",IF(AH956&lt;=0.004,"Paid",IF(AG956&lt;=0.004,"Unpaid","Part paid"))))</f>
        <v>0</v>
      </c>
      <c r="AJ956" s="38">
        <f>IF(B956="","",IF(H956&lt;&gt;"Service","",IF(D956="","No",IF(COUNTIFS($D$5:$D$1204,D956,$B$5:$B$1204,B956,$H$5:$H$1204,"Retail")&gt;0,"Yes","No"))))</f>
        <v>0</v>
      </c>
      <c r="AK956" s="25">
        <f>IF(B956="","",COUNTIFS($Y$5:$Y$1204,"&gt;"&amp;Y956)+COUNTIFS($Y$5:Y956,Y956))</f>
        <v>0</v>
      </c>
      <c r="AL956" s="39">
        <f>IF(B956="","",IF(H956="","Add - what kind of sale is this?",IF(IF(V956&lt;=0,P956="",FALSE),"Check - no price found for this item",IF(F956="","Assign - nobody credited",IF(AH956&gt;0.004,"Unpaid - balance outstanding",IF(AC956&lt;0,"Loss - sold below cost",IF(X956&gt;W956*0.5,"Check - more than half off","OK")))))))</f>
        <v>0</v>
      </c>
    </row>
    <row r="957" spans="1:38">
      <c r="A957" s="28">
        <f>IF(B957="","",SalePrefix&amp;TEXT(ROW()-4,"0000"))</f>
        <v>0</v>
      </c>
      <c r="E957" s="15">
        <f>IF(D957="","",IFERROR(INDEX(Clients!$B$5:$B$504,MATCH(D957,Clients!$A$5:$A$504,0)),"Walk-in"))</f>
        <v>0</v>
      </c>
      <c r="G957" s="15">
        <f>IF(F957="","",IFERROR(INDEX(Staff!$B$5:$B$44,MATCH(F957,Staff!$A$5:$A$44,0)),"House"))</f>
        <v>0</v>
      </c>
      <c r="R957" s="15">
        <f>IF(B957="","",TEXT(B957,"yyyy-mm"))</f>
        <v>0</v>
      </c>
      <c r="S957" s="25">
        <f>IF(B957="","",WEEKNUM(B957,2))</f>
        <v>0</v>
      </c>
      <c r="T957" s="37">
        <f>IF(B957="","",IF(K957="",1,K957))</f>
        <v>0</v>
      </c>
      <c r="U957" s="15">
        <f>IF(B957="","",IF(J957&lt;&gt;"",J957,IF(H957="Retail",IFERROR(INDEX(Inventory!$B$5:$B$304,MATCH(I957,Inventory!$A$5:$A$304,0))&amp;"","Not in Inventory"),IFERROR(INDEX(Services!$B$5:$B$204,MATCH(I957,Services!$A$5:$A$204,0))&amp;"","Not in Services"))))</f>
        <v>0</v>
      </c>
      <c r="V957" s="26">
        <f>IF(B957="","",IF(L957&lt;&gt;"",L957,IF(H957="Retail",IFERROR(INDEX(Inventory!$I$5:$I$304,MATCH(I957,Inventory!$A$5:$A$304,0))*1,0),IFERROR(INDEX(Services!$G$5:$G$204,MATCH(I957,Services!$A$5:$A$204,0))*1,0))))</f>
        <v>0</v>
      </c>
      <c r="W957" s="26">
        <f>IF(B957="","",ROUND(T957*V957,2))</f>
        <v>0</v>
      </c>
      <c r="X957" s="26">
        <f>IF(B957="","",ROUND(IF(M957="",0,W957*M957)+IF(N957="",0,N957),2))</f>
        <v>0</v>
      </c>
      <c r="Y957" s="26">
        <f>IF(B957="","",ROUND(W957-X957-IF(P957="",0,P957),2))</f>
        <v>0</v>
      </c>
      <c r="Z957" s="26">
        <f>IF(B957="","",IF(H957="Retail",IF(TaxOnRetail="Yes",ROUND(Y957*TaxRate,2),0),IF(H957="Service",IF(TaxOnServices="Yes",ROUND(Y957*TaxRate,2),0),0)))</f>
        <v>0</v>
      </c>
      <c r="AA957" s="26">
        <f>IF(B957="","",ROUND(Y957+Z957,2))</f>
        <v>0</v>
      </c>
      <c r="AB957" s="26">
        <f>IF(B957="","",ROUND(T957*IF(H957="Retail",IFERROR(INDEX(Inventory!$H$5:$H$304,MATCH(I957,Inventory!$A$5:$A$304,0))*1,0),IFERROR(INDEX(Services!$Q$5:$Q$204,MATCH(I957,Services!$A$5:$A$204,0))*1,0)),2))</f>
        <v>0</v>
      </c>
      <c r="AC957" s="26">
        <f>IF(B957="","",ROUND(Y957-AB957,2))</f>
        <v>0</v>
      </c>
      <c r="AD957" s="38">
        <f>IF(B957="","",IF(C957="","No",IF(COUNTIFS($C$5:C957,C957)=1,"Yes","No")))</f>
        <v>0</v>
      </c>
      <c r="AE957" s="26">
        <f>IF(B957="","",ROUND(SUMIFS(Payments!$G$5:$G$1204,Payments!$H$5:$H$1204,A957,Payments!$Q$5:$Q$1204,"Yes"),2))</f>
        <v>0</v>
      </c>
      <c r="AF957" s="26">
        <f>IF(B957="","",IF(AD957="No",0,ROUND(SUMIFS(Payments!$G$5:$G$1204,Payments!$I$5:$I$1204,C957,Payments!$H$5:$H$1204,"",Payments!$Q$5:$Q$1204,"Yes"),2)))</f>
        <v>0</v>
      </c>
      <c r="AG957" s="26">
        <f>IF(B957="","",ROUND(AE957+AF957,2))</f>
        <v>0</v>
      </c>
      <c r="AH957" s="26">
        <f>IF(B957="","",ROUND(AA957-AG957,2))</f>
        <v>0</v>
      </c>
      <c r="AI957" s="39">
        <f>IF(B957="","",IF(AA957&lt;=0,"No charge",IF(AH957&lt;=0.004,"Paid",IF(AG957&lt;=0.004,"Unpaid","Part paid"))))</f>
        <v>0</v>
      </c>
      <c r="AJ957" s="38">
        <f>IF(B957="","",IF(H957&lt;&gt;"Service","",IF(D957="","No",IF(COUNTIFS($D$5:$D$1204,D957,$B$5:$B$1204,B957,$H$5:$H$1204,"Retail")&gt;0,"Yes","No"))))</f>
        <v>0</v>
      </c>
      <c r="AK957" s="25">
        <f>IF(B957="","",COUNTIFS($Y$5:$Y$1204,"&gt;"&amp;Y957)+COUNTIFS($Y$5:Y957,Y957))</f>
        <v>0</v>
      </c>
      <c r="AL957" s="39">
        <f>IF(B957="","",IF(H957="","Add - what kind of sale is this?",IF(IF(V957&lt;=0,P957="",FALSE),"Check - no price found for this item",IF(F957="","Assign - nobody credited",IF(AH957&gt;0.004,"Unpaid - balance outstanding",IF(AC957&lt;0,"Loss - sold below cost",IF(X957&gt;W957*0.5,"Check - more than half off","OK")))))))</f>
        <v>0</v>
      </c>
    </row>
    <row r="958" spans="1:38">
      <c r="A958" s="28">
        <f>IF(B958="","",SalePrefix&amp;TEXT(ROW()-4,"0000"))</f>
        <v>0</v>
      </c>
      <c r="E958" s="15">
        <f>IF(D958="","",IFERROR(INDEX(Clients!$B$5:$B$504,MATCH(D958,Clients!$A$5:$A$504,0)),"Walk-in"))</f>
        <v>0</v>
      </c>
      <c r="G958" s="15">
        <f>IF(F958="","",IFERROR(INDEX(Staff!$B$5:$B$44,MATCH(F958,Staff!$A$5:$A$44,0)),"House"))</f>
        <v>0</v>
      </c>
      <c r="R958" s="15">
        <f>IF(B958="","",TEXT(B958,"yyyy-mm"))</f>
        <v>0</v>
      </c>
      <c r="S958" s="25">
        <f>IF(B958="","",WEEKNUM(B958,2))</f>
        <v>0</v>
      </c>
      <c r="T958" s="37">
        <f>IF(B958="","",IF(K958="",1,K958))</f>
        <v>0</v>
      </c>
      <c r="U958" s="15">
        <f>IF(B958="","",IF(J958&lt;&gt;"",J958,IF(H958="Retail",IFERROR(INDEX(Inventory!$B$5:$B$304,MATCH(I958,Inventory!$A$5:$A$304,0))&amp;"","Not in Inventory"),IFERROR(INDEX(Services!$B$5:$B$204,MATCH(I958,Services!$A$5:$A$204,0))&amp;"","Not in Services"))))</f>
        <v>0</v>
      </c>
      <c r="V958" s="26">
        <f>IF(B958="","",IF(L958&lt;&gt;"",L958,IF(H958="Retail",IFERROR(INDEX(Inventory!$I$5:$I$304,MATCH(I958,Inventory!$A$5:$A$304,0))*1,0),IFERROR(INDEX(Services!$G$5:$G$204,MATCH(I958,Services!$A$5:$A$204,0))*1,0))))</f>
        <v>0</v>
      </c>
      <c r="W958" s="26">
        <f>IF(B958="","",ROUND(T958*V958,2))</f>
        <v>0</v>
      </c>
      <c r="X958" s="26">
        <f>IF(B958="","",ROUND(IF(M958="",0,W958*M958)+IF(N958="",0,N958),2))</f>
        <v>0</v>
      </c>
      <c r="Y958" s="26">
        <f>IF(B958="","",ROUND(W958-X958-IF(P958="",0,P958),2))</f>
        <v>0</v>
      </c>
      <c r="Z958" s="26">
        <f>IF(B958="","",IF(H958="Retail",IF(TaxOnRetail="Yes",ROUND(Y958*TaxRate,2),0),IF(H958="Service",IF(TaxOnServices="Yes",ROUND(Y958*TaxRate,2),0),0)))</f>
        <v>0</v>
      </c>
      <c r="AA958" s="26">
        <f>IF(B958="","",ROUND(Y958+Z958,2))</f>
        <v>0</v>
      </c>
      <c r="AB958" s="26">
        <f>IF(B958="","",ROUND(T958*IF(H958="Retail",IFERROR(INDEX(Inventory!$H$5:$H$304,MATCH(I958,Inventory!$A$5:$A$304,0))*1,0),IFERROR(INDEX(Services!$Q$5:$Q$204,MATCH(I958,Services!$A$5:$A$204,0))*1,0)),2))</f>
        <v>0</v>
      </c>
      <c r="AC958" s="26">
        <f>IF(B958="","",ROUND(Y958-AB958,2))</f>
        <v>0</v>
      </c>
      <c r="AD958" s="38">
        <f>IF(B958="","",IF(C958="","No",IF(COUNTIFS($C$5:C958,C958)=1,"Yes","No")))</f>
        <v>0</v>
      </c>
      <c r="AE958" s="26">
        <f>IF(B958="","",ROUND(SUMIFS(Payments!$G$5:$G$1204,Payments!$H$5:$H$1204,A958,Payments!$Q$5:$Q$1204,"Yes"),2))</f>
        <v>0</v>
      </c>
      <c r="AF958" s="26">
        <f>IF(B958="","",IF(AD958="No",0,ROUND(SUMIFS(Payments!$G$5:$G$1204,Payments!$I$5:$I$1204,C958,Payments!$H$5:$H$1204,"",Payments!$Q$5:$Q$1204,"Yes"),2)))</f>
        <v>0</v>
      </c>
      <c r="AG958" s="26">
        <f>IF(B958="","",ROUND(AE958+AF958,2))</f>
        <v>0</v>
      </c>
      <c r="AH958" s="26">
        <f>IF(B958="","",ROUND(AA958-AG958,2))</f>
        <v>0</v>
      </c>
      <c r="AI958" s="39">
        <f>IF(B958="","",IF(AA958&lt;=0,"No charge",IF(AH958&lt;=0.004,"Paid",IF(AG958&lt;=0.004,"Unpaid","Part paid"))))</f>
        <v>0</v>
      </c>
      <c r="AJ958" s="38">
        <f>IF(B958="","",IF(H958&lt;&gt;"Service","",IF(D958="","No",IF(COUNTIFS($D$5:$D$1204,D958,$B$5:$B$1204,B958,$H$5:$H$1204,"Retail")&gt;0,"Yes","No"))))</f>
        <v>0</v>
      </c>
      <c r="AK958" s="25">
        <f>IF(B958="","",COUNTIFS($Y$5:$Y$1204,"&gt;"&amp;Y958)+COUNTIFS($Y$5:Y958,Y958))</f>
        <v>0</v>
      </c>
      <c r="AL958" s="39">
        <f>IF(B958="","",IF(H958="","Add - what kind of sale is this?",IF(IF(V958&lt;=0,P958="",FALSE),"Check - no price found for this item",IF(F958="","Assign - nobody credited",IF(AH958&gt;0.004,"Unpaid - balance outstanding",IF(AC958&lt;0,"Loss - sold below cost",IF(X958&gt;W958*0.5,"Check - more than half off","OK")))))))</f>
        <v>0</v>
      </c>
    </row>
    <row r="959" spans="1:38">
      <c r="A959" s="28">
        <f>IF(B959="","",SalePrefix&amp;TEXT(ROW()-4,"0000"))</f>
        <v>0</v>
      </c>
      <c r="E959" s="15">
        <f>IF(D959="","",IFERROR(INDEX(Clients!$B$5:$B$504,MATCH(D959,Clients!$A$5:$A$504,0)),"Walk-in"))</f>
        <v>0</v>
      </c>
      <c r="G959" s="15">
        <f>IF(F959="","",IFERROR(INDEX(Staff!$B$5:$B$44,MATCH(F959,Staff!$A$5:$A$44,0)),"House"))</f>
        <v>0</v>
      </c>
      <c r="R959" s="15">
        <f>IF(B959="","",TEXT(B959,"yyyy-mm"))</f>
        <v>0</v>
      </c>
      <c r="S959" s="25">
        <f>IF(B959="","",WEEKNUM(B959,2))</f>
        <v>0</v>
      </c>
      <c r="T959" s="37">
        <f>IF(B959="","",IF(K959="",1,K959))</f>
        <v>0</v>
      </c>
      <c r="U959" s="15">
        <f>IF(B959="","",IF(J959&lt;&gt;"",J959,IF(H959="Retail",IFERROR(INDEX(Inventory!$B$5:$B$304,MATCH(I959,Inventory!$A$5:$A$304,0))&amp;"","Not in Inventory"),IFERROR(INDEX(Services!$B$5:$B$204,MATCH(I959,Services!$A$5:$A$204,0))&amp;"","Not in Services"))))</f>
        <v>0</v>
      </c>
      <c r="V959" s="26">
        <f>IF(B959="","",IF(L959&lt;&gt;"",L959,IF(H959="Retail",IFERROR(INDEX(Inventory!$I$5:$I$304,MATCH(I959,Inventory!$A$5:$A$304,0))*1,0),IFERROR(INDEX(Services!$G$5:$G$204,MATCH(I959,Services!$A$5:$A$204,0))*1,0))))</f>
        <v>0</v>
      </c>
      <c r="W959" s="26">
        <f>IF(B959="","",ROUND(T959*V959,2))</f>
        <v>0</v>
      </c>
      <c r="X959" s="26">
        <f>IF(B959="","",ROUND(IF(M959="",0,W959*M959)+IF(N959="",0,N959),2))</f>
        <v>0</v>
      </c>
      <c r="Y959" s="26">
        <f>IF(B959="","",ROUND(W959-X959-IF(P959="",0,P959),2))</f>
        <v>0</v>
      </c>
      <c r="Z959" s="26">
        <f>IF(B959="","",IF(H959="Retail",IF(TaxOnRetail="Yes",ROUND(Y959*TaxRate,2),0),IF(H959="Service",IF(TaxOnServices="Yes",ROUND(Y959*TaxRate,2),0),0)))</f>
        <v>0</v>
      </c>
      <c r="AA959" s="26">
        <f>IF(B959="","",ROUND(Y959+Z959,2))</f>
        <v>0</v>
      </c>
      <c r="AB959" s="26">
        <f>IF(B959="","",ROUND(T959*IF(H959="Retail",IFERROR(INDEX(Inventory!$H$5:$H$304,MATCH(I959,Inventory!$A$5:$A$304,0))*1,0),IFERROR(INDEX(Services!$Q$5:$Q$204,MATCH(I959,Services!$A$5:$A$204,0))*1,0)),2))</f>
        <v>0</v>
      </c>
      <c r="AC959" s="26">
        <f>IF(B959="","",ROUND(Y959-AB959,2))</f>
        <v>0</v>
      </c>
      <c r="AD959" s="38">
        <f>IF(B959="","",IF(C959="","No",IF(COUNTIFS($C$5:C959,C959)=1,"Yes","No")))</f>
        <v>0</v>
      </c>
      <c r="AE959" s="26">
        <f>IF(B959="","",ROUND(SUMIFS(Payments!$G$5:$G$1204,Payments!$H$5:$H$1204,A959,Payments!$Q$5:$Q$1204,"Yes"),2))</f>
        <v>0</v>
      </c>
      <c r="AF959" s="26">
        <f>IF(B959="","",IF(AD959="No",0,ROUND(SUMIFS(Payments!$G$5:$G$1204,Payments!$I$5:$I$1204,C959,Payments!$H$5:$H$1204,"",Payments!$Q$5:$Q$1204,"Yes"),2)))</f>
        <v>0</v>
      </c>
      <c r="AG959" s="26">
        <f>IF(B959="","",ROUND(AE959+AF959,2))</f>
        <v>0</v>
      </c>
      <c r="AH959" s="26">
        <f>IF(B959="","",ROUND(AA959-AG959,2))</f>
        <v>0</v>
      </c>
      <c r="AI959" s="39">
        <f>IF(B959="","",IF(AA959&lt;=0,"No charge",IF(AH959&lt;=0.004,"Paid",IF(AG959&lt;=0.004,"Unpaid","Part paid"))))</f>
        <v>0</v>
      </c>
      <c r="AJ959" s="38">
        <f>IF(B959="","",IF(H959&lt;&gt;"Service","",IF(D959="","No",IF(COUNTIFS($D$5:$D$1204,D959,$B$5:$B$1204,B959,$H$5:$H$1204,"Retail")&gt;0,"Yes","No"))))</f>
        <v>0</v>
      </c>
      <c r="AK959" s="25">
        <f>IF(B959="","",COUNTIFS($Y$5:$Y$1204,"&gt;"&amp;Y959)+COUNTIFS($Y$5:Y959,Y959))</f>
        <v>0</v>
      </c>
      <c r="AL959" s="39">
        <f>IF(B959="","",IF(H959="","Add - what kind of sale is this?",IF(IF(V959&lt;=0,P959="",FALSE),"Check - no price found for this item",IF(F959="","Assign - nobody credited",IF(AH959&gt;0.004,"Unpaid - balance outstanding",IF(AC959&lt;0,"Loss - sold below cost",IF(X959&gt;W959*0.5,"Check - more than half off","OK")))))))</f>
        <v>0</v>
      </c>
    </row>
    <row r="960" spans="1:38">
      <c r="A960" s="28">
        <f>IF(B960="","",SalePrefix&amp;TEXT(ROW()-4,"0000"))</f>
        <v>0</v>
      </c>
      <c r="E960" s="15">
        <f>IF(D960="","",IFERROR(INDEX(Clients!$B$5:$B$504,MATCH(D960,Clients!$A$5:$A$504,0)),"Walk-in"))</f>
        <v>0</v>
      </c>
      <c r="G960" s="15">
        <f>IF(F960="","",IFERROR(INDEX(Staff!$B$5:$B$44,MATCH(F960,Staff!$A$5:$A$44,0)),"House"))</f>
        <v>0</v>
      </c>
      <c r="R960" s="15">
        <f>IF(B960="","",TEXT(B960,"yyyy-mm"))</f>
        <v>0</v>
      </c>
      <c r="S960" s="25">
        <f>IF(B960="","",WEEKNUM(B960,2))</f>
        <v>0</v>
      </c>
      <c r="T960" s="37">
        <f>IF(B960="","",IF(K960="",1,K960))</f>
        <v>0</v>
      </c>
      <c r="U960" s="15">
        <f>IF(B960="","",IF(J960&lt;&gt;"",J960,IF(H960="Retail",IFERROR(INDEX(Inventory!$B$5:$B$304,MATCH(I960,Inventory!$A$5:$A$304,0))&amp;"","Not in Inventory"),IFERROR(INDEX(Services!$B$5:$B$204,MATCH(I960,Services!$A$5:$A$204,0))&amp;"","Not in Services"))))</f>
        <v>0</v>
      </c>
      <c r="V960" s="26">
        <f>IF(B960="","",IF(L960&lt;&gt;"",L960,IF(H960="Retail",IFERROR(INDEX(Inventory!$I$5:$I$304,MATCH(I960,Inventory!$A$5:$A$304,0))*1,0),IFERROR(INDEX(Services!$G$5:$G$204,MATCH(I960,Services!$A$5:$A$204,0))*1,0))))</f>
        <v>0</v>
      </c>
      <c r="W960" s="26">
        <f>IF(B960="","",ROUND(T960*V960,2))</f>
        <v>0</v>
      </c>
      <c r="X960" s="26">
        <f>IF(B960="","",ROUND(IF(M960="",0,W960*M960)+IF(N960="",0,N960),2))</f>
        <v>0</v>
      </c>
      <c r="Y960" s="26">
        <f>IF(B960="","",ROUND(W960-X960-IF(P960="",0,P960),2))</f>
        <v>0</v>
      </c>
      <c r="Z960" s="26">
        <f>IF(B960="","",IF(H960="Retail",IF(TaxOnRetail="Yes",ROUND(Y960*TaxRate,2),0),IF(H960="Service",IF(TaxOnServices="Yes",ROUND(Y960*TaxRate,2),0),0)))</f>
        <v>0</v>
      </c>
      <c r="AA960" s="26">
        <f>IF(B960="","",ROUND(Y960+Z960,2))</f>
        <v>0</v>
      </c>
      <c r="AB960" s="26">
        <f>IF(B960="","",ROUND(T960*IF(H960="Retail",IFERROR(INDEX(Inventory!$H$5:$H$304,MATCH(I960,Inventory!$A$5:$A$304,0))*1,0),IFERROR(INDEX(Services!$Q$5:$Q$204,MATCH(I960,Services!$A$5:$A$204,0))*1,0)),2))</f>
        <v>0</v>
      </c>
      <c r="AC960" s="26">
        <f>IF(B960="","",ROUND(Y960-AB960,2))</f>
        <v>0</v>
      </c>
      <c r="AD960" s="38">
        <f>IF(B960="","",IF(C960="","No",IF(COUNTIFS($C$5:C960,C960)=1,"Yes","No")))</f>
        <v>0</v>
      </c>
      <c r="AE960" s="26">
        <f>IF(B960="","",ROUND(SUMIFS(Payments!$G$5:$G$1204,Payments!$H$5:$H$1204,A960,Payments!$Q$5:$Q$1204,"Yes"),2))</f>
        <v>0</v>
      </c>
      <c r="AF960" s="26">
        <f>IF(B960="","",IF(AD960="No",0,ROUND(SUMIFS(Payments!$G$5:$G$1204,Payments!$I$5:$I$1204,C960,Payments!$H$5:$H$1204,"",Payments!$Q$5:$Q$1204,"Yes"),2)))</f>
        <v>0</v>
      </c>
      <c r="AG960" s="26">
        <f>IF(B960="","",ROUND(AE960+AF960,2))</f>
        <v>0</v>
      </c>
      <c r="AH960" s="26">
        <f>IF(B960="","",ROUND(AA960-AG960,2))</f>
        <v>0</v>
      </c>
      <c r="AI960" s="39">
        <f>IF(B960="","",IF(AA960&lt;=0,"No charge",IF(AH960&lt;=0.004,"Paid",IF(AG960&lt;=0.004,"Unpaid","Part paid"))))</f>
        <v>0</v>
      </c>
      <c r="AJ960" s="38">
        <f>IF(B960="","",IF(H960&lt;&gt;"Service","",IF(D960="","No",IF(COUNTIFS($D$5:$D$1204,D960,$B$5:$B$1204,B960,$H$5:$H$1204,"Retail")&gt;0,"Yes","No"))))</f>
        <v>0</v>
      </c>
      <c r="AK960" s="25">
        <f>IF(B960="","",COUNTIFS($Y$5:$Y$1204,"&gt;"&amp;Y960)+COUNTIFS($Y$5:Y960,Y960))</f>
        <v>0</v>
      </c>
      <c r="AL960" s="39">
        <f>IF(B960="","",IF(H960="","Add - what kind of sale is this?",IF(IF(V960&lt;=0,P960="",FALSE),"Check - no price found for this item",IF(F960="","Assign - nobody credited",IF(AH960&gt;0.004,"Unpaid - balance outstanding",IF(AC960&lt;0,"Loss - sold below cost",IF(X960&gt;W960*0.5,"Check - more than half off","OK")))))))</f>
        <v>0</v>
      </c>
    </row>
    <row r="961" spans="1:38">
      <c r="A961" s="28">
        <f>IF(B961="","",SalePrefix&amp;TEXT(ROW()-4,"0000"))</f>
        <v>0</v>
      </c>
      <c r="E961" s="15">
        <f>IF(D961="","",IFERROR(INDEX(Clients!$B$5:$B$504,MATCH(D961,Clients!$A$5:$A$504,0)),"Walk-in"))</f>
        <v>0</v>
      </c>
      <c r="G961" s="15">
        <f>IF(F961="","",IFERROR(INDEX(Staff!$B$5:$B$44,MATCH(F961,Staff!$A$5:$A$44,0)),"House"))</f>
        <v>0</v>
      </c>
      <c r="R961" s="15">
        <f>IF(B961="","",TEXT(B961,"yyyy-mm"))</f>
        <v>0</v>
      </c>
      <c r="S961" s="25">
        <f>IF(B961="","",WEEKNUM(B961,2))</f>
        <v>0</v>
      </c>
      <c r="T961" s="37">
        <f>IF(B961="","",IF(K961="",1,K961))</f>
        <v>0</v>
      </c>
      <c r="U961" s="15">
        <f>IF(B961="","",IF(J961&lt;&gt;"",J961,IF(H961="Retail",IFERROR(INDEX(Inventory!$B$5:$B$304,MATCH(I961,Inventory!$A$5:$A$304,0))&amp;"","Not in Inventory"),IFERROR(INDEX(Services!$B$5:$B$204,MATCH(I961,Services!$A$5:$A$204,0))&amp;"","Not in Services"))))</f>
        <v>0</v>
      </c>
      <c r="V961" s="26">
        <f>IF(B961="","",IF(L961&lt;&gt;"",L961,IF(H961="Retail",IFERROR(INDEX(Inventory!$I$5:$I$304,MATCH(I961,Inventory!$A$5:$A$304,0))*1,0),IFERROR(INDEX(Services!$G$5:$G$204,MATCH(I961,Services!$A$5:$A$204,0))*1,0))))</f>
        <v>0</v>
      </c>
      <c r="W961" s="26">
        <f>IF(B961="","",ROUND(T961*V961,2))</f>
        <v>0</v>
      </c>
      <c r="X961" s="26">
        <f>IF(B961="","",ROUND(IF(M961="",0,W961*M961)+IF(N961="",0,N961),2))</f>
        <v>0</v>
      </c>
      <c r="Y961" s="26">
        <f>IF(B961="","",ROUND(W961-X961-IF(P961="",0,P961),2))</f>
        <v>0</v>
      </c>
      <c r="Z961" s="26">
        <f>IF(B961="","",IF(H961="Retail",IF(TaxOnRetail="Yes",ROUND(Y961*TaxRate,2),0),IF(H961="Service",IF(TaxOnServices="Yes",ROUND(Y961*TaxRate,2),0),0)))</f>
        <v>0</v>
      </c>
      <c r="AA961" s="26">
        <f>IF(B961="","",ROUND(Y961+Z961,2))</f>
        <v>0</v>
      </c>
      <c r="AB961" s="26">
        <f>IF(B961="","",ROUND(T961*IF(H961="Retail",IFERROR(INDEX(Inventory!$H$5:$H$304,MATCH(I961,Inventory!$A$5:$A$304,0))*1,0),IFERROR(INDEX(Services!$Q$5:$Q$204,MATCH(I961,Services!$A$5:$A$204,0))*1,0)),2))</f>
        <v>0</v>
      </c>
      <c r="AC961" s="26">
        <f>IF(B961="","",ROUND(Y961-AB961,2))</f>
        <v>0</v>
      </c>
      <c r="AD961" s="38">
        <f>IF(B961="","",IF(C961="","No",IF(COUNTIFS($C$5:C961,C961)=1,"Yes","No")))</f>
        <v>0</v>
      </c>
      <c r="AE961" s="26">
        <f>IF(B961="","",ROUND(SUMIFS(Payments!$G$5:$G$1204,Payments!$H$5:$H$1204,A961,Payments!$Q$5:$Q$1204,"Yes"),2))</f>
        <v>0</v>
      </c>
      <c r="AF961" s="26">
        <f>IF(B961="","",IF(AD961="No",0,ROUND(SUMIFS(Payments!$G$5:$G$1204,Payments!$I$5:$I$1204,C961,Payments!$H$5:$H$1204,"",Payments!$Q$5:$Q$1204,"Yes"),2)))</f>
        <v>0</v>
      </c>
      <c r="AG961" s="26">
        <f>IF(B961="","",ROUND(AE961+AF961,2))</f>
        <v>0</v>
      </c>
      <c r="AH961" s="26">
        <f>IF(B961="","",ROUND(AA961-AG961,2))</f>
        <v>0</v>
      </c>
      <c r="AI961" s="39">
        <f>IF(B961="","",IF(AA961&lt;=0,"No charge",IF(AH961&lt;=0.004,"Paid",IF(AG961&lt;=0.004,"Unpaid","Part paid"))))</f>
        <v>0</v>
      </c>
      <c r="AJ961" s="38">
        <f>IF(B961="","",IF(H961&lt;&gt;"Service","",IF(D961="","No",IF(COUNTIFS($D$5:$D$1204,D961,$B$5:$B$1204,B961,$H$5:$H$1204,"Retail")&gt;0,"Yes","No"))))</f>
        <v>0</v>
      </c>
      <c r="AK961" s="25">
        <f>IF(B961="","",COUNTIFS($Y$5:$Y$1204,"&gt;"&amp;Y961)+COUNTIFS($Y$5:Y961,Y961))</f>
        <v>0</v>
      </c>
      <c r="AL961" s="39">
        <f>IF(B961="","",IF(H961="","Add - what kind of sale is this?",IF(IF(V961&lt;=0,P961="",FALSE),"Check - no price found for this item",IF(F961="","Assign - nobody credited",IF(AH961&gt;0.004,"Unpaid - balance outstanding",IF(AC961&lt;0,"Loss - sold below cost",IF(X961&gt;W961*0.5,"Check - more than half off","OK")))))))</f>
        <v>0</v>
      </c>
    </row>
    <row r="962" spans="1:38">
      <c r="A962" s="28">
        <f>IF(B962="","",SalePrefix&amp;TEXT(ROW()-4,"0000"))</f>
        <v>0</v>
      </c>
      <c r="E962" s="15">
        <f>IF(D962="","",IFERROR(INDEX(Clients!$B$5:$B$504,MATCH(D962,Clients!$A$5:$A$504,0)),"Walk-in"))</f>
        <v>0</v>
      </c>
      <c r="G962" s="15">
        <f>IF(F962="","",IFERROR(INDEX(Staff!$B$5:$B$44,MATCH(F962,Staff!$A$5:$A$44,0)),"House"))</f>
        <v>0</v>
      </c>
      <c r="R962" s="15">
        <f>IF(B962="","",TEXT(B962,"yyyy-mm"))</f>
        <v>0</v>
      </c>
      <c r="S962" s="25">
        <f>IF(B962="","",WEEKNUM(B962,2))</f>
        <v>0</v>
      </c>
      <c r="T962" s="37">
        <f>IF(B962="","",IF(K962="",1,K962))</f>
        <v>0</v>
      </c>
      <c r="U962" s="15">
        <f>IF(B962="","",IF(J962&lt;&gt;"",J962,IF(H962="Retail",IFERROR(INDEX(Inventory!$B$5:$B$304,MATCH(I962,Inventory!$A$5:$A$304,0))&amp;"","Not in Inventory"),IFERROR(INDEX(Services!$B$5:$B$204,MATCH(I962,Services!$A$5:$A$204,0))&amp;"","Not in Services"))))</f>
        <v>0</v>
      </c>
      <c r="V962" s="26">
        <f>IF(B962="","",IF(L962&lt;&gt;"",L962,IF(H962="Retail",IFERROR(INDEX(Inventory!$I$5:$I$304,MATCH(I962,Inventory!$A$5:$A$304,0))*1,0),IFERROR(INDEX(Services!$G$5:$G$204,MATCH(I962,Services!$A$5:$A$204,0))*1,0))))</f>
        <v>0</v>
      </c>
      <c r="W962" s="26">
        <f>IF(B962="","",ROUND(T962*V962,2))</f>
        <v>0</v>
      </c>
      <c r="X962" s="26">
        <f>IF(B962="","",ROUND(IF(M962="",0,W962*M962)+IF(N962="",0,N962),2))</f>
        <v>0</v>
      </c>
      <c r="Y962" s="26">
        <f>IF(B962="","",ROUND(W962-X962-IF(P962="",0,P962),2))</f>
        <v>0</v>
      </c>
      <c r="Z962" s="26">
        <f>IF(B962="","",IF(H962="Retail",IF(TaxOnRetail="Yes",ROUND(Y962*TaxRate,2),0),IF(H962="Service",IF(TaxOnServices="Yes",ROUND(Y962*TaxRate,2),0),0)))</f>
        <v>0</v>
      </c>
      <c r="AA962" s="26">
        <f>IF(B962="","",ROUND(Y962+Z962,2))</f>
        <v>0</v>
      </c>
      <c r="AB962" s="26">
        <f>IF(B962="","",ROUND(T962*IF(H962="Retail",IFERROR(INDEX(Inventory!$H$5:$H$304,MATCH(I962,Inventory!$A$5:$A$304,0))*1,0),IFERROR(INDEX(Services!$Q$5:$Q$204,MATCH(I962,Services!$A$5:$A$204,0))*1,0)),2))</f>
        <v>0</v>
      </c>
      <c r="AC962" s="26">
        <f>IF(B962="","",ROUND(Y962-AB962,2))</f>
        <v>0</v>
      </c>
      <c r="AD962" s="38">
        <f>IF(B962="","",IF(C962="","No",IF(COUNTIFS($C$5:C962,C962)=1,"Yes","No")))</f>
        <v>0</v>
      </c>
      <c r="AE962" s="26">
        <f>IF(B962="","",ROUND(SUMIFS(Payments!$G$5:$G$1204,Payments!$H$5:$H$1204,A962,Payments!$Q$5:$Q$1204,"Yes"),2))</f>
        <v>0</v>
      </c>
      <c r="AF962" s="26">
        <f>IF(B962="","",IF(AD962="No",0,ROUND(SUMIFS(Payments!$G$5:$G$1204,Payments!$I$5:$I$1204,C962,Payments!$H$5:$H$1204,"",Payments!$Q$5:$Q$1204,"Yes"),2)))</f>
        <v>0</v>
      </c>
      <c r="AG962" s="26">
        <f>IF(B962="","",ROUND(AE962+AF962,2))</f>
        <v>0</v>
      </c>
      <c r="AH962" s="26">
        <f>IF(B962="","",ROUND(AA962-AG962,2))</f>
        <v>0</v>
      </c>
      <c r="AI962" s="39">
        <f>IF(B962="","",IF(AA962&lt;=0,"No charge",IF(AH962&lt;=0.004,"Paid",IF(AG962&lt;=0.004,"Unpaid","Part paid"))))</f>
        <v>0</v>
      </c>
      <c r="AJ962" s="38">
        <f>IF(B962="","",IF(H962&lt;&gt;"Service","",IF(D962="","No",IF(COUNTIFS($D$5:$D$1204,D962,$B$5:$B$1204,B962,$H$5:$H$1204,"Retail")&gt;0,"Yes","No"))))</f>
        <v>0</v>
      </c>
      <c r="AK962" s="25">
        <f>IF(B962="","",COUNTIFS($Y$5:$Y$1204,"&gt;"&amp;Y962)+COUNTIFS($Y$5:Y962,Y962))</f>
        <v>0</v>
      </c>
      <c r="AL962" s="39">
        <f>IF(B962="","",IF(H962="","Add - what kind of sale is this?",IF(IF(V962&lt;=0,P962="",FALSE),"Check - no price found for this item",IF(F962="","Assign - nobody credited",IF(AH962&gt;0.004,"Unpaid - balance outstanding",IF(AC962&lt;0,"Loss - sold below cost",IF(X962&gt;W962*0.5,"Check - more than half off","OK")))))))</f>
        <v>0</v>
      </c>
    </row>
    <row r="963" spans="1:38">
      <c r="A963" s="28">
        <f>IF(B963="","",SalePrefix&amp;TEXT(ROW()-4,"0000"))</f>
        <v>0</v>
      </c>
      <c r="E963" s="15">
        <f>IF(D963="","",IFERROR(INDEX(Clients!$B$5:$B$504,MATCH(D963,Clients!$A$5:$A$504,0)),"Walk-in"))</f>
        <v>0</v>
      </c>
      <c r="G963" s="15">
        <f>IF(F963="","",IFERROR(INDEX(Staff!$B$5:$B$44,MATCH(F963,Staff!$A$5:$A$44,0)),"House"))</f>
        <v>0</v>
      </c>
      <c r="R963" s="15">
        <f>IF(B963="","",TEXT(B963,"yyyy-mm"))</f>
        <v>0</v>
      </c>
      <c r="S963" s="25">
        <f>IF(B963="","",WEEKNUM(B963,2))</f>
        <v>0</v>
      </c>
      <c r="T963" s="37">
        <f>IF(B963="","",IF(K963="",1,K963))</f>
        <v>0</v>
      </c>
      <c r="U963" s="15">
        <f>IF(B963="","",IF(J963&lt;&gt;"",J963,IF(H963="Retail",IFERROR(INDEX(Inventory!$B$5:$B$304,MATCH(I963,Inventory!$A$5:$A$304,0))&amp;"","Not in Inventory"),IFERROR(INDEX(Services!$B$5:$B$204,MATCH(I963,Services!$A$5:$A$204,0))&amp;"","Not in Services"))))</f>
        <v>0</v>
      </c>
      <c r="V963" s="26">
        <f>IF(B963="","",IF(L963&lt;&gt;"",L963,IF(H963="Retail",IFERROR(INDEX(Inventory!$I$5:$I$304,MATCH(I963,Inventory!$A$5:$A$304,0))*1,0),IFERROR(INDEX(Services!$G$5:$G$204,MATCH(I963,Services!$A$5:$A$204,0))*1,0))))</f>
        <v>0</v>
      </c>
      <c r="W963" s="26">
        <f>IF(B963="","",ROUND(T963*V963,2))</f>
        <v>0</v>
      </c>
      <c r="X963" s="26">
        <f>IF(B963="","",ROUND(IF(M963="",0,W963*M963)+IF(N963="",0,N963),2))</f>
        <v>0</v>
      </c>
      <c r="Y963" s="26">
        <f>IF(B963="","",ROUND(W963-X963-IF(P963="",0,P963),2))</f>
        <v>0</v>
      </c>
      <c r="Z963" s="26">
        <f>IF(B963="","",IF(H963="Retail",IF(TaxOnRetail="Yes",ROUND(Y963*TaxRate,2),0),IF(H963="Service",IF(TaxOnServices="Yes",ROUND(Y963*TaxRate,2),0),0)))</f>
        <v>0</v>
      </c>
      <c r="AA963" s="26">
        <f>IF(B963="","",ROUND(Y963+Z963,2))</f>
        <v>0</v>
      </c>
      <c r="AB963" s="26">
        <f>IF(B963="","",ROUND(T963*IF(H963="Retail",IFERROR(INDEX(Inventory!$H$5:$H$304,MATCH(I963,Inventory!$A$5:$A$304,0))*1,0),IFERROR(INDEX(Services!$Q$5:$Q$204,MATCH(I963,Services!$A$5:$A$204,0))*1,0)),2))</f>
        <v>0</v>
      </c>
      <c r="AC963" s="26">
        <f>IF(B963="","",ROUND(Y963-AB963,2))</f>
        <v>0</v>
      </c>
      <c r="AD963" s="38">
        <f>IF(B963="","",IF(C963="","No",IF(COUNTIFS($C$5:C963,C963)=1,"Yes","No")))</f>
        <v>0</v>
      </c>
      <c r="AE963" s="26">
        <f>IF(B963="","",ROUND(SUMIFS(Payments!$G$5:$G$1204,Payments!$H$5:$H$1204,A963,Payments!$Q$5:$Q$1204,"Yes"),2))</f>
        <v>0</v>
      </c>
      <c r="AF963" s="26">
        <f>IF(B963="","",IF(AD963="No",0,ROUND(SUMIFS(Payments!$G$5:$G$1204,Payments!$I$5:$I$1204,C963,Payments!$H$5:$H$1204,"",Payments!$Q$5:$Q$1204,"Yes"),2)))</f>
        <v>0</v>
      </c>
      <c r="AG963" s="26">
        <f>IF(B963="","",ROUND(AE963+AF963,2))</f>
        <v>0</v>
      </c>
      <c r="AH963" s="26">
        <f>IF(B963="","",ROUND(AA963-AG963,2))</f>
        <v>0</v>
      </c>
      <c r="AI963" s="39">
        <f>IF(B963="","",IF(AA963&lt;=0,"No charge",IF(AH963&lt;=0.004,"Paid",IF(AG963&lt;=0.004,"Unpaid","Part paid"))))</f>
        <v>0</v>
      </c>
      <c r="AJ963" s="38">
        <f>IF(B963="","",IF(H963&lt;&gt;"Service","",IF(D963="","No",IF(COUNTIFS($D$5:$D$1204,D963,$B$5:$B$1204,B963,$H$5:$H$1204,"Retail")&gt;0,"Yes","No"))))</f>
        <v>0</v>
      </c>
      <c r="AK963" s="25">
        <f>IF(B963="","",COUNTIFS($Y$5:$Y$1204,"&gt;"&amp;Y963)+COUNTIFS($Y$5:Y963,Y963))</f>
        <v>0</v>
      </c>
      <c r="AL963" s="39">
        <f>IF(B963="","",IF(H963="","Add - what kind of sale is this?",IF(IF(V963&lt;=0,P963="",FALSE),"Check - no price found for this item",IF(F963="","Assign - nobody credited",IF(AH963&gt;0.004,"Unpaid - balance outstanding",IF(AC963&lt;0,"Loss - sold below cost",IF(X963&gt;W963*0.5,"Check - more than half off","OK")))))))</f>
        <v>0</v>
      </c>
    </row>
    <row r="964" spans="1:38">
      <c r="A964" s="28">
        <f>IF(B964="","",SalePrefix&amp;TEXT(ROW()-4,"0000"))</f>
        <v>0</v>
      </c>
      <c r="E964" s="15">
        <f>IF(D964="","",IFERROR(INDEX(Clients!$B$5:$B$504,MATCH(D964,Clients!$A$5:$A$504,0)),"Walk-in"))</f>
        <v>0</v>
      </c>
      <c r="G964" s="15">
        <f>IF(F964="","",IFERROR(INDEX(Staff!$B$5:$B$44,MATCH(F964,Staff!$A$5:$A$44,0)),"House"))</f>
        <v>0</v>
      </c>
      <c r="R964" s="15">
        <f>IF(B964="","",TEXT(B964,"yyyy-mm"))</f>
        <v>0</v>
      </c>
      <c r="S964" s="25">
        <f>IF(B964="","",WEEKNUM(B964,2))</f>
        <v>0</v>
      </c>
      <c r="T964" s="37">
        <f>IF(B964="","",IF(K964="",1,K964))</f>
        <v>0</v>
      </c>
      <c r="U964" s="15">
        <f>IF(B964="","",IF(J964&lt;&gt;"",J964,IF(H964="Retail",IFERROR(INDEX(Inventory!$B$5:$B$304,MATCH(I964,Inventory!$A$5:$A$304,0))&amp;"","Not in Inventory"),IFERROR(INDEX(Services!$B$5:$B$204,MATCH(I964,Services!$A$5:$A$204,0))&amp;"","Not in Services"))))</f>
        <v>0</v>
      </c>
      <c r="V964" s="26">
        <f>IF(B964="","",IF(L964&lt;&gt;"",L964,IF(H964="Retail",IFERROR(INDEX(Inventory!$I$5:$I$304,MATCH(I964,Inventory!$A$5:$A$304,0))*1,0),IFERROR(INDEX(Services!$G$5:$G$204,MATCH(I964,Services!$A$5:$A$204,0))*1,0))))</f>
        <v>0</v>
      </c>
      <c r="W964" s="26">
        <f>IF(B964="","",ROUND(T964*V964,2))</f>
        <v>0</v>
      </c>
      <c r="X964" s="26">
        <f>IF(B964="","",ROUND(IF(M964="",0,W964*M964)+IF(N964="",0,N964),2))</f>
        <v>0</v>
      </c>
      <c r="Y964" s="26">
        <f>IF(B964="","",ROUND(W964-X964-IF(P964="",0,P964),2))</f>
        <v>0</v>
      </c>
      <c r="Z964" s="26">
        <f>IF(B964="","",IF(H964="Retail",IF(TaxOnRetail="Yes",ROUND(Y964*TaxRate,2),0),IF(H964="Service",IF(TaxOnServices="Yes",ROUND(Y964*TaxRate,2),0),0)))</f>
        <v>0</v>
      </c>
      <c r="AA964" s="26">
        <f>IF(B964="","",ROUND(Y964+Z964,2))</f>
        <v>0</v>
      </c>
      <c r="AB964" s="26">
        <f>IF(B964="","",ROUND(T964*IF(H964="Retail",IFERROR(INDEX(Inventory!$H$5:$H$304,MATCH(I964,Inventory!$A$5:$A$304,0))*1,0),IFERROR(INDEX(Services!$Q$5:$Q$204,MATCH(I964,Services!$A$5:$A$204,0))*1,0)),2))</f>
        <v>0</v>
      </c>
      <c r="AC964" s="26">
        <f>IF(B964="","",ROUND(Y964-AB964,2))</f>
        <v>0</v>
      </c>
      <c r="AD964" s="38">
        <f>IF(B964="","",IF(C964="","No",IF(COUNTIFS($C$5:C964,C964)=1,"Yes","No")))</f>
        <v>0</v>
      </c>
      <c r="AE964" s="26">
        <f>IF(B964="","",ROUND(SUMIFS(Payments!$G$5:$G$1204,Payments!$H$5:$H$1204,A964,Payments!$Q$5:$Q$1204,"Yes"),2))</f>
        <v>0</v>
      </c>
      <c r="AF964" s="26">
        <f>IF(B964="","",IF(AD964="No",0,ROUND(SUMIFS(Payments!$G$5:$G$1204,Payments!$I$5:$I$1204,C964,Payments!$H$5:$H$1204,"",Payments!$Q$5:$Q$1204,"Yes"),2)))</f>
        <v>0</v>
      </c>
      <c r="AG964" s="26">
        <f>IF(B964="","",ROUND(AE964+AF964,2))</f>
        <v>0</v>
      </c>
      <c r="AH964" s="26">
        <f>IF(B964="","",ROUND(AA964-AG964,2))</f>
        <v>0</v>
      </c>
      <c r="AI964" s="39">
        <f>IF(B964="","",IF(AA964&lt;=0,"No charge",IF(AH964&lt;=0.004,"Paid",IF(AG964&lt;=0.004,"Unpaid","Part paid"))))</f>
        <v>0</v>
      </c>
      <c r="AJ964" s="38">
        <f>IF(B964="","",IF(H964&lt;&gt;"Service","",IF(D964="","No",IF(COUNTIFS($D$5:$D$1204,D964,$B$5:$B$1204,B964,$H$5:$H$1204,"Retail")&gt;0,"Yes","No"))))</f>
        <v>0</v>
      </c>
      <c r="AK964" s="25">
        <f>IF(B964="","",COUNTIFS($Y$5:$Y$1204,"&gt;"&amp;Y964)+COUNTIFS($Y$5:Y964,Y964))</f>
        <v>0</v>
      </c>
      <c r="AL964" s="39">
        <f>IF(B964="","",IF(H964="","Add - what kind of sale is this?",IF(IF(V964&lt;=0,P964="",FALSE),"Check - no price found for this item",IF(F964="","Assign - nobody credited",IF(AH964&gt;0.004,"Unpaid - balance outstanding",IF(AC964&lt;0,"Loss - sold below cost",IF(X964&gt;W964*0.5,"Check - more than half off","OK")))))))</f>
        <v>0</v>
      </c>
    </row>
    <row r="965" spans="1:38">
      <c r="A965" s="28">
        <f>IF(B965="","",SalePrefix&amp;TEXT(ROW()-4,"0000"))</f>
        <v>0</v>
      </c>
      <c r="E965" s="15">
        <f>IF(D965="","",IFERROR(INDEX(Clients!$B$5:$B$504,MATCH(D965,Clients!$A$5:$A$504,0)),"Walk-in"))</f>
        <v>0</v>
      </c>
      <c r="G965" s="15">
        <f>IF(F965="","",IFERROR(INDEX(Staff!$B$5:$B$44,MATCH(F965,Staff!$A$5:$A$44,0)),"House"))</f>
        <v>0</v>
      </c>
      <c r="R965" s="15">
        <f>IF(B965="","",TEXT(B965,"yyyy-mm"))</f>
        <v>0</v>
      </c>
      <c r="S965" s="25">
        <f>IF(B965="","",WEEKNUM(B965,2))</f>
        <v>0</v>
      </c>
      <c r="T965" s="37">
        <f>IF(B965="","",IF(K965="",1,K965))</f>
        <v>0</v>
      </c>
      <c r="U965" s="15">
        <f>IF(B965="","",IF(J965&lt;&gt;"",J965,IF(H965="Retail",IFERROR(INDEX(Inventory!$B$5:$B$304,MATCH(I965,Inventory!$A$5:$A$304,0))&amp;"","Not in Inventory"),IFERROR(INDEX(Services!$B$5:$B$204,MATCH(I965,Services!$A$5:$A$204,0))&amp;"","Not in Services"))))</f>
        <v>0</v>
      </c>
      <c r="V965" s="26">
        <f>IF(B965="","",IF(L965&lt;&gt;"",L965,IF(H965="Retail",IFERROR(INDEX(Inventory!$I$5:$I$304,MATCH(I965,Inventory!$A$5:$A$304,0))*1,0),IFERROR(INDEX(Services!$G$5:$G$204,MATCH(I965,Services!$A$5:$A$204,0))*1,0))))</f>
        <v>0</v>
      </c>
      <c r="W965" s="26">
        <f>IF(B965="","",ROUND(T965*V965,2))</f>
        <v>0</v>
      </c>
      <c r="X965" s="26">
        <f>IF(B965="","",ROUND(IF(M965="",0,W965*M965)+IF(N965="",0,N965),2))</f>
        <v>0</v>
      </c>
      <c r="Y965" s="26">
        <f>IF(B965="","",ROUND(W965-X965-IF(P965="",0,P965),2))</f>
        <v>0</v>
      </c>
      <c r="Z965" s="26">
        <f>IF(B965="","",IF(H965="Retail",IF(TaxOnRetail="Yes",ROUND(Y965*TaxRate,2),0),IF(H965="Service",IF(TaxOnServices="Yes",ROUND(Y965*TaxRate,2),0),0)))</f>
        <v>0</v>
      </c>
      <c r="AA965" s="26">
        <f>IF(B965="","",ROUND(Y965+Z965,2))</f>
        <v>0</v>
      </c>
      <c r="AB965" s="26">
        <f>IF(B965="","",ROUND(T965*IF(H965="Retail",IFERROR(INDEX(Inventory!$H$5:$H$304,MATCH(I965,Inventory!$A$5:$A$304,0))*1,0),IFERROR(INDEX(Services!$Q$5:$Q$204,MATCH(I965,Services!$A$5:$A$204,0))*1,0)),2))</f>
        <v>0</v>
      </c>
      <c r="AC965" s="26">
        <f>IF(B965="","",ROUND(Y965-AB965,2))</f>
        <v>0</v>
      </c>
      <c r="AD965" s="38">
        <f>IF(B965="","",IF(C965="","No",IF(COUNTIFS($C$5:C965,C965)=1,"Yes","No")))</f>
        <v>0</v>
      </c>
      <c r="AE965" s="26">
        <f>IF(B965="","",ROUND(SUMIFS(Payments!$G$5:$G$1204,Payments!$H$5:$H$1204,A965,Payments!$Q$5:$Q$1204,"Yes"),2))</f>
        <v>0</v>
      </c>
      <c r="AF965" s="26">
        <f>IF(B965="","",IF(AD965="No",0,ROUND(SUMIFS(Payments!$G$5:$G$1204,Payments!$I$5:$I$1204,C965,Payments!$H$5:$H$1204,"",Payments!$Q$5:$Q$1204,"Yes"),2)))</f>
        <v>0</v>
      </c>
      <c r="AG965" s="26">
        <f>IF(B965="","",ROUND(AE965+AF965,2))</f>
        <v>0</v>
      </c>
      <c r="AH965" s="26">
        <f>IF(B965="","",ROUND(AA965-AG965,2))</f>
        <v>0</v>
      </c>
      <c r="AI965" s="39">
        <f>IF(B965="","",IF(AA965&lt;=0,"No charge",IF(AH965&lt;=0.004,"Paid",IF(AG965&lt;=0.004,"Unpaid","Part paid"))))</f>
        <v>0</v>
      </c>
      <c r="AJ965" s="38">
        <f>IF(B965="","",IF(H965&lt;&gt;"Service","",IF(D965="","No",IF(COUNTIFS($D$5:$D$1204,D965,$B$5:$B$1204,B965,$H$5:$H$1204,"Retail")&gt;0,"Yes","No"))))</f>
        <v>0</v>
      </c>
      <c r="AK965" s="25">
        <f>IF(B965="","",COUNTIFS($Y$5:$Y$1204,"&gt;"&amp;Y965)+COUNTIFS($Y$5:Y965,Y965))</f>
        <v>0</v>
      </c>
      <c r="AL965" s="39">
        <f>IF(B965="","",IF(H965="","Add - what kind of sale is this?",IF(IF(V965&lt;=0,P965="",FALSE),"Check - no price found for this item",IF(F965="","Assign - nobody credited",IF(AH965&gt;0.004,"Unpaid - balance outstanding",IF(AC965&lt;0,"Loss - sold below cost",IF(X965&gt;W965*0.5,"Check - more than half off","OK")))))))</f>
        <v>0</v>
      </c>
    </row>
    <row r="966" spans="1:38">
      <c r="A966" s="28">
        <f>IF(B966="","",SalePrefix&amp;TEXT(ROW()-4,"0000"))</f>
        <v>0</v>
      </c>
      <c r="E966" s="15">
        <f>IF(D966="","",IFERROR(INDEX(Clients!$B$5:$B$504,MATCH(D966,Clients!$A$5:$A$504,0)),"Walk-in"))</f>
        <v>0</v>
      </c>
      <c r="G966" s="15">
        <f>IF(F966="","",IFERROR(INDEX(Staff!$B$5:$B$44,MATCH(F966,Staff!$A$5:$A$44,0)),"House"))</f>
        <v>0</v>
      </c>
      <c r="R966" s="15">
        <f>IF(B966="","",TEXT(B966,"yyyy-mm"))</f>
        <v>0</v>
      </c>
      <c r="S966" s="25">
        <f>IF(B966="","",WEEKNUM(B966,2))</f>
        <v>0</v>
      </c>
      <c r="T966" s="37">
        <f>IF(B966="","",IF(K966="",1,K966))</f>
        <v>0</v>
      </c>
      <c r="U966" s="15">
        <f>IF(B966="","",IF(J966&lt;&gt;"",J966,IF(H966="Retail",IFERROR(INDEX(Inventory!$B$5:$B$304,MATCH(I966,Inventory!$A$5:$A$304,0))&amp;"","Not in Inventory"),IFERROR(INDEX(Services!$B$5:$B$204,MATCH(I966,Services!$A$5:$A$204,0))&amp;"","Not in Services"))))</f>
        <v>0</v>
      </c>
      <c r="V966" s="26">
        <f>IF(B966="","",IF(L966&lt;&gt;"",L966,IF(H966="Retail",IFERROR(INDEX(Inventory!$I$5:$I$304,MATCH(I966,Inventory!$A$5:$A$304,0))*1,0),IFERROR(INDEX(Services!$G$5:$G$204,MATCH(I966,Services!$A$5:$A$204,0))*1,0))))</f>
        <v>0</v>
      </c>
      <c r="W966" s="26">
        <f>IF(B966="","",ROUND(T966*V966,2))</f>
        <v>0</v>
      </c>
      <c r="X966" s="26">
        <f>IF(B966="","",ROUND(IF(M966="",0,W966*M966)+IF(N966="",0,N966),2))</f>
        <v>0</v>
      </c>
      <c r="Y966" s="26">
        <f>IF(B966="","",ROUND(W966-X966-IF(P966="",0,P966),2))</f>
        <v>0</v>
      </c>
      <c r="Z966" s="26">
        <f>IF(B966="","",IF(H966="Retail",IF(TaxOnRetail="Yes",ROUND(Y966*TaxRate,2),0),IF(H966="Service",IF(TaxOnServices="Yes",ROUND(Y966*TaxRate,2),0),0)))</f>
        <v>0</v>
      </c>
      <c r="AA966" s="26">
        <f>IF(B966="","",ROUND(Y966+Z966,2))</f>
        <v>0</v>
      </c>
      <c r="AB966" s="26">
        <f>IF(B966="","",ROUND(T966*IF(H966="Retail",IFERROR(INDEX(Inventory!$H$5:$H$304,MATCH(I966,Inventory!$A$5:$A$304,0))*1,0),IFERROR(INDEX(Services!$Q$5:$Q$204,MATCH(I966,Services!$A$5:$A$204,0))*1,0)),2))</f>
        <v>0</v>
      </c>
      <c r="AC966" s="26">
        <f>IF(B966="","",ROUND(Y966-AB966,2))</f>
        <v>0</v>
      </c>
      <c r="AD966" s="38">
        <f>IF(B966="","",IF(C966="","No",IF(COUNTIFS($C$5:C966,C966)=1,"Yes","No")))</f>
        <v>0</v>
      </c>
      <c r="AE966" s="26">
        <f>IF(B966="","",ROUND(SUMIFS(Payments!$G$5:$G$1204,Payments!$H$5:$H$1204,A966,Payments!$Q$5:$Q$1204,"Yes"),2))</f>
        <v>0</v>
      </c>
      <c r="AF966" s="26">
        <f>IF(B966="","",IF(AD966="No",0,ROUND(SUMIFS(Payments!$G$5:$G$1204,Payments!$I$5:$I$1204,C966,Payments!$H$5:$H$1204,"",Payments!$Q$5:$Q$1204,"Yes"),2)))</f>
        <v>0</v>
      </c>
      <c r="AG966" s="26">
        <f>IF(B966="","",ROUND(AE966+AF966,2))</f>
        <v>0</v>
      </c>
      <c r="AH966" s="26">
        <f>IF(B966="","",ROUND(AA966-AG966,2))</f>
        <v>0</v>
      </c>
      <c r="AI966" s="39">
        <f>IF(B966="","",IF(AA966&lt;=0,"No charge",IF(AH966&lt;=0.004,"Paid",IF(AG966&lt;=0.004,"Unpaid","Part paid"))))</f>
        <v>0</v>
      </c>
      <c r="AJ966" s="38">
        <f>IF(B966="","",IF(H966&lt;&gt;"Service","",IF(D966="","No",IF(COUNTIFS($D$5:$D$1204,D966,$B$5:$B$1204,B966,$H$5:$H$1204,"Retail")&gt;0,"Yes","No"))))</f>
        <v>0</v>
      </c>
      <c r="AK966" s="25">
        <f>IF(B966="","",COUNTIFS($Y$5:$Y$1204,"&gt;"&amp;Y966)+COUNTIFS($Y$5:Y966,Y966))</f>
        <v>0</v>
      </c>
      <c r="AL966" s="39">
        <f>IF(B966="","",IF(H966="","Add - what kind of sale is this?",IF(IF(V966&lt;=0,P966="",FALSE),"Check - no price found for this item",IF(F966="","Assign - nobody credited",IF(AH966&gt;0.004,"Unpaid - balance outstanding",IF(AC966&lt;0,"Loss - sold below cost",IF(X966&gt;W966*0.5,"Check - more than half off","OK")))))))</f>
        <v>0</v>
      </c>
    </row>
    <row r="967" spans="1:38">
      <c r="A967" s="28">
        <f>IF(B967="","",SalePrefix&amp;TEXT(ROW()-4,"0000"))</f>
        <v>0</v>
      </c>
      <c r="E967" s="15">
        <f>IF(D967="","",IFERROR(INDEX(Clients!$B$5:$B$504,MATCH(D967,Clients!$A$5:$A$504,0)),"Walk-in"))</f>
        <v>0</v>
      </c>
      <c r="G967" s="15">
        <f>IF(F967="","",IFERROR(INDEX(Staff!$B$5:$B$44,MATCH(F967,Staff!$A$5:$A$44,0)),"House"))</f>
        <v>0</v>
      </c>
      <c r="R967" s="15">
        <f>IF(B967="","",TEXT(B967,"yyyy-mm"))</f>
        <v>0</v>
      </c>
      <c r="S967" s="25">
        <f>IF(B967="","",WEEKNUM(B967,2))</f>
        <v>0</v>
      </c>
      <c r="T967" s="37">
        <f>IF(B967="","",IF(K967="",1,K967))</f>
        <v>0</v>
      </c>
      <c r="U967" s="15">
        <f>IF(B967="","",IF(J967&lt;&gt;"",J967,IF(H967="Retail",IFERROR(INDEX(Inventory!$B$5:$B$304,MATCH(I967,Inventory!$A$5:$A$304,0))&amp;"","Not in Inventory"),IFERROR(INDEX(Services!$B$5:$B$204,MATCH(I967,Services!$A$5:$A$204,0))&amp;"","Not in Services"))))</f>
        <v>0</v>
      </c>
      <c r="V967" s="26">
        <f>IF(B967="","",IF(L967&lt;&gt;"",L967,IF(H967="Retail",IFERROR(INDEX(Inventory!$I$5:$I$304,MATCH(I967,Inventory!$A$5:$A$304,0))*1,0),IFERROR(INDEX(Services!$G$5:$G$204,MATCH(I967,Services!$A$5:$A$204,0))*1,0))))</f>
        <v>0</v>
      </c>
      <c r="W967" s="26">
        <f>IF(B967="","",ROUND(T967*V967,2))</f>
        <v>0</v>
      </c>
      <c r="X967" s="26">
        <f>IF(B967="","",ROUND(IF(M967="",0,W967*M967)+IF(N967="",0,N967),2))</f>
        <v>0</v>
      </c>
      <c r="Y967" s="26">
        <f>IF(B967="","",ROUND(W967-X967-IF(P967="",0,P967),2))</f>
        <v>0</v>
      </c>
      <c r="Z967" s="26">
        <f>IF(B967="","",IF(H967="Retail",IF(TaxOnRetail="Yes",ROUND(Y967*TaxRate,2),0),IF(H967="Service",IF(TaxOnServices="Yes",ROUND(Y967*TaxRate,2),0),0)))</f>
        <v>0</v>
      </c>
      <c r="AA967" s="26">
        <f>IF(B967="","",ROUND(Y967+Z967,2))</f>
        <v>0</v>
      </c>
      <c r="AB967" s="26">
        <f>IF(B967="","",ROUND(T967*IF(H967="Retail",IFERROR(INDEX(Inventory!$H$5:$H$304,MATCH(I967,Inventory!$A$5:$A$304,0))*1,0),IFERROR(INDEX(Services!$Q$5:$Q$204,MATCH(I967,Services!$A$5:$A$204,0))*1,0)),2))</f>
        <v>0</v>
      </c>
      <c r="AC967" s="26">
        <f>IF(B967="","",ROUND(Y967-AB967,2))</f>
        <v>0</v>
      </c>
      <c r="AD967" s="38">
        <f>IF(B967="","",IF(C967="","No",IF(COUNTIFS($C$5:C967,C967)=1,"Yes","No")))</f>
        <v>0</v>
      </c>
      <c r="AE967" s="26">
        <f>IF(B967="","",ROUND(SUMIFS(Payments!$G$5:$G$1204,Payments!$H$5:$H$1204,A967,Payments!$Q$5:$Q$1204,"Yes"),2))</f>
        <v>0</v>
      </c>
      <c r="AF967" s="26">
        <f>IF(B967="","",IF(AD967="No",0,ROUND(SUMIFS(Payments!$G$5:$G$1204,Payments!$I$5:$I$1204,C967,Payments!$H$5:$H$1204,"",Payments!$Q$5:$Q$1204,"Yes"),2)))</f>
        <v>0</v>
      </c>
      <c r="AG967" s="26">
        <f>IF(B967="","",ROUND(AE967+AF967,2))</f>
        <v>0</v>
      </c>
      <c r="AH967" s="26">
        <f>IF(B967="","",ROUND(AA967-AG967,2))</f>
        <v>0</v>
      </c>
      <c r="AI967" s="39">
        <f>IF(B967="","",IF(AA967&lt;=0,"No charge",IF(AH967&lt;=0.004,"Paid",IF(AG967&lt;=0.004,"Unpaid","Part paid"))))</f>
        <v>0</v>
      </c>
      <c r="AJ967" s="38">
        <f>IF(B967="","",IF(H967&lt;&gt;"Service","",IF(D967="","No",IF(COUNTIFS($D$5:$D$1204,D967,$B$5:$B$1204,B967,$H$5:$H$1204,"Retail")&gt;0,"Yes","No"))))</f>
        <v>0</v>
      </c>
      <c r="AK967" s="25">
        <f>IF(B967="","",COUNTIFS($Y$5:$Y$1204,"&gt;"&amp;Y967)+COUNTIFS($Y$5:Y967,Y967))</f>
        <v>0</v>
      </c>
      <c r="AL967" s="39">
        <f>IF(B967="","",IF(H967="","Add - what kind of sale is this?",IF(IF(V967&lt;=0,P967="",FALSE),"Check - no price found for this item",IF(F967="","Assign - nobody credited",IF(AH967&gt;0.004,"Unpaid - balance outstanding",IF(AC967&lt;0,"Loss - sold below cost",IF(X967&gt;W967*0.5,"Check - more than half off","OK")))))))</f>
        <v>0</v>
      </c>
    </row>
    <row r="968" spans="1:38">
      <c r="A968" s="28">
        <f>IF(B968="","",SalePrefix&amp;TEXT(ROW()-4,"0000"))</f>
        <v>0</v>
      </c>
      <c r="E968" s="15">
        <f>IF(D968="","",IFERROR(INDEX(Clients!$B$5:$B$504,MATCH(D968,Clients!$A$5:$A$504,0)),"Walk-in"))</f>
        <v>0</v>
      </c>
      <c r="G968" s="15">
        <f>IF(F968="","",IFERROR(INDEX(Staff!$B$5:$B$44,MATCH(F968,Staff!$A$5:$A$44,0)),"House"))</f>
        <v>0</v>
      </c>
      <c r="R968" s="15">
        <f>IF(B968="","",TEXT(B968,"yyyy-mm"))</f>
        <v>0</v>
      </c>
      <c r="S968" s="25">
        <f>IF(B968="","",WEEKNUM(B968,2))</f>
        <v>0</v>
      </c>
      <c r="T968" s="37">
        <f>IF(B968="","",IF(K968="",1,K968))</f>
        <v>0</v>
      </c>
      <c r="U968" s="15">
        <f>IF(B968="","",IF(J968&lt;&gt;"",J968,IF(H968="Retail",IFERROR(INDEX(Inventory!$B$5:$B$304,MATCH(I968,Inventory!$A$5:$A$304,0))&amp;"","Not in Inventory"),IFERROR(INDEX(Services!$B$5:$B$204,MATCH(I968,Services!$A$5:$A$204,0))&amp;"","Not in Services"))))</f>
        <v>0</v>
      </c>
      <c r="V968" s="26">
        <f>IF(B968="","",IF(L968&lt;&gt;"",L968,IF(H968="Retail",IFERROR(INDEX(Inventory!$I$5:$I$304,MATCH(I968,Inventory!$A$5:$A$304,0))*1,0),IFERROR(INDEX(Services!$G$5:$G$204,MATCH(I968,Services!$A$5:$A$204,0))*1,0))))</f>
        <v>0</v>
      </c>
      <c r="W968" s="26">
        <f>IF(B968="","",ROUND(T968*V968,2))</f>
        <v>0</v>
      </c>
      <c r="X968" s="26">
        <f>IF(B968="","",ROUND(IF(M968="",0,W968*M968)+IF(N968="",0,N968),2))</f>
        <v>0</v>
      </c>
      <c r="Y968" s="26">
        <f>IF(B968="","",ROUND(W968-X968-IF(P968="",0,P968),2))</f>
        <v>0</v>
      </c>
      <c r="Z968" s="26">
        <f>IF(B968="","",IF(H968="Retail",IF(TaxOnRetail="Yes",ROUND(Y968*TaxRate,2),0),IF(H968="Service",IF(TaxOnServices="Yes",ROUND(Y968*TaxRate,2),0),0)))</f>
        <v>0</v>
      </c>
      <c r="AA968" s="26">
        <f>IF(B968="","",ROUND(Y968+Z968,2))</f>
        <v>0</v>
      </c>
      <c r="AB968" s="26">
        <f>IF(B968="","",ROUND(T968*IF(H968="Retail",IFERROR(INDEX(Inventory!$H$5:$H$304,MATCH(I968,Inventory!$A$5:$A$304,0))*1,0),IFERROR(INDEX(Services!$Q$5:$Q$204,MATCH(I968,Services!$A$5:$A$204,0))*1,0)),2))</f>
        <v>0</v>
      </c>
      <c r="AC968" s="26">
        <f>IF(B968="","",ROUND(Y968-AB968,2))</f>
        <v>0</v>
      </c>
      <c r="AD968" s="38">
        <f>IF(B968="","",IF(C968="","No",IF(COUNTIFS($C$5:C968,C968)=1,"Yes","No")))</f>
        <v>0</v>
      </c>
      <c r="AE968" s="26">
        <f>IF(B968="","",ROUND(SUMIFS(Payments!$G$5:$G$1204,Payments!$H$5:$H$1204,A968,Payments!$Q$5:$Q$1204,"Yes"),2))</f>
        <v>0</v>
      </c>
      <c r="AF968" s="26">
        <f>IF(B968="","",IF(AD968="No",0,ROUND(SUMIFS(Payments!$G$5:$G$1204,Payments!$I$5:$I$1204,C968,Payments!$H$5:$H$1204,"",Payments!$Q$5:$Q$1204,"Yes"),2)))</f>
        <v>0</v>
      </c>
      <c r="AG968" s="26">
        <f>IF(B968="","",ROUND(AE968+AF968,2))</f>
        <v>0</v>
      </c>
      <c r="AH968" s="26">
        <f>IF(B968="","",ROUND(AA968-AG968,2))</f>
        <v>0</v>
      </c>
      <c r="AI968" s="39">
        <f>IF(B968="","",IF(AA968&lt;=0,"No charge",IF(AH968&lt;=0.004,"Paid",IF(AG968&lt;=0.004,"Unpaid","Part paid"))))</f>
        <v>0</v>
      </c>
      <c r="AJ968" s="38">
        <f>IF(B968="","",IF(H968&lt;&gt;"Service","",IF(D968="","No",IF(COUNTIFS($D$5:$D$1204,D968,$B$5:$B$1204,B968,$H$5:$H$1204,"Retail")&gt;0,"Yes","No"))))</f>
        <v>0</v>
      </c>
      <c r="AK968" s="25">
        <f>IF(B968="","",COUNTIFS($Y$5:$Y$1204,"&gt;"&amp;Y968)+COUNTIFS($Y$5:Y968,Y968))</f>
        <v>0</v>
      </c>
      <c r="AL968" s="39">
        <f>IF(B968="","",IF(H968="","Add - what kind of sale is this?",IF(IF(V968&lt;=0,P968="",FALSE),"Check - no price found for this item",IF(F968="","Assign - nobody credited",IF(AH968&gt;0.004,"Unpaid - balance outstanding",IF(AC968&lt;0,"Loss - sold below cost",IF(X968&gt;W968*0.5,"Check - more than half off","OK")))))))</f>
        <v>0</v>
      </c>
    </row>
    <row r="969" spans="1:38">
      <c r="A969" s="28">
        <f>IF(B969="","",SalePrefix&amp;TEXT(ROW()-4,"0000"))</f>
        <v>0</v>
      </c>
      <c r="E969" s="15">
        <f>IF(D969="","",IFERROR(INDEX(Clients!$B$5:$B$504,MATCH(D969,Clients!$A$5:$A$504,0)),"Walk-in"))</f>
        <v>0</v>
      </c>
      <c r="G969" s="15">
        <f>IF(F969="","",IFERROR(INDEX(Staff!$B$5:$B$44,MATCH(F969,Staff!$A$5:$A$44,0)),"House"))</f>
        <v>0</v>
      </c>
      <c r="R969" s="15">
        <f>IF(B969="","",TEXT(B969,"yyyy-mm"))</f>
        <v>0</v>
      </c>
      <c r="S969" s="25">
        <f>IF(B969="","",WEEKNUM(B969,2))</f>
        <v>0</v>
      </c>
      <c r="T969" s="37">
        <f>IF(B969="","",IF(K969="",1,K969))</f>
        <v>0</v>
      </c>
      <c r="U969" s="15">
        <f>IF(B969="","",IF(J969&lt;&gt;"",J969,IF(H969="Retail",IFERROR(INDEX(Inventory!$B$5:$B$304,MATCH(I969,Inventory!$A$5:$A$304,0))&amp;"","Not in Inventory"),IFERROR(INDEX(Services!$B$5:$B$204,MATCH(I969,Services!$A$5:$A$204,0))&amp;"","Not in Services"))))</f>
        <v>0</v>
      </c>
      <c r="V969" s="26">
        <f>IF(B969="","",IF(L969&lt;&gt;"",L969,IF(H969="Retail",IFERROR(INDEX(Inventory!$I$5:$I$304,MATCH(I969,Inventory!$A$5:$A$304,0))*1,0),IFERROR(INDEX(Services!$G$5:$G$204,MATCH(I969,Services!$A$5:$A$204,0))*1,0))))</f>
        <v>0</v>
      </c>
      <c r="W969" s="26">
        <f>IF(B969="","",ROUND(T969*V969,2))</f>
        <v>0</v>
      </c>
      <c r="X969" s="26">
        <f>IF(B969="","",ROUND(IF(M969="",0,W969*M969)+IF(N969="",0,N969),2))</f>
        <v>0</v>
      </c>
      <c r="Y969" s="26">
        <f>IF(B969="","",ROUND(W969-X969-IF(P969="",0,P969),2))</f>
        <v>0</v>
      </c>
      <c r="Z969" s="26">
        <f>IF(B969="","",IF(H969="Retail",IF(TaxOnRetail="Yes",ROUND(Y969*TaxRate,2),0),IF(H969="Service",IF(TaxOnServices="Yes",ROUND(Y969*TaxRate,2),0),0)))</f>
        <v>0</v>
      </c>
      <c r="AA969" s="26">
        <f>IF(B969="","",ROUND(Y969+Z969,2))</f>
        <v>0</v>
      </c>
      <c r="AB969" s="26">
        <f>IF(B969="","",ROUND(T969*IF(H969="Retail",IFERROR(INDEX(Inventory!$H$5:$H$304,MATCH(I969,Inventory!$A$5:$A$304,0))*1,0),IFERROR(INDEX(Services!$Q$5:$Q$204,MATCH(I969,Services!$A$5:$A$204,0))*1,0)),2))</f>
        <v>0</v>
      </c>
      <c r="AC969" s="26">
        <f>IF(B969="","",ROUND(Y969-AB969,2))</f>
        <v>0</v>
      </c>
      <c r="AD969" s="38">
        <f>IF(B969="","",IF(C969="","No",IF(COUNTIFS($C$5:C969,C969)=1,"Yes","No")))</f>
        <v>0</v>
      </c>
      <c r="AE969" s="26">
        <f>IF(B969="","",ROUND(SUMIFS(Payments!$G$5:$G$1204,Payments!$H$5:$H$1204,A969,Payments!$Q$5:$Q$1204,"Yes"),2))</f>
        <v>0</v>
      </c>
      <c r="AF969" s="26">
        <f>IF(B969="","",IF(AD969="No",0,ROUND(SUMIFS(Payments!$G$5:$G$1204,Payments!$I$5:$I$1204,C969,Payments!$H$5:$H$1204,"",Payments!$Q$5:$Q$1204,"Yes"),2)))</f>
        <v>0</v>
      </c>
      <c r="AG969" s="26">
        <f>IF(B969="","",ROUND(AE969+AF969,2))</f>
        <v>0</v>
      </c>
      <c r="AH969" s="26">
        <f>IF(B969="","",ROUND(AA969-AG969,2))</f>
        <v>0</v>
      </c>
      <c r="AI969" s="39">
        <f>IF(B969="","",IF(AA969&lt;=0,"No charge",IF(AH969&lt;=0.004,"Paid",IF(AG969&lt;=0.004,"Unpaid","Part paid"))))</f>
        <v>0</v>
      </c>
      <c r="AJ969" s="38">
        <f>IF(B969="","",IF(H969&lt;&gt;"Service","",IF(D969="","No",IF(COUNTIFS($D$5:$D$1204,D969,$B$5:$B$1204,B969,$H$5:$H$1204,"Retail")&gt;0,"Yes","No"))))</f>
        <v>0</v>
      </c>
      <c r="AK969" s="25">
        <f>IF(B969="","",COUNTIFS($Y$5:$Y$1204,"&gt;"&amp;Y969)+COUNTIFS($Y$5:Y969,Y969))</f>
        <v>0</v>
      </c>
      <c r="AL969" s="39">
        <f>IF(B969="","",IF(H969="","Add - what kind of sale is this?",IF(IF(V969&lt;=0,P969="",FALSE),"Check - no price found for this item",IF(F969="","Assign - nobody credited",IF(AH969&gt;0.004,"Unpaid - balance outstanding",IF(AC969&lt;0,"Loss - sold below cost",IF(X969&gt;W969*0.5,"Check - more than half off","OK")))))))</f>
        <v>0</v>
      </c>
    </row>
    <row r="970" spans="1:38">
      <c r="A970" s="28">
        <f>IF(B970="","",SalePrefix&amp;TEXT(ROW()-4,"0000"))</f>
        <v>0</v>
      </c>
      <c r="E970" s="15">
        <f>IF(D970="","",IFERROR(INDEX(Clients!$B$5:$B$504,MATCH(D970,Clients!$A$5:$A$504,0)),"Walk-in"))</f>
        <v>0</v>
      </c>
      <c r="G970" s="15">
        <f>IF(F970="","",IFERROR(INDEX(Staff!$B$5:$B$44,MATCH(F970,Staff!$A$5:$A$44,0)),"House"))</f>
        <v>0</v>
      </c>
      <c r="R970" s="15">
        <f>IF(B970="","",TEXT(B970,"yyyy-mm"))</f>
        <v>0</v>
      </c>
      <c r="S970" s="25">
        <f>IF(B970="","",WEEKNUM(B970,2))</f>
        <v>0</v>
      </c>
      <c r="T970" s="37">
        <f>IF(B970="","",IF(K970="",1,K970))</f>
        <v>0</v>
      </c>
      <c r="U970" s="15">
        <f>IF(B970="","",IF(J970&lt;&gt;"",J970,IF(H970="Retail",IFERROR(INDEX(Inventory!$B$5:$B$304,MATCH(I970,Inventory!$A$5:$A$304,0))&amp;"","Not in Inventory"),IFERROR(INDEX(Services!$B$5:$B$204,MATCH(I970,Services!$A$5:$A$204,0))&amp;"","Not in Services"))))</f>
        <v>0</v>
      </c>
      <c r="V970" s="26">
        <f>IF(B970="","",IF(L970&lt;&gt;"",L970,IF(H970="Retail",IFERROR(INDEX(Inventory!$I$5:$I$304,MATCH(I970,Inventory!$A$5:$A$304,0))*1,0),IFERROR(INDEX(Services!$G$5:$G$204,MATCH(I970,Services!$A$5:$A$204,0))*1,0))))</f>
        <v>0</v>
      </c>
      <c r="W970" s="26">
        <f>IF(B970="","",ROUND(T970*V970,2))</f>
        <v>0</v>
      </c>
      <c r="X970" s="26">
        <f>IF(B970="","",ROUND(IF(M970="",0,W970*M970)+IF(N970="",0,N970),2))</f>
        <v>0</v>
      </c>
      <c r="Y970" s="26">
        <f>IF(B970="","",ROUND(W970-X970-IF(P970="",0,P970),2))</f>
        <v>0</v>
      </c>
      <c r="Z970" s="26">
        <f>IF(B970="","",IF(H970="Retail",IF(TaxOnRetail="Yes",ROUND(Y970*TaxRate,2),0),IF(H970="Service",IF(TaxOnServices="Yes",ROUND(Y970*TaxRate,2),0),0)))</f>
        <v>0</v>
      </c>
      <c r="AA970" s="26">
        <f>IF(B970="","",ROUND(Y970+Z970,2))</f>
        <v>0</v>
      </c>
      <c r="AB970" s="26">
        <f>IF(B970="","",ROUND(T970*IF(H970="Retail",IFERROR(INDEX(Inventory!$H$5:$H$304,MATCH(I970,Inventory!$A$5:$A$304,0))*1,0),IFERROR(INDEX(Services!$Q$5:$Q$204,MATCH(I970,Services!$A$5:$A$204,0))*1,0)),2))</f>
        <v>0</v>
      </c>
      <c r="AC970" s="26">
        <f>IF(B970="","",ROUND(Y970-AB970,2))</f>
        <v>0</v>
      </c>
      <c r="AD970" s="38">
        <f>IF(B970="","",IF(C970="","No",IF(COUNTIFS($C$5:C970,C970)=1,"Yes","No")))</f>
        <v>0</v>
      </c>
      <c r="AE970" s="26">
        <f>IF(B970="","",ROUND(SUMIFS(Payments!$G$5:$G$1204,Payments!$H$5:$H$1204,A970,Payments!$Q$5:$Q$1204,"Yes"),2))</f>
        <v>0</v>
      </c>
      <c r="AF970" s="26">
        <f>IF(B970="","",IF(AD970="No",0,ROUND(SUMIFS(Payments!$G$5:$G$1204,Payments!$I$5:$I$1204,C970,Payments!$H$5:$H$1204,"",Payments!$Q$5:$Q$1204,"Yes"),2)))</f>
        <v>0</v>
      </c>
      <c r="AG970" s="26">
        <f>IF(B970="","",ROUND(AE970+AF970,2))</f>
        <v>0</v>
      </c>
      <c r="AH970" s="26">
        <f>IF(B970="","",ROUND(AA970-AG970,2))</f>
        <v>0</v>
      </c>
      <c r="AI970" s="39">
        <f>IF(B970="","",IF(AA970&lt;=0,"No charge",IF(AH970&lt;=0.004,"Paid",IF(AG970&lt;=0.004,"Unpaid","Part paid"))))</f>
        <v>0</v>
      </c>
      <c r="AJ970" s="38">
        <f>IF(B970="","",IF(H970&lt;&gt;"Service","",IF(D970="","No",IF(COUNTIFS($D$5:$D$1204,D970,$B$5:$B$1204,B970,$H$5:$H$1204,"Retail")&gt;0,"Yes","No"))))</f>
        <v>0</v>
      </c>
      <c r="AK970" s="25">
        <f>IF(B970="","",COUNTIFS($Y$5:$Y$1204,"&gt;"&amp;Y970)+COUNTIFS($Y$5:Y970,Y970))</f>
        <v>0</v>
      </c>
      <c r="AL970" s="39">
        <f>IF(B970="","",IF(H970="","Add - what kind of sale is this?",IF(IF(V970&lt;=0,P970="",FALSE),"Check - no price found for this item",IF(F970="","Assign - nobody credited",IF(AH970&gt;0.004,"Unpaid - balance outstanding",IF(AC970&lt;0,"Loss - sold below cost",IF(X970&gt;W970*0.5,"Check - more than half off","OK")))))))</f>
        <v>0</v>
      </c>
    </row>
    <row r="971" spans="1:38">
      <c r="A971" s="28">
        <f>IF(B971="","",SalePrefix&amp;TEXT(ROW()-4,"0000"))</f>
        <v>0</v>
      </c>
      <c r="E971" s="15">
        <f>IF(D971="","",IFERROR(INDEX(Clients!$B$5:$B$504,MATCH(D971,Clients!$A$5:$A$504,0)),"Walk-in"))</f>
        <v>0</v>
      </c>
      <c r="G971" s="15">
        <f>IF(F971="","",IFERROR(INDEX(Staff!$B$5:$B$44,MATCH(F971,Staff!$A$5:$A$44,0)),"House"))</f>
        <v>0</v>
      </c>
      <c r="R971" s="15">
        <f>IF(B971="","",TEXT(B971,"yyyy-mm"))</f>
        <v>0</v>
      </c>
      <c r="S971" s="25">
        <f>IF(B971="","",WEEKNUM(B971,2))</f>
        <v>0</v>
      </c>
      <c r="T971" s="37">
        <f>IF(B971="","",IF(K971="",1,K971))</f>
        <v>0</v>
      </c>
      <c r="U971" s="15">
        <f>IF(B971="","",IF(J971&lt;&gt;"",J971,IF(H971="Retail",IFERROR(INDEX(Inventory!$B$5:$B$304,MATCH(I971,Inventory!$A$5:$A$304,0))&amp;"","Not in Inventory"),IFERROR(INDEX(Services!$B$5:$B$204,MATCH(I971,Services!$A$5:$A$204,0))&amp;"","Not in Services"))))</f>
        <v>0</v>
      </c>
      <c r="V971" s="26">
        <f>IF(B971="","",IF(L971&lt;&gt;"",L971,IF(H971="Retail",IFERROR(INDEX(Inventory!$I$5:$I$304,MATCH(I971,Inventory!$A$5:$A$304,0))*1,0),IFERROR(INDEX(Services!$G$5:$G$204,MATCH(I971,Services!$A$5:$A$204,0))*1,0))))</f>
        <v>0</v>
      </c>
      <c r="W971" s="26">
        <f>IF(B971="","",ROUND(T971*V971,2))</f>
        <v>0</v>
      </c>
      <c r="X971" s="26">
        <f>IF(B971="","",ROUND(IF(M971="",0,W971*M971)+IF(N971="",0,N971),2))</f>
        <v>0</v>
      </c>
      <c r="Y971" s="26">
        <f>IF(B971="","",ROUND(W971-X971-IF(P971="",0,P971),2))</f>
        <v>0</v>
      </c>
      <c r="Z971" s="26">
        <f>IF(B971="","",IF(H971="Retail",IF(TaxOnRetail="Yes",ROUND(Y971*TaxRate,2),0),IF(H971="Service",IF(TaxOnServices="Yes",ROUND(Y971*TaxRate,2),0),0)))</f>
        <v>0</v>
      </c>
      <c r="AA971" s="26">
        <f>IF(B971="","",ROUND(Y971+Z971,2))</f>
        <v>0</v>
      </c>
      <c r="AB971" s="26">
        <f>IF(B971="","",ROUND(T971*IF(H971="Retail",IFERROR(INDEX(Inventory!$H$5:$H$304,MATCH(I971,Inventory!$A$5:$A$304,0))*1,0),IFERROR(INDEX(Services!$Q$5:$Q$204,MATCH(I971,Services!$A$5:$A$204,0))*1,0)),2))</f>
        <v>0</v>
      </c>
      <c r="AC971" s="26">
        <f>IF(B971="","",ROUND(Y971-AB971,2))</f>
        <v>0</v>
      </c>
      <c r="AD971" s="38">
        <f>IF(B971="","",IF(C971="","No",IF(COUNTIFS($C$5:C971,C971)=1,"Yes","No")))</f>
        <v>0</v>
      </c>
      <c r="AE971" s="26">
        <f>IF(B971="","",ROUND(SUMIFS(Payments!$G$5:$G$1204,Payments!$H$5:$H$1204,A971,Payments!$Q$5:$Q$1204,"Yes"),2))</f>
        <v>0</v>
      </c>
      <c r="AF971" s="26">
        <f>IF(B971="","",IF(AD971="No",0,ROUND(SUMIFS(Payments!$G$5:$G$1204,Payments!$I$5:$I$1204,C971,Payments!$H$5:$H$1204,"",Payments!$Q$5:$Q$1204,"Yes"),2)))</f>
        <v>0</v>
      </c>
      <c r="AG971" s="26">
        <f>IF(B971="","",ROUND(AE971+AF971,2))</f>
        <v>0</v>
      </c>
      <c r="AH971" s="26">
        <f>IF(B971="","",ROUND(AA971-AG971,2))</f>
        <v>0</v>
      </c>
      <c r="AI971" s="39">
        <f>IF(B971="","",IF(AA971&lt;=0,"No charge",IF(AH971&lt;=0.004,"Paid",IF(AG971&lt;=0.004,"Unpaid","Part paid"))))</f>
        <v>0</v>
      </c>
      <c r="AJ971" s="38">
        <f>IF(B971="","",IF(H971&lt;&gt;"Service","",IF(D971="","No",IF(COUNTIFS($D$5:$D$1204,D971,$B$5:$B$1204,B971,$H$5:$H$1204,"Retail")&gt;0,"Yes","No"))))</f>
        <v>0</v>
      </c>
      <c r="AK971" s="25">
        <f>IF(B971="","",COUNTIFS($Y$5:$Y$1204,"&gt;"&amp;Y971)+COUNTIFS($Y$5:Y971,Y971))</f>
        <v>0</v>
      </c>
      <c r="AL971" s="39">
        <f>IF(B971="","",IF(H971="","Add - what kind of sale is this?",IF(IF(V971&lt;=0,P971="",FALSE),"Check - no price found for this item",IF(F971="","Assign - nobody credited",IF(AH971&gt;0.004,"Unpaid - balance outstanding",IF(AC971&lt;0,"Loss - sold below cost",IF(X971&gt;W971*0.5,"Check - more than half off","OK")))))))</f>
        <v>0</v>
      </c>
    </row>
    <row r="972" spans="1:38">
      <c r="A972" s="28">
        <f>IF(B972="","",SalePrefix&amp;TEXT(ROW()-4,"0000"))</f>
        <v>0</v>
      </c>
      <c r="E972" s="15">
        <f>IF(D972="","",IFERROR(INDEX(Clients!$B$5:$B$504,MATCH(D972,Clients!$A$5:$A$504,0)),"Walk-in"))</f>
        <v>0</v>
      </c>
      <c r="G972" s="15">
        <f>IF(F972="","",IFERROR(INDEX(Staff!$B$5:$B$44,MATCH(F972,Staff!$A$5:$A$44,0)),"House"))</f>
        <v>0</v>
      </c>
      <c r="R972" s="15">
        <f>IF(B972="","",TEXT(B972,"yyyy-mm"))</f>
        <v>0</v>
      </c>
      <c r="S972" s="25">
        <f>IF(B972="","",WEEKNUM(B972,2))</f>
        <v>0</v>
      </c>
      <c r="T972" s="37">
        <f>IF(B972="","",IF(K972="",1,K972))</f>
        <v>0</v>
      </c>
      <c r="U972" s="15">
        <f>IF(B972="","",IF(J972&lt;&gt;"",J972,IF(H972="Retail",IFERROR(INDEX(Inventory!$B$5:$B$304,MATCH(I972,Inventory!$A$5:$A$304,0))&amp;"","Not in Inventory"),IFERROR(INDEX(Services!$B$5:$B$204,MATCH(I972,Services!$A$5:$A$204,0))&amp;"","Not in Services"))))</f>
        <v>0</v>
      </c>
      <c r="V972" s="26">
        <f>IF(B972="","",IF(L972&lt;&gt;"",L972,IF(H972="Retail",IFERROR(INDEX(Inventory!$I$5:$I$304,MATCH(I972,Inventory!$A$5:$A$304,0))*1,0),IFERROR(INDEX(Services!$G$5:$G$204,MATCH(I972,Services!$A$5:$A$204,0))*1,0))))</f>
        <v>0</v>
      </c>
      <c r="W972" s="26">
        <f>IF(B972="","",ROUND(T972*V972,2))</f>
        <v>0</v>
      </c>
      <c r="X972" s="26">
        <f>IF(B972="","",ROUND(IF(M972="",0,W972*M972)+IF(N972="",0,N972),2))</f>
        <v>0</v>
      </c>
      <c r="Y972" s="26">
        <f>IF(B972="","",ROUND(W972-X972-IF(P972="",0,P972),2))</f>
        <v>0</v>
      </c>
      <c r="Z972" s="26">
        <f>IF(B972="","",IF(H972="Retail",IF(TaxOnRetail="Yes",ROUND(Y972*TaxRate,2),0),IF(H972="Service",IF(TaxOnServices="Yes",ROUND(Y972*TaxRate,2),0),0)))</f>
        <v>0</v>
      </c>
      <c r="AA972" s="26">
        <f>IF(B972="","",ROUND(Y972+Z972,2))</f>
        <v>0</v>
      </c>
      <c r="AB972" s="26">
        <f>IF(B972="","",ROUND(T972*IF(H972="Retail",IFERROR(INDEX(Inventory!$H$5:$H$304,MATCH(I972,Inventory!$A$5:$A$304,0))*1,0),IFERROR(INDEX(Services!$Q$5:$Q$204,MATCH(I972,Services!$A$5:$A$204,0))*1,0)),2))</f>
        <v>0</v>
      </c>
      <c r="AC972" s="26">
        <f>IF(B972="","",ROUND(Y972-AB972,2))</f>
        <v>0</v>
      </c>
      <c r="AD972" s="38">
        <f>IF(B972="","",IF(C972="","No",IF(COUNTIFS($C$5:C972,C972)=1,"Yes","No")))</f>
        <v>0</v>
      </c>
      <c r="AE972" s="26">
        <f>IF(B972="","",ROUND(SUMIFS(Payments!$G$5:$G$1204,Payments!$H$5:$H$1204,A972,Payments!$Q$5:$Q$1204,"Yes"),2))</f>
        <v>0</v>
      </c>
      <c r="AF972" s="26">
        <f>IF(B972="","",IF(AD972="No",0,ROUND(SUMIFS(Payments!$G$5:$G$1204,Payments!$I$5:$I$1204,C972,Payments!$H$5:$H$1204,"",Payments!$Q$5:$Q$1204,"Yes"),2)))</f>
        <v>0</v>
      </c>
      <c r="AG972" s="26">
        <f>IF(B972="","",ROUND(AE972+AF972,2))</f>
        <v>0</v>
      </c>
      <c r="AH972" s="26">
        <f>IF(B972="","",ROUND(AA972-AG972,2))</f>
        <v>0</v>
      </c>
      <c r="AI972" s="39">
        <f>IF(B972="","",IF(AA972&lt;=0,"No charge",IF(AH972&lt;=0.004,"Paid",IF(AG972&lt;=0.004,"Unpaid","Part paid"))))</f>
        <v>0</v>
      </c>
      <c r="AJ972" s="38">
        <f>IF(B972="","",IF(H972&lt;&gt;"Service","",IF(D972="","No",IF(COUNTIFS($D$5:$D$1204,D972,$B$5:$B$1204,B972,$H$5:$H$1204,"Retail")&gt;0,"Yes","No"))))</f>
        <v>0</v>
      </c>
      <c r="AK972" s="25">
        <f>IF(B972="","",COUNTIFS($Y$5:$Y$1204,"&gt;"&amp;Y972)+COUNTIFS($Y$5:Y972,Y972))</f>
        <v>0</v>
      </c>
      <c r="AL972" s="39">
        <f>IF(B972="","",IF(H972="","Add - what kind of sale is this?",IF(IF(V972&lt;=0,P972="",FALSE),"Check - no price found for this item",IF(F972="","Assign - nobody credited",IF(AH972&gt;0.004,"Unpaid - balance outstanding",IF(AC972&lt;0,"Loss - sold below cost",IF(X972&gt;W972*0.5,"Check - more than half off","OK")))))))</f>
        <v>0</v>
      </c>
    </row>
    <row r="973" spans="1:38">
      <c r="A973" s="28">
        <f>IF(B973="","",SalePrefix&amp;TEXT(ROW()-4,"0000"))</f>
        <v>0</v>
      </c>
      <c r="E973" s="15">
        <f>IF(D973="","",IFERROR(INDEX(Clients!$B$5:$B$504,MATCH(D973,Clients!$A$5:$A$504,0)),"Walk-in"))</f>
        <v>0</v>
      </c>
      <c r="G973" s="15">
        <f>IF(F973="","",IFERROR(INDEX(Staff!$B$5:$B$44,MATCH(F973,Staff!$A$5:$A$44,0)),"House"))</f>
        <v>0</v>
      </c>
      <c r="R973" s="15">
        <f>IF(B973="","",TEXT(B973,"yyyy-mm"))</f>
        <v>0</v>
      </c>
      <c r="S973" s="25">
        <f>IF(B973="","",WEEKNUM(B973,2))</f>
        <v>0</v>
      </c>
      <c r="T973" s="37">
        <f>IF(B973="","",IF(K973="",1,K973))</f>
        <v>0</v>
      </c>
      <c r="U973" s="15">
        <f>IF(B973="","",IF(J973&lt;&gt;"",J973,IF(H973="Retail",IFERROR(INDEX(Inventory!$B$5:$B$304,MATCH(I973,Inventory!$A$5:$A$304,0))&amp;"","Not in Inventory"),IFERROR(INDEX(Services!$B$5:$B$204,MATCH(I973,Services!$A$5:$A$204,0))&amp;"","Not in Services"))))</f>
        <v>0</v>
      </c>
      <c r="V973" s="26">
        <f>IF(B973="","",IF(L973&lt;&gt;"",L973,IF(H973="Retail",IFERROR(INDEX(Inventory!$I$5:$I$304,MATCH(I973,Inventory!$A$5:$A$304,0))*1,0),IFERROR(INDEX(Services!$G$5:$G$204,MATCH(I973,Services!$A$5:$A$204,0))*1,0))))</f>
        <v>0</v>
      </c>
      <c r="W973" s="26">
        <f>IF(B973="","",ROUND(T973*V973,2))</f>
        <v>0</v>
      </c>
      <c r="X973" s="26">
        <f>IF(B973="","",ROUND(IF(M973="",0,W973*M973)+IF(N973="",0,N973),2))</f>
        <v>0</v>
      </c>
      <c r="Y973" s="26">
        <f>IF(B973="","",ROUND(W973-X973-IF(P973="",0,P973),2))</f>
        <v>0</v>
      </c>
      <c r="Z973" s="26">
        <f>IF(B973="","",IF(H973="Retail",IF(TaxOnRetail="Yes",ROUND(Y973*TaxRate,2),0),IF(H973="Service",IF(TaxOnServices="Yes",ROUND(Y973*TaxRate,2),0),0)))</f>
        <v>0</v>
      </c>
      <c r="AA973" s="26">
        <f>IF(B973="","",ROUND(Y973+Z973,2))</f>
        <v>0</v>
      </c>
      <c r="AB973" s="26">
        <f>IF(B973="","",ROUND(T973*IF(H973="Retail",IFERROR(INDEX(Inventory!$H$5:$H$304,MATCH(I973,Inventory!$A$5:$A$304,0))*1,0),IFERROR(INDEX(Services!$Q$5:$Q$204,MATCH(I973,Services!$A$5:$A$204,0))*1,0)),2))</f>
        <v>0</v>
      </c>
      <c r="AC973" s="26">
        <f>IF(B973="","",ROUND(Y973-AB973,2))</f>
        <v>0</v>
      </c>
      <c r="AD973" s="38">
        <f>IF(B973="","",IF(C973="","No",IF(COUNTIFS($C$5:C973,C973)=1,"Yes","No")))</f>
        <v>0</v>
      </c>
      <c r="AE973" s="26">
        <f>IF(B973="","",ROUND(SUMIFS(Payments!$G$5:$G$1204,Payments!$H$5:$H$1204,A973,Payments!$Q$5:$Q$1204,"Yes"),2))</f>
        <v>0</v>
      </c>
      <c r="AF973" s="26">
        <f>IF(B973="","",IF(AD973="No",0,ROUND(SUMIFS(Payments!$G$5:$G$1204,Payments!$I$5:$I$1204,C973,Payments!$H$5:$H$1204,"",Payments!$Q$5:$Q$1204,"Yes"),2)))</f>
        <v>0</v>
      </c>
      <c r="AG973" s="26">
        <f>IF(B973="","",ROUND(AE973+AF973,2))</f>
        <v>0</v>
      </c>
      <c r="AH973" s="26">
        <f>IF(B973="","",ROUND(AA973-AG973,2))</f>
        <v>0</v>
      </c>
      <c r="AI973" s="39">
        <f>IF(B973="","",IF(AA973&lt;=0,"No charge",IF(AH973&lt;=0.004,"Paid",IF(AG973&lt;=0.004,"Unpaid","Part paid"))))</f>
        <v>0</v>
      </c>
      <c r="AJ973" s="38">
        <f>IF(B973="","",IF(H973&lt;&gt;"Service","",IF(D973="","No",IF(COUNTIFS($D$5:$D$1204,D973,$B$5:$B$1204,B973,$H$5:$H$1204,"Retail")&gt;0,"Yes","No"))))</f>
        <v>0</v>
      </c>
      <c r="AK973" s="25">
        <f>IF(B973="","",COUNTIFS($Y$5:$Y$1204,"&gt;"&amp;Y973)+COUNTIFS($Y$5:Y973,Y973))</f>
        <v>0</v>
      </c>
      <c r="AL973" s="39">
        <f>IF(B973="","",IF(H973="","Add - what kind of sale is this?",IF(IF(V973&lt;=0,P973="",FALSE),"Check - no price found for this item",IF(F973="","Assign - nobody credited",IF(AH973&gt;0.004,"Unpaid - balance outstanding",IF(AC973&lt;0,"Loss - sold below cost",IF(X973&gt;W973*0.5,"Check - more than half off","OK")))))))</f>
        <v>0</v>
      </c>
    </row>
    <row r="974" spans="1:38">
      <c r="A974" s="28">
        <f>IF(B974="","",SalePrefix&amp;TEXT(ROW()-4,"0000"))</f>
        <v>0</v>
      </c>
      <c r="E974" s="15">
        <f>IF(D974="","",IFERROR(INDEX(Clients!$B$5:$B$504,MATCH(D974,Clients!$A$5:$A$504,0)),"Walk-in"))</f>
        <v>0</v>
      </c>
      <c r="G974" s="15">
        <f>IF(F974="","",IFERROR(INDEX(Staff!$B$5:$B$44,MATCH(F974,Staff!$A$5:$A$44,0)),"House"))</f>
        <v>0</v>
      </c>
      <c r="R974" s="15">
        <f>IF(B974="","",TEXT(B974,"yyyy-mm"))</f>
        <v>0</v>
      </c>
      <c r="S974" s="25">
        <f>IF(B974="","",WEEKNUM(B974,2))</f>
        <v>0</v>
      </c>
      <c r="T974" s="37">
        <f>IF(B974="","",IF(K974="",1,K974))</f>
        <v>0</v>
      </c>
      <c r="U974" s="15">
        <f>IF(B974="","",IF(J974&lt;&gt;"",J974,IF(H974="Retail",IFERROR(INDEX(Inventory!$B$5:$B$304,MATCH(I974,Inventory!$A$5:$A$304,0))&amp;"","Not in Inventory"),IFERROR(INDEX(Services!$B$5:$B$204,MATCH(I974,Services!$A$5:$A$204,0))&amp;"","Not in Services"))))</f>
        <v>0</v>
      </c>
      <c r="V974" s="26">
        <f>IF(B974="","",IF(L974&lt;&gt;"",L974,IF(H974="Retail",IFERROR(INDEX(Inventory!$I$5:$I$304,MATCH(I974,Inventory!$A$5:$A$304,0))*1,0),IFERROR(INDEX(Services!$G$5:$G$204,MATCH(I974,Services!$A$5:$A$204,0))*1,0))))</f>
        <v>0</v>
      </c>
      <c r="W974" s="26">
        <f>IF(B974="","",ROUND(T974*V974,2))</f>
        <v>0</v>
      </c>
      <c r="X974" s="26">
        <f>IF(B974="","",ROUND(IF(M974="",0,W974*M974)+IF(N974="",0,N974),2))</f>
        <v>0</v>
      </c>
      <c r="Y974" s="26">
        <f>IF(B974="","",ROUND(W974-X974-IF(P974="",0,P974),2))</f>
        <v>0</v>
      </c>
      <c r="Z974" s="26">
        <f>IF(B974="","",IF(H974="Retail",IF(TaxOnRetail="Yes",ROUND(Y974*TaxRate,2),0),IF(H974="Service",IF(TaxOnServices="Yes",ROUND(Y974*TaxRate,2),0),0)))</f>
        <v>0</v>
      </c>
      <c r="AA974" s="26">
        <f>IF(B974="","",ROUND(Y974+Z974,2))</f>
        <v>0</v>
      </c>
      <c r="AB974" s="26">
        <f>IF(B974="","",ROUND(T974*IF(H974="Retail",IFERROR(INDEX(Inventory!$H$5:$H$304,MATCH(I974,Inventory!$A$5:$A$304,0))*1,0),IFERROR(INDEX(Services!$Q$5:$Q$204,MATCH(I974,Services!$A$5:$A$204,0))*1,0)),2))</f>
        <v>0</v>
      </c>
      <c r="AC974" s="26">
        <f>IF(B974="","",ROUND(Y974-AB974,2))</f>
        <v>0</v>
      </c>
      <c r="AD974" s="38">
        <f>IF(B974="","",IF(C974="","No",IF(COUNTIFS($C$5:C974,C974)=1,"Yes","No")))</f>
        <v>0</v>
      </c>
      <c r="AE974" s="26">
        <f>IF(B974="","",ROUND(SUMIFS(Payments!$G$5:$G$1204,Payments!$H$5:$H$1204,A974,Payments!$Q$5:$Q$1204,"Yes"),2))</f>
        <v>0</v>
      </c>
      <c r="AF974" s="26">
        <f>IF(B974="","",IF(AD974="No",0,ROUND(SUMIFS(Payments!$G$5:$G$1204,Payments!$I$5:$I$1204,C974,Payments!$H$5:$H$1204,"",Payments!$Q$5:$Q$1204,"Yes"),2)))</f>
        <v>0</v>
      </c>
      <c r="AG974" s="26">
        <f>IF(B974="","",ROUND(AE974+AF974,2))</f>
        <v>0</v>
      </c>
      <c r="AH974" s="26">
        <f>IF(B974="","",ROUND(AA974-AG974,2))</f>
        <v>0</v>
      </c>
      <c r="AI974" s="39">
        <f>IF(B974="","",IF(AA974&lt;=0,"No charge",IF(AH974&lt;=0.004,"Paid",IF(AG974&lt;=0.004,"Unpaid","Part paid"))))</f>
        <v>0</v>
      </c>
      <c r="AJ974" s="38">
        <f>IF(B974="","",IF(H974&lt;&gt;"Service","",IF(D974="","No",IF(COUNTIFS($D$5:$D$1204,D974,$B$5:$B$1204,B974,$H$5:$H$1204,"Retail")&gt;0,"Yes","No"))))</f>
        <v>0</v>
      </c>
      <c r="AK974" s="25">
        <f>IF(B974="","",COUNTIFS($Y$5:$Y$1204,"&gt;"&amp;Y974)+COUNTIFS($Y$5:Y974,Y974))</f>
        <v>0</v>
      </c>
      <c r="AL974" s="39">
        <f>IF(B974="","",IF(H974="","Add - what kind of sale is this?",IF(IF(V974&lt;=0,P974="",FALSE),"Check - no price found for this item",IF(F974="","Assign - nobody credited",IF(AH974&gt;0.004,"Unpaid - balance outstanding",IF(AC974&lt;0,"Loss - sold below cost",IF(X974&gt;W974*0.5,"Check - more than half off","OK")))))))</f>
        <v>0</v>
      </c>
    </row>
    <row r="975" spans="1:38">
      <c r="A975" s="28">
        <f>IF(B975="","",SalePrefix&amp;TEXT(ROW()-4,"0000"))</f>
        <v>0</v>
      </c>
      <c r="E975" s="15">
        <f>IF(D975="","",IFERROR(INDEX(Clients!$B$5:$B$504,MATCH(D975,Clients!$A$5:$A$504,0)),"Walk-in"))</f>
        <v>0</v>
      </c>
      <c r="G975" s="15">
        <f>IF(F975="","",IFERROR(INDEX(Staff!$B$5:$B$44,MATCH(F975,Staff!$A$5:$A$44,0)),"House"))</f>
        <v>0</v>
      </c>
      <c r="R975" s="15">
        <f>IF(B975="","",TEXT(B975,"yyyy-mm"))</f>
        <v>0</v>
      </c>
      <c r="S975" s="25">
        <f>IF(B975="","",WEEKNUM(B975,2))</f>
        <v>0</v>
      </c>
      <c r="T975" s="37">
        <f>IF(B975="","",IF(K975="",1,K975))</f>
        <v>0</v>
      </c>
      <c r="U975" s="15">
        <f>IF(B975="","",IF(J975&lt;&gt;"",J975,IF(H975="Retail",IFERROR(INDEX(Inventory!$B$5:$B$304,MATCH(I975,Inventory!$A$5:$A$304,0))&amp;"","Not in Inventory"),IFERROR(INDEX(Services!$B$5:$B$204,MATCH(I975,Services!$A$5:$A$204,0))&amp;"","Not in Services"))))</f>
        <v>0</v>
      </c>
      <c r="V975" s="26">
        <f>IF(B975="","",IF(L975&lt;&gt;"",L975,IF(H975="Retail",IFERROR(INDEX(Inventory!$I$5:$I$304,MATCH(I975,Inventory!$A$5:$A$304,0))*1,0),IFERROR(INDEX(Services!$G$5:$G$204,MATCH(I975,Services!$A$5:$A$204,0))*1,0))))</f>
        <v>0</v>
      </c>
      <c r="W975" s="26">
        <f>IF(B975="","",ROUND(T975*V975,2))</f>
        <v>0</v>
      </c>
      <c r="X975" s="26">
        <f>IF(B975="","",ROUND(IF(M975="",0,W975*M975)+IF(N975="",0,N975),2))</f>
        <v>0</v>
      </c>
      <c r="Y975" s="26">
        <f>IF(B975="","",ROUND(W975-X975-IF(P975="",0,P975),2))</f>
        <v>0</v>
      </c>
      <c r="Z975" s="26">
        <f>IF(B975="","",IF(H975="Retail",IF(TaxOnRetail="Yes",ROUND(Y975*TaxRate,2),0),IF(H975="Service",IF(TaxOnServices="Yes",ROUND(Y975*TaxRate,2),0),0)))</f>
        <v>0</v>
      </c>
      <c r="AA975" s="26">
        <f>IF(B975="","",ROUND(Y975+Z975,2))</f>
        <v>0</v>
      </c>
      <c r="AB975" s="26">
        <f>IF(B975="","",ROUND(T975*IF(H975="Retail",IFERROR(INDEX(Inventory!$H$5:$H$304,MATCH(I975,Inventory!$A$5:$A$304,0))*1,0),IFERROR(INDEX(Services!$Q$5:$Q$204,MATCH(I975,Services!$A$5:$A$204,0))*1,0)),2))</f>
        <v>0</v>
      </c>
      <c r="AC975" s="26">
        <f>IF(B975="","",ROUND(Y975-AB975,2))</f>
        <v>0</v>
      </c>
      <c r="AD975" s="38">
        <f>IF(B975="","",IF(C975="","No",IF(COUNTIFS($C$5:C975,C975)=1,"Yes","No")))</f>
        <v>0</v>
      </c>
      <c r="AE975" s="26">
        <f>IF(B975="","",ROUND(SUMIFS(Payments!$G$5:$G$1204,Payments!$H$5:$H$1204,A975,Payments!$Q$5:$Q$1204,"Yes"),2))</f>
        <v>0</v>
      </c>
      <c r="AF975" s="26">
        <f>IF(B975="","",IF(AD975="No",0,ROUND(SUMIFS(Payments!$G$5:$G$1204,Payments!$I$5:$I$1204,C975,Payments!$H$5:$H$1204,"",Payments!$Q$5:$Q$1204,"Yes"),2)))</f>
        <v>0</v>
      </c>
      <c r="AG975" s="26">
        <f>IF(B975="","",ROUND(AE975+AF975,2))</f>
        <v>0</v>
      </c>
      <c r="AH975" s="26">
        <f>IF(B975="","",ROUND(AA975-AG975,2))</f>
        <v>0</v>
      </c>
      <c r="AI975" s="39">
        <f>IF(B975="","",IF(AA975&lt;=0,"No charge",IF(AH975&lt;=0.004,"Paid",IF(AG975&lt;=0.004,"Unpaid","Part paid"))))</f>
        <v>0</v>
      </c>
      <c r="AJ975" s="38">
        <f>IF(B975="","",IF(H975&lt;&gt;"Service","",IF(D975="","No",IF(COUNTIFS($D$5:$D$1204,D975,$B$5:$B$1204,B975,$H$5:$H$1204,"Retail")&gt;0,"Yes","No"))))</f>
        <v>0</v>
      </c>
      <c r="AK975" s="25">
        <f>IF(B975="","",COUNTIFS($Y$5:$Y$1204,"&gt;"&amp;Y975)+COUNTIFS($Y$5:Y975,Y975))</f>
        <v>0</v>
      </c>
      <c r="AL975" s="39">
        <f>IF(B975="","",IF(H975="","Add - what kind of sale is this?",IF(IF(V975&lt;=0,P975="",FALSE),"Check - no price found for this item",IF(F975="","Assign - nobody credited",IF(AH975&gt;0.004,"Unpaid - balance outstanding",IF(AC975&lt;0,"Loss - sold below cost",IF(X975&gt;W975*0.5,"Check - more than half off","OK")))))))</f>
        <v>0</v>
      </c>
    </row>
    <row r="976" spans="1:38">
      <c r="A976" s="28">
        <f>IF(B976="","",SalePrefix&amp;TEXT(ROW()-4,"0000"))</f>
        <v>0</v>
      </c>
      <c r="E976" s="15">
        <f>IF(D976="","",IFERROR(INDEX(Clients!$B$5:$B$504,MATCH(D976,Clients!$A$5:$A$504,0)),"Walk-in"))</f>
        <v>0</v>
      </c>
      <c r="G976" s="15">
        <f>IF(F976="","",IFERROR(INDEX(Staff!$B$5:$B$44,MATCH(F976,Staff!$A$5:$A$44,0)),"House"))</f>
        <v>0</v>
      </c>
      <c r="R976" s="15">
        <f>IF(B976="","",TEXT(B976,"yyyy-mm"))</f>
        <v>0</v>
      </c>
      <c r="S976" s="25">
        <f>IF(B976="","",WEEKNUM(B976,2))</f>
        <v>0</v>
      </c>
      <c r="T976" s="37">
        <f>IF(B976="","",IF(K976="",1,K976))</f>
        <v>0</v>
      </c>
      <c r="U976" s="15">
        <f>IF(B976="","",IF(J976&lt;&gt;"",J976,IF(H976="Retail",IFERROR(INDEX(Inventory!$B$5:$B$304,MATCH(I976,Inventory!$A$5:$A$304,0))&amp;"","Not in Inventory"),IFERROR(INDEX(Services!$B$5:$B$204,MATCH(I976,Services!$A$5:$A$204,0))&amp;"","Not in Services"))))</f>
        <v>0</v>
      </c>
      <c r="V976" s="26">
        <f>IF(B976="","",IF(L976&lt;&gt;"",L976,IF(H976="Retail",IFERROR(INDEX(Inventory!$I$5:$I$304,MATCH(I976,Inventory!$A$5:$A$304,0))*1,0),IFERROR(INDEX(Services!$G$5:$G$204,MATCH(I976,Services!$A$5:$A$204,0))*1,0))))</f>
        <v>0</v>
      </c>
      <c r="W976" s="26">
        <f>IF(B976="","",ROUND(T976*V976,2))</f>
        <v>0</v>
      </c>
      <c r="X976" s="26">
        <f>IF(B976="","",ROUND(IF(M976="",0,W976*M976)+IF(N976="",0,N976),2))</f>
        <v>0</v>
      </c>
      <c r="Y976" s="26">
        <f>IF(B976="","",ROUND(W976-X976-IF(P976="",0,P976),2))</f>
        <v>0</v>
      </c>
      <c r="Z976" s="26">
        <f>IF(B976="","",IF(H976="Retail",IF(TaxOnRetail="Yes",ROUND(Y976*TaxRate,2),0),IF(H976="Service",IF(TaxOnServices="Yes",ROUND(Y976*TaxRate,2),0),0)))</f>
        <v>0</v>
      </c>
      <c r="AA976" s="26">
        <f>IF(B976="","",ROUND(Y976+Z976,2))</f>
        <v>0</v>
      </c>
      <c r="AB976" s="26">
        <f>IF(B976="","",ROUND(T976*IF(H976="Retail",IFERROR(INDEX(Inventory!$H$5:$H$304,MATCH(I976,Inventory!$A$5:$A$304,0))*1,0),IFERROR(INDEX(Services!$Q$5:$Q$204,MATCH(I976,Services!$A$5:$A$204,0))*1,0)),2))</f>
        <v>0</v>
      </c>
      <c r="AC976" s="26">
        <f>IF(B976="","",ROUND(Y976-AB976,2))</f>
        <v>0</v>
      </c>
      <c r="AD976" s="38">
        <f>IF(B976="","",IF(C976="","No",IF(COUNTIFS($C$5:C976,C976)=1,"Yes","No")))</f>
        <v>0</v>
      </c>
      <c r="AE976" s="26">
        <f>IF(B976="","",ROUND(SUMIFS(Payments!$G$5:$G$1204,Payments!$H$5:$H$1204,A976,Payments!$Q$5:$Q$1204,"Yes"),2))</f>
        <v>0</v>
      </c>
      <c r="AF976" s="26">
        <f>IF(B976="","",IF(AD976="No",0,ROUND(SUMIFS(Payments!$G$5:$G$1204,Payments!$I$5:$I$1204,C976,Payments!$H$5:$H$1204,"",Payments!$Q$5:$Q$1204,"Yes"),2)))</f>
        <v>0</v>
      </c>
      <c r="AG976" s="26">
        <f>IF(B976="","",ROUND(AE976+AF976,2))</f>
        <v>0</v>
      </c>
      <c r="AH976" s="26">
        <f>IF(B976="","",ROUND(AA976-AG976,2))</f>
        <v>0</v>
      </c>
      <c r="AI976" s="39">
        <f>IF(B976="","",IF(AA976&lt;=0,"No charge",IF(AH976&lt;=0.004,"Paid",IF(AG976&lt;=0.004,"Unpaid","Part paid"))))</f>
        <v>0</v>
      </c>
      <c r="AJ976" s="38">
        <f>IF(B976="","",IF(H976&lt;&gt;"Service","",IF(D976="","No",IF(COUNTIFS($D$5:$D$1204,D976,$B$5:$B$1204,B976,$H$5:$H$1204,"Retail")&gt;0,"Yes","No"))))</f>
        <v>0</v>
      </c>
      <c r="AK976" s="25">
        <f>IF(B976="","",COUNTIFS($Y$5:$Y$1204,"&gt;"&amp;Y976)+COUNTIFS($Y$5:Y976,Y976))</f>
        <v>0</v>
      </c>
      <c r="AL976" s="39">
        <f>IF(B976="","",IF(H976="","Add - what kind of sale is this?",IF(IF(V976&lt;=0,P976="",FALSE),"Check - no price found for this item",IF(F976="","Assign - nobody credited",IF(AH976&gt;0.004,"Unpaid - balance outstanding",IF(AC976&lt;0,"Loss - sold below cost",IF(X976&gt;W976*0.5,"Check - more than half off","OK")))))))</f>
        <v>0</v>
      </c>
    </row>
    <row r="977" spans="1:38">
      <c r="A977" s="28">
        <f>IF(B977="","",SalePrefix&amp;TEXT(ROW()-4,"0000"))</f>
        <v>0</v>
      </c>
      <c r="E977" s="15">
        <f>IF(D977="","",IFERROR(INDEX(Clients!$B$5:$B$504,MATCH(D977,Clients!$A$5:$A$504,0)),"Walk-in"))</f>
        <v>0</v>
      </c>
      <c r="G977" s="15">
        <f>IF(F977="","",IFERROR(INDEX(Staff!$B$5:$B$44,MATCH(F977,Staff!$A$5:$A$44,0)),"House"))</f>
        <v>0</v>
      </c>
      <c r="R977" s="15">
        <f>IF(B977="","",TEXT(B977,"yyyy-mm"))</f>
        <v>0</v>
      </c>
      <c r="S977" s="25">
        <f>IF(B977="","",WEEKNUM(B977,2))</f>
        <v>0</v>
      </c>
      <c r="T977" s="37">
        <f>IF(B977="","",IF(K977="",1,K977))</f>
        <v>0</v>
      </c>
      <c r="U977" s="15">
        <f>IF(B977="","",IF(J977&lt;&gt;"",J977,IF(H977="Retail",IFERROR(INDEX(Inventory!$B$5:$B$304,MATCH(I977,Inventory!$A$5:$A$304,0))&amp;"","Not in Inventory"),IFERROR(INDEX(Services!$B$5:$B$204,MATCH(I977,Services!$A$5:$A$204,0))&amp;"","Not in Services"))))</f>
        <v>0</v>
      </c>
      <c r="V977" s="26">
        <f>IF(B977="","",IF(L977&lt;&gt;"",L977,IF(H977="Retail",IFERROR(INDEX(Inventory!$I$5:$I$304,MATCH(I977,Inventory!$A$5:$A$304,0))*1,0),IFERROR(INDEX(Services!$G$5:$G$204,MATCH(I977,Services!$A$5:$A$204,0))*1,0))))</f>
        <v>0</v>
      </c>
      <c r="W977" s="26">
        <f>IF(B977="","",ROUND(T977*V977,2))</f>
        <v>0</v>
      </c>
      <c r="X977" s="26">
        <f>IF(B977="","",ROUND(IF(M977="",0,W977*M977)+IF(N977="",0,N977),2))</f>
        <v>0</v>
      </c>
      <c r="Y977" s="26">
        <f>IF(B977="","",ROUND(W977-X977-IF(P977="",0,P977),2))</f>
        <v>0</v>
      </c>
      <c r="Z977" s="26">
        <f>IF(B977="","",IF(H977="Retail",IF(TaxOnRetail="Yes",ROUND(Y977*TaxRate,2),0),IF(H977="Service",IF(TaxOnServices="Yes",ROUND(Y977*TaxRate,2),0),0)))</f>
        <v>0</v>
      </c>
      <c r="AA977" s="26">
        <f>IF(B977="","",ROUND(Y977+Z977,2))</f>
        <v>0</v>
      </c>
      <c r="AB977" s="26">
        <f>IF(B977="","",ROUND(T977*IF(H977="Retail",IFERROR(INDEX(Inventory!$H$5:$H$304,MATCH(I977,Inventory!$A$5:$A$304,0))*1,0),IFERROR(INDEX(Services!$Q$5:$Q$204,MATCH(I977,Services!$A$5:$A$204,0))*1,0)),2))</f>
        <v>0</v>
      </c>
      <c r="AC977" s="26">
        <f>IF(B977="","",ROUND(Y977-AB977,2))</f>
        <v>0</v>
      </c>
      <c r="AD977" s="38">
        <f>IF(B977="","",IF(C977="","No",IF(COUNTIFS($C$5:C977,C977)=1,"Yes","No")))</f>
        <v>0</v>
      </c>
      <c r="AE977" s="26">
        <f>IF(B977="","",ROUND(SUMIFS(Payments!$G$5:$G$1204,Payments!$H$5:$H$1204,A977,Payments!$Q$5:$Q$1204,"Yes"),2))</f>
        <v>0</v>
      </c>
      <c r="AF977" s="26">
        <f>IF(B977="","",IF(AD977="No",0,ROUND(SUMIFS(Payments!$G$5:$G$1204,Payments!$I$5:$I$1204,C977,Payments!$H$5:$H$1204,"",Payments!$Q$5:$Q$1204,"Yes"),2)))</f>
        <v>0</v>
      </c>
      <c r="AG977" s="26">
        <f>IF(B977="","",ROUND(AE977+AF977,2))</f>
        <v>0</v>
      </c>
      <c r="AH977" s="26">
        <f>IF(B977="","",ROUND(AA977-AG977,2))</f>
        <v>0</v>
      </c>
      <c r="AI977" s="39">
        <f>IF(B977="","",IF(AA977&lt;=0,"No charge",IF(AH977&lt;=0.004,"Paid",IF(AG977&lt;=0.004,"Unpaid","Part paid"))))</f>
        <v>0</v>
      </c>
      <c r="AJ977" s="38">
        <f>IF(B977="","",IF(H977&lt;&gt;"Service","",IF(D977="","No",IF(COUNTIFS($D$5:$D$1204,D977,$B$5:$B$1204,B977,$H$5:$H$1204,"Retail")&gt;0,"Yes","No"))))</f>
        <v>0</v>
      </c>
      <c r="AK977" s="25">
        <f>IF(B977="","",COUNTIFS($Y$5:$Y$1204,"&gt;"&amp;Y977)+COUNTIFS($Y$5:Y977,Y977))</f>
        <v>0</v>
      </c>
      <c r="AL977" s="39">
        <f>IF(B977="","",IF(H977="","Add - what kind of sale is this?",IF(IF(V977&lt;=0,P977="",FALSE),"Check - no price found for this item",IF(F977="","Assign - nobody credited",IF(AH977&gt;0.004,"Unpaid - balance outstanding",IF(AC977&lt;0,"Loss - sold below cost",IF(X977&gt;W977*0.5,"Check - more than half off","OK")))))))</f>
        <v>0</v>
      </c>
    </row>
    <row r="978" spans="1:38">
      <c r="A978" s="28">
        <f>IF(B978="","",SalePrefix&amp;TEXT(ROW()-4,"0000"))</f>
        <v>0</v>
      </c>
      <c r="E978" s="15">
        <f>IF(D978="","",IFERROR(INDEX(Clients!$B$5:$B$504,MATCH(D978,Clients!$A$5:$A$504,0)),"Walk-in"))</f>
        <v>0</v>
      </c>
      <c r="G978" s="15">
        <f>IF(F978="","",IFERROR(INDEX(Staff!$B$5:$B$44,MATCH(F978,Staff!$A$5:$A$44,0)),"House"))</f>
        <v>0</v>
      </c>
      <c r="R978" s="15">
        <f>IF(B978="","",TEXT(B978,"yyyy-mm"))</f>
        <v>0</v>
      </c>
      <c r="S978" s="25">
        <f>IF(B978="","",WEEKNUM(B978,2))</f>
        <v>0</v>
      </c>
      <c r="T978" s="37">
        <f>IF(B978="","",IF(K978="",1,K978))</f>
        <v>0</v>
      </c>
      <c r="U978" s="15">
        <f>IF(B978="","",IF(J978&lt;&gt;"",J978,IF(H978="Retail",IFERROR(INDEX(Inventory!$B$5:$B$304,MATCH(I978,Inventory!$A$5:$A$304,0))&amp;"","Not in Inventory"),IFERROR(INDEX(Services!$B$5:$B$204,MATCH(I978,Services!$A$5:$A$204,0))&amp;"","Not in Services"))))</f>
        <v>0</v>
      </c>
      <c r="V978" s="26">
        <f>IF(B978="","",IF(L978&lt;&gt;"",L978,IF(H978="Retail",IFERROR(INDEX(Inventory!$I$5:$I$304,MATCH(I978,Inventory!$A$5:$A$304,0))*1,0),IFERROR(INDEX(Services!$G$5:$G$204,MATCH(I978,Services!$A$5:$A$204,0))*1,0))))</f>
        <v>0</v>
      </c>
      <c r="W978" s="26">
        <f>IF(B978="","",ROUND(T978*V978,2))</f>
        <v>0</v>
      </c>
      <c r="X978" s="26">
        <f>IF(B978="","",ROUND(IF(M978="",0,W978*M978)+IF(N978="",0,N978),2))</f>
        <v>0</v>
      </c>
      <c r="Y978" s="26">
        <f>IF(B978="","",ROUND(W978-X978-IF(P978="",0,P978),2))</f>
        <v>0</v>
      </c>
      <c r="Z978" s="26">
        <f>IF(B978="","",IF(H978="Retail",IF(TaxOnRetail="Yes",ROUND(Y978*TaxRate,2),0),IF(H978="Service",IF(TaxOnServices="Yes",ROUND(Y978*TaxRate,2),0),0)))</f>
        <v>0</v>
      </c>
      <c r="AA978" s="26">
        <f>IF(B978="","",ROUND(Y978+Z978,2))</f>
        <v>0</v>
      </c>
      <c r="AB978" s="26">
        <f>IF(B978="","",ROUND(T978*IF(H978="Retail",IFERROR(INDEX(Inventory!$H$5:$H$304,MATCH(I978,Inventory!$A$5:$A$304,0))*1,0),IFERROR(INDEX(Services!$Q$5:$Q$204,MATCH(I978,Services!$A$5:$A$204,0))*1,0)),2))</f>
        <v>0</v>
      </c>
      <c r="AC978" s="26">
        <f>IF(B978="","",ROUND(Y978-AB978,2))</f>
        <v>0</v>
      </c>
      <c r="AD978" s="38">
        <f>IF(B978="","",IF(C978="","No",IF(COUNTIFS($C$5:C978,C978)=1,"Yes","No")))</f>
        <v>0</v>
      </c>
      <c r="AE978" s="26">
        <f>IF(B978="","",ROUND(SUMIFS(Payments!$G$5:$G$1204,Payments!$H$5:$H$1204,A978,Payments!$Q$5:$Q$1204,"Yes"),2))</f>
        <v>0</v>
      </c>
      <c r="AF978" s="26">
        <f>IF(B978="","",IF(AD978="No",0,ROUND(SUMIFS(Payments!$G$5:$G$1204,Payments!$I$5:$I$1204,C978,Payments!$H$5:$H$1204,"",Payments!$Q$5:$Q$1204,"Yes"),2)))</f>
        <v>0</v>
      </c>
      <c r="AG978" s="26">
        <f>IF(B978="","",ROUND(AE978+AF978,2))</f>
        <v>0</v>
      </c>
      <c r="AH978" s="26">
        <f>IF(B978="","",ROUND(AA978-AG978,2))</f>
        <v>0</v>
      </c>
      <c r="AI978" s="39">
        <f>IF(B978="","",IF(AA978&lt;=0,"No charge",IF(AH978&lt;=0.004,"Paid",IF(AG978&lt;=0.004,"Unpaid","Part paid"))))</f>
        <v>0</v>
      </c>
      <c r="AJ978" s="38">
        <f>IF(B978="","",IF(H978&lt;&gt;"Service","",IF(D978="","No",IF(COUNTIFS($D$5:$D$1204,D978,$B$5:$B$1204,B978,$H$5:$H$1204,"Retail")&gt;0,"Yes","No"))))</f>
        <v>0</v>
      </c>
      <c r="AK978" s="25">
        <f>IF(B978="","",COUNTIFS($Y$5:$Y$1204,"&gt;"&amp;Y978)+COUNTIFS($Y$5:Y978,Y978))</f>
        <v>0</v>
      </c>
      <c r="AL978" s="39">
        <f>IF(B978="","",IF(H978="","Add - what kind of sale is this?",IF(IF(V978&lt;=0,P978="",FALSE),"Check - no price found for this item",IF(F978="","Assign - nobody credited",IF(AH978&gt;0.004,"Unpaid - balance outstanding",IF(AC978&lt;0,"Loss - sold below cost",IF(X978&gt;W978*0.5,"Check - more than half off","OK")))))))</f>
        <v>0</v>
      </c>
    </row>
    <row r="979" spans="1:38">
      <c r="A979" s="28">
        <f>IF(B979="","",SalePrefix&amp;TEXT(ROW()-4,"0000"))</f>
        <v>0</v>
      </c>
      <c r="E979" s="15">
        <f>IF(D979="","",IFERROR(INDEX(Clients!$B$5:$B$504,MATCH(D979,Clients!$A$5:$A$504,0)),"Walk-in"))</f>
        <v>0</v>
      </c>
      <c r="G979" s="15">
        <f>IF(F979="","",IFERROR(INDEX(Staff!$B$5:$B$44,MATCH(F979,Staff!$A$5:$A$44,0)),"House"))</f>
        <v>0</v>
      </c>
      <c r="R979" s="15">
        <f>IF(B979="","",TEXT(B979,"yyyy-mm"))</f>
        <v>0</v>
      </c>
      <c r="S979" s="25">
        <f>IF(B979="","",WEEKNUM(B979,2))</f>
        <v>0</v>
      </c>
      <c r="T979" s="37">
        <f>IF(B979="","",IF(K979="",1,K979))</f>
        <v>0</v>
      </c>
      <c r="U979" s="15">
        <f>IF(B979="","",IF(J979&lt;&gt;"",J979,IF(H979="Retail",IFERROR(INDEX(Inventory!$B$5:$B$304,MATCH(I979,Inventory!$A$5:$A$304,0))&amp;"","Not in Inventory"),IFERROR(INDEX(Services!$B$5:$B$204,MATCH(I979,Services!$A$5:$A$204,0))&amp;"","Not in Services"))))</f>
        <v>0</v>
      </c>
      <c r="V979" s="26">
        <f>IF(B979="","",IF(L979&lt;&gt;"",L979,IF(H979="Retail",IFERROR(INDEX(Inventory!$I$5:$I$304,MATCH(I979,Inventory!$A$5:$A$304,0))*1,0),IFERROR(INDEX(Services!$G$5:$G$204,MATCH(I979,Services!$A$5:$A$204,0))*1,0))))</f>
        <v>0</v>
      </c>
      <c r="W979" s="26">
        <f>IF(B979="","",ROUND(T979*V979,2))</f>
        <v>0</v>
      </c>
      <c r="X979" s="26">
        <f>IF(B979="","",ROUND(IF(M979="",0,W979*M979)+IF(N979="",0,N979),2))</f>
        <v>0</v>
      </c>
      <c r="Y979" s="26">
        <f>IF(B979="","",ROUND(W979-X979-IF(P979="",0,P979),2))</f>
        <v>0</v>
      </c>
      <c r="Z979" s="26">
        <f>IF(B979="","",IF(H979="Retail",IF(TaxOnRetail="Yes",ROUND(Y979*TaxRate,2),0),IF(H979="Service",IF(TaxOnServices="Yes",ROUND(Y979*TaxRate,2),0),0)))</f>
        <v>0</v>
      </c>
      <c r="AA979" s="26">
        <f>IF(B979="","",ROUND(Y979+Z979,2))</f>
        <v>0</v>
      </c>
      <c r="AB979" s="26">
        <f>IF(B979="","",ROUND(T979*IF(H979="Retail",IFERROR(INDEX(Inventory!$H$5:$H$304,MATCH(I979,Inventory!$A$5:$A$304,0))*1,0),IFERROR(INDEX(Services!$Q$5:$Q$204,MATCH(I979,Services!$A$5:$A$204,0))*1,0)),2))</f>
        <v>0</v>
      </c>
      <c r="AC979" s="26">
        <f>IF(B979="","",ROUND(Y979-AB979,2))</f>
        <v>0</v>
      </c>
      <c r="AD979" s="38">
        <f>IF(B979="","",IF(C979="","No",IF(COUNTIFS($C$5:C979,C979)=1,"Yes","No")))</f>
        <v>0</v>
      </c>
      <c r="AE979" s="26">
        <f>IF(B979="","",ROUND(SUMIFS(Payments!$G$5:$G$1204,Payments!$H$5:$H$1204,A979,Payments!$Q$5:$Q$1204,"Yes"),2))</f>
        <v>0</v>
      </c>
      <c r="AF979" s="26">
        <f>IF(B979="","",IF(AD979="No",0,ROUND(SUMIFS(Payments!$G$5:$G$1204,Payments!$I$5:$I$1204,C979,Payments!$H$5:$H$1204,"",Payments!$Q$5:$Q$1204,"Yes"),2)))</f>
        <v>0</v>
      </c>
      <c r="AG979" s="26">
        <f>IF(B979="","",ROUND(AE979+AF979,2))</f>
        <v>0</v>
      </c>
      <c r="AH979" s="26">
        <f>IF(B979="","",ROUND(AA979-AG979,2))</f>
        <v>0</v>
      </c>
      <c r="AI979" s="39">
        <f>IF(B979="","",IF(AA979&lt;=0,"No charge",IF(AH979&lt;=0.004,"Paid",IF(AG979&lt;=0.004,"Unpaid","Part paid"))))</f>
        <v>0</v>
      </c>
      <c r="AJ979" s="38">
        <f>IF(B979="","",IF(H979&lt;&gt;"Service","",IF(D979="","No",IF(COUNTIFS($D$5:$D$1204,D979,$B$5:$B$1204,B979,$H$5:$H$1204,"Retail")&gt;0,"Yes","No"))))</f>
        <v>0</v>
      </c>
      <c r="AK979" s="25">
        <f>IF(B979="","",COUNTIFS($Y$5:$Y$1204,"&gt;"&amp;Y979)+COUNTIFS($Y$5:Y979,Y979))</f>
        <v>0</v>
      </c>
      <c r="AL979" s="39">
        <f>IF(B979="","",IF(H979="","Add - what kind of sale is this?",IF(IF(V979&lt;=0,P979="",FALSE),"Check - no price found for this item",IF(F979="","Assign - nobody credited",IF(AH979&gt;0.004,"Unpaid - balance outstanding",IF(AC979&lt;0,"Loss - sold below cost",IF(X979&gt;W979*0.5,"Check - more than half off","OK")))))))</f>
        <v>0</v>
      </c>
    </row>
    <row r="980" spans="1:38">
      <c r="A980" s="28">
        <f>IF(B980="","",SalePrefix&amp;TEXT(ROW()-4,"0000"))</f>
        <v>0</v>
      </c>
      <c r="E980" s="15">
        <f>IF(D980="","",IFERROR(INDEX(Clients!$B$5:$B$504,MATCH(D980,Clients!$A$5:$A$504,0)),"Walk-in"))</f>
        <v>0</v>
      </c>
      <c r="G980" s="15">
        <f>IF(F980="","",IFERROR(INDEX(Staff!$B$5:$B$44,MATCH(F980,Staff!$A$5:$A$44,0)),"House"))</f>
        <v>0</v>
      </c>
      <c r="R980" s="15">
        <f>IF(B980="","",TEXT(B980,"yyyy-mm"))</f>
        <v>0</v>
      </c>
      <c r="S980" s="25">
        <f>IF(B980="","",WEEKNUM(B980,2))</f>
        <v>0</v>
      </c>
      <c r="T980" s="37">
        <f>IF(B980="","",IF(K980="",1,K980))</f>
        <v>0</v>
      </c>
      <c r="U980" s="15">
        <f>IF(B980="","",IF(J980&lt;&gt;"",J980,IF(H980="Retail",IFERROR(INDEX(Inventory!$B$5:$B$304,MATCH(I980,Inventory!$A$5:$A$304,0))&amp;"","Not in Inventory"),IFERROR(INDEX(Services!$B$5:$B$204,MATCH(I980,Services!$A$5:$A$204,0))&amp;"","Not in Services"))))</f>
        <v>0</v>
      </c>
      <c r="V980" s="26">
        <f>IF(B980="","",IF(L980&lt;&gt;"",L980,IF(H980="Retail",IFERROR(INDEX(Inventory!$I$5:$I$304,MATCH(I980,Inventory!$A$5:$A$304,0))*1,0),IFERROR(INDEX(Services!$G$5:$G$204,MATCH(I980,Services!$A$5:$A$204,0))*1,0))))</f>
        <v>0</v>
      </c>
      <c r="W980" s="26">
        <f>IF(B980="","",ROUND(T980*V980,2))</f>
        <v>0</v>
      </c>
      <c r="X980" s="26">
        <f>IF(B980="","",ROUND(IF(M980="",0,W980*M980)+IF(N980="",0,N980),2))</f>
        <v>0</v>
      </c>
      <c r="Y980" s="26">
        <f>IF(B980="","",ROUND(W980-X980-IF(P980="",0,P980),2))</f>
        <v>0</v>
      </c>
      <c r="Z980" s="26">
        <f>IF(B980="","",IF(H980="Retail",IF(TaxOnRetail="Yes",ROUND(Y980*TaxRate,2),0),IF(H980="Service",IF(TaxOnServices="Yes",ROUND(Y980*TaxRate,2),0),0)))</f>
        <v>0</v>
      </c>
      <c r="AA980" s="26">
        <f>IF(B980="","",ROUND(Y980+Z980,2))</f>
        <v>0</v>
      </c>
      <c r="AB980" s="26">
        <f>IF(B980="","",ROUND(T980*IF(H980="Retail",IFERROR(INDEX(Inventory!$H$5:$H$304,MATCH(I980,Inventory!$A$5:$A$304,0))*1,0),IFERROR(INDEX(Services!$Q$5:$Q$204,MATCH(I980,Services!$A$5:$A$204,0))*1,0)),2))</f>
        <v>0</v>
      </c>
      <c r="AC980" s="26">
        <f>IF(B980="","",ROUND(Y980-AB980,2))</f>
        <v>0</v>
      </c>
      <c r="AD980" s="38">
        <f>IF(B980="","",IF(C980="","No",IF(COUNTIFS($C$5:C980,C980)=1,"Yes","No")))</f>
        <v>0</v>
      </c>
      <c r="AE980" s="26">
        <f>IF(B980="","",ROUND(SUMIFS(Payments!$G$5:$G$1204,Payments!$H$5:$H$1204,A980,Payments!$Q$5:$Q$1204,"Yes"),2))</f>
        <v>0</v>
      </c>
      <c r="AF980" s="26">
        <f>IF(B980="","",IF(AD980="No",0,ROUND(SUMIFS(Payments!$G$5:$G$1204,Payments!$I$5:$I$1204,C980,Payments!$H$5:$H$1204,"",Payments!$Q$5:$Q$1204,"Yes"),2)))</f>
        <v>0</v>
      </c>
      <c r="AG980" s="26">
        <f>IF(B980="","",ROUND(AE980+AF980,2))</f>
        <v>0</v>
      </c>
      <c r="AH980" s="26">
        <f>IF(B980="","",ROUND(AA980-AG980,2))</f>
        <v>0</v>
      </c>
      <c r="AI980" s="39">
        <f>IF(B980="","",IF(AA980&lt;=0,"No charge",IF(AH980&lt;=0.004,"Paid",IF(AG980&lt;=0.004,"Unpaid","Part paid"))))</f>
        <v>0</v>
      </c>
      <c r="AJ980" s="38">
        <f>IF(B980="","",IF(H980&lt;&gt;"Service","",IF(D980="","No",IF(COUNTIFS($D$5:$D$1204,D980,$B$5:$B$1204,B980,$H$5:$H$1204,"Retail")&gt;0,"Yes","No"))))</f>
        <v>0</v>
      </c>
      <c r="AK980" s="25">
        <f>IF(B980="","",COUNTIFS($Y$5:$Y$1204,"&gt;"&amp;Y980)+COUNTIFS($Y$5:Y980,Y980))</f>
        <v>0</v>
      </c>
      <c r="AL980" s="39">
        <f>IF(B980="","",IF(H980="","Add - what kind of sale is this?",IF(IF(V980&lt;=0,P980="",FALSE),"Check - no price found for this item",IF(F980="","Assign - nobody credited",IF(AH980&gt;0.004,"Unpaid - balance outstanding",IF(AC980&lt;0,"Loss - sold below cost",IF(X980&gt;W980*0.5,"Check - more than half off","OK")))))))</f>
        <v>0</v>
      </c>
    </row>
    <row r="981" spans="1:38">
      <c r="A981" s="28">
        <f>IF(B981="","",SalePrefix&amp;TEXT(ROW()-4,"0000"))</f>
        <v>0</v>
      </c>
      <c r="E981" s="15">
        <f>IF(D981="","",IFERROR(INDEX(Clients!$B$5:$B$504,MATCH(D981,Clients!$A$5:$A$504,0)),"Walk-in"))</f>
        <v>0</v>
      </c>
      <c r="G981" s="15">
        <f>IF(F981="","",IFERROR(INDEX(Staff!$B$5:$B$44,MATCH(F981,Staff!$A$5:$A$44,0)),"House"))</f>
        <v>0</v>
      </c>
      <c r="R981" s="15">
        <f>IF(B981="","",TEXT(B981,"yyyy-mm"))</f>
        <v>0</v>
      </c>
      <c r="S981" s="25">
        <f>IF(B981="","",WEEKNUM(B981,2))</f>
        <v>0</v>
      </c>
      <c r="T981" s="37">
        <f>IF(B981="","",IF(K981="",1,K981))</f>
        <v>0</v>
      </c>
      <c r="U981" s="15">
        <f>IF(B981="","",IF(J981&lt;&gt;"",J981,IF(H981="Retail",IFERROR(INDEX(Inventory!$B$5:$B$304,MATCH(I981,Inventory!$A$5:$A$304,0))&amp;"","Not in Inventory"),IFERROR(INDEX(Services!$B$5:$B$204,MATCH(I981,Services!$A$5:$A$204,0))&amp;"","Not in Services"))))</f>
        <v>0</v>
      </c>
      <c r="V981" s="26">
        <f>IF(B981="","",IF(L981&lt;&gt;"",L981,IF(H981="Retail",IFERROR(INDEX(Inventory!$I$5:$I$304,MATCH(I981,Inventory!$A$5:$A$304,0))*1,0),IFERROR(INDEX(Services!$G$5:$G$204,MATCH(I981,Services!$A$5:$A$204,0))*1,0))))</f>
        <v>0</v>
      </c>
      <c r="W981" s="26">
        <f>IF(B981="","",ROUND(T981*V981,2))</f>
        <v>0</v>
      </c>
      <c r="X981" s="26">
        <f>IF(B981="","",ROUND(IF(M981="",0,W981*M981)+IF(N981="",0,N981),2))</f>
        <v>0</v>
      </c>
      <c r="Y981" s="26">
        <f>IF(B981="","",ROUND(W981-X981-IF(P981="",0,P981),2))</f>
        <v>0</v>
      </c>
      <c r="Z981" s="26">
        <f>IF(B981="","",IF(H981="Retail",IF(TaxOnRetail="Yes",ROUND(Y981*TaxRate,2),0),IF(H981="Service",IF(TaxOnServices="Yes",ROUND(Y981*TaxRate,2),0),0)))</f>
        <v>0</v>
      </c>
      <c r="AA981" s="26">
        <f>IF(B981="","",ROUND(Y981+Z981,2))</f>
        <v>0</v>
      </c>
      <c r="AB981" s="26">
        <f>IF(B981="","",ROUND(T981*IF(H981="Retail",IFERROR(INDEX(Inventory!$H$5:$H$304,MATCH(I981,Inventory!$A$5:$A$304,0))*1,0),IFERROR(INDEX(Services!$Q$5:$Q$204,MATCH(I981,Services!$A$5:$A$204,0))*1,0)),2))</f>
        <v>0</v>
      </c>
      <c r="AC981" s="26">
        <f>IF(B981="","",ROUND(Y981-AB981,2))</f>
        <v>0</v>
      </c>
      <c r="AD981" s="38">
        <f>IF(B981="","",IF(C981="","No",IF(COUNTIFS($C$5:C981,C981)=1,"Yes","No")))</f>
        <v>0</v>
      </c>
      <c r="AE981" s="26">
        <f>IF(B981="","",ROUND(SUMIFS(Payments!$G$5:$G$1204,Payments!$H$5:$H$1204,A981,Payments!$Q$5:$Q$1204,"Yes"),2))</f>
        <v>0</v>
      </c>
      <c r="AF981" s="26">
        <f>IF(B981="","",IF(AD981="No",0,ROUND(SUMIFS(Payments!$G$5:$G$1204,Payments!$I$5:$I$1204,C981,Payments!$H$5:$H$1204,"",Payments!$Q$5:$Q$1204,"Yes"),2)))</f>
        <v>0</v>
      </c>
      <c r="AG981" s="26">
        <f>IF(B981="","",ROUND(AE981+AF981,2))</f>
        <v>0</v>
      </c>
      <c r="AH981" s="26">
        <f>IF(B981="","",ROUND(AA981-AG981,2))</f>
        <v>0</v>
      </c>
      <c r="AI981" s="39">
        <f>IF(B981="","",IF(AA981&lt;=0,"No charge",IF(AH981&lt;=0.004,"Paid",IF(AG981&lt;=0.004,"Unpaid","Part paid"))))</f>
        <v>0</v>
      </c>
      <c r="AJ981" s="38">
        <f>IF(B981="","",IF(H981&lt;&gt;"Service","",IF(D981="","No",IF(COUNTIFS($D$5:$D$1204,D981,$B$5:$B$1204,B981,$H$5:$H$1204,"Retail")&gt;0,"Yes","No"))))</f>
        <v>0</v>
      </c>
      <c r="AK981" s="25">
        <f>IF(B981="","",COUNTIFS($Y$5:$Y$1204,"&gt;"&amp;Y981)+COUNTIFS($Y$5:Y981,Y981))</f>
        <v>0</v>
      </c>
      <c r="AL981" s="39">
        <f>IF(B981="","",IF(H981="","Add - what kind of sale is this?",IF(IF(V981&lt;=0,P981="",FALSE),"Check - no price found for this item",IF(F981="","Assign - nobody credited",IF(AH981&gt;0.004,"Unpaid - balance outstanding",IF(AC981&lt;0,"Loss - sold below cost",IF(X981&gt;W981*0.5,"Check - more than half off","OK")))))))</f>
        <v>0</v>
      </c>
    </row>
    <row r="982" spans="1:38">
      <c r="A982" s="28">
        <f>IF(B982="","",SalePrefix&amp;TEXT(ROW()-4,"0000"))</f>
        <v>0</v>
      </c>
      <c r="E982" s="15">
        <f>IF(D982="","",IFERROR(INDEX(Clients!$B$5:$B$504,MATCH(D982,Clients!$A$5:$A$504,0)),"Walk-in"))</f>
        <v>0</v>
      </c>
      <c r="G982" s="15">
        <f>IF(F982="","",IFERROR(INDEX(Staff!$B$5:$B$44,MATCH(F982,Staff!$A$5:$A$44,0)),"House"))</f>
        <v>0</v>
      </c>
      <c r="R982" s="15">
        <f>IF(B982="","",TEXT(B982,"yyyy-mm"))</f>
        <v>0</v>
      </c>
      <c r="S982" s="25">
        <f>IF(B982="","",WEEKNUM(B982,2))</f>
        <v>0</v>
      </c>
      <c r="T982" s="37">
        <f>IF(B982="","",IF(K982="",1,K982))</f>
        <v>0</v>
      </c>
      <c r="U982" s="15">
        <f>IF(B982="","",IF(J982&lt;&gt;"",J982,IF(H982="Retail",IFERROR(INDEX(Inventory!$B$5:$B$304,MATCH(I982,Inventory!$A$5:$A$304,0))&amp;"","Not in Inventory"),IFERROR(INDEX(Services!$B$5:$B$204,MATCH(I982,Services!$A$5:$A$204,0))&amp;"","Not in Services"))))</f>
        <v>0</v>
      </c>
      <c r="V982" s="26">
        <f>IF(B982="","",IF(L982&lt;&gt;"",L982,IF(H982="Retail",IFERROR(INDEX(Inventory!$I$5:$I$304,MATCH(I982,Inventory!$A$5:$A$304,0))*1,0),IFERROR(INDEX(Services!$G$5:$G$204,MATCH(I982,Services!$A$5:$A$204,0))*1,0))))</f>
        <v>0</v>
      </c>
      <c r="W982" s="26">
        <f>IF(B982="","",ROUND(T982*V982,2))</f>
        <v>0</v>
      </c>
      <c r="X982" s="26">
        <f>IF(B982="","",ROUND(IF(M982="",0,W982*M982)+IF(N982="",0,N982),2))</f>
        <v>0</v>
      </c>
      <c r="Y982" s="26">
        <f>IF(B982="","",ROUND(W982-X982-IF(P982="",0,P982),2))</f>
        <v>0</v>
      </c>
      <c r="Z982" s="26">
        <f>IF(B982="","",IF(H982="Retail",IF(TaxOnRetail="Yes",ROUND(Y982*TaxRate,2),0),IF(H982="Service",IF(TaxOnServices="Yes",ROUND(Y982*TaxRate,2),0),0)))</f>
        <v>0</v>
      </c>
      <c r="AA982" s="26">
        <f>IF(B982="","",ROUND(Y982+Z982,2))</f>
        <v>0</v>
      </c>
      <c r="AB982" s="26">
        <f>IF(B982="","",ROUND(T982*IF(H982="Retail",IFERROR(INDEX(Inventory!$H$5:$H$304,MATCH(I982,Inventory!$A$5:$A$304,0))*1,0),IFERROR(INDEX(Services!$Q$5:$Q$204,MATCH(I982,Services!$A$5:$A$204,0))*1,0)),2))</f>
        <v>0</v>
      </c>
      <c r="AC982" s="26">
        <f>IF(B982="","",ROUND(Y982-AB982,2))</f>
        <v>0</v>
      </c>
      <c r="AD982" s="38">
        <f>IF(B982="","",IF(C982="","No",IF(COUNTIFS($C$5:C982,C982)=1,"Yes","No")))</f>
        <v>0</v>
      </c>
      <c r="AE982" s="26">
        <f>IF(B982="","",ROUND(SUMIFS(Payments!$G$5:$G$1204,Payments!$H$5:$H$1204,A982,Payments!$Q$5:$Q$1204,"Yes"),2))</f>
        <v>0</v>
      </c>
      <c r="AF982" s="26">
        <f>IF(B982="","",IF(AD982="No",0,ROUND(SUMIFS(Payments!$G$5:$G$1204,Payments!$I$5:$I$1204,C982,Payments!$H$5:$H$1204,"",Payments!$Q$5:$Q$1204,"Yes"),2)))</f>
        <v>0</v>
      </c>
      <c r="AG982" s="26">
        <f>IF(B982="","",ROUND(AE982+AF982,2))</f>
        <v>0</v>
      </c>
      <c r="AH982" s="26">
        <f>IF(B982="","",ROUND(AA982-AG982,2))</f>
        <v>0</v>
      </c>
      <c r="AI982" s="39">
        <f>IF(B982="","",IF(AA982&lt;=0,"No charge",IF(AH982&lt;=0.004,"Paid",IF(AG982&lt;=0.004,"Unpaid","Part paid"))))</f>
        <v>0</v>
      </c>
      <c r="AJ982" s="38">
        <f>IF(B982="","",IF(H982&lt;&gt;"Service","",IF(D982="","No",IF(COUNTIFS($D$5:$D$1204,D982,$B$5:$B$1204,B982,$H$5:$H$1204,"Retail")&gt;0,"Yes","No"))))</f>
        <v>0</v>
      </c>
      <c r="AK982" s="25">
        <f>IF(B982="","",COUNTIFS($Y$5:$Y$1204,"&gt;"&amp;Y982)+COUNTIFS($Y$5:Y982,Y982))</f>
        <v>0</v>
      </c>
      <c r="AL982" s="39">
        <f>IF(B982="","",IF(H982="","Add - what kind of sale is this?",IF(IF(V982&lt;=0,P982="",FALSE),"Check - no price found for this item",IF(F982="","Assign - nobody credited",IF(AH982&gt;0.004,"Unpaid - balance outstanding",IF(AC982&lt;0,"Loss - sold below cost",IF(X982&gt;W982*0.5,"Check - more than half off","OK")))))))</f>
        <v>0</v>
      </c>
    </row>
    <row r="983" spans="1:38">
      <c r="A983" s="28">
        <f>IF(B983="","",SalePrefix&amp;TEXT(ROW()-4,"0000"))</f>
        <v>0</v>
      </c>
      <c r="E983" s="15">
        <f>IF(D983="","",IFERROR(INDEX(Clients!$B$5:$B$504,MATCH(D983,Clients!$A$5:$A$504,0)),"Walk-in"))</f>
        <v>0</v>
      </c>
      <c r="G983" s="15">
        <f>IF(F983="","",IFERROR(INDEX(Staff!$B$5:$B$44,MATCH(F983,Staff!$A$5:$A$44,0)),"House"))</f>
        <v>0</v>
      </c>
      <c r="R983" s="15">
        <f>IF(B983="","",TEXT(B983,"yyyy-mm"))</f>
        <v>0</v>
      </c>
      <c r="S983" s="25">
        <f>IF(B983="","",WEEKNUM(B983,2))</f>
        <v>0</v>
      </c>
      <c r="T983" s="37">
        <f>IF(B983="","",IF(K983="",1,K983))</f>
        <v>0</v>
      </c>
      <c r="U983" s="15">
        <f>IF(B983="","",IF(J983&lt;&gt;"",J983,IF(H983="Retail",IFERROR(INDEX(Inventory!$B$5:$B$304,MATCH(I983,Inventory!$A$5:$A$304,0))&amp;"","Not in Inventory"),IFERROR(INDEX(Services!$B$5:$B$204,MATCH(I983,Services!$A$5:$A$204,0))&amp;"","Not in Services"))))</f>
        <v>0</v>
      </c>
      <c r="V983" s="26">
        <f>IF(B983="","",IF(L983&lt;&gt;"",L983,IF(H983="Retail",IFERROR(INDEX(Inventory!$I$5:$I$304,MATCH(I983,Inventory!$A$5:$A$304,0))*1,0),IFERROR(INDEX(Services!$G$5:$G$204,MATCH(I983,Services!$A$5:$A$204,0))*1,0))))</f>
        <v>0</v>
      </c>
      <c r="W983" s="26">
        <f>IF(B983="","",ROUND(T983*V983,2))</f>
        <v>0</v>
      </c>
      <c r="X983" s="26">
        <f>IF(B983="","",ROUND(IF(M983="",0,W983*M983)+IF(N983="",0,N983),2))</f>
        <v>0</v>
      </c>
      <c r="Y983" s="26">
        <f>IF(B983="","",ROUND(W983-X983-IF(P983="",0,P983),2))</f>
        <v>0</v>
      </c>
      <c r="Z983" s="26">
        <f>IF(B983="","",IF(H983="Retail",IF(TaxOnRetail="Yes",ROUND(Y983*TaxRate,2),0),IF(H983="Service",IF(TaxOnServices="Yes",ROUND(Y983*TaxRate,2),0),0)))</f>
        <v>0</v>
      </c>
      <c r="AA983" s="26">
        <f>IF(B983="","",ROUND(Y983+Z983,2))</f>
        <v>0</v>
      </c>
      <c r="AB983" s="26">
        <f>IF(B983="","",ROUND(T983*IF(H983="Retail",IFERROR(INDEX(Inventory!$H$5:$H$304,MATCH(I983,Inventory!$A$5:$A$304,0))*1,0),IFERROR(INDEX(Services!$Q$5:$Q$204,MATCH(I983,Services!$A$5:$A$204,0))*1,0)),2))</f>
        <v>0</v>
      </c>
      <c r="AC983" s="26">
        <f>IF(B983="","",ROUND(Y983-AB983,2))</f>
        <v>0</v>
      </c>
      <c r="AD983" s="38">
        <f>IF(B983="","",IF(C983="","No",IF(COUNTIFS($C$5:C983,C983)=1,"Yes","No")))</f>
        <v>0</v>
      </c>
      <c r="AE983" s="26">
        <f>IF(B983="","",ROUND(SUMIFS(Payments!$G$5:$G$1204,Payments!$H$5:$H$1204,A983,Payments!$Q$5:$Q$1204,"Yes"),2))</f>
        <v>0</v>
      </c>
      <c r="AF983" s="26">
        <f>IF(B983="","",IF(AD983="No",0,ROUND(SUMIFS(Payments!$G$5:$G$1204,Payments!$I$5:$I$1204,C983,Payments!$H$5:$H$1204,"",Payments!$Q$5:$Q$1204,"Yes"),2)))</f>
        <v>0</v>
      </c>
      <c r="AG983" s="26">
        <f>IF(B983="","",ROUND(AE983+AF983,2))</f>
        <v>0</v>
      </c>
      <c r="AH983" s="26">
        <f>IF(B983="","",ROUND(AA983-AG983,2))</f>
        <v>0</v>
      </c>
      <c r="AI983" s="39">
        <f>IF(B983="","",IF(AA983&lt;=0,"No charge",IF(AH983&lt;=0.004,"Paid",IF(AG983&lt;=0.004,"Unpaid","Part paid"))))</f>
        <v>0</v>
      </c>
      <c r="AJ983" s="38">
        <f>IF(B983="","",IF(H983&lt;&gt;"Service","",IF(D983="","No",IF(COUNTIFS($D$5:$D$1204,D983,$B$5:$B$1204,B983,$H$5:$H$1204,"Retail")&gt;0,"Yes","No"))))</f>
        <v>0</v>
      </c>
      <c r="AK983" s="25">
        <f>IF(B983="","",COUNTIFS($Y$5:$Y$1204,"&gt;"&amp;Y983)+COUNTIFS($Y$5:Y983,Y983))</f>
        <v>0</v>
      </c>
      <c r="AL983" s="39">
        <f>IF(B983="","",IF(H983="","Add - what kind of sale is this?",IF(IF(V983&lt;=0,P983="",FALSE),"Check - no price found for this item",IF(F983="","Assign - nobody credited",IF(AH983&gt;0.004,"Unpaid - balance outstanding",IF(AC983&lt;0,"Loss - sold below cost",IF(X983&gt;W983*0.5,"Check - more than half off","OK")))))))</f>
        <v>0</v>
      </c>
    </row>
    <row r="984" spans="1:38">
      <c r="A984" s="28">
        <f>IF(B984="","",SalePrefix&amp;TEXT(ROW()-4,"0000"))</f>
        <v>0</v>
      </c>
      <c r="E984" s="15">
        <f>IF(D984="","",IFERROR(INDEX(Clients!$B$5:$B$504,MATCH(D984,Clients!$A$5:$A$504,0)),"Walk-in"))</f>
        <v>0</v>
      </c>
      <c r="G984" s="15">
        <f>IF(F984="","",IFERROR(INDEX(Staff!$B$5:$B$44,MATCH(F984,Staff!$A$5:$A$44,0)),"House"))</f>
        <v>0</v>
      </c>
      <c r="R984" s="15">
        <f>IF(B984="","",TEXT(B984,"yyyy-mm"))</f>
        <v>0</v>
      </c>
      <c r="S984" s="25">
        <f>IF(B984="","",WEEKNUM(B984,2))</f>
        <v>0</v>
      </c>
      <c r="T984" s="37">
        <f>IF(B984="","",IF(K984="",1,K984))</f>
        <v>0</v>
      </c>
      <c r="U984" s="15">
        <f>IF(B984="","",IF(J984&lt;&gt;"",J984,IF(H984="Retail",IFERROR(INDEX(Inventory!$B$5:$B$304,MATCH(I984,Inventory!$A$5:$A$304,0))&amp;"","Not in Inventory"),IFERROR(INDEX(Services!$B$5:$B$204,MATCH(I984,Services!$A$5:$A$204,0))&amp;"","Not in Services"))))</f>
        <v>0</v>
      </c>
      <c r="V984" s="26">
        <f>IF(B984="","",IF(L984&lt;&gt;"",L984,IF(H984="Retail",IFERROR(INDEX(Inventory!$I$5:$I$304,MATCH(I984,Inventory!$A$5:$A$304,0))*1,0),IFERROR(INDEX(Services!$G$5:$G$204,MATCH(I984,Services!$A$5:$A$204,0))*1,0))))</f>
        <v>0</v>
      </c>
      <c r="W984" s="26">
        <f>IF(B984="","",ROUND(T984*V984,2))</f>
        <v>0</v>
      </c>
      <c r="X984" s="26">
        <f>IF(B984="","",ROUND(IF(M984="",0,W984*M984)+IF(N984="",0,N984),2))</f>
        <v>0</v>
      </c>
      <c r="Y984" s="26">
        <f>IF(B984="","",ROUND(W984-X984-IF(P984="",0,P984),2))</f>
        <v>0</v>
      </c>
      <c r="Z984" s="26">
        <f>IF(B984="","",IF(H984="Retail",IF(TaxOnRetail="Yes",ROUND(Y984*TaxRate,2),0),IF(H984="Service",IF(TaxOnServices="Yes",ROUND(Y984*TaxRate,2),0),0)))</f>
        <v>0</v>
      </c>
      <c r="AA984" s="26">
        <f>IF(B984="","",ROUND(Y984+Z984,2))</f>
        <v>0</v>
      </c>
      <c r="AB984" s="26">
        <f>IF(B984="","",ROUND(T984*IF(H984="Retail",IFERROR(INDEX(Inventory!$H$5:$H$304,MATCH(I984,Inventory!$A$5:$A$304,0))*1,0),IFERROR(INDEX(Services!$Q$5:$Q$204,MATCH(I984,Services!$A$5:$A$204,0))*1,0)),2))</f>
        <v>0</v>
      </c>
      <c r="AC984" s="26">
        <f>IF(B984="","",ROUND(Y984-AB984,2))</f>
        <v>0</v>
      </c>
      <c r="AD984" s="38">
        <f>IF(B984="","",IF(C984="","No",IF(COUNTIFS($C$5:C984,C984)=1,"Yes","No")))</f>
        <v>0</v>
      </c>
      <c r="AE984" s="26">
        <f>IF(B984="","",ROUND(SUMIFS(Payments!$G$5:$G$1204,Payments!$H$5:$H$1204,A984,Payments!$Q$5:$Q$1204,"Yes"),2))</f>
        <v>0</v>
      </c>
      <c r="AF984" s="26">
        <f>IF(B984="","",IF(AD984="No",0,ROUND(SUMIFS(Payments!$G$5:$G$1204,Payments!$I$5:$I$1204,C984,Payments!$H$5:$H$1204,"",Payments!$Q$5:$Q$1204,"Yes"),2)))</f>
        <v>0</v>
      </c>
      <c r="AG984" s="26">
        <f>IF(B984="","",ROUND(AE984+AF984,2))</f>
        <v>0</v>
      </c>
      <c r="AH984" s="26">
        <f>IF(B984="","",ROUND(AA984-AG984,2))</f>
        <v>0</v>
      </c>
      <c r="AI984" s="39">
        <f>IF(B984="","",IF(AA984&lt;=0,"No charge",IF(AH984&lt;=0.004,"Paid",IF(AG984&lt;=0.004,"Unpaid","Part paid"))))</f>
        <v>0</v>
      </c>
      <c r="AJ984" s="38">
        <f>IF(B984="","",IF(H984&lt;&gt;"Service","",IF(D984="","No",IF(COUNTIFS($D$5:$D$1204,D984,$B$5:$B$1204,B984,$H$5:$H$1204,"Retail")&gt;0,"Yes","No"))))</f>
        <v>0</v>
      </c>
      <c r="AK984" s="25">
        <f>IF(B984="","",COUNTIFS($Y$5:$Y$1204,"&gt;"&amp;Y984)+COUNTIFS($Y$5:Y984,Y984))</f>
        <v>0</v>
      </c>
      <c r="AL984" s="39">
        <f>IF(B984="","",IF(H984="","Add - what kind of sale is this?",IF(IF(V984&lt;=0,P984="",FALSE),"Check - no price found for this item",IF(F984="","Assign - nobody credited",IF(AH984&gt;0.004,"Unpaid - balance outstanding",IF(AC984&lt;0,"Loss - sold below cost",IF(X984&gt;W984*0.5,"Check - more than half off","OK")))))))</f>
        <v>0</v>
      </c>
    </row>
    <row r="985" spans="1:38">
      <c r="A985" s="28">
        <f>IF(B985="","",SalePrefix&amp;TEXT(ROW()-4,"0000"))</f>
        <v>0</v>
      </c>
      <c r="E985" s="15">
        <f>IF(D985="","",IFERROR(INDEX(Clients!$B$5:$B$504,MATCH(D985,Clients!$A$5:$A$504,0)),"Walk-in"))</f>
        <v>0</v>
      </c>
      <c r="G985" s="15">
        <f>IF(F985="","",IFERROR(INDEX(Staff!$B$5:$B$44,MATCH(F985,Staff!$A$5:$A$44,0)),"House"))</f>
        <v>0</v>
      </c>
      <c r="R985" s="15">
        <f>IF(B985="","",TEXT(B985,"yyyy-mm"))</f>
        <v>0</v>
      </c>
      <c r="S985" s="25">
        <f>IF(B985="","",WEEKNUM(B985,2))</f>
        <v>0</v>
      </c>
      <c r="T985" s="37">
        <f>IF(B985="","",IF(K985="",1,K985))</f>
        <v>0</v>
      </c>
      <c r="U985" s="15">
        <f>IF(B985="","",IF(J985&lt;&gt;"",J985,IF(H985="Retail",IFERROR(INDEX(Inventory!$B$5:$B$304,MATCH(I985,Inventory!$A$5:$A$304,0))&amp;"","Not in Inventory"),IFERROR(INDEX(Services!$B$5:$B$204,MATCH(I985,Services!$A$5:$A$204,0))&amp;"","Not in Services"))))</f>
        <v>0</v>
      </c>
      <c r="V985" s="26">
        <f>IF(B985="","",IF(L985&lt;&gt;"",L985,IF(H985="Retail",IFERROR(INDEX(Inventory!$I$5:$I$304,MATCH(I985,Inventory!$A$5:$A$304,0))*1,0),IFERROR(INDEX(Services!$G$5:$G$204,MATCH(I985,Services!$A$5:$A$204,0))*1,0))))</f>
        <v>0</v>
      </c>
      <c r="W985" s="26">
        <f>IF(B985="","",ROUND(T985*V985,2))</f>
        <v>0</v>
      </c>
      <c r="X985" s="26">
        <f>IF(B985="","",ROUND(IF(M985="",0,W985*M985)+IF(N985="",0,N985),2))</f>
        <v>0</v>
      </c>
      <c r="Y985" s="26">
        <f>IF(B985="","",ROUND(W985-X985-IF(P985="",0,P985),2))</f>
        <v>0</v>
      </c>
      <c r="Z985" s="26">
        <f>IF(B985="","",IF(H985="Retail",IF(TaxOnRetail="Yes",ROUND(Y985*TaxRate,2),0),IF(H985="Service",IF(TaxOnServices="Yes",ROUND(Y985*TaxRate,2),0),0)))</f>
        <v>0</v>
      </c>
      <c r="AA985" s="26">
        <f>IF(B985="","",ROUND(Y985+Z985,2))</f>
        <v>0</v>
      </c>
      <c r="AB985" s="26">
        <f>IF(B985="","",ROUND(T985*IF(H985="Retail",IFERROR(INDEX(Inventory!$H$5:$H$304,MATCH(I985,Inventory!$A$5:$A$304,0))*1,0),IFERROR(INDEX(Services!$Q$5:$Q$204,MATCH(I985,Services!$A$5:$A$204,0))*1,0)),2))</f>
        <v>0</v>
      </c>
      <c r="AC985" s="26">
        <f>IF(B985="","",ROUND(Y985-AB985,2))</f>
        <v>0</v>
      </c>
      <c r="AD985" s="38">
        <f>IF(B985="","",IF(C985="","No",IF(COUNTIFS($C$5:C985,C985)=1,"Yes","No")))</f>
        <v>0</v>
      </c>
      <c r="AE985" s="26">
        <f>IF(B985="","",ROUND(SUMIFS(Payments!$G$5:$G$1204,Payments!$H$5:$H$1204,A985,Payments!$Q$5:$Q$1204,"Yes"),2))</f>
        <v>0</v>
      </c>
      <c r="AF985" s="26">
        <f>IF(B985="","",IF(AD985="No",0,ROUND(SUMIFS(Payments!$G$5:$G$1204,Payments!$I$5:$I$1204,C985,Payments!$H$5:$H$1204,"",Payments!$Q$5:$Q$1204,"Yes"),2)))</f>
        <v>0</v>
      </c>
      <c r="AG985" s="26">
        <f>IF(B985="","",ROUND(AE985+AF985,2))</f>
        <v>0</v>
      </c>
      <c r="AH985" s="26">
        <f>IF(B985="","",ROUND(AA985-AG985,2))</f>
        <v>0</v>
      </c>
      <c r="AI985" s="39">
        <f>IF(B985="","",IF(AA985&lt;=0,"No charge",IF(AH985&lt;=0.004,"Paid",IF(AG985&lt;=0.004,"Unpaid","Part paid"))))</f>
        <v>0</v>
      </c>
      <c r="AJ985" s="38">
        <f>IF(B985="","",IF(H985&lt;&gt;"Service","",IF(D985="","No",IF(COUNTIFS($D$5:$D$1204,D985,$B$5:$B$1204,B985,$H$5:$H$1204,"Retail")&gt;0,"Yes","No"))))</f>
        <v>0</v>
      </c>
      <c r="AK985" s="25">
        <f>IF(B985="","",COUNTIFS($Y$5:$Y$1204,"&gt;"&amp;Y985)+COUNTIFS($Y$5:Y985,Y985))</f>
        <v>0</v>
      </c>
      <c r="AL985" s="39">
        <f>IF(B985="","",IF(H985="","Add - what kind of sale is this?",IF(IF(V985&lt;=0,P985="",FALSE),"Check - no price found for this item",IF(F985="","Assign - nobody credited",IF(AH985&gt;0.004,"Unpaid - balance outstanding",IF(AC985&lt;0,"Loss - sold below cost",IF(X985&gt;W985*0.5,"Check - more than half off","OK")))))))</f>
        <v>0</v>
      </c>
    </row>
    <row r="986" spans="1:38">
      <c r="A986" s="28">
        <f>IF(B986="","",SalePrefix&amp;TEXT(ROW()-4,"0000"))</f>
        <v>0</v>
      </c>
      <c r="E986" s="15">
        <f>IF(D986="","",IFERROR(INDEX(Clients!$B$5:$B$504,MATCH(D986,Clients!$A$5:$A$504,0)),"Walk-in"))</f>
        <v>0</v>
      </c>
      <c r="G986" s="15">
        <f>IF(F986="","",IFERROR(INDEX(Staff!$B$5:$B$44,MATCH(F986,Staff!$A$5:$A$44,0)),"House"))</f>
        <v>0</v>
      </c>
      <c r="R986" s="15">
        <f>IF(B986="","",TEXT(B986,"yyyy-mm"))</f>
        <v>0</v>
      </c>
      <c r="S986" s="25">
        <f>IF(B986="","",WEEKNUM(B986,2))</f>
        <v>0</v>
      </c>
      <c r="T986" s="37">
        <f>IF(B986="","",IF(K986="",1,K986))</f>
        <v>0</v>
      </c>
      <c r="U986" s="15">
        <f>IF(B986="","",IF(J986&lt;&gt;"",J986,IF(H986="Retail",IFERROR(INDEX(Inventory!$B$5:$B$304,MATCH(I986,Inventory!$A$5:$A$304,0))&amp;"","Not in Inventory"),IFERROR(INDEX(Services!$B$5:$B$204,MATCH(I986,Services!$A$5:$A$204,0))&amp;"","Not in Services"))))</f>
        <v>0</v>
      </c>
      <c r="V986" s="26">
        <f>IF(B986="","",IF(L986&lt;&gt;"",L986,IF(H986="Retail",IFERROR(INDEX(Inventory!$I$5:$I$304,MATCH(I986,Inventory!$A$5:$A$304,0))*1,0),IFERROR(INDEX(Services!$G$5:$G$204,MATCH(I986,Services!$A$5:$A$204,0))*1,0))))</f>
        <v>0</v>
      </c>
      <c r="W986" s="26">
        <f>IF(B986="","",ROUND(T986*V986,2))</f>
        <v>0</v>
      </c>
      <c r="X986" s="26">
        <f>IF(B986="","",ROUND(IF(M986="",0,W986*M986)+IF(N986="",0,N986),2))</f>
        <v>0</v>
      </c>
      <c r="Y986" s="26">
        <f>IF(B986="","",ROUND(W986-X986-IF(P986="",0,P986),2))</f>
        <v>0</v>
      </c>
      <c r="Z986" s="26">
        <f>IF(B986="","",IF(H986="Retail",IF(TaxOnRetail="Yes",ROUND(Y986*TaxRate,2),0),IF(H986="Service",IF(TaxOnServices="Yes",ROUND(Y986*TaxRate,2),0),0)))</f>
        <v>0</v>
      </c>
      <c r="AA986" s="26">
        <f>IF(B986="","",ROUND(Y986+Z986,2))</f>
        <v>0</v>
      </c>
      <c r="AB986" s="26">
        <f>IF(B986="","",ROUND(T986*IF(H986="Retail",IFERROR(INDEX(Inventory!$H$5:$H$304,MATCH(I986,Inventory!$A$5:$A$304,0))*1,0),IFERROR(INDEX(Services!$Q$5:$Q$204,MATCH(I986,Services!$A$5:$A$204,0))*1,0)),2))</f>
        <v>0</v>
      </c>
      <c r="AC986" s="26">
        <f>IF(B986="","",ROUND(Y986-AB986,2))</f>
        <v>0</v>
      </c>
      <c r="AD986" s="38">
        <f>IF(B986="","",IF(C986="","No",IF(COUNTIFS($C$5:C986,C986)=1,"Yes","No")))</f>
        <v>0</v>
      </c>
      <c r="AE986" s="26">
        <f>IF(B986="","",ROUND(SUMIFS(Payments!$G$5:$G$1204,Payments!$H$5:$H$1204,A986,Payments!$Q$5:$Q$1204,"Yes"),2))</f>
        <v>0</v>
      </c>
      <c r="AF986" s="26">
        <f>IF(B986="","",IF(AD986="No",0,ROUND(SUMIFS(Payments!$G$5:$G$1204,Payments!$I$5:$I$1204,C986,Payments!$H$5:$H$1204,"",Payments!$Q$5:$Q$1204,"Yes"),2)))</f>
        <v>0</v>
      </c>
      <c r="AG986" s="26">
        <f>IF(B986="","",ROUND(AE986+AF986,2))</f>
        <v>0</v>
      </c>
      <c r="AH986" s="26">
        <f>IF(B986="","",ROUND(AA986-AG986,2))</f>
        <v>0</v>
      </c>
      <c r="AI986" s="39">
        <f>IF(B986="","",IF(AA986&lt;=0,"No charge",IF(AH986&lt;=0.004,"Paid",IF(AG986&lt;=0.004,"Unpaid","Part paid"))))</f>
        <v>0</v>
      </c>
      <c r="AJ986" s="38">
        <f>IF(B986="","",IF(H986&lt;&gt;"Service","",IF(D986="","No",IF(COUNTIFS($D$5:$D$1204,D986,$B$5:$B$1204,B986,$H$5:$H$1204,"Retail")&gt;0,"Yes","No"))))</f>
        <v>0</v>
      </c>
      <c r="AK986" s="25">
        <f>IF(B986="","",COUNTIFS($Y$5:$Y$1204,"&gt;"&amp;Y986)+COUNTIFS($Y$5:Y986,Y986))</f>
        <v>0</v>
      </c>
      <c r="AL986" s="39">
        <f>IF(B986="","",IF(H986="","Add - what kind of sale is this?",IF(IF(V986&lt;=0,P986="",FALSE),"Check - no price found for this item",IF(F986="","Assign - nobody credited",IF(AH986&gt;0.004,"Unpaid - balance outstanding",IF(AC986&lt;0,"Loss - sold below cost",IF(X986&gt;W986*0.5,"Check - more than half off","OK")))))))</f>
        <v>0</v>
      </c>
    </row>
    <row r="987" spans="1:38">
      <c r="A987" s="28">
        <f>IF(B987="","",SalePrefix&amp;TEXT(ROW()-4,"0000"))</f>
        <v>0</v>
      </c>
      <c r="E987" s="15">
        <f>IF(D987="","",IFERROR(INDEX(Clients!$B$5:$B$504,MATCH(D987,Clients!$A$5:$A$504,0)),"Walk-in"))</f>
        <v>0</v>
      </c>
      <c r="G987" s="15">
        <f>IF(F987="","",IFERROR(INDEX(Staff!$B$5:$B$44,MATCH(F987,Staff!$A$5:$A$44,0)),"House"))</f>
        <v>0</v>
      </c>
      <c r="R987" s="15">
        <f>IF(B987="","",TEXT(B987,"yyyy-mm"))</f>
        <v>0</v>
      </c>
      <c r="S987" s="25">
        <f>IF(B987="","",WEEKNUM(B987,2))</f>
        <v>0</v>
      </c>
      <c r="T987" s="37">
        <f>IF(B987="","",IF(K987="",1,K987))</f>
        <v>0</v>
      </c>
      <c r="U987" s="15">
        <f>IF(B987="","",IF(J987&lt;&gt;"",J987,IF(H987="Retail",IFERROR(INDEX(Inventory!$B$5:$B$304,MATCH(I987,Inventory!$A$5:$A$304,0))&amp;"","Not in Inventory"),IFERROR(INDEX(Services!$B$5:$B$204,MATCH(I987,Services!$A$5:$A$204,0))&amp;"","Not in Services"))))</f>
        <v>0</v>
      </c>
      <c r="V987" s="26">
        <f>IF(B987="","",IF(L987&lt;&gt;"",L987,IF(H987="Retail",IFERROR(INDEX(Inventory!$I$5:$I$304,MATCH(I987,Inventory!$A$5:$A$304,0))*1,0),IFERROR(INDEX(Services!$G$5:$G$204,MATCH(I987,Services!$A$5:$A$204,0))*1,0))))</f>
        <v>0</v>
      </c>
      <c r="W987" s="26">
        <f>IF(B987="","",ROUND(T987*V987,2))</f>
        <v>0</v>
      </c>
      <c r="X987" s="26">
        <f>IF(B987="","",ROUND(IF(M987="",0,W987*M987)+IF(N987="",0,N987),2))</f>
        <v>0</v>
      </c>
      <c r="Y987" s="26">
        <f>IF(B987="","",ROUND(W987-X987-IF(P987="",0,P987),2))</f>
        <v>0</v>
      </c>
      <c r="Z987" s="26">
        <f>IF(B987="","",IF(H987="Retail",IF(TaxOnRetail="Yes",ROUND(Y987*TaxRate,2),0),IF(H987="Service",IF(TaxOnServices="Yes",ROUND(Y987*TaxRate,2),0),0)))</f>
        <v>0</v>
      </c>
      <c r="AA987" s="26">
        <f>IF(B987="","",ROUND(Y987+Z987,2))</f>
        <v>0</v>
      </c>
      <c r="AB987" s="26">
        <f>IF(B987="","",ROUND(T987*IF(H987="Retail",IFERROR(INDEX(Inventory!$H$5:$H$304,MATCH(I987,Inventory!$A$5:$A$304,0))*1,0),IFERROR(INDEX(Services!$Q$5:$Q$204,MATCH(I987,Services!$A$5:$A$204,0))*1,0)),2))</f>
        <v>0</v>
      </c>
      <c r="AC987" s="26">
        <f>IF(B987="","",ROUND(Y987-AB987,2))</f>
        <v>0</v>
      </c>
      <c r="AD987" s="38">
        <f>IF(B987="","",IF(C987="","No",IF(COUNTIFS($C$5:C987,C987)=1,"Yes","No")))</f>
        <v>0</v>
      </c>
      <c r="AE987" s="26">
        <f>IF(B987="","",ROUND(SUMIFS(Payments!$G$5:$G$1204,Payments!$H$5:$H$1204,A987,Payments!$Q$5:$Q$1204,"Yes"),2))</f>
        <v>0</v>
      </c>
      <c r="AF987" s="26">
        <f>IF(B987="","",IF(AD987="No",0,ROUND(SUMIFS(Payments!$G$5:$G$1204,Payments!$I$5:$I$1204,C987,Payments!$H$5:$H$1204,"",Payments!$Q$5:$Q$1204,"Yes"),2)))</f>
        <v>0</v>
      </c>
      <c r="AG987" s="26">
        <f>IF(B987="","",ROUND(AE987+AF987,2))</f>
        <v>0</v>
      </c>
      <c r="AH987" s="26">
        <f>IF(B987="","",ROUND(AA987-AG987,2))</f>
        <v>0</v>
      </c>
      <c r="AI987" s="39">
        <f>IF(B987="","",IF(AA987&lt;=0,"No charge",IF(AH987&lt;=0.004,"Paid",IF(AG987&lt;=0.004,"Unpaid","Part paid"))))</f>
        <v>0</v>
      </c>
      <c r="AJ987" s="38">
        <f>IF(B987="","",IF(H987&lt;&gt;"Service","",IF(D987="","No",IF(COUNTIFS($D$5:$D$1204,D987,$B$5:$B$1204,B987,$H$5:$H$1204,"Retail")&gt;0,"Yes","No"))))</f>
        <v>0</v>
      </c>
      <c r="AK987" s="25">
        <f>IF(B987="","",COUNTIFS($Y$5:$Y$1204,"&gt;"&amp;Y987)+COUNTIFS($Y$5:Y987,Y987))</f>
        <v>0</v>
      </c>
      <c r="AL987" s="39">
        <f>IF(B987="","",IF(H987="","Add - what kind of sale is this?",IF(IF(V987&lt;=0,P987="",FALSE),"Check - no price found for this item",IF(F987="","Assign - nobody credited",IF(AH987&gt;0.004,"Unpaid - balance outstanding",IF(AC987&lt;0,"Loss - sold below cost",IF(X987&gt;W987*0.5,"Check - more than half off","OK")))))))</f>
        <v>0</v>
      </c>
    </row>
    <row r="988" spans="1:38">
      <c r="A988" s="28">
        <f>IF(B988="","",SalePrefix&amp;TEXT(ROW()-4,"0000"))</f>
        <v>0</v>
      </c>
      <c r="E988" s="15">
        <f>IF(D988="","",IFERROR(INDEX(Clients!$B$5:$B$504,MATCH(D988,Clients!$A$5:$A$504,0)),"Walk-in"))</f>
        <v>0</v>
      </c>
      <c r="G988" s="15">
        <f>IF(F988="","",IFERROR(INDEX(Staff!$B$5:$B$44,MATCH(F988,Staff!$A$5:$A$44,0)),"House"))</f>
        <v>0</v>
      </c>
      <c r="R988" s="15">
        <f>IF(B988="","",TEXT(B988,"yyyy-mm"))</f>
        <v>0</v>
      </c>
      <c r="S988" s="25">
        <f>IF(B988="","",WEEKNUM(B988,2))</f>
        <v>0</v>
      </c>
      <c r="T988" s="37">
        <f>IF(B988="","",IF(K988="",1,K988))</f>
        <v>0</v>
      </c>
      <c r="U988" s="15">
        <f>IF(B988="","",IF(J988&lt;&gt;"",J988,IF(H988="Retail",IFERROR(INDEX(Inventory!$B$5:$B$304,MATCH(I988,Inventory!$A$5:$A$304,0))&amp;"","Not in Inventory"),IFERROR(INDEX(Services!$B$5:$B$204,MATCH(I988,Services!$A$5:$A$204,0))&amp;"","Not in Services"))))</f>
        <v>0</v>
      </c>
      <c r="V988" s="26">
        <f>IF(B988="","",IF(L988&lt;&gt;"",L988,IF(H988="Retail",IFERROR(INDEX(Inventory!$I$5:$I$304,MATCH(I988,Inventory!$A$5:$A$304,0))*1,0),IFERROR(INDEX(Services!$G$5:$G$204,MATCH(I988,Services!$A$5:$A$204,0))*1,0))))</f>
        <v>0</v>
      </c>
      <c r="W988" s="26">
        <f>IF(B988="","",ROUND(T988*V988,2))</f>
        <v>0</v>
      </c>
      <c r="X988" s="26">
        <f>IF(B988="","",ROUND(IF(M988="",0,W988*M988)+IF(N988="",0,N988),2))</f>
        <v>0</v>
      </c>
      <c r="Y988" s="26">
        <f>IF(B988="","",ROUND(W988-X988-IF(P988="",0,P988),2))</f>
        <v>0</v>
      </c>
      <c r="Z988" s="26">
        <f>IF(B988="","",IF(H988="Retail",IF(TaxOnRetail="Yes",ROUND(Y988*TaxRate,2),0),IF(H988="Service",IF(TaxOnServices="Yes",ROUND(Y988*TaxRate,2),0),0)))</f>
        <v>0</v>
      </c>
      <c r="AA988" s="26">
        <f>IF(B988="","",ROUND(Y988+Z988,2))</f>
        <v>0</v>
      </c>
      <c r="AB988" s="26">
        <f>IF(B988="","",ROUND(T988*IF(H988="Retail",IFERROR(INDEX(Inventory!$H$5:$H$304,MATCH(I988,Inventory!$A$5:$A$304,0))*1,0),IFERROR(INDEX(Services!$Q$5:$Q$204,MATCH(I988,Services!$A$5:$A$204,0))*1,0)),2))</f>
        <v>0</v>
      </c>
      <c r="AC988" s="26">
        <f>IF(B988="","",ROUND(Y988-AB988,2))</f>
        <v>0</v>
      </c>
      <c r="AD988" s="38">
        <f>IF(B988="","",IF(C988="","No",IF(COUNTIFS($C$5:C988,C988)=1,"Yes","No")))</f>
        <v>0</v>
      </c>
      <c r="AE988" s="26">
        <f>IF(B988="","",ROUND(SUMIFS(Payments!$G$5:$G$1204,Payments!$H$5:$H$1204,A988,Payments!$Q$5:$Q$1204,"Yes"),2))</f>
        <v>0</v>
      </c>
      <c r="AF988" s="26">
        <f>IF(B988="","",IF(AD988="No",0,ROUND(SUMIFS(Payments!$G$5:$G$1204,Payments!$I$5:$I$1204,C988,Payments!$H$5:$H$1204,"",Payments!$Q$5:$Q$1204,"Yes"),2)))</f>
        <v>0</v>
      </c>
      <c r="AG988" s="26">
        <f>IF(B988="","",ROUND(AE988+AF988,2))</f>
        <v>0</v>
      </c>
      <c r="AH988" s="26">
        <f>IF(B988="","",ROUND(AA988-AG988,2))</f>
        <v>0</v>
      </c>
      <c r="AI988" s="39">
        <f>IF(B988="","",IF(AA988&lt;=0,"No charge",IF(AH988&lt;=0.004,"Paid",IF(AG988&lt;=0.004,"Unpaid","Part paid"))))</f>
        <v>0</v>
      </c>
      <c r="AJ988" s="38">
        <f>IF(B988="","",IF(H988&lt;&gt;"Service","",IF(D988="","No",IF(COUNTIFS($D$5:$D$1204,D988,$B$5:$B$1204,B988,$H$5:$H$1204,"Retail")&gt;0,"Yes","No"))))</f>
        <v>0</v>
      </c>
      <c r="AK988" s="25">
        <f>IF(B988="","",COUNTIFS($Y$5:$Y$1204,"&gt;"&amp;Y988)+COUNTIFS($Y$5:Y988,Y988))</f>
        <v>0</v>
      </c>
      <c r="AL988" s="39">
        <f>IF(B988="","",IF(H988="","Add - what kind of sale is this?",IF(IF(V988&lt;=0,P988="",FALSE),"Check - no price found for this item",IF(F988="","Assign - nobody credited",IF(AH988&gt;0.004,"Unpaid - balance outstanding",IF(AC988&lt;0,"Loss - sold below cost",IF(X988&gt;W988*0.5,"Check - more than half off","OK")))))))</f>
        <v>0</v>
      </c>
    </row>
    <row r="989" spans="1:38">
      <c r="A989" s="28">
        <f>IF(B989="","",SalePrefix&amp;TEXT(ROW()-4,"0000"))</f>
        <v>0</v>
      </c>
      <c r="E989" s="15">
        <f>IF(D989="","",IFERROR(INDEX(Clients!$B$5:$B$504,MATCH(D989,Clients!$A$5:$A$504,0)),"Walk-in"))</f>
        <v>0</v>
      </c>
      <c r="G989" s="15">
        <f>IF(F989="","",IFERROR(INDEX(Staff!$B$5:$B$44,MATCH(F989,Staff!$A$5:$A$44,0)),"House"))</f>
        <v>0</v>
      </c>
      <c r="R989" s="15">
        <f>IF(B989="","",TEXT(B989,"yyyy-mm"))</f>
        <v>0</v>
      </c>
      <c r="S989" s="25">
        <f>IF(B989="","",WEEKNUM(B989,2))</f>
        <v>0</v>
      </c>
      <c r="T989" s="37">
        <f>IF(B989="","",IF(K989="",1,K989))</f>
        <v>0</v>
      </c>
      <c r="U989" s="15">
        <f>IF(B989="","",IF(J989&lt;&gt;"",J989,IF(H989="Retail",IFERROR(INDEX(Inventory!$B$5:$B$304,MATCH(I989,Inventory!$A$5:$A$304,0))&amp;"","Not in Inventory"),IFERROR(INDEX(Services!$B$5:$B$204,MATCH(I989,Services!$A$5:$A$204,0))&amp;"","Not in Services"))))</f>
        <v>0</v>
      </c>
      <c r="V989" s="26">
        <f>IF(B989="","",IF(L989&lt;&gt;"",L989,IF(H989="Retail",IFERROR(INDEX(Inventory!$I$5:$I$304,MATCH(I989,Inventory!$A$5:$A$304,0))*1,0),IFERROR(INDEX(Services!$G$5:$G$204,MATCH(I989,Services!$A$5:$A$204,0))*1,0))))</f>
        <v>0</v>
      </c>
      <c r="W989" s="26">
        <f>IF(B989="","",ROUND(T989*V989,2))</f>
        <v>0</v>
      </c>
      <c r="X989" s="26">
        <f>IF(B989="","",ROUND(IF(M989="",0,W989*M989)+IF(N989="",0,N989),2))</f>
        <v>0</v>
      </c>
      <c r="Y989" s="26">
        <f>IF(B989="","",ROUND(W989-X989-IF(P989="",0,P989),2))</f>
        <v>0</v>
      </c>
      <c r="Z989" s="26">
        <f>IF(B989="","",IF(H989="Retail",IF(TaxOnRetail="Yes",ROUND(Y989*TaxRate,2),0),IF(H989="Service",IF(TaxOnServices="Yes",ROUND(Y989*TaxRate,2),0),0)))</f>
        <v>0</v>
      </c>
      <c r="AA989" s="26">
        <f>IF(B989="","",ROUND(Y989+Z989,2))</f>
        <v>0</v>
      </c>
      <c r="AB989" s="26">
        <f>IF(B989="","",ROUND(T989*IF(H989="Retail",IFERROR(INDEX(Inventory!$H$5:$H$304,MATCH(I989,Inventory!$A$5:$A$304,0))*1,0),IFERROR(INDEX(Services!$Q$5:$Q$204,MATCH(I989,Services!$A$5:$A$204,0))*1,0)),2))</f>
        <v>0</v>
      </c>
      <c r="AC989" s="26">
        <f>IF(B989="","",ROUND(Y989-AB989,2))</f>
        <v>0</v>
      </c>
      <c r="AD989" s="38">
        <f>IF(B989="","",IF(C989="","No",IF(COUNTIFS($C$5:C989,C989)=1,"Yes","No")))</f>
        <v>0</v>
      </c>
      <c r="AE989" s="26">
        <f>IF(B989="","",ROUND(SUMIFS(Payments!$G$5:$G$1204,Payments!$H$5:$H$1204,A989,Payments!$Q$5:$Q$1204,"Yes"),2))</f>
        <v>0</v>
      </c>
      <c r="AF989" s="26">
        <f>IF(B989="","",IF(AD989="No",0,ROUND(SUMIFS(Payments!$G$5:$G$1204,Payments!$I$5:$I$1204,C989,Payments!$H$5:$H$1204,"",Payments!$Q$5:$Q$1204,"Yes"),2)))</f>
        <v>0</v>
      </c>
      <c r="AG989" s="26">
        <f>IF(B989="","",ROUND(AE989+AF989,2))</f>
        <v>0</v>
      </c>
      <c r="AH989" s="26">
        <f>IF(B989="","",ROUND(AA989-AG989,2))</f>
        <v>0</v>
      </c>
      <c r="AI989" s="39">
        <f>IF(B989="","",IF(AA989&lt;=0,"No charge",IF(AH989&lt;=0.004,"Paid",IF(AG989&lt;=0.004,"Unpaid","Part paid"))))</f>
        <v>0</v>
      </c>
      <c r="AJ989" s="38">
        <f>IF(B989="","",IF(H989&lt;&gt;"Service","",IF(D989="","No",IF(COUNTIFS($D$5:$D$1204,D989,$B$5:$B$1204,B989,$H$5:$H$1204,"Retail")&gt;0,"Yes","No"))))</f>
        <v>0</v>
      </c>
      <c r="AK989" s="25">
        <f>IF(B989="","",COUNTIFS($Y$5:$Y$1204,"&gt;"&amp;Y989)+COUNTIFS($Y$5:Y989,Y989))</f>
        <v>0</v>
      </c>
      <c r="AL989" s="39">
        <f>IF(B989="","",IF(H989="","Add - what kind of sale is this?",IF(IF(V989&lt;=0,P989="",FALSE),"Check - no price found for this item",IF(F989="","Assign - nobody credited",IF(AH989&gt;0.004,"Unpaid - balance outstanding",IF(AC989&lt;0,"Loss - sold below cost",IF(X989&gt;W989*0.5,"Check - more than half off","OK")))))))</f>
        <v>0</v>
      </c>
    </row>
    <row r="990" spans="1:38">
      <c r="A990" s="28">
        <f>IF(B990="","",SalePrefix&amp;TEXT(ROW()-4,"0000"))</f>
        <v>0</v>
      </c>
      <c r="E990" s="15">
        <f>IF(D990="","",IFERROR(INDEX(Clients!$B$5:$B$504,MATCH(D990,Clients!$A$5:$A$504,0)),"Walk-in"))</f>
        <v>0</v>
      </c>
      <c r="G990" s="15">
        <f>IF(F990="","",IFERROR(INDEX(Staff!$B$5:$B$44,MATCH(F990,Staff!$A$5:$A$44,0)),"House"))</f>
        <v>0</v>
      </c>
      <c r="R990" s="15">
        <f>IF(B990="","",TEXT(B990,"yyyy-mm"))</f>
        <v>0</v>
      </c>
      <c r="S990" s="25">
        <f>IF(B990="","",WEEKNUM(B990,2))</f>
        <v>0</v>
      </c>
      <c r="T990" s="37">
        <f>IF(B990="","",IF(K990="",1,K990))</f>
        <v>0</v>
      </c>
      <c r="U990" s="15">
        <f>IF(B990="","",IF(J990&lt;&gt;"",J990,IF(H990="Retail",IFERROR(INDEX(Inventory!$B$5:$B$304,MATCH(I990,Inventory!$A$5:$A$304,0))&amp;"","Not in Inventory"),IFERROR(INDEX(Services!$B$5:$B$204,MATCH(I990,Services!$A$5:$A$204,0))&amp;"","Not in Services"))))</f>
        <v>0</v>
      </c>
      <c r="V990" s="26">
        <f>IF(B990="","",IF(L990&lt;&gt;"",L990,IF(H990="Retail",IFERROR(INDEX(Inventory!$I$5:$I$304,MATCH(I990,Inventory!$A$5:$A$304,0))*1,0),IFERROR(INDEX(Services!$G$5:$G$204,MATCH(I990,Services!$A$5:$A$204,0))*1,0))))</f>
        <v>0</v>
      </c>
      <c r="W990" s="26">
        <f>IF(B990="","",ROUND(T990*V990,2))</f>
        <v>0</v>
      </c>
      <c r="X990" s="26">
        <f>IF(B990="","",ROUND(IF(M990="",0,W990*M990)+IF(N990="",0,N990),2))</f>
        <v>0</v>
      </c>
      <c r="Y990" s="26">
        <f>IF(B990="","",ROUND(W990-X990-IF(P990="",0,P990),2))</f>
        <v>0</v>
      </c>
      <c r="Z990" s="26">
        <f>IF(B990="","",IF(H990="Retail",IF(TaxOnRetail="Yes",ROUND(Y990*TaxRate,2),0),IF(H990="Service",IF(TaxOnServices="Yes",ROUND(Y990*TaxRate,2),0),0)))</f>
        <v>0</v>
      </c>
      <c r="AA990" s="26">
        <f>IF(B990="","",ROUND(Y990+Z990,2))</f>
        <v>0</v>
      </c>
      <c r="AB990" s="26">
        <f>IF(B990="","",ROUND(T990*IF(H990="Retail",IFERROR(INDEX(Inventory!$H$5:$H$304,MATCH(I990,Inventory!$A$5:$A$304,0))*1,0),IFERROR(INDEX(Services!$Q$5:$Q$204,MATCH(I990,Services!$A$5:$A$204,0))*1,0)),2))</f>
        <v>0</v>
      </c>
      <c r="AC990" s="26">
        <f>IF(B990="","",ROUND(Y990-AB990,2))</f>
        <v>0</v>
      </c>
      <c r="AD990" s="38">
        <f>IF(B990="","",IF(C990="","No",IF(COUNTIFS($C$5:C990,C990)=1,"Yes","No")))</f>
        <v>0</v>
      </c>
      <c r="AE990" s="26">
        <f>IF(B990="","",ROUND(SUMIFS(Payments!$G$5:$G$1204,Payments!$H$5:$H$1204,A990,Payments!$Q$5:$Q$1204,"Yes"),2))</f>
        <v>0</v>
      </c>
      <c r="AF990" s="26">
        <f>IF(B990="","",IF(AD990="No",0,ROUND(SUMIFS(Payments!$G$5:$G$1204,Payments!$I$5:$I$1204,C990,Payments!$H$5:$H$1204,"",Payments!$Q$5:$Q$1204,"Yes"),2)))</f>
        <v>0</v>
      </c>
      <c r="AG990" s="26">
        <f>IF(B990="","",ROUND(AE990+AF990,2))</f>
        <v>0</v>
      </c>
      <c r="AH990" s="26">
        <f>IF(B990="","",ROUND(AA990-AG990,2))</f>
        <v>0</v>
      </c>
      <c r="AI990" s="39">
        <f>IF(B990="","",IF(AA990&lt;=0,"No charge",IF(AH990&lt;=0.004,"Paid",IF(AG990&lt;=0.004,"Unpaid","Part paid"))))</f>
        <v>0</v>
      </c>
      <c r="AJ990" s="38">
        <f>IF(B990="","",IF(H990&lt;&gt;"Service","",IF(D990="","No",IF(COUNTIFS($D$5:$D$1204,D990,$B$5:$B$1204,B990,$H$5:$H$1204,"Retail")&gt;0,"Yes","No"))))</f>
        <v>0</v>
      </c>
      <c r="AK990" s="25">
        <f>IF(B990="","",COUNTIFS($Y$5:$Y$1204,"&gt;"&amp;Y990)+COUNTIFS($Y$5:Y990,Y990))</f>
        <v>0</v>
      </c>
      <c r="AL990" s="39">
        <f>IF(B990="","",IF(H990="","Add - what kind of sale is this?",IF(IF(V990&lt;=0,P990="",FALSE),"Check - no price found for this item",IF(F990="","Assign - nobody credited",IF(AH990&gt;0.004,"Unpaid - balance outstanding",IF(AC990&lt;0,"Loss - sold below cost",IF(X990&gt;W990*0.5,"Check - more than half off","OK")))))))</f>
        <v>0</v>
      </c>
    </row>
    <row r="991" spans="1:38">
      <c r="A991" s="28">
        <f>IF(B991="","",SalePrefix&amp;TEXT(ROW()-4,"0000"))</f>
        <v>0</v>
      </c>
      <c r="E991" s="15">
        <f>IF(D991="","",IFERROR(INDEX(Clients!$B$5:$B$504,MATCH(D991,Clients!$A$5:$A$504,0)),"Walk-in"))</f>
        <v>0</v>
      </c>
      <c r="G991" s="15">
        <f>IF(F991="","",IFERROR(INDEX(Staff!$B$5:$B$44,MATCH(F991,Staff!$A$5:$A$44,0)),"House"))</f>
        <v>0</v>
      </c>
      <c r="R991" s="15">
        <f>IF(B991="","",TEXT(B991,"yyyy-mm"))</f>
        <v>0</v>
      </c>
      <c r="S991" s="25">
        <f>IF(B991="","",WEEKNUM(B991,2))</f>
        <v>0</v>
      </c>
      <c r="T991" s="37">
        <f>IF(B991="","",IF(K991="",1,K991))</f>
        <v>0</v>
      </c>
      <c r="U991" s="15">
        <f>IF(B991="","",IF(J991&lt;&gt;"",J991,IF(H991="Retail",IFERROR(INDEX(Inventory!$B$5:$B$304,MATCH(I991,Inventory!$A$5:$A$304,0))&amp;"","Not in Inventory"),IFERROR(INDEX(Services!$B$5:$B$204,MATCH(I991,Services!$A$5:$A$204,0))&amp;"","Not in Services"))))</f>
        <v>0</v>
      </c>
      <c r="V991" s="26">
        <f>IF(B991="","",IF(L991&lt;&gt;"",L991,IF(H991="Retail",IFERROR(INDEX(Inventory!$I$5:$I$304,MATCH(I991,Inventory!$A$5:$A$304,0))*1,0),IFERROR(INDEX(Services!$G$5:$G$204,MATCH(I991,Services!$A$5:$A$204,0))*1,0))))</f>
        <v>0</v>
      </c>
      <c r="W991" s="26">
        <f>IF(B991="","",ROUND(T991*V991,2))</f>
        <v>0</v>
      </c>
      <c r="X991" s="26">
        <f>IF(B991="","",ROUND(IF(M991="",0,W991*M991)+IF(N991="",0,N991),2))</f>
        <v>0</v>
      </c>
      <c r="Y991" s="26">
        <f>IF(B991="","",ROUND(W991-X991-IF(P991="",0,P991),2))</f>
        <v>0</v>
      </c>
      <c r="Z991" s="26">
        <f>IF(B991="","",IF(H991="Retail",IF(TaxOnRetail="Yes",ROUND(Y991*TaxRate,2),0),IF(H991="Service",IF(TaxOnServices="Yes",ROUND(Y991*TaxRate,2),0),0)))</f>
        <v>0</v>
      </c>
      <c r="AA991" s="26">
        <f>IF(B991="","",ROUND(Y991+Z991,2))</f>
        <v>0</v>
      </c>
      <c r="AB991" s="26">
        <f>IF(B991="","",ROUND(T991*IF(H991="Retail",IFERROR(INDEX(Inventory!$H$5:$H$304,MATCH(I991,Inventory!$A$5:$A$304,0))*1,0),IFERROR(INDEX(Services!$Q$5:$Q$204,MATCH(I991,Services!$A$5:$A$204,0))*1,0)),2))</f>
        <v>0</v>
      </c>
      <c r="AC991" s="26">
        <f>IF(B991="","",ROUND(Y991-AB991,2))</f>
        <v>0</v>
      </c>
      <c r="AD991" s="38">
        <f>IF(B991="","",IF(C991="","No",IF(COUNTIFS($C$5:C991,C991)=1,"Yes","No")))</f>
        <v>0</v>
      </c>
      <c r="AE991" s="26">
        <f>IF(B991="","",ROUND(SUMIFS(Payments!$G$5:$G$1204,Payments!$H$5:$H$1204,A991,Payments!$Q$5:$Q$1204,"Yes"),2))</f>
        <v>0</v>
      </c>
      <c r="AF991" s="26">
        <f>IF(B991="","",IF(AD991="No",0,ROUND(SUMIFS(Payments!$G$5:$G$1204,Payments!$I$5:$I$1204,C991,Payments!$H$5:$H$1204,"",Payments!$Q$5:$Q$1204,"Yes"),2)))</f>
        <v>0</v>
      </c>
      <c r="AG991" s="26">
        <f>IF(B991="","",ROUND(AE991+AF991,2))</f>
        <v>0</v>
      </c>
      <c r="AH991" s="26">
        <f>IF(B991="","",ROUND(AA991-AG991,2))</f>
        <v>0</v>
      </c>
      <c r="AI991" s="39">
        <f>IF(B991="","",IF(AA991&lt;=0,"No charge",IF(AH991&lt;=0.004,"Paid",IF(AG991&lt;=0.004,"Unpaid","Part paid"))))</f>
        <v>0</v>
      </c>
      <c r="AJ991" s="38">
        <f>IF(B991="","",IF(H991&lt;&gt;"Service","",IF(D991="","No",IF(COUNTIFS($D$5:$D$1204,D991,$B$5:$B$1204,B991,$H$5:$H$1204,"Retail")&gt;0,"Yes","No"))))</f>
        <v>0</v>
      </c>
      <c r="AK991" s="25">
        <f>IF(B991="","",COUNTIFS($Y$5:$Y$1204,"&gt;"&amp;Y991)+COUNTIFS($Y$5:Y991,Y991))</f>
        <v>0</v>
      </c>
      <c r="AL991" s="39">
        <f>IF(B991="","",IF(H991="","Add - what kind of sale is this?",IF(IF(V991&lt;=0,P991="",FALSE),"Check - no price found for this item",IF(F991="","Assign - nobody credited",IF(AH991&gt;0.004,"Unpaid - balance outstanding",IF(AC991&lt;0,"Loss - sold below cost",IF(X991&gt;W991*0.5,"Check - more than half off","OK")))))))</f>
        <v>0</v>
      </c>
    </row>
    <row r="992" spans="1:38">
      <c r="A992" s="28">
        <f>IF(B992="","",SalePrefix&amp;TEXT(ROW()-4,"0000"))</f>
        <v>0</v>
      </c>
      <c r="E992" s="15">
        <f>IF(D992="","",IFERROR(INDEX(Clients!$B$5:$B$504,MATCH(D992,Clients!$A$5:$A$504,0)),"Walk-in"))</f>
        <v>0</v>
      </c>
      <c r="G992" s="15">
        <f>IF(F992="","",IFERROR(INDEX(Staff!$B$5:$B$44,MATCH(F992,Staff!$A$5:$A$44,0)),"House"))</f>
        <v>0</v>
      </c>
      <c r="R992" s="15">
        <f>IF(B992="","",TEXT(B992,"yyyy-mm"))</f>
        <v>0</v>
      </c>
      <c r="S992" s="25">
        <f>IF(B992="","",WEEKNUM(B992,2))</f>
        <v>0</v>
      </c>
      <c r="T992" s="37">
        <f>IF(B992="","",IF(K992="",1,K992))</f>
        <v>0</v>
      </c>
      <c r="U992" s="15">
        <f>IF(B992="","",IF(J992&lt;&gt;"",J992,IF(H992="Retail",IFERROR(INDEX(Inventory!$B$5:$B$304,MATCH(I992,Inventory!$A$5:$A$304,0))&amp;"","Not in Inventory"),IFERROR(INDEX(Services!$B$5:$B$204,MATCH(I992,Services!$A$5:$A$204,0))&amp;"","Not in Services"))))</f>
        <v>0</v>
      </c>
      <c r="V992" s="26">
        <f>IF(B992="","",IF(L992&lt;&gt;"",L992,IF(H992="Retail",IFERROR(INDEX(Inventory!$I$5:$I$304,MATCH(I992,Inventory!$A$5:$A$304,0))*1,0),IFERROR(INDEX(Services!$G$5:$G$204,MATCH(I992,Services!$A$5:$A$204,0))*1,0))))</f>
        <v>0</v>
      </c>
      <c r="W992" s="26">
        <f>IF(B992="","",ROUND(T992*V992,2))</f>
        <v>0</v>
      </c>
      <c r="X992" s="26">
        <f>IF(B992="","",ROUND(IF(M992="",0,W992*M992)+IF(N992="",0,N992),2))</f>
        <v>0</v>
      </c>
      <c r="Y992" s="26">
        <f>IF(B992="","",ROUND(W992-X992-IF(P992="",0,P992),2))</f>
        <v>0</v>
      </c>
      <c r="Z992" s="26">
        <f>IF(B992="","",IF(H992="Retail",IF(TaxOnRetail="Yes",ROUND(Y992*TaxRate,2),0),IF(H992="Service",IF(TaxOnServices="Yes",ROUND(Y992*TaxRate,2),0),0)))</f>
        <v>0</v>
      </c>
      <c r="AA992" s="26">
        <f>IF(B992="","",ROUND(Y992+Z992,2))</f>
        <v>0</v>
      </c>
      <c r="AB992" s="26">
        <f>IF(B992="","",ROUND(T992*IF(H992="Retail",IFERROR(INDEX(Inventory!$H$5:$H$304,MATCH(I992,Inventory!$A$5:$A$304,0))*1,0),IFERROR(INDEX(Services!$Q$5:$Q$204,MATCH(I992,Services!$A$5:$A$204,0))*1,0)),2))</f>
        <v>0</v>
      </c>
      <c r="AC992" s="26">
        <f>IF(B992="","",ROUND(Y992-AB992,2))</f>
        <v>0</v>
      </c>
      <c r="AD992" s="38">
        <f>IF(B992="","",IF(C992="","No",IF(COUNTIFS($C$5:C992,C992)=1,"Yes","No")))</f>
        <v>0</v>
      </c>
      <c r="AE992" s="26">
        <f>IF(B992="","",ROUND(SUMIFS(Payments!$G$5:$G$1204,Payments!$H$5:$H$1204,A992,Payments!$Q$5:$Q$1204,"Yes"),2))</f>
        <v>0</v>
      </c>
      <c r="AF992" s="26">
        <f>IF(B992="","",IF(AD992="No",0,ROUND(SUMIFS(Payments!$G$5:$G$1204,Payments!$I$5:$I$1204,C992,Payments!$H$5:$H$1204,"",Payments!$Q$5:$Q$1204,"Yes"),2)))</f>
        <v>0</v>
      </c>
      <c r="AG992" s="26">
        <f>IF(B992="","",ROUND(AE992+AF992,2))</f>
        <v>0</v>
      </c>
      <c r="AH992" s="26">
        <f>IF(B992="","",ROUND(AA992-AG992,2))</f>
        <v>0</v>
      </c>
      <c r="AI992" s="39">
        <f>IF(B992="","",IF(AA992&lt;=0,"No charge",IF(AH992&lt;=0.004,"Paid",IF(AG992&lt;=0.004,"Unpaid","Part paid"))))</f>
        <v>0</v>
      </c>
      <c r="AJ992" s="38">
        <f>IF(B992="","",IF(H992&lt;&gt;"Service","",IF(D992="","No",IF(COUNTIFS($D$5:$D$1204,D992,$B$5:$B$1204,B992,$H$5:$H$1204,"Retail")&gt;0,"Yes","No"))))</f>
        <v>0</v>
      </c>
      <c r="AK992" s="25">
        <f>IF(B992="","",COUNTIFS($Y$5:$Y$1204,"&gt;"&amp;Y992)+COUNTIFS($Y$5:Y992,Y992))</f>
        <v>0</v>
      </c>
      <c r="AL992" s="39">
        <f>IF(B992="","",IF(H992="","Add - what kind of sale is this?",IF(IF(V992&lt;=0,P992="",FALSE),"Check - no price found for this item",IF(F992="","Assign - nobody credited",IF(AH992&gt;0.004,"Unpaid - balance outstanding",IF(AC992&lt;0,"Loss - sold below cost",IF(X992&gt;W992*0.5,"Check - more than half off","OK")))))))</f>
        <v>0</v>
      </c>
    </row>
    <row r="993" spans="1:38">
      <c r="A993" s="28">
        <f>IF(B993="","",SalePrefix&amp;TEXT(ROW()-4,"0000"))</f>
        <v>0</v>
      </c>
      <c r="E993" s="15">
        <f>IF(D993="","",IFERROR(INDEX(Clients!$B$5:$B$504,MATCH(D993,Clients!$A$5:$A$504,0)),"Walk-in"))</f>
        <v>0</v>
      </c>
      <c r="G993" s="15">
        <f>IF(F993="","",IFERROR(INDEX(Staff!$B$5:$B$44,MATCH(F993,Staff!$A$5:$A$44,0)),"House"))</f>
        <v>0</v>
      </c>
      <c r="R993" s="15">
        <f>IF(B993="","",TEXT(B993,"yyyy-mm"))</f>
        <v>0</v>
      </c>
      <c r="S993" s="25">
        <f>IF(B993="","",WEEKNUM(B993,2))</f>
        <v>0</v>
      </c>
      <c r="T993" s="37">
        <f>IF(B993="","",IF(K993="",1,K993))</f>
        <v>0</v>
      </c>
      <c r="U993" s="15">
        <f>IF(B993="","",IF(J993&lt;&gt;"",J993,IF(H993="Retail",IFERROR(INDEX(Inventory!$B$5:$B$304,MATCH(I993,Inventory!$A$5:$A$304,0))&amp;"","Not in Inventory"),IFERROR(INDEX(Services!$B$5:$B$204,MATCH(I993,Services!$A$5:$A$204,0))&amp;"","Not in Services"))))</f>
        <v>0</v>
      </c>
      <c r="V993" s="26">
        <f>IF(B993="","",IF(L993&lt;&gt;"",L993,IF(H993="Retail",IFERROR(INDEX(Inventory!$I$5:$I$304,MATCH(I993,Inventory!$A$5:$A$304,0))*1,0),IFERROR(INDEX(Services!$G$5:$G$204,MATCH(I993,Services!$A$5:$A$204,0))*1,0))))</f>
        <v>0</v>
      </c>
      <c r="W993" s="26">
        <f>IF(B993="","",ROUND(T993*V993,2))</f>
        <v>0</v>
      </c>
      <c r="X993" s="26">
        <f>IF(B993="","",ROUND(IF(M993="",0,W993*M993)+IF(N993="",0,N993),2))</f>
        <v>0</v>
      </c>
      <c r="Y993" s="26">
        <f>IF(B993="","",ROUND(W993-X993-IF(P993="",0,P993),2))</f>
        <v>0</v>
      </c>
      <c r="Z993" s="26">
        <f>IF(B993="","",IF(H993="Retail",IF(TaxOnRetail="Yes",ROUND(Y993*TaxRate,2),0),IF(H993="Service",IF(TaxOnServices="Yes",ROUND(Y993*TaxRate,2),0),0)))</f>
        <v>0</v>
      </c>
      <c r="AA993" s="26">
        <f>IF(B993="","",ROUND(Y993+Z993,2))</f>
        <v>0</v>
      </c>
      <c r="AB993" s="26">
        <f>IF(B993="","",ROUND(T993*IF(H993="Retail",IFERROR(INDEX(Inventory!$H$5:$H$304,MATCH(I993,Inventory!$A$5:$A$304,0))*1,0),IFERROR(INDEX(Services!$Q$5:$Q$204,MATCH(I993,Services!$A$5:$A$204,0))*1,0)),2))</f>
        <v>0</v>
      </c>
      <c r="AC993" s="26">
        <f>IF(B993="","",ROUND(Y993-AB993,2))</f>
        <v>0</v>
      </c>
      <c r="AD993" s="38">
        <f>IF(B993="","",IF(C993="","No",IF(COUNTIFS($C$5:C993,C993)=1,"Yes","No")))</f>
        <v>0</v>
      </c>
      <c r="AE993" s="26">
        <f>IF(B993="","",ROUND(SUMIFS(Payments!$G$5:$G$1204,Payments!$H$5:$H$1204,A993,Payments!$Q$5:$Q$1204,"Yes"),2))</f>
        <v>0</v>
      </c>
      <c r="AF993" s="26">
        <f>IF(B993="","",IF(AD993="No",0,ROUND(SUMIFS(Payments!$G$5:$G$1204,Payments!$I$5:$I$1204,C993,Payments!$H$5:$H$1204,"",Payments!$Q$5:$Q$1204,"Yes"),2)))</f>
        <v>0</v>
      </c>
      <c r="AG993" s="26">
        <f>IF(B993="","",ROUND(AE993+AF993,2))</f>
        <v>0</v>
      </c>
      <c r="AH993" s="26">
        <f>IF(B993="","",ROUND(AA993-AG993,2))</f>
        <v>0</v>
      </c>
      <c r="AI993" s="39">
        <f>IF(B993="","",IF(AA993&lt;=0,"No charge",IF(AH993&lt;=0.004,"Paid",IF(AG993&lt;=0.004,"Unpaid","Part paid"))))</f>
        <v>0</v>
      </c>
      <c r="AJ993" s="38">
        <f>IF(B993="","",IF(H993&lt;&gt;"Service","",IF(D993="","No",IF(COUNTIFS($D$5:$D$1204,D993,$B$5:$B$1204,B993,$H$5:$H$1204,"Retail")&gt;0,"Yes","No"))))</f>
        <v>0</v>
      </c>
      <c r="AK993" s="25">
        <f>IF(B993="","",COUNTIFS($Y$5:$Y$1204,"&gt;"&amp;Y993)+COUNTIFS($Y$5:Y993,Y993))</f>
        <v>0</v>
      </c>
      <c r="AL993" s="39">
        <f>IF(B993="","",IF(H993="","Add - what kind of sale is this?",IF(IF(V993&lt;=0,P993="",FALSE),"Check - no price found for this item",IF(F993="","Assign - nobody credited",IF(AH993&gt;0.004,"Unpaid - balance outstanding",IF(AC993&lt;0,"Loss - sold below cost",IF(X993&gt;W993*0.5,"Check - more than half off","OK")))))))</f>
        <v>0</v>
      </c>
    </row>
    <row r="994" spans="1:38">
      <c r="A994" s="28">
        <f>IF(B994="","",SalePrefix&amp;TEXT(ROW()-4,"0000"))</f>
        <v>0</v>
      </c>
      <c r="E994" s="15">
        <f>IF(D994="","",IFERROR(INDEX(Clients!$B$5:$B$504,MATCH(D994,Clients!$A$5:$A$504,0)),"Walk-in"))</f>
        <v>0</v>
      </c>
      <c r="G994" s="15">
        <f>IF(F994="","",IFERROR(INDEX(Staff!$B$5:$B$44,MATCH(F994,Staff!$A$5:$A$44,0)),"House"))</f>
        <v>0</v>
      </c>
      <c r="R994" s="15">
        <f>IF(B994="","",TEXT(B994,"yyyy-mm"))</f>
        <v>0</v>
      </c>
      <c r="S994" s="25">
        <f>IF(B994="","",WEEKNUM(B994,2))</f>
        <v>0</v>
      </c>
      <c r="T994" s="37">
        <f>IF(B994="","",IF(K994="",1,K994))</f>
        <v>0</v>
      </c>
      <c r="U994" s="15">
        <f>IF(B994="","",IF(J994&lt;&gt;"",J994,IF(H994="Retail",IFERROR(INDEX(Inventory!$B$5:$B$304,MATCH(I994,Inventory!$A$5:$A$304,0))&amp;"","Not in Inventory"),IFERROR(INDEX(Services!$B$5:$B$204,MATCH(I994,Services!$A$5:$A$204,0))&amp;"","Not in Services"))))</f>
        <v>0</v>
      </c>
      <c r="V994" s="26">
        <f>IF(B994="","",IF(L994&lt;&gt;"",L994,IF(H994="Retail",IFERROR(INDEX(Inventory!$I$5:$I$304,MATCH(I994,Inventory!$A$5:$A$304,0))*1,0),IFERROR(INDEX(Services!$G$5:$G$204,MATCH(I994,Services!$A$5:$A$204,0))*1,0))))</f>
        <v>0</v>
      </c>
      <c r="W994" s="26">
        <f>IF(B994="","",ROUND(T994*V994,2))</f>
        <v>0</v>
      </c>
      <c r="X994" s="26">
        <f>IF(B994="","",ROUND(IF(M994="",0,W994*M994)+IF(N994="",0,N994),2))</f>
        <v>0</v>
      </c>
      <c r="Y994" s="26">
        <f>IF(B994="","",ROUND(W994-X994-IF(P994="",0,P994),2))</f>
        <v>0</v>
      </c>
      <c r="Z994" s="26">
        <f>IF(B994="","",IF(H994="Retail",IF(TaxOnRetail="Yes",ROUND(Y994*TaxRate,2),0),IF(H994="Service",IF(TaxOnServices="Yes",ROUND(Y994*TaxRate,2),0),0)))</f>
        <v>0</v>
      </c>
      <c r="AA994" s="26">
        <f>IF(B994="","",ROUND(Y994+Z994,2))</f>
        <v>0</v>
      </c>
      <c r="AB994" s="26">
        <f>IF(B994="","",ROUND(T994*IF(H994="Retail",IFERROR(INDEX(Inventory!$H$5:$H$304,MATCH(I994,Inventory!$A$5:$A$304,0))*1,0),IFERROR(INDEX(Services!$Q$5:$Q$204,MATCH(I994,Services!$A$5:$A$204,0))*1,0)),2))</f>
        <v>0</v>
      </c>
      <c r="AC994" s="26">
        <f>IF(B994="","",ROUND(Y994-AB994,2))</f>
        <v>0</v>
      </c>
      <c r="AD994" s="38">
        <f>IF(B994="","",IF(C994="","No",IF(COUNTIFS($C$5:C994,C994)=1,"Yes","No")))</f>
        <v>0</v>
      </c>
      <c r="AE994" s="26">
        <f>IF(B994="","",ROUND(SUMIFS(Payments!$G$5:$G$1204,Payments!$H$5:$H$1204,A994,Payments!$Q$5:$Q$1204,"Yes"),2))</f>
        <v>0</v>
      </c>
      <c r="AF994" s="26">
        <f>IF(B994="","",IF(AD994="No",0,ROUND(SUMIFS(Payments!$G$5:$G$1204,Payments!$I$5:$I$1204,C994,Payments!$H$5:$H$1204,"",Payments!$Q$5:$Q$1204,"Yes"),2)))</f>
        <v>0</v>
      </c>
      <c r="AG994" s="26">
        <f>IF(B994="","",ROUND(AE994+AF994,2))</f>
        <v>0</v>
      </c>
      <c r="AH994" s="26">
        <f>IF(B994="","",ROUND(AA994-AG994,2))</f>
        <v>0</v>
      </c>
      <c r="AI994" s="39">
        <f>IF(B994="","",IF(AA994&lt;=0,"No charge",IF(AH994&lt;=0.004,"Paid",IF(AG994&lt;=0.004,"Unpaid","Part paid"))))</f>
        <v>0</v>
      </c>
      <c r="AJ994" s="38">
        <f>IF(B994="","",IF(H994&lt;&gt;"Service","",IF(D994="","No",IF(COUNTIFS($D$5:$D$1204,D994,$B$5:$B$1204,B994,$H$5:$H$1204,"Retail")&gt;0,"Yes","No"))))</f>
        <v>0</v>
      </c>
      <c r="AK994" s="25">
        <f>IF(B994="","",COUNTIFS($Y$5:$Y$1204,"&gt;"&amp;Y994)+COUNTIFS($Y$5:Y994,Y994))</f>
        <v>0</v>
      </c>
      <c r="AL994" s="39">
        <f>IF(B994="","",IF(H994="","Add - what kind of sale is this?",IF(IF(V994&lt;=0,P994="",FALSE),"Check - no price found for this item",IF(F994="","Assign - nobody credited",IF(AH994&gt;0.004,"Unpaid - balance outstanding",IF(AC994&lt;0,"Loss - sold below cost",IF(X994&gt;W994*0.5,"Check - more than half off","OK")))))))</f>
        <v>0</v>
      </c>
    </row>
    <row r="995" spans="1:38">
      <c r="A995" s="28">
        <f>IF(B995="","",SalePrefix&amp;TEXT(ROW()-4,"0000"))</f>
        <v>0</v>
      </c>
      <c r="E995" s="15">
        <f>IF(D995="","",IFERROR(INDEX(Clients!$B$5:$B$504,MATCH(D995,Clients!$A$5:$A$504,0)),"Walk-in"))</f>
        <v>0</v>
      </c>
      <c r="G995" s="15">
        <f>IF(F995="","",IFERROR(INDEX(Staff!$B$5:$B$44,MATCH(F995,Staff!$A$5:$A$44,0)),"House"))</f>
        <v>0</v>
      </c>
      <c r="R995" s="15">
        <f>IF(B995="","",TEXT(B995,"yyyy-mm"))</f>
        <v>0</v>
      </c>
      <c r="S995" s="25">
        <f>IF(B995="","",WEEKNUM(B995,2))</f>
        <v>0</v>
      </c>
      <c r="T995" s="37">
        <f>IF(B995="","",IF(K995="",1,K995))</f>
        <v>0</v>
      </c>
      <c r="U995" s="15">
        <f>IF(B995="","",IF(J995&lt;&gt;"",J995,IF(H995="Retail",IFERROR(INDEX(Inventory!$B$5:$B$304,MATCH(I995,Inventory!$A$5:$A$304,0))&amp;"","Not in Inventory"),IFERROR(INDEX(Services!$B$5:$B$204,MATCH(I995,Services!$A$5:$A$204,0))&amp;"","Not in Services"))))</f>
        <v>0</v>
      </c>
      <c r="V995" s="26">
        <f>IF(B995="","",IF(L995&lt;&gt;"",L995,IF(H995="Retail",IFERROR(INDEX(Inventory!$I$5:$I$304,MATCH(I995,Inventory!$A$5:$A$304,0))*1,0),IFERROR(INDEX(Services!$G$5:$G$204,MATCH(I995,Services!$A$5:$A$204,0))*1,0))))</f>
        <v>0</v>
      </c>
      <c r="W995" s="26">
        <f>IF(B995="","",ROUND(T995*V995,2))</f>
        <v>0</v>
      </c>
      <c r="X995" s="26">
        <f>IF(B995="","",ROUND(IF(M995="",0,W995*M995)+IF(N995="",0,N995),2))</f>
        <v>0</v>
      </c>
      <c r="Y995" s="26">
        <f>IF(B995="","",ROUND(W995-X995-IF(P995="",0,P995),2))</f>
        <v>0</v>
      </c>
      <c r="Z995" s="26">
        <f>IF(B995="","",IF(H995="Retail",IF(TaxOnRetail="Yes",ROUND(Y995*TaxRate,2),0),IF(H995="Service",IF(TaxOnServices="Yes",ROUND(Y995*TaxRate,2),0),0)))</f>
        <v>0</v>
      </c>
      <c r="AA995" s="26">
        <f>IF(B995="","",ROUND(Y995+Z995,2))</f>
        <v>0</v>
      </c>
      <c r="AB995" s="26">
        <f>IF(B995="","",ROUND(T995*IF(H995="Retail",IFERROR(INDEX(Inventory!$H$5:$H$304,MATCH(I995,Inventory!$A$5:$A$304,0))*1,0),IFERROR(INDEX(Services!$Q$5:$Q$204,MATCH(I995,Services!$A$5:$A$204,0))*1,0)),2))</f>
        <v>0</v>
      </c>
      <c r="AC995" s="26">
        <f>IF(B995="","",ROUND(Y995-AB995,2))</f>
        <v>0</v>
      </c>
      <c r="AD995" s="38">
        <f>IF(B995="","",IF(C995="","No",IF(COUNTIFS($C$5:C995,C995)=1,"Yes","No")))</f>
        <v>0</v>
      </c>
      <c r="AE995" s="26">
        <f>IF(B995="","",ROUND(SUMIFS(Payments!$G$5:$G$1204,Payments!$H$5:$H$1204,A995,Payments!$Q$5:$Q$1204,"Yes"),2))</f>
        <v>0</v>
      </c>
      <c r="AF995" s="26">
        <f>IF(B995="","",IF(AD995="No",0,ROUND(SUMIFS(Payments!$G$5:$G$1204,Payments!$I$5:$I$1204,C995,Payments!$H$5:$H$1204,"",Payments!$Q$5:$Q$1204,"Yes"),2)))</f>
        <v>0</v>
      </c>
      <c r="AG995" s="26">
        <f>IF(B995="","",ROUND(AE995+AF995,2))</f>
        <v>0</v>
      </c>
      <c r="AH995" s="26">
        <f>IF(B995="","",ROUND(AA995-AG995,2))</f>
        <v>0</v>
      </c>
      <c r="AI995" s="39">
        <f>IF(B995="","",IF(AA995&lt;=0,"No charge",IF(AH995&lt;=0.004,"Paid",IF(AG995&lt;=0.004,"Unpaid","Part paid"))))</f>
        <v>0</v>
      </c>
      <c r="AJ995" s="38">
        <f>IF(B995="","",IF(H995&lt;&gt;"Service","",IF(D995="","No",IF(COUNTIFS($D$5:$D$1204,D995,$B$5:$B$1204,B995,$H$5:$H$1204,"Retail")&gt;0,"Yes","No"))))</f>
        <v>0</v>
      </c>
      <c r="AK995" s="25">
        <f>IF(B995="","",COUNTIFS($Y$5:$Y$1204,"&gt;"&amp;Y995)+COUNTIFS($Y$5:Y995,Y995))</f>
        <v>0</v>
      </c>
      <c r="AL995" s="39">
        <f>IF(B995="","",IF(H995="","Add - what kind of sale is this?",IF(IF(V995&lt;=0,P995="",FALSE),"Check - no price found for this item",IF(F995="","Assign - nobody credited",IF(AH995&gt;0.004,"Unpaid - balance outstanding",IF(AC995&lt;0,"Loss - sold below cost",IF(X995&gt;W995*0.5,"Check - more than half off","OK")))))))</f>
        <v>0</v>
      </c>
    </row>
    <row r="996" spans="1:38">
      <c r="A996" s="28">
        <f>IF(B996="","",SalePrefix&amp;TEXT(ROW()-4,"0000"))</f>
        <v>0</v>
      </c>
      <c r="E996" s="15">
        <f>IF(D996="","",IFERROR(INDEX(Clients!$B$5:$B$504,MATCH(D996,Clients!$A$5:$A$504,0)),"Walk-in"))</f>
        <v>0</v>
      </c>
      <c r="G996" s="15">
        <f>IF(F996="","",IFERROR(INDEX(Staff!$B$5:$B$44,MATCH(F996,Staff!$A$5:$A$44,0)),"House"))</f>
        <v>0</v>
      </c>
      <c r="R996" s="15">
        <f>IF(B996="","",TEXT(B996,"yyyy-mm"))</f>
        <v>0</v>
      </c>
      <c r="S996" s="25">
        <f>IF(B996="","",WEEKNUM(B996,2))</f>
        <v>0</v>
      </c>
      <c r="T996" s="37">
        <f>IF(B996="","",IF(K996="",1,K996))</f>
        <v>0</v>
      </c>
      <c r="U996" s="15">
        <f>IF(B996="","",IF(J996&lt;&gt;"",J996,IF(H996="Retail",IFERROR(INDEX(Inventory!$B$5:$B$304,MATCH(I996,Inventory!$A$5:$A$304,0))&amp;"","Not in Inventory"),IFERROR(INDEX(Services!$B$5:$B$204,MATCH(I996,Services!$A$5:$A$204,0))&amp;"","Not in Services"))))</f>
        <v>0</v>
      </c>
      <c r="V996" s="26">
        <f>IF(B996="","",IF(L996&lt;&gt;"",L996,IF(H996="Retail",IFERROR(INDEX(Inventory!$I$5:$I$304,MATCH(I996,Inventory!$A$5:$A$304,0))*1,0),IFERROR(INDEX(Services!$G$5:$G$204,MATCH(I996,Services!$A$5:$A$204,0))*1,0))))</f>
        <v>0</v>
      </c>
      <c r="W996" s="26">
        <f>IF(B996="","",ROUND(T996*V996,2))</f>
        <v>0</v>
      </c>
      <c r="X996" s="26">
        <f>IF(B996="","",ROUND(IF(M996="",0,W996*M996)+IF(N996="",0,N996),2))</f>
        <v>0</v>
      </c>
      <c r="Y996" s="26">
        <f>IF(B996="","",ROUND(W996-X996-IF(P996="",0,P996),2))</f>
        <v>0</v>
      </c>
      <c r="Z996" s="26">
        <f>IF(B996="","",IF(H996="Retail",IF(TaxOnRetail="Yes",ROUND(Y996*TaxRate,2),0),IF(H996="Service",IF(TaxOnServices="Yes",ROUND(Y996*TaxRate,2),0),0)))</f>
        <v>0</v>
      </c>
      <c r="AA996" s="26">
        <f>IF(B996="","",ROUND(Y996+Z996,2))</f>
        <v>0</v>
      </c>
      <c r="AB996" s="26">
        <f>IF(B996="","",ROUND(T996*IF(H996="Retail",IFERROR(INDEX(Inventory!$H$5:$H$304,MATCH(I996,Inventory!$A$5:$A$304,0))*1,0),IFERROR(INDEX(Services!$Q$5:$Q$204,MATCH(I996,Services!$A$5:$A$204,0))*1,0)),2))</f>
        <v>0</v>
      </c>
      <c r="AC996" s="26">
        <f>IF(B996="","",ROUND(Y996-AB996,2))</f>
        <v>0</v>
      </c>
      <c r="AD996" s="38">
        <f>IF(B996="","",IF(C996="","No",IF(COUNTIFS($C$5:C996,C996)=1,"Yes","No")))</f>
        <v>0</v>
      </c>
      <c r="AE996" s="26">
        <f>IF(B996="","",ROUND(SUMIFS(Payments!$G$5:$G$1204,Payments!$H$5:$H$1204,A996,Payments!$Q$5:$Q$1204,"Yes"),2))</f>
        <v>0</v>
      </c>
      <c r="AF996" s="26">
        <f>IF(B996="","",IF(AD996="No",0,ROUND(SUMIFS(Payments!$G$5:$G$1204,Payments!$I$5:$I$1204,C996,Payments!$H$5:$H$1204,"",Payments!$Q$5:$Q$1204,"Yes"),2)))</f>
        <v>0</v>
      </c>
      <c r="AG996" s="26">
        <f>IF(B996="","",ROUND(AE996+AF996,2))</f>
        <v>0</v>
      </c>
      <c r="AH996" s="26">
        <f>IF(B996="","",ROUND(AA996-AG996,2))</f>
        <v>0</v>
      </c>
      <c r="AI996" s="39">
        <f>IF(B996="","",IF(AA996&lt;=0,"No charge",IF(AH996&lt;=0.004,"Paid",IF(AG996&lt;=0.004,"Unpaid","Part paid"))))</f>
        <v>0</v>
      </c>
      <c r="AJ996" s="38">
        <f>IF(B996="","",IF(H996&lt;&gt;"Service","",IF(D996="","No",IF(COUNTIFS($D$5:$D$1204,D996,$B$5:$B$1204,B996,$H$5:$H$1204,"Retail")&gt;0,"Yes","No"))))</f>
        <v>0</v>
      </c>
      <c r="AK996" s="25">
        <f>IF(B996="","",COUNTIFS($Y$5:$Y$1204,"&gt;"&amp;Y996)+COUNTIFS($Y$5:Y996,Y996))</f>
        <v>0</v>
      </c>
      <c r="AL996" s="39">
        <f>IF(B996="","",IF(H996="","Add - what kind of sale is this?",IF(IF(V996&lt;=0,P996="",FALSE),"Check - no price found for this item",IF(F996="","Assign - nobody credited",IF(AH996&gt;0.004,"Unpaid - balance outstanding",IF(AC996&lt;0,"Loss - sold below cost",IF(X996&gt;W996*0.5,"Check - more than half off","OK")))))))</f>
        <v>0</v>
      </c>
    </row>
    <row r="997" spans="1:38">
      <c r="A997" s="28">
        <f>IF(B997="","",SalePrefix&amp;TEXT(ROW()-4,"0000"))</f>
        <v>0</v>
      </c>
      <c r="E997" s="15">
        <f>IF(D997="","",IFERROR(INDEX(Clients!$B$5:$B$504,MATCH(D997,Clients!$A$5:$A$504,0)),"Walk-in"))</f>
        <v>0</v>
      </c>
      <c r="G997" s="15">
        <f>IF(F997="","",IFERROR(INDEX(Staff!$B$5:$B$44,MATCH(F997,Staff!$A$5:$A$44,0)),"House"))</f>
        <v>0</v>
      </c>
      <c r="R997" s="15">
        <f>IF(B997="","",TEXT(B997,"yyyy-mm"))</f>
        <v>0</v>
      </c>
      <c r="S997" s="25">
        <f>IF(B997="","",WEEKNUM(B997,2))</f>
        <v>0</v>
      </c>
      <c r="T997" s="37">
        <f>IF(B997="","",IF(K997="",1,K997))</f>
        <v>0</v>
      </c>
      <c r="U997" s="15">
        <f>IF(B997="","",IF(J997&lt;&gt;"",J997,IF(H997="Retail",IFERROR(INDEX(Inventory!$B$5:$B$304,MATCH(I997,Inventory!$A$5:$A$304,0))&amp;"","Not in Inventory"),IFERROR(INDEX(Services!$B$5:$B$204,MATCH(I997,Services!$A$5:$A$204,0))&amp;"","Not in Services"))))</f>
        <v>0</v>
      </c>
      <c r="V997" s="26">
        <f>IF(B997="","",IF(L997&lt;&gt;"",L997,IF(H997="Retail",IFERROR(INDEX(Inventory!$I$5:$I$304,MATCH(I997,Inventory!$A$5:$A$304,0))*1,0),IFERROR(INDEX(Services!$G$5:$G$204,MATCH(I997,Services!$A$5:$A$204,0))*1,0))))</f>
        <v>0</v>
      </c>
      <c r="W997" s="26">
        <f>IF(B997="","",ROUND(T997*V997,2))</f>
        <v>0</v>
      </c>
      <c r="X997" s="26">
        <f>IF(B997="","",ROUND(IF(M997="",0,W997*M997)+IF(N997="",0,N997),2))</f>
        <v>0</v>
      </c>
      <c r="Y997" s="26">
        <f>IF(B997="","",ROUND(W997-X997-IF(P997="",0,P997),2))</f>
        <v>0</v>
      </c>
      <c r="Z997" s="26">
        <f>IF(B997="","",IF(H997="Retail",IF(TaxOnRetail="Yes",ROUND(Y997*TaxRate,2),0),IF(H997="Service",IF(TaxOnServices="Yes",ROUND(Y997*TaxRate,2),0),0)))</f>
        <v>0</v>
      </c>
      <c r="AA997" s="26">
        <f>IF(B997="","",ROUND(Y997+Z997,2))</f>
        <v>0</v>
      </c>
      <c r="AB997" s="26">
        <f>IF(B997="","",ROUND(T997*IF(H997="Retail",IFERROR(INDEX(Inventory!$H$5:$H$304,MATCH(I997,Inventory!$A$5:$A$304,0))*1,0),IFERROR(INDEX(Services!$Q$5:$Q$204,MATCH(I997,Services!$A$5:$A$204,0))*1,0)),2))</f>
        <v>0</v>
      </c>
      <c r="AC997" s="26">
        <f>IF(B997="","",ROUND(Y997-AB997,2))</f>
        <v>0</v>
      </c>
      <c r="AD997" s="38">
        <f>IF(B997="","",IF(C997="","No",IF(COUNTIFS($C$5:C997,C997)=1,"Yes","No")))</f>
        <v>0</v>
      </c>
      <c r="AE997" s="26">
        <f>IF(B997="","",ROUND(SUMIFS(Payments!$G$5:$G$1204,Payments!$H$5:$H$1204,A997,Payments!$Q$5:$Q$1204,"Yes"),2))</f>
        <v>0</v>
      </c>
      <c r="AF997" s="26">
        <f>IF(B997="","",IF(AD997="No",0,ROUND(SUMIFS(Payments!$G$5:$G$1204,Payments!$I$5:$I$1204,C997,Payments!$H$5:$H$1204,"",Payments!$Q$5:$Q$1204,"Yes"),2)))</f>
        <v>0</v>
      </c>
      <c r="AG997" s="26">
        <f>IF(B997="","",ROUND(AE997+AF997,2))</f>
        <v>0</v>
      </c>
      <c r="AH997" s="26">
        <f>IF(B997="","",ROUND(AA997-AG997,2))</f>
        <v>0</v>
      </c>
      <c r="AI997" s="39">
        <f>IF(B997="","",IF(AA997&lt;=0,"No charge",IF(AH997&lt;=0.004,"Paid",IF(AG997&lt;=0.004,"Unpaid","Part paid"))))</f>
        <v>0</v>
      </c>
      <c r="AJ997" s="38">
        <f>IF(B997="","",IF(H997&lt;&gt;"Service","",IF(D997="","No",IF(COUNTIFS($D$5:$D$1204,D997,$B$5:$B$1204,B997,$H$5:$H$1204,"Retail")&gt;0,"Yes","No"))))</f>
        <v>0</v>
      </c>
      <c r="AK997" s="25">
        <f>IF(B997="","",COUNTIFS($Y$5:$Y$1204,"&gt;"&amp;Y997)+COUNTIFS($Y$5:Y997,Y997))</f>
        <v>0</v>
      </c>
      <c r="AL997" s="39">
        <f>IF(B997="","",IF(H997="","Add - what kind of sale is this?",IF(IF(V997&lt;=0,P997="",FALSE),"Check - no price found for this item",IF(F997="","Assign - nobody credited",IF(AH997&gt;0.004,"Unpaid - balance outstanding",IF(AC997&lt;0,"Loss - sold below cost",IF(X997&gt;W997*0.5,"Check - more than half off","OK")))))))</f>
        <v>0</v>
      </c>
    </row>
    <row r="998" spans="1:38">
      <c r="A998" s="28">
        <f>IF(B998="","",SalePrefix&amp;TEXT(ROW()-4,"0000"))</f>
        <v>0</v>
      </c>
      <c r="E998" s="15">
        <f>IF(D998="","",IFERROR(INDEX(Clients!$B$5:$B$504,MATCH(D998,Clients!$A$5:$A$504,0)),"Walk-in"))</f>
        <v>0</v>
      </c>
      <c r="G998" s="15">
        <f>IF(F998="","",IFERROR(INDEX(Staff!$B$5:$B$44,MATCH(F998,Staff!$A$5:$A$44,0)),"House"))</f>
        <v>0</v>
      </c>
      <c r="R998" s="15">
        <f>IF(B998="","",TEXT(B998,"yyyy-mm"))</f>
        <v>0</v>
      </c>
      <c r="S998" s="25">
        <f>IF(B998="","",WEEKNUM(B998,2))</f>
        <v>0</v>
      </c>
      <c r="T998" s="37">
        <f>IF(B998="","",IF(K998="",1,K998))</f>
        <v>0</v>
      </c>
      <c r="U998" s="15">
        <f>IF(B998="","",IF(J998&lt;&gt;"",J998,IF(H998="Retail",IFERROR(INDEX(Inventory!$B$5:$B$304,MATCH(I998,Inventory!$A$5:$A$304,0))&amp;"","Not in Inventory"),IFERROR(INDEX(Services!$B$5:$B$204,MATCH(I998,Services!$A$5:$A$204,0))&amp;"","Not in Services"))))</f>
        <v>0</v>
      </c>
      <c r="V998" s="26">
        <f>IF(B998="","",IF(L998&lt;&gt;"",L998,IF(H998="Retail",IFERROR(INDEX(Inventory!$I$5:$I$304,MATCH(I998,Inventory!$A$5:$A$304,0))*1,0),IFERROR(INDEX(Services!$G$5:$G$204,MATCH(I998,Services!$A$5:$A$204,0))*1,0))))</f>
        <v>0</v>
      </c>
      <c r="W998" s="26">
        <f>IF(B998="","",ROUND(T998*V998,2))</f>
        <v>0</v>
      </c>
      <c r="X998" s="26">
        <f>IF(B998="","",ROUND(IF(M998="",0,W998*M998)+IF(N998="",0,N998),2))</f>
        <v>0</v>
      </c>
      <c r="Y998" s="26">
        <f>IF(B998="","",ROUND(W998-X998-IF(P998="",0,P998),2))</f>
        <v>0</v>
      </c>
      <c r="Z998" s="26">
        <f>IF(B998="","",IF(H998="Retail",IF(TaxOnRetail="Yes",ROUND(Y998*TaxRate,2),0),IF(H998="Service",IF(TaxOnServices="Yes",ROUND(Y998*TaxRate,2),0),0)))</f>
        <v>0</v>
      </c>
      <c r="AA998" s="26">
        <f>IF(B998="","",ROUND(Y998+Z998,2))</f>
        <v>0</v>
      </c>
      <c r="AB998" s="26">
        <f>IF(B998="","",ROUND(T998*IF(H998="Retail",IFERROR(INDEX(Inventory!$H$5:$H$304,MATCH(I998,Inventory!$A$5:$A$304,0))*1,0),IFERROR(INDEX(Services!$Q$5:$Q$204,MATCH(I998,Services!$A$5:$A$204,0))*1,0)),2))</f>
        <v>0</v>
      </c>
      <c r="AC998" s="26">
        <f>IF(B998="","",ROUND(Y998-AB998,2))</f>
        <v>0</v>
      </c>
      <c r="AD998" s="38">
        <f>IF(B998="","",IF(C998="","No",IF(COUNTIFS($C$5:C998,C998)=1,"Yes","No")))</f>
        <v>0</v>
      </c>
      <c r="AE998" s="26">
        <f>IF(B998="","",ROUND(SUMIFS(Payments!$G$5:$G$1204,Payments!$H$5:$H$1204,A998,Payments!$Q$5:$Q$1204,"Yes"),2))</f>
        <v>0</v>
      </c>
      <c r="AF998" s="26">
        <f>IF(B998="","",IF(AD998="No",0,ROUND(SUMIFS(Payments!$G$5:$G$1204,Payments!$I$5:$I$1204,C998,Payments!$H$5:$H$1204,"",Payments!$Q$5:$Q$1204,"Yes"),2)))</f>
        <v>0</v>
      </c>
      <c r="AG998" s="26">
        <f>IF(B998="","",ROUND(AE998+AF998,2))</f>
        <v>0</v>
      </c>
      <c r="AH998" s="26">
        <f>IF(B998="","",ROUND(AA998-AG998,2))</f>
        <v>0</v>
      </c>
      <c r="AI998" s="39">
        <f>IF(B998="","",IF(AA998&lt;=0,"No charge",IF(AH998&lt;=0.004,"Paid",IF(AG998&lt;=0.004,"Unpaid","Part paid"))))</f>
        <v>0</v>
      </c>
      <c r="AJ998" s="38">
        <f>IF(B998="","",IF(H998&lt;&gt;"Service","",IF(D998="","No",IF(COUNTIFS($D$5:$D$1204,D998,$B$5:$B$1204,B998,$H$5:$H$1204,"Retail")&gt;0,"Yes","No"))))</f>
        <v>0</v>
      </c>
      <c r="AK998" s="25">
        <f>IF(B998="","",COUNTIFS($Y$5:$Y$1204,"&gt;"&amp;Y998)+COUNTIFS($Y$5:Y998,Y998))</f>
        <v>0</v>
      </c>
      <c r="AL998" s="39">
        <f>IF(B998="","",IF(H998="","Add - what kind of sale is this?",IF(IF(V998&lt;=0,P998="",FALSE),"Check - no price found for this item",IF(F998="","Assign - nobody credited",IF(AH998&gt;0.004,"Unpaid - balance outstanding",IF(AC998&lt;0,"Loss - sold below cost",IF(X998&gt;W998*0.5,"Check - more than half off","OK")))))))</f>
        <v>0</v>
      </c>
    </row>
    <row r="999" spans="1:38">
      <c r="A999" s="28">
        <f>IF(B999="","",SalePrefix&amp;TEXT(ROW()-4,"0000"))</f>
        <v>0</v>
      </c>
      <c r="E999" s="15">
        <f>IF(D999="","",IFERROR(INDEX(Clients!$B$5:$B$504,MATCH(D999,Clients!$A$5:$A$504,0)),"Walk-in"))</f>
        <v>0</v>
      </c>
      <c r="G999" s="15">
        <f>IF(F999="","",IFERROR(INDEX(Staff!$B$5:$B$44,MATCH(F999,Staff!$A$5:$A$44,0)),"House"))</f>
        <v>0</v>
      </c>
      <c r="R999" s="15">
        <f>IF(B999="","",TEXT(B999,"yyyy-mm"))</f>
        <v>0</v>
      </c>
      <c r="S999" s="25">
        <f>IF(B999="","",WEEKNUM(B999,2))</f>
        <v>0</v>
      </c>
      <c r="T999" s="37">
        <f>IF(B999="","",IF(K999="",1,K999))</f>
        <v>0</v>
      </c>
      <c r="U999" s="15">
        <f>IF(B999="","",IF(J999&lt;&gt;"",J999,IF(H999="Retail",IFERROR(INDEX(Inventory!$B$5:$B$304,MATCH(I999,Inventory!$A$5:$A$304,0))&amp;"","Not in Inventory"),IFERROR(INDEX(Services!$B$5:$B$204,MATCH(I999,Services!$A$5:$A$204,0))&amp;"","Not in Services"))))</f>
        <v>0</v>
      </c>
      <c r="V999" s="26">
        <f>IF(B999="","",IF(L999&lt;&gt;"",L999,IF(H999="Retail",IFERROR(INDEX(Inventory!$I$5:$I$304,MATCH(I999,Inventory!$A$5:$A$304,0))*1,0),IFERROR(INDEX(Services!$G$5:$G$204,MATCH(I999,Services!$A$5:$A$204,0))*1,0))))</f>
        <v>0</v>
      </c>
      <c r="W999" s="26">
        <f>IF(B999="","",ROUND(T999*V999,2))</f>
        <v>0</v>
      </c>
      <c r="X999" s="26">
        <f>IF(B999="","",ROUND(IF(M999="",0,W999*M999)+IF(N999="",0,N999),2))</f>
        <v>0</v>
      </c>
      <c r="Y999" s="26">
        <f>IF(B999="","",ROUND(W999-X999-IF(P999="",0,P999),2))</f>
        <v>0</v>
      </c>
      <c r="Z999" s="26">
        <f>IF(B999="","",IF(H999="Retail",IF(TaxOnRetail="Yes",ROUND(Y999*TaxRate,2),0),IF(H999="Service",IF(TaxOnServices="Yes",ROUND(Y999*TaxRate,2),0),0)))</f>
        <v>0</v>
      </c>
      <c r="AA999" s="26">
        <f>IF(B999="","",ROUND(Y999+Z999,2))</f>
        <v>0</v>
      </c>
      <c r="AB999" s="26">
        <f>IF(B999="","",ROUND(T999*IF(H999="Retail",IFERROR(INDEX(Inventory!$H$5:$H$304,MATCH(I999,Inventory!$A$5:$A$304,0))*1,0),IFERROR(INDEX(Services!$Q$5:$Q$204,MATCH(I999,Services!$A$5:$A$204,0))*1,0)),2))</f>
        <v>0</v>
      </c>
      <c r="AC999" s="26">
        <f>IF(B999="","",ROUND(Y999-AB999,2))</f>
        <v>0</v>
      </c>
      <c r="AD999" s="38">
        <f>IF(B999="","",IF(C999="","No",IF(COUNTIFS($C$5:C999,C999)=1,"Yes","No")))</f>
        <v>0</v>
      </c>
      <c r="AE999" s="26">
        <f>IF(B999="","",ROUND(SUMIFS(Payments!$G$5:$G$1204,Payments!$H$5:$H$1204,A999,Payments!$Q$5:$Q$1204,"Yes"),2))</f>
        <v>0</v>
      </c>
      <c r="AF999" s="26">
        <f>IF(B999="","",IF(AD999="No",0,ROUND(SUMIFS(Payments!$G$5:$G$1204,Payments!$I$5:$I$1204,C999,Payments!$H$5:$H$1204,"",Payments!$Q$5:$Q$1204,"Yes"),2)))</f>
        <v>0</v>
      </c>
      <c r="AG999" s="26">
        <f>IF(B999="","",ROUND(AE999+AF999,2))</f>
        <v>0</v>
      </c>
      <c r="AH999" s="26">
        <f>IF(B999="","",ROUND(AA999-AG999,2))</f>
        <v>0</v>
      </c>
      <c r="AI999" s="39">
        <f>IF(B999="","",IF(AA999&lt;=0,"No charge",IF(AH999&lt;=0.004,"Paid",IF(AG999&lt;=0.004,"Unpaid","Part paid"))))</f>
        <v>0</v>
      </c>
      <c r="AJ999" s="38">
        <f>IF(B999="","",IF(H999&lt;&gt;"Service","",IF(D999="","No",IF(COUNTIFS($D$5:$D$1204,D999,$B$5:$B$1204,B999,$H$5:$H$1204,"Retail")&gt;0,"Yes","No"))))</f>
        <v>0</v>
      </c>
      <c r="AK999" s="25">
        <f>IF(B999="","",COUNTIFS($Y$5:$Y$1204,"&gt;"&amp;Y999)+COUNTIFS($Y$5:Y999,Y999))</f>
        <v>0</v>
      </c>
      <c r="AL999" s="39">
        <f>IF(B999="","",IF(H999="","Add - what kind of sale is this?",IF(IF(V999&lt;=0,P999="",FALSE),"Check - no price found for this item",IF(F999="","Assign - nobody credited",IF(AH999&gt;0.004,"Unpaid - balance outstanding",IF(AC999&lt;0,"Loss - sold below cost",IF(X999&gt;W999*0.5,"Check - more than half off","OK")))))))</f>
        <v>0</v>
      </c>
    </row>
    <row r="1000" spans="1:38">
      <c r="A1000" s="28">
        <f>IF(B1000="","",SalePrefix&amp;TEXT(ROW()-4,"0000"))</f>
        <v>0</v>
      </c>
      <c r="E1000" s="15">
        <f>IF(D1000="","",IFERROR(INDEX(Clients!$B$5:$B$504,MATCH(D1000,Clients!$A$5:$A$504,0)),"Walk-in"))</f>
        <v>0</v>
      </c>
      <c r="G1000" s="15">
        <f>IF(F1000="","",IFERROR(INDEX(Staff!$B$5:$B$44,MATCH(F1000,Staff!$A$5:$A$44,0)),"House"))</f>
        <v>0</v>
      </c>
      <c r="R1000" s="15">
        <f>IF(B1000="","",TEXT(B1000,"yyyy-mm"))</f>
        <v>0</v>
      </c>
      <c r="S1000" s="25">
        <f>IF(B1000="","",WEEKNUM(B1000,2))</f>
        <v>0</v>
      </c>
      <c r="T1000" s="37">
        <f>IF(B1000="","",IF(K1000="",1,K1000))</f>
        <v>0</v>
      </c>
      <c r="U1000" s="15">
        <f>IF(B1000="","",IF(J1000&lt;&gt;"",J1000,IF(H1000="Retail",IFERROR(INDEX(Inventory!$B$5:$B$304,MATCH(I1000,Inventory!$A$5:$A$304,0))&amp;"","Not in Inventory"),IFERROR(INDEX(Services!$B$5:$B$204,MATCH(I1000,Services!$A$5:$A$204,0))&amp;"","Not in Services"))))</f>
        <v>0</v>
      </c>
      <c r="V1000" s="26">
        <f>IF(B1000="","",IF(L1000&lt;&gt;"",L1000,IF(H1000="Retail",IFERROR(INDEX(Inventory!$I$5:$I$304,MATCH(I1000,Inventory!$A$5:$A$304,0))*1,0),IFERROR(INDEX(Services!$G$5:$G$204,MATCH(I1000,Services!$A$5:$A$204,0))*1,0))))</f>
        <v>0</v>
      </c>
      <c r="W1000" s="26">
        <f>IF(B1000="","",ROUND(T1000*V1000,2))</f>
        <v>0</v>
      </c>
      <c r="X1000" s="26">
        <f>IF(B1000="","",ROUND(IF(M1000="",0,W1000*M1000)+IF(N1000="",0,N1000),2))</f>
        <v>0</v>
      </c>
      <c r="Y1000" s="26">
        <f>IF(B1000="","",ROUND(W1000-X1000-IF(P1000="",0,P1000),2))</f>
        <v>0</v>
      </c>
      <c r="Z1000" s="26">
        <f>IF(B1000="","",IF(H1000="Retail",IF(TaxOnRetail="Yes",ROUND(Y1000*TaxRate,2),0),IF(H1000="Service",IF(TaxOnServices="Yes",ROUND(Y1000*TaxRate,2),0),0)))</f>
        <v>0</v>
      </c>
      <c r="AA1000" s="26">
        <f>IF(B1000="","",ROUND(Y1000+Z1000,2))</f>
        <v>0</v>
      </c>
      <c r="AB1000" s="26">
        <f>IF(B1000="","",ROUND(T1000*IF(H1000="Retail",IFERROR(INDEX(Inventory!$H$5:$H$304,MATCH(I1000,Inventory!$A$5:$A$304,0))*1,0),IFERROR(INDEX(Services!$Q$5:$Q$204,MATCH(I1000,Services!$A$5:$A$204,0))*1,0)),2))</f>
        <v>0</v>
      </c>
      <c r="AC1000" s="26">
        <f>IF(B1000="","",ROUND(Y1000-AB1000,2))</f>
        <v>0</v>
      </c>
      <c r="AD1000" s="38">
        <f>IF(B1000="","",IF(C1000="","No",IF(COUNTIFS($C$5:C1000,C1000)=1,"Yes","No")))</f>
        <v>0</v>
      </c>
      <c r="AE1000" s="26">
        <f>IF(B1000="","",ROUND(SUMIFS(Payments!$G$5:$G$1204,Payments!$H$5:$H$1204,A1000,Payments!$Q$5:$Q$1204,"Yes"),2))</f>
        <v>0</v>
      </c>
      <c r="AF1000" s="26">
        <f>IF(B1000="","",IF(AD1000="No",0,ROUND(SUMIFS(Payments!$G$5:$G$1204,Payments!$I$5:$I$1204,C1000,Payments!$H$5:$H$1204,"",Payments!$Q$5:$Q$1204,"Yes"),2)))</f>
        <v>0</v>
      </c>
      <c r="AG1000" s="26">
        <f>IF(B1000="","",ROUND(AE1000+AF1000,2))</f>
        <v>0</v>
      </c>
      <c r="AH1000" s="26">
        <f>IF(B1000="","",ROUND(AA1000-AG1000,2))</f>
        <v>0</v>
      </c>
      <c r="AI1000" s="39">
        <f>IF(B1000="","",IF(AA1000&lt;=0,"No charge",IF(AH1000&lt;=0.004,"Paid",IF(AG1000&lt;=0.004,"Unpaid","Part paid"))))</f>
        <v>0</v>
      </c>
      <c r="AJ1000" s="38">
        <f>IF(B1000="","",IF(H1000&lt;&gt;"Service","",IF(D1000="","No",IF(COUNTIFS($D$5:$D$1204,D1000,$B$5:$B$1204,B1000,$H$5:$H$1204,"Retail")&gt;0,"Yes","No"))))</f>
        <v>0</v>
      </c>
      <c r="AK1000" s="25">
        <f>IF(B1000="","",COUNTIFS($Y$5:$Y$1204,"&gt;"&amp;Y1000)+COUNTIFS($Y$5:Y1000,Y1000))</f>
        <v>0</v>
      </c>
      <c r="AL1000" s="39">
        <f>IF(B1000="","",IF(H1000="","Add - what kind of sale is this?",IF(IF(V1000&lt;=0,P1000="",FALSE),"Check - no price found for this item",IF(F1000="","Assign - nobody credited",IF(AH1000&gt;0.004,"Unpaid - balance outstanding",IF(AC1000&lt;0,"Loss - sold below cost",IF(X1000&gt;W1000*0.5,"Check - more than half off","OK")))))))</f>
        <v>0</v>
      </c>
    </row>
    <row r="1001" spans="1:38">
      <c r="A1001" s="28">
        <f>IF(B1001="","",SalePrefix&amp;TEXT(ROW()-4,"0000"))</f>
        <v>0</v>
      </c>
      <c r="E1001" s="15">
        <f>IF(D1001="","",IFERROR(INDEX(Clients!$B$5:$B$504,MATCH(D1001,Clients!$A$5:$A$504,0)),"Walk-in"))</f>
        <v>0</v>
      </c>
      <c r="G1001" s="15">
        <f>IF(F1001="","",IFERROR(INDEX(Staff!$B$5:$B$44,MATCH(F1001,Staff!$A$5:$A$44,0)),"House"))</f>
        <v>0</v>
      </c>
      <c r="R1001" s="15">
        <f>IF(B1001="","",TEXT(B1001,"yyyy-mm"))</f>
        <v>0</v>
      </c>
      <c r="S1001" s="25">
        <f>IF(B1001="","",WEEKNUM(B1001,2))</f>
        <v>0</v>
      </c>
      <c r="T1001" s="37">
        <f>IF(B1001="","",IF(K1001="",1,K1001))</f>
        <v>0</v>
      </c>
      <c r="U1001" s="15">
        <f>IF(B1001="","",IF(J1001&lt;&gt;"",J1001,IF(H1001="Retail",IFERROR(INDEX(Inventory!$B$5:$B$304,MATCH(I1001,Inventory!$A$5:$A$304,0))&amp;"","Not in Inventory"),IFERROR(INDEX(Services!$B$5:$B$204,MATCH(I1001,Services!$A$5:$A$204,0))&amp;"","Not in Services"))))</f>
        <v>0</v>
      </c>
      <c r="V1001" s="26">
        <f>IF(B1001="","",IF(L1001&lt;&gt;"",L1001,IF(H1001="Retail",IFERROR(INDEX(Inventory!$I$5:$I$304,MATCH(I1001,Inventory!$A$5:$A$304,0))*1,0),IFERROR(INDEX(Services!$G$5:$G$204,MATCH(I1001,Services!$A$5:$A$204,0))*1,0))))</f>
        <v>0</v>
      </c>
      <c r="W1001" s="26">
        <f>IF(B1001="","",ROUND(T1001*V1001,2))</f>
        <v>0</v>
      </c>
      <c r="X1001" s="26">
        <f>IF(B1001="","",ROUND(IF(M1001="",0,W1001*M1001)+IF(N1001="",0,N1001),2))</f>
        <v>0</v>
      </c>
      <c r="Y1001" s="26">
        <f>IF(B1001="","",ROUND(W1001-X1001-IF(P1001="",0,P1001),2))</f>
        <v>0</v>
      </c>
      <c r="Z1001" s="26">
        <f>IF(B1001="","",IF(H1001="Retail",IF(TaxOnRetail="Yes",ROUND(Y1001*TaxRate,2),0),IF(H1001="Service",IF(TaxOnServices="Yes",ROUND(Y1001*TaxRate,2),0),0)))</f>
        <v>0</v>
      </c>
      <c r="AA1001" s="26">
        <f>IF(B1001="","",ROUND(Y1001+Z1001,2))</f>
        <v>0</v>
      </c>
      <c r="AB1001" s="26">
        <f>IF(B1001="","",ROUND(T1001*IF(H1001="Retail",IFERROR(INDEX(Inventory!$H$5:$H$304,MATCH(I1001,Inventory!$A$5:$A$304,0))*1,0),IFERROR(INDEX(Services!$Q$5:$Q$204,MATCH(I1001,Services!$A$5:$A$204,0))*1,0)),2))</f>
        <v>0</v>
      </c>
      <c r="AC1001" s="26">
        <f>IF(B1001="","",ROUND(Y1001-AB1001,2))</f>
        <v>0</v>
      </c>
      <c r="AD1001" s="38">
        <f>IF(B1001="","",IF(C1001="","No",IF(COUNTIFS($C$5:C1001,C1001)=1,"Yes","No")))</f>
        <v>0</v>
      </c>
      <c r="AE1001" s="26">
        <f>IF(B1001="","",ROUND(SUMIFS(Payments!$G$5:$G$1204,Payments!$H$5:$H$1204,A1001,Payments!$Q$5:$Q$1204,"Yes"),2))</f>
        <v>0</v>
      </c>
      <c r="AF1001" s="26">
        <f>IF(B1001="","",IF(AD1001="No",0,ROUND(SUMIFS(Payments!$G$5:$G$1204,Payments!$I$5:$I$1204,C1001,Payments!$H$5:$H$1204,"",Payments!$Q$5:$Q$1204,"Yes"),2)))</f>
        <v>0</v>
      </c>
      <c r="AG1001" s="26">
        <f>IF(B1001="","",ROUND(AE1001+AF1001,2))</f>
        <v>0</v>
      </c>
      <c r="AH1001" s="26">
        <f>IF(B1001="","",ROUND(AA1001-AG1001,2))</f>
        <v>0</v>
      </c>
      <c r="AI1001" s="39">
        <f>IF(B1001="","",IF(AA1001&lt;=0,"No charge",IF(AH1001&lt;=0.004,"Paid",IF(AG1001&lt;=0.004,"Unpaid","Part paid"))))</f>
        <v>0</v>
      </c>
      <c r="AJ1001" s="38">
        <f>IF(B1001="","",IF(H1001&lt;&gt;"Service","",IF(D1001="","No",IF(COUNTIFS($D$5:$D$1204,D1001,$B$5:$B$1204,B1001,$H$5:$H$1204,"Retail")&gt;0,"Yes","No"))))</f>
        <v>0</v>
      </c>
      <c r="AK1001" s="25">
        <f>IF(B1001="","",COUNTIFS($Y$5:$Y$1204,"&gt;"&amp;Y1001)+COUNTIFS($Y$5:Y1001,Y1001))</f>
        <v>0</v>
      </c>
      <c r="AL1001" s="39">
        <f>IF(B1001="","",IF(H1001="","Add - what kind of sale is this?",IF(IF(V1001&lt;=0,P1001="",FALSE),"Check - no price found for this item",IF(F1001="","Assign - nobody credited",IF(AH1001&gt;0.004,"Unpaid - balance outstanding",IF(AC1001&lt;0,"Loss - sold below cost",IF(X1001&gt;W1001*0.5,"Check - more than half off","OK")))))))</f>
        <v>0</v>
      </c>
    </row>
    <row r="1002" spans="1:38">
      <c r="A1002" s="28">
        <f>IF(B1002="","",SalePrefix&amp;TEXT(ROW()-4,"0000"))</f>
        <v>0</v>
      </c>
      <c r="E1002" s="15">
        <f>IF(D1002="","",IFERROR(INDEX(Clients!$B$5:$B$504,MATCH(D1002,Clients!$A$5:$A$504,0)),"Walk-in"))</f>
        <v>0</v>
      </c>
      <c r="G1002" s="15">
        <f>IF(F1002="","",IFERROR(INDEX(Staff!$B$5:$B$44,MATCH(F1002,Staff!$A$5:$A$44,0)),"House"))</f>
        <v>0</v>
      </c>
      <c r="R1002" s="15">
        <f>IF(B1002="","",TEXT(B1002,"yyyy-mm"))</f>
        <v>0</v>
      </c>
      <c r="S1002" s="25">
        <f>IF(B1002="","",WEEKNUM(B1002,2))</f>
        <v>0</v>
      </c>
      <c r="T1002" s="37">
        <f>IF(B1002="","",IF(K1002="",1,K1002))</f>
        <v>0</v>
      </c>
      <c r="U1002" s="15">
        <f>IF(B1002="","",IF(J1002&lt;&gt;"",J1002,IF(H1002="Retail",IFERROR(INDEX(Inventory!$B$5:$B$304,MATCH(I1002,Inventory!$A$5:$A$304,0))&amp;"","Not in Inventory"),IFERROR(INDEX(Services!$B$5:$B$204,MATCH(I1002,Services!$A$5:$A$204,0))&amp;"","Not in Services"))))</f>
        <v>0</v>
      </c>
      <c r="V1002" s="26">
        <f>IF(B1002="","",IF(L1002&lt;&gt;"",L1002,IF(H1002="Retail",IFERROR(INDEX(Inventory!$I$5:$I$304,MATCH(I1002,Inventory!$A$5:$A$304,0))*1,0),IFERROR(INDEX(Services!$G$5:$G$204,MATCH(I1002,Services!$A$5:$A$204,0))*1,0))))</f>
        <v>0</v>
      </c>
      <c r="W1002" s="26">
        <f>IF(B1002="","",ROUND(T1002*V1002,2))</f>
        <v>0</v>
      </c>
      <c r="X1002" s="26">
        <f>IF(B1002="","",ROUND(IF(M1002="",0,W1002*M1002)+IF(N1002="",0,N1002),2))</f>
        <v>0</v>
      </c>
      <c r="Y1002" s="26">
        <f>IF(B1002="","",ROUND(W1002-X1002-IF(P1002="",0,P1002),2))</f>
        <v>0</v>
      </c>
      <c r="Z1002" s="26">
        <f>IF(B1002="","",IF(H1002="Retail",IF(TaxOnRetail="Yes",ROUND(Y1002*TaxRate,2),0),IF(H1002="Service",IF(TaxOnServices="Yes",ROUND(Y1002*TaxRate,2),0),0)))</f>
        <v>0</v>
      </c>
      <c r="AA1002" s="26">
        <f>IF(B1002="","",ROUND(Y1002+Z1002,2))</f>
        <v>0</v>
      </c>
      <c r="AB1002" s="26">
        <f>IF(B1002="","",ROUND(T1002*IF(H1002="Retail",IFERROR(INDEX(Inventory!$H$5:$H$304,MATCH(I1002,Inventory!$A$5:$A$304,0))*1,0),IFERROR(INDEX(Services!$Q$5:$Q$204,MATCH(I1002,Services!$A$5:$A$204,0))*1,0)),2))</f>
        <v>0</v>
      </c>
      <c r="AC1002" s="26">
        <f>IF(B1002="","",ROUND(Y1002-AB1002,2))</f>
        <v>0</v>
      </c>
      <c r="AD1002" s="38">
        <f>IF(B1002="","",IF(C1002="","No",IF(COUNTIFS($C$5:C1002,C1002)=1,"Yes","No")))</f>
        <v>0</v>
      </c>
      <c r="AE1002" s="26">
        <f>IF(B1002="","",ROUND(SUMIFS(Payments!$G$5:$G$1204,Payments!$H$5:$H$1204,A1002,Payments!$Q$5:$Q$1204,"Yes"),2))</f>
        <v>0</v>
      </c>
      <c r="AF1002" s="26">
        <f>IF(B1002="","",IF(AD1002="No",0,ROUND(SUMIFS(Payments!$G$5:$G$1204,Payments!$I$5:$I$1204,C1002,Payments!$H$5:$H$1204,"",Payments!$Q$5:$Q$1204,"Yes"),2)))</f>
        <v>0</v>
      </c>
      <c r="AG1002" s="26">
        <f>IF(B1002="","",ROUND(AE1002+AF1002,2))</f>
        <v>0</v>
      </c>
      <c r="AH1002" s="26">
        <f>IF(B1002="","",ROUND(AA1002-AG1002,2))</f>
        <v>0</v>
      </c>
      <c r="AI1002" s="39">
        <f>IF(B1002="","",IF(AA1002&lt;=0,"No charge",IF(AH1002&lt;=0.004,"Paid",IF(AG1002&lt;=0.004,"Unpaid","Part paid"))))</f>
        <v>0</v>
      </c>
      <c r="AJ1002" s="38">
        <f>IF(B1002="","",IF(H1002&lt;&gt;"Service","",IF(D1002="","No",IF(COUNTIFS($D$5:$D$1204,D1002,$B$5:$B$1204,B1002,$H$5:$H$1204,"Retail")&gt;0,"Yes","No"))))</f>
        <v>0</v>
      </c>
      <c r="AK1002" s="25">
        <f>IF(B1002="","",COUNTIFS($Y$5:$Y$1204,"&gt;"&amp;Y1002)+COUNTIFS($Y$5:Y1002,Y1002))</f>
        <v>0</v>
      </c>
      <c r="AL1002" s="39">
        <f>IF(B1002="","",IF(H1002="","Add - what kind of sale is this?",IF(IF(V1002&lt;=0,P1002="",FALSE),"Check - no price found for this item",IF(F1002="","Assign - nobody credited",IF(AH1002&gt;0.004,"Unpaid - balance outstanding",IF(AC1002&lt;0,"Loss - sold below cost",IF(X1002&gt;W1002*0.5,"Check - more than half off","OK")))))))</f>
        <v>0</v>
      </c>
    </row>
    <row r="1003" spans="1:38">
      <c r="A1003" s="28">
        <f>IF(B1003="","",SalePrefix&amp;TEXT(ROW()-4,"0000"))</f>
        <v>0</v>
      </c>
      <c r="E1003" s="15">
        <f>IF(D1003="","",IFERROR(INDEX(Clients!$B$5:$B$504,MATCH(D1003,Clients!$A$5:$A$504,0)),"Walk-in"))</f>
        <v>0</v>
      </c>
      <c r="G1003" s="15">
        <f>IF(F1003="","",IFERROR(INDEX(Staff!$B$5:$B$44,MATCH(F1003,Staff!$A$5:$A$44,0)),"House"))</f>
        <v>0</v>
      </c>
      <c r="R1003" s="15">
        <f>IF(B1003="","",TEXT(B1003,"yyyy-mm"))</f>
        <v>0</v>
      </c>
      <c r="S1003" s="25">
        <f>IF(B1003="","",WEEKNUM(B1003,2))</f>
        <v>0</v>
      </c>
      <c r="T1003" s="37">
        <f>IF(B1003="","",IF(K1003="",1,K1003))</f>
        <v>0</v>
      </c>
      <c r="U1003" s="15">
        <f>IF(B1003="","",IF(J1003&lt;&gt;"",J1003,IF(H1003="Retail",IFERROR(INDEX(Inventory!$B$5:$B$304,MATCH(I1003,Inventory!$A$5:$A$304,0))&amp;"","Not in Inventory"),IFERROR(INDEX(Services!$B$5:$B$204,MATCH(I1003,Services!$A$5:$A$204,0))&amp;"","Not in Services"))))</f>
        <v>0</v>
      </c>
      <c r="V1003" s="26">
        <f>IF(B1003="","",IF(L1003&lt;&gt;"",L1003,IF(H1003="Retail",IFERROR(INDEX(Inventory!$I$5:$I$304,MATCH(I1003,Inventory!$A$5:$A$304,0))*1,0),IFERROR(INDEX(Services!$G$5:$G$204,MATCH(I1003,Services!$A$5:$A$204,0))*1,0))))</f>
        <v>0</v>
      </c>
      <c r="W1003" s="26">
        <f>IF(B1003="","",ROUND(T1003*V1003,2))</f>
        <v>0</v>
      </c>
      <c r="X1003" s="26">
        <f>IF(B1003="","",ROUND(IF(M1003="",0,W1003*M1003)+IF(N1003="",0,N1003),2))</f>
        <v>0</v>
      </c>
      <c r="Y1003" s="26">
        <f>IF(B1003="","",ROUND(W1003-X1003-IF(P1003="",0,P1003),2))</f>
        <v>0</v>
      </c>
      <c r="Z1003" s="26">
        <f>IF(B1003="","",IF(H1003="Retail",IF(TaxOnRetail="Yes",ROUND(Y1003*TaxRate,2),0),IF(H1003="Service",IF(TaxOnServices="Yes",ROUND(Y1003*TaxRate,2),0),0)))</f>
        <v>0</v>
      </c>
      <c r="AA1003" s="26">
        <f>IF(B1003="","",ROUND(Y1003+Z1003,2))</f>
        <v>0</v>
      </c>
      <c r="AB1003" s="26">
        <f>IF(B1003="","",ROUND(T1003*IF(H1003="Retail",IFERROR(INDEX(Inventory!$H$5:$H$304,MATCH(I1003,Inventory!$A$5:$A$304,0))*1,0),IFERROR(INDEX(Services!$Q$5:$Q$204,MATCH(I1003,Services!$A$5:$A$204,0))*1,0)),2))</f>
        <v>0</v>
      </c>
      <c r="AC1003" s="26">
        <f>IF(B1003="","",ROUND(Y1003-AB1003,2))</f>
        <v>0</v>
      </c>
      <c r="AD1003" s="38">
        <f>IF(B1003="","",IF(C1003="","No",IF(COUNTIFS($C$5:C1003,C1003)=1,"Yes","No")))</f>
        <v>0</v>
      </c>
      <c r="AE1003" s="26">
        <f>IF(B1003="","",ROUND(SUMIFS(Payments!$G$5:$G$1204,Payments!$H$5:$H$1204,A1003,Payments!$Q$5:$Q$1204,"Yes"),2))</f>
        <v>0</v>
      </c>
      <c r="AF1003" s="26">
        <f>IF(B1003="","",IF(AD1003="No",0,ROUND(SUMIFS(Payments!$G$5:$G$1204,Payments!$I$5:$I$1204,C1003,Payments!$H$5:$H$1204,"",Payments!$Q$5:$Q$1204,"Yes"),2)))</f>
        <v>0</v>
      </c>
      <c r="AG1003" s="26">
        <f>IF(B1003="","",ROUND(AE1003+AF1003,2))</f>
        <v>0</v>
      </c>
      <c r="AH1003" s="26">
        <f>IF(B1003="","",ROUND(AA1003-AG1003,2))</f>
        <v>0</v>
      </c>
      <c r="AI1003" s="39">
        <f>IF(B1003="","",IF(AA1003&lt;=0,"No charge",IF(AH1003&lt;=0.004,"Paid",IF(AG1003&lt;=0.004,"Unpaid","Part paid"))))</f>
        <v>0</v>
      </c>
      <c r="AJ1003" s="38">
        <f>IF(B1003="","",IF(H1003&lt;&gt;"Service","",IF(D1003="","No",IF(COUNTIFS($D$5:$D$1204,D1003,$B$5:$B$1204,B1003,$H$5:$H$1204,"Retail")&gt;0,"Yes","No"))))</f>
        <v>0</v>
      </c>
      <c r="AK1003" s="25">
        <f>IF(B1003="","",COUNTIFS($Y$5:$Y$1204,"&gt;"&amp;Y1003)+COUNTIFS($Y$5:Y1003,Y1003))</f>
        <v>0</v>
      </c>
      <c r="AL1003" s="39">
        <f>IF(B1003="","",IF(H1003="","Add - what kind of sale is this?",IF(IF(V1003&lt;=0,P1003="",FALSE),"Check - no price found for this item",IF(F1003="","Assign - nobody credited",IF(AH1003&gt;0.004,"Unpaid - balance outstanding",IF(AC1003&lt;0,"Loss - sold below cost",IF(X1003&gt;W1003*0.5,"Check - more than half off","OK")))))))</f>
        <v>0</v>
      </c>
    </row>
    <row r="1004" spans="1:38">
      <c r="A1004" s="28">
        <f>IF(B1004="","",SalePrefix&amp;TEXT(ROW()-4,"0000"))</f>
        <v>0</v>
      </c>
      <c r="E1004" s="15">
        <f>IF(D1004="","",IFERROR(INDEX(Clients!$B$5:$B$504,MATCH(D1004,Clients!$A$5:$A$504,0)),"Walk-in"))</f>
        <v>0</v>
      </c>
      <c r="G1004" s="15">
        <f>IF(F1004="","",IFERROR(INDEX(Staff!$B$5:$B$44,MATCH(F1004,Staff!$A$5:$A$44,0)),"House"))</f>
        <v>0</v>
      </c>
      <c r="R1004" s="15">
        <f>IF(B1004="","",TEXT(B1004,"yyyy-mm"))</f>
        <v>0</v>
      </c>
      <c r="S1004" s="25">
        <f>IF(B1004="","",WEEKNUM(B1004,2))</f>
        <v>0</v>
      </c>
      <c r="T1004" s="37">
        <f>IF(B1004="","",IF(K1004="",1,K1004))</f>
        <v>0</v>
      </c>
      <c r="U1004" s="15">
        <f>IF(B1004="","",IF(J1004&lt;&gt;"",J1004,IF(H1004="Retail",IFERROR(INDEX(Inventory!$B$5:$B$304,MATCH(I1004,Inventory!$A$5:$A$304,0))&amp;"","Not in Inventory"),IFERROR(INDEX(Services!$B$5:$B$204,MATCH(I1004,Services!$A$5:$A$204,0))&amp;"","Not in Services"))))</f>
        <v>0</v>
      </c>
      <c r="V1004" s="26">
        <f>IF(B1004="","",IF(L1004&lt;&gt;"",L1004,IF(H1004="Retail",IFERROR(INDEX(Inventory!$I$5:$I$304,MATCH(I1004,Inventory!$A$5:$A$304,0))*1,0),IFERROR(INDEX(Services!$G$5:$G$204,MATCH(I1004,Services!$A$5:$A$204,0))*1,0))))</f>
        <v>0</v>
      </c>
      <c r="W1004" s="26">
        <f>IF(B1004="","",ROUND(T1004*V1004,2))</f>
        <v>0</v>
      </c>
      <c r="X1004" s="26">
        <f>IF(B1004="","",ROUND(IF(M1004="",0,W1004*M1004)+IF(N1004="",0,N1004),2))</f>
        <v>0</v>
      </c>
      <c r="Y1004" s="26">
        <f>IF(B1004="","",ROUND(W1004-X1004-IF(P1004="",0,P1004),2))</f>
        <v>0</v>
      </c>
      <c r="Z1004" s="26">
        <f>IF(B1004="","",IF(H1004="Retail",IF(TaxOnRetail="Yes",ROUND(Y1004*TaxRate,2),0),IF(H1004="Service",IF(TaxOnServices="Yes",ROUND(Y1004*TaxRate,2),0),0)))</f>
        <v>0</v>
      </c>
      <c r="AA1004" s="26">
        <f>IF(B1004="","",ROUND(Y1004+Z1004,2))</f>
        <v>0</v>
      </c>
      <c r="AB1004" s="26">
        <f>IF(B1004="","",ROUND(T1004*IF(H1004="Retail",IFERROR(INDEX(Inventory!$H$5:$H$304,MATCH(I1004,Inventory!$A$5:$A$304,0))*1,0),IFERROR(INDEX(Services!$Q$5:$Q$204,MATCH(I1004,Services!$A$5:$A$204,0))*1,0)),2))</f>
        <v>0</v>
      </c>
      <c r="AC1004" s="26">
        <f>IF(B1004="","",ROUND(Y1004-AB1004,2))</f>
        <v>0</v>
      </c>
      <c r="AD1004" s="38">
        <f>IF(B1004="","",IF(C1004="","No",IF(COUNTIFS($C$5:C1004,C1004)=1,"Yes","No")))</f>
        <v>0</v>
      </c>
      <c r="AE1004" s="26">
        <f>IF(B1004="","",ROUND(SUMIFS(Payments!$G$5:$G$1204,Payments!$H$5:$H$1204,A1004,Payments!$Q$5:$Q$1204,"Yes"),2))</f>
        <v>0</v>
      </c>
      <c r="AF1004" s="26">
        <f>IF(B1004="","",IF(AD1004="No",0,ROUND(SUMIFS(Payments!$G$5:$G$1204,Payments!$I$5:$I$1204,C1004,Payments!$H$5:$H$1204,"",Payments!$Q$5:$Q$1204,"Yes"),2)))</f>
        <v>0</v>
      </c>
      <c r="AG1004" s="26">
        <f>IF(B1004="","",ROUND(AE1004+AF1004,2))</f>
        <v>0</v>
      </c>
      <c r="AH1004" s="26">
        <f>IF(B1004="","",ROUND(AA1004-AG1004,2))</f>
        <v>0</v>
      </c>
      <c r="AI1004" s="39">
        <f>IF(B1004="","",IF(AA1004&lt;=0,"No charge",IF(AH1004&lt;=0.004,"Paid",IF(AG1004&lt;=0.004,"Unpaid","Part paid"))))</f>
        <v>0</v>
      </c>
      <c r="AJ1004" s="38">
        <f>IF(B1004="","",IF(H1004&lt;&gt;"Service","",IF(D1004="","No",IF(COUNTIFS($D$5:$D$1204,D1004,$B$5:$B$1204,B1004,$H$5:$H$1204,"Retail")&gt;0,"Yes","No"))))</f>
        <v>0</v>
      </c>
      <c r="AK1004" s="25">
        <f>IF(B1004="","",COUNTIFS($Y$5:$Y$1204,"&gt;"&amp;Y1004)+COUNTIFS($Y$5:Y1004,Y1004))</f>
        <v>0</v>
      </c>
      <c r="AL1004" s="39">
        <f>IF(B1004="","",IF(H1004="","Add - what kind of sale is this?",IF(IF(V1004&lt;=0,P1004="",FALSE),"Check - no price found for this item",IF(F1004="","Assign - nobody credited",IF(AH1004&gt;0.004,"Unpaid - balance outstanding",IF(AC1004&lt;0,"Loss - sold below cost",IF(X1004&gt;W1004*0.5,"Check - more than half off","OK")))))))</f>
        <v>0</v>
      </c>
    </row>
    <row r="1005" spans="1:38">
      <c r="A1005" s="28">
        <f>IF(B1005="","",SalePrefix&amp;TEXT(ROW()-4,"0000"))</f>
        <v>0</v>
      </c>
      <c r="E1005" s="15">
        <f>IF(D1005="","",IFERROR(INDEX(Clients!$B$5:$B$504,MATCH(D1005,Clients!$A$5:$A$504,0)),"Walk-in"))</f>
        <v>0</v>
      </c>
      <c r="G1005" s="15">
        <f>IF(F1005="","",IFERROR(INDEX(Staff!$B$5:$B$44,MATCH(F1005,Staff!$A$5:$A$44,0)),"House"))</f>
        <v>0</v>
      </c>
      <c r="R1005" s="15">
        <f>IF(B1005="","",TEXT(B1005,"yyyy-mm"))</f>
        <v>0</v>
      </c>
      <c r="S1005" s="25">
        <f>IF(B1005="","",WEEKNUM(B1005,2))</f>
        <v>0</v>
      </c>
      <c r="T1005" s="37">
        <f>IF(B1005="","",IF(K1005="",1,K1005))</f>
        <v>0</v>
      </c>
      <c r="U1005" s="15">
        <f>IF(B1005="","",IF(J1005&lt;&gt;"",J1005,IF(H1005="Retail",IFERROR(INDEX(Inventory!$B$5:$B$304,MATCH(I1005,Inventory!$A$5:$A$304,0))&amp;"","Not in Inventory"),IFERROR(INDEX(Services!$B$5:$B$204,MATCH(I1005,Services!$A$5:$A$204,0))&amp;"","Not in Services"))))</f>
        <v>0</v>
      </c>
      <c r="V1005" s="26">
        <f>IF(B1005="","",IF(L1005&lt;&gt;"",L1005,IF(H1005="Retail",IFERROR(INDEX(Inventory!$I$5:$I$304,MATCH(I1005,Inventory!$A$5:$A$304,0))*1,0),IFERROR(INDEX(Services!$G$5:$G$204,MATCH(I1005,Services!$A$5:$A$204,0))*1,0))))</f>
        <v>0</v>
      </c>
      <c r="W1005" s="26">
        <f>IF(B1005="","",ROUND(T1005*V1005,2))</f>
        <v>0</v>
      </c>
      <c r="X1005" s="26">
        <f>IF(B1005="","",ROUND(IF(M1005="",0,W1005*M1005)+IF(N1005="",0,N1005),2))</f>
        <v>0</v>
      </c>
      <c r="Y1005" s="26">
        <f>IF(B1005="","",ROUND(W1005-X1005-IF(P1005="",0,P1005),2))</f>
        <v>0</v>
      </c>
      <c r="Z1005" s="26">
        <f>IF(B1005="","",IF(H1005="Retail",IF(TaxOnRetail="Yes",ROUND(Y1005*TaxRate,2),0),IF(H1005="Service",IF(TaxOnServices="Yes",ROUND(Y1005*TaxRate,2),0),0)))</f>
        <v>0</v>
      </c>
      <c r="AA1005" s="26">
        <f>IF(B1005="","",ROUND(Y1005+Z1005,2))</f>
        <v>0</v>
      </c>
      <c r="AB1005" s="26">
        <f>IF(B1005="","",ROUND(T1005*IF(H1005="Retail",IFERROR(INDEX(Inventory!$H$5:$H$304,MATCH(I1005,Inventory!$A$5:$A$304,0))*1,0),IFERROR(INDEX(Services!$Q$5:$Q$204,MATCH(I1005,Services!$A$5:$A$204,0))*1,0)),2))</f>
        <v>0</v>
      </c>
      <c r="AC1005" s="26">
        <f>IF(B1005="","",ROUND(Y1005-AB1005,2))</f>
        <v>0</v>
      </c>
      <c r="AD1005" s="38">
        <f>IF(B1005="","",IF(C1005="","No",IF(COUNTIFS($C$5:C1005,C1005)=1,"Yes","No")))</f>
        <v>0</v>
      </c>
      <c r="AE1005" s="26">
        <f>IF(B1005="","",ROUND(SUMIFS(Payments!$G$5:$G$1204,Payments!$H$5:$H$1204,A1005,Payments!$Q$5:$Q$1204,"Yes"),2))</f>
        <v>0</v>
      </c>
      <c r="AF1005" s="26">
        <f>IF(B1005="","",IF(AD1005="No",0,ROUND(SUMIFS(Payments!$G$5:$G$1204,Payments!$I$5:$I$1204,C1005,Payments!$H$5:$H$1204,"",Payments!$Q$5:$Q$1204,"Yes"),2)))</f>
        <v>0</v>
      </c>
      <c r="AG1005" s="26">
        <f>IF(B1005="","",ROUND(AE1005+AF1005,2))</f>
        <v>0</v>
      </c>
      <c r="AH1005" s="26">
        <f>IF(B1005="","",ROUND(AA1005-AG1005,2))</f>
        <v>0</v>
      </c>
      <c r="AI1005" s="39">
        <f>IF(B1005="","",IF(AA1005&lt;=0,"No charge",IF(AH1005&lt;=0.004,"Paid",IF(AG1005&lt;=0.004,"Unpaid","Part paid"))))</f>
        <v>0</v>
      </c>
      <c r="AJ1005" s="38">
        <f>IF(B1005="","",IF(H1005&lt;&gt;"Service","",IF(D1005="","No",IF(COUNTIFS($D$5:$D$1204,D1005,$B$5:$B$1204,B1005,$H$5:$H$1204,"Retail")&gt;0,"Yes","No"))))</f>
        <v>0</v>
      </c>
      <c r="AK1005" s="25">
        <f>IF(B1005="","",COUNTIFS($Y$5:$Y$1204,"&gt;"&amp;Y1005)+COUNTIFS($Y$5:Y1005,Y1005))</f>
        <v>0</v>
      </c>
      <c r="AL1005" s="39">
        <f>IF(B1005="","",IF(H1005="","Add - what kind of sale is this?",IF(IF(V1005&lt;=0,P1005="",FALSE),"Check - no price found for this item",IF(F1005="","Assign - nobody credited",IF(AH1005&gt;0.004,"Unpaid - balance outstanding",IF(AC1005&lt;0,"Loss - sold below cost",IF(X1005&gt;W1005*0.5,"Check - more than half off","OK")))))))</f>
        <v>0</v>
      </c>
    </row>
    <row r="1006" spans="1:38">
      <c r="A1006" s="28">
        <f>IF(B1006="","",SalePrefix&amp;TEXT(ROW()-4,"0000"))</f>
        <v>0</v>
      </c>
      <c r="E1006" s="15">
        <f>IF(D1006="","",IFERROR(INDEX(Clients!$B$5:$B$504,MATCH(D1006,Clients!$A$5:$A$504,0)),"Walk-in"))</f>
        <v>0</v>
      </c>
      <c r="G1006" s="15">
        <f>IF(F1006="","",IFERROR(INDEX(Staff!$B$5:$B$44,MATCH(F1006,Staff!$A$5:$A$44,0)),"House"))</f>
        <v>0</v>
      </c>
      <c r="R1006" s="15">
        <f>IF(B1006="","",TEXT(B1006,"yyyy-mm"))</f>
        <v>0</v>
      </c>
      <c r="S1006" s="25">
        <f>IF(B1006="","",WEEKNUM(B1006,2))</f>
        <v>0</v>
      </c>
      <c r="T1006" s="37">
        <f>IF(B1006="","",IF(K1006="",1,K1006))</f>
        <v>0</v>
      </c>
      <c r="U1006" s="15">
        <f>IF(B1006="","",IF(J1006&lt;&gt;"",J1006,IF(H1006="Retail",IFERROR(INDEX(Inventory!$B$5:$B$304,MATCH(I1006,Inventory!$A$5:$A$304,0))&amp;"","Not in Inventory"),IFERROR(INDEX(Services!$B$5:$B$204,MATCH(I1006,Services!$A$5:$A$204,0))&amp;"","Not in Services"))))</f>
        <v>0</v>
      </c>
      <c r="V1006" s="26">
        <f>IF(B1006="","",IF(L1006&lt;&gt;"",L1006,IF(H1006="Retail",IFERROR(INDEX(Inventory!$I$5:$I$304,MATCH(I1006,Inventory!$A$5:$A$304,0))*1,0),IFERROR(INDEX(Services!$G$5:$G$204,MATCH(I1006,Services!$A$5:$A$204,0))*1,0))))</f>
        <v>0</v>
      </c>
      <c r="W1006" s="26">
        <f>IF(B1006="","",ROUND(T1006*V1006,2))</f>
        <v>0</v>
      </c>
      <c r="X1006" s="26">
        <f>IF(B1006="","",ROUND(IF(M1006="",0,W1006*M1006)+IF(N1006="",0,N1006),2))</f>
        <v>0</v>
      </c>
      <c r="Y1006" s="26">
        <f>IF(B1006="","",ROUND(W1006-X1006-IF(P1006="",0,P1006),2))</f>
        <v>0</v>
      </c>
      <c r="Z1006" s="26">
        <f>IF(B1006="","",IF(H1006="Retail",IF(TaxOnRetail="Yes",ROUND(Y1006*TaxRate,2),0),IF(H1006="Service",IF(TaxOnServices="Yes",ROUND(Y1006*TaxRate,2),0),0)))</f>
        <v>0</v>
      </c>
      <c r="AA1006" s="26">
        <f>IF(B1006="","",ROUND(Y1006+Z1006,2))</f>
        <v>0</v>
      </c>
      <c r="AB1006" s="26">
        <f>IF(B1006="","",ROUND(T1006*IF(H1006="Retail",IFERROR(INDEX(Inventory!$H$5:$H$304,MATCH(I1006,Inventory!$A$5:$A$304,0))*1,0),IFERROR(INDEX(Services!$Q$5:$Q$204,MATCH(I1006,Services!$A$5:$A$204,0))*1,0)),2))</f>
        <v>0</v>
      </c>
      <c r="AC1006" s="26">
        <f>IF(B1006="","",ROUND(Y1006-AB1006,2))</f>
        <v>0</v>
      </c>
      <c r="AD1006" s="38">
        <f>IF(B1006="","",IF(C1006="","No",IF(COUNTIFS($C$5:C1006,C1006)=1,"Yes","No")))</f>
        <v>0</v>
      </c>
      <c r="AE1006" s="26">
        <f>IF(B1006="","",ROUND(SUMIFS(Payments!$G$5:$G$1204,Payments!$H$5:$H$1204,A1006,Payments!$Q$5:$Q$1204,"Yes"),2))</f>
        <v>0</v>
      </c>
      <c r="AF1006" s="26">
        <f>IF(B1006="","",IF(AD1006="No",0,ROUND(SUMIFS(Payments!$G$5:$G$1204,Payments!$I$5:$I$1204,C1006,Payments!$H$5:$H$1204,"",Payments!$Q$5:$Q$1204,"Yes"),2)))</f>
        <v>0</v>
      </c>
      <c r="AG1006" s="26">
        <f>IF(B1006="","",ROUND(AE1006+AF1006,2))</f>
        <v>0</v>
      </c>
      <c r="AH1006" s="26">
        <f>IF(B1006="","",ROUND(AA1006-AG1006,2))</f>
        <v>0</v>
      </c>
      <c r="AI1006" s="39">
        <f>IF(B1006="","",IF(AA1006&lt;=0,"No charge",IF(AH1006&lt;=0.004,"Paid",IF(AG1006&lt;=0.004,"Unpaid","Part paid"))))</f>
        <v>0</v>
      </c>
      <c r="AJ1006" s="38">
        <f>IF(B1006="","",IF(H1006&lt;&gt;"Service","",IF(D1006="","No",IF(COUNTIFS($D$5:$D$1204,D1006,$B$5:$B$1204,B1006,$H$5:$H$1204,"Retail")&gt;0,"Yes","No"))))</f>
        <v>0</v>
      </c>
      <c r="AK1006" s="25">
        <f>IF(B1006="","",COUNTIFS($Y$5:$Y$1204,"&gt;"&amp;Y1006)+COUNTIFS($Y$5:Y1006,Y1006))</f>
        <v>0</v>
      </c>
      <c r="AL1006" s="39">
        <f>IF(B1006="","",IF(H1006="","Add - what kind of sale is this?",IF(IF(V1006&lt;=0,P1006="",FALSE),"Check - no price found for this item",IF(F1006="","Assign - nobody credited",IF(AH1006&gt;0.004,"Unpaid - balance outstanding",IF(AC1006&lt;0,"Loss - sold below cost",IF(X1006&gt;W1006*0.5,"Check - more than half off","OK")))))))</f>
        <v>0</v>
      </c>
    </row>
    <row r="1007" spans="1:38">
      <c r="A1007" s="28">
        <f>IF(B1007="","",SalePrefix&amp;TEXT(ROW()-4,"0000"))</f>
        <v>0</v>
      </c>
      <c r="E1007" s="15">
        <f>IF(D1007="","",IFERROR(INDEX(Clients!$B$5:$B$504,MATCH(D1007,Clients!$A$5:$A$504,0)),"Walk-in"))</f>
        <v>0</v>
      </c>
      <c r="G1007" s="15">
        <f>IF(F1007="","",IFERROR(INDEX(Staff!$B$5:$B$44,MATCH(F1007,Staff!$A$5:$A$44,0)),"House"))</f>
        <v>0</v>
      </c>
      <c r="R1007" s="15">
        <f>IF(B1007="","",TEXT(B1007,"yyyy-mm"))</f>
        <v>0</v>
      </c>
      <c r="S1007" s="25">
        <f>IF(B1007="","",WEEKNUM(B1007,2))</f>
        <v>0</v>
      </c>
      <c r="T1007" s="37">
        <f>IF(B1007="","",IF(K1007="",1,K1007))</f>
        <v>0</v>
      </c>
      <c r="U1007" s="15">
        <f>IF(B1007="","",IF(J1007&lt;&gt;"",J1007,IF(H1007="Retail",IFERROR(INDEX(Inventory!$B$5:$B$304,MATCH(I1007,Inventory!$A$5:$A$304,0))&amp;"","Not in Inventory"),IFERROR(INDEX(Services!$B$5:$B$204,MATCH(I1007,Services!$A$5:$A$204,0))&amp;"","Not in Services"))))</f>
        <v>0</v>
      </c>
      <c r="V1007" s="26">
        <f>IF(B1007="","",IF(L1007&lt;&gt;"",L1007,IF(H1007="Retail",IFERROR(INDEX(Inventory!$I$5:$I$304,MATCH(I1007,Inventory!$A$5:$A$304,0))*1,0),IFERROR(INDEX(Services!$G$5:$G$204,MATCH(I1007,Services!$A$5:$A$204,0))*1,0))))</f>
        <v>0</v>
      </c>
      <c r="W1007" s="26">
        <f>IF(B1007="","",ROUND(T1007*V1007,2))</f>
        <v>0</v>
      </c>
      <c r="X1007" s="26">
        <f>IF(B1007="","",ROUND(IF(M1007="",0,W1007*M1007)+IF(N1007="",0,N1007),2))</f>
        <v>0</v>
      </c>
      <c r="Y1007" s="26">
        <f>IF(B1007="","",ROUND(W1007-X1007-IF(P1007="",0,P1007),2))</f>
        <v>0</v>
      </c>
      <c r="Z1007" s="26">
        <f>IF(B1007="","",IF(H1007="Retail",IF(TaxOnRetail="Yes",ROUND(Y1007*TaxRate,2),0),IF(H1007="Service",IF(TaxOnServices="Yes",ROUND(Y1007*TaxRate,2),0),0)))</f>
        <v>0</v>
      </c>
      <c r="AA1007" s="26">
        <f>IF(B1007="","",ROUND(Y1007+Z1007,2))</f>
        <v>0</v>
      </c>
      <c r="AB1007" s="26">
        <f>IF(B1007="","",ROUND(T1007*IF(H1007="Retail",IFERROR(INDEX(Inventory!$H$5:$H$304,MATCH(I1007,Inventory!$A$5:$A$304,0))*1,0),IFERROR(INDEX(Services!$Q$5:$Q$204,MATCH(I1007,Services!$A$5:$A$204,0))*1,0)),2))</f>
        <v>0</v>
      </c>
      <c r="AC1007" s="26">
        <f>IF(B1007="","",ROUND(Y1007-AB1007,2))</f>
        <v>0</v>
      </c>
      <c r="AD1007" s="38">
        <f>IF(B1007="","",IF(C1007="","No",IF(COUNTIFS($C$5:C1007,C1007)=1,"Yes","No")))</f>
        <v>0</v>
      </c>
      <c r="AE1007" s="26">
        <f>IF(B1007="","",ROUND(SUMIFS(Payments!$G$5:$G$1204,Payments!$H$5:$H$1204,A1007,Payments!$Q$5:$Q$1204,"Yes"),2))</f>
        <v>0</v>
      </c>
      <c r="AF1007" s="26">
        <f>IF(B1007="","",IF(AD1007="No",0,ROUND(SUMIFS(Payments!$G$5:$G$1204,Payments!$I$5:$I$1204,C1007,Payments!$H$5:$H$1204,"",Payments!$Q$5:$Q$1204,"Yes"),2)))</f>
        <v>0</v>
      </c>
      <c r="AG1007" s="26">
        <f>IF(B1007="","",ROUND(AE1007+AF1007,2))</f>
        <v>0</v>
      </c>
      <c r="AH1007" s="26">
        <f>IF(B1007="","",ROUND(AA1007-AG1007,2))</f>
        <v>0</v>
      </c>
      <c r="AI1007" s="39">
        <f>IF(B1007="","",IF(AA1007&lt;=0,"No charge",IF(AH1007&lt;=0.004,"Paid",IF(AG1007&lt;=0.004,"Unpaid","Part paid"))))</f>
        <v>0</v>
      </c>
      <c r="AJ1007" s="38">
        <f>IF(B1007="","",IF(H1007&lt;&gt;"Service","",IF(D1007="","No",IF(COUNTIFS($D$5:$D$1204,D1007,$B$5:$B$1204,B1007,$H$5:$H$1204,"Retail")&gt;0,"Yes","No"))))</f>
        <v>0</v>
      </c>
      <c r="AK1007" s="25">
        <f>IF(B1007="","",COUNTIFS($Y$5:$Y$1204,"&gt;"&amp;Y1007)+COUNTIFS($Y$5:Y1007,Y1007))</f>
        <v>0</v>
      </c>
      <c r="AL1007" s="39">
        <f>IF(B1007="","",IF(H1007="","Add - what kind of sale is this?",IF(IF(V1007&lt;=0,P1007="",FALSE),"Check - no price found for this item",IF(F1007="","Assign - nobody credited",IF(AH1007&gt;0.004,"Unpaid - balance outstanding",IF(AC1007&lt;0,"Loss - sold below cost",IF(X1007&gt;W1007*0.5,"Check - more than half off","OK")))))))</f>
        <v>0</v>
      </c>
    </row>
    <row r="1008" spans="1:38">
      <c r="A1008" s="28">
        <f>IF(B1008="","",SalePrefix&amp;TEXT(ROW()-4,"0000"))</f>
        <v>0</v>
      </c>
      <c r="E1008" s="15">
        <f>IF(D1008="","",IFERROR(INDEX(Clients!$B$5:$B$504,MATCH(D1008,Clients!$A$5:$A$504,0)),"Walk-in"))</f>
        <v>0</v>
      </c>
      <c r="G1008" s="15">
        <f>IF(F1008="","",IFERROR(INDEX(Staff!$B$5:$B$44,MATCH(F1008,Staff!$A$5:$A$44,0)),"House"))</f>
        <v>0</v>
      </c>
      <c r="R1008" s="15">
        <f>IF(B1008="","",TEXT(B1008,"yyyy-mm"))</f>
        <v>0</v>
      </c>
      <c r="S1008" s="25">
        <f>IF(B1008="","",WEEKNUM(B1008,2))</f>
        <v>0</v>
      </c>
      <c r="T1008" s="37">
        <f>IF(B1008="","",IF(K1008="",1,K1008))</f>
        <v>0</v>
      </c>
      <c r="U1008" s="15">
        <f>IF(B1008="","",IF(J1008&lt;&gt;"",J1008,IF(H1008="Retail",IFERROR(INDEX(Inventory!$B$5:$B$304,MATCH(I1008,Inventory!$A$5:$A$304,0))&amp;"","Not in Inventory"),IFERROR(INDEX(Services!$B$5:$B$204,MATCH(I1008,Services!$A$5:$A$204,0))&amp;"","Not in Services"))))</f>
        <v>0</v>
      </c>
      <c r="V1008" s="26">
        <f>IF(B1008="","",IF(L1008&lt;&gt;"",L1008,IF(H1008="Retail",IFERROR(INDEX(Inventory!$I$5:$I$304,MATCH(I1008,Inventory!$A$5:$A$304,0))*1,0),IFERROR(INDEX(Services!$G$5:$G$204,MATCH(I1008,Services!$A$5:$A$204,0))*1,0))))</f>
        <v>0</v>
      </c>
      <c r="W1008" s="26">
        <f>IF(B1008="","",ROUND(T1008*V1008,2))</f>
        <v>0</v>
      </c>
      <c r="X1008" s="26">
        <f>IF(B1008="","",ROUND(IF(M1008="",0,W1008*M1008)+IF(N1008="",0,N1008),2))</f>
        <v>0</v>
      </c>
      <c r="Y1008" s="26">
        <f>IF(B1008="","",ROUND(W1008-X1008-IF(P1008="",0,P1008),2))</f>
        <v>0</v>
      </c>
      <c r="Z1008" s="26">
        <f>IF(B1008="","",IF(H1008="Retail",IF(TaxOnRetail="Yes",ROUND(Y1008*TaxRate,2),0),IF(H1008="Service",IF(TaxOnServices="Yes",ROUND(Y1008*TaxRate,2),0),0)))</f>
        <v>0</v>
      </c>
      <c r="AA1008" s="26">
        <f>IF(B1008="","",ROUND(Y1008+Z1008,2))</f>
        <v>0</v>
      </c>
      <c r="AB1008" s="26">
        <f>IF(B1008="","",ROUND(T1008*IF(H1008="Retail",IFERROR(INDEX(Inventory!$H$5:$H$304,MATCH(I1008,Inventory!$A$5:$A$304,0))*1,0),IFERROR(INDEX(Services!$Q$5:$Q$204,MATCH(I1008,Services!$A$5:$A$204,0))*1,0)),2))</f>
        <v>0</v>
      </c>
      <c r="AC1008" s="26">
        <f>IF(B1008="","",ROUND(Y1008-AB1008,2))</f>
        <v>0</v>
      </c>
      <c r="AD1008" s="38">
        <f>IF(B1008="","",IF(C1008="","No",IF(COUNTIFS($C$5:C1008,C1008)=1,"Yes","No")))</f>
        <v>0</v>
      </c>
      <c r="AE1008" s="26">
        <f>IF(B1008="","",ROUND(SUMIFS(Payments!$G$5:$G$1204,Payments!$H$5:$H$1204,A1008,Payments!$Q$5:$Q$1204,"Yes"),2))</f>
        <v>0</v>
      </c>
      <c r="AF1008" s="26">
        <f>IF(B1008="","",IF(AD1008="No",0,ROUND(SUMIFS(Payments!$G$5:$G$1204,Payments!$I$5:$I$1204,C1008,Payments!$H$5:$H$1204,"",Payments!$Q$5:$Q$1204,"Yes"),2)))</f>
        <v>0</v>
      </c>
      <c r="AG1008" s="26">
        <f>IF(B1008="","",ROUND(AE1008+AF1008,2))</f>
        <v>0</v>
      </c>
      <c r="AH1008" s="26">
        <f>IF(B1008="","",ROUND(AA1008-AG1008,2))</f>
        <v>0</v>
      </c>
      <c r="AI1008" s="39">
        <f>IF(B1008="","",IF(AA1008&lt;=0,"No charge",IF(AH1008&lt;=0.004,"Paid",IF(AG1008&lt;=0.004,"Unpaid","Part paid"))))</f>
        <v>0</v>
      </c>
      <c r="AJ1008" s="38">
        <f>IF(B1008="","",IF(H1008&lt;&gt;"Service","",IF(D1008="","No",IF(COUNTIFS($D$5:$D$1204,D1008,$B$5:$B$1204,B1008,$H$5:$H$1204,"Retail")&gt;0,"Yes","No"))))</f>
        <v>0</v>
      </c>
      <c r="AK1008" s="25">
        <f>IF(B1008="","",COUNTIFS($Y$5:$Y$1204,"&gt;"&amp;Y1008)+COUNTIFS($Y$5:Y1008,Y1008))</f>
        <v>0</v>
      </c>
      <c r="AL1008" s="39">
        <f>IF(B1008="","",IF(H1008="","Add - what kind of sale is this?",IF(IF(V1008&lt;=0,P1008="",FALSE),"Check - no price found for this item",IF(F1008="","Assign - nobody credited",IF(AH1008&gt;0.004,"Unpaid - balance outstanding",IF(AC1008&lt;0,"Loss - sold below cost",IF(X1008&gt;W1008*0.5,"Check - more than half off","OK")))))))</f>
        <v>0</v>
      </c>
    </row>
    <row r="1009" spans="1:38">
      <c r="A1009" s="28">
        <f>IF(B1009="","",SalePrefix&amp;TEXT(ROW()-4,"0000"))</f>
        <v>0</v>
      </c>
      <c r="E1009" s="15">
        <f>IF(D1009="","",IFERROR(INDEX(Clients!$B$5:$B$504,MATCH(D1009,Clients!$A$5:$A$504,0)),"Walk-in"))</f>
        <v>0</v>
      </c>
      <c r="G1009" s="15">
        <f>IF(F1009="","",IFERROR(INDEX(Staff!$B$5:$B$44,MATCH(F1009,Staff!$A$5:$A$44,0)),"House"))</f>
        <v>0</v>
      </c>
      <c r="R1009" s="15">
        <f>IF(B1009="","",TEXT(B1009,"yyyy-mm"))</f>
        <v>0</v>
      </c>
      <c r="S1009" s="25">
        <f>IF(B1009="","",WEEKNUM(B1009,2))</f>
        <v>0</v>
      </c>
      <c r="T1009" s="37">
        <f>IF(B1009="","",IF(K1009="",1,K1009))</f>
        <v>0</v>
      </c>
      <c r="U1009" s="15">
        <f>IF(B1009="","",IF(J1009&lt;&gt;"",J1009,IF(H1009="Retail",IFERROR(INDEX(Inventory!$B$5:$B$304,MATCH(I1009,Inventory!$A$5:$A$304,0))&amp;"","Not in Inventory"),IFERROR(INDEX(Services!$B$5:$B$204,MATCH(I1009,Services!$A$5:$A$204,0))&amp;"","Not in Services"))))</f>
        <v>0</v>
      </c>
      <c r="V1009" s="26">
        <f>IF(B1009="","",IF(L1009&lt;&gt;"",L1009,IF(H1009="Retail",IFERROR(INDEX(Inventory!$I$5:$I$304,MATCH(I1009,Inventory!$A$5:$A$304,0))*1,0),IFERROR(INDEX(Services!$G$5:$G$204,MATCH(I1009,Services!$A$5:$A$204,0))*1,0))))</f>
        <v>0</v>
      </c>
      <c r="W1009" s="26">
        <f>IF(B1009="","",ROUND(T1009*V1009,2))</f>
        <v>0</v>
      </c>
      <c r="X1009" s="26">
        <f>IF(B1009="","",ROUND(IF(M1009="",0,W1009*M1009)+IF(N1009="",0,N1009),2))</f>
        <v>0</v>
      </c>
      <c r="Y1009" s="26">
        <f>IF(B1009="","",ROUND(W1009-X1009-IF(P1009="",0,P1009),2))</f>
        <v>0</v>
      </c>
      <c r="Z1009" s="26">
        <f>IF(B1009="","",IF(H1009="Retail",IF(TaxOnRetail="Yes",ROUND(Y1009*TaxRate,2),0),IF(H1009="Service",IF(TaxOnServices="Yes",ROUND(Y1009*TaxRate,2),0),0)))</f>
        <v>0</v>
      </c>
      <c r="AA1009" s="26">
        <f>IF(B1009="","",ROUND(Y1009+Z1009,2))</f>
        <v>0</v>
      </c>
      <c r="AB1009" s="26">
        <f>IF(B1009="","",ROUND(T1009*IF(H1009="Retail",IFERROR(INDEX(Inventory!$H$5:$H$304,MATCH(I1009,Inventory!$A$5:$A$304,0))*1,0),IFERROR(INDEX(Services!$Q$5:$Q$204,MATCH(I1009,Services!$A$5:$A$204,0))*1,0)),2))</f>
        <v>0</v>
      </c>
      <c r="AC1009" s="26">
        <f>IF(B1009="","",ROUND(Y1009-AB1009,2))</f>
        <v>0</v>
      </c>
      <c r="AD1009" s="38">
        <f>IF(B1009="","",IF(C1009="","No",IF(COUNTIFS($C$5:C1009,C1009)=1,"Yes","No")))</f>
        <v>0</v>
      </c>
      <c r="AE1009" s="26">
        <f>IF(B1009="","",ROUND(SUMIFS(Payments!$G$5:$G$1204,Payments!$H$5:$H$1204,A1009,Payments!$Q$5:$Q$1204,"Yes"),2))</f>
        <v>0</v>
      </c>
      <c r="AF1009" s="26">
        <f>IF(B1009="","",IF(AD1009="No",0,ROUND(SUMIFS(Payments!$G$5:$G$1204,Payments!$I$5:$I$1204,C1009,Payments!$H$5:$H$1204,"",Payments!$Q$5:$Q$1204,"Yes"),2)))</f>
        <v>0</v>
      </c>
      <c r="AG1009" s="26">
        <f>IF(B1009="","",ROUND(AE1009+AF1009,2))</f>
        <v>0</v>
      </c>
      <c r="AH1009" s="26">
        <f>IF(B1009="","",ROUND(AA1009-AG1009,2))</f>
        <v>0</v>
      </c>
      <c r="AI1009" s="39">
        <f>IF(B1009="","",IF(AA1009&lt;=0,"No charge",IF(AH1009&lt;=0.004,"Paid",IF(AG1009&lt;=0.004,"Unpaid","Part paid"))))</f>
        <v>0</v>
      </c>
      <c r="AJ1009" s="38">
        <f>IF(B1009="","",IF(H1009&lt;&gt;"Service","",IF(D1009="","No",IF(COUNTIFS($D$5:$D$1204,D1009,$B$5:$B$1204,B1009,$H$5:$H$1204,"Retail")&gt;0,"Yes","No"))))</f>
        <v>0</v>
      </c>
      <c r="AK1009" s="25">
        <f>IF(B1009="","",COUNTIFS($Y$5:$Y$1204,"&gt;"&amp;Y1009)+COUNTIFS($Y$5:Y1009,Y1009))</f>
        <v>0</v>
      </c>
      <c r="AL1009" s="39">
        <f>IF(B1009="","",IF(H1009="","Add - what kind of sale is this?",IF(IF(V1009&lt;=0,P1009="",FALSE),"Check - no price found for this item",IF(F1009="","Assign - nobody credited",IF(AH1009&gt;0.004,"Unpaid - balance outstanding",IF(AC1009&lt;0,"Loss - sold below cost",IF(X1009&gt;W1009*0.5,"Check - more than half off","OK")))))))</f>
        <v>0</v>
      </c>
    </row>
    <row r="1010" spans="1:38">
      <c r="A1010" s="28">
        <f>IF(B1010="","",SalePrefix&amp;TEXT(ROW()-4,"0000"))</f>
        <v>0</v>
      </c>
      <c r="E1010" s="15">
        <f>IF(D1010="","",IFERROR(INDEX(Clients!$B$5:$B$504,MATCH(D1010,Clients!$A$5:$A$504,0)),"Walk-in"))</f>
        <v>0</v>
      </c>
      <c r="G1010" s="15">
        <f>IF(F1010="","",IFERROR(INDEX(Staff!$B$5:$B$44,MATCH(F1010,Staff!$A$5:$A$44,0)),"House"))</f>
        <v>0</v>
      </c>
      <c r="R1010" s="15">
        <f>IF(B1010="","",TEXT(B1010,"yyyy-mm"))</f>
        <v>0</v>
      </c>
      <c r="S1010" s="25">
        <f>IF(B1010="","",WEEKNUM(B1010,2))</f>
        <v>0</v>
      </c>
      <c r="T1010" s="37">
        <f>IF(B1010="","",IF(K1010="",1,K1010))</f>
        <v>0</v>
      </c>
      <c r="U1010" s="15">
        <f>IF(B1010="","",IF(J1010&lt;&gt;"",J1010,IF(H1010="Retail",IFERROR(INDEX(Inventory!$B$5:$B$304,MATCH(I1010,Inventory!$A$5:$A$304,0))&amp;"","Not in Inventory"),IFERROR(INDEX(Services!$B$5:$B$204,MATCH(I1010,Services!$A$5:$A$204,0))&amp;"","Not in Services"))))</f>
        <v>0</v>
      </c>
      <c r="V1010" s="26">
        <f>IF(B1010="","",IF(L1010&lt;&gt;"",L1010,IF(H1010="Retail",IFERROR(INDEX(Inventory!$I$5:$I$304,MATCH(I1010,Inventory!$A$5:$A$304,0))*1,0),IFERROR(INDEX(Services!$G$5:$G$204,MATCH(I1010,Services!$A$5:$A$204,0))*1,0))))</f>
        <v>0</v>
      </c>
      <c r="W1010" s="26">
        <f>IF(B1010="","",ROUND(T1010*V1010,2))</f>
        <v>0</v>
      </c>
      <c r="X1010" s="26">
        <f>IF(B1010="","",ROUND(IF(M1010="",0,W1010*M1010)+IF(N1010="",0,N1010),2))</f>
        <v>0</v>
      </c>
      <c r="Y1010" s="26">
        <f>IF(B1010="","",ROUND(W1010-X1010-IF(P1010="",0,P1010),2))</f>
        <v>0</v>
      </c>
      <c r="Z1010" s="26">
        <f>IF(B1010="","",IF(H1010="Retail",IF(TaxOnRetail="Yes",ROUND(Y1010*TaxRate,2),0),IF(H1010="Service",IF(TaxOnServices="Yes",ROUND(Y1010*TaxRate,2),0),0)))</f>
        <v>0</v>
      </c>
      <c r="AA1010" s="26">
        <f>IF(B1010="","",ROUND(Y1010+Z1010,2))</f>
        <v>0</v>
      </c>
      <c r="AB1010" s="26">
        <f>IF(B1010="","",ROUND(T1010*IF(H1010="Retail",IFERROR(INDEX(Inventory!$H$5:$H$304,MATCH(I1010,Inventory!$A$5:$A$304,0))*1,0),IFERROR(INDEX(Services!$Q$5:$Q$204,MATCH(I1010,Services!$A$5:$A$204,0))*1,0)),2))</f>
        <v>0</v>
      </c>
      <c r="AC1010" s="26">
        <f>IF(B1010="","",ROUND(Y1010-AB1010,2))</f>
        <v>0</v>
      </c>
      <c r="AD1010" s="38">
        <f>IF(B1010="","",IF(C1010="","No",IF(COUNTIFS($C$5:C1010,C1010)=1,"Yes","No")))</f>
        <v>0</v>
      </c>
      <c r="AE1010" s="26">
        <f>IF(B1010="","",ROUND(SUMIFS(Payments!$G$5:$G$1204,Payments!$H$5:$H$1204,A1010,Payments!$Q$5:$Q$1204,"Yes"),2))</f>
        <v>0</v>
      </c>
      <c r="AF1010" s="26">
        <f>IF(B1010="","",IF(AD1010="No",0,ROUND(SUMIFS(Payments!$G$5:$G$1204,Payments!$I$5:$I$1204,C1010,Payments!$H$5:$H$1204,"",Payments!$Q$5:$Q$1204,"Yes"),2)))</f>
        <v>0</v>
      </c>
      <c r="AG1010" s="26">
        <f>IF(B1010="","",ROUND(AE1010+AF1010,2))</f>
        <v>0</v>
      </c>
      <c r="AH1010" s="26">
        <f>IF(B1010="","",ROUND(AA1010-AG1010,2))</f>
        <v>0</v>
      </c>
      <c r="AI1010" s="39">
        <f>IF(B1010="","",IF(AA1010&lt;=0,"No charge",IF(AH1010&lt;=0.004,"Paid",IF(AG1010&lt;=0.004,"Unpaid","Part paid"))))</f>
        <v>0</v>
      </c>
      <c r="AJ1010" s="38">
        <f>IF(B1010="","",IF(H1010&lt;&gt;"Service","",IF(D1010="","No",IF(COUNTIFS($D$5:$D$1204,D1010,$B$5:$B$1204,B1010,$H$5:$H$1204,"Retail")&gt;0,"Yes","No"))))</f>
        <v>0</v>
      </c>
      <c r="AK1010" s="25">
        <f>IF(B1010="","",COUNTIFS($Y$5:$Y$1204,"&gt;"&amp;Y1010)+COUNTIFS($Y$5:Y1010,Y1010))</f>
        <v>0</v>
      </c>
      <c r="AL1010" s="39">
        <f>IF(B1010="","",IF(H1010="","Add - what kind of sale is this?",IF(IF(V1010&lt;=0,P1010="",FALSE),"Check - no price found for this item",IF(F1010="","Assign - nobody credited",IF(AH1010&gt;0.004,"Unpaid - balance outstanding",IF(AC1010&lt;0,"Loss - sold below cost",IF(X1010&gt;W1010*0.5,"Check - more than half off","OK")))))))</f>
        <v>0</v>
      </c>
    </row>
    <row r="1011" spans="1:38">
      <c r="A1011" s="28">
        <f>IF(B1011="","",SalePrefix&amp;TEXT(ROW()-4,"0000"))</f>
        <v>0</v>
      </c>
      <c r="E1011" s="15">
        <f>IF(D1011="","",IFERROR(INDEX(Clients!$B$5:$B$504,MATCH(D1011,Clients!$A$5:$A$504,0)),"Walk-in"))</f>
        <v>0</v>
      </c>
      <c r="G1011" s="15">
        <f>IF(F1011="","",IFERROR(INDEX(Staff!$B$5:$B$44,MATCH(F1011,Staff!$A$5:$A$44,0)),"House"))</f>
        <v>0</v>
      </c>
      <c r="R1011" s="15">
        <f>IF(B1011="","",TEXT(B1011,"yyyy-mm"))</f>
        <v>0</v>
      </c>
      <c r="S1011" s="25">
        <f>IF(B1011="","",WEEKNUM(B1011,2))</f>
        <v>0</v>
      </c>
      <c r="T1011" s="37">
        <f>IF(B1011="","",IF(K1011="",1,K1011))</f>
        <v>0</v>
      </c>
      <c r="U1011" s="15">
        <f>IF(B1011="","",IF(J1011&lt;&gt;"",J1011,IF(H1011="Retail",IFERROR(INDEX(Inventory!$B$5:$B$304,MATCH(I1011,Inventory!$A$5:$A$304,0))&amp;"","Not in Inventory"),IFERROR(INDEX(Services!$B$5:$B$204,MATCH(I1011,Services!$A$5:$A$204,0))&amp;"","Not in Services"))))</f>
        <v>0</v>
      </c>
      <c r="V1011" s="26">
        <f>IF(B1011="","",IF(L1011&lt;&gt;"",L1011,IF(H1011="Retail",IFERROR(INDEX(Inventory!$I$5:$I$304,MATCH(I1011,Inventory!$A$5:$A$304,0))*1,0),IFERROR(INDEX(Services!$G$5:$G$204,MATCH(I1011,Services!$A$5:$A$204,0))*1,0))))</f>
        <v>0</v>
      </c>
      <c r="W1011" s="26">
        <f>IF(B1011="","",ROUND(T1011*V1011,2))</f>
        <v>0</v>
      </c>
      <c r="X1011" s="26">
        <f>IF(B1011="","",ROUND(IF(M1011="",0,W1011*M1011)+IF(N1011="",0,N1011),2))</f>
        <v>0</v>
      </c>
      <c r="Y1011" s="26">
        <f>IF(B1011="","",ROUND(W1011-X1011-IF(P1011="",0,P1011),2))</f>
        <v>0</v>
      </c>
      <c r="Z1011" s="26">
        <f>IF(B1011="","",IF(H1011="Retail",IF(TaxOnRetail="Yes",ROUND(Y1011*TaxRate,2),0),IF(H1011="Service",IF(TaxOnServices="Yes",ROUND(Y1011*TaxRate,2),0),0)))</f>
        <v>0</v>
      </c>
      <c r="AA1011" s="26">
        <f>IF(B1011="","",ROUND(Y1011+Z1011,2))</f>
        <v>0</v>
      </c>
      <c r="AB1011" s="26">
        <f>IF(B1011="","",ROUND(T1011*IF(H1011="Retail",IFERROR(INDEX(Inventory!$H$5:$H$304,MATCH(I1011,Inventory!$A$5:$A$304,0))*1,0),IFERROR(INDEX(Services!$Q$5:$Q$204,MATCH(I1011,Services!$A$5:$A$204,0))*1,0)),2))</f>
        <v>0</v>
      </c>
      <c r="AC1011" s="26">
        <f>IF(B1011="","",ROUND(Y1011-AB1011,2))</f>
        <v>0</v>
      </c>
      <c r="AD1011" s="38">
        <f>IF(B1011="","",IF(C1011="","No",IF(COUNTIFS($C$5:C1011,C1011)=1,"Yes","No")))</f>
        <v>0</v>
      </c>
      <c r="AE1011" s="26">
        <f>IF(B1011="","",ROUND(SUMIFS(Payments!$G$5:$G$1204,Payments!$H$5:$H$1204,A1011,Payments!$Q$5:$Q$1204,"Yes"),2))</f>
        <v>0</v>
      </c>
      <c r="AF1011" s="26">
        <f>IF(B1011="","",IF(AD1011="No",0,ROUND(SUMIFS(Payments!$G$5:$G$1204,Payments!$I$5:$I$1204,C1011,Payments!$H$5:$H$1204,"",Payments!$Q$5:$Q$1204,"Yes"),2)))</f>
        <v>0</v>
      </c>
      <c r="AG1011" s="26">
        <f>IF(B1011="","",ROUND(AE1011+AF1011,2))</f>
        <v>0</v>
      </c>
      <c r="AH1011" s="26">
        <f>IF(B1011="","",ROUND(AA1011-AG1011,2))</f>
        <v>0</v>
      </c>
      <c r="AI1011" s="39">
        <f>IF(B1011="","",IF(AA1011&lt;=0,"No charge",IF(AH1011&lt;=0.004,"Paid",IF(AG1011&lt;=0.004,"Unpaid","Part paid"))))</f>
        <v>0</v>
      </c>
      <c r="AJ1011" s="38">
        <f>IF(B1011="","",IF(H1011&lt;&gt;"Service","",IF(D1011="","No",IF(COUNTIFS($D$5:$D$1204,D1011,$B$5:$B$1204,B1011,$H$5:$H$1204,"Retail")&gt;0,"Yes","No"))))</f>
        <v>0</v>
      </c>
      <c r="AK1011" s="25">
        <f>IF(B1011="","",COUNTIFS($Y$5:$Y$1204,"&gt;"&amp;Y1011)+COUNTIFS($Y$5:Y1011,Y1011))</f>
        <v>0</v>
      </c>
      <c r="AL1011" s="39">
        <f>IF(B1011="","",IF(H1011="","Add - what kind of sale is this?",IF(IF(V1011&lt;=0,P1011="",FALSE),"Check - no price found for this item",IF(F1011="","Assign - nobody credited",IF(AH1011&gt;0.004,"Unpaid - balance outstanding",IF(AC1011&lt;0,"Loss - sold below cost",IF(X1011&gt;W1011*0.5,"Check - more than half off","OK")))))))</f>
        <v>0</v>
      </c>
    </row>
    <row r="1012" spans="1:38">
      <c r="A1012" s="28">
        <f>IF(B1012="","",SalePrefix&amp;TEXT(ROW()-4,"0000"))</f>
        <v>0</v>
      </c>
      <c r="E1012" s="15">
        <f>IF(D1012="","",IFERROR(INDEX(Clients!$B$5:$B$504,MATCH(D1012,Clients!$A$5:$A$504,0)),"Walk-in"))</f>
        <v>0</v>
      </c>
      <c r="G1012" s="15">
        <f>IF(F1012="","",IFERROR(INDEX(Staff!$B$5:$B$44,MATCH(F1012,Staff!$A$5:$A$44,0)),"House"))</f>
        <v>0</v>
      </c>
      <c r="R1012" s="15">
        <f>IF(B1012="","",TEXT(B1012,"yyyy-mm"))</f>
        <v>0</v>
      </c>
      <c r="S1012" s="25">
        <f>IF(B1012="","",WEEKNUM(B1012,2))</f>
        <v>0</v>
      </c>
      <c r="T1012" s="37">
        <f>IF(B1012="","",IF(K1012="",1,K1012))</f>
        <v>0</v>
      </c>
      <c r="U1012" s="15">
        <f>IF(B1012="","",IF(J1012&lt;&gt;"",J1012,IF(H1012="Retail",IFERROR(INDEX(Inventory!$B$5:$B$304,MATCH(I1012,Inventory!$A$5:$A$304,0))&amp;"","Not in Inventory"),IFERROR(INDEX(Services!$B$5:$B$204,MATCH(I1012,Services!$A$5:$A$204,0))&amp;"","Not in Services"))))</f>
        <v>0</v>
      </c>
      <c r="V1012" s="26">
        <f>IF(B1012="","",IF(L1012&lt;&gt;"",L1012,IF(H1012="Retail",IFERROR(INDEX(Inventory!$I$5:$I$304,MATCH(I1012,Inventory!$A$5:$A$304,0))*1,0),IFERROR(INDEX(Services!$G$5:$G$204,MATCH(I1012,Services!$A$5:$A$204,0))*1,0))))</f>
        <v>0</v>
      </c>
      <c r="W1012" s="26">
        <f>IF(B1012="","",ROUND(T1012*V1012,2))</f>
        <v>0</v>
      </c>
      <c r="X1012" s="26">
        <f>IF(B1012="","",ROUND(IF(M1012="",0,W1012*M1012)+IF(N1012="",0,N1012),2))</f>
        <v>0</v>
      </c>
      <c r="Y1012" s="26">
        <f>IF(B1012="","",ROUND(W1012-X1012-IF(P1012="",0,P1012),2))</f>
        <v>0</v>
      </c>
      <c r="Z1012" s="26">
        <f>IF(B1012="","",IF(H1012="Retail",IF(TaxOnRetail="Yes",ROUND(Y1012*TaxRate,2),0),IF(H1012="Service",IF(TaxOnServices="Yes",ROUND(Y1012*TaxRate,2),0),0)))</f>
        <v>0</v>
      </c>
      <c r="AA1012" s="26">
        <f>IF(B1012="","",ROUND(Y1012+Z1012,2))</f>
        <v>0</v>
      </c>
      <c r="AB1012" s="26">
        <f>IF(B1012="","",ROUND(T1012*IF(H1012="Retail",IFERROR(INDEX(Inventory!$H$5:$H$304,MATCH(I1012,Inventory!$A$5:$A$304,0))*1,0),IFERROR(INDEX(Services!$Q$5:$Q$204,MATCH(I1012,Services!$A$5:$A$204,0))*1,0)),2))</f>
        <v>0</v>
      </c>
      <c r="AC1012" s="26">
        <f>IF(B1012="","",ROUND(Y1012-AB1012,2))</f>
        <v>0</v>
      </c>
      <c r="AD1012" s="38">
        <f>IF(B1012="","",IF(C1012="","No",IF(COUNTIFS($C$5:C1012,C1012)=1,"Yes","No")))</f>
        <v>0</v>
      </c>
      <c r="AE1012" s="26">
        <f>IF(B1012="","",ROUND(SUMIFS(Payments!$G$5:$G$1204,Payments!$H$5:$H$1204,A1012,Payments!$Q$5:$Q$1204,"Yes"),2))</f>
        <v>0</v>
      </c>
      <c r="AF1012" s="26">
        <f>IF(B1012="","",IF(AD1012="No",0,ROUND(SUMIFS(Payments!$G$5:$G$1204,Payments!$I$5:$I$1204,C1012,Payments!$H$5:$H$1204,"",Payments!$Q$5:$Q$1204,"Yes"),2)))</f>
        <v>0</v>
      </c>
      <c r="AG1012" s="26">
        <f>IF(B1012="","",ROUND(AE1012+AF1012,2))</f>
        <v>0</v>
      </c>
      <c r="AH1012" s="26">
        <f>IF(B1012="","",ROUND(AA1012-AG1012,2))</f>
        <v>0</v>
      </c>
      <c r="AI1012" s="39">
        <f>IF(B1012="","",IF(AA1012&lt;=0,"No charge",IF(AH1012&lt;=0.004,"Paid",IF(AG1012&lt;=0.004,"Unpaid","Part paid"))))</f>
        <v>0</v>
      </c>
      <c r="AJ1012" s="38">
        <f>IF(B1012="","",IF(H1012&lt;&gt;"Service","",IF(D1012="","No",IF(COUNTIFS($D$5:$D$1204,D1012,$B$5:$B$1204,B1012,$H$5:$H$1204,"Retail")&gt;0,"Yes","No"))))</f>
        <v>0</v>
      </c>
      <c r="AK1012" s="25">
        <f>IF(B1012="","",COUNTIFS($Y$5:$Y$1204,"&gt;"&amp;Y1012)+COUNTIFS($Y$5:Y1012,Y1012))</f>
        <v>0</v>
      </c>
      <c r="AL1012" s="39">
        <f>IF(B1012="","",IF(H1012="","Add - what kind of sale is this?",IF(IF(V1012&lt;=0,P1012="",FALSE),"Check - no price found for this item",IF(F1012="","Assign - nobody credited",IF(AH1012&gt;0.004,"Unpaid - balance outstanding",IF(AC1012&lt;0,"Loss - sold below cost",IF(X1012&gt;W1012*0.5,"Check - more than half off","OK")))))))</f>
        <v>0</v>
      </c>
    </row>
    <row r="1013" spans="1:38">
      <c r="A1013" s="28">
        <f>IF(B1013="","",SalePrefix&amp;TEXT(ROW()-4,"0000"))</f>
        <v>0</v>
      </c>
      <c r="E1013" s="15">
        <f>IF(D1013="","",IFERROR(INDEX(Clients!$B$5:$B$504,MATCH(D1013,Clients!$A$5:$A$504,0)),"Walk-in"))</f>
        <v>0</v>
      </c>
      <c r="G1013" s="15">
        <f>IF(F1013="","",IFERROR(INDEX(Staff!$B$5:$B$44,MATCH(F1013,Staff!$A$5:$A$44,0)),"House"))</f>
        <v>0</v>
      </c>
      <c r="R1013" s="15">
        <f>IF(B1013="","",TEXT(B1013,"yyyy-mm"))</f>
        <v>0</v>
      </c>
      <c r="S1013" s="25">
        <f>IF(B1013="","",WEEKNUM(B1013,2))</f>
        <v>0</v>
      </c>
      <c r="T1013" s="37">
        <f>IF(B1013="","",IF(K1013="",1,K1013))</f>
        <v>0</v>
      </c>
      <c r="U1013" s="15">
        <f>IF(B1013="","",IF(J1013&lt;&gt;"",J1013,IF(H1013="Retail",IFERROR(INDEX(Inventory!$B$5:$B$304,MATCH(I1013,Inventory!$A$5:$A$304,0))&amp;"","Not in Inventory"),IFERROR(INDEX(Services!$B$5:$B$204,MATCH(I1013,Services!$A$5:$A$204,0))&amp;"","Not in Services"))))</f>
        <v>0</v>
      </c>
      <c r="V1013" s="26">
        <f>IF(B1013="","",IF(L1013&lt;&gt;"",L1013,IF(H1013="Retail",IFERROR(INDEX(Inventory!$I$5:$I$304,MATCH(I1013,Inventory!$A$5:$A$304,0))*1,0),IFERROR(INDEX(Services!$G$5:$G$204,MATCH(I1013,Services!$A$5:$A$204,0))*1,0))))</f>
        <v>0</v>
      </c>
      <c r="W1013" s="26">
        <f>IF(B1013="","",ROUND(T1013*V1013,2))</f>
        <v>0</v>
      </c>
      <c r="X1013" s="26">
        <f>IF(B1013="","",ROUND(IF(M1013="",0,W1013*M1013)+IF(N1013="",0,N1013),2))</f>
        <v>0</v>
      </c>
      <c r="Y1013" s="26">
        <f>IF(B1013="","",ROUND(W1013-X1013-IF(P1013="",0,P1013),2))</f>
        <v>0</v>
      </c>
      <c r="Z1013" s="26">
        <f>IF(B1013="","",IF(H1013="Retail",IF(TaxOnRetail="Yes",ROUND(Y1013*TaxRate,2),0),IF(H1013="Service",IF(TaxOnServices="Yes",ROUND(Y1013*TaxRate,2),0),0)))</f>
        <v>0</v>
      </c>
      <c r="AA1013" s="26">
        <f>IF(B1013="","",ROUND(Y1013+Z1013,2))</f>
        <v>0</v>
      </c>
      <c r="AB1013" s="26">
        <f>IF(B1013="","",ROUND(T1013*IF(H1013="Retail",IFERROR(INDEX(Inventory!$H$5:$H$304,MATCH(I1013,Inventory!$A$5:$A$304,0))*1,0),IFERROR(INDEX(Services!$Q$5:$Q$204,MATCH(I1013,Services!$A$5:$A$204,0))*1,0)),2))</f>
        <v>0</v>
      </c>
      <c r="AC1013" s="26">
        <f>IF(B1013="","",ROUND(Y1013-AB1013,2))</f>
        <v>0</v>
      </c>
      <c r="AD1013" s="38">
        <f>IF(B1013="","",IF(C1013="","No",IF(COUNTIFS($C$5:C1013,C1013)=1,"Yes","No")))</f>
        <v>0</v>
      </c>
      <c r="AE1013" s="26">
        <f>IF(B1013="","",ROUND(SUMIFS(Payments!$G$5:$G$1204,Payments!$H$5:$H$1204,A1013,Payments!$Q$5:$Q$1204,"Yes"),2))</f>
        <v>0</v>
      </c>
      <c r="AF1013" s="26">
        <f>IF(B1013="","",IF(AD1013="No",0,ROUND(SUMIFS(Payments!$G$5:$G$1204,Payments!$I$5:$I$1204,C1013,Payments!$H$5:$H$1204,"",Payments!$Q$5:$Q$1204,"Yes"),2)))</f>
        <v>0</v>
      </c>
      <c r="AG1013" s="26">
        <f>IF(B1013="","",ROUND(AE1013+AF1013,2))</f>
        <v>0</v>
      </c>
      <c r="AH1013" s="26">
        <f>IF(B1013="","",ROUND(AA1013-AG1013,2))</f>
        <v>0</v>
      </c>
      <c r="AI1013" s="39">
        <f>IF(B1013="","",IF(AA1013&lt;=0,"No charge",IF(AH1013&lt;=0.004,"Paid",IF(AG1013&lt;=0.004,"Unpaid","Part paid"))))</f>
        <v>0</v>
      </c>
      <c r="AJ1013" s="38">
        <f>IF(B1013="","",IF(H1013&lt;&gt;"Service","",IF(D1013="","No",IF(COUNTIFS($D$5:$D$1204,D1013,$B$5:$B$1204,B1013,$H$5:$H$1204,"Retail")&gt;0,"Yes","No"))))</f>
        <v>0</v>
      </c>
      <c r="AK1013" s="25">
        <f>IF(B1013="","",COUNTIFS($Y$5:$Y$1204,"&gt;"&amp;Y1013)+COUNTIFS($Y$5:Y1013,Y1013))</f>
        <v>0</v>
      </c>
      <c r="AL1013" s="39">
        <f>IF(B1013="","",IF(H1013="","Add - what kind of sale is this?",IF(IF(V1013&lt;=0,P1013="",FALSE),"Check - no price found for this item",IF(F1013="","Assign - nobody credited",IF(AH1013&gt;0.004,"Unpaid - balance outstanding",IF(AC1013&lt;0,"Loss - sold below cost",IF(X1013&gt;W1013*0.5,"Check - more than half off","OK")))))))</f>
        <v>0</v>
      </c>
    </row>
    <row r="1014" spans="1:38">
      <c r="A1014" s="28">
        <f>IF(B1014="","",SalePrefix&amp;TEXT(ROW()-4,"0000"))</f>
        <v>0</v>
      </c>
      <c r="E1014" s="15">
        <f>IF(D1014="","",IFERROR(INDEX(Clients!$B$5:$B$504,MATCH(D1014,Clients!$A$5:$A$504,0)),"Walk-in"))</f>
        <v>0</v>
      </c>
      <c r="G1014" s="15">
        <f>IF(F1014="","",IFERROR(INDEX(Staff!$B$5:$B$44,MATCH(F1014,Staff!$A$5:$A$44,0)),"House"))</f>
        <v>0</v>
      </c>
      <c r="R1014" s="15">
        <f>IF(B1014="","",TEXT(B1014,"yyyy-mm"))</f>
        <v>0</v>
      </c>
      <c r="S1014" s="25">
        <f>IF(B1014="","",WEEKNUM(B1014,2))</f>
        <v>0</v>
      </c>
      <c r="T1014" s="37">
        <f>IF(B1014="","",IF(K1014="",1,K1014))</f>
        <v>0</v>
      </c>
      <c r="U1014" s="15">
        <f>IF(B1014="","",IF(J1014&lt;&gt;"",J1014,IF(H1014="Retail",IFERROR(INDEX(Inventory!$B$5:$B$304,MATCH(I1014,Inventory!$A$5:$A$304,0))&amp;"","Not in Inventory"),IFERROR(INDEX(Services!$B$5:$B$204,MATCH(I1014,Services!$A$5:$A$204,0))&amp;"","Not in Services"))))</f>
        <v>0</v>
      </c>
      <c r="V1014" s="26">
        <f>IF(B1014="","",IF(L1014&lt;&gt;"",L1014,IF(H1014="Retail",IFERROR(INDEX(Inventory!$I$5:$I$304,MATCH(I1014,Inventory!$A$5:$A$304,0))*1,0),IFERROR(INDEX(Services!$G$5:$G$204,MATCH(I1014,Services!$A$5:$A$204,0))*1,0))))</f>
        <v>0</v>
      </c>
      <c r="W1014" s="26">
        <f>IF(B1014="","",ROUND(T1014*V1014,2))</f>
        <v>0</v>
      </c>
      <c r="X1014" s="26">
        <f>IF(B1014="","",ROUND(IF(M1014="",0,W1014*M1014)+IF(N1014="",0,N1014),2))</f>
        <v>0</v>
      </c>
      <c r="Y1014" s="26">
        <f>IF(B1014="","",ROUND(W1014-X1014-IF(P1014="",0,P1014),2))</f>
        <v>0</v>
      </c>
      <c r="Z1014" s="26">
        <f>IF(B1014="","",IF(H1014="Retail",IF(TaxOnRetail="Yes",ROUND(Y1014*TaxRate,2),0),IF(H1014="Service",IF(TaxOnServices="Yes",ROUND(Y1014*TaxRate,2),0),0)))</f>
        <v>0</v>
      </c>
      <c r="AA1014" s="26">
        <f>IF(B1014="","",ROUND(Y1014+Z1014,2))</f>
        <v>0</v>
      </c>
      <c r="AB1014" s="26">
        <f>IF(B1014="","",ROUND(T1014*IF(H1014="Retail",IFERROR(INDEX(Inventory!$H$5:$H$304,MATCH(I1014,Inventory!$A$5:$A$304,0))*1,0),IFERROR(INDEX(Services!$Q$5:$Q$204,MATCH(I1014,Services!$A$5:$A$204,0))*1,0)),2))</f>
        <v>0</v>
      </c>
      <c r="AC1014" s="26">
        <f>IF(B1014="","",ROUND(Y1014-AB1014,2))</f>
        <v>0</v>
      </c>
      <c r="AD1014" s="38">
        <f>IF(B1014="","",IF(C1014="","No",IF(COUNTIFS($C$5:C1014,C1014)=1,"Yes","No")))</f>
        <v>0</v>
      </c>
      <c r="AE1014" s="26">
        <f>IF(B1014="","",ROUND(SUMIFS(Payments!$G$5:$G$1204,Payments!$H$5:$H$1204,A1014,Payments!$Q$5:$Q$1204,"Yes"),2))</f>
        <v>0</v>
      </c>
      <c r="AF1014" s="26">
        <f>IF(B1014="","",IF(AD1014="No",0,ROUND(SUMIFS(Payments!$G$5:$G$1204,Payments!$I$5:$I$1204,C1014,Payments!$H$5:$H$1204,"",Payments!$Q$5:$Q$1204,"Yes"),2)))</f>
        <v>0</v>
      </c>
      <c r="AG1014" s="26">
        <f>IF(B1014="","",ROUND(AE1014+AF1014,2))</f>
        <v>0</v>
      </c>
      <c r="AH1014" s="26">
        <f>IF(B1014="","",ROUND(AA1014-AG1014,2))</f>
        <v>0</v>
      </c>
      <c r="AI1014" s="39">
        <f>IF(B1014="","",IF(AA1014&lt;=0,"No charge",IF(AH1014&lt;=0.004,"Paid",IF(AG1014&lt;=0.004,"Unpaid","Part paid"))))</f>
        <v>0</v>
      </c>
      <c r="AJ1014" s="38">
        <f>IF(B1014="","",IF(H1014&lt;&gt;"Service","",IF(D1014="","No",IF(COUNTIFS($D$5:$D$1204,D1014,$B$5:$B$1204,B1014,$H$5:$H$1204,"Retail")&gt;0,"Yes","No"))))</f>
        <v>0</v>
      </c>
      <c r="AK1014" s="25">
        <f>IF(B1014="","",COUNTIFS($Y$5:$Y$1204,"&gt;"&amp;Y1014)+COUNTIFS($Y$5:Y1014,Y1014))</f>
        <v>0</v>
      </c>
      <c r="AL1014" s="39">
        <f>IF(B1014="","",IF(H1014="","Add - what kind of sale is this?",IF(IF(V1014&lt;=0,P1014="",FALSE),"Check - no price found for this item",IF(F1014="","Assign - nobody credited",IF(AH1014&gt;0.004,"Unpaid - balance outstanding",IF(AC1014&lt;0,"Loss - sold below cost",IF(X1014&gt;W1014*0.5,"Check - more than half off","OK")))))))</f>
        <v>0</v>
      </c>
    </row>
    <row r="1015" spans="1:38">
      <c r="A1015" s="28">
        <f>IF(B1015="","",SalePrefix&amp;TEXT(ROW()-4,"0000"))</f>
        <v>0</v>
      </c>
      <c r="E1015" s="15">
        <f>IF(D1015="","",IFERROR(INDEX(Clients!$B$5:$B$504,MATCH(D1015,Clients!$A$5:$A$504,0)),"Walk-in"))</f>
        <v>0</v>
      </c>
      <c r="G1015" s="15">
        <f>IF(F1015="","",IFERROR(INDEX(Staff!$B$5:$B$44,MATCH(F1015,Staff!$A$5:$A$44,0)),"House"))</f>
        <v>0</v>
      </c>
      <c r="R1015" s="15">
        <f>IF(B1015="","",TEXT(B1015,"yyyy-mm"))</f>
        <v>0</v>
      </c>
      <c r="S1015" s="25">
        <f>IF(B1015="","",WEEKNUM(B1015,2))</f>
        <v>0</v>
      </c>
      <c r="T1015" s="37">
        <f>IF(B1015="","",IF(K1015="",1,K1015))</f>
        <v>0</v>
      </c>
      <c r="U1015" s="15">
        <f>IF(B1015="","",IF(J1015&lt;&gt;"",J1015,IF(H1015="Retail",IFERROR(INDEX(Inventory!$B$5:$B$304,MATCH(I1015,Inventory!$A$5:$A$304,0))&amp;"","Not in Inventory"),IFERROR(INDEX(Services!$B$5:$B$204,MATCH(I1015,Services!$A$5:$A$204,0))&amp;"","Not in Services"))))</f>
        <v>0</v>
      </c>
      <c r="V1015" s="26">
        <f>IF(B1015="","",IF(L1015&lt;&gt;"",L1015,IF(H1015="Retail",IFERROR(INDEX(Inventory!$I$5:$I$304,MATCH(I1015,Inventory!$A$5:$A$304,0))*1,0),IFERROR(INDEX(Services!$G$5:$G$204,MATCH(I1015,Services!$A$5:$A$204,0))*1,0))))</f>
        <v>0</v>
      </c>
      <c r="W1015" s="26">
        <f>IF(B1015="","",ROUND(T1015*V1015,2))</f>
        <v>0</v>
      </c>
      <c r="X1015" s="26">
        <f>IF(B1015="","",ROUND(IF(M1015="",0,W1015*M1015)+IF(N1015="",0,N1015),2))</f>
        <v>0</v>
      </c>
      <c r="Y1015" s="26">
        <f>IF(B1015="","",ROUND(W1015-X1015-IF(P1015="",0,P1015),2))</f>
        <v>0</v>
      </c>
      <c r="Z1015" s="26">
        <f>IF(B1015="","",IF(H1015="Retail",IF(TaxOnRetail="Yes",ROUND(Y1015*TaxRate,2),0),IF(H1015="Service",IF(TaxOnServices="Yes",ROUND(Y1015*TaxRate,2),0),0)))</f>
        <v>0</v>
      </c>
      <c r="AA1015" s="26">
        <f>IF(B1015="","",ROUND(Y1015+Z1015,2))</f>
        <v>0</v>
      </c>
      <c r="AB1015" s="26">
        <f>IF(B1015="","",ROUND(T1015*IF(H1015="Retail",IFERROR(INDEX(Inventory!$H$5:$H$304,MATCH(I1015,Inventory!$A$5:$A$304,0))*1,0),IFERROR(INDEX(Services!$Q$5:$Q$204,MATCH(I1015,Services!$A$5:$A$204,0))*1,0)),2))</f>
        <v>0</v>
      </c>
      <c r="AC1015" s="26">
        <f>IF(B1015="","",ROUND(Y1015-AB1015,2))</f>
        <v>0</v>
      </c>
      <c r="AD1015" s="38">
        <f>IF(B1015="","",IF(C1015="","No",IF(COUNTIFS($C$5:C1015,C1015)=1,"Yes","No")))</f>
        <v>0</v>
      </c>
      <c r="AE1015" s="26">
        <f>IF(B1015="","",ROUND(SUMIFS(Payments!$G$5:$G$1204,Payments!$H$5:$H$1204,A1015,Payments!$Q$5:$Q$1204,"Yes"),2))</f>
        <v>0</v>
      </c>
      <c r="AF1015" s="26">
        <f>IF(B1015="","",IF(AD1015="No",0,ROUND(SUMIFS(Payments!$G$5:$G$1204,Payments!$I$5:$I$1204,C1015,Payments!$H$5:$H$1204,"",Payments!$Q$5:$Q$1204,"Yes"),2)))</f>
        <v>0</v>
      </c>
      <c r="AG1015" s="26">
        <f>IF(B1015="","",ROUND(AE1015+AF1015,2))</f>
        <v>0</v>
      </c>
      <c r="AH1015" s="26">
        <f>IF(B1015="","",ROUND(AA1015-AG1015,2))</f>
        <v>0</v>
      </c>
      <c r="AI1015" s="39">
        <f>IF(B1015="","",IF(AA1015&lt;=0,"No charge",IF(AH1015&lt;=0.004,"Paid",IF(AG1015&lt;=0.004,"Unpaid","Part paid"))))</f>
        <v>0</v>
      </c>
      <c r="AJ1015" s="38">
        <f>IF(B1015="","",IF(H1015&lt;&gt;"Service","",IF(D1015="","No",IF(COUNTIFS($D$5:$D$1204,D1015,$B$5:$B$1204,B1015,$H$5:$H$1204,"Retail")&gt;0,"Yes","No"))))</f>
        <v>0</v>
      </c>
      <c r="AK1015" s="25">
        <f>IF(B1015="","",COUNTIFS($Y$5:$Y$1204,"&gt;"&amp;Y1015)+COUNTIFS($Y$5:Y1015,Y1015))</f>
        <v>0</v>
      </c>
      <c r="AL1015" s="39">
        <f>IF(B1015="","",IF(H1015="","Add - what kind of sale is this?",IF(IF(V1015&lt;=0,P1015="",FALSE),"Check - no price found for this item",IF(F1015="","Assign - nobody credited",IF(AH1015&gt;0.004,"Unpaid - balance outstanding",IF(AC1015&lt;0,"Loss - sold below cost",IF(X1015&gt;W1015*0.5,"Check - more than half off","OK")))))))</f>
        <v>0</v>
      </c>
    </row>
    <row r="1016" spans="1:38">
      <c r="A1016" s="28">
        <f>IF(B1016="","",SalePrefix&amp;TEXT(ROW()-4,"0000"))</f>
        <v>0</v>
      </c>
      <c r="E1016" s="15">
        <f>IF(D1016="","",IFERROR(INDEX(Clients!$B$5:$B$504,MATCH(D1016,Clients!$A$5:$A$504,0)),"Walk-in"))</f>
        <v>0</v>
      </c>
      <c r="G1016" s="15">
        <f>IF(F1016="","",IFERROR(INDEX(Staff!$B$5:$B$44,MATCH(F1016,Staff!$A$5:$A$44,0)),"House"))</f>
        <v>0</v>
      </c>
      <c r="R1016" s="15">
        <f>IF(B1016="","",TEXT(B1016,"yyyy-mm"))</f>
        <v>0</v>
      </c>
      <c r="S1016" s="25">
        <f>IF(B1016="","",WEEKNUM(B1016,2))</f>
        <v>0</v>
      </c>
      <c r="T1016" s="37">
        <f>IF(B1016="","",IF(K1016="",1,K1016))</f>
        <v>0</v>
      </c>
      <c r="U1016" s="15">
        <f>IF(B1016="","",IF(J1016&lt;&gt;"",J1016,IF(H1016="Retail",IFERROR(INDEX(Inventory!$B$5:$B$304,MATCH(I1016,Inventory!$A$5:$A$304,0))&amp;"","Not in Inventory"),IFERROR(INDEX(Services!$B$5:$B$204,MATCH(I1016,Services!$A$5:$A$204,0))&amp;"","Not in Services"))))</f>
        <v>0</v>
      </c>
      <c r="V1016" s="26">
        <f>IF(B1016="","",IF(L1016&lt;&gt;"",L1016,IF(H1016="Retail",IFERROR(INDEX(Inventory!$I$5:$I$304,MATCH(I1016,Inventory!$A$5:$A$304,0))*1,0),IFERROR(INDEX(Services!$G$5:$G$204,MATCH(I1016,Services!$A$5:$A$204,0))*1,0))))</f>
        <v>0</v>
      </c>
      <c r="W1016" s="26">
        <f>IF(B1016="","",ROUND(T1016*V1016,2))</f>
        <v>0</v>
      </c>
      <c r="X1016" s="26">
        <f>IF(B1016="","",ROUND(IF(M1016="",0,W1016*M1016)+IF(N1016="",0,N1016),2))</f>
        <v>0</v>
      </c>
      <c r="Y1016" s="26">
        <f>IF(B1016="","",ROUND(W1016-X1016-IF(P1016="",0,P1016),2))</f>
        <v>0</v>
      </c>
      <c r="Z1016" s="26">
        <f>IF(B1016="","",IF(H1016="Retail",IF(TaxOnRetail="Yes",ROUND(Y1016*TaxRate,2),0),IF(H1016="Service",IF(TaxOnServices="Yes",ROUND(Y1016*TaxRate,2),0),0)))</f>
        <v>0</v>
      </c>
      <c r="AA1016" s="26">
        <f>IF(B1016="","",ROUND(Y1016+Z1016,2))</f>
        <v>0</v>
      </c>
      <c r="AB1016" s="26">
        <f>IF(B1016="","",ROUND(T1016*IF(H1016="Retail",IFERROR(INDEX(Inventory!$H$5:$H$304,MATCH(I1016,Inventory!$A$5:$A$304,0))*1,0),IFERROR(INDEX(Services!$Q$5:$Q$204,MATCH(I1016,Services!$A$5:$A$204,0))*1,0)),2))</f>
        <v>0</v>
      </c>
      <c r="AC1016" s="26">
        <f>IF(B1016="","",ROUND(Y1016-AB1016,2))</f>
        <v>0</v>
      </c>
      <c r="AD1016" s="38">
        <f>IF(B1016="","",IF(C1016="","No",IF(COUNTIFS($C$5:C1016,C1016)=1,"Yes","No")))</f>
        <v>0</v>
      </c>
      <c r="AE1016" s="26">
        <f>IF(B1016="","",ROUND(SUMIFS(Payments!$G$5:$G$1204,Payments!$H$5:$H$1204,A1016,Payments!$Q$5:$Q$1204,"Yes"),2))</f>
        <v>0</v>
      </c>
      <c r="AF1016" s="26">
        <f>IF(B1016="","",IF(AD1016="No",0,ROUND(SUMIFS(Payments!$G$5:$G$1204,Payments!$I$5:$I$1204,C1016,Payments!$H$5:$H$1204,"",Payments!$Q$5:$Q$1204,"Yes"),2)))</f>
        <v>0</v>
      </c>
      <c r="AG1016" s="26">
        <f>IF(B1016="","",ROUND(AE1016+AF1016,2))</f>
        <v>0</v>
      </c>
      <c r="AH1016" s="26">
        <f>IF(B1016="","",ROUND(AA1016-AG1016,2))</f>
        <v>0</v>
      </c>
      <c r="AI1016" s="39">
        <f>IF(B1016="","",IF(AA1016&lt;=0,"No charge",IF(AH1016&lt;=0.004,"Paid",IF(AG1016&lt;=0.004,"Unpaid","Part paid"))))</f>
        <v>0</v>
      </c>
      <c r="AJ1016" s="38">
        <f>IF(B1016="","",IF(H1016&lt;&gt;"Service","",IF(D1016="","No",IF(COUNTIFS($D$5:$D$1204,D1016,$B$5:$B$1204,B1016,$H$5:$H$1204,"Retail")&gt;0,"Yes","No"))))</f>
        <v>0</v>
      </c>
      <c r="AK1016" s="25">
        <f>IF(B1016="","",COUNTIFS($Y$5:$Y$1204,"&gt;"&amp;Y1016)+COUNTIFS($Y$5:Y1016,Y1016))</f>
        <v>0</v>
      </c>
      <c r="AL1016" s="39">
        <f>IF(B1016="","",IF(H1016="","Add - what kind of sale is this?",IF(IF(V1016&lt;=0,P1016="",FALSE),"Check - no price found for this item",IF(F1016="","Assign - nobody credited",IF(AH1016&gt;0.004,"Unpaid - balance outstanding",IF(AC1016&lt;0,"Loss - sold below cost",IF(X1016&gt;W1016*0.5,"Check - more than half off","OK")))))))</f>
        <v>0</v>
      </c>
    </row>
    <row r="1017" spans="1:38">
      <c r="A1017" s="28">
        <f>IF(B1017="","",SalePrefix&amp;TEXT(ROW()-4,"0000"))</f>
        <v>0</v>
      </c>
      <c r="E1017" s="15">
        <f>IF(D1017="","",IFERROR(INDEX(Clients!$B$5:$B$504,MATCH(D1017,Clients!$A$5:$A$504,0)),"Walk-in"))</f>
        <v>0</v>
      </c>
      <c r="G1017" s="15">
        <f>IF(F1017="","",IFERROR(INDEX(Staff!$B$5:$B$44,MATCH(F1017,Staff!$A$5:$A$44,0)),"House"))</f>
        <v>0</v>
      </c>
      <c r="R1017" s="15">
        <f>IF(B1017="","",TEXT(B1017,"yyyy-mm"))</f>
        <v>0</v>
      </c>
      <c r="S1017" s="25">
        <f>IF(B1017="","",WEEKNUM(B1017,2))</f>
        <v>0</v>
      </c>
      <c r="T1017" s="37">
        <f>IF(B1017="","",IF(K1017="",1,K1017))</f>
        <v>0</v>
      </c>
      <c r="U1017" s="15">
        <f>IF(B1017="","",IF(J1017&lt;&gt;"",J1017,IF(H1017="Retail",IFERROR(INDEX(Inventory!$B$5:$B$304,MATCH(I1017,Inventory!$A$5:$A$304,0))&amp;"","Not in Inventory"),IFERROR(INDEX(Services!$B$5:$B$204,MATCH(I1017,Services!$A$5:$A$204,0))&amp;"","Not in Services"))))</f>
        <v>0</v>
      </c>
      <c r="V1017" s="26">
        <f>IF(B1017="","",IF(L1017&lt;&gt;"",L1017,IF(H1017="Retail",IFERROR(INDEX(Inventory!$I$5:$I$304,MATCH(I1017,Inventory!$A$5:$A$304,0))*1,0),IFERROR(INDEX(Services!$G$5:$G$204,MATCH(I1017,Services!$A$5:$A$204,0))*1,0))))</f>
        <v>0</v>
      </c>
      <c r="W1017" s="26">
        <f>IF(B1017="","",ROUND(T1017*V1017,2))</f>
        <v>0</v>
      </c>
      <c r="X1017" s="26">
        <f>IF(B1017="","",ROUND(IF(M1017="",0,W1017*M1017)+IF(N1017="",0,N1017),2))</f>
        <v>0</v>
      </c>
      <c r="Y1017" s="26">
        <f>IF(B1017="","",ROUND(W1017-X1017-IF(P1017="",0,P1017),2))</f>
        <v>0</v>
      </c>
      <c r="Z1017" s="26">
        <f>IF(B1017="","",IF(H1017="Retail",IF(TaxOnRetail="Yes",ROUND(Y1017*TaxRate,2),0),IF(H1017="Service",IF(TaxOnServices="Yes",ROUND(Y1017*TaxRate,2),0),0)))</f>
        <v>0</v>
      </c>
      <c r="AA1017" s="26">
        <f>IF(B1017="","",ROUND(Y1017+Z1017,2))</f>
        <v>0</v>
      </c>
      <c r="AB1017" s="26">
        <f>IF(B1017="","",ROUND(T1017*IF(H1017="Retail",IFERROR(INDEX(Inventory!$H$5:$H$304,MATCH(I1017,Inventory!$A$5:$A$304,0))*1,0),IFERROR(INDEX(Services!$Q$5:$Q$204,MATCH(I1017,Services!$A$5:$A$204,0))*1,0)),2))</f>
        <v>0</v>
      </c>
      <c r="AC1017" s="26">
        <f>IF(B1017="","",ROUND(Y1017-AB1017,2))</f>
        <v>0</v>
      </c>
      <c r="AD1017" s="38">
        <f>IF(B1017="","",IF(C1017="","No",IF(COUNTIFS($C$5:C1017,C1017)=1,"Yes","No")))</f>
        <v>0</v>
      </c>
      <c r="AE1017" s="26">
        <f>IF(B1017="","",ROUND(SUMIFS(Payments!$G$5:$G$1204,Payments!$H$5:$H$1204,A1017,Payments!$Q$5:$Q$1204,"Yes"),2))</f>
        <v>0</v>
      </c>
      <c r="AF1017" s="26">
        <f>IF(B1017="","",IF(AD1017="No",0,ROUND(SUMIFS(Payments!$G$5:$G$1204,Payments!$I$5:$I$1204,C1017,Payments!$H$5:$H$1204,"",Payments!$Q$5:$Q$1204,"Yes"),2)))</f>
        <v>0</v>
      </c>
      <c r="AG1017" s="26">
        <f>IF(B1017="","",ROUND(AE1017+AF1017,2))</f>
        <v>0</v>
      </c>
      <c r="AH1017" s="26">
        <f>IF(B1017="","",ROUND(AA1017-AG1017,2))</f>
        <v>0</v>
      </c>
      <c r="AI1017" s="39">
        <f>IF(B1017="","",IF(AA1017&lt;=0,"No charge",IF(AH1017&lt;=0.004,"Paid",IF(AG1017&lt;=0.004,"Unpaid","Part paid"))))</f>
        <v>0</v>
      </c>
      <c r="AJ1017" s="38">
        <f>IF(B1017="","",IF(H1017&lt;&gt;"Service","",IF(D1017="","No",IF(COUNTIFS($D$5:$D$1204,D1017,$B$5:$B$1204,B1017,$H$5:$H$1204,"Retail")&gt;0,"Yes","No"))))</f>
        <v>0</v>
      </c>
      <c r="AK1017" s="25">
        <f>IF(B1017="","",COUNTIFS($Y$5:$Y$1204,"&gt;"&amp;Y1017)+COUNTIFS($Y$5:Y1017,Y1017))</f>
        <v>0</v>
      </c>
      <c r="AL1017" s="39">
        <f>IF(B1017="","",IF(H1017="","Add - what kind of sale is this?",IF(IF(V1017&lt;=0,P1017="",FALSE),"Check - no price found for this item",IF(F1017="","Assign - nobody credited",IF(AH1017&gt;0.004,"Unpaid - balance outstanding",IF(AC1017&lt;0,"Loss - sold below cost",IF(X1017&gt;W1017*0.5,"Check - more than half off","OK")))))))</f>
        <v>0</v>
      </c>
    </row>
    <row r="1018" spans="1:38">
      <c r="A1018" s="28">
        <f>IF(B1018="","",SalePrefix&amp;TEXT(ROW()-4,"0000"))</f>
        <v>0</v>
      </c>
      <c r="E1018" s="15">
        <f>IF(D1018="","",IFERROR(INDEX(Clients!$B$5:$B$504,MATCH(D1018,Clients!$A$5:$A$504,0)),"Walk-in"))</f>
        <v>0</v>
      </c>
      <c r="G1018" s="15">
        <f>IF(F1018="","",IFERROR(INDEX(Staff!$B$5:$B$44,MATCH(F1018,Staff!$A$5:$A$44,0)),"House"))</f>
        <v>0</v>
      </c>
      <c r="R1018" s="15">
        <f>IF(B1018="","",TEXT(B1018,"yyyy-mm"))</f>
        <v>0</v>
      </c>
      <c r="S1018" s="25">
        <f>IF(B1018="","",WEEKNUM(B1018,2))</f>
        <v>0</v>
      </c>
      <c r="T1018" s="37">
        <f>IF(B1018="","",IF(K1018="",1,K1018))</f>
        <v>0</v>
      </c>
      <c r="U1018" s="15">
        <f>IF(B1018="","",IF(J1018&lt;&gt;"",J1018,IF(H1018="Retail",IFERROR(INDEX(Inventory!$B$5:$B$304,MATCH(I1018,Inventory!$A$5:$A$304,0))&amp;"","Not in Inventory"),IFERROR(INDEX(Services!$B$5:$B$204,MATCH(I1018,Services!$A$5:$A$204,0))&amp;"","Not in Services"))))</f>
        <v>0</v>
      </c>
      <c r="V1018" s="26">
        <f>IF(B1018="","",IF(L1018&lt;&gt;"",L1018,IF(H1018="Retail",IFERROR(INDEX(Inventory!$I$5:$I$304,MATCH(I1018,Inventory!$A$5:$A$304,0))*1,0),IFERROR(INDEX(Services!$G$5:$G$204,MATCH(I1018,Services!$A$5:$A$204,0))*1,0))))</f>
        <v>0</v>
      </c>
      <c r="W1018" s="26">
        <f>IF(B1018="","",ROUND(T1018*V1018,2))</f>
        <v>0</v>
      </c>
      <c r="X1018" s="26">
        <f>IF(B1018="","",ROUND(IF(M1018="",0,W1018*M1018)+IF(N1018="",0,N1018),2))</f>
        <v>0</v>
      </c>
      <c r="Y1018" s="26">
        <f>IF(B1018="","",ROUND(W1018-X1018-IF(P1018="",0,P1018),2))</f>
        <v>0</v>
      </c>
      <c r="Z1018" s="26">
        <f>IF(B1018="","",IF(H1018="Retail",IF(TaxOnRetail="Yes",ROUND(Y1018*TaxRate,2),0),IF(H1018="Service",IF(TaxOnServices="Yes",ROUND(Y1018*TaxRate,2),0),0)))</f>
        <v>0</v>
      </c>
      <c r="AA1018" s="26">
        <f>IF(B1018="","",ROUND(Y1018+Z1018,2))</f>
        <v>0</v>
      </c>
      <c r="AB1018" s="26">
        <f>IF(B1018="","",ROUND(T1018*IF(H1018="Retail",IFERROR(INDEX(Inventory!$H$5:$H$304,MATCH(I1018,Inventory!$A$5:$A$304,0))*1,0),IFERROR(INDEX(Services!$Q$5:$Q$204,MATCH(I1018,Services!$A$5:$A$204,0))*1,0)),2))</f>
        <v>0</v>
      </c>
      <c r="AC1018" s="26">
        <f>IF(B1018="","",ROUND(Y1018-AB1018,2))</f>
        <v>0</v>
      </c>
      <c r="AD1018" s="38">
        <f>IF(B1018="","",IF(C1018="","No",IF(COUNTIFS($C$5:C1018,C1018)=1,"Yes","No")))</f>
        <v>0</v>
      </c>
      <c r="AE1018" s="26">
        <f>IF(B1018="","",ROUND(SUMIFS(Payments!$G$5:$G$1204,Payments!$H$5:$H$1204,A1018,Payments!$Q$5:$Q$1204,"Yes"),2))</f>
        <v>0</v>
      </c>
      <c r="AF1018" s="26">
        <f>IF(B1018="","",IF(AD1018="No",0,ROUND(SUMIFS(Payments!$G$5:$G$1204,Payments!$I$5:$I$1204,C1018,Payments!$H$5:$H$1204,"",Payments!$Q$5:$Q$1204,"Yes"),2)))</f>
        <v>0</v>
      </c>
      <c r="AG1018" s="26">
        <f>IF(B1018="","",ROUND(AE1018+AF1018,2))</f>
        <v>0</v>
      </c>
      <c r="AH1018" s="26">
        <f>IF(B1018="","",ROUND(AA1018-AG1018,2))</f>
        <v>0</v>
      </c>
      <c r="AI1018" s="39">
        <f>IF(B1018="","",IF(AA1018&lt;=0,"No charge",IF(AH1018&lt;=0.004,"Paid",IF(AG1018&lt;=0.004,"Unpaid","Part paid"))))</f>
        <v>0</v>
      </c>
      <c r="AJ1018" s="38">
        <f>IF(B1018="","",IF(H1018&lt;&gt;"Service","",IF(D1018="","No",IF(COUNTIFS($D$5:$D$1204,D1018,$B$5:$B$1204,B1018,$H$5:$H$1204,"Retail")&gt;0,"Yes","No"))))</f>
        <v>0</v>
      </c>
      <c r="AK1018" s="25">
        <f>IF(B1018="","",COUNTIFS($Y$5:$Y$1204,"&gt;"&amp;Y1018)+COUNTIFS($Y$5:Y1018,Y1018))</f>
        <v>0</v>
      </c>
      <c r="AL1018" s="39">
        <f>IF(B1018="","",IF(H1018="","Add - what kind of sale is this?",IF(IF(V1018&lt;=0,P1018="",FALSE),"Check - no price found for this item",IF(F1018="","Assign - nobody credited",IF(AH1018&gt;0.004,"Unpaid - balance outstanding",IF(AC1018&lt;0,"Loss - sold below cost",IF(X1018&gt;W1018*0.5,"Check - more than half off","OK")))))))</f>
        <v>0</v>
      </c>
    </row>
    <row r="1019" spans="1:38">
      <c r="A1019" s="28">
        <f>IF(B1019="","",SalePrefix&amp;TEXT(ROW()-4,"0000"))</f>
        <v>0</v>
      </c>
      <c r="E1019" s="15">
        <f>IF(D1019="","",IFERROR(INDEX(Clients!$B$5:$B$504,MATCH(D1019,Clients!$A$5:$A$504,0)),"Walk-in"))</f>
        <v>0</v>
      </c>
      <c r="G1019" s="15">
        <f>IF(F1019="","",IFERROR(INDEX(Staff!$B$5:$B$44,MATCH(F1019,Staff!$A$5:$A$44,0)),"House"))</f>
        <v>0</v>
      </c>
      <c r="R1019" s="15">
        <f>IF(B1019="","",TEXT(B1019,"yyyy-mm"))</f>
        <v>0</v>
      </c>
      <c r="S1019" s="25">
        <f>IF(B1019="","",WEEKNUM(B1019,2))</f>
        <v>0</v>
      </c>
      <c r="T1019" s="37">
        <f>IF(B1019="","",IF(K1019="",1,K1019))</f>
        <v>0</v>
      </c>
      <c r="U1019" s="15">
        <f>IF(B1019="","",IF(J1019&lt;&gt;"",J1019,IF(H1019="Retail",IFERROR(INDEX(Inventory!$B$5:$B$304,MATCH(I1019,Inventory!$A$5:$A$304,0))&amp;"","Not in Inventory"),IFERROR(INDEX(Services!$B$5:$B$204,MATCH(I1019,Services!$A$5:$A$204,0))&amp;"","Not in Services"))))</f>
        <v>0</v>
      </c>
      <c r="V1019" s="26">
        <f>IF(B1019="","",IF(L1019&lt;&gt;"",L1019,IF(H1019="Retail",IFERROR(INDEX(Inventory!$I$5:$I$304,MATCH(I1019,Inventory!$A$5:$A$304,0))*1,0),IFERROR(INDEX(Services!$G$5:$G$204,MATCH(I1019,Services!$A$5:$A$204,0))*1,0))))</f>
        <v>0</v>
      </c>
      <c r="W1019" s="26">
        <f>IF(B1019="","",ROUND(T1019*V1019,2))</f>
        <v>0</v>
      </c>
      <c r="X1019" s="26">
        <f>IF(B1019="","",ROUND(IF(M1019="",0,W1019*M1019)+IF(N1019="",0,N1019),2))</f>
        <v>0</v>
      </c>
      <c r="Y1019" s="26">
        <f>IF(B1019="","",ROUND(W1019-X1019-IF(P1019="",0,P1019),2))</f>
        <v>0</v>
      </c>
      <c r="Z1019" s="26">
        <f>IF(B1019="","",IF(H1019="Retail",IF(TaxOnRetail="Yes",ROUND(Y1019*TaxRate,2),0),IF(H1019="Service",IF(TaxOnServices="Yes",ROUND(Y1019*TaxRate,2),0),0)))</f>
        <v>0</v>
      </c>
      <c r="AA1019" s="26">
        <f>IF(B1019="","",ROUND(Y1019+Z1019,2))</f>
        <v>0</v>
      </c>
      <c r="AB1019" s="26">
        <f>IF(B1019="","",ROUND(T1019*IF(H1019="Retail",IFERROR(INDEX(Inventory!$H$5:$H$304,MATCH(I1019,Inventory!$A$5:$A$304,0))*1,0),IFERROR(INDEX(Services!$Q$5:$Q$204,MATCH(I1019,Services!$A$5:$A$204,0))*1,0)),2))</f>
        <v>0</v>
      </c>
      <c r="AC1019" s="26">
        <f>IF(B1019="","",ROUND(Y1019-AB1019,2))</f>
        <v>0</v>
      </c>
      <c r="AD1019" s="38">
        <f>IF(B1019="","",IF(C1019="","No",IF(COUNTIFS($C$5:C1019,C1019)=1,"Yes","No")))</f>
        <v>0</v>
      </c>
      <c r="AE1019" s="26">
        <f>IF(B1019="","",ROUND(SUMIFS(Payments!$G$5:$G$1204,Payments!$H$5:$H$1204,A1019,Payments!$Q$5:$Q$1204,"Yes"),2))</f>
        <v>0</v>
      </c>
      <c r="AF1019" s="26">
        <f>IF(B1019="","",IF(AD1019="No",0,ROUND(SUMIFS(Payments!$G$5:$G$1204,Payments!$I$5:$I$1204,C1019,Payments!$H$5:$H$1204,"",Payments!$Q$5:$Q$1204,"Yes"),2)))</f>
        <v>0</v>
      </c>
      <c r="AG1019" s="26">
        <f>IF(B1019="","",ROUND(AE1019+AF1019,2))</f>
        <v>0</v>
      </c>
      <c r="AH1019" s="26">
        <f>IF(B1019="","",ROUND(AA1019-AG1019,2))</f>
        <v>0</v>
      </c>
      <c r="AI1019" s="39">
        <f>IF(B1019="","",IF(AA1019&lt;=0,"No charge",IF(AH1019&lt;=0.004,"Paid",IF(AG1019&lt;=0.004,"Unpaid","Part paid"))))</f>
        <v>0</v>
      </c>
      <c r="AJ1019" s="38">
        <f>IF(B1019="","",IF(H1019&lt;&gt;"Service","",IF(D1019="","No",IF(COUNTIFS($D$5:$D$1204,D1019,$B$5:$B$1204,B1019,$H$5:$H$1204,"Retail")&gt;0,"Yes","No"))))</f>
        <v>0</v>
      </c>
      <c r="AK1019" s="25">
        <f>IF(B1019="","",COUNTIFS($Y$5:$Y$1204,"&gt;"&amp;Y1019)+COUNTIFS($Y$5:Y1019,Y1019))</f>
        <v>0</v>
      </c>
      <c r="AL1019" s="39">
        <f>IF(B1019="","",IF(H1019="","Add - what kind of sale is this?",IF(IF(V1019&lt;=0,P1019="",FALSE),"Check - no price found for this item",IF(F1019="","Assign - nobody credited",IF(AH1019&gt;0.004,"Unpaid - balance outstanding",IF(AC1019&lt;0,"Loss - sold below cost",IF(X1019&gt;W1019*0.5,"Check - more than half off","OK")))))))</f>
        <v>0</v>
      </c>
    </row>
    <row r="1020" spans="1:38">
      <c r="A1020" s="28">
        <f>IF(B1020="","",SalePrefix&amp;TEXT(ROW()-4,"0000"))</f>
        <v>0</v>
      </c>
      <c r="E1020" s="15">
        <f>IF(D1020="","",IFERROR(INDEX(Clients!$B$5:$B$504,MATCH(D1020,Clients!$A$5:$A$504,0)),"Walk-in"))</f>
        <v>0</v>
      </c>
      <c r="G1020" s="15">
        <f>IF(F1020="","",IFERROR(INDEX(Staff!$B$5:$B$44,MATCH(F1020,Staff!$A$5:$A$44,0)),"House"))</f>
        <v>0</v>
      </c>
      <c r="R1020" s="15">
        <f>IF(B1020="","",TEXT(B1020,"yyyy-mm"))</f>
        <v>0</v>
      </c>
      <c r="S1020" s="25">
        <f>IF(B1020="","",WEEKNUM(B1020,2))</f>
        <v>0</v>
      </c>
      <c r="T1020" s="37">
        <f>IF(B1020="","",IF(K1020="",1,K1020))</f>
        <v>0</v>
      </c>
      <c r="U1020" s="15">
        <f>IF(B1020="","",IF(J1020&lt;&gt;"",J1020,IF(H1020="Retail",IFERROR(INDEX(Inventory!$B$5:$B$304,MATCH(I1020,Inventory!$A$5:$A$304,0))&amp;"","Not in Inventory"),IFERROR(INDEX(Services!$B$5:$B$204,MATCH(I1020,Services!$A$5:$A$204,0))&amp;"","Not in Services"))))</f>
        <v>0</v>
      </c>
      <c r="V1020" s="26">
        <f>IF(B1020="","",IF(L1020&lt;&gt;"",L1020,IF(H1020="Retail",IFERROR(INDEX(Inventory!$I$5:$I$304,MATCH(I1020,Inventory!$A$5:$A$304,0))*1,0),IFERROR(INDEX(Services!$G$5:$G$204,MATCH(I1020,Services!$A$5:$A$204,0))*1,0))))</f>
        <v>0</v>
      </c>
      <c r="W1020" s="26">
        <f>IF(B1020="","",ROUND(T1020*V1020,2))</f>
        <v>0</v>
      </c>
      <c r="X1020" s="26">
        <f>IF(B1020="","",ROUND(IF(M1020="",0,W1020*M1020)+IF(N1020="",0,N1020),2))</f>
        <v>0</v>
      </c>
      <c r="Y1020" s="26">
        <f>IF(B1020="","",ROUND(W1020-X1020-IF(P1020="",0,P1020),2))</f>
        <v>0</v>
      </c>
      <c r="Z1020" s="26">
        <f>IF(B1020="","",IF(H1020="Retail",IF(TaxOnRetail="Yes",ROUND(Y1020*TaxRate,2),0),IF(H1020="Service",IF(TaxOnServices="Yes",ROUND(Y1020*TaxRate,2),0),0)))</f>
        <v>0</v>
      </c>
      <c r="AA1020" s="26">
        <f>IF(B1020="","",ROUND(Y1020+Z1020,2))</f>
        <v>0</v>
      </c>
      <c r="AB1020" s="26">
        <f>IF(B1020="","",ROUND(T1020*IF(H1020="Retail",IFERROR(INDEX(Inventory!$H$5:$H$304,MATCH(I1020,Inventory!$A$5:$A$304,0))*1,0),IFERROR(INDEX(Services!$Q$5:$Q$204,MATCH(I1020,Services!$A$5:$A$204,0))*1,0)),2))</f>
        <v>0</v>
      </c>
      <c r="AC1020" s="26">
        <f>IF(B1020="","",ROUND(Y1020-AB1020,2))</f>
        <v>0</v>
      </c>
      <c r="AD1020" s="38">
        <f>IF(B1020="","",IF(C1020="","No",IF(COUNTIFS($C$5:C1020,C1020)=1,"Yes","No")))</f>
        <v>0</v>
      </c>
      <c r="AE1020" s="26">
        <f>IF(B1020="","",ROUND(SUMIFS(Payments!$G$5:$G$1204,Payments!$H$5:$H$1204,A1020,Payments!$Q$5:$Q$1204,"Yes"),2))</f>
        <v>0</v>
      </c>
      <c r="AF1020" s="26">
        <f>IF(B1020="","",IF(AD1020="No",0,ROUND(SUMIFS(Payments!$G$5:$G$1204,Payments!$I$5:$I$1204,C1020,Payments!$H$5:$H$1204,"",Payments!$Q$5:$Q$1204,"Yes"),2)))</f>
        <v>0</v>
      </c>
      <c r="AG1020" s="26">
        <f>IF(B1020="","",ROUND(AE1020+AF1020,2))</f>
        <v>0</v>
      </c>
      <c r="AH1020" s="26">
        <f>IF(B1020="","",ROUND(AA1020-AG1020,2))</f>
        <v>0</v>
      </c>
      <c r="AI1020" s="39">
        <f>IF(B1020="","",IF(AA1020&lt;=0,"No charge",IF(AH1020&lt;=0.004,"Paid",IF(AG1020&lt;=0.004,"Unpaid","Part paid"))))</f>
        <v>0</v>
      </c>
      <c r="AJ1020" s="38">
        <f>IF(B1020="","",IF(H1020&lt;&gt;"Service","",IF(D1020="","No",IF(COUNTIFS($D$5:$D$1204,D1020,$B$5:$B$1204,B1020,$H$5:$H$1204,"Retail")&gt;0,"Yes","No"))))</f>
        <v>0</v>
      </c>
      <c r="AK1020" s="25">
        <f>IF(B1020="","",COUNTIFS($Y$5:$Y$1204,"&gt;"&amp;Y1020)+COUNTIFS($Y$5:Y1020,Y1020))</f>
        <v>0</v>
      </c>
      <c r="AL1020" s="39">
        <f>IF(B1020="","",IF(H1020="","Add - what kind of sale is this?",IF(IF(V1020&lt;=0,P1020="",FALSE),"Check - no price found for this item",IF(F1020="","Assign - nobody credited",IF(AH1020&gt;0.004,"Unpaid - balance outstanding",IF(AC1020&lt;0,"Loss - sold below cost",IF(X1020&gt;W1020*0.5,"Check - more than half off","OK")))))))</f>
        <v>0</v>
      </c>
    </row>
    <row r="1021" spans="1:38">
      <c r="A1021" s="28">
        <f>IF(B1021="","",SalePrefix&amp;TEXT(ROW()-4,"0000"))</f>
        <v>0</v>
      </c>
      <c r="E1021" s="15">
        <f>IF(D1021="","",IFERROR(INDEX(Clients!$B$5:$B$504,MATCH(D1021,Clients!$A$5:$A$504,0)),"Walk-in"))</f>
        <v>0</v>
      </c>
      <c r="G1021" s="15">
        <f>IF(F1021="","",IFERROR(INDEX(Staff!$B$5:$B$44,MATCH(F1021,Staff!$A$5:$A$44,0)),"House"))</f>
        <v>0</v>
      </c>
      <c r="R1021" s="15">
        <f>IF(B1021="","",TEXT(B1021,"yyyy-mm"))</f>
        <v>0</v>
      </c>
      <c r="S1021" s="25">
        <f>IF(B1021="","",WEEKNUM(B1021,2))</f>
        <v>0</v>
      </c>
      <c r="T1021" s="37">
        <f>IF(B1021="","",IF(K1021="",1,K1021))</f>
        <v>0</v>
      </c>
      <c r="U1021" s="15">
        <f>IF(B1021="","",IF(J1021&lt;&gt;"",J1021,IF(H1021="Retail",IFERROR(INDEX(Inventory!$B$5:$B$304,MATCH(I1021,Inventory!$A$5:$A$304,0))&amp;"","Not in Inventory"),IFERROR(INDEX(Services!$B$5:$B$204,MATCH(I1021,Services!$A$5:$A$204,0))&amp;"","Not in Services"))))</f>
        <v>0</v>
      </c>
      <c r="V1021" s="26">
        <f>IF(B1021="","",IF(L1021&lt;&gt;"",L1021,IF(H1021="Retail",IFERROR(INDEX(Inventory!$I$5:$I$304,MATCH(I1021,Inventory!$A$5:$A$304,0))*1,0),IFERROR(INDEX(Services!$G$5:$G$204,MATCH(I1021,Services!$A$5:$A$204,0))*1,0))))</f>
        <v>0</v>
      </c>
      <c r="W1021" s="26">
        <f>IF(B1021="","",ROUND(T1021*V1021,2))</f>
        <v>0</v>
      </c>
      <c r="X1021" s="26">
        <f>IF(B1021="","",ROUND(IF(M1021="",0,W1021*M1021)+IF(N1021="",0,N1021),2))</f>
        <v>0</v>
      </c>
      <c r="Y1021" s="26">
        <f>IF(B1021="","",ROUND(W1021-X1021-IF(P1021="",0,P1021),2))</f>
        <v>0</v>
      </c>
      <c r="Z1021" s="26">
        <f>IF(B1021="","",IF(H1021="Retail",IF(TaxOnRetail="Yes",ROUND(Y1021*TaxRate,2),0),IF(H1021="Service",IF(TaxOnServices="Yes",ROUND(Y1021*TaxRate,2),0),0)))</f>
        <v>0</v>
      </c>
      <c r="AA1021" s="26">
        <f>IF(B1021="","",ROUND(Y1021+Z1021,2))</f>
        <v>0</v>
      </c>
      <c r="AB1021" s="26">
        <f>IF(B1021="","",ROUND(T1021*IF(H1021="Retail",IFERROR(INDEX(Inventory!$H$5:$H$304,MATCH(I1021,Inventory!$A$5:$A$304,0))*1,0),IFERROR(INDEX(Services!$Q$5:$Q$204,MATCH(I1021,Services!$A$5:$A$204,0))*1,0)),2))</f>
        <v>0</v>
      </c>
      <c r="AC1021" s="26">
        <f>IF(B1021="","",ROUND(Y1021-AB1021,2))</f>
        <v>0</v>
      </c>
      <c r="AD1021" s="38">
        <f>IF(B1021="","",IF(C1021="","No",IF(COUNTIFS($C$5:C1021,C1021)=1,"Yes","No")))</f>
        <v>0</v>
      </c>
      <c r="AE1021" s="26">
        <f>IF(B1021="","",ROUND(SUMIFS(Payments!$G$5:$G$1204,Payments!$H$5:$H$1204,A1021,Payments!$Q$5:$Q$1204,"Yes"),2))</f>
        <v>0</v>
      </c>
      <c r="AF1021" s="26">
        <f>IF(B1021="","",IF(AD1021="No",0,ROUND(SUMIFS(Payments!$G$5:$G$1204,Payments!$I$5:$I$1204,C1021,Payments!$H$5:$H$1204,"",Payments!$Q$5:$Q$1204,"Yes"),2)))</f>
        <v>0</v>
      </c>
      <c r="AG1021" s="26">
        <f>IF(B1021="","",ROUND(AE1021+AF1021,2))</f>
        <v>0</v>
      </c>
      <c r="AH1021" s="26">
        <f>IF(B1021="","",ROUND(AA1021-AG1021,2))</f>
        <v>0</v>
      </c>
      <c r="AI1021" s="39">
        <f>IF(B1021="","",IF(AA1021&lt;=0,"No charge",IF(AH1021&lt;=0.004,"Paid",IF(AG1021&lt;=0.004,"Unpaid","Part paid"))))</f>
        <v>0</v>
      </c>
      <c r="AJ1021" s="38">
        <f>IF(B1021="","",IF(H1021&lt;&gt;"Service","",IF(D1021="","No",IF(COUNTIFS($D$5:$D$1204,D1021,$B$5:$B$1204,B1021,$H$5:$H$1204,"Retail")&gt;0,"Yes","No"))))</f>
        <v>0</v>
      </c>
      <c r="AK1021" s="25">
        <f>IF(B1021="","",COUNTIFS($Y$5:$Y$1204,"&gt;"&amp;Y1021)+COUNTIFS($Y$5:Y1021,Y1021))</f>
        <v>0</v>
      </c>
      <c r="AL1021" s="39">
        <f>IF(B1021="","",IF(H1021="","Add - what kind of sale is this?",IF(IF(V1021&lt;=0,P1021="",FALSE),"Check - no price found for this item",IF(F1021="","Assign - nobody credited",IF(AH1021&gt;0.004,"Unpaid - balance outstanding",IF(AC1021&lt;0,"Loss - sold below cost",IF(X1021&gt;W1021*0.5,"Check - more than half off","OK")))))))</f>
        <v>0</v>
      </c>
    </row>
    <row r="1022" spans="1:38">
      <c r="A1022" s="28">
        <f>IF(B1022="","",SalePrefix&amp;TEXT(ROW()-4,"0000"))</f>
        <v>0</v>
      </c>
      <c r="E1022" s="15">
        <f>IF(D1022="","",IFERROR(INDEX(Clients!$B$5:$B$504,MATCH(D1022,Clients!$A$5:$A$504,0)),"Walk-in"))</f>
        <v>0</v>
      </c>
      <c r="G1022" s="15">
        <f>IF(F1022="","",IFERROR(INDEX(Staff!$B$5:$B$44,MATCH(F1022,Staff!$A$5:$A$44,0)),"House"))</f>
        <v>0</v>
      </c>
      <c r="R1022" s="15">
        <f>IF(B1022="","",TEXT(B1022,"yyyy-mm"))</f>
        <v>0</v>
      </c>
      <c r="S1022" s="25">
        <f>IF(B1022="","",WEEKNUM(B1022,2))</f>
        <v>0</v>
      </c>
      <c r="T1022" s="37">
        <f>IF(B1022="","",IF(K1022="",1,K1022))</f>
        <v>0</v>
      </c>
      <c r="U1022" s="15">
        <f>IF(B1022="","",IF(J1022&lt;&gt;"",J1022,IF(H1022="Retail",IFERROR(INDEX(Inventory!$B$5:$B$304,MATCH(I1022,Inventory!$A$5:$A$304,0))&amp;"","Not in Inventory"),IFERROR(INDEX(Services!$B$5:$B$204,MATCH(I1022,Services!$A$5:$A$204,0))&amp;"","Not in Services"))))</f>
        <v>0</v>
      </c>
      <c r="V1022" s="26">
        <f>IF(B1022="","",IF(L1022&lt;&gt;"",L1022,IF(H1022="Retail",IFERROR(INDEX(Inventory!$I$5:$I$304,MATCH(I1022,Inventory!$A$5:$A$304,0))*1,0),IFERROR(INDEX(Services!$G$5:$G$204,MATCH(I1022,Services!$A$5:$A$204,0))*1,0))))</f>
        <v>0</v>
      </c>
      <c r="W1022" s="26">
        <f>IF(B1022="","",ROUND(T1022*V1022,2))</f>
        <v>0</v>
      </c>
      <c r="X1022" s="26">
        <f>IF(B1022="","",ROUND(IF(M1022="",0,W1022*M1022)+IF(N1022="",0,N1022),2))</f>
        <v>0</v>
      </c>
      <c r="Y1022" s="26">
        <f>IF(B1022="","",ROUND(W1022-X1022-IF(P1022="",0,P1022),2))</f>
        <v>0</v>
      </c>
      <c r="Z1022" s="26">
        <f>IF(B1022="","",IF(H1022="Retail",IF(TaxOnRetail="Yes",ROUND(Y1022*TaxRate,2),0),IF(H1022="Service",IF(TaxOnServices="Yes",ROUND(Y1022*TaxRate,2),0),0)))</f>
        <v>0</v>
      </c>
      <c r="AA1022" s="26">
        <f>IF(B1022="","",ROUND(Y1022+Z1022,2))</f>
        <v>0</v>
      </c>
      <c r="AB1022" s="26">
        <f>IF(B1022="","",ROUND(T1022*IF(H1022="Retail",IFERROR(INDEX(Inventory!$H$5:$H$304,MATCH(I1022,Inventory!$A$5:$A$304,0))*1,0),IFERROR(INDEX(Services!$Q$5:$Q$204,MATCH(I1022,Services!$A$5:$A$204,0))*1,0)),2))</f>
        <v>0</v>
      </c>
      <c r="AC1022" s="26">
        <f>IF(B1022="","",ROUND(Y1022-AB1022,2))</f>
        <v>0</v>
      </c>
      <c r="AD1022" s="38">
        <f>IF(B1022="","",IF(C1022="","No",IF(COUNTIFS($C$5:C1022,C1022)=1,"Yes","No")))</f>
        <v>0</v>
      </c>
      <c r="AE1022" s="26">
        <f>IF(B1022="","",ROUND(SUMIFS(Payments!$G$5:$G$1204,Payments!$H$5:$H$1204,A1022,Payments!$Q$5:$Q$1204,"Yes"),2))</f>
        <v>0</v>
      </c>
      <c r="AF1022" s="26">
        <f>IF(B1022="","",IF(AD1022="No",0,ROUND(SUMIFS(Payments!$G$5:$G$1204,Payments!$I$5:$I$1204,C1022,Payments!$H$5:$H$1204,"",Payments!$Q$5:$Q$1204,"Yes"),2)))</f>
        <v>0</v>
      </c>
      <c r="AG1022" s="26">
        <f>IF(B1022="","",ROUND(AE1022+AF1022,2))</f>
        <v>0</v>
      </c>
      <c r="AH1022" s="26">
        <f>IF(B1022="","",ROUND(AA1022-AG1022,2))</f>
        <v>0</v>
      </c>
      <c r="AI1022" s="39">
        <f>IF(B1022="","",IF(AA1022&lt;=0,"No charge",IF(AH1022&lt;=0.004,"Paid",IF(AG1022&lt;=0.004,"Unpaid","Part paid"))))</f>
        <v>0</v>
      </c>
      <c r="AJ1022" s="38">
        <f>IF(B1022="","",IF(H1022&lt;&gt;"Service","",IF(D1022="","No",IF(COUNTIFS($D$5:$D$1204,D1022,$B$5:$B$1204,B1022,$H$5:$H$1204,"Retail")&gt;0,"Yes","No"))))</f>
        <v>0</v>
      </c>
      <c r="AK1022" s="25">
        <f>IF(B1022="","",COUNTIFS($Y$5:$Y$1204,"&gt;"&amp;Y1022)+COUNTIFS($Y$5:Y1022,Y1022))</f>
        <v>0</v>
      </c>
      <c r="AL1022" s="39">
        <f>IF(B1022="","",IF(H1022="","Add - what kind of sale is this?",IF(IF(V1022&lt;=0,P1022="",FALSE),"Check - no price found for this item",IF(F1022="","Assign - nobody credited",IF(AH1022&gt;0.004,"Unpaid - balance outstanding",IF(AC1022&lt;0,"Loss - sold below cost",IF(X1022&gt;W1022*0.5,"Check - more than half off","OK")))))))</f>
        <v>0</v>
      </c>
    </row>
    <row r="1023" spans="1:38">
      <c r="A1023" s="28">
        <f>IF(B1023="","",SalePrefix&amp;TEXT(ROW()-4,"0000"))</f>
        <v>0</v>
      </c>
      <c r="E1023" s="15">
        <f>IF(D1023="","",IFERROR(INDEX(Clients!$B$5:$B$504,MATCH(D1023,Clients!$A$5:$A$504,0)),"Walk-in"))</f>
        <v>0</v>
      </c>
      <c r="G1023" s="15">
        <f>IF(F1023="","",IFERROR(INDEX(Staff!$B$5:$B$44,MATCH(F1023,Staff!$A$5:$A$44,0)),"House"))</f>
        <v>0</v>
      </c>
      <c r="R1023" s="15">
        <f>IF(B1023="","",TEXT(B1023,"yyyy-mm"))</f>
        <v>0</v>
      </c>
      <c r="S1023" s="25">
        <f>IF(B1023="","",WEEKNUM(B1023,2))</f>
        <v>0</v>
      </c>
      <c r="T1023" s="37">
        <f>IF(B1023="","",IF(K1023="",1,K1023))</f>
        <v>0</v>
      </c>
      <c r="U1023" s="15">
        <f>IF(B1023="","",IF(J1023&lt;&gt;"",J1023,IF(H1023="Retail",IFERROR(INDEX(Inventory!$B$5:$B$304,MATCH(I1023,Inventory!$A$5:$A$304,0))&amp;"","Not in Inventory"),IFERROR(INDEX(Services!$B$5:$B$204,MATCH(I1023,Services!$A$5:$A$204,0))&amp;"","Not in Services"))))</f>
        <v>0</v>
      </c>
      <c r="V1023" s="26">
        <f>IF(B1023="","",IF(L1023&lt;&gt;"",L1023,IF(H1023="Retail",IFERROR(INDEX(Inventory!$I$5:$I$304,MATCH(I1023,Inventory!$A$5:$A$304,0))*1,0),IFERROR(INDEX(Services!$G$5:$G$204,MATCH(I1023,Services!$A$5:$A$204,0))*1,0))))</f>
        <v>0</v>
      </c>
      <c r="W1023" s="26">
        <f>IF(B1023="","",ROUND(T1023*V1023,2))</f>
        <v>0</v>
      </c>
      <c r="X1023" s="26">
        <f>IF(B1023="","",ROUND(IF(M1023="",0,W1023*M1023)+IF(N1023="",0,N1023),2))</f>
        <v>0</v>
      </c>
      <c r="Y1023" s="26">
        <f>IF(B1023="","",ROUND(W1023-X1023-IF(P1023="",0,P1023),2))</f>
        <v>0</v>
      </c>
      <c r="Z1023" s="26">
        <f>IF(B1023="","",IF(H1023="Retail",IF(TaxOnRetail="Yes",ROUND(Y1023*TaxRate,2),0),IF(H1023="Service",IF(TaxOnServices="Yes",ROUND(Y1023*TaxRate,2),0),0)))</f>
        <v>0</v>
      </c>
      <c r="AA1023" s="26">
        <f>IF(B1023="","",ROUND(Y1023+Z1023,2))</f>
        <v>0</v>
      </c>
      <c r="AB1023" s="26">
        <f>IF(B1023="","",ROUND(T1023*IF(H1023="Retail",IFERROR(INDEX(Inventory!$H$5:$H$304,MATCH(I1023,Inventory!$A$5:$A$304,0))*1,0),IFERROR(INDEX(Services!$Q$5:$Q$204,MATCH(I1023,Services!$A$5:$A$204,0))*1,0)),2))</f>
        <v>0</v>
      </c>
      <c r="AC1023" s="26">
        <f>IF(B1023="","",ROUND(Y1023-AB1023,2))</f>
        <v>0</v>
      </c>
      <c r="AD1023" s="38">
        <f>IF(B1023="","",IF(C1023="","No",IF(COUNTIFS($C$5:C1023,C1023)=1,"Yes","No")))</f>
        <v>0</v>
      </c>
      <c r="AE1023" s="26">
        <f>IF(B1023="","",ROUND(SUMIFS(Payments!$G$5:$G$1204,Payments!$H$5:$H$1204,A1023,Payments!$Q$5:$Q$1204,"Yes"),2))</f>
        <v>0</v>
      </c>
      <c r="AF1023" s="26">
        <f>IF(B1023="","",IF(AD1023="No",0,ROUND(SUMIFS(Payments!$G$5:$G$1204,Payments!$I$5:$I$1204,C1023,Payments!$H$5:$H$1204,"",Payments!$Q$5:$Q$1204,"Yes"),2)))</f>
        <v>0</v>
      </c>
      <c r="AG1023" s="26">
        <f>IF(B1023="","",ROUND(AE1023+AF1023,2))</f>
        <v>0</v>
      </c>
      <c r="AH1023" s="26">
        <f>IF(B1023="","",ROUND(AA1023-AG1023,2))</f>
        <v>0</v>
      </c>
      <c r="AI1023" s="39">
        <f>IF(B1023="","",IF(AA1023&lt;=0,"No charge",IF(AH1023&lt;=0.004,"Paid",IF(AG1023&lt;=0.004,"Unpaid","Part paid"))))</f>
        <v>0</v>
      </c>
      <c r="AJ1023" s="38">
        <f>IF(B1023="","",IF(H1023&lt;&gt;"Service","",IF(D1023="","No",IF(COUNTIFS($D$5:$D$1204,D1023,$B$5:$B$1204,B1023,$H$5:$H$1204,"Retail")&gt;0,"Yes","No"))))</f>
        <v>0</v>
      </c>
      <c r="AK1023" s="25">
        <f>IF(B1023="","",COUNTIFS($Y$5:$Y$1204,"&gt;"&amp;Y1023)+COUNTIFS($Y$5:Y1023,Y1023))</f>
        <v>0</v>
      </c>
      <c r="AL1023" s="39">
        <f>IF(B1023="","",IF(H1023="","Add - what kind of sale is this?",IF(IF(V1023&lt;=0,P1023="",FALSE),"Check - no price found for this item",IF(F1023="","Assign - nobody credited",IF(AH1023&gt;0.004,"Unpaid - balance outstanding",IF(AC1023&lt;0,"Loss - sold below cost",IF(X1023&gt;W1023*0.5,"Check - more than half off","OK")))))))</f>
        <v>0</v>
      </c>
    </row>
    <row r="1024" spans="1:38">
      <c r="A1024" s="28">
        <f>IF(B1024="","",SalePrefix&amp;TEXT(ROW()-4,"0000"))</f>
        <v>0</v>
      </c>
      <c r="E1024" s="15">
        <f>IF(D1024="","",IFERROR(INDEX(Clients!$B$5:$B$504,MATCH(D1024,Clients!$A$5:$A$504,0)),"Walk-in"))</f>
        <v>0</v>
      </c>
      <c r="G1024" s="15">
        <f>IF(F1024="","",IFERROR(INDEX(Staff!$B$5:$B$44,MATCH(F1024,Staff!$A$5:$A$44,0)),"House"))</f>
        <v>0</v>
      </c>
      <c r="R1024" s="15">
        <f>IF(B1024="","",TEXT(B1024,"yyyy-mm"))</f>
        <v>0</v>
      </c>
      <c r="S1024" s="25">
        <f>IF(B1024="","",WEEKNUM(B1024,2))</f>
        <v>0</v>
      </c>
      <c r="T1024" s="37">
        <f>IF(B1024="","",IF(K1024="",1,K1024))</f>
        <v>0</v>
      </c>
      <c r="U1024" s="15">
        <f>IF(B1024="","",IF(J1024&lt;&gt;"",J1024,IF(H1024="Retail",IFERROR(INDEX(Inventory!$B$5:$B$304,MATCH(I1024,Inventory!$A$5:$A$304,0))&amp;"","Not in Inventory"),IFERROR(INDEX(Services!$B$5:$B$204,MATCH(I1024,Services!$A$5:$A$204,0))&amp;"","Not in Services"))))</f>
        <v>0</v>
      </c>
      <c r="V1024" s="26">
        <f>IF(B1024="","",IF(L1024&lt;&gt;"",L1024,IF(H1024="Retail",IFERROR(INDEX(Inventory!$I$5:$I$304,MATCH(I1024,Inventory!$A$5:$A$304,0))*1,0),IFERROR(INDEX(Services!$G$5:$G$204,MATCH(I1024,Services!$A$5:$A$204,0))*1,0))))</f>
        <v>0</v>
      </c>
      <c r="W1024" s="26">
        <f>IF(B1024="","",ROUND(T1024*V1024,2))</f>
        <v>0</v>
      </c>
      <c r="X1024" s="26">
        <f>IF(B1024="","",ROUND(IF(M1024="",0,W1024*M1024)+IF(N1024="",0,N1024),2))</f>
        <v>0</v>
      </c>
      <c r="Y1024" s="26">
        <f>IF(B1024="","",ROUND(W1024-X1024-IF(P1024="",0,P1024),2))</f>
        <v>0</v>
      </c>
      <c r="Z1024" s="26">
        <f>IF(B1024="","",IF(H1024="Retail",IF(TaxOnRetail="Yes",ROUND(Y1024*TaxRate,2),0),IF(H1024="Service",IF(TaxOnServices="Yes",ROUND(Y1024*TaxRate,2),0),0)))</f>
        <v>0</v>
      </c>
      <c r="AA1024" s="26">
        <f>IF(B1024="","",ROUND(Y1024+Z1024,2))</f>
        <v>0</v>
      </c>
      <c r="AB1024" s="26">
        <f>IF(B1024="","",ROUND(T1024*IF(H1024="Retail",IFERROR(INDEX(Inventory!$H$5:$H$304,MATCH(I1024,Inventory!$A$5:$A$304,0))*1,0),IFERROR(INDEX(Services!$Q$5:$Q$204,MATCH(I1024,Services!$A$5:$A$204,0))*1,0)),2))</f>
        <v>0</v>
      </c>
      <c r="AC1024" s="26">
        <f>IF(B1024="","",ROUND(Y1024-AB1024,2))</f>
        <v>0</v>
      </c>
      <c r="AD1024" s="38">
        <f>IF(B1024="","",IF(C1024="","No",IF(COUNTIFS($C$5:C1024,C1024)=1,"Yes","No")))</f>
        <v>0</v>
      </c>
      <c r="AE1024" s="26">
        <f>IF(B1024="","",ROUND(SUMIFS(Payments!$G$5:$G$1204,Payments!$H$5:$H$1204,A1024,Payments!$Q$5:$Q$1204,"Yes"),2))</f>
        <v>0</v>
      </c>
      <c r="AF1024" s="26">
        <f>IF(B1024="","",IF(AD1024="No",0,ROUND(SUMIFS(Payments!$G$5:$G$1204,Payments!$I$5:$I$1204,C1024,Payments!$H$5:$H$1204,"",Payments!$Q$5:$Q$1204,"Yes"),2)))</f>
        <v>0</v>
      </c>
      <c r="AG1024" s="26">
        <f>IF(B1024="","",ROUND(AE1024+AF1024,2))</f>
        <v>0</v>
      </c>
      <c r="AH1024" s="26">
        <f>IF(B1024="","",ROUND(AA1024-AG1024,2))</f>
        <v>0</v>
      </c>
      <c r="AI1024" s="39">
        <f>IF(B1024="","",IF(AA1024&lt;=0,"No charge",IF(AH1024&lt;=0.004,"Paid",IF(AG1024&lt;=0.004,"Unpaid","Part paid"))))</f>
        <v>0</v>
      </c>
      <c r="AJ1024" s="38">
        <f>IF(B1024="","",IF(H1024&lt;&gt;"Service","",IF(D1024="","No",IF(COUNTIFS($D$5:$D$1204,D1024,$B$5:$B$1204,B1024,$H$5:$H$1204,"Retail")&gt;0,"Yes","No"))))</f>
        <v>0</v>
      </c>
      <c r="AK1024" s="25">
        <f>IF(B1024="","",COUNTIFS($Y$5:$Y$1204,"&gt;"&amp;Y1024)+COUNTIFS($Y$5:Y1024,Y1024))</f>
        <v>0</v>
      </c>
      <c r="AL1024" s="39">
        <f>IF(B1024="","",IF(H1024="","Add - what kind of sale is this?",IF(IF(V1024&lt;=0,P1024="",FALSE),"Check - no price found for this item",IF(F1024="","Assign - nobody credited",IF(AH1024&gt;0.004,"Unpaid - balance outstanding",IF(AC1024&lt;0,"Loss - sold below cost",IF(X1024&gt;W1024*0.5,"Check - more than half off","OK")))))))</f>
        <v>0</v>
      </c>
    </row>
    <row r="1025" spans="1:38">
      <c r="A1025" s="28">
        <f>IF(B1025="","",SalePrefix&amp;TEXT(ROW()-4,"0000"))</f>
        <v>0</v>
      </c>
      <c r="E1025" s="15">
        <f>IF(D1025="","",IFERROR(INDEX(Clients!$B$5:$B$504,MATCH(D1025,Clients!$A$5:$A$504,0)),"Walk-in"))</f>
        <v>0</v>
      </c>
      <c r="G1025" s="15">
        <f>IF(F1025="","",IFERROR(INDEX(Staff!$B$5:$B$44,MATCH(F1025,Staff!$A$5:$A$44,0)),"House"))</f>
        <v>0</v>
      </c>
      <c r="R1025" s="15">
        <f>IF(B1025="","",TEXT(B1025,"yyyy-mm"))</f>
        <v>0</v>
      </c>
      <c r="S1025" s="25">
        <f>IF(B1025="","",WEEKNUM(B1025,2))</f>
        <v>0</v>
      </c>
      <c r="T1025" s="37">
        <f>IF(B1025="","",IF(K1025="",1,K1025))</f>
        <v>0</v>
      </c>
      <c r="U1025" s="15">
        <f>IF(B1025="","",IF(J1025&lt;&gt;"",J1025,IF(H1025="Retail",IFERROR(INDEX(Inventory!$B$5:$B$304,MATCH(I1025,Inventory!$A$5:$A$304,0))&amp;"","Not in Inventory"),IFERROR(INDEX(Services!$B$5:$B$204,MATCH(I1025,Services!$A$5:$A$204,0))&amp;"","Not in Services"))))</f>
        <v>0</v>
      </c>
      <c r="V1025" s="26">
        <f>IF(B1025="","",IF(L1025&lt;&gt;"",L1025,IF(H1025="Retail",IFERROR(INDEX(Inventory!$I$5:$I$304,MATCH(I1025,Inventory!$A$5:$A$304,0))*1,0),IFERROR(INDEX(Services!$G$5:$G$204,MATCH(I1025,Services!$A$5:$A$204,0))*1,0))))</f>
        <v>0</v>
      </c>
      <c r="W1025" s="26">
        <f>IF(B1025="","",ROUND(T1025*V1025,2))</f>
        <v>0</v>
      </c>
      <c r="X1025" s="26">
        <f>IF(B1025="","",ROUND(IF(M1025="",0,W1025*M1025)+IF(N1025="",0,N1025),2))</f>
        <v>0</v>
      </c>
      <c r="Y1025" s="26">
        <f>IF(B1025="","",ROUND(W1025-X1025-IF(P1025="",0,P1025),2))</f>
        <v>0</v>
      </c>
      <c r="Z1025" s="26">
        <f>IF(B1025="","",IF(H1025="Retail",IF(TaxOnRetail="Yes",ROUND(Y1025*TaxRate,2),0),IF(H1025="Service",IF(TaxOnServices="Yes",ROUND(Y1025*TaxRate,2),0),0)))</f>
        <v>0</v>
      </c>
      <c r="AA1025" s="26">
        <f>IF(B1025="","",ROUND(Y1025+Z1025,2))</f>
        <v>0</v>
      </c>
      <c r="AB1025" s="26">
        <f>IF(B1025="","",ROUND(T1025*IF(H1025="Retail",IFERROR(INDEX(Inventory!$H$5:$H$304,MATCH(I1025,Inventory!$A$5:$A$304,0))*1,0),IFERROR(INDEX(Services!$Q$5:$Q$204,MATCH(I1025,Services!$A$5:$A$204,0))*1,0)),2))</f>
        <v>0</v>
      </c>
      <c r="AC1025" s="26">
        <f>IF(B1025="","",ROUND(Y1025-AB1025,2))</f>
        <v>0</v>
      </c>
      <c r="AD1025" s="38">
        <f>IF(B1025="","",IF(C1025="","No",IF(COUNTIFS($C$5:C1025,C1025)=1,"Yes","No")))</f>
        <v>0</v>
      </c>
      <c r="AE1025" s="26">
        <f>IF(B1025="","",ROUND(SUMIFS(Payments!$G$5:$G$1204,Payments!$H$5:$H$1204,A1025,Payments!$Q$5:$Q$1204,"Yes"),2))</f>
        <v>0</v>
      </c>
      <c r="AF1025" s="26">
        <f>IF(B1025="","",IF(AD1025="No",0,ROUND(SUMIFS(Payments!$G$5:$G$1204,Payments!$I$5:$I$1204,C1025,Payments!$H$5:$H$1204,"",Payments!$Q$5:$Q$1204,"Yes"),2)))</f>
        <v>0</v>
      </c>
      <c r="AG1025" s="26">
        <f>IF(B1025="","",ROUND(AE1025+AF1025,2))</f>
        <v>0</v>
      </c>
      <c r="AH1025" s="26">
        <f>IF(B1025="","",ROUND(AA1025-AG1025,2))</f>
        <v>0</v>
      </c>
      <c r="AI1025" s="39">
        <f>IF(B1025="","",IF(AA1025&lt;=0,"No charge",IF(AH1025&lt;=0.004,"Paid",IF(AG1025&lt;=0.004,"Unpaid","Part paid"))))</f>
        <v>0</v>
      </c>
      <c r="AJ1025" s="38">
        <f>IF(B1025="","",IF(H1025&lt;&gt;"Service","",IF(D1025="","No",IF(COUNTIFS($D$5:$D$1204,D1025,$B$5:$B$1204,B1025,$H$5:$H$1204,"Retail")&gt;0,"Yes","No"))))</f>
        <v>0</v>
      </c>
      <c r="AK1025" s="25">
        <f>IF(B1025="","",COUNTIFS($Y$5:$Y$1204,"&gt;"&amp;Y1025)+COUNTIFS($Y$5:Y1025,Y1025))</f>
        <v>0</v>
      </c>
      <c r="AL1025" s="39">
        <f>IF(B1025="","",IF(H1025="","Add - what kind of sale is this?",IF(IF(V1025&lt;=0,P1025="",FALSE),"Check - no price found for this item",IF(F1025="","Assign - nobody credited",IF(AH1025&gt;0.004,"Unpaid - balance outstanding",IF(AC1025&lt;0,"Loss - sold below cost",IF(X1025&gt;W1025*0.5,"Check - more than half off","OK")))))))</f>
        <v>0</v>
      </c>
    </row>
    <row r="1026" spans="1:38">
      <c r="A1026" s="28">
        <f>IF(B1026="","",SalePrefix&amp;TEXT(ROW()-4,"0000"))</f>
        <v>0</v>
      </c>
      <c r="E1026" s="15">
        <f>IF(D1026="","",IFERROR(INDEX(Clients!$B$5:$B$504,MATCH(D1026,Clients!$A$5:$A$504,0)),"Walk-in"))</f>
        <v>0</v>
      </c>
      <c r="G1026" s="15">
        <f>IF(F1026="","",IFERROR(INDEX(Staff!$B$5:$B$44,MATCH(F1026,Staff!$A$5:$A$44,0)),"House"))</f>
        <v>0</v>
      </c>
      <c r="R1026" s="15">
        <f>IF(B1026="","",TEXT(B1026,"yyyy-mm"))</f>
        <v>0</v>
      </c>
      <c r="S1026" s="25">
        <f>IF(B1026="","",WEEKNUM(B1026,2))</f>
        <v>0</v>
      </c>
      <c r="T1026" s="37">
        <f>IF(B1026="","",IF(K1026="",1,K1026))</f>
        <v>0</v>
      </c>
      <c r="U1026" s="15">
        <f>IF(B1026="","",IF(J1026&lt;&gt;"",J1026,IF(H1026="Retail",IFERROR(INDEX(Inventory!$B$5:$B$304,MATCH(I1026,Inventory!$A$5:$A$304,0))&amp;"","Not in Inventory"),IFERROR(INDEX(Services!$B$5:$B$204,MATCH(I1026,Services!$A$5:$A$204,0))&amp;"","Not in Services"))))</f>
        <v>0</v>
      </c>
      <c r="V1026" s="26">
        <f>IF(B1026="","",IF(L1026&lt;&gt;"",L1026,IF(H1026="Retail",IFERROR(INDEX(Inventory!$I$5:$I$304,MATCH(I1026,Inventory!$A$5:$A$304,0))*1,0),IFERROR(INDEX(Services!$G$5:$G$204,MATCH(I1026,Services!$A$5:$A$204,0))*1,0))))</f>
        <v>0</v>
      </c>
      <c r="W1026" s="26">
        <f>IF(B1026="","",ROUND(T1026*V1026,2))</f>
        <v>0</v>
      </c>
      <c r="X1026" s="26">
        <f>IF(B1026="","",ROUND(IF(M1026="",0,W1026*M1026)+IF(N1026="",0,N1026),2))</f>
        <v>0</v>
      </c>
      <c r="Y1026" s="26">
        <f>IF(B1026="","",ROUND(W1026-X1026-IF(P1026="",0,P1026),2))</f>
        <v>0</v>
      </c>
      <c r="Z1026" s="26">
        <f>IF(B1026="","",IF(H1026="Retail",IF(TaxOnRetail="Yes",ROUND(Y1026*TaxRate,2),0),IF(H1026="Service",IF(TaxOnServices="Yes",ROUND(Y1026*TaxRate,2),0),0)))</f>
        <v>0</v>
      </c>
      <c r="AA1026" s="26">
        <f>IF(B1026="","",ROUND(Y1026+Z1026,2))</f>
        <v>0</v>
      </c>
      <c r="AB1026" s="26">
        <f>IF(B1026="","",ROUND(T1026*IF(H1026="Retail",IFERROR(INDEX(Inventory!$H$5:$H$304,MATCH(I1026,Inventory!$A$5:$A$304,0))*1,0),IFERROR(INDEX(Services!$Q$5:$Q$204,MATCH(I1026,Services!$A$5:$A$204,0))*1,0)),2))</f>
        <v>0</v>
      </c>
      <c r="AC1026" s="26">
        <f>IF(B1026="","",ROUND(Y1026-AB1026,2))</f>
        <v>0</v>
      </c>
      <c r="AD1026" s="38">
        <f>IF(B1026="","",IF(C1026="","No",IF(COUNTIFS($C$5:C1026,C1026)=1,"Yes","No")))</f>
        <v>0</v>
      </c>
      <c r="AE1026" s="26">
        <f>IF(B1026="","",ROUND(SUMIFS(Payments!$G$5:$G$1204,Payments!$H$5:$H$1204,A1026,Payments!$Q$5:$Q$1204,"Yes"),2))</f>
        <v>0</v>
      </c>
      <c r="AF1026" s="26">
        <f>IF(B1026="","",IF(AD1026="No",0,ROUND(SUMIFS(Payments!$G$5:$G$1204,Payments!$I$5:$I$1204,C1026,Payments!$H$5:$H$1204,"",Payments!$Q$5:$Q$1204,"Yes"),2)))</f>
        <v>0</v>
      </c>
      <c r="AG1026" s="26">
        <f>IF(B1026="","",ROUND(AE1026+AF1026,2))</f>
        <v>0</v>
      </c>
      <c r="AH1026" s="26">
        <f>IF(B1026="","",ROUND(AA1026-AG1026,2))</f>
        <v>0</v>
      </c>
      <c r="AI1026" s="39">
        <f>IF(B1026="","",IF(AA1026&lt;=0,"No charge",IF(AH1026&lt;=0.004,"Paid",IF(AG1026&lt;=0.004,"Unpaid","Part paid"))))</f>
        <v>0</v>
      </c>
      <c r="AJ1026" s="38">
        <f>IF(B1026="","",IF(H1026&lt;&gt;"Service","",IF(D1026="","No",IF(COUNTIFS($D$5:$D$1204,D1026,$B$5:$B$1204,B1026,$H$5:$H$1204,"Retail")&gt;0,"Yes","No"))))</f>
        <v>0</v>
      </c>
      <c r="AK1026" s="25">
        <f>IF(B1026="","",COUNTIFS($Y$5:$Y$1204,"&gt;"&amp;Y1026)+COUNTIFS($Y$5:Y1026,Y1026))</f>
        <v>0</v>
      </c>
      <c r="AL1026" s="39">
        <f>IF(B1026="","",IF(H1026="","Add - what kind of sale is this?",IF(IF(V1026&lt;=0,P1026="",FALSE),"Check - no price found for this item",IF(F1026="","Assign - nobody credited",IF(AH1026&gt;0.004,"Unpaid - balance outstanding",IF(AC1026&lt;0,"Loss - sold below cost",IF(X1026&gt;W1026*0.5,"Check - more than half off","OK")))))))</f>
        <v>0</v>
      </c>
    </row>
    <row r="1027" spans="1:38">
      <c r="A1027" s="28">
        <f>IF(B1027="","",SalePrefix&amp;TEXT(ROW()-4,"0000"))</f>
        <v>0</v>
      </c>
      <c r="E1027" s="15">
        <f>IF(D1027="","",IFERROR(INDEX(Clients!$B$5:$B$504,MATCH(D1027,Clients!$A$5:$A$504,0)),"Walk-in"))</f>
        <v>0</v>
      </c>
      <c r="G1027" s="15">
        <f>IF(F1027="","",IFERROR(INDEX(Staff!$B$5:$B$44,MATCH(F1027,Staff!$A$5:$A$44,0)),"House"))</f>
        <v>0</v>
      </c>
      <c r="R1027" s="15">
        <f>IF(B1027="","",TEXT(B1027,"yyyy-mm"))</f>
        <v>0</v>
      </c>
      <c r="S1027" s="25">
        <f>IF(B1027="","",WEEKNUM(B1027,2))</f>
        <v>0</v>
      </c>
      <c r="T1027" s="37">
        <f>IF(B1027="","",IF(K1027="",1,K1027))</f>
        <v>0</v>
      </c>
      <c r="U1027" s="15">
        <f>IF(B1027="","",IF(J1027&lt;&gt;"",J1027,IF(H1027="Retail",IFERROR(INDEX(Inventory!$B$5:$B$304,MATCH(I1027,Inventory!$A$5:$A$304,0))&amp;"","Not in Inventory"),IFERROR(INDEX(Services!$B$5:$B$204,MATCH(I1027,Services!$A$5:$A$204,0))&amp;"","Not in Services"))))</f>
        <v>0</v>
      </c>
      <c r="V1027" s="26">
        <f>IF(B1027="","",IF(L1027&lt;&gt;"",L1027,IF(H1027="Retail",IFERROR(INDEX(Inventory!$I$5:$I$304,MATCH(I1027,Inventory!$A$5:$A$304,0))*1,0),IFERROR(INDEX(Services!$G$5:$G$204,MATCH(I1027,Services!$A$5:$A$204,0))*1,0))))</f>
        <v>0</v>
      </c>
      <c r="W1027" s="26">
        <f>IF(B1027="","",ROUND(T1027*V1027,2))</f>
        <v>0</v>
      </c>
      <c r="X1027" s="26">
        <f>IF(B1027="","",ROUND(IF(M1027="",0,W1027*M1027)+IF(N1027="",0,N1027),2))</f>
        <v>0</v>
      </c>
      <c r="Y1027" s="26">
        <f>IF(B1027="","",ROUND(W1027-X1027-IF(P1027="",0,P1027),2))</f>
        <v>0</v>
      </c>
      <c r="Z1027" s="26">
        <f>IF(B1027="","",IF(H1027="Retail",IF(TaxOnRetail="Yes",ROUND(Y1027*TaxRate,2),0),IF(H1027="Service",IF(TaxOnServices="Yes",ROUND(Y1027*TaxRate,2),0),0)))</f>
        <v>0</v>
      </c>
      <c r="AA1027" s="26">
        <f>IF(B1027="","",ROUND(Y1027+Z1027,2))</f>
        <v>0</v>
      </c>
      <c r="AB1027" s="26">
        <f>IF(B1027="","",ROUND(T1027*IF(H1027="Retail",IFERROR(INDEX(Inventory!$H$5:$H$304,MATCH(I1027,Inventory!$A$5:$A$304,0))*1,0),IFERROR(INDEX(Services!$Q$5:$Q$204,MATCH(I1027,Services!$A$5:$A$204,0))*1,0)),2))</f>
        <v>0</v>
      </c>
      <c r="AC1027" s="26">
        <f>IF(B1027="","",ROUND(Y1027-AB1027,2))</f>
        <v>0</v>
      </c>
      <c r="AD1027" s="38">
        <f>IF(B1027="","",IF(C1027="","No",IF(COUNTIFS($C$5:C1027,C1027)=1,"Yes","No")))</f>
        <v>0</v>
      </c>
      <c r="AE1027" s="26">
        <f>IF(B1027="","",ROUND(SUMIFS(Payments!$G$5:$G$1204,Payments!$H$5:$H$1204,A1027,Payments!$Q$5:$Q$1204,"Yes"),2))</f>
        <v>0</v>
      </c>
      <c r="AF1027" s="26">
        <f>IF(B1027="","",IF(AD1027="No",0,ROUND(SUMIFS(Payments!$G$5:$G$1204,Payments!$I$5:$I$1204,C1027,Payments!$H$5:$H$1204,"",Payments!$Q$5:$Q$1204,"Yes"),2)))</f>
        <v>0</v>
      </c>
      <c r="AG1027" s="26">
        <f>IF(B1027="","",ROUND(AE1027+AF1027,2))</f>
        <v>0</v>
      </c>
      <c r="AH1027" s="26">
        <f>IF(B1027="","",ROUND(AA1027-AG1027,2))</f>
        <v>0</v>
      </c>
      <c r="AI1027" s="39">
        <f>IF(B1027="","",IF(AA1027&lt;=0,"No charge",IF(AH1027&lt;=0.004,"Paid",IF(AG1027&lt;=0.004,"Unpaid","Part paid"))))</f>
        <v>0</v>
      </c>
      <c r="AJ1027" s="38">
        <f>IF(B1027="","",IF(H1027&lt;&gt;"Service","",IF(D1027="","No",IF(COUNTIFS($D$5:$D$1204,D1027,$B$5:$B$1204,B1027,$H$5:$H$1204,"Retail")&gt;0,"Yes","No"))))</f>
        <v>0</v>
      </c>
      <c r="AK1027" s="25">
        <f>IF(B1027="","",COUNTIFS($Y$5:$Y$1204,"&gt;"&amp;Y1027)+COUNTIFS($Y$5:Y1027,Y1027))</f>
        <v>0</v>
      </c>
      <c r="AL1027" s="39">
        <f>IF(B1027="","",IF(H1027="","Add - what kind of sale is this?",IF(IF(V1027&lt;=0,P1027="",FALSE),"Check - no price found for this item",IF(F1027="","Assign - nobody credited",IF(AH1027&gt;0.004,"Unpaid - balance outstanding",IF(AC1027&lt;0,"Loss - sold below cost",IF(X1027&gt;W1027*0.5,"Check - more than half off","OK")))))))</f>
        <v>0</v>
      </c>
    </row>
    <row r="1028" spans="1:38">
      <c r="A1028" s="28">
        <f>IF(B1028="","",SalePrefix&amp;TEXT(ROW()-4,"0000"))</f>
        <v>0</v>
      </c>
      <c r="E1028" s="15">
        <f>IF(D1028="","",IFERROR(INDEX(Clients!$B$5:$B$504,MATCH(D1028,Clients!$A$5:$A$504,0)),"Walk-in"))</f>
        <v>0</v>
      </c>
      <c r="G1028" s="15">
        <f>IF(F1028="","",IFERROR(INDEX(Staff!$B$5:$B$44,MATCH(F1028,Staff!$A$5:$A$44,0)),"House"))</f>
        <v>0</v>
      </c>
      <c r="R1028" s="15">
        <f>IF(B1028="","",TEXT(B1028,"yyyy-mm"))</f>
        <v>0</v>
      </c>
      <c r="S1028" s="25">
        <f>IF(B1028="","",WEEKNUM(B1028,2))</f>
        <v>0</v>
      </c>
      <c r="T1028" s="37">
        <f>IF(B1028="","",IF(K1028="",1,K1028))</f>
        <v>0</v>
      </c>
      <c r="U1028" s="15">
        <f>IF(B1028="","",IF(J1028&lt;&gt;"",J1028,IF(H1028="Retail",IFERROR(INDEX(Inventory!$B$5:$B$304,MATCH(I1028,Inventory!$A$5:$A$304,0))&amp;"","Not in Inventory"),IFERROR(INDEX(Services!$B$5:$B$204,MATCH(I1028,Services!$A$5:$A$204,0))&amp;"","Not in Services"))))</f>
        <v>0</v>
      </c>
      <c r="V1028" s="26">
        <f>IF(B1028="","",IF(L1028&lt;&gt;"",L1028,IF(H1028="Retail",IFERROR(INDEX(Inventory!$I$5:$I$304,MATCH(I1028,Inventory!$A$5:$A$304,0))*1,0),IFERROR(INDEX(Services!$G$5:$G$204,MATCH(I1028,Services!$A$5:$A$204,0))*1,0))))</f>
        <v>0</v>
      </c>
      <c r="W1028" s="26">
        <f>IF(B1028="","",ROUND(T1028*V1028,2))</f>
        <v>0</v>
      </c>
      <c r="X1028" s="26">
        <f>IF(B1028="","",ROUND(IF(M1028="",0,W1028*M1028)+IF(N1028="",0,N1028),2))</f>
        <v>0</v>
      </c>
      <c r="Y1028" s="26">
        <f>IF(B1028="","",ROUND(W1028-X1028-IF(P1028="",0,P1028),2))</f>
        <v>0</v>
      </c>
      <c r="Z1028" s="26">
        <f>IF(B1028="","",IF(H1028="Retail",IF(TaxOnRetail="Yes",ROUND(Y1028*TaxRate,2),0),IF(H1028="Service",IF(TaxOnServices="Yes",ROUND(Y1028*TaxRate,2),0),0)))</f>
        <v>0</v>
      </c>
      <c r="AA1028" s="26">
        <f>IF(B1028="","",ROUND(Y1028+Z1028,2))</f>
        <v>0</v>
      </c>
      <c r="AB1028" s="26">
        <f>IF(B1028="","",ROUND(T1028*IF(H1028="Retail",IFERROR(INDEX(Inventory!$H$5:$H$304,MATCH(I1028,Inventory!$A$5:$A$304,0))*1,0),IFERROR(INDEX(Services!$Q$5:$Q$204,MATCH(I1028,Services!$A$5:$A$204,0))*1,0)),2))</f>
        <v>0</v>
      </c>
      <c r="AC1028" s="26">
        <f>IF(B1028="","",ROUND(Y1028-AB1028,2))</f>
        <v>0</v>
      </c>
      <c r="AD1028" s="38">
        <f>IF(B1028="","",IF(C1028="","No",IF(COUNTIFS($C$5:C1028,C1028)=1,"Yes","No")))</f>
        <v>0</v>
      </c>
      <c r="AE1028" s="26">
        <f>IF(B1028="","",ROUND(SUMIFS(Payments!$G$5:$G$1204,Payments!$H$5:$H$1204,A1028,Payments!$Q$5:$Q$1204,"Yes"),2))</f>
        <v>0</v>
      </c>
      <c r="AF1028" s="26">
        <f>IF(B1028="","",IF(AD1028="No",0,ROUND(SUMIFS(Payments!$G$5:$G$1204,Payments!$I$5:$I$1204,C1028,Payments!$H$5:$H$1204,"",Payments!$Q$5:$Q$1204,"Yes"),2)))</f>
        <v>0</v>
      </c>
      <c r="AG1028" s="26">
        <f>IF(B1028="","",ROUND(AE1028+AF1028,2))</f>
        <v>0</v>
      </c>
      <c r="AH1028" s="26">
        <f>IF(B1028="","",ROUND(AA1028-AG1028,2))</f>
        <v>0</v>
      </c>
      <c r="AI1028" s="39">
        <f>IF(B1028="","",IF(AA1028&lt;=0,"No charge",IF(AH1028&lt;=0.004,"Paid",IF(AG1028&lt;=0.004,"Unpaid","Part paid"))))</f>
        <v>0</v>
      </c>
      <c r="AJ1028" s="38">
        <f>IF(B1028="","",IF(H1028&lt;&gt;"Service","",IF(D1028="","No",IF(COUNTIFS($D$5:$D$1204,D1028,$B$5:$B$1204,B1028,$H$5:$H$1204,"Retail")&gt;0,"Yes","No"))))</f>
        <v>0</v>
      </c>
      <c r="AK1028" s="25">
        <f>IF(B1028="","",COUNTIFS($Y$5:$Y$1204,"&gt;"&amp;Y1028)+COUNTIFS($Y$5:Y1028,Y1028))</f>
        <v>0</v>
      </c>
      <c r="AL1028" s="39">
        <f>IF(B1028="","",IF(H1028="","Add - what kind of sale is this?",IF(IF(V1028&lt;=0,P1028="",FALSE),"Check - no price found for this item",IF(F1028="","Assign - nobody credited",IF(AH1028&gt;0.004,"Unpaid - balance outstanding",IF(AC1028&lt;0,"Loss - sold below cost",IF(X1028&gt;W1028*0.5,"Check - more than half off","OK")))))))</f>
        <v>0</v>
      </c>
    </row>
    <row r="1029" spans="1:38">
      <c r="A1029" s="28">
        <f>IF(B1029="","",SalePrefix&amp;TEXT(ROW()-4,"0000"))</f>
        <v>0</v>
      </c>
      <c r="E1029" s="15">
        <f>IF(D1029="","",IFERROR(INDEX(Clients!$B$5:$B$504,MATCH(D1029,Clients!$A$5:$A$504,0)),"Walk-in"))</f>
        <v>0</v>
      </c>
      <c r="G1029" s="15">
        <f>IF(F1029="","",IFERROR(INDEX(Staff!$B$5:$B$44,MATCH(F1029,Staff!$A$5:$A$44,0)),"House"))</f>
        <v>0</v>
      </c>
      <c r="R1029" s="15">
        <f>IF(B1029="","",TEXT(B1029,"yyyy-mm"))</f>
        <v>0</v>
      </c>
      <c r="S1029" s="25">
        <f>IF(B1029="","",WEEKNUM(B1029,2))</f>
        <v>0</v>
      </c>
      <c r="T1029" s="37">
        <f>IF(B1029="","",IF(K1029="",1,K1029))</f>
        <v>0</v>
      </c>
      <c r="U1029" s="15">
        <f>IF(B1029="","",IF(J1029&lt;&gt;"",J1029,IF(H1029="Retail",IFERROR(INDEX(Inventory!$B$5:$B$304,MATCH(I1029,Inventory!$A$5:$A$304,0))&amp;"","Not in Inventory"),IFERROR(INDEX(Services!$B$5:$B$204,MATCH(I1029,Services!$A$5:$A$204,0))&amp;"","Not in Services"))))</f>
        <v>0</v>
      </c>
      <c r="V1029" s="26">
        <f>IF(B1029="","",IF(L1029&lt;&gt;"",L1029,IF(H1029="Retail",IFERROR(INDEX(Inventory!$I$5:$I$304,MATCH(I1029,Inventory!$A$5:$A$304,0))*1,0),IFERROR(INDEX(Services!$G$5:$G$204,MATCH(I1029,Services!$A$5:$A$204,0))*1,0))))</f>
        <v>0</v>
      </c>
      <c r="W1029" s="26">
        <f>IF(B1029="","",ROUND(T1029*V1029,2))</f>
        <v>0</v>
      </c>
      <c r="X1029" s="26">
        <f>IF(B1029="","",ROUND(IF(M1029="",0,W1029*M1029)+IF(N1029="",0,N1029),2))</f>
        <v>0</v>
      </c>
      <c r="Y1029" s="26">
        <f>IF(B1029="","",ROUND(W1029-X1029-IF(P1029="",0,P1029),2))</f>
        <v>0</v>
      </c>
      <c r="Z1029" s="26">
        <f>IF(B1029="","",IF(H1029="Retail",IF(TaxOnRetail="Yes",ROUND(Y1029*TaxRate,2),0),IF(H1029="Service",IF(TaxOnServices="Yes",ROUND(Y1029*TaxRate,2),0),0)))</f>
        <v>0</v>
      </c>
      <c r="AA1029" s="26">
        <f>IF(B1029="","",ROUND(Y1029+Z1029,2))</f>
        <v>0</v>
      </c>
      <c r="AB1029" s="26">
        <f>IF(B1029="","",ROUND(T1029*IF(H1029="Retail",IFERROR(INDEX(Inventory!$H$5:$H$304,MATCH(I1029,Inventory!$A$5:$A$304,0))*1,0),IFERROR(INDEX(Services!$Q$5:$Q$204,MATCH(I1029,Services!$A$5:$A$204,0))*1,0)),2))</f>
        <v>0</v>
      </c>
      <c r="AC1029" s="26">
        <f>IF(B1029="","",ROUND(Y1029-AB1029,2))</f>
        <v>0</v>
      </c>
      <c r="AD1029" s="38">
        <f>IF(B1029="","",IF(C1029="","No",IF(COUNTIFS($C$5:C1029,C1029)=1,"Yes","No")))</f>
        <v>0</v>
      </c>
      <c r="AE1029" s="26">
        <f>IF(B1029="","",ROUND(SUMIFS(Payments!$G$5:$G$1204,Payments!$H$5:$H$1204,A1029,Payments!$Q$5:$Q$1204,"Yes"),2))</f>
        <v>0</v>
      </c>
      <c r="AF1029" s="26">
        <f>IF(B1029="","",IF(AD1029="No",0,ROUND(SUMIFS(Payments!$G$5:$G$1204,Payments!$I$5:$I$1204,C1029,Payments!$H$5:$H$1204,"",Payments!$Q$5:$Q$1204,"Yes"),2)))</f>
        <v>0</v>
      </c>
      <c r="AG1029" s="26">
        <f>IF(B1029="","",ROUND(AE1029+AF1029,2))</f>
        <v>0</v>
      </c>
      <c r="AH1029" s="26">
        <f>IF(B1029="","",ROUND(AA1029-AG1029,2))</f>
        <v>0</v>
      </c>
      <c r="AI1029" s="39">
        <f>IF(B1029="","",IF(AA1029&lt;=0,"No charge",IF(AH1029&lt;=0.004,"Paid",IF(AG1029&lt;=0.004,"Unpaid","Part paid"))))</f>
        <v>0</v>
      </c>
      <c r="AJ1029" s="38">
        <f>IF(B1029="","",IF(H1029&lt;&gt;"Service","",IF(D1029="","No",IF(COUNTIFS($D$5:$D$1204,D1029,$B$5:$B$1204,B1029,$H$5:$H$1204,"Retail")&gt;0,"Yes","No"))))</f>
        <v>0</v>
      </c>
      <c r="AK1029" s="25">
        <f>IF(B1029="","",COUNTIFS($Y$5:$Y$1204,"&gt;"&amp;Y1029)+COUNTIFS($Y$5:Y1029,Y1029))</f>
        <v>0</v>
      </c>
      <c r="AL1029" s="39">
        <f>IF(B1029="","",IF(H1029="","Add - what kind of sale is this?",IF(IF(V1029&lt;=0,P1029="",FALSE),"Check - no price found for this item",IF(F1029="","Assign - nobody credited",IF(AH1029&gt;0.004,"Unpaid - balance outstanding",IF(AC1029&lt;0,"Loss - sold below cost",IF(X1029&gt;W1029*0.5,"Check - more than half off","OK")))))))</f>
        <v>0</v>
      </c>
    </row>
    <row r="1030" spans="1:38">
      <c r="A1030" s="28">
        <f>IF(B1030="","",SalePrefix&amp;TEXT(ROW()-4,"0000"))</f>
        <v>0</v>
      </c>
      <c r="E1030" s="15">
        <f>IF(D1030="","",IFERROR(INDEX(Clients!$B$5:$B$504,MATCH(D1030,Clients!$A$5:$A$504,0)),"Walk-in"))</f>
        <v>0</v>
      </c>
      <c r="G1030" s="15">
        <f>IF(F1030="","",IFERROR(INDEX(Staff!$B$5:$B$44,MATCH(F1030,Staff!$A$5:$A$44,0)),"House"))</f>
        <v>0</v>
      </c>
      <c r="R1030" s="15">
        <f>IF(B1030="","",TEXT(B1030,"yyyy-mm"))</f>
        <v>0</v>
      </c>
      <c r="S1030" s="25">
        <f>IF(B1030="","",WEEKNUM(B1030,2))</f>
        <v>0</v>
      </c>
      <c r="T1030" s="37">
        <f>IF(B1030="","",IF(K1030="",1,K1030))</f>
        <v>0</v>
      </c>
      <c r="U1030" s="15">
        <f>IF(B1030="","",IF(J1030&lt;&gt;"",J1030,IF(H1030="Retail",IFERROR(INDEX(Inventory!$B$5:$B$304,MATCH(I1030,Inventory!$A$5:$A$304,0))&amp;"","Not in Inventory"),IFERROR(INDEX(Services!$B$5:$B$204,MATCH(I1030,Services!$A$5:$A$204,0))&amp;"","Not in Services"))))</f>
        <v>0</v>
      </c>
      <c r="V1030" s="26">
        <f>IF(B1030="","",IF(L1030&lt;&gt;"",L1030,IF(H1030="Retail",IFERROR(INDEX(Inventory!$I$5:$I$304,MATCH(I1030,Inventory!$A$5:$A$304,0))*1,0),IFERROR(INDEX(Services!$G$5:$G$204,MATCH(I1030,Services!$A$5:$A$204,0))*1,0))))</f>
        <v>0</v>
      </c>
      <c r="W1030" s="26">
        <f>IF(B1030="","",ROUND(T1030*V1030,2))</f>
        <v>0</v>
      </c>
      <c r="X1030" s="26">
        <f>IF(B1030="","",ROUND(IF(M1030="",0,W1030*M1030)+IF(N1030="",0,N1030),2))</f>
        <v>0</v>
      </c>
      <c r="Y1030" s="26">
        <f>IF(B1030="","",ROUND(W1030-X1030-IF(P1030="",0,P1030),2))</f>
        <v>0</v>
      </c>
      <c r="Z1030" s="26">
        <f>IF(B1030="","",IF(H1030="Retail",IF(TaxOnRetail="Yes",ROUND(Y1030*TaxRate,2),0),IF(H1030="Service",IF(TaxOnServices="Yes",ROUND(Y1030*TaxRate,2),0),0)))</f>
        <v>0</v>
      </c>
      <c r="AA1030" s="26">
        <f>IF(B1030="","",ROUND(Y1030+Z1030,2))</f>
        <v>0</v>
      </c>
      <c r="AB1030" s="26">
        <f>IF(B1030="","",ROUND(T1030*IF(H1030="Retail",IFERROR(INDEX(Inventory!$H$5:$H$304,MATCH(I1030,Inventory!$A$5:$A$304,0))*1,0),IFERROR(INDEX(Services!$Q$5:$Q$204,MATCH(I1030,Services!$A$5:$A$204,0))*1,0)),2))</f>
        <v>0</v>
      </c>
      <c r="AC1030" s="26">
        <f>IF(B1030="","",ROUND(Y1030-AB1030,2))</f>
        <v>0</v>
      </c>
      <c r="AD1030" s="38">
        <f>IF(B1030="","",IF(C1030="","No",IF(COUNTIFS($C$5:C1030,C1030)=1,"Yes","No")))</f>
        <v>0</v>
      </c>
      <c r="AE1030" s="26">
        <f>IF(B1030="","",ROUND(SUMIFS(Payments!$G$5:$G$1204,Payments!$H$5:$H$1204,A1030,Payments!$Q$5:$Q$1204,"Yes"),2))</f>
        <v>0</v>
      </c>
      <c r="AF1030" s="26">
        <f>IF(B1030="","",IF(AD1030="No",0,ROUND(SUMIFS(Payments!$G$5:$G$1204,Payments!$I$5:$I$1204,C1030,Payments!$H$5:$H$1204,"",Payments!$Q$5:$Q$1204,"Yes"),2)))</f>
        <v>0</v>
      </c>
      <c r="AG1030" s="26">
        <f>IF(B1030="","",ROUND(AE1030+AF1030,2))</f>
        <v>0</v>
      </c>
      <c r="AH1030" s="26">
        <f>IF(B1030="","",ROUND(AA1030-AG1030,2))</f>
        <v>0</v>
      </c>
      <c r="AI1030" s="39">
        <f>IF(B1030="","",IF(AA1030&lt;=0,"No charge",IF(AH1030&lt;=0.004,"Paid",IF(AG1030&lt;=0.004,"Unpaid","Part paid"))))</f>
        <v>0</v>
      </c>
      <c r="AJ1030" s="38">
        <f>IF(B1030="","",IF(H1030&lt;&gt;"Service","",IF(D1030="","No",IF(COUNTIFS($D$5:$D$1204,D1030,$B$5:$B$1204,B1030,$H$5:$H$1204,"Retail")&gt;0,"Yes","No"))))</f>
        <v>0</v>
      </c>
      <c r="AK1030" s="25">
        <f>IF(B1030="","",COUNTIFS($Y$5:$Y$1204,"&gt;"&amp;Y1030)+COUNTIFS($Y$5:Y1030,Y1030))</f>
        <v>0</v>
      </c>
      <c r="AL1030" s="39">
        <f>IF(B1030="","",IF(H1030="","Add - what kind of sale is this?",IF(IF(V1030&lt;=0,P1030="",FALSE),"Check - no price found for this item",IF(F1030="","Assign - nobody credited",IF(AH1030&gt;0.004,"Unpaid - balance outstanding",IF(AC1030&lt;0,"Loss - sold below cost",IF(X1030&gt;W1030*0.5,"Check - more than half off","OK")))))))</f>
        <v>0</v>
      </c>
    </row>
    <row r="1031" spans="1:38">
      <c r="A1031" s="28">
        <f>IF(B1031="","",SalePrefix&amp;TEXT(ROW()-4,"0000"))</f>
        <v>0</v>
      </c>
      <c r="E1031" s="15">
        <f>IF(D1031="","",IFERROR(INDEX(Clients!$B$5:$B$504,MATCH(D1031,Clients!$A$5:$A$504,0)),"Walk-in"))</f>
        <v>0</v>
      </c>
      <c r="G1031" s="15">
        <f>IF(F1031="","",IFERROR(INDEX(Staff!$B$5:$B$44,MATCH(F1031,Staff!$A$5:$A$44,0)),"House"))</f>
        <v>0</v>
      </c>
      <c r="R1031" s="15">
        <f>IF(B1031="","",TEXT(B1031,"yyyy-mm"))</f>
        <v>0</v>
      </c>
      <c r="S1031" s="25">
        <f>IF(B1031="","",WEEKNUM(B1031,2))</f>
        <v>0</v>
      </c>
      <c r="T1031" s="37">
        <f>IF(B1031="","",IF(K1031="",1,K1031))</f>
        <v>0</v>
      </c>
      <c r="U1031" s="15">
        <f>IF(B1031="","",IF(J1031&lt;&gt;"",J1031,IF(H1031="Retail",IFERROR(INDEX(Inventory!$B$5:$B$304,MATCH(I1031,Inventory!$A$5:$A$304,0))&amp;"","Not in Inventory"),IFERROR(INDEX(Services!$B$5:$B$204,MATCH(I1031,Services!$A$5:$A$204,0))&amp;"","Not in Services"))))</f>
        <v>0</v>
      </c>
      <c r="V1031" s="26">
        <f>IF(B1031="","",IF(L1031&lt;&gt;"",L1031,IF(H1031="Retail",IFERROR(INDEX(Inventory!$I$5:$I$304,MATCH(I1031,Inventory!$A$5:$A$304,0))*1,0),IFERROR(INDEX(Services!$G$5:$G$204,MATCH(I1031,Services!$A$5:$A$204,0))*1,0))))</f>
        <v>0</v>
      </c>
      <c r="W1031" s="26">
        <f>IF(B1031="","",ROUND(T1031*V1031,2))</f>
        <v>0</v>
      </c>
      <c r="X1031" s="26">
        <f>IF(B1031="","",ROUND(IF(M1031="",0,W1031*M1031)+IF(N1031="",0,N1031),2))</f>
        <v>0</v>
      </c>
      <c r="Y1031" s="26">
        <f>IF(B1031="","",ROUND(W1031-X1031-IF(P1031="",0,P1031),2))</f>
        <v>0</v>
      </c>
      <c r="Z1031" s="26">
        <f>IF(B1031="","",IF(H1031="Retail",IF(TaxOnRetail="Yes",ROUND(Y1031*TaxRate,2),0),IF(H1031="Service",IF(TaxOnServices="Yes",ROUND(Y1031*TaxRate,2),0),0)))</f>
        <v>0</v>
      </c>
      <c r="AA1031" s="26">
        <f>IF(B1031="","",ROUND(Y1031+Z1031,2))</f>
        <v>0</v>
      </c>
      <c r="AB1031" s="26">
        <f>IF(B1031="","",ROUND(T1031*IF(H1031="Retail",IFERROR(INDEX(Inventory!$H$5:$H$304,MATCH(I1031,Inventory!$A$5:$A$304,0))*1,0),IFERROR(INDEX(Services!$Q$5:$Q$204,MATCH(I1031,Services!$A$5:$A$204,0))*1,0)),2))</f>
        <v>0</v>
      </c>
      <c r="AC1031" s="26">
        <f>IF(B1031="","",ROUND(Y1031-AB1031,2))</f>
        <v>0</v>
      </c>
      <c r="AD1031" s="38">
        <f>IF(B1031="","",IF(C1031="","No",IF(COUNTIFS($C$5:C1031,C1031)=1,"Yes","No")))</f>
        <v>0</v>
      </c>
      <c r="AE1031" s="26">
        <f>IF(B1031="","",ROUND(SUMIFS(Payments!$G$5:$G$1204,Payments!$H$5:$H$1204,A1031,Payments!$Q$5:$Q$1204,"Yes"),2))</f>
        <v>0</v>
      </c>
      <c r="AF1031" s="26">
        <f>IF(B1031="","",IF(AD1031="No",0,ROUND(SUMIFS(Payments!$G$5:$G$1204,Payments!$I$5:$I$1204,C1031,Payments!$H$5:$H$1204,"",Payments!$Q$5:$Q$1204,"Yes"),2)))</f>
        <v>0</v>
      </c>
      <c r="AG1031" s="26">
        <f>IF(B1031="","",ROUND(AE1031+AF1031,2))</f>
        <v>0</v>
      </c>
      <c r="AH1031" s="26">
        <f>IF(B1031="","",ROUND(AA1031-AG1031,2))</f>
        <v>0</v>
      </c>
      <c r="AI1031" s="39">
        <f>IF(B1031="","",IF(AA1031&lt;=0,"No charge",IF(AH1031&lt;=0.004,"Paid",IF(AG1031&lt;=0.004,"Unpaid","Part paid"))))</f>
        <v>0</v>
      </c>
      <c r="AJ1031" s="38">
        <f>IF(B1031="","",IF(H1031&lt;&gt;"Service","",IF(D1031="","No",IF(COUNTIFS($D$5:$D$1204,D1031,$B$5:$B$1204,B1031,$H$5:$H$1204,"Retail")&gt;0,"Yes","No"))))</f>
        <v>0</v>
      </c>
      <c r="AK1031" s="25">
        <f>IF(B1031="","",COUNTIFS($Y$5:$Y$1204,"&gt;"&amp;Y1031)+COUNTIFS($Y$5:Y1031,Y1031))</f>
        <v>0</v>
      </c>
      <c r="AL1031" s="39">
        <f>IF(B1031="","",IF(H1031="","Add - what kind of sale is this?",IF(IF(V1031&lt;=0,P1031="",FALSE),"Check - no price found for this item",IF(F1031="","Assign - nobody credited",IF(AH1031&gt;0.004,"Unpaid - balance outstanding",IF(AC1031&lt;0,"Loss - sold below cost",IF(X1031&gt;W1031*0.5,"Check - more than half off","OK")))))))</f>
        <v>0</v>
      </c>
    </row>
    <row r="1032" spans="1:38">
      <c r="A1032" s="28">
        <f>IF(B1032="","",SalePrefix&amp;TEXT(ROW()-4,"0000"))</f>
        <v>0</v>
      </c>
      <c r="E1032" s="15">
        <f>IF(D1032="","",IFERROR(INDEX(Clients!$B$5:$B$504,MATCH(D1032,Clients!$A$5:$A$504,0)),"Walk-in"))</f>
        <v>0</v>
      </c>
      <c r="G1032" s="15">
        <f>IF(F1032="","",IFERROR(INDEX(Staff!$B$5:$B$44,MATCH(F1032,Staff!$A$5:$A$44,0)),"House"))</f>
        <v>0</v>
      </c>
      <c r="R1032" s="15">
        <f>IF(B1032="","",TEXT(B1032,"yyyy-mm"))</f>
        <v>0</v>
      </c>
      <c r="S1032" s="25">
        <f>IF(B1032="","",WEEKNUM(B1032,2))</f>
        <v>0</v>
      </c>
      <c r="T1032" s="37">
        <f>IF(B1032="","",IF(K1032="",1,K1032))</f>
        <v>0</v>
      </c>
      <c r="U1032" s="15">
        <f>IF(B1032="","",IF(J1032&lt;&gt;"",J1032,IF(H1032="Retail",IFERROR(INDEX(Inventory!$B$5:$B$304,MATCH(I1032,Inventory!$A$5:$A$304,0))&amp;"","Not in Inventory"),IFERROR(INDEX(Services!$B$5:$B$204,MATCH(I1032,Services!$A$5:$A$204,0))&amp;"","Not in Services"))))</f>
        <v>0</v>
      </c>
      <c r="V1032" s="26">
        <f>IF(B1032="","",IF(L1032&lt;&gt;"",L1032,IF(H1032="Retail",IFERROR(INDEX(Inventory!$I$5:$I$304,MATCH(I1032,Inventory!$A$5:$A$304,0))*1,0),IFERROR(INDEX(Services!$G$5:$G$204,MATCH(I1032,Services!$A$5:$A$204,0))*1,0))))</f>
        <v>0</v>
      </c>
      <c r="W1032" s="26">
        <f>IF(B1032="","",ROUND(T1032*V1032,2))</f>
        <v>0</v>
      </c>
      <c r="X1032" s="26">
        <f>IF(B1032="","",ROUND(IF(M1032="",0,W1032*M1032)+IF(N1032="",0,N1032),2))</f>
        <v>0</v>
      </c>
      <c r="Y1032" s="26">
        <f>IF(B1032="","",ROUND(W1032-X1032-IF(P1032="",0,P1032),2))</f>
        <v>0</v>
      </c>
      <c r="Z1032" s="26">
        <f>IF(B1032="","",IF(H1032="Retail",IF(TaxOnRetail="Yes",ROUND(Y1032*TaxRate,2),0),IF(H1032="Service",IF(TaxOnServices="Yes",ROUND(Y1032*TaxRate,2),0),0)))</f>
        <v>0</v>
      </c>
      <c r="AA1032" s="26">
        <f>IF(B1032="","",ROUND(Y1032+Z1032,2))</f>
        <v>0</v>
      </c>
      <c r="AB1032" s="26">
        <f>IF(B1032="","",ROUND(T1032*IF(H1032="Retail",IFERROR(INDEX(Inventory!$H$5:$H$304,MATCH(I1032,Inventory!$A$5:$A$304,0))*1,0),IFERROR(INDEX(Services!$Q$5:$Q$204,MATCH(I1032,Services!$A$5:$A$204,0))*1,0)),2))</f>
        <v>0</v>
      </c>
      <c r="AC1032" s="26">
        <f>IF(B1032="","",ROUND(Y1032-AB1032,2))</f>
        <v>0</v>
      </c>
      <c r="AD1032" s="38">
        <f>IF(B1032="","",IF(C1032="","No",IF(COUNTIFS($C$5:C1032,C1032)=1,"Yes","No")))</f>
        <v>0</v>
      </c>
      <c r="AE1032" s="26">
        <f>IF(B1032="","",ROUND(SUMIFS(Payments!$G$5:$G$1204,Payments!$H$5:$H$1204,A1032,Payments!$Q$5:$Q$1204,"Yes"),2))</f>
        <v>0</v>
      </c>
      <c r="AF1032" s="26">
        <f>IF(B1032="","",IF(AD1032="No",0,ROUND(SUMIFS(Payments!$G$5:$G$1204,Payments!$I$5:$I$1204,C1032,Payments!$H$5:$H$1204,"",Payments!$Q$5:$Q$1204,"Yes"),2)))</f>
        <v>0</v>
      </c>
      <c r="AG1032" s="26">
        <f>IF(B1032="","",ROUND(AE1032+AF1032,2))</f>
        <v>0</v>
      </c>
      <c r="AH1032" s="26">
        <f>IF(B1032="","",ROUND(AA1032-AG1032,2))</f>
        <v>0</v>
      </c>
      <c r="AI1032" s="39">
        <f>IF(B1032="","",IF(AA1032&lt;=0,"No charge",IF(AH1032&lt;=0.004,"Paid",IF(AG1032&lt;=0.004,"Unpaid","Part paid"))))</f>
        <v>0</v>
      </c>
      <c r="AJ1032" s="38">
        <f>IF(B1032="","",IF(H1032&lt;&gt;"Service","",IF(D1032="","No",IF(COUNTIFS($D$5:$D$1204,D1032,$B$5:$B$1204,B1032,$H$5:$H$1204,"Retail")&gt;0,"Yes","No"))))</f>
        <v>0</v>
      </c>
      <c r="AK1032" s="25">
        <f>IF(B1032="","",COUNTIFS($Y$5:$Y$1204,"&gt;"&amp;Y1032)+COUNTIFS($Y$5:Y1032,Y1032))</f>
        <v>0</v>
      </c>
      <c r="AL1032" s="39">
        <f>IF(B1032="","",IF(H1032="","Add - what kind of sale is this?",IF(IF(V1032&lt;=0,P1032="",FALSE),"Check - no price found for this item",IF(F1032="","Assign - nobody credited",IF(AH1032&gt;0.004,"Unpaid - balance outstanding",IF(AC1032&lt;0,"Loss - sold below cost",IF(X1032&gt;W1032*0.5,"Check - more than half off","OK")))))))</f>
        <v>0</v>
      </c>
    </row>
    <row r="1033" spans="1:38">
      <c r="A1033" s="28">
        <f>IF(B1033="","",SalePrefix&amp;TEXT(ROW()-4,"0000"))</f>
        <v>0</v>
      </c>
      <c r="E1033" s="15">
        <f>IF(D1033="","",IFERROR(INDEX(Clients!$B$5:$B$504,MATCH(D1033,Clients!$A$5:$A$504,0)),"Walk-in"))</f>
        <v>0</v>
      </c>
      <c r="G1033" s="15">
        <f>IF(F1033="","",IFERROR(INDEX(Staff!$B$5:$B$44,MATCH(F1033,Staff!$A$5:$A$44,0)),"House"))</f>
        <v>0</v>
      </c>
      <c r="R1033" s="15">
        <f>IF(B1033="","",TEXT(B1033,"yyyy-mm"))</f>
        <v>0</v>
      </c>
      <c r="S1033" s="25">
        <f>IF(B1033="","",WEEKNUM(B1033,2))</f>
        <v>0</v>
      </c>
      <c r="T1033" s="37">
        <f>IF(B1033="","",IF(K1033="",1,K1033))</f>
        <v>0</v>
      </c>
      <c r="U1033" s="15">
        <f>IF(B1033="","",IF(J1033&lt;&gt;"",J1033,IF(H1033="Retail",IFERROR(INDEX(Inventory!$B$5:$B$304,MATCH(I1033,Inventory!$A$5:$A$304,0))&amp;"","Not in Inventory"),IFERROR(INDEX(Services!$B$5:$B$204,MATCH(I1033,Services!$A$5:$A$204,0))&amp;"","Not in Services"))))</f>
        <v>0</v>
      </c>
      <c r="V1033" s="26">
        <f>IF(B1033="","",IF(L1033&lt;&gt;"",L1033,IF(H1033="Retail",IFERROR(INDEX(Inventory!$I$5:$I$304,MATCH(I1033,Inventory!$A$5:$A$304,0))*1,0),IFERROR(INDEX(Services!$G$5:$G$204,MATCH(I1033,Services!$A$5:$A$204,0))*1,0))))</f>
        <v>0</v>
      </c>
      <c r="W1033" s="26">
        <f>IF(B1033="","",ROUND(T1033*V1033,2))</f>
        <v>0</v>
      </c>
      <c r="X1033" s="26">
        <f>IF(B1033="","",ROUND(IF(M1033="",0,W1033*M1033)+IF(N1033="",0,N1033),2))</f>
        <v>0</v>
      </c>
      <c r="Y1033" s="26">
        <f>IF(B1033="","",ROUND(W1033-X1033-IF(P1033="",0,P1033),2))</f>
        <v>0</v>
      </c>
      <c r="Z1033" s="26">
        <f>IF(B1033="","",IF(H1033="Retail",IF(TaxOnRetail="Yes",ROUND(Y1033*TaxRate,2),0),IF(H1033="Service",IF(TaxOnServices="Yes",ROUND(Y1033*TaxRate,2),0),0)))</f>
        <v>0</v>
      </c>
      <c r="AA1033" s="26">
        <f>IF(B1033="","",ROUND(Y1033+Z1033,2))</f>
        <v>0</v>
      </c>
      <c r="AB1033" s="26">
        <f>IF(B1033="","",ROUND(T1033*IF(H1033="Retail",IFERROR(INDEX(Inventory!$H$5:$H$304,MATCH(I1033,Inventory!$A$5:$A$304,0))*1,0),IFERROR(INDEX(Services!$Q$5:$Q$204,MATCH(I1033,Services!$A$5:$A$204,0))*1,0)),2))</f>
        <v>0</v>
      </c>
      <c r="AC1033" s="26">
        <f>IF(B1033="","",ROUND(Y1033-AB1033,2))</f>
        <v>0</v>
      </c>
      <c r="AD1033" s="38">
        <f>IF(B1033="","",IF(C1033="","No",IF(COUNTIFS($C$5:C1033,C1033)=1,"Yes","No")))</f>
        <v>0</v>
      </c>
      <c r="AE1033" s="26">
        <f>IF(B1033="","",ROUND(SUMIFS(Payments!$G$5:$G$1204,Payments!$H$5:$H$1204,A1033,Payments!$Q$5:$Q$1204,"Yes"),2))</f>
        <v>0</v>
      </c>
      <c r="AF1033" s="26">
        <f>IF(B1033="","",IF(AD1033="No",0,ROUND(SUMIFS(Payments!$G$5:$G$1204,Payments!$I$5:$I$1204,C1033,Payments!$H$5:$H$1204,"",Payments!$Q$5:$Q$1204,"Yes"),2)))</f>
        <v>0</v>
      </c>
      <c r="AG1033" s="26">
        <f>IF(B1033="","",ROUND(AE1033+AF1033,2))</f>
        <v>0</v>
      </c>
      <c r="AH1033" s="26">
        <f>IF(B1033="","",ROUND(AA1033-AG1033,2))</f>
        <v>0</v>
      </c>
      <c r="AI1033" s="39">
        <f>IF(B1033="","",IF(AA1033&lt;=0,"No charge",IF(AH1033&lt;=0.004,"Paid",IF(AG1033&lt;=0.004,"Unpaid","Part paid"))))</f>
        <v>0</v>
      </c>
      <c r="AJ1033" s="38">
        <f>IF(B1033="","",IF(H1033&lt;&gt;"Service","",IF(D1033="","No",IF(COUNTIFS($D$5:$D$1204,D1033,$B$5:$B$1204,B1033,$H$5:$H$1204,"Retail")&gt;0,"Yes","No"))))</f>
        <v>0</v>
      </c>
      <c r="AK1033" s="25">
        <f>IF(B1033="","",COUNTIFS($Y$5:$Y$1204,"&gt;"&amp;Y1033)+COUNTIFS($Y$5:Y1033,Y1033))</f>
        <v>0</v>
      </c>
      <c r="AL1033" s="39">
        <f>IF(B1033="","",IF(H1033="","Add - what kind of sale is this?",IF(IF(V1033&lt;=0,P1033="",FALSE),"Check - no price found for this item",IF(F1033="","Assign - nobody credited",IF(AH1033&gt;0.004,"Unpaid - balance outstanding",IF(AC1033&lt;0,"Loss - sold below cost",IF(X1033&gt;W1033*0.5,"Check - more than half off","OK")))))))</f>
        <v>0</v>
      </c>
    </row>
    <row r="1034" spans="1:38">
      <c r="A1034" s="28">
        <f>IF(B1034="","",SalePrefix&amp;TEXT(ROW()-4,"0000"))</f>
        <v>0</v>
      </c>
      <c r="E1034" s="15">
        <f>IF(D1034="","",IFERROR(INDEX(Clients!$B$5:$B$504,MATCH(D1034,Clients!$A$5:$A$504,0)),"Walk-in"))</f>
        <v>0</v>
      </c>
      <c r="G1034" s="15">
        <f>IF(F1034="","",IFERROR(INDEX(Staff!$B$5:$B$44,MATCH(F1034,Staff!$A$5:$A$44,0)),"House"))</f>
        <v>0</v>
      </c>
      <c r="R1034" s="15">
        <f>IF(B1034="","",TEXT(B1034,"yyyy-mm"))</f>
        <v>0</v>
      </c>
      <c r="S1034" s="25">
        <f>IF(B1034="","",WEEKNUM(B1034,2))</f>
        <v>0</v>
      </c>
      <c r="T1034" s="37">
        <f>IF(B1034="","",IF(K1034="",1,K1034))</f>
        <v>0</v>
      </c>
      <c r="U1034" s="15">
        <f>IF(B1034="","",IF(J1034&lt;&gt;"",J1034,IF(H1034="Retail",IFERROR(INDEX(Inventory!$B$5:$B$304,MATCH(I1034,Inventory!$A$5:$A$304,0))&amp;"","Not in Inventory"),IFERROR(INDEX(Services!$B$5:$B$204,MATCH(I1034,Services!$A$5:$A$204,0))&amp;"","Not in Services"))))</f>
        <v>0</v>
      </c>
      <c r="V1034" s="26">
        <f>IF(B1034="","",IF(L1034&lt;&gt;"",L1034,IF(H1034="Retail",IFERROR(INDEX(Inventory!$I$5:$I$304,MATCH(I1034,Inventory!$A$5:$A$304,0))*1,0),IFERROR(INDEX(Services!$G$5:$G$204,MATCH(I1034,Services!$A$5:$A$204,0))*1,0))))</f>
        <v>0</v>
      </c>
      <c r="W1034" s="26">
        <f>IF(B1034="","",ROUND(T1034*V1034,2))</f>
        <v>0</v>
      </c>
      <c r="X1034" s="26">
        <f>IF(B1034="","",ROUND(IF(M1034="",0,W1034*M1034)+IF(N1034="",0,N1034),2))</f>
        <v>0</v>
      </c>
      <c r="Y1034" s="26">
        <f>IF(B1034="","",ROUND(W1034-X1034-IF(P1034="",0,P1034),2))</f>
        <v>0</v>
      </c>
      <c r="Z1034" s="26">
        <f>IF(B1034="","",IF(H1034="Retail",IF(TaxOnRetail="Yes",ROUND(Y1034*TaxRate,2),0),IF(H1034="Service",IF(TaxOnServices="Yes",ROUND(Y1034*TaxRate,2),0),0)))</f>
        <v>0</v>
      </c>
      <c r="AA1034" s="26">
        <f>IF(B1034="","",ROUND(Y1034+Z1034,2))</f>
        <v>0</v>
      </c>
      <c r="AB1034" s="26">
        <f>IF(B1034="","",ROUND(T1034*IF(H1034="Retail",IFERROR(INDEX(Inventory!$H$5:$H$304,MATCH(I1034,Inventory!$A$5:$A$304,0))*1,0),IFERROR(INDEX(Services!$Q$5:$Q$204,MATCH(I1034,Services!$A$5:$A$204,0))*1,0)),2))</f>
        <v>0</v>
      </c>
      <c r="AC1034" s="26">
        <f>IF(B1034="","",ROUND(Y1034-AB1034,2))</f>
        <v>0</v>
      </c>
      <c r="AD1034" s="38">
        <f>IF(B1034="","",IF(C1034="","No",IF(COUNTIFS($C$5:C1034,C1034)=1,"Yes","No")))</f>
        <v>0</v>
      </c>
      <c r="AE1034" s="26">
        <f>IF(B1034="","",ROUND(SUMIFS(Payments!$G$5:$G$1204,Payments!$H$5:$H$1204,A1034,Payments!$Q$5:$Q$1204,"Yes"),2))</f>
        <v>0</v>
      </c>
      <c r="AF1034" s="26">
        <f>IF(B1034="","",IF(AD1034="No",0,ROUND(SUMIFS(Payments!$G$5:$G$1204,Payments!$I$5:$I$1204,C1034,Payments!$H$5:$H$1204,"",Payments!$Q$5:$Q$1204,"Yes"),2)))</f>
        <v>0</v>
      </c>
      <c r="AG1034" s="26">
        <f>IF(B1034="","",ROUND(AE1034+AF1034,2))</f>
        <v>0</v>
      </c>
      <c r="AH1034" s="26">
        <f>IF(B1034="","",ROUND(AA1034-AG1034,2))</f>
        <v>0</v>
      </c>
      <c r="AI1034" s="39">
        <f>IF(B1034="","",IF(AA1034&lt;=0,"No charge",IF(AH1034&lt;=0.004,"Paid",IF(AG1034&lt;=0.004,"Unpaid","Part paid"))))</f>
        <v>0</v>
      </c>
      <c r="AJ1034" s="38">
        <f>IF(B1034="","",IF(H1034&lt;&gt;"Service","",IF(D1034="","No",IF(COUNTIFS($D$5:$D$1204,D1034,$B$5:$B$1204,B1034,$H$5:$H$1204,"Retail")&gt;0,"Yes","No"))))</f>
        <v>0</v>
      </c>
      <c r="AK1034" s="25">
        <f>IF(B1034="","",COUNTIFS($Y$5:$Y$1204,"&gt;"&amp;Y1034)+COUNTIFS($Y$5:Y1034,Y1034))</f>
        <v>0</v>
      </c>
      <c r="AL1034" s="39">
        <f>IF(B1034="","",IF(H1034="","Add - what kind of sale is this?",IF(IF(V1034&lt;=0,P1034="",FALSE),"Check - no price found for this item",IF(F1034="","Assign - nobody credited",IF(AH1034&gt;0.004,"Unpaid - balance outstanding",IF(AC1034&lt;0,"Loss - sold below cost",IF(X1034&gt;W1034*0.5,"Check - more than half off","OK")))))))</f>
        <v>0</v>
      </c>
    </row>
    <row r="1035" spans="1:38">
      <c r="A1035" s="28">
        <f>IF(B1035="","",SalePrefix&amp;TEXT(ROW()-4,"0000"))</f>
        <v>0</v>
      </c>
      <c r="E1035" s="15">
        <f>IF(D1035="","",IFERROR(INDEX(Clients!$B$5:$B$504,MATCH(D1035,Clients!$A$5:$A$504,0)),"Walk-in"))</f>
        <v>0</v>
      </c>
      <c r="G1035" s="15">
        <f>IF(F1035="","",IFERROR(INDEX(Staff!$B$5:$B$44,MATCH(F1035,Staff!$A$5:$A$44,0)),"House"))</f>
        <v>0</v>
      </c>
      <c r="R1035" s="15">
        <f>IF(B1035="","",TEXT(B1035,"yyyy-mm"))</f>
        <v>0</v>
      </c>
      <c r="S1035" s="25">
        <f>IF(B1035="","",WEEKNUM(B1035,2))</f>
        <v>0</v>
      </c>
      <c r="T1035" s="37">
        <f>IF(B1035="","",IF(K1035="",1,K1035))</f>
        <v>0</v>
      </c>
      <c r="U1035" s="15">
        <f>IF(B1035="","",IF(J1035&lt;&gt;"",J1035,IF(H1035="Retail",IFERROR(INDEX(Inventory!$B$5:$B$304,MATCH(I1035,Inventory!$A$5:$A$304,0))&amp;"","Not in Inventory"),IFERROR(INDEX(Services!$B$5:$B$204,MATCH(I1035,Services!$A$5:$A$204,0))&amp;"","Not in Services"))))</f>
        <v>0</v>
      </c>
      <c r="V1035" s="26">
        <f>IF(B1035="","",IF(L1035&lt;&gt;"",L1035,IF(H1035="Retail",IFERROR(INDEX(Inventory!$I$5:$I$304,MATCH(I1035,Inventory!$A$5:$A$304,0))*1,0),IFERROR(INDEX(Services!$G$5:$G$204,MATCH(I1035,Services!$A$5:$A$204,0))*1,0))))</f>
        <v>0</v>
      </c>
      <c r="W1035" s="26">
        <f>IF(B1035="","",ROUND(T1035*V1035,2))</f>
        <v>0</v>
      </c>
      <c r="X1035" s="26">
        <f>IF(B1035="","",ROUND(IF(M1035="",0,W1035*M1035)+IF(N1035="",0,N1035),2))</f>
        <v>0</v>
      </c>
      <c r="Y1035" s="26">
        <f>IF(B1035="","",ROUND(W1035-X1035-IF(P1035="",0,P1035),2))</f>
        <v>0</v>
      </c>
      <c r="Z1035" s="26">
        <f>IF(B1035="","",IF(H1035="Retail",IF(TaxOnRetail="Yes",ROUND(Y1035*TaxRate,2),0),IF(H1035="Service",IF(TaxOnServices="Yes",ROUND(Y1035*TaxRate,2),0),0)))</f>
        <v>0</v>
      </c>
      <c r="AA1035" s="26">
        <f>IF(B1035="","",ROUND(Y1035+Z1035,2))</f>
        <v>0</v>
      </c>
      <c r="AB1035" s="26">
        <f>IF(B1035="","",ROUND(T1035*IF(H1035="Retail",IFERROR(INDEX(Inventory!$H$5:$H$304,MATCH(I1035,Inventory!$A$5:$A$304,0))*1,0),IFERROR(INDEX(Services!$Q$5:$Q$204,MATCH(I1035,Services!$A$5:$A$204,0))*1,0)),2))</f>
        <v>0</v>
      </c>
      <c r="AC1035" s="26">
        <f>IF(B1035="","",ROUND(Y1035-AB1035,2))</f>
        <v>0</v>
      </c>
      <c r="AD1035" s="38">
        <f>IF(B1035="","",IF(C1035="","No",IF(COUNTIFS($C$5:C1035,C1035)=1,"Yes","No")))</f>
        <v>0</v>
      </c>
      <c r="AE1035" s="26">
        <f>IF(B1035="","",ROUND(SUMIFS(Payments!$G$5:$G$1204,Payments!$H$5:$H$1204,A1035,Payments!$Q$5:$Q$1204,"Yes"),2))</f>
        <v>0</v>
      </c>
      <c r="AF1035" s="26">
        <f>IF(B1035="","",IF(AD1035="No",0,ROUND(SUMIFS(Payments!$G$5:$G$1204,Payments!$I$5:$I$1204,C1035,Payments!$H$5:$H$1204,"",Payments!$Q$5:$Q$1204,"Yes"),2)))</f>
        <v>0</v>
      </c>
      <c r="AG1035" s="26">
        <f>IF(B1035="","",ROUND(AE1035+AF1035,2))</f>
        <v>0</v>
      </c>
      <c r="AH1035" s="26">
        <f>IF(B1035="","",ROUND(AA1035-AG1035,2))</f>
        <v>0</v>
      </c>
      <c r="AI1035" s="39">
        <f>IF(B1035="","",IF(AA1035&lt;=0,"No charge",IF(AH1035&lt;=0.004,"Paid",IF(AG1035&lt;=0.004,"Unpaid","Part paid"))))</f>
        <v>0</v>
      </c>
      <c r="AJ1035" s="38">
        <f>IF(B1035="","",IF(H1035&lt;&gt;"Service","",IF(D1035="","No",IF(COUNTIFS($D$5:$D$1204,D1035,$B$5:$B$1204,B1035,$H$5:$H$1204,"Retail")&gt;0,"Yes","No"))))</f>
        <v>0</v>
      </c>
      <c r="AK1035" s="25">
        <f>IF(B1035="","",COUNTIFS($Y$5:$Y$1204,"&gt;"&amp;Y1035)+COUNTIFS($Y$5:Y1035,Y1035))</f>
        <v>0</v>
      </c>
      <c r="AL1035" s="39">
        <f>IF(B1035="","",IF(H1035="","Add - what kind of sale is this?",IF(IF(V1035&lt;=0,P1035="",FALSE),"Check - no price found for this item",IF(F1035="","Assign - nobody credited",IF(AH1035&gt;0.004,"Unpaid - balance outstanding",IF(AC1035&lt;0,"Loss - sold below cost",IF(X1035&gt;W1035*0.5,"Check - more than half off","OK")))))))</f>
        <v>0</v>
      </c>
    </row>
    <row r="1036" spans="1:38">
      <c r="A1036" s="28">
        <f>IF(B1036="","",SalePrefix&amp;TEXT(ROW()-4,"0000"))</f>
        <v>0</v>
      </c>
      <c r="E1036" s="15">
        <f>IF(D1036="","",IFERROR(INDEX(Clients!$B$5:$B$504,MATCH(D1036,Clients!$A$5:$A$504,0)),"Walk-in"))</f>
        <v>0</v>
      </c>
      <c r="G1036" s="15">
        <f>IF(F1036="","",IFERROR(INDEX(Staff!$B$5:$B$44,MATCH(F1036,Staff!$A$5:$A$44,0)),"House"))</f>
        <v>0</v>
      </c>
      <c r="R1036" s="15">
        <f>IF(B1036="","",TEXT(B1036,"yyyy-mm"))</f>
        <v>0</v>
      </c>
      <c r="S1036" s="25">
        <f>IF(B1036="","",WEEKNUM(B1036,2))</f>
        <v>0</v>
      </c>
      <c r="T1036" s="37">
        <f>IF(B1036="","",IF(K1036="",1,K1036))</f>
        <v>0</v>
      </c>
      <c r="U1036" s="15">
        <f>IF(B1036="","",IF(J1036&lt;&gt;"",J1036,IF(H1036="Retail",IFERROR(INDEX(Inventory!$B$5:$B$304,MATCH(I1036,Inventory!$A$5:$A$304,0))&amp;"","Not in Inventory"),IFERROR(INDEX(Services!$B$5:$B$204,MATCH(I1036,Services!$A$5:$A$204,0))&amp;"","Not in Services"))))</f>
        <v>0</v>
      </c>
      <c r="V1036" s="26">
        <f>IF(B1036="","",IF(L1036&lt;&gt;"",L1036,IF(H1036="Retail",IFERROR(INDEX(Inventory!$I$5:$I$304,MATCH(I1036,Inventory!$A$5:$A$304,0))*1,0),IFERROR(INDEX(Services!$G$5:$G$204,MATCH(I1036,Services!$A$5:$A$204,0))*1,0))))</f>
        <v>0</v>
      </c>
      <c r="W1036" s="26">
        <f>IF(B1036="","",ROUND(T1036*V1036,2))</f>
        <v>0</v>
      </c>
      <c r="X1036" s="26">
        <f>IF(B1036="","",ROUND(IF(M1036="",0,W1036*M1036)+IF(N1036="",0,N1036),2))</f>
        <v>0</v>
      </c>
      <c r="Y1036" s="26">
        <f>IF(B1036="","",ROUND(W1036-X1036-IF(P1036="",0,P1036),2))</f>
        <v>0</v>
      </c>
      <c r="Z1036" s="26">
        <f>IF(B1036="","",IF(H1036="Retail",IF(TaxOnRetail="Yes",ROUND(Y1036*TaxRate,2),0),IF(H1036="Service",IF(TaxOnServices="Yes",ROUND(Y1036*TaxRate,2),0),0)))</f>
        <v>0</v>
      </c>
      <c r="AA1036" s="26">
        <f>IF(B1036="","",ROUND(Y1036+Z1036,2))</f>
        <v>0</v>
      </c>
      <c r="AB1036" s="26">
        <f>IF(B1036="","",ROUND(T1036*IF(H1036="Retail",IFERROR(INDEX(Inventory!$H$5:$H$304,MATCH(I1036,Inventory!$A$5:$A$304,0))*1,0),IFERROR(INDEX(Services!$Q$5:$Q$204,MATCH(I1036,Services!$A$5:$A$204,0))*1,0)),2))</f>
        <v>0</v>
      </c>
      <c r="AC1036" s="26">
        <f>IF(B1036="","",ROUND(Y1036-AB1036,2))</f>
        <v>0</v>
      </c>
      <c r="AD1036" s="38">
        <f>IF(B1036="","",IF(C1036="","No",IF(COUNTIFS($C$5:C1036,C1036)=1,"Yes","No")))</f>
        <v>0</v>
      </c>
      <c r="AE1036" s="26">
        <f>IF(B1036="","",ROUND(SUMIFS(Payments!$G$5:$G$1204,Payments!$H$5:$H$1204,A1036,Payments!$Q$5:$Q$1204,"Yes"),2))</f>
        <v>0</v>
      </c>
      <c r="AF1036" s="26">
        <f>IF(B1036="","",IF(AD1036="No",0,ROUND(SUMIFS(Payments!$G$5:$G$1204,Payments!$I$5:$I$1204,C1036,Payments!$H$5:$H$1204,"",Payments!$Q$5:$Q$1204,"Yes"),2)))</f>
        <v>0</v>
      </c>
      <c r="AG1036" s="26">
        <f>IF(B1036="","",ROUND(AE1036+AF1036,2))</f>
        <v>0</v>
      </c>
      <c r="AH1036" s="26">
        <f>IF(B1036="","",ROUND(AA1036-AG1036,2))</f>
        <v>0</v>
      </c>
      <c r="AI1036" s="39">
        <f>IF(B1036="","",IF(AA1036&lt;=0,"No charge",IF(AH1036&lt;=0.004,"Paid",IF(AG1036&lt;=0.004,"Unpaid","Part paid"))))</f>
        <v>0</v>
      </c>
      <c r="AJ1036" s="38">
        <f>IF(B1036="","",IF(H1036&lt;&gt;"Service","",IF(D1036="","No",IF(COUNTIFS($D$5:$D$1204,D1036,$B$5:$B$1204,B1036,$H$5:$H$1204,"Retail")&gt;0,"Yes","No"))))</f>
        <v>0</v>
      </c>
      <c r="AK1036" s="25">
        <f>IF(B1036="","",COUNTIFS($Y$5:$Y$1204,"&gt;"&amp;Y1036)+COUNTIFS($Y$5:Y1036,Y1036))</f>
        <v>0</v>
      </c>
      <c r="AL1036" s="39">
        <f>IF(B1036="","",IF(H1036="","Add - what kind of sale is this?",IF(IF(V1036&lt;=0,P1036="",FALSE),"Check - no price found for this item",IF(F1036="","Assign - nobody credited",IF(AH1036&gt;0.004,"Unpaid - balance outstanding",IF(AC1036&lt;0,"Loss - sold below cost",IF(X1036&gt;W1036*0.5,"Check - more than half off","OK")))))))</f>
        <v>0</v>
      </c>
    </row>
    <row r="1037" spans="1:38">
      <c r="A1037" s="28">
        <f>IF(B1037="","",SalePrefix&amp;TEXT(ROW()-4,"0000"))</f>
        <v>0</v>
      </c>
      <c r="E1037" s="15">
        <f>IF(D1037="","",IFERROR(INDEX(Clients!$B$5:$B$504,MATCH(D1037,Clients!$A$5:$A$504,0)),"Walk-in"))</f>
        <v>0</v>
      </c>
      <c r="G1037" s="15">
        <f>IF(F1037="","",IFERROR(INDEX(Staff!$B$5:$B$44,MATCH(F1037,Staff!$A$5:$A$44,0)),"House"))</f>
        <v>0</v>
      </c>
      <c r="R1037" s="15">
        <f>IF(B1037="","",TEXT(B1037,"yyyy-mm"))</f>
        <v>0</v>
      </c>
      <c r="S1037" s="25">
        <f>IF(B1037="","",WEEKNUM(B1037,2))</f>
        <v>0</v>
      </c>
      <c r="T1037" s="37">
        <f>IF(B1037="","",IF(K1037="",1,K1037))</f>
        <v>0</v>
      </c>
      <c r="U1037" s="15">
        <f>IF(B1037="","",IF(J1037&lt;&gt;"",J1037,IF(H1037="Retail",IFERROR(INDEX(Inventory!$B$5:$B$304,MATCH(I1037,Inventory!$A$5:$A$304,0))&amp;"","Not in Inventory"),IFERROR(INDEX(Services!$B$5:$B$204,MATCH(I1037,Services!$A$5:$A$204,0))&amp;"","Not in Services"))))</f>
        <v>0</v>
      </c>
      <c r="V1037" s="26">
        <f>IF(B1037="","",IF(L1037&lt;&gt;"",L1037,IF(H1037="Retail",IFERROR(INDEX(Inventory!$I$5:$I$304,MATCH(I1037,Inventory!$A$5:$A$304,0))*1,0),IFERROR(INDEX(Services!$G$5:$G$204,MATCH(I1037,Services!$A$5:$A$204,0))*1,0))))</f>
        <v>0</v>
      </c>
      <c r="W1037" s="26">
        <f>IF(B1037="","",ROUND(T1037*V1037,2))</f>
        <v>0</v>
      </c>
      <c r="X1037" s="26">
        <f>IF(B1037="","",ROUND(IF(M1037="",0,W1037*M1037)+IF(N1037="",0,N1037),2))</f>
        <v>0</v>
      </c>
      <c r="Y1037" s="26">
        <f>IF(B1037="","",ROUND(W1037-X1037-IF(P1037="",0,P1037),2))</f>
        <v>0</v>
      </c>
      <c r="Z1037" s="26">
        <f>IF(B1037="","",IF(H1037="Retail",IF(TaxOnRetail="Yes",ROUND(Y1037*TaxRate,2),0),IF(H1037="Service",IF(TaxOnServices="Yes",ROUND(Y1037*TaxRate,2),0),0)))</f>
        <v>0</v>
      </c>
      <c r="AA1037" s="26">
        <f>IF(B1037="","",ROUND(Y1037+Z1037,2))</f>
        <v>0</v>
      </c>
      <c r="AB1037" s="26">
        <f>IF(B1037="","",ROUND(T1037*IF(H1037="Retail",IFERROR(INDEX(Inventory!$H$5:$H$304,MATCH(I1037,Inventory!$A$5:$A$304,0))*1,0),IFERROR(INDEX(Services!$Q$5:$Q$204,MATCH(I1037,Services!$A$5:$A$204,0))*1,0)),2))</f>
        <v>0</v>
      </c>
      <c r="AC1037" s="26">
        <f>IF(B1037="","",ROUND(Y1037-AB1037,2))</f>
        <v>0</v>
      </c>
      <c r="AD1037" s="38">
        <f>IF(B1037="","",IF(C1037="","No",IF(COUNTIFS($C$5:C1037,C1037)=1,"Yes","No")))</f>
        <v>0</v>
      </c>
      <c r="AE1037" s="26">
        <f>IF(B1037="","",ROUND(SUMIFS(Payments!$G$5:$G$1204,Payments!$H$5:$H$1204,A1037,Payments!$Q$5:$Q$1204,"Yes"),2))</f>
        <v>0</v>
      </c>
      <c r="AF1037" s="26">
        <f>IF(B1037="","",IF(AD1037="No",0,ROUND(SUMIFS(Payments!$G$5:$G$1204,Payments!$I$5:$I$1204,C1037,Payments!$H$5:$H$1204,"",Payments!$Q$5:$Q$1204,"Yes"),2)))</f>
        <v>0</v>
      </c>
      <c r="AG1037" s="26">
        <f>IF(B1037="","",ROUND(AE1037+AF1037,2))</f>
        <v>0</v>
      </c>
      <c r="AH1037" s="26">
        <f>IF(B1037="","",ROUND(AA1037-AG1037,2))</f>
        <v>0</v>
      </c>
      <c r="AI1037" s="39">
        <f>IF(B1037="","",IF(AA1037&lt;=0,"No charge",IF(AH1037&lt;=0.004,"Paid",IF(AG1037&lt;=0.004,"Unpaid","Part paid"))))</f>
        <v>0</v>
      </c>
      <c r="AJ1037" s="38">
        <f>IF(B1037="","",IF(H1037&lt;&gt;"Service","",IF(D1037="","No",IF(COUNTIFS($D$5:$D$1204,D1037,$B$5:$B$1204,B1037,$H$5:$H$1204,"Retail")&gt;0,"Yes","No"))))</f>
        <v>0</v>
      </c>
      <c r="AK1037" s="25">
        <f>IF(B1037="","",COUNTIFS($Y$5:$Y$1204,"&gt;"&amp;Y1037)+COUNTIFS($Y$5:Y1037,Y1037))</f>
        <v>0</v>
      </c>
      <c r="AL1037" s="39">
        <f>IF(B1037="","",IF(H1037="","Add - what kind of sale is this?",IF(IF(V1037&lt;=0,P1037="",FALSE),"Check - no price found for this item",IF(F1037="","Assign - nobody credited",IF(AH1037&gt;0.004,"Unpaid - balance outstanding",IF(AC1037&lt;0,"Loss - sold below cost",IF(X1037&gt;W1037*0.5,"Check - more than half off","OK")))))))</f>
        <v>0</v>
      </c>
    </row>
    <row r="1038" spans="1:38">
      <c r="A1038" s="28">
        <f>IF(B1038="","",SalePrefix&amp;TEXT(ROW()-4,"0000"))</f>
        <v>0</v>
      </c>
      <c r="E1038" s="15">
        <f>IF(D1038="","",IFERROR(INDEX(Clients!$B$5:$B$504,MATCH(D1038,Clients!$A$5:$A$504,0)),"Walk-in"))</f>
        <v>0</v>
      </c>
      <c r="G1038" s="15">
        <f>IF(F1038="","",IFERROR(INDEX(Staff!$B$5:$B$44,MATCH(F1038,Staff!$A$5:$A$44,0)),"House"))</f>
        <v>0</v>
      </c>
      <c r="R1038" s="15">
        <f>IF(B1038="","",TEXT(B1038,"yyyy-mm"))</f>
        <v>0</v>
      </c>
      <c r="S1038" s="25">
        <f>IF(B1038="","",WEEKNUM(B1038,2))</f>
        <v>0</v>
      </c>
      <c r="T1038" s="37">
        <f>IF(B1038="","",IF(K1038="",1,K1038))</f>
        <v>0</v>
      </c>
      <c r="U1038" s="15">
        <f>IF(B1038="","",IF(J1038&lt;&gt;"",J1038,IF(H1038="Retail",IFERROR(INDEX(Inventory!$B$5:$B$304,MATCH(I1038,Inventory!$A$5:$A$304,0))&amp;"","Not in Inventory"),IFERROR(INDEX(Services!$B$5:$B$204,MATCH(I1038,Services!$A$5:$A$204,0))&amp;"","Not in Services"))))</f>
        <v>0</v>
      </c>
      <c r="V1038" s="26">
        <f>IF(B1038="","",IF(L1038&lt;&gt;"",L1038,IF(H1038="Retail",IFERROR(INDEX(Inventory!$I$5:$I$304,MATCH(I1038,Inventory!$A$5:$A$304,0))*1,0),IFERROR(INDEX(Services!$G$5:$G$204,MATCH(I1038,Services!$A$5:$A$204,0))*1,0))))</f>
        <v>0</v>
      </c>
      <c r="W1038" s="26">
        <f>IF(B1038="","",ROUND(T1038*V1038,2))</f>
        <v>0</v>
      </c>
      <c r="X1038" s="26">
        <f>IF(B1038="","",ROUND(IF(M1038="",0,W1038*M1038)+IF(N1038="",0,N1038),2))</f>
        <v>0</v>
      </c>
      <c r="Y1038" s="26">
        <f>IF(B1038="","",ROUND(W1038-X1038-IF(P1038="",0,P1038),2))</f>
        <v>0</v>
      </c>
      <c r="Z1038" s="26">
        <f>IF(B1038="","",IF(H1038="Retail",IF(TaxOnRetail="Yes",ROUND(Y1038*TaxRate,2),0),IF(H1038="Service",IF(TaxOnServices="Yes",ROUND(Y1038*TaxRate,2),0),0)))</f>
        <v>0</v>
      </c>
      <c r="AA1038" s="26">
        <f>IF(B1038="","",ROUND(Y1038+Z1038,2))</f>
        <v>0</v>
      </c>
      <c r="AB1038" s="26">
        <f>IF(B1038="","",ROUND(T1038*IF(H1038="Retail",IFERROR(INDEX(Inventory!$H$5:$H$304,MATCH(I1038,Inventory!$A$5:$A$304,0))*1,0),IFERROR(INDEX(Services!$Q$5:$Q$204,MATCH(I1038,Services!$A$5:$A$204,0))*1,0)),2))</f>
        <v>0</v>
      </c>
      <c r="AC1038" s="26">
        <f>IF(B1038="","",ROUND(Y1038-AB1038,2))</f>
        <v>0</v>
      </c>
      <c r="AD1038" s="38">
        <f>IF(B1038="","",IF(C1038="","No",IF(COUNTIFS($C$5:C1038,C1038)=1,"Yes","No")))</f>
        <v>0</v>
      </c>
      <c r="AE1038" s="26">
        <f>IF(B1038="","",ROUND(SUMIFS(Payments!$G$5:$G$1204,Payments!$H$5:$H$1204,A1038,Payments!$Q$5:$Q$1204,"Yes"),2))</f>
        <v>0</v>
      </c>
      <c r="AF1038" s="26">
        <f>IF(B1038="","",IF(AD1038="No",0,ROUND(SUMIFS(Payments!$G$5:$G$1204,Payments!$I$5:$I$1204,C1038,Payments!$H$5:$H$1204,"",Payments!$Q$5:$Q$1204,"Yes"),2)))</f>
        <v>0</v>
      </c>
      <c r="AG1038" s="26">
        <f>IF(B1038="","",ROUND(AE1038+AF1038,2))</f>
        <v>0</v>
      </c>
      <c r="AH1038" s="26">
        <f>IF(B1038="","",ROUND(AA1038-AG1038,2))</f>
        <v>0</v>
      </c>
      <c r="AI1038" s="39">
        <f>IF(B1038="","",IF(AA1038&lt;=0,"No charge",IF(AH1038&lt;=0.004,"Paid",IF(AG1038&lt;=0.004,"Unpaid","Part paid"))))</f>
        <v>0</v>
      </c>
      <c r="AJ1038" s="38">
        <f>IF(B1038="","",IF(H1038&lt;&gt;"Service","",IF(D1038="","No",IF(COUNTIFS($D$5:$D$1204,D1038,$B$5:$B$1204,B1038,$H$5:$H$1204,"Retail")&gt;0,"Yes","No"))))</f>
        <v>0</v>
      </c>
      <c r="AK1038" s="25">
        <f>IF(B1038="","",COUNTIFS($Y$5:$Y$1204,"&gt;"&amp;Y1038)+COUNTIFS($Y$5:Y1038,Y1038))</f>
        <v>0</v>
      </c>
      <c r="AL1038" s="39">
        <f>IF(B1038="","",IF(H1038="","Add - what kind of sale is this?",IF(IF(V1038&lt;=0,P1038="",FALSE),"Check - no price found for this item",IF(F1038="","Assign - nobody credited",IF(AH1038&gt;0.004,"Unpaid - balance outstanding",IF(AC1038&lt;0,"Loss - sold below cost",IF(X1038&gt;W1038*0.5,"Check - more than half off","OK")))))))</f>
        <v>0</v>
      </c>
    </row>
    <row r="1039" spans="1:38">
      <c r="A1039" s="28">
        <f>IF(B1039="","",SalePrefix&amp;TEXT(ROW()-4,"0000"))</f>
        <v>0</v>
      </c>
      <c r="E1039" s="15">
        <f>IF(D1039="","",IFERROR(INDEX(Clients!$B$5:$B$504,MATCH(D1039,Clients!$A$5:$A$504,0)),"Walk-in"))</f>
        <v>0</v>
      </c>
      <c r="G1039" s="15">
        <f>IF(F1039="","",IFERROR(INDEX(Staff!$B$5:$B$44,MATCH(F1039,Staff!$A$5:$A$44,0)),"House"))</f>
        <v>0</v>
      </c>
      <c r="R1039" s="15">
        <f>IF(B1039="","",TEXT(B1039,"yyyy-mm"))</f>
        <v>0</v>
      </c>
      <c r="S1039" s="25">
        <f>IF(B1039="","",WEEKNUM(B1039,2))</f>
        <v>0</v>
      </c>
      <c r="T1039" s="37">
        <f>IF(B1039="","",IF(K1039="",1,K1039))</f>
        <v>0</v>
      </c>
      <c r="U1039" s="15">
        <f>IF(B1039="","",IF(J1039&lt;&gt;"",J1039,IF(H1039="Retail",IFERROR(INDEX(Inventory!$B$5:$B$304,MATCH(I1039,Inventory!$A$5:$A$304,0))&amp;"","Not in Inventory"),IFERROR(INDEX(Services!$B$5:$B$204,MATCH(I1039,Services!$A$5:$A$204,0))&amp;"","Not in Services"))))</f>
        <v>0</v>
      </c>
      <c r="V1039" s="26">
        <f>IF(B1039="","",IF(L1039&lt;&gt;"",L1039,IF(H1039="Retail",IFERROR(INDEX(Inventory!$I$5:$I$304,MATCH(I1039,Inventory!$A$5:$A$304,0))*1,0),IFERROR(INDEX(Services!$G$5:$G$204,MATCH(I1039,Services!$A$5:$A$204,0))*1,0))))</f>
        <v>0</v>
      </c>
      <c r="W1039" s="26">
        <f>IF(B1039="","",ROUND(T1039*V1039,2))</f>
        <v>0</v>
      </c>
      <c r="X1039" s="26">
        <f>IF(B1039="","",ROUND(IF(M1039="",0,W1039*M1039)+IF(N1039="",0,N1039),2))</f>
        <v>0</v>
      </c>
      <c r="Y1039" s="26">
        <f>IF(B1039="","",ROUND(W1039-X1039-IF(P1039="",0,P1039),2))</f>
        <v>0</v>
      </c>
      <c r="Z1039" s="26">
        <f>IF(B1039="","",IF(H1039="Retail",IF(TaxOnRetail="Yes",ROUND(Y1039*TaxRate,2),0),IF(H1039="Service",IF(TaxOnServices="Yes",ROUND(Y1039*TaxRate,2),0),0)))</f>
        <v>0</v>
      </c>
      <c r="AA1039" s="26">
        <f>IF(B1039="","",ROUND(Y1039+Z1039,2))</f>
        <v>0</v>
      </c>
      <c r="AB1039" s="26">
        <f>IF(B1039="","",ROUND(T1039*IF(H1039="Retail",IFERROR(INDEX(Inventory!$H$5:$H$304,MATCH(I1039,Inventory!$A$5:$A$304,0))*1,0),IFERROR(INDEX(Services!$Q$5:$Q$204,MATCH(I1039,Services!$A$5:$A$204,0))*1,0)),2))</f>
        <v>0</v>
      </c>
      <c r="AC1039" s="26">
        <f>IF(B1039="","",ROUND(Y1039-AB1039,2))</f>
        <v>0</v>
      </c>
      <c r="AD1039" s="38">
        <f>IF(B1039="","",IF(C1039="","No",IF(COUNTIFS($C$5:C1039,C1039)=1,"Yes","No")))</f>
        <v>0</v>
      </c>
      <c r="AE1039" s="26">
        <f>IF(B1039="","",ROUND(SUMIFS(Payments!$G$5:$G$1204,Payments!$H$5:$H$1204,A1039,Payments!$Q$5:$Q$1204,"Yes"),2))</f>
        <v>0</v>
      </c>
      <c r="AF1039" s="26">
        <f>IF(B1039="","",IF(AD1039="No",0,ROUND(SUMIFS(Payments!$G$5:$G$1204,Payments!$I$5:$I$1204,C1039,Payments!$H$5:$H$1204,"",Payments!$Q$5:$Q$1204,"Yes"),2)))</f>
        <v>0</v>
      </c>
      <c r="AG1039" s="26">
        <f>IF(B1039="","",ROUND(AE1039+AF1039,2))</f>
        <v>0</v>
      </c>
      <c r="AH1039" s="26">
        <f>IF(B1039="","",ROUND(AA1039-AG1039,2))</f>
        <v>0</v>
      </c>
      <c r="AI1039" s="39">
        <f>IF(B1039="","",IF(AA1039&lt;=0,"No charge",IF(AH1039&lt;=0.004,"Paid",IF(AG1039&lt;=0.004,"Unpaid","Part paid"))))</f>
        <v>0</v>
      </c>
      <c r="AJ1039" s="38">
        <f>IF(B1039="","",IF(H1039&lt;&gt;"Service","",IF(D1039="","No",IF(COUNTIFS($D$5:$D$1204,D1039,$B$5:$B$1204,B1039,$H$5:$H$1204,"Retail")&gt;0,"Yes","No"))))</f>
        <v>0</v>
      </c>
      <c r="AK1039" s="25">
        <f>IF(B1039="","",COUNTIFS($Y$5:$Y$1204,"&gt;"&amp;Y1039)+COUNTIFS($Y$5:Y1039,Y1039))</f>
        <v>0</v>
      </c>
      <c r="AL1039" s="39">
        <f>IF(B1039="","",IF(H1039="","Add - what kind of sale is this?",IF(IF(V1039&lt;=0,P1039="",FALSE),"Check - no price found for this item",IF(F1039="","Assign - nobody credited",IF(AH1039&gt;0.004,"Unpaid - balance outstanding",IF(AC1039&lt;0,"Loss - sold below cost",IF(X1039&gt;W1039*0.5,"Check - more than half off","OK")))))))</f>
        <v>0</v>
      </c>
    </row>
    <row r="1040" spans="1:38">
      <c r="A1040" s="28">
        <f>IF(B1040="","",SalePrefix&amp;TEXT(ROW()-4,"0000"))</f>
        <v>0</v>
      </c>
      <c r="E1040" s="15">
        <f>IF(D1040="","",IFERROR(INDEX(Clients!$B$5:$B$504,MATCH(D1040,Clients!$A$5:$A$504,0)),"Walk-in"))</f>
        <v>0</v>
      </c>
      <c r="G1040" s="15">
        <f>IF(F1040="","",IFERROR(INDEX(Staff!$B$5:$B$44,MATCH(F1040,Staff!$A$5:$A$44,0)),"House"))</f>
        <v>0</v>
      </c>
      <c r="R1040" s="15">
        <f>IF(B1040="","",TEXT(B1040,"yyyy-mm"))</f>
        <v>0</v>
      </c>
      <c r="S1040" s="25">
        <f>IF(B1040="","",WEEKNUM(B1040,2))</f>
        <v>0</v>
      </c>
      <c r="T1040" s="37">
        <f>IF(B1040="","",IF(K1040="",1,K1040))</f>
        <v>0</v>
      </c>
      <c r="U1040" s="15">
        <f>IF(B1040="","",IF(J1040&lt;&gt;"",J1040,IF(H1040="Retail",IFERROR(INDEX(Inventory!$B$5:$B$304,MATCH(I1040,Inventory!$A$5:$A$304,0))&amp;"","Not in Inventory"),IFERROR(INDEX(Services!$B$5:$B$204,MATCH(I1040,Services!$A$5:$A$204,0))&amp;"","Not in Services"))))</f>
        <v>0</v>
      </c>
      <c r="V1040" s="26">
        <f>IF(B1040="","",IF(L1040&lt;&gt;"",L1040,IF(H1040="Retail",IFERROR(INDEX(Inventory!$I$5:$I$304,MATCH(I1040,Inventory!$A$5:$A$304,0))*1,0),IFERROR(INDEX(Services!$G$5:$G$204,MATCH(I1040,Services!$A$5:$A$204,0))*1,0))))</f>
        <v>0</v>
      </c>
      <c r="W1040" s="26">
        <f>IF(B1040="","",ROUND(T1040*V1040,2))</f>
        <v>0</v>
      </c>
      <c r="X1040" s="26">
        <f>IF(B1040="","",ROUND(IF(M1040="",0,W1040*M1040)+IF(N1040="",0,N1040),2))</f>
        <v>0</v>
      </c>
      <c r="Y1040" s="26">
        <f>IF(B1040="","",ROUND(W1040-X1040-IF(P1040="",0,P1040),2))</f>
        <v>0</v>
      </c>
      <c r="Z1040" s="26">
        <f>IF(B1040="","",IF(H1040="Retail",IF(TaxOnRetail="Yes",ROUND(Y1040*TaxRate,2),0),IF(H1040="Service",IF(TaxOnServices="Yes",ROUND(Y1040*TaxRate,2),0),0)))</f>
        <v>0</v>
      </c>
      <c r="AA1040" s="26">
        <f>IF(B1040="","",ROUND(Y1040+Z1040,2))</f>
        <v>0</v>
      </c>
      <c r="AB1040" s="26">
        <f>IF(B1040="","",ROUND(T1040*IF(H1040="Retail",IFERROR(INDEX(Inventory!$H$5:$H$304,MATCH(I1040,Inventory!$A$5:$A$304,0))*1,0),IFERROR(INDEX(Services!$Q$5:$Q$204,MATCH(I1040,Services!$A$5:$A$204,0))*1,0)),2))</f>
        <v>0</v>
      </c>
      <c r="AC1040" s="26">
        <f>IF(B1040="","",ROUND(Y1040-AB1040,2))</f>
        <v>0</v>
      </c>
      <c r="AD1040" s="38">
        <f>IF(B1040="","",IF(C1040="","No",IF(COUNTIFS($C$5:C1040,C1040)=1,"Yes","No")))</f>
        <v>0</v>
      </c>
      <c r="AE1040" s="26">
        <f>IF(B1040="","",ROUND(SUMIFS(Payments!$G$5:$G$1204,Payments!$H$5:$H$1204,A1040,Payments!$Q$5:$Q$1204,"Yes"),2))</f>
        <v>0</v>
      </c>
      <c r="AF1040" s="26">
        <f>IF(B1040="","",IF(AD1040="No",0,ROUND(SUMIFS(Payments!$G$5:$G$1204,Payments!$I$5:$I$1204,C1040,Payments!$H$5:$H$1204,"",Payments!$Q$5:$Q$1204,"Yes"),2)))</f>
        <v>0</v>
      </c>
      <c r="AG1040" s="26">
        <f>IF(B1040="","",ROUND(AE1040+AF1040,2))</f>
        <v>0</v>
      </c>
      <c r="AH1040" s="26">
        <f>IF(B1040="","",ROUND(AA1040-AG1040,2))</f>
        <v>0</v>
      </c>
      <c r="AI1040" s="39">
        <f>IF(B1040="","",IF(AA1040&lt;=0,"No charge",IF(AH1040&lt;=0.004,"Paid",IF(AG1040&lt;=0.004,"Unpaid","Part paid"))))</f>
        <v>0</v>
      </c>
      <c r="AJ1040" s="38">
        <f>IF(B1040="","",IF(H1040&lt;&gt;"Service","",IF(D1040="","No",IF(COUNTIFS($D$5:$D$1204,D1040,$B$5:$B$1204,B1040,$H$5:$H$1204,"Retail")&gt;0,"Yes","No"))))</f>
        <v>0</v>
      </c>
      <c r="AK1040" s="25">
        <f>IF(B1040="","",COUNTIFS($Y$5:$Y$1204,"&gt;"&amp;Y1040)+COUNTIFS($Y$5:Y1040,Y1040))</f>
        <v>0</v>
      </c>
      <c r="AL1040" s="39">
        <f>IF(B1040="","",IF(H1040="","Add - what kind of sale is this?",IF(IF(V1040&lt;=0,P1040="",FALSE),"Check - no price found for this item",IF(F1040="","Assign - nobody credited",IF(AH1040&gt;0.004,"Unpaid - balance outstanding",IF(AC1040&lt;0,"Loss - sold below cost",IF(X1040&gt;W1040*0.5,"Check - more than half off","OK")))))))</f>
        <v>0</v>
      </c>
    </row>
    <row r="1041" spans="1:38">
      <c r="A1041" s="28">
        <f>IF(B1041="","",SalePrefix&amp;TEXT(ROW()-4,"0000"))</f>
        <v>0</v>
      </c>
      <c r="E1041" s="15">
        <f>IF(D1041="","",IFERROR(INDEX(Clients!$B$5:$B$504,MATCH(D1041,Clients!$A$5:$A$504,0)),"Walk-in"))</f>
        <v>0</v>
      </c>
      <c r="G1041" s="15">
        <f>IF(F1041="","",IFERROR(INDEX(Staff!$B$5:$B$44,MATCH(F1041,Staff!$A$5:$A$44,0)),"House"))</f>
        <v>0</v>
      </c>
      <c r="R1041" s="15">
        <f>IF(B1041="","",TEXT(B1041,"yyyy-mm"))</f>
        <v>0</v>
      </c>
      <c r="S1041" s="25">
        <f>IF(B1041="","",WEEKNUM(B1041,2))</f>
        <v>0</v>
      </c>
      <c r="T1041" s="37">
        <f>IF(B1041="","",IF(K1041="",1,K1041))</f>
        <v>0</v>
      </c>
      <c r="U1041" s="15">
        <f>IF(B1041="","",IF(J1041&lt;&gt;"",J1041,IF(H1041="Retail",IFERROR(INDEX(Inventory!$B$5:$B$304,MATCH(I1041,Inventory!$A$5:$A$304,0))&amp;"","Not in Inventory"),IFERROR(INDEX(Services!$B$5:$B$204,MATCH(I1041,Services!$A$5:$A$204,0))&amp;"","Not in Services"))))</f>
        <v>0</v>
      </c>
      <c r="V1041" s="26">
        <f>IF(B1041="","",IF(L1041&lt;&gt;"",L1041,IF(H1041="Retail",IFERROR(INDEX(Inventory!$I$5:$I$304,MATCH(I1041,Inventory!$A$5:$A$304,0))*1,0),IFERROR(INDEX(Services!$G$5:$G$204,MATCH(I1041,Services!$A$5:$A$204,0))*1,0))))</f>
        <v>0</v>
      </c>
      <c r="W1041" s="26">
        <f>IF(B1041="","",ROUND(T1041*V1041,2))</f>
        <v>0</v>
      </c>
      <c r="X1041" s="26">
        <f>IF(B1041="","",ROUND(IF(M1041="",0,W1041*M1041)+IF(N1041="",0,N1041),2))</f>
        <v>0</v>
      </c>
      <c r="Y1041" s="26">
        <f>IF(B1041="","",ROUND(W1041-X1041-IF(P1041="",0,P1041),2))</f>
        <v>0</v>
      </c>
      <c r="Z1041" s="26">
        <f>IF(B1041="","",IF(H1041="Retail",IF(TaxOnRetail="Yes",ROUND(Y1041*TaxRate,2),0),IF(H1041="Service",IF(TaxOnServices="Yes",ROUND(Y1041*TaxRate,2),0),0)))</f>
        <v>0</v>
      </c>
      <c r="AA1041" s="26">
        <f>IF(B1041="","",ROUND(Y1041+Z1041,2))</f>
        <v>0</v>
      </c>
      <c r="AB1041" s="26">
        <f>IF(B1041="","",ROUND(T1041*IF(H1041="Retail",IFERROR(INDEX(Inventory!$H$5:$H$304,MATCH(I1041,Inventory!$A$5:$A$304,0))*1,0),IFERROR(INDEX(Services!$Q$5:$Q$204,MATCH(I1041,Services!$A$5:$A$204,0))*1,0)),2))</f>
        <v>0</v>
      </c>
      <c r="AC1041" s="26">
        <f>IF(B1041="","",ROUND(Y1041-AB1041,2))</f>
        <v>0</v>
      </c>
      <c r="AD1041" s="38">
        <f>IF(B1041="","",IF(C1041="","No",IF(COUNTIFS($C$5:C1041,C1041)=1,"Yes","No")))</f>
        <v>0</v>
      </c>
      <c r="AE1041" s="26">
        <f>IF(B1041="","",ROUND(SUMIFS(Payments!$G$5:$G$1204,Payments!$H$5:$H$1204,A1041,Payments!$Q$5:$Q$1204,"Yes"),2))</f>
        <v>0</v>
      </c>
      <c r="AF1041" s="26">
        <f>IF(B1041="","",IF(AD1041="No",0,ROUND(SUMIFS(Payments!$G$5:$G$1204,Payments!$I$5:$I$1204,C1041,Payments!$H$5:$H$1204,"",Payments!$Q$5:$Q$1204,"Yes"),2)))</f>
        <v>0</v>
      </c>
      <c r="AG1041" s="26">
        <f>IF(B1041="","",ROUND(AE1041+AF1041,2))</f>
        <v>0</v>
      </c>
      <c r="AH1041" s="26">
        <f>IF(B1041="","",ROUND(AA1041-AG1041,2))</f>
        <v>0</v>
      </c>
      <c r="AI1041" s="39">
        <f>IF(B1041="","",IF(AA1041&lt;=0,"No charge",IF(AH1041&lt;=0.004,"Paid",IF(AG1041&lt;=0.004,"Unpaid","Part paid"))))</f>
        <v>0</v>
      </c>
      <c r="AJ1041" s="38">
        <f>IF(B1041="","",IF(H1041&lt;&gt;"Service","",IF(D1041="","No",IF(COUNTIFS($D$5:$D$1204,D1041,$B$5:$B$1204,B1041,$H$5:$H$1204,"Retail")&gt;0,"Yes","No"))))</f>
        <v>0</v>
      </c>
      <c r="AK1041" s="25">
        <f>IF(B1041="","",COUNTIFS($Y$5:$Y$1204,"&gt;"&amp;Y1041)+COUNTIFS($Y$5:Y1041,Y1041))</f>
        <v>0</v>
      </c>
      <c r="AL1041" s="39">
        <f>IF(B1041="","",IF(H1041="","Add - what kind of sale is this?",IF(IF(V1041&lt;=0,P1041="",FALSE),"Check - no price found for this item",IF(F1041="","Assign - nobody credited",IF(AH1041&gt;0.004,"Unpaid - balance outstanding",IF(AC1041&lt;0,"Loss - sold below cost",IF(X1041&gt;W1041*0.5,"Check - more than half off","OK")))))))</f>
        <v>0</v>
      </c>
    </row>
    <row r="1042" spans="1:38">
      <c r="A1042" s="28">
        <f>IF(B1042="","",SalePrefix&amp;TEXT(ROW()-4,"0000"))</f>
        <v>0</v>
      </c>
      <c r="E1042" s="15">
        <f>IF(D1042="","",IFERROR(INDEX(Clients!$B$5:$B$504,MATCH(D1042,Clients!$A$5:$A$504,0)),"Walk-in"))</f>
        <v>0</v>
      </c>
      <c r="G1042" s="15">
        <f>IF(F1042="","",IFERROR(INDEX(Staff!$B$5:$B$44,MATCH(F1042,Staff!$A$5:$A$44,0)),"House"))</f>
        <v>0</v>
      </c>
      <c r="R1042" s="15">
        <f>IF(B1042="","",TEXT(B1042,"yyyy-mm"))</f>
        <v>0</v>
      </c>
      <c r="S1042" s="25">
        <f>IF(B1042="","",WEEKNUM(B1042,2))</f>
        <v>0</v>
      </c>
      <c r="T1042" s="37">
        <f>IF(B1042="","",IF(K1042="",1,K1042))</f>
        <v>0</v>
      </c>
      <c r="U1042" s="15">
        <f>IF(B1042="","",IF(J1042&lt;&gt;"",J1042,IF(H1042="Retail",IFERROR(INDEX(Inventory!$B$5:$B$304,MATCH(I1042,Inventory!$A$5:$A$304,0))&amp;"","Not in Inventory"),IFERROR(INDEX(Services!$B$5:$B$204,MATCH(I1042,Services!$A$5:$A$204,0))&amp;"","Not in Services"))))</f>
        <v>0</v>
      </c>
      <c r="V1042" s="26">
        <f>IF(B1042="","",IF(L1042&lt;&gt;"",L1042,IF(H1042="Retail",IFERROR(INDEX(Inventory!$I$5:$I$304,MATCH(I1042,Inventory!$A$5:$A$304,0))*1,0),IFERROR(INDEX(Services!$G$5:$G$204,MATCH(I1042,Services!$A$5:$A$204,0))*1,0))))</f>
        <v>0</v>
      </c>
      <c r="W1042" s="26">
        <f>IF(B1042="","",ROUND(T1042*V1042,2))</f>
        <v>0</v>
      </c>
      <c r="X1042" s="26">
        <f>IF(B1042="","",ROUND(IF(M1042="",0,W1042*M1042)+IF(N1042="",0,N1042),2))</f>
        <v>0</v>
      </c>
      <c r="Y1042" s="26">
        <f>IF(B1042="","",ROUND(W1042-X1042-IF(P1042="",0,P1042),2))</f>
        <v>0</v>
      </c>
      <c r="Z1042" s="26">
        <f>IF(B1042="","",IF(H1042="Retail",IF(TaxOnRetail="Yes",ROUND(Y1042*TaxRate,2),0),IF(H1042="Service",IF(TaxOnServices="Yes",ROUND(Y1042*TaxRate,2),0),0)))</f>
        <v>0</v>
      </c>
      <c r="AA1042" s="26">
        <f>IF(B1042="","",ROUND(Y1042+Z1042,2))</f>
        <v>0</v>
      </c>
      <c r="AB1042" s="26">
        <f>IF(B1042="","",ROUND(T1042*IF(H1042="Retail",IFERROR(INDEX(Inventory!$H$5:$H$304,MATCH(I1042,Inventory!$A$5:$A$304,0))*1,0),IFERROR(INDEX(Services!$Q$5:$Q$204,MATCH(I1042,Services!$A$5:$A$204,0))*1,0)),2))</f>
        <v>0</v>
      </c>
      <c r="AC1042" s="26">
        <f>IF(B1042="","",ROUND(Y1042-AB1042,2))</f>
        <v>0</v>
      </c>
      <c r="AD1042" s="38">
        <f>IF(B1042="","",IF(C1042="","No",IF(COUNTIFS($C$5:C1042,C1042)=1,"Yes","No")))</f>
        <v>0</v>
      </c>
      <c r="AE1042" s="26">
        <f>IF(B1042="","",ROUND(SUMIFS(Payments!$G$5:$G$1204,Payments!$H$5:$H$1204,A1042,Payments!$Q$5:$Q$1204,"Yes"),2))</f>
        <v>0</v>
      </c>
      <c r="AF1042" s="26">
        <f>IF(B1042="","",IF(AD1042="No",0,ROUND(SUMIFS(Payments!$G$5:$G$1204,Payments!$I$5:$I$1204,C1042,Payments!$H$5:$H$1204,"",Payments!$Q$5:$Q$1204,"Yes"),2)))</f>
        <v>0</v>
      </c>
      <c r="AG1042" s="26">
        <f>IF(B1042="","",ROUND(AE1042+AF1042,2))</f>
        <v>0</v>
      </c>
      <c r="AH1042" s="26">
        <f>IF(B1042="","",ROUND(AA1042-AG1042,2))</f>
        <v>0</v>
      </c>
      <c r="AI1042" s="39">
        <f>IF(B1042="","",IF(AA1042&lt;=0,"No charge",IF(AH1042&lt;=0.004,"Paid",IF(AG1042&lt;=0.004,"Unpaid","Part paid"))))</f>
        <v>0</v>
      </c>
      <c r="AJ1042" s="38">
        <f>IF(B1042="","",IF(H1042&lt;&gt;"Service","",IF(D1042="","No",IF(COUNTIFS($D$5:$D$1204,D1042,$B$5:$B$1204,B1042,$H$5:$H$1204,"Retail")&gt;0,"Yes","No"))))</f>
        <v>0</v>
      </c>
      <c r="AK1042" s="25">
        <f>IF(B1042="","",COUNTIFS($Y$5:$Y$1204,"&gt;"&amp;Y1042)+COUNTIFS($Y$5:Y1042,Y1042))</f>
        <v>0</v>
      </c>
      <c r="AL1042" s="39">
        <f>IF(B1042="","",IF(H1042="","Add - what kind of sale is this?",IF(IF(V1042&lt;=0,P1042="",FALSE),"Check - no price found for this item",IF(F1042="","Assign - nobody credited",IF(AH1042&gt;0.004,"Unpaid - balance outstanding",IF(AC1042&lt;0,"Loss - sold below cost",IF(X1042&gt;W1042*0.5,"Check - more than half off","OK")))))))</f>
        <v>0</v>
      </c>
    </row>
    <row r="1043" spans="1:38">
      <c r="A1043" s="28">
        <f>IF(B1043="","",SalePrefix&amp;TEXT(ROW()-4,"0000"))</f>
        <v>0</v>
      </c>
      <c r="E1043" s="15">
        <f>IF(D1043="","",IFERROR(INDEX(Clients!$B$5:$B$504,MATCH(D1043,Clients!$A$5:$A$504,0)),"Walk-in"))</f>
        <v>0</v>
      </c>
      <c r="G1043" s="15">
        <f>IF(F1043="","",IFERROR(INDEX(Staff!$B$5:$B$44,MATCH(F1043,Staff!$A$5:$A$44,0)),"House"))</f>
        <v>0</v>
      </c>
      <c r="R1043" s="15">
        <f>IF(B1043="","",TEXT(B1043,"yyyy-mm"))</f>
        <v>0</v>
      </c>
      <c r="S1043" s="25">
        <f>IF(B1043="","",WEEKNUM(B1043,2))</f>
        <v>0</v>
      </c>
      <c r="T1043" s="37">
        <f>IF(B1043="","",IF(K1043="",1,K1043))</f>
        <v>0</v>
      </c>
      <c r="U1043" s="15">
        <f>IF(B1043="","",IF(J1043&lt;&gt;"",J1043,IF(H1043="Retail",IFERROR(INDEX(Inventory!$B$5:$B$304,MATCH(I1043,Inventory!$A$5:$A$304,0))&amp;"","Not in Inventory"),IFERROR(INDEX(Services!$B$5:$B$204,MATCH(I1043,Services!$A$5:$A$204,0))&amp;"","Not in Services"))))</f>
        <v>0</v>
      </c>
      <c r="V1043" s="26">
        <f>IF(B1043="","",IF(L1043&lt;&gt;"",L1043,IF(H1043="Retail",IFERROR(INDEX(Inventory!$I$5:$I$304,MATCH(I1043,Inventory!$A$5:$A$304,0))*1,0),IFERROR(INDEX(Services!$G$5:$G$204,MATCH(I1043,Services!$A$5:$A$204,0))*1,0))))</f>
        <v>0</v>
      </c>
      <c r="W1043" s="26">
        <f>IF(B1043="","",ROUND(T1043*V1043,2))</f>
        <v>0</v>
      </c>
      <c r="X1043" s="26">
        <f>IF(B1043="","",ROUND(IF(M1043="",0,W1043*M1043)+IF(N1043="",0,N1043),2))</f>
        <v>0</v>
      </c>
      <c r="Y1043" s="26">
        <f>IF(B1043="","",ROUND(W1043-X1043-IF(P1043="",0,P1043),2))</f>
        <v>0</v>
      </c>
      <c r="Z1043" s="26">
        <f>IF(B1043="","",IF(H1043="Retail",IF(TaxOnRetail="Yes",ROUND(Y1043*TaxRate,2),0),IF(H1043="Service",IF(TaxOnServices="Yes",ROUND(Y1043*TaxRate,2),0),0)))</f>
        <v>0</v>
      </c>
      <c r="AA1043" s="26">
        <f>IF(B1043="","",ROUND(Y1043+Z1043,2))</f>
        <v>0</v>
      </c>
      <c r="AB1043" s="26">
        <f>IF(B1043="","",ROUND(T1043*IF(H1043="Retail",IFERROR(INDEX(Inventory!$H$5:$H$304,MATCH(I1043,Inventory!$A$5:$A$304,0))*1,0),IFERROR(INDEX(Services!$Q$5:$Q$204,MATCH(I1043,Services!$A$5:$A$204,0))*1,0)),2))</f>
        <v>0</v>
      </c>
      <c r="AC1043" s="26">
        <f>IF(B1043="","",ROUND(Y1043-AB1043,2))</f>
        <v>0</v>
      </c>
      <c r="AD1043" s="38">
        <f>IF(B1043="","",IF(C1043="","No",IF(COUNTIFS($C$5:C1043,C1043)=1,"Yes","No")))</f>
        <v>0</v>
      </c>
      <c r="AE1043" s="26">
        <f>IF(B1043="","",ROUND(SUMIFS(Payments!$G$5:$G$1204,Payments!$H$5:$H$1204,A1043,Payments!$Q$5:$Q$1204,"Yes"),2))</f>
        <v>0</v>
      </c>
      <c r="AF1043" s="26">
        <f>IF(B1043="","",IF(AD1043="No",0,ROUND(SUMIFS(Payments!$G$5:$G$1204,Payments!$I$5:$I$1204,C1043,Payments!$H$5:$H$1204,"",Payments!$Q$5:$Q$1204,"Yes"),2)))</f>
        <v>0</v>
      </c>
      <c r="AG1043" s="26">
        <f>IF(B1043="","",ROUND(AE1043+AF1043,2))</f>
        <v>0</v>
      </c>
      <c r="AH1043" s="26">
        <f>IF(B1043="","",ROUND(AA1043-AG1043,2))</f>
        <v>0</v>
      </c>
      <c r="AI1043" s="39">
        <f>IF(B1043="","",IF(AA1043&lt;=0,"No charge",IF(AH1043&lt;=0.004,"Paid",IF(AG1043&lt;=0.004,"Unpaid","Part paid"))))</f>
        <v>0</v>
      </c>
      <c r="AJ1043" s="38">
        <f>IF(B1043="","",IF(H1043&lt;&gt;"Service","",IF(D1043="","No",IF(COUNTIFS($D$5:$D$1204,D1043,$B$5:$B$1204,B1043,$H$5:$H$1204,"Retail")&gt;0,"Yes","No"))))</f>
        <v>0</v>
      </c>
      <c r="AK1043" s="25">
        <f>IF(B1043="","",COUNTIFS($Y$5:$Y$1204,"&gt;"&amp;Y1043)+COUNTIFS($Y$5:Y1043,Y1043))</f>
        <v>0</v>
      </c>
      <c r="AL1043" s="39">
        <f>IF(B1043="","",IF(H1043="","Add - what kind of sale is this?",IF(IF(V1043&lt;=0,P1043="",FALSE),"Check - no price found for this item",IF(F1043="","Assign - nobody credited",IF(AH1043&gt;0.004,"Unpaid - balance outstanding",IF(AC1043&lt;0,"Loss - sold below cost",IF(X1043&gt;W1043*0.5,"Check - more than half off","OK")))))))</f>
        <v>0</v>
      </c>
    </row>
    <row r="1044" spans="1:38">
      <c r="A1044" s="28">
        <f>IF(B1044="","",SalePrefix&amp;TEXT(ROW()-4,"0000"))</f>
        <v>0</v>
      </c>
      <c r="E1044" s="15">
        <f>IF(D1044="","",IFERROR(INDEX(Clients!$B$5:$B$504,MATCH(D1044,Clients!$A$5:$A$504,0)),"Walk-in"))</f>
        <v>0</v>
      </c>
      <c r="G1044" s="15">
        <f>IF(F1044="","",IFERROR(INDEX(Staff!$B$5:$B$44,MATCH(F1044,Staff!$A$5:$A$44,0)),"House"))</f>
        <v>0</v>
      </c>
      <c r="R1044" s="15">
        <f>IF(B1044="","",TEXT(B1044,"yyyy-mm"))</f>
        <v>0</v>
      </c>
      <c r="S1044" s="25">
        <f>IF(B1044="","",WEEKNUM(B1044,2))</f>
        <v>0</v>
      </c>
      <c r="T1044" s="37">
        <f>IF(B1044="","",IF(K1044="",1,K1044))</f>
        <v>0</v>
      </c>
      <c r="U1044" s="15">
        <f>IF(B1044="","",IF(J1044&lt;&gt;"",J1044,IF(H1044="Retail",IFERROR(INDEX(Inventory!$B$5:$B$304,MATCH(I1044,Inventory!$A$5:$A$304,0))&amp;"","Not in Inventory"),IFERROR(INDEX(Services!$B$5:$B$204,MATCH(I1044,Services!$A$5:$A$204,0))&amp;"","Not in Services"))))</f>
        <v>0</v>
      </c>
      <c r="V1044" s="26">
        <f>IF(B1044="","",IF(L1044&lt;&gt;"",L1044,IF(H1044="Retail",IFERROR(INDEX(Inventory!$I$5:$I$304,MATCH(I1044,Inventory!$A$5:$A$304,0))*1,0),IFERROR(INDEX(Services!$G$5:$G$204,MATCH(I1044,Services!$A$5:$A$204,0))*1,0))))</f>
        <v>0</v>
      </c>
      <c r="W1044" s="26">
        <f>IF(B1044="","",ROUND(T1044*V1044,2))</f>
        <v>0</v>
      </c>
      <c r="X1044" s="26">
        <f>IF(B1044="","",ROUND(IF(M1044="",0,W1044*M1044)+IF(N1044="",0,N1044),2))</f>
        <v>0</v>
      </c>
      <c r="Y1044" s="26">
        <f>IF(B1044="","",ROUND(W1044-X1044-IF(P1044="",0,P1044),2))</f>
        <v>0</v>
      </c>
      <c r="Z1044" s="26">
        <f>IF(B1044="","",IF(H1044="Retail",IF(TaxOnRetail="Yes",ROUND(Y1044*TaxRate,2),0),IF(H1044="Service",IF(TaxOnServices="Yes",ROUND(Y1044*TaxRate,2),0),0)))</f>
        <v>0</v>
      </c>
      <c r="AA1044" s="26">
        <f>IF(B1044="","",ROUND(Y1044+Z1044,2))</f>
        <v>0</v>
      </c>
      <c r="AB1044" s="26">
        <f>IF(B1044="","",ROUND(T1044*IF(H1044="Retail",IFERROR(INDEX(Inventory!$H$5:$H$304,MATCH(I1044,Inventory!$A$5:$A$304,0))*1,0),IFERROR(INDEX(Services!$Q$5:$Q$204,MATCH(I1044,Services!$A$5:$A$204,0))*1,0)),2))</f>
        <v>0</v>
      </c>
      <c r="AC1044" s="26">
        <f>IF(B1044="","",ROUND(Y1044-AB1044,2))</f>
        <v>0</v>
      </c>
      <c r="AD1044" s="38">
        <f>IF(B1044="","",IF(C1044="","No",IF(COUNTIFS($C$5:C1044,C1044)=1,"Yes","No")))</f>
        <v>0</v>
      </c>
      <c r="AE1044" s="26">
        <f>IF(B1044="","",ROUND(SUMIFS(Payments!$G$5:$G$1204,Payments!$H$5:$H$1204,A1044,Payments!$Q$5:$Q$1204,"Yes"),2))</f>
        <v>0</v>
      </c>
      <c r="AF1044" s="26">
        <f>IF(B1044="","",IF(AD1044="No",0,ROUND(SUMIFS(Payments!$G$5:$G$1204,Payments!$I$5:$I$1204,C1044,Payments!$H$5:$H$1204,"",Payments!$Q$5:$Q$1204,"Yes"),2)))</f>
        <v>0</v>
      </c>
      <c r="AG1044" s="26">
        <f>IF(B1044="","",ROUND(AE1044+AF1044,2))</f>
        <v>0</v>
      </c>
      <c r="AH1044" s="26">
        <f>IF(B1044="","",ROUND(AA1044-AG1044,2))</f>
        <v>0</v>
      </c>
      <c r="AI1044" s="39">
        <f>IF(B1044="","",IF(AA1044&lt;=0,"No charge",IF(AH1044&lt;=0.004,"Paid",IF(AG1044&lt;=0.004,"Unpaid","Part paid"))))</f>
        <v>0</v>
      </c>
      <c r="AJ1044" s="38">
        <f>IF(B1044="","",IF(H1044&lt;&gt;"Service","",IF(D1044="","No",IF(COUNTIFS($D$5:$D$1204,D1044,$B$5:$B$1204,B1044,$H$5:$H$1204,"Retail")&gt;0,"Yes","No"))))</f>
        <v>0</v>
      </c>
      <c r="AK1044" s="25">
        <f>IF(B1044="","",COUNTIFS($Y$5:$Y$1204,"&gt;"&amp;Y1044)+COUNTIFS($Y$5:Y1044,Y1044))</f>
        <v>0</v>
      </c>
      <c r="AL1044" s="39">
        <f>IF(B1044="","",IF(H1044="","Add - what kind of sale is this?",IF(IF(V1044&lt;=0,P1044="",FALSE),"Check - no price found for this item",IF(F1044="","Assign - nobody credited",IF(AH1044&gt;0.004,"Unpaid - balance outstanding",IF(AC1044&lt;0,"Loss - sold below cost",IF(X1044&gt;W1044*0.5,"Check - more than half off","OK")))))))</f>
        <v>0</v>
      </c>
    </row>
    <row r="1045" spans="1:38">
      <c r="A1045" s="28">
        <f>IF(B1045="","",SalePrefix&amp;TEXT(ROW()-4,"0000"))</f>
        <v>0</v>
      </c>
      <c r="E1045" s="15">
        <f>IF(D1045="","",IFERROR(INDEX(Clients!$B$5:$B$504,MATCH(D1045,Clients!$A$5:$A$504,0)),"Walk-in"))</f>
        <v>0</v>
      </c>
      <c r="G1045" s="15">
        <f>IF(F1045="","",IFERROR(INDEX(Staff!$B$5:$B$44,MATCH(F1045,Staff!$A$5:$A$44,0)),"House"))</f>
        <v>0</v>
      </c>
      <c r="R1045" s="15">
        <f>IF(B1045="","",TEXT(B1045,"yyyy-mm"))</f>
        <v>0</v>
      </c>
      <c r="S1045" s="25">
        <f>IF(B1045="","",WEEKNUM(B1045,2))</f>
        <v>0</v>
      </c>
      <c r="T1045" s="37">
        <f>IF(B1045="","",IF(K1045="",1,K1045))</f>
        <v>0</v>
      </c>
      <c r="U1045" s="15">
        <f>IF(B1045="","",IF(J1045&lt;&gt;"",J1045,IF(H1045="Retail",IFERROR(INDEX(Inventory!$B$5:$B$304,MATCH(I1045,Inventory!$A$5:$A$304,0))&amp;"","Not in Inventory"),IFERROR(INDEX(Services!$B$5:$B$204,MATCH(I1045,Services!$A$5:$A$204,0))&amp;"","Not in Services"))))</f>
        <v>0</v>
      </c>
      <c r="V1045" s="26">
        <f>IF(B1045="","",IF(L1045&lt;&gt;"",L1045,IF(H1045="Retail",IFERROR(INDEX(Inventory!$I$5:$I$304,MATCH(I1045,Inventory!$A$5:$A$304,0))*1,0),IFERROR(INDEX(Services!$G$5:$G$204,MATCH(I1045,Services!$A$5:$A$204,0))*1,0))))</f>
        <v>0</v>
      </c>
      <c r="W1045" s="26">
        <f>IF(B1045="","",ROUND(T1045*V1045,2))</f>
        <v>0</v>
      </c>
      <c r="X1045" s="26">
        <f>IF(B1045="","",ROUND(IF(M1045="",0,W1045*M1045)+IF(N1045="",0,N1045),2))</f>
        <v>0</v>
      </c>
      <c r="Y1045" s="26">
        <f>IF(B1045="","",ROUND(W1045-X1045-IF(P1045="",0,P1045),2))</f>
        <v>0</v>
      </c>
      <c r="Z1045" s="26">
        <f>IF(B1045="","",IF(H1045="Retail",IF(TaxOnRetail="Yes",ROUND(Y1045*TaxRate,2),0),IF(H1045="Service",IF(TaxOnServices="Yes",ROUND(Y1045*TaxRate,2),0),0)))</f>
        <v>0</v>
      </c>
      <c r="AA1045" s="26">
        <f>IF(B1045="","",ROUND(Y1045+Z1045,2))</f>
        <v>0</v>
      </c>
      <c r="AB1045" s="26">
        <f>IF(B1045="","",ROUND(T1045*IF(H1045="Retail",IFERROR(INDEX(Inventory!$H$5:$H$304,MATCH(I1045,Inventory!$A$5:$A$304,0))*1,0),IFERROR(INDEX(Services!$Q$5:$Q$204,MATCH(I1045,Services!$A$5:$A$204,0))*1,0)),2))</f>
        <v>0</v>
      </c>
      <c r="AC1045" s="26">
        <f>IF(B1045="","",ROUND(Y1045-AB1045,2))</f>
        <v>0</v>
      </c>
      <c r="AD1045" s="38">
        <f>IF(B1045="","",IF(C1045="","No",IF(COUNTIFS($C$5:C1045,C1045)=1,"Yes","No")))</f>
        <v>0</v>
      </c>
      <c r="AE1045" s="26">
        <f>IF(B1045="","",ROUND(SUMIFS(Payments!$G$5:$G$1204,Payments!$H$5:$H$1204,A1045,Payments!$Q$5:$Q$1204,"Yes"),2))</f>
        <v>0</v>
      </c>
      <c r="AF1045" s="26">
        <f>IF(B1045="","",IF(AD1045="No",0,ROUND(SUMIFS(Payments!$G$5:$G$1204,Payments!$I$5:$I$1204,C1045,Payments!$H$5:$H$1204,"",Payments!$Q$5:$Q$1204,"Yes"),2)))</f>
        <v>0</v>
      </c>
      <c r="AG1045" s="26">
        <f>IF(B1045="","",ROUND(AE1045+AF1045,2))</f>
        <v>0</v>
      </c>
      <c r="AH1045" s="26">
        <f>IF(B1045="","",ROUND(AA1045-AG1045,2))</f>
        <v>0</v>
      </c>
      <c r="AI1045" s="39">
        <f>IF(B1045="","",IF(AA1045&lt;=0,"No charge",IF(AH1045&lt;=0.004,"Paid",IF(AG1045&lt;=0.004,"Unpaid","Part paid"))))</f>
        <v>0</v>
      </c>
      <c r="AJ1045" s="38">
        <f>IF(B1045="","",IF(H1045&lt;&gt;"Service","",IF(D1045="","No",IF(COUNTIFS($D$5:$D$1204,D1045,$B$5:$B$1204,B1045,$H$5:$H$1204,"Retail")&gt;0,"Yes","No"))))</f>
        <v>0</v>
      </c>
      <c r="AK1045" s="25">
        <f>IF(B1045="","",COUNTIFS($Y$5:$Y$1204,"&gt;"&amp;Y1045)+COUNTIFS($Y$5:Y1045,Y1045))</f>
        <v>0</v>
      </c>
      <c r="AL1045" s="39">
        <f>IF(B1045="","",IF(H1045="","Add - what kind of sale is this?",IF(IF(V1045&lt;=0,P1045="",FALSE),"Check - no price found for this item",IF(F1045="","Assign - nobody credited",IF(AH1045&gt;0.004,"Unpaid - balance outstanding",IF(AC1045&lt;0,"Loss - sold below cost",IF(X1045&gt;W1045*0.5,"Check - more than half off","OK")))))))</f>
        <v>0</v>
      </c>
    </row>
    <row r="1046" spans="1:38">
      <c r="A1046" s="28">
        <f>IF(B1046="","",SalePrefix&amp;TEXT(ROW()-4,"0000"))</f>
        <v>0</v>
      </c>
      <c r="E1046" s="15">
        <f>IF(D1046="","",IFERROR(INDEX(Clients!$B$5:$B$504,MATCH(D1046,Clients!$A$5:$A$504,0)),"Walk-in"))</f>
        <v>0</v>
      </c>
      <c r="G1046" s="15">
        <f>IF(F1046="","",IFERROR(INDEX(Staff!$B$5:$B$44,MATCH(F1046,Staff!$A$5:$A$44,0)),"House"))</f>
        <v>0</v>
      </c>
      <c r="R1046" s="15">
        <f>IF(B1046="","",TEXT(B1046,"yyyy-mm"))</f>
        <v>0</v>
      </c>
      <c r="S1046" s="25">
        <f>IF(B1046="","",WEEKNUM(B1046,2))</f>
        <v>0</v>
      </c>
      <c r="T1046" s="37">
        <f>IF(B1046="","",IF(K1046="",1,K1046))</f>
        <v>0</v>
      </c>
      <c r="U1046" s="15">
        <f>IF(B1046="","",IF(J1046&lt;&gt;"",J1046,IF(H1046="Retail",IFERROR(INDEX(Inventory!$B$5:$B$304,MATCH(I1046,Inventory!$A$5:$A$304,0))&amp;"","Not in Inventory"),IFERROR(INDEX(Services!$B$5:$B$204,MATCH(I1046,Services!$A$5:$A$204,0))&amp;"","Not in Services"))))</f>
        <v>0</v>
      </c>
      <c r="V1046" s="26">
        <f>IF(B1046="","",IF(L1046&lt;&gt;"",L1046,IF(H1046="Retail",IFERROR(INDEX(Inventory!$I$5:$I$304,MATCH(I1046,Inventory!$A$5:$A$304,0))*1,0),IFERROR(INDEX(Services!$G$5:$G$204,MATCH(I1046,Services!$A$5:$A$204,0))*1,0))))</f>
        <v>0</v>
      </c>
      <c r="W1046" s="26">
        <f>IF(B1046="","",ROUND(T1046*V1046,2))</f>
        <v>0</v>
      </c>
      <c r="X1046" s="26">
        <f>IF(B1046="","",ROUND(IF(M1046="",0,W1046*M1046)+IF(N1046="",0,N1046),2))</f>
        <v>0</v>
      </c>
      <c r="Y1046" s="26">
        <f>IF(B1046="","",ROUND(W1046-X1046-IF(P1046="",0,P1046),2))</f>
        <v>0</v>
      </c>
      <c r="Z1046" s="26">
        <f>IF(B1046="","",IF(H1046="Retail",IF(TaxOnRetail="Yes",ROUND(Y1046*TaxRate,2),0),IF(H1046="Service",IF(TaxOnServices="Yes",ROUND(Y1046*TaxRate,2),0),0)))</f>
        <v>0</v>
      </c>
      <c r="AA1046" s="26">
        <f>IF(B1046="","",ROUND(Y1046+Z1046,2))</f>
        <v>0</v>
      </c>
      <c r="AB1046" s="26">
        <f>IF(B1046="","",ROUND(T1046*IF(H1046="Retail",IFERROR(INDEX(Inventory!$H$5:$H$304,MATCH(I1046,Inventory!$A$5:$A$304,0))*1,0),IFERROR(INDEX(Services!$Q$5:$Q$204,MATCH(I1046,Services!$A$5:$A$204,0))*1,0)),2))</f>
        <v>0</v>
      </c>
      <c r="AC1046" s="26">
        <f>IF(B1046="","",ROUND(Y1046-AB1046,2))</f>
        <v>0</v>
      </c>
      <c r="AD1046" s="38">
        <f>IF(B1046="","",IF(C1046="","No",IF(COUNTIFS($C$5:C1046,C1046)=1,"Yes","No")))</f>
        <v>0</v>
      </c>
      <c r="AE1046" s="26">
        <f>IF(B1046="","",ROUND(SUMIFS(Payments!$G$5:$G$1204,Payments!$H$5:$H$1204,A1046,Payments!$Q$5:$Q$1204,"Yes"),2))</f>
        <v>0</v>
      </c>
      <c r="AF1046" s="26">
        <f>IF(B1046="","",IF(AD1046="No",0,ROUND(SUMIFS(Payments!$G$5:$G$1204,Payments!$I$5:$I$1204,C1046,Payments!$H$5:$H$1204,"",Payments!$Q$5:$Q$1204,"Yes"),2)))</f>
        <v>0</v>
      </c>
      <c r="AG1046" s="26">
        <f>IF(B1046="","",ROUND(AE1046+AF1046,2))</f>
        <v>0</v>
      </c>
      <c r="AH1046" s="26">
        <f>IF(B1046="","",ROUND(AA1046-AG1046,2))</f>
        <v>0</v>
      </c>
      <c r="AI1046" s="39">
        <f>IF(B1046="","",IF(AA1046&lt;=0,"No charge",IF(AH1046&lt;=0.004,"Paid",IF(AG1046&lt;=0.004,"Unpaid","Part paid"))))</f>
        <v>0</v>
      </c>
      <c r="AJ1046" s="38">
        <f>IF(B1046="","",IF(H1046&lt;&gt;"Service","",IF(D1046="","No",IF(COUNTIFS($D$5:$D$1204,D1046,$B$5:$B$1204,B1046,$H$5:$H$1204,"Retail")&gt;0,"Yes","No"))))</f>
        <v>0</v>
      </c>
      <c r="AK1046" s="25">
        <f>IF(B1046="","",COUNTIFS($Y$5:$Y$1204,"&gt;"&amp;Y1046)+COUNTIFS($Y$5:Y1046,Y1046))</f>
        <v>0</v>
      </c>
      <c r="AL1046" s="39">
        <f>IF(B1046="","",IF(H1046="","Add - what kind of sale is this?",IF(IF(V1046&lt;=0,P1046="",FALSE),"Check - no price found for this item",IF(F1046="","Assign - nobody credited",IF(AH1046&gt;0.004,"Unpaid - balance outstanding",IF(AC1046&lt;0,"Loss - sold below cost",IF(X1046&gt;W1046*0.5,"Check - more than half off","OK")))))))</f>
        <v>0</v>
      </c>
    </row>
    <row r="1047" spans="1:38">
      <c r="A1047" s="28">
        <f>IF(B1047="","",SalePrefix&amp;TEXT(ROW()-4,"0000"))</f>
        <v>0</v>
      </c>
      <c r="E1047" s="15">
        <f>IF(D1047="","",IFERROR(INDEX(Clients!$B$5:$B$504,MATCH(D1047,Clients!$A$5:$A$504,0)),"Walk-in"))</f>
        <v>0</v>
      </c>
      <c r="G1047" s="15">
        <f>IF(F1047="","",IFERROR(INDEX(Staff!$B$5:$B$44,MATCH(F1047,Staff!$A$5:$A$44,0)),"House"))</f>
        <v>0</v>
      </c>
      <c r="R1047" s="15">
        <f>IF(B1047="","",TEXT(B1047,"yyyy-mm"))</f>
        <v>0</v>
      </c>
      <c r="S1047" s="25">
        <f>IF(B1047="","",WEEKNUM(B1047,2))</f>
        <v>0</v>
      </c>
      <c r="T1047" s="37">
        <f>IF(B1047="","",IF(K1047="",1,K1047))</f>
        <v>0</v>
      </c>
      <c r="U1047" s="15">
        <f>IF(B1047="","",IF(J1047&lt;&gt;"",J1047,IF(H1047="Retail",IFERROR(INDEX(Inventory!$B$5:$B$304,MATCH(I1047,Inventory!$A$5:$A$304,0))&amp;"","Not in Inventory"),IFERROR(INDEX(Services!$B$5:$B$204,MATCH(I1047,Services!$A$5:$A$204,0))&amp;"","Not in Services"))))</f>
        <v>0</v>
      </c>
      <c r="V1047" s="26">
        <f>IF(B1047="","",IF(L1047&lt;&gt;"",L1047,IF(H1047="Retail",IFERROR(INDEX(Inventory!$I$5:$I$304,MATCH(I1047,Inventory!$A$5:$A$304,0))*1,0),IFERROR(INDEX(Services!$G$5:$G$204,MATCH(I1047,Services!$A$5:$A$204,0))*1,0))))</f>
        <v>0</v>
      </c>
      <c r="W1047" s="26">
        <f>IF(B1047="","",ROUND(T1047*V1047,2))</f>
        <v>0</v>
      </c>
      <c r="X1047" s="26">
        <f>IF(B1047="","",ROUND(IF(M1047="",0,W1047*M1047)+IF(N1047="",0,N1047),2))</f>
        <v>0</v>
      </c>
      <c r="Y1047" s="26">
        <f>IF(B1047="","",ROUND(W1047-X1047-IF(P1047="",0,P1047),2))</f>
        <v>0</v>
      </c>
      <c r="Z1047" s="26">
        <f>IF(B1047="","",IF(H1047="Retail",IF(TaxOnRetail="Yes",ROUND(Y1047*TaxRate,2),0),IF(H1047="Service",IF(TaxOnServices="Yes",ROUND(Y1047*TaxRate,2),0),0)))</f>
        <v>0</v>
      </c>
      <c r="AA1047" s="26">
        <f>IF(B1047="","",ROUND(Y1047+Z1047,2))</f>
        <v>0</v>
      </c>
      <c r="AB1047" s="26">
        <f>IF(B1047="","",ROUND(T1047*IF(H1047="Retail",IFERROR(INDEX(Inventory!$H$5:$H$304,MATCH(I1047,Inventory!$A$5:$A$304,0))*1,0),IFERROR(INDEX(Services!$Q$5:$Q$204,MATCH(I1047,Services!$A$5:$A$204,0))*1,0)),2))</f>
        <v>0</v>
      </c>
      <c r="AC1047" s="26">
        <f>IF(B1047="","",ROUND(Y1047-AB1047,2))</f>
        <v>0</v>
      </c>
      <c r="AD1047" s="38">
        <f>IF(B1047="","",IF(C1047="","No",IF(COUNTIFS($C$5:C1047,C1047)=1,"Yes","No")))</f>
        <v>0</v>
      </c>
      <c r="AE1047" s="26">
        <f>IF(B1047="","",ROUND(SUMIFS(Payments!$G$5:$G$1204,Payments!$H$5:$H$1204,A1047,Payments!$Q$5:$Q$1204,"Yes"),2))</f>
        <v>0</v>
      </c>
      <c r="AF1047" s="26">
        <f>IF(B1047="","",IF(AD1047="No",0,ROUND(SUMIFS(Payments!$G$5:$G$1204,Payments!$I$5:$I$1204,C1047,Payments!$H$5:$H$1204,"",Payments!$Q$5:$Q$1204,"Yes"),2)))</f>
        <v>0</v>
      </c>
      <c r="AG1047" s="26">
        <f>IF(B1047="","",ROUND(AE1047+AF1047,2))</f>
        <v>0</v>
      </c>
      <c r="AH1047" s="26">
        <f>IF(B1047="","",ROUND(AA1047-AG1047,2))</f>
        <v>0</v>
      </c>
      <c r="AI1047" s="39">
        <f>IF(B1047="","",IF(AA1047&lt;=0,"No charge",IF(AH1047&lt;=0.004,"Paid",IF(AG1047&lt;=0.004,"Unpaid","Part paid"))))</f>
        <v>0</v>
      </c>
      <c r="AJ1047" s="38">
        <f>IF(B1047="","",IF(H1047&lt;&gt;"Service","",IF(D1047="","No",IF(COUNTIFS($D$5:$D$1204,D1047,$B$5:$B$1204,B1047,$H$5:$H$1204,"Retail")&gt;0,"Yes","No"))))</f>
        <v>0</v>
      </c>
      <c r="AK1047" s="25">
        <f>IF(B1047="","",COUNTIFS($Y$5:$Y$1204,"&gt;"&amp;Y1047)+COUNTIFS($Y$5:Y1047,Y1047))</f>
        <v>0</v>
      </c>
      <c r="AL1047" s="39">
        <f>IF(B1047="","",IF(H1047="","Add - what kind of sale is this?",IF(IF(V1047&lt;=0,P1047="",FALSE),"Check - no price found for this item",IF(F1047="","Assign - nobody credited",IF(AH1047&gt;0.004,"Unpaid - balance outstanding",IF(AC1047&lt;0,"Loss - sold below cost",IF(X1047&gt;W1047*0.5,"Check - more than half off","OK")))))))</f>
        <v>0</v>
      </c>
    </row>
    <row r="1048" spans="1:38">
      <c r="A1048" s="28">
        <f>IF(B1048="","",SalePrefix&amp;TEXT(ROW()-4,"0000"))</f>
        <v>0</v>
      </c>
      <c r="E1048" s="15">
        <f>IF(D1048="","",IFERROR(INDEX(Clients!$B$5:$B$504,MATCH(D1048,Clients!$A$5:$A$504,0)),"Walk-in"))</f>
        <v>0</v>
      </c>
      <c r="G1048" s="15">
        <f>IF(F1048="","",IFERROR(INDEX(Staff!$B$5:$B$44,MATCH(F1048,Staff!$A$5:$A$44,0)),"House"))</f>
        <v>0</v>
      </c>
      <c r="R1048" s="15">
        <f>IF(B1048="","",TEXT(B1048,"yyyy-mm"))</f>
        <v>0</v>
      </c>
      <c r="S1048" s="25">
        <f>IF(B1048="","",WEEKNUM(B1048,2))</f>
        <v>0</v>
      </c>
      <c r="T1048" s="37">
        <f>IF(B1048="","",IF(K1048="",1,K1048))</f>
        <v>0</v>
      </c>
      <c r="U1048" s="15">
        <f>IF(B1048="","",IF(J1048&lt;&gt;"",J1048,IF(H1048="Retail",IFERROR(INDEX(Inventory!$B$5:$B$304,MATCH(I1048,Inventory!$A$5:$A$304,0))&amp;"","Not in Inventory"),IFERROR(INDEX(Services!$B$5:$B$204,MATCH(I1048,Services!$A$5:$A$204,0))&amp;"","Not in Services"))))</f>
        <v>0</v>
      </c>
      <c r="V1048" s="26">
        <f>IF(B1048="","",IF(L1048&lt;&gt;"",L1048,IF(H1048="Retail",IFERROR(INDEX(Inventory!$I$5:$I$304,MATCH(I1048,Inventory!$A$5:$A$304,0))*1,0),IFERROR(INDEX(Services!$G$5:$G$204,MATCH(I1048,Services!$A$5:$A$204,0))*1,0))))</f>
        <v>0</v>
      </c>
      <c r="W1048" s="26">
        <f>IF(B1048="","",ROUND(T1048*V1048,2))</f>
        <v>0</v>
      </c>
      <c r="X1048" s="26">
        <f>IF(B1048="","",ROUND(IF(M1048="",0,W1048*M1048)+IF(N1048="",0,N1048),2))</f>
        <v>0</v>
      </c>
      <c r="Y1048" s="26">
        <f>IF(B1048="","",ROUND(W1048-X1048-IF(P1048="",0,P1048),2))</f>
        <v>0</v>
      </c>
      <c r="Z1048" s="26">
        <f>IF(B1048="","",IF(H1048="Retail",IF(TaxOnRetail="Yes",ROUND(Y1048*TaxRate,2),0),IF(H1048="Service",IF(TaxOnServices="Yes",ROUND(Y1048*TaxRate,2),0),0)))</f>
        <v>0</v>
      </c>
      <c r="AA1048" s="26">
        <f>IF(B1048="","",ROUND(Y1048+Z1048,2))</f>
        <v>0</v>
      </c>
      <c r="AB1048" s="26">
        <f>IF(B1048="","",ROUND(T1048*IF(H1048="Retail",IFERROR(INDEX(Inventory!$H$5:$H$304,MATCH(I1048,Inventory!$A$5:$A$304,0))*1,0),IFERROR(INDEX(Services!$Q$5:$Q$204,MATCH(I1048,Services!$A$5:$A$204,0))*1,0)),2))</f>
        <v>0</v>
      </c>
      <c r="AC1048" s="26">
        <f>IF(B1048="","",ROUND(Y1048-AB1048,2))</f>
        <v>0</v>
      </c>
      <c r="AD1048" s="38">
        <f>IF(B1048="","",IF(C1048="","No",IF(COUNTIFS($C$5:C1048,C1048)=1,"Yes","No")))</f>
        <v>0</v>
      </c>
      <c r="AE1048" s="26">
        <f>IF(B1048="","",ROUND(SUMIFS(Payments!$G$5:$G$1204,Payments!$H$5:$H$1204,A1048,Payments!$Q$5:$Q$1204,"Yes"),2))</f>
        <v>0</v>
      </c>
      <c r="AF1048" s="26">
        <f>IF(B1048="","",IF(AD1048="No",0,ROUND(SUMIFS(Payments!$G$5:$G$1204,Payments!$I$5:$I$1204,C1048,Payments!$H$5:$H$1204,"",Payments!$Q$5:$Q$1204,"Yes"),2)))</f>
        <v>0</v>
      </c>
      <c r="AG1048" s="26">
        <f>IF(B1048="","",ROUND(AE1048+AF1048,2))</f>
        <v>0</v>
      </c>
      <c r="AH1048" s="26">
        <f>IF(B1048="","",ROUND(AA1048-AG1048,2))</f>
        <v>0</v>
      </c>
      <c r="AI1048" s="39">
        <f>IF(B1048="","",IF(AA1048&lt;=0,"No charge",IF(AH1048&lt;=0.004,"Paid",IF(AG1048&lt;=0.004,"Unpaid","Part paid"))))</f>
        <v>0</v>
      </c>
      <c r="AJ1048" s="38">
        <f>IF(B1048="","",IF(H1048&lt;&gt;"Service","",IF(D1048="","No",IF(COUNTIFS($D$5:$D$1204,D1048,$B$5:$B$1204,B1048,$H$5:$H$1204,"Retail")&gt;0,"Yes","No"))))</f>
        <v>0</v>
      </c>
      <c r="AK1048" s="25">
        <f>IF(B1048="","",COUNTIFS($Y$5:$Y$1204,"&gt;"&amp;Y1048)+COUNTIFS($Y$5:Y1048,Y1048))</f>
        <v>0</v>
      </c>
      <c r="AL1048" s="39">
        <f>IF(B1048="","",IF(H1048="","Add - what kind of sale is this?",IF(IF(V1048&lt;=0,P1048="",FALSE),"Check - no price found for this item",IF(F1048="","Assign - nobody credited",IF(AH1048&gt;0.004,"Unpaid - balance outstanding",IF(AC1048&lt;0,"Loss - sold below cost",IF(X1048&gt;W1048*0.5,"Check - more than half off","OK")))))))</f>
        <v>0</v>
      </c>
    </row>
    <row r="1049" spans="1:38">
      <c r="A1049" s="28">
        <f>IF(B1049="","",SalePrefix&amp;TEXT(ROW()-4,"0000"))</f>
        <v>0</v>
      </c>
      <c r="E1049" s="15">
        <f>IF(D1049="","",IFERROR(INDEX(Clients!$B$5:$B$504,MATCH(D1049,Clients!$A$5:$A$504,0)),"Walk-in"))</f>
        <v>0</v>
      </c>
      <c r="G1049" s="15">
        <f>IF(F1049="","",IFERROR(INDEX(Staff!$B$5:$B$44,MATCH(F1049,Staff!$A$5:$A$44,0)),"House"))</f>
        <v>0</v>
      </c>
      <c r="R1049" s="15">
        <f>IF(B1049="","",TEXT(B1049,"yyyy-mm"))</f>
        <v>0</v>
      </c>
      <c r="S1049" s="25">
        <f>IF(B1049="","",WEEKNUM(B1049,2))</f>
        <v>0</v>
      </c>
      <c r="T1049" s="37">
        <f>IF(B1049="","",IF(K1049="",1,K1049))</f>
        <v>0</v>
      </c>
      <c r="U1049" s="15">
        <f>IF(B1049="","",IF(J1049&lt;&gt;"",J1049,IF(H1049="Retail",IFERROR(INDEX(Inventory!$B$5:$B$304,MATCH(I1049,Inventory!$A$5:$A$304,0))&amp;"","Not in Inventory"),IFERROR(INDEX(Services!$B$5:$B$204,MATCH(I1049,Services!$A$5:$A$204,0))&amp;"","Not in Services"))))</f>
        <v>0</v>
      </c>
      <c r="V1049" s="26">
        <f>IF(B1049="","",IF(L1049&lt;&gt;"",L1049,IF(H1049="Retail",IFERROR(INDEX(Inventory!$I$5:$I$304,MATCH(I1049,Inventory!$A$5:$A$304,0))*1,0),IFERROR(INDEX(Services!$G$5:$G$204,MATCH(I1049,Services!$A$5:$A$204,0))*1,0))))</f>
        <v>0</v>
      </c>
      <c r="W1049" s="26">
        <f>IF(B1049="","",ROUND(T1049*V1049,2))</f>
        <v>0</v>
      </c>
      <c r="X1049" s="26">
        <f>IF(B1049="","",ROUND(IF(M1049="",0,W1049*M1049)+IF(N1049="",0,N1049),2))</f>
        <v>0</v>
      </c>
      <c r="Y1049" s="26">
        <f>IF(B1049="","",ROUND(W1049-X1049-IF(P1049="",0,P1049),2))</f>
        <v>0</v>
      </c>
      <c r="Z1049" s="26">
        <f>IF(B1049="","",IF(H1049="Retail",IF(TaxOnRetail="Yes",ROUND(Y1049*TaxRate,2),0),IF(H1049="Service",IF(TaxOnServices="Yes",ROUND(Y1049*TaxRate,2),0),0)))</f>
        <v>0</v>
      </c>
      <c r="AA1049" s="26">
        <f>IF(B1049="","",ROUND(Y1049+Z1049,2))</f>
        <v>0</v>
      </c>
      <c r="AB1049" s="26">
        <f>IF(B1049="","",ROUND(T1049*IF(H1049="Retail",IFERROR(INDEX(Inventory!$H$5:$H$304,MATCH(I1049,Inventory!$A$5:$A$304,0))*1,0),IFERROR(INDEX(Services!$Q$5:$Q$204,MATCH(I1049,Services!$A$5:$A$204,0))*1,0)),2))</f>
        <v>0</v>
      </c>
      <c r="AC1049" s="26">
        <f>IF(B1049="","",ROUND(Y1049-AB1049,2))</f>
        <v>0</v>
      </c>
      <c r="AD1049" s="38">
        <f>IF(B1049="","",IF(C1049="","No",IF(COUNTIFS($C$5:C1049,C1049)=1,"Yes","No")))</f>
        <v>0</v>
      </c>
      <c r="AE1049" s="26">
        <f>IF(B1049="","",ROUND(SUMIFS(Payments!$G$5:$G$1204,Payments!$H$5:$H$1204,A1049,Payments!$Q$5:$Q$1204,"Yes"),2))</f>
        <v>0</v>
      </c>
      <c r="AF1049" s="26">
        <f>IF(B1049="","",IF(AD1049="No",0,ROUND(SUMIFS(Payments!$G$5:$G$1204,Payments!$I$5:$I$1204,C1049,Payments!$H$5:$H$1204,"",Payments!$Q$5:$Q$1204,"Yes"),2)))</f>
        <v>0</v>
      </c>
      <c r="AG1049" s="26">
        <f>IF(B1049="","",ROUND(AE1049+AF1049,2))</f>
        <v>0</v>
      </c>
      <c r="AH1049" s="26">
        <f>IF(B1049="","",ROUND(AA1049-AG1049,2))</f>
        <v>0</v>
      </c>
      <c r="AI1049" s="39">
        <f>IF(B1049="","",IF(AA1049&lt;=0,"No charge",IF(AH1049&lt;=0.004,"Paid",IF(AG1049&lt;=0.004,"Unpaid","Part paid"))))</f>
        <v>0</v>
      </c>
      <c r="AJ1049" s="38">
        <f>IF(B1049="","",IF(H1049&lt;&gt;"Service","",IF(D1049="","No",IF(COUNTIFS($D$5:$D$1204,D1049,$B$5:$B$1204,B1049,$H$5:$H$1204,"Retail")&gt;0,"Yes","No"))))</f>
        <v>0</v>
      </c>
      <c r="AK1049" s="25">
        <f>IF(B1049="","",COUNTIFS($Y$5:$Y$1204,"&gt;"&amp;Y1049)+COUNTIFS($Y$5:Y1049,Y1049))</f>
        <v>0</v>
      </c>
      <c r="AL1049" s="39">
        <f>IF(B1049="","",IF(H1049="","Add - what kind of sale is this?",IF(IF(V1049&lt;=0,P1049="",FALSE),"Check - no price found for this item",IF(F1049="","Assign - nobody credited",IF(AH1049&gt;0.004,"Unpaid - balance outstanding",IF(AC1049&lt;0,"Loss - sold below cost",IF(X1049&gt;W1049*0.5,"Check - more than half off","OK")))))))</f>
        <v>0</v>
      </c>
    </row>
    <row r="1050" spans="1:38">
      <c r="A1050" s="28">
        <f>IF(B1050="","",SalePrefix&amp;TEXT(ROW()-4,"0000"))</f>
        <v>0</v>
      </c>
      <c r="E1050" s="15">
        <f>IF(D1050="","",IFERROR(INDEX(Clients!$B$5:$B$504,MATCH(D1050,Clients!$A$5:$A$504,0)),"Walk-in"))</f>
        <v>0</v>
      </c>
      <c r="G1050" s="15">
        <f>IF(F1050="","",IFERROR(INDEX(Staff!$B$5:$B$44,MATCH(F1050,Staff!$A$5:$A$44,0)),"House"))</f>
        <v>0</v>
      </c>
      <c r="R1050" s="15">
        <f>IF(B1050="","",TEXT(B1050,"yyyy-mm"))</f>
        <v>0</v>
      </c>
      <c r="S1050" s="25">
        <f>IF(B1050="","",WEEKNUM(B1050,2))</f>
        <v>0</v>
      </c>
      <c r="T1050" s="37">
        <f>IF(B1050="","",IF(K1050="",1,K1050))</f>
        <v>0</v>
      </c>
      <c r="U1050" s="15">
        <f>IF(B1050="","",IF(J1050&lt;&gt;"",J1050,IF(H1050="Retail",IFERROR(INDEX(Inventory!$B$5:$B$304,MATCH(I1050,Inventory!$A$5:$A$304,0))&amp;"","Not in Inventory"),IFERROR(INDEX(Services!$B$5:$B$204,MATCH(I1050,Services!$A$5:$A$204,0))&amp;"","Not in Services"))))</f>
        <v>0</v>
      </c>
      <c r="V1050" s="26">
        <f>IF(B1050="","",IF(L1050&lt;&gt;"",L1050,IF(H1050="Retail",IFERROR(INDEX(Inventory!$I$5:$I$304,MATCH(I1050,Inventory!$A$5:$A$304,0))*1,0),IFERROR(INDEX(Services!$G$5:$G$204,MATCH(I1050,Services!$A$5:$A$204,0))*1,0))))</f>
        <v>0</v>
      </c>
      <c r="W1050" s="26">
        <f>IF(B1050="","",ROUND(T1050*V1050,2))</f>
        <v>0</v>
      </c>
      <c r="X1050" s="26">
        <f>IF(B1050="","",ROUND(IF(M1050="",0,W1050*M1050)+IF(N1050="",0,N1050),2))</f>
        <v>0</v>
      </c>
      <c r="Y1050" s="26">
        <f>IF(B1050="","",ROUND(W1050-X1050-IF(P1050="",0,P1050),2))</f>
        <v>0</v>
      </c>
      <c r="Z1050" s="26">
        <f>IF(B1050="","",IF(H1050="Retail",IF(TaxOnRetail="Yes",ROUND(Y1050*TaxRate,2),0),IF(H1050="Service",IF(TaxOnServices="Yes",ROUND(Y1050*TaxRate,2),0),0)))</f>
        <v>0</v>
      </c>
      <c r="AA1050" s="26">
        <f>IF(B1050="","",ROUND(Y1050+Z1050,2))</f>
        <v>0</v>
      </c>
      <c r="AB1050" s="26">
        <f>IF(B1050="","",ROUND(T1050*IF(H1050="Retail",IFERROR(INDEX(Inventory!$H$5:$H$304,MATCH(I1050,Inventory!$A$5:$A$304,0))*1,0),IFERROR(INDEX(Services!$Q$5:$Q$204,MATCH(I1050,Services!$A$5:$A$204,0))*1,0)),2))</f>
        <v>0</v>
      </c>
      <c r="AC1050" s="26">
        <f>IF(B1050="","",ROUND(Y1050-AB1050,2))</f>
        <v>0</v>
      </c>
      <c r="AD1050" s="38">
        <f>IF(B1050="","",IF(C1050="","No",IF(COUNTIFS($C$5:C1050,C1050)=1,"Yes","No")))</f>
        <v>0</v>
      </c>
      <c r="AE1050" s="26">
        <f>IF(B1050="","",ROUND(SUMIFS(Payments!$G$5:$G$1204,Payments!$H$5:$H$1204,A1050,Payments!$Q$5:$Q$1204,"Yes"),2))</f>
        <v>0</v>
      </c>
      <c r="AF1050" s="26">
        <f>IF(B1050="","",IF(AD1050="No",0,ROUND(SUMIFS(Payments!$G$5:$G$1204,Payments!$I$5:$I$1204,C1050,Payments!$H$5:$H$1204,"",Payments!$Q$5:$Q$1204,"Yes"),2)))</f>
        <v>0</v>
      </c>
      <c r="AG1050" s="26">
        <f>IF(B1050="","",ROUND(AE1050+AF1050,2))</f>
        <v>0</v>
      </c>
      <c r="AH1050" s="26">
        <f>IF(B1050="","",ROUND(AA1050-AG1050,2))</f>
        <v>0</v>
      </c>
      <c r="AI1050" s="39">
        <f>IF(B1050="","",IF(AA1050&lt;=0,"No charge",IF(AH1050&lt;=0.004,"Paid",IF(AG1050&lt;=0.004,"Unpaid","Part paid"))))</f>
        <v>0</v>
      </c>
      <c r="AJ1050" s="38">
        <f>IF(B1050="","",IF(H1050&lt;&gt;"Service","",IF(D1050="","No",IF(COUNTIFS($D$5:$D$1204,D1050,$B$5:$B$1204,B1050,$H$5:$H$1204,"Retail")&gt;0,"Yes","No"))))</f>
        <v>0</v>
      </c>
      <c r="AK1050" s="25">
        <f>IF(B1050="","",COUNTIFS($Y$5:$Y$1204,"&gt;"&amp;Y1050)+COUNTIFS($Y$5:Y1050,Y1050))</f>
        <v>0</v>
      </c>
      <c r="AL1050" s="39">
        <f>IF(B1050="","",IF(H1050="","Add - what kind of sale is this?",IF(IF(V1050&lt;=0,P1050="",FALSE),"Check - no price found for this item",IF(F1050="","Assign - nobody credited",IF(AH1050&gt;0.004,"Unpaid - balance outstanding",IF(AC1050&lt;0,"Loss - sold below cost",IF(X1050&gt;W1050*0.5,"Check - more than half off","OK")))))))</f>
        <v>0</v>
      </c>
    </row>
    <row r="1051" spans="1:38">
      <c r="A1051" s="28">
        <f>IF(B1051="","",SalePrefix&amp;TEXT(ROW()-4,"0000"))</f>
        <v>0</v>
      </c>
      <c r="E1051" s="15">
        <f>IF(D1051="","",IFERROR(INDEX(Clients!$B$5:$B$504,MATCH(D1051,Clients!$A$5:$A$504,0)),"Walk-in"))</f>
        <v>0</v>
      </c>
      <c r="G1051" s="15">
        <f>IF(F1051="","",IFERROR(INDEX(Staff!$B$5:$B$44,MATCH(F1051,Staff!$A$5:$A$44,0)),"House"))</f>
        <v>0</v>
      </c>
      <c r="R1051" s="15">
        <f>IF(B1051="","",TEXT(B1051,"yyyy-mm"))</f>
        <v>0</v>
      </c>
      <c r="S1051" s="25">
        <f>IF(B1051="","",WEEKNUM(B1051,2))</f>
        <v>0</v>
      </c>
      <c r="T1051" s="37">
        <f>IF(B1051="","",IF(K1051="",1,K1051))</f>
        <v>0</v>
      </c>
      <c r="U1051" s="15">
        <f>IF(B1051="","",IF(J1051&lt;&gt;"",J1051,IF(H1051="Retail",IFERROR(INDEX(Inventory!$B$5:$B$304,MATCH(I1051,Inventory!$A$5:$A$304,0))&amp;"","Not in Inventory"),IFERROR(INDEX(Services!$B$5:$B$204,MATCH(I1051,Services!$A$5:$A$204,0))&amp;"","Not in Services"))))</f>
        <v>0</v>
      </c>
      <c r="V1051" s="26">
        <f>IF(B1051="","",IF(L1051&lt;&gt;"",L1051,IF(H1051="Retail",IFERROR(INDEX(Inventory!$I$5:$I$304,MATCH(I1051,Inventory!$A$5:$A$304,0))*1,0),IFERROR(INDEX(Services!$G$5:$G$204,MATCH(I1051,Services!$A$5:$A$204,0))*1,0))))</f>
        <v>0</v>
      </c>
      <c r="W1051" s="26">
        <f>IF(B1051="","",ROUND(T1051*V1051,2))</f>
        <v>0</v>
      </c>
      <c r="X1051" s="26">
        <f>IF(B1051="","",ROUND(IF(M1051="",0,W1051*M1051)+IF(N1051="",0,N1051),2))</f>
        <v>0</v>
      </c>
      <c r="Y1051" s="26">
        <f>IF(B1051="","",ROUND(W1051-X1051-IF(P1051="",0,P1051),2))</f>
        <v>0</v>
      </c>
      <c r="Z1051" s="26">
        <f>IF(B1051="","",IF(H1051="Retail",IF(TaxOnRetail="Yes",ROUND(Y1051*TaxRate,2),0),IF(H1051="Service",IF(TaxOnServices="Yes",ROUND(Y1051*TaxRate,2),0),0)))</f>
        <v>0</v>
      </c>
      <c r="AA1051" s="26">
        <f>IF(B1051="","",ROUND(Y1051+Z1051,2))</f>
        <v>0</v>
      </c>
      <c r="AB1051" s="26">
        <f>IF(B1051="","",ROUND(T1051*IF(H1051="Retail",IFERROR(INDEX(Inventory!$H$5:$H$304,MATCH(I1051,Inventory!$A$5:$A$304,0))*1,0),IFERROR(INDEX(Services!$Q$5:$Q$204,MATCH(I1051,Services!$A$5:$A$204,0))*1,0)),2))</f>
        <v>0</v>
      </c>
      <c r="AC1051" s="26">
        <f>IF(B1051="","",ROUND(Y1051-AB1051,2))</f>
        <v>0</v>
      </c>
      <c r="AD1051" s="38">
        <f>IF(B1051="","",IF(C1051="","No",IF(COUNTIFS($C$5:C1051,C1051)=1,"Yes","No")))</f>
        <v>0</v>
      </c>
      <c r="AE1051" s="26">
        <f>IF(B1051="","",ROUND(SUMIFS(Payments!$G$5:$G$1204,Payments!$H$5:$H$1204,A1051,Payments!$Q$5:$Q$1204,"Yes"),2))</f>
        <v>0</v>
      </c>
      <c r="AF1051" s="26">
        <f>IF(B1051="","",IF(AD1051="No",0,ROUND(SUMIFS(Payments!$G$5:$G$1204,Payments!$I$5:$I$1204,C1051,Payments!$H$5:$H$1204,"",Payments!$Q$5:$Q$1204,"Yes"),2)))</f>
        <v>0</v>
      </c>
      <c r="AG1051" s="26">
        <f>IF(B1051="","",ROUND(AE1051+AF1051,2))</f>
        <v>0</v>
      </c>
      <c r="AH1051" s="26">
        <f>IF(B1051="","",ROUND(AA1051-AG1051,2))</f>
        <v>0</v>
      </c>
      <c r="AI1051" s="39">
        <f>IF(B1051="","",IF(AA1051&lt;=0,"No charge",IF(AH1051&lt;=0.004,"Paid",IF(AG1051&lt;=0.004,"Unpaid","Part paid"))))</f>
        <v>0</v>
      </c>
      <c r="AJ1051" s="38">
        <f>IF(B1051="","",IF(H1051&lt;&gt;"Service","",IF(D1051="","No",IF(COUNTIFS($D$5:$D$1204,D1051,$B$5:$B$1204,B1051,$H$5:$H$1204,"Retail")&gt;0,"Yes","No"))))</f>
        <v>0</v>
      </c>
      <c r="AK1051" s="25">
        <f>IF(B1051="","",COUNTIFS($Y$5:$Y$1204,"&gt;"&amp;Y1051)+COUNTIFS($Y$5:Y1051,Y1051))</f>
        <v>0</v>
      </c>
      <c r="AL1051" s="39">
        <f>IF(B1051="","",IF(H1051="","Add - what kind of sale is this?",IF(IF(V1051&lt;=0,P1051="",FALSE),"Check - no price found for this item",IF(F1051="","Assign - nobody credited",IF(AH1051&gt;0.004,"Unpaid - balance outstanding",IF(AC1051&lt;0,"Loss - sold below cost",IF(X1051&gt;W1051*0.5,"Check - more than half off","OK")))))))</f>
        <v>0</v>
      </c>
    </row>
    <row r="1052" spans="1:38">
      <c r="A1052" s="28">
        <f>IF(B1052="","",SalePrefix&amp;TEXT(ROW()-4,"0000"))</f>
        <v>0</v>
      </c>
      <c r="E1052" s="15">
        <f>IF(D1052="","",IFERROR(INDEX(Clients!$B$5:$B$504,MATCH(D1052,Clients!$A$5:$A$504,0)),"Walk-in"))</f>
        <v>0</v>
      </c>
      <c r="G1052" s="15">
        <f>IF(F1052="","",IFERROR(INDEX(Staff!$B$5:$B$44,MATCH(F1052,Staff!$A$5:$A$44,0)),"House"))</f>
        <v>0</v>
      </c>
      <c r="R1052" s="15">
        <f>IF(B1052="","",TEXT(B1052,"yyyy-mm"))</f>
        <v>0</v>
      </c>
      <c r="S1052" s="25">
        <f>IF(B1052="","",WEEKNUM(B1052,2))</f>
        <v>0</v>
      </c>
      <c r="T1052" s="37">
        <f>IF(B1052="","",IF(K1052="",1,K1052))</f>
        <v>0</v>
      </c>
      <c r="U1052" s="15">
        <f>IF(B1052="","",IF(J1052&lt;&gt;"",J1052,IF(H1052="Retail",IFERROR(INDEX(Inventory!$B$5:$B$304,MATCH(I1052,Inventory!$A$5:$A$304,0))&amp;"","Not in Inventory"),IFERROR(INDEX(Services!$B$5:$B$204,MATCH(I1052,Services!$A$5:$A$204,0))&amp;"","Not in Services"))))</f>
        <v>0</v>
      </c>
      <c r="V1052" s="26">
        <f>IF(B1052="","",IF(L1052&lt;&gt;"",L1052,IF(H1052="Retail",IFERROR(INDEX(Inventory!$I$5:$I$304,MATCH(I1052,Inventory!$A$5:$A$304,0))*1,0),IFERROR(INDEX(Services!$G$5:$G$204,MATCH(I1052,Services!$A$5:$A$204,0))*1,0))))</f>
        <v>0</v>
      </c>
      <c r="W1052" s="26">
        <f>IF(B1052="","",ROUND(T1052*V1052,2))</f>
        <v>0</v>
      </c>
      <c r="X1052" s="26">
        <f>IF(B1052="","",ROUND(IF(M1052="",0,W1052*M1052)+IF(N1052="",0,N1052),2))</f>
        <v>0</v>
      </c>
      <c r="Y1052" s="26">
        <f>IF(B1052="","",ROUND(W1052-X1052-IF(P1052="",0,P1052),2))</f>
        <v>0</v>
      </c>
      <c r="Z1052" s="26">
        <f>IF(B1052="","",IF(H1052="Retail",IF(TaxOnRetail="Yes",ROUND(Y1052*TaxRate,2),0),IF(H1052="Service",IF(TaxOnServices="Yes",ROUND(Y1052*TaxRate,2),0),0)))</f>
        <v>0</v>
      </c>
      <c r="AA1052" s="26">
        <f>IF(B1052="","",ROUND(Y1052+Z1052,2))</f>
        <v>0</v>
      </c>
      <c r="AB1052" s="26">
        <f>IF(B1052="","",ROUND(T1052*IF(H1052="Retail",IFERROR(INDEX(Inventory!$H$5:$H$304,MATCH(I1052,Inventory!$A$5:$A$304,0))*1,0),IFERROR(INDEX(Services!$Q$5:$Q$204,MATCH(I1052,Services!$A$5:$A$204,0))*1,0)),2))</f>
        <v>0</v>
      </c>
      <c r="AC1052" s="26">
        <f>IF(B1052="","",ROUND(Y1052-AB1052,2))</f>
        <v>0</v>
      </c>
      <c r="AD1052" s="38">
        <f>IF(B1052="","",IF(C1052="","No",IF(COUNTIFS($C$5:C1052,C1052)=1,"Yes","No")))</f>
        <v>0</v>
      </c>
      <c r="AE1052" s="26">
        <f>IF(B1052="","",ROUND(SUMIFS(Payments!$G$5:$G$1204,Payments!$H$5:$H$1204,A1052,Payments!$Q$5:$Q$1204,"Yes"),2))</f>
        <v>0</v>
      </c>
      <c r="AF1052" s="26">
        <f>IF(B1052="","",IF(AD1052="No",0,ROUND(SUMIFS(Payments!$G$5:$G$1204,Payments!$I$5:$I$1204,C1052,Payments!$H$5:$H$1204,"",Payments!$Q$5:$Q$1204,"Yes"),2)))</f>
        <v>0</v>
      </c>
      <c r="AG1052" s="26">
        <f>IF(B1052="","",ROUND(AE1052+AF1052,2))</f>
        <v>0</v>
      </c>
      <c r="AH1052" s="26">
        <f>IF(B1052="","",ROUND(AA1052-AG1052,2))</f>
        <v>0</v>
      </c>
      <c r="AI1052" s="39">
        <f>IF(B1052="","",IF(AA1052&lt;=0,"No charge",IF(AH1052&lt;=0.004,"Paid",IF(AG1052&lt;=0.004,"Unpaid","Part paid"))))</f>
        <v>0</v>
      </c>
      <c r="AJ1052" s="38">
        <f>IF(B1052="","",IF(H1052&lt;&gt;"Service","",IF(D1052="","No",IF(COUNTIFS($D$5:$D$1204,D1052,$B$5:$B$1204,B1052,$H$5:$H$1204,"Retail")&gt;0,"Yes","No"))))</f>
        <v>0</v>
      </c>
      <c r="AK1052" s="25">
        <f>IF(B1052="","",COUNTIFS($Y$5:$Y$1204,"&gt;"&amp;Y1052)+COUNTIFS($Y$5:Y1052,Y1052))</f>
        <v>0</v>
      </c>
      <c r="AL1052" s="39">
        <f>IF(B1052="","",IF(H1052="","Add - what kind of sale is this?",IF(IF(V1052&lt;=0,P1052="",FALSE),"Check - no price found for this item",IF(F1052="","Assign - nobody credited",IF(AH1052&gt;0.004,"Unpaid - balance outstanding",IF(AC1052&lt;0,"Loss - sold below cost",IF(X1052&gt;W1052*0.5,"Check - more than half off","OK")))))))</f>
        <v>0</v>
      </c>
    </row>
    <row r="1053" spans="1:38">
      <c r="A1053" s="28">
        <f>IF(B1053="","",SalePrefix&amp;TEXT(ROW()-4,"0000"))</f>
        <v>0</v>
      </c>
      <c r="E1053" s="15">
        <f>IF(D1053="","",IFERROR(INDEX(Clients!$B$5:$B$504,MATCH(D1053,Clients!$A$5:$A$504,0)),"Walk-in"))</f>
        <v>0</v>
      </c>
      <c r="G1053" s="15">
        <f>IF(F1053="","",IFERROR(INDEX(Staff!$B$5:$B$44,MATCH(F1053,Staff!$A$5:$A$44,0)),"House"))</f>
        <v>0</v>
      </c>
      <c r="R1053" s="15">
        <f>IF(B1053="","",TEXT(B1053,"yyyy-mm"))</f>
        <v>0</v>
      </c>
      <c r="S1053" s="25">
        <f>IF(B1053="","",WEEKNUM(B1053,2))</f>
        <v>0</v>
      </c>
      <c r="T1053" s="37">
        <f>IF(B1053="","",IF(K1053="",1,K1053))</f>
        <v>0</v>
      </c>
      <c r="U1053" s="15">
        <f>IF(B1053="","",IF(J1053&lt;&gt;"",J1053,IF(H1053="Retail",IFERROR(INDEX(Inventory!$B$5:$B$304,MATCH(I1053,Inventory!$A$5:$A$304,0))&amp;"","Not in Inventory"),IFERROR(INDEX(Services!$B$5:$B$204,MATCH(I1053,Services!$A$5:$A$204,0))&amp;"","Not in Services"))))</f>
        <v>0</v>
      </c>
      <c r="V1053" s="26">
        <f>IF(B1053="","",IF(L1053&lt;&gt;"",L1053,IF(H1053="Retail",IFERROR(INDEX(Inventory!$I$5:$I$304,MATCH(I1053,Inventory!$A$5:$A$304,0))*1,0),IFERROR(INDEX(Services!$G$5:$G$204,MATCH(I1053,Services!$A$5:$A$204,0))*1,0))))</f>
        <v>0</v>
      </c>
      <c r="W1053" s="26">
        <f>IF(B1053="","",ROUND(T1053*V1053,2))</f>
        <v>0</v>
      </c>
      <c r="X1053" s="26">
        <f>IF(B1053="","",ROUND(IF(M1053="",0,W1053*M1053)+IF(N1053="",0,N1053),2))</f>
        <v>0</v>
      </c>
      <c r="Y1053" s="26">
        <f>IF(B1053="","",ROUND(W1053-X1053-IF(P1053="",0,P1053),2))</f>
        <v>0</v>
      </c>
      <c r="Z1053" s="26">
        <f>IF(B1053="","",IF(H1053="Retail",IF(TaxOnRetail="Yes",ROUND(Y1053*TaxRate,2),0),IF(H1053="Service",IF(TaxOnServices="Yes",ROUND(Y1053*TaxRate,2),0),0)))</f>
        <v>0</v>
      </c>
      <c r="AA1053" s="26">
        <f>IF(B1053="","",ROUND(Y1053+Z1053,2))</f>
        <v>0</v>
      </c>
      <c r="AB1053" s="26">
        <f>IF(B1053="","",ROUND(T1053*IF(H1053="Retail",IFERROR(INDEX(Inventory!$H$5:$H$304,MATCH(I1053,Inventory!$A$5:$A$304,0))*1,0),IFERROR(INDEX(Services!$Q$5:$Q$204,MATCH(I1053,Services!$A$5:$A$204,0))*1,0)),2))</f>
        <v>0</v>
      </c>
      <c r="AC1053" s="26">
        <f>IF(B1053="","",ROUND(Y1053-AB1053,2))</f>
        <v>0</v>
      </c>
      <c r="AD1053" s="38">
        <f>IF(B1053="","",IF(C1053="","No",IF(COUNTIFS($C$5:C1053,C1053)=1,"Yes","No")))</f>
        <v>0</v>
      </c>
      <c r="AE1053" s="26">
        <f>IF(B1053="","",ROUND(SUMIFS(Payments!$G$5:$G$1204,Payments!$H$5:$H$1204,A1053,Payments!$Q$5:$Q$1204,"Yes"),2))</f>
        <v>0</v>
      </c>
      <c r="AF1053" s="26">
        <f>IF(B1053="","",IF(AD1053="No",0,ROUND(SUMIFS(Payments!$G$5:$G$1204,Payments!$I$5:$I$1204,C1053,Payments!$H$5:$H$1204,"",Payments!$Q$5:$Q$1204,"Yes"),2)))</f>
        <v>0</v>
      </c>
      <c r="AG1053" s="26">
        <f>IF(B1053="","",ROUND(AE1053+AF1053,2))</f>
        <v>0</v>
      </c>
      <c r="AH1053" s="26">
        <f>IF(B1053="","",ROUND(AA1053-AG1053,2))</f>
        <v>0</v>
      </c>
      <c r="AI1053" s="39">
        <f>IF(B1053="","",IF(AA1053&lt;=0,"No charge",IF(AH1053&lt;=0.004,"Paid",IF(AG1053&lt;=0.004,"Unpaid","Part paid"))))</f>
        <v>0</v>
      </c>
      <c r="AJ1053" s="38">
        <f>IF(B1053="","",IF(H1053&lt;&gt;"Service","",IF(D1053="","No",IF(COUNTIFS($D$5:$D$1204,D1053,$B$5:$B$1204,B1053,$H$5:$H$1204,"Retail")&gt;0,"Yes","No"))))</f>
        <v>0</v>
      </c>
      <c r="AK1053" s="25">
        <f>IF(B1053="","",COUNTIFS($Y$5:$Y$1204,"&gt;"&amp;Y1053)+COUNTIFS($Y$5:Y1053,Y1053))</f>
        <v>0</v>
      </c>
      <c r="AL1053" s="39">
        <f>IF(B1053="","",IF(H1053="","Add - what kind of sale is this?",IF(IF(V1053&lt;=0,P1053="",FALSE),"Check - no price found for this item",IF(F1053="","Assign - nobody credited",IF(AH1053&gt;0.004,"Unpaid - balance outstanding",IF(AC1053&lt;0,"Loss - sold below cost",IF(X1053&gt;W1053*0.5,"Check - more than half off","OK")))))))</f>
        <v>0</v>
      </c>
    </row>
    <row r="1054" spans="1:38">
      <c r="A1054" s="28">
        <f>IF(B1054="","",SalePrefix&amp;TEXT(ROW()-4,"0000"))</f>
        <v>0</v>
      </c>
      <c r="E1054" s="15">
        <f>IF(D1054="","",IFERROR(INDEX(Clients!$B$5:$B$504,MATCH(D1054,Clients!$A$5:$A$504,0)),"Walk-in"))</f>
        <v>0</v>
      </c>
      <c r="G1054" s="15">
        <f>IF(F1054="","",IFERROR(INDEX(Staff!$B$5:$B$44,MATCH(F1054,Staff!$A$5:$A$44,0)),"House"))</f>
        <v>0</v>
      </c>
      <c r="R1054" s="15">
        <f>IF(B1054="","",TEXT(B1054,"yyyy-mm"))</f>
        <v>0</v>
      </c>
      <c r="S1054" s="25">
        <f>IF(B1054="","",WEEKNUM(B1054,2))</f>
        <v>0</v>
      </c>
      <c r="T1054" s="37">
        <f>IF(B1054="","",IF(K1054="",1,K1054))</f>
        <v>0</v>
      </c>
      <c r="U1054" s="15">
        <f>IF(B1054="","",IF(J1054&lt;&gt;"",J1054,IF(H1054="Retail",IFERROR(INDEX(Inventory!$B$5:$B$304,MATCH(I1054,Inventory!$A$5:$A$304,0))&amp;"","Not in Inventory"),IFERROR(INDEX(Services!$B$5:$B$204,MATCH(I1054,Services!$A$5:$A$204,0))&amp;"","Not in Services"))))</f>
        <v>0</v>
      </c>
      <c r="V1054" s="26">
        <f>IF(B1054="","",IF(L1054&lt;&gt;"",L1054,IF(H1054="Retail",IFERROR(INDEX(Inventory!$I$5:$I$304,MATCH(I1054,Inventory!$A$5:$A$304,0))*1,0),IFERROR(INDEX(Services!$G$5:$G$204,MATCH(I1054,Services!$A$5:$A$204,0))*1,0))))</f>
        <v>0</v>
      </c>
      <c r="W1054" s="26">
        <f>IF(B1054="","",ROUND(T1054*V1054,2))</f>
        <v>0</v>
      </c>
      <c r="X1054" s="26">
        <f>IF(B1054="","",ROUND(IF(M1054="",0,W1054*M1054)+IF(N1054="",0,N1054),2))</f>
        <v>0</v>
      </c>
      <c r="Y1054" s="26">
        <f>IF(B1054="","",ROUND(W1054-X1054-IF(P1054="",0,P1054),2))</f>
        <v>0</v>
      </c>
      <c r="Z1054" s="26">
        <f>IF(B1054="","",IF(H1054="Retail",IF(TaxOnRetail="Yes",ROUND(Y1054*TaxRate,2),0),IF(H1054="Service",IF(TaxOnServices="Yes",ROUND(Y1054*TaxRate,2),0),0)))</f>
        <v>0</v>
      </c>
      <c r="AA1054" s="26">
        <f>IF(B1054="","",ROUND(Y1054+Z1054,2))</f>
        <v>0</v>
      </c>
      <c r="AB1054" s="26">
        <f>IF(B1054="","",ROUND(T1054*IF(H1054="Retail",IFERROR(INDEX(Inventory!$H$5:$H$304,MATCH(I1054,Inventory!$A$5:$A$304,0))*1,0),IFERROR(INDEX(Services!$Q$5:$Q$204,MATCH(I1054,Services!$A$5:$A$204,0))*1,0)),2))</f>
        <v>0</v>
      </c>
      <c r="AC1054" s="26">
        <f>IF(B1054="","",ROUND(Y1054-AB1054,2))</f>
        <v>0</v>
      </c>
      <c r="AD1054" s="38">
        <f>IF(B1054="","",IF(C1054="","No",IF(COUNTIFS($C$5:C1054,C1054)=1,"Yes","No")))</f>
        <v>0</v>
      </c>
      <c r="AE1054" s="26">
        <f>IF(B1054="","",ROUND(SUMIFS(Payments!$G$5:$G$1204,Payments!$H$5:$H$1204,A1054,Payments!$Q$5:$Q$1204,"Yes"),2))</f>
        <v>0</v>
      </c>
      <c r="AF1054" s="26">
        <f>IF(B1054="","",IF(AD1054="No",0,ROUND(SUMIFS(Payments!$G$5:$G$1204,Payments!$I$5:$I$1204,C1054,Payments!$H$5:$H$1204,"",Payments!$Q$5:$Q$1204,"Yes"),2)))</f>
        <v>0</v>
      </c>
      <c r="AG1054" s="26">
        <f>IF(B1054="","",ROUND(AE1054+AF1054,2))</f>
        <v>0</v>
      </c>
      <c r="AH1054" s="26">
        <f>IF(B1054="","",ROUND(AA1054-AG1054,2))</f>
        <v>0</v>
      </c>
      <c r="AI1054" s="39">
        <f>IF(B1054="","",IF(AA1054&lt;=0,"No charge",IF(AH1054&lt;=0.004,"Paid",IF(AG1054&lt;=0.004,"Unpaid","Part paid"))))</f>
        <v>0</v>
      </c>
      <c r="AJ1054" s="38">
        <f>IF(B1054="","",IF(H1054&lt;&gt;"Service","",IF(D1054="","No",IF(COUNTIFS($D$5:$D$1204,D1054,$B$5:$B$1204,B1054,$H$5:$H$1204,"Retail")&gt;0,"Yes","No"))))</f>
        <v>0</v>
      </c>
      <c r="AK1054" s="25">
        <f>IF(B1054="","",COUNTIFS($Y$5:$Y$1204,"&gt;"&amp;Y1054)+COUNTIFS($Y$5:Y1054,Y1054))</f>
        <v>0</v>
      </c>
      <c r="AL1054" s="39">
        <f>IF(B1054="","",IF(H1054="","Add - what kind of sale is this?",IF(IF(V1054&lt;=0,P1054="",FALSE),"Check - no price found for this item",IF(F1054="","Assign - nobody credited",IF(AH1054&gt;0.004,"Unpaid - balance outstanding",IF(AC1054&lt;0,"Loss - sold below cost",IF(X1054&gt;W1054*0.5,"Check - more than half off","OK")))))))</f>
        <v>0</v>
      </c>
    </row>
    <row r="1055" spans="1:38">
      <c r="A1055" s="28">
        <f>IF(B1055="","",SalePrefix&amp;TEXT(ROW()-4,"0000"))</f>
        <v>0</v>
      </c>
      <c r="E1055" s="15">
        <f>IF(D1055="","",IFERROR(INDEX(Clients!$B$5:$B$504,MATCH(D1055,Clients!$A$5:$A$504,0)),"Walk-in"))</f>
        <v>0</v>
      </c>
      <c r="G1055" s="15">
        <f>IF(F1055="","",IFERROR(INDEX(Staff!$B$5:$B$44,MATCH(F1055,Staff!$A$5:$A$44,0)),"House"))</f>
        <v>0</v>
      </c>
      <c r="R1055" s="15">
        <f>IF(B1055="","",TEXT(B1055,"yyyy-mm"))</f>
        <v>0</v>
      </c>
      <c r="S1055" s="25">
        <f>IF(B1055="","",WEEKNUM(B1055,2))</f>
        <v>0</v>
      </c>
      <c r="T1055" s="37">
        <f>IF(B1055="","",IF(K1055="",1,K1055))</f>
        <v>0</v>
      </c>
      <c r="U1055" s="15">
        <f>IF(B1055="","",IF(J1055&lt;&gt;"",J1055,IF(H1055="Retail",IFERROR(INDEX(Inventory!$B$5:$B$304,MATCH(I1055,Inventory!$A$5:$A$304,0))&amp;"","Not in Inventory"),IFERROR(INDEX(Services!$B$5:$B$204,MATCH(I1055,Services!$A$5:$A$204,0))&amp;"","Not in Services"))))</f>
        <v>0</v>
      </c>
      <c r="V1055" s="26">
        <f>IF(B1055="","",IF(L1055&lt;&gt;"",L1055,IF(H1055="Retail",IFERROR(INDEX(Inventory!$I$5:$I$304,MATCH(I1055,Inventory!$A$5:$A$304,0))*1,0),IFERROR(INDEX(Services!$G$5:$G$204,MATCH(I1055,Services!$A$5:$A$204,0))*1,0))))</f>
        <v>0</v>
      </c>
      <c r="W1055" s="26">
        <f>IF(B1055="","",ROUND(T1055*V1055,2))</f>
        <v>0</v>
      </c>
      <c r="X1055" s="26">
        <f>IF(B1055="","",ROUND(IF(M1055="",0,W1055*M1055)+IF(N1055="",0,N1055),2))</f>
        <v>0</v>
      </c>
      <c r="Y1055" s="26">
        <f>IF(B1055="","",ROUND(W1055-X1055-IF(P1055="",0,P1055),2))</f>
        <v>0</v>
      </c>
      <c r="Z1055" s="26">
        <f>IF(B1055="","",IF(H1055="Retail",IF(TaxOnRetail="Yes",ROUND(Y1055*TaxRate,2),0),IF(H1055="Service",IF(TaxOnServices="Yes",ROUND(Y1055*TaxRate,2),0),0)))</f>
        <v>0</v>
      </c>
      <c r="AA1055" s="26">
        <f>IF(B1055="","",ROUND(Y1055+Z1055,2))</f>
        <v>0</v>
      </c>
      <c r="AB1055" s="26">
        <f>IF(B1055="","",ROUND(T1055*IF(H1055="Retail",IFERROR(INDEX(Inventory!$H$5:$H$304,MATCH(I1055,Inventory!$A$5:$A$304,0))*1,0),IFERROR(INDEX(Services!$Q$5:$Q$204,MATCH(I1055,Services!$A$5:$A$204,0))*1,0)),2))</f>
        <v>0</v>
      </c>
      <c r="AC1055" s="26">
        <f>IF(B1055="","",ROUND(Y1055-AB1055,2))</f>
        <v>0</v>
      </c>
      <c r="AD1055" s="38">
        <f>IF(B1055="","",IF(C1055="","No",IF(COUNTIFS($C$5:C1055,C1055)=1,"Yes","No")))</f>
        <v>0</v>
      </c>
      <c r="AE1055" s="26">
        <f>IF(B1055="","",ROUND(SUMIFS(Payments!$G$5:$G$1204,Payments!$H$5:$H$1204,A1055,Payments!$Q$5:$Q$1204,"Yes"),2))</f>
        <v>0</v>
      </c>
      <c r="AF1055" s="26">
        <f>IF(B1055="","",IF(AD1055="No",0,ROUND(SUMIFS(Payments!$G$5:$G$1204,Payments!$I$5:$I$1204,C1055,Payments!$H$5:$H$1204,"",Payments!$Q$5:$Q$1204,"Yes"),2)))</f>
        <v>0</v>
      </c>
      <c r="AG1055" s="26">
        <f>IF(B1055="","",ROUND(AE1055+AF1055,2))</f>
        <v>0</v>
      </c>
      <c r="AH1055" s="26">
        <f>IF(B1055="","",ROUND(AA1055-AG1055,2))</f>
        <v>0</v>
      </c>
      <c r="AI1055" s="39">
        <f>IF(B1055="","",IF(AA1055&lt;=0,"No charge",IF(AH1055&lt;=0.004,"Paid",IF(AG1055&lt;=0.004,"Unpaid","Part paid"))))</f>
        <v>0</v>
      </c>
      <c r="AJ1055" s="38">
        <f>IF(B1055="","",IF(H1055&lt;&gt;"Service","",IF(D1055="","No",IF(COUNTIFS($D$5:$D$1204,D1055,$B$5:$B$1204,B1055,$H$5:$H$1204,"Retail")&gt;0,"Yes","No"))))</f>
        <v>0</v>
      </c>
      <c r="AK1055" s="25">
        <f>IF(B1055="","",COUNTIFS($Y$5:$Y$1204,"&gt;"&amp;Y1055)+COUNTIFS($Y$5:Y1055,Y1055))</f>
        <v>0</v>
      </c>
      <c r="AL1055" s="39">
        <f>IF(B1055="","",IF(H1055="","Add - what kind of sale is this?",IF(IF(V1055&lt;=0,P1055="",FALSE),"Check - no price found for this item",IF(F1055="","Assign - nobody credited",IF(AH1055&gt;0.004,"Unpaid - balance outstanding",IF(AC1055&lt;0,"Loss - sold below cost",IF(X1055&gt;W1055*0.5,"Check - more than half off","OK")))))))</f>
        <v>0</v>
      </c>
    </row>
    <row r="1056" spans="1:38">
      <c r="A1056" s="28">
        <f>IF(B1056="","",SalePrefix&amp;TEXT(ROW()-4,"0000"))</f>
        <v>0</v>
      </c>
      <c r="E1056" s="15">
        <f>IF(D1056="","",IFERROR(INDEX(Clients!$B$5:$B$504,MATCH(D1056,Clients!$A$5:$A$504,0)),"Walk-in"))</f>
        <v>0</v>
      </c>
      <c r="G1056" s="15">
        <f>IF(F1056="","",IFERROR(INDEX(Staff!$B$5:$B$44,MATCH(F1056,Staff!$A$5:$A$44,0)),"House"))</f>
        <v>0</v>
      </c>
      <c r="R1056" s="15">
        <f>IF(B1056="","",TEXT(B1056,"yyyy-mm"))</f>
        <v>0</v>
      </c>
      <c r="S1056" s="25">
        <f>IF(B1056="","",WEEKNUM(B1056,2))</f>
        <v>0</v>
      </c>
      <c r="T1056" s="37">
        <f>IF(B1056="","",IF(K1056="",1,K1056))</f>
        <v>0</v>
      </c>
      <c r="U1056" s="15">
        <f>IF(B1056="","",IF(J1056&lt;&gt;"",J1056,IF(H1056="Retail",IFERROR(INDEX(Inventory!$B$5:$B$304,MATCH(I1056,Inventory!$A$5:$A$304,0))&amp;"","Not in Inventory"),IFERROR(INDEX(Services!$B$5:$B$204,MATCH(I1056,Services!$A$5:$A$204,0))&amp;"","Not in Services"))))</f>
        <v>0</v>
      </c>
      <c r="V1056" s="26">
        <f>IF(B1056="","",IF(L1056&lt;&gt;"",L1056,IF(H1056="Retail",IFERROR(INDEX(Inventory!$I$5:$I$304,MATCH(I1056,Inventory!$A$5:$A$304,0))*1,0),IFERROR(INDEX(Services!$G$5:$G$204,MATCH(I1056,Services!$A$5:$A$204,0))*1,0))))</f>
        <v>0</v>
      </c>
      <c r="W1056" s="26">
        <f>IF(B1056="","",ROUND(T1056*V1056,2))</f>
        <v>0</v>
      </c>
      <c r="X1056" s="26">
        <f>IF(B1056="","",ROUND(IF(M1056="",0,W1056*M1056)+IF(N1056="",0,N1056),2))</f>
        <v>0</v>
      </c>
      <c r="Y1056" s="26">
        <f>IF(B1056="","",ROUND(W1056-X1056-IF(P1056="",0,P1056),2))</f>
        <v>0</v>
      </c>
      <c r="Z1056" s="26">
        <f>IF(B1056="","",IF(H1056="Retail",IF(TaxOnRetail="Yes",ROUND(Y1056*TaxRate,2),0),IF(H1056="Service",IF(TaxOnServices="Yes",ROUND(Y1056*TaxRate,2),0),0)))</f>
        <v>0</v>
      </c>
      <c r="AA1056" s="26">
        <f>IF(B1056="","",ROUND(Y1056+Z1056,2))</f>
        <v>0</v>
      </c>
      <c r="AB1056" s="26">
        <f>IF(B1056="","",ROUND(T1056*IF(H1056="Retail",IFERROR(INDEX(Inventory!$H$5:$H$304,MATCH(I1056,Inventory!$A$5:$A$304,0))*1,0),IFERROR(INDEX(Services!$Q$5:$Q$204,MATCH(I1056,Services!$A$5:$A$204,0))*1,0)),2))</f>
        <v>0</v>
      </c>
      <c r="AC1056" s="26">
        <f>IF(B1056="","",ROUND(Y1056-AB1056,2))</f>
        <v>0</v>
      </c>
      <c r="AD1056" s="38">
        <f>IF(B1056="","",IF(C1056="","No",IF(COUNTIFS($C$5:C1056,C1056)=1,"Yes","No")))</f>
        <v>0</v>
      </c>
      <c r="AE1056" s="26">
        <f>IF(B1056="","",ROUND(SUMIFS(Payments!$G$5:$G$1204,Payments!$H$5:$H$1204,A1056,Payments!$Q$5:$Q$1204,"Yes"),2))</f>
        <v>0</v>
      </c>
      <c r="AF1056" s="26">
        <f>IF(B1056="","",IF(AD1056="No",0,ROUND(SUMIFS(Payments!$G$5:$G$1204,Payments!$I$5:$I$1204,C1056,Payments!$H$5:$H$1204,"",Payments!$Q$5:$Q$1204,"Yes"),2)))</f>
        <v>0</v>
      </c>
      <c r="AG1056" s="26">
        <f>IF(B1056="","",ROUND(AE1056+AF1056,2))</f>
        <v>0</v>
      </c>
      <c r="AH1056" s="26">
        <f>IF(B1056="","",ROUND(AA1056-AG1056,2))</f>
        <v>0</v>
      </c>
      <c r="AI1056" s="39">
        <f>IF(B1056="","",IF(AA1056&lt;=0,"No charge",IF(AH1056&lt;=0.004,"Paid",IF(AG1056&lt;=0.004,"Unpaid","Part paid"))))</f>
        <v>0</v>
      </c>
      <c r="AJ1056" s="38">
        <f>IF(B1056="","",IF(H1056&lt;&gt;"Service","",IF(D1056="","No",IF(COUNTIFS($D$5:$D$1204,D1056,$B$5:$B$1204,B1056,$H$5:$H$1204,"Retail")&gt;0,"Yes","No"))))</f>
        <v>0</v>
      </c>
      <c r="AK1056" s="25">
        <f>IF(B1056="","",COUNTIFS($Y$5:$Y$1204,"&gt;"&amp;Y1056)+COUNTIFS($Y$5:Y1056,Y1056))</f>
        <v>0</v>
      </c>
      <c r="AL1056" s="39">
        <f>IF(B1056="","",IF(H1056="","Add - what kind of sale is this?",IF(IF(V1056&lt;=0,P1056="",FALSE),"Check - no price found for this item",IF(F1056="","Assign - nobody credited",IF(AH1056&gt;0.004,"Unpaid - balance outstanding",IF(AC1056&lt;0,"Loss - sold below cost",IF(X1056&gt;W1056*0.5,"Check - more than half off","OK")))))))</f>
        <v>0</v>
      </c>
    </row>
    <row r="1057" spans="1:38">
      <c r="A1057" s="28">
        <f>IF(B1057="","",SalePrefix&amp;TEXT(ROW()-4,"0000"))</f>
        <v>0</v>
      </c>
      <c r="E1057" s="15">
        <f>IF(D1057="","",IFERROR(INDEX(Clients!$B$5:$B$504,MATCH(D1057,Clients!$A$5:$A$504,0)),"Walk-in"))</f>
        <v>0</v>
      </c>
      <c r="G1057" s="15">
        <f>IF(F1057="","",IFERROR(INDEX(Staff!$B$5:$B$44,MATCH(F1057,Staff!$A$5:$A$44,0)),"House"))</f>
        <v>0</v>
      </c>
      <c r="R1057" s="15">
        <f>IF(B1057="","",TEXT(B1057,"yyyy-mm"))</f>
        <v>0</v>
      </c>
      <c r="S1057" s="25">
        <f>IF(B1057="","",WEEKNUM(B1057,2))</f>
        <v>0</v>
      </c>
      <c r="T1057" s="37">
        <f>IF(B1057="","",IF(K1057="",1,K1057))</f>
        <v>0</v>
      </c>
      <c r="U1057" s="15">
        <f>IF(B1057="","",IF(J1057&lt;&gt;"",J1057,IF(H1057="Retail",IFERROR(INDEX(Inventory!$B$5:$B$304,MATCH(I1057,Inventory!$A$5:$A$304,0))&amp;"","Not in Inventory"),IFERROR(INDEX(Services!$B$5:$B$204,MATCH(I1057,Services!$A$5:$A$204,0))&amp;"","Not in Services"))))</f>
        <v>0</v>
      </c>
      <c r="V1057" s="26">
        <f>IF(B1057="","",IF(L1057&lt;&gt;"",L1057,IF(H1057="Retail",IFERROR(INDEX(Inventory!$I$5:$I$304,MATCH(I1057,Inventory!$A$5:$A$304,0))*1,0),IFERROR(INDEX(Services!$G$5:$G$204,MATCH(I1057,Services!$A$5:$A$204,0))*1,0))))</f>
        <v>0</v>
      </c>
      <c r="W1057" s="26">
        <f>IF(B1057="","",ROUND(T1057*V1057,2))</f>
        <v>0</v>
      </c>
      <c r="X1057" s="26">
        <f>IF(B1057="","",ROUND(IF(M1057="",0,W1057*M1057)+IF(N1057="",0,N1057),2))</f>
        <v>0</v>
      </c>
      <c r="Y1057" s="26">
        <f>IF(B1057="","",ROUND(W1057-X1057-IF(P1057="",0,P1057),2))</f>
        <v>0</v>
      </c>
      <c r="Z1057" s="26">
        <f>IF(B1057="","",IF(H1057="Retail",IF(TaxOnRetail="Yes",ROUND(Y1057*TaxRate,2),0),IF(H1057="Service",IF(TaxOnServices="Yes",ROUND(Y1057*TaxRate,2),0),0)))</f>
        <v>0</v>
      </c>
      <c r="AA1057" s="26">
        <f>IF(B1057="","",ROUND(Y1057+Z1057,2))</f>
        <v>0</v>
      </c>
      <c r="AB1057" s="26">
        <f>IF(B1057="","",ROUND(T1057*IF(H1057="Retail",IFERROR(INDEX(Inventory!$H$5:$H$304,MATCH(I1057,Inventory!$A$5:$A$304,0))*1,0),IFERROR(INDEX(Services!$Q$5:$Q$204,MATCH(I1057,Services!$A$5:$A$204,0))*1,0)),2))</f>
        <v>0</v>
      </c>
      <c r="AC1057" s="26">
        <f>IF(B1057="","",ROUND(Y1057-AB1057,2))</f>
        <v>0</v>
      </c>
      <c r="AD1057" s="38">
        <f>IF(B1057="","",IF(C1057="","No",IF(COUNTIFS($C$5:C1057,C1057)=1,"Yes","No")))</f>
        <v>0</v>
      </c>
      <c r="AE1057" s="26">
        <f>IF(B1057="","",ROUND(SUMIFS(Payments!$G$5:$G$1204,Payments!$H$5:$H$1204,A1057,Payments!$Q$5:$Q$1204,"Yes"),2))</f>
        <v>0</v>
      </c>
      <c r="AF1057" s="26">
        <f>IF(B1057="","",IF(AD1057="No",0,ROUND(SUMIFS(Payments!$G$5:$G$1204,Payments!$I$5:$I$1204,C1057,Payments!$H$5:$H$1204,"",Payments!$Q$5:$Q$1204,"Yes"),2)))</f>
        <v>0</v>
      </c>
      <c r="AG1057" s="26">
        <f>IF(B1057="","",ROUND(AE1057+AF1057,2))</f>
        <v>0</v>
      </c>
      <c r="AH1057" s="26">
        <f>IF(B1057="","",ROUND(AA1057-AG1057,2))</f>
        <v>0</v>
      </c>
      <c r="AI1057" s="39">
        <f>IF(B1057="","",IF(AA1057&lt;=0,"No charge",IF(AH1057&lt;=0.004,"Paid",IF(AG1057&lt;=0.004,"Unpaid","Part paid"))))</f>
        <v>0</v>
      </c>
      <c r="AJ1057" s="38">
        <f>IF(B1057="","",IF(H1057&lt;&gt;"Service","",IF(D1057="","No",IF(COUNTIFS($D$5:$D$1204,D1057,$B$5:$B$1204,B1057,$H$5:$H$1204,"Retail")&gt;0,"Yes","No"))))</f>
        <v>0</v>
      </c>
      <c r="AK1057" s="25">
        <f>IF(B1057="","",COUNTIFS($Y$5:$Y$1204,"&gt;"&amp;Y1057)+COUNTIFS($Y$5:Y1057,Y1057))</f>
        <v>0</v>
      </c>
      <c r="AL1057" s="39">
        <f>IF(B1057="","",IF(H1057="","Add - what kind of sale is this?",IF(IF(V1057&lt;=0,P1057="",FALSE),"Check - no price found for this item",IF(F1057="","Assign - nobody credited",IF(AH1057&gt;0.004,"Unpaid - balance outstanding",IF(AC1057&lt;0,"Loss - sold below cost",IF(X1057&gt;W1057*0.5,"Check - more than half off","OK")))))))</f>
        <v>0</v>
      </c>
    </row>
    <row r="1058" spans="1:38">
      <c r="A1058" s="28">
        <f>IF(B1058="","",SalePrefix&amp;TEXT(ROW()-4,"0000"))</f>
        <v>0</v>
      </c>
      <c r="E1058" s="15">
        <f>IF(D1058="","",IFERROR(INDEX(Clients!$B$5:$B$504,MATCH(D1058,Clients!$A$5:$A$504,0)),"Walk-in"))</f>
        <v>0</v>
      </c>
      <c r="G1058" s="15">
        <f>IF(F1058="","",IFERROR(INDEX(Staff!$B$5:$B$44,MATCH(F1058,Staff!$A$5:$A$44,0)),"House"))</f>
        <v>0</v>
      </c>
      <c r="R1058" s="15">
        <f>IF(B1058="","",TEXT(B1058,"yyyy-mm"))</f>
        <v>0</v>
      </c>
      <c r="S1058" s="25">
        <f>IF(B1058="","",WEEKNUM(B1058,2))</f>
        <v>0</v>
      </c>
      <c r="T1058" s="37">
        <f>IF(B1058="","",IF(K1058="",1,K1058))</f>
        <v>0</v>
      </c>
      <c r="U1058" s="15">
        <f>IF(B1058="","",IF(J1058&lt;&gt;"",J1058,IF(H1058="Retail",IFERROR(INDEX(Inventory!$B$5:$B$304,MATCH(I1058,Inventory!$A$5:$A$304,0))&amp;"","Not in Inventory"),IFERROR(INDEX(Services!$B$5:$B$204,MATCH(I1058,Services!$A$5:$A$204,0))&amp;"","Not in Services"))))</f>
        <v>0</v>
      </c>
      <c r="V1058" s="26">
        <f>IF(B1058="","",IF(L1058&lt;&gt;"",L1058,IF(H1058="Retail",IFERROR(INDEX(Inventory!$I$5:$I$304,MATCH(I1058,Inventory!$A$5:$A$304,0))*1,0),IFERROR(INDEX(Services!$G$5:$G$204,MATCH(I1058,Services!$A$5:$A$204,0))*1,0))))</f>
        <v>0</v>
      </c>
      <c r="W1058" s="26">
        <f>IF(B1058="","",ROUND(T1058*V1058,2))</f>
        <v>0</v>
      </c>
      <c r="X1058" s="26">
        <f>IF(B1058="","",ROUND(IF(M1058="",0,W1058*M1058)+IF(N1058="",0,N1058),2))</f>
        <v>0</v>
      </c>
      <c r="Y1058" s="26">
        <f>IF(B1058="","",ROUND(W1058-X1058-IF(P1058="",0,P1058),2))</f>
        <v>0</v>
      </c>
      <c r="Z1058" s="26">
        <f>IF(B1058="","",IF(H1058="Retail",IF(TaxOnRetail="Yes",ROUND(Y1058*TaxRate,2),0),IF(H1058="Service",IF(TaxOnServices="Yes",ROUND(Y1058*TaxRate,2),0),0)))</f>
        <v>0</v>
      </c>
      <c r="AA1058" s="26">
        <f>IF(B1058="","",ROUND(Y1058+Z1058,2))</f>
        <v>0</v>
      </c>
      <c r="AB1058" s="26">
        <f>IF(B1058="","",ROUND(T1058*IF(H1058="Retail",IFERROR(INDEX(Inventory!$H$5:$H$304,MATCH(I1058,Inventory!$A$5:$A$304,0))*1,0),IFERROR(INDEX(Services!$Q$5:$Q$204,MATCH(I1058,Services!$A$5:$A$204,0))*1,0)),2))</f>
        <v>0</v>
      </c>
      <c r="AC1058" s="26">
        <f>IF(B1058="","",ROUND(Y1058-AB1058,2))</f>
        <v>0</v>
      </c>
      <c r="AD1058" s="38">
        <f>IF(B1058="","",IF(C1058="","No",IF(COUNTIFS($C$5:C1058,C1058)=1,"Yes","No")))</f>
        <v>0</v>
      </c>
      <c r="AE1058" s="26">
        <f>IF(B1058="","",ROUND(SUMIFS(Payments!$G$5:$G$1204,Payments!$H$5:$H$1204,A1058,Payments!$Q$5:$Q$1204,"Yes"),2))</f>
        <v>0</v>
      </c>
      <c r="AF1058" s="26">
        <f>IF(B1058="","",IF(AD1058="No",0,ROUND(SUMIFS(Payments!$G$5:$G$1204,Payments!$I$5:$I$1204,C1058,Payments!$H$5:$H$1204,"",Payments!$Q$5:$Q$1204,"Yes"),2)))</f>
        <v>0</v>
      </c>
      <c r="AG1058" s="26">
        <f>IF(B1058="","",ROUND(AE1058+AF1058,2))</f>
        <v>0</v>
      </c>
      <c r="AH1058" s="26">
        <f>IF(B1058="","",ROUND(AA1058-AG1058,2))</f>
        <v>0</v>
      </c>
      <c r="AI1058" s="39">
        <f>IF(B1058="","",IF(AA1058&lt;=0,"No charge",IF(AH1058&lt;=0.004,"Paid",IF(AG1058&lt;=0.004,"Unpaid","Part paid"))))</f>
        <v>0</v>
      </c>
      <c r="AJ1058" s="38">
        <f>IF(B1058="","",IF(H1058&lt;&gt;"Service","",IF(D1058="","No",IF(COUNTIFS($D$5:$D$1204,D1058,$B$5:$B$1204,B1058,$H$5:$H$1204,"Retail")&gt;0,"Yes","No"))))</f>
        <v>0</v>
      </c>
      <c r="AK1058" s="25">
        <f>IF(B1058="","",COUNTIFS($Y$5:$Y$1204,"&gt;"&amp;Y1058)+COUNTIFS($Y$5:Y1058,Y1058))</f>
        <v>0</v>
      </c>
      <c r="AL1058" s="39">
        <f>IF(B1058="","",IF(H1058="","Add - what kind of sale is this?",IF(IF(V1058&lt;=0,P1058="",FALSE),"Check - no price found for this item",IF(F1058="","Assign - nobody credited",IF(AH1058&gt;0.004,"Unpaid - balance outstanding",IF(AC1058&lt;0,"Loss - sold below cost",IF(X1058&gt;W1058*0.5,"Check - more than half off","OK")))))))</f>
        <v>0</v>
      </c>
    </row>
    <row r="1059" spans="1:38">
      <c r="A1059" s="28">
        <f>IF(B1059="","",SalePrefix&amp;TEXT(ROW()-4,"0000"))</f>
        <v>0</v>
      </c>
      <c r="E1059" s="15">
        <f>IF(D1059="","",IFERROR(INDEX(Clients!$B$5:$B$504,MATCH(D1059,Clients!$A$5:$A$504,0)),"Walk-in"))</f>
        <v>0</v>
      </c>
      <c r="G1059" s="15">
        <f>IF(F1059="","",IFERROR(INDEX(Staff!$B$5:$B$44,MATCH(F1059,Staff!$A$5:$A$44,0)),"House"))</f>
        <v>0</v>
      </c>
      <c r="R1059" s="15">
        <f>IF(B1059="","",TEXT(B1059,"yyyy-mm"))</f>
        <v>0</v>
      </c>
      <c r="S1059" s="25">
        <f>IF(B1059="","",WEEKNUM(B1059,2))</f>
        <v>0</v>
      </c>
      <c r="T1059" s="37">
        <f>IF(B1059="","",IF(K1059="",1,K1059))</f>
        <v>0</v>
      </c>
      <c r="U1059" s="15">
        <f>IF(B1059="","",IF(J1059&lt;&gt;"",J1059,IF(H1059="Retail",IFERROR(INDEX(Inventory!$B$5:$B$304,MATCH(I1059,Inventory!$A$5:$A$304,0))&amp;"","Not in Inventory"),IFERROR(INDEX(Services!$B$5:$B$204,MATCH(I1059,Services!$A$5:$A$204,0))&amp;"","Not in Services"))))</f>
        <v>0</v>
      </c>
      <c r="V1059" s="26">
        <f>IF(B1059="","",IF(L1059&lt;&gt;"",L1059,IF(H1059="Retail",IFERROR(INDEX(Inventory!$I$5:$I$304,MATCH(I1059,Inventory!$A$5:$A$304,0))*1,0),IFERROR(INDEX(Services!$G$5:$G$204,MATCH(I1059,Services!$A$5:$A$204,0))*1,0))))</f>
        <v>0</v>
      </c>
      <c r="W1059" s="26">
        <f>IF(B1059="","",ROUND(T1059*V1059,2))</f>
        <v>0</v>
      </c>
      <c r="X1059" s="26">
        <f>IF(B1059="","",ROUND(IF(M1059="",0,W1059*M1059)+IF(N1059="",0,N1059),2))</f>
        <v>0</v>
      </c>
      <c r="Y1059" s="26">
        <f>IF(B1059="","",ROUND(W1059-X1059-IF(P1059="",0,P1059),2))</f>
        <v>0</v>
      </c>
      <c r="Z1059" s="26">
        <f>IF(B1059="","",IF(H1059="Retail",IF(TaxOnRetail="Yes",ROUND(Y1059*TaxRate,2),0),IF(H1059="Service",IF(TaxOnServices="Yes",ROUND(Y1059*TaxRate,2),0),0)))</f>
        <v>0</v>
      </c>
      <c r="AA1059" s="26">
        <f>IF(B1059="","",ROUND(Y1059+Z1059,2))</f>
        <v>0</v>
      </c>
      <c r="AB1059" s="26">
        <f>IF(B1059="","",ROUND(T1059*IF(H1059="Retail",IFERROR(INDEX(Inventory!$H$5:$H$304,MATCH(I1059,Inventory!$A$5:$A$304,0))*1,0),IFERROR(INDEX(Services!$Q$5:$Q$204,MATCH(I1059,Services!$A$5:$A$204,0))*1,0)),2))</f>
        <v>0</v>
      </c>
      <c r="AC1059" s="26">
        <f>IF(B1059="","",ROUND(Y1059-AB1059,2))</f>
        <v>0</v>
      </c>
      <c r="AD1059" s="38">
        <f>IF(B1059="","",IF(C1059="","No",IF(COUNTIFS($C$5:C1059,C1059)=1,"Yes","No")))</f>
        <v>0</v>
      </c>
      <c r="AE1059" s="26">
        <f>IF(B1059="","",ROUND(SUMIFS(Payments!$G$5:$G$1204,Payments!$H$5:$H$1204,A1059,Payments!$Q$5:$Q$1204,"Yes"),2))</f>
        <v>0</v>
      </c>
      <c r="AF1059" s="26">
        <f>IF(B1059="","",IF(AD1059="No",0,ROUND(SUMIFS(Payments!$G$5:$G$1204,Payments!$I$5:$I$1204,C1059,Payments!$H$5:$H$1204,"",Payments!$Q$5:$Q$1204,"Yes"),2)))</f>
        <v>0</v>
      </c>
      <c r="AG1059" s="26">
        <f>IF(B1059="","",ROUND(AE1059+AF1059,2))</f>
        <v>0</v>
      </c>
      <c r="AH1059" s="26">
        <f>IF(B1059="","",ROUND(AA1059-AG1059,2))</f>
        <v>0</v>
      </c>
      <c r="AI1059" s="39">
        <f>IF(B1059="","",IF(AA1059&lt;=0,"No charge",IF(AH1059&lt;=0.004,"Paid",IF(AG1059&lt;=0.004,"Unpaid","Part paid"))))</f>
        <v>0</v>
      </c>
      <c r="AJ1059" s="38">
        <f>IF(B1059="","",IF(H1059&lt;&gt;"Service","",IF(D1059="","No",IF(COUNTIFS($D$5:$D$1204,D1059,$B$5:$B$1204,B1059,$H$5:$H$1204,"Retail")&gt;0,"Yes","No"))))</f>
        <v>0</v>
      </c>
      <c r="AK1059" s="25">
        <f>IF(B1059="","",COUNTIFS($Y$5:$Y$1204,"&gt;"&amp;Y1059)+COUNTIFS($Y$5:Y1059,Y1059))</f>
        <v>0</v>
      </c>
      <c r="AL1059" s="39">
        <f>IF(B1059="","",IF(H1059="","Add - what kind of sale is this?",IF(IF(V1059&lt;=0,P1059="",FALSE),"Check - no price found for this item",IF(F1059="","Assign - nobody credited",IF(AH1059&gt;0.004,"Unpaid - balance outstanding",IF(AC1059&lt;0,"Loss - sold below cost",IF(X1059&gt;W1059*0.5,"Check - more than half off","OK")))))))</f>
        <v>0</v>
      </c>
    </row>
    <row r="1060" spans="1:38">
      <c r="A1060" s="28">
        <f>IF(B1060="","",SalePrefix&amp;TEXT(ROW()-4,"0000"))</f>
        <v>0</v>
      </c>
      <c r="E1060" s="15">
        <f>IF(D1060="","",IFERROR(INDEX(Clients!$B$5:$B$504,MATCH(D1060,Clients!$A$5:$A$504,0)),"Walk-in"))</f>
        <v>0</v>
      </c>
      <c r="G1060" s="15">
        <f>IF(F1060="","",IFERROR(INDEX(Staff!$B$5:$B$44,MATCH(F1060,Staff!$A$5:$A$44,0)),"House"))</f>
        <v>0</v>
      </c>
      <c r="R1060" s="15">
        <f>IF(B1060="","",TEXT(B1060,"yyyy-mm"))</f>
        <v>0</v>
      </c>
      <c r="S1060" s="25">
        <f>IF(B1060="","",WEEKNUM(B1060,2))</f>
        <v>0</v>
      </c>
      <c r="T1060" s="37">
        <f>IF(B1060="","",IF(K1060="",1,K1060))</f>
        <v>0</v>
      </c>
      <c r="U1060" s="15">
        <f>IF(B1060="","",IF(J1060&lt;&gt;"",J1060,IF(H1060="Retail",IFERROR(INDEX(Inventory!$B$5:$B$304,MATCH(I1060,Inventory!$A$5:$A$304,0))&amp;"","Not in Inventory"),IFERROR(INDEX(Services!$B$5:$B$204,MATCH(I1060,Services!$A$5:$A$204,0))&amp;"","Not in Services"))))</f>
        <v>0</v>
      </c>
      <c r="V1060" s="26">
        <f>IF(B1060="","",IF(L1060&lt;&gt;"",L1060,IF(H1060="Retail",IFERROR(INDEX(Inventory!$I$5:$I$304,MATCH(I1060,Inventory!$A$5:$A$304,0))*1,0),IFERROR(INDEX(Services!$G$5:$G$204,MATCH(I1060,Services!$A$5:$A$204,0))*1,0))))</f>
        <v>0</v>
      </c>
      <c r="W1060" s="26">
        <f>IF(B1060="","",ROUND(T1060*V1060,2))</f>
        <v>0</v>
      </c>
      <c r="X1060" s="26">
        <f>IF(B1060="","",ROUND(IF(M1060="",0,W1060*M1060)+IF(N1060="",0,N1060),2))</f>
        <v>0</v>
      </c>
      <c r="Y1060" s="26">
        <f>IF(B1060="","",ROUND(W1060-X1060-IF(P1060="",0,P1060),2))</f>
        <v>0</v>
      </c>
      <c r="Z1060" s="26">
        <f>IF(B1060="","",IF(H1060="Retail",IF(TaxOnRetail="Yes",ROUND(Y1060*TaxRate,2),0),IF(H1060="Service",IF(TaxOnServices="Yes",ROUND(Y1060*TaxRate,2),0),0)))</f>
        <v>0</v>
      </c>
      <c r="AA1060" s="26">
        <f>IF(B1060="","",ROUND(Y1060+Z1060,2))</f>
        <v>0</v>
      </c>
      <c r="AB1060" s="26">
        <f>IF(B1060="","",ROUND(T1060*IF(H1060="Retail",IFERROR(INDEX(Inventory!$H$5:$H$304,MATCH(I1060,Inventory!$A$5:$A$304,0))*1,0),IFERROR(INDEX(Services!$Q$5:$Q$204,MATCH(I1060,Services!$A$5:$A$204,0))*1,0)),2))</f>
        <v>0</v>
      </c>
      <c r="AC1060" s="26">
        <f>IF(B1060="","",ROUND(Y1060-AB1060,2))</f>
        <v>0</v>
      </c>
      <c r="AD1060" s="38">
        <f>IF(B1060="","",IF(C1060="","No",IF(COUNTIFS($C$5:C1060,C1060)=1,"Yes","No")))</f>
        <v>0</v>
      </c>
      <c r="AE1060" s="26">
        <f>IF(B1060="","",ROUND(SUMIFS(Payments!$G$5:$G$1204,Payments!$H$5:$H$1204,A1060,Payments!$Q$5:$Q$1204,"Yes"),2))</f>
        <v>0</v>
      </c>
      <c r="AF1060" s="26">
        <f>IF(B1060="","",IF(AD1060="No",0,ROUND(SUMIFS(Payments!$G$5:$G$1204,Payments!$I$5:$I$1204,C1060,Payments!$H$5:$H$1204,"",Payments!$Q$5:$Q$1204,"Yes"),2)))</f>
        <v>0</v>
      </c>
      <c r="AG1060" s="26">
        <f>IF(B1060="","",ROUND(AE1060+AF1060,2))</f>
        <v>0</v>
      </c>
      <c r="AH1060" s="26">
        <f>IF(B1060="","",ROUND(AA1060-AG1060,2))</f>
        <v>0</v>
      </c>
      <c r="AI1060" s="39">
        <f>IF(B1060="","",IF(AA1060&lt;=0,"No charge",IF(AH1060&lt;=0.004,"Paid",IF(AG1060&lt;=0.004,"Unpaid","Part paid"))))</f>
        <v>0</v>
      </c>
      <c r="AJ1060" s="38">
        <f>IF(B1060="","",IF(H1060&lt;&gt;"Service","",IF(D1060="","No",IF(COUNTIFS($D$5:$D$1204,D1060,$B$5:$B$1204,B1060,$H$5:$H$1204,"Retail")&gt;0,"Yes","No"))))</f>
        <v>0</v>
      </c>
      <c r="AK1060" s="25">
        <f>IF(B1060="","",COUNTIFS($Y$5:$Y$1204,"&gt;"&amp;Y1060)+COUNTIFS($Y$5:Y1060,Y1060))</f>
        <v>0</v>
      </c>
      <c r="AL1060" s="39">
        <f>IF(B1060="","",IF(H1060="","Add - what kind of sale is this?",IF(IF(V1060&lt;=0,P1060="",FALSE),"Check - no price found for this item",IF(F1060="","Assign - nobody credited",IF(AH1060&gt;0.004,"Unpaid - balance outstanding",IF(AC1060&lt;0,"Loss - sold below cost",IF(X1060&gt;W1060*0.5,"Check - more than half off","OK")))))))</f>
        <v>0</v>
      </c>
    </row>
    <row r="1061" spans="1:38">
      <c r="A1061" s="28">
        <f>IF(B1061="","",SalePrefix&amp;TEXT(ROW()-4,"0000"))</f>
        <v>0</v>
      </c>
      <c r="E1061" s="15">
        <f>IF(D1061="","",IFERROR(INDEX(Clients!$B$5:$B$504,MATCH(D1061,Clients!$A$5:$A$504,0)),"Walk-in"))</f>
        <v>0</v>
      </c>
      <c r="G1061" s="15">
        <f>IF(F1061="","",IFERROR(INDEX(Staff!$B$5:$B$44,MATCH(F1061,Staff!$A$5:$A$44,0)),"House"))</f>
        <v>0</v>
      </c>
      <c r="R1061" s="15">
        <f>IF(B1061="","",TEXT(B1061,"yyyy-mm"))</f>
        <v>0</v>
      </c>
      <c r="S1061" s="25">
        <f>IF(B1061="","",WEEKNUM(B1061,2))</f>
        <v>0</v>
      </c>
      <c r="T1061" s="37">
        <f>IF(B1061="","",IF(K1061="",1,K1061))</f>
        <v>0</v>
      </c>
      <c r="U1061" s="15">
        <f>IF(B1061="","",IF(J1061&lt;&gt;"",J1061,IF(H1061="Retail",IFERROR(INDEX(Inventory!$B$5:$B$304,MATCH(I1061,Inventory!$A$5:$A$304,0))&amp;"","Not in Inventory"),IFERROR(INDEX(Services!$B$5:$B$204,MATCH(I1061,Services!$A$5:$A$204,0))&amp;"","Not in Services"))))</f>
        <v>0</v>
      </c>
      <c r="V1061" s="26">
        <f>IF(B1061="","",IF(L1061&lt;&gt;"",L1061,IF(H1061="Retail",IFERROR(INDEX(Inventory!$I$5:$I$304,MATCH(I1061,Inventory!$A$5:$A$304,0))*1,0),IFERROR(INDEX(Services!$G$5:$G$204,MATCH(I1061,Services!$A$5:$A$204,0))*1,0))))</f>
        <v>0</v>
      </c>
      <c r="W1061" s="26">
        <f>IF(B1061="","",ROUND(T1061*V1061,2))</f>
        <v>0</v>
      </c>
      <c r="X1061" s="26">
        <f>IF(B1061="","",ROUND(IF(M1061="",0,W1061*M1061)+IF(N1061="",0,N1061),2))</f>
        <v>0</v>
      </c>
      <c r="Y1061" s="26">
        <f>IF(B1061="","",ROUND(W1061-X1061-IF(P1061="",0,P1061),2))</f>
        <v>0</v>
      </c>
      <c r="Z1061" s="26">
        <f>IF(B1061="","",IF(H1061="Retail",IF(TaxOnRetail="Yes",ROUND(Y1061*TaxRate,2),0),IF(H1061="Service",IF(TaxOnServices="Yes",ROUND(Y1061*TaxRate,2),0),0)))</f>
        <v>0</v>
      </c>
      <c r="AA1061" s="26">
        <f>IF(B1061="","",ROUND(Y1061+Z1061,2))</f>
        <v>0</v>
      </c>
      <c r="AB1061" s="26">
        <f>IF(B1061="","",ROUND(T1061*IF(H1061="Retail",IFERROR(INDEX(Inventory!$H$5:$H$304,MATCH(I1061,Inventory!$A$5:$A$304,0))*1,0),IFERROR(INDEX(Services!$Q$5:$Q$204,MATCH(I1061,Services!$A$5:$A$204,0))*1,0)),2))</f>
        <v>0</v>
      </c>
      <c r="AC1061" s="26">
        <f>IF(B1061="","",ROUND(Y1061-AB1061,2))</f>
        <v>0</v>
      </c>
      <c r="AD1061" s="38">
        <f>IF(B1061="","",IF(C1061="","No",IF(COUNTIFS($C$5:C1061,C1061)=1,"Yes","No")))</f>
        <v>0</v>
      </c>
      <c r="AE1061" s="26">
        <f>IF(B1061="","",ROUND(SUMIFS(Payments!$G$5:$G$1204,Payments!$H$5:$H$1204,A1061,Payments!$Q$5:$Q$1204,"Yes"),2))</f>
        <v>0</v>
      </c>
      <c r="AF1061" s="26">
        <f>IF(B1061="","",IF(AD1061="No",0,ROUND(SUMIFS(Payments!$G$5:$G$1204,Payments!$I$5:$I$1204,C1061,Payments!$H$5:$H$1204,"",Payments!$Q$5:$Q$1204,"Yes"),2)))</f>
        <v>0</v>
      </c>
      <c r="AG1061" s="26">
        <f>IF(B1061="","",ROUND(AE1061+AF1061,2))</f>
        <v>0</v>
      </c>
      <c r="AH1061" s="26">
        <f>IF(B1061="","",ROUND(AA1061-AG1061,2))</f>
        <v>0</v>
      </c>
      <c r="AI1061" s="39">
        <f>IF(B1061="","",IF(AA1061&lt;=0,"No charge",IF(AH1061&lt;=0.004,"Paid",IF(AG1061&lt;=0.004,"Unpaid","Part paid"))))</f>
        <v>0</v>
      </c>
      <c r="AJ1061" s="38">
        <f>IF(B1061="","",IF(H1061&lt;&gt;"Service","",IF(D1061="","No",IF(COUNTIFS($D$5:$D$1204,D1061,$B$5:$B$1204,B1061,$H$5:$H$1204,"Retail")&gt;0,"Yes","No"))))</f>
        <v>0</v>
      </c>
      <c r="AK1061" s="25">
        <f>IF(B1061="","",COUNTIFS($Y$5:$Y$1204,"&gt;"&amp;Y1061)+COUNTIFS($Y$5:Y1061,Y1061))</f>
        <v>0</v>
      </c>
      <c r="AL1061" s="39">
        <f>IF(B1061="","",IF(H1061="","Add - what kind of sale is this?",IF(IF(V1061&lt;=0,P1061="",FALSE),"Check - no price found for this item",IF(F1061="","Assign - nobody credited",IF(AH1061&gt;0.004,"Unpaid - balance outstanding",IF(AC1061&lt;0,"Loss - sold below cost",IF(X1061&gt;W1061*0.5,"Check - more than half off","OK")))))))</f>
        <v>0</v>
      </c>
    </row>
    <row r="1062" spans="1:38">
      <c r="A1062" s="28">
        <f>IF(B1062="","",SalePrefix&amp;TEXT(ROW()-4,"0000"))</f>
        <v>0</v>
      </c>
      <c r="E1062" s="15">
        <f>IF(D1062="","",IFERROR(INDEX(Clients!$B$5:$B$504,MATCH(D1062,Clients!$A$5:$A$504,0)),"Walk-in"))</f>
        <v>0</v>
      </c>
      <c r="G1062" s="15">
        <f>IF(F1062="","",IFERROR(INDEX(Staff!$B$5:$B$44,MATCH(F1062,Staff!$A$5:$A$44,0)),"House"))</f>
        <v>0</v>
      </c>
      <c r="R1062" s="15">
        <f>IF(B1062="","",TEXT(B1062,"yyyy-mm"))</f>
        <v>0</v>
      </c>
      <c r="S1062" s="25">
        <f>IF(B1062="","",WEEKNUM(B1062,2))</f>
        <v>0</v>
      </c>
      <c r="T1062" s="37">
        <f>IF(B1062="","",IF(K1062="",1,K1062))</f>
        <v>0</v>
      </c>
      <c r="U1062" s="15">
        <f>IF(B1062="","",IF(J1062&lt;&gt;"",J1062,IF(H1062="Retail",IFERROR(INDEX(Inventory!$B$5:$B$304,MATCH(I1062,Inventory!$A$5:$A$304,0))&amp;"","Not in Inventory"),IFERROR(INDEX(Services!$B$5:$B$204,MATCH(I1062,Services!$A$5:$A$204,0))&amp;"","Not in Services"))))</f>
        <v>0</v>
      </c>
      <c r="V1062" s="26">
        <f>IF(B1062="","",IF(L1062&lt;&gt;"",L1062,IF(H1062="Retail",IFERROR(INDEX(Inventory!$I$5:$I$304,MATCH(I1062,Inventory!$A$5:$A$304,0))*1,0),IFERROR(INDEX(Services!$G$5:$G$204,MATCH(I1062,Services!$A$5:$A$204,0))*1,0))))</f>
        <v>0</v>
      </c>
      <c r="W1062" s="26">
        <f>IF(B1062="","",ROUND(T1062*V1062,2))</f>
        <v>0</v>
      </c>
      <c r="X1062" s="26">
        <f>IF(B1062="","",ROUND(IF(M1062="",0,W1062*M1062)+IF(N1062="",0,N1062),2))</f>
        <v>0</v>
      </c>
      <c r="Y1062" s="26">
        <f>IF(B1062="","",ROUND(W1062-X1062-IF(P1062="",0,P1062),2))</f>
        <v>0</v>
      </c>
      <c r="Z1062" s="26">
        <f>IF(B1062="","",IF(H1062="Retail",IF(TaxOnRetail="Yes",ROUND(Y1062*TaxRate,2),0),IF(H1062="Service",IF(TaxOnServices="Yes",ROUND(Y1062*TaxRate,2),0),0)))</f>
        <v>0</v>
      </c>
      <c r="AA1062" s="26">
        <f>IF(B1062="","",ROUND(Y1062+Z1062,2))</f>
        <v>0</v>
      </c>
      <c r="AB1062" s="26">
        <f>IF(B1062="","",ROUND(T1062*IF(H1062="Retail",IFERROR(INDEX(Inventory!$H$5:$H$304,MATCH(I1062,Inventory!$A$5:$A$304,0))*1,0),IFERROR(INDEX(Services!$Q$5:$Q$204,MATCH(I1062,Services!$A$5:$A$204,0))*1,0)),2))</f>
        <v>0</v>
      </c>
      <c r="AC1062" s="26">
        <f>IF(B1062="","",ROUND(Y1062-AB1062,2))</f>
        <v>0</v>
      </c>
      <c r="AD1062" s="38">
        <f>IF(B1062="","",IF(C1062="","No",IF(COUNTIFS($C$5:C1062,C1062)=1,"Yes","No")))</f>
        <v>0</v>
      </c>
      <c r="AE1062" s="26">
        <f>IF(B1062="","",ROUND(SUMIFS(Payments!$G$5:$G$1204,Payments!$H$5:$H$1204,A1062,Payments!$Q$5:$Q$1204,"Yes"),2))</f>
        <v>0</v>
      </c>
      <c r="AF1062" s="26">
        <f>IF(B1062="","",IF(AD1062="No",0,ROUND(SUMIFS(Payments!$G$5:$G$1204,Payments!$I$5:$I$1204,C1062,Payments!$H$5:$H$1204,"",Payments!$Q$5:$Q$1204,"Yes"),2)))</f>
        <v>0</v>
      </c>
      <c r="AG1062" s="26">
        <f>IF(B1062="","",ROUND(AE1062+AF1062,2))</f>
        <v>0</v>
      </c>
      <c r="AH1062" s="26">
        <f>IF(B1062="","",ROUND(AA1062-AG1062,2))</f>
        <v>0</v>
      </c>
      <c r="AI1062" s="39">
        <f>IF(B1062="","",IF(AA1062&lt;=0,"No charge",IF(AH1062&lt;=0.004,"Paid",IF(AG1062&lt;=0.004,"Unpaid","Part paid"))))</f>
        <v>0</v>
      </c>
      <c r="AJ1062" s="38">
        <f>IF(B1062="","",IF(H1062&lt;&gt;"Service","",IF(D1062="","No",IF(COUNTIFS($D$5:$D$1204,D1062,$B$5:$B$1204,B1062,$H$5:$H$1204,"Retail")&gt;0,"Yes","No"))))</f>
        <v>0</v>
      </c>
      <c r="AK1062" s="25">
        <f>IF(B1062="","",COUNTIFS($Y$5:$Y$1204,"&gt;"&amp;Y1062)+COUNTIFS($Y$5:Y1062,Y1062))</f>
        <v>0</v>
      </c>
      <c r="AL1062" s="39">
        <f>IF(B1062="","",IF(H1062="","Add - what kind of sale is this?",IF(IF(V1062&lt;=0,P1062="",FALSE),"Check - no price found for this item",IF(F1062="","Assign - nobody credited",IF(AH1062&gt;0.004,"Unpaid - balance outstanding",IF(AC1062&lt;0,"Loss - sold below cost",IF(X1062&gt;W1062*0.5,"Check - more than half off","OK")))))))</f>
        <v>0</v>
      </c>
    </row>
    <row r="1063" spans="1:38">
      <c r="A1063" s="28">
        <f>IF(B1063="","",SalePrefix&amp;TEXT(ROW()-4,"0000"))</f>
        <v>0</v>
      </c>
      <c r="E1063" s="15">
        <f>IF(D1063="","",IFERROR(INDEX(Clients!$B$5:$B$504,MATCH(D1063,Clients!$A$5:$A$504,0)),"Walk-in"))</f>
        <v>0</v>
      </c>
      <c r="G1063" s="15">
        <f>IF(F1063="","",IFERROR(INDEX(Staff!$B$5:$B$44,MATCH(F1063,Staff!$A$5:$A$44,0)),"House"))</f>
        <v>0</v>
      </c>
      <c r="R1063" s="15">
        <f>IF(B1063="","",TEXT(B1063,"yyyy-mm"))</f>
        <v>0</v>
      </c>
      <c r="S1063" s="25">
        <f>IF(B1063="","",WEEKNUM(B1063,2))</f>
        <v>0</v>
      </c>
      <c r="T1063" s="37">
        <f>IF(B1063="","",IF(K1063="",1,K1063))</f>
        <v>0</v>
      </c>
      <c r="U1063" s="15">
        <f>IF(B1063="","",IF(J1063&lt;&gt;"",J1063,IF(H1063="Retail",IFERROR(INDEX(Inventory!$B$5:$B$304,MATCH(I1063,Inventory!$A$5:$A$304,0))&amp;"","Not in Inventory"),IFERROR(INDEX(Services!$B$5:$B$204,MATCH(I1063,Services!$A$5:$A$204,0))&amp;"","Not in Services"))))</f>
        <v>0</v>
      </c>
      <c r="V1063" s="26">
        <f>IF(B1063="","",IF(L1063&lt;&gt;"",L1063,IF(H1063="Retail",IFERROR(INDEX(Inventory!$I$5:$I$304,MATCH(I1063,Inventory!$A$5:$A$304,0))*1,0),IFERROR(INDEX(Services!$G$5:$G$204,MATCH(I1063,Services!$A$5:$A$204,0))*1,0))))</f>
        <v>0</v>
      </c>
      <c r="W1063" s="26">
        <f>IF(B1063="","",ROUND(T1063*V1063,2))</f>
        <v>0</v>
      </c>
      <c r="X1063" s="26">
        <f>IF(B1063="","",ROUND(IF(M1063="",0,W1063*M1063)+IF(N1063="",0,N1063),2))</f>
        <v>0</v>
      </c>
      <c r="Y1063" s="26">
        <f>IF(B1063="","",ROUND(W1063-X1063-IF(P1063="",0,P1063),2))</f>
        <v>0</v>
      </c>
      <c r="Z1063" s="26">
        <f>IF(B1063="","",IF(H1063="Retail",IF(TaxOnRetail="Yes",ROUND(Y1063*TaxRate,2),0),IF(H1063="Service",IF(TaxOnServices="Yes",ROUND(Y1063*TaxRate,2),0),0)))</f>
        <v>0</v>
      </c>
      <c r="AA1063" s="26">
        <f>IF(B1063="","",ROUND(Y1063+Z1063,2))</f>
        <v>0</v>
      </c>
      <c r="AB1063" s="26">
        <f>IF(B1063="","",ROUND(T1063*IF(H1063="Retail",IFERROR(INDEX(Inventory!$H$5:$H$304,MATCH(I1063,Inventory!$A$5:$A$304,0))*1,0),IFERROR(INDEX(Services!$Q$5:$Q$204,MATCH(I1063,Services!$A$5:$A$204,0))*1,0)),2))</f>
        <v>0</v>
      </c>
      <c r="AC1063" s="26">
        <f>IF(B1063="","",ROUND(Y1063-AB1063,2))</f>
        <v>0</v>
      </c>
      <c r="AD1063" s="38">
        <f>IF(B1063="","",IF(C1063="","No",IF(COUNTIFS($C$5:C1063,C1063)=1,"Yes","No")))</f>
        <v>0</v>
      </c>
      <c r="AE1063" s="26">
        <f>IF(B1063="","",ROUND(SUMIFS(Payments!$G$5:$G$1204,Payments!$H$5:$H$1204,A1063,Payments!$Q$5:$Q$1204,"Yes"),2))</f>
        <v>0</v>
      </c>
      <c r="AF1063" s="26">
        <f>IF(B1063="","",IF(AD1063="No",0,ROUND(SUMIFS(Payments!$G$5:$G$1204,Payments!$I$5:$I$1204,C1063,Payments!$H$5:$H$1204,"",Payments!$Q$5:$Q$1204,"Yes"),2)))</f>
        <v>0</v>
      </c>
      <c r="AG1063" s="26">
        <f>IF(B1063="","",ROUND(AE1063+AF1063,2))</f>
        <v>0</v>
      </c>
      <c r="AH1063" s="26">
        <f>IF(B1063="","",ROUND(AA1063-AG1063,2))</f>
        <v>0</v>
      </c>
      <c r="AI1063" s="39">
        <f>IF(B1063="","",IF(AA1063&lt;=0,"No charge",IF(AH1063&lt;=0.004,"Paid",IF(AG1063&lt;=0.004,"Unpaid","Part paid"))))</f>
        <v>0</v>
      </c>
      <c r="AJ1063" s="38">
        <f>IF(B1063="","",IF(H1063&lt;&gt;"Service","",IF(D1063="","No",IF(COUNTIFS($D$5:$D$1204,D1063,$B$5:$B$1204,B1063,$H$5:$H$1204,"Retail")&gt;0,"Yes","No"))))</f>
        <v>0</v>
      </c>
      <c r="AK1063" s="25">
        <f>IF(B1063="","",COUNTIFS($Y$5:$Y$1204,"&gt;"&amp;Y1063)+COUNTIFS($Y$5:Y1063,Y1063))</f>
        <v>0</v>
      </c>
      <c r="AL1063" s="39">
        <f>IF(B1063="","",IF(H1063="","Add - what kind of sale is this?",IF(IF(V1063&lt;=0,P1063="",FALSE),"Check - no price found for this item",IF(F1063="","Assign - nobody credited",IF(AH1063&gt;0.004,"Unpaid - balance outstanding",IF(AC1063&lt;0,"Loss - sold below cost",IF(X1063&gt;W1063*0.5,"Check - more than half off","OK")))))))</f>
        <v>0</v>
      </c>
    </row>
    <row r="1064" spans="1:38">
      <c r="A1064" s="28">
        <f>IF(B1064="","",SalePrefix&amp;TEXT(ROW()-4,"0000"))</f>
        <v>0</v>
      </c>
      <c r="E1064" s="15">
        <f>IF(D1064="","",IFERROR(INDEX(Clients!$B$5:$B$504,MATCH(D1064,Clients!$A$5:$A$504,0)),"Walk-in"))</f>
        <v>0</v>
      </c>
      <c r="G1064" s="15">
        <f>IF(F1064="","",IFERROR(INDEX(Staff!$B$5:$B$44,MATCH(F1064,Staff!$A$5:$A$44,0)),"House"))</f>
        <v>0</v>
      </c>
      <c r="R1064" s="15">
        <f>IF(B1064="","",TEXT(B1064,"yyyy-mm"))</f>
        <v>0</v>
      </c>
      <c r="S1064" s="25">
        <f>IF(B1064="","",WEEKNUM(B1064,2))</f>
        <v>0</v>
      </c>
      <c r="T1064" s="37">
        <f>IF(B1064="","",IF(K1064="",1,K1064))</f>
        <v>0</v>
      </c>
      <c r="U1064" s="15">
        <f>IF(B1064="","",IF(J1064&lt;&gt;"",J1064,IF(H1064="Retail",IFERROR(INDEX(Inventory!$B$5:$B$304,MATCH(I1064,Inventory!$A$5:$A$304,0))&amp;"","Not in Inventory"),IFERROR(INDEX(Services!$B$5:$B$204,MATCH(I1064,Services!$A$5:$A$204,0))&amp;"","Not in Services"))))</f>
        <v>0</v>
      </c>
      <c r="V1064" s="26">
        <f>IF(B1064="","",IF(L1064&lt;&gt;"",L1064,IF(H1064="Retail",IFERROR(INDEX(Inventory!$I$5:$I$304,MATCH(I1064,Inventory!$A$5:$A$304,0))*1,0),IFERROR(INDEX(Services!$G$5:$G$204,MATCH(I1064,Services!$A$5:$A$204,0))*1,0))))</f>
        <v>0</v>
      </c>
      <c r="W1064" s="26">
        <f>IF(B1064="","",ROUND(T1064*V1064,2))</f>
        <v>0</v>
      </c>
      <c r="X1064" s="26">
        <f>IF(B1064="","",ROUND(IF(M1064="",0,W1064*M1064)+IF(N1064="",0,N1064),2))</f>
        <v>0</v>
      </c>
      <c r="Y1064" s="26">
        <f>IF(B1064="","",ROUND(W1064-X1064-IF(P1064="",0,P1064),2))</f>
        <v>0</v>
      </c>
      <c r="Z1064" s="26">
        <f>IF(B1064="","",IF(H1064="Retail",IF(TaxOnRetail="Yes",ROUND(Y1064*TaxRate,2),0),IF(H1064="Service",IF(TaxOnServices="Yes",ROUND(Y1064*TaxRate,2),0),0)))</f>
        <v>0</v>
      </c>
      <c r="AA1064" s="26">
        <f>IF(B1064="","",ROUND(Y1064+Z1064,2))</f>
        <v>0</v>
      </c>
      <c r="AB1064" s="26">
        <f>IF(B1064="","",ROUND(T1064*IF(H1064="Retail",IFERROR(INDEX(Inventory!$H$5:$H$304,MATCH(I1064,Inventory!$A$5:$A$304,0))*1,0),IFERROR(INDEX(Services!$Q$5:$Q$204,MATCH(I1064,Services!$A$5:$A$204,0))*1,0)),2))</f>
        <v>0</v>
      </c>
      <c r="AC1064" s="26">
        <f>IF(B1064="","",ROUND(Y1064-AB1064,2))</f>
        <v>0</v>
      </c>
      <c r="AD1064" s="38">
        <f>IF(B1064="","",IF(C1064="","No",IF(COUNTIFS($C$5:C1064,C1064)=1,"Yes","No")))</f>
        <v>0</v>
      </c>
      <c r="AE1064" s="26">
        <f>IF(B1064="","",ROUND(SUMIFS(Payments!$G$5:$G$1204,Payments!$H$5:$H$1204,A1064,Payments!$Q$5:$Q$1204,"Yes"),2))</f>
        <v>0</v>
      </c>
      <c r="AF1064" s="26">
        <f>IF(B1064="","",IF(AD1064="No",0,ROUND(SUMIFS(Payments!$G$5:$G$1204,Payments!$I$5:$I$1204,C1064,Payments!$H$5:$H$1204,"",Payments!$Q$5:$Q$1204,"Yes"),2)))</f>
        <v>0</v>
      </c>
      <c r="AG1064" s="26">
        <f>IF(B1064="","",ROUND(AE1064+AF1064,2))</f>
        <v>0</v>
      </c>
      <c r="AH1064" s="26">
        <f>IF(B1064="","",ROUND(AA1064-AG1064,2))</f>
        <v>0</v>
      </c>
      <c r="AI1064" s="39">
        <f>IF(B1064="","",IF(AA1064&lt;=0,"No charge",IF(AH1064&lt;=0.004,"Paid",IF(AG1064&lt;=0.004,"Unpaid","Part paid"))))</f>
        <v>0</v>
      </c>
      <c r="AJ1064" s="38">
        <f>IF(B1064="","",IF(H1064&lt;&gt;"Service","",IF(D1064="","No",IF(COUNTIFS($D$5:$D$1204,D1064,$B$5:$B$1204,B1064,$H$5:$H$1204,"Retail")&gt;0,"Yes","No"))))</f>
        <v>0</v>
      </c>
      <c r="AK1064" s="25">
        <f>IF(B1064="","",COUNTIFS($Y$5:$Y$1204,"&gt;"&amp;Y1064)+COUNTIFS($Y$5:Y1064,Y1064))</f>
        <v>0</v>
      </c>
      <c r="AL1064" s="39">
        <f>IF(B1064="","",IF(H1064="","Add - what kind of sale is this?",IF(IF(V1064&lt;=0,P1064="",FALSE),"Check - no price found for this item",IF(F1064="","Assign - nobody credited",IF(AH1064&gt;0.004,"Unpaid - balance outstanding",IF(AC1064&lt;0,"Loss - sold below cost",IF(X1064&gt;W1064*0.5,"Check - more than half off","OK")))))))</f>
        <v>0</v>
      </c>
    </row>
    <row r="1065" spans="1:38">
      <c r="A1065" s="28">
        <f>IF(B1065="","",SalePrefix&amp;TEXT(ROW()-4,"0000"))</f>
        <v>0</v>
      </c>
      <c r="E1065" s="15">
        <f>IF(D1065="","",IFERROR(INDEX(Clients!$B$5:$B$504,MATCH(D1065,Clients!$A$5:$A$504,0)),"Walk-in"))</f>
        <v>0</v>
      </c>
      <c r="G1065" s="15">
        <f>IF(F1065="","",IFERROR(INDEX(Staff!$B$5:$B$44,MATCH(F1065,Staff!$A$5:$A$44,0)),"House"))</f>
        <v>0</v>
      </c>
      <c r="R1065" s="15">
        <f>IF(B1065="","",TEXT(B1065,"yyyy-mm"))</f>
        <v>0</v>
      </c>
      <c r="S1065" s="25">
        <f>IF(B1065="","",WEEKNUM(B1065,2))</f>
        <v>0</v>
      </c>
      <c r="T1065" s="37">
        <f>IF(B1065="","",IF(K1065="",1,K1065))</f>
        <v>0</v>
      </c>
      <c r="U1065" s="15">
        <f>IF(B1065="","",IF(J1065&lt;&gt;"",J1065,IF(H1065="Retail",IFERROR(INDEX(Inventory!$B$5:$B$304,MATCH(I1065,Inventory!$A$5:$A$304,0))&amp;"","Not in Inventory"),IFERROR(INDEX(Services!$B$5:$B$204,MATCH(I1065,Services!$A$5:$A$204,0))&amp;"","Not in Services"))))</f>
        <v>0</v>
      </c>
      <c r="V1065" s="26">
        <f>IF(B1065="","",IF(L1065&lt;&gt;"",L1065,IF(H1065="Retail",IFERROR(INDEX(Inventory!$I$5:$I$304,MATCH(I1065,Inventory!$A$5:$A$304,0))*1,0),IFERROR(INDEX(Services!$G$5:$G$204,MATCH(I1065,Services!$A$5:$A$204,0))*1,0))))</f>
        <v>0</v>
      </c>
      <c r="W1065" s="26">
        <f>IF(B1065="","",ROUND(T1065*V1065,2))</f>
        <v>0</v>
      </c>
      <c r="X1065" s="26">
        <f>IF(B1065="","",ROUND(IF(M1065="",0,W1065*M1065)+IF(N1065="",0,N1065),2))</f>
        <v>0</v>
      </c>
      <c r="Y1065" s="26">
        <f>IF(B1065="","",ROUND(W1065-X1065-IF(P1065="",0,P1065),2))</f>
        <v>0</v>
      </c>
      <c r="Z1065" s="26">
        <f>IF(B1065="","",IF(H1065="Retail",IF(TaxOnRetail="Yes",ROUND(Y1065*TaxRate,2),0),IF(H1065="Service",IF(TaxOnServices="Yes",ROUND(Y1065*TaxRate,2),0),0)))</f>
        <v>0</v>
      </c>
      <c r="AA1065" s="26">
        <f>IF(B1065="","",ROUND(Y1065+Z1065,2))</f>
        <v>0</v>
      </c>
      <c r="AB1065" s="26">
        <f>IF(B1065="","",ROUND(T1065*IF(H1065="Retail",IFERROR(INDEX(Inventory!$H$5:$H$304,MATCH(I1065,Inventory!$A$5:$A$304,0))*1,0),IFERROR(INDEX(Services!$Q$5:$Q$204,MATCH(I1065,Services!$A$5:$A$204,0))*1,0)),2))</f>
        <v>0</v>
      </c>
      <c r="AC1065" s="26">
        <f>IF(B1065="","",ROUND(Y1065-AB1065,2))</f>
        <v>0</v>
      </c>
      <c r="AD1065" s="38">
        <f>IF(B1065="","",IF(C1065="","No",IF(COUNTIFS($C$5:C1065,C1065)=1,"Yes","No")))</f>
        <v>0</v>
      </c>
      <c r="AE1065" s="26">
        <f>IF(B1065="","",ROUND(SUMIFS(Payments!$G$5:$G$1204,Payments!$H$5:$H$1204,A1065,Payments!$Q$5:$Q$1204,"Yes"),2))</f>
        <v>0</v>
      </c>
      <c r="AF1065" s="26">
        <f>IF(B1065="","",IF(AD1065="No",0,ROUND(SUMIFS(Payments!$G$5:$G$1204,Payments!$I$5:$I$1204,C1065,Payments!$H$5:$H$1204,"",Payments!$Q$5:$Q$1204,"Yes"),2)))</f>
        <v>0</v>
      </c>
      <c r="AG1065" s="26">
        <f>IF(B1065="","",ROUND(AE1065+AF1065,2))</f>
        <v>0</v>
      </c>
      <c r="AH1065" s="26">
        <f>IF(B1065="","",ROUND(AA1065-AG1065,2))</f>
        <v>0</v>
      </c>
      <c r="AI1065" s="39">
        <f>IF(B1065="","",IF(AA1065&lt;=0,"No charge",IF(AH1065&lt;=0.004,"Paid",IF(AG1065&lt;=0.004,"Unpaid","Part paid"))))</f>
        <v>0</v>
      </c>
      <c r="AJ1065" s="38">
        <f>IF(B1065="","",IF(H1065&lt;&gt;"Service","",IF(D1065="","No",IF(COUNTIFS($D$5:$D$1204,D1065,$B$5:$B$1204,B1065,$H$5:$H$1204,"Retail")&gt;0,"Yes","No"))))</f>
        <v>0</v>
      </c>
      <c r="AK1065" s="25">
        <f>IF(B1065="","",COUNTIFS($Y$5:$Y$1204,"&gt;"&amp;Y1065)+COUNTIFS($Y$5:Y1065,Y1065))</f>
        <v>0</v>
      </c>
      <c r="AL1065" s="39">
        <f>IF(B1065="","",IF(H1065="","Add - what kind of sale is this?",IF(IF(V1065&lt;=0,P1065="",FALSE),"Check - no price found for this item",IF(F1065="","Assign - nobody credited",IF(AH1065&gt;0.004,"Unpaid - balance outstanding",IF(AC1065&lt;0,"Loss - sold below cost",IF(X1065&gt;W1065*0.5,"Check - more than half off","OK")))))))</f>
        <v>0</v>
      </c>
    </row>
    <row r="1066" spans="1:38">
      <c r="A1066" s="28">
        <f>IF(B1066="","",SalePrefix&amp;TEXT(ROW()-4,"0000"))</f>
        <v>0</v>
      </c>
      <c r="E1066" s="15">
        <f>IF(D1066="","",IFERROR(INDEX(Clients!$B$5:$B$504,MATCH(D1066,Clients!$A$5:$A$504,0)),"Walk-in"))</f>
        <v>0</v>
      </c>
      <c r="G1066" s="15">
        <f>IF(F1066="","",IFERROR(INDEX(Staff!$B$5:$B$44,MATCH(F1066,Staff!$A$5:$A$44,0)),"House"))</f>
        <v>0</v>
      </c>
      <c r="R1066" s="15">
        <f>IF(B1066="","",TEXT(B1066,"yyyy-mm"))</f>
        <v>0</v>
      </c>
      <c r="S1066" s="25">
        <f>IF(B1066="","",WEEKNUM(B1066,2))</f>
        <v>0</v>
      </c>
      <c r="T1066" s="37">
        <f>IF(B1066="","",IF(K1066="",1,K1066))</f>
        <v>0</v>
      </c>
      <c r="U1066" s="15">
        <f>IF(B1066="","",IF(J1066&lt;&gt;"",J1066,IF(H1066="Retail",IFERROR(INDEX(Inventory!$B$5:$B$304,MATCH(I1066,Inventory!$A$5:$A$304,0))&amp;"","Not in Inventory"),IFERROR(INDEX(Services!$B$5:$B$204,MATCH(I1066,Services!$A$5:$A$204,0))&amp;"","Not in Services"))))</f>
        <v>0</v>
      </c>
      <c r="V1066" s="26">
        <f>IF(B1066="","",IF(L1066&lt;&gt;"",L1066,IF(H1066="Retail",IFERROR(INDEX(Inventory!$I$5:$I$304,MATCH(I1066,Inventory!$A$5:$A$304,0))*1,0),IFERROR(INDEX(Services!$G$5:$G$204,MATCH(I1066,Services!$A$5:$A$204,0))*1,0))))</f>
        <v>0</v>
      </c>
      <c r="W1066" s="26">
        <f>IF(B1066="","",ROUND(T1066*V1066,2))</f>
        <v>0</v>
      </c>
      <c r="X1066" s="26">
        <f>IF(B1066="","",ROUND(IF(M1066="",0,W1066*M1066)+IF(N1066="",0,N1066),2))</f>
        <v>0</v>
      </c>
      <c r="Y1066" s="26">
        <f>IF(B1066="","",ROUND(W1066-X1066-IF(P1066="",0,P1066),2))</f>
        <v>0</v>
      </c>
      <c r="Z1066" s="26">
        <f>IF(B1066="","",IF(H1066="Retail",IF(TaxOnRetail="Yes",ROUND(Y1066*TaxRate,2),0),IF(H1066="Service",IF(TaxOnServices="Yes",ROUND(Y1066*TaxRate,2),0),0)))</f>
        <v>0</v>
      </c>
      <c r="AA1066" s="26">
        <f>IF(B1066="","",ROUND(Y1066+Z1066,2))</f>
        <v>0</v>
      </c>
      <c r="AB1066" s="26">
        <f>IF(B1066="","",ROUND(T1066*IF(H1066="Retail",IFERROR(INDEX(Inventory!$H$5:$H$304,MATCH(I1066,Inventory!$A$5:$A$304,0))*1,0),IFERROR(INDEX(Services!$Q$5:$Q$204,MATCH(I1066,Services!$A$5:$A$204,0))*1,0)),2))</f>
        <v>0</v>
      </c>
      <c r="AC1066" s="26">
        <f>IF(B1066="","",ROUND(Y1066-AB1066,2))</f>
        <v>0</v>
      </c>
      <c r="AD1066" s="38">
        <f>IF(B1066="","",IF(C1066="","No",IF(COUNTIFS($C$5:C1066,C1066)=1,"Yes","No")))</f>
        <v>0</v>
      </c>
      <c r="AE1066" s="26">
        <f>IF(B1066="","",ROUND(SUMIFS(Payments!$G$5:$G$1204,Payments!$H$5:$H$1204,A1066,Payments!$Q$5:$Q$1204,"Yes"),2))</f>
        <v>0</v>
      </c>
      <c r="AF1066" s="26">
        <f>IF(B1066="","",IF(AD1066="No",0,ROUND(SUMIFS(Payments!$G$5:$G$1204,Payments!$I$5:$I$1204,C1066,Payments!$H$5:$H$1204,"",Payments!$Q$5:$Q$1204,"Yes"),2)))</f>
        <v>0</v>
      </c>
      <c r="AG1066" s="26">
        <f>IF(B1066="","",ROUND(AE1066+AF1066,2))</f>
        <v>0</v>
      </c>
      <c r="AH1066" s="26">
        <f>IF(B1066="","",ROUND(AA1066-AG1066,2))</f>
        <v>0</v>
      </c>
      <c r="AI1066" s="39">
        <f>IF(B1066="","",IF(AA1066&lt;=0,"No charge",IF(AH1066&lt;=0.004,"Paid",IF(AG1066&lt;=0.004,"Unpaid","Part paid"))))</f>
        <v>0</v>
      </c>
      <c r="AJ1066" s="38">
        <f>IF(B1066="","",IF(H1066&lt;&gt;"Service","",IF(D1066="","No",IF(COUNTIFS($D$5:$D$1204,D1066,$B$5:$B$1204,B1066,$H$5:$H$1204,"Retail")&gt;0,"Yes","No"))))</f>
        <v>0</v>
      </c>
      <c r="AK1066" s="25">
        <f>IF(B1066="","",COUNTIFS($Y$5:$Y$1204,"&gt;"&amp;Y1066)+COUNTIFS($Y$5:Y1066,Y1066))</f>
        <v>0</v>
      </c>
      <c r="AL1066" s="39">
        <f>IF(B1066="","",IF(H1066="","Add - what kind of sale is this?",IF(IF(V1066&lt;=0,P1066="",FALSE),"Check - no price found for this item",IF(F1066="","Assign - nobody credited",IF(AH1066&gt;0.004,"Unpaid - balance outstanding",IF(AC1066&lt;0,"Loss - sold below cost",IF(X1066&gt;W1066*0.5,"Check - more than half off","OK")))))))</f>
        <v>0</v>
      </c>
    </row>
    <row r="1067" spans="1:38">
      <c r="A1067" s="28">
        <f>IF(B1067="","",SalePrefix&amp;TEXT(ROW()-4,"0000"))</f>
        <v>0</v>
      </c>
      <c r="E1067" s="15">
        <f>IF(D1067="","",IFERROR(INDEX(Clients!$B$5:$B$504,MATCH(D1067,Clients!$A$5:$A$504,0)),"Walk-in"))</f>
        <v>0</v>
      </c>
      <c r="G1067" s="15">
        <f>IF(F1067="","",IFERROR(INDEX(Staff!$B$5:$B$44,MATCH(F1067,Staff!$A$5:$A$44,0)),"House"))</f>
        <v>0</v>
      </c>
      <c r="R1067" s="15">
        <f>IF(B1067="","",TEXT(B1067,"yyyy-mm"))</f>
        <v>0</v>
      </c>
      <c r="S1067" s="25">
        <f>IF(B1067="","",WEEKNUM(B1067,2))</f>
        <v>0</v>
      </c>
      <c r="T1067" s="37">
        <f>IF(B1067="","",IF(K1067="",1,K1067))</f>
        <v>0</v>
      </c>
      <c r="U1067" s="15">
        <f>IF(B1067="","",IF(J1067&lt;&gt;"",J1067,IF(H1067="Retail",IFERROR(INDEX(Inventory!$B$5:$B$304,MATCH(I1067,Inventory!$A$5:$A$304,0))&amp;"","Not in Inventory"),IFERROR(INDEX(Services!$B$5:$B$204,MATCH(I1067,Services!$A$5:$A$204,0))&amp;"","Not in Services"))))</f>
        <v>0</v>
      </c>
      <c r="V1067" s="26">
        <f>IF(B1067="","",IF(L1067&lt;&gt;"",L1067,IF(H1067="Retail",IFERROR(INDEX(Inventory!$I$5:$I$304,MATCH(I1067,Inventory!$A$5:$A$304,0))*1,0),IFERROR(INDEX(Services!$G$5:$G$204,MATCH(I1067,Services!$A$5:$A$204,0))*1,0))))</f>
        <v>0</v>
      </c>
      <c r="W1067" s="26">
        <f>IF(B1067="","",ROUND(T1067*V1067,2))</f>
        <v>0</v>
      </c>
      <c r="X1067" s="26">
        <f>IF(B1067="","",ROUND(IF(M1067="",0,W1067*M1067)+IF(N1067="",0,N1067),2))</f>
        <v>0</v>
      </c>
      <c r="Y1067" s="26">
        <f>IF(B1067="","",ROUND(W1067-X1067-IF(P1067="",0,P1067),2))</f>
        <v>0</v>
      </c>
      <c r="Z1067" s="26">
        <f>IF(B1067="","",IF(H1067="Retail",IF(TaxOnRetail="Yes",ROUND(Y1067*TaxRate,2),0),IF(H1067="Service",IF(TaxOnServices="Yes",ROUND(Y1067*TaxRate,2),0),0)))</f>
        <v>0</v>
      </c>
      <c r="AA1067" s="26">
        <f>IF(B1067="","",ROUND(Y1067+Z1067,2))</f>
        <v>0</v>
      </c>
      <c r="AB1067" s="26">
        <f>IF(B1067="","",ROUND(T1067*IF(H1067="Retail",IFERROR(INDEX(Inventory!$H$5:$H$304,MATCH(I1067,Inventory!$A$5:$A$304,0))*1,0),IFERROR(INDEX(Services!$Q$5:$Q$204,MATCH(I1067,Services!$A$5:$A$204,0))*1,0)),2))</f>
        <v>0</v>
      </c>
      <c r="AC1067" s="26">
        <f>IF(B1067="","",ROUND(Y1067-AB1067,2))</f>
        <v>0</v>
      </c>
      <c r="AD1067" s="38">
        <f>IF(B1067="","",IF(C1067="","No",IF(COUNTIFS($C$5:C1067,C1067)=1,"Yes","No")))</f>
        <v>0</v>
      </c>
      <c r="AE1067" s="26">
        <f>IF(B1067="","",ROUND(SUMIFS(Payments!$G$5:$G$1204,Payments!$H$5:$H$1204,A1067,Payments!$Q$5:$Q$1204,"Yes"),2))</f>
        <v>0</v>
      </c>
      <c r="AF1067" s="26">
        <f>IF(B1067="","",IF(AD1067="No",0,ROUND(SUMIFS(Payments!$G$5:$G$1204,Payments!$I$5:$I$1204,C1067,Payments!$H$5:$H$1204,"",Payments!$Q$5:$Q$1204,"Yes"),2)))</f>
        <v>0</v>
      </c>
      <c r="AG1067" s="26">
        <f>IF(B1067="","",ROUND(AE1067+AF1067,2))</f>
        <v>0</v>
      </c>
      <c r="AH1067" s="26">
        <f>IF(B1067="","",ROUND(AA1067-AG1067,2))</f>
        <v>0</v>
      </c>
      <c r="AI1067" s="39">
        <f>IF(B1067="","",IF(AA1067&lt;=0,"No charge",IF(AH1067&lt;=0.004,"Paid",IF(AG1067&lt;=0.004,"Unpaid","Part paid"))))</f>
        <v>0</v>
      </c>
      <c r="AJ1067" s="38">
        <f>IF(B1067="","",IF(H1067&lt;&gt;"Service","",IF(D1067="","No",IF(COUNTIFS($D$5:$D$1204,D1067,$B$5:$B$1204,B1067,$H$5:$H$1204,"Retail")&gt;0,"Yes","No"))))</f>
        <v>0</v>
      </c>
      <c r="AK1067" s="25">
        <f>IF(B1067="","",COUNTIFS($Y$5:$Y$1204,"&gt;"&amp;Y1067)+COUNTIFS($Y$5:Y1067,Y1067))</f>
        <v>0</v>
      </c>
      <c r="AL1067" s="39">
        <f>IF(B1067="","",IF(H1067="","Add - what kind of sale is this?",IF(IF(V1067&lt;=0,P1067="",FALSE),"Check - no price found for this item",IF(F1067="","Assign - nobody credited",IF(AH1067&gt;0.004,"Unpaid - balance outstanding",IF(AC1067&lt;0,"Loss - sold below cost",IF(X1067&gt;W1067*0.5,"Check - more than half off","OK")))))))</f>
        <v>0</v>
      </c>
    </row>
    <row r="1068" spans="1:38">
      <c r="A1068" s="28">
        <f>IF(B1068="","",SalePrefix&amp;TEXT(ROW()-4,"0000"))</f>
        <v>0</v>
      </c>
      <c r="E1068" s="15">
        <f>IF(D1068="","",IFERROR(INDEX(Clients!$B$5:$B$504,MATCH(D1068,Clients!$A$5:$A$504,0)),"Walk-in"))</f>
        <v>0</v>
      </c>
      <c r="G1068" s="15">
        <f>IF(F1068="","",IFERROR(INDEX(Staff!$B$5:$B$44,MATCH(F1068,Staff!$A$5:$A$44,0)),"House"))</f>
        <v>0</v>
      </c>
      <c r="R1068" s="15">
        <f>IF(B1068="","",TEXT(B1068,"yyyy-mm"))</f>
        <v>0</v>
      </c>
      <c r="S1068" s="25">
        <f>IF(B1068="","",WEEKNUM(B1068,2))</f>
        <v>0</v>
      </c>
      <c r="T1068" s="37">
        <f>IF(B1068="","",IF(K1068="",1,K1068))</f>
        <v>0</v>
      </c>
      <c r="U1068" s="15">
        <f>IF(B1068="","",IF(J1068&lt;&gt;"",J1068,IF(H1068="Retail",IFERROR(INDEX(Inventory!$B$5:$B$304,MATCH(I1068,Inventory!$A$5:$A$304,0))&amp;"","Not in Inventory"),IFERROR(INDEX(Services!$B$5:$B$204,MATCH(I1068,Services!$A$5:$A$204,0))&amp;"","Not in Services"))))</f>
        <v>0</v>
      </c>
      <c r="V1068" s="26">
        <f>IF(B1068="","",IF(L1068&lt;&gt;"",L1068,IF(H1068="Retail",IFERROR(INDEX(Inventory!$I$5:$I$304,MATCH(I1068,Inventory!$A$5:$A$304,0))*1,0),IFERROR(INDEX(Services!$G$5:$G$204,MATCH(I1068,Services!$A$5:$A$204,0))*1,0))))</f>
        <v>0</v>
      </c>
      <c r="W1068" s="26">
        <f>IF(B1068="","",ROUND(T1068*V1068,2))</f>
        <v>0</v>
      </c>
      <c r="X1068" s="26">
        <f>IF(B1068="","",ROUND(IF(M1068="",0,W1068*M1068)+IF(N1068="",0,N1068),2))</f>
        <v>0</v>
      </c>
      <c r="Y1068" s="26">
        <f>IF(B1068="","",ROUND(W1068-X1068-IF(P1068="",0,P1068),2))</f>
        <v>0</v>
      </c>
      <c r="Z1068" s="26">
        <f>IF(B1068="","",IF(H1068="Retail",IF(TaxOnRetail="Yes",ROUND(Y1068*TaxRate,2),0),IF(H1068="Service",IF(TaxOnServices="Yes",ROUND(Y1068*TaxRate,2),0),0)))</f>
        <v>0</v>
      </c>
      <c r="AA1068" s="26">
        <f>IF(B1068="","",ROUND(Y1068+Z1068,2))</f>
        <v>0</v>
      </c>
      <c r="AB1068" s="26">
        <f>IF(B1068="","",ROUND(T1068*IF(H1068="Retail",IFERROR(INDEX(Inventory!$H$5:$H$304,MATCH(I1068,Inventory!$A$5:$A$304,0))*1,0),IFERROR(INDEX(Services!$Q$5:$Q$204,MATCH(I1068,Services!$A$5:$A$204,0))*1,0)),2))</f>
        <v>0</v>
      </c>
      <c r="AC1068" s="26">
        <f>IF(B1068="","",ROUND(Y1068-AB1068,2))</f>
        <v>0</v>
      </c>
      <c r="AD1068" s="38">
        <f>IF(B1068="","",IF(C1068="","No",IF(COUNTIFS($C$5:C1068,C1068)=1,"Yes","No")))</f>
        <v>0</v>
      </c>
      <c r="AE1068" s="26">
        <f>IF(B1068="","",ROUND(SUMIFS(Payments!$G$5:$G$1204,Payments!$H$5:$H$1204,A1068,Payments!$Q$5:$Q$1204,"Yes"),2))</f>
        <v>0</v>
      </c>
      <c r="AF1068" s="26">
        <f>IF(B1068="","",IF(AD1068="No",0,ROUND(SUMIFS(Payments!$G$5:$G$1204,Payments!$I$5:$I$1204,C1068,Payments!$H$5:$H$1204,"",Payments!$Q$5:$Q$1204,"Yes"),2)))</f>
        <v>0</v>
      </c>
      <c r="AG1068" s="26">
        <f>IF(B1068="","",ROUND(AE1068+AF1068,2))</f>
        <v>0</v>
      </c>
      <c r="AH1068" s="26">
        <f>IF(B1068="","",ROUND(AA1068-AG1068,2))</f>
        <v>0</v>
      </c>
      <c r="AI1068" s="39">
        <f>IF(B1068="","",IF(AA1068&lt;=0,"No charge",IF(AH1068&lt;=0.004,"Paid",IF(AG1068&lt;=0.004,"Unpaid","Part paid"))))</f>
        <v>0</v>
      </c>
      <c r="AJ1068" s="38">
        <f>IF(B1068="","",IF(H1068&lt;&gt;"Service","",IF(D1068="","No",IF(COUNTIFS($D$5:$D$1204,D1068,$B$5:$B$1204,B1068,$H$5:$H$1204,"Retail")&gt;0,"Yes","No"))))</f>
        <v>0</v>
      </c>
      <c r="AK1068" s="25">
        <f>IF(B1068="","",COUNTIFS($Y$5:$Y$1204,"&gt;"&amp;Y1068)+COUNTIFS($Y$5:Y1068,Y1068))</f>
        <v>0</v>
      </c>
      <c r="AL1068" s="39">
        <f>IF(B1068="","",IF(H1068="","Add - what kind of sale is this?",IF(IF(V1068&lt;=0,P1068="",FALSE),"Check - no price found for this item",IF(F1068="","Assign - nobody credited",IF(AH1068&gt;0.004,"Unpaid - balance outstanding",IF(AC1068&lt;0,"Loss - sold below cost",IF(X1068&gt;W1068*0.5,"Check - more than half off","OK")))))))</f>
        <v>0</v>
      </c>
    </row>
    <row r="1069" spans="1:38">
      <c r="A1069" s="28">
        <f>IF(B1069="","",SalePrefix&amp;TEXT(ROW()-4,"0000"))</f>
        <v>0</v>
      </c>
      <c r="E1069" s="15">
        <f>IF(D1069="","",IFERROR(INDEX(Clients!$B$5:$B$504,MATCH(D1069,Clients!$A$5:$A$504,0)),"Walk-in"))</f>
        <v>0</v>
      </c>
      <c r="G1069" s="15">
        <f>IF(F1069="","",IFERROR(INDEX(Staff!$B$5:$B$44,MATCH(F1069,Staff!$A$5:$A$44,0)),"House"))</f>
        <v>0</v>
      </c>
      <c r="R1069" s="15">
        <f>IF(B1069="","",TEXT(B1069,"yyyy-mm"))</f>
        <v>0</v>
      </c>
      <c r="S1069" s="25">
        <f>IF(B1069="","",WEEKNUM(B1069,2))</f>
        <v>0</v>
      </c>
      <c r="T1069" s="37">
        <f>IF(B1069="","",IF(K1069="",1,K1069))</f>
        <v>0</v>
      </c>
      <c r="U1069" s="15">
        <f>IF(B1069="","",IF(J1069&lt;&gt;"",J1069,IF(H1069="Retail",IFERROR(INDEX(Inventory!$B$5:$B$304,MATCH(I1069,Inventory!$A$5:$A$304,0))&amp;"","Not in Inventory"),IFERROR(INDEX(Services!$B$5:$B$204,MATCH(I1069,Services!$A$5:$A$204,0))&amp;"","Not in Services"))))</f>
        <v>0</v>
      </c>
      <c r="V1069" s="26">
        <f>IF(B1069="","",IF(L1069&lt;&gt;"",L1069,IF(H1069="Retail",IFERROR(INDEX(Inventory!$I$5:$I$304,MATCH(I1069,Inventory!$A$5:$A$304,0))*1,0),IFERROR(INDEX(Services!$G$5:$G$204,MATCH(I1069,Services!$A$5:$A$204,0))*1,0))))</f>
        <v>0</v>
      </c>
      <c r="W1069" s="26">
        <f>IF(B1069="","",ROUND(T1069*V1069,2))</f>
        <v>0</v>
      </c>
      <c r="X1069" s="26">
        <f>IF(B1069="","",ROUND(IF(M1069="",0,W1069*M1069)+IF(N1069="",0,N1069),2))</f>
        <v>0</v>
      </c>
      <c r="Y1069" s="26">
        <f>IF(B1069="","",ROUND(W1069-X1069-IF(P1069="",0,P1069),2))</f>
        <v>0</v>
      </c>
      <c r="Z1069" s="26">
        <f>IF(B1069="","",IF(H1069="Retail",IF(TaxOnRetail="Yes",ROUND(Y1069*TaxRate,2),0),IF(H1069="Service",IF(TaxOnServices="Yes",ROUND(Y1069*TaxRate,2),0),0)))</f>
        <v>0</v>
      </c>
      <c r="AA1069" s="26">
        <f>IF(B1069="","",ROUND(Y1069+Z1069,2))</f>
        <v>0</v>
      </c>
      <c r="AB1069" s="26">
        <f>IF(B1069="","",ROUND(T1069*IF(H1069="Retail",IFERROR(INDEX(Inventory!$H$5:$H$304,MATCH(I1069,Inventory!$A$5:$A$304,0))*1,0),IFERROR(INDEX(Services!$Q$5:$Q$204,MATCH(I1069,Services!$A$5:$A$204,0))*1,0)),2))</f>
        <v>0</v>
      </c>
      <c r="AC1069" s="26">
        <f>IF(B1069="","",ROUND(Y1069-AB1069,2))</f>
        <v>0</v>
      </c>
      <c r="AD1069" s="38">
        <f>IF(B1069="","",IF(C1069="","No",IF(COUNTIFS($C$5:C1069,C1069)=1,"Yes","No")))</f>
        <v>0</v>
      </c>
      <c r="AE1069" s="26">
        <f>IF(B1069="","",ROUND(SUMIFS(Payments!$G$5:$G$1204,Payments!$H$5:$H$1204,A1069,Payments!$Q$5:$Q$1204,"Yes"),2))</f>
        <v>0</v>
      </c>
      <c r="AF1069" s="26">
        <f>IF(B1069="","",IF(AD1069="No",0,ROUND(SUMIFS(Payments!$G$5:$G$1204,Payments!$I$5:$I$1204,C1069,Payments!$H$5:$H$1204,"",Payments!$Q$5:$Q$1204,"Yes"),2)))</f>
        <v>0</v>
      </c>
      <c r="AG1069" s="26">
        <f>IF(B1069="","",ROUND(AE1069+AF1069,2))</f>
        <v>0</v>
      </c>
      <c r="AH1069" s="26">
        <f>IF(B1069="","",ROUND(AA1069-AG1069,2))</f>
        <v>0</v>
      </c>
      <c r="AI1069" s="39">
        <f>IF(B1069="","",IF(AA1069&lt;=0,"No charge",IF(AH1069&lt;=0.004,"Paid",IF(AG1069&lt;=0.004,"Unpaid","Part paid"))))</f>
        <v>0</v>
      </c>
      <c r="AJ1069" s="38">
        <f>IF(B1069="","",IF(H1069&lt;&gt;"Service","",IF(D1069="","No",IF(COUNTIFS($D$5:$D$1204,D1069,$B$5:$B$1204,B1069,$H$5:$H$1204,"Retail")&gt;0,"Yes","No"))))</f>
        <v>0</v>
      </c>
      <c r="AK1069" s="25">
        <f>IF(B1069="","",COUNTIFS($Y$5:$Y$1204,"&gt;"&amp;Y1069)+COUNTIFS($Y$5:Y1069,Y1069))</f>
        <v>0</v>
      </c>
      <c r="AL1069" s="39">
        <f>IF(B1069="","",IF(H1069="","Add - what kind of sale is this?",IF(IF(V1069&lt;=0,P1069="",FALSE),"Check - no price found for this item",IF(F1069="","Assign - nobody credited",IF(AH1069&gt;0.004,"Unpaid - balance outstanding",IF(AC1069&lt;0,"Loss - sold below cost",IF(X1069&gt;W1069*0.5,"Check - more than half off","OK")))))))</f>
        <v>0</v>
      </c>
    </row>
    <row r="1070" spans="1:38">
      <c r="A1070" s="28">
        <f>IF(B1070="","",SalePrefix&amp;TEXT(ROW()-4,"0000"))</f>
        <v>0</v>
      </c>
      <c r="E1070" s="15">
        <f>IF(D1070="","",IFERROR(INDEX(Clients!$B$5:$B$504,MATCH(D1070,Clients!$A$5:$A$504,0)),"Walk-in"))</f>
        <v>0</v>
      </c>
      <c r="G1070" s="15">
        <f>IF(F1070="","",IFERROR(INDEX(Staff!$B$5:$B$44,MATCH(F1070,Staff!$A$5:$A$44,0)),"House"))</f>
        <v>0</v>
      </c>
      <c r="R1070" s="15">
        <f>IF(B1070="","",TEXT(B1070,"yyyy-mm"))</f>
        <v>0</v>
      </c>
      <c r="S1070" s="25">
        <f>IF(B1070="","",WEEKNUM(B1070,2))</f>
        <v>0</v>
      </c>
      <c r="T1070" s="37">
        <f>IF(B1070="","",IF(K1070="",1,K1070))</f>
        <v>0</v>
      </c>
      <c r="U1070" s="15">
        <f>IF(B1070="","",IF(J1070&lt;&gt;"",J1070,IF(H1070="Retail",IFERROR(INDEX(Inventory!$B$5:$B$304,MATCH(I1070,Inventory!$A$5:$A$304,0))&amp;"","Not in Inventory"),IFERROR(INDEX(Services!$B$5:$B$204,MATCH(I1070,Services!$A$5:$A$204,0))&amp;"","Not in Services"))))</f>
        <v>0</v>
      </c>
      <c r="V1070" s="26">
        <f>IF(B1070="","",IF(L1070&lt;&gt;"",L1070,IF(H1070="Retail",IFERROR(INDEX(Inventory!$I$5:$I$304,MATCH(I1070,Inventory!$A$5:$A$304,0))*1,0),IFERROR(INDEX(Services!$G$5:$G$204,MATCH(I1070,Services!$A$5:$A$204,0))*1,0))))</f>
        <v>0</v>
      </c>
      <c r="W1070" s="26">
        <f>IF(B1070="","",ROUND(T1070*V1070,2))</f>
        <v>0</v>
      </c>
      <c r="X1070" s="26">
        <f>IF(B1070="","",ROUND(IF(M1070="",0,W1070*M1070)+IF(N1070="",0,N1070),2))</f>
        <v>0</v>
      </c>
      <c r="Y1070" s="26">
        <f>IF(B1070="","",ROUND(W1070-X1070-IF(P1070="",0,P1070),2))</f>
        <v>0</v>
      </c>
      <c r="Z1070" s="26">
        <f>IF(B1070="","",IF(H1070="Retail",IF(TaxOnRetail="Yes",ROUND(Y1070*TaxRate,2),0),IF(H1070="Service",IF(TaxOnServices="Yes",ROUND(Y1070*TaxRate,2),0),0)))</f>
        <v>0</v>
      </c>
      <c r="AA1070" s="26">
        <f>IF(B1070="","",ROUND(Y1070+Z1070,2))</f>
        <v>0</v>
      </c>
      <c r="AB1070" s="26">
        <f>IF(B1070="","",ROUND(T1070*IF(H1070="Retail",IFERROR(INDEX(Inventory!$H$5:$H$304,MATCH(I1070,Inventory!$A$5:$A$304,0))*1,0),IFERROR(INDEX(Services!$Q$5:$Q$204,MATCH(I1070,Services!$A$5:$A$204,0))*1,0)),2))</f>
        <v>0</v>
      </c>
      <c r="AC1070" s="26">
        <f>IF(B1070="","",ROUND(Y1070-AB1070,2))</f>
        <v>0</v>
      </c>
      <c r="AD1070" s="38">
        <f>IF(B1070="","",IF(C1070="","No",IF(COUNTIFS($C$5:C1070,C1070)=1,"Yes","No")))</f>
        <v>0</v>
      </c>
      <c r="AE1070" s="26">
        <f>IF(B1070="","",ROUND(SUMIFS(Payments!$G$5:$G$1204,Payments!$H$5:$H$1204,A1070,Payments!$Q$5:$Q$1204,"Yes"),2))</f>
        <v>0</v>
      </c>
      <c r="AF1070" s="26">
        <f>IF(B1070="","",IF(AD1070="No",0,ROUND(SUMIFS(Payments!$G$5:$G$1204,Payments!$I$5:$I$1204,C1070,Payments!$H$5:$H$1204,"",Payments!$Q$5:$Q$1204,"Yes"),2)))</f>
        <v>0</v>
      </c>
      <c r="AG1070" s="26">
        <f>IF(B1070="","",ROUND(AE1070+AF1070,2))</f>
        <v>0</v>
      </c>
      <c r="AH1070" s="26">
        <f>IF(B1070="","",ROUND(AA1070-AG1070,2))</f>
        <v>0</v>
      </c>
      <c r="AI1070" s="39">
        <f>IF(B1070="","",IF(AA1070&lt;=0,"No charge",IF(AH1070&lt;=0.004,"Paid",IF(AG1070&lt;=0.004,"Unpaid","Part paid"))))</f>
        <v>0</v>
      </c>
      <c r="AJ1070" s="38">
        <f>IF(B1070="","",IF(H1070&lt;&gt;"Service","",IF(D1070="","No",IF(COUNTIFS($D$5:$D$1204,D1070,$B$5:$B$1204,B1070,$H$5:$H$1204,"Retail")&gt;0,"Yes","No"))))</f>
        <v>0</v>
      </c>
      <c r="AK1070" s="25">
        <f>IF(B1070="","",COUNTIFS($Y$5:$Y$1204,"&gt;"&amp;Y1070)+COUNTIFS($Y$5:Y1070,Y1070))</f>
        <v>0</v>
      </c>
      <c r="AL1070" s="39">
        <f>IF(B1070="","",IF(H1070="","Add - what kind of sale is this?",IF(IF(V1070&lt;=0,P1070="",FALSE),"Check - no price found for this item",IF(F1070="","Assign - nobody credited",IF(AH1070&gt;0.004,"Unpaid - balance outstanding",IF(AC1070&lt;0,"Loss - sold below cost",IF(X1070&gt;W1070*0.5,"Check - more than half off","OK")))))))</f>
        <v>0</v>
      </c>
    </row>
    <row r="1071" spans="1:38">
      <c r="A1071" s="28">
        <f>IF(B1071="","",SalePrefix&amp;TEXT(ROW()-4,"0000"))</f>
        <v>0</v>
      </c>
      <c r="E1071" s="15">
        <f>IF(D1071="","",IFERROR(INDEX(Clients!$B$5:$B$504,MATCH(D1071,Clients!$A$5:$A$504,0)),"Walk-in"))</f>
        <v>0</v>
      </c>
      <c r="G1071" s="15">
        <f>IF(F1071="","",IFERROR(INDEX(Staff!$B$5:$B$44,MATCH(F1071,Staff!$A$5:$A$44,0)),"House"))</f>
        <v>0</v>
      </c>
      <c r="R1071" s="15">
        <f>IF(B1071="","",TEXT(B1071,"yyyy-mm"))</f>
        <v>0</v>
      </c>
      <c r="S1071" s="25">
        <f>IF(B1071="","",WEEKNUM(B1071,2))</f>
        <v>0</v>
      </c>
      <c r="T1071" s="37">
        <f>IF(B1071="","",IF(K1071="",1,K1071))</f>
        <v>0</v>
      </c>
      <c r="U1071" s="15">
        <f>IF(B1071="","",IF(J1071&lt;&gt;"",J1071,IF(H1071="Retail",IFERROR(INDEX(Inventory!$B$5:$B$304,MATCH(I1071,Inventory!$A$5:$A$304,0))&amp;"","Not in Inventory"),IFERROR(INDEX(Services!$B$5:$B$204,MATCH(I1071,Services!$A$5:$A$204,0))&amp;"","Not in Services"))))</f>
        <v>0</v>
      </c>
      <c r="V1071" s="26">
        <f>IF(B1071="","",IF(L1071&lt;&gt;"",L1071,IF(H1071="Retail",IFERROR(INDEX(Inventory!$I$5:$I$304,MATCH(I1071,Inventory!$A$5:$A$304,0))*1,0),IFERROR(INDEX(Services!$G$5:$G$204,MATCH(I1071,Services!$A$5:$A$204,0))*1,0))))</f>
        <v>0</v>
      </c>
      <c r="W1071" s="26">
        <f>IF(B1071="","",ROUND(T1071*V1071,2))</f>
        <v>0</v>
      </c>
      <c r="X1071" s="26">
        <f>IF(B1071="","",ROUND(IF(M1071="",0,W1071*M1071)+IF(N1071="",0,N1071),2))</f>
        <v>0</v>
      </c>
      <c r="Y1071" s="26">
        <f>IF(B1071="","",ROUND(W1071-X1071-IF(P1071="",0,P1071),2))</f>
        <v>0</v>
      </c>
      <c r="Z1071" s="26">
        <f>IF(B1071="","",IF(H1071="Retail",IF(TaxOnRetail="Yes",ROUND(Y1071*TaxRate,2),0),IF(H1071="Service",IF(TaxOnServices="Yes",ROUND(Y1071*TaxRate,2),0),0)))</f>
        <v>0</v>
      </c>
      <c r="AA1071" s="26">
        <f>IF(B1071="","",ROUND(Y1071+Z1071,2))</f>
        <v>0</v>
      </c>
      <c r="AB1071" s="26">
        <f>IF(B1071="","",ROUND(T1071*IF(H1071="Retail",IFERROR(INDEX(Inventory!$H$5:$H$304,MATCH(I1071,Inventory!$A$5:$A$304,0))*1,0),IFERROR(INDEX(Services!$Q$5:$Q$204,MATCH(I1071,Services!$A$5:$A$204,0))*1,0)),2))</f>
        <v>0</v>
      </c>
      <c r="AC1071" s="26">
        <f>IF(B1071="","",ROUND(Y1071-AB1071,2))</f>
        <v>0</v>
      </c>
      <c r="AD1071" s="38">
        <f>IF(B1071="","",IF(C1071="","No",IF(COUNTIFS($C$5:C1071,C1071)=1,"Yes","No")))</f>
        <v>0</v>
      </c>
      <c r="AE1071" s="26">
        <f>IF(B1071="","",ROUND(SUMIFS(Payments!$G$5:$G$1204,Payments!$H$5:$H$1204,A1071,Payments!$Q$5:$Q$1204,"Yes"),2))</f>
        <v>0</v>
      </c>
      <c r="AF1071" s="26">
        <f>IF(B1071="","",IF(AD1071="No",0,ROUND(SUMIFS(Payments!$G$5:$G$1204,Payments!$I$5:$I$1204,C1071,Payments!$H$5:$H$1204,"",Payments!$Q$5:$Q$1204,"Yes"),2)))</f>
        <v>0</v>
      </c>
      <c r="AG1071" s="26">
        <f>IF(B1071="","",ROUND(AE1071+AF1071,2))</f>
        <v>0</v>
      </c>
      <c r="AH1071" s="26">
        <f>IF(B1071="","",ROUND(AA1071-AG1071,2))</f>
        <v>0</v>
      </c>
      <c r="AI1071" s="39">
        <f>IF(B1071="","",IF(AA1071&lt;=0,"No charge",IF(AH1071&lt;=0.004,"Paid",IF(AG1071&lt;=0.004,"Unpaid","Part paid"))))</f>
        <v>0</v>
      </c>
      <c r="AJ1071" s="38">
        <f>IF(B1071="","",IF(H1071&lt;&gt;"Service","",IF(D1071="","No",IF(COUNTIFS($D$5:$D$1204,D1071,$B$5:$B$1204,B1071,$H$5:$H$1204,"Retail")&gt;0,"Yes","No"))))</f>
        <v>0</v>
      </c>
      <c r="AK1071" s="25">
        <f>IF(B1071="","",COUNTIFS($Y$5:$Y$1204,"&gt;"&amp;Y1071)+COUNTIFS($Y$5:Y1071,Y1071))</f>
        <v>0</v>
      </c>
      <c r="AL1071" s="39">
        <f>IF(B1071="","",IF(H1071="","Add - what kind of sale is this?",IF(IF(V1071&lt;=0,P1071="",FALSE),"Check - no price found for this item",IF(F1071="","Assign - nobody credited",IF(AH1071&gt;0.004,"Unpaid - balance outstanding",IF(AC1071&lt;0,"Loss - sold below cost",IF(X1071&gt;W1071*0.5,"Check - more than half off","OK")))))))</f>
        <v>0</v>
      </c>
    </row>
    <row r="1072" spans="1:38">
      <c r="A1072" s="28">
        <f>IF(B1072="","",SalePrefix&amp;TEXT(ROW()-4,"0000"))</f>
        <v>0</v>
      </c>
      <c r="E1072" s="15">
        <f>IF(D1072="","",IFERROR(INDEX(Clients!$B$5:$B$504,MATCH(D1072,Clients!$A$5:$A$504,0)),"Walk-in"))</f>
        <v>0</v>
      </c>
      <c r="G1072" s="15">
        <f>IF(F1072="","",IFERROR(INDEX(Staff!$B$5:$B$44,MATCH(F1072,Staff!$A$5:$A$44,0)),"House"))</f>
        <v>0</v>
      </c>
      <c r="R1072" s="15">
        <f>IF(B1072="","",TEXT(B1072,"yyyy-mm"))</f>
        <v>0</v>
      </c>
      <c r="S1072" s="25">
        <f>IF(B1072="","",WEEKNUM(B1072,2))</f>
        <v>0</v>
      </c>
      <c r="T1072" s="37">
        <f>IF(B1072="","",IF(K1072="",1,K1072))</f>
        <v>0</v>
      </c>
      <c r="U1072" s="15">
        <f>IF(B1072="","",IF(J1072&lt;&gt;"",J1072,IF(H1072="Retail",IFERROR(INDEX(Inventory!$B$5:$B$304,MATCH(I1072,Inventory!$A$5:$A$304,0))&amp;"","Not in Inventory"),IFERROR(INDEX(Services!$B$5:$B$204,MATCH(I1072,Services!$A$5:$A$204,0))&amp;"","Not in Services"))))</f>
        <v>0</v>
      </c>
      <c r="V1072" s="26">
        <f>IF(B1072="","",IF(L1072&lt;&gt;"",L1072,IF(H1072="Retail",IFERROR(INDEX(Inventory!$I$5:$I$304,MATCH(I1072,Inventory!$A$5:$A$304,0))*1,0),IFERROR(INDEX(Services!$G$5:$G$204,MATCH(I1072,Services!$A$5:$A$204,0))*1,0))))</f>
        <v>0</v>
      </c>
      <c r="W1072" s="26">
        <f>IF(B1072="","",ROUND(T1072*V1072,2))</f>
        <v>0</v>
      </c>
      <c r="X1072" s="26">
        <f>IF(B1072="","",ROUND(IF(M1072="",0,W1072*M1072)+IF(N1072="",0,N1072),2))</f>
        <v>0</v>
      </c>
      <c r="Y1072" s="26">
        <f>IF(B1072="","",ROUND(W1072-X1072-IF(P1072="",0,P1072),2))</f>
        <v>0</v>
      </c>
      <c r="Z1072" s="26">
        <f>IF(B1072="","",IF(H1072="Retail",IF(TaxOnRetail="Yes",ROUND(Y1072*TaxRate,2),0),IF(H1072="Service",IF(TaxOnServices="Yes",ROUND(Y1072*TaxRate,2),0),0)))</f>
        <v>0</v>
      </c>
      <c r="AA1072" s="26">
        <f>IF(B1072="","",ROUND(Y1072+Z1072,2))</f>
        <v>0</v>
      </c>
      <c r="AB1072" s="26">
        <f>IF(B1072="","",ROUND(T1072*IF(H1072="Retail",IFERROR(INDEX(Inventory!$H$5:$H$304,MATCH(I1072,Inventory!$A$5:$A$304,0))*1,0),IFERROR(INDEX(Services!$Q$5:$Q$204,MATCH(I1072,Services!$A$5:$A$204,0))*1,0)),2))</f>
        <v>0</v>
      </c>
      <c r="AC1072" s="26">
        <f>IF(B1072="","",ROUND(Y1072-AB1072,2))</f>
        <v>0</v>
      </c>
      <c r="AD1072" s="38">
        <f>IF(B1072="","",IF(C1072="","No",IF(COUNTIFS($C$5:C1072,C1072)=1,"Yes","No")))</f>
        <v>0</v>
      </c>
      <c r="AE1072" s="26">
        <f>IF(B1072="","",ROUND(SUMIFS(Payments!$G$5:$G$1204,Payments!$H$5:$H$1204,A1072,Payments!$Q$5:$Q$1204,"Yes"),2))</f>
        <v>0</v>
      </c>
      <c r="AF1072" s="26">
        <f>IF(B1072="","",IF(AD1072="No",0,ROUND(SUMIFS(Payments!$G$5:$G$1204,Payments!$I$5:$I$1204,C1072,Payments!$H$5:$H$1204,"",Payments!$Q$5:$Q$1204,"Yes"),2)))</f>
        <v>0</v>
      </c>
      <c r="AG1072" s="26">
        <f>IF(B1072="","",ROUND(AE1072+AF1072,2))</f>
        <v>0</v>
      </c>
      <c r="AH1072" s="26">
        <f>IF(B1072="","",ROUND(AA1072-AG1072,2))</f>
        <v>0</v>
      </c>
      <c r="AI1072" s="39">
        <f>IF(B1072="","",IF(AA1072&lt;=0,"No charge",IF(AH1072&lt;=0.004,"Paid",IF(AG1072&lt;=0.004,"Unpaid","Part paid"))))</f>
        <v>0</v>
      </c>
      <c r="AJ1072" s="38">
        <f>IF(B1072="","",IF(H1072&lt;&gt;"Service","",IF(D1072="","No",IF(COUNTIFS($D$5:$D$1204,D1072,$B$5:$B$1204,B1072,$H$5:$H$1204,"Retail")&gt;0,"Yes","No"))))</f>
        <v>0</v>
      </c>
      <c r="AK1072" s="25">
        <f>IF(B1072="","",COUNTIFS($Y$5:$Y$1204,"&gt;"&amp;Y1072)+COUNTIFS($Y$5:Y1072,Y1072))</f>
        <v>0</v>
      </c>
      <c r="AL1072" s="39">
        <f>IF(B1072="","",IF(H1072="","Add - what kind of sale is this?",IF(IF(V1072&lt;=0,P1072="",FALSE),"Check - no price found for this item",IF(F1072="","Assign - nobody credited",IF(AH1072&gt;0.004,"Unpaid - balance outstanding",IF(AC1072&lt;0,"Loss - sold below cost",IF(X1072&gt;W1072*0.5,"Check - more than half off","OK")))))))</f>
        <v>0</v>
      </c>
    </row>
    <row r="1073" spans="1:38">
      <c r="A1073" s="28">
        <f>IF(B1073="","",SalePrefix&amp;TEXT(ROW()-4,"0000"))</f>
        <v>0</v>
      </c>
      <c r="E1073" s="15">
        <f>IF(D1073="","",IFERROR(INDEX(Clients!$B$5:$B$504,MATCH(D1073,Clients!$A$5:$A$504,0)),"Walk-in"))</f>
        <v>0</v>
      </c>
      <c r="G1073" s="15">
        <f>IF(F1073="","",IFERROR(INDEX(Staff!$B$5:$B$44,MATCH(F1073,Staff!$A$5:$A$44,0)),"House"))</f>
        <v>0</v>
      </c>
      <c r="R1073" s="15">
        <f>IF(B1073="","",TEXT(B1073,"yyyy-mm"))</f>
        <v>0</v>
      </c>
      <c r="S1073" s="25">
        <f>IF(B1073="","",WEEKNUM(B1073,2))</f>
        <v>0</v>
      </c>
      <c r="T1073" s="37">
        <f>IF(B1073="","",IF(K1073="",1,K1073))</f>
        <v>0</v>
      </c>
      <c r="U1073" s="15">
        <f>IF(B1073="","",IF(J1073&lt;&gt;"",J1073,IF(H1073="Retail",IFERROR(INDEX(Inventory!$B$5:$B$304,MATCH(I1073,Inventory!$A$5:$A$304,0))&amp;"","Not in Inventory"),IFERROR(INDEX(Services!$B$5:$B$204,MATCH(I1073,Services!$A$5:$A$204,0))&amp;"","Not in Services"))))</f>
        <v>0</v>
      </c>
      <c r="V1073" s="26">
        <f>IF(B1073="","",IF(L1073&lt;&gt;"",L1073,IF(H1073="Retail",IFERROR(INDEX(Inventory!$I$5:$I$304,MATCH(I1073,Inventory!$A$5:$A$304,0))*1,0),IFERROR(INDEX(Services!$G$5:$G$204,MATCH(I1073,Services!$A$5:$A$204,0))*1,0))))</f>
        <v>0</v>
      </c>
      <c r="W1073" s="26">
        <f>IF(B1073="","",ROUND(T1073*V1073,2))</f>
        <v>0</v>
      </c>
      <c r="X1073" s="26">
        <f>IF(B1073="","",ROUND(IF(M1073="",0,W1073*M1073)+IF(N1073="",0,N1073),2))</f>
        <v>0</v>
      </c>
      <c r="Y1073" s="26">
        <f>IF(B1073="","",ROUND(W1073-X1073-IF(P1073="",0,P1073),2))</f>
        <v>0</v>
      </c>
      <c r="Z1073" s="26">
        <f>IF(B1073="","",IF(H1073="Retail",IF(TaxOnRetail="Yes",ROUND(Y1073*TaxRate,2),0),IF(H1073="Service",IF(TaxOnServices="Yes",ROUND(Y1073*TaxRate,2),0),0)))</f>
        <v>0</v>
      </c>
      <c r="AA1073" s="26">
        <f>IF(B1073="","",ROUND(Y1073+Z1073,2))</f>
        <v>0</v>
      </c>
      <c r="AB1073" s="26">
        <f>IF(B1073="","",ROUND(T1073*IF(H1073="Retail",IFERROR(INDEX(Inventory!$H$5:$H$304,MATCH(I1073,Inventory!$A$5:$A$304,0))*1,0),IFERROR(INDEX(Services!$Q$5:$Q$204,MATCH(I1073,Services!$A$5:$A$204,0))*1,0)),2))</f>
        <v>0</v>
      </c>
      <c r="AC1073" s="26">
        <f>IF(B1073="","",ROUND(Y1073-AB1073,2))</f>
        <v>0</v>
      </c>
      <c r="AD1073" s="38">
        <f>IF(B1073="","",IF(C1073="","No",IF(COUNTIFS($C$5:C1073,C1073)=1,"Yes","No")))</f>
        <v>0</v>
      </c>
      <c r="AE1073" s="26">
        <f>IF(B1073="","",ROUND(SUMIFS(Payments!$G$5:$G$1204,Payments!$H$5:$H$1204,A1073,Payments!$Q$5:$Q$1204,"Yes"),2))</f>
        <v>0</v>
      </c>
      <c r="AF1073" s="26">
        <f>IF(B1073="","",IF(AD1073="No",0,ROUND(SUMIFS(Payments!$G$5:$G$1204,Payments!$I$5:$I$1204,C1073,Payments!$H$5:$H$1204,"",Payments!$Q$5:$Q$1204,"Yes"),2)))</f>
        <v>0</v>
      </c>
      <c r="AG1073" s="26">
        <f>IF(B1073="","",ROUND(AE1073+AF1073,2))</f>
        <v>0</v>
      </c>
      <c r="AH1073" s="26">
        <f>IF(B1073="","",ROUND(AA1073-AG1073,2))</f>
        <v>0</v>
      </c>
      <c r="AI1073" s="39">
        <f>IF(B1073="","",IF(AA1073&lt;=0,"No charge",IF(AH1073&lt;=0.004,"Paid",IF(AG1073&lt;=0.004,"Unpaid","Part paid"))))</f>
        <v>0</v>
      </c>
      <c r="AJ1073" s="38">
        <f>IF(B1073="","",IF(H1073&lt;&gt;"Service","",IF(D1073="","No",IF(COUNTIFS($D$5:$D$1204,D1073,$B$5:$B$1204,B1073,$H$5:$H$1204,"Retail")&gt;0,"Yes","No"))))</f>
        <v>0</v>
      </c>
      <c r="AK1073" s="25">
        <f>IF(B1073="","",COUNTIFS($Y$5:$Y$1204,"&gt;"&amp;Y1073)+COUNTIFS($Y$5:Y1073,Y1073))</f>
        <v>0</v>
      </c>
      <c r="AL1073" s="39">
        <f>IF(B1073="","",IF(H1073="","Add - what kind of sale is this?",IF(IF(V1073&lt;=0,P1073="",FALSE),"Check - no price found for this item",IF(F1073="","Assign - nobody credited",IF(AH1073&gt;0.004,"Unpaid - balance outstanding",IF(AC1073&lt;0,"Loss - sold below cost",IF(X1073&gt;W1073*0.5,"Check - more than half off","OK")))))))</f>
        <v>0</v>
      </c>
    </row>
    <row r="1074" spans="1:38">
      <c r="A1074" s="28">
        <f>IF(B1074="","",SalePrefix&amp;TEXT(ROW()-4,"0000"))</f>
        <v>0</v>
      </c>
      <c r="E1074" s="15">
        <f>IF(D1074="","",IFERROR(INDEX(Clients!$B$5:$B$504,MATCH(D1074,Clients!$A$5:$A$504,0)),"Walk-in"))</f>
        <v>0</v>
      </c>
      <c r="G1074" s="15">
        <f>IF(F1074="","",IFERROR(INDEX(Staff!$B$5:$B$44,MATCH(F1074,Staff!$A$5:$A$44,0)),"House"))</f>
        <v>0</v>
      </c>
      <c r="R1074" s="15">
        <f>IF(B1074="","",TEXT(B1074,"yyyy-mm"))</f>
        <v>0</v>
      </c>
      <c r="S1074" s="25">
        <f>IF(B1074="","",WEEKNUM(B1074,2))</f>
        <v>0</v>
      </c>
      <c r="T1074" s="37">
        <f>IF(B1074="","",IF(K1074="",1,K1074))</f>
        <v>0</v>
      </c>
      <c r="U1074" s="15">
        <f>IF(B1074="","",IF(J1074&lt;&gt;"",J1074,IF(H1074="Retail",IFERROR(INDEX(Inventory!$B$5:$B$304,MATCH(I1074,Inventory!$A$5:$A$304,0))&amp;"","Not in Inventory"),IFERROR(INDEX(Services!$B$5:$B$204,MATCH(I1074,Services!$A$5:$A$204,0))&amp;"","Not in Services"))))</f>
        <v>0</v>
      </c>
      <c r="V1074" s="26">
        <f>IF(B1074="","",IF(L1074&lt;&gt;"",L1074,IF(H1074="Retail",IFERROR(INDEX(Inventory!$I$5:$I$304,MATCH(I1074,Inventory!$A$5:$A$304,0))*1,0),IFERROR(INDEX(Services!$G$5:$G$204,MATCH(I1074,Services!$A$5:$A$204,0))*1,0))))</f>
        <v>0</v>
      </c>
      <c r="W1074" s="26">
        <f>IF(B1074="","",ROUND(T1074*V1074,2))</f>
        <v>0</v>
      </c>
      <c r="X1074" s="26">
        <f>IF(B1074="","",ROUND(IF(M1074="",0,W1074*M1074)+IF(N1074="",0,N1074),2))</f>
        <v>0</v>
      </c>
      <c r="Y1074" s="26">
        <f>IF(B1074="","",ROUND(W1074-X1074-IF(P1074="",0,P1074),2))</f>
        <v>0</v>
      </c>
      <c r="Z1074" s="26">
        <f>IF(B1074="","",IF(H1074="Retail",IF(TaxOnRetail="Yes",ROUND(Y1074*TaxRate,2),0),IF(H1074="Service",IF(TaxOnServices="Yes",ROUND(Y1074*TaxRate,2),0),0)))</f>
        <v>0</v>
      </c>
      <c r="AA1074" s="26">
        <f>IF(B1074="","",ROUND(Y1074+Z1074,2))</f>
        <v>0</v>
      </c>
      <c r="AB1074" s="26">
        <f>IF(B1074="","",ROUND(T1074*IF(H1074="Retail",IFERROR(INDEX(Inventory!$H$5:$H$304,MATCH(I1074,Inventory!$A$5:$A$304,0))*1,0),IFERROR(INDEX(Services!$Q$5:$Q$204,MATCH(I1074,Services!$A$5:$A$204,0))*1,0)),2))</f>
        <v>0</v>
      </c>
      <c r="AC1074" s="26">
        <f>IF(B1074="","",ROUND(Y1074-AB1074,2))</f>
        <v>0</v>
      </c>
      <c r="AD1074" s="38">
        <f>IF(B1074="","",IF(C1074="","No",IF(COUNTIFS($C$5:C1074,C1074)=1,"Yes","No")))</f>
        <v>0</v>
      </c>
      <c r="AE1074" s="26">
        <f>IF(B1074="","",ROUND(SUMIFS(Payments!$G$5:$G$1204,Payments!$H$5:$H$1204,A1074,Payments!$Q$5:$Q$1204,"Yes"),2))</f>
        <v>0</v>
      </c>
      <c r="AF1074" s="26">
        <f>IF(B1074="","",IF(AD1074="No",0,ROUND(SUMIFS(Payments!$G$5:$G$1204,Payments!$I$5:$I$1204,C1074,Payments!$H$5:$H$1204,"",Payments!$Q$5:$Q$1204,"Yes"),2)))</f>
        <v>0</v>
      </c>
      <c r="AG1074" s="26">
        <f>IF(B1074="","",ROUND(AE1074+AF1074,2))</f>
        <v>0</v>
      </c>
      <c r="AH1074" s="26">
        <f>IF(B1074="","",ROUND(AA1074-AG1074,2))</f>
        <v>0</v>
      </c>
      <c r="AI1074" s="39">
        <f>IF(B1074="","",IF(AA1074&lt;=0,"No charge",IF(AH1074&lt;=0.004,"Paid",IF(AG1074&lt;=0.004,"Unpaid","Part paid"))))</f>
        <v>0</v>
      </c>
      <c r="AJ1074" s="38">
        <f>IF(B1074="","",IF(H1074&lt;&gt;"Service","",IF(D1074="","No",IF(COUNTIFS($D$5:$D$1204,D1074,$B$5:$B$1204,B1074,$H$5:$H$1204,"Retail")&gt;0,"Yes","No"))))</f>
        <v>0</v>
      </c>
      <c r="AK1074" s="25">
        <f>IF(B1074="","",COUNTIFS($Y$5:$Y$1204,"&gt;"&amp;Y1074)+COUNTIFS($Y$5:Y1074,Y1074))</f>
        <v>0</v>
      </c>
      <c r="AL1074" s="39">
        <f>IF(B1074="","",IF(H1074="","Add - what kind of sale is this?",IF(IF(V1074&lt;=0,P1074="",FALSE),"Check - no price found for this item",IF(F1074="","Assign - nobody credited",IF(AH1074&gt;0.004,"Unpaid - balance outstanding",IF(AC1074&lt;0,"Loss - sold below cost",IF(X1074&gt;W1074*0.5,"Check - more than half off","OK")))))))</f>
        <v>0</v>
      </c>
    </row>
    <row r="1075" spans="1:38">
      <c r="A1075" s="28">
        <f>IF(B1075="","",SalePrefix&amp;TEXT(ROW()-4,"0000"))</f>
        <v>0</v>
      </c>
      <c r="E1075" s="15">
        <f>IF(D1075="","",IFERROR(INDEX(Clients!$B$5:$B$504,MATCH(D1075,Clients!$A$5:$A$504,0)),"Walk-in"))</f>
        <v>0</v>
      </c>
      <c r="G1075" s="15">
        <f>IF(F1075="","",IFERROR(INDEX(Staff!$B$5:$B$44,MATCH(F1075,Staff!$A$5:$A$44,0)),"House"))</f>
        <v>0</v>
      </c>
      <c r="R1075" s="15">
        <f>IF(B1075="","",TEXT(B1075,"yyyy-mm"))</f>
        <v>0</v>
      </c>
      <c r="S1075" s="25">
        <f>IF(B1075="","",WEEKNUM(B1075,2))</f>
        <v>0</v>
      </c>
      <c r="T1075" s="37">
        <f>IF(B1075="","",IF(K1075="",1,K1075))</f>
        <v>0</v>
      </c>
      <c r="U1075" s="15">
        <f>IF(B1075="","",IF(J1075&lt;&gt;"",J1075,IF(H1075="Retail",IFERROR(INDEX(Inventory!$B$5:$B$304,MATCH(I1075,Inventory!$A$5:$A$304,0))&amp;"","Not in Inventory"),IFERROR(INDEX(Services!$B$5:$B$204,MATCH(I1075,Services!$A$5:$A$204,0))&amp;"","Not in Services"))))</f>
        <v>0</v>
      </c>
      <c r="V1075" s="26">
        <f>IF(B1075="","",IF(L1075&lt;&gt;"",L1075,IF(H1075="Retail",IFERROR(INDEX(Inventory!$I$5:$I$304,MATCH(I1075,Inventory!$A$5:$A$304,0))*1,0),IFERROR(INDEX(Services!$G$5:$G$204,MATCH(I1075,Services!$A$5:$A$204,0))*1,0))))</f>
        <v>0</v>
      </c>
      <c r="W1075" s="26">
        <f>IF(B1075="","",ROUND(T1075*V1075,2))</f>
        <v>0</v>
      </c>
      <c r="X1075" s="26">
        <f>IF(B1075="","",ROUND(IF(M1075="",0,W1075*M1075)+IF(N1075="",0,N1075),2))</f>
        <v>0</v>
      </c>
      <c r="Y1075" s="26">
        <f>IF(B1075="","",ROUND(W1075-X1075-IF(P1075="",0,P1075),2))</f>
        <v>0</v>
      </c>
      <c r="Z1075" s="26">
        <f>IF(B1075="","",IF(H1075="Retail",IF(TaxOnRetail="Yes",ROUND(Y1075*TaxRate,2),0),IF(H1075="Service",IF(TaxOnServices="Yes",ROUND(Y1075*TaxRate,2),0),0)))</f>
        <v>0</v>
      </c>
      <c r="AA1075" s="26">
        <f>IF(B1075="","",ROUND(Y1075+Z1075,2))</f>
        <v>0</v>
      </c>
      <c r="AB1075" s="26">
        <f>IF(B1075="","",ROUND(T1075*IF(H1075="Retail",IFERROR(INDEX(Inventory!$H$5:$H$304,MATCH(I1075,Inventory!$A$5:$A$304,0))*1,0),IFERROR(INDEX(Services!$Q$5:$Q$204,MATCH(I1075,Services!$A$5:$A$204,0))*1,0)),2))</f>
        <v>0</v>
      </c>
      <c r="AC1075" s="26">
        <f>IF(B1075="","",ROUND(Y1075-AB1075,2))</f>
        <v>0</v>
      </c>
      <c r="AD1075" s="38">
        <f>IF(B1075="","",IF(C1075="","No",IF(COUNTIFS($C$5:C1075,C1075)=1,"Yes","No")))</f>
        <v>0</v>
      </c>
      <c r="AE1075" s="26">
        <f>IF(B1075="","",ROUND(SUMIFS(Payments!$G$5:$G$1204,Payments!$H$5:$H$1204,A1075,Payments!$Q$5:$Q$1204,"Yes"),2))</f>
        <v>0</v>
      </c>
      <c r="AF1075" s="26">
        <f>IF(B1075="","",IF(AD1075="No",0,ROUND(SUMIFS(Payments!$G$5:$G$1204,Payments!$I$5:$I$1204,C1075,Payments!$H$5:$H$1204,"",Payments!$Q$5:$Q$1204,"Yes"),2)))</f>
        <v>0</v>
      </c>
      <c r="AG1075" s="26">
        <f>IF(B1075="","",ROUND(AE1075+AF1075,2))</f>
        <v>0</v>
      </c>
      <c r="AH1075" s="26">
        <f>IF(B1075="","",ROUND(AA1075-AG1075,2))</f>
        <v>0</v>
      </c>
      <c r="AI1075" s="39">
        <f>IF(B1075="","",IF(AA1075&lt;=0,"No charge",IF(AH1075&lt;=0.004,"Paid",IF(AG1075&lt;=0.004,"Unpaid","Part paid"))))</f>
        <v>0</v>
      </c>
      <c r="AJ1075" s="38">
        <f>IF(B1075="","",IF(H1075&lt;&gt;"Service","",IF(D1075="","No",IF(COUNTIFS($D$5:$D$1204,D1075,$B$5:$B$1204,B1075,$H$5:$H$1204,"Retail")&gt;0,"Yes","No"))))</f>
        <v>0</v>
      </c>
      <c r="AK1075" s="25">
        <f>IF(B1075="","",COUNTIFS($Y$5:$Y$1204,"&gt;"&amp;Y1075)+COUNTIFS($Y$5:Y1075,Y1075))</f>
        <v>0</v>
      </c>
      <c r="AL1075" s="39">
        <f>IF(B1075="","",IF(H1075="","Add - what kind of sale is this?",IF(IF(V1075&lt;=0,P1075="",FALSE),"Check - no price found for this item",IF(F1075="","Assign - nobody credited",IF(AH1075&gt;0.004,"Unpaid - balance outstanding",IF(AC1075&lt;0,"Loss - sold below cost",IF(X1075&gt;W1075*0.5,"Check - more than half off","OK")))))))</f>
        <v>0</v>
      </c>
    </row>
    <row r="1076" spans="1:38">
      <c r="A1076" s="28">
        <f>IF(B1076="","",SalePrefix&amp;TEXT(ROW()-4,"0000"))</f>
        <v>0</v>
      </c>
      <c r="E1076" s="15">
        <f>IF(D1076="","",IFERROR(INDEX(Clients!$B$5:$B$504,MATCH(D1076,Clients!$A$5:$A$504,0)),"Walk-in"))</f>
        <v>0</v>
      </c>
      <c r="G1076" s="15">
        <f>IF(F1076="","",IFERROR(INDEX(Staff!$B$5:$B$44,MATCH(F1076,Staff!$A$5:$A$44,0)),"House"))</f>
        <v>0</v>
      </c>
      <c r="R1076" s="15">
        <f>IF(B1076="","",TEXT(B1076,"yyyy-mm"))</f>
        <v>0</v>
      </c>
      <c r="S1076" s="25">
        <f>IF(B1076="","",WEEKNUM(B1076,2))</f>
        <v>0</v>
      </c>
      <c r="T1076" s="37">
        <f>IF(B1076="","",IF(K1076="",1,K1076))</f>
        <v>0</v>
      </c>
      <c r="U1076" s="15">
        <f>IF(B1076="","",IF(J1076&lt;&gt;"",J1076,IF(H1076="Retail",IFERROR(INDEX(Inventory!$B$5:$B$304,MATCH(I1076,Inventory!$A$5:$A$304,0))&amp;"","Not in Inventory"),IFERROR(INDEX(Services!$B$5:$B$204,MATCH(I1076,Services!$A$5:$A$204,0))&amp;"","Not in Services"))))</f>
        <v>0</v>
      </c>
      <c r="V1076" s="26">
        <f>IF(B1076="","",IF(L1076&lt;&gt;"",L1076,IF(H1076="Retail",IFERROR(INDEX(Inventory!$I$5:$I$304,MATCH(I1076,Inventory!$A$5:$A$304,0))*1,0),IFERROR(INDEX(Services!$G$5:$G$204,MATCH(I1076,Services!$A$5:$A$204,0))*1,0))))</f>
        <v>0</v>
      </c>
      <c r="W1076" s="26">
        <f>IF(B1076="","",ROUND(T1076*V1076,2))</f>
        <v>0</v>
      </c>
      <c r="X1076" s="26">
        <f>IF(B1076="","",ROUND(IF(M1076="",0,W1076*M1076)+IF(N1076="",0,N1076),2))</f>
        <v>0</v>
      </c>
      <c r="Y1076" s="26">
        <f>IF(B1076="","",ROUND(W1076-X1076-IF(P1076="",0,P1076),2))</f>
        <v>0</v>
      </c>
      <c r="Z1076" s="26">
        <f>IF(B1076="","",IF(H1076="Retail",IF(TaxOnRetail="Yes",ROUND(Y1076*TaxRate,2),0),IF(H1076="Service",IF(TaxOnServices="Yes",ROUND(Y1076*TaxRate,2),0),0)))</f>
        <v>0</v>
      </c>
      <c r="AA1076" s="26">
        <f>IF(B1076="","",ROUND(Y1076+Z1076,2))</f>
        <v>0</v>
      </c>
      <c r="AB1076" s="26">
        <f>IF(B1076="","",ROUND(T1076*IF(H1076="Retail",IFERROR(INDEX(Inventory!$H$5:$H$304,MATCH(I1076,Inventory!$A$5:$A$304,0))*1,0),IFERROR(INDEX(Services!$Q$5:$Q$204,MATCH(I1076,Services!$A$5:$A$204,0))*1,0)),2))</f>
        <v>0</v>
      </c>
      <c r="AC1076" s="26">
        <f>IF(B1076="","",ROUND(Y1076-AB1076,2))</f>
        <v>0</v>
      </c>
      <c r="AD1076" s="38">
        <f>IF(B1076="","",IF(C1076="","No",IF(COUNTIFS($C$5:C1076,C1076)=1,"Yes","No")))</f>
        <v>0</v>
      </c>
      <c r="AE1076" s="26">
        <f>IF(B1076="","",ROUND(SUMIFS(Payments!$G$5:$G$1204,Payments!$H$5:$H$1204,A1076,Payments!$Q$5:$Q$1204,"Yes"),2))</f>
        <v>0</v>
      </c>
      <c r="AF1076" s="26">
        <f>IF(B1076="","",IF(AD1076="No",0,ROUND(SUMIFS(Payments!$G$5:$G$1204,Payments!$I$5:$I$1204,C1076,Payments!$H$5:$H$1204,"",Payments!$Q$5:$Q$1204,"Yes"),2)))</f>
        <v>0</v>
      </c>
      <c r="AG1076" s="26">
        <f>IF(B1076="","",ROUND(AE1076+AF1076,2))</f>
        <v>0</v>
      </c>
      <c r="AH1076" s="26">
        <f>IF(B1076="","",ROUND(AA1076-AG1076,2))</f>
        <v>0</v>
      </c>
      <c r="AI1076" s="39">
        <f>IF(B1076="","",IF(AA1076&lt;=0,"No charge",IF(AH1076&lt;=0.004,"Paid",IF(AG1076&lt;=0.004,"Unpaid","Part paid"))))</f>
        <v>0</v>
      </c>
      <c r="AJ1076" s="38">
        <f>IF(B1076="","",IF(H1076&lt;&gt;"Service","",IF(D1076="","No",IF(COUNTIFS($D$5:$D$1204,D1076,$B$5:$B$1204,B1076,$H$5:$H$1204,"Retail")&gt;0,"Yes","No"))))</f>
        <v>0</v>
      </c>
      <c r="AK1076" s="25">
        <f>IF(B1076="","",COUNTIFS($Y$5:$Y$1204,"&gt;"&amp;Y1076)+COUNTIFS($Y$5:Y1076,Y1076))</f>
        <v>0</v>
      </c>
      <c r="AL1076" s="39">
        <f>IF(B1076="","",IF(H1076="","Add - what kind of sale is this?",IF(IF(V1076&lt;=0,P1076="",FALSE),"Check - no price found for this item",IF(F1076="","Assign - nobody credited",IF(AH1076&gt;0.004,"Unpaid - balance outstanding",IF(AC1076&lt;0,"Loss - sold below cost",IF(X1076&gt;W1076*0.5,"Check - more than half off","OK")))))))</f>
        <v>0</v>
      </c>
    </row>
    <row r="1077" spans="1:38">
      <c r="A1077" s="28">
        <f>IF(B1077="","",SalePrefix&amp;TEXT(ROW()-4,"0000"))</f>
        <v>0</v>
      </c>
      <c r="E1077" s="15">
        <f>IF(D1077="","",IFERROR(INDEX(Clients!$B$5:$B$504,MATCH(D1077,Clients!$A$5:$A$504,0)),"Walk-in"))</f>
        <v>0</v>
      </c>
      <c r="G1077" s="15">
        <f>IF(F1077="","",IFERROR(INDEX(Staff!$B$5:$B$44,MATCH(F1077,Staff!$A$5:$A$44,0)),"House"))</f>
        <v>0</v>
      </c>
      <c r="R1077" s="15">
        <f>IF(B1077="","",TEXT(B1077,"yyyy-mm"))</f>
        <v>0</v>
      </c>
      <c r="S1077" s="25">
        <f>IF(B1077="","",WEEKNUM(B1077,2))</f>
        <v>0</v>
      </c>
      <c r="T1077" s="37">
        <f>IF(B1077="","",IF(K1077="",1,K1077))</f>
        <v>0</v>
      </c>
      <c r="U1077" s="15">
        <f>IF(B1077="","",IF(J1077&lt;&gt;"",J1077,IF(H1077="Retail",IFERROR(INDEX(Inventory!$B$5:$B$304,MATCH(I1077,Inventory!$A$5:$A$304,0))&amp;"","Not in Inventory"),IFERROR(INDEX(Services!$B$5:$B$204,MATCH(I1077,Services!$A$5:$A$204,0))&amp;"","Not in Services"))))</f>
        <v>0</v>
      </c>
      <c r="V1077" s="26">
        <f>IF(B1077="","",IF(L1077&lt;&gt;"",L1077,IF(H1077="Retail",IFERROR(INDEX(Inventory!$I$5:$I$304,MATCH(I1077,Inventory!$A$5:$A$304,0))*1,0),IFERROR(INDEX(Services!$G$5:$G$204,MATCH(I1077,Services!$A$5:$A$204,0))*1,0))))</f>
        <v>0</v>
      </c>
      <c r="W1077" s="26">
        <f>IF(B1077="","",ROUND(T1077*V1077,2))</f>
        <v>0</v>
      </c>
      <c r="X1077" s="26">
        <f>IF(B1077="","",ROUND(IF(M1077="",0,W1077*M1077)+IF(N1077="",0,N1077),2))</f>
        <v>0</v>
      </c>
      <c r="Y1077" s="26">
        <f>IF(B1077="","",ROUND(W1077-X1077-IF(P1077="",0,P1077),2))</f>
        <v>0</v>
      </c>
      <c r="Z1077" s="26">
        <f>IF(B1077="","",IF(H1077="Retail",IF(TaxOnRetail="Yes",ROUND(Y1077*TaxRate,2),0),IF(H1077="Service",IF(TaxOnServices="Yes",ROUND(Y1077*TaxRate,2),0),0)))</f>
        <v>0</v>
      </c>
      <c r="AA1077" s="26">
        <f>IF(B1077="","",ROUND(Y1077+Z1077,2))</f>
        <v>0</v>
      </c>
      <c r="AB1077" s="26">
        <f>IF(B1077="","",ROUND(T1077*IF(H1077="Retail",IFERROR(INDEX(Inventory!$H$5:$H$304,MATCH(I1077,Inventory!$A$5:$A$304,0))*1,0),IFERROR(INDEX(Services!$Q$5:$Q$204,MATCH(I1077,Services!$A$5:$A$204,0))*1,0)),2))</f>
        <v>0</v>
      </c>
      <c r="AC1077" s="26">
        <f>IF(B1077="","",ROUND(Y1077-AB1077,2))</f>
        <v>0</v>
      </c>
      <c r="AD1077" s="38">
        <f>IF(B1077="","",IF(C1077="","No",IF(COUNTIFS($C$5:C1077,C1077)=1,"Yes","No")))</f>
        <v>0</v>
      </c>
      <c r="AE1077" s="26">
        <f>IF(B1077="","",ROUND(SUMIFS(Payments!$G$5:$G$1204,Payments!$H$5:$H$1204,A1077,Payments!$Q$5:$Q$1204,"Yes"),2))</f>
        <v>0</v>
      </c>
      <c r="AF1077" s="26">
        <f>IF(B1077="","",IF(AD1077="No",0,ROUND(SUMIFS(Payments!$G$5:$G$1204,Payments!$I$5:$I$1204,C1077,Payments!$H$5:$H$1204,"",Payments!$Q$5:$Q$1204,"Yes"),2)))</f>
        <v>0</v>
      </c>
      <c r="AG1077" s="26">
        <f>IF(B1077="","",ROUND(AE1077+AF1077,2))</f>
        <v>0</v>
      </c>
      <c r="AH1077" s="26">
        <f>IF(B1077="","",ROUND(AA1077-AG1077,2))</f>
        <v>0</v>
      </c>
      <c r="AI1077" s="39">
        <f>IF(B1077="","",IF(AA1077&lt;=0,"No charge",IF(AH1077&lt;=0.004,"Paid",IF(AG1077&lt;=0.004,"Unpaid","Part paid"))))</f>
        <v>0</v>
      </c>
      <c r="AJ1077" s="38">
        <f>IF(B1077="","",IF(H1077&lt;&gt;"Service","",IF(D1077="","No",IF(COUNTIFS($D$5:$D$1204,D1077,$B$5:$B$1204,B1077,$H$5:$H$1204,"Retail")&gt;0,"Yes","No"))))</f>
        <v>0</v>
      </c>
      <c r="AK1077" s="25">
        <f>IF(B1077="","",COUNTIFS($Y$5:$Y$1204,"&gt;"&amp;Y1077)+COUNTIFS($Y$5:Y1077,Y1077))</f>
        <v>0</v>
      </c>
      <c r="AL1077" s="39">
        <f>IF(B1077="","",IF(H1077="","Add - what kind of sale is this?",IF(IF(V1077&lt;=0,P1077="",FALSE),"Check - no price found for this item",IF(F1077="","Assign - nobody credited",IF(AH1077&gt;0.004,"Unpaid - balance outstanding",IF(AC1077&lt;0,"Loss - sold below cost",IF(X1077&gt;W1077*0.5,"Check - more than half off","OK")))))))</f>
        <v>0</v>
      </c>
    </row>
    <row r="1078" spans="1:38">
      <c r="A1078" s="28">
        <f>IF(B1078="","",SalePrefix&amp;TEXT(ROW()-4,"0000"))</f>
        <v>0</v>
      </c>
      <c r="E1078" s="15">
        <f>IF(D1078="","",IFERROR(INDEX(Clients!$B$5:$B$504,MATCH(D1078,Clients!$A$5:$A$504,0)),"Walk-in"))</f>
        <v>0</v>
      </c>
      <c r="G1078" s="15">
        <f>IF(F1078="","",IFERROR(INDEX(Staff!$B$5:$B$44,MATCH(F1078,Staff!$A$5:$A$44,0)),"House"))</f>
        <v>0</v>
      </c>
      <c r="R1078" s="15">
        <f>IF(B1078="","",TEXT(B1078,"yyyy-mm"))</f>
        <v>0</v>
      </c>
      <c r="S1078" s="25">
        <f>IF(B1078="","",WEEKNUM(B1078,2))</f>
        <v>0</v>
      </c>
      <c r="T1078" s="37">
        <f>IF(B1078="","",IF(K1078="",1,K1078))</f>
        <v>0</v>
      </c>
      <c r="U1078" s="15">
        <f>IF(B1078="","",IF(J1078&lt;&gt;"",J1078,IF(H1078="Retail",IFERROR(INDEX(Inventory!$B$5:$B$304,MATCH(I1078,Inventory!$A$5:$A$304,0))&amp;"","Not in Inventory"),IFERROR(INDEX(Services!$B$5:$B$204,MATCH(I1078,Services!$A$5:$A$204,0))&amp;"","Not in Services"))))</f>
        <v>0</v>
      </c>
      <c r="V1078" s="26">
        <f>IF(B1078="","",IF(L1078&lt;&gt;"",L1078,IF(H1078="Retail",IFERROR(INDEX(Inventory!$I$5:$I$304,MATCH(I1078,Inventory!$A$5:$A$304,0))*1,0),IFERROR(INDEX(Services!$G$5:$G$204,MATCH(I1078,Services!$A$5:$A$204,0))*1,0))))</f>
        <v>0</v>
      </c>
      <c r="W1078" s="26">
        <f>IF(B1078="","",ROUND(T1078*V1078,2))</f>
        <v>0</v>
      </c>
      <c r="X1078" s="26">
        <f>IF(B1078="","",ROUND(IF(M1078="",0,W1078*M1078)+IF(N1078="",0,N1078),2))</f>
        <v>0</v>
      </c>
      <c r="Y1078" s="26">
        <f>IF(B1078="","",ROUND(W1078-X1078-IF(P1078="",0,P1078),2))</f>
        <v>0</v>
      </c>
      <c r="Z1078" s="26">
        <f>IF(B1078="","",IF(H1078="Retail",IF(TaxOnRetail="Yes",ROUND(Y1078*TaxRate,2),0),IF(H1078="Service",IF(TaxOnServices="Yes",ROUND(Y1078*TaxRate,2),0),0)))</f>
        <v>0</v>
      </c>
      <c r="AA1078" s="26">
        <f>IF(B1078="","",ROUND(Y1078+Z1078,2))</f>
        <v>0</v>
      </c>
      <c r="AB1078" s="26">
        <f>IF(B1078="","",ROUND(T1078*IF(H1078="Retail",IFERROR(INDEX(Inventory!$H$5:$H$304,MATCH(I1078,Inventory!$A$5:$A$304,0))*1,0),IFERROR(INDEX(Services!$Q$5:$Q$204,MATCH(I1078,Services!$A$5:$A$204,0))*1,0)),2))</f>
        <v>0</v>
      </c>
      <c r="AC1078" s="26">
        <f>IF(B1078="","",ROUND(Y1078-AB1078,2))</f>
        <v>0</v>
      </c>
      <c r="AD1078" s="38">
        <f>IF(B1078="","",IF(C1078="","No",IF(COUNTIFS($C$5:C1078,C1078)=1,"Yes","No")))</f>
        <v>0</v>
      </c>
      <c r="AE1078" s="26">
        <f>IF(B1078="","",ROUND(SUMIFS(Payments!$G$5:$G$1204,Payments!$H$5:$H$1204,A1078,Payments!$Q$5:$Q$1204,"Yes"),2))</f>
        <v>0</v>
      </c>
      <c r="AF1078" s="26">
        <f>IF(B1078="","",IF(AD1078="No",0,ROUND(SUMIFS(Payments!$G$5:$G$1204,Payments!$I$5:$I$1204,C1078,Payments!$H$5:$H$1204,"",Payments!$Q$5:$Q$1204,"Yes"),2)))</f>
        <v>0</v>
      </c>
      <c r="AG1078" s="26">
        <f>IF(B1078="","",ROUND(AE1078+AF1078,2))</f>
        <v>0</v>
      </c>
      <c r="AH1078" s="26">
        <f>IF(B1078="","",ROUND(AA1078-AG1078,2))</f>
        <v>0</v>
      </c>
      <c r="AI1078" s="39">
        <f>IF(B1078="","",IF(AA1078&lt;=0,"No charge",IF(AH1078&lt;=0.004,"Paid",IF(AG1078&lt;=0.004,"Unpaid","Part paid"))))</f>
        <v>0</v>
      </c>
      <c r="AJ1078" s="38">
        <f>IF(B1078="","",IF(H1078&lt;&gt;"Service","",IF(D1078="","No",IF(COUNTIFS($D$5:$D$1204,D1078,$B$5:$B$1204,B1078,$H$5:$H$1204,"Retail")&gt;0,"Yes","No"))))</f>
        <v>0</v>
      </c>
      <c r="AK1078" s="25">
        <f>IF(B1078="","",COUNTIFS($Y$5:$Y$1204,"&gt;"&amp;Y1078)+COUNTIFS($Y$5:Y1078,Y1078))</f>
        <v>0</v>
      </c>
      <c r="AL1078" s="39">
        <f>IF(B1078="","",IF(H1078="","Add - what kind of sale is this?",IF(IF(V1078&lt;=0,P1078="",FALSE),"Check - no price found for this item",IF(F1078="","Assign - nobody credited",IF(AH1078&gt;0.004,"Unpaid - balance outstanding",IF(AC1078&lt;0,"Loss - sold below cost",IF(X1078&gt;W1078*0.5,"Check - more than half off","OK")))))))</f>
        <v>0</v>
      </c>
    </row>
    <row r="1079" spans="1:38">
      <c r="A1079" s="28">
        <f>IF(B1079="","",SalePrefix&amp;TEXT(ROW()-4,"0000"))</f>
        <v>0</v>
      </c>
      <c r="E1079" s="15">
        <f>IF(D1079="","",IFERROR(INDEX(Clients!$B$5:$B$504,MATCH(D1079,Clients!$A$5:$A$504,0)),"Walk-in"))</f>
        <v>0</v>
      </c>
      <c r="G1079" s="15">
        <f>IF(F1079="","",IFERROR(INDEX(Staff!$B$5:$B$44,MATCH(F1079,Staff!$A$5:$A$44,0)),"House"))</f>
        <v>0</v>
      </c>
      <c r="R1079" s="15">
        <f>IF(B1079="","",TEXT(B1079,"yyyy-mm"))</f>
        <v>0</v>
      </c>
      <c r="S1079" s="25">
        <f>IF(B1079="","",WEEKNUM(B1079,2))</f>
        <v>0</v>
      </c>
      <c r="T1079" s="37">
        <f>IF(B1079="","",IF(K1079="",1,K1079))</f>
        <v>0</v>
      </c>
      <c r="U1079" s="15">
        <f>IF(B1079="","",IF(J1079&lt;&gt;"",J1079,IF(H1079="Retail",IFERROR(INDEX(Inventory!$B$5:$B$304,MATCH(I1079,Inventory!$A$5:$A$304,0))&amp;"","Not in Inventory"),IFERROR(INDEX(Services!$B$5:$B$204,MATCH(I1079,Services!$A$5:$A$204,0))&amp;"","Not in Services"))))</f>
        <v>0</v>
      </c>
      <c r="V1079" s="26">
        <f>IF(B1079="","",IF(L1079&lt;&gt;"",L1079,IF(H1079="Retail",IFERROR(INDEX(Inventory!$I$5:$I$304,MATCH(I1079,Inventory!$A$5:$A$304,0))*1,0),IFERROR(INDEX(Services!$G$5:$G$204,MATCH(I1079,Services!$A$5:$A$204,0))*1,0))))</f>
        <v>0</v>
      </c>
      <c r="W1079" s="26">
        <f>IF(B1079="","",ROUND(T1079*V1079,2))</f>
        <v>0</v>
      </c>
      <c r="X1079" s="26">
        <f>IF(B1079="","",ROUND(IF(M1079="",0,W1079*M1079)+IF(N1079="",0,N1079),2))</f>
        <v>0</v>
      </c>
      <c r="Y1079" s="26">
        <f>IF(B1079="","",ROUND(W1079-X1079-IF(P1079="",0,P1079),2))</f>
        <v>0</v>
      </c>
      <c r="Z1079" s="26">
        <f>IF(B1079="","",IF(H1079="Retail",IF(TaxOnRetail="Yes",ROUND(Y1079*TaxRate,2),0),IF(H1079="Service",IF(TaxOnServices="Yes",ROUND(Y1079*TaxRate,2),0),0)))</f>
        <v>0</v>
      </c>
      <c r="AA1079" s="26">
        <f>IF(B1079="","",ROUND(Y1079+Z1079,2))</f>
        <v>0</v>
      </c>
      <c r="AB1079" s="26">
        <f>IF(B1079="","",ROUND(T1079*IF(H1079="Retail",IFERROR(INDEX(Inventory!$H$5:$H$304,MATCH(I1079,Inventory!$A$5:$A$304,0))*1,0),IFERROR(INDEX(Services!$Q$5:$Q$204,MATCH(I1079,Services!$A$5:$A$204,0))*1,0)),2))</f>
        <v>0</v>
      </c>
      <c r="AC1079" s="26">
        <f>IF(B1079="","",ROUND(Y1079-AB1079,2))</f>
        <v>0</v>
      </c>
      <c r="AD1079" s="38">
        <f>IF(B1079="","",IF(C1079="","No",IF(COUNTIFS($C$5:C1079,C1079)=1,"Yes","No")))</f>
        <v>0</v>
      </c>
      <c r="AE1079" s="26">
        <f>IF(B1079="","",ROUND(SUMIFS(Payments!$G$5:$G$1204,Payments!$H$5:$H$1204,A1079,Payments!$Q$5:$Q$1204,"Yes"),2))</f>
        <v>0</v>
      </c>
      <c r="AF1079" s="26">
        <f>IF(B1079="","",IF(AD1079="No",0,ROUND(SUMIFS(Payments!$G$5:$G$1204,Payments!$I$5:$I$1204,C1079,Payments!$H$5:$H$1204,"",Payments!$Q$5:$Q$1204,"Yes"),2)))</f>
        <v>0</v>
      </c>
      <c r="AG1079" s="26">
        <f>IF(B1079="","",ROUND(AE1079+AF1079,2))</f>
        <v>0</v>
      </c>
      <c r="AH1079" s="26">
        <f>IF(B1079="","",ROUND(AA1079-AG1079,2))</f>
        <v>0</v>
      </c>
      <c r="AI1079" s="39">
        <f>IF(B1079="","",IF(AA1079&lt;=0,"No charge",IF(AH1079&lt;=0.004,"Paid",IF(AG1079&lt;=0.004,"Unpaid","Part paid"))))</f>
        <v>0</v>
      </c>
      <c r="AJ1079" s="38">
        <f>IF(B1079="","",IF(H1079&lt;&gt;"Service","",IF(D1079="","No",IF(COUNTIFS($D$5:$D$1204,D1079,$B$5:$B$1204,B1079,$H$5:$H$1204,"Retail")&gt;0,"Yes","No"))))</f>
        <v>0</v>
      </c>
      <c r="AK1079" s="25">
        <f>IF(B1079="","",COUNTIFS($Y$5:$Y$1204,"&gt;"&amp;Y1079)+COUNTIFS($Y$5:Y1079,Y1079))</f>
        <v>0</v>
      </c>
      <c r="AL1079" s="39">
        <f>IF(B1079="","",IF(H1079="","Add - what kind of sale is this?",IF(IF(V1079&lt;=0,P1079="",FALSE),"Check - no price found for this item",IF(F1079="","Assign - nobody credited",IF(AH1079&gt;0.004,"Unpaid - balance outstanding",IF(AC1079&lt;0,"Loss - sold below cost",IF(X1079&gt;W1079*0.5,"Check - more than half off","OK")))))))</f>
        <v>0</v>
      </c>
    </row>
    <row r="1080" spans="1:38">
      <c r="A1080" s="28">
        <f>IF(B1080="","",SalePrefix&amp;TEXT(ROW()-4,"0000"))</f>
        <v>0</v>
      </c>
      <c r="E1080" s="15">
        <f>IF(D1080="","",IFERROR(INDEX(Clients!$B$5:$B$504,MATCH(D1080,Clients!$A$5:$A$504,0)),"Walk-in"))</f>
        <v>0</v>
      </c>
      <c r="G1080" s="15">
        <f>IF(F1080="","",IFERROR(INDEX(Staff!$B$5:$B$44,MATCH(F1080,Staff!$A$5:$A$44,0)),"House"))</f>
        <v>0</v>
      </c>
      <c r="R1080" s="15">
        <f>IF(B1080="","",TEXT(B1080,"yyyy-mm"))</f>
        <v>0</v>
      </c>
      <c r="S1080" s="25">
        <f>IF(B1080="","",WEEKNUM(B1080,2))</f>
        <v>0</v>
      </c>
      <c r="T1080" s="37">
        <f>IF(B1080="","",IF(K1080="",1,K1080))</f>
        <v>0</v>
      </c>
      <c r="U1080" s="15">
        <f>IF(B1080="","",IF(J1080&lt;&gt;"",J1080,IF(H1080="Retail",IFERROR(INDEX(Inventory!$B$5:$B$304,MATCH(I1080,Inventory!$A$5:$A$304,0))&amp;"","Not in Inventory"),IFERROR(INDEX(Services!$B$5:$B$204,MATCH(I1080,Services!$A$5:$A$204,0))&amp;"","Not in Services"))))</f>
        <v>0</v>
      </c>
      <c r="V1080" s="26">
        <f>IF(B1080="","",IF(L1080&lt;&gt;"",L1080,IF(H1080="Retail",IFERROR(INDEX(Inventory!$I$5:$I$304,MATCH(I1080,Inventory!$A$5:$A$304,0))*1,0),IFERROR(INDEX(Services!$G$5:$G$204,MATCH(I1080,Services!$A$5:$A$204,0))*1,0))))</f>
        <v>0</v>
      </c>
      <c r="W1080" s="26">
        <f>IF(B1080="","",ROUND(T1080*V1080,2))</f>
        <v>0</v>
      </c>
      <c r="X1080" s="26">
        <f>IF(B1080="","",ROUND(IF(M1080="",0,W1080*M1080)+IF(N1080="",0,N1080),2))</f>
        <v>0</v>
      </c>
      <c r="Y1080" s="26">
        <f>IF(B1080="","",ROUND(W1080-X1080-IF(P1080="",0,P1080),2))</f>
        <v>0</v>
      </c>
      <c r="Z1080" s="26">
        <f>IF(B1080="","",IF(H1080="Retail",IF(TaxOnRetail="Yes",ROUND(Y1080*TaxRate,2),0),IF(H1080="Service",IF(TaxOnServices="Yes",ROUND(Y1080*TaxRate,2),0),0)))</f>
        <v>0</v>
      </c>
      <c r="AA1080" s="26">
        <f>IF(B1080="","",ROUND(Y1080+Z1080,2))</f>
        <v>0</v>
      </c>
      <c r="AB1080" s="26">
        <f>IF(B1080="","",ROUND(T1080*IF(H1080="Retail",IFERROR(INDEX(Inventory!$H$5:$H$304,MATCH(I1080,Inventory!$A$5:$A$304,0))*1,0),IFERROR(INDEX(Services!$Q$5:$Q$204,MATCH(I1080,Services!$A$5:$A$204,0))*1,0)),2))</f>
        <v>0</v>
      </c>
      <c r="AC1080" s="26">
        <f>IF(B1080="","",ROUND(Y1080-AB1080,2))</f>
        <v>0</v>
      </c>
      <c r="AD1080" s="38">
        <f>IF(B1080="","",IF(C1080="","No",IF(COUNTIFS($C$5:C1080,C1080)=1,"Yes","No")))</f>
        <v>0</v>
      </c>
      <c r="AE1080" s="26">
        <f>IF(B1080="","",ROUND(SUMIFS(Payments!$G$5:$G$1204,Payments!$H$5:$H$1204,A1080,Payments!$Q$5:$Q$1204,"Yes"),2))</f>
        <v>0</v>
      </c>
      <c r="AF1080" s="26">
        <f>IF(B1080="","",IF(AD1080="No",0,ROUND(SUMIFS(Payments!$G$5:$G$1204,Payments!$I$5:$I$1204,C1080,Payments!$H$5:$H$1204,"",Payments!$Q$5:$Q$1204,"Yes"),2)))</f>
        <v>0</v>
      </c>
      <c r="AG1080" s="26">
        <f>IF(B1080="","",ROUND(AE1080+AF1080,2))</f>
        <v>0</v>
      </c>
      <c r="AH1080" s="26">
        <f>IF(B1080="","",ROUND(AA1080-AG1080,2))</f>
        <v>0</v>
      </c>
      <c r="AI1080" s="39">
        <f>IF(B1080="","",IF(AA1080&lt;=0,"No charge",IF(AH1080&lt;=0.004,"Paid",IF(AG1080&lt;=0.004,"Unpaid","Part paid"))))</f>
        <v>0</v>
      </c>
      <c r="AJ1080" s="38">
        <f>IF(B1080="","",IF(H1080&lt;&gt;"Service","",IF(D1080="","No",IF(COUNTIFS($D$5:$D$1204,D1080,$B$5:$B$1204,B1080,$H$5:$H$1204,"Retail")&gt;0,"Yes","No"))))</f>
        <v>0</v>
      </c>
      <c r="AK1080" s="25">
        <f>IF(B1080="","",COUNTIFS($Y$5:$Y$1204,"&gt;"&amp;Y1080)+COUNTIFS($Y$5:Y1080,Y1080))</f>
        <v>0</v>
      </c>
      <c r="AL1080" s="39">
        <f>IF(B1080="","",IF(H1080="","Add - what kind of sale is this?",IF(IF(V1080&lt;=0,P1080="",FALSE),"Check - no price found for this item",IF(F1080="","Assign - nobody credited",IF(AH1080&gt;0.004,"Unpaid - balance outstanding",IF(AC1080&lt;0,"Loss - sold below cost",IF(X1080&gt;W1080*0.5,"Check - more than half off","OK")))))))</f>
        <v>0</v>
      </c>
    </row>
    <row r="1081" spans="1:38">
      <c r="A1081" s="28">
        <f>IF(B1081="","",SalePrefix&amp;TEXT(ROW()-4,"0000"))</f>
        <v>0</v>
      </c>
      <c r="E1081" s="15">
        <f>IF(D1081="","",IFERROR(INDEX(Clients!$B$5:$B$504,MATCH(D1081,Clients!$A$5:$A$504,0)),"Walk-in"))</f>
        <v>0</v>
      </c>
      <c r="G1081" s="15">
        <f>IF(F1081="","",IFERROR(INDEX(Staff!$B$5:$B$44,MATCH(F1081,Staff!$A$5:$A$44,0)),"House"))</f>
        <v>0</v>
      </c>
      <c r="R1081" s="15">
        <f>IF(B1081="","",TEXT(B1081,"yyyy-mm"))</f>
        <v>0</v>
      </c>
      <c r="S1081" s="25">
        <f>IF(B1081="","",WEEKNUM(B1081,2))</f>
        <v>0</v>
      </c>
      <c r="T1081" s="37">
        <f>IF(B1081="","",IF(K1081="",1,K1081))</f>
        <v>0</v>
      </c>
      <c r="U1081" s="15">
        <f>IF(B1081="","",IF(J1081&lt;&gt;"",J1081,IF(H1081="Retail",IFERROR(INDEX(Inventory!$B$5:$B$304,MATCH(I1081,Inventory!$A$5:$A$304,0))&amp;"","Not in Inventory"),IFERROR(INDEX(Services!$B$5:$B$204,MATCH(I1081,Services!$A$5:$A$204,0))&amp;"","Not in Services"))))</f>
        <v>0</v>
      </c>
      <c r="V1081" s="26">
        <f>IF(B1081="","",IF(L1081&lt;&gt;"",L1081,IF(H1081="Retail",IFERROR(INDEX(Inventory!$I$5:$I$304,MATCH(I1081,Inventory!$A$5:$A$304,0))*1,0),IFERROR(INDEX(Services!$G$5:$G$204,MATCH(I1081,Services!$A$5:$A$204,0))*1,0))))</f>
        <v>0</v>
      </c>
      <c r="W1081" s="26">
        <f>IF(B1081="","",ROUND(T1081*V1081,2))</f>
        <v>0</v>
      </c>
      <c r="X1081" s="26">
        <f>IF(B1081="","",ROUND(IF(M1081="",0,W1081*M1081)+IF(N1081="",0,N1081),2))</f>
        <v>0</v>
      </c>
      <c r="Y1081" s="26">
        <f>IF(B1081="","",ROUND(W1081-X1081-IF(P1081="",0,P1081),2))</f>
        <v>0</v>
      </c>
      <c r="Z1081" s="26">
        <f>IF(B1081="","",IF(H1081="Retail",IF(TaxOnRetail="Yes",ROUND(Y1081*TaxRate,2),0),IF(H1081="Service",IF(TaxOnServices="Yes",ROUND(Y1081*TaxRate,2),0),0)))</f>
        <v>0</v>
      </c>
      <c r="AA1081" s="26">
        <f>IF(B1081="","",ROUND(Y1081+Z1081,2))</f>
        <v>0</v>
      </c>
      <c r="AB1081" s="26">
        <f>IF(B1081="","",ROUND(T1081*IF(H1081="Retail",IFERROR(INDEX(Inventory!$H$5:$H$304,MATCH(I1081,Inventory!$A$5:$A$304,0))*1,0),IFERROR(INDEX(Services!$Q$5:$Q$204,MATCH(I1081,Services!$A$5:$A$204,0))*1,0)),2))</f>
        <v>0</v>
      </c>
      <c r="AC1081" s="26">
        <f>IF(B1081="","",ROUND(Y1081-AB1081,2))</f>
        <v>0</v>
      </c>
      <c r="AD1081" s="38">
        <f>IF(B1081="","",IF(C1081="","No",IF(COUNTIFS($C$5:C1081,C1081)=1,"Yes","No")))</f>
        <v>0</v>
      </c>
      <c r="AE1081" s="26">
        <f>IF(B1081="","",ROUND(SUMIFS(Payments!$G$5:$G$1204,Payments!$H$5:$H$1204,A1081,Payments!$Q$5:$Q$1204,"Yes"),2))</f>
        <v>0</v>
      </c>
      <c r="AF1081" s="26">
        <f>IF(B1081="","",IF(AD1081="No",0,ROUND(SUMIFS(Payments!$G$5:$G$1204,Payments!$I$5:$I$1204,C1081,Payments!$H$5:$H$1204,"",Payments!$Q$5:$Q$1204,"Yes"),2)))</f>
        <v>0</v>
      </c>
      <c r="AG1081" s="26">
        <f>IF(B1081="","",ROUND(AE1081+AF1081,2))</f>
        <v>0</v>
      </c>
      <c r="AH1081" s="26">
        <f>IF(B1081="","",ROUND(AA1081-AG1081,2))</f>
        <v>0</v>
      </c>
      <c r="AI1081" s="39">
        <f>IF(B1081="","",IF(AA1081&lt;=0,"No charge",IF(AH1081&lt;=0.004,"Paid",IF(AG1081&lt;=0.004,"Unpaid","Part paid"))))</f>
        <v>0</v>
      </c>
      <c r="AJ1081" s="38">
        <f>IF(B1081="","",IF(H1081&lt;&gt;"Service","",IF(D1081="","No",IF(COUNTIFS($D$5:$D$1204,D1081,$B$5:$B$1204,B1081,$H$5:$H$1204,"Retail")&gt;0,"Yes","No"))))</f>
        <v>0</v>
      </c>
      <c r="AK1081" s="25">
        <f>IF(B1081="","",COUNTIFS($Y$5:$Y$1204,"&gt;"&amp;Y1081)+COUNTIFS($Y$5:Y1081,Y1081))</f>
        <v>0</v>
      </c>
      <c r="AL1081" s="39">
        <f>IF(B1081="","",IF(H1081="","Add - what kind of sale is this?",IF(IF(V1081&lt;=0,P1081="",FALSE),"Check - no price found for this item",IF(F1081="","Assign - nobody credited",IF(AH1081&gt;0.004,"Unpaid - balance outstanding",IF(AC1081&lt;0,"Loss - sold below cost",IF(X1081&gt;W1081*0.5,"Check - more than half off","OK")))))))</f>
        <v>0</v>
      </c>
    </row>
    <row r="1082" spans="1:38">
      <c r="A1082" s="28">
        <f>IF(B1082="","",SalePrefix&amp;TEXT(ROW()-4,"0000"))</f>
        <v>0</v>
      </c>
      <c r="E1082" s="15">
        <f>IF(D1082="","",IFERROR(INDEX(Clients!$B$5:$B$504,MATCH(D1082,Clients!$A$5:$A$504,0)),"Walk-in"))</f>
        <v>0</v>
      </c>
      <c r="G1082" s="15">
        <f>IF(F1082="","",IFERROR(INDEX(Staff!$B$5:$B$44,MATCH(F1082,Staff!$A$5:$A$44,0)),"House"))</f>
        <v>0</v>
      </c>
      <c r="R1082" s="15">
        <f>IF(B1082="","",TEXT(B1082,"yyyy-mm"))</f>
        <v>0</v>
      </c>
      <c r="S1082" s="25">
        <f>IF(B1082="","",WEEKNUM(B1082,2))</f>
        <v>0</v>
      </c>
      <c r="T1082" s="37">
        <f>IF(B1082="","",IF(K1082="",1,K1082))</f>
        <v>0</v>
      </c>
      <c r="U1082" s="15">
        <f>IF(B1082="","",IF(J1082&lt;&gt;"",J1082,IF(H1082="Retail",IFERROR(INDEX(Inventory!$B$5:$B$304,MATCH(I1082,Inventory!$A$5:$A$304,0))&amp;"","Not in Inventory"),IFERROR(INDEX(Services!$B$5:$B$204,MATCH(I1082,Services!$A$5:$A$204,0))&amp;"","Not in Services"))))</f>
        <v>0</v>
      </c>
      <c r="V1082" s="26">
        <f>IF(B1082="","",IF(L1082&lt;&gt;"",L1082,IF(H1082="Retail",IFERROR(INDEX(Inventory!$I$5:$I$304,MATCH(I1082,Inventory!$A$5:$A$304,0))*1,0),IFERROR(INDEX(Services!$G$5:$G$204,MATCH(I1082,Services!$A$5:$A$204,0))*1,0))))</f>
        <v>0</v>
      </c>
      <c r="W1082" s="26">
        <f>IF(B1082="","",ROUND(T1082*V1082,2))</f>
        <v>0</v>
      </c>
      <c r="X1082" s="26">
        <f>IF(B1082="","",ROUND(IF(M1082="",0,W1082*M1082)+IF(N1082="",0,N1082),2))</f>
        <v>0</v>
      </c>
      <c r="Y1082" s="26">
        <f>IF(B1082="","",ROUND(W1082-X1082-IF(P1082="",0,P1082),2))</f>
        <v>0</v>
      </c>
      <c r="Z1082" s="26">
        <f>IF(B1082="","",IF(H1082="Retail",IF(TaxOnRetail="Yes",ROUND(Y1082*TaxRate,2),0),IF(H1082="Service",IF(TaxOnServices="Yes",ROUND(Y1082*TaxRate,2),0),0)))</f>
        <v>0</v>
      </c>
      <c r="AA1082" s="26">
        <f>IF(B1082="","",ROUND(Y1082+Z1082,2))</f>
        <v>0</v>
      </c>
      <c r="AB1082" s="26">
        <f>IF(B1082="","",ROUND(T1082*IF(H1082="Retail",IFERROR(INDEX(Inventory!$H$5:$H$304,MATCH(I1082,Inventory!$A$5:$A$304,0))*1,0),IFERROR(INDEX(Services!$Q$5:$Q$204,MATCH(I1082,Services!$A$5:$A$204,0))*1,0)),2))</f>
        <v>0</v>
      </c>
      <c r="AC1082" s="26">
        <f>IF(B1082="","",ROUND(Y1082-AB1082,2))</f>
        <v>0</v>
      </c>
      <c r="AD1082" s="38">
        <f>IF(B1082="","",IF(C1082="","No",IF(COUNTIFS($C$5:C1082,C1082)=1,"Yes","No")))</f>
        <v>0</v>
      </c>
      <c r="AE1082" s="26">
        <f>IF(B1082="","",ROUND(SUMIFS(Payments!$G$5:$G$1204,Payments!$H$5:$H$1204,A1082,Payments!$Q$5:$Q$1204,"Yes"),2))</f>
        <v>0</v>
      </c>
      <c r="AF1082" s="26">
        <f>IF(B1082="","",IF(AD1082="No",0,ROUND(SUMIFS(Payments!$G$5:$G$1204,Payments!$I$5:$I$1204,C1082,Payments!$H$5:$H$1204,"",Payments!$Q$5:$Q$1204,"Yes"),2)))</f>
        <v>0</v>
      </c>
      <c r="AG1082" s="26">
        <f>IF(B1082="","",ROUND(AE1082+AF1082,2))</f>
        <v>0</v>
      </c>
      <c r="AH1082" s="26">
        <f>IF(B1082="","",ROUND(AA1082-AG1082,2))</f>
        <v>0</v>
      </c>
      <c r="AI1082" s="39">
        <f>IF(B1082="","",IF(AA1082&lt;=0,"No charge",IF(AH1082&lt;=0.004,"Paid",IF(AG1082&lt;=0.004,"Unpaid","Part paid"))))</f>
        <v>0</v>
      </c>
      <c r="AJ1082" s="38">
        <f>IF(B1082="","",IF(H1082&lt;&gt;"Service","",IF(D1082="","No",IF(COUNTIFS($D$5:$D$1204,D1082,$B$5:$B$1204,B1082,$H$5:$H$1204,"Retail")&gt;0,"Yes","No"))))</f>
        <v>0</v>
      </c>
      <c r="AK1082" s="25">
        <f>IF(B1082="","",COUNTIFS($Y$5:$Y$1204,"&gt;"&amp;Y1082)+COUNTIFS($Y$5:Y1082,Y1082))</f>
        <v>0</v>
      </c>
      <c r="AL1082" s="39">
        <f>IF(B1082="","",IF(H1082="","Add - what kind of sale is this?",IF(IF(V1082&lt;=0,P1082="",FALSE),"Check - no price found for this item",IF(F1082="","Assign - nobody credited",IF(AH1082&gt;0.004,"Unpaid - balance outstanding",IF(AC1082&lt;0,"Loss - sold below cost",IF(X1082&gt;W1082*0.5,"Check - more than half off","OK")))))))</f>
        <v>0</v>
      </c>
    </row>
    <row r="1083" spans="1:38">
      <c r="A1083" s="28">
        <f>IF(B1083="","",SalePrefix&amp;TEXT(ROW()-4,"0000"))</f>
        <v>0</v>
      </c>
      <c r="E1083" s="15">
        <f>IF(D1083="","",IFERROR(INDEX(Clients!$B$5:$B$504,MATCH(D1083,Clients!$A$5:$A$504,0)),"Walk-in"))</f>
        <v>0</v>
      </c>
      <c r="G1083" s="15">
        <f>IF(F1083="","",IFERROR(INDEX(Staff!$B$5:$B$44,MATCH(F1083,Staff!$A$5:$A$44,0)),"House"))</f>
        <v>0</v>
      </c>
      <c r="R1083" s="15">
        <f>IF(B1083="","",TEXT(B1083,"yyyy-mm"))</f>
        <v>0</v>
      </c>
      <c r="S1083" s="25">
        <f>IF(B1083="","",WEEKNUM(B1083,2))</f>
        <v>0</v>
      </c>
      <c r="T1083" s="37">
        <f>IF(B1083="","",IF(K1083="",1,K1083))</f>
        <v>0</v>
      </c>
      <c r="U1083" s="15">
        <f>IF(B1083="","",IF(J1083&lt;&gt;"",J1083,IF(H1083="Retail",IFERROR(INDEX(Inventory!$B$5:$B$304,MATCH(I1083,Inventory!$A$5:$A$304,0))&amp;"","Not in Inventory"),IFERROR(INDEX(Services!$B$5:$B$204,MATCH(I1083,Services!$A$5:$A$204,0))&amp;"","Not in Services"))))</f>
        <v>0</v>
      </c>
      <c r="V1083" s="26">
        <f>IF(B1083="","",IF(L1083&lt;&gt;"",L1083,IF(H1083="Retail",IFERROR(INDEX(Inventory!$I$5:$I$304,MATCH(I1083,Inventory!$A$5:$A$304,0))*1,0),IFERROR(INDEX(Services!$G$5:$G$204,MATCH(I1083,Services!$A$5:$A$204,0))*1,0))))</f>
        <v>0</v>
      </c>
      <c r="W1083" s="26">
        <f>IF(B1083="","",ROUND(T1083*V1083,2))</f>
        <v>0</v>
      </c>
      <c r="X1083" s="26">
        <f>IF(B1083="","",ROUND(IF(M1083="",0,W1083*M1083)+IF(N1083="",0,N1083),2))</f>
        <v>0</v>
      </c>
      <c r="Y1083" s="26">
        <f>IF(B1083="","",ROUND(W1083-X1083-IF(P1083="",0,P1083),2))</f>
        <v>0</v>
      </c>
      <c r="Z1083" s="26">
        <f>IF(B1083="","",IF(H1083="Retail",IF(TaxOnRetail="Yes",ROUND(Y1083*TaxRate,2),0),IF(H1083="Service",IF(TaxOnServices="Yes",ROUND(Y1083*TaxRate,2),0),0)))</f>
        <v>0</v>
      </c>
      <c r="AA1083" s="26">
        <f>IF(B1083="","",ROUND(Y1083+Z1083,2))</f>
        <v>0</v>
      </c>
      <c r="AB1083" s="26">
        <f>IF(B1083="","",ROUND(T1083*IF(H1083="Retail",IFERROR(INDEX(Inventory!$H$5:$H$304,MATCH(I1083,Inventory!$A$5:$A$304,0))*1,0),IFERROR(INDEX(Services!$Q$5:$Q$204,MATCH(I1083,Services!$A$5:$A$204,0))*1,0)),2))</f>
        <v>0</v>
      </c>
      <c r="AC1083" s="26">
        <f>IF(B1083="","",ROUND(Y1083-AB1083,2))</f>
        <v>0</v>
      </c>
      <c r="AD1083" s="38">
        <f>IF(B1083="","",IF(C1083="","No",IF(COUNTIFS($C$5:C1083,C1083)=1,"Yes","No")))</f>
        <v>0</v>
      </c>
      <c r="AE1083" s="26">
        <f>IF(B1083="","",ROUND(SUMIFS(Payments!$G$5:$G$1204,Payments!$H$5:$H$1204,A1083,Payments!$Q$5:$Q$1204,"Yes"),2))</f>
        <v>0</v>
      </c>
      <c r="AF1083" s="26">
        <f>IF(B1083="","",IF(AD1083="No",0,ROUND(SUMIFS(Payments!$G$5:$G$1204,Payments!$I$5:$I$1204,C1083,Payments!$H$5:$H$1204,"",Payments!$Q$5:$Q$1204,"Yes"),2)))</f>
        <v>0</v>
      </c>
      <c r="AG1083" s="26">
        <f>IF(B1083="","",ROUND(AE1083+AF1083,2))</f>
        <v>0</v>
      </c>
      <c r="AH1083" s="26">
        <f>IF(B1083="","",ROUND(AA1083-AG1083,2))</f>
        <v>0</v>
      </c>
      <c r="AI1083" s="39">
        <f>IF(B1083="","",IF(AA1083&lt;=0,"No charge",IF(AH1083&lt;=0.004,"Paid",IF(AG1083&lt;=0.004,"Unpaid","Part paid"))))</f>
        <v>0</v>
      </c>
      <c r="AJ1083" s="38">
        <f>IF(B1083="","",IF(H1083&lt;&gt;"Service","",IF(D1083="","No",IF(COUNTIFS($D$5:$D$1204,D1083,$B$5:$B$1204,B1083,$H$5:$H$1204,"Retail")&gt;0,"Yes","No"))))</f>
        <v>0</v>
      </c>
      <c r="AK1083" s="25">
        <f>IF(B1083="","",COUNTIFS($Y$5:$Y$1204,"&gt;"&amp;Y1083)+COUNTIFS($Y$5:Y1083,Y1083))</f>
        <v>0</v>
      </c>
      <c r="AL1083" s="39">
        <f>IF(B1083="","",IF(H1083="","Add - what kind of sale is this?",IF(IF(V1083&lt;=0,P1083="",FALSE),"Check - no price found for this item",IF(F1083="","Assign - nobody credited",IF(AH1083&gt;0.004,"Unpaid - balance outstanding",IF(AC1083&lt;0,"Loss - sold below cost",IF(X1083&gt;W1083*0.5,"Check - more than half off","OK")))))))</f>
        <v>0</v>
      </c>
    </row>
    <row r="1084" spans="1:38">
      <c r="A1084" s="28">
        <f>IF(B1084="","",SalePrefix&amp;TEXT(ROW()-4,"0000"))</f>
        <v>0</v>
      </c>
      <c r="E1084" s="15">
        <f>IF(D1084="","",IFERROR(INDEX(Clients!$B$5:$B$504,MATCH(D1084,Clients!$A$5:$A$504,0)),"Walk-in"))</f>
        <v>0</v>
      </c>
      <c r="G1084" s="15">
        <f>IF(F1084="","",IFERROR(INDEX(Staff!$B$5:$B$44,MATCH(F1084,Staff!$A$5:$A$44,0)),"House"))</f>
        <v>0</v>
      </c>
      <c r="R1084" s="15">
        <f>IF(B1084="","",TEXT(B1084,"yyyy-mm"))</f>
        <v>0</v>
      </c>
      <c r="S1084" s="25">
        <f>IF(B1084="","",WEEKNUM(B1084,2))</f>
        <v>0</v>
      </c>
      <c r="T1084" s="37">
        <f>IF(B1084="","",IF(K1084="",1,K1084))</f>
        <v>0</v>
      </c>
      <c r="U1084" s="15">
        <f>IF(B1084="","",IF(J1084&lt;&gt;"",J1084,IF(H1084="Retail",IFERROR(INDEX(Inventory!$B$5:$B$304,MATCH(I1084,Inventory!$A$5:$A$304,0))&amp;"","Not in Inventory"),IFERROR(INDEX(Services!$B$5:$B$204,MATCH(I1084,Services!$A$5:$A$204,0))&amp;"","Not in Services"))))</f>
        <v>0</v>
      </c>
      <c r="V1084" s="26">
        <f>IF(B1084="","",IF(L1084&lt;&gt;"",L1084,IF(H1084="Retail",IFERROR(INDEX(Inventory!$I$5:$I$304,MATCH(I1084,Inventory!$A$5:$A$304,0))*1,0),IFERROR(INDEX(Services!$G$5:$G$204,MATCH(I1084,Services!$A$5:$A$204,0))*1,0))))</f>
        <v>0</v>
      </c>
      <c r="W1084" s="26">
        <f>IF(B1084="","",ROUND(T1084*V1084,2))</f>
        <v>0</v>
      </c>
      <c r="X1084" s="26">
        <f>IF(B1084="","",ROUND(IF(M1084="",0,W1084*M1084)+IF(N1084="",0,N1084),2))</f>
        <v>0</v>
      </c>
      <c r="Y1084" s="26">
        <f>IF(B1084="","",ROUND(W1084-X1084-IF(P1084="",0,P1084),2))</f>
        <v>0</v>
      </c>
      <c r="Z1084" s="26">
        <f>IF(B1084="","",IF(H1084="Retail",IF(TaxOnRetail="Yes",ROUND(Y1084*TaxRate,2),0),IF(H1084="Service",IF(TaxOnServices="Yes",ROUND(Y1084*TaxRate,2),0),0)))</f>
        <v>0</v>
      </c>
      <c r="AA1084" s="26">
        <f>IF(B1084="","",ROUND(Y1084+Z1084,2))</f>
        <v>0</v>
      </c>
      <c r="AB1084" s="26">
        <f>IF(B1084="","",ROUND(T1084*IF(H1084="Retail",IFERROR(INDEX(Inventory!$H$5:$H$304,MATCH(I1084,Inventory!$A$5:$A$304,0))*1,0),IFERROR(INDEX(Services!$Q$5:$Q$204,MATCH(I1084,Services!$A$5:$A$204,0))*1,0)),2))</f>
        <v>0</v>
      </c>
      <c r="AC1084" s="26">
        <f>IF(B1084="","",ROUND(Y1084-AB1084,2))</f>
        <v>0</v>
      </c>
      <c r="AD1084" s="38">
        <f>IF(B1084="","",IF(C1084="","No",IF(COUNTIFS($C$5:C1084,C1084)=1,"Yes","No")))</f>
        <v>0</v>
      </c>
      <c r="AE1084" s="26">
        <f>IF(B1084="","",ROUND(SUMIFS(Payments!$G$5:$G$1204,Payments!$H$5:$H$1204,A1084,Payments!$Q$5:$Q$1204,"Yes"),2))</f>
        <v>0</v>
      </c>
      <c r="AF1084" s="26">
        <f>IF(B1084="","",IF(AD1084="No",0,ROUND(SUMIFS(Payments!$G$5:$G$1204,Payments!$I$5:$I$1204,C1084,Payments!$H$5:$H$1204,"",Payments!$Q$5:$Q$1204,"Yes"),2)))</f>
        <v>0</v>
      </c>
      <c r="AG1084" s="26">
        <f>IF(B1084="","",ROUND(AE1084+AF1084,2))</f>
        <v>0</v>
      </c>
      <c r="AH1084" s="26">
        <f>IF(B1084="","",ROUND(AA1084-AG1084,2))</f>
        <v>0</v>
      </c>
      <c r="AI1084" s="39">
        <f>IF(B1084="","",IF(AA1084&lt;=0,"No charge",IF(AH1084&lt;=0.004,"Paid",IF(AG1084&lt;=0.004,"Unpaid","Part paid"))))</f>
        <v>0</v>
      </c>
      <c r="AJ1084" s="38">
        <f>IF(B1084="","",IF(H1084&lt;&gt;"Service","",IF(D1084="","No",IF(COUNTIFS($D$5:$D$1204,D1084,$B$5:$B$1204,B1084,$H$5:$H$1204,"Retail")&gt;0,"Yes","No"))))</f>
        <v>0</v>
      </c>
      <c r="AK1084" s="25">
        <f>IF(B1084="","",COUNTIFS($Y$5:$Y$1204,"&gt;"&amp;Y1084)+COUNTIFS($Y$5:Y1084,Y1084))</f>
        <v>0</v>
      </c>
      <c r="AL1084" s="39">
        <f>IF(B1084="","",IF(H1084="","Add - what kind of sale is this?",IF(IF(V1084&lt;=0,P1084="",FALSE),"Check - no price found for this item",IF(F1084="","Assign - nobody credited",IF(AH1084&gt;0.004,"Unpaid - balance outstanding",IF(AC1084&lt;0,"Loss - sold below cost",IF(X1084&gt;W1084*0.5,"Check - more than half off","OK")))))))</f>
        <v>0</v>
      </c>
    </row>
    <row r="1085" spans="1:38">
      <c r="A1085" s="28">
        <f>IF(B1085="","",SalePrefix&amp;TEXT(ROW()-4,"0000"))</f>
        <v>0</v>
      </c>
      <c r="E1085" s="15">
        <f>IF(D1085="","",IFERROR(INDEX(Clients!$B$5:$B$504,MATCH(D1085,Clients!$A$5:$A$504,0)),"Walk-in"))</f>
        <v>0</v>
      </c>
      <c r="G1085" s="15">
        <f>IF(F1085="","",IFERROR(INDEX(Staff!$B$5:$B$44,MATCH(F1085,Staff!$A$5:$A$44,0)),"House"))</f>
        <v>0</v>
      </c>
      <c r="R1085" s="15">
        <f>IF(B1085="","",TEXT(B1085,"yyyy-mm"))</f>
        <v>0</v>
      </c>
      <c r="S1085" s="25">
        <f>IF(B1085="","",WEEKNUM(B1085,2))</f>
        <v>0</v>
      </c>
      <c r="T1085" s="37">
        <f>IF(B1085="","",IF(K1085="",1,K1085))</f>
        <v>0</v>
      </c>
      <c r="U1085" s="15">
        <f>IF(B1085="","",IF(J1085&lt;&gt;"",J1085,IF(H1085="Retail",IFERROR(INDEX(Inventory!$B$5:$B$304,MATCH(I1085,Inventory!$A$5:$A$304,0))&amp;"","Not in Inventory"),IFERROR(INDEX(Services!$B$5:$B$204,MATCH(I1085,Services!$A$5:$A$204,0))&amp;"","Not in Services"))))</f>
        <v>0</v>
      </c>
      <c r="V1085" s="26">
        <f>IF(B1085="","",IF(L1085&lt;&gt;"",L1085,IF(H1085="Retail",IFERROR(INDEX(Inventory!$I$5:$I$304,MATCH(I1085,Inventory!$A$5:$A$304,0))*1,0),IFERROR(INDEX(Services!$G$5:$G$204,MATCH(I1085,Services!$A$5:$A$204,0))*1,0))))</f>
        <v>0</v>
      </c>
      <c r="W1085" s="26">
        <f>IF(B1085="","",ROUND(T1085*V1085,2))</f>
        <v>0</v>
      </c>
      <c r="X1085" s="26">
        <f>IF(B1085="","",ROUND(IF(M1085="",0,W1085*M1085)+IF(N1085="",0,N1085),2))</f>
        <v>0</v>
      </c>
      <c r="Y1085" s="26">
        <f>IF(B1085="","",ROUND(W1085-X1085-IF(P1085="",0,P1085),2))</f>
        <v>0</v>
      </c>
      <c r="Z1085" s="26">
        <f>IF(B1085="","",IF(H1085="Retail",IF(TaxOnRetail="Yes",ROUND(Y1085*TaxRate,2),0),IF(H1085="Service",IF(TaxOnServices="Yes",ROUND(Y1085*TaxRate,2),0),0)))</f>
        <v>0</v>
      </c>
      <c r="AA1085" s="26">
        <f>IF(B1085="","",ROUND(Y1085+Z1085,2))</f>
        <v>0</v>
      </c>
      <c r="AB1085" s="26">
        <f>IF(B1085="","",ROUND(T1085*IF(H1085="Retail",IFERROR(INDEX(Inventory!$H$5:$H$304,MATCH(I1085,Inventory!$A$5:$A$304,0))*1,0),IFERROR(INDEX(Services!$Q$5:$Q$204,MATCH(I1085,Services!$A$5:$A$204,0))*1,0)),2))</f>
        <v>0</v>
      </c>
      <c r="AC1085" s="26">
        <f>IF(B1085="","",ROUND(Y1085-AB1085,2))</f>
        <v>0</v>
      </c>
      <c r="AD1085" s="38">
        <f>IF(B1085="","",IF(C1085="","No",IF(COUNTIFS($C$5:C1085,C1085)=1,"Yes","No")))</f>
        <v>0</v>
      </c>
      <c r="AE1085" s="26">
        <f>IF(B1085="","",ROUND(SUMIFS(Payments!$G$5:$G$1204,Payments!$H$5:$H$1204,A1085,Payments!$Q$5:$Q$1204,"Yes"),2))</f>
        <v>0</v>
      </c>
      <c r="AF1085" s="26">
        <f>IF(B1085="","",IF(AD1085="No",0,ROUND(SUMIFS(Payments!$G$5:$G$1204,Payments!$I$5:$I$1204,C1085,Payments!$H$5:$H$1204,"",Payments!$Q$5:$Q$1204,"Yes"),2)))</f>
        <v>0</v>
      </c>
      <c r="AG1085" s="26">
        <f>IF(B1085="","",ROUND(AE1085+AF1085,2))</f>
        <v>0</v>
      </c>
      <c r="AH1085" s="26">
        <f>IF(B1085="","",ROUND(AA1085-AG1085,2))</f>
        <v>0</v>
      </c>
      <c r="AI1085" s="39">
        <f>IF(B1085="","",IF(AA1085&lt;=0,"No charge",IF(AH1085&lt;=0.004,"Paid",IF(AG1085&lt;=0.004,"Unpaid","Part paid"))))</f>
        <v>0</v>
      </c>
      <c r="AJ1085" s="38">
        <f>IF(B1085="","",IF(H1085&lt;&gt;"Service","",IF(D1085="","No",IF(COUNTIFS($D$5:$D$1204,D1085,$B$5:$B$1204,B1085,$H$5:$H$1204,"Retail")&gt;0,"Yes","No"))))</f>
        <v>0</v>
      </c>
      <c r="AK1085" s="25">
        <f>IF(B1085="","",COUNTIFS($Y$5:$Y$1204,"&gt;"&amp;Y1085)+COUNTIFS($Y$5:Y1085,Y1085))</f>
        <v>0</v>
      </c>
      <c r="AL1085" s="39">
        <f>IF(B1085="","",IF(H1085="","Add - what kind of sale is this?",IF(IF(V1085&lt;=0,P1085="",FALSE),"Check - no price found for this item",IF(F1085="","Assign - nobody credited",IF(AH1085&gt;0.004,"Unpaid - balance outstanding",IF(AC1085&lt;0,"Loss - sold below cost",IF(X1085&gt;W1085*0.5,"Check - more than half off","OK")))))))</f>
        <v>0</v>
      </c>
    </row>
    <row r="1086" spans="1:38">
      <c r="A1086" s="28">
        <f>IF(B1086="","",SalePrefix&amp;TEXT(ROW()-4,"0000"))</f>
        <v>0</v>
      </c>
      <c r="E1086" s="15">
        <f>IF(D1086="","",IFERROR(INDEX(Clients!$B$5:$B$504,MATCH(D1086,Clients!$A$5:$A$504,0)),"Walk-in"))</f>
        <v>0</v>
      </c>
      <c r="G1086" s="15">
        <f>IF(F1086="","",IFERROR(INDEX(Staff!$B$5:$B$44,MATCH(F1086,Staff!$A$5:$A$44,0)),"House"))</f>
        <v>0</v>
      </c>
      <c r="R1086" s="15">
        <f>IF(B1086="","",TEXT(B1086,"yyyy-mm"))</f>
        <v>0</v>
      </c>
      <c r="S1086" s="25">
        <f>IF(B1086="","",WEEKNUM(B1086,2))</f>
        <v>0</v>
      </c>
      <c r="T1086" s="37">
        <f>IF(B1086="","",IF(K1086="",1,K1086))</f>
        <v>0</v>
      </c>
      <c r="U1086" s="15">
        <f>IF(B1086="","",IF(J1086&lt;&gt;"",J1086,IF(H1086="Retail",IFERROR(INDEX(Inventory!$B$5:$B$304,MATCH(I1086,Inventory!$A$5:$A$304,0))&amp;"","Not in Inventory"),IFERROR(INDEX(Services!$B$5:$B$204,MATCH(I1086,Services!$A$5:$A$204,0))&amp;"","Not in Services"))))</f>
        <v>0</v>
      </c>
      <c r="V1086" s="26">
        <f>IF(B1086="","",IF(L1086&lt;&gt;"",L1086,IF(H1086="Retail",IFERROR(INDEX(Inventory!$I$5:$I$304,MATCH(I1086,Inventory!$A$5:$A$304,0))*1,0),IFERROR(INDEX(Services!$G$5:$G$204,MATCH(I1086,Services!$A$5:$A$204,0))*1,0))))</f>
        <v>0</v>
      </c>
      <c r="W1086" s="26">
        <f>IF(B1086="","",ROUND(T1086*V1086,2))</f>
        <v>0</v>
      </c>
      <c r="X1086" s="26">
        <f>IF(B1086="","",ROUND(IF(M1086="",0,W1086*M1086)+IF(N1086="",0,N1086),2))</f>
        <v>0</v>
      </c>
      <c r="Y1086" s="26">
        <f>IF(B1086="","",ROUND(W1086-X1086-IF(P1086="",0,P1086),2))</f>
        <v>0</v>
      </c>
      <c r="Z1086" s="26">
        <f>IF(B1086="","",IF(H1086="Retail",IF(TaxOnRetail="Yes",ROUND(Y1086*TaxRate,2),0),IF(H1086="Service",IF(TaxOnServices="Yes",ROUND(Y1086*TaxRate,2),0),0)))</f>
        <v>0</v>
      </c>
      <c r="AA1086" s="26">
        <f>IF(B1086="","",ROUND(Y1086+Z1086,2))</f>
        <v>0</v>
      </c>
      <c r="AB1086" s="26">
        <f>IF(B1086="","",ROUND(T1086*IF(H1086="Retail",IFERROR(INDEX(Inventory!$H$5:$H$304,MATCH(I1086,Inventory!$A$5:$A$304,0))*1,0),IFERROR(INDEX(Services!$Q$5:$Q$204,MATCH(I1086,Services!$A$5:$A$204,0))*1,0)),2))</f>
        <v>0</v>
      </c>
      <c r="AC1086" s="26">
        <f>IF(B1086="","",ROUND(Y1086-AB1086,2))</f>
        <v>0</v>
      </c>
      <c r="AD1086" s="38">
        <f>IF(B1086="","",IF(C1086="","No",IF(COUNTIFS($C$5:C1086,C1086)=1,"Yes","No")))</f>
        <v>0</v>
      </c>
      <c r="AE1086" s="26">
        <f>IF(B1086="","",ROUND(SUMIFS(Payments!$G$5:$G$1204,Payments!$H$5:$H$1204,A1086,Payments!$Q$5:$Q$1204,"Yes"),2))</f>
        <v>0</v>
      </c>
      <c r="AF1086" s="26">
        <f>IF(B1086="","",IF(AD1086="No",0,ROUND(SUMIFS(Payments!$G$5:$G$1204,Payments!$I$5:$I$1204,C1086,Payments!$H$5:$H$1204,"",Payments!$Q$5:$Q$1204,"Yes"),2)))</f>
        <v>0</v>
      </c>
      <c r="AG1086" s="26">
        <f>IF(B1086="","",ROUND(AE1086+AF1086,2))</f>
        <v>0</v>
      </c>
      <c r="AH1086" s="26">
        <f>IF(B1086="","",ROUND(AA1086-AG1086,2))</f>
        <v>0</v>
      </c>
      <c r="AI1086" s="39">
        <f>IF(B1086="","",IF(AA1086&lt;=0,"No charge",IF(AH1086&lt;=0.004,"Paid",IF(AG1086&lt;=0.004,"Unpaid","Part paid"))))</f>
        <v>0</v>
      </c>
      <c r="AJ1086" s="38">
        <f>IF(B1086="","",IF(H1086&lt;&gt;"Service","",IF(D1086="","No",IF(COUNTIFS($D$5:$D$1204,D1086,$B$5:$B$1204,B1086,$H$5:$H$1204,"Retail")&gt;0,"Yes","No"))))</f>
        <v>0</v>
      </c>
      <c r="AK1086" s="25">
        <f>IF(B1086="","",COUNTIFS($Y$5:$Y$1204,"&gt;"&amp;Y1086)+COUNTIFS($Y$5:Y1086,Y1086))</f>
        <v>0</v>
      </c>
      <c r="AL1086" s="39">
        <f>IF(B1086="","",IF(H1086="","Add - what kind of sale is this?",IF(IF(V1086&lt;=0,P1086="",FALSE),"Check - no price found for this item",IF(F1086="","Assign - nobody credited",IF(AH1086&gt;0.004,"Unpaid - balance outstanding",IF(AC1086&lt;0,"Loss - sold below cost",IF(X1086&gt;W1086*0.5,"Check - more than half off","OK")))))))</f>
        <v>0</v>
      </c>
    </row>
    <row r="1087" spans="1:38">
      <c r="A1087" s="28">
        <f>IF(B1087="","",SalePrefix&amp;TEXT(ROW()-4,"0000"))</f>
        <v>0</v>
      </c>
      <c r="E1087" s="15">
        <f>IF(D1087="","",IFERROR(INDEX(Clients!$B$5:$B$504,MATCH(D1087,Clients!$A$5:$A$504,0)),"Walk-in"))</f>
        <v>0</v>
      </c>
      <c r="G1087" s="15">
        <f>IF(F1087="","",IFERROR(INDEX(Staff!$B$5:$B$44,MATCH(F1087,Staff!$A$5:$A$44,0)),"House"))</f>
        <v>0</v>
      </c>
      <c r="R1087" s="15">
        <f>IF(B1087="","",TEXT(B1087,"yyyy-mm"))</f>
        <v>0</v>
      </c>
      <c r="S1087" s="25">
        <f>IF(B1087="","",WEEKNUM(B1087,2))</f>
        <v>0</v>
      </c>
      <c r="T1087" s="37">
        <f>IF(B1087="","",IF(K1087="",1,K1087))</f>
        <v>0</v>
      </c>
      <c r="U1087" s="15">
        <f>IF(B1087="","",IF(J1087&lt;&gt;"",J1087,IF(H1087="Retail",IFERROR(INDEX(Inventory!$B$5:$B$304,MATCH(I1087,Inventory!$A$5:$A$304,0))&amp;"","Not in Inventory"),IFERROR(INDEX(Services!$B$5:$B$204,MATCH(I1087,Services!$A$5:$A$204,0))&amp;"","Not in Services"))))</f>
        <v>0</v>
      </c>
      <c r="V1087" s="26">
        <f>IF(B1087="","",IF(L1087&lt;&gt;"",L1087,IF(H1087="Retail",IFERROR(INDEX(Inventory!$I$5:$I$304,MATCH(I1087,Inventory!$A$5:$A$304,0))*1,0),IFERROR(INDEX(Services!$G$5:$G$204,MATCH(I1087,Services!$A$5:$A$204,0))*1,0))))</f>
        <v>0</v>
      </c>
      <c r="W1087" s="26">
        <f>IF(B1087="","",ROUND(T1087*V1087,2))</f>
        <v>0</v>
      </c>
      <c r="X1087" s="26">
        <f>IF(B1087="","",ROUND(IF(M1087="",0,W1087*M1087)+IF(N1087="",0,N1087),2))</f>
        <v>0</v>
      </c>
      <c r="Y1087" s="26">
        <f>IF(B1087="","",ROUND(W1087-X1087-IF(P1087="",0,P1087),2))</f>
        <v>0</v>
      </c>
      <c r="Z1087" s="26">
        <f>IF(B1087="","",IF(H1087="Retail",IF(TaxOnRetail="Yes",ROUND(Y1087*TaxRate,2),0),IF(H1087="Service",IF(TaxOnServices="Yes",ROUND(Y1087*TaxRate,2),0),0)))</f>
        <v>0</v>
      </c>
      <c r="AA1087" s="26">
        <f>IF(B1087="","",ROUND(Y1087+Z1087,2))</f>
        <v>0</v>
      </c>
      <c r="AB1087" s="26">
        <f>IF(B1087="","",ROUND(T1087*IF(H1087="Retail",IFERROR(INDEX(Inventory!$H$5:$H$304,MATCH(I1087,Inventory!$A$5:$A$304,0))*1,0),IFERROR(INDEX(Services!$Q$5:$Q$204,MATCH(I1087,Services!$A$5:$A$204,0))*1,0)),2))</f>
        <v>0</v>
      </c>
      <c r="AC1087" s="26">
        <f>IF(B1087="","",ROUND(Y1087-AB1087,2))</f>
        <v>0</v>
      </c>
      <c r="AD1087" s="38">
        <f>IF(B1087="","",IF(C1087="","No",IF(COUNTIFS($C$5:C1087,C1087)=1,"Yes","No")))</f>
        <v>0</v>
      </c>
      <c r="AE1087" s="26">
        <f>IF(B1087="","",ROUND(SUMIFS(Payments!$G$5:$G$1204,Payments!$H$5:$H$1204,A1087,Payments!$Q$5:$Q$1204,"Yes"),2))</f>
        <v>0</v>
      </c>
      <c r="AF1087" s="26">
        <f>IF(B1087="","",IF(AD1087="No",0,ROUND(SUMIFS(Payments!$G$5:$G$1204,Payments!$I$5:$I$1204,C1087,Payments!$H$5:$H$1204,"",Payments!$Q$5:$Q$1204,"Yes"),2)))</f>
        <v>0</v>
      </c>
      <c r="AG1087" s="26">
        <f>IF(B1087="","",ROUND(AE1087+AF1087,2))</f>
        <v>0</v>
      </c>
      <c r="AH1087" s="26">
        <f>IF(B1087="","",ROUND(AA1087-AG1087,2))</f>
        <v>0</v>
      </c>
      <c r="AI1087" s="39">
        <f>IF(B1087="","",IF(AA1087&lt;=0,"No charge",IF(AH1087&lt;=0.004,"Paid",IF(AG1087&lt;=0.004,"Unpaid","Part paid"))))</f>
        <v>0</v>
      </c>
      <c r="AJ1087" s="38">
        <f>IF(B1087="","",IF(H1087&lt;&gt;"Service","",IF(D1087="","No",IF(COUNTIFS($D$5:$D$1204,D1087,$B$5:$B$1204,B1087,$H$5:$H$1204,"Retail")&gt;0,"Yes","No"))))</f>
        <v>0</v>
      </c>
      <c r="AK1087" s="25">
        <f>IF(B1087="","",COUNTIFS($Y$5:$Y$1204,"&gt;"&amp;Y1087)+COUNTIFS($Y$5:Y1087,Y1087))</f>
        <v>0</v>
      </c>
      <c r="AL1087" s="39">
        <f>IF(B1087="","",IF(H1087="","Add - what kind of sale is this?",IF(IF(V1087&lt;=0,P1087="",FALSE),"Check - no price found for this item",IF(F1087="","Assign - nobody credited",IF(AH1087&gt;0.004,"Unpaid - balance outstanding",IF(AC1087&lt;0,"Loss - sold below cost",IF(X1087&gt;W1087*0.5,"Check - more than half off","OK")))))))</f>
        <v>0</v>
      </c>
    </row>
    <row r="1088" spans="1:38">
      <c r="A1088" s="28">
        <f>IF(B1088="","",SalePrefix&amp;TEXT(ROW()-4,"0000"))</f>
        <v>0</v>
      </c>
      <c r="E1088" s="15">
        <f>IF(D1088="","",IFERROR(INDEX(Clients!$B$5:$B$504,MATCH(D1088,Clients!$A$5:$A$504,0)),"Walk-in"))</f>
        <v>0</v>
      </c>
      <c r="G1088" s="15">
        <f>IF(F1088="","",IFERROR(INDEX(Staff!$B$5:$B$44,MATCH(F1088,Staff!$A$5:$A$44,0)),"House"))</f>
        <v>0</v>
      </c>
      <c r="R1088" s="15">
        <f>IF(B1088="","",TEXT(B1088,"yyyy-mm"))</f>
        <v>0</v>
      </c>
      <c r="S1088" s="25">
        <f>IF(B1088="","",WEEKNUM(B1088,2))</f>
        <v>0</v>
      </c>
      <c r="T1088" s="37">
        <f>IF(B1088="","",IF(K1088="",1,K1088))</f>
        <v>0</v>
      </c>
      <c r="U1088" s="15">
        <f>IF(B1088="","",IF(J1088&lt;&gt;"",J1088,IF(H1088="Retail",IFERROR(INDEX(Inventory!$B$5:$B$304,MATCH(I1088,Inventory!$A$5:$A$304,0))&amp;"","Not in Inventory"),IFERROR(INDEX(Services!$B$5:$B$204,MATCH(I1088,Services!$A$5:$A$204,0))&amp;"","Not in Services"))))</f>
        <v>0</v>
      </c>
      <c r="V1088" s="26">
        <f>IF(B1088="","",IF(L1088&lt;&gt;"",L1088,IF(H1088="Retail",IFERROR(INDEX(Inventory!$I$5:$I$304,MATCH(I1088,Inventory!$A$5:$A$304,0))*1,0),IFERROR(INDEX(Services!$G$5:$G$204,MATCH(I1088,Services!$A$5:$A$204,0))*1,0))))</f>
        <v>0</v>
      </c>
      <c r="W1088" s="26">
        <f>IF(B1088="","",ROUND(T1088*V1088,2))</f>
        <v>0</v>
      </c>
      <c r="X1088" s="26">
        <f>IF(B1088="","",ROUND(IF(M1088="",0,W1088*M1088)+IF(N1088="",0,N1088),2))</f>
        <v>0</v>
      </c>
      <c r="Y1088" s="26">
        <f>IF(B1088="","",ROUND(W1088-X1088-IF(P1088="",0,P1088),2))</f>
        <v>0</v>
      </c>
      <c r="Z1088" s="26">
        <f>IF(B1088="","",IF(H1088="Retail",IF(TaxOnRetail="Yes",ROUND(Y1088*TaxRate,2),0),IF(H1088="Service",IF(TaxOnServices="Yes",ROUND(Y1088*TaxRate,2),0),0)))</f>
        <v>0</v>
      </c>
      <c r="AA1088" s="26">
        <f>IF(B1088="","",ROUND(Y1088+Z1088,2))</f>
        <v>0</v>
      </c>
      <c r="AB1088" s="26">
        <f>IF(B1088="","",ROUND(T1088*IF(H1088="Retail",IFERROR(INDEX(Inventory!$H$5:$H$304,MATCH(I1088,Inventory!$A$5:$A$304,0))*1,0),IFERROR(INDEX(Services!$Q$5:$Q$204,MATCH(I1088,Services!$A$5:$A$204,0))*1,0)),2))</f>
        <v>0</v>
      </c>
      <c r="AC1088" s="26">
        <f>IF(B1088="","",ROUND(Y1088-AB1088,2))</f>
        <v>0</v>
      </c>
      <c r="AD1088" s="38">
        <f>IF(B1088="","",IF(C1088="","No",IF(COUNTIFS($C$5:C1088,C1088)=1,"Yes","No")))</f>
        <v>0</v>
      </c>
      <c r="AE1088" s="26">
        <f>IF(B1088="","",ROUND(SUMIFS(Payments!$G$5:$G$1204,Payments!$H$5:$H$1204,A1088,Payments!$Q$5:$Q$1204,"Yes"),2))</f>
        <v>0</v>
      </c>
      <c r="AF1088" s="26">
        <f>IF(B1088="","",IF(AD1088="No",0,ROUND(SUMIFS(Payments!$G$5:$G$1204,Payments!$I$5:$I$1204,C1088,Payments!$H$5:$H$1204,"",Payments!$Q$5:$Q$1204,"Yes"),2)))</f>
        <v>0</v>
      </c>
      <c r="AG1088" s="26">
        <f>IF(B1088="","",ROUND(AE1088+AF1088,2))</f>
        <v>0</v>
      </c>
      <c r="AH1088" s="26">
        <f>IF(B1088="","",ROUND(AA1088-AG1088,2))</f>
        <v>0</v>
      </c>
      <c r="AI1088" s="39">
        <f>IF(B1088="","",IF(AA1088&lt;=0,"No charge",IF(AH1088&lt;=0.004,"Paid",IF(AG1088&lt;=0.004,"Unpaid","Part paid"))))</f>
        <v>0</v>
      </c>
      <c r="AJ1088" s="38">
        <f>IF(B1088="","",IF(H1088&lt;&gt;"Service","",IF(D1088="","No",IF(COUNTIFS($D$5:$D$1204,D1088,$B$5:$B$1204,B1088,$H$5:$H$1204,"Retail")&gt;0,"Yes","No"))))</f>
        <v>0</v>
      </c>
      <c r="AK1088" s="25">
        <f>IF(B1088="","",COUNTIFS($Y$5:$Y$1204,"&gt;"&amp;Y1088)+COUNTIFS($Y$5:Y1088,Y1088))</f>
        <v>0</v>
      </c>
      <c r="AL1088" s="39">
        <f>IF(B1088="","",IF(H1088="","Add - what kind of sale is this?",IF(IF(V1088&lt;=0,P1088="",FALSE),"Check - no price found for this item",IF(F1088="","Assign - nobody credited",IF(AH1088&gt;0.004,"Unpaid - balance outstanding",IF(AC1088&lt;0,"Loss - sold below cost",IF(X1088&gt;W1088*0.5,"Check - more than half off","OK")))))))</f>
        <v>0</v>
      </c>
    </row>
    <row r="1089" spans="1:38">
      <c r="A1089" s="28">
        <f>IF(B1089="","",SalePrefix&amp;TEXT(ROW()-4,"0000"))</f>
        <v>0</v>
      </c>
      <c r="E1089" s="15">
        <f>IF(D1089="","",IFERROR(INDEX(Clients!$B$5:$B$504,MATCH(D1089,Clients!$A$5:$A$504,0)),"Walk-in"))</f>
        <v>0</v>
      </c>
      <c r="G1089" s="15">
        <f>IF(F1089="","",IFERROR(INDEX(Staff!$B$5:$B$44,MATCH(F1089,Staff!$A$5:$A$44,0)),"House"))</f>
        <v>0</v>
      </c>
      <c r="R1089" s="15">
        <f>IF(B1089="","",TEXT(B1089,"yyyy-mm"))</f>
        <v>0</v>
      </c>
      <c r="S1089" s="25">
        <f>IF(B1089="","",WEEKNUM(B1089,2))</f>
        <v>0</v>
      </c>
      <c r="T1089" s="37">
        <f>IF(B1089="","",IF(K1089="",1,K1089))</f>
        <v>0</v>
      </c>
      <c r="U1089" s="15">
        <f>IF(B1089="","",IF(J1089&lt;&gt;"",J1089,IF(H1089="Retail",IFERROR(INDEX(Inventory!$B$5:$B$304,MATCH(I1089,Inventory!$A$5:$A$304,0))&amp;"","Not in Inventory"),IFERROR(INDEX(Services!$B$5:$B$204,MATCH(I1089,Services!$A$5:$A$204,0))&amp;"","Not in Services"))))</f>
        <v>0</v>
      </c>
      <c r="V1089" s="26">
        <f>IF(B1089="","",IF(L1089&lt;&gt;"",L1089,IF(H1089="Retail",IFERROR(INDEX(Inventory!$I$5:$I$304,MATCH(I1089,Inventory!$A$5:$A$304,0))*1,0),IFERROR(INDEX(Services!$G$5:$G$204,MATCH(I1089,Services!$A$5:$A$204,0))*1,0))))</f>
        <v>0</v>
      </c>
      <c r="W1089" s="26">
        <f>IF(B1089="","",ROUND(T1089*V1089,2))</f>
        <v>0</v>
      </c>
      <c r="X1089" s="26">
        <f>IF(B1089="","",ROUND(IF(M1089="",0,W1089*M1089)+IF(N1089="",0,N1089),2))</f>
        <v>0</v>
      </c>
      <c r="Y1089" s="26">
        <f>IF(B1089="","",ROUND(W1089-X1089-IF(P1089="",0,P1089),2))</f>
        <v>0</v>
      </c>
      <c r="Z1089" s="26">
        <f>IF(B1089="","",IF(H1089="Retail",IF(TaxOnRetail="Yes",ROUND(Y1089*TaxRate,2),0),IF(H1089="Service",IF(TaxOnServices="Yes",ROUND(Y1089*TaxRate,2),0),0)))</f>
        <v>0</v>
      </c>
      <c r="AA1089" s="26">
        <f>IF(B1089="","",ROUND(Y1089+Z1089,2))</f>
        <v>0</v>
      </c>
      <c r="AB1089" s="26">
        <f>IF(B1089="","",ROUND(T1089*IF(H1089="Retail",IFERROR(INDEX(Inventory!$H$5:$H$304,MATCH(I1089,Inventory!$A$5:$A$304,0))*1,0),IFERROR(INDEX(Services!$Q$5:$Q$204,MATCH(I1089,Services!$A$5:$A$204,0))*1,0)),2))</f>
        <v>0</v>
      </c>
      <c r="AC1089" s="26">
        <f>IF(B1089="","",ROUND(Y1089-AB1089,2))</f>
        <v>0</v>
      </c>
      <c r="AD1089" s="38">
        <f>IF(B1089="","",IF(C1089="","No",IF(COUNTIFS($C$5:C1089,C1089)=1,"Yes","No")))</f>
        <v>0</v>
      </c>
      <c r="AE1089" s="26">
        <f>IF(B1089="","",ROUND(SUMIFS(Payments!$G$5:$G$1204,Payments!$H$5:$H$1204,A1089,Payments!$Q$5:$Q$1204,"Yes"),2))</f>
        <v>0</v>
      </c>
      <c r="AF1089" s="26">
        <f>IF(B1089="","",IF(AD1089="No",0,ROUND(SUMIFS(Payments!$G$5:$G$1204,Payments!$I$5:$I$1204,C1089,Payments!$H$5:$H$1204,"",Payments!$Q$5:$Q$1204,"Yes"),2)))</f>
        <v>0</v>
      </c>
      <c r="AG1089" s="26">
        <f>IF(B1089="","",ROUND(AE1089+AF1089,2))</f>
        <v>0</v>
      </c>
      <c r="AH1089" s="26">
        <f>IF(B1089="","",ROUND(AA1089-AG1089,2))</f>
        <v>0</v>
      </c>
      <c r="AI1089" s="39">
        <f>IF(B1089="","",IF(AA1089&lt;=0,"No charge",IF(AH1089&lt;=0.004,"Paid",IF(AG1089&lt;=0.004,"Unpaid","Part paid"))))</f>
        <v>0</v>
      </c>
      <c r="AJ1089" s="38">
        <f>IF(B1089="","",IF(H1089&lt;&gt;"Service","",IF(D1089="","No",IF(COUNTIFS($D$5:$D$1204,D1089,$B$5:$B$1204,B1089,$H$5:$H$1204,"Retail")&gt;0,"Yes","No"))))</f>
        <v>0</v>
      </c>
      <c r="AK1089" s="25">
        <f>IF(B1089="","",COUNTIFS($Y$5:$Y$1204,"&gt;"&amp;Y1089)+COUNTIFS($Y$5:Y1089,Y1089))</f>
        <v>0</v>
      </c>
      <c r="AL1089" s="39">
        <f>IF(B1089="","",IF(H1089="","Add - what kind of sale is this?",IF(IF(V1089&lt;=0,P1089="",FALSE),"Check - no price found for this item",IF(F1089="","Assign - nobody credited",IF(AH1089&gt;0.004,"Unpaid - balance outstanding",IF(AC1089&lt;0,"Loss - sold below cost",IF(X1089&gt;W1089*0.5,"Check - more than half off","OK")))))))</f>
        <v>0</v>
      </c>
    </row>
    <row r="1090" spans="1:38">
      <c r="A1090" s="28">
        <f>IF(B1090="","",SalePrefix&amp;TEXT(ROW()-4,"0000"))</f>
        <v>0</v>
      </c>
      <c r="E1090" s="15">
        <f>IF(D1090="","",IFERROR(INDEX(Clients!$B$5:$B$504,MATCH(D1090,Clients!$A$5:$A$504,0)),"Walk-in"))</f>
        <v>0</v>
      </c>
      <c r="G1090" s="15">
        <f>IF(F1090="","",IFERROR(INDEX(Staff!$B$5:$B$44,MATCH(F1090,Staff!$A$5:$A$44,0)),"House"))</f>
        <v>0</v>
      </c>
      <c r="R1090" s="15">
        <f>IF(B1090="","",TEXT(B1090,"yyyy-mm"))</f>
        <v>0</v>
      </c>
      <c r="S1090" s="25">
        <f>IF(B1090="","",WEEKNUM(B1090,2))</f>
        <v>0</v>
      </c>
      <c r="T1090" s="37">
        <f>IF(B1090="","",IF(K1090="",1,K1090))</f>
        <v>0</v>
      </c>
      <c r="U1090" s="15">
        <f>IF(B1090="","",IF(J1090&lt;&gt;"",J1090,IF(H1090="Retail",IFERROR(INDEX(Inventory!$B$5:$B$304,MATCH(I1090,Inventory!$A$5:$A$304,0))&amp;"","Not in Inventory"),IFERROR(INDEX(Services!$B$5:$B$204,MATCH(I1090,Services!$A$5:$A$204,0))&amp;"","Not in Services"))))</f>
        <v>0</v>
      </c>
      <c r="V1090" s="26">
        <f>IF(B1090="","",IF(L1090&lt;&gt;"",L1090,IF(H1090="Retail",IFERROR(INDEX(Inventory!$I$5:$I$304,MATCH(I1090,Inventory!$A$5:$A$304,0))*1,0),IFERROR(INDEX(Services!$G$5:$G$204,MATCH(I1090,Services!$A$5:$A$204,0))*1,0))))</f>
        <v>0</v>
      </c>
      <c r="W1090" s="26">
        <f>IF(B1090="","",ROUND(T1090*V1090,2))</f>
        <v>0</v>
      </c>
      <c r="X1090" s="26">
        <f>IF(B1090="","",ROUND(IF(M1090="",0,W1090*M1090)+IF(N1090="",0,N1090),2))</f>
        <v>0</v>
      </c>
      <c r="Y1090" s="26">
        <f>IF(B1090="","",ROUND(W1090-X1090-IF(P1090="",0,P1090),2))</f>
        <v>0</v>
      </c>
      <c r="Z1090" s="26">
        <f>IF(B1090="","",IF(H1090="Retail",IF(TaxOnRetail="Yes",ROUND(Y1090*TaxRate,2),0),IF(H1090="Service",IF(TaxOnServices="Yes",ROUND(Y1090*TaxRate,2),0),0)))</f>
        <v>0</v>
      </c>
      <c r="AA1090" s="26">
        <f>IF(B1090="","",ROUND(Y1090+Z1090,2))</f>
        <v>0</v>
      </c>
      <c r="AB1090" s="26">
        <f>IF(B1090="","",ROUND(T1090*IF(H1090="Retail",IFERROR(INDEX(Inventory!$H$5:$H$304,MATCH(I1090,Inventory!$A$5:$A$304,0))*1,0),IFERROR(INDEX(Services!$Q$5:$Q$204,MATCH(I1090,Services!$A$5:$A$204,0))*1,0)),2))</f>
        <v>0</v>
      </c>
      <c r="AC1090" s="26">
        <f>IF(B1090="","",ROUND(Y1090-AB1090,2))</f>
        <v>0</v>
      </c>
      <c r="AD1090" s="38">
        <f>IF(B1090="","",IF(C1090="","No",IF(COUNTIFS($C$5:C1090,C1090)=1,"Yes","No")))</f>
        <v>0</v>
      </c>
      <c r="AE1090" s="26">
        <f>IF(B1090="","",ROUND(SUMIFS(Payments!$G$5:$G$1204,Payments!$H$5:$H$1204,A1090,Payments!$Q$5:$Q$1204,"Yes"),2))</f>
        <v>0</v>
      </c>
      <c r="AF1090" s="26">
        <f>IF(B1090="","",IF(AD1090="No",0,ROUND(SUMIFS(Payments!$G$5:$G$1204,Payments!$I$5:$I$1204,C1090,Payments!$H$5:$H$1204,"",Payments!$Q$5:$Q$1204,"Yes"),2)))</f>
        <v>0</v>
      </c>
      <c r="AG1090" s="26">
        <f>IF(B1090="","",ROUND(AE1090+AF1090,2))</f>
        <v>0</v>
      </c>
      <c r="AH1090" s="26">
        <f>IF(B1090="","",ROUND(AA1090-AG1090,2))</f>
        <v>0</v>
      </c>
      <c r="AI1090" s="39">
        <f>IF(B1090="","",IF(AA1090&lt;=0,"No charge",IF(AH1090&lt;=0.004,"Paid",IF(AG1090&lt;=0.004,"Unpaid","Part paid"))))</f>
        <v>0</v>
      </c>
      <c r="AJ1090" s="38">
        <f>IF(B1090="","",IF(H1090&lt;&gt;"Service","",IF(D1090="","No",IF(COUNTIFS($D$5:$D$1204,D1090,$B$5:$B$1204,B1090,$H$5:$H$1204,"Retail")&gt;0,"Yes","No"))))</f>
        <v>0</v>
      </c>
      <c r="AK1090" s="25">
        <f>IF(B1090="","",COUNTIFS($Y$5:$Y$1204,"&gt;"&amp;Y1090)+COUNTIFS($Y$5:Y1090,Y1090))</f>
        <v>0</v>
      </c>
      <c r="AL1090" s="39">
        <f>IF(B1090="","",IF(H1090="","Add - what kind of sale is this?",IF(IF(V1090&lt;=0,P1090="",FALSE),"Check - no price found for this item",IF(F1090="","Assign - nobody credited",IF(AH1090&gt;0.004,"Unpaid - balance outstanding",IF(AC1090&lt;0,"Loss - sold below cost",IF(X1090&gt;W1090*0.5,"Check - more than half off","OK")))))))</f>
        <v>0</v>
      </c>
    </row>
    <row r="1091" spans="1:38">
      <c r="A1091" s="28">
        <f>IF(B1091="","",SalePrefix&amp;TEXT(ROW()-4,"0000"))</f>
        <v>0</v>
      </c>
      <c r="E1091" s="15">
        <f>IF(D1091="","",IFERROR(INDEX(Clients!$B$5:$B$504,MATCH(D1091,Clients!$A$5:$A$504,0)),"Walk-in"))</f>
        <v>0</v>
      </c>
      <c r="G1091" s="15">
        <f>IF(F1091="","",IFERROR(INDEX(Staff!$B$5:$B$44,MATCH(F1091,Staff!$A$5:$A$44,0)),"House"))</f>
        <v>0</v>
      </c>
      <c r="R1091" s="15">
        <f>IF(B1091="","",TEXT(B1091,"yyyy-mm"))</f>
        <v>0</v>
      </c>
      <c r="S1091" s="25">
        <f>IF(B1091="","",WEEKNUM(B1091,2))</f>
        <v>0</v>
      </c>
      <c r="T1091" s="37">
        <f>IF(B1091="","",IF(K1091="",1,K1091))</f>
        <v>0</v>
      </c>
      <c r="U1091" s="15">
        <f>IF(B1091="","",IF(J1091&lt;&gt;"",J1091,IF(H1091="Retail",IFERROR(INDEX(Inventory!$B$5:$B$304,MATCH(I1091,Inventory!$A$5:$A$304,0))&amp;"","Not in Inventory"),IFERROR(INDEX(Services!$B$5:$B$204,MATCH(I1091,Services!$A$5:$A$204,0))&amp;"","Not in Services"))))</f>
        <v>0</v>
      </c>
      <c r="V1091" s="26">
        <f>IF(B1091="","",IF(L1091&lt;&gt;"",L1091,IF(H1091="Retail",IFERROR(INDEX(Inventory!$I$5:$I$304,MATCH(I1091,Inventory!$A$5:$A$304,0))*1,0),IFERROR(INDEX(Services!$G$5:$G$204,MATCH(I1091,Services!$A$5:$A$204,0))*1,0))))</f>
        <v>0</v>
      </c>
      <c r="W1091" s="26">
        <f>IF(B1091="","",ROUND(T1091*V1091,2))</f>
        <v>0</v>
      </c>
      <c r="X1091" s="26">
        <f>IF(B1091="","",ROUND(IF(M1091="",0,W1091*M1091)+IF(N1091="",0,N1091),2))</f>
        <v>0</v>
      </c>
      <c r="Y1091" s="26">
        <f>IF(B1091="","",ROUND(W1091-X1091-IF(P1091="",0,P1091),2))</f>
        <v>0</v>
      </c>
      <c r="Z1091" s="26">
        <f>IF(B1091="","",IF(H1091="Retail",IF(TaxOnRetail="Yes",ROUND(Y1091*TaxRate,2),0),IF(H1091="Service",IF(TaxOnServices="Yes",ROUND(Y1091*TaxRate,2),0),0)))</f>
        <v>0</v>
      </c>
      <c r="AA1091" s="26">
        <f>IF(B1091="","",ROUND(Y1091+Z1091,2))</f>
        <v>0</v>
      </c>
      <c r="AB1091" s="26">
        <f>IF(B1091="","",ROUND(T1091*IF(H1091="Retail",IFERROR(INDEX(Inventory!$H$5:$H$304,MATCH(I1091,Inventory!$A$5:$A$304,0))*1,0),IFERROR(INDEX(Services!$Q$5:$Q$204,MATCH(I1091,Services!$A$5:$A$204,0))*1,0)),2))</f>
        <v>0</v>
      </c>
      <c r="AC1091" s="26">
        <f>IF(B1091="","",ROUND(Y1091-AB1091,2))</f>
        <v>0</v>
      </c>
      <c r="AD1091" s="38">
        <f>IF(B1091="","",IF(C1091="","No",IF(COUNTIFS($C$5:C1091,C1091)=1,"Yes","No")))</f>
        <v>0</v>
      </c>
      <c r="AE1091" s="26">
        <f>IF(B1091="","",ROUND(SUMIFS(Payments!$G$5:$G$1204,Payments!$H$5:$H$1204,A1091,Payments!$Q$5:$Q$1204,"Yes"),2))</f>
        <v>0</v>
      </c>
      <c r="AF1091" s="26">
        <f>IF(B1091="","",IF(AD1091="No",0,ROUND(SUMIFS(Payments!$G$5:$G$1204,Payments!$I$5:$I$1204,C1091,Payments!$H$5:$H$1204,"",Payments!$Q$5:$Q$1204,"Yes"),2)))</f>
        <v>0</v>
      </c>
      <c r="AG1091" s="26">
        <f>IF(B1091="","",ROUND(AE1091+AF1091,2))</f>
        <v>0</v>
      </c>
      <c r="AH1091" s="26">
        <f>IF(B1091="","",ROUND(AA1091-AG1091,2))</f>
        <v>0</v>
      </c>
      <c r="AI1091" s="39">
        <f>IF(B1091="","",IF(AA1091&lt;=0,"No charge",IF(AH1091&lt;=0.004,"Paid",IF(AG1091&lt;=0.004,"Unpaid","Part paid"))))</f>
        <v>0</v>
      </c>
      <c r="AJ1091" s="38">
        <f>IF(B1091="","",IF(H1091&lt;&gt;"Service","",IF(D1091="","No",IF(COUNTIFS($D$5:$D$1204,D1091,$B$5:$B$1204,B1091,$H$5:$H$1204,"Retail")&gt;0,"Yes","No"))))</f>
        <v>0</v>
      </c>
      <c r="AK1091" s="25">
        <f>IF(B1091="","",COUNTIFS($Y$5:$Y$1204,"&gt;"&amp;Y1091)+COUNTIFS($Y$5:Y1091,Y1091))</f>
        <v>0</v>
      </c>
      <c r="AL1091" s="39">
        <f>IF(B1091="","",IF(H1091="","Add - what kind of sale is this?",IF(IF(V1091&lt;=0,P1091="",FALSE),"Check - no price found for this item",IF(F1091="","Assign - nobody credited",IF(AH1091&gt;0.004,"Unpaid - balance outstanding",IF(AC1091&lt;0,"Loss - sold below cost",IF(X1091&gt;W1091*0.5,"Check - more than half off","OK")))))))</f>
        <v>0</v>
      </c>
    </row>
    <row r="1092" spans="1:38">
      <c r="A1092" s="28">
        <f>IF(B1092="","",SalePrefix&amp;TEXT(ROW()-4,"0000"))</f>
        <v>0</v>
      </c>
      <c r="E1092" s="15">
        <f>IF(D1092="","",IFERROR(INDEX(Clients!$B$5:$B$504,MATCH(D1092,Clients!$A$5:$A$504,0)),"Walk-in"))</f>
        <v>0</v>
      </c>
      <c r="G1092" s="15">
        <f>IF(F1092="","",IFERROR(INDEX(Staff!$B$5:$B$44,MATCH(F1092,Staff!$A$5:$A$44,0)),"House"))</f>
        <v>0</v>
      </c>
      <c r="R1092" s="15">
        <f>IF(B1092="","",TEXT(B1092,"yyyy-mm"))</f>
        <v>0</v>
      </c>
      <c r="S1092" s="25">
        <f>IF(B1092="","",WEEKNUM(B1092,2))</f>
        <v>0</v>
      </c>
      <c r="T1092" s="37">
        <f>IF(B1092="","",IF(K1092="",1,K1092))</f>
        <v>0</v>
      </c>
      <c r="U1092" s="15">
        <f>IF(B1092="","",IF(J1092&lt;&gt;"",J1092,IF(H1092="Retail",IFERROR(INDEX(Inventory!$B$5:$B$304,MATCH(I1092,Inventory!$A$5:$A$304,0))&amp;"","Not in Inventory"),IFERROR(INDEX(Services!$B$5:$B$204,MATCH(I1092,Services!$A$5:$A$204,0))&amp;"","Not in Services"))))</f>
        <v>0</v>
      </c>
      <c r="V1092" s="26">
        <f>IF(B1092="","",IF(L1092&lt;&gt;"",L1092,IF(H1092="Retail",IFERROR(INDEX(Inventory!$I$5:$I$304,MATCH(I1092,Inventory!$A$5:$A$304,0))*1,0),IFERROR(INDEX(Services!$G$5:$G$204,MATCH(I1092,Services!$A$5:$A$204,0))*1,0))))</f>
        <v>0</v>
      </c>
      <c r="W1092" s="26">
        <f>IF(B1092="","",ROUND(T1092*V1092,2))</f>
        <v>0</v>
      </c>
      <c r="X1092" s="26">
        <f>IF(B1092="","",ROUND(IF(M1092="",0,W1092*M1092)+IF(N1092="",0,N1092),2))</f>
        <v>0</v>
      </c>
      <c r="Y1092" s="26">
        <f>IF(B1092="","",ROUND(W1092-X1092-IF(P1092="",0,P1092),2))</f>
        <v>0</v>
      </c>
      <c r="Z1092" s="26">
        <f>IF(B1092="","",IF(H1092="Retail",IF(TaxOnRetail="Yes",ROUND(Y1092*TaxRate,2),0),IF(H1092="Service",IF(TaxOnServices="Yes",ROUND(Y1092*TaxRate,2),0),0)))</f>
        <v>0</v>
      </c>
      <c r="AA1092" s="26">
        <f>IF(B1092="","",ROUND(Y1092+Z1092,2))</f>
        <v>0</v>
      </c>
      <c r="AB1092" s="26">
        <f>IF(B1092="","",ROUND(T1092*IF(H1092="Retail",IFERROR(INDEX(Inventory!$H$5:$H$304,MATCH(I1092,Inventory!$A$5:$A$304,0))*1,0),IFERROR(INDEX(Services!$Q$5:$Q$204,MATCH(I1092,Services!$A$5:$A$204,0))*1,0)),2))</f>
        <v>0</v>
      </c>
      <c r="AC1092" s="26">
        <f>IF(B1092="","",ROUND(Y1092-AB1092,2))</f>
        <v>0</v>
      </c>
      <c r="AD1092" s="38">
        <f>IF(B1092="","",IF(C1092="","No",IF(COUNTIFS($C$5:C1092,C1092)=1,"Yes","No")))</f>
        <v>0</v>
      </c>
      <c r="AE1092" s="26">
        <f>IF(B1092="","",ROUND(SUMIFS(Payments!$G$5:$G$1204,Payments!$H$5:$H$1204,A1092,Payments!$Q$5:$Q$1204,"Yes"),2))</f>
        <v>0</v>
      </c>
      <c r="AF1092" s="26">
        <f>IF(B1092="","",IF(AD1092="No",0,ROUND(SUMIFS(Payments!$G$5:$G$1204,Payments!$I$5:$I$1204,C1092,Payments!$H$5:$H$1204,"",Payments!$Q$5:$Q$1204,"Yes"),2)))</f>
        <v>0</v>
      </c>
      <c r="AG1092" s="26">
        <f>IF(B1092="","",ROUND(AE1092+AF1092,2))</f>
        <v>0</v>
      </c>
      <c r="AH1092" s="26">
        <f>IF(B1092="","",ROUND(AA1092-AG1092,2))</f>
        <v>0</v>
      </c>
      <c r="AI1092" s="39">
        <f>IF(B1092="","",IF(AA1092&lt;=0,"No charge",IF(AH1092&lt;=0.004,"Paid",IF(AG1092&lt;=0.004,"Unpaid","Part paid"))))</f>
        <v>0</v>
      </c>
      <c r="AJ1092" s="38">
        <f>IF(B1092="","",IF(H1092&lt;&gt;"Service","",IF(D1092="","No",IF(COUNTIFS($D$5:$D$1204,D1092,$B$5:$B$1204,B1092,$H$5:$H$1204,"Retail")&gt;0,"Yes","No"))))</f>
        <v>0</v>
      </c>
      <c r="AK1092" s="25">
        <f>IF(B1092="","",COUNTIFS($Y$5:$Y$1204,"&gt;"&amp;Y1092)+COUNTIFS($Y$5:Y1092,Y1092))</f>
        <v>0</v>
      </c>
      <c r="AL1092" s="39">
        <f>IF(B1092="","",IF(H1092="","Add - what kind of sale is this?",IF(IF(V1092&lt;=0,P1092="",FALSE),"Check - no price found for this item",IF(F1092="","Assign - nobody credited",IF(AH1092&gt;0.004,"Unpaid - balance outstanding",IF(AC1092&lt;0,"Loss - sold below cost",IF(X1092&gt;W1092*0.5,"Check - more than half off","OK")))))))</f>
        <v>0</v>
      </c>
    </row>
    <row r="1093" spans="1:38">
      <c r="A1093" s="28">
        <f>IF(B1093="","",SalePrefix&amp;TEXT(ROW()-4,"0000"))</f>
        <v>0</v>
      </c>
      <c r="E1093" s="15">
        <f>IF(D1093="","",IFERROR(INDEX(Clients!$B$5:$B$504,MATCH(D1093,Clients!$A$5:$A$504,0)),"Walk-in"))</f>
        <v>0</v>
      </c>
      <c r="G1093" s="15">
        <f>IF(F1093="","",IFERROR(INDEX(Staff!$B$5:$B$44,MATCH(F1093,Staff!$A$5:$A$44,0)),"House"))</f>
        <v>0</v>
      </c>
      <c r="R1093" s="15">
        <f>IF(B1093="","",TEXT(B1093,"yyyy-mm"))</f>
        <v>0</v>
      </c>
      <c r="S1093" s="25">
        <f>IF(B1093="","",WEEKNUM(B1093,2))</f>
        <v>0</v>
      </c>
      <c r="T1093" s="37">
        <f>IF(B1093="","",IF(K1093="",1,K1093))</f>
        <v>0</v>
      </c>
      <c r="U1093" s="15">
        <f>IF(B1093="","",IF(J1093&lt;&gt;"",J1093,IF(H1093="Retail",IFERROR(INDEX(Inventory!$B$5:$B$304,MATCH(I1093,Inventory!$A$5:$A$304,0))&amp;"","Not in Inventory"),IFERROR(INDEX(Services!$B$5:$B$204,MATCH(I1093,Services!$A$5:$A$204,0))&amp;"","Not in Services"))))</f>
        <v>0</v>
      </c>
      <c r="V1093" s="26">
        <f>IF(B1093="","",IF(L1093&lt;&gt;"",L1093,IF(H1093="Retail",IFERROR(INDEX(Inventory!$I$5:$I$304,MATCH(I1093,Inventory!$A$5:$A$304,0))*1,0),IFERROR(INDEX(Services!$G$5:$G$204,MATCH(I1093,Services!$A$5:$A$204,0))*1,0))))</f>
        <v>0</v>
      </c>
      <c r="W1093" s="26">
        <f>IF(B1093="","",ROUND(T1093*V1093,2))</f>
        <v>0</v>
      </c>
      <c r="X1093" s="26">
        <f>IF(B1093="","",ROUND(IF(M1093="",0,W1093*M1093)+IF(N1093="",0,N1093),2))</f>
        <v>0</v>
      </c>
      <c r="Y1093" s="26">
        <f>IF(B1093="","",ROUND(W1093-X1093-IF(P1093="",0,P1093),2))</f>
        <v>0</v>
      </c>
      <c r="Z1093" s="26">
        <f>IF(B1093="","",IF(H1093="Retail",IF(TaxOnRetail="Yes",ROUND(Y1093*TaxRate,2),0),IF(H1093="Service",IF(TaxOnServices="Yes",ROUND(Y1093*TaxRate,2),0),0)))</f>
        <v>0</v>
      </c>
      <c r="AA1093" s="26">
        <f>IF(B1093="","",ROUND(Y1093+Z1093,2))</f>
        <v>0</v>
      </c>
      <c r="AB1093" s="26">
        <f>IF(B1093="","",ROUND(T1093*IF(H1093="Retail",IFERROR(INDEX(Inventory!$H$5:$H$304,MATCH(I1093,Inventory!$A$5:$A$304,0))*1,0),IFERROR(INDEX(Services!$Q$5:$Q$204,MATCH(I1093,Services!$A$5:$A$204,0))*1,0)),2))</f>
        <v>0</v>
      </c>
      <c r="AC1093" s="26">
        <f>IF(B1093="","",ROUND(Y1093-AB1093,2))</f>
        <v>0</v>
      </c>
      <c r="AD1093" s="38">
        <f>IF(B1093="","",IF(C1093="","No",IF(COUNTIFS($C$5:C1093,C1093)=1,"Yes","No")))</f>
        <v>0</v>
      </c>
      <c r="AE1093" s="26">
        <f>IF(B1093="","",ROUND(SUMIFS(Payments!$G$5:$G$1204,Payments!$H$5:$H$1204,A1093,Payments!$Q$5:$Q$1204,"Yes"),2))</f>
        <v>0</v>
      </c>
      <c r="AF1093" s="26">
        <f>IF(B1093="","",IF(AD1093="No",0,ROUND(SUMIFS(Payments!$G$5:$G$1204,Payments!$I$5:$I$1204,C1093,Payments!$H$5:$H$1204,"",Payments!$Q$5:$Q$1204,"Yes"),2)))</f>
        <v>0</v>
      </c>
      <c r="AG1093" s="26">
        <f>IF(B1093="","",ROUND(AE1093+AF1093,2))</f>
        <v>0</v>
      </c>
      <c r="AH1093" s="26">
        <f>IF(B1093="","",ROUND(AA1093-AG1093,2))</f>
        <v>0</v>
      </c>
      <c r="AI1093" s="39">
        <f>IF(B1093="","",IF(AA1093&lt;=0,"No charge",IF(AH1093&lt;=0.004,"Paid",IF(AG1093&lt;=0.004,"Unpaid","Part paid"))))</f>
        <v>0</v>
      </c>
      <c r="AJ1093" s="38">
        <f>IF(B1093="","",IF(H1093&lt;&gt;"Service","",IF(D1093="","No",IF(COUNTIFS($D$5:$D$1204,D1093,$B$5:$B$1204,B1093,$H$5:$H$1204,"Retail")&gt;0,"Yes","No"))))</f>
        <v>0</v>
      </c>
      <c r="AK1093" s="25">
        <f>IF(B1093="","",COUNTIFS($Y$5:$Y$1204,"&gt;"&amp;Y1093)+COUNTIFS($Y$5:Y1093,Y1093))</f>
        <v>0</v>
      </c>
      <c r="AL1093" s="39">
        <f>IF(B1093="","",IF(H1093="","Add - what kind of sale is this?",IF(IF(V1093&lt;=0,P1093="",FALSE),"Check - no price found for this item",IF(F1093="","Assign - nobody credited",IF(AH1093&gt;0.004,"Unpaid - balance outstanding",IF(AC1093&lt;0,"Loss - sold below cost",IF(X1093&gt;W1093*0.5,"Check - more than half off","OK")))))))</f>
        <v>0</v>
      </c>
    </row>
    <row r="1094" spans="1:38">
      <c r="A1094" s="28">
        <f>IF(B1094="","",SalePrefix&amp;TEXT(ROW()-4,"0000"))</f>
        <v>0</v>
      </c>
      <c r="E1094" s="15">
        <f>IF(D1094="","",IFERROR(INDEX(Clients!$B$5:$B$504,MATCH(D1094,Clients!$A$5:$A$504,0)),"Walk-in"))</f>
        <v>0</v>
      </c>
      <c r="G1094" s="15">
        <f>IF(F1094="","",IFERROR(INDEX(Staff!$B$5:$B$44,MATCH(F1094,Staff!$A$5:$A$44,0)),"House"))</f>
        <v>0</v>
      </c>
      <c r="R1094" s="15">
        <f>IF(B1094="","",TEXT(B1094,"yyyy-mm"))</f>
        <v>0</v>
      </c>
      <c r="S1094" s="25">
        <f>IF(B1094="","",WEEKNUM(B1094,2))</f>
        <v>0</v>
      </c>
      <c r="T1094" s="37">
        <f>IF(B1094="","",IF(K1094="",1,K1094))</f>
        <v>0</v>
      </c>
      <c r="U1094" s="15">
        <f>IF(B1094="","",IF(J1094&lt;&gt;"",J1094,IF(H1094="Retail",IFERROR(INDEX(Inventory!$B$5:$B$304,MATCH(I1094,Inventory!$A$5:$A$304,0))&amp;"","Not in Inventory"),IFERROR(INDEX(Services!$B$5:$B$204,MATCH(I1094,Services!$A$5:$A$204,0))&amp;"","Not in Services"))))</f>
        <v>0</v>
      </c>
      <c r="V1094" s="26">
        <f>IF(B1094="","",IF(L1094&lt;&gt;"",L1094,IF(H1094="Retail",IFERROR(INDEX(Inventory!$I$5:$I$304,MATCH(I1094,Inventory!$A$5:$A$304,0))*1,0),IFERROR(INDEX(Services!$G$5:$G$204,MATCH(I1094,Services!$A$5:$A$204,0))*1,0))))</f>
        <v>0</v>
      </c>
      <c r="W1094" s="26">
        <f>IF(B1094="","",ROUND(T1094*V1094,2))</f>
        <v>0</v>
      </c>
      <c r="X1094" s="26">
        <f>IF(B1094="","",ROUND(IF(M1094="",0,W1094*M1094)+IF(N1094="",0,N1094),2))</f>
        <v>0</v>
      </c>
      <c r="Y1094" s="26">
        <f>IF(B1094="","",ROUND(W1094-X1094-IF(P1094="",0,P1094),2))</f>
        <v>0</v>
      </c>
      <c r="Z1094" s="26">
        <f>IF(B1094="","",IF(H1094="Retail",IF(TaxOnRetail="Yes",ROUND(Y1094*TaxRate,2),0),IF(H1094="Service",IF(TaxOnServices="Yes",ROUND(Y1094*TaxRate,2),0),0)))</f>
        <v>0</v>
      </c>
      <c r="AA1094" s="26">
        <f>IF(B1094="","",ROUND(Y1094+Z1094,2))</f>
        <v>0</v>
      </c>
      <c r="AB1094" s="26">
        <f>IF(B1094="","",ROUND(T1094*IF(H1094="Retail",IFERROR(INDEX(Inventory!$H$5:$H$304,MATCH(I1094,Inventory!$A$5:$A$304,0))*1,0),IFERROR(INDEX(Services!$Q$5:$Q$204,MATCH(I1094,Services!$A$5:$A$204,0))*1,0)),2))</f>
        <v>0</v>
      </c>
      <c r="AC1094" s="26">
        <f>IF(B1094="","",ROUND(Y1094-AB1094,2))</f>
        <v>0</v>
      </c>
      <c r="AD1094" s="38">
        <f>IF(B1094="","",IF(C1094="","No",IF(COUNTIFS($C$5:C1094,C1094)=1,"Yes","No")))</f>
        <v>0</v>
      </c>
      <c r="AE1094" s="26">
        <f>IF(B1094="","",ROUND(SUMIFS(Payments!$G$5:$G$1204,Payments!$H$5:$H$1204,A1094,Payments!$Q$5:$Q$1204,"Yes"),2))</f>
        <v>0</v>
      </c>
      <c r="AF1094" s="26">
        <f>IF(B1094="","",IF(AD1094="No",0,ROUND(SUMIFS(Payments!$G$5:$G$1204,Payments!$I$5:$I$1204,C1094,Payments!$H$5:$H$1204,"",Payments!$Q$5:$Q$1204,"Yes"),2)))</f>
        <v>0</v>
      </c>
      <c r="AG1094" s="26">
        <f>IF(B1094="","",ROUND(AE1094+AF1094,2))</f>
        <v>0</v>
      </c>
      <c r="AH1094" s="26">
        <f>IF(B1094="","",ROUND(AA1094-AG1094,2))</f>
        <v>0</v>
      </c>
      <c r="AI1094" s="39">
        <f>IF(B1094="","",IF(AA1094&lt;=0,"No charge",IF(AH1094&lt;=0.004,"Paid",IF(AG1094&lt;=0.004,"Unpaid","Part paid"))))</f>
        <v>0</v>
      </c>
      <c r="AJ1094" s="38">
        <f>IF(B1094="","",IF(H1094&lt;&gt;"Service","",IF(D1094="","No",IF(COUNTIFS($D$5:$D$1204,D1094,$B$5:$B$1204,B1094,$H$5:$H$1204,"Retail")&gt;0,"Yes","No"))))</f>
        <v>0</v>
      </c>
      <c r="AK1094" s="25">
        <f>IF(B1094="","",COUNTIFS($Y$5:$Y$1204,"&gt;"&amp;Y1094)+COUNTIFS($Y$5:Y1094,Y1094))</f>
        <v>0</v>
      </c>
      <c r="AL1094" s="39">
        <f>IF(B1094="","",IF(H1094="","Add - what kind of sale is this?",IF(IF(V1094&lt;=0,P1094="",FALSE),"Check - no price found for this item",IF(F1094="","Assign - nobody credited",IF(AH1094&gt;0.004,"Unpaid - balance outstanding",IF(AC1094&lt;0,"Loss - sold below cost",IF(X1094&gt;W1094*0.5,"Check - more than half off","OK")))))))</f>
        <v>0</v>
      </c>
    </row>
    <row r="1095" spans="1:38">
      <c r="A1095" s="28">
        <f>IF(B1095="","",SalePrefix&amp;TEXT(ROW()-4,"0000"))</f>
        <v>0</v>
      </c>
      <c r="E1095" s="15">
        <f>IF(D1095="","",IFERROR(INDEX(Clients!$B$5:$B$504,MATCH(D1095,Clients!$A$5:$A$504,0)),"Walk-in"))</f>
        <v>0</v>
      </c>
      <c r="G1095" s="15">
        <f>IF(F1095="","",IFERROR(INDEX(Staff!$B$5:$B$44,MATCH(F1095,Staff!$A$5:$A$44,0)),"House"))</f>
        <v>0</v>
      </c>
      <c r="R1095" s="15">
        <f>IF(B1095="","",TEXT(B1095,"yyyy-mm"))</f>
        <v>0</v>
      </c>
      <c r="S1095" s="25">
        <f>IF(B1095="","",WEEKNUM(B1095,2))</f>
        <v>0</v>
      </c>
      <c r="T1095" s="37">
        <f>IF(B1095="","",IF(K1095="",1,K1095))</f>
        <v>0</v>
      </c>
      <c r="U1095" s="15">
        <f>IF(B1095="","",IF(J1095&lt;&gt;"",J1095,IF(H1095="Retail",IFERROR(INDEX(Inventory!$B$5:$B$304,MATCH(I1095,Inventory!$A$5:$A$304,0))&amp;"","Not in Inventory"),IFERROR(INDEX(Services!$B$5:$B$204,MATCH(I1095,Services!$A$5:$A$204,0))&amp;"","Not in Services"))))</f>
        <v>0</v>
      </c>
      <c r="V1095" s="26">
        <f>IF(B1095="","",IF(L1095&lt;&gt;"",L1095,IF(H1095="Retail",IFERROR(INDEX(Inventory!$I$5:$I$304,MATCH(I1095,Inventory!$A$5:$A$304,0))*1,0),IFERROR(INDEX(Services!$G$5:$G$204,MATCH(I1095,Services!$A$5:$A$204,0))*1,0))))</f>
        <v>0</v>
      </c>
      <c r="W1095" s="26">
        <f>IF(B1095="","",ROUND(T1095*V1095,2))</f>
        <v>0</v>
      </c>
      <c r="X1095" s="26">
        <f>IF(B1095="","",ROUND(IF(M1095="",0,W1095*M1095)+IF(N1095="",0,N1095),2))</f>
        <v>0</v>
      </c>
      <c r="Y1095" s="26">
        <f>IF(B1095="","",ROUND(W1095-X1095-IF(P1095="",0,P1095),2))</f>
        <v>0</v>
      </c>
      <c r="Z1095" s="26">
        <f>IF(B1095="","",IF(H1095="Retail",IF(TaxOnRetail="Yes",ROUND(Y1095*TaxRate,2),0),IF(H1095="Service",IF(TaxOnServices="Yes",ROUND(Y1095*TaxRate,2),0),0)))</f>
        <v>0</v>
      </c>
      <c r="AA1095" s="26">
        <f>IF(B1095="","",ROUND(Y1095+Z1095,2))</f>
        <v>0</v>
      </c>
      <c r="AB1095" s="26">
        <f>IF(B1095="","",ROUND(T1095*IF(H1095="Retail",IFERROR(INDEX(Inventory!$H$5:$H$304,MATCH(I1095,Inventory!$A$5:$A$304,0))*1,0),IFERROR(INDEX(Services!$Q$5:$Q$204,MATCH(I1095,Services!$A$5:$A$204,0))*1,0)),2))</f>
        <v>0</v>
      </c>
      <c r="AC1095" s="26">
        <f>IF(B1095="","",ROUND(Y1095-AB1095,2))</f>
        <v>0</v>
      </c>
      <c r="AD1095" s="38">
        <f>IF(B1095="","",IF(C1095="","No",IF(COUNTIFS($C$5:C1095,C1095)=1,"Yes","No")))</f>
        <v>0</v>
      </c>
      <c r="AE1095" s="26">
        <f>IF(B1095="","",ROUND(SUMIFS(Payments!$G$5:$G$1204,Payments!$H$5:$H$1204,A1095,Payments!$Q$5:$Q$1204,"Yes"),2))</f>
        <v>0</v>
      </c>
      <c r="AF1095" s="26">
        <f>IF(B1095="","",IF(AD1095="No",0,ROUND(SUMIFS(Payments!$G$5:$G$1204,Payments!$I$5:$I$1204,C1095,Payments!$H$5:$H$1204,"",Payments!$Q$5:$Q$1204,"Yes"),2)))</f>
        <v>0</v>
      </c>
      <c r="AG1095" s="26">
        <f>IF(B1095="","",ROUND(AE1095+AF1095,2))</f>
        <v>0</v>
      </c>
      <c r="AH1095" s="26">
        <f>IF(B1095="","",ROUND(AA1095-AG1095,2))</f>
        <v>0</v>
      </c>
      <c r="AI1095" s="39">
        <f>IF(B1095="","",IF(AA1095&lt;=0,"No charge",IF(AH1095&lt;=0.004,"Paid",IF(AG1095&lt;=0.004,"Unpaid","Part paid"))))</f>
        <v>0</v>
      </c>
      <c r="AJ1095" s="38">
        <f>IF(B1095="","",IF(H1095&lt;&gt;"Service","",IF(D1095="","No",IF(COUNTIFS($D$5:$D$1204,D1095,$B$5:$B$1204,B1095,$H$5:$H$1204,"Retail")&gt;0,"Yes","No"))))</f>
        <v>0</v>
      </c>
      <c r="AK1095" s="25">
        <f>IF(B1095="","",COUNTIFS($Y$5:$Y$1204,"&gt;"&amp;Y1095)+COUNTIFS($Y$5:Y1095,Y1095))</f>
        <v>0</v>
      </c>
      <c r="AL1095" s="39">
        <f>IF(B1095="","",IF(H1095="","Add - what kind of sale is this?",IF(IF(V1095&lt;=0,P1095="",FALSE),"Check - no price found for this item",IF(F1095="","Assign - nobody credited",IF(AH1095&gt;0.004,"Unpaid - balance outstanding",IF(AC1095&lt;0,"Loss - sold below cost",IF(X1095&gt;W1095*0.5,"Check - more than half off","OK")))))))</f>
        <v>0</v>
      </c>
    </row>
    <row r="1096" spans="1:38">
      <c r="A1096" s="28">
        <f>IF(B1096="","",SalePrefix&amp;TEXT(ROW()-4,"0000"))</f>
        <v>0</v>
      </c>
      <c r="E1096" s="15">
        <f>IF(D1096="","",IFERROR(INDEX(Clients!$B$5:$B$504,MATCH(D1096,Clients!$A$5:$A$504,0)),"Walk-in"))</f>
        <v>0</v>
      </c>
      <c r="G1096" s="15">
        <f>IF(F1096="","",IFERROR(INDEX(Staff!$B$5:$B$44,MATCH(F1096,Staff!$A$5:$A$44,0)),"House"))</f>
        <v>0</v>
      </c>
      <c r="R1096" s="15">
        <f>IF(B1096="","",TEXT(B1096,"yyyy-mm"))</f>
        <v>0</v>
      </c>
      <c r="S1096" s="25">
        <f>IF(B1096="","",WEEKNUM(B1096,2))</f>
        <v>0</v>
      </c>
      <c r="T1096" s="37">
        <f>IF(B1096="","",IF(K1096="",1,K1096))</f>
        <v>0</v>
      </c>
      <c r="U1096" s="15">
        <f>IF(B1096="","",IF(J1096&lt;&gt;"",J1096,IF(H1096="Retail",IFERROR(INDEX(Inventory!$B$5:$B$304,MATCH(I1096,Inventory!$A$5:$A$304,0))&amp;"","Not in Inventory"),IFERROR(INDEX(Services!$B$5:$B$204,MATCH(I1096,Services!$A$5:$A$204,0))&amp;"","Not in Services"))))</f>
        <v>0</v>
      </c>
      <c r="V1096" s="26">
        <f>IF(B1096="","",IF(L1096&lt;&gt;"",L1096,IF(H1096="Retail",IFERROR(INDEX(Inventory!$I$5:$I$304,MATCH(I1096,Inventory!$A$5:$A$304,0))*1,0),IFERROR(INDEX(Services!$G$5:$G$204,MATCH(I1096,Services!$A$5:$A$204,0))*1,0))))</f>
        <v>0</v>
      </c>
      <c r="W1096" s="26">
        <f>IF(B1096="","",ROUND(T1096*V1096,2))</f>
        <v>0</v>
      </c>
      <c r="X1096" s="26">
        <f>IF(B1096="","",ROUND(IF(M1096="",0,W1096*M1096)+IF(N1096="",0,N1096),2))</f>
        <v>0</v>
      </c>
      <c r="Y1096" s="26">
        <f>IF(B1096="","",ROUND(W1096-X1096-IF(P1096="",0,P1096),2))</f>
        <v>0</v>
      </c>
      <c r="Z1096" s="26">
        <f>IF(B1096="","",IF(H1096="Retail",IF(TaxOnRetail="Yes",ROUND(Y1096*TaxRate,2),0),IF(H1096="Service",IF(TaxOnServices="Yes",ROUND(Y1096*TaxRate,2),0),0)))</f>
        <v>0</v>
      </c>
      <c r="AA1096" s="26">
        <f>IF(B1096="","",ROUND(Y1096+Z1096,2))</f>
        <v>0</v>
      </c>
      <c r="AB1096" s="26">
        <f>IF(B1096="","",ROUND(T1096*IF(H1096="Retail",IFERROR(INDEX(Inventory!$H$5:$H$304,MATCH(I1096,Inventory!$A$5:$A$304,0))*1,0),IFERROR(INDEX(Services!$Q$5:$Q$204,MATCH(I1096,Services!$A$5:$A$204,0))*1,0)),2))</f>
        <v>0</v>
      </c>
      <c r="AC1096" s="26">
        <f>IF(B1096="","",ROUND(Y1096-AB1096,2))</f>
        <v>0</v>
      </c>
      <c r="AD1096" s="38">
        <f>IF(B1096="","",IF(C1096="","No",IF(COUNTIFS($C$5:C1096,C1096)=1,"Yes","No")))</f>
        <v>0</v>
      </c>
      <c r="AE1096" s="26">
        <f>IF(B1096="","",ROUND(SUMIFS(Payments!$G$5:$G$1204,Payments!$H$5:$H$1204,A1096,Payments!$Q$5:$Q$1204,"Yes"),2))</f>
        <v>0</v>
      </c>
      <c r="AF1096" s="26">
        <f>IF(B1096="","",IF(AD1096="No",0,ROUND(SUMIFS(Payments!$G$5:$G$1204,Payments!$I$5:$I$1204,C1096,Payments!$H$5:$H$1204,"",Payments!$Q$5:$Q$1204,"Yes"),2)))</f>
        <v>0</v>
      </c>
      <c r="AG1096" s="26">
        <f>IF(B1096="","",ROUND(AE1096+AF1096,2))</f>
        <v>0</v>
      </c>
      <c r="AH1096" s="26">
        <f>IF(B1096="","",ROUND(AA1096-AG1096,2))</f>
        <v>0</v>
      </c>
      <c r="AI1096" s="39">
        <f>IF(B1096="","",IF(AA1096&lt;=0,"No charge",IF(AH1096&lt;=0.004,"Paid",IF(AG1096&lt;=0.004,"Unpaid","Part paid"))))</f>
        <v>0</v>
      </c>
      <c r="AJ1096" s="38">
        <f>IF(B1096="","",IF(H1096&lt;&gt;"Service","",IF(D1096="","No",IF(COUNTIFS($D$5:$D$1204,D1096,$B$5:$B$1204,B1096,$H$5:$H$1204,"Retail")&gt;0,"Yes","No"))))</f>
        <v>0</v>
      </c>
      <c r="AK1096" s="25">
        <f>IF(B1096="","",COUNTIFS($Y$5:$Y$1204,"&gt;"&amp;Y1096)+COUNTIFS($Y$5:Y1096,Y1096))</f>
        <v>0</v>
      </c>
      <c r="AL1096" s="39">
        <f>IF(B1096="","",IF(H1096="","Add - what kind of sale is this?",IF(IF(V1096&lt;=0,P1096="",FALSE),"Check - no price found for this item",IF(F1096="","Assign - nobody credited",IF(AH1096&gt;0.004,"Unpaid - balance outstanding",IF(AC1096&lt;0,"Loss - sold below cost",IF(X1096&gt;W1096*0.5,"Check - more than half off","OK")))))))</f>
        <v>0</v>
      </c>
    </row>
    <row r="1097" spans="1:38">
      <c r="A1097" s="28">
        <f>IF(B1097="","",SalePrefix&amp;TEXT(ROW()-4,"0000"))</f>
        <v>0</v>
      </c>
      <c r="E1097" s="15">
        <f>IF(D1097="","",IFERROR(INDEX(Clients!$B$5:$B$504,MATCH(D1097,Clients!$A$5:$A$504,0)),"Walk-in"))</f>
        <v>0</v>
      </c>
      <c r="G1097" s="15">
        <f>IF(F1097="","",IFERROR(INDEX(Staff!$B$5:$B$44,MATCH(F1097,Staff!$A$5:$A$44,0)),"House"))</f>
        <v>0</v>
      </c>
      <c r="R1097" s="15">
        <f>IF(B1097="","",TEXT(B1097,"yyyy-mm"))</f>
        <v>0</v>
      </c>
      <c r="S1097" s="25">
        <f>IF(B1097="","",WEEKNUM(B1097,2))</f>
        <v>0</v>
      </c>
      <c r="T1097" s="37">
        <f>IF(B1097="","",IF(K1097="",1,K1097))</f>
        <v>0</v>
      </c>
      <c r="U1097" s="15">
        <f>IF(B1097="","",IF(J1097&lt;&gt;"",J1097,IF(H1097="Retail",IFERROR(INDEX(Inventory!$B$5:$B$304,MATCH(I1097,Inventory!$A$5:$A$304,0))&amp;"","Not in Inventory"),IFERROR(INDEX(Services!$B$5:$B$204,MATCH(I1097,Services!$A$5:$A$204,0))&amp;"","Not in Services"))))</f>
        <v>0</v>
      </c>
      <c r="V1097" s="26">
        <f>IF(B1097="","",IF(L1097&lt;&gt;"",L1097,IF(H1097="Retail",IFERROR(INDEX(Inventory!$I$5:$I$304,MATCH(I1097,Inventory!$A$5:$A$304,0))*1,0),IFERROR(INDEX(Services!$G$5:$G$204,MATCH(I1097,Services!$A$5:$A$204,0))*1,0))))</f>
        <v>0</v>
      </c>
      <c r="W1097" s="26">
        <f>IF(B1097="","",ROUND(T1097*V1097,2))</f>
        <v>0</v>
      </c>
      <c r="X1097" s="26">
        <f>IF(B1097="","",ROUND(IF(M1097="",0,W1097*M1097)+IF(N1097="",0,N1097),2))</f>
        <v>0</v>
      </c>
      <c r="Y1097" s="26">
        <f>IF(B1097="","",ROUND(W1097-X1097-IF(P1097="",0,P1097),2))</f>
        <v>0</v>
      </c>
      <c r="Z1097" s="26">
        <f>IF(B1097="","",IF(H1097="Retail",IF(TaxOnRetail="Yes",ROUND(Y1097*TaxRate,2),0),IF(H1097="Service",IF(TaxOnServices="Yes",ROUND(Y1097*TaxRate,2),0),0)))</f>
        <v>0</v>
      </c>
      <c r="AA1097" s="26">
        <f>IF(B1097="","",ROUND(Y1097+Z1097,2))</f>
        <v>0</v>
      </c>
      <c r="AB1097" s="26">
        <f>IF(B1097="","",ROUND(T1097*IF(H1097="Retail",IFERROR(INDEX(Inventory!$H$5:$H$304,MATCH(I1097,Inventory!$A$5:$A$304,0))*1,0),IFERROR(INDEX(Services!$Q$5:$Q$204,MATCH(I1097,Services!$A$5:$A$204,0))*1,0)),2))</f>
        <v>0</v>
      </c>
      <c r="AC1097" s="26">
        <f>IF(B1097="","",ROUND(Y1097-AB1097,2))</f>
        <v>0</v>
      </c>
      <c r="AD1097" s="38">
        <f>IF(B1097="","",IF(C1097="","No",IF(COUNTIFS($C$5:C1097,C1097)=1,"Yes","No")))</f>
        <v>0</v>
      </c>
      <c r="AE1097" s="26">
        <f>IF(B1097="","",ROUND(SUMIFS(Payments!$G$5:$G$1204,Payments!$H$5:$H$1204,A1097,Payments!$Q$5:$Q$1204,"Yes"),2))</f>
        <v>0</v>
      </c>
      <c r="AF1097" s="26">
        <f>IF(B1097="","",IF(AD1097="No",0,ROUND(SUMIFS(Payments!$G$5:$G$1204,Payments!$I$5:$I$1204,C1097,Payments!$H$5:$H$1204,"",Payments!$Q$5:$Q$1204,"Yes"),2)))</f>
        <v>0</v>
      </c>
      <c r="AG1097" s="26">
        <f>IF(B1097="","",ROUND(AE1097+AF1097,2))</f>
        <v>0</v>
      </c>
      <c r="AH1097" s="26">
        <f>IF(B1097="","",ROUND(AA1097-AG1097,2))</f>
        <v>0</v>
      </c>
      <c r="AI1097" s="39">
        <f>IF(B1097="","",IF(AA1097&lt;=0,"No charge",IF(AH1097&lt;=0.004,"Paid",IF(AG1097&lt;=0.004,"Unpaid","Part paid"))))</f>
        <v>0</v>
      </c>
      <c r="AJ1097" s="38">
        <f>IF(B1097="","",IF(H1097&lt;&gt;"Service","",IF(D1097="","No",IF(COUNTIFS($D$5:$D$1204,D1097,$B$5:$B$1204,B1097,$H$5:$H$1204,"Retail")&gt;0,"Yes","No"))))</f>
        <v>0</v>
      </c>
      <c r="AK1097" s="25">
        <f>IF(B1097="","",COUNTIFS($Y$5:$Y$1204,"&gt;"&amp;Y1097)+COUNTIFS($Y$5:Y1097,Y1097))</f>
        <v>0</v>
      </c>
      <c r="AL1097" s="39">
        <f>IF(B1097="","",IF(H1097="","Add - what kind of sale is this?",IF(IF(V1097&lt;=0,P1097="",FALSE),"Check - no price found for this item",IF(F1097="","Assign - nobody credited",IF(AH1097&gt;0.004,"Unpaid - balance outstanding",IF(AC1097&lt;0,"Loss - sold below cost",IF(X1097&gt;W1097*0.5,"Check - more than half off","OK")))))))</f>
        <v>0</v>
      </c>
    </row>
    <row r="1098" spans="1:38">
      <c r="A1098" s="28">
        <f>IF(B1098="","",SalePrefix&amp;TEXT(ROW()-4,"0000"))</f>
        <v>0</v>
      </c>
      <c r="E1098" s="15">
        <f>IF(D1098="","",IFERROR(INDEX(Clients!$B$5:$B$504,MATCH(D1098,Clients!$A$5:$A$504,0)),"Walk-in"))</f>
        <v>0</v>
      </c>
      <c r="G1098" s="15">
        <f>IF(F1098="","",IFERROR(INDEX(Staff!$B$5:$B$44,MATCH(F1098,Staff!$A$5:$A$44,0)),"House"))</f>
        <v>0</v>
      </c>
      <c r="R1098" s="15">
        <f>IF(B1098="","",TEXT(B1098,"yyyy-mm"))</f>
        <v>0</v>
      </c>
      <c r="S1098" s="25">
        <f>IF(B1098="","",WEEKNUM(B1098,2))</f>
        <v>0</v>
      </c>
      <c r="T1098" s="37">
        <f>IF(B1098="","",IF(K1098="",1,K1098))</f>
        <v>0</v>
      </c>
      <c r="U1098" s="15">
        <f>IF(B1098="","",IF(J1098&lt;&gt;"",J1098,IF(H1098="Retail",IFERROR(INDEX(Inventory!$B$5:$B$304,MATCH(I1098,Inventory!$A$5:$A$304,0))&amp;"","Not in Inventory"),IFERROR(INDEX(Services!$B$5:$B$204,MATCH(I1098,Services!$A$5:$A$204,0))&amp;"","Not in Services"))))</f>
        <v>0</v>
      </c>
      <c r="V1098" s="26">
        <f>IF(B1098="","",IF(L1098&lt;&gt;"",L1098,IF(H1098="Retail",IFERROR(INDEX(Inventory!$I$5:$I$304,MATCH(I1098,Inventory!$A$5:$A$304,0))*1,0),IFERROR(INDEX(Services!$G$5:$G$204,MATCH(I1098,Services!$A$5:$A$204,0))*1,0))))</f>
        <v>0</v>
      </c>
      <c r="W1098" s="26">
        <f>IF(B1098="","",ROUND(T1098*V1098,2))</f>
        <v>0</v>
      </c>
      <c r="X1098" s="26">
        <f>IF(B1098="","",ROUND(IF(M1098="",0,W1098*M1098)+IF(N1098="",0,N1098),2))</f>
        <v>0</v>
      </c>
      <c r="Y1098" s="26">
        <f>IF(B1098="","",ROUND(W1098-X1098-IF(P1098="",0,P1098),2))</f>
        <v>0</v>
      </c>
      <c r="Z1098" s="26">
        <f>IF(B1098="","",IF(H1098="Retail",IF(TaxOnRetail="Yes",ROUND(Y1098*TaxRate,2),0),IF(H1098="Service",IF(TaxOnServices="Yes",ROUND(Y1098*TaxRate,2),0),0)))</f>
        <v>0</v>
      </c>
      <c r="AA1098" s="26">
        <f>IF(B1098="","",ROUND(Y1098+Z1098,2))</f>
        <v>0</v>
      </c>
      <c r="AB1098" s="26">
        <f>IF(B1098="","",ROUND(T1098*IF(H1098="Retail",IFERROR(INDEX(Inventory!$H$5:$H$304,MATCH(I1098,Inventory!$A$5:$A$304,0))*1,0),IFERROR(INDEX(Services!$Q$5:$Q$204,MATCH(I1098,Services!$A$5:$A$204,0))*1,0)),2))</f>
        <v>0</v>
      </c>
      <c r="AC1098" s="26">
        <f>IF(B1098="","",ROUND(Y1098-AB1098,2))</f>
        <v>0</v>
      </c>
      <c r="AD1098" s="38">
        <f>IF(B1098="","",IF(C1098="","No",IF(COUNTIFS($C$5:C1098,C1098)=1,"Yes","No")))</f>
        <v>0</v>
      </c>
      <c r="AE1098" s="26">
        <f>IF(B1098="","",ROUND(SUMIFS(Payments!$G$5:$G$1204,Payments!$H$5:$H$1204,A1098,Payments!$Q$5:$Q$1204,"Yes"),2))</f>
        <v>0</v>
      </c>
      <c r="AF1098" s="26">
        <f>IF(B1098="","",IF(AD1098="No",0,ROUND(SUMIFS(Payments!$G$5:$G$1204,Payments!$I$5:$I$1204,C1098,Payments!$H$5:$H$1204,"",Payments!$Q$5:$Q$1204,"Yes"),2)))</f>
        <v>0</v>
      </c>
      <c r="AG1098" s="26">
        <f>IF(B1098="","",ROUND(AE1098+AF1098,2))</f>
        <v>0</v>
      </c>
      <c r="AH1098" s="26">
        <f>IF(B1098="","",ROUND(AA1098-AG1098,2))</f>
        <v>0</v>
      </c>
      <c r="AI1098" s="39">
        <f>IF(B1098="","",IF(AA1098&lt;=0,"No charge",IF(AH1098&lt;=0.004,"Paid",IF(AG1098&lt;=0.004,"Unpaid","Part paid"))))</f>
        <v>0</v>
      </c>
      <c r="AJ1098" s="38">
        <f>IF(B1098="","",IF(H1098&lt;&gt;"Service","",IF(D1098="","No",IF(COUNTIFS($D$5:$D$1204,D1098,$B$5:$B$1204,B1098,$H$5:$H$1204,"Retail")&gt;0,"Yes","No"))))</f>
        <v>0</v>
      </c>
      <c r="AK1098" s="25">
        <f>IF(B1098="","",COUNTIFS($Y$5:$Y$1204,"&gt;"&amp;Y1098)+COUNTIFS($Y$5:Y1098,Y1098))</f>
        <v>0</v>
      </c>
      <c r="AL1098" s="39">
        <f>IF(B1098="","",IF(H1098="","Add - what kind of sale is this?",IF(IF(V1098&lt;=0,P1098="",FALSE),"Check - no price found for this item",IF(F1098="","Assign - nobody credited",IF(AH1098&gt;0.004,"Unpaid - balance outstanding",IF(AC1098&lt;0,"Loss - sold below cost",IF(X1098&gt;W1098*0.5,"Check - more than half off","OK")))))))</f>
        <v>0</v>
      </c>
    </row>
    <row r="1099" spans="1:38">
      <c r="A1099" s="28">
        <f>IF(B1099="","",SalePrefix&amp;TEXT(ROW()-4,"0000"))</f>
        <v>0</v>
      </c>
      <c r="E1099" s="15">
        <f>IF(D1099="","",IFERROR(INDEX(Clients!$B$5:$B$504,MATCH(D1099,Clients!$A$5:$A$504,0)),"Walk-in"))</f>
        <v>0</v>
      </c>
      <c r="G1099" s="15">
        <f>IF(F1099="","",IFERROR(INDEX(Staff!$B$5:$B$44,MATCH(F1099,Staff!$A$5:$A$44,0)),"House"))</f>
        <v>0</v>
      </c>
      <c r="R1099" s="15">
        <f>IF(B1099="","",TEXT(B1099,"yyyy-mm"))</f>
        <v>0</v>
      </c>
      <c r="S1099" s="25">
        <f>IF(B1099="","",WEEKNUM(B1099,2))</f>
        <v>0</v>
      </c>
      <c r="T1099" s="37">
        <f>IF(B1099="","",IF(K1099="",1,K1099))</f>
        <v>0</v>
      </c>
      <c r="U1099" s="15">
        <f>IF(B1099="","",IF(J1099&lt;&gt;"",J1099,IF(H1099="Retail",IFERROR(INDEX(Inventory!$B$5:$B$304,MATCH(I1099,Inventory!$A$5:$A$304,0))&amp;"","Not in Inventory"),IFERROR(INDEX(Services!$B$5:$B$204,MATCH(I1099,Services!$A$5:$A$204,0))&amp;"","Not in Services"))))</f>
        <v>0</v>
      </c>
      <c r="V1099" s="26">
        <f>IF(B1099="","",IF(L1099&lt;&gt;"",L1099,IF(H1099="Retail",IFERROR(INDEX(Inventory!$I$5:$I$304,MATCH(I1099,Inventory!$A$5:$A$304,0))*1,0),IFERROR(INDEX(Services!$G$5:$G$204,MATCH(I1099,Services!$A$5:$A$204,0))*1,0))))</f>
        <v>0</v>
      </c>
      <c r="W1099" s="26">
        <f>IF(B1099="","",ROUND(T1099*V1099,2))</f>
        <v>0</v>
      </c>
      <c r="X1099" s="26">
        <f>IF(B1099="","",ROUND(IF(M1099="",0,W1099*M1099)+IF(N1099="",0,N1099),2))</f>
        <v>0</v>
      </c>
      <c r="Y1099" s="26">
        <f>IF(B1099="","",ROUND(W1099-X1099-IF(P1099="",0,P1099),2))</f>
        <v>0</v>
      </c>
      <c r="Z1099" s="26">
        <f>IF(B1099="","",IF(H1099="Retail",IF(TaxOnRetail="Yes",ROUND(Y1099*TaxRate,2),0),IF(H1099="Service",IF(TaxOnServices="Yes",ROUND(Y1099*TaxRate,2),0),0)))</f>
        <v>0</v>
      </c>
      <c r="AA1099" s="26">
        <f>IF(B1099="","",ROUND(Y1099+Z1099,2))</f>
        <v>0</v>
      </c>
      <c r="AB1099" s="26">
        <f>IF(B1099="","",ROUND(T1099*IF(H1099="Retail",IFERROR(INDEX(Inventory!$H$5:$H$304,MATCH(I1099,Inventory!$A$5:$A$304,0))*1,0),IFERROR(INDEX(Services!$Q$5:$Q$204,MATCH(I1099,Services!$A$5:$A$204,0))*1,0)),2))</f>
        <v>0</v>
      </c>
      <c r="AC1099" s="26">
        <f>IF(B1099="","",ROUND(Y1099-AB1099,2))</f>
        <v>0</v>
      </c>
      <c r="AD1099" s="38">
        <f>IF(B1099="","",IF(C1099="","No",IF(COUNTIFS($C$5:C1099,C1099)=1,"Yes","No")))</f>
        <v>0</v>
      </c>
      <c r="AE1099" s="26">
        <f>IF(B1099="","",ROUND(SUMIFS(Payments!$G$5:$G$1204,Payments!$H$5:$H$1204,A1099,Payments!$Q$5:$Q$1204,"Yes"),2))</f>
        <v>0</v>
      </c>
      <c r="AF1099" s="26">
        <f>IF(B1099="","",IF(AD1099="No",0,ROUND(SUMIFS(Payments!$G$5:$G$1204,Payments!$I$5:$I$1204,C1099,Payments!$H$5:$H$1204,"",Payments!$Q$5:$Q$1204,"Yes"),2)))</f>
        <v>0</v>
      </c>
      <c r="AG1099" s="26">
        <f>IF(B1099="","",ROUND(AE1099+AF1099,2))</f>
        <v>0</v>
      </c>
      <c r="AH1099" s="26">
        <f>IF(B1099="","",ROUND(AA1099-AG1099,2))</f>
        <v>0</v>
      </c>
      <c r="AI1099" s="39">
        <f>IF(B1099="","",IF(AA1099&lt;=0,"No charge",IF(AH1099&lt;=0.004,"Paid",IF(AG1099&lt;=0.004,"Unpaid","Part paid"))))</f>
        <v>0</v>
      </c>
      <c r="AJ1099" s="38">
        <f>IF(B1099="","",IF(H1099&lt;&gt;"Service","",IF(D1099="","No",IF(COUNTIFS($D$5:$D$1204,D1099,$B$5:$B$1204,B1099,$H$5:$H$1204,"Retail")&gt;0,"Yes","No"))))</f>
        <v>0</v>
      </c>
      <c r="AK1099" s="25">
        <f>IF(B1099="","",COUNTIFS($Y$5:$Y$1204,"&gt;"&amp;Y1099)+COUNTIFS($Y$5:Y1099,Y1099))</f>
        <v>0</v>
      </c>
      <c r="AL1099" s="39">
        <f>IF(B1099="","",IF(H1099="","Add - what kind of sale is this?",IF(IF(V1099&lt;=0,P1099="",FALSE),"Check - no price found for this item",IF(F1099="","Assign - nobody credited",IF(AH1099&gt;0.004,"Unpaid - balance outstanding",IF(AC1099&lt;0,"Loss - sold below cost",IF(X1099&gt;W1099*0.5,"Check - more than half off","OK")))))))</f>
        <v>0</v>
      </c>
    </row>
    <row r="1100" spans="1:38">
      <c r="A1100" s="28">
        <f>IF(B1100="","",SalePrefix&amp;TEXT(ROW()-4,"0000"))</f>
        <v>0</v>
      </c>
      <c r="E1100" s="15">
        <f>IF(D1100="","",IFERROR(INDEX(Clients!$B$5:$B$504,MATCH(D1100,Clients!$A$5:$A$504,0)),"Walk-in"))</f>
        <v>0</v>
      </c>
      <c r="G1100" s="15">
        <f>IF(F1100="","",IFERROR(INDEX(Staff!$B$5:$B$44,MATCH(F1100,Staff!$A$5:$A$44,0)),"House"))</f>
        <v>0</v>
      </c>
      <c r="R1100" s="15">
        <f>IF(B1100="","",TEXT(B1100,"yyyy-mm"))</f>
        <v>0</v>
      </c>
      <c r="S1100" s="25">
        <f>IF(B1100="","",WEEKNUM(B1100,2))</f>
        <v>0</v>
      </c>
      <c r="T1100" s="37">
        <f>IF(B1100="","",IF(K1100="",1,K1100))</f>
        <v>0</v>
      </c>
      <c r="U1100" s="15">
        <f>IF(B1100="","",IF(J1100&lt;&gt;"",J1100,IF(H1100="Retail",IFERROR(INDEX(Inventory!$B$5:$B$304,MATCH(I1100,Inventory!$A$5:$A$304,0))&amp;"","Not in Inventory"),IFERROR(INDEX(Services!$B$5:$B$204,MATCH(I1100,Services!$A$5:$A$204,0))&amp;"","Not in Services"))))</f>
        <v>0</v>
      </c>
      <c r="V1100" s="26">
        <f>IF(B1100="","",IF(L1100&lt;&gt;"",L1100,IF(H1100="Retail",IFERROR(INDEX(Inventory!$I$5:$I$304,MATCH(I1100,Inventory!$A$5:$A$304,0))*1,0),IFERROR(INDEX(Services!$G$5:$G$204,MATCH(I1100,Services!$A$5:$A$204,0))*1,0))))</f>
        <v>0</v>
      </c>
      <c r="W1100" s="26">
        <f>IF(B1100="","",ROUND(T1100*V1100,2))</f>
        <v>0</v>
      </c>
      <c r="X1100" s="26">
        <f>IF(B1100="","",ROUND(IF(M1100="",0,W1100*M1100)+IF(N1100="",0,N1100),2))</f>
        <v>0</v>
      </c>
      <c r="Y1100" s="26">
        <f>IF(B1100="","",ROUND(W1100-X1100-IF(P1100="",0,P1100),2))</f>
        <v>0</v>
      </c>
      <c r="Z1100" s="26">
        <f>IF(B1100="","",IF(H1100="Retail",IF(TaxOnRetail="Yes",ROUND(Y1100*TaxRate,2),0),IF(H1100="Service",IF(TaxOnServices="Yes",ROUND(Y1100*TaxRate,2),0),0)))</f>
        <v>0</v>
      </c>
      <c r="AA1100" s="26">
        <f>IF(B1100="","",ROUND(Y1100+Z1100,2))</f>
        <v>0</v>
      </c>
      <c r="AB1100" s="26">
        <f>IF(B1100="","",ROUND(T1100*IF(H1100="Retail",IFERROR(INDEX(Inventory!$H$5:$H$304,MATCH(I1100,Inventory!$A$5:$A$304,0))*1,0),IFERROR(INDEX(Services!$Q$5:$Q$204,MATCH(I1100,Services!$A$5:$A$204,0))*1,0)),2))</f>
        <v>0</v>
      </c>
      <c r="AC1100" s="26">
        <f>IF(B1100="","",ROUND(Y1100-AB1100,2))</f>
        <v>0</v>
      </c>
      <c r="AD1100" s="38">
        <f>IF(B1100="","",IF(C1100="","No",IF(COUNTIFS($C$5:C1100,C1100)=1,"Yes","No")))</f>
        <v>0</v>
      </c>
      <c r="AE1100" s="26">
        <f>IF(B1100="","",ROUND(SUMIFS(Payments!$G$5:$G$1204,Payments!$H$5:$H$1204,A1100,Payments!$Q$5:$Q$1204,"Yes"),2))</f>
        <v>0</v>
      </c>
      <c r="AF1100" s="26">
        <f>IF(B1100="","",IF(AD1100="No",0,ROUND(SUMIFS(Payments!$G$5:$G$1204,Payments!$I$5:$I$1204,C1100,Payments!$H$5:$H$1204,"",Payments!$Q$5:$Q$1204,"Yes"),2)))</f>
        <v>0</v>
      </c>
      <c r="AG1100" s="26">
        <f>IF(B1100="","",ROUND(AE1100+AF1100,2))</f>
        <v>0</v>
      </c>
      <c r="AH1100" s="26">
        <f>IF(B1100="","",ROUND(AA1100-AG1100,2))</f>
        <v>0</v>
      </c>
      <c r="AI1100" s="39">
        <f>IF(B1100="","",IF(AA1100&lt;=0,"No charge",IF(AH1100&lt;=0.004,"Paid",IF(AG1100&lt;=0.004,"Unpaid","Part paid"))))</f>
        <v>0</v>
      </c>
      <c r="AJ1100" s="38">
        <f>IF(B1100="","",IF(H1100&lt;&gt;"Service","",IF(D1100="","No",IF(COUNTIFS($D$5:$D$1204,D1100,$B$5:$B$1204,B1100,$H$5:$H$1204,"Retail")&gt;0,"Yes","No"))))</f>
        <v>0</v>
      </c>
      <c r="AK1100" s="25">
        <f>IF(B1100="","",COUNTIFS($Y$5:$Y$1204,"&gt;"&amp;Y1100)+COUNTIFS($Y$5:Y1100,Y1100))</f>
        <v>0</v>
      </c>
      <c r="AL1100" s="39">
        <f>IF(B1100="","",IF(H1100="","Add - what kind of sale is this?",IF(IF(V1100&lt;=0,P1100="",FALSE),"Check - no price found for this item",IF(F1100="","Assign - nobody credited",IF(AH1100&gt;0.004,"Unpaid - balance outstanding",IF(AC1100&lt;0,"Loss - sold below cost",IF(X1100&gt;W1100*0.5,"Check - more than half off","OK")))))))</f>
        <v>0</v>
      </c>
    </row>
    <row r="1101" spans="1:38">
      <c r="A1101" s="28">
        <f>IF(B1101="","",SalePrefix&amp;TEXT(ROW()-4,"0000"))</f>
        <v>0</v>
      </c>
      <c r="E1101" s="15">
        <f>IF(D1101="","",IFERROR(INDEX(Clients!$B$5:$B$504,MATCH(D1101,Clients!$A$5:$A$504,0)),"Walk-in"))</f>
        <v>0</v>
      </c>
      <c r="G1101" s="15">
        <f>IF(F1101="","",IFERROR(INDEX(Staff!$B$5:$B$44,MATCH(F1101,Staff!$A$5:$A$44,0)),"House"))</f>
        <v>0</v>
      </c>
      <c r="R1101" s="15">
        <f>IF(B1101="","",TEXT(B1101,"yyyy-mm"))</f>
        <v>0</v>
      </c>
      <c r="S1101" s="25">
        <f>IF(B1101="","",WEEKNUM(B1101,2))</f>
        <v>0</v>
      </c>
      <c r="T1101" s="37">
        <f>IF(B1101="","",IF(K1101="",1,K1101))</f>
        <v>0</v>
      </c>
      <c r="U1101" s="15">
        <f>IF(B1101="","",IF(J1101&lt;&gt;"",J1101,IF(H1101="Retail",IFERROR(INDEX(Inventory!$B$5:$B$304,MATCH(I1101,Inventory!$A$5:$A$304,0))&amp;"","Not in Inventory"),IFERROR(INDEX(Services!$B$5:$B$204,MATCH(I1101,Services!$A$5:$A$204,0))&amp;"","Not in Services"))))</f>
        <v>0</v>
      </c>
      <c r="V1101" s="26">
        <f>IF(B1101="","",IF(L1101&lt;&gt;"",L1101,IF(H1101="Retail",IFERROR(INDEX(Inventory!$I$5:$I$304,MATCH(I1101,Inventory!$A$5:$A$304,0))*1,0),IFERROR(INDEX(Services!$G$5:$G$204,MATCH(I1101,Services!$A$5:$A$204,0))*1,0))))</f>
        <v>0</v>
      </c>
      <c r="W1101" s="26">
        <f>IF(B1101="","",ROUND(T1101*V1101,2))</f>
        <v>0</v>
      </c>
      <c r="X1101" s="26">
        <f>IF(B1101="","",ROUND(IF(M1101="",0,W1101*M1101)+IF(N1101="",0,N1101),2))</f>
        <v>0</v>
      </c>
      <c r="Y1101" s="26">
        <f>IF(B1101="","",ROUND(W1101-X1101-IF(P1101="",0,P1101),2))</f>
        <v>0</v>
      </c>
      <c r="Z1101" s="26">
        <f>IF(B1101="","",IF(H1101="Retail",IF(TaxOnRetail="Yes",ROUND(Y1101*TaxRate,2),0),IF(H1101="Service",IF(TaxOnServices="Yes",ROUND(Y1101*TaxRate,2),0),0)))</f>
        <v>0</v>
      </c>
      <c r="AA1101" s="26">
        <f>IF(B1101="","",ROUND(Y1101+Z1101,2))</f>
        <v>0</v>
      </c>
      <c r="AB1101" s="26">
        <f>IF(B1101="","",ROUND(T1101*IF(H1101="Retail",IFERROR(INDEX(Inventory!$H$5:$H$304,MATCH(I1101,Inventory!$A$5:$A$304,0))*1,0),IFERROR(INDEX(Services!$Q$5:$Q$204,MATCH(I1101,Services!$A$5:$A$204,0))*1,0)),2))</f>
        <v>0</v>
      </c>
      <c r="AC1101" s="26">
        <f>IF(B1101="","",ROUND(Y1101-AB1101,2))</f>
        <v>0</v>
      </c>
      <c r="AD1101" s="38">
        <f>IF(B1101="","",IF(C1101="","No",IF(COUNTIFS($C$5:C1101,C1101)=1,"Yes","No")))</f>
        <v>0</v>
      </c>
      <c r="AE1101" s="26">
        <f>IF(B1101="","",ROUND(SUMIFS(Payments!$G$5:$G$1204,Payments!$H$5:$H$1204,A1101,Payments!$Q$5:$Q$1204,"Yes"),2))</f>
        <v>0</v>
      </c>
      <c r="AF1101" s="26">
        <f>IF(B1101="","",IF(AD1101="No",0,ROUND(SUMIFS(Payments!$G$5:$G$1204,Payments!$I$5:$I$1204,C1101,Payments!$H$5:$H$1204,"",Payments!$Q$5:$Q$1204,"Yes"),2)))</f>
        <v>0</v>
      </c>
      <c r="AG1101" s="26">
        <f>IF(B1101="","",ROUND(AE1101+AF1101,2))</f>
        <v>0</v>
      </c>
      <c r="AH1101" s="26">
        <f>IF(B1101="","",ROUND(AA1101-AG1101,2))</f>
        <v>0</v>
      </c>
      <c r="AI1101" s="39">
        <f>IF(B1101="","",IF(AA1101&lt;=0,"No charge",IF(AH1101&lt;=0.004,"Paid",IF(AG1101&lt;=0.004,"Unpaid","Part paid"))))</f>
        <v>0</v>
      </c>
      <c r="AJ1101" s="38">
        <f>IF(B1101="","",IF(H1101&lt;&gt;"Service","",IF(D1101="","No",IF(COUNTIFS($D$5:$D$1204,D1101,$B$5:$B$1204,B1101,$H$5:$H$1204,"Retail")&gt;0,"Yes","No"))))</f>
        <v>0</v>
      </c>
      <c r="AK1101" s="25">
        <f>IF(B1101="","",COUNTIFS($Y$5:$Y$1204,"&gt;"&amp;Y1101)+COUNTIFS($Y$5:Y1101,Y1101))</f>
        <v>0</v>
      </c>
      <c r="AL1101" s="39">
        <f>IF(B1101="","",IF(H1101="","Add - what kind of sale is this?",IF(IF(V1101&lt;=0,P1101="",FALSE),"Check - no price found for this item",IF(F1101="","Assign - nobody credited",IF(AH1101&gt;0.004,"Unpaid - balance outstanding",IF(AC1101&lt;0,"Loss - sold below cost",IF(X1101&gt;W1101*0.5,"Check - more than half off","OK")))))))</f>
        <v>0</v>
      </c>
    </row>
    <row r="1102" spans="1:38">
      <c r="A1102" s="28">
        <f>IF(B1102="","",SalePrefix&amp;TEXT(ROW()-4,"0000"))</f>
        <v>0</v>
      </c>
      <c r="E1102" s="15">
        <f>IF(D1102="","",IFERROR(INDEX(Clients!$B$5:$B$504,MATCH(D1102,Clients!$A$5:$A$504,0)),"Walk-in"))</f>
        <v>0</v>
      </c>
      <c r="G1102" s="15">
        <f>IF(F1102="","",IFERROR(INDEX(Staff!$B$5:$B$44,MATCH(F1102,Staff!$A$5:$A$44,0)),"House"))</f>
        <v>0</v>
      </c>
      <c r="R1102" s="15">
        <f>IF(B1102="","",TEXT(B1102,"yyyy-mm"))</f>
        <v>0</v>
      </c>
      <c r="S1102" s="25">
        <f>IF(B1102="","",WEEKNUM(B1102,2))</f>
        <v>0</v>
      </c>
      <c r="T1102" s="37">
        <f>IF(B1102="","",IF(K1102="",1,K1102))</f>
        <v>0</v>
      </c>
      <c r="U1102" s="15">
        <f>IF(B1102="","",IF(J1102&lt;&gt;"",J1102,IF(H1102="Retail",IFERROR(INDEX(Inventory!$B$5:$B$304,MATCH(I1102,Inventory!$A$5:$A$304,0))&amp;"","Not in Inventory"),IFERROR(INDEX(Services!$B$5:$B$204,MATCH(I1102,Services!$A$5:$A$204,0))&amp;"","Not in Services"))))</f>
        <v>0</v>
      </c>
      <c r="V1102" s="26">
        <f>IF(B1102="","",IF(L1102&lt;&gt;"",L1102,IF(H1102="Retail",IFERROR(INDEX(Inventory!$I$5:$I$304,MATCH(I1102,Inventory!$A$5:$A$304,0))*1,0),IFERROR(INDEX(Services!$G$5:$G$204,MATCH(I1102,Services!$A$5:$A$204,0))*1,0))))</f>
        <v>0</v>
      </c>
      <c r="W1102" s="26">
        <f>IF(B1102="","",ROUND(T1102*V1102,2))</f>
        <v>0</v>
      </c>
      <c r="X1102" s="26">
        <f>IF(B1102="","",ROUND(IF(M1102="",0,W1102*M1102)+IF(N1102="",0,N1102),2))</f>
        <v>0</v>
      </c>
      <c r="Y1102" s="26">
        <f>IF(B1102="","",ROUND(W1102-X1102-IF(P1102="",0,P1102),2))</f>
        <v>0</v>
      </c>
      <c r="Z1102" s="26">
        <f>IF(B1102="","",IF(H1102="Retail",IF(TaxOnRetail="Yes",ROUND(Y1102*TaxRate,2),0),IF(H1102="Service",IF(TaxOnServices="Yes",ROUND(Y1102*TaxRate,2),0),0)))</f>
        <v>0</v>
      </c>
      <c r="AA1102" s="26">
        <f>IF(B1102="","",ROUND(Y1102+Z1102,2))</f>
        <v>0</v>
      </c>
      <c r="AB1102" s="26">
        <f>IF(B1102="","",ROUND(T1102*IF(H1102="Retail",IFERROR(INDEX(Inventory!$H$5:$H$304,MATCH(I1102,Inventory!$A$5:$A$304,0))*1,0),IFERROR(INDEX(Services!$Q$5:$Q$204,MATCH(I1102,Services!$A$5:$A$204,0))*1,0)),2))</f>
        <v>0</v>
      </c>
      <c r="AC1102" s="26">
        <f>IF(B1102="","",ROUND(Y1102-AB1102,2))</f>
        <v>0</v>
      </c>
      <c r="AD1102" s="38">
        <f>IF(B1102="","",IF(C1102="","No",IF(COUNTIFS($C$5:C1102,C1102)=1,"Yes","No")))</f>
        <v>0</v>
      </c>
      <c r="AE1102" s="26">
        <f>IF(B1102="","",ROUND(SUMIFS(Payments!$G$5:$G$1204,Payments!$H$5:$H$1204,A1102,Payments!$Q$5:$Q$1204,"Yes"),2))</f>
        <v>0</v>
      </c>
      <c r="AF1102" s="26">
        <f>IF(B1102="","",IF(AD1102="No",0,ROUND(SUMIFS(Payments!$G$5:$G$1204,Payments!$I$5:$I$1204,C1102,Payments!$H$5:$H$1204,"",Payments!$Q$5:$Q$1204,"Yes"),2)))</f>
        <v>0</v>
      </c>
      <c r="AG1102" s="26">
        <f>IF(B1102="","",ROUND(AE1102+AF1102,2))</f>
        <v>0</v>
      </c>
      <c r="AH1102" s="26">
        <f>IF(B1102="","",ROUND(AA1102-AG1102,2))</f>
        <v>0</v>
      </c>
      <c r="AI1102" s="39">
        <f>IF(B1102="","",IF(AA1102&lt;=0,"No charge",IF(AH1102&lt;=0.004,"Paid",IF(AG1102&lt;=0.004,"Unpaid","Part paid"))))</f>
        <v>0</v>
      </c>
      <c r="AJ1102" s="38">
        <f>IF(B1102="","",IF(H1102&lt;&gt;"Service","",IF(D1102="","No",IF(COUNTIFS($D$5:$D$1204,D1102,$B$5:$B$1204,B1102,$H$5:$H$1204,"Retail")&gt;0,"Yes","No"))))</f>
        <v>0</v>
      </c>
      <c r="AK1102" s="25">
        <f>IF(B1102="","",COUNTIFS($Y$5:$Y$1204,"&gt;"&amp;Y1102)+COUNTIFS($Y$5:Y1102,Y1102))</f>
        <v>0</v>
      </c>
      <c r="AL1102" s="39">
        <f>IF(B1102="","",IF(H1102="","Add - what kind of sale is this?",IF(IF(V1102&lt;=0,P1102="",FALSE),"Check - no price found for this item",IF(F1102="","Assign - nobody credited",IF(AH1102&gt;0.004,"Unpaid - balance outstanding",IF(AC1102&lt;0,"Loss - sold below cost",IF(X1102&gt;W1102*0.5,"Check - more than half off","OK")))))))</f>
        <v>0</v>
      </c>
    </row>
    <row r="1103" spans="1:38">
      <c r="A1103" s="28">
        <f>IF(B1103="","",SalePrefix&amp;TEXT(ROW()-4,"0000"))</f>
        <v>0</v>
      </c>
      <c r="E1103" s="15">
        <f>IF(D1103="","",IFERROR(INDEX(Clients!$B$5:$B$504,MATCH(D1103,Clients!$A$5:$A$504,0)),"Walk-in"))</f>
        <v>0</v>
      </c>
      <c r="G1103" s="15">
        <f>IF(F1103="","",IFERROR(INDEX(Staff!$B$5:$B$44,MATCH(F1103,Staff!$A$5:$A$44,0)),"House"))</f>
        <v>0</v>
      </c>
      <c r="R1103" s="15">
        <f>IF(B1103="","",TEXT(B1103,"yyyy-mm"))</f>
        <v>0</v>
      </c>
      <c r="S1103" s="25">
        <f>IF(B1103="","",WEEKNUM(B1103,2))</f>
        <v>0</v>
      </c>
      <c r="T1103" s="37">
        <f>IF(B1103="","",IF(K1103="",1,K1103))</f>
        <v>0</v>
      </c>
      <c r="U1103" s="15">
        <f>IF(B1103="","",IF(J1103&lt;&gt;"",J1103,IF(H1103="Retail",IFERROR(INDEX(Inventory!$B$5:$B$304,MATCH(I1103,Inventory!$A$5:$A$304,0))&amp;"","Not in Inventory"),IFERROR(INDEX(Services!$B$5:$B$204,MATCH(I1103,Services!$A$5:$A$204,0))&amp;"","Not in Services"))))</f>
        <v>0</v>
      </c>
      <c r="V1103" s="26">
        <f>IF(B1103="","",IF(L1103&lt;&gt;"",L1103,IF(H1103="Retail",IFERROR(INDEX(Inventory!$I$5:$I$304,MATCH(I1103,Inventory!$A$5:$A$304,0))*1,0),IFERROR(INDEX(Services!$G$5:$G$204,MATCH(I1103,Services!$A$5:$A$204,0))*1,0))))</f>
        <v>0</v>
      </c>
      <c r="W1103" s="26">
        <f>IF(B1103="","",ROUND(T1103*V1103,2))</f>
        <v>0</v>
      </c>
      <c r="X1103" s="26">
        <f>IF(B1103="","",ROUND(IF(M1103="",0,W1103*M1103)+IF(N1103="",0,N1103),2))</f>
        <v>0</v>
      </c>
      <c r="Y1103" s="26">
        <f>IF(B1103="","",ROUND(W1103-X1103-IF(P1103="",0,P1103),2))</f>
        <v>0</v>
      </c>
      <c r="Z1103" s="26">
        <f>IF(B1103="","",IF(H1103="Retail",IF(TaxOnRetail="Yes",ROUND(Y1103*TaxRate,2),0),IF(H1103="Service",IF(TaxOnServices="Yes",ROUND(Y1103*TaxRate,2),0),0)))</f>
        <v>0</v>
      </c>
      <c r="AA1103" s="26">
        <f>IF(B1103="","",ROUND(Y1103+Z1103,2))</f>
        <v>0</v>
      </c>
      <c r="AB1103" s="26">
        <f>IF(B1103="","",ROUND(T1103*IF(H1103="Retail",IFERROR(INDEX(Inventory!$H$5:$H$304,MATCH(I1103,Inventory!$A$5:$A$304,0))*1,0),IFERROR(INDEX(Services!$Q$5:$Q$204,MATCH(I1103,Services!$A$5:$A$204,0))*1,0)),2))</f>
        <v>0</v>
      </c>
      <c r="AC1103" s="26">
        <f>IF(B1103="","",ROUND(Y1103-AB1103,2))</f>
        <v>0</v>
      </c>
      <c r="AD1103" s="38">
        <f>IF(B1103="","",IF(C1103="","No",IF(COUNTIFS($C$5:C1103,C1103)=1,"Yes","No")))</f>
        <v>0</v>
      </c>
      <c r="AE1103" s="26">
        <f>IF(B1103="","",ROUND(SUMIFS(Payments!$G$5:$G$1204,Payments!$H$5:$H$1204,A1103,Payments!$Q$5:$Q$1204,"Yes"),2))</f>
        <v>0</v>
      </c>
      <c r="AF1103" s="26">
        <f>IF(B1103="","",IF(AD1103="No",0,ROUND(SUMIFS(Payments!$G$5:$G$1204,Payments!$I$5:$I$1204,C1103,Payments!$H$5:$H$1204,"",Payments!$Q$5:$Q$1204,"Yes"),2)))</f>
        <v>0</v>
      </c>
      <c r="AG1103" s="26">
        <f>IF(B1103="","",ROUND(AE1103+AF1103,2))</f>
        <v>0</v>
      </c>
      <c r="AH1103" s="26">
        <f>IF(B1103="","",ROUND(AA1103-AG1103,2))</f>
        <v>0</v>
      </c>
      <c r="AI1103" s="39">
        <f>IF(B1103="","",IF(AA1103&lt;=0,"No charge",IF(AH1103&lt;=0.004,"Paid",IF(AG1103&lt;=0.004,"Unpaid","Part paid"))))</f>
        <v>0</v>
      </c>
      <c r="AJ1103" s="38">
        <f>IF(B1103="","",IF(H1103&lt;&gt;"Service","",IF(D1103="","No",IF(COUNTIFS($D$5:$D$1204,D1103,$B$5:$B$1204,B1103,$H$5:$H$1204,"Retail")&gt;0,"Yes","No"))))</f>
        <v>0</v>
      </c>
      <c r="AK1103" s="25">
        <f>IF(B1103="","",COUNTIFS($Y$5:$Y$1204,"&gt;"&amp;Y1103)+COUNTIFS($Y$5:Y1103,Y1103))</f>
        <v>0</v>
      </c>
      <c r="AL1103" s="39">
        <f>IF(B1103="","",IF(H1103="","Add - what kind of sale is this?",IF(IF(V1103&lt;=0,P1103="",FALSE),"Check - no price found for this item",IF(F1103="","Assign - nobody credited",IF(AH1103&gt;0.004,"Unpaid - balance outstanding",IF(AC1103&lt;0,"Loss - sold below cost",IF(X1103&gt;W1103*0.5,"Check - more than half off","OK")))))))</f>
        <v>0</v>
      </c>
    </row>
    <row r="1104" spans="1:38">
      <c r="A1104" s="28">
        <f>IF(B1104="","",SalePrefix&amp;TEXT(ROW()-4,"0000"))</f>
        <v>0</v>
      </c>
      <c r="E1104" s="15">
        <f>IF(D1104="","",IFERROR(INDEX(Clients!$B$5:$B$504,MATCH(D1104,Clients!$A$5:$A$504,0)),"Walk-in"))</f>
        <v>0</v>
      </c>
      <c r="G1104" s="15">
        <f>IF(F1104="","",IFERROR(INDEX(Staff!$B$5:$B$44,MATCH(F1104,Staff!$A$5:$A$44,0)),"House"))</f>
        <v>0</v>
      </c>
      <c r="R1104" s="15">
        <f>IF(B1104="","",TEXT(B1104,"yyyy-mm"))</f>
        <v>0</v>
      </c>
      <c r="S1104" s="25">
        <f>IF(B1104="","",WEEKNUM(B1104,2))</f>
        <v>0</v>
      </c>
      <c r="T1104" s="37">
        <f>IF(B1104="","",IF(K1104="",1,K1104))</f>
        <v>0</v>
      </c>
      <c r="U1104" s="15">
        <f>IF(B1104="","",IF(J1104&lt;&gt;"",J1104,IF(H1104="Retail",IFERROR(INDEX(Inventory!$B$5:$B$304,MATCH(I1104,Inventory!$A$5:$A$304,0))&amp;"","Not in Inventory"),IFERROR(INDEX(Services!$B$5:$B$204,MATCH(I1104,Services!$A$5:$A$204,0))&amp;"","Not in Services"))))</f>
        <v>0</v>
      </c>
      <c r="V1104" s="26">
        <f>IF(B1104="","",IF(L1104&lt;&gt;"",L1104,IF(H1104="Retail",IFERROR(INDEX(Inventory!$I$5:$I$304,MATCH(I1104,Inventory!$A$5:$A$304,0))*1,0),IFERROR(INDEX(Services!$G$5:$G$204,MATCH(I1104,Services!$A$5:$A$204,0))*1,0))))</f>
        <v>0</v>
      </c>
      <c r="W1104" s="26">
        <f>IF(B1104="","",ROUND(T1104*V1104,2))</f>
        <v>0</v>
      </c>
      <c r="X1104" s="26">
        <f>IF(B1104="","",ROUND(IF(M1104="",0,W1104*M1104)+IF(N1104="",0,N1104),2))</f>
        <v>0</v>
      </c>
      <c r="Y1104" s="26">
        <f>IF(B1104="","",ROUND(W1104-X1104-IF(P1104="",0,P1104),2))</f>
        <v>0</v>
      </c>
      <c r="Z1104" s="26">
        <f>IF(B1104="","",IF(H1104="Retail",IF(TaxOnRetail="Yes",ROUND(Y1104*TaxRate,2),0),IF(H1104="Service",IF(TaxOnServices="Yes",ROUND(Y1104*TaxRate,2),0),0)))</f>
        <v>0</v>
      </c>
      <c r="AA1104" s="26">
        <f>IF(B1104="","",ROUND(Y1104+Z1104,2))</f>
        <v>0</v>
      </c>
      <c r="AB1104" s="26">
        <f>IF(B1104="","",ROUND(T1104*IF(H1104="Retail",IFERROR(INDEX(Inventory!$H$5:$H$304,MATCH(I1104,Inventory!$A$5:$A$304,0))*1,0),IFERROR(INDEX(Services!$Q$5:$Q$204,MATCH(I1104,Services!$A$5:$A$204,0))*1,0)),2))</f>
        <v>0</v>
      </c>
      <c r="AC1104" s="26">
        <f>IF(B1104="","",ROUND(Y1104-AB1104,2))</f>
        <v>0</v>
      </c>
      <c r="AD1104" s="38">
        <f>IF(B1104="","",IF(C1104="","No",IF(COUNTIFS($C$5:C1104,C1104)=1,"Yes","No")))</f>
        <v>0</v>
      </c>
      <c r="AE1104" s="26">
        <f>IF(B1104="","",ROUND(SUMIFS(Payments!$G$5:$G$1204,Payments!$H$5:$H$1204,A1104,Payments!$Q$5:$Q$1204,"Yes"),2))</f>
        <v>0</v>
      </c>
      <c r="AF1104" s="26">
        <f>IF(B1104="","",IF(AD1104="No",0,ROUND(SUMIFS(Payments!$G$5:$G$1204,Payments!$I$5:$I$1204,C1104,Payments!$H$5:$H$1204,"",Payments!$Q$5:$Q$1204,"Yes"),2)))</f>
        <v>0</v>
      </c>
      <c r="AG1104" s="26">
        <f>IF(B1104="","",ROUND(AE1104+AF1104,2))</f>
        <v>0</v>
      </c>
      <c r="AH1104" s="26">
        <f>IF(B1104="","",ROUND(AA1104-AG1104,2))</f>
        <v>0</v>
      </c>
      <c r="AI1104" s="39">
        <f>IF(B1104="","",IF(AA1104&lt;=0,"No charge",IF(AH1104&lt;=0.004,"Paid",IF(AG1104&lt;=0.004,"Unpaid","Part paid"))))</f>
        <v>0</v>
      </c>
      <c r="AJ1104" s="38">
        <f>IF(B1104="","",IF(H1104&lt;&gt;"Service","",IF(D1104="","No",IF(COUNTIFS($D$5:$D$1204,D1104,$B$5:$B$1204,B1104,$H$5:$H$1204,"Retail")&gt;0,"Yes","No"))))</f>
        <v>0</v>
      </c>
      <c r="AK1104" s="25">
        <f>IF(B1104="","",COUNTIFS($Y$5:$Y$1204,"&gt;"&amp;Y1104)+COUNTIFS($Y$5:Y1104,Y1104))</f>
        <v>0</v>
      </c>
      <c r="AL1104" s="39">
        <f>IF(B1104="","",IF(H1104="","Add - what kind of sale is this?",IF(IF(V1104&lt;=0,P1104="",FALSE),"Check - no price found for this item",IF(F1104="","Assign - nobody credited",IF(AH1104&gt;0.004,"Unpaid - balance outstanding",IF(AC1104&lt;0,"Loss - sold below cost",IF(X1104&gt;W1104*0.5,"Check - more than half off","OK")))))))</f>
        <v>0</v>
      </c>
    </row>
    <row r="1105" spans="1:38">
      <c r="A1105" s="28">
        <f>IF(B1105="","",SalePrefix&amp;TEXT(ROW()-4,"0000"))</f>
        <v>0</v>
      </c>
      <c r="E1105" s="15">
        <f>IF(D1105="","",IFERROR(INDEX(Clients!$B$5:$B$504,MATCH(D1105,Clients!$A$5:$A$504,0)),"Walk-in"))</f>
        <v>0</v>
      </c>
      <c r="G1105" s="15">
        <f>IF(F1105="","",IFERROR(INDEX(Staff!$B$5:$B$44,MATCH(F1105,Staff!$A$5:$A$44,0)),"House"))</f>
        <v>0</v>
      </c>
      <c r="R1105" s="15">
        <f>IF(B1105="","",TEXT(B1105,"yyyy-mm"))</f>
        <v>0</v>
      </c>
      <c r="S1105" s="25">
        <f>IF(B1105="","",WEEKNUM(B1105,2))</f>
        <v>0</v>
      </c>
      <c r="T1105" s="37">
        <f>IF(B1105="","",IF(K1105="",1,K1105))</f>
        <v>0</v>
      </c>
      <c r="U1105" s="15">
        <f>IF(B1105="","",IF(J1105&lt;&gt;"",J1105,IF(H1105="Retail",IFERROR(INDEX(Inventory!$B$5:$B$304,MATCH(I1105,Inventory!$A$5:$A$304,0))&amp;"","Not in Inventory"),IFERROR(INDEX(Services!$B$5:$B$204,MATCH(I1105,Services!$A$5:$A$204,0))&amp;"","Not in Services"))))</f>
        <v>0</v>
      </c>
      <c r="V1105" s="26">
        <f>IF(B1105="","",IF(L1105&lt;&gt;"",L1105,IF(H1105="Retail",IFERROR(INDEX(Inventory!$I$5:$I$304,MATCH(I1105,Inventory!$A$5:$A$304,0))*1,0),IFERROR(INDEX(Services!$G$5:$G$204,MATCH(I1105,Services!$A$5:$A$204,0))*1,0))))</f>
        <v>0</v>
      </c>
      <c r="W1105" s="26">
        <f>IF(B1105="","",ROUND(T1105*V1105,2))</f>
        <v>0</v>
      </c>
      <c r="X1105" s="26">
        <f>IF(B1105="","",ROUND(IF(M1105="",0,W1105*M1105)+IF(N1105="",0,N1105),2))</f>
        <v>0</v>
      </c>
      <c r="Y1105" s="26">
        <f>IF(B1105="","",ROUND(W1105-X1105-IF(P1105="",0,P1105),2))</f>
        <v>0</v>
      </c>
      <c r="Z1105" s="26">
        <f>IF(B1105="","",IF(H1105="Retail",IF(TaxOnRetail="Yes",ROUND(Y1105*TaxRate,2),0),IF(H1105="Service",IF(TaxOnServices="Yes",ROUND(Y1105*TaxRate,2),0),0)))</f>
        <v>0</v>
      </c>
      <c r="AA1105" s="26">
        <f>IF(B1105="","",ROUND(Y1105+Z1105,2))</f>
        <v>0</v>
      </c>
      <c r="AB1105" s="26">
        <f>IF(B1105="","",ROUND(T1105*IF(H1105="Retail",IFERROR(INDEX(Inventory!$H$5:$H$304,MATCH(I1105,Inventory!$A$5:$A$304,0))*1,0),IFERROR(INDEX(Services!$Q$5:$Q$204,MATCH(I1105,Services!$A$5:$A$204,0))*1,0)),2))</f>
        <v>0</v>
      </c>
      <c r="AC1105" s="26">
        <f>IF(B1105="","",ROUND(Y1105-AB1105,2))</f>
        <v>0</v>
      </c>
      <c r="AD1105" s="38">
        <f>IF(B1105="","",IF(C1105="","No",IF(COUNTIFS($C$5:C1105,C1105)=1,"Yes","No")))</f>
        <v>0</v>
      </c>
      <c r="AE1105" s="26">
        <f>IF(B1105="","",ROUND(SUMIFS(Payments!$G$5:$G$1204,Payments!$H$5:$H$1204,A1105,Payments!$Q$5:$Q$1204,"Yes"),2))</f>
        <v>0</v>
      </c>
      <c r="AF1105" s="26">
        <f>IF(B1105="","",IF(AD1105="No",0,ROUND(SUMIFS(Payments!$G$5:$G$1204,Payments!$I$5:$I$1204,C1105,Payments!$H$5:$H$1204,"",Payments!$Q$5:$Q$1204,"Yes"),2)))</f>
        <v>0</v>
      </c>
      <c r="AG1105" s="26">
        <f>IF(B1105="","",ROUND(AE1105+AF1105,2))</f>
        <v>0</v>
      </c>
      <c r="AH1105" s="26">
        <f>IF(B1105="","",ROUND(AA1105-AG1105,2))</f>
        <v>0</v>
      </c>
      <c r="AI1105" s="39">
        <f>IF(B1105="","",IF(AA1105&lt;=0,"No charge",IF(AH1105&lt;=0.004,"Paid",IF(AG1105&lt;=0.004,"Unpaid","Part paid"))))</f>
        <v>0</v>
      </c>
      <c r="AJ1105" s="38">
        <f>IF(B1105="","",IF(H1105&lt;&gt;"Service","",IF(D1105="","No",IF(COUNTIFS($D$5:$D$1204,D1105,$B$5:$B$1204,B1105,$H$5:$H$1204,"Retail")&gt;0,"Yes","No"))))</f>
        <v>0</v>
      </c>
      <c r="AK1105" s="25">
        <f>IF(B1105="","",COUNTIFS($Y$5:$Y$1204,"&gt;"&amp;Y1105)+COUNTIFS($Y$5:Y1105,Y1105))</f>
        <v>0</v>
      </c>
      <c r="AL1105" s="39">
        <f>IF(B1105="","",IF(H1105="","Add - what kind of sale is this?",IF(IF(V1105&lt;=0,P1105="",FALSE),"Check - no price found for this item",IF(F1105="","Assign - nobody credited",IF(AH1105&gt;0.004,"Unpaid - balance outstanding",IF(AC1105&lt;0,"Loss - sold below cost",IF(X1105&gt;W1105*0.5,"Check - more than half off","OK")))))))</f>
        <v>0</v>
      </c>
    </row>
    <row r="1106" spans="1:38">
      <c r="A1106" s="28">
        <f>IF(B1106="","",SalePrefix&amp;TEXT(ROW()-4,"0000"))</f>
        <v>0</v>
      </c>
      <c r="E1106" s="15">
        <f>IF(D1106="","",IFERROR(INDEX(Clients!$B$5:$B$504,MATCH(D1106,Clients!$A$5:$A$504,0)),"Walk-in"))</f>
        <v>0</v>
      </c>
      <c r="G1106" s="15">
        <f>IF(F1106="","",IFERROR(INDEX(Staff!$B$5:$B$44,MATCH(F1106,Staff!$A$5:$A$44,0)),"House"))</f>
        <v>0</v>
      </c>
      <c r="R1106" s="15">
        <f>IF(B1106="","",TEXT(B1106,"yyyy-mm"))</f>
        <v>0</v>
      </c>
      <c r="S1106" s="25">
        <f>IF(B1106="","",WEEKNUM(B1106,2))</f>
        <v>0</v>
      </c>
      <c r="T1106" s="37">
        <f>IF(B1106="","",IF(K1106="",1,K1106))</f>
        <v>0</v>
      </c>
      <c r="U1106" s="15">
        <f>IF(B1106="","",IF(J1106&lt;&gt;"",J1106,IF(H1106="Retail",IFERROR(INDEX(Inventory!$B$5:$B$304,MATCH(I1106,Inventory!$A$5:$A$304,0))&amp;"","Not in Inventory"),IFERROR(INDEX(Services!$B$5:$B$204,MATCH(I1106,Services!$A$5:$A$204,0))&amp;"","Not in Services"))))</f>
        <v>0</v>
      </c>
      <c r="V1106" s="26">
        <f>IF(B1106="","",IF(L1106&lt;&gt;"",L1106,IF(H1106="Retail",IFERROR(INDEX(Inventory!$I$5:$I$304,MATCH(I1106,Inventory!$A$5:$A$304,0))*1,0),IFERROR(INDEX(Services!$G$5:$G$204,MATCH(I1106,Services!$A$5:$A$204,0))*1,0))))</f>
        <v>0</v>
      </c>
      <c r="W1106" s="26">
        <f>IF(B1106="","",ROUND(T1106*V1106,2))</f>
        <v>0</v>
      </c>
      <c r="X1106" s="26">
        <f>IF(B1106="","",ROUND(IF(M1106="",0,W1106*M1106)+IF(N1106="",0,N1106),2))</f>
        <v>0</v>
      </c>
      <c r="Y1106" s="26">
        <f>IF(B1106="","",ROUND(W1106-X1106-IF(P1106="",0,P1106),2))</f>
        <v>0</v>
      </c>
      <c r="Z1106" s="26">
        <f>IF(B1106="","",IF(H1106="Retail",IF(TaxOnRetail="Yes",ROUND(Y1106*TaxRate,2),0),IF(H1106="Service",IF(TaxOnServices="Yes",ROUND(Y1106*TaxRate,2),0),0)))</f>
        <v>0</v>
      </c>
      <c r="AA1106" s="26">
        <f>IF(B1106="","",ROUND(Y1106+Z1106,2))</f>
        <v>0</v>
      </c>
      <c r="AB1106" s="26">
        <f>IF(B1106="","",ROUND(T1106*IF(H1106="Retail",IFERROR(INDEX(Inventory!$H$5:$H$304,MATCH(I1106,Inventory!$A$5:$A$304,0))*1,0),IFERROR(INDEX(Services!$Q$5:$Q$204,MATCH(I1106,Services!$A$5:$A$204,0))*1,0)),2))</f>
        <v>0</v>
      </c>
      <c r="AC1106" s="26">
        <f>IF(B1106="","",ROUND(Y1106-AB1106,2))</f>
        <v>0</v>
      </c>
      <c r="AD1106" s="38">
        <f>IF(B1106="","",IF(C1106="","No",IF(COUNTIFS($C$5:C1106,C1106)=1,"Yes","No")))</f>
        <v>0</v>
      </c>
      <c r="AE1106" s="26">
        <f>IF(B1106="","",ROUND(SUMIFS(Payments!$G$5:$G$1204,Payments!$H$5:$H$1204,A1106,Payments!$Q$5:$Q$1204,"Yes"),2))</f>
        <v>0</v>
      </c>
      <c r="AF1106" s="26">
        <f>IF(B1106="","",IF(AD1106="No",0,ROUND(SUMIFS(Payments!$G$5:$G$1204,Payments!$I$5:$I$1204,C1106,Payments!$H$5:$H$1204,"",Payments!$Q$5:$Q$1204,"Yes"),2)))</f>
        <v>0</v>
      </c>
      <c r="AG1106" s="26">
        <f>IF(B1106="","",ROUND(AE1106+AF1106,2))</f>
        <v>0</v>
      </c>
      <c r="AH1106" s="26">
        <f>IF(B1106="","",ROUND(AA1106-AG1106,2))</f>
        <v>0</v>
      </c>
      <c r="AI1106" s="39">
        <f>IF(B1106="","",IF(AA1106&lt;=0,"No charge",IF(AH1106&lt;=0.004,"Paid",IF(AG1106&lt;=0.004,"Unpaid","Part paid"))))</f>
        <v>0</v>
      </c>
      <c r="AJ1106" s="38">
        <f>IF(B1106="","",IF(H1106&lt;&gt;"Service","",IF(D1106="","No",IF(COUNTIFS($D$5:$D$1204,D1106,$B$5:$B$1204,B1106,$H$5:$H$1204,"Retail")&gt;0,"Yes","No"))))</f>
        <v>0</v>
      </c>
      <c r="AK1106" s="25">
        <f>IF(B1106="","",COUNTIFS($Y$5:$Y$1204,"&gt;"&amp;Y1106)+COUNTIFS($Y$5:Y1106,Y1106))</f>
        <v>0</v>
      </c>
      <c r="AL1106" s="39">
        <f>IF(B1106="","",IF(H1106="","Add - what kind of sale is this?",IF(IF(V1106&lt;=0,P1106="",FALSE),"Check - no price found for this item",IF(F1106="","Assign - nobody credited",IF(AH1106&gt;0.004,"Unpaid - balance outstanding",IF(AC1106&lt;0,"Loss - sold below cost",IF(X1106&gt;W1106*0.5,"Check - more than half off","OK")))))))</f>
        <v>0</v>
      </c>
    </row>
    <row r="1107" spans="1:38">
      <c r="A1107" s="28">
        <f>IF(B1107="","",SalePrefix&amp;TEXT(ROW()-4,"0000"))</f>
        <v>0</v>
      </c>
      <c r="E1107" s="15">
        <f>IF(D1107="","",IFERROR(INDEX(Clients!$B$5:$B$504,MATCH(D1107,Clients!$A$5:$A$504,0)),"Walk-in"))</f>
        <v>0</v>
      </c>
      <c r="G1107" s="15">
        <f>IF(F1107="","",IFERROR(INDEX(Staff!$B$5:$B$44,MATCH(F1107,Staff!$A$5:$A$44,0)),"House"))</f>
        <v>0</v>
      </c>
      <c r="R1107" s="15">
        <f>IF(B1107="","",TEXT(B1107,"yyyy-mm"))</f>
        <v>0</v>
      </c>
      <c r="S1107" s="25">
        <f>IF(B1107="","",WEEKNUM(B1107,2))</f>
        <v>0</v>
      </c>
      <c r="T1107" s="37">
        <f>IF(B1107="","",IF(K1107="",1,K1107))</f>
        <v>0</v>
      </c>
      <c r="U1107" s="15">
        <f>IF(B1107="","",IF(J1107&lt;&gt;"",J1107,IF(H1107="Retail",IFERROR(INDEX(Inventory!$B$5:$B$304,MATCH(I1107,Inventory!$A$5:$A$304,0))&amp;"","Not in Inventory"),IFERROR(INDEX(Services!$B$5:$B$204,MATCH(I1107,Services!$A$5:$A$204,0))&amp;"","Not in Services"))))</f>
        <v>0</v>
      </c>
      <c r="V1107" s="26">
        <f>IF(B1107="","",IF(L1107&lt;&gt;"",L1107,IF(H1107="Retail",IFERROR(INDEX(Inventory!$I$5:$I$304,MATCH(I1107,Inventory!$A$5:$A$304,0))*1,0),IFERROR(INDEX(Services!$G$5:$G$204,MATCH(I1107,Services!$A$5:$A$204,0))*1,0))))</f>
        <v>0</v>
      </c>
      <c r="W1107" s="26">
        <f>IF(B1107="","",ROUND(T1107*V1107,2))</f>
        <v>0</v>
      </c>
      <c r="X1107" s="26">
        <f>IF(B1107="","",ROUND(IF(M1107="",0,W1107*M1107)+IF(N1107="",0,N1107),2))</f>
        <v>0</v>
      </c>
      <c r="Y1107" s="26">
        <f>IF(B1107="","",ROUND(W1107-X1107-IF(P1107="",0,P1107),2))</f>
        <v>0</v>
      </c>
      <c r="Z1107" s="26">
        <f>IF(B1107="","",IF(H1107="Retail",IF(TaxOnRetail="Yes",ROUND(Y1107*TaxRate,2),0),IF(H1107="Service",IF(TaxOnServices="Yes",ROUND(Y1107*TaxRate,2),0),0)))</f>
        <v>0</v>
      </c>
      <c r="AA1107" s="26">
        <f>IF(B1107="","",ROUND(Y1107+Z1107,2))</f>
        <v>0</v>
      </c>
      <c r="AB1107" s="26">
        <f>IF(B1107="","",ROUND(T1107*IF(H1107="Retail",IFERROR(INDEX(Inventory!$H$5:$H$304,MATCH(I1107,Inventory!$A$5:$A$304,0))*1,0),IFERROR(INDEX(Services!$Q$5:$Q$204,MATCH(I1107,Services!$A$5:$A$204,0))*1,0)),2))</f>
        <v>0</v>
      </c>
      <c r="AC1107" s="26">
        <f>IF(B1107="","",ROUND(Y1107-AB1107,2))</f>
        <v>0</v>
      </c>
      <c r="AD1107" s="38">
        <f>IF(B1107="","",IF(C1107="","No",IF(COUNTIFS($C$5:C1107,C1107)=1,"Yes","No")))</f>
        <v>0</v>
      </c>
      <c r="AE1107" s="26">
        <f>IF(B1107="","",ROUND(SUMIFS(Payments!$G$5:$G$1204,Payments!$H$5:$H$1204,A1107,Payments!$Q$5:$Q$1204,"Yes"),2))</f>
        <v>0</v>
      </c>
      <c r="AF1107" s="26">
        <f>IF(B1107="","",IF(AD1107="No",0,ROUND(SUMIFS(Payments!$G$5:$G$1204,Payments!$I$5:$I$1204,C1107,Payments!$H$5:$H$1204,"",Payments!$Q$5:$Q$1204,"Yes"),2)))</f>
        <v>0</v>
      </c>
      <c r="AG1107" s="26">
        <f>IF(B1107="","",ROUND(AE1107+AF1107,2))</f>
        <v>0</v>
      </c>
      <c r="AH1107" s="26">
        <f>IF(B1107="","",ROUND(AA1107-AG1107,2))</f>
        <v>0</v>
      </c>
      <c r="AI1107" s="39">
        <f>IF(B1107="","",IF(AA1107&lt;=0,"No charge",IF(AH1107&lt;=0.004,"Paid",IF(AG1107&lt;=0.004,"Unpaid","Part paid"))))</f>
        <v>0</v>
      </c>
      <c r="AJ1107" s="38">
        <f>IF(B1107="","",IF(H1107&lt;&gt;"Service","",IF(D1107="","No",IF(COUNTIFS($D$5:$D$1204,D1107,$B$5:$B$1204,B1107,$H$5:$H$1204,"Retail")&gt;0,"Yes","No"))))</f>
        <v>0</v>
      </c>
      <c r="AK1107" s="25">
        <f>IF(B1107="","",COUNTIFS($Y$5:$Y$1204,"&gt;"&amp;Y1107)+COUNTIFS($Y$5:Y1107,Y1107))</f>
        <v>0</v>
      </c>
      <c r="AL1107" s="39">
        <f>IF(B1107="","",IF(H1107="","Add - what kind of sale is this?",IF(IF(V1107&lt;=0,P1107="",FALSE),"Check - no price found for this item",IF(F1107="","Assign - nobody credited",IF(AH1107&gt;0.004,"Unpaid - balance outstanding",IF(AC1107&lt;0,"Loss - sold below cost",IF(X1107&gt;W1107*0.5,"Check - more than half off","OK")))))))</f>
        <v>0</v>
      </c>
    </row>
    <row r="1108" spans="1:38">
      <c r="A1108" s="28">
        <f>IF(B1108="","",SalePrefix&amp;TEXT(ROW()-4,"0000"))</f>
        <v>0</v>
      </c>
      <c r="E1108" s="15">
        <f>IF(D1108="","",IFERROR(INDEX(Clients!$B$5:$B$504,MATCH(D1108,Clients!$A$5:$A$504,0)),"Walk-in"))</f>
        <v>0</v>
      </c>
      <c r="G1108" s="15">
        <f>IF(F1108="","",IFERROR(INDEX(Staff!$B$5:$B$44,MATCH(F1108,Staff!$A$5:$A$44,0)),"House"))</f>
        <v>0</v>
      </c>
      <c r="R1108" s="15">
        <f>IF(B1108="","",TEXT(B1108,"yyyy-mm"))</f>
        <v>0</v>
      </c>
      <c r="S1108" s="25">
        <f>IF(B1108="","",WEEKNUM(B1108,2))</f>
        <v>0</v>
      </c>
      <c r="T1108" s="37">
        <f>IF(B1108="","",IF(K1108="",1,K1108))</f>
        <v>0</v>
      </c>
      <c r="U1108" s="15">
        <f>IF(B1108="","",IF(J1108&lt;&gt;"",J1108,IF(H1108="Retail",IFERROR(INDEX(Inventory!$B$5:$B$304,MATCH(I1108,Inventory!$A$5:$A$304,0))&amp;"","Not in Inventory"),IFERROR(INDEX(Services!$B$5:$B$204,MATCH(I1108,Services!$A$5:$A$204,0))&amp;"","Not in Services"))))</f>
        <v>0</v>
      </c>
      <c r="V1108" s="26">
        <f>IF(B1108="","",IF(L1108&lt;&gt;"",L1108,IF(H1108="Retail",IFERROR(INDEX(Inventory!$I$5:$I$304,MATCH(I1108,Inventory!$A$5:$A$304,0))*1,0),IFERROR(INDEX(Services!$G$5:$G$204,MATCH(I1108,Services!$A$5:$A$204,0))*1,0))))</f>
        <v>0</v>
      </c>
      <c r="W1108" s="26">
        <f>IF(B1108="","",ROUND(T1108*V1108,2))</f>
        <v>0</v>
      </c>
      <c r="X1108" s="26">
        <f>IF(B1108="","",ROUND(IF(M1108="",0,W1108*M1108)+IF(N1108="",0,N1108),2))</f>
        <v>0</v>
      </c>
      <c r="Y1108" s="26">
        <f>IF(B1108="","",ROUND(W1108-X1108-IF(P1108="",0,P1108),2))</f>
        <v>0</v>
      </c>
      <c r="Z1108" s="26">
        <f>IF(B1108="","",IF(H1108="Retail",IF(TaxOnRetail="Yes",ROUND(Y1108*TaxRate,2),0),IF(H1108="Service",IF(TaxOnServices="Yes",ROUND(Y1108*TaxRate,2),0),0)))</f>
        <v>0</v>
      </c>
      <c r="AA1108" s="26">
        <f>IF(B1108="","",ROUND(Y1108+Z1108,2))</f>
        <v>0</v>
      </c>
      <c r="AB1108" s="26">
        <f>IF(B1108="","",ROUND(T1108*IF(H1108="Retail",IFERROR(INDEX(Inventory!$H$5:$H$304,MATCH(I1108,Inventory!$A$5:$A$304,0))*1,0),IFERROR(INDEX(Services!$Q$5:$Q$204,MATCH(I1108,Services!$A$5:$A$204,0))*1,0)),2))</f>
        <v>0</v>
      </c>
      <c r="AC1108" s="26">
        <f>IF(B1108="","",ROUND(Y1108-AB1108,2))</f>
        <v>0</v>
      </c>
      <c r="AD1108" s="38">
        <f>IF(B1108="","",IF(C1108="","No",IF(COUNTIFS($C$5:C1108,C1108)=1,"Yes","No")))</f>
        <v>0</v>
      </c>
      <c r="AE1108" s="26">
        <f>IF(B1108="","",ROUND(SUMIFS(Payments!$G$5:$G$1204,Payments!$H$5:$H$1204,A1108,Payments!$Q$5:$Q$1204,"Yes"),2))</f>
        <v>0</v>
      </c>
      <c r="AF1108" s="26">
        <f>IF(B1108="","",IF(AD1108="No",0,ROUND(SUMIFS(Payments!$G$5:$G$1204,Payments!$I$5:$I$1204,C1108,Payments!$H$5:$H$1204,"",Payments!$Q$5:$Q$1204,"Yes"),2)))</f>
        <v>0</v>
      </c>
      <c r="AG1108" s="26">
        <f>IF(B1108="","",ROUND(AE1108+AF1108,2))</f>
        <v>0</v>
      </c>
      <c r="AH1108" s="26">
        <f>IF(B1108="","",ROUND(AA1108-AG1108,2))</f>
        <v>0</v>
      </c>
      <c r="AI1108" s="39">
        <f>IF(B1108="","",IF(AA1108&lt;=0,"No charge",IF(AH1108&lt;=0.004,"Paid",IF(AG1108&lt;=0.004,"Unpaid","Part paid"))))</f>
        <v>0</v>
      </c>
      <c r="AJ1108" s="38">
        <f>IF(B1108="","",IF(H1108&lt;&gt;"Service","",IF(D1108="","No",IF(COUNTIFS($D$5:$D$1204,D1108,$B$5:$B$1204,B1108,$H$5:$H$1204,"Retail")&gt;0,"Yes","No"))))</f>
        <v>0</v>
      </c>
      <c r="AK1108" s="25">
        <f>IF(B1108="","",COUNTIFS($Y$5:$Y$1204,"&gt;"&amp;Y1108)+COUNTIFS($Y$5:Y1108,Y1108))</f>
        <v>0</v>
      </c>
      <c r="AL1108" s="39">
        <f>IF(B1108="","",IF(H1108="","Add - what kind of sale is this?",IF(IF(V1108&lt;=0,P1108="",FALSE),"Check - no price found for this item",IF(F1108="","Assign - nobody credited",IF(AH1108&gt;0.004,"Unpaid - balance outstanding",IF(AC1108&lt;0,"Loss - sold below cost",IF(X1108&gt;W1108*0.5,"Check - more than half off","OK")))))))</f>
        <v>0</v>
      </c>
    </row>
    <row r="1109" spans="1:38">
      <c r="A1109" s="28">
        <f>IF(B1109="","",SalePrefix&amp;TEXT(ROW()-4,"0000"))</f>
        <v>0</v>
      </c>
      <c r="E1109" s="15">
        <f>IF(D1109="","",IFERROR(INDEX(Clients!$B$5:$B$504,MATCH(D1109,Clients!$A$5:$A$504,0)),"Walk-in"))</f>
        <v>0</v>
      </c>
      <c r="G1109" s="15">
        <f>IF(F1109="","",IFERROR(INDEX(Staff!$B$5:$B$44,MATCH(F1109,Staff!$A$5:$A$44,0)),"House"))</f>
        <v>0</v>
      </c>
      <c r="R1109" s="15">
        <f>IF(B1109="","",TEXT(B1109,"yyyy-mm"))</f>
        <v>0</v>
      </c>
      <c r="S1109" s="25">
        <f>IF(B1109="","",WEEKNUM(B1109,2))</f>
        <v>0</v>
      </c>
      <c r="T1109" s="37">
        <f>IF(B1109="","",IF(K1109="",1,K1109))</f>
        <v>0</v>
      </c>
      <c r="U1109" s="15">
        <f>IF(B1109="","",IF(J1109&lt;&gt;"",J1109,IF(H1109="Retail",IFERROR(INDEX(Inventory!$B$5:$B$304,MATCH(I1109,Inventory!$A$5:$A$304,0))&amp;"","Not in Inventory"),IFERROR(INDEX(Services!$B$5:$B$204,MATCH(I1109,Services!$A$5:$A$204,0))&amp;"","Not in Services"))))</f>
        <v>0</v>
      </c>
      <c r="V1109" s="26">
        <f>IF(B1109="","",IF(L1109&lt;&gt;"",L1109,IF(H1109="Retail",IFERROR(INDEX(Inventory!$I$5:$I$304,MATCH(I1109,Inventory!$A$5:$A$304,0))*1,0),IFERROR(INDEX(Services!$G$5:$G$204,MATCH(I1109,Services!$A$5:$A$204,0))*1,0))))</f>
        <v>0</v>
      </c>
      <c r="W1109" s="26">
        <f>IF(B1109="","",ROUND(T1109*V1109,2))</f>
        <v>0</v>
      </c>
      <c r="X1109" s="26">
        <f>IF(B1109="","",ROUND(IF(M1109="",0,W1109*M1109)+IF(N1109="",0,N1109),2))</f>
        <v>0</v>
      </c>
      <c r="Y1109" s="26">
        <f>IF(B1109="","",ROUND(W1109-X1109-IF(P1109="",0,P1109),2))</f>
        <v>0</v>
      </c>
      <c r="Z1109" s="26">
        <f>IF(B1109="","",IF(H1109="Retail",IF(TaxOnRetail="Yes",ROUND(Y1109*TaxRate,2),0),IF(H1109="Service",IF(TaxOnServices="Yes",ROUND(Y1109*TaxRate,2),0),0)))</f>
        <v>0</v>
      </c>
      <c r="AA1109" s="26">
        <f>IF(B1109="","",ROUND(Y1109+Z1109,2))</f>
        <v>0</v>
      </c>
      <c r="AB1109" s="26">
        <f>IF(B1109="","",ROUND(T1109*IF(H1109="Retail",IFERROR(INDEX(Inventory!$H$5:$H$304,MATCH(I1109,Inventory!$A$5:$A$304,0))*1,0),IFERROR(INDEX(Services!$Q$5:$Q$204,MATCH(I1109,Services!$A$5:$A$204,0))*1,0)),2))</f>
        <v>0</v>
      </c>
      <c r="AC1109" s="26">
        <f>IF(B1109="","",ROUND(Y1109-AB1109,2))</f>
        <v>0</v>
      </c>
      <c r="AD1109" s="38">
        <f>IF(B1109="","",IF(C1109="","No",IF(COUNTIFS($C$5:C1109,C1109)=1,"Yes","No")))</f>
        <v>0</v>
      </c>
      <c r="AE1109" s="26">
        <f>IF(B1109="","",ROUND(SUMIFS(Payments!$G$5:$G$1204,Payments!$H$5:$H$1204,A1109,Payments!$Q$5:$Q$1204,"Yes"),2))</f>
        <v>0</v>
      </c>
      <c r="AF1109" s="26">
        <f>IF(B1109="","",IF(AD1109="No",0,ROUND(SUMIFS(Payments!$G$5:$G$1204,Payments!$I$5:$I$1204,C1109,Payments!$H$5:$H$1204,"",Payments!$Q$5:$Q$1204,"Yes"),2)))</f>
        <v>0</v>
      </c>
      <c r="AG1109" s="26">
        <f>IF(B1109="","",ROUND(AE1109+AF1109,2))</f>
        <v>0</v>
      </c>
      <c r="AH1109" s="26">
        <f>IF(B1109="","",ROUND(AA1109-AG1109,2))</f>
        <v>0</v>
      </c>
      <c r="AI1109" s="39">
        <f>IF(B1109="","",IF(AA1109&lt;=0,"No charge",IF(AH1109&lt;=0.004,"Paid",IF(AG1109&lt;=0.004,"Unpaid","Part paid"))))</f>
        <v>0</v>
      </c>
      <c r="AJ1109" s="38">
        <f>IF(B1109="","",IF(H1109&lt;&gt;"Service","",IF(D1109="","No",IF(COUNTIFS($D$5:$D$1204,D1109,$B$5:$B$1204,B1109,$H$5:$H$1204,"Retail")&gt;0,"Yes","No"))))</f>
        <v>0</v>
      </c>
      <c r="AK1109" s="25">
        <f>IF(B1109="","",COUNTIFS($Y$5:$Y$1204,"&gt;"&amp;Y1109)+COUNTIFS($Y$5:Y1109,Y1109))</f>
        <v>0</v>
      </c>
      <c r="AL1109" s="39">
        <f>IF(B1109="","",IF(H1109="","Add - what kind of sale is this?",IF(IF(V1109&lt;=0,P1109="",FALSE),"Check - no price found for this item",IF(F1109="","Assign - nobody credited",IF(AH1109&gt;0.004,"Unpaid - balance outstanding",IF(AC1109&lt;0,"Loss - sold below cost",IF(X1109&gt;W1109*0.5,"Check - more than half off","OK")))))))</f>
        <v>0</v>
      </c>
    </row>
    <row r="1110" spans="1:38">
      <c r="A1110" s="28">
        <f>IF(B1110="","",SalePrefix&amp;TEXT(ROW()-4,"0000"))</f>
        <v>0</v>
      </c>
      <c r="E1110" s="15">
        <f>IF(D1110="","",IFERROR(INDEX(Clients!$B$5:$B$504,MATCH(D1110,Clients!$A$5:$A$504,0)),"Walk-in"))</f>
        <v>0</v>
      </c>
      <c r="G1110" s="15">
        <f>IF(F1110="","",IFERROR(INDEX(Staff!$B$5:$B$44,MATCH(F1110,Staff!$A$5:$A$44,0)),"House"))</f>
        <v>0</v>
      </c>
      <c r="R1110" s="15">
        <f>IF(B1110="","",TEXT(B1110,"yyyy-mm"))</f>
        <v>0</v>
      </c>
      <c r="S1110" s="25">
        <f>IF(B1110="","",WEEKNUM(B1110,2))</f>
        <v>0</v>
      </c>
      <c r="T1110" s="37">
        <f>IF(B1110="","",IF(K1110="",1,K1110))</f>
        <v>0</v>
      </c>
      <c r="U1110" s="15">
        <f>IF(B1110="","",IF(J1110&lt;&gt;"",J1110,IF(H1110="Retail",IFERROR(INDEX(Inventory!$B$5:$B$304,MATCH(I1110,Inventory!$A$5:$A$304,0))&amp;"","Not in Inventory"),IFERROR(INDEX(Services!$B$5:$B$204,MATCH(I1110,Services!$A$5:$A$204,0))&amp;"","Not in Services"))))</f>
        <v>0</v>
      </c>
      <c r="V1110" s="26">
        <f>IF(B1110="","",IF(L1110&lt;&gt;"",L1110,IF(H1110="Retail",IFERROR(INDEX(Inventory!$I$5:$I$304,MATCH(I1110,Inventory!$A$5:$A$304,0))*1,0),IFERROR(INDEX(Services!$G$5:$G$204,MATCH(I1110,Services!$A$5:$A$204,0))*1,0))))</f>
        <v>0</v>
      </c>
      <c r="W1110" s="26">
        <f>IF(B1110="","",ROUND(T1110*V1110,2))</f>
        <v>0</v>
      </c>
      <c r="X1110" s="26">
        <f>IF(B1110="","",ROUND(IF(M1110="",0,W1110*M1110)+IF(N1110="",0,N1110),2))</f>
        <v>0</v>
      </c>
      <c r="Y1110" s="26">
        <f>IF(B1110="","",ROUND(W1110-X1110-IF(P1110="",0,P1110),2))</f>
        <v>0</v>
      </c>
      <c r="Z1110" s="26">
        <f>IF(B1110="","",IF(H1110="Retail",IF(TaxOnRetail="Yes",ROUND(Y1110*TaxRate,2),0),IF(H1110="Service",IF(TaxOnServices="Yes",ROUND(Y1110*TaxRate,2),0),0)))</f>
        <v>0</v>
      </c>
      <c r="AA1110" s="26">
        <f>IF(B1110="","",ROUND(Y1110+Z1110,2))</f>
        <v>0</v>
      </c>
      <c r="AB1110" s="26">
        <f>IF(B1110="","",ROUND(T1110*IF(H1110="Retail",IFERROR(INDEX(Inventory!$H$5:$H$304,MATCH(I1110,Inventory!$A$5:$A$304,0))*1,0),IFERROR(INDEX(Services!$Q$5:$Q$204,MATCH(I1110,Services!$A$5:$A$204,0))*1,0)),2))</f>
        <v>0</v>
      </c>
      <c r="AC1110" s="26">
        <f>IF(B1110="","",ROUND(Y1110-AB1110,2))</f>
        <v>0</v>
      </c>
      <c r="AD1110" s="38">
        <f>IF(B1110="","",IF(C1110="","No",IF(COUNTIFS($C$5:C1110,C1110)=1,"Yes","No")))</f>
        <v>0</v>
      </c>
      <c r="AE1110" s="26">
        <f>IF(B1110="","",ROUND(SUMIFS(Payments!$G$5:$G$1204,Payments!$H$5:$H$1204,A1110,Payments!$Q$5:$Q$1204,"Yes"),2))</f>
        <v>0</v>
      </c>
      <c r="AF1110" s="26">
        <f>IF(B1110="","",IF(AD1110="No",0,ROUND(SUMIFS(Payments!$G$5:$G$1204,Payments!$I$5:$I$1204,C1110,Payments!$H$5:$H$1204,"",Payments!$Q$5:$Q$1204,"Yes"),2)))</f>
        <v>0</v>
      </c>
      <c r="AG1110" s="26">
        <f>IF(B1110="","",ROUND(AE1110+AF1110,2))</f>
        <v>0</v>
      </c>
      <c r="AH1110" s="26">
        <f>IF(B1110="","",ROUND(AA1110-AG1110,2))</f>
        <v>0</v>
      </c>
      <c r="AI1110" s="39">
        <f>IF(B1110="","",IF(AA1110&lt;=0,"No charge",IF(AH1110&lt;=0.004,"Paid",IF(AG1110&lt;=0.004,"Unpaid","Part paid"))))</f>
        <v>0</v>
      </c>
      <c r="AJ1110" s="38">
        <f>IF(B1110="","",IF(H1110&lt;&gt;"Service","",IF(D1110="","No",IF(COUNTIFS($D$5:$D$1204,D1110,$B$5:$B$1204,B1110,$H$5:$H$1204,"Retail")&gt;0,"Yes","No"))))</f>
        <v>0</v>
      </c>
      <c r="AK1110" s="25">
        <f>IF(B1110="","",COUNTIFS($Y$5:$Y$1204,"&gt;"&amp;Y1110)+COUNTIFS($Y$5:Y1110,Y1110))</f>
        <v>0</v>
      </c>
      <c r="AL1110" s="39">
        <f>IF(B1110="","",IF(H1110="","Add - what kind of sale is this?",IF(IF(V1110&lt;=0,P1110="",FALSE),"Check - no price found for this item",IF(F1110="","Assign - nobody credited",IF(AH1110&gt;0.004,"Unpaid - balance outstanding",IF(AC1110&lt;0,"Loss - sold below cost",IF(X1110&gt;W1110*0.5,"Check - more than half off","OK")))))))</f>
        <v>0</v>
      </c>
    </row>
    <row r="1111" spans="1:38">
      <c r="A1111" s="28">
        <f>IF(B1111="","",SalePrefix&amp;TEXT(ROW()-4,"0000"))</f>
        <v>0</v>
      </c>
      <c r="E1111" s="15">
        <f>IF(D1111="","",IFERROR(INDEX(Clients!$B$5:$B$504,MATCH(D1111,Clients!$A$5:$A$504,0)),"Walk-in"))</f>
        <v>0</v>
      </c>
      <c r="G1111" s="15">
        <f>IF(F1111="","",IFERROR(INDEX(Staff!$B$5:$B$44,MATCH(F1111,Staff!$A$5:$A$44,0)),"House"))</f>
        <v>0</v>
      </c>
      <c r="R1111" s="15">
        <f>IF(B1111="","",TEXT(B1111,"yyyy-mm"))</f>
        <v>0</v>
      </c>
      <c r="S1111" s="25">
        <f>IF(B1111="","",WEEKNUM(B1111,2))</f>
        <v>0</v>
      </c>
      <c r="T1111" s="37">
        <f>IF(B1111="","",IF(K1111="",1,K1111))</f>
        <v>0</v>
      </c>
      <c r="U1111" s="15">
        <f>IF(B1111="","",IF(J1111&lt;&gt;"",J1111,IF(H1111="Retail",IFERROR(INDEX(Inventory!$B$5:$B$304,MATCH(I1111,Inventory!$A$5:$A$304,0))&amp;"","Not in Inventory"),IFERROR(INDEX(Services!$B$5:$B$204,MATCH(I1111,Services!$A$5:$A$204,0))&amp;"","Not in Services"))))</f>
        <v>0</v>
      </c>
      <c r="V1111" s="26">
        <f>IF(B1111="","",IF(L1111&lt;&gt;"",L1111,IF(H1111="Retail",IFERROR(INDEX(Inventory!$I$5:$I$304,MATCH(I1111,Inventory!$A$5:$A$304,0))*1,0),IFERROR(INDEX(Services!$G$5:$G$204,MATCH(I1111,Services!$A$5:$A$204,0))*1,0))))</f>
        <v>0</v>
      </c>
      <c r="W1111" s="26">
        <f>IF(B1111="","",ROUND(T1111*V1111,2))</f>
        <v>0</v>
      </c>
      <c r="X1111" s="26">
        <f>IF(B1111="","",ROUND(IF(M1111="",0,W1111*M1111)+IF(N1111="",0,N1111),2))</f>
        <v>0</v>
      </c>
      <c r="Y1111" s="26">
        <f>IF(B1111="","",ROUND(W1111-X1111-IF(P1111="",0,P1111),2))</f>
        <v>0</v>
      </c>
      <c r="Z1111" s="26">
        <f>IF(B1111="","",IF(H1111="Retail",IF(TaxOnRetail="Yes",ROUND(Y1111*TaxRate,2),0),IF(H1111="Service",IF(TaxOnServices="Yes",ROUND(Y1111*TaxRate,2),0),0)))</f>
        <v>0</v>
      </c>
      <c r="AA1111" s="26">
        <f>IF(B1111="","",ROUND(Y1111+Z1111,2))</f>
        <v>0</v>
      </c>
      <c r="AB1111" s="26">
        <f>IF(B1111="","",ROUND(T1111*IF(H1111="Retail",IFERROR(INDEX(Inventory!$H$5:$H$304,MATCH(I1111,Inventory!$A$5:$A$304,0))*1,0),IFERROR(INDEX(Services!$Q$5:$Q$204,MATCH(I1111,Services!$A$5:$A$204,0))*1,0)),2))</f>
        <v>0</v>
      </c>
      <c r="AC1111" s="26">
        <f>IF(B1111="","",ROUND(Y1111-AB1111,2))</f>
        <v>0</v>
      </c>
      <c r="AD1111" s="38">
        <f>IF(B1111="","",IF(C1111="","No",IF(COUNTIFS($C$5:C1111,C1111)=1,"Yes","No")))</f>
        <v>0</v>
      </c>
      <c r="AE1111" s="26">
        <f>IF(B1111="","",ROUND(SUMIFS(Payments!$G$5:$G$1204,Payments!$H$5:$H$1204,A1111,Payments!$Q$5:$Q$1204,"Yes"),2))</f>
        <v>0</v>
      </c>
      <c r="AF1111" s="26">
        <f>IF(B1111="","",IF(AD1111="No",0,ROUND(SUMIFS(Payments!$G$5:$G$1204,Payments!$I$5:$I$1204,C1111,Payments!$H$5:$H$1204,"",Payments!$Q$5:$Q$1204,"Yes"),2)))</f>
        <v>0</v>
      </c>
      <c r="AG1111" s="26">
        <f>IF(B1111="","",ROUND(AE1111+AF1111,2))</f>
        <v>0</v>
      </c>
      <c r="AH1111" s="26">
        <f>IF(B1111="","",ROUND(AA1111-AG1111,2))</f>
        <v>0</v>
      </c>
      <c r="AI1111" s="39">
        <f>IF(B1111="","",IF(AA1111&lt;=0,"No charge",IF(AH1111&lt;=0.004,"Paid",IF(AG1111&lt;=0.004,"Unpaid","Part paid"))))</f>
        <v>0</v>
      </c>
      <c r="AJ1111" s="38">
        <f>IF(B1111="","",IF(H1111&lt;&gt;"Service","",IF(D1111="","No",IF(COUNTIFS($D$5:$D$1204,D1111,$B$5:$B$1204,B1111,$H$5:$H$1204,"Retail")&gt;0,"Yes","No"))))</f>
        <v>0</v>
      </c>
      <c r="AK1111" s="25">
        <f>IF(B1111="","",COUNTIFS($Y$5:$Y$1204,"&gt;"&amp;Y1111)+COUNTIFS($Y$5:Y1111,Y1111))</f>
        <v>0</v>
      </c>
      <c r="AL1111" s="39">
        <f>IF(B1111="","",IF(H1111="","Add - what kind of sale is this?",IF(IF(V1111&lt;=0,P1111="",FALSE),"Check - no price found for this item",IF(F1111="","Assign - nobody credited",IF(AH1111&gt;0.004,"Unpaid - balance outstanding",IF(AC1111&lt;0,"Loss - sold below cost",IF(X1111&gt;W1111*0.5,"Check - more than half off","OK")))))))</f>
        <v>0</v>
      </c>
    </row>
    <row r="1112" spans="1:38">
      <c r="A1112" s="28">
        <f>IF(B1112="","",SalePrefix&amp;TEXT(ROW()-4,"0000"))</f>
        <v>0</v>
      </c>
      <c r="E1112" s="15">
        <f>IF(D1112="","",IFERROR(INDEX(Clients!$B$5:$B$504,MATCH(D1112,Clients!$A$5:$A$504,0)),"Walk-in"))</f>
        <v>0</v>
      </c>
      <c r="G1112" s="15">
        <f>IF(F1112="","",IFERROR(INDEX(Staff!$B$5:$B$44,MATCH(F1112,Staff!$A$5:$A$44,0)),"House"))</f>
        <v>0</v>
      </c>
      <c r="R1112" s="15">
        <f>IF(B1112="","",TEXT(B1112,"yyyy-mm"))</f>
        <v>0</v>
      </c>
      <c r="S1112" s="25">
        <f>IF(B1112="","",WEEKNUM(B1112,2))</f>
        <v>0</v>
      </c>
      <c r="T1112" s="37">
        <f>IF(B1112="","",IF(K1112="",1,K1112))</f>
        <v>0</v>
      </c>
      <c r="U1112" s="15">
        <f>IF(B1112="","",IF(J1112&lt;&gt;"",J1112,IF(H1112="Retail",IFERROR(INDEX(Inventory!$B$5:$B$304,MATCH(I1112,Inventory!$A$5:$A$304,0))&amp;"","Not in Inventory"),IFERROR(INDEX(Services!$B$5:$B$204,MATCH(I1112,Services!$A$5:$A$204,0))&amp;"","Not in Services"))))</f>
        <v>0</v>
      </c>
      <c r="V1112" s="26">
        <f>IF(B1112="","",IF(L1112&lt;&gt;"",L1112,IF(H1112="Retail",IFERROR(INDEX(Inventory!$I$5:$I$304,MATCH(I1112,Inventory!$A$5:$A$304,0))*1,0),IFERROR(INDEX(Services!$G$5:$G$204,MATCH(I1112,Services!$A$5:$A$204,0))*1,0))))</f>
        <v>0</v>
      </c>
      <c r="W1112" s="26">
        <f>IF(B1112="","",ROUND(T1112*V1112,2))</f>
        <v>0</v>
      </c>
      <c r="X1112" s="26">
        <f>IF(B1112="","",ROUND(IF(M1112="",0,W1112*M1112)+IF(N1112="",0,N1112),2))</f>
        <v>0</v>
      </c>
      <c r="Y1112" s="26">
        <f>IF(B1112="","",ROUND(W1112-X1112-IF(P1112="",0,P1112),2))</f>
        <v>0</v>
      </c>
      <c r="Z1112" s="26">
        <f>IF(B1112="","",IF(H1112="Retail",IF(TaxOnRetail="Yes",ROUND(Y1112*TaxRate,2),0),IF(H1112="Service",IF(TaxOnServices="Yes",ROUND(Y1112*TaxRate,2),0),0)))</f>
        <v>0</v>
      </c>
      <c r="AA1112" s="26">
        <f>IF(B1112="","",ROUND(Y1112+Z1112,2))</f>
        <v>0</v>
      </c>
      <c r="AB1112" s="26">
        <f>IF(B1112="","",ROUND(T1112*IF(H1112="Retail",IFERROR(INDEX(Inventory!$H$5:$H$304,MATCH(I1112,Inventory!$A$5:$A$304,0))*1,0),IFERROR(INDEX(Services!$Q$5:$Q$204,MATCH(I1112,Services!$A$5:$A$204,0))*1,0)),2))</f>
        <v>0</v>
      </c>
      <c r="AC1112" s="26">
        <f>IF(B1112="","",ROUND(Y1112-AB1112,2))</f>
        <v>0</v>
      </c>
      <c r="AD1112" s="38">
        <f>IF(B1112="","",IF(C1112="","No",IF(COUNTIFS($C$5:C1112,C1112)=1,"Yes","No")))</f>
        <v>0</v>
      </c>
      <c r="AE1112" s="26">
        <f>IF(B1112="","",ROUND(SUMIFS(Payments!$G$5:$G$1204,Payments!$H$5:$H$1204,A1112,Payments!$Q$5:$Q$1204,"Yes"),2))</f>
        <v>0</v>
      </c>
      <c r="AF1112" s="26">
        <f>IF(B1112="","",IF(AD1112="No",0,ROUND(SUMIFS(Payments!$G$5:$G$1204,Payments!$I$5:$I$1204,C1112,Payments!$H$5:$H$1204,"",Payments!$Q$5:$Q$1204,"Yes"),2)))</f>
        <v>0</v>
      </c>
      <c r="AG1112" s="26">
        <f>IF(B1112="","",ROUND(AE1112+AF1112,2))</f>
        <v>0</v>
      </c>
      <c r="AH1112" s="26">
        <f>IF(B1112="","",ROUND(AA1112-AG1112,2))</f>
        <v>0</v>
      </c>
      <c r="AI1112" s="39">
        <f>IF(B1112="","",IF(AA1112&lt;=0,"No charge",IF(AH1112&lt;=0.004,"Paid",IF(AG1112&lt;=0.004,"Unpaid","Part paid"))))</f>
        <v>0</v>
      </c>
      <c r="AJ1112" s="38">
        <f>IF(B1112="","",IF(H1112&lt;&gt;"Service","",IF(D1112="","No",IF(COUNTIFS($D$5:$D$1204,D1112,$B$5:$B$1204,B1112,$H$5:$H$1204,"Retail")&gt;0,"Yes","No"))))</f>
        <v>0</v>
      </c>
      <c r="AK1112" s="25">
        <f>IF(B1112="","",COUNTIFS($Y$5:$Y$1204,"&gt;"&amp;Y1112)+COUNTIFS($Y$5:Y1112,Y1112))</f>
        <v>0</v>
      </c>
      <c r="AL1112" s="39">
        <f>IF(B1112="","",IF(H1112="","Add - what kind of sale is this?",IF(IF(V1112&lt;=0,P1112="",FALSE),"Check - no price found for this item",IF(F1112="","Assign - nobody credited",IF(AH1112&gt;0.004,"Unpaid - balance outstanding",IF(AC1112&lt;0,"Loss - sold below cost",IF(X1112&gt;W1112*0.5,"Check - more than half off","OK")))))))</f>
        <v>0</v>
      </c>
    </row>
    <row r="1113" spans="1:38">
      <c r="A1113" s="28">
        <f>IF(B1113="","",SalePrefix&amp;TEXT(ROW()-4,"0000"))</f>
        <v>0</v>
      </c>
      <c r="E1113" s="15">
        <f>IF(D1113="","",IFERROR(INDEX(Clients!$B$5:$B$504,MATCH(D1113,Clients!$A$5:$A$504,0)),"Walk-in"))</f>
        <v>0</v>
      </c>
      <c r="G1113" s="15">
        <f>IF(F1113="","",IFERROR(INDEX(Staff!$B$5:$B$44,MATCH(F1113,Staff!$A$5:$A$44,0)),"House"))</f>
        <v>0</v>
      </c>
      <c r="R1113" s="15">
        <f>IF(B1113="","",TEXT(B1113,"yyyy-mm"))</f>
        <v>0</v>
      </c>
      <c r="S1113" s="25">
        <f>IF(B1113="","",WEEKNUM(B1113,2))</f>
        <v>0</v>
      </c>
      <c r="T1113" s="37">
        <f>IF(B1113="","",IF(K1113="",1,K1113))</f>
        <v>0</v>
      </c>
      <c r="U1113" s="15">
        <f>IF(B1113="","",IF(J1113&lt;&gt;"",J1113,IF(H1113="Retail",IFERROR(INDEX(Inventory!$B$5:$B$304,MATCH(I1113,Inventory!$A$5:$A$304,0))&amp;"","Not in Inventory"),IFERROR(INDEX(Services!$B$5:$B$204,MATCH(I1113,Services!$A$5:$A$204,0))&amp;"","Not in Services"))))</f>
        <v>0</v>
      </c>
      <c r="V1113" s="26">
        <f>IF(B1113="","",IF(L1113&lt;&gt;"",L1113,IF(H1113="Retail",IFERROR(INDEX(Inventory!$I$5:$I$304,MATCH(I1113,Inventory!$A$5:$A$304,0))*1,0),IFERROR(INDEX(Services!$G$5:$G$204,MATCH(I1113,Services!$A$5:$A$204,0))*1,0))))</f>
        <v>0</v>
      </c>
      <c r="W1113" s="26">
        <f>IF(B1113="","",ROUND(T1113*V1113,2))</f>
        <v>0</v>
      </c>
      <c r="X1113" s="26">
        <f>IF(B1113="","",ROUND(IF(M1113="",0,W1113*M1113)+IF(N1113="",0,N1113),2))</f>
        <v>0</v>
      </c>
      <c r="Y1113" s="26">
        <f>IF(B1113="","",ROUND(W1113-X1113-IF(P1113="",0,P1113),2))</f>
        <v>0</v>
      </c>
      <c r="Z1113" s="26">
        <f>IF(B1113="","",IF(H1113="Retail",IF(TaxOnRetail="Yes",ROUND(Y1113*TaxRate,2),0),IF(H1113="Service",IF(TaxOnServices="Yes",ROUND(Y1113*TaxRate,2),0),0)))</f>
        <v>0</v>
      </c>
      <c r="AA1113" s="26">
        <f>IF(B1113="","",ROUND(Y1113+Z1113,2))</f>
        <v>0</v>
      </c>
      <c r="AB1113" s="26">
        <f>IF(B1113="","",ROUND(T1113*IF(H1113="Retail",IFERROR(INDEX(Inventory!$H$5:$H$304,MATCH(I1113,Inventory!$A$5:$A$304,0))*1,0),IFERROR(INDEX(Services!$Q$5:$Q$204,MATCH(I1113,Services!$A$5:$A$204,0))*1,0)),2))</f>
        <v>0</v>
      </c>
      <c r="AC1113" s="26">
        <f>IF(B1113="","",ROUND(Y1113-AB1113,2))</f>
        <v>0</v>
      </c>
      <c r="AD1113" s="38">
        <f>IF(B1113="","",IF(C1113="","No",IF(COUNTIFS($C$5:C1113,C1113)=1,"Yes","No")))</f>
        <v>0</v>
      </c>
      <c r="AE1113" s="26">
        <f>IF(B1113="","",ROUND(SUMIFS(Payments!$G$5:$G$1204,Payments!$H$5:$H$1204,A1113,Payments!$Q$5:$Q$1204,"Yes"),2))</f>
        <v>0</v>
      </c>
      <c r="AF1113" s="26">
        <f>IF(B1113="","",IF(AD1113="No",0,ROUND(SUMIFS(Payments!$G$5:$G$1204,Payments!$I$5:$I$1204,C1113,Payments!$H$5:$H$1204,"",Payments!$Q$5:$Q$1204,"Yes"),2)))</f>
        <v>0</v>
      </c>
      <c r="AG1113" s="26">
        <f>IF(B1113="","",ROUND(AE1113+AF1113,2))</f>
        <v>0</v>
      </c>
      <c r="AH1113" s="26">
        <f>IF(B1113="","",ROUND(AA1113-AG1113,2))</f>
        <v>0</v>
      </c>
      <c r="AI1113" s="39">
        <f>IF(B1113="","",IF(AA1113&lt;=0,"No charge",IF(AH1113&lt;=0.004,"Paid",IF(AG1113&lt;=0.004,"Unpaid","Part paid"))))</f>
        <v>0</v>
      </c>
      <c r="AJ1113" s="38">
        <f>IF(B1113="","",IF(H1113&lt;&gt;"Service","",IF(D1113="","No",IF(COUNTIFS($D$5:$D$1204,D1113,$B$5:$B$1204,B1113,$H$5:$H$1204,"Retail")&gt;0,"Yes","No"))))</f>
        <v>0</v>
      </c>
      <c r="AK1113" s="25">
        <f>IF(B1113="","",COUNTIFS($Y$5:$Y$1204,"&gt;"&amp;Y1113)+COUNTIFS($Y$5:Y1113,Y1113))</f>
        <v>0</v>
      </c>
      <c r="AL1113" s="39">
        <f>IF(B1113="","",IF(H1113="","Add - what kind of sale is this?",IF(IF(V1113&lt;=0,P1113="",FALSE),"Check - no price found for this item",IF(F1113="","Assign - nobody credited",IF(AH1113&gt;0.004,"Unpaid - balance outstanding",IF(AC1113&lt;0,"Loss - sold below cost",IF(X1113&gt;W1113*0.5,"Check - more than half off","OK")))))))</f>
        <v>0</v>
      </c>
    </row>
    <row r="1114" spans="1:38">
      <c r="A1114" s="28">
        <f>IF(B1114="","",SalePrefix&amp;TEXT(ROW()-4,"0000"))</f>
        <v>0</v>
      </c>
      <c r="E1114" s="15">
        <f>IF(D1114="","",IFERROR(INDEX(Clients!$B$5:$B$504,MATCH(D1114,Clients!$A$5:$A$504,0)),"Walk-in"))</f>
        <v>0</v>
      </c>
      <c r="G1114" s="15">
        <f>IF(F1114="","",IFERROR(INDEX(Staff!$B$5:$B$44,MATCH(F1114,Staff!$A$5:$A$44,0)),"House"))</f>
        <v>0</v>
      </c>
      <c r="R1114" s="15">
        <f>IF(B1114="","",TEXT(B1114,"yyyy-mm"))</f>
        <v>0</v>
      </c>
      <c r="S1114" s="25">
        <f>IF(B1114="","",WEEKNUM(B1114,2))</f>
        <v>0</v>
      </c>
      <c r="T1114" s="37">
        <f>IF(B1114="","",IF(K1114="",1,K1114))</f>
        <v>0</v>
      </c>
      <c r="U1114" s="15">
        <f>IF(B1114="","",IF(J1114&lt;&gt;"",J1114,IF(H1114="Retail",IFERROR(INDEX(Inventory!$B$5:$B$304,MATCH(I1114,Inventory!$A$5:$A$304,0))&amp;"","Not in Inventory"),IFERROR(INDEX(Services!$B$5:$B$204,MATCH(I1114,Services!$A$5:$A$204,0))&amp;"","Not in Services"))))</f>
        <v>0</v>
      </c>
      <c r="V1114" s="26">
        <f>IF(B1114="","",IF(L1114&lt;&gt;"",L1114,IF(H1114="Retail",IFERROR(INDEX(Inventory!$I$5:$I$304,MATCH(I1114,Inventory!$A$5:$A$304,0))*1,0),IFERROR(INDEX(Services!$G$5:$G$204,MATCH(I1114,Services!$A$5:$A$204,0))*1,0))))</f>
        <v>0</v>
      </c>
      <c r="W1114" s="26">
        <f>IF(B1114="","",ROUND(T1114*V1114,2))</f>
        <v>0</v>
      </c>
      <c r="X1114" s="26">
        <f>IF(B1114="","",ROUND(IF(M1114="",0,W1114*M1114)+IF(N1114="",0,N1114),2))</f>
        <v>0</v>
      </c>
      <c r="Y1114" s="26">
        <f>IF(B1114="","",ROUND(W1114-X1114-IF(P1114="",0,P1114),2))</f>
        <v>0</v>
      </c>
      <c r="Z1114" s="26">
        <f>IF(B1114="","",IF(H1114="Retail",IF(TaxOnRetail="Yes",ROUND(Y1114*TaxRate,2),0),IF(H1114="Service",IF(TaxOnServices="Yes",ROUND(Y1114*TaxRate,2),0),0)))</f>
        <v>0</v>
      </c>
      <c r="AA1114" s="26">
        <f>IF(B1114="","",ROUND(Y1114+Z1114,2))</f>
        <v>0</v>
      </c>
      <c r="AB1114" s="26">
        <f>IF(B1114="","",ROUND(T1114*IF(H1114="Retail",IFERROR(INDEX(Inventory!$H$5:$H$304,MATCH(I1114,Inventory!$A$5:$A$304,0))*1,0),IFERROR(INDEX(Services!$Q$5:$Q$204,MATCH(I1114,Services!$A$5:$A$204,0))*1,0)),2))</f>
        <v>0</v>
      </c>
      <c r="AC1114" s="26">
        <f>IF(B1114="","",ROUND(Y1114-AB1114,2))</f>
        <v>0</v>
      </c>
      <c r="AD1114" s="38">
        <f>IF(B1114="","",IF(C1114="","No",IF(COUNTIFS($C$5:C1114,C1114)=1,"Yes","No")))</f>
        <v>0</v>
      </c>
      <c r="AE1114" s="26">
        <f>IF(B1114="","",ROUND(SUMIFS(Payments!$G$5:$G$1204,Payments!$H$5:$H$1204,A1114,Payments!$Q$5:$Q$1204,"Yes"),2))</f>
        <v>0</v>
      </c>
      <c r="AF1114" s="26">
        <f>IF(B1114="","",IF(AD1114="No",0,ROUND(SUMIFS(Payments!$G$5:$G$1204,Payments!$I$5:$I$1204,C1114,Payments!$H$5:$H$1204,"",Payments!$Q$5:$Q$1204,"Yes"),2)))</f>
        <v>0</v>
      </c>
      <c r="AG1114" s="26">
        <f>IF(B1114="","",ROUND(AE1114+AF1114,2))</f>
        <v>0</v>
      </c>
      <c r="AH1114" s="26">
        <f>IF(B1114="","",ROUND(AA1114-AG1114,2))</f>
        <v>0</v>
      </c>
      <c r="AI1114" s="39">
        <f>IF(B1114="","",IF(AA1114&lt;=0,"No charge",IF(AH1114&lt;=0.004,"Paid",IF(AG1114&lt;=0.004,"Unpaid","Part paid"))))</f>
        <v>0</v>
      </c>
      <c r="AJ1114" s="38">
        <f>IF(B1114="","",IF(H1114&lt;&gt;"Service","",IF(D1114="","No",IF(COUNTIFS($D$5:$D$1204,D1114,$B$5:$B$1204,B1114,$H$5:$H$1204,"Retail")&gt;0,"Yes","No"))))</f>
        <v>0</v>
      </c>
      <c r="AK1114" s="25">
        <f>IF(B1114="","",COUNTIFS($Y$5:$Y$1204,"&gt;"&amp;Y1114)+COUNTIFS($Y$5:Y1114,Y1114))</f>
        <v>0</v>
      </c>
      <c r="AL1114" s="39">
        <f>IF(B1114="","",IF(H1114="","Add - what kind of sale is this?",IF(IF(V1114&lt;=0,P1114="",FALSE),"Check - no price found for this item",IF(F1114="","Assign - nobody credited",IF(AH1114&gt;0.004,"Unpaid - balance outstanding",IF(AC1114&lt;0,"Loss - sold below cost",IF(X1114&gt;W1114*0.5,"Check - more than half off","OK")))))))</f>
        <v>0</v>
      </c>
    </row>
    <row r="1115" spans="1:38">
      <c r="A1115" s="28">
        <f>IF(B1115="","",SalePrefix&amp;TEXT(ROW()-4,"0000"))</f>
        <v>0</v>
      </c>
      <c r="E1115" s="15">
        <f>IF(D1115="","",IFERROR(INDEX(Clients!$B$5:$B$504,MATCH(D1115,Clients!$A$5:$A$504,0)),"Walk-in"))</f>
        <v>0</v>
      </c>
      <c r="G1115" s="15">
        <f>IF(F1115="","",IFERROR(INDEX(Staff!$B$5:$B$44,MATCH(F1115,Staff!$A$5:$A$44,0)),"House"))</f>
        <v>0</v>
      </c>
      <c r="R1115" s="15">
        <f>IF(B1115="","",TEXT(B1115,"yyyy-mm"))</f>
        <v>0</v>
      </c>
      <c r="S1115" s="25">
        <f>IF(B1115="","",WEEKNUM(B1115,2))</f>
        <v>0</v>
      </c>
      <c r="T1115" s="37">
        <f>IF(B1115="","",IF(K1115="",1,K1115))</f>
        <v>0</v>
      </c>
      <c r="U1115" s="15">
        <f>IF(B1115="","",IF(J1115&lt;&gt;"",J1115,IF(H1115="Retail",IFERROR(INDEX(Inventory!$B$5:$B$304,MATCH(I1115,Inventory!$A$5:$A$304,0))&amp;"","Not in Inventory"),IFERROR(INDEX(Services!$B$5:$B$204,MATCH(I1115,Services!$A$5:$A$204,0))&amp;"","Not in Services"))))</f>
        <v>0</v>
      </c>
      <c r="V1115" s="26">
        <f>IF(B1115="","",IF(L1115&lt;&gt;"",L1115,IF(H1115="Retail",IFERROR(INDEX(Inventory!$I$5:$I$304,MATCH(I1115,Inventory!$A$5:$A$304,0))*1,0),IFERROR(INDEX(Services!$G$5:$G$204,MATCH(I1115,Services!$A$5:$A$204,0))*1,0))))</f>
        <v>0</v>
      </c>
      <c r="W1115" s="26">
        <f>IF(B1115="","",ROUND(T1115*V1115,2))</f>
        <v>0</v>
      </c>
      <c r="X1115" s="26">
        <f>IF(B1115="","",ROUND(IF(M1115="",0,W1115*M1115)+IF(N1115="",0,N1115),2))</f>
        <v>0</v>
      </c>
      <c r="Y1115" s="26">
        <f>IF(B1115="","",ROUND(W1115-X1115-IF(P1115="",0,P1115),2))</f>
        <v>0</v>
      </c>
      <c r="Z1115" s="26">
        <f>IF(B1115="","",IF(H1115="Retail",IF(TaxOnRetail="Yes",ROUND(Y1115*TaxRate,2),0),IF(H1115="Service",IF(TaxOnServices="Yes",ROUND(Y1115*TaxRate,2),0),0)))</f>
        <v>0</v>
      </c>
      <c r="AA1115" s="26">
        <f>IF(B1115="","",ROUND(Y1115+Z1115,2))</f>
        <v>0</v>
      </c>
      <c r="AB1115" s="26">
        <f>IF(B1115="","",ROUND(T1115*IF(H1115="Retail",IFERROR(INDEX(Inventory!$H$5:$H$304,MATCH(I1115,Inventory!$A$5:$A$304,0))*1,0),IFERROR(INDEX(Services!$Q$5:$Q$204,MATCH(I1115,Services!$A$5:$A$204,0))*1,0)),2))</f>
        <v>0</v>
      </c>
      <c r="AC1115" s="26">
        <f>IF(B1115="","",ROUND(Y1115-AB1115,2))</f>
        <v>0</v>
      </c>
      <c r="AD1115" s="38">
        <f>IF(B1115="","",IF(C1115="","No",IF(COUNTIFS($C$5:C1115,C1115)=1,"Yes","No")))</f>
        <v>0</v>
      </c>
      <c r="AE1115" s="26">
        <f>IF(B1115="","",ROUND(SUMIFS(Payments!$G$5:$G$1204,Payments!$H$5:$H$1204,A1115,Payments!$Q$5:$Q$1204,"Yes"),2))</f>
        <v>0</v>
      </c>
      <c r="AF1115" s="26">
        <f>IF(B1115="","",IF(AD1115="No",0,ROUND(SUMIFS(Payments!$G$5:$G$1204,Payments!$I$5:$I$1204,C1115,Payments!$H$5:$H$1204,"",Payments!$Q$5:$Q$1204,"Yes"),2)))</f>
        <v>0</v>
      </c>
      <c r="AG1115" s="26">
        <f>IF(B1115="","",ROUND(AE1115+AF1115,2))</f>
        <v>0</v>
      </c>
      <c r="AH1115" s="26">
        <f>IF(B1115="","",ROUND(AA1115-AG1115,2))</f>
        <v>0</v>
      </c>
      <c r="AI1115" s="39">
        <f>IF(B1115="","",IF(AA1115&lt;=0,"No charge",IF(AH1115&lt;=0.004,"Paid",IF(AG1115&lt;=0.004,"Unpaid","Part paid"))))</f>
        <v>0</v>
      </c>
      <c r="AJ1115" s="38">
        <f>IF(B1115="","",IF(H1115&lt;&gt;"Service","",IF(D1115="","No",IF(COUNTIFS($D$5:$D$1204,D1115,$B$5:$B$1204,B1115,$H$5:$H$1204,"Retail")&gt;0,"Yes","No"))))</f>
        <v>0</v>
      </c>
      <c r="AK1115" s="25">
        <f>IF(B1115="","",COUNTIFS($Y$5:$Y$1204,"&gt;"&amp;Y1115)+COUNTIFS($Y$5:Y1115,Y1115))</f>
        <v>0</v>
      </c>
      <c r="AL1115" s="39">
        <f>IF(B1115="","",IF(H1115="","Add - what kind of sale is this?",IF(IF(V1115&lt;=0,P1115="",FALSE),"Check - no price found for this item",IF(F1115="","Assign - nobody credited",IF(AH1115&gt;0.004,"Unpaid - balance outstanding",IF(AC1115&lt;0,"Loss - sold below cost",IF(X1115&gt;W1115*0.5,"Check - more than half off","OK")))))))</f>
        <v>0</v>
      </c>
    </row>
    <row r="1116" spans="1:38">
      <c r="A1116" s="28">
        <f>IF(B1116="","",SalePrefix&amp;TEXT(ROW()-4,"0000"))</f>
        <v>0</v>
      </c>
      <c r="E1116" s="15">
        <f>IF(D1116="","",IFERROR(INDEX(Clients!$B$5:$B$504,MATCH(D1116,Clients!$A$5:$A$504,0)),"Walk-in"))</f>
        <v>0</v>
      </c>
      <c r="G1116" s="15">
        <f>IF(F1116="","",IFERROR(INDEX(Staff!$B$5:$B$44,MATCH(F1116,Staff!$A$5:$A$44,0)),"House"))</f>
        <v>0</v>
      </c>
      <c r="R1116" s="15">
        <f>IF(B1116="","",TEXT(B1116,"yyyy-mm"))</f>
        <v>0</v>
      </c>
      <c r="S1116" s="25">
        <f>IF(B1116="","",WEEKNUM(B1116,2))</f>
        <v>0</v>
      </c>
      <c r="T1116" s="37">
        <f>IF(B1116="","",IF(K1116="",1,K1116))</f>
        <v>0</v>
      </c>
      <c r="U1116" s="15">
        <f>IF(B1116="","",IF(J1116&lt;&gt;"",J1116,IF(H1116="Retail",IFERROR(INDEX(Inventory!$B$5:$B$304,MATCH(I1116,Inventory!$A$5:$A$304,0))&amp;"","Not in Inventory"),IFERROR(INDEX(Services!$B$5:$B$204,MATCH(I1116,Services!$A$5:$A$204,0))&amp;"","Not in Services"))))</f>
        <v>0</v>
      </c>
      <c r="V1116" s="26">
        <f>IF(B1116="","",IF(L1116&lt;&gt;"",L1116,IF(H1116="Retail",IFERROR(INDEX(Inventory!$I$5:$I$304,MATCH(I1116,Inventory!$A$5:$A$304,0))*1,0),IFERROR(INDEX(Services!$G$5:$G$204,MATCH(I1116,Services!$A$5:$A$204,0))*1,0))))</f>
        <v>0</v>
      </c>
      <c r="W1116" s="26">
        <f>IF(B1116="","",ROUND(T1116*V1116,2))</f>
        <v>0</v>
      </c>
      <c r="X1116" s="26">
        <f>IF(B1116="","",ROUND(IF(M1116="",0,W1116*M1116)+IF(N1116="",0,N1116),2))</f>
        <v>0</v>
      </c>
      <c r="Y1116" s="26">
        <f>IF(B1116="","",ROUND(W1116-X1116-IF(P1116="",0,P1116),2))</f>
        <v>0</v>
      </c>
      <c r="Z1116" s="26">
        <f>IF(B1116="","",IF(H1116="Retail",IF(TaxOnRetail="Yes",ROUND(Y1116*TaxRate,2),0),IF(H1116="Service",IF(TaxOnServices="Yes",ROUND(Y1116*TaxRate,2),0),0)))</f>
        <v>0</v>
      </c>
      <c r="AA1116" s="26">
        <f>IF(B1116="","",ROUND(Y1116+Z1116,2))</f>
        <v>0</v>
      </c>
      <c r="AB1116" s="26">
        <f>IF(B1116="","",ROUND(T1116*IF(H1116="Retail",IFERROR(INDEX(Inventory!$H$5:$H$304,MATCH(I1116,Inventory!$A$5:$A$304,0))*1,0),IFERROR(INDEX(Services!$Q$5:$Q$204,MATCH(I1116,Services!$A$5:$A$204,0))*1,0)),2))</f>
        <v>0</v>
      </c>
      <c r="AC1116" s="26">
        <f>IF(B1116="","",ROUND(Y1116-AB1116,2))</f>
        <v>0</v>
      </c>
      <c r="AD1116" s="38">
        <f>IF(B1116="","",IF(C1116="","No",IF(COUNTIFS($C$5:C1116,C1116)=1,"Yes","No")))</f>
        <v>0</v>
      </c>
      <c r="AE1116" s="26">
        <f>IF(B1116="","",ROUND(SUMIFS(Payments!$G$5:$G$1204,Payments!$H$5:$H$1204,A1116,Payments!$Q$5:$Q$1204,"Yes"),2))</f>
        <v>0</v>
      </c>
      <c r="AF1116" s="26">
        <f>IF(B1116="","",IF(AD1116="No",0,ROUND(SUMIFS(Payments!$G$5:$G$1204,Payments!$I$5:$I$1204,C1116,Payments!$H$5:$H$1204,"",Payments!$Q$5:$Q$1204,"Yes"),2)))</f>
        <v>0</v>
      </c>
      <c r="AG1116" s="26">
        <f>IF(B1116="","",ROUND(AE1116+AF1116,2))</f>
        <v>0</v>
      </c>
      <c r="AH1116" s="26">
        <f>IF(B1116="","",ROUND(AA1116-AG1116,2))</f>
        <v>0</v>
      </c>
      <c r="AI1116" s="39">
        <f>IF(B1116="","",IF(AA1116&lt;=0,"No charge",IF(AH1116&lt;=0.004,"Paid",IF(AG1116&lt;=0.004,"Unpaid","Part paid"))))</f>
        <v>0</v>
      </c>
      <c r="AJ1116" s="38">
        <f>IF(B1116="","",IF(H1116&lt;&gt;"Service","",IF(D1116="","No",IF(COUNTIFS($D$5:$D$1204,D1116,$B$5:$B$1204,B1116,$H$5:$H$1204,"Retail")&gt;0,"Yes","No"))))</f>
        <v>0</v>
      </c>
      <c r="AK1116" s="25">
        <f>IF(B1116="","",COUNTIFS($Y$5:$Y$1204,"&gt;"&amp;Y1116)+COUNTIFS($Y$5:Y1116,Y1116))</f>
        <v>0</v>
      </c>
      <c r="AL1116" s="39">
        <f>IF(B1116="","",IF(H1116="","Add - what kind of sale is this?",IF(IF(V1116&lt;=0,P1116="",FALSE),"Check - no price found for this item",IF(F1116="","Assign - nobody credited",IF(AH1116&gt;0.004,"Unpaid - balance outstanding",IF(AC1116&lt;0,"Loss - sold below cost",IF(X1116&gt;W1116*0.5,"Check - more than half off","OK")))))))</f>
        <v>0</v>
      </c>
    </row>
    <row r="1117" spans="1:38">
      <c r="A1117" s="28">
        <f>IF(B1117="","",SalePrefix&amp;TEXT(ROW()-4,"0000"))</f>
        <v>0</v>
      </c>
      <c r="E1117" s="15">
        <f>IF(D1117="","",IFERROR(INDEX(Clients!$B$5:$B$504,MATCH(D1117,Clients!$A$5:$A$504,0)),"Walk-in"))</f>
        <v>0</v>
      </c>
      <c r="G1117" s="15">
        <f>IF(F1117="","",IFERROR(INDEX(Staff!$B$5:$B$44,MATCH(F1117,Staff!$A$5:$A$44,0)),"House"))</f>
        <v>0</v>
      </c>
      <c r="R1117" s="15">
        <f>IF(B1117="","",TEXT(B1117,"yyyy-mm"))</f>
        <v>0</v>
      </c>
      <c r="S1117" s="25">
        <f>IF(B1117="","",WEEKNUM(B1117,2))</f>
        <v>0</v>
      </c>
      <c r="T1117" s="37">
        <f>IF(B1117="","",IF(K1117="",1,K1117))</f>
        <v>0</v>
      </c>
      <c r="U1117" s="15">
        <f>IF(B1117="","",IF(J1117&lt;&gt;"",J1117,IF(H1117="Retail",IFERROR(INDEX(Inventory!$B$5:$B$304,MATCH(I1117,Inventory!$A$5:$A$304,0))&amp;"","Not in Inventory"),IFERROR(INDEX(Services!$B$5:$B$204,MATCH(I1117,Services!$A$5:$A$204,0))&amp;"","Not in Services"))))</f>
        <v>0</v>
      </c>
      <c r="V1117" s="26">
        <f>IF(B1117="","",IF(L1117&lt;&gt;"",L1117,IF(H1117="Retail",IFERROR(INDEX(Inventory!$I$5:$I$304,MATCH(I1117,Inventory!$A$5:$A$304,0))*1,0),IFERROR(INDEX(Services!$G$5:$G$204,MATCH(I1117,Services!$A$5:$A$204,0))*1,0))))</f>
        <v>0</v>
      </c>
      <c r="W1117" s="26">
        <f>IF(B1117="","",ROUND(T1117*V1117,2))</f>
        <v>0</v>
      </c>
      <c r="X1117" s="26">
        <f>IF(B1117="","",ROUND(IF(M1117="",0,W1117*M1117)+IF(N1117="",0,N1117),2))</f>
        <v>0</v>
      </c>
      <c r="Y1117" s="26">
        <f>IF(B1117="","",ROUND(W1117-X1117-IF(P1117="",0,P1117),2))</f>
        <v>0</v>
      </c>
      <c r="Z1117" s="26">
        <f>IF(B1117="","",IF(H1117="Retail",IF(TaxOnRetail="Yes",ROUND(Y1117*TaxRate,2),0),IF(H1117="Service",IF(TaxOnServices="Yes",ROUND(Y1117*TaxRate,2),0),0)))</f>
        <v>0</v>
      </c>
      <c r="AA1117" s="26">
        <f>IF(B1117="","",ROUND(Y1117+Z1117,2))</f>
        <v>0</v>
      </c>
      <c r="AB1117" s="26">
        <f>IF(B1117="","",ROUND(T1117*IF(H1117="Retail",IFERROR(INDEX(Inventory!$H$5:$H$304,MATCH(I1117,Inventory!$A$5:$A$304,0))*1,0),IFERROR(INDEX(Services!$Q$5:$Q$204,MATCH(I1117,Services!$A$5:$A$204,0))*1,0)),2))</f>
        <v>0</v>
      </c>
      <c r="AC1117" s="26">
        <f>IF(B1117="","",ROUND(Y1117-AB1117,2))</f>
        <v>0</v>
      </c>
      <c r="AD1117" s="38">
        <f>IF(B1117="","",IF(C1117="","No",IF(COUNTIFS($C$5:C1117,C1117)=1,"Yes","No")))</f>
        <v>0</v>
      </c>
      <c r="AE1117" s="26">
        <f>IF(B1117="","",ROUND(SUMIFS(Payments!$G$5:$G$1204,Payments!$H$5:$H$1204,A1117,Payments!$Q$5:$Q$1204,"Yes"),2))</f>
        <v>0</v>
      </c>
      <c r="AF1117" s="26">
        <f>IF(B1117="","",IF(AD1117="No",0,ROUND(SUMIFS(Payments!$G$5:$G$1204,Payments!$I$5:$I$1204,C1117,Payments!$H$5:$H$1204,"",Payments!$Q$5:$Q$1204,"Yes"),2)))</f>
        <v>0</v>
      </c>
      <c r="AG1117" s="26">
        <f>IF(B1117="","",ROUND(AE1117+AF1117,2))</f>
        <v>0</v>
      </c>
      <c r="AH1117" s="26">
        <f>IF(B1117="","",ROUND(AA1117-AG1117,2))</f>
        <v>0</v>
      </c>
      <c r="AI1117" s="39">
        <f>IF(B1117="","",IF(AA1117&lt;=0,"No charge",IF(AH1117&lt;=0.004,"Paid",IF(AG1117&lt;=0.004,"Unpaid","Part paid"))))</f>
        <v>0</v>
      </c>
      <c r="AJ1117" s="38">
        <f>IF(B1117="","",IF(H1117&lt;&gt;"Service","",IF(D1117="","No",IF(COUNTIFS($D$5:$D$1204,D1117,$B$5:$B$1204,B1117,$H$5:$H$1204,"Retail")&gt;0,"Yes","No"))))</f>
        <v>0</v>
      </c>
      <c r="AK1117" s="25">
        <f>IF(B1117="","",COUNTIFS($Y$5:$Y$1204,"&gt;"&amp;Y1117)+COUNTIFS($Y$5:Y1117,Y1117))</f>
        <v>0</v>
      </c>
      <c r="AL1117" s="39">
        <f>IF(B1117="","",IF(H1117="","Add - what kind of sale is this?",IF(IF(V1117&lt;=0,P1117="",FALSE),"Check - no price found for this item",IF(F1117="","Assign - nobody credited",IF(AH1117&gt;0.004,"Unpaid - balance outstanding",IF(AC1117&lt;0,"Loss - sold below cost",IF(X1117&gt;W1117*0.5,"Check - more than half off","OK")))))))</f>
        <v>0</v>
      </c>
    </row>
    <row r="1118" spans="1:38">
      <c r="A1118" s="28">
        <f>IF(B1118="","",SalePrefix&amp;TEXT(ROW()-4,"0000"))</f>
        <v>0</v>
      </c>
      <c r="E1118" s="15">
        <f>IF(D1118="","",IFERROR(INDEX(Clients!$B$5:$B$504,MATCH(D1118,Clients!$A$5:$A$504,0)),"Walk-in"))</f>
        <v>0</v>
      </c>
      <c r="G1118" s="15">
        <f>IF(F1118="","",IFERROR(INDEX(Staff!$B$5:$B$44,MATCH(F1118,Staff!$A$5:$A$44,0)),"House"))</f>
        <v>0</v>
      </c>
      <c r="R1118" s="15">
        <f>IF(B1118="","",TEXT(B1118,"yyyy-mm"))</f>
        <v>0</v>
      </c>
      <c r="S1118" s="25">
        <f>IF(B1118="","",WEEKNUM(B1118,2))</f>
        <v>0</v>
      </c>
      <c r="T1118" s="37">
        <f>IF(B1118="","",IF(K1118="",1,K1118))</f>
        <v>0</v>
      </c>
      <c r="U1118" s="15">
        <f>IF(B1118="","",IF(J1118&lt;&gt;"",J1118,IF(H1118="Retail",IFERROR(INDEX(Inventory!$B$5:$B$304,MATCH(I1118,Inventory!$A$5:$A$304,0))&amp;"","Not in Inventory"),IFERROR(INDEX(Services!$B$5:$B$204,MATCH(I1118,Services!$A$5:$A$204,0))&amp;"","Not in Services"))))</f>
        <v>0</v>
      </c>
      <c r="V1118" s="26">
        <f>IF(B1118="","",IF(L1118&lt;&gt;"",L1118,IF(H1118="Retail",IFERROR(INDEX(Inventory!$I$5:$I$304,MATCH(I1118,Inventory!$A$5:$A$304,0))*1,0),IFERROR(INDEX(Services!$G$5:$G$204,MATCH(I1118,Services!$A$5:$A$204,0))*1,0))))</f>
        <v>0</v>
      </c>
      <c r="W1118" s="26">
        <f>IF(B1118="","",ROUND(T1118*V1118,2))</f>
        <v>0</v>
      </c>
      <c r="X1118" s="26">
        <f>IF(B1118="","",ROUND(IF(M1118="",0,W1118*M1118)+IF(N1118="",0,N1118),2))</f>
        <v>0</v>
      </c>
      <c r="Y1118" s="26">
        <f>IF(B1118="","",ROUND(W1118-X1118-IF(P1118="",0,P1118),2))</f>
        <v>0</v>
      </c>
      <c r="Z1118" s="26">
        <f>IF(B1118="","",IF(H1118="Retail",IF(TaxOnRetail="Yes",ROUND(Y1118*TaxRate,2),0),IF(H1118="Service",IF(TaxOnServices="Yes",ROUND(Y1118*TaxRate,2),0),0)))</f>
        <v>0</v>
      </c>
      <c r="AA1118" s="26">
        <f>IF(B1118="","",ROUND(Y1118+Z1118,2))</f>
        <v>0</v>
      </c>
      <c r="AB1118" s="26">
        <f>IF(B1118="","",ROUND(T1118*IF(H1118="Retail",IFERROR(INDEX(Inventory!$H$5:$H$304,MATCH(I1118,Inventory!$A$5:$A$304,0))*1,0),IFERROR(INDEX(Services!$Q$5:$Q$204,MATCH(I1118,Services!$A$5:$A$204,0))*1,0)),2))</f>
        <v>0</v>
      </c>
      <c r="AC1118" s="26">
        <f>IF(B1118="","",ROUND(Y1118-AB1118,2))</f>
        <v>0</v>
      </c>
      <c r="AD1118" s="38">
        <f>IF(B1118="","",IF(C1118="","No",IF(COUNTIFS($C$5:C1118,C1118)=1,"Yes","No")))</f>
        <v>0</v>
      </c>
      <c r="AE1118" s="26">
        <f>IF(B1118="","",ROUND(SUMIFS(Payments!$G$5:$G$1204,Payments!$H$5:$H$1204,A1118,Payments!$Q$5:$Q$1204,"Yes"),2))</f>
        <v>0</v>
      </c>
      <c r="AF1118" s="26">
        <f>IF(B1118="","",IF(AD1118="No",0,ROUND(SUMIFS(Payments!$G$5:$G$1204,Payments!$I$5:$I$1204,C1118,Payments!$H$5:$H$1204,"",Payments!$Q$5:$Q$1204,"Yes"),2)))</f>
        <v>0</v>
      </c>
      <c r="AG1118" s="26">
        <f>IF(B1118="","",ROUND(AE1118+AF1118,2))</f>
        <v>0</v>
      </c>
      <c r="AH1118" s="26">
        <f>IF(B1118="","",ROUND(AA1118-AG1118,2))</f>
        <v>0</v>
      </c>
      <c r="AI1118" s="39">
        <f>IF(B1118="","",IF(AA1118&lt;=0,"No charge",IF(AH1118&lt;=0.004,"Paid",IF(AG1118&lt;=0.004,"Unpaid","Part paid"))))</f>
        <v>0</v>
      </c>
      <c r="AJ1118" s="38">
        <f>IF(B1118="","",IF(H1118&lt;&gt;"Service","",IF(D1118="","No",IF(COUNTIFS($D$5:$D$1204,D1118,$B$5:$B$1204,B1118,$H$5:$H$1204,"Retail")&gt;0,"Yes","No"))))</f>
        <v>0</v>
      </c>
      <c r="AK1118" s="25">
        <f>IF(B1118="","",COUNTIFS($Y$5:$Y$1204,"&gt;"&amp;Y1118)+COUNTIFS($Y$5:Y1118,Y1118))</f>
        <v>0</v>
      </c>
      <c r="AL1118" s="39">
        <f>IF(B1118="","",IF(H1118="","Add - what kind of sale is this?",IF(IF(V1118&lt;=0,P1118="",FALSE),"Check - no price found for this item",IF(F1118="","Assign - nobody credited",IF(AH1118&gt;0.004,"Unpaid - balance outstanding",IF(AC1118&lt;0,"Loss - sold below cost",IF(X1118&gt;W1118*0.5,"Check - more than half off","OK")))))))</f>
        <v>0</v>
      </c>
    </row>
    <row r="1119" spans="1:38">
      <c r="A1119" s="28">
        <f>IF(B1119="","",SalePrefix&amp;TEXT(ROW()-4,"0000"))</f>
        <v>0</v>
      </c>
      <c r="E1119" s="15">
        <f>IF(D1119="","",IFERROR(INDEX(Clients!$B$5:$B$504,MATCH(D1119,Clients!$A$5:$A$504,0)),"Walk-in"))</f>
        <v>0</v>
      </c>
      <c r="G1119" s="15">
        <f>IF(F1119="","",IFERROR(INDEX(Staff!$B$5:$B$44,MATCH(F1119,Staff!$A$5:$A$44,0)),"House"))</f>
        <v>0</v>
      </c>
      <c r="R1119" s="15">
        <f>IF(B1119="","",TEXT(B1119,"yyyy-mm"))</f>
        <v>0</v>
      </c>
      <c r="S1119" s="25">
        <f>IF(B1119="","",WEEKNUM(B1119,2))</f>
        <v>0</v>
      </c>
      <c r="T1119" s="37">
        <f>IF(B1119="","",IF(K1119="",1,K1119))</f>
        <v>0</v>
      </c>
      <c r="U1119" s="15">
        <f>IF(B1119="","",IF(J1119&lt;&gt;"",J1119,IF(H1119="Retail",IFERROR(INDEX(Inventory!$B$5:$B$304,MATCH(I1119,Inventory!$A$5:$A$304,0))&amp;"","Not in Inventory"),IFERROR(INDEX(Services!$B$5:$B$204,MATCH(I1119,Services!$A$5:$A$204,0))&amp;"","Not in Services"))))</f>
        <v>0</v>
      </c>
      <c r="V1119" s="26">
        <f>IF(B1119="","",IF(L1119&lt;&gt;"",L1119,IF(H1119="Retail",IFERROR(INDEX(Inventory!$I$5:$I$304,MATCH(I1119,Inventory!$A$5:$A$304,0))*1,0),IFERROR(INDEX(Services!$G$5:$G$204,MATCH(I1119,Services!$A$5:$A$204,0))*1,0))))</f>
        <v>0</v>
      </c>
      <c r="W1119" s="26">
        <f>IF(B1119="","",ROUND(T1119*V1119,2))</f>
        <v>0</v>
      </c>
      <c r="X1119" s="26">
        <f>IF(B1119="","",ROUND(IF(M1119="",0,W1119*M1119)+IF(N1119="",0,N1119),2))</f>
        <v>0</v>
      </c>
      <c r="Y1119" s="26">
        <f>IF(B1119="","",ROUND(W1119-X1119-IF(P1119="",0,P1119),2))</f>
        <v>0</v>
      </c>
      <c r="Z1119" s="26">
        <f>IF(B1119="","",IF(H1119="Retail",IF(TaxOnRetail="Yes",ROUND(Y1119*TaxRate,2),0),IF(H1119="Service",IF(TaxOnServices="Yes",ROUND(Y1119*TaxRate,2),0),0)))</f>
        <v>0</v>
      </c>
      <c r="AA1119" s="26">
        <f>IF(B1119="","",ROUND(Y1119+Z1119,2))</f>
        <v>0</v>
      </c>
      <c r="AB1119" s="26">
        <f>IF(B1119="","",ROUND(T1119*IF(H1119="Retail",IFERROR(INDEX(Inventory!$H$5:$H$304,MATCH(I1119,Inventory!$A$5:$A$304,0))*1,0),IFERROR(INDEX(Services!$Q$5:$Q$204,MATCH(I1119,Services!$A$5:$A$204,0))*1,0)),2))</f>
        <v>0</v>
      </c>
      <c r="AC1119" s="26">
        <f>IF(B1119="","",ROUND(Y1119-AB1119,2))</f>
        <v>0</v>
      </c>
      <c r="AD1119" s="38">
        <f>IF(B1119="","",IF(C1119="","No",IF(COUNTIFS($C$5:C1119,C1119)=1,"Yes","No")))</f>
        <v>0</v>
      </c>
      <c r="AE1119" s="26">
        <f>IF(B1119="","",ROUND(SUMIFS(Payments!$G$5:$G$1204,Payments!$H$5:$H$1204,A1119,Payments!$Q$5:$Q$1204,"Yes"),2))</f>
        <v>0</v>
      </c>
      <c r="AF1119" s="26">
        <f>IF(B1119="","",IF(AD1119="No",0,ROUND(SUMIFS(Payments!$G$5:$G$1204,Payments!$I$5:$I$1204,C1119,Payments!$H$5:$H$1204,"",Payments!$Q$5:$Q$1204,"Yes"),2)))</f>
        <v>0</v>
      </c>
      <c r="AG1119" s="26">
        <f>IF(B1119="","",ROUND(AE1119+AF1119,2))</f>
        <v>0</v>
      </c>
      <c r="AH1119" s="26">
        <f>IF(B1119="","",ROUND(AA1119-AG1119,2))</f>
        <v>0</v>
      </c>
      <c r="AI1119" s="39">
        <f>IF(B1119="","",IF(AA1119&lt;=0,"No charge",IF(AH1119&lt;=0.004,"Paid",IF(AG1119&lt;=0.004,"Unpaid","Part paid"))))</f>
        <v>0</v>
      </c>
      <c r="AJ1119" s="38">
        <f>IF(B1119="","",IF(H1119&lt;&gt;"Service","",IF(D1119="","No",IF(COUNTIFS($D$5:$D$1204,D1119,$B$5:$B$1204,B1119,$H$5:$H$1204,"Retail")&gt;0,"Yes","No"))))</f>
        <v>0</v>
      </c>
      <c r="AK1119" s="25">
        <f>IF(B1119="","",COUNTIFS($Y$5:$Y$1204,"&gt;"&amp;Y1119)+COUNTIFS($Y$5:Y1119,Y1119))</f>
        <v>0</v>
      </c>
      <c r="AL1119" s="39">
        <f>IF(B1119="","",IF(H1119="","Add - what kind of sale is this?",IF(IF(V1119&lt;=0,P1119="",FALSE),"Check - no price found for this item",IF(F1119="","Assign - nobody credited",IF(AH1119&gt;0.004,"Unpaid - balance outstanding",IF(AC1119&lt;0,"Loss - sold below cost",IF(X1119&gt;W1119*0.5,"Check - more than half off","OK")))))))</f>
        <v>0</v>
      </c>
    </row>
    <row r="1120" spans="1:38">
      <c r="A1120" s="28">
        <f>IF(B1120="","",SalePrefix&amp;TEXT(ROW()-4,"0000"))</f>
        <v>0</v>
      </c>
      <c r="E1120" s="15">
        <f>IF(D1120="","",IFERROR(INDEX(Clients!$B$5:$B$504,MATCH(D1120,Clients!$A$5:$A$504,0)),"Walk-in"))</f>
        <v>0</v>
      </c>
      <c r="G1120" s="15">
        <f>IF(F1120="","",IFERROR(INDEX(Staff!$B$5:$B$44,MATCH(F1120,Staff!$A$5:$A$44,0)),"House"))</f>
        <v>0</v>
      </c>
      <c r="R1120" s="15">
        <f>IF(B1120="","",TEXT(B1120,"yyyy-mm"))</f>
        <v>0</v>
      </c>
      <c r="S1120" s="25">
        <f>IF(B1120="","",WEEKNUM(B1120,2))</f>
        <v>0</v>
      </c>
      <c r="T1120" s="37">
        <f>IF(B1120="","",IF(K1120="",1,K1120))</f>
        <v>0</v>
      </c>
      <c r="U1120" s="15">
        <f>IF(B1120="","",IF(J1120&lt;&gt;"",J1120,IF(H1120="Retail",IFERROR(INDEX(Inventory!$B$5:$B$304,MATCH(I1120,Inventory!$A$5:$A$304,0))&amp;"","Not in Inventory"),IFERROR(INDEX(Services!$B$5:$B$204,MATCH(I1120,Services!$A$5:$A$204,0))&amp;"","Not in Services"))))</f>
        <v>0</v>
      </c>
      <c r="V1120" s="26">
        <f>IF(B1120="","",IF(L1120&lt;&gt;"",L1120,IF(H1120="Retail",IFERROR(INDEX(Inventory!$I$5:$I$304,MATCH(I1120,Inventory!$A$5:$A$304,0))*1,0),IFERROR(INDEX(Services!$G$5:$G$204,MATCH(I1120,Services!$A$5:$A$204,0))*1,0))))</f>
        <v>0</v>
      </c>
      <c r="W1120" s="26">
        <f>IF(B1120="","",ROUND(T1120*V1120,2))</f>
        <v>0</v>
      </c>
      <c r="X1120" s="26">
        <f>IF(B1120="","",ROUND(IF(M1120="",0,W1120*M1120)+IF(N1120="",0,N1120),2))</f>
        <v>0</v>
      </c>
      <c r="Y1120" s="26">
        <f>IF(B1120="","",ROUND(W1120-X1120-IF(P1120="",0,P1120),2))</f>
        <v>0</v>
      </c>
      <c r="Z1120" s="26">
        <f>IF(B1120="","",IF(H1120="Retail",IF(TaxOnRetail="Yes",ROUND(Y1120*TaxRate,2),0),IF(H1120="Service",IF(TaxOnServices="Yes",ROUND(Y1120*TaxRate,2),0),0)))</f>
        <v>0</v>
      </c>
      <c r="AA1120" s="26">
        <f>IF(B1120="","",ROUND(Y1120+Z1120,2))</f>
        <v>0</v>
      </c>
      <c r="AB1120" s="26">
        <f>IF(B1120="","",ROUND(T1120*IF(H1120="Retail",IFERROR(INDEX(Inventory!$H$5:$H$304,MATCH(I1120,Inventory!$A$5:$A$304,0))*1,0),IFERROR(INDEX(Services!$Q$5:$Q$204,MATCH(I1120,Services!$A$5:$A$204,0))*1,0)),2))</f>
        <v>0</v>
      </c>
      <c r="AC1120" s="26">
        <f>IF(B1120="","",ROUND(Y1120-AB1120,2))</f>
        <v>0</v>
      </c>
      <c r="AD1120" s="38">
        <f>IF(B1120="","",IF(C1120="","No",IF(COUNTIFS($C$5:C1120,C1120)=1,"Yes","No")))</f>
        <v>0</v>
      </c>
      <c r="AE1120" s="26">
        <f>IF(B1120="","",ROUND(SUMIFS(Payments!$G$5:$G$1204,Payments!$H$5:$H$1204,A1120,Payments!$Q$5:$Q$1204,"Yes"),2))</f>
        <v>0</v>
      </c>
      <c r="AF1120" s="26">
        <f>IF(B1120="","",IF(AD1120="No",0,ROUND(SUMIFS(Payments!$G$5:$G$1204,Payments!$I$5:$I$1204,C1120,Payments!$H$5:$H$1204,"",Payments!$Q$5:$Q$1204,"Yes"),2)))</f>
        <v>0</v>
      </c>
      <c r="AG1120" s="26">
        <f>IF(B1120="","",ROUND(AE1120+AF1120,2))</f>
        <v>0</v>
      </c>
      <c r="AH1120" s="26">
        <f>IF(B1120="","",ROUND(AA1120-AG1120,2))</f>
        <v>0</v>
      </c>
      <c r="AI1120" s="39">
        <f>IF(B1120="","",IF(AA1120&lt;=0,"No charge",IF(AH1120&lt;=0.004,"Paid",IF(AG1120&lt;=0.004,"Unpaid","Part paid"))))</f>
        <v>0</v>
      </c>
      <c r="AJ1120" s="38">
        <f>IF(B1120="","",IF(H1120&lt;&gt;"Service","",IF(D1120="","No",IF(COUNTIFS($D$5:$D$1204,D1120,$B$5:$B$1204,B1120,$H$5:$H$1204,"Retail")&gt;0,"Yes","No"))))</f>
        <v>0</v>
      </c>
      <c r="AK1120" s="25">
        <f>IF(B1120="","",COUNTIFS($Y$5:$Y$1204,"&gt;"&amp;Y1120)+COUNTIFS($Y$5:Y1120,Y1120))</f>
        <v>0</v>
      </c>
      <c r="AL1120" s="39">
        <f>IF(B1120="","",IF(H1120="","Add - what kind of sale is this?",IF(IF(V1120&lt;=0,P1120="",FALSE),"Check - no price found for this item",IF(F1120="","Assign - nobody credited",IF(AH1120&gt;0.004,"Unpaid - balance outstanding",IF(AC1120&lt;0,"Loss - sold below cost",IF(X1120&gt;W1120*0.5,"Check - more than half off","OK")))))))</f>
        <v>0</v>
      </c>
    </row>
    <row r="1121" spans="1:38">
      <c r="A1121" s="28">
        <f>IF(B1121="","",SalePrefix&amp;TEXT(ROW()-4,"0000"))</f>
        <v>0</v>
      </c>
      <c r="E1121" s="15">
        <f>IF(D1121="","",IFERROR(INDEX(Clients!$B$5:$B$504,MATCH(D1121,Clients!$A$5:$A$504,0)),"Walk-in"))</f>
        <v>0</v>
      </c>
      <c r="G1121" s="15">
        <f>IF(F1121="","",IFERROR(INDEX(Staff!$B$5:$B$44,MATCH(F1121,Staff!$A$5:$A$44,0)),"House"))</f>
        <v>0</v>
      </c>
      <c r="R1121" s="15">
        <f>IF(B1121="","",TEXT(B1121,"yyyy-mm"))</f>
        <v>0</v>
      </c>
      <c r="S1121" s="25">
        <f>IF(B1121="","",WEEKNUM(B1121,2))</f>
        <v>0</v>
      </c>
      <c r="T1121" s="37">
        <f>IF(B1121="","",IF(K1121="",1,K1121))</f>
        <v>0</v>
      </c>
      <c r="U1121" s="15">
        <f>IF(B1121="","",IF(J1121&lt;&gt;"",J1121,IF(H1121="Retail",IFERROR(INDEX(Inventory!$B$5:$B$304,MATCH(I1121,Inventory!$A$5:$A$304,0))&amp;"","Not in Inventory"),IFERROR(INDEX(Services!$B$5:$B$204,MATCH(I1121,Services!$A$5:$A$204,0))&amp;"","Not in Services"))))</f>
        <v>0</v>
      </c>
      <c r="V1121" s="26">
        <f>IF(B1121="","",IF(L1121&lt;&gt;"",L1121,IF(H1121="Retail",IFERROR(INDEX(Inventory!$I$5:$I$304,MATCH(I1121,Inventory!$A$5:$A$304,0))*1,0),IFERROR(INDEX(Services!$G$5:$G$204,MATCH(I1121,Services!$A$5:$A$204,0))*1,0))))</f>
        <v>0</v>
      </c>
      <c r="W1121" s="26">
        <f>IF(B1121="","",ROUND(T1121*V1121,2))</f>
        <v>0</v>
      </c>
      <c r="X1121" s="26">
        <f>IF(B1121="","",ROUND(IF(M1121="",0,W1121*M1121)+IF(N1121="",0,N1121),2))</f>
        <v>0</v>
      </c>
      <c r="Y1121" s="26">
        <f>IF(B1121="","",ROUND(W1121-X1121-IF(P1121="",0,P1121),2))</f>
        <v>0</v>
      </c>
      <c r="Z1121" s="26">
        <f>IF(B1121="","",IF(H1121="Retail",IF(TaxOnRetail="Yes",ROUND(Y1121*TaxRate,2),0),IF(H1121="Service",IF(TaxOnServices="Yes",ROUND(Y1121*TaxRate,2),0),0)))</f>
        <v>0</v>
      </c>
      <c r="AA1121" s="26">
        <f>IF(B1121="","",ROUND(Y1121+Z1121,2))</f>
        <v>0</v>
      </c>
      <c r="AB1121" s="26">
        <f>IF(B1121="","",ROUND(T1121*IF(H1121="Retail",IFERROR(INDEX(Inventory!$H$5:$H$304,MATCH(I1121,Inventory!$A$5:$A$304,0))*1,0),IFERROR(INDEX(Services!$Q$5:$Q$204,MATCH(I1121,Services!$A$5:$A$204,0))*1,0)),2))</f>
        <v>0</v>
      </c>
      <c r="AC1121" s="26">
        <f>IF(B1121="","",ROUND(Y1121-AB1121,2))</f>
        <v>0</v>
      </c>
      <c r="AD1121" s="38">
        <f>IF(B1121="","",IF(C1121="","No",IF(COUNTIFS($C$5:C1121,C1121)=1,"Yes","No")))</f>
        <v>0</v>
      </c>
      <c r="AE1121" s="26">
        <f>IF(B1121="","",ROUND(SUMIFS(Payments!$G$5:$G$1204,Payments!$H$5:$H$1204,A1121,Payments!$Q$5:$Q$1204,"Yes"),2))</f>
        <v>0</v>
      </c>
      <c r="AF1121" s="26">
        <f>IF(B1121="","",IF(AD1121="No",0,ROUND(SUMIFS(Payments!$G$5:$G$1204,Payments!$I$5:$I$1204,C1121,Payments!$H$5:$H$1204,"",Payments!$Q$5:$Q$1204,"Yes"),2)))</f>
        <v>0</v>
      </c>
      <c r="AG1121" s="26">
        <f>IF(B1121="","",ROUND(AE1121+AF1121,2))</f>
        <v>0</v>
      </c>
      <c r="AH1121" s="26">
        <f>IF(B1121="","",ROUND(AA1121-AG1121,2))</f>
        <v>0</v>
      </c>
      <c r="AI1121" s="39">
        <f>IF(B1121="","",IF(AA1121&lt;=0,"No charge",IF(AH1121&lt;=0.004,"Paid",IF(AG1121&lt;=0.004,"Unpaid","Part paid"))))</f>
        <v>0</v>
      </c>
      <c r="AJ1121" s="38">
        <f>IF(B1121="","",IF(H1121&lt;&gt;"Service","",IF(D1121="","No",IF(COUNTIFS($D$5:$D$1204,D1121,$B$5:$B$1204,B1121,$H$5:$H$1204,"Retail")&gt;0,"Yes","No"))))</f>
        <v>0</v>
      </c>
      <c r="AK1121" s="25">
        <f>IF(B1121="","",COUNTIFS($Y$5:$Y$1204,"&gt;"&amp;Y1121)+COUNTIFS($Y$5:Y1121,Y1121))</f>
        <v>0</v>
      </c>
      <c r="AL1121" s="39">
        <f>IF(B1121="","",IF(H1121="","Add - what kind of sale is this?",IF(IF(V1121&lt;=0,P1121="",FALSE),"Check - no price found for this item",IF(F1121="","Assign - nobody credited",IF(AH1121&gt;0.004,"Unpaid - balance outstanding",IF(AC1121&lt;0,"Loss - sold below cost",IF(X1121&gt;W1121*0.5,"Check - more than half off","OK")))))))</f>
        <v>0</v>
      </c>
    </row>
    <row r="1122" spans="1:38">
      <c r="A1122" s="28">
        <f>IF(B1122="","",SalePrefix&amp;TEXT(ROW()-4,"0000"))</f>
        <v>0</v>
      </c>
      <c r="E1122" s="15">
        <f>IF(D1122="","",IFERROR(INDEX(Clients!$B$5:$B$504,MATCH(D1122,Clients!$A$5:$A$504,0)),"Walk-in"))</f>
        <v>0</v>
      </c>
      <c r="G1122" s="15">
        <f>IF(F1122="","",IFERROR(INDEX(Staff!$B$5:$B$44,MATCH(F1122,Staff!$A$5:$A$44,0)),"House"))</f>
        <v>0</v>
      </c>
      <c r="R1122" s="15">
        <f>IF(B1122="","",TEXT(B1122,"yyyy-mm"))</f>
        <v>0</v>
      </c>
      <c r="S1122" s="25">
        <f>IF(B1122="","",WEEKNUM(B1122,2))</f>
        <v>0</v>
      </c>
      <c r="T1122" s="37">
        <f>IF(B1122="","",IF(K1122="",1,K1122))</f>
        <v>0</v>
      </c>
      <c r="U1122" s="15">
        <f>IF(B1122="","",IF(J1122&lt;&gt;"",J1122,IF(H1122="Retail",IFERROR(INDEX(Inventory!$B$5:$B$304,MATCH(I1122,Inventory!$A$5:$A$304,0))&amp;"","Not in Inventory"),IFERROR(INDEX(Services!$B$5:$B$204,MATCH(I1122,Services!$A$5:$A$204,0))&amp;"","Not in Services"))))</f>
        <v>0</v>
      </c>
      <c r="V1122" s="26">
        <f>IF(B1122="","",IF(L1122&lt;&gt;"",L1122,IF(H1122="Retail",IFERROR(INDEX(Inventory!$I$5:$I$304,MATCH(I1122,Inventory!$A$5:$A$304,0))*1,0),IFERROR(INDEX(Services!$G$5:$G$204,MATCH(I1122,Services!$A$5:$A$204,0))*1,0))))</f>
        <v>0</v>
      </c>
      <c r="W1122" s="26">
        <f>IF(B1122="","",ROUND(T1122*V1122,2))</f>
        <v>0</v>
      </c>
      <c r="X1122" s="26">
        <f>IF(B1122="","",ROUND(IF(M1122="",0,W1122*M1122)+IF(N1122="",0,N1122),2))</f>
        <v>0</v>
      </c>
      <c r="Y1122" s="26">
        <f>IF(B1122="","",ROUND(W1122-X1122-IF(P1122="",0,P1122),2))</f>
        <v>0</v>
      </c>
      <c r="Z1122" s="26">
        <f>IF(B1122="","",IF(H1122="Retail",IF(TaxOnRetail="Yes",ROUND(Y1122*TaxRate,2),0),IF(H1122="Service",IF(TaxOnServices="Yes",ROUND(Y1122*TaxRate,2),0),0)))</f>
        <v>0</v>
      </c>
      <c r="AA1122" s="26">
        <f>IF(B1122="","",ROUND(Y1122+Z1122,2))</f>
        <v>0</v>
      </c>
      <c r="AB1122" s="26">
        <f>IF(B1122="","",ROUND(T1122*IF(H1122="Retail",IFERROR(INDEX(Inventory!$H$5:$H$304,MATCH(I1122,Inventory!$A$5:$A$304,0))*1,0),IFERROR(INDEX(Services!$Q$5:$Q$204,MATCH(I1122,Services!$A$5:$A$204,0))*1,0)),2))</f>
        <v>0</v>
      </c>
      <c r="AC1122" s="26">
        <f>IF(B1122="","",ROUND(Y1122-AB1122,2))</f>
        <v>0</v>
      </c>
      <c r="AD1122" s="38">
        <f>IF(B1122="","",IF(C1122="","No",IF(COUNTIFS($C$5:C1122,C1122)=1,"Yes","No")))</f>
        <v>0</v>
      </c>
      <c r="AE1122" s="26">
        <f>IF(B1122="","",ROUND(SUMIFS(Payments!$G$5:$G$1204,Payments!$H$5:$H$1204,A1122,Payments!$Q$5:$Q$1204,"Yes"),2))</f>
        <v>0</v>
      </c>
      <c r="AF1122" s="26">
        <f>IF(B1122="","",IF(AD1122="No",0,ROUND(SUMIFS(Payments!$G$5:$G$1204,Payments!$I$5:$I$1204,C1122,Payments!$H$5:$H$1204,"",Payments!$Q$5:$Q$1204,"Yes"),2)))</f>
        <v>0</v>
      </c>
      <c r="AG1122" s="26">
        <f>IF(B1122="","",ROUND(AE1122+AF1122,2))</f>
        <v>0</v>
      </c>
      <c r="AH1122" s="26">
        <f>IF(B1122="","",ROUND(AA1122-AG1122,2))</f>
        <v>0</v>
      </c>
      <c r="AI1122" s="39">
        <f>IF(B1122="","",IF(AA1122&lt;=0,"No charge",IF(AH1122&lt;=0.004,"Paid",IF(AG1122&lt;=0.004,"Unpaid","Part paid"))))</f>
        <v>0</v>
      </c>
      <c r="AJ1122" s="38">
        <f>IF(B1122="","",IF(H1122&lt;&gt;"Service","",IF(D1122="","No",IF(COUNTIFS($D$5:$D$1204,D1122,$B$5:$B$1204,B1122,$H$5:$H$1204,"Retail")&gt;0,"Yes","No"))))</f>
        <v>0</v>
      </c>
      <c r="AK1122" s="25">
        <f>IF(B1122="","",COUNTIFS($Y$5:$Y$1204,"&gt;"&amp;Y1122)+COUNTIFS($Y$5:Y1122,Y1122))</f>
        <v>0</v>
      </c>
      <c r="AL1122" s="39">
        <f>IF(B1122="","",IF(H1122="","Add - what kind of sale is this?",IF(IF(V1122&lt;=0,P1122="",FALSE),"Check - no price found for this item",IF(F1122="","Assign - nobody credited",IF(AH1122&gt;0.004,"Unpaid - balance outstanding",IF(AC1122&lt;0,"Loss - sold below cost",IF(X1122&gt;W1122*0.5,"Check - more than half off","OK")))))))</f>
        <v>0</v>
      </c>
    </row>
    <row r="1123" spans="1:38">
      <c r="A1123" s="28">
        <f>IF(B1123="","",SalePrefix&amp;TEXT(ROW()-4,"0000"))</f>
        <v>0</v>
      </c>
      <c r="E1123" s="15">
        <f>IF(D1123="","",IFERROR(INDEX(Clients!$B$5:$B$504,MATCH(D1123,Clients!$A$5:$A$504,0)),"Walk-in"))</f>
        <v>0</v>
      </c>
      <c r="G1123" s="15">
        <f>IF(F1123="","",IFERROR(INDEX(Staff!$B$5:$B$44,MATCH(F1123,Staff!$A$5:$A$44,0)),"House"))</f>
        <v>0</v>
      </c>
      <c r="R1123" s="15">
        <f>IF(B1123="","",TEXT(B1123,"yyyy-mm"))</f>
        <v>0</v>
      </c>
      <c r="S1123" s="25">
        <f>IF(B1123="","",WEEKNUM(B1123,2))</f>
        <v>0</v>
      </c>
      <c r="T1123" s="37">
        <f>IF(B1123="","",IF(K1123="",1,K1123))</f>
        <v>0</v>
      </c>
      <c r="U1123" s="15">
        <f>IF(B1123="","",IF(J1123&lt;&gt;"",J1123,IF(H1123="Retail",IFERROR(INDEX(Inventory!$B$5:$B$304,MATCH(I1123,Inventory!$A$5:$A$304,0))&amp;"","Not in Inventory"),IFERROR(INDEX(Services!$B$5:$B$204,MATCH(I1123,Services!$A$5:$A$204,0))&amp;"","Not in Services"))))</f>
        <v>0</v>
      </c>
      <c r="V1123" s="26">
        <f>IF(B1123="","",IF(L1123&lt;&gt;"",L1123,IF(H1123="Retail",IFERROR(INDEX(Inventory!$I$5:$I$304,MATCH(I1123,Inventory!$A$5:$A$304,0))*1,0),IFERROR(INDEX(Services!$G$5:$G$204,MATCH(I1123,Services!$A$5:$A$204,0))*1,0))))</f>
        <v>0</v>
      </c>
      <c r="W1123" s="26">
        <f>IF(B1123="","",ROUND(T1123*V1123,2))</f>
        <v>0</v>
      </c>
      <c r="X1123" s="26">
        <f>IF(B1123="","",ROUND(IF(M1123="",0,W1123*M1123)+IF(N1123="",0,N1123),2))</f>
        <v>0</v>
      </c>
      <c r="Y1123" s="26">
        <f>IF(B1123="","",ROUND(W1123-X1123-IF(P1123="",0,P1123),2))</f>
        <v>0</v>
      </c>
      <c r="Z1123" s="26">
        <f>IF(B1123="","",IF(H1123="Retail",IF(TaxOnRetail="Yes",ROUND(Y1123*TaxRate,2),0),IF(H1123="Service",IF(TaxOnServices="Yes",ROUND(Y1123*TaxRate,2),0),0)))</f>
        <v>0</v>
      </c>
      <c r="AA1123" s="26">
        <f>IF(B1123="","",ROUND(Y1123+Z1123,2))</f>
        <v>0</v>
      </c>
      <c r="AB1123" s="26">
        <f>IF(B1123="","",ROUND(T1123*IF(H1123="Retail",IFERROR(INDEX(Inventory!$H$5:$H$304,MATCH(I1123,Inventory!$A$5:$A$304,0))*1,0),IFERROR(INDEX(Services!$Q$5:$Q$204,MATCH(I1123,Services!$A$5:$A$204,0))*1,0)),2))</f>
        <v>0</v>
      </c>
      <c r="AC1123" s="26">
        <f>IF(B1123="","",ROUND(Y1123-AB1123,2))</f>
        <v>0</v>
      </c>
      <c r="AD1123" s="38">
        <f>IF(B1123="","",IF(C1123="","No",IF(COUNTIFS($C$5:C1123,C1123)=1,"Yes","No")))</f>
        <v>0</v>
      </c>
      <c r="AE1123" s="26">
        <f>IF(B1123="","",ROUND(SUMIFS(Payments!$G$5:$G$1204,Payments!$H$5:$H$1204,A1123,Payments!$Q$5:$Q$1204,"Yes"),2))</f>
        <v>0</v>
      </c>
      <c r="AF1123" s="26">
        <f>IF(B1123="","",IF(AD1123="No",0,ROUND(SUMIFS(Payments!$G$5:$G$1204,Payments!$I$5:$I$1204,C1123,Payments!$H$5:$H$1204,"",Payments!$Q$5:$Q$1204,"Yes"),2)))</f>
        <v>0</v>
      </c>
      <c r="AG1123" s="26">
        <f>IF(B1123="","",ROUND(AE1123+AF1123,2))</f>
        <v>0</v>
      </c>
      <c r="AH1123" s="26">
        <f>IF(B1123="","",ROUND(AA1123-AG1123,2))</f>
        <v>0</v>
      </c>
      <c r="AI1123" s="39">
        <f>IF(B1123="","",IF(AA1123&lt;=0,"No charge",IF(AH1123&lt;=0.004,"Paid",IF(AG1123&lt;=0.004,"Unpaid","Part paid"))))</f>
        <v>0</v>
      </c>
      <c r="AJ1123" s="38">
        <f>IF(B1123="","",IF(H1123&lt;&gt;"Service","",IF(D1123="","No",IF(COUNTIFS($D$5:$D$1204,D1123,$B$5:$B$1204,B1123,$H$5:$H$1204,"Retail")&gt;0,"Yes","No"))))</f>
        <v>0</v>
      </c>
      <c r="AK1123" s="25">
        <f>IF(B1123="","",COUNTIFS($Y$5:$Y$1204,"&gt;"&amp;Y1123)+COUNTIFS($Y$5:Y1123,Y1123))</f>
        <v>0</v>
      </c>
      <c r="AL1123" s="39">
        <f>IF(B1123="","",IF(H1123="","Add - what kind of sale is this?",IF(IF(V1123&lt;=0,P1123="",FALSE),"Check - no price found for this item",IF(F1123="","Assign - nobody credited",IF(AH1123&gt;0.004,"Unpaid - balance outstanding",IF(AC1123&lt;0,"Loss - sold below cost",IF(X1123&gt;W1123*0.5,"Check - more than half off","OK")))))))</f>
        <v>0</v>
      </c>
    </row>
    <row r="1124" spans="1:38">
      <c r="A1124" s="28">
        <f>IF(B1124="","",SalePrefix&amp;TEXT(ROW()-4,"0000"))</f>
        <v>0</v>
      </c>
      <c r="E1124" s="15">
        <f>IF(D1124="","",IFERROR(INDEX(Clients!$B$5:$B$504,MATCH(D1124,Clients!$A$5:$A$504,0)),"Walk-in"))</f>
        <v>0</v>
      </c>
      <c r="G1124" s="15">
        <f>IF(F1124="","",IFERROR(INDEX(Staff!$B$5:$B$44,MATCH(F1124,Staff!$A$5:$A$44,0)),"House"))</f>
        <v>0</v>
      </c>
      <c r="R1124" s="15">
        <f>IF(B1124="","",TEXT(B1124,"yyyy-mm"))</f>
        <v>0</v>
      </c>
      <c r="S1124" s="25">
        <f>IF(B1124="","",WEEKNUM(B1124,2))</f>
        <v>0</v>
      </c>
      <c r="T1124" s="37">
        <f>IF(B1124="","",IF(K1124="",1,K1124))</f>
        <v>0</v>
      </c>
      <c r="U1124" s="15">
        <f>IF(B1124="","",IF(J1124&lt;&gt;"",J1124,IF(H1124="Retail",IFERROR(INDEX(Inventory!$B$5:$B$304,MATCH(I1124,Inventory!$A$5:$A$304,0))&amp;"","Not in Inventory"),IFERROR(INDEX(Services!$B$5:$B$204,MATCH(I1124,Services!$A$5:$A$204,0))&amp;"","Not in Services"))))</f>
        <v>0</v>
      </c>
      <c r="V1124" s="26">
        <f>IF(B1124="","",IF(L1124&lt;&gt;"",L1124,IF(H1124="Retail",IFERROR(INDEX(Inventory!$I$5:$I$304,MATCH(I1124,Inventory!$A$5:$A$304,0))*1,0),IFERROR(INDEX(Services!$G$5:$G$204,MATCH(I1124,Services!$A$5:$A$204,0))*1,0))))</f>
        <v>0</v>
      </c>
      <c r="W1124" s="26">
        <f>IF(B1124="","",ROUND(T1124*V1124,2))</f>
        <v>0</v>
      </c>
      <c r="X1124" s="26">
        <f>IF(B1124="","",ROUND(IF(M1124="",0,W1124*M1124)+IF(N1124="",0,N1124),2))</f>
        <v>0</v>
      </c>
      <c r="Y1124" s="26">
        <f>IF(B1124="","",ROUND(W1124-X1124-IF(P1124="",0,P1124),2))</f>
        <v>0</v>
      </c>
      <c r="Z1124" s="26">
        <f>IF(B1124="","",IF(H1124="Retail",IF(TaxOnRetail="Yes",ROUND(Y1124*TaxRate,2),0),IF(H1124="Service",IF(TaxOnServices="Yes",ROUND(Y1124*TaxRate,2),0),0)))</f>
        <v>0</v>
      </c>
      <c r="AA1124" s="26">
        <f>IF(B1124="","",ROUND(Y1124+Z1124,2))</f>
        <v>0</v>
      </c>
      <c r="AB1124" s="26">
        <f>IF(B1124="","",ROUND(T1124*IF(H1124="Retail",IFERROR(INDEX(Inventory!$H$5:$H$304,MATCH(I1124,Inventory!$A$5:$A$304,0))*1,0),IFERROR(INDEX(Services!$Q$5:$Q$204,MATCH(I1124,Services!$A$5:$A$204,0))*1,0)),2))</f>
        <v>0</v>
      </c>
      <c r="AC1124" s="26">
        <f>IF(B1124="","",ROUND(Y1124-AB1124,2))</f>
        <v>0</v>
      </c>
      <c r="AD1124" s="38">
        <f>IF(B1124="","",IF(C1124="","No",IF(COUNTIFS($C$5:C1124,C1124)=1,"Yes","No")))</f>
        <v>0</v>
      </c>
      <c r="AE1124" s="26">
        <f>IF(B1124="","",ROUND(SUMIFS(Payments!$G$5:$G$1204,Payments!$H$5:$H$1204,A1124,Payments!$Q$5:$Q$1204,"Yes"),2))</f>
        <v>0</v>
      </c>
      <c r="AF1124" s="26">
        <f>IF(B1124="","",IF(AD1124="No",0,ROUND(SUMIFS(Payments!$G$5:$G$1204,Payments!$I$5:$I$1204,C1124,Payments!$H$5:$H$1204,"",Payments!$Q$5:$Q$1204,"Yes"),2)))</f>
        <v>0</v>
      </c>
      <c r="AG1124" s="26">
        <f>IF(B1124="","",ROUND(AE1124+AF1124,2))</f>
        <v>0</v>
      </c>
      <c r="AH1124" s="26">
        <f>IF(B1124="","",ROUND(AA1124-AG1124,2))</f>
        <v>0</v>
      </c>
      <c r="AI1124" s="39">
        <f>IF(B1124="","",IF(AA1124&lt;=0,"No charge",IF(AH1124&lt;=0.004,"Paid",IF(AG1124&lt;=0.004,"Unpaid","Part paid"))))</f>
        <v>0</v>
      </c>
      <c r="AJ1124" s="38">
        <f>IF(B1124="","",IF(H1124&lt;&gt;"Service","",IF(D1124="","No",IF(COUNTIFS($D$5:$D$1204,D1124,$B$5:$B$1204,B1124,$H$5:$H$1204,"Retail")&gt;0,"Yes","No"))))</f>
        <v>0</v>
      </c>
      <c r="AK1124" s="25">
        <f>IF(B1124="","",COUNTIFS($Y$5:$Y$1204,"&gt;"&amp;Y1124)+COUNTIFS($Y$5:Y1124,Y1124))</f>
        <v>0</v>
      </c>
      <c r="AL1124" s="39">
        <f>IF(B1124="","",IF(H1124="","Add - what kind of sale is this?",IF(IF(V1124&lt;=0,P1124="",FALSE),"Check - no price found for this item",IF(F1124="","Assign - nobody credited",IF(AH1124&gt;0.004,"Unpaid - balance outstanding",IF(AC1124&lt;0,"Loss - sold below cost",IF(X1124&gt;W1124*0.5,"Check - more than half off","OK")))))))</f>
        <v>0</v>
      </c>
    </row>
    <row r="1125" spans="1:38">
      <c r="A1125" s="28">
        <f>IF(B1125="","",SalePrefix&amp;TEXT(ROW()-4,"0000"))</f>
        <v>0</v>
      </c>
      <c r="E1125" s="15">
        <f>IF(D1125="","",IFERROR(INDEX(Clients!$B$5:$B$504,MATCH(D1125,Clients!$A$5:$A$504,0)),"Walk-in"))</f>
        <v>0</v>
      </c>
      <c r="G1125" s="15">
        <f>IF(F1125="","",IFERROR(INDEX(Staff!$B$5:$B$44,MATCH(F1125,Staff!$A$5:$A$44,0)),"House"))</f>
        <v>0</v>
      </c>
      <c r="R1125" s="15">
        <f>IF(B1125="","",TEXT(B1125,"yyyy-mm"))</f>
        <v>0</v>
      </c>
      <c r="S1125" s="25">
        <f>IF(B1125="","",WEEKNUM(B1125,2))</f>
        <v>0</v>
      </c>
      <c r="T1125" s="37">
        <f>IF(B1125="","",IF(K1125="",1,K1125))</f>
        <v>0</v>
      </c>
      <c r="U1125" s="15">
        <f>IF(B1125="","",IF(J1125&lt;&gt;"",J1125,IF(H1125="Retail",IFERROR(INDEX(Inventory!$B$5:$B$304,MATCH(I1125,Inventory!$A$5:$A$304,0))&amp;"","Not in Inventory"),IFERROR(INDEX(Services!$B$5:$B$204,MATCH(I1125,Services!$A$5:$A$204,0))&amp;"","Not in Services"))))</f>
        <v>0</v>
      </c>
      <c r="V1125" s="26">
        <f>IF(B1125="","",IF(L1125&lt;&gt;"",L1125,IF(H1125="Retail",IFERROR(INDEX(Inventory!$I$5:$I$304,MATCH(I1125,Inventory!$A$5:$A$304,0))*1,0),IFERROR(INDEX(Services!$G$5:$G$204,MATCH(I1125,Services!$A$5:$A$204,0))*1,0))))</f>
        <v>0</v>
      </c>
      <c r="W1125" s="26">
        <f>IF(B1125="","",ROUND(T1125*V1125,2))</f>
        <v>0</v>
      </c>
      <c r="X1125" s="26">
        <f>IF(B1125="","",ROUND(IF(M1125="",0,W1125*M1125)+IF(N1125="",0,N1125),2))</f>
        <v>0</v>
      </c>
      <c r="Y1125" s="26">
        <f>IF(B1125="","",ROUND(W1125-X1125-IF(P1125="",0,P1125),2))</f>
        <v>0</v>
      </c>
      <c r="Z1125" s="26">
        <f>IF(B1125="","",IF(H1125="Retail",IF(TaxOnRetail="Yes",ROUND(Y1125*TaxRate,2),0),IF(H1125="Service",IF(TaxOnServices="Yes",ROUND(Y1125*TaxRate,2),0),0)))</f>
        <v>0</v>
      </c>
      <c r="AA1125" s="26">
        <f>IF(B1125="","",ROUND(Y1125+Z1125,2))</f>
        <v>0</v>
      </c>
      <c r="AB1125" s="26">
        <f>IF(B1125="","",ROUND(T1125*IF(H1125="Retail",IFERROR(INDEX(Inventory!$H$5:$H$304,MATCH(I1125,Inventory!$A$5:$A$304,0))*1,0),IFERROR(INDEX(Services!$Q$5:$Q$204,MATCH(I1125,Services!$A$5:$A$204,0))*1,0)),2))</f>
        <v>0</v>
      </c>
      <c r="AC1125" s="26">
        <f>IF(B1125="","",ROUND(Y1125-AB1125,2))</f>
        <v>0</v>
      </c>
      <c r="AD1125" s="38">
        <f>IF(B1125="","",IF(C1125="","No",IF(COUNTIFS($C$5:C1125,C1125)=1,"Yes","No")))</f>
        <v>0</v>
      </c>
      <c r="AE1125" s="26">
        <f>IF(B1125="","",ROUND(SUMIFS(Payments!$G$5:$G$1204,Payments!$H$5:$H$1204,A1125,Payments!$Q$5:$Q$1204,"Yes"),2))</f>
        <v>0</v>
      </c>
      <c r="AF1125" s="26">
        <f>IF(B1125="","",IF(AD1125="No",0,ROUND(SUMIFS(Payments!$G$5:$G$1204,Payments!$I$5:$I$1204,C1125,Payments!$H$5:$H$1204,"",Payments!$Q$5:$Q$1204,"Yes"),2)))</f>
        <v>0</v>
      </c>
      <c r="AG1125" s="26">
        <f>IF(B1125="","",ROUND(AE1125+AF1125,2))</f>
        <v>0</v>
      </c>
      <c r="AH1125" s="26">
        <f>IF(B1125="","",ROUND(AA1125-AG1125,2))</f>
        <v>0</v>
      </c>
      <c r="AI1125" s="39">
        <f>IF(B1125="","",IF(AA1125&lt;=0,"No charge",IF(AH1125&lt;=0.004,"Paid",IF(AG1125&lt;=0.004,"Unpaid","Part paid"))))</f>
        <v>0</v>
      </c>
      <c r="AJ1125" s="38">
        <f>IF(B1125="","",IF(H1125&lt;&gt;"Service","",IF(D1125="","No",IF(COUNTIFS($D$5:$D$1204,D1125,$B$5:$B$1204,B1125,$H$5:$H$1204,"Retail")&gt;0,"Yes","No"))))</f>
        <v>0</v>
      </c>
      <c r="AK1125" s="25">
        <f>IF(B1125="","",COUNTIFS($Y$5:$Y$1204,"&gt;"&amp;Y1125)+COUNTIFS($Y$5:Y1125,Y1125))</f>
        <v>0</v>
      </c>
      <c r="AL1125" s="39">
        <f>IF(B1125="","",IF(H1125="","Add - what kind of sale is this?",IF(IF(V1125&lt;=0,P1125="",FALSE),"Check - no price found for this item",IF(F1125="","Assign - nobody credited",IF(AH1125&gt;0.004,"Unpaid - balance outstanding",IF(AC1125&lt;0,"Loss - sold below cost",IF(X1125&gt;W1125*0.5,"Check - more than half off","OK")))))))</f>
        <v>0</v>
      </c>
    </row>
    <row r="1126" spans="1:38">
      <c r="A1126" s="28">
        <f>IF(B1126="","",SalePrefix&amp;TEXT(ROW()-4,"0000"))</f>
        <v>0</v>
      </c>
      <c r="E1126" s="15">
        <f>IF(D1126="","",IFERROR(INDEX(Clients!$B$5:$B$504,MATCH(D1126,Clients!$A$5:$A$504,0)),"Walk-in"))</f>
        <v>0</v>
      </c>
      <c r="G1126" s="15">
        <f>IF(F1126="","",IFERROR(INDEX(Staff!$B$5:$B$44,MATCH(F1126,Staff!$A$5:$A$44,0)),"House"))</f>
        <v>0</v>
      </c>
      <c r="R1126" s="15">
        <f>IF(B1126="","",TEXT(B1126,"yyyy-mm"))</f>
        <v>0</v>
      </c>
      <c r="S1126" s="25">
        <f>IF(B1126="","",WEEKNUM(B1126,2))</f>
        <v>0</v>
      </c>
      <c r="T1126" s="37">
        <f>IF(B1126="","",IF(K1126="",1,K1126))</f>
        <v>0</v>
      </c>
      <c r="U1126" s="15">
        <f>IF(B1126="","",IF(J1126&lt;&gt;"",J1126,IF(H1126="Retail",IFERROR(INDEX(Inventory!$B$5:$B$304,MATCH(I1126,Inventory!$A$5:$A$304,0))&amp;"","Not in Inventory"),IFERROR(INDEX(Services!$B$5:$B$204,MATCH(I1126,Services!$A$5:$A$204,0))&amp;"","Not in Services"))))</f>
        <v>0</v>
      </c>
      <c r="V1126" s="26">
        <f>IF(B1126="","",IF(L1126&lt;&gt;"",L1126,IF(H1126="Retail",IFERROR(INDEX(Inventory!$I$5:$I$304,MATCH(I1126,Inventory!$A$5:$A$304,0))*1,0),IFERROR(INDEX(Services!$G$5:$G$204,MATCH(I1126,Services!$A$5:$A$204,0))*1,0))))</f>
        <v>0</v>
      </c>
      <c r="W1126" s="26">
        <f>IF(B1126="","",ROUND(T1126*V1126,2))</f>
        <v>0</v>
      </c>
      <c r="X1126" s="26">
        <f>IF(B1126="","",ROUND(IF(M1126="",0,W1126*M1126)+IF(N1126="",0,N1126),2))</f>
        <v>0</v>
      </c>
      <c r="Y1126" s="26">
        <f>IF(B1126="","",ROUND(W1126-X1126-IF(P1126="",0,P1126),2))</f>
        <v>0</v>
      </c>
      <c r="Z1126" s="26">
        <f>IF(B1126="","",IF(H1126="Retail",IF(TaxOnRetail="Yes",ROUND(Y1126*TaxRate,2),0),IF(H1126="Service",IF(TaxOnServices="Yes",ROUND(Y1126*TaxRate,2),0),0)))</f>
        <v>0</v>
      </c>
      <c r="AA1126" s="26">
        <f>IF(B1126="","",ROUND(Y1126+Z1126,2))</f>
        <v>0</v>
      </c>
      <c r="AB1126" s="26">
        <f>IF(B1126="","",ROUND(T1126*IF(H1126="Retail",IFERROR(INDEX(Inventory!$H$5:$H$304,MATCH(I1126,Inventory!$A$5:$A$304,0))*1,0),IFERROR(INDEX(Services!$Q$5:$Q$204,MATCH(I1126,Services!$A$5:$A$204,0))*1,0)),2))</f>
        <v>0</v>
      </c>
      <c r="AC1126" s="26">
        <f>IF(B1126="","",ROUND(Y1126-AB1126,2))</f>
        <v>0</v>
      </c>
      <c r="AD1126" s="38">
        <f>IF(B1126="","",IF(C1126="","No",IF(COUNTIFS($C$5:C1126,C1126)=1,"Yes","No")))</f>
        <v>0</v>
      </c>
      <c r="AE1126" s="26">
        <f>IF(B1126="","",ROUND(SUMIFS(Payments!$G$5:$G$1204,Payments!$H$5:$H$1204,A1126,Payments!$Q$5:$Q$1204,"Yes"),2))</f>
        <v>0</v>
      </c>
      <c r="AF1126" s="26">
        <f>IF(B1126="","",IF(AD1126="No",0,ROUND(SUMIFS(Payments!$G$5:$G$1204,Payments!$I$5:$I$1204,C1126,Payments!$H$5:$H$1204,"",Payments!$Q$5:$Q$1204,"Yes"),2)))</f>
        <v>0</v>
      </c>
      <c r="AG1126" s="26">
        <f>IF(B1126="","",ROUND(AE1126+AF1126,2))</f>
        <v>0</v>
      </c>
      <c r="AH1126" s="26">
        <f>IF(B1126="","",ROUND(AA1126-AG1126,2))</f>
        <v>0</v>
      </c>
      <c r="AI1126" s="39">
        <f>IF(B1126="","",IF(AA1126&lt;=0,"No charge",IF(AH1126&lt;=0.004,"Paid",IF(AG1126&lt;=0.004,"Unpaid","Part paid"))))</f>
        <v>0</v>
      </c>
      <c r="AJ1126" s="38">
        <f>IF(B1126="","",IF(H1126&lt;&gt;"Service","",IF(D1126="","No",IF(COUNTIFS($D$5:$D$1204,D1126,$B$5:$B$1204,B1126,$H$5:$H$1204,"Retail")&gt;0,"Yes","No"))))</f>
        <v>0</v>
      </c>
      <c r="AK1126" s="25">
        <f>IF(B1126="","",COUNTIFS($Y$5:$Y$1204,"&gt;"&amp;Y1126)+COUNTIFS($Y$5:Y1126,Y1126))</f>
        <v>0</v>
      </c>
      <c r="AL1126" s="39">
        <f>IF(B1126="","",IF(H1126="","Add - what kind of sale is this?",IF(IF(V1126&lt;=0,P1126="",FALSE),"Check - no price found for this item",IF(F1126="","Assign - nobody credited",IF(AH1126&gt;0.004,"Unpaid - balance outstanding",IF(AC1126&lt;0,"Loss - sold below cost",IF(X1126&gt;W1126*0.5,"Check - more than half off","OK")))))))</f>
        <v>0</v>
      </c>
    </row>
    <row r="1127" spans="1:38">
      <c r="A1127" s="28">
        <f>IF(B1127="","",SalePrefix&amp;TEXT(ROW()-4,"0000"))</f>
        <v>0</v>
      </c>
      <c r="E1127" s="15">
        <f>IF(D1127="","",IFERROR(INDEX(Clients!$B$5:$B$504,MATCH(D1127,Clients!$A$5:$A$504,0)),"Walk-in"))</f>
        <v>0</v>
      </c>
      <c r="G1127" s="15">
        <f>IF(F1127="","",IFERROR(INDEX(Staff!$B$5:$B$44,MATCH(F1127,Staff!$A$5:$A$44,0)),"House"))</f>
        <v>0</v>
      </c>
      <c r="R1127" s="15">
        <f>IF(B1127="","",TEXT(B1127,"yyyy-mm"))</f>
        <v>0</v>
      </c>
      <c r="S1127" s="25">
        <f>IF(B1127="","",WEEKNUM(B1127,2))</f>
        <v>0</v>
      </c>
      <c r="T1127" s="37">
        <f>IF(B1127="","",IF(K1127="",1,K1127))</f>
        <v>0</v>
      </c>
      <c r="U1127" s="15">
        <f>IF(B1127="","",IF(J1127&lt;&gt;"",J1127,IF(H1127="Retail",IFERROR(INDEX(Inventory!$B$5:$B$304,MATCH(I1127,Inventory!$A$5:$A$304,0))&amp;"","Not in Inventory"),IFERROR(INDEX(Services!$B$5:$B$204,MATCH(I1127,Services!$A$5:$A$204,0))&amp;"","Not in Services"))))</f>
        <v>0</v>
      </c>
      <c r="V1127" s="26">
        <f>IF(B1127="","",IF(L1127&lt;&gt;"",L1127,IF(H1127="Retail",IFERROR(INDEX(Inventory!$I$5:$I$304,MATCH(I1127,Inventory!$A$5:$A$304,0))*1,0),IFERROR(INDEX(Services!$G$5:$G$204,MATCH(I1127,Services!$A$5:$A$204,0))*1,0))))</f>
        <v>0</v>
      </c>
      <c r="W1127" s="26">
        <f>IF(B1127="","",ROUND(T1127*V1127,2))</f>
        <v>0</v>
      </c>
      <c r="X1127" s="26">
        <f>IF(B1127="","",ROUND(IF(M1127="",0,W1127*M1127)+IF(N1127="",0,N1127),2))</f>
        <v>0</v>
      </c>
      <c r="Y1127" s="26">
        <f>IF(B1127="","",ROUND(W1127-X1127-IF(P1127="",0,P1127),2))</f>
        <v>0</v>
      </c>
      <c r="Z1127" s="26">
        <f>IF(B1127="","",IF(H1127="Retail",IF(TaxOnRetail="Yes",ROUND(Y1127*TaxRate,2),0),IF(H1127="Service",IF(TaxOnServices="Yes",ROUND(Y1127*TaxRate,2),0),0)))</f>
        <v>0</v>
      </c>
      <c r="AA1127" s="26">
        <f>IF(B1127="","",ROUND(Y1127+Z1127,2))</f>
        <v>0</v>
      </c>
      <c r="AB1127" s="26">
        <f>IF(B1127="","",ROUND(T1127*IF(H1127="Retail",IFERROR(INDEX(Inventory!$H$5:$H$304,MATCH(I1127,Inventory!$A$5:$A$304,0))*1,0),IFERROR(INDEX(Services!$Q$5:$Q$204,MATCH(I1127,Services!$A$5:$A$204,0))*1,0)),2))</f>
        <v>0</v>
      </c>
      <c r="AC1127" s="26">
        <f>IF(B1127="","",ROUND(Y1127-AB1127,2))</f>
        <v>0</v>
      </c>
      <c r="AD1127" s="38">
        <f>IF(B1127="","",IF(C1127="","No",IF(COUNTIFS($C$5:C1127,C1127)=1,"Yes","No")))</f>
        <v>0</v>
      </c>
      <c r="AE1127" s="26">
        <f>IF(B1127="","",ROUND(SUMIFS(Payments!$G$5:$G$1204,Payments!$H$5:$H$1204,A1127,Payments!$Q$5:$Q$1204,"Yes"),2))</f>
        <v>0</v>
      </c>
      <c r="AF1127" s="26">
        <f>IF(B1127="","",IF(AD1127="No",0,ROUND(SUMIFS(Payments!$G$5:$G$1204,Payments!$I$5:$I$1204,C1127,Payments!$H$5:$H$1204,"",Payments!$Q$5:$Q$1204,"Yes"),2)))</f>
        <v>0</v>
      </c>
      <c r="AG1127" s="26">
        <f>IF(B1127="","",ROUND(AE1127+AF1127,2))</f>
        <v>0</v>
      </c>
      <c r="AH1127" s="26">
        <f>IF(B1127="","",ROUND(AA1127-AG1127,2))</f>
        <v>0</v>
      </c>
      <c r="AI1127" s="39">
        <f>IF(B1127="","",IF(AA1127&lt;=0,"No charge",IF(AH1127&lt;=0.004,"Paid",IF(AG1127&lt;=0.004,"Unpaid","Part paid"))))</f>
        <v>0</v>
      </c>
      <c r="AJ1127" s="38">
        <f>IF(B1127="","",IF(H1127&lt;&gt;"Service","",IF(D1127="","No",IF(COUNTIFS($D$5:$D$1204,D1127,$B$5:$B$1204,B1127,$H$5:$H$1204,"Retail")&gt;0,"Yes","No"))))</f>
        <v>0</v>
      </c>
      <c r="AK1127" s="25">
        <f>IF(B1127="","",COUNTIFS($Y$5:$Y$1204,"&gt;"&amp;Y1127)+COUNTIFS($Y$5:Y1127,Y1127))</f>
        <v>0</v>
      </c>
      <c r="AL1127" s="39">
        <f>IF(B1127="","",IF(H1127="","Add - what kind of sale is this?",IF(IF(V1127&lt;=0,P1127="",FALSE),"Check - no price found for this item",IF(F1127="","Assign - nobody credited",IF(AH1127&gt;0.004,"Unpaid - balance outstanding",IF(AC1127&lt;0,"Loss - sold below cost",IF(X1127&gt;W1127*0.5,"Check - more than half off","OK")))))))</f>
        <v>0</v>
      </c>
    </row>
    <row r="1128" spans="1:38">
      <c r="A1128" s="28">
        <f>IF(B1128="","",SalePrefix&amp;TEXT(ROW()-4,"0000"))</f>
        <v>0</v>
      </c>
      <c r="E1128" s="15">
        <f>IF(D1128="","",IFERROR(INDEX(Clients!$B$5:$B$504,MATCH(D1128,Clients!$A$5:$A$504,0)),"Walk-in"))</f>
        <v>0</v>
      </c>
      <c r="G1128" s="15">
        <f>IF(F1128="","",IFERROR(INDEX(Staff!$B$5:$B$44,MATCH(F1128,Staff!$A$5:$A$44,0)),"House"))</f>
        <v>0</v>
      </c>
      <c r="R1128" s="15">
        <f>IF(B1128="","",TEXT(B1128,"yyyy-mm"))</f>
        <v>0</v>
      </c>
      <c r="S1128" s="25">
        <f>IF(B1128="","",WEEKNUM(B1128,2))</f>
        <v>0</v>
      </c>
      <c r="T1128" s="37">
        <f>IF(B1128="","",IF(K1128="",1,K1128))</f>
        <v>0</v>
      </c>
      <c r="U1128" s="15">
        <f>IF(B1128="","",IF(J1128&lt;&gt;"",J1128,IF(H1128="Retail",IFERROR(INDEX(Inventory!$B$5:$B$304,MATCH(I1128,Inventory!$A$5:$A$304,0))&amp;"","Not in Inventory"),IFERROR(INDEX(Services!$B$5:$B$204,MATCH(I1128,Services!$A$5:$A$204,0))&amp;"","Not in Services"))))</f>
        <v>0</v>
      </c>
      <c r="V1128" s="26">
        <f>IF(B1128="","",IF(L1128&lt;&gt;"",L1128,IF(H1128="Retail",IFERROR(INDEX(Inventory!$I$5:$I$304,MATCH(I1128,Inventory!$A$5:$A$304,0))*1,0),IFERROR(INDEX(Services!$G$5:$G$204,MATCH(I1128,Services!$A$5:$A$204,0))*1,0))))</f>
        <v>0</v>
      </c>
      <c r="W1128" s="26">
        <f>IF(B1128="","",ROUND(T1128*V1128,2))</f>
        <v>0</v>
      </c>
      <c r="X1128" s="26">
        <f>IF(B1128="","",ROUND(IF(M1128="",0,W1128*M1128)+IF(N1128="",0,N1128),2))</f>
        <v>0</v>
      </c>
      <c r="Y1128" s="26">
        <f>IF(B1128="","",ROUND(W1128-X1128-IF(P1128="",0,P1128),2))</f>
        <v>0</v>
      </c>
      <c r="Z1128" s="26">
        <f>IF(B1128="","",IF(H1128="Retail",IF(TaxOnRetail="Yes",ROUND(Y1128*TaxRate,2),0),IF(H1128="Service",IF(TaxOnServices="Yes",ROUND(Y1128*TaxRate,2),0),0)))</f>
        <v>0</v>
      </c>
      <c r="AA1128" s="26">
        <f>IF(B1128="","",ROUND(Y1128+Z1128,2))</f>
        <v>0</v>
      </c>
      <c r="AB1128" s="26">
        <f>IF(B1128="","",ROUND(T1128*IF(H1128="Retail",IFERROR(INDEX(Inventory!$H$5:$H$304,MATCH(I1128,Inventory!$A$5:$A$304,0))*1,0),IFERROR(INDEX(Services!$Q$5:$Q$204,MATCH(I1128,Services!$A$5:$A$204,0))*1,0)),2))</f>
        <v>0</v>
      </c>
      <c r="AC1128" s="26">
        <f>IF(B1128="","",ROUND(Y1128-AB1128,2))</f>
        <v>0</v>
      </c>
      <c r="AD1128" s="38">
        <f>IF(B1128="","",IF(C1128="","No",IF(COUNTIFS($C$5:C1128,C1128)=1,"Yes","No")))</f>
        <v>0</v>
      </c>
      <c r="AE1128" s="26">
        <f>IF(B1128="","",ROUND(SUMIFS(Payments!$G$5:$G$1204,Payments!$H$5:$H$1204,A1128,Payments!$Q$5:$Q$1204,"Yes"),2))</f>
        <v>0</v>
      </c>
      <c r="AF1128" s="26">
        <f>IF(B1128="","",IF(AD1128="No",0,ROUND(SUMIFS(Payments!$G$5:$G$1204,Payments!$I$5:$I$1204,C1128,Payments!$H$5:$H$1204,"",Payments!$Q$5:$Q$1204,"Yes"),2)))</f>
        <v>0</v>
      </c>
      <c r="AG1128" s="26">
        <f>IF(B1128="","",ROUND(AE1128+AF1128,2))</f>
        <v>0</v>
      </c>
      <c r="AH1128" s="26">
        <f>IF(B1128="","",ROUND(AA1128-AG1128,2))</f>
        <v>0</v>
      </c>
      <c r="AI1128" s="39">
        <f>IF(B1128="","",IF(AA1128&lt;=0,"No charge",IF(AH1128&lt;=0.004,"Paid",IF(AG1128&lt;=0.004,"Unpaid","Part paid"))))</f>
        <v>0</v>
      </c>
      <c r="AJ1128" s="38">
        <f>IF(B1128="","",IF(H1128&lt;&gt;"Service","",IF(D1128="","No",IF(COUNTIFS($D$5:$D$1204,D1128,$B$5:$B$1204,B1128,$H$5:$H$1204,"Retail")&gt;0,"Yes","No"))))</f>
        <v>0</v>
      </c>
      <c r="AK1128" s="25">
        <f>IF(B1128="","",COUNTIFS($Y$5:$Y$1204,"&gt;"&amp;Y1128)+COUNTIFS($Y$5:Y1128,Y1128))</f>
        <v>0</v>
      </c>
      <c r="AL1128" s="39">
        <f>IF(B1128="","",IF(H1128="","Add - what kind of sale is this?",IF(IF(V1128&lt;=0,P1128="",FALSE),"Check - no price found for this item",IF(F1128="","Assign - nobody credited",IF(AH1128&gt;0.004,"Unpaid - balance outstanding",IF(AC1128&lt;0,"Loss - sold below cost",IF(X1128&gt;W1128*0.5,"Check - more than half off","OK")))))))</f>
        <v>0</v>
      </c>
    </row>
    <row r="1129" spans="1:38">
      <c r="A1129" s="28">
        <f>IF(B1129="","",SalePrefix&amp;TEXT(ROW()-4,"0000"))</f>
        <v>0</v>
      </c>
      <c r="E1129" s="15">
        <f>IF(D1129="","",IFERROR(INDEX(Clients!$B$5:$B$504,MATCH(D1129,Clients!$A$5:$A$504,0)),"Walk-in"))</f>
        <v>0</v>
      </c>
      <c r="G1129" s="15">
        <f>IF(F1129="","",IFERROR(INDEX(Staff!$B$5:$B$44,MATCH(F1129,Staff!$A$5:$A$44,0)),"House"))</f>
        <v>0</v>
      </c>
      <c r="R1129" s="15">
        <f>IF(B1129="","",TEXT(B1129,"yyyy-mm"))</f>
        <v>0</v>
      </c>
      <c r="S1129" s="25">
        <f>IF(B1129="","",WEEKNUM(B1129,2))</f>
        <v>0</v>
      </c>
      <c r="T1129" s="37">
        <f>IF(B1129="","",IF(K1129="",1,K1129))</f>
        <v>0</v>
      </c>
      <c r="U1129" s="15">
        <f>IF(B1129="","",IF(J1129&lt;&gt;"",J1129,IF(H1129="Retail",IFERROR(INDEX(Inventory!$B$5:$B$304,MATCH(I1129,Inventory!$A$5:$A$304,0))&amp;"","Not in Inventory"),IFERROR(INDEX(Services!$B$5:$B$204,MATCH(I1129,Services!$A$5:$A$204,0))&amp;"","Not in Services"))))</f>
        <v>0</v>
      </c>
      <c r="V1129" s="26">
        <f>IF(B1129="","",IF(L1129&lt;&gt;"",L1129,IF(H1129="Retail",IFERROR(INDEX(Inventory!$I$5:$I$304,MATCH(I1129,Inventory!$A$5:$A$304,0))*1,0),IFERROR(INDEX(Services!$G$5:$G$204,MATCH(I1129,Services!$A$5:$A$204,0))*1,0))))</f>
        <v>0</v>
      </c>
      <c r="W1129" s="26">
        <f>IF(B1129="","",ROUND(T1129*V1129,2))</f>
        <v>0</v>
      </c>
      <c r="X1129" s="26">
        <f>IF(B1129="","",ROUND(IF(M1129="",0,W1129*M1129)+IF(N1129="",0,N1129),2))</f>
        <v>0</v>
      </c>
      <c r="Y1129" s="26">
        <f>IF(B1129="","",ROUND(W1129-X1129-IF(P1129="",0,P1129),2))</f>
        <v>0</v>
      </c>
      <c r="Z1129" s="26">
        <f>IF(B1129="","",IF(H1129="Retail",IF(TaxOnRetail="Yes",ROUND(Y1129*TaxRate,2),0),IF(H1129="Service",IF(TaxOnServices="Yes",ROUND(Y1129*TaxRate,2),0),0)))</f>
        <v>0</v>
      </c>
      <c r="AA1129" s="26">
        <f>IF(B1129="","",ROUND(Y1129+Z1129,2))</f>
        <v>0</v>
      </c>
      <c r="AB1129" s="26">
        <f>IF(B1129="","",ROUND(T1129*IF(H1129="Retail",IFERROR(INDEX(Inventory!$H$5:$H$304,MATCH(I1129,Inventory!$A$5:$A$304,0))*1,0),IFERROR(INDEX(Services!$Q$5:$Q$204,MATCH(I1129,Services!$A$5:$A$204,0))*1,0)),2))</f>
        <v>0</v>
      </c>
      <c r="AC1129" s="26">
        <f>IF(B1129="","",ROUND(Y1129-AB1129,2))</f>
        <v>0</v>
      </c>
      <c r="AD1129" s="38">
        <f>IF(B1129="","",IF(C1129="","No",IF(COUNTIFS($C$5:C1129,C1129)=1,"Yes","No")))</f>
        <v>0</v>
      </c>
      <c r="AE1129" s="26">
        <f>IF(B1129="","",ROUND(SUMIFS(Payments!$G$5:$G$1204,Payments!$H$5:$H$1204,A1129,Payments!$Q$5:$Q$1204,"Yes"),2))</f>
        <v>0</v>
      </c>
      <c r="AF1129" s="26">
        <f>IF(B1129="","",IF(AD1129="No",0,ROUND(SUMIFS(Payments!$G$5:$G$1204,Payments!$I$5:$I$1204,C1129,Payments!$H$5:$H$1204,"",Payments!$Q$5:$Q$1204,"Yes"),2)))</f>
        <v>0</v>
      </c>
      <c r="AG1129" s="26">
        <f>IF(B1129="","",ROUND(AE1129+AF1129,2))</f>
        <v>0</v>
      </c>
      <c r="AH1129" s="26">
        <f>IF(B1129="","",ROUND(AA1129-AG1129,2))</f>
        <v>0</v>
      </c>
      <c r="AI1129" s="39">
        <f>IF(B1129="","",IF(AA1129&lt;=0,"No charge",IF(AH1129&lt;=0.004,"Paid",IF(AG1129&lt;=0.004,"Unpaid","Part paid"))))</f>
        <v>0</v>
      </c>
      <c r="AJ1129" s="38">
        <f>IF(B1129="","",IF(H1129&lt;&gt;"Service","",IF(D1129="","No",IF(COUNTIFS($D$5:$D$1204,D1129,$B$5:$B$1204,B1129,$H$5:$H$1204,"Retail")&gt;0,"Yes","No"))))</f>
        <v>0</v>
      </c>
      <c r="AK1129" s="25">
        <f>IF(B1129="","",COUNTIFS($Y$5:$Y$1204,"&gt;"&amp;Y1129)+COUNTIFS($Y$5:Y1129,Y1129))</f>
        <v>0</v>
      </c>
      <c r="AL1129" s="39">
        <f>IF(B1129="","",IF(H1129="","Add - what kind of sale is this?",IF(IF(V1129&lt;=0,P1129="",FALSE),"Check - no price found for this item",IF(F1129="","Assign - nobody credited",IF(AH1129&gt;0.004,"Unpaid - balance outstanding",IF(AC1129&lt;0,"Loss - sold below cost",IF(X1129&gt;W1129*0.5,"Check - more than half off","OK")))))))</f>
        <v>0</v>
      </c>
    </row>
    <row r="1130" spans="1:38">
      <c r="A1130" s="28">
        <f>IF(B1130="","",SalePrefix&amp;TEXT(ROW()-4,"0000"))</f>
        <v>0</v>
      </c>
      <c r="E1130" s="15">
        <f>IF(D1130="","",IFERROR(INDEX(Clients!$B$5:$B$504,MATCH(D1130,Clients!$A$5:$A$504,0)),"Walk-in"))</f>
        <v>0</v>
      </c>
      <c r="G1130" s="15">
        <f>IF(F1130="","",IFERROR(INDEX(Staff!$B$5:$B$44,MATCH(F1130,Staff!$A$5:$A$44,0)),"House"))</f>
        <v>0</v>
      </c>
      <c r="R1130" s="15">
        <f>IF(B1130="","",TEXT(B1130,"yyyy-mm"))</f>
        <v>0</v>
      </c>
      <c r="S1130" s="25">
        <f>IF(B1130="","",WEEKNUM(B1130,2))</f>
        <v>0</v>
      </c>
      <c r="T1130" s="37">
        <f>IF(B1130="","",IF(K1130="",1,K1130))</f>
        <v>0</v>
      </c>
      <c r="U1130" s="15">
        <f>IF(B1130="","",IF(J1130&lt;&gt;"",J1130,IF(H1130="Retail",IFERROR(INDEX(Inventory!$B$5:$B$304,MATCH(I1130,Inventory!$A$5:$A$304,0))&amp;"","Not in Inventory"),IFERROR(INDEX(Services!$B$5:$B$204,MATCH(I1130,Services!$A$5:$A$204,0))&amp;"","Not in Services"))))</f>
        <v>0</v>
      </c>
      <c r="V1130" s="26">
        <f>IF(B1130="","",IF(L1130&lt;&gt;"",L1130,IF(H1130="Retail",IFERROR(INDEX(Inventory!$I$5:$I$304,MATCH(I1130,Inventory!$A$5:$A$304,0))*1,0),IFERROR(INDEX(Services!$G$5:$G$204,MATCH(I1130,Services!$A$5:$A$204,0))*1,0))))</f>
        <v>0</v>
      </c>
      <c r="W1130" s="26">
        <f>IF(B1130="","",ROUND(T1130*V1130,2))</f>
        <v>0</v>
      </c>
      <c r="X1130" s="26">
        <f>IF(B1130="","",ROUND(IF(M1130="",0,W1130*M1130)+IF(N1130="",0,N1130),2))</f>
        <v>0</v>
      </c>
      <c r="Y1130" s="26">
        <f>IF(B1130="","",ROUND(W1130-X1130-IF(P1130="",0,P1130),2))</f>
        <v>0</v>
      </c>
      <c r="Z1130" s="26">
        <f>IF(B1130="","",IF(H1130="Retail",IF(TaxOnRetail="Yes",ROUND(Y1130*TaxRate,2),0),IF(H1130="Service",IF(TaxOnServices="Yes",ROUND(Y1130*TaxRate,2),0),0)))</f>
        <v>0</v>
      </c>
      <c r="AA1130" s="26">
        <f>IF(B1130="","",ROUND(Y1130+Z1130,2))</f>
        <v>0</v>
      </c>
      <c r="AB1130" s="26">
        <f>IF(B1130="","",ROUND(T1130*IF(H1130="Retail",IFERROR(INDEX(Inventory!$H$5:$H$304,MATCH(I1130,Inventory!$A$5:$A$304,0))*1,0),IFERROR(INDEX(Services!$Q$5:$Q$204,MATCH(I1130,Services!$A$5:$A$204,0))*1,0)),2))</f>
        <v>0</v>
      </c>
      <c r="AC1130" s="26">
        <f>IF(B1130="","",ROUND(Y1130-AB1130,2))</f>
        <v>0</v>
      </c>
      <c r="AD1130" s="38">
        <f>IF(B1130="","",IF(C1130="","No",IF(COUNTIFS($C$5:C1130,C1130)=1,"Yes","No")))</f>
        <v>0</v>
      </c>
      <c r="AE1130" s="26">
        <f>IF(B1130="","",ROUND(SUMIFS(Payments!$G$5:$G$1204,Payments!$H$5:$H$1204,A1130,Payments!$Q$5:$Q$1204,"Yes"),2))</f>
        <v>0</v>
      </c>
      <c r="AF1130" s="26">
        <f>IF(B1130="","",IF(AD1130="No",0,ROUND(SUMIFS(Payments!$G$5:$G$1204,Payments!$I$5:$I$1204,C1130,Payments!$H$5:$H$1204,"",Payments!$Q$5:$Q$1204,"Yes"),2)))</f>
        <v>0</v>
      </c>
      <c r="AG1130" s="26">
        <f>IF(B1130="","",ROUND(AE1130+AF1130,2))</f>
        <v>0</v>
      </c>
      <c r="AH1130" s="26">
        <f>IF(B1130="","",ROUND(AA1130-AG1130,2))</f>
        <v>0</v>
      </c>
      <c r="AI1130" s="39">
        <f>IF(B1130="","",IF(AA1130&lt;=0,"No charge",IF(AH1130&lt;=0.004,"Paid",IF(AG1130&lt;=0.004,"Unpaid","Part paid"))))</f>
        <v>0</v>
      </c>
      <c r="AJ1130" s="38">
        <f>IF(B1130="","",IF(H1130&lt;&gt;"Service","",IF(D1130="","No",IF(COUNTIFS($D$5:$D$1204,D1130,$B$5:$B$1204,B1130,$H$5:$H$1204,"Retail")&gt;0,"Yes","No"))))</f>
        <v>0</v>
      </c>
      <c r="AK1130" s="25">
        <f>IF(B1130="","",COUNTIFS($Y$5:$Y$1204,"&gt;"&amp;Y1130)+COUNTIFS($Y$5:Y1130,Y1130))</f>
        <v>0</v>
      </c>
      <c r="AL1130" s="39">
        <f>IF(B1130="","",IF(H1130="","Add - what kind of sale is this?",IF(IF(V1130&lt;=0,P1130="",FALSE),"Check - no price found for this item",IF(F1130="","Assign - nobody credited",IF(AH1130&gt;0.004,"Unpaid - balance outstanding",IF(AC1130&lt;0,"Loss - sold below cost",IF(X1130&gt;W1130*0.5,"Check - more than half off","OK")))))))</f>
        <v>0</v>
      </c>
    </row>
    <row r="1131" spans="1:38">
      <c r="A1131" s="28">
        <f>IF(B1131="","",SalePrefix&amp;TEXT(ROW()-4,"0000"))</f>
        <v>0</v>
      </c>
      <c r="E1131" s="15">
        <f>IF(D1131="","",IFERROR(INDEX(Clients!$B$5:$B$504,MATCH(D1131,Clients!$A$5:$A$504,0)),"Walk-in"))</f>
        <v>0</v>
      </c>
      <c r="G1131" s="15">
        <f>IF(F1131="","",IFERROR(INDEX(Staff!$B$5:$B$44,MATCH(F1131,Staff!$A$5:$A$44,0)),"House"))</f>
        <v>0</v>
      </c>
      <c r="R1131" s="15">
        <f>IF(B1131="","",TEXT(B1131,"yyyy-mm"))</f>
        <v>0</v>
      </c>
      <c r="S1131" s="25">
        <f>IF(B1131="","",WEEKNUM(B1131,2))</f>
        <v>0</v>
      </c>
      <c r="T1131" s="37">
        <f>IF(B1131="","",IF(K1131="",1,K1131))</f>
        <v>0</v>
      </c>
      <c r="U1131" s="15">
        <f>IF(B1131="","",IF(J1131&lt;&gt;"",J1131,IF(H1131="Retail",IFERROR(INDEX(Inventory!$B$5:$B$304,MATCH(I1131,Inventory!$A$5:$A$304,0))&amp;"","Not in Inventory"),IFERROR(INDEX(Services!$B$5:$B$204,MATCH(I1131,Services!$A$5:$A$204,0))&amp;"","Not in Services"))))</f>
        <v>0</v>
      </c>
      <c r="V1131" s="26">
        <f>IF(B1131="","",IF(L1131&lt;&gt;"",L1131,IF(H1131="Retail",IFERROR(INDEX(Inventory!$I$5:$I$304,MATCH(I1131,Inventory!$A$5:$A$304,0))*1,0),IFERROR(INDEX(Services!$G$5:$G$204,MATCH(I1131,Services!$A$5:$A$204,0))*1,0))))</f>
        <v>0</v>
      </c>
      <c r="W1131" s="26">
        <f>IF(B1131="","",ROUND(T1131*V1131,2))</f>
        <v>0</v>
      </c>
      <c r="X1131" s="26">
        <f>IF(B1131="","",ROUND(IF(M1131="",0,W1131*M1131)+IF(N1131="",0,N1131),2))</f>
        <v>0</v>
      </c>
      <c r="Y1131" s="26">
        <f>IF(B1131="","",ROUND(W1131-X1131-IF(P1131="",0,P1131),2))</f>
        <v>0</v>
      </c>
      <c r="Z1131" s="26">
        <f>IF(B1131="","",IF(H1131="Retail",IF(TaxOnRetail="Yes",ROUND(Y1131*TaxRate,2),0),IF(H1131="Service",IF(TaxOnServices="Yes",ROUND(Y1131*TaxRate,2),0),0)))</f>
        <v>0</v>
      </c>
      <c r="AA1131" s="26">
        <f>IF(B1131="","",ROUND(Y1131+Z1131,2))</f>
        <v>0</v>
      </c>
      <c r="AB1131" s="26">
        <f>IF(B1131="","",ROUND(T1131*IF(H1131="Retail",IFERROR(INDEX(Inventory!$H$5:$H$304,MATCH(I1131,Inventory!$A$5:$A$304,0))*1,0),IFERROR(INDEX(Services!$Q$5:$Q$204,MATCH(I1131,Services!$A$5:$A$204,0))*1,0)),2))</f>
        <v>0</v>
      </c>
      <c r="AC1131" s="26">
        <f>IF(B1131="","",ROUND(Y1131-AB1131,2))</f>
        <v>0</v>
      </c>
      <c r="AD1131" s="38">
        <f>IF(B1131="","",IF(C1131="","No",IF(COUNTIFS($C$5:C1131,C1131)=1,"Yes","No")))</f>
        <v>0</v>
      </c>
      <c r="AE1131" s="26">
        <f>IF(B1131="","",ROUND(SUMIFS(Payments!$G$5:$G$1204,Payments!$H$5:$H$1204,A1131,Payments!$Q$5:$Q$1204,"Yes"),2))</f>
        <v>0</v>
      </c>
      <c r="AF1131" s="26">
        <f>IF(B1131="","",IF(AD1131="No",0,ROUND(SUMIFS(Payments!$G$5:$G$1204,Payments!$I$5:$I$1204,C1131,Payments!$H$5:$H$1204,"",Payments!$Q$5:$Q$1204,"Yes"),2)))</f>
        <v>0</v>
      </c>
      <c r="AG1131" s="26">
        <f>IF(B1131="","",ROUND(AE1131+AF1131,2))</f>
        <v>0</v>
      </c>
      <c r="AH1131" s="26">
        <f>IF(B1131="","",ROUND(AA1131-AG1131,2))</f>
        <v>0</v>
      </c>
      <c r="AI1131" s="39">
        <f>IF(B1131="","",IF(AA1131&lt;=0,"No charge",IF(AH1131&lt;=0.004,"Paid",IF(AG1131&lt;=0.004,"Unpaid","Part paid"))))</f>
        <v>0</v>
      </c>
      <c r="AJ1131" s="38">
        <f>IF(B1131="","",IF(H1131&lt;&gt;"Service","",IF(D1131="","No",IF(COUNTIFS($D$5:$D$1204,D1131,$B$5:$B$1204,B1131,$H$5:$H$1204,"Retail")&gt;0,"Yes","No"))))</f>
        <v>0</v>
      </c>
      <c r="AK1131" s="25">
        <f>IF(B1131="","",COUNTIFS($Y$5:$Y$1204,"&gt;"&amp;Y1131)+COUNTIFS($Y$5:Y1131,Y1131))</f>
        <v>0</v>
      </c>
      <c r="AL1131" s="39">
        <f>IF(B1131="","",IF(H1131="","Add - what kind of sale is this?",IF(IF(V1131&lt;=0,P1131="",FALSE),"Check - no price found for this item",IF(F1131="","Assign - nobody credited",IF(AH1131&gt;0.004,"Unpaid - balance outstanding",IF(AC1131&lt;0,"Loss - sold below cost",IF(X1131&gt;W1131*0.5,"Check - more than half off","OK")))))))</f>
        <v>0</v>
      </c>
    </row>
    <row r="1132" spans="1:38">
      <c r="A1132" s="28">
        <f>IF(B1132="","",SalePrefix&amp;TEXT(ROW()-4,"0000"))</f>
        <v>0</v>
      </c>
      <c r="E1132" s="15">
        <f>IF(D1132="","",IFERROR(INDEX(Clients!$B$5:$B$504,MATCH(D1132,Clients!$A$5:$A$504,0)),"Walk-in"))</f>
        <v>0</v>
      </c>
      <c r="G1132" s="15">
        <f>IF(F1132="","",IFERROR(INDEX(Staff!$B$5:$B$44,MATCH(F1132,Staff!$A$5:$A$44,0)),"House"))</f>
        <v>0</v>
      </c>
      <c r="R1132" s="15">
        <f>IF(B1132="","",TEXT(B1132,"yyyy-mm"))</f>
        <v>0</v>
      </c>
      <c r="S1132" s="25">
        <f>IF(B1132="","",WEEKNUM(B1132,2))</f>
        <v>0</v>
      </c>
      <c r="T1132" s="37">
        <f>IF(B1132="","",IF(K1132="",1,K1132))</f>
        <v>0</v>
      </c>
      <c r="U1132" s="15">
        <f>IF(B1132="","",IF(J1132&lt;&gt;"",J1132,IF(H1132="Retail",IFERROR(INDEX(Inventory!$B$5:$B$304,MATCH(I1132,Inventory!$A$5:$A$304,0))&amp;"","Not in Inventory"),IFERROR(INDEX(Services!$B$5:$B$204,MATCH(I1132,Services!$A$5:$A$204,0))&amp;"","Not in Services"))))</f>
        <v>0</v>
      </c>
      <c r="V1132" s="26">
        <f>IF(B1132="","",IF(L1132&lt;&gt;"",L1132,IF(H1132="Retail",IFERROR(INDEX(Inventory!$I$5:$I$304,MATCH(I1132,Inventory!$A$5:$A$304,0))*1,0),IFERROR(INDEX(Services!$G$5:$G$204,MATCH(I1132,Services!$A$5:$A$204,0))*1,0))))</f>
        <v>0</v>
      </c>
      <c r="W1132" s="26">
        <f>IF(B1132="","",ROUND(T1132*V1132,2))</f>
        <v>0</v>
      </c>
      <c r="X1132" s="26">
        <f>IF(B1132="","",ROUND(IF(M1132="",0,W1132*M1132)+IF(N1132="",0,N1132),2))</f>
        <v>0</v>
      </c>
      <c r="Y1132" s="26">
        <f>IF(B1132="","",ROUND(W1132-X1132-IF(P1132="",0,P1132),2))</f>
        <v>0</v>
      </c>
      <c r="Z1132" s="26">
        <f>IF(B1132="","",IF(H1132="Retail",IF(TaxOnRetail="Yes",ROUND(Y1132*TaxRate,2),0),IF(H1132="Service",IF(TaxOnServices="Yes",ROUND(Y1132*TaxRate,2),0),0)))</f>
        <v>0</v>
      </c>
      <c r="AA1132" s="26">
        <f>IF(B1132="","",ROUND(Y1132+Z1132,2))</f>
        <v>0</v>
      </c>
      <c r="AB1132" s="26">
        <f>IF(B1132="","",ROUND(T1132*IF(H1132="Retail",IFERROR(INDEX(Inventory!$H$5:$H$304,MATCH(I1132,Inventory!$A$5:$A$304,0))*1,0),IFERROR(INDEX(Services!$Q$5:$Q$204,MATCH(I1132,Services!$A$5:$A$204,0))*1,0)),2))</f>
        <v>0</v>
      </c>
      <c r="AC1132" s="26">
        <f>IF(B1132="","",ROUND(Y1132-AB1132,2))</f>
        <v>0</v>
      </c>
      <c r="AD1132" s="38">
        <f>IF(B1132="","",IF(C1132="","No",IF(COUNTIFS($C$5:C1132,C1132)=1,"Yes","No")))</f>
        <v>0</v>
      </c>
      <c r="AE1132" s="26">
        <f>IF(B1132="","",ROUND(SUMIFS(Payments!$G$5:$G$1204,Payments!$H$5:$H$1204,A1132,Payments!$Q$5:$Q$1204,"Yes"),2))</f>
        <v>0</v>
      </c>
      <c r="AF1132" s="26">
        <f>IF(B1132="","",IF(AD1132="No",0,ROUND(SUMIFS(Payments!$G$5:$G$1204,Payments!$I$5:$I$1204,C1132,Payments!$H$5:$H$1204,"",Payments!$Q$5:$Q$1204,"Yes"),2)))</f>
        <v>0</v>
      </c>
      <c r="AG1132" s="26">
        <f>IF(B1132="","",ROUND(AE1132+AF1132,2))</f>
        <v>0</v>
      </c>
      <c r="AH1132" s="26">
        <f>IF(B1132="","",ROUND(AA1132-AG1132,2))</f>
        <v>0</v>
      </c>
      <c r="AI1132" s="39">
        <f>IF(B1132="","",IF(AA1132&lt;=0,"No charge",IF(AH1132&lt;=0.004,"Paid",IF(AG1132&lt;=0.004,"Unpaid","Part paid"))))</f>
        <v>0</v>
      </c>
      <c r="AJ1132" s="38">
        <f>IF(B1132="","",IF(H1132&lt;&gt;"Service","",IF(D1132="","No",IF(COUNTIFS($D$5:$D$1204,D1132,$B$5:$B$1204,B1132,$H$5:$H$1204,"Retail")&gt;0,"Yes","No"))))</f>
        <v>0</v>
      </c>
      <c r="AK1132" s="25">
        <f>IF(B1132="","",COUNTIFS($Y$5:$Y$1204,"&gt;"&amp;Y1132)+COUNTIFS($Y$5:Y1132,Y1132))</f>
        <v>0</v>
      </c>
      <c r="AL1132" s="39">
        <f>IF(B1132="","",IF(H1132="","Add - what kind of sale is this?",IF(IF(V1132&lt;=0,P1132="",FALSE),"Check - no price found for this item",IF(F1132="","Assign - nobody credited",IF(AH1132&gt;0.004,"Unpaid - balance outstanding",IF(AC1132&lt;0,"Loss - sold below cost",IF(X1132&gt;W1132*0.5,"Check - more than half off","OK")))))))</f>
        <v>0</v>
      </c>
    </row>
    <row r="1133" spans="1:38">
      <c r="A1133" s="28">
        <f>IF(B1133="","",SalePrefix&amp;TEXT(ROW()-4,"0000"))</f>
        <v>0</v>
      </c>
      <c r="E1133" s="15">
        <f>IF(D1133="","",IFERROR(INDEX(Clients!$B$5:$B$504,MATCH(D1133,Clients!$A$5:$A$504,0)),"Walk-in"))</f>
        <v>0</v>
      </c>
      <c r="G1133" s="15">
        <f>IF(F1133="","",IFERROR(INDEX(Staff!$B$5:$B$44,MATCH(F1133,Staff!$A$5:$A$44,0)),"House"))</f>
        <v>0</v>
      </c>
      <c r="R1133" s="15">
        <f>IF(B1133="","",TEXT(B1133,"yyyy-mm"))</f>
        <v>0</v>
      </c>
      <c r="S1133" s="25">
        <f>IF(B1133="","",WEEKNUM(B1133,2))</f>
        <v>0</v>
      </c>
      <c r="T1133" s="37">
        <f>IF(B1133="","",IF(K1133="",1,K1133))</f>
        <v>0</v>
      </c>
      <c r="U1133" s="15">
        <f>IF(B1133="","",IF(J1133&lt;&gt;"",J1133,IF(H1133="Retail",IFERROR(INDEX(Inventory!$B$5:$B$304,MATCH(I1133,Inventory!$A$5:$A$304,0))&amp;"","Not in Inventory"),IFERROR(INDEX(Services!$B$5:$B$204,MATCH(I1133,Services!$A$5:$A$204,0))&amp;"","Not in Services"))))</f>
        <v>0</v>
      </c>
      <c r="V1133" s="26">
        <f>IF(B1133="","",IF(L1133&lt;&gt;"",L1133,IF(H1133="Retail",IFERROR(INDEX(Inventory!$I$5:$I$304,MATCH(I1133,Inventory!$A$5:$A$304,0))*1,0),IFERROR(INDEX(Services!$G$5:$G$204,MATCH(I1133,Services!$A$5:$A$204,0))*1,0))))</f>
        <v>0</v>
      </c>
      <c r="W1133" s="26">
        <f>IF(B1133="","",ROUND(T1133*V1133,2))</f>
        <v>0</v>
      </c>
      <c r="X1133" s="26">
        <f>IF(B1133="","",ROUND(IF(M1133="",0,W1133*M1133)+IF(N1133="",0,N1133),2))</f>
        <v>0</v>
      </c>
      <c r="Y1133" s="26">
        <f>IF(B1133="","",ROUND(W1133-X1133-IF(P1133="",0,P1133),2))</f>
        <v>0</v>
      </c>
      <c r="Z1133" s="26">
        <f>IF(B1133="","",IF(H1133="Retail",IF(TaxOnRetail="Yes",ROUND(Y1133*TaxRate,2),0),IF(H1133="Service",IF(TaxOnServices="Yes",ROUND(Y1133*TaxRate,2),0),0)))</f>
        <v>0</v>
      </c>
      <c r="AA1133" s="26">
        <f>IF(B1133="","",ROUND(Y1133+Z1133,2))</f>
        <v>0</v>
      </c>
      <c r="AB1133" s="26">
        <f>IF(B1133="","",ROUND(T1133*IF(H1133="Retail",IFERROR(INDEX(Inventory!$H$5:$H$304,MATCH(I1133,Inventory!$A$5:$A$304,0))*1,0),IFERROR(INDEX(Services!$Q$5:$Q$204,MATCH(I1133,Services!$A$5:$A$204,0))*1,0)),2))</f>
        <v>0</v>
      </c>
      <c r="AC1133" s="26">
        <f>IF(B1133="","",ROUND(Y1133-AB1133,2))</f>
        <v>0</v>
      </c>
      <c r="AD1133" s="38">
        <f>IF(B1133="","",IF(C1133="","No",IF(COUNTIFS($C$5:C1133,C1133)=1,"Yes","No")))</f>
        <v>0</v>
      </c>
      <c r="AE1133" s="26">
        <f>IF(B1133="","",ROUND(SUMIFS(Payments!$G$5:$G$1204,Payments!$H$5:$H$1204,A1133,Payments!$Q$5:$Q$1204,"Yes"),2))</f>
        <v>0</v>
      </c>
      <c r="AF1133" s="26">
        <f>IF(B1133="","",IF(AD1133="No",0,ROUND(SUMIFS(Payments!$G$5:$G$1204,Payments!$I$5:$I$1204,C1133,Payments!$H$5:$H$1204,"",Payments!$Q$5:$Q$1204,"Yes"),2)))</f>
        <v>0</v>
      </c>
      <c r="AG1133" s="26">
        <f>IF(B1133="","",ROUND(AE1133+AF1133,2))</f>
        <v>0</v>
      </c>
      <c r="AH1133" s="26">
        <f>IF(B1133="","",ROUND(AA1133-AG1133,2))</f>
        <v>0</v>
      </c>
      <c r="AI1133" s="39">
        <f>IF(B1133="","",IF(AA1133&lt;=0,"No charge",IF(AH1133&lt;=0.004,"Paid",IF(AG1133&lt;=0.004,"Unpaid","Part paid"))))</f>
        <v>0</v>
      </c>
      <c r="AJ1133" s="38">
        <f>IF(B1133="","",IF(H1133&lt;&gt;"Service","",IF(D1133="","No",IF(COUNTIFS($D$5:$D$1204,D1133,$B$5:$B$1204,B1133,$H$5:$H$1204,"Retail")&gt;0,"Yes","No"))))</f>
        <v>0</v>
      </c>
      <c r="AK1133" s="25">
        <f>IF(B1133="","",COUNTIFS($Y$5:$Y$1204,"&gt;"&amp;Y1133)+COUNTIFS($Y$5:Y1133,Y1133))</f>
        <v>0</v>
      </c>
      <c r="AL1133" s="39">
        <f>IF(B1133="","",IF(H1133="","Add - what kind of sale is this?",IF(IF(V1133&lt;=0,P1133="",FALSE),"Check - no price found for this item",IF(F1133="","Assign - nobody credited",IF(AH1133&gt;0.004,"Unpaid - balance outstanding",IF(AC1133&lt;0,"Loss - sold below cost",IF(X1133&gt;W1133*0.5,"Check - more than half off","OK")))))))</f>
        <v>0</v>
      </c>
    </row>
    <row r="1134" spans="1:38">
      <c r="A1134" s="28">
        <f>IF(B1134="","",SalePrefix&amp;TEXT(ROW()-4,"0000"))</f>
        <v>0</v>
      </c>
      <c r="E1134" s="15">
        <f>IF(D1134="","",IFERROR(INDEX(Clients!$B$5:$B$504,MATCH(D1134,Clients!$A$5:$A$504,0)),"Walk-in"))</f>
        <v>0</v>
      </c>
      <c r="G1134" s="15">
        <f>IF(F1134="","",IFERROR(INDEX(Staff!$B$5:$B$44,MATCH(F1134,Staff!$A$5:$A$44,0)),"House"))</f>
        <v>0</v>
      </c>
      <c r="R1134" s="15">
        <f>IF(B1134="","",TEXT(B1134,"yyyy-mm"))</f>
        <v>0</v>
      </c>
      <c r="S1134" s="25">
        <f>IF(B1134="","",WEEKNUM(B1134,2))</f>
        <v>0</v>
      </c>
      <c r="T1134" s="37">
        <f>IF(B1134="","",IF(K1134="",1,K1134))</f>
        <v>0</v>
      </c>
      <c r="U1134" s="15">
        <f>IF(B1134="","",IF(J1134&lt;&gt;"",J1134,IF(H1134="Retail",IFERROR(INDEX(Inventory!$B$5:$B$304,MATCH(I1134,Inventory!$A$5:$A$304,0))&amp;"","Not in Inventory"),IFERROR(INDEX(Services!$B$5:$B$204,MATCH(I1134,Services!$A$5:$A$204,0))&amp;"","Not in Services"))))</f>
        <v>0</v>
      </c>
      <c r="V1134" s="26">
        <f>IF(B1134="","",IF(L1134&lt;&gt;"",L1134,IF(H1134="Retail",IFERROR(INDEX(Inventory!$I$5:$I$304,MATCH(I1134,Inventory!$A$5:$A$304,0))*1,0),IFERROR(INDEX(Services!$G$5:$G$204,MATCH(I1134,Services!$A$5:$A$204,0))*1,0))))</f>
        <v>0</v>
      </c>
      <c r="W1134" s="26">
        <f>IF(B1134="","",ROUND(T1134*V1134,2))</f>
        <v>0</v>
      </c>
      <c r="X1134" s="26">
        <f>IF(B1134="","",ROUND(IF(M1134="",0,W1134*M1134)+IF(N1134="",0,N1134),2))</f>
        <v>0</v>
      </c>
      <c r="Y1134" s="26">
        <f>IF(B1134="","",ROUND(W1134-X1134-IF(P1134="",0,P1134),2))</f>
        <v>0</v>
      </c>
      <c r="Z1134" s="26">
        <f>IF(B1134="","",IF(H1134="Retail",IF(TaxOnRetail="Yes",ROUND(Y1134*TaxRate,2),0),IF(H1134="Service",IF(TaxOnServices="Yes",ROUND(Y1134*TaxRate,2),0),0)))</f>
        <v>0</v>
      </c>
      <c r="AA1134" s="26">
        <f>IF(B1134="","",ROUND(Y1134+Z1134,2))</f>
        <v>0</v>
      </c>
      <c r="AB1134" s="26">
        <f>IF(B1134="","",ROUND(T1134*IF(H1134="Retail",IFERROR(INDEX(Inventory!$H$5:$H$304,MATCH(I1134,Inventory!$A$5:$A$304,0))*1,0),IFERROR(INDEX(Services!$Q$5:$Q$204,MATCH(I1134,Services!$A$5:$A$204,0))*1,0)),2))</f>
        <v>0</v>
      </c>
      <c r="AC1134" s="26">
        <f>IF(B1134="","",ROUND(Y1134-AB1134,2))</f>
        <v>0</v>
      </c>
      <c r="AD1134" s="38">
        <f>IF(B1134="","",IF(C1134="","No",IF(COUNTIFS($C$5:C1134,C1134)=1,"Yes","No")))</f>
        <v>0</v>
      </c>
      <c r="AE1134" s="26">
        <f>IF(B1134="","",ROUND(SUMIFS(Payments!$G$5:$G$1204,Payments!$H$5:$H$1204,A1134,Payments!$Q$5:$Q$1204,"Yes"),2))</f>
        <v>0</v>
      </c>
      <c r="AF1134" s="26">
        <f>IF(B1134="","",IF(AD1134="No",0,ROUND(SUMIFS(Payments!$G$5:$G$1204,Payments!$I$5:$I$1204,C1134,Payments!$H$5:$H$1204,"",Payments!$Q$5:$Q$1204,"Yes"),2)))</f>
        <v>0</v>
      </c>
      <c r="AG1134" s="26">
        <f>IF(B1134="","",ROUND(AE1134+AF1134,2))</f>
        <v>0</v>
      </c>
      <c r="AH1134" s="26">
        <f>IF(B1134="","",ROUND(AA1134-AG1134,2))</f>
        <v>0</v>
      </c>
      <c r="AI1134" s="39">
        <f>IF(B1134="","",IF(AA1134&lt;=0,"No charge",IF(AH1134&lt;=0.004,"Paid",IF(AG1134&lt;=0.004,"Unpaid","Part paid"))))</f>
        <v>0</v>
      </c>
      <c r="AJ1134" s="38">
        <f>IF(B1134="","",IF(H1134&lt;&gt;"Service","",IF(D1134="","No",IF(COUNTIFS($D$5:$D$1204,D1134,$B$5:$B$1204,B1134,$H$5:$H$1204,"Retail")&gt;0,"Yes","No"))))</f>
        <v>0</v>
      </c>
      <c r="AK1134" s="25">
        <f>IF(B1134="","",COUNTIFS($Y$5:$Y$1204,"&gt;"&amp;Y1134)+COUNTIFS($Y$5:Y1134,Y1134))</f>
        <v>0</v>
      </c>
      <c r="AL1134" s="39">
        <f>IF(B1134="","",IF(H1134="","Add - what kind of sale is this?",IF(IF(V1134&lt;=0,P1134="",FALSE),"Check - no price found for this item",IF(F1134="","Assign - nobody credited",IF(AH1134&gt;0.004,"Unpaid - balance outstanding",IF(AC1134&lt;0,"Loss - sold below cost",IF(X1134&gt;W1134*0.5,"Check - more than half off","OK")))))))</f>
        <v>0</v>
      </c>
    </row>
    <row r="1135" spans="1:38">
      <c r="A1135" s="28">
        <f>IF(B1135="","",SalePrefix&amp;TEXT(ROW()-4,"0000"))</f>
        <v>0</v>
      </c>
      <c r="E1135" s="15">
        <f>IF(D1135="","",IFERROR(INDEX(Clients!$B$5:$B$504,MATCH(D1135,Clients!$A$5:$A$504,0)),"Walk-in"))</f>
        <v>0</v>
      </c>
      <c r="G1135" s="15">
        <f>IF(F1135="","",IFERROR(INDEX(Staff!$B$5:$B$44,MATCH(F1135,Staff!$A$5:$A$44,0)),"House"))</f>
        <v>0</v>
      </c>
      <c r="R1135" s="15">
        <f>IF(B1135="","",TEXT(B1135,"yyyy-mm"))</f>
        <v>0</v>
      </c>
      <c r="S1135" s="25">
        <f>IF(B1135="","",WEEKNUM(B1135,2))</f>
        <v>0</v>
      </c>
      <c r="T1135" s="37">
        <f>IF(B1135="","",IF(K1135="",1,K1135))</f>
        <v>0</v>
      </c>
      <c r="U1135" s="15">
        <f>IF(B1135="","",IF(J1135&lt;&gt;"",J1135,IF(H1135="Retail",IFERROR(INDEX(Inventory!$B$5:$B$304,MATCH(I1135,Inventory!$A$5:$A$304,0))&amp;"","Not in Inventory"),IFERROR(INDEX(Services!$B$5:$B$204,MATCH(I1135,Services!$A$5:$A$204,0))&amp;"","Not in Services"))))</f>
        <v>0</v>
      </c>
      <c r="V1135" s="26">
        <f>IF(B1135="","",IF(L1135&lt;&gt;"",L1135,IF(H1135="Retail",IFERROR(INDEX(Inventory!$I$5:$I$304,MATCH(I1135,Inventory!$A$5:$A$304,0))*1,0),IFERROR(INDEX(Services!$G$5:$G$204,MATCH(I1135,Services!$A$5:$A$204,0))*1,0))))</f>
        <v>0</v>
      </c>
      <c r="W1135" s="26">
        <f>IF(B1135="","",ROUND(T1135*V1135,2))</f>
        <v>0</v>
      </c>
      <c r="X1135" s="26">
        <f>IF(B1135="","",ROUND(IF(M1135="",0,W1135*M1135)+IF(N1135="",0,N1135),2))</f>
        <v>0</v>
      </c>
      <c r="Y1135" s="26">
        <f>IF(B1135="","",ROUND(W1135-X1135-IF(P1135="",0,P1135),2))</f>
        <v>0</v>
      </c>
      <c r="Z1135" s="26">
        <f>IF(B1135="","",IF(H1135="Retail",IF(TaxOnRetail="Yes",ROUND(Y1135*TaxRate,2),0),IF(H1135="Service",IF(TaxOnServices="Yes",ROUND(Y1135*TaxRate,2),0),0)))</f>
        <v>0</v>
      </c>
      <c r="AA1135" s="26">
        <f>IF(B1135="","",ROUND(Y1135+Z1135,2))</f>
        <v>0</v>
      </c>
      <c r="AB1135" s="26">
        <f>IF(B1135="","",ROUND(T1135*IF(H1135="Retail",IFERROR(INDEX(Inventory!$H$5:$H$304,MATCH(I1135,Inventory!$A$5:$A$304,0))*1,0),IFERROR(INDEX(Services!$Q$5:$Q$204,MATCH(I1135,Services!$A$5:$A$204,0))*1,0)),2))</f>
        <v>0</v>
      </c>
      <c r="AC1135" s="26">
        <f>IF(B1135="","",ROUND(Y1135-AB1135,2))</f>
        <v>0</v>
      </c>
      <c r="AD1135" s="38">
        <f>IF(B1135="","",IF(C1135="","No",IF(COUNTIFS($C$5:C1135,C1135)=1,"Yes","No")))</f>
        <v>0</v>
      </c>
      <c r="AE1135" s="26">
        <f>IF(B1135="","",ROUND(SUMIFS(Payments!$G$5:$G$1204,Payments!$H$5:$H$1204,A1135,Payments!$Q$5:$Q$1204,"Yes"),2))</f>
        <v>0</v>
      </c>
      <c r="AF1135" s="26">
        <f>IF(B1135="","",IF(AD1135="No",0,ROUND(SUMIFS(Payments!$G$5:$G$1204,Payments!$I$5:$I$1204,C1135,Payments!$H$5:$H$1204,"",Payments!$Q$5:$Q$1204,"Yes"),2)))</f>
        <v>0</v>
      </c>
      <c r="AG1135" s="26">
        <f>IF(B1135="","",ROUND(AE1135+AF1135,2))</f>
        <v>0</v>
      </c>
      <c r="AH1135" s="26">
        <f>IF(B1135="","",ROUND(AA1135-AG1135,2))</f>
        <v>0</v>
      </c>
      <c r="AI1135" s="39">
        <f>IF(B1135="","",IF(AA1135&lt;=0,"No charge",IF(AH1135&lt;=0.004,"Paid",IF(AG1135&lt;=0.004,"Unpaid","Part paid"))))</f>
        <v>0</v>
      </c>
      <c r="AJ1135" s="38">
        <f>IF(B1135="","",IF(H1135&lt;&gt;"Service","",IF(D1135="","No",IF(COUNTIFS($D$5:$D$1204,D1135,$B$5:$B$1204,B1135,$H$5:$H$1204,"Retail")&gt;0,"Yes","No"))))</f>
        <v>0</v>
      </c>
      <c r="AK1135" s="25">
        <f>IF(B1135="","",COUNTIFS($Y$5:$Y$1204,"&gt;"&amp;Y1135)+COUNTIFS($Y$5:Y1135,Y1135))</f>
        <v>0</v>
      </c>
      <c r="AL1135" s="39">
        <f>IF(B1135="","",IF(H1135="","Add - what kind of sale is this?",IF(IF(V1135&lt;=0,P1135="",FALSE),"Check - no price found for this item",IF(F1135="","Assign - nobody credited",IF(AH1135&gt;0.004,"Unpaid - balance outstanding",IF(AC1135&lt;0,"Loss - sold below cost",IF(X1135&gt;W1135*0.5,"Check - more than half off","OK")))))))</f>
        <v>0</v>
      </c>
    </row>
    <row r="1136" spans="1:38">
      <c r="A1136" s="28">
        <f>IF(B1136="","",SalePrefix&amp;TEXT(ROW()-4,"0000"))</f>
        <v>0</v>
      </c>
      <c r="E1136" s="15">
        <f>IF(D1136="","",IFERROR(INDEX(Clients!$B$5:$B$504,MATCH(D1136,Clients!$A$5:$A$504,0)),"Walk-in"))</f>
        <v>0</v>
      </c>
      <c r="G1136" s="15">
        <f>IF(F1136="","",IFERROR(INDEX(Staff!$B$5:$B$44,MATCH(F1136,Staff!$A$5:$A$44,0)),"House"))</f>
        <v>0</v>
      </c>
      <c r="R1136" s="15">
        <f>IF(B1136="","",TEXT(B1136,"yyyy-mm"))</f>
        <v>0</v>
      </c>
      <c r="S1136" s="25">
        <f>IF(B1136="","",WEEKNUM(B1136,2))</f>
        <v>0</v>
      </c>
      <c r="T1136" s="37">
        <f>IF(B1136="","",IF(K1136="",1,K1136))</f>
        <v>0</v>
      </c>
      <c r="U1136" s="15">
        <f>IF(B1136="","",IF(J1136&lt;&gt;"",J1136,IF(H1136="Retail",IFERROR(INDEX(Inventory!$B$5:$B$304,MATCH(I1136,Inventory!$A$5:$A$304,0))&amp;"","Not in Inventory"),IFERROR(INDEX(Services!$B$5:$B$204,MATCH(I1136,Services!$A$5:$A$204,0))&amp;"","Not in Services"))))</f>
        <v>0</v>
      </c>
      <c r="V1136" s="26">
        <f>IF(B1136="","",IF(L1136&lt;&gt;"",L1136,IF(H1136="Retail",IFERROR(INDEX(Inventory!$I$5:$I$304,MATCH(I1136,Inventory!$A$5:$A$304,0))*1,0),IFERROR(INDEX(Services!$G$5:$G$204,MATCH(I1136,Services!$A$5:$A$204,0))*1,0))))</f>
        <v>0</v>
      </c>
      <c r="W1136" s="26">
        <f>IF(B1136="","",ROUND(T1136*V1136,2))</f>
        <v>0</v>
      </c>
      <c r="X1136" s="26">
        <f>IF(B1136="","",ROUND(IF(M1136="",0,W1136*M1136)+IF(N1136="",0,N1136),2))</f>
        <v>0</v>
      </c>
      <c r="Y1136" s="26">
        <f>IF(B1136="","",ROUND(W1136-X1136-IF(P1136="",0,P1136),2))</f>
        <v>0</v>
      </c>
      <c r="Z1136" s="26">
        <f>IF(B1136="","",IF(H1136="Retail",IF(TaxOnRetail="Yes",ROUND(Y1136*TaxRate,2),0),IF(H1136="Service",IF(TaxOnServices="Yes",ROUND(Y1136*TaxRate,2),0),0)))</f>
        <v>0</v>
      </c>
      <c r="AA1136" s="26">
        <f>IF(B1136="","",ROUND(Y1136+Z1136,2))</f>
        <v>0</v>
      </c>
      <c r="AB1136" s="26">
        <f>IF(B1136="","",ROUND(T1136*IF(H1136="Retail",IFERROR(INDEX(Inventory!$H$5:$H$304,MATCH(I1136,Inventory!$A$5:$A$304,0))*1,0),IFERROR(INDEX(Services!$Q$5:$Q$204,MATCH(I1136,Services!$A$5:$A$204,0))*1,0)),2))</f>
        <v>0</v>
      </c>
      <c r="AC1136" s="26">
        <f>IF(B1136="","",ROUND(Y1136-AB1136,2))</f>
        <v>0</v>
      </c>
      <c r="AD1136" s="38">
        <f>IF(B1136="","",IF(C1136="","No",IF(COUNTIFS($C$5:C1136,C1136)=1,"Yes","No")))</f>
        <v>0</v>
      </c>
      <c r="AE1136" s="26">
        <f>IF(B1136="","",ROUND(SUMIFS(Payments!$G$5:$G$1204,Payments!$H$5:$H$1204,A1136,Payments!$Q$5:$Q$1204,"Yes"),2))</f>
        <v>0</v>
      </c>
      <c r="AF1136" s="26">
        <f>IF(B1136="","",IF(AD1136="No",0,ROUND(SUMIFS(Payments!$G$5:$G$1204,Payments!$I$5:$I$1204,C1136,Payments!$H$5:$H$1204,"",Payments!$Q$5:$Q$1204,"Yes"),2)))</f>
        <v>0</v>
      </c>
      <c r="AG1136" s="26">
        <f>IF(B1136="","",ROUND(AE1136+AF1136,2))</f>
        <v>0</v>
      </c>
      <c r="AH1136" s="26">
        <f>IF(B1136="","",ROUND(AA1136-AG1136,2))</f>
        <v>0</v>
      </c>
      <c r="AI1136" s="39">
        <f>IF(B1136="","",IF(AA1136&lt;=0,"No charge",IF(AH1136&lt;=0.004,"Paid",IF(AG1136&lt;=0.004,"Unpaid","Part paid"))))</f>
        <v>0</v>
      </c>
      <c r="AJ1136" s="38">
        <f>IF(B1136="","",IF(H1136&lt;&gt;"Service","",IF(D1136="","No",IF(COUNTIFS($D$5:$D$1204,D1136,$B$5:$B$1204,B1136,$H$5:$H$1204,"Retail")&gt;0,"Yes","No"))))</f>
        <v>0</v>
      </c>
      <c r="AK1136" s="25">
        <f>IF(B1136="","",COUNTIFS($Y$5:$Y$1204,"&gt;"&amp;Y1136)+COUNTIFS($Y$5:Y1136,Y1136))</f>
        <v>0</v>
      </c>
      <c r="AL1136" s="39">
        <f>IF(B1136="","",IF(H1136="","Add - what kind of sale is this?",IF(IF(V1136&lt;=0,P1136="",FALSE),"Check - no price found for this item",IF(F1136="","Assign - nobody credited",IF(AH1136&gt;0.004,"Unpaid - balance outstanding",IF(AC1136&lt;0,"Loss - sold below cost",IF(X1136&gt;W1136*0.5,"Check - more than half off","OK")))))))</f>
        <v>0</v>
      </c>
    </row>
    <row r="1137" spans="1:38">
      <c r="A1137" s="28">
        <f>IF(B1137="","",SalePrefix&amp;TEXT(ROW()-4,"0000"))</f>
        <v>0</v>
      </c>
      <c r="E1137" s="15">
        <f>IF(D1137="","",IFERROR(INDEX(Clients!$B$5:$B$504,MATCH(D1137,Clients!$A$5:$A$504,0)),"Walk-in"))</f>
        <v>0</v>
      </c>
      <c r="G1137" s="15">
        <f>IF(F1137="","",IFERROR(INDEX(Staff!$B$5:$B$44,MATCH(F1137,Staff!$A$5:$A$44,0)),"House"))</f>
        <v>0</v>
      </c>
      <c r="R1137" s="15">
        <f>IF(B1137="","",TEXT(B1137,"yyyy-mm"))</f>
        <v>0</v>
      </c>
      <c r="S1137" s="25">
        <f>IF(B1137="","",WEEKNUM(B1137,2))</f>
        <v>0</v>
      </c>
      <c r="T1137" s="37">
        <f>IF(B1137="","",IF(K1137="",1,K1137))</f>
        <v>0</v>
      </c>
      <c r="U1137" s="15">
        <f>IF(B1137="","",IF(J1137&lt;&gt;"",J1137,IF(H1137="Retail",IFERROR(INDEX(Inventory!$B$5:$B$304,MATCH(I1137,Inventory!$A$5:$A$304,0))&amp;"","Not in Inventory"),IFERROR(INDEX(Services!$B$5:$B$204,MATCH(I1137,Services!$A$5:$A$204,0))&amp;"","Not in Services"))))</f>
        <v>0</v>
      </c>
      <c r="V1137" s="26">
        <f>IF(B1137="","",IF(L1137&lt;&gt;"",L1137,IF(H1137="Retail",IFERROR(INDEX(Inventory!$I$5:$I$304,MATCH(I1137,Inventory!$A$5:$A$304,0))*1,0),IFERROR(INDEX(Services!$G$5:$G$204,MATCH(I1137,Services!$A$5:$A$204,0))*1,0))))</f>
        <v>0</v>
      </c>
      <c r="W1137" s="26">
        <f>IF(B1137="","",ROUND(T1137*V1137,2))</f>
        <v>0</v>
      </c>
      <c r="X1137" s="26">
        <f>IF(B1137="","",ROUND(IF(M1137="",0,W1137*M1137)+IF(N1137="",0,N1137),2))</f>
        <v>0</v>
      </c>
      <c r="Y1137" s="26">
        <f>IF(B1137="","",ROUND(W1137-X1137-IF(P1137="",0,P1137),2))</f>
        <v>0</v>
      </c>
      <c r="Z1137" s="26">
        <f>IF(B1137="","",IF(H1137="Retail",IF(TaxOnRetail="Yes",ROUND(Y1137*TaxRate,2),0),IF(H1137="Service",IF(TaxOnServices="Yes",ROUND(Y1137*TaxRate,2),0),0)))</f>
        <v>0</v>
      </c>
      <c r="AA1137" s="26">
        <f>IF(B1137="","",ROUND(Y1137+Z1137,2))</f>
        <v>0</v>
      </c>
      <c r="AB1137" s="26">
        <f>IF(B1137="","",ROUND(T1137*IF(H1137="Retail",IFERROR(INDEX(Inventory!$H$5:$H$304,MATCH(I1137,Inventory!$A$5:$A$304,0))*1,0),IFERROR(INDEX(Services!$Q$5:$Q$204,MATCH(I1137,Services!$A$5:$A$204,0))*1,0)),2))</f>
        <v>0</v>
      </c>
      <c r="AC1137" s="26">
        <f>IF(B1137="","",ROUND(Y1137-AB1137,2))</f>
        <v>0</v>
      </c>
      <c r="AD1137" s="38">
        <f>IF(B1137="","",IF(C1137="","No",IF(COUNTIFS($C$5:C1137,C1137)=1,"Yes","No")))</f>
        <v>0</v>
      </c>
      <c r="AE1137" s="26">
        <f>IF(B1137="","",ROUND(SUMIFS(Payments!$G$5:$G$1204,Payments!$H$5:$H$1204,A1137,Payments!$Q$5:$Q$1204,"Yes"),2))</f>
        <v>0</v>
      </c>
      <c r="AF1137" s="26">
        <f>IF(B1137="","",IF(AD1137="No",0,ROUND(SUMIFS(Payments!$G$5:$G$1204,Payments!$I$5:$I$1204,C1137,Payments!$H$5:$H$1204,"",Payments!$Q$5:$Q$1204,"Yes"),2)))</f>
        <v>0</v>
      </c>
      <c r="AG1137" s="26">
        <f>IF(B1137="","",ROUND(AE1137+AF1137,2))</f>
        <v>0</v>
      </c>
      <c r="AH1137" s="26">
        <f>IF(B1137="","",ROUND(AA1137-AG1137,2))</f>
        <v>0</v>
      </c>
      <c r="AI1137" s="39">
        <f>IF(B1137="","",IF(AA1137&lt;=0,"No charge",IF(AH1137&lt;=0.004,"Paid",IF(AG1137&lt;=0.004,"Unpaid","Part paid"))))</f>
        <v>0</v>
      </c>
      <c r="AJ1137" s="38">
        <f>IF(B1137="","",IF(H1137&lt;&gt;"Service","",IF(D1137="","No",IF(COUNTIFS($D$5:$D$1204,D1137,$B$5:$B$1204,B1137,$H$5:$H$1204,"Retail")&gt;0,"Yes","No"))))</f>
        <v>0</v>
      </c>
      <c r="AK1137" s="25">
        <f>IF(B1137="","",COUNTIFS($Y$5:$Y$1204,"&gt;"&amp;Y1137)+COUNTIFS($Y$5:Y1137,Y1137))</f>
        <v>0</v>
      </c>
      <c r="AL1137" s="39">
        <f>IF(B1137="","",IF(H1137="","Add - what kind of sale is this?",IF(IF(V1137&lt;=0,P1137="",FALSE),"Check - no price found for this item",IF(F1137="","Assign - nobody credited",IF(AH1137&gt;0.004,"Unpaid - balance outstanding",IF(AC1137&lt;0,"Loss - sold below cost",IF(X1137&gt;W1137*0.5,"Check - more than half off","OK")))))))</f>
        <v>0</v>
      </c>
    </row>
    <row r="1138" spans="1:38">
      <c r="A1138" s="28">
        <f>IF(B1138="","",SalePrefix&amp;TEXT(ROW()-4,"0000"))</f>
        <v>0</v>
      </c>
      <c r="E1138" s="15">
        <f>IF(D1138="","",IFERROR(INDEX(Clients!$B$5:$B$504,MATCH(D1138,Clients!$A$5:$A$504,0)),"Walk-in"))</f>
        <v>0</v>
      </c>
      <c r="G1138" s="15">
        <f>IF(F1138="","",IFERROR(INDEX(Staff!$B$5:$B$44,MATCH(F1138,Staff!$A$5:$A$44,0)),"House"))</f>
        <v>0</v>
      </c>
      <c r="R1138" s="15">
        <f>IF(B1138="","",TEXT(B1138,"yyyy-mm"))</f>
        <v>0</v>
      </c>
      <c r="S1138" s="25">
        <f>IF(B1138="","",WEEKNUM(B1138,2))</f>
        <v>0</v>
      </c>
      <c r="T1138" s="37">
        <f>IF(B1138="","",IF(K1138="",1,K1138))</f>
        <v>0</v>
      </c>
      <c r="U1138" s="15">
        <f>IF(B1138="","",IF(J1138&lt;&gt;"",J1138,IF(H1138="Retail",IFERROR(INDEX(Inventory!$B$5:$B$304,MATCH(I1138,Inventory!$A$5:$A$304,0))&amp;"","Not in Inventory"),IFERROR(INDEX(Services!$B$5:$B$204,MATCH(I1138,Services!$A$5:$A$204,0))&amp;"","Not in Services"))))</f>
        <v>0</v>
      </c>
      <c r="V1138" s="26">
        <f>IF(B1138="","",IF(L1138&lt;&gt;"",L1138,IF(H1138="Retail",IFERROR(INDEX(Inventory!$I$5:$I$304,MATCH(I1138,Inventory!$A$5:$A$304,0))*1,0),IFERROR(INDEX(Services!$G$5:$G$204,MATCH(I1138,Services!$A$5:$A$204,0))*1,0))))</f>
        <v>0</v>
      </c>
      <c r="W1138" s="26">
        <f>IF(B1138="","",ROUND(T1138*V1138,2))</f>
        <v>0</v>
      </c>
      <c r="X1138" s="26">
        <f>IF(B1138="","",ROUND(IF(M1138="",0,W1138*M1138)+IF(N1138="",0,N1138),2))</f>
        <v>0</v>
      </c>
      <c r="Y1138" s="26">
        <f>IF(B1138="","",ROUND(W1138-X1138-IF(P1138="",0,P1138),2))</f>
        <v>0</v>
      </c>
      <c r="Z1138" s="26">
        <f>IF(B1138="","",IF(H1138="Retail",IF(TaxOnRetail="Yes",ROUND(Y1138*TaxRate,2),0),IF(H1138="Service",IF(TaxOnServices="Yes",ROUND(Y1138*TaxRate,2),0),0)))</f>
        <v>0</v>
      </c>
      <c r="AA1138" s="26">
        <f>IF(B1138="","",ROUND(Y1138+Z1138,2))</f>
        <v>0</v>
      </c>
      <c r="AB1138" s="26">
        <f>IF(B1138="","",ROUND(T1138*IF(H1138="Retail",IFERROR(INDEX(Inventory!$H$5:$H$304,MATCH(I1138,Inventory!$A$5:$A$304,0))*1,0),IFERROR(INDEX(Services!$Q$5:$Q$204,MATCH(I1138,Services!$A$5:$A$204,0))*1,0)),2))</f>
        <v>0</v>
      </c>
      <c r="AC1138" s="26">
        <f>IF(B1138="","",ROUND(Y1138-AB1138,2))</f>
        <v>0</v>
      </c>
      <c r="AD1138" s="38">
        <f>IF(B1138="","",IF(C1138="","No",IF(COUNTIFS($C$5:C1138,C1138)=1,"Yes","No")))</f>
        <v>0</v>
      </c>
      <c r="AE1138" s="26">
        <f>IF(B1138="","",ROUND(SUMIFS(Payments!$G$5:$G$1204,Payments!$H$5:$H$1204,A1138,Payments!$Q$5:$Q$1204,"Yes"),2))</f>
        <v>0</v>
      </c>
      <c r="AF1138" s="26">
        <f>IF(B1138="","",IF(AD1138="No",0,ROUND(SUMIFS(Payments!$G$5:$G$1204,Payments!$I$5:$I$1204,C1138,Payments!$H$5:$H$1204,"",Payments!$Q$5:$Q$1204,"Yes"),2)))</f>
        <v>0</v>
      </c>
      <c r="AG1138" s="26">
        <f>IF(B1138="","",ROUND(AE1138+AF1138,2))</f>
        <v>0</v>
      </c>
      <c r="AH1138" s="26">
        <f>IF(B1138="","",ROUND(AA1138-AG1138,2))</f>
        <v>0</v>
      </c>
      <c r="AI1138" s="39">
        <f>IF(B1138="","",IF(AA1138&lt;=0,"No charge",IF(AH1138&lt;=0.004,"Paid",IF(AG1138&lt;=0.004,"Unpaid","Part paid"))))</f>
        <v>0</v>
      </c>
      <c r="AJ1138" s="38">
        <f>IF(B1138="","",IF(H1138&lt;&gt;"Service","",IF(D1138="","No",IF(COUNTIFS($D$5:$D$1204,D1138,$B$5:$B$1204,B1138,$H$5:$H$1204,"Retail")&gt;0,"Yes","No"))))</f>
        <v>0</v>
      </c>
      <c r="AK1138" s="25">
        <f>IF(B1138="","",COUNTIFS($Y$5:$Y$1204,"&gt;"&amp;Y1138)+COUNTIFS($Y$5:Y1138,Y1138))</f>
        <v>0</v>
      </c>
      <c r="AL1138" s="39">
        <f>IF(B1138="","",IF(H1138="","Add - what kind of sale is this?",IF(IF(V1138&lt;=0,P1138="",FALSE),"Check - no price found for this item",IF(F1138="","Assign - nobody credited",IF(AH1138&gt;0.004,"Unpaid - balance outstanding",IF(AC1138&lt;0,"Loss - sold below cost",IF(X1138&gt;W1138*0.5,"Check - more than half off","OK")))))))</f>
        <v>0</v>
      </c>
    </row>
    <row r="1139" spans="1:38">
      <c r="A1139" s="28">
        <f>IF(B1139="","",SalePrefix&amp;TEXT(ROW()-4,"0000"))</f>
        <v>0</v>
      </c>
      <c r="E1139" s="15">
        <f>IF(D1139="","",IFERROR(INDEX(Clients!$B$5:$B$504,MATCH(D1139,Clients!$A$5:$A$504,0)),"Walk-in"))</f>
        <v>0</v>
      </c>
      <c r="G1139" s="15">
        <f>IF(F1139="","",IFERROR(INDEX(Staff!$B$5:$B$44,MATCH(F1139,Staff!$A$5:$A$44,0)),"House"))</f>
        <v>0</v>
      </c>
      <c r="R1139" s="15">
        <f>IF(B1139="","",TEXT(B1139,"yyyy-mm"))</f>
        <v>0</v>
      </c>
      <c r="S1139" s="25">
        <f>IF(B1139="","",WEEKNUM(B1139,2))</f>
        <v>0</v>
      </c>
      <c r="T1139" s="37">
        <f>IF(B1139="","",IF(K1139="",1,K1139))</f>
        <v>0</v>
      </c>
      <c r="U1139" s="15">
        <f>IF(B1139="","",IF(J1139&lt;&gt;"",J1139,IF(H1139="Retail",IFERROR(INDEX(Inventory!$B$5:$B$304,MATCH(I1139,Inventory!$A$5:$A$304,0))&amp;"","Not in Inventory"),IFERROR(INDEX(Services!$B$5:$B$204,MATCH(I1139,Services!$A$5:$A$204,0))&amp;"","Not in Services"))))</f>
        <v>0</v>
      </c>
      <c r="V1139" s="26">
        <f>IF(B1139="","",IF(L1139&lt;&gt;"",L1139,IF(H1139="Retail",IFERROR(INDEX(Inventory!$I$5:$I$304,MATCH(I1139,Inventory!$A$5:$A$304,0))*1,0),IFERROR(INDEX(Services!$G$5:$G$204,MATCH(I1139,Services!$A$5:$A$204,0))*1,0))))</f>
        <v>0</v>
      </c>
      <c r="W1139" s="26">
        <f>IF(B1139="","",ROUND(T1139*V1139,2))</f>
        <v>0</v>
      </c>
      <c r="X1139" s="26">
        <f>IF(B1139="","",ROUND(IF(M1139="",0,W1139*M1139)+IF(N1139="",0,N1139),2))</f>
        <v>0</v>
      </c>
      <c r="Y1139" s="26">
        <f>IF(B1139="","",ROUND(W1139-X1139-IF(P1139="",0,P1139),2))</f>
        <v>0</v>
      </c>
      <c r="Z1139" s="26">
        <f>IF(B1139="","",IF(H1139="Retail",IF(TaxOnRetail="Yes",ROUND(Y1139*TaxRate,2),0),IF(H1139="Service",IF(TaxOnServices="Yes",ROUND(Y1139*TaxRate,2),0),0)))</f>
        <v>0</v>
      </c>
      <c r="AA1139" s="26">
        <f>IF(B1139="","",ROUND(Y1139+Z1139,2))</f>
        <v>0</v>
      </c>
      <c r="AB1139" s="26">
        <f>IF(B1139="","",ROUND(T1139*IF(H1139="Retail",IFERROR(INDEX(Inventory!$H$5:$H$304,MATCH(I1139,Inventory!$A$5:$A$304,0))*1,0),IFERROR(INDEX(Services!$Q$5:$Q$204,MATCH(I1139,Services!$A$5:$A$204,0))*1,0)),2))</f>
        <v>0</v>
      </c>
      <c r="AC1139" s="26">
        <f>IF(B1139="","",ROUND(Y1139-AB1139,2))</f>
        <v>0</v>
      </c>
      <c r="AD1139" s="38">
        <f>IF(B1139="","",IF(C1139="","No",IF(COUNTIFS($C$5:C1139,C1139)=1,"Yes","No")))</f>
        <v>0</v>
      </c>
      <c r="AE1139" s="26">
        <f>IF(B1139="","",ROUND(SUMIFS(Payments!$G$5:$G$1204,Payments!$H$5:$H$1204,A1139,Payments!$Q$5:$Q$1204,"Yes"),2))</f>
        <v>0</v>
      </c>
      <c r="AF1139" s="26">
        <f>IF(B1139="","",IF(AD1139="No",0,ROUND(SUMIFS(Payments!$G$5:$G$1204,Payments!$I$5:$I$1204,C1139,Payments!$H$5:$H$1204,"",Payments!$Q$5:$Q$1204,"Yes"),2)))</f>
        <v>0</v>
      </c>
      <c r="AG1139" s="26">
        <f>IF(B1139="","",ROUND(AE1139+AF1139,2))</f>
        <v>0</v>
      </c>
      <c r="AH1139" s="26">
        <f>IF(B1139="","",ROUND(AA1139-AG1139,2))</f>
        <v>0</v>
      </c>
      <c r="AI1139" s="39">
        <f>IF(B1139="","",IF(AA1139&lt;=0,"No charge",IF(AH1139&lt;=0.004,"Paid",IF(AG1139&lt;=0.004,"Unpaid","Part paid"))))</f>
        <v>0</v>
      </c>
      <c r="AJ1139" s="38">
        <f>IF(B1139="","",IF(H1139&lt;&gt;"Service","",IF(D1139="","No",IF(COUNTIFS($D$5:$D$1204,D1139,$B$5:$B$1204,B1139,$H$5:$H$1204,"Retail")&gt;0,"Yes","No"))))</f>
        <v>0</v>
      </c>
      <c r="AK1139" s="25">
        <f>IF(B1139="","",COUNTIFS($Y$5:$Y$1204,"&gt;"&amp;Y1139)+COUNTIFS($Y$5:Y1139,Y1139))</f>
        <v>0</v>
      </c>
      <c r="AL1139" s="39">
        <f>IF(B1139="","",IF(H1139="","Add - what kind of sale is this?",IF(IF(V1139&lt;=0,P1139="",FALSE),"Check - no price found for this item",IF(F1139="","Assign - nobody credited",IF(AH1139&gt;0.004,"Unpaid - balance outstanding",IF(AC1139&lt;0,"Loss - sold below cost",IF(X1139&gt;W1139*0.5,"Check - more than half off","OK")))))))</f>
        <v>0</v>
      </c>
    </row>
    <row r="1140" spans="1:38">
      <c r="A1140" s="28">
        <f>IF(B1140="","",SalePrefix&amp;TEXT(ROW()-4,"0000"))</f>
        <v>0</v>
      </c>
      <c r="E1140" s="15">
        <f>IF(D1140="","",IFERROR(INDEX(Clients!$B$5:$B$504,MATCH(D1140,Clients!$A$5:$A$504,0)),"Walk-in"))</f>
        <v>0</v>
      </c>
      <c r="G1140" s="15">
        <f>IF(F1140="","",IFERROR(INDEX(Staff!$B$5:$B$44,MATCH(F1140,Staff!$A$5:$A$44,0)),"House"))</f>
        <v>0</v>
      </c>
      <c r="R1140" s="15">
        <f>IF(B1140="","",TEXT(B1140,"yyyy-mm"))</f>
        <v>0</v>
      </c>
      <c r="S1140" s="25">
        <f>IF(B1140="","",WEEKNUM(B1140,2))</f>
        <v>0</v>
      </c>
      <c r="T1140" s="37">
        <f>IF(B1140="","",IF(K1140="",1,K1140))</f>
        <v>0</v>
      </c>
      <c r="U1140" s="15">
        <f>IF(B1140="","",IF(J1140&lt;&gt;"",J1140,IF(H1140="Retail",IFERROR(INDEX(Inventory!$B$5:$B$304,MATCH(I1140,Inventory!$A$5:$A$304,0))&amp;"","Not in Inventory"),IFERROR(INDEX(Services!$B$5:$B$204,MATCH(I1140,Services!$A$5:$A$204,0))&amp;"","Not in Services"))))</f>
        <v>0</v>
      </c>
      <c r="V1140" s="26">
        <f>IF(B1140="","",IF(L1140&lt;&gt;"",L1140,IF(H1140="Retail",IFERROR(INDEX(Inventory!$I$5:$I$304,MATCH(I1140,Inventory!$A$5:$A$304,0))*1,0),IFERROR(INDEX(Services!$G$5:$G$204,MATCH(I1140,Services!$A$5:$A$204,0))*1,0))))</f>
        <v>0</v>
      </c>
      <c r="W1140" s="26">
        <f>IF(B1140="","",ROUND(T1140*V1140,2))</f>
        <v>0</v>
      </c>
      <c r="X1140" s="26">
        <f>IF(B1140="","",ROUND(IF(M1140="",0,W1140*M1140)+IF(N1140="",0,N1140),2))</f>
        <v>0</v>
      </c>
      <c r="Y1140" s="26">
        <f>IF(B1140="","",ROUND(W1140-X1140-IF(P1140="",0,P1140),2))</f>
        <v>0</v>
      </c>
      <c r="Z1140" s="26">
        <f>IF(B1140="","",IF(H1140="Retail",IF(TaxOnRetail="Yes",ROUND(Y1140*TaxRate,2),0),IF(H1140="Service",IF(TaxOnServices="Yes",ROUND(Y1140*TaxRate,2),0),0)))</f>
        <v>0</v>
      </c>
      <c r="AA1140" s="26">
        <f>IF(B1140="","",ROUND(Y1140+Z1140,2))</f>
        <v>0</v>
      </c>
      <c r="AB1140" s="26">
        <f>IF(B1140="","",ROUND(T1140*IF(H1140="Retail",IFERROR(INDEX(Inventory!$H$5:$H$304,MATCH(I1140,Inventory!$A$5:$A$304,0))*1,0),IFERROR(INDEX(Services!$Q$5:$Q$204,MATCH(I1140,Services!$A$5:$A$204,0))*1,0)),2))</f>
        <v>0</v>
      </c>
      <c r="AC1140" s="26">
        <f>IF(B1140="","",ROUND(Y1140-AB1140,2))</f>
        <v>0</v>
      </c>
      <c r="AD1140" s="38">
        <f>IF(B1140="","",IF(C1140="","No",IF(COUNTIFS($C$5:C1140,C1140)=1,"Yes","No")))</f>
        <v>0</v>
      </c>
      <c r="AE1140" s="26">
        <f>IF(B1140="","",ROUND(SUMIFS(Payments!$G$5:$G$1204,Payments!$H$5:$H$1204,A1140,Payments!$Q$5:$Q$1204,"Yes"),2))</f>
        <v>0</v>
      </c>
      <c r="AF1140" s="26">
        <f>IF(B1140="","",IF(AD1140="No",0,ROUND(SUMIFS(Payments!$G$5:$G$1204,Payments!$I$5:$I$1204,C1140,Payments!$H$5:$H$1204,"",Payments!$Q$5:$Q$1204,"Yes"),2)))</f>
        <v>0</v>
      </c>
      <c r="AG1140" s="26">
        <f>IF(B1140="","",ROUND(AE1140+AF1140,2))</f>
        <v>0</v>
      </c>
      <c r="AH1140" s="26">
        <f>IF(B1140="","",ROUND(AA1140-AG1140,2))</f>
        <v>0</v>
      </c>
      <c r="AI1140" s="39">
        <f>IF(B1140="","",IF(AA1140&lt;=0,"No charge",IF(AH1140&lt;=0.004,"Paid",IF(AG1140&lt;=0.004,"Unpaid","Part paid"))))</f>
        <v>0</v>
      </c>
      <c r="AJ1140" s="38">
        <f>IF(B1140="","",IF(H1140&lt;&gt;"Service","",IF(D1140="","No",IF(COUNTIFS($D$5:$D$1204,D1140,$B$5:$B$1204,B1140,$H$5:$H$1204,"Retail")&gt;0,"Yes","No"))))</f>
        <v>0</v>
      </c>
      <c r="AK1140" s="25">
        <f>IF(B1140="","",COUNTIFS($Y$5:$Y$1204,"&gt;"&amp;Y1140)+COUNTIFS($Y$5:Y1140,Y1140))</f>
        <v>0</v>
      </c>
      <c r="AL1140" s="39">
        <f>IF(B1140="","",IF(H1140="","Add - what kind of sale is this?",IF(IF(V1140&lt;=0,P1140="",FALSE),"Check - no price found for this item",IF(F1140="","Assign - nobody credited",IF(AH1140&gt;0.004,"Unpaid - balance outstanding",IF(AC1140&lt;0,"Loss - sold below cost",IF(X1140&gt;W1140*0.5,"Check - more than half off","OK")))))))</f>
        <v>0</v>
      </c>
    </row>
    <row r="1141" spans="1:38">
      <c r="A1141" s="28">
        <f>IF(B1141="","",SalePrefix&amp;TEXT(ROW()-4,"0000"))</f>
        <v>0</v>
      </c>
      <c r="E1141" s="15">
        <f>IF(D1141="","",IFERROR(INDEX(Clients!$B$5:$B$504,MATCH(D1141,Clients!$A$5:$A$504,0)),"Walk-in"))</f>
        <v>0</v>
      </c>
      <c r="G1141" s="15">
        <f>IF(F1141="","",IFERROR(INDEX(Staff!$B$5:$B$44,MATCH(F1141,Staff!$A$5:$A$44,0)),"House"))</f>
        <v>0</v>
      </c>
      <c r="R1141" s="15">
        <f>IF(B1141="","",TEXT(B1141,"yyyy-mm"))</f>
        <v>0</v>
      </c>
      <c r="S1141" s="25">
        <f>IF(B1141="","",WEEKNUM(B1141,2))</f>
        <v>0</v>
      </c>
      <c r="T1141" s="37">
        <f>IF(B1141="","",IF(K1141="",1,K1141))</f>
        <v>0</v>
      </c>
      <c r="U1141" s="15">
        <f>IF(B1141="","",IF(J1141&lt;&gt;"",J1141,IF(H1141="Retail",IFERROR(INDEX(Inventory!$B$5:$B$304,MATCH(I1141,Inventory!$A$5:$A$304,0))&amp;"","Not in Inventory"),IFERROR(INDEX(Services!$B$5:$B$204,MATCH(I1141,Services!$A$5:$A$204,0))&amp;"","Not in Services"))))</f>
        <v>0</v>
      </c>
      <c r="V1141" s="26">
        <f>IF(B1141="","",IF(L1141&lt;&gt;"",L1141,IF(H1141="Retail",IFERROR(INDEX(Inventory!$I$5:$I$304,MATCH(I1141,Inventory!$A$5:$A$304,0))*1,0),IFERROR(INDEX(Services!$G$5:$G$204,MATCH(I1141,Services!$A$5:$A$204,0))*1,0))))</f>
        <v>0</v>
      </c>
      <c r="W1141" s="26">
        <f>IF(B1141="","",ROUND(T1141*V1141,2))</f>
        <v>0</v>
      </c>
      <c r="X1141" s="26">
        <f>IF(B1141="","",ROUND(IF(M1141="",0,W1141*M1141)+IF(N1141="",0,N1141),2))</f>
        <v>0</v>
      </c>
      <c r="Y1141" s="26">
        <f>IF(B1141="","",ROUND(W1141-X1141-IF(P1141="",0,P1141),2))</f>
        <v>0</v>
      </c>
      <c r="Z1141" s="26">
        <f>IF(B1141="","",IF(H1141="Retail",IF(TaxOnRetail="Yes",ROUND(Y1141*TaxRate,2),0),IF(H1141="Service",IF(TaxOnServices="Yes",ROUND(Y1141*TaxRate,2),0),0)))</f>
        <v>0</v>
      </c>
      <c r="AA1141" s="26">
        <f>IF(B1141="","",ROUND(Y1141+Z1141,2))</f>
        <v>0</v>
      </c>
      <c r="AB1141" s="26">
        <f>IF(B1141="","",ROUND(T1141*IF(H1141="Retail",IFERROR(INDEX(Inventory!$H$5:$H$304,MATCH(I1141,Inventory!$A$5:$A$304,0))*1,0),IFERROR(INDEX(Services!$Q$5:$Q$204,MATCH(I1141,Services!$A$5:$A$204,0))*1,0)),2))</f>
        <v>0</v>
      </c>
      <c r="AC1141" s="26">
        <f>IF(B1141="","",ROUND(Y1141-AB1141,2))</f>
        <v>0</v>
      </c>
      <c r="AD1141" s="38">
        <f>IF(B1141="","",IF(C1141="","No",IF(COUNTIFS($C$5:C1141,C1141)=1,"Yes","No")))</f>
        <v>0</v>
      </c>
      <c r="AE1141" s="26">
        <f>IF(B1141="","",ROUND(SUMIFS(Payments!$G$5:$G$1204,Payments!$H$5:$H$1204,A1141,Payments!$Q$5:$Q$1204,"Yes"),2))</f>
        <v>0</v>
      </c>
      <c r="AF1141" s="26">
        <f>IF(B1141="","",IF(AD1141="No",0,ROUND(SUMIFS(Payments!$G$5:$G$1204,Payments!$I$5:$I$1204,C1141,Payments!$H$5:$H$1204,"",Payments!$Q$5:$Q$1204,"Yes"),2)))</f>
        <v>0</v>
      </c>
      <c r="AG1141" s="26">
        <f>IF(B1141="","",ROUND(AE1141+AF1141,2))</f>
        <v>0</v>
      </c>
      <c r="AH1141" s="26">
        <f>IF(B1141="","",ROUND(AA1141-AG1141,2))</f>
        <v>0</v>
      </c>
      <c r="AI1141" s="39">
        <f>IF(B1141="","",IF(AA1141&lt;=0,"No charge",IF(AH1141&lt;=0.004,"Paid",IF(AG1141&lt;=0.004,"Unpaid","Part paid"))))</f>
        <v>0</v>
      </c>
      <c r="AJ1141" s="38">
        <f>IF(B1141="","",IF(H1141&lt;&gt;"Service","",IF(D1141="","No",IF(COUNTIFS($D$5:$D$1204,D1141,$B$5:$B$1204,B1141,$H$5:$H$1204,"Retail")&gt;0,"Yes","No"))))</f>
        <v>0</v>
      </c>
      <c r="AK1141" s="25">
        <f>IF(B1141="","",COUNTIFS($Y$5:$Y$1204,"&gt;"&amp;Y1141)+COUNTIFS($Y$5:Y1141,Y1141))</f>
        <v>0</v>
      </c>
      <c r="AL1141" s="39">
        <f>IF(B1141="","",IF(H1141="","Add - what kind of sale is this?",IF(IF(V1141&lt;=0,P1141="",FALSE),"Check - no price found for this item",IF(F1141="","Assign - nobody credited",IF(AH1141&gt;0.004,"Unpaid - balance outstanding",IF(AC1141&lt;0,"Loss - sold below cost",IF(X1141&gt;W1141*0.5,"Check - more than half off","OK")))))))</f>
        <v>0</v>
      </c>
    </row>
    <row r="1142" spans="1:38">
      <c r="A1142" s="28">
        <f>IF(B1142="","",SalePrefix&amp;TEXT(ROW()-4,"0000"))</f>
        <v>0</v>
      </c>
      <c r="E1142" s="15">
        <f>IF(D1142="","",IFERROR(INDEX(Clients!$B$5:$B$504,MATCH(D1142,Clients!$A$5:$A$504,0)),"Walk-in"))</f>
        <v>0</v>
      </c>
      <c r="G1142" s="15">
        <f>IF(F1142="","",IFERROR(INDEX(Staff!$B$5:$B$44,MATCH(F1142,Staff!$A$5:$A$44,0)),"House"))</f>
        <v>0</v>
      </c>
      <c r="R1142" s="15">
        <f>IF(B1142="","",TEXT(B1142,"yyyy-mm"))</f>
        <v>0</v>
      </c>
      <c r="S1142" s="25">
        <f>IF(B1142="","",WEEKNUM(B1142,2))</f>
        <v>0</v>
      </c>
      <c r="T1142" s="37">
        <f>IF(B1142="","",IF(K1142="",1,K1142))</f>
        <v>0</v>
      </c>
      <c r="U1142" s="15">
        <f>IF(B1142="","",IF(J1142&lt;&gt;"",J1142,IF(H1142="Retail",IFERROR(INDEX(Inventory!$B$5:$B$304,MATCH(I1142,Inventory!$A$5:$A$304,0))&amp;"","Not in Inventory"),IFERROR(INDEX(Services!$B$5:$B$204,MATCH(I1142,Services!$A$5:$A$204,0))&amp;"","Not in Services"))))</f>
        <v>0</v>
      </c>
      <c r="V1142" s="26">
        <f>IF(B1142="","",IF(L1142&lt;&gt;"",L1142,IF(H1142="Retail",IFERROR(INDEX(Inventory!$I$5:$I$304,MATCH(I1142,Inventory!$A$5:$A$304,0))*1,0),IFERROR(INDEX(Services!$G$5:$G$204,MATCH(I1142,Services!$A$5:$A$204,0))*1,0))))</f>
        <v>0</v>
      </c>
      <c r="W1142" s="26">
        <f>IF(B1142="","",ROUND(T1142*V1142,2))</f>
        <v>0</v>
      </c>
      <c r="X1142" s="26">
        <f>IF(B1142="","",ROUND(IF(M1142="",0,W1142*M1142)+IF(N1142="",0,N1142),2))</f>
        <v>0</v>
      </c>
      <c r="Y1142" s="26">
        <f>IF(B1142="","",ROUND(W1142-X1142-IF(P1142="",0,P1142),2))</f>
        <v>0</v>
      </c>
      <c r="Z1142" s="26">
        <f>IF(B1142="","",IF(H1142="Retail",IF(TaxOnRetail="Yes",ROUND(Y1142*TaxRate,2),0),IF(H1142="Service",IF(TaxOnServices="Yes",ROUND(Y1142*TaxRate,2),0),0)))</f>
        <v>0</v>
      </c>
      <c r="AA1142" s="26">
        <f>IF(B1142="","",ROUND(Y1142+Z1142,2))</f>
        <v>0</v>
      </c>
      <c r="AB1142" s="26">
        <f>IF(B1142="","",ROUND(T1142*IF(H1142="Retail",IFERROR(INDEX(Inventory!$H$5:$H$304,MATCH(I1142,Inventory!$A$5:$A$304,0))*1,0),IFERROR(INDEX(Services!$Q$5:$Q$204,MATCH(I1142,Services!$A$5:$A$204,0))*1,0)),2))</f>
        <v>0</v>
      </c>
      <c r="AC1142" s="26">
        <f>IF(B1142="","",ROUND(Y1142-AB1142,2))</f>
        <v>0</v>
      </c>
      <c r="AD1142" s="38">
        <f>IF(B1142="","",IF(C1142="","No",IF(COUNTIFS($C$5:C1142,C1142)=1,"Yes","No")))</f>
        <v>0</v>
      </c>
      <c r="AE1142" s="26">
        <f>IF(B1142="","",ROUND(SUMIFS(Payments!$G$5:$G$1204,Payments!$H$5:$H$1204,A1142,Payments!$Q$5:$Q$1204,"Yes"),2))</f>
        <v>0</v>
      </c>
      <c r="AF1142" s="26">
        <f>IF(B1142="","",IF(AD1142="No",0,ROUND(SUMIFS(Payments!$G$5:$G$1204,Payments!$I$5:$I$1204,C1142,Payments!$H$5:$H$1204,"",Payments!$Q$5:$Q$1204,"Yes"),2)))</f>
        <v>0</v>
      </c>
      <c r="AG1142" s="26">
        <f>IF(B1142="","",ROUND(AE1142+AF1142,2))</f>
        <v>0</v>
      </c>
      <c r="AH1142" s="26">
        <f>IF(B1142="","",ROUND(AA1142-AG1142,2))</f>
        <v>0</v>
      </c>
      <c r="AI1142" s="39">
        <f>IF(B1142="","",IF(AA1142&lt;=0,"No charge",IF(AH1142&lt;=0.004,"Paid",IF(AG1142&lt;=0.004,"Unpaid","Part paid"))))</f>
        <v>0</v>
      </c>
      <c r="AJ1142" s="38">
        <f>IF(B1142="","",IF(H1142&lt;&gt;"Service","",IF(D1142="","No",IF(COUNTIFS($D$5:$D$1204,D1142,$B$5:$B$1204,B1142,$H$5:$H$1204,"Retail")&gt;0,"Yes","No"))))</f>
        <v>0</v>
      </c>
      <c r="AK1142" s="25">
        <f>IF(B1142="","",COUNTIFS($Y$5:$Y$1204,"&gt;"&amp;Y1142)+COUNTIFS($Y$5:Y1142,Y1142))</f>
        <v>0</v>
      </c>
      <c r="AL1142" s="39">
        <f>IF(B1142="","",IF(H1142="","Add - what kind of sale is this?",IF(IF(V1142&lt;=0,P1142="",FALSE),"Check - no price found for this item",IF(F1142="","Assign - nobody credited",IF(AH1142&gt;0.004,"Unpaid - balance outstanding",IF(AC1142&lt;0,"Loss - sold below cost",IF(X1142&gt;W1142*0.5,"Check - more than half off","OK")))))))</f>
        <v>0</v>
      </c>
    </row>
    <row r="1143" spans="1:38">
      <c r="A1143" s="28">
        <f>IF(B1143="","",SalePrefix&amp;TEXT(ROW()-4,"0000"))</f>
        <v>0</v>
      </c>
      <c r="E1143" s="15">
        <f>IF(D1143="","",IFERROR(INDEX(Clients!$B$5:$B$504,MATCH(D1143,Clients!$A$5:$A$504,0)),"Walk-in"))</f>
        <v>0</v>
      </c>
      <c r="G1143" s="15">
        <f>IF(F1143="","",IFERROR(INDEX(Staff!$B$5:$B$44,MATCH(F1143,Staff!$A$5:$A$44,0)),"House"))</f>
        <v>0</v>
      </c>
      <c r="R1143" s="15">
        <f>IF(B1143="","",TEXT(B1143,"yyyy-mm"))</f>
        <v>0</v>
      </c>
      <c r="S1143" s="25">
        <f>IF(B1143="","",WEEKNUM(B1143,2))</f>
        <v>0</v>
      </c>
      <c r="T1143" s="37">
        <f>IF(B1143="","",IF(K1143="",1,K1143))</f>
        <v>0</v>
      </c>
      <c r="U1143" s="15">
        <f>IF(B1143="","",IF(J1143&lt;&gt;"",J1143,IF(H1143="Retail",IFERROR(INDEX(Inventory!$B$5:$B$304,MATCH(I1143,Inventory!$A$5:$A$304,0))&amp;"","Not in Inventory"),IFERROR(INDEX(Services!$B$5:$B$204,MATCH(I1143,Services!$A$5:$A$204,0))&amp;"","Not in Services"))))</f>
        <v>0</v>
      </c>
      <c r="V1143" s="26">
        <f>IF(B1143="","",IF(L1143&lt;&gt;"",L1143,IF(H1143="Retail",IFERROR(INDEX(Inventory!$I$5:$I$304,MATCH(I1143,Inventory!$A$5:$A$304,0))*1,0),IFERROR(INDEX(Services!$G$5:$G$204,MATCH(I1143,Services!$A$5:$A$204,0))*1,0))))</f>
        <v>0</v>
      </c>
      <c r="W1143" s="26">
        <f>IF(B1143="","",ROUND(T1143*V1143,2))</f>
        <v>0</v>
      </c>
      <c r="X1143" s="26">
        <f>IF(B1143="","",ROUND(IF(M1143="",0,W1143*M1143)+IF(N1143="",0,N1143),2))</f>
        <v>0</v>
      </c>
      <c r="Y1143" s="26">
        <f>IF(B1143="","",ROUND(W1143-X1143-IF(P1143="",0,P1143),2))</f>
        <v>0</v>
      </c>
      <c r="Z1143" s="26">
        <f>IF(B1143="","",IF(H1143="Retail",IF(TaxOnRetail="Yes",ROUND(Y1143*TaxRate,2),0),IF(H1143="Service",IF(TaxOnServices="Yes",ROUND(Y1143*TaxRate,2),0),0)))</f>
        <v>0</v>
      </c>
      <c r="AA1143" s="26">
        <f>IF(B1143="","",ROUND(Y1143+Z1143,2))</f>
        <v>0</v>
      </c>
      <c r="AB1143" s="26">
        <f>IF(B1143="","",ROUND(T1143*IF(H1143="Retail",IFERROR(INDEX(Inventory!$H$5:$H$304,MATCH(I1143,Inventory!$A$5:$A$304,0))*1,0),IFERROR(INDEX(Services!$Q$5:$Q$204,MATCH(I1143,Services!$A$5:$A$204,0))*1,0)),2))</f>
        <v>0</v>
      </c>
      <c r="AC1143" s="26">
        <f>IF(B1143="","",ROUND(Y1143-AB1143,2))</f>
        <v>0</v>
      </c>
      <c r="AD1143" s="38">
        <f>IF(B1143="","",IF(C1143="","No",IF(COUNTIFS($C$5:C1143,C1143)=1,"Yes","No")))</f>
        <v>0</v>
      </c>
      <c r="AE1143" s="26">
        <f>IF(B1143="","",ROUND(SUMIFS(Payments!$G$5:$G$1204,Payments!$H$5:$H$1204,A1143,Payments!$Q$5:$Q$1204,"Yes"),2))</f>
        <v>0</v>
      </c>
      <c r="AF1143" s="26">
        <f>IF(B1143="","",IF(AD1143="No",0,ROUND(SUMIFS(Payments!$G$5:$G$1204,Payments!$I$5:$I$1204,C1143,Payments!$H$5:$H$1204,"",Payments!$Q$5:$Q$1204,"Yes"),2)))</f>
        <v>0</v>
      </c>
      <c r="AG1143" s="26">
        <f>IF(B1143="","",ROUND(AE1143+AF1143,2))</f>
        <v>0</v>
      </c>
      <c r="AH1143" s="26">
        <f>IF(B1143="","",ROUND(AA1143-AG1143,2))</f>
        <v>0</v>
      </c>
      <c r="AI1143" s="39">
        <f>IF(B1143="","",IF(AA1143&lt;=0,"No charge",IF(AH1143&lt;=0.004,"Paid",IF(AG1143&lt;=0.004,"Unpaid","Part paid"))))</f>
        <v>0</v>
      </c>
      <c r="AJ1143" s="38">
        <f>IF(B1143="","",IF(H1143&lt;&gt;"Service","",IF(D1143="","No",IF(COUNTIFS($D$5:$D$1204,D1143,$B$5:$B$1204,B1143,$H$5:$H$1204,"Retail")&gt;0,"Yes","No"))))</f>
        <v>0</v>
      </c>
      <c r="AK1143" s="25">
        <f>IF(B1143="","",COUNTIFS($Y$5:$Y$1204,"&gt;"&amp;Y1143)+COUNTIFS($Y$5:Y1143,Y1143))</f>
        <v>0</v>
      </c>
      <c r="AL1143" s="39">
        <f>IF(B1143="","",IF(H1143="","Add - what kind of sale is this?",IF(IF(V1143&lt;=0,P1143="",FALSE),"Check - no price found for this item",IF(F1143="","Assign - nobody credited",IF(AH1143&gt;0.004,"Unpaid - balance outstanding",IF(AC1143&lt;0,"Loss - sold below cost",IF(X1143&gt;W1143*0.5,"Check - more than half off","OK")))))))</f>
        <v>0</v>
      </c>
    </row>
    <row r="1144" spans="1:38">
      <c r="A1144" s="28">
        <f>IF(B1144="","",SalePrefix&amp;TEXT(ROW()-4,"0000"))</f>
        <v>0</v>
      </c>
      <c r="E1144" s="15">
        <f>IF(D1144="","",IFERROR(INDEX(Clients!$B$5:$B$504,MATCH(D1144,Clients!$A$5:$A$504,0)),"Walk-in"))</f>
        <v>0</v>
      </c>
      <c r="G1144" s="15">
        <f>IF(F1144="","",IFERROR(INDEX(Staff!$B$5:$B$44,MATCH(F1144,Staff!$A$5:$A$44,0)),"House"))</f>
        <v>0</v>
      </c>
      <c r="R1144" s="15">
        <f>IF(B1144="","",TEXT(B1144,"yyyy-mm"))</f>
        <v>0</v>
      </c>
      <c r="S1144" s="25">
        <f>IF(B1144="","",WEEKNUM(B1144,2))</f>
        <v>0</v>
      </c>
      <c r="T1144" s="37">
        <f>IF(B1144="","",IF(K1144="",1,K1144))</f>
        <v>0</v>
      </c>
      <c r="U1144" s="15">
        <f>IF(B1144="","",IF(J1144&lt;&gt;"",J1144,IF(H1144="Retail",IFERROR(INDEX(Inventory!$B$5:$B$304,MATCH(I1144,Inventory!$A$5:$A$304,0))&amp;"","Not in Inventory"),IFERROR(INDEX(Services!$B$5:$B$204,MATCH(I1144,Services!$A$5:$A$204,0))&amp;"","Not in Services"))))</f>
        <v>0</v>
      </c>
      <c r="V1144" s="26">
        <f>IF(B1144="","",IF(L1144&lt;&gt;"",L1144,IF(H1144="Retail",IFERROR(INDEX(Inventory!$I$5:$I$304,MATCH(I1144,Inventory!$A$5:$A$304,0))*1,0),IFERROR(INDEX(Services!$G$5:$G$204,MATCH(I1144,Services!$A$5:$A$204,0))*1,0))))</f>
        <v>0</v>
      </c>
      <c r="W1144" s="26">
        <f>IF(B1144="","",ROUND(T1144*V1144,2))</f>
        <v>0</v>
      </c>
      <c r="X1144" s="26">
        <f>IF(B1144="","",ROUND(IF(M1144="",0,W1144*M1144)+IF(N1144="",0,N1144),2))</f>
        <v>0</v>
      </c>
      <c r="Y1144" s="26">
        <f>IF(B1144="","",ROUND(W1144-X1144-IF(P1144="",0,P1144),2))</f>
        <v>0</v>
      </c>
      <c r="Z1144" s="26">
        <f>IF(B1144="","",IF(H1144="Retail",IF(TaxOnRetail="Yes",ROUND(Y1144*TaxRate,2),0),IF(H1144="Service",IF(TaxOnServices="Yes",ROUND(Y1144*TaxRate,2),0),0)))</f>
        <v>0</v>
      </c>
      <c r="AA1144" s="26">
        <f>IF(B1144="","",ROUND(Y1144+Z1144,2))</f>
        <v>0</v>
      </c>
      <c r="AB1144" s="26">
        <f>IF(B1144="","",ROUND(T1144*IF(H1144="Retail",IFERROR(INDEX(Inventory!$H$5:$H$304,MATCH(I1144,Inventory!$A$5:$A$304,0))*1,0),IFERROR(INDEX(Services!$Q$5:$Q$204,MATCH(I1144,Services!$A$5:$A$204,0))*1,0)),2))</f>
        <v>0</v>
      </c>
      <c r="AC1144" s="26">
        <f>IF(B1144="","",ROUND(Y1144-AB1144,2))</f>
        <v>0</v>
      </c>
      <c r="AD1144" s="38">
        <f>IF(B1144="","",IF(C1144="","No",IF(COUNTIFS($C$5:C1144,C1144)=1,"Yes","No")))</f>
        <v>0</v>
      </c>
      <c r="AE1144" s="26">
        <f>IF(B1144="","",ROUND(SUMIFS(Payments!$G$5:$G$1204,Payments!$H$5:$H$1204,A1144,Payments!$Q$5:$Q$1204,"Yes"),2))</f>
        <v>0</v>
      </c>
      <c r="AF1144" s="26">
        <f>IF(B1144="","",IF(AD1144="No",0,ROUND(SUMIFS(Payments!$G$5:$G$1204,Payments!$I$5:$I$1204,C1144,Payments!$H$5:$H$1204,"",Payments!$Q$5:$Q$1204,"Yes"),2)))</f>
        <v>0</v>
      </c>
      <c r="AG1144" s="26">
        <f>IF(B1144="","",ROUND(AE1144+AF1144,2))</f>
        <v>0</v>
      </c>
      <c r="AH1144" s="26">
        <f>IF(B1144="","",ROUND(AA1144-AG1144,2))</f>
        <v>0</v>
      </c>
      <c r="AI1144" s="39">
        <f>IF(B1144="","",IF(AA1144&lt;=0,"No charge",IF(AH1144&lt;=0.004,"Paid",IF(AG1144&lt;=0.004,"Unpaid","Part paid"))))</f>
        <v>0</v>
      </c>
      <c r="AJ1144" s="38">
        <f>IF(B1144="","",IF(H1144&lt;&gt;"Service","",IF(D1144="","No",IF(COUNTIFS($D$5:$D$1204,D1144,$B$5:$B$1204,B1144,$H$5:$H$1204,"Retail")&gt;0,"Yes","No"))))</f>
        <v>0</v>
      </c>
      <c r="AK1144" s="25">
        <f>IF(B1144="","",COUNTIFS($Y$5:$Y$1204,"&gt;"&amp;Y1144)+COUNTIFS($Y$5:Y1144,Y1144))</f>
        <v>0</v>
      </c>
      <c r="AL1144" s="39">
        <f>IF(B1144="","",IF(H1144="","Add - what kind of sale is this?",IF(IF(V1144&lt;=0,P1144="",FALSE),"Check - no price found for this item",IF(F1144="","Assign - nobody credited",IF(AH1144&gt;0.004,"Unpaid - balance outstanding",IF(AC1144&lt;0,"Loss - sold below cost",IF(X1144&gt;W1144*0.5,"Check - more than half off","OK")))))))</f>
        <v>0</v>
      </c>
    </row>
    <row r="1145" spans="1:38">
      <c r="A1145" s="28">
        <f>IF(B1145="","",SalePrefix&amp;TEXT(ROW()-4,"0000"))</f>
        <v>0</v>
      </c>
      <c r="E1145" s="15">
        <f>IF(D1145="","",IFERROR(INDEX(Clients!$B$5:$B$504,MATCH(D1145,Clients!$A$5:$A$504,0)),"Walk-in"))</f>
        <v>0</v>
      </c>
      <c r="G1145" s="15">
        <f>IF(F1145="","",IFERROR(INDEX(Staff!$B$5:$B$44,MATCH(F1145,Staff!$A$5:$A$44,0)),"House"))</f>
        <v>0</v>
      </c>
      <c r="R1145" s="15">
        <f>IF(B1145="","",TEXT(B1145,"yyyy-mm"))</f>
        <v>0</v>
      </c>
      <c r="S1145" s="25">
        <f>IF(B1145="","",WEEKNUM(B1145,2))</f>
        <v>0</v>
      </c>
      <c r="T1145" s="37">
        <f>IF(B1145="","",IF(K1145="",1,K1145))</f>
        <v>0</v>
      </c>
      <c r="U1145" s="15">
        <f>IF(B1145="","",IF(J1145&lt;&gt;"",J1145,IF(H1145="Retail",IFERROR(INDEX(Inventory!$B$5:$B$304,MATCH(I1145,Inventory!$A$5:$A$304,0))&amp;"","Not in Inventory"),IFERROR(INDEX(Services!$B$5:$B$204,MATCH(I1145,Services!$A$5:$A$204,0))&amp;"","Not in Services"))))</f>
        <v>0</v>
      </c>
      <c r="V1145" s="26">
        <f>IF(B1145="","",IF(L1145&lt;&gt;"",L1145,IF(H1145="Retail",IFERROR(INDEX(Inventory!$I$5:$I$304,MATCH(I1145,Inventory!$A$5:$A$304,0))*1,0),IFERROR(INDEX(Services!$G$5:$G$204,MATCH(I1145,Services!$A$5:$A$204,0))*1,0))))</f>
        <v>0</v>
      </c>
      <c r="W1145" s="26">
        <f>IF(B1145="","",ROUND(T1145*V1145,2))</f>
        <v>0</v>
      </c>
      <c r="X1145" s="26">
        <f>IF(B1145="","",ROUND(IF(M1145="",0,W1145*M1145)+IF(N1145="",0,N1145),2))</f>
        <v>0</v>
      </c>
      <c r="Y1145" s="26">
        <f>IF(B1145="","",ROUND(W1145-X1145-IF(P1145="",0,P1145),2))</f>
        <v>0</v>
      </c>
      <c r="Z1145" s="26">
        <f>IF(B1145="","",IF(H1145="Retail",IF(TaxOnRetail="Yes",ROUND(Y1145*TaxRate,2),0),IF(H1145="Service",IF(TaxOnServices="Yes",ROUND(Y1145*TaxRate,2),0),0)))</f>
        <v>0</v>
      </c>
      <c r="AA1145" s="26">
        <f>IF(B1145="","",ROUND(Y1145+Z1145,2))</f>
        <v>0</v>
      </c>
      <c r="AB1145" s="26">
        <f>IF(B1145="","",ROUND(T1145*IF(H1145="Retail",IFERROR(INDEX(Inventory!$H$5:$H$304,MATCH(I1145,Inventory!$A$5:$A$304,0))*1,0),IFERROR(INDEX(Services!$Q$5:$Q$204,MATCH(I1145,Services!$A$5:$A$204,0))*1,0)),2))</f>
        <v>0</v>
      </c>
      <c r="AC1145" s="26">
        <f>IF(B1145="","",ROUND(Y1145-AB1145,2))</f>
        <v>0</v>
      </c>
      <c r="AD1145" s="38">
        <f>IF(B1145="","",IF(C1145="","No",IF(COUNTIFS($C$5:C1145,C1145)=1,"Yes","No")))</f>
        <v>0</v>
      </c>
      <c r="AE1145" s="26">
        <f>IF(B1145="","",ROUND(SUMIFS(Payments!$G$5:$G$1204,Payments!$H$5:$H$1204,A1145,Payments!$Q$5:$Q$1204,"Yes"),2))</f>
        <v>0</v>
      </c>
      <c r="AF1145" s="26">
        <f>IF(B1145="","",IF(AD1145="No",0,ROUND(SUMIFS(Payments!$G$5:$G$1204,Payments!$I$5:$I$1204,C1145,Payments!$H$5:$H$1204,"",Payments!$Q$5:$Q$1204,"Yes"),2)))</f>
        <v>0</v>
      </c>
      <c r="AG1145" s="26">
        <f>IF(B1145="","",ROUND(AE1145+AF1145,2))</f>
        <v>0</v>
      </c>
      <c r="AH1145" s="26">
        <f>IF(B1145="","",ROUND(AA1145-AG1145,2))</f>
        <v>0</v>
      </c>
      <c r="AI1145" s="39">
        <f>IF(B1145="","",IF(AA1145&lt;=0,"No charge",IF(AH1145&lt;=0.004,"Paid",IF(AG1145&lt;=0.004,"Unpaid","Part paid"))))</f>
        <v>0</v>
      </c>
      <c r="AJ1145" s="38">
        <f>IF(B1145="","",IF(H1145&lt;&gt;"Service","",IF(D1145="","No",IF(COUNTIFS($D$5:$D$1204,D1145,$B$5:$B$1204,B1145,$H$5:$H$1204,"Retail")&gt;0,"Yes","No"))))</f>
        <v>0</v>
      </c>
      <c r="AK1145" s="25">
        <f>IF(B1145="","",COUNTIFS($Y$5:$Y$1204,"&gt;"&amp;Y1145)+COUNTIFS($Y$5:Y1145,Y1145))</f>
        <v>0</v>
      </c>
      <c r="AL1145" s="39">
        <f>IF(B1145="","",IF(H1145="","Add - what kind of sale is this?",IF(IF(V1145&lt;=0,P1145="",FALSE),"Check - no price found for this item",IF(F1145="","Assign - nobody credited",IF(AH1145&gt;0.004,"Unpaid - balance outstanding",IF(AC1145&lt;0,"Loss - sold below cost",IF(X1145&gt;W1145*0.5,"Check - more than half off","OK")))))))</f>
        <v>0</v>
      </c>
    </row>
    <row r="1146" spans="1:38">
      <c r="A1146" s="28">
        <f>IF(B1146="","",SalePrefix&amp;TEXT(ROW()-4,"0000"))</f>
        <v>0</v>
      </c>
      <c r="E1146" s="15">
        <f>IF(D1146="","",IFERROR(INDEX(Clients!$B$5:$B$504,MATCH(D1146,Clients!$A$5:$A$504,0)),"Walk-in"))</f>
        <v>0</v>
      </c>
      <c r="G1146" s="15">
        <f>IF(F1146="","",IFERROR(INDEX(Staff!$B$5:$B$44,MATCH(F1146,Staff!$A$5:$A$44,0)),"House"))</f>
        <v>0</v>
      </c>
      <c r="R1146" s="15">
        <f>IF(B1146="","",TEXT(B1146,"yyyy-mm"))</f>
        <v>0</v>
      </c>
      <c r="S1146" s="25">
        <f>IF(B1146="","",WEEKNUM(B1146,2))</f>
        <v>0</v>
      </c>
      <c r="T1146" s="37">
        <f>IF(B1146="","",IF(K1146="",1,K1146))</f>
        <v>0</v>
      </c>
      <c r="U1146" s="15">
        <f>IF(B1146="","",IF(J1146&lt;&gt;"",J1146,IF(H1146="Retail",IFERROR(INDEX(Inventory!$B$5:$B$304,MATCH(I1146,Inventory!$A$5:$A$304,0))&amp;"","Not in Inventory"),IFERROR(INDEX(Services!$B$5:$B$204,MATCH(I1146,Services!$A$5:$A$204,0))&amp;"","Not in Services"))))</f>
        <v>0</v>
      </c>
      <c r="V1146" s="26">
        <f>IF(B1146="","",IF(L1146&lt;&gt;"",L1146,IF(H1146="Retail",IFERROR(INDEX(Inventory!$I$5:$I$304,MATCH(I1146,Inventory!$A$5:$A$304,0))*1,0),IFERROR(INDEX(Services!$G$5:$G$204,MATCH(I1146,Services!$A$5:$A$204,0))*1,0))))</f>
        <v>0</v>
      </c>
      <c r="W1146" s="26">
        <f>IF(B1146="","",ROUND(T1146*V1146,2))</f>
        <v>0</v>
      </c>
      <c r="X1146" s="26">
        <f>IF(B1146="","",ROUND(IF(M1146="",0,W1146*M1146)+IF(N1146="",0,N1146),2))</f>
        <v>0</v>
      </c>
      <c r="Y1146" s="26">
        <f>IF(B1146="","",ROUND(W1146-X1146-IF(P1146="",0,P1146),2))</f>
        <v>0</v>
      </c>
      <c r="Z1146" s="26">
        <f>IF(B1146="","",IF(H1146="Retail",IF(TaxOnRetail="Yes",ROUND(Y1146*TaxRate,2),0),IF(H1146="Service",IF(TaxOnServices="Yes",ROUND(Y1146*TaxRate,2),0),0)))</f>
        <v>0</v>
      </c>
      <c r="AA1146" s="26">
        <f>IF(B1146="","",ROUND(Y1146+Z1146,2))</f>
        <v>0</v>
      </c>
      <c r="AB1146" s="26">
        <f>IF(B1146="","",ROUND(T1146*IF(H1146="Retail",IFERROR(INDEX(Inventory!$H$5:$H$304,MATCH(I1146,Inventory!$A$5:$A$304,0))*1,0),IFERROR(INDEX(Services!$Q$5:$Q$204,MATCH(I1146,Services!$A$5:$A$204,0))*1,0)),2))</f>
        <v>0</v>
      </c>
      <c r="AC1146" s="26">
        <f>IF(B1146="","",ROUND(Y1146-AB1146,2))</f>
        <v>0</v>
      </c>
      <c r="AD1146" s="38">
        <f>IF(B1146="","",IF(C1146="","No",IF(COUNTIFS($C$5:C1146,C1146)=1,"Yes","No")))</f>
        <v>0</v>
      </c>
      <c r="AE1146" s="26">
        <f>IF(B1146="","",ROUND(SUMIFS(Payments!$G$5:$G$1204,Payments!$H$5:$H$1204,A1146,Payments!$Q$5:$Q$1204,"Yes"),2))</f>
        <v>0</v>
      </c>
      <c r="AF1146" s="26">
        <f>IF(B1146="","",IF(AD1146="No",0,ROUND(SUMIFS(Payments!$G$5:$G$1204,Payments!$I$5:$I$1204,C1146,Payments!$H$5:$H$1204,"",Payments!$Q$5:$Q$1204,"Yes"),2)))</f>
        <v>0</v>
      </c>
      <c r="AG1146" s="26">
        <f>IF(B1146="","",ROUND(AE1146+AF1146,2))</f>
        <v>0</v>
      </c>
      <c r="AH1146" s="26">
        <f>IF(B1146="","",ROUND(AA1146-AG1146,2))</f>
        <v>0</v>
      </c>
      <c r="AI1146" s="39">
        <f>IF(B1146="","",IF(AA1146&lt;=0,"No charge",IF(AH1146&lt;=0.004,"Paid",IF(AG1146&lt;=0.004,"Unpaid","Part paid"))))</f>
        <v>0</v>
      </c>
      <c r="AJ1146" s="38">
        <f>IF(B1146="","",IF(H1146&lt;&gt;"Service","",IF(D1146="","No",IF(COUNTIFS($D$5:$D$1204,D1146,$B$5:$B$1204,B1146,$H$5:$H$1204,"Retail")&gt;0,"Yes","No"))))</f>
        <v>0</v>
      </c>
      <c r="AK1146" s="25">
        <f>IF(B1146="","",COUNTIFS($Y$5:$Y$1204,"&gt;"&amp;Y1146)+COUNTIFS($Y$5:Y1146,Y1146))</f>
        <v>0</v>
      </c>
      <c r="AL1146" s="39">
        <f>IF(B1146="","",IF(H1146="","Add - what kind of sale is this?",IF(IF(V1146&lt;=0,P1146="",FALSE),"Check - no price found for this item",IF(F1146="","Assign - nobody credited",IF(AH1146&gt;0.004,"Unpaid - balance outstanding",IF(AC1146&lt;0,"Loss - sold below cost",IF(X1146&gt;W1146*0.5,"Check - more than half off","OK")))))))</f>
        <v>0</v>
      </c>
    </row>
    <row r="1147" spans="1:38">
      <c r="A1147" s="28">
        <f>IF(B1147="","",SalePrefix&amp;TEXT(ROW()-4,"0000"))</f>
        <v>0</v>
      </c>
      <c r="E1147" s="15">
        <f>IF(D1147="","",IFERROR(INDEX(Clients!$B$5:$B$504,MATCH(D1147,Clients!$A$5:$A$504,0)),"Walk-in"))</f>
        <v>0</v>
      </c>
      <c r="G1147" s="15">
        <f>IF(F1147="","",IFERROR(INDEX(Staff!$B$5:$B$44,MATCH(F1147,Staff!$A$5:$A$44,0)),"House"))</f>
        <v>0</v>
      </c>
      <c r="R1147" s="15">
        <f>IF(B1147="","",TEXT(B1147,"yyyy-mm"))</f>
        <v>0</v>
      </c>
      <c r="S1147" s="25">
        <f>IF(B1147="","",WEEKNUM(B1147,2))</f>
        <v>0</v>
      </c>
      <c r="T1147" s="37">
        <f>IF(B1147="","",IF(K1147="",1,K1147))</f>
        <v>0</v>
      </c>
      <c r="U1147" s="15">
        <f>IF(B1147="","",IF(J1147&lt;&gt;"",J1147,IF(H1147="Retail",IFERROR(INDEX(Inventory!$B$5:$B$304,MATCH(I1147,Inventory!$A$5:$A$304,0))&amp;"","Not in Inventory"),IFERROR(INDEX(Services!$B$5:$B$204,MATCH(I1147,Services!$A$5:$A$204,0))&amp;"","Not in Services"))))</f>
        <v>0</v>
      </c>
      <c r="V1147" s="26">
        <f>IF(B1147="","",IF(L1147&lt;&gt;"",L1147,IF(H1147="Retail",IFERROR(INDEX(Inventory!$I$5:$I$304,MATCH(I1147,Inventory!$A$5:$A$304,0))*1,0),IFERROR(INDEX(Services!$G$5:$G$204,MATCH(I1147,Services!$A$5:$A$204,0))*1,0))))</f>
        <v>0</v>
      </c>
      <c r="W1147" s="26">
        <f>IF(B1147="","",ROUND(T1147*V1147,2))</f>
        <v>0</v>
      </c>
      <c r="X1147" s="26">
        <f>IF(B1147="","",ROUND(IF(M1147="",0,W1147*M1147)+IF(N1147="",0,N1147),2))</f>
        <v>0</v>
      </c>
      <c r="Y1147" s="26">
        <f>IF(B1147="","",ROUND(W1147-X1147-IF(P1147="",0,P1147),2))</f>
        <v>0</v>
      </c>
      <c r="Z1147" s="26">
        <f>IF(B1147="","",IF(H1147="Retail",IF(TaxOnRetail="Yes",ROUND(Y1147*TaxRate,2),0),IF(H1147="Service",IF(TaxOnServices="Yes",ROUND(Y1147*TaxRate,2),0),0)))</f>
        <v>0</v>
      </c>
      <c r="AA1147" s="26">
        <f>IF(B1147="","",ROUND(Y1147+Z1147,2))</f>
        <v>0</v>
      </c>
      <c r="AB1147" s="26">
        <f>IF(B1147="","",ROUND(T1147*IF(H1147="Retail",IFERROR(INDEX(Inventory!$H$5:$H$304,MATCH(I1147,Inventory!$A$5:$A$304,0))*1,0),IFERROR(INDEX(Services!$Q$5:$Q$204,MATCH(I1147,Services!$A$5:$A$204,0))*1,0)),2))</f>
        <v>0</v>
      </c>
      <c r="AC1147" s="26">
        <f>IF(B1147="","",ROUND(Y1147-AB1147,2))</f>
        <v>0</v>
      </c>
      <c r="AD1147" s="38">
        <f>IF(B1147="","",IF(C1147="","No",IF(COUNTIFS($C$5:C1147,C1147)=1,"Yes","No")))</f>
        <v>0</v>
      </c>
      <c r="AE1147" s="26">
        <f>IF(B1147="","",ROUND(SUMIFS(Payments!$G$5:$G$1204,Payments!$H$5:$H$1204,A1147,Payments!$Q$5:$Q$1204,"Yes"),2))</f>
        <v>0</v>
      </c>
      <c r="AF1147" s="26">
        <f>IF(B1147="","",IF(AD1147="No",0,ROUND(SUMIFS(Payments!$G$5:$G$1204,Payments!$I$5:$I$1204,C1147,Payments!$H$5:$H$1204,"",Payments!$Q$5:$Q$1204,"Yes"),2)))</f>
        <v>0</v>
      </c>
      <c r="AG1147" s="26">
        <f>IF(B1147="","",ROUND(AE1147+AF1147,2))</f>
        <v>0</v>
      </c>
      <c r="AH1147" s="26">
        <f>IF(B1147="","",ROUND(AA1147-AG1147,2))</f>
        <v>0</v>
      </c>
      <c r="AI1147" s="39">
        <f>IF(B1147="","",IF(AA1147&lt;=0,"No charge",IF(AH1147&lt;=0.004,"Paid",IF(AG1147&lt;=0.004,"Unpaid","Part paid"))))</f>
        <v>0</v>
      </c>
      <c r="AJ1147" s="38">
        <f>IF(B1147="","",IF(H1147&lt;&gt;"Service","",IF(D1147="","No",IF(COUNTIFS($D$5:$D$1204,D1147,$B$5:$B$1204,B1147,$H$5:$H$1204,"Retail")&gt;0,"Yes","No"))))</f>
        <v>0</v>
      </c>
      <c r="AK1147" s="25">
        <f>IF(B1147="","",COUNTIFS($Y$5:$Y$1204,"&gt;"&amp;Y1147)+COUNTIFS($Y$5:Y1147,Y1147))</f>
        <v>0</v>
      </c>
      <c r="AL1147" s="39">
        <f>IF(B1147="","",IF(H1147="","Add - what kind of sale is this?",IF(IF(V1147&lt;=0,P1147="",FALSE),"Check - no price found for this item",IF(F1147="","Assign - nobody credited",IF(AH1147&gt;0.004,"Unpaid - balance outstanding",IF(AC1147&lt;0,"Loss - sold below cost",IF(X1147&gt;W1147*0.5,"Check - more than half off","OK")))))))</f>
        <v>0</v>
      </c>
    </row>
    <row r="1148" spans="1:38">
      <c r="A1148" s="28">
        <f>IF(B1148="","",SalePrefix&amp;TEXT(ROW()-4,"0000"))</f>
        <v>0</v>
      </c>
      <c r="E1148" s="15">
        <f>IF(D1148="","",IFERROR(INDEX(Clients!$B$5:$B$504,MATCH(D1148,Clients!$A$5:$A$504,0)),"Walk-in"))</f>
        <v>0</v>
      </c>
      <c r="G1148" s="15">
        <f>IF(F1148="","",IFERROR(INDEX(Staff!$B$5:$B$44,MATCH(F1148,Staff!$A$5:$A$44,0)),"House"))</f>
        <v>0</v>
      </c>
      <c r="R1148" s="15">
        <f>IF(B1148="","",TEXT(B1148,"yyyy-mm"))</f>
        <v>0</v>
      </c>
      <c r="S1148" s="25">
        <f>IF(B1148="","",WEEKNUM(B1148,2))</f>
        <v>0</v>
      </c>
      <c r="T1148" s="37">
        <f>IF(B1148="","",IF(K1148="",1,K1148))</f>
        <v>0</v>
      </c>
      <c r="U1148" s="15">
        <f>IF(B1148="","",IF(J1148&lt;&gt;"",J1148,IF(H1148="Retail",IFERROR(INDEX(Inventory!$B$5:$B$304,MATCH(I1148,Inventory!$A$5:$A$304,0))&amp;"","Not in Inventory"),IFERROR(INDEX(Services!$B$5:$B$204,MATCH(I1148,Services!$A$5:$A$204,0))&amp;"","Not in Services"))))</f>
        <v>0</v>
      </c>
      <c r="V1148" s="26">
        <f>IF(B1148="","",IF(L1148&lt;&gt;"",L1148,IF(H1148="Retail",IFERROR(INDEX(Inventory!$I$5:$I$304,MATCH(I1148,Inventory!$A$5:$A$304,0))*1,0),IFERROR(INDEX(Services!$G$5:$G$204,MATCH(I1148,Services!$A$5:$A$204,0))*1,0))))</f>
        <v>0</v>
      </c>
      <c r="W1148" s="26">
        <f>IF(B1148="","",ROUND(T1148*V1148,2))</f>
        <v>0</v>
      </c>
      <c r="X1148" s="26">
        <f>IF(B1148="","",ROUND(IF(M1148="",0,W1148*M1148)+IF(N1148="",0,N1148),2))</f>
        <v>0</v>
      </c>
      <c r="Y1148" s="26">
        <f>IF(B1148="","",ROUND(W1148-X1148-IF(P1148="",0,P1148),2))</f>
        <v>0</v>
      </c>
      <c r="Z1148" s="26">
        <f>IF(B1148="","",IF(H1148="Retail",IF(TaxOnRetail="Yes",ROUND(Y1148*TaxRate,2),0),IF(H1148="Service",IF(TaxOnServices="Yes",ROUND(Y1148*TaxRate,2),0),0)))</f>
        <v>0</v>
      </c>
      <c r="AA1148" s="26">
        <f>IF(B1148="","",ROUND(Y1148+Z1148,2))</f>
        <v>0</v>
      </c>
      <c r="AB1148" s="26">
        <f>IF(B1148="","",ROUND(T1148*IF(H1148="Retail",IFERROR(INDEX(Inventory!$H$5:$H$304,MATCH(I1148,Inventory!$A$5:$A$304,0))*1,0),IFERROR(INDEX(Services!$Q$5:$Q$204,MATCH(I1148,Services!$A$5:$A$204,0))*1,0)),2))</f>
        <v>0</v>
      </c>
      <c r="AC1148" s="26">
        <f>IF(B1148="","",ROUND(Y1148-AB1148,2))</f>
        <v>0</v>
      </c>
      <c r="AD1148" s="38">
        <f>IF(B1148="","",IF(C1148="","No",IF(COUNTIFS($C$5:C1148,C1148)=1,"Yes","No")))</f>
        <v>0</v>
      </c>
      <c r="AE1148" s="26">
        <f>IF(B1148="","",ROUND(SUMIFS(Payments!$G$5:$G$1204,Payments!$H$5:$H$1204,A1148,Payments!$Q$5:$Q$1204,"Yes"),2))</f>
        <v>0</v>
      </c>
      <c r="AF1148" s="26">
        <f>IF(B1148="","",IF(AD1148="No",0,ROUND(SUMIFS(Payments!$G$5:$G$1204,Payments!$I$5:$I$1204,C1148,Payments!$H$5:$H$1204,"",Payments!$Q$5:$Q$1204,"Yes"),2)))</f>
        <v>0</v>
      </c>
      <c r="AG1148" s="26">
        <f>IF(B1148="","",ROUND(AE1148+AF1148,2))</f>
        <v>0</v>
      </c>
      <c r="AH1148" s="26">
        <f>IF(B1148="","",ROUND(AA1148-AG1148,2))</f>
        <v>0</v>
      </c>
      <c r="AI1148" s="39">
        <f>IF(B1148="","",IF(AA1148&lt;=0,"No charge",IF(AH1148&lt;=0.004,"Paid",IF(AG1148&lt;=0.004,"Unpaid","Part paid"))))</f>
        <v>0</v>
      </c>
      <c r="AJ1148" s="38">
        <f>IF(B1148="","",IF(H1148&lt;&gt;"Service","",IF(D1148="","No",IF(COUNTIFS($D$5:$D$1204,D1148,$B$5:$B$1204,B1148,$H$5:$H$1204,"Retail")&gt;0,"Yes","No"))))</f>
        <v>0</v>
      </c>
      <c r="AK1148" s="25">
        <f>IF(B1148="","",COUNTIFS($Y$5:$Y$1204,"&gt;"&amp;Y1148)+COUNTIFS($Y$5:Y1148,Y1148))</f>
        <v>0</v>
      </c>
      <c r="AL1148" s="39">
        <f>IF(B1148="","",IF(H1148="","Add - what kind of sale is this?",IF(IF(V1148&lt;=0,P1148="",FALSE),"Check - no price found for this item",IF(F1148="","Assign - nobody credited",IF(AH1148&gt;0.004,"Unpaid - balance outstanding",IF(AC1148&lt;0,"Loss - sold below cost",IF(X1148&gt;W1148*0.5,"Check - more than half off","OK")))))))</f>
        <v>0</v>
      </c>
    </row>
    <row r="1149" spans="1:38">
      <c r="A1149" s="28">
        <f>IF(B1149="","",SalePrefix&amp;TEXT(ROW()-4,"0000"))</f>
        <v>0</v>
      </c>
      <c r="E1149" s="15">
        <f>IF(D1149="","",IFERROR(INDEX(Clients!$B$5:$B$504,MATCH(D1149,Clients!$A$5:$A$504,0)),"Walk-in"))</f>
        <v>0</v>
      </c>
      <c r="G1149" s="15">
        <f>IF(F1149="","",IFERROR(INDEX(Staff!$B$5:$B$44,MATCH(F1149,Staff!$A$5:$A$44,0)),"House"))</f>
        <v>0</v>
      </c>
      <c r="R1149" s="15">
        <f>IF(B1149="","",TEXT(B1149,"yyyy-mm"))</f>
        <v>0</v>
      </c>
      <c r="S1149" s="25">
        <f>IF(B1149="","",WEEKNUM(B1149,2))</f>
        <v>0</v>
      </c>
      <c r="T1149" s="37">
        <f>IF(B1149="","",IF(K1149="",1,K1149))</f>
        <v>0</v>
      </c>
      <c r="U1149" s="15">
        <f>IF(B1149="","",IF(J1149&lt;&gt;"",J1149,IF(H1149="Retail",IFERROR(INDEX(Inventory!$B$5:$B$304,MATCH(I1149,Inventory!$A$5:$A$304,0))&amp;"","Not in Inventory"),IFERROR(INDEX(Services!$B$5:$B$204,MATCH(I1149,Services!$A$5:$A$204,0))&amp;"","Not in Services"))))</f>
        <v>0</v>
      </c>
      <c r="V1149" s="26">
        <f>IF(B1149="","",IF(L1149&lt;&gt;"",L1149,IF(H1149="Retail",IFERROR(INDEX(Inventory!$I$5:$I$304,MATCH(I1149,Inventory!$A$5:$A$304,0))*1,0),IFERROR(INDEX(Services!$G$5:$G$204,MATCH(I1149,Services!$A$5:$A$204,0))*1,0))))</f>
        <v>0</v>
      </c>
      <c r="W1149" s="26">
        <f>IF(B1149="","",ROUND(T1149*V1149,2))</f>
        <v>0</v>
      </c>
      <c r="X1149" s="26">
        <f>IF(B1149="","",ROUND(IF(M1149="",0,W1149*M1149)+IF(N1149="",0,N1149),2))</f>
        <v>0</v>
      </c>
      <c r="Y1149" s="26">
        <f>IF(B1149="","",ROUND(W1149-X1149-IF(P1149="",0,P1149),2))</f>
        <v>0</v>
      </c>
      <c r="Z1149" s="26">
        <f>IF(B1149="","",IF(H1149="Retail",IF(TaxOnRetail="Yes",ROUND(Y1149*TaxRate,2),0),IF(H1149="Service",IF(TaxOnServices="Yes",ROUND(Y1149*TaxRate,2),0),0)))</f>
        <v>0</v>
      </c>
      <c r="AA1149" s="26">
        <f>IF(B1149="","",ROUND(Y1149+Z1149,2))</f>
        <v>0</v>
      </c>
      <c r="AB1149" s="26">
        <f>IF(B1149="","",ROUND(T1149*IF(H1149="Retail",IFERROR(INDEX(Inventory!$H$5:$H$304,MATCH(I1149,Inventory!$A$5:$A$304,0))*1,0),IFERROR(INDEX(Services!$Q$5:$Q$204,MATCH(I1149,Services!$A$5:$A$204,0))*1,0)),2))</f>
        <v>0</v>
      </c>
      <c r="AC1149" s="26">
        <f>IF(B1149="","",ROUND(Y1149-AB1149,2))</f>
        <v>0</v>
      </c>
      <c r="AD1149" s="38">
        <f>IF(B1149="","",IF(C1149="","No",IF(COUNTIFS($C$5:C1149,C1149)=1,"Yes","No")))</f>
        <v>0</v>
      </c>
      <c r="AE1149" s="26">
        <f>IF(B1149="","",ROUND(SUMIFS(Payments!$G$5:$G$1204,Payments!$H$5:$H$1204,A1149,Payments!$Q$5:$Q$1204,"Yes"),2))</f>
        <v>0</v>
      </c>
      <c r="AF1149" s="26">
        <f>IF(B1149="","",IF(AD1149="No",0,ROUND(SUMIFS(Payments!$G$5:$G$1204,Payments!$I$5:$I$1204,C1149,Payments!$H$5:$H$1204,"",Payments!$Q$5:$Q$1204,"Yes"),2)))</f>
        <v>0</v>
      </c>
      <c r="AG1149" s="26">
        <f>IF(B1149="","",ROUND(AE1149+AF1149,2))</f>
        <v>0</v>
      </c>
      <c r="AH1149" s="26">
        <f>IF(B1149="","",ROUND(AA1149-AG1149,2))</f>
        <v>0</v>
      </c>
      <c r="AI1149" s="39">
        <f>IF(B1149="","",IF(AA1149&lt;=0,"No charge",IF(AH1149&lt;=0.004,"Paid",IF(AG1149&lt;=0.004,"Unpaid","Part paid"))))</f>
        <v>0</v>
      </c>
      <c r="AJ1149" s="38">
        <f>IF(B1149="","",IF(H1149&lt;&gt;"Service","",IF(D1149="","No",IF(COUNTIFS($D$5:$D$1204,D1149,$B$5:$B$1204,B1149,$H$5:$H$1204,"Retail")&gt;0,"Yes","No"))))</f>
        <v>0</v>
      </c>
      <c r="AK1149" s="25">
        <f>IF(B1149="","",COUNTIFS($Y$5:$Y$1204,"&gt;"&amp;Y1149)+COUNTIFS($Y$5:Y1149,Y1149))</f>
        <v>0</v>
      </c>
      <c r="AL1149" s="39">
        <f>IF(B1149="","",IF(H1149="","Add - what kind of sale is this?",IF(IF(V1149&lt;=0,P1149="",FALSE),"Check - no price found for this item",IF(F1149="","Assign - nobody credited",IF(AH1149&gt;0.004,"Unpaid - balance outstanding",IF(AC1149&lt;0,"Loss - sold below cost",IF(X1149&gt;W1149*0.5,"Check - more than half off","OK")))))))</f>
        <v>0</v>
      </c>
    </row>
    <row r="1150" spans="1:38">
      <c r="A1150" s="28">
        <f>IF(B1150="","",SalePrefix&amp;TEXT(ROW()-4,"0000"))</f>
        <v>0</v>
      </c>
      <c r="E1150" s="15">
        <f>IF(D1150="","",IFERROR(INDEX(Clients!$B$5:$B$504,MATCH(D1150,Clients!$A$5:$A$504,0)),"Walk-in"))</f>
        <v>0</v>
      </c>
      <c r="G1150" s="15">
        <f>IF(F1150="","",IFERROR(INDEX(Staff!$B$5:$B$44,MATCH(F1150,Staff!$A$5:$A$44,0)),"House"))</f>
        <v>0</v>
      </c>
      <c r="R1150" s="15">
        <f>IF(B1150="","",TEXT(B1150,"yyyy-mm"))</f>
        <v>0</v>
      </c>
      <c r="S1150" s="25">
        <f>IF(B1150="","",WEEKNUM(B1150,2))</f>
        <v>0</v>
      </c>
      <c r="T1150" s="37">
        <f>IF(B1150="","",IF(K1150="",1,K1150))</f>
        <v>0</v>
      </c>
      <c r="U1150" s="15">
        <f>IF(B1150="","",IF(J1150&lt;&gt;"",J1150,IF(H1150="Retail",IFERROR(INDEX(Inventory!$B$5:$B$304,MATCH(I1150,Inventory!$A$5:$A$304,0))&amp;"","Not in Inventory"),IFERROR(INDEX(Services!$B$5:$B$204,MATCH(I1150,Services!$A$5:$A$204,0))&amp;"","Not in Services"))))</f>
        <v>0</v>
      </c>
      <c r="V1150" s="26">
        <f>IF(B1150="","",IF(L1150&lt;&gt;"",L1150,IF(H1150="Retail",IFERROR(INDEX(Inventory!$I$5:$I$304,MATCH(I1150,Inventory!$A$5:$A$304,0))*1,0),IFERROR(INDEX(Services!$G$5:$G$204,MATCH(I1150,Services!$A$5:$A$204,0))*1,0))))</f>
        <v>0</v>
      </c>
      <c r="W1150" s="26">
        <f>IF(B1150="","",ROUND(T1150*V1150,2))</f>
        <v>0</v>
      </c>
      <c r="X1150" s="26">
        <f>IF(B1150="","",ROUND(IF(M1150="",0,W1150*M1150)+IF(N1150="",0,N1150),2))</f>
        <v>0</v>
      </c>
      <c r="Y1150" s="26">
        <f>IF(B1150="","",ROUND(W1150-X1150-IF(P1150="",0,P1150),2))</f>
        <v>0</v>
      </c>
      <c r="Z1150" s="26">
        <f>IF(B1150="","",IF(H1150="Retail",IF(TaxOnRetail="Yes",ROUND(Y1150*TaxRate,2),0),IF(H1150="Service",IF(TaxOnServices="Yes",ROUND(Y1150*TaxRate,2),0),0)))</f>
        <v>0</v>
      </c>
      <c r="AA1150" s="26">
        <f>IF(B1150="","",ROUND(Y1150+Z1150,2))</f>
        <v>0</v>
      </c>
      <c r="AB1150" s="26">
        <f>IF(B1150="","",ROUND(T1150*IF(H1150="Retail",IFERROR(INDEX(Inventory!$H$5:$H$304,MATCH(I1150,Inventory!$A$5:$A$304,0))*1,0),IFERROR(INDEX(Services!$Q$5:$Q$204,MATCH(I1150,Services!$A$5:$A$204,0))*1,0)),2))</f>
        <v>0</v>
      </c>
      <c r="AC1150" s="26">
        <f>IF(B1150="","",ROUND(Y1150-AB1150,2))</f>
        <v>0</v>
      </c>
      <c r="AD1150" s="38">
        <f>IF(B1150="","",IF(C1150="","No",IF(COUNTIFS($C$5:C1150,C1150)=1,"Yes","No")))</f>
        <v>0</v>
      </c>
      <c r="AE1150" s="26">
        <f>IF(B1150="","",ROUND(SUMIFS(Payments!$G$5:$G$1204,Payments!$H$5:$H$1204,A1150,Payments!$Q$5:$Q$1204,"Yes"),2))</f>
        <v>0</v>
      </c>
      <c r="AF1150" s="26">
        <f>IF(B1150="","",IF(AD1150="No",0,ROUND(SUMIFS(Payments!$G$5:$G$1204,Payments!$I$5:$I$1204,C1150,Payments!$H$5:$H$1204,"",Payments!$Q$5:$Q$1204,"Yes"),2)))</f>
        <v>0</v>
      </c>
      <c r="AG1150" s="26">
        <f>IF(B1150="","",ROUND(AE1150+AF1150,2))</f>
        <v>0</v>
      </c>
      <c r="AH1150" s="26">
        <f>IF(B1150="","",ROUND(AA1150-AG1150,2))</f>
        <v>0</v>
      </c>
      <c r="AI1150" s="39">
        <f>IF(B1150="","",IF(AA1150&lt;=0,"No charge",IF(AH1150&lt;=0.004,"Paid",IF(AG1150&lt;=0.004,"Unpaid","Part paid"))))</f>
        <v>0</v>
      </c>
      <c r="AJ1150" s="38">
        <f>IF(B1150="","",IF(H1150&lt;&gt;"Service","",IF(D1150="","No",IF(COUNTIFS($D$5:$D$1204,D1150,$B$5:$B$1204,B1150,$H$5:$H$1204,"Retail")&gt;0,"Yes","No"))))</f>
        <v>0</v>
      </c>
      <c r="AK1150" s="25">
        <f>IF(B1150="","",COUNTIFS($Y$5:$Y$1204,"&gt;"&amp;Y1150)+COUNTIFS($Y$5:Y1150,Y1150))</f>
        <v>0</v>
      </c>
      <c r="AL1150" s="39">
        <f>IF(B1150="","",IF(H1150="","Add - what kind of sale is this?",IF(IF(V1150&lt;=0,P1150="",FALSE),"Check - no price found for this item",IF(F1150="","Assign - nobody credited",IF(AH1150&gt;0.004,"Unpaid - balance outstanding",IF(AC1150&lt;0,"Loss - sold below cost",IF(X1150&gt;W1150*0.5,"Check - more than half off","OK")))))))</f>
        <v>0</v>
      </c>
    </row>
    <row r="1151" spans="1:38">
      <c r="A1151" s="28">
        <f>IF(B1151="","",SalePrefix&amp;TEXT(ROW()-4,"0000"))</f>
        <v>0</v>
      </c>
      <c r="E1151" s="15">
        <f>IF(D1151="","",IFERROR(INDEX(Clients!$B$5:$B$504,MATCH(D1151,Clients!$A$5:$A$504,0)),"Walk-in"))</f>
        <v>0</v>
      </c>
      <c r="G1151" s="15">
        <f>IF(F1151="","",IFERROR(INDEX(Staff!$B$5:$B$44,MATCH(F1151,Staff!$A$5:$A$44,0)),"House"))</f>
        <v>0</v>
      </c>
      <c r="R1151" s="15">
        <f>IF(B1151="","",TEXT(B1151,"yyyy-mm"))</f>
        <v>0</v>
      </c>
      <c r="S1151" s="25">
        <f>IF(B1151="","",WEEKNUM(B1151,2))</f>
        <v>0</v>
      </c>
      <c r="T1151" s="37">
        <f>IF(B1151="","",IF(K1151="",1,K1151))</f>
        <v>0</v>
      </c>
      <c r="U1151" s="15">
        <f>IF(B1151="","",IF(J1151&lt;&gt;"",J1151,IF(H1151="Retail",IFERROR(INDEX(Inventory!$B$5:$B$304,MATCH(I1151,Inventory!$A$5:$A$304,0))&amp;"","Not in Inventory"),IFERROR(INDEX(Services!$B$5:$B$204,MATCH(I1151,Services!$A$5:$A$204,0))&amp;"","Not in Services"))))</f>
        <v>0</v>
      </c>
      <c r="V1151" s="26">
        <f>IF(B1151="","",IF(L1151&lt;&gt;"",L1151,IF(H1151="Retail",IFERROR(INDEX(Inventory!$I$5:$I$304,MATCH(I1151,Inventory!$A$5:$A$304,0))*1,0),IFERROR(INDEX(Services!$G$5:$G$204,MATCH(I1151,Services!$A$5:$A$204,0))*1,0))))</f>
        <v>0</v>
      </c>
      <c r="W1151" s="26">
        <f>IF(B1151="","",ROUND(T1151*V1151,2))</f>
        <v>0</v>
      </c>
      <c r="X1151" s="26">
        <f>IF(B1151="","",ROUND(IF(M1151="",0,W1151*M1151)+IF(N1151="",0,N1151),2))</f>
        <v>0</v>
      </c>
      <c r="Y1151" s="26">
        <f>IF(B1151="","",ROUND(W1151-X1151-IF(P1151="",0,P1151),2))</f>
        <v>0</v>
      </c>
      <c r="Z1151" s="26">
        <f>IF(B1151="","",IF(H1151="Retail",IF(TaxOnRetail="Yes",ROUND(Y1151*TaxRate,2),0),IF(H1151="Service",IF(TaxOnServices="Yes",ROUND(Y1151*TaxRate,2),0),0)))</f>
        <v>0</v>
      </c>
      <c r="AA1151" s="26">
        <f>IF(B1151="","",ROUND(Y1151+Z1151,2))</f>
        <v>0</v>
      </c>
      <c r="AB1151" s="26">
        <f>IF(B1151="","",ROUND(T1151*IF(H1151="Retail",IFERROR(INDEX(Inventory!$H$5:$H$304,MATCH(I1151,Inventory!$A$5:$A$304,0))*1,0),IFERROR(INDEX(Services!$Q$5:$Q$204,MATCH(I1151,Services!$A$5:$A$204,0))*1,0)),2))</f>
        <v>0</v>
      </c>
      <c r="AC1151" s="26">
        <f>IF(B1151="","",ROUND(Y1151-AB1151,2))</f>
        <v>0</v>
      </c>
      <c r="AD1151" s="38">
        <f>IF(B1151="","",IF(C1151="","No",IF(COUNTIFS($C$5:C1151,C1151)=1,"Yes","No")))</f>
        <v>0</v>
      </c>
      <c r="AE1151" s="26">
        <f>IF(B1151="","",ROUND(SUMIFS(Payments!$G$5:$G$1204,Payments!$H$5:$H$1204,A1151,Payments!$Q$5:$Q$1204,"Yes"),2))</f>
        <v>0</v>
      </c>
      <c r="AF1151" s="26">
        <f>IF(B1151="","",IF(AD1151="No",0,ROUND(SUMIFS(Payments!$G$5:$G$1204,Payments!$I$5:$I$1204,C1151,Payments!$H$5:$H$1204,"",Payments!$Q$5:$Q$1204,"Yes"),2)))</f>
        <v>0</v>
      </c>
      <c r="AG1151" s="26">
        <f>IF(B1151="","",ROUND(AE1151+AF1151,2))</f>
        <v>0</v>
      </c>
      <c r="AH1151" s="26">
        <f>IF(B1151="","",ROUND(AA1151-AG1151,2))</f>
        <v>0</v>
      </c>
      <c r="AI1151" s="39">
        <f>IF(B1151="","",IF(AA1151&lt;=0,"No charge",IF(AH1151&lt;=0.004,"Paid",IF(AG1151&lt;=0.004,"Unpaid","Part paid"))))</f>
        <v>0</v>
      </c>
      <c r="AJ1151" s="38">
        <f>IF(B1151="","",IF(H1151&lt;&gt;"Service","",IF(D1151="","No",IF(COUNTIFS($D$5:$D$1204,D1151,$B$5:$B$1204,B1151,$H$5:$H$1204,"Retail")&gt;0,"Yes","No"))))</f>
        <v>0</v>
      </c>
      <c r="AK1151" s="25">
        <f>IF(B1151="","",COUNTIFS($Y$5:$Y$1204,"&gt;"&amp;Y1151)+COUNTIFS($Y$5:Y1151,Y1151))</f>
        <v>0</v>
      </c>
      <c r="AL1151" s="39">
        <f>IF(B1151="","",IF(H1151="","Add - what kind of sale is this?",IF(IF(V1151&lt;=0,P1151="",FALSE),"Check - no price found for this item",IF(F1151="","Assign - nobody credited",IF(AH1151&gt;0.004,"Unpaid - balance outstanding",IF(AC1151&lt;0,"Loss - sold below cost",IF(X1151&gt;W1151*0.5,"Check - more than half off","OK")))))))</f>
        <v>0</v>
      </c>
    </row>
    <row r="1152" spans="1:38">
      <c r="A1152" s="28">
        <f>IF(B1152="","",SalePrefix&amp;TEXT(ROW()-4,"0000"))</f>
        <v>0</v>
      </c>
      <c r="E1152" s="15">
        <f>IF(D1152="","",IFERROR(INDEX(Clients!$B$5:$B$504,MATCH(D1152,Clients!$A$5:$A$504,0)),"Walk-in"))</f>
        <v>0</v>
      </c>
      <c r="G1152" s="15">
        <f>IF(F1152="","",IFERROR(INDEX(Staff!$B$5:$B$44,MATCH(F1152,Staff!$A$5:$A$44,0)),"House"))</f>
        <v>0</v>
      </c>
      <c r="R1152" s="15">
        <f>IF(B1152="","",TEXT(B1152,"yyyy-mm"))</f>
        <v>0</v>
      </c>
      <c r="S1152" s="25">
        <f>IF(B1152="","",WEEKNUM(B1152,2))</f>
        <v>0</v>
      </c>
      <c r="T1152" s="37">
        <f>IF(B1152="","",IF(K1152="",1,K1152))</f>
        <v>0</v>
      </c>
      <c r="U1152" s="15">
        <f>IF(B1152="","",IF(J1152&lt;&gt;"",J1152,IF(H1152="Retail",IFERROR(INDEX(Inventory!$B$5:$B$304,MATCH(I1152,Inventory!$A$5:$A$304,0))&amp;"","Not in Inventory"),IFERROR(INDEX(Services!$B$5:$B$204,MATCH(I1152,Services!$A$5:$A$204,0))&amp;"","Not in Services"))))</f>
        <v>0</v>
      </c>
      <c r="V1152" s="26">
        <f>IF(B1152="","",IF(L1152&lt;&gt;"",L1152,IF(H1152="Retail",IFERROR(INDEX(Inventory!$I$5:$I$304,MATCH(I1152,Inventory!$A$5:$A$304,0))*1,0),IFERROR(INDEX(Services!$G$5:$G$204,MATCH(I1152,Services!$A$5:$A$204,0))*1,0))))</f>
        <v>0</v>
      </c>
      <c r="W1152" s="26">
        <f>IF(B1152="","",ROUND(T1152*V1152,2))</f>
        <v>0</v>
      </c>
      <c r="X1152" s="26">
        <f>IF(B1152="","",ROUND(IF(M1152="",0,W1152*M1152)+IF(N1152="",0,N1152),2))</f>
        <v>0</v>
      </c>
      <c r="Y1152" s="26">
        <f>IF(B1152="","",ROUND(W1152-X1152-IF(P1152="",0,P1152),2))</f>
        <v>0</v>
      </c>
      <c r="Z1152" s="26">
        <f>IF(B1152="","",IF(H1152="Retail",IF(TaxOnRetail="Yes",ROUND(Y1152*TaxRate,2),0),IF(H1152="Service",IF(TaxOnServices="Yes",ROUND(Y1152*TaxRate,2),0),0)))</f>
        <v>0</v>
      </c>
      <c r="AA1152" s="26">
        <f>IF(B1152="","",ROUND(Y1152+Z1152,2))</f>
        <v>0</v>
      </c>
      <c r="AB1152" s="26">
        <f>IF(B1152="","",ROUND(T1152*IF(H1152="Retail",IFERROR(INDEX(Inventory!$H$5:$H$304,MATCH(I1152,Inventory!$A$5:$A$304,0))*1,0),IFERROR(INDEX(Services!$Q$5:$Q$204,MATCH(I1152,Services!$A$5:$A$204,0))*1,0)),2))</f>
        <v>0</v>
      </c>
      <c r="AC1152" s="26">
        <f>IF(B1152="","",ROUND(Y1152-AB1152,2))</f>
        <v>0</v>
      </c>
      <c r="AD1152" s="38">
        <f>IF(B1152="","",IF(C1152="","No",IF(COUNTIFS($C$5:C1152,C1152)=1,"Yes","No")))</f>
        <v>0</v>
      </c>
      <c r="AE1152" s="26">
        <f>IF(B1152="","",ROUND(SUMIFS(Payments!$G$5:$G$1204,Payments!$H$5:$H$1204,A1152,Payments!$Q$5:$Q$1204,"Yes"),2))</f>
        <v>0</v>
      </c>
      <c r="AF1152" s="26">
        <f>IF(B1152="","",IF(AD1152="No",0,ROUND(SUMIFS(Payments!$G$5:$G$1204,Payments!$I$5:$I$1204,C1152,Payments!$H$5:$H$1204,"",Payments!$Q$5:$Q$1204,"Yes"),2)))</f>
        <v>0</v>
      </c>
      <c r="AG1152" s="26">
        <f>IF(B1152="","",ROUND(AE1152+AF1152,2))</f>
        <v>0</v>
      </c>
      <c r="AH1152" s="26">
        <f>IF(B1152="","",ROUND(AA1152-AG1152,2))</f>
        <v>0</v>
      </c>
      <c r="AI1152" s="39">
        <f>IF(B1152="","",IF(AA1152&lt;=0,"No charge",IF(AH1152&lt;=0.004,"Paid",IF(AG1152&lt;=0.004,"Unpaid","Part paid"))))</f>
        <v>0</v>
      </c>
      <c r="AJ1152" s="38">
        <f>IF(B1152="","",IF(H1152&lt;&gt;"Service","",IF(D1152="","No",IF(COUNTIFS($D$5:$D$1204,D1152,$B$5:$B$1204,B1152,$H$5:$H$1204,"Retail")&gt;0,"Yes","No"))))</f>
        <v>0</v>
      </c>
      <c r="AK1152" s="25">
        <f>IF(B1152="","",COUNTIFS($Y$5:$Y$1204,"&gt;"&amp;Y1152)+COUNTIFS($Y$5:Y1152,Y1152))</f>
        <v>0</v>
      </c>
      <c r="AL1152" s="39">
        <f>IF(B1152="","",IF(H1152="","Add - what kind of sale is this?",IF(IF(V1152&lt;=0,P1152="",FALSE),"Check - no price found for this item",IF(F1152="","Assign - nobody credited",IF(AH1152&gt;0.004,"Unpaid - balance outstanding",IF(AC1152&lt;0,"Loss - sold below cost",IF(X1152&gt;W1152*0.5,"Check - more than half off","OK")))))))</f>
        <v>0</v>
      </c>
    </row>
    <row r="1153" spans="1:38">
      <c r="A1153" s="28">
        <f>IF(B1153="","",SalePrefix&amp;TEXT(ROW()-4,"0000"))</f>
        <v>0</v>
      </c>
      <c r="E1153" s="15">
        <f>IF(D1153="","",IFERROR(INDEX(Clients!$B$5:$B$504,MATCH(D1153,Clients!$A$5:$A$504,0)),"Walk-in"))</f>
        <v>0</v>
      </c>
      <c r="G1153" s="15">
        <f>IF(F1153="","",IFERROR(INDEX(Staff!$B$5:$B$44,MATCH(F1153,Staff!$A$5:$A$44,0)),"House"))</f>
        <v>0</v>
      </c>
      <c r="R1153" s="15">
        <f>IF(B1153="","",TEXT(B1153,"yyyy-mm"))</f>
        <v>0</v>
      </c>
      <c r="S1153" s="25">
        <f>IF(B1153="","",WEEKNUM(B1153,2))</f>
        <v>0</v>
      </c>
      <c r="T1153" s="37">
        <f>IF(B1153="","",IF(K1153="",1,K1153))</f>
        <v>0</v>
      </c>
      <c r="U1153" s="15">
        <f>IF(B1153="","",IF(J1153&lt;&gt;"",J1153,IF(H1153="Retail",IFERROR(INDEX(Inventory!$B$5:$B$304,MATCH(I1153,Inventory!$A$5:$A$304,0))&amp;"","Not in Inventory"),IFERROR(INDEX(Services!$B$5:$B$204,MATCH(I1153,Services!$A$5:$A$204,0))&amp;"","Not in Services"))))</f>
        <v>0</v>
      </c>
      <c r="V1153" s="26">
        <f>IF(B1153="","",IF(L1153&lt;&gt;"",L1153,IF(H1153="Retail",IFERROR(INDEX(Inventory!$I$5:$I$304,MATCH(I1153,Inventory!$A$5:$A$304,0))*1,0),IFERROR(INDEX(Services!$G$5:$G$204,MATCH(I1153,Services!$A$5:$A$204,0))*1,0))))</f>
        <v>0</v>
      </c>
      <c r="W1153" s="26">
        <f>IF(B1153="","",ROUND(T1153*V1153,2))</f>
        <v>0</v>
      </c>
      <c r="X1153" s="26">
        <f>IF(B1153="","",ROUND(IF(M1153="",0,W1153*M1153)+IF(N1153="",0,N1153),2))</f>
        <v>0</v>
      </c>
      <c r="Y1153" s="26">
        <f>IF(B1153="","",ROUND(W1153-X1153-IF(P1153="",0,P1153),2))</f>
        <v>0</v>
      </c>
      <c r="Z1153" s="26">
        <f>IF(B1153="","",IF(H1153="Retail",IF(TaxOnRetail="Yes",ROUND(Y1153*TaxRate,2),0),IF(H1153="Service",IF(TaxOnServices="Yes",ROUND(Y1153*TaxRate,2),0),0)))</f>
        <v>0</v>
      </c>
      <c r="AA1153" s="26">
        <f>IF(B1153="","",ROUND(Y1153+Z1153,2))</f>
        <v>0</v>
      </c>
      <c r="AB1153" s="26">
        <f>IF(B1153="","",ROUND(T1153*IF(H1153="Retail",IFERROR(INDEX(Inventory!$H$5:$H$304,MATCH(I1153,Inventory!$A$5:$A$304,0))*1,0),IFERROR(INDEX(Services!$Q$5:$Q$204,MATCH(I1153,Services!$A$5:$A$204,0))*1,0)),2))</f>
        <v>0</v>
      </c>
      <c r="AC1153" s="26">
        <f>IF(B1153="","",ROUND(Y1153-AB1153,2))</f>
        <v>0</v>
      </c>
      <c r="AD1153" s="38">
        <f>IF(B1153="","",IF(C1153="","No",IF(COUNTIFS($C$5:C1153,C1153)=1,"Yes","No")))</f>
        <v>0</v>
      </c>
      <c r="AE1153" s="26">
        <f>IF(B1153="","",ROUND(SUMIFS(Payments!$G$5:$G$1204,Payments!$H$5:$H$1204,A1153,Payments!$Q$5:$Q$1204,"Yes"),2))</f>
        <v>0</v>
      </c>
      <c r="AF1153" s="26">
        <f>IF(B1153="","",IF(AD1153="No",0,ROUND(SUMIFS(Payments!$G$5:$G$1204,Payments!$I$5:$I$1204,C1153,Payments!$H$5:$H$1204,"",Payments!$Q$5:$Q$1204,"Yes"),2)))</f>
        <v>0</v>
      </c>
      <c r="AG1153" s="26">
        <f>IF(B1153="","",ROUND(AE1153+AF1153,2))</f>
        <v>0</v>
      </c>
      <c r="AH1153" s="26">
        <f>IF(B1153="","",ROUND(AA1153-AG1153,2))</f>
        <v>0</v>
      </c>
      <c r="AI1153" s="39">
        <f>IF(B1153="","",IF(AA1153&lt;=0,"No charge",IF(AH1153&lt;=0.004,"Paid",IF(AG1153&lt;=0.004,"Unpaid","Part paid"))))</f>
        <v>0</v>
      </c>
      <c r="AJ1153" s="38">
        <f>IF(B1153="","",IF(H1153&lt;&gt;"Service","",IF(D1153="","No",IF(COUNTIFS($D$5:$D$1204,D1153,$B$5:$B$1204,B1153,$H$5:$H$1204,"Retail")&gt;0,"Yes","No"))))</f>
        <v>0</v>
      </c>
      <c r="AK1153" s="25">
        <f>IF(B1153="","",COUNTIFS($Y$5:$Y$1204,"&gt;"&amp;Y1153)+COUNTIFS($Y$5:Y1153,Y1153))</f>
        <v>0</v>
      </c>
      <c r="AL1153" s="39">
        <f>IF(B1153="","",IF(H1153="","Add - what kind of sale is this?",IF(IF(V1153&lt;=0,P1153="",FALSE),"Check - no price found for this item",IF(F1153="","Assign - nobody credited",IF(AH1153&gt;0.004,"Unpaid - balance outstanding",IF(AC1153&lt;0,"Loss - sold below cost",IF(X1153&gt;W1153*0.5,"Check - more than half off","OK")))))))</f>
        <v>0</v>
      </c>
    </row>
    <row r="1154" spans="1:38">
      <c r="A1154" s="28">
        <f>IF(B1154="","",SalePrefix&amp;TEXT(ROW()-4,"0000"))</f>
        <v>0</v>
      </c>
      <c r="E1154" s="15">
        <f>IF(D1154="","",IFERROR(INDEX(Clients!$B$5:$B$504,MATCH(D1154,Clients!$A$5:$A$504,0)),"Walk-in"))</f>
        <v>0</v>
      </c>
      <c r="G1154" s="15">
        <f>IF(F1154="","",IFERROR(INDEX(Staff!$B$5:$B$44,MATCH(F1154,Staff!$A$5:$A$44,0)),"House"))</f>
        <v>0</v>
      </c>
      <c r="R1154" s="15">
        <f>IF(B1154="","",TEXT(B1154,"yyyy-mm"))</f>
        <v>0</v>
      </c>
      <c r="S1154" s="25">
        <f>IF(B1154="","",WEEKNUM(B1154,2))</f>
        <v>0</v>
      </c>
      <c r="T1154" s="37">
        <f>IF(B1154="","",IF(K1154="",1,K1154))</f>
        <v>0</v>
      </c>
      <c r="U1154" s="15">
        <f>IF(B1154="","",IF(J1154&lt;&gt;"",J1154,IF(H1154="Retail",IFERROR(INDEX(Inventory!$B$5:$B$304,MATCH(I1154,Inventory!$A$5:$A$304,0))&amp;"","Not in Inventory"),IFERROR(INDEX(Services!$B$5:$B$204,MATCH(I1154,Services!$A$5:$A$204,0))&amp;"","Not in Services"))))</f>
        <v>0</v>
      </c>
      <c r="V1154" s="26">
        <f>IF(B1154="","",IF(L1154&lt;&gt;"",L1154,IF(H1154="Retail",IFERROR(INDEX(Inventory!$I$5:$I$304,MATCH(I1154,Inventory!$A$5:$A$304,0))*1,0),IFERROR(INDEX(Services!$G$5:$G$204,MATCH(I1154,Services!$A$5:$A$204,0))*1,0))))</f>
        <v>0</v>
      </c>
      <c r="W1154" s="26">
        <f>IF(B1154="","",ROUND(T1154*V1154,2))</f>
        <v>0</v>
      </c>
      <c r="X1154" s="26">
        <f>IF(B1154="","",ROUND(IF(M1154="",0,W1154*M1154)+IF(N1154="",0,N1154),2))</f>
        <v>0</v>
      </c>
      <c r="Y1154" s="26">
        <f>IF(B1154="","",ROUND(W1154-X1154-IF(P1154="",0,P1154),2))</f>
        <v>0</v>
      </c>
      <c r="Z1154" s="26">
        <f>IF(B1154="","",IF(H1154="Retail",IF(TaxOnRetail="Yes",ROUND(Y1154*TaxRate,2),0),IF(H1154="Service",IF(TaxOnServices="Yes",ROUND(Y1154*TaxRate,2),0),0)))</f>
        <v>0</v>
      </c>
      <c r="AA1154" s="26">
        <f>IF(B1154="","",ROUND(Y1154+Z1154,2))</f>
        <v>0</v>
      </c>
      <c r="AB1154" s="26">
        <f>IF(B1154="","",ROUND(T1154*IF(H1154="Retail",IFERROR(INDEX(Inventory!$H$5:$H$304,MATCH(I1154,Inventory!$A$5:$A$304,0))*1,0),IFERROR(INDEX(Services!$Q$5:$Q$204,MATCH(I1154,Services!$A$5:$A$204,0))*1,0)),2))</f>
        <v>0</v>
      </c>
      <c r="AC1154" s="26">
        <f>IF(B1154="","",ROUND(Y1154-AB1154,2))</f>
        <v>0</v>
      </c>
      <c r="AD1154" s="38">
        <f>IF(B1154="","",IF(C1154="","No",IF(COUNTIFS($C$5:C1154,C1154)=1,"Yes","No")))</f>
        <v>0</v>
      </c>
      <c r="AE1154" s="26">
        <f>IF(B1154="","",ROUND(SUMIFS(Payments!$G$5:$G$1204,Payments!$H$5:$H$1204,A1154,Payments!$Q$5:$Q$1204,"Yes"),2))</f>
        <v>0</v>
      </c>
      <c r="AF1154" s="26">
        <f>IF(B1154="","",IF(AD1154="No",0,ROUND(SUMIFS(Payments!$G$5:$G$1204,Payments!$I$5:$I$1204,C1154,Payments!$H$5:$H$1204,"",Payments!$Q$5:$Q$1204,"Yes"),2)))</f>
        <v>0</v>
      </c>
      <c r="AG1154" s="26">
        <f>IF(B1154="","",ROUND(AE1154+AF1154,2))</f>
        <v>0</v>
      </c>
      <c r="AH1154" s="26">
        <f>IF(B1154="","",ROUND(AA1154-AG1154,2))</f>
        <v>0</v>
      </c>
      <c r="AI1154" s="39">
        <f>IF(B1154="","",IF(AA1154&lt;=0,"No charge",IF(AH1154&lt;=0.004,"Paid",IF(AG1154&lt;=0.004,"Unpaid","Part paid"))))</f>
        <v>0</v>
      </c>
      <c r="AJ1154" s="38">
        <f>IF(B1154="","",IF(H1154&lt;&gt;"Service","",IF(D1154="","No",IF(COUNTIFS($D$5:$D$1204,D1154,$B$5:$B$1204,B1154,$H$5:$H$1204,"Retail")&gt;0,"Yes","No"))))</f>
        <v>0</v>
      </c>
      <c r="AK1154" s="25">
        <f>IF(B1154="","",COUNTIFS($Y$5:$Y$1204,"&gt;"&amp;Y1154)+COUNTIFS($Y$5:Y1154,Y1154))</f>
        <v>0</v>
      </c>
      <c r="AL1154" s="39">
        <f>IF(B1154="","",IF(H1154="","Add - what kind of sale is this?",IF(IF(V1154&lt;=0,P1154="",FALSE),"Check - no price found for this item",IF(F1154="","Assign - nobody credited",IF(AH1154&gt;0.004,"Unpaid - balance outstanding",IF(AC1154&lt;0,"Loss - sold below cost",IF(X1154&gt;W1154*0.5,"Check - more than half off","OK")))))))</f>
        <v>0</v>
      </c>
    </row>
    <row r="1155" spans="1:38">
      <c r="A1155" s="28">
        <f>IF(B1155="","",SalePrefix&amp;TEXT(ROW()-4,"0000"))</f>
        <v>0</v>
      </c>
      <c r="E1155" s="15">
        <f>IF(D1155="","",IFERROR(INDEX(Clients!$B$5:$B$504,MATCH(D1155,Clients!$A$5:$A$504,0)),"Walk-in"))</f>
        <v>0</v>
      </c>
      <c r="G1155" s="15">
        <f>IF(F1155="","",IFERROR(INDEX(Staff!$B$5:$B$44,MATCH(F1155,Staff!$A$5:$A$44,0)),"House"))</f>
        <v>0</v>
      </c>
      <c r="R1155" s="15">
        <f>IF(B1155="","",TEXT(B1155,"yyyy-mm"))</f>
        <v>0</v>
      </c>
      <c r="S1155" s="25">
        <f>IF(B1155="","",WEEKNUM(B1155,2))</f>
        <v>0</v>
      </c>
      <c r="T1155" s="37">
        <f>IF(B1155="","",IF(K1155="",1,K1155))</f>
        <v>0</v>
      </c>
      <c r="U1155" s="15">
        <f>IF(B1155="","",IF(J1155&lt;&gt;"",J1155,IF(H1155="Retail",IFERROR(INDEX(Inventory!$B$5:$B$304,MATCH(I1155,Inventory!$A$5:$A$304,0))&amp;"","Not in Inventory"),IFERROR(INDEX(Services!$B$5:$B$204,MATCH(I1155,Services!$A$5:$A$204,0))&amp;"","Not in Services"))))</f>
        <v>0</v>
      </c>
      <c r="V1155" s="26">
        <f>IF(B1155="","",IF(L1155&lt;&gt;"",L1155,IF(H1155="Retail",IFERROR(INDEX(Inventory!$I$5:$I$304,MATCH(I1155,Inventory!$A$5:$A$304,0))*1,0),IFERROR(INDEX(Services!$G$5:$G$204,MATCH(I1155,Services!$A$5:$A$204,0))*1,0))))</f>
        <v>0</v>
      </c>
      <c r="W1155" s="26">
        <f>IF(B1155="","",ROUND(T1155*V1155,2))</f>
        <v>0</v>
      </c>
      <c r="X1155" s="26">
        <f>IF(B1155="","",ROUND(IF(M1155="",0,W1155*M1155)+IF(N1155="",0,N1155),2))</f>
        <v>0</v>
      </c>
      <c r="Y1155" s="26">
        <f>IF(B1155="","",ROUND(W1155-X1155-IF(P1155="",0,P1155),2))</f>
        <v>0</v>
      </c>
      <c r="Z1155" s="26">
        <f>IF(B1155="","",IF(H1155="Retail",IF(TaxOnRetail="Yes",ROUND(Y1155*TaxRate,2),0),IF(H1155="Service",IF(TaxOnServices="Yes",ROUND(Y1155*TaxRate,2),0),0)))</f>
        <v>0</v>
      </c>
      <c r="AA1155" s="26">
        <f>IF(B1155="","",ROUND(Y1155+Z1155,2))</f>
        <v>0</v>
      </c>
      <c r="AB1155" s="26">
        <f>IF(B1155="","",ROUND(T1155*IF(H1155="Retail",IFERROR(INDEX(Inventory!$H$5:$H$304,MATCH(I1155,Inventory!$A$5:$A$304,0))*1,0),IFERROR(INDEX(Services!$Q$5:$Q$204,MATCH(I1155,Services!$A$5:$A$204,0))*1,0)),2))</f>
        <v>0</v>
      </c>
      <c r="AC1155" s="26">
        <f>IF(B1155="","",ROUND(Y1155-AB1155,2))</f>
        <v>0</v>
      </c>
      <c r="AD1155" s="38">
        <f>IF(B1155="","",IF(C1155="","No",IF(COUNTIFS($C$5:C1155,C1155)=1,"Yes","No")))</f>
        <v>0</v>
      </c>
      <c r="AE1155" s="26">
        <f>IF(B1155="","",ROUND(SUMIFS(Payments!$G$5:$G$1204,Payments!$H$5:$H$1204,A1155,Payments!$Q$5:$Q$1204,"Yes"),2))</f>
        <v>0</v>
      </c>
      <c r="AF1155" s="26">
        <f>IF(B1155="","",IF(AD1155="No",0,ROUND(SUMIFS(Payments!$G$5:$G$1204,Payments!$I$5:$I$1204,C1155,Payments!$H$5:$H$1204,"",Payments!$Q$5:$Q$1204,"Yes"),2)))</f>
        <v>0</v>
      </c>
      <c r="AG1155" s="26">
        <f>IF(B1155="","",ROUND(AE1155+AF1155,2))</f>
        <v>0</v>
      </c>
      <c r="AH1155" s="26">
        <f>IF(B1155="","",ROUND(AA1155-AG1155,2))</f>
        <v>0</v>
      </c>
      <c r="AI1155" s="39">
        <f>IF(B1155="","",IF(AA1155&lt;=0,"No charge",IF(AH1155&lt;=0.004,"Paid",IF(AG1155&lt;=0.004,"Unpaid","Part paid"))))</f>
        <v>0</v>
      </c>
      <c r="AJ1155" s="38">
        <f>IF(B1155="","",IF(H1155&lt;&gt;"Service","",IF(D1155="","No",IF(COUNTIFS($D$5:$D$1204,D1155,$B$5:$B$1204,B1155,$H$5:$H$1204,"Retail")&gt;0,"Yes","No"))))</f>
        <v>0</v>
      </c>
      <c r="AK1155" s="25">
        <f>IF(B1155="","",COUNTIFS($Y$5:$Y$1204,"&gt;"&amp;Y1155)+COUNTIFS($Y$5:Y1155,Y1155))</f>
        <v>0</v>
      </c>
      <c r="AL1155" s="39">
        <f>IF(B1155="","",IF(H1155="","Add - what kind of sale is this?",IF(IF(V1155&lt;=0,P1155="",FALSE),"Check - no price found for this item",IF(F1155="","Assign - nobody credited",IF(AH1155&gt;0.004,"Unpaid - balance outstanding",IF(AC1155&lt;0,"Loss - sold below cost",IF(X1155&gt;W1155*0.5,"Check - more than half off","OK")))))))</f>
        <v>0</v>
      </c>
    </row>
    <row r="1156" spans="1:38">
      <c r="A1156" s="28">
        <f>IF(B1156="","",SalePrefix&amp;TEXT(ROW()-4,"0000"))</f>
        <v>0</v>
      </c>
      <c r="E1156" s="15">
        <f>IF(D1156="","",IFERROR(INDEX(Clients!$B$5:$B$504,MATCH(D1156,Clients!$A$5:$A$504,0)),"Walk-in"))</f>
        <v>0</v>
      </c>
      <c r="G1156" s="15">
        <f>IF(F1156="","",IFERROR(INDEX(Staff!$B$5:$B$44,MATCH(F1156,Staff!$A$5:$A$44,0)),"House"))</f>
        <v>0</v>
      </c>
      <c r="R1156" s="15">
        <f>IF(B1156="","",TEXT(B1156,"yyyy-mm"))</f>
        <v>0</v>
      </c>
      <c r="S1156" s="25">
        <f>IF(B1156="","",WEEKNUM(B1156,2))</f>
        <v>0</v>
      </c>
      <c r="T1156" s="37">
        <f>IF(B1156="","",IF(K1156="",1,K1156))</f>
        <v>0</v>
      </c>
      <c r="U1156" s="15">
        <f>IF(B1156="","",IF(J1156&lt;&gt;"",J1156,IF(H1156="Retail",IFERROR(INDEX(Inventory!$B$5:$B$304,MATCH(I1156,Inventory!$A$5:$A$304,0))&amp;"","Not in Inventory"),IFERROR(INDEX(Services!$B$5:$B$204,MATCH(I1156,Services!$A$5:$A$204,0))&amp;"","Not in Services"))))</f>
        <v>0</v>
      </c>
      <c r="V1156" s="26">
        <f>IF(B1156="","",IF(L1156&lt;&gt;"",L1156,IF(H1156="Retail",IFERROR(INDEX(Inventory!$I$5:$I$304,MATCH(I1156,Inventory!$A$5:$A$304,0))*1,0),IFERROR(INDEX(Services!$G$5:$G$204,MATCH(I1156,Services!$A$5:$A$204,0))*1,0))))</f>
        <v>0</v>
      </c>
      <c r="W1156" s="26">
        <f>IF(B1156="","",ROUND(T1156*V1156,2))</f>
        <v>0</v>
      </c>
      <c r="X1156" s="26">
        <f>IF(B1156="","",ROUND(IF(M1156="",0,W1156*M1156)+IF(N1156="",0,N1156),2))</f>
        <v>0</v>
      </c>
      <c r="Y1156" s="26">
        <f>IF(B1156="","",ROUND(W1156-X1156-IF(P1156="",0,P1156),2))</f>
        <v>0</v>
      </c>
      <c r="Z1156" s="26">
        <f>IF(B1156="","",IF(H1156="Retail",IF(TaxOnRetail="Yes",ROUND(Y1156*TaxRate,2),0),IF(H1156="Service",IF(TaxOnServices="Yes",ROUND(Y1156*TaxRate,2),0),0)))</f>
        <v>0</v>
      </c>
      <c r="AA1156" s="26">
        <f>IF(B1156="","",ROUND(Y1156+Z1156,2))</f>
        <v>0</v>
      </c>
      <c r="AB1156" s="26">
        <f>IF(B1156="","",ROUND(T1156*IF(H1156="Retail",IFERROR(INDEX(Inventory!$H$5:$H$304,MATCH(I1156,Inventory!$A$5:$A$304,0))*1,0),IFERROR(INDEX(Services!$Q$5:$Q$204,MATCH(I1156,Services!$A$5:$A$204,0))*1,0)),2))</f>
        <v>0</v>
      </c>
      <c r="AC1156" s="26">
        <f>IF(B1156="","",ROUND(Y1156-AB1156,2))</f>
        <v>0</v>
      </c>
      <c r="AD1156" s="38">
        <f>IF(B1156="","",IF(C1156="","No",IF(COUNTIFS($C$5:C1156,C1156)=1,"Yes","No")))</f>
        <v>0</v>
      </c>
      <c r="AE1156" s="26">
        <f>IF(B1156="","",ROUND(SUMIFS(Payments!$G$5:$G$1204,Payments!$H$5:$H$1204,A1156,Payments!$Q$5:$Q$1204,"Yes"),2))</f>
        <v>0</v>
      </c>
      <c r="AF1156" s="26">
        <f>IF(B1156="","",IF(AD1156="No",0,ROUND(SUMIFS(Payments!$G$5:$G$1204,Payments!$I$5:$I$1204,C1156,Payments!$H$5:$H$1204,"",Payments!$Q$5:$Q$1204,"Yes"),2)))</f>
        <v>0</v>
      </c>
      <c r="AG1156" s="26">
        <f>IF(B1156="","",ROUND(AE1156+AF1156,2))</f>
        <v>0</v>
      </c>
      <c r="AH1156" s="26">
        <f>IF(B1156="","",ROUND(AA1156-AG1156,2))</f>
        <v>0</v>
      </c>
      <c r="AI1156" s="39">
        <f>IF(B1156="","",IF(AA1156&lt;=0,"No charge",IF(AH1156&lt;=0.004,"Paid",IF(AG1156&lt;=0.004,"Unpaid","Part paid"))))</f>
        <v>0</v>
      </c>
      <c r="AJ1156" s="38">
        <f>IF(B1156="","",IF(H1156&lt;&gt;"Service","",IF(D1156="","No",IF(COUNTIFS($D$5:$D$1204,D1156,$B$5:$B$1204,B1156,$H$5:$H$1204,"Retail")&gt;0,"Yes","No"))))</f>
        <v>0</v>
      </c>
      <c r="AK1156" s="25">
        <f>IF(B1156="","",COUNTIFS($Y$5:$Y$1204,"&gt;"&amp;Y1156)+COUNTIFS($Y$5:Y1156,Y1156))</f>
        <v>0</v>
      </c>
      <c r="AL1156" s="39">
        <f>IF(B1156="","",IF(H1156="","Add - what kind of sale is this?",IF(IF(V1156&lt;=0,P1156="",FALSE),"Check - no price found for this item",IF(F1156="","Assign - nobody credited",IF(AH1156&gt;0.004,"Unpaid - balance outstanding",IF(AC1156&lt;0,"Loss - sold below cost",IF(X1156&gt;W1156*0.5,"Check - more than half off","OK")))))))</f>
        <v>0</v>
      </c>
    </row>
    <row r="1157" spans="1:38">
      <c r="A1157" s="28">
        <f>IF(B1157="","",SalePrefix&amp;TEXT(ROW()-4,"0000"))</f>
        <v>0</v>
      </c>
      <c r="E1157" s="15">
        <f>IF(D1157="","",IFERROR(INDEX(Clients!$B$5:$B$504,MATCH(D1157,Clients!$A$5:$A$504,0)),"Walk-in"))</f>
        <v>0</v>
      </c>
      <c r="G1157" s="15">
        <f>IF(F1157="","",IFERROR(INDEX(Staff!$B$5:$B$44,MATCH(F1157,Staff!$A$5:$A$44,0)),"House"))</f>
        <v>0</v>
      </c>
      <c r="R1157" s="15">
        <f>IF(B1157="","",TEXT(B1157,"yyyy-mm"))</f>
        <v>0</v>
      </c>
      <c r="S1157" s="25">
        <f>IF(B1157="","",WEEKNUM(B1157,2))</f>
        <v>0</v>
      </c>
      <c r="T1157" s="37">
        <f>IF(B1157="","",IF(K1157="",1,K1157))</f>
        <v>0</v>
      </c>
      <c r="U1157" s="15">
        <f>IF(B1157="","",IF(J1157&lt;&gt;"",J1157,IF(H1157="Retail",IFERROR(INDEX(Inventory!$B$5:$B$304,MATCH(I1157,Inventory!$A$5:$A$304,0))&amp;"","Not in Inventory"),IFERROR(INDEX(Services!$B$5:$B$204,MATCH(I1157,Services!$A$5:$A$204,0))&amp;"","Not in Services"))))</f>
        <v>0</v>
      </c>
      <c r="V1157" s="26">
        <f>IF(B1157="","",IF(L1157&lt;&gt;"",L1157,IF(H1157="Retail",IFERROR(INDEX(Inventory!$I$5:$I$304,MATCH(I1157,Inventory!$A$5:$A$304,0))*1,0),IFERROR(INDEX(Services!$G$5:$G$204,MATCH(I1157,Services!$A$5:$A$204,0))*1,0))))</f>
        <v>0</v>
      </c>
      <c r="W1157" s="26">
        <f>IF(B1157="","",ROUND(T1157*V1157,2))</f>
        <v>0</v>
      </c>
      <c r="X1157" s="26">
        <f>IF(B1157="","",ROUND(IF(M1157="",0,W1157*M1157)+IF(N1157="",0,N1157),2))</f>
        <v>0</v>
      </c>
      <c r="Y1157" s="26">
        <f>IF(B1157="","",ROUND(W1157-X1157-IF(P1157="",0,P1157),2))</f>
        <v>0</v>
      </c>
      <c r="Z1157" s="26">
        <f>IF(B1157="","",IF(H1157="Retail",IF(TaxOnRetail="Yes",ROUND(Y1157*TaxRate,2),0),IF(H1157="Service",IF(TaxOnServices="Yes",ROUND(Y1157*TaxRate,2),0),0)))</f>
        <v>0</v>
      </c>
      <c r="AA1157" s="26">
        <f>IF(B1157="","",ROUND(Y1157+Z1157,2))</f>
        <v>0</v>
      </c>
      <c r="AB1157" s="26">
        <f>IF(B1157="","",ROUND(T1157*IF(H1157="Retail",IFERROR(INDEX(Inventory!$H$5:$H$304,MATCH(I1157,Inventory!$A$5:$A$304,0))*1,0),IFERROR(INDEX(Services!$Q$5:$Q$204,MATCH(I1157,Services!$A$5:$A$204,0))*1,0)),2))</f>
        <v>0</v>
      </c>
      <c r="AC1157" s="26">
        <f>IF(B1157="","",ROUND(Y1157-AB1157,2))</f>
        <v>0</v>
      </c>
      <c r="AD1157" s="38">
        <f>IF(B1157="","",IF(C1157="","No",IF(COUNTIFS($C$5:C1157,C1157)=1,"Yes","No")))</f>
        <v>0</v>
      </c>
      <c r="AE1157" s="26">
        <f>IF(B1157="","",ROUND(SUMIFS(Payments!$G$5:$G$1204,Payments!$H$5:$H$1204,A1157,Payments!$Q$5:$Q$1204,"Yes"),2))</f>
        <v>0</v>
      </c>
      <c r="AF1157" s="26">
        <f>IF(B1157="","",IF(AD1157="No",0,ROUND(SUMIFS(Payments!$G$5:$G$1204,Payments!$I$5:$I$1204,C1157,Payments!$H$5:$H$1204,"",Payments!$Q$5:$Q$1204,"Yes"),2)))</f>
        <v>0</v>
      </c>
      <c r="AG1157" s="26">
        <f>IF(B1157="","",ROUND(AE1157+AF1157,2))</f>
        <v>0</v>
      </c>
      <c r="AH1157" s="26">
        <f>IF(B1157="","",ROUND(AA1157-AG1157,2))</f>
        <v>0</v>
      </c>
      <c r="AI1157" s="39">
        <f>IF(B1157="","",IF(AA1157&lt;=0,"No charge",IF(AH1157&lt;=0.004,"Paid",IF(AG1157&lt;=0.004,"Unpaid","Part paid"))))</f>
        <v>0</v>
      </c>
      <c r="AJ1157" s="38">
        <f>IF(B1157="","",IF(H1157&lt;&gt;"Service","",IF(D1157="","No",IF(COUNTIFS($D$5:$D$1204,D1157,$B$5:$B$1204,B1157,$H$5:$H$1204,"Retail")&gt;0,"Yes","No"))))</f>
        <v>0</v>
      </c>
      <c r="AK1157" s="25">
        <f>IF(B1157="","",COUNTIFS($Y$5:$Y$1204,"&gt;"&amp;Y1157)+COUNTIFS($Y$5:Y1157,Y1157))</f>
        <v>0</v>
      </c>
      <c r="AL1157" s="39">
        <f>IF(B1157="","",IF(H1157="","Add - what kind of sale is this?",IF(IF(V1157&lt;=0,P1157="",FALSE),"Check - no price found for this item",IF(F1157="","Assign - nobody credited",IF(AH1157&gt;0.004,"Unpaid - balance outstanding",IF(AC1157&lt;0,"Loss - sold below cost",IF(X1157&gt;W1157*0.5,"Check - more than half off","OK")))))))</f>
        <v>0</v>
      </c>
    </row>
    <row r="1158" spans="1:38">
      <c r="A1158" s="28">
        <f>IF(B1158="","",SalePrefix&amp;TEXT(ROW()-4,"0000"))</f>
        <v>0</v>
      </c>
      <c r="E1158" s="15">
        <f>IF(D1158="","",IFERROR(INDEX(Clients!$B$5:$B$504,MATCH(D1158,Clients!$A$5:$A$504,0)),"Walk-in"))</f>
        <v>0</v>
      </c>
      <c r="G1158" s="15">
        <f>IF(F1158="","",IFERROR(INDEX(Staff!$B$5:$B$44,MATCH(F1158,Staff!$A$5:$A$44,0)),"House"))</f>
        <v>0</v>
      </c>
      <c r="R1158" s="15">
        <f>IF(B1158="","",TEXT(B1158,"yyyy-mm"))</f>
        <v>0</v>
      </c>
      <c r="S1158" s="25">
        <f>IF(B1158="","",WEEKNUM(B1158,2))</f>
        <v>0</v>
      </c>
      <c r="T1158" s="37">
        <f>IF(B1158="","",IF(K1158="",1,K1158))</f>
        <v>0</v>
      </c>
      <c r="U1158" s="15">
        <f>IF(B1158="","",IF(J1158&lt;&gt;"",J1158,IF(H1158="Retail",IFERROR(INDEX(Inventory!$B$5:$B$304,MATCH(I1158,Inventory!$A$5:$A$304,0))&amp;"","Not in Inventory"),IFERROR(INDEX(Services!$B$5:$B$204,MATCH(I1158,Services!$A$5:$A$204,0))&amp;"","Not in Services"))))</f>
        <v>0</v>
      </c>
      <c r="V1158" s="26">
        <f>IF(B1158="","",IF(L1158&lt;&gt;"",L1158,IF(H1158="Retail",IFERROR(INDEX(Inventory!$I$5:$I$304,MATCH(I1158,Inventory!$A$5:$A$304,0))*1,0),IFERROR(INDEX(Services!$G$5:$G$204,MATCH(I1158,Services!$A$5:$A$204,0))*1,0))))</f>
        <v>0</v>
      </c>
      <c r="W1158" s="26">
        <f>IF(B1158="","",ROUND(T1158*V1158,2))</f>
        <v>0</v>
      </c>
      <c r="X1158" s="26">
        <f>IF(B1158="","",ROUND(IF(M1158="",0,W1158*M1158)+IF(N1158="",0,N1158),2))</f>
        <v>0</v>
      </c>
      <c r="Y1158" s="26">
        <f>IF(B1158="","",ROUND(W1158-X1158-IF(P1158="",0,P1158),2))</f>
        <v>0</v>
      </c>
      <c r="Z1158" s="26">
        <f>IF(B1158="","",IF(H1158="Retail",IF(TaxOnRetail="Yes",ROUND(Y1158*TaxRate,2),0),IF(H1158="Service",IF(TaxOnServices="Yes",ROUND(Y1158*TaxRate,2),0),0)))</f>
        <v>0</v>
      </c>
      <c r="AA1158" s="26">
        <f>IF(B1158="","",ROUND(Y1158+Z1158,2))</f>
        <v>0</v>
      </c>
      <c r="AB1158" s="26">
        <f>IF(B1158="","",ROUND(T1158*IF(H1158="Retail",IFERROR(INDEX(Inventory!$H$5:$H$304,MATCH(I1158,Inventory!$A$5:$A$304,0))*1,0),IFERROR(INDEX(Services!$Q$5:$Q$204,MATCH(I1158,Services!$A$5:$A$204,0))*1,0)),2))</f>
        <v>0</v>
      </c>
      <c r="AC1158" s="26">
        <f>IF(B1158="","",ROUND(Y1158-AB1158,2))</f>
        <v>0</v>
      </c>
      <c r="AD1158" s="38">
        <f>IF(B1158="","",IF(C1158="","No",IF(COUNTIFS($C$5:C1158,C1158)=1,"Yes","No")))</f>
        <v>0</v>
      </c>
      <c r="AE1158" s="26">
        <f>IF(B1158="","",ROUND(SUMIFS(Payments!$G$5:$G$1204,Payments!$H$5:$H$1204,A1158,Payments!$Q$5:$Q$1204,"Yes"),2))</f>
        <v>0</v>
      </c>
      <c r="AF1158" s="26">
        <f>IF(B1158="","",IF(AD1158="No",0,ROUND(SUMIFS(Payments!$G$5:$G$1204,Payments!$I$5:$I$1204,C1158,Payments!$H$5:$H$1204,"",Payments!$Q$5:$Q$1204,"Yes"),2)))</f>
        <v>0</v>
      </c>
      <c r="AG1158" s="26">
        <f>IF(B1158="","",ROUND(AE1158+AF1158,2))</f>
        <v>0</v>
      </c>
      <c r="AH1158" s="26">
        <f>IF(B1158="","",ROUND(AA1158-AG1158,2))</f>
        <v>0</v>
      </c>
      <c r="AI1158" s="39">
        <f>IF(B1158="","",IF(AA1158&lt;=0,"No charge",IF(AH1158&lt;=0.004,"Paid",IF(AG1158&lt;=0.004,"Unpaid","Part paid"))))</f>
        <v>0</v>
      </c>
      <c r="AJ1158" s="38">
        <f>IF(B1158="","",IF(H1158&lt;&gt;"Service","",IF(D1158="","No",IF(COUNTIFS($D$5:$D$1204,D1158,$B$5:$B$1204,B1158,$H$5:$H$1204,"Retail")&gt;0,"Yes","No"))))</f>
        <v>0</v>
      </c>
      <c r="AK1158" s="25">
        <f>IF(B1158="","",COUNTIFS($Y$5:$Y$1204,"&gt;"&amp;Y1158)+COUNTIFS($Y$5:Y1158,Y1158))</f>
        <v>0</v>
      </c>
      <c r="AL1158" s="39">
        <f>IF(B1158="","",IF(H1158="","Add - what kind of sale is this?",IF(IF(V1158&lt;=0,P1158="",FALSE),"Check - no price found for this item",IF(F1158="","Assign - nobody credited",IF(AH1158&gt;0.004,"Unpaid - balance outstanding",IF(AC1158&lt;0,"Loss - sold below cost",IF(X1158&gt;W1158*0.5,"Check - more than half off","OK")))))))</f>
        <v>0</v>
      </c>
    </row>
    <row r="1159" spans="1:38">
      <c r="A1159" s="28">
        <f>IF(B1159="","",SalePrefix&amp;TEXT(ROW()-4,"0000"))</f>
        <v>0</v>
      </c>
      <c r="E1159" s="15">
        <f>IF(D1159="","",IFERROR(INDEX(Clients!$B$5:$B$504,MATCH(D1159,Clients!$A$5:$A$504,0)),"Walk-in"))</f>
        <v>0</v>
      </c>
      <c r="G1159" s="15">
        <f>IF(F1159="","",IFERROR(INDEX(Staff!$B$5:$B$44,MATCH(F1159,Staff!$A$5:$A$44,0)),"House"))</f>
        <v>0</v>
      </c>
      <c r="R1159" s="15">
        <f>IF(B1159="","",TEXT(B1159,"yyyy-mm"))</f>
        <v>0</v>
      </c>
      <c r="S1159" s="25">
        <f>IF(B1159="","",WEEKNUM(B1159,2))</f>
        <v>0</v>
      </c>
      <c r="T1159" s="37">
        <f>IF(B1159="","",IF(K1159="",1,K1159))</f>
        <v>0</v>
      </c>
      <c r="U1159" s="15">
        <f>IF(B1159="","",IF(J1159&lt;&gt;"",J1159,IF(H1159="Retail",IFERROR(INDEX(Inventory!$B$5:$B$304,MATCH(I1159,Inventory!$A$5:$A$304,0))&amp;"","Not in Inventory"),IFERROR(INDEX(Services!$B$5:$B$204,MATCH(I1159,Services!$A$5:$A$204,0))&amp;"","Not in Services"))))</f>
        <v>0</v>
      </c>
      <c r="V1159" s="26">
        <f>IF(B1159="","",IF(L1159&lt;&gt;"",L1159,IF(H1159="Retail",IFERROR(INDEX(Inventory!$I$5:$I$304,MATCH(I1159,Inventory!$A$5:$A$304,0))*1,0),IFERROR(INDEX(Services!$G$5:$G$204,MATCH(I1159,Services!$A$5:$A$204,0))*1,0))))</f>
        <v>0</v>
      </c>
      <c r="W1159" s="26">
        <f>IF(B1159="","",ROUND(T1159*V1159,2))</f>
        <v>0</v>
      </c>
      <c r="X1159" s="26">
        <f>IF(B1159="","",ROUND(IF(M1159="",0,W1159*M1159)+IF(N1159="",0,N1159),2))</f>
        <v>0</v>
      </c>
      <c r="Y1159" s="26">
        <f>IF(B1159="","",ROUND(W1159-X1159-IF(P1159="",0,P1159),2))</f>
        <v>0</v>
      </c>
      <c r="Z1159" s="26">
        <f>IF(B1159="","",IF(H1159="Retail",IF(TaxOnRetail="Yes",ROUND(Y1159*TaxRate,2),0),IF(H1159="Service",IF(TaxOnServices="Yes",ROUND(Y1159*TaxRate,2),0),0)))</f>
        <v>0</v>
      </c>
      <c r="AA1159" s="26">
        <f>IF(B1159="","",ROUND(Y1159+Z1159,2))</f>
        <v>0</v>
      </c>
      <c r="AB1159" s="26">
        <f>IF(B1159="","",ROUND(T1159*IF(H1159="Retail",IFERROR(INDEX(Inventory!$H$5:$H$304,MATCH(I1159,Inventory!$A$5:$A$304,0))*1,0),IFERROR(INDEX(Services!$Q$5:$Q$204,MATCH(I1159,Services!$A$5:$A$204,0))*1,0)),2))</f>
        <v>0</v>
      </c>
      <c r="AC1159" s="26">
        <f>IF(B1159="","",ROUND(Y1159-AB1159,2))</f>
        <v>0</v>
      </c>
      <c r="AD1159" s="38">
        <f>IF(B1159="","",IF(C1159="","No",IF(COUNTIFS($C$5:C1159,C1159)=1,"Yes","No")))</f>
        <v>0</v>
      </c>
      <c r="AE1159" s="26">
        <f>IF(B1159="","",ROUND(SUMIFS(Payments!$G$5:$G$1204,Payments!$H$5:$H$1204,A1159,Payments!$Q$5:$Q$1204,"Yes"),2))</f>
        <v>0</v>
      </c>
      <c r="AF1159" s="26">
        <f>IF(B1159="","",IF(AD1159="No",0,ROUND(SUMIFS(Payments!$G$5:$G$1204,Payments!$I$5:$I$1204,C1159,Payments!$H$5:$H$1204,"",Payments!$Q$5:$Q$1204,"Yes"),2)))</f>
        <v>0</v>
      </c>
      <c r="AG1159" s="26">
        <f>IF(B1159="","",ROUND(AE1159+AF1159,2))</f>
        <v>0</v>
      </c>
      <c r="AH1159" s="26">
        <f>IF(B1159="","",ROUND(AA1159-AG1159,2))</f>
        <v>0</v>
      </c>
      <c r="AI1159" s="39">
        <f>IF(B1159="","",IF(AA1159&lt;=0,"No charge",IF(AH1159&lt;=0.004,"Paid",IF(AG1159&lt;=0.004,"Unpaid","Part paid"))))</f>
        <v>0</v>
      </c>
      <c r="AJ1159" s="38">
        <f>IF(B1159="","",IF(H1159&lt;&gt;"Service","",IF(D1159="","No",IF(COUNTIFS($D$5:$D$1204,D1159,$B$5:$B$1204,B1159,$H$5:$H$1204,"Retail")&gt;0,"Yes","No"))))</f>
        <v>0</v>
      </c>
      <c r="AK1159" s="25">
        <f>IF(B1159="","",COUNTIFS($Y$5:$Y$1204,"&gt;"&amp;Y1159)+COUNTIFS($Y$5:Y1159,Y1159))</f>
        <v>0</v>
      </c>
      <c r="AL1159" s="39">
        <f>IF(B1159="","",IF(H1159="","Add - what kind of sale is this?",IF(IF(V1159&lt;=0,P1159="",FALSE),"Check - no price found for this item",IF(F1159="","Assign - nobody credited",IF(AH1159&gt;0.004,"Unpaid - balance outstanding",IF(AC1159&lt;0,"Loss - sold below cost",IF(X1159&gt;W1159*0.5,"Check - more than half off","OK")))))))</f>
        <v>0</v>
      </c>
    </row>
    <row r="1160" spans="1:38">
      <c r="A1160" s="28">
        <f>IF(B1160="","",SalePrefix&amp;TEXT(ROW()-4,"0000"))</f>
        <v>0</v>
      </c>
      <c r="E1160" s="15">
        <f>IF(D1160="","",IFERROR(INDEX(Clients!$B$5:$B$504,MATCH(D1160,Clients!$A$5:$A$504,0)),"Walk-in"))</f>
        <v>0</v>
      </c>
      <c r="G1160" s="15">
        <f>IF(F1160="","",IFERROR(INDEX(Staff!$B$5:$B$44,MATCH(F1160,Staff!$A$5:$A$44,0)),"House"))</f>
        <v>0</v>
      </c>
      <c r="R1160" s="15">
        <f>IF(B1160="","",TEXT(B1160,"yyyy-mm"))</f>
        <v>0</v>
      </c>
      <c r="S1160" s="25">
        <f>IF(B1160="","",WEEKNUM(B1160,2))</f>
        <v>0</v>
      </c>
      <c r="T1160" s="37">
        <f>IF(B1160="","",IF(K1160="",1,K1160))</f>
        <v>0</v>
      </c>
      <c r="U1160" s="15">
        <f>IF(B1160="","",IF(J1160&lt;&gt;"",J1160,IF(H1160="Retail",IFERROR(INDEX(Inventory!$B$5:$B$304,MATCH(I1160,Inventory!$A$5:$A$304,0))&amp;"","Not in Inventory"),IFERROR(INDEX(Services!$B$5:$B$204,MATCH(I1160,Services!$A$5:$A$204,0))&amp;"","Not in Services"))))</f>
        <v>0</v>
      </c>
      <c r="V1160" s="26">
        <f>IF(B1160="","",IF(L1160&lt;&gt;"",L1160,IF(H1160="Retail",IFERROR(INDEX(Inventory!$I$5:$I$304,MATCH(I1160,Inventory!$A$5:$A$304,0))*1,0),IFERROR(INDEX(Services!$G$5:$G$204,MATCH(I1160,Services!$A$5:$A$204,0))*1,0))))</f>
        <v>0</v>
      </c>
      <c r="W1160" s="26">
        <f>IF(B1160="","",ROUND(T1160*V1160,2))</f>
        <v>0</v>
      </c>
      <c r="X1160" s="26">
        <f>IF(B1160="","",ROUND(IF(M1160="",0,W1160*M1160)+IF(N1160="",0,N1160),2))</f>
        <v>0</v>
      </c>
      <c r="Y1160" s="26">
        <f>IF(B1160="","",ROUND(W1160-X1160-IF(P1160="",0,P1160),2))</f>
        <v>0</v>
      </c>
      <c r="Z1160" s="26">
        <f>IF(B1160="","",IF(H1160="Retail",IF(TaxOnRetail="Yes",ROUND(Y1160*TaxRate,2),0),IF(H1160="Service",IF(TaxOnServices="Yes",ROUND(Y1160*TaxRate,2),0),0)))</f>
        <v>0</v>
      </c>
      <c r="AA1160" s="26">
        <f>IF(B1160="","",ROUND(Y1160+Z1160,2))</f>
        <v>0</v>
      </c>
      <c r="AB1160" s="26">
        <f>IF(B1160="","",ROUND(T1160*IF(H1160="Retail",IFERROR(INDEX(Inventory!$H$5:$H$304,MATCH(I1160,Inventory!$A$5:$A$304,0))*1,0),IFERROR(INDEX(Services!$Q$5:$Q$204,MATCH(I1160,Services!$A$5:$A$204,0))*1,0)),2))</f>
        <v>0</v>
      </c>
      <c r="AC1160" s="26">
        <f>IF(B1160="","",ROUND(Y1160-AB1160,2))</f>
        <v>0</v>
      </c>
      <c r="AD1160" s="38">
        <f>IF(B1160="","",IF(C1160="","No",IF(COUNTIFS($C$5:C1160,C1160)=1,"Yes","No")))</f>
        <v>0</v>
      </c>
      <c r="AE1160" s="26">
        <f>IF(B1160="","",ROUND(SUMIFS(Payments!$G$5:$G$1204,Payments!$H$5:$H$1204,A1160,Payments!$Q$5:$Q$1204,"Yes"),2))</f>
        <v>0</v>
      </c>
      <c r="AF1160" s="26">
        <f>IF(B1160="","",IF(AD1160="No",0,ROUND(SUMIFS(Payments!$G$5:$G$1204,Payments!$I$5:$I$1204,C1160,Payments!$H$5:$H$1204,"",Payments!$Q$5:$Q$1204,"Yes"),2)))</f>
        <v>0</v>
      </c>
      <c r="AG1160" s="26">
        <f>IF(B1160="","",ROUND(AE1160+AF1160,2))</f>
        <v>0</v>
      </c>
      <c r="AH1160" s="26">
        <f>IF(B1160="","",ROUND(AA1160-AG1160,2))</f>
        <v>0</v>
      </c>
      <c r="AI1160" s="39">
        <f>IF(B1160="","",IF(AA1160&lt;=0,"No charge",IF(AH1160&lt;=0.004,"Paid",IF(AG1160&lt;=0.004,"Unpaid","Part paid"))))</f>
        <v>0</v>
      </c>
      <c r="AJ1160" s="38">
        <f>IF(B1160="","",IF(H1160&lt;&gt;"Service","",IF(D1160="","No",IF(COUNTIFS($D$5:$D$1204,D1160,$B$5:$B$1204,B1160,$H$5:$H$1204,"Retail")&gt;0,"Yes","No"))))</f>
        <v>0</v>
      </c>
      <c r="AK1160" s="25">
        <f>IF(B1160="","",COUNTIFS($Y$5:$Y$1204,"&gt;"&amp;Y1160)+COUNTIFS($Y$5:Y1160,Y1160))</f>
        <v>0</v>
      </c>
      <c r="AL1160" s="39">
        <f>IF(B1160="","",IF(H1160="","Add - what kind of sale is this?",IF(IF(V1160&lt;=0,P1160="",FALSE),"Check - no price found for this item",IF(F1160="","Assign - nobody credited",IF(AH1160&gt;0.004,"Unpaid - balance outstanding",IF(AC1160&lt;0,"Loss - sold below cost",IF(X1160&gt;W1160*0.5,"Check - more than half off","OK")))))))</f>
        <v>0</v>
      </c>
    </row>
    <row r="1161" spans="1:38">
      <c r="A1161" s="28">
        <f>IF(B1161="","",SalePrefix&amp;TEXT(ROW()-4,"0000"))</f>
        <v>0</v>
      </c>
      <c r="E1161" s="15">
        <f>IF(D1161="","",IFERROR(INDEX(Clients!$B$5:$B$504,MATCH(D1161,Clients!$A$5:$A$504,0)),"Walk-in"))</f>
        <v>0</v>
      </c>
      <c r="G1161" s="15">
        <f>IF(F1161="","",IFERROR(INDEX(Staff!$B$5:$B$44,MATCH(F1161,Staff!$A$5:$A$44,0)),"House"))</f>
        <v>0</v>
      </c>
      <c r="R1161" s="15">
        <f>IF(B1161="","",TEXT(B1161,"yyyy-mm"))</f>
        <v>0</v>
      </c>
      <c r="S1161" s="25">
        <f>IF(B1161="","",WEEKNUM(B1161,2))</f>
        <v>0</v>
      </c>
      <c r="T1161" s="37">
        <f>IF(B1161="","",IF(K1161="",1,K1161))</f>
        <v>0</v>
      </c>
      <c r="U1161" s="15">
        <f>IF(B1161="","",IF(J1161&lt;&gt;"",J1161,IF(H1161="Retail",IFERROR(INDEX(Inventory!$B$5:$B$304,MATCH(I1161,Inventory!$A$5:$A$304,0))&amp;"","Not in Inventory"),IFERROR(INDEX(Services!$B$5:$B$204,MATCH(I1161,Services!$A$5:$A$204,0))&amp;"","Not in Services"))))</f>
        <v>0</v>
      </c>
      <c r="V1161" s="26">
        <f>IF(B1161="","",IF(L1161&lt;&gt;"",L1161,IF(H1161="Retail",IFERROR(INDEX(Inventory!$I$5:$I$304,MATCH(I1161,Inventory!$A$5:$A$304,0))*1,0),IFERROR(INDEX(Services!$G$5:$G$204,MATCH(I1161,Services!$A$5:$A$204,0))*1,0))))</f>
        <v>0</v>
      </c>
      <c r="W1161" s="26">
        <f>IF(B1161="","",ROUND(T1161*V1161,2))</f>
        <v>0</v>
      </c>
      <c r="X1161" s="26">
        <f>IF(B1161="","",ROUND(IF(M1161="",0,W1161*M1161)+IF(N1161="",0,N1161),2))</f>
        <v>0</v>
      </c>
      <c r="Y1161" s="26">
        <f>IF(B1161="","",ROUND(W1161-X1161-IF(P1161="",0,P1161),2))</f>
        <v>0</v>
      </c>
      <c r="Z1161" s="26">
        <f>IF(B1161="","",IF(H1161="Retail",IF(TaxOnRetail="Yes",ROUND(Y1161*TaxRate,2),0),IF(H1161="Service",IF(TaxOnServices="Yes",ROUND(Y1161*TaxRate,2),0),0)))</f>
        <v>0</v>
      </c>
      <c r="AA1161" s="26">
        <f>IF(B1161="","",ROUND(Y1161+Z1161,2))</f>
        <v>0</v>
      </c>
      <c r="AB1161" s="26">
        <f>IF(B1161="","",ROUND(T1161*IF(H1161="Retail",IFERROR(INDEX(Inventory!$H$5:$H$304,MATCH(I1161,Inventory!$A$5:$A$304,0))*1,0),IFERROR(INDEX(Services!$Q$5:$Q$204,MATCH(I1161,Services!$A$5:$A$204,0))*1,0)),2))</f>
        <v>0</v>
      </c>
      <c r="AC1161" s="26">
        <f>IF(B1161="","",ROUND(Y1161-AB1161,2))</f>
        <v>0</v>
      </c>
      <c r="AD1161" s="38">
        <f>IF(B1161="","",IF(C1161="","No",IF(COUNTIFS($C$5:C1161,C1161)=1,"Yes","No")))</f>
        <v>0</v>
      </c>
      <c r="AE1161" s="26">
        <f>IF(B1161="","",ROUND(SUMIFS(Payments!$G$5:$G$1204,Payments!$H$5:$H$1204,A1161,Payments!$Q$5:$Q$1204,"Yes"),2))</f>
        <v>0</v>
      </c>
      <c r="AF1161" s="26">
        <f>IF(B1161="","",IF(AD1161="No",0,ROUND(SUMIFS(Payments!$G$5:$G$1204,Payments!$I$5:$I$1204,C1161,Payments!$H$5:$H$1204,"",Payments!$Q$5:$Q$1204,"Yes"),2)))</f>
        <v>0</v>
      </c>
      <c r="AG1161" s="26">
        <f>IF(B1161="","",ROUND(AE1161+AF1161,2))</f>
        <v>0</v>
      </c>
      <c r="AH1161" s="26">
        <f>IF(B1161="","",ROUND(AA1161-AG1161,2))</f>
        <v>0</v>
      </c>
      <c r="AI1161" s="39">
        <f>IF(B1161="","",IF(AA1161&lt;=0,"No charge",IF(AH1161&lt;=0.004,"Paid",IF(AG1161&lt;=0.004,"Unpaid","Part paid"))))</f>
        <v>0</v>
      </c>
      <c r="AJ1161" s="38">
        <f>IF(B1161="","",IF(H1161&lt;&gt;"Service","",IF(D1161="","No",IF(COUNTIFS($D$5:$D$1204,D1161,$B$5:$B$1204,B1161,$H$5:$H$1204,"Retail")&gt;0,"Yes","No"))))</f>
        <v>0</v>
      </c>
      <c r="AK1161" s="25">
        <f>IF(B1161="","",COUNTIFS($Y$5:$Y$1204,"&gt;"&amp;Y1161)+COUNTIFS($Y$5:Y1161,Y1161))</f>
        <v>0</v>
      </c>
      <c r="AL1161" s="39">
        <f>IF(B1161="","",IF(H1161="","Add - what kind of sale is this?",IF(IF(V1161&lt;=0,P1161="",FALSE),"Check - no price found for this item",IF(F1161="","Assign - nobody credited",IF(AH1161&gt;0.004,"Unpaid - balance outstanding",IF(AC1161&lt;0,"Loss - sold below cost",IF(X1161&gt;W1161*0.5,"Check - more than half off","OK")))))))</f>
        <v>0</v>
      </c>
    </row>
    <row r="1162" spans="1:38">
      <c r="A1162" s="28">
        <f>IF(B1162="","",SalePrefix&amp;TEXT(ROW()-4,"0000"))</f>
        <v>0</v>
      </c>
      <c r="E1162" s="15">
        <f>IF(D1162="","",IFERROR(INDEX(Clients!$B$5:$B$504,MATCH(D1162,Clients!$A$5:$A$504,0)),"Walk-in"))</f>
        <v>0</v>
      </c>
      <c r="G1162" s="15">
        <f>IF(F1162="","",IFERROR(INDEX(Staff!$B$5:$B$44,MATCH(F1162,Staff!$A$5:$A$44,0)),"House"))</f>
        <v>0</v>
      </c>
      <c r="R1162" s="15">
        <f>IF(B1162="","",TEXT(B1162,"yyyy-mm"))</f>
        <v>0</v>
      </c>
      <c r="S1162" s="25">
        <f>IF(B1162="","",WEEKNUM(B1162,2))</f>
        <v>0</v>
      </c>
      <c r="T1162" s="37">
        <f>IF(B1162="","",IF(K1162="",1,K1162))</f>
        <v>0</v>
      </c>
      <c r="U1162" s="15">
        <f>IF(B1162="","",IF(J1162&lt;&gt;"",J1162,IF(H1162="Retail",IFERROR(INDEX(Inventory!$B$5:$B$304,MATCH(I1162,Inventory!$A$5:$A$304,0))&amp;"","Not in Inventory"),IFERROR(INDEX(Services!$B$5:$B$204,MATCH(I1162,Services!$A$5:$A$204,0))&amp;"","Not in Services"))))</f>
        <v>0</v>
      </c>
      <c r="V1162" s="26">
        <f>IF(B1162="","",IF(L1162&lt;&gt;"",L1162,IF(H1162="Retail",IFERROR(INDEX(Inventory!$I$5:$I$304,MATCH(I1162,Inventory!$A$5:$A$304,0))*1,0),IFERROR(INDEX(Services!$G$5:$G$204,MATCH(I1162,Services!$A$5:$A$204,0))*1,0))))</f>
        <v>0</v>
      </c>
      <c r="W1162" s="26">
        <f>IF(B1162="","",ROUND(T1162*V1162,2))</f>
        <v>0</v>
      </c>
      <c r="X1162" s="26">
        <f>IF(B1162="","",ROUND(IF(M1162="",0,W1162*M1162)+IF(N1162="",0,N1162),2))</f>
        <v>0</v>
      </c>
      <c r="Y1162" s="26">
        <f>IF(B1162="","",ROUND(W1162-X1162-IF(P1162="",0,P1162),2))</f>
        <v>0</v>
      </c>
      <c r="Z1162" s="26">
        <f>IF(B1162="","",IF(H1162="Retail",IF(TaxOnRetail="Yes",ROUND(Y1162*TaxRate,2),0),IF(H1162="Service",IF(TaxOnServices="Yes",ROUND(Y1162*TaxRate,2),0),0)))</f>
        <v>0</v>
      </c>
      <c r="AA1162" s="26">
        <f>IF(B1162="","",ROUND(Y1162+Z1162,2))</f>
        <v>0</v>
      </c>
      <c r="AB1162" s="26">
        <f>IF(B1162="","",ROUND(T1162*IF(H1162="Retail",IFERROR(INDEX(Inventory!$H$5:$H$304,MATCH(I1162,Inventory!$A$5:$A$304,0))*1,0),IFERROR(INDEX(Services!$Q$5:$Q$204,MATCH(I1162,Services!$A$5:$A$204,0))*1,0)),2))</f>
        <v>0</v>
      </c>
      <c r="AC1162" s="26">
        <f>IF(B1162="","",ROUND(Y1162-AB1162,2))</f>
        <v>0</v>
      </c>
      <c r="AD1162" s="38">
        <f>IF(B1162="","",IF(C1162="","No",IF(COUNTIFS($C$5:C1162,C1162)=1,"Yes","No")))</f>
        <v>0</v>
      </c>
      <c r="AE1162" s="26">
        <f>IF(B1162="","",ROUND(SUMIFS(Payments!$G$5:$G$1204,Payments!$H$5:$H$1204,A1162,Payments!$Q$5:$Q$1204,"Yes"),2))</f>
        <v>0</v>
      </c>
      <c r="AF1162" s="26">
        <f>IF(B1162="","",IF(AD1162="No",0,ROUND(SUMIFS(Payments!$G$5:$G$1204,Payments!$I$5:$I$1204,C1162,Payments!$H$5:$H$1204,"",Payments!$Q$5:$Q$1204,"Yes"),2)))</f>
        <v>0</v>
      </c>
      <c r="AG1162" s="26">
        <f>IF(B1162="","",ROUND(AE1162+AF1162,2))</f>
        <v>0</v>
      </c>
      <c r="AH1162" s="26">
        <f>IF(B1162="","",ROUND(AA1162-AG1162,2))</f>
        <v>0</v>
      </c>
      <c r="AI1162" s="39">
        <f>IF(B1162="","",IF(AA1162&lt;=0,"No charge",IF(AH1162&lt;=0.004,"Paid",IF(AG1162&lt;=0.004,"Unpaid","Part paid"))))</f>
        <v>0</v>
      </c>
      <c r="AJ1162" s="38">
        <f>IF(B1162="","",IF(H1162&lt;&gt;"Service","",IF(D1162="","No",IF(COUNTIFS($D$5:$D$1204,D1162,$B$5:$B$1204,B1162,$H$5:$H$1204,"Retail")&gt;0,"Yes","No"))))</f>
        <v>0</v>
      </c>
      <c r="AK1162" s="25">
        <f>IF(B1162="","",COUNTIFS($Y$5:$Y$1204,"&gt;"&amp;Y1162)+COUNTIFS($Y$5:Y1162,Y1162))</f>
        <v>0</v>
      </c>
      <c r="AL1162" s="39">
        <f>IF(B1162="","",IF(H1162="","Add - what kind of sale is this?",IF(IF(V1162&lt;=0,P1162="",FALSE),"Check - no price found for this item",IF(F1162="","Assign - nobody credited",IF(AH1162&gt;0.004,"Unpaid - balance outstanding",IF(AC1162&lt;0,"Loss - sold below cost",IF(X1162&gt;W1162*0.5,"Check - more than half off","OK")))))))</f>
        <v>0</v>
      </c>
    </row>
    <row r="1163" spans="1:38">
      <c r="A1163" s="28">
        <f>IF(B1163="","",SalePrefix&amp;TEXT(ROW()-4,"0000"))</f>
        <v>0</v>
      </c>
      <c r="E1163" s="15">
        <f>IF(D1163="","",IFERROR(INDEX(Clients!$B$5:$B$504,MATCH(D1163,Clients!$A$5:$A$504,0)),"Walk-in"))</f>
        <v>0</v>
      </c>
      <c r="G1163" s="15">
        <f>IF(F1163="","",IFERROR(INDEX(Staff!$B$5:$B$44,MATCH(F1163,Staff!$A$5:$A$44,0)),"House"))</f>
        <v>0</v>
      </c>
      <c r="R1163" s="15">
        <f>IF(B1163="","",TEXT(B1163,"yyyy-mm"))</f>
        <v>0</v>
      </c>
      <c r="S1163" s="25">
        <f>IF(B1163="","",WEEKNUM(B1163,2))</f>
        <v>0</v>
      </c>
      <c r="T1163" s="37">
        <f>IF(B1163="","",IF(K1163="",1,K1163))</f>
        <v>0</v>
      </c>
      <c r="U1163" s="15">
        <f>IF(B1163="","",IF(J1163&lt;&gt;"",J1163,IF(H1163="Retail",IFERROR(INDEX(Inventory!$B$5:$B$304,MATCH(I1163,Inventory!$A$5:$A$304,0))&amp;"","Not in Inventory"),IFERROR(INDEX(Services!$B$5:$B$204,MATCH(I1163,Services!$A$5:$A$204,0))&amp;"","Not in Services"))))</f>
        <v>0</v>
      </c>
      <c r="V1163" s="26">
        <f>IF(B1163="","",IF(L1163&lt;&gt;"",L1163,IF(H1163="Retail",IFERROR(INDEX(Inventory!$I$5:$I$304,MATCH(I1163,Inventory!$A$5:$A$304,0))*1,0),IFERROR(INDEX(Services!$G$5:$G$204,MATCH(I1163,Services!$A$5:$A$204,0))*1,0))))</f>
        <v>0</v>
      </c>
      <c r="W1163" s="26">
        <f>IF(B1163="","",ROUND(T1163*V1163,2))</f>
        <v>0</v>
      </c>
      <c r="X1163" s="26">
        <f>IF(B1163="","",ROUND(IF(M1163="",0,W1163*M1163)+IF(N1163="",0,N1163),2))</f>
        <v>0</v>
      </c>
      <c r="Y1163" s="26">
        <f>IF(B1163="","",ROUND(W1163-X1163-IF(P1163="",0,P1163),2))</f>
        <v>0</v>
      </c>
      <c r="Z1163" s="26">
        <f>IF(B1163="","",IF(H1163="Retail",IF(TaxOnRetail="Yes",ROUND(Y1163*TaxRate,2),0),IF(H1163="Service",IF(TaxOnServices="Yes",ROUND(Y1163*TaxRate,2),0),0)))</f>
        <v>0</v>
      </c>
      <c r="AA1163" s="26">
        <f>IF(B1163="","",ROUND(Y1163+Z1163,2))</f>
        <v>0</v>
      </c>
      <c r="AB1163" s="26">
        <f>IF(B1163="","",ROUND(T1163*IF(H1163="Retail",IFERROR(INDEX(Inventory!$H$5:$H$304,MATCH(I1163,Inventory!$A$5:$A$304,0))*1,0),IFERROR(INDEX(Services!$Q$5:$Q$204,MATCH(I1163,Services!$A$5:$A$204,0))*1,0)),2))</f>
        <v>0</v>
      </c>
      <c r="AC1163" s="26">
        <f>IF(B1163="","",ROUND(Y1163-AB1163,2))</f>
        <v>0</v>
      </c>
      <c r="AD1163" s="38">
        <f>IF(B1163="","",IF(C1163="","No",IF(COUNTIFS($C$5:C1163,C1163)=1,"Yes","No")))</f>
        <v>0</v>
      </c>
      <c r="AE1163" s="26">
        <f>IF(B1163="","",ROUND(SUMIFS(Payments!$G$5:$G$1204,Payments!$H$5:$H$1204,A1163,Payments!$Q$5:$Q$1204,"Yes"),2))</f>
        <v>0</v>
      </c>
      <c r="AF1163" s="26">
        <f>IF(B1163="","",IF(AD1163="No",0,ROUND(SUMIFS(Payments!$G$5:$G$1204,Payments!$I$5:$I$1204,C1163,Payments!$H$5:$H$1204,"",Payments!$Q$5:$Q$1204,"Yes"),2)))</f>
        <v>0</v>
      </c>
      <c r="AG1163" s="26">
        <f>IF(B1163="","",ROUND(AE1163+AF1163,2))</f>
        <v>0</v>
      </c>
      <c r="AH1163" s="26">
        <f>IF(B1163="","",ROUND(AA1163-AG1163,2))</f>
        <v>0</v>
      </c>
      <c r="AI1163" s="39">
        <f>IF(B1163="","",IF(AA1163&lt;=0,"No charge",IF(AH1163&lt;=0.004,"Paid",IF(AG1163&lt;=0.004,"Unpaid","Part paid"))))</f>
        <v>0</v>
      </c>
      <c r="AJ1163" s="38">
        <f>IF(B1163="","",IF(H1163&lt;&gt;"Service","",IF(D1163="","No",IF(COUNTIFS($D$5:$D$1204,D1163,$B$5:$B$1204,B1163,$H$5:$H$1204,"Retail")&gt;0,"Yes","No"))))</f>
        <v>0</v>
      </c>
      <c r="AK1163" s="25">
        <f>IF(B1163="","",COUNTIFS($Y$5:$Y$1204,"&gt;"&amp;Y1163)+COUNTIFS($Y$5:Y1163,Y1163))</f>
        <v>0</v>
      </c>
      <c r="AL1163" s="39">
        <f>IF(B1163="","",IF(H1163="","Add - what kind of sale is this?",IF(IF(V1163&lt;=0,P1163="",FALSE),"Check - no price found for this item",IF(F1163="","Assign - nobody credited",IF(AH1163&gt;0.004,"Unpaid - balance outstanding",IF(AC1163&lt;0,"Loss - sold below cost",IF(X1163&gt;W1163*0.5,"Check - more than half off","OK")))))))</f>
        <v>0</v>
      </c>
    </row>
    <row r="1164" spans="1:38">
      <c r="A1164" s="28">
        <f>IF(B1164="","",SalePrefix&amp;TEXT(ROW()-4,"0000"))</f>
        <v>0</v>
      </c>
      <c r="E1164" s="15">
        <f>IF(D1164="","",IFERROR(INDEX(Clients!$B$5:$B$504,MATCH(D1164,Clients!$A$5:$A$504,0)),"Walk-in"))</f>
        <v>0</v>
      </c>
      <c r="G1164" s="15">
        <f>IF(F1164="","",IFERROR(INDEX(Staff!$B$5:$B$44,MATCH(F1164,Staff!$A$5:$A$44,0)),"House"))</f>
        <v>0</v>
      </c>
      <c r="R1164" s="15">
        <f>IF(B1164="","",TEXT(B1164,"yyyy-mm"))</f>
        <v>0</v>
      </c>
      <c r="S1164" s="25">
        <f>IF(B1164="","",WEEKNUM(B1164,2))</f>
        <v>0</v>
      </c>
      <c r="T1164" s="37">
        <f>IF(B1164="","",IF(K1164="",1,K1164))</f>
        <v>0</v>
      </c>
      <c r="U1164" s="15">
        <f>IF(B1164="","",IF(J1164&lt;&gt;"",J1164,IF(H1164="Retail",IFERROR(INDEX(Inventory!$B$5:$B$304,MATCH(I1164,Inventory!$A$5:$A$304,0))&amp;"","Not in Inventory"),IFERROR(INDEX(Services!$B$5:$B$204,MATCH(I1164,Services!$A$5:$A$204,0))&amp;"","Not in Services"))))</f>
        <v>0</v>
      </c>
      <c r="V1164" s="26">
        <f>IF(B1164="","",IF(L1164&lt;&gt;"",L1164,IF(H1164="Retail",IFERROR(INDEX(Inventory!$I$5:$I$304,MATCH(I1164,Inventory!$A$5:$A$304,0))*1,0),IFERROR(INDEX(Services!$G$5:$G$204,MATCH(I1164,Services!$A$5:$A$204,0))*1,0))))</f>
        <v>0</v>
      </c>
      <c r="W1164" s="26">
        <f>IF(B1164="","",ROUND(T1164*V1164,2))</f>
        <v>0</v>
      </c>
      <c r="X1164" s="26">
        <f>IF(B1164="","",ROUND(IF(M1164="",0,W1164*M1164)+IF(N1164="",0,N1164),2))</f>
        <v>0</v>
      </c>
      <c r="Y1164" s="26">
        <f>IF(B1164="","",ROUND(W1164-X1164-IF(P1164="",0,P1164),2))</f>
        <v>0</v>
      </c>
      <c r="Z1164" s="26">
        <f>IF(B1164="","",IF(H1164="Retail",IF(TaxOnRetail="Yes",ROUND(Y1164*TaxRate,2),0),IF(H1164="Service",IF(TaxOnServices="Yes",ROUND(Y1164*TaxRate,2),0),0)))</f>
        <v>0</v>
      </c>
      <c r="AA1164" s="26">
        <f>IF(B1164="","",ROUND(Y1164+Z1164,2))</f>
        <v>0</v>
      </c>
      <c r="AB1164" s="26">
        <f>IF(B1164="","",ROUND(T1164*IF(H1164="Retail",IFERROR(INDEX(Inventory!$H$5:$H$304,MATCH(I1164,Inventory!$A$5:$A$304,0))*1,0),IFERROR(INDEX(Services!$Q$5:$Q$204,MATCH(I1164,Services!$A$5:$A$204,0))*1,0)),2))</f>
        <v>0</v>
      </c>
      <c r="AC1164" s="26">
        <f>IF(B1164="","",ROUND(Y1164-AB1164,2))</f>
        <v>0</v>
      </c>
      <c r="AD1164" s="38">
        <f>IF(B1164="","",IF(C1164="","No",IF(COUNTIFS($C$5:C1164,C1164)=1,"Yes","No")))</f>
        <v>0</v>
      </c>
      <c r="AE1164" s="26">
        <f>IF(B1164="","",ROUND(SUMIFS(Payments!$G$5:$G$1204,Payments!$H$5:$H$1204,A1164,Payments!$Q$5:$Q$1204,"Yes"),2))</f>
        <v>0</v>
      </c>
      <c r="AF1164" s="26">
        <f>IF(B1164="","",IF(AD1164="No",0,ROUND(SUMIFS(Payments!$G$5:$G$1204,Payments!$I$5:$I$1204,C1164,Payments!$H$5:$H$1204,"",Payments!$Q$5:$Q$1204,"Yes"),2)))</f>
        <v>0</v>
      </c>
      <c r="AG1164" s="26">
        <f>IF(B1164="","",ROUND(AE1164+AF1164,2))</f>
        <v>0</v>
      </c>
      <c r="AH1164" s="26">
        <f>IF(B1164="","",ROUND(AA1164-AG1164,2))</f>
        <v>0</v>
      </c>
      <c r="AI1164" s="39">
        <f>IF(B1164="","",IF(AA1164&lt;=0,"No charge",IF(AH1164&lt;=0.004,"Paid",IF(AG1164&lt;=0.004,"Unpaid","Part paid"))))</f>
        <v>0</v>
      </c>
      <c r="AJ1164" s="38">
        <f>IF(B1164="","",IF(H1164&lt;&gt;"Service","",IF(D1164="","No",IF(COUNTIFS($D$5:$D$1204,D1164,$B$5:$B$1204,B1164,$H$5:$H$1204,"Retail")&gt;0,"Yes","No"))))</f>
        <v>0</v>
      </c>
      <c r="AK1164" s="25">
        <f>IF(B1164="","",COUNTIFS($Y$5:$Y$1204,"&gt;"&amp;Y1164)+COUNTIFS($Y$5:Y1164,Y1164))</f>
        <v>0</v>
      </c>
      <c r="AL1164" s="39">
        <f>IF(B1164="","",IF(H1164="","Add - what kind of sale is this?",IF(IF(V1164&lt;=0,P1164="",FALSE),"Check - no price found for this item",IF(F1164="","Assign - nobody credited",IF(AH1164&gt;0.004,"Unpaid - balance outstanding",IF(AC1164&lt;0,"Loss - sold below cost",IF(X1164&gt;W1164*0.5,"Check - more than half off","OK")))))))</f>
        <v>0</v>
      </c>
    </row>
    <row r="1165" spans="1:38">
      <c r="A1165" s="28">
        <f>IF(B1165="","",SalePrefix&amp;TEXT(ROW()-4,"0000"))</f>
        <v>0</v>
      </c>
      <c r="E1165" s="15">
        <f>IF(D1165="","",IFERROR(INDEX(Clients!$B$5:$B$504,MATCH(D1165,Clients!$A$5:$A$504,0)),"Walk-in"))</f>
        <v>0</v>
      </c>
      <c r="G1165" s="15">
        <f>IF(F1165="","",IFERROR(INDEX(Staff!$B$5:$B$44,MATCH(F1165,Staff!$A$5:$A$44,0)),"House"))</f>
        <v>0</v>
      </c>
      <c r="R1165" s="15">
        <f>IF(B1165="","",TEXT(B1165,"yyyy-mm"))</f>
        <v>0</v>
      </c>
      <c r="S1165" s="25">
        <f>IF(B1165="","",WEEKNUM(B1165,2))</f>
        <v>0</v>
      </c>
      <c r="T1165" s="37">
        <f>IF(B1165="","",IF(K1165="",1,K1165))</f>
        <v>0</v>
      </c>
      <c r="U1165" s="15">
        <f>IF(B1165="","",IF(J1165&lt;&gt;"",J1165,IF(H1165="Retail",IFERROR(INDEX(Inventory!$B$5:$B$304,MATCH(I1165,Inventory!$A$5:$A$304,0))&amp;"","Not in Inventory"),IFERROR(INDEX(Services!$B$5:$B$204,MATCH(I1165,Services!$A$5:$A$204,0))&amp;"","Not in Services"))))</f>
        <v>0</v>
      </c>
      <c r="V1165" s="26">
        <f>IF(B1165="","",IF(L1165&lt;&gt;"",L1165,IF(H1165="Retail",IFERROR(INDEX(Inventory!$I$5:$I$304,MATCH(I1165,Inventory!$A$5:$A$304,0))*1,0),IFERROR(INDEX(Services!$G$5:$G$204,MATCH(I1165,Services!$A$5:$A$204,0))*1,0))))</f>
        <v>0</v>
      </c>
      <c r="W1165" s="26">
        <f>IF(B1165="","",ROUND(T1165*V1165,2))</f>
        <v>0</v>
      </c>
      <c r="X1165" s="26">
        <f>IF(B1165="","",ROUND(IF(M1165="",0,W1165*M1165)+IF(N1165="",0,N1165),2))</f>
        <v>0</v>
      </c>
      <c r="Y1165" s="26">
        <f>IF(B1165="","",ROUND(W1165-X1165-IF(P1165="",0,P1165),2))</f>
        <v>0</v>
      </c>
      <c r="Z1165" s="26">
        <f>IF(B1165="","",IF(H1165="Retail",IF(TaxOnRetail="Yes",ROUND(Y1165*TaxRate,2),0),IF(H1165="Service",IF(TaxOnServices="Yes",ROUND(Y1165*TaxRate,2),0),0)))</f>
        <v>0</v>
      </c>
      <c r="AA1165" s="26">
        <f>IF(B1165="","",ROUND(Y1165+Z1165,2))</f>
        <v>0</v>
      </c>
      <c r="AB1165" s="26">
        <f>IF(B1165="","",ROUND(T1165*IF(H1165="Retail",IFERROR(INDEX(Inventory!$H$5:$H$304,MATCH(I1165,Inventory!$A$5:$A$304,0))*1,0),IFERROR(INDEX(Services!$Q$5:$Q$204,MATCH(I1165,Services!$A$5:$A$204,0))*1,0)),2))</f>
        <v>0</v>
      </c>
      <c r="AC1165" s="26">
        <f>IF(B1165="","",ROUND(Y1165-AB1165,2))</f>
        <v>0</v>
      </c>
      <c r="AD1165" s="38">
        <f>IF(B1165="","",IF(C1165="","No",IF(COUNTIFS($C$5:C1165,C1165)=1,"Yes","No")))</f>
        <v>0</v>
      </c>
      <c r="AE1165" s="26">
        <f>IF(B1165="","",ROUND(SUMIFS(Payments!$G$5:$G$1204,Payments!$H$5:$H$1204,A1165,Payments!$Q$5:$Q$1204,"Yes"),2))</f>
        <v>0</v>
      </c>
      <c r="AF1165" s="26">
        <f>IF(B1165="","",IF(AD1165="No",0,ROUND(SUMIFS(Payments!$G$5:$G$1204,Payments!$I$5:$I$1204,C1165,Payments!$H$5:$H$1204,"",Payments!$Q$5:$Q$1204,"Yes"),2)))</f>
        <v>0</v>
      </c>
      <c r="AG1165" s="26">
        <f>IF(B1165="","",ROUND(AE1165+AF1165,2))</f>
        <v>0</v>
      </c>
      <c r="AH1165" s="26">
        <f>IF(B1165="","",ROUND(AA1165-AG1165,2))</f>
        <v>0</v>
      </c>
      <c r="AI1165" s="39">
        <f>IF(B1165="","",IF(AA1165&lt;=0,"No charge",IF(AH1165&lt;=0.004,"Paid",IF(AG1165&lt;=0.004,"Unpaid","Part paid"))))</f>
        <v>0</v>
      </c>
      <c r="AJ1165" s="38">
        <f>IF(B1165="","",IF(H1165&lt;&gt;"Service","",IF(D1165="","No",IF(COUNTIFS($D$5:$D$1204,D1165,$B$5:$B$1204,B1165,$H$5:$H$1204,"Retail")&gt;0,"Yes","No"))))</f>
        <v>0</v>
      </c>
      <c r="AK1165" s="25">
        <f>IF(B1165="","",COUNTIFS($Y$5:$Y$1204,"&gt;"&amp;Y1165)+COUNTIFS($Y$5:Y1165,Y1165))</f>
        <v>0</v>
      </c>
      <c r="AL1165" s="39">
        <f>IF(B1165="","",IF(H1165="","Add - what kind of sale is this?",IF(IF(V1165&lt;=0,P1165="",FALSE),"Check - no price found for this item",IF(F1165="","Assign - nobody credited",IF(AH1165&gt;0.004,"Unpaid - balance outstanding",IF(AC1165&lt;0,"Loss - sold below cost",IF(X1165&gt;W1165*0.5,"Check - more than half off","OK")))))))</f>
        <v>0</v>
      </c>
    </row>
    <row r="1166" spans="1:38">
      <c r="A1166" s="28">
        <f>IF(B1166="","",SalePrefix&amp;TEXT(ROW()-4,"0000"))</f>
        <v>0</v>
      </c>
      <c r="E1166" s="15">
        <f>IF(D1166="","",IFERROR(INDEX(Clients!$B$5:$B$504,MATCH(D1166,Clients!$A$5:$A$504,0)),"Walk-in"))</f>
        <v>0</v>
      </c>
      <c r="G1166" s="15">
        <f>IF(F1166="","",IFERROR(INDEX(Staff!$B$5:$B$44,MATCH(F1166,Staff!$A$5:$A$44,0)),"House"))</f>
        <v>0</v>
      </c>
      <c r="R1166" s="15">
        <f>IF(B1166="","",TEXT(B1166,"yyyy-mm"))</f>
        <v>0</v>
      </c>
      <c r="S1166" s="25">
        <f>IF(B1166="","",WEEKNUM(B1166,2))</f>
        <v>0</v>
      </c>
      <c r="T1166" s="37">
        <f>IF(B1166="","",IF(K1166="",1,K1166))</f>
        <v>0</v>
      </c>
      <c r="U1166" s="15">
        <f>IF(B1166="","",IF(J1166&lt;&gt;"",J1166,IF(H1166="Retail",IFERROR(INDEX(Inventory!$B$5:$B$304,MATCH(I1166,Inventory!$A$5:$A$304,0))&amp;"","Not in Inventory"),IFERROR(INDEX(Services!$B$5:$B$204,MATCH(I1166,Services!$A$5:$A$204,0))&amp;"","Not in Services"))))</f>
        <v>0</v>
      </c>
      <c r="V1166" s="26">
        <f>IF(B1166="","",IF(L1166&lt;&gt;"",L1166,IF(H1166="Retail",IFERROR(INDEX(Inventory!$I$5:$I$304,MATCH(I1166,Inventory!$A$5:$A$304,0))*1,0),IFERROR(INDEX(Services!$G$5:$G$204,MATCH(I1166,Services!$A$5:$A$204,0))*1,0))))</f>
        <v>0</v>
      </c>
      <c r="W1166" s="26">
        <f>IF(B1166="","",ROUND(T1166*V1166,2))</f>
        <v>0</v>
      </c>
      <c r="X1166" s="26">
        <f>IF(B1166="","",ROUND(IF(M1166="",0,W1166*M1166)+IF(N1166="",0,N1166),2))</f>
        <v>0</v>
      </c>
      <c r="Y1166" s="26">
        <f>IF(B1166="","",ROUND(W1166-X1166-IF(P1166="",0,P1166),2))</f>
        <v>0</v>
      </c>
      <c r="Z1166" s="26">
        <f>IF(B1166="","",IF(H1166="Retail",IF(TaxOnRetail="Yes",ROUND(Y1166*TaxRate,2),0),IF(H1166="Service",IF(TaxOnServices="Yes",ROUND(Y1166*TaxRate,2),0),0)))</f>
        <v>0</v>
      </c>
      <c r="AA1166" s="26">
        <f>IF(B1166="","",ROUND(Y1166+Z1166,2))</f>
        <v>0</v>
      </c>
      <c r="AB1166" s="26">
        <f>IF(B1166="","",ROUND(T1166*IF(H1166="Retail",IFERROR(INDEX(Inventory!$H$5:$H$304,MATCH(I1166,Inventory!$A$5:$A$304,0))*1,0),IFERROR(INDEX(Services!$Q$5:$Q$204,MATCH(I1166,Services!$A$5:$A$204,0))*1,0)),2))</f>
        <v>0</v>
      </c>
      <c r="AC1166" s="26">
        <f>IF(B1166="","",ROUND(Y1166-AB1166,2))</f>
        <v>0</v>
      </c>
      <c r="AD1166" s="38">
        <f>IF(B1166="","",IF(C1166="","No",IF(COUNTIFS($C$5:C1166,C1166)=1,"Yes","No")))</f>
        <v>0</v>
      </c>
      <c r="AE1166" s="26">
        <f>IF(B1166="","",ROUND(SUMIFS(Payments!$G$5:$G$1204,Payments!$H$5:$H$1204,A1166,Payments!$Q$5:$Q$1204,"Yes"),2))</f>
        <v>0</v>
      </c>
      <c r="AF1166" s="26">
        <f>IF(B1166="","",IF(AD1166="No",0,ROUND(SUMIFS(Payments!$G$5:$G$1204,Payments!$I$5:$I$1204,C1166,Payments!$H$5:$H$1204,"",Payments!$Q$5:$Q$1204,"Yes"),2)))</f>
        <v>0</v>
      </c>
      <c r="AG1166" s="26">
        <f>IF(B1166="","",ROUND(AE1166+AF1166,2))</f>
        <v>0</v>
      </c>
      <c r="AH1166" s="26">
        <f>IF(B1166="","",ROUND(AA1166-AG1166,2))</f>
        <v>0</v>
      </c>
      <c r="AI1166" s="39">
        <f>IF(B1166="","",IF(AA1166&lt;=0,"No charge",IF(AH1166&lt;=0.004,"Paid",IF(AG1166&lt;=0.004,"Unpaid","Part paid"))))</f>
        <v>0</v>
      </c>
      <c r="AJ1166" s="38">
        <f>IF(B1166="","",IF(H1166&lt;&gt;"Service","",IF(D1166="","No",IF(COUNTIFS($D$5:$D$1204,D1166,$B$5:$B$1204,B1166,$H$5:$H$1204,"Retail")&gt;0,"Yes","No"))))</f>
        <v>0</v>
      </c>
      <c r="AK1166" s="25">
        <f>IF(B1166="","",COUNTIFS($Y$5:$Y$1204,"&gt;"&amp;Y1166)+COUNTIFS($Y$5:Y1166,Y1166))</f>
        <v>0</v>
      </c>
      <c r="AL1166" s="39">
        <f>IF(B1166="","",IF(H1166="","Add - what kind of sale is this?",IF(IF(V1166&lt;=0,P1166="",FALSE),"Check - no price found for this item",IF(F1166="","Assign - nobody credited",IF(AH1166&gt;0.004,"Unpaid - balance outstanding",IF(AC1166&lt;0,"Loss - sold below cost",IF(X1166&gt;W1166*0.5,"Check - more than half off","OK")))))))</f>
        <v>0</v>
      </c>
    </row>
    <row r="1167" spans="1:38">
      <c r="A1167" s="28">
        <f>IF(B1167="","",SalePrefix&amp;TEXT(ROW()-4,"0000"))</f>
        <v>0</v>
      </c>
      <c r="E1167" s="15">
        <f>IF(D1167="","",IFERROR(INDEX(Clients!$B$5:$B$504,MATCH(D1167,Clients!$A$5:$A$504,0)),"Walk-in"))</f>
        <v>0</v>
      </c>
      <c r="G1167" s="15">
        <f>IF(F1167="","",IFERROR(INDEX(Staff!$B$5:$B$44,MATCH(F1167,Staff!$A$5:$A$44,0)),"House"))</f>
        <v>0</v>
      </c>
      <c r="R1167" s="15">
        <f>IF(B1167="","",TEXT(B1167,"yyyy-mm"))</f>
        <v>0</v>
      </c>
      <c r="S1167" s="25">
        <f>IF(B1167="","",WEEKNUM(B1167,2))</f>
        <v>0</v>
      </c>
      <c r="T1167" s="37">
        <f>IF(B1167="","",IF(K1167="",1,K1167))</f>
        <v>0</v>
      </c>
      <c r="U1167" s="15">
        <f>IF(B1167="","",IF(J1167&lt;&gt;"",J1167,IF(H1167="Retail",IFERROR(INDEX(Inventory!$B$5:$B$304,MATCH(I1167,Inventory!$A$5:$A$304,0))&amp;"","Not in Inventory"),IFERROR(INDEX(Services!$B$5:$B$204,MATCH(I1167,Services!$A$5:$A$204,0))&amp;"","Not in Services"))))</f>
        <v>0</v>
      </c>
      <c r="V1167" s="26">
        <f>IF(B1167="","",IF(L1167&lt;&gt;"",L1167,IF(H1167="Retail",IFERROR(INDEX(Inventory!$I$5:$I$304,MATCH(I1167,Inventory!$A$5:$A$304,0))*1,0),IFERROR(INDEX(Services!$G$5:$G$204,MATCH(I1167,Services!$A$5:$A$204,0))*1,0))))</f>
        <v>0</v>
      </c>
      <c r="W1167" s="26">
        <f>IF(B1167="","",ROUND(T1167*V1167,2))</f>
        <v>0</v>
      </c>
      <c r="X1167" s="26">
        <f>IF(B1167="","",ROUND(IF(M1167="",0,W1167*M1167)+IF(N1167="",0,N1167),2))</f>
        <v>0</v>
      </c>
      <c r="Y1167" s="26">
        <f>IF(B1167="","",ROUND(W1167-X1167-IF(P1167="",0,P1167),2))</f>
        <v>0</v>
      </c>
      <c r="Z1167" s="26">
        <f>IF(B1167="","",IF(H1167="Retail",IF(TaxOnRetail="Yes",ROUND(Y1167*TaxRate,2),0),IF(H1167="Service",IF(TaxOnServices="Yes",ROUND(Y1167*TaxRate,2),0),0)))</f>
        <v>0</v>
      </c>
      <c r="AA1167" s="26">
        <f>IF(B1167="","",ROUND(Y1167+Z1167,2))</f>
        <v>0</v>
      </c>
      <c r="AB1167" s="26">
        <f>IF(B1167="","",ROUND(T1167*IF(H1167="Retail",IFERROR(INDEX(Inventory!$H$5:$H$304,MATCH(I1167,Inventory!$A$5:$A$304,0))*1,0),IFERROR(INDEX(Services!$Q$5:$Q$204,MATCH(I1167,Services!$A$5:$A$204,0))*1,0)),2))</f>
        <v>0</v>
      </c>
      <c r="AC1167" s="26">
        <f>IF(B1167="","",ROUND(Y1167-AB1167,2))</f>
        <v>0</v>
      </c>
      <c r="AD1167" s="38">
        <f>IF(B1167="","",IF(C1167="","No",IF(COUNTIFS($C$5:C1167,C1167)=1,"Yes","No")))</f>
        <v>0</v>
      </c>
      <c r="AE1167" s="26">
        <f>IF(B1167="","",ROUND(SUMIFS(Payments!$G$5:$G$1204,Payments!$H$5:$H$1204,A1167,Payments!$Q$5:$Q$1204,"Yes"),2))</f>
        <v>0</v>
      </c>
      <c r="AF1167" s="26">
        <f>IF(B1167="","",IF(AD1167="No",0,ROUND(SUMIFS(Payments!$G$5:$G$1204,Payments!$I$5:$I$1204,C1167,Payments!$H$5:$H$1204,"",Payments!$Q$5:$Q$1204,"Yes"),2)))</f>
        <v>0</v>
      </c>
      <c r="AG1167" s="26">
        <f>IF(B1167="","",ROUND(AE1167+AF1167,2))</f>
        <v>0</v>
      </c>
      <c r="AH1167" s="26">
        <f>IF(B1167="","",ROUND(AA1167-AG1167,2))</f>
        <v>0</v>
      </c>
      <c r="AI1167" s="39">
        <f>IF(B1167="","",IF(AA1167&lt;=0,"No charge",IF(AH1167&lt;=0.004,"Paid",IF(AG1167&lt;=0.004,"Unpaid","Part paid"))))</f>
        <v>0</v>
      </c>
      <c r="AJ1167" s="38">
        <f>IF(B1167="","",IF(H1167&lt;&gt;"Service","",IF(D1167="","No",IF(COUNTIFS($D$5:$D$1204,D1167,$B$5:$B$1204,B1167,$H$5:$H$1204,"Retail")&gt;0,"Yes","No"))))</f>
        <v>0</v>
      </c>
      <c r="AK1167" s="25">
        <f>IF(B1167="","",COUNTIFS($Y$5:$Y$1204,"&gt;"&amp;Y1167)+COUNTIFS($Y$5:Y1167,Y1167))</f>
        <v>0</v>
      </c>
      <c r="AL1167" s="39">
        <f>IF(B1167="","",IF(H1167="","Add - what kind of sale is this?",IF(IF(V1167&lt;=0,P1167="",FALSE),"Check - no price found for this item",IF(F1167="","Assign - nobody credited",IF(AH1167&gt;0.004,"Unpaid - balance outstanding",IF(AC1167&lt;0,"Loss - sold below cost",IF(X1167&gt;W1167*0.5,"Check - more than half off","OK")))))))</f>
        <v>0</v>
      </c>
    </row>
    <row r="1168" spans="1:38">
      <c r="A1168" s="28">
        <f>IF(B1168="","",SalePrefix&amp;TEXT(ROW()-4,"0000"))</f>
        <v>0</v>
      </c>
      <c r="E1168" s="15">
        <f>IF(D1168="","",IFERROR(INDEX(Clients!$B$5:$B$504,MATCH(D1168,Clients!$A$5:$A$504,0)),"Walk-in"))</f>
        <v>0</v>
      </c>
      <c r="G1168" s="15">
        <f>IF(F1168="","",IFERROR(INDEX(Staff!$B$5:$B$44,MATCH(F1168,Staff!$A$5:$A$44,0)),"House"))</f>
        <v>0</v>
      </c>
      <c r="R1168" s="15">
        <f>IF(B1168="","",TEXT(B1168,"yyyy-mm"))</f>
        <v>0</v>
      </c>
      <c r="S1168" s="25">
        <f>IF(B1168="","",WEEKNUM(B1168,2))</f>
        <v>0</v>
      </c>
      <c r="T1168" s="37">
        <f>IF(B1168="","",IF(K1168="",1,K1168))</f>
        <v>0</v>
      </c>
      <c r="U1168" s="15">
        <f>IF(B1168="","",IF(J1168&lt;&gt;"",J1168,IF(H1168="Retail",IFERROR(INDEX(Inventory!$B$5:$B$304,MATCH(I1168,Inventory!$A$5:$A$304,0))&amp;"","Not in Inventory"),IFERROR(INDEX(Services!$B$5:$B$204,MATCH(I1168,Services!$A$5:$A$204,0))&amp;"","Not in Services"))))</f>
        <v>0</v>
      </c>
      <c r="V1168" s="26">
        <f>IF(B1168="","",IF(L1168&lt;&gt;"",L1168,IF(H1168="Retail",IFERROR(INDEX(Inventory!$I$5:$I$304,MATCH(I1168,Inventory!$A$5:$A$304,0))*1,0),IFERROR(INDEX(Services!$G$5:$G$204,MATCH(I1168,Services!$A$5:$A$204,0))*1,0))))</f>
        <v>0</v>
      </c>
      <c r="W1168" s="26">
        <f>IF(B1168="","",ROUND(T1168*V1168,2))</f>
        <v>0</v>
      </c>
      <c r="X1168" s="26">
        <f>IF(B1168="","",ROUND(IF(M1168="",0,W1168*M1168)+IF(N1168="",0,N1168),2))</f>
        <v>0</v>
      </c>
      <c r="Y1168" s="26">
        <f>IF(B1168="","",ROUND(W1168-X1168-IF(P1168="",0,P1168),2))</f>
        <v>0</v>
      </c>
      <c r="Z1168" s="26">
        <f>IF(B1168="","",IF(H1168="Retail",IF(TaxOnRetail="Yes",ROUND(Y1168*TaxRate,2),0),IF(H1168="Service",IF(TaxOnServices="Yes",ROUND(Y1168*TaxRate,2),0),0)))</f>
        <v>0</v>
      </c>
      <c r="AA1168" s="26">
        <f>IF(B1168="","",ROUND(Y1168+Z1168,2))</f>
        <v>0</v>
      </c>
      <c r="AB1168" s="26">
        <f>IF(B1168="","",ROUND(T1168*IF(H1168="Retail",IFERROR(INDEX(Inventory!$H$5:$H$304,MATCH(I1168,Inventory!$A$5:$A$304,0))*1,0),IFERROR(INDEX(Services!$Q$5:$Q$204,MATCH(I1168,Services!$A$5:$A$204,0))*1,0)),2))</f>
        <v>0</v>
      </c>
      <c r="AC1168" s="26">
        <f>IF(B1168="","",ROUND(Y1168-AB1168,2))</f>
        <v>0</v>
      </c>
      <c r="AD1168" s="38">
        <f>IF(B1168="","",IF(C1168="","No",IF(COUNTIFS($C$5:C1168,C1168)=1,"Yes","No")))</f>
        <v>0</v>
      </c>
      <c r="AE1168" s="26">
        <f>IF(B1168="","",ROUND(SUMIFS(Payments!$G$5:$G$1204,Payments!$H$5:$H$1204,A1168,Payments!$Q$5:$Q$1204,"Yes"),2))</f>
        <v>0</v>
      </c>
      <c r="AF1168" s="26">
        <f>IF(B1168="","",IF(AD1168="No",0,ROUND(SUMIFS(Payments!$G$5:$G$1204,Payments!$I$5:$I$1204,C1168,Payments!$H$5:$H$1204,"",Payments!$Q$5:$Q$1204,"Yes"),2)))</f>
        <v>0</v>
      </c>
      <c r="AG1168" s="26">
        <f>IF(B1168="","",ROUND(AE1168+AF1168,2))</f>
        <v>0</v>
      </c>
      <c r="AH1168" s="26">
        <f>IF(B1168="","",ROUND(AA1168-AG1168,2))</f>
        <v>0</v>
      </c>
      <c r="AI1168" s="39">
        <f>IF(B1168="","",IF(AA1168&lt;=0,"No charge",IF(AH1168&lt;=0.004,"Paid",IF(AG1168&lt;=0.004,"Unpaid","Part paid"))))</f>
        <v>0</v>
      </c>
      <c r="AJ1168" s="38">
        <f>IF(B1168="","",IF(H1168&lt;&gt;"Service","",IF(D1168="","No",IF(COUNTIFS($D$5:$D$1204,D1168,$B$5:$B$1204,B1168,$H$5:$H$1204,"Retail")&gt;0,"Yes","No"))))</f>
        <v>0</v>
      </c>
      <c r="AK1168" s="25">
        <f>IF(B1168="","",COUNTIFS($Y$5:$Y$1204,"&gt;"&amp;Y1168)+COUNTIFS($Y$5:Y1168,Y1168))</f>
        <v>0</v>
      </c>
      <c r="AL1168" s="39">
        <f>IF(B1168="","",IF(H1168="","Add - what kind of sale is this?",IF(IF(V1168&lt;=0,P1168="",FALSE),"Check - no price found for this item",IF(F1168="","Assign - nobody credited",IF(AH1168&gt;0.004,"Unpaid - balance outstanding",IF(AC1168&lt;0,"Loss - sold below cost",IF(X1168&gt;W1168*0.5,"Check - more than half off","OK")))))))</f>
        <v>0</v>
      </c>
    </row>
    <row r="1169" spans="1:38">
      <c r="A1169" s="28">
        <f>IF(B1169="","",SalePrefix&amp;TEXT(ROW()-4,"0000"))</f>
        <v>0</v>
      </c>
      <c r="E1169" s="15">
        <f>IF(D1169="","",IFERROR(INDEX(Clients!$B$5:$B$504,MATCH(D1169,Clients!$A$5:$A$504,0)),"Walk-in"))</f>
        <v>0</v>
      </c>
      <c r="G1169" s="15">
        <f>IF(F1169="","",IFERROR(INDEX(Staff!$B$5:$B$44,MATCH(F1169,Staff!$A$5:$A$44,0)),"House"))</f>
        <v>0</v>
      </c>
      <c r="R1169" s="15">
        <f>IF(B1169="","",TEXT(B1169,"yyyy-mm"))</f>
        <v>0</v>
      </c>
      <c r="S1169" s="25">
        <f>IF(B1169="","",WEEKNUM(B1169,2))</f>
        <v>0</v>
      </c>
      <c r="T1169" s="37">
        <f>IF(B1169="","",IF(K1169="",1,K1169))</f>
        <v>0</v>
      </c>
      <c r="U1169" s="15">
        <f>IF(B1169="","",IF(J1169&lt;&gt;"",J1169,IF(H1169="Retail",IFERROR(INDEX(Inventory!$B$5:$B$304,MATCH(I1169,Inventory!$A$5:$A$304,0))&amp;"","Not in Inventory"),IFERROR(INDEX(Services!$B$5:$B$204,MATCH(I1169,Services!$A$5:$A$204,0))&amp;"","Not in Services"))))</f>
        <v>0</v>
      </c>
      <c r="V1169" s="26">
        <f>IF(B1169="","",IF(L1169&lt;&gt;"",L1169,IF(H1169="Retail",IFERROR(INDEX(Inventory!$I$5:$I$304,MATCH(I1169,Inventory!$A$5:$A$304,0))*1,0),IFERROR(INDEX(Services!$G$5:$G$204,MATCH(I1169,Services!$A$5:$A$204,0))*1,0))))</f>
        <v>0</v>
      </c>
      <c r="W1169" s="26">
        <f>IF(B1169="","",ROUND(T1169*V1169,2))</f>
        <v>0</v>
      </c>
      <c r="X1169" s="26">
        <f>IF(B1169="","",ROUND(IF(M1169="",0,W1169*M1169)+IF(N1169="",0,N1169),2))</f>
        <v>0</v>
      </c>
      <c r="Y1169" s="26">
        <f>IF(B1169="","",ROUND(W1169-X1169-IF(P1169="",0,P1169),2))</f>
        <v>0</v>
      </c>
      <c r="Z1169" s="26">
        <f>IF(B1169="","",IF(H1169="Retail",IF(TaxOnRetail="Yes",ROUND(Y1169*TaxRate,2),0),IF(H1169="Service",IF(TaxOnServices="Yes",ROUND(Y1169*TaxRate,2),0),0)))</f>
        <v>0</v>
      </c>
      <c r="AA1169" s="26">
        <f>IF(B1169="","",ROUND(Y1169+Z1169,2))</f>
        <v>0</v>
      </c>
      <c r="AB1169" s="26">
        <f>IF(B1169="","",ROUND(T1169*IF(H1169="Retail",IFERROR(INDEX(Inventory!$H$5:$H$304,MATCH(I1169,Inventory!$A$5:$A$304,0))*1,0),IFERROR(INDEX(Services!$Q$5:$Q$204,MATCH(I1169,Services!$A$5:$A$204,0))*1,0)),2))</f>
        <v>0</v>
      </c>
      <c r="AC1169" s="26">
        <f>IF(B1169="","",ROUND(Y1169-AB1169,2))</f>
        <v>0</v>
      </c>
      <c r="AD1169" s="38">
        <f>IF(B1169="","",IF(C1169="","No",IF(COUNTIFS($C$5:C1169,C1169)=1,"Yes","No")))</f>
        <v>0</v>
      </c>
      <c r="AE1169" s="26">
        <f>IF(B1169="","",ROUND(SUMIFS(Payments!$G$5:$G$1204,Payments!$H$5:$H$1204,A1169,Payments!$Q$5:$Q$1204,"Yes"),2))</f>
        <v>0</v>
      </c>
      <c r="AF1169" s="26">
        <f>IF(B1169="","",IF(AD1169="No",0,ROUND(SUMIFS(Payments!$G$5:$G$1204,Payments!$I$5:$I$1204,C1169,Payments!$H$5:$H$1204,"",Payments!$Q$5:$Q$1204,"Yes"),2)))</f>
        <v>0</v>
      </c>
      <c r="AG1169" s="26">
        <f>IF(B1169="","",ROUND(AE1169+AF1169,2))</f>
        <v>0</v>
      </c>
      <c r="AH1169" s="26">
        <f>IF(B1169="","",ROUND(AA1169-AG1169,2))</f>
        <v>0</v>
      </c>
      <c r="AI1169" s="39">
        <f>IF(B1169="","",IF(AA1169&lt;=0,"No charge",IF(AH1169&lt;=0.004,"Paid",IF(AG1169&lt;=0.004,"Unpaid","Part paid"))))</f>
        <v>0</v>
      </c>
      <c r="AJ1169" s="38">
        <f>IF(B1169="","",IF(H1169&lt;&gt;"Service","",IF(D1169="","No",IF(COUNTIFS($D$5:$D$1204,D1169,$B$5:$B$1204,B1169,$H$5:$H$1204,"Retail")&gt;0,"Yes","No"))))</f>
        <v>0</v>
      </c>
      <c r="AK1169" s="25">
        <f>IF(B1169="","",COUNTIFS($Y$5:$Y$1204,"&gt;"&amp;Y1169)+COUNTIFS($Y$5:Y1169,Y1169))</f>
        <v>0</v>
      </c>
      <c r="AL1169" s="39">
        <f>IF(B1169="","",IF(H1169="","Add - what kind of sale is this?",IF(IF(V1169&lt;=0,P1169="",FALSE),"Check - no price found for this item",IF(F1169="","Assign - nobody credited",IF(AH1169&gt;0.004,"Unpaid - balance outstanding",IF(AC1169&lt;0,"Loss - sold below cost",IF(X1169&gt;W1169*0.5,"Check - more than half off","OK")))))))</f>
        <v>0</v>
      </c>
    </row>
    <row r="1170" spans="1:38">
      <c r="A1170" s="28">
        <f>IF(B1170="","",SalePrefix&amp;TEXT(ROW()-4,"0000"))</f>
        <v>0</v>
      </c>
      <c r="E1170" s="15">
        <f>IF(D1170="","",IFERROR(INDEX(Clients!$B$5:$B$504,MATCH(D1170,Clients!$A$5:$A$504,0)),"Walk-in"))</f>
        <v>0</v>
      </c>
      <c r="G1170" s="15">
        <f>IF(F1170="","",IFERROR(INDEX(Staff!$B$5:$B$44,MATCH(F1170,Staff!$A$5:$A$44,0)),"House"))</f>
        <v>0</v>
      </c>
      <c r="R1170" s="15">
        <f>IF(B1170="","",TEXT(B1170,"yyyy-mm"))</f>
        <v>0</v>
      </c>
      <c r="S1170" s="25">
        <f>IF(B1170="","",WEEKNUM(B1170,2))</f>
        <v>0</v>
      </c>
      <c r="T1170" s="37">
        <f>IF(B1170="","",IF(K1170="",1,K1170))</f>
        <v>0</v>
      </c>
      <c r="U1170" s="15">
        <f>IF(B1170="","",IF(J1170&lt;&gt;"",J1170,IF(H1170="Retail",IFERROR(INDEX(Inventory!$B$5:$B$304,MATCH(I1170,Inventory!$A$5:$A$304,0))&amp;"","Not in Inventory"),IFERROR(INDEX(Services!$B$5:$B$204,MATCH(I1170,Services!$A$5:$A$204,0))&amp;"","Not in Services"))))</f>
        <v>0</v>
      </c>
      <c r="V1170" s="26">
        <f>IF(B1170="","",IF(L1170&lt;&gt;"",L1170,IF(H1170="Retail",IFERROR(INDEX(Inventory!$I$5:$I$304,MATCH(I1170,Inventory!$A$5:$A$304,0))*1,0),IFERROR(INDEX(Services!$G$5:$G$204,MATCH(I1170,Services!$A$5:$A$204,0))*1,0))))</f>
        <v>0</v>
      </c>
      <c r="W1170" s="26">
        <f>IF(B1170="","",ROUND(T1170*V1170,2))</f>
        <v>0</v>
      </c>
      <c r="X1170" s="26">
        <f>IF(B1170="","",ROUND(IF(M1170="",0,W1170*M1170)+IF(N1170="",0,N1170),2))</f>
        <v>0</v>
      </c>
      <c r="Y1170" s="26">
        <f>IF(B1170="","",ROUND(W1170-X1170-IF(P1170="",0,P1170),2))</f>
        <v>0</v>
      </c>
      <c r="Z1170" s="26">
        <f>IF(B1170="","",IF(H1170="Retail",IF(TaxOnRetail="Yes",ROUND(Y1170*TaxRate,2),0),IF(H1170="Service",IF(TaxOnServices="Yes",ROUND(Y1170*TaxRate,2),0),0)))</f>
        <v>0</v>
      </c>
      <c r="AA1170" s="26">
        <f>IF(B1170="","",ROUND(Y1170+Z1170,2))</f>
        <v>0</v>
      </c>
      <c r="AB1170" s="26">
        <f>IF(B1170="","",ROUND(T1170*IF(H1170="Retail",IFERROR(INDEX(Inventory!$H$5:$H$304,MATCH(I1170,Inventory!$A$5:$A$304,0))*1,0),IFERROR(INDEX(Services!$Q$5:$Q$204,MATCH(I1170,Services!$A$5:$A$204,0))*1,0)),2))</f>
        <v>0</v>
      </c>
      <c r="AC1170" s="26">
        <f>IF(B1170="","",ROUND(Y1170-AB1170,2))</f>
        <v>0</v>
      </c>
      <c r="AD1170" s="38">
        <f>IF(B1170="","",IF(C1170="","No",IF(COUNTIFS($C$5:C1170,C1170)=1,"Yes","No")))</f>
        <v>0</v>
      </c>
      <c r="AE1170" s="26">
        <f>IF(B1170="","",ROUND(SUMIFS(Payments!$G$5:$G$1204,Payments!$H$5:$H$1204,A1170,Payments!$Q$5:$Q$1204,"Yes"),2))</f>
        <v>0</v>
      </c>
      <c r="AF1170" s="26">
        <f>IF(B1170="","",IF(AD1170="No",0,ROUND(SUMIFS(Payments!$G$5:$G$1204,Payments!$I$5:$I$1204,C1170,Payments!$H$5:$H$1204,"",Payments!$Q$5:$Q$1204,"Yes"),2)))</f>
        <v>0</v>
      </c>
      <c r="AG1170" s="26">
        <f>IF(B1170="","",ROUND(AE1170+AF1170,2))</f>
        <v>0</v>
      </c>
      <c r="AH1170" s="26">
        <f>IF(B1170="","",ROUND(AA1170-AG1170,2))</f>
        <v>0</v>
      </c>
      <c r="AI1170" s="39">
        <f>IF(B1170="","",IF(AA1170&lt;=0,"No charge",IF(AH1170&lt;=0.004,"Paid",IF(AG1170&lt;=0.004,"Unpaid","Part paid"))))</f>
        <v>0</v>
      </c>
      <c r="AJ1170" s="38">
        <f>IF(B1170="","",IF(H1170&lt;&gt;"Service","",IF(D1170="","No",IF(COUNTIFS($D$5:$D$1204,D1170,$B$5:$B$1204,B1170,$H$5:$H$1204,"Retail")&gt;0,"Yes","No"))))</f>
        <v>0</v>
      </c>
      <c r="AK1170" s="25">
        <f>IF(B1170="","",COUNTIFS($Y$5:$Y$1204,"&gt;"&amp;Y1170)+COUNTIFS($Y$5:Y1170,Y1170))</f>
        <v>0</v>
      </c>
      <c r="AL1170" s="39">
        <f>IF(B1170="","",IF(H1170="","Add - what kind of sale is this?",IF(IF(V1170&lt;=0,P1170="",FALSE),"Check - no price found for this item",IF(F1170="","Assign - nobody credited",IF(AH1170&gt;0.004,"Unpaid - balance outstanding",IF(AC1170&lt;0,"Loss - sold below cost",IF(X1170&gt;W1170*0.5,"Check - more than half off","OK")))))))</f>
        <v>0</v>
      </c>
    </row>
    <row r="1171" spans="1:38">
      <c r="A1171" s="28">
        <f>IF(B1171="","",SalePrefix&amp;TEXT(ROW()-4,"0000"))</f>
        <v>0</v>
      </c>
      <c r="E1171" s="15">
        <f>IF(D1171="","",IFERROR(INDEX(Clients!$B$5:$B$504,MATCH(D1171,Clients!$A$5:$A$504,0)),"Walk-in"))</f>
        <v>0</v>
      </c>
      <c r="G1171" s="15">
        <f>IF(F1171="","",IFERROR(INDEX(Staff!$B$5:$B$44,MATCH(F1171,Staff!$A$5:$A$44,0)),"House"))</f>
        <v>0</v>
      </c>
      <c r="R1171" s="15">
        <f>IF(B1171="","",TEXT(B1171,"yyyy-mm"))</f>
        <v>0</v>
      </c>
      <c r="S1171" s="25">
        <f>IF(B1171="","",WEEKNUM(B1171,2))</f>
        <v>0</v>
      </c>
      <c r="T1171" s="37">
        <f>IF(B1171="","",IF(K1171="",1,K1171))</f>
        <v>0</v>
      </c>
      <c r="U1171" s="15">
        <f>IF(B1171="","",IF(J1171&lt;&gt;"",J1171,IF(H1171="Retail",IFERROR(INDEX(Inventory!$B$5:$B$304,MATCH(I1171,Inventory!$A$5:$A$304,0))&amp;"","Not in Inventory"),IFERROR(INDEX(Services!$B$5:$B$204,MATCH(I1171,Services!$A$5:$A$204,0))&amp;"","Not in Services"))))</f>
        <v>0</v>
      </c>
      <c r="V1171" s="26">
        <f>IF(B1171="","",IF(L1171&lt;&gt;"",L1171,IF(H1171="Retail",IFERROR(INDEX(Inventory!$I$5:$I$304,MATCH(I1171,Inventory!$A$5:$A$304,0))*1,0),IFERROR(INDEX(Services!$G$5:$G$204,MATCH(I1171,Services!$A$5:$A$204,0))*1,0))))</f>
        <v>0</v>
      </c>
      <c r="W1171" s="26">
        <f>IF(B1171="","",ROUND(T1171*V1171,2))</f>
        <v>0</v>
      </c>
      <c r="X1171" s="26">
        <f>IF(B1171="","",ROUND(IF(M1171="",0,W1171*M1171)+IF(N1171="",0,N1171),2))</f>
        <v>0</v>
      </c>
      <c r="Y1171" s="26">
        <f>IF(B1171="","",ROUND(W1171-X1171-IF(P1171="",0,P1171),2))</f>
        <v>0</v>
      </c>
      <c r="Z1171" s="26">
        <f>IF(B1171="","",IF(H1171="Retail",IF(TaxOnRetail="Yes",ROUND(Y1171*TaxRate,2),0),IF(H1171="Service",IF(TaxOnServices="Yes",ROUND(Y1171*TaxRate,2),0),0)))</f>
        <v>0</v>
      </c>
      <c r="AA1171" s="26">
        <f>IF(B1171="","",ROUND(Y1171+Z1171,2))</f>
        <v>0</v>
      </c>
      <c r="AB1171" s="26">
        <f>IF(B1171="","",ROUND(T1171*IF(H1171="Retail",IFERROR(INDEX(Inventory!$H$5:$H$304,MATCH(I1171,Inventory!$A$5:$A$304,0))*1,0),IFERROR(INDEX(Services!$Q$5:$Q$204,MATCH(I1171,Services!$A$5:$A$204,0))*1,0)),2))</f>
        <v>0</v>
      </c>
      <c r="AC1171" s="26">
        <f>IF(B1171="","",ROUND(Y1171-AB1171,2))</f>
        <v>0</v>
      </c>
      <c r="AD1171" s="38">
        <f>IF(B1171="","",IF(C1171="","No",IF(COUNTIFS($C$5:C1171,C1171)=1,"Yes","No")))</f>
        <v>0</v>
      </c>
      <c r="AE1171" s="26">
        <f>IF(B1171="","",ROUND(SUMIFS(Payments!$G$5:$G$1204,Payments!$H$5:$H$1204,A1171,Payments!$Q$5:$Q$1204,"Yes"),2))</f>
        <v>0</v>
      </c>
      <c r="AF1171" s="26">
        <f>IF(B1171="","",IF(AD1171="No",0,ROUND(SUMIFS(Payments!$G$5:$G$1204,Payments!$I$5:$I$1204,C1171,Payments!$H$5:$H$1204,"",Payments!$Q$5:$Q$1204,"Yes"),2)))</f>
        <v>0</v>
      </c>
      <c r="AG1171" s="26">
        <f>IF(B1171="","",ROUND(AE1171+AF1171,2))</f>
        <v>0</v>
      </c>
      <c r="AH1171" s="26">
        <f>IF(B1171="","",ROUND(AA1171-AG1171,2))</f>
        <v>0</v>
      </c>
      <c r="AI1171" s="39">
        <f>IF(B1171="","",IF(AA1171&lt;=0,"No charge",IF(AH1171&lt;=0.004,"Paid",IF(AG1171&lt;=0.004,"Unpaid","Part paid"))))</f>
        <v>0</v>
      </c>
      <c r="AJ1171" s="38">
        <f>IF(B1171="","",IF(H1171&lt;&gt;"Service","",IF(D1171="","No",IF(COUNTIFS($D$5:$D$1204,D1171,$B$5:$B$1204,B1171,$H$5:$H$1204,"Retail")&gt;0,"Yes","No"))))</f>
        <v>0</v>
      </c>
      <c r="AK1171" s="25">
        <f>IF(B1171="","",COUNTIFS($Y$5:$Y$1204,"&gt;"&amp;Y1171)+COUNTIFS($Y$5:Y1171,Y1171))</f>
        <v>0</v>
      </c>
      <c r="AL1171" s="39">
        <f>IF(B1171="","",IF(H1171="","Add - what kind of sale is this?",IF(IF(V1171&lt;=0,P1171="",FALSE),"Check - no price found for this item",IF(F1171="","Assign - nobody credited",IF(AH1171&gt;0.004,"Unpaid - balance outstanding",IF(AC1171&lt;0,"Loss - sold below cost",IF(X1171&gt;W1171*0.5,"Check - more than half off","OK")))))))</f>
        <v>0</v>
      </c>
    </row>
    <row r="1172" spans="1:38">
      <c r="A1172" s="28">
        <f>IF(B1172="","",SalePrefix&amp;TEXT(ROW()-4,"0000"))</f>
        <v>0</v>
      </c>
      <c r="E1172" s="15">
        <f>IF(D1172="","",IFERROR(INDEX(Clients!$B$5:$B$504,MATCH(D1172,Clients!$A$5:$A$504,0)),"Walk-in"))</f>
        <v>0</v>
      </c>
      <c r="G1172" s="15">
        <f>IF(F1172="","",IFERROR(INDEX(Staff!$B$5:$B$44,MATCH(F1172,Staff!$A$5:$A$44,0)),"House"))</f>
        <v>0</v>
      </c>
      <c r="R1172" s="15">
        <f>IF(B1172="","",TEXT(B1172,"yyyy-mm"))</f>
        <v>0</v>
      </c>
      <c r="S1172" s="25">
        <f>IF(B1172="","",WEEKNUM(B1172,2))</f>
        <v>0</v>
      </c>
      <c r="T1172" s="37">
        <f>IF(B1172="","",IF(K1172="",1,K1172))</f>
        <v>0</v>
      </c>
      <c r="U1172" s="15">
        <f>IF(B1172="","",IF(J1172&lt;&gt;"",J1172,IF(H1172="Retail",IFERROR(INDEX(Inventory!$B$5:$B$304,MATCH(I1172,Inventory!$A$5:$A$304,0))&amp;"","Not in Inventory"),IFERROR(INDEX(Services!$B$5:$B$204,MATCH(I1172,Services!$A$5:$A$204,0))&amp;"","Not in Services"))))</f>
        <v>0</v>
      </c>
      <c r="V1172" s="26">
        <f>IF(B1172="","",IF(L1172&lt;&gt;"",L1172,IF(H1172="Retail",IFERROR(INDEX(Inventory!$I$5:$I$304,MATCH(I1172,Inventory!$A$5:$A$304,0))*1,0),IFERROR(INDEX(Services!$G$5:$G$204,MATCH(I1172,Services!$A$5:$A$204,0))*1,0))))</f>
        <v>0</v>
      </c>
      <c r="W1172" s="26">
        <f>IF(B1172="","",ROUND(T1172*V1172,2))</f>
        <v>0</v>
      </c>
      <c r="X1172" s="26">
        <f>IF(B1172="","",ROUND(IF(M1172="",0,W1172*M1172)+IF(N1172="",0,N1172),2))</f>
        <v>0</v>
      </c>
      <c r="Y1172" s="26">
        <f>IF(B1172="","",ROUND(W1172-X1172-IF(P1172="",0,P1172),2))</f>
        <v>0</v>
      </c>
      <c r="Z1172" s="26">
        <f>IF(B1172="","",IF(H1172="Retail",IF(TaxOnRetail="Yes",ROUND(Y1172*TaxRate,2),0),IF(H1172="Service",IF(TaxOnServices="Yes",ROUND(Y1172*TaxRate,2),0),0)))</f>
        <v>0</v>
      </c>
      <c r="AA1172" s="26">
        <f>IF(B1172="","",ROUND(Y1172+Z1172,2))</f>
        <v>0</v>
      </c>
      <c r="AB1172" s="26">
        <f>IF(B1172="","",ROUND(T1172*IF(H1172="Retail",IFERROR(INDEX(Inventory!$H$5:$H$304,MATCH(I1172,Inventory!$A$5:$A$304,0))*1,0),IFERROR(INDEX(Services!$Q$5:$Q$204,MATCH(I1172,Services!$A$5:$A$204,0))*1,0)),2))</f>
        <v>0</v>
      </c>
      <c r="AC1172" s="26">
        <f>IF(B1172="","",ROUND(Y1172-AB1172,2))</f>
        <v>0</v>
      </c>
      <c r="AD1172" s="38">
        <f>IF(B1172="","",IF(C1172="","No",IF(COUNTIFS($C$5:C1172,C1172)=1,"Yes","No")))</f>
        <v>0</v>
      </c>
      <c r="AE1172" s="26">
        <f>IF(B1172="","",ROUND(SUMIFS(Payments!$G$5:$G$1204,Payments!$H$5:$H$1204,A1172,Payments!$Q$5:$Q$1204,"Yes"),2))</f>
        <v>0</v>
      </c>
      <c r="AF1172" s="26">
        <f>IF(B1172="","",IF(AD1172="No",0,ROUND(SUMIFS(Payments!$G$5:$G$1204,Payments!$I$5:$I$1204,C1172,Payments!$H$5:$H$1204,"",Payments!$Q$5:$Q$1204,"Yes"),2)))</f>
        <v>0</v>
      </c>
      <c r="AG1172" s="26">
        <f>IF(B1172="","",ROUND(AE1172+AF1172,2))</f>
        <v>0</v>
      </c>
      <c r="AH1172" s="26">
        <f>IF(B1172="","",ROUND(AA1172-AG1172,2))</f>
        <v>0</v>
      </c>
      <c r="AI1172" s="39">
        <f>IF(B1172="","",IF(AA1172&lt;=0,"No charge",IF(AH1172&lt;=0.004,"Paid",IF(AG1172&lt;=0.004,"Unpaid","Part paid"))))</f>
        <v>0</v>
      </c>
      <c r="AJ1172" s="38">
        <f>IF(B1172="","",IF(H1172&lt;&gt;"Service","",IF(D1172="","No",IF(COUNTIFS($D$5:$D$1204,D1172,$B$5:$B$1204,B1172,$H$5:$H$1204,"Retail")&gt;0,"Yes","No"))))</f>
        <v>0</v>
      </c>
      <c r="AK1172" s="25">
        <f>IF(B1172="","",COUNTIFS($Y$5:$Y$1204,"&gt;"&amp;Y1172)+COUNTIFS($Y$5:Y1172,Y1172))</f>
        <v>0</v>
      </c>
      <c r="AL1172" s="39">
        <f>IF(B1172="","",IF(H1172="","Add - what kind of sale is this?",IF(IF(V1172&lt;=0,P1172="",FALSE),"Check - no price found for this item",IF(F1172="","Assign - nobody credited",IF(AH1172&gt;0.004,"Unpaid - balance outstanding",IF(AC1172&lt;0,"Loss - sold below cost",IF(X1172&gt;W1172*0.5,"Check - more than half off","OK")))))))</f>
        <v>0</v>
      </c>
    </row>
    <row r="1173" spans="1:38">
      <c r="A1173" s="28">
        <f>IF(B1173="","",SalePrefix&amp;TEXT(ROW()-4,"0000"))</f>
        <v>0</v>
      </c>
      <c r="E1173" s="15">
        <f>IF(D1173="","",IFERROR(INDEX(Clients!$B$5:$B$504,MATCH(D1173,Clients!$A$5:$A$504,0)),"Walk-in"))</f>
        <v>0</v>
      </c>
      <c r="G1173" s="15">
        <f>IF(F1173="","",IFERROR(INDEX(Staff!$B$5:$B$44,MATCH(F1173,Staff!$A$5:$A$44,0)),"House"))</f>
        <v>0</v>
      </c>
      <c r="R1173" s="15">
        <f>IF(B1173="","",TEXT(B1173,"yyyy-mm"))</f>
        <v>0</v>
      </c>
      <c r="S1173" s="25">
        <f>IF(B1173="","",WEEKNUM(B1173,2))</f>
        <v>0</v>
      </c>
      <c r="T1173" s="37">
        <f>IF(B1173="","",IF(K1173="",1,K1173))</f>
        <v>0</v>
      </c>
      <c r="U1173" s="15">
        <f>IF(B1173="","",IF(J1173&lt;&gt;"",J1173,IF(H1173="Retail",IFERROR(INDEX(Inventory!$B$5:$B$304,MATCH(I1173,Inventory!$A$5:$A$304,0))&amp;"","Not in Inventory"),IFERROR(INDEX(Services!$B$5:$B$204,MATCH(I1173,Services!$A$5:$A$204,0))&amp;"","Not in Services"))))</f>
        <v>0</v>
      </c>
      <c r="V1173" s="26">
        <f>IF(B1173="","",IF(L1173&lt;&gt;"",L1173,IF(H1173="Retail",IFERROR(INDEX(Inventory!$I$5:$I$304,MATCH(I1173,Inventory!$A$5:$A$304,0))*1,0),IFERROR(INDEX(Services!$G$5:$G$204,MATCH(I1173,Services!$A$5:$A$204,0))*1,0))))</f>
        <v>0</v>
      </c>
      <c r="W1173" s="26">
        <f>IF(B1173="","",ROUND(T1173*V1173,2))</f>
        <v>0</v>
      </c>
      <c r="X1173" s="26">
        <f>IF(B1173="","",ROUND(IF(M1173="",0,W1173*M1173)+IF(N1173="",0,N1173),2))</f>
        <v>0</v>
      </c>
      <c r="Y1173" s="26">
        <f>IF(B1173="","",ROUND(W1173-X1173-IF(P1173="",0,P1173),2))</f>
        <v>0</v>
      </c>
      <c r="Z1173" s="26">
        <f>IF(B1173="","",IF(H1173="Retail",IF(TaxOnRetail="Yes",ROUND(Y1173*TaxRate,2),0),IF(H1173="Service",IF(TaxOnServices="Yes",ROUND(Y1173*TaxRate,2),0),0)))</f>
        <v>0</v>
      </c>
      <c r="AA1173" s="26">
        <f>IF(B1173="","",ROUND(Y1173+Z1173,2))</f>
        <v>0</v>
      </c>
      <c r="AB1173" s="26">
        <f>IF(B1173="","",ROUND(T1173*IF(H1173="Retail",IFERROR(INDEX(Inventory!$H$5:$H$304,MATCH(I1173,Inventory!$A$5:$A$304,0))*1,0),IFERROR(INDEX(Services!$Q$5:$Q$204,MATCH(I1173,Services!$A$5:$A$204,0))*1,0)),2))</f>
        <v>0</v>
      </c>
      <c r="AC1173" s="26">
        <f>IF(B1173="","",ROUND(Y1173-AB1173,2))</f>
        <v>0</v>
      </c>
      <c r="AD1173" s="38">
        <f>IF(B1173="","",IF(C1173="","No",IF(COUNTIFS($C$5:C1173,C1173)=1,"Yes","No")))</f>
        <v>0</v>
      </c>
      <c r="AE1173" s="26">
        <f>IF(B1173="","",ROUND(SUMIFS(Payments!$G$5:$G$1204,Payments!$H$5:$H$1204,A1173,Payments!$Q$5:$Q$1204,"Yes"),2))</f>
        <v>0</v>
      </c>
      <c r="AF1173" s="26">
        <f>IF(B1173="","",IF(AD1173="No",0,ROUND(SUMIFS(Payments!$G$5:$G$1204,Payments!$I$5:$I$1204,C1173,Payments!$H$5:$H$1204,"",Payments!$Q$5:$Q$1204,"Yes"),2)))</f>
        <v>0</v>
      </c>
      <c r="AG1173" s="26">
        <f>IF(B1173="","",ROUND(AE1173+AF1173,2))</f>
        <v>0</v>
      </c>
      <c r="AH1173" s="26">
        <f>IF(B1173="","",ROUND(AA1173-AG1173,2))</f>
        <v>0</v>
      </c>
      <c r="AI1173" s="39">
        <f>IF(B1173="","",IF(AA1173&lt;=0,"No charge",IF(AH1173&lt;=0.004,"Paid",IF(AG1173&lt;=0.004,"Unpaid","Part paid"))))</f>
        <v>0</v>
      </c>
      <c r="AJ1173" s="38">
        <f>IF(B1173="","",IF(H1173&lt;&gt;"Service","",IF(D1173="","No",IF(COUNTIFS($D$5:$D$1204,D1173,$B$5:$B$1204,B1173,$H$5:$H$1204,"Retail")&gt;0,"Yes","No"))))</f>
        <v>0</v>
      </c>
      <c r="AK1173" s="25">
        <f>IF(B1173="","",COUNTIFS($Y$5:$Y$1204,"&gt;"&amp;Y1173)+COUNTIFS($Y$5:Y1173,Y1173))</f>
        <v>0</v>
      </c>
      <c r="AL1173" s="39">
        <f>IF(B1173="","",IF(H1173="","Add - what kind of sale is this?",IF(IF(V1173&lt;=0,P1173="",FALSE),"Check - no price found for this item",IF(F1173="","Assign - nobody credited",IF(AH1173&gt;0.004,"Unpaid - balance outstanding",IF(AC1173&lt;0,"Loss - sold below cost",IF(X1173&gt;W1173*0.5,"Check - more than half off","OK")))))))</f>
        <v>0</v>
      </c>
    </row>
    <row r="1174" spans="1:38">
      <c r="A1174" s="28">
        <f>IF(B1174="","",SalePrefix&amp;TEXT(ROW()-4,"0000"))</f>
        <v>0</v>
      </c>
      <c r="E1174" s="15">
        <f>IF(D1174="","",IFERROR(INDEX(Clients!$B$5:$B$504,MATCH(D1174,Clients!$A$5:$A$504,0)),"Walk-in"))</f>
        <v>0</v>
      </c>
      <c r="G1174" s="15">
        <f>IF(F1174="","",IFERROR(INDEX(Staff!$B$5:$B$44,MATCH(F1174,Staff!$A$5:$A$44,0)),"House"))</f>
        <v>0</v>
      </c>
      <c r="R1174" s="15">
        <f>IF(B1174="","",TEXT(B1174,"yyyy-mm"))</f>
        <v>0</v>
      </c>
      <c r="S1174" s="25">
        <f>IF(B1174="","",WEEKNUM(B1174,2))</f>
        <v>0</v>
      </c>
      <c r="T1174" s="37">
        <f>IF(B1174="","",IF(K1174="",1,K1174))</f>
        <v>0</v>
      </c>
      <c r="U1174" s="15">
        <f>IF(B1174="","",IF(J1174&lt;&gt;"",J1174,IF(H1174="Retail",IFERROR(INDEX(Inventory!$B$5:$B$304,MATCH(I1174,Inventory!$A$5:$A$304,0))&amp;"","Not in Inventory"),IFERROR(INDEX(Services!$B$5:$B$204,MATCH(I1174,Services!$A$5:$A$204,0))&amp;"","Not in Services"))))</f>
        <v>0</v>
      </c>
      <c r="V1174" s="26">
        <f>IF(B1174="","",IF(L1174&lt;&gt;"",L1174,IF(H1174="Retail",IFERROR(INDEX(Inventory!$I$5:$I$304,MATCH(I1174,Inventory!$A$5:$A$304,0))*1,0),IFERROR(INDEX(Services!$G$5:$G$204,MATCH(I1174,Services!$A$5:$A$204,0))*1,0))))</f>
        <v>0</v>
      </c>
      <c r="W1174" s="26">
        <f>IF(B1174="","",ROUND(T1174*V1174,2))</f>
        <v>0</v>
      </c>
      <c r="X1174" s="26">
        <f>IF(B1174="","",ROUND(IF(M1174="",0,W1174*M1174)+IF(N1174="",0,N1174),2))</f>
        <v>0</v>
      </c>
      <c r="Y1174" s="26">
        <f>IF(B1174="","",ROUND(W1174-X1174-IF(P1174="",0,P1174),2))</f>
        <v>0</v>
      </c>
      <c r="Z1174" s="26">
        <f>IF(B1174="","",IF(H1174="Retail",IF(TaxOnRetail="Yes",ROUND(Y1174*TaxRate,2),0),IF(H1174="Service",IF(TaxOnServices="Yes",ROUND(Y1174*TaxRate,2),0),0)))</f>
        <v>0</v>
      </c>
      <c r="AA1174" s="26">
        <f>IF(B1174="","",ROUND(Y1174+Z1174,2))</f>
        <v>0</v>
      </c>
      <c r="AB1174" s="26">
        <f>IF(B1174="","",ROUND(T1174*IF(H1174="Retail",IFERROR(INDEX(Inventory!$H$5:$H$304,MATCH(I1174,Inventory!$A$5:$A$304,0))*1,0),IFERROR(INDEX(Services!$Q$5:$Q$204,MATCH(I1174,Services!$A$5:$A$204,0))*1,0)),2))</f>
        <v>0</v>
      </c>
      <c r="AC1174" s="26">
        <f>IF(B1174="","",ROUND(Y1174-AB1174,2))</f>
        <v>0</v>
      </c>
      <c r="AD1174" s="38">
        <f>IF(B1174="","",IF(C1174="","No",IF(COUNTIFS($C$5:C1174,C1174)=1,"Yes","No")))</f>
        <v>0</v>
      </c>
      <c r="AE1174" s="26">
        <f>IF(B1174="","",ROUND(SUMIFS(Payments!$G$5:$G$1204,Payments!$H$5:$H$1204,A1174,Payments!$Q$5:$Q$1204,"Yes"),2))</f>
        <v>0</v>
      </c>
      <c r="AF1174" s="26">
        <f>IF(B1174="","",IF(AD1174="No",0,ROUND(SUMIFS(Payments!$G$5:$G$1204,Payments!$I$5:$I$1204,C1174,Payments!$H$5:$H$1204,"",Payments!$Q$5:$Q$1204,"Yes"),2)))</f>
        <v>0</v>
      </c>
      <c r="AG1174" s="26">
        <f>IF(B1174="","",ROUND(AE1174+AF1174,2))</f>
        <v>0</v>
      </c>
      <c r="AH1174" s="26">
        <f>IF(B1174="","",ROUND(AA1174-AG1174,2))</f>
        <v>0</v>
      </c>
      <c r="AI1174" s="39">
        <f>IF(B1174="","",IF(AA1174&lt;=0,"No charge",IF(AH1174&lt;=0.004,"Paid",IF(AG1174&lt;=0.004,"Unpaid","Part paid"))))</f>
        <v>0</v>
      </c>
      <c r="AJ1174" s="38">
        <f>IF(B1174="","",IF(H1174&lt;&gt;"Service","",IF(D1174="","No",IF(COUNTIFS($D$5:$D$1204,D1174,$B$5:$B$1204,B1174,$H$5:$H$1204,"Retail")&gt;0,"Yes","No"))))</f>
        <v>0</v>
      </c>
      <c r="AK1174" s="25">
        <f>IF(B1174="","",COUNTIFS($Y$5:$Y$1204,"&gt;"&amp;Y1174)+COUNTIFS($Y$5:Y1174,Y1174))</f>
        <v>0</v>
      </c>
      <c r="AL1174" s="39">
        <f>IF(B1174="","",IF(H1174="","Add - what kind of sale is this?",IF(IF(V1174&lt;=0,P1174="",FALSE),"Check - no price found for this item",IF(F1174="","Assign - nobody credited",IF(AH1174&gt;0.004,"Unpaid - balance outstanding",IF(AC1174&lt;0,"Loss - sold below cost",IF(X1174&gt;W1174*0.5,"Check - more than half off","OK")))))))</f>
        <v>0</v>
      </c>
    </row>
    <row r="1175" spans="1:38">
      <c r="A1175" s="28">
        <f>IF(B1175="","",SalePrefix&amp;TEXT(ROW()-4,"0000"))</f>
        <v>0</v>
      </c>
      <c r="E1175" s="15">
        <f>IF(D1175="","",IFERROR(INDEX(Clients!$B$5:$B$504,MATCH(D1175,Clients!$A$5:$A$504,0)),"Walk-in"))</f>
        <v>0</v>
      </c>
      <c r="G1175" s="15">
        <f>IF(F1175="","",IFERROR(INDEX(Staff!$B$5:$B$44,MATCH(F1175,Staff!$A$5:$A$44,0)),"House"))</f>
        <v>0</v>
      </c>
      <c r="R1175" s="15">
        <f>IF(B1175="","",TEXT(B1175,"yyyy-mm"))</f>
        <v>0</v>
      </c>
      <c r="S1175" s="25">
        <f>IF(B1175="","",WEEKNUM(B1175,2))</f>
        <v>0</v>
      </c>
      <c r="T1175" s="37">
        <f>IF(B1175="","",IF(K1175="",1,K1175))</f>
        <v>0</v>
      </c>
      <c r="U1175" s="15">
        <f>IF(B1175="","",IF(J1175&lt;&gt;"",J1175,IF(H1175="Retail",IFERROR(INDEX(Inventory!$B$5:$B$304,MATCH(I1175,Inventory!$A$5:$A$304,0))&amp;"","Not in Inventory"),IFERROR(INDEX(Services!$B$5:$B$204,MATCH(I1175,Services!$A$5:$A$204,0))&amp;"","Not in Services"))))</f>
        <v>0</v>
      </c>
      <c r="V1175" s="26">
        <f>IF(B1175="","",IF(L1175&lt;&gt;"",L1175,IF(H1175="Retail",IFERROR(INDEX(Inventory!$I$5:$I$304,MATCH(I1175,Inventory!$A$5:$A$304,0))*1,0),IFERROR(INDEX(Services!$G$5:$G$204,MATCH(I1175,Services!$A$5:$A$204,0))*1,0))))</f>
        <v>0</v>
      </c>
      <c r="W1175" s="26">
        <f>IF(B1175="","",ROUND(T1175*V1175,2))</f>
        <v>0</v>
      </c>
      <c r="X1175" s="26">
        <f>IF(B1175="","",ROUND(IF(M1175="",0,W1175*M1175)+IF(N1175="",0,N1175),2))</f>
        <v>0</v>
      </c>
      <c r="Y1175" s="26">
        <f>IF(B1175="","",ROUND(W1175-X1175-IF(P1175="",0,P1175),2))</f>
        <v>0</v>
      </c>
      <c r="Z1175" s="26">
        <f>IF(B1175="","",IF(H1175="Retail",IF(TaxOnRetail="Yes",ROUND(Y1175*TaxRate,2),0),IF(H1175="Service",IF(TaxOnServices="Yes",ROUND(Y1175*TaxRate,2),0),0)))</f>
        <v>0</v>
      </c>
      <c r="AA1175" s="26">
        <f>IF(B1175="","",ROUND(Y1175+Z1175,2))</f>
        <v>0</v>
      </c>
      <c r="AB1175" s="26">
        <f>IF(B1175="","",ROUND(T1175*IF(H1175="Retail",IFERROR(INDEX(Inventory!$H$5:$H$304,MATCH(I1175,Inventory!$A$5:$A$304,0))*1,0),IFERROR(INDEX(Services!$Q$5:$Q$204,MATCH(I1175,Services!$A$5:$A$204,0))*1,0)),2))</f>
        <v>0</v>
      </c>
      <c r="AC1175" s="26">
        <f>IF(B1175="","",ROUND(Y1175-AB1175,2))</f>
        <v>0</v>
      </c>
      <c r="AD1175" s="38">
        <f>IF(B1175="","",IF(C1175="","No",IF(COUNTIFS($C$5:C1175,C1175)=1,"Yes","No")))</f>
        <v>0</v>
      </c>
      <c r="AE1175" s="26">
        <f>IF(B1175="","",ROUND(SUMIFS(Payments!$G$5:$G$1204,Payments!$H$5:$H$1204,A1175,Payments!$Q$5:$Q$1204,"Yes"),2))</f>
        <v>0</v>
      </c>
      <c r="AF1175" s="26">
        <f>IF(B1175="","",IF(AD1175="No",0,ROUND(SUMIFS(Payments!$G$5:$G$1204,Payments!$I$5:$I$1204,C1175,Payments!$H$5:$H$1204,"",Payments!$Q$5:$Q$1204,"Yes"),2)))</f>
        <v>0</v>
      </c>
      <c r="AG1175" s="26">
        <f>IF(B1175="","",ROUND(AE1175+AF1175,2))</f>
        <v>0</v>
      </c>
      <c r="AH1175" s="26">
        <f>IF(B1175="","",ROUND(AA1175-AG1175,2))</f>
        <v>0</v>
      </c>
      <c r="AI1175" s="39">
        <f>IF(B1175="","",IF(AA1175&lt;=0,"No charge",IF(AH1175&lt;=0.004,"Paid",IF(AG1175&lt;=0.004,"Unpaid","Part paid"))))</f>
        <v>0</v>
      </c>
      <c r="AJ1175" s="38">
        <f>IF(B1175="","",IF(H1175&lt;&gt;"Service","",IF(D1175="","No",IF(COUNTIFS($D$5:$D$1204,D1175,$B$5:$B$1204,B1175,$H$5:$H$1204,"Retail")&gt;0,"Yes","No"))))</f>
        <v>0</v>
      </c>
      <c r="AK1175" s="25">
        <f>IF(B1175="","",COUNTIFS($Y$5:$Y$1204,"&gt;"&amp;Y1175)+COUNTIFS($Y$5:Y1175,Y1175))</f>
        <v>0</v>
      </c>
      <c r="AL1175" s="39">
        <f>IF(B1175="","",IF(H1175="","Add - what kind of sale is this?",IF(IF(V1175&lt;=0,P1175="",FALSE),"Check - no price found for this item",IF(F1175="","Assign - nobody credited",IF(AH1175&gt;0.004,"Unpaid - balance outstanding",IF(AC1175&lt;0,"Loss - sold below cost",IF(X1175&gt;W1175*0.5,"Check - more than half off","OK")))))))</f>
        <v>0</v>
      </c>
    </row>
    <row r="1176" spans="1:38">
      <c r="A1176" s="28">
        <f>IF(B1176="","",SalePrefix&amp;TEXT(ROW()-4,"0000"))</f>
        <v>0</v>
      </c>
      <c r="E1176" s="15">
        <f>IF(D1176="","",IFERROR(INDEX(Clients!$B$5:$B$504,MATCH(D1176,Clients!$A$5:$A$504,0)),"Walk-in"))</f>
        <v>0</v>
      </c>
      <c r="G1176" s="15">
        <f>IF(F1176="","",IFERROR(INDEX(Staff!$B$5:$B$44,MATCH(F1176,Staff!$A$5:$A$44,0)),"House"))</f>
        <v>0</v>
      </c>
      <c r="R1176" s="15">
        <f>IF(B1176="","",TEXT(B1176,"yyyy-mm"))</f>
        <v>0</v>
      </c>
      <c r="S1176" s="25">
        <f>IF(B1176="","",WEEKNUM(B1176,2))</f>
        <v>0</v>
      </c>
      <c r="T1176" s="37">
        <f>IF(B1176="","",IF(K1176="",1,K1176))</f>
        <v>0</v>
      </c>
      <c r="U1176" s="15">
        <f>IF(B1176="","",IF(J1176&lt;&gt;"",J1176,IF(H1176="Retail",IFERROR(INDEX(Inventory!$B$5:$B$304,MATCH(I1176,Inventory!$A$5:$A$304,0))&amp;"","Not in Inventory"),IFERROR(INDEX(Services!$B$5:$B$204,MATCH(I1176,Services!$A$5:$A$204,0))&amp;"","Not in Services"))))</f>
        <v>0</v>
      </c>
      <c r="V1176" s="26">
        <f>IF(B1176="","",IF(L1176&lt;&gt;"",L1176,IF(H1176="Retail",IFERROR(INDEX(Inventory!$I$5:$I$304,MATCH(I1176,Inventory!$A$5:$A$304,0))*1,0),IFERROR(INDEX(Services!$G$5:$G$204,MATCH(I1176,Services!$A$5:$A$204,0))*1,0))))</f>
        <v>0</v>
      </c>
      <c r="W1176" s="26">
        <f>IF(B1176="","",ROUND(T1176*V1176,2))</f>
        <v>0</v>
      </c>
      <c r="X1176" s="26">
        <f>IF(B1176="","",ROUND(IF(M1176="",0,W1176*M1176)+IF(N1176="",0,N1176),2))</f>
        <v>0</v>
      </c>
      <c r="Y1176" s="26">
        <f>IF(B1176="","",ROUND(W1176-X1176-IF(P1176="",0,P1176),2))</f>
        <v>0</v>
      </c>
      <c r="Z1176" s="26">
        <f>IF(B1176="","",IF(H1176="Retail",IF(TaxOnRetail="Yes",ROUND(Y1176*TaxRate,2),0),IF(H1176="Service",IF(TaxOnServices="Yes",ROUND(Y1176*TaxRate,2),0),0)))</f>
        <v>0</v>
      </c>
      <c r="AA1176" s="26">
        <f>IF(B1176="","",ROUND(Y1176+Z1176,2))</f>
        <v>0</v>
      </c>
      <c r="AB1176" s="26">
        <f>IF(B1176="","",ROUND(T1176*IF(H1176="Retail",IFERROR(INDEX(Inventory!$H$5:$H$304,MATCH(I1176,Inventory!$A$5:$A$304,0))*1,0),IFERROR(INDEX(Services!$Q$5:$Q$204,MATCH(I1176,Services!$A$5:$A$204,0))*1,0)),2))</f>
        <v>0</v>
      </c>
      <c r="AC1176" s="26">
        <f>IF(B1176="","",ROUND(Y1176-AB1176,2))</f>
        <v>0</v>
      </c>
      <c r="AD1176" s="38">
        <f>IF(B1176="","",IF(C1176="","No",IF(COUNTIFS($C$5:C1176,C1176)=1,"Yes","No")))</f>
        <v>0</v>
      </c>
      <c r="AE1176" s="26">
        <f>IF(B1176="","",ROUND(SUMIFS(Payments!$G$5:$G$1204,Payments!$H$5:$H$1204,A1176,Payments!$Q$5:$Q$1204,"Yes"),2))</f>
        <v>0</v>
      </c>
      <c r="AF1176" s="26">
        <f>IF(B1176="","",IF(AD1176="No",0,ROUND(SUMIFS(Payments!$G$5:$G$1204,Payments!$I$5:$I$1204,C1176,Payments!$H$5:$H$1204,"",Payments!$Q$5:$Q$1204,"Yes"),2)))</f>
        <v>0</v>
      </c>
      <c r="AG1176" s="26">
        <f>IF(B1176="","",ROUND(AE1176+AF1176,2))</f>
        <v>0</v>
      </c>
      <c r="AH1176" s="26">
        <f>IF(B1176="","",ROUND(AA1176-AG1176,2))</f>
        <v>0</v>
      </c>
      <c r="AI1176" s="39">
        <f>IF(B1176="","",IF(AA1176&lt;=0,"No charge",IF(AH1176&lt;=0.004,"Paid",IF(AG1176&lt;=0.004,"Unpaid","Part paid"))))</f>
        <v>0</v>
      </c>
      <c r="AJ1176" s="38">
        <f>IF(B1176="","",IF(H1176&lt;&gt;"Service","",IF(D1176="","No",IF(COUNTIFS($D$5:$D$1204,D1176,$B$5:$B$1204,B1176,$H$5:$H$1204,"Retail")&gt;0,"Yes","No"))))</f>
        <v>0</v>
      </c>
      <c r="AK1176" s="25">
        <f>IF(B1176="","",COUNTIFS($Y$5:$Y$1204,"&gt;"&amp;Y1176)+COUNTIFS($Y$5:Y1176,Y1176))</f>
        <v>0</v>
      </c>
      <c r="AL1176" s="39">
        <f>IF(B1176="","",IF(H1176="","Add - what kind of sale is this?",IF(IF(V1176&lt;=0,P1176="",FALSE),"Check - no price found for this item",IF(F1176="","Assign - nobody credited",IF(AH1176&gt;0.004,"Unpaid - balance outstanding",IF(AC1176&lt;0,"Loss - sold below cost",IF(X1176&gt;W1176*0.5,"Check - more than half off","OK")))))))</f>
        <v>0</v>
      </c>
    </row>
    <row r="1177" spans="1:38">
      <c r="A1177" s="28">
        <f>IF(B1177="","",SalePrefix&amp;TEXT(ROW()-4,"0000"))</f>
        <v>0</v>
      </c>
      <c r="E1177" s="15">
        <f>IF(D1177="","",IFERROR(INDEX(Clients!$B$5:$B$504,MATCH(D1177,Clients!$A$5:$A$504,0)),"Walk-in"))</f>
        <v>0</v>
      </c>
      <c r="G1177" s="15">
        <f>IF(F1177="","",IFERROR(INDEX(Staff!$B$5:$B$44,MATCH(F1177,Staff!$A$5:$A$44,0)),"House"))</f>
        <v>0</v>
      </c>
      <c r="R1177" s="15">
        <f>IF(B1177="","",TEXT(B1177,"yyyy-mm"))</f>
        <v>0</v>
      </c>
      <c r="S1177" s="25">
        <f>IF(B1177="","",WEEKNUM(B1177,2))</f>
        <v>0</v>
      </c>
      <c r="T1177" s="37">
        <f>IF(B1177="","",IF(K1177="",1,K1177))</f>
        <v>0</v>
      </c>
      <c r="U1177" s="15">
        <f>IF(B1177="","",IF(J1177&lt;&gt;"",J1177,IF(H1177="Retail",IFERROR(INDEX(Inventory!$B$5:$B$304,MATCH(I1177,Inventory!$A$5:$A$304,0))&amp;"","Not in Inventory"),IFERROR(INDEX(Services!$B$5:$B$204,MATCH(I1177,Services!$A$5:$A$204,0))&amp;"","Not in Services"))))</f>
        <v>0</v>
      </c>
      <c r="V1177" s="26">
        <f>IF(B1177="","",IF(L1177&lt;&gt;"",L1177,IF(H1177="Retail",IFERROR(INDEX(Inventory!$I$5:$I$304,MATCH(I1177,Inventory!$A$5:$A$304,0))*1,0),IFERROR(INDEX(Services!$G$5:$G$204,MATCH(I1177,Services!$A$5:$A$204,0))*1,0))))</f>
        <v>0</v>
      </c>
      <c r="W1177" s="26">
        <f>IF(B1177="","",ROUND(T1177*V1177,2))</f>
        <v>0</v>
      </c>
      <c r="X1177" s="26">
        <f>IF(B1177="","",ROUND(IF(M1177="",0,W1177*M1177)+IF(N1177="",0,N1177),2))</f>
        <v>0</v>
      </c>
      <c r="Y1177" s="26">
        <f>IF(B1177="","",ROUND(W1177-X1177-IF(P1177="",0,P1177),2))</f>
        <v>0</v>
      </c>
      <c r="Z1177" s="26">
        <f>IF(B1177="","",IF(H1177="Retail",IF(TaxOnRetail="Yes",ROUND(Y1177*TaxRate,2),0),IF(H1177="Service",IF(TaxOnServices="Yes",ROUND(Y1177*TaxRate,2),0),0)))</f>
        <v>0</v>
      </c>
      <c r="AA1177" s="26">
        <f>IF(B1177="","",ROUND(Y1177+Z1177,2))</f>
        <v>0</v>
      </c>
      <c r="AB1177" s="26">
        <f>IF(B1177="","",ROUND(T1177*IF(H1177="Retail",IFERROR(INDEX(Inventory!$H$5:$H$304,MATCH(I1177,Inventory!$A$5:$A$304,0))*1,0),IFERROR(INDEX(Services!$Q$5:$Q$204,MATCH(I1177,Services!$A$5:$A$204,0))*1,0)),2))</f>
        <v>0</v>
      </c>
      <c r="AC1177" s="26">
        <f>IF(B1177="","",ROUND(Y1177-AB1177,2))</f>
        <v>0</v>
      </c>
      <c r="AD1177" s="38">
        <f>IF(B1177="","",IF(C1177="","No",IF(COUNTIFS($C$5:C1177,C1177)=1,"Yes","No")))</f>
        <v>0</v>
      </c>
      <c r="AE1177" s="26">
        <f>IF(B1177="","",ROUND(SUMIFS(Payments!$G$5:$G$1204,Payments!$H$5:$H$1204,A1177,Payments!$Q$5:$Q$1204,"Yes"),2))</f>
        <v>0</v>
      </c>
      <c r="AF1177" s="26">
        <f>IF(B1177="","",IF(AD1177="No",0,ROUND(SUMIFS(Payments!$G$5:$G$1204,Payments!$I$5:$I$1204,C1177,Payments!$H$5:$H$1204,"",Payments!$Q$5:$Q$1204,"Yes"),2)))</f>
        <v>0</v>
      </c>
      <c r="AG1177" s="26">
        <f>IF(B1177="","",ROUND(AE1177+AF1177,2))</f>
        <v>0</v>
      </c>
      <c r="AH1177" s="26">
        <f>IF(B1177="","",ROUND(AA1177-AG1177,2))</f>
        <v>0</v>
      </c>
      <c r="AI1177" s="39">
        <f>IF(B1177="","",IF(AA1177&lt;=0,"No charge",IF(AH1177&lt;=0.004,"Paid",IF(AG1177&lt;=0.004,"Unpaid","Part paid"))))</f>
        <v>0</v>
      </c>
      <c r="AJ1177" s="38">
        <f>IF(B1177="","",IF(H1177&lt;&gt;"Service","",IF(D1177="","No",IF(COUNTIFS($D$5:$D$1204,D1177,$B$5:$B$1204,B1177,$H$5:$H$1204,"Retail")&gt;0,"Yes","No"))))</f>
        <v>0</v>
      </c>
      <c r="AK1177" s="25">
        <f>IF(B1177="","",COUNTIFS($Y$5:$Y$1204,"&gt;"&amp;Y1177)+COUNTIFS($Y$5:Y1177,Y1177))</f>
        <v>0</v>
      </c>
      <c r="AL1177" s="39">
        <f>IF(B1177="","",IF(H1177="","Add - what kind of sale is this?",IF(IF(V1177&lt;=0,P1177="",FALSE),"Check - no price found for this item",IF(F1177="","Assign - nobody credited",IF(AH1177&gt;0.004,"Unpaid - balance outstanding",IF(AC1177&lt;0,"Loss - sold below cost",IF(X1177&gt;W1177*0.5,"Check - more than half off","OK")))))))</f>
        <v>0</v>
      </c>
    </row>
    <row r="1178" spans="1:38">
      <c r="A1178" s="28">
        <f>IF(B1178="","",SalePrefix&amp;TEXT(ROW()-4,"0000"))</f>
        <v>0</v>
      </c>
      <c r="E1178" s="15">
        <f>IF(D1178="","",IFERROR(INDEX(Clients!$B$5:$B$504,MATCH(D1178,Clients!$A$5:$A$504,0)),"Walk-in"))</f>
        <v>0</v>
      </c>
      <c r="G1178" s="15">
        <f>IF(F1178="","",IFERROR(INDEX(Staff!$B$5:$B$44,MATCH(F1178,Staff!$A$5:$A$44,0)),"House"))</f>
        <v>0</v>
      </c>
      <c r="R1178" s="15">
        <f>IF(B1178="","",TEXT(B1178,"yyyy-mm"))</f>
        <v>0</v>
      </c>
      <c r="S1178" s="25">
        <f>IF(B1178="","",WEEKNUM(B1178,2))</f>
        <v>0</v>
      </c>
      <c r="T1178" s="37">
        <f>IF(B1178="","",IF(K1178="",1,K1178))</f>
        <v>0</v>
      </c>
      <c r="U1178" s="15">
        <f>IF(B1178="","",IF(J1178&lt;&gt;"",J1178,IF(H1178="Retail",IFERROR(INDEX(Inventory!$B$5:$B$304,MATCH(I1178,Inventory!$A$5:$A$304,0))&amp;"","Not in Inventory"),IFERROR(INDEX(Services!$B$5:$B$204,MATCH(I1178,Services!$A$5:$A$204,0))&amp;"","Not in Services"))))</f>
        <v>0</v>
      </c>
      <c r="V1178" s="26">
        <f>IF(B1178="","",IF(L1178&lt;&gt;"",L1178,IF(H1178="Retail",IFERROR(INDEX(Inventory!$I$5:$I$304,MATCH(I1178,Inventory!$A$5:$A$304,0))*1,0),IFERROR(INDEX(Services!$G$5:$G$204,MATCH(I1178,Services!$A$5:$A$204,0))*1,0))))</f>
        <v>0</v>
      </c>
      <c r="W1178" s="26">
        <f>IF(B1178="","",ROUND(T1178*V1178,2))</f>
        <v>0</v>
      </c>
      <c r="X1178" s="26">
        <f>IF(B1178="","",ROUND(IF(M1178="",0,W1178*M1178)+IF(N1178="",0,N1178),2))</f>
        <v>0</v>
      </c>
      <c r="Y1178" s="26">
        <f>IF(B1178="","",ROUND(W1178-X1178-IF(P1178="",0,P1178),2))</f>
        <v>0</v>
      </c>
      <c r="Z1178" s="26">
        <f>IF(B1178="","",IF(H1178="Retail",IF(TaxOnRetail="Yes",ROUND(Y1178*TaxRate,2),0),IF(H1178="Service",IF(TaxOnServices="Yes",ROUND(Y1178*TaxRate,2),0),0)))</f>
        <v>0</v>
      </c>
      <c r="AA1178" s="26">
        <f>IF(B1178="","",ROUND(Y1178+Z1178,2))</f>
        <v>0</v>
      </c>
      <c r="AB1178" s="26">
        <f>IF(B1178="","",ROUND(T1178*IF(H1178="Retail",IFERROR(INDEX(Inventory!$H$5:$H$304,MATCH(I1178,Inventory!$A$5:$A$304,0))*1,0),IFERROR(INDEX(Services!$Q$5:$Q$204,MATCH(I1178,Services!$A$5:$A$204,0))*1,0)),2))</f>
        <v>0</v>
      </c>
      <c r="AC1178" s="26">
        <f>IF(B1178="","",ROUND(Y1178-AB1178,2))</f>
        <v>0</v>
      </c>
      <c r="AD1178" s="38">
        <f>IF(B1178="","",IF(C1178="","No",IF(COUNTIFS($C$5:C1178,C1178)=1,"Yes","No")))</f>
        <v>0</v>
      </c>
      <c r="AE1178" s="26">
        <f>IF(B1178="","",ROUND(SUMIFS(Payments!$G$5:$G$1204,Payments!$H$5:$H$1204,A1178,Payments!$Q$5:$Q$1204,"Yes"),2))</f>
        <v>0</v>
      </c>
      <c r="AF1178" s="26">
        <f>IF(B1178="","",IF(AD1178="No",0,ROUND(SUMIFS(Payments!$G$5:$G$1204,Payments!$I$5:$I$1204,C1178,Payments!$H$5:$H$1204,"",Payments!$Q$5:$Q$1204,"Yes"),2)))</f>
        <v>0</v>
      </c>
      <c r="AG1178" s="26">
        <f>IF(B1178="","",ROUND(AE1178+AF1178,2))</f>
        <v>0</v>
      </c>
      <c r="AH1178" s="26">
        <f>IF(B1178="","",ROUND(AA1178-AG1178,2))</f>
        <v>0</v>
      </c>
      <c r="AI1178" s="39">
        <f>IF(B1178="","",IF(AA1178&lt;=0,"No charge",IF(AH1178&lt;=0.004,"Paid",IF(AG1178&lt;=0.004,"Unpaid","Part paid"))))</f>
        <v>0</v>
      </c>
      <c r="AJ1178" s="38">
        <f>IF(B1178="","",IF(H1178&lt;&gt;"Service","",IF(D1178="","No",IF(COUNTIFS($D$5:$D$1204,D1178,$B$5:$B$1204,B1178,$H$5:$H$1204,"Retail")&gt;0,"Yes","No"))))</f>
        <v>0</v>
      </c>
      <c r="AK1178" s="25">
        <f>IF(B1178="","",COUNTIFS($Y$5:$Y$1204,"&gt;"&amp;Y1178)+COUNTIFS($Y$5:Y1178,Y1178))</f>
        <v>0</v>
      </c>
      <c r="AL1178" s="39">
        <f>IF(B1178="","",IF(H1178="","Add - what kind of sale is this?",IF(IF(V1178&lt;=0,P1178="",FALSE),"Check - no price found for this item",IF(F1178="","Assign - nobody credited",IF(AH1178&gt;0.004,"Unpaid - balance outstanding",IF(AC1178&lt;0,"Loss - sold below cost",IF(X1178&gt;W1178*0.5,"Check - more than half off","OK")))))))</f>
        <v>0</v>
      </c>
    </row>
    <row r="1179" spans="1:38">
      <c r="A1179" s="28">
        <f>IF(B1179="","",SalePrefix&amp;TEXT(ROW()-4,"0000"))</f>
        <v>0</v>
      </c>
      <c r="E1179" s="15">
        <f>IF(D1179="","",IFERROR(INDEX(Clients!$B$5:$B$504,MATCH(D1179,Clients!$A$5:$A$504,0)),"Walk-in"))</f>
        <v>0</v>
      </c>
      <c r="G1179" s="15">
        <f>IF(F1179="","",IFERROR(INDEX(Staff!$B$5:$B$44,MATCH(F1179,Staff!$A$5:$A$44,0)),"House"))</f>
        <v>0</v>
      </c>
      <c r="R1179" s="15">
        <f>IF(B1179="","",TEXT(B1179,"yyyy-mm"))</f>
        <v>0</v>
      </c>
      <c r="S1179" s="25">
        <f>IF(B1179="","",WEEKNUM(B1179,2))</f>
        <v>0</v>
      </c>
      <c r="T1179" s="37">
        <f>IF(B1179="","",IF(K1179="",1,K1179))</f>
        <v>0</v>
      </c>
      <c r="U1179" s="15">
        <f>IF(B1179="","",IF(J1179&lt;&gt;"",J1179,IF(H1179="Retail",IFERROR(INDEX(Inventory!$B$5:$B$304,MATCH(I1179,Inventory!$A$5:$A$304,0))&amp;"","Not in Inventory"),IFERROR(INDEX(Services!$B$5:$B$204,MATCH(I1179,Services!$A$5:$A$204,0))&amp;"","Not in Services"))))</f>
        <v>0</v>
      </c>
      <c r="V1179" s="26">
        <f>IF(B1179="","",IF(L1179&lt;&gt;"",L1179,IF(H1179="Retail",IFERROR(INDEX(Inventory!$I$5:$I$304,MATCH(I1179,Inventory!$A$5:$A$304,0))*1,0),IFERROR(INDEX(Services!$G$5:$G$204,MATCH(I1179,Services!$A$5:$A$204,0))*1,0))))</f>
        <v>0</v>
      </c>
      <c r="W1179" s="26">
        <f>IF(B1179="","",ROUND(T1179*V1179,2))</f>
        <v>0</v>
      </c>
      <c r="X1179" s="26">
        <f>IF(B1179="","",ROUND(IF(M1179="",0,W1179*M1179)+IF(N1179="",0,N1179),2))</f>
        <v>0</v>
      </c>
      <c r="Y1179" s="26">
        <f>IF(B1179="","",ROUND(W1179-X1179-IF(P1179="",0,P1179),2))</f>
        <v>0</v>
      </c>
      <c r="Z1179" s="26">
        <f>IF(B1179="","",IF(H1179="Retail",IF(TaxOnRetail="Yes",ROUND(Y1179*TaxRate,2),0),IF(H1179="Service",IF(TaxOnServices="Yes",ROUND(Y1179*TaxRate,2),0),0)))</f>
        <v>0</v>
      </c>
      <c r="AA1179" s="26">
        <f>IF(B1179="","",ROUND(Y1179+Z1179,2))</f>
        <v>0</v>
      </c>
      <c r="AB1179" s="26">
        <f>IF(B1179="","",ROUND(T1179*IF(H1179="Retail",IFERROR(INDEX(Inventory!$H$5:$H$304,MATCH(I1179,Inventory!$A$5:$A$304,0))*1,0),IFERROR(INDEX(Services!$Q$5:$Q$204,MATCH(I1179,Services!$A$5:$A$204,0))*1,0)),2))</f>
        <v>0</v>
      </c>
      <c r="AC1179" s="26">
        <f>IF(B1179="","",ROUND(Y1179-AB1179,2))</f>
        <v>0</v>
      </c>
      <c r="AD1179" s="38">
        <f>IF(B1179="","",IF(C1179="","No",IF(COUNTIFS($C$5:C1179,C1179)=1,"Yes","No")))</f>
        <v>0</v>
      </c>
      <c r="AE1179" s="26">
        <f>IF(B1179="","",ROUND(SUMIFS(Payments!$G$5:$G$1204,Payments!$H$5:$H$1204,A1179,Payments!$Q$5:$Q$1204,"Yes"),2))</f>
        <v>0</v>
      </c>
      <c r="AF1179" s="26">
        <f>IF(B1179="","",IF(AD1179="No",0,ROUND(SUMIFS(Payments!$G$5:$G$1204,Payments!$I$5:$I$1204,C1179,Payments!$H$5:$H$1204,"",Payments!$Q$5:$Q$1204,"Yes"),2)))</f>
        <v>0</v>
      </c>
      <c r="AG1179" s="26">
        <f>IF(B1179="","",ROUND(AE1179+AF1179,2))</f>
        <v>0</v>
      </c>
      <c r="AH1179" s="26">
        <f>IF(B1179="","",ROUND(AA1179-AG1179,2))</f>
        <v>0</v>
      </c>
      <c r="AI1179" s="39">
        <f>IF(B1179="","",IF(AA1179&lt;=0,"No charge",IF(AH1179&lt;=0.004,"Paid",IF(AG1179&lt;=0.004,"Unpaid","Part paid"))))</f>
        <v>0</v>
      </c>
      <c r="AJ1179" s="38">
        <f>IF(B1179="","",IF(H1179&lt;&gt;"Service","",IF(D1179="","No",IF(COUNTIFS($D$5:$D$1204,D1179,$B$5:$B$1204,B1179,$H$5:$H$1204,"Retail")&gt;0,"Yes","No"))))</f>
        <v>0</v>
      </c>
      <c r="AK1179" s="25">
        <f>IF(B1179="","",COUNTIFS($Y$5:$Y$1204,"&gt;"&amp;Y1179)+COUNTIFS($Y$5:Y1179,Y1179))</f>
        <v>0</v>
      </c>
      <c r="AL1179" s="39">
        <f>IF(B1179="","",IF(H1179="","Add - what kind of sale is this?",IF(IF(V1179&lt;=0,P1179="",FALSE),"Check - no price found for this item",IF(F1179="","Assign - nobody credited",IF(AH1179&gt;0.004,"Unpaid - balance outstanding",IF(AC1179&lt;0,"Loss - sold below cost",IF(X1179&gt;W1179*0.5,"Check - more than half off","OK")))))))</f>
        <v>0</v>
      </c>
    </row>
    <row r="1180" spans="1:38">
      <c r="A1180" s="28">
        <f>IF(B1180="","",SalePrefix&amp;TEXT(ROW()-4,"0000"))</f>
        <v>0</v>
      </c>
      <c r="E1180" s="15">
        <f>IF(D1180="","",IFERROR(INDEX(Clients!$B$5:$B$504,MATCH(D1180,Clients!$A$5:$A$504,0)),"Walk-in"))</f>
        <v>0</v>
      </c>
      <c r="G1180" s="15">
        <f>IF(F1180="","",IFERROR(INDEX(Staff!$B$5:$B$44,MATCH(F1180,Staff!$A$5:$A$44,0)),"House"))</f>
        <v>0</v>
      </c>
      <c r="R1180" s="15">
        <f>IF(B1180="","",TEXT(B1180,"yyyy-mm"))</f>
        <v>0</v>
      </c>
      <c r="S1180" s="25">
        <f>IF(B1180="","",WEEKNUM(B1180,2))</f>
        <v>0</v>
      </c>
      <c r="T1180" s="37">
        <f>IF(B1180="","",IF(K1180="",1,K1180))</f>
        <v>0</v>
      </c>
      <c r="U1180" s="15">
        <f>IF(B1180="","",IF(J1180&lt;&gt;"",J1180,IF(H1180="Retail",IFERROR(INDEX(Inventory!$B$5:$B$304,MATCH(I1180,Inventory!$A$5:$A$304,0))&amp;"","Not in Inventory"),IFERROR(INDEX(Services!$B$5:$B$204,MATCH(I1180,Services!$A$5:$A$204,0))&amp;"","Not in Services"))))</f>
        <v>0</v>
      </c>
      <c r="V1180" s="26">
        <f>IF(B1180="","",IF(L1180&lt;&gt;"",L1180,IF(H1180="Retail",IFERROR(INDEX(Inventory!$I$5:$I$304,MATCH(I1180,Inventory!$A$5:$A$304,0))*1,0),IFERROR(INDEX(Services!$G$5:$G$204,MATCH(I1180,Services!$A$5:$A$204,0))*1,0))))</f>
        <v>0</v>
      </c>
      <c r="W1180" s="26">
        <f>IF(B1180="","",ROUND(T1180*V1180,2))</f>
        <v>0</v>
      </c>
      <c r="X1180" s="26">
        <f>IF(B1180="","",ROUND(IF(M1180="",0,W1180*M1180)+IF(N1180="",0,N1180),2))</f>
        <v>0</v>
      </c>
      <c r="Y1180" s="26">
        <f>IF(B1180="","",ROUND(W1180-X1180-IF(P1180="",0,P1180),2))</f>
        <v>0</v>
      </c>
      <c r="Z1180" s="26">
        <f>IF(B1180="","",IF(H1180="Retail",IF(TaxOnRetail="Yes",ROUND(Y1180*TaxRate,2),0),IF(H1180="Service",IF(TaxOnServices="Yes",ROUND(Y1180*TaxRate,2),0),0)))</f>
        <v>0</v>
      </c>
      <c r="AA1180" s="26">
        <f>IF(B1180="","",ROUND(Y1180+Z1180,2))</f>
        <v>0</v>
      </c>
      <c r="AB1180" s="26">
        <f>IF(B1180="","",ROUND(T1180*IF(H1180="Retail",IFERROR(INDEX(Inventory!$H$5:$H$304,MATCH(I1180,Inventory!$A$5:$A$304,0))*1,0),IFERROR(INDEX(Services!$Q$5:$Q$204,MATCH(I1180,Services!$A$5:$A$204,0))*1,0)),2))</f>
        <v>0</v>
      </c>
      <c r="AC1180" s="26">
        <f>IF(B1180="","",ROUND(Y1180-AB1180,2))</f>
        <v>0</v>
      </c>
      <c r="AD1180" s="38">
        <f>IF(B1180="","",IF(C1180="","No",IF(COUNTIFS($C$5:C1180,C1180)=1,"Yes","No")))</f>
        <v>0</v>
      </c>
      <c r="AE1180" s="26">
        <f>IF(B1180="","",ROUND(SUMIFS(Payments!$G$5:$G$1204,Payments!$H$5:$H$1204,A1180,Payments!$Q$5:$Q$1204,"Yes"),2))</f>
        <v>0</v>
      </c>
      <c r="AF1180" s="26">
        <f>IF(B1180="","",IF(AD1180="No",0,ROUND(SUMIFS(Payments!$G$5:$G$1204,Payments!$I$5:$I$1204,C1180,Payments!$H$5:$H$1204,"",Payments!$Q$5:$Q$1204,"Yes"),2)))</f>
        <v>0</v>
      </c>
      <c r="AG1180" s="26">
        <f>IF(B1180="","",ROUND(AE1180+AF1180,2))</f>
        <v>0</v>
      </c>
      <c r="AH1180" s="26">
        <f>IF(B1180="","",ROUND(AA1180-AG1180,2))</f>
        <v>0</v>
      </c>
      <c r="AI1180" s="39">
        <f>IF(B1180="","",IF(AA1180&lt;=0,"No charge",IF(AH1180&lt;=0.004,"Paid",IF(AG1180&lt;=0.004,"Unpaid","Part paid"))))</f>
        <v>0</v>
      </c>
      <c r="AJ1180" s="38">
        <f>IF(B1180="","",IF(H1180&lt;&gt;"Service","",IF(D1180="","No",IF(COUNTIFS($D$5:$D$1204,D1180,$B$5:$B$1204,B1180,$H$5:$H$1204,"Retail")&gt;0,"Yes","No"))))</f>
        <v>0</v>
      </c>
      <c r="AK1180" s="25">
        <f>IF(B1180="","",COUNTIFS($Y$5:$Y$1204,"&gt;"&amp;Y1180)+COUNTIFS($Y$5:Y1180,Y1180))</f>
        <v>0</v>
      </c>
      <c r="AL1180" s="39">
        <f>IF(B1180="","",IF(H1180="","Add - what kind of sale is this?",IF(IF(V1180&lt;=0,P1180="",FALSE),"Check - no price found for this item",IF(F1180="","Assign - nobody credited",IF(AH1180&gt;0.004,"Unpaid - balance outstanding",IF(AC1180&lt;0,"Loss - sold below cost",IF(X1180&gt;W1180*0.5,"Check - more than half off","OK")))))))</f>
        <v>0</v>
      </c>
    </row>
    <row r="1181" spans="1:38">
      <c r="A1181" s="28">
        <f>IF(B1181="","",SalePrefix&amp;TEXT(ROW()-4,"0000"))</f>
        <v>0</v>
      </c>
      <c r="E1181" s="15">
        <f>IF(D1181="","",IFERROR(INDEX(Clients!$B$5:$B$504,MATCH(D1181,Clients!$A$5:$A$504,0)),"Walk-in"))</f>
        <v>0</v>
      </c>
      <c r="G1181" s="15">
        <f>IF(F1181="","",IFERROR(INDEX(Staff!$B$5:$B$44,MATCH(F1181,Staff!$A$5:$A$44,0)),"House"))</f>
        <v>0</v>
      </c>
      <c r="R1181" s="15">
        <f>IF(B1181="","",TEXT(B1181,"yyyy-mm"))</f>
        <v>0</v>
      </c>
      <c r="S1181" s="25">
        <f>IF(B1181="","",WEEKNUM(B1181,2))</f>
        <v>0</v>
      </c>
      <c r="T1181" s="37">
        <f>IF(B1181="","",IF(K1181="",1,K1181))</f>
        <v>0</v>
      </c>
      <c r="U1181" s="15">
        <f>IF(B1181="","",IF(J1181&lt;&gt;"",J1181,IF(H1181="Retail",IFERROR(INDEX(Inventory!$B$5:$B$304,MATCH(I1181,Inventory!$A$5:$A$304,0))&amp;"","Not in Inventory"),IFERROR(INDEX(Services!$B$5:$B$204,MATCH(I1181,Services!$A$5:$A$204,0))&amp;"","Not in Services"))))</f>
        <v>0</v>
      </c>
      <c r="V1181" s="26">
        <f>IF(B1181="","",IF(L1181&lt;&gt;"",L1181,IF(H1181="Retail",IFERROR(INDEX(Inventory!$I$5:$I$304,MATCH(I1181,Inventory!$A$5:$A$304,0))*1,0),IFERROR(INDEX(Services!$G$5:$G$204,MATCH(I1181,Services!$A$5:$A$204,0))*1,0))))</f>
        <v>0</v>
      </c>
      <c r="W1181" s="26">
        <f>IF(B1181="","",ROUND(T1181*V1181,2))</f>
        <v>0</v>
      </c>
      <c r="X1181" s="26">
        <f>IF(B1181="","",ROUND(IF(M1181="",0,W1181*M1181)+IF(N1181="",0,N1181),2))</f>
        <v>0</v>
      </c>
      <c r="Y1181" s="26">
        <f>IF(B1181="","",ROUND(W1181-X1181-IF(P1181="",0,P1181),2))</f>
        <v>0</v>
      </c>
      <c r="Z1181" s="26">
        <f>IF(B1181="","",IF(H1181="Retail",IF(TaxOnRetail="Yes",ROUND(Y1181*TaxRate,2),0),IF(H1181="Service",IF(TaxOnServices="Yes",ROUND(Y1181*TaxRate,2),0),0)))</f>
        <v>0</v>
      </c>
      <c r="AA1181" s="26">
        <f>IF(B1181="","",ROUND(Y1181+Z1181,2))</f>
        <v>0</v>
      </c>
      <c r="AB1181" s="26">
        <f>IF(B1181="","",ROUND(T1181*IF(H1181="Retail",IFERROR(INDEX(Inventory!$H$5:$H$304,MATCH(I1181,Inventory!$A$5:$A$304,0))*1,0),IFERROR(INDEX(Services!$Q$5:$Q$204,MATCH(I1181,Services!$A$5:$A$204,0))*1,0)),2))</f>
        <v>0</v>
      </c>
      <c r="AC1181" s="26">
        <f>IF(B1181="","",ROUND(Y1181-AB1181,2))</f>
        <v>0</v>
      </c>
      <c r="AD1181" s="38">
        <f>IF(B1181="","",IF(C1181="","No",IF(COUNTIFS($C$5:C1181,C1181)=1,"Yes","No")))</f>
        <v>0</v>
      </c>
      <c r="AE1181" s="26">
        <f>IF(B1181="","",ROUND(SUMIFS(Payments!$G$5:$G$1204,Payments!$H$5:$H$1204,A1181,Payments!$Q$5:$Q$1204,"Yes"),2))</f>
        <v>0</v>
      </c>
      <c r="AF1181" s="26">
        <f>IF(B1181="","",IF(AD1181="No",0,ROUND(SUMIFS(Payments!$G$5:$G$1204,Payments!$I$5:$I$1204,C1181,Payments!$H$5:$H$1204,"",Payments!$Q$5:$Q$1204,"Yes"),2)))</f>
        <v>0</v>
      </c>
      <c r="AG1181" s="26">
        <f>IF(B1181="","",ROUND(AE1181+AF1181,2))</f>
        <v>0</v>
      </c>
      <c r="AH1181" s="26">
        <f>IF(B1181="","",ROUND(AA1181-AG1181,2))</f>
        <v>0</v>
      </c>
      <c r="AI1181" s="39">
        <f>IF(B1181="","",IF(AA1181&lt;=0,"No charge",IF(AH1181&lt;=0.004,"Paid",IF(AG1181&lt;=0.004,"Unpaid","Part paid"))))</f>
        <v>0</v>
      </c>
      <c r="AJ1181" s="38">
        <f>IF(B1181="","",IF(H1181&lt;&gt;"Service","",IF(D1181="","No",IF(COUNTIFS($D$5:$D$1204,D1181,$B$5:$B$1204,B1181,$H$5:$H$1204,"Retail")&gt;0,"Yes","No"))))</f>
        <v>0</v>
      </c>
      <c r="AK1181" s="25">
        <f>IF(B1181="","",COUNTIFS($Y$5:$Y$1204,"&gt;"&amp;Y1181)+COUNTIFS($Y$5:Y1181,Y1181))</f>
        <v>0</v>
      </c>
      <c r="AL1181" s="39">
        <f>IF(B1181="","",IF(H1181="","Add - what kind of sale is this?",IF(IF(V1181&lt;=0,P1181="",FALSE),"Check - no price found for this item",IF(F1181="","Assign - nobody credited",IF(AH1181&gt;0.004,"Unpaid - balance outstanding",IF(AC1181&lt;0,"Loss - sold below cost",IF(X1181&gt;W1181*0.5,"Check - more than half off","OK")))))))</f>
        <v>0</v>
      </c>
    </row>
    <row r="1182" spans="1:38">
      <c r="A1182" s="28">
        <f>IF(B1182="","",SalePrefix&amp;TEXT(ROW()-4,"0000"))</f>
        <v>0</v>
      </c>
      <c r="E1182" s="15">
        <f>IF(D1182="","",IFERROR(INDEX(Clients!$B$5:$B$504,MATCH(D1182,Clients!$A$5:$A$504,0)),"Walk-in"))</f>
        <v>0</v>
      </c>
      <c r="G1182" s="15">
        <f>IF(F1182="","",IFERROR(INDEX(Staff!$B$5:$B$44,MATCH(F1182,Staff!$A$5:$A$44,0)),"House"))</f>
        <v>0</v>
      </c>
      <c r="R1182" s="15">
        <f>IF(B1182="","",TEXT(B1182,"yyyy-mm"))</f>
        <v>0</v>
      </c>
      <c r="S1182" s="25">
        <f>IF(B1182="","",WEEKNUM(B1182,2))</f>
        <v>0</v>
      </c>
      <c r="T1182" s="37">
        <f>IF(B1182="","",IF(K1182="",1,K1182))</f>
        <v>0</v>
      </c>
      <c r="U1182" s="15">
        <f>IF(B1182="","",IF(J1182&lt;&gt;"",J1182,IF(H1182="Retail",IFERROR(INDEX(Inventory!$B$5:$B$304,MATCH(I1182,Inventory!$A$5:$A$304,0))&amp;"","Not in Inventory"),IFERROR(INDEX(Services!$B$5:$B$204,MATCH(I1182,Services!$A$5:$A$204,0))&amp;"","Not in Services"))))</f>
        <v>0</v>
      </c>
      <c r="V1182" s="26">
        <f>IF(B1182="","",IF(L1182&lt;&gt;"",L1182,IF(H1182="Retail",IFERROR(INDEX(Inventory!$I$5:$I$304,MATCH(I1182,Inventory!$A$5:$A$304,0))*1,0),IFERROR(INDEX(Services!$G$5:$G$204,MATCH(I1182,Services!$A$5:$A$204,0))*1,0))))</f>
        <v>0</v>
      </c>
      <c r="W1182" s="26">
        <f>IF(B1182="","",ROUND(T1182*V1182,2))</f>
        <v>0</v>
      </c>
      <c r="X1182" s="26">
        <f>IF(B1182="","",ROUND(IF(M1182="",0,W1182*M1182)+IF(N1182="",0,N1182),2))</f>
        <v>0</v>
      </c>
      <c r="Y1182" s="26">
        <f>IF(B1182="","",ROUND(W1182-X1182-IF(P1182="",0,P1182),2))</f>
        <v>0</v>
      </c>
      <c r="Z1182" s="26">
        <f>IF(B1182="","",IF(H1182="Retail",IF(TaxOnRetail="Yes",ROUND(Y1182*TaxRate,2),0),IF(H1182="Service",IF(TaxOnServices="Yes",ROUND(Y1182*TaxRate,2),0),0)))</f>
        <v>0</v>
      </c>
      <c r="AA1182" s="26">
        <f>IF(B1182="","",ROUND(Y1182+Z1182,2))</f>
        <v>0</v>
      </c>
      <c r="AB1182" s="26">
        <f>IF(B1182="","",ROUND(T1182*IF(H1182="Retail",IFERROR(INDEX(Inventory!$H$5:$H$304,MATCH(I1182,Inventory!$A$5:$A$304,0))*1,0),IFERROR(INDEX(Services!$Q$5:$Q$204,MATCH(I1182,Services!$A$5:$A$204,0))*1,0)),2))</f>
        <v>0</v>
      </c>
      <c r="AC1182" s="26">
        <f>IF(B1182="","",ROUND(Y1182-AB1182,2))</f>
        <v>0</v>
      </c>
      <c r="AD1182" s="38">
        <f>IF(B1182="","",IF(C1182="","No",IF(COUNTIFS($C$5:C1182,C1182)=1,"Yes","No")))</f>
        <v>0</v>
      </c>
      <c r="AE1182" s="26">
        <f>IF(B1182="","",ROUND(SUMIFS(Payments!$G$5:$G$1204,Payments!$H$5:$H$1204,A1182,Payments!$Q$5:$Q$1204,"Yes"),2))</f>
        <v>0</v>
      </c>
      <c r="AF1182" s="26">
        <f>IF(B1182="","",IF(AD1182="No",0,ROUND(SUMIFS(Payments!$G$5:$G$1204,Payments!$I$5:$I$1204,C1182,Payments!$H$5:$H$1204,"",Payments!$Q$5:$Q$1204,"Yes"),2)))</f>
        <v>0</v>
      </c>
      <c r="AG1182" s="26">
        <f>IF(B1182="","",ROUND(AE1182+AF1182,2))</f>
        <v>0</v>
      </c>
      <c r="AH1182" s="26">
        <f>IF(B1182="","",ROUND(AA1182-AG1182,2))</f>
        <v>0</v>
      </c>
      <c r="AI1182" s="39">
        <f>IF(B1182="","",IF(AA1182&lt;=0,"No charge",IF(AH1182&lt;=0.004,"Paid",IF(AG1182&lt;=0.004,"Unpaid","Part paid"))))</f>
        <v>0</v>
      </c>
      <c r="AJ1182" s="38">
        <f>IF(B1182="","",IF(H1182&lt;&gt;"Service","",IF(D1182="","No",IF(COUNTIFS($D$5:$D$1204,D1182,$B$5:$B$1204,B1182,$H$5:$H$1204,"Retail")&gt;0,"Yes","No"))))</f>
        <v>0</v>
      </c>
      <c r="AK1182" s="25">
        <f>IF(B1182="","",COUNTIFS($Y$5:$Y$1204,"&gt;"&amp;Y1182)+COUNTIFS($Y$5:Y1182,Y1182))</f>
        <v>0</v>
      </c>
      <c r="AL1182" s="39">
        <f>IF(B1182="","",IF(H1182="","Add - what kind of sale is this?",IF(IF(V1182&lt;=0,P1182="",FALSE),"Check - no price found for this item",IF(F1182="","Assign - nobody credited",IF(AH1182&gt;0.004,"Unpaid - balance outstanding",IF(AC1182&lt;0,"Loss - sold below cost",IF(X1182&gt;W1182*0.5,"Check - more than half off","OK")))))))</f>
        <v>0</v>
      </c>
    </row>
    <row r="1183" spans="1:38">
      <c r="A1183" s="28">
        <f>IF(B1183="","",SalePrefix&amp;TEXT(ROW()-4,"0000"))</f>
        <v>0</v>
      </c>
      <c r="E1183" s="15">
        <f>IF(D1183="","",IFERROR(INDEX(Clients!$B$5:$B$504,MATCH(D1183,Clients!$A$5:$A$504,0)),"Walk-in"))</f>
        <v>0</v>
      </c>
      <c r="G1183" s="15">
        <f>IF(F1183="","",IFERROR(INDEX(Staff!$B$5:$B$44,MATCH(F1183,Staff!$A$5:$A$44,0)),"House"))</f>
        <v>0</v>
      </c>
      <c r="R1183" s="15">
        <f>IF(B1183="","",TEXT(B1183,"yyyy-mm"))</f>
        <v>0</v>
      </c>
      <c r="S1183" s="25">
        <f>IF(B1183="","",WEEKNUM(B1183,2))</f>
        <v>0</v>
      </c>
      <c r="T1183" s="37">
        <f>IF(B1183="","",IF(K1183="",1,K1183))</f>
        <v>0</v>
      </c>
      <c r="U1183" s="15">
        <f>IF(B1183="","",IF(J1183&lt;&gt;"",J1183,IF(H1183="Retail",IFERROR(INDEX(Inventory!$B$5:$B$304,MATCH(I1183,Inventory!$A$5:$A$304,0))&amp;"","Not in Inventory"),IFERROR(INDEX(Services!$B$5:$B$204,MATCH(I1183,Services!$A$5:$A$204,0))&amp;"","Not in Services"))))</f>
        <v>0</v>
      </c>
      <c r="V1183" s="26">
        <f>IF(B1183="","",IF(L1183&lt;&gt;"",L1183,IF(H1183="Retail",IFERROR(INDEX(Inventory!$I$5:$I$304,MATCH(I1183,Inventory!$A$5:$A$304,0))*1,0),IFERROR(INDEX(Services!$G$5:$G$204,MATCH(I1183,Services!$A$5:$A$204,0))*1,0))))</f>
        <v>0</v>
      </c>
      <c r="W1183" s="26">
        <f>IF(B1183="","",ROUND(T1183*V1183,2))</f>
        <v>0</v>
      </c>
      <c r="X1183" s="26">
        <f>IF(B1183="","",ROUND(IF(M1183="",0,W1183*M1183)+IF(N1183="",0,N1183),2))</f>
        <v>0</v>
      </c>
      <c r="Y1183" s="26">
        <f>IF(B1183="","",ROUND(W1183-X1183-IF(P1183="",0,P1183),2))</f>
        <v>0</v>
      </c>
      <c r="Z1183" s="26">
        <f>IF(B1183="","",IF(H1183="Retail",IF(TaxOnRetail="Yes",ROUND(Y1183*TaxRate,2),0),IF(H1183="Service",IF(TaxOnServices="Yes",ROUND(Y1183*TaxRate,2),0),0)))</f>
        <v>0</v>
      </c>
      <c r="AA1183" s="26">
        <f>IF(B1183="","",ROUND(Y1183+Z1183,2))</f>
        <v>0</v>
      </c>
      <c r="AB1183" s="26">
        <f>IF(B1183="","",ROUND(T1183*IF(H1183="Retail",IFERROR(INDEX(Inventory!$H$5:$H$304,MATCH(I1183,Inventory!$A$5:$A$304,0))*1,0),IFERROR(INDEX(Services!$Q$5:$Q$204,MATCH(I1183,Services!$A$5:$A$204,0))*1,0)),2))</f>
        <v>0</v>
      </c>
      <c r="AC1183" s="26">
        <f>IF(B1183="","",ROUND(Y1183-AB1183,2))</f>
        <v>0</v>
      </c>
      <c r="AD1183" s="38">
        <f>IF(B1183="","",IF(C1183="","No",IF(COUNTIFS($C$5:C1183,C1183)=1,"Yes","No")))</f>
        <v>0</v>
      </c>
      <c r="AE1183" s="26">
        <f>IF(B1183="","",ROUND(SUMIFS(Payments!$G$5:$G$1204,Payments!$H$5:$H$1204,A1183,Payments!$Q$5:$Q$1204,"Yes"),2))</f>
        <v>0</v>
      </c>
      <c r="AF1183" s="26">
        <f>IF(B1183="","",IF(AD1183="No",0,ROUND(SUMIFS(Payments!$G$5:$G$1204,Payments!$I$5:$I$1204,C1183,Payments!$H$5:$H$1204,"",Payments!$Q$5:$Q$1204,"Yes"),2)))</f>
        <v>0</v>
      </c>
      <c r="AG1183" s="26">
        <f>IF(B1183="","",ROUND(AE1183+AF1183,2))</f>
        <v>0</v>
      </c>
      <c r="AH1183" s="26">
        <f>IF(B1183="","",ROUND(AA1183-AG1183,2))</f>
        <v>0</v>
      </c>
      <c r="AI1183" s="39">
        <f>IF(B1183="","",IF(AA1183&lt;=0,"No charge",IF(AH1183&lt;=0.004,"Paid",IF(AG1183&lt;=0.004,"Unpaid","Part paid"))))</f>
        <v>0</v>
      </c>
      <c r="AJ1183" s="38">
        <f>IF(B1183="","",IF(H1183&lt;&gt;"Service","",IF(D1183="","No",IF(COUNTIFS($D$5:$D$1204,D1183,$B$5:$B$1204,B1183,$H$5:$H$1204,"Retail")&gt;0,"Yes","No"))))</f>
        <v>0</v>
      </c>
      <c r="AK1183" s="25">
        <f>IF(B1183="","",COUNTIFS($Y$5:$Y$1204,"&gt;"&amp;Y1183)+COUNTIFS($Y$5:Y1183,Y1183))</f>
        <v>0</v>
      </c>
      <c r="AL1183" s="39">
        <f>IF(B1183="","",IF(H1183="","Add - what kind of sale is this?",IF(IF(V1183&lt;=0,P1183="",FALSE),"Check - no price found for this item",IF(F1183="","Assign - nobody credited",IF(AH1183&gt;0.004,"Unpaid - balance outstanding",IF(AC1183&lt;0,"Loss - sold below cost",IF(X1183&gt;W1183*0.5,"Check - more than half off","OK")))))))</f>
        <v>0</v>
      </c>
    </row>
    <row r="1184" spans="1:38">
      <c r="A1184" s="28">
        <f>IF(B1184="","",SalePrefix&amp;TEXT(ROW()-4,"0000"))</f>
        <v>0</v>
      </c>
      <c r="E1184" s="15">
        <f>IF(D1184="","",IFERROR(INDEX(Clients!$B$5:$B$504,MATCH(D1184,Clients!$A$5:$A$504,0)),"Walk-in"))</f>
        <v>0</v>
      </c>
      <c r="G1184" s="15">
        <f>IF(F1184="","",IFERROR(INDEX(Staff!$B$5:$B$44,MATCH(F1184,Staff!$A$5:$A$44,0)),"House"))</f>
        <v>0</v>
      </c>
      <c r="R1184" s="15">
        <f>IF(B1184="","",TEXT(B1184,"yyyy-mm"))</f>
        <v>0</v>
      </c>
      <c r="S1184" s="25">
        <f>IF(B1184="","",WEEKNUM(B1184,2))</f>
        <v>0</v>
      </c>
      <c r="T1184" s="37">
        <f>IF(B1184="","",IF(K1184="",1,K1184))</f>
        <v>0</v>
      </c>
      <c r="U1184" s="15">
        <f>IF(B1184="","",IF(J1184&lt;&gt;"",J1184,IF(H1184="Retail",IFERROR(INDEX(Inventory!$B$5:$B$304,MATCH(I1184,Inventory!$A$5:$A$304,0))&amp;"","Not in Inventory"),IFERROR(INDEX(Services!$B$5:$B$204,MATCH(I1184,Services!$A$5:$A$204,0))&amp;"","Not in Services"))))</f>
        <v>0</v>
      </c>
      <c r="V1184" s="26">
        <f>IF(B1184="","",IF(L1184&lt;&gt;"",L1184,IF(H1184="Retail",IFERROR(INDEX(Inventory!$I$5:$I$304,MATCH(I1184,Inventory!$A$5:$A$304,0))*1,0),IFERROR(INDEX(Services!$G$5:$G$204,MATCH(I1184,Services!$A$5:$A$204,0))*1,0))))</f>
        <v>0</v>
      </c>
      <c r="W1184" s="26">
        <f>IF(B1184="","",ROUND(T1184*V1184,2))</f>
        <v>0</v>
      </c>
      <c r="X1184" s="26">
        <f>IF(B1184="","",ROUND(IF(M1184="",0,W1184*M1184)+IF(N1184="",0,N1184),2))</f>
        <v>0</v>
      </c>
      <c r="Y1184" s="26">
        <f>IF(B1184="","",ROUND(W1184-X1184-IF(P1184="",0,P1184),2))</f>
        <v>0</v>
      </c>
      <c r="Z1184" s="26">
        <f>IF(B1184="","",IF(H1184="Retail",IF(TaxOnRetail="Yes",ROUND(Y1184*TaxRate,2),0),IF(H1184="Service",IF(TaxOnServices="Yes",ROUND(Y1184*TaxRate,2),0),0)))</f>
        <v>0</v>
      </c>
      <c r="AA1184" s="26">
        <f>IF(B1184="","",ROUND(Y1184+Z1184,2))</f>
        <v>0</v>
      </c>
      <c r="AB1184" s="26">
        <f>IF(B1184="","",ROUND(T1184*IF(H1184="Retail",IFERROR(INDEX(Inventory!$H$5:$H$304,MATCH(I1184,Inventory!$A$5:$A$304,0))*1,0),IFERROR(INDEX(Services!$Q$5:$Q$204,MATCH(I1184,Services!$A$5:$A$204,0))*1,0)),2))</f>
        <v>0</v>
      </c>
      <c r="AC1184" s="26">
        <f>IF(B1184="","",ROUND(Y1184-AB1184,2))</f>
        <v>0</v>
      </c>
      <c r="AD1184" s="38">
        <f>IF(B1184="","",IF(C1184="","No",IF(COUNTIFS($C$5:C1184,C1184)=1,"Yes","No")))</f>
        <v>0</v>
      </c>
      <c r="AE1184" s="26">
        <f>IF(B1184="","",ROUND(SUMIFS(Payments!$G$5:$G$1204,Payments!$H$5:$H$1204,A1184,Payments!$Q$5:$Q$1204,"Yes"),2))</f>
        <v>0</v>
      </c>
      <c r="AF1184" s="26">
        <f>IF(B1184="","",IF(AD1184="No",0,ROUND(SUMIFS(Payments!$G$5:$G$1204,Payments!$I$5:$I$1204,C1184,Payments!$H$5:$H$1204,"",Payments!$Q$5:$Q$1204,"Yes"),2)))</f>
        <v>0</v>
      </c>
      <c r="AG1184" s="26">
        <f>IF(B1184="","",ROUND(AE1184+AF1184,2))</f>
        <v>0</v>
      </c>
      <c r="AH1184" s="26">
        <f>IF(B1184="","",ROUND(AA1184-AG1184,2))</f>
        <v>0</v>
      </c>
      <c r="AI1184" s="39">
        <f>IF(B1184="","",IF(AA1184&lt;=0,"No charge",IF(AH1184&lt;=0.004,"Paid",IF(AG1184&lt;=0.004,"Unpaid","Part paid"))))</f>
        <v>0</v>
      </c>
      <c r="AJ1184" s="38">
        <f>IF(B1184="","",IF(H1184&lt;&gt;"Service","",IF(D1184="","No",IF(COUNTIFS($D$5:$D$1204,D1184,$B$5:$B$1204,B1184,$H$5:$H$1204,"Retail")&gt;0,"Yes","No"))))</f>
        <v>0</v>
      </c>
      <c r="AK1184" s="25">
        <f>IF(B1184="","",COUNTIFS($Y$5:$Y$1204,"&gt;"&amp;Y1184)+COUNTIFS($Y$5:Y1184,Y1184))</f>
        <v>0</v>
      </c>
      <c r="AL1184" s="39">
        <f>IF(B1184="","",IF(H1184="","Add - what kind of sale is this?",IF(IF(V1184&lt;=0,P1184="",FALSE),"Check - no price found for this item",IF(F1184="","Assign - nobody credited",IF(AH1184&gt;0.004,"Unpaid - balance outstanding",IF(AC1184&lt;0,"Loss - sold below cost",IF(X1184&gt;W1184*0.5,"Check - more than half off","OK")))))))</f>
        <v>0</v>
      </c>
    </row>
    <row r="1185" spans="1:38">
      <c r="A1185" s="28">
        <f>IF(B1185="","",SalePrefix&amp;TEXT(ROW()-4,"0000"))</f>
        <v>0</v>
      </c>
      <c r="E1185" s="15">
        <f>IF(D1185="","",IFERROR(INDEX(Clients!$B$5:$B$504,MATCH(D1185,Clients!$A$5:$A$504,0)),"Walk-in"))</f>
        <v>0</v>
      </c>
      <c r="G1185" s="15">
        <f>IF(F1185="","",IFERROR(INDEX(Staff!$B$5:$B$44,MATCH(F1185,Staff!$A$5:$A$44,0)),"House"))</f>
        <v>0</v>
      </c>
      <c r="R1185" s="15">
        <f>IF(B1185="","",TEXT(B1185,"yyyy-mm"))</f>
        <v>0</v>
      </c>
      <c r="S1185" s="25">
        <f>IF(B1185="","",WEEKNUM(B1185,2))</f>
        <v>0</v>
      </c>
      <c r="T1185" s="37">
        <f>IF(B1185="","",IF(K1185="",1,K1185))</f>
        <v>0</v>
      </c>
      <c r="U1185" s="15">
        <f>IF(B1185="","",IF(J1185&lt;&gt;"",J1185,IF(H1185="Retail",IFERROR(INDEX(Inventory!$B$5:$B$304,MATCH(I1185,Inventory!$A$5:$A$304,0))&amp;"","Not in Inventory"),IFERROR(INDEX(Services!$B$5:$B$204,MATCH(I1185,Services!$A$5:$A$204,0))&amp;"","Not in Services"))))</f>
        <v>0</v>
      </c>
      <c r="V1185" s="26">
        <f>IF(B1185="","",IF(L1185&lt;&gt;"",L1185,IF(H1185="Retail",IFERROR(INDEX(Inventory!$I$5:$I$304,MATCH(I1185,Inventory!$A$5:$A$304,0))*1,0),IFERROR(INDEX(Services!$G$5:$G$204,MATCH(I1185,Services!$A$5:$A$204,0))*1,0))))</f>
        <v>0</v>
      </c>
      <c r="W1185" s="26">
        <f>IF(B1185="","",ROUND(T1185*V1185,2))</f>
        <v>0</v>
      </c>
      <c r="X1185" s="26">
        <f>IF(B1185="","",ROUND(IF(M1185="",0,W1185*M1185)+IF(N1185="",0,N1185),2))</f>
        <v>0</v>
      </c>
      <c r="Y1185" s="26">
        <f>IF(B1185="","",ROUND(W1185-X1185-IF(P1185="",0,P1185),2))</f>
        <v>0</v>
      </c>
      <c r="Z1185" s="26">
        <f>IF(B1185="","",IF(H1185="Retail",IF(TaxOnRetail="Yes",ROUND(Y1185*TaxRate,2),0),IF(H1185="Service",IF(TaxOnServices="Yes",ROUND(Y1185*TaxRate,2),0),0)))</f>
        <v>0</v>
      </c>
      <c r="AA1185" s="26">
        <f>IF(B1185="","",ROUND(Y1185+Z1185,2))</f>
        <v>0</v>
      </c>
      <c r="AB1185" s="26">
        <f>IF(B1185="","",ROUND(T1185*IF(H1185="Retail",IFERROR(INDEX(Inventory!$H$5:$H$304,MATCH(I1185,Inventory!$A$5:$A$304,0))*1,0),IFERROR(INDEX(Services!$Q$5:$Q$204,MATCH(I1185,Services!$A$5:$A$204,0))*1,0)),2))</f>
        <v>0</v>
      </c>
      <c r="AC1185" s="26">
        <f>IF(B1185="","",ROUND(Y1185-AB1185,2))</f>
        <v>0</v>
      </c>
      <c r="AD1185" s="38">
        <f>IF(B1185="","",IF(C1185="","No",IF(COUNTIFS($C$5:C1185,C1185)=1,"Yes","No")))</f>
        <v>0</v>
      </c>
      <c r="AE1185" s="26">
        <f>IF(B1185="","",ROUND(SUMIFS(Payments!$G$5:$G$1204,Payments!$H$5:$H$1204,A1185,Payments!$Q$5:$Q$1204,"Yes"),2))</f>
        <v>0</v>
      </c>
      <c r="AF1185" s="26">
        <f>IF(B1185="","",IF(AD1185="No",0,ROUND(SUMIFS(Payments!$G$5:$G$1204,Payments!$I$5:$I$1204,C1185,Payments!$H$5:$H$1204,"",Payments!$Q$5:$Q$1204,"Yes"),2)))</f>
        <v>0</v>
      </c>
      <c r="AG1185" s="26">
        <f>IF(B1185="","",ROUND(AE1185+AF1185,2))</f>
        <v>0</v>
      </c>
      <c r="AH1185" s="26">
        <f>IF(B1185="","",ROUND(AA1185-AG1185,2))</f>
        <v>0</v>
      </c>
      <c r="AI1185" s="39">
        <f>IF(B1185="","",IF(AA1185&lt;=0,"No charge",IF(AH1185&lt;=0.004,"Paid",IF(AG1185&lt;=0.004,"Unpaid","Part paid"))))</f>
        <v>0</v>
      </c>
      <c r="AJ1185" s="38">
        <f>IF(B1185="","",IF(H1185&lt;&gt;"Service","",IF(D1185="","No",IF(COUNTIFS($D$5:$D$1204,D1185,$B$5:$B$1204,B1185,$H$5:$H$1204,"Retail")&gt;0,"Yes","No"))))</f>
        <v>0</v>
      </c>
      <c r="AK1185" s="25">
        <f>IF(B1185="","",COUNTIFS($Y$5:$Y$1204,"&gt;"&amp;Y1185)+COUNTIFS($Y$5:Y1185,Y1185))</f>
        <v>0</v>
      </c>
      <c r="AL1185" s="39">
        <f>IF(B1185="","",IF(H1185="","Add - what kind of sale is this?",IF(IF(V1185&lt;=0,P1185="",FALSE),"Check - no price found for this item",IF(F1185="","Assign - nobody credited",IF(AH1185&gt;0.004,"Unpaid - balance outstanding",IF(AC1185&lt;0,"Loss - sold below cost",IF(X1185&gt;W1185*0.5,"Check - more than half off","OK")))))))</f>
        <v>0</v>
      </c>
    </row>
    <row r="1186" spans="1:38">
      <c r="A1186" s="28">
        <f>IF(B1186="","",SalePrefix&amp;TEXT(ROW()-4,"0000"))</f>
        <v>0</v>
      </c>
      <c r="E1186" s="15">
        <f>IF(D1186="","",IFERROR(INDEX(Clients!$B$5:$B$504,MATCH(D1186,Clients!$A$5:$A$504,0)),"Walk-in"))</f>
        <v>0</v>
      </c>
      <c r="G1186" s="15">
        <f>IF(F1186="","",IFERROR(INDEX(Staff!$B$5:$B$44,MATCH(F1186,Staff!$A$5:$A$44,0)),"House"))</f>
        <v>0</v>
      </c>
      <c r="R1186" s="15">
        <f>IF(B1186="","",TEXT(B1186,"yyyy-mm"))</f>
        <v>0</v>
      </c>
      <c r="S1186" s="25">
        <f>IF(B1186="","",WEEKNUM(B1186,2))</f>
        <v>0</v>
      </c>
      <c r="T1186" s="37">
        <f>IF(B1186="","",IF(K1186="",1,K1186))</f>
        <v>0</v>
      </c>
      <c r="U1186" s="15">
        <f>IF(B1186="","",IF(J1186&lt;&gt;"",J1186,IF(H1186="Retail",IFERROR(INDEX(Inventory!$B$5:$B$304,MATCH(I1186,Inventory!$A$5:$A$304,0))&amp;"","Not in Inventory"),IFERROR(INDEX(Services!$B$5:$B$204,MATCH(I1186,Services!$A$5:$A$204,0))&amp;"","Not in Services"))))</f>
        <v>0</v>
      </c>
      <c r="V1186" s="26">
        <f>IF(B1186="","",IF(L1186&lt;&gt;"",L1186,IF(H1186="Retail",IFERROR(INDEX(Inventory!$I$5:$I$304,MATCH(I1186,Inventory!$A$5:$A$304,0))*1,0),IFERROR(INDEX(Services!$G$5:$G$204,MATCH(I1186,Services!$A$5:$A$204,0))*1,0))))</f>
        <v>0</v>
      </c>
      <c r="W1186" s="26">
        <f>IF(B1186="","",ROUND(T1186*V1186,2))</f>
        <v>0</v>
      </c>
      <c r="X1186" s="26">
        <f>IF(B1186="","",ROUND(IF(M1186="",0,W1186*M1186)+IF(N1186="",0,N1186),2))</f>
        <v>0</v>
      </c>
      <c r="Y1186" s="26">
        <f>IF(B1186="","",ROUND(W1186-X1186-IF(P1186="",0,P1186),2))</f>
        <v>0</v>
      </c>
      <c r="Z1186" s="26">
        <f>IF(B1186="","",IF(H1186="Retail",IF(TaxOnRetail="Yes",ROUND(Y1186*TaxRate,2),0),IF(H1186="Service",IF(TaxOnServices="Yes",ROUND(Y1186*TaxRate,2),0),0)))</f>
        <v>0</v>
      </c>
      <c r="AA1186" s="26">
        <f>IF(B1186="","",ROUND(Y1186+Z1186,2))</f>
        <v>0</v>
      </c>
      <c r="AB1186" s="26">
        <f>IF(B1186="","",ROUND(T1186*IF(H1186="Retail",IFERROR(INDEX(Inventory!$H$5:$H$304,MATCH(I1186,Inventory!$A$5:$A$304,0))*1,0),IFERROR(INDEX(Services!$Q$5:$Q$204,MATCH(I1186,Services!$A$5:$A$204,0))*1,0)),2))</f>
        <v>0</v>
      </c>
      <c r="AC1186" s="26">
        <f>IF(B1186="","",ROUND(Y1186-AB1186,2))</f>
        <v>0</v>
      </c>
      <c r="AD1186" s="38">
        <f>IF(B1186="","",IF(C1186="","No",IF(COUNTIFS($C$5:C1186,C1186)=1,"Yes","No")))</f>
        <v>0</v>
      </c>
      <c r="AE1186" s="26">
        <f>IF(B1186="","",ROUND(SUMIFS(Payments!$G$5:$G$1204,Payments!$H$5:$H$1204,A1186,Payments!$Q$5:$Q$1204,"Yes"),2))</f>
        <v>0</v>
      </c>
      <c r="AF1186" s="26">
        <f>IF(B1186="","",IF(AD1186="No",0,ROUND(SUMIFS(Payments!$G$5:$G$1204,Payments!$I$5:$I$1204,C1186,Payments!$H$5:$H$1204,"",Payments!$Q$5:$Q$1204,"Yes"),2)))</f>
        <v>0</v>
      </c>
      <c r="AG1186" s="26">
        <f>IF(B1186="","",ROUND(AE1186+AF1186,2))</f>
        <v>0</v>
      </c>
      <c r="AH1186" s="26">
        <f>IF(B1186="","",ROUND(AA1186-AG1186,2))</f>
        <v>0</v>
      </c>
      <c r="AI1186" s="39">
        <f>IF(B1186="","",IF(AA1186&lt;=0,"No charge",IF(AH1186&lt;=0.004,"Paid",IF(AG1186&lt;=0.004,"Unpaid","Part paid"))))</f>
        <v>0</v>
      </c>
      <c r="AJ1186" s="38">
        <f>IF(B1186="","",IF(H1186&lt;&gt;"Service","",IF(D1186="","No",IF(COUNTIFS($D$5:$D$1204,D1186,$B$5:$B$1204,B1186,$H$5:$H$1204,"Retail")&gt;0,"Yes","No"))))</f>
        <v>0</v>
      </c>
      <c r="AK1186" s="25">
        <f>IF(B1186="","",COUNTIFS($Y$5:$Y$1204,"&gt;"&amp;Y1186)+COUNTIFS($Y$5:Y1186,Y1186))</f>
        <v>0</v>
      </c>
      <c r="AL1186" s="39">
        <f>IF(B1186="","",IF(H1186="","Add - what kind of sale is this?",IF(IF(V1186&lt;=0,P1186="",FALSE),"Check - no price found for this item",IF(F1186="","Assign - nobody credited",IF(AH1186&gt;0.004,"Unpaid - balance outstanding",IF(AC1186&lt;0,"Loss - sold below cost",IF(X1186&gt;W1186*0.5,"Check - more than half off","OK")))))))</f>
        <v>0</v>
      </c>
    </row>
    <row r="1187" spans="1:38">
      <c r="A1187" s="28">
        <f>IF(B1187="","",SalePrefix&amp;TEXT(ROW()-4,"0000"))</f>
        <v>0</v>
      </c>
      <c r="E1187" s="15">
        <f>IF(D1187="","",IFERROR(INDEX(Clients!$B$5:$B$504,MATCH(D1187,Clients!$A$5:$A$504,0)),"Walk-in"))</f>
        <v>0</v>
      </c>
      <c r="G1187" s="15">
        <f>IF(F1187="","",IFERROR(INDEX(Staff!$B$5:$B$44,MATCH(F1187,Staff!$A$5:$A$44,0)),"House"))</f>
        <v>0</v>
      </c>
      <c r="R1187" s="15">
        <f>IF(B1187="","",TEXT(B1187,"yyyy-mm"))</f>
        <v>0</v>
      </c>
      <c r="S1187" s="25">
        <f>IF(B1187="","",WEEKNUM(B1187,2))</f>
        <v>0</v>
      </c>
      <c r="T1187" s="37">
        <f>IF(B1187="","",IF(K1187="",1,K1187))</f>
        <v>0</v>
      </c>
      <c r="U1187" s="15">
        <f>IF(B1187="","",IF(J1187&lt;&gt;"",J1187,IF(H1187="Retail",IFERROR(INDEX(Inventory!$B$5:$B$304,MATCH(I1187,Inventory!$A$5:$A$304,0))&amp;"","Not in Inventory"),IFERROR(INDEX(Services!$B$5:$B$204,MATCH(I1187,Services!$A$5:$A$204,0))&amp;"","Not in Services"))))</f>
        <v>0</v>
      </c>
      <c r="V1187" s="26">
        <f>IF(B1187="","",IF(L1187&lt;&gt;"",L1187,IF(H1187="Retail",IFERROR(INDEX(Inventory!$I$5:$I$304,MATCH(I1187,Inventory!$A$5:$A$304,0))*1,0),IFERROR(INDEX(Services!$G$5:$G$204,MATCH(I1187,Services!$A$5:$A$204,0))*1,0))))</f>
        <v>0</v>
      </c>
      <c r="W1187" s="26">
        <f>IF(B1187="","",ROUND(T1187*V1187,2))</f>
        <v>0</v>
      </c>
      <c r="X1187" s="26">
        <f>IF(B1187="","",ROUND(IF(M1187="",0,W1187*M1187)+IF(N1187="",0,N1187),2))</f>
        <v>0</v>
      </c>
      <c r="Y1187" s="26">
        <f>IF(B1187="","",ROUND(W1187-X1187-IF(P1187="",0,P1187),2))</f>
        <v>0</v>
      </c>
      <c r="Z1187" s="26">
        <f>IF(B1187="","",IF(H1187="Retail",IF(TaxOnRetail="Yes",ROUND(Y1187*TaxRate,2),0),IF(H1187="Service",IF(TaxOnServices="Yes",ROUND(Y1187*TaxRate,2),0),0)))</f>
        <v>0</v>
      </c>
      <c r="AA1187" s="26">
        <f>IF(B1187="","",ROUND(Y1187+Z1187,2))</f>
        <v>0</v>
      </c>
      <c r="AB1187" s="26">
        <f>IF(B1187="","",ROUND(T1187*IF(H1187="Retail",IFERROR(INDEX(Inventory!$H$5:$H$304,MATCH(I1187,Inventory!$A$5:$A$304,0))*1,0),IFERROR(INDEX(Services!$Q$5:$Q$204,MATCH(I1187,Services!$A$5:$A$204,0))*1,0)),2))</f>
        <v>0</v>
      </c>
      <c r="AC1187" s="26">
        <f>IF(B1187="","",ROUND(Y1187-AB1187,2))</f>
        <v>0</v>
      </c>
      <c r="AD1187" s="38">
        <f>IF(B1187="","",IF(C1187="","No",IF(COUNTIFS($C$5:C1187,C1187)=1,"Yes","No")))</f>
        <v>0</v>
      </c>
      <c r="AE1187" s="26">
        <f>IF(B1187="","",ROUND(SUMIFS(Payments!$G$5:$G$1204,Payments!$H$5:$H$1204,A1187,Payments!$Q$5:$Q$1204,"Yes"),2))</f>
        <v>0</v>
      </c>
      <c r="AF1187" s="26">
        <f>IF(B1187="","",IF(AD1187="No",0,ROUND(SUMIFS(Payments!$G$5:$G$1204,Payments!$I$5:$I$1204,C1187,Payments!$H$5:$H$1204,"",Payments!$Q$5:$Q$1204,"Yes"),2)))</f>
        <v>0</v>
      </c>
      <c r="AG1187" s="26">
        <f>IF(B1187="","",ROUND(AE1187+AF1187,2))</f>
        <v>0</v>
      </c>
      <c r="AH1187" s="26">
        <f>IF(B1187="","",ROUND(AA1187-AG1187,2))</f>
        <v>0</v>
      </c>
      <c r="AI1187" s="39">
        <f>IF(B1187="","",IF(AA1187&lt;=0,"No charge",IF(AH1187&lt;=0.004,"Paid",IF(AG1187&lt;=0.004,"Unpaid","Part paid"))))</f>
        <v>0</v>
      </c>
      <c r="AJ1187" s="38">
        <f>IF(B1187="","",IF(H1187&lt;&gt;"Service","",IF(D1187="","No",IF(COUNTIFS($D$5:$D$1204,D1187,$B$5:$B$1204,B1187,$H$5:$H$1204,"Retail")&gt;0,"Yes","No"))))</f>
        <v>0</v>
      </c>
      <c r="AK1187" s="25">
        <f>IF(B1187="","",COUNTIFS($Y$5:$Y$1204,"&gt;"&amp;Y1187)+COUNTIFS($Y$5:Y1187,Y1187))</f>
        <v>0</v>
      </c>
      <c r="AL1187" s="39">
        <f>IF(B1187="","",IF(H1187="","Add - what kind of sale is this?",IF(IF(V1187&lt;=0,P1187="",FALSE),"Check - no price found for this item",IF(F1187="","Assign - nobody credited",IF(AH1187&gt;0.004,"Unpaid - balance outstanding",IF(AC1187&lt;0,"Loss - sold below cost",IF(X1187&gt;W1187*0.5,"Check - more than half off","OK")))))))</f>
        <v>0</v>
      </c>
    </row>
    <row r="1188" spans="1:38">
      <c r="A1188" s="28">
        <f>IF(B1188="","",SalePrefix&amp;TEXT(ROW()-4,"0000"))</f>
        <v>0</v>
      </c>
      <c r="E1188" s="15">
        <f>IF(D1188="","",IFERROR(INDEX(Clients!$B$5:$B$504,MATCH(D1188,Clients!$A$5:$A$504,0)),"Walk-in"))</f>
        <v>0</v>
      </c>
      <c r="G1188" s="15">
        <f>IF(F1188="","",IFERROR(INDEX(Staff!$B$5:$B$44,MATCH(F1188,Staff!$A$5:$A$44,0)),"House"))</f>
        <v>0</v>
      </c>
      <c r="R1188" s="15">
        <f>IF(B1188="","",TEXT(B1188,"yyyy-mm"))</f>
        <v>0</v>
      </c>
      <c r="S1188" s="25">
        <f>IF(B1188="","",WEEKNUM(B1188,2))</f>
        <v>0</v>
      </c>
      <c r="T1188" s="37">
        <f>IF(B1188="","",IF(K1188="",1,K1188))</f>
        <v>0</v>
      </c>
      <c r="U1188" s="15">
        <f>IF(B1188="","",IF(J1188&lt;&gt;"",J1188,IF(H1188="Retail",IFERROR(INDEX(Inventory!$B$5:$B$304,MATCH(I1188,Inventory!$A$5:$A$304,0))&amp;"","Not in Inventory"),IFERROR(INDEX(Services!$B$5:$B$204,MATCH(I1188,Services!$A$5:$A$204,0))&amp;"","Not in Services"))))</f>
        <v>0</v>
      </c>
      <c r="V1188" s="26">
        <f>IF(B1188="","",IF(L1188&lt;&gt;"",L1188,IF(H1188="Retail",IFERROR(INDEX(Inventory!$I$5:$I$304,MATCH(I1188,Inventory!$A$5:$A$304,0))*1,0),IFERROR(INDEX(Services!$G$5:$G$204,MATCH(I1188,Services!$A$5:$A$204,0))*1,0))))</f>
        <v>0</v>
      </c>
      <c r="W1188" s="26">
        <f>IF(B1188="","",ROUND(T1188*V1188,2))</f>
        <v>0</v>
      </c>
      <c r="X1188" s="26">
        <f>IF(B1188="","",ROUND(IF(M1188="",0,W1188*M1188)+IF(N1188="",0,N1188),2))</f>
        <v>0</v>
      </c>
      <c r="Y1188" s="26">
        <f>IF(B1188="","",ROUND(W1188-X1188-IF(P1188="",0,P1188),2))</f>
        <v>0</v>
      </c>
      <c r="Z1188" s="26">
        <f>IF(B1188="","",IF(H1188="Retail",IF(TaxOnRetail="Yes",ROUND(Y1188*TaxRate,2),0),IF(H1188="Service",IF(TaxOnServices="Yes",ROUND(Y1188*TaxRate,2),0),0)))</f>
        <v>0</v>
      </c>
      <c r="AA1188" s="26">
        <f>IF(B1188="","",ROUND(Y1188+Z1188,2))</f>
        <v>0</v>
      </c>
      <c r="AB1188" s="26">
        <f>IF(B1188="","",ROUND(T1188*IF(H1188="Retail",IFERROR(INDEX(Inventory!$H$5:$H$304,MATCH(I1188,Inventory!$A$5:$A$304,0))*1,0),IFERROR(INDEX(Services!$Q$5:$Q$204,MATCH(I1188,Services!$A$5:$A$204,0))*1,0)),2))</f>
        <v>0</v>
      </c>
      <c r="AC1188" s="26">
        <f>IF(B1188="","",ROUND(Y1188-AB1188,2))</f>
        <v>0</v>
      </c>
      <c r="AD1188" s="38">
        <f>IF(B1188="","",IF(C1188="","No",IF(COUNTIFS($C$5:C1188,C1188)=1,"Yes","No")))</f>
        <v>0</v>
      </c>
      <c r="AE1188" s="26">
        <f>IF(B1188="","",ROUND(SUMIFS(Payments!$G$5:$G$1204,Payments!$H$5:$H$1204,A1188,Payments!$Q$5:$Q$1204,"Yes"),2))</f>
        <v>0</v>
      </c>
      <c r="AF1188" s="26">
        <f>IF(B1188="","",IF(AD1188="No",0,ROUND(SUMIFS(Payments!$G$5:$G$1204,Payments!$I$5:$I$1204,C1188,Payments!$H$5:$H$1204,"",Payments!$Q$5:$Q$1204,"Yes"),2)))</f>
        <v>0</v>
      </c>
      <c r="AG1188" s="26">
        <f>IF(B1188="","",ROUND(AE1188+AF1188,2))</f>
        <v>0</v>
      </c>
      <c r="AH1188" s="26">
        <f>IF(B1188="","",ROUND(AA1188-AG1188,2))</f>
        <v>0</v>
      </c>
      <c r="AI1188" s="39">
        <f>IF(B1188="","",IF(AA1188&lt;=0,"No charge",IF(AH1188&lt;=0.004,"Paid",IF(AG1188&lt;=0.004,"Unpaid","Part paid"))))</f>
        <v>0</v>
      </c>
      <c r="AJ1188" s="38">
        <f>IF(B1188="","",IF(H1188&lt;&gt;"Service","",IF(D1188="","No",IF(COUNTIFS($D$5:$D$1204,D1188,$B$5:$B$1204,B1188,$H$5:$H$1204,"Retail")&gt;0,"Yes","No"))))</f>
        <v>0</v>
      </c>
      <c r="AK1188" s="25">
        <f>IF(B1188="","",COUNTIFS($Y$5:$Y$1204,"&gt;"&amp;Y1188)+COUNTIFS($Y$5:Y1188,Y1188))</f>
        <v>0</v>
      </c>
      <c r="AL1188" s="39">
        <f>IF(B1188="","",IF(H1188="","Add - what kind of sale is this?",IF(IF(V1188&lt;=0,P1188="",FALSE),"Check - no price found for this item",IF(F1188="","Assign - nobody credited",IF(AH1188&gt;0.004,"Unpaid - balance outstanding",IF(AC1188&lt;0,"Loss - sold below cost",IF(X1188&gt;W1188*0.5,"Check - more than half off","OK")))))))</f>
        <v>0</v>
      </c>
    </row>
    <row r="1189" spans="1:38">
      <c r="A1189" s="28">
        <f>IF(B1189="","",SalePrefix&amp;TEXT(ROW()-4,"0000"))</f>
        <v>0</v>
      </c>
      <c r="E1189" s="15">
        <f>IF(D1189="","",IFERROR(INDEX(Clients!$B$5:$B$504,MATCH(D1189,Clients!$A$5:$A$504,0)),"Walk-in"))</f>
        <v>0</v>
      </c>
      <c r="G1189" s="15">
        <f>IF(F1189="","",IFERROR(INDEX(Staff!$B$5:$B$44,MATCH(F1189,Staff!$A$5:$A$44,0)),"House"))</f>
        <v>0</v>
      </c>
      <c r="R1189" s="15">
        <f>IF(B1189="","",TEXT(B1189,"yyyy-mm"))</f>
        <v>0</v>
      </c>
      <c r="S1189" s="25">
        <f>IF(B1189="","",WEEKNUM(B1189,2))</f>
        <v>0</v>
      </c>
      <c r="T1189" s="37">
        <f>IF(B1189="","",IF(K1189="",1,K1189))</f>
        <v>0</v>
      </c>
      <c r="U1189" s="15">
        <f>IF(B1189="","",IF(J1189&lt;&gt;"",J1189,IF(H1189="Retail",IFERROR(INDEX(Inventory!$B$5:$B$304,MATCH(I1189,Inventory!$A$5:$A$304,0))&amp;"","Not in Inventory"),IFERROR(INDEX(Services!$B$5:$B$204,MATCH(I1189,Services!$A$5:$A$204,0))&amp;"","Not in Services"))))</f>
        <v>0</v>
      </c>
      <c r="V1189" s="26">
        <f>IF(B1189="","",IF(L1189&lt;&gt;"",L1189,IF(H1189="Retail",IFERROR(INDEX(Inventory!$I$5:$I$304,MATCH(I1189,Inventory!$A$5:$A$304,0))*1,0),IFERROR(INDEX(Services!$G$5:$G$204,MATCH(I1189,Services!$A$5:$A$204,0))*1,0))))</f>
        <v>0</v>
      </c>
      <c r="W1189" s="26">
        <f>IF(B1189="","",ROUND(T1189*V1189,2))</f>
        <v>0</v>
      </c>
      <c r="X1189" s="26">
        <f>IF(B1189="","",ROUND(IF(M1189="",0,W1189*M1189)+IF(N1189="",0,N1189),2))</f>
        <v>0</v>
      </c>
      <c r="Y1189" s="26">
        <f>IF(B1189="","",ROUND(W1189-X1189-IF(P1189="",0,P1189),2))</f>
        <v>0</v>
      </c>
      <c r="Z1189" s="26">
        <f>IF(B1189="","",IF(H1189="Retail",IF(TaxOnRetail="Yes",ROUND(Y1189*TaxRate,2),0),IF(H1189="Service",IF(TaxOnServices="Yes",ROUND(Y1189*TaxRate,2),0),0)))</f>
        <v>0</v>
      </c>
      <c r="AA1189" s="26">
        <f>IF(B1189="","",ROUND(Y1189+Z1189,2))</f>
        <v>0</v>
      </c>
      <c r="AB1189" s="26">
        <f>IF(B1189="","",ROUND(T1189*IF(H1189="Retail",IFERROR(INDEX(Inventory!$H$5:$H$304,MATCH(I1189,Inventory!$A$5:$A$304,0))*1,0),IFERROR(INDEX(Services!$Q$5:$Q$204,MATCH(I1189,Services!$A$5:$A$204,0))*1,0)),2))</f>
        <v>0</v>
      </c>
      <c r="AC1189" s="26">
        <f>IF(B1189="","",ROUND(Y1189-AB1189,2))</f>
        <v>0</v>
      </c>
      <c r="AD1189" s="38">
        <f>IF(B1189="","",IF(C1189="","No",IF(COUNTIFS($C$5:C1189,C1189)=1,"Yes","No")))</f>
        <v>0</v>
      </c>
      <c r="AE1189" s="26">
        <f>IF(B1189="","",ROUND(SUMIFS(Payments!$G$5:$G$1204,Payments!$H$5:$H$1204,A1189,Payments!$Q$5:$Q$1204,"Yes"),2))</f>
        <v>0</v>
      </c>
      <c r="AF1189" s="26">
        <f>IF(B1189="","",IF(AD1189="No",0,ROUND(SUMIFS(Payments!$G$5:$G$1204,Payments!$I$5:$I$1204,C1189,Payments!$H$5:$H$1204,"",Payments!$Q$5:$Q$1204,"Yes"),2)))</f>
        <v>0</v>
      </c>
      <c r="AG1189" s="26">
        <f>IF(B1189="","",ROUND(AE1189+AF1189,2))</f>
        <v>0</v>
      </c>
      <c r="AH1189" s="26">
        <f>IF(B1189="","",ROUND(AA1189-AG1189,2))</f>
        <v>0</v>
      </c>
      <c r="AI1189" s="39">
        <f>IF(B1189="","",IF(AA1189&lt;=0,"No charge",IF(AH1189&lt;=0.004,"Paid",IF(AG1189&lt;=0.004,"Unpaid","Part paid"))))</f>
        <v>0</v>
      </c>
      <c r="AJ1189" s="38">
        <f>IF(B1189="","",IF(H1189&lt;&gt;"Service","",IF(D1189="","No",IF(COUNTIFS($D$5:$D$1204,D1189,$B$5:$B$1204,B1189,$H$5:$H$1204,"Retail")&gt;0,"Yes","No"))))</f>
        <v>0</v>
      </c>
      <c r="AK1189" s="25">
        <f>IF(B1189="","",COUNTIFS($Y$5:$Y$1204,"&gt;"&amp;Y1189)+COUNTIFS($Y$5:Y1189,Y1189))</f>
        <v>0</v>
      </c>
      <c r="AL1189" s="39">
        <f>IF(B1189="","",IF(H1189="","Add - what kind of sale is this?",IF(IF(V1189&lt;=0,P1189="",FALSE),"Check - no price found for this item",IF(F1189="","Assign - nobody credited",IF(AH1189&gt;0.004,"Unpaid - balance outstanding",IF(AC1189&lt;0,"Loss - sold below cost",IF(X1189&gt;W1189*0.5,"Check - more than half off","OK")))))))</f>
        <v>0</v>
      </c>
    </row>
    <row r="1190" spans="1:38">
      <c r="A1190" s="28">
        <f>IF(B1190="","",SalePrefix&amp;TEXT(ROW()-4,"0000"))</f>
        <v>0</v>
      </c>
      <c r="E1190" s="15">
        <f>IF(D1190="","",IFERROR(INDEX(Clients!$B$5:$B$504,MATCH(D1190,Clients!$A$5:$A$504,0)),"Walk-in"))</f>
        <v>0</v>
      </c>
      <c r="G1190" s="15">
        <f>IF(F1190="","",IFERROR(INDEX(Staff!$B$5:$B$44,MATCH(F1190,Staff!$A$5:$A$44,0)),"House"))</f>
        <v>0</v>
      </c>
      <c r="R1190" s="15">
        <f>IF(B1190="","",TEXT(B1190,"yyyy-mm"))</f>
        <v>0</v>
      </c>
      <c r="S1190" s="25">
        <f>IF(B1190="","",WEEKNUM(B1190,2))</f>
        <v>0</v>
      </c>
      <c r="T1190" s="37">
        <f>IF(B1190="","",IF(K1190="",1,K1190))</f>
        <v>0</v>
      </c>
      <c r="U1190" s="15">
        <f>IF(B1190="","",IF(J1190&lt;&gt;"",J1190,IF(H1190="Retail",IFERROR(INDEX(Inventory!$B$5:$B$304,MATCH(I1190,Inventory!$A$5:$A$304,0))&amp;"","Not in Inventory"),IFERROR(INDEX(Services!$B$5:$B$204,MATCH(I1190,Services!$A$5:$A$204,0))&amp;"","Not in Services"))))</f>
        <v>0</v>
      </c>
      <c r="V1190" s="26">
        <f>IF(B1190="","",IF(L1190&lt;&gt;"",L1190,IF(H1190="Retail",IFERROR(INDEX(Inventory!$I$5:$I$304,MATCH(I1190,Inventory!$A$5:$A$304,0))*1,0),IFERROR(INDEX(Services!$G$5:$G$204,MATCH(I1190,Services!$A$5:$A$204,0))*1,0))))</f>
        <v>0</v>
      </c>
      <c r="W1190" s="26">
        <f>IF(B1190="","",ROUND(T1190*V1190,2))</f>
        <v>0</v>
      </c>
      <c r="X1190" s="26">
        <f>IF(B1190="","",ROUND(IF(M1190="",0,W1190*M1190)+IF(N1190="",0,N1190),2))</f>
        <v>0</v>
      </c>
      <c r="Y1190" s="26">
        <f>IF(B1190="","",ROUND(W1190-X1190-IF(P1190="",0,P1190),2))</f>
        <v>0</v>
      </c>
      <c r="Z1190" s="26">
        <f>IF(B1190="","",IF(H1190="Retail",IF(TaxOnRetail="Yes",ROUND(Y1190*TaxRate,2),0),IF(H1190="Service",IF(TaxOnServices="Yes",ROUND(Y1190*TaxRate,2),0),0)))</f>
        <v>0</v>
      </c>
      <c r="AA1190" s="26">
        <f>IF(B1190="","",ROUND(Y1190+Z1190,2))</f>
        <v>0</v>
      </c>
      <c r="AB1190" s="26">
        <f>IF(B1190="","",ROUND(T1190*IF(H1190="Retail",IFERROR(INDEX(Inventory!$H$5:$H$304,MATCH(I1190,Inventory!$A$5:$A$304,0))*1,0),IFERROR(INDEX(Services!$Q$5:$Q$204,MATCH(I1190,Services!$A$5:$A$204,0))*1,0)),2))</f>
        <v>0</v>
      </c>
      <c r="AC1190" s="26">
        <f>IF(B1190="","",ROUND(Y1190-AB1190,2))</f>
        <v>0</v>
      </c>
      <c r="AD1190" s="38">
        <f>IF(B1190="","",IF(C1190="","No",IF(COUNTIFS($C$5:C1190,C1190)=1,"Yes","No")))</f>
        <v>0</v>
      </c>
      <c r="AE1190" s="26">
        <f>IF(B1190="","",ROUND(SUMIFS(Payments!$G$5:$G$1204,Payments!$H$5:$H$1204,A1190,Payments!$Q$5:$Q$1204,"Yes"),2))</f>
        <v>0</v>
      </c>
      <c r="AF1190" s="26">
        <f>IF(B1190="","",IF(AD1190="No",0,ROUND(SUMIFS(Payments!$G$5:$G$1204,Payments!$I$5:$I$1204,C1190,Payments!$H$5:$H$1204,"",Payments!$Q$5:$Q$1204,"Yes"),2)))</f>
        <v>0</v>
      </c>
      <c r="AG1190" s="26">
        <f>IF(B1190="","",ROUND(AE1190+AF1190,2))</f>
        <v>0</v>
      </c>
      <c r="AH1190" s="26">
        <f>IF(B1190="","",ROUND(AA1190-AG1190,2))</f>
        <v>0</v>
      </c>
      <c r="AI1190" s="39">
        <f>IF(B1190="","",IF(AA1190&lt;=0,"No charge",IF(AH1190&lt;=0.004,"Paid",IF(AG1190&lt;=0.004,"Unpaid","Part paid"))))</f>
        <v>0</v>
      </c>
      <c r="AJ1190" s="38">
        <f>IF(B1190="","",IF(H1190&lt;&gt;"Service","",IF(D1190="","No",IF(COUNTIFS($D$5:$D$1204,D1190,$B$5:$B$1204,B1190,$H$5:$H$1204,"Retail")&gt;0,"Yes","No"))))</f>
        <v>0</v>
      </c>
      <c r="AK1190" s="25">
        <f>IF(B1190="","",COUNTIFS($Y$5:$Y$1204,"&gt;"&amp;Y1190)+COUNTIFS($Y$5:Y1190,Y1190))</f>
        <v>0</v>
      </c>
      <c r="AL1190" s="39">
        <f>IF(B1190="","",IF(H1190="","Add - what kind of sale is this?",IF(IF(V1190&lt;=0,P1190="",FALSE),"Check - no price found for this item",IF(F1190="","Assign - nobody credited",IF(AH1190&gt;0.004,"Unpaid - balance outstanding",IF(AC1190&lt;0,"Loss - sold below cost",IF(X1190&gt;W1190*0.5,"Check - more than half off","OK")))))))</f>
        <v>0</v>
      </c>
    </row>
    <row r="1191" spans="1:38">
      <c r="A1191" s="28">
        <f>IF(B1191="","",SalePrefix&amp;TEXT(ROW()-4,"0000"))</f>
        <v>0</v>
      </c>
      <c r="E1191" s="15">
        <f>IF(D1191="","",IFERROR(INDEX(Clients!$B$5:$B$504,MATCH(D1191,Clients!$A$5:$A$504,0)),"Walk-in"))</f>
        <v>0</v>
      </c>
      <c r="G1191" s="15">
        <f>IF(F1191="","",IFERROR(INDEX(Staff!$B$5:$B$44,MATCH(F1191,Staff!$A$5:$A$44,0)),"House"))</f>
        <v>0</v>
      </c>
      <c r="R1191" s="15">
        <f>IF(B1191="","",TEXT(B1191,"yyyy-mm"))</f>
        <v>0</v>
      </c>
      <c r="S1191" s="25">
        <f>IF(B1191="","",WEEKNUM(B1191,2))</f>
        <v>0</v>
      </c>
      <c r="T1191" s="37">
        <f>IF(B1191="","",IF(K1191="",1,K1191))</f>
        <v>0</v>
      </c>
      <c r="U1191" s="15">
        <f>IF(B1191="","",IF(J1191&lt;&gt;"",J1191,IF(H1191="Retail",IFERROR(INDEX(Inventory!$B$5:$B$304,MATCH(I1191,Inventory!$A$5:$A$304,0))&amp;"","Not in Inventory"),IFERROR(INDEX(Services!$B$5:$B$204,MATCH(I1191,Services!$A$5:$A$204,0))&amp;"","Not in Services"))))</f>
        <v>0</v>
      </c>
      <c r="V1191" s="26">
        <f>IF(B1191="","",IF(L1191&lt;&gt;"",L1191,IF(H1191="Retail",IFERROR(INDEX(Inventory!$I$5:$I$304,MATCH(I1191,Inventory!$A$5:$A$304,0))*1,0),IFERROR(INDEX(Services!$G$5:$G$204,MATCH(I1191,Services!$A$5:$A$204,0))*1,0))))</f>
        <v>0</v>
      </c>
      <c r="W1191" s="26">
        <f>IF(B1191="","",ROUND(T1191*V1191,2))</f>
        <v>0</v>
      </c>
      <c r="X1191" s="26">
        <f>IF(B1191="","",ROUND(IF(M1191="",0,W1191*M1191)+IF(N1191="",0,N1191),2))</f>
        <v>0</v>
      </c>
      <c r="Y1191" s="26">
        <f>IF(B1191="","",ROUND(W1191-X1191-IF(P1191="",0,P1191),2))</f>
        <v>0</v>
      </c>
      <c r="Z1191" s="26">
        <f>IF(B1191="","",IF(H1191="Retail",IF(TaxOnRetail="Yes",ROUND(Y1191*TaxRate,2),0),IF(H1191="Service",IF(TaxOnServices="Yes",ROUND(Y1191*TaxRate,2),0),0)))</f>
        <v>0</v>
      </c>
      <c r="AA1191" s="26">
        <f>IF(B1191="","",ROUND(Y1191+Z1191,2))</f>
        <v>0</v>
      </c>
      <c r="AB1191" s="26">
        <f>IF(B1191="","",ROUND(T1191*IF(H1191="Retail",IFERROR(INDEX(Inventory!$H$5:$H$304,MATCH(I1191,Inventory!$A$5:$A$304,0))*1,0),IFERROR(INDEX(Services!$Q$5:$Q$204,MATCH(I1191,Services!$A$5:$A$204,0))*1,0)),2))</f>
        <v>0</v>
      </c>
      <c r="AC1191" s="26">
        <f>IF(B1191="","",ROUND(Y1191-AB1191,2))</f>
        <v>0</v>
      </c>
      <c r="AD1191" s="38">
        <f>IF(B1191="","",IF(C1191="","No",IF(COUNTIFS($C$5:C1191,C1191)=1,"Yes","No")))</f>
        <v>0</v>
      </c>
      <c r="AE1191" s="26">
        <f>IF(B1191="","",ROUND(SUMIFS(Payments!$G$5:$G$1204,Payments!$H$5:$H$1204,A1191,Payments!$Q$5:$Q$1204,"Yes"),2))</f>
        <v>0</v>
      </c>
      <c r="AF1191" s="26">
        <f>IF(B1191="","",IF(AD1191="No",0,ROUND(SUMIFS(Payments!$G$5:$G$1204,Payments!$I$5:$I$1204,C1191,Payments!$H$5:$H$1204,"",Payments!$Q$5:$Q$1204,"Yes"),2)))</f>
        <v>0</v>
      </c>
      <c r="AG1191" s="26">
        <f>IF(B1191="","",ROUND(AE1191+AF1191,2))</f>
        <v>0</v>
      </c>
      <c r="AH1191" s="26">
        <f>IF(B1191="","",ROUND(AA1191-AG1191,2))</f>
        <v>0</v>
      </c>
      <c r="AI1191" s="39">
        <f>IF(B1191="","",IF(AA1191&lt;=0,"No charge",IF(AH1191&lt;=0.004,"Paid",IF(AG1191&lt;=0.004,"Unpaid","Part paid"))))</f>
        <v>0</v>
      </c>
      <c r="AJ1191" s="38">
        <f>IF(B1191="","",IF(H1191&lt;&gt;"Service","",IF(D1191="","No",IF(COUNTIFS($D$5:$D$1204,D1191,$B$5:$B$1204,B1191,$H$5:$H$1204,"Retail")&gt;0,"Yes","No"))))</f>
        <v>0</v>
      </c>
      <c r="AK1191" s="25">
        <f>IF(B1191="","",COUNTIFS($Y$5:$Y$1204,"&gt;"&amp;Y1191)+COUNTIFS($Y$5:Y1191,Y1191))</f>
        <v>0</v>
      </c>
      <c r="AL1191" s="39">
        <f>IF(B1191="","",IF(H1191="","Add - what kind of sale is this?",IF(IF(V1191&lt;=0,P1191="",FALSE),"Check - no price found for this item",IF(F1191="","Assign - nobody credited",IF(AH1191&gt;0.004,"Unpaid - balance outstanding",IF(AC1191&lt;0,"Loss - sold below cost",IF(X1191&gt;W1191*0.5,"Check - more than half off","OK")))))))</f>
        <v>0</v>
      </c>
    </row>
    <row r="1192" spans="1:38">
      <c r="A1192" s="28">
        <f>IF(B1192="","",SalePrefix&amp;TEXT(ROW()-4,"0000"))</f>
        <v>0</v>
      </c>
      <c r="E1192" s="15">
        <f>IF(D1192="","",IFERROR(INDEX(Clients!$B$5:$B$504,MATCH(D1192,Clients!$A$5:$A$504,0)),"Walk-in"))</f>
        <v>0</v>
      </c>
      <c r="G1192" s="15">
        <f>IF(F1192="","",IFERROR(INDEX(Staff!$B$5:$B$44,MATCH(F1192,Staff!$A$5:$A$44,0)),"House"))</f>
        <v>0</v>
      </c>
      <c r="R1192" s="15">
        <f>IF(B1192="","",TEXT(B1192,"yyyy-mm"))</f>
        <v>0</v>
      </c>
      <c r="S1192" s="25">
        <f>IF(B1192="","",WEEKNUM(B1192,2))</f>
        <v>0</v>
      </c>
      <c r="T1192" s="37">
        <f>IF(B1192="","",IF(K1192="",1,K1192))</f>
        <v>0</v>
      </c>
      <c r="U1192" s="15">
        <f>IF(B1192="","",IF(J1192&lt;&gt;"",J1192,IF(H1192="Retail",IFERROR(INDEX(Inventory!$B$5:$B$304,MATCH(I1192,Inventory!$A$5:$A$304,0))&amp;"","Not in Inventory"),IFERROR(INDEX(Services!$B$5:$B$204,MATCH(I1192,Services!$A$5:$A$204,0))&amp;"","Not in Services"))))</f>
        <v>0</v>
      </c>
      <c r="V1192" s="26">
        <f>IF(B1192="","",IF(L1192&lt;&gt;"",L1192,IF(H1192="Retail",IFERROR(INDEX(Inventory!$I$5:$I$304,MATCH(I1192,Inventory!$A$5:$A$304,0))*1,0),IFERROR(INDEX(Services!$G$5:$G$204,MATCH(I1192,Services!$A$5:$A$204,0))*1,0))))</f>
        <v>0</v>
      </c>
      <c r="W1192" s="26">
        <f>IF(B1192="","",ROUND(T1192*V1192,2))</f>
        <v>0</v>
      </c>
      <c r="X1192" s="26">
        <f>IF(B1192="","",ROUND(IF(M1192="",0,W1192*M1192)+IF(N1192="",0,N1192),2))</f>
        <v>0</v>
      </c>
      <c r="Y1192" s="26">
        <f>IF(B1192="","",ROUND(W1192-X1192-IF(P1192="",0,P1192),2))</f>
        <v>0</v>
      </c>
      <c r="Z1192" s="26">
        <f>IF(B1192="","",IF(H1192="Retail",IF(TaxOnRetail="Yes",ROUND(Y1192*TaxRate,2),0),IF(H1192="Service",IF(TaxOnServices="Yes",ROUND(Y1192*TaxRate,2),0),0)))</f>
        <v>0</v>
      </c>
      <c r="AA1192" s="26">
        <f>IF(B1192="","",ROUND(Y1192+Z1192,2))</f>
        <v>0</v>
      </c>
      <c r="AB1192" s="26">
        <f>IF(B1192="","",ROUND(T1192*IF(H1192="Retail",IFERROR(INDEX(Inventory!$H$5:$H$304,MATCH(I1192,Inventory!$A$5:$A$304,0))*1,0),IFERROR(INDEX(Services!$Q$5:$Q$204,MATCH(I1192,Services!$A$5:$A$204,0))*1,0)),2))</f>
        <v>0</v>
      </c>
      <c r="AC1192" s="26">
        <f>IF(B1192="","",ROUND(Y1192-AB1192,2))</f>
        <v>0</v>
      </c>
      <c r="AD1192" s="38">
        <f>IF(B1192="","",IF(C1192="","No",IF(COUNTIFS($C$5:C1192,C1192)=1,"Yes","No")))</f>
        <v>0</v>
      </c>
      <c r="AE1192" s="26">
        <f>IF(B1192="","",ROUND(SUMIFS(Payments!$G$5:$G$1204,Payments!$H$5:$H$1204,A1192,Payments!$Q$5:$Q$1204,"Yes"),2))</f>
        <v>0</v>
      </c>
      <c r="AF1192" s="26">
        <f>IF(B1192="","",IF(AD1192="No",0,ROUND(SUMIFS(Payments!$G$5:$G$1204,Payments!$I$5:$I$1204,C1192,Payments!$H$5:$H$1204,"",Payments!$Q$5:$Q$1204,"Yes"),2)))</f>
        <v>0</v>
      </c>
      <c r="AG1192" s="26">
        <f>IF(B1192="","",ROUND(AE1192+AF1192,2))</f>
        <v>0</v>
      </c>
      <c r="AH1192" s="26">
        <f>IF(B1192="","",ROUND(AA1192-AG1192,2))</f>
        <v>0</v>
      </c>
      <c r="AI1192" s="39">
        <f>IF(B1192="","",IF(AA1192&lt;=0,"No charge",IF(AH1192&lt;=0.004,"Paid",IF(AG1192&lt;=0.004,"Unpaid","Part paid"))))</f>
        <v>0</v>
      </c>
      <c r="AJ1192" s="38">
        <f>IF(B1192="","",IF(H1192&lt;&gt;"Service","",IF(D1192="","No",IF(COUNTIFS($D$5:$D$1204,D1192,$B$5:$B$1204,B1192,$H$5:$H$1204,"Retail")&gt;0,"Yes","No"))))</f>
        <v>0</v>
      </c>
      <c r="AK1192" s="25">
        <f>IF(B1192="","",COUNTIFS($Y$5:$Y$1204,"&gt;"&amp;Y1192)+COUNTIFS($Y$5:Y1192,Y1192))</f>
        <v>0</v>
      </c>
      <c r="AL1192" s="39">
        <f>IF(B1192="","",IF(H1192="","Add - what kind of sale is this?",IF(IF(V1192&lt;=0,P1192="",FALSE),"Check - no price found for this item",IF(F1192="","Assign - nobody credited",IF(AH1192&gt;0.004,"Unpaid - balance outstanding",IF(AC1192&lt;0,"Loss - sold below cost",IF(X1192&gt;W1192*0.5,"Check - more than half off","OK")))))))</f>
        <v>0</v>
      </c>
    </row>
    <row r="1193" spans="1:38">
      <c r="A1193" s="28">
        <f>IF(B1193="","",SalePrefix&amp;TEXT(ROW()-4,"0000"))</f>
        <v>0</v>
      </c>
      <c r="E1193" s="15">
        <f>IF(D1193="","",IFERROR(INDEX(Clients!$B$5:$B$504,MATCH(D1193,Clients!$A$5:$A$504,0)),"Walk-in"))</f>
        <v>0</v>
      </c>
      <c r="G1193" s="15">
        <f>IF(F1193="","",IFERROR(INDEX(Staff!$B$5:$B$44,MATCH(F1193,Staff!$A$5:$A$44,0)),"House"))</f>
        <v>0</v>
      </c>
      <c r="R1193" s="15">
        <f>IF(B1193="","",TEXT(B1193,"yyyy-mm"))</f>
        <v>0</v>
      </c>
      <c r="S1193" s="25">
        <f>IF(B1193="","",WEEKNUM(B1193,2))</f>
        <v>0</v>
      </c>
      <c r="T1193" s="37">
        <f>IF(B1193="","",IF(K1193="",1,K1193))</f>
        <v>0</v>
      </c>
      <c r="U1193" s="15">
        <f>IF(B1193="","",IF(J1193&lt;&gt;"",J1193,IF(H1193="Retail",IFERROR(INDEX(Inventory!$B$5:$B$304,MATCH(I1193,Inventory!$A$5:$A$304,0))&amp;"","Not in Inventory"),IFERROR(INDEX(Services!$B$5:$B$204,MATCH(I1193,Services!$A$5:$A$204,0))&amp;"","Not in Services"))))</f>
        <v>0</v>
      </c>
      <c r="V1193" s="26">
        <f>IF(B1193="","",IF(L1193&lt;&gt;"",L1193,IF(H1193="Retail",IFERROR(INDEX(Inventory!$I$5:$I$304,MATCH(I1193,Inventory!$A$5:$A$304,0))*1,0),IFERROR(INDEX(Services!$G$5:$G$204,MATCH(I1193,Services!$A$5:$A$204,0))*1,0))))</f>
        <v>0</v>
      </c>
      <c r="W1193" s="26">
        <f>IF(B1193="","",ROUND(T1193*V1193,2))</f>
        <v>0</v>
      </c>
      <c r="X1193" s="26">
        <f>IF(B1193="","",ROUND(IF(M1193="",0,W1193*M1193)+IF(N1193="",0,N1193),2))</f>
        <v>0</v>
      </c>
      <c r="Y1193" s="26">
        <f>IF(B1193="","",ROUND(W1193-X1193-IF(P1193="",0,P1193),2))</f>
        <v>0</v>
      </c>
      <c r="Z1193" s="26">
        <f>IF(B1193="","",IF(H1193="Retail",IF(TaxOnRetail="Yes",ROUND(Y1193*TaxRate,2),0),IF(H1193="Service",IF(TaxOnServices="Yes",ROUND(Y1193*TaxRate,2),0),0)))</f>
        <v>0</v>
      </c>
      <c r="AA1193" s="26">
        <f>IF(B1193="","",ROUND(Y1193+Z1193,2))</f>
        <v>0</v>
      </c>
      <c r="AB1193" s="26">
        <f>IF(B1193="","",ROUND(T1193*IF(H1193="Retail",IFERROR(INDEX(Inventory!$H$5:$H$304,MATCH(I1193,Inventory!$A$5:$A$304,0))*1,0),IFERROR(INDEX(Services!$Q$5:$Q$204,MATCH(I1193,Services!$A$5:$A$204,0))*1,0)),2))</f>
        <v>0</v>
      </c>
      <c r="AC1193" s="26">
        <f>IF(B1193="","",ROUND(Y1193-AB1193,2))</f>
        <v>0</v>
      </c>
      <c r="AD1193" s="38">
        <f>IF(B1193="","",IF(C1193="","No",IF(COUNTIFS($C$5:C1193,C1193)=1,"Yes","No")))</f>
        <v>0</v>
      </c>
      <c r="AE1193" s="26">
        <f>IF(B1193="","",ROUND(SUMIFS(Payments!$G$5:$G$1204,Payments!$H$5:$H$1204,A1193,Payments!$Q$5:$Q$1204,"Yes"),2))</f>
        <v>0</v>
      </c>
      <c r="AF1193" s="26">
        <f>IF(B1193="","",IF(AD1193="No",0,ROUND(SUMIFS(Payments!$G$5:$G$1204,Payments!$I$5:$I$1204,C1193,Payments!$H$5:$H$1204,"",Payments!$Q$5:$Q$1204,"Yes"),2)))</f>
        <v>0</v>
      </c>
      <c r="AG1193" s="26">
        <f>IF(B1193="","",ROUND(AE1193+AF1193,2))</f>
        <v>0</v>
      </c>
      <c r="AH1193" s="26">
        <f>IF(B1193="","",ROUND(AA1193-AG1193,2))</f>
        <v>0</v>
      </c>
      <c r="AI1193" s="39">
        <f>IF(B1193="","",IF(AA1193&lt;=0,"No charge",IF(AH1193&lt;=0.004,"Paid",IF(AG1193&lt;=0.004,"Unpaid","Part paid"))))</f>
        <v>0</v>
      </c>
      <c r="AJ1193" s="38">
        <f>IF(B1193="","",IF(H1193&lt;&gt;"Service","",IF(D1193="","No",IF(COUNTIFS($D$5:$D$1204,D1193,$B$5:$B$1204,B1193,$H$5:$H$1204,"Retail")&gt;0,"Yes","No"))))</f>
        <v>0</v>
      </c>
      <c r="AK1193" s="25">
        <f>IF(B1193="","",COUNTIFS($Y$5:$Y$1204,"&gt;"&amp;Y1193)+COUNTIFS($Y$5:Y1193,Y1193))</f>
        <v>0</v>
      </c>
      <c r="AL1193" s="39">
        <f>IF(B1193="","",IF(H1193="","Add - what kind of sale is this?",IF(IF(V1193&lt;=0,P1193="",FALSE),"Check - no price found for this item",IF(F1193="","Assign - nobody credited",IF(AH1193&gt;0.004,"Unpaid - balance outstanding",IF(AC1193&lt;0,"Loss - sold below cost",IF(X1193&gt;W1193*0.5,"Check - more than half off","OK")))))))</f>
        <v>0</v>
      </c>
    </row>
    <row r="1194" spans="1:38">
      <c r="A1194" s="28">
        <f>IF(B1194="","",SalePrefix&amp;TEXT(ROW()-4,"0000"))</f>
        <v>0</v>
      </c>
      <c r="E1194" s="15">
        <f>IF(D1194="","",IFERROR(INDEX(Clients!$B$5:$B$504,MATCH(D1194,Clients!$A$5:$A$504,0)),"Walk-in"))</f>
        <v>0</v>
      </c>
      <c r="G1194" s="15">
        <f>IF(F1194="","",IFERROR(INDEX(Staff!$B$5:$B$44,MATCH(F1194,Staff!$A$5:$A$44,0)),"House"))</f>
        <v>0</v>
      </c>
      <c r="R1194" s="15">
        <f>IF(B1194="","",TEXT(B1194,"yyyy-mm"))</f>
        <v>0</v>
      </c>
      <c r="S1194" s="25">
        <f>IF(B1194="","",WEEKNUM(B1194,2))</f>
        <v>0</v>
      </c>
      <c r="T1194" s="37">
        <f>IF(B1194="","",IF(K1194="",1,K1194))</f>
        <v>0</v>
      </c>
      <c r="U1194" s="15">
        <f>IF(B1194="","",IF(J1194&lt;&gt;"",J1194,IF(H1194="Retail",IFERROR(INDEX(Inventory!$B$5:$B$304,MATCH(I1194,Inventory!$A$5:$A$304,0))&amp;"","Not in Inventory"),IFERROR(INDEX(Services!$B$5:$B$204,MATCH(I1194,Services!$A$5:$A$204,0))&amp;"","Not in Services"))))</f>
        <v>0</v>
      </c>
      <c r="V1194" s="26">
        <f>IF(B1194="","",IF(L1194&lt;&gt;"",L1194,IF(H1194="Retail",IFERROR(INDEX(Inventory!$I$5:$I$304,MATCH(I1194,Inventory!$A$5:$A$304,0))*1,0),IFERROR(INDEX(Services!$G$5:$G$204,MATCH(I1194,Services!$A$5:$A$204,0))*1,0))))</f>
        <v>0</v>
      </c>
      <c r="W1194" s="26">
        <f>IF(B1194="","",ROUND(T1194*V1194,2))</f>
        <v>0</v>
      </c>
      <c r="X1194" s="26">
        <f>IF(B1194="","",ROUND(IF(M1194="",0,W1194*M1194)+IF(N1194="",0,N1194),2))</f>
        <v>0</v>
      </c>
      <c r="Y1194" s="26">
        <f>IF(B1194="","",ROUND(W1194-X1194-IF(P1194="",0,P1194),2))</f>
        <v>0</v>
      </c>
      <c r="Z1194" s="26">
        <f>IF(B1194="","",IF(H1194="Retail",IF(TaxOnRetail="Yes",ROUND(Y1194*TaxRate,2),0),IF(H1194="Service",IF(TaxOnServices="Yes",ROUND(Y1194*TaxRate,2),0),0)))</f>
        <v>0</v>
      </c>
      <c r="AA1194" s="26">
        <f>IF(B1194="","",ROUND(Y1194+Z1194,2))</f>
        <v>0</v>
      </c>
      <c r="AB1194" s="26">
        <f>IF(B1194="","",ROUND(T1194*IF(H1194="Retail",IFERROR(INDEX(Inventory!$H$5:$H$304,MATCH(I1194,Inventory!$A$5:$A$304,0))*1,0),IFERROR(INDEX(Services!$Q$5:$Q$204,MATCH(I1194,Services!$A$5:$A$204,0))*1,0)),2))</f>
        <v>0</v>
      </c>
      <c r="AC1194" s="26">
        <f>IF(B1194="","",ROUND(Y1194-AB1194,2))</f>
        <v>0</v>
      </c>
      <c r="AD1194" s="38">
        <f>IF(B1194="","",IF(C1194="","No",IF(COUNTIFS($C$5:C1194,C1194)=1,"Yes","No")))</f>
        <v>0</v>
      </c>
      <c r="AE1194" s="26">
        <f>IF(B1194="","",ROUND(SUMIFS(Payments!$G$5:$G$1204,Payments!$H$5:$H$1204,A1194,Payments!$Q$5:$Q$1204,"Yes"),2))</f>
        <v>0</v>
      </c>
      <c r="AF1194" s="26">
        <f>IF(B1194="","",IF(AD1194="No",0,ROUND(SUMIFS(Payments!$G$5:$G$1204,Payments!$I$5:$I$1204,C1194,Payments!$H$5:$H$1204,"",Payments!$Q$5:$Q$1204,"Yes"),2)))</f>
        <v>0</v>
      </c>
      <c r="AG1194" s="26">
        <f>IF(B1194="","",ROUND(AE1194+AF1194,2))</f>
        <v>0</v>
      </c>
      <c r="AH1194" s="26">
        <f>IF(B1194="","",ROUND(AA1194-AG1194,2))</f>
        <v>0</v>
      </c>
      <c r="AI1194" s="39">
        <f>IF(B1194="","",IF(AA1194&lt;=0,"No charge",IF(AH1194&lt;=0.004,"Paid",IF(AG1194&lt;=0.004,"Unpaid","Part paid"))))</f>
        <v>0</v>
      </c>
      <c r="AJ1194" s="38">
        <f>IF(B1194="","",IF(H1194&lt;&gt;"Service","",IF(D1194="","No",IF(COUNTIFS($D$5:$D$1204,D1194,$B$5:$B$1204,B1194,$H$5:$H$1204,"Retail")&gt;0,"Yes","No"))))</f>
        <v>0</v>
      </c>
      <c r="AK1194" s="25">
        <f>IF(B1194="","",COUNTIFS($Y$5:$Y$1204,"&gt;"&amp;Y1194)+COUNTIFS($Y$5:Y1194,Y1194))</f>
        <v>0</v>
      </c>
      <c r="AL1194" s="39">
        <f>IF(B1194="","",IF(H1194="","Add - what kind of sale is this?",IF(IF(V1194&lt;=0,P1194="",FALSE),"Check - no price found for this item",IF(F1194="","Assign - nobody credited",IF(AH1194&gt;0.004,"Unpaid - balance outstanding",IF(AC1194&lt;0,"Loss - sold below cost",IF(X1194&gt;W1194*0.5,"Check - more than half off","OK")))))))</f>
        <v>0</v>
      </c>
    </row>
    <row r="1195" spans="1:38">
      <c r="A1195" s="28">
        <f>IF(B1195="","",SalePrefix&amp;TEXT(ROW()-4,"0000"))</f>
        <v>0</v>
      </c>
      <c r="E1195" s="15">
        <f>IF(D1195="","",IFERROR(INDEX(Clients!$B$5:$B$504,MATCH(D1195,Clients!$A$5:$A$504,0)),"Walk-in"))</f>
        <v>0</v>
      </c>
      <c r="G1195" s="15">
        <f>IF(F1195="","",IFERROR(INDEX(Staff!$B$5:$B$44,MATCH(F1195,Staff!$A$5:$A$44,0)),"House"))</f>
        <v>0</v>
      </c>
      <c r="R1195" s="15">
        <f>IF(B1195="","",TEXT(B1195,"yyyy-mm"))</f>
        <v>0</v>
      </c>
      <c r="S1195" s="25">
        <f>IF(B1195="","",WEEKNUM(B1195,2))</f>
        <v>0</v>
      </c>
      <c r="T1195" s="37">
        <f>IF(B1195="","",IF(K1195="",1,K1195))</f>
        <v>0</v>
      </c>
      <c r="U1195" s="15">
        <f>IF(B1195="","",IF(J1195&lt;&gt;"",J1195,IF(H1195="Retail",IFERROR(INDEX(Inventory!$B$5:$B$304,MATCH(I1195,Inventory!$A$5:$A$304,0))&amp;"","Not in Inventory"),IFERROR(INDEX(Services!$B$5:$B$204,MATCH(I1195,Services!$A$5:$A$204,0))&amp;"","Not in Services"))))</f>
        <v>0</v>
      </c>
      <c r="V1195" s="26">
        <f>IF(B1195="","",IF(L1195&lt;&gt;"",L1195,IF(H1195="Retail",IFERROR(INDEX(Inventory!$I$5:$I$304,MATCH(I1195,Inventory!$A$5:$A$304,0))*1,0),IFERROR(INDEX(Services!$G$5:$G$204,MATCH(I1195,Services!$A$5:$A$204,0))*1,0))))</f>
        <v>0</v>
      </c>
      <c r="W1195" s="26">
        <f>IF(B1195="","",ROUND(T1195*V1195,2))</f>
        <v>0</v>
      </c>
      <c r="X1195" s="26">
        <f>IF(B1195="","",ROUND(IF(M1195="",0,W1195*M1195)+IF(N1195="",0,N1195),2))</f>
        <v>0</v>
      </c>
      <c r="Y1195" s="26">
        <f>IF(B1195="","",ROUND(W1195-X1195-IF(P1195="",0,P1195),2))</f>
        <v>0</v>
      </c>
      <c r="Z1195" s="26">
        <f>IF(B1195="","",IF(H1195="Retail",IF(TaxOnRetail="Yes",ROUND(Y1195*TaxRate,2),0),IF(H1195="Service",IF(TaxOnServices="Yes",ROUND(Y1195*TaxRate,2),0),0)))</f>
        <v>0</v>
      </c>
      <c r="AA1195" s="26">
        <f>IF(B1195="","",ROUND(Y1195+Z1195,2))</f>
        <v>0</v>
      </c>
      <c r="AB1195" s="26">
        <f>IF(B1195="","",ROUND(T1195*IF(H1195="Retail",IFERROR(INDEX(Inventory!$H$5:$H$304,MATCH(I1195,Inventory!$A$5:$A$304,0))*1,0),IFERROR(INDEX(Services!$Q$5:$Q$204,MATCH(I1195,Services!$A$5:$A$204,0))*1,0)),2))</f>
        <v>0</v>
      </c>
      <c r="AC1195" s="26">
        <f>IF(B1195="","",ROUND(Y1195-AB1195,2))</f>
        <v>0</v>
      </c>
      <c r="AD1195" s="38">
        <f>IF(B1195="","",IF(C1195="","No",IF(COUNTIFS($C$5:C1195,C1195)=1,"Yes","No")))</f>
        <v>0</v>
      </c>
      <c r="AE1195" s="26">
        <f>IF(B1195="","",ROUND(SUMIFS(Payments!$G$5:$G$1204,Payments!$H$5:$H$1204,A1195,Payments!$Q$5:$Q$1204,"Yes"),2))</f>
        <v>0</v>
      </c>
      <c r="AF1195" s="26">
        <f>IF(B1195="","",IF(AD1195="No",0,ROUND(SUMIFS(Payments!$G$5:$G$1204,Payments!$I$5:$I$1204,C1195,Payments!$H$5:$H$1204,"",Payments!$Q$5:$Q$1204,"Yes"),2)))</f>
        <v>0</v>
      </c>
      <c r="AG1195" s="26">
        <f>IF(B1195="","",ROUND(AE1195+AF1195,2))</f>
        <v>0</v>
      </c>
      <c r="AH1195" s="26">
        <f>IF(B1195="","",ROUND(AA1195-AG1195,2))</f>
        <v>0</v>
      </c>
      <c r="AI1195" s="39">
        <f>IF(B1195="","",IF(AA1195&lt;=0,"No charge",IF(AH1195&lt;=0.004,"Paid",IF(AG1195&lt;=0.004,"Unpaid","Part paid"))))</f>
        <v>0</v>
      </c>
      <c r="AJ1195" s="38">
        <f>IF(B1195="","",IF(H1195&lt;&gt;"Service","",IF(D1195="","No",IF(COUNTIFS($D$5:$D$1204,D1195,$B$5:$B$1204,B1195,$H$5:$H$1204,"Retail")&gt;0,"Yes","No"))))</f>
        <v>0</v>
      </c>
      <c r="AK1195" s="25">
        <f>IF(B1195="","",COUNTIFS($Y$5:$Y$1204,"&gt;"&amp;Y1195)+COUNTIFS($Y$5:Y1195,Y1195))</f>
        <v>0</v>
      </c>
      <c r="AL1195" s="39">
        <f>IF(B1195="","",IF(H1195="","Add - what kind of sale is this?",IF(IF(V1195&lt;=0,P1195="",FALSE),"Check - no price found for this item",IF(F1195="","Assign - nobody credited",IF(AH1195&gt;0.004,"Unpaid - balance outstanding",IF(AC1195&lt;0,"Loss - sold below cost",IF(X1195&gt;W1195*0.5,"Check - more than half off","OK")))))))</f>
        <v>0</v>
      </c>
    </row>
    <row r="1196" spans="1:38">
      <c r="A1196" s="28">
        <f>IF(B1196="","",SalePrefix&amp;TEXT(ROW()-4,"0000"))</f>
        <v>0</v>
      </c>
      <c r="E1196" s="15">
        <f>IF(D1196="","",IFERROR(INDEX(Clients!$B$5:$B$504,MATCH(D1196,Clients!$A$5:$A$504,0)),"Walk-in"))</f>
        <v>0</v>
      </c>
      <c r="G1196" s="15">
        <f>IF(F1196="","",IFERROR(INDEX(Staff!$B$5:$B$44,MATCH(F1196,Staff!$A$5:$A$44,0)),"House"))</f>
        <v>0</v>
      </c>
      <c r="R1196" s="15">
        <f>IF(B1196="","",TEXT(B1196,"yyyy-mm"))</f>
        <v>0</v>
      </c>
      <c r="S1196" s="25">
        <f>IF(B1196="","",WEEKNUM(B1196,2))</f>
        <v>0</v>
      </c>
      <c r="T1196" s="37">
        <f>IF(B1196="","",IF(K1196="",1,K1196))</f>
        <v>0</v>
      </c>
      <c r="U1196" s="15">
        <f>IF(B1196="","",IF(J1196&lt;&gt;"",J1196,IF(H1196="Retail",IFERROR(INDEX(Inventory!$B$5:$B$304,MATCH(I1196,Inventory!$A$5:$A$304,0))&amp;"","Not in Inventory"),IFERROR(INDEX(Services!$B$5:$B$204,MATCH(I1196,Services!$A$5:$A$204,0))&amp;"","Not in Services"))))</f>
        <v>0</v>
      </c>
      <c r="V1196" s="26">
        <f>IF(B1196="","",IF(L1196&lt;&gt;"",L1196,IF(H1196="Retail",IFERROR(INDEX(Inventory!$I$5:$I$304,MATCH(I1196,Inventory!$A$5:$A$304,0))*1,0),IFERROR(INDEX(Services!$G$5:$G$204,MATCH(I1196,Services!$A$5:$A$204,0))*1,0))))</f>
        <v>0</v>
      </c>
      <c r="W1196" s="26">
        <f>IF(B1196="","",ROUND(T1196*V1196,2))</f>
        <v>0</v>
      </c>
      <c r="X1196" s="26">
        <f>IF(B1196="","",ROUND(IF(M1196="",0,W1196*M1196)+IF(N1196="",0,N1196),2))</f>
        <v>0</v>
      </c>
      <c r="Y1196" s="26">
        <f>IF(B1196="","",ROUND(W1196-X1196-IF(P1196="",0,P1196),2))</f>
        <v>0</v>
      </c>
      <c r="Z1196" s="26">
        <f>IF(B1196="","",IF(H1196="Retail",IF(TaxOnRetail="Yes",ROUND(Y1196*TaxRate,2),0),IF(H1196="Service",IF(TaxOnServices="Yes",ROUND(Y1196*TaxRate,2),0),0)))</f>
        <v>0</v>
      </c>
      <c r="AA1196" s="26">
        <f>IF(B1196="","",ROUND(Y1196+Z1196,2))</f>
        <v>0</v>
      </c>
      <c r="AB1196" s="26">
        <f>IF(B1196="","",ROUND(T1196*IF(H1196="Retail",IFERROR(INDEX(Inventory!$H$5:$H$304,MATCH(I1196,Inventory!$A$5:$A$304,0))*1,0),IFERROR(INDEX(Services!$Q$5:$Q$204,MATCH(I1196,Services!$A$5:$A$204,0))*1,0)),2))</f>
        <v>0</v>
      </c>
      <c r="AC1196" s="26">
        <f>IF(B1196="","",ROUND(Y1196-AB1196,2))</f>
        <v>0</v>
      </c>
      <c r="AD1196" s="38">
        <f>IF(B1196="","",IF(C1196="","No",IF(COUNTIFS($C$5:C1196,C1196)=1,"Yes","No")))</f>
        <v>0</v>
      </c>
      <c r="AE1196" s="26">
        <f>IF(B1196="","",ROUND(SUMIFS(Payments!$G$5:$G$1204,Payments!$H$5:$H$1204,A1196,Payments!$Q$5:$Q$1204,"Yes"),2))</f>
        <v>0</v>
      </c>
      <c r="AF1196" s="26">
        <f>IF(B1196="","",IF(AD1196="No",0,ROUND(SUMIFS(Payments!$G$5:$G$1204,Payments!$I$5:$I$1204,C1196,Payments!$H$5:$H$1204,"",Payments!$Q$5:$Q$1204,"Yes"),2)))</f>
        <v>0</v>
      </c>
      <c r="AG1196" s="26">
        <f>IF(B1196="","",ROUND(AE1196+AF1196,2))</f>
        <v>0</v>
      </c>
      <c r="AH1196" s="26">
        <f>IF(B1196="","",ROUND(AA1196-AG1196,2))</f>
        <v>0</v>
      </c>
      <c r="AI1196" s="39">
        <f>IF(B1196="","",IF(AA1196&lt;=0,"No charge",IF(AH1196&lt;=0.004,"Paid",IF(AG1196&lt;=0.004,"Unpaid","Part paid"))))</f>
        <v>0</v>
      </c>
      <c r="AJ1196" s="38">
        <f>IF(B1196="","",IF(H1196&lt;&gt;"Service","",IF(D1196="","No",IF(COUNTIFS($D$5:$D$1204,D1196,$B$5:$B$1204,B1196,$H$5:$H$1204,"Retail")&gt;0,"Yes","No"))))</f>
        <v>0</v>
      </c>
      <c r="AK1196" s="25">
        <f>IF(B1196="","",COUNTIFS($Y$5:$Y$1204,"&gt;"&amp;Y1196)+COUNTIFS($Y$5:Y1196,Y1196))</f>
        <v>0</v>
      </c>
      <c r="AL1196" s="39">
        <f>IF(B1196="","",IF(H1196="","Add - what kind of sale is this?",IF(IF(V1196&lt;=0,P1196="",FALSE),"Check - no price found for this item",IF(F1196="","Assign - nobody credited",IF(AH1196&gt;0.004,"Unpaid - balance outstanding",IF(AC1196&lt;0,"Loss - sold below cost",IF(X1196&gt;W1196*0.5,"Check - more than half off","OK")))))))</f>
        <v>0</v>
      </c>
    </row>
    <row r="1197" spans="1:38">
      <c r="A1197" s="28">
        <f>IF(B1197="","",SalePrefix&amp;TEXT(ROW()-4,"0000"))</f>
        <v>0</v>
      </c>
      <c r="E1197" s="15">
        <f>IF(D1197="","",IFERROR(INDEX(Clients!$B$5:$B$504,MATCH(D1197,Clients!$A$5:$A$504,0)),"Walk-in"))</f>
        <v>0</v>
      </c>
      <c r="G1197" s="15">
        <f>IF(F1197="","",IFERROR(INDEX(Staff!$B$5:$B$44,MATCH(F1197,Staff!$A$5:$A$44,0)),"House"))</f>
        <v>0</v>
      </c>
      <c r="R1197" s="15">
        <f>IF(B1197="","",TEXT(B1197,"yyyy-mm"))</f>
        <v>0</v>
      </c>
      <c r="S1197" s="25">
        <f>IF(B1197="","",WEEKNUM(B1197,2))</f>
        <v>0</v>
      </c>
      <c r="T1197" s="37">
        <f>IF(B1197="","",IF(K1197="",1,K1197))</f>
        <v>0</v>
      </c>
      <c r="U1197" s="15">
        <f>IF(B1197="","",IF(J1197&lt;&gt;"",J1197,IF(H1197="Retail",IFERROR(INDEX(Inventory!$B$5:$B$304,MATCH(I1197,Inventory!$A$5:$A$304,0))&amp;"","Not in Inventory"),IFERROR(INDEX(Services!$B$5:$B$204,MATCH(I1197,Services!$A$5:$A$204,0))&amp;"","Not in Services"))))</f>
        <v>0</v>
      </c>
      <c r="V1197" s="26">
        <f>IF(B1197="","",IF(L1197&lt;&gt;"",L1197,IF(H1197="Retail",IFERROR(INDEX(Inventory!$I$5:$I$304,MATCH(I1197,Inventory!$A$5:$A$304,0))*1,0),IFERROR(INDEX(Services!$G$5:$G$204,MATCH(I1197,Services!$A$5:$A$204,0))*1,0))))</f>
        <v>0</v>
      </c>
      <c r="W1197" s="26">
        <f>IF(B1197="","",ROUND(T1197*V1197,2))</f>
        <v>0</v>
      </c>
      <c r="X1197" s="26">
        <f>IF(B1197="","",ROUND(IF(M1197="",0,W1197*M1197)+IF(N1197="",0,N1197),2))</f>
        <v>0</v>
      </c>
      <c r="Y1197" s="26">
        <f>IF(B1197="","",ROUND(W1197-X1197-IF(P1197="",0,P1197),2))</f>
        <v>0</v>
      </c>
      <c r="Z1197" s="26">
        <f>IF(B1197="","",IF(H1197="Retail",IF(TaxOnRetail="Yes",ROUND(Y1197*TaxRate,2),0),IF(H1197="Service",IF(TaxOnServices="Yes",ROUND(Y1197*TaxRate,2),0),0)))</f>
        <v>0</v>
      </c>
      <c r="AA1197" s="26">
        <f>IF(B1197="","",ROUND(Y1197+Z1197,2))</f>
        <v>0</v>
      </c>
      <c r="AB1197" s="26">
        <f>IF(B1197="","",ROUND(T1197*IF(H1197="Retail",IFERROR(INDEX(Inventory!$H$5:$H$304,MATCH(I1197,Inventory!$A$5:$A$304,0))*1,0),IFERROR(INDEX(Services!$Q$5:$Q$204,MATCH(I1197,Services!$A$5:$A$204,0))*1,0)),2))</f>
        <v>0</v>
      </c>
      <c r="AC1197" s="26">
        <f>IF(B1197="","",ROUND(Y1197-AB1197,2))</f>
        <v>0</v>
      </c>
      <c r="AD1197" s="38">
        <f>IF(B1197="","",IF(C1197="","No",IF(COUNTIFS($C$5:C1197,C1197)=1,"Yes","No")))</f>
        <v>0</v>
      </c>
      <c r="AE1197" s="26">
        <f>IF(B1197="","",ROUND(SUMIFS(Payments!$G$5:$G$1204,Payments!$H$5:$H$1204,A1197,Payments!$Q$5:$Q$1204,"Yes"),2))</f>
        <v>0</v>
      </c>
      <c r="AF1197" s="26">
        <f>IF(B1197="","",IF(AD1197="No",0,ROUND(SUMIFS(Payments!$G$5:$G$1204,Payments!$I$5:$I$1204,C1197,Payments!$H$5:$H$1204,"",Payments!$Q$5:$Q$1204,"Yes"),2)))</f>
        <v>0</v>
      </c>
      <c r="AG1197" s="26">
        <f>IF(B1197="","",ROUND(AE1197+AF1197,2))</f>
        <v>0</v>
      </c>
      <c r="AH1197" s="26">
        <f>IF(B1197="","",ROUND(AA1197-AG1197,2))</f>
        <v>0</v>
      </c>
      <c r="AI1197" s="39">
        <f>IF(B1197="","",IF(AA1197&lt;=0,"No charge",IF(AH1197&lt;=0.004,"Paid",IF(AG1197&lt;=0.004,"Unpaid","Part paid"))))</f>
        <v>0</v>
      </c>
      <c r="AJ1197" s="38">
        <f>IF(B1197="","",IF(H1197&lt;&gt;"Service","",IF(D1197="","No",IF(COUNTIFS($D$5:$D$1204,D1197,$B$5:$B$1204,B1197,$H$5:$H$1204,"Retail")&gt;0,"Yes","No"))))</f>
        <v>0</v>
      </c>
      <c r="AK1197" s="25">
        <f>IF(B1197="","",COUNTIFS($Y$5:$Y$1204,"&gt;"&amp;Y1197)+COUNTIFS($Y$5:Y1197,Y1197))</f>
        <v>0</v>
      </c>
      <c r="AL1197" s="39">
        <f>IF(B1197="","",IF(H1197="","Add - what kind of sale is this?",IF(IF(V1197&lt;=0,P1197="",FALSE),"Check - no price found for this item",IF(F1197="","Assign - nobody credited",IF(AH1197&gt;0.004,"Unpaid - balance outstanding",IF(AC1197&lt;0,"Loss - sold below cost",IF(X1197&gt;W1197*0.5,"Check - more than half off","OK")))))))</f>
        <v>0</v>
      </c>
    </row>
    <row r="1198" spans="1:38">
      <c r="A1198" s="28">
        <f>IF(B1198="","",SalePrefix&amp;TEXT(ROW()-4,"0000"))</f>
        <v>0</v>
      </c>
      <c r="E1198" s="15">
        <f>IF(D1198="","",IFERROR(INDEX(Clients!$B$5:$B$504,MATCH(D1198,Clients!$A$5:$A$504,0)),"Walk-in"))</f>
        <v>0</v>
      </c>
      <c r="G1198" s="15">
        <f>IF(F1198="","",IFERROR(INDEX(Staff!$B$5:$B$44,MATCH(F1198,Staff!$A$5:$A$44,0)),"House"))</f>
        <v>0</v>
      </c>
      <c r="R1198" s="15">
        <f>IF(B1198="","",TEXT(B1198,"yyyy-mm"))</f>
        <v>0</v>
      </c>
      <c r="S1198" s="25">
        <f>IF(B1198="","",WEEKNUM(B1198,2))</f>
        <v>0</v>
      </c>
      <c r="T1198" s="37">
        <f>IF(B1198="","",IF(K1198="",1,K1198))</f>
        <v>0</v>
      </c>
      <c r="U1198" s="15">
        <f>IF(B1198="","",IF(J1198&lt;&gt;"",J1198,IF(H1198="Retail",IFERROR(INDEX(Inventory!$B$5:$B$304,MATCH(I1198,Inventory!$A$5:$A$304,0))&amp;"","Not in Inventory"),IFERROR(INDEX(Services!$B$5:$B$204,MATCH(I1198,Services!$A$5:$A$204,0))&amp;"","Not in Services"))))</f>
        <v>0</v>
      </c>
      <c r="V1198" s="26">
        <f>IF(B1198="","",IF(L1198&lt;&gt;"",L1198,IF(H1198="Retail",IFERROR(INDEX(Inventory!$I$5:$I$304,MATCH(I1198,Inventory!$A$5:$A$304,0))*1,0),IFERROR(INDEX(Services!$G$5:$G$204,MATCH(I1198,Services!$A$5:$A$204,0))*1,0))))</f>
        <v>0</v>
      </c>
      <c r="W1198" s="26">
        <f>IF(B1198="","",ROUND(T1198*V1198,2))</f>
        <v>0</v>
      </c>
      <c r="X1198" s="26">
        <f>IF(B1198="","",ROUND(IF(M1198="",0,W1198*M1198)+IF(N1198="",0,N1198),2))</f>
        <v>0</v>
      </c>
      <c r="Y1198" s="26">
        <f>IF(B1198="","",ROUND(W1198-X1198-IF(P1198="",0,P1198),2))</f>
        <v>0</v>
      </c>
      <c r="Z1198" s="26">
        <f>IF(B1198="","",IF(H1198="Retail",IF(TaxOnRetail="Yes",ROUND(Y1198*TaxRate,2),0),IF(H1198="Service",IF(TaxOnServices="Yes",ROUND(Y1198*TaxRate,2),0),0)))</f>
        <v>0</v>
      </c>
      <c r="AA1198" s="26">
        <f>IF(B1198="","",ROUND(Y1198+Z1198,2))</f>
        <v>0</v>
      </c>
      <c r="AB1198" s="26">
        <f>IF(B1198="","",ROUND(T1198*IF(H1198="Retail",IFERROR(INDEX(Inventory!$H$5:$H$304,MATCH(I1198,Inventory!$A$5:$A$304,0))*1,0),IFERROR(INDEX(Services!$Q$5:$Q$204,MATCH(I1198,Services!$A$5:$A$204,0))*1,0)),2))</f>
        <v>0</v>
      </c>
      <c r="AC1198" s="26">
        <f>IF(B1198="","",ROUND(Y1198-AB1198,2))</f>
        <v>0</v>
      </c>
      <c r="AD1198" s="38">
        <f>IF(B1198="","",IF(C1198="","No",IF(COUNTIFS($C$5:C1198,C1198)=1,"Yes","No")))</f>
        <v>0</v>
      </c>
      <c r="AE1198" s="26">
        <f>IF(B1198="","",ROUND(SUMIFS(Payments!$G$5:$G$1204,Payments!$H$5:$H$1204,A1198,Payments!$Q$5:$Q$1204,"Yes"),2))</f>
        <v>0</v>
      </c>
      <c r="AF1198" s="26">
        <f>IF(B1198="","",IF(AD1198="No",0,ROUND(SUMIFS(Payments!$G$5:$G$1204,Payments!$I$5:$I$1204,C1198,Payments!$H$5:$H$1204,"",Payments!$Q$5:$Q$1204,"Yes"),2)))</f>
        <v>0</v>
      </c>
      <c r="AG1198" s="26">
        <f>IF(B1198="","",ROUND(AE1198+AF1198,2))</f>
        <v>0</v>
      </c>
      <c r="AH1198" s="26">
        <f>IF(B1198="","",ROUND(AA1198-AG1198,2))</f>
        <v>0</v>
      </c>
      <c r="AI1198" s="39">
        <f>IF(B1198="","",IF(AA1198&lt;=0,"No charge",IF(AH1198&lt;=0.004,"Paid",IF(AG1198&lt;=0.004,"Unpaid","Part paid"))))</f>
        <v>0</v>
      </c>
      <c r="AJ1198" s="38">
        <f>IF(B1198="","",IF(H1198&lt;&gt;"Service","",IF(D1198="","No",IF(COUNTIFS($D$5:$D$1204,D1198,$B$5:$B$1204,B1198,$H$5:$H$1204,"Retail")&gt;0,"Yes","No"))))</f>
        <v>0</v>
      </c>
      <c r="AK1198" s="25">
        <f>IF(B1198="","",COUNTIFS($Y$5:$Y$1204,"&gt;"&amp;Y1198)+COUNTIFS($Y$5:Y1198,Y1198))</f>
        <v>0</v>
      </c>
      <c r="AL1198" s="39">
        <f>IF(B1198="","",IF(H1198="","Add - what kind of sale is this?",IF(IF(V1198&lt;=0,P1198="",FALSE),"Check - no price found for this item",IF(F1198="","Assign - nobody credited",IF(AH1198&gt;0.004,"Unpaid - balance outstanding",IF(AC1198&lt;0,"Loss - sold below cost",IF(X1198&gt;W1198*0.5,"Check - more than half off","OK")))))))</f>
        <v>0</v>
      </c>
    </row>
    <row r="1199" spans="1:38">
      <c r="A1199" s="28">
        <f>IF(B1199="","",SalePrefix&amp;TEXT(ROW()-4,"0000"))</f>
        <v>0</v>
      </c>
      <c r="E1199" s="15">
        <f>IF(D1199="","",IFERROR(INDEX(Clients!$B$5:$B$504,MATCH(D1199,Clients!$A$5:$A$504,0)),"Walk-in"))</f>
        <v>0</v>
      </c>
      <c r="G1199" s="15">
        <f>IF(F1199="","",IFERROR(INDEX(Staff!$B$5:$B$44,MATCH(F1199,Staff!$A$5:$A$44,0)),"House"))</f>
        <v>0</v>
      </c>
      <c r="R1199" s="15">
        <f>IF(B1199="","",TEXT(B1199,"yyyy-mm"))</f>
        <v>0</v>
      </c>
      <c r="S1199" s="25">
        <f>IF(B1199="","",WEEKNUM(B1199,2))</f>
        <v>0</v>
      </c>
      <c r="T1199" s="37">
        <f>IF(B1199="","",IF(K1199="",1,K1199))</f>
        <v>0</v>
      </c>
      <c r="U1199" s="15">
        <f>IF(B1199="","",IF(J1199&lt;&gt;"",J1199,IF(H1199="Retail",IFERROR(INDEX(Inventory!$B$5:$B$304,MATCH(I1199,Inventory!$A$5:$A$304,0))&amp;"","Not in Inventory"),IFERROR(INDEX(Services!$B$5:$B$204,MATCH(I1199,Services!$A$5:$A$204,0))&amp;"","Not in Services"))))</f>
        <v>0</v>
      </c>
      <c r="V1199" s="26">
        <f>IF(B1199="","",IF(L1199&lt;&gt;"",L1199,IF(H1199="Retail",IFERROR(INDEX(Inventory!$I$5:$I$304,MATCH(I1199,Inventory!$A$5:$A$304,0))*1,0),IFERROR(INDEX(Services!$G$5:$G$204,MATCH(I1199,Services!$A$5:$A$204,0))*1,0))))</f>
        <v>0</v>
      </c>
      <c r="W1199" s="26">
        <f>IF(B1199="","",ROUND(T1199*V1199,2))</f>
        <v>0</v>
      </c>
      <c r="X1199" s="26">
        <f>IF(B1199="","",ROUND(IF(M1199="",0,W1199*M1199)+IF(N1199="",0,N1199),2))</f>
        <v>0</v>
      </c>
      <c r="Y1199" s="26">
        <f>IF(B1199="","",ROUND(W1199-X1199-IF(P1199="",0,P1199),2))</f>
        <v>0</v>
      </c>
      <c r="Z1199" s="26">
        <f>IF(B1199="","",IF(H1199="Retail",IF(TaxOnRetail="Yes",ROUND(Y1199*TaxRate,2),0),IF(H1199="Service",IF(TaxOnServices="Yes",ROUND(Y1199*TaxRate,2),0),0)))</f>
        <v>0</v>
      </c>
      <c r="AA1199" s="26">
        <f>IF(B1199="","",ROUND(Y1199+Z1199,2))</f>
        <v>0</v>
      </c>
      <c r="AB1199" s="26">
        <f>IF(B1199="","",ROUND(T1199*IF(H1199="Retail",IFERROR(INDEX(Inventory!$H$5:$H$304,MATCH(I1199,Inventory!$A$5:$A$304,0))*1,0),IFERROR(INDEX(Services!$Q$5:$Q$204,MATCH(I1199,Services!$A$5:$A$204,0))*1,0)),2))</f>
        <v>0</v>
      </c>
      <c r="AC1199" s="26">
        <f>IF(B1199="","",ROUND(Y1199-AB1199,2))</f>
        <v>0</v>
      </c>
      <c r="AD1199" s="38">
        <f>IF(B1199="","",IF(C1199="","No",IF(COUNTIFS($C$5:C1199,C1199)=1,"Yes","No")))</f>
        <v>0</v>
      </c>
      <c r="AE1199" s="26">
        <f>IF(B1199="","",ROUND(SUMIFS(Payments!$G$5:$G$1204,Payments!$H$5:$H$1204,A1199,Payments!$Q$5:$Q$1204,"Yes"),2))</f>
        <v>0</v>
      </c>
      <c r="AF1199" s="26">
        <f>IF(B1199="","",IF(AD1199="No",0,ROUND(SUMIFS(Payments!$G$5:$G$1204,Payments!$I$5:$I$1204,C1199,Payments!$H$5:$H$1204,"",Payments!$Q$5:$Q$1204,"Yes"),2)))</f>
        <v>0</v>
      </c>
      <c r="AG1199" s="26">
        <f>IF(B1199="","",ROUND(AE1199+AF1199,2))</f>
        <v>0</v>
      </c>
      <c r="AH1199" s="26">
        <f>IF(B1199="","",ROUND(AA1199-AG1199,2))</f>
        <v>0</v>
      </c>
      <c r="AI1199" s="39">
        <f>IF(B1199="","",IF(AA1199&lt;=0,"No charge",IF(AH1199&lt;=0.004,"Paid",IF(AG1199&lt;=0.004,"Unpaid","Part paid"))))</f>
        <v>0</v>
      </c>
      <c r="AJ1199" s="38">
        <f>IF(B1199="","",IF(H1199&lt;&gt;"Service","",IF(D1199="","No",IF(COUNTIFS($D$5:$D$1204,D1199,$B$5:$B$1204,B1199,$H$5:$H$1204,"Retail")&gt;0,"Yes","No"))))</f>
        <v>0</v>
      </c>
      <c r="AK1199" s="25">
        <f>IF(B1199="","",COUNTIFS($Y$5:$Y$1204,"&gt;"&amp;Y1199)+COUNTIFS($Y$5:Y1199,Y1199))</f>
        <v>0</v>
      </c>
      <c r="AL1199" s="39">
        <f>IF(B1199="","",IF(H1199="","Add - what kind of sale is this?",IF(IF(V1199&lt;=0,P1199="",FALSE),"Check - no price found for this item",IF(F1199="","Assign - nobody credited",IF(AH1199&gt;0.004,"Unpaid - balance outstanding",IF(AC1199&lt;0,"Loss - sold below cost",IF(X1199&gt;W1199*0.5,"Check - more than half off","OK")))))))</f>
        <v>0</v>
      </c>
    </row>
    <row r="1200" spans="1:38">
      <c r="A1200" s="28">
        <f>IF(B1200="","",SalePrefix&amp;TEXT(ROW()-4,"0000"))</f>
        <v>0</v>
      </c>
      <c r="E1200" s="15">
        <f>IF(D1200="","",IFERROR(INDEX(Clients!$B$5:$B$504,MATCH(D1200,Clients!$A$5:$A$504,0)),"Walk-in"))</f>
        <v>0</v>
      </c>
      <c r="G1200" s="15">
        <f>IF(F1200="","",IFERROR(INDEX(Staff!$B$5:$B$44,MATCH(F1200,Staff!$A$5:$A$44,0)),"House"))</f>
        <v>0</v>
      </c>
      <c r="R1200" s="15">
        <f>IF(B1200="","",TEXT(B1200,"yyyy-mm"))</f>
        <v>0</v>
      </c>
      <c r="S1200" s="25">
        <f>IF(B1200="","",WEEKNUM(B1200,2))</f>
        <v>0</v>
      </c>
      <c r="T1200" s="37">
        <f>IF(B1200="","",IF(K1200="",1,K1200))</f>
        <v>0</v>
      </c>
      <c r="U1200" s="15">
        <f>IF(B1200="","",IF(J1200&lt;&gt;"",J1200,IF(H1200="Retail",IFERROR(INDEX(Inventory!$B$5:$B$304,MATCH(I1200,Inventory!$A$5:$A$304,0))&amp;"","Not in Inventory"),IFERROR(INDEX(Services!$B$5:$B$204,MATCH(I1200,Services!$A$5:$A$204,0))&amp;"","Not in Services"))))</f>
        <v>0</v>
      </c>
      <c r="V1200" s="26">
        <f>IF(B1200="","",IF(L1200&lt;&gt;"",L1200,IF(H1200="Retail",IFERROR(INDEX(Inventory!$I$5:$I$304,MATCH(I1200,Inventory!$A$5:$A$304,0))*1,0),IFERROR(INDEX(Services!$G$5:$G$204,MATCH(I1200,Services!$A$5:$A$204,0))*1,0))))</f>
        <v>0</v>
      </c>
      <c r="W1200" s="26">
        <f>IF(B1200="","",ROUND(T1200*V1200,2))</f>
        <v>0</v>
      </c>
      <c r="X1200" s="26">
        <f>IF(B1200="","",ROUND(IF(M1200="",0,W1200*M1200)+IF(N1200="",0,N1200),2))</f>
        <v>0</v>
      </c>
      <c r="Y1200" s="26">
        <f>IF(B1200="","",ROUND(W1200-X1200-IF(P1200="",0,P1200),2))</f>
        <v>0</v>
      </c>
      <c r="Z1200" s="26">
        <f>IF(B1200="","",IF(H1200="Retail",IF(TaxOnRetail="Yes",ROUND(Y1200*TaxRate,2),0),IF(H1200="Service",IF(TaxOnServices="Yes",ROUND(Y1200*TaxRate,2),0),0)))</f>
        <v>0</v>
      </c>
      <c r="AA1200" s="26">
        <f>IF(B1200="","",ROUND(Y1200+Z1200,2))</f>
        <v>0</v>
      </c>
      <c r="AB1200" s="26">
        <f>IF(B1200="","",ROUND(T1200*IF(H1200="Retail",IFERROR(INDEX(Inventory!$H$5:$H$304,MATCH(I1200,Inventory!$A$5:$A$304,0))*1,0),IFERROR(INDEX(Services!$Q$5:$Q$204,MATCH(I1200,Services!$A$5:$A$204,0))*1,0)),2))</f>
        <v>0</v>
      </c>
      <c r="AC1200" s="26">
        <f>IF(B1200="","",ROUND(Y1200-AB1200,2))</f>
        <v>0</v>
      </c>
      <c r="AD1200" s="38">
        <f>IF(B1200="","",IF(C1200="","No",IF(COUNTIFS($C$5:C1200,C1200)=1,"Yes","No")))</f>
        <v>0</v>
      </c>
      <c r="AE1200" s="26">
        <f>IF(B1200="","",ROUND(SUMIFS(Payments!$G$5:$G$1204,Payments!$H$5:$H$1204,A1200,Payments!$Q$5:$Q$1204,"Yes"),2))</f>
        <v>0</v>
      </c>
      <c r="AF1200" s="26">
        <f>IF(B1200="","",IF(AD1200="No",0,ROUND(SUMIFS(Payments!$G$5:$G$1204,Payments!$I$5:$I$1204,C1200,Payments!$H$5:$H$1204,"",Payments!$Q$5:$Q$1204,"Yes"),2)))</f>
        <v>0</v>
      </c>
      <c r="AG1200" s="26">
        <f>IF(B1200="","",ROUND(AE1200+AF1200,2))</f>
        <v>0</v>
      </c>
      <c r="AH1200" s="26">
        <f>IF(B1200="","",ROUND(AA1200-AG1200,2))</f>
        <v>0</v>
      </c>
      <c r="AI1200" s="39">
        <f>IF(B1200="","",IF(AA1200&lt;=0,"No charge",IF(AH1200&lt;=0.004,"Paid",IF(AG1200&lt;=0.004,"Unpaid","Part paid"))))</f>
        <v>0</v>
      </c>
      <c r="AJ1200" s="38">
        <f>IF(B1200="","",IF(H1200&lt;&gt;"Service","",IF(D1200="","No",IF(COUNTIFS($D$5:$D$1204,D1200,$B$5:$B$1204,B1200,$H$5:$H$1204,"Retail")&gt;0,"Yes","No"))))</f>
        <v>0</v>
      </c>
      <c r="AK1200" s="25">
        <f>IF(B1200="","",COUNTIFS($Y$5:$Y$1204,"&gt;"&amp;Y1200)+COUNTIFS($Y$5:Y1200,Y1200))</f>
        <v>0</v>
      </c>
      <c r="AL1200" s="39">
        <f>IF(B1200="","",IF(H1200="","Add - what kind of sale is this?",IF(IF(V1200&lt;=0,P1200="",FALSE),"Check - no price found for this item",IF(F1200="","Assign - nobody credited",IF(AH1200&gt;0.004,"Unpaid - balance outstanding",IF(AC1200&lt;0,"Loss - sold below cost",IF(X1200&gt;W1200*0.5,"Check - more than half off","OK")))))))</f>
        <v>0</v>
      </c>
    </row>
    <row r="1201" spans="1:38">
      <c r="A1201" s="28">
        <f>IF(B1201="","",SalePrefix&amp;TEXT(ROW()-4,"0000"))</f>
        <v>0</v>
      </c>
      <c r="E1201" s="15">
        <f>IF(D1201="","",IFERROR(INDEX(Clients!$B$5:$B$504,MATCH(D1201,Clients!$A$5:$A$504,0)),"Walk-in"))</f>
        <v>0</v>
      </c>
      <c r="G1201" s="15">
        <f>IF(F1201="","",IFERROR(INDEX(Staff!$B$5:$B$44,MATCH(F1201,Staff!$A$5:$A$44,0)),"House"))</f>
        <v>0</v>
      </c>
      <c r="R1201" s="15">
        <f>IF(B1201="","",TEXT(B1201,"yyyy-mm"))</f>
        <v>0</v>
      </c>
      <c r="S1201" s="25">
        <f>IF(B1201="","",WEEKNUM(B1201,2))</f>
        <v>0</v>
      </c>
      <c r="T1201" s="37">
        <f>IF(B1201="","",IF(K1201="",1,K1201))</f>
        <v>0</v>
      </c>
      <c r="U1201" s="15">
        <f>IF(B1201="","",IF(J1201&lt;&gt;"",J1201,IF(H1201="Retail",IFERROR(INDEX(Inventory!$B$5:$B$304,MATCH(I1201,Inventory!$A$5:$A$304,0))&amp;"","Not in Inventory"),IFERROR(INDEX(Services!$B$5:$B$204,MATCH(I1201,Services!$A$5:$A$204,0))&amp;"","Not in Services"))))</f>
        <v>0</v>
      </c>
      <c r="V1201" s="26">
        <f>IF(B1201="","",IF(L1201&lt;&gt;"",L1201,IF(H1201="Retail",IFERROR(INDEX(Inventory!$I$5:$I$304,MATCH(I1201,Inventory!$A$5:$A$304,0))*1,0),IFERROR(INDEX(Services!$G$5:$G$204,MATCH(I1201,Services!$A$5:$A$204,0))*1,0))))</f>
        <v>0</v>
      </c>
      <c r="W1201" s="26">
        <f>IF(B1201="","",ROUND(T1201*V1201,2))</f>
        <v>0</v>
      </c>
      <c r="X1201" s="26">
        <f>IF(B1201="","",ROUND(IF(M1201="",0,W1201*M1201)+IF(N1201="",0,N1201),2))</f>
        <v>0</v>
      </c>
      <c r="Y1201" s="26">
        <f>IF(B1201="","",ROUND(W1201-X1201-IF(P1201="",0,P1201),2))</f>
        <v>0</v>
      </c>
      <c r="Z1201" s="26">
        <f>IF(B1201="","",IF(H1201="Retail",IF(TaxOnRetail="Yes",ROUND(Y1201*TaxRate,2),0),IF(H1201="Service",IF(TaxOnServices="Yes",ROUND(Y1201*TaxRate,2),0),0)))</f>
        <v>0</v>
      </c>
      <c r="AA1201" s="26">
        <f>IF(B1201="","",ROUND(Y1201+Z1201,2))</f>
        <v>0</v>
      </c>
      <c r="AB1201" s="26">
        <f>IF(B1201="","",ROUND(T1201*IF(H1201="Retail",IFERROR(INDEX(Inventory!$H$5:$H$304,MATCH(I1201,Inventory!$A$5:$A$304,0))*1,0),IFERROR(INDEX(Services!$Q$5:$Q$204,MATCH(I1201,Services!$A$5:$A$204,0))*1,0)),2))</f>
        <v>0</v>
      </c>
      <c r="AC1201" s="26">
        <f>IF(B1201="","",ROUND(Y1201-AB1201,2))</f>
        <v>0</v>
      </c>
      <c r="AD1201" s="38">
        <f>IF(B1201="","",IF(C1201="","No",IF(COUNTIFS($C$5:C1201,C1201)=1,"Yes","No")))</f>
        <v>0</v>
      </c>
      <c r="AE1201" s="26">
        <f>IF(B1201="","",ROUND(SUMIFS(Payments!$G$5:$G$1204,Payments!$H$5:$H$1204,A1201,Payments!$Q$5:$Q$1204,"Yes"),2))</f>
        <v>0</v>
      </c>
      <c r="AF1201" s="26">
        <f>IF(B1201="","",IF(AD1201="No",0,ROUND(SUMIFS(Payments!$G$5:$G$1204,Payments!$I$5:$I$1204,C1201,Payments!$H$5:$H$1204,"",Payments!$Q$5:$Q$1204,"Yes"),2)))</f>
        <v>0</v>
      </c>
      <c r="AG1201" s="26">
        <f>IF(B1201="","",ROUND(AE1201+AF1201,2))</f>
        <v>0</v>
      </c>
      <c r="AH1201" s="26">
        <f>IF(B1201="","",ROUND(AA1201-AG1201,2))</f>
        <v>0</v>
      </c>
      <c r="AI1201" s="39">
        <f>IF(B1201="","",IF(AA1201&lt;=0,"No charge",IF(AH1201&lt;=0.004,"Paid",IF(AG1201&lt;=0.004,"Unpaid","Part paid"))))</f>
        <v>0</v>
      </c>
      <c r="AJ1201" s="38">
        <f>IF(B1201="","",IF(H1201&lt;&gt;"Service","",IF(D1201="","No",IF(COUNTIFS($D$5:$D$1204,D1201,$B$5:$B$1204,B1201,$H$5:$H$1204,"Retail")&gt;0,"Yes","No"))))</f>
        <v>0</v>
      </c>
      <c r="AK1201" s="25">
        <f>IF(B1201="","",COUNTIFS($Y$5:$Y$1204,"&gt;"&amp;Y1201)+COUNTIFS($Y$5:Y1201,Y1201))</f>
        <v>0</v>
      </c>
      <c r="AL1201" s="39">
        <f>IF(B1201="","",IF(H1201="","Add - what kind of sale is this?",IF(IF(V1201&lt;=0,P1201="",FALSE),"Check - no price found for this item",IF(F1201="","Assign - nobody credited",IF(AH1201&gt;0.004,"Unpaid - balance outstanding",IF(AC1201&lt;0,"Loss - sold below cost",IF(X1201&gt;W1201*0.5,"Check - more than half off","OK")))))))</f>
        <v>0</v>
      </c>
    </row>
    <row r="1202" spans="1:38">
      <c r="A1202" s="28">
        <f>IF(B1202="","",SalePrefix&amp;TEXT(ROW()-4,"0000"))</f>
        <v>0</v>
      </c>
      <c r="E1202" s="15">
        <f>IF(D1202="","",IFERROR(INDEX(Clients!$B$5:$B$504,MATCH(D1202,Clients!$A$5:$A$504,0)),"Walk-in"))</f>
        <v>0</v>
      </c>
      <c r="G1202" s="15">
        <f>IF(F1202="","",IFERROR(INDEX(Staff!$B$5:$B$44,MATCH(F1202,Staff!$A$5:$A$44,0)),"House"))</f>
        <v>0</v>
      </c>
      <c r="R1202" s="15">
        <f>IF(B1202="","",TEXT(B1202,"yyyy-mm"))</f>
        <v>0</v>
      </c>
      <c r="S1202" s="25">
        <f>IF(B1202="","",WEEKNUM(B1202,2))</f>
        <v>0</v>
      </c>
      <c r="T1202" s="37">
        <f>IF(B1202="","",IF(K1202="",1,K1202))</f>
        <v>0</v>
      </c>
      <c r="U1202" s="15">
        <f>IF(B1202="","",IF(J1202&lt;&gt;"",J1202,IF(H1202="Retail",IFERROR(INDEX(Inventory!$B$5:$B$304,MATCH(I1202,Inventory!$A$5:$A$304,0))&amp;"","Not in Inventory"),IFERROR(INDEX(Services!$B$5:$B$204,MATCH(I1202,Services!$A$5:$A$204,0))&amp;"","Not in Services"))))</f>
        <v>0</v>
      </c>
      <c r="V1202" s="26">
        <f>IF(B1202="","",IF(L1202&lt;&gt;"",L1202,IF(H1202="Retail",IFERROR(INDEX(Inventory!$I$5:$I$304,MATCH(I1202,Inventory!$A$5:$A$304,0))*1,0),IFERROR(INDEX(Services!$G$5:$G$204,MATCH(I1202,Services!$A$5:$A$204,0))*1,0))))</f>
        <v>0</v>
      </c>
      <c r="W1202" s="26">
        <f>IF(B1202="","",ROUND(T1202*V1202,2))</f>
        <v>0</v>
      </c>
      <c r="X1202" s="26">
        <f>IF(B1202="","",ROUND(IF(M1202="",0,W1202*M1202)+IF(N1202="",0,N1202),2))</f>
        <v>0</v>
      </c>
      <c r="Y1202" s="26">
        <f>IF(B1202="","",ROUND(W1202-X1202-IF(P1202="",0,P1202),2))</f>
        <v>0</v>
      </c>
      <c r="Z1202" s="26">
        <f>IF(B1202="","",IF(H1202="Retail",IF(TaxOnRetail="Yes",ROUND(Y1202*TaxRate,2),0),IF(H1202="Service",IF(TaxOnServices="Yes",ROUND(Y1202*TaxRate,2),0),0)))</f>
        <v>0</v>
      </c>
      <c r="AA1202" s="26">
        <f>IF(B1202="","",ROUND(Y1202+Z1202,2))</f>
        <v>0</v>
      </c>
      <c r="AB1202" s="26">
        <f>IF(B1202="","",ROUND(T1202*IF(H1202="Retail",IFERROR(INDEX(Inventory!$H$5:$H$304,MATCH(I1202,Inventory!$A$5:$A$304,0))*1,0),IFERROR(INDEX(Services!$Q$5:$Q$204,MATCH(I1202,Services!$A$5:$A$204,0))*1,0)),2))</f>
        <v>0</v>
      </c>
      <c r="AC1202" s="26">
        <f>IF(B1202="","",ROUND(Y1202-AB1202,2))</f>
        <v>0</v>
      </c>
      <c r="AD1202" s="38">
        <f>IF(B1202="","",IF(C1202="","No",IF(COUNTIFS($C$5:C1202,C1202)=1,"Yes","No")))</f>
        <v>0</v>
      </c>
      <c r="AE1202" s="26">
        <f>IF(B1202="","",ROUND(SUMIFS(Payments!$G$5:$G$1204,Payments!$H$5:$H$1204,A1202,Payments!$Q$5:$Q$1204,"Yes"),2))</f>
        <v>0</v>
      </c>
      <c r="AF1202" s="26">
        <f>IF(B1202="","",IF(AD1202="No",0,ROUND(SUMIFS(Payments!$G$5:$G$1204,Payments!$I$5:$I$1204,C1202,Payments!$H$5:$H$1204,"",Payments!$Q$5:$Q$1204,"Yes"),2)))</f>
        <v>0</v>
      </c>
      <c r="AG1202" s="26">
        <f>IF(B1202="","",ROUND(AE1202+AF1202,2))</f>
        <v>0</v>
      </c>
      <c r="AH1202" s="26">
        <f>IF(B1202="","",ROUND(AA1202-AG1202,2))</f>
        <v>0</v>
      </c>
      <c r="AI1202" s="39">
        <f>IF(B1202="","",IF(AA1202&lt;=0,"No charge",IF(AH1202&lt;=0.004,"Paid",IF(AG1202&lt;=0.004,"Unpaid","Part paid"))))</f>
        <v>0</v>
      </c>
      <c r="AJ1202" s="38">
        <f>IF(B1202="","",IF(H1202&lt;&gt;"Service","",IF(D1202="","No",IF(COUNTIFS($D$5:$D$1204,D1202,$B$5:$B$1204,B1202,$H$5:$H$1204,"Retail")&gt;0,"Yes","No"))))</f>
        <v>0</v>
      </c>
      <c r="AK1202" s="25">
        <f>IF(B1202="","",COUNTIFS($Y$5:$Y$1204,"&gt;"&amp;Y1202)+COUNTIFS($Y$5:Y1202,Y1202))</f>
        <v>0</v>
      </c>
      <c r="AL1202" s="39">
        <f>IF(B1202="","",IF(H1202="","Add - what kind of sale is this?",IF(IF(V1202&lt;=0,P1202="",FALSE),"Check - no price found for this item",IF(F1202="","Assign - nobody credited",IF(AH1202&gt;0.004,"Unpaid - balance outstanding",IF(AC1202&lt;0,"Loss - sold below cost",IF(X1202&gt;W1202*0.5,"Check - more than half off","OK")))))))</f>
        <v>0</v>
      </c>
    </row>
    <row r="1203" spans="1:38">
      <c r="A1203" s="28">
        <f>IF(B1203="","",SalePrefix&amp;TEXT(ROW()-4,"0000"))</f>
        <v>0</v>
      </c>
      <c r="E1203" s="15">
        <f>IF(D1203="","",IFERROR(INDEX(Clients!$B$5:$B$504,MATCH(D1203,Clients!$A$5:$A$504,0)),"Walk-in"))</f>
        <v>0</v>
      </c>
      <c r="G1203" s="15">
        <f>IF(F1203="","",IFERROR(INDEX(Staff!$B$5:$B$44,MATCH(F1203,Staff!$A$5:$A$44,0)),"House"))</f>
        <v>0</v>
      </c>
      <c r="R1203" s="15">
        <f>IF(B1203="","",TEXT(B1203,"yyyy-mm"))</f>
        <v>0</v>
      </c>
      <c r="S1203" s="25">
        <f>IF(B1203="","",WEEKNUM(B1203,2))</f>
        <v>0</v>
      </c>
      <c r="T1203" s="37">
        <f>IF(B1203="","",IF(K1203="",1,K1203))</f>
        <v>0</v>
      </c>
      <c r="U1203" s="15">
        <f>IF(B1203="","",IF(J1203&lt;&gt;"",J1203,IF(H1203="Retail",IFERROR(INDEX(Inventory!$B$5:$B$304,MATCH(I1203,Inventory!$A$5:$A$304,0))&amp;"","Not in Inventory"),IFERROR(INDEX(Services!$B$5:$B$204,MATCH(I1203,Services!$A$5:$A$204,0))&amp;"","Not in Services"))))</f>
        <v>0</v>
      </c>
      <c r="V1203" s="26">
        <f>IF(B1203="","",IF(L1203&lt;&gt;"",L1203,IF(H1203="Retail",IFERROR(INDEX(Inventory!$I$5:$I$304,MATCH(I1203,Inventory!$A$5:$A$304,0))*1,0),IFERROR(INDEX(Services!$G$5:$G$204,MATCH(I1203,Services!$A$5:$A$204,0))*1,0))))</f>
        <v>0</v>
      </c>
      <c r="W1203" s="26">
        <f>IF(B1203="","",ROUND(T1203*V1203,2))</f>
        <v>0</v>
      </c>
      <c r="X1203" s="26">
        <f>IF(B1203="","",ROUND(IF(M1203="",0,W1203*M1203)+IF(N1203="",0,N1203),2))</f>
        <v>0</v>
      </c>
      <c r="Y1203" s="26">
        <f>IF(B1203="","",ROUND(W1203-X1203-IF(P1203="",0,P1203),2))</f>
        <v>0</v>
      </c>
      <c r="Z1203" s="26">
        <f>IF(B1203="","",IF(H1203="Retail",IF(TaxOnRetail="Yes",ROUND(Y1203*TaxRate,2),0),IF(H1203="Service",IF(TaxOnServices="Yes",ROUND(Y1203*TaxRate,2),0),0)))</f>
        <v>0</v>
      </c>
      <c r="AA1203" s="26">
        <f>IF(B1203="","",ROUND(Y1203+Z1203,2))</f>
        <v>0</v>
      </c>
      <c r="AB1203" s="26">
        <f>IF(B1203="","",ROUND(T1203*IF(H1203="Retail",IFERROR(INDEX(Inventory!$H$5:$H$304,MATCH(I1203,Inventory!$A$5:$A$304,0))*1,0),IFERROR(INDEX(Services!$Q$5:$Q$204,MATCH(I1203,Services!$A$5:$A$204,0))*1,0)),2))</f>
        <v>0</v>
      </c>
      <c r="AC1203" s="26">
        <f>IF(B1203="","",ROUND(Y1203-AB1203,2))</f>
        <v>0</v>
      </c>
      <c r="AD1203" s="38">
        <f>IF(B1203="","",IF(C1203="","No",IF(COUNTIFS($C$5:C1203,C1203)=1,"Yes","No")))</f>
        <v>0</v>
      </c>
      <c r="AE1203" s="26">
        <f>IF(B1203="","",ROUND(SUMIFS(Payments!$G$5:$G$1204,Payments!$H$5:$H$1204,A1203,Payments!$Q$5:$Q$1204,"Yes"),2))</f>
        <v>0</v>
      </c>
      <c r="AF1203" s="26">
        <f>IF(B1203="","",IF(AD1203="No",0,ROUND(SUMIFS(Payments!$G$5:$G$1204,Payments!$I$5:$I$1204,C1203,Payments!$H$5:$H$1204,"",Payments!$Q$5:$Q$1204,"Yes"),2)))</f>
        <v>0</v>
      </c>
      <c r="AG1203" s="26">
        <f>IF(B1203="","",ROUND(AE1203+AF1203,2))</f>
        <v>0</v>
      </c>
      <c r="AH1203" s="26">
        <f>IF(B1203="","",ROUND(AA1203-AG1203,2))</f>
        <v>0</v>
      </c>
      <c r="AI1203" s="39">
        <f>IF(B1203="","",IF(AA1203&lt;=0,"No charge",IF(AH1203&lt;=0.004,"Paid",IF(AG1203&lt;=0.004,"Unpaid","Part paid"))))</f>
        <v>0</v>
      </c>
      <c r="AJ1203" s="38">
        <f>IF(B1203="","",IF(H1203&lt;&gt;"Service","",IF(D1203="","No",IF(COUNTIFS($D$5:$D$1204,D1203,$B$5:$B$1204,B1203,$H$5:$H$1204,"Retail")&gt;0,"Yes","No"))))</f>
        <v>0</v>
      </c>
      <c r="AK1203" s="25">
        <f>IF(B1203="","",COUNTIFS($Y$5:$Y$1204,"&gt;"&amp;Y1203)+COUNTIFS($Y$5:Y1203,Y1203))</f>
        <v>0</v>
      </c>
      <c r="AL1203" s="39">
        <f>IF(B1203="","",IF(H1203="","Add - what kind of sale is this?",IF(IF(V1203&lt;=0,P1203="",FALSE),"Check - no price found for this item",IF(F1203="","Assign - nobody credited",IF(AH1203&gt;0.004,"Unpaid - balance outstanding",IF(AC1203&lt;0,"Loss - sold below cost",IF(X1203&gt;W1203*0.5,"Check - more than half off","OK")))))))</f>
        <v>0</v>
      </c>
    </row>
    <row r="1204" spans="1:38">
      <c r="A1204" s="28">
        <f>IF(B1204="","",SalePrefix&amp;TEXT(ROW()-4,"0000"))</f>
        <v>0</v>
      </c>
      <c r="E1204" s="15">
        <f>IF(D1204="","",IFERROR(INDEX(Clients!$B$5:$B$504,MATCH(D1204,Clients!$A$5:$A$504,0)),"Walk-in"))</f>
        <v>0</v>
      </c>
      <c r="G1204" s="15">
        <f>IF(F1204="","",IFERROR(INDEX(Staff!$B$5:$B$44,MATCH(F1204,Staff!$A$5:$A$44,0)),"House"))</f>
        <v>0</v>
      </c>
      <c r="R1204" s="15">
        <f>IF(B1204="","",TEXT(B1204,"yyyy-mm"))</f>
        <v>0</v>
      </c>
      <c r="S1204" s="25">
        <f>IF(B1204="","",WEEKNUM(B1204,2))</f>
        <v>0</v>
      </c>
      <c r="T1204" s="37">
        <f>IF(B1204="","",IF(K1204="",1,K1204))</f>
        <v>0</v>
      </c>
      <c r="U1204" s="15">
        <f>IF(B1204="","",IF(J1204&lt;&gt;"",J1204,IF(H1204="Retail",IFERROR(INDEX(Inventory!$B$5:$B$304,MATCH(I1204,Inventory!$A$5:$A$304,0))&amp;"","Not in Inventory"),IFERROR(INDEX(Services!$B$5:$B$204,MATCH(I1204,Services!$A$5:$A$204,0))&amp;"","Not in Services"))))</f>
        <v>0</v>
      </c>
      <c r="V1204" s="26">
        <f>IF(B1204="","",IF(L1204&lt;&gt;"",L1204,IF(H1204="Retail",IFERROR(INDEX(Inventory!$I$5:$I$304,MATCH(I1204,Inventory!$A$5:$A$304,0))*1,0),IFERROR(INDEX(Services!$G$5:$G$204,MATCH(I1204,Services!$A$5:$A$204,0))*1,0))))</f>
        <v>0</v>
      </c>
      <c r="W1204" s="26">
        <f>IF(B1204="","",ROUND(T1204*V1204,2))</f>
        <v>0</v>
      </c>
      <c r="X1204" s="26">
        <f>IF(B1204="","",ROUND(IF(M1204="",0,W1204*M1204)+IF(N1204="",0,N1204),2))</f>
        <v>0</v>
      </c>
      <c r="Y1204" s="26">
        <f>IF(B1204="","",ROUND(W1204-X1204-IF(P1204="",0,P1204),2))</f>
        <v>0</v>
      </c>
      <c r="Z1204" s="26">
        <f>IF(B1204="","",IF(H1204="Retail",IF(TaxOnRetail="Yes",ROUND(Y1204*TaxRate,2),0),IF(H1204="Service",IF(TaxOnServices="Yes",ROUND(Y1204*TaxRate,2),0),0)))</f>
        <v>0</v>
      </c>
      <c r="AA1204" s="26">
        <f>IF(B1204="","",ROUND(Y1204+Z1204,2))</f>
        <v>0</v>
      </c>
      <c r="AB1204" s="26">
        <f>IF(B1204="","",ROUND(T1204*IF(H1204="Retail",IFERROR(INDEX(Inventory!$H$5:$H$304,MATCH(I1204,Inventory!$A$5:$A$304,0))*1,0),IFERROR(INDEX(Services!$Q$5:$Q$204,MATCH(I1204,Services!$A$5:$A$204,0))*1,0)),2))</f>
        <v>0</v>
      </c>
      <c r="AC1204" s="26">
        <f>IF(B1204="","",ROUND(Y1204-AB1204,2))</f>
        <v>0</v>
      </c>
      <c r="AD1204" s="38">
        <f>IF(B1204="","",IF(C1204="","No",IF(COUNTIFS($C$5:C1204,C1204)=1,"Yes","No")))</f>
        <v>0</v>
      </c>
      <c r="AE1204" s="26">
        <f>IF(B1204="","",ROUND(SUMIFS(Payments!$G$5:$G$1204,Payments!$H$5:$H$1204,A1204,Payments!$Q$5:$Q$1204,"Yes"),2))</f>
        <v>0</v>
      </c>
      <c r="AF1204" s="26">
        <f>IF(B1204="","",IF(AD1204="No",0,ROUND(SUMIFS(Payments!$G$5:$G$1204,Payments!$I$5:$I$1204,C1204,Payments!$H$5:$H$1204,"",Payments!$Q$5:$Q$1204,"Yes"),2)))</f>
        <v>0</v>
      </c>
      <c r="AG1204" s="26">
        <f>IF(B1204="","",ROUND(AE1204+AF1204,2))</f>
        <v>0</v>
      </c>
      <c r="AH1204" s="26">
        <f>IF(B1204="","",ROUND(AA1204-AG1204,2))</f>
        <v>0</v>
      </c>
      <c r="AI1204" s="39">
        <f>IF(B1204="","",IF(AA1204&lt;=0,"No charge",IF(AH1204&lt;=0.004,"Paid",IF(AG1204&lt;=0.004,"Unpaid","Part paid"))))</f>
        <v>0</v>
      </c>
      <c r="AJ1204" s="38">
        <f>IF(B1204="","",IF(H1204&lt;&gt;"Service","",IF(D1204="","No",IF(COUNTIFS($D$5:$D$1204,D1204,$B$5:$B$1204,B1204,$H$5:$H$1204,"Retail")&gt;0,"Yes","No"))))</f>
        <v>0</v>
      </c>
      <c r="AK1204" s="25">
        <f>IF(B1204="","",COUNTIFS($Y$5:$Y$1204,"&gt;"&amp;Y1204)+COUNTIFS($Y$5:Y1204,Y1204))</f>
        <v>0</v>
      </c>
      <c r="AL1204" s="39">
        <f>IF(B1204="","",IF(H1204="","Add - what kind of sale is this?",IF(IF(V1204&lt;=0,P1204="",FALSE),"Check - no price found for this item",IF(F1204="","Assign - nobody credited",IF(AH1204&gt;0.004,"Unpaid - balance outstanding",IF(AC1204&lt;0,"Loss - sold below cost",IF(X1204&gt;W1204*0.5,"Check - more than half off","OK")))))))</f>
        <v>0</v>
      </c>
    </row>
    <row r="1206" spans="1:38" ht="20" customHeight="1">
      <c r="A1206" s="7" t="s">
        <v>364</v>
      </c>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c r="AC1206" s="7"/>
      <c r="AD1206" s="7"/>
      <c r="AE1206" s="7"/>
      <c r="AF1206" s="7"/>
      <c r="AG1206" s="7"/>
      <c r="AH1206" s="7"/>
      <c r="AI1206" s="7"/>
      <c r="AJ1206" s="7"/>
      <c r="AK1206" s="7"/>
      <c r="AL1206" s="7"/>
    </row>
    <row r="1207" spans="1:38" ht="26" customHeight="1">
      <c r="A1207" s="10" t="s">
        <v>365</v>
      </c>
      <c r="B1207" s="11" t="s">
        <v>349</v>
      </c>
      <c r="C1207" s="11" t="s">
        <v>366</v>
      </c>
      <c r="D1207" s="11" t="s">
        <v>367</v>
      </c>
      <c r="E1207" s="11" t="s">
        <v>84</v>
      </c>
      <c r="F1207" s="11" t="s">
        <v>352</v>
      </c>
      <c r="G1207" s="11" t="s">
        <v>194</v>
      </c>
      <c r="H1207" s="11" t="s">
        <v>201</v>
      </c>
      <c r="I1207" s="11" t="s">
        <v>358</v>
      </c>
      <c r="J1207" s="11" t="s">
        <v>368</v>
      </c>
    </row>
    <row r="1208" spans="1:38">
      <c r="A1208" s="25">
        <f>COUNTIF(Sales!$B$5:$B$1204,"&lt;&gt;")</f>
        <v>0</v>
      </c>
      <c r="B1208" s="26">
        <f>ROUND(SUM(Sales!$W$5:$W$1204),2)</f>
        <v>0</v>
      </c>
      <c r="C1208" s="26">
        <f>ROUND(SUM(Sales!$X$5:$X$1204),2)</f>
        <v>0</v>
      </c>
      <c r="D1208" s="26">
        <f>ROUND(SUM(Sales!$P$5:$P$1204),2)</f>
        <v>0</v>
      </c>
      <c r="E1208" s="26">
        <f>ROUND(SUM(Sales!$Y$5:$Y$1204),2)</f>
        <v>0</v>
      </c>
      <c r="F1208" s="26">
        <f>ROUND(SUM(Sales!$Z$5:$Z$1204),2)</f>
        <v>0</v>
      </c>
      <c r="G1208" s="26">
        <f>ROUND(SUM(Sales!$AB$5:$AB$1204),2)</f>
        <v>0</v>
      </c>
      <c r="H1208" s="26">
        <f>ROUND(SUM(Sales!$AC$5:$AC$1204),2)</f>
        <v>0</v>
      </c>
      <c r="I1208" s="26">
        <f>ROUND(SUM(Sales!$AG$5:$AG$1204),2)</f>
        <v>0</v>
      </c>
      <c r="J1208" s="26">
        <f>ROUND(SUM(Sales!$AH$5:$AH$1204),2)</f>
        <v>0</v>
      </c>
    </row>
  </sheetData>
  <sheetProtection password="EC7C" sheet="1" objects="1" scenarios="1" formatCells="0" formatColumns="0" formatRows="0" insertRows="0" insertHyperlinks="0" deleteRows="0" autoFilter="0"/>
  <autoFilter ref="A4:AL1204"/>
  <mergeCells count="14">
    <mergeCell ref="A1:AI1"/>
    <mergeCell ref="AJ1:AL1"/>
    <mergeCell ref="A2:AL2"/>
    <mergeCell ref="A3:B3"/>
    <mergeCell ref="C3:D3"/>
    <mergeCell ref="E3:F3"/>
    <mergeCell ref="G3:H3"/>
    <mergeCell ref="I3:J3"/>
    <mergeCell ref="K3:L3"/>
    <mergeCell ref="M3:N3"/>
    <mergeCell ref="O3:P3"/>
    <mergeCell ref="Q3:R3"/>
    <mergeCell ref="S3:AL3"/>
    <mergeCell ref="A1206:AL1206"/>
  </mergeCells>
  <conditionalFormatting sqref="AC5:AC1204">
    <cfRule type="cellIs" dxfId="2" priority="3" operator="lessThan">
      <formula>0</formula>
    </cfRule>
  </conditionalFormatting>
  <conditionalFormatting sqref="AH5:AH1204">
    <cfRule type="cellIs" dxfId="0" priority="4" operator="greaterThan">
      <formula>0.004</formula>
    </cfRule>
    <cfRule type="cellIs" dxfId="3" priority="5" operator="lessThan">
      <formula>-0.004</formula>
    </cfRule>
  </conditionalFormatting>
  <conditionalFormatting sqref="AI5:AI1204">
    <cfRule type="containsText" dxfId="1" priority="6" operator="containsText" text="Completed">
      <formula>NOT(ISERROR(SEARCH("Completed",AI5)))</formula>
    </cfRule>
    <cfRule type="containsText" dxfId="1" priority="7" operator="containsText" text="Complete">
      <formula>NOT(ISERROR(SEARCH("Complete",AI5)))</formula>
    </cfRule>
    <cfRule type="containsText" dxfId="1" priority="8" operator="containsText" text="Paid">
      <formula>NOT(ISERROR(SEARCH("Paid",AI5)))</formula>
    </cfRule>
    <cfRule type="containsText" dxfId="1" priority="9" operator="containsText" text="Settled">
      <formula>NOT(ISERROR(SEARCH("Settled",AI5)))</formula>
    </cfRule>
    <cfRule type="containsText" dxfId="1" priority="10" operator="containsText" text="Arrived">
      <formula>NOT(ISERROR(SEARCH("Arrived",AI5)))</formula>
    </cfRule>
    <cfRule type="containsText" dxfId="1" priority="11" operator="containsText" text="Active">
      <formula>NOT(ISERROR(SEARCH("Active",AI5)))</formula>
    </cfRule>
    <cfRule type="containsText" dxfId="1" priority="12" operator="containsText" text="Regular">
      <formula>NOT(ISERROR(SEARCH("Regular",AI5)))</formula>
    </cfRule>
    <cfRule type="containsText" dxfId="1" priority="13" operator="containsText" text="VIP">
      <formula>NOT(ISERROR(SEARCH("VIP",AI5)))</formula>
    </cfRule>
    <cfRule type="containsText" dxfId="1" priority="14" operator="containsText" text="In stock">
      <formula>NOT(ISERROR(SEARCH("In stock",AI5)))</formula>
    </cfRule>
    <cfRule type="containsText" dxfId="1" priority="15" operator="containsText" text="Received">
      <formula>NOT(ISERROR(SEARCH("Received",AI5)))</formula>
    </cfRule>
    <cfRule type="containsText" dxfId="1" priority="16" operator="containsText" text="Approved">
      <formula>NOT(ISERROR(SEARCH("Approved",AI5)))</formula>
    </cfRule>
    <cfRule type="containsText" dxfId="1" priority="17" operator="containsText" text="Yes">
      <formula>NOT(ISERROR(SEARCH("Yes",AI5)))</formula>
    </cfRule>
    <cfRule type="containsText" dxfId="3" priority="18" operator="containsText" text="Booked">
      <formula>NOT(ISERROR(SEARCH("Booked",AI5)))</formula>
    </cfRule>
    <cfRule type="containsText" dxfId="3" priority="19" operator="containsText" text="Confirmed">
      <formula>NOT(ISERROR(SEARCH("Confirmed",AI5)))</formula>
    </cfRule>
    <cfRule type="containsText" dxfId="3" priority="20" operator="containsText" text="Scheduled">
      <formula>NOT(ISERROR(SEARCH("Scheduled",AI5)))</formula>
    </cfRule>
    <cfRule type="containsText" dxfId="3" priority="21" operator="containsText" text="New">
      <formula>NOT(ISERROR(SEARCH("New",AI5)))</formula>
    </cfRule>
    <cfRule type="containsText" dxfId="3" priority="22" operator="containsText" text="Ordered">
      <formula>NOT(ISERROR(SEARCH("Ordered",AI5)))</formula>
    </cfRule>
    <cfRule type="containsText" dxfId="3" priority="23" operator="containsText" text="Running">
      <formula>NOT(ISERROR(SEARCH("Running",AI5)))</formula>
    </cfRule>
    <cfRule type="containsText" dxfId="0" priority="24" operator="containsText" text="Part paid">
      <formula>NOT(ISERROR(SEARCH("Part paid",AI5)))</formula>
    </cfRule>
    <cfRule type="containsText" dxfId="0" priority="25" operator="containsText" text="Pending">
      <formula>NOT(ISERROR(SEARCH("Pending",AI5)))</formula>
    </cfRule>
    <cfRule type="containsText" dxfId="0" priority="26" operator="containsText" text="Enquiry">
      <formula>NOT(ISERROR(SEARCH("Enquiry",AI5)))</formula>
    </cfRule>
    <cfRule type="containsText" dxfId="0" priority="27" operator="containsText" text="Rescheduled">
      <formula>NOT(ISERROR(SEARCH("Rescheduled",AI5)))</formula>
    </cfRule>
    <cfRule type="containsText" dxfId="0" priority="28" operator="containsText" text="Low stock">
      <formula>NOT(ISERROR(SEARCH("Low stock",AI5)))</formula>
    </cfRule>
    <cfRule type="containsText" dxfId="0" priority="29" operator="containsText" text="Lapsing">
      <formula>NOT(ISERROR(SEARCH("Lapsing",AI5)))</formula>
    </cfRule>
    <cfRule type="containsText" dxfId="0" priority="30" operator="containsText" text="Planned">
      <formula>NOT(ISERROR(SEARCH("Planned",AI5)))</formula>
    </cfRule>
    <cfRule type="containsText" dxfId="0" priority="31" operator="containsText" text="On hold">
      <formula>NOT(ISERROR(SEARCH("On hold",AI5)))</formula>
    </cfRule>
    <cfRule type="containsText" dxfId="0" priority="32" operator="containsText" text="Draft">
      <formula>NOT(ISERROR(SEARCH("Draft",AI5)))</formula>
    </cfRule>
    <cfRule type="containsText" dxfId="2" priority="33" operator="containsText" text="Cancelled">
      <formula>NOT(ISERROR(SEARCH("Cancelled",AI5)))</formula>
    </cfRule>
    <cfRule type="containsText" dxfId="2" priority="34" operator="containsText" text="No show">
      <formula>NOT(ISERROR(SEARCH("No show",AI5)))</formula>
    </cfRule>
    <cfRule type="containsText" dxfId="2" priority="35" operator="containsText" text="Refunded">
      <formula>NOT(ISERROR(SEARCH("Refunded",AI5)))</formula>
    </cfRule>
    <cfRule type="containsText" dxfId="2" priority="36" operator="containsText" text="Out of stock">
      <formula>NOT(ISERROR(SEARCH("Out of stock",AI5)))</formula>
    </cfRule>
    <cfRule type="containsText" dxfId="2" priority="37" operator="containsText" text="Overdue">
      <formula>NOT(ISERROR(SEARCH("Overdue",AI5)))</formula>
    </cfRule>
    <cfRule type="containsText" dxfId="2" priority="38" operator="containsText" text="Written off">
      <formula>NOT(ISERROR(SEARCH("Written off",AI5)))</formula>
    </cfRule>
    <cfRule type="containsText" dxfId="4" priority="39" operator="containsText" text="Inactive">
      <formula>NOT(ISERROR(SEARCH("Inactive",AI5)))</formula>
    </cfRule>
    <cfRule type="containsText" dxfId="4" priority="40" operator="containsText" text="Archived">
      <formula>NOT(ISERROR(SEARCH("Archived",AI5)))</formula>
    </cfRule>
    <cfRule type="containsText" dxfId="4" priority="41" operator="containsText" text="Finished">
      <formula>NOT(ISERROR(SEARCH("Finished",AI5)))</formula>
    </cfRule>
    <cfRule type="containsText" dxfId="4" priority="42" operator="containsText" text="Discontinued">
      <formula>NOT(ISERROR(SEARCH("Discontinued",AI5)))</formula>
    </cfRule>
  </conditionalFormatting>
  <conditionalFormatting sqref="AL5:AL1204">
    <cfRule type="beginsWith" dxfId="1" priority="43" operator="beginsWith" text="OK">
      <formula>LEFT(AL5,2)="OK"</formula>
    </cfRule>
    <cfRule type="containsText" dxfId="2" priority="44" operator="containsText" text="Overdue">
      <formula>NOT(ISERROR(SEARCH("Overdue",AL5)))</formula>
    </cfRule>
    <cfRule type="containsText" dxfId="2" priority="45" operator="containsText" text="Late">
      <formula>NOT(ISERROR(SEARCH("Late",AL5)))</formula>
    </cfRule>
    <cfRule type="containsText" dxfId="2" priority="46" operator="containsText" text="Missing">
      <formula>NOT(ISERROR(SEARCH("Missing",AL5)))</formula>
    </cfRule>
    <cfRule type="containsText" dxfId="2" priority="47" operator="containsText" text="Clash">
      <formula>NOT(ISERROR(SEARCH("Clash",AL5)))</formula>
    </cfRule>
    <cfRule type="containsText" dxfId="2" priority="48" operator="containsText" text="Conflict">
      <formula>NOT(ISERROR(SEARCH("Conflict",AL5)))</formula>
    </cfRule>
    <cfRule type="containsText" dxfId="2" priority="49" operator="containsText" text="Duplicate">
      <formula>NOT(ISERROR(SEARCH("Duplicate",AL5)))</formula>
    </cfRule>
    <cfRule type="containsText" dxfId="2" priority="50" operator="containsText" text="Unpaid">
      <formula>NOT(ISERROR(SEARCH("Unpaid",AL5)))</formula>
    </cfRule>
    <cfRule type="containsText" dxfId="2" priority="51" operator="containsText" text="Loss">
      <formula>NOT(ISERROR(SEARCH("Loss",AL5)))</formula>
    </cfRule>
    <cfRule type="containsText" dxfId="2" priority="52" operator="containsText" text="Below">
      <formula>NOT(ISERROR(SEARCH("Below",AL5)))</formula>
    </cfRule>
    <cfRule type="containsText" dxfId="2" priority="53" operator="containsText" text="Out of stock">
      <formula>NOT(ISERROR(SEARCH("Out of stock",AL5)))</formula>
    </cfRule>
    <cfRule type="containsText" dxfId="2" priority="54" operator="containsText" text="No show">
      <formula>NOT(ISERROR(SEARCH("No show",AL5)))</formula>
    </cfRule>
    <cfRule type="containsText" dxfId="0" priority="55" operator="containsText" text="Action">
      <formula>NOT(ISERROR(SEARCH("Action",AL5)))</formula>
    </cfRule>
    <cfRule type="containsText" dxfId="0" priority="56" operator="containsText" text="Due">
      <formula>NOT(ISERROR(SEARCH("Due",AL5)))</formula>
    </cfRule>
    <cfRule type="containsText" dxfId="0" priority="57" operator="containsText" text="Check">
      <formula>NOT(ISERROR(SEARCH("Check",AL5)))</formula>
    </cfRule>
    <cfRule type="containsText" dxfId="0" priority="58" operator="containsText" text="Chase">
      <formula>NOT(ISERROR(SEARCH("Chase",AL5)))</formula>
    </cfRule>
    <cfRule type="containsText" dxfId="0" priority="59" operator="containsText" text="Assign">
      <formula>NOT(ISERROR(SEARCH("Assign",AL5)))</formula>
    </cfRule>
    <cfRule type="containsText" dxfId="0" priority="60" operator="containsText" text="Confirm">
      <formula>NOT(ISERROR(SEARCH("Confirm",AL5)))</formula>
    </cfRule>
    <cfRule type="containsText" dxfId="0" priority="61" operator="containsText" text="Order">
      <formula>NOT(ISERROR(SEARCH("Order",AL5)))</formula>
    </cfRule>
    <cfRule type="containsText" dxfId="0" priority="62" operator="containsText" text="Rebook">
      <formula>NOT(ISERROR(SEARCH("Rebook",AL5)))</formula>
    </cfRule>
    <cfRule type="containsText" dxfId="0" priority="63" operator="containsText" text="Add">
      <formula>NOT(ISERROR(SEARCH("Add",AL5)))</formula>
    </cfRule>
    <cfRule type="containsText" dxfId="3" priority="64" operator="containsText" text="Today">
      <formula>NOT(ISERROR(SEARCH("Today",AL5)))</formula>
    </cfRule>
    <cfRule type="containsText" dxfId="3" priority="65" operator="containsText" text="Tomorrow">
      <formula>NOT(ISERROR(SEARCH("Tomorrow",AL5)))</formula>
    </cfRule>
    <cfRule type="containsText" dxfId="3" priority="66" operator="containsText" text="Upcoming">
      <formula>NOT(ISERROR(SEARCH("Upcoming",AL5)))</formula>
    </cfRule>
  </conditionalFormatting>
  <conditionalFormatting sqref="X5:X1204">
    <cfRule type="cellIs" dxfId="0" priority="1" operator="greaterThan">
      <formula>0</formula>
    </cfRule>
  </conditionalFormatting>
  <conditionalFormatting sqref="Y5:Y1204">
    <cfRule type="dataBar" priority="2">
      <dataBar>
        <cfvo type="min" val="0"/>
        <cfvo type="max" val="0"/>
        <color rgb="FF9A5C86"/>
      </dataBar>
    </cfRule>
  </conditionalFormatting>
  <dataValidations count="9">
    <dataValidation type="date" allowBlank="1" showInputMessage="1" showErrorMessage="1" errorTitle="Check the date" error="Enter a real date between 2000 and 2100." promptTitle="Date" prompt="The day the money was earned, not the day it landed in the bank." sqref="B5:B1204">
      <formula1>36526</formula1>
      <formula2>73415</formula2>
    </dataValidation>
    <dataValidation type="list" allowBlank="1" showInputMessage="1" showErrorMessage="1" promptTitle="Client ID" prompt="Blank is fine for a walk-in who is not on the client book." sqref="D5:D1204">
      <formula1>ClientList</formula1>
    </dataValidation>
    <dataValidation type="list" allowBlank="1" showInputMessage="1" showErrorMessage="1" promptTitle="Stylist ID" prompt="Who did the work, or who sold the product. This is the column the commission is calculated from." sqref="F5:F1204">
      <formula1>StaffList</formula1>
    </dataValidation>
    <dataValidation type="list" allowBlank="1" showInputMessage="1" showErrorMessage="1" promptTitle="Kind" prompt="Service, Retail, Package, Gift certificate, Course or Other. Keeping these apart is what makes the retail share and the commission split honest." sqref="H5:H1204">
      <formula1>SaleKindList</formula1>
    </dataValidation>
    <dataValidation type="decimal" allowBlank="1" showInputMessage="1" showErrorMessage="1" errorTitle="Check the value" error="Enter a number between 0 and 10000." promptTitle="Qty" prompt="Blank counts as 1." sqref="K5:K1204">
      <formula1>0</formula1>
      <formula2>10000</formula2>
    </dataValidation>
    <dataValidation type="decimal" allowBlank="1" showInputMessage="1" showErrorMessage="1" errorTitle="Check the value" error="Enter a number between 0 and 100000." promptTitle="Unit price" prompt="Leave blank to take the menu or retail price. Fill it in to override for this sale only." sqref="L5:L1204">
      <formula1>0</formula1>
      <formula2>100000</formula2>
    </dataValidation>
    <dataValidation type="decimal" allowBlank="1" showInputMessage="1" showErrorMessage="1" errorTitle="Check the value" error="Enter a number between 0 and 1." promptTitle="Discount %" prompt="As a percentage of the line - 10% is 0.1 or 10%." sqref="M5:M1204">
      <formula1>0</formula1>
      <formula2>1</formula2>
    </dataValidation>
    <dataValidation type="decimal" allowBlank="1" showInputMessage="1" showErrorMessage="1" errorTitle="Check the value" error="Enter a number between 0 and 100000." promptTitle="Discount $" prompt="A straight amount off, on top of any percentage." sqref="N5:N1204">
      <formula1>0</formula1>
      <formula2>100000</formula2>
    </dataValidation>
    <dataValidation type="decimal" allowBlank="1" showInputMessage="1" showErrorMessage="1" errorTitle="Check the value" error="Enter a number between 0 and 100000." promptTitle="Refunded" prompt="Money handed back on this line. It comes straight off net sales - no separate correction needed." sqref="P5:P1204">
      <formula1>0</formula1>
      <formula2>100000</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&amp;L&amp;"Calibri,Bold"&amp;12&amp;C&amp;"Calibri,Bold"&amp;11Sales&amp;R&amp;"Calibri,Italic"&amp;9Salon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7.xml><?xml version="1.0" encoding="utf-8"?>
<worksheet xmlns="http://schemas.openxmlformats.org/spreadsheetml/2006/main" xmlns:r="http://schemas.openxmlformats.org/officeDocument/2006/relationships">
  <sheetPr>
    <tabColor rgb="FF9A5C86"/>
    <pageSetUpPr fitToPage="1"/>
  </sheetPr>
  <dimension ref="A1:W12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29" customWidth="1"/>
    <col min="3" max="3" width="11.7109375" style="31" customWidth="1"/>
    <col min="4" max="4" width="20.7109375" style="15" hidden="1" customWidth="1"/>
    <col min="5" max="5" width="16.7109375" style="34" customWidth="1"/>
    <col min="6" max="6" width="15.7109375" style="34" customWidth="1"/>
    <col min="7" max="7" width="11.7109375" style="33" customWidth="1"/>
    <col min="8" max="8" width="11.7109375" style="31" customWidth="1"/>
    <col min="9" max="9" width="12.7109375" style="31" customWidth="1"/>
    <col min="10" max="10" width="11.7109375" style="31" customWidth="1"/>
    <col min="11" max="11" width="16.7109375" style="15" hidden="1" customWidth="1"/>
    <col min="12" max="12" width="16.7109375" style="34" customWidth="1"/>
    <col min="13" max="13" width="12.7109375" style="41" customWidth="1"/>
    <col min="14" max="14" width="24.7109375" style="35" customWidth="1"/>
    <col min="15" max="15" width="10.7109375" style="15" hidden="1" customWidth="1"/>
    <col min="16" max="16" width="7.7109375" style="25" hidden="1" customWidth="1"/>
    <col min="17" max="17" width="12.7109375" style="38" hidden="1" customWidth="1"/>
    <col min="18" max="18" width="9.7109375" style="25" hidden="1" customWidth="1"/>
    <col min="19" max="19" width="12.7109375" style="26" customWidth="1"/>
    <col min="20" max="20" width="12.7109375" style="26" customWidth="1"/>
    <col min="21" max="21" width="8.7109375" style="38" hidden="1" customWidth="1"/>
    <col min="22" max="22" width="14.7109375" style="15" customWidth="1"/>
    <col min="23" max="23" width="28.7109375" style="39" customWidth="1"/>
  </cols>
  <sheetData>
    <row r="1" spans="1:23" ht="34" customHeight="1">
      <c r="A1" s="2" t="s">
        <v>369</v>
      </c>
      <c r="B1" s="2"/>
      <c r="C1" s="2"/>
      <c r="D1" s="2"/>
      <c r="E1" s="2"/>
      <c r="F1" s="2"/>
      <c r="G1" s="2"/>
      <c r="H1" s="2"/>
      <c r="I1" s="2"/>
      <c r="J1" s="2"/>
      <c r="K1" s="2"/>
      <c r="L1" s="2"/>
      <c r="M1" s="2"/>
      <c r="N1" s="2"/>
      <c r="O1" s="2"/>
      <c r="P1" s="2"/>
      <c r="Q1" s="2"/>
      <c r="R1" s="2"/>
      <c r="S1" s="2"/>
      <c r="T1" s="2"/>
      <c r="U1" s="3" t="s">
        <v>1</v>
      </c>
      <c r="V1" s="3"/>
      <c r="W1" s="3"/>
    </row>
    <row r="2" spans="1:23" ht="18" customHeight="1">
      <c r="A2" s="4" t="s">
        <v>370</v>
      </c>
      <c r="B2" s="4"/>
      <c r="C2" s="4"/>
      <c r="D2" s="4"/>
      <c r="E2" s="4"/>
      <c r="F2" s="4"/>
      <c r="G2" s="4"/>
      <c r="H2" s="4"/>
      <c r="I2" s="4"/>
      <c r="J2" s="4"/>
      <c r="K2" s="4"/>
      <c r="L2" s="4"/>
      <c r="M2" s="4"/>
      <c r="N2" s="4"/>
      <c r="O2" s="4"/>
      <c r="P2" s="4"/>
      <c r="Q2" s="4"/>
      <c r="R2" s="4"/>
      <c r="S2" s="4"/>
      <c r="T2" s="4"/>
      <c r="U2" s="4"/>
      <c r="V2" s="4"/>
      <c r="W2" s="4"/>
    </row>
    <row r="3" spans="1:23"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371</v>
      </c>
      <c r="T3" s="40"/>
      <c r="U3" s="40"/>
      <c r="V3" s="40"/>
      <c r="W3" s="40"/>
    </row>
    <row r="4" spans="1:23" ht="30" customHeight="1">
      <c r="A4" s="10" t="s">
        <v>211</v>
      </c>
      <c r="B4" s="10" t="s">
        <v>212</v>
      </c>
      <c r="C4" s="11" t="s">
        <v>215</v>
      </c>
      <c r="D4" s="11" t="s">
        <v>216</v>
      </c>
      <c r="E4" s="11" t="s">
        <v>372</v>
      </c>
      <c r="F4" s="11" t="s">
        <v>373</v>
      </c>
      <c r="G4" s="11" t="s">
        <v>374</v>
      </c>
      <c r="H4" s="11" t="s">
        <v>375</v>
      </c>
      <c r="I4" s="11" t="s">
        <v>337</v>
      </c>
      <c r="J4" s="11" t="s">
        <v>219</v>
      </c>
      <c r="K4" s="11" t="s">
        <v>175</v>
      </c>
      <c r="L4" s="11" t="s">
        <v>376</v>
      </c>
      <c r="M4" s="11" t="s">
        <v>377</v>
      </c>
      <c r="N4" s="11" t="s">
        <v>225</v>
      </c>
      <c r="O4" s="11" t="s">
        <v>121</v>
      </c>
      <c r="P4" s="11" t="s">
        <v>228</v>
      </c>
      <c r="Q4" s="11" t="s">
        <v>378</v>
      </c>
      <c r="R4" s="11" t="s">
        <v>379</v>
      </c>
      <c r="S4" s="11" t="s">
        <v>380</v>
      </c>
      <c r="T4" s="11" t="s">
        <v>381</v>
      </c>
      <c r="U4" s="11" t="s">
        <v>382</v>
      </c>
      <c r="V4" s="11" t="s">
        <v>383</v>
      </c>
      <c r="W4" s="11" t="s">
        <v>363</v>
      </c>
    </row>
    <row r="5" spans="1:23">
      <c r="A5" s="28">
        <f>IF(B5="","",PaymentPrefix&amp;TEXT(ROW()-4,"0000"))</f>
        <v>0</v>
      </c>
      <c r="D5" s="15">
        <f>IF(C5="","",IFERROR(INDEX(Clients!$B$5:$B$504,MATCH(C5,Clients!$A$5:$A$504,0)),"Walk-in"))</f>
        <v>0</v>
      </c>
      <c r="K5" s="15">
        <f>IF(J5="","",IFERROR(INDEX(Staff!$B$5:$B$44,MATCH(J5,Staff!$A$5:$A$44,0)),""))</f>
        <v>0</v>
      </c>
      <c r="O5" s="15">
        <f>IF(B5="","",TEXT(B5,"yyyy-mm"))</f>
        <v>0</v>
      </c>
      <c r="P5" s="25">
        <f>IF(B5="","",WEEKNUM(B5,2))</f>
        <v>0</v>
      </c>
      <c r="Q5" s="38">
        <f>IF(B5="","",IF(E5="Tip","No",IF(E5="Refund","No","Yes")))</f>
        <v>0</v>
      </c>
      <c r="R5" s="25">
        <f>IF(B5="","",IF(E5="Refund",-1,1))</f>
        <v>0</v>
      </c>
      <c r="S5" s="26">
        <f>IF(B5="","",IF(G5="",0,IF(F5="Card",ROUND(G5*CardFeePercent+CardFeeFixed,2),IF(F5="Online deposit",ROUND(G5*CardFeePercent+CardFeeFixed,2),0))))</f>
        <v>0</v>
      </c>
      <c r="T5" s="26">
        <f>IF(B5="","",ROUND(IF(G5="",0,G5)*R5-S5,2))</f>
        <v>0</v>
      </c>
      <c r="U5" s="38">
        <f>IF(B5="","",IF(E5="Tip","Yes","No"))</f>
        <v>0</v>
      </c>
      <c r="V5" s="15">
        <f>IF(B5="","",IF(H5&lt;&gt;"","Sale "&amp;H5,IF(I5&lt;&gt;"","Booking "&amp;I5,IF(E5="Tip","Stylist","Unapplied"))))</f>
        <v>0</v>
      </c>
      <c r="W5" s="39">
        <f>IF(B5="","",IF(G5="","Add - no amount yet",IF(E5="","Add - what was this for?",IF(IF(H5="",FALSE,COUNTIF(Sales!$A$5:$A$1204,H5)=0),"Missing - no sale with that ID",IF(IF(I5="",FALSE,COUNTIF(Appointments!$A$5:$A$1204,I5)=0),"Missing - no booking with that ID",IF(IF(E5="Tip",J5="",FALSE),"Assign - whose tip is it?",IF(IF(E5="Deposit",IF(H5="",I5="",FALSE),FALSE),"Check - deposit not tied to a booking",IF(M5="No","Due - not reconciled yet","OK"))))))))</f>
        <v>0</v>
      </c>
    </row>
    <row r="6" spans="1:23">
      <c r="A6" s="28">
        <f>IF(B6="","",PaymentPrefix&amp;TEXT(ROW()-4,"0000"))</f>
        <v>0</v>
      </c>
      <c r="D6" s="15">
        <f>IF(C6="","",IFERROR(INDEX(Clients!$B$5:$B$504,MATCH(C6,Clients!$A$5:$A$504,0)),"Walk-in"))</f>
        <v>0</v>
      </c>
      <c r="K6" s="15">
        <f>IF(J6="","",IFERROR(INDEX(Staff!$B$5:$B$44,MATCH(J6,Staff!$A$5:$A$44,0)),""))</f>
        <v>0</v>
      </c>
      <c r="O6" s="15">
        <f>IF(B6="","",TEXT(B6,"yyyy-mm"))</f>
        <v>0</v>
      </c>
      <c r="P6" s="25">
        <f>IF(B6="","",WEEKNUM(B6,2))</f>
        <v>0</v>
      </c>
      <c r="Q6" s="38">
        <f>IF(B6="","",IF(E6="Tip","No",IF(E6="Refund","No","Yes")))</f>
        <v>0</v>
      </c>
      <c r="R6" s="25">
        <f>IF(B6="","",IF(E6="Refund",-1,1))</f>
        <v>0</v>
      </c>
      <c r="S6" s="26">
        <f>IF(B6="","",IF(G6="",0,IF(F6="Card",ROUND(G6*CardFeePercent+CardFeeFixed,2),IF(F6="Online deposit",ROUND(G6*CardFeePercent+CardFeeFixed,2),0))))</f>
        <v>0</v>
      </c>
      <c r="T6" s="26">
        <f>IF(B6="","",ROUND(IF(G6="",0,G6)*R6-S6,2))</f>
        <v>0</v>
      </c>
      <c r="U6" s="38">
        <f>IF(B6="","",IF(E6="Tip","Yes","No"))</f>
        <v>0</v>
      </c>
      <c r="V6" s="15">
        <f>IF(B6="","",IF(H6&lt;&gt;"","Sale "&amp;H6,IF(I6&lt;&gt;"","Booking "&amp;I6,IF(E6="Tip","Stylist","Unapplied"))))</f>
        <v>0</v>
      </c>
      <c r="W6" s="39">
        <f>IF(B6="","",IF(G6="","Add - no amount yet",IF(E6="","Add - what was this for?",IF(IF(H6="",FALSE,COUNTIF(Sales!$A$5:$A$1204,H6)=0),"Missing - no sale with that ID",IF(IF(I6="",FALSE,COUNTIF(Appointments!$A$5:$A$1204,I6)=0),"Missing - no booking with that ID",IF(IF(E6="Tip",J6="",FALSE),"Assign - whose tip is it?",IF(IF(E6="Deposit",IF(H6="",I6="",FALSE),FALSE),"Check - deposit not tied to a booking",IF(M6="No","Due - not reconciled yet","OK"))))))))</f>
        <v>0</v>
      </c>
    </row>
    <row r="7" spans="1:23">
      <c r="A7" s="28">
        <f>IF(B7="","",PaymentPrefix&amp;TEXT(ROW()-4,"0000"))</f>
        <v>0</v>
      </c>
      <c r="D7" s="15">
        <f>IF(C7="","",IFERROR(INDEX(Clients!$B$5:$B$504,MATCH(C7,Clients!$A$5:$A$504,0)),"Walk-in"))</f>
        <v>0</v>
      </c>
      <c r="K7" s="15">
        <f>IF(J7="","",IFERROR(INDEX(Staff!$B$5:$B$44,MATCH(J7,Staff!$A$5:$A$44,0)),""))</f>
        <v>0</v>
      </c>
      <c r="O7" s="15">
        <f>IF(B7="","",TEXT(B7,"yyyy-mm"))</f>
        <v>0</v>
      </c>
      <c r="P7" s="25">
        <f>IF(B7="","",WEEKNUM(B7,2))</f>
        <v>0</v>
      </c>
      <c r="Q7" s="38">
        <f>IF(B7="","",IF(E7="Tip","No",IF(E7="Refund","No","Yes")))</f>
        <v>0</v>
      </c>
      <c r="R7" s="25">
        <f>IF(B7="","",IF(E7="Refund",-1,1))</f>
        <v>0</v>
      </c>
      <c r="S7" s="26">
        <f>IF(B7="","",IF(G7="",0,IF(F7="Card",ROUND(G7*CardFeePercent+CardFeeFixed,2),IF(F7="Online deposit",ROUND(G7*CardFeePercent+CardFeeFixed,2),0))))</f>
        <v>0</v>
      </c>
      <c r="T7" s="26">
        <f>IF(B7="","",ROUND(IF(G7="",0,G7)*R7-S7,2))</f>
        <v>0</v>
      </c>
      <c r="U7" s="38">
        <f>IF(B7="","",IF(E7="Tip","Yes","No"))</f>
        <v>0</v>
      </c>
      <c r="V7" s="15">
        <f>IF(B7="","",IF(H7&lt;&gt;"","Sale "&amp;H7,IF(I7&lt;&gt;"","Booking "&amp;I7,IF(E7="Tip","Stylist","Unapplied"))))</f>
        <v>0</v>
      </c>
      <c r="W7" s="39">
        <f>IF(B7="","",IF(G7="","Add - no amount yet",IF(E7="","Add - what was this for?",IF(IF(H7="",FALSE,COUNTIF(Sales!$A$5:$A$1204,H7)=0),"Missing - no sale with that ID",IF(IF(I7="",FALSE,COUNTIF(Appointments!$A$5:$A$1204,I7)=0),"Missing - no booking with that ID",IF(IF(E7="Tip",J7="",FALSE),"Assign - whose tip is it?",IF(IF(E7="Deposit",IF(H7="",I7="",FALSE),FALSE),"Check - deposit not tied to a booking",IF(M7="No","Due - not reconciled yet","OK"))))))))</f>
        <v>0</v>
      </c>
    </row>
    <row r="8" spans="1:23">
      <c r="A8" s="28">
        <f>IF(B8="","",PaymentPrefix&amp;TEXT(ROW()-4,"0000"))</f>
        <v>0</v>
      </c>
      <c r="D8" s="15">
        <f>IF(C8="","",IFERROR(INDEX(Clients!$B$5:$B$504,MATCH(C8,Clients!$A$5:$A$504,0)),"Walk-in"))</f>
        <v>0</v>
      </c>
      <c r="K8" s="15">
        <f>IF(J8="","",IFERROR(INDEX(Staff!$B$5:$B$44,MATCH(J8,Staff!$A$5:$A$44,0)),""))</f>
        <v>0</v>
      </c>
      <c r="O8" s="15">
        <f>IF(B8="","",TEXT(B8,"yyyy-mm"))</f>
        <v>0</v>
      </c>
      <c r="P8" s="25">
        <f>IF(B8="","",WEEKNUM(B8,2))</f>
        <v>0</v>
      </c>
      <c r="Q8" s="38">
        <f>IF(B8="","",IF(E8="Tip","No",IF(E8="Refund","No","Yes")))</f>
        <v>0</v>
      </c>
      <c r="R8" s="25">
        <f>IF(B8="","",IF(E8="Refund",-1,1))</f>
        <v>0</v>
      </c>
      <c r="S8" s="26">
        <f>IF(B8="","",IF(G8="",0,IF(F8="Card",ROUND(G8*CardFeePercent+CardFeeFixed,2),IF(F8="Online deposit",ROUND(G8*CardFeePercent+CardFeeFixed,2),0))))</f>
        <v>0</v>
      </c>
      <c r="T8" s="26">
        <f>IF(B8="","",ROUND(IF(G8="",0,G8)*R8-S8,2))</f>
        <v>0</v>
      </c>
      <c r="U8" s="38">
        <f>IF(B8="","",IF(E8="Tip","Yes","No"))</f>
        <v>0</v>
      </c>
      <c r="V8" s="15">
        <f>IF(B8="","",IF(H8&lt;&gt;"","Sale "&amp;H8,IF(I8&lt;&gt;"","Booking "&amp;I8,IF(E8="Tip","Stylist","Unapplied"))))</f>
        <v>0</v>
      </c>
      <c r="W8" s="39">
        <f>IF(B8="","",IF(G8="","Add - no amount yet",IF(E8="","Add - what was this for?",IF(IF(H8="",FALSE,COUNTIF(Sales!$A$5:$A$1204,H8)=0),"Missing - no sale with that ID",IF(IF(I8="",FALSE,COUNTIF(Appointments!$A$5:$A$1204,I8)=0),"Missing - no booking with that ID",IF(IF(E8="Tip",J8="",FALSE),"Assign - whose tip is it?",IF(IF(E8="Deposit",IF(H8="",I8="",FALSE),FALSE),"Check - deposit not tied to a booking",IF(M8="No","Due - not reconciled yet","OK"))))))))</f>
        <v>0</v>
      </c>
    </row>
    <row r="9" spans="1:23">
      <c r="A9" s="28">
        <f>IF(B9="","",PaymentPrefix&amp;TEXT(ROW()-4,"0000"))</f>
        <v>0</v>
      </c>
      <c r="D9" s="15">
        <f>IF(C9="","",IFERROR(INDEX(Clients!$B$5:$B$504,MATCH(C9,Clients!$A$5:$A$504,0)),"Walk-in"))</f>
        <v>0</v>
      </c>
      <c r="K9" s="15">
        <f>IF(J9="","",IFERROR(INDEX(Staff!$B$5:$B$44,MATCH(J9,Staff!$A$5:$A$44,0)),""))</f>
        <v>0</v>
      </c>
      <c r="O9" s="15">
        <f>IF(B9="","",TEXT(B9,"yyyy-mm"))</f>
        <v>0</v>
      </c>
      <c r="P9" s="25">
        <f>IF(B9="","",WEEKNUM(B9,2))</f>
        <v>0</v>
      </c>
      <c r="Q9" s="38">
        <f>IF(B9="","",IF(E9="Tip","No",IF(E9="Refund","No","Yes")))</f>
        <v>0</v>
      </c>
      <c r="R9" s="25">
        <f>IF(B9="","",IF(E9="Refund",-1,1))</f>
        <v>0</v>
      </c>
      <c r="S9" s="26">
        <f>IF(B9="","",IF(G9="",0,IF(F9="Card",ROUND(G9*CardFeePercent+CardFeeFixed,2),IF(F9="Online deposit",ROUND(G9*CardFeePercent+CardFeeFixed,2),0))))</f>
        <v>0</v>
      </c>
      <c r="T9" s="26">
        <f>IF(B9="","",ROUND(IF(G9="",0,G9)*R9-S9,2))</f>
        <v>0</v>
      </c>
      <c r="U9" s="38">
        <f>IF(B9="","",IF(E9="Tip","Yes","No"))</f>
        <v>0</v>
      </c>
      <c r="V9" s="15">
        <f>IF(B9="","",IF(H9&lt;&gt;"","Sale "&amp;H9,IF(I9&lt;&gt;"","Booking "&amp;I9,IF(E9="Tip","Stylist","Unapplied"))))</f>
        <v>0</v>
      </c>
      <c r="W9" s="39">
        <f>IF(B9="","",IF(G9="","Add - no amount yet",IF(E9="","Add - what was this for?",IF(IF(H9="",FALSE,COUNTIF(Sales!$A$5:$A$1204,H9)=0),"Missing - no sale with that ID",IF(IF(I9="",FALSE,COUNTIF(Appointments!$A$5:$A$1204,I9)=0),"Missing - no booking with that ID",IF(IF(E9="Tip",J9="",FALSE),"Assign - whose tip is it?",IF(IF(E9="Deposit",IF(H9="",I9="",FALSE),FALSE),"Check - deposit not tied to a booking",IF(M9="No","Due - not reconciled yet","OK"))))))))</f>
        <v>0</v>
      </c>
    </row>
    <row r="10" spans="1:23">
      <c r="A10" s="28">
        <f>IF(B10="","",PaymentPrefix&amp;TEXT(ROW()-4,"0000"))</f>
        <v>0</v>
      </c>
      <c r="D10" s="15">
        <f>IF(C10="","",IFERROR(INDEX(Clients!$B$5:$B$504,MATCH(C10,Clients!$A$5:$A$504,0)),"Walk-in"))</f>
        <v>0</v>
      </c>
      <c r="K10" s="15">
        <f>IF(J10="","",IFERROR(INDEX(Staff!$B$5:$B$44,MATCH(J10,Staff!$A$5:$A$44,0)),""))</f>
        <v>0</v>
      </c>
      <c r="O10" s="15">
        <f>IF(B10="","",TEXT(B10,"yyyy-mm"))</f>
        <v>0</v>
      </c>
      <c r="P10" s="25">
        <f>IF(B10="","",WEEKNUM(B10,2))</f>
        <v>0</v>
      </c>
      <c r="Q10" s="38">
        <f>IF(B10="","",IF(E10="Tip","No",IF(E10="Refund","No","Yes")))</f>
        <v>0</v>
      </c>
      <c r="R10" s="25">
        <f>IF(B10="","",IF(E10="Refund",-1,1))</f>
        <v>0</v>
      </c>
      <c r="S10" s="26">
        <f>IF(B10="","",IF(G10="",0,IF(F10="Card",ROUND(G10*CardFeePercent+CardFeeFixed,2),IF(F10="Online deposit",ROUND(G10*CardFeePercent+CardFeeFixed,2),0))))</f>
        <v>0</v>
      </c>
      <c r="T10" s="26">
        <f>IF(B10="","",ROUND(IF(G10="",0,G10)*R10-S10,2))</f>
        <v>0</v>
      </c>
      <c r="U10" s="38">
        <f>IF(B10="","",IF(E10="Tip","Yes","No"))</f>
        <v>0</v>
      </c>
      <c r="V10" s="15">
        <f>IF(B10="","",IF(H10&lt;&gt;"","Sale "&amp;H10,IF(I10&lt;&gt;"","Booking "&amp;I10,IF(E10="Tip","Stylist","Unapplied"))))</f>
        <v>0</v>
      </c>
      <c r="W10" s="39">
        <f>IF(B10="","",IF(G10="","Add - no amount yet",IF(E10="","Add - what was this for?",IF(IF(H10="",FALSE,COUNTIF(Sales!$A$5:$A$1204,H10)=0),"Missing - no sale with that ID",IF(IF(I10="",FALSE,COUNTIF(Appointments!$A$5:$A$1204,I10)=0),"Missing - no booking with that ID",IF(IF(E10="Tip",J10="",FALSE),"Assign - whose tip is it?",IF(IF(E10="Deposit",IF(H10="",I10="",FALSE),FALSE),"Check - deposit not tied to a booking",IF(M10="No","Due - not reconciled yet","OK"))))))))</f>
        <v>0</v>
      </c>
    </row>
    <row r="11" spans="1:23">
      <c r="A11" s="28">
        <f>IF(B11="","",PaymentPrefix&amp;TEXT(ROW()-4,"0000"))</f>
        <v>0</v>
      </c>
      <c r="D11" s="15">
        <f>IF(C11="","",IFERROR(INDEX(Clients!$B$5:$B$504,MATCH(C11,Clients!$A$5:$A$504,0)),"Walk-in"))</f>
        <v>0</v>
      </c>
      <c r="K11" s="15">
        <f>IF(J11="","",IFERROR(INDEX(Staff!$B$5:$B$44,MATCH(J11,Staff!$A$5:$A$44,0)),""))</f>
        <v>0</v>
      </c>
      <c r="O11" s="15">
        <f>IF(B11="","",TEXT(B11,"yyyy-mm"))</f>
        <v>0</v>
      </c>
      <c r="P11" s="25">
        <f>IF(B11="","",WEEKNUM(B11,2))</f>
        <v>0</v>
      </c>
      <c r="Q11" s="38">
        <f>IF(B11="","",IF(E11="Tip","No",IF(E11="Refund","No","Yes")))</f>
        <v>0</v>
      </c>
      <c r="R11" s="25">
        <f>IF(B11="","",IF(E11="Refund",-1,1))</f>
        <v>0</v>
      </c>
      <c r="S11" s="26">
        <f>IF(B11="","",IF(G11="",0,IF(F11="Card",ROUND(G11*CardFeePercent+CardFeeFixed,2),IF(F11="Online deposit",ROUND(G11*CardFeePercent+CardFeeFixed,2),0))))</f>
        <v>0</v>
      </c>
      <c r="T11" s="26">
        <f>IF(B11="","",ROUND(IF(G11="",0,G11)*R11-S11,2))</f>
        <v>0</v>
      </c>
      <c r="U11" s="38">
        <f>IF(B11="","",IF(E11="Tip","Yes","No"))</f>
        <v>0</v>
      </c>
      <c r="V11" s="15">
        <f>IF(B11="","",IF(H11&lt;&gt;"","Sale "&amp;H11,IF(I11&lt;&gt;"","Booking "&amp;I11,IF(E11="Tip","Stylist","Unapplied"))))</f>
        <v>0</v>
      </c>
      <c r="W11" s="39">
        <f>IF(B11="","",IF(G11="","Add - no amount yet",IF(E11="","Add - what was this for?",IF(IF(H11="",FALSE,COUNTIF(Sales!$A$5:$A$1204,H11)=0),"Missing - no sale with that ID",IF(IF(I11="",FALSE,COUNTIF(Appointments!$A$5:$A$1204,I11)=0),"Missing - no booking with that ID",IF(IF(E11="Tip",J11="",FALSE),"Assign - whose tip is it?",IF(IF(E11="Deposit",IF(H11="",I11="",FALSE),FALSE),"Check - deposit not tied to a booking",IF(M11="No","Due - not reconciled yet","OK"))))))))</f>
        <v>0</v>
      </c>
    </row>
    <row r="12" spans="1:23">
      <c r="A12" s="28">
        <f>IF(B12="","",PaymentPrefix&amp;TEXT(ROW()-4,"0000"))</f>
        <v>0</v>
      </c>
      <c r="D12" s="15">
        <f>IF(C12="","",IFERROR(INDEX(Clients!$B$5:$B$504,MATCH(C12,Clients!$A$5:$A$504,0)),"Walk-in"))</f>
        <v>0</v>
      </c>
      <c r="K12" s="15">
        <f>IF(J12="","",IFERROR(INDEX(Staff!$B$5:$B$44,MATCH(J12,Staff!$A$5:$A$44,0)),""))</f>
        <v>0</v>
      </c>
      <c r="O12" s="15">
        <f>IF(B12="","",TEXT(B12,"yyyy-mm"))</f>
        <v>0</v>
      </c>
      <c r="P12" s="25">
        <f>IF(B12="","",WEEKNUM(B12,2))</f>
        <v>0</v>
      </c>
      <c r="Q12" s="38">
        <f>IF(B12="","",IF(E12="Tip","No",IF(E12="Refund","No","Yes")))</f>
        <v>0</v>
      </c>
      <c r="R12" s="25">
        <f>IF(B12="","",IF(E12="Refund",-1,1))</f>
        <v>0</v>
      </c>
      <c r="S12" s="26">
        <f>IF(B12="","",IF(G12="",0,IF(F12="Card",ROUND(G12*CardFeePercent+CardFeeFixed,2),IF(F12="Online deposit",ROUND(G12*CardFeePercent+CardFeeFixed,2),0))))</f>
        <v>0</v>
      </c>
      <c r="T12" s="26">
        <f>IF(B12="","",ROUND(IF(G12="",0,G12)*R12-S12,2))</f>
        <v>0</v>
      </c>
      <c r="U12" s="38">
        <f>IF(B12="","",IF(E12="Tip","Yes","No"))</f>
        <v>0</v>
      </c>
      <c r="V12" s="15">
        <f>IF(B12="","",IF(H12&lt;&gt;"","Sale "&amp;H12,IF(I12&lt;&gt;"","Booking "&amp;I12,IF(E12="Tip","Stylist","Unapplied"))))</f>
        <v>0</v>
      </c>
      <c r="W12" s="39">
        <f>IF(B12="","",IF(G12="","Add - no amount yet",IF(E12="","Add - what was this for?",IF(IF(H12="",FALSE,COUNTIF(Sales!$A$5:$A$1204,H12)=0),"Missing - no sale with that ID",IF(IF(I12="",FALSE,COUNTIF(Appointments!$A$5:$A$1204,I12)=0),"Missing - no booking with that ID",IF(IF(E12="Tip",J12="",FALSE),"Assign - whose tip is it?",IF(IF(E12="Deposit",IF(H12="",I12="",FALSE),FALSE),"Check - deposit not tied to a booking",IF(M12="No","Due - not reconciled yet","OK"))))))))</f>
        <v>0</v>
      </c>
    </row>
    <row r="13" spans="1:23">
      <c r="A13" s="28">
        <f>IF(B13="","",PaymentPrefix&amp;TEXT(ROW()-4,"0000"))</f>
        <v>0</v>
      </c>
      <c r="D13" s="15">
        <f>IF(C13="","",IFERROR(INDEX(Clients!$B$5:$B$504,MATCH(C13,Clients!$A$5:$A$504,0)),"Walk-in"))</f>
        <v>0</v>
      </c>
      <c r="K13" s="15">
        <f>IF(J13="","",IFERROR(INDEX(Staff!$B$5:$B$44,MATCH(J13,Staff!$A$5:$A$44,0)),""))</f>
        <v>0</v>
      </c>
      <c r="O13" s="15">
        <f>IF(B13="","",TEXT(B13,"yyyy-mm"))</f>
        <v>0</v>
      </c>
      <c r="P13" s="25">
        <f>IF(B13="","",WEEKNUM(B13,2))</f>
        <v>0</v>
      </c>
      <c r="Q13" s="38">
        <f>IF(B13="","",IF(E13="Tip","No",IF(E13="Refund","No","Yes")))</f>
        <v>0</v>
      </c>
      <c r="R13" s="25">
        <f>IF(B13="","",IF(E13="Refund",-1,1))</f>
        <v>0</v>
      </c>
      <c r="S13" s="26">
        <f>IF(B13="","",IF(G13="",0,IF(F13="Card",ROUND(G13*CardFeePercent+CardFeeFixed,2),IF(F13="Online deposit",ROUND(G13*CardFeePercent+CardFeeFixed,2),0))))</f>
        <v>0</v>
      </c>
      <c r="T13" s="26">
        <f>IF(B13="","",ROUND(IF(G13="",0,G13)*R13-S13,2))</f>
        <v>0</v>
      </c>
      <c r="U13" s="38">
        <f>IF(B13="","",IF(E13="Tip","Yes","No"))</f>
        <v>0</v>
      </c>
      <c r="V13" s="15">
        <f>IF(B13="","",IF(H13&lt;&gt;"","Sale "&amp;H13,IF(I13&lt;&gt;"","Booking "&amp;I13,IF(E13="Tip","Stylist","Unapplied"))))</f>
        <v>0</v>
      </c>
      <c r="W13" s="39">
        <f>IF(B13="","",IF(G13="","Add - no amount yet",IF(E13="","Add - what was this for?",IF(IF(H13="",FALSE,COUNTIF(Sales!$A$5:$A$1204,H13)=0),"Missing - no sale with that ID",IF(IF(I13="",FALSE,COUNTIF(Appointments!$A$5:$A$1204,I13)=0),"Missing - no booking with that ID",IF(IF(E13="Tip",J13="",FALSE),"Assign - whose tip is it?",IF(IF(E13="Deposit",IF(H13="",I13="",FALSE),FALSE),"Check - deposit not tied to a booking",IF(M13="No","Due - not reconciled yet","OK"))))))))</f>
        <v>0</v>
      </c>
    </row>
    <row r="14" spans="1:23">
      <c r="A14" s="28">
        <f>IF(B14="","",PaymentPrefix&amp;TEXT(ROW()-4,"0000"))</f>
        <v>0</v>
      </c>
      <c r="D14" s="15">
        <f>IF(C14="","",IFERROR(INDEX(Clients!$B$5:$B$504,MATCH(C14,Clients!$A$5:$A$504,0)),"Walk-in"))</f>
        <v>0</v>
      </c>
      <c r="K14" s="15">
        <f>IF(J14="","",IFERROR(INDEX(Staff!$B$5:$B$44,MATCH(J14,Staff!$A$5:$A$44,0)),""))</f>
        <v>0</v>
      </c>
      <c r="O14" s="15">
        <f>IF(B14="","",TEXT(B14,"yyyy-mm"))</f>
        <v>0</v>
      </c>
      <c r="P14" s="25">
        <f>IF(B14="","",WEEKNUM(B14,2))</f>
        <v>0</v>
      </c>
      <c r="Q14" s="38">
        <f>IF(B14="","",IF(E14="Tip","No",IF(E14="Refund","No","Yes")))</f>
        <v>0</v>
      </c>
      <c r="R14" s="25">
        <f>IF(B14="","",IF(E14="Refund",-1,1))</f>
        <v>0</v>
      </c>
      <c r="S14" s="26">
        <f>IF(B14="","",IF(G14="",0,IF(F14="Card",ROUND(G14*CardFeePercent+CardFeeFixed,2),IF(F14="Online deposit",ROUND(G14*CardFeePercent+CardFeeFixed,2),0))))</f>
        <v>0</v>
      </c>
      <c r="T14" s="26">
        <f>IF(B14="","",ROUND(IF(G14="",0,G14)*R14-S14,2))</f>
        <v>0</v>
      </c>
      <c r="U14" s="38">
        <f>IF(B14="","",IF(E14="Tip","Yes","No"))</f>
        <v>0</v>
      </c>
      <c r="V14" s="15">
        <f>IF(B14="","",IF(H14&lt;&gt;"","Sale "&amp;H14,IF(I14&lt;&gt;"","Booking "&amp;I14,IF(E14="Tip","Stylist","Unapplied"))))</f>
        <v>0</v>
      </c>
      <c r="W14" s="39">
        <f>IF(B14="","",IF(G14="","Add - no amount yet",IF(E14="","Add - what was this for?",IF(IF(H14="",FALSE,COUNTIF(Sales!$A$5:$A$1204,H14)=0),"Missing - no sale with that ID",IF(IF(I14="",FALSE,COUNTIF(Appointments!$A$5:$A$1204,I14)=0),"Missing - no booking with that ID",IF(IF(E14="Tip",J14="",FALSE),"Assign - whose tip is it?",IF(IF(E14="Deposit",IF(H14="",I14="",FALSE),FALSE),"Check - deposit not tied to a booking",IF(M14="No","Due - not reconciled yet","OK"))))))))</f>
        <v>0</v>
      </c>
    </row>
    <row r="15" spans="1:23">
      <c r="A15" s="28">
        <f>IF(B15="","",PaymentPrefix&amp;TEXT(ROW()-4,"0000"))</f>
        <v>0</v>
      </c>
      <c r="D15" s="15">
        <f>IF(C15="","",IFERROR(INDEX(Clients!$B$5:$B$504,MATCH(C15,Clients!$A$5:$A$504,0)),"Walk-in"))</f>
        <v>0</v>
      </c>
      <c r="K15" s="15">
        <f>IF(J15="","",IFERROR(INDEX(Staff!$B$5:$B$44,MATCH(J15,Staff!$A$5:$A$44,0)),""))</f>
        <v>0</v>
      </c>
      <c r="O15" s="15">
        <f>IF(B15="","",TEXT(B15,"yyyy-mm"))</f>
        <v>0</v>
      </c>
      <c r="P15" s="25">
        <f>IF(B15="","",WEEKNUM(B15,2))</f>
        <v>0</v>
      </c>
      <c r="Q15" s="38">
        <f>IF(B15="","",IF(E15="Tip","No",IF(E15="Refund","No","Yes")))</f>
        <v>0</v>
      </c>
      <c r="R15" s="25">
        <f>IF(B15="","",IF(E15="Refund",-1,1))</f>
        <v>0</v>
      </c>
      <c r="S15" s="26">
        <f>IF(B15="","",IF(G15="",0,IF(F15="Card",ROUND(G15*CardFeePercent+CardFeeFixed,2),IF(F15="Online deposit",ROUND(G15*CardFeePercent+CardFeeFixed,2),0))))</f>
        <v>0</v>
      </c>
      <c r="T15" s="26">
        <f>IF(B15="","",ROUND(IF(G15="",0,G15)*R15-S15,2))</f>
        <v>0</v>
      </c>
      <c r="U15" s="38">
        <f>IF(B15="","",IF(E15="Tip","Yes","No"))</f>
        <v>0</v>
      </c>
      <c r="V15" s="15">
        <f>IF(B15="","",IF(H15&lt;&gt;"","Sale "&amp;H15,IF(I15&lt;&gt;"","Booking "&amp;I15,IF(E15="Tip","Stylist","Unapplied"))))</f>
        <v>0</v>
      </c>
      <c r="W15" s="39">
        <f>IF(B15="","",IF(G15="","Add - no amount yet",IF(E15="","Add - what was this for?",IF(IF(H15="",FALSE,COUNTIF(Sales!$A$5:$A$1204,H15)=0),"Missing - no sale with that ID",IF(IF(I15="",FALSE,COUNTIF(Appointments!$A$5:$A$1204,I15)=0),"Missing - no booking with that ID",IF(IF(E15="Tip",J15="",FALSE),"Assign - whose tip is it?",IF(IF(E15="Deposit",IF(H15="",I15="",FALSE),FALSE),"Check - deposit not tied to a booking",IF(M15="No","Due - not reconciled yet","OK"))))))))</f>
        <v>0</v>
      </c>
    </row>
    <row r="16" spans="1:23">
      <c r="A16" s="28">
        <f>IF(B16="","",PaymentPrefix&amp;TEXT(ROW()-4,"0000"))</f>
        <v>0</v>
      </c>
      <c r="D16" s="15">
        <f>IF(C16="","",IFERROR(INDEX(Clients!$B$5:$B$504,MATCH(C16,Clients!$A$5:$A$504,0)),"Walk-in"))</f>
        <v>0</v>
      </c>
      <c r="K16" s="15">
        <f>IF(J16="","",IFERROR(INDEX(Staff!$B$5:$B$44,MATCH(J16,Staff!$A$5:$A$44,0)),""))</f>
        <v>0</v>
      </c>
      <c r="O16" s="15">
        <f>IF(B16="","",TEXT(B16,"yyyy-mm"))</f>
        <v>0</v>
      </c>
      <c r="P16" s="25">
        <f>IF(B16="","",WEEKNUM(B16,2))</f>
        <v>0</v>
      </c>
      <c r="Q16" s="38">
        <f>IF(B16="","",IF(E16="Tip","No",IF(E16="Refund","No","Yes")))</f>
        <v>0</v>
      </c>
      <c r="R16" s="25">
        <f>IF(B16="","",IF(E16="Refund",-1,1))</f>
        <v>0</v>
      </c>
      <c r="S16" s="26">
        <f>IF(B16="","",IF(G16="",0,IF(F16="Card",ROUND(G16*CardFeePercent+CardFeeFixed,2),IF(F16="Online deposit",ROUND(G16*CardFeePercent+CardFeeFixed,2),0))))</f>
        <v>0</v>
      </c>
      <c r="T16" s="26">
        <f>IF(B16="","",ROUND(IF(G16="",0,G16)*R16-S16,2))</f>
        <v>0</v>
      </c>
      <c r="U16" s="38">
        <f>IF(B16="","",IF(E16="Tip","Yes","No"))</f>
        <v>0</v>
      </c>
      <c r="V16" s="15">
        <f>IF(B16="","",IF(H16&lt;&gt;"","Sale "&amp;H16,IF(I16&lt;&gt;"","Booking "&amp;I16,IF(E16="Tip","Stylist","Unapplied"))))</f>
        <v>0</v>
      </c>
      <c r="W16" s="39">
        <f>IF(B16="","",IF(G16="","Add - no amount yet",IF(E16="","Add - what was this for?",IF(IF(H16="",FALSE,COUNTIF(Sales!$A$5:$A$1204,H16)=0),"Missing - no sale with that ID",IF(IF(I16="",FALSE,COUNTIF(Appointments!$A$5:$A$1204,I16)=0),"Missing - no booking with that ID",IF(IF(E16="Tip",J16="",FALSE),"Assign - whose tip is it?",IF(IF(E16="Deposit",IF(H16="",I16="",FALSE),FALSE),"Check - deposit not tied to a booking",IF(M16="No","Due - not reconciled yet","OK"))))))))</f>
        <v>0</v>
      </c>
    </row>
    <row r="17" spans="1:23">
      <c r="A17" s="28">
        <f>IF(B17="","",PaymentPrefix&amp;TEXT(ROW()-4,"0000"))</f>
        <v>0</v>
      </c>
      <c r="D17" s="15">
        <f>IF(C17="","",IFERROR(INDEX(Clients!$B$5:$B$504,MATCH(C17,Clients!$A$5:$A$504,0)),"Walk-in"))</f>
        <v>0</v>
      </c>
      <c r="K17" s="15">
        <f>IF(J17="","",IFERROR(INDEX(Staff!$B$5:$B$44,MATCH(J17,Staff!$A$5:$A$44,0)),""))</f>
        <v>0</v>
      </c>
      <c r="O17" s="15">
        <f>IF(B17="","",TEXT(B17,"yyyy-mm"))</f>
        <v>0</v>
      </c>
      <c r="P17" s="25">
        <f>IF(B17="","",WEEKNUM(B17,2))</f>
        <v>0</v>
      </c>
      <c r="Q17" s="38">
        <f>IF(B17="","",IF(E17="Tip","No",IF(E17="Refund","No","Yes")))</f>
        <v>0</v>
      </c>
      <c r="R17" s="25">
        <f>IF(B17="","",IF(E17="Refund",-1,1))</f>
        <v>0</v>
      </c>
      <c r="S17" s="26">
        <f>IF(B17="","",IF(G17="",0,IF(F17="Card",ROUND(G17*CardFeePercent+CardFeeFixed,2),IF(F17="Online deposit",ROUND(G17*CardFeePercent+CardFeeFixed,2),0))))</f>
        <v>0</v>
      </c>
      <c r="T17" s="26">
        <f>IF(B17="","",ROUND(IF(G17="",0,G17)*R17-S17,2))</f>
        <v>0</v>
      </c>
      <c r="U17" s="38">
        <f>IF(B17="","",IF(E17="Tip","Yes","No"))</f>
        <v>0</v>
      </c>
      <c r="V17" s="15">
        <f>IF(B17="","",IF(H17&lt;&gt;"","Sale "&amp;H17,IF(I17&lt;&gt;"","Booking "&amp;I17,IF(E17="Tip","Stylist","Unapplied"))))</f>
        <v>0</v>
      </c>
      <c r="W17" s="39">
        <f>IF(B17="","",IF(G17="","Add - no amount yet",IF(E17="","Add - what was this for?",IF(IF(H17="",FALSE,COUNTIF(Sales!$A$5:$A$1204,H17)=0),"Missing - no sale with that ID",IF(IF(I17="",FALSE,COUNTIF(Appointments!$A$5:$A$1204,I17)=0),"Missing - no booking with that ID",IF(IF(E17="Tip",J17="",FALSE),"Assign - whose tip is it?",IF(IF(E17="Deposit",IF(H17="",I17="",FALSE),FALSE),"Check - deposit not tied to a booking",IF(M17="No","Due - not reconciled yet","OK"))))))))</f>
        <v>0</v>
      </c>
    </row>
    <row r="18" spans="1:23">
      <c r="A18" s="28">
        <f>IF(B18="","",PaymentPrefix&amp;TEXT(ROW()-4,"0000"))</f>
        <v>0</v>
      </c>
      <c r="D18" s="15">
        <f>IF(C18="","",IFERROR(INDEX(Clients!$B$5:$B$504,MATCH(C18,Clients!$A$5:$A$504,0)),"Walk-in"))</f>
        <v>0</v>
      </c>
      <c r="K18" s="15">
        <f>IF(J18="","",IFERROR(INDEX(Staff!$B$5:$B$44,MATCH(J18,Staff!$A$5:$A$44,0)),""))</f>
        <v>0</v>
      </c>
      <c r="O18" s="15">
        <f>IF(B18="","",TEXT(B18,"yyyy-mm"))</f>
        <v>0</v>
      </c>
      <c r="P18" s="25">
        <f>IF(B18="","",WEEKNUM(B18,2))</f>
        <v>0</v>
      </c>
      <c r="Q18" s="38">
        <f>IF(B18="","",IF(E18="Tip","No",IF(E18="Refund","No","Yes")))</f>
        <v>0</v>
      </c>
      <c r="R18" s="25">
        <f>IF(B18="","",IF(E18="Refund",-1,1))</f>
        <v>0</v>
      </c>
      <c r="S18" s="26">
        <f>IF(B18="","",IF(G18="",0,IF(F18="Card",ROUND(G18*CardFeePercent+CardFeeFixed,2),IF(F18="Online deposit",ROUND(G18*CardFeePercent+CardFeeFixed,2),0))))</f>
        <v>0</v>
      </c>
      <c r="T18" s="26">
        <f>IF(B18="","",ROUND(IF(G18="",0,G18)*R18-S18,2))</f>
        <v>0</v>
      </c>
      <c r="U18" s="38">
        <f>IF(B18="","",IF(E18="Tip","Yes","No"))</f>
        <v>0</v>
      </c>
      <c r="V18" s="15">
        <f>IF(B18="","",IF(H18&lt;&gt;"","Sale "&amp;H18,IF(I18&lt;&gt;"","Booking "&amp;I18,IF(E18="Tip","Stylist","Unapplied"))))</f>
        <v>0</v>
      </c>
      <c r="W18" s="39">
        <f>IF(B18="","",IF(G18="","Add - no amount yet",IF(E18="","Add - what was this for?",IF(IF(H18="",FALSE,COUNTIF(Sales!$A$5:$A$1204,H18)=0),"Missing - no sale with that ID",IF(IF(I18="",FALSE,COUNTIF(Appointments!$A$5:$A$1204,I18)=0),"Missing - no booking with that ID",IF(IF(E18="Tip",J18="",FALSE),"Assign - whose tip is it?",IF(IF(E18="Deposit",IF(H18="",I18="",FALSE),FALSE),"Check - deposit not tied to a booking",IF(M18="No","Due - not reconciled yet","OK"))))))))</f>
        <v>0</v>
      </c>
    </row>
    <row r="19" spans="1:23">
      <c r="A19" s="28">
        <f>IF(B19="","",PaymentPrefix&amp;TEXT(ROW()-4,"0000"))</f>
        <v>0</v>
      </c>
      <c r="D19" s="15">
        <f>IF(C19="","",IFERROR(INDEX(Clients!$B$5:$B$504,MATCH(C19,Clients!$A$5:$A$504,0)),"Walk-in"))</f>
        <v>0</v>
      </c>
      <c r="K19" s="15">
        <f>IF(J19="","",IFERROR(INDEX(Staff!$B$5:$B$44,MATCH(J19,Staff!$A$5:$A$44,0)),""))</f>
        <v>0</v>
      </c>
      <c r="O19" s="15">
        <f>IF(B19="","",TEXT(B19,"yyyy-mm"))</f>
        <v>0</v>
      </c>
      <c r="P19" s="25">
        <f>IF(B19="","",WEEKNUM(B19,2))</f>
        <v>0</v>
      </c>
      <c r="Q19" s="38">
        <f>IF(B19="","",IF(E19="Tip","No",IF(E19="Refund","No","Yes")))</f>
        <v>0</v>
      </c>
      <c r="R19" s="25">
        <f>IF(B19="","",IF(E19="Refund",-1,1))</f>
        <v>0</v>
      </c>
      <c r="S19" s="26">
        <f>IF(B19="","",IF(G19="",0,IF(F19="Card",ROUND(G19*CardFeePercent+CardFeeFixed,2),IF(F19="Online deposit",ROUND(G19*CardFeePercent+CardFeeFixed,2),0))))</f>
        <v>0</v>
      </c>
      <c r="T19" s="26">
        <f>IF(B19="","",ROUND(IF(G19="",0,G19)*R19-S19,2))</f>
        <v>0</v>
      </c>
      <c r="U19" s="38">
        <f>IF(B19="","",IF(E19="Tip","Yes","No"))</f>
        <v>0</v>
      </c>
      <c r="V19" s="15">
        <f>IF(B19="","",IF(H19&lt;&gt;"","Sale "&amp;H19,IF(I19&lt;&gt;"","Booking "&amp;I19,IF(E19="Tip","Stylist","Unapplied"))))</f>
        <v>0</v>
      </c>
      <c r="W19" s="39">
        <f>IF(B19="","",IF(G19="","Add - no amount yet",IF(E19="","Add - what was this for?",IF(IF(H19="",FALSE,COUNTIF(Sales!$A$5:$A$1204,H19)=0),"Missing - no sale with that ID",IF(IF(I19="",FALSE,COUNTIF(Appointments!$A$5:$A$1204,I19)=0),"Missing - no booking with that ID",IF(IF(E19="Tip",J19="",FALSE),"Assign - whose tip is it?",IF(IF(E19="Deposit",IF(H19="",I19="",FALSE),FALSE),"Check - deposit not tied to a booking",IF(M19="No","Due - not reconciled yet","OK"))))))))</f>
        <v>0</v>
      </c>
    </row>
    <row r="20" spans="1:23">
      <c r="A20" s="28">
        <f>IF(B20="","",PaymentPrefix&amp;TEXT(ROW()-4,"0000"))</f>
        <v>0</v>
      </c>
      <c r="D20" s="15">
        <f>IF(C20="","",IFERROR(INDEX(Clients!$B$5:$B$504,MATCH(C20,Clients!$A$5:$A$504,0)),"Walk-in"))</f>
        <v>0</v>
      </c>
      <c r="K20" s="15">
        <f>IF(J20="","",IFERROR(INDEX(Staff!$B$5:$B$44,MATCH(J20,Staff!$A$5:$A$44,0)),""))</f>
        <v>0</v>
      </c>
      <c r="O20" s="15">
        <f>IF(B20="","",TEXT(B20,"yyyy-mm"))</f>
        <v>0</v>
      </c>
      <c r="P20" s="25">
        <f>IF(B20="","",WEEKNUM(B20,2))</f>
        <v>0</v>
      </c>
      <c r="Q20" s="38">
        <f>IF(B20="","",IF(E20="Tip","No",IF(E20="Refund","No","Yes")))</f>
        <v>0</v>
      </c>
      <c r="R20" s="25">
        <f>IF(B20="","",IF(E20="Refund",-1,1))</f>
        <v>0</v>
      </c>
      <c r="S20" s="26">
        <f>IF(B20="","",IF(G20="",0,IF(F20="Card",ROUND(G20*CardFeePercent+CardFeeFixed,2),IF(F20="Online deposit",ROUND(G20*CardFeePercent+CardFeeFixed,2),0))))</f>
        <v>0</v>
      </c>
      <c r="T20" s="26">
        <f>IF(B20="","",ROUND(IF(G20="",0,G20)*R20-S20,2))</f>
        <v>0</v>
      </c>
      <c r="U20" s="38">
        <f>IF(B20="","",IF(E20="Tip","Yes","No"))</f>
        <v>0</v>
      </c>
      <c r="V20" s="15">
        <f>IF(B20="","",IF(H20&lt;&gt;"","Sale "&amp;H20,IF(I20&lt;&gt;"","Booking "&amp;I20,IF(E20="Tip","Stylist","Unapplied"))))</f>
        <v>0</v>
      </c>
      <c r="W20" s="39">
        <f>IF(B20="","",IF(G20="","Add - no amount yet",IF(E20="","Add - what was this for?",IF(IF(H20="",FALSE,COUNTIF(Sales!$A$5:$A$1204,H20)=0),"Missing - no sale with that ID",IF(IF(I20="",FALSE,COUNTIF(Appointments!$A$5:$A$1204,I20)=0),"Missing - no booking with that ID",IF(IF(E20="Tip",J20="",FALSE),"Assign - whose tip is it?",IF(IF(E20="Deposit",IF(H20="",I20="",FALSE),FALSE),"Check - deposit not tied to a booking",IF(M20="No","Due - not reconciled yet","OK"))))))))</f>
        <v>0</v>
      </c>
    </row>
    <row r="21" spans="1:23">
      <c r="A21" s="28">
        <f>IF(B21="","",PaymentPrefix&amp;TEXT(ROW()-4,"0000"))</f>
        <v>0</v>
      </c>
      <c r="D21" s="15">
        <f>IF(C21="","",IFERROR(INDEX(Clients!$B$5:$B$504,MATCH(C21,Clients!$A$5:$A$504,0)),"Walk-in"))</f>
        <v>0</v>
      </c>
      <c r="K21" s="15">
        <f>IF(J21="","",IFERROR(INDEX(Staff!$B$5:$B$44,MATCH(J21,Staff!$A$5:$A$44,0)),""))</f>
        <v>0</v>
      </c>
      <c r="O21" s="15">
        <f>IF(B21="","",TEXT(B21,"yyyy-mm"))</f>
        <v>0</v>
      </c>
      <c r="P21" s="25">
        <f>IF(B21="","",WEEKNUM(B21,2))</f>
        <v>0</v>
      </c>
      <c r="Q21" s="38">
        <f>IF(B21="","",IF(E21="Tip","No",IF(E21="Refund","No","Yes")))</f>
        <v>0</v>
      </c>
      <c r="R21" s="25">
        <f>IF(B21="","",IF(E21="Refund",-1,1))</f>
        <v>0</v>
      </c>
      <c r="S21" s="26">
        <f>IF(B21="","",IF(G21="",0,IF(F21="Card",ROUND(G21*CardFeePercent+CardFeeFixed,2),IF(F21="Online deposit",ROUND(G21*CardFeePercent+CardFeeFixed,2),0))))</f>
        <v>0</v>
      </c>
      <c r="T21" s="26">
        <f>IF(B21="","",ROUND(IF(G21="",0,G21)*R21-S21,2))</f>
        <v>0</v>
      </c>
      <c r="U21" s="38">
        <f>IF(B21="","",IF(E21="Tip","Yes","No"))</f>
        <v>0</v>
      </c>
      <c r="V21" s="15">
        <f>IF(B21="","",IF(H21&lt;&gt;"","Sale "&amp;H21,IF(I21&lt;&gt;"","Booking "&amp;I21,IF(E21="Tip","Stylist","Unapplied"))))</f>
        <v>0</v>
      </c>
      <c r="W21" s="39">
        <f>IF(B21="","",IF(G21="","Add - no amount yet",IF(E21="","Add - what was this for?",IF(IF(H21="",FALSE,COUNTIF(Sales!$A$5:$A$1204,H21)=0),"Missing - no sale with that ID",IF(IF(I21="",FALSE,COUNTIF(Appointments!$A$5:$A$1204,I21)=0),"Missing - no booking with that ID",IF(IF(E21="Tip",J21="",FALSE),"Assign - whose tip is it?",IF(IF(E21="Deposit",IF(H21="",I21="",FALSE),FALSE),"Check - deposit not tied to a booking",IF(M21="No","Due - not reconciled yet","OK"))))))))</f>
        <v>0</v>
      </c>
    </row>
    <row r="22" spans="1:23">
      <c r="A22" s="28">
        <f>IF(B22="","",PaymentPrefix&amp;TEXT(ROW()-4,"0000"))</f>
        <v>0</v>
      </c>
      <c r="D22" s="15">
        <f>IF(C22="","",IFERROR(INDEX(Clients!$B$5:$B$504,MATCH(C22,Clients!$A$5:$A$504,0)),"Walk-in"))</f>
        <v>0</v>
      </c>
      <c r="K22" s="15">
        <f>IF(J22="","",IFERROR(INDEX(Staff!$B$5:$B$44,MATCH(J22,Staff!$A$5:$A$44,0)),""))</f>
        <v>0</v>
      </c>
      <c r="O22" s="15">
        <f>IF(B22="","",TEXT(B22,"yyyy-mm"))</f>
        <v>0</v>
      </c>
      <c r="P22" s="25">
        <f>IF(B22="","",WEEKNUM(B22,2))</f>
        <v>0</v>
      </c>
      <c r="Q22" s="38">
        <f>IF(B22="","",IF(E22="Tip","No",IF(E22="Refund","No","Yes")))</f>
        <v>0</v>
      </c>
      <c r="R22" s="25">
        <f>IF(B22="","",IF(E22="Refund",-1,1))</f>
        <v>0</v>
      </c>
      <c r="S22" s="26">
        <f>IF(B22="","",IF(G22="",0,IF(F22="Card",ROUND(G22*CardFeePercent+CardFeeFixed,2),IF(F22="Online deposit",ROUND(G22*CardFeePercent+CardFeeFixed,2),0))))</f>
        <v>0</v>
      </c>
      <c r="T22" s="26">
        <f>IF(B22="","",ROUND(IF(G22="",0,G22)*R22-S22,2))</f>
        <v>0</v>
      </c>
      <c r="U22" s="38">
        <f>IF(B22="","",IF(E22="Tip","Yes","No"))</f>
        <v>0</v>
      </c>
      <c r="V22" s="15">
        <f>IF(B22="","",IF(H22&lt;&gt;"","Sale "&amp;H22,IF(I22&lt;&gt;"","Booking "&amp;I22,IF(E22="Tip","Stylist","Unapplied"))))</f>
        <v>0</v>
      </c>
      <c r="W22" s="39">
        <f>IF(B22="","",IF(G22="","Add - no amount yet",IF(E22="","Add - what was this for?",IF(IF(H22="",FALSE,COUNTIF(Sales!$A$5:$A$1204,H22)=0),"Missing - no sale with that ID",IF(IF(I22="",FALSE,COUNTIF(Appointments!$A$5:$A$1204,I22)=0),"Missing - no booking with that ID",IF(IF(E22="Tip",J22="",FALSE),"Assign - whose tip is it?",IF(IF(E22="Deposit",IF(H22="",I22="",FALSE),FALSE),"Check - deposit not tied to a booking",IF(M22="No","Due - not reconciled yet","OK"))))))))</f>
        <v>0</v>
      </c>
    </row>
    <row r="23" spans="1:23">
      <c r="A23" s="28">
        <f>IF(B23="","",PaymentPrefix&amp;TEXT(ROW()-4,"0000"))</f>
        <v>0</v>
      </c>
      <c r="D23" s="15">
        <f>IF(C23="","",IFERROR(INDEX(Clients!$B$5:$B$504,MATCH(C23,Clients!$A$5:$A$504,0)),"Walk-in"))</f>
        <v>0</v>
      </c>
      <c r="K23" s="15">
        <f>IF(J23="","",IFERROR(INDEX(Staff!$B$5:$B$44,MATCH(J23,Staff!$A$5:$A$44,0)),""))</f>
        <v>0</v>
      </c>
      <c r="O23" s="15">
        <f>IF(B23="","",TEXT(B23,"yyyy-mm"))</f>
        <v>0</v>
      </c>
      <c r="P23" s="25">
        <f>IF(B23="","",WEEKNUM(B23,2))</f>
        <v>0</v>
      </c>
      <c r="Q23" s="38">
        <f>IF(B23="","",IF(E23="Tip","No",IF(E23="Refund","No","Yes")))</f>
        <v>0</v>
      </c>
      <c r="R23" s="25">
        <f>IF(B23="","",IF(E23="Refund",-1,1))</f>
        <v>0</v>
      </c>
      <c r="S23" s="26">
        <f>IF(B23="","",IF(G23="",0,IF(F23="Card",ROUND(G23*CardFeePercent+CardFeeFixed,2),IF(F23="Online deposit",ROUND(G23*CardFeePercent+CardFeeFixed,2),0))))</f>
        <v>0</v>
      </c>
      <c r="T23" s="26">
        <f>IF(B23="","",ROUND(IF(G23="",0,G23)*R23-S23,2))</f>
        <v>0</v>
      </c>
      <c r="U23" s="38">
        <f>IF(B23="","",IF(E23="Tip","Yes","No"))</f>
        <v>0</v>
      </c>
      <c r="V23" s="15">
        <f>IF(B23="","",IF(H23&lt;&gt;"","Sale "&amp;H23,IF(I23&lt;&gt;"","Booking "&amp;I23,IF(E23="Tip","Stylist","Unapplied"))))</f>
        <v>0</v>
      </c>
      <c r="W23" s="39">
        <f>IF(B23="","",IF(G23="","Add - no amount yet",IF(E23="","Add - what was this for?",IF(IF(H23="",FALSE,COUNTIF(Sales!$A$5:$A$1204,H23)=0),"Missing - no sale with that ID",IF(IF(I23="",FALSE,COUNTIF(Appointments!$A$5:$A$1204,I23)=0),"Missing - no booking with that ID",IF(IF(E23="Tip",J23="",FALSE),"Assign - whose tip is it?",IF(IF(E23="Deposit",IF(H23="",I23="",FALSE),FALSE),"Check - deposit not tied to a booking",IF(M23="No","Due - not reconciled yet","OK"))))))))</f>
        <v>0</v>
      </c>
    </row>
    <row r="24" spans="1:23">
      <c r="A24" s="28">
        <f>IF(B24="","",PaymentPrefix&amp;TEXT(ROW()-4,"0000"))</f>
        <v>0</v>
      </c>
      <c r="D24" s="15">
        <f>IF(C24="","",IFERROR(INDEX(Clients!$B$5:$B$504,MATCH(C24,Clients!$A$5:$A$504,0)),"Walk-in"))</f>
        <v>0</v>
      </c>
      <c r="K24" s="15">
        <f>IF(J24="","",IFERROR(INDEX(Staff!$B$5:$B$44,MATCH(J24,Staff!$A$5:$A$44,0)),""))</f>
        <v>0</v>
      </c>
      <c r="O24" s="15">
        <f>IF(B24="","",TEXT(B24,"yyyy-mm"))</f>
        <v>0</v>
      </c>
      <c r="P24" s="25">
        <f>IF(B24="","",WEEKNUM(B24,2))</f>
        <v>0</v>
      </c>
      <c r="Q24" s="38">
        <f>IF(B24="","",IF(E24="Tip","No",IF(E24="Refund","No","Yes")))</f>
        <v>0</v>
      </c>
      <c r="R24" s="25">
        <f>IF(B24="","",IF(E24="Refund",-1,1))</f>
        <v>0</v>
      </c>
      <c r="S24" s="26">
        <f>IF(B24="","",IF(G24="",0,IF(F24="Card",ROUND(G24*CardFeePercent+CardFeeFixed,2),IF(F24="Online deposit",ROUND(G24*CardFeePercent+CardFeeFixed,2),0))))</f>
        <v>0</v>
      </c>
      <c r="T24" s="26">
        <f>IF(B24="","",ROUND(IF(G24="",0,G24)*R24-S24,2))</f>
        <v>0</v>
      </c>
      <c r="U24" s="38">
        <f>IF(B24="","",IF(E24="Tip","Yes","No"))</f>
        <v>0</v>
      </c>
      <c r="V24" s="15">
        <f>IF(B24="","",IF(H24&lt;&gt;"","Sale "&amp;H24,IF(I24&lt;&gt;"","Booking "&amp;I24,IF(E24="Tip","Stylist","Unapplied"))))</f>
        <v>0</v>
      </c>
      <c r="W24" s="39">
        <f>IF(B24="","",IF(G24="","Add - no amount yet",IF(E24="","Add - what was this for?",IF(IF(H24="",FALSE,COUNTIF(Sales!$A$5:$A$1204,H24)=0),"Missing - no sale with that ID",IF(IF(I24="",FALSE,COUNTIF(Appointments!$A$5:$A$1204,I24)=0),"Missing - no booking with that ID",IF(IF(E24="Tip",J24="",FALSE),"Assign - whose tip is it?",IF(IF(E24="Deposit",IF(H24="",I24="",FALSE),FALSE),"Check - deposit not tied to a booking",IF(M24="No","Due - not reconciled yet","OK"))))))))</f>
        <v>0</v>
      </c>
    </row>
    <row r="25" spans="1:23">
      <c r="A25" s="28">
        <f>IF(B25="","",PaymentPrefix&amp;TEXT(ROW()-4,"0000"))</f>
        <v>0</v>
      </c>
      <c r="D25" s="15">
        <f>IF(C25="","",IFERROR(INDEX(Clients!$B$5:$B$504,MATCH(C25,Clients!$A$5:$A$504,0)),"Walk-in"))</f>
        <v>0</v>
      </c>
      <c r="K25" s="15">
        <f>IF(J25="","",IFERROR(INDEX(Staff!$B$5:$B$44,MATCH(J25,Staff!$A$5:$A$44,0)),""))</f>
        <v>0</v>
      </c>
      <c r="O25" s="15">
        <f>IF(B25="","",TEXT(B25,"yyyy-mm"))</f>
        <v>0</v>
      </c>
      <c r="P25" s="25">
        <f>IF(B25="","",WEEKNUM(B25,2))</f>
        <v>0</v>
      </c>
      <c r="Q25" s="38">
        <f>IF(B25="","",IF(E25="Tip","No",IF(E25="Refund","No","Yes")))</f>
        <v>0</v>
      </c>
      <c r="R25" s="25">
        <f>IF(B25="","",IF(E25="Refund",-1,1))</f>
        <v>0</v>
      </c>
      <c r="S25" s="26">
        <f>IF(B25="","",IF(G25="",0,IF(F25="Card",ROUND(G25*CardFeePercent+CardFeeFixed,2),IF(F25="Online deposit",ROUND(G25*CardFeePercent+CardFeeFixed,2),0))))</f>
        <v>0</v>
      </c>
      <c r="T25" s="26">
        <f>IF(B25="","",ROUND(IF(G25="",0,G25)*R25-S25,2))</f>
        <v>0</v>
      </c>
      <c r="U25" s="38">
        <f>IF(B25="","",IF(E25="Tip","Yes","No"))</f>
        <v>0</v>
      </c>
      <c r="V25" s="15">
        <f>IF(B25="","",IF(H25&lt;&gt;"","Sale "&amp;H25,IF(I25&lt;&gt;"","Booking "&amp;I25,IF(E25="Tip","Stylist","Unapplied"))))</f>
        <v>0</v>
      </c>
      <c r="W25" s="39">
        <f>IF(B25="","",IF(G25="","Add - no amount yet",IF(E25="","Add - what was this for?",IF(IF(H25="",FALSE,COUNTIF(Sales!$A$5:$A$1204,H25)=0),"Missing - no sale with that ID",IF(IF(I25="",FALSE,COUNTIF(Appointments!$A$5:$A$1204,I25)=0),"Missing - no booking with that ID",IF(IF(E25="Tip",J25="",FALSE),"Assign - whose tip is it?",IF(IF(E25="Deposit",IF(H25="",I25="",FALSE),FALSE),"Check - deposit not tied to a booking",IF(M25="No","Due - not reconciled yet","OK"))))))))</f>
        <v>0</v>
      </c>
    </row>
    <row r="26" spans="1:23">
      <c r="A26" s="28">
        <f>IF(B26="","",PaymentPrefix&amp;TEXT(ROW()-4,"0000"))</f>
        <v>0</v>
      </c>
      <c r="D26" s="15">
        <f>IF(C26="","",IFERROR(INDEX(Clients!$B$5:$B$504,MATCH(C26,Clients!$A$5:$A$504,0)),"Walk-in"))</f>
        <v>0</v>
      </c>
      <c r="K26" s="15">
        <f>IF(J26="","",IFERROR(INDEX(Staff!$B$5:$B$44,MATCH(J26,Staff!$A$5:$A$44,0)),""))</f>
        <v>0</v>
      </c>
      <c r="O26" s="15">
        <f>IF(B26="","",TEXT(B26,"yyyy-mm"))</f>
        <v>0</v>
      </c>
      <c r="P26" s="25">
        <f>IF(B26="","",WEEKNUM(B26,2))</f>
        <v>0</v>
      </c>
      <c r="Q26" s="38">
        <f>IF(B26="","",IF(E26="Tip","No",IF(E26="Refund","No","Yes")))</f>
        <v>0</v>
      </c>
      <c r="R26" s="25">
        <f>IF(B26="","",IF(E26="Refund",-1,1))</f>
        <v>0</v>
      </c>
      <c r="S26" s="26">
        <f>IF(B26="","",IF(G26="",0,IF(F26="Card",ROUND(G26*CardFeePercent+CardFeeFixed,2),IF(F26="Online deposit",ROUND(G26*CardFeePercent+CardFeeFixed,2),0))))</f>
        <v>0</v>
      </c>
      <c r="T26" s="26">
        <f>IF(B26="","",ROUND(IF(G26="",0,G26)*R26-S26,2))</f>
        <v>0</v>
      </c>
      <c r="U26" s="38">
        <f>IF(B26="","",IF(E26="Tip","Yes","No"))</f>
        <v>0</v>
      </c>
      <c r="V26" s="15">
        <f>IF(B26="","",IF(H26&lt;&gt;"","Sale "&amp;H26,IF(I26&lt;&gt;"","Booking "&amp;I26,IF(E26="Tip","Stylist","Unapplied"))))</f>
        <v>0</v>
      </c>
      <c r="W26" s="39">
        <f>IF(B26="","",IF(G26="","Add - no amount yet",IF(E26="","Add - what was this for?",IF(IF(H26="",FALSE,COUNTIF(Sales!$A$5:$A$1204,H26)=0),"Missing - no sale with that ID",IF(IF(I26="",FALSE,COUNTIF(Appointments!$A$5:$A$1204,I26)=0),"Missing - no booking with that ID",IF(IF(E26="Tip",J26="",FALSE),"Assign - whose tip is it?",IF(IF(E26="Deposit",IF(H26="",I26="",FALSE),FALSE),"Check - deposit not tied to a booking",IF(M26="No","Due - not reconciled yet","OK"))))))))</f>
        <v>0</v>
      </c>
    </row>
    <row r="27" spans="1:23">
      <c r="A27" s="28">
        <f>IF(B27="","",PaymentPrefix&amp;TEXT(ROW()-4,"0000"))</f>
        <v>0</v>
      </c>
      <c r="D27" s="15">
        <f>IF(C27="","",IFERROR(INDEX(Clients!$B$5:$B$504,MATCH(C27,Clients!$A$5:$A$504,0)),"Walk-in"))</f>
        <v>0</v>
      </c>
      <c r="K27" s="15">
        <f>IF(J27="","",IFERROR(INDEX(Staff!$B$5:$B$44,MATCH(J27,Staff!$A$5:$A$44,0)),""))</f>
        <v>0</v>
      </c>
      <c r="O27" s="15">
        <f>IF(B27="","",TEXT(B27,"yyyy-mm"))</f>
        <v>0</v>
      </c>
      <c r="P27" s="25">
        <f>IF(B27="","",WEEKNUM(B27,2))</f>
        <v>0</v>
      </c>
      <c r="Q27" s="38">
        <f>IF(B27="","",IF(E27="Tip","No",IF(E27="Refund","No","Yes")))</f>
        <v>0</v>
      </c>
      <c r="R27" s="25">
        <f>IF(B27="","",IF(E27="Refund",-1,1))</f>
        <v>0</v>
      </c>
      <c r="S27" s="26">
        <f>IF(B27="","",IF(G27="",0,IF(F27="Card",ROUND(G27*CardFeePercent+CardFeeFixed,2),IF(F27="Online deposit",ROUND(G27*CardFeePercent+CardFeeFixed,2),0))))</f>
        <v>0</v>
      </c>
      <c r="T27" s="26">
        <f>IF(B27="","",ROUND(IF(G27="",0,G27)*R27-S27,2))</f>
        <v>0</v>
      </c>
      <c r="U27" s="38">
        <f>IF(B27="","",IF(E27="Tip","Yes","No"))</f>
        <v>0</v>
      </c>
      <c r="V27" s="15">
        <f>IF(B27="","",IF(H27&lt;&gt;"","Sale "&amp;H27,IF(I27&lt;&gt;"","Booking "&amp;I27,IF(E27="Tip","Stylist","Unapplied"))))</f>
        <v>0</v>
      </c>
      <c r="W27" s="39">
        <f>IF(B27="","",IF(G27="","Add - no amount yet",IF(E27="","Add - what was this for?",IF(IF(H27="",FALSE,COUNTIF(Sales!$A$5:$A$1204,H27)=0),"Missing - no sale with that ID",IF(IF(I27="",FALSE,COUNTIF(Appointments!$A$5:$A$1204,I27)=0),"Missing - no booking with that ID",IF(IF(E27="Tip",J27="",FALSE),"Assign - whose tip is it?",IF(IF(E27="Deposit",IF(H27="",I27="",FALSE),FALSE),"Check - deposit not tied to a booking",IF(M27="No","Due - not reconciled yet","OK"))))))))</f>
        <v>0</v>
      </c>
    </row>
    <row r="28" spans="1:23">
      <c r="A28" s="28">
        <f>IF(B28="","",PaymentPrefix&amp;TEXT(ROW()-4,"0000"))</f>
        <v>0</v>
      </c>
      <c r="D28" s="15">
        <f>IF(C28="","",IFERROR(INDEX(Clients!$B$5:$B$504,MATCH(C28,Clients!$A$5:$A$504,0)),"Walk-in"))</f>
        <v>0</v>
      </c>
      <c r="K28" s="15">
        <f>IF(J28="","",IFERROR(INDEX(Staff!$B$5:$B$44,MATCH(J28,Staff!$A$5:$A$44,0)),""))</f>
        <v>0</v>
      </c>
      <c r="O28" s="15">
        <f>IF(B28="","",TEXT(B28,"yyyy-mm"))</f>
        <v>0</v>
      </c>
      <c r="P28" s="25">
        <f>IF(B28="","",WEEKNUM(B28,2))</f>
        <v>0</v>
      </c>
      <c r="Q28" s="38">
        <f>IF(B28="","",IF(E28="Tip","No",IF(E28="Refund","No","Yes")))</f>
        <v>0</v>
      </c>
      <c r="R28" s="25">
        <f>IF(B28="","",IF(E28="Refund",-1,1))</f>
        <v>0</v>
      </c>
      <c r="S28" s="26">
        <f>IF(B28="","",IF(G28="",0,IF(F28="Card",ROUND(G28*CardFeePercent+CardFeeFixed,2),IF(F28="Online deposit",ROUND(G28*CardFeePercent+CardFeeFixed,2),0))))</f>
        <v>0</v>
      </c>
      <c r="T28" s="26">
        <f>IF(B28="","",ROUND(IF(G28="",0,G28)*R28-S28,2))</f>
        <v>0</v>
      </c>
      <c r="U28" s="38">
        <f>IF(B28="","",IF(E28="Tip","Yes","No"))</f>
        <v>0</v>
      </c>
      <c r="V28" s="15">
        <f>IF(B28="","",IF(H28&lt;&gt;"","Sale "&amp;H28,IF(I28&lt;&gt;"","Booking "&amp;I28,IF(E28="Tip","Stylist","Unapplied"))))</f>
        <v>0</v>
      </c>
      <c r="W28" s="39">
        <f>IF(B28="","",IF(G28="","Add - no amount yet",IF(E28="","Add - what was this for?",IF(IF(H28="",FALSE,COUNTIF(Sales!$A$5:$A$1204,H28)=0),"Missing - no sale with that ID",IF(IF(I28="",FALSE,COUNTIF(Appointments!$A$5:$A$1204,I28)=0),"Missing - no booking with that ID",IF(IF(E28="Tip",J28="",FALSE),"Assign - whose tip is it?",IF(IF(E28="Deposit",IF(H28="",I28="",FALSE),FALSE),"Check - deposit not tied to a booking",IF(M28="No","Due - not reconciled yet","OK"))))))))</f>
        <v>0</v>
      </c>
    </row>
    <row r="29" spans="1:23">
      <c r="A29" s="28">
        <f>IF(B29="","",PaymentPrefix&amp;TEXT(ROW()-4,"0000"))</f>
        <v>0</v>
      </c>
      <c r="D29" s="15">
        <f>IF(C29="","",IFERROR(INDEX(Clients!$B$5:$B$504,MATCH(C29,Clients!$A$5:$A$504,0)),"Walk-in"))</f>
        <v>0</v>
      </c>
      <c r="K29" s="15">
        <f>IF(J29="","",IFERROR(INDEX(Staff!$B$5:$B$44,MATCH(J29,Staff!$A$5:$A$44,0)),""))</f>
        <v>0</v>
      </c>
      <c r="O29" s="15">
        <f>IF(B29="","",TEXT(B29,"yyyy-mm"))</f>
        <v>0</v>
      </c>
      <c r="P29" s="25">
        <f>IF(B29="","",WEEKNUM(B29,2))</f>
        <v>0</v>
      </c>
      <c r="Q29" s="38">
        <f>IF(B29="","",IF(E29="Tip","No",IF(E29="Refund","No","Yes")))</f>
        <v>0</v>
      </c>
      <c r="R29" s="25">
        <f>IF(B29="","",IF(E29="Refund",-1,1))</f>
        <v>0</v>
      </c>
      <c r="S29" s="26">
        <f>IF(B29="","",IF(G29="",0,IF(F29="Card",ROUND(G29*CardFeePercent+CardFeeFixed,2),IF(F29="Online deposit",ROUND(G29*CardFeePercent+CardFeeFixed,2),0))))</f>
        <v>0</v>
      </c>
      <c r="T29" s="26">
        <f>IF(B29="","",ROUND(IF(G29="",0,G29)*R29-S29,2))</f>
        <v>0</v>
      </c>
      <c r="U29" s="38">
        <f>IF(B29="","",IF(E29="Tip","Yes","No"))</f>
        <v>0</v>
      </c>
      <c r="V29" s="15">
        <f>IF(B29="","",IF(H29&lt;&gt;"","Sale "&amp;H29,IF(I29&lt;&gt;"","Booking "&amp;I29,IF(E29="Tip","Stylist","Unapplied"))))</f>
        <v>0</v>
      </c>
      <c r="W29" s="39">
        <f>IF(B29="","",IF(G29="","Add - no amount yet",IF(E29="","Add - what was this for?",IF(IF(H29="",FALSE,COUNTIF(Sales!$A$5:$A$1204,H29)=0),"Missing - no sale with that ID",IF(IF(I29="",FALSE,COUNTIF(Appointments!$A$5:$A$1204,I29)=0),"Missing - no booking with that ID",IF(IF(E29="Tip",J29="",FALSE),"Assign - whose tip is it?",IF(IF(E29="Deposit",IF(H29="",I29="",FALSE),FALSE),"Check - deposit not tied to a booking",IF(M29="No","Due - not reconciled yet","OK"))))))))</f>
        <v>0</v>
      </c>
    </row>
    <row r="30" spans="1:23">
      <c r="A30" s="28">
        <f>IF(B30="","",PaymentPrefix&amp;TEXT(ROW()-4,"0000"))</f>
        <v>0</v>
      </c>
      <c r="D30" s="15">
        <f>IF(C30="","",IFERROR(INDEX(Clients!$B$5:$B$504,MATCH(C30,Clients!$A$5:$A$504,0)),"Walk-in"))</f>
        <v>0</v>
      </c>
      <c r="K30" s="15">
        <f>IF(J30="","",IFERROR(INDEX(Staff!$B$5:$B$44,MATCH(J30,Staff!$A$5:$A$44,0)),""))</f>
        <v>0</v>
      </c>
      <c r="O30" s="15">
        <f>IF(B30="","",TEXT(B30,"yyyy-mm"))</f>
        <v>0</v>
      </c>
      <c r="P30" s="25">
        <f>IF(B30="","",WEEKNUM(B30,2))</f>
        <v>0</v>
      </c>
      <c r="Q30" s="38">
        <f>IF(B30="","",IF(E30="Tip","No",IF(E30="Refund","No","Yes")))</f>
        <v>0</v>
      </c>
      <c r="R30" s="25">
        <f>IF(B30="","",IF(E30="Refund",-1,1))</f>
        <v>0</v>
      </c>
      <c r="S30" s="26">
        <f>IF(B30="","",IF(G30="",0,IF(F30="Card",ROUND(G30*CardFeePercent+CardFeeFixed,2),IF(F30="Online deposit",ROUND(G30*CardFeePercent+CardFeeFixed,2),0))))</f>
        <v>0</v>
      </c>
      <c r="T30" s="26">
        <f>IF(B30="","",ROUND(IF(G30="",0,G30)*R30-S30,2))</f>
        <v>0</v>
      </c>
      <c r="U30" s="38">
        <f>IF(B30="","",IF(E30="Tip","Yes","No"))</f>
        <v>0</v>
      </c>
      <c r="V30" s="15">
        <f>IF(B30="","",IF(H30&lt;&gt;"","Sale "&amp;H30,IF(I30&lt;&gt;"","Booking "&amp;I30,IF(E30="Tip","Stylist","Unapplied"))))</f>
        <v>0</v>
      </c>
      <c r="W30" s="39">
        <f>IF(B30="","",IF(G30="","Add - no amount yet",IF(E30="","Add - what was this for?",IF(IF(H30="",FALSE,COUNTIF(Sales!$A$5:$A$1204,H30)=0),"Missing - no sale with that ID",IF(IF(I30="",FALSE,COUNTIF(Appointments!$A$5:$A$1204,I30)=0),"Missing - no booking with that ID",IF(IF(E30="Tip",J30="",FALSE),"Assign - whose tip is it?",IF(IF(E30="Deposit",IF(H30="",I30="",FALSE),FALSE),"Check - deposit not tied to a booking",IF(M30="No","Due - not reconciled yet","OK"))))))))</f>
        <v>0</v>
      </c>
    </row>
    <row r="31" spans="1:23">
      <c r="A31" s="28">
        <f>IF(B31="","",PaymentPrefix&amp;TEXT(ROW()-4,"0000"))</f>
        <v>0</v>
      </c>
      <c r="D31" s="15">
        <f>IF(C31="","",IFERROR(INDEX(Clients!$B$5:$B$504,MATCH(C31,Clients!$A$5:$A$504,0)),"Walk-in"))</f>
        <v>0</v>
      </c>
      <c r="K31" s="15">
        <f>IF(J31="","",IFERROR(INDEX(Staff!$B$5:$B$44,MATCH(J31,Staff!$A$5:$A$44,0)),""))</f>
        <v>0</v>
      </c>
      <c r="O31" s="15">
        <f>IF(B31="","",TEXT(B31,"yyyy-mm"))</f>
        <v>0</v>
      </c>
      <c r="P31" s="25">
        <f>IF(B31="","",WEEKNUM(B31,2))</f>
        <v>0</v>
      </c>
      <c r="Q31" s="38">
        <f>IF(B31="","",IF(E31="Tip","No",IF(E31="Refund","No","Yes")))</f>
        <v>0</v>
      </c>
      <c r="R31" s="25">
        <f>IF(B31="","",IF(E31="Refund",-1,1))</f>
        <v>0</v>
      </c>
      <c r="S31" s="26">
        <f>IF(B31="","",IF(G31="",0,IF(F31="Card",ROUND(G31*CardFeePercent+CardFeeFixed,2),IF(F31="Online deposit",ROUND(G31*CardFeePercent+CardFeeFixed,2),0))))</f>
        <v>0</v>
      </c>
      <c r="T31" s="26">
        <f>IF(B31="","",ROUND(IF(G31="",0,G31)*R31-S31,2))</f>
        <v>0</v>
      </c>
      <c r="U31" s="38">
        <f>IF(B31="","",IF(E31="Tip","Yes","No"))</f>
        <v>0</v>
      </c>
      <c r="V31" s="15">
        <f>IF(B31="","",IF(H31&lt;&gt;"","Sale "&amp;H31,IF(I31&lt;&gt;"","Booking "&amp;I31,IF(E31="Tip","Stylist","Unapplied"))))</f>
        <v>0</v>
      </c>
      <c r="W31" s="39">
        <f>IF(B31="","",IF(G31="","Add - no amount yet",IF(E31="","Add - what was this for?",IF(IF(H31="",FALSE,COUNTIF(Sales!$A$5:$A$1204,H31)=0),"Missing - no sale with that ID",IF(IF(I31="",FALSE,COUNTIF(Appointments!$A$5:$A$1204,I31)=0),"Missing - no booking with that ID",IF(IF(E31="Tip",J31="",FALSE),"Assign - whose tip is it?",IF(IF(E31="Deposit",IF(H31="",I31="",FALSE),FALSE),"Check - deposit not tied to a booking",IF(M31="No","Due - not reconciled yet","OK"))))))))</f>
        <v>0</v>
      </c>
    </row>
    <row r="32" spans="1:23">
      <c r="A32" s="28">
        <f>IF(B32="","",PaymentPrefix&amp;TEXT(ROW()-4,"0000"))</f>
        <v>0</v>
      </c>
      <c r="D32" s="15">
        <f>IF(C32="","",IFERROR(INDEX(Clients!$B$5:$B$504,MATCH(C32,Clients!$A$5:$A$504,0)),"Walk-in"))</f>
        <v>0</v>
      </c>
      <c r="K32" s="15">
        <f>IF(J32="","",IFERROR(INDEX(Staff!$B$5:$B$44,MATCH(J32,Staff!$A$5:$A$44,0)),""))</f>
        <v>0</v>
      </c>
      <c r="O32" s="15">
        <f>IF(B32="","",TEXT(B32,"yyyy-mm"))</f>
        <v>0</v>
      </c>
      <c r="P32" s="25">
        <f>IF(B32="","",WEEKNUM(B32,2))</f>
        <v>0</v>
      </c>
      <c r="Q32" s="38">
        <f>IF(B32="","",IF(E32="Tip","No",IF(E32="Refund","No","Yes")))</f>
        <v>0</v>
      </c>
      <c r="R32" s="25">
        <f>IF(B32="","",IF(E32="Refund",-1,1))</f>
        <v>0</v>
      </c>
      <c r="S32" s="26">
        <f>IF(B32="","",IF(G32="",0,IF(F32="Card",ROUND(G32*CardFeePercent+CardFeeFixed,2),IF(F32="Online deposit",ROUND(G32*CardFeePercent+CardFeeFixed,2),0))))</f>
        <v>0</v>
      </c>
      <c r="T32" s="26">
        <f>IF(B32="","",ROUND(IF(G32="",0,G32)*R32-S32,2))</f>
        <v>0</v>
      </c>
      <c r="U32" s="38">
        <f>IF(B32="","",IF(E32="Tip","Yes","No"))</f>
        <v>0</v>
      </c>
      <c r="V32" s="15">
        <f>IF(B32="","",IF(H32&lt;&gt;"","Sale "&amp;H32,IF(I32&lt;&gt;"","Booking "&amp;I32,IF(E32="Tip","Stylist","Unapplied"))))</f>
        <v>0</v>
      </c>
      <c r="W32" s="39">
        <f>IF(B32="","",IF(G32="","Add - no amount yet",IF(E32="","Add - what was this for?",IF(IF(H32="",FALSE,COUNTIF(Sales!$A$5:$A$1204,H32)=0),"Missing - no sale with that ID",IF(IF(I32="",FALSE,COUNTIF(Appointments!$A$5:$A$1204,I32)=0),"Missing - no booking with that ID",IF(IF(E32="Tip",J32="",FALSE),"Assign - whose tip is it?",IF(IF(E32="Deposit",IF(H32="",I32="",FALSE),FALSE),"Check - deposit not tied to a booking",IF(M32="No","Due - not reconciled yet","OK"))))))))</f>
        <v>0</v>
      </c>
    </row>
    <row r="33" spans="1:23">
      <c r="A33" s="28">
        <f>IF(B33="","",PaymentPrefix&amp;TEXT(ROW()-4,"0000"))</f>
        <v>0</v>
      </c>
      <c r="D33" s="15">
        <f>IF(C33="","",IFERROR(INDEX(Clients!$B$5:$B$504,MATCH(C33,Clients!$A$5:$A$504,0)),"Walk-in"))</f>
        <v>0</v>
      </c>
      <c r="K33" s="15">
        <f>IF(J33="","",IFERROR(INDEX(Staff!$B$5:$B$44,MATCH(J33,Staff!$A$5:$A$44,0)),""))</f>
        <v>0</v>
      </c>
      <c r="O33" s="15">
        <f>IF(B33="","",TEXT(B33,"yyyy-mm"))</f>
        <v>0</v>
      </c>
      <c r="P33" s="25">
        <f>IF(B33="","",WEEKNUM(B33,2))</f>
        <v>0</v>
      </c>
      <c r="Q33" s="38">
        <f>IF(B33="","",IF(E33="Tip","No",IF(E33="Refund","No","Yes")))</f>
        <v>0</v>
      </c>
      <c r="R33" s="25">
        <f>IF(B33="","",IF(E33="Refund",-1,1))</f>
        <v>0</v>
      </c>
      <c r="S33" s="26">
        <f>IF(B33="","",IF(G33="",0,IF(F33="Card",ROUND(G33*CardFeePercent+CardFeeFixed,2),IF(F33="Online deposit",ROUND(G33*CardFeePercent+CardFeeFixed,2),0))))</f>
        <v>0</v>
      </c>
      <c r="T33" s="26">
        <f>IF(B33="","",ROUND(IF(G33="",0,G33)*R33-S33,2))</f>
        <v>0</v>
      </c>
      <c r="U33" s="38">
        <f>IF(B33="","",IF(E33="Tip","Yes","No"))</f>
        <v>0</v>
      </c>
      <c r="V33" s="15">
        <f>IF(B33="","",IF(H33&lt;&gt;"","Sale "&amp;H33,IF(I33&lt;&gt;"","Booking "&amp;I33,IF(E33="Tip","Stylist","Unapplied"))))</f>
        <v>0</v>
      </c>
      <c r="W33" s="39">
        <f>IF(B33="","",IF(G33="","Add - no amount yet",IF(E33="","Add - what was this for?",IF(IF(H33="",FALSE,COUNTIF(Sales!$A$5:$A$1204,H33)=0),"Missing - no sale with that ID",IF(IF(I33="",FALSE,COUNTIF(Appointments!$A$5:$A$1204,I33)=0),"Missing - no booking with that ID",IF(IF(E33="Tip",J33="",FALSE),"Assign - whose tip is it?",IF(IF(E33="Deposit",IF(H33="",I33="",FALSE),FALSE),"Check - deposit not tied to a booking",IF(M33="No","Due - not reconciled yet","OK"))))))))</f>
        <v>0</v>
      </c>
    </row>
    <row r="34" spans="1:23">
      <c r="A34" s="28">
        <f>IF(B34="","",PaymentPrefix&amp;TEXT(ROW()-4,"0000"))</f>
        <v>0</v>
      </c>
      <c r="D34" s="15">
        <f>IF(C34="","",IFERROR(INDEX(Clients!$B$5:$B$504,MATCH(C34,Clients!$A$5:$A$504,0)),"Walk-in"))</f>
        <v>0</v>
      </c>
      <c r="K34" s="15">
        <f>IF(J34="","",IFERROR(INDEX(Staff!$B$5:$B$44,MATCH(J34,Staff!$A$5:$A$44,0)),""))</f>
        <v>0</v>
      </c>
      <c r="O34" s="15">
        <f>IF(B34="","",TEXT(B34,"yyyy-mm"))</f>
        <v>0</v>
      </c>
      <c r="P34" s="25">
        <f>IF(B34="","",WEEKNUM(B34,2))</f>
        <v>0</v>
      </c>
      <c r="Q34" s="38">
        <f>IF(B34="","",IF(E34="Tip","No",IF(E34="Refund","No","Yes")))</f>
        <v>0</v>
      </c>
      <c r="R34" s="25">
        <f>IF(B34="","",IF(E34="Refund",-1,1))</f>
        <v>0</v>
      </c>
      <c r="S34" s="26">
        <f>IF(B34="","",IF(G34="",0,IF(F34="Card",ROUND(G34*CardFeePercent+CardFeeFixed,2),IF(F34="Online deposit",ROUND(G34*CardFeePercent+CardFeeFixed,2),0))))</f>
        <v>0</v>
      </c>
      <c r="T34" s="26">
        <f>IF(B34="","",ROUND(IF(G34="",0,G34)*R34-S34,2))</f>
        <v>0</v>
      </c>
      <c r="U34" s="38">
        <f>IF(B34="","",IF(E34="Tip","Yes","No"))</f>
        <v>0</v>
      </c>
      <c r="V34" s="15">
        <f>IF(B34="","",IF(H34&lt;&gt;"","Sale "&amp;H34,IF(I34&lt;&gt;"","Booking "&amp;I34,IF(E34="Tip","Stylist","Unapplied"))))</f>
        <v>0</v>
      </c>
      <c r="W34" s="39">
        <f>IF(B34="","",IF(G34="","Add - no amount yet",IF(E34="","Add - what was this for?",IF(IF(H34="",FALSE,COUNTIF(Sales!$A$5:$A$1204,H34)=0),"Missing - no sale with that ID",IF(IF(I34="",FALSE,COUNTIF(Appointments!$A$5:$A$1204,I34)=0),"Missing - no booking with that ID",IF(IF(E34="Tip",J34="",FALSE),"Assign - whose tip is it?",IF(IF(E34="Deposit",IF(H34="",I34="",FALSE),FALSE),"Check - deposit not tied to a booking",IF(M34="No","Due - not reconciled yet","OK"))))))))</f>
        <v>0</v>
      </c>
    </row>
    <row r="35" spans="1:23">
      <c r="A35" s="28">
        <f>IF(B35="","",PaymentPrefix&amp;TEXT(ROW()-4,"0000"))</f>
        <v>0</v>
      </c>
      <c r="D35" s="15">
        <f>IF(C35="","",IFERROR(INDEX(Clients!$B$5:$B$504,MATCH(C35,Clients!$A$5:$A$504,0)),"Walk-in"))</f>
        <v>0</v>
      </c>
      <c r="K35" s="15">
        <f>IF(J35="","",IFERROR(INDEX(Staff!$B$5:$B$44,MATCH(J35,Staff!$A$5:$A$44,0)),""))</f>
        <v>0</v>
      </c>
      <c r="O35" s="15">
        <f>IF(B35="","",TEXT(B35,"yyyy-mm"))</f>
        <v>0</v>
      </c>
      <c r="P35" s="25">
        <f>IF(B35="","",WEEKNUM(B35,2))</f>
        <v>0</v>
      </c>
      <c r="Q35" s="38">
        <f>IF(B35="","",IF(E35="Tip","No",IF(E35="Refund","No","Yes")))</f>
        <v>0</v>
      </c>
      <c r="R35" s="25">
        <f>IF(B35="","",IF(E35="Refund",-1,1))</f>
        <v>0</v>
      </c>
      <c r="S35" s="26">
        <f>IF(B35="","",IF(G35="",0,IF(F35="Card",ROUND(G35*CardFeePercent+CardFeeFixed,2),IF(F35="Online deposit",ROUND(G35*CardFeePercent+CardFeeFixed,2),0))))</f>
        <v>0</v>
      </c>
      <c r="T35" s="26">
        <f>IF(B35="","",ROUND(IF(G35="",0,G35)*R35-S35,2))</f>
        <v>0</v>
      </c>
      <c r="U35" s="38">
        <f>IF(B35="","",IF(E35="Tip","Yes","No"))</f>
        <v>0</v>
      </c>
      <c r="V35" s="15">
        <f>IF(B35="","",IF(H35&lt;&gt;"","Sale "&amp;H35,IF(I35&lt;&gt;"","Booking "&amp;I35,IF(E35="Tip","Stylist","Unapplied"))))</f>
        <v>0</v>
      </c>
      <c r="W35" s="39">
        <f>IF(B35="","",IF(G35="","Add - no amount yet",IF(E35="","Add - what was this for?",IF(IF(H35="",FALSE,COUNTIF(Sales!$A$5:$A$1204,H35)=0),"Missing - no sale with that ID",IF(IF(I35="",FALSE,COUNTIF(Appointments!$A$5:$A$1204,I35)=0),"Missing - no booking with that ID",IF(IF(E35="Tip",J35="",FALSE),"Assign - whose tip is it?",IF(IF(E35="Deposit",IF(H35="",I35="",FALSE),FALSE),"Check - deposit not tied to a booking",IF(M35="No","Due - not reconciled yet","OK"))))))))</f>
        <v>0</v>
      </c>
    </row>
    <row r="36" spans="1:23">
      <c r="A36" s="28">
        <f>IF(B36="","",PaymentPrefix&amp;TEXT(ROW()-4,"0000"))</f>
        <v>0</v>
      </c>
      <c r="D36" s="15">
        <f>IF(C36="","",IFERROR(INDEX(Clients!$B$5:$B$504,MATCH(C36,Clients!$A$5:$A$504,0)),"Walk-in"))</f>
        <v>0</v>
      </c>
      <c r="K36" s="15">
        <f>IF(J36="","",IFERROR(INDEX(Staff!$B$5:$B$44,MATCH(J36,Staff!$A$5:$A$44,0)),""))</f>
        <v>0</v>
      </c>
      <c r="O36" s="15">
        <f>IF(B36="","",TEXT(B36,"yyyy-mm"))</f>
        <v>0</v>
      </c>
      <c r="P36" s="25">
        <f>IF(B36="","",WEEKNUM(B36,2))</f>
        <v>0</v>
      </c>
      <c r="Q36" s="38">
        <f>IF(B36="","",IF(E36="Tip","No",IF(E36="Refund","No","Yes")))</f>
        <v>0</v>
      </c>
      <c r="R36" s="25">
        <f>IF(B36="","",IF(E36="Refund",-1,1))</f>
        <v>0</v>
      </c>
      <c r="S36" s="26">
        <f>IF(B36="","",IF(G36="",0,IF(F36="Card",ROUND(G36*CardFeePercent+CardFeeFixed,2),IF(F36="Online deposit",ROUND(G36*CardFeePercent+CardFeeFixed,2),0))))</f>
        <v>0</v>
      </c>
      <c r="T36" s="26">
        <f>IF(B36="","",ROUND(IF(G36="",0,G36)*R36-S36,2))</f>
        <v>0</v>
      </c>
      <c r="U36" s="38">
        <f>IF(B36="","",IF(E36="Tip","Yes","No"))</f>
        <v>0</v>
      </c>
      <c r="V36" s="15">
        <f>IF(B36="","",IF(H36&lt;&gt;"","Sale "&amp;H36,IF(I36&lt;&gt;"","Booking "&amp;I36,IF(E36="Tip","Stylist","Unapplied"))))</f>
        <v>0</v>
      </c>
      <c r="W36" s="39">
        <f>IF(B36="","",IF(G36="","Add - no amount yet",IF(E36="","Add - what was this for?",IF(IF(H36="",FALSE,COUNTIF(Sales!$A$5:$A$1204,H36)=0),"Missing - no sale with that ID",IF(IF(I36="",FALSE,COUNTIF(Appointments!$A$5:$A$1204,I36)=0),"Missing - no booking with that ID",IF(IF(E36="Tip",J36="",FALSE),"Assign - whose tip is it?",IF(IF(E36="Deposit",IF(H36="",I36="",FALSE),FALSE),"Check - deposit not tied to a booking",IF(M36="No","Due - not reconciled yet","OK"))))))))</f>
        <v>0</v>
      </c>
    </row>
    <row r="37" spans="1:23">
      <c r="A37" s="28">
        <f>IF(B37="","",PaymentPrefix&amp;TEXT(ROW()-4,"0000"))</f>
        <v>0</v>
      </c>
      <c r="D37" s="15">
        <f>IF(C37="","",IFERROR(INDEX(Clients!$B$5:$B$504,MATCH(C37,Clients!$A$5:$A$504,0)),"Walk-in"))</f>
        <v>0</v>
      </c>
      <c r="K37" s="15">
        <f>IF(J37="","",IFERROR(INDEX(Staff!$B$5:$B$44,MATCH(J37,Staff!$A$5:$A$44,0)),""))</f>
        <v>0</v>
      </c>
      <c r="O37" s="15">
        <f>IF(B37="","",TEXT(B37,"yyyy-mm"))</f>
        <v>0</v>
      </c>
      <c r="P37" s="25">
        <f>IF(B37="","",WEEKNUM(B37,2))</f>
        <v>0</v>
      </c>
      <c r="Q37" s="38">
        <f>IF(B37="","",IF(E37="Tip","No",IF(E37="Refund","No","Yes")))</f>
        <v>0</v>
      </c>
      <c r="R37" s="25">
        <f>IF(B37="","",IF(E37="Refund",-1,1))</f>
        <v>0</v>
      </c>
      <c r="S37" s="26">
        <f>IF(B37="","",IF(G37="",0,IF(F37="Card",ROUND(G37*CardFeePercent+CardFeeFixed,2),IF(F37="Online deposit",ROUND(G37*CardFeePercent+CardFeeFixed,2),0))))</f>
        <v>0</v>
      </c>
      <c r="T37" s="26">
        <f>IF(B37="","",ROUND(IF(G37="",0,G37)*R37-S37,2))</f>
        <v>0</v>
      </c>
      <c r="U37" s="38">
        <f>IF(B37="","",IF(E37="Tip","Yes","No"))</f>
        <v>0</v>
      </c>
      <c r="V37" s="15">
        <f>IF(B37="","",IF(H37&lt;&gt;"","Sale "&amp;H37,IF(I37&lt;&gt;"","Booking "&amp;I37,IF(E37="Tip","Stylist","Unapplied"))))</f>
        <v>0</v>
      </c>
      <c r="W37" s="39">
        <f>IF(B37="","",IF(G37="","Add - no amount yet",IF(E37="","Add - what was this for?",IF(IF(H37="",FALSE,COUNTIF(Sales!$A$5:$A$1204,H37)=0),"Missing - no sale with that ID",IF(IF(I37="",FALSE,COUNTIF(Appointments!$A$5:$A$1204,I37)=0),"Missing - no booking with that ID",IF(IF(E37="Tip",J37="",FALSE),"Assign - whose tip is it?",IF(IF(E37="Deposit",IF(H37="",I37="",FALSE),FALSE),"Check - deposit not tied to a booking",IF(M37="No","Due - not reconciled yet","OK"))))))))</f>
        <v>0</v>
      </c>
    </row>
    <row r="38" spans="1:23">
      <c r="A38" s="28">
        <f>IF(B38="","",PaymentPrefix&amp;TEXT(ROW()-4,"0000"))</f>
        <v>0</v>
      </c>
      <c r="D38" s="15">
        <f>IF(C38="","",IFERROR(INDEX(Clients!$B$5:$B$504,MATCH(C38,Clients!$A$5:$A$504,0)),"Walk-in"))</f>
        <v>0</v>
      </c>
      <c r="K38" s="15">
        <f>IF(J38="","",IFERROR(INDEX(Staff!$B$5:$B$44,MATCH(J38,Staff!$A$5:$A$44,0)),""))</f>
        <v>0</v>
      </c>
      <c r="O38" s="15">
        <f>IF(B38="","",TEXT(B38,"yyyy-mm"))</f>
        <v>0</v>
      </c>
      <c r="P38" s="25">
        <f>IF(B38="","",WEEKNUM(B38,2))</f>
        <v>0</v>
      </c>
      <c r="Q38" s="38">
        <f>IF(B38="","",IF(E38="Tip","No",IF(E38="Refund","No","Yes")))</f>
        <v>0</v>
      </c>
      <c r="R38" s="25">
        <f>IF(B38="","",IF(E38="Refund",-1,1))</f>
        <v>0</v>
      </c>
      <c r="S38" s="26">
        <f>IF(B38="","",IF(G38="",0,IF(F38="Card",ROUND(G38*CardFeePercent+CardFeeFixed,2),IF(F38="Online deposit",ROUND(G38*CardFeePercent+CardFeeFixed,2),0))))</f>
        <v>0</v>
      </c>
      <c r="T38" s="26">
        <f>IF(B38="","",ROUND(IF(G38="",0,G38)*R38-S38,2))</f>
        <v>0</v>
      </c>
      <c r="U38" s="38">
        <f>IF(B38="","",IF(E38="Tip","Yes","No"))</f>
        <v>0</v>
      </c>
      <c r="V38" s="15">
        <f>IF(B38="","",IF(H38&lt;&gt;"","Sale "&amp;H38,IF(I38&lt;&gt;"","Booking "&amp;I38,IF(E38="Tip","Stylist","Unapplied"))))</f>
        <v>0</v>
      </c>
      <c r="W38" s="39">
        <f>IF(B38="","",IF(G38="","Add - no amount yet",IF(E38="","Add - what was this for?",IF(IF(H38="",FALSE,COUNTIF(Sales!$A$5:$A$1204,H38)=0),"Missing - no sale with that ID",IF(IF(I38="",FALSE,COUNTIF(Appointments!$A$5:$A$1204,I38)=0),"Missing - no booking with that ID",IF(IF(E38="Tip",J38="",FALSE),"Assign - whose tip is it?",IF(IF(E38="Deposit",IF(H38="",I38="",FALSE),FALSE),"Check - deposit not tied to a booking",IF(M38="No","Due - not reconciled yet","OK"))))))))</f>
        <v>0</v>
      </c>
    </row>
    <row r="39" spans="1:23">
      <c r="A39" s="28">
        <f>IF(B39="","",PaymentPrefix&amp;TEXT(ROW()-4,"0000"))</f>
        <v>0</v>
      </c>
      <c r="D39" s="15">
        <f>IF(C39="","",IFERROR(INDEX(Clients!$B$5:$B$504,MATCH(C39,Clients!$A$5:$A$504,0)),"Walk-in"))</f>
        <v>0</v>
      </c>
      <c r="K39" s="15">
        <f>IF(J39="","",IFERROR(INDEX(Staff!$B$5:$B$44,MATCH(J39,Staff!$A$5:$A$44,0)),""))</f>
        <v>0</v>
      </c>
      <c r="O39" s="15">
        <f>IF(B39="","",TEXT(B39,"yyyy-mm"))</f>
        <v>0</v>
      </c>
      <c r="P39" s="25">
        <f>IF(B39="","",WEEKNUM(B39,2))</f>
        <v>0</v>
      </c>
      <c r="Q39" s="38">
        <f>IF(B39="","",IF(E39="Tip","No",IF(E39="Refund","No","Yes")))</f>
        <v>0</v>
      </c>
      <c r="R39" s="25">
        <f>IF(B39="","",IF(E39="Refund",-1,1))</f>
        <v>0</v>
      </c>
      <c r="S39" s="26">
        <f>IF(B39="","",IF(G39="",0,IF(F39="Card",ROUND(G39*CardFeePercent+CardFeeFixed,2),IF(F39="Online deposit",ROUND(G39*CardFeePercent+CardFeeFixed,2),0))))</f>
        <v>0</v>
      </c>
      <c r="T39" s="26">
        <f>IF(B39="","",ROUND(IF(G39="",0,G39)*R39-S39,2))</f>
        <v>0</v>
      </c>
      <c r="U39" s="38">
        <f>IF(B39="","",IF(E39="Tip","Yes","No"))</f>
        <v>0</v>
      </c>
      <c r="V39" s="15">
        <f>IF(B39="","",IF(H39&lt;&gt;"","Sale "&amp;H39,IF(I39&lt;&gt;"","Booking "&amp;I39,IF(E39="Tip","Stylist","Unapplied"))))</f>
        <v>0</v>
      </c>
      <c r="W39" s="39">
        <f>IF(B39="","",IF(G39="","Add - no amount yet",IF(E39="","Add - what was this for?",IF(IF(H39="",FALSE,COUNTIF(Sales!$A$5:$A$1204,H39)=0),"Missing - no sale with that ID",IF(IF(I39="",FALSE,COUNTIF(Appointments!$A$5:$A$1204,I39)=0),"Missing - no booking with that ID",IF(IF(E39="Tip",J39="",FALSE),"Assign - whose tip is it?",IF(IF(E39="Deposit",IF(H39="",I39="",FALSE),FALSE),"Check - deposit not tied to a booking",IF(M39="No","Due - not reconciled yet","OK"))))))))</f>
        <v>0</v>
      </c>
    </row>
    <row r="40" spans="1:23">
      <c r="A40" s="28">
        <f>IF(B40="","",PaymentPrefix&amp;TEXT(ROW()-4,"0000"))</f>
        <v>0</v>
      </c>
      <c r="D40" s="15">
        <f>IF(C40="","",IFERROR(INDEX(Clients!$B$5:$B$504,MATCH(C40,Clients!$A$5:$A$504,0)),"Walk-in"))</f>
        <v>0</v>
      </c>
      <c r="K40" s="15">
        <f>IF(J40="","",IFERROR(INDEX(Staff!$B$5:$B$44,MATCH(J40,Staff!$A$5:$A$44,0)),""))</f>
        <v>0</v>
      </c>
      <c r="O40" s="15">
        <f>IF(B40="","",TEXT(B40,"yyyy-mm"))</f>
        <v>0</v>
      </c>
      <c r="P40" s="25">
        <f>IF(B40="","",WEEKNUM(B40,2))</f>
        <v>0</v>
      </c>
      <c r="Q40" s="38">
        <f>IF(B40="","",IF(E40="Tip","No",IF(E40="Refund","No","Yes")))</f>
        <v>0</v>
      </c>
      <c r="R40" s="25">
        <f>IF(B40="","",IF(E40="Refund",-1,1))</f>
        <v>0</v>
      </c>
      <c r="S40" s="26">
        <f>IF(B40="","",IF(G40="",0,IF(F40="Card",ROUND(G40*CardFeePercent+CardFeeFixed,2),IF(F40="Online deposit",ROUND(G40*CardFeePercent+CardFeeFixed,2),0))))</f>
        <v>0</v>
      </c>
      <c r="T40" s="26">
        <f>IF(B40="","",ROUND(IF(G40="",0,G40)*R40-S40,2))</f>
        <v>0</v>
      </c>
      <c r="U40" s="38">
        <f>IF(B40="","",IF(E40="Tip","Yes","No"))</f>
        <v>0</v>
      </c>
      <c r="V40" s="15">
        <f>IF(B40="","",IF(H40&lt;&gt;"","Sale "&amp;H40,IF(I40&lt;&gt;"","Booking "&amp;I40,IF(E40="Tip","Stylist","Unapplied"))))</f>
        <v>0</v>
      </c>
      <c r="W40" s="39">
        <f>IF(B40="","",IF(G40="","Add - no amount yet",IF(E40="","Add - what was this for?",IF(IF(H40="",FALSE,COUNTIF(Sales!$A$5:$A$1204,H40)=0),"Missing - no sale with that ID",IF(IF(I40="",FALSE,COUNTIF(Appointments!$A$5:$A$1204,I40)=0),"Missing - no booking with that ID",IF(IF(E40="Tip",J40="",FALSE),"Assign - whose tip is it?",IF(IF(E40="Deposit",IF(H40="",I40="",FALSE),FALSE),"Check - deposit not tied to a booking",IF(M40="No","Due - not reconciled yet","OK"))))))))</f>
        <v>0</v>
      </c>
    </row>
    <row r="41" spans="1:23">
      <c r="A41" s="28">
        <f>IF(B41="","",PaymentPrefix&amp;TEXT(ROW()-4,"0000"))</f>
        <v>0</v>
      </c>
      <c r="D41" s="15">
        <f>IF(C41="","",IFERROR(INDEX(Clients!$B$5:$B$504,MATCH(C41,Clients!$A$5:$A$504,0)),"Walk-in"))</f>
        <v>0</v>
      </c>
      <c r="K41" s="15">
        <f>IF(J41="","",IFERROR(INDEX(Staff!$B$5:$B$44,MATCH(J41,Staff!$A$5:$A$44,0)),""))</f>
        <v>0</v>
      </c>
      <c r="O41" s="15">
        <f>IF(B41="","",TEXT(B41,"yyyy-mm"))</f>
        <v>0</v>
      </c>
      <c r="P41" s="25">
        <f>IF(B41="","",WEEKNUM(B41,2))</f>
        <v>0</v>
      </c>
      <c r="Q41" s="38">
        <f>IF(B41="","",IF(E41="Tip","No",IF(E41="Refund","No","Yes")))</f>
        <v>0</v>
      </c>
      <c r="R41" s="25">
        <f>IF(B41="","",IF(E41="Refund",-1,1))</f>
        <v>0</v>
      </c>
      <c r="S41" s="26">
        <f>IF(B41="","",IF(G41="",0,IF(F41="Card",ROUND(G41*CardFeePercent+CardFeeFixed,2),IF(F41="Online deposit",ROUND(G41*CardFeePercent+CardFeeFixed,2),0))))</f>
        <v>0</v>
      </c>
      <c r="T41" s="26">
        <f>IF(B41="","",ROUND(IF(G41="",0,G41)*R41-S41,2))</f>
        <v>0</v>
      </c>
      <c r="U41" s="38">
        <f>IF(B41="","",IF(E41="Tip","Yes","No"))</f>
        <v>0</v>
      </c>
      <c r="V41" s="15">
        <f>IF(B41="","",IF(H41&lt;&gt;"","Sale "&amp;H41,IF(I41&lt;&gt;"","Booking "&amp;I41,IF(E41="Tip","Stylist","Unapplied"))))</f>
        <v>0</v>
      </c>
      <c r="W41" s="39">
        <f>IF(B41="","",IF(G41="","Add - no amount yet",IF(E41="","Add - what was this for?",IF(IF(H41="",FALSE,COUNTIF(Sales!$A$5:$A$1204,H41)=0),"Missing - no sale with that ID",IF(IF(I41="",FALSE,COUNTIF(Appointments!$A$5:$A$1204,I41)=0),"Missing - no booking with that ID",IF(IF(E41="Tip",J41="",FALSE),"Assign - whose tip is it?",IF(IF(E41="Deposit",IF(H41="",I41="",FALSE),FALSE),"Check - deposit not tied to a booking",IF(M41="No","Due - not reconciled yet","OK"))))))))</f>
        <v>0</v>
      </c>
    </row>
    <row r="42" spans="1:23">
      <c r="A42" s="28">
        <f>IF(B42="","",PaymentPrefix&amp;TEXT(ROW()-4,"0000"))</f>
        <v>0</v>
      </c>
      <c r="D42" s="15">
        <f>IF(C42="","",IFERROR(INDEX(Clients!$B$5:$B$504,MATCH(C42,Clients!$A$5:$A$504,0)),"Walk-in"))</f>
        <v>0</v>
      </c>
      <c r="K42" s="15">
        <f>IF(J42="","",IFERROR(INDEX(Staff!$B$5:$B$44,MATCH(J42,Staff!$A$5:$A$44,0)),""))</f>
        <v>0</v>
      </c>
      <c r="O42" s="15">
        <f>IF(B42="","",TEXT(B42,"yyyy-mm"))</f>
        <v>0</v>
      </c>
      <c r="P42" s="25">
        <f>IF(B42="","",WEEKNUM(B42,2))</f>
        <v>0</v>
      </c>
      <c r="Q42" s="38">
        <f>IF(B42="","",IF(E42="Tip","No",IF(E42="Refund","No","Yes")))</f>
        <v>0</v>
      </c>
      <c r="R42" s="25">
        <f>IF(B42="","",IF(E42="Refund",-1,1))</f>
        <v>0</v>
      </c>
      <c r="S42" s="26">
        <f>IF(B42="","",IF(G42="",0,IF(F42="Card",ROUND(G42*CardFeePercent+CardFeeFixed,2),IF(F42="Online deposit",ROUND(G42*CardFeePercent+CardFeeFixed,2),0))))</f>
        <v>0</v>
      </c>
      <c r="T42" s="26">
        <f>IF(B42="","",ROUND(IF(G42="",0,G42)*R42-S42,2))</f>
        <v>0</v>
      </c>
      <c r="U42" s="38">
        <f>IF(B42="","",IF(E42="Tip","Yes","No"))</f>
        <v>0</v>
      </c>
      <c r="V42" s="15">
        <f>IF(B42="","",IF(H42&lt;&gt;"","Sale "&amp;H42,IF(I42&lt;&gt;"","Booking "&amp;I42,IF(E42="Tip","Stylist","Unapplied"))))</f>
        <v>0</v>
      </c>
      <c r="W42" s="39">
        <f>IF(B42="","",IF(G42="","Add - no amount yet",IF(E42="","Add - what was this for?",IF(IF(H42="",FALSE,COUNTIF(Sales!$A$5:$A$1204,H42)=0),"Missing - no sale with that ID",IF(IF(I42="",FALSE,COUNTIF(Appointments!$A$5:$A$1204,I42)=0),"Missing - no booking with that ID",IF(IF(E42="Tip",J42="",FALSE),"Assign - whose tip is it?",IF(IF(E42="Deposit",IF(H42="",I42="",FALSE),FALSE),"Check - deposit not tied to a booking",IF(M42="No","Due - not reconciled yet","OK"))))))))</f>
        <v>0</v>
      </c>
    </row>
    <row r="43" spans="1:23">
      <c r="A43" s="28">
        <f>IF(B43="","",PaymentPrefix&amp;TEXT(ROW()-4,"0000"))</f>
        <v>0</v>
      </c>
      <c r="D43" s="15">
        <f>IF(C43="","",IFERROR(INDEX(Clients!$B$5:$B$504,MATCH(C43,Clients!$A$5:$A$504,0)),"Walk-in"))</f>
        <v>0</v>
      </c>
      <c r="K43" s="15">
        <f>IF(J43="","",IFERROR(INDEX(Staff!$B$5:$B$44,MATCH(J43,Staff!$A$5:$A$44,0)),""))</f>
        <v>0</v>
      </c>
      <c r="O43" s="15">
        <f>IF(B43="","",TEXT(B43,"yyyy-mm"))</f>
        <v>0</v>
      </c>
      <c r="P43" s="25">
        <f>IF(B43="","",WEEKNUM(B43,2))</f>
        <v>0</v>
      </c>
      <c r="Q43" s="38">
        <f>IF(B43="","",IF(E43="Tip","No",IF(E43="Refund","No","Yes")))</f>
        <v>0</v>
      </c>
      <c r="R43" s="25">
        <f>IF(B43="","",IF(E43="Refund",-1,1))</f>
        <v>0</v>
      </c>
      <c r="S43" s="26">
        <f>IF(B43="","",IF(G43="",0,IF(F43="Card",ROUND(G43*CardFeePercent+CardFeeFixed,2),IF(F43="Online deposit",ROUND(G43*CardFeePercent+CardFeeFixed,2),0))))</f>
        <v>0</v>
      </c>
      <c r="T43" s="26">
        <f>IF(B43="","",ROUND(IF(G43="",0,G43)*R43-S43,2))</f>
        <v>0</v>
      </c>
      <c r="U43" s="38">
        <f>IF(B43="","",IF(E43="Tip","Yes","No"))</f>
        <v>0</v>
      </c>
      <c r="V43" s="15">
        <f>IF(B43="","",IF(H43&lt;&gt;"","Sale "&amp;H43,IF(I43&lt;&gt;"","Booking "&amp;I43,IF(E43="Tip","Stylist","Unapplied"))))</f>
        <v>0</v>
      </c>
      <c r="W43" s="39">
        <f>IF(B43="","",IF(G43="","Add - no amount yet",IF(E43="","Add - what was this for?",IF(IF(H43="",FALSE,COUNTIF(Sales!$A$5:$A$1204,H43)=0),"Missing - no sale with that ID",IF(IF(I43="",FALSE,COUNTIF(Appointments!$A$5:$A$1204,I43)=0),"Missing - no booking with that ID",IF(IF(E43="Tip",J43="",FALSE),"Assign - whose tip is it?",IF(IF(E43="Deposit",IF(H43="",I43="",FALSE),FALSE),"Check - deposit not tied to a booking",IF(M43="No","Due - not reconciled yet","OK"))))))))</f>
        <v>0</v>
      </c>
    </row>
    <row r="44" spans="1:23">
      <c r="A44" s="28">
        <f>IF(B44="","",PaymentPrefix&amp;TEXT(ROW()-4,"0000"))</f>
        <v>0</v>
      </c>
      <c r="D44" s="15">
        <f>IF(C44="","",IFERROR(INDEX(Clients!$B$5:$B$504,MATCH(C44,Clients!$A$5:$A$504,0)),"Walk-in"))</f>
        <v>0</v>
      </c>
      <c r="K44" s="15">
        <f>IF(J44="","",IFERROR(INDEX(Staff!$B$5:$B$44,MATCH(J44,Staff!$A$5:$A$44,0)),""))</f>
        <v>0</v>
      </c>
      <c r="O44" s="15">
        <f>IF(B44="","",TEXT(B44,"yyyy-mm"))</f>
        <v>0</v>
      </c>
      <c r="P44" s="25">
        <f>IF(B44="","",WEEKNUM(B44,2))</f>
        <v>0</v>
      </c>
      <c r="Q44" s="38">
        <f>IF(B44="","",IF(E44="Tip","No",IF(E44="Refund","No","Yes")))</f>
        <v>0</v>
      </c>
      <c r="R44" s="25">
        <f>IF(B44="","",IF(E44="Refund",-1,1))</f>
        <v>0</v>
      </c>
      <c r="S44" s="26">
        <f>IF(B44="","",IF(G44="",0,IF(F44="Card",ROUND(G44*CardFeePercent+CardFeeFixed,2),IF(F44="Online deposit",ROUND(G44*CardFeePercent+CardFeeFixed,2),0))))</f>
        <v>0</v>
      </c>
      <c r="T44" s="26">
        <f>IF(B44="","",ROUND(IF(G44="",0,G44)*R44-S44,2))</f>
        <v>0</v>
      </c>
      <c r="U44" s="38">
        <f>IF(B44="","",IF(E44="Tip","Yes","No"))</f>
        <v>0</v>
      </c>
      <c r="V44" s="15">
        <f>IF(B44="","",IF(H44&lt;&gt;"","Sale "&amp;H44,IF(I44&lt;&gt;"","Booking "&amp;I44,IF(E44="Tip","Stylist","Unapplied"))))</f>
        <v>0</v>
      </c>
      <c r="W44" s="39">
        <f>IF(B44="","",IF(G44="","Add - no amount yet",IF(E44="","Add - what was this for?",IF(IF(H44="",FALSE,COUNTIF(Sales!$A$5:$A$1204,H44)=0),"Missing - no sale with that ID",IF(IF(I44="",FALSE,COUNTIF(Appointments!$A$5:$A$1204,I44)=0),"Missing - no booking with that ID",IF(IF(E44="Tip",J44="",FALSE),"Assign - whose tip is it?",IF(IF(E44="Deposit",IF(H44="",I44="",FALSE),FALSE),"Check - deposit not tied to a booking",IF(M44="No","Due - not reconciled yet","OK"))))))))</f>
        <v>0</v>
      </c>
    </row>
    <row r="45" spans="1:23">
      <c r="A45" s="28">
        <f>IF(B45="","",PaymentPrefix&amp;TEXT(ROW()-4,"0000"))</f>
        <v>0</v>
      </c>
      <c r="D45" s="15">
        <f>IF(C45="","",IFERROR(INDEX(Clients!$B$5:$B$504,MATCH(C45,Clients!$A$5:$A$504,0)),"Walk-in"))</f>
        <v>0</v>
      </c>
      <c r="K45" s="15">
        <f>IF(J45="","",IFERROR(INDEX(Staff!$B$5:$B$44,MATCH(J45,Staff!$A$5:$A$44,0)),""))</f>
        <v>0</v>
      </c>
      <c r="O45" s="15">
        <f>IF(B45="","",TEXT(B45,"yyyy-mm"))</f>
        <v>0</v>
      </c>
      <c r="P45" s="25">
        <f>IF(B45="","",WEEKNUM(B45,2))</f>
        <v>0</v>
      </c>
      <c r="Q45" s="38">
        <f>IF(B45="","",IF(E45="Tip","No",IF(E45="Refund","No","Yes")))</f>
        <v>0</v>
      </c>
      <c r="R45" s="25">
        <f>IF(B45="","",IF(E45="Refund",-1,1))</f>
        <v>0</v>
      </c>
      <c r="S45" s="26">
        <f>IF(B45="","",IF(G45="",0,IF(F45="Card",ROUND(G45*CardFeePercent+CardFeeFixed,2),IF(F45="Online deposit",ROUND(G45*CardFeePercent+CardFeeFixed,2),0))))</f>
        <v>0</v>
      </c>
      <c r="T45" s="26">
        <f>IF(B45="","",ROUND(IF(G45="",0,G45)*R45-S45,2))</f>
        <v>0</v>
      </c>
      <c r="U45" s="38">
        <f>IF(B45="","",IF(E45="Tip","Yes","No"))</f>
        <v>0</v>
      </c>
      <c r="V45" s="15">
        <f>IF(B45="","",IF(H45&lt;&gt;"","Sale "&amp;H45,IF(I45&lt;&gt;"","Booking "&amp;I45,IF(E45="Tip","Stylist","Unapplied"))))</f>
        <v>0</v>
      </c>
      <c r="W45" s="39">
        <f>IF(B45="","",IF(G45="","Add - no amount yet",IF(E45="","Add - what was this for?",IF(IF(H45="",FALSE,COUNTIF(Sales!$A$5:$A$1204,H45)=0),"Missing - no sale with that ID",IF(IF(I45="",FALSE,COUNTIF(Appointments!$A$5:$A$1204,I45)=0),"Missing - no booking with that ID",IF(IF(E45="Tip",J45="",FALSE),"Assign - whose tip is it?",IF(IF(E45="Deposit",IF(H45="",I45="",FALSE),FALSE),"Check - deposit not tied to a booking",IF(M45="No","Due - not reconciled yet","OK"))))))))</f>
        <v>0</v>
      </c>
    </row>
    <row r="46" spans="1:23">
      <c r="A46" s="28">
        <f>IF(B46="","",PaymentPrefix&amp;TEXT(ROW()-4,"0000"))</f>
        <v>0</v>
      </c>
      <c r="D46" s="15">
        <f>IF(C46="","",IFERROR(INDEX(Clients!$B$5:$B$504,MATCH(C46,Clients!$A$5:$A$504,0)),"Walk-in"))</f>
        <v>0</v>
      </c>
      <c r="K46" s="15">
        <f>IF(J46="","",IFERROR(INDEX(Staff!$B$5:$B$44,MATCH(J46,Staff!$A$5:$A$44,0)),""))</f>
        <v>0</v>
      </c>
      <c r="O46" s="15">
        <f>IF(B46="","",TEXT(B46,"yyyy-mm"))</f>
        <v>0</v>
      </c>
      <c r="P46" s="25">
        <f>IF(B46="","",WEEKNUM(B46,2))</f>
        <v>0</v>
      </c>
      <c r="Q46" s="38">
        <f>IF(B46="","",IF(E46="Tip","No",IF(E46="Refund","No","Yes")))</f>
        <v>0</v>
      </c>
      <c r="R46" s="25">
        <f>IF(B46="","",IF(E46="Refund",-1,1))</f>
        <v>0</v>
      </c>
      <c r="S46" s="26">
        <f>IF(B46="","",IF(G46="",0,IF(F46="Card",ROUND(G46*CardFeePercent+CardFeeFixed,2),IF(F46="Online deposit",ROUND(G46*CardFeePercent+CardFeeFixed,2),0))))</f>
        <v>0</v>
      </c>
      <c r="T46" s="26">
        <f>IF(B46="","",ROUND(IF(G46="",0,G46)*R46-S46,2))</f>
        <v>0</v>
      </c>
      <c r="U46" s="38">
        <f>IF(B46="","",IF(E46="Tip","Yes","No"))</f>
        <v>0</v>
      </c>
      <c r="V46" s="15">
        <f>IF(B46="","",IF(H46&lt;&gt;"","Sale "&amp;H46,IF(I46&lt;&gt;"","Booking "&amp;I46,IF(E46="Tip","Stylist","Unapplied"))))</f>
        <v>0</v>
      </c>
      <c r="W46" s="39">
        <f>IF(B46="","",IF(G46="","Add - no amount yet",IF(E46="","Add - what was this for?",IF(IF(H46="",FALSE,COUNTIF(Sales!$A$5:$A$1204,H46)=0),"Missing - no sale with that ID",IF(IF(I46="",FALSE,COUNTIF(Appointments!$A$5:$A$1204,I46)=0),"Missing - no booking with that ID",IF(IF(E46="Tip",J46="",FALSE),"Assign - whose tip is it?",IF(IF(E46="Deposit",IF(H46="",I46="",FALSE),FALSE),"Check - deposit not tied to a booking",IF(M46="No","Due - not reconciled yet","OK"))))))))</f>
        <v>0</v>
      </c>
    </row>
    <row r="47" spans="1:23">
      <c r="A47" s="28">
        <f>IF(B47="","",PaymentPrefix&amp;TEXT(ROW()-4,"0000"))</f>
        <v>0</v>
      </c>
      <c r="D47" s="15">
        <f>IF(C47="","",IFERROR(INDEX(Clients!$B$5:$B$504,MATCH(C47,Clients!$A$5:$A$504,0)),"Walk-in"))</f>
        <v>0</v>
      </c>
      <c r="K47" s="15">
        <f>IF(J47="","",IFERROR(INDEX(Staff!$B$5:$B$44,MATCH(J47,Staff!$A$5:$A$44,0)),""))</f>
        <v>0</v>
      </c>
      <c r="O47" s="15">
        <f>IF(B47="","",TEXT(B47,"yyyy-mm"))</f>
        <v>0</v>
      </c>
      <c r="P47" s="25">
        <f>IF(B47="","",WEEKNUM(B47,2))</f>
        <v>0</v>
      </c>
      <c r="Q47" s="38">
        <f>IF(B47="","",IF(E47="Tip","No",IF(E47="Refund","No","Yes")))</f>
        <v>0</v>
      </c>
      <c r="R47" s="25">
        <f>IF(B47="","",IF(E47="Refund",-1,1))</f>
        <v>0</v>
      </c>
      <c r="S47" s="26">
        <f>IF(B47="","",IF(G47="",0,IF(F47="Card",ROUND(G47*CardFeePercent+CardFeeFixed,2),IF(F47="Online deposit",ROUND(G47*CardFeePercent+CardFeeFixed,2),0))))</f>
        <v>0</v>
      </c>
      <c r="T47" s="26">
        <f>IF(B47="","",ROUND(IF(G47="",0,G47)*R47-S47,2))</f>
        <v>0</v>
      </c>
      <c r="U47" s="38">
        <f>IF(B47="","",IF(E47="Tip","Yes","No"))</f>
        <v>0</v>
      </c>
      <c r="V47" s="15">
        <f>IF(B47="","",IF(H47&lt;&gt;"","Sale "&amp;H47,IF(I47&lt;&gt;"","Booking "&amp;I47,IF(E47="Tip","Stylist","Unapplied"))))</f>
        <v>0</v>
      </c>
      <c r="W47" s="39">
        <f>IF(B47="","",IF(G47="","Add - no amount yet",IF(E47="","Add - what was this for?",IF(IF(H47="",FALSE,COUNTIF(Sales!$A$5:$A$1204,H47)=0),"Missing - no sale with that ID",IF(IF(I47="",FALSE,COUNTIF(Appointments!$A$5:$A$1204,I47)=0),"Missing - no booking with that ID",IF(IF(E47="Tip",J47="",FALSE),"Assign - whose tip is it?",IF(IF(E47="Deposit",IF(H47="",I47="",FALSE),FALSE),"Check - deposit not tied to a booking",IF(M47="No","Due - not reconciled yet","OK"))))))))</f>
        <v>0</v>
      </c>
    </row>
    <row r="48" spans="1:23">
      <c r="A48" s="28">
        <f>IF(B48="","",PaymentPrefix&amp;TEXT(ROW()-4,"0000"))</f>
        <v>0</v>
      </c>
      <c r="D48" s="15">
        <f>IF(C48="","",IFERROR(INDEX(Clients!$B$5:$B$504,MATCH(C48,Clients!$A$5:$A$504,0)),"Walk-in"))</f>
        <v>0</v>
      </c>
      <c r="K48" s="15">
        <f>IF(J48="","",IFERROR(INDEX(Staff!$B$5:$B$44,MATCH(J48,Staff!$A$5:$A$44,0)),""))</f>
        <v>0</v>
      </c>
      <c r="O48" s="15">
        <f>IF(B48="","",TEXT(B48,"yyyy-mm"))</f>
        <v>0</v>
      </c>
      <c r="P48" s="25">
        <f>IF(B48="","",WEEKNUM(B48,2))</f>
        <v>0</v>
      </c>
      <c r="Q48" s="38">
        <f>IF(B48="","",IF(E48="Tip","No",IF(E48="Refund","No","Yes")))</f>
        <v>0</v>
      </c>
      <c r="R48" s="25">
        <f>IF(B48="","",IF(E48="Refund",-1,1))</f>
        <v>0</v>
      </c>
      <c r="S48" s="26">
        <f>IF(B48="","",IF(G48="",0,IF(F48="Card",ROUND(G48*CardFeePercent+CardFeeFixed,2),IF(F48="Online deposit",ROUND(G48*CardFeePercent+CardFeeFixed,2),0))))</f>
        <v>0</v>
      </c>
      <c r="T48" s="26">
        <f>IF(B48="","",ROUND(IF(G48="",0,G48)*R48-S48,2))</f>
        <v>0</v>
      </c>
      <c r="U48" s="38">
        <f>IF(B48="","",IF(E48="Tip","Yes","No"))</f>
        <v>0</v>
      </c>
      <c r="V48" s="15">
        <f>IF(B48="","",IF(H48&lt;&gt;"","Sale "&amp;H48,IF(I48&lt;&gt;"","Booking "&amp;I48,IF(E48="Tip","Stylist","Unapplied"))))</f>
        <v>0</v>
      </c>
      <c r="W48" s="39">
        <f>IF(B48="","",IF(G48="","Add - no amount yet",IF(E48="","Add - what was this for?",IF(IF(H48="",FALSE,COUNTIF(Sales!$A$5:$A$1204,H48)=0),"Missing - no sale with that ID",IF(IF(I48="",FALSE,COUNTIF(Appointments!$A$5:$A$1204,I48)=0),"Missing - no booking with that ID",IF(IF(E48="Tip",J48="",FALSE),"Assign - whose tip is it?",IF(IF(E48="Deposit",IF(H48="",I48="",FALSE),FALSE),"Check - deposit not tied to a booking",IF(M48="No","Due - not reconciled yet","OK"))))))))</f>
        <v>0</v>
      </c>
    </row>
    <row r="49" spans="1:23">
      <c r="A49" s="28">
        <f>IF(B49="","",PaymentPrefix&amp;TEXT(ROW()-4,"0000"))</f>
        <v>0</v>
      </c>
      <c r="D49" s="15">
        <f>IF(C49="","",IFERROR(INDEX(Clients!$B$5:$B$504,MATCH(C49,Clients!$A$5:$A$504,0)),"Walk-in"))</f>
        <v>0</v>
      </c>
      <c r="K49" s="15">
        <f>IF(J49="","",IFERROR(INDEX(Staff!$B$5:$B$44,MATCH(J49,Staff!$A$5:$A$44,0)),""))</f>
        <v>0</v>
      </c>
      <c r="O49" s="15">
        <f>IF(B49="","",TEXT(B49,"yyyy-mm"))</f>
        <v>0</v>
      </c>
      <c r="P49" s="25">
        <f>IF(B49="","",WEEKNUM(B49,2))</f>
        <v>0</v>
      </c>
      <c r="Q49" s="38">
        <f>IF(B49="","",IF(E49="Tip","No",IF(E49="Refund","No","Yes")))</f>
        <v>0</v>
      </c>
      <c r="R49" s="25">
        <f>IF(B49="","",IF(E49="Refund",-1,1))</f>
        <v>0</v>
      </c>
      <c r="S49" s="26">
        <f>IF(B49="","",IF(G49="",0,IF(F49="Card",ROUND(G49*CardFeePercent+CardFeeFixed,2),IF(F49="Online deposit",ROUND(G49*CardFeePercent+CardFeeFixed,2),0))))</f>
        <v>0</v>
      </c>
      <c r="T49" s="26">
        <f>IF(B49="","",ROUND(IF(G49="",0,G49)*R49-S49,2))</f>
        <v>0</v>
      </c>
      <c r="U49" s="38">
        <f>IF(B49="","",IF(E49="Tip","Yes","No"))</f>
        <v>0</v>
      </c>
      <c r="V49" s="15">
        <f>IF(B49="","",IF(H49&lt;&gt;"","Sale "&amp;H49,IF(I49&lt;&gt;"","Booking "&amp;I49,IF(E49="Tip","Stylist","Unapplied"))))</f>
        <v>0</v>
      </c>
      <c r="W49" s="39">
        <f>IF(B49="","",IF(G49="","Add - no amount yet",IF(E49="","Add - what was this for?",IF(IF(H49="",FALSE,COUNTIF(Sales!$A$5:$A$1204,H49)=0),"Missing - no sale with that ID",IF(IF(I49="",FALSE,COUNTIF(Appointments!$A$5:$A$1204,I49)=0),"Missing - no booking with that ID",IF(IF(E49="Tip",J49="",FALSE),"Assign - whose tip is it?",IF(IF(E49="Deposit",IF(H49="",I49="",FALSE),FALSE),"Check - deposit not tied to a booking",IF(M49="No","Due - not reconciled yet","OK"))))))))</f>
        <v>0</v>
      </c>
    </row>
    <row r="50" spans="1:23">
      <c r="A50" s="28">
        <f>IF(B50="","",PaymentPrefix&amp;TEXT(ROW()-4,"0000"))</f>
        <v>0</v>
      </c>
      <c r="D50" s="15">
        <f>IF(C50="","",IFERROR(INDEX(Clients!$B$5:$B$504,MATCH(C50,Clients!$A$5:$A$504,0)),"Walk-in"))</f>
        <v>0</v>
      </c>
      <c r="K50" s="15">
        <f>IF(J50="","",IFERROR(INDEX(Staff!$B$5:$B$44,MATCH(J50,Staff!$A$5:$A$44,0)),""))</f>
        <v>0</v>
      </c>
      <c r="O50" s="15">
        <f>IF(B50="","",TEXT(B50,"yyyy-mm"))</f>
        <v>0</v>
      </c>
      <c r="P50" s="25">
        <f>IF(B50="","",WEEKNUM(B50,2))</f>
        <v>0</v>
      </c>
      <c r="Q50" s="38">
        <f>IF(B50="","",IF(E50="Tip","No",IF(E50="Refund","No","Yes")))</f>
        <v>0</v>
      </c>
      <c r="R50" s="25">
        <f>IF(B50="","",IF(E50="Refund",-1,1))</f>
        <v>0</v>
      </c>
      <c r="S50" s="26">
        <f>IF(B50="","",IF(G50="",0,IF(F50="Card",ROUND(G50*CardFeePercent+CardFeeFixed,2),IF(F50="Online deposit",ROUND(G50*CardFeePercent+CardFeeFixed,2),0))))</f>
        <v>0</v>
      </c>
      <c r="T50" s="26">
        <f>IF(B50="","",ROUND(IF(G50="",0,G50)*R50-S50,2))</f>
        <v>0</v>
      </c>
      <c r="U50" s="38">
        <f>IF(B50="","",IF(E50="Tip","Yes","No"))</f>
        <v>0</v>
      </c>
      <c r="V50" s="15">
        <f>IF(B50="","",IF(H50&lt;&gt;"","Sale "&amp;H50,IF(I50&lt;&gt;"","Booking "&amp;I50,IF(E50="Tip","Stylist","Unapplied"))))</f>
        <v>0</v>
      </c>
      <c r="W50" s="39">
        <f>IF(B50="","",IF(G50="","Add - no amount yet",IF(E50="","Add - what was this for?",IF(IF(H50="",FALSE,COUNTIF(Sales!$A$5:$A$1204,H50)=0),"Missing - no sale with that ID",IF(IF(I50="",FALSE,COUNTIF(Appointments!$A$5:$A$1204,I50)=0),"Missing - no booking with that ID",IF(IF(E50="Tip",J50="",FALSE),"Assign - whose tip is it?",IF(IF(E50="Deposit",IF(H50="",I50="",FALSE),FALSE),"Check - deposit not tied to a booking",IF(M50="No","Due - not reconciled yet","OK"))))))))</f>
        <v>0</v>
      </c>
    </row>
    <row r="51" spans="1:23">
      <c r="A51" s="28">
        <f>IF(B51="","",PaymentPrefix&amp;TEXT(ROW()-4,"0000"))</f>
        <v>0</v>
      </c>
      <c r="D51" s="15">
        <f>IF(C51="","",IFERROR(INDEX(Clients!$B$5:$B$504,MATCH(C51,Clients!$A$5:$A$504,0)),"Walk-in"))</f>
        <v>0</v>
      </c>
      <c r="K51" s="15">
        <f>IF(J51="","",IFERROR(INDEX(Staff!$B$5:$B$44,MATCH(J51,Staff!$A$5:$A$44,0)),""))</f>
        <v>0</v>
      </c>
      <c r="O51" s="15">
        <f>IF(B51="","",TEXT(B51,"yyyy-mm"))</f>
        <v>0</v>
      </c>
      <c r="P51" s="25">
        <f>IF(B51="","",WEEKNUM(B51,2))</f>
        <v>0</v>
      </c>
      <c r="Q51" s="38">
        <f>IF(B51="","",IF(E51="Tip","No",IF(E51="Refund","No","Yes")))</f>
        <v>0</v>
      </c>
      <c r="R51" s="25">
        <f>IF(B51="","",IF(E51="Refund",-1,1))</f>
        <v>0</v>
      </c>
      <c r="S51" s="26">
        <f>IF(B51="","",IF(G51="",0,IF(F51="Card",ROUND(G51*CardFeePercent+CardFeeFixed,2),IF(F51="Online deposit",ROUND(G51*CardFeePercent+CardFeeFixed,2),0))))</f>
        <v>0</v>
      </c>
      <c r="T51" s="26">
        <f>IF(B51="","",ROUND(IF(G51="",0,G51)*R51-S51,2))</f>
        <v>0</v>
      </c>
      <c r="U51" s="38">
        <f>IF(B51="","",IF(E51="Tip","Yes","No"))</f>
        <v>0</v>
      </c>
      <c r="V51" s="15">
        <f>IF(B51="","",IF(H51&lt;&gt;"","Sale "&amp;H51,IF(I51&lt;&gt;"","Booking "&amp;I51,IF(E51="Tip","Stylist","Unapplied"))))</f>
        <v>0</v>
      </c>
      <c r="W51" s="39">
        <f>IF(B51="","",IF(G51="","Add - no amount yet",IF(E51="","Add - what was this for?",IF(IF(H51="",FALSE,COUNTIF(Sales!$A$5:$A$1204,H51)=0),"Missing - no sale with that ID",IF(IF(I51="",FALSE,COUNTIF(Appointments!$A$5:$A$1204,I51)=0),"Missing - no booking with that ID",IF(IF(E51="Tip",J51="",FALSE),"Assign - whose tip is it?",IF(IF(E51="Deposit",IF(H51="",I51="",FALSE),FALSE),"Check - deposit not tied to a booking",IF(M51="No","Due - not reconciled yet","OK"))))))))</f>
        <v>0</v>
      </c>
    </row>
    <row r="52" spans="1:23">
      <c r="A52" s="28">
        <f>IF(B52="","",PaymentPrefix&amp;TEXT(ROW()-4,"0000"))</f>
        <v>0</v>
      </c>
      <c r="D52" s="15">
        <f>IF(C52="","",IFERROR(INDEX(Clients!$B$5:$B$504,MATCH(C52,Clients!$A$5:$A$504,0)),"Walk-in"))</f>
        <v>0</v>
      </c>
      <c r="K52" s="15">
        <f>IF(J52="","",IFERROR(INDEX(Staff!$B$5:$B$44,MATCH(J52,Staff!$A$5:$A$44,0)),""))</f>
        <v>0</v>
      </c>
      <c r="O52" s="15">
        <f>IF(B52="","",TEXT(B52,"yyyy-mm"))</f>
        <v>0</v>
      </c>
      <c r="P52" s="25">
        <f>IF(B52="","",WEEKNUM(B52,2))</f>
        <v>0</v>
      </c>
      <c r="Q52" s="38">
        <f>IF(B52="","",IF(E52="Tip","No",IF(E52="Refund","No","Yes")))</f>
        <v>0</v>
      </c>
      <c r="R52" s="25">
        <f>IF(B52="","",IF(E52="Refund",-1,1))</f>
        <v>0</v>
      </c>
      <c r="S52" s="26">
        <f>IF(B52="","",IF(G52="",0,IF(F52="Card",ROUND(G52*CardFeePercent+CardFeeFixed,2),IF(F52="Online deposit",ROUND(G52*CardFeePercent+CardFeeFixed,2),0))))</f>
        <v>0</v>
      </c>
      <c r="T52" s="26">
        <f>IF(B52="","",ROUND(IF(G52="",0,G52)*R52-S52,2))</f>
        <v>0</v>
      </c>
      <c r="U52" s="38">
        <f>IF(B52="","",IF(E52="Tip","Yes","No"))</f>
        <v>0</v>
      </c>
      <c r="V52" s="15">
        <f>IF(B52="","",IF(H52&lt;&gt;"","Sale "&amp;H52,IF(I52&lt;&gt;"","Booking "&amp;I52,IF(E52="Tip","Stylist","Unapplied"))))</f>
        <v>0</v>
      </c>
      <c r="W52" s="39">
        <f>IF(B52="","",IF(G52="","Add - no amount yet",IF(E52="","Add - what was this for?",IF(IF(H52="",FALSE,COUNTIF(Sales!$A$5:$A$1204,H52)=0),"Missing - no sale with that ID",IF(IF(I52="",FALSE,COUNTIF(Appointments!$A$5:$A$1204,I52)=0),"Missing - no booking with that ID",IF(IF(E52="Tip",J52="",FALSE),"Assign - whose tip is it?",IF(IF(E52="Deposit",IF(H52="",I52="",FALSE),FALSE),"Check - deposit not tied to a booking",IF(M52="No","Due - not reconciled yet","OK"))))))))</f>
        <v>0</v>
      </c>
    </row>
    <row r="53" spans="1:23">
      <c r="A53" s="28">
        <f>IF(B53="","",PaymentPrefix&amp;TEXT(ROW()-4,"0000"))</f>
        <v>0</v>
      </c>
      <c r="D53" s="15">
        <f>IF(C53="","",IFERROR(INDEX(Clients!$B$5:$B$504,MATCH(C53,Clients!$A$5:$A$504,0)),"Walk-in"))</f>
        <v>0</v>
      </c>
      <c r="K53" s="15">
        <f>IF(J53="","",IFERROR(INDEX(Staff!$B$5:$B$44,MATCH(J53,Staff!$A$5:$A$44,0)),""))</f>
        <v>0</v>
      </c>
      <c r="O53" s="15">
        <f>IF(B53="","",TEXT(B53,"yyyy-mm"))</f>
        <v>0</v>
      </c>
      <c r="P53" s="25">
        <f>IF(B53="","",WEEKNUM(B53,2))</f>
        <v>0</v>
      </c>
      <c r="Q53" s="38">
        <f>IF(B53="","",IF(E53="Tip","No",IF(E53="Refund","No","Yes")))</f>
        <v>0</v>
      </c>
      <c r="R53" s="25">
        <f>IF(B53="","",IF(E53="Refund",-1,1))</f>
        <v>0</v>
      </c>
      <c r="S53" s="26">
        <f>IF(B53="","",IF(G53="",0,IF(F53="Card",ROUND(G53*CardFeePercent+CardFeeFixed,2),IF(F53="Online deposit",ROUND(G53*CardFeePercent+CardFeeFixed,2),0))))</f>
        <v>0</v>
      </c>
      <c r="T53" s="26">
        <f>IF(B53="","",ROUND(IF(G53="",0,G53)*R53-S53,2))</f>
        <v>0</v>
      </c>
      <c r="U53" s="38">
        <f>IF(B53="","",IF(E53="Tip","Yes","No"))</f>
        <v>0</v>
      </c>
      <c r="V53" s="15">
        <f>IF(B53="","",IF(H53&lt;&gt;"","Sale "&amp;H53,IF(I53&lt;&gt;"","Booking "&amp;I53,IF(E53="Tip","Stylist","Unapplied"))))</f>
        <v>0</v>
      </c>
      <c r="W53" s="39">
        <f>IF(B53="","",IF(G53="","Add - no amount yet",IF(E53="","Add - what was this for?",IF(IF(H53="",FALSE,COUNTIF(Sales!$A$5:$A$1204,H53)=0),"Missing - no sale with that ID",IF(IF(I53="",FALSE,COUNTIF(Appointments!$A$5:$A$1204,I53)=0),"Missing - no booking with that ID",IF(IF(E53="Tip",J53="",FALSE),"Assign - whose tip is it?",IF(IF(E53="Deposit",IF(H53="",I53="",FALSE),FALSE),"Check - deposit not tied to a booking",IF(M53="No","Due - not reconciled yet","OK"))))))))</f>
        <v>0</v>
      </c>
    </row>
    <row r="54" spans="1:23">
      <c r="A54" s="28">
        <f>IF(B54="","",PaymentPrefix&amp;TEXT(ROW()-4,"0000"))</f>
        <v>0</v>
      </c>
      <c r="D54" s="15">
        <f>IF(C54="","",IFERROR(INDEX(Clients!$B$5:$B$504,MATCH(C54,Clients!$A$5:$A$504,0)),"Walk-in"))</f>
        <v>0</v>
      </c>
      <c r="K54" s="15">
        <f>IF(J54="","",IFERROR(INDEX(Staff!$B$5:$B$44,MATCH(J54,Staff!$A$5:$A$44,0)),""))</f>
        <v>0</v>
      </c>
      <c r="O54" s="15">
        <f>IF(B54="","",TEXT(B54,"yyyy-mm"))</f>
        <v>0</v>
      </c>
      <c r="P54" s="25">
        <f>IF(B54="","",WEEKNUM(B54,2))</f>
        <v>0</v>
      </c>
      <c r="Q54" s="38">
        <f>IF(B54="","",IF(E54="Tip","No",IF(E54="Refund","No","Yes")))</f>
        <v>0</v>
      </c>
      <c r="R54" s="25">
        <f>IF(B54="","",IF(E54="Refund",-1,1))</f>
        <v>0</v>
      </c>
      <c r="S54" s="26">
        <f>IF(B54="","",IF(G54="",0,IF(F54="Card",ROUND(G54*CardFeePercent+CardFeeFixed,2),IF(F54="Online deposit",ROUND(G54*CardFeePercent+CardFeeFixed,2),0))))</f>
        <v>0</v>
      </c>
      <c r="T54" s="26">
        <f>IF(B54="","",ROUND(IF(G54="",0,G54)*R54-S54,2))</f>
        <v>0</v>
      </c>
      <c r="U54" s="38">
        <f>IF(B54="","",IF(E54="Tip","Yes","No"))</f>
        <v>0</v>
      </c>
      <c r="V54" s="15">
        <f>IF(B54="","",IF(H54&lt;&gt;"","Sale "&amp;H54,IF(I54&lt;&gt;"","Booking "&amp;I54,IF(E54="Tip","Stylist","Unapplied"))))</f>
        <v>0</v>
      </c>
      <c r="W54" s="39">
        <f>IF(B54="","",IF(G54="","Add - no amount yet",IF(E54="","Add - what was this for?",IF(IF(H54="",FALSE,COUNTIF(Sales!$A$5:$A$1204,H54)=0),"Missing - no sale with that ID",IF(IF(I54="",FALSE,COUNTIF(Appointments!$A$5:$A$1204,I54)=0),"Missing - no booking with that ID",IF(IF(E54="Tip",J54="",FALSE),"Assign - whose tip is it?",IF(IF(E54="Deposit",IF(H54="",I54="",FALSE),FALSE),"Check - deposit not tied to a booking",IF(M54="No","Due - not reconciled yet","OK"))))))))</f>
        <v>0</v>
      </c>
    </row>
    <row r="55" spans="1:23">
      <c r="A55" s="28">
        <f>IF(B55="","",PaymentPrefix&amp;TEXT(ROW()-4,"0000"))</f>
        <v>0</v>
      </c>
      <c r="D55" s="15">
        <f>IF(C55="","",IFERROR(INDEX(Clients!$B$5:$B$504,MATCH(C55,Clients!$A$5:$A$504,0)),"Walk-in"))</f>
        <v>0</v>
      </c>
      <c r="K55" s="15">
        <f>IF(J55="","",IFERROR(INDEX(Staff!$B$5:$B$44,MATCH(J55,Staff!$A$5:$A$44,0)),""))</f>
        <v>0</v>
      </c>
      <c r="O55" s="15">
        <f>IF(B55="","",TEXT(B55,"yyyy-mm"))</f>
        <v>0</v>
      </c>
      <c r="P55" s="25">
        <f>IF(B55="","",WEEKNUM(B55,2))</f>
        <v>0</v>
      </c>
      <c r="Q55" s="38">
        <f>IF(B55="","",IF(E55="Tip","No",IF(E55="Refund","No","Yes")))</f>
        <v>0</v>
      </c>
      <c r="R55" s="25">
        <f>IF(B55="","",IF(E55="Refund",-1,1))</f>
        <v>0</v>
      </c>
      <c r="S55" s="26">
        <f>IF(B55="","",IF(G55="",0,IF(F55="Card",ROUND(G55*CardFeePercent+CardFeeFixed,2),IF(F55="Online deposit",ROUND(G55*CardFeePercent+CardFeeFixed,2),0))))</f>
        <v>0</v>
      </c>
      <c r="T55" s="26">
        <f>IF(B55="","",ROUND(IF(G55="",0,G55)*R55-S55,2))</f>
        <v>0</v>
      </c>
      <c r="U55" s="38">
        <f>IF(B55="","",IF(E55="Tip","Yes","No"))</f>
        <v>0</v>
      </c>
      <c r="V55" s="15">
        <f>IF(B55="","",IF(H55&lt;&gt;"","Sale "&amp;H55,IF(I55&lt;&gt;"","Booking "&amp;I55,IF(E55="Tip","Stylist","Unapplied"))))</f>
        <v>0</v>
      </c>
      <c r="W55" s="39">
        <f>IF(B55="","",IF(G55="","Add - no amount yet",IF(E55="","Add - what was this for?",IF(IF(H55="",FALSE,COUNTIF(Sales!$A$5:$A$1204,H55)=0),"Missing - no sale with that ID",IF(IF(I55="",FALSE,COUNTIF(Appointments!$A$5:$A$1204,I55)=0),"Missing - no booking with that ID",IF(IF(E55="Tip",J55="",FALSE),"Assign - whose tip is it?",IF(IF(E55="Deposit",IF(H55="",I55="",FALSE),FALSE),"Check - deposit not tied to a booking",IF(M55="No","Due - not reconciled yet","OK"))))))))</f>
        <v>0</v>
      </c>
    </row>
    <row r="56" spans="1:23">
      <c r="A56" s="28">
        <f>IF(B56="","",PaymentPrefix&amp;TEXT(ROW()-4,"0000"))</f>
        <v>0</v>
      </c>
      <c r="D56" s="15">
        <f>IF(C56="","",IFERROR(INDEX(Clients!$B$5:$B$504,MATCH(C56,Clients!$A$5:$A$504,0)),"Walk-in"))</f>
        <v>0</v>
      </c>
      <c r="K56" s="15">
        <f>IF(J56="","",IFERROR(INDEX(Staff!$B$5:$B$44,MATCH(J56,Staff!$A$5:$A$44,0)),""))</f>
        <v>0</v>
      </c>
      <c r="O56" s="15">
        <f>IF(B56="","",TEXT(B56,"yyyy-mm"))</f>
        <v>0</v>
      </c>
      <c r="P56" s="25">
        <f>IF(B56="","",WEEKNUM(B56,2))</f>
        <v>0</v>
      </c>
      <c r="Q56" s="38">
        <f>IF(B56="","",IF(E56="Tip","No",IF(E56="Refund","No","Yes")))</f>
        <v>0</v>
      </c>
      <c r="R56" s="25">
        <f>IF(B56="","",IF(E56="Refund",-1,1))</f>
        <v>0</v>
      </c>
      <c r="S56" s="26">
        <f>IF(B56="","",IF(G56="",0,IF(F56="Card",ROUND(G56*CardFeePercent+CardFeeFixed,2),IF(F56="Online deposit",ROUND(G56*CardFeePercent+CardFeeFixed,2),0))))</f>
        <v>0</v>
      </c>
      <c r="T56" s="26">
        <f>IF(B56="","",ROUND(IF(G56="",0,G56)*R56-S56,2))</f>
        <v>0</v>
      </c>
      <c r="U56" s="38">
        <f>IF(B56="","",IF(E56="Tip","Yes","No"))</f>
        <v>0</v>
      </c>
      <c r="V56" s="15">
        <f>IF(B56="","",IF(H56&lt;&gt;"","Sale "&amp;H56,IF(I56&lt;&gt;"","Booking "&amp;I56,IF(E56="Tip","Stylist","Unapplied"))))</f>
        <v>0</v>
      </c>
      <c r="W56" s="39">
        <f>IF(B56="","",IF(G56="","Add - no amount yet",IF(E56="","Add - what was this for?",IF(IF(H56="",FALSE,COUNTIF(Sales!$A$5:$A$1204,H56)=0),"Missing - no sale with that ID",IF(IF(I56="",FALSE,COUNTIF(Appointments!$A$5:$A$1204,I56)=0),"Missing - no booking with that ID",IF(IF(E56="Tip",J56="",FALSE),"Assign - whose tip is it?",IF(IF(E56="Deposit",IF(H56="",I56="",FALSE),FALSE),"Check - deposit not tied to a booking",IF(M56="No","Due - not reconciled yet","OK"))))))))</f>
        <v>0</v>
      </c>
    </row>
    <row r="57" spans="1:23">
      <c r="A57" s="28">
        <f>IF(B57="","",PaymentPrefix&amp;TEXT(ROW()-4,"0000"))</f>
        <v>0</v>
      </c>
      <c r="D57" s="15">
        <f>IF(C57="","",IFERROR(INDEX(Clients!$B$5:$B$504,MATCH(C57,Clients!$A$5:$A$504,0)),"Walk-in"))</f>
        <v>0</v>
      </c>
      <c r="K57" s="15">
        <f>IF(J57="","",IFERROR(INDEX(Staff!$B$5:$B$44,MATCH(J57,Staff!$A$5:$A$44,0)),""))</f>
        <v>0</v>
      </c>
      <c r="O57" s="15">
        <f>IF(B57="","",TEXT(B57,"yyyy-mm"))</f>
        <v>0</v>
      </c>
      <c r="P57" s="25">
        <f>IF(B57="","",WEEKNUM(B57,2))</f>
        <v>0</v>
      </c>
      <c r="Q57" s="38">
        <f>IF(B57="","",IF(E57="Tip","No",IF(E57="Refund","No","Yes")))</f>
        <v>0</v>
      </c>
      <c r="R57" s="25">
        <f>IF(B57="","",IF(E57="Refund",-1,1))</f>
        <v>0</v>
      </c>
      <c r="S57" s="26">
        <f>IF(B57="","",IF(G57="",0,IF(F57="Card",ROUND(G57*CardFeePercent+CardFeeFixed,2),IF(F57="Online deposit",ROUND(G57*CardFeePercent+CardFeeFixed,2),0))))</f>
        <v>0</v>
      </c>
      <c r="T57" s="26">
        <f>IF(B57="","",ROUND(IF(G57="",0,G57)*R57-S57,2))</f>
        <v>0</v>
      </c>
      <c r="U57" s="38">
        <f>IF(B57="","",IF(E57="Tip","Yes","No"))</f>
        <v>0</v>
      </c>
      <c r="V57" s="15">
        <f>IF(B57="","",IF(H57&lt;&gt;"","Sale "&amp;H57,IF(I57&lt;&gt;"","Booking "&amp;I57,IF(E57="Tip","Stylist","Unapplied"))))</f>
        <v>0</v>
      </c>
      <c r="W57" s="39">
        <f>IF(B57="","",IF(G57="","Add - no amount yet",IF(E57="","Add - what was this for?",IF(IF(H57="",FALSE,COUNTIF(Sales!$A$5:$A$1204,H57)=0),"Missing - no sale with that ID",IF(IF(I57="",FALSE,COUNTIF(Appointments!$A$5:$A$1204,I57)=0),"Missing - no booking with that ID",IF(IF(E57="Tip",J57="",FALSE),"Assign - whose tip is it?",IF(IF(E57="Deposit",IF(H57="",I57="",FALSE),FALSE),"Check - deposit not tied to a booking",IF(M57="No","Due - not reconciled yet","OK"))))))))</f>
        <v>0</v>
      </c>
    </row>
    <row r="58" spans="1:23">
      <c r="A58" s="28">
        <f>IF(B58="","",PaymentPrefix&amp;TEXT(ROW()-4,"0000"))</f>
        <v>0</v>
      </c>
      <c r="D58" s="15">
        <f>IF(C58="","",IFERROR(INDEX(Clients!$B$5:$B$504,MATCH(C58,Clients!$A$5:$A$504,0)),"Walk-in"))</f>
        <v>0</v>
      </c>
      <c r="K58" s="15">
        <f>IF(J58="","",IFERROR(INDEX(Staff!$B$5:$B$44,MATCH(J58,Staff!$A$5:$A$44,0)),""))</f>
        <v>0</v>
      </c>
      <c r="O58" s="15">
        <f>IF(B58="","",TEXT(B58,"yyyy-mm"))</f>
        <v>0</v>
      </c>
      <c r="P58" s="25">
        <f>IF(B58="","",WEEKNUM(B58,2))</f>
        <v>0</v>
      </c>
      <c r="Q58" s="38">
        <f>IF(B58="","",IF(E58="Tip","No",IF(E58="Refund","No","Yes")))</f>
        <v>0</v>
      </c>
      <c r="R58" s="25">
        <f>IF(B58="","",IF(E58="Refund",-1,1))</f>
        <v>0</v>
      </c>
      <c r="S58" s="26">
        <f>IF(B58="","",IF(G58="",0,IF(F58="Card",ROUND(G58*CardFeePercent+CardFeeFixed,2),IF(F58="Online deposit",ROUND(G58*CardFeePercent+CardFeeFixed,2),0))))</f>
        <v>0</v>
      </c>
      <c r="T58" s="26">
        <f>IF(B58="","",ROUND(IF(G58="",0,G58)*R58-S58,2))</f>
        <v>0</v>
      </c>
      <c r="U58" s="38">
        <f>IF(B58="","",IF(E58="Tip","Yes","No"))</f>
        <v>0</v>
      </c>
      <c r="V58" s="15">
        <f>IF(B58="","",IF(H58&lt;&gt;"","Sale "&amp;H58,IF(I58&lt;&gt;"","Booking "&amp;I58,IF(E58="Tip","Stylist","Unapplied"))))</f>
        <v>0</v>
      </c>
      <c r="W58" s="39">
        <f>IF(B58="","",IF(G58="","Add - no amount yet",IF(E58="","Add - what was this for?",IF(IF(H58="",FALSE,COUNTIF(Sales!$A$5:$A$1204,H58)=0),"Missing - no sale with that ID",IF(IF(I58="",FALSE,COUNTIF(Appointments!$A$5:$A$1204,I58)=0),"Missing - no booking with that ID",IF(IF(E58="Tip",J58="",FALSE),"Assign - whose tip is it?",IF(IF(E58="Deposit",IF(H58="",I58="",FALSE),FALSE),"Check - deposit not tied to a booking",IF(M58="No","Due - not reconciled yet","OK"))))))))</f>
        <v>0</v>
      </c>
    </row>
    <row r="59" spans="1:23">
      <c r="A59" s="28">
        <f>IF(B59="","",PaymentPrefix&amp;TEXT(ROW()-4,"0000"))</f>
        <v>0</v>
      </c>
      <c r="D59" s="15">
        <f>IF(C59="","",IFERROR(INDEX(Clients!$B$5:$B$504,MATCH(C59,Clients!$A$5:$A$504,0)),"Walk-in"))</f>
        <v>0</v>
      </c>
      <c r="K59" s="15">
        <f>IF(J59="","",IFERROR(INDEX(Staff!$B$5:$B$44,MATCH(J59,Staff!$A$5:$A$44,0)),""))</f>
        <v>0</v>
      </c>
      <c r="O59" s="15">
        <f>IF(B59="","",TEXT(B59,"yyyy-mm"))</f>
        <v>0</v>
      </c>
      <c r="P59" s="25">
        <f>IF(B59="","",WEEKNUM(B59,2))</f>
        <v>0</v>
      </c>
      <c r="Q59" s="38">
        <f>IF(B59="","",IF(E59="Tip","No",IF(E59="Refund","No","Yes")))</f>
        <v>0</v>
      </c>
      <c r="R59" s="25">
        <f>IF(B59="","",IF(E59="Refund",-1,1))</f>
        <v>0</v>
      </c>
      <c r="S59" s="26">
        <f>IF(B59="","",IF(G59="",0,IF(F59="Card",ROUND(G59*CardFeePercent+CardFeeFixed,2),IF(F59="Online deposit",ROUND(G59*CardFeePercent+CardFeeFixed,2),0))))</f>
        <v>0</v>
      </c>
      <c r="T59" s="26">
        <f>IF(B59="","",ROUND(IF(G59="",0,G59)*R59-S59,2))</f>
        <v>0</v>
      </c>
      <c r="U59" s="38">
        <f>IF(B59="","",IF(E59="Tip","Yes","No"))</f>
        <v>0</v>
      </c>
      <c r="V59" s="15">
        <f>IF(B59="","",IF(H59&lt;&gt;"","Sale "&amp;H59,IF(I59&lt;&gt;"","Booking "&amp;I59,IF(E59="Tip","Stylist","Unapplied"))))</f>
        <v>0</v>
      </c>
      <c r="W59" s="39">
        <f>IF(B59="","",IF(G59="","Add - no amount yet",IF(E59="","Add - what was this for?",IF(IF(H59="",FALSE,COUNTIF(Sales!$A$5:$A$1204,H59)=0),"Missing - no sale with that ID",IF(IF(I59="",FALSE,COUNTIF(Appointments!$A$5:$A$1204,I59)=0),"Missing - no booking with that ID",IF(IF(E59="Tip",J59="",FALSE),"Assign - whose tip is it?",IF(IF(E59="Deposit",IF(H59="",I59="",FALSE),FALSE),"Check - deposit not tied to a booking",IF(M59="No","Due - not reconciled yet","OK"))))))))</f>
        <v>0</v>
      </c>
    </row>
    <row r="60" spans="1:23">
      <c r="A60" s="28">
        <f>IF(B60="","",PaymentPrefix&amp;TEXT(ROW()-4,"0000"))</f>
        <v>0</v>
      </c>
      <c r="D60" s="15">
        <f>IF(C60="","",IFERROR(INDEX(Clients!$B$5:$B$504,MATCH(C60,Clients!$A$5:$A$504,0)),"Walk-in"))</f>
        <v>0</v>
      </c>
      <c r="K60" s="15">
        <f>IF(J60="","",IFERROR(INDEX(Staff!$B$5:$B$44,MATCH(J60,Staff!$A$5:$A$44,0)),""))</f>
        <v>0</v>
      </c>
      <c r="O60" s="15">
        <f>IF(B60="","",TEXT(B60,"yyyy-mm"))</f>
        <v>0</v>
      </c>
      <c r="P60" s="25">
        <f>IF(B60="","",WEEKNUM(B60,2))</f>
        <v>0</v>
      </c>
      <c r="Q60" s="38">
        <f>IF(B60="","",IF(E60="Tip","No",IF(E60="Refund","No","Yes")))</f>
        <v>0</v>
      </c>
      <c r="R60" s="25">
        <f>IF(B60="","",IF(E60="Refund",-1,1))</f>
        <v>0</v>
      </c>
      <c r="S60" s="26">
        <f>IF(B60="","",IF(G60="",0,IF(F60="Card",ROUND(G60*CardFeePercent+CardFeeFixed,2),IF(F60="Online deposit",ROUND(G60*CardFeePercent+CardFeeFixed,2),0))))</f>
        <v>0</v>
      </c>
      <c r="T60" s="26">
        <f>IF(B60="","",ROUND(IF(G60="",0,G60)*R60-S60,2))</f>
        <v>0</v>
      </c>
      <c r="U60" s="38">
        <f>IF(B60="","",IF(E60="Tip","Yes","No"))</f>
        <v>0</v>
      </c>
      <c r="V60" s="15">
        <f>IF(B60="","",IF(H60&lt;&gt;"","Sale "&amp;H60,IF(I60&lt;&gt;"","Booking "&amp;I60,IF(E60="Tip","Stylist","Unapplied"))))</f>
        <v>0</v>
      </c>
      <c r="W60" s="39">
        <f>IF(B60="","",IF(G60="","Add - no amount yet",IF(E60="","Add - what was this for?",IF(IF(H60="",FALSE,COUNTIF(Sales!$A$5:$A$1204,H60)=0),"Missing - no sale with that ID",IF(IF(I60="",FALSE,COUNTIF(Appointments!$A$5:$A$1204,I60)=0),"Missing - no booking with that ID",IF(IF(E60="Tip",J60="",FALSE),"Assign - whose tip is it?",IF(IF(E60="Deposit",IF(H60="",I60="",FALSE),FALSE),"Check - deposit not tied to a booking",IF(M60="No","Due - not reconciled yet","OK"))))))))</f>
        <v>0</v>
      </c>
    </row>
    <row r="61" spans="1:23">
      <c r="A61" s="28">
        <f>IF(B61="","",PaymentPrefix&amp;TEXT(ROW()-4,"0000"))</f>
        <v>0</v>
      </c>
      <c r="D61" s="15">
        <f>IF(C61="","",IFERROR(INDEX(Clients!$B$5:$B$504,MATCH(C61,Clients!$A$5:$A$504,0)),"Walk-in"))</f>
        <v>0</v>
      </c>
      <c r="K61" s="15">
        <f>IF(J61="","",IFERROR(INDEX(Staff!$B$5:$B$44,MATCH(J61,Staff!$A$5:$A$44,0)),""))</f>
        <v>0</v>
      </c>
      <c r="O61" s="15">
        <f>IF(B61="","",TEXT(B61,"yyyy-mm"))</f>
        <v>0</v>
      </c>
      <c r="P61" s="25">
        <f>IF(B61="","",WEEKNUM(B61,2))</f>
        <v>0</v>
      </c>
      <c r="Q61" s="38">
        <f>IF(B61="","",IF(E61="Tip","No",IF(E61="Refund","No","Yes")))</f>
        <v>0</v>
      </c>
      <c r="R61" s="25">
        <f>IF(B61="","",IF(E61="Refund",-1,1))</f>
        <v>0</v>
      </c>
      <c r="S61" s="26">
        <f>IF(B61="","",IF(G61="",0,IF(F61="Card",ROUND(G61*CardFeePercent+CardFeeFixed,2),IF(F61="Online deposit",ROUND(G61*CardFeePercent+CardFeeFixed,2),0))))</f>
        <v>0</v>
      </c>
      <c r="T61" s="26">
        <f>IF(B61="","",ROUND(IF(G61="",0,G61)*R61-S61,2))</f>
        <v>0</v>
      </c>
      <c r="U61" s="38">
        <f>IF(B61="","",IF(E61="Tip","Yes","No"))</f>
        <v>0</v>
      </c>
      <c r="V61" s="15">
        <f>IF(B61="","",IF(H61&lt;&gt;"","Sale "&amp;H61,IF(I61&lt;&gt;"","Booking "&amp;I61,IF(E61="Tip","Stylist","Unapplied"))))</f>
        <v>0</v>
      </c>
      <c r="W61" s="39">
        <f>IF(B61="","",IF(G61="","Add - no amount yet",IF(E61="","Add - what was this for?",IF(IF(H61="",FALSE,COUNTIF(Sales!$A$5:$A$1204,H61)=0),"Missing - no sale with that ID",IF(IF(I61="",FALSE,COUNTIF(Appointments!$A$5:$A$1204,I61)=0),"Missing - no booking with that ID",IF(IF(E61="Tip",J61="",FALSE),"Assign - whose tip is it?",IF(IF(E61="Deposit",IF(H61="",I61="",FALSE),FALSE),"Check - deposit not tied to a booking",IF(M61="No","Due - not reconciled yet","OK"))))))))</f>
        <v>0</v>
      </c>
    </row>
    <row r="62" spans="1:23">
      <c r="A62" s="28">
        <f>IF(B62="","",PaymentPrefix&amp;TEXT(ROW()-4,"0000"))</f>
        <v>0</v>
      </c>
      <c r="D62" s="15">
        <f>IF(C62="","",IFERROR(INDEX(Clients!$B$5:$B$504,MATCH(C62,Clients!$A$5:$A$504,0)),"Walk-in"))</f>
        <v>0</v>
      </c>
      <c r="K62" s="15">
        <f>IF(J62="","",IFERROR(INDEX(Staff!$B$5:$B$44,MATCH(J62,Staff!$A$5:$A$44,0)),""))</f>
        <v>0</v>
      </c>
      <c r="O62" s="15">
        <f>IF(B62="","",TEXT(B62,"yyyy-mm"))</f>
        <v>0</v>
      </c>
      <c r="P62" s="25">
        <f>IF(B62="","",WEEKNUM(B62,2))</f>
        <v>0</v>
      </c>
      <c r="Q62" s="38">
        <f>IF(B62="","",IF(E62="Tip","No",IF(E62="Refund","No","Yes")))</f>
        <v>0</v>
      </c>
      <c r="R62" s="25">
        <f>IF(B62="","",IF(E62="Refund",-1,1))</f>
        <v>0</v>
      </c>
      <c r="S62" s="26">
        <f>IF(B62="","",IF(G62="",0,IF(F62="Card",ROUND(G62*CardFeePercent+CardFeeFixed,2),IF(F62="Online deposit",ROUND(G62*CardFeePercent+CardFeeFixed,2),0))))</f>
        <v>0</v>
      </c>
      <c r="T62" s="26">
        <f>IF(B62="","",ROUND(IF(G62="",0,G62)*R62-S62,2))</f>
        <v>0</v>
      </c>
      <c r="U62" s="38">
        <f>IF(B62="","",IF(E62="Tip","Yes","No"))</f>
        <v>0</v>
      </c>
      <c r="V62" s="15">
        <f>IF(B62="","",IF(H62&lt;&gt;"","Sale "&amp;H62,IF(I62&lt;&gt;"","Booking "&amp;I62,IF(E62="Tip","Stylist","Unapplied"))))</f>
        <v>0</v>
      </c>
      <c r="W62" s="39">
        <f>IF(B62="","",IF(G62="","Add - no amount yet",IF(E62="","Add - what was this for?",IF(IF(H62="",FALSE,COUNTIF(Sales!$A$5:$A$1204,H62)=0),"Missing - no sale with that ID",IF(IF(I62="",FALSE,COUNTIF(Appointments!$A$5:$A$1204,I62)=0),"Missing - no booking with that ID",IF(IF(E62="Tip",J62="",FALSE),"Assign - whose tip is it?",IF(IF(E62="Deposit",IF(H62="",I62="",FALSE),FALSE),"Check - deposit not tied to a booking",IF(M62="No","Due - not reconciled yet","OK"))))))))</f>
        <v>0</v>
      </c>
    </row>
    <row r="63" spans="1:23">
      <c r="A63" s="28">
        <f>IF(B63="","",PaymentPrefix&amp;TEXT(ROW()-4,"0000"))</f>
        <v>0</v>
      </c>
      <c r="D63" s="15">
        <f>IF(C63="","",IFERROR(INDEX(Clients!$B$5:$B$504,MATCH(C63,Clients!$A$5:$A$504,0)),"Walk-in"))</f>
        <v>0</v>
      </c>
      <c r="K63" s="15">
        <f>IF(J63="","",IFERROR(INDEX(Staff!$B$5:$B$44,MATCH(J63,Staff!$A$5:$A$44,0)),""))</f>
        <v>0</v>
      </c>
      <c r="O63" s="15">
        <f>IF(B63="","",TEXT(B63,"yyyy-mm"))</f>
        <v>0</v>
      </c>
      <c r="P63" s="25">
        <f>IF(B63="","",WEEKNUM(B63,2))</f>
        <v>0</v>
      </c>
      <c r="Q63" s="38">
        <f>IF(B63="","",IF(E63="Tip","No",IF(E63="Refund","No","Yes")))</f>
        <v>0</v>
      </c>
      <c r="R63" s="25">
        <f>IF(B63="","",IF(E63="Refund",-1,1))</f>
        <v>0</v>
      </c>
      <c r="S63" s="26">
        <f>IF(B63="","",IF(G63="",0,IF(F63="Card",ROUND(G63*CardFeePercent+CardFeeFixed,2),IF(F63="Online deposit",ROUND(G63*CardFeePercent+CardFeeFixed,2),0))))</f>
        <v>0</v>
      </c>
      <c r="T63" s="26">
        <f>IF(B63="","",ROUND(IF(G63="",0,G63)*R63-S63,2))</f>
        <v>0</v>
      </c>
      <c r="U63" s="38">
        <f>IF(B63="","",IF(E63="Tip","Yes","No"))</f>
        <v>0</v>
      </c>
      <c r="V63" s="15">
        <f>IF(B63="","",IF(H63&lt;&gt;"","Sale "&amp;H63,IF(I63&lt;&gt;"","Booking "&amp;I63,IF(E63="Tip","Stylist","Unapplied"))))</f>
        <v>0</v>
      </c>
      <c r="W63" s="39">
        <f>IF(B63="","",IF(G63="","Add - no amount yet",IF(E63="","Add - what was this for?",IF(IF(H63="",FALSE,COUNTIF(Sales!$A$5:$A$1204,H63)=0),"Missing - no sale with that ID",IF(IF(I63="",FALSE,COUNTIF(Appointments!$A$5:$A$1204,I63)=0),"Missing - no booking with that ID",IF(IF(E63="Tip",J63="",FALSE),"Assign - whose tip is it?",IF(IF(E63="Deposit",IF(H63="",I63="",FALSE),FALSE),"Check - deposit not tied to a booking",IF(M63="No","Due - not reconciled yet","OK"))))))))</f>
        <v>0</v>
      </c>
    </row>
    <row r="64" spans="1:23">
      <c r="A64" s="28">
        <f>IF(B64="","",PaymentPrefix&amp;TEXT(ROW()-4,"0000"))</f>
        <v>0</v>
      </c>
      <c r="D64" s="15">
        <f>IF(C64="","",IFERROR(INDEX(Clients!$B$5:$B$504,MATCH(C64,Clients!$A$5:$A$504,0)),"Walk-in"))</f>
        <v>0</v>
      </c>
      <c r="K64" s="15">
        <f>IF(J64="","",IFERROR(INDEX(Staff!$B$5:$B$44,MATCH(J64,Staff!$A$5:$A$44,0)),""))</f>
        <v>0</v>
      </c>
      <c r="O64" s="15">
        <f>IF(B64="","",TEXT(B64,"yyyy-mm"))</f>
        <v>0</v>
      </c>
      <c r="P64" s="25">
        <f>IF(B64="","",WEEKNUM(B64,2))</f>
        <v>0</v>
      </c>
      <c r="Q64" s="38">
        <f>IF(B64="","",IF(E64="Tip","No",IF(E64="Refund","No","Yes")))</f>
        <v>0</v>
      </c>
      <c r="R64" s="25">
        <f>IF(B64="","",IF(E64="Refund",-1,1))</f>
        <v>0</v>
      </c>
      <c r="S64" s="26">
        <f>IF(B64="","",IF(G64="",0,IF(F64="Card",ROUND(G64*CardFeePercent+CardFeeFixed,2),IF(F64="Online deposit",ROUND(G64*CardFeePercent+CardFeeFixed,2),0))))</f>
        <v>0</v>
      </c>
      <c r="T64" s="26">
        <f>IF(B64="","",ROUND(IF(G64="",0,G64)*R64-S64,2))</f>
        <v>0</v>
      </c>
      <c r="U64" s="38">
        <f>IF(B64="","",IF(E64="Tip","Yes","No"))</f>
        <v>0</v>
      </c>
      <c r="V64" s="15">
        <f>IF(B64="","",IF(H64&lt;&gt;"","Sale "&amp;H64,IF(I64&lt;&gt;"","Booking "&amp;I64,IF(E64="Tip","Stylist","Unapplied"))))</f>
        <v>0</v>
      </c>
      <c r="W64" s="39">
        <f>IF(B64="","",IF(G64="","Add - no amount yet",IF(E64="","Add - what was this for?",IF(IF(H64="",FALSE,COUNTIF(Sales!$A$5:$A$1204,H64)=0),"Missing - no sale with that ID",IF(IF(I64="",FALSE,COUNTIF(Appointments!$A$5:$A$1204,I64)=0),"Missing - no booking with that ID",IF(IF(E64="Tip",J64="",FALSE),"Assign - whose tip is it?",IF(IF(E64="Deposit",IF(H64="",I64="",FALSE),FALSE),"Check - deposit not tied to a booking",IF(M64="No","Due - not reconciled yet","OK"))))))))</f>
        <v>0</v>
      </c>
    </row>
    <row r="65" spans="1:23">
      <c r="A65" s="28">
        <f>IF(B65="","",PaymentPrefix&amp;TEXT(ROW()-4,"0000"))</f>
        <v>0</v>
      </c>
      <c r="D65" s="15">
        <f>IF(C65="","",IFERROR(INDEX(Clients!$B$5:$B$504,MATCH(C65,Clients!$A$5:$A$504,0)),"Walk-in"))</f>
        <v>0</v>
      </c>
      <c r="K65" s="15">
        <f>IF(J65="","",IFERROR(INDEX(Staff!$B$5:$B$44,MATCH(J65,Staff!$A$5:$A$44,0)),""))</f>
        <v>0</v>
      </c>
      <c r="O65" s="15">
        <f>IF(B65="","",TEXT(B65,"yyyy-mm"))</f>
        <v>0</v>
      </c>
      <c r="P65" s="25">
        <f>IF(B65="","",WEEKNUM(B65,2))</f>
        <v>0</v>
      </c>
      <c r="Q65" s="38">
        <f>IF(B65="","",IF(E65="Tip","No",IF(E65="Refund","No","Yes")))</f>
        <v>0</v>
      </c>
      <c r="R65" s="25">
        <f>IF(B65="","",IF(E65="Refund",-1,1))</f>
        <v>0</v>
      </c>
      <c r="S65" s="26">
        <f>IF(B65="","",IF(G65="",0,IF(F65="Card",ROUND(G65*CardFeePercent+CardFeeFixed,2),IF(F65="Online deposit",ROUND(G65*CardFeePercent+CardFeeFixed,2),0))))</f>
        <v>0</v>
      </c>
      <c r="T65" s="26">
        <f>IF(B65="","",ROUND(IF(G65="",0,G65)*R65-S65,2))</f>
        <v>0</v>
      </c>
      <c r="U65" s="38">
        <f>IF(B65="","",IF(E65="Tip","Yes","No"))</f>
        <v>0</v>
      </c>
      <c r="V65" s="15">
        <f>IF(B65="","",IF(H65&lt;&gt;"","Sale "&amp;H65,IF(I65&lt;&gt;"","Booking "&amp;I65,IF(E65="Tip","Stylist","Unapplied"))))</f>
        <v>0</v>
      </c>
      <c r="W65" s="39">
        <f>IF(B65="","",IF(G65="","Add - no amount yet",IF(E65="","Add - what was this for?",IF(IF(H65="",FALSE,COUNTIF(Sales!$A$5:$A$1204,H65)=0),"Missing - no sale with that ID",IF(IF(I65="",FALSE,COUNTIF(Appointments!$A$5:$A$1204,I65)=0),"Missing - no booking with that ID",IF(IF(E65="Tip",J65="",FALSE),"Assign - whose tip is it?",IF(IF(E65="Deposit",IF(H65="",I65="",FALSE),FALSE),"Check - deposit not tied to a booking",IF(M65="No","Due - not reconciled yet","OK"))))))))</f>
        <v>0</v>
      </c>
    </row>
    <row r="66" spans="1:23">
      <c r="A66" s="28">
        <f>IF(B66="","",PaymentPrefix&amp;TEXT(ROW()-4,"0000"))</f>
        <v>0</v>
      </c>
      <c r="D66" s="15">
        <f>IF(C66="","",IFERROR(INDEX(Clients!$B$5:$B$504,MATCH(C66,Clients!$A$5:$A$504,0)),"Walk-in"))</f>
        <v>0</v>
      </c>
      <c r="K66" s="15">
        <f>IF(J66="","",IFERROR(INDEX(Staff!$B$5:$B$44,MATCH(J66,Staff!$A$5:$A$44,0)),""))</f>
        <v>0</v>
      </c>
      <c r="O66" s="15">
        <f>IF(B66="","",TEXT(B66,"yyyy-mm"))</f>
        <v>0</v>
      </c>
      <c r="P66" s="25">
        <f>IF(B66="","",WEEKNUM(B66,2))</f>
        <v>0</v>
      </c>
      <c r="Q66" s="38">
        <f>IF(B66="","",IF(E66="Tip","No",IF(E66="Refund","No","Yes")))</f>
        <v>0</v>
      </c>
      <c r="R66" s="25">
        <f>IF(B66="","",IF(E66="Refund",-1,1))</f>
        <v>0</v>
      </c>
      <c r="S66" s="26">
        <f>IF(B66="","",IF(G66="",0,IF(F66="Card",ROUND(G66*CardFeePercent+CardFeeFixed,2),IF(F66="Online deposit",ROUND(G66*CardFeePercent+CardFeeFixed,2),0))))</f>
        <v>0</v>
      </c>
      <c r="T66" s="26">
        <f>IF(B66="","",ROUND(IF(G66="",0,G66)*R66-S66,2))</f>
        <v>0</v>
      </c>
      <c r="U66" s="38">
        <f>IF(B66="","",IF(E66="Tip","Yes","No"))</f>
        <v>0</v>
      </c>
      <c r="V66" s="15">
        <f>IF(B66="","",IF(H66&lt;&gt;"","Sale "&amp;H66,IF(I66&lt;&gt;"","Booking "&amp;I66,IF(E66="Tip","Stylist","Unapplied"))))</f>
        <v>0</v>
      </c>
      <c r="W66" s="39">
        <f>IF(B66="","",IF(G66="","Add - no amount yet",IF(E66="","Add - what was this for?",IF(IF(H66="",FALSE,COUNTIF(Sales!$A$5:$A$1204,H66)=0),"Missing - no sale with that ID",IF(IF(I66="",FALSE,COUNTIF(Appointments!$A$5:$A$1204,I66)=0),"Missing - no booking with that ID",IF(IF(E66="Tip",J66="",FALSE),"Assign - whose tip is it?",IF(IF(E66="Deposit",IF(H66="",I66="",FALSE),FALSE),"Check - deposit not tied to a booking",IF(M66="No","Due - not reconciled yet","OK"))))))))</f>
        <v>0</v>
      </c>
    </row>
    <row r="67" spans="1:23">
      <c r="A67" s="28">
        <f>IF(B67="","",PaymentPrefix&amp;TEXT(ROW()-4,"0000"))</f>
        <v>0</v>
      </c>
      <c r="D67" s="15">
        <f>IF(C67="","",IFERROR(INDEX(Clients!$B$5:$B$504,MATCH(C67,Clients!$A$5:$A$504,0)),"Walk-in"))</f>
        <v>0</v>
      </c>
      <c r="K67" s="15">
        <f>IF(J67="","",IFERROR(INDEX(Staff!$B$5:$B$44,MATCH(J67,Staff!$A$5:$A$44,0)),""))</f>
        <v>0</v>
      </c>
      <c r="O67" s="15">
        <f>IF(B67="","",TEXT(B67,"yyyy-mm"))</f>
        <v>0</v>
      </c>
      <c r="P67" s="25">
        <f>IF(B67="","",WEEKNUM(B67,2))</f>
        <v>0</v>
      </c>
      <c r="Q67" s="38">
        <f>IF(B67="","",IF(E67="Tip","No",IF(E67="Refund","No","Yes")))</f>
        <v>0</v>
      </c>
      <c r="R67" s="25">
        <f>IF(B67="","",IF(E67="Refund",-1,1))</f>
        <v>0</v>
      </c>
      <c r="S67" s="26">
        <f>IF(B67="","",IF(G67="",0,IF(F67="Card",ROUND(G67*CardFeePercent+CardFeeFixed,2),IF(F67="Online deposit",ROUND(G67*CardFeePercent+CardFeeFixed,2),0))))</f>
        <v>0</v>
      </c>
      <c r="T67" s="26">
        <f>IF(B67="","",ROUND(IF(G67="",0,G67)*R67-S67,2))</f>
        <v>0</v>
      </c>
      <c r="U67" s="38">
        <f>IF(B67="","",IF(E67="Tip","Yes","No"))</f>
        <v>0</v>
      </c>
      <c r="V67" s="15">
        <f>IF(B67="","",IF(H67&lt;&gt;"","Sale "&amp;H67,IF(I67&lt;&gt;"","Booking "&amp;I67,IF(E67="Tip","Stylist","Unapplied"))))</f>
        <v>0</v>
      </c>
      <c r="W67" s="39">
        <f>IF(B67="","",IF(G67="","Add - no amount yet",IF(E67="","Add - what was this for?",IF(IF(H67="",FALSE,COUNTIF(Sales!$A$5:$A$1204,H67)=0),"Missing - no sale with that ID",IF(IF(I67="",FALSE,COUNTIF(Appointments!$A$5:$A$1204,I67)=0),"Missing - no booking with that ID",IF(IF(E67="Tip",J67="",FALSE),"Assign - whose tip is it?",IF(IF(E67="Deposit",IF(H67="",I67="",FALSE),FALSE),"Check - deposit not tied to a booking",IF(M67="No","Due - not reconciled yet","OK"))))))))</f>
        <v>0</v>
      </c>
    </row>
    <row r="68" spans="1:23">
      <c r="A68" s="28">
        <f>IF(B68="","",PaymentPrefix&amp;TEXT(ROW()-4,"0000"))</f>
        <v>0</v>
      </c>
      <c r="D68" s="15">
        <f>IF(C68="","",IFERROR(INDEX(Clients!$B$5:$B$504,MATCH(C68,Clients!$A$5:$A$504,0)),"Walk-in"))</f>
        <v>0</v>
      </c>
      <c r="K68" s="15">
        <f>IF(J68="","",IFERROR(INDEX(Staff!$B$5:$B$44,MATCH(J68,Staff!$A$5:$A$44,0)),""))</f>
        <v>0</v>
      </c>
      <c r="O68" s="15">
        <f>IF(B68="","",TEXT(B68,"yyyy-mm"))</f>
        <v>0</v>
      </c>
      <c r="P68" s="25">
        <f>IF(B68="","",WEEKNUM(B68,2))</f>
        <v>0</v>
      </c>
      <c r="Q68" s="38">
        <f>IF(B68="","",IF(E68="Tip","No",IF(E68="Refund","No","Yes")))</f>
        <v>0</v>
      </c>
      <c r="R68" s="25">
        <f>IF(B68="","",IF(E68="Refund",-1,1))</f>
        <v>0</v>
      </c>
      <c r="S68" s="26">
        <f>IF(B68="","",IF(G68="",0,IF(F68="Card",ROUND(G68*CardFeePercent+CardFeeFixed,2),IF(F68="Online deposit",ROUND(G68*CardFeePercent+CardFeeFixed,2),0))))</f>
        <v>0</v>
      </c>
      <c r="T68" s="26">
        <f>IF(B68="","",ROUND(IF(G68="",0,G68)*R68-S68,2))</f>
        <v>0</v>
      </c>
      <c r="U68" s="38">
        <f>IF(B68="","",IF(E68="Tip","Yes","No"))</f>
        <v>0</v>
      </c>
      <c r="V68" s="15">
        <f>IF(B68="","",IF(H68&lt;&gt;"","Sale "&amp;H68,IF(I68&lt;&gt;"","Booking "&amp;I68,IF(E68="Tip","Stylist","Unapplied"))))</f>
        <v>0</v>
      </c>
      <c r="W68" s="39">
        <f>IF(B68="","",IF(G68="","Add - no amount yet",IF(E68="","Add - what was this for?",IF(IF(H68="",FALSE,COUNTIF(Sales!$A$5:$A$1204,H68)=0),"Missing - no sale with that ID",IF(IF(I68="",FALSE,COUNTIF(Appointments!$A$5:$A$1204,I68)=0),"Missing - no booking with that ID",IF(IF(E68="Tip",J68="",FALSE),"Assign - whose tip is it?",IF(IF(E68="Deposit",IF(H68="",I68="",FALSE),FALSE),"Check - deposit not tied to a booking",IF(M68="No","Due - not reconciled yet","OK"))))))))</f>
        <v>0</v>
      </c>
    </row>
    <row r="69" spans="1:23">
      <c r="A69" s="28">
        <f>IF(B69="","",PaymentPrefix&amp;TEXT(ROW()-4,"0000"))</f>
        <v>0</v>
      </c>
      <c r="D69" s="15">
        <f>IF(C69="","",IFERROR(INDEX(Clients!$B$5:$B$504,MATCH(C69,Clients!$A$5:$A$504,0)),"Walk-in"))</f>
        <v>0</v>
      </c>
      <c r="K69" s="15">
        <f>IF(J69="","",IFERROR(INDEX(Staff!$B$5:$B$44,MATCH(J69,Staff!$A$5:$A$44,0)),""))</f>
        <v>0</v>
      </c>
      <c r="O69" s="15">
        <f>IF(B69="","",TEXT(B69,"yyyy-mm"))</f>
        <v>0</v>
      </c>
      <c r="P69" s="25">
        <f>IF(B69="","",WEEKNUM(B69,2))</f>
        <v>0</v>
      </c>
      <c r="Q69" s="38">
        <f>IF(B69="","",IF(E69="Tip","No",IF(E69="Refund","No","Yes")))</f>
        <v>0</v>
      </c>
      <c r="R69" s="25">
        <f>IF(B69="","",IF(E69="Refund",-1,1))</f>
        <v>0</v>
      </c>
      <c r="S69" s="26">
        <f>IF(B69="","",IF(G69="",0,IF(F69="Card",ROUND(G69*CardFeePercent+CardFeeFixed,2),IF(F69="Online deposit",ROUND(G69*CardFeePercent+CardFeeFixed,2),0))))</f>
        <v>0</v>
      </c>
      <c r="T69" s="26">
        <f>IF(B69="","",ROUND(IF(G69="",0,G69)*R69-S69,2))</f>
        <v>0</v>
      </c>
      <c r="U69" s="38">
        <f>IF(B69="","",IF(E69="Tip","Yes","No"))</f>
        <v>0</v>
      </c>
      <c r="V69" s="15">
        <f>IF(B69="","",IF(H69&lt;&gt;"","Sale "&amp;H69,IF(I69&lt;&gt;"","Booking "&amp;I69,IF(E69="Tip","Stylist","Unapplied"))))</f>
        <v>0</v>
      </c>
      <c r="W69" s="39">
        <f>IF(B69="","",IF(G69="","Add - no amount yet",IF(E69="","Add - what was this for?",IF(IF(H69="",FALSE,COUNTIF(Sales!$A$5:$A$1204,H69)=0),"Missing - no sale with that ID",IF(IF(I69="",FALSE,COUNTIF(Appointments!$A$5:$A$1204,I69)=0),"Missing - no booking with that ID",IF(IF(E69="Tip",J69="",FALSE),"Assign - whose tip is it?",IF(IF(E69="Deposit",IF(H69="",I69="",FALSE),FALSE),"Check - deposit not tied to a booking",IF(M69="No","Due - not reconciled yet","OK"))))))))</f>
        <v>0</v>
      </c>
    </row>
    <row r="70" spans="1:23">
      <c r="A70" s="28">
        <f>IF(B70="","",PaymentPrefix&amp;TEXT(ROW()-4,"0000"))</f>
        <v>0</v>
      </c>
      <c r="D70" s="15">
        <f>IF(C70="","",IFERROR(INDEX(Clients!$B$5:$B$504,MATCH(C70,Clients!$A$5:$A$504,0)),"Walk-in"))</f>
        <v>0</v>
      </c>
      <c r="K70" s="15">
        <f>IF(J70="","",IFERROR(INDEX(Staff!$B$5:$B$44,MATCH(J70,Staff!$A$5:$A$44,0)),""))</f>
        <v>0</v>
      </c>
      <c r="O70" s="15">
        <f>IF(B70="","",TEXT(B70,"yyyy-mm"))</f>
        <v>0</v>
      </c>
      <c r="P70" s="25">
        <f>IF(B70="","",WEEKNUM(B70,2))</f>
        <v>0</v>
      </c>
      <c r="Q70" s="38">
        <f>IF(B70="","",IF(E70="Tip","No",IF(E70="Refund","No","Yes")))</f>
        <v>0</v>
      </c>
      <c r="R70" s="25">
        <f>IF(B70="","",IF(E70="Refund",-1,1))</f>
        <v>0</v>
      </c>
      <c r="S70" s="26">
        <f>IF(B70="","",IF(G70="",0,IF(F70="Card",ROUND(G70*CardFeePercent+CardFeeFixed,2),IF(F70="Online deposit",ROUND(G70*CardFeePercent+CardFeeFixed,2),0))))</f>
        <v>0</v>
      </c>
      <c r="T70" s="26">
        <f>IF(B70="","",ROUND(IF(G70="",0,G70)*R70-S70,2))</f>
        <v>0</v>
      </c>
      <c r="U70" s="38">
        <f>IF(B70="","",IF(E70="Tip","Yes","No"))</f>
        <v>0</v>
      </c>
      <c r="V70" s="15">
        <f>IF(B70="","",IF(H70&lt;&gt;"","Sale "&amp;H70,IF(I70&lt;&gt;"","Booking "&amp;I70,IF(E70="Tip","Stylist","Unapplied"))))</f>
        <v>0</v>
      </c>
      <c r="W70" s="39">
        <f>IF(B70="","",IF(G70="","Add - no amount yet",IF(E70="","Add - what was this for?",IF(IF(H70="",FALSE,COUNTIF(Sales!$A$5:$A$1204,H70)=0),"Missing - no sale with that ID",IF(IF(I70="",FALSE,COUNTIF(Appointments!$A$5:$A$1204,I70)=0),"Missing - no booking with that ID",IF(IF(E70="Tip",J70="",FALSE),"Assign - whose tip is it?",IF(IF(E70="Deposit",IF(H70="",I70="",FALSE),FALSE),"Check - deposit not tied to a booking",IF(M70="No","Due - not reconciled yet","OK"))))))))</f>
        <v>0</v>
      </c>
    </row>
    <row r="71" spans="1:23">
      <c r="A71" s="28">
        <f>IF(B71="","",PaymentPrefix&amp;TEXT(ROW()-4,"0000"))</f>
        <v>0</v>
      </c>
      <c r="D71" s="15">
        <f>IF(C71="","",IFERROR(INDEX(Clients!$B$5:$B$504,MATCH(C71,Clients!$A$5:$A$504,0)),"Walk-in"))</f>
        <v>0</v>
      </c>
      <c r="K71" s="15">
        <f>IF(J71="","",IFERROR(INDEX(Staff!$B$5:$B$44,MATCH(J71,Staff!$A$5:$A$44,0)),""))</f>
        <v>0</v>
      </c>
      <c r="O71" s="15">
        <f>IF(B71="","",TEXT(B71,"yyyy-mm"))</f>
        <v>0</v>
      </c>
      <c r="P71" s="25">
        <f>IF(B71="","",WEEKNUM(B71,2))</f>
        <v>0</v>
      </c>
      <c r="Q71" s="38">
        <f>IF(B71="","",IF(E71="Tip","No",IF(E71="Refund","No","Yes")))</f>
        <v>0</v>
      </c>
      <c r="R71" s="25">
        <f>IF(B71="","",IF(E71="Refund",-1,1))</f>
        <v>0</v>
      </c>
      <c r="S71" s="26">
        <f>IF(B71="","",IF(G71="",0,IF(F71="Card",ROUND(G71*CardFeePercent+CardFeeFixed,2),IF(F71="Online deposit",ROUND(G71*CardFeePercent+CardFeeFixed,2),0))))</f>
        <v>0</v>
      </c>
      <c r="T71" s="26">
        <f>IF(B71="","",ROUND(IF(G71="",0,G71)*R71-S71,2))</f>
        <v>0</v>
      </c>
      <c r="U71" s="38">
        <f>IF(B71="","",IF(E71="Tip","Yes","No"))</f>
        <v>0</v>
      </c>
      <c r="V71" s="15">
        <f>IF(B71="","",IF(H71&lt;&gt;"","Sale "&amp;H71,IF(I71&lt;&gt;"","Booking "&amp;I71,IF(E71="Tip","Stylist","Unapplied"))))</f>
        <v>0</v>
      </c>
      <c r="W71" s="39">
        <f>IF(B71="","",IF(G71="","Add - no amount yet",IF(E71="","Add - what was this for?",IF(IF(H71="",FALSE,COUNTIF(Sales!$A$5:$A$1204,H71)=0),"Missing - no sale with that ID",IF(IF(I71="",FALSE,COUNTIF(Appointments!$A$5:$A$1204,I71)=0),"Missing - no booking with that ID",IF(IF(E71="Tip",J71="",FALSE),"Assign - whose tip is it?",IF(IF(E71="Deposit",IF(H71="",I71="",FALSE),FALSE),"Check - deposit not tied to a booking",IF(M71="No","Due - not reconciled yet","OK"))))))))</f>
        <v>0</v>
      </c>
    </row>
    <row r="72" spans="1:23">
      <c r="A72" s="28">
        <f>IF(B72="","",PaymentPrefix&amp;TEXT(ROW()-4,"0000"))</f>
        <v>0</v>
      </c>
      <c r="D72" s="15">
        <f>IF(C72="","",IFERROR(INDEX(Clients!$B$5:$B$504,MATCH(C72,Clients!$A$5:$A$504,0)),"Walk-in"))</f>
        <v>0</v>
      </c>
      <c r="K72" s="15">
        <f>IF(J72="","",IFERROR(INDEX(Staff!$B$5:$B$44,MATCH(J72,Staff!$A$5:$A$44,0)),""))</f>
        <v>0</v>
      </c>
      <c r="O72" s="15">
        <f>IF(B72="","",TEXT(B72,"yyyy-mm"))</f>
        <v>0</v>
      </c>
      <c r="P72" s="25">
        <f>IF(B72="","",WEEKNUM(B72,2))</f>
        <v>0</v>
      </c>
      <c r="Q72" s="38">
        <f>IF(B72="","",IF(E72="Tip","No",IF(E72="Refund","No","Yes")))</f>
        <v>0</v>
      </c>
      <c r="R72" s="25">
        <f>IF(B72="","",IF(E72="Refund",-1,1))</f>
        <v>0</v>
      </c>
      <c r="S72" s="26">
        <f>IF(B72="","",IF(G72="",0,IF(F72="Card",ROUND(G72*CardFeePercent+CardFeeFixed,2),IF(F72="Online deposit",ROUND(G72*CardFeePercent+CardFeeFixed,2),0))))</f>
        <v>0</v>
      </c>
      <c r="T72" s="26">
        <f>IF(B72="","",ROUND(IF(G72="",0,G72)*R72-S72,2))</f>
        <v>0</v>
      </c>
      <c r="U72" s="38">
        <f>IF(B72="","",IF(E72="Tip","Yes","No"))</f>
        <v>0</v>
      </c>
      <c r="V72" s="15">
        <f>IF(B72="","",IF(H72&lt;&gt;"","Sale "&amp;H72,IF(I72&lt;&gt;"","Booking "&amp;I72,IF(E72="Tip","Stylist","Unapplied"))))</f>
        <v>0</v>
      </c>
      <c r="W72" s="39">
        <f>IF(B72="","",IF(G72="","Add - no amount yet",IF(E72="","Add - what was this for?",IF(IF(H72="",FALSE,COUNTIF(Sales!$A$5:$A$1204,H72)=0),"Missing - no sale with that ID",IF(IF(I72="",FALSE,COUNTIF(Appointments!$A$5:$A$1204,I72)=0),"Missing - no booking with that ID",IF(IF(E72="Tip",J72="",FALSE),"Assign - whose tip is it?",IF(IF(E72="Deposit",IF(H72="",I72="",FALSE),FALSE),"Check - deposit not tied to a booking",IF(M72="No","Due - not reconciled yet","OK"))))))))</f>
        <v>0</v>
      </c>
    </row>
    <row r="73" spans="1:23">
      <c r="A73" s="28">
        <f>IF(B73="","",PaymentPrefix&amp;TEXT(ROW()-4,"0000"))</f>
        <v>0</v>
      </c>
      <c r="D73" s="15">
        <f>IF(C73="","",IFERROR(INDEX(Clients!$B$5:$B$504,MATCH(C73,Clients!$A$5:$A$504,0)),"Walk-in"))</f>
        <v>0</v>
      </c>
      <c r="K73" s="15">
        <f>IF(J73="","",IFERROR(INDEX(Staff!$B$5:$B$44,MATCH(J73,Staff!$A$5:$A$44,0)),""))</f>
        <v>0</v>
      </c>
      <c r="O73" s="15">
        <f>IF(B73="","",TEXT(B73,"yyyy-mm"))</f>
        <v>0</v>
      </c>
      <c r="P73" s="25">
        <f>IF(B73="","",WEEKNUM(B73,2))</f>
        <v>0</v>
      </c>
      <c r="Q73" s="38">
        <f>IF(B73="","",IF(E73="Tip","No",IF(E73="Refund","No","Yes")))</f>
        <v>0</v>
      </c>
      <c r="R73" s="25">
        <f>IF(B73="","",IF(E73="Refund",-1,1))</f>
        <v>0</v>
      </c>
      <c r="S73" s="26">
        <f>IF(B73="","",IF(G73="",0,IF(F73="Card",ROUND(G73*CardFeePercent+CardFeeFixed,2),IF(F73="Online deposit",ROUND(G73*CardFeePercent+CardFeeFixed,2),0))))</f>
        <v>0</v>
      </c>
      <c r="T73" s="26">
        <f>IF(B73="","",ROUND(IF(G73="",0,G73)*R73-S73,2))</f>
        <v>0</v>
      </c>
      <c r="U73" s="38">
        <f>IF(B73="","",IF(E73="Tip","Yes","No"))</f>
        <v>0</v>
      </c>
      <c r="V73" s="15">
        <f>IF(B73="","",IF(H73&lt;&gt;"","Sale "&amp;H73,IF(I73&lt;&gt;"","Booking "&amp;I73,IF(E73="Tip","Stylist","Unapplied"))))</f>
        <v>0</v>
      </c>
      <c r="W73" s="39">
        <f>IF(B73="","",IF(G73="","Add - no amount yet",IF(E73="","Add - what was this for?",IF(IF(H73="",FALSE,COUNTIF(Sales!$A$5:$A$1204,H73)=0),"Missing - no sale with that ID",IF(IF(I73="",FALSE,COUNTIF(Appointments!$A$5:$A$1204,I73)=0),"Missing - no booking with that ID",IF(IF(E73="Tip",J73="",FALSE),"Assign - whose tip is it?",IF(IF(E73="Deposit",IF(H73="",I73="",FALSE),FALSE),"Check - deposit not tied to a booking",IF(M73="No","Due - not reconciled yet","OK"))))))))</f>
        <v>0</v>
      </c>
    </row>
    <row r="74" spans="1:23">
      <c r="A74" s="28">
        <f>IF(B74="","",PaymentPrefix&amp;TEXT(ROW()-4,"0000"))</f>
        <v>0</v>
      </c>
      <c r="D74" s="15">
        <f>IF(C74="","",IFERROR(INDEX(Clients!$B$5:$B$504,MATCH(C74,Clients!$A$5:$A$504,0)),"Walk-in"))</f>
        <v>0</v>
      </c>
      <c r="K74" s="15">
        <f>IF(J74="","",IFERROR(INDEX(Staff!$B$5:$B$44,MATCH(J74,Staff!$A$5:$A$44,0)),""))</f>
        <v>0</v>
      </c>
      <c r="O74" s="15">
        <f>IF(B74="","",TEXT(B74,"yyyy-mm"))</f>
        <v>0</v>
      </c>
      <c r="P74" s="25">
        <f>IF(B74="","",WEEKNUM(B74,2))</f>
        <v>0</v>
      </c>
      <c r="Q74" s="38">
        <f>IF(B74="","",IF(E74="Tip","No",IF(E74="Refund","No","Yes")))</f>
        <v>0</v>
      </c>
      <c r="R74" s="25">
        <f>IF(B74="","",IF(E74="Refund",-1,1))</f>
        <v>0</v>
      </c>
      <c r="S74" s="26">
        <f>IF(B74="","",IF(G74="",0,IF(F74="Card",ROUND(G74*CardFeePercent+CardFeeFixed,2),IF(F74="Online deposit",ROUND(G74*CardFeePercent+CardFeeFixed,2),0))))</f>
        <v>0</v>
      </c>
      <c r="T74" s="26">
        <f>IF(B74="","",ROUND(IF(G74="",0,G74)*R74-S74,2))</f>
        <v>0</v>
      </c>
      <c r="U74" s="38">
        <f>IF(B74="","",IF(E74="Tip","Yes","No"))</f>
        <v>0</v>
      </c>
      <c r="V74" s="15">
        <f>IF(B74="","",IF(H74&lt;&gt;"","Sale "&amp;H74,IF(I74&lt;&gt;"","Booking "&amp;I74,IF(E74="Tip","Stylist","Unapplied"))))</f>
        <v>0</v>
      </c>
      <c r="W74" s="39">
        <f>IF(B74="","",IF(G74="","Add - no amount yet",IF(E74="","Add - what was this for?",IF(IF(H74="",FALSE,COUNTIF(Sales!$A$5:$A$1204,H74)=0),"Missing - no sale with that ID",IF(IF(I74="",FALSE,COUNTIF(Appointments!$A$5:$A$1204,I74)=0),"Missing - no booking with that ID",IF(IF(E74="Tip",J74="",FALSE),"Assign - whose tip is it?",IF(IF(E74="Deposit",IF(H74="",I74="",FALSE),FALSE),"Check - deposit not tied to a booking",IF(M74="No","Due - not reconciled yet","OK"))))))))</f>
        <v>0</v>
      </c>
    </row>
    <row r="75" spans="1:23">
      <c r="A75" s="28">
        <f>IF(B75="","",PaymentPrefix&amp;TEXT(ROW()-4,"0000"))</f>
        <v>0</v>
      </c>
      <c r="D75" s="15">
        <f>IF(C75="","",IFERROR(INDEX(Clients!$B$5:$B$504,MATCH(C75,Clients!$A$5:$A$504,0)),"Walk-in"))</f>
        <v>0</v>
      </c>
      <c r="K75" s="15">
        <f>IF(J75="","",IFERROR(INDEX(Staff!$B$5:$B$44,MATCH(J75,Staff!$A$5:$A$44,0)),""))</f>
        <v>0</v>
      </c>
      <c r="O75" s="15">
        <f>IF(B75="","",TEXT(B75,"yyyy-mm"))</f>
        <v>0</v>
      </c>
      <c r="P75" s="25">
        <f>IF(B75="","",WEEKNUM(B75,2))</f>
        <v>0</v>
      </c>
      <c r="Q75" s="38">
        <f>IF(B75="","",IF(E75="Tip","No",IF(E75="Refund","No","Yes")))</f>
        <v>0</v>
      </c>
      <c r="R75" s="25">
        <f>IF(B75="","",IF(E75="Refund",-1,1))</f>
        <v>0</v>
      </c>
      <c r="S75" s="26">
        <f>IF(B75="","",IF(G75="",0,IF(F75="Card",ROUND(G75*CardFeePercent+CardFeeFixed,2),IF(F75="Online deposit",ROUND(G75*CardFeePercent+CardFeeFixed,2),0))))</f>
        <v>0</v>
      </c>
      <c r="T75" s="26">
        <f>IF(B75="","",ROUND(IF(G75="",0,G75)*R75-S75,2))</f>
        <v>0</v>
      </c>
      <c r="U75" s="38">
        <f>IF(B75="","",IF(E75="Tip","Yes","No"))</f>
        <v>0</v>
      </c>
      <c r="V75" s="15">
        <f>IF(B75="","",IF(H75&lt;&gt;"","Sale "&amp;H75,IF(I75&lt;&gt;"","Booking "&amp;I75,IF(E75="Tip","Stylist","Unapplied"))))</f>
        <v>0</v>
      </c>
      <c r="W75" s="39">
        <f>IF(B75="","",IF(G75="","Add - no amount yet",IF(E75="","Add - what was this for?",IF(IF(H75="",FALSE,COUNTIF(Sales!$A$5:$A$1204,H75)=0),"Missing - no sale with that ID",IF(IF(I75="",FALSE,COUNTIF(Appointments!$A$5:$A$1204,I75)=0),"Missing - no booking with that ID",IF(IF(E75="Tip",J75="",FALSE),"Assign - whose tip is it?",IF(IF(E75="Deposit",IF(H75="",I75="",FALSE),FALSE),"Check - deposit not tied to a booking",IF(M75="No","Due - not reconciled yet","OK"))))))))</f>
        <v>0</v>
      </c>
    </row>
    <row r="76" spans="1:23">
      <c r="A76" s="28">
        <f>IF(B76="","",PaymentPrefix&amp;TEXT(ROW()-4,"0000"))</f>
        <v>0</v>
      </c>
      <c r="D76" s="15">
        <f>IF(C76="","",IFERROR(INDEX(Clients!$B$5:$B$504,MATCH(C76,Clients!$A$5:$A$504,0)),"Walk-in"))</f>
        <v>0</v>
      </c>
      <c r="K76" s="15">
        <f>IF(J76="","",IFERROR(INDEX(Staff!$B$5:$B$44,MATCH(J76,Staff!$A$5:$A$44,0)),""))</f>
        <v>0</v>
      </c>
      <c r="O76" s="15">
        <f>IF(B76="","",TEXT(B76,"yyyy-mm"))</f>
        <v>0</v>
      </c>
      <c r="P76" s="25">
        <f>IF(B76="","",WEEKNUM(B76,2))</f>
        <v>0</v>
      </c>
      <c r="Q76" s="38">
        <f>IF(B76="","",IF(E76="Tip","No",IF(E76="Refund","No","Yes")))</f>
        <v>0</v>
      </c>
      <c r="R76" s="25">
        <f>IF(B76="","",IF(E76="Refund",-1,1))</f>
        <v>0</v>
      </c>
      <c r="S76" s="26">
        <f>IF(B76="","",IF(G76="",0,IF(F76="Card",ROUND(G76*CardFeePercent+CardFeeFixed,2),IF(F76="Online deposit",ROUND(G76*CardFeePercent+CardFeeFixed,2),0))))</f>
        <v>0</v>
      </c>
      <c r="T76" s="26">
        <f>IF(B76="","",ROUND(IF(G76="",0,G76)*R76-S76,2))</f>
        <v>0</v>
      </c>
      <c r="U76" s="38">
        <f>IF(B76="","",IF(E76="Tip","Yes","No"))</f>
        <v>0</v>
      </c>
      <c r="V76" s="15">
        <f>IF(B76="","",IF(H76&lt;&gt;"","Sale "&amp;H76,IF(I76&lt;&gt;"","Booking "&amp;I76,IF(E76="Tip","Stylist","Unapplied"))))</f>
        <v>0</v>
      </c>
      <c r="W76" s="39">
        <f>IF(B76="","",IF(G76="","Add - no amount yet",IF(E76="","Add - what was this for?",IF(IF(H76="",FALSE,COUNTIF(Sales!$A$5:$A$1204,H76)=0),"Missing - no sale with that ID",IF(IF(I76="",FALSE,COUNTIF(Appointments!$A$5:$A$1204,I76)=0),"Missing - no booking with that ID",IF(IF(E76="Tip",J76="",FALSE),"Assign - whose tip is it?",IF(IF(E76="Deposit",IF(H76="",I76="",FALSE),FALSE),"Check - deposit not tied to a booking",IF(M76="No","Due - not reconciled yet","OK"))))))))</f>
        <v>0</v>
      </c>
    </row>
    <row r="77" spans="1:23">
      <c r="A77" s="28">
        <f>IF(B77="","",PaymentPrefix&amp;TEXT(ROW()-4,"0000"))</f>
        <v>0</v>
      </c>
      <c r="D77" s="15">
        <f>IF(C77="","",IFERROR(INDEX(Clients!$B$5:$B$504,MATCH(C77,Clients!$A$5:$A$504,0)),"Walk-in"))</f>
        <v>0</v>
      </c>
      <c r="K77" s="15">
        <f>IF(J77="","",IFERROR(INDEX(Staff!$B$5:$B$44,MATCH(J77,Staff!$A$5:$A$44,0)),""))</f>
        <v>0</v>
      </c>
      <c r="O77" s="15">
        <f>IF(B77="","",TEXT(B77,"yyyy-mm"))</f>
        <v>0</v>
      </c>
      <c r="P77" s="25">
        <f>IF(B77="","",WEEKNUM(B77,2))</f>
        <v>0</v>
      </c>
      <c r="Q77" s="38">
        <f>IF(B77="","",IF(E77="Tip","No",IF(E77="Refund","No","Yes")))</f>
        <v>0</v>
      </c>
      <c r="R77" s="25">
        <f>IF(B77="","",IF(E77="Refund",-1,1))</f>
        <v>0</v>
      </c>
      <c r="S77" s="26">
        <f>IF(B77="","",IF(G77="",0,IF(F77="Card",ROUND(G77*CardFeePercent+CardFeeFixed,2),IF(F77="Online deposit",ROUND(G77*CardFeePercent+CardFeeFixed,2),0))))</f>
        <v>0</v>
      </c>
      <c r="T77" s="26">
        <f>IF(B77="","",ROUND(IF(G77="",0,G77)*R77-S77,2))</f>
        <v>0</v>
      </c>
      <c r="U77" s="38">
        <f>IF(B77="","",IF(E77="Tip","Yes","No"))</f>
        <v>0</v>
      </c>
      <c r="V77" s="15">
        <f>IF(B77="","",IF(H77&lt;&gt;"","Sale "&amp;H77,IF(I77&lt;&gt;"","Booking "&amp;I77,IF(E77="Tip","Stylist","Unapplied"))))</f>
        <v>0</v>
      </c>
      <c r="W77" s="39">
        <f>IF(B77="","",IF(G77="","Add - no amount yet",IF(E77="","Add - what was this for?",IF(IF(H77="",FALSE,COUNTIF(Sales!$A$5:$A$1204,H77)=0),"Missing - no sale with that ID",IF(IF(I77="",FALSE,COUNTIF(Appointments!$A$5:$A$1204,I77)=0),"Missing - no booking with that ID",IF(IF(E77="Tip",J77="",FALSE),"Assign - whose tip is it?",IF(IF(E77="Deposit",IF(H77="",I77="",FALSE),FALSE),"Check - deposit not tied to a booking",IF(M77="No","Due - not reconciled yet","OK"))))))))</f>
        <v>0</v>
      </c>
    </row>
    <row r="78" spans="1:23">
      <c r="A78" s="28">
        <f>IF(B78="","",PaymentPrefix&amp;TEXT(ROW()-4,"0000"))</f>
        <v>0</v>
      </c>
      <c r="D78" s="15">
        <f>IF(C78="","",IFERROR(INDEX(Clients!$B$5:$B$504,MATCH(C78,Clients!$A$5:$A$504,0)),"Walk-in"))</f>
        <v>0</v>
      </c>
      <c r="K78" s="15">
        <f>IF(J78="","",IFERROR(INDEX(Staff!$B$5:$B$44,MATCH(J78,Staff!$A$5:$A$44,0)),""))</f>
        <v>0</v>
      </c>
      <c r="O78" s="15">
        <f>IF(B78="","",TEXT(B78,"yyyy-mm"))</f>
        <v>0</v>
      </c>
      <c r="P78" s="25">
        <f>IF(B78="","",WEEKNUM(B78,2))</f>
        <v>0</v>
      </c>
      <c r="Q78" s="38">
        <f>IF(B78="","",IF(E78="Tip","No",IF(E78="Refund","No","Yes")))</f>
        <v>0</v>
      </c>
      <c r="R78" s="25">
        <f>IF(B78="","",IF(E78="Refund",-1,1))</f>
        <v>0</v>
      </c>
      <c r="S78" s="26">
        <f>IF(B78="","",IF(G78="",0,IF(F78="Card",ROUND(G78*CardFeePercent+CardFeeFixed,2),IF(F78="Online deposit",ROUND(G78*CardFeePercent+CardFeeFixed,2),0))))</f>
        <v>0</v>
      </c>
      <c r="T78" s="26">
        <f>IF(B78="","",ROUND(IF(G78="",0,G78)*R78-S78,2))</f>
        <v>0</v>
      </c>
      <c r="U78" s="38">
        <f>IF(B78="","",IF(E78="Tip","Yes","No"))</f>
        <v>0</v>
      </c>
      <c r="V78" s="15">
        <f>IF(B78="","",IF(H78&lt;&gt;"","Sale "&amp;H78,IF(I78&lt;&gt;"","Booking "&amp;I78,IF(E78="Tip","Stylist","Unapplied"))))</f>
        <v>0</v>
      </c>
      <c r="W78" s="39">
        <f>IF(B78="","",IF(G78="","Add - no amount yet",IF(E78="","Add - what was this for?",IF(IF(H78="",FALSE,COUNTIF(Sales!$A$5:$A$1204,H78)=0),"Missing - no sale with that ID",IF(IF(I78="",FALSE,COUNTIF(Appointments!$A$5:$A$1204,I78)=0),"Missing - no booking with that ID",IF(IF(E78="Tip",J78="",FALSE),"Assign - whose tip is it?",IF(IF(E78="Deposit",IF(H78="",I78="",FALSE),FALSE),"Check - deposit not tied to a booking",IF(M78="No","Due - not reconciled yet","OK"))))))))</f>
        <v>0</v>
      </c>
    </row>
    <row r="79" spans="1:23">
      <c r="A79" s="28">
        <f>IF(B79="","",PaymentPrefix&amp;TEXT(ROW()-4,"0000"))</f>
        <v>0</v>
      </c>
      <c r="D79" s="15">
        <f>IF(C79="","",IFERROR(INDEX(Clients!$B$5:$B$504,MATCH(C79,Clients!$A$5:$A$504,0)),"Walk-in"))</f>
        <v>0</v>
      </c>
      <c r="K79" s="15">
        <f>IF(J79="","",IFERROR(INDEX(Staff!$B$5:$B$44,MATCH(J79,Staff!$A$5:$A$44,0)),""))</f>
        <v>0</v>
      </c>
      <c r="O79" s="15">
        <f>IF(B79="","",TEXT(B79,"yyyy-mm"))</f>
        <v>0</v>
      </c>
      <c r="P79" s="25">
        <f>IF(B79="","",WEEKNUM(B79,2))</f>
        <v>0</v>
      </c>
      <c r="Q79" s="38">
        <f>IF(B79="","",IF(E79="Tip","No",IF(E79="Refund","No","Yes")))</f>
        <v>0</v>
      </c>
      <c r="R79" s="25">
        <f>IF(B79="","",IF(E79="Refund",-1,1))</f>
        <v>0</v>
      </c>
      <c r="S79" s="26">
        <f>IF(B79="","",IF(G79="",0,IF(F79="Card",ROUND(G79*CardFeePercent+CardFeeFixed,2),IF(F79="Online deposit",ROUND(G79*CardFeePercent+CardFeeFixed,2),0))))</f>
        <v>0</v>
      </c>
      <c r="T79" s="26">
        <f>IF(B79="","",ROUND(IF(G79="",0,G79)*R79-S79,2))</f>
        <v>0</v>
      </c>
      <c r="U79" s="38">
        <f>IF(B79="","",IF(E79="Tip","Yes","No"))</f>
        <v>0</v>
      </c>
      <c r="V79" s="15">
        <f>IF(B79="","",IF(H79&lt;&gt;"","Sale "&amp;H79,IF(I79&lt;&gt;"","Booking "&amp;I79,IF(E79="Tip","Stylist","Unapplied"))))</f>
        <v>0</v>
      </c>
      <c r="W79" s="39">
        <f>IF(B79="","",IF(G79="","Add - no amount yet",IF(E79="","Add - what was this for?",IF(IF(H79="",FALSE,COUNTIF(Sales!$A$5:$A$1204,H79)=0),"Missing - no sale with that ID",IF(IF(I79="",FALSE,COUNTIF(Appointments!$A$5:$A$1204,I79)=0),"Missing - no booking with that ID",IF(IF(E79="Tip",J79="",FALSE),"Assign - whose tip is it?",IF(IF(E79="Deposit",IF(H79="",I79="",FALSE),FALSE),"Check - deposit not tied to a booking",IF(M79="No","Due - not reconciled yet","OK"))))))))</f>
        <v>0</v>
      </c>
    </row>
    <row r="80" spans="1:23">
      <c r="A80" s="28">
        <f>IF(B80="","",PaymentPrefix&amp;TEXT(ROW()-4,"0000"))</f>
        <v>0</v>
      </c>
      <c r="D80" s="15">
        <f>IF(C80="","",IFERROR(INDEX(Clients!$B$5:$B$504,MATCH(C80,Clients!$A$5:$A$504,0)),"Walk-in"))</f>
        <v>0</v>
      </c>
      <c r="K80" s="15">
        <f>IF(J80="","",IFERROR(INDEX(Staff!$B$5:$B$44,MATCH(J80,Staff!$A$5:$A$44,0)),""))</f>
        <v>0</v>
      </c>
      <c r="O80" s="15">
        <f>IF(B80="","",TEXT(B80,"yyyy-mm"))</f>
        <v>0</v>
      </c>
      <c r="P80" s="25">
        <f>IF(B80="","",WEEKNUM(B80,2))</f>
        <v>0</v>
      </c>
      <c r="Q80" s="38">
        <f>IF(B80="","",IF(E80="Tip","No",IF(E80="Refund","No","Yes")))</f>
        <v>0</v>
      </c>
      <c r="R80" s="25">
        <f>IF(B80="","",IF(E80="Refund",-1,1))</f>
        <v>0</v>
      </c>
      <c r="S80" s="26">
        <f>IF(B80="","",IF(G80="",0,IF(F80="Card",ROUND(G80*CardFeePercent+CardFeeFixed,2),IF(F80="Online deposit",ROUND(G80*CardFeePercent+CardFeeFixed,2),0))))</f>
        <v>0</v>
      </c>
      <c r="T80" s="26">
        <f>IF(B80="","",ROUND(IF(G80="",0,G80)*R80-S80,2))</f>
        <v>0</v>
      </c>
      <c r="U80" s="38">
        <f>IF(B80="","",IF(E80="Tip","Yes","No"))</f>
        <v>0</v>
      </c>
      <c r="V80" s="15">
        <f>IF(B80="","",IF(H80&lt;&gt;"","Sale "&amp;H80,IF(I80&lt;&gt;"","Booking "&amp;I80,IF(E80="Tip","Stylist","Unapplied"))))</f>
        <v>0</v>
      </c>
      <c r="W80" s="39">
        <f>IF(B80="","",IF(G80="","Add - no amount yet",IF(E80="","Add - what was this for?",IF(IF(H80="",FALSE,COUNTIF(Sales!$A$5:$A$1204,H80)=0),"Missing - no sale with that ID",IF(IF(I80="",FALSE,COUNTIF(Appointments!$A$5:$A$1204,I80)=0),"Missing - no booking with that ID",IF(IF(E80="Tip",J80="",FALSE),"Assign - whose tip is it?",IF(IF(E80="Deposit",IF(H80="",I80="",FALSE),FALSE),"Check - deposit not tied to a booking",IF(M80="No","Due - not reconciled yet","OK"))))))))</f>
        <v>0</v>
      </c>
    </row>
    <row r="81" spans="1:23">
      <c r="A81" s="28">
        <f>IF(B81="","",PaymentPrefix&amp;TEXT(ROW()-4,"0000"))</f>
        <v>0</v>
      </c>
      <c r="D81" s="15">
        <f>IF(C81="","",IFERROR(INDEX(Clients!$B$5:$B$504,MATCH(C81,Clients!$A$5:$A$504,0)),"Walk-in"))</f>
        <v>0</v>
      </c>
      <c r="K81" s="15">
        <f>IF(J81="","",IFERROR(INDEX(Staff!$B$5:$B$44,MATCH(J81,Staff!$A$5:$A$44,0)),""))</f>
        <v>0</v>
      </c>
      <c r="O81" s="15">
        <f>IF(B81="","",TEXT(B81,"yyyy-mm"))</f>
        <v>0</v>
      </c>
      <c r="P81" s="25">
        <f>IF(B81="","",WEEKNUM(B81,2))</f>
        <v>0</v>
      </c>
      <c r="Q81" s="38">
        <f>IF(B81="","",IF(E81="Tip","No",IF(E81="Refund","No","Yes")))</f>
        <v>0</v>
      </c>
      <c r="R81" s="25">
        <f>IF(B81="","",IF(E81="Refund",-1,1))</f>
        <v>0</v>
      </c>
      <c r="S81" s="26">
        <f>IF(B81="","",IF(G81="",0,IF(F81="Card",ROUND(G81*CardFeePercent+CardFeeFixed,2),IF(F81="Online deposit",ROUND(G81*CardFeePercent+CardFeeFixed,2),0))))</f>
        <v>0</v>
      </c>
      <c r="T81" s="26">
        <f>IF(B81="","",ROUND(IF(G81="",0,G81)*R81-S81,2))</f>
        <v>0</v>
      </c>
      <c r="U81" s="38">
        <f>IF(B81="","",IF(E81="Tip","Yes","No"))</f>
        <v>0</v>
      </c>
      <c r="V81" s="15">
        <f>IF(B81="","",IF(H81&lt;&gt;"","Sale "&amp;H81,IF(I81&lt;&gt;"","Booking "&amp;I81,IF(E81="Tip","Stylist","Unapplied"))))</f>
        <v>0</v>
      </c>
      <c r="W81" s="39">
        <f>IF(B81="","",IF(G81="","Add - no amount yet",IF(E81="","Add - what was this for?",IF(IF(H81="",FALSE,COUNTIF(Sales!$A$5:$A$1204,H81)=0),"Missing - no sale with that ID",IF(IF(I81="",FALSE,COUNTIF(Appointments!$A$5:$A$1204,I81)=0),"Missing - no booking with that ID",IF(IF(E81="Tip",J81="",FALSE),"Assign - whose tip is it?",IF(IF(E81="Deposit",IF(H81="",I81="",FALSE),FALSE),"Check - deposit not tied to a booking",IF(M81="No","Due - not reconciled yet","OK"))))))))</f>
        <v>0</v>
      </c>
    </row>
    <row r="82" spans="1:23">
      <c r="A82" s="28">
        <f>IF(B82="","",PaymentPrefix&amp;TEXT(ROW()-4,"0000"))</f>
        <v>0</v>
      </c>
      <c r="D82" s="15">
        <f>IF(C82="","",IFERROR(INDEX(Clients!$B$5:$B$504,MATCH(C82,Clients!$A$5:$A$504,0)),"Walk-in"))</f>
        <v>0</v>
      </c>
      <c r="K82" s="15">
        <f>IF(J82="","",IFERROR(INDEX(Staff!$B$5:$B$44,MATCH(J82,Staff!$A$5:$A$44,0)),""))</f>
        <v>0</v>
      </c>
      <c r="O82" s="15">
        <f>IF(B82="","",TEXT(B82,"yyyy-mm"))</f>
        <v>0</v>
      </c>
      <c r="P82" s="25">
        <f>IF(B82="","",WEEKNUM(B82,2))</f>
        <v>0</v>
      </c>
      <c r="Q82" s="38">
        <f>IF(B82="","",IF(E82="Tip","No",IF(E82="Refund","No","Yes")))</f>
        <v>0</v>
      </c>
      <c r="R82" s="25">
        <f>IF(B82="","",IF(E82="Refund",-1,1))</f>
        <v>0</v>
      </c>
      <c r="S82" s="26">
        <f>IF(B82="","",IF(G82="",0,IF(F82="Card",ROUND(G82*CardFeePercent+CardFeeFixed,2),IF(F82="Online deposit",ROUND(G82*CardFeePercent+CardFeeFixed,2),0))))</f>
        <v>0</v>
      </c>
      <c r="T82" s="26">
        <f>IF(B82="","",ROUND(IF(G82="",0,G82)*R82-S82,2))</f>
        <v>0</v>
      </c>
      <c r="U82" s="38">
        <f>IF(B82="","",IF(E82="Tip","Yes","No"))</f>
        <v>0</v>
      </c>
      <c r="V82" s="15">
        <f>IF(B82="","",IF(H82&lt;&gt;"","Sale "&amp;H82,IF(I82&lt;&gt;"","Booking "&amp;I82,IF(E82="Tip","Stylist","Unapplied"))))</f>
        <v>0</v>
      </c>
      <c r="W82" s="39">
        <f>IF(B82="","",IF(G82="","Add - no amount yet",IF(E82="","Add - what was this for?",IF(IF(H82="",FALSE,COUNTIF(Sales!$A$5:$A$1204,H82)=0),"Missing - no sale with that ID",IF(IF(I82="",FALSE,COUNTIF(Appointments!$A$5:$A$1204,I82)=0),"Missing - no booking with that ID",IF(IF(E82="Tip",J82="",FALSE),"Assign - whose tip is it?",IF(IF(E82="Deposit",IF(H82="",I82="",FALSE),FALSE),"Check - deposit not tied to a booking",IF(M82="No","Due - not reconciled yet","OK"))))))))</f>
        <v>0</v>
      </c>
    </row>
    <row r="83" spans="1:23">
      <c r="A83" s="28">
        <f>IF(B83="","",PaymentPrefix&amp;TEXT(ROW()-4,"0000"))</f>
        <v>0</v>
      </c>
      <c r="D83" s="15">
        <f>IF(C83="","",IFERROR(INDEX(Clients!$B$5:$B$504,MATCH(C83,Clients!$A$5:$A$504,0)),"Walk-in"))</f>
        <v>0</v>
      </c>
      <c r="K83" s="15">
        <f>IF(J83="","",IFERROR(INDEX(Staff!$B$5:$B$44,MATCH(J83,Staff!$A$5:$A$44,0)),""))</f>
        <v>0</v>
      </c>
      <c r="O83" s="15">
        <f>IF(B83="","",TEXT(B83,"yyyy-mm"))</f>
        <v>0</v>
      </c>
      <c r="P83" s="25">
        <f>IF(B83="","",WEEKNUM(B83,2))</f>
        <v>0</v>
      </c>
      <c r="Q83" s="38">
        <f>IF(B83="","",IF(E83="Tip","No",IF(E83="Refund","No","Yes")))</f>
        <v>0</v>
      </c>
      <c r="R83" s="25">
        <f>IF(B83="","",IF(E83="Refund",-1,1))</f>
        <v>0</v>
      </c>
      <c r="S83" s="26">
        <f>IF(B83="","",IF(G83="",0,IF(F83="Card",ROUND(G83*CardFeePercent+CardFeeFixed,2),IF(F83="Online deposit",ROUND(G83*CardFeePercent+CardFeeFixed,2),0))))</f>
        <v>0</v>
      </c>
      <c r="T83" s="26">
        <f>IF(B83="","",ROUND(IF(G83="",0,G83)*R83-S83,2))</f>
        <v>0</v>
      </c>
      <c r="U83" s="38">
        <f>IF(B83="","",IF(E83="Tip","Yes","No"))</f>
        <v>0</v>
      </c>
      <c r="V83" s="15">
        <f>IF(B83="","",IF(H83&lt;&gt;"","Sale "&amp;H83,IF(I83&lt;&gt;"","Booking "&amp;I83,IF(E83="Tip","Stylist","Unapplied"))))</f>
        <v>0</v>
      </c>
      <c r="W83" s="39">
        <f>IF(B83="","",IF(G83="","Add - no amount yet",IF(E83="","Add - what was this for?",IF(IF(H83="",FALSE,COUNTIF(Sales!$A$5:$A$1204,H83)=0),"Missing - no sale with that ID",IF(IF(I83="",FALSE,COUNTIF(Appointments!$A$5:$A$1204,I83)=0),"Missing - no booking with that ID",IF(IF(E83="Tip",J83="",FALSE),"Assign - whose tip is it?",IF(IF(E83="Deposit",IF(H83="",I83="",FALSE),FALSE),"Check - deposit not tied to a booking",IF(M83="No","Due - not reconciled yet","OK"))))))))</f>
        <v>0</v>
      </c>
    </row>
    <row r="84" spans="1:23">
      <c r="A84" s="28">
        <f>IF(B84="","",PaymentPrefix&amp;TEXT(ROW()-4,"0000"))</f>
        <v>0</v>
      </c>
      <c r="D84" s="15">
        <f>IF(C84="","",IFERROR(INDEX(Clients!$B$5:$B$504,MATCH(C84,Clients!$A$5:$A$504,0)),"Walk-in"))</f>
        <v>0</v>
      </c>
      <c r="K84" s="15">
        <f>IF(J84="","",IFERROR(INDEX(Staff!$B$5:$B$44,MATCH(J84,Staff!$A$5:$A$44,0)),""))</f>
        <v>0</v>
      </c>
      <c r="O84" s="15">
        <f>IF(B84="","",TEXT(B84,"yyyy-mm"))</f>
        <v>0</v>
      </c>
      <c r="P84" s="25">
        <f>IF(B84="","",WEEKNUM(B84,2))</f>
        <v>0</v>
      </c>
      <c r="Q84" s="38">
        <f>IF(B84="","",IF(E84="Tip","No",IF(E84="Refund","No","Yes")))</f>
        <v>0</v>
      </c>
      <c r="R84" s="25">
        <f>IF(B84="","",IF(E84="Refund",-1,1))</f>
        <v>0</v>
      </c>
      <c r="S84" s="26">
        <f>IF(B84="","",IF(G84="",0,IF(F84="Card",ROUND(G84*CardFeePercent+CardFeeFixed,2),IF(F84="Online deposit",ROUND(G84*CardFeePercent+CardFeeFixed,2),0))))</f>
        <v>0</v>
      </c>
      <c r="T84" s="26">
        <f>IF(B84="","",ROUND(IF(G84="",0,G84)*R84-S84,2))</f>
        <v>0</v>
      </c>
      <c r="U84" s="38">
        <f>IF(B84="","",IF(E84="Tip","Yes","No"))</f>
        <v>0</v>
      </c>
      <c r="V84" s="15">
        <f>IF(B84="","",IF(H84&lt;&gt;"","Sale "&amp;H84,IF(I84&lt;&gt;"","Booking "&amp;I84,IF(E84="Tip","Stylist","Unapplied"))))</f>
        <v>0</v>
      </c>
      <c r="W84" s="39">
        <f>IF(B84="","",IF(G84="","Add - no amount yet",IF(E84="","Add - what was this for?",IF(IF(H84="",FALSE,COUNTIF(Sales!$A$5:$A$1204,H84)=0),"Missing - no sale with that ID",IF(IF(I84="",FALSE,COUNTIF(Appointments!$A$5:$A$1204,I84)=0),"Missing - no booking with that ID",IF(IF(E84="Tip",J84="",FALSE),"Assign - whose tip is it?",IF(IF(E84="Deposit",IF(H84="",I84="",FALSE),FALSE),"Check - deposit not tied to a booking",IF(M84="No","Due - not reconciled yet","OK"))))))))</f>
        <v>0</v>
      </c>
    </row>
    <row r="85" spans="1:23">
      <c r="A85" s="28">
        <f>IF(B85="","",PaymentPrefix&amp;TEXT(ROW()-4,"0000"))</f>
        <v>0</v>
      </c>
      <c r="D85" s="15">
        <f>IF(C85="","",IFERROR(INDEX(Clients!$B$5:$B$504,MATCH(C85,Clients!$A$5:$A$504,0)),"Walk-in"))</f>
        <v>0</v>
      </c>
      <c r="K85" s="15">
        <f>IF(J85="","",IFERROR(INDEX(Staff!$B$5:$B$44,MATCH(J85,Staff!$A$5:$A$44,0)),""))</f>
        <v>0</v>
      </c>
      <c r="O85" s="15">
        <f>IF(B85="","",TEXT(B85,"yyyy-mm"))</f>
        <v>0</v>
      </c>
      <c r="P85" s="25">
        <f>IF(B85="","",WEEKNUM(B85,2))</f>
        <v>0</v>
      </c>
      <c r="Q85" s="38">
        <f>IF(B85="","",IF(E85="Tip","No",IF(E85="Refund","No","Yes")))</f>
        <v>0</v>
      </c>
      <c r="R85" s="25">
        <f>IF(B85="","",IF(E85="Refund",-1,1))</f>
        <v>0</v>
      </c>
      <c r="S85" s="26">
        <f>IF(B85="","",IF(G85="",0,IF(F85="Card",ROUND(G85*CardFeePercent+CardFeeFixed,2),IF(F85="Online deposit",ROUND(G85*CardFeePercent+CardFeeFixed,2),0))))</f>
        <v>0</v>
      </c>
      <c r="T85" s="26">
        <f>IF(B85="","",ROUND(IF(G85="",0,G85)*R85-S85,2))</f>
        <v>0</v>
      </c>
      <c r="U85" s="38">
        <f>IF(B85="","",IF(E85="Tip","Yes","No"))</f>
        <v>0</v>
      </c>
      <c r="V85" s="15">
        <f>IF(B85="","",IF(H85&lt;&gt;"","Sale "&amp;H85,IF(I85&lt;&gt;"","Booking "&amp;I85,IF(E85="Tip","Stylist","Unapplied"))))</f>
        <v>0</v>
      </c>
      <c r="W85" s="39">
        <f>IF(B85="","",IF(G85="","Add - no amount yet",IF(E85="","Add - what was this for?",IF(IF(H85="",FALSE,COUNTIF(Sales!$A$5:$A$1204,H85)=0),"Missing - no sale with that ID",IF(IF(I85="",FALSE,COUNTIF(Appointments!$A$5:$A$1204,I85)=0),"Missing - no booking with that ID",IF(IF(E85="Tip",J85="",FALSE),"Assign - whose tip is it?",IF(IF(E85="Deposit",IF(H85="",I85="",FALSE),FALSE),"Check - deposit not tied to a booking",IF(M85="No","Due - not reconciled yet","OK"))))))))</f>
        <v>0</v>
      </c>
    </row>
    <row r="86" spans="1:23">
      <c r="A86" s="28">
        <f>IF(B86="","",PaymentPrefix&amp;TEXT(ROW()-4,"0000"))</f>
        <v>0</v>
      </c>
      <c r="D86" s="15">
        <f>IF(C86="","",IFERROR(INDEX(Clients!$B$5:$B$504,MATCH(C86,Clients!$A$5:$A$504,0)),"Walk-in"))</f>
        <v>0</v>
      </c>
      <c r="K86" s="15">
        <f>IF(J86="","",IFERROR(INDEX(Staff!$B$5:$B$44,MATCH(J86,Staff!$A$5:$A$44,0)),""))</f>
        <v>0</v>
      </c>
      <c r="O86" s="15">
        <f>IF(B86="","",TEXT(B86,"yyyy-mm"))</f>
        <v>0</v>
      </c>
      <c r="P86" s="25">
        <f>IF(B86="","",WEEKNUM(B86,2))</f>
        <v>0</v>
      </c>
      <c r="Q86" s="38">
        <f>IF(B86="","",IF(E86="Tip","No",IF(E86="Refund","No","Yes")))</f>
        <v>0</v>
      </c>
      <c r="R86" s="25">
        <f>IF(B86="","",IF(E86="Refund",-1,1))</f>
        <v>0</v>
      </c>
      <c r="S86" s="26">
        <f>IF(B86="","",IF(G86="",0,IF(F86="Card",ROUND(G86*CardFeePercent+CardFeeFixed,2),IF(F86="Online deposit",ROUND(G86*CardFeePercent+CardFeeFixed,2),0))))</f>
        <v>0</v>
      </c>
      <c r="T86" s="26">
        <f>IF(B86="","",ROUND(IF(G86="",0,G86)*R86-S86,2))</f>
        <v>0</v>
      </c>
      <c r="U86" s="38">
        <f>IF(B86="","",IF(E86="Tip","Yes","No"))</f>
        <v>0</v>
      </c>
      <c r="V86" s="15">
        <f>IF(B86="","",IF(H86&lt;&gt;"","Sale "&amp;H86,IF(I86&lt;&gt;"","Booking "&amp;I86,IF(E86="Tip","Stylist","Unapplied"))))</f>
        <v>0</v>
      </c>
      <c r="W86" s="39">
        <f>IF(B86="","",IF(G86="","Add - no amount yet",IF(E86="","Add - what was this for?",IF(IF(H86="",FALSE,COUNTIF(Sales!$A$5:$A$1204,H86)=0),"Missing - no sale with that ID",IF(IF(I86="",FALSE,COUNTIF(Appointments!$A$5:$A$1204,I86)=0),"Missing - no booking with that ID",IF(IF(E86="Tip",J86="",FALSE),"Assign - whose tip is it?",IF(IF(E86="Deposit",IF(H86="",I86="",FALSE),FALSE),"Check - deposit not tied to a booking",IF(M86="No","Due - not reconciled yet","OK"))))))))</f>
        <v>0</v>
      </c>
    </row>
    <row r="87" spans="1:23">
      <c r="A87" s="28">
        <f>IF(B87="","",PaymentPrefix&amp;TEXT(ROW()-4,"0000"))</f>
        <v>0</v>
      </c>
      <c r="D87" s="15">
        <f>IF(C87="","",IFERROR(INDEX(Clients!$B$5:$B$504,MATCH(C87,Clients!$A$5:$A$504,0)),"Walk-in"))</f>
        <v>0</v>
      </c>
      <c r="K87" s="15">
        <f>IF(J87="","",IFERROR(INDEX(Staff!$B$5:$B$44,MATCH(J87,Staff!$A$5:$A$44,0)),""))</f>
        <v>0</v>
      </c>
      <c r="O87" s="15">
        <f>IF(B87="","",TEXT(B87,"yyyy-mm"))</f>
        <v>0</v>
      </c>
      <c r="P87" s="25">
        <f>IF(B87="","",WEEKNUM(B87,2))</f>
        <v>0</v>
      </c>
      <c r="Q87" s="38">
        <f>IF(B87="","",IF(E87="Tip","No",IF(E87="Refund","No","Yes")))</f>
        <v>0</v>
      </c>
      <c r="R87" s="25">
        <f>IF(B87="","",IF(E87="Refund",-1,1))</f>
        <v>0</v>
      </c>
      <c r="S87" s="26">
        <f>IF(B87="","",IF(G87="",0,IF(F87="Card",ROUND(G87*CardFeePercent+CardFeeFixed,2),IF(F87="Online deposit",ROUND(G87*CardFeePercent+CardFeeFixed,2),0))))</f>
        <v>0</v>
      </c>
      <c r="T87" s="26">
        <f>IF(B87="","",ROUND(IF(G87="",0,G87)*R87-S87,2))</f>
        <v>0</v>
      </c>
      <c r="U87" s="38">
        <f>IF(B87="","",IF(E87="Tip","Yes","No"))</f>
        <v>0</v>
      </c>
      <c r="V87" s="15">
        <f>IF(B87="","",IF(H87&lt;&gt;"","Sale "&amp;H87,IF(I87&lt;&gt;"","Booking "&amp;I87,IF(E87="Tip","Stylist","Unapplied"))))</f>
        <v>0</v>
      </c>
      <c r="W87" s="39">
        <f>IF(B87="","",IF(G87="","Add - no amount yet",IF(E87="","Add - what was this for?",IF(IF(H87="",FALSE,COUNTIF(Sales!$A$5:$A$1204,H87)=0),"Missing - no sale with that ID",IF(IF(I87="",FALSE,COUNTIF(Appointments!$A$5:$A$1204,I87)=0),"Missing - no booking with that ID",IF(IF(E87="Tip",J87="",FALSE),"Assign - whose tip is it?",IF(IF(E87="Deposit",IF(H87="",I87="",FALSE),FALSE),"Check - deposit not tied to a booking",IF(M87="No","Due - not reconciled yet","OK"))))))))</f>
        <v>0</v>
      </c>
    </row>
    <row r="88" spans="1:23">
      <c r="A88" s="28">
        <f>IF(B88="","",PaymentPrefix&amp;TEXT(ROW()-4,"0000"))</f>
        <v>0</v>
      </c>
      <c r="D88" s="15">
        <f>IF(C88="","",IFERROR(INDEX(Clients!$B$5:$B$504,MATCH(C88,Clients!$A$5:$A$504,0)),"Walk-in"))</f>
        <v>0</v>
      </c>
      <c r="K88" s="15">
        <f>IF(J88="","",IFERROR(INDEX(Staff!$B$5:$B$44,MATCH(J88,Staff!$A$5:$A$44,0)),""))</f>
        <v>0</v>
      </c>
      <c r="O88" s="15">
        <f>IF(B88="","",TEXT(B88,"yyyy-mm"))</f>
        <v>0</v>
      </c>
      <c r="P88" s="25">
        <f>IF(B88="","",WEEKNUM(B88,2))</f>
        <v>0</v>
      </c>
      <c r="Q88" s="38">
        <f>IF(B88="","",IF(E88="Tip","No",IF(E88="Refund","No","Yes")))</f>
        <v>0</v>
      </c>
      <c r="R88" s="25">
        <f>IF(B88="","",IF(E88="Refund",-1,1))</f>
        <v>0</v>
      </c>
      <c r="S88" s="26">
        <f>IF(B88="","",IF(G88="",0,IF(F88="Card",ROUND(G88*CardFeePercent+CardFeeFixed,2),IF(F88="Online deposit",ROUND(G88*CardFeePercent+CardFeeFixed,2),0))))</f>
        <v>0</v>
      </c>
      <c r="T88" s="26">
        <f>IF(B88="","",ROUND(IF(G88="",0,G88)*R88-S88,2))</f>
        <v>0</v>
      </c>
      <c r="U88" s="38">
        <f>IF(B88="","",IF(E88="Tip","Yes","No"))</f>
        <v>0</v>
      </c>
      <c r="V88" s="15">
        <f>IF(B88="","",IF(H88&lt;&gt;"","Sale "&amp;H88,IF(I88&lt;&gt;"","Booking "&amp;I88,IF(E88="Tip","Stylist","Unapplied"))))</f>
        <v>0</v>
      </c>
      <c r="W88" s="39">
        <f>IF(B88="","",IF(G88="","Add - no amount yet",IF(E88="","Add - what was this for?",IF(IF(H88="",FALSE,COUNTIF(Sales!$A$5:$A$1204,H88)=0),"Missing - no sale with that ID",IF(IF(I88="",FALSE,COUNTIF(Appointments!$A$5:$A$1204,I88)=0),"Missing - no booking with that ID",IF(IF(E88="Tip",J88="",FALSE),"Assign - whose tip is it?",IF(IF(E88="Deposit",IF(H88="",I88="",FALSE),FALSE),"Check - deposit not tied to a booking",IF(M88="No","Due - not reconciled yet","OK"))))))))</f>
        <v>0</v>
      </c>
    </row>
    <row r="89" spans="1:23">
      <c r="A89" s="28">
        <f>IF(B89="","",PaymentPrefix&amp;TEXT(ROW()-4,"0000"))</f>
        <v>0</v>
      </c>
      <c r="D89" s="15">
        <f>IF(C89="","",IFERROR(INDEX(Clients!$B$5:$B$504,MATCH(C89,Clients!$A$5:$A$504,0)),"Walk-in"))</f>
        <v>0</v>
      </c>
      <c r="K89" s="15">
        <f>IF(J89="","",IFERROR(INDEX(Staff!$B$5:$B$44,MATCH(J89,Staff!$A$5:$A$44,0)),""))</f>
        <v>0</v>
      </c>
      <c r="O89" s="15">
        <f>IF(B89="","",TEXT(B89,"yyyy-mm"))</f>
        <v>0</v>
      </c>
      <c r="P89" s="25">
        <f>IF(B89="","",WEEKNUM(B89,2))</f>
        <v>0</v>
      </c>
      <c r="Q89" s="38">
        <f>IF(B89="","",IF(E89="Tip","No",IF(E89="Refund","No","Yes")))</f>
        <v>0</v>
      </c>
      <c r="R89" s="25">
        <f>IF(B89="","",IF(E89="Refund",-1,1))</f>
        <v>0</v>
      </c>
      <c r="S89" s="26">
        <f>IF(B89="","",IF(G89="",0,IF(F89="Card",ROUND(G89*CardFeePercent+CardFeeFixed,2),IF(F89="Online deposit",ROUND(G89*CardFeePercent+CardFeeFixed,2),0))))</f>
        <v>0</v>
      </c>
      <c r="T89" s="26">
        <f>IF(B89="","",ROUND(IF(G89="",0,G89)*R89-S89,2))</f>
        <v>0</v>
      </c>
      <c r="U89" s="38">
        <f>IF(B89="","",IF(E89="Tip","Yes","No"))</f>
        <v>0</v>
      </c>
      <c r="V89" s="15">
        <f>IF(B89="","",IF(H89&lt;&gt;"","Sale "&amp;H89,IF(I89&lt;&gt;"","Booking "&amp;I89,IF(E89="Tip","Stylist","Unapplied"))))</f>
        <v>0</v>
      </c>
      <c r="W89" s="39">
        <f>IF(B89="","",IF(G89="","Add - no amount yet",IF(E89="","Add - what was this for?",IF(IF(H89="",FALSE,COUNTIF(Sales!$A$5:$A$1204,H89)=0),"Missing - no sale with that ID",IF(IF(I89="",FALSE,COUNTIF(Appointments!$A$5:$A$1204,I89)=0),"Missing - no booking with that ID",IF(IF(E89="Tip",J89="",FALSE),"Assign - whose tip is it?",IF(IF(E89="Deposit",IF(H89="",I89="",FALSE),FALSE),"Check - deposit not tied to a booking",IF(M89="No","Due - not reconciled yet","OK"))))))))</f>
        <v>0</v>
      </c>
    </row>
    <row r="90" spans="1:23">
      <c r="A90" s="28">
        <f>IF(B90="","",PaymentPrefix&amp;TEXT(ROW()-4,"0000"))</f>
        <v>0</v>
      </c>
      <c r="D90" s="15">
        <f>IF(C90="","",IFERROR(INDEX(Clients!$B$5:$B$504,MATCH(C90,Clients!$A$5:$A$504,0)),"Walk-in"))</f>
        <v>0</v>
      </c>
      <c r="K90" s="15">
        <f>IF(J90="","",IFERROR(INDEX(Staff!$B$5:$B$44,MATCH(J90,Staff!$A$5:$A$44,0)),""))</f>
        <v>0</v>
      </c>
      <c r="O90" s="15">
        <f>IF(B90="","",TEXT(B90,"yyyy-mm"))</f>
        <v>0</v>
      </c>
      <c r="P90" s="25">
        <f>IF(B90="","",WEEKNUM(B90,2))</f>
        <v>0</v>
      </c>
      <c r="Q90" s="38">
        <f>IF(B90="","",IF(E90="Tip","No",IF(E90="Refund","No","Yes")))</f>
        <v>0</v>
      </c>
      <c r="R90" s="25">
        <f>IF(B90="","",IF(E90="Refund",-1,1))</f>
        <v>0</v>
      </c>
      <c r="S90" s="26">
        <f>IF(B90="","",IF(G90="",0,IF(F90="Card",ROUND(G90*CardFeePercent+CardFeeFixed,2),IF(F90="Online deposit",ROUND(G90*CardFeePercent+CardFeeFixed,2),0))))</f>
        <v>0</v>
      </c>
      <c r="T90" s="26">
        <f>IF(B90="","",ROUND(IF(G90="",0,G90)*R90-S90,2))</f>
        <v>0</v>
      </c>
      <c r="U90" s="38">
        <f>IF(B90="","",IF(E90="Tip","Yes","No"))</f>
        <v>0</v>
      </c>
      <c r="V90" s="15">
        <f>IF(B90="","",IF(H90&lt;&gt;"","Sale "&amp;H90,IF(I90&lt;&gt;"","Booking "&amp;I90,IF(E90="Tip","Stylist","Unapplied"))))</f>
        <v>0</v>
      </c>
      <c r="W90" s="39">
        <f>IF(B90="","",IF(G90="","Add - no amount yet",IF(E90="","Add - what was this for?",IF(IF(H90="",FALSE,COUNTIF(Sales!$A$5:$A$1204,H90)=0),"Missing - no sale with that ID",IF(IF(I90="",FALSE,COUNTIF(Appointments!$A$5:$A$1204,I90)=0),"Missing - no booking with that ID",IF(IF(E90="Tip",J90="",FALSE),"Assign - whose tip is it?",IF(IF(E90="Deposit",IF(H90="",I90="",FALSE),FALSE),"Check - deposit not tied to a booking",IF(M90="No","Due - not reconciled yet","OK"))))))))</f>
        <v>0</v>
      </c>
    </row>
    <row r="91" spans="1:23">
      <c r="A91" s="28">
        <f>IF(B91="","",PaymentPrefix&amp;TEXT(ROW()-4,"0000"))</f>
        <v>0</v>
      </c>
      <c r="D91" s="15">
        <f>IF(C91="","",IFERROR(INDEX(Clients!$B$5:$B$504,MATCH(C91,Clients!$A$5:$A$504,0)),"Walk-in"))</f>
        <v>0</v>
      </c>
      <c r="K91" s="15">
        <f>IF(J91="","",IFERROR(INDEX(Staff!$B$5:$B$44,MATCH(J91,Staff!$A$5:$A$44,0)),""))</f>
        <v>0</v>
      </c>
      <c r="O91" s="15">
        <f>IF(B91="","",TEXT(B91,"yyyy-mm"))</f>
        <v>0</v>
      </c>
      <c r="P91" s="25">
        <f>IF(B91="","",WEEKNUM(B91,2))</f>
        <v>0</v>
      </c>
      <c r="Q91" s="38">
        <f>IF(B91="","",IF(E91="Tip","No",IF(E91="Refund","No","Yes")))</f>
        <v>0</v>
      </c>
      <c r="R91" s="25">
        <f>IF(B91="","",IF(E91="Refund",-1,1))</f>
        <v>0</v>
      </c>
      <c r="S91" s="26">
        <f>IF(B91="","",IF(G91="",0,IF(F91="Card",ROUND(G91*CardFeePercent+CardFeeFixed,2),IF(F91="Online deposit",ROUND(G91*CardFeePercent+CardFeeFixed,2),0))))</f>
        <v>0</v>
      </c>
      <c r="T91" s="26">
        <f>IF(B91="","",ROUND(IF(G91="",0,G91)*R91-S91,2))</f>
        <v>0</v>
      </c>
      <c r="U91" s="38">
        <f>IF(B91="","",IF(E91="Tip","Yes","No"))</f>
        <v>0</v>
      </c>
      <c r="V91" s="15">
        <f>IF(B91="","",IF(H91&lt;&gt;"","Sale "&amp;H91,IF(I91&lt;&gt;"","Booking "&amp;I91,IF(E91="Tip","Stylist","Unapplied"))))</f>
        <v>0</v>
      </c>
      <c r="W91" s="39">
        <f>IF(B91="","",IF(G91="","Add - no amount yet",IF(E91="","Add - what was this for?",IF(IF(H91="",FALSE,COUNTIF(Sales!$A$5:$A$1204,H91)=0),"Missing - no sale with that ID",IF(IF(I91="",FALSE,COUNTIF(Appointments!$A$5:$A$1204,I91)=0),"Missing - no booking with that ID",IF(IF(E91="Tip",J91="",FALSE),"Assign - whose tip is it?",IF(IF(E91="Deposit",IF(H91="",I91="",FALSE),FALSE),"Check - deposit not tied to a booking",IF(M91="No","Due - not reconciled yet","OK"))))))))</f>
        <v>0</v>
      </c>
    </row>
    <row r="92" spans="1:23">
      <c r="A92" s="28">
        <f>IF(B92="","",PaymentPrefix&amp;TEXT(ROW()-4,"0000"))</f>
        <v>0</v>
      </c>
      <c r="D92" s="15">
        <f>IF(C92="","",IFERROR(INDEX(Clients!$B$5:$B$504,MATCH(C92,Clients!$A$5:$A$504,0)),"Walk-in"))</f>
        <v>0</v>
      </c>
      <c r="K92" s="15">
        <f>IF(J92="","",IFERROR(INDEX(Staff!$B$5:$B$44,MATCH(J92,Staff!$A$5:$A$44,0)),""))</f>
        <v>0</v>
      </c>
      <c r="O92" s="15">
        <f>IF(B92="","",TEXT(B92,"yyyy-mm"))</f>
        <v>0</v>
      </c>
      <c r="P92" s="25">
        <f>IF(B92="","",WEEKNUM(B92,2))</f>
        <v>0</v>
      </c>
      <c r="Q92" s="38">
        <f>IF(B92="","",IF(E92="Tip","No",IF(E92="Refund","No","Yes")))</f>
        <v>0</v>
      </c>
      <c r="R92" s="25">
        <f>IF(B92="","",IF(E92="Refund",-1,1))</f>
        <v>0</v>
      </c>
      <c r="S92" s="26">
        <f>IF(B92="","",IF(G92="",0,IF(F92="Card",ROUND(G92*CardFeePercent+CardFeeFixed,2),IF(F92="Online deposit",ROUND(G92*CardFeePercent+CardFeeFixed,2),0))))</f>
        <v>0</v>
      </c>
      <c r="T92" s="26">
        <f>IF(B92="","",ROUND(IF(G92="",0,G92)*R92-S92,2))</f>
        <v>0</v>
      </c>
      <c r="U92" s="38">
        <f>IF(B92="","",IF(E92="Tip","Yes","No"))</f>
        <v>0</v>
      </c>
      <c r="V92" s="15">
        <f>IF(B92="","",IF(H92&lt;&gt;"","Sale "&amp;H92,IF(I92&lt;&gt;"","Booking "&amp;I92,IF(E92="Tip","Stylist","Unapplied"))))</f>
        <v>0</v>
      </c>
      <c r="W92" s="39">
        <f>IF(B92="","",IF(G92="","Add - no amount yet",IF(E92="","Add - what was this for?",IF(IF(H92="",FALSE,COUNTIF(Sales!$A$5:$A$1204,H92)=0),"Missing - no sale with that ID",IF(IF(I92="",FALSE,COUNTIF(Appointments!$A$5:$A$1204,I92)=0),"Missing - no booking with that ID",IF(IF(E92="Tip",J92="",FALSE),"Assign - whose tip is it?",IF(IF(E92="Deposit",IF(H92="",I92="",FALSE),FALSE),"Check - deposit not tied to a booking",IF(M92="No","Due - not reconciled yet","OK"))))))))</f>
        <v>0</v>
      </c>
    </row>
    <row r="93" spans="1:23">
      <c r="A93" s="28">
        <f>IF(B93="","",PaymentPrefix&amp;TEXT(ROW()-4,"0000"))</f>
        <v>0</v>
      </c>
      <c r="D93" s="15">
        <f>IF(C93="","",IFERROR(INDEX(Clients!$B$5:$B$504,MATCH(C93,Clients!$A$5:$A$504,0)),"Walk-in"))</f>
        <v>0</v>
      </c>
      <c r="K93" s="15">
        <f>IF(J93="","",IFERROR(INDEX(Staff!$B$5:$B$44,MATCH(J93,Staff!$A$5:$A$44,0)),""))</f>
        <v>0</v>
      </c>
      <c r="O93" s="15">
        <f>IF(B93="","",TEXT(B93,"yyyy-mm"))</f>
        <v>0</v>
      </c>
      <c r="P93" s="25">
        <f>IF(B93="","",WEEKNUM(B93,2))</f>
        <v>0</v>
      </c>
      <c r="Q93" s="38">
        <f>IF(B93="","",IF(E93="Tip","No",IF(E93="Refund","No","Yes")))</f>
        <v>0</v>
      </c>
      <c r="R93" s="25">
        <f>IF(B93="","",IF(E93="Refund",-1,1))</f>
        <v>0</v>
      </c>
      <c r="S93" s="26">
        <f>IF(B93="","",IF(G93="",0,IF(F93="Card",ROUND(G93*CardFeePercent+CardFeeFixed,2),IF(F93="Online deposit",ROUND(G93*CardFeePercent+CardFeeFixed,2),0))))</f>
        <v>0</v>
      </c>
      <c r="T93" s="26">
        <f>IF(B93="","",ROUND(IF(G93="",0,G93)*R93-S93,2))</f>
        <v>0</v>
      </c>
      <c r="U93" s="38">
        <f>IF(B93="","",IF(E93="Tip","Yes","No"))</f>
        <v>0</v>
      </c>
      <c r="V93" s="15">
        <f>IF(B93="","",IF(H93&lt;&gt;"","Sale "&amp;H93,IF(I93&lt;&gt;"","Booking "&amp;I93,IF(E93="Tip","Stylist","Unapplied"))))</f>
        <v>0</v>
      </c>
      <c r="W93" s="39">
        <f>IF(B93="","",IF(G93="","Add - no amount yet",IF(E93="","Add - what was this for?",IF(IF(H93="",FALSE,COUNTIF(Sales!$A$5:$A$1204,H93)=0),"Missing - no sale with that ID",IF(IF(I93="",FALSE,COUNTIF(Appointments!$A$5:$A$1204,I93)=0),"Missing - no booking with that ID",IF(IF(E93="Tip",J93="",FALSE),"Assign - whose tip is it?",IF(IF(E93="Deposit",IF(H93="",I93="",FALSE),FALSE),"Check - deposit not tied to a booking",IF(M93="No","Due - not reconciled yet","OK"))))))))</f>
        <v>0</v>
      </c>
    </row>
    <row r="94" spans="1:23">
      <c r="A94" s="28">
        <f>IF(B94="","",PaymentPrefix&amp;TEXT(ROW()-4,"0000"))</f>
        <v>0</v>
      </c>
      <c r="D94" s="15">
        <f>IF(C94="","",IFERROR(INDEX(Clients!$B$5:$B$504,MATCH(C94,Clients!$A$5:$A$504,0)),"Walk-in"))</f>
        <v>0</v>
      </c>
      <c r="K94" s="15">
        <f>IF(J94="","",IFERROR(INDEX(Staff!$B$5:$B$44,MATCH(J94,Staff!$A$5:$A$44,0)),""))</f>
        <v>0</v>
      </c>
      <c r="O94" s="15">
        <f>IF(B94="","",TEXT(B94,"yyyy-mm"))</f>
        <v>0</v>
      </c>
      <c r="P94" s="25">
        <f>IF(B94="","",WEEKNUM(B94,2))</f>
        <v>0</v>
      </c>
      <c r="Q94" s="38">
        <f>IF(B94="","",IF(E94="Tip","No",IF(E94="Refund","No","Yes")))</f>
        <v>0</v>
      </c>
      <c r="R94" s="25">
        <f>IF(B94="","",IF(E94="Refund",-1,1))</f>
        <v>0</v>
      </c>
      <c r="S94" s="26">
        <f>IF(B94="","",IF(G94="",0,IF(F94="Card",ROUND(G94*CardFeePercent+CardFeeFixed,2),IF(F94="Online deposit",ROUND(G94*CardFeePercent+CardFeeFixed,2),0))))</f>
        <v>0</v>
      </c>
      <c r="T94" s="26">
        <f>IF(B94="","",ROUND(IF(G94="",0,G94)*R94-S94,2))</f>
        <v>0</v>
      </c>
      <c r="U94" s="38">
        <f>IF(B94="","",IF(E94="Tip","Yes","No"))</f>
        <v>0</v>
      </c>
      <c r="V94" s="15">
        <f>IF(B94="","",IF(H94&lt;&gt;"","Sale "&amp;H94,IF(I94&lt;&gt;"","Booking "&amp;I94,IF(E94="Tip","Stylist","Unapplied"))))</f>
        <v>0</v>
      </c>
      <c r="W94" s="39">
        <f>IF(B94="","",IF(G94="","Add - no amount yet",IF(E94="","Add - what was this for?",IF(IF(H94="",FALSE,COUNTIF(Sales!$A$5:$A$1204,H94)=0),"Missing - no sale with that ID",IF(IF(I94="",FALSE,COUNTIF(Appointments!$A$5:$A$1204,I94)=0),"Missing - no booking with that ID",IF(IF(E94="Tip",J94="",FALSE),"Assign - whose tip is it?",IF(IF(E94="Deposit",IF(H94="",I94="",FALSE),FALSE),"Check - deposit not tied to a booking",IF(M94="No","Due - not reconciled yet","OK"))))))))</f>
        <v>0</v>
      </c>
    </row>
    <row r="95" spans="1:23">
      <c r="A95" s="28">
        <f>IF(B95="","",PaymentPrefix&amp;TEXT(ROW()-4,"0000"))</f>
        <v>0</v>
      </c>
      <c r="D95" s="15">
        <f>IF(C95="","",IFERROR(INDEX(Clients!$B$5:$B$504,MATCH(C95,Clients!$A$5:$A$504,0)),"Walk-in"))</f>
        <v>0</v>
      </c>
      <c r="K95" s="15">
        <f>IF(J95="","",IFERROR(INDEX(Staff!$B$5:$B$44,MATCH(J95,Staff!$A$5:$A$44,0)),""))</f>
        <v>0</v>
      </c>
      <c r="O95" s="15">
        <f>IF(B95="","",TEXT(B95,"yyyy-mm"))</f>
        <v>0</v>
      </c>
      <c r="P95" s="25">
        <f>IF(B95="","",WEEKNUM(B95,2))</f>
        <v>0</v>
      </c>
      <c r="Q95" s="38">
        <f>IF(B95="","",IF(E95="Tip","No",IF(E95="Refund","No","Yes")))</f>
        <v>0</v>
      </c>
      <c r="R95" s="25">
        <f>IF(B95="","",IF(E95="Refund",-1,1))</f>
        <v>0</v>
      </c>
      <c r="S95" s="26">
        <f>IF(B95="","",IF(G95="",0,IF(F95="Card",ROUND(G95*CardFeePercent+CardFeeFixed,2),IF(F95="Online deposit",ROUND(G95*CardFeePercent+CardFeeFixed,2),0))))</f>
        <v>0</v>
      </c>
      <c r="T95" s="26">
        <f>IF(B95="","",ROUND(IF(G95="",0,G95)*R95-S95,2))</f>
        <v>0</v>
      </c>
      <c r="U95" s="38">
        <f>IF(B95="","",IF(E95="Tip","Yes","No"))</f>
        <v>0</v>
      </c>
      <c r="V95" s="15">
        <f>IF(B95="","",IF(H95&lt;&gt;"","Sale "&amp;H95,IF(I95&lt;&gt;"","Booking "&amp;I95,IF(E95="Tip","Stylist","Unapplied"))))</f>
        <v>0</v>
      </c>
      <c r="W95" s="39">
        <f>IF(B95="","",IF(G95="","Add - no amount yet",IF(E95="","Add - what was this for?",IF(IF(H95="",FALSE,COUNTIF(Sales!$A$5:$A$1204,H95)=0),"Missing - no sale with that ID",IF(IF(I95="",FALSE,COUNTIF(Appointments!$A$5:$A$1204,I95)=0),"Missing - no booking with that ID",IF(IF(E95="Tip",J95="",FALSE),"Assign - whose tip is it?",IF(IF(E95="Deposit",IF(H95="",I95="",FALSE),FALSE),"Check - deposit not tied to a booking",IF(M95="No","Due - not reconciled yet","OK"))))))))</f>
        <v>0</v>
      </c>
    </row>
    <row r="96" spans="1:23">
      <c r="A96" s="28">
        <f>IF(B96="","",PaymentPrefix&amp;TEXT(ROW()-4,"0000"))</f>
        <v>0</v>
      </c>
      <c r="D96" s="15">
        <f>IF(C96="","",IFERROR(INDEX(Clients!$B$5:$B$504,MATCH(C96,Clients!$A$5:$A$504,0)),"Walk-in"))</f>
        <v>0</v>
      </c>
      <c r="K96" s="15">
        <f>IF(J96="","",IFERROR(INDEX(Staff!$B$5:$B$44,MATCH(J96,Staff!$A$5:$A$44,0)),""))</f>
        <v>0</v>
      </c>
      <c r="O96" s="15">
        <f>IF(B96="","",TEXT(B96,"yyyy-mm"))</f>
        <v>0</v>
      </c>
      <c r="P96" s="25">
        <f>IF(B96="","",WEEKNUM(B96,2))</f>
        <v>0</v>
      </c>
      <c r="Q96" s="38">
        <f>IF(B96="","",IF(E96="Tip","No",IF(E96="Refund","No","Yes")))</f>
        <v>0</v>
      </c>
      <c r="R96" s="25">
        <f>IF(B96="","",IF(E96="Refund",-1,1))</f>
        <v>0</v>
      </c>
      <c r="S96" s="26">
        <f>IF(B96="","",IF(G96="",0,IF(F96="Card",ROUND(G96*CardFeePercent+CardFeeFixed,2),IF(F96="Online deposit",ROUND(G96*CardFeePercent+CardFeeFixed,2),0))))</f>
        <v>0</v>
      </c>
      <c r="T96" s="26">
        <f>IF(B96="","",ROUND(IF(G96="",0,G96)*R96-S96,2))</f>
        <v>0</v>
      </c>
      <c r="U96" s="38">
        <f>IF(B96="","",IF(E96="Tip","Yes","No"))</f>
        <v>0</v>
      </c>
      <c r="V96" s="15">
        <f>IF(B96="","",IF(H96&lt;&gt;"","Sale "&amp;H96,IF(I96&lt;&gt;"","Booking "&amp;I96,IF(E96="Tip","Stylist","Unapplied"))))</f>
        <v>0</v>
      </c>
      <c r="W96" s="39">
        <f>IF(B96="","",IF(G96="","Add - no amount yet",IF(E96="","Add - what was this for?",IF(IF(H96="",FALSE,COUNTIF(Sales!$A$5:$A$1204,H96)=0),"Missing - no sale with that ID",IF(IF(I96="",FALSE,COUNTIF(Appointments!$A$5:$A$1204,I96)=0),"Missing - no booking with that ID",IF(IF(E96="Tip",J96="",FALSE),"Assign - whose tip is it?",IF(IF(E96="Deposit",IF(H96="",I96="",FALSE),FALSE),"Check - deposit not tied to a booking",IF(M96="No","Due - not reconciled yet","OK"))))))))</f>
        <v>0</v>
      </c>
    </row>
    <row r="97" spans="1:23">
      <c r="A97" s="28">
        <f>IF(B97="","",PaymentPrefix&amp;TEXT(ROW()-4,"0000"))</f>
        <v>0</v>
      </c>
      <c r="D97" s="15">
        <f>IF(C97="","",IFERROR(INDEX(Clients!$B$5:$B$504,MATCH(C97,Clients!$A$5:$A$504,0)),"Walk-in"))</f>
        <v>0</v>
      </c>
      <c r="K97" s="15">
        <f>IF(J97="","",IFERROR(INDEX(Staff!$B$5:$B$44,MATCH(J97,Staff!$A$5:$A$44,0)),""))</f>
        <v>0</v>
      </c>
      <c r="O97" s="15">
        <f>IF(B97="","",TEXT(B97,"yyyy-mm"))</f>
        <v>0</v>
      </c>
      <c r="P97" s="25">
        <f>IF(B97="","",WEEKNUM(B97,2))</f>
        <v>0</v>
      </c>
      <c r="Q97" s="38">
        <f>IF(B97="","",IF(E97="Tip","No",IF(E97="Refund","No","Yes")))</f>
        <v>0</v>
      </c>
      <c r="R97" s="25">
        <f>IF(B97="","",IF(E97="Refund",-1,1))</f>
        <v>0</v>
      </c>
      <c r="S97" s="26">
        <f>IF(B97="","",IF(G97="",0,IF(F97="Card",ROUND(G97*CardFeePercent+CardFeeFixed,2),IF(F97="Online deposit",ROUND(G97*CardFeePercent+CardFeeFixed,2),0))))</f>
        <v>0</v>
      </c>
      <c r="T97" s="26">
        <f>IF(B97="","",ROUND(IF(G97="",0,G97)*R97-S97,2))</f>
        <v>0</v>
      </c>
      <c r="U97" s="38">
        <f>IF(B97="","",IF(E97="Tip","Yes","No"))</f>
        <v>0</v>
      </c>
      <c r="V97" s="15">
        <f>IF(B97="","",IF(H97&lt;&gt;"","Sale "&amp;H97,IF(I97&lt;&gt;"","Booking "&amp;I97,IF(E97="Tip","Stylist","Unapplied"))))</f>
        <v>0</v>
      </c>
      <c r="W97" s="39">
        <f>IF(B97="","",IF(G97="","Add - no amount yet",IF(E97="","Add - what was this for?",IF(IF(H97="",FALSE,COUNTIF(Sales!$A$5:$A$1204,H97)=0),"Missing - no sale with that ID",IF(IF(I97="",FALSE,COUNTIF(Appointments!$A$5:$A$1204,I97)=0),"Missing - no booking with that ID",IF(IF(E97="Tip",J97="",FALSE),"Assign - whose tip is it?",IF(IF(E97="Deposit",IF(H97="",I97="",FALSE),FALSE),"Check - deposit not tied to a booking",IF(M97="No","Due - not reconciled yet","OK"))))))))</f>
        <v>0</v>
      </c>
    </row>
    <row r="98" spans="1:23">
      <c r="A98" s="28">
        <f>IF(B98="","",PaymentPrefix&amp;TEXT(ROW()-4,"0000"))</f>
        <v>0</v>
      </c>
      <c r="D98" s="15">
        <f>IF(C98="","",IFERROR(INDEX(Clients!$B$5:$B$504,MATCH(C98,Clients!$A$5:$A$504,0)),"Walk-in"))</f>
        <v>0</v>
      </c>
      <c r="K98" s="15">
        <f>IF(J98="","",IFERROR(INDEX(Staff!$B$5:$B$44,MATCH(J98,Staff!$A$5:$A$44,0)),""))</f>
        <v>0</v>
      </c>
      <c r="O98" s="15">
        <f>IF(B98="","",TEXT(B98,"yyyy-mm"))</f>
        <v>0</v>
      </c>
      <c r="P98" s="25">
        <f>IF(B98="","",WEEKNUM(B98,2))</f>
        <v>0</v>
      </c>
      <c r="Q98" s="38">
        <f>IF(B98="","",IF(E98="Tip","No",IF(E98="Refund","No","Yes")))</f>
        <v>0</v>
      </c>
      <c r="R98" s="25">
        <f>IF(B98="","",IF(E98="Refund",-1,1))</f>
        <v>0</v>
      </c>
      <c r="S98" s="26">
        <f>IF(B98="","",IF(G98="",0,IF(F98="Card",ROUND(G98*CardFeePercent+CardFeeFixed,2),IF(F98="Online deposit",ROUND(G98*CardFeePercent+CardFeeFixed,2),0))))</f>
        <v>0</v>
      </c>
      <c r="T98" s="26">
        <f>IF(B98="","",ROUND(IF(G98="",0,G98)*R98-S98,2))</f>
        <v>0</v>
      </c>
      <c r="U98" s="38">
        <f>IF(B98="","",IF(E98="Tip","Yes","No"))</f>
        <v>0</v>
      </c>
      <c r="V98" s="15">
        <f>IF(B98="","",IF(H98&lt;&gt;"","Sale "&amp;H98,IF(I98&lt;&gt;"","Booking "&amp;I98,IF(E98="Tip","Stylist","Unapplied"))))</f>
        <v>0</v>
      </c>
      <c r="W98" s="39">
        <f>IF(B98="","",IF(G98="","Add - no amount yet",IF(E98="","Add - what was this for?",IF(IF(H98="",FALSE,COUNTIF(Sales!$A$5:$A$1204,H98)=0),"Missing - no sale with that ID",IF(IF(I98="",FALSE,COUNTIF(Appointments!$A$5:$A$1204,I98)=0),"Missing - no booking with that ID",IF(IF(E98="Tip",J98="",FALSE),"Assign - whose tip is it?",IF(IF(E98="Deposit",IF(H98="",I98="",FALSE),FALSE),"Check - deposit not tied to a booking",IF(M98="No","Due - not reconciled yet","OK"))))))))</f>
        <v>0</v>
      </c>
    </row>
    <row r="99" spans="1:23">
      <c r="A99" s="28">
        <f>IF(B99="","",PaymentPrefix&amp;TEXT(ROW()-4,"0000"))</f>
        <v>0</v>
      </c>
      <c r="D99" s="15">
        <f>IF(C99="","",IFERROR(INDEX(Clients!$B$5:$B$504,MATCH(C99,Clients!$A$5:$A$504,0)),"Walk-in"))</f>
        <v>0</v>
      </c>
      <c r="K99" s="15">
        <f>IF(J99="","",IFERROR(INDEX(Staff!$B$5:$B$44,MATCH(J99,Staff!$A$5:$A$44,0)),""))</f>
        <v>0</v>
      </c>
      <c r="O99" s="15">
        <f>IF(B99="","",TEXT(B99,"yyyy-mm"))</f>
        <v>0</v>
      </c>
      <c r="P99" s="25">
        <f>IF(B99="","",WEEKNUM(B99,2))</f>
        <v>0</v>
      </c>
      <c r="Q99" s="38">
        <f>IF(B99="","",IF(E99="Tip","No",IF(E99="Refund","No","Yes")))</f>
        <v>0</v>
      </c>
      <c r="R99" s="25">
        <f>IF(B99="","",IF(E99="Refund",-1,1))</f>
        <v>0</v>
      </c>
      <c r="S99" s="26">
        <f>IF(B99="","",IF(G99="",0,IF(F99="Card",ROUND(G99*CardFeePercent+CardFeeFixed,2),IF(F99="Online deposit",ROUND(G99*CardFeePercent+CardFeeFixed,2),0))))</f>
        <v>0</v>
      </c>
      <c r="T99" s="26">
        <f>IF(B99="","",ROUND(IF(G99="",0,G99)*R99-S99,2))</f>
        <v>0</v>
      </c>
      <c r="U99" s="38">
        <f>IF(B99="","",IF(E99="Tip","Yes","No"))</f>
        <v>0</v>
      </c>
      <c r="V99" s="15">
        <f>IF(B99="","",IF(H99&lt;&gt;"","Sale "&amp;H99,IF(I99&lt;&gt;"","Booking "&amp;I99,IF(E99="Tip","Stylist","Unapplied"))))</f>
        <v>0</v>
      </c>
      <c r="W99" s="39">
        <f>IF(B99="","",IF(G99="","Add - no amount yet",IF(E99="","Add - what was this for?",IF(IF(H99="",FALSE,COUNTIF(Sales!$A$5:$A$1204,H99)=0),"Missing - no sale with that ID",IF(IF(I99="",FALSE,COUNTIF(Appointments!$A$5:$A$1204,I99)=0),"Missing - no booking with that ID",IF(IF(E99="Tip",J99="",FALSE),"Assign - whose tip is it?",IF(IF(E99="Deposit",IF(H99="",I99="",FALSE),FALSE),"Check - deposit not tied to a booking",IF(M99="No","Due - not reconciled yet","OK"))))))))</f>
        <v>0</v>
      </c>
    </row>
    <row r="100" spans="1:23">
      <c r="A100" s="28">
        <f>IF(B100="","",PaymentPrefix&amp;TEXT(ROW()-4,"0000"))</f>
        <v>0</v>
      </c>
      <c r="D100" s="15">
        <f>IF(C100="","",IFERROR(INDEX(Clients!$B$5:$B$504,MATCH(C100,Clients!$A$5:$A$504,0)),"Walk-in"))</f>
        <v>0</v>
      </c>
      <c r="K100" s="15">
        <f>IF(J100="","",IFERROR(INDEX(Staff!$B$5:$B$44,MATCH(J100,Staff!$A$5:$A$44,0)),""))</f>
        <v>0</v>
      </c>
      <c r="O100" s="15">
        <f>IF(B100="","",TEXT(B100,"yyyy-mm"))</f>
        <v>0</v>
      </c>
      <c r="P100" s="25">
        <f>IF(B100="","",WEEKNUM(B100,2))</f>
        <v>0</v>
      </c>
      <c r="Q100" s="38">
        <f>IF(B100="","",IF(E100="Tip","No",IF(E100="Refund","No","Yes")))</f>
        <v>0</v>
      </c>
      <c r="R100" s="25">
        <f>IF(B100="","",IF(E100="Refund",-1,1))</f>
        <v>0</v>
      </c>
      <c r="S100" s="26">
        <f>IF(B100="","",IF(G100="",0,IF(F100="Card",ROUND(G100*CardFeePercent+CardFeeFixed,2),IF(F100="Online deposit",ROUND(G100*CardFeePercent+CardFeeFixed,2),0))))</f>
        <v>0</v>
      </c>
      <c r="T100" s="26">
        <f>IF(B100="","",ROUND(IF(G100="",0,G100)*R100-S100,2))</f>
        <v>0</v>
      </c>
      <c r="U100" s="38">
        <f>IF(B100="","",IF(E100="Tip","Yes","No"))</f>
        <v>0</v>
      </c>
      <c r="V100" s="15">
        <f>IF(B100="","",IF(H100&lt;&gt;"","Sale "&amp;H100,IF(I100&lt;&gt;"","Booking "&amp;I100,IF(E100="Tip","Stylist","Unapplied"))))</f>
        <v>0</v>
      </c>
      <c r="W100" s="39">
        <f>IF(B100="","",IF(G100="","Add - no amount yet",IF(E100="","Add - what was this for?",IF(IF(H100="",FALSE,COUNTIF(Sales!$A$5:$A$1204,H100)=0),"Missing - no sale with that ID",IF(IF(I100="",FALSE,COUNTIF(Appointments!$A$5:$A$1204,I100)=0),"Missing - no booking with that ID",IF(IF(E100="Tip",J100="",FALSE),"Assign - whose tip is it?",IF(IF(E100="Deposit",IF(H100="",I100="",FALSE),FALSE),"Check - deposit not tied to a booking",IF(M100="No","Due - not reconciled yet","OK"))))))))</f>
        <v>0</v>
      </c>
    </row>
    <row r="101" spans="1:23">
      <c r="A101" s="28">
        <f>IF(B101="","",PaymentPrefix&amp;TEXT(ROW()-4,"0000"))</f>
        <v>0</v>
      </c>
      <c r="D101" s="15">
        <f>IF(C101="","",IFERROR(INDEX(Clients!$B$5:$B$504,MATCH(C101,Clients!$A$5:$A$504,0)),"Walk-in"))</f>
        <v>0</v>
      </c>
      <c r="K101" s="15">
        <f>IF(J101="","",IFERROR(INDEX(Staff!$B$5:$B$44,MATCH(J101,Staff!$A$5:$A$44,0)),""))</f>
        <v>0</v>
      </c>
      <c r="O101" s="15">
        <f>IF(B101="","",TEXT(B101,"yyyy-mm"))</f>
        <v>0</v>
      </c>
      <c r="P101" s="25">
        <f>IF(B101="","",WEEKNUM(B101,2))</f>
        <v>0</v>
      </c>
      <c r="Q101" s="38">
        <f>IF(B101="","",IF(E101="Tip","No",IF(E101="Refund","No","Yes")))</f>
        <v>0</v>
      </c>
      <c r="R101" s="25">
        <f>IF(B101="","",IF(E101="Refund",-1,1))</f>
        <v>0</v>
      </c>
      <c r="S101" s="26">
        <f>IF(B101="","",IF(G101="",0,IF(F101="Card",ROUND(G101*CardFeePercent+CardFeeFixed,2),IF(F101="Online deposit",ROUND(G101*CardFeePercent+CardFeeFixed,2),0))))</f>
        <v>0</v>
      </c>
      <c r="T101" s="26">
        <f>IF(B101="","",ROUND(IF(G101="",0,G101)*R101-S101,2))</f>
        <v>0</v>
      </c>
      <c r="U101" s="38">
        <f>IF(B101="","",IF(E101="Tip","Yes","No"))</f>
        <v>0</v>
      </c>
      <c r="V101" s="15">
        <f>IF(B101="","",IF(H101&lt;&gt;"","Sale "&amp;H101,IF(I101&lt;&gt;"","Booking "&amp;I101,IF(E101="Tip","Stylist","Unapplied"))))</f>
        <v>0</v>
      </c>
      <c r="W101" s="39">
        <f>IF(B101="","",IF(G101="","Add - no amount yet",IF(E101="","Add - what was this for?",IF(IF(H101="",FALSE,COUNTIF(Sales!$A$5:$A$1204,H101)=0),"Missing - no sale with that ID",IF(IF(I101="",FALSE,COUNTIF(Appointments!$A$5:$A$1204,I101)=0),"Missing - no booking with that ID",IF(IF(E101="Tip",J101="",FALSE),"Assign - whose tip is it?",IF(IF(E101="Deposit",IF(H101="",I101="",FALSE),FALSE),"Check - deposit not tied to a booking",IF(M101="No","Due - not reconciled yet","OK"))))))))</f>
        <v>0</v>
      </c>
    </row>
    <row r="102" spans="1:23">
      <c r="A102" s="28">
        <f>IF(B102="","",PaymentPrefix&amp;TEXT(ROW()-4,"0000"))</f>
        <v>0</v>
      </c>
      <c r="D102" s="15">
        <f>IF(C102="","",IFERROR(INDEX(Clients!$B$5:$B$504,MATCH(C102,Clients!$A$5:$A$504,0)),"Walk-in"))</f>
        <v>0</v>
      </c>
      <c r="K102" s="15">
        <f>IF(J102="","",IFERROR(INDEX(Staff!$B$5:$B$44,MATCH(J102,Staff!$A$5:$A$44,0)),""))</f>
        <v>0</v>
      </c>
      <c r="O102" s="15">
        <f>IF(B102="","",TEXT(B102,"yyyy-mm"))</f>
        <v>0</v>
      </c>
      <c r="P102" s="25">
        <f>IF(B102="","",WEEKNUM(B102,2))</f>
        <v>0</v>
      </c>
      <c r="Q102" s="38">
        <f>IF(B102="","",IF(E102="Tip","No",IF(E102="Refund","No","Yes")))</f>
        <v>0</v>
      </c>
      <c r="R102" s="25">
        <f>IF(B102="","",IF(E102="Refund",-1,1))</f>
        <v>0</v>
      </c>
      <c r="S102" s="26">
        <f>IF(B102="","",IF(G102="",0,IF(F102="Card",ROUND(G102*CardFeePercent+CardFeeFixed,2),IF(F102="Online deposit",ROUND(G102*CardFeePercent+CardFeeFixed,2),0))))</f>
        <v>0</v>
      </c>
      <c r="T102" s="26">
        <f>IF(B102="","",ROUND(IF(G102="",0,G102)*R102-S102,2))</f>
        <v>0</v>
      </c>
      <c r="U102" s="38">
        <f>IF(B102="","",IF(E102="Tip","Yes","No"))</f>
        <v>0</v>
      </c>
      <c r="V102" s="15">
        <f>IF(B102="","",IF(H102&lt;&gt;"","Sale "&amp;H102,IF(I102&lt;&gt;"","Booking "&amp;I102,IF(E102="Tip","Stylist","Unapplied"))))</f>
        <v>0</v>
      </c>
      <c r="W102" s="39">
        <f>IF(B102="","",IF(G102="","Add - no amount yet",IF(E102="","Add - what was this for?",IF(IF(H102="",FALSE,COUNTIF(Sales!$A$5:$A$1204,H102)=0),"Missing - no sale with that ID",IF(IF(I102="",FALSE,COUNTIF(Appointments!$A$5:$A$1204,I102)=0),"Missing - no booking with that ID",IF(IF(E102="Tip",J102="",FALSE),"Assign - whose tip is it?",IF(IF(E102="Deposit",IF(H102="",I102="",FALSE),FALSE),"Check - deposit not tied to a booking",IF(M102="No","Due - not reconciled yet","OK"))))))))</f>
        <v>0</v>
      </c>
    </row>
    <row r="103" spans="1:23">
      <c r="A103" s="28">
        <f>IF(B103="","",PaymentPrefix&amp;TEXT(ROW()-4,"0000"))</f>
        <v>0</v>
      </c>
      <c r="D103" s="15">
        <f>IF(C103="","",IFERROR(INDEX(Clients!$B$5:$B$504,MATCH(C103,Clients!$A$5:$A$504,0)),"Walk-in"))</f>
        <v>0</v>
      </c>
      <c r="K103" s="15">
        <f>IF(J103="","",IFERROR(INDEX(Staff!$B$5:$B$44,MATCH(J103,Staff!$A$5:$A$44,0)),""))</f>
        <v>0</v>
      </c>
      <c r="O103" s="15">
        <f>IF(B103="","",TEXT(B103,"yyyy-mm"))</f>
        <v>0</v>
      </c>
      <c r="P103" s="25">
        <f>IF(B103="","",WEEKNUM(B103,2))</f>
        <v>0</v>
      </c>
      <c r="Q103" s="38">
        <f>IF(B103="","",IF(E103="Tip","No",IF(E103="Refund","No","Yes")))</f>
        <v>0</v>
      </c>
      <c r="R103" s="25">
        <f>IF(B103="","",IF(E103="Refund",-1,1))</f>
        <v>0</v>
      </c>
      <c r="S103" s="26">
        <f>IF(B103="","",IF(G103="",0,IF(F103="Card",ROUND(G103*CardFeePercent+CardFeeFixed,2),IF(F103="Online deposit",ROUND(G103*CardFeePercent+CardFeeFixed,2),0))))</f>
        <v>0</v>
      </c>
      <c r="T103" s="26">
        <f>IF(B103="","",ROUND(IF(G103="",0,G103)*R103-S103,2))</f>
        <v>0</v>
      </c>
      <c r="U103" s="38">
        <f>IF(B103="","",IF(E103="Tip","Yes","No"))</f>
        <v>0</v>
      </c>
      <c r="V103" s="15">
        <f>IF(B103="","",IF(H103&lt;&gt;"","Sale "&amp;H103,IF(I103&lt;&gt;"","Booking "&amp;I103,IF(E103="Tip","Stylist","Unapplied"))))</f>
        <v>0</v>
      </c>
      <c r="W103" s="39">
        <f>IF(B103="","",IF(G103="","Add - no amount yet",IF(E103="","Add - what was this for?",IF(IF(H103="",FALSE,COUNTIF(Sales!$A$5:$A$1204,H103)=0),"Missing - no sale with that ID",IF(IF(I103="",FALSE,COUNTIF(Appointments!$A$5:$A$1204,I103)=0),"Missing - no booking with that ID",IF(IF(E103="Tip",J103="",FALSE),"Assign - whose tip is it?",IF(IF(E103="Deposit",IF(H103="",I103="",FALSE),FALSE),"Check - deposit not tied to a booking",IF(M103="No","Due - not reconciled yet","OK"))))))))</f>
        <v>0</v>
      </c>
    </row>
    <row r="104" spans="1:23">
      <c r="A104" s="28">
        <f>IF(B104="","",PaymentPrefix&amp;TEXT(ROW()-4,"0000"))</f>
        <v>0</v>
      </c>
      <c r="D104" s="15">
        <f>IF(C104="","",IFERROR(INDEX(Clients!$B$5:$B$504,MATCH(C104,Clients!$A$5:$A$504,0)),"Walk-in"))</f>
        <v>0</v>
      </c>
      <c r="K104" s="15">
        <f>IF(J104="","",IFERROR(INDEX(Staff!$B$5:$B$44,MATCH(J104,Staff!$A$5:$A$44,0)),""))</f>
        <v>0</v>
      </c>
      <c r="O104" s="15">
        <f>IF(B104="","",TEXT(B104,"yyyy-mm"))</f>
        <v>0</v>
      </c>
      <c r="P104" s="25">
        <f>IF(B104="","",WEEKNUM(B104,2))</f>
        <v>0</v>
      </c>
      <c r="Q104" s="38">
        <f>IF(B104="","",IF(E104="Tip","No",IF(E104="Refund","No","Yes")))</f>
        <v>0</v>
      </c>
      <c r="R104" s="25">
        <f>IF(B104="","",IF(E104="Refund",-1,1))</f>
        <v>0</v>
      </c>
      <c r="S104" s="26">
        <f>IF(B104="","",IF(G104="",0,IF(F104="Card",ROUND(G104*CardFeePercent+CardFeeFixed,2),IF(F104="Online deposit",ROUND(G104*CardFeePercent+CardFeeFixed,2),0))))</f>
        <v>0</v>
      </c>
      <c r="T104" s="26">
        <f>IF(B104="","",ROUND(IF(G104="",0,G104)*R104-S104,2))</f>
        <v>0</v>
      </c>
      <c r="U104" s="38">
        <f>IF(B104="","",IF(E104="Tip","Yes","No"))</f>
        <v>0</v>
      </c>
      <c r="V104" s="15">
        <f>IF(B104="","",IF(H104&lt;&gt;"","Sale "&amp;H104,IF(I104&lt;&gt;"","Booking "&amp;I104,IF(E104="Tip","Stylist","Unapplied"))))</f>
        <v>0</v>
      </c>
      <c r="W104" s="39">
        <f>IF(B104="","",IF(G104="","Add - no amount yet",IF(E104="","Add - what was this for?",IF(IF(H104="",FALSE,COUNTIF(Sales!$A$5:$A$1204,H104)=0),"Missing - no sale with that ID",IF(IF(I104="",FALSE,COUNTIF(Appointments!$A$5:$A$1204,I104)=0),"Missing - no booking with that ID",IF(IF(E104="Tip",J104="",FALSE),"Assign - whose tip is it?",IF(IF(E104="Deposit",IF(H104="",I104="",FALSE),FALSE),"Check - deposit not tied to a booking",IF(M104="No","Due - not reconciled yet","OK"))))))))</f>
        <v>0</v>
      </c>
    </row>
    <row r="105" spans="1:23">
      <c r="A105" s="28">
        <f>IF(B105="","",PaymentPrefix&amp;TEXT(ROW()-4,"0000"))</f>
        <v>0</v>
      </c>
      <c r="D105" s="15">
        <f>IF(C105="","",IFERROR(INDEX(Clients!$B$5:$B$504,MATCH(C105,Clients!$A$5:$A$504,0)),"Walk-in"))</f>
        <v>0</v>
      </c>
      <c r="K105" s="15">
        <f>IF(J105="","",IFERROR(INDEX(Staff!$B$5:$B$44,MATCH(J105,Staff!$A$5:$A$44,0)),""))</f>
        <v>0</v>
      </c>
      <c r="O105" s="15">
        <f>IF(B105="","",TEXT(B105,"yyyy-mm"))</f>
        <v>0</v>
      </c>
      <c r="P105" s="25">
        <f>IF(B105="","",WEEKNUM(B105,2))</f>
        <v>0</v>
      </c>
      <c r="Q105" s="38">
        <f>IF(B105="","",IF(E105="Tip","No",IF(E105="Refund","No","Yes")))</f>
        <v>0</v>
      </c>
      <c r="R105" s="25">
        <f>IF(B105="","",IF(E105="Refund",-1,1))</f>
        <v>0</v>
      </c>
      <c r="S105" s="26">
        <f>IF(B105="","",IF(G105="",0,IF(F105="Card",ROUND(G105*CardFeePercent+CardFeeFixed,2),IF(F105="Online deposit",ROUND(G105*CardFeePercent+CardFeeFixed,2),0))))</f>
        <v>0</v>
      </c>
      <c r="T105" s="26">
        <f>IF(B105="","",ROUND(IF(G105="",0,G105)*R105-S105,2))</f>
        <v>0</v>
      </c>
      <c r="U105" s="38">
        <f>IF(B105="","",IF(E105="Tip","Yes","No"))</f>
        <v>0</v>
      </c>
      <c r="V105" s="15">
        <f>IF(B105="","",IF(H105&lt;&gt;"","Sale "&amp;H105,IF(I105&lt;&gt;"","Booking "&amp;I105,IF(E105="Tip","Stylist","Unapplied"))))</f>
        <v>0</v>
      </c>
      <c r="W105" s="39">
        <f>IF(B105="","",IF(G105="","Add - no amount yet",IF(E105="","Add - what was this for?",IF(IF(H105="",FALSE,COUNTIF(Sales!$A$5:$A$1204,H105)=0),"Missing - no sale with that ID",IF(IF(I105="",FALSE,COUNTIF(Appointments!$A$5:$A$1204,I105)=0),"Missing - no booking with that ID",IF(IF(E105="Tip",J105="",FALSE),"Assign - whose tip is it?",IF(IF(E105="Deposit",IF(H105="",I105="",FALSE),FALSE),"Check - deposit not tied to a booking",IF(M105="No","Due - not reconciled yet","OK"))))))))</f>
        <v>0</v>
      </c>
    </row>
    <row r="106" spans="1:23">
      <c r="A106" s="28">
        <f>IF(B106="","",PaymentPrefix&amp;TEXT(ROW()-4,"0000"))</f>
        <v>0</v>
      </c>
      <c r="D106" s="15">
        <f>IF(C106="","",IFERROR(INDEX(Clients!$B$5:$B$504,MATCH(C106,Clients!$A$5:$A$504,0)),"Walk-in"))</f>
        <v>0</v>
      </c>
      <c r="K106" s="15">
        <f>IF(J106="","",IFERROR(INDEX(Staff!$B$5:$B$44,MATCH(J106,Staff!$A$5:$A$44,0)),""))</f>
        <v>0</v>
      </c>
      <c r="O106" s="15">
        <f>IF(B106="","",TEXT(B106,"yyyy-mm"))</f>
        <v>0</v>
      </c>
      <c r="P106" s="25">
        <f>IF(B106="","",WEEKNUM(B106,2))</f>
        <v>0</v>
      </c>
      <c r="Q106" s="38">
        <f>IF(B106="","",IF(E106="Tip","No",IF(E106="Refund","No","Yes")))</f>
        <v>0</v>
      </c>
      <c r="R106" s="25">
        <f>IF(B106="","",IF(E106="Refund",-1,1))</f>
        <v>0</v>
      </c>
      <c r="S106" s="26">
        <f>IF(B106="","",IF(G106="",0,IF(F106="Card",ROUND(G106*CardFeePercent+CardFeeFixed,2),IF(F106="Online deposit",ROUND(G106*CardFeePercent+CardFeeFixed,2),0))))</f>
        <v>0</v>
      </c>
      <c r="T106" s="26">
        <f>IF(B106="","",ROUND(IF(G106="",0,G106)*R106-S106,2))</f>
        <v>0</v>
      </c>
      <c r="U106" s="38">
        <f>IF(B106="","",IF(E106="Tip","Yes","No"))</f>
        <v>0</v>
      </c>
      <c r="V106" s="15">
        <f>IF(B106="","",IF(H106&lt;&gt;"","Sale "&amp;H106,IF(I106&lt;&gt;"","Booking "&amp;I106,IF(E106="Tip","Stylist","Unapplied"))))</f>
        <v>0</v>
      </c>
      <c r="W106" s="39">
        <f>IF(B106="","",IF(G106="","Add - no amount yet",IF(E106="","Add - what was this for?",IF(IF(H106="",FALSE,COUNTIF(Sales!$A$5:$A$1204,H106)=0),"Missing - no sale with that ID",IF(IF(I106="",FALSE,COUNTIF(Appointments!$A$5:$A$1204,I106)=0),"Missing - no booking with that ID",IF(IF(E106="Tip",J106="",FALSE),"Assign - whose tip is it?",IF(IF(E106="Deposit",IF(H106="",I106="",FALSE),FALSE),"Check - deposit not tied to a booking",IF(M106="No","Due - not reconciled yet","OK"))))))))</f>
        <v>0</v>
      </c>
    </row>
    <row r="107" spans="1:23">
      <c r="A107" s="28">
        <f>IF(B107="","",PaymentPrefix&amp;TEXT(ROW()-4,"0000"))</f>
        <v>0</v>
      </c>
      <c r="D107" s="15">
        <f>IF(C107="","",IFERROR(INDEX(Clients!$B$5:$B$504,MATCH(C107,Clients!$A$5:$A$504,0)),"Walk-in"))</f>
        <v>0</v>
      </c>
      <c r="K107" s="15">
        <f>IF(J107="","",IFERROR(INDEX(Staff!$B$5:$B$44,MATCH(J107,Staff!$A$5:$A$44,0)),""))</f>
        <v>0</v>
      </c>
      <c r="O107" s="15">
        <f>IF(B107="","",TEXT(B107,"yyyy-mm"))</f>
        <v>0</v>
      </c>
      <c r="P107" s="25">
        <f>IF(B107="","",WEEKNUM(B107,2))</f>
        <v>0</v>
      </c>
      <c r="Q107" s="38">
        <f>IF(B107="","",IF(E107="Tip","No",IF(E107="Refund","No","Yes")))</f>
        <v>0</v>
      </c>
      <c r="R107" s="25">
        <f>IF(B107="","",IF(E107="Refund",-1,1))</f>
        <v>0</v>
      </c>
      <c r="S107" s="26">
        <f>IF(B107="","",IF(G107="",0,IF(F107="Card",ROUND(G107*CardFeePercent+CardFeeFixed,2),IF(F107="Online deposit",ROUND(G107*CardFeePercent+CardFeeFixed,2),0))))</f>
        <v>0</v>
      </c>
      <c r="T107" s="26">
        <f>IF(B107="","",ROUND(IF(G107="",0,G107)*R107-S107,2))</f>
        <v>0</v>
      </c>
      <c r="U107" s="38">
        <f>IF(B107="","",IF(E107="Tip","Yes","No"))</f>
        <v>0</v>
      </c>
      <c r="V107" s="15">
        <f>IF(B107="","",IF(H107&lt;&gt;"","Sale "&amp;H107,IF(I107&lt;&gt;"","Booking "&amp;I107,IF(E107="Tip","Stylist","Unapplied"))))</f>
        <v>0</v>
      </c>
      <c r="W107" s="39">
        <f>IF(B107="","",IF(G107="","Add - no amount yet",IF(E107="","Add - what was this for?",IF(IF(H107="",FALSE,COUNTIF(Sales!$A$5:$A$1204,H107)=0),"Missing - no sale with that ID",IF(IF(I107="",FALSE,COUNTIF(Appointments!$A$5:$A$1204,I107)=0),"Missing - no booking with that ID",IF(IF(E107="Tip",J107="",FALSE),"Assign - whose tip is it?",IF(IF(E107="Deposit",IF(H107="",I107="",FALSE),FALSE),"Check - deposit not tied to a booking",IF(M107="No","Due - not reconciled yet","OK"))))))))</f>
        <v>0</v>
      </c>
    </row>
    <row r="108" spans="1:23">
      <c r="A108" s="28">
        <f>IF(B108="","",PaymentPrefix&amp;TEXT(ROW()-4,"0000"))</f>
        <v>0</v>
      </c>
      <c r="D108" s="15">
        <f>IF(C108="","",IFERROR(INDEX(Clients!$B$5:$B$504,MATCH(C108,Clients!$A$5:$A$504,0)),"Walk-in"))</f>
        <v>0</v>
      </c>
      <c r="K108" s="15">
        <f>IF(J108="","",IFERROR(INDEX(Staff!$B$5:$B$44,MATCH(J108,Staff!$A$5:$A$44,0)),""))</f>
        <v>0</v>
      </c>
      <c r="O108" s="15">
        <f>IF(B108="","",TEXT(B108,"yyyy-mm"))</f>
        <v>0</v>
      </c>
      <c r="P108" s="25">
        <f>IF(B108="","",WEEKNUM(B108,2))</f>
        <v>0</v>
      </c>
      <c r="Q108" s="38">
        <f>IF(B108="","",IF(E108="Tip","No",IF(E108="Refund","No","Yes")))</f>
        <v>0</v>
      </c>
      <c r="R108" s="25">
        <f>IF(B108="","",IF(E108="Refund",-1,1))</f>
        <v>0</v>
      </c>
      <c r="S108" s="26">
        <f>IF(B108="","",IF(G108="",0,IF(F108="Card",ROUND(G108*CardFeePercent+CardFeeFixed,2),IF(F108="Online deposit",ROUND(G108*CardFeePercent+CardFeeFixed,2),0))))</f>
        <v>0</v>
      </c>
      <c r="T108" s="26">
        <f>IF(B108="","",ROUND(IF(G108="",0,G108)*R108-S108,2))</f>
        <v>0</v>
      </c>
      <c r="U108" s="38">
        <f>IF(B108="","",IF(E108="Tip","Yes","No"))</f>
        <v>0</v>
      </c>
      <c r="V108" s="15">
        <f>IF(B108="","",IF(H108&lt;&gt;"","Sale "&amp;H108,IF(I108&lt;&gt;"","Booking "&amp;I108,IF(E108="Tip","Stylist","Unapplied"))))</f>
        <v>0</v>
      </c>
      <c r="W108" s="39">
        <f>IF(B108="","",IF(G108="","Add - no amount yet",IF(E108="","Add - what was this for?",IF(IF(H108="",FALSE,COUNTIF(Sales!$A$5:$A$1204,H108)=0),"Missing - no sale with that ID",IF(IF(I108="",FALSE,COUNTIF(Appointments!$A$5:$A$1204,I108)=0),"Missing - no booking with that ID",IF(IF(E108="Tip",J108="",FALSE),"Assign - whose tip is it?",IF(IF(E108="Deposit",IF(H108="",I108="",FALSE),FALSE),"Check - deposit not tied to a booking",IF(M108="No","Due - not reconciled yet","OK"))))))))</f>
        <v>0</v>
      </c>
    </row>
    <row r="109" spans="1:23">
      <c r="A109" s="28">
        <f>IF(B109="","",PaymentPrefix&amp;TEXT(ROW()-4,"0000"))</f>
        <v>0</v>
      </c>
      <c r="D109" s="15">
        <f>IF(C109="","",IFERROR(INDEX(Clients!$B$5:$B$504,MATCH(C109,Clients!$A$5:$A$504,0)),"Walk-in"))</f>
        <v>0</v>
      </c>
      <c r="K109" s="15">
        <f>IF(J109="","",IFERROR(INDEX(Staff!$B$5:$B$44,MATCH(J109,Staff!$A$5:$A$44,0)),""))</f>
        <v>0</v>
      </c>
      <c r="O109" s="15">
        <f>IF(B109="","",TEXT(B109,"yyyy-mm"))</f>
        <v>0</v>
      </c>
      <c r="P109" s="25">
        <f>IF(B109="","",WEEKNUM(B109,2))</f>
        <v>0</v>
      </c>
      <c r="Q109" s="38">
        <f>IF(B109="","",IF(E109="Tip","No",IF(E109="Refund","No","Yes")))</f>
        <v>0</v>
      </c>
      <c r="R109" s="25">
        <f>IF(B109="","",IF(E109="Refund",-1,1))</f>
        <v>0</v>
      </c>
      <c r="S109" s="26">
        <f>IF(B109="","",IF(G109="",0,IF(F109="Card",ROUND(G109*CardFeePercent+CardFeeFixed,2),IF(F109="Online deposit",ROUND(G109*CardFeePercent+CardFeeFixed,2),0))))</f>
        <v>0</v>
      </c>
      <c r="T109" s="26">
        <f>IF(B109="","",ROUND(IF(G109="",0,G109)*R109-S109,2))</f>
        <v>0</v>
      </c>
      <c r="U109" s="38">
        <f>IF(B109="","",IF(E109="Tip","Yes","No"))</f>
        <v>0</v>
      </c>
      <c r="V109" s="15">
        <f>IF(B109="","",IF(H109&lt;&gt;"","Sale "&amp;H109,IF(I109&lt;&gt;"","Booking "&amp;I109,IF(E109="Tip","Stylist","Unapplied"))))</f>
        <v>0</v>
      </c>
      <c r="W109" s="39">
        <f>IF(B109="","",IF(G109="","Add - no amount yet",IF(E109="","Add - what was this for?",IF(IF(H109="",FALSE,COUNTIF(Sales!$A$5:$A$1204,H109)=0),"Missing - no sale with that ID",IF(IF(I109="",FALSE,COUNTIF(Appointments!$A$5:$A$1204,I109)=0),"Missing - no booking with that ID",IF(IF(E109="Tip",J109="",FALSE),"Assign - whose tip is it?",IF(IF(E109="Deposit",IF(H109="",I109="",FALSE),FALSE),"Check - deposit not tied to a booking",IF(M109="No","Due - not reconciled yet","OK"))))))))</f>
        <v>0</v>
      </c>
    </row>
    <row r="110" spans="1:23">
      <c r="A110" s="28">
        <f>IF(B110="","",PaymentPrefix&amp;TEXT(ROW()-4,"0000"))</f>
        <v>0</v>
      </c>
      <c r="D110" s="15">
        <f>IF(C110="","",IFERROR(INDEX(Clients!$B$5:$B$504,MATCH(C110,Clients!$A$5:$A$504,0)),"Walk-in"))</f>
        <v>0</v>
      </c>
      <c r="K110" s="15">
        <f>IF(J110="","",IFERROR(INDEX(Staff!$B$5:$B$44,MATCH(J110,Staff!$A$5:$A$44,0)),""))</f>
        <v>0</v>
      </c>
      <c r="O110" s="15">
        <f>IF(B110="","",TEXT(B110,"yyyy-mm"))</f>
        <v>0</v>
      </c>
      <c r="P110" s="25">
        <f>IF(B110="","",WEEKNUM(B110,2))</f>
        <v>0</v>
      </c>
      <c r="Q110" s="38">
        <f>IF(B110="","",IF(E110="Tip","No",IF(E110="Refund","No","Yes")))</f>
        <v>0</v>
      </c>
      <c r="R110" s="25">
        <f>IF(B110="","",IF(E110="Refund",-1,1))</f>
        <v>0</v>
      </c>
      <c r="S110" s="26">
        <f>IF(B110="","",IF(G110="",0,IF(F110="Card",ROUND(G110*CardFeePercent+CardFeeFixed,2),IF(F110="Online deposit",ROUND(G110*CardFeePercent+CardFeeFixed,2),0))))</f>
        <v>0</v>
      </c>
      <c r="T110" s="26">
        <f>IF(B110="","",ROUND(IF(G110="",0,G110)*R110-S110,2))</f>
        <v>0</v>
      </c>
      <c r="U110" s="38">
        <f>IF(B110="","",IF(E110="Tip","Yes","No"))</f>
        <v>0</v>
      </c>
      <c r="V110" s="15">
        <f>IF(B110="","",IF(H110&lt;&gt;"","Sale "&amp;H110,IF(I110&lt;&gt;"","Booking "&amp;I110,IF(E110="Tip","Stylist","Unapplied"))))</f>
        <v>0</v>
      </c>
      <c r="W110" s="39">
        <f>IF(B110="","",IF(G110="","Add - no amount yet",IF(E110="","Add - what was this for?",IF(IF(H110="",FALSE,COUNTIF(Sales!$A$5:$A$1204,H110)=0),"Missing - no sale with that ID",IF(IF(I110="",FALSE,COUNTIF(Appointments!$A$5:$A$1204,I110)=0),"Missing - no booking with that ID",IF(IF(E110="Tip",J110="",FALSE),"Assign - whose tip is it?",IF(IF(E110="Deposit",IF(H110="",I110="",FALSE),FALSE),"Check - deposit not tied to a booking",IF(M110="No","Due - not reconciled yet","OK"))))))))</f>
        <v>0</v>
      </c>
    </row>
    <row r="111" spans="1:23">
      <c r="A111" s="28">
        <f>IF(B111="","",PaymentPrefix&amp;TEXT(ROW()-4,"0000"))</f>
        <v>0</v>
      </c>
      <c r="D111" s="15">
        <f>IF(C111="","",IFERROR(INDEX(Clients!$B$5:$B$504,MATCH(C111,Clients!$A$5:$A$504,0)),"Walk-in"))</f>
        <v>0</v>
      </c>
      <c r="K111" s="15">
        <f>IF(J111="","",IFERROR(INDEX(Staff!$B$5:$B$44,MATCH(J111,Staff!$A$5:$A$44,0)),""))</f>
        <v>0</v>
      </c>
      <c r="O111" s="15">
        <f>IF(B111="","",TEXT(B111,"yyyy-mm"))</f>
        <v>0</v>
      </c>
      <c r="P111" s="25">
        <f>IF(B111="","",WEEKNUM(B111,2))</f>
        <v>0</v>
      </c>
      <c r="Q111" s="38">
        <f>IF(B111="","",IF(E111="Tip","No",IF(E111="Refund","No","Yes")))</f>
        <v>0</v>
      </c>
      <c r="R111" s="25">
        <f>IF(B111="","",IF(E111="Refund",-1,1))</f>
        <v>0</v>
      </c>
      <c r="S111" s="26">
        <f>IF(B111="","",IF(G111="",0,IF(F111="Card",ROUND(G111*CardFeePercent+CardFeeFixed,2),IF(F111="Online deposit",ROUND(G111*CardFeePercent+CardFeeFixed,2),0))))</f>
        <v>0</v>
      </c>
      <c r="T111" s="26">
        <f>IF(B111="","",ROUND(IF(G111="",0,G111)*R111-S111,2))</f>
        <v>0</v>
      </c>
      <c r="U111" s="38">
        <f>IF(B111="","",IF(E111="Tip","Yes","No"))</f>
        <v>0</v>
      </c>
      <c r="V111" s="15">
        <f>IF(B111="","",IF(H111&lt;&gt;"","Sale "&amp;H111,IF(I111&lt;&gt;"","Booking "&amp;I111,IF(E111="Tip","Stylist","Unapplied"))))</f>
        <v>0</v>
      </c>
      <c r="W111" s="39">
        <f>IF(B111="","",IF(G111="","Add - no amount yet",IF(E111="","Add - what was this for?",IF(IF(H111="",FALSE,COUNTIF(Sales!$A$5:$A$1204,H111)=0),"Missing - no sale with that ID",IF(IF(I111="",FALSE,COUNTIF(Appointments!$A$5:$A$1204,I111)=0),"Missing - no booking with that ID",IF(IF(E111="Tip",J111="",FALSE),"Assign - whose tip is it?",IF(IF(E111="Deposit",IF(H111="",I111="",FALSE),FALSE),"Check - deposit not tied to a booking",IF(M111="No","Due - not reconciled yet","OK"))))))))</f>
        <v>0</v>
      </c>
    </row>
    <row r="112" spans="1:23">
      <c r="A112" s="28">
        <f>IF(B112="","",PaymentPrefix&amp;TEXT(ROW()-4,"0000"))</f>
        <v>0</v>
      </c>
      <c r="D112" s="15">
        <f>IF(C112="","",IFERROR(INDEX(Clients!$B$5:$B$504,MATCH(C112,Clients!$A$5:$A$504,0)),"Walk-in"))</f>
        <v>0</v>
      </c>
      <c r="K112" s="15">
        <f>IF(J112="","",IFERROR(INDEX(Staff!$B$5:$B$44,MATCH(J112,Staff!$A$5:$A$44,0)),""))</f>
        <v>0</v>
      </c>
      <c r="O112" s="15">
        <f>IF(B112="","",TEXT(B112,"yyyy-mm"))</f>
        <v>0</v>
      </c>
      <c r="P112" s="25">
        <f>IF(B112="","",WEEKNUM(B112,2))</f>
        <v>0</v>
      </c>
      <c r="Q112" s="38">
        <f>IF(B112="","",IF(E112="Tip","No",IF(E112="Refund","No","Yes")))</f>
        <v>0</v>
      </c>
      <c r="R112" s="25">
        <f>IF(B112="","",IF(E112="Refund",-1,1))</f>
        <v>0</v>
      </c>
      <c r="S112" s="26">
        <f>IF(B112="","",IF(G112="",0,IF(F112="Card",ROUND(G112*CardFeePercent+CardFeeFixed,2),IF(F112="Online deposit",ROUND(G112*CardFeePercent+CardFeeFixed,2),0))))</f>
        <v>0</v>
      </c>
      <c r="T112" s="26">
        <f>IF(B112="","",ROUND(IF(G112="",0,G112)*R112-S112,2))</f>
        <v>0</v>
      </c>
      <c r="U112" s="38">
        <f>IF(B112="","",IF(E112="Tip","Yes","No"))</f>
        <v>0</v>
      </c>
      <c r="V112" s="15">
        <f>IF(B112="","",IF(H112&lt;&gt;"","Sale "&amp;H112,IF(I112&lt;&gt;"","Booking "&amp;I112,IF(E112="Tip","Stylist","Unapplied"))))</f>
        <v>0</v>
      </c>
      <c r="W112" s="39">
        <f>IF(B112="","",IF(G112="","Add - no amount yet",IF(E112="","Add - what was this for?",IF(IF(H112="",FALSE,COUNTIF(Sales!$A$5:$A$1204,H112)=0),"Missing - no sale with that ID",IF(IF(I112="",FALSE,COUNTIF(Appointments!$A$5:$A$1204,I112)=0),"Missing - no booking with that ID",IF(IF(E112="Tip",J112="",FALSE),"Assign - whose tip is it?",IF(IF(E112="Deposit",IF(H112="",I112="",FALSE),FALSE),"Check - deposit not tied to a booking",IF(M112="No","Due - not reconciled yet","OK"))))))))</f>
        <v>0</v>
      </c>
    </row>
    <row r="113" spans="1:23">
      <c r="A113" s="28">
        <f>IF(B113="","",PaymentPrefix&amp;TEXT(ROW()-4,"0000"))</f>
        <v>0</v>
      </c>
      <c r="D113" s="15">
        <f>IF(C113="","",IFERROR(INDEX(Clients!$B$5:$B$504,MATCH(C113,Clients!$A$5:$A$504,0)),"Walk-in"))</f>
        <v>0</v>
      </c>
      <c r="K113" s="15">
        <f>IF(J113="","",IFERROR(INDEX(Staff!$B$5:$B$44,MATCH(J113,Staff!$A$5:$A$44,0)),""))</f>
        <v>0</v>
      </c>
      <c r="O113" s="15">
        <f>IF(B113="","",TEXT(B113,"yyyy-mm"))</f>
        <v>0</v>
      </c>
      <c r="P113" s="25">
        <f>IF(B113="","",WEEKNUM(B113,2))</f>
        <v>0</v>
      </c>
      <c r="Q113" s="38">
        <f>IF(B113="","",IF(E113="Tip","No",IF(E113="Refund","No","Yes")))</f>
        <v>0</v>
      </c>
      <c r="R113" s="25">
        <f>IF(B113="","",IF(E113="Refund",-1,1))</f>
        <v>0</v>
      </c>
      <c r="S113" s="26">
        <f>IF(B113="","",IF(G113="",0,IF(F113="Card",ROUND(G113*CardFeePercent+CardFeeFixed,2),IF(F113="Online deposit",ROUND(G113*CardFeePercent+CardFeeFixed,2),0))))</f>
        <v>0</v>
      </c>
      <c r="T113" s="26">
        <f>IF(B113="","",ROUND(IF(G113="",0,G113)*R113-S113,2))</f>
        <v>0</v>
      </c>
      <c r="U113" s="38">
        <f>IF(B113="","",IF(E113="Tip","Yes","No"))</f>
        <v>0</v>
      </c>
      <c r="V113" s="15">
        <f>IF(B113="","",IF(H113&lt;&gt;"","Sale "&amp;H113,IF(I113&lt;&gt;"","Booking "&amp;I113,IF(E113="Tip","Stylist","Unapplied"))))</f>
        <v>0</v>
      </c>
      <c r="W113" s="39">
        <f>IF(B113="","",IF(G113="","Add - no amount yet",IF(E113="","Add - what was this for?",IF(IF(H113="",FALSE,COUNTIF(Sales!$A$5:$A$1204,H113)=0),"Missing - no sale with that ID",IF(IF(I113="",FALSE,COUNTIF(Appointments!$A$5:$A$1204,I113)=0),"Missing - no booking with that ID",IF(IF(E113="Tip",J113="",FALSE),"Assign - whose tip is it?",IF(IF(E113="Deposit",IF(H113="",I113="",FALSE),FALSE),"Check - deposit not tied to a booking",IF(M113="No","Due - not reconciled yet","OK"))))))))</f>
        <v>0</v>
      </c>
    </row>
    <row r="114" spans="1:23">
      <c r="A114" s="28">
        <f>IF(B114="","",PaymentPrefix&amp;TEXT(ROW()-4,"0000"))</f>
        <v>0</v>
      </c>
      <c r="D114" s="15">
        <f>IF(C114="","",IFERROR(INDEX(Clients!$B$5:$B$504,MATCH(C114,Clients!$A$5:$A$504,0)),"Walk-in"))</f>
        <v>0</v>
      </c>
      <c r="K114" s="15">
        <f>IF(J114="","",IFERROR(INDEX(Staff!$B$5:$B$44,MATCH(J114,Staff!$A$5:$A$44,0)),""))</f>
        <v>0</v>
      </c>
      <c r="O114" s="15">
        <f>IF(B114="","",TEXT(B114,"yyyy-mm"))</f>
        <v>0</v>
      </c>
      <c r="P114" s="25">
        <f>IF(B114="","",WEEKNUM(B114,2))</f>
        <v>0</v>
      </c>
      <c r="Q114" s="38">
        <f>IF(B114="","",IF(E114="Tip","No",IF(E114="Refund","No","Yes")))</f>
        <v>0</v>
      </c>
      <c r="R114" s="25">
        <f>IF(B114="","",IF(E114="Refund",-1,1))</f>
        <v>0</v>
      </c>
      <c r="S114" s="26">
        <f>IF(B114="","",IF(G114="",0,IF(F114="Card",ROUND(G114*CardFeePercent+CardFeeFixed,2),IF(F114="Online deposit",ROUND(G114*CardFeePercent+CardFeeFixed,2),0))))</f>
        <v>0</v>
      </c>
      <c r="T114" s="26">
        <f>IF(B114="","",ROUND(IF(G114="",0,G114)*R114-S114,2))</f>
        <v>0</v>
      </c>
      <c r="U114" s="38">
        <f>IF(B114="","",IF(E114="Tip","Yes","No"))</f>
        <v>0</v>
      </c>
      <c r="V114" s="15">
        <f>IF(B114="","",IF(H114&lt;&gt;"","Sale "&amp;H114,IF(I114&lt;&gt;"","Booking "&amp;I114,IF(E114="Tip","Stylist","Unapplied"))))</f>
        <v>0</v>
      </c>
      <c r="W114" s="39">
        <f>IF(B114="","",IF(G114="","Add - no amount yet",IF(E114="","Add - what was this for?",IF(IF(H114="",FALSE,COUNTIF(Sales!$A$5:$A$1204,H114)=0),"Missing - no sale with that ID",IF(IF(I114="",FALSE,COUNTIF(Appointments!$A$5:$A$1204,I114)=0),"Missing - no booking with that ID",IF(IF(E114="Tip",J114="",FALSE),"Assign - whose tip is it?",IF(IF(E114="Deposit",IF(H114="",I114="",FALSE),FALSE),"Check - deposit not tied to a booking",IF(M114="No","Due - not reconciled yet","OK"))))))))</f>
        <v>0</v>
      </c>
    </row>
    <row r="115" spans="1:23">
      <c r="A115" s="28">
        <f>IF(B115="","",PaymentPrefix&amp;TEXT(ROW()-4,"0000"))</f>
        <v>0</v>
      </c>
      <c r="D115" s="15">
        <f>IF(C115="","",IFERROR(INDEX(Clients!$B$5:$B$504,MATCH(C115,Clients!$A$5:$A$504,0)),"Walk-in"))</f>
        <v>0</v>
      </c>
      <c r="K115" s="15">
        <f>IF(J115="","",IFERROR(INDEX(Staff!$B$5:$B$44,MATCH(J115,Staff!$A$5:$A$44,0)),""))</f>
        <v>0</v>
      </c>
      <c r="O115" s="15">
        <f>IF(B115="","",TEXT(B115,"yyyy-mm"))</f>
        <v>0</v>
      </c>
      <c r="P115" s="25">
        <f>IF(B115="","",WEEKNUM(B115,2))</f>
        <v>0</v>
      </c>
      <c r="Q115" s="38">
        <f>IF(B115="","",IF(E115="Tip","No",IF(E115="Refund","No","Yes")))</f>
        <v>0</v>
      </c>
      <c r="R115" s="25">
        <f>IF(B115="","",IF(E115="Refund",-1,1))</f>
        <v>0</v>
      </c>
      <c r="S115" s="26">
        <f>IF(B115="","",IF(G115="",0,IF(F115="Card",ROUND(G115*CardFeePercent+CardFeeFixed,2),IF(F115="Online deposit",ROUND(G115*CardFeePercent+CardFeeFixed,2),0))))</f>
        <v>0</v>
      </c>
      <c r="T115" s="26">
        <f>IF(B115="","",ROUND(IF(G115="",0,G115)*R115-S115,2))</f>
        <v>0</v>
      </c>
      <c r="U115" s="38">
        <f>IF(B115="","",IF(E115="Tip","Yes","No"))</f>
        <v>0</v>
      </c>
      <c r="V115" s="15">
        <f>IF(B115="","",IF(H115&lt;&gt;"","Sale "&amp;H115,IF(I115&lt;&gt;"","Booking "&amp;I115,IF(E115="Tip","Stylist","Unapplied"))))</f>
        <v>0</v>
      </c>
      <c r="W115" s="39">
        <f>IF(B115="","",IF(G115="","Add - no amount yet",IF(E115="","Add - what was this for?",IF(IF(H115="",FALSE,COUNTIF(Sales!$A$5:$A$1204,H115)=0),"Missing - no sale with that ID",IF(IF(I115="",FALSE,COUNTIF(Appointments!$A$5:$A$1204,I115)=0),"Missing - no booking with that ID",IF(IF(E115="Tip",J115="",FALSE),"Assign - whose tip is it?",IF(IF(E115="Deposit",IF(H115="",I115="",FALSE),FALSE),"Check - deposit not tied to a booking",IF(M115="No","Due - not reconciled yet","OK"))))))))</f>
        <v>0</v>
      </c>
    </row>
    <row r="116" spans="1:23">
      <c r="A116" s="28">
        <f>IF(B116="","",PaymentPrefix&amp;TEXT(ROW()-4,"0000"))</f>
        <v>0</v>
      </c>
      <c r="D116" s="15">
        <f>IF(C116="","",IFERROR(INDEX(Clients!$B$5:$B$504,MATCH(C116,Clients!$A$5:$A$504,0)),"Walk-in"))</f>
        <v>0</v>
      </c>
      <c r="K116" s="15">
        <f>IF(J116="","",IFERROR(INDEX(Staff!$B$5:$B$44,MATCH(J116,Staff!$A$5:$A$44,0)),""))</f>
        <v>0</v>
      </c>
      <c r="O116" s="15">
        <f>IF(B116="","",TEXT(B116,"yyyy-mm"))</f>
        <v>0</v>
      </c>
      <c r="P116" s="25">
        <f>IF(B116="","",WEEKNUM(B116,2))</f>
        <v>0</v>
      </c>
      <c r="Q116" s="38">
        <f>IF(B116="","",IF(E116="Tip","No",IF(E116="Refund","No","Yes")))</f>
        <v>0</v>
      </c>
      <c r="R116" s="25">
        <f>IF(B116="","",IF(E116="Refund",-1,1))</f>
        <v>0</v>
      </c>
      <c r="S116" s="26">
        <f>IF(B116="","",IF(G116="",0,IF(F116="Card",ROUND(G116*CardFeePercent+CardFeeFixed,2),IF(F116="Online deposit",ROUND(G116*CardFeePercent+CardFeeFixed,2),0))))</f>
        <v>0</v>
      </c>
      <c r="T116" s="26">
        <f>IF(B116="","",ROUND(IF(G116="",0,G116)*R116-S116,2))</f>
        <v>0</v>
      </c>
      <c r="U116" s="38">
        <f>IF(B116="","",IF(E116="Tip","Yes","No"))</f>
        <v>0</v>
      </c>
      <c r="V116" s="15">
        <f>IF(B116="","",IF(H116&lt;&gt;"","Sale "&amp;H116,IF(I116&lt;&gt;"","Booking "&amp;I116,IF(E116="Tip","Stylist","Unapplied"))))</f>
        <v>0</v>
      </c>
      <c r="W116" s="39">
        <f>IF(B116="","",IF(G116="","Add - no amount yet",IF(E116="","Add - what was this for?",IF(IF(H116="",FALSE,COUNTIF(Sales!$A$5:$A$1204,H116)=0),"Missing - no sale with that ID",IF(IF(I116="",FALSE,COUNTIF(Appointments!$A$5:$A$1204,I116)=0),"Missing - no booking with that ID",IF(IF(E116="Tip",J116="",FALSE),"Assign - whose tip is it?",IF(IF(E116="Deposit",IF(H116="",I116="",FALSE),FALSE),"Check - deposit not tied to a booking",IF(M116="No","Due - not reconciled yet","OK"))))))))</f>
        <v>0</v>
      </c>
    </row>
    <row r="117" spans="1:23">
      <c r="A117" s="28">
        <f>IF(B117="","",PaymentPrefix&amp;TEXT(ROW()-4,"0000"))</f>
        <v>0</v>
      </c>
      <c r="D117" s="15">
        <f>IF(C117="","",IFERROR(INDEX(Clients!$B$5:$B$504,MATCH(C117,Clients!$A$5:$A$504,0)),"Walk-in"))</f>
        <v>0</v>
      </c>
      <c r="K117" s="15">
        <f>IF(J117="","",IFERROR(INDEX(Staff!$B$5:$B$44,MATCH(J117,Staff!$A$5:$A$44,0)),""))</f>
        <v>0</v>
      </c>
      <c r="O117" s="15">
        <f>IF(B117="","",TEXT(B117,"yyyy-mm"))</f>
        <v>0</v>
      </c>
      <c r="P117" s="25">
        <f>IF(B117="","",WEEKNUM(B117,2))</f>
        <v>0</v>
      </c>
      <c r="Q117" s="38">
        <f>IF(B117="","",IF(E117="Tip","No",IF(E117="Refund","No","Yes")))</f>
        <v>0</v>
      </c>
      <c r="R117" s="25">
        <f>IF(B117="","",IF(E117="Refund",-1,1))</f>
        <v>0</v>
      </c>
      <c r="S117" s="26">
        <f>IF(B117="","",IF(G117="",0,IF(F117="Card",ROUND(G117*CardFeePercent+CardFeeFixed,2),IF(F117="Online deposit",ROUND(G117*CardFeePercent+CardFeeFixed,2),0))))</f>
        <v>0</v>
      </c>
      <c r="T117" s="26">
        <f>IF(B117="","",ROUND(IF(G117="",0,G117)*R117-S117,2))</f>
        <v>0</v>
      </c>
      <c r="U117" s="38">
        <f>IF(B117="","",IF(E117="Tip","Yes","No"))</f>
        <v>0</v>
      </c>
      <c r="V117" s="15">
        <f>IF(B117="","",IF(H117&lt;&gt;"","Sale "&amp;H117,IF(I117&lt;&gt;"","Booking "&amp;I117,IF(E117="Tip","Stylist","Unapplied"))))</f>
        <v>0</v>
      </c>
      <c r="W117" s="39">
        <f>IF(B117="","",IF(G117="","Add - no amount yet",IF(E117="","Add - what was this for?",IF(IF(H117="",FALSE,COUNTIF(Sales!$A$5:$A$1204,H117)=0),"Missing - no sale with that ID",IF(IF(I117="",FALSE,COUNTIF(Appointments!$A$5:$A$1204,I117)=0),"Missing - no booking with that ID",IF(IF(E117="Tip",J117="",FALSE),"Assign - whose tip is it?",IF(IF(E117="Deposit",IF(H117="",I117="",FALSE),FALSE),"Check - deposit not tied to a booking",IF(M117="No","Due - not reconciled yet","OK"))))))))</f>
        <v>0</v>
      </c>
    </row>
    <row r="118" spans="1:23">
      <c r="A118" s="28">
        <f>IF(B118="","",PaymentPrefix&amp;TEXT(ROW()-4,"0000"))</f>
        <v>0</v>
      </c>
      <c r="D118" s="15">
        <f>IF(C118="","",IFERROR(INDEX(Clients!$B$5:$B$504,MATCH(C118,Clients!$A$5:$A$504,0)),"Walk-in"))</f>
        <v>0</v>
      </c>
      <c r="K118" s="15">
        <f>IF(J118="","",IFERROR(INDEX(Staff!$B$5:$B$44,MATCH(J118,Staff!$A$5:$A$44,0)),""))</f>
        <v>0</v>
      </c>
      <c r="O118" s="15">
        <f>IF(B118="","",TEXT(B118,"yyyy-mm"))</f>
        <v>0</v>
      </c>
      <c r="P118" s="25">
        <f>IF(B118="","",WEEKNUM(B118,2))</f>
        <v>0</v>
      </c>
      <c r="Q118" s="38">
        <f>IF(B118="","",IF(E118="Tip","No",IF(E118="Refund","No","Yes")))</f>
        <v>0</v>
      </c>
      <c r="R118" s="25">
        <f>IF(B118="","",IF(E118="Refund",-1,1))</f>
        <v>0</v>
      </c>
      <c r="S118" s="26">
        <f>IF(B118="","",IF(G118="",0,IF(F118="Card",ROUND(G118*CardFeePercent+CardFeeFixed,2),IF(F118="Online deposit",ROUND(G118*CardFeePercent+CardFeeFixed,2),0))))</f>
        <v>0</v>
      </c>
      <c r="T118" s="26">
        <f>IF(B118="","",ROUND(IF(G118="",0,G118)*R118-S118,2))</f>
        <v>0</v>
      </c>
      <c r="U118" s="38">
        <f>IF(B118="","",IF(E118="Tip","Yes","No"))</f>
        <v>0</v>
      </c>
      <c r="V118" s="15">
        <f>IF(B118="","",IF(H118&lt;&gt;"","Sale "&amp;H118,IF(I118&lt;&gt;"","Booking "&amp;I118,IF(E118="Tip","Stylist","Unapplied"))))</f>
        <v>0</v>
      </c>
      <c r="W118" s="39">
        <f>IF(B118="","",IF(G118="","Add - no amount yet",IF(E118="","Add - what was this for?",IF(IF(H118="",FALSE,COUNTIF(Sales!$A$5:$A$1204,H118)=0),"Missing - no sale with that ID",IF(IF(I118="",FALSE,COUNTIF(Appointments!$A$5:$A$1204,I118)=0),"Missing - no booking with that ID",IF(IF(E118="Tip",J118="",FALSE),"Assign - whose tip is it?",IF(IF(E118="Deposit",IF(H118="",I118="",FALSE),FALSE),"Check - deposit not tied to a booking",IF(M118="No","Due - not reconciled yet","OK"))))))))</f>
        <v>0</v>
      </c>
    </row>
    <row r="119" spans="1:23">
      <c r="A119" s="28">
        <f>IF(B119="","",PaymentPrefix&amp;TEXT(ROW()-4,"0000"))</f>
        <v>0</v>
      </c>
      <c r="D119" s="15">
        <f>IF(C119="","",IFERROR(INDEX(Clients!$B$5:$B$504,MATCH(C119,Clients!$A$5:$A$504,0)),"Walk-in"))</f>
        <v>0</v>
      </c>
      <c r="K119" s="15">
        <f>IF(J119="","",IFERROR(INDEX(Staff!$B$5:$B$44,MATCH(J119,Staff!$A$5:$A$44,0)),""))</f>
        <v>0</v>
      </c>
      <c r="O119" s="15">
        <f>IF(B119="","",TEXT(B119,"yyyy-mm"))</f>
        <v>0</v>
      </c>
      <c r="P119" s="25">
        <f>IF(B119="","",WEEKNUM(B119,2))</f>
        <v>0</v>
      </c>
      <c r="Q119" s="38">
        <f>IF(B119="","",IF(E119="Tip","No",IF(E119="Refund","No","Yes")))</f>
        <v>0</v>
      </c>
      <c r="R119" s="25">
        <f>IF(B119="","",IF(E119="Refund",-1,1))</f>
        <v>0</v>
      </c>
      <c r="S119" s="26">
        <f>IF(B119="","",IF(G119="",0,IF(F119="Card",ROUND(G119*CardFeePercent+CardFeeFixed,2),IF(F119="Online deposit",ROUND(G119*CardFeePercent+CardFeeFixed,2),0))))</f>
        <v>0</v>
      </c>
      <c r="T119" s="26">
        <f>IF(B119="","",ROUND(IF(G119="",0,G119)*R119-S119,2))</f>
        <v>0</v>
      </c>
      <c r="U119" s="38">
        <f>IF(B119="","",IF(E119="Tip","Yes","No"))</f>
        <v>0</v>
      </c>
      <c r="V119" s="15">
        <f>IF(B119="","",IF(H119&lt;&gt;"","Sale "&amp;H119,IF(I119&lt;&gt;"","Booking "&amp;I119,IF(E119="Tip","Stylist","Unapplied"))))</f>
        <v>0</v>
      </c>
      <c r="W119" s="39">
        <f>IF(B119="","",IF(G119="","Add - no amount yet",IF(E119="","Add - what was this for?",IF(IF(H119="",FALSE,COUNTIF(Sales!$A$5:$A$1204,H119)=0),"Missing - no sale with that ID",IF(IF(I119="",FALSE,COUNTIF(Appointments!$A$5:$A$1204,I119)=0),"Missing - no booking with that ID",IF(IF(E119="Tip",J119="",FALSE),"Assign - whose tip is it?",IF(IF(E119="Deposit",IF(H119="",I119="",FALSE),FALSE),"Check - deposit not tied to a booking",IF(M119="No","Due - not reconciled yet","OK"))))))))</f>
        <v>0</v>
      </c>
    </row>
    <row r="120" spans="1:23">
      <c r="A120" s="28">
        <f>IF(B120="","",PaymentPrefix&amp;TEXT(ROW()-4,"0000"))</f>
        <v>0</v>
      </c>
      <c r="D120" s="15">
        <f>IF(C120="","",IFERROR(INDEX(Clients!$B$5:$B$504,MATCH(C120,Clients!$A$5:$A$504,0)),"Walk-in"))</f>
        <v>0</v>
      </c>
      <c r="K120" s="15">
        <f>IF(J120="","",IFERROR(INDEX(Staff!$B$5:$B$44,MATCH(J120,Staff!$A$5:$A$44,0)),""))</f>
        <v>0</v>
      </c>
      <c r="O120" s="15">
        <f>IF(B120="","",TEXT(B120,"yyyy-mm"))</f>
        <v>0</v>
      </c>
      <c r="P120" s="25">
        <f>IF(B120="","",WEEKNUM(B120,2))</f>
        <v>0</v>
      </c>
      <c r="Q120" s="38">
        <f>IF(B120="","",IF(E120="Tip","No",IF(E120="Refund","No","Yes")))</f>
        <v>0</v>
      </c>
      <c r="R120" s="25">
        <f>IF(B120="","",IF(E120="Refund",-1,1))</f>
        <v>0</v>
      </c>
      <c r="S120" s="26">
        <f>IF(B120="","",IF(G120="",0,IF(F120="Card",ROUND(G120*CardFeePercent+CardFeeFixed,2),IF(F120="Online deposit",ROUND(G120*CardFeePercent+CardFeeFixed,2),0))))</f>
        <v>0</v>
      </c>
      <c r="T120" s="26">
        <f>IF(B120="","",ROUND(IF(G120="",0,G120)*R120-S120,2))</f>
        <v>0</v>
      </c>
      <c r="U120" s="38">
        <f>IF(B120="","",IF(E120="Tip","Yes","No"))</f>
        <v>0</v>
      </c>
      <c r="V120" s="15">
        <f>IF(B120="","",IF(H120&lt;&gt;"","Sale "&amp;H120,IF(I120&lt;&gt;"","Booking "&amp;I120,IF(E120="Tip","Stylist","Unapplied"))))</f>
        <v>0</v>
      </c>
      <c r="W120" s="39">
        <f>IF(B120="","",IF(G120="","Add - no amount yet",IF(E120="","Add - what was this for?",IF(IF(H120="",FALSE,COUNTIF(Sales!$A$5:$A$1204,H120)=0),"Missing - no sale with that ID",IF(IF(I120="",FALSE,COUNTIF(Appointments!$A$5:$A$1204,I120)=0),"Missing - no booking with that ID",IF(IF(E120="Tip",J120="",FALSE),"Assign - whose tip is it?",IF(IF(E120="Deposit",IF(H120="",I120="",FALSE),FALSE),"Check - deposit not tied to a booking",IF(M120="No","Due - not reconciled yet","OK"))))))))</f>
        <v>0</v>
      </c>
    </row>
    <row r="121" spans="1:23">
      <c r="A121" s="28">
        <f>IF(B121="","",PaymentPrefix&amp;TEXT(ROW()-4,"0000"))</f>
        <v>0</v>
      </c>
      <c r="D121" s="15">
        <f>IF(C121="","",IFERROR(INDEX(Clients!$B$5:$B$504,MATCH(C121,Clients!$A$5:$A$504,0)),"Walk-in"))</f>
        <v>0</v>
      </c>
      <c r="K121" s="15">
        <f>IF(J121="","",IFERROR(INDEX(Staff!$B$5:$B$44,MATCH(J121,Staff!$A$5:$A$44,0)),""))</f>
        <v>0</v>
      </c>
      <c r="O121" s="15">
        <f>IF(B121="","",TEXT(B121,"yyyy-mm"))</f>
        <v>0</v>
      </c>
      <c r="P121" s="25">
        <f>IF(B121="","",WEEKNUM(B121,2))</f>
        <v>0</v>
      </c>
      <c r="Q121" s="38">
        <f>IF(B121="","",IF(E121="Tip","No",IF(E121="Refund","No","Yes")))</f>
        <v>0</v>
      </c>
      <c r="R121" s="25">
        <f>IF(B121="","",IF(E121="Refund",-1,1))</f>
        <v>0</v>
      </c>
      <c r="S121" s="26">
        <f>IF(B121="","",IF(G121="",0,IF(F121="Card",ROUND(G121*CardFeePercent+CardFeeFixed,2),IF(F121="Online deposit",ROUND(G121*CardFeePercent+CardFeeFixed,2),0))))</f>
        <v>0</v>
      </c>
      <c r="T121" s="26">
        <f>IF(B121="","",ROUND(IF(G121="",0,G121)*R121-S121,2))</f>
        <v>0</v>
      </c>
      <c r="U121" s="38">
        <f>IF(B121="","",IF(E121="Tip","Yes","No"))</f>
        <v>0</v>
      </c>
      <c r="V121" s="15">
        <f>IF(B121="","",IF(H121&lt;&gt;"","Sale "&amp;H121,IF(I121&lt;&gt;"","Booking "&amp;I121,IF(E121="Tip","Stylist","Unapplied"))))</f>
        <v>0</v>
      </c>
      <c r="W121" s="39">
        <f>IF(B121="","",IF(G121="","Add - no amount yet",IF(E121="","Add - what was this for?",IF(IF(H121="",FALSE,COUNTIF(Sales!$A$5:$A$1204,H121)=0),"Missing - no sale with that ID",IF(IF(I121="",FALSE,COUNTIF(Appointments!$A$5:$A$1204,I121)=0),"Missing - no booking with that ID",IF(IF(E121="Tip",J121="",FALSE),"Assign - whose tip is it?",IF(IF(E121="Deposit",IF(H121="",I121="",FALSE),FALSE),"Check - deposit not tied to a booking",IF(M121="No","Due - not reconciled yet","OK"))))))))</f>
        <v>0</v>
      </c>
    </row>
    <row r="122" spans="1:23">
      <c r="A122" s="28">
        <f>IF(B122="","",PaymentPrefix&amp;TEXT(ROW()-4,"0000"))</f>
        <v>0</v>
      </c>
      <c r="D122" s="15">
        <f>IF(C122="","",IFERROR(INDEX(Clients!$B$5:$B$504,MATCH(C122,Clients!$A$5:$A$504,0)),"Walk-in"))</f>
        <v>0</v>
      </c>
      <c r="K122" s="15">
        <f>IF(J122="","",IFERROR(INDEX(Staff!$B$5:$B$44,MATCH(J122,Staff!$A$5:$A$44,0)),""))</f>
        <v>0</v>
      </c>
      <c r="O122" s="15">
        <f>IF(B122="","",TEXT(B122,"yyyy-mm"))</f>
        <v>0</v>
      </c>
      <c r="P122" s="25">
        <f>IF(B122="","",WEEKNUM(B122,2))</f>
        <v>0</v>
      </c>
      <c r="Q122" s="38">
        <f>IF(B122="","",IF(E122="Tip","No",IF(E122="Refund","No","Yes")))</f>
        <v>0</v>
      </c>
      <c r="R122" s="25">
        <f>IF(B122="","",IF(E122="Refund",-1,1))</f>
        <v>0</v>
      </c>
      <c r="S122" s="26">
        <f>IF(B122="","",IF(G122="",0,IF(F122="Card",ROUND(G122*CardFeePercent+CardFeeFixed,2),IF(F122="Online deposit",ROUND(G122*CardFeePercent+CardFeeFixed,2),0))))</f>
        <v>0</v>
      </c>
      <c r="T122" s="26">
        <f>IF(B122="","",ROUND(IF(G122="",0,G122)*R122-S122,2))</f>
        <v>0</v>
      </c>
      <c r="U122" s="38">
        <f>IF(B122="","",IF(E122="Tip","Yes","No"))</f>
        <v>0</v>
      </c>
      <c r="V122" s="15">
        <f>IF(B122="","",IF(H122&lt;&gt;"","Sale "&amp;H122,IF(I122&lt;&gt;"","Booking "&amp;I122,IF(E122="Tip","Stylist","Unapplied"))))</f>
        <v>0</v>
      </c>
      <c r="W122" s="39">
        <f>IF(B122="","",IF(G122="","Add - no amount yet",IF(E122="","Add - what was this for?",IF(IF(H122="",FALSE,COUNTIF(Sales!$A$5:$A$1204,H122)=0),"Missing - no sale with that ID",IF(IF(I122="",FALSE,COUNTIF(Appointments!$A$5:$A$1204,I122)=0),"Missing - no booking with that ID",IF(IF(E122="Tip",J122="",FALSE),"Assign - whose tip is it?",IF(IF(E122="Deposit",IF(H122="",I122="",FALSE),FALSE),"Check - deposit not tied to a booking",IF(M122="No","Due - not reconciled yet","OK"))))))))</f>
        <v>0</v>
      </c>
    </row>
    <row r="123" spans="1:23">
      <c r="A123" s="28">
        <f>IF(B123="","",PaymentPrefix&amp;TEXT(ROW()-4,"0000"))</f>
        <v>0</v>
      </c>
      <c r="D123" s="15">
        <f>IF(C123="","",IFERROR(INDEX(Clients!$B$5:$B$504,MATCH(C123,Clients!$A$5:$A$504,0)),"Walk-in"))</f>
        <v>0</v>
      </c>
      <c r="K123" s="15">
        <f>IF(J123="","",IFERROR(INDEX(Staff!$B$5:$B$44,MATCH(J123,Staff!$A$5:$A$44,0)),""))</f>
        <v>0</v>
      </c>
      <c r="O123" s="15">
        <f>IF(B123="","",TEXT(B123,"yyyy-mm"))</f>
        <v>0</v>
      </c>
      <c r="P123" s="25">
        <f>IF(B123="","",WEEKNUM(B123,2))</f>
        <v>0</v>
      </c>
      <c r="Q123" s="38">
        <f>IF(B123="","",IF(E123="Tip","No",IF(E123="Refund","No","Yes")))</f>
        <v>0</v>
      </c>
      <c r="R123" s="25">
        <f>IF(B123="","",IF(E123="Refund",-1,1))</f>
        <v>0</v>
      </c>
      <c r="S123" s="26">
        <f>IF(B123="","",IF(G123="",0,IF(F123="Card",ROUND(G123*CardFeePercent+CardFeeFixed,2),IF(F123="Online deposit",ROUND(G123*CardFeePercent+CardFeeFixed,2),0))))</f>
        <v>0</v>
      </c>
      <c r="T123" s="26">
        <f>IF(B123="","",ROUND(IF(G123="",0,G123)*R123-S123,2))</f>
        <v>0</v>
      </c>
      <c r="U123" s="38">
        <f>IF(B123="","",IF(E123="Tip","Yes","No"))</f>
        <v>0</v>
      </c>
      <c r="V123" s="15">
        <f>IF(B123="","",IF(H123&lt;&gt;"","Sale "&amp;H123,IF(I123&lt;&gt;"","Booking "&amp;I123,IF(E123="Tip","Stylist","Unapplied"))))</f>
        <v>0</v>
      </c>
      <c r="W123" s="39">
        <f>IF(B123="","",IF(G123="","Add - no amount yet",IF(E123="","Add - what was this for?",IF(IF(H123="",FALSE,COUNTIF(Sales!$A$5:$A$1204,H123)=0),"Missing - no sale with that ID",IF(IF(I123="",FALSE,COUNTIF(Appointments!$A$5:$A$1204,I123)=0),"Missing - no booking with that ID",IF(IF(E123="Tip",J123="",FALSE),"Assign - whose tip is it?",IF(IF(E123="Deposit",IF(H123="",I123="",FALSE),FALSE),"Check - deposit not tied to a booking",IF(M123="No","Due - not reconciled yet","OK"))))))))</f>
        <v>0</v>
      </c>
    </row>
    <row r="124" spans="1:23">
      <c r="A124" s="28">
        <f>IF(B124="","",PaymentPrefix&amp;TEXT(ROW()-4,"0000"))</f>
        <v>0</v>
      </c>
      <c r="D124" s="15">
        <f>IF(C124="","",IFERROR(INDEX(Clients!$B$5:$B$504,MATCH(C124,Clients!$A$5:$A$504,0)),"Walk-in"))</f>
        <v>0</v>
      </c>
      <c r="K124" s="15">
        <f>IF(J124="","",IFERROR(INDEX(Staff!$B$5:$B$44,MATCH(J124,Staff!$A$5:$A$44,0)),""))</f>
        <v>0</v>
      </c>
      <c r="O124" s="15">
        <f>IF(B124="","",TEXT(B124,"yyyy-mm"))</f>
        <v>0</v>
      </c>
      <c r="P124" s="25">
        <f>IF(B124="","",WEEKNUM(B124,2))</f>
        <v>0</v>
      </c>
      <c r="Q124" s="38">
        <f>IF(B124="","",IF(E124="Tip","No",IF(E124="Refund","No","Yes")))</f>
        <v>0</v>
      </c>
      <c r="R124" s="25">
        <f>IF(B124="","",IF(E124="Refund",-1,1))</f>
        <v>0</v>
      </c>
      <c r="S124" s="26">
        <f>IF(B124="","",IF(G124="",0,IF(F124="Card",ROUND(G124*CardFeePercent+CardFeeFixed,2),IF(F124="Online deposit",ROUND(G124*CardFeePercent+CardFeeFixed,2),0))))</f>
        <v>0</v>
      </c>
      <c r="T124" s="26">
        <f>IF(B124="","",ROUND(IF(G124="",0,G124)*R124-S124,2))</f>
        <v>0</v>
      </c>
      <c r="U124" s="38">
        <f>IF(B124="","",IF(E124="Tip","Yes","No"))</f>
        <v>0</v>
      </c>
      <c r="V124" s="15">
        <f>IF(B124="","",IF(H124&lt;&gt;"","Sale "&amp;H124,IF(I124&lt;&gt;"","Booking "&amp;I124,IF(E124="Tip","Stylist","Unapplied"))))</f>
        <v>0</v>
      </c>
      <c r="W124" s="39">
        <f>IF(B124="","",IF(G124="","Add - no amount yet",IF(E124="","Add - what was this for?",IF(IF(H124="",FALSE,COUNTIF(Sales!$A$5:$A$1204,H124)=0),"Missing - no sale with that ID",IF(IF(I124="",FALSE,COUNTIF(Appointments!$A$5:$A$1204,I124)=0),"Missing - no booking with that ID",IF(IF(E124="Tip",J124="",FALSE),"Assign - whose tip is it?",IF(IF(E124="Deposit",IF(H124="",I124="",FALSE),FALSE),"Check - deposit not tied to a booking",IF(M124="No","Due - not reconciled yet","OK"))))))))</f>
        <v>0</v>
      </c>
    </row>
    <row r="125" spans="1:23">
      <c r="A125" s="28">
        <f>IF(B125="","",PaymentPrefix&amp;TEXT(ROW()-4,"0000"))</f>
        <v>0</v>
      </c>
      <c r="D125" s="15">
        <f>IF(C125="","",IFERROR(INDEX(Clients!$B$5:$B$504,MATCH(C125,Clients!$A$5:$A$504,0)),"Walk-in"))</f>
        <v>0</v>
      </c>
      <c r="K125" s="15">
        <f>IF(J125="","",IFERROR(INDEX(Staff!$B$5:$B$44,MATCH(J125,Staff!$A$5:$A$44,0)),""))</f>
        <v>0</v>
      </c>
      <c r="O125" s="15">
        <f>IF(B125="","",TEXT(B125,"yyyy-mm"))</f>
        <v>0</v>
      </c>
      <c r="P125" s="25">
        <f>IF(B125="","",WEEKNUM(B125,2))</f>
        <v>0</v>
      </c>
      <c r="Q125" s="38">
        <f>IF(B125="","",IF(E125="Tip","No",IF(E125="Refund","No","Yes")))</f>
        <v>0</v>
      </c>
      <c r="R125" s="25">
        <f>IF(B125="","",IF(E125="Refund",-1,1))</f>
        <v>0</v>
      </c>
      <c r="S125" s="26">
        <f>IF(B125="","",IF(G125="",0,IF(F125="Card",ROUND(G125*CardFeePercent+CardFeeFixed,2),IF(F125="Online deposit",ROUND(G125*CardFeePercent+CardFeeFixed,2),0))))</f>
        <v>0</v>
      </c>
      <c r="T125" s="26">
        <f>IF(B125="","",ROUND(IF(G125="",0,G125)*R125-S125,2))</f>
        <v>0</v>
      </c>
      <c r="U125" s="38">
        <f>IF(B125="","",IF(E125="Tip","Yes","No"))</f>
        <v>0</v>
      </c>
      <c r="V125" s="15">
        <f>IF(B125="","",IF(H125&lt;&gt;"","Sale "&amp;H125,IF(I125&lt;&gt;"","Booking "&amp;I125,IF(E125="Tip","Stylist","Unapplied"))))</f>
        <v>0</v>
      </c>
      <c r="W125" s="39">
        <f>IF(B125="","",IF(G125="","Add - no amount yet",IF(E125="","Add - what was this for?",IF(IF(H125="",FALSE,COUNTIF(Sales!$A$5:$A$1204,H125)=0),"Missing - no sale with that ID",IF(IF(I125="",FALSE,COUNTIF(Appointments!$A$5:$A$1204,I125)=0),"Missing - no booking with that ID",IF(IF(E125="Tip",J125="",FALSE),"Assign - whose tip is it?",IF(IF(E125="Deposit",IF(H125="",I125="",FALSE),FALSE),"Check - deposit not tied to a booking",IF(M125="No","Due - not reconciled yet","OK"))))))))</f>
        <v>0</v>
      </c>
    </row>
    <row r="126" spans="1:23">
      <c r="A126" s="28">
        <f>IF(B126="","",PaymentPrefix&amp;TEXT(ROW()-4,"0000"))</f>
        <v>0</v>
      </c>
      <c r="D126" s="15">
        <f>IF(C126="","",IFERROR(INDEX(Clients!$B$5:$B$504,MATCH(C126,Clients!$A$5:$A$504,0)),"Walk-in"))</f>
        <v>0</v>
      </c>
      <c r="K126" s="15">
        <f>IF(J126="","",IFERROR(INDEX(Staff!$B$5:$B$44,MATCH(J126,Staff!$A$5:$A$44,0)),""))</f>
        <v>0</v>
      </c>
      <c r="O126" s="15">
        <f>IF(B126="","",TEXT(B126,"yyyy-mm"))</f>
        <v>0</v>
      </c>
      <c r="P126" s="25">
        <f>IF(B126="","",WEEKNUM(B126,2))</f>
        <v>0</v>
      </c>
      <c r="Q126" s="38">
        <f>IF(B126="","",IF(E126="Tip","No",IF(E126="Refund","No","Yes")))</f>
        <v>0</v>
      </c>
      <c r="R126" s="25">
        <f>IF(B126="","",IF(E126="Refund",-1,1))</f>
        <v>0</v>
      </c>
      <c r="S126" s="26">
        <f>IF(B126="","",IF(G126="",0,IF(F126="Card",ROUND(G126*CardFeePercent+CardFeeFixed,2),IF(F126="Online deposit",ROUND(G126*CardFeePercent+CardFeeFixed,2),0))))</f>
        <v>0</v>
      </c>
      <c r="T126" s="26">
        <f>IF(B126="","",ROUND(IF(G126="",0,G126)*R126-S126,2))</f>
        <v>0</v>
      </c>
      <c r="U126" s="38">
        <f>IF(B126="","",IF(E126="Tip","Yes","No"))</f>
        <v>0</v>
      </c>
      <c r="V126" s="15">
        <f>IF(B126="","",IF(H126&lt;&gt;"","Sale "&amp;H126,IF(I126&lt;&gt;"","Booking "&amp;I126,IF(E126="Tip","Stylist","Unapplied"))))</f>
        <v>0</v>
      </c>
      <c r="W126" s="39">
        <f>IF(B126="","",IF(G126="","Add - no amount yet",IF(E126="","Add - what was this for?",IF(IF(H126="",FALSE,COUNTIF(Sales!$A$5:$A$1204,H126)=0),"Missing - no sale with that ID",IF(IF(I126="",FALSE,COUNTIF(Appointments!$A$5:$A$1204,I126)=0),"Missing - no booking with that ID",IF(IF(E126="Tip",J126="",FALSE),"Assign - whose tip is it?",IF(IF(E126="Deposit",IF(H126="",I126="",FALSE),FALSE),"Check - deposit not tied to a booking",IF(M126="No","Due - not reconciled yet","OK"))))))))</f>
        <v>0</v>
      </c>
    </row>
    <row r="127" spans="1:23">
      <c r="A127" s="28">
        <f>IF(B127="","",PaymentPrefix&amp;TEXT(ROW()-4,"0000"))</f>
        <v>0</v>
      </c>
      <c r="D127" s="15">
        <f>IF(C127="","",IFERROR(INDEX(Clients!$B$5:$B$504,MATCH(C127,Clients!$A$5:$A$504,0)),"Walk-in"))</f>
        <v>0</v>
      </c>
      <c r="K127" s="15">
        <f>IF(J127="","",IFERROR(INDEX(Staff!$B$5:$B$44,MATCH(J127,Staff!$A$5:$A$44,0)),""))</f>
        <v>0</v>
      </c>
      <c r="O127" s="15">
        <f>IF(B127="","",TEXT(B127,"yyyy-mm"))</f>
        <v>0</v>
      </c>
      <c r="P127" s="25">
        <f>IF(B127="","",WEEKNUM(B127,2))</f>
        <v>0</v>
      </c>
      <c r="Q127" s="38">
        <f>IF(B127="","",IF(E127="Tip","No",IF(E127="Refund","No","Yes")))</f>
        <v>0</v>
      </c>
      <c r="R127" s="25">
        <f>IF(B127="","",IF(E127="Refund",-1,1))</f>
        <v>0</v>
      </c>
      <c r="S127" s="26">
        <f>IF(B127="","",IF(G127="",0,IF(F127="Card",ROUND(G127*CardFeePercent+CardFeeFixed,2),IF(F127="Online deposit",ROUND(G127*CardFeePercent+CardFeeFixed,2),0))))</f>
        <v>0</v>
      </c>
      <c r="T127" s="26">
        <f>IF(B127="","",ROUND(IF(G127="",0,G127)*R127-S127,2))</f>
        <v>0</v>
      </c>
      <c r="U127" s="38">
        <f>IF(B127="","",IF(E127="Tip","Yes","No"))</f>
        <v>0</v>
      </c>
      <c r="V127" s="15">
        <f>IF(B127="","",IF(H127&lt;&gt;"","Sale "&amp;H127,IF(I127&lt;&gt;"","Booking "&amp;I127,IF(E127="Tip","Stylist","Unapplied"))))</f>
        <v>0</v>
      </c>
      <c r="W127" s="39">
        <f>IF(B127="","",IF(G127="","Add - no amount yet",IF(E127="","Add - what was this for?",IF(IF(H127="",FALSE,COUNTIF(Sales!$A$5:$A$1204,H127)=0),"Missing - no sale with that ID",IF(IF(I127="",FALSE,COUNTIF(Appointments!$A$5:$A$1204,I127)=0),"Missing - no booking with that ID",IF(IF(E127="Tip",J127="",FALSE),"Assign - whose tip is it?",IF(IF(E127="Deposit",IF(H127="",I127="",FALSE),FALSE),"Check - deposit not tied to a booking",IF(M127="No","Due - not reconciled yet","OK"))))))))</f>
        <v>0</v>
      </c>
    </row>
    <row r="128" spans="1:23">
      <c r="A128" s="28">
        <f>IF(B128="","",PaymentPrefix&amp;TEXT(ROW()-4,"0000"))</f>
        <v>0</v>
      </c>
      <c r="D128" s="15">
        <f>IF(C128="","",IFERROR(INDEX(Clients!$B$5:$B$504,MATCH(C128,Clients!$A$5:$A$504,0)),"Walk-in"))</f>
        <v>0</v>
      </c>
      <c r="K128" s="15">
        <f>IF(J128="","",IFERROR(INDEX(Staff!$B$5:$B$44,MATCH(J128,Staff!$A$5:$A$44,0)),""))</f>
        <v>0</v>
      </c>
      <c r="O128" s="15">
        <f>IF(B128="","",TEXT(B128,"yyyy-mm"))</f>
        <v>0</v>
      </c>
      <c r="P128" s="25">
        <f>IF(B128="","",WEEKNUM(B128,2))</f>
        <v>0</v>
      </c>
      <c r="Q128" s="38">
        <f>IF(B128="","",IF(E128="Tip","No",IF(E128="Refund","No","Yes")))</f>
        <v>0</v>
      </c>
      <c r="R128" s="25">
        <f>IF(B128="","",IF(E128="Refund",-1,1))</f>
        <v>0</v>
      </c>
      <c r="S128" s="26">
        <f>IF(B128="","",IF(G128="",0,IF(F128="Card",ROUND(G128*CardFeePercent+CardFeeFixed,2),IF(F128="Online deposit",ROUND(G128*CardFeePercent+CardFeeFixed,2),0))))</f>
        <v>0</v>
      </c>
      <c r="T128" s="26">
        <f>IF(B128="","",ROUND(IF(G128="",0,G128)*R128-S128,2))</f>
        <v>0</v>
      </c>
      <c r="U128" s="38">
        <f>IF(B128="","",IF(E128="Tip","Yes","No"))</f>
        <v>0</v>
      </c>
      <c r="V128" s="15">
        <f>IF(B128="","",IF(H128&lt;&gt;"","Sale "&amp;H128,IF(I128&lt;&gt;"","Booking "&amp;I128,IF(E128="Tip","Stylist","Unapplied"))))</f>
        <v>0</v>
      </c>
      <c r="W128" s="39">
        <f>IF(B128="","",IF(G128="","Add - no amount yet",IF(E128="","Add - what was this for?",IF(IF(H128="",FALSE,COUNTIF(Sales!$A$5:$A$1204,H128)=0),"Missing - no sale with that ID",IF(IF(I128="",FALSE,COUNTIF(Appointments!$A$5:$A$1204,I128)=0),"Missing - no booking with that ID",IF(IF(E128="Tip",J128="",FALSE),"Assign - whose tip is it?",IF(IF(E128="Deposit",IF(H128="",I128="",FALSE),FALSE),"Check - deposit not tied to a booking",IF(M128="No","Due - not reconciled yet","OK"))))))))</f>
        <v>0</v>
      </c>
    </row>
    <row r="129" spans="1:23">
      <c r="A129" s="28">
        <f>IF(B129="","",PaymentPrefix&amp;TEXT(ROW()-4,"0000"))</f>
        <v>0</v>
      </c>
      <c r="D129" s="15">
        <f>IF(C129="","",IFERROR(INDEX(Clients!$B$5:$B$504,MATCH(C129,Clients!$A$5:$A$504,0)),"Walk-in"))</f>
        <v>0</v>
      </c>
      <c r="K129" s="15">
        <f>IF(J129="","",IFERROR(INDEX(Staff!$B$5:$B$44,MATCH(J129,Staff!$A$5:$A$44,0)),""))</f>
        <v>0</v>
      </c>
      <c r="O129" s="15">
        <f>IF(B129="","",TEXT(B129,"yyyy-mm"))</f>
        <v>0</v>
      </c>
      <c r="P129" s="25">
        <f>IF(B129="","",WEEKNUM(B129,2))</f>
        <v>0</v>
      </c>
      <c r="Q129" s="38">
        <f>IF(B129="","",IF(E129="Tip","No",IF(E129="Refund","No","Yes")))</f>
        <v>0</v>
      </c>
      <c r="R129" s="25">
        <f>IF(B129="","",IF(E129="Refund",-1,1))</f>
        <v>0</v>
      </c>
      <c r="S129" s="26">
        <f>IF(B129="","",IF(G129="",0,IF(F129="Card",ROUND(G129*CardFeePercent+CardFeeFixed,2),IF(F129="Online deposit",ROUND(G129*CardFeePercent+CardFeeFixed,2),0))))</f>
        <v>0</v>
      </c>
      <c r="T129" s="26">
        <f>IF(B129="","",ROUND(IF(G129="",0,G129)*R129-S129,2))</f>
        <v>0</v>
      </c>
      <c r="U129" s="38">
        <f>IF(B129="","",IF(E129="Tip","Yes","No"))</f>
        <v>0</v>
      </c>
      <c r="V129" s="15">
        <f>IF(B129="","",IF(H129&lt;&gt;"","Sale "&amp;H129,IF(I129&lt;&gt;"","Booking "&amp;I129,IF(E129="Tip","Stylist","Unapplied"))))</f>
        <v>0</v>
      </c>
      <c r="W129" s="39">
        <f>IF(B129="","",IF(G129="","Add - no amount yet",IF(E129="","Add - what was this for?",IF(IF(H129="",FALSE,COUNTIF(Sales!$A$5:$A$1204,H129)=0),"Missing - no sale with that ID",IF(IF(I129="",FALSE,COUNTIF(Appointments!$A$5:$A$1204,I129)=0),"Missing - no booking with that ID",IF(IF(E129="Tip",J129="",FALSE),"Assign - whose tip is it?",IF(IF(E129="Deposit",IF(H129="",I129="",FALSE),FALSE),"Check - deposit not tied to a booking",IF(M129="No","Due - not reconciled yet","OK"))))))))</f>
        <v>0</v>
      </c>
    </row>
    <row r="130" spans="1:23">
      <c r="A130" s="28">
        <f>IF(B130="","",PaymentPrefix&amp;TEXT(ROW()-4,"0000"))</f>
        <v>0</v>
      </c>
      <c r="D130" s="15">
        <f>IF(C130="","",IFERROR(INDEX(Clients!$B$5:$B$504,MATCH(C130,Clients!$A$5:$A$504,0)),"Walk-in"))</f>
        <v>0</v>
      </c>
      <c r="K130" s="15">
        <f>IF(J130="","",IFERROR(INDEX(Staff!$B$5:$B$44,MATCH(J130,Staff!$A$5:$A$44,0)),""))</f>
        <v>0</v>
      </c>
      <c r="O130" s="15">
        <f>IF(B130="","",TEXT(B130,"yyyy-mm"))</f>
        <v>0</v>
      </c>
      <c r="P130" s="25">
        <f>IF(B130="","",WEEKNUM(B130,2))</f>
        <v>0</v>
      </c>
      <c r="Q130" s="38">
        <f>IF(B130="","",IF(E130="Tip","No",IF(E130="Refund","No","Yes")))</f>
        <v>0</v>
      </c>
      <c r="R130" s="25">
        <f>IF(B130="","",IF(E130="Refund",-1,1))</f>
        <v>0</v>
      </c>
      <c r="S130" s="26">
        <f>IF(B130="","",IF(G130="",0,IF(F130="Card",ROUND(G130*CardFeePercent+CardFeeFixed,2),IF(F130="Online deposit",ROUND(G130*CardFeePercent+CardFeeFixed,2),0))))</f>
        <v>0</v>
      </c>
      <c r="T130" s="26">
        <f>IF(B130="","",ROUND(IF(G130="",0,G130)*R130-S130,2))</f>
        <v>0</v>
      </c>
      <c r="U130" s="38">
        <f>IF(B130="","",IF(E130="Tip","Yes","No"))</f>
        <v>0</v>
      </c>
      <c r="V130" s="15">
        <f>IF(B130="","",IF(H130&lt;&gt;"","Sale "&amp;H130,IF(I130&lt;&gt;"","Booking "&amp;I130,IF(E130="Tip","Stylist","Unapplied"))))</f>
        <v>0</v>
      </c>
      <c r="W130" s="39">
        <f>IF(B130="","",IF(G130="","Add - no amount yet",IF(E130="","Add - what was this for?",IF(IF(H130="",FALSE,COUNTIF(Sales!$A$5:$A$1204,H130)=0),"Missing - no sale with that ID",IF(IF(I130="",FALSE,COUNTIF(Appointments!$A$5:$A$1204,I130)=0),"Missing - no booking with that ID",IF(IF(E130="Tip",J130="",FALSE),"Assign - whose tip is it?",IF(IF(E130="Deposit",IF(H130="",I130="",FALSE),FALSE),"Check - deposit not tied to a booking",IF(M130="No","Due - not reconciled yet","OK"))))))))</f>
        <v>0</v>
      </c>
    </row>
    <row r="131" spans="1:23">
      <c r="A131" s="28">
        <f>IF(B131="","",PaymentPrefix&amp;TEXT(ROW()-4,"0000"))</f>
        <v>0</v>
      </c>
      <c r="D131" s="15">
        <f>IF(C131="","",IFERROR(INDEX(Clients!$B$5:$B$504,MATCH(C131,Clients!$A$5:$A$504,0)),"Walk-in"))</f>
        <v>0</v>
      </c>
      <c r="K131" s="15">
        <f>IF(J131="","",IFERROR(INDEX(Staff!$B$5:$B$44,MATCH(J131,Staff!$A$5:$A$44,0)),""))</f>
        <v>0</v>
      </c>
      <c r="O131" s="15">
        <f>IF(B131="","",TEXT(B131,"yyyy-mm"))</f>
        <v>0</v>
      </c>
      <c r="P131" s="25">
        <f>IF(B131="","",WEEKNUM(B131,2))</f>
        <v>0</v>
      </c>
      <c r="Q131" s="38">
        <f>IF(B131="","",IF(E131="Tip","No",IF(E131="Refund","No","Yes")))</f>
        <v>0</v>
      </c>
      <c r="R131" s="25">
        <f>IF(B131="","",IF(E131="Refund",-1,1))</f>
        <v>0</v>
      </c>
      <c r="S131" s="26">
        <f>IF(B131="","",IF(G131="",0,IF(F131="Card",ROUND(G131*CardFeePercent+CardFeeFixed,2),IF(F131="Online deposit",ROUND(G131*CardFeePercent+CardFeeFixed,2),0))))</f>
        <v>0</v>
      </c>
      <c r="T131" s="26">
        <f>IF(B131="","",ROUND(IF(G131="",0,G131)*R131-S131,2))</f>
        <v>0</v>
      </c>
      <c r="U131" s="38">
        <f>IF(B131="","",IF(E131="Tip","Yes","No"))</f>
        <v>0</v>
      </c>
      <c r="V131" s="15">
        <f>IF(B131="","",IF(H131&lt;&gt;"","Sale "&amp;H131,IF(I131&lt;&gt;"","Booking "&amp;I131,IF(E131="Tip","Stylist","Unapplied"))))</f>
        <v>0</v>
      </c>
      <c r="W131" s="39">
        <f>IF(B131="","",IF(G131="","Add - no amount yet",IF(E131="","Add - what was this for?",IF(IF(H131="",FALSE,COUNTIF(Sales!$A$5:$A$1204,H131)=0),"Missing - no sale with that ID",IF(IF(I131="",FALSE,COUNTIF(Appointments!$A$5:$A$1204,I131)=0),"Missing - no booking with that ID",IF(IF(E131="Tip",J131="",FALSE),"Assign - whose tip is it?",IF(IF(E131="Deposit",IF(H131="",I131="",FALSE),FALSE),"Check - deposit not tied to a booking",IF(M131="No","Due - not reconciled yet","OK"))))))))</f>
        <v>0</v>
      </c>
    </row>
    <row r="132" spans="1:23">
      <c r="A132" s="28">
        <f>IF(B132="","",PaymentPrefix&amp;TEXT(ROW()-4,"0000"))</f>
        <v>0</v>
      </c>
      <c r="D132" s="15">
        <f>IF(C132="","",IFERROR(INDEX(Clients!$B$5:$B$504,MATCH(C132,Clients!$A$5:$A$504,0)),"Walk-in"))</f>
        <v>0</v>
      </c>
      <c r="K132" s="15">
        <f>IF(J132="","",IFERROR(INDEX(Staff!$B$5:$B$44,MATCH(J132,Staff!$A$5:$A$44,0)),""))</f>
        <v>0</v>
      </c>
      <c r="O132" s="15">
        <f>IF(B132="","",TEXT(B132,"yyyy-mm"))</f>
        <v>0</v>
      </c>
      <c r="P132" s="25">
        <f>IF(B132="","",WEEKNUM(B132,2))</f>
        <v>0</v>
      </c>
      <c r="Q132" s="38">
        <f>IF(B132="","",IF(E132="Tip","No",IF(E132="Refund","No","Yes")))</f>
        <v>0</v>
      </c>
      <c r="R132" s="25">
        <f>IF(B132="","",IF(E132="Refund",-1,1))</f>
        <v>0</v>
      </c>
      <c r="S132" s="26">
        <f>IF(B132="","",IF(G132="",0,IF(F132="Card",ROUND(G132*CardFeePercent+CardFeeFixed,2),IF(F132="Online deposit",ROUND(G132*CardFeePercent+CardFeeFixed,2),0))))</f>
        <v>0</v>
      </c>
      <c r="T132" s="26">
        <f>IF(B132="","",ROUND(IF(G132="",0,G132)*R132-S132,2))</f>
        <v>0</v>
      </c>
      <c r="U132" s="38">
        <f>IF(B132="","",IF(E132="Tip","Yes","No"))</f>
        <v>0</v>
      </c>
      <c r="V132" s="15">
        <f>IF(B132="","",IF(H132&lt;&gt;"","Sale "&amp;H132,IF(I132&lt;&gt;"","Booking "&amp;I132,IF(E132="Tip","Stylist","Unapplied"))))</f>
        <v>0</v>
      </c>
      <c r="W132" s="39">
        <f>IF(B132="","",IF(G132="","Add - no amount yet",IF(E132="","Add - what was this for?",IF(IF(H132="",FALSE,COUNTIF(Sales!$A$5:$A$1204,H132)=0),"Missing - no sale with that ID",IF(IF(I132="",FALSE,COUNTIF(Appointments!$A$5:$A$1204,I132)=0),"Missing - no booking with that ID",IF(IF(E132="Tip",J132="",FALSE),"Assign - whose tip is it?",IF(IF(E132="Deposit",IF(H132="",I132="",FALSE),FALSE),"Check - deposit not tied to a booking",IF(M132="No","Due - not reconciled yet","OK"))))))))</f>
        <v>0</v>
      </c>
    </row>
    <row r="133" spans="1:23">
      <c r="A133" s="28">
        <f>IF(B133="","",PaymentPrefix&amp;TEXT(ROW()-4,"0000"))</f>
        <v>0</v>
      </c>
      <c r="D133" s="15">
        <f>IF(C133="","",IFERROR(INDEX(Clients!$B$5:$B$504,MATCH(C133,Clients!$A$5:$A$504,0)),"Walk-in"))</f>
        <v>0</v>
      </c>
      <c r="K133" s="15">
        <f>IF(J133="","",IFERROR(INDEX(Staff!$B$5:$B$44,MATCH(J133,Staff!$A$5:$A$44,0)),""))</f>
        <v>0</v>
      </c>
      <c r="O133" s="15">
        <f>IF(B133="","",TEXT(B133,"yyyy-mm"))</f>
        <v>0</v>
      </c>
      <c r="P133" s="25">
        <f>IF(B133="","",WEEKNUM(B133,2))</f>
        <v>0</v>
      </c>
      <c r="Q133" s="38">
        <f>IF(B133="","",IF(E133="Tip","No",IF(E133="Refund","No","Yes")))</f>
        <v>0</v>
      </c>
      <c r="R133" s="25">
        <f>IF(B133="","",IF(E133="Refund",-1,1))</f>
        <v>0</v>
      </c>
      <c r="S133" s="26">
        <f>IF(B133="","",IF(G133="",0,IF(F133="Card",ROUND(G133*CardFeePercent+CardFeeFixed,2),IF(F133="Online deposit",ROUND(G133*CardFeePercent+CardFeeFixed,2),0))))</f>
        <v>0</v>
      </c>
      <c r="T133" s="26">
        <f>IF(B133="","",ROUND(IF(G133="",0,G133)*R133-S133,2))</f>
        <v>0</v>
      </c>
      <c r="U133" s="38">
        <f>IF(B133="","",IF(E133="Tip","Yes","No"))</f>
        <v>0</v>
      </c>
      <c r="V133" s="15">
        <f>IF(B133="","",IF(H133&lt;&gt;"","Sale "&amp;H133,IF(I133&lt;&gt;"","Booking "&amp;I133,IF(E133="Tip","Stylist","Unapplied"))))</f>
        <v>0</v>
      </c>
      <c r="W133" s="39">
        <f>IF(B133="","",IF(G133="","Add - no amount yet",IF(E133="","Add - what was this for?",IF(IF(H133="",FALSE,COUNTIF(Sales!$A$5:$A$1204,H133)=0),"Missing - no sale with that ID",IF(IF(I133="",FALSE,COUNTIF(Appointments!$A$5:$A$1204,I133)=0),"Missing - no booking with that ID",IF(IF(E133="Tip",J133="",FALSE),"Assign - whose tip is it?",IF(IF(E133="Deposit",IF(H133="",I133="",FALSE),FALSE),"Check - deposit not tied to a booking",IF(M133="No","Due - not reconciled yet","OK"))))))))</f>
        <v>0</v>
      </c>
    </row>
    <row r="134" spans="1:23">
      <c r="A134" s="28">
        <f>IF(B134="","",PaymentPrefix&amp;TEXT(ROW()-4,"0000"))</f>
        <v>0</v>
      </c>
      <c r="D134" s="15">
        <f>IF(C134="","",IFERROR(INDEX(Clients!$B$5:$B$504,MATCH(C134,Clients!$A$5:$A$504,0)),"Walk-in"))</f>
        <v>0</v>
      </c>
      <c r="K134" s="15">
        <f>IF(J134="","",IFERROR(INDEX(Staff!$B$5:$B$44,MATCH(J134,Staff!$A$5:$A$44,0)),""))</f>
        <v>0</v>
      </c>
      <c r="O134" s="15">
        <f>IF(B134="","",TEXT(B134,"yyyy-mm"))</f>
        <v>0</v>
      </c>
      <c r="P134" s="25">
        <f>IF(B134="","",WEEKNUM(B134,2))</f>
        <v>0</v>
      </c>
      <c r="Q134" s="38">
        <f>IF(B134="","",IF(E134="Tip","No",IF(E134="Refund","No","Yes")))</f>
        <v>0</v>
      </c>
      <c r="R134" s="25">
        <f>IF(B134="","",IF(E134="Refund",-1,1))</f>
        <v>0</v>
      </c>
      <c r="S134" s="26">
        <f>IF(B134="","",IF(G134="",0,IF(F134="Card",ROUND(G134*CardFeePercent+CardFeeFixed,2),IF(F134="Online deposit",ROUND(G134*CardFeePercent+CardFeeFixed,2),0))))</f>
        <v>0</v>
      </c>
      <c r="T134" s="26">
        <f>IF(B134="","",ROUND(IF(G134="",0,G134)*R134-S134,2))</f>
        <v>0</v>
      </c>
      <c r="U134" s="38">
        <f>IF(B134="","",IF(E134="Tip","Yes","No"))</f>
        <v>0</v>
      </c>
      <c r="V134" s="15">
        <f>IF(B134="","",IF(H134&lt;&gt;"","Sale "&amp;H134,IF(I134&lt;&gt;"","Booking "&amp;I134,IF(E134="Tip","Stylist","Unapplied"))))</f>
        <v>0</v>
      </c>
      <c r="W134" s="39">
        <f>IF(B134="","",IF(G134="","Add - no amount yet",IF(E134="","Add - what was this for?",IF(IF(H134="",FALSE,COUNTIF(Sales!$A$5:$A$1204,H134)=0),"Missing - no sale with that ID",IF(IF(I134="",FALSE,COUNTIF(Appointments!$A$5:$A$1204,I134)=0),"Missing - no booking with that ID",IF(IF(E134="Tip",J134="",FALSE),"Assign - whose tip is it?",IF(IF(E134="Deposit",IF(H134="",I134="",FALSE),FALSE),"Check - deposit not tied to a booking",IF(M134="No","Due - not reconciled yet","OK"))))))))</f>
        <v>0</v>
      </c>
    </row>
    <row r="135" spans="1:23">
      <c r="A135" s="28">
        <f>IF(B135="","",PaymentPrefix&amp;TEXT(ROW()-4,"0000"))</f>
        <v>0</v>
      </c>
      <c r="D135" s="15">
        <f>IF(C135="","",IFERROR(INDEX(Clients!$B$5:$B$504,MATCH(C135,Clients!$A$5:$A$504,0)),"Walk-in"))</f>
        <v>0</v>
      </c>
      <c r="K135" s="15">
        <f>IF(J135="","",IFERROR(INDEX(Staff!$B$5:$B$44,MATCH(J135,Staff!$A$5:$A$44,0)),""))</f>
        <v>0</v>
      </c>
      <c r="O135" s="15">
        <f>IF(B135="","",TEXT(B135,"yyyy-mm"))</f>
        <v>0</v>
      </c>
      <c r="P135" s="25">
        <f>IF(B135="","",WEEKNUM(B135,2))</f>
        <v>0</v>
      </c>
      <c r="Q135" s="38">
        <f>IF(B135="","",IF(E135="Tip","No",IF(E135="Refund","No","Yes")))</f>
        <v>0</v>
      </c>
      <c r="R135" s="25">
        <f>IF(B135="","",IF(E135="Refund",-1,1))</f>
        <v>0</v>
      </c>
      <c r="S135" s="26">
        <f>IF(B135="","",IF(G135="",0,IF(F135="Card",ROUND(G135*CardFeePercent+CardFeeFixed,2),IF(F135="Online deposit",ROUND(G135*CardFeePercent+CardFeeFixed,2),0))))</f>
        <v>0</v>
      </c>
      <c r="T135" s="26">
        <f>IF(B135="","",ROUND(IF(G135="",0,G135)*R135-S135,2))</f>
        <v>0</v>
      </c>
      <c r="U135" s="38">
        <f>IF(B135="","",IF(E135="Tip","Yes","No"))</f>
        <v>0</v>
      </c>
      <c r="V135" s="15">
        <f>IF(B135="","",IF(H135&lt;&gt;"","Sale "&amp;H135,IF(I135&lt;&gt;"","Booking "&amp;I135,IF(E135="Tip","Stylist","Unapplied"))))</f>
        <v>0</v>
      </c>
      <c r="W135" s="39">
        <f>IF(B135="","",IF(G135="","Add - no amount yet",IF(E135="","Add - what was this for?",IF(IF(H135="",FALSE,COUNTIF(Sales!$A$5:$A$1204,H135)=0),"Missing - no sale with that ID",IF(IF(I135="",FALSE,COUNTIF(Appointments!$A$5:$A$1204,I135)=0),"Missing - no booking with that ID",IF(IF(E135="Tip",J135="",FALSE),"Assign - whose tip is it?",IF(IF(E135="Deposit",IF(H135="",I135="",FALSE),FALSE),"Check - deposit not tied to a booking",IF(M135="No","Due - not reconciled yet","OK"))))))))</f>
        <v>0</v>
      </c>
    </row>
    <row r="136" spans="1:23">
      <c r="A136" s="28">
        <f>IF(B136="","",PaymentPrefix&amp;TEXT(ROW()-4,"0000"))</f>
        <v>0</v>
      </c>
      <c r="D136" s="15">
        <f>IF(C136="","",IFERROR(INDEX(Clients!$B$5:$B$504,MATCH(C136,Clients!$A$5:$A$504,0)),"Walk-in"))</f>
        <v>0</v>
      </c>
      <c r="K136" s="15">
        <f>IF(J136="","",IFERROR(INDEX(Staff!$B$5:$B$44,MATCH(J136,Staff!$A$5:$A$44,0)),""))</f>
        <v>0</v>
      </c>
      <c r="O136" s="15">
        <f>IF(B136="","",TEXT(B136,"yyyy-mm"))</f>
        <v>0</v>
      </c>
      <c r="P136" s="25">
        <f>IF(B136="","",WEEKNUM(B136,2))</f>
        <v>0</v>
      </c>
      <c r="Q136" s="38">
        <f>IF(B136="","",IF(E136="Tip","No",IF(E136="Refund","No","Yes")))</f>
        <v>0</v>
      </c>
      <c r="R136" s="25">
        <f>IF(B136="","",IF(E136="Refund",-1,1))</f>
        <v>0</v>
      </c>
      <c r="S136" s="26">
        <f>IF(B136="","",IF(G136="",0,IF(F136="Card",ROUND(G136*CardFeePercent+CardFeeFixed,2),IF(F136="Online deposit",ROUND(G136*CardFeePercent+CardFeeFixed,2),0))))</f>
        <v>0</v>
      </c>
      <c r="T136" s="26">
        <f>IF(B136="","",ROUND(IF(G136="",0,G136)*R136-S136,2))</f>
        <v>0</v>
      </c>
      <c r="U136" s="38">
        <f>IF(B136="","",IF(E136="Tip","Yes","No"))</f>
        <v>0</v>
      </c>
      <c r="V136" s="15">
        <f>IF(B136="","",IF(H136&lt;&gt;"","Sale "&amp;H136,IF(I136&lt;&gt;"","Booking "&amp;I136,IF(E136="Tip","Stylist","Unapplied"))))</f>
        <v>0</v>
      </c>
      <c r="W136" s="39">
        <f>IF(B136="","",IF(G136="","Add - no amount yet",IF(E136="","Add - what was this for?",IF(IF(H136="",FALSE,COUNTIF(Sales!$A$5:$A$1204,H136)=0),"Missing - no sale with that ID",IF(IF(I136="",FALSE,COUNTIF(Appointments!$A$5:$A$1204,I136)=0),"Missing - no booking with that ID",IF(IF(E136="Tip",J136="",FALSE),"Assign - whose tip is it?",IF(IF(E136="Deposit",IF(H136="",I136="",FALSE),FALSE),"Check - deposit not tied to a booking",IF(M136="No","Due - not reconciled yet","OK"))))))))</f>
        <v>0</v>
      </c>
    </row>
    <row r="137" spans="1:23">
      <c r="A137" s="28">
        <f>IF(B137="","",PaymentPrefix&amp;TEXT(ROW()-4,"0000"))</f>
        <v>0</v>
      </c>
      <c r="D137" s="15">
        <f>IF(C137="","",IFERROR(INDEX(Clients!$B$5:$B$504,MATCH(C137,Clients!$A$5:$A$504,0)),"Walk-in"))</f>
        <v>0</v>
      </c>
      <c r="K137" s="15">
        <f>IF(J137="","",IFERROR(INDEX(Staff!$B$5:$B$44,MATCH(J137,Staff!$A$5:$A$44,0)),""))</f>
        <v>0</v>
      </c>
      <c r="O137" s="15">
        <f>IF(B137="","",TEXT(B137,"yyyy-mm"))</f>
        <v>0</v>
      </c>
      <c r="P137" s="25">
        <f>IF(B137="","",WEEKNUM(B137,2))</f>
        <v>0</v>
      </c>
      <c r="Q137" s="38">
        <f>IF(B137="","",IF(E137="Tip","No",IF(E137="Refund","No","Yes")))</f>
        <v>0</v>
      </c>
      <c r="R137" s="25">
        <f>IF(B137="","",IF(E137="Refund",-1,1))</f>
        <v>0</v>
      </c>
      <c r="S137" s="26">
        <f>IF(B137="","",IF(G137="",0,IF(F137="Card",ROUND(G137*CardFeePercent+CardFeeFixed,2),IF(F137="Online deposit",ROUND(G137*CardFeePercent+CardFeeFixed,2),0))))</f>
        <v>0</v>
      </c>
      <c r="T137" s="26">
        <f>IF(B137="","",ROUND(IF(G137="",0,G137)*R137-S137,2))</f>
        <v>0</v>
      </c>
      <c r="U137" s="38">
        <f>IF(B137="","",IF(E137="Tip","Yes","No"))</f>
        <v>0</v>
      </c>
      <c r="V137" s="15">
        <f>IF(B137="","",IF(H137&lt;&gt;"","Sale "&amp;H137,IF(I137&lt;&gt;"","Booking "&amp;I137,IF(E137="Tip","Stylist","Unapplied"))))</f>
        <v>0</v>
      </c>
      <c r="W137" s="39">
        <f>IF(B137="","",IF(G137="","Add - no amount yet",IF(E137="","Add - what was this for?",IF(IF(H137="",FALSE,COUNTIF(Sales!$A$5:$A$1204,H137)=0),"Missing - no sale with that ID",IF(IF(I137="",FALSE,COUNTIF(Appointments!$A$5:$A$1204,I137)=0),"Missing - no booking with that ID",IF(IF(E137="Tip",J137="",FALSE),"Assign - whose tip is it?",IF(IF(E137="Deposit",IF(H137="",I137="",FALSE),FALSE),"Check - deposit not tied to a booking",IF(M137="No","Due - not reconciled yet","OK"))))))))</f>
        <v>0</v>
      </c>
    </row>
    <row r="138" spans="1:23">
      <c r="A138" s="28">
        <f>IF(B138="","",PaymentPrefix&amp;TEXT(ROW()-4,"0000"))</f>
        <v>0</v>
      </c>
      <c r="D138" s="15">
        <f>IF(C138="","",IFERROR(INDEX(Clients!$B$5:$B$504,MATCH(C138,Clients!$A$5:$A$504,0)),"Walk-in"))</f>
        <v>0</v>
      </c>
      <c r="K138" s="15">
        <f>IF(J138="","",IFERROR(INDEX(Staff!$B$5:$B$44,MATCH(J138,Staff!$A$5:$A$44,0)),""))</f>
        <v>0</v>
      </c>
      <c r="O138" s="15">
        <f>IF(B138="","",TEXT(B138,"yyyy-mm"))</f>
        <v>0</v>
      </c>
      <c r="P138" s="25">
        <f>IF(B138="","",WEEKNUM(B138,2))</f>
        <v>0</v>
      </c>
      <c r="Q138" s="38">
        <f>IF(B138="","",IF(E138="Tip","No",IF(E138="Refund","No","Yes")))</f>
        <v>0</v>
      </c>
      <c r="R138" s="25">
        <f>IF(B138="","",IF(E138="Refund",-1,1))</f>
        <v>0</v>
      </c>
      <c r="S138" s="26">
        <f>IF(B138="","",IF(G138="",0,IF(F138="Card",ROUND(G138*CardFeePercent+CardFeeFixed,2),IF(F138="Online deposit",ROUND(G138*CardFeePercent+CardFeeFixed,2),0))))</f>
        <v>0</v>
      </c>
      <c r="T138" s="26">
        <f>IF(B138="","",ROUND(IF(G138="",0,G138)*R138-S138,2))</f>
        <v>0</v>
      </c>
      <c r="U138" s="38">
        <f>IF(B138="","",IF(E138="Tip","Yes","No"))</f>
        <v>0</v>
      </c>
      <c r="V138" s="15">
        <f>IF(B138="","",IF(H138&lt;&gt;"","Sale "&amp;H138,IF(I138&lt;&gt;"","Booking "&amp;I138,IF(E138="Tip","Stylist","Unapplied"))))</f>
        <v>0</v>
      </c>
      <c r="W138" s="39">
        <f>IF(B138="","",IF(G138="","Add - no amount yet",IF(E138="","Add - what was this for?",IF(IF(H138="",FALSE,COUNTIF(Sales!$A$5:$A$1204,H138)=0),"Missing - no sale with that ID",IF(IF(I138="",FALSE,COUNTIF(Appointments!$A$5:$A$1204,I138)=0),"Missing - no booking with that ID",IF(IF(E138="Tip",J138="",FALSE),"Assign - whose tip is it?",IF(IF(E138="Deposit",IF(H138="",I138="",FALSE),FALSE),"Check - deposit not tied to a booking",IF(M138="No","Due - not reconciled yet","OK"))))))))</f>
        <v>0</v>
      </c>
    </row>
    <row r="139" spans="1:23">
      <c r="A139" s="28">
        <f>IF(B139="","",PaymentPrefix&amp;TEXT(ROW()-4,"0000"))</f>
        <v>0</v>
      </c>
      <c r="D139" s="15">
        <f>IF(C139="","",IFERROR(INDEX(Clients!$B$5:$B$504,MATCH(C139,Clients!$A$5:$A$504,0)),"Walk-in"))</f>
        <v>0</v>
      </c>
      <c r="K139" s="15">
        <f>IF(J139="","",IFERROR(INDEX(Staff!$B$5:$B$44,MATCH(J139,Staff!$A$5:$A$44,0)),""))</f>
        <v>0</v>
      </c>
      <c r="O139" s="15">
        <f>IF(B139="","",TEXT(B139,"yyyy-mm"))</f>
        <v>0</v>
      </c>
      <c r="P139" s="25">
        <f>IF(B139="","",WEEKNUM(B139,2))</f>
        <v>0</v>
      </c>
      <c r="Q139" s="38">
        <f>IF(B139="","",IF(E139="Tip","No",IF(E139="Refund","No","Yes")))</f>
        <v>0</v>
      </c>
      <c r="R139" s="25">
        <f>IF(B139="","",IF(E139="Refund",-1,1))</f>
        <v>0</v>
      </c>
      <c r="S139" s="26">
        <f>IF(B139="","",IF(G139="",0,IF(F139="Card",ROUND(G139*CardFeePercent+CardFeeFixed,2),IF(F139="Online deposit",ROUND(G139*CardFeePercent+CardFeeFixed,2),0))))</f>
        <v>0</v>
      </c>
      <c r="T139" s="26">
        <f>IF(B139="","",ROUND(IF(G139="",0,G139)*R139-S139,2))</f>
        <v>0</v>
      </c>
      <c r="U139" s="38">
        <f>IF(B139="","",IF(E139="Tip","Yes","No"))</f>
        <v>0</v>
      </c>
      <c r="V139" s="15">
        <f>IF(B139="","",IF(H139&lt;&gt;"","Sale "&amp;H139,IF(I139&lt;&gt;"","Booking "&amp;I139,IF(E139="Tip","Stylist","Unapplied"))))</f>
        <v>0</v>
      </c>
      <c r="W139" s="39">
        <f>IF(B139="","",IF(G139="","Add - no amount yet",IF(E139="","Add - what was this for?",IF(IF(H139="",FALSE,COUNTIF(Sales!$A$5:$A$1204,H139)=0),"Missing - no sale with that ID",IF(IF(I139="",FALSE,COUNTIF(Appointments!$A$5:$A$1204,I139)=0),"Missing - no booking with that ID",IF(IF(E139="Tip",J139="",FALSE),"Assign - whose tip is it?",IF(IF(E139="Deposit",IF(H139="",I139="",FALSE),FALSE),"Check - deposit not tied to a booking",IF(M139="No","Due - not reconciled yet","OK"))))))))</f>
        <v>0</v>
      </c>
    </row>
    <row r="140" spans="1:23">
      <c r="A140" s="28">
        <f>IF(B140="","",PaymentPrefix&amp;TEXT(ROW()-4,"0000"))</f>
        <v>0</v>
      </c>
      <c r="D140" s="15">
        <f>IF(C140="","",IFERROR(INDEX(Clients!$B$5:$B$504,MATCH(C140,Clients!$A$5:$A$504,0)),"Walk-in"))</f>
        <v>0</v>
      </c>
      <c r="K140" s="15">
        <f>IF(J140="","",IFERROR(INDEX(Staff!$B$5:$B$44,MATCH(J140,Staff!$A$5:$A$44,0)),""))</f>
        <v>0</v>
      </c>
      <c r="O140" s="15">
        <f>IF(B140="","",TEXT(B140,"yyyy-mm"))</f>
        <v>0</v>
      </c>
      <c r="P140" s="25">
        <f>IF(B140="","",WEEKNUM(B140,2))</f>
        <v>0</v>
      </c>
      <c r="Q140" s="38">
        <f>IF(B140="","",IF(E140="Tip","No",IF(E140="Refund","No","Yes")))</f>
        <v>0</v>
      </c>
      <c r="R140" s="25">
        <f>IF(B140="","",IF(E140="Refund",-1,1))</f>
        <v>0</v>
      </c>
      <c r="S140" s="26">
        <f>IF(B140="","",IF(G140="",0,IF(F140="Card",ROUND(G140*CardFeePercent+CardFeeFixed,2),IF(F140="Online deposit",ROUND(G140*CardFeePercent+CardFeeFixed,2),0))))</f>
        <v>0</v>
      </c>
      <c r="T140" s="26">
        <f>IF(B140="","",ROUND(IF(G140="",0,G140)*R140-S140,2))</f>
        <v>0</v>
      </c>
      <c r="U140" s="38">
        <f>IF(B140="","",IF(E140="Tip","Yes","No"))</f>
        <v>0</v>
      </c>
      <c r="V140" s="15">
        <f>IF(B140="","",IF(H140&lt;&gt;"","Sale "&amp;H140,IF(I140&lt;&gt;"","Booking "&amp;I140,IF(E140="Tip","Stylist","Unapplied"))))</f>
        <v>0</v>
      </c>
      <c r="W140" s="39">
        <f>IF(B140="","",IF(G140="","Add - no amount yet",IF(E140="","Add - what was this for?",IF(IF(H140="",FALSE,COUNTIF(Sales!$A$5:$A$1204,H140)=0),"Missing - no sale with that ID",IF(IF(I140="",FALSE,COUNTIF(Appointments!$A$5:$A$1204,I140)=0),"Missing - no booking with that ID",IF(IF(E140="Tip",J140="",FALSE),"Assign - whose tip is it?",IF(IF(E140="Deposit",IF(H140="",I140="",FALSE),FALSE),"Check - deposit not tied to a booking",IF(M140="No","Due - not reconciled yet","OK"))))))))</f>
        <v>0</v>
      </c>
    </row>
    <row r="141" spans="1:23">
      <c r="A141" s="28">
        <f>IF(B141="","",PaymentPrefix&amp;TEXT(ROW()-4,"0000"))</f>
        <v>0</v>
      </c>
      <c r="D141" s="15">
        <f>IF(C141="","",IFERROR(INDEX(Clients!$B$5:$B$504,MATCH(C141,Clients!$A$5:$A$504,0)),"Walk-in"))</f>
        <v>0</v>
      </c>
      <c r="K141" s="15">
        <f>IF(J141="","",IFERROR(INDEX(Staff!$B$5:$B$44,MATCH(J141,Staff!$A$5:$A$44,0)),""))</f>
        <v>0</v>
      </c>
      <c r="O141" s="15">
        <f>IF(B141="","",TEXT(B141,"yyyy-mm"))</f>
        <v>0</v>
      </c>
      <c r="P141" s="25">
        <f>IF(B141="","",WEEKNUM(B141,2))</f>
        <v>0</v>
      </c>
      <c r="Q141" s="38">
        <f>IF(B141="","",IF(E141="Tip","No",IF(E141="Refund","No","Yes")))</f>
        <v>0</v>
      </c>
      <c r="R141" s="25">
        <f>IF(B141="","",IF(E141="Refund",-1,1))</f>
        <v>0</v>
      </c>
      <c r="S141" s="26">
        <f>IF(B141="","",IF(G141="",0,IF(F141="Card",ROUND(G141*CardFeePercent+CardFeeFixed,2),IF(F141="Online deposit",ROUND(G141*CardFeePercent+CardFeeFixed,2),0))))</f>
        <v>0</v>
      </c>
      <c r="T141" s="26">
        <f>IF(B141="","",ROUND(IF(G141="",0,G141)*R141-S141,2))</f>
        <v>0</v>
      </c>
      <c r="U141" s="38">
        <f>IF(B141="","",IF(E141="Tip","Yes","No"))</f>
        <v>0</v>
      </c>
      <c r="V141" s="15">
        <f>IF(B141="","",IF(H141&lt;&gt;"","Sale "&amp;H141,IF(I141&lt;&gt;"","Booking "&amp;I141,IF(E141="Tip","Stylist","Unapplied"))))</f>
        <v>0</v>
      </c>
      <c r="W141" s="39">
        <f>IF(B141="","",IF(G141="","Add - no amount yet",IF(E141="","Add - what was this for?",IF(IF(H141="",FALSE,COUNTIF(Sales!$A$5:$A$1204,H141)=0),"Missing - no sale with that ID",IF(IF(I141="",FALSE,COUNTIF(Appointments!$A$5:$A$1204,I141)=0),"Missing - no booking with that ID",IF(IF(E141="Tip",J141="",FALSE),"Assign - whose tip is it?",IF(IF(E141="Deposit",IF(H141="",I141="",FALSE),FALSE),"Check - deposit not tied to a booking",IF(M141="No","Due - not reconciled yet","OK"))))))))</f>
        <v>0</v>
      </c>
    </row>
    <row r="142" spans="1:23">
      <c r="A142" s="28">
        <f>IF(B142="","",PaymentPrefix&amp;TEXT(ROW()-4,"0000"))</f>
        <v>0</v>
      </c>
      <c r="D142" s="15">
        <f>IF(C142="","",IFERROR(INDEX(Clients!$B$5:$B$504,MATCH(C142,Clients!$A$5:$A$504,0)),"Walk-in"))</f>
        <v>0</v>
      </c>
      <c r="K142" s="15">
        <f>IF(J142="","",IFERROR(INDEX(Staff!$B$5:$B$44,MATCH(J142,Staff!$A$5:$A$44,0)),""))</f>
        <v>0</v>
      </c>
      <c r="O142" s="15">
        <f>IF(B142="","",TEXT(B142,"yyyy-mm"))</f>
        <v>0</v>
      </c>
      <c r="P142" s="25">
        <f>IF(B142="","",WEEKNUM(B142,2))</f>
        <v>0</v>
      </c>
      <c r="Q142" s="38">
        <f>IF(B142="","",IF(E142="Tip","No",IF(E142="Refund","No","Yes")))</f>
        <v>0</v>
      </c>
      <c r="R142" s="25">
        <f>IF(B142="","",IF(E142="Refund",-1,1))</f>
        <v>0</v>
      </c>
      <c r="S142" s="26">
        <f>IF(B142="","",IF(G142="",0,IF(F142="Card",ROUND(G142*CardFeePercent+CardFeeFixed,2),IF(F142="Online deposit",ROUND(G142*CardFeePercent+CardFeeFixed,2),0))))</f>
        <v>0</v>
      </c>
      <c r="T142" s="26">
        <f>IF(B142="","",ROUND(IF(G142="",0,G142)*R142-S142,2))</f>
        <v>0</v>
      </c>
      <c r="U142" s="38">
        <f>IF(B142="","",IF(E142="Tip","Yes","No"))</f>
        <v>0</v>
      </c>
      <c r="V142" s="15">
        <f>IF(B142="","",IF(H142&lt;&gt;"","Sale "&amp;H142,IF(I142&lt;&gt;"","Booking "&amp;I142,IF(E142="Tip","Stylist","Unapplied"))))</f>
        <v>0</v>
      </c>
      <c r="W142" s="39">
        <f>IF(B142="","",IF(G142="","Add - no amount yet",IF(E142="","Add - what was this for?",IF(IF(H142="",FALSE,COUNTIF(Sales!$A$5:$A$1204,H142)=0),"Missing - no sale with that ID",IF(IF(I142="",FALSE,COUNTIF(Appointments!$A$5:$A$1204,I142)=0),"Missing - no booking with that ID",IF(IF(E142="Tip",J142="",FALSE),"Assign - whose tip is it?",IF(IF(E142="Deposit",IF(H142="",I142="",FALSE),FALSE),"Check - deposit not tied to a booking",IF(M142="No","Due - not reconciled yet","OK"))))))))</f>
        <v>0</v>
      </c>
    </row>
    <row r="143" spans="1:23">
      <c r="A143" s="28">
        <f>IF(B143="","",PaymentPrefix&amp;TEXT(ROW()-4,"0000"))</f>
        <v>0</v>
      </c>
      <c r="D143" s="15">
        <f>IF(C143="","",IFERROR(INDEX(Clients!$B$5:$B$504,MATCH(C143,Clients!$A$5:$A$504,0)),"Walk-in"))</f>
        <v>0</v>
      </c>
      <c r="K143" s="15">
        <f>IF(J143="","",IFERROR(INDEX(Staff!$B$5:$B$44,MATCH(J143,Staff!$A$5:$A$44,0)),""))</f>
        <v>0</v>
      </c>
      <c r="O143" s="15">
        <f>IF(B143="","",TEXT(B143,"yyyy-mm"))</f>
        <v>0</v>
      </c>
      <c r="P143" s="25">
        <f>IF(B143="","",WEEKNUM(B143,2))</f>
        <v>0</v>
      </c>
      <c r="Q143" s="38">
        <f>IF(B143="","",IF(E143="Tip","No",IF(E143="Refund","No","Yes")))</f>
        <v>0</v>
      </c>
      <c r="R143" s="25">
        <f>IF(B143="","",IF(E143="Refund",-1,1))</f>
        <v>0</v>
      </c>
      <c r="S143" s="26">
        <f>IF(B143="","",IF(G143="",0,IF(F143="Card",ROUND(G143*CardFeePercent+CardFeeFixed,2),IF(F143="Online deposit",ROUND(G143*CardFeePercent+CardFeeFixed,2),0))))</f>
        <v>0</v>
      </c>
      <c r="T143" s="26">
        <f>IF(B143="","",ROUND(IF(G143="",0,G143)*R143-S143,2))</f>
        <v>0</v>
      </c>
      <c r="U143" s="38">
        <f>IF(B143="","",IF(E143="Tip","Yes","No"))</f>
        <v>0</v>
      </c>
      <c r="V143" s="15">
        <f>IF(B143="","",IF(H143&lt;&gt;"","Sale "&amp;H143,IF(I143&lt;&gt;"","Booking "&amp;I143,IF(E143="Tip","Stylist","Unapplied"))))</f>
        <v>0</v>
      </c>
      <c r="W143" s="39">
        <f>IF(B143="","",IF(G143="","Add - no amount yet",IF(E143="","Add - what was this for?",IF(IF(H143="",FALSE,COUNTIF(Sales!$A$5:$A$1204,H143)=0),"Missing - no sale with that ID",IF(IF(I143="",FALSE,COUNTIF(Appointments!$A$5:$A$1204,I143)=0),"Missing - no booking with that ID",IF(IF(E143="Tip",J143="",FALSE),"Assign - whose tip is it?",IF(IF(E143="Deposit",IF(H143="",I143="",FALSE),FALSE),"Check - deposit not tied to a booking",IF(M143="No","Due - not reconciled yet","OK"))))))))</f>
        <v>0</v>
      </c>
    </row>
    <row r="144" spans="1:23">
      <c r="A144" s="28">
        <f>IF(B144="","",PaymentPrefix&amp;TEXT(ROW()-4,"0000"))</f>
        <v>0</v>
      </c>
      <c r="D144" s="15">
        <f>IF(C144="","",IFERROR(INDEX(Clients!$B$5:$B$504,MATCH(C144,Clients!$A$5:$A$504,0)),"Walk-in"))</f>
        <v>0</v>
      </c>
      <c r="K144" s="15">
        <f>IF(J144="","",IFERROR(INDEX(Staff!$B$5:$B$44,MATCH(J144,Staff!$A$5:$A$44,0)),""))</f>
        <v>0</v>
      </c>
      <c r="O144" s="15">
        <f>IF(B144="","",TEXT(B144,"yyyy-mm"))</f>
        <v>0</v>
      </c>
      <c r="P144" s="25">
        <f>IF(B144="","",WEEKNUM(B144,2))</f>
        <v>0</v>
      </c>
      <c r="Q144" s="38">
        <f>IF(B144="","",IF(E144="Tip","No",IF(E144="Refund","No","Yes")))</f>
        <v>0</v>
      </c>
      <c r="R144" s="25">
        <f>IF(B144="","",IF(E144="Refund",-1,1))</f>
        <v>0</v>
      </c>
      <c r="S144" s="26">
        <f>IF(B144="","",IF(G144="",0,IF(F144="Card",ROUND(G144*CardFeePercent+CardFeeFixed,2),IF(F144="Online deposit",ROUND(G144*CardFeePercent+CardFeeFixed,2),0))))</f>
        <v>0</v>
      </c>
      <c r="T144" s="26">
        <f>IF(B144="","",ROUND(IF(G144="",0,G144)*R144-S144,2))</f>
        <v>0</v>
      </c>
      <c r="U144" s="38">
        <f>IF(B144="","",IF(E144="Tip","Yes","No"))</f>
        <v>0</v>
      </c>
      <c r="V144" s="15">
        <f>IF(B144="","",IF(H144&lt;&gt;"","Sale "&amp;H144,IF(I144&lt;&gt;"","Booking "&amp;I144,IF(E144="Tip","Stylist","Unapplied"))))</f>
        <v>0</v>
      </c>
      <c r="W144" s="39">
        <f>IF(B144="","",IF(G144="","Add - no amount yet",IF(E144="","Add - what was this for?",IF(IF(H144="",FALSE,COUNTIF(Sales!$A$5:$A$1204,H144)=0),"Missing - no sale with that ID",IF(IF(I144="",FALSE,COUNTIF(Appointments!$A$5:$A$1204,I144)=0),"Missing - no booking with that ID",IF(IF(E144="Tip",J144="",FALSE),"Assign - whose tip is it?",IF(IF(E144="Deposit",IF(H144="",I144="",FALSE),FALSE),"Check - deposit not tied to a booking",IF(M144="No","Due - not reconciled yet","OK"))))))))</f>
        <v>0</v>
      </c>
    </row>
    <row r="145" spans="1:23">
      <c r="A145" s="28">
        <f>IF(B145="","",PaymentPrefix&amp;TEXT(ROW()-4,"0000"))</f>
        <v>0</v>
      </c>
      <c r="D145" s="15">
        <f>IF(C145="","",IFERROR(INDEX(Clients!$B$5:$B$504,MATCH(C145,Clients!$A$5:$A$504,0)),"Walk-in"))</f>
        <v>0</v>
      </c>
      <c r="K145" s="15">
        <f>IF(J145="","",IFERROR(INDEX(Staff!$B$5:$B$44,MATCH(J145,Staff!$A$5:$A$44,0)),""))</f>
        <v>0</v>
      </c>
      <c r="O145" s="15">
        <f>IF(B145="","",TEXT(B145,"yyyy-mm"))</f>
        <v>0</v>
      </c>
      <c r="P145" s="25">
        <f>IF(B145="","",WEEKNUM(B145,2))</f>
        <v>0</v>
      </c>
      <c r="Q145" s="38">
        <f>IF(B145="","",IF(E145="Tip","No",IF(E145="Refund","No","Yes")))</f>
        <v>0</v>
      </c>
      <c r="R145" s="25">
        <f>IF(B145="","",IF(E145="Refund",-1,1))</f>
        <v>0</v>
      </c>
      <c r="S145" s="26">
        <f>IF(B145="","",IF(G145="",0,IF(F145="Card",ROUND(G145*CardFeePercent+CardFeeFixed,2),IF(F145="Online deposit",ROUND(G145*CardFeePercent+CardFeeFixed,2),0))))</f>
        <v>0</v>
      </c>
      <c r="T145" s="26">
        <f>IF(B145="","",ROUND(IF(G145="",0,G145)*R145-S145,2))</f>
        <v>0</v>
      </c>
      <c r="U145" s="38">
        <f>IF(B145="","",IF(E145="Tip","Yes","No"))</f>
        <v>0</v>
      </c>
      <c r="V145" s="15">
        <f>IF(B145="","",IF(H145&lt;&gt;"","Sale "&amp;H145,IF(I145&lt;&gt;"","Booking "&amp;I145,IF(E145="Tip","Stylist","Unapplied"))))</f>
        <v>0</v>
      </c>
      <c r="W145" s="39">
        <f>IF(B145="","",IF(G145="","Add - no amount yet",IF(E145="","Add - what was this for?",IF(IF(H145="",FALSE,COUNTIF(Sales!$A$5:$A$1204,H145)=0),"Missing - no sale with that ID",IF(IF(I145="",FALSE,COUNTIF(Appointments!$A$5:$A$1204,I145)=0),"Missing - no booking with that ID",IF(IF(E145="Tip",J145="",FALSE),"Assign - whose tip is it?",IF(IF(E145="Deposit",IF(H145="",I145="",FALSE),FALSE),"Check - deposit not tied to a booking",IF(M145="No","Due - not reconciled yet","OK"))))))))</f>
        <v>0</v>
      </c>
    </row>
    <row r="146" spans="1:23">
      <c r="A146" s="28">
        <f>IF(B146="","",PaymentPrefix&amp;TEXT(ROW()-4,"0000"))</f>
        <v>0</v>
      </c>
      <c r="D146" s="15">
        <f>IF(C146="","",IFERROR(INDEX(Clients!$B$5:$B$504,MATCH(C146,Clients!$A$5:$A$504,0)),"Walk-in"))</f>
        <v>0</v>
      </c>
      <c r="K146" s="15">
        <f>IF(J146="","",IFERROR(INDEX(Staff!$B$5:$B$44,MATCH(J146,Staff!$A$5:$A$44,0)),""))</f>
        <v>0</v>
      </c>
      <c r="O146" s="15">
        <f>IF(B146="","",TEXT(B146,"yyyy-mm"))</f>
        <v>0</v>
      </c>
      <c r="P146" s="25">
        <f>IF(B146="","",WEEKNUM(B146,2))</f>
        <v>0</v>
      </c>
      <c r="Q146" s="38">
        <f>IF(B146="","",IF(E146="Tip","No",IF(E146="Refund","No","Yes")))</f>
        <v>0</v>
      </c>
      <c r="R146" s="25">
        <f>IF(B146="","",IF(E146="Refund",-1,1))</f>
        <v>0</v>
      </c>
      <c r="S146" s="26">
        <f>IF(B146="","",IF(G146="",0,IF(F146="Card",ROUND(G146*CardFeePercent+CardFeeFixed,2),IF(F146="Online deposit",ROUND(G146*CardFeePercent+CardFeeFixed,2),0))))</f>
        <v>0</v>
      </c>
      <c r="T146" s="26">
        <f>IF(B146="","",ROUND(IF(G146="",0,G146)*R146-S146,2))</f>
        <v>0</v>
      </c>
      <c r="U146" s="38">
        <f>IF(B146="","",IF(E146="Tip","Yes","No"))</f>
        <v>0</v>
      </c>
      <c r="V146" s="15">
        <f>IF(B146="","",IF(H146&lt;&gt;"","Sale "&amp;H146,IF(I146&lt;&gt;"","Booking "&amp;I146,IF(E146="Tip","Stylist","Unapplied"))))</f>
        <v>0</v>
      </c>
      <c r="W146" s="39">
        <f>IF(B146="","",IF(G146="","Add - no amount yet",IF(E146="","Add - what was this for?",IF(IF(H146="",FALSE,COUNTIF(Sales!$A$5:$A$1204,H146)=0),"Missing - no sale with that ID",IF(IF(I146="",FALSE,COUNTIF(Appointments!$A$5:$A$1204,I146)=0),"Missing - no booking with that ID",IF(IF(E146="Tip",J146="",FALSE),"Assign - whose tip is it?",IF(IF(E146="Deposit",IF(H146="",I146="",FALSE),FALSE),"Check - deposit not tied to a booking",IF(M146="No","Due - not reconciled yet","OK"))))))))</f>
        <v>0</v>
      </c>
    </row>
    <row r="147" spans="1:23">
      <c r="A147" s="28">
        <f>IF(B147="","",PaymentPrefix&amp;TEXT(ROW()-4,"0000"))</f>
        <v>0</v>
      </c>
      <c r="D147" s="15">
        <f>IF(C147="","",IFERROR(INDEX(Clients!$B$5:$B$504,MATCH(C147,Clients!$A$5:$A$504,0)),"Walk-in"))</f>
        <v>0</v>
      </c>
      <c r="K147" s="15">
        <f>IF(J147="","",IFERROR(INDEX(Staff!$B$5:$B$44,MATCH(J147,Staff!$A$5:$A$44,0)),""))</f>
        <v>0</v>
      </c>
      <c r="O147" s="15">
        <f>IF(B147="","",TEXT(B147,"yyyy-mm"))</f>
        <v>0</v>
      </c>
      <c r="P147" s="25">
        <f>IF(B147="","",WEEKNUM(B147,2))</f>
        <v>0</v>
      </c>
      <c r="Q147" s="38">
        <f>IF(B147="","",IF(E147="Tip","No",IF(E147="Refund","No","Yes")))</f>
        <v>0</v>
      </c>
      <c r="R147" s="25">
        <f>IF(B147="","",IF(E147="Refund",-1,1))</f>
        <v>0</v>
      </c>
      <c r="S147" s="26">
        <f>IF(B147="","",IF(G147="",0,IF(F147="Card",ROUND(G147*CardFeePercent+CardFeeFixed,2),IF(F147="Online deposit",ROUND(G147*CardFeePercent+CardFeeFixed,2),0))))</f>
        <v>0</v>
      </c>
      <c r="T147" s="26">
        <f>IF(B147="","",ROUND(IF(G147="",0,G147)*R147-S147,2))</f>
        <v>0</v>
      </c>
      <c r="U147" s="38">
        <f>IF(B147="","",IF(E147="Tip","Yes","No"))</f>
        <v>0</v>
      </c>
      <c r="V147" s="15">
        <f>IF(B147="","",IF(H147&lt;&gt;"","Sale "&amp;H147,IF(I147&lt;&gt;"","Booking "&amp;I147,IF(E147="Tip","Stylist","Unapplied"))))</f>
        <v>0</v>
      </c>
      <c r="W147" s="39">
        <f>IF(B147="","",IF(G147="","Add - no amount yet",IF(E147="","Add - what was this for?",IF(IF(H147="",FALSE,COUNTIF(Sales!$A$5:$A$1204,H147)=0),"Missing - no sale with that ID",IF(IF(I147="",FALSE,COUNTIF(Appointments!$A$5:$A$1204,I147)=0),"Missing - no booking with that ID",IF(IF(E147="Tip",J147="",FALSE),"Assign - whose tip is it?",IF(IF(E147="Deposit",IF(H147="",I147="",FALSE),FALSE),"Check - deposit not tied to a booking",IF(M147="No","Due - not reconciled yet","OK"))))))))</f>
        <v>0</v>
      </c>
    </row>
    <row r="148" spans="1:23">
      <c r="A148" s="28">
        <f>IF(B148="","",PaymentPrefix&amp;TEXT(ROW()-4,"0000"))</f>
        <v>0</v>
      </c>
      <c r="D148" s="15">
        <f>IF(C148="","",IFERROR(INDEX(Clients!$B$5:$B$504,MATCH(C148,Clients!$A$5:$A$504,0)),"Walk-in"))</f>
        <v>0</v>
      </c>
      <c r="K148" s="15">
        <f>IF(J148="","",IFERROR(INDEX(Staff!$B$5:$B$44,MATCH(J148,Staff!$A$5:$A$44,0)),""))</f>
        <v>0</v>
      </c>
      <c r="O148" s="15">
        <f>IF(B148="","",TEXT(B148,"yyyy-mm"))</f>
        <v>0</v>
      </c>
      <c r="P148" s="25">
        <f>IF(B148="","",WEEKNUM(B148,2))</f>
        <v>0</v>
      </c>
      <c r="Q148" s="38">
        <f>IF(B148="","",IF(E148="Tip","No",IF(E148="Refund","No","Yes")))</f>
        <v>0</v>
      </c>
      <c r="R148" s="25">
        <f>IF(B148="","",IF(E148="Refund",-1,1))</f>
        <v>0</v>
      </c>
      <c r="S148" s="26">
        <f>IF(B148="","",IF(G148="",0,IF(F148="Card",ROUND(G148*CardFeePercent+CardFeeFixed,2),IF(F148="Online deposit",ROUND(G148*CardFeePercent+CardFeeFixed,2),0))))</f>
        <v>0</v>
      </c>
      <c r="T148" s="26">
        <f>IF(B148="","",ROUND(IF(G148="",0,G148)*R148-S148,2))</f>
        <v>0</v>
      </c>
      <c r="U148" s="38">
        <f>IF(B148="","",IF(E148="Tip","Yes","No"))</f>
        <v>0</v>
      </c>
      <c r="V148" s="15">
        <f>IF(B148="","",IF(H148&lt;&gt;"","Sale "&amp;H148,IF(I148&lt;&gt;"","Booking "&amp;I148,IF(E148="Tip","Stylist","Unapplied"))))</f>
        <v>0</v>
      </c>
      <c r="W148" s="39">
        <f>IF(B148="","",IF(G148="","Add - no amount yet",IF(E148="","Add - what was this for?",IF(IF(H148="",FALSE,COUNTIF(Sales!$A$5:$A$1204,H148)=0),"Missing - no sale with that ID",IF(IF(I148="",FALSE,COUNTIF(Appointments!$A$5:$A$1204,I148)=0),"Missing - no booking with that ID",IF(IF(E148="Tip",J148="",FALSE),"Assign - whose tip is it?",IF(IF(E148="Deposit",IF(H148="",I148="",FALSE),FALSE),"Check - deposit not tied to a booking",IF(M148="No","Due - not reconciled yet","OK"))))))))</f>
        <v>0</v>
      </c>
    </row>
    <row r="149" spans="1:23">
      <c r="A149" s="28">
        <f>IF(B149="","",PaymentPrefix&amp;TEXT(ROW()-4,"0000"))</f>
        <v>0</v>
      </c>
      <c r="D149" s="15">
        <f>IF(C149="","",IFERROR(INDEX(Clients!$B$5:$B$504,MATCH(C149,Clients!$A$5:$A$504,0)),"Walk-in"))</f>
        <v>0</v>
      </c>
      <c r="K149" s="15">
        <f>IF(J149="","",IFERROR(INDEX(Staff!$B$5:$B$44,MATCH(J149,Staff!$A$5:$A$44,0)),""))</f>
        <v>0</v>
      </c>
      <c r="O149" s="15">
        <f>IF(B149="","",TEXT(B149,"yyyy-mm"))</f>
        <v>0</v>
      </c>
      <c r="P149" s="25">
        <f>IF(B149="","",WEEKNUM(B149,2))</f>
        <v>0</v>
      </c>
      <c r="Q149" s="38">
        <f>IF(B149="","",IF(E149="Tip","No",IF(E149="Refund","No","Yes")))</f>
        <v>0</v>
      </c>
      <c r="R149" s="25">
        <f>IF(B149="","",IF(E149="Refund",-1,1))</f>
        <v>0</v>
      </c>
      <c r="S149" s="26">
        <f>IF(B149="","",IF(G149="",0,IF(F149="Card",ROUND(G149*CardFeePercent+CardFeeFixed,2),IF(F149="Online deposit",ROUND(G149*CardFeePercent+CardFeeFixed,2),0))))</f>
        <v>0</v>
      </c>
      <c r="T149" s="26">
        <f>IF(B149="","",ROUND(IF(G149="",0,G149)*R149-S149,2))</f>
        <v>0</v>
      </c>
      <c r="U149" s="38">
        <f>IF(B149="","",IF(E149="Tip","Yes","No"))</f>
        <v>0</v>
      </c>
      <c r="V149" s="15">
        <f>IF(B149="","",IF(H149&lt;&gt;"","Sale "&amp;H149,IF(I149&lt;&gt;"","Booking "&amp;I149,IF(E149="Tip","Stylist","Unapplied"))))</f>
        <v>0</v>
      </c>
      <c r="W149" s="39">
        <f>IF(B149="","",IF(G149="","Add - no amount yet",IF(E149="","Add - what was this for?",IF(IF(H149="",FALSE,COUNTIF(Sales!$A$5:$A$1204,H149)=0),"Missing - no sale with that ID",IF(IF(I149="",FALSE,COUNTIF(Appointments!$A$5:$A$1204,I149)=0),"Missing - no booking with that ID",IF(IF(E149="Tip",J149="",FALSE),"Assign - whose tip is it?",IF(IF(E149="Deposit",IF(H149="",I149="",FALSE),FALSE),"Check - deposit not tied to a booking",IF(M149="No","Due - not reconciled yet","OK"))))))))</f>
        <v>0</v>
      </c>
    </row>
    <row r="150" spans="1:23">
      <c r="A150" s="28">
        <f>IF(B150="","",PaymentPrefix&amp;TEXT(ROW()-4,"0000"))</f>
        <v>0</v>
      </c>
      <c r="D150" s="15">
        <f>IF(C150="","",IFERROR(INDEX(Clients!$B$5:$B$504,MATCH(C150,Clients!$A$5:$A$504,0)),"Walk-in"))</f>
        <v>0</v>
      </c>
      <c r="K150" s="15">
        <f>IF(J150="","",IFERROR(INDEX(Staff!$B$5:$B$44,MATCH(J150,Staff!$A$5:$A$44,0)),""))</f>
        <v>0</v>
      </c>
      <c r="O150" s="15">
        <f>IF(B150="","",TEXT(B150,"yyyy-mm"))</f>
        <v>0</v>
      </c>
      <c r="P150" s="25">
        <f>IF(B150="","",WEEKNUM(B150,2))</f>
        <v>0</v>
      </c>
      <c r="Q150" s="38">
        <f>IF(B150="","",IF(E150="Tip","No",IF(E150="Refund","No","Yes")))</f>
        <v>0</v>
      </c>
      <c r="R150" s="25">
        <f>IF(B150="","",IF(E150="Refund",-1,1))</f>
        <v>0</v>
      </c>
      <c r="S150" s="26">
        <f>IF(B150="","",IF(G150="",0,IF(F150="Card",ROUND(G150*CardFeePercent+CardFeeFixed,2),IF(F150="Online deposit",ROUND(G150*CardFeePercent+CardFeeFixed,2),0))))</f>
        <v>0</v>
      </c>
      <c r="T150" s="26">
        <f>IF(B150="","",ROUND(IF(G150="",0,G150)*R150-S150,2))</f>
        <v>0</v>
      </c>
      <c r="U150" s="38">
        <f>IF(B150="","",IF(E150="Tip","Yes","No"))</f>
        <v>0</v>
      </c>
      <c r="V150" s="15">
        <f>IF(B150="","",IF(H150&lt;&gt;"","Sale "&amp;H150,IF(I150&lt;&gt;"","Booking "&amp;I150,IF(E150="Tip","Stylist","Unapplied"))))</f>
        <v>0</v>
      </c>
      <c r="W150" s="39">
        <f>IF(B150="","",IF(G150="","Add - no amount yet",IF(E150="","Add - what was this for?",IF(IF(H150="",FALSE,COUNTIF(Sales!$A$5:$A$1204,H150)=0),"Missing - no sale with that ID",IF(IF(I150="",FALSE,COUNTIF(Appointments!$A$5:$A$1204,I150)=0),"Missing - no booking with that ID",IF(IF(E150="Tip",J150="",FALSE),"Assign - whose tip is it?",IF(IF(E150="Deposit",IF(H150="",I150="",FALSE),FALSE),"Check - deposit not tied to a booking",IF(M150="No","Due - not reconciled yet","OK"))))))))</f>
        <v>0</v>
      </c>
    </row>
    <row r="151" spans="1:23">
      <c r="A151" s="28">
        <f>IF(B151="","",PaymentPrefix&amp;TEXT(ROW()-4,"0000"))</f>
        <v>0</v>
      </c>
      <c r="D151" s="15">
        <f>IF(C151="","",IFERROR(INDEX(Clients!$B$5:$B$504,MATCH(C151,Clients!$A$5:$A$504,0)),"Walk-in"))</f>
        <v>0</v>
      </c>
      <c r="K151" s="15">
        <f>IF(J151="","",IFERROR(INDEX(Staff!$B$5:$B$44,MATCH(J151,Staff!$A$5:$A$44,0)),""))</f>
        <v>0</v>
      </c>
      <c r="O151" s="15">
        <f>IF(B151="","",TEXT(B151,"yyyy-mm"))</f>
        <v>0</v>
      </c>
      <c r="P151" s="25">
        <f>IF(B151="","",WEEKNUM(B151,2))</f>
        <v>0</v>
      </c>
      <c r="Q151" s="38">
        <f>IF(B151="","",IF(E151="Tip","No",IF(E151="Refund","No","Yes")))</f>
        <v>0</v>
      </c>
      <c r="R151" s="25">
        <f>IF(B151="","",IF(E151="Refund",-1,1))</f>
        <v>0</v>
      </c>
      <c r="S151" s="26">
        <f>IF(B151="","",IF(G151="",0,IF(F151="Card",ROUND(G151*CardFeePercent+CardFeeFixed,2),IF(F151="Online deposit",ROUND(G151*CardFeePercent+CardFeeFixed,2),0))))</f>
        <v>0</v>
      </c>
      <c r="T151" s="26">
        <f>IF(B151="","",ROUND(IF(G151="",0,G151)*R151-S151,2))</f>
        <v>0</v>
      </c>
      <c r="U151" s="38">
        <f>IF(B151="","",IF(E151="Tip","Yes","No"))</f>
        <v>0</v>
      </c>
      <c r="V151" s="15">
        <f>IF(B151="","",IF(H151&lt;&gt;"","Sale "&amp;H151,IF(I151&lt;&gt;"","Booking "&amp;I151,IF(E151="Tip","Stylist","Unapplied"))))</f>
        <v>0</v>
      </c>
      <c r="W151" s="39">
        <f>IF(B151="","",IF(G151="","Add - no amount yet",IF(E151="","Add - what was this for?",IF(IF(H151="",FALSE,COUNTIF(Sales!$A$5:$A$1204,H151)=0),"Missing - no sale with that ID",IF(IF(I151="",FALSE,COUNTIF(Appointments!$A$5:$A$1204,I151)=0),"Missing - no booking with that ID",IF(IF(E151="Tip",J151="",FALSE),"Assign - whose tip is it?",IF(IF(E151="Deposit",IF(H151="",I151="",FALSE),FALSE),"Check - deposit not tied to a booking",IF(M151="No","Due - not reconciled yet","OK"))))))))</f>
        <v>0</v>
      </c>
    </row>
    <row r="152" spans="1:23">
      <c r="A152" s="28">
        <f>IF(B152="","",PaymentPrefix&amp;TEXT(ROW()-4,"0000"))</f>
        <v>0</v>
      </c>
      <c r="D152" s="15">
        <f>IF(C152="","",IFERROR(INDEX(Clients!$B$5:$B$504,MATCH(C152,Clients!$A$5:$A$504,0)),"Walk-in"))</f>
        <v>0</v>
      </c>
      <c r="K152" s="15">
        <f>IF(J152="","",IFERROR(INDEX(Staff!$B$5:$B$44,MATCH(J152,Staff!$A$5:$A$44,0)),""))</f>
        <v>0</v>
      </c>
      <c r="O152" s="15">
        <f>IF(B152="","",TEXT(B152,"yyyy-mm"))</f>
        <v>0</v>
      </c>
      <c r="P152" s="25">
        <f>IF(B152="","",WEEKNUM(B152,2))</f>
        <v>0</v>
      </c>
      <c r="Q152" s="38">
        <f>IF(B152="","",IF(E152="Tip","No",IF(E152="Refund","No","Yes")))</f>
        <v>0</v>
      </c>
      <c r="R152" s="25">
        <f>IF(B152="","",IF(E152="Refund",-1,1))</f>
        <v>0</v>
      </c>
      <c r="S152" s="26">
        <f>IF(B152="","",IF(G152="",0,IF(F152="Card",ROUND(G152*CardFeePercent+CardFeeFixed,2),IF(F152="Online deposit",ROUND(G152*CardFeePercent+CardFeeFixed,2),0))))</f>
        <v>0</v>
      </c>
      <c r="T152" s="26">
        <f>IF(B152="","",ROUND(IF(G152="",0,G152)*R152-S152,2))</f>
        <v>0</v>
      </c>
      <c r="U152" s="38">
        <f>IF(B152="","",IF(E152="Tip","Yes","No"))</f>
        <v>0</v>
      </c>
      <c r="V152" s="15">
        <f>IF(B152="","",IF(H152&lt;&gt;"","Sale "&amp;H152,IF(I152&lt;&gt;"","Booking "&amp;I152,IF(E152="Tip","Stylist","Unapplied"))))</f>
        <v>0</v>
      </c>
      <c r="W152" s="39">
        <f>IF(B152="","",IF(G152="","Add - no amount yet",IF(E152="","Add - what was this for?",IF(IF(H152="",FALSE,COUNTIF(Sales!$A$5:$A$1204,H152)=0),"Missing - no sale with that ID",IF(IF(I152="",FALSE,COUNTIF(Appointments!$A$5:$A$1204,I152)=0),"Missing - no booking with that ID",IF(IF(E152="Tip",J152="",FALSE),"Assign - whose tip is it?",IF(IF(E152="Deposit",IF(H152="",I152="",FALSE),FALSE),"Check - deposit not tied to a booking",IF(M152="No","Due - not reconciled yet","OK"))))))))</f>
        <v>0</v>
      </c>
    </row>
    <row r="153" spans="1:23">
      <c r="A153" s="28">
        <f>IF(B153="","",PaymentPrefix&amp;TEXT(ROW()-4,"0000"))</f>
        <v>0</v>
      </c>
      <c r="D153" s="15">
        <f>IF(C153="","",IFERROR(INDEX(Clients!$B$5:$B$504,MATCH(C153,Clients!$A$5:$A$504,0)),"Walk-in"))</f>
        <v>0</v>
      </c>
      <c r="K153" s="15">
        <f>IF(J153="","",IFERROR(INDEX(Staff!$B$5:$B$44,MATCH(J153,Staff!$A$5:$A$44,0)),""))</f>
        <v>0</v>
      </c>
      <c r="O153" s="15">
        <f>IF(B153="","",TEXT(B153,"yyyy-mm"))</f>
        <v>0</v>
      </c>
      <c r="P153" s="25">
        <f>IF(B153="","",WEEKNUM(B153,2))</f>
        <v>0</v>
      </c>
      <c r="Q153" s="38">
        <f>IF(B153="","",IF(E153="Tip","No",IF(E153="Refund","No","Yes")))</f>
        <v>0</v>
      </c>
      <c r="R153" s="25">
        <f>IF(B153="","",IF(E153="Refund",-1,1))</f>
        <v>0</v>
      </c>
      <c r="S153" s="26">
        <f>IF(B153="","",IF(G153="",0,IF(F153="Card",ROUND(G153*CardFeePercent+CardFeeFixed,2),IF(F153="Online deposit",ROUND(G153*CardFeePercent+CardFeeFixed,2),0))))</f>
        <v>0</v>
      </c>
      <c r="T153" s="26">
        <f>IF(B153="","",ROUND(IF(G153="",0,G153)*R153-S153,2))</f>
        <v>0</v>
      </c>
      <c r="U153" s="38">
        <f>IF(B153="","",IF(E153="Tip","Yes","No"))</f>
        <v>0</v>
      </c>
      <c r="V153" s="15">
        <f>IF(B153="","",IF(H153&lt;&gt;"","Sale "&amp;H153,IF(I153&lt;&gt;"","Booking "&amp;I153,IF(E153="Tip","Stylist","Unapplied"))))</f>
        <v>0</v>
      </c>
      <c r="W153" s="39">
        <f>IF(B153="","",IF(G153="","Add - no amount yet",IF(E153="","Add - what was this for?",IF(IF(H153="",FALSE,COUNTIF(Sales!$A$5:$A$1204,H153)=0),"Missing - no sale with that ID",IF(IF(I153="",FALSE,COUNTIF(Appointments!$A$5:$A$1204,I153)=0),"Missing - no booking with that ID",IF(IF(E153="Tip",J153="",FALSE),"Assign - whose tip is it?",IF(IF(E153="Deposit",IF(H153="",I153="",FALSE),FALSE),"Check - deposit not tied to a booking",IF(M153="No","Due - not reconciled yet","OK"))))))))</f>
        <v>0</v>
      </c>
    </row>
    <row r="154" spans="1:23">
      <c r="A154" s="28">
        <f>IF(B154="","",PaymentPrefix&amp;TEXT(ROW()-4,"0000"))</f>
        <v>0</v>
      </c>
      <c r="D154" s="15">
        <f>IF(C154="","",IFERROR(INDEX(Clients!$B$5:$B$504,MATCH(C154,Clients!$A$5:$A$504,0)),"Walk-in"))</f>
        <v>0</v>
      </c>
      <c r="K154" s="15">
        <f>IF(J154="","",IFERROR(INDEX(Staff!$B$5:$B$44,MATCH(J154,Staff!$A$5:$A$44,0)),""))</f>
        <v>0</v>
      </c>
      <c r="O154" s="15">
        <f>IF(B154="","",TEXT(B154,"yyyy-mm"))</f>
        <v>0</v>
      </c>
      <c r="P154" s="25">
        <f>IF(B154="","",WEEKNUM(B154,2))</f>
        <v>0</v>
      </c>
      <c r="Q154" s="38">
        <f>IF(B154="","",IF(E154="Tip","No",IF(E154="Refund","No","Yes")))</f>
        <v>0</v>
      </c>
      <c r="R154" s="25">
        <f>IF(B154="","",IF(E154="Refund",-1,1))</f>
        <v>0</v>
      </c>
      <c r="S154" s="26">
        <f>IF(B154="","",IF(G154="",0,IF(F154="Card",ROUND(G154*CardFeePercent+CardFeeFixed,2),IF(F154="Online deposit",ROUND(G154*CardFeePercent+CardFeeFixed,2),0))))</f>
        <v>0</v>
      </c>
      <c r="T154" s="26">
        <f>IF(B154="","",ROUND(IF(G154="",0,G154)*R154-S154,2))</f>
        <v>0</v>
      </c>
      <c r="U154" s="38">
        <f>IF(B154="","",IF(E154="Tip","Yes","No"))</f>
        <v>0</v>
      </c>
      <c r="V154" s="15">
        <f>IF(B154="","",IF(H154&lt;&gt;"","Sale "&amp;H154,IF(I154&lt;&gt;"","Booking "&amp;I154,IF(E154="Tip","Stylist","Unapplied"))))</f>
        <v>0</v>
      </c>
      <c r="W154" s="39">
        <f>IF(B154="","",IF(G154="","Add - no amount yet",IF(E154="","Add - what was this for?",IF(IF(H154="",FALSE,COUNTIF(Sales!$A$5:$A$1204,H154)=0),"Missing - no sale with that ID",IF(IF(I154="",FALSE,COUNTIF(Appointments!$A$5:$A$1204,I154)=0),"Missing - no booking with that ID",IF(IF(E154="Tip",J154="",FALSE),"Assign - whose tip is it?",IF(IF(E154="Deposit",IF(H154="",I154="",FALSE),FALSE),"Check - deposit not tied to a booking",IF(M154="No","Due - not reconciled yet","OK"))))))))</f>
        <v>0</v>
      </c>
    </row>
    <row r="155" spans="1:23">
      <c r="A155" s="28">
        <f>IF(B155="","",PaymentPrefix&amp;TEXT(ROW()-4,"0000"))</f>
        <v>0</v>
      </c>
      <c r="D155" s="15">
        <f>IF(C155="","",IFERROR(INDEX(Clients!$B$5:$B$504,MATCH(C155,Clients!$A$5:$A$504,0)),"Walk-in"))</f>
        <v>0</v>
      </c>
      <c r="K155" s="15">
        <f>IF(J155="","",IFERROR(INDEX(Staff!$B$5:$B$44,MATCH(J155,Staff!$A$5:$A$44,0)),""))</f>
        <v>0</v>
      </c>
      <c r="O155" s="15">
        <f>IF(B155="","",TEXT(B155,"yyyy-mm"))</f>
        <v>0</v>
      </c>
      <c r="P155" s="25">
        <f>IF(B155="","",WEEKNUM(B155,2))</f>
        <v>0</v>
      </c>
      <c r="Q155" s="38">
        <f>IF(B155="","",IF(E155="Tip","No",IF(E155="Refund","No","Yes")))</f>
        <v>0</v>
      </c>
      <c r="R155" s="25">
        <f>IF(B155="","",IF(E155="Refund",-1,1))</f>
        <v>0</v>
      </c>
      <c r="S155" s="26">
        <f>IF(B155="","",IF(G155="",0,IF(F155="Card",ROUND(G155*CardFeePercent+CardFeeFixed,2),IF(F155="Online deposit",ROUND(G155*CardFeePercent+CardFeeFixed,2),0))))</f>
        <v>0</v>
      </c>
      <c r="T155" s="26">
        <f>IF(B155="","",ROUND(IF(G155="",0,G155)*R155-S155,2))</f>
        <v>0</v>
      </c>
      <c r="U155" s="38">
        <f>IF(B155="","",IF(E155="Tip","Yes","No"))</f>
        <v>0</v>
      </c>
      <c r="V155" s="15">
        <f>IF(B155="","",IF(H155&lt;&gt;"","Sale "&amp;H155,IF(I155&lt;&gt;"","Booking "&amp;I155,IF(E155="Tip","Stylist","Unapplied"))))</f>
        <v>0</v>
      </c>
      <c r="W155" s="39">
        <f>IF(B155="","",IF(G155="","Add - no amount yet",IF(E155="","Add - what was this for?",IF(IF(H155="",FALSE,COUNTIF(Sales!$A$5:$A$1204,H155)=0),"Missing - no sale with that ID",IF(IF(I155="",FALSE,COUNTIF(Appointments!$A$5:$A$1204,I155)=0),"Missing - no booking with that ID",IF(IF(E155="Tip",J155="",FALSE),"Assign - whose tip is it?",IF(IF(E155="Deposit",IF(H155="",I155="",FALSE),FALSE),"Check - deposit not tied to a booking",IF(M155="No","Due - not reconciled yet","OK"))))))))</f>
        <v>0</v>
      </c>
    </row>
    <row r="156" spans="1:23">
      <c r="A156" s="28">
        <f>IF(B156="","",PaymentPrefix&amp;TEXT(ROW()-4,"0000"))</f>
        <v>0</v>
      </c>
      <c r="D156" s="15">
        <f>IF(C156="","",IFERROR(INDEX(Clients!$B$5:$B$504,MATCH(C156,Clients!$A$5:$A$504,0)),"Walk-in"))</f>
        <v>0</v>
      </c>
      <c r="K156" s="15">
        <f>IF(J156="","",IFERROR(INDEX(Staff!$B$5:$B$44,MATCH(J156,Staff!$A$5:$A$44,0)),""))</f>
        <v>0</v>
      </c>
      <c r="O156" s="15">
        <f>IF(B156="","",TEXT(B156,"yyyy-mm"))</f>
        <v>0</v>
      </c>
      <c r="P156" s="25">
        <f>IF(B156="","",WEEKNUM(B156,2))</f>
        <v>0</v>
      </c>
      <c r="Q156" s="38">
        <f>IF(B156="","",IF(E156="Tip","No",IF(E156="Refund","No","Yes")))</f>
        <v>0</v>
      </c>
      <c r="R156" s="25">
        <f>IF(B156="","",IF(E156="Refund",-1,1))</f>
        <v>0</v>
      </c>
      <c r="S156" s="26">
        <f>IF(B156="","",IF(G156="",0,IF(F156="Card",ROUND(G156*CardFeePercent+CardFeeFixed,2),IF(F156="Online deposit",ROUND(G156*CardFeePercent+CardFeeFixed,2),0))))</f>
        <v>0</v>
      </c>
      <c r="T156" s="26">
        <f>IF(B156="","",ROUND(IF(G156="",0,G156)*R156-S156,2))</f>
        <v>0</v>
      </c>
      <c r="U156" s="38">
        <f>IF(B156="","",IF(E156="Tip","Yes","No"))</f>
        <v>0</v>
      </c>
      <c r="V156" s="15">
        <f>IF(B156="","",IF(H156&lt;&gt;"","Sale "&amp;H156,IF(I156&lt;&gt;"","Booking "&amp;I156,IF(E156="Tip","Stylist","Unapplied"))))</f>
        <v>0</v>
      </c>
      <c r="W156" s="39">
        <f>IF(B156="","",IF(G156="","Add - no amount yet",IF(E156="","Add - what was this for?",IF(IF(H156="",FALSE,COUNTIF(Sales!$A$5:$A$1204,H156)=0),"Missing - no sale with that ID",IF(IF(I156="",FALSE,COUNTIF(Appointments!$A$5:$A$1204,I156)=0),"Missing - no booking with that ID",IF(IF(E156="Tip",J156="",FALSE),"Assign - whose tip is it?",IF(IF(E156="Deposit",IF(H156="",I156="",FALSE),FALSE),"Check - deposit not tied to a booking",IF(M156="No","Due - not reconciled yet","OK"))))))))</f>
        <v>0</v>
      </c>
    </row>
    <row r="157" spans="1:23">
      <c r="A157" s="28">
        <f>IF(B157="","",PaymentPrefix&amp;TEXT(ROW()-4,"0000"))</f>
        <v>0</v>
      </c>
      <c r="D157" s="15">
        <f>IF(C157="","",IFERROR(INDEX(Clients!$B$5:$B$504,MATCH(C157,Clients!$A$5:$A$504,0)),"Walk-in"))</f>
        <v>0</v>
      </c>
      <c r="K157" s="15">
        <f>IF(J157="","",IFERROR(INDEX(Staff!$B$5:$B$44,MATCH(J157,Staff!$A$5:$A$44,0)),""))</f>
        <v>0</v>
      </c>
      <c r="O157" s="15">
        <f>IF(B157="","",TEXT(B157,"yyyy-mm"))</f>
        <v>0</v>
      </c>
      <c r="P157" s="25">
        <f>IF(B157="","",WEEKNUM(B157,2))</f>
        <v>0</v>
      </c>
      <c r="Q157" s="38">
        <f>IF(B157="","",IF(E157="Tip","No",IF(E157="Refund","No","Yes")))</f>
        <v>0</v>
      </c>
      <c r="R157" s="25">
        <f>IF(B157="","",IF(E157="Refund",-1,1))</f>
        <v>0</v>
      </c>
      <c r="S157" s="26">
        <f>IF(B157="","",IF(G157="",0,IF(F157="Card",ROUND(G157*CardFeePercent+CardFeeFixed,2),IF(F157="Online deposit",ROUND(G157*CardFeePercent+CardFeeFixed,2),0))))</f>
        <v>0</v>
      </c>
      <c r="T157" s="26">
        <f>IF(B157="","",ROUND(IF(G157="",0,G157)*R157-S157,2))</f>
        <v>0</v>
      </c>
      <c r="U157" s="38">
        <f>IF(B157="","",IF(E157="Tip","Yes","No"))</f>
        <v>0</v>
      </c>
      <c r="V157" s="15">
        <f>IF(B157="","",IF(H157&lt;&gt;"","Sale "&amp;H157,IF(I157&lt;&gt;"","Booking "&amp;I157,IF(E157="Tip","Stylist","Unapplied"))))</f>
        <v>0</v>
      </c>
      <c r="W157" s="39">
        <f>IF(B157="","",IF(G157="","Add - no amount yet",IF(E157="","Add - what was this for?",IF(IF(H157="",FALSE,COUNTIF(Sales!$A$5:$A$1204,H157)=0),"Missing - no sale with that ID",IF(IF(I157="",FALSE,COUNTIF(Appointments!$A$5:$A$1204,I157)=0),"Missing - no booking with that ID",IF(IF(E157="Tip",J157="",FALSE),"Assign - whose tip is it?",IF(IF(E157="Deposit",IF(H157="",I157="",FALSE),FALSE),"Check - deposit not tied to a booking",IF(M157="No","Due - not reconciled yet","OK"))))))))</f>
        <v>0</v>
      </c>
    </row>
    <row r="158" spans="1:23">
      <c r="A158" s="28">
        <f>IF(B158="","",PaymentPrefix&amp;TEXT(ROW()-4,"0000"))</f>
        <v>0</v>
      </c>
      <c r="D158" s="15">
        <f>IF(C158="","",IFERROR(INDEX(Clients!$B$5:$B$504,MATCH(C158,Clients!$A$5:$A$504,0)),"Walk-in"))</f>
        <v>0</v>
      </c>
      <c r="K158" s="15">
        <f>IF(J158="","",IFERROR(INDEX(Staff!$B$5:$B$44,MATCH(J158,Staff!$A$5:$A$44,0)),""))</f>
        <v>0</v>
      </c>
      <c r="O158" s="15">
        <f>IF(B158="","",TEXT(B158,"yyyy-mm"))</f>
        <v>0</v>
      </c>
      <c r="P158" s="25">
        <f>IF(B158="","",WEEKNUM(B158,2))</f>
        <v>0</v>
      </c>
      <c r="Q158" s="38">
        <f>IF(B158="","",IF(E158="Tip","No",IF(E158="Refund","No","Yes")))</f>
        <v>0</v>
      </c>
      <c r="R158" s="25">
        <f>IF(B158="","",IF(E158="Refund",-1,1))</f>
        <v>0</v>
      </c>
      <c r="S158" s="26">
        <f>IF(B158="","",IF(G158="",0,IF(F158="Card",ROUND(G158*CardFeePercent+CardFeeFixed,2),IF(F158="Online deposit",ROUND(G158*CardFeePercent+CardFeeFixed,2),0))))</f>
        <v>0</v>
      </c>
      <c r="T158" s="26">
        <f>IF(B158="","",ROUND(IF(G158="",0,G158)*R158-S158,2))</f>
        <v>0</v>
      </c>
      <c r="U158" s="38">
        <f>IF(B158="","",IF(E158="Tip","Yes","No"))</f>
        <v>0</v>
      </c>
      <c r="V158" s="15">
        <f>IF(B158="","",IF(H158&lt;&gt;"","Sale "&amp;H158,IF(I158&lt;&gt;"","Booking "&amp;I158,IF(E158="Tip","Stylist","Unapplied"))))</f>
        <v>0</v>
      </c>
      <c r="W158" s="39">
        <f>IF(B158="","",IF(G158="","Add - no amount yet",IF(E158="","Add - what was this for?",IF(IF(H158="",FALSE,COUNTIF(Sales!$A$5:$A$1204,H158)=0),"Missing - no sale with that ID",IF(IF(I158="",FALSE,COUNTIF(Appointments!$A$5:$A$1204,I158)=0),"Missing - no booking with that ID",IF(IF(E158="Tip",J158="",FALSE),"Assign - whose tip is it?",IF(IF(E158="Deposit",IF(H158="",I158="",FALSE),FALSE),"Check - deposit not tied to a booking",IF(M158="No","Due - not reconciled yet","OK"))))))))</f>
        <v>0</v>
      </c>
    </row>
    <row r="159" spans="1:23">
      <c r="A159" s="28">
        <f>IF(B159="","",PaymentPrefix&amp;TEXT(ROW()-4,"0000"))</f>
        <v>0</v>
      </c>
      <c r="D159" s="15">
        <f>IF(C159="","",IFERROR(INDEX(Clients!$B$5:$B$504,MATCH(C159,Clients!$A$5:$A$504,0)),"Walk-in"))</f>
        <v>0</v>
      </c>
      <c r="K159" s="15">
        <f>IF(J159="","",IFERROR(INDEX(Staff!$B$5:$B$44,MATCH(J159,Staff!$A$5:$A$44,0)),""))</f>
        <v>0</v>
      </c>
      <c r="O159" s="15">
        <f>IF(B159="","",TEXT(B159,"yyyy-mm"))</f>
        <v>0</v>
      </c>
      <c r="P159" s="25">
        <f>IF(B159="","",WEEKNUM(B159,2))</f>
        <v>0</v>
      </c>
      <c r="Q159" s="38">
        <f>IF(B159="","",IF(E159="Tip","No",IF(E159="Refund","No","Yes")))</f>
        <v>0</v>
      </c>
      <c r="R159" s="25">
        <f>IF(B159="","",IF(E159="Refund",-1,1))</f>
        <v>0</v>
      </c>
      <c r="S159" s="26">
        <f>IF(B159="","",IF(G159="",0,IF(F159="Card",ROUND(G159*CardFeePercent+CardFeeFixed,2),IF(F159="Online deposit",ROUND(G159*CardFeePercent+CardFeeFixed,2),0))))</f>
        <v>0</v>
      </c>
      <c r="T159" s="26">
        <f>IF(B159="","",ROUND(IF(G159="",0,G159)*R159-S159,2))</f>
        <v>0</v>
      </c>
      <c r="U159" s="38">
        <f>IF(B159="","",IF(E159="Tip","Yes","No"))</f>
        <v>0</v>
      </c>
      <c r="V159" s="15">
        <f>IF(B159="","",IF(H159&lt;&gt;"","Sale "&amp;H159,IF(I159&lt;&gt;"","Booking "&amp;I159,IF(E159="Tip","Stylist","Unapplied"))))</f>
        <v>0</v>
      </c>
      <c r="W159" s="39">
        <f>IF(B159="","",IF(G159="","Add - no amount yet",IF(E159="","Add - what was this for?",IF(IF(H159="",FALSE,COUNTIF(Sales!$A$5:$A$1204,H159)=0),"Missing - no sale with that ID",IF(IF(I159="",FALSE,COUNTIF(Appointments!$A$5:$A$1204,I159)=0),"Missing - no booking with that ID",IF(IF(E159="Tip",J159="",FALSE),"Assign - whose tip is it?",IF(IF(E159="Deposit",IF(H159="",I159="",FALSE),FALSE),"Check - deposit not tied to a booking",IF(M159="No","Due - not reconciled yet","OK"))))))))</f>
        <v>0</v>
      </c>
    </row>
    <row r="160" spans="1:23">
      <c r="A160" s="28">
        <f>IF(B160="","",PaymentPrefix&amp;TEXT(ROW()-4,"0000"))</f>
        <v>0</v>
      </c>
      <c r="D160" s="15">
        <f>IF(C160="","",IFERROR(INDEX(Clients!$B$5:$B$504,MATCH(C160,Clients!$A$5:$A$504,0)),"Walk-in"))</f>
        <v>0</v>
      </c>
      <c r="K160" s="15">
        <f>IF(J160="","",IFERROR(INDEX(Staff!$B$5:$B$44,MATCH(J160,Staff!$A$5:$A$44,0)),""))</f>
        <v>0</v>
      </c>
      <c r="O160" s="15">
        <f>IF(B160="","",TEXT(B160,"yyyy-mm"))</f>
        <v>0</v>
      </c>
      <c r="P160" s="25">
        <f>IF(B160="","",WEEKNUM(B160,2))</f>
        <v>0</v>
      </c>
      <c r="Q160" s="38">
        <f>IF(B160="","",IF(E160="Tip","No",IF(E160="Refund","No","Yes")))</f>
        <v>0</v>
      </c>
      <c r="R160" s="25">
        <f>IF(B160="","",IF(E160="Refund",-1,1))</f>
        <v>0</v>
      </c>
      <c r="S160" s="26">
        <f>IF(B160="","",IF(G160="",0,IF(F160="Card",ROUND(G160*CardFeePercent+CardFeeFixed,2),IF(F160="Online deposit",ROUND(G160*CardFeePercent+CardFeeFixed,2),0))))</f>
        <v>0</v>
      </c>
      <c r="T160" s="26">
        <f>IF(B160="","",ROUND(IF(G160="",0,G160)*R160-S160,2))</f>
        <v>0</v>
      </c>
      <c r="U160" s="38">
        <f>IF(B160="","",IF(E160="Tip","Yes","No"))</f>
        <v>0</v>
      </c>
      <c r="V160" s="15">
        <f>IF(B160="","",IF(H160&lt;&gt;"","Sale "&amp;H160,IF(I160&lt;&gt;"","Booking "&amp;I160,IF(E160="Tip","Stylist","Unapplied"))))</f>
        <v>0</v>
      </c>
      <c r="W160" s="39">
        <f>IF(B160="","",IF(G160="","Add - no amount yet",IF(E160="","Add - what was this for?",IF(IF(H160="",FALSE,COUNTIF(Sales!$A$5:$A$1204,H160)=0),"Missing - no sale with that ID",IF(IF(I160="",FALSE,COUNTIF(Appointments!$A$5:$A$1204,I160)=0),"Missing - no booking with that ID",IF(IF(E160="Tip",J160="",FALSE),"Assign - whose tip is it?",IF(IF(E160="Deposit",IF(H160="",I160="",FALSE),FALSE),"Check - deposit not tied to a booking",IF(M160="No","Due - not reconciled yet","OK"))))))))</f>
        <v>0</v>
      </c>
    </row>
    <row r="161" spans="1:23">
      <c r="A161" s="28">
        <f>IF(B161="","",PaymentPrefix&amp;TEXT(ROW()-4,"0000"))</f>
        <v>0</v>
      </c>
      <c r="D161" s="15">
        <f>IF(C161="","",IFERROR(INDEX(Clients!$B$5:$B$504,MATCH(C161,Clients!$A$5:$A$504,0)),"Walk-in"))</f>
        <v>0</v>
      </c>
      <c r="K161" s="15">
        <f>IF(J161="","",IFERROR(INDEX(Staff!$B$5:$B$44,MATCH(J161,Staff!$A$5:$A$44,0)),""))</f>
        <v>0</v>
      </c>
      <c r="O161" s="15">
        <f>IF(B161="","",TEXT(B161,"yyyy-mm"))</f>
        <v>0</v>
      </c>
      <c r="P161" s="25">
        <f>IF(B161="","",WEEKNUM(B161,2))</f>
        <v>0</v>
      </c>
      <c r="Q161" s="38">
        <f>IF(B161="","",IF(E161="Tip","No",IF(E161="Refund","No","Yes")))</f>
        <v>0</v>
      </c>
      <c r="R161" s="25">
        <f>IF(B161="","",IF(E161="Refund",-1,1))</f>
        <v>0</v>
      </c>
      <c r="S161" s="26">
        <f>IF(B161="","",IF(G161="",0,IF(F161="Card",ROUND(G161*CardFeePercent+CardFeeFixed,2),IF(F161="Online deposit",ROUND(G161*CardFeePercent+CardFeeFixed,2),0))))</f>
        <v>0</v>
      </c>
      <c r="T161" s="26">
        <f>IF(B161="","",ROUND(IF(G161="",0,G161)*R161-S161,2))</f>
        <v>0</v>
      </c>
      <c r="U161" s="38">
        <f>IF(B161="","",IF(E161="Tip","Yes","No"))</f>
        <v>0</v>
      </c>
      <c r="V161" s="15">
        <f>IF(B161="","",IF(H161&lt;&gt;"","Sale "&amp;H161,IF(I161&lt;&gt;"","Booking "&amp;I161,IF(E161="Tip","Stylist","Unapplied"))))</f>
        <v>0</v>
      </c>
      <c r="W161" s="39">
        <f>IF(B161="","",IF(G161="","Add - no amount yet",IF(E161="","Add - what was this for?",IF(IF(H161="",FALSE,COUNTIF(Sales!$A$5:$A$1204,H161)=0),"Missing - no sale with that ID",IF(IF(I161="",FALSE,COUNTIF(Appointments!$A$5:$A$1204,I161)=0),"Missing - no booking with that ID",IF(IF(E161="Tip",J161="",FALSE),"Assign - whose tip is it?",IF(IF(E161="Deposit",IF(H161="",I161="",FALSE),FALSE),"Check - deposit not tied to a booking",IF(M161="No","Due - not reconciled yet","OK"))))))))</f>
        <v>0</v>
      </c>
    </row>
    <row r="162" spans="1:23">
      <c r="A162" s="28">
        <f>IF(B162="","",PaymentPrefix&amp;TEXT(ROW()-4,"0000"))</f>
        <v>0</v>
      </c>
      <c r="D162" s="15">
        <f>IF(C162="","",IFERROR(INDEX(Clients!$B$5:$B$504,MATCH(C162,Clients!$A$5:$A$504,0)),"Walk-in"))</f>
        <v>0</v>
      </c>
      <c r="K162" s="15">
        <f>IF(J162="","",IFERROR(INDEX(Staff!$B$5:$B$44,MATCH(J162,Staff!$A$5:$A$44,0)),""))</f>
        <v>0</v>
      </c>
      <c r="O162" s="15">
        <f>IF(B162="","",TEXT(B162,"yyyy-mm"))</f>
        <v>0</v>
      </c>
      <c r="P162" s="25">
        <f>IF(B162="","",WEEKNUM(B162,2))</f>
        <v>0</v>
      </c>
      <c r="Q162" s="38">
        <f>IF(B162="","",IF(E162="Tip","No",IF(E162="Refund","No","Yes")))</f>
        <v>0</v>
      </c>
      <c r="R162" s="25">
        <f>IF(B162="","",IF(E162="Refund",-1,1))</f>
        <v>0</v>
      </c>
      <c r="S162" s="26">
        <f>IF(B162="","",IF(G162="",0,IF(F162="Card",ROUND(G162*CardFeePercent+CardFeeFixed,2),IF(F162="Online deposit",ROUND(G162*CardFeePercent+CardFeeFixed,2),0))))</f>
        <v>0</v>
      </c>
      <c r="T162" s="26">
        <f>IF(B162="","",ROUND(IF(G162="",0,G162)*R162-S162,2))</f>
        <v>0</v>
      </c>
      <c r="U162" s="38">
        <f>IF(B162="","",IF(E162="Tip","Yes","No"))</f>
        <v>0</v>
      </c>
      <c r="V162" s="15">
        <f>IF(B162="","",IF(H162&lt;&gt;"","Sale "&amp;H162,IF(I162&lt;&gt;"","Booking "&amp;I162,IF(E162="Tip","Stylist","Unapplied"))))</f>
        <v>0</v>
      </c>
      <c r="W162" s="39">
        <f>IF(B162="","",IF(G162="","Add - no amount yet",IF(E162="","Add - what was this for?",IF(IF(H162="",FALSE,COUNTIF(Sales!$A$5:$A$1204,H162)=0),"Missing - no sale with that ID",IF(IF(I162="",FALSE,COUNTIF(Appointments!$A$5:$A$1204,I162)=0),"Missing - no booking with that ID",IF(IF(E162="Tip",J162="",FALSE),"Assign - whose tip is it?",IF(IF(E162="Deposit",IF(H162="",I162="",FALSE),FALSE),"Check - deposit not tied to a booking",IF(M162="No","Due - not reconciled yet","OK"))))))))</f>
        <v>0</v>
      </c>
    </row>
    <row r="163" spans="1:23">
      <c r="A163" s="28">
        <f>IF(B163="","",PaymentPrefix&amp;TEXT(ROW()-4,"0000"))</f>
        <v>0</v>
      </c>
      <c r="D163" s="15">
        <f>IF(C163="","",IFERROR(INDEX(Clients!$B$5:$B$504,MATCH(C163,Clients!$A$5:$A$504,0)),"Walk-in"))</f>
        <v>0</v>
      </c>
      <c r="K163" s="15">
        <f>IF(J163="","",IFERROR(INDEX(Staff!$B$5:$B$44,MATCH(J163,Staff!$A$5:$A$44,0)),""))</f>
        <v>0</v>
      </c>
      <c r="O163" s="15">
        <f>IF(B163="","",TEXT(B163,"yyyy-mm"))</f>
        <v>0</v>
      </c>
      <c r="P163" s="25">
        <f>IF(B163="","",WEEKNUM(B163,2))</f>
        <v>0</v>
      </c>
      <c r="Q163" s="38">
        <f>IF(B163="","",IF(E163="Tip","No",IF(E163="Refund","No","Yes")))</f>
        <v>0</v>
      </c>
      <c r="R163" s="25">
        <f>IF(B163="","",IF(E163="Refund",-1,1))</f>
        <v>0</v>
      </c>
      <c r="S163" s="26">
        <f>IF(B163="","",IF(G163="",0,IF(F163="Card",ROUND(G163*CardFeePercent+CardFeeFixed,2),IF(F163="Online deposit",ROUND(G163*CardFeePercent+CardFeeFixed,2),0))))</f>
        <v>0</v>
      </c>
      <c r="T163" s="26">
        <f>IF(B163="","",ROUND(IF(G163="",0,G163)*R163-S163,2))</f>
        <v>0</v>
      </c>
      <c r="U163" s="38">
        <f>IF(B163="","",IF(E163="Tip","Yes","No"))</f>
        <v>0</v>
      </c>
      <c r="V163" s="15">
        <f>IF(B163="","",IF(H163&lt;&gt;"","Sale "&amp;H163,IF(I163&lt;&gt;"","Booking "&amp;I163,IF(E163="Tip","Stylist","Unapplied"))))</f>
        <v>0</v>
      </c>
      <c r="W163" s="39">
        <f>IF(B163="","",IF(G163="","Add - no amount yet",IF(E163="","Add - what was this for?",IF(IF(H163="",FALSE,COUNTIF(Sales!$A$5:$A$1204,H163)=0),"Missing - no sale with that ID",IF(IF(I163="",FALSE,COUNTIF(Appointments!$A$5:$A$1204,I163)=0),"Missing - no booking with that ID",IF(IF(E163="Tip",J163="",FALSE),"Assign - whose tip is it?",IF(IF(E163="Deposit",IF(H163="",I163="",FALSE),FALSE),"Check - deposit not tied to a booking",IF(M163="No","Due - not reconciled yet","OK"))))))))</f>
        <v>0</v>
      </c>
    </row>
    <row r="164" spans="1:23">
      <c r="A164" s="28">
        <f>IF(B164="","",PaymentPrefix&amp;TEXT(ROW()-4,"0000"))</f>
        <v>0</v>
      </c>
      <c r="D164" s="15">
        <f>IF(C164="","",IFERROR(INDEX(Clients!$B$5:$B$504,MATCH(C164,Clients!$A$5:$A$504,0)),"Walk-in"))</f>
        <v>0</v>
      </c>
      <c r="K164" s="15">
        <f>IF(J164="","",IFERROR(INDEX(Staff!$B$5:$B$44,MATCH(J164,Staff!$A$5:$A$44,0)),""))</f>
        <v>0</v>
      </c>
      <c r="O164" s="15">
        <f>IF(B164="","",TEXT(B164,"yyyy-mm"))</f>
        <v>0</v>
      </c>
      <c r="P164" s="25">
        <f>IF(B164="","",WEEKNUM(B164,2))</f>
        <v>0</v>
      </c>
      <c r="Q164" s="38">
        <f>IF(B164="","",IF(E164="Tip","No",IF(E164="Refund","No","Yes")))</f>
        <v>0</v>
      </c>
      <c r="R164" s="25">
        <f>IF(B164="","",IF(E164="Refund",-1,1))</f>
        <v>0</v>
      </c>
      <c r="S164" s="26">
        <f>IF(B164="","",IF(G164="",0,IF(F164="Card",ROUND(G164*CardFeePercent+CardFeeFixed,2),IF(F164="Online deposit",ROUND(G164*CardFeePercent+CardFeeFixed,2),0))))</f>
        <v>0</v>
      </c>
      <c r="T164" s="26">
        <f>IF(B164="","",ROUND(IF(G164="",0,G164)*R164-S164,2))</f>
        <v>0</v>
      </c>
      <c r="U164" s="38">
        <f>IF(B164="","",IF(E164="Tip","Yes","No"))</f>
        <v>0</v>
      </c>
      <c r="V164" s="15">
        <f>IF(B164="","",IF(H164&lt;&gt;"","Sale "&amp;H164,IF(I164&lt;&gt;"","Booking "&amp;I164,IF(E164="Tip","Stylist","Unapplied"))))</f>
        <v>0</v>
      </c>
      <c r="W164" s="39">
        <f>IF(B164="","",IF(G164="","Add - no amount yet",IF(E164="","Add - what was this for?",IF(IF(H164="",FALSE,COUNTIF(Sales!$A$5:$A$1204,H164)=0),"Missing - no sale with that ID",IF(IF(I164="",FALSE,COUNTIF(Appointments!$A$5:$A$1204,I164)=0),"Missing - no booking with that ID",IF(IF(E164="Tip",J164="",FALSE),"Assign - whose tip is it?",IF(IF(E164="Deposit",IF(H164="",I164="",FALSE),FALSE),"Check - deposit not tied to a booking",IF(M164="No","Due - not reconciled yet","OK"))))))))</f>
        <v>0</v>
      </c>
    </row>
    <row r="165" spans="1:23">
      <c r="A165" s="28">
        <f>IF(B165="","",PaymentPrefix&amp;TEXT(ROW()-4,"0000"))</f>
        <v>0</v>
      </c>
      <c r="D165" s="15">
        <f>IF(C165="","",IFERROR(INDEX(Clients!$B$5:$B$504,MATCH(C165,Clients!$A$5:$A$504,0)),"Walk-in"))</f>
        <v>0</v>
      </c>
      <c r="K165" s="15">
        <f>IF(J165="","",IFERROR(INDEX(Staff!$B$5:$B$44,MATCH(J165,Staff!$A$5:$A$44,0)),""))</f>
        <v>0</v>
      </c>
      <c r="O165" s="15">
        <f>IF(B165="","",TEXT(B165,"yyyy-mm"))</f>
        <v>0</v>
      </c>
      <c r="P165" s="25">
        <f>IF(B165="","",WEEKNUM(B165,2))</f>
        <v>0</v>
      </c>
      <c r="Q165" s="38">
        <f>IF(B165="","",IF(E165="Tip","No",IF(E165="Refund","No","Yes")))</f>
        <v>0</v>
      </c>
      <c r="R165" s="25">
        <f>IF(B165="","",IF(E165="Refund",-1,1))</f>
        <v>0</v>
      </c>
      <c r="S165" s="26">
        <f>IF(B165="","",IF(G165="",0,IF(F165="Card",ROUND(G165*CardFeePercent+CardFeeFixed,2),IF(F165="Online deposit",ROUND(G165*CardFeePercent+CardFeeFixed,2),0))))</f>
        <v>0</v>
      </c>
      <c r="T165" s="26">
        <f>IF(B165="","",ROUND(IF(G165="",0,G165)*R165-S165,2))</f>
        <v>0</v>
      </c>
      <c r="U165" s="38">
        <f>IF(B165="","",IF(E165="Tip","Yes","No"))</f>
        <v>0</v>
      </c>
      <c r="V165" s="15">
        <f>IF(B165="","",IF(H165&lt;&gt;"","Sale "&amp;H165,IF(I165&lt;&gt;"","Booking "&amp;I165,IF(E165="Tip","Stylist","Unapplied"))))</f>
        <v>0</v>
      </c>
      <c r="W165" s="39">
        <f>IF(B165="","",IF(G165="","Add - no amount yet",IF(E165="","Add - what was this for?",IF(IF(H165="",FALSE,COUNTIF(Sales!$A$5:$A$1204,H165)=0),"Missing - no sale with that ID",IF(IF(I165="",FALSE,COUNTIF(Appointments!$A$5:$A$1204,I165)=0),"Missing - no booking with that ID",IF(IF(E165="Tip",J165="",FALSE),"Assign - whose tip is it?",IF(IF(E165="Deposit",IF(H165="",I165="",FALSE),FALSE),"Check - deposit not tied to a booking",IF(M165="No","Due - not reconciled yet","OK"))))))))</f>
        <v>0</v>
      </c>
    </row>
    <row r="166" spans="1:23">
      <c r="A166" s="28">
        <f>IF(B166="","",PaymentPrefix&amp;TEXT(ROW()-4,"0000"))</f>
        <v>0</v>
      </c>
      <c r="D166" s="15">
        <f>IF(C166="","",IFERROR(INDEX(Clients!$B$5:$B$504,MATCH(C166,Clients!$A$5:$A$504,0)),"Walk-in"))</f>
        <v>0</v>
      </c>
      <c r="K166" s="15">
        <f>IF(J166="","",IFERROR(INDEX(Staff!$B$5:$B$44,MATCH(J166,Staff!$A$5:$A$44,0)),""))</f>
        <v>0</v>
      </c>
      <c r="O166" s="15">
        <f>IF(B166="","",TEXT(B166,"yyyy-mm"))</f>
        <v>0</v>
      </c>
      <c r="P166" s="25">
        <f>IF(B166="","",WEEKNUM(B166,2))</f>
        <v>0</v>
      </c>
      <c r="Q166" s="38">
        <f>IF(B166="","",IF(E166="Tip","No",IF(E166="Refund","No","Yes")))</f>
        <v>0</v>
      </c>
      <c r="R166" s="25">
        <f>IF(B166="","",IF(E166="Refund",-1,1))</f>
        <v>0</v>
      </c>
      <c r="S166" s="26">
        <f>IF(B166="","",IF(G166="",0,IF(F166="Card",ROUND(G166*CardFeePercent+CardFeeFixed,2),IF(F166="Online deposit",ROUND(G166*CardFeePercent+CardFeeFixed,2),0))))</f>
        <v>0</v>
      </c>
      <c r="T166" s="26">
        <f>IF(B166="","",ROUND(IF(G166="",0,G166)*R166-S166,2))</f>
        <v>0</v>
      </c>
      <c r="U166" s="38">
        <f>IF(B166="","",IF(E166="Tip","Yes","No"))</f>
        <v>0</v>
      </c>
      <c r="V166" s="15">
        <f>IF(B166="","",IF(H166&lt;&gt;"","Sale "&amp;H166,IF(I166&lt;&gt;"","Booking "&amp;I166,IF(E166="Tip","Stylist","Unapplied"))))</f>
        <v>0</v>
      </c>
      <c r="W166" s="39">
        <f>IF(B166="","",IF(G166="","Add - no amount yet",IF(E166="","Add - what was this for?",IF(IF(H166="",FALSE,COUNTIF(Sales!$A$5:$A$1204,H166)=0),"Missing - no sale with that ID",IF(IF(I166="",FALSE,COUNTIF(Appointments!$A$5:$A$1204,I166)=0),"Missing - no booking with that ID",IF(IF(E166="Tip",J166="",FALSE),"Assign - whose tip is it?",IF(IF(E166="Deposit",IF(H166="",I166="",FALSE),FALSE),"Check - deposit not tied to a booking",IF(M166="No","Due - not reconciled yet","OK"))))))))</f>
        <v>0</v>
      </c>
    </row>
    <row r="167" spans="1:23">
      <c r="A167" s="28">
        <f>IF(B167="","",PaymentPrefix&amp;TEXT(ROW()-4,"0000"))</f>
        <v>0</v>
      </c>
      <c r="D167" s="15">
        <f>IF(C167="","",IFERROR(INDEX(Clients!$B$5:$B$504,MATCH(C167,Clients!$A$5:$A$504,0)),"Walk-in"))</f>
        <v>0</v>
      </c>
      <c r="K167" s="15">
        <f>IF(J167="","",IFERROR(INDEX(Staff!$B$5:$B$44,MATCH(J167,Staff!$A$5:$A$44,0)),""))</f>
        <v>0</v>
      </c>
      <c r="O167" s="15">
        <f>IF(B167="","",TEXT(B167,"yyyy-mm"))</f>
        <v>0</v>
      </c>
      <c r="P167" s="25">
        <f>IF(B167="","",WEEKNUM(B167,2))</f>
        <v>0</v>
      </c>
      <c r="Q167" s="38">
        <f>IF(B167="","",IF(E167="Tip","No",IF(E167="Refund","No","Yes")))</f>
        <v>0</v>
      </c>
      <c r="R167" s="25">
        <f>IF(B167="","",IF(E167="Refund",-1,1))</f>
        <v>0</v>
      </c>
      <c r="S167" s="26">
        <f>IF(B167="","",IF(G167="",0,IF(F167="Card",ROUND(G167*CardFeePercent+CardFeeFixed,2),IF(F167="Online deposit",ROUND(G167*CardFeePercent+CardFeeFixed,2),0))))</f>
        <v>0</v>
      </c>
      <c r="T167" s="26">
        <f>IF(B167="","",ROUND(IF(G167="",0,G167)*R167-S167,2))</f>
        <v>0</v>
      </c>
      <c r="U167" s="38">
        <f>IF(B167="","",IF(E167="Tip","Yes","No"))</f>
        <v>0</v>
      </c>
      <c r="V167" s="15">
        <f>IF(B167="","",IF(H167&lt;&gt;"","Sale "&amp;H167,IF(I167&lt;&gt;"","Booking "&amp;I167,IF(E167="Tip","Stylist","Unapplied"))))</f>
        <v>0</v>
      </c>
      <c r="W167" s="39">
        <f>IF(B167="","",IF(G167="","Add - no amount yet",IF(E167="","Add - what was this for?",IF(IF(H167="",FALSE,COUNTIF(Sales!$A$5:$A$1204,H167)=0),"Missing - no sale with that ID",IF(IF(I167="",FALSE,COUNTIF(Appointments!$A$5:$A$1204,I167)=0),"Missing - no booking with that ID",IF(IF(E167="Tip",J167="",FALSE),"Assign - whose tip is it?",IF(IF(E167="Deposit",IF(H167="",I167="",FALSE),FALSE),"Check - deposit not tied to a booking",IF(M167="No","Due - not reconciled yet","OK"))))))))</f>
        <v>0</v>
      </c>
    </row>
    <row r="168" spans="1:23">
      <c r="A168" s="28">
        <f>IF(B168="","",PaymentPrefix&amp;TEXT(ROW()-4,"0000"))</f>
        <v>0</v>
      </c>
      <c r="D168" s="15">
        <f>IF(C168="","",IFERROR(INDEX(Clients!$B$5:$B$504,MATCH(C168,Clients!$A$5:$A$504,0)),"Walk-in"))</f>
        <v>0</v>
      </c>
      <c r="K168" s="15">
        <f>IF(J168="","",IFERROR(INDEX(Staff!$B$5:$B$44,MATCH(J168,Staff!$A$5:$A$44,0)),""))</f>
        <v>0</v>
      </c>
      <c r="O168" s="15">
        <f>IF(B168="","",TEXT(B168,"yyyy-mm"))</f>
        <v>0</v>
      </c>
      <c r="P168" s="25">
        <f>IF(B168="","",WEEKNUM(B168,2))</f>
        <v>0</v>
      </c>
      <c r="Q168" s="38">
        <f>IF(B168="","",IF(E168="Tip","No",IF(E168="Refund","No","Yes")))</f>
        <v>0</v>
      </c>
      <c r="R168" s="25">
        <f>IF(B168="","",IF(E168="Refund",-1,1))</f>
        <v>0</v>
      </c>
      <c r="S168" s="26">
        <f>IF(B168="","",IF(G168="",0,IF(F168="Card",ROUND(G168*CardFeePercent+CardFeeFixed,2),IF(F168="Online deposit",ROUND(G168*CardFeePercent+CardFeeFixed,2),0))))</f>
        <v>0</v>
      </c>
      <c r="T168" s="26">
        <f>IF(B168="","",ROUND(IF(G168="",0,G168)*R168-S168,2))</f>
        <v>0</v>
      </c>
      <c r="U168" s="38">
        <f>IF(B168="","",IF(E168="Tip","Yes","No"))</f>
        <v>0</v>
      </c>
      <c r="V168" s="15">
        <f>IF(B168="","",IF(H168&lt;&gt;"","Sale "&amp;H168,IF(I168&lt;&gt;"","Booking "&amp;I168,IF(E168="Tip","Stylist","Unapplied"))))</f>
        <v>0</v>
      </c>
      <c r="W168" s="39">
        <f>IF(B168="","",IF(G168="","Add - no amount yet",IF(E168="","Add - what was this for?",IF(IF(H168="",FALSE,COUNTIF(Sales!$A$5:$A$1204,H168)=0),"Missing - no sale with that ID",IF(IF(I168="",FALSE,COUNTIF(Appointments!$A$5:$A$1204,I168)=0),"Missing - no booking with that ID",IF(IF(E168="Tip",J168="",FALSE),"Assign - whose tip is it?",IF(IF(E168="Deposit",IF(H168="",I168="",FALSE),FALSE),"Check - deposit not tied to a booking",IF(M168="No","Due - not reconciled yet","OK"))))))))</f>
        <v>0</v>
      </c>
    </row>
    <row r="169" spans="1:23">
      <c r="A169" s="28">
        <f>IF(B169="","",PaymentPrefix&amp;TEXT(ROW()-4,"0000"))</f>
        <v>0</v>
      </c>
      <c r="D169" s="15">
        <f>IF(C169="","",IFERROR(INDEX(Clients!$B$5:$B$504,MATCH(C169,Clients!$A$5:$A$504,0)),"Walk-in"))</f>
        <v>0</v>
      </c>
      <c r="K169" s="15">
        <f>IF(J169="","",IFERROR(INDEX(Staff!$B$5:$B$44,MATCH(J169,Staff!$A$5:$A$44,0)),""))</f>
        <v>0</v>
      </c>
      <c r="O169" s="15">
        <f>IF(B169="","",TEXT(B169,"yyyy-mm"))</f>
        <v>0</v>
      </c>
      <c r="P169" s="25">
        <f>IF(B169="","",WEEKNUM(B169,2))</f>
        <v>0</v>
      </c>
      <c r="Q169" s="38">
        <f>IF(B169="","",IF(E169="Tip","No",IF(E169="Refund","No","Yes")))</f>
        <v>0</v>
      </c>
      <c r="R169" s="25">
        <f>IF(B169="","",IF(E169="Refund",-1,1))</f>
        <v>0</v>
      </c>
      <c r="S169" s="26">
        <f>IF(B169="","",IF(G169="",0,IF(F169="Card",ROUND(G169*CardFeePercent+CardFeeFixed,2),IF(F169="Online deposit",ROUND(G169*CardFeePercent+CardFeeFixed,2),0))))</f>
        <v>0</v>
      </c>
      <c r="T169" s="26">
        <f>IF(B169="","",ROUND(IF(G169="",0,G169)*R169-S169,2))</f>
        <v>0</v>
      </c>
      <c r="U169" s="38">
        <f>IF(B169="","",IF(E169="Tip","Yes","No"))</f>
        <v>0</v>
      </c>
      <c r="V169" s="15">
        <f>IF(B169="","",IF(H169&lt;&gt;"","Sale "&amp;H169,IF(I169&lt;&gt;"","Booking "&amp;I169,IF(E169="Tip","Stylist","Unapplied"))))</f>
        <v>0</v>
      </c>
      <c r="W169" s="39">
        <f>IF(B169="","",IF(G169="","Add - no amount yet",IF(E169="","Add - what was this for?",IF(IF(H169="",FALSE,COUNTIF(Sales!$A$5:$A$1204,H169)=0),"Missing - no sale with that ID",IF(IF(I169="",FALSE,COUNTIF(Appointments!$A$5:$A$1204,I169)=0),"Missing - no booking with that ID",IF(IF(E169="Tip",J169="",FALSE),"Assign - whose tip is it?",IF(IF(E169="Deposit",IF(H169="",I169="",FALSE),FALSE),"Check - deposit not tied to a booking",IF(M169="No","Due - not reconciled yet","OK"))))))))</f>
        <v>0</v>
      </c>
    </row>
    <row r="170" spans="1:23">
      <c r="A170" s="28">
        <f>IF(B170="","",PaymentPrefix&amp;TEXT(ROW()-4,"0000"))</f>
        <v>0</v>
      </c>
      <c r="D170" s="15">
        <f>IF(C170="","",IFERROR(INDEX(Clients!$B$5:$B$504,MATCH(C170,Clients!$A$5:$A$504,0)),"Walk-in"))</f>
        <v>0</v>
      </c>
      <c r="K170" s="15">
        <f>IF(J170="","",IFERROR(INDEX(Staff!$B$5:$B$44,MATCH(J170,Staff!$A$5:$A$44,0)),""))</f>
        <v>0</v>
      </c>
      <c r="O170" s="15">
        <f>IF(B170="","",TEXT(B170,"yyyy-mm"))</f>
        <v>0</v>
      </c>
      <c r="P170" s="25">
        <f>IF(B170="","",WEEKNUM(B170,2))</f>
        <v>0</v>
      </c>
      <c r="Q170" s="38">
        <f>IF(B170="","",IF(E170="Tip","No",IF(E170="Refund","No","Yes")))</f>
        <v>0</v>
      </c>
      <c r="R170" s="25">
        <f>IF(B170="","",IF(E170="Refund",-1,1))</f>
        <v>0</v>
      </c>
      <c r="S170" s="26">
        <f>IF(B170="","",IF(G170="",0,IF(F170="Card",ROUND(G170*CardFeePercent+CardFeeFixed,2),IF(F170="Online deposit",ROUND(G170*CardFeePercent+CardFeeFixed,2),0))))</f>
        <v>0</v>
      </c>
      <c r="T170" s="26">
        <f>IF(B170="","",ROUND(IF(G170="",0,G170)*R170-S170,2))</f>
        <v>0</v>
      </c>
      <c r="U170" s="38">
        <f>IF(B170="","",IF(E170="Tip","Yes","No"))</f>
        <v>0</v>
      </c>
      <c r="V170" s="15">
        <f>IF(B170="","",IF(H170&lt;&gt;"","Sale "&amp;H170,IF(I170&lt;&gt;"","Booking "&amp;I170,IF(E170="Tip","Stylist","Unapplied"))))</f>
        <v>0</v>
      </c>
      <c r="W170" s="39">
        <f>IF(B170="","",IF(G170="","Add - no amount yet",IF(E170="","Add - what was this for?",IF(IF(H170="",FALSE,COUNTIF(Sales!$A$5:$A$1204,H170)=0),"Missing - no sale with that ID",IF(IF(I170="",FALSE,COUNTIF(Appointments!$A$5:$A$1204,I170)=0),"Missing - no booking with that ID",IF(IF(E170="Tip",J170="",FALSE),"Assign - whose tip is it?",IF(IF(E170="Deposit",IF(H170="",I170="",FALSE),FALSE),"Check - deposit not tied to a booking",IF(M170="No","Due - not reconciled yet","OK"))))))))</f>
        <v>0</v>
      </c>
    </row>
    <row r="171" spans="1:23">
      <c r="A171" s="28">
        <f>IF(B171="","",PaymentPrefix&amp;TEXT(ROW()-4,"0000"))</f>
        <v>0</v>
      </c>
      <c r="D171" s="15">
        <f>IF(C171="","",IFERROR(INDEX(Clients!$B$5:$B$504,MATCH(C171,Clients!$A$5:$A$504,0)),"Walk-in"))</f>
        <v>0</v>
      </c>
      <c r="K171" s="15">
        <f>IF(J171="","",IFERROR(INDEX(Staff!$B$5:$B$44,MATCH(J171,Staff!$A$5:$A$44,0)),""))</f>
        <v>0</v>
      </c>
      <c r="O171" s="15">
        <f>IF(B171="","",TEXT(B171,"yyyy-mm"))</f>
        <v>0</v>
      </c>
      <c r="P171" s="25">
        <f>IF(B171="","",WEEKNUM(B171,2))</f>
        <v>0</v>
      </c>
      <c r="Q171" s="38">
        <f>IF(B171="","",IF(E171="Tip","No",IF(E171="Refund","No","Yes")))</f>
        <v>0</v>
      </c>
      <c r="R171" s="25">
        <f>IF(B171="","",IF(E171="Refund",-1,1))</f>
        <v>0</v>
      </c>
      <c r="S171" s="26">
        <f>IF(B171="","",IF(G171="",0,IF(F171="Card",ROUND(G171*CardFeePercent+CardFeeFixed,2),IF(F171="Online deposit",ROUND(G171*CardFeePercent+CardFeeFixed,2),0))))</f>
        <v>0</v>
      </c>
      <c r="T171" s="26">
        <f>IF(B171="","",ROUND(IF(G171="",0,G171)*R171-S171,2))</f>
        <v>0</v>
      </c>
      <c r="U171" s="38">
        <f>IF(B171="","",IF(E171="Tip","Yes","No"))</f>
        <v>0</v>
      </c>
      <c r="V171" s="15">
        <f>IF(B171="","",IF(H171&lt;&gt;"","Sale "&amp;H171,IF(I171&lt;&gt;"","Booking "&amp;I171,IF(E171="Tip","Stylist","Unapplied"))))</f>
        <v>0</v>
      </c>
      <c r="W171" s="39">
        <f>IF(B171="","",IF(G171="","Add - no amount yet",IF(E171="","Add - what was this for?",IF(IF(H171="",FALSE,COUNTIF(Sales!$A$5:$A$1204,H171)=0),"Missing - no sale with that ID",IF(IF(I171="",FALSE,COUNTIF(Appointments!$A$5:$A$1204,I171)=0),"Missing - no booking with that ID",IF(IF(E171="Tip",J171="",FALSE),"Assign - whose tip is it?",IF(IF(E171="Deposit",IF(H171="",I171="",FALSE),FALSE),"Check - deposit not tied to a booking",IF(M171="No","Due - not reconciled yet","OK"))))))))</f>
        <v>0</v>
      </c>
    </row>
    <row r="172" spans="1:23">
      <c r="A172" s="28">
        <f>IF(B172="","",PaymentPrefix&amp;TEXT(ROW()-4,"0000"))</f>
        <v>0</v>
      </c>
      <c r="D172" s="15">
        <f>IF(C172="","",IFERROR(INDEX(Clients!$B$5:$B$504,MATCH(C172,Clients!$A$5:$A$504,0)),"Walk-in"))</f>
        <v>0</v>
      </c>
      <c r="K172" s="15">
        <f>IF(J172="","",IFERROR(INDEX(Staff!$B$5:$B$44,MATCH(J172,Staff!$A$5:$A$44,0)),""))</f>
        <v>0</v>
      </c>
      <c r="O172" s="15">
        <f>IF(B172="","",TEXT(B172,"yyyy-mm"))</f>
        <v>0</v>
      </c>
      <c r="P172" s="25">
        <f>IF(B172="","",WEEKNUM(B172,2))</f>
        <v>0</v>
      </c>
      <c r="Q172" s="38">
        <f>IF(B172="","",IF(E172="Tip","No",IF(E172="Refund","No","Yes")))</f>
        <v>0</v>
      </c>
      <c r="R172" s="25">
        <f>IF(B172="","",IF(E172="Refund",-1,1))</f>
        <v>0</v>
      </c>
      <c r="S172" s="26">
        <f>IF(B172="","",IF(G172="",0,IF(F172="Card",ROUND(G172*CardFeePercent+CardFeeFixed,2),IF(F172="Online deposit",ROUND(G172*CardFeePercent+CardFeeFixed,2),0))))</f>
        <v>0</v>
      </c>
      <c r="T172" s="26">
        <f>IF(B172="","",ROUND(IF(G172="",0,G172)*R172-S172,2))</f>
        <v>0</v>
      </c>
      <c r="U172" s="38">
        <f>IF(B172="","",IF(E172="Tip","Yes","No"))</f>
        <v>0</v>
      </c>
      <c r="V172" s="15">
        <f>IF(B172="","",IF(H172&lt;&gt;"","Sale "&amp;H172,IF(I172&lt;&gt;"","Booking "&amp;I172,IF(E172="Tip","Stylist","Unapplied"))))</f>
        <v>0</v>
      </c>
      <c r="W172" s="39">
        <f>IF(B172="","",IF(G172="","Add - no amount yet",IF(E172="","Add - what was this for?",IF(IF(H172="",FALSE,COUNTIF(Sales!$A$5:$A$1204,H172)=0),"Missing - no sale with that ID",IF(IF(I172="",FALSE,COUNTIF(Appointments!$A$5:$A$1204,I172)=0),"Missing - no booking with that ID",IF(IF(E172="Tip",J172="",FALSE),"Assign - whose tip is it?",IF(IF(E172="Deposit",IF(H172="",I172="",FALSE),FALSE),"Check - deposit not tied to a booking",IF(M172="No","Due - not reconciled yet","OK"))))))))</f>
        <v>0</v>
      </c>
    </row>
    <row r="173" spans="1:23">
      <c r="A173" s="28">
        <f>IF(B173="","",PaymentPrefix&amp;TEXT(ROW()-4,"0000"))</f>
        <v>0</v>
      </c>
      <c r="D173" s="15">
        <f>IF(C173="","",IFERROR(INDEX(Clients!$B$5:$B$504,MATCH(C173,Clients!$A$5:$A$504,0)),"Walk-in"))</f>
        <v>0</v>
      </c>
      <c r="K173" s="15">
        <f>IF(J173="","",IFERROR(INDEX(Staff!$B$5:$B$44,MATCH(J173,Staff!$A$5:$A$44,0)),""))</f>
        <v>0</v>
      </c>
      <c r="O173" s="15">
        <f>IF(B173="","",TEXT(B173,"yyyy-mm"))</f>
        <v>0</v>
      </c>
      <c r="P173" s="25">
        <f>IF(B173="","",WEEKNUM(B173,2))</f>
        <v>0</v>
      </c>
      <c r="Q173" s="38">
        <f>IF(B173="","",IF(E173="Tip","No",IF(E173="Refund","No","Yes")))</f>
        <v>0</v>
      </c>
      <c r="R173" s="25">
        <f>IF(B173="","",IF(E173="Refund",-1,1))</f>
        <v>0</v>
      </c>
      <c r="S173" s="26">
        <f>IF(B173="","",IF(G173="",0,IF(F173="Card",ROUND(G173*CardFeePercent+CardFeeFixed,2),IF(F173="Online deposit",ROUND(G173*CardFeePercent+CardFeeFixed,2),0))))</f>
        <v>0</v>
      </c>
      <c r="T173" s="26">
        <f>IF(B173="","",ROUND(IF(G173="",0,G173)*R173-S173,2))</f>
        <v>0</v>
      </c>
      <c r="U173" s="38">
        <f>IF(B173="","",IF(E173="Tip","Yes","No"))</f>
        <v>0</v>
      </c>
      <c r="V173" s="15">
        <f>IF(B173="","",IF(H173&lt;&gt;"","Sale "&amp;H173,IF(I173&lt;&gt;"","Booking "&amp;I173,IF(E173="Tip","Stylist","Unapplied"))))</f>
        <v>0</v>
      </c>
      <c r="W173" s="39">
        <f>IF(B173="","",IF(G173="","Add - no amount yet",IF(E173="","Add - what was this for?",IF(IF(H173="",FALSE,COUNTIF(Sales!$A$5:$A$1204,H173)=0),"Missing - no sale with that ID",IF(IF(I173="",FALSE,COUNTIF(Appointments!$A$5:$A$1204,I173)=0),"Missing - no booking with that ID",IF(IF(E173="Tip",J173="",FALSE),"Assign - whose tip is it?",IF(IF(E173="Deposit",IF(H173="",I173="",FALSE),FALSE),"Check - deposit not tied to a booking",IF(M173="No","Due - not reconciled yet","OK"))))))))</f>
        <v>0</v>
      </c>
    </row>
    <row r="174" spans="1:23">
      <c r="A174" s="28">
        <f>IF(B174="","",PaymentPrefix&amp;TEXT(ROW()-4,"0000"))</f>
        <v>0</v>
      </c>
      <c r="D174" s="15">
        <f>IF(C174="","",IFERROR(INDEX(Clients!$B$5:$B$504,MATCH(C174,Clients!$A$5:$A$504,0)),"Walk-in"))</f>
        <v>0</v>
      </c>
      <c r="K174" s="15">
        <f>IF(J174="","",IFERROR(INDEX(Staff!$B$5:$B$44,MATCH(J174,Staff!$A$5:$A$44,0)),""))</f>
        <v>0</v>
      </c>
      <c r="O174" s="15">
        <f>IF(B174="","",TEXT(B174,"yyyy-mm"))</f>
        <v>0</v>
      </c>
      <c r="P174" s="25">
        <f>IF(B174="","",WEEKNUM(B174,2))</f>
        <v>0</v>
      </c>
      <c r="Q174" s="38">
        <f>IF(B174="","",IF(E174="Tip","No",IF(E174="Refund","No","Yes")))</f>
        <v>0</v>
      </c>
      <c r="R174" s="25">
        <f>IF(B174="","",IF(E174="Refund",-1,1))</f>
        <v>0</v>
      </c>
      <c r="S174" s="26">
        <f>IF(B174="","",IF(G174="",0,IF(F174="Card",ROUND(G174*CardFeePercent+CardFeeFixed,2),IF(F174="Online deposit",ROUND(G174*CardFeePercent+CardFeeFixed,2),0))))</f>
        <v>0</v>
      </c>
      <c r="T174" s="26">
        <f>IF(B174="","",ROUND(IF(G174="",0,G174)*R174-S174,2))</f>
        <v>0</v>
      </c>
      <c r="U174" s="38">
        <f>IF(B174="","",IF(E174="Tip","Yes","No"))</f>
        <v>0</v>
      </c>
      <c r="V174" s="15">
        <f>IF(B174="","",IF(H174&lt;&gt;"","Sale "&amp;H174,IF(I174&lt;&gt;"","Booking "&amp;I174,IF(E174="Tip","Stylist","Unapplied"))))</f>
        <v>0</v>
      </c>
      <c r="W174" s="39">
        <f>IF(B174="","",IF(G174="","Add - no amount yet",IF(E174="","Add - what was this for?",IF(IF(H174="",FALSE,COUNTIF(Sales!$A$5:$A$1204,H174)=0),"Missing - no sale with that ID",IF(IF(I174="",FALSE,COUNTIF(Appointments!$A$5:$A$1204,I174)=0),"Missing - no booking with that ID",IF(IF(E174="Tip",J174="",FALSE),"Assign - whose tip is it?",IF(IF(E174="Deposit",IF(H174="",I174="",FALSE),FALSE),"Check - deposit not tied to a booking",IF(M174="No","Due - not reconciled yet","OK"))))))))</f>
        <v>0</v>
      </c>
    </row>
    <row r="175" spans="1:23">
      <c r="A175" s="28">
        <f>IF(B175="","",PaymentPrefix&amp;TEXT(ROW()-4,"0000"))</f>
        <v>0</v>
      </c>
      <c r="D175" s="15">
        <f>IF(C175="","",IFERROR(INDEX(Clients!$B$5:$B$504,MATCH(C175,Clients!$A$5:$A$504,0)),"Walk-in"))</f>
        <v>0</v>
      </c>
      <c r="K175" s="15">
        <f>IF(J175="","",IFERROR(INDEX(Staff!$B$5:$B$44,MATCH(J175,Staff!$A$5:$A$44,0)),""))</f>
        <v>0</v>
      </c>
      <c r="O175" s="15">
        <f>IF(B175="","",TEXT(B175,"yyyy-mm"))</f>
        <v>0</v>
      </c>
      <c r="P175" s="25">
        <f>IF(B175="","",WEEKNUM(B175,2))</f>
        <v>0</v>
      </c>
      <c r="Q175" s="38">
        <f>IF(B175="","",IF(E175="Tip","No",IF(E175="Refund","No","Yes")))</f>
        <v>0</v>
      </c>
      <c r="R175" s="25">
        <f>IF(B175="","",IF(E175="Refund",-1,1))</f>
        <v>0</v>
      </c>
      <c r="S175" s="26">
        <f>IF(B175="","",IF(G175="",0,IF(F175="Card",ROUND(G175*CardFeePercent+CardFeeFixed,2),IF(F175="Online deposit",ROUND(G175*CardFeePercent+CardFeeFixed,2),0))))</f>
        <v>0</v>
      </c>
      <c r="T175" s="26">
        <f>IF(B175="","",ROUND(IF(G175="",0,G175)*R175-S175,2))</f>
        <v>0</v>
      </c>
      <c r="U175" s="38">
        <f>IF(B175="","",IF(E175="Tip","Yes","No"))</f>
        <v>0</v>
      </c>
      <c r="V175" s="15">
        <f>IF(B175="","",IF(H175&lt;&gt;"","Sale "&amp;H175,IF(I175&lt;&gt;"","Booking "&amp;I175,IF(E175="Tip","Stylist","Unapplied"))))</f>
        <v>0</v>
      </c>
      <c r="W175" s="39">
        <f>IF(B175="","",IF(G175="","Add - no amount yet",IF(E175="","Add - what was this for?",IF(IF(H175="",FALSE,COUNTIF(Sales!$A$5:$A$1204,H175)=0),"Missing - no sale with that ID",IF(IF(I175="",FALSE,COUNTIF(Appointments!$A$5:$A$1204,I175)=0),"Missing - no booking with that ID",IF(IF(E175="Tip",J175="",FALSE),"Assign - whose tip is it?",IF(IF(E175="Deposit",IF(H175="",I175="",FALSE),FALSE),"Check - deposit not tied to a booking",IF(M175="No","Due - not reconciled yet","OK"))))))))</f>
        <v>0</v>
      </c>
    </row>
    <row r="176" spans="1:23">
      <c r="A176" s="28">
        <f>IF(B176="","",PaymentPrefix&amp;TEXT(ROW()-4,"0000"))</f>
        <v>0</v>
      </c>
      <c r="D176" s="15">
        <f>IF(C176="","",IFERROR(INDEX(Clients!$B$5:$B$504,MATCH(C176,Clients!$A$5:$A$504,0)),"Walk-in"))</f>
        <v>0</v>
      </c>
      <c r="K176" s="15">
        <f>IF(J176="","",IFERROR(INDEX(Staff!$B$5:$B$44,MATCH(J176,Staff!$A$5:$A$44,0)),""))</f>
        <v>0</v>
      </c>
      <c r="O176" s="15">
        <f>IF(B176="","",TEXT(B176,"yyyy-mm"))</f>
        <v>0</v>
      </c>
      <c r="P176" s="25">
        <f>IF(B176="","",WEEKNUM(B176,2))</f>
        <v>0</v>
      </c>
      <c r="Q176" s="38">
        <f>IF(B176="","",IF(E176="Tip","No",IF(E176="Refund","No","Yes")))</f>
        <v>0</v>
      </c>
      <c r="R176" s="25">
        <f>IF(B176="","",IF(E176="Refund",-1,1))</f>
        <v>0</v>
      </c>
      <c r="S176" s="26">
        <f>IF(B176="","",IF(G176="",0,IF(F176="Card",ROUND(G176*CardFeePercent+CardFeeFixed,2),IF(F176="Online deposit",ROUND(G176*CardFeePercent+CardFeeFixed,2),0))))</f>
        <v>0</v>
      </c>
      <c r="T176" s="26">
        <f>IF(B176="","",ROUND(IF(G176="",0,G176)*R176-S176,2))</f>
        <v>0</v>
      </c>
      <c r="U176" s="38">
        <f>IF(B176="","",IF(E176="Tip","Yes","No"))</f>
        <v>0</v>
      </c>
      <c r="V176" s="15">
        <f>IF(B176="","",IF(H176&lt;&gt;"","Sale "&amp;H176,IF(I176&lt;&gt;"","Booking "&amp;I176,IF(E176="Tip","Stylist","Unapplied"))))</f>
        <v>0</v>
      </c>
      <c r="W176" s="39">
        <f>IF(B176="","",IF(G176="","Add - no amount yet",IF(E176="","Add - what was this for?",IF(IF(H176="",FALSE,COUNTIF(Sales!$A$5:$A$1204,H176)=0),"Missing - no sale with that ID",IF(IF(I176="",FALSE,COUNTIF(Appointments!$A$5:$A$1204,I176)=0),"Missing - no booking with that ID",IF(IF(E176="Tip",J176="",FALSE),"Assign - whose tip is it?",IF(IF(E176="Deposit",IF(H176="",I176="",FALSE),FALSE),"Check - deposit not tied to a booking",IF(M176="No","Due - not reconciled yet","OK"))))))))</f>
        <v>0</v>
      </c>
    </row>
    <row r="177" spans="1:23">
      <c r="A177" s="28">
        <f>IF(B177="","",PaymentPrefix&amp;TEXT(ROW()-4,"0000"))</f>
        <v>0</v>
      </c>
      <c r="D177" s="15">
        <f>IF(C177="","",IFERROR(INDEX(Clients!$B$5:$B$504,MATCH(C177,Clients!$A$5:$A$504,0)),"Walk-in"))</f>
        <v>0</v>
      </c>
      <c r="K177" s="15">
        <f>IF(J177="","",IFERROR(INDEX(Staff!$B$5:$B$44,MATCH(J177,Staff!$A$5:$A$44,0)),""))</f>
        <v>0</v>
      </c>
      <c r="O177" s="15">
        <f>IF(B177="","",TEXT(B177,"yyyy-mm"))</f>
        <v>0</v>
      </c>
      <c r="P177" s="25">
        <f>IF(B177="","",WEEKNUM(B177,2))</f>
        <v>0</v>
      </c>
      <c r="Q177" s="38">
        <f>IF(B177="","",IF(E177="Tip","No",IF(E177="Refund","No","Yes")))</f>
        <v>0</v>
      </c>
      <c r="R177" s="25">
        <f>IF(B177="","",IF(E177="Refund",-1,1))</f>
        <v>0</v>
      </c>
      <c r="S177" s="26">
        <f>IF(B177="","",IF(G177="",0,IF(F177="Card",ROUND(G177*CardFeePercent+CardFeeFixed,2),IF(F177="Online deposit",ROUND(G177*CardFeePercent+CardFeeFixed,2),0))))</f>
        <v>0</v>
      </c>
      <c r="T177" s="26">
        <f>IF(B177="","",ROUND(IF(G177="",0,G177)*R177-S177,2))</f>
        <v>0</v>
      </c>
      <c r="U177" s="38">
        <f>IF(B177="","",IF(E177="Tip","Yes","No"))</f>
        <v>0</v>
      </c>
      <c r="V177" s="15">
        <f>IF(B177="","",IF(H177&lt;&gt;"","Sale "&amp;H177,IF(I177&lt;&gt;"","Booking "&amp;I177,IF(E177="Tip","Stylist","Unapplied"))))</f>
        <v>0</v>
      </c>
      <c r="W177" s="39">
        <f>IF(B177="","",IF(G177="","Add - no amount yet",IF(E177="","Add - what was this for?",IF(IF(H177="",FALSE,COUNTIF(Sales!$A$5:$A$1204,H177)=0),"Missing - no sale with that ID",IF(IF(I177="",FALSE,COUNTIF(Appointments!$A$5:$A$1204,I177)=0),"Missing - no booking with that ID",IF(IF(E177="Tip",J177="",FALSE),"Assign - whose tip is it?",IF(IF(E177="Deposit",IF(H177="",I177="",FALSE),FALSE),"Check - deposit not tied to a booking",IF(M177="No","Due - not reconciled yet","OK"))))))))</f>
        <v>0</v>
      </c>
    </row>
    <row r="178" spans="1:23">
      <c r="A178" s="28">
        <f>IF(B178="","",PaymentPrefix&amp;TEXT(ROW()-4,"0000"))</f>
        <v>0</v>
      </c>
      <c r="D178" s="15">
        <f>IF(C178="","",IFERROR(INDEX(Clients!$B$5:$B$504,MATCH(C178,Clients!$A$5:$A$504,0)),"Walk-in"))</f>
        <v>0</v>
      </c>
      <c r="K178" s="15">
        <f>IF(J178="","",IFERROR(INDEX(Staff!$B$5:$B$44,MATCH(J178,Staff!$A$5:$A$44,0)),""))</f>
        <v>0</v>
      </c>
      <c r="O178" s="15">
        <f>IF(B178="","",TEXT(B178,"yyyy-mm"))</f>
        <v>0</v>
      </c>
      <c r="P178" s="25">
        <f>IF(B178="","",WEEKNUM(B178,2))</f>
        <v>0</v>
      </c>
      <c r="Q178" s="38">
        <f>IF(B178="","",IF(E178="Tip","No",IF(E178="Refund","No","Yes")))</f>
        <v>0</v>
      </c>
      <c r="R178" s="25">
        <f>IF(B178="","",IF(E178="Refund",-1,1))</f>
        <v>0</v>
      </c>
      <c r="S178" s="26">
        <f>IF(B178="","",IF(G178="",0,IF(F178="Card",ROUND(G178*CardFeePercent+CardFeeFixed,2),IF(F178="Online deposit",ROUND(G178*CardFeePercent+CardFeeFixed,2),0))))</f>
        <v>0</v>
      </c>
      <c r="T178" s="26">
        <f>IF(B178="","",ROUND(IF(G178="",0,G178)*R178-S178,2))</f>
        <v>0</v>
      </c>
      <c r="U178" s="38">
        <f>IF(B178="","",IF(E178="Tip","Yes","No"))</f>
        <v>0</v>
      </c>
      <c r="V178" s="15">
        <f>IF(B178="","",IF(H178&lt;&gt;"","Sale "&amp;H178,IF(I178&lt;&gt;"","Booking "&amp;I178,IF(E178="Tip","Stylist","Unapplied"))))</f>
        <v>0</v>
      </c>
      <c r="W178" s="39">
        <f>IF(B178="","",IF(G178="","Add - no amount yet",IF(E178="","Add - what was this for?",IF(IF(H178="",FALSE,COUNTIF(Sales!$A$5:$A$1204,H178)=0),"Missing - no sale with that ID",IF(IF(I178="",FALSE,COUNTIF(Appointments!$A$5:$A$1204,I178)=0),"Missing - no booking with that ID",IF(IF(E178="Tip",J178="",FALSE),"Assign - whose tip is it?",IF(IF(E178="Deposit",IF(H178="",I178="",FALSE),FALSE),"Check - deposit not tied to a booking",IF(M178="No","Due - not reconciled yet","OK"))))))))</f>
        <v>0</v>
      </c>
    </row>
    <row r="179" spans="1:23">
      <c r="A179" s="28">
        <f>IF(B179="","",PaymentPrefix&amp;TEXT(ROW()-4,"0000"))</f>
        <v>0</v>
      </c>
      <c r="D179" s="15">
        <f>IF(C179="","",IFERROR(INDEX(Clients!$B$5:$B$504,MATCH(C179,Clients!$A$5:$A$504,0)),"Walk-in"))</f>
        <v>0</v>
      </c>
      <c r="K179" s="15">
        <f>IF(J179="","",IFERROR(INDEX(Staff!$B$5:$B$44,MATCH(J179,Staff!$A$5:$A$44,0)),""))</f>
        <v>0</v>
      </c>
      <c r="O179" s="15">
        <f>IF(B179="","",TEXT(B179,"yyyy-mm"))</f>
        <v>0</v>
      </c>
      <c r="P179" s="25">
        <f>IF(B179="","",WEEKNUM(B179,2))</f>
        <v>0</v>
      </c>
      <c r="Q179" s="38">
        <f>IF(B179="","",IF(E179="Tip","No",IF(E179="Refund","No","Yes")))</f>
        <v>0</v>
      </c>
      <c r="R179" s="25">
        <f>IF(B179="","",IF(E179="Refund",-1,1))</f>
        <v>0</v>
      </c>
      <c r="S179" s="26">
        <f>IF(B179="","",IF(G179="",0,IF(F179="Card",ROUND(G179*CardFeePercent+CardFeeFixed,2),IF(F179="Online deposit",ROUND(G179*CardFeePercent+CardFeeFixed,2),0))))</f>
        <v>0</v>
      </c>
      <c r="T179" s="26">
        <f>IF(B179="","",ROUND(IF(G179="",0,G179)*R179-S179,2))</f>
        <v>0</v>
      </c>
      <c r="U179" s="38">
        <f>IF(B179="","",IF(E179="Tip","Yes","No"))</f>
        <v>0</v>
      </c>
      <c r="V179" s="15">
        <f>IF(B179="","",IF(H179&lt;&gt;"","Sale "&amp;H179,IF(I179&lt;&gt;"","Booking "&amp;I179,IF(E179="Tip","Stylist","Unapplied"))))</f>
        <v>0</v>
      </c>
      <c r="W179" s="39">
        <f>IF(B179="","",IF(G179="","Add - no amount yet",IF(E179="","Add - what was this for?",IF(IF(H179="",FALSE,COUNTIF(Sales!$A$5:$A$1204,H179)=0),"Missing - no sale with that ID",IF(IF(I179="",FALSE,COUNTIF(Appointments!$A$5:$A$1204,I179)=0),"Missing - no booking with that ID",IF(IF(E179="Tip",J179="",FALSE),"Assign - whose tip is it?",IF(IF(E179="Deposit",IF(H179="",I179="",FALSE),FALSE),"Check - deposit not tied to a booking",IF(M179="No","Due - not reconciled yet","OK"))))))))</f>
        <v>0</v>
      </c>
    </row>
    <row r="180" spans="1:23">
      <c r="A180" s="28">
        <f>IF(B180="","",PaymentPrefix&amp;TEXT(ROW()-4,"0000"))</f>
        <v>0</v>
      </c>
      <c r="D180" s="15">
        <f>IF(C180="","",IFERROR(INDEX(Clients!$B$5:$B$504,MATCH(C180,Clients!$A$5:$A$504,0)),"Walk-in"))</f>
        <v>0</v>
      </c>
      <c r="K180" s="15">
        <f>IF(J180="","",IFERROR(INDEX(Staff!$B$5:$B$44,MATCH(J180,Staff!$A$5:$A$44,0)),""))</f>
        <v>0</v>
      </c>
      <c r="O180" s="15">
        <f>IF(B180="","",TEXT(B180,"yyyy-mm"))</f>
        <v>0</v>
      </c>
      <c r="P180" s="25">
        <f>IF(B180="","",WEEKNUM(B180,2))</f>
        <v>0</v>
      </c>
      <c r="Q180" s="38">
        <f>IF(B180="","",IF(E180="Tip","No",IF(E180="Refund","No","Yes")))</f>
        <v>0</v>
      </c>
      <c r="R180" s="25">
        <f>IF(B180="","",IF(E180="Refund",-1,1))</f>
        <v>0</v>
      </c>
      <c r="S180" s="26">
        <f>IF(B180="","",IF(G180="",0,IF(F180="Card",ROUND(G180*CardFeePercent+CardFeeFixed,2),IF(F180="Online deposit",ROUND(G180*CardFeePercent+CardFeeFixed,2),0))))</f>
        <v>0</v>
      </c>
      <c r="T180" s="26">
        <f>IF(B180="","",ROUND(IF(G180="",0,G180)*R180-S180,2))</f>
        <v>0</v>
      </c>
      <c r="U180" s="38">
        <f>IF(B180="","",IF(E180="Tip","Yes","No"))</f>
        <v>0</v>
      </c>
      <c r="V180" s="15">
        <f>IF(B180="","",IF(H180&lt;&gt;"","Sale "&amp;H180,IF(I180&lt;&gt;"","Booking "&amp;I180,IF(E180="Tip","Stylist","Unapplied"))))</f>
        <v>0</v>
      </c>
      <c r="W180" s="39">
        <f>IF(B180="","",IF(G180="","Add - no amount yet",IF(E180="","Add - what was this for?",IF(IF(H180="",FALSE,COUNTIF(Sales!$A$5:$A$1204,H180)=0),"Missing - no sale with that ID",IF(IF(I180="",FALSE,COUNTIF(Appointments!$A$5:$A$1204,I180)=0),"Missing - no booking with that ID",IF(IF(E180="Tip",J180="",FALSE),"Assign - whose tip is it?",IF(IF(E180="Deposit",IF(H180="",I180="",FALSE),FALSE),"Check - deposit not tied to a booking",IF(M180="No","Due - not reconciled yet","OK"))))))))</f>
        <v>0</v>
      </c>
    </row>
    <row r="181" spans="1:23">
      <c r="A181" s="28">
        <f>IF(B181="","",PaymentPrefix&amp;TEXT(ROW()-4,"0000"))</f>
        <v>0</v>
      </c>
      <c r="D181" s="15">
        <f>IF(C181="","",IFERROR(INDEX(Clients!$B$5:$B$504,MATCH(C181,Clients!$A$5:$A$504,0)),"Walk-in"))</f>
        <v>0</v>
      </c>
      <c r="K181" s="15">
        <f>IF(J181="","",IFERROR(INDEX(Staff!$B$5:$B$44,MATCH(J181,Staff!$A$5:$A$44,0)),""))</f>
        <v>0</v>
      </c>
      <c r="O181" s="15">
        <f>IF(B181="","",TEXT(B181,"yyyy-mm"))</f>
        <v>0</v>
      </c>
      <c r="P181" s="25">
        <f>IF(B181="","",WEEKNUM(B181,2))</f>
        <v>0</v>
      </c>
      <c r="Q181" s="38">
        <f>IF(B181="","",IF(E181="Tip","No",IF(E181="Refund","No","Yes")))</f>
        <v>0</v>
      </c>
      <c r="R181" s="25">
        <f>IF(B181="","",IF(E181="Refund",-1,1))</f>
        <v>0</v>
      </c>
      <c r="S181" s="26">
        <f>IF(B181="","",IF(G181="",0,IF(F181="Card",ROUND(G181*CardFeePercent+CardFeeFixed,2),IF(F181="Online deposit",ROUND(G181*CardFeePercent+CardFeeFixed,2),0))))</f>
        <v>0</v>
      </c>
      <c r="T181" s="26">
        <f>IF(B181="","",ROUND(IF(G181="",0,G181)*R181-S181,2))</f>
        <v>0</v>
      </c>
      <c r="U181" s="38">
        <f>IF(B181="","",IF(E181="Tip","Yes","No"))</f>
        <v>0</v>
      </c>
      <c r="V181" s="15">
        <f>IF(B181="","",IF(H181&lt;&gt;"","Sale "&amp;H181,IF(I181&lt;&gt;"","Booking "&amp;I181,IF(E181="Tip","Stylist","Unapplied"))))</f>
        <v>0</v>
      </c>
      <c r="W181" s="39">
        <f>IF(B181="","",IF(G181="","Add - no amount yet",IF(E181="","Add - what was this for?",IF(IF(H181="",FALSE,COUNTIF(Sales!$A$5:$A$1204,H181)=0),"Missing - no sale with that ID",IF(IF(I181="",FALSE,COUNTIF(Appointments!$A$5:$A$1204,I181)=0),"Missing - no booking with that ID",IF(IF(E181="Tip",J181="",FALSE),"Assign - whose tip is it?",IF(IF(E181="Deposit",IF(H181="",I181="",FALSE),FALSE),"Check - deposit not tied to a booking",IF(M181="No","Due - not reconciled yet","OK"))))))))</f>
        <v>0</v>
      </c>
    </row>
    <row r="182" spans="1:23">
      <c r="A182" s="28">
        <f>IF(B182="","",PaymentPrefix&amp;TEXT(ROW()-4,"0000"))</f>
        <v>0</v>
      </c>
      <c r="D182" s="15">
        <f>IF(C182="","",IFERROR(INDEX(Clients!$B$5:$B$504,MATCH(C182,Clients!$A$5:$A$504,0)),"Walk-in"))</f>
        <v>0</v>
      </c>
      <c r="K182" s="15">
        <f>IF(J182="","",IFERROR(INDEX(Staff!$B$5:$B$44,MATCH(J182,Staff!$A$5:$A$44,0)),""))</f>
        <v>0</v>
      </c>
      <c r="O182" s="15">
        <f>IF(B182="","",TEXT(B182,"yyyy-mm"))</f>
        <v>0</v>
      </c>
      <c r="P182" s="25">
        <f>IF(B182="","",WEEKNUM(B182,2))</f>
        <v>0</v>
      </c>
      <c r="Q182" s="38">
        <f>IF(B182="","",IF(E182="Tip","No",IF(E182="Refund","No","Yes")))</f>
        <v>0</v>
      </c>
      <c r="R182" s="25">
        <f>IF(B182="","",IF(E182="Refund",-1,1))</f>
        <v>0</v>
      </c>
      <c r="S182" s="26">
        <f>IF(B182="","",IF(G182="",0,IF(F182="Card",ROUND(G182*CardFeePercent+CardFeeFixed,2),IF(F182="Online deposit",ROUND(G182*CardFeePercent+CardFeeFixed,2),0))))</f>
        <v>0</v>
      </c>
      <c r="T182" s="26">
        <f>IF(B182="","",ROUND(IF(G182="",0,G182)*R182-S182,2))</f>
        <v>0</v>
      </c>
      <c r="U182" s="38">
        <f>IF(B182="","",IF(E182="Tip","Yes","No"))</f>
        <v>0</v>
      </c>
      <c r="V182" s="15">
        <f>IF(B182="","",IF(H182&lt;&gt;"","Sale "&amp;H182,IF(I182&lt;&gt;"","Booking "&amp;I182,IF(E182="Tip","Stylist","Unapplied"))))</f>
        <v>0</v>
      </c>
      <c r="W182" s="39">
        <f>IF(B182="","",IF(G182="","Add - no amount yet",IF(E182="","Add - what was this for?",IF(IF(H182="",FALSE,COUNTIF(Sales!$A$5:$A$1204,H182)=0),"Missing - no sale with that ID",IF(IF(I182="",FALSE,COUNTIF(Appointments!$A$5:$A$1204,I182)=0),"Missing - no booking with that ID",IF(IF(E182="Tip",J182="",FALSE),"Assign - whose tip is it?",IF(IF(E182="Deposit",IF(H182="",I182="",FALSE),FALSE),"Check - deposit not tied to a booking",IF(M182="No","Due - not reconciled yet","OK"))))))))</f>
        <v>0</v>
      </c>
    </row>
    <row r="183" spans="1:23">
      <c r="A183" s="28">
        <f>IF(B183="","",PaymentPrefix&amp;TEXT(ROW()-4,"0000"))</f>
        <v>0</v>
      </c>
      <c r="D183" s="15">
        <f>IF(C183="","",IFERROR(INDEX(Clients!$B$5:$B$504,MATCH(C183,Clients!$A$5:$A$504,0)),"Walk-in"))</f>
        <v>0</v>
      </c>
      <c r="K183" s="15">
        <f>IF(J183="","",IFERROR(INDEX(Staff!$B$5:$B$44,MATCH(J183,Staff!$A$5:$A$44,0)),""))</f>
        <v>0</v>
      </c>
      <c r="O183" s="15">
        <f>IF(B183="","",TEXT(B183,"yyyy-mm"))</f>
        <v>0</v>
      </c>
      <c r="P183" s="25">
        <f>IF(B183="","",WEEKNUM(B183,2))</f>
        <v>0</v>
      </c>
      <c r="Q183" s="38">
        <f>IF(B183="","",IF(E183="Tip","No",IF(E183="Refund","No","Yes")))</f>
        <v>0</v>
      </c>
      <c r="R183" s="25">
        <f>IF(B183="","",IF(E183="Refund",-1,1))</f>
        <v>0</v>
      </c>
      <c r="S183" s="26">
        <f>IF(B183="","",IF(G183="",0,IF(F183="Card",ROUND(G183*CardFeePercent+CardFeeFixed,2),IF(F183="Online deposit",ROUND(G183*CardFeePercent+CardFeeFixed,2),0))))</f>
        <v>0</v>
      </c>
      <c r="T183" s="26">
        <f>IF(B183="","",ROUND(IF(G183="",0,G183)*R183-S183,2))</f>
        <v>0</v>
      </c>
      <c r="U183" s="38">
        <f>IF(B183="","",IF(E183="Tip","Yes","No"))</f>
        <v>0</v>
      </c>
      <c r="V183" s="15">
        <f>IF(B183="","",IF(H183&lt;&gt;"","Sale "&amp;H183,IF(I183&lt;&gt;"","Booking "&amp;I183,IF(E183="Tip","Stylist","Unapplied"))))</f>
        <v>0</v>
      </c>
      <c r="W183" s="39">
        <f>IF(B183="","",IF(G183="","Add - no amount yet",IF(E183="","Add - what was this for?",IF(IF(H183="",FALSE,COUNTIF(Sales!$A$5:$A$1204,H183)=0),"Missing - no sale with that ID",IF(IF(I183="",FALSE,COUNTIF(Appointments!$A$5:$A$1204,I183)=0),"Missing - no booking with that ID",IF(IF(E183="Tip",J183="",FALSE),"Assign - whose tip is it?",IF(IF(E183="Deposit",IF(H183="",I183="",FALSE),FALSE),"Check - deposit not tied to a booking",IF(M183="No","Due - not reconciled yet","OK"))))))))</f>
        <v>0</v>
      </c>
    </row>
    <row r="184" spans="1:23">
      <c r="A184" s="28">
        <f>IF(B184="","",PaymentPrefix&amp;TEXT(ROW()-4,"0000"))</f>
        <v>0</v>
      </c>
      <c r="D184" s="15">
        <f>IF(C184="","",IFERROR(INDEX(Clients!$B$5:$B$504,MATCH(C184,Clients!$A$5:$A$504,0)),"Walk-in"))</f>
        <v>0</v>
      </c>
      <c r="K184" s="15">
        <f>IF(J184="","",IFERROR(INDEX(Staff!$B$5:$B$44,MATCH(J184,Staff!$A$5:$A$44,0)),""))</f>
        <v>0</v>
      </c>
      <c r="O184" s="15">
        <f>IF(B184="","",TEXT(B184,"yyyy-mm"))</f>
        <v>0</v>
      </c>
      <c r="P184" s="25">
        <f>IF(B184="","",WEEKNUM(B184,2))</f>
        <v>0</v>
      </c>
      <c r="Q184" s="38">
        <f>IF(B184="","",IF(E184="Tip","No",IF(E184="Refund","No","Yes")))</f>
        <v>0</v>
      </c>
      <c r="R184" s="25">
        <f>IF(B184="","",IF(E184="Refund",-1,1))</f>
        <v>0</v>
      </c>
      <c r="S184" s="26">
        <f>IF(B184="","",IF(G184="",0,IF(F184="Card",ROUND(G184*CardFeePercent+CardFeeFixed,2),IF(F184="Online deposit",ROUND(G184*CardFeePercent+CardFeeFixed,2),0))))</f>
        <v>0</v>
      </c>
      <c r="T184" s="26">
        <f>IF(B184="","",ROUND(IF(G184="",0,G184)*R184-S184,2))</f>
        <v>0</v>
      </c>
      <c r="U184" s="38">
        <f>IF(B184="","",IF(E184="Tip","Yes","No"))</f>
        <v>0</v>
      </c>
      <c r="V184" s="15">
        <f>IF(B184="","",IF(H184&lt;&gt;"","Sale "&amp;H184,IF(I184&lt;&gt;"","Booking "&amp;I184,IF(E184="Tip","Stylist","Unapplied"))))</f>
        <v>0</v>
      </c>
      <c r="W184" s="39">
        <f>IF(B184="","",IF(G184="","Add - no amount yet",IF(E184="","Add - what was this for?",IF(IF(H184="",FALSE,COUNTIF(Sales!$A$5:$A$1204,H184)=0),"Missing - no sale with that ID",IF(IF(I184="",FALSE,COUNTIF(Appointments!$A$5:$A$1204,I184)=0),"Missing - no booking with that ID",IF(IF(E184="Tip",J184="",FALSE),"Assign - whose tip is it?",IF(IF(E184="Deposit",IF(H184="",I184="",FALSE),FALSE),"Check - deposit not tied to a booking",IF(M184="No","Due - not reconciled yet","OK"))))))))</f>
        <v>0</v>
      </c>
    </row>
    <row r="185" spans="1:23">
      <c r="A185" s="28">
        <f>IF(B185="","",PaymentPrefix&amp;TEXT(ROW()-4,"0000"))</f>
        <v>0</v>
      </c>
      <c r="D185" s="15">
        <f>IF(C185="","",IFERROR(INDEX(Clients!$B$5:$B$504,MATCH(C185,Clients!$A$5:$A$504,0)),"Walk-in"))</f>
        <v>0</v>
      </c>
      <c r="K185" s="15">
        <f>IF(J185="","",IFERROR(INDEX(Staff!$B$5:$B$44,MATCH(J185,Staff!$A$5:$A$44,0)),""))</f>
        <v>0</v>
      </c>
      <c r="O185" s="15">
        <f>IF(B185="","",TEXT(B185,"yyyy-mm"))</f>
        <v>0</v>
      </c>
      <c r="P185" s="25">
        <f>IF(B185="","",WEEKNUM(B185,2))</f>
        <v>0</v>
      </c>
      <c r="Q185" s="38">
        <f>IF(B185="","",IF(E185="Tip","No",IF(E185="Refund","No","Yes")))</f>
        <v>0</v>
      </c>
      <c r="R185" s="25">
        <f>IF(B185="","",IF(E185="Refund",-1,1))</f>
        <v>0</v>
      </c>
      <c r="S185" s="26">
        <f>IF(B185="","",IF(G185="",0,IF(F185="Card",ROUND(G185*CardFeePercent+CardFeeFixed,2),IF(F185="Online deposit",ROUND(G185*CardFeePercent+CardFeeFixed,2),0))))</f>
        <v>0</v>
      </c>
      <c r="T185" s="26">
        <f>IF(B185="","",ROUND(IF(G185="",0,G185)*R185-S185,2))</f>
        <v>0</v>
      </c>
      <c r="U185" s="38">
        <f>IF(B185="","",IF(E185="Tip","Yes","No"))</f>
        <v>0</v>
      </c>
      <c r="V185" s="15">
        <f>IF(B185="","",IF(H185&lt;&gt;"","Sale "&amp;H185,IF(I185&lt;&gt;"","Booking "&amp;I185,IF(E185="Tip","Stylist","Unapplied"))))</f>
        <v>0</v>
      </c>
      <c r="W185" s="39">
        <f>IF(B185="","",IF(G185="","Add - no amount yet",IF(E185="","Add - what was this for?",IF(IF(H185="",FALSE,COUNTIF(Sales!$A$5:$A$1204,H185)=0),"Missing - no sale with that ID",IF(IF(I185="",FALSE,COUNTIF(Appointments!$A$5:$A$1204,I185)=0),"Missing - no booking with that ID",IF(IF(E185="Tip",J185="",FALSE),"Assign - whose tip is it?",IF(IF(E185="Deposit",IF(H185="",I185="",FALSE),FALSE),"Check - deposit not tied to a booking",IF(M185="No","Due - not reconciled yet","OK"))))))))</f>
        <v>0</v>
      </c>
    </row>
    <row r="186" spans="1:23">
      <c r="A186" s="28">
        <f>IF(B186="","",PaymentPrefix&amp;TEXT(ROW()-4,"0000"))</f>
        <v>0</v>
      </c>
      <c r="D186" s="15">
        <f>IF(C186="","",IFERROR(INDEX(Clients!$B$5:$B$504,MATCH(C186,Clients!$A$5:$A$504,0)),"Walk-in"))</f>
        <v>0</v>
      </c>
      <c r="K186" s="15">
        <f>IF(J186="","",IFERROR(INDEX(Staff!$B$5:$B$44,MATCH(J186,Staff!$A$5:$A$44,0)),""))</f>
        <v>0</v>
      </c>
      <c r="O186" s="15">
        <f>IF(B186="","",TEXT(B186,"yyyy-mm"))</f>
        <v>0</v>
      </c>
      <c r="P186" s="25">
        <f>IF(B186="","",WEEKNUM(B186,2))</f>
        <v>0</v>
      </c>
      <c r="Q186" s="38">
        <f>IF(B186="","",IF(E186="Tip","No",IF(E186="Refund","No","Yes")))</f>
        <v>0</v>
      </c>
      <c r="R186" s="25">
        <f>IF(B186="","",IF(E186="Refund",-1,1))</f>
        <v>0</v>
      </c>
      <c r="S186" s="26">
        <f>IF(B186="","",IF(G186="",0,IF(F186="Card",ROUND(G186*CardFeePercent+CardFeeFixed,2),IF(F186="Online deposit",ROUND(G186*CardFeePercent+CardFeeFixed,2),0))))</f>
        <v>0</v>
      </c>
      <c r="T186" s="26">
        <f>IF(B186="","",ROUND(IF(G186="",0,G186)*R186-S186,2))</f>
        <v>0</v>
      </c>
      <c r="U186" s="38">
        <f>IF(B186="","",IF(E186="Tip","Yes","No"))</f>
        <v>0</v>
      </c>
      <c r="V186" s="15">
        <f>IF(B186="","",IF(H186&lt;&gt;"","Sale "&amp;H186,IF(I186&lt;&gt;"","Booking "&amp;I186,IF(E186="Tip","Stylist","Unapplied"))))</f>
        <v>0</v>
      </c>
      <c r="W186" s="39">
        <f>IF(B186="","",IF(G186="","Add - no amount yet",IF(E186="","Add - what was this for?",IF(IF(H186="",FALSE,COUNTIF(Sales!$A$5:$A$1204,H186)=0),"Missing - no sale with that ID",IF(IF(I186="",FALSE,COUNTIF(Appointments!$A$5:$A$1204,I186)=0),"Missing - no booking with that ID",IF(IF(E186="Tip",J186="",FALSE),"Assign - whose tip is it?",IF(IF(E186="Deposit",IF(H186="",I186="",FALSE),FALSE),"Check - deposit not tied to a booking",IF(M186="No","Due - not reconciled yet","OK"))))))))</f>
        <v>0</v>
      </c>
    </row>
    <row r="187" spans="1:23">
      <c r="A187" s="28">
        <f>IF(B187="","",PaymentPrefix&amp;TEXT(ROW()-4,"0000"))</f>
        <v>0</v>
      </c>
      <c r="D187" s="15">
        <f>IF(C187="","",IFERROR(INDEX(Clients!$B$5:$B$504,MATCH(C187,Clients!$A$5:$A$504,0)),"Walk-in"))</f>
        <v>0</v>
      </c>
      <c r="K187" s="15">
        <f>IF(J187="","",IFERROR(INDEX(Staff!$B$5:$B$44,MATCH(J187,Staff!$A$5:$A$44,0)),""))</f>
        <v>0</v>
      </c>
      <c r="O187" s="15">
        <f>IF(B187="","",TEXT(B187,"yyyy-mm"))</f>
        <v>0</v>
      </c>
      <c r="P187" s="25">
        <f>IF(B187="","",WEEKNUM(B187,2))</f>
        <v>0</v>
      </c>
      <c r="Q187" s="38">
        <f>IF(B187="","",IF(E187="Tip","No",IF(E187="Refund","No","Yes")))</f>
        <v>0</v>
      </c>
      <c r="R187" s="25">
        <f>IF(B187="","",IF(E187="Refund",-1,1))</f>
        <v>0</v>
      </c>
      <c r="S187" s="26">
        <f>IF(B187="","",IF(G187="",0,IF(F187="Card",ROUND(G187*CardFeePercent+CardFeeFixed,2),IF(F187="Online deposit",ROUND(G187*CardFeePercent+CardFeeFixed,2),0))))</f>
        <v>0</v>
      </c>
      <c r="T187" s="26">
        <f>IF(B187="","",ROUND(IF(G187="",0,G187)*R187-S187,2))</f>
        <v>0</v>
      </c>
      <c r="U187" s="38">
        <f>IF(B187="","",IF(E187="Tip","Yes","No"))</f>
        <v>0</v>
      </c>
      <c r="V187" s="15">
        <f>IF(B187="","",IF(H187&lt;&gt;"","Sale "&amp;H187,IF(I187&lt;&gt;"","Booking "&amp;I187,IF(E187="Tip","Stylist","Unapplied"))))</f>
        <v>0</v>
      </c>
      <c r="W187" s="39">
        <f>IF(B187="","",IF(G187="","Add - no amount yet",IF(E187="","Add - what was this for?",IF(IF(H187="",FALSE,COUNTIF(Sales!$A$5:$A$1204,H187)=0),"Missing - no sale with that ID",IF(IF(I187="",FALSE,COUNTIF(Appointments!$A$5:$A$1204,I187)=0),"Missing - no booking with that ID",IF(IF(E187="Tip",J187="",FALSE),"Assign - whose tip is it?",IF(IF(E187="Deposit",IF(H187="",I187="",FALSE),FALSE),"Check - deposit not tied to a booking",IF(M187="No","Due - not reconciled yet","OK"))))))))</f>
        <v>0</v>
      </c>
    </row>
    <row r="188" spans="1:23">
      <c r="A188" s="28">
        <f>IF(B188="","",PaymentPrefix&amp;TEXT(ROW()-4,"0000"))</f>
        <v>0</v>
      </c>
      <c r="D188" s="15">
        <f>IF(C188="","",IFERROR(INDEX(Clients!$B$5:$B$504,MATCH(C188,Clients!$A$5:$A$504,0)),"Walk-in"))</f>
        <v>0</v>
      </c>
      <c r="K188" s="15">
        <f>IF(J188="","",IFERROR(INDEX(Staff!$B$5:$B$44,MATCH(J188,Staff!$A$5:$A$44,0)),""))</f>
        <v>0</v>
      </c>
      <c r="O188" s="15">
        <f>IF(B188="","",TEXT(B188,"yyyy-mm"))</f>
        <v>0</v>
      </c>
      <c r="P188" s="25">
        <f>IF(B188="","",WEEKNUM(B188,2))</f>
        <v>0</v>
      </c>
      <c r="Q188" s="38">
        <f>IF(B188="","",IF(E188="Tip","No",IF(E188="Refund","No","Yes")))</f>
        <v>0</v>
      </c>
      <c r="R188" s="25">
        <f>IF(B188="","",IF(E188="Refund",-1,1))</f>
        <v>0</v>
      </c>
      <c r="S188" s="26">
        <f>IF(B188="","",IF(G188="",0,IF(F188="Card",ROUND(G188*CardFeePercent+CardFeeFixed,2),IF(F188="Online deposit",ROUND(G188*CardFeePercent+CardFeeFixed,2),0))))</f>
        <v>0</v>
      </c>
      <c r="T188" s="26">
        <f>IF(B188="","",ROUND(IF(G188="",0,G188)*R188-S188,2))</f>
        <v>0</v>
      </c>
      <c r="U188" s="38">
        <f>IF(B188="","",IF(E188="Tip","Yes","No"))</f>
        <v>0</v>
      </c>
      <c r="V188" s="15">
        <f>IF(B188="","",IF(H188&lt;&gt;"","Sale "&amp;H188,IF(I188&lt;&gt;"","Booking "&amp;I188,IF(E188="Tip","Stylist","Unapplied"))))</f>
        <v>0</v>
      </c>
      <c r="W188" s="39">
        <f>IF(B188="","",IF(G188="","Add - no amount yet",IF(E188="","Add - what was this for?",IF(IF(H188="",FALSE,COUNTIF(Sales!$A$5:$A$1204,H188)=0),"Missing - no sale with that ID",IF(IF(I188="",FALSE,COUNTIF(Appointments!$A$5:$A$1204,I188)=0),"Missing - no booking with that ID",IF(IF(E188="Tip",J188="",FALSE),"Assign - whose tip is it?",IF(IF(E188="Deposit",IF(H188="",I188="",FALSE),FALSE),"Check - deposit not tied to a booking",IF(M188="No","Due - not reconciled yet","OK"))))))))</f>
        <v>0</v>
      </c>
    </row>
    <row r="189" spans="1:23">
      <c r="A189" s="28">
        <f>IF(B189="","",PaymentPrefix&amp;TEXT(ROW()-4,"0000"))</f>
        <v>0</v>
      </c>
      <c r="D189" s="15">
        <f>IF(C189="","",IFERROR(INDEX(Clients!$B$5:$B$504,MATCH(C189,Clients!$A$5:$A$504,0)),"Walk-in"))</f>
        <v>0</v>
      </c>
      <c r="K189" s="15">
        <f>IF(J189="","",IFERROR(INDEX(Staff!$B$5:$B$44,MATCH(J189,Staff!$A$5:$A$44,0)),""))</f>
        <v>0</v>
      </c>
      <c r="O189" s="15">
        <f>IF(B189="","",TEXT(B189,"yyyy-mm"))</f>
        <v>0</v>
      </c>
      <c r="P189" s="25">
        <f>IF(B189="","",WEEKNUM(B189,2))</f>
        <v>0</v>
      </c>
      <c r="Q189" s="38">
        <f>IF(B189="","",IF(E189="Tip","No",IF(E189="Refund","No","Yes")))</f>
        <v>0</v>
      </c>
      <c r="R189" s="25">
        <f>IF(B189="","",IF(E189="Refund",-1,1))</f>
        <v>0</v>
      </c>
      <c r="S189" s="26">
        <f>IF(B189="","",IF(G189="",0,IF(F189="Card",ROUND(G189*CardFeePercent+CardFeeFixed,2),IF(F189="Online deposit",ROUND(G189*CardFeePercent+CardFeeFixed,2),0))))</f>
        <v>0</v>
      </c>
      <c r="T189" s="26">
        <f>IF(B189="","",ROUND(IF(G189="",0,G189)*R189-S189,2))</f>
        <v>0</v>
      </c>
      <c r="U189" s="38">
        <f>IF(B189="","",IF(E189="Tip","Yes","No"))</f>
        <v>0</v>
      </c>
      <c r="V189" s="15">
        <f>IF(B189="","",IF(H189&lt;&gt;"","Sale "&amp;H189,IF(I189&lt;&gt;"","Booking "&amp;I189,IF(E189="Tip","Stylist","Unapplied"))))</f>
        <v>0</v>
      </c>
      <c r="W189" s="39">
        <f>IF(B189="","",IF(G189="","Add - no amount yet",IF(E189="","Add - what was this for?",IF(IF(H189="",FALSE,COUNTIF(Sales!$A$5:$A$1204,H189)=0),"Missing - no sale with that ID",IF(IF(I189="",FALSE,COUNTIF(Appointments!$A$5:$A$1204,I189)=0),"Missing - no booking with that ID",IF(IF(E189="Tip",J189="",FALSE),"Assign - whose tip is it?",IF(IF(E189="Deposit",IF(H189="",I189="",FALSE),FALSE),"Check - deposit not tied to a booking",IF(M189="No","Due - not reconciled yet","OK"))))))))</f>
        <v>0</v>
      </c>
    </row>
    <row r="190" spans="1:23">
      <c r="A190" s="28">
        <f>IF(B190="","",PaymentPrefix&amp;TEXT(ROW()-4,"0000"))</f>
        <v>0</v>
      </c>
      <c r="D190" s="15">
        <f>IF(C190="","",IFERROR(INDEX(Clients!$B$5:$B$504,MATCH(C190,Clients!$A$5:$A$504,0)),"Walk-in"))</f>
        <v>0</v>
      </c>
      <c r="K190" s="15">
        <f>IF(J190="","",IFERROR(INDEX(Staff!$B$5:$B$44,MATCH(J190,Staff!$A$5:$A$44,0)),""))</f>
        <v>0</v>
      </c>
      <c r="O190" s="15">
        <f>IF(B190="","",TEXT(B190,"yyyy-mm"))</f>
        <v>0</v>
      </c>
      <c r="P190" s="25">
        <f>IF(B190="","",WEEKNUM(B190,2))</f>
        <v>0</v>
      </c>
      <c r="Q190" s="38">
        <f>IF(B190="","",IF(E190="Tip","No",IF(E190="Refund","No","Yes")))</f>
        <v>0</v>
      </c>
      <c r="R190" s="25">
        <f>IF(B190="","",IF(E190="Refund",-1,1))</f>
        <v>0</v>
      </c>
      <c r="S190" s="26">
        <f>IF(B190="","",IF(G190="",0,IF(F190="Card",ROUND(G190*CardFeePercent+CardFeeFixed,2),IF(F190="Online deposit",ROUND(G190*CardFeePercent+CardFeeFixed,2),0))))</f>
        <v>0</v>
      </c>
      <c r="T190" s="26">
        <f>IF(B190="","",ROUND(IF(G190="",0,G190)*R190-S190,2))</f>
        <v>0</v>
      </c>
      <c r="U190" s="38">
        <f>IF(B190="","",IF(E190="Tip","Yes","No"))</f>
        <v>0</v>
      </c>
      <c r="V190" s="15">
        <f>IF(B190="","",IF(H190&lt;&gt;"","Sale "&amp;H190,IF(I190&lt;&gt;"","Booking "&amp;I190,IF(E190="Tip","Stylist","Unapplied"))))</f>
        <v>0</v>
      </c>
      <c r="W190" s="39">
        <f>IF(B190="","",IF(G190="","Add - no amount yet",IF(E190="","Add - what was this for?",IF(IF(H190="",FALSE,COUNTIF(Sales!$A$5:$A$1204,H190)=0),"Missing - no sale with that ID",IF(IF(I190="",FALSE,COUNTIF(Appointments!$A$5:$A$1204,I190)=0),"Missing - no booking with that ID",IF(IF(E190="Tip",J190="",FALSE),"Assign - whose tip is it?",IF(IF(E190="Deposit",IF(H190="",I190="",FALSE),FALSE),"Check - deposit not tied to a booking",IF(M190="No","Due - not reconciled yet","OK"))))))))</f>
        <v>0</v>
      </c>
    </row>
    <row r="191" spans="1:23">
      <c r="A191" s="28">
        <f>IF(B191="","",PaymentPrefix&amp;TEXT(ROW()-4,"0000"))</f>
        <v>0</v>
      </c>
      <c r="D191" s="15">
        <f>IF(C191="","",IFERROR(INDEX(Clients!$B$5:$B$504,MATCH(C191,Clients!$A$5:$A$504,0)),"Walk-in"))</f>
        <v>0</v>
      </c>
      <c r="K191" s="15">
        <f>IF(J191="","",IFERROR(INDEX(Staff!$B$5:$B$44,MATCH(J191,Staff!$A$5:$A$44,0)),""))</f>
        <v>0</v>
      </c>
      <c r="O191" s="15">
        <f>IF(B191="","",TEXT(B191,"yyyy-mm"))</f>
        <v>0</v>
      </c>
      <c r="P191" s="25">
        <f>IF(B191="","",WEEKNUM(B191,2))</f>
        <v>0</v>
      </c>
      <c r="Q191" s="38">
        <f>IF(B191="","",IF(E191="Tip","No",IF(E191="Refund","No","Yes")))</f>
        <v>0</v>
      </c>
      <c r="R191" s="25">
        <f>IF(B191="","",IF(E191="Refund",-1,1))</f>
        <v>0</v>
      </c>
      <c r="S191" s="26">
        <f>IF(B191="","",IF(G191="",0,IF(F191="Card",ROUND(G191*CardFeePercent+CardFeeFixed,2),IF(F191="Online deposit",ROUND(G191*CardFeePercent+CardFeeFixed,2),0))))</f>
        <v>0</v>
      </c>
      <c r="T191" s="26">
        <f>IF(B191="","",ROUND(IF(G191="",0,G191)*R191-S191,2))</f>
        <v>0</v>
      </c>
      <c r="U191" s="38">
        <f>IF(B191="","",IF(E191="Tip","Yes","No"))</f>
        <v>0</v>
      </c>
      <c r="V191" s="15">
        <f>IF(B191="","",IF(H191&lt;&gt;"","Sale "&amp;H191,IF(I191&lt;&gt;"","Booking "&amp;I191,IF(E191="Tip","Stylist","Unapplied"))))</f>
        <v>0</v>
      </c>
      <c r="W191" s="39">
        <f>IF(B191="","",IF(G191="","Add - no amount yet",IF(E191="","Add - what was this for?",IF(IF(H191="",FALSE,COUNTIF(Sales!$A$5:$A$1204,H191)=0),"Missing - no sale with that ID",IF(IF(I191="",FALSE,COUNTIF(Appointments!$A$5:$A$1204,I191)=0),"Missing - no booking with that ID",IF(IF(E191="Tip",J191="",FALSE),"Assign - whose tip is it?",IF(IF(E191="Deposit",IF(H191="",I191="",FALSE),FALSE),"Check - deposit not tied to a booking",IF(M191="No","Due - not reconciled yet","OK"))))))))</f>
        <v>0</v>
      </c>
    </row>
    <row r="192" spans="1:23">
      <c r="A192" s="28">
        <f>IF(B192="","",PaymentPrefix&amp;TEXT(ROW()-4,"0000"))</f>
        <v>0</v>
      </c>
      <c r="D192" s="15">
        <f>IF(C192="","",IFERROR(INDEX(Clients!$B$5:$B$504,MATCH(C192,Clients!$A$5:$A$504,0)),"Walk-in"))</f>
        <v>0</v>
      </c>
      <c r="K192" s="15">
        <f>IF(J192="","",IFERROR(INDEX(Staff!$B$5:$B$44,MATCH(J192,Staff!$A$5:$A$44,0)),""))</f>
        <v>0</v>
      </c>
      <c r="O192" s="15">
        <f>IF(B192="","",TEXT(B192,"yyyy-mm"))</f>
        <v>0</v>
      </c>
      <c r="P192" s="25">
        <f>IF(B192="","",WEEKNUM(B192,2))</f>
        <v>0</v>
      </c>
      <c r="Q192" s="38">
        <f>IF(B192="","",IF(E192="Tip","No",IF(E192="Refund","No","Yes")))</f>
        <v>0</v>
      </c>
      <c r="R192" s="25">
        <f>IF(B192="","",IF(E192="Refund",-1,1))</f>
        <v>0</v>
      </c>
      <c r="S192" s="26">
        <f>IF(B192="","",IF(G192="",0,IF(F192="Card",ROUND(G192*CardFeePercent+CardFeeFixed,2),IF(F192="Online deposit",ROUND(G192*CardFeePercent+CardFeeFixed,2),0))))</f>
        <v>0</v>
      </c>
      <c r="T192" s="26">
        <f>IF(B192="","",ROUND(IF(G192="",0,G192)*R192-S192,2))</f>
        <v>0</v>
      </c>
      <c r="U192" s="38">
        <f>IF(B192="","",IF(E192="Tip","Yes","No"))</f>
        <v>0</v>
      </c>
      <c r="V192" s="15">
        <f>IF(B192="","",IF(H192&lt;&gt;"","Sale "&amp;H192,IF(I192&lt;&gt;"","Booking "&amp;I192,IF(E192="Tip","Stylist","Unapplied"))))</f>
        <v>0</v>
      </c>
      <c r="W192" s="39">
        <f>IF(B192="","",IF(G192="","Add - no amount yet",IF(E192="","Add - what was this for?",IF(IF(H192="",FALSE,COUNTIF(Sales!$A$5:$A$1204,H192)=0),"Missing - no sale with that ID",IF(IF(I192="",FALSE,COUNTIF(Appointments!$A$5:$A$1204,I192)=0),"Missing - no booking with that ID",IF(IF(E192="Tip",J192="",FALSE),"Assign - whose tip is it?",IF(IF(E192="Deposit",IF(H192="",I192="",FALSE),FALSE),"Check - deposit not tied to a booking",IF(M192="No","Due - not reconciled yet","OK"))))))))</f>
        <v>0</v>
      </c>
    </row>
    <row r="193" spans="1:23">
      <c r="A193" s="28">
        <f>IF(B193="","",PaymentPrefix&amp;TEXT(ROW()-4,"0000"))</f>
        <v>0</v>
      </c>
      <c r="D193" s="15">
        <f>IF(C193="","",IFERROR(INDEX(Clients!$B$5:$B$504,MATCH(C193,Clients!$A$5:$A$504,0)),"Walk-in"))</f>
        <v>0</v>
      </c>
      <c r="K193" s="15">
        <f>IF(J193="","",IFERROR(INDEX(Staff!$B$5:$B$44,MATCH(J193,Staff!$A$5:$A$44,0)),""))</f>
        <v>0</v>
      </c>
      <c r="O193" s="15">
        <f>IF(B193="","",TEXT(B193,"yyyy-mm"))</f>
        <v>0</v>
      </c>
      <c r="P193" s="25">
        <f>IF(B193="","",WEEKNUM(B193,2))</f>
        <v>0</v>
      </c>
      <c r="Q193" s="38">
        <f>IF(B193="","",IF(E193="Tip","No",IF(E193="Refund","No","Yes")))</f>
        <v>0</v>
      </c>
      <c r="R193" s="25">
        <f>IF(B193="","",IF(E193="Refund",-1,1))</f>
        <v>0</v>
      </c>
      <c r="S193" s="26">
        <f>IF(B193="","",IF(G193="",0,IF(F193="Card",ROUND(G193*CardFeePercent+CardFeeFixed,2),IF(F193="Online deposit",ROUND(G193*CardFeePercent+CardFeeFixed,2),0))))</f>
        <v>0</v>
      </c>
      <c r="T193" s="26">
        <f>IF(B193="","",ROUND(IF(G193="",0,G193)*R193-S193,2))</f>
        <v>0</v>
      </c>
      <c r="U193" s="38">
        <f>IF(B193="","",IF(E193="Tip","Yes","No"))</f>
        <v>0</v>
      </c>
      <c r="V193" s="15">
        <f>IF(B193="","",IF(H193&lt;&gt;"","Sale "&amp;H193,IF(I193&lt;&gt;"","Booking "&amp;I193,IF(E193="Tip","Stylist","Unapplied"))))</f>
        <v>0</v>
      </c>
      <c r="W193" s="39">
        <f>IF(B193="","",IF(G193="","Add - no amount yet",IF(E193="","Add - what was this for?",IF(IF(H193="",FALSE,COUNTIF(Sales!$A$5:$A$1204,H193)=0),"Missing - no sale with that ID",IF(IF(I193="",FALSE,COUNTIF(Appointments!$A$5:$A$1204,I193)=0),"Missing - no booking with that ID",IF(IF(E193="Tip",J193="",FALSE),"Assign - whose tip is it?",IF(IF(E193="Deposit",IF(H193="",I193="",FALSE),FALSE),"Check - deposit not tied to a booking",IF(M193="No","Due - not reconciled yet","OK"))))))))</f>
        <v>0</v>
      </c>
    </row>
    <row r="194" spans="1:23">
      <c r="A194" s="28">
        <f>IF(B194="","",PaymentPrefix&amp;TEXT(ROW()-4,"0000"))</f>
        <v>0</v>
      </c>
      <c r="D194" s="15">
        <f>IF(C194="","",IFERROR(INDEX(Clients!$B$5:$B$504,MATCH(C194,Clients!$A$5:$A$504,0)),"Walk-in"))</f>
        <v>0</v>
      </c>
      <c r="K194" s="15">
        <f>IF(J194="","",IFERROR(INDEX(Staff!$B$5:$B$44,MATCH(J194,Staff!$A$5:$A$44,0)),""))</f>
        <v>0</v>
      </c>
      <c r="O194" s="15">
        <f>IF(B194="","",TEXT(B194,"yyyy-mm"))</f>
        <v>0</v>
      </c>
      <c r="P194" s="25">
        <f>IF(B194="","",WEEKNUM(B194,2))</f>
        <v>0</v>
      </c>
      <c r="Q194" s="38">
        <f>IF(B194="","",IF(E194="Tip","No",IF(E194="Refund","No","Yes")))</f>
        <v>0</v>
      </c>
      <c r="R194" s="25">
        <f>IF(B194="","",IF(E194="Refund",-1,1))</f>
        <v>0</v>
      </c>
      <c r="S194" s="26">
        <f>IF(B194="","",IF(G194="",0,IF(F194="Card",ROUND(G194*CardFeePercent+CardFeeFixed,2),IF(F194="Online deposit",ROUND(G194*CardFeePercent+CardFeeFixed,2),0))))</f>
        <v>0</v>
      </c>
      <c r="T194" s="26">
        <f>IF(B194="","",ROUND(IF(G194="",0,G194)*R194-S194,2))</f>
        <v>0</v>
      </c>
      <c r="U194" s="38">
        <f>IF(B194="","",IF(E194="Tip","Yes","No"))</f>
        <v>0</v>
      </c>
      <c r="V194" s="15">
        <f>IF(B194="","",IF(H194&lt;&gt;"","Sale "&amp;H194,IF(I194&lt;&gt;"","Booking "&amp;I194,IF(E194="Tip","Stylist","Unapplied"))))</f>
        <v>0</v>
      </c>
      <c r="W194" s="39">
        <f>IF(B194="","",IF(G194="","Add - no amount yet",IF(E194="","Add - what was this for?",IF(IF(H194="",FALSE,COUNTIF(Sales!$A$5:$A$1204,H194)=0),"Missing - no sale with that ID",IF(IF(I194="",FALSE,COUNTIF(Appointments!$A$5:$A$1204,I194)=0),"Missing - no booking with that ID",IF(IF(E194="Tip",J194="",FALSE),"Assign - whose tip is it?",IF(IF(E194="Deposit",IF(H194="",I194="",FALSE),FALSE),"Check - deposit not tied to a booking",IF(M194="No","Due - not reconciled yet","OK"))))))))</f>
        <v>0</v>
      </c>
    </row>
    <row r="195" spans="1:23">
      <c r="A195" s="28">
        <f>IF(B195="","",PaymentPrefix&amp;TEXT(ROW()-4,"0000"))</f>
        <v>0</v>
      </c>
      <c r="D195" s="15">
        <f>IF(C195="","",IFERROR(INDEX(Clients!$B$5:$B$504,MATCH(C195,Clients!$A$5:$A$504,0)),"Walk-in"))</f>
        <v>0</v>
      </c>
      <c r="K195" s="15">
        <f>IF(J195="","",IFERROR(INDEX(Staff!$B$5:$B$44,MATCH(J195,Staff!$A$5:$A$44,0)),""))</f>
        <v>0</v>
      </c>
      <c r="O195" s="15">
        <f>IF(B195="","",TEXT(B195,"yyyy-mm"))</f>
        <v>0</v>
      </c>
      <c r="P195" s="25">
        <f>IF(B195="","",WEEKNUM(B195,2))</f>
        <v>0</v>
      </c>
      <c r="Q195" s="38">
        <f>IF(B195="","",IF(E195="Tip","No",IF(E195="Refund","No","Yes")))</f>
        <v>0</v>
      </c>
      <c r="R195" s="25">
        <f>IF(B195="","",IF(E195="Refund",-1,1))</f>
        <v>0</v>
      </c>
      <c r="S195" s="26">
        <f>IF(B195="","",IF(G195="",0,IF(F195="Card",ROUND(G195*CardFeePercent+CardFeeFixed,2),IF(F195="Online deposit",ROUND(G195*CardFeePercent+CardFeeFixed,2),0))))</f>
        <v>0</v>
      </c>
      <c r="T195" s="26">
        <f>IF(B195="","",ROUND(IF(G195="",0,G195)*R195-S195,2))</f>
        <v>0</v>
      </c>
      <c r="U195" s="38">
        <f>IF(B195="","",IF(E195="Tip","Yes","No"))</f>
        <v>0</v>
      </c>
      <c r="V195" s="15">
        <f>IF(B195="","",IF(H195&lt;&gt;"","Sale "&amp;H195,IF(I195&lt;&gt;"","Booking "&amp;I195,IF(E195="Tip","Stylist","Unapplied"))))</f>
        <v>0</v>
      </c>
      <c r="W195" s="39">
        <f>IF(B195="","",IF(G195="","Add - no amount yet",IF(E195="","Add - what was this for?",IF(IF(H195="",FALSE,COUNTIF(Sales!$A$5:$A$1204,H195)=0),"Missing - no sale with that ID",IF(IF(I195="",FALSE,COUNTIF(Appointments!$A$5:$A$1204,I195)=0),"Missing - no booking with that ID",IF(IF(E195="Tip",J195="",FALSE),"Assign - whose tip is it?",IF(IF(E195="Deposit",IF(H195="",I195="",FALSE),FALSE),"Check - deposit not tied to a booking",IF(M195="No","Due - not reconciled yet","OK"))))))))</f>
        <v>0</v>
      </c>
    </row>
    <row r="196" spans="1:23">
      <c r="A196" s="28">
        <f>IF(B196="","",PaymentPrefix&amp;TEXT(ROW()-4,"0000"))</f>
        <v>0</v>
      </c>
      <c r="D196" s="15">
        <f>IF(C196="","",IFERROR(INDEX(Clients!$B$5:$B$504,MATCH(C196,Clients!$A$5:$A$504,0)),"Walk-in"))</f>
        <v>0</v>
      </c>
      <c r="K196" s="15">
        <f>IF(J196="","",IFERROR(INDEX(Staff!$B$5:$B$44,MATCH(J196,Staff!$A$5:$A$44,0)),""))</f>
        <v>0</v>
      </c>
      <c r="O196" s="15">
        <f>IF(B196="","",TEXT(B196,"yyyy-mm"))</f>
        <v>0</v>
      </c>
      <c r="P196" s="25">
        <f>IF(B196="","",WEEKNUM(B196,2))</f>
        <v>0</v>
      </c>
      <c r="Q196" s="38">
        <f>IF(B196="","",IF(E196="Tip","No",IF(E196="Refund","No","Yes")))</f>
        <v>0</v>
      </c>
      <c r="R196" s="25">
        <f>IF(B196="","",IF(E196="Refund",-1,1))</f>
        <v>0</v>
      </c>
      <c r="S196" s="26">
        <f>IF(B196="","",IF(G196="",0,IF(F196="Card",ROUND(G196*CardFeePercent+CardFeeFixed,2),IF(F196="Online deposit",ROUND(G196*CardFeePercent+CardFeeFixed,2),0))))</f>
        <v>0</v>
      </c>
      <c r="T196" s="26">
        <f>IF(B196="","",ROUND(IF(G196="",0,G196)*R196-S196,2))</f>
        <v>0</v>
      </c>
      <c r="U196" s="38">
        <f>IF(B196="","",IF(E196="Tip","Yes","No"))</f>
        <v>0</v>
      </c>
      <c r="V196" s="15">
        <f>IF(B196="","",IF(H196&lt;&gt;"","Sale "&amp;H196,IF(I196&lt;&gt;"","Booking "&amp;I196,IF(E196="Tip","Stylist","Unapplied"))))</f>
        <v>0</v>
      </c>
      <c r="W196" s="39">
        <f>IF(B196="","",IF(G196="","Add - no amount yet",IF(E196="","Add - what was this for?",IF(IF(H196="",FALSE,COUNTIF(Sales!$A$5:$A$1204,H196)=0),"Missing - no sale with that ID",IF(IF(I196="",FALSE,COUNTIF(Appointments!$A$5:$A$1204,I196)=0),"Missing - no booking with that ID",IF(IF(E196="Tip",J196="",FALSE),"Assign - whose tip is it?",IF(IF(E196="Deposit",IF(H196="",I196="",FALSE),FALSE),"Check - deposit not tied to a booking",IF(M196="No","Due - not reconciled yet","OK"))))))))</f>
        <v>0</v>
      </c>
    </row>
    <row r="197" spans="1:23">
      <c r="A197" s="28">
        <f>IF(B197="","",PaymentPrefix&amp;TEXT(ROW()-4,"0000"))</f>
        <v>0</v>
      </c>
      <c r="D197" s="15">
        <f>IF(C197="","",IFERROR(INDEX(Clients!$B$5:$B$504,MATCH(C197,Clients!$A$5:$A$504,0)),"Walk-in"))</f>
        <v>0</v>
      </c>
      <c r="K197" s="15">
        <f>IF(J197="","",IFERROR(INDEX(Staff!$B$5:$B$44,MATCH(J197,Staff!$A$5:$A$44,0)),""))</f>
        <v>0</v>
      </c>
      <c r="O197" s="15">
        <f>IF(B197="","",TEXT(B197,"yyyy-mm"))</f>
        <v>0</v>
      </c>
      <c r="P197" s="25">
        <f>IF(B197="","",WEEKNUM(B197,2))</f>
        <v>0</v>
      </c>
      <c r="Q197" s="38">
        <f>IF(B197="","",IF(E197="Tip","No",IF(E197="Refund","No","Yes")))</f>
        <v>0</v>
      </c>
      <c r="R197" s="25">
        <f>IF(B197="","",IF(E197="Refund",-1,1))</f>
        <v>0</v>
      </c>
      <c r="S197" s="26">
        <f>IF(B197="","",IF(G197="",0,IF(F197="Card",ROUND(G197*CardFeePercent+CardFeeFixed,2),IF(F197="Online deposit",ROUND(G197*CardFeePercent+CardFeeFixed,2),0))))</f>
        <v>0</v>
      </c>
      <c r="T197" s="26">
        <f>IF(B197="","",ROUND(IF(G197="",0,G197)*R197-S197,2))</f>
        <v>0</v>
      </c>
      <c r="U197" s="38">
        <f>IF(B197="","",IF(E197="Tip","Yes","No"))</f>
        <v>0</v>
      </c>
      <c r="V197" s="15">
        <f>IF(B197="","",IF(H197&lt;&gt;"","Sale "&amp;H197,IF(I197&lt;&gt;"","Booking "&amp;I197,IF(E197="Tip","Stylist","Unapplied"))))</f>
        <v>0</v>
      </c>
      <c r="W197" s="39">
        <f>IF(B197="","",IF(G197="","Add - no amount yet",IF(E197="","Add - what was this for?",IF(IF(H197="",FALSE,COUNTIF(Sales!$A$5:$A$1204,H197)=0),"Missing - no sale with that ID",IF(IF(I197="",FALSE,COUNTIF(Appointments!$A$5:$A$1204,I197)=0),"Missing - no booking with that ID",IF(IF(E197="Tip",J197="",FALSE),"Assign - whose tip is it?",IF(IF(E197="Deposit",IF(H197="",I197="",FALSE),FALSE),"Check - deposit not tied to a booking",IF(M197="No","Due - not reconciled yet","OK"))))))))</f>
        <v>0</v>
      </c>
    </row>
    <row r="198" spans="1:23">
      <c r="A198" s="28">
        <f>IF(B198="","",PaymentPrefix&amp;TEXT(ROW()-4,"0000"))</f>
        <v>0</v>
      </c>
      <c r="D198" s="15">
        <f>IF(C198="","",IFERROR(INDEX(Clients!$B$5:$B$504,MATCH(C198,Clients!$A$5:$A$504,0)),"Walk-in"))</f>
        <v>0</v>
      </c>
      <c r="K198" s="15">
        <f>IF(J198="","",IFERROR(INDEX(Staff!$B$5:$B$44,MATCH(J198,Staff!$A$5:$A$44,0)),""))</f>
        <v>0</v>
      </c>
      <c r="O198" s="15">
        <f>IF(B198="","",TEXT(B198,"yyyy-mm"))</f>
        <v>0</v>
      </c>
      <c r="P198" s="25">
        <f>IF(B198="","",WEEKNUM(B198,2))</f>
        <v>0</v>
      </c>
      <c r="Q198" s="38">
        <f>IF(B198="","",IF(E198="Tip","No",IF(E198="Refund","No","Yes")))</f>
        <v>0</v>
      </c>
      <c r="R198" s="25">
        <f>IF(B198="","",IF(E198="Refund",-1,1))</f>
        <v>0</v>
      </c>
      <c r="S198" s="26">
        <f>IF(B198="","",IF(G198="",0,IF(F198="Card",ROUND(G198*CardFeePercent+CardFeeFixed,2),IF(F198="Online deposit",ROUND(G198*CardFeePercent+CardFeeFixed,2),0))))</f>
        <v>0</v>
      </c>
      <c r="T198" s="26">
        <f>IF(B198="","",ROUND(IF(G198="",0,G198)*R198-S198,2))</f>
        <v>0</v>
      </c>
      <c r="U198" s="38">
        <f>IF(B198="","",IF(E198="Tip","Yes","No"))</f>
        <v>0</v>
      </c>
      <c r="V198" s="15">
        <f>IF(B198="","",IF(H198&lt;&gt;"","Sale "&amp;H198,IF(I198&lt;&gt;"","Booking "&amp;I198,IF(E198="Tip","Stylist","Unapplied"))))</f>
        <v>0</v>
      </c>
      <c r="W198" s="39">
        <f>IF(B198="","",IF(G198="","Add - no amount yet",IF(E198="","Add - what was this for?",IF(IF(H198="",FALSE,COUNTIF(Sales!$A$5:$A$1204,H198)=0),"Missing - no sale with that ID",IF(IF(I198="",FALSE,COUNTIF(Appointments!$A$5:$A$1204,I198)=0),"Missing - no booking with that ID",IF(IF(E198="Tip",J198="",FALSE),"Assign - whose tip is it?",IF(IF(E198="Deposit",IF(H198="",I198="",FALSE),FALSE),"Check - deposit not tied to a booking",IF(M198="No","Due - not reconciled yet","OK"))))))))</f>
        <v>0</v>
      </c>
    </row>
    <row r="199" spans="1:23">
      <c r="A199" s="28">
        <f>IF(B199="","",PaymentPrefix&amp;TEXT(ROW()-4,"0000"))</f>
        <v>0</v>
      </c>
      <c r="D199" s="15">
        <f>IF(C199="","",IFERROR(INDEX(Clients!$B$5:$B$504,MATCH(C199,Clients!$A$5:$A$504,0)),"Walk-in"))</f>
        <v>0</v>
      </c>
      <c r="K199" s="15">
        <f>IF(J199="","",IFERROR(INDEX(Staff!$B$5:$B$44,MATCH(J199,Staff!$A$5:$A$44,0)),""))</f>
        <v>0</v>
      </c>
      <c r="O199" s="15">
        <f>IF(B199="","",TEXT(B199,"yyyy-mm"))</f>
        <v>0</v>
      </c>
      <c r="P199" s="25">
        <f>IF(B199="","",WEEKNUM(B199,2))</f>
        <v>0</v>
      </c>
      <c r="Q199" s="38">
        <f>IF(B199="","",IF(E199="Tip","No",IF(E199="Refund","No","Yes")))</f>
        <v>0</v>
      </c>
      <c r="R199" s="25">
        <f>IF(B199="","",IF(E199="Refund",-1,1))</f>
        <v>0</v>
      </c>
      <c r="S199" s="26">
        <f>IF(B199="","",IF(G199="",0,IF(F199="Card",ROUND(G199*CardFeePercent+CardFeeFixed,2),IF(F199="Online deposit",ROUND(G199*CardFeePercent+CardFeeFixed,2),0))))</f>
        <v>0</v>
      </c>
      <c r="T199" s="26">
        <f>IF(B199="","",ROUND(IF(G199="",0,G199)*R199-S199,2))</f>
        <v>0</v>
      </c>
      <c r="U199" s="38">
        <f>IF(B199="","",IF(E199="Tip","Yes","No"))</f>
        <v>0</v>
      </c>
      <c r="V199" s="15">
        <f>IF(B199="","",IF(H199&lt;&gt;"","Sale "&amp;H199,IF(I199&lt;&gt;"","Booking "&amp;I199,IF(E199="Tip","Stylist","Unapplied"))))</f>
        <v>0</v>
      </c>
      <c r="W199" s="39">
        <f>IF(B199="","",IF(G199="","Add - no amount yet",IF(E199="","Add - what was this for?",IF(IF(H199="",FALSE,COUNTIF(Sales!$A$5:$A$1204,H199)=0),"Missing - no sale with that ID",IF(IF(I199="",FALSE,COUNTIF(Appointments!$A$5:$A$1204,I199)=0),"Missing - no booking with that ID",IF(IF(E199="Tip",J199="",FALSE),"Assign - whose tip is it?",IF(IF(E199="Deposit",IF(H199="",I199="",FALSE),FALSE),"Check - deposit not tied to a booking",IF(M199="No","Due - not reconciled yet","OK"))))))))</f>
        <v>0</v>
      </c>
    </row>
    <row r="200" spans="1:23">
      <c r="A200" s="28">
        <f>IF(B200="","",PaymentPrefix&amp;TEXT(ROW()-4,"0000"))</f>
        <v>0</v>
      </c>
      <c r="D200" s="15">
        <f>IF(C200="","",IFERROR(INDEX(Clients!$B$5:$B$504,MATCH(C200,Clients!$A$5:$A$504,0)),"Walk-in"))</f>
        <v>0</v>
      </c>
      <c r="K200" s="15">
        <f>IF(J200="","",IFERROR(INDEX(Staff!$B$5:$B$44,MATCH(J200,Staff!$A$5:$A$44,0)),""))</f>
        <v>0</v>
      </c>
      <c r="O200" s="15">
        <f>IF(B200="","",TEXT(B200,"yyyy-mm"))</f>
        <v>0</v>
      </c>
      <c r="P200" s="25">
        <f>IF(B200="","",WEEKNUM(B200,2))</f>
        <v>0</v>
      </c>
      <c r="Q200" s="38">
        <f>IF(B200="","",IF(E200="Tip","No",IF(E200="Refund","No","Yes")))</f>
        <v>0</v>
      </c>
      <c r="R200" s="25">
        <f>IF(B200="","",IF(E200="Refund",-1,1))</f>
        <v>0</v>
      </c>
      <c r="S200" s="26">
        <f>IF(B200="","",IF(G200="",0,IF(F200="Card",ROUND(G200*CardFeePercent+CardFeeFixed,2),IF(F200="Online deposit",ROUND(G200*CardFeePercent+CardFeeFixed,2),0))))</f>
        <v>0</v>
      </c>
      <c r="T200" s="26">
        <f>IF(B200="","",ROUND(IF(G200="",0,G200)*R200-S200,2))</f>
        <v>0</v>
      </c>
      <c r="U200" s="38">
        <f>IF(B200="","",IF(E200="Tip","Yes","No"))</f>
        <v>0</v>
      </c>
      <c r="V200" s="15">
        <f>IF(B200="","",IF(H200&lt;&gt;"","Sale "&amp;H200,IF(I200&lt;&gt;"","Booking "&amp;I200,IF(E200="Tip","Stylist","Unapplied"))))</f>
        <v>0</v>
      </c>
      <c r="W200" s="39">
        <f>IF(B200="","",IF(G200="","Add - no amount yet",IF(E200="","Add - what was this for?",IF(IF(H200="",FALSE,COUNTIF(Sales!$A$5:$A$1204,H200)=0),"Missing - no sale with that ID",IF(IF(I200="",FALSE,COUNTIF(Appointments!$A$5:$A$1204,I200)=0),"Missing - no booking with that ID",IF(IF(E200="Tip",J200="",FALSE),"Assign - whose tip is it?",IF(IF(E200="Deposit",IF(H200="",I200="",FALSE),FALSE),"Check - deposit not tied to a booking",IF(M200="No","Due - not reconciled yet","OK"))))))))</f>
        <v>0</v>
      </c>
    </row>
    <row r="201" spans="1:23">
      <c r="A201" s="28">
        <f>IF(B201="","",PaymentPrefix&amp;TEXT(ROW()-4,"0000"))</f>
        <v>0</v>
      </c>
      <c r="D201" s="15">
        <f>IF(C201="","",IFERROR(INDEX(Clients!$B$5:$B$504,MATCH(C201,Clients!$A$5:$A$504,0)),"Walk-in"))</f>
        <v>0</v>
      </c>
      <c r="K201" s="15">
        <f>IF(J201="","",IFERROR(INDEX(Staff!$B$5:$B$44,MATCH(J201,Staff!$A$5:$A$44,0)),""))</f>
        <v>0</v>
      </c>
      <c r="O201" s="15">
        <f>IF(B201="","",TEXT(B201,"yyyy-mm"))</f>
        <v>0</v>
      </c>
      <c r="P201" s="25">
        <f>IF(B201="","",WEEKNUM(B201,2))</f>
        <v>0</v>
      </c>
      <c r="Q201" s="38">
        <f>IF(B201="","",IF(E201="Tip","No",IF(E201="Refund","No","Yes")))</f>
        <v>0</v>
      </c>
      <c r="R201" s="25">
        <f>IF(B201="","",IF(E201="Refund",-1,1))</f>
        <v>0</v>
      </c>
      <c r="S201" s="26">
        <f>IF(B201="","",IF(G201="",0,IF(F201="Card",ROUND(G201*CardFeePercent+CardFeeFixed,2),IF(F201="Online deposit",ROUND(G201*CardFeePercent+CardFeeFixed,2),0))))</f>
        <v>0</v>
      </c>
      <c r="T201" s="26">
        <f>IF(B201="","",ROUND(IF(G201="",0,G201)*R201-S201,2))</f>
        <v>0</v>
      </c>
      <c r="U201" s="38">
        <f>IF(B201="","",IF(E201="Tip","Yes","No"))</f>
        <v>0</v>
      </c>
      <c r="V201" s="15">
        <f>IF(B201="","",IF(H201&lt;&gt;"","Sale "&amp;H201,IF(I201&lt;&gt;"","Booking "&amp;I201,IF(E201="Tip","Stylist","Unapplied"))))</f>
        <v>0</v>
      </c>
      <c r="W201" s="39">
        <f>IF(B201="","",IF(G201="","Add - no amount yet",IF(E201="","Add - what was this for?",IF(IF(H201="",FALSE,COUNTIF(Sales!$A$5:$A$1204,H201)=0),"Missing - no sale with that ID",IF(IF(I201="",FALSE,COUNTIF(Appointments!$A$5:$A$1204,I201)=0),"Missing - no booking with that ID",IF(IF(E201="Tip",J201="",FALSE),"Assign - whose tip is it?",IF(IF(E201="Deposit",IF(H201="",I201="",FALSE),FALSE),"Check - deposit not tied to a booking",IF(M201="No","Due - not reconciled yet","OK"))))))))</f>
        <v>0</v>
      </c>
    </row>
    <row r="202" spans="1:23">
      <c r="A202" s="28">
        <f>IF(B202="","",PaymentPrefix&amp;TEXT(ROW()-4,"0000"))</f>
        <v>0</v>
      </c>
      <c r="D202" s="15">
        <f>IF(C202="","",IFERROR(INDEX(Clients!$B$5:$B$504,MATCH(C202,Clients!$A$5:$A$504,0)),"Walk-in"))</f>
        <v>0</v>
      </c>
      <c r="K202" s="15">
        <f>IF(J202="","",IFERROR(INDEX(Staff!$B$5:$B$44,MATCH(J202,Staff!$A$5:$A$44,0)),""))</f>
        <v>0</v>
      </c>
      <c r="O202" s="15">
        <f>IF(B202="","",TEXT(B202,"yyyy-mm"))</f>
        <v>0</v>
      </c>
      <c r="P202" s="25">
        <f>IF(B202="","",WEEKNUM(B202,2))</f>
        <v>0</v>
      </c>
      <c r="Q202" s="38">
        <f>IF(B202="","",IF(E202="Tip","No",IF(E202="Refund","No","Yes")))</f>
        <v>0</v>
      </c>
      <c r="R202" s="25">
        <f>IF(B202="","",IF(E202="Refund",-1,1))</f>
        <v>0</v>
      </c>
      <c r="S202" s="26">
        <f>IF(B202="","",IF(G202="",0,IF(F202="Card",ROUND(G202*CardFeePercent+CardFeeFixed,2),IF(F202="Online deposit",ROUND(G202*CardFeePercent+CardFeeFixed,2),0))))</f>
        <v>0</v>
      </c>
      <c r="T202" s="26">
        <f>IF(B202="","",ROUND(IF(G202="",0,G202)*R202-S202,2))</f>
        <v>0</v>
      </c>
      <c r="U202" s="38">
        <f>IF(B202="","",IF(E202="Tip","Yes","No"))</f>
        <v>0</v>
      </c>
      <c r="V202" s="15">
        <f>IF(B202="","",IF(H202&lt;&gt;"","Sale "&amp;H202,IF(I202&lt;&gt;"","Booking "&amp;I202,IF(E202="Tip","Stylist","Unapplied"))))</f>
        <v>0</v>
      </c>
      <c r="W202" s="39">
        <f>IF(B202="","",IF(G202="","Add - no amount yet",IF(E202="","Add - what was this for?",IF(IF(H202="",FALSE,COUNTIF(Sales!$A$5:$A$1204,H202)=0),"Missing - no sale with that ID",IF(IF(I202="",FALSE,COUNTIF(Appointments!$A$5:$A$1204,I202)=0),"Missing - no booking with that ID",IF(IF(E202="Tip",J202="",FALSE),"Assign - whose tip is it?",IF(IF(E202="Deposit",IF(H202="",I202="",FALSE),FALSE),"Check - deposit not tied to a booking",IF(M202="No","Due - not reconciled yet","OK"))))))))</f>
        <v>0</v>
      </c>
    </row>
    <row r="203" spans="1:23">
      <c r="A203" s="28">
        <f>IF(B203="","",PaymentPrefix&amp;TEXT(ROW()-4,"0000"))</f>
        <v>0</v>
      </c>
      <c r="D203" s="15">
        <f>IF(C203="","",IFERROR(INDEX(Clients!$B$5:$B$504,MATCH(C203,Clients!$A$5:$A$504,0)),"Walk-in"))</f>
        <v>0</v>
      </c>
      <c r="K203" s="15">
        <f>IF(J203="","",IFERROR(INDEX(Staff!$B$5:$B$44,MATCH(J203,Staff!$A$5:$A$44,0)),""))</f>
        <v>0</v>
      </c>
      <c r="O203" s="15">
        <f>IF(B203="","",TEXT(B203,"yyyy-mm"))</f>
        <v>0</v>
      </c>
      <c r="P203" s="25">
        <f>IF(B203="","",WEEKNUM(B203,2))</f>
        <v>0</v>
      </c>
      <c r="Q203" s="38">
        <f>IF(B203="","",IF(E203="Tip","No",IF(E203="Refund","No","Yes")))</f>
        <v>0</v>
      </c>
      <c r="R203" s="25">
        <f>IF(B203="","",IF(E203="Refund",-1,1))</f>
        <v>0</v>
      </c>
      <c r="S203" s="26">
        <f>IF(B203="","",IF(G203="",0,IF(F203="Card",ROUND(G203*CardFeePercent+CardFeeFixed,2),IF(F203="Online deposit",ROUND(G203*CardFeePercent+CardFeeFixed,2),0))))</f>
        <v>0</v>
      </c>
      <c r="T203" s="26">
        <f>IF(B203="","",ROUND(IF(G203="",0,G203)*R203-S203,2))</f>
        <v>0</v>
      </c>
      <c r="U203" s="38">
        <f>IF(B203="","",IF(E203="Tip","Yes","No"))</f>
        <v>0</v>
      </c>
      <c r="V203" s="15">
        <f>IF(B203="","",IF(H203&lt;&gt;"","Sale "&amp;H203,IF(I203&lt;&gt;"","Booking "&amp;I203,IF(E203="Tip","Stylist","Unapplied"))))</f>
        <v>0</v>
      </c>
      <c r="W203" s="39">
        <f>IF(B203="","",IF(G203="","Add - no amount yet",IF(E203="","Add - what was this for?",IF(IF(H203="",FALSE,COUNTIF(Sales!$A$5:$A$1204,H203)=0),"Missing - no sale with that ID",IF(IF(I203="",FALSE,COUNTIF(Appointments!$A$5:$A$1204,I203)=0),"Missing - no booking with that ID",IF(IF(E203="Tip",J203="",FALSE),"Assign - whose tip is it?",IF(IF(E203="Deposit",IF(H203="",I203="",FALSE),FALSE),"Check - deposit not tied to a booking",IF(M203="No","Due - not reconciled yet","OK"))))))))</f>
        <v>0</v>
      </c>
    </row>
    <row r="204" spans="1:23">
      <c r="A204" s="28">
        <f>IF(B204="","",PaymentPrefix&amp;TEXT(ROW()-4,"0000"))</f>
        <v>0</v>
      </c>
      <c r="D204" s="15">
        <f>IF(C204="","",IFERROR(INDEX(Clients!$B$5:$B$504,MATCH(C204,Clients!$A$5:$A$504,0)),"Walk-in"))</f>
        <v>0</v>
      </c>
      <c r="K204" s="15">
        <f>IF(J204="","",IFERROR(INDEX(Staff!$B$5:$B$44,MATCH(J204,Staff!$A$5:$A$44,0)),""))</f>
        <v>0</v>
      </c>
      <c r="O204" s="15">
        <f>IF(B204="","",TEXT(B204,"yyyy-mm"))</f>
        <v>0</v>
      </c>
      <c r="P204" s="25">
        <f>IF(B204="","",WEEKNUM(B204,2))</f>
        <v>0</v>
      </c>
      <c r="Q204" s="38">
        <f>IF(B204="","",IF(E204="Tip","No",IF(E204="Refund","No","Yes")))</f>
        <v>0</v>
      </c>
      <c r="R204" s="25">
        <f>IF(B204="","",IF(E204="Refund",-1,1))</f>
        <v>0</v>
      </c>
      <c r="S204" s="26">
        <f>IF(B204="","",IF(G204="",0,IF(F204="Card",ROUND(G204*CardFeePercent+CardFeeFixed,2),IF(F204="Online deposit",ROUND(G204*CardFeePercent+CardFeeFixed,2),0))))</f>
        <v>0</v>
      </c>
      <c r="T204" s="26">
        <f>IF(B204="","",ROUND(IF(G204="",0,G204)*R204-S204,2))</f>
        <v>0</v>
      </c>
      <c r="U204" s="38">
        <f>IF(B204="","",IF(E204="Tip","Yes","No"))</f>
        <v>0</v>
      </c>
      <c r="V204" s="15">
        <f>IF(B204="","",IF(H204&lt;&gt;"","Sale "&amp;H204,IF(I204&lt;&gt;"","Booking "&amp;I204,IF(E204="Tip","Stylist","Unapplied"))))</f>
        <v>0</v>
      </c>
      <c r="W204" s="39">
        <f>IF(B204="","",IF(G204="","Add - no amount yet",IF(E204="","Add - what was this for?",IF(IF(H204="",FALSE,COUNTIF(Sales!$A$5:$A$1204,H204)=0),"Missing - no sale with that ID",IF(IF(I204="",FALSE,COUNTIF(Appointments!$A$5:$A$1204,I204)=0),"Missing - no booking with that ID",IF(IF(E204="Tip",J204="",FALSE),"Assign - whose tip is it?",IF(IF(E204="Deposit",IF(H204="",I204="",FALSE),FALSE),"Check - deposit not tied to a booking",IF(M204="No","Due - not reconciled yet","OK"))))))))</f>
        <v>0</v>
      </c>
    </row>
    <row r="205" spans="1:23">
      <c r="A205" s="28">
        <f>IF(B205="","",PaymentPrefix&amp;TEXT(ROW()-4,"0000"))</f>
        <v>0</v>
      </c>
      <c r="D205" s="15">
        <f>IF(C205="","",IFERROR(INDEX(Clients!$B$5:$B$504,MATCH(C205,Clients!$A$5:$A$504,0)),"Walk-in"))</f>
        <v>0</v>
      </c>
      <c r="K205" s="15">
        <f>IF(J205="","",IFERROR(INDEX(Staff!$B$5:$B$44,MATCH(J205,Staff!$A$5:$A$44,0)),""))</f>
        <v>0</v>
      </c>
      <c r="O205" s="15">
        <f>IF(B205="","",TEXT(B205,"yyyy-mm"))</f>
        <v>0</v>
      </c>
      <c r="P205" s="25">
        <f>IF(B205="","",WEEKNUM(B205,2))</f>
        <v>0</v>
      </c>
      <c r="Q205" s="38">
        <f>IF(B205="","",IF(E205="Tip","No",IF(E205="Refund","No","Yes")))</f>
        <v>0</v>
      </c>
      <c r="R205" s="25">
        <f>IF(B205="","",IF(E205="Refund",-1,1))</f>
        <v>0</v>
      </c>
      <c r="S205" s="26">
        <f>IF(B205="","",IF(G205="",0,IF(F205="Card",ROUND(G205*CardFeePercent+CardFeeFixed,2),IF(F205="Online deposit",ROUND(G205*CardFeePercent+CardFeeFixed,2),0))))</f>
        <v>0</v>
      </c>
      <c r="T205" s="26">
        <f>IF(B205="","",ROUND(IF(G205="",0,G205)*R205-S205,2))</f>
        <v>0</v>
      </c>
      <c r="U205" s="38">
        <f>IF(B205="","",IF(E205="Tip","Yes","No"))</f>
        <v>0</v>
      </c>
      <c r="V205" s="15">
        <f>IF(B205="","",IF(H205&lt;&gt;"","Sale "&amp;H205,IF(I205&lt;&gt;"","Booking "&amp;I205,IF(E205="Tip","Stylist","Unapplied"))))</f>
        <v>0</v>
      </c>
      <c r="W205" s="39">
        <f>IF(B205="","",IF(G205="","Add - no amount yet",IF(E205="","Add - what was this for?",IF(IF(H205="",FALSE,COUNTIF(Sales!$A$5:$A$1204,H205)=0),"Missing - no sale with that ID",IF(IF(I205="",FALSE,COUNTIF(Appointments!$A$5:$A$1204,I205)=0),"Missing - no booking with that ID",IF(IF(E205="Tip",J205="",FALSE),"Assign - whose tip is it?",IF(IF(E205="Deposit",IF(H205="",I205="",FALSE),FALSE),"Check - deposit not tied to a booking",IF(M205="No","Due - not reconciled yet","OK"))))))))</f>
        <v>0</v>
      </c>
    </row>
    <row r="206" spans="1:23">
      <c r="A206" s="28">
        <f>IF(B206="","",PaymentPrefix&amp;TEXT(ROW()-4,"0000"))</f>
        <v>0</v>
      </c>
      <c r="D206" s="15">
        <f>IF(C206="","",IFERROR(INDEX(Clients!$B$5:$B$504,MATCH(C206,Clients!$A$5:$A$504,0)),"Walk-in"))</f>
        <v>0</v>
      </c>
      <c r="K206" s="15">
        <f>IF(J206="","",IFERROR(INDEX(Staff!$B$5:$B$44,MATCH(J206,Staff!$A$5:$A$44,0)),""))</f>
        <v>0</v>
      </c>
      <c r="O206" s="15">
        <f>IF(B206="","",TEXT(B206,"yyyy-mm"))</f>
        <v>0</v>
      </c>
      <c r="P206" s="25">
        <f>IF(B206="","",WEEKNUM(B206,2))</f>
        <v>0</v>
      </c>
      <c r="Q206" s="38">
        <f>IF(B206="","",IF(E206="Tip","No",IF(E206="Refund","No","Yes")))</f>
        <v>0</v>
      </c>
      <c r="R206" s="25">
        <f>IF(B206="","",IF(E206="Refund",-1,1))</f>
        <v>0</v>
      </c>
      <c r="S206" s="26">
        <f>IF(B206="","",IF(G206="",0,IF(F206="Card",ROUND(G206*CardFeePercent+CardFeeFixed,2),IF(F206="Online deposit",ROUND(G206*CardFeePercent+CardFeeFixed,2),0))))</f>
        <v>0</v>
      </c>
      <c r="T206" s="26">
        <f>IF(B206="","",ROUND(IF(G206="",0,G206)*R206-S206,2))</f>
        <v>0</v>
      </c>
      <c r="U206" s="38">
        <f>IF(B206="","",IF(E206="Tip","Yes","No"))</f>
        <v>0</v>
      </c>
      <c r="V206" s="15">
        <f>IF(B206="","",IF(H206&lt;&gt;"","Sale "&amp;H206,IF(I206&lt;&gt;"","Booking "&amp;I206,IF(E206="Tip","Stylist","Unapplied"))))</f>
        <v>0</v>
      </c>
      <c r="W206" s="39">
        <f>IF(B206="","",IF(G206="","Add - no amount yet",IF(E206="","Add - what was this for?",IF(IF(H206="",FALSE,COUNTIF(Sales!$A$5:$A$1204,H206)=0),"Missing - no sale with that ID",IF(IF(I206="",FALSE,COUNTIF(Appointments!$A$5:$A$1204,I206)=0),"Missing - no booking with that ID",IF(IF(E206="Tip",J206="",FALSE),"Assign - whose tip is it?",IF(IF(E206="Deposit",IF(H206="",I206="",FALSE),FALSE),"Check - deposit not tied to a booking",IF(M206="No","Due - not reconciled yet","OK"))))))))</f>
        <v>0</v>
      </c>
    </row>
    <row r="207" spans="1:23">
      <c r="A207" s="28">
        <f>IF(B207="","",PaymentPrefix&amp;TEXT(ROW()-4,"0000"))</f>
        <v>0</v>
      </c>
      <c r="D207" s="15">
        <f>IF(C207="","",IFERROR(INDEX(Clients!$B$5:$B$504,MATCH(C207,Clients!$A$5:$A$504,0)),"Walk-in"))</f>
        <v>0</v>
      </c>
      <c r="K207" s="15">
        <f>IF(J207="","",IFERROR(INDEX(Staff!$B$5:$B$44,MATCH(J207,Staff!$A$5:$A$44,0)),""))</f>
        <v>0</v>
      </c>
      <c r="O207" s="15">
        <f>IF(B207="","",TEXT(B207,"yyyy-mm"))</f>
        <v>0</v>
      </c>
      <c r="P207" s="25">
        <f>IF(B207="","",WEEKNUM(B207,2))</f>
        <v>0</v>
      </c>
      <c r="Q207" s="38">
        <f>IF(B207="","",IF(E207="Tip","No",IF(E207="Refund","No","Yes")))</f>
        <v>0</v>
      </c>
      <c r="R207" s="25">
        <f>IF(B207="","",IF(E207="Refund",-1,1))</f>
        <v>0</v>
      </c>
      <c r="S207" s="26">
        <f>IF(B207="","",IF(G207="",0,IF(F207="Card",ROUND(G207*CardFeePercent+CardFeeFixed,2),IF(F207="Online deposit",ROUND(G207*CardFeePercent+CardFeeFixed,2),0))))</f>
        <v>0</v>
      </c>
      <c r="T207" s="26">
        <f>IF(B207="","",ROUND(IF(G207="",0,G207)*R207-S207,2))</f>
        <v>0</v>
      </c>
      <c r="U207" s="38">
        <f>IF(B207="","",IF(E207="Tip","Yes","No"))</f>
        <v>0</v>
      </c>
      <c r="V207" s="15">
        <f>IF(B207="","",IF(H207&lt;&gt;"","Sale "&amp;H207,IF(I207&lt;&gt;"","Booking "&amp;I207,IF(E207="Tip","Stylist","Unapplied"))))</f>
        <v>0</v>
      </c>
      <c r="W207" s="39">
        <f>IF(B207="","",IF(G207="","Add - no amount yet",IF(E207="","Add - what was this for?",IF(IF(H207="",FALSE,COUNTIF(Sales!$A$5:$A$1204,H207)=0),"Missing - no sale with that ID",IF(IF(I207="",FALSE,COUNTIF(Appointments!$A$5:$A$1204,I207)=0),"Missing - no booking with that ID",IF(IF(E207="Tip",J207="",FALSE),"Assign - whose tip is it?",IF(IF(E207="Deposit",IF(H207="",I207="",FALSE),FALSE),"Check - deposit not tied to a booking",IF(M207="No","Due - not reconciled yet","OK"))))))))</f>
        <v>0</v>
      </c>
    </row>
    <row r="208" spans="1:23">
      <c r="A208" s="28">
        <f>IF(B208="","",PaymentPrefix&amp;TEXT(ROW()-4,"0000"))</f>
        <v>0</v>
      </c>
      <c r="D208" s="15">
        <f>IF(C208="","",IFERROR(INDEX(Clients!$B$5:$B$504,MATCH(C208,Clients!$A$5:$A$504,0)),"Walk-in"))</f>
        <v>0</v>
      </c>
      <c r="K208" s="15">
        <f>IF(J208="","",IFERROR(INDEX(Staff!$B$5:$B$44,MATCH(J208,Staff!$A$5:$A$44,0)),""))</f>
        <v>0</v>
      </c>
      <c r="O208" s="15">
        <f>IF(B208="","",TEXT(B208,"yyyy-mm"))</f>
        <v>0</v>
      </c>
      <c r="P208" s="25">
        <f>IF(B208="","",WEEKNUM(B208,2))</f>
        <v>0</v>
      </c>
      <c r="Q208" s="38">
        <f>IF(B208="","",IF(E208="Tip","No",IF(E208="Refund","No","Yes")))</f>
        <v>0</v>
      </c>
      <c r="R208" s="25">
        <f>IF(B208="","",IF(E208="Refund",-1,1))</f>
        <v>0</v>
      </c>
      <c r="S208" s="26">
        <f>IF(B208="","",IF(G208="",0,IF(F208="Card",ROUND(G208*CardFeePercent+CardFeeFixed,2),IF(F208="Online deposit",ROUND(G208*CardFeePercent+CardFeeFixed,2),0))))</f>
        <v>0</v>
      </c>
      <c r="T208" s="26">
        <f>IF(B208="","",ROUND(IF(G208="",0,G208)*R208-S208,2))</f>
        <v>0</v>
      </c>
      <c r="U208" s="38">
        <f>IF(B208="","",IF(E208="Tip","Yes","No"))</f>
        <v>0</v>
      </c>
      <c r="V208" s="15">
        <f>IF(B208="","",IF(H208&lt;&gt;"","Sale "&amp;H208,IF(I208&lt;&gt;"","Booking "&amp;I208,IF(E208="Tip","Stylist","Unapplied"))))</f>
        <v>0</v>
      </c>
      <c r="W208" s="39">
        <f>IF(B208="","",IF(G208="","Add - no amount yet",IF(E208="","Add - what was this for?",IF(IF(H208="",FALSE,COUNTIF(Sales!$A$5:$A$1204,H208)=0),"Missing - no sale with that ID",IF(IF(I208="",FALSE,COUNTIF(Appointments!$A$5:$A$1204,I208)=0),"Missing - no booking with that ID",IF(IF(E208="Tip",J208="",FALSE),"Assign - whose tip is it?",IF(IF(E208="Deposit",IF(H208="",I208="",FALSE),FALSE),"Check - deposit not tied to a booking",IF(M208="No","Due - not reconciled yet","OK"))))))))</f>
        <v>0</v>
      </c>
    </row>
    <row r="209" spans="1:23">
      <c r="A209" s="28">
        <f>IF(B209="","",PaymentPrefix&amp;TEXT(ROW()-4,"0000"))</f>
        <v>0</v>
      </c>
      <c r="D209" s="15">
        <f>IF(C209="","",IFERROR(INDEX(Clients!$B$5:$B$504,MATCH(C209,Clients!$A$5:$A$504,0)),"Walk-in"))</f>
        <v>0</v>
      </c>
      <c r="K209" s="15">
        <f>IF(J209="","",IFERROR(INDEX(Staff!$B$5:$B$44,MATCH(J209,Staff!$A$5:$A$44,0)),""))</f>
        <v>0</v>
      </c>
      <c r="O209" s="15">
        <f>IF(B209="","",TEXT(B209,"yyyy-mm"))</f>
        <v>0</v>
      </c>
      <c r="P209" s="25">
        <f>IF(B209="","",WEEKNUM(B209,2))</f>
        <v>0</v>
      </c>
      <c r="Q209" s="38">
        <f>IF(B209="","",IF(E209="Tip","No",IF(E209="Refund","No","Yes")))</f>
        <v>0</v>
      </c>
      <c r="R209" s="25">
        <f>IF(B209="","",IF(E209="Refund",-1,1))</f>
        <v>0</v>
      </c>
      <c r="S209" s="26">
        <f>IF(B209="","",IF(G209="",0,IF(F209="Card",ROUND(G209*CardFeePercent+CardFeeFixed,2),IF(F209="Online deposit",ROUND(G209*CardFeePercent+CardFeeFixed,2),0))))</f>
        <v>0</v>
      </c>
      <c r="T209" s="26">
        <f>IF(B209="","",ROUND(IF(G209="",0,G209)*R209-S209,2))</f>
        <v>0</v>
      </c>
      <c r="U209" s="38">
        <f>IF(B209="","",IF(E209="Tip","Yes","No"))</f>
        <v>0</v>
      </c>
      <c r="V209" s="15">
        <f>IF(B209="","",IF(H209&lt;&gt;"","Sale "&amp;H209,IF(I209&lt;&gt;"","Booking "&amp;I209,IF(E209="Tip","Stylist","Unapplied"))))</f>
        <v>0</v>
      </c>
      <c r="W209" s="39">
        <f>IF(B209="","",IF(G209="","Add - no amount yet",IF(E209="","Add - what was this for?",IF(IF(H209="",FALSE,COUNTIF(Sales!$A$5:$A$1204,H209)=0),"Missing - no sale with that ID",IF(IF(I209="",FALSE,COUNTIF(Appointments!$A$5:$A$1204,I209)=0),"Missing - no booking with that ID",IF(IF(E209="Tip",J209="",FALSE),"Assign - whose tip is it?",IF(IF(E209="Deposit",IF(H209="",I209="",FALSE),FALSE),"Check - deposit not tied to a booking",IF(M209="No","Due - not reconciled yet","OK"))))))))</f>
        <v>0</v>
      </c>
    </row>
    <row r="210" spans="1:23">
      <c r="A210" s="28">
        <f>IF(B210="","",PaymentPrefix&amp;TEXT(ROW()-4,"0000"))</f>
        <v>0</v>
      </c>
      <c r="D210" s="15">
        <f>IF(C210="","",IFERROR(INDEX(Clients!$B$5:$B$504,MATCH(C210,Clients!$A$5:$A$504,0)),"Walk-in"))</f>
        <v>0</v>
      </c>
      <c r="K210" s="15">
        <f>IF(J210="","",IFERROR(INDEX(Staff!$B$5:$B$44,MATCH(J210,Staff!$A$5:$A$44,0)),""))</f>
        <v>0</v>
      </c>
      <c r="O210" s="15">
        <f>IF(B210="","",TEXT(B210,"yyyy-mm"))</f>
        <v>0</v>
      </c>
      <c r="P210" s="25">
        <f>IF(B210="","",WEEKNUM(B210,2))</f>
        <v>0</v>
      </c>
      <c r="Q210" s="38">
        <f>IF(B210="","",IF(E210="Tip","No",IF(E210="Refund","No","Yes")))</f>
        <v>0</v>
      </c>
      <c r="R210" s="25">
        <f>IF(B210="","",IF(E210="Refund",-1,1))</f>
        <v>0</v>
      </c>
      <c r="S210" s="26">
        <f>IF(B210="","",IF(G210="",0,IF(F210="Card",ROUND(G210*CardFeePercent+CardFeeFixed,2),IF(F210="Online deposit",ROUND(G210*CardFeePercent+CardFeeFixed,2),0))))</f>
        <v>0</v>
      </c>
      <c r="T210" s="26">
        <f>IF(B210="","",ROUND(IF(G210="",0,G210)*R210-S210,2))</f>
        <v>0</v>
      </c>
      <c r="U210" s="38">
        <f>IF(B210="","",IF(E210="Tip","Yes","No"))</f>
        <v>0</v>
      </c>
      <c r="V210" s="15">
        <f>IF(B210="","",IF(H210&lt;&gt;"","Sale "&amp;H210,IF(I210&lt;&gt;"","Booking "&amp;I210,IF(E210="Tip","Stylist","Unapplied"))))</f>
        <v>0</v>
      </c>
      <c r="W210" s="39">
        <f>IF(B210="","",IF(G210="","Add - no amount yet",IF(E210="","Add - what was this for?",IF(IF(H210="",FALSE,COUNTIF(Sales!$A$5:$A$1204,H210)=0),"Missing - no sale with that ID",IF(IF(I210="",FALSE,COUNTIF(Appointments!$A$5:$A$1204,I210)=0),"Missing - no booking with that ID",IF(IF(E210="Tip",J210="",FALSE),"Assign - whose tip is it?",IF(IF(E210="Deposit",IF(H210="",I210="",FALSE),FALSE),"Check - deposit not tied to a booking",IF(M210="No","Due - not reconciled yet","OK"))))))))</f>
        <v>0</v>
      </c>
    </row>
    <row r="211" spans="1:23">
      <c r="A211" s="28">
        <f>IF(B211="","",PaymentPrefix&amp;TEXT(ROW()-4,"0000"))</f>
        <v>0</v>
      </c>
      <c r="D211" s="15">
        <f>IF(C211="","",IFERROR(INDEX(Clients!$B$5:$B$504,MATCH(C211,Clients!$A$5:$A$504,0)),"Walk-in"))</f>
        <v>0</v>
      </c>
      <c r="K211" s="15">
        <f>IF(J211="","",IFERROR(INDEX(Staff!$B$5:$B$44,MATCH(J211,Staff!$A$5:$A$44,0)),""))</f>
        <v>0</v>
      </c>
      <c r="O211" s="15">
        <f>IF(B211="","",TEXT(B211,"yyyy-mm"))</f>
        <v>0</v>
      </c>
      <c r="P211" s="25">
        <f>IF(B211="","",WEEKNUM(B211,2))</f>
        <v>0</v>
      </c>
      <c r="Q211" s="38">
        <f>IF(B211="","",IF(E211="Tip","No",IF(E211="Refund","No","Yes")))</f>
        <v>0</v>
      </c>
      <c r="R211" s="25">
        <f>IF(B211="","",IF(E211="Refund",-1,1))</f>
        <v>0</v>
      </c>
      <c r="S211" s="26">
        <f>IF(B211="","",IF(G211="",0,IF(F211="Card",ROUND(G211*CardFeePercent+CardFeeFixed,2),IF(F211="Online deposit",ROUND(G211*CardFeePercent+CardFeeFixed,2),0))))</f>
        <v>0</v>
      </c>
      <c r="T211" s="26">
        <f>IF(B211="","",ROUND(IF(G211="",0,G211)*R211-S211,2))</f>
        <v>0</v>
      </c>
      <c r="U211" s="38">
        <f>IF(B211="","",IF(E211="Tip","Yes","No"))</f>
        <v>0</v>
      </c>
      <c r="V211" s="15">
        <f>IF(B211="","",IF(H211&lt;&gt;"","Sale "&amp;H211,IF(I211&lt;&gt;"","Booking "&amp;I211,IF(E211="Tip","Stylist","Unapplied"))))</f>
        <v>0</v>
      </c>
      <c r="W211" s="39">
        <f>IF(B211="","",IF(G211="","Add - no amount yet",IF(E211="","Add - what was this for?",IF(IF(H211="",FALSE,COUNTIF(Sales!$A$5:$A$1204,H211)=0),"Missing - no sale with that ID",IF(IF(I211="",FALSE,COUNTIF(Appointments!$A$5:$A$1204,I211)=0),"Missing - no booking with that ID",IF(IF(E211="Tip",J211="",FALSE),"Assign - whose tip is it?",IF(IF(E211="Deposit",IF(H211="",I211="",FALSE),FALSE),"Check - deposit not tied to a booking",IF(M211="No","Due - not reconciled yet","OK"))))))))</f>
        <v>0</v>
      </c>
    </row>
    <row r="212" spans="1:23">
      <c r="A212" s="28">
        <f>IF(B212="","",PaymentPrefix&amp;TEXT(ROW()-4,"0000"))</f>
        <v>0</v>
      </c>
      <c r="D212" s="15">
        <f>IF(C212="","",IFERROR(INDEX(Clients!$B$5:$B$504,MATCH(C212,Clients!$A$5:$A$504,0)),"Walk-in"))</f>
        <v>0</v>
      </c>
      <c r="K212" s="15">
        <f>IF(J212="","",IFERROR(INDEX(Staff!$B$5:$B$44,MATCH(J212,Staff!$A$5:$A$44,0)),""))</f>
        <v>0</v>
      </c>
      <c r="O212" s="15">
        <f>IF(B212="","",TEXT(B212,"yyyy-mm"))</f>
        <v>0</v>
      </c>
      <c r="P212" s="25">
        <f>IF(B212="","",WEEKNUM(B212,2))</f>
        <v>0</v>
      </c>
      <c r="Q212" s="38">
        <f>IF(B212="","",IF(E212="Tip","No",IF(E212="Refund","No","Yes")))</f>
        <v>0</v>
      </c>
      <c r="R212" s="25">
        <f>IF(B212="","",IF(E212="Refund",-1,1))</f>
        <v>0</v>
      </c>
      <c r="S212" s="26">
        <f>IF(B212="","",IF(G212="",0,IF(F212="Card",ROUND(G212*CardFeePercent+CardFeeFixed,2),IF(F212="Online deposit",ROUND(G212*CardFeePercent+CardFeeFixed,2),0))))</f>
        <v>0</v>
      </c>
      <c r="T212" s="26">
        <f>IF(B212="","",ROUND(IF(G212="",0,G212)*R212-S212,2))</f>
        <v>0</v>
      </c>
      <c r="U212" s="38">
        <f>IF(B212="","",IF(E212="Tip","Yes","No"))</f>
        <v>0</v>
      </c>
      <c r="V212" s="15">
        <f>IF(B212="","",IF(H212&lt;&gt;"","Sale "&amp;H212,IF(I212&lt;&gt;"","Booking "&amp;I212,IF(E212="Tip","Stylist","Unapplied"))))</f>
        <v>0</v>
      </c>
      <c r="W212" s="39">
        <f>IF(B212="","",IF(G212="","Add - no amount yet",IF(E212="","Add - what was this for?",IF(IF(H212="",FALSE,COUNTIF(Sales!$A$5:$A$1204,H212)=0),"Missing - no sale with that ID",IF(IF(I212="",FALSE,COUNTIF(Appointments!$A$5:$A$1204,I212)=0),"Missing - no booking with that ID",IF(IF(E212="Tip",J212="",FALSE),"Assign - whose tip is it?",IF(IF(E212="Deposit",IF(H212="",I212="",FALSE),FALSE),"Check - deposit not tied to a booking",IF(M212="No","Due - not reconciled yet","OK"))))))))</f>
        <v>0</v>
      </c>
    </row>
    <row r="213" spans="1:23">
      <c r="A213" s="28">
        <f>IF(B213="","",PaymentPrefix&amp;TEXT(ROW()-4,"0000"))</f>
        <v>0</v>
      </c>
      <c r="D213" s="15">
        <f>IF(C213="","",IFERROR(INDEX(Clients!$B$5:$B$504,MATCH(C213,Clients!$A$5:$A$504,0)),"Walk-in"))</f>
        <v>0</v>
      </c>
      <c r="K213" s="15">
        <f>IF(J213="","",IFERROR(INDEX(Staff!$B$5:$B$44,MATCH(J213,Staff!$A$5:$A$44,0)),""))</f>
        <v>0</v>
      </c>
      <c r="O213" s="15">
        <f>IF(B213="","",TEXT(B213,"yyyy-mm"))</f>
        <v>0</v>
      </c>
      <c r="P213" s="25">
        <f>IF(B213="","",WEEKNUM(B213,2))</f>
        <v>0</v>
      </c>
      <c r="Q213" s="38">
        <f>IF(B213="","",IF(E213="Tip","No",IF(E213="Refund","No","Yes")))</f>
        <v>0</v>
      </c>
      <c r="R213" s="25">
        <f>IF(B213="","",IF(E213="Refund",-1,1))</f>
        <v>0</v>
      </c>
      <c r="S213" s="26">
        <f>IF(B213="","",IF(G213="",0,IF(F213="Card",ROUND(G213*CardFeePercent+CardFeeFixed,2),IF(F213="Online deposit",ROUND(G213*CardFeePercent+CardFeeFixed,2),0))))</f>
        <v>0</v>
      </c>
      <c r="T213" s="26">
        <f>IF(B213="","",ROUND(IF(G213="",0,G213)*R213-S213,2))</f>
        <v>0</v>
      </c>
      <c r="U213" s="38">
        <f>IF(B213="","",IF(E213="Tip","Yes","No"))</f>
        <v>0</v>
      </c>
      <c r="V213" s="15">
        <f>IF(B213="","",IF(H213&lt;&gt;"","Sale "&amp;H213,IF(I213&lt;&gt;"","Booking "&amp;I213,IF(E213="Tip","Stylist","Unapplied"))))</f>
        <v>0</v>
      </c>
      <c r="W213" s="39">
        <f>IF(B213="","",IF(G213="","Add - no amount yet",IF(E213="","Add - what was this for?",IF(IF(H213="",FALSE,COUNTIF(Sales!$A$5:$A$1204,H213)=0),"Missing - no sale with that ID",IF(IF(I213="",FALSE,COUNTIF(Appointments!$A$5:$A$1204,I213)=0),"Missing - no booking with that ID",IF(IF(E213="Tip",J213="",FALSE),"Assign - whose tip is it?",IF(IF(E213="Deposit",IF(H213="",I213="",FALSE),FALSE),"Check - deposit not tied to a booking",IF(M213="No","Due - not reconciled yet","OK"))))))))</f>
        <v>0</v>
      </c>
    </row>
    <row r="214" spans="1:23">
      <c r="A214" s="28">
        <f>IF(B214="","",PaymentPrefix&amp;TEXT(ROW()-4,"0000"))</f>
        <v>0</v>
      </c>
      <c r="D214" s="15">
        <f>IF(C214="","",IFERROR(INDEX(Clients!$B$5:$B$504,MATCH(C214,Clients!$A$5:$A$504,0)),"Walk-in"))</f>
        <v>0</v>
      </c>
      <c r="K214" s="15">
        <f>IF(J214="","",IFERROR(INDEX(Staff!$B$5:$B$44,MATCH(J214,Staff!$A$5:$A$44,0)),""))</f>
        <v>0</v>
      </c>
      <c r="O214" s="15">
        <f>IF(B214="","",TEXT(B214,"yyyy-mm"))</f>
        <v>0</v>
      </c>
      <c r="P214" s="25">
        <f>IF(B214="","",WEEKNUM(B214,2))</f>
        <v>0</v>
      </c>
      <c r="Q214" s="38">
        <f>IF(B214="","",IF(E214="Tip","No",IF(E214="Refund","No","Yes")))</f>
        <v>0</v>
      </c>
      <c r="R214" s="25">
        <f>IF(B214="","",IF(E214="Refund",-1,1))</f>
        <v>0</v>
      </c>
      <c r="S214" s="26">
        <f>IF(B214="","",IF(G214="",0,IF(F214="Card",ROUND(G214*CardFeePercent+CardFeeFixed,2),IF(F214="Online deposit",ROUND(G214*CardFeePercent+CardFeeFixed,2),0))))</f>
        <v>0</v>
      </c>
      <c r="T214" s="26">
        <f>IF(B214="","",ROUND(IF(G214="",0,G214)*R214-S214,2))</f>
        <v>0</v>
      </c>
      <c r="U214" s="38">
        <f>IF(B214="","",IF(E214="Tip","Yes","No"))</f>
        <v>0</v>
      </c>
      <c r="V214" s="15">
        <f>IF(B214="","",IF(H214&lt;&gt;"","Sale "&amp;H214,IF(I214&lt;&gt;"","Booking "&amp;I214,IF(E214="Tip","Stylist","Unapplied"))))</f>
        <v>0</v>
      </c>
      <c r="W214" s="39">
        <f>IF(B214="","",IF(G214="","Add - no amount yet",IF(E214="","Add - what was this for?",IF(IF(H214="",FALSE,COUNTIF(Sales!$A$5:$A$1204,H214)=0),"Missing - no sale with that ID",IF(IF(I214="",FALSE,COUNTIF(Appointments!$A$5:$A$1204,I214)=0),"Missing - no booking with that ID",IF(IF(E214="Tip",J214="",FALSE),"Assign - whose tip is it?",IF(IF(E214="Deposit",IF(H214="",I214="",FALSE),FALSE),"Check - deposit not tied to a booking",IF(M214="No","Due - not reconciled yet","OK"))))))))</f>
        <v>0</v>
      </c>
    </row>
    <row r="215" spans="1:23">
      <c r="A215" s="28">
        <f>IF(B215="","",PaymentPrefix&amp;TEXT(ROW()-4,"0000"))</f>
        <v>0</v>
      </c>
      <c r="D215" s="15">
        <f>IF(C215="","",IFERROR(INDEX(Clients!$B$5:$B$504,MATCH(C215,Clients!$A$5:$A$504,0)),"Walk-in"))</f>
        <v>0</v>
      </c>
      <c r="K215" s="15">
        <f>IF(J215="","",IFERROR(INDEX(Staff!$B$5:$B$44,MATCH(J215,Staff!$A$5:$A$44,0)),""))</f>
        <v>0</v>
      </c>
      <c r="O215" s="15">
        <f>IF(B215="","",TEXT(B215,"yyyy-mm"))</f>
        <v>0</v>
      </c>
      <c r="P215" s="25">
        <f>IF(B215="","",WEEKNUM(B215,2))</f>
        <v>0</v>
      </c>
      <c r="Q215" s="38">
        <f>IF(B215="","",IF(E215="Tip","No",IF(E215="Refund","No","Yes")))</f>
        <v>0</v>
      </c>
      <c r="R215" s="25">
        <f>IF(B215="","",IF(E215="Refund",-1,1))</f>
        <v>0</v>
      </c>
      <c r="S215" s="26">
        <f>IF(B215="","",IF(G215="",0,IF(F215="Card",ROUND(G215*CardFeePercent+CardFeeFixed,2),IF(F215="Online deposit",ROUND(G215*CardFeePercent+CardFeeFixed,2),0))))</f>
        <v>0</v>
      </c>
      <c r="T215" s="26">
        <f>IF(B215="","",ROUND(IF(G215="",0,G215)*R215-S215,2))</f>
        <v>0</v>
      </c>
      <c r="U215" s="38">
        <f>IF(B215="","",IF(E215="Tip","Yes","No"))</f>
        <v>0</v>
      </c>
      <c r="V215" s="15">
        <f>IF(B215="","",IF(H215&lt;&gt;"","Sale "&amp;H215,IF(I215&lt;&gt;"","Booking "&amp;I215,IF(E215="Tip","Stylist","Unapplied"))))</f>
        <v>0</v>
      </c>
      <c r="W215" s="39">
        <f>IF(B215="","",IF(G215="","Add - no amount yet",IF(E215="","Add - what was this for?",IF(IF(H215="",FALSE,COUNTIF(Sales!$A$5:$A$1204,H215)=0),"Missing - no sale with that ID",IF(IF(I215="",FALSE,COUNTIF(Appointments!$A$5:$A$1204,I215)=0),"Missing - no booking with that ID",IF(IF(E215="Tip",J215="",FALSE),"Assign - whose tip is it?",IF(IF(E215="Deposit",IF(H215="",I215="",FALSE),FALSE),"Check - deposit not tied to a booking",IF(M215="No","Due - not reconciled yet","OK"))))))))</f>
        <v>0</v>
      </c>
    </row>
    <row r="216" spans="1:23">
      <c r="A216" s="28">
        <f>IF(B216="","",PaymentPrefix&amp;TEXT(ROW()-4,"0000"))</f>
        <v>0</v>
      </c>
      <c r="D216" s="15">
        <f>IF(C216="","",IFERROR(INDEX(Clients!$B$5:$B$504,MATCH(C216,Clients!$A$5:$A$504,0)),"Walk-in"))</f>
        <v>0</v>
      </c>
      <c r="K216" s="15">
        <f>IF(J216="","",IFERROR(INDEX(Staff!$B$5:$B$44,MATCH(J216,Staff!$A$5:$A$44,0)),""))</f>
        <v>0</v>
      </c>
      <c r="O216" s="15">
        <f>IF(B216="","",TEXT(B216,"yyyy-mm"))</f>
        <v>0</v>
      </c>
      <c r="P216" s="25">
        <f>IF(B216="","",WEEKNUM(B216,2))</f>
        <v>0</v>
      </c>
      <c r="Q216" s="38">
        <f>IF(B216="","",IF(E216="Tip","No",IF(E216="Refund","No","Yes")))</f>
        <v>0</v>
      </c>
      <c r="R216" s="25">
        <f>IF(B216="","",IF(E216="Refund",-1,1))</f>
        <v>0</v>
      </c>
      <c r="S216" s="26">
        <f>IF(B216="","",IF(G216="",0,IF(F216="Card",ROUND(G216*CardFeePercent+CardFeeFixed,2),IF(F216="Online deposit",ROUND(G216*CardFeePercent+CardFeeFixed,2),0))))</f>
        <v>0</v>
      </c>
      <c r="T216" s="26">
        <f>IF(B216="","",ROUND(IF(G216="",0,G216)*R216-S216,2))</f>
        <v>0</v>
      </c>
      <c r="U216" s="38">
        <f>IF(B216="","",IF(E216="Tip","Yes","No"))</f>
        <v>0</v>
      </c>
      <c r="V216" s="15">
        <f>IF(B216="","",IF(H216&lt;&gt;"","Sale "&amp;H216,IF(I216&lt;&gt;"","Booking "&amp;I216,IF(E216="Tip","Stylist","Unapplied"))))</f>
        <v>0</v>
      </c>
      <c r="W216" s="39">
        <f>IF(B216="","",IF(G216="","Add - no amount yet",IF(E216="","Add - what was this for?",IF(IF(H216="",FALSE,COUNTIF(Sales!$A$5:$A$1204,H216)=0),"Missing - no sale with that ID",IF(IF(I216="",FALSE,COUNTIF(Appointments!$A$5:$A$1204,I216)=0),"Missing - no booking with that ID",IF(IF(E216="Tip",J216="",FALSE),"Assign - whose tip is it?",IF(IF(E216="Deposit",IF(H216="",I216="",FALSE),FALSE),"Check - deposit not tied to a booking",IF(M216="No","Due - not reconciled yet","OK"))))))))</f>
        <v>0</v>
      </c>
    </row>
    <row r="217" spans="1:23">
      <c r="A217" s="28">
        <f>IF(B217="","",PaymentPrefix&amp;TEXT(ROW()-4,"0000"))</f>
        <v>0</v>
      </c>
      <c r="D217" s="15">
        <f>IF(C217="","",IFERROR(INDEX(Clients!$B$5:$B$504,MATCH(C217,Clients!$A$5:$A$504,0)),"Walk-in"))</f>
        <v>0</v>
      </c>
      <c r="K217" s="15">
        <f>IF(J217="","",IFERROR(INDEX(Staff!$B$5:$B$44,MATCH(J217,Staff!$A$5:$A$44,0)),""))</f>
        <v>0</v>
      </c>
      <c r="O217" s="15">
        <f>IF(B217="","",TEXT(B217,"yyyy-mm"))</f>
        <v>0</v>
      </c>
      <c r="P217" s="25">
        <f>IF(B217="","",WEEKNUM(B217,2))</f>
        <v>0</v>
      </c>
      <c r="Q217" s="38">
        <f>IF(B217="","",IF(E217="Tip","No",IF(E217="Refund","No","Yes")))</f>
        <v>0</v>
      </c>
      <c r="R217" s="25">
        <f>IF(B217="","",IF(E217="Refund",-1,1))</f>
        <v>0</v>
      </c>
      <c r="S217" s="26">
        <f>IF(B217="","",IF(G217="",0,IF(F217="Card",ROUND(G217*CardFeePercent+CardFeeFixed,2),IF(F217="Online deposit",ROUND(G217*CardFeePercent+CardFeeFixed,2),0))))</f>
        <v>0</v>
      </c>
      <c r="T217" s="26">
        <f>IF(B217="","",ROUND(IF(G217="",0,G217)*R217-S217,2))</f>
        <v>0</v>
      </c>
      <c r="U217" s="38">
        <f>IF(B217="","",IF(E217="Tip","Yes","No"))</f>
        <v>0</v>
      </c>
      <c r="V217" s="15">
        <f>IF(B217="","",IF(H217&lt;&gt;"","Sale "&amp;H217,IF(I217&lt;&gt;"","Booking "&amp;I217,IF(E217="Tip","Stylist","Unapplied"))))</f>
        <v>0</v>
      </c>
      <c r="W217" s="39">
        <f>IF(B217="","",IF(G217="","Add - no amount yet",IF(E217="","Add - what was this for?",IF(IF(H217="",FALSE,COUNTIF(Sales!$A$5:$A$1204,H217)=0),"Missing - no sale with that ID",IF(IF(I217="",FALSE,COUNTIF(Appointments!$A$5:$A$1204,I217)=0),"Missing - no booking with that ID",IF(IF(E217="Tip",J217="",FALSE),"Assign - whose tip is it?",IF(IF(E217="Deposit",IF(H217="",I217="",FALSE),FALSE),"Check - deposit not tied to a booking",IF(M217="No","Due - not reconciled yet","OK"))))))))</f>
        <v>0</v>
      </c>
    </row>
    <row r="218" spans="1:23">
      <c r="A218" s="28">
        <f>IF(B218="","",PaymentPrefix&amp;TEXT(ROW()-4,"0000"))</f>
        <v>0</v>
      </c>
      <c r="D218" s="15">
        <f>IF(C218="","",IFERROR(INDEX(Clients!$B$5:$B$504,MATCH(C218,Clients!$A$5:$A$504,0)),"Walk-in"))</f>
        <v>0</v>
      </c>
      <c r="K218" s="15">
        <f>IF(J218="","",IFERROR(INDEX(Staff!$B$5:$B$44,MATCH(J218,Staff!$A$5:$A$44,0)),""))</f>
        <v>0</v>
      </c>
      <c r="O218" s="15">
        <f>IF(B218="","",TEXT(B218,"yyyy-mm"))</f>
        <v>0</v>
      </c>
      <c r="P218" s="25">
        <f>IF(B218="","",WEEKNUM(B218,2))</f>
        <v>0</v>
      </c>
      <c r="Q218" s="38">
        <f>IF(B218="","",IF(E218="Tip","No",IF(E218="Refund","No","Yes")))</f>
        <v>0</v>
      </c>
      <c r="R218" s="25">
        <f>IF(B218="","",IF(E218="Refund",-1,1))</f>
        <v>0</v>
      </c>
      <c r="S218" s="26">
        <f>IF(B218="","",IF(G218="",0,IF(F218="Card",ROUND(G218*CardFeePercent+CardFeeFixed,2),IF(F218="Online deposit",ROUND(G218*CardFeePercent+CardFeeFixed,2),0))))</f>
        <v>0</v>
      </c>
      <c r="T218" s="26">
        <f>IF(B218="","",ROUND(IF(G218="",0,G218)*R218-S218,2))</f>
        <v>0</v>
      </c>
      <c r="U218" s="38">
        <f>IF(B218="","",IF(E218="Tip","Yes","No"))</f>
        <v>0</v>
      </c>
      <c r="V218" s="15">
        <f>IF(B218="","",IF(H218&lt;&gt;"","Sale "&amp;H218,IF(I218&lt;&gt;"","Booking "&amp;I218,IF(E218="Tip","Stylist","Unapplied"))))</f>
        <v>0</v>
      </c>
      <c r="W218" s="39">
        <f>IF(B218="","",IF(G218="","Add - no amount yet",IF(E218="","Add - what was this for?",IF(IF(H218="",FALSE,COUNTIF(Sales!$A$5:$A$1204,H218)=0),"Missing - no sale with that ID",IF(IF(I218="",FALSE,COUNTIF(Appointments!$A$5:$A$1204,I218)=0),"Missing - no booking with that ID",IF(IF(E218="Tip",J218="",FALSE),"Assign - whose tip is it?",IF(IF(E218="Deposit",IF(H218="",I218="",FALSE),FALSE),"Check - deposit not tied to a booking",IF(M218="No","Due - not reconciled yet","OK"))))))))</f>
        <v>0</v>
      </c>
    </row>
    <row r="219" spans="1:23">
      <c r="A219" s="28">
        <f>IF(B219="","",PaymentPrefix&amp;TEXT(ROW()-4,"0000"))</f>
        <v>0</v>
      </c>
      <c r="D219" s="15">
        <f>IF(C219="","",IFERROR(INDEX(Clients!$B$5:$B$504,MATCH(C219,Clients!$A$5:$A$504,0)),"Walk-in"))</f>
        <v>0</v>
      </c>
      <c r="K219" s="15">
        <f>IF(J219="","",IFERROR(INDEX(Staff!$B$5:$B$44,MATCH(J219,Staff!$A$5:$A$44,0)),""))</f>
        <v>0</v>
      </c>
      <c r="O219" s="15">
        <f>IF(B219="","",TEXT(B219,"yyyy-mm"))</f>
        <v>0</v>
      </c>
      <c r="P219" s="25">
        <f>IF(B219="","",WEEKNUM(B219,2))</f>
        <v>0</v>
      </c>
      <c r="Q219" s="38">
        <f>IF(B219="","",IF(E219="Tip","No",IF(E219="Refund","No","Yes")))</f>
        <v>0</v>
      </c>
      <c r="R219" s="25">
        <f>IF(B219="","",IF(E219="Refund",-1,1))</f>
        <v>0</v>
      </c>
      <c r="S219" s="26">
        <f>IF(B219="","",IF(G219="",0,IF(F219="Card",ROUND(G219*CardFeePercent+CardFeeFixed,2),IF(F219="Online deposit",ROUND(G219*CardFeePercent+CardFeeFixed,2),0))))</f>
        <v>0</v>
      </c>
      <c r="T219" s="26">
        <f>IF(B219="","",ROUND(IF(G219="",0,G219)*R219-S219,2))</f>
        <v>0</v>
      </c>
      <c r="U219" s="38">
        <f>IF(B219="","",IF(E219="Tip","Yes","No"))</f>
        <v>0</v>
      </c>
      <c r="V219" s="15">
        <f>IF(B219="","",IF(H219&lt;&gt;"","Sale "&amp;H219,IF(I219&lt;&gt;"","Booking "&amp;I219,IF(E219="Tip","Stylist","Unapplied"))))</f>
        <v>0</v>
      </c>
      <c r="W219" s="39">
        <f>IF(B219="","",IF(G219="","Add - no amount yet",IF(E219="","Add - what was this for?",IF(IF(H219="",FALSE,COUNTIF(Sales!$A$5:$A$1204,H219)=0),"Missing - no sale with that ID",IF(IF(I219="",FALSE,COUNTIF(Appointments!$A$5:$A$1204,I219)=0),"Missing - no booking with that ID",IF(IF(E219="Tip",J219="",FALSE),"Assign - whose tip is it?",IF(IF(E219="Deposit",IF(H219="",I219="",FALSE),FALSE),"Check - deposit not tied to a booking",IF(M219="No","Due - not reconciled yet","OK"))))))))</f>
        <v>0</v>
      </c>
    </row>
    <row r="220" spans="1:23">
      <c r="A220" s="28">
        <f>IF(B220="","",PaymentPrefix&amp;TEXT(ROW()-4,"0000"))</f>
        <v>0</v>
      </c>
      <c r="D220" s="15">
        <f>IF(C220="","",IFERROR(INDEX(Clients!$B$5:$B$504,MATCH(C220,Clients!$A$5:$A$504,0)),"Walk-in"))</f>
        <v>0</v>
      </c>
      <c r="K220" s="15">
        <f>IF(J220="","",IFERROR(INDEX(Staff!$B$5:$B$44,MATCH(J220,Staff!$A$5:$A$44,0)),""))</f>
        <v>0</v>
      </c>
      <c r="O220" s="15">
        <f>IF(B220="","",TEXT(B220,"yyyy-mm"))</f>
        <v>0</v>
      </c>
      <c r="P220" s="25">
        <f>IF(B220="","",WEEKNUM(B220,2))</f>
        <v>0</v>
      </c>
      <c r="Q220" s="38">
        <f>IF(B220="","",IF(E220="Tip","No",IF(E220="Refund","No","Yes")))</f>
        <v>0</v>
      </c>
      <c r="R220" s="25">
        <f>IF(B220="","",IF(E220="Refund",-1,1))</f>
        <v>0</v>
      </c>
      <c r="S220" s="26">
        <f>IF(B220="","",IF(G220="",0,IF(F220="Card",ROUND(G220*CardFeePercent+CardFeeFixed,2),IF(F220="Online deposit",ROUND(G220*CardFeePercent+CardFeeFixed,2),0))))</f>
        <v>0</v>
      </c>
      <c r="T220" s="26">
        <f>IF(B220="","",ROUND(IF(G220="",0,G220)*R220-S220,2))</f>
        <v>0</v>
      </c>
      <c r="U220" s="38">
        <f>IF(B220="","",IF(E220="Tip","Yes","No"))</f>
        <v>0</v>
      </c>
      <c r="V220" s="15">
        <f>IF(B220="","",IF(H220&lt;&gt;"","Sale "&amp;H220,IF(I220&lt;&gt;"","Booking "&amp;I220,IF(E220="Tip","Stylist","Unapplied"))))</f>
        <v>0</v>
      </c>
      <c r="W220" s="39">
        <f>IF(B220="","",IF(G220="","Add - no amount yet",IF(E220="","Add - what was this for?",IF(IF(H220="",FALSE,COUNTIF(Sales!$A$5:$A$1204,H220)=0),"Missing - no sale with that ID",IF(IF(I220="",FALSE,COUNTIF(Appointments!$A$5:$A$1204,I220)=0),"Missing - no booking with that ID",IF(IF(E220="Tip",J220="",FALSE),"Assign - whose tip is it?",IF(IF(E220="Deposit",IF(H220="",I220="",FALSE),FALSE),"Check - deposit not tied to a booking",IF(M220="No","Due - not reconciled yet","OK"))))))))</f>
        <v>0</v>
      </c>
    </row>
    <row r="221" spans="1:23">
      <c r="A221" s="28">
        <f>IF(B221="","",PaymentPrefix&amp;TEXT(ROW()-4,"0000"))</f>
        <v>0</v>
      </c>
      <c r="D221" s="15">
        <f>IF(C221="","",IFERROR(INDEX(Clients!$B$5:$B$504,MATCH(C221,Clients!$A$5:$A$504,0)),"Walk-in"))</f>
        <v>0</v>
      </c>
      <c r="K221" s="15">
        <f>IF(J221="","",IFERROR(INDEX(Staff!$B$5:$B$44,MATCH(J221,Staff!$A$5:$A$44,0)),""))</f>
        <v>0</v>
      </c>
      <c r="O221" s="15">
        <f>IF(B221="","",TEXT(B221,"yyyy-mm"))</f>
        <v>0</v>
      </c>
      <c r="P221" s="25">
        <f>IF(B221="","",WEEKNUM(B221,2))</f>
        <v>0</v>
      </c>
      <c r="Q221" s="38">
        <f>IF(B221="","",IF(E221="Tip","No",IF(E221="Refund","No","Yes")))</f>
        <v>0</v>
      </c>
      <c r="R221" s="25">
        <f>IF(B221="","",IF(E221="Refund",-1,1))</f>
        <v>0</v>
      </c>
      <c r="S221" s="26">
        <f>IF(B221="","",IF(G221="",0,IF(F221="Card",ROUND(G221*CardFeePercent+CardFeeFixed,2),IF(F221="Online deposit",ROUND(G221*CardFeePercent+CardFeeFixed,2),0))))</f>
        <v>0</v>
      </c>
      <c r="T221" s="26">
        <f>IF(B221="","",ROUND(IF(G221="",0,G221)*R221-S221,2))</f>
        <v>0</v>
      </c>
      <c r="U221" s="38">
        <f>IF(B221="","",IF(E221="Tip","Yes","No"))</f>
        <v>0</v>
      </c>
      <c r="V221" s="15">
        <f>IF(B221="","",IF(H221&lt;&gt;"","Sale "&amp;H221,IF(I221&lt;&gt;"","Booking "&amp;I221,IF(E221="Tip","Stylist","Unapplied"))))</f>
        <v>0</v>
      </c>
      <c r="W221" s="39">
        <f>IF(B221="","",IF(G221="","Add - no amount yet",IF(E221="","Add - what was this for?",IF(IF(H221="",FALSE,COUNTIF(Sales!$A$5:$A$1204,H221)=0),"Missing - no sale with that ID",IF(IF(I221="",FALSE,COUNTIF(Appointments!$A$5:$A$1204,I221)=0),"Missing - no booking with that ID",IF(IF(E221="Tip",J221="",FALSE),"Assign - whose tip is it?",IF(IF(E221="Deposit",IF(H221="",I221="",FALSE),FALSE),"Check - deposit not tied to a booking",IF(M221="No","Due - not reconciled yet","OK"))))))))</f>
        <v>0</v>
      </c>
    </row>
    <row r="222" spans="1:23">
      <c r="A222" s="28">
        <f>IF(B222="","",PaymentPrefix&amp;TEXT(ROW()-4,"0000"))</f>
        <v>0</v>
      </c>
      <c r="D222" s="15">
        <f>IF(C222="","",IFERROR(INDEX(Clients!$B$5:$B$504,MATCH(C222,Clients!$A$5:$A$504,0)),"Walk-in"))</f>
        <v>0</v>
      </c>
      <c r="K222" s="15">
        <f>IF(J222="","",IFERROR(INDEX(Staff!$B$5:$B$44,MATCH(J222,Staff!$A$5:$A$44,0)),""))</f>
        <v>0</v>
      </c>
      <c r="O222" s="15">
        <f>IF(B222="","",TEXT(B222,"yyyy-mm"))</f>
        <v>0</v>
      </c>
      <c r="P222" s="25">
        <f>IF(B222="","",WEEKNUM(B222,2))</f>
        <v>0</v>
      </c>
      <c r="Q222" s="38">
        <f>IF(B222="","",IF(E222="Tip","No",IF(E222="Refund","No","Yes")))</f>
        <v>0</v>
      </c>
      <c r="R222" s="25">
        <f>IF(B222="","",IF(E222="Refund",-1,1))</f>
        <v>0</v>
      </c>
      <c r="S222" s="26">
        <f>IF(B222="","",IF(G222="",0,IF(F222="Card",ROUND(G222*CardFeePercent+CardFeeFixed,2),IF(F222="Online deposit",ROUND(G222*CardFeePercent+CardFeeFixed,2),0))))</f>
        <v>0</v>
      </c>
      <c r="T222" s="26">
        <f>IF(B222="","",ROUND(IF(G222="",0,G222)*R222-S222,2))</f>
        <v>0</v>
      </c>
      <c r="U222" s="38">
        <f>IF(B222="","",IF(E222="Tip","Yes","No"))</f>
        <v>0</v>
      </c>
      <c r="V222" s="15">
        <f>IF(B222="","",IF(H222&lt;&gt;"","Sale "&amp;H222,IF(I222&lt;&gt;"","Booking "&amp;I222,IF(E222="Tip","Stylist","Unapplied"))))</f>
        <v>0</v>
      </c>
      <c r="W222" s="39">
        <f>IF(B222="","",IF(G222="","Add - no amount yet",IF(E222="","Add - what was this for?",IF(IF(H222="",FALSE,COUNTIF(Sales!$A$5:$A$1204,H222)=0),"Missing - no sale with that ID",IF(IF(I222="",FALSE,COUNTIF(Appointments!$A$5:$A$1204,I222)=0),"Missing - no booking with that ID",IF(IF(E222="Tip",J222="",FALSE),"Assign - whose tip is it?",IF(IF(E222="Deposit",IF(H222="",I222="",FALSE),FALSE),"Check - deposit not tied to a booking",IF(M222="No","Due - not reconciled yet","OK"))))))))</f>
        <v>0</v>
      </c>
    </row>
    <row r="223" spans="1:23">
      <c r="A223" s="28">
        <f>IF(B223="","",PaymentPrefix&amp;TEXT(ROW()-4,"0000"))</f>
        <v>0</v>
      </c>
      <c r="D223" s="15">
        <f>IF(C223="","",IFERROR(INDEX(Clients!$B$5:$B$504,MATCH(C223,Clients!$A$5:$A$504,0)),"Walk-in"))</f>
        <v>0</v>
      </c>
      <c r="K223" s="15">
        <f>IF(J223="","",IFERROR(INDEX(Staff!$B$5:$B$44,MATCH(J223,Staff!$A$5:$A$44,0)),""))</f>
        <v>0</v>
      </c>
      <c r="O223" s="15">
        <f>IF(B223="","",TEXT(B223,"yyyy-mm"))</f>
        <v>0</v>
      </c>
      <c r="P223" s="25">
        <f>IF(B223="","",WEEKNUM(B223,2))</f>
        <v>0</v>
      </c>
      <c r="Q223" s="38">
        <f>IF(B223="","",IF(E223="Tip","No",IF(E223="Refund","No","Yes")))</f>
        <v>0</v>
      </c>
      <c r="R223" s="25">
        <f>IF(B223="","",IF(E223="Refund",-1,1))</f>
        <v>0</v>
      </c>
      <c r="S223" s="26">
        <f>IF(B223="","",IF(G223="",0,IF(F223="Card",ROUND(G223*CardFeePercent+CardFeeFixed,2),IF(F223="Online deposit",ROUND(G223*CardFeePercent+CardFeeFixed,2),0))))</f>
        <v>0</v>
      </c>
      <c r="T223" s="26">
        <f>IF(B223="","",ROUND(IF(G223="",0,G223)*R223-S223,2))</f>
        <v>0</v>
      </c>
      <c r="U223" s="38">
        <f>IF(B223="","",IF(E223="Tip","Yes","No"))</f>
        <v>0</v>
      </c>
      <c r="V223" s="15">
        <f>IF(B223="","",IF(H223&lt;&gt;"","Sale "&amp;H223,IF(I223&lt;&gt;"","Booking "&amp;I223,IF(E223="Tip","Stylist","Unapplied"))))</f>
        <v>0</v>
      </c>
      <c r="W223" s="39">
        <f>IF(B223="","",IF(G223="","Add - no amount yet",IF(E223="","Add - what was this for?",IF(IF(H223="",FALSE,COUNTIF(Sales!$A$5:$A$1204,H223)=0),"Missing - no sale with that ID",IF(IF(I223="",FALSE,COUNTIF(Appointments!$A$5:$A$1204,I223)=0),"Missing - no booking with that ID",IF(IF(E223="Tip",J223="",FALSE),"Assign - whose tip is it?",IF(IF(E223="Deposit",IF(H223="",I223="",FALSE),FALSE),"Check - deposit not tied to a booking",IF(M223="No","Due - not reconciled yet","OK"))))))))</f>
        <v>0</v>
      </c>
    </row>
    <row r="224" spans="1:23">
      <c r="A224" s="28">
        <f>IF(B224="","",PaymentPrefix&amp;TEXT(ROW()-4,"0000"))</f>
        <v>0</v>
      </c>
      <c r="D224" s="15">
        <f>IF(C224="","",IFERROR(INDEX(Clients!$B$5:$B$504,MATCH(C224,Clients!$A$5:$A$504,0)),"Walk-in"))</f>
        <v>0</v>
      </c>
      <c r="K224" s="15">
        <f>IF(J224="","",IFERROR(INDEX(Staff!$B$5:$B$44,MATCH(J224,Staff!$A$5:$A$44,0)),""))</f>
        <v>0</v>
      </c>
      <c r="O224" s="15">
        <f>IF(B224="","",TEXT(B224,"yyyy-mm"))</f>
        <v>0</v>
      </c>
      <c r="P224" s="25">
        <f>IF(B224="","",WEEKNUM(B224,2))</f>
        <v>0</v>
      </c>
      <c r="Q224" s="38">
        <f>IF(B224="","",IF(E224="Tip","No",IF(E224="Refund","No","Yes")))</f>
        <v>0</v>
      </c>
      <c r="R224" s="25">
        <f>IF(B224="","",IF(E224="Refund",-1,1))</f>
        <v>0</v>
      </c>
      <c r="S224" s="26">
        <f>IF(B224="","",IF(G224="",0,IF(F224="Card",ROUND(G224*CardFeePercent+CardFeeFixed,2),IF(F224="Online deposit",ROUND(G224*CardFeePercent+CardFeeFixed,2),0))))</f>
        <v>0</v>
      </c>
      <c r="T224" s="26">
        <f>IF(B224="","",ROUND(IF(G224="",0,G224)*R224-S224,2))</f>
        <v>0</v>
      </c>
      <c r="U224" s="38">
        <f>IF(B224="","",IF(E224="Tip","Yes","No"))</f>
        <v>0</v>
      </c>
      <c r="V224" s="15">
        <f>IF(B224="","",IF(H224&lt;&gt;"","Sale "&amp;H224,IF(I224&lt;&gt;"","Booking "&amp;I224,IF(E224="Tip","Stylist","Unapplied"))))</f>
        <v>0</v>
      </c>
      <c r="W224" s="39">
        <f>IF(B224="","",IF(G224="","Add - no amount yet",IF(E224="","Add - what was this for?",IF(IF(H224="",FALSE,COUNTIF(Sales!$A$5:$A$1204,H224)=0),"Missing - no sale with that ID",IF(IF(I224="",FALSE,COUNTIF(Appointments!$A$5:$A$1204,I224)=0),"Missing - no booking with that ID",IF(IF(E224="Tip",J224="",FALSE),"Assign - whose tip is it?",IF(IF(E224="Deposit",IF(H224="",I224="",FALSE),FALSE),"Check - deposit not tied to a booking",IF(M224="No","Due - not reconciled yet","OK"))))))))</f>
        <v>0</v>
      </c>
    </row>
    <row r="225" spans="1:23">
      <c r="A225" s="28">
        <f>IF(B225="","",PaymentPrefix&amp;TEXT(ROW()-4,"0000"))</f>
        <v>0</v>
      </c>
      <c r="D225" s="15">
        <f>IF(C225="","",IFERROR(INDEX(Clients!$B$5:$B$504,MATCH(C225,Clients!$A$5:$A$504,0)),"Walk-in"))</f>
        <v>0</v>
      </c>
      <c r="K225" s="15">
        <f>IF(J225="","",IFERROR(INDEX(Staff!$B$5:$B$44,MATCH(J225,Staff!$A$5:$A$44,0)),""))</f>
        <v>0</v>
      </c>
      <c r="O225" s="15">
        <f>IF(B225="","",TEXT(B225,"yyyy-mm"))</f>
        <v>0</v>
      </c>
      <c r="P225" s="25">
        <f>IF(B225="","",WEEKNUM(B225,2))</f>
        <v>0</v>
      </c>
      <c r="Q225" s="38">
        <f>IF(B225="","",IF(E225="Tip","No",IF(E225="Refund","No","Yes")))</f>
        <v>0</v>
      </c>
      <c r="R225" s="25">
        <f>IF(B225="","",IF(E225="Refund",-1,1))</f>
        <v>0</v>
      </c>
      <c r="S225" s="26">
        <f>IF(B225="","",IF(G225="",0,IF(F225="Card",ROUND(G225*CardFeePercent+CardFeeFixed,2),IF(F225="Online deposit",ROUND(G225*CardFeePercent+CardFeeFixed,2),0))))</f>
        <v>0</v>
      </c>
      <c r="T225" s="26">
        <f>IF(B225="","",ROUND(IF(G225="",0,G225)*R225-S225,2))</f>
        <v>0</v>
      </c>
      <c r="U225" s="38">
        <f>IF(B225="","",IF(E225="Tip","Yes","No"))</f>
        <v>0</v>
      </c>
      <c r="V225" s="15">
        <f>IF(B225="","",IF(H225&lt;&gt;"","Sale "&amp;H225,IF(I225&lt;&gt;"","Booking "&amp;I225,IF(E225="Tip","Stylist","Unapplied"))))</f>
        <v>0</v>
      </c>
      <c r="W225" s="39">
        <f>IF(B225="","",IF(G225="","Add - no amount yet",IF(E225="","Add - what was this for?",IF(IF(H225="",FALSE,COUNTIF(Sales!$A$5:$A$1204,H225)=0),"Missing - no sale with that ID",IF(IF(I225="",FALSE,COUNTIF(Appointments!$A$5:$A$1204,I225)=0),"Missing - no booking with that ID",IF(IF(E225="Tip",J225="",FALSE),"Assign - whose tip is it?",IF(IF(E225="Deposit",IF(H225="",I225="",FALSE),FALSE),"Check - deposit not tied to a booking",IF(M225="No","Due - not reconciled yet","OK"))))))))</f>
        <v>0</v>
      </c>
    </row>
    <row r="226" spans="1:23">
      <c r="A226" s="28">
        <f>IF(B226="","",PaymentPrefix&amp;TEXT(ROW()-4,"0000"))</f>
        <v>0</v>
      </c>
      <c r="D226" s="15">
        <f>IF(C226="","",IFERROR(INDEX(Clients!$B$5:$B$504,MATCH(C226,Clients!$A$5:$A$504,0)),"Walk-in"))</f>
        <v>0</v>
      </c>
      <c r="K226" s="15">
        <f>IF(J226="","",IFERROR(INDEX(Staff!$B$5:$B$44,MATCH(J226,Staff!$A$5:$A$44,0)),""))</f>
        <v>0</v>
      </c>
      <c r="O226" s="15">
        <f>IF(B226="","",TEXT(B226,"yyyy-mm"))</f>
        <v>0</v>
      </c>
      <c r="P226" s="25">
        <f>IF(B226="","",WEEKNUM(B226,2))</f>
        <v>0</v>
      </c>
      <c r="Q226" s="38">
        <f>IF(B226="","",IF(E226="Tip","No",IF(E226="Refund","No","Yes")))</f>
        <v>0</v>
      </c>
      <c r="R226" s="25">
        <f>IF(B226="","",IF(E226="Refund",-1,1))</f>
        <v>0</v>
      </c>
      <c r="S226" s="26">
        <f>IF(B226="","",IF(G226="",0,IF(F226="Card",ROUND(G226*CardFeePercent+CardFeeFixed,2),IF(F226="Online deposit",ROUND(G226*CardFeePercent+CardFeeFixed,2),0))))</f>
        <v>0</v>
      </c>
      <c r="T226" s="26">
        <f>IF(B226="","",ROUND(IF(G226="",0,G226)*R226-S226,2))</f>
        <v>0</v>
      </c>
      <c r="U226" s="38">
        <f>IF(B226="","",IF(E226="Tip","Yes","No"))</f>
        <v>0</v>
      </c>
      <c r="V226" s="15">
        <f>IF(B226="","",IF(H226&lt;&gt;"","Sale "&amp;H226,IF(I226&lt;&gt;"","Booking "&amp;I226,IF(E226="Tip","Stylist","Unapplied"))))</f>
        <v>0</v>
      </c>
      <c r="W226" s="39">
        <f>IF(B226="","",IF(G226="","Add - no amount yet",IF(E226="","Add - what was this for?",IF(IF(H226="",FALSE,COUNTIF(Sales!$A$5:$A$1204,H226)=0),"Missing - no sale with that ID",IF(IF(I226="",FALSE,COUNTIF(Appointments!$A$5:$A$1204,I226)=0),"Missing - no booking with that ID",IF(IF(E226="Tip",J226="",FALSE),"Assign - whose tip is it?",IF(IF(E226="Deposit",IF(H226="",I226="",FALSE),FALSE),"Check - deposit not tied to a booking",IF(M226="No","Due - not reconciled yet","OK"))))))))</f>
        <v>0</v>
      </c>
    </row>
    <row r="227" spans="1:23">
      <c r="A227" s="28">
        <f>IF(B227="","",PaymentPrefix&amp;TEXT(ROW()-4,"0000"))</f>
        <v>0</v>
      </c>
      <c r="D227" s="15">
        <f>IF(C227="","",IFERROR(INDEX(Clients!$B$5:$B$504,MATCH(C227,Clients!$A$5:$A$504,0)),"Walk-in"))</f>
        <v>0</v>
      </c>
      <c r="K227" s="15">
        <f>IF(J227="","",IFERROR(INDEX(Staff!$B$5:$B$44,MATCH(J227,Staff!$A$5:$A$44,0)),""))</f>
        <v>0</v>
      </c>
      <c r="O227" s="15">
        <f>IF(B227="","",TEXT(B227,"yyyy-mm"))</f>
        <v>0</v>
      </c>
      <c r="P227" s="25">
        <f>IF(B227="","",WEEKNUM(B227,2))</f>
        <v>0</v>
      </c>
      <c r="Q227" s="38">
        <f>IF(B227="","",IF(E227="Tip","No",IF(E227="Refund","No","Yes")))</f>
        <v>0</v>
      </c>
      <c r="R227" s="25">
        <f>IF(B227="","",IF(E227="Refund",-1,1))</f>
        <v>0</v>
      </c>
      <c r="S227" s="26">
        <f>IF(B227="","",IF(G227="",0,IF(F227="Card",ROUND(G227*CardFeePercent+CardFeeFixed,2),IF(F227="Online deposit",ROUND(G227*CardFeePercent+CardFeeFixed,2),0))))</f>
        <v>0</v>
      </c>
      <c r="T227" s="26">
        <f>IF(B227="","",ROUND(IF(G227="",0,G227)*R227-S227,2))</f>
        <v>0</v>
      </c>
      <c r="U227" s="38">
        <f>IF(B227="","",IF(E227="Tip","Yes","No"))</f>
        <v>0</v>
      </c>
      <c r="V227" s="15">
        <f>IF(B227="","",IF(H227&lt;&gt;"","Sale "&amp;H227,IF(I227&lt;&gt;"","Booking "&amp;I227,IF(E227="Tip","Stylist","Unapplied"))))</f>
        <v>0</v>
      </c>
      <c r="W227" s="39">
        <f>IF(B227="","",IF(G227="","Add - no amount yet",IF(E227="","Add - what was this for?",IF(IF(H227="",FALSE,COUNTIF(Sales!$A$5:$A$1204,H227)=0),"Missing - no sale with that ID",IF(IF(I227="",FALSE,COUNTIF(Appointments!$A$5:$A$1204,I227)=0),"Missing - no booking with that ID",IF(IF(E227="Tip",J227="",FALSE),"Assign - whose tip is it?",IF(IF(E227="Deposit",IF(H227="",I227="",FALSE),FALSE),"Check - deposit not tied to a booking",IF(M227="No","Due - not reconciled yet","OK"))))))))</f>
        <v>0</v>
      </c>
    </row>
    <row r="228" spans="1:23">
      <c r="A228" s="28">
        <f>IF(B228="","",PaymentPrefix&amp;TEXT(ROW()-4,"0000"))</f>
        <v>0</v>
      </c>
      <c r="D228" s="15">
        <f>IF(C228="","",IFERROR(INDEX(Clients!$B$5:$B$504,MATCH(C228,Clients!$A$5:$A$504,0)),"Walk-in"))</f>
        <v>0</v>
      </c>
      <c r="K228" s="15">
        <f>IF(J228="","",IFERROR(INDEX(Staff!$B$5:$B$44,MATCH(J228,Staff!$A$5:$A$44,0)),""))</f>
        <v>0</v>
      </c>
      <c r="O228" s="15">
        <f>IF(B228="","",TEXT(B228,"yyyy-mm"))</f>
        <v>0</v>
      </c>
      <c r="P228" s="25">
        <f>IF(B228="","",WEEKNUM(B228,2))</f>
        <v>0</v>
      </c>
      <c r="Q228" s="38">
        <f>IF(B228="","",IF(E228="Tip","No",IF(E228="Refund","No","Yes")))</f>
        <v>0</v>
      </c>
      <c r="R228" s="25">
        <f>IF(B228="","",IF(E228="Refund",-1,1))</f>
        <v>0</v>
      </c>
      <c r="S228" s="26">
        <f>IF(B228="","",IF(G228="",0,IF(F228="Card",ROUND(G228*CardFeePercent+CardFeeFixed,2),IF(F228="Online deposit",ROUND(G228*CardFeePercent+CardFeeFixed,2),0))))</f>
        <v>0</v>
      </c>
      <c r="T228" s="26">
        <f>IF(B228="","",ROUND(IF(G228="",0,G228)*R228-S228,2))</f>
        <v>0</v>
      </c>
      <c r="U228" s="38">
        <f>IF(B228="","",IF(E228="Tip","Yes","No"))</f>
        <v>0</v>
      </c>
      <c r="V228" s="15">
        <f>IF(B228="","",IF(H228&lt;&gt;"","Sale "&amp;H228,IF(I228&lt;&gt;"","Booking "&amp;I228,IF(E228="Tip","Stylist","Unapplied"))))</f>
        <v>0</v>
      </c>
      <c r="W228" s="39">
        <f>IF(B228="","",IF(G228="","Add - no amount yet",IF(E228="","Add - what was this for?",IF(IF(H228="",FALSE,COUNTIF(Sales!$A$5:$A$1204,H228)=0),"Missing - no sale with that ID",IF(IF(I228="",FALSE,COUNTIF(Appointments!$A$5:$A$1204,I228)=0),"Missing - no booking with that ID",IF(IF(E228="Tip",J228="",FALSE),"Assign - whose tip is it?",IF(IF(E228="Deposit",IF(H228="",I228="",FALSE),FALSE),"Check - deposit not tied to a booking",IF(M228="No","Due - not reconciled yet","OK"))))))))</f>
        <v>0</v>
      </c>
    </row>
    <row r="229" spans="1:23">
      <c r="A229" s="28">
        <f>IF(B229="","",PaymentPrefix&amp;TEXT(ROW()-4,"0000"))</f>
        <v>0</v>
      </c>
      <c r="D229" s="15">
        <f>IF(C229="","",IFERROR(INDEX(Clients!$B$5:$B$504,MATCH(C229,Clients!$A$5:$A$504,0)),"Walk-in"))</f>
        <v>0</v>
      </c>
      <c r="K229" s="15">
        <f>IF(J229="","",IFERROR(INDEX(Staff!$B$5:$B$44,MATCH(J229,Staff!$A$5:$A$44,0)),""))</f>
        <v>0</v>
      </c>
      <c r="O229" s="15">
        <f>IF(B229="","",TEXT(B229,"yyyy-mm"))</f>
        <v>0</v>
      </c>
      <c r="P229" s="25">
        <f>IF(B229="","",WEEKNUM(B229,2))</f>
        <v>0</v>
      </c>
      <c r="Q229" s="38">
        <f>IF(B229="","",IF(E229="Tip","No",IF(E229="Refund","No","Yes")))</f>
        <v>0</v>
      </c>
      <c r="R229" s="25">
        <f>IF(B229="","",IF(E229="Refund",-1,1))</f>
        <v>0</v>
      </c>
      <c r="S229" s="26">
        <f>IF(B229="","",IF(G229="",0,IF(F229="Card",ROUND(G229*CardFeePercent+CardFeeFixed,2),IF(F229="Online deposit",ROUND(G229*CardFeePercent+CardFeeFixed,2),0))))</f>
        <v>0</v>
      </c>
      <c r="T229" s="26">
        <f>IF(B229="","",ROUND(IF(G229="",0,G229)*R229-S229,2))</f>
        <v>0</v>
      </c>
      <c r="U229" s="38">
        <f>IF(B229="","",IF(E229="Tip","Yes","No"))</f>
        <v>0</v>
      </c>
      <c r="V229" s="15">
        <f>IF(B229="","",IF(H229&lt;&gt;"","Sale "&amp;H229,IF(I229&lt;&gt;"","Booking "&amp;I229,IF(E229="Tip","Stylist","Unapplied"))))</f>
        <v>0</v>
      </c>
      <c r="W229" s="39">
        <f>IF(B229="","",IF(G229="","Add - no amount yet",IF(E229="","Add - what was this for?",IF(IF(H229="",FALSE,COUNTIF(Sales!$A$5:$A$1204,H229)=0),"Missing - no sale with that ID",IF(IF(I229="",FALSE,COUNTIF(Appointments!$A$5:$A$1204,I229)=0),"Missing - no booking with that ID",IF(IF(E229="Tip",J229="",FALSE),"Assign - whose tip is it?",IF(IF(E229="Deposit",IF(H229="",I229="",FALSE),FALSE),"Check - deposit not tied to a booking",IF(M229="No","Due - not reconciled yet","OK"))))))))</f>
        <v>0</v>
      </c>
    </row>
    <row r="230" spans="1:23">
      <c r="A230" s="28">
        <f>IF(B230="","",PaymentPrefix&amp;TEXT(ROW()-4,"0000"))</f>
        <v>0</v>
      </c>
      <c r="D230" s="15">
        <f>IF(C230="","",IFERROR(INDEX(Clients!$B$5:$B$504,MATCH(C230,Clients!$A$5:$A$504,0)),"Walk-in"))</f>
        <v>0</v>
      </c>
      <c r="K230" s="15">
        <f>IF(J230="","",IFERROR(INDEX(Staff!$B$5:$B$44,MATCH(J230,Staff!$A$5:$A$44,0)),""))</f>
        <v>0</v>
      </c>
      <c r="O230" s="15">
        <f>IF(B230="","",TEXT(B230,"yyyy-mm"))</f>
        <v>0</v>
      </c>
      <c r="P230" s="25">
        <f>IF(B230="","",WEEKNUM(B230,2))</f>
        <v>0</v>
      </c>
      <c r="Q230" s="38">
        <f>IF(B230="","",IF(E230="Tip","No",IF(E230="Refund","No","Yes")))</f>
        <v>0</v>
      </c>
      <c r="R230" s="25">
        <f>IF(B230="","",IF(E230="Refund",-1,1))</f>
        <v>0</v>
      </c>
      <c r="S230" s="26">
        <f>IF(B230="","",IF(G230="",0,IF(F230="Card",ROUND(G230*CardFeePercent+CardFeeFixed,2),IF(F230="Online deposit",ROUND(G230*CardFeePercent+CardFeeFixed,2),0))))</f>
        <v>0</v>
      </c>
      <c r="T230" s="26">
        <f>IF(B230="","",ROUND(IF(G230="",0,G230)*R230-S230,2))</f>
        <v>0</v>
      </c>
      <c r="U230" s="38">
        <f>IF(B230="","",IF(E230="Tip","Yes","No"))</f>
        <v>0</v>
      </c>
      <c r="V230" s="15">
        <f>IF(B230="","",IF(H230&lt;&gt;"","Sale "&amp;H230,IF(I230&lt;&gt;"","Booking "&amp;I230,IF(E230="Tip","Stylist","Unapplied"))))</f>
        <v>0</v>
      </c>
      <c r="W230" s="39">
        <f>IF(B230="","",IF(G230="","Add - no amount yet",IF(E230="","Add - what was this for?",IF(IF(H230="",FALSE,COUNTIF(Sales!$A$5:$A$1204,H230)=0),"Missing - no sale with that ID",IF(IF(I230="",FALSE,COUNTIF(Appointments!$A$5:$A$1204,I230)=0),"Missing - no booking with that ID",IF(IF(E230="Tip",J230="",FALSE),"Assign - whose tip is it?",IF(IF(E230="Deposit",IF(H230="",I230="",FALSE),FALSE),"Check - deposit not tied to a booking",IF(M230="No","Due - not reconciled yet","OK"))))))))</f>
        <v>0</v>
      </c>
    </row>
    <row r="231" spans="1:23">
      <c r="A231" s="28">
        <f>IF(B231="","",PaymentPrefix&amp;TEXT(ROW()-4,"0000"))</f>
        <v>0</v>
      </c>
      <c r="D231" s="15">
        <f>IF(C231="","",IFERROR(INDEX(Clients!$B$5:$B$504,MATCH(C231,Clients!$A$5:$A$504,0)),"Walk-in"))</f>
        <v>0</v>
      </c>
      <c r="K231" s="15">
        <f>IF(J231="","",IFERROR(INDEX(Staff!$B$5:$B$44,MATCH(J231,Staff!$A$5:$A$44,0)),""))</f>
        <v>0</v>
      </c>
      <c r="O231" s="15">
        <f>IF(B231="","",TEXT(B231,"yyyy-mm"))</f>
        <v>0</v>
      </c>
      <c r="P231" s="25">
        <f>IF(B231="","",WEEKNUM(B231,2))</f>
        <v>0</v>
      </c>
      <c r="Q231" s="38">
        <f>IF(B231="","",IF(E231="Tip","No",IF(E231="Refund","No","Yes")))</f>
        <v>0</v>
      </c>
      <c r="R231" s="25">
        <f>IF(B231="","",IF(E231="Refund",-1,1))</f>
        <v>0</v>
      </c>
      <c r="S231" s="26">
        <f>IF(B231="","",IF(G231="",0,IF(F231="Card",ROUND(G231*CardFeePercent+CardFeeFixed,2),IF(F231="Online deposit",ROUND(G231*CardFeePercent+CardFeeFixed,2),0))))</f>
        <v>0</v>
      </c>
      <c r="T231" s="26">
        <f>IF(B231="","",ROUND(IF(G231="",0,G231)*R231-S231,2))</f>
        <v>0</v>
      </c>
      <c r="U231" s="38">
        <f>IF(B231="","",IF(E231="Tip","Yes","No"))</f>
        <v>0</v>
      </c>
      <c r="V231" s="15">
        <f>IF(B231="","",IF(H231&lt;&gt;"","Sale "&amp;H231,IF(I231&lt;&gt;"","Booking "&amp;I231,IF(E231="Tip","Stylist","Unapplied"))))</f>
        <v>0</v>
      </c>
      <c r="W231" s="39">
        <f>IF(B231="","",IF(G231="","Add - no amount yet",IF(E231="","Add - what was this for?",IF(IF(H231="",FALSE,COUNTIF(Sales!$A$5:$A$1204,H231)=0),"Missing - no sale with that ID",IF(IF(I231="",FALSE,COUNTIF(Appointments!$A$5:$A$1204,I231)=0),"Missing - no booking with that ID",IF(IF(E231="Tip",J231="",FALSE),"Assign - whose tip is it?",IF(IF(E231="Deposit",IF(H231="",I231="",FALSE),FALSE),"Check - deposit not tied to a booking",IF(M231="No","Due - not reconciled yet","OK"))))))))</f>
        <v>0</v>
      </c>
    </row>
    <row r="232" spans="1:23">
      <c r="A232" s="28">
        <f>IF(B232="","",PaymentPrefix&amp;TEXT(ROW()-4,"0000"))</f>
        <v>0</v>
      </c>
      <c r="D232" s="15">
        <f>IF(C232="","",IFERROR(INDEX(Clients!$B$5:$B$504,MATCH(C232,Clients!$A$5:$A$504,0)),"Walk-in"))</f>
        <v>0</v>
      </c>
      <c r="K232" s="15">
        <f>IF(J232="","",IFERROR(INDEX(Staff!$B$5:$B$44,MATCH(J232,Staff!$A$5:$A$44,0)),""))</f>
        <v>0</v>
      </c>
      <c r="O232" s="15">
        <f>IF(B232="","",TEXT(B232,"yyyy-mm"))</f>
        <v>0</v>
      </c>
      <c r="P232" s="25">
        <f>IF(B232="","",WEEKNUM(B232,2))</f>
        <v>0</v>
      </c>
      <c r="Q232" s="38">
        <f>IF(B232="","",IF(E232="Tip","No",IF(E232="Refund","No","Yes")))</f>
        <v>0</v>
      </c>
      <c r="R232" s="25">
        <f>IF(B232="","",IF(E232="Refund",-1,1))</f>
        <v>0</v>
      </c>
      <c r="S232" s="26">
        <f>IF(B232="","",IF(G232="",0,IF(F232="Card",ROUND(G232*CardFeePercent+CardFeeFixed,2),IF(F232="Online deposit",ROUND(G232*CardFeePercent+CardFeeFixed,2),0))))</f>
        <v>0</v>
      </c>
      <c r="T232" s="26">
        <f>IF(B232="","",ROUND(IF(G232="",0,G232)*R232-S232,2))</f>
        <v>0</v>
      </c>
      <c r="U232" s="38">
        <f>IF(B232="","",IF(E232="Tip","Yes","No"))</f>
        <v>0</v>
      </c>
      <c r="V232" s="15">
        <f>IF(B232="","",IF(H232&lt;&gt;"","Sale "&amp;H232,IF(I232&lt;&gt;"","Booking "&amp;I232,IF(E232="Tip","Stylist","Unapplied"))))</f>
        <v>0</v>
      </c>
      <c r="W232" s="39">
        <f>IF(B232="","",IF(G232="","Add - no amount yet",IF(E232="","Add - what was this for?",IF(IF(H232="",FALSE,COUNTIF(Sales!$A$5:$A$1204,H232)=0),"Missing - no sale with that ID",IF(IF(I232="",FALSE,COUNTIF(Appointments!$A$5:$A$1204,I232)=0),"Missing - no booking with that ID",IF(IF(E232="Tip",J232="",FALSE),"Assign - whose tip is it?",IF(IF(E232="Deposit",IF(H232="",I232="",FALSE),FALSE),"Check - deposit not tied to a booking",IF(M232="No","Due - not reconciled yet","OK"))))))))</f>
        <v>0</v>
      </c>
    </row>
    <row r="233" spans="1:23">
      <c r="A233" s="28">
        <f>IF(B233="","",PaymentPrefix&amp;TEXT(ROW()-4,"0000"))</f>
        <v>0</v>
      </c>
      <c r="D233" s="15">
        <f>IF(C233="","",IFERROR(INDEX(Clients!$B$5:$B$504,MATCH(C233,Clients!$A$5:$A$504,0)),"Walk-in"))</f>
        <v>0</v>
      </c>
      <c r="K233" s="15">
        <f>IF(J233="","",IFERROR(INDEX(Staff!$B$5:$B$44,MATCH(J233,Staff!$A$5:$A$44,0)),""))</f>
        <v>0</v>
      </c>
      <c r="O233" s="15">
        <f>IF(B233="","",TEXT(B233,"yyyy-mm"))</f>
        <v>0</v>
      </c>
      <c r="P233" s="25">
        <f>IF(B233="","",WEEKNUM(B233,2))</f>
        <v>0</v>
      </c>
      <c r="Q233" s="38">
        <f>IF(B233="","",IF(E233="Tip","No",IF(E233="Refund","No","Yes")))</f>
        <v>0</v>
      </c>
      <c r="R233" s="25">
        <f>IF(B233="","",IF(E233="Refund",-1,1))</f>
        <v>0</v>
      </c>
      <c r="S233" s="26">
        <f>IF(B233="","",IF(G233="",0,IF(F233="Card",ROUND(G233*CardFeePercent+CardFeeFixed,2),IF(F233="Online deposit",ROUND(G233*CardFeePercent+CardFeeFixed,2),0))))</f>
        <v>0</v>
      </c>
      <c r="T233" s="26">
        <f>IF(B233="","",ROUND(IF(G233="",0,G233)*R233-S233,2))</f>
        <v>0</v>
      </c>
      <c r="U233" s="38">
        <f>IF(B233="","",IF(E233="Tip","Yes","No"))</f>
        <v>0</v>
      </c>
      <c r="V233" s="15">
        <f>IF(B233="","",IF(H233&lt;&gt;"","Sale "&amp;H233,IF(I233&lt;&gt;"","Booking "&amp;I233,IF(E233="Tip","Stylist","Unapplied"))))</f>
        <v>0</v>
      </c>
      <c r="W233" s="39">
        <f>IF(B233="","",IF(G233="","Add - no amount yet",IF(E233="","Add - what was this for?",IF(IF(H233="",FALSE,COUNTIF(Sales!$A$5:$A$1204,H233)=0),"Missing - no sale with that ID",IF(IF(I233="",FALSE,COUNTIF(Appointments!$A$5:$A$1204,I233)=0),"Missing - no booking with that ID",IF(IF(E233="Tip",J233="",FALSE),"Assign - whose tip is it?",IF(IF(E233="Deposit",IF(H233="",I233="",FALSE),FALSE),"Check - deposit not tied to a booking",IF(M233="No","Due - not reconciled yet","OK"))))))))</f>
        <v>0</v>
      </c>
    </row>
    <row r="234" spans="1:23">
      <c r="A234" s="28">
        <f>IF(B234="","",PaymentPrefix&amp;TEXT(ROW()-4,"0000"))</f>
        <v>0</v>
      </c>
      <c r="D234" s="15">
        <f>IF(C234="","",IFERROR(INDEX(Clients!$B$5:$B$504,MATCH(C234,Clients!$A$5:$A$504,0)),"Walk-in"))</f>
        <v>0</v>
      </c>
      <c r="K234" s="15">
        <f>IF(J234="","",IFERROR(INDEX(Staff!$B$5:$B$44,MATCH(J234,Staff!$A$5:$A$44,0)),""))</f>
        <v>0</v>
      </c>
      <c r="O234" s="15">
        <f>IF(B234="","",TEXT(B234,"yyyy-mm"))</f>
        <v>0</v>
      </c>
      <c r="P234" s="25">
        <f>IF(B234="","",WEEKNUM(B234,2))</f>
        <v>0</v>
      </c>
      <c r="Q234" s="38">
        <f>IF(B234="","",IF(E234="Tip","No",IF(E234="Refund","No","Yes")))</f>
        <v>0</v>
      </c>
      <c r="R234" s="25">
        <f>IF(B234="","",IF(E234="Refund",-1,1))</f>
        <v>0</v>
      </c>
      <c r="S234" s="26">
        <f>IF(B234="","",IF(G234="",0,IF(F234="Card",ROUND(G234*CardFeePercent+CardFeeFixed,2),IF(F234="Online deposit",ROUND(G234*CardFeePercent+CardFeeFixed,2),0))))</f>
        <v>0</v>
      </c>
      <c r="T234" s="26">
        <f>IF(B234="","",ROUND(IF(G234="",0,G234)*R234-S234,2))</f>
        <v>0</v>
      </c>
      <c r="U234" s="38">
        <f>IF(B234="","",IF(E234="Tip","Yes","No"))</f>
        <v>0</v>
      </c>
      <c r="V234" s="15">
        <f>IF(B234="","",IF(H234&lt;&gt;"","Sale "&amp;H234,IF(I234&lt;&gt;"","Booking "&amp;I234,IF(E234="Tip","Stylist","Unapplied"))))</f>
        <v>0</v>
      </c>
      <c r="W234" s="39">
        <f>IF(B234="","",IF(G234="","Add - no amount yet",IF(E234="","Add - what was this for?",IF(IF(H234="",FALSE,COUNTIF(Sales!$A$5:$A$1204,H234)=0),"Missing - no sale with that ID",IF(IF(I234="",FALSE,COUNTIF(Appointments!$A$5:$A$1204,I234)=0),"Missing - no booking with that ID",IF(IF(E234="Tip",J234="",FALSE),"Assign - whose tip is it?",IF(IF(E234="Deposit",IF(H234="",I234="",FALSE),FALSE),"Check - deposit not tied to a booking",IF(M234="No","Due - not reconciled yet","OK"))))))))</f>
        <v>0</v>
      </c>
    </row>
    <row r="235" spans="1:23">
      <c r="A235" s="28">
        <f>IF(B235="","",PaymentPrefix&amp;TEXT(ROW()-4,"0000"))</f>
        <v>0</v>
      </c>
      <c r="D235" s="15">
        <f>IF(C235="","",IFERROR(INDEX(Clients!$B$5:$B$504,MATCH(C235,Clients!$A$5:$A$504,0)),"Walk-in"))</f>
        <v>0</v>
      </c>
      <c r="K235" s="15">
        <f>IF(J235="","",IFERROR(INDEX(Staff!$B$5:$B$44,MATCH(J235,Staff!$A$5:$A$44,0)),""))</f>
        <v>0</v>
      </c>
      <c r="O235" s="15">
        <f>IF(B235="","",TEXT(B235,"yyyy-mm"))</f>
        <v>0</v>
      </c>
      <c r="P235" s="25">
        <f>IF(B235="","",WEEKNUM(B235,2))</f>
        <v>0</v>
      </c>
      <c r="Q235" s="38">
        <f>IF(B235="","",IF(E235="Tip","No",IF(E235="Refund","No","Yes")))</f>
        <v>0</v>
      </c>
      <c r="R235" s="25">
        <f>IF(B235="","",IF(E235="Refund",-1,1))</f>
        <v>0</v>
      </c>
      <c r="S235" s="26">
        <f>IF(B235="","",IF(G235="",0,IF(F235="Card",ROUND(G235*CardFeePercent+CardFeeFixed,2),IF(F235="Online deposit",ROUND(G235*CardFeePercent+CardFeeFixed,2),0))))</f>
        <v>0</v>
      </c>
      <c r="T235" s="26">
        <f>IF(B235="","",ROUND(IF(G235="",0,G235)*R235-S235,2))</f>
        <v>0</v>
      </c>
      <c r="U235" s="38">
        <f>IF(B235="","",IF(E235="Tip","Yes","No"))</f>
        <v>0</v>
      </c>
      <c r="V235" s="15">
        <f>IF(B235="","",IF(H235&lt;&gt;"","Sale "&amp;H235,IF(I235&lt;&gt;"","Booking "&amp;I235,IF(E235="Tip","Stylist","Unapplied"))))</f>
        <v>0</v>
      </c>
      <c r="W235" s="39">
        <f>IF(B235="","",IF(G235="","Add - no amount yet",IF(E235="","Add - what was this for?",IF(IF(H235="",FALSE,COUNTIF(Sales!$A$5:$A$1204,H235)=0),"Missing - no sale with that ID",IF(IF(I235="",FALSE,COUNTIF(Appointments!$A$5:$A$1204,I235)=0),"Missing - no booking with that ID",IF(IF(E235="Tip",J235="",FALSE),"Assign - whose tip is it?",IF(IF(E235="Deposit",IF(H235="",I235="",FALSE),FALSE),"Check - deposit not tied to a booking",IF(M235="No","Due - not reconciled yet","OK"))))))))</f>
        <v>0</v>
      </c>
    </row>
    <row r="236" spans="1:23">
      <c r="A236" s="28">
        <f>IF(B236="","",PaymentPrefix&amp;TEXT(ROW()-4,"0000"))</f>
        <v>0</v>
      </c>
      <c r="D236" s="15">
        <f>IF(C236="","",IFERROR(INDEX(Clients!$B$5:$B$504,MATCH(C236,Clients!$A$5:$A$504,0)),"Walk-in"))</f>
        <v>0</v>
      </c>
      <c r="K236" s="15">
        <f>IF(J236="","",IFERROR(INDEX(Staff!$B$5:$B$44,MATCH(J236,Staff!$A$5:$A$44,0)),""))</f>
        <v>0</v>
      </c>
      <c r="O236" s="15">
        <f>IF(B236="","",TEXT(B236,"yyyy-mm"))</f>
        <v>0</v>
      </c>
      <c r="P236" s="25">
        <f>IF(B236="","",WEEKNUM(B236,2))</f>
        <v>0</v>
      </c>
      <c r="Q236" s="38">
        <f>IF(B236="","",IF(E236="Tip","No",IF(E236="Refund","No","Yes")))</f>
        <v>0</v>
      </c>
      <c r="R236" s="25">
        <f>IF(B236="","",IF(E236="Refund",-1,1))</f>
        <v>0</v>
      </c>
      <c r="S236" s="26">
        <f>IF(B236="","",IF(G236="",0,IF(F236="Card",ROUND(G236*CardFeePercent+CardFeeFixed,2),IF(F236="Online deposit",ROUND(G236*CardFeePercent+CardFeeFixed,2),0))))</f>
        <v>0</v>
      </c>
      <c r="T236" s="26">
        <f>IF(B236="","",ROUND(IF(G236="",0,G236)*R236-S236,2))</f>
        <v>0</v>
      </c>
      <c r="U236" s="38">
        <f>IF(B236="","",IF(E236="Tip","Yes","No"))</f>
        <v>0</v>
      </c>
      <c r="V236" s="15">
        <f>IF(B236="","",IF(H236&lt;&gt;"","Sale "&amp;H236,IF(I236&lt;&gt;"","Booking "&amp;I236,IF(E236="Tip","Stylist","Unapplied"))))</f>
        <v>0</v>
      </c>
      <c r="W236" s="39">
        <f>IF(B236="","",IF(G236="","Add - no amount yet",IF(E236="","Add - what was this for?",IF(IF(H236="",FALSE,COUNTIF(Sales!$A$5:$A$1204,H236)=0),"Missing - no sale with that ID",IF(IF(I236="",FALSE,COUNTIF(Appointments!$A$5:$A$1204,I236)=0),"Missing - no booking with that ID",IF(IF(E236="Tip",J236="",FALSE),"Assign - whose tip is it?",IF(IF(E236="Deposit",IF(H236="",I236="",FALSE),FALSE),"Check - deposit not tied to a booking",IF(M236="No","Due - not reconciled yet","OK"))))))))</f>
        <v>0</v>
      </c>
    </row>
    <row r="237" spans="1:23">
      <c r="A237" s="28">
        <f>IF(B237="","",PaymentPrefix&amp;TEXT(ROW()-4,"0000"))</f>
        <v>0</v>
      </c>
      <c r="D237" s="15">
        <f>IF(C237="","",IFERROR(INDEX(Clients!$B$5:$B$504,MATCH(C237,Clients!$A$5:$A$504,0)),"Walk-in"))</f>
        <v>0</v>
      </c>
      <c r="K237" s="15">
        <f>IF(J237="","",IFERROR(INDEX(Staff!$B$5:$B$44,MATCH(J237,Staff!$A$5:$A$44,0)),""))</f>
        <v>0</v>
      </c>
      <c r="O237" s="15">
        <f>IF(B237="","",TEXT(B237,"yyyy-mm"))</f>
        <v>0</v>
      </c>
      <c r="P237" s="25">
        <f>IF(B237="","",WEEKNUM(B237,2))</f>
        <v>0</v>
      </c>
      <c r="Q237" s="38">
        <f>IF(B237="","",IF(E237="Tip","No",IF(E237="Refund","No","Yes")))</f>
        <v>0</v>
      </c>
      <c r="R237" s="25">
        <f>IF(B237="","",IF(E237="Refund",-1,1))</f>
        <v>0</v>
      </c>
      <c r="S237" s="26">
        <f>IF(B237="","",IF(G237="",0,IF(F237="Card",ROUND(G237*CardFeePercent+CardFeeFixed,2),IF(F237="Online deposit",ROUND(G237*CardFeePercent+CardFeeFixed,2),0))))</f>
        <v>0</v>
      </c>
      <c r="T237" s="26">
        <f>IF(B237="","",ROUND(IF(G237="",0,G237)*R237-S237,2))</f>
        <v>0</v>
      </c>
      <c r="U237" s="38">
        <f>IF(B237="","",IF(E237="Tip","Yes","No"))</f>
        <v>0</v>
      </c>
      <c r="V237" s="15">
        <f>IF(B237="","",IF(H237&lt;&gt;"","Sale "&amp;H237,IF(I237&lt;&gt;"","Booking "&amp;I237,IF(E237="Tip","Stylist","Unapplied"))))</f>
        <v>0</v>
      </c>
      <c r="W237" s="39">
        <f>IF(B237="","",IF(G237="","Add - no amount yet",IF(E237="","Add - what was this for?",IF(IF(H237="",FALSE,COUNTIF(Sales!$A$5:$A$1204,H237)=0),"Missing - no sale with that ID",IF(IF(I237="",FALSE,COUNTIF(Appointments!$A$5:$A$1204,I237)=0),"Missing - no booking with that ID",IF(IF(E237="Tip",J237="",FALSE),"Assign - whose tip is it?",IF(IF(E237="Deposit",IF(H237="",I237="",FALSE),FALSE),"Check - deposit not tied to a booking",IF(M237="No","Due - not reconciled yet","OK"))))))))</f>
        <v>0</v>
      </c>
    </row>
    <row r="238" spans="1:23">
      <c r="A238" s="28">
        <f>IF(B238="","",PaymentPrefix&amp;TEXT(ROW()-4,"0000"))</f>
        <v>0</v>
      </c>
      <c r="D238" s="15">
        <f>IF(C238="","",IFERROR(INDEX(Clients!$B$5:$B$504,MATCH(C238,Clients!$A$5:$A$504,0)),"Walk-in"))</f>
        <v>0</v>
      </c>
      <c r="K238" s="15">
        <f>IF(J238="","",IFERROR(INDEX(Staff!$B$5:$B$44,MATCH(J238,Staff!$A$5:$A$44,0)),""))</f>
        <v>0</v>
      </c>
      <c r="O238" s="15">
        <f>IF(B238="","",TEXT(B238,"yyyy-mm"))</f>
        <v>0</v>
      </c>
      <c r="P238" s="25">
        <f>IF(B238="","",WEEKNUM(B238,2))</f>
        <v>0</v>
      </c>
      <c r="Q238" s="38">
        <f>IF(B238="","",IF(E238="Tip","No",IF(E238="Refund","No","Yes")))</f>
        <v>0</v>
      </c>
      <c r="R238" s="25">
        <f>IF(B238="","",IF(E238="Refund",-1,1))</f>
        <v>0</v>
      </c>
      <c r="S238" s="26">
        <f>IF(B238="","",IF(G238="",0,IF(F238="Card",ROUND(G238*CardFeePercent+CardFeeFixed,2),IF(F238="Online deposit",ROUND(G238*CardFeePercent+CardFeeFixed,2),0))))</f>
        <v>0</v>
      </c>
      <c r="T238" s="26">
        <f>IF(B238="","",ROUND(IF(G238="",0,G238)*R238-S238,2))</f>
        <v>0</v>
      </c>
      <c r="U238" s="38">
        <f>IF(B238="","",IF(E238="Tip","Yes","No"))</f>
        <v>0</v>
      </c>
      <c r="V238" s="15">
        <f>IF(B238="","",IF(H238&lt;&gt;"","Sale "&amp;H238,IF(I238&lt;&gt;"","Booking "&amp;I238,IF(E238="Tip","Stylist","Unapplied"))))</f>
        <v>0</v>
      </c>
      <c r="W238" s="39">
        <f>IF(B238="","",IF(G238="","Add - no amount yet",IF(E238="","Add - what was this for?",IF(IF(H238="",FALSE,COUNTIF(Sales!$A$5:$A$1204,H238)=0),"Missing - no sale with that ID",IF(IF(I238="",FALSE,COUNTIF(Appointments!$A$5:$A$1204,I238)=0),"Missing - no booking with that ID",IF(IF(E238="Tip",J238="",FALSE),"Assign - whose tip is it?",IF(IF(E238="Deposit",IF(H238="",I238="",FALSE),FALSE),"Check - deposit not tied to a booking",IF(M238="No","Due - not reconciled yet","OK"))))))))</f>
        <v>0</v>
      </c>
    </row>
    <row r="239" spans="1:23">
      <c r="A239" s="28">
        <f>IF(B239="","",PaymentPrefix&amp;TEXT(ROW()-4,"0000"))</f>
        <v>0</v>
      </c>
      <c r="D239" s="15">
        <f>IF(C239="","",IFERROR(INDEX(Clients!$B$5:$B$504,MATCH(C239,Clients!$A$5:$A$504,0)),"Walk-in"))</f>
        <v>0</v>
      </c>
      <c r="K239" s="15">
        <f>IF(J239="","",IFERROR(INDEX(Staff!$B$5:$B$44,MATCH(J239,Staff!$A$5:$A$44,0)),""))</f>
        <v>0</v>
      </c>
      <c r="O239" s="15">
        <f>IF(B239="","",TEXT(B239,"yyyy-mm"))</f>
        <v>0</v>
      </c>
      <c r="P239" s="25">
        <f>IF(B239="","",WEEKNUM(B239,2))</f>
        <v>0</v>
      </c>
      <c r="Q239" s="38">
        <f>IF(B239="","",IF(E239="Tip","No",IF(E239="Refund","No","Yes")))</f>
        <v>0</v>
      </c>
      <c r="R239" s="25">
        <f>IF(B239="","",IF(E239="Refund",-1,1))</f>
        <v>0</v>
      </c>
      <c r="S239" s="26">
        <f>IF(B239="","",IF(G239="",0,IF(F239="Card",ROUND(G239*CardFeePercent+CardFeeFixed,2),IF(F239="Online deposit",ROUND(G239*CardFeePercent+CardFeeFixed,2),0))))</f>
        <v>0</v>
      </c>
      <c r="T239" s="26">
        <f>IF(B239="","",ROUND(IF(G239="",0,G239)*R239-S239,2))</f>
        <v>0</v>
      </c>
      <c r="U239" s="38">
        <f>IF(B239="","",IF(E239="Tip","Yes","No"))</f>
        <v>0</v>
      </c>
      <c r="V239" s="15">
        <f>IF(B239="","",IF(H239&lt;&gt;"","Sale "&amp;H239,IF(I239&lt;&gt;"","Booking "&amp;I239,IF(E239="Tip","Stylist","Unapplied"))))</f>
        <v>0</v>
      </c>
      <c r="W239" s="39">
        <f>IF(B239="","",IF(G239="","Add - no amount yet",IF(E239="","Add - what was this for?",IF(IF(H239="",FALSE,COUNTIF(Sales!$A$5:$A$1204,H239)=0),"Missing - no sale with that ID",IF(IF(I239="",FALSE,COUNTIF(Appointments!$A$5:$A$1204,I239)=0),"Missing - no booking with that ID",IF(IF(E239="Tip",J239="",FALSE),"Assign - whose tip is it?",IF(IF(E239="Deposit",IF(H239="",I239="",FALSE),FALSE),"Check - deposit not tied to a booking",IF(M239="No","Due - not reconciled yet","OK"))))))))</f>
        <v>0</v>
      </c>
    </row>
    <row r="240" spans="1:23">
      <c r="A240" s="28">
        <f>IF(B240="","",PaymentPrefix&amp;TEXT(ROW()-4,"0000"))</f>
        <v>0</v>
      </c>
      <c r="D240" s="15">
        <f>IF(C240="","",IFERROR(INDEX(Clients!$B$5:$B$504,MATCH(C240,Clients!$A$5:$A$504,0)),"Walk-in"))</f>
        <v>0</v>
      </c>
      <c r="K240" s="15">
        <f>IF(J240="","",IFERROR(INDEX(Staff!$B$5:$B$44,MATCH(J240,Staff!$A$5:$A$44,0)),""))</f>
        <v>0</v>
      </c>
      <c r="O240" s="15">
        <f>IF(B240="","",TEXT(B240,"yyyy-mm"))</f>
        <v>0</v>
      </c>
      <c r="P240" s="25">
        <f>IF(B240="","",WEEKNUM(B240,2))</f>
        <v>0</v>
      </c>
      <c r="Q240" s="38">
        <f>IF(B240="","",IF(E240="Tip","No",IF(E240="Refund","No","Yes")))</f>
        <v>0</v>
      </c>
      <c r="R240" s="25">
        <f>IF(B240="","",IF(E240="Refund",-1,1))</f>
        <v>0</v>
      </c>
      <c r="S240" s="26">
        <f>IF(B240="","",IF(G240="",0,IF(F240="Card",ROUND(G240*CardFeePercent+CardFeeFixed,2),IF(F240="Online deposit",ROUND(G240*CardFeePercent+CardFeeFixed,2),0))))</f>
        <v>0</v>
      </c>
      <c r="T240" s="26">
        <f>IF(B240="","",ROUND(IF(G240="",0,G240)*R240-S240,2))</f>
        <v>0</v>
      </c>
      <c r="U240" s="38">
        <f>IF(B240="","",IF(E240="Tip","Yes","No"))</f>
        <v>0</v>
      </c>
      <c r="V240" s="15">
        <f>IF(B240="","",IF(H240&lt;&gt;"","Sale "&amp;H240,IF(I240&lt;&gt;"","Booking "&amp;I240,IF(E240="Tip","Stylist","Unapplied"))))</f>
        <v>0</v>
      </c>
      <c r="W240" s="39">
        <f>IF(B240="","",IF(G240="","Add - no amount yet",IF(E240="","Add - what was this for?",IF(IF(H240="",FALSE,COUNTIF(Sales!$A$5:$A$1204,H240)=0),"Missing - no sale with that ID",IF(IF(I240="",FALSE,COUNTIF(Appointments!$A$5:$A$1204,I240)=0),"Missing - no booking with that ID",IF(IF(E240="Tip",J240="",FALSE),"Assign - whose tip is it?",IF(IF(E240="Deposit",IF(H240="",I240="",FALSE),FALSE),"Check - deposit not tied to a booking",IF(M240="No","Due - not reconciled yet","OK"))))))))</f>
        <v>0</v>
      </c>
    </row>
    <row r="241" spans="1:23">
      <c r="A241" s="28">
        <f>IF(B241="","",PaymentPrefix&amp;TEXT(ROW()-4,"0000"))</f>
        <v>0</v>
      </c>
      <c r="D241" s="15">
        <f>IF(C241="","",IFERROR(INDEX(Clients!$B$5:$B$504,MATCH(C241,Clients!$A$5:$A$504,0)),"Walk-in"))</f>
        <v>0</v>
      </c>
      <c r="K241" s="15">
        <f>IF(J241="","",IFERROR(INDEX(Staff!$B$5:$B$44,MATCH(J241,Staff!$A$5:$A$44,0)),""))</f>
        <v>0</v>
      </c>
      <c r="O241" s="15">
        <f>IF(B241="","",TEXT(B241,"yyyy-mm"))</f>
        <v>0</v>
      </c>
      <c r="P241" s="25">
        <f>IF(B241="","",WEEKNUM(B241,2))</f>
        <v>0</v>
      </c>
      <c r="Q241" s="38">
        <f>IF(B241="","",IF(E241="Tip","No",IF(E241="Refund","No","Yes")))</f>
        <v>0</v>
      </c>
      <c r="R241" s="25">
        <f>IF(B241="","",IF(E241="Refund",-1,1))</f>
        <v>0</v>
      </c>
      <c r="S241" s="26">
        <f>IF(B241="","",IF(G241="",0,IF(F241="Card",ROUND(G241*CardFeePercent+CardFeeFixed,2),IF(F241="Online deposit",ROUND(G241*CardFeePercent+CardFeeFixed,2),0))))</f>
        <v>0</v>
      </c>
      <c r="T241" s="26">
        <f>IF(B241="","",ROUND(IF(G241="",0,G241)*R241-S241,2))</f>
        <v>0</v>
      </c>
      <c r="U241" s="38">
        <f>IF(B241="","",IF(E241="Tip","Yes","No"))</f>
        <v>0</v>
      </c>
      <c r="V241" s="15">
        <f>IF(B241="","",IF(H241&lt;&gt;"","Sale "&amp;H241,IF(I241&lt;&gt;"","Booking "&amp;I241,IF(E241="Tip","Stylist","Unapplied"))))</f>
        <v>0</v>
      </c>
      <c r="W241" s="39">
        <f>IF(B241="","",IF(G241="","Add - no amount yet",IF(E241="","Add - what was this for?",IF(IF(H241="",FALSE,COUNTIF(Sales!$A$5:$A$1204,H241)=0),"Missing - no sale with that ID",IF(IF(I241="",FALSE,COUNTIF(Appointments!$A$5:$A$1204,I241)=0),"Missing - no booking with that ID",IF(IF(E241="Tip",J241="",FALSE),"Assign - whose tip is it?",IF(IF(E241="Deposit",IF(H241="",I241="",FALSE),FALSE),"Check - deposit not tied to a booking",IF(M241="No","Due - not reconciled yet","OK"))))))))</f>
        <v>0</v>
      </c>
    </row>
    <row r="242" spans="1:23">
      <c r="A242" s="28">
        <f>IF(B242="","",PaymentPrefix&amp;TEXT(ROW()-4,"0000"))</f>
        <v>0</v>
      </c>
      <c r="D242" s="15">
        <f>IF(C242="","",IFERROR(INDEX(Clients!$B$5:$B$504,MATCH(C242,Clients!$A$5:$A$504,0)),"Walk-in"))</f>
        <v>0</v>
      </c>
      <c r="K242" s="15">
        <f>IF(J242="","",IFERROR(INDEX(Staff!$B$5:$B$44,MATCH(J242,Staff!$A$5:$A$44,0)),""))</f>
        <v>0</v>
      </c>
      <c r="O242" s="15">
        <f>IF(B242="","",TEXT(B242,"yyyy-mm"))</f>
        <v>0</v>
      </c>
      <c r="P242" s="25">
        <f>IF(B242="","",WEEKNUM(B242,2))</f>
        <v>0</v>
      </c>
      <c r="Q242" s="38">
        <f>IF(B242="","",IF(E242="Tip","No",IF(E242="Refund","No","Yes")))</f>
        <v>0</v>
      </c>
      <c r="R242" s="25">
        <f>IF(B242="","",IF(E242="Refund",-1,1))</f>
        <v>0</v>
      </c>
      <c r="S242" s="26">
        <f>IF(B242="","",IF(G242="",0,IF(F242="Card",ROUND(G242*CardFeePercent+CardFeeFixed,2),IF(F242="Online deposit",ROUND(G242*CardFeePercent+CardFeeFixed,2),0))))</f>
        <v>0</v>
      </c>
      <c r="T242" s="26">
        <f>IF(B242="","",ROUND(IF(G242="",0,G242)*R242-S242,2))</f>
        <v>0</v>
      </c>
      <c r="U242" s="38">
        <f>IF(B242="","",IF(E242="Tip","Yes","No"))</f>
        <v>0</v>
      </c>
      <c r="V242" s="15">
        <f>IF(B242="","",IF(H242&lt;&gt;"","Sale "&amp;H242,IF(I242&lt;&gt;"","Booking "&amp;I242,IF(E242="Tip","Stylist","Unapplied"))))</f>
        <v>0</v>
      </c>
      <c r="W242" s="39">
        <f>IF(B242="","",IF(G242="","Add - no amount yet",IF(E242="","Add - what was this for?",IF(IF(H242="",FALSE,COUNTIF(Sales!$A$5:$A$1204,H242)=0),"Missing - no sale with that ID",IF(IF(I242="",FALSE,COUNTIF(Appointments!$A$5:$A$1204,I242)=0),"Missing - no booking with that ID",IF(IF(E242="Tip",J242="",FALSE),"Assign - whose tip is it?",IF(IF(E242="Deposit",IF(H242="",I242="",FALSE),FALSE),"Check - deposit not tied to a booking",IF(M242="No","Due - not reconciled yet","OK"))))))))</f>
        <v>0</v>
      </c>
    </row>
    <row r="243" spans="1:23">
      <c r="A243" s="28">
        <f>IF(B243="","",PaymentPrefix&amp;TEXT(ROW()-4,"0000"))</f>
        <v>0</v>
      </c>
      <c r="D243" s="15">
        <f>IF(C243="","",IFERROR(INDEX(Clients!$B$5:$B$504,MATCH(C243,Clients!$A$5:$A$504,0)),"Walk-in"))</f>
        <v>0</v>
      </c>
      <c r="K243" s="15">
        <f>IF(J243="","",IFERROR(INDEX(Staff!$B$5:$B$44,MATCH(J243,Staff!$A$5:$A$44,0)),""))</f>
        <v>0</v>
      </c>
      <c r="O243" s="15">
        <f>IF(B243="","",TEXT(B243,"yyyy-mm"))</f>
        <v>0</v>
      </c>
      <c r="P243" s="25">
        <f>IF(B243="","",WEEKNUM(B243,2))</f>
        <v>0</v>
      </c>
      <c r="Q243" s="38">
        <f>IF(B243="","",IF(E243="Tip","No",IF(E243="Refund","No","Yes")))</f>
        <v>0</v>
      </c>
      <c r="R243" s="25">
        <f>IF(B243="","",IF(E243="Refund",-1,1))</f>
        <v>0</v>
      </c>
      <c r="S243" s="26">
        <f>IF(B243="","",IF(G243="",0,IF(F243="Card",ROUND(G243*CardFeePercent+CardFeeFixed,2),IF(F243="Online deposit",ROUND(G243*CardFeePercent+CardFeeFixed,2),0))))</f>
        <v>0</v>
      </c>
      <c r="T243" s="26">
        <f>IF(B243="","",ROUND(IF(G243="",0,G243)*R243-S243,2))</f>
        <v>0</v>
      </c>
      <c r="U243" s="38">
        <f>IF(B243="","",IF(E243="Tip","Yes","No"))</f>
        <v>0</v>
      </c>
      <c r="V243" s="15">
        <f>IF(B243="","",IF(H243&lt;&gt;"","Sale "&amp;H243,IF(I243&lt;&gt;"","Booking "&amp;I243,IF(E243="Tip","Stylist","Unapplied"))))</f>
        <v>0</v>
      </c>
      <c r="W243" s="39">
        <f>IF(B243="","",IF(G243="","Add - no amount yet",IF(E243="","Add - what was this for?",IF(IF(H243="",FALSE,COUNTIF(Sales!$A$5:$A$1204,H243)=0),"Missing - no sale with that ID",IF(IF(I243="",FALSE,COUNTIF(Appointments!$A$5:$A$1204,I243)=0),"Missing - no booking with that ID",IF(IF(E243="Tip",J243="",FALSE),"Assign - whose tip is it?",IF(IF(E243="Deposit",IF(H243="",I243="",FALSE),FALSE),"Check - deposit not tied to a booking",IF(M243="No","Due - not reconciled yet","OK"))))))))</f>
        <v>0</v>
      </c>
    </row>
    <row r="244" spans="1:23">
      <c r="A244" s="28">
        <f>IF(B244="","",PaymentPrefix&amp;TEXT(ROW()-4,"0000"))</f>
        <v>0</v>
      </c>
      <c r="D244" s="15">
        <f>IF(C244="","",IFERROR(INDEX(Clients!$B$5:$B$504,MATCH(C244,Clients!$A$5:$A$504,0)),"Walk-in"))</f>
        <v>0</v>
      </c>
      <c r="K244" s="15">
        <f>IF(J244="","",IFERROR(INDEX(Staff!$B$5:$B$44,MATCH(J244,Staff!$A$5:$A$44,0)),""))</f>
        <v>0</v>
      </c>
      <c r="O244" s="15">
        <f>IF(B244="","",TEXT(B244,"yyyy-mm"))</f>
        <v>0</v>
      </c>
      <c r="P244" s="25">
        <f>IF(B244="","",WEEKNUM(B244,2))</f>
        <v>0</v>
      </c>
      <c r="Q244" s="38">
        <f>IF(B244="","",IF(E244="Tip","No",IF(E244="Refund","No","Yes")))</f>
        <v>0</v>
      </c>
      <c r="R244" s="25">
        <f>IF(B244="","",IF(E244="Refund",-1,1))</f>
        <v>0</v>
      </c>
      <c r="S244" s="26">
        <f>IF(B244="","",IF(G244="",0,IF(F244="Card",ROUND(G244*CardFeePercent+CardFeeFixed,2),IF(F244="Online deposit",ROUND(G244*CardFeePercent+CardFeeFixed,2),0))))</f>
        <v>0</v>
      </c>
      <c r="T244" s="26">
        <f>IF(B244="","",ROUND(IF(G244="",0,G244)*R244-S244,2))</f>
        <v>0</v>
      </c>
      <c r="U244" s="38">
        <f>IF(B244="","",IF(E244="Tip","Yes","No"))</f>
        <v>0</v>
      </c>
      <c r="V244" s="15">
        <f>IF(B244="","",IF(H244&lt;&gt;"","Sale "&amp;H244,IF(I244&lt;&gt;"","Booking "&amp;I244,IF(E244="Tip","Stylist","Unapplied"))))</f>
        <v>0</v>
      </c>
      <c r="W244" s="39">
        <f>IF(B244="","",IF(G244="","Add - no amount yet",IF(E244="","Add - what was this for?",IF(IF(H244="",FALSE,COUNTIF(Sales!$A$5:$A$1204,H244)=0),"Missing - no sale with that ID",IF(IF(I244="",FALSE,COUNTIF(Appointments!$A$5:$A$1204,I244)=0),"Missing - no booking with that ID",IF(IF(E244="Tip",J244="",FALSE),"Assign - whose tip is it?",IF(IF(E244="Deposit",IF(H244="",I244="",FALSE),FALSE),"Check - deposit not tied to a booking",IF(M244="No","Due - not reconciled yet","OK"))))))))</f>
        <v>0</v>
      </c>
    </row>
    <row r="245" spans="1:23">
      <c r="A245" s="28">
        <f>IF(B245="","",PaymentPrefix&amp;TEXT(ROW()-4,"0000"))</f>
        <v>0</v>
      </c>
      <c r="D245" s="15">
        <f>IF(C245="","",IFERROR(INDEX(Clients!$B$5:$B$504,MATCH(C245,Clients!$A$5:$A$504,0)),"Walk-in"))</f>
        <v>0</v>
      </c>
      <c r="K245" s="15">
        <f>IF(J245="","",IFERROR(INDEX(Staff!$B$5:$B$44,MATCH(J245,Staff!$A$5:$A$44,0)),""))</f>
        <v>0</v>
      </c>
      <c r="O245" s="15">
        <f>IF(B245="","",TEXT(B245,"yyyy-mm"))</f>
        <v>0</v>
      </c>
      <c r="P245" s="25">
        <f>IF(B245="","",WEEKNUM(B245,2))</f>
        <v>0</v>
      </c>
      <c r="Q245" s="38">
        <f>IF(B245="","",IF(E245="Tip","No",IF(E245="Refund","No","Yes")))</f>
        <v>0</v>
      </c>
      <c r="R245" s="25">
        <f>IF(B245="","",IF(E245="Refund",-1,1))</f>
        <v>0</v>
      </c>
      <c r="S245" s="26">
        <f>IF(B245="","",IF(G245="",0,IF(F245="Card",ROUND(G245*CardFeePercent+CardFeeFixed,2),IF(F245="Online deposit",ROUND(G245*CardFeePercent+CardFeeFixed,2),0))))</f>
        <v>0</v>
      </c>
      <c r="T245" s="26">
        <f>IF(B245="","",ROUND(IF(G245="",0,G245)*R245-S245,2))</f>
        <v>0</v>
      </c>
      <c r="U245" s="38">
        <f>IF(B245="","",IF(E245="Tip","Yes","No"))</f>
        <v>0</v>
      </c>
      <c r="V245" s="15">
        <f>IF(B245="","",IF(H245&lt;&gt;"","Sale "&amp;H245,IF(I245&lt;&gt;"","Booking "&amp;I245,IF(E245="Tip","Stylist","Unapplied"))))</f>
        <v>0</v>
      </c>
      <c r="W245" s="39">
        <f>IF(B245="","",IF(G245="","Add - no amount yet",IF(E245="","Add - what was this for?",IF(IF(H245="",FALSE,COUNTIF(Sales!$A$5:$A$1204,H245)=0),"Missing - no sale with that ID",IF(IF(I245="",FALSE,COUNTIF(Appointments!$A$5:$A$1204,I245)=0),"Missing - no booking with that ID",IF(IF(E245="Tip",J245="",FALSE),"Assign - whose tip is it?",IF(IF(E245="Deposit",IF(H245="",I245="",FALSE),FALSE),"Check - deposit not tied to a booking",IF(M245="No","Due - not reconciled yet","OK"))))))))</f>
        <v>0</v>
      </c>
    </row>
    <row r="246" spans="1:23">
      <c r="A246" s="28">
        <f>IF(B246="","",PaymentPrefix&amp;TEXT(ROW()-4,"0000"))</f>
        <v>0</v>
      </c>
      <c r="D246" s="15">
        <f>IF(C246="","",IFERROR(INDEX(Clients!$B$5:$B$504,MATCH(C246,Clients!$A$5:$A$504,0)),"Walk-in"))</f>
        <v>0</v>
      </c>
      <c r="K246" s="15">
        <f>IF(J246="","",IFERROR(INDEX(Staff!$B$5:$B$44,MATCH(J246,Staff!$A$5:$A$44,0)),""))</f>
        <v>0</v>
      </c>
      <c r="O246" s="15">
        <f>IF(B246="","",TEXT(B246,"yyyy-mm"))</f>
        <v>0</v>
      </c>
      <c r="P246" s="25">
        <f>IF(B246="","",WEEKNUM(B246,2))</f>
        <v>0</v>
      </c>
      <c r="Q246" s="38">
        <f>IF(B246="","",IF(E246="Tip","No",IF(E246="Refund","No","Yes")))</f>
        <v>0</v>
      </c>
      <c r="R246" s="25">
        <f>IF(B246="","",IF(E246="Refund",-1,1))</f>
        <v>0</v>
      </c>
      <c r="S246" s="26">
        <f>IF(B246="","",IF(G246="",0,IF(F246="Card",ROUND(G246*CardFeePercent+CardFeeFixed,2),IF(F246="Online deposit",ROUND(G246*CardFeePercent+CardFeeFixed,2),0))))</f>
        <v>0</v>
      </c>
      <c r="T246" s="26">
        <f>IF(B246="","",ROUND(IF(G246="",0,G246)*R246-S246,2))</f>
        <v>0</v>
      </c>
      <c r="U246" s="38">
        <f>IF(B246="","",IF(E246="Tip","Yes","No"))</f>
        <v>0</v>
      </c>
      <c r="V246" s="15">
        <f>IF(B246="","",IF(H246&lt;&gt;"","Sale "&amp;H246,IF(I246&lt;&gt;"","Booking "&amp;I246,IF(E246="Tip","Stylist","Unapplied"))))</f>
        <v>0</v>
      </c>
      <c r="W246" s="39">
        <f>IF(B246="","",IF(G246="","Add - no amount yet",IF(E246="","Add - what was this for?",IF(IF(H246="",FALSE,COUNTIF(Sales!$A$5:$A$1204,H246)=0),"Missing - no sale with that ID",IF(IF(I246="",FALSE,COUNTIF(Appointments!$A$5:$A$1204,I246)=0),"Missing - no booking with that ID",IF(IF(E246="Tip",J246="",FALSE),"Assign - whose tip is it?",IF(IF(E246="Deposit",IF(H246="",I246="",FALSE),FALSE),"Check - deposit not tied to a booking",IF(M246="No","Due - not reconciled yet","OK"))))))))</f>
        <v>0</v>
      </c>
    </row>
    <row r="247" spans="1:23">
      <c r="A247" s="28">
        <f>IF(B247="","",PaymentPrefix&amp;TEXT(ROW()-4,"0000"))</f>
        <v>0</v>
      </c>
      <c r="D247" s="15">
        <f>IF(C247="","",IFERROR(INDEX(Clients!$B$5:$B$504,MATCH(C247,Clients!$A$5:$A$504,0)),"Walk-in"))</f>
        <v>0</v>
      </c>
      <c r="K247" s="15">
        <f>IF(J247="","",IFERROR(INDEX(Staff!$B$5:$B$44,MATCH(J247,Staff!$A$5:$A$44,0)),""))</f>
        <v>0</v>
      </c>
      <c r="O247" s="15">
        <f>IF(B247="","",TEXT(B247,"yyyy-mm"))</f>
        <v>0</v>
      </c>
      <c r="P247" s="25">
        <f>IF(B247="","",WEEKNUM(B247,2))</f>
        <v>0</v>
      </c>
      <c r="Q247" s="38">
        <f>IF(B247="","",IF(E247="Tip","No",IF(E247="Refund","No","Yes")))</f>
        <v>0</v>
      </c>
      <c r="R247" s="25">
        <f>IF(B247="","",IF(E247="Refund",-1,1))</f>
        <v>0</v>
      </c>
      <c r="S247" s="26">
        <f>IF(B247="","",IF(G247="",0,IF(F247="Card",ROUND(G247*CardFeePercent+CardFeeFixed,2),IF(F247="Online deposit",ROUND(G247*CardFeePercent+CardFeeFixed,2),0))))</f>
        <v>0</v>
      </c>
      <c r="T247" s="26">
        <f>IF(B247="","",ROUND(IF(G247="",0,G247)*R247-S247,2))</f>
        <v>0</v>
      </c>
      <c r="U247" s="38">
        <f>IF(B247="","",IF(E247="Tip","Yes","No"))</f>
        <v>0</v>
      </c>
      <c r="V247" s="15">
        <f>IF(B247="","",IF(H247&lt;&gt;"","Sale "&amp;H247,IF(I247&lt;&gt;"","Booking "&amp;I247,IF(E247="Tip","Stylist","Unapplied"))))</f>
        <v>0</v>
      </c>
      <c r="W247" s="39">
        <f>IF(B247="","",IF(G247="","Add - no amount yet",IF(E247="","Add - what was this for?",IF(IF(H247="",FALSE,COUNTIF(Sales!$A$5:$A$1204,H247)=0),"Missing - no sale with that ID",IF(IF(I247="",FALSE,COUNTIF(Appointments!$A$5:$A$1204,I247)=0),"Missing - no booking with that ID",IF(IF(E247="Tip",J247="",FALSE),"Assign - whose tip is it?",IF(IF(E247="Deposit",IF(H247="",I247="",FALSE),FALSE),"Check - deposit not tied to a booking",IF(M247="No","Due - not reconciled yet","OK"))))))))</f>
        <v>0</v>
      </c>
    </row>
    <row r="248" spans="1:23">
      <c r="A248" s="28">
        <f>IF(B248="","",PaymentPrefix&amp;TEXT(ROW()-4,"0000"))</f>
        <v>0</v>
      </c>
      <c r="D248" s="15">
        <f>IF(C248="","",IFERROR(INDEX(Clients!$B$5:$B$504,MATCH(C248,Clients!$A$5:$A$504,0)),"Walk-in"))</f>
        <v>0</v>
      </c>
      <c r="K248" s="15">
        <f>IF(J248="","",IFERROR(INDEX(Staff!$B$5:$B$44,MATCH(J248,Staff!$A$5:$A$44,0)),""))</f>
        <v>0</v>
      </c>
      <c r="O248" s="15">
        <f>IF(B248="","",TEXT(B248,"yyyy-mm"))</f>
        <v>0</v>
      </c>
      <c r="P248" s="25">
        <f>IF(B248="","",WEEKNUM(B248,2))</f>
        <v>0</v>
      </c>
      <c r="Q248" s="38">
        <f>IF(B248="","",IF(E248="Tip","No",IF(E248="Refund","No","Yes")))</f>
        <v>0</v>
      </c>
      <c r="R248" s="25">
        <f>IF(B248="","",IF(E248="Refund",-1,1))</f>
        <v>0</v>
      </c>
      <c r="S248" s="26">
        <f>IF(B248="","",IF(G248="",0,IF(F248="Card",ROUND(G248*CardFeePercent+CardFeeFixed,2),IF(F248="Online deposit",ROUND(G248*CardFeePercent+CardFeeFixed,2),0))))</f>
        <v>0</v>
      </c>
      <c r="T248" s="26">
        <f>IF(B248="","",ROUND(IF(G248="",0,G248)*R248-S248,2))</f>
        <v>0</v>
      </c>
      <c r="U248" s="38">
        <f>IF(B248="","",IF(E248="Tip","Yes","No"))</f>
        <v>0</v>
      </c>
      <c r="V248" s="15">
        <f>IF(B248="","",IF(H248&lt;&gt;"","Sale "&amp;H248,IF(I248&lt;&gt;"","Booking "&amp;I248,IF(E248="Tip","Stylist","Unapplied"))))</f>
        <v>0</v>
      </c>
      <c r="W248" s="39">
        <f>IF(B248="","",IF(G248="","Add - no amount yet",IF(E248="","Add - what was this for?",IF(IF(H248="",FALSE,COUNTIF(Sales!$A$5:$A$1204,H248)=0),"Missing - no sale with that ID",IF(IF(I248="",FALSE,COUNTIF(Appointments!$A$5:$A$1204,I248)=0),"Missing - no booking with that ID",IF(IF(E248="Tip",J248="",FALSE),"Assign - whose tip is it?",IF(IF(E248="Deposit",IF(H248="",I248="",FALSE),FALSE),"Check - deposit not tied to a booking",IF(M248="No","Due - not reconciled yet","OK"))))))))</f>
        <v>0</v>
      </c>
    </row>
    <row r="249" spans="1:23">
      <c r="A249" s="28">
        <f>IF(B249="","",PaymentPrefix&amp;TEXT(ROW()-4,"0000"))</f>
        <v>0</v>
      </c>
      <c r="D249" s="15">
        <f>IF(C249="","",IFERROR(INDEX(Clients!$B$5:$B$504,MATCH(C249,Clients!$A$5:$A$504,0)),"Walk-in"))</f>
        <v>0</v>
      </c>
      <c r="K249" s="15">
        <f>IF(J249="","",IFERROR(INDEX(Staff!$B$5:$B$44,MATCH(J249,Staff!$A$5:$A$44,0)),""))</f>
        <v>0</v>
      </c>
      <c r="O249" s="15">
        <f>IF(B249="","",TEXT(B249,"yyyy-mm"))</f>
        <v>0</v>
      </c>
      <c r="P249" s="25">
        <f>IF(B249="","",WEEKNUM(B249,2))</f>
        <v>0</v>
      </c>
      <c r="Q249" s="38">
        <f>IF(B249="","",IF(E249="Tip","No",IF(E249="Refund","No","Yes")))</f>
        <v>0</v>
      </c>
      <c r="R249" s="25">
        <f>IF(B249="","",IF(E249="Refund",-1,1))</f>
        <v>0</v>
      </c>
      <c r="S249" s="26">
        <f>IF(B249="","",IF(G249="",0,IF(F249="Card",ROUND(G249*CardFeePercent+CardFeeFixed,2),IF(F249="Online deposit",ROUND(G249*CardFeePercent+CardFeeFixed,2),0))))</f>
        <v>0</v>
      </c>
      <c r="T249" s="26">
        <f>IF(B249="","",ROUND(IF(G249="",0,G249)*R249-S249,2))</f>
        <v>0</v>
      </c>
      <c r="U249" s="38">
        <f>IF(B249="","",IF(E249="Tip","Yes","No"))</f>
        <v>0</v>
      </c>
      <c r="V249" s="15">
        <f>IF(B249="","",IF(H249&lt;&gt;"","Sale "&amp;H249,IF(I249&lt;&gt;"","Booking "&amp;I249,IF(E249="Tip","Stylist","Unapplied"))))</f>
        <v>0</v>
      </c>
      <c r="W249" s="39">
        <f>IF(B249="","",IF(G249="","Add - no amount yet",IF(E249="","Add - what was this for?",IF(IF(H249="",FALSE,COUNTIF(Sales!$A$5:$A$1204,H249)=0),"Missing - no sale with that ID",IF(IF(I249="",FALSE,COUNTIF(Appointments!$A$5:$A$1204,I249)=0),"Missing - no booking with that ID",IF(IF(E249="Tip",J249="",FALSE),"Assign - whose tip is it?",IF(IF(E249="Deposit",IF(H249="",I249="",FALSE),FALSE),"Check - deposit not tied to a booking",IF(M249="No","Due - not reconciled yet","OK"))))))))</f>
        <v>0</v>
      </c>
    </row>
    <row r="250" spans="1:23">
      <c r="A250" s="28">
        <f>IF(B250="","",PaymentPrefix&amp;TEXT(ROW()-4,"0000"))</f>
        <v>0</v>
      </c>
      <c r="D250" s="15">
        <f>IF(C250="","",IFERROR(INDEX(Clients!$B$5:$B$504,MATCH(C250,Clients!$A$5:$A$504,0)),"Walk-in"))</f>
        <v>0</v>
      </c>
      <c r="K250" s="15">
        <f>IF(J250="","",IFERROR(INDEX(Staff!$B$5:$B$44,MATCH(J250,Staff!$A$5:$A$44,0)),""))</f>
        <v>0</v>
      </c>
      <c r="O250" s="15">
        <f>IF(B250="","",TEXT(B250,"yyyy-mm"))</f>
        <v>0</v>
      </c>
      <c r="P250" s="25">
        <f>IF(B250="","",WEEKNUM(B250,2))</f>
        <v>0</v>
      </c>
      <c r="Q250" s="38">
        <f>IF(B250="","",IF(E250="Tip","No",IF(E250="Refund","No","Yes")))</f>
        <v>0</v>
      </c>
      <c r="R250" s="25">
        <f>IF(B250="","",IF(E250="Refund",-1,1))</f>
        <v>0</v>
      </c>
      <c r="S250" s="26">
        <f>IF(B250="","",IF(G250="",0,IF(F250="Card",ROUND(G250*CardFeePercent+CardFeeFixed,2),IF(F250="Online deposit",ROUND(G250*CardFeePercent+CardFeeFixed,2),0))))</f>
        <v>0</v>
      </c>
      <c r="T250" s="26">
        <f>IF(B250="","",ROUND(IF(G250="",0,G250)*R250-S250,2))</f>
        <v>0</v>
      </c>
      <c r="U250" s="38">
        <f>IF(B250="","",IF(E250="Tip","Yes","No"))</f>
        <v>0</v>
      </c>
      <c r="V250" s="15">
        <f>IF(B250="","",IF(H250&lt;&gt;"","Sale "&amp;H250,IF(I250&lt;&gt;"","Booking "&amp;I250,IF(E250="Tip","Stylist","Unapplied"))))</f>
        <v>0</v>
      </c>
      <c r="W250" s="39">
        <f>IF(B250="","",IF(G250="","Add - no amount yet",IF(E250="","Add - what was this for?",IF(IF(H250="",FALSE,COUNTIF(Sales!$A$5:$A$1204,H250)=0),"Missing - no sale with that ID",IF(IF(I250="",FALSE,COUNTIF(Appointments!$A$5:$A$1204,I250)=0),"Missing - no booking with that ID",IF(IF(E250="Tip",J250="",FALSE),"Assign - whose tip is it?",IF(IF(E250="Deposit",IF(H250="",I250="",FALSE),FALSE),"Check - deposit not tied to a booking",IF(M250="No","Due - not reconciled yet","OK"))))))))</f>
        <v>0</v>
      </c>
    </row>
    <row r="251" spans="1:23">
      <c r="A251" s="28">
        <f>IF(B251="","",PaymentPrefix&amp;TEXT(ROW()-4,"0000"))</f>
        <v>0</v>
      </c>
      <c r="D251" s="15">
        <f>IF(C251="","",IFERROR(INDEX(Clients!$B$5:$B$504,MATCH(C251,Clients!$A$5:$A$504,0)),"Walk-in"))</f>
        <v>0</v>
      </c>
      <c r="K251" s="15">
        <f>IF(J251="","",IFERROR(INDEX(Staff!$B$5:$B$44,MATCH(J251,Staff!$A$5:$A$44,0)),""))</f>
        <v>0</v>
      </c>
      <c r="O251" s="15">
        <f>IF(B251="","",TEXT(B251,"yyyy-mm"))</f>
        <v>0</v>
      </c>
      <c r="P251" s="25">
        <f>IF(B251="","",WEEKNUM(B251,2))</f>
        <v>0</v>
      </c>
      <c r="Q251" s="38">
        <f>IF(B251="","",IF(E251="Tip","No",IF(E251="Refund","No","Yes")))</f>
        <v>0</v>
      </c>
      <c r="R251" s="25">
        <f>IF(B251="","",IF(E251="Refund",-1,1))</f>
        <v>0</v>
      </c>
      <c r="S251" s="26">
        <f>IF(B251="","",IF(G251="",0,IF(F251="Card",ROUND(G251*CardFeePercent+CardFeeFixed,2),IF(F251="Online deposit",ROUND(G251*CardFeePercent+CardFeeFixed,2),0))))</f>
        <v>0</v>
      </c>
      <c r="T251" s="26">
        <f>IF(B251="","",ROUND(IF(G251="",0,G251)*R251-S251,2))</f>
        <v>0</v>
      </c>
      <c r="U251" s="38">
        <f>IF(B251="","",IF(E251="Tip","Yes","No"))</f>
        <v>0</v>
      </c>
      <c r="V251" s="15">
        <f>IF(B251="","",IF(H251&lt;&gt;"","Sale "&amp;H251,IF(I251&lt;&gt;"","Booking "&amp;I251,IF(E251="Tip","Stylist","Unapplied"))))</f>
        <v>0</v>
      </c>
      <c r="W251" s="39">
        <f>IF(B251="","",IF(G251="","Add - no amount yet",IF(E251="","Add - what was this for?",IF(IF(H251="",FALSE,COUNTIF(Sales!$A$5:$A$1204,H251)=0),"Missing - no sale with that ID",IF(IF(I251="",FALSE,COUNTIF(Appointments!$A$5:$A$1204,I251)=0),"Missing - no booking with that ID",IF(IF(E251="Tip",J251="",FALSE),"Assign - whose tip is it?",IF(IF(E251="Deposit",IF(H251="",I251="",FALSE),FALSE),"Check - deposit not tied to a booking",IF(M251="No","Due - not reconciled yet","OK"))))))))</f>
        <v>0</v>
      </c>
    </row>
    <row r="252" spans="1:23">
      <c r="A252" s="28">
        <f>IF(B252="","",PaymentPrefix&amp;TEXT(ROW()-4,"0000"))</f>
        <v>0</v>
      </c>
      <c r="D252" s="15">
        <f>IF(C252="","",IFERROR(INDEX(Clients!$B$5:$B$504,MATCH(C252,Clients!$A$5:$A$504,0)),"Walk-in"))</f>
        <v>0</v>
      </c>
      <c r="K252" s="15">
        <f>IF(J252="","",IFERROR(INDEX(Staff!$B$5:$B$44,MATCH(J252,Staff!$A$5:$A$44,0)),""))</f>
        <v>0</v>
      </c>
      <c r="O252" s="15">
        <f>IF(B252="","",TEXT(B252,"yyyy-mm"))</f>
        <v>0</v>
      </c>
      <c r="P252" s="25">
        <f>IF(B252="","",WEEKNUM(B252,2))</f>
        <v>0</v>
      </c>
      <c r="Q252" s="38">
        <f>IF(B252="","",IF(E252="Tip","No",IF(E252="Refund","No","Yes")))</f>
        <v>0</v>
      </c>
      <c r="R252" s="25">
        <f>IF(B252="","",IF(E252="Refund",-1,1))</f>
        <v>0</v>
      </c>
      <c r="S252" s="26">
        <f>IF(B252="","",IF(G252="",0,IF(F252="Card",ROUND(G252*CardFeePercent+CardFeeFixed,2),IF(F252="Online deposit",ROUND(G252*CardFeePercent+CardFeeFixed,2),0))))</f>
        <v>0</v>
      </c>
      <c r="T252" s="26">
        <f>IF(B252="","",ROUND(IF(G252="",0,G252)*R252-S252,2))</f>
        <v>0</v>
      </c>
      <c r="U252" s="38">
        <f>IF(B252="","",IF(E252="Tip","Yes","No"))</f>
        <v>0</v>
      </c>
      <c r="V252" s="15">
        <f>IF(B252="","",IF(H252&lt;&gt;"","Sale "&amp;H252,IF(I252&lt;&gt;"","Booking "&amp;I252,IF(E252="Tip","Stylist","Unapplied"))))</f>
        <v>0</v>
      </c>
      <c r="W252" s="39">
        <f>IF(B252="","",IF(G252="","Add - no amount yet",IF(E252="","Add - what was this for?",IF(IF(H252="",FALSE,COUNTIF(Sales!$A$5:$A$1204,H252)=0),"Missing - no sale with that ID",IF(IF(I252="",FALSE,COUNTIF(Appointments!$A$5:$A$1204,I252)=0),"Missing - no booking with that ID",IF(IF(E252="Tip",J252="",FALSE),"Assign - whose tip is it?",IF(IF(E252="Deposit",IF(H252="",I252="",FALSE),FALSE),"Check - deposit not tied to a booking",IF(M252="No","Due - not reconciled yet","OK"))))))))</f>
        <v>0</v>
      </c>
    </row>
    <row r="253" spans="1:23">
      <c r="A253" s="28">
        <f>IF(B253="","",PaymentPrefix&amp;TEXT(ROW()-4,"0000"))</f>
        <v>0</v>
      </c>
      <c r="D253" s="15">
        <f>IF(C253="","",IFERROR(INDEX(Clients!$B$5:$B$504,MATCH(C253,Clients!$A$5:$A$504,0)),"Walk-in"))</f>
        <v>0</v>
      </c>
      <c r="K253" s="15">
        <f>IF(J253="","",IFERROR(INDEX(Staff!$B$5:$B$44,MATCH(J253,Staff!$A$5:$A$44,0)),""))</f>
        <v>0</v>
      </c>
      <c r="O253" s="15">
        <f>IF(B253="","",TEXT(B253,"yyyy-mm"))</f>
        <v>0</v>
      </c>
      <c r="P253" s="25">
        <f>IF(B253="","",WEEKNUM(B253,2))</f>
        <v>0</v>
      </c>
      <c r="Q253" s="38">
        <f>IF(B253="","",IF(E253="Tip","No",IF(E253="Refund","No","Yes")))</f>
        <v>0</v>
      </c>
      <c r="R253" s="25">
        <f>IF(B253="","",IF(E253="Refund",-1,1))</f>
        <v>0</v>
      </c>
      <c r="S253" s="26">
        <f>IF(B253="","",IF(G253="",0,IF(F253="Card",ROUND(G253*CardFeePercent+CardFeeFixed,2),IF(F253="Online deposit",ROUND(G253*CardFeePercent+CardFeeFixed,2),0))))</f>
        <v>0</v>
      </c>
      <c r="T253" s="26">
        <f>IF(B253="","",ROUND(IF(G253="",0,G253)*R253-S253,2))</f>
        <v>0</v>
      </c>
      <c r="U253" s="38">
        <f>IF(B253="","",IF(E253="Tip","Yes","No"))</f>
        <v>0</v>
      </c>
      <c r="V253" s="15">
        <f>IF(B253="","",IF(H253&lt;&gt;"","Sale "&amp;H253,IF(I253&lt;&gt;"","Booking "&amp;I253,IF(E253="Tip","Stylist","Unapplied"))))</f>
        <v>0</v>
      </c>
      <c r="W253" s="39">
        <f>IF(B253="","",IF(G253="","Add - no amount yet",IF(E253="","Add - what was this for?",IF(IF(H253="",FALSE,COUNTIF(Sales!$A$5:$A$1204,H253)=0),"Missing - no sale with that ID",IF(IF(I253="",FALSE,COUNTIF(Appointments!$A$5:$A$1204,I253)=0),"Missing - no booking with that ID",IF(IF(E253="Tip",J253="",FALSE),"Assign - whose tip is it?",IF(IF(E253="Deposit",IF(H253="",I253="",FALSE),FALSE),"Check - deposit not tied to a booking",IF(M253="No","Due - not reconciled yet","OK"))))))))</f>
        <v>0</v>
      </c>
    </row>
    <row r="254" spans="1:23">
      <c r="A254" s="28">
        <f>IF(B254="","",PaymentPrefix&amp;TEXT(ROW()-4,"0000"))</f>
        <v>0</v>
      </c>
      <c r="D254" s="15">
        <f>IF(C254="","",IFERROR(INDEX(Clients!$B$5:$B$504,MATCH(C254,Clients!$A$5:$A$504,0)),"Walk-in"))</f>
        <v>0</v>
      </c>
      <c r="K254" s="15">
        <f>IF(J254="","",IFERROR(INDEX(Staff!$B$5:$B$44,MATCH(J254,Staff!$A$5:$A$44,0)),""))</f>
        <v>0</v>
      </c>
      <c r="O254" s="15">
        <f>IF(B254="","",TEXT(B254,"yyyy-mm"))</f>
        <v>0</v>
      </c>
      <c r="P254" s="25">
        <f>IF(B254="","",WEEKNUM(B254,2))</f>
        <v>0</v>
      </c>
      <c r="Q254" s="38">
        <f>IF(B254="","",IF(E254="Tip","No",IF(E254="Refund","No","Yes")))</f>
        <v>0</v>
      </c>
      <c r="R254" s="25">
        <f>IF(B254="","",IF(E254="Refund",-1,1))</f>
        <v>0</v>
      </c>
      <c r="S254" s="26">
        <f>IF(B254="","",IF(G254="",0,IF(F254="Card",ROUND(G254*CardFeePercent+CardFeeFixed,2),IF(F254="Online deposit",ROUND(G254*CardFeePercent+CardFeeFixed,2),0))))</f>
        <v>0</v>
      </c>
      <c r="T254" s="26">
        <f>IF(B254="","",ROUND(IF(G254="",0,G254)*R254-S254,2))</f>
        <v>0</v>
      </c>
      <c r="U254" s="38">
        <f>IF(B254="","",IF(E254="Tip","Yes","No"))</f>
        <v>0</v>
      </c>
      <c r="V254" s="15">
        <f>IF(B254="","",IF(H254&lt;&gt;"","Sale "&amp;H254,IF(I254&lt;&gt;"","Booking "&amp;I254,IF(E254="Tip","Stylist","Unapplied"))))</f>
        <v>0</v>
      </c>
      <c r="W254" s="39">
        <f>IF(B254="","",IF(G254="","Add - no amount yet",IF(E254="","Add - what was this for?",IF(IF(H254="",FALSE,COUNTIF(Sales!$A$5:$A$1204,H254)=0),"Missing - no sale with that ID",IF(IF(I254="",FALSE,COUNTIF(Appointments!$A$5:$A$1204,I254)=0),"Missing - no booking with that ID",IF(IF(E254="Tip",J254="",FALSE),"Assign - whose tip is it?",IF(IF(E254="Deposit",IF(H254="",I254="",FALSE),FALSE),"Check - deposit not tied to a booking",IF(M254="No","Due - not reconciled yet","OK"))))))))</f>
        <v>0</v>
      </c>
    </row>
    <row r="255" spans="1:23">
      <c r="A255" s="28">
        <f>IF(B255="","",PaymentPrefix&amp;TEXT(ROW()-4,"0000"))</f>
        <v>0</v>
      </c>
      <c r="D255" s="15">
        <f>IF(C255="","",IFERROR(INDEX(Clients!$B$5:$B$504,MATCH(C255,Clients!$A$5:$A$504,0)),"Walk-in"))</f>
        <v>0</v>
      </c>
      <c r="K255" s="15">
        <f>IF(J255="","",IFERROR(INDEX(Staff!$B$5:$B$44,MATCH(J255,Staff!$A$5:$A$44,0)),""))</f>
        <v>0</v>
      </c>
      <c r="O255" s="15">
        <f>IF(B255="","",TEXT(B255,"yyyy-mm"))</f>
        <v>0</v>
      </c>
      <c r="P255" s="25">
        <f>IF(B255="","",WEEKNUM(B255,2))</f>
        <v>0</v>
      </c>
      <c r="Q255" s="38">
        <f>IF(B255="","",IF(E255="Tip","No",IF(E255="Refund","No","Yes")))</f>
        <v>0</v>
      </c>
      <c r="R255" s="25">
        <f>IF(B255="","",IF(E255="Refund",-1,1))</f>
        <v>0</v>
      </c>
      <c r="S255" s="26">
        <f>IF(B255="","",IF(G255="",0,IF(F255="Card",ROUND(G255*CardFeePercent+CardFeeFixed,2),IF(F255="Online deposit",ROUND(G255*CardFeePercent+CardFeeFixed,2),0))))</f>
        <v>0</v>
      </c>
      <c r="T255" s="26">
        <f>IF(B255="","",ROUND(IF(G255="",0,G255)*R255-S255,2))</f>
        <v>0</v>
      </c>
      <c r="U255" s="38">
        <f>IF(B255="","",IF(E255="Tip","Yes","No"))</f>
        <v>0</v>
      </c>
      <c r="V255" s="15">
        <f>IF(B255="","",IF(H255&lt;&gt;"","Sale "&amp;H255,IF(I255&lt;&gt;"","Booking "&amp;I255,IF(E255="Tip","Stylist","Unapplied"))))</f>
        <v>0</v>
      </c>
      <c r="W255" s="39">
        <f>IF(B255="","",IF(G255="","Add - no amount yet",IF(E255="","Add - what was this for?",IF(IF(H255="",FALSE,COUNTIF(Sales!$A$5:$A$1204,H255)=0),"Missing - no sale with that ID",IF(IF(I255="",FALSE,COUNTIF(Appointments!$A$5:$A$1204,I255)=0),"Missing - no booking with that ID",IF(IF(E255="Tip",J255="",FALSE),"Assign - whose tip is it?",IF(IF(E255="Deposit",IF(H255="",I255="",FALSE),FALSE),"Check - deposit not tied to a booking",IF(M255="No","Due - not reconciled yet","OK"))))))))</f>
        <v>0</v>
      </c>
    </row>
    <row r="256" spans="1:23">
      <c r="A256" s="28">
        <f>IF(B256="","",PaymentPrefix&amp;TEXT(ROW()-4,"0000"))</f>
        <v>0</v>
      </c>
      <c r="D256" s="15">
        <f>IF(C256="","",IFERROR(INDEX(Clients!$B$5:$B$504,MATCH(C256,Clients!$A$5:$A$504,0)),"Walk-in"))</f>
        <v>0</v>
      </c>
      <c r="K256" s="15">
        <f>IF(J256="","",IFERROR(INDEX(Staff!$B$5:$B$44,MATCH(J256,Staff!$A$5:$A$44,0)),""))</f>
        <v>0</v>
      </c>
      <c r="O256" s="15">
        <f>IF(B256="","",TEXT(B256,"yyyy-mm"))</f>
        <v>0</v>
      </c>
      <c r="P256" s="25">
        <f>IF(B256="","",WEEKNUM(B256,2))</f>
        <v>0</v>
      </c>
      <c r="Q256" s="38">
        <f>IF(B256="","",IF(E256="Tip","No",IF(E256="Refund","No","Yes")))</f>
        <v>0</v>
      </c>
      <c r="R256" s="25">
        <f>IF(B256="","",IF(E256="Refund",-1,1))</f>
        <v>0</v>
      </c>
      <c r="S256" s="26">
        <f>IF(B256="","",IF(G256="",0,IF(F256="Card",ROUND(G256*CardFeePercent+CardFeeFixed,2),IF(F256="Online deposit",ROUND(G256*CardFeePercent+CardFeeFixed,2),0))))</f>
        <v>0</v>
      </c>
      <c r="T256" s="26">
        <f>IF(B256="","",ROUND(IF(G256="",0,G256)*R256-S256,2))</f>
        <v>0</v>
      </c>
      <c r="U256" s="38">
        <f>IF(B256="","",IF(E256="Tip","Yes","No"))</f>
        <v>0</v>
      </c>
      <c r="V256" s="15">
        <f>IF(B256="","",IF(H256&lt;&gt;"","Sale "&amp;H256,IF(I256&lt;&gt;"","Booking "&amp;I256,IF(E256="Tip","Stylist","Unapplied"))))</f>
        <v>0</v>
      </c>
      <c r="W256" s="39">
        <f>IF(B256="","",IF(G256="","Add - no amount yet",IF(E256="","Add - what was this for?",IF(IF(H256="",FALSE,COUNTIF(Sales!$A$5:$A$1204,H256)=0),"Missing - no sale with that ID",IF(IF(I256="",FALSE,COUNTIF(Appointments!$A$5:$A$1204,I256)=0),"Missing - no booking with that ID",IF(IF(E256="Tip",J256="",FALSE),"Assign - whose tip is it?",IF(IF(E256="Deposit",IF(H256="",I256="",FALSE),FALSE),"Check - deposit not tied to a booking",IF(M256="No","Due - not reconciled yet","OK"))))))))</f>
        <v>0</v>
      </c>
    </row>
    <row r="257" spans="1:23">
      <c r="A257" s="28">
        <f>IF(B257="","",PaymentPrefix&amp;TEXT(ROW()-4,"0000"))</f>
        <v>0</v>
      </c>
      <c r="D257" s="15">
        <f>IF(C257="","",IFERROR(INDEX(Clients!$B$5:$B$504,MATCH(C257,Clients!$A$5:$A$504,0)),"Walk-in"))</f>
        <v>0</v>
      </c>
      <c r="K257" s="15">
        <f>IF(J257="","",IFERROR(INDEX(Staff!$B$5:$B$44,MATCH(J257,Staff!$A$5:$A$44,0)),""))</f>
        <v>0</v>
      </c>
      <c r="O257" s="15">
        <f>IF(B257="","",TEXT(B257,"yyyy-mm"))</f>
        <v>0</v>
      </c>
      <c r="P257" s="25">
        <f>IF(B257="","",WEEKNUM(B257,2))</f>
        <v>0</v>
      </c>
      <c r="Q257" s="38">
        <f>IF(B257="","",IF(E257="Tip","No",IF(E257="Refund","No","Yes")))</f>
        <v>0</v>
      </c>
      <c r="R257" s="25">
        <f>IF(B257="","",IF(E257="Refund",-1,1))</f>
        <v>0</v>
      </c>
      <c r="S257" s="26">
        <f>IF(B257="","",IF(G257="",0,IF(F257="Card",ROUND(G257*CardFeePercent+CardFeeFixed,2),IF(F257="Online deposit",ROUND(G257*CardFeePercent+CardFeeFixed,2),0))))</f>
        <v>0</v>
      </c>
      <c r="T257" s="26">
        <f>IF(B257="","",ROUND(IF(G257="",0,G257)*R257-S257,2))</f>
        <v>0</v>
      </c>
      <c r="U257" s="38">
        <f>IF(B257="","",IF(E257="Tip","Yes","No"))</f>
        <v>0</v>
      </c>
      <c r="V257" s="15">
        <f>IF(B257="","",IF(H257&lt;&gt;"","Sale "&amp;H257,IF(I257&lt;&gt;"","Booking "&amp;I257,IF(E257="Tip","Stylist","Unapplied"))))</f>
        <v>0</v>
      </c>
      <c r="W257" s="39">
        <f>IF(B257="","",IF(G257="","Add - no amount yet",IF(E257="","Add - what was this for?",IF(IF(H257="",FALSE,COUNTIF(Sales!$A$5:$A$1204,H257)=0),"Missing - no sale with that ID",IF(IF(I257="",FALSE,COUNTIF(Appointments!$A$5:$A$1204,I257)=0),"Missing - no booking with that ID",IF(IF(E257="Tip",J257="",FALSE),"Assign - whose tip is it?",IF(IF(E257="Deposit",IF(H257="",I257="",FALSE),FALSE),"Check - deposit not tied to a booking",IF(M257="No","Due - not reconciled yet","OK"))))))))</f>
        <v>0</v>
      </c>
    </row>
    <row r="258" spans="1:23">
      <c r="A258" s="28">
        <f>IF(B258="","",PaymentPrefix&amp;TEXT(ROW()-4,"0000"))</f>
        <v>0</v>
      </c>
      <c r="D258" s="15">
        <f>IF(C258="","",IFERROR(INDEX(Clients!$B$5:$B$504,MATCH(C258,Clients!$A$5:$A$504,0)),"Walk-in"))</f>
        <v>0</v>
      </c>
      <c r="K258" s="15">
        <f>IF(J258="","",IFERROR(INDEX(Staff!$B$5:$B$44,MATCH(J258,Staff!$A$5:$A$44,0)),""))</f>
        <v>0</v>
      </c>
      <c r="O258" s="15">
        <f>IF(B258="","",TEXT(B258,"yyyy-mm"))</f>
        <v>0</v>
      </c>
      <c r="P258" s="25">
        <f>IF(B258="","",WEEKNUM(B258,2))</f>
        <v>0</v>
      </c>
      <c r="Q258" s="38">
        <f>IF(B258="","",IF(E258="Tip","No",IF(E258="Refund","No","Yes")))</f>
        <v>0</v>
      </c>
      <c r="R258" s="25">
        <f>IF(B258="","",IF(E258="Refund",-1,1))</f>
        <v>0</v>
      </c>
      <c r="S258" s="26">
        <f>IF(B258="","",IF(G258="",0,IF(F258="Card",ROUND(G258*CardFeePercent+CardFeeFixed,2),IF(F258="Online deposit",ROUND(G258*CardFeePercent+CardFeeFixed,2),0))))</f>
        <v>0</v>
      </c>
      <c r="T258" s="26">
        <f>IF(B258="","",ROUND(IF(G258="",0,G258)*R258-S258,2))</f>
        <v>0</v>
      </c>
      <c r="U258" s="38">
        <f>IF(B258="","",IF(E258="Tip","Yes","No"))</f>
        <v>0</v>
      </c>
      <c r="V258" s="15">
        <f>IF(B258="","",IF(H258&lt;&gt;"","Sale "&amp;H258,IF(I258&lt;&gt;"","Booking "&amp;I258,IF(E258="Tip","Stylist","Unapplied"))))</f>
        <v>0</v>
      </c>
      <c r="W258" s="39">
        <f>IF(B258="","",IF(G258="","Add - no amount yet",IF(E258="","Add - what was this for?",IF(IF(H258="",FALSE,COUNTIF(Sales!$A$5:$A$1204,H258)=0),"Missing - no sale with that ID",IF(IF(I258="",FALSE,COUNTIF(Appointments!$A$5:$A$1204,I258)=0),"Missing - no booking with that ID",IF(IF(E258="Tip",J258="",FALSE),"Assign - whose tip is it?",IF(IF(E258="Deposit",IF(H258="",I258="",FALSE),FALSE),"Check - deposit not tied to a booking",IF(M258="No","Due - not reconciled yet","OK"))))))))</f>
        <v>0</v>
      </c>
    </row>
    <row r="259" spans="1:23">
      <c r="A259" s="28">
        <f>IF(B259="","",PaymentPrefix&amp;TEXT(ROW()-4,"0000"))</f>
        <v>0</v>
      </c>
      <c r="D259" s="15">
        <f>IF(C259="","",IFERROR(INDEX(Clients!$B$5:$B$504,MATCH(C259,Clients!$A$5:$A$504,0)),"Walk-in"))</f>
        <v>0</v>
      </c>
      <c r="K259" s="15">
        <f>IF(J259="","",IFERROR(INDEX(Staff!$B$5:$B$44,MATCH(J259,Staff!$A$5:$A$44,0)),""))</f>
        <v>0</v>
      </c>
      <c r="O259" s="15">
        <f>IF(B259="","",TEXT(B259,"yyyy-mm"))</f>
        <v>0</v>
      </c>
      <c r="P259" s="25">
        <f>IF(B259="","",WEEKNUM(B259,2))</f>
        <v>0</v>
      </c>
      <c r="Q259" s="38">
        <f>IF(B259="","",IF(E259="Tip","No",IF(E259="Refund","No","Yes")))</f>
        <v>0</v>
      </c>
      <c r="R259" s="25">
        <f>IF(B259="","",IF(E259="Refund",-1,1))</f>
        <v>0</v>
      </c>
      <c r="S259" s="26">
        <f>IF(B259="","",IF(G259="",0,IF(F259="Card",ROUND(G259*CardFeePercent+CardFeeFixed,2),IF(F259="Online deposit",ROUND(G259*CardFeePercent+CardFeeFixed,2),0))))</f>
        <v>0</v>
      </c>
      <c r="T259" s="26">
        <f>IF(B259="","",ROUND(IF(G259="",0,G259)*R259-S259,2))</f>
        <v>0</v>
      </c>
      <c r="U259" s="38">
        <f>IF(B259="","",IF(E259="Tip","Yes","No"))</f>
        <v>0</v>
      </c>
      <c r="V259" s="15">
        <f>IF(B259="","",IF(H259&lt;&gt;"","Sale "&amp;H259,IF(I259&lt;&gt;"","Booking "&amp;I259,IF(E259="Tip","Stylist","Unapplied"))))</f>
        <v>0</v>
      </c>
      <c r="W259" s="39">
        <f>IF(B259="","",IF(G259="","Add - no amount yet",IF(E259="","Add - what was this for?",IF(IF(H259="",FALSE,COUNTIF(Sales!$A$5:$A$1204,H259)=0),"Missing - no sale with that ID",IF(IF(I259="",FALSE,COUNTIF(Appointments!$A$5:$A$1204,I259)=0),"Missing - no booking with that ID",IF(IF(E259="Tip",J259="",FALSE),"Assign - whose tip is it?",IF(IF(E259="Deposit",IF(H259="",I259="",FALSE),FALSE),"Check - deposit not tied to a booking",IF(M259="No","Due - not reconciled yet","OK"))))))))</f>
        <v>0</v>
      </c>
    </row>
    <row r="260" spans="1:23">
      <c r="A260" s="28">
        <f>IF(B260="","",PaymentPrefix&amp;TEXT(ROW()-4,"0000"))</f>
        <v>0</v>
      </c>
      <c r="D260" s="15">
        <f>IF(C260="","",IFERROR(INDEX(Clients!$B$5:$B$504,MATCH(C260,Clients!$A$5:$A$504,0)),"Walk-in"))</f>
        <v>0</v>
      </c>
      <c r="K260" s="15">
        <f>IF(J260="","",IFERROR(INDEX(Staff!$B$5:$B$44,MATCH(J260,Staff!$A$5:$A$44,0)),""))</f>
        <v>0</v>
      </c>
      <c r="O260" s="15">
        <f>IF(B260="","",TEXT(B260,"yyyy-mm"))</f>
        <v>0</v>
      </c>
      <c r="P260" s="25">
        <f>IF(B260="","",WEEKNUM(B260,2))</f>
        <v>0</v>
      </c>
      <c r="Q260" s="38">
        <f>IF(B260="","",IF(E260="Tip","No",IF(E260="Refund","No","Yes")))</f>
        <v>0</v>
      </c>
      <c r="R260" s="25">
        <f>IF(B260="","",IF(E260="Refund",-1,1))</f>
        <v>0</v>
      </c>
      <c r="S260" s="26">
        <f>IF(B260="","",IF(G260="",0,IF(F260="Card",ROUND(G260*CardFeePercent+CardFeeFixed,2),IF(F260="Online deposit",ROUND(G260*CardFeePercent+CardFeeFixed,2),0))))</f>
        <v>0</v>
      </c>
      <c r="T260" s="26">
        <f>IF(B260="","",ROUND(IF(G260="",0,G260)*R260-S260,2))</f>
        <v>0</v>
      </c>
      <c r="U260" s="38">
        <f>IF(B260="","",IF(E260="Tip","Yes","No"))</f>
        <v>0</v>
      </c>
      <c r="V260" s="15">
        <f>IF(B260="","",IF(H260&lt;&gt;"","Sale "&amp;H260,IF(I260&lt;&gt;"","Booking "&amp;I260,IF(E260="Tip","Stylist","Unapplied"))))</f>
        <v>0</v>
      </c>
      <c r="W260" s="39">
        <f>IF(B260="","",IF(G260="","Add - no amount yet",IF(E260="","Add - what was this for?",IF(IF(H260="",FALSE,COUNTIF(Sales!$A$5:$A$1204,H260)=0),"Missing - no sale with that ID",IF(IF(I260="",FALSE,COUNTIF(Appointments!$A$5:$A$1204,I260)=0),"Missing - no booking with that ID",IF(IF(E260="Tip",J260="",FALSE),"Assign - whose tip is it?",IF(IF(E260="Deposit",IF(H260="",I260="",FALSE),FALSE),"Check - deposit not tied to a booking",IF(M260="No","Due - not reconciled yet","OK"))))))))</f>
        <v>0</v>
      </c>
    </row>
    <row r="261" spans="1:23">
      <c r="A261" s="28">
        <f>IF(B261="","",PaymentPrefix&amp;TEXT(ROW()-4,"0000"))</f>
        <v>0</v>
      </c>
      <c r="D261" s="15">
        <f>IF(C261="","",IFERROR(INDEX(Clients!$B$5:$B$504,MATCH(C261,Clients!$A$5:$A$504,0)),"Walk-in"))</f>
        <v>0</v>
      </c>
      <c r="K261" s="15">
        <f>IF(J261="","",IFERROR(INDEX(Staff!$B$5:$B$44,MATCH(J261,Staff!$A$5:$A$44,0)),""))</f>
        <v>0</v>
      </c>
      <c r="O261" s="15">
        <f>IF(B261="","",TEXT(B261,"yyyy-mm"))</f>
        <v>0</v>
      </c>
      <c r="P261" s="25">
        <f>IF(B261="","",WEEKNUM(B261,2))</f>
        <v>0</v>
      </c>
      <c r="Q261" s="38">
        <f>IF(B261="","",IF(E261="Tip","No",IF(E261="Refund","No","Yes")))</f>
        <v>0</v>
      </c>
      <c r="R261" s="25">
        <f>IF(B261="","",IF(E261="Refund",-1,1))</f>
        <v>0</v>
      </c>
      <c r="S261" s="26">
        <f>IF(B261="","",IF(G261="",0,IF(F261="Card",ROUND(G261*CardFeePercent+CardFeeFixed,2),IF(F261="Online deposit",ROUND(G261*CardFeePercent+CardFeeFixed,2),0))))</f>
        <v>0</v>
      </c>
      <c r="T261" s="26">
        <f>IF(B261="","",ROUND(IF(G261="",0,G261)*R261-S261,2))</f>
        <v>0</v>
      </c>
      <c r="U261" s="38">
        <f>IF(B261="","",IF(E261="Tip","Yes","No"))</f>
        <v>0</v>
      </c>
      <c r="V261" s="15">
        <f>IF(B261="","",IF(H261&lt;&gt;"","Sale "&amp;H261,IF(I261&lt;&gt;"","Booking "&amp;I261,IF(E261="Tip","Stylist","Unapplied"))))</f>
        <v>0</v>
      </c>
      <c r="W261" s="39">
        <f>IF(B261="","",IF(G261="","Add - no amount yet",IF(E261="","Add - what was this for?",IF(IF(H261="",FALSE,COUNTIF(Sales!$A$5:$A$1204,H261)=0),"Missing - no sale with that ID",IF(IF(I261="",FALSE,COUNTIF(Appointments!$A$5:$A$1204,I261)=0),"Missing - no booking with that ID",IF(IF(E261="Tip",J261="",FALSE),"Assign - whose tip is it?",IF(IF(E261="Deposit",IF(H261="",I261="",FALSE),FALSE),"Check - deposit not tied to a booking",IF(M261="No","Due - not reconciled yet","OK"))))))))</f>
        <v>0</v>
      </c>
    </row>
    <row r="262" spans="1:23">
      <c r="A262" s="28">
        <f>IF(B262="","",PaymentPrefix&amp;TEXT(ROW()-4,"0000"))</f>
        <v>0</v>
      </c>
      <c r="D262" s="15">
        <f>IF(C262="","",IFERROR(INDEX(Clients!$B$5:$B$504,MATCH(C262,Clients!$A$5:$A$504,0)),"Walk-in"))</f>
        <v>0</v>
      </c>
      <c r="K262" s="15">
        <f>IF(J262="","",IFERROR(INDEX(Staff!$B$5:$B$44,MATCH(J262,Staff!$A$5:$A$44,0)),""))</f>
        <v>0</v>
      </c>
      <c r="O262" s="15">
        <f>IF(B262="","",TEXT(B262,"yyyy-mm"))</f>
        <v>0</v>
      </c>
      <c r="P262" s="25">
        <f>IF(B262="","",WEEKNUM(B262,2))</f>
        <v>0</v>
      </c>
      <c r="Q262" s="38">
        <f>IF(B262="","",IF(E262="Tip","No",IF(E262="Refund","No","Yes")))</f>
        <v>0</v>
      </c>
      <c r="R262" s="25">
        <f>IF(B262="","",IF(E262="Refund",-1,1))</f>
        <v>0</v>
      </c>
      <c r="S262" s="26">
        <f>IF(B262="","",IF(G262="",0,IF(F262="Card",ROUND(G262*CardFeePercent+CardFeeFixed,2),IF(F262="Online deposit",ROUND(G262*CardFeePercent+CardFeeFixed,2),0))))</f>
        <v>0</v>
      </c>
      <c r="T262" s="26">
        <f>IF(B262="","",ROUND(IF(G262="",0,G262)*R262-S262,2))</f>
        <v>0</v>
      </c>
      <c r="U262" s="38">
        <f>IF(B262="","",IF(E262="Tip","Yes","No"))</f>
        <v>0</v>
      </c>
      <c r="V262" s="15">
        <f>IF(B262="","",IF(H262&lt;&gt;"","Sale "&amp;H262,IF(I262&lt;&gt;"","Booking "&amp;I262,IF(E262="Tip","Stylist","Unapplied"))))</f>
        <v>0</v>
      </c>
      <c r="W262" s="39">
        <f>IF(B262="","",IF(G262="","Add - no amount yet",IF(E262="","Add - what was this for?",IF(IF(H262="",FALSE,COUNTIF(Sales!$A$5:$A$1204,H262)=0),"Missing - no sale with that ID",IF(IF(I262="",FALSE,COUNTIF(Appointments!$A$5:$A$1204,I262)=0),"Missing - no booking with that ID",IF(IF(E262="Tip",J262="",FALSE),"Assign - whose tip is it?",IF(IF(E262="Deposit",IF(H262="",I262="",FALSE),FALSE),"Check - deposit not tied to a booking",IF(M262="No","Due - not reconciled yet","OK"))))))))</f>
        <v>0</v>
      </c>
    </row>
    <row r="263" spans="1:23">
      <c r="A263" s="28">
        <f>IF(B263="","",PaymentPrefix&amp;TEXT(ROW()-4,"0000"))</f>
        <v>0</v>
      </c>
      <c r="D263" s="15">
        <f>IF(C263="","",IFERROR(INDEX(Clients!$B$5:$B$504,MATCH(C263,Clients!$A$5:$A$504,0)),"Walk-in"))</f>
        <v>0</v>
      </c>
      <c r="K263" s="15">
        <f>IF(J263="","",IFERROR(INDEX(Staff!$B$5:$B$44,MATCH(J263,Staff!$A$5:$A$44,0)),""))</f>
        <v>0</v>
      </c>
      <c r="O263" s="15">
        <f>IF(B263="","",TEXT(B263,"yyyy-mm"))</f>
        <v>0</v>
      </c>
      <c r="P263" s="25">
        <f>IF(B263="","",WEEKNUM(B263,2))</f>
        <v>0</v>
      </c>
      <c r="Q263" s="38">
        <f>IF(B263="","",IF(E263="Tip","No",IF(E263="Refund","No","Yes")))</f>
        <v>0</v>
      </c>
      <c r="R263" s="25">
        <f>IF(B263="","",IF(E263="Refund",-1,1))</f>
        <v>0</v>
      </c>
      <c r="S263" s="26">
        <f>IF(B263="","",IF(G263="",0,IF(F263="Card",ROUND(G263*CardFeePercent+CardFeeFixed,2),IF(F263="Online deposit",ROUND(G263*CardFeePercent+CardFeeFixed,2),0))))</f>
        <v>0</v>
      </c>
      <c r="T263" s="26">
        <f>IF(B263="","",ROUND(IF(G263="",0,G263)*R263-S263,2))</f>
        <v>0</v>
      </c>
      <c r="U263" s="38">
        <f>IF(B263="","",IF(E263="Tip","Yes","No"))</f>
        <v>0</v>
      </c>
      <c r="V263" s="15">
        <f>IF(B263="","",IF(H263&lt;&gt;"","Sale "&amp;H263,IF(I263&lt;&gt;"","Booking "&amp;I263,IF(E263="Tip","Stylist","Unapplied"))))</f>
        <v>0</v>
      </c>
      <c r="W263" s="39">
        <f>IF(B263="","",IF(G263="","Add - no amount yet",IF(E263="","Add - what was this for?",IF(IF(H263="",FALSE,COUNTIF(Sales!$A$5:$A$1204,H263)=0),"Missing - no sale with that ID",IF(IF(I263="",FALSE,COUNTIF(Appointments!$A$5:$A$1204,I263)=0),"Missing - no booking with that ID",IF(IF(E263="Tip",J263="",FALSE),"Assign - whose tip is it?",IF(IF(E263="Deposit",IF(H263="",I263="",FALSE),FALSE),"Check - deposit not tied to a booking",IF(M263="No","Due - not reconciled yet","OK"))))))))</f>
        <v>0</v>
      </c>
    </row>
    <row r="264" spans="1:23">
      <c r="A264" s="28">
        <f>IF(B264="","",PaymentPrefix&amp;TEXT(ROW()-4,"0000"))</f>
        <v>0</v>
      </c>
      <c r="D264" s="15">
        <f>IF(C264="","",IFERROR(INDEX(Clients!$B$5:$B$504,MATCH(C264,Clients!$A$5:$A$504,0)),"Walk-in"))</f>
        <v>0</v>
      </c>
      <c r="K264" s="15">
        <f>IF(J264="","",IFERROR(INDEX(Staff!$B$5:$B$44,MATCH(J264,Staff!$A$5:$A$44,0)),""))</f>
        <v>0</v>
      </c>
      <c r="O264" s="15">
        <f>IF(B264="","",TEXT(B264,"yyyy-mm"))</f>
        <v>0</v>
      </c>
      <c r="P264" s="25">
        <f>IF(B264="","",WEEKNUM(B264,2))</f>
        <v>0</v>
      </c>
      <c r="Q264" s="38">
        <f>IF(B264="","",IF(E264="Tip","No",IF(E264="Refund","No","Yes")))</f>
        <v>0</v>
      </c>
      <c r="R264" s="25">
        <f>IF(B264="","",IF(E264="Refund",-1,1))</f>
        <v>0</v>
      </c>
      <c r="S264" s="26">
        <f>IF(B264="","",IF(G264="",0,IF(F264="Card",ROUND(G264*CardFeePercent+CardFeeFixed,2),IF(F264="Online deposit",ROUND(G264*CardFeePercent+CardFeeFixed,2),0))))</f>
        <v>0</v>
      </c>
      <c r="T264" s="26">
        <f>IF(B264="","",ROUND(IF(G264="",0,G264)*R264-S264,2))</f>
        <v>0</v>
      </c>
      <c r="U264" s="38">
        <f>IF(B264="","",IF(E264="Tip","Yes","No"))</f>
        <v>0</v>
      </c>
      <c r="V264" s="15">
        <f>IF(B264="","",IF(H264&lt;&gt;"","Sale "&amp;H264,IF(I264&lt;&gt;"","Booking "&amp;I264,IF(E264="Tip","Stylist","Unapplied"))))</f>
        <v>0</v>
      </c>
      <c r="W264" s="39">
        <f>IF(B264="","",IF(G264="","Add - no amount yet",IF(E264="","Add - what was this for?",IF(IF(H264="",FALSE,COUNTIF(Sales!$A$5:$A$1204,H264)=0),"Missing - no sale with that ID",IF(IF(I264="",FALSE,COUNTIF(Appointments!$A$5:$A$1204,I264)=0),"Missing - no booking with that ID",IF(IF(E264="Tip",J264="",FALSE),"Assign - whose tip is it?",IF(IF(E264="Deposit",IF(H264="",I264="",FALSE),FALSE),"Check - deposit not tied to a booking",IF(M264="No","Due - not reconciled yet","OK"))))))))</f>
        <v>0</v>
      </c>
    </row>
    <row r="265" spans="1:23">
      <c r="A265" s="28">
        <f>IF(B265="","",PaymentPrefix&amp;TEXT(ROW()-4,"0000"))</f>
        <v>0</v>
      </c>
      <c r="D265" s="15">
        <f>IF(C265="","",IFERROR(INDEX(Clients!$B$5:$B$504,MATCH(C265,Clients!$A$5:$A$504,0)),"Walk-in"))</f>
        <v>0</v>
      </c>
      <c r="K265" s="15">
        <f>IF(J265="","",IFERROR(INDEX(Staff!$B$5:$B$44,MATCH(J265,Staff!$A$5:$A$44,0)),""))</f>
        <v>0</v>
      </c>
      <c r="O265" s="15">
        <f>IF(B265="","",TEXT(B265,"yyyy-mm"))</f>
        <v>0</v>
      </c>
      <c r="P265" s="25">
        <f>IF(B265="","",WEEKNUM(B265,2))</f>
        <v>0</v>
      </c>
      <c r="Q265" s="38">
        <f>IF(B265="","",IF(E265="Tip","No",IF(E265="Refund","No","Yes")))</f>
        <v>0</v>
      </c>
      <c r="R265" s="25">
        <f>IF(B265="","",IF(E265="Refund",-1,1))</f>
        <v>0</v>
      </c>
      <c r="S265" s="26">
        <f>IF(B265="","",IF(G265="",0,IF(F265="Card",ROUND(G265*CardFeePercent+CardFeeFixed,2),IF(F265="Online deposit",ROUND(G265*CardFeePercent+CardFeeFixed,2),0))))</f>
        <v>0</v>
      </c>
      <c r="T265" s="26">
        <f>IF(B265="","",ROUND(IF(G265="",0,G265)*R265-S265,2))</f>
        <v>0</v>
      </c>
      <c r="U265" s="38">
        <f>IF(B265="","",IF(E265="Tip","Yes","No"))</f>
        <v>0</v>
      </c>
      <c r="V265" s="15">
        <f>IF(B265="","",IF(H265&lt;&gt;"","Sale "&amp;H265,IF(I265&lt;&gt;"","Booking "&amp;I265,IF(E265="Tip","Stylist","Unapplied"))))</f>
        <v>0</v>
      </c>
      <c r="W265" s="39">
        <f>IF(B265="","",IF(G265="","Add - no amount yet",IF(E265="","Add - what was this for?",IF(IF(H265="",FALSE,COUNTIF(Sales!$A$5:$A$1204,H265)=0),"Missing - no sale with that ID",IF(IF(I265="",FALSE,COUNTIF(Appointments!$A$5:$A$1204,I265)=0),"Missing - no booking with that ID",IF(IF(E265="Tip",J265="",FALSE),"Assign - whose tip is it?",IF(IF(E265="Deposit",IF(H265="",I265="",FALSE),FALSE),"Check - deposit not tied to a booking",IF(M265="No","Due - not reconciled yet","OK"))))))))</f>
        <v>0</v>
      </c>
    </row>
    <row r="266" spans="1:23">
      <c r="A266" s="28">
        <f>IF(B266="","",PaymentPrefix&amp;TEXT(ROW()-4,"0000"))</f>
        <v>0</v>
      </c>
      <c r="D266" s="15">
        <f>IF(C266="","",IFERROR(INDEX(Clients!$B$5:$B$504,MATCH(C266,Clients!$A$5:$A$504,0)),"Walk-in"))</f>
        <v>0</v>
      </c>
      <c r="K266" s="15">
        <f>IF(J266="","",IFERROR(INDEX(Staff!$B$5:$B$44,MATCH(J266,Staff!$A$5:$A$44,0)),""))</f>
        <v>0</v>
      </c>
      <c r="O266" s="15">
        <f>IF(B266="","",TEXT(B266,"yyyy-mm"))</f>
        <v>0</v>
      </c>
      <c r="P266" s="25">
        <f>IF(B266="","",WEEKNUM(B266,2))</f>
        <v>0</v>
      </c>
      <c r="Q266" s="38">
        <f>IF(B266="","",IF(E266="Tip","No",IF(E266="Refund","No","Yes")))</f>
        <v>0</v>
      </c>
      <c r="R266" s="25">
        <f>IF(B266="","",IF(E266="Refund",-1,1))</f>
        <v>0</v>
      </c>
      <c r="S266" s="26">
        <f>IF(B266="","",IF(G266="",0,IF(F266="Card",ROUND(G266*CardFeePercent+CardFeeFixed,2),IF(F266="Online deposit",ROUND(G266*CardFeePercent+CardFeeFixed,2),0))))</f>
        <v>0</v>
      </c>
      <c r="T266" s="26">
        <f>IF(B266="","",ROUND(IF(G266="",0,G266)*R266-S266,2))</f>
        <v>0</v>
      </c>
      <c r="U266" s="38">
        <f>IF(B266="","",IF(E266="Tip","Yes","No"))</f>
        <v>0</v>
      </c>
      <c r="V266" s="15">
        <f>IF(B266="","",IF(H266&lt;&gt;"","Sale "&amp;H266,IF(I266&lt;&gt;"","Booking "&amp;I266,IF(E266="Tip","Stylist","Unapplied"))))</f>
        <v>0</v>
      </c>
      <c r="W266" s="39">
        <f>IF(B266="","",IF(G266="","Add - no amount yet",IF(E266="","Add - what was this for?",IF(IF(H266="",FALSE,COUNTIF(Sales!$A$5:$A$1204,H266)=0),"Missing - no sale with that ID",IF(IF(I266="",FALSE,COUNTIF(Appointments!$A$5:$A$1204,I266)=0),"Missing - no booking with that ID",IF(IF(E266="Tip",J266="",FALSE),"Assign - whose tip is it?",IF(IF(E266="Deposit",IF(H266="",I266="",FALSE),FALSE),"Check - deposit not tied to a booking",IF(M266="No","Due - not reconciled yet","OK"))))))))</f>
        <v>0</v>
      </c>
    </row>
    <row r="267" spans="1:23">
      <c r="A267" s="28">
        <f>IF(B267="","",PaymentPrefix&amp;TEXT(ROW()-4,"0000"))</f>
        <v>0</v>
      </c>
      <c r="D267" s="15">
        <f>IF(C267="","",IFERROR(INDEX(Clients!$B$5:$B$504,MATCH(C267,Clients!$A$5:$A$504,0)),"Walk-in"))</f>
        <v>0</v>
      </c>
      <c r="K267" s="15">
        <f>IF(J267="","",IFERROR(INDEX(Staff!$B$5:$B$44,MATCH(J267,Staff!$A$5:$A$44,0)),""))</f>
        <v>0</v>
      </c>
      <c r="O267" s="15">
        <f>IF(B267="","",TEXT(B267,"yyyy-mm"))</f>
        <v>0</v>
      </c>
      <c r="P267" s="25">
        <f>IF(B267="","",WEEKNUM(B267,2))</f>
        <v>0</v>
      </c>
      <c r="Q267" s="38">
        <f>IF(B267="","",IF(E267="Tip","No",IF(E267="Refund","No","Yes")))</f>
        <v>0</v>
      </c>
      <c r="R267" s="25">
        <f>IF(B267="","",IF(E267="Refund",-1,1))</f>
        <v>0</v>
      </c>
      <c r="S267" s="26">
        <f>IF(B267="","",IF(G267="",0,IF(F267="Card",ROUND(G267*CardFeePercent+CardFeeFixed,2),IF(F267="Online deposit",ROUND(G267*CardFeePercent+CardFeeFixed,2),0))))</f>
        <v>0</v>
      </c>
      <c r="T267" s="26">
        <f>IF(B267="","",ROUND(IF(G267="",0,G267)*R267-S267,2))</f>
        <v>0</v>
      </c>
      <c r="U267" s="38">
        <f>IF(B267="","",IF(E267="Tip","Yes","No"))</f>
        <v>0</v>
      </c>
      <c r="V267" s="15">
        <f>IF(B267="","",IF(H267&lt;&gt;"","Sale "&amp;H267,IF(I267&lt;&gt;"","Booking "&amp;I267,IF(E267="Tip","Stylist","Unapplied"))))</f>
        <v>0</v>
      </c>
      <c r="W267" s="39">
        <f>IF(B267="","",IF(G267="","Add - no amount yet",IF(E267="","Add - what was this for?",IF(IF(H267="",FALSE,COUNTIF(Sales!$A$5:$A$1204,H267)=0),"Missing - no sale with that ID",IF(IF(I267="",FALSE,COUNTIF(Appointments!$A$5:$A$1204,I267)=0),"Missing - no booking with that ID",IF(IF(E267="Tip",J267="",FALSE),"Assign - whose tip is it?",IF(IF(E267="Deposit",IF(H267="",I267="",FALSE),FALSE),"Check - deposit not tied to a booking",IF(M267="No","Due - not reconciled yet","OK"))))))))</f>
        <v>0</v>
      </c>
    </row>
    <row r="268" spans="1:23">
      <c r="A268" s="28">
        <f>IF(B268="","",PaymentPrefix&amp;TEXT(ROW()-4,"0000"))</f>
        <v>0</v>
      </c>
      <c r="D268" s="15">
        <f>IF(C268="","",IFERROR(INDEX(Clients!$B$5:$B$504,MATCH(C268,Clients!$A$5:$A$504,0)),"Walk-in"))</f>
        <v>0</v>
      </c>
      <c r="K268" s="15">
        <f>IF(J268="","",IFERROR(INDEX(Staff!$B$5:$B$44,MATCH(J268,Staff!$A$5:$A$44,0)),""))</f>
        <v>0</v>
      </c>
      <c r="O268" s="15">
        <f>IF(B268="","",TEXT(B268,"yyyy-mm"))</f>
        <v>0</v>
      </c>
      <c r="P268" s="25">
        <f>IF(B268="","",WEEKNUM(B268,2))</f>
        <v>0</v>
      </c>
      <c r="Q268" s="38">
        <f>IF(B268="","",IF(E268="Tip","No",IF(E268="Refund","No","Yes")))</f>
        <v>0</v>
      </c>
      <c r="R268" s="25">
        <f>IF(B268="","",IF(E268="Refund",-1,1))</f>
        <v>0</v>
      </c>
      <c r="S268" s="26">
        <f>IF(B268="","",IF(G268="",0,IF(F268="Card",ROUND(G268*CardFeePercent+CardFeeFixed,2),IF(F268="Online deposit",ROUND(G268*CardFeePercent+CardFeeFixed,2),0))))</f>
        <v>0</v>
      </c>
      <c r="T268" s="26">
        <f>IF(B268="","",ROUND(IF(G268="",0,G268)*R268-S268,2))</f>
        <v>0</v>
      </c>
      <c r="U268" s="38">
        <f>IF(B268="","",IF(E268="Tip","Yes","No"))</f>
        <v>0</v>
      </c>
      <c r="V268" s="15">
        <f>IF(B268="","",IF(H268&lt;&gt;"","Sale "&amp;H268,IF(I268&lt;&gt;"","Booking "&amp;I268,IF(E268="Tip","Stylist","Unapplied"))))</f>
        <v>0</v>
      </c>
      <c r="W268" s="39">
        <f>IF(B268="","",IF(G268="","Add - no amount yet",IF(E268="","Add - what was this for?",IF(IF(H268="",FALSE,COUNTIF(Sales!$A$5:$A$1204,H268)=0),"Missing - no sale with that ID",IF(IF(I268="",FALSE,COUNTIF(Appointments!$A$5:$A$1204,I268)=0),"Missing - no booking with that ID",IF(IF(E268="Tip",J268="",FALSE),"Assign - whose tip is it?",IF(IF(E268="Deposit",IF(H268="",I268="",FALSE),FALSE),"Check - deposit not tied to a booking",IF(M268="No","Due - not reconciled yet","OK"))))))))</f>
        <v>0</v>
      </c>
    </row>
    <row r="269" spans="1:23">
      <c r="A269" s="28">
        <f>IF(B269="","",PaymentPrefix&amp;TEXT(ROW()-4,"0000"))</f>
        <v>0</v>
      </c>
      <c r="D269" s="15">
        <f>IF(C269="","",IFERROR(INDEX(Clients!$B$5:$B$504,MATCH(C269,Clients!$A$5:$A$504,0)),"Walk-in"))</f>
        <v>0</v>
      </c>
      <c r="K269" s="15">
        <f>IF(J269="","",IFERROR(INDEX(Staff!$B$5:$B$44,MATCH(J269,Staff!$A$5:$A$44,0)),""))</f>
        <v>0</v>
      </c>
      <c r="O269" s="15">
        <f>IF(B269="","",TEXT(B269,"yyyy-mm"))</f>
        <v>0</v>
      </c>
      <c r="P269" s="25">
        <f>IF(B269="","",WEEKNUM(B269,2))</f>
        <v>0</v>
      </c>
      <c r="Q269" s="38">
        <f>IF(B269="","",IF(E269="Tip","No",IF(E269="Refund","No","Yes")))</f>
        <v>0</v>
      </c>
      <c r="R269" s="25">
        <f>IF(B269="","",IF(E269="Refund",-1,1))</f>
        <v>0</v>
      </c>
      <c r="S269" s="26">
        <f>IF(B269="","",IF(G269="",0,IF(F269="Card",ROUND(G269*CardFeePercent+CardFeeFixed,2),IF(F269="Online deposit",ROUND(G269*CardFeePercent+CardFeeFixed,2),0))))</f>
        <v>0</v>
      </c>
      <c r="T269" s="26">
        <f>IF(B269="","",ROUND(IF(G269="",0,G269)*R269-S269,2))</f>
        <v>0</v>
      </c>
      <c r="U269" s="38">
        <f>IF(B269="","",IF(E269="Tip","Yes","No"))</f>
        <v>0</v>
      </c>
      <c r="V269" s="15">
        <f>IF(B269="","",IF(H269&lt;&gt;"","Sale "&amp;H269,IF(I269&lt;&gt;"","Booking "&amp;I269,IF(E269="Tip","Stylist","Unapplied"))))</f>
        <v>0</v>
      </c>
      <c r="W269" s="39">
        <f>IF(B269="","",IF(G269="","Add - no amount yet",IF(E269="","Add - what was this for?",IF(IF(H269="",FALSE,COUNTIF(Sales!$A$5:$A$1204,H269)=0),"Missing - no sale with that ID",IF(IF(I269="",FALSE,COUNTIF(Appointments!$A$5:$A$1204,I269)=0),"Missing - no booking with that ID",IF(IF(E269="Tip",J269="",FALSE),"Assign - whose tip is it?",IF(IF(E269="Deposit",IF(H269="",I269="",FALSE),FALSE),"Check - deposit not tied to a booking",IF(M269="No","Due - not reconciled yet","OK"))))))))</f>
        <v>0</v>
      </c>
    </row>
    <row r="270" spans="1:23">
      <c r="A270" s="28">
        <f>IF(B270="","",PaymentPrefix&amp;TEXT(ROW()-4,"0000"))</f>
        <v>0</v>
      </c>
      <c r="D270" s="15">
        <f>IF(C270="","",IFERROR(INDEX(Clients!$B$5:$B$504,MATCH(C270,Clients!$A$5:$A$504,0)),"Walk-in"))</f>
        <v>0</v>
      </c>
      <c r="K270" s="15">
        <f>IF(J270="","",IFERROR(INDEX(Staff!$B$5:$B$44,MATCH(J270,Staff!$A$5:$A$44,0)),""))</f>
        <v>0</v>
      </c>
      <c r="O270" s="15">
        <f>IF(B270="","",TEXT(B270,"yyyy-mm"))</f>
        <v>0</v>
      </c>
      <c r="P270" s="25">
        <f>IF(B270="","",WEEKNUM(B270,2))</f>
        <v>0</v>
      </c>
      <c r="Q270" s="38">
        <f>IF(B270="","",IF(E270="Tip","No",IF(E270="Refund","No","Yes")))</f>
        <v>0</v>
      </c>
      <c r="R270" s="25">
        <f>IF(B270="","",IF(E270="Refund",-1,1))</f>
        <v>0</v>
      </c>
      <c r="S270" s="26">
        <f>IF(B270="","",IF(G270="",0,IF(F270="Card",ROUND(G270*CardFeePercent+CardFeeFixed,2),IF(F270="Online deposit",ROUND(G270*CardFeePercent+CardFeeFixed,2),0))))</f>
        <v>0</v>
      </c>
      <c r="T270" s="26">
        <f>IF(B270="","",ROUND(IF(G270="",0,G270)*R270-S270,2))</f>
        <v>0</v>
      </c>
      <c r="U270" s="38">
        <f>IF(B270="","",IF(E270="Tip","Yes","No"))</f>
        <v>0</v>
      </c>
      <c r="V270" s="15">
        <f>IF(B270="","",IF(H270&lt;&gt;"","Sale "&amp;H270,IF(I270&lt;&gt;"","Booking "&amp;I270,IF(E270="Tip","Stylist","Unapplied"))))</f>
        <v>0</v>
      </c>
      <c r="W270" s="39">
        <f>IF(B270="","",IF(G270="","Add - no amount yet",IF(E270="","Add - what was this for?",IF(IF(H270="",FALSE,COUNTIF(Sales!$A$5:$A$1204,H270)=0),"Missing - no sale with that ID",IF(IF(I270="",FALSE,COUNTIF(Appointments!$A$5:$A$1204,I270)=0),"Missing - no booking with that ID",IF(IF(E270="Tip",J270="",FALSE),"Assign - whose tip is it?",IF(IF(E270="Deposit",IF(H270="",I270="",FALSE),FALSE),"Check - deposit not tied to a booking",IF(M270="No","Due - not reconciled yet","OK"))))))))</f>
        <v>0</v>
      </c>
    </row>
    <row r="271" spans="1:23">
      <c r="A271" s="28">
        <f>IF(B271="","",PaymentPrefix&amp;TEXT(ROW()-4,"0000"))</f>
        <v>0</v>
      </c>
      <c r="D271" s="15">
        <f>IF(C271="","",IFERROR(INDEX(Clients!$B$5:$B$504,MATCH(C271,Clients!$A$5:$A$504,0)),"Walk-in"))</f>
        <v>0</v>
      </c>
      <c r="K271" s="15">
        <f>IF(J271="","",IFERROR(INDEX(Staff!$B$5:$B$44,MATCH(J271,Staff!$A$5:$A$44,0)),""))</f>
        <v>0</v>
      </c>
      <c r="O271" s="15">
        <f>IF(B271="","",TEXT(B271,"yyyy-mm"))</f>
        <v>0</v>
      </c>
      <c r="P271" s="25">
        <f>IF(B271="","",WEEKNUM(B271,2))</f>
        <v>0</v>
      </c>
      <c r="Q271" s="38">
        <f>IF(B271="","",IF(E271="Tip","No",IF(E271="Refund","No","Yes")))</f>
        <v>0</v>
      </c>
      <c r="R271" s="25">
        <f>IF(B271="","",IF(E271="Refund",-1,1))</f>
        <v>0</v>
      </c>
      <c r="S271" s="26">
        <f>IF(B271="","",IF(G271="",0,IF(F271="Card",ROUND(G271*CardFeePercent+CardFeeFixed,2),IF(F271="Online deposit",ROUND(G271*CardFeePercent+CardFeeFixed,2),0))))</f>
        <v>0</v>
      </c>
      <c r="T271" s="26">
        <f>IF(B271="","",ROUND(IF(G271="",0,G271)*R271-S271,2))</f>
        <v>0</v>
      </c>
      <c r="U271" s="38">
        <f>IF(B271="","",IF(E271="Tip","Yes","No"))</f>
        <v>0</v>
      </c>
      <c r="V271" s="15">
        <f>IF(B271="","",IF(H271&lt;&gt;"","Sale "&amp;H271,IF(I271&lt;&gt;"","Booking "&amp;I271,IF(E271="Tip","Stylist","Unapplied"))))</f>
        <v>0</v>
      </c>
      <c r="W271" s="39">
        <f>IF(B271="","",IF(G271="","Add - no amount yet",IF(E271="","Add - what was this for?",IF(IF(H271="",FALSE,COUNTIF(Sales!$A$5:$A$1204,H271)=0),"Missing - no sale with that ID",IF(IF(I271="",FALSE,COUNTIF(Appointments!$A$5:$A$1204,I271)=0),"Missing - no booking with that ID",IF(IF(E271="Tip",J271="",FALSE),"Assign - whose tip is it?",IF(IF(E271="Deposit",IF(H271="",I271="",FALSE),FALSE),"Check - deposit not tied to a booking",IF(M271="No","Due - not reconciled yet","OK"))))))))</f>
        <v>0</v>
      </c>
    </row>
    <row r="272" spans="1:23">
      <c r="A272" s="28">
        <f>IF(B272="","",PaymentPrefix&amp;TEXT(ROW()-4,"0000"))</f>
        <v>0</v>
      </c>
      <c r="D272" s="15">
        <f>IF(C272="","",IFERROR(INDEX(Clients!$B$5:$B$504,MATCH(C272,Clients!$A$5:$A$504,0)),"Walk-in"))</f>
        <v>0</v>
      </c>
      <c r="K272" s="15">
        <f>IF(J272="","",IFERROR(INDEX(Staff!$B$5:$B$44,MATCH(J272,Staff!$A$5:$A$44,0)),""))</f>
        <v>0</v>
      </c>
      <c r="O272" s="15">
        <f>IF(B272="","",TEXT(B272,"yyyy-mm"))</f>
        <v>0</v>
      </c>
      <c r="P272" s="25">
        <f>IF(B272="","",WEEKNUM(B272,2))</f>
        <v>0</v>
      </c>
      <c r="Q272" s="38">
        <f>IF(B272="","",IF(E272="Tip","No",IF(E272="Refund","No","Yes")))</f>
        <v>0</v>
      </c>
      <c r="R272" s="25">
        <f>IF(B272="","",IF(E272="Refund",-1,1))</f>
        <v>0</v>
      </c>
      <c r="S272" s="26">
        <f>IF(B272="","",IF(G272="",0,IF(F272="Card",ROUND(G272*CardFeePercent+CardFeeFixed,2),IF(F272="Online deposit",ROUND(G272*CardFeePercent+CardFeeFixed,2),0))))</f>
        <v>0</v>
      </c>
      <c r="T272" s="26">
        <f>IF(B272="","",ROUND(IF(G272="",0,G272)*R272-S272,2))</f>
        <v>0</v>
      </c>
      <c r="U272" s="38">
        <f>IF(B272="","",IF(E272="Tip","Yes","No"))</f>
        <v>0</v>
      </c>
      <c r="V272" s="15">
        <f>IF(B272="","",IF(H272&lt;&gt;"","Sale "&amp;H272,IF(I272&lt;&gt;"","Booking "&amp;I272,IF(E272="Tip","Stylist","Unapplied"))))</f>
        <v>0</v>
      </c>
      <c r="W272" s="39">
        <f>IF(B272="","",IF(G272="","Add - no amount yet",IF(E272="","Add - what was this for?",IF(IF(H272="",FALSE,COUNTIF(Sales!$A$5:$A$1204,H272)=0),"Missing - no sale with that ID",IF(IF(I272="",FALSE,COUNTIF(Appointments!$A$5:$A$1204,I272)=0),"Missing - no booking with that ID",IF(IF(E272="Tip",J272="",FALSE),"Assign - whose tip is it?",IF(IF(E272="Deposit",IF(H272="",I272="",FALSE),FALSE),"Check - deposit not tied to a booking",IF(M272="No","Due - not reconciled yet","OK"))))))))</f>
        <v>0</v>
      </c>
    </row>
    <row r="273" spans="1:23">
      <c r="A273" s="28">
        <f>IF(B273="","",PaymentPrefix&amp;TEXT(ROW()-4,"0000"))</f>
        <v>0</v>
      </c>
      <c r="D273" s="15">
        <f>IF(C273="","",IFERROR(INDEX(Clients!$B$5:$B$504,MATCH(C273,Clients!$A$5:$A$504,0)),"Walk-in"))</f>
        <v>0</v>
      </c>
      <c r="K273" s="15">
        <f>IF(J273="","",IFERROR(INDEX(Staff!$B$5:$B$44,MATCH(J273,Staff!$A$5:$A$44,0)),""))</f>
        <v>0</v>
      </c>
      <c r="O273" s="15">
        <f>IF(B273="","",TEXT(B273,"yyyy-mm"))</f>
        <v>0</v>
      </c>
      <c r="P273" s="25">
        <f>IF(B273="","",WEEKNUM(B273,2))</f>
        <v>0</v>
      </c>
      <c r="Q273" s="38">
        <f>IF(B273="","",IF(E273="Tip","No",IF(E273="Refund","No","Yes")))</f>
        <v>0</v>
      </c>
      <c r="R273" s="25">
        <f>IF(B273="","",IF(E273="Refund",-1,1))</f>
        <v>0</v>
      </c>
      <c r="S273" s="26">
        <f>IF(B273="","",IF(G273="",0,IF(F273="Card",ROUND(G273*CardFeePercent+CardFeeFixed,2),IF(F273="Online deposit",ROUND(G273*CardFeePercent+CardFeeFixed,2),0))))</f>
        <v>0</v>
      </c>
      <c r="T273" s="26">
        <f>IF(B273="","",ROUND(IF(G273="",0,G273)*R273-S273,2))</f>
        <v>0</v>
      </c>
      <c r="U273" s="38">
        <f>IF(B273="","",IF(E273="Tip","Yes","No"))</f>
        <v>0</v>
      </c>
      <c r="V273" s="15">
        <f>IF(B273="","",IF(H273&lt;&gt;"","Sale "&amp;H273,IF(I273&lt;&gt;"","Booking "&amp;I273,IF(E273="Tip","Stylist","Unapplied"))))</f>
        <v>0</v>
      </c>
      <c r="W273" s="39">
        <f>IF(B273="","",IF(G273="","Add - no amount yet",IF(E273="","Add - what was this for?",IF(IF(H273="",FALSE,COUNTIF(Sales!$A$5:$A$1204,H273)=0),"Missing - no sale with that ID",IF(IF(I273="",FALSE,COUNTIF(Appointments!$A$5:$A$1204,I273)=0),"Missing - no booking with that ID",IF(IF(E273="Tip",J273="",FALSE),"Assign - whose tip is it?",IF(IF(E273="Deposit",IF(H273="",I273="",FALSE),FALSE),"Check - deposit not tied to a booking",IF(M273="No","Due - not reconciled yet","OK"))))))))</f>
        <v>0</v>
      </c>
    </row>
    <row r="274" spans="1:23">
      <c r="A274" s="28">
        <f>IF(B274="","",PaymentPrefix&amp;TEXT(ROW()-4,"0000"))</f>
        <v>0</v>
      </c>
      <c r="D274" s="15">
        <f>IF(C274="","",IFERROR(INDEX(Clients!$B$5:$B$504,MATCH(C274,Clients!$A$5:$A$504,0)),"Walk-in"))</f>
        <v>0</v>
      </c>
      <c r="K274" s="15">
        <f>IF(J274="","",IFERROR(INDEX(Staff!$B$5:$B$44,MATCH(J274,Staff!$A$5:$A$44,0)),""))</f>
        <v>0</v>
      </c>
      <c r="O274" s="15">
        <f>IF(B274="","",TEXT(B274,"yyyy-mm"))</f>
        <v>0</v>
      </c>
      <c r="P274" s="25">
        <f>IF(B274="","",WEEKNUM(B274,2))</f>
        <v>0</v>
      </c>
      <c r="Q274" s="38">
        <f>IF(B274="","",IF(E274="Tip","No",IF(E274="Refund","No","Yes")))</f>
        <v>0</v>
      </c>
      <c r="R274" s="25">
        <f>IF(B274="","",IF(E274="Refund",-1,1))</f>
        <v>0</v>
      </c>
      <c r="S274" s="26">
        <f>IF(B274="","",IF(G274="",0,IF(F274="Card",ROUND(G274*CardFeePercent+CardFeeFixed,2),IF(F274="Online deposit",ROUND(G274*CardFeePercent+CardFeeFixed,2),0))))</f>
        <v>0</v>
      </c>
      <c r="T274" s="26">
        <f>IF(B274="","",ROUND(IF(G274="",0,G274)*R274-S274,2))</f>
        <v>0</v>
      </c>
      <c r="U274" s="38">
        <f>IF(B274="","",IF(E274="Tip","Yes","No"))</f>
        <v>0</v>
      </c>
      <c r="V274" s="15">
        <f>IF(B274="","",IF(H274&lt;&gt;"","Sale "&amp;H274,IF(I274&lt;&gt;"","Booking "&amp;I274,IF(E274="Tip","Stylist","Unapplied"))))</f>
        <v>0</v>
      </c>
      <c r="W274" s="39">
        <f>IF(B274="","",IF(G274="","Add - no amount yet",IF(E274="","Add - what was this for?",IF(IF(H274="",FALSE,COUNTIF(Sales!$A$5:$A$1204,H274)=0),"Missing - no sale with that ID",IF(IF(I274="",FALSE,COUNTIF(Appointments!$A$5:$A$1204,I274)=0),"Missing - no booking with that ID",IF(IF(E274="Tip",J274="",FALSE),"Assign - whose tip is it?",IF(IF(E274="Deposit",IF(H274="",I274="",FALSE),FALSE),"Check - deposit not tied to a booking",IF(M274="No","Due - not reconciled yet","OK"))))))))</f>
        <v>0</v>
      </c>
    </row>
    <row r="275" spans="1:23">
      <c r="A275" s="28">
        <f>IF(B275="","",PaymentPrefix&amp;TEXT(ROW()-4,"0000"))</f>
        <v>0</v>
      </c>
      <c r="D275" s="15">
        <f>IF(C275="","",IFERROR(INDEX(Clients!$B$5:$B$504,MATCH(C275,Clients!$A$5:$A$504,0)),"Walk-in"))</f>
        <v>0</v>
      </c>
      <c r="K275" s="15">
        <f>IF(J275="","",IFERROR(INDEX(Staff!$B$5:$B$44,MATCH(J275,Staff!$A$5:$A$44,0)),""))</f>
        <v>0</v>
      </c>
      <c r="O275" s="15">
        <f>IF(B275="","",TEXT(B275,"yyyy-mm"))</f>
        <v>0</v>
      </c>
      <c r="P275" s="25">
        <f>IF(B275="","",WEEKNUM(B275,2))</f>
        <v>0</v>
      </c>
      <c r="Q275" s="38">
        <f>IF(B275="","",IF(E275="Tip","No",IF(E275="Refund","No","Yes")))</f>
        <v>0</v>
      </c>
      <c r="R275" s="25">
        <f>IF(B275="","",IF(E275="Refund",-1,1))</f>
        <v>0</v>
      </c>
      <c r="S275" s="26">
        <f>IF(B275="","",IF(G275="",0,IF(F275="Card",ROUND(G275*CardFeePercent+CardFeeFixed,2),IF(F275="Online deposit",ROUND(G275*CardFeePercent+CardFeeFixed,2),0))))</f>
        <v>0</v>
      </c>
      <c r="T275" s="26">
        <f>IF(B275="","",ROUND(IF(G275="",0,G275)*R275-S275,2))</f>
        <v>0</v>
      </c>
      <c r="U275" s="38">
        <f>IF(B275="","",IF(E275="Tip","Yes","No"))</f>
        <v>0</v>
      </c>
      <c r="V275" s="15">
        <f>IF(B275="","",IF(H275&lt;&gt;"","Sale "&amp;H275,IF(I275&lt;&gt;"","Booking "&amp;I275,IF(E275="Tip","Stylist","Unapplied"))))</f>
        <v>0</v>
      </c>
      <c r="W275" s="39">
        <f>IF(B275="","",IF(G275="","Add - no amount yet",IF(E275="","Add - what was this for?",IF(IF(H275="",FALSE,COUNTIF(Sales!$A$5:$A$1204,H275)=0),"Missing - no sale with that ID",IF(IF(I275="",FALSE,COUNTIF(Appointments!$A$5:$A$1204,I275)=0),"Missing - no booking with that ID",IF(IF(E275="Tip",J275="",FALSE),"Assign - whose tip is it?",IF(IF(E275="Deposit",IF(H275="",I275="",FALSE),FALSE),"Check - deposit not tied to a booking",IF(M275="No","Due - not reconciled yet","OK"))))))))</f>
        <v>0</v>
      </c>
    </row>
    <row r="276" spans="1:23">
      <c r="A276" s="28">
        <f>IF(B276="","",PaymentPrefix&amp;TEXT(ROW()-4,"0000"))</f>
        <v>0</v>
      </c>
      <c r="D276" s="15">
        <f>IF(C276="","",IFERROR(INDEX(Clients!$B$5:$B$504,MATCH(C276,Clients!$A$5:$A$504,0)),"Walk-in"))</f>
        <v>0</v>
      </c>
      <c r="K276" s="15">
        <f>IF(J276="","",IFERROR(INDEX(Staff!$B$5:$B$44,MATCH(J276,Staff!$A$5:$A$44,0)),""))</f>
        <v>0</v>
      </c>
      <c r="O276" s="15">
        <f>IF(B276="","",TEXT(B276,"yyyy-mm"))</f>
        <v>0</v>
      </c>
      <c r="P276" s="25">
        <f>IF(B276="","",WEEKNUM(B276,2))</f>
        <v>0</v>
      </c>
      <c r="Q276" s="38">
        <f>IF(B276="","",IF(E276="Tip","No",IF(E276="Refund","No","Yes")))</f>
        <v>0</v>
      </c>
      <c r="R276" s="25">
        <f>IF(B276="","",IF(E276="Refund",-1,1))</f>
        <v>0</v>
      </c>
      <c r="S276" s="26">
        <f>IF(B276="","",IF(G276="",0,IF(F276="Card",ROUND(G276*CardFeePercent+CardFeeFixed,2),IF(F276="Online deposit",ROUND(G276*CardFeePercent+CardFeeFixed,2),0))))</f>
        <v>0</v>
      </c>
      <c r="T276" s="26">
        <f>IF(B276="","",ROUND(IF(G276="",0,G276)*R276-S276,2))</f>
        <v>0</v>
      </c>
      <c r="U276" s="38">
        <f>IF(B276="","",IF(E276="Tip","Yes","No"))</f>
        <v>0</v>
      </c>
      <c r="V276" s="15">
        <f>IF(B276="","",IF(H276&lt;&gt;"","Sale "&amp;H276,IF(I276&lt;&gt;"","Booking "&amp;I276,IF(E276="Tip","Stylist","Unapplied"))))</f>
        <v>0</v>
      </c>
      <c r="W276" s="39">
        <f>IF(B276="","",IF(G276="","Add - no amount yet",IF(E276="","Add - what was this for?",IF(IF(H276="",FALSE,COUNTIF(Sales!$A$5:$A$1204,H276)=0),"Missing - no sale with that ID",IF(IF(I276="",FALSE,COUNTIF(Appointments!$A$5:$A$1204,I276)=0),"Missing - no booking with that ID",IF(IF(E276="Tip",J276="",FALSE),"Assign - whose tip is it?",IF(IF(E276="Deposit",IF(H276="",I276="",FALSE),FALSE),"Check - deposit not tied to a booking",IF(M276="No","Due - not reconciled yet","OK"))))))))</f>
        <v>0</v>
      </c>
    </row>
    <row r="277" spans="1:23">
      <c r="A277" s="28">
        <f>IF(B277="","",PaymentPrefix&amp;TEXT(ROW()-4,"0000"))</f>
        <v>0</v>
      </c>
      <c r="D277" s="15">
        <f>IF(C277="","",IFERROR(INDEX(Clients!$B$5:$B$504,MATCH(C277,Clients!$A$5:$A$504,0)),"Walk-in"))</f>
        <v>0</v>
      </c>
      <c r="K277" s="15">
        <f>IF(J277="","",IFERROR(INDEX(Staff!$B$5:$B$44,MATCH(J277,Staff!$A$5:$A$44,0)),""))</f>
        <v>0</v>
      </c>
      <c r="O277" s="15">
        <f>IF(B277="","",TEXT(B277,"yyyy-mm"))</f>
        <v>0</v>
      </c>
      <c r="P277" s="25">
        <f>IF(B277="","",WEEKNUM(B277,2))</f>
        <v>0</v>
      </c>
      <c r="Q277" s="38">
        <f>IF(B277="","",IF(E277="Tip","No",IF(E277="Refund","No","Yes")))</f>
        <v>0</v>
      </c>
      <c r="R277" s="25">
        <f>IF(B277="","",IF(E277="Refund",-1,1))</f>
        <v>0</v>
      </c>
      <c r="S277" s="26">
        <f>IF(B277="","",IF(G277="",0,IF(F277="Card",ROUND(G277*CardFeePercent+CardFeeFixed,2),IF(F277="Online deposit",ROUND(G277*CardFeePercent+CardFeeFixed,2),0))))</f>
        <v>0</v>
      </c>
      <c r="T277" s="26">
        <f>IF(B277="","",ROUND(IF(G277="",0,G277)*R277-S277,2))</f>
        <v>0</v>
      </c>
      <c r="U277" s="38">
        <f>IF(B277="","",IF(E277="Tip","Yes","No"))</f>
        <v>0</v>
      </c>
      <c r="V277" s="15">
        <f>IF(B277="","",IF(H277&lt;&gt;"","Sale "&amp;H277,IF(I277&lt;&gt;"","Booking "&amp;I277,IF(E277="Tip","Stylist","Unapplied"))))</f>
        <v>0</v>
      </c>
      <c r="W277" s="39">
        <f>IF(B277="","",IF(G277="","Add - no amount yet",IF(E277="","Add - what was this for?",IF(IF(H277="",FALSE,COUNTIF(Sales!$A$5:$A$1204,H277)=0),"Missing - no sale with that ID",IF(IF(I277="",FALSE,COUNTIF(Appointments!$A$5:$A$1204,I277)=0),"Missing - no booking with that ID",IF(IF(E277="Tip",J277="",FALSE),"Assign - whose tip is it?",IF(IF(E277="Deposit",IF(H277="",I277="",FALSE),FALSE),"Check - deposit not tied to a booking",IF(M277="No","Due - not reconciled yet","OK"))))))))</f>
        <v>0</v>
      </c>
    </row>
    <row r="278" spans="1:23">
      <c r="A278" s="28">
        <f>IF(B278="","",PaymentPrefix&amp;TEXT(ROW()-4,"0000"))</f>
        <v>0</v>
      </c>
      <c r="D278" s="15">
        <f>IF(C278="","",IFERROR(INDEX(Clients!$B$5:$B$504,MATCH(C278,Clients!$A$5:$A$504,0)),"Walk-in"))</f>
        <v>0</v>
      </c>
      <c r="K278" s="15">
        <f>IF(J278="","",IFERROR(INDEX(Staff!$B$5:$B$44,MATCH(J278,Staff!$A$5:$A$44,0)),""))</f>
        <v>0</v>
      </c>
      <c r="O278" s="15">
        <f>IF(B278="","",TEXT(B278,"yyyy-mm"))</f>
        <v>0</v>
      </c>
      <c r="P278" s="25">
        <f>IF(B278="","",WEEKNUM(B278,2))</f>
        <v>0</v>
      </c>
      <c r="Q278" s="38">
        <f>IF(B278="","",IF(E278="Tip","No",IF(E278="Refund","No","Yes")))</f>
        <v>0</v>
      </c>
      <c r="R278" s="25">
        <f>IF(B278="","",IF(E278="Refund",-1,1))</f>
        <v>0</v>
      </c>
      <c r="S278" s="26">
        <f>IF(B278="","",IF(G278="",0,IF(F278="Card",ROUND(G278*CardFeePercent+CardFeeFixed,2),IF(F278="Online deposit",ROUND(G278*CardFeePercent+CardFeeFixed,2),0))))</f>
        <v>0</v>
      </c>
      <c r="T278" s="26">
        <f>IF(B278="","",ROUND(IF(G278="",0,G278)*R278-S278,2))</f>
        <v>0</v>
      </c>
      <c r="U278" s="38">
        <f>IF(B278="","",IF(E278="Tip","Yes","No"))</f>
        <v>0</v>
      </c>
      <c r="V278" s="15">
        <f>IF(B278="","",IF(H278&lt;&gt;"","Sale "&amp;H278,IF(I278&lt;&gt;"","Booking "&amp;I278,IF(E278="Tip","Stylist","Unapplied"))))</f>
        <v>0</v>
      </c>
      <c r="W278" s="39">
        <f>IF(B278="","",IF(G278="","Add - no amount yet",IF(E278="","Add - what was this for?",IF(IF(H278="",FALSE,COUNTIF(Sales!$A$5:$A$1204,H278)=0),"Missing - no sale with that ID",IF(IF(I278="",FALSE,COUNTIF(Appointments!$A$5:$A$1204,I278)=0),"Missing - no booking with that ID",IF(IF(E278="Tip",J278="",FALSE),"Assign - whose tip is it?",IF(IF(E278="Deposit",IF(H278="",I278="",FALSE),FALSE),"Check - deposit not tied to a booking",IF(M278="No","Due - not reconciled yet","OK"))))))))</f>
        <v>0</v>
      </c>
    </row>
    <row r="279" spans="1:23">
      <c r="A279" s="28">
        <f>IF(B279="","",PaymentPrefix&amp;TEXT(ROW()-4,"0000"))</f>
        <v>0</v>
      </c>
      <c r="D279" s="15">
        <f>IF(C279="","",IFERROR(INDEX(Clients!$B$5:$B$504,MATCH(C279,Clients!$A$5:$A$504,0)),"Walk-in"))</f>
        <v>0</v>
      </c>
      <c r="K279" s="15">
        <f>IF(J279="","",IFERROR(INDEX(Staff!$B$5:$B$44,MATCH(J279,Staff!$A$5:$A$44,0)),""))</f>
        <v>0</v>
      </c>
      <c r="O279" s="15">
        <f>IF(B279="","",TEXT(B279,"yyyy-mm"))</f>
        <v>0</v>
      </c>
      <c r="P279" s="25">
        <f>IF(B279="","",WEEKNUM(B279,2))</f>
        <v>0</v>
      </c>
      <c r="Q279" s="38">
        <f>IF(B279="","",IF(E279="Tip","No",IF(E279="Refund","No","Yes")))</f>
        <v>0</v>
      </c>
      <c r="R279" s="25">
        <f>IF(B279="","",IF(E279="Refund",-1,1))</f>
        <v>0</v>
      </c>
      <c r="S279" s="26">
        <f>IF(B279="","",IF(G279="",0,IF(F279="Card",ROUND(G279*CardFeePercent+CardFeeFixed,2),IF(F279="Online deposit",ROUND(G279*CardFeePercent+CardFeeFixed,2),0))))</f>
        <v>0</v>
      </c>
      <c r="T279" s="26">
        <f>IF(B279="","",ROUND(IF(G279="",0,G279)*R279-S279,2))</f>
        <v>0</v>
      </c>
      <c r="U279" s="38">
        <f>IF(B279="","",IF(E279="Tip","Yes","No"))</f>
        <v>0</v>
      </c>
      <c r="V279" s="15">
        <f>IF(B279="","",IF(H279&lt;&gt;"","Sale "&amp;H279,IF(I279&lt;&gt;"","Booking "&amp;I279,IF(E279="Tip","Stylist","Unapplied"))))</f>
        <v>0</v>
      </c>
      <c r="W279" s="39">
        <f>IF(B279="","",IF(G279="","Add - no amount yet",IF(E279="","Add - what was this for?",IF(IF(H279="",FALSE,COUNTIF(Sales!$A$5:$A$1204,H279)=0),"Missing - no sale with that ID",IF(IF(I279="",FALSE,COUNTIF(Appointments!$A$5:$A$1204,I279)=0),"Missing - no booking with that ID",IF(IF(E279="Tip",J279="",FALSE),"Assign - whose tip is it?",IF(IF(E279="Deposit",IF(H279="",I279="",FALSE),FALSE),"Check - deposit not tied to a booking",IF(M279="No","Due - not reconciled yet","OK"))))))))</f>
        <v>0</v>
      </c>
    </row>
    <row r="280" spans="1:23">
      <c r="A280" s="28">
        <f>IF(B280="","",PaymentPrefix&amp;TEXT(ROW()-4,"0000"))</f>
        <v>0</v>
      </c>
      <c r="D280" s="15">
        <f>IF(C280="","",IFERROR(INDEX(Clients!$B$5:$B$504,MATCH(C280,Clients!$A$5:$A$504,0)),"Walk-in"))</f>
        <v>0</v>
      </c>
      <c r="K280" s="15">
        <f>IF(J280="","",IFERROR(INDEX(Staff!$B$5:$B$44,MATCH(J280,Staff!$A$5:$A$44,0)),""))</f>
        <v>0</v>
      </c>
      <c r="O280" s="15">
        <f>IF(B280="","",TEXT(B280,"yyyy-mm"))</f>
        <v>0</v>
      </c>
      <c r="P280" s="25">
        <f>IF(B280="","",WEEKNUM(B280,2))</f>
        <v>0</v>
      </c>
      <c r="Q280" s="38">
        <f>IF(B280="","",IF(E280="Tip","No",IF(E280="Refund","No","Yes")))</f>
        <v>0</v>
      </c>
      <c r="R280" s="25">
        <f>IF(B280="","",IF(E280="Refund",-1,1))</f>
        <v>0</v>
      </c>
      <c r="S280" s="26">
        <f>IF(B280="","",IF(G280="",0,IF(F280="Card",ROUND(G280*CardFeePercent+CardFeeFixed,2),IF(F280="Online deposit",ROUND(G280*CardFeePercent+CardFeeFixed,2),0))))</f>
        <v>0</v>
      </c>
      <c r="T280" s="26">
        <f>IF(B280="","",ROUND(IF(G280="",0,G280)*R280-S280,2))</f>
        <v>0</v>
      </c>
      <c r="U280" s="38">
        <f>IF(B280="","",IF(E280="Tip","Yes","No"))</f>
        <v>0</v>
      </c>
      <c r="V280" s="15">
        <f>IF(B280="","",IF(H280&lt;&gt;"","Sale "&amp;H280,IF(I280&lt;&gt;"","Booking "&amp;I280,IF(E280="Tip","Stylist","Unapplied"))))</f>
        <v>0</v>
      </c>
      <c r="W280" s="39">
        <f>IF(B280="","",IF(G280="","Add - no amount yet",IF(E280="","Add - what was this for?",IF(IF(H280="",FALSE,COUNTIF(Sales!$A$5:$A$1204,H280)=0),"Missing - no sale with that ID",IF(IF(I280="",FALSE,COUNTIF(Appointments!$A$5:$A$1204,I280)=0),"Missing - no booking with that ID",IF(IF(E280="Tip",J280="",FALSE),"Assign - whose tip is it?",IF(IF(E280="Deposit",IF(H280="",I280="",FALSE),FALSE),"Check - deposit not tied to a booking",IF(M280="No","Due - not reconciled yet","OK"))))))))</f>
        <v>0</v>
      </c>
    </row>
    <row r="281" spans="1:23">
      <c r="A281" s="28">
        <f>IF(B281="","",PaymentPrefix&amp;TEXT(ROW()-4,"0000"))</f>
        <v>0</v>
      </c>
      <c r="D281" s="15">
        <f>IF(C281="","",IFERROR(INDEX(Clients!$B$5:$B$504,MATCH(C281,Clients!$A$5:$A$504,0)),"Walk-in"))</f>
        <v>0</v>
      </c>
      <c r="K281" s="15">
        <f>IF(J281="","",IFERROR(INDEX(Staff!$B$5:$B$44,MATCH(J281,Staff!$A$5:$A$44,0)),""))</f>
        <v>0</v>
      </c>
      <c r="O281" s="15">
        <f>IF(B281="","",TEXT(B281,"yyyy-mm"))</f>
        <v>0</v>
      </c>
      <c r="P281" s="25">
        <f>IF(B281="","",WEEKNUM(B281,2))</f>
        <v>0</v>
      </c>
      <c r="Q281" s="38">
        <f>IF(B281="","",IF(E281="Tip","No",IF(E281="Refund","No","Yes")))</f>
        <v>0</v>
      </c>
      <c r="R281" s="25">
        <f>IF(B281="","",IF(E281="Refund",-1,1))</f>
        <v>0</v>
      </c>
      <c r="S281" s="26">
        <f>IF(B281="","",IF(G281="",0,IF(F281="Card",ROUND(G281*CardFeePercent+CardFeeFixed,2),IF(F281="Online deposit",ROUND(G281*CardFeePercent+CardFeeFixed,2),0))))</f>
        <v>0</v>
      </c>
      <c r="T281" s="26">
        <f>IF(B281="","",ROUND(IF(G281="",0,G281)*R281-S281,2))</f>
        <v>0</v>
      </c>
      <c r="U281" s="38">
        <f>IF(B281="","",IF(E281="Tip","Yes","No"))</f>
        <v>0</v>
      </c>
      <c r="V281" s="15">
        <f>IF(B281="","",IF(H281&lt;&gt;"","Sale "&amp;H281,IF(I281&lt;&gt;"","Booking "&amp;I281,IF(E281="Tip","Stylist","Unapplied"))))</f>
        <v>0</v>
      </c>
      <c r="W281" s="39">
        <f>IF(B281="","",IF(G281="","Add - no amount yet",IF(E281="","Add - what was this for?",IF(IF(H281="",FALSE,COUNTIF(Sales!$A$5:$A$1204,H281)=0),"Missing - no sale with that ID",IF(IF(I281="",FALSE,COUNTIF(Appointments!$A$5:$A$1204,I281)=0),"Missing - no booking with that ID",IF(IF(E281="Tip",J281="",FALSE),"Assign - whose tip is it?",IF(IF(E281="Deposit",IF(H281="",I281="",FALSE),FALSE),"Check - deposit not tied to a booking",IF(M281="No","Due - not reconciled yet","OK"))))))))</f>
        <v>0</v>
      </c>
    </row>
    <row r="282" spans="1:23">
      <c r="A282" s="28">
        <f>IF(B282="","",PaymentPrefix&amp;TEXT(ROW()-4,"0000"))</f>
        <v>0</v>
      </c>
      <c r="D282" s="15">
        <f>IF(C282="","",IFERROR(INDEX(Clients!$B$5:$B$504,MATCH(C282,Clients!$A$5:$A$504,0)),"Walk-in"))</f>
        <v>0</v>
      </c>
      <c r="K282" s="15">
        <f>IF(J282="","",IFERROR(INDEX(Staff!$B$5:$B$44,MATCH(J282,Staff!$A$5:$A$44,0)),""))</f>
        <v>0</v>
      </c>
      <c r="O282" s="15">
        <f>IF(B282="","",TEXT(B282,"yyyy-mm"))</f>
        <v>0</v>
      </c>
      <c r="P282" s="25">
        <f>IF(B282="","",WEEKNUM(B282,2))</f>
        <v>0</v>
      </c>
      <c r="Q282" s="38">
        <f>IF(B282="","",IF(E282="Tip","No",IF(E282="Refund","No","Yes")))</f>
        <v>0</v>
      </c>
      <c r="R282" s="25">
        <f>IF(B282="","",IF(E282="Refund",-1,1))</f>
        <v>0</v>
      </c>
      <c r="S282" s="26">
        <f>IF(B282="","",IF(G282="",0,IF(F282="Card",ROUND(G282*CardFeePercent+CardFeeFixed,2),IF(F282="Online deposit",ROUND(G282*CardFeePercent+CardFeeFixed,2),0))))</f>
        <v>0</v>
      </c>
      <c r="T282" s="26">
        <f>IF(B282="","",ROUND(IF(G282="",0,G282)*R282-S282,2))</f>
        <v>0</v>
      </c>
      <c r="U282" s="38">
        <f>IF(B282="","",IF(E282="Tip","Yes","No"))</f>
        <v>0</v>
      </c>
      <c r="V282" s="15">
        <f>IF(B282="","",IF(H282&lt;&gt;"","Sale "&amp;H282,IF(I282&lt;&gt;"","Booking "&amp;I282,IF(E282="Tip","Stylist","Unapplied"))))</f>
        <v>0</v>
      </c>
      <c r="W282" s="39">
        <f>IF(B282="","",IF(G282="","Add - no amount yet",IF(E282="","Add - what was this for?",IF(IF(H282="",FALSE,COUNTIF(Sales!$A$5:$A$1204,H282)=0),"Missing - no sale with that ID",IF(IF(I282="",FALSE,COUNTIF(Appointments!$A$5:$A$1204,I282)=0),"Missing - no booking with that ID",IF(IF(E282="Tip",J282="",FALSE),"Assign - whose tip is it?",IF(IF(E282="Deposit",IF(H282="",I282="",FALSE),FALSE),"Check - deposit not tied to a booking",IF(M282="No","Due - not reconciled yet","OK"))))))))</f>
        <v>0</v>
      </c>
    </row>
    <row r="283" spans="1:23">
      <c r="A283" s="28">
        <f>IF(B283="","",PaymentPrefix&amp;TEXT(ROW()-4,"0000"))</f>
        <v>0</v>
      </c>
      <c r="D283" s="15">
        <f>IF(C283="","",IFERROR(INDEX(Clients!$B$5:$B$504,MATCH(C283,Clients!$A$5:$A$504,0)),"Walk-in"))</f>
        <v>0</v>
      </c>
      <c r="K283" s="15">
        <f>IF(J283="","",IFERROR(INDEX(Staff!$B$5:$B$44,MATCH(J283,Staff!$A$5:$A$44,0)),""))</f>
        <v>0</v>
      </c>
      <c r="O283" s="15">
        <f>IF(B283="","",TEXT(B283,"yyyy-mm"))</f>
        <v>0</v>
      </c>
      <c r="P283" s="25">
        <f>IF(B283="","",WEEKNUM(B283,2))</f>
        <v>0</v>
      </c>
      <c r="Q283" s="38">
        <f>IF(B283="","",IF(E283="Tip","No",IF(E283="Refund","No","Yes")))</f>
        <v>0</v>
      </c>
      <c r="R283" s="25">
        <f>IF(B283="","",IF(E283="Refund",-1,1))</f>
        <v>0</v>
      </c>
      <c r="S283" s="26">
        <f>IF(B283="","",IF(G283="",0,IF(F283="Card",ROUND(G283*CardFeePercent+CardFeeFixed,2),IF(F283="Online deposit",ROUND(G283*CardFeePercent+CardFeeFixed,2),0))))</f>
        <v>0</v>
      </c>
      <c r="T283" s="26">
        <f>IF(B283="","",ROUND(IF(G283="",0,G283)*R283-S283,2))</f>
        <v>0</v>
      </c>
      <c r="U283" s="38">
        <f>IF(B283="","",IF(E283="Tip","Yes","No"))</f>
        <v>0</v>
      </c>
      <c r="V283" s="15">
        <f>IF(B283="","",IF(H283&lt;&gt;"","Sale "&amp;H283,IF(I283&lt;&gt;"","Booking "&amp;I283,IF(E283="Tip","Stylist","Unapplied"))))</f>
        <v>0</v>
      </c>
      <c r="W283" s="39">
        <f>IF(B283="","",IF(G283="","Add - no amount yet",IF(E283="","Add - what was this for?",IF(IF(H283="",FALSE,COUNTIF(Sales!$A$5:$A$1204,H283)=0),"Missing - no sale with that ID",IF(IF(I283="",FALSE,COUNTIF(Appointments!$A$5:$A$1204,I283)=0),"Missing - no booking with that ID",IF(IF(E283="Tip",J283="",FALSE),"Assign - whose tip is it?",IF(IF(E283="Deposit",IF(H283="",I283="",FALSE),FALSE),"Check - deposit not tied to a booking",IF(M283="No","Due - not reconciled yet","OK"))))))))</f>
        <v>0</v>
      </c>
    </row>
    <row r="284" spans="1:23">
      <c r="A284" s="28">
        <f>IF(B284="","",PaymentPrefix&amp;TEXT(ROW()-4,"0000"))</f>
        <v>0</v>
      </c>
      <c r="D284" s="15">
        <f>IF(C284="","",IFERROR(INDEX(Clients!$B$5:$B$504,MATCH(C284,Clients!$A$5:$A$504,0)),"Walk-in"))</f>
        <v>0</v>
      </c>
      <c r="K284" s="15">
        <f>IF(J284="","",IFERROR(INDEX(Staff!$B$5:$B$44,MATCH(J284,Staff!$A$5:$A$44,0)),""))</f>
        <v>0</v>
      </c>
      <c r="O284" s="15">
        <f>IF(B284="","",TEXT(B284,"yyyy-mm"))</f>
        <v>0</v>
      </c>
      <c r="P284" s="25">
        <f>IF(B284="","",WEEKNUM(B284,2))</f>
        <v>0</v>
      </c>
      <c r="Q284" s="38">
        <f>IF(B284="","",IF(E284="Tip","No",IF(E284="Refund","No","Yes")))</f>
        <v>0</v>
      </c>
      <c r="R284" s="25">
        <f>IF(B284="","",IF(E284="Refund",-1,1))</f>
        <v>0</v>
      </c>
      <c r="S284" s="26">
        <f>IF(B284="","",IF(G284="",0,IF(F284="Card",ROUND(G284*CardFeePercent+CardFeeFixed,2),IF(F284="Online deposit",ROUND(G284*CardFeePercent+CardFeeFixed,2),0))))</f>
        <v>0</v>
      </c>
      <c r="T284" s="26">
        <f>IF(B284="","",ROUND(IF(G284="",0,G284)*R284-S284,2))</f>
        <v>0</v>
      </c>
      <c r="U284" s="38">
        <f>IF(B284="","",IF(E284="Tip","Yes","No"))</f>
        <v>0</v>
      </c>
      <c r="V284" s="15">
        <f>IF(B284="","",IF(H284&lt;&gt;"","Sale "&amp;H284,IF(I284&lt;&gt;"","Booking "&amp;I284,IF(E284="Tip","Stylist","Unapplied"))))</f>
        <v>0</v>
      </c>
      <c r="W284" s="39">
        <f>IF(B284="","",IF(G284="","Add - no amount yet",IF(E284="","Add - what was this for?",IF(IF(H284="",FALSE,COUNTIF(Sales!$A$5:$A$1204,H284)=0),"Missing - no sale with that ID",IF(IF(I284="",FALSE,COUNTIF(Appointments!$A$5:$A$1204,I284)=0),"Missing - no booking with that ID",IF(IF(E284="Tip",J284="",FALSE),"Assign - whose tip is it?",IF(IF(E284="Deposit",IF(H284="",I284="",FALSE),FALSE),"Check - deposit not tied to a booking",IF(M284="No","Due - not reconciled yet","OK"))))))))</f>
        <v>0</v>
      </c>
    </row>
    <row r="285" spans="1:23">
      <c r="A285" s="28">
        <f>IF(B285="","",PaymentPrefix&amp;TEXT(ROW()-4,"0000"))</f>
        <v>0</v>
      </c>
      <c r="D285" s="15">
        <f>IF(C285="","",IFERROR(INDEX(Clients!$B$5:$B$504,MATCH(C285,Clients!$A$5:$A$504,0)),"Walk-in"))</f>
        <v>0</v>
      </c>
      <c r="K285" s="15">
        <f>IF(J285="","",IFERROR(INDEX(Staff!$B$5:$B$44,MATCH(J285,Staff!$A$5:$A$44,0)),""))</f>
        <v>0</v>
      </c>
      <c r="O285" s="15">
        <f>IF(B285="","",TEXT(B285,"yyyy-mm"))</f>
        <v>0</v>
      </c>
      <c r="P285" s="25">
        <f>IF(B285="","",WEEKNUM(B285,2))</f>
        <v>0</v>
      </c>
      <c r="Q285" s="38">
        <f>IF(B285="","",IF(E285="Tip","No",IF(E285="Refund","No","Yes")))</f>
        <v>0</v>
      </c>
      <c r="R285" s="25">
        <f>IF(B285="","",IF(E285="Refund",-1,1))</f>
        <v>0</v>
      </c>
      <c r="S285" s="26">
        <f>IF(B285="","",IF(G285="",0,IF(F285="Card",ROUND(G285*CardFeePercent+CardFeeFixed,2),IF(F285="Online deposit",ROUND(G285*CardFeePercent+CardFeeFixed,2),0))))</f>
        <v>0</v>
      </c>
      <c r="T285" s="26">
        <f>IF(B285="","",ROUND(IF(G285="",0,G285)*R285-S285,2))</f>
        <v>0</v>
      </c>
      <c r="U285" s="38">
        <f>IF(B285="","",IF(E285="Tip","Yes","No"))</f>
        <v>0</v>
      </c>
      <c r="V285" s="15">
        <f>IF(B285="","",IF(H285&lt;&gt;"","Sale "&amp;H285,IF(I285&lt;&gt;"","Booking "&amp;I285,IF(E285="Tip","Stylist","Unapplied"))))</f>
        <v>0</v>
      </c>
      <c r="W285" s="39">
        <f>IF(B285="","",IF(G285="","Add - no amount yet",IF(E285="","Add - what was this for?",IF(IF(H285="",FALSE,COUNTIF(Sales!$A$5:$A$1204,H285)=0),"Missing - no sale with that ID",IF(IF(I285="",FALSE,COUNTIF(Appointments!$A$5:$A$1204,I285)=0),"Missing - no booking with that ID",IF(IF(E285="Tip",J285="",FALSE),"Assign - whose tip is it?",IF(IF(E285="Deposit",IF(H285="",I285="",FALSE),FALSE),"Check - deposit not tied to a booking",IF(M285="No","Due - not reconciled yet","OK"))))))))</f>
        <v>0</v>
      </c>
    </row>
    <row r="286" spans="1:23">
      <c r="A286" s="28">
        <f>IF(B286="","",PaymentPrefix&amp;TEXT(ROW()-4,"0000"))</f>
        <v>0</v>
      </c>
      <c r="D286" s="15">
        <f>IF(C286="","",IFERROR(INDEX(Clients!$B$5:$B$504,MATCH(C286,Clients!$A$5:$A$504,0)),"Walk-in"))</f>
        <v>0</v>
      </c>
      <c r="K286" s="15">
        <f>IF(J286="","",IFERROR(INDEX(Staff!$B$5:$B$44,MATCH(J286,Staff!$A$5:$A$44,0)),""))</f>
        <v>0</v>
      </c>
      <c r="O286" s="15">
        <f>IF(B286="","",TEXT(B286,"yyyy-mm"))</f>
        <v>0</v>
      </c>
      <c r="P286" s="25">
        <f>IF(B286="","",WEEKNUM(B286,2))</f>
        <v>0</v>
      </c>
      <c r="Q286" s="38">
        <f>IF(B286="","",IF(E286="Tip","No",IF(E286="Refund","No","Yes")))</f>
        <v>0</v>
      </c>
      <c r="R286" s="25">
        <f>IF(B286="","",IF(E286="Refund",-1,1))</f>
        <v>0</v>
      </c>
      <c r="S286" s="26">
        <f>IF(B286="","",IF(G286="",0,IF(F286="Card",ROUND(G286*CardFeePercent+CardFeeFixed,2),IF(F286="Online deposit",ROUND(G286*CardFeePercent+CardFeeFixed,2),0))))</f>
        <v>0</v>
      </c>
      <c r="T286" s="26">
        <f>IF(B286="","",ROUND(IF(G286="",0,G286)*R286-S286,2))</f>
        <v>0</v>
      </c>
      <c r="U286" s="38">
        <f>IF(B286="","",IF(E286="Tip","Yes","No"))</f>
        <v>0</v>
      </c>
      <c r="V286" s="15">
        <f>IF(B286="","",IF(H286&lt;&gt;"","Sale "&amp;H286,IF(I286&lt;&gt;"","Booking "&amp;I286,IF(E286="Tip","Stylist","Unapplied"))))</f>
        <v>0</v>
      </c>
      <c r="W286" s="39">
        <f>IF(B286="","",IF(G286="","Add - no amount yet",IF(E286="","Add - what was this for?",IF(IF(H286="",FALSE,COUNTIF(Sales!$A$5:$A$1204,H286)=0),"Missing - no sale with that ID",IF(IF(I286="",FALSE,COUNTIF(Appointments!$A$5:$A$1204,I286)=0),"Missing - no booking with that ID",IF(IF(E286="Tip",J286="",FALSE),"Assign - whose tip is it?",IF(IF(E286="Deposit",IF(H286="",I286="",FALSE),FALSE),"Check - deposit not tied to a booking",IF(M286="No","Due - not reconciled yet","OK"))))))))</f>
        <v>0</v>
      </c>
    </row>
    <row r="287" spans="1:23">
      <c r="A287" s="28">
        <f>IF(B287="","",PaymentPrefix&amp;TEXT(ROW()-4,"0000"))</f>
        <v>0</v>
      </c>
      <c r="D287" s="15">
        <f>IF(C287="","",IFERROR(INDEX(Clients!$B$5:$B$504,MATCH(C287,Clients!$A$5:$A$504,0)),"Walk-in"))</f>
        <v>0</v>
      </c>
      <c r="K287" s="15">
        <f>IF(J287="","",IFERROR(INDEX(Staff!$B$5:$B$44,MATCH(J287,Staff!$A$5:$A$44,0)),""))</f>
        <v>0</v>
      </c>
      <c r="O287" s="15">
        <f>IF(B287="","",TEXT(B287,"yyyy-mm"))</f>
        <v>0</v>
      </c>
      <c r="P287" s="25">
        <f>IF(B287="","",WEEKNUM(B287,2))</f>
        <v>0</v>
      </c>
      <c r="Q287" s="38">
        <f>IF(B287="","",IF(E287="Tip","No",IF(E287="Refund","No","Yes")))</f>
        <v>0</v>
      </c>
      <c r="R287" s="25">
        <f>IF(B287="","",IF(E287="Refund",-1,1))</f>
        <v>0</v>
      </c>
      <c r="S287" s="26">
        <f>IF(B287="","",IF(G287="",0,IF(F287="Card",ROUND(G287*CardFeePercent+CardFeeFixed,2),IF(F287="Online deposit",ROUND(G287*CardFeePercent+CardFeeFixed,2),0))))</f>
        <v>0</v>
      </c>
      <c r="T287" s="26">
        <f>IF(B287="","",ROUND(IF(G287="",0,G287)*R287-S287,2))</f>
        <v>0</v>
      </c>
      <c r="U287" s="38">
        <f>IF(B287="","",IF(E287="Tip","Yes","No"))</f>
        <v>0</v>
      </c>
      <c r="V287" s="15">
        <f>IF(B287="","",IF(H287&lt;&gt;"","Sale "&amp;H287,IF(I287&lt;&gt;"","Booking "&amp;I287,IF(E287="Tip","Stylist","Unapplied"))))</f>
        <v>0</v>
      </c>
      <c r="W287" s="39">
        <f>IF(B287="","",IF(G287="","Add - no amount yet",IF(E287="","Add - what was this for?",IF(IF(H287="",FALSE,COUNTIF(Sales!$A$5:$A$1204,H287)=0),"Missing - no sale with that ID",IF(IF(I287="",FALSE,COUNTIF(Appointments!$A$5:$A$1204,I287)=0),"Missing - no booking with that ID",IF(IF(E287="Tip",J287="",FALSE),"Assign - whose tip is it?",IF(IF(E287="Deposit",IF(H287="",I287="",FALSE),FALSE),"Check - deposit not tied to a booking",IF(M287="No","Due - not reconciled yet","OK"))))))))</f>
        <v>0</v>
      </c>
    </row>
    <row r="288" spans="1:23">
      <c r="A288" s="28">
        <f>IF(B288="","",PaymentPrefix&amp;TEXT(ROW()-4,"0000"))</f>
        <v>0</v>
      </c>
      <c r="D288" s="15">
        <f>IF(C288="","",IFERROR(INDEX(Clients!$B$5:$B$504,MATCH(C288,Clients!$A$5:$A$504,0)),"Walk-in"))</f>
        <v>0</v>
      </c>
      <c r="K288" s="15">
        <f>IF(J288="","",IFERROR(INDEX(Staff!$B$5:$B$44,MATCH(J288,Staff!$A$5:$A$44,0)),""))</f>
        <v>0</v>
      </c>
      <c r="O288" s="15">
        <f>IF(B288="","",TEXT(B288,"yyyy-mm"))</f>
        <v>0</v>
      </c>
      <c r="P288" s="25">
        <f>IF(B288="","",WEEKNUM(B288,2))</f>
        <v>0</v>
      </c>
      <c r="Q288" s="38">
        <f>IF(B288="","",IF(E288="Tip","No",IF(E288="Refund","No","Yes")))</f>
        <v>0</v>
      </c>
      <c r="R288" s="25">
        <f>IF(B288="","",IF(E288="Refund",-1,1))</f>
        <v>0</v>
      </c>
      <c r="S288" s="26">
        <f>IF(B288="","",IF(G288="",0,IF(F288="Card",ROUND(G288*CardFeePercent+CardFeeFixed,2),IF(F288="Online deposit",ROUND(G288*CardFeePercent+CardFeeFixed,2),0))))</f>
        <v>0</v>
      </c>
      <c r="T288" s="26">
        <f>IF(B288="","",ROUND(IF(G288="",0,G288)*R288-S288,2))</f>
        <v>0</v>
      </c>
      <c r="U288" s="38">
        <f>IF(B288="","",IF(E288="Tip","Yes","No"))</f>
        <v>0</v>
      </c>
      <c r="V288" s="15">
        <f>IF(B288="","",IF(H288&lt;&gt;"","Sale "&amp;H288,IF(I288&lt;&gt;"","Booking "&amp;I288,IF(E288="Tip","Stylist","Unapplied"))))</f>
        <v>0</v>
      </c>
      <c r="W288" s="39">
        <f>IF(B288="","",IF(G288="","Add - no amount yet",IF(E288="","Add - what was this for?",IF(IF(H288="",FALSE,COUNTIF(Sales!$A$5:$A$1204,H288)=0),"Missing - no sale with that ID",IF(IF(I288="",FALSE,COUNTIF(Appointments!$A$5:$A$1204,I288)=0),"Missing - no booking with that ID",IF(IF(E288="Tip",J288="",FALSE),"Assign - whose tip is it?",IF(IF(E288="Deposit",IF(H288="",I288="",FALSE),FALSE),"Check - deposit not tied to a booking",IF(M288="No","Due - not reconciled yet","OK"))))))))</f>
        <v>0</v>
      </c>
    </row>
    <row r="289" spans="1:23">
      <c r="A289" s="28">
        <f>IF(B289="","",PaymentPrefix&amp;TEXT(ROW()-4,"0000"))</f>
        <v>0</v>
      </c>
      <c r="D289" s="15">
        <f>IF(C289="","",IFERROR(INDEX(Clients!$B$5:$B$504,MATCH(C289,Clients!$A$5:$A$504,0)),"Walk-in"))</f>
        <v>0</v>
      </c>
      <c r="K289" s="15">
        <f>IF(J289="","",IFERROR(INDEX(Staff!$B$5:$B$44,MATCH(J289,Staff!$A$5:$A$44,0)),""))</f>
        <v>0</v>
      </c>
      <c r="O289" s="15">
        <f>IF(B289="","",TEXT(B289,"yyyy-mm"))</f>
        <v>0</v>
      </c>
      <c r="P289" s="25">
        <f>IF(B289="","",WEEKNUM(B289,2))</f>
        <v>0</v>
      </c>
      <c r="Q289" s="38">
        <f>IF(B289="","",IF(E289="Tip","No",IF(E289="Refund","No","Yes")))</f>
        <v>0</v>
      </c>
      <c r="R289" s="25">
        <f>IF(B289="","",IF(E289="Refund",-1,1))</f>
        <v>0</v>
      </c>
      <c r="S289" s="26">
        <f>IF(B289="","",IF(G289="",0,IF(F289="Card",ROUND(G289*CardFeePercent+CardFeeFixed,2),IF(F289="Online deposit",ROUND(G289*CardFeePercent+CardFeeFixed,2),0))))</f>
        <v>0</v>
      </c>
      <c r="T289" s="26">
        <f>IF(B289="","",ROUND(IF(G289="",0,G289)*R289-S289,2))</f>
        <v>0</v>
      </c>
      <c r="U289" s="38">
        <f>IF(B289="","",IF(E289="Tip","Yes","No"))</f>
        <v>0</v>
      </c>
      <c r="V289" s="15">
        <f>IF(B289="","",IF(H289&lt;&gt;"","Sale "&amp;H289,IF(I289&lt;&gt;"","Booking "&amp;I289,IF(E289="Tip","Stylist","Unapplied"))))</f>
        <v>0</v>
      </c>
      <c r="W289" s="39">
        <f>IF(B289="","",IF(G289="","Add - no amount yet",IF(E289="","Add - what was this for?",IF(IF(H289="",FALSE,COUNTIF(Sales!$A$5:$A$1204,H289)=0),"Missing - no sale with that ID",IF(IF(I289="",FALSE,COUNTIF(Appointments!$A$5:$A$1204,I289)=0),"Missing - no booking with that ID",IF(IF(E289="Tip",J289="",FALSE),"Assign - whose tip is it?",IF(IF(E289="Deposit",IF(H289="",I289="",FALSE),FALSE),"Check - deposit not tied to a booking",IF(M289="No","Due - not reconciled yet","OK"))))))))</f>
        <v>0</v>
      </c>
    </row>
    <row r="290" spans="1:23">
      <c r="A290" s="28">
        <f>IF(B290="","",PaymentPrefix&amp;TEXT(ROW()-4,"0000"))</f>
        <v>0</v>
      </c>
      <c r="D290" s="15">
        <f>IF(C290="","",IFERROR(INDEX(Clients!$B$5:$B$504,MATCH(C290,Clients!$A$5:$A$504,0)),"Walk-in"))</f>
        <v>0</v>
      </c>
      <c r="K290" s="15">
        <f>IF(J290="","",IFERROR(INDEX(Staff!$B$5:$B$44,MATCH(J290,Staff!$A$5:$A$44,0)),""))</f>
        <v>0</v>
      </c>
      <c r="O290" s="15">
        <f>IF(B290="","",TEXT(B290,"yyyy-mm"))</f>
        <v>0</v>
      </c>
      <c r="P290" s="25">
        <f>IF(B290="","",WEEKNUM(B290,2))</f>
        <v>0</v>
      </c>
      <c r="Q290" s="38">
        <f>IF(B290="","",IF(E290="Tip","No",IF(E290="Refund","No","Yes")))</f>
        <v>0</v>
      </c>
      <c r="R290" s="25">
        <f>IF(B290="","",IF(E290="Refund",-1,1))</f>
        <v>0</v>
      </c>
      <c r="S290" s="26">
        <f>IF(B290="","",IF(G290="",0,IF(F290="Card",ROUND(G290*CardFeePercent+CardFeeFixed,2),IF(F290="Online deposit",ROUND(G290*CardFeePercent+CardFeeFixed,2),0))))</f>
        <v>0</v>
      </c>
      <c r="T290" s="26">
        <f>IF(B290="","",ROUND(IF(G290="",0,G290)*R290-S290,2))</f>
        <v>0</v>
      </c>
      <c r="U290" s="38">
        <f>IF(B290="","",IF(E290="Tip","Yes","No"))</f>
        <v>0</v>
      </c>
      <c r="V290" s="15">
        <f>IF(B290="","",IF(H290&lt;&gt;"","Sale "&amp;H290,IF(I290&lt;&gt;"","Booking "&amp;I290,IF(E290="Tip","Stylist","Unapplied"))))</f>
        <v>0</v>
      </c>
      <c r="W290" s="39">
        <f>IF(B290="","",IF(G290="","Add - no amount yet",IF(E290="","Add - what was this for?",IF(IF(H290="",FALSE,COUNTIF(Sales!$A$5:$A$1204,H290)=0),"Missing - no sale with that ID",IF(IF(I290="",FALSE,COUNTIF(Appointments!$A$5:$A$1204,I290)=0),"Missing - no booking with that ID",IF(IF(E290="Tip",J290="",FALSE),"Assign - whose tip is it?",IF(IF(E290="Deposit",IF(H290="",I290="",FALSE),FALSE),"Check - deposit not tied to a booking",IF(M290="No","Due - not reconciled yet","OK"))))))))</f>
        <v>0</v>
      </c>
    </row>
    <row r="291" spans="1:23">
      <c r="A291" s="28">
        <f>IF(B291="","",PaymentPrefix&amp;TEXT(ROW()-4,"0000"))</f>
        <v>0</v>
      </c>
      <c r="D291" s="15">
        <f>IF(C291="","",IFERROR(INDEX(Clients!$B$5:$B$504,MATCH(C291,Clients!$A$5:$A$504,0)),"Walk-in"))</f>
        <v>0</v>
      </c>
      <c r="K291" s="15">
        <f>IF(J291="","",IFERROR(INDEX(Staff!$B$5:$B$44,MATCH(J291,Staff!$A$5:$A$44,0)),""))</f>
        <v>0</v>
      </c>
      <c r="O291" s="15">
        <f>IF(B291="","",TEXT(B291,"yyyy-mm"))</f>
        <v>0</v>
      </c>
      <c r="P291" s="25">
        <f>IF(B291="","",WEEKNUM(B291,2))</f>
        <v>0</v>
      </c>
      <c r="Q291" s="38">
        <f>IF(B291="","",IF(E291="Tip","No",IF(E291="Refund","No","Yes")))</f>
        <v>0</v>
      </c>
      <c r="R291" s="25">
        <f>IF(B291="","",IF(E291="Refund",-1,1))</f>
        <v>0</v>
      </c>
      <c r="S291" s="26">
        <f>IF(B291="","",IF(G291="",0,IF(F291="Card",ROUND(G291*CardFeePercent+CardFeeFixed,2),IF(F291="Online deposit",ROUND(G291*CardFeePercent+CardFeeFixed,2),0))))</f>
        <v>0</v>
      </c>
      <c r="T291" s="26">
        <f>IF(B291="","",ROUND(IF(G291="",0,G291)*R291-S291,2))</f>
        <v>0</v>
      </c>
      <c r="U291" s="38">
        <f>IF(B291="","",IF(E291="Tip","Yes","No"))</f>
        <v>0</v>
      </c>
      <c r="V291" s="15">
        <f>IF(B291="","",IF(H291&lt;&gt;"","Sale "&amp;H291,IF(I291&lt;&gt;"","Booking "&amp;I291,IF(E291="Tip","Stylist","Unapplied"))))</f>
        <v>0</v>
      </c>
      <c r="W291" s="39">
        <f>IF(B291="","",IF(G291="","Add - no amount yet",IF(E291="","Add - what was this for?",IF(IF(H291="",FALSE,COUNTIF(Sales!$A$5:$A$1204,H291)=0),"Missing - no sale with that ID",IF(IF(I291="",FALSE,COUNTIF(Appointments!$A$5:$A$1204,I291)=0),"Missing - no booking with that ID",IF(IF(E291="Tip",J291="",FALSE),"Assign - whose tip is it?",IF(IF(E291="Deposit",IF(H291="",I291="",FALSE),FALSE),"Check - deposit not tied to a booking",IF(M291="No","Due - not reconciled yet","OK"))))))))</f>
        <v>0</v>
      </c>
    </row>
    <row r="292" spans="1:23">
      <c r="A292" s="28">
        <f>IF(B292="","",PaymentPrefix&amp;TEXT(ROW()-4,"0000"))</f>
        <v>0</v>
      </c>
      <c r="D292" s="15">
        <f>IF(C292="","",IFERROR(INDEX(Clients!$B$5:$B$504,MATCH(C292,Clients!$A$5:$A$504,0)),"Walk-in"))</f>
        <v>0</v>
      </c>
      <c r="K292" s="15">
        <f>IF(J292="","",IFERROR(INDEX(Staff!$B$5:$B$44,MATCH(J292,Staff!$A$5:$A$44,0)),""))</f>
        <v>0</v>
      </c>
      <c r="O292" s="15">
        <f>IF(B292="","",TEXT(B292,"yyyy-mm"))</f>
        <v>0</v>
      </c>
      <c r="P292" s="25">
        <f>IF(B292="","",WEEKNUM(B292,2))</f>
        <v>0</v>
      </c>
      <c r="Q292" s="38">
        <f>IF(B292="","",IF(E292="Tip","No",IF(E292="Refund","No","Yes")))</f>
        <v>0</v>
      </c>
      <c r="R292" s="25">
        <f>IF(B292="","",IF(E292="Refund",-1,1))</f>
        <v>0</v>
      </c>
      <c r="S292" s="26">
        <f>IF(B292="","",IF(G292="",0,IF(F292="Card",ROUND(G292*CardFeePercent+CardFeeFixed,2),IF(F292="Online deposit",ROUND(G292*CardFeePercent+CardFeeFixed,2),0))))</f>
        <v>0</v>
      </c>
      <c r="T292" s="26">
        <f>IF(B292="","",ROUND(IF(G292="",0,G292)*R292-S292,2))</f>
        <v>0</v>
      </c>
      <c r="U292" s="38">
        <f>IF(B292="","",IF(E292="Tip","Yes","No"))</f>
        <v>0</v>
      </c>
      <c r="V292" s="15">
        <f>IF(B292="","",IF(H292&lt;&gt;"","Sale "&amp;H292,IF(I292&lt;&gt;"","Booking "&amp;I292,IF(E292="Tip","Stylist","Unapplied"))))</f>
        <v>0</v>
      </c>
      <c r="W292" s="39">
        <f>IF(B292="","",IF(G292="","Add - no amount yet",IF(E292="","Add - what was this for?",IF(IF(H292="",FALSE,COUNTIF(Sales!$A$5:$A$1204,H292)=0),"Missing - no sale with that ID",IF(IF(I292="",FALSE,COUNTIF(Appointments!$A$5:$A$1204,I292)=0),"Missing - no booking with that ID",IF(IF(E292="Tip",J292="",FALSE),"Assign - whose tip is it?",IF(IF(E292="Deposit",IF(H292="",I292="",FALSE),FALSE),"Check - deposit not tied to a booking",IF(M292="No","Due - not reconciled yet","OK"))))))))</f>
        <v>0</v>
      </c>
    </row>
    <row r="293" spans="1:23">
      <c r="A293" s="28">
        <f>IF(B293="","",PaymentPrefix&amp;TEXT(ROW()-4,"0000"))</f>
        <v>0</v>
      </c>
      <c r="D293" s="15">
        <f>IF(C293="","",IFERROR(INDEX(Clients!$B$5:$B$504,MATCH(C293,Clients!$A$5:$A$504,0)),"Walk-in"))</f>
        <v>0</v>
      </c>
      <c r="K293" s="15">
        <f>IF(J293="","",IFERROR(INDEX(Staff!$B$5:$B$44,MATCH(J293,Staff!$A$5:$A$44,0)),""))</f>
        <v>0</v>
      </c>
      <c r="O293" s="15">
        <f>IF(B293="","",TEXT(B293,"yyyy-mm"))</f>
        <v>0</v>
      </c>
      <c r="P293" s="25">
        <f>IF(B293="","",WEEKNUM(B293,2))</f>
        <v>0</v>
      </c>
      <c r="Q293" s="38">
        <f>IF(B293="","",IF(E293="Tip","No",IF(E293="Refund","No","Yes")))</f>
        <v>0</v>
      </c>
      <c r="R293" s="25">
        <f>IF(B293="","",IF(E293="Refund",-1,1))</f>
        <v>0</v>
      </c>
      <c r="S293" s="26">
        <f>IF(B293="","",IF(G293="",0,IF(F293="Card",ROUND(G293*CardFeePercent+CardFeeFixed,2),IF(F293="Online deposit",ROUND(G293*CardFeePercent+CardFeeFixed,2),0))))</f>
        <v>0</v>
      </c>
      <c r="T293" s="26">
        <f>IF(B293="","",ROUND(IF(G293="",0,G293)*R293-S293,2))</f>
        <v>0</v>
      </c>
      <c r="U293" s="38">
        <f>IF(B293="","",IF(E293="Tip","Yes","No"))</f>
        <v>0</v>
      </c>
      <c r="V293" s="15">
        <f>IF(B293="","",IF(H293&lt;&gt;"","Sale "&amp;H293,IF(I293&lt;&gt;"","Booking "&amp;I293,IF(E293="Tip","Stylist","Unapplied"))))</f>
        <v>0</v>
      </c>
      <c r="W293" s="39">
        <f>IF(B293="","",IF(G293="","Add - no amount yet",IF(E293="","Add - what was this for?",IF(IF(H293="",FALSE,COUNTIF(Sales!$A$5:$A$1204,H293)=0),"Missing - no sale with that ID",IF(IF(I293="",FALSE,COUNTIF(Appointments!$A$5:$A$1204,I293)=0),"Missing - no booking with that ID",IF(IF(E293="Tip",J293="",FALSE),"Assign - whose tip is it?",IF(IF(E293="Deposit",IF(H293="",I293="",FALSE),FALSE),"Check - deposit not tied to a booking",IF(M293="No","Due - not reconciled yet","OK"))))))))</f>
        <v>0</v>
      </c>
    </row>
    <row r="294" spans="1:23">
      <c r="A294" s="28">
        <f>IF(B294="","",PaymentPrefix&amp;TEXT(ROW()-4,"0000"))</f>
        <v>0</v>
      </c>
      <c r="D294" s="15">
        <f>IF(C294="","",IFERROR(INDEX(Clients!$B$5:$B$504,MATCH(C294,Clients!$A$5:$A$504,0)),"Walk-in"))</f>
        <v>0</v>
      </c>
      <c r="K294" s="15">
        <f>IF(J294="","",IFERROR(INDEX(Staff!$B$5:$B$44,MATCH(J294,Staff!$A$5:$A$44,0)),""))</f>
        <v>0</v>
      </c>
      <c r="O294" s="15">
        <f>IF(B294="","",TEXT(B294,"yyyy-mm"))</f>
        <v>0</v>
      </c>
      <c r="P294" s="25">
        <f>IF(B294="","",WEEKNUM(B294,2))</f>
        <v>0</v>
      </c>
      <c r="Q294" s="38">
        <f>IF(B294="","",IF(E294="Tip","No",IF(E294="Refund","No","Yes")))</f>
        <v>0</v>
      </c>
      <c r="R294" s="25">
        <f>IF(B294="","",IF(E294="Refund",-1,1))</f>
        <v>0</v>
      </c>
      <c r="S294" s="26">
        <f>IF(B294="","",IF(G294="",0,IF(F294="Card",ROUND(G294*CardFeePercent+CardFeeFixed,2),IF(F294="Online deposit",ROUND(G294*CardFeePercent+CardFeeFixed,2),0))))</f>
        <v>0</v>
      </c>
      <c r="T294" s="26">
        <f>IF(B294="","",ROUND(IF(G294="",0,G294)*R294-S294,2))</f>
        <v>0</v>
      </c>
      <c r="U294" s="38">
        <f>IF(B294="","",IF(E294="Tip","Yes","No"))</f>
        <v>0</v>
      </c>
      <c r="V294" s="15">
        <f>IF(B294="","",IF(H294&lt;&gt;"","Sale "&amp;H294,IF(I294&lt;&gt;"","Booking "&amp;I294,IF(E294="Tip","Stylist","Unapplied"))))</f>
        <v>0</v>
      </c>
      <c r="W294" s="39">
        <f>IF(B294="","",IF(G294="","Add - no amount yet",IF(E294="","Add - what was this for?",IF(IF(H294="",FALSE,COUNTIF(Sales!$A$5:$A$1204,H294)=0),"Missing - no sale with that ID",IF(IF(I294="",FALSE,COUNTIF(Appointments!$A$5:$A$1204,I294)=0),"Missing - no booking with that ID",IF(IF(E294="Tip",J294="",FALSE),"Assign - whose tip is it?",IF(IF(E294="Deposit",IF(H294="",I294="",FALSE),FALSE),"Check - deposit not tied to a booking",IF(M294="No","Due - not reconciled yet","OK"))))))))</f>
        <v>0</v>
      </c>
    </row>
    <row r="295" spans="1:23">
      <c r="A295" s="28">
        <f>IF(B295="","",PaymentPrefix&amp;TEXT(ROW()-4,"0000"))</f>
        <v>0</v>
      </c>
      <c r="D295" s="15">
        <f>IF(C295="","",IFERROR(INDEX(Clients!$B$5:$B$504,MATCH(C295,Clients!$A$5:$A$504,0)),"Walk-in"))</f>
        <v>0</v>
      </c>
      <c r="K295" s="15">
        <f>IF(J295="","",IFERROR(INDEX(Staff!$B$5:$B$44,MATCH(J295,Staff!$A$5:$A$44,0)),""))</f>
        <v>0</v>
      </c>
      <c r="O295" s="15">
        <f>IF(B295="","",TEXT(B295,"yyyy-mm"))</f>
        <v>0</v>
      </c>
      <c r="P295" s="25">
        <f>IF(B295="","",WEEKNUM(B295,2))</f>
        <v>0</v>
      </c>
      <c r="Q295" s="38">
        <f>IF(B295="","",IF(E295="Tip","No",IF(E295="Refund","No","Yes")))</f>
        <v>0</v>
      </c>
      <c r="R295" s="25">
        <f>IF(B295="","",IF(E295="Refund",-1,1))</f>
        <v>0</v>
      </c>
      <c r="S295" s="26">
        <f>IF(B295="","",IF(G295="",0,IF(F295="Card",ROUND(G295*CardFeePercent+CardFeeFixed,2),IF(F295="Online deposit",ROUND(G295*CardFeePercent+CardFeeFixed,2),0))))</f>
        <v>0</v>
      </c>
      <c r="T295" s="26">
        <f>IF(B295="","",ROUND(IF(G295="",0,G295)*R295-S295,2))</f>
        <v>0</v>
      </c>
      <c r="U295" s="38">
        <f>IF(B295="","",IF(E295="Tip","Yes","No"))</f>
        <v>0</v>
      </c>
      <c r="V295" s="15">
        <f>IF(B295="","",IF(H295&lt;&gt;"","Sale "&amp;H295,IF(I295&lt;&gt;"","Booking "&amp;I295,IF(E295="Tip","Stylist","Unapplied"))))</f>
        <v>0</v>
      </c>
      <c r="W295" s="39">
        <f>IF(B295="","",IF(G295="","Add - no amount yet",IF(E295="","Add - what was this for?",IF(IF(H295="",FALSE,COUNTIF(Sales!$A$5:$A$1204,H295)=0),"Missing - no sale with that ID",IF(IF(I295="",FALSE,COUNTIF(Appointments!$A$5:$A$1204,I295)=0),"Missing - no booking with that ID",IF(IF(E295="Tip",J295="",FALSE),"Assign - whose tip is it?",IF(IF(E295="Deposit",IF(H295="",I295="",FALSE),FALSE),"Check - deposit not tied to a booking",IF(M295="No","Due - not reconciled yet","OK"))))))))</f>
        <v>0</v>
      </c>
    </row>
    <row r="296" spans="1:23">
      <c r="A296" s="28">
        <f>IF(B296="","",PaymentPrefix&amp;TEXT(ROW()-4,"0000"))</f>
        <v>0</v>
      </c>
      <c r="D296" s="15">
        <f>IF(C296="","",IFERROR(INDEX(Clients!$B$5:$B$504,MATCH(C296,Clients!$A$5:$A$504,0)),"Walk-in"))</f>
        <v>0</v>
      </c>
      <c r="K296" s="15">
        <f>IF(J296="","",IFERROR(INDEX(Staff!$B$5:$B$44,MATCH(J296,Staff!$A$5:$A$44,0)),""))</f>
        <v>0</v>
      </c>
      <c r="O296" s="15">
        <f>IF(B296="","",TEXT(B296,"yyyy-mm"))</f>
        <v>0</v>
      </c>
      <c r="P296" s="25">
        <f>IF(B296="","",WEEKNUM(B296,2))</f>
        <v>0</v>
      </c>
      <c r="Q296" s="38">
        <f>IF(B296="","",IF(E296="Tip","No",IF(E296="Refund","No","Yes")))</f>
        <v>0</v>
      </c>
      <c r="R296" s="25">
        <f>IF(B296="","",IF(E296="Refund",-1,1))</f>
        <v>0</v>
      </c>
      <c r="S296" s="26">
        <f>IF(B296="","",IF(G296="",0,IF(F296="Card",ROUND(G296*CardFeePercent+CardFeeFixed,2),IF(F296="Online deposit",ROUND(G296*CardFeePercent+CardFeeFixed,2),0))))</f>
        <v>0</v>
      </c>
      <c r="T296" s="26">
        <f>IF(B296="","",ROUND(IF(G296="",0,G296)*R296-S296,2))</f>
        <v>0</v>
      </c>
      <c r="U296" s="38">
        <f>IF(B296="","",IF(E296="Tip","Yes","No"))</f>
        <v>0</v>
      </c>
      <c r="V296" s="15">
        <f>IF(B296="","",IF(H296&lt;&gt;"","Sale "&amp;H296,IF(I296&lt;&gt;"","Booking "&amp;I296,IF(E296="Tip","Stylist","Unapplied"))))</f>
        <v>0</v>
      </c>
      <c r="W296" s="39">
        <f>IF(B296="","",IF(G296="","Add - no amount yet",IF(E296="","Add - what was this for?",IF(IF(H296="",FALSE,COUNTIF(Sales!$A$5:$A$1204,H296)=0),"Missing - no sale with that ID",IF(IF(I296="",FALSE,COUNTIF(Appointments!$A$5:$A$1204,I296)=0),"Missing - no booking with that ID",IF(IF(E296="Tip",J296="",FALSE),"Assign - whose tip is it?",IF(IF(E296="Deposit",IF(H296="",I296="",FALSE),FALSE),"Check - deposit not tied to a booking",IF(M296="No","Due - not reconciled yet","OK"))))))))</f>
        <v>0</v>
      </c>
    </row>
    <row r="297" spans="1:23">
      <c r="A297" s="28">
        <f>IF(B297="","",PaymentPrefix&amp;TEXT(ROW()-4,"0000"))</f>
        <v>0</v>
      </c>
      <c r="D297" s="15">
        <f>IF(C297="","",IFERROR(INDEX(Clients!$B$5:$B$504,MATCH(C297,Clients!$A$5:$A$504,0)),"Walk-in"))</f>
        <v>0</v>
      </c>
      <c r="K297" s="15">
        <f>IF(J297="","",IFERROR(INDEX(Staff!$B$5:$B$44,MATCH(J297,Staff!$A$5:$A$44,0)),""))</f>
        <v>0</v>
      </c>
      <c r="O297" s="15">
        <f>IF(B297="","",TEXT(B297,"yyyy-mm"))</f>
        <v>0</v>
      </c>
      <c r="P297" s="25">
        <f>IF(B297="","",WEEKNUM(B297,2))</f>
        <v>0</v>
      </c>
      <c r="Q297" s="38">
        <f>IF(B297="","",IF(E297="Tip","No",IF(E297="Refund","No","Yes")))</f>
        <v>0</v>
      </c>
      <c r="R297" s="25">
        <f>IF(B297="","",IF(E297="Refund",-1,1))</f>
        <v>0</v>
      </c>
      <c r="S297" s="26">
        <f>IF(B297="","",IF(G297="",0,IF(F297="Card",ROUND(G297*CardFeePercent+CardFeeFixed,2),IF(F297="Online deposit",ROUND(G297*CardFeePercent+CardFeeFixed,2),0))))</f>
        <v>0</v>
      </c>
      <c r="T297" s="26">
        <f>IF(B297="","",ROUND(IF(G297="",0,G297)*R297-S297,2))</f>
        <v>0</v>
      </c>
      <c r="U297" s="38">
        <f>IF(B297="","",IF(E297="Tip","Yes","No"))</f>
        <v>0</v>
      </c>
      <c r="V297" s="15">
        <f>IF(B297="","",IF(H297&lt;&gt;"","Sale "&amp;H297,IF(I297&lt;&gt;"","Booking "&amp;I297,IF(E297="Tip","Stylist","Unapplied"))))</f>
        <v>0</v>
      </c>
      <c r="W297" s="39">
        <f>IF(B297="","",IF(G297="","Add - no amount yet",IF(E297="","Add - what was this for?",IF(IF(H297="",FALSE,COUNTIF(Sales!$A$5:$A$1204,H297)=0),"Missing - no sale with that ID",IF(IF(I297="",FALSE,COUNTIF(Appointments!$A$5:$A$1204,I297)=0),"Missing - no booking with that ID",IF(IF(E297="Tip",J297="",FALSE),"Assign - whose tip is it?",IF(IF(E297="Deposit",IF(H297="",I297="",FALSE),FALSE),"Check - deposit not tied to a booking",IF(M297="No","Due - not reconciled yet","OK"))))))))</f>
        <v>0</v>
      </c>
    </row>
    <row r="298" spans="1:23">
      <c r="A298" s="28">
        <f>IF(B298="","",PaymentPrefix&amp;TEXT(ROW()-4,"0000"))</f>
        <v>0</v>
      </c>
      <c r="D298" s="15">
        <f>IF(C298="","",IFERROR(INDEX(Clients!$B$5:$B$504,MATCH(C298,Clients!$A$5:$A$504,0)),"Walk-in"))</f>
        <v>0</v>
      </c>
      <c r="K298" s="15">
        <f>IF(J298="","",IFERROR(INDEX(Staff!$B$5:$B$44,MATCH(J298,Staff!$A$5:$A$44,0)),""))</f>
        <v>0</v>
      </c>
      <c r="O298" s="15">
        <f>IF(B298="","",TEXT(B298,"yyyy-mm"))</f>
        <v>0</v>
      </c>
      <c r="P298" s="25">
        <f>IF(B298="","",WEEKNUM(B298,2))</f>
        <v>0</v>
      </c>
      <c r="Q298" s="38">
        <f>IF(B298="","",IF(E298="Tip","No",IF(E298="Refund","No","Yes")))</f>
        <v>0</v>
      </c>
      <c r="R298" s="25">
        <f>IF(B298="","",IF(E298="Refund",-1,1))</f>
        <v>0</v>
      </c>
      <c r="S298" s="26">
        <f>IF(B298="","",IF(G298="",0,IF(F298="Card",ROUND(G298*CardFeePercent+CardFeeFixed,2),IF(F298="Online deposit",ROUND(G298*CardFeePercent+CardFeeFixed,2),0))))</f>
        <v>0</v>
      </c>
      <c r="T298" s="26">
        <f>IF(B298="","",ROUND(IF(G298="",0,G298)*R298-S298,2))</f>
        <v>0</v>
      </c>
      <c r="U298" s="38">
        <f>IF(B298="","",IF(E298="Tip","Yes","No"))</f>
        <v>0</v>
      </c>
      <c r="V298" s="15">
        <f>IF(B298="","",IF(H298&lt;&gt;"","Sale "&amp;H298,IF(I298&lt;&gt;"","Booking "&amp;I298,IF(E298="Tip","Stylist","Unapplied"))))</f>
        <v>0</v>
      </c>
      <c r="W298" s="39">
        <f>IF(B298="","",IF(G298="","Add - no amount yet",IF(E298="","Add - what was this for?",IF(IF(H298="",FALSE,COUNTIF(Sales!$A$5:$A$1204,H298)=0),"Missing - no sale with that ID",IF(IF(I298="",FALSE,COUNTIF(Appointments!$A$5:$A$1204,I298)=0),"Missing - no booking with that ID",IF(IF(E298="Tip",J298="",FALSE),"Assign - whose tip is it?",IF(IF(E298="Deposit",IF(H298="",I298="",FALSE),FALSE),"Check - deposit not tied to a booking",IF(M298="No","Due - not reconciled yet","OK"))))))))</f>
        <v>0</v>
      </c>
    </row>
    <row r="299" spans="1:23">
      <c r="A299" s="28">
        <f>IF(B299="","",PaymentPrefix&amp;TEXT(ROW()-4,"0000"))</f>
        <v>0</v>
      </c>
      <c r="D299" s="15">
        <f>IF(C299="","",IFERROR(INDEX(Clients!$B$5:$B$504,MATCH(C299,Clients!$A$5:$A$504,0)),"Walk-in"))</f>
        <v>0</v>
      </c>
      <c r="K299" s="15">
        <f>IF(J299="","",IFERROR(INDEX(Staff!$B$5:$B$44,MATCH(J299,Staff!$A$5:$A$44,0)),""))</f>
        <v>0</v>
      </c>
      <c r="O299" s="15">
        <f>IF(B299="","",TEXT(B299,"yyyy-mm"))</f>
        <v>0</v>
      </c>
      <c r="P299" s="25">
        <f>IF(B299="","",WEEKNUM(B299,2))</f>
        <v>0</v>
      </c>
      <c r="Q299" s="38">
        <f>IF(B299="","",IF(E299="Tip","No",IF(E299="Refund","No","Yes")))</f>
        <v>0</v>
      </c>
      <c r="R299" s="25">
        <f>IF(B299="","",IF(E299="Refund",-1,1))</f>
        <v>0</v>
      </c>
      <c r="S299" s="26">
        <f>IF(B299="","",IF(G299="",0,IF(F299="Card",ROUND(G299*CardFeePercent+CardFeeFixed,2),IF(F299="Online deposit",ROUND(G299*CardFeePercent+CardFeeFixed,2),0))))</f>
        <v>0</v>
      </c>
      <c r="T299" s="26">
        <f>IF(B299="","",ROUND(IF(G299="",0,G299)*R299-S299,2))</f>
        <v>0</v>
      </c>
      <c r="U299" s="38">
        <f>IF(B299="","",IF(E299="Tip","Yes","No"))</f>
        <v>0</v>
      </c>
      <c r="V299" s="15">
        <f>IF(B299="","",IF(H299&lt;&gt;"","Sale "&amp;H299,IF(I299&lt;&gt;"","Booking "&amp;I299,IF(E299="Tip","Stylist","Unapplied"))))</f>
        <v>0</v>
      </c>
      <c r="W299" s="39">
        <f>IF(B299="","",IF(G299="","Add - no amount yet",IF(E299="","Add - what was this for?",IF(IF(H299="",FALSE,COUNTIF(Sales!$A$5:$A$1204,H299)=0),"Missing - no sale with that ID",IF(IF(I299="",FALSE,COUNTIF(Appointments!$A$5:$A$1204,I299)=0),"Missing - no booking with that ID",IF(IF(E299="Tip",J299="",FALSE),"Assign - whose tip is it?",IF(IF(E299="Deposit",IF(H299="",I299="",FALSE),FALSE),"Check - deposit not tied to a booking",IF(M299="No","Due - not reconciled yet","OK"))))))))</f>
        <v>0</v>
      </c>
    </row>
    <row r="300" spans="1:23">
      <c r="A300" s="28">
        <f>IF(B300="","",PaymentPrefix&amp;TEXT(ROW()-4,"0000"))</f>
        <v>0</v>
      </c>
      <c r="D300" s="15">
        <f>IF(C300="","",IFERROR(INDEX(Clients!$B$5:$B$504,MATCH(C300,Clients!$A$5:$A$504,0)),"Walk-in"))</f>
        <v>0</v>
      </c>
      <c r="K300" s="15">
        <f>IF(J300="","",IFERROR(INDEX(Staff!$B$5:$B$44,MATCH(J300,Staff!$A$5:$A$44,0)),""))</f>
        <v>0</v>
      </c>
      <c r="O300" s="15">
        <f>IF(B300="","",TEXT(B300,"yyyy-mm"))</f>
        <v>0</v>
      </c>
      <c r="P300" s="25">
        <f>IF(B300="","",WEEKNUM(B300,2))</f>
        <v>0</v>
      </c>
      <c r="Q300" s="38">
        <f>IF(B300="","",IF(E300="Tip","No",IF(E300="Refund","No","Yes")))</f>
        <v>0</v>
      </c>
      <c r="R300" s="25">
        <f>IF(B300="","",IF(E300="Refund",-1,1))</f>
        <v>0</v>
      </c>
      <c r="S300" s="26">
        <f>IF(B300="","",IF(G300="",0,IF(F300="Card",ROUND(G300*CardFeePercent+CardFeeFixed,2),IF(F300="Online deposit",ROUND(G300*CardFeePercent+CardFeeFixed,2),0))))</f>
        <v>0</v>
      </c>
      <c r="T300" s="26">
        <f>IF(B300="","",ROUND(IF(G300="",0,G300)*R300-S300,2))</f>
        <v>0</v>
      </c>
      <c r="U300" s="38">
        <f>IF(B300="","",IF(E300="Tip","Yes","No"))</f>
        <v>0</v>
      </c>
      <c r="V300" s="15">
        <f>IF(B300="","",IF(H300&lt;&gt;"","Sale "&amp;H300,IF(I300&lt;&gt;"","Booking "&amp;I300,IF(E300="Tip","Stylist","Unapplied"))))</f>
        <v>0</v>
      </c>
      <c r="W300" s="39">
        <f>IF(B300="","",IF(G300="","Add - no amount yet",IF(E300="","Add - what was this for?",IF(IF(H300="",FALSE,COUNTIF(Sales!$A$5:$A$1204,H300)=0),"Missing - no sale with that ID",IF(IF(I300="",FALSE,COUNTIF(Appointments!$A$5:$A$1204,I300)=0),"Missing - no booking with that ID",IF(IF(E300="Tip",J300="",FALSE),"Assign - whose tip is it?",IF(IF(E300="Deposit",IF(H300="",I300="",FALSE),FALSE),"Check - deposit not tied to a booking",IF(M300="No","Due - not reconciled yet","OK"))))))))</f>
        <v>0</v>
      </c>
    </row>
    <row r="301" spans="1:23">
      <c r="A301" s="28">
        <f>IF(B301="","",PaymentPrefix&amp;TEXT(ROW()-4,"0000"))</f>
        <v>0</v>
      </c>
      <c r="D301" s="15">
        <f>IF(C301="","",IFERROR(INDEX(Clients!$B$5:$B$504,MATCH(C301,Clients!$A$5:$A$504,0)),"Walk-in"))</f>
        <v>0</v>
      </c>
      <c r="K301" s="15">
        <f>IF(J301="","",IFERROR(INDEX(Staff!$B$5:$B$44,MATCH(J301,Staff!$A$5:$A$44,0)),""))</f>
        <v>0</v>
      </c>
      <c r="O301" s="15">
        <f>IF(B301="","",TEXT(B301,"yyyy-mm"))</f>
        <v>0</v>
      </c>
      <c r="P301" s="25">
        <f>IF(B301="","",WEEKNUM(B301,2))</f>
        <v>0</v>
      </c>
      <c r="Q301" s="38">
        <f>IF(B301="","",IF(E301="Tip","No",IF(E301="Refund","No","Yes")))</f>
        <v>0</v>
      </c>
      <c r="R301" s="25">
        <f>IF(B301="","",IF(E301="Refund",-1,1))</f>
        <v>0</v>
      </c>
      <c r="S301" s="26">
        <f>IF(B301="","",IF(G301="",0,IF(F301="Card",ROUND(G301*CardFeePercent+CardFeeFixed,2),IF(F301="Online deposit",ROUND(G301*CardFeePercent+CardFeeFixed,2),0))))</f>
        <v>0</v>
      </c>
      <c r="T301" s="26">
        <f>IF(B301="","",ROUND(IF(G301="",0,G301)*R301-S301,2))</f>
        <v>0</v>
      </c>
      <c r="U301" s="38">
        <f>IF(B301="","",IF(E301="Tip","Yes","No"))</f>
        <v>0</v>
      </c>
      <c r="V301" s="15">
        <f>IF(B301="","",IF(H301&lt;&gt;"","Sale "&amp;H301,IF(I301&lt;&gt;"","Booking "&amp;I301,IF(E301="Tip","Stylist","Unapplied"))))</f>
        <v>0</v>
      </c>
      <c r="W301" s="39">
        <f>IF(B301="","",IF(G301="","Add - no amount yet",IF(E301="","Add - what was this for?",IF(IF(H301="",FALSE,COUNTIF(Sales!$A$5:$A$1204,H301)=0),"Missing - no sale with that ID",IF(IF(I301="",FALSE,COUNTIF(Appointments!$A$5:$A$1204,I301)=0),"Missing - no booking with that ID",IF(IF(E301="Tip",J301="",FALSE),"Assign - whose tip is it?",IF(IF(E301="Deposit",IF(H301="",I301="",FALSE),FALSE),"Check - deposit not tied to a booking",IF(M301="No","Due - not reconciled yet","OK"))))))))</f>
        <v>0</v>
      </c>
    </row>
    <row r="302" spans="1:23">
      <c r="A302" s="28">
        <f>IF(B302="","",PaymentPrefix&amp;TEXT(ROW()-4,"0000"))</f>
        <v>0</v>
      </c>
      <c r="D302" s="15">
        <f>IF(C302="","",IFERROR(INDEX(Clients!$B$5:$B$504,MATCH(C302,Clients!$A$5:$A$504,0)),"Walk-in"))</f>
        <v>0</v>
      </c>
      <c r="K302" s="15">
        <f>IF(J302="","",IFERROR(INDEX(Staff!$B$5:$B$44,MATCH(J302,Staff!$A$5:$A$44,0)),""))</f>
        <v>0</v>
      </c>
      <c r="O302" s="15">
        <f>IF(B302="","",TEXT(B302,"yyyy-mm"))</f>
        <v>0</v>
      </c>
      <c r="P302" s="25">
        <f>IF(B302="","",WEEKNUM(B302,2))</f>
        <v>0</v>
      </c>
      <c r="Q302" s="38">
        <f>IF(B302="","",IF(E302="Tip","No",IF(E302="Refund","No","Yes")))</f>
        <v>0</v>
      </c>
      <c r="R302" s="25">
        <f>IF(B302="","",IF(E302="Refund",-1,1))</f>
        <v>0</v>
      </c>
      <c r="S302" s="26">
        <f>IF(B302="","",IF(G302="",0,IF(F302="Card",ROUND(G302*CardFeePercent+CardFeeFixed,2),IF(F302="Online deposit",ROUND(G302*CardFeePercent+CardFeeFixed,2),0))))</f>
        <v>0</v>
      </c>
      <c r="T302" s="26">
        <f>IF(B302="","",ROUND(IF(G302="",0,G302)*R302-S302,2))</f>
        <v>0</v>
      </c>
      <c r="U302" s="38">
        <f>IF(B302="","",IF(E302="Tip","Yes","No"))</f>
        <v>0</v>
      </c>
      <c r="V302" s="15">
        <f>IF(B302="","",IF(H302&lt;&gt;"","Sale "&amp;H302,IF(I302&lt;&gt;"","Booking "&amp;I302,IF(E302="Tip","Stylist","Unapplied"))))</f>
        <v>0</v>
      </c>
      <c r="W302" s="39">
        <f>IF(B302="","",IF(G302="","Add - no amount yet",IF(E302="","Add - what was this for?",IF(IF(H302="",FALSE,COUNTIF(Sales!$A$5:$A$1204,H302)=0),"Missing - no sale with that ID",IF(IF(I302="",FALSE,COUNTIF(Appointments!$A$5:$A$1204,I302)=0),"Missing - no booking with that ID",IF(IF(E302="Tip",J302="",FALSE),"Assign - whose tip is it?",IF(IF(E302="Deposit",IF(H302="",I302="",FALSE),FALSE),"Check - deposit not tied to a booking",IF(M302="No","Due - not reconciled yet","OK"))))))))</f>
        <v>0</v>
      </c>
    </row>
    <row r="303" spans="1:23">
      <c r="A303" s="28">
        <f>IF(B303="","",PaymentPrefix&amp;TEXT(ROW()-4,"0000"))</f>
        <v>0</v>
      </c>
      <c r="D303" s="15">
        <f>IF(C303="","",IFERROR(INDEX(Clients!$B$5:$B$504,MATCH(C303,Clients!$A$5:$A$504,0)),"Walk-in"))</f>
        <v>0</v>
      </c>
      <c r="K303" s="15">
        <f>IF(J303="","",IFERROR(INDEX(Staff!$B$5:$B$44,MATCH(J303,Staff!$A$5:$A$44,0)),""))</f>
        <v>0</v>
      </c>
      <c r="O303" s="15">
        <f>IF(B303="","",TEXT(B303,"yyyy-mm"))</f>
        <v>0</v>
      </c>
      <c r="P303" s="25">
        <f>IF(B303="","",WEEKNUM(B303,2))</f>
        <v>0</v>
      </c>
      <c r="Q303" s="38">
        <f>IF(B303="","",IF(E303="Tip","No",IF(E303="Refund","No","Yes")))</f>
        <v>0</v>
      </c>
      <c r="R303" s="25">
        <f>IF(B303="","",IF(E303="Refund",-1,1))</f>
        <v>0</v>
      </c>
      <c r="S303" s="26">
        <f>IF(B303="","",IF(G303="",0,IF(F303="Card",ROUND(G303*CardFeePercent+CardFeeFixed,2),IF(F303="Online deposit",ROUND(G303*CardFeePercent+CardFeeFixed,2),0))))</f>
        <v>0</v>
      </c>
      <c r="T303" s="26">
        <f>IF(B303="","",ROUND(IF(G303="",0,G303)*R303-S303,2))</f>
        <v>0</v>
      </c>
      <c r="U303" s="38">
        <f>IF(B303="","",IF(E303="Tip","Yes","No"))</f>
        <v>0</v>
      </c>
      <c r="V303" s="15">
        <f>IF(B303="","",IF(H303&lt;&gt;"","Sale "&amp;H303,IF(I303&lt;&gt;"","Booking "&amp;I303,IF(E303="Tip","Stylist","Unapplied"))))</f>
        <v>0</v>
      </c>
      <c r="W303" s="39">
        <f>IF(B303="","",IF(G303="","Add - no amount yet",IF(E303="","Add - what was this for?",IF(IF(H303="",FALSE,COUNTIF(Sales!$A$5:$A$1204,H303)=0),"Missing - no sale with that ID",IF(IF(I303="",FALSE,COUNTIF(Appointments!$A$5:$A$1204,I303)=0),"Missing - no booking with that ID",IF(IF(E303="Tip",J303="",FALSE),"Assign - whose tip is it?",IF(IF(E303="Deposit",IF(H303="",I303="",FALSE),FALSE),"Check - deposit not tied to a booking",IF(M303="No","Due - not reconciled yet","OK"))))))))</f>
        <v>0</v>
      </c>
    </row>
    <row r="304" spans="1:23">
      <c r="A304" s="28">
        <f>IF(B304="","",PaymentPrefix&amp;TEXT(ROW()-4,"0000"))</f>
        <v>0</v>
      </c>
      <c r="D304" s="15">
        <f>IF(C304="","",IFERROR(INDEX(Clients!$B$5:$B$504,MATCH(C304,Clients!$A$5:$A$504,0)),"Walk-in"))</f>
        <v>0</v>
      </c>
      <c r="K304" s="15">
        <f>IF(J304="","",IFERROR(INDEX(Staff!$B$5:$B$44,MATCH(J304,Staff!$A$5:$A$44,0)),""))</f>
        <v>0</v>
      </c>
      <c r="O304" s="15">
        <f>IF(B304="","",TEXT(B304,"yyyy-mm"))</f>
        <v>0</v>
      </c>
      <c r="P304" s="25">
        <f>IF(B304="","",WEEKNUM(B304,2))</f>
        <v>0</v>
      </c>
      <c r="Q304" s="38">
        <f>IF(B304="","",IF(E304="Tip","No",IF(E304="Refund","No","Yes")))</f>
        <v>0</v>
      </c>
      <c r="R304" s="25">
        <f>IF(B304="","",IF(E304="Refund",-1,1))</f>
        <v>0</v>
      </c>
      <c r="S304" s="26">
        <f>IF(B304="","",IF(G304="",0,IF(F304="Card",ROUND(G304*CardFeePercent+CardFeeFixed,2),IF(F304="Online deposit",ROUND(G304*CardFeePercent+CardFeeFixed,2),0))))</f>
        <v>0</v>
      </c>
      <c r="T304" s="26">
        <f>IF(B304="","",ROUND(IF(G304="",0,G304)*R304-S304,2))</f>
        <v>0</v>
      </c>
      <c r="U304" s="38">
        <f>IF(B304="","",IF(E304="Tip","Yes","No"))</f>
        <v>0</v>
      </c>
      <c r="V304" s="15">
        <f>IF(B304="","",IF(H304&lt;&gt;"","Sale "&amp;H304,IF(I304&lt;&gt;"","Booking "&amp;I304,IF(E304="Tip","Stylist","Unapplied"))))</f>
        <v>0</v>
      </c>
      <c r="W304" s="39">
        <f>IF(B304="","",IF(G304="","Add - no amount yet",IF(E304="","Add - what was this for?",IF(IF(H304="",FALSE,COUNTIF(Sales!$A$5:$A$1204,H304)=0),"Missing - no sale with that ID",IF(IF(I304="",FALSE,COUNTIF(Appointments!$A$5:$A$1204,I304)=0),"Missing - no booking with that ID",IF(IF(E304="Tip",J304="",FALSE),"Assign - whose tip is it?",IF(IF(E304="Deposit",IF(H304="",I304="",FALSE),FALSE),"Check - deposit not tied to a booking",IF(M304="No","Due - not reconciled yet","OK"))))))))</f>
        <v>0</v>
      </c>
    </row>
    <row r="305" spans="1:23">
      <c r="A305" s="28">
        <f>IF(B305="","",PaymentPrefix&amp;TEXT(ROW()-4,"0000"))</f>
        <v>0</v>
      </c>
      <c r="D305" s="15">
        <f>IF(C305="","",IFERROR(INDEX(Clients!$B$5:$B$504,MATCH(C305,Clients!$A$5:$A$504,0)),"Walk-in"))</f>
        <v>0</v>
      </c>
      <c r="K305" s="15">
        <f>IF(J305="","",IFERROR(INDEX(Staff!$B$5:$B$44,MATCH(J305,Staff!$A$5:$A$44,0)),""))</f>
        <v>0</v>
      </c>
      <c r="O305" s="15">
        <f>IF(B305="","",TEXT(B305,"yyyy-mm"))</f>
        <v>0</v>
      </c>
      <c r="P305" s="25">
        <f>IF(B305="","",WEEKNUM(B305,2))</f>
        <v>0</v>
      </c>
      <c r="Q305" s="38">
        <f>IF(B305="","",IF(E305="Tip","No",IF(E305="Refund","No","Yes")))</f>
        <v>0</v>
      </c>
      <c r="R305" s="25">
        <f>IF(B305="","",IF(E305="Refund",-1,1))</f>
        <v>0</v>
      </c>
      <c r="S305" s="26">
        <f>IF(B305="","",IF(G305="",0,IF(F305="Card",ROUND(G305*CardFeePercent+CardFeeFixed,2),IF(F305="Online deposit",ROUND(G305*CardFeePercent+CardFeeFixed,2),0))))</f>
        <v>0</v>
      </c>
      <c r="T305" s="26">
        <f>IF(B305="","",ROUND(IF(G305="",0,G305)*R305-S305,2))</f>
        <v>0</v>
      </c>
      <c r="U305" s="38">
        <f>IF(B305="","",IF(E305="Tip","Yes","No"))</f>
        <v>0</v>
      </c>
      <c r="V305" s="15">
        <f>IF(B305="","",IF(H305&lt;&gt;"","Sale "&amp;H305,IF(I305&lt;&gt;"","Booking "&amp;I305,IF(E305="Tip","Stylist","Unapplied"))))</f>
        <v>0</v>
      </c>
      <c r="W305" s="39">
        <f>IF(B305="","",IF(G305="","Add - no amount yet",IF(E305="","Add - what was this for?",IF(IF(H305="",FALSE,COUNTIF(Sales!$A$5:$A$1204,H305)=0),"Missing - no sale with that ID",IF(IF(I305="",FALSE,COUNTIF(Appointments!$A$5:$A$1204,I305)=0),"Missing - no booking with that ID",IF(IF(E305="Tip",J305="",FALSE),"Assign - whose tip is it?",IF(IF(E305="Deposit",IF(H305="",I305="",FALSE),FALSE),"Check - deposit not tied to a booking",IF(M305="No","Due - not reconciled yet","OK"))))))))</f>
        <v>0</v>
      </c>
    </row>
    <row r="306" spans="1:23">
      <c r="A306" s="28">
        <f>IF(B306="","",PaymentPrefix&amp;TEXT(ROW()-4,"0000"))</f>
        <v>0</v>
      </c>
      <c r="D306" s="15">
        <f>IF(C306="","",IFERROR(INDEX(Clients!$B$5:$B$504,MATCH(C306,Clients!$A$5:$A$504,0)),"Walk-in"))</f>
        <v>0</v>
      </c>
      <c r="K306" s="15">
        <f>IF(J306="","",IFERROR(INDEX(Staff!$B$5:$B$44,MATCH(J306,Staff!$A$5:$A$44,0)),""))</f>
        <v>0</v>
      </c>
      <c r="O306" s="15">
        <f>IF(B306="","",TEXT(B306,"yyyy-mm"))</f>
        <v>0</v>
      </c>
      <c r="P306" s="25">
        <f>IF(B306="","",WEEKNUM(B306,2))</f>
        <v>0</v>
      </c>
      <c r="Q306" s="38">
        <f>IF(B306="","",IF(E306="Tip","No",IF(E306="Refund","No","Yes")))</f>
        <v>0</v>
      </c>
      <c r="R306" s="25">
        <f>IF(B306="","",IF(E306="Refund",-1,1))</f>
        <v>0</v>
      </c>
      <c r="S306" s="26">
        <f>IF(B306="","",IF(G306="",0,IF(F306="Card",ROUND(G306*CardFeePercent+CardFeeFixed,2),IF(F306="Online deposit",ROUND(G306*CardFeePercent+CardFeeFixed,2),0))))</f>
        <v>0</v>
      </c>
      <c r="T306" s="26">
        <f>IF(B306="","",ROUND(IF(G306="",0,G306)*R306-S306,2))</f>
        <v>0</v>
      </c>
      <c r="U306" s="38">
        <f>IF(B306="","",IF(E306="Tip","Yes","No"))</f>
        <v>0</v>
      </c>
      <c r="V306" s="15">
        <f>IF(B306="","",IF(H306&lt;&gt;"","Sale "&amp;H306,IF(I306&lt;&gt;"","Booking "&amp;I306,IF(E306="Tip","Stylist","Unapplied"))))</f>
        <v>0</v>
      </c>
      <c r="W306" s="39">
        <f>IF(B306="","",IF(G306="","Add - no amount yet",IF(E306="","Add - what was this for?",IF(IF(H306="",FALSE,COUNTIF(Sales!$A$5:$A$1204,H306)=0),"Missing - no sale with that ID",IF(IF(I306="",FALSE,COUNTIF(Appointments!$A$5:$A$1204,I306)=0),"Missing - no booking with that ID",IF(IF(E306="Tip",J306="",FALSE),"Assign - whose tip is it?",IF(IF(E306="Deposit",IF(H306="",I306="",FALSE),FALSE),"Check - deposit not tied to a booking",IF(M306="No","Due - not reconciled yet","OK"))))))))</f>
        <v>0</v>
      </c>
    </row>
    <row r="307" spans="1:23">
      <c r="A307" s="28">
        <f>IF(B307="","",PaymentPrefix&amp;TEXT(ROW()-4,"0000"))</f>
        <v>0</v>
      </c>
      <c r="D307" s="15">
        <f>IF(C307="","",IFERROR(INDEX(Clients!$B$5:$B$504,MATCH(C307,Clients!$A$5:$A$504,0)),"Walk-in"))</f>
        <v>0</v>
      </c>
      <c r="K307" s="15">
        <f>IF(J307="","",IFERROR(INDEX(Staff!$B$5:$B$44,MATCH(J307,Staff!$A$5:$A$44,0)),""))</f>
        <v>0</v>
      </c>
      <c r="O307" s="15">
        <f>IF(B307="","",TEXT(B307,"yyyy-mm"))</f>
        <v>0</v>
      </c>
      <c r="P307" s="25">
        <f>IF(B307="","",WEEKNUM(B307,2))</f>
        <v>0</v>
      </c>
      <c r="Q307" s="38">
        <f>IF(B307="","",IF(E307="Tip","No",IF(E307="Refund","No","Yes")))</f>
        <v>0</v>
      </c>
      <c r="R307" s="25">
        <f>IF(B307="","",IF(E307="Refund",-1,1))</f>
        <v>0</v>
      </c>
      <c r="S307" s="26">
        <f>IF(B307="","",IF(G307="",0,IF(F307="Card",ROUND(G307*CardFeePercent+CardFeeFixed,2),IF(F307="Online deposit",ROUND(G307*CardFeePercent+CardFeeFixed,2),0))))</f>
        <v>0</v>
      </c>
      <c r="T307" s="26">
        <f>IF(B307="","",ROUND(IF(G307="",0,G307)*R307-S307,2))</f>
        <v>0</v>
      </c>
      <c r="U307" s="38">
        <f>IF(B307="","",IF(E307="Tip","Yes","No"))</f>
        <v>0</v>
      </c>
      <c r="V307" s="15">
        <f>IF(B307="","",IF(H307&lt;&gt;"","Sale "&amp;H307,IF(I307&lt;&gt;"","Booking "&amp;I307,IF(E307="Tip","Stylist","Unapplied"))))</f>
        <v>0</v>
      </c>
      <c r="W307" s="39">
        <f>IF(B307="","",IF(G307="","Add - no amount yet",IF(E307="","Add - what was this for?",IF(IF(H307="",FALSE,COUNTIF(Sales!$A$5:$A$1204,H307)=0),"Missing - no sale with that ID",IF(IF(I307="",FALSE,COUNTIF(Appointments!$A$5:$A$1204,I307)=0),"Missing - no booking with that ID",IF(IF(E307="Tip",J307="",FALSE),"Assign - whose tip is it?",IF(IF(E307="Deposit",IF(H307="",I307="",FALSE),FALSE),"Check - deposit not tied to a booking",IF(M307="No","Due - not reconciled yet","OK"))))))))</f>
        <v>0</v>
      </c>
    </row>
    <row r="308" spans="1:23">
      <c r="A308" s="28">
        <f>IF(B308="","",PaymentPrefix&amp;TEXT(ROW()-4,"0000"))</f>
        <v>0</v>
      </c>
      <c r="D308" s="15">
        <f>IF(C308="","",IFERROR(INDEX(Clients!$B$5:$B$504,MATCH(C308,Clients!$A$5:$A$504,0)),"Walk-in"))</f>
        <v>0</v>
      </c>
      <c r="K308" s="15">
        <f>IF(J308="","",IFERROR(INDEX(Staff!$B$5:$B$44,MATCH(J308,Staff!$A$5:$A$44,0)),""))</f>
        <v>0</v>
      </c>
      <c r="O308" s="15">
        <f>IF(B308="","",TEXT(B308,"yyyy-mm"))</f>
        <v>0</v>
      </c>
      <c r="P308" s="25">
        <f>IF(B308="","",WEEKNUM(B308,2))</f>
        <v>0</v>
      </c>
      <c r="Q308" s="38">
        <f>IF(B308="","",IF(E308="Tip","No",IF(E308="Refund","No","Yes")))</f>
        <v>0</v>
      </c>
      <c r="R308" s="25">
        <f>IF(B308="","",IF(E308="Refund",-1,1))</f>
        <v>0</v>
      </c>
      <c r="S308" s="26">
        <f>IF(B308="","",IF(G308="",0,IF(F308="Card",ROUND(G308*CardFeePercent+CardFeeFixed,2),IF(F308="Online deposit",ROUND(G308*CardFeePercent+CardFeeFixed,2),0))))</f>
        <v>0</v>
      </c>
      <c r="T308" s="26">
        <f>IF(B308="","",ROUND(IF(G308="",0,G308)*R308-S308,2))</f>
        <v>0</v>
      </c>
      <c r="U308" s="38">
        <f>IF(B308="","",IF(E308="Tip","Yes","No"))</f>
        <v>0</v>
      </c>
      <c r="V308" s="15">
        <f>IF(B308="","",IF(H308&lt;&gt;"","Sale "&amp;H308,IF(I308&lt;&gt;"","Booking "&amp;I308,IF(E308="Tip","Stylist","Unapplied"))))</f>
        <v>0</v>
      </c>
      <c r="W308" s="39">
        <f>IF(B308="","",IF(G308="","Add - no amount yet",IF(E308="","Add - what was this for?",IF(IF(H308="",FALSE,COUNTIF(Sales!$A$5:$A$1204,H308)=0),"Missing - no sale with that ID",IF(IF(I308="",FALSE,COUNTIF(Appointments!$A$5:$A$1204,I308)=0),"Missing - no booking with that ID",IF(IF(E308="Tip",J308="",FALSE),"Assign - whose tip is it?",IF(IF(E308="Deposit",IF(H308="",I308="",FALSE),FALSE),"Check - deposit not tied to a booking",IF(M308="No","Due - not reconciled yet","OK"))))))))</f>
        <v>0</v>
      </c>
    </row>
    <row r="309" spans="1:23">
      <c r="A309" s="28">
        <f>IF(B309="","",PaymentPrefix&amp;TEXT(ROW()-4,"0000"))</f>
        <v>0</v>
      </c>
      <c r="D309" s="15">
        <f>IF(C309="","",IFERROR(INDEX(Clients!$B$5:$B$504,MATCH(C309,Clients!$A$5:$A$504,0)),"Walk-in"))</f>
        <v>0</v>
      </c>
      <c r="K309" s="15">
        <f>IF(J309="","",IFERROR(INDEX(Staff!$B$5:$B$44,MATCH(J309,Staff!$A$5:$A$44,0)),""))</f>
        <v>0</v>
      </c>
      <c r="O309" s="15">
        <f>IF(B309="","",TEXT(B309,"yyyy-mm"))</f>
        <v>0</v>
      </c>
      <c r="P309" s="25">
        <f>IF(B309="","",WEEKNUM(B309,2))</f>
        <v>0</v>
      </c>
      <c r="Q309" s="38">
        <f>IF(B309="","",IF(E309="Tip","No",IF(E309="Refund","No","Yes")))</f>
        <v>0</v>
      </c>
      <c r="R309" s="25">
        <f>IF(B309="","",IF(E309="Refund",-1,1))</f>
        <v>0</v>
      </c>
      <c r="S309" s="26">
        <f>IF(B309="","",IF(G309="",0,IF(F309="Card",ROUND(G309*CardFeePercent+CardFeeFixed,2),IF(F309="Online deposit",ROUND(G309*CardFeePercent+CardFeeFixed,2),0))))</f>
        <v>0</v>
      </c>
      <c r="T309" s="26">
        <f>IF(B309="","",ROUND(IF(G309="",0,G309)*R309-S309,2))</f>
        <v>0</v>
      </c>
      <c r="U309" s="38">
        <f>IF(B309="","",IF(E309="Tip","Yes","No"))</f>
        <v>0</v>
      </c>
      <c r="V309" s="15">
        <f>IF(B309="","",IF(H309&lt;&gt;"","Sale "&amp;H309,IF(I309&lt;&gt;"","Booking "&amp;I309,IF(E309="Tip","Stylist","Unapplied"))))</f>
        <v>0</v>
      </c>
      <c r="W309" s="39">
        <f>IF(B309="","",IF(G309="","Add - no amount yet",IF(E309="","Add - what was this for?",IF(IF(H309="",FALSE,COUNTIF(Sales!$A$5:$A$1204,H309)=0),"Missing - no sale with that ID",IF(IF(I309="",FALSE,COUNTIF(Appointments!$A$5:$A$1204,I309)=0),"Missing - no booking with that ID",IF(IF(E309="Tip",J309="",FALSE),"Assign - whose tip is it?",IF(IF(E309="Deposit",IF(H309="",I309="",FALSE),FALSE),"Check - deposit not tied to a booking",IF(M309="No","Due - not reconciled yet","OK"))))))))</f>
        <v>0</v>
      </c>
    </row>
    <row r="310" spans="1:23">
      <c r="A310" s="28">
        <f>IF(B310="","",PaymentPrefix&amp;TEXT(ROW()-4,"0000"))</f>
        <v>0</v>
      </c>
      <c r="D310" s="15">
        <f>IF(C310="","",IFERROR(INDEX(Clients!$B$5:$B$504,MATCH(C310,Clients!$A$5:$A$504,0)),"Walk-in"))</f>
        <v>0</v>
      </c>
      <c r="K310" s="15">
        <f>IF(J310="","",IFERROR(INDEX(Staff!$B$5:$B$44,MATCH(J310,Staff!$A$5:$A$44,0)),""))</f>
        <v>0</v>
      </c>
      <c r="O310" s="15">
        <f>IF(B310="","",TEXT(B310,"yyyy-mm"))</f>
        <v>0</v>
      </c>
      <c r="P310" s="25">
        <f>IF(B310="","",WEEKNUM(B310,2))</f>
        <v>0</v>
      </c>
      <c r="Q310" s="38">
        <f>IF(B310="","",IF(E310="Tip","No",IF(E310="Refund","No","Yes")))</f>
        <v>0</v>
      </c>
      <c r="R310" s="25">
        <f>IF(B310="","",IF(E310="Refund",-1,1))</f>
        <v>0</v>
      </c>
      <c r="S310" s="26">
        <f>IF(B310="","",IF(G310="",0,IF(F310="Card",ROUND(G310*CardFeePercent+CardFeeFixed,2),IF(F310="Online deposit",ROUND(G310*CardFeePercent+CardFeeFixed,2),0))))</f>
        <v>0</v>
      </c>
      <c r="T310" s="26">
        <f>IF(B310="","",ROUND(IF(G310="",0,G310)*R310-S310,2))</f>
        <v>0</v>
      </c>
      <c r="U310" s="38">
        <f>IF(B310="","",IF(E310="Tip","Yes","No"))</f>
        <v>0</v>
      </c>
      <c r="V310" s="15">
        <f>IF(B310="","",IF(H310&lt;&gt;"","Sale "&amp;H310,IF(I310&lt;&gt;"","Booking "&amp;I310,IF(E310="Tip","Stylist","Unapplied"))))</f>
        <v>0</v>
      </c>
      <c r="W310" s="39">
        <f>IF(B310="","",IF(G310="","Add - no amount yet",IF(E310="","Add - what was this for?",IF(IF(H310="",FALSE,COUNTIF(Sales!$A$5:$A$1204,H310)=0),"Missing - no sale with that ID",IF(IF(I310="",FALSE,COUNTIF(Appointments!$A$5:$A$1204,I310)=0),"Missing - no booking with that ID",IF(IF(E310="Tip",J310="",FALSE),"Assign - whose tip is it?",IF(IF(E310="Deposit",IF(H310="",I310="",FALSE),FALSE),"Check - deposit not tied to a booking",IF(M310="No","Due - not reconciled yet","OK"))))))))</f>
        <v>0</v>
      </c>
    </row>
    <row r="311" spans="1:23">
      <c r="A311" s="28">
        <f>IF(B311="","",PaymentPrefix&amp;TEXT(ROW()-4,"0000"))</f>
        <v>0</v>
      </c>
      <c r="D311" s="15">
        <f>IF(C311="","",IFERROR(INDEX(Clients!$B$5:$B$504,MATCH(C311,Clients!$A$5:$A$504,0)),"Walk-in"))</f>
        <v>0</v>
      </c>
      <c r="K311" s="15">
        <f>IF(J311="","",IFERROR(INDEX(Staff!$B$5:$B$44,MATCH(J311,Staff!$A$5:$A$44,0)),""))</f>
        <v>0</v>
      </c>
      <c r="O311" s="15">
        <f>IF(B311="","",TEXT(B311,"yyyy-mm"))</f>
        <v>0</v>
      </c>
      <c r="P311" s="25">
        <f>IF(B311="","",WEEKNUM(B311,2))</f>
        <v>0</v>
      </c>
      <c r="Q311" s="38">
        <f>IF(B311="","",IF(E311="Tip","No",IF(E311="Refund","No","Yes")))</f>
        <v>0</v>
      </c>
      <c r="R311" s="25">
        <f>IF(B311="","",IF(E311="Refund",-1,1))</f>
        <v>0</v>
      </c>
      <c r="S311" s="26">
        <f>IF(B311="","",IF(G311="",0,IF(F311="Card",ROUND(G311*CardFeePercent+CardFeeFixed,2),IF(F311="Online deposit",ROUND(G311*CardFeePercent+CardFeeFixed,2),0))))</f>
        <v>0</v>
      </c>
      <c r="T311" s="26">
        <f>IF(B311="","",ROUND(IF(G311="",0,G311)*R311-S311,2))</f>
        <v>0</v>
      </c>
      <c r="U311" s="38">
        <f>IF(B311="","",IF(E311="Tip","Yes","No"))</f>
        <v>0</v>
      </c>
      <c r="V311" s="15">
        <f>IF(B311="","",IF(H311&lt;&gt;"","Sale "&amp;H311,IF(I311&lt;&gt;"","Booking "&amp;I311,IF(E311="Tip","Stylist","Unapplied"))))</f>
        <v>0</v>
      </c>
      <c r="W311" s="39">
        <f>IF(B311="","",IF(G311="","Add - no amount yet",IF(E311="","Add - what was this for?",IF(IF(H311="",FALSE,COUNTIF(Sales!$A$5:$A$1204,H311)=0),"Missing - no sale with that ID",IF(IF(I311="",FALSE,COUNTIF(Appointments!$A$5:$A$1204,I311)=0),"Missing - no booking with that ID",IF(IF(E311="Tip",J311="",FALSE),"Assign - whose tip is it?",IF(IF(E311="Deposit",IF(H311="",I311="",FALSE),FALSE),"Check - deposit not tied to a booking",IF(M311="No","Due - not reconciled yet","OK"))))))))</f>
        <v>0</v>
      </c>
    </row>
    <row r="312" spans="1:23">
      <c r="A312" s="28">
        <f>IF(B312="","",PaymentPrefix&amp;TEXT(ROW()-4,"0000"))</f>
        <v>0</v>
      </c>
      <c r="D312" s="15">
        <f>IF(C312="","",IFERROR(INDEX(Clients!$B$5:$B$504,MATCH(C312,Clients!$A$5:$A$504,0)),"Walk-in"))</f>
        <v>0</v>
      </c>
      <c r="K312" s="15">
        <f>IF(J312="","",IFERROR(INDEX(Staff!$B$5:$B$44,MATCH(J312,Staff!$A$5:$A$44,0)),""))</f>
        <v>0</v>
      </c>
      <c r="O312" s="15">
        <f>IF(B312="","",TEXT(B312,"yyyy-mm"))</f>
        <v>0</v>
      </c>
      <c r="P312" s="25">
        <f>IF(B312="","",WEEKNUM(B312,2))</f>
        <v>0</v>
      </c>
      <c r="Q312" s="38">
        <f>IF(B312="","",IF(E312="Tip","No",IF(E312="Refund","No","Yes")))</f>
        <v>0</v>
      </c>
      <c r="R312" s="25">
        <f>IF(B312="","",IF(E312="Refund",-1,1))</f>
        <v>0</v>
      </c>
      <c r="S312" s="26">
        <f>IF(B312="","",IF(G312="",0,IF(F312="Card",ROUND(G312*CardFeePercent+CardFeeFixed,2),IF(F312="Online deposit",ROUND(G312*CardFeePercent+CardFeeFixed,2),0))))</f>
        <v>0</v>
      </c>
      <c r="T312" s="26">
        <f>IF(B312="","",ROUND(IF(G312="",0,G312)*R312-S312,2))</f>
        <v>0</v>
      </c>
      <c r="U312" s="38">
        <f>IF(B312="","",IF(E312="Tip","Yes","No"))</f>
        <v>0</v>
      </c>
      <c r="V312" s="15">
        <f>IF(B312="","",IF(H312&lt;&gt;"","Sale "&amp;H312,IF(I312&lt;&gt;"","Booking "&amp;I312,IF(E312="Tip","Stylist","Unapplied"))))</f>
        <v>0</v>
      </c>
      <c r="W312" s="39">
        <f>IF(B312="","",IF(G312="","Add - no amount yet",IF(E312="","Add - what was this for?",IF(IF(H312="",FALSE,COUNTIF(Sales!$A$5:$A$1204,H312)=0),"Missing - no sale with that ID",IF(IF(I312="",FALSE,COUNTIF(Appointments!$A$5:$A$1204,I312)=0),"Missing - no booking with that ID",IF(IF(E312="Tip",J312="",FALSE),"Assign - whose tip is it?",IF(IF(E312="Deposit",IF(H312="",I312="",FALSE),FALSE),"Check - deposit not tied to a booking",IF(M312="No","Due - not reconciled yet","OK"))))))))</f>
        <v>0</v>
      </c>
    </row>
    <row r="313" spans="1:23">
      <c r="A313" s="28">
        <f>IF(B313="","",PaymentPrefix&amp;TEXT(ROW()-4,"0000"))</f>
        <v>0</v>
      </c>
      <c r="D313" s="15">
        <f>IF(C313="","",IFERROR(INDEX(Clients!$B$5:$B$504,MATCH(C313,Clients!$A$5:$A$504,0)),"Walk-in"))</f>
        <v>0</v>
      </c>
      <c r="K313" s="15">
        <f>IF(J313="","",IFERROR(INDEX(Staff!$B$5:$B$44,MATCH(J313,Staff!$A$5:$A$44,0)),""))</f>
        <v>0</v>
      </c>
      <c r="O313" s="15">
        <f>IF(B313="","",TEXT(B313,"yyyy-mm"))</f>
        <v>0</v>
      </c>
      <c r="P313" s="25">
        <f>IF(B313="","",WEEKNUM(B313,2))</f>
        <v>0</v>
      </c>
      <c r="Q313" s="38">
        <f>IF(B313="","",IF(E313="Tip","No",IF(E313="Refund","No","Yes")))</f>
        <v>0</v>
      </c>
      <c r="R313" s="25">
        <f>IF(B313="","",IF(E313="Refund",-1,1))</f>
        <v>0</v>
      </c>
      <c r="S313" s="26">
        <f>IF(B313="","",IF(G313="",0,IF(F313="Card",ROUND(G313*CardFeePercent+CardFeeFixed,2),IF(F313="Online deposit",ROUND(G313*CardFeePercent+CardFeeFixed,2),0))))</f>
        <v>0</v>
      </c>
      <c r="T313" s="26">
        <f>IF(B313="","",ROUND(IF(G313="",0,G313)*R313-S313,2))</f>
        <v>0</v>
      </c>
      <c r="U313" s="38">
        <f>IF(B313="","",IF(E313="Tip","Yes","No"))</f>
        <v>0</v>
      </c>
      <c r="V313" s="15">
        <f>IF(B313="","",IF(H313&lt;&gt;"","Sale "&amp;H313,IF(I313&lt;&gt;"","Booking "&amp;I313,IF(E313="Tip","Stylist","Unapplied"))))</f>
        <v>0</v>
      </c>
      <c r="W313" s="39">
        <f>IF(B313="","",IF(G313="","Add - no amount yet",IF(E313="","Add - what was this for?",IF(IF(H313="",FALSE,COUNTIF(Sales!$A$5:$A$1204,H313)=0),"Missing - no sale with that ID",IF(IF(I313="",FALSE,COUNTIF(Appointments!$A$5:$A$1204,I313)=0),"Missing - no booking with that ID",IF(IF(E313="Tip",J313="",FALSE),"Assign - whose tip is it?",IF(IF(E313="Deposit",IF(H313="",I313="",FALSE),FALSE),"Check - deposit not tied to a booking",IF(M313="No","Due - not reconciled yet","OK"))))))))</f>
        <v>0</v>
      </c>
    </row>
    <row r="314" spans="1:23">
      <c r="A314" s="28">
        <f>IF(B314="","",PaymentPrefix&amp;TEXT(ROW()-4,"0000"))</f>
        <v>0</v>
      </c>
      <c r="D314" s="15">
        <f>IF(C314="","",IFERROR(INDEX(Clients!$B$5:$B$504,MATCH(C314,Clients!$A$5:$A$504,0)),"Walk-in"))</f>
        <v>0</v>
      </c>
      <c r="K314" s="15">
        <f>IF(J314="","",IFERROR(INDEX(Staff!$B$5:$B$44,MATCH(J314,Staff!$A$5:$A$44,0)),""))</f>
        <v>0</v>
      </c>
      <c r="O314" s="15">
        <f>IF(B314="","",TEXT(B314,"yyyy-mm"))</f>
        <v>0</v>
      </c>
      <c r="P314" s="25">
        <f>IF(B314="","",WEEKNUM(B314,2))</f>
        <v>0</v>
      </c>
      <c r="Q314" s="38">
        <f>IF(B314="","",IF(E314="Tip","No",IF(E314="Refund","No","Yes")))</f>
        <v>0</v>
      </c>
      <c r="R314" s="25">
        <f>IF(B314="","",IF(E314="Refund",-1,1))</f>
        <v>0</v>
      </c>
      <c r="S314" s="26">
        <f>IF(B314="","",IF(G314="",0,IF(F314="Card",ROUND(G314*CardFeePercent+CardFeeFixed,2),IF(F314="Online deposit",ROUND(G314*CardFeePercent+CardFeeFixed,2),0))))</f>
        <v>0</v>
      </c>
      <c r="T314" s="26">
        <f>IF(B314="","",ROUND(IF(G314="",0,G314)*R314-S314,2))</f>
        <v>0</v>
      </c>
      <c r="U314" s="38">
        <f>IF(B314="","",IF(E314="Tip","Yes","No"))</f>
        <v>0</v>
      </c>
      <c r="V314" s="15">
        <f>IF(B314="","",IF(H314&lt;&gt;"","Sale "&amp;H314,IF(I314&lt;&gt;"","Booking "&amp;I314,IF(E314="Tip","Stylist","Unapplied"))))</f>
        <v>0</v>
      </c>
      <c r="W314" s="39">
        <f>IF(B314="","",IF(G314="","Add - no amount yet",IF(E314="","Add - what was this for?",IF(IF(H314="",FALSE,COUNTIF(Sales!$A$5:$A$1204,H314)=0),"Missing - no sale with that ID",IF(IF(I314="",FALSE,COUNTIF(Appointments!$A$5:$A$1204,I314)=0),"Missing - no booking with that ID",IF(IF(E314="Tip",J314="",FALSE),"Assign - whose tip is it?",IF(IF(E314="Deposit",IF(H314="",I314="",FALSE),FALSE),"Check - deposit not tied to a booking",IF(M314="No","Due - not reconciled yet","OK"))))))))</f>
        <v>0</v>
      </c>
    </row>
    <row r="315" spans="1:23">
      <c r="A315" s="28">
        <f>IF(B315="","",PaymentPrefix&amp;TEXT(ROW()-4,"0000"))</f>
        <v>0</v>
      </c>
      <c r="D315" s="15">
        <f>IF(C315="","",IFERROR(INDEX(Clients!$B$5:$B$504,MATCH(C315,Clients!$A$5:$A$504,0)),"Walk-in"))</f>
        <v>0</v>
      </c>
      <c r="K315" s="15">
        <f>IF(J315="","",IFERROR(INDEX(Staff!$B$5:$B$44,MATCH(J315,Staff!$A$5:$A$44,0)),""))</f>
        <v>0</v>
      </c>
      <c r="O315" s="15">
        <f>IF(B315="","",TEXT(B315,"yyyy-mm"))</f>
        <v>0</v>
      </c>
      <c r="P315" s="25">
        <f>IF(B315="","",WEEKNUM(B315,2))</f>
        <v>0</v>
      </c>
      <c r="Q315" s="38">
        <f>IF(B315="","",IF(E315="Tip","No",IF(E315="Refund","No","Yes")))</f>
        <v>0</v>
      </c>
      <c r="R315" s="25">
        <f>IF(B315="","",IF(E315="Refund",-1,1))</f>
        <v>0</v>
      </c>
      <c r="S315" s="26">
        <f>IF(B315="","",IF(G315="",0,IF(F315="Card",ROUND(G315*CardFeePercent+CardFeeFixed,2),IF(F315="Online deposit",ROUND(G315*CardFeePercent+CardFeeFixed,2),0))))</f>
        <v>0</v>
      </c>
      <c r="T315" s="26">
        <f>IF(B315="","",ROUND(IF(G315="",0,G315)*R315-S315,2))</f>
        <v>0</v>
      </c>
      <c r="U315" s="38">
        <f>IF(B315="","",IF(E315="Tip","Yes","No"))</f>
        <v>0</v>
      </c>
      <c r="V315" s="15">
        <f>IF(B315="","",IF(H315&lt;&gt;"","Sale "&amp;H315,IF(I315&lt;&gt;"","Booking "&amp;I315,IF(E315="Tip","Stylist","Unapplied"))))</f>
        <v>0</v>
      </c>
      <c r="W315" s="39">
        <f>IF(B315="","",IF(G315="","Add - no amount yet",IF(E315="","Add - what was this for?",IF(IF(H315="",FALSE,COUNTIF(Sales!$A$5:$A$1204,H315)=0),"Missing - no sale with that ID",IF(IF(I315="",FALSE,COUNTIF(Appointments!$A$5:$A$1204,I315)=0),"Missing - no booking with that ID",IF(IF(E315="Tip",J315="",FALSE),"Assign - whose tip is it?",IF(IF(E315="Deposit",IF(H315="",I315="",FALSE),FALSE),"Check - deposit not tied to a booking",IF(M315="No","Due - not reconciled yet","OK"))))))))</f>
        <v>0</v>
      </c>
    </row>
    <row r="316" spans="1:23">
      <c r="A316" s="28">
        <f>IF(B316="","",PaymentPrefix&amp;TEXT(ROW()-4,"0000"))</f>
        <v>0</v>
      </c>
      <c r="D316" s="15">
        <f>IF(C316="","",IFERROR(INDEX(Clients!$B$5:$B$504,MATCH(C316,Clients!$A$5:$A$504,0)),"Walk-in"))</f>
        <v>0</v>
      </c>
      <c r="K316" s="15">
        <f>IF(J316="","",IFERROR(INDEX(Staff!$B$5:$B$44,MATCH(J316,Staff!$A$5:$A$44,0)),""))</f>
        <v>0</v>
      </c>
      <c r="O316" s="15">
        <f>IF(B316="","",TEXT(B316,"yyyy-mm"))</f>
        <v>0</v>
      </c>
      <c r="P316" s="25">
        <f>IF(B316="","",WEEKNUM(B316,2))</f>
        <v>0</v>
      </c>
      <c r="Q316" s="38">
        <f>IF(B316="","",IF(E316="Tip","No",IF(E316="Refund","No","Yes")))</f>
        <v>0</v>
      </c>
      <c r="R316" s="25">
        <f>IF(B316="","",IF(E316="Refund",-1,1))</f>
        <v>0</v>
      </c>
      <c r="S316" s="26">
        <f>IF(B316="","",IF(G316="",0,IF(F316="Card",ROUND(G316*CardFeePercent+CardFeeFixed,2),IF(F316="Online deposit",ROUND(G316*CardFeePercent+CardFeeFixed,2),0))))</f>
        <v>0</v>
      </c>
      <c r="T316" s="26">
        <f>IF(B316="","",ROUND(IF(G316="",0,G316)*R316-S316,2))</f>
        <v>0</v>
      </c>
      <c r="U316" s="38">
        <f>IF(B316="","",IF(E316="Tip","Yes","No"))</f>
        <v>0</v>
      </c>
      <c r="V316" s="15">
        <f>IF(B316="","",IF(H316&lt;&gt;"","Sale "&amp;H316,IF(I316&lt;&gt;"","Booking "&amp;I316,IF(E316="Tip","Stylist","Unapplied"))))</f>
        <v>0</v>
      </c>
      <c r="W316" s="39">
        <f>IF(B316="","",IF(G316="","Add - no amount yet",IF(E316="","Add - what was this for?",IF(IF(H316="",FALSE,COUNTIF(Sales!$A$5:$A$1204,H316)=0),"Missing - no sale with that ID",IF(IF(I316="",FALSE,COUNTIF(Appointments!$A$5:$A$1204,I316)=0),"Missing - no booking with that ID",IF(IF(E316="Tip",J316="",FALSE),"Assign - whose tip is it?",IF(IF(E316="Deposit",IF(H316="",I316="",FALSE),FALSE),"Check - deposit not tied to a booking",IF(M316="No","Due - not reconciled yet","OK"))))))))</f>
        <v>0</v>
      </c>
    </row>
    <row r="317" spans="1:23">
      <c r="A317" s="28">
        <f>IF(B317="","",PaymentPrefix&amp;TEXT(ROW()-4,"0000"))</f>
        <v>0</v>
      </c>
      <c r="D317" s="15">
        <f>IF(C317="","",IFERROR(INDEX(Clients!$B$5:$B$504,MATCH(C317,Clients!$A$5:$A$504,0)),"Walk-in"))</f>
        <v>0</v>
      </c>
      <c r="K317" s="15">
        <f>IF(J317="","",IFERROR(INDEX(Staff!$B$5:$B$44,MATCH(J317,Staff!$A$5:$A$44,0)),""))</f>
        <v>0</v>
      </c>
      <c r="O317" s="15">
        <f>IF(B317="","",TEXT(B317,"yyyy-mm"))</f>
        <v>0</v>
      </c>
      <c r="P317" s="25">
        <f>IF(B317="","",WEEKNUM(B317,2))</f>
        <v>0</v>
      </c>
      <c r="Q317" s="38">
        <f>IF(B317="","",IF(E317="Tip","No",IF(E317="Refund","No","Yes")))</f>
        <v>0</v>
      </c>
      <c r="R317" s="25">
        <f>IF(B317="","",IF(E317="Refund",-1,1))</f>
        <v>0</v>
      </c>
      <c r="S317" s="26">
        <f>IF(B317="","",IF(G317="",0,IF(F317="Card",ROUND(G317*CardFeePercent+CardFeeFixed,2),IF(F317="Online deposit",ROUND(G317*CardFeePercent+CardFeeFixed,2),0))))</f>
        <v>0</v>
      </c>
      <c r="T317" s="26">
        <f>IF(B317="","",ROUND(IF(G317="",0,G317)*R317-S317,2))</f>
        <v>0</v>
      </c>
      <c r="U317" s="38">
        <f>IF(B317="","",IF(E317="Tip","Yes","No"))</f>
        <v>0</v>
      </c>
      <c r="V317" s="15">
        <f>IF(B317="","",IF(H317&lt;&gt;"","Sale "&amp;H317,IF(I317&lt;&gt;"","Booking "&amp;I317,IF(E317="Tip","Stylist","Unapplied"))))</f>
        <v>0</v>
      </c>
      <c r="W317" s="39">
        <f>IF(B317="","",IF(G317="","Add - no amount yet",IF(E317="","Add - what was this for?",IF(IF(H317="",FALSE,COUNTIF(Sales!$A$5:$A$1204,H317)=0),"Missing - no sale with that ID",IF(IF(I317="",FALSE,COUNTIF(Appointments!$A$5:$A$1204,I317)=0),"Missing - no booking with that ID",IF(IF(E317="Tip",J317="",FALSE),"Assign - whose tip is it?",IF(IF(E317="Deposit",IF(H317="",I317="",FALSE),FALSE),"Check - deposit not tied to a booking",IF(M317="No","Due - not reconciled yet","OK"))))))))</f>
        <v>0</v>
      </c>
    </row>
    <row r="318" spans="1:23">
      <c r="A318" s="28">
        <f>IF(B318="","",PaymentPrefix&amp;TEXT(ROW()-4,"0000"))</f>
        <v>0</v>
      </c>
      <c r="D318" s="15">
        <f>IF(C318="","",IFERROR(INDEX(Clients!$B$5:$B$504,MATCH(C318,Clients!$A$5:$A$504,0)),"Walk-in"))</f>
        <v>0</v>
      </c>
      <c r="K318" s="15">
        <f>IF(J318="","",IFERROR(INDEX(Staff!$B$5:$B$44,MATCH(J318,Staff!$A$5:$A$44,0)),""))</f>
        <v>0</v>
      </c>
      <c r="O318" s="15">
        <f>IF(B318="","",TEXT(B318,"yyyy-mm"))</f>
        <v>0</v>
      </c>
      <c r="P318" s="25">
        <f>IF(B318="","",WEEKNUM(B318,2))</f>
        <v>0</v>
      </c>
      <c r="Q318" s="38">
        <f>IF(B318="","",IF(E318="Tip","No",IF(E318="Refund","No","Yes")))</f>
        <v>0</v>
      </c>
      <c r="R318" s="25">
        <f>IF(B318="","",IF(E318="Refund",-1,1))</f>
        <v>0</v>
      </c>
      <c r="S318" s="26">
        <f>IF(B318="","",IF(G318="",0,IF(F318="Card",ROUND(G318*CardFeePercent+CardFeeFixed,2),IF(F318="Online deposit",ROUND(G318*CardFeePercent+CardFeeFixed,2),0))))</f>
        <v>0</v>
      </c>
      <c r="T318" s="26">
        <f>IF(B318="","",ROUND(IF(G318="",0,G318)*R318-S318,2))</f>
        <v>0</v>
      </c>
      <c r="U318" s="38">
        <f>IF(B318="","",IF(E318="Tip","Yes","No"))</f>
        <v>0</v>
      </c>
      <c r="V318" s="15">
        <f>IF(B318="","",IF(H318&lt;&gt;"","Sale "&amp;H318,IF(I318&lt;&gt;"","Booking "&amp;I318,IF(E318="Tip","Stylist","Unapplied"))))</f>
        <v>0</v>
      </c>
      <c r="W318" s="39">
        <f>IF(B318="","",IF(G318="","Add - no amount yet",IF(E318="","Add - what was this for?",IF(IF(H318="",FALSE,COUNTIF(Sales!$A$5:$A$1204,H318)=0),"Missing - no sale with that ID",IF(IF(I318="",FALSE,COUNTIF(Appointments!$A$5:$A$1204,I318)=0),"Missing - no booking with that ID",IF(IF(E318="Tip",J318="",FALSE),"Assign - whose tip is it?",IF(IF(E318="Deposit",IF(H318="",I318="",FALSE),FALSE),"Check - deposit not tied to a booking",IF(M318="No","Due - not reconciled yet","OK"))))))))</f>
        <v>0</v>
      </c>
    </row>
    <row r="319" spans="1:23">
      <c r="A319" s="28">
        <f>IF(B319="","",PaymentPrefix&amp;TEXT(ROW()-4,"0000"))</f>
        <v>0</v>
      </c>
      <c r="D319" s="15">
        <f>IF(C319="","",IFERROR(INDEX(Clients!$B$5:$B$504,MATCH(C319,Clients!$A$5:$A$504,0)),"Walk-in"))</f>
        <v>0</v>
      </c>
      <c r="K319" s="15">
        <f>IF(J319="","",IFERROR(INDEX(Staff!$B$5:$B$44,MATCH(J319,Staff!$A$5:$A$44,0)),""))</f>
        <v>0</v>
      </c>
      <c r="O319" s="15">
        <f>IF(B319="","",TEXT(B319,"yyyy-mm"))</f>
        <v>0</v>
      </c>
      <c r="P319" s="25">
        <f>IF(B319="","",WEEKNUM(B319,2))</f>
        <v>0</v>
      </c>
      <c r="Q319" s="38">
        <f>IF(B319="","",IF(E319="Tip","No",IF(E319="Refund","No","Yes")))</f>
        <v>0</v>
      </c>
      <c r="R319" s="25">
        <f>IF(B319="","",IF(E319="Refund",-1,1))</f>
        <v>0</v>
      </c>
      <c r="S319" s="26">
        <f>IF(B319="","",IF(G319="",0,IF(F319="Card",ROUND(G319*CardFeePercent+CardFeeFixed,2),IF(F319="Online deposit",ROUND(G319*CardFeePercent+CardFeeFixed,2),0))))</f>
        <v>0</v>
      </c>
      <c r="T319" s="26">
        <f>IF(B319="","",ROUND(IF(G319="",0,G319)*R319-S319,2))</f>
        <v>0</v>
      </c>
      <c r="U319" s="38">
        <f>IF(B319="","",IF(E319="Tip","Yes","No"))</f>
        <v>0</v>
      </c>
      <c r="V319" s="15">
        <f>IF(B319="","",IF(H319&lt;&gt;"","Sale "&amp;H319,IF(I319&lt;&gt;"","Booking "&amp;I319,IF(E319="Tip","Stylist","Unapplied"))))</f>
        <v>0</v>
      </c>
      <c r="W319" s="39">
        <f>IF(B319="","",IF(G319="","Add - no amount yet",IF(E319="","Add - what was this for?",IF(IF(H319="",FALSE,COUNTIF(Sales!$A$5:$A$1204,H319)=0),"Missing - no sale with that ID",IF(IF(I319="",FALSE,COUNTIF(Appointments!$A$5:$A$1204,I319)=0),"Missing - no booking with that ID",IF(IF(E319="Tip",J319="",FALSE),"Assign - whose tip is it?",IF(IF(E319="Deposit",IF(H319="",I319="",FALSE),FALSE),"Check - deposit not tied to a booking",IF(M319="No","Due - not reconciled yet","OK"))))))))</f>
        <v>0</v>
      </c>
    </row>
    <row r="320" spans="1:23">
      <c r="A320" s="28">
        <f>IF(B320="","",PaymentPrefix&amp;TEXT(ROW()-4,"0000"))</f>
        <v>0</v>
      </c>
      <c r="D320" s="15">
        <f>IF(C320="","",IFERROR(INDEX(Clients!$B$5:$B$504,MATCH(C320,Clients!$A$5:$A$504,0)),"Walk-in"))</f>
        <v>0</v>
      </c>
      <c r="K320" s="15">
        <f>IF(J320="","",IFERROR(INDEX(Staff!$B$5:$B$44,MATCH(J320,Staff!$A$5:$A$44,0)),""))</f>
        <v>0</v>
      </c>
      <c r="O320" s="15">
        <f>IF(B320="","",TEXT(B320,"yyyy-mm"))</f>
        <v>0</v>
      </c>
      <c r="P320" s="25">
        <f>IF(B320="","",WEEKNUM(B320,2))</f>
        <v>0</v>
      </c>
      <c r="Q320" s="38">
        <f>IF(B320="","",IF(E320="Tip","No",IF(E320="Refund","No","Yes")))</f>
        <v>0</v>
      </c>
      <c r="R320" s="25">
        <f>IF(B320="","",IF(E320="Refund",-1,1))</f>
        <v>0</v>
      </c>
      <c r="S320" s="26">
        <f>IF(B320="","",IF(G320="",0,IF(F320="Card",ROUND(G320*CardFeePercent+CardFeeFixed,2),IF(F320="Online deposit",ROUND(G320*CardFeePercent+CardFeeFixed,2),0))))</f>
        <v>0</v>
      </c>
      <c r="T320" s="26">
        <f>IF(B320="","",ROUND(IF(G320="",0,G320)*R320-S320,2))</f>
        <v>0</v>
      </c>
      <c r="U320" s="38">
        <f>IF(B320="","",IF(E320="Tip","Yes","No"))</f>
        <v>0</v>
      </c>
      <c r="V320" s="15">
        <f>IF(B320="","",IF(H320&lt;&gt;"","Sale "&amp;H320,IF(I320&lt;&gt;"","Booking "&amp;I320,IF(E320="Tip","Stylist","Unapplied"))))</f>
        <v>0</v>
      </c>
      <c r="W320" s="39">
        <f>IF(B320="","",IF(G320="","Add - no amount yet",IF(E320="","Add - what was this for?",IF(IF(H320="",FALSE,COUNTIF(Sales!$A$5:$A$1204,H320)=0),"Missing - no sale with that ID",IF(IF(I320="",FALSE,COUNTIF(Appointments!$A$5:$A$1204,I320)=0),"Missing - no booking with that ID",IF(IF(E320="Tip",J320="",FALSE),"Assign - whose tip is it?",IF(IF(E320="Deposit",IF(H320="",I320="",FALSE),FALSE),"Check - deposit not tied to a booking",IF(M320="No","Due - not reconciled yet","OK"))))))))</f>
        <v>0</v>
      </c>
    </row>
    <row r="321" spans="1:23">
      <c r="A321" s="28">
        <f>IF(B321="","",PaymentPrefix&amp;TEXT(ROW()-4,"0000"))</f>
        <v>0</v>
      </c>
      <c r="D321" s="15">
        <f>IF(C321="","",IFERROR(INDEX(Clients!$B$5:$B$504,MATCH(C321,Clients!$A$5:$A$504,0)),"Walk-in"))</f>
        <v>0</v>
      </c>
      <c r="K321" s="15">
        <f>IF(J321="","",IFERROR(INDEX(Staff!$B$5:$B$44,MATCH(J321,Staff!$A$5:$A$44,0)),""))</f>
        <v>0</v>
      </c>
      <c r="O321" s="15">
        <f>IF(B321="","",TEXT(B321,"yyyy-mm"))</f>
        <v>0</v>
      </c>
      <c r="P321" s="25">
        <f>IF(B321="","",WEEKNUM(B321,2))</f>
        <v>0</v>
      </c>
      <c r="Q321" s="38">
        <f>IF(B321="","",IF(E321="Tip","No",IF(E321="Refund","No","Yes")))</f>
        <v>0</v>
      </c>
      <c r="R321" s="25">
        <f>IF(B321="","",IF(E321="Refund",-1,1))</f>
        <v>0</v>
      </c>
      <c r="S321" s="26">
        <f>IF(B321="","",IF(G321="",0,IF(F321="Card",ROUND(G321*CardFeePercent+CardFeeFixed,2),IF(F321="Online deposit",ROUND(G321*CardFeePercent+CardFeeFixed,2),0))))</f>
        <v>0</v>
      </c>
      <c r="T321" s="26">
        <f>IF(B321="","",ROUND(IF(G321="",0,G321)*R321-S321,2))</f>
        <v>0</v>
      </c>
      <c r="U321" s="38">
        <f>IF(B321="","",IF(E321="Tip","Yes","No"))</f>
        <v>0</v>
      </c>
      <c r="V321" s="15">
        <f>IF(B321="","",IF(H321&lt;&gt;"","Sale "&amp;H321,IF(I321&lt;&gt;"","Booking "&amp;I321,IF(E321="Tip","Stylist","Unapplied"))))</f>
        <v>0</v>
      </c>
      <c r="W321" s="39">
        <f>IF(B321="","",IF(G321="","Add - no amount yet",IF(E321="","Add - what was this for?",IF(IF(H321="",FALSE,COUNTIF(Sales!$A$5:$A$1204,H321)=0),"Missing - no sale with that ID",IF(IF(I321="",FALSE,COUNTIF(Appointments!$A$5:$A$1204,I321)=0),"Missing - no booking with that ID",IF(IF(E321="Tip",J321="",FALSE),"Assign - whose tip is it?",IF(IF(E321="Deposit",IF(H321="",I321="",FALSE),FALSE),"Check - deposit not tied to a booking",IF(M321="No","Due - not reconciled yet","OK"))))))))</f>
        <v>0</v>
      </c>
    </row>
    <row r="322" spans="1:23">
      <c r="A322" s="28">
        <f>IF(B322="","",PaymentPrefix&amp;TEXT(ROW()-4,"0000"))</f>
        <v>0</v>
      </c>
      <c r="D322" s="15">
        <f>IF(C322="","",IFERROR(INDEX(Clients!$B$5:$B$504,MATCH(C322,Clients!$A$5:$A$504,0)),"Walk-in"))</f>
        <v>0</v>
      </c>
      <c r="K322" s="15">
        <f>IF(J322="","",IFERROR(INDEX(Staff!$B$5:$B$44,MATCH(J322,Staff!$A$5:$A$44,0)),""))</f>
        <v>0</v>
      </c>
      <c r="O322" s="15">
        <f>IF(B322="","",TEXT(B322,"yyyy-mm"))</f>
        <v>0</v>
      </c>
      <c r="P322" s="25">
        <f>IF(B322="","",WEEKNUM(B322,2))</f>
        <v>0</v>
      </c>
      <c r="Q322" s="38">
        <f>IF(B322="","",IF(E322="Tip","No",IF(E322="Refund","No","Yes")))</f>
        <v>0</v>
      </c>
      <c r="R322" s="25">
        <f>IF(B322="","",IF(E322="Refund",-1,1))</f>
        <v>0</v>
      </c>
      <c r="S322" s="26">
        <f>IF(B322="","",IF(G322="",0,IF(F322="Card",ROUND(G322*CardFeePercent+CardFeeFixed,2),IF(F322="Online deposit",ROUND(G322*CardFeePercent+CardFeeFixed,2),0))))</f>
        <v>0</v>
      </c>
      <c r="T322" s="26">
        <f>IF(B322="","",ROUND(IF(G322="",0,G322)*R322-S322,2))</f>
        <v>0</v>
      </c>
      <c r="U322" s="38">
        <f>IF(B322="","",IF(E322="Tip","Yes","No"))</f>
        <v>0</v>
      </c>
      <c r="V322" s="15">
        <f>IF(B322="","",IF(H322&lt;&gt;"","Sale "&amp;H322,IF(I322&lt;&gt;"","Booking "&amp;I322,IF(E322="Tip","Stylist","Unapplied"))))</f>
        <v>0</v>
      </c>
      <c r="W322" s="39">
        <f>IF(B322="","",IF(G322="","Add - no amount yet",IF(E322="","Add - what was this for?",IF(IF(H322="",FALSE,COUNTIF(Sales!$A$5:$A$1204,H322)=0),"Missing - no sale with that ID",IF(IF(I322="",FALSE,COUNTIF(Appointments!$A$5:$A$1204,I322)=0),"Missing - no booking with that ID",IF(IF(E322="Tip",J322="",FALSE),"Assign - whose tip is it?",IF(IF(E322="Deposit",IF(H322="",I322="",FALSE),FALSE),"Check - deposit not tied to a booking",IF(M322="No","Due - not reconciled yet","OK"))))))))</f>
        <v>0</v>
      </c>
    </row>
    <row r="323" spans="1:23">
      <c r="A323" s="28">
        <f>IF(B323="","",PaymentPrefix&amp;TEXT(ROW()-4,"0000"))</f>
        <v>0</v>
      </c>
      <c r="D323" s="15">
        <f>IF(C323="","",IFERROR(INDEX(Clients!$B$5:$B$504,MATCH(C323,Clients!$A$5:$A$504,0)),"Walk-in"))</f>
        <v>0</v>
      </c>
      <c r="K323" s="15">
        <f>IF(J323="","",IFERROR(INDEX(Staff!$B$5:$B$44,MATCH(J323,Staff!$A$5:$A$44,0)),""))</f>
        <v>0</v>
      </c>
      <c r="O323" s="15">
        <f>IF(B323="","",TEXT(B323,"yyyy-mm"))</f>
        <v>0</v>
      </c>
      <c r="P323" s="25">
        <f>IF(B323="","",WEEKNUM(B323,2))</f>
        <v>0</v>
      </c>
      <c r="Q323" s="38">
        <f>IF(B323="","",IF(E323="Tip","No",IF(E323="Refund","No","Yes")))</f>
        <v>0</v>
      </c>
      <c r="R323" s="25">
        <f>IF(B323="","",IF(E323="Refund",-1,1))</f>
        <v>0</v>
      </c>
      <c r="S323" s="26">
        <f>IF(B323="","",IF(G323="",0,IF(F323="Card",ROUND(G323*CardFeePercent+CardFeeFixed,2),IF(F323="Online deposit",ROUND(G323*CardFeePercent+CardFeeFixed,2),0))))</f>
        <v>0</v>
      </c>
      <c r="T323" s="26">
        <f>IF(B323="","",ROUND(IF(G323="",0,G323)*R323-S323,2))</f>
        <v>0</v>
      </c>
      <c r="U323" s="38">
        <f>IF(B323="","",IF(E323="Tip","Yes","No"))</f>
        <v>0</v>
      </c>
      <c r="V323" s="15">
        <f>IF(B323="","",IF(H323&lt;&gt;"","Sale "&amp;H323,IF(I323&lt;&gt;"","Booking "&amp;I323,IF(E323="Tip","Stylist","Unapplied"))))</f>
        <v>0</v>
      </c>
      <c r="W323" s="39">
        <f>IF(B323="","",IF(G323="","Add - no amount yet",IF(E323="","Add - what was this for?",IF(IF(H323="",FALSE,COUNTIF(Sales!$A$5:$A$1204,H323)=0),"Missing - no sale with that ID",IF(IF(I323="",FALSE,COUNTIF(Appointments!$A$5:$A$1204,I323)=0),"Missing - no booking with that ID",IF(IF(E323="Tip",J323="",FALSE),"Assign - whose tip is it?",IF(IF(E323="Deposit",IF(H323="",I323="",FALSE),FALSE),"Check - deposit not tied to a booking",IF(M323="No","Due - not reconciled yet","OK"))))))))</f>
        <v>0</v>
      </c>
    </row>
    <row r="324" spans="1:23">
      <c r="A324" s="28">
        <f>IF(B324="","",PaymentPrefix&amp;TEXT(ROW()-4,"0000"))</f>
        <v>0</v>
      </c>
      <c r="D324" s="15">
        <f>IF(C324="","",IFERROR(INDEX(Clients!$B$5:$B$504,MATCH(C324,Clients!$A$5:$A$504,0)),"Walk-in"))</f>
        <v>0</v>
      </c>
      <c r="K324" s="15">
        <f>IF(J324="","",IFERROR(INDEX(Staff!$B$5:$B$44,MATCH(J324,Staff!$A$5:$A$44,0)),""))</f>
        <v>0</v>
      </c>
      <c r="O324" s="15">
        <f>IF(B324="","",TEXT(B324,"yyyy-mm"))</f>
        <v>0</v>
      </c>
      <c r="P324" s="25">
        <f>IF(B324="","",WEEKNUM(B324,2))</f>
        <v>0</v>
      </c>
      <c r="Q324" s="38">
        <f>IF(B324="","",IF(E324="Tip","No",IF(E324="Refund","No","Yes")))</f>
        <v>0</v>
      </c>
      <c r="R324" s="25">
        <f>IF(B324="","",IF(E324="Refund",-1,1))</f>
        <v>0</v>
      </c>
      <c r="S324" s="26">
        <f>IF(B324="","",IF(G324="",0,IF(F324="Card",ROUND(G324*CardFeePercent+CardFeeFixed,2),IF(F324="Online deposit",ROUND(G324*CardFeePercent+CardFeeFixed,2),0))))</f>
        <v>0</v>
      </c>
      <c r="T324" s="26">
        <f>IF(B324="","",ROUND(IF(G324="",0,G324)*R324-S324,2))</f>
        <v>0</v>
      </c>
      <c r="U324" s="38">
        <f>IF(B324="","",IF(E324="Tip","Yes","No"))</f>
        <v>0</v>
      </c>
      <c r="V324" s="15">
        <f>IF(B324="","",IF(H324&lt;&gt;"","Sale "&amp;H324,IF(I324&lt;&gt;"","Booking "&amp;I324,IF(E324="Tip","Stylist","Unapplied"))))</f>
        <v>0</v>
      </c>
      <c r="W324" s="39">
        <f>IF(B324="","",IF(G324="","Add - no amount yet",IF(E324="","Add - what was this for?",IF(IF(H324="",FALSE,COUNTIF(Sales!$A$5:$A$1204,H324)=0),"Missing - no sale with that ID",IF(IF(I324="",FALSE,COUNTIF(Appointments!$A$5:$A$1204,I324)=0),"Missing - no booking with that ID",IF(IF(E324="Tip",J324="",FALSE),"Assign - whose tip is it?",IF(IF(E324="Deposit",IF(H324="",I324="",FALSE),FALSE),"Check - deposit not tied to a booking",IF(M324="No","Due - not reconciled yet","OK"))))))))</f>
        <v>0</v>
      </c>
    </row>
    <row r="325" spans="1:23">
      <c r="A325" s="28">
        <f>IF(B325="","",PaymentPrefix&amp;TEXT(ROW()-4,"0000"))</f>
        <v>0</v>
      </c>
      <c r="D325" s="15">
        <f>IF(C325="","",IFERROR(INDEX(Clients!$B$5:$B$504,MATCH(C325,Clients!$A$5:$A$504,0)),"Walk-in"))</f>
        <v>0</v>
      </c>
      <c r="K325" s="15">
        <f>IF(J325="","",IFERROR(INDEX(Staff!$B$5:$B$44,MATCH(J325,Staff!$A$5:$A$44,0)),""))</f>
        <v>0</v>
      </c>
      <c r="O325" s="15">
        <f>IF(B325="","",TEXT(B325,"yyyy-mm"))</f>
        <v>0</v>
      </c>
      <c r="P325" s="25">
        <f>IF(B325="","",WEEKNUM(B325,2))</f>
        <v>0</v>
      </c>
      <c r="Q325" s="38">
        <f>IF(B325="","",IF(E325="Tip","No",IF(E325="Refund","No","Yes")))</f>
        <v>0</v>
      </c>
      <c r="R325" s="25">
        <f>IF(B325="","",IF(E325="Refund",-1,1))</f>
        <v>0</v>
      </c>
      <c r="S325" s="26">
        <f>IF(B325="","",IF(G325="",0,IF(F325="Card",ROUND(G325*CardFeePercent+CardFeeFixed,2),IF(F325="Online deposit",ROUND(G325*CardFeePercent+CardFeeFixed,2),0))))</f>
        <v>0</v>
      </c>
      <c r="T325" s="26">
        <f>IF(B325="","",ROUND(IF(G325="",0,G325)*R325-S325,2))</f>
        <v>0</v>
      </c>
      <c r="U325" s="38">
        <f>IF(B325="","",IF(E325="Tip","Yes","No"))</f>
        <v>0</v>
      </c>
      <c r="V325" s="15">
        <f>IF(B325="","",IF(H325&lt;&gt;"","Sale "&amp;H325,IF(I325&lt;&gt;"","Booking "&amp;I325,IF(E325="Tip","Stylist","Unapplied"))))</f>
        <v>0</v>
      </c>
      <c r="W325" s="39">
        <f>IF(B325="","",IF(G325="","Add - no amount yet",IF(E325="","Add - what was this for?",IF(IF(H325="",FALSE,COUNTIF(Sales!$A$5:$A$1204,H325)=0),"Missing - no sale with that ID",IF(IF(I325="",FALSE,COUNTIF(Appointments!$A$5:$A$1204,I325)=0),"Missing - no booking with that ID",IF(IF(E325="Tip",J325="",FALSE),"Assign - whose tip is it?",IF(IF(E325="Deposit",IF(H325="",I325="",FALSE),FALSE),"Check - deposit not tied to a booking",IF(M325="No","Due - not reconciled yet","OK"))))))))</f>
        <v>0</v>
      </c>
    </row>
    <row r="326" spans="1:23">
      <c r="A326" s="28">
        <f>IF(B326="","",PaymentPrefix&amp;TEXT(ROW()-4,"0000"))</f>
        <v>0</v>
      </c>
      <c r="D326" s="15">
        <f>IF(C326="","",IFERROR(INDEX(Clients!$B$5:$B$504,MATCH(C326,Clients!$A$5:$A$504,0)),"Walk-in"))</f>
        <v>0</v>
      </c>
      <c r="K326" s="15">
        <f>IF(J326="","",IFERROR(INDEX(Staff!$B$5:$B$44,MATCH(J326,Staff!$A$5:$A$44,0)),""))</f>
        <v>0</v>
      </c>
      <c r="O326" s="15">
        <f>IF(B326="","",TEXT(B326,"yyyy-mm"))</f>
        <v>0</v>
      </c>
      <c r="P326" s="25">
        <f>IF(B326="","",WEEKNUM(B326,2))</f>
        <v>0</v>
      </c>
      <c r="Q326" s="38">
        <f>IF(B326="","",IF(E326="Tip","No",IF(E326="Refund","No","Yes")))</f>
        <v>0</v>
      </c>
      <c r="R326" s="25">
        <f>IF(B326="","",IF(E326="Refund",-1,1))</f>
        <v>0</v>
      </c>
      <c r="S326" s="26">
        <f>IF(B326="","",IF(G326="",0,IF(F326="Card",ROUND(G326*CardFeePercent+CardFeeFixed,2),IF(F326="Online deposit",ROUND(G326*CardFeePercent+CardFeeFixed,2),0))))</f>
        <v>0</v>
      </c>
      <c r="T326" s="26">
        <f>IF(B326="","",ROUND(IF(G326="",0,G326)*R326-S326,2))</f>
        <v>0</v>
      </c>
      <c r="U326" s="38">
        <f>IF(B326="","",IF(E326="Tip","Yes","No"))</f>
        <v>0</v>
      </c>
      <c r="V326" s="15">
        <f>IF(B326="","",IF(H326&lt;&gt;"","Sale "&amp;H326,IF(I326&lt;&gt;"","Booking "&amp;I326,IF(E326="Tip","Stylist","Unapplied"))))</f>
        <v>0</v>
      </c>
      <c r="W326" s="39">
        <f>IF(B326="","",IF(G326="","Add - no amount yet",IF(E326="","Add - what was this for?",IF(IF(H326="",FALSE,COUNTIF(Sales!$A$5:$A$1204,H326)=0),"Missing - no sale with that ID",IF(IF(I326="",FALSE,COUNTIF(Appointments!$A$5:$A$1204,I326)=0),"Missing - no booking with that ID",IF(IF(E326="Tip",J326="",FALSE),"Assign - whose tip is it?",IF(IF(E326="Deposit",IF(H326="",I326="",FALSE),FALSE),"Check - deposit not tied to a booking",IF(M326="No","Due - not reconciled yet","OK"))))))))</f>
        <v>0</v>
      </c>
    </row>
    <row r="327" spans="1:23">
      <c r="A327" s="28">
        <f>IF(B327="","",PaymentPrefix&amp;TEXT(ROW()-4,"0000"))</f>
        <v>0</v>
      </c>
      <c r="D327" s="15">
        <f>IF(C327="","",IFERROR(INDEX(Clients!$B$5:$B$504,MATCH(C327,Clients!$A$5:$A$504,0)),"Walk-in"))</f>
        <v>0</v>
      </c>
      <c r="K327" s="15">
        <f>IF(J327="","",IFERROR(INDEX(Staff!$B$5:$B$44,MATCH(J327,Staff!$A$5:$A$44,0)),""))</f>
        <v>0</v>
      </c>
      <c r="O327" s="15">
        <f>IF(B327="","",TEXT(B327,"yyyy-mm"))</f>
        <v>0</v>
      </c>
      <c r="P327" s="25">
        <f>IF(B327="","",WEEKNUM(B327,2))</f>
        <v>0</v>
      </c>
      <c r="Q327" s="38">
        <f>IF(B327="","",IF(E327="Tip","No",IF(E327="Refund","No","Yes")))</f>
        <v>0</v>
      </c>
      <c r="R327" s="25">
        <f>IF(B327="","",IF(E327="Refund",-1,1))</f>
        <v>0</v>
      </c>
      <c r="S327" s="26">
        <f>IF(B327="","",IF(G327="",0,IF(F327="Card",ROUND(G327*CardFeePercent+CardFeeFixed,2),IF(F327="Online deposit",ROUND(G327*CardFeePercent+CardFeeFixed,2),0))))</f>
        <v>0</v>
      </c>
      <c r="T327" s="26">
        <f>IF(B327="","",ROUND(IF(G327="",0,G327)*R327-S327,2))</f>
        <v>0</v>
      </c>
      <c r="U327" s="38">
        <f>IF(B327="","",IF(E327="Tip","Yes","No"))</f>
        <v>0</v>
      </c>
      <c r="V327" s="15">
        <f>IF(B327="","",IF(H327&lt;&gt;"","Sale "&amp;H327,IF(I327&lt;&gt;"","Booking "&amp;I327,IF(E327="Tip","Stylist","Unapplied"))))</f>
        <v>0</v>
      </c>
      <c r="W327" s="39">
        <f>IF(B327="","",IF(G327="","Add - no amount yet",IF(E327="","Add - what was this for?",IF(IF(H327="",FALSE,COUNTIF(Sales!$A$5:$A$1204,H327)=0),"Missing - no sale with that ID",IF(IF(I327="",FALSE,COUNTIF(Appointments!$A$5:$A$1204,I327)=0),"Missing - no booking with that ID",IF(IF(E327="Tip",J327="",FALSE),"Assign - whose tip is it?",IF(IF(E327="Deposit",IF(H327="",I327="",FALSE),FALSE),"Check - deposit not tied to a booking",IF(M327="No","Due - not reconciled yet","OK"))))))))</f>
        <v>0</v>
      </c>
    </row>
    <row r="328" spans="1:23">
      <c r="A328" s="28">
        <f>IF(B328="","",PaymentPrefix&amp;TEXT(ROW()-4,"0000"))</f>
        <v>0</v>
      </c>
      <c r="D328" s="15">
        <f>IF(C328="","",IFERROR(INDEX(Clients!$B$5:$B$504,MATCH(C328,Clients!$A$5:$A$504,0)),"Walk-in"))</f>
        <v>0</v>
      </c>
      <c r="K328" s="15">
        <f>IF(J328="","",IFERROR(INDEX(Staff!$B$5:$B$44,MATCH(J328,Staff!$A$5:$A$44,0)),""))</f>
        <v>0</v>
      </c>
      <c r="O328" s="15">
        <f>IF(B328="","",TEXT(B328,"yyyy-mm"))</f>
        <v>0</v>
      </c>
      <c r="P328" s="25">
        <f>IF(B328="","",WEEKNUM(B328,2))</f>
        <v>0</v>
      </c>
      <c r="Q328" s="38">
        <f>IF(B328="","",IF(E328="Tip","No",IF(E328="Refund","No","Yes")))</f>
        <v>0</v>
      </c>
      <c r="R328" s="25">
        <f>IF(B328="","",IF(E328="Refund",-1,1))</f>
        <v>0</v>
      </c>
      <c r="S328" s="26">
        <f>IF(B328="","",IF(G328="",0,IF(F328="Card",ROUND(G328*CardFeePercent+CardFeeFixed,2),IF(F328="Online deposit",ROUND(G328*CardFeePercent+CardFeeFixed,2),0))))</f>
        <v>0</v>
      </c>
      <c r="T328" s="26">
        <f>IF(B328="","",ROUND(IF(G328="",0,G328)*R328-S328,2))</f>
        <v>0</v>
      </c>
      <c r="U328" s="38">
        <f>IF(B328="","",IF(E328="Tip","Yes","No"))</f>
        <v>0</v>
      </c>
      <c r="V328" s="15">
        <f>IF(B328="","",IF(H328&lt;&gt;"","Sale "&amp;H328,IF(I328&lt;&gt;"","Booking "&amp;I328,IF(E328="Tip","Stylist","Unapplied"))))</f>
        <v>0</v>
      </c>
      <c r="W328" s="39">
        <f>IF(B328="","",IF(G328="","Add - no amount yet",IF(E328="","Add - what was this for?",IF(IF(H328="",FALSE,COUNTIF(Sales!$A$5:$A$1204,H328)=0),"Missing - no sale with that ID",IF(IF(I328="",FALSE,COUNTIF(Appointments!$A$5:$A$1204,I328)=0),"Missing - no booking with that ID",IF(IF(E328="Tip",J328="",FALSE),"Assign - whose tip is it?",IF(IF(E328="Deposit",IF(H328="",I328="",FALSE),FALSE),"Check - deposit not tied to a booking",IF(M328="No","Due - not reconciled yet","OK"))))))))</f>
        <v>0</v>
      </c>
    </row>
    <row r="329" spans="1:23">
      <c r="A329" s="28">
        <f>IF(B329="","",PaymentPrefix&amp;TEXT(ROW()-4,"0000"))</f>
        <v>0</v>
      </c>
      <c r="D329" s="15">
        <f>IF(C329="","",IFERROR(INDEX(Clients!$B$5:$B$504,MATCH(C329,Clients!$A$5:$A$504,0)),"Walk-in"))</f>
        <v>0</v>
      </c>
      <c r="K329" s="15">
        <f>IF(J329="","",IFERROR(INDEX(Staff!$B$5:$B$44,MATCH(J329,Staff!$A$5:$A$44,0)),""))</f>
        <v>0</v>
      </c>
      <c r="O329" s="15">
        <f>IF(B329="","",TEXT(B329,"yyyy-mm"))</f>
        <v>0</v>
      </c>
      <c r="P329" s="25">
        <f>IF(B329="","",WEEKNUM(B329,2))</f>
        <v>0</v>
      </c>
      <c r="Q329" s="38">
        <f>IF(B329="","",IF(E329="Tip","No",IF(E329="Refund","No","Yes")))</f>
        <v>0</v>
      </c>
      <c r="R329" s="25">
        <f>IF(B329="","",IF(E329="Refund",-1,1))</f>
        <v>0</v>
      </c>
      <c r="S329" s="26">
        <f>IF(B329="","",IF(G329="",0,IF(F329="Card",ROUND(G329*CardFeePercent+CardFeeFixed,2),IF(F329="Online deposit",ROUND(G329*CardFeePercent+CardFeeFixed,2),0))))</f>
        <v>0</v>
      </c>
      <c r="T329" s="26">
        <f>IF(B329="","",ROUND(IF(G329="",0,G329)*R329-S329,2))</f>
        <v>0</v>
      </c>
      <c r="U329" s="38">
        <f>IF(B329="","",IF(E329="Tip","Yes","No"))</f>
        <v>0</v>
      </c>
      <c r="V329" s="15">
        <f>IF(B329="","",IF(H329&lt;&gt;"","Sale "&amp;H329,IF(I329&lt;&gt;"","Booking "&amp;I329,IF(E329="Tip","Stylist","Unapplied"))))</f>
        <v>0</v>
      </c>
      <c r="W329" s="39">
        <f>IF(B329="","",IF(G329="","Add - no amount yet",IF(E329="","Add - what was this for?",IF(IF(H329="",FALSE,COUNTIF(Sales!$A$5:$A$1204,H329)=0),"Missing - no sale with that ID",IF(IF(I329="",FALSE,COUNTIF(Appointments!$A$5:$A$1204,I329)=0),"Missing - no booking with that ID",IF(IF(E329="Tip",J329="",FALSE),"Assign - whose tip is it?",IF(IF(E329="Deposit",IF(H329="",I329="",FALSE),FALSE),"Check - deposit not tied to a booking",IF(M329="No","Due - not reconciled yet","OK"))))))))</f>
        <v>0</v>
      </c>
    </row>
    <row r="330" spans="1:23">
      <c r="A330" s="28">
        <f>IF(B330="","",PaymentPrefix&amp;TEXT(ROW()-4,"0000"))</f>
        <v>0</v>
      </c>
      <c r="D330" s="15">
        <f>IF(C330="","",IFERROR(INDEX(Clients!$B$5:$B$504,MATCH(C330,Clients!$A$5:$A$504,0)),"Walk-in"))</f>
        <v>0</v>
      </c>
      <c r="K330" s="15">
        <f>IF(J330="","",IFERROR(INDEX(Staff!$B$5:$B$44,MATCH(J330,Staff!$A$5:$A$44,0)),""))</f>
        <v>0</v>
      </c>
      <c r="O330" s="15">
        <f>IF(B330="","",TEXT(B330,"yyyy-mm"))</f>
        <v>0</v>
      </c>
      <c r="P330" s="25">
        <f>IF(B330="","",WEEKNUM(B330,2))</f>
        <v>0</v>
      </c>
      <c r="Q330" s="38">
        <f>IF(B330="","",IF(E330="Tip","No",IF(E330="Refund","No","Yes")))</f>
        <v>0</v>
      </c>
      <c r="R330" s="25">
        <f>IF(B330="","",IF(E330="Refund",-1,1))</f>
        <v>0</v>
      </c>
      <c r="S330" s="26">
        <f>IF(B330="","",IF(G330="",0,IF(F330="Card",ROUND(G330*CardFeePercent+CardFeeFixed,2),IF(F330="Online deposit",ROUND(G330*CardFeePercent+CardFeeFixed,2),0))))</f>
        <v>0</v>
      </c>
      <c r="T330" s="26">
        <f>IF(B330="","",ROUND(IF(G330="",0,G330)*R330-S330,2))</f>
        <v>0</v>
      </c>
      <c r="U330" s="38">
        <f>IF(B330="","",IF(E330="Tip","Yes","No"))</f>
        <v>0</v>
      </c>
      <c r="V330" s="15">
        <f>IF(B330="","",IF(H330&lt;&gt;"","Sale "&amp;H330,IF(I330&lt;&gt;"","Booking "&amp;I330,IF(E330="Tip","Stylist","Unapplied"))))</f>
        <v>0</v>
      </c>
      <c r="W330" s="39">
        <f>IF(B330="","",IF(G330="","Add - no amount yet",IF(E330="","Add - what was this for?",IF(IF(H330="",FALSE,COUNTIF(Sales!$A$5:$A$1204,H330)=0),"Missing - no sale with that ID",IF(IF(I330="",FALSE,COUNTIF(Appointments!$A$5:$A$1204,I330)=0),"Missing - no booking with that ID",IF(IF(E330="Tip",J330="",FALSE),"Assign - whose tip is it?",IF(IF(E330="Deposit",IF(H330="",I330="",FALSE),FALSE),"Check - deposit not tied to a booking",IF(M330="No","Due - not reconciled yet","OK"))))))))</f>
        <v>0</v>
      </c>
    </row>
    <row r="331" spans="1:23">
      <c r="A331" s="28">
        <f>IF(B331="","",PaymentPrefix&amp;TEXT(ROW()-4,"0000"))</f>
        <v>0</v>
      </c>
      <c r="D331" s="15">
        <f>IF(C331="","",IFERROR(INDEX(Clients!$B$5:$B$504,MATCH(C331,Clients!$A$5:$A$504,0)),"Walk-in"))</f>
        <v>0</v>
      </c>
      <c r="K331" s="15">
        <f>IF(J331="","",IFERROR(INDEX(Staff!$B$5:$B$44,MATCH(J331,Staff!$A$5:$A$44,0)),""))</f>
        <v>0</v>
      </c>
      <c r="O331" s="15">
        <f>IF(B331="","",TEXT(B331,"yyyy-mm"))</f>
        <v>0</v>
      </c>
      <c r="P331" s="25">
        <f>IF(B331="","",WEEKNUM(B331,2))</f>
        <v>0</v>
      </c>
      <c r="Q331" s="38">
        <f>IF(B331="","",IF(E331="Tip","No",IF(E331="Refund","No","Yes")))</f>
        <v>0</v>
      </c>
      <c r="R331" s="25">
        <f>IF(B331="","",IF(E331="Refund",-1,1))</f>
        <v>0</v>
      </c>
      <c r="S331" s="26">
        <f>IF(B331="","",IF(G331="",0,IF(F331="Card",ROUND(G331*CardFeePercent+CardFeeFixed,2),IF(F331="Online deposit",ROUND(G331*CardFeePercent+CardFeeFixed,2),0))))</f>
        <v>0</v>
      </c>
      <c r="T331" s="26">
        <f>IF(B331="","",ROUND(IF(G331="",0,G331)*R331-S331,2))</f>
        <v>0</v>
      </c>
      <c r="U331" s="38">
        <f>IF(B331="","",IF(E331="Tip","Yes","No"))</f>
        <v>0</v>
      </c>
      <c r="V331" s="15">
        <f>IF(B331="","",IF(H331&lt;&gt;"","Sale "&amp;H331,IF(I331&lt;&gt;"","Booking "&amp;I331,IF(E331="Tip","Stylist","Unapplied"))))</f>
        <v>0</v>
      </c>
      <c r="W331" s="39">
        <f>IF(B331="","",IF(G331="","Add - no amount yet",IF(E331="","Add - what was this for?",IF(IF(H331="",FALSE,COUNTIF(Sales!$A$5:$A$1204,H331)=0),"Missing - no sale with that ID",IF(IF(I331="",FALSE,COUNTIF(Appointments!$A$5:$A$1204,I331)=0),"Missing - no booking with that ID",IF(IF(E331="Tip",J331="",FALSE),"Assign - whose tip is it?",IF(IF(E331="Deposit",IF(H331="",I331="",FALSE),FALSE),"Check - deposit not tied to a booking",IF(M331="No","Due - not reconciled yet","OK"))))))))</f>
        <v>0</v>
      </c>
    </row>
    <row r="332" spans="1:23">
      <c r="A332" s="28">
        <f>IF(B332="","",PaymentPrefix&amp;TEXT(ROW()-4,"0000"))</f>
        <v>0</v>
      </c>
      <c r="D332" s="15">
        <f>IF(C332="","",IFERROR(INDEX(Clients!$B$5:$B$504,MATCH(C332,Clients!$A$5:$A$504,0)),"Walk-in"))</f>
        <v>0</v>
      </c>
      <c r="K332" s="15">
        <f>IF(J332="","",IFERROR(INDEX(Staff!$B$5:$B$44,MATCH(J332,Staff!$A$5:$A$44,0)),""))</f>
        <v>0</v>
      </c>
      <c r="O332" s="15">
        <f>IF(B332="","",TEXT(B332,"yyyy-mm"))</f>
        <v>0</v>
      </c>
      <c r="P332" s="25">
        <f>IF(B332="","",WEEKNUM(B332,2))</f>
        <v>0</v>
      </c>
      <c r="Q332" s="38">
        <f>IF(B332="","",IF(E332="Tip","No",IF(E332="Refund","No","Yes")))</f>
        <v>0</v>
      </c>
      <c r="R332" s="25">
        <f>IF(B332="","",IF(E332="Refund",-1,1))</f>
        <v>0</v>
      </c>
      <c r="S332" s="26">
        <f>IF(B332="","",IF(G332="",0,IF(F332="Card",ROUND(G332*CardFeePercent+CardFeeFixed,2),IF(F332="Online deposit",ROUND(G332*CardFeePercent+CardFeeFixed,2),0))))</f>
        <v>0</v>
      </c>
      <c r="T332" s="26">
        <f>IF(B332="","",ROUND(IF(G332="",0,G332)*R332-S332,2))</f>
        <v>0</v>
      </c>
      <c r="U332" s="38">
        <f>IF(B332="","",IF(E332="Tip","Yes","No"))</f>
        <v>0</v>
      </c>
      <c r="V332" s="15">
        <f>IF(B332="","",IF(H332&lt;&gt;"","Sale "&amp;H332,IF(I332&lt;&gt;"","Booking "&amp;I332,IF(E332="Tip","Stylist","Unapplied"))))</f>
        <v>0</v>
      </c>
      <c r="W332" s="39">
        <f>IF(B332="","",IF(G332="","Add - no amount yet",IF(E332="","Add - what was this for?",IF(IF(H332="",FALSE,COUNTIF(Sales!$A$5:$A$1204,H332)=0),"Missing - no sale with that ID",IF(IF(I332="",FALSE,COUNTIF(Appointments!$A$5:$A$1204,I332)=0),"Missing - no booking with that ID",IF(IF(E332="Tip",J332="",FALSE),"Assign - whose tip is it?",IF(IF(E332="Deposit",IF(H332="",I332="",FALSE),FALSE),"Check - deposit not tied to a booking",IF(M332="No","Due - not reconciled yet","OK"))))))))</f>
        <v>0</v>
      </c>
    </row>
    <row r="333" spans="1:23">
      <c r="A333" s="28">
        <f>IF(B333="","",PaymentPrefix&amp;TEXT(ROW()-4,"0000"))</f>
        <v>0</v>
      </c>
      <c r="D333" s="15">
        <f>IF(C333="","",IFERROR(INDEX(Clients!$B$5:$B$504,MATCH(C333,Clients!$A$5:$A$504,0)),"Walk-in"))</f>
        <v>0</v>
      </c>
      <c r="K333" s="15">
        <f>IF(J333="","",IFERROR(INDEX(Staff!$B$5:$B$44,MATCH(J333,Staff!$A$5:$A$44,0)),""))</f>
        <v>0</v>
      </c>
      <c r="O333" s="15">
        <f>IF(B333="","",TEXT(B333,"yyyy-mm"))</f>
        <v>0</v>
      </c>
      <c r="P333" s="25">
        <f>IF(B333="","",WEEKNUM(B333,2))</f>
        <v>0</v>
      </c>
      <c r="Q333" s="38">
        <f>IF(B333="","",IF(E333="Tip","No",IF(E333="Refund","No","Yes")))</f>
        <v>0</v>
      </c>
      <c r="R333" s="25">
        <f>IF(B333="","",IF(E333="Refund",-1,1))</f>
        <v>0</v>
      </c>
      <c r="S333" s="26">
        <f>IF(B333="","",IF(G333="",0,IF(F333="Card",ROUND(G333*CardFeePercent+CardFeeFixed,2),IF(F333="Online deposit",ROUND(G333*CardFeePercent+CardFeeFixed,2),0))))</f>
        <v>0</v>
      </c>
      <c r="T333" s="26">
        <f>IF(B333="","",ROUND(IF(G333="",0,G333)*R333-S333,2))</f>
        <v>0</v>
      </c>
      <c r="U333" s="38">
        <f>IF(B333="","",IF(E333="Tip","Yes","No"))</f>
        <v>0</v>
      </c>
      <c r="V333" s="15">
        <f>IF(B333="","",IF(H333&lt;&gt;"","Sale "&amp;H333,IF(I333&lt;&gt;"","Booking "&amp;I333,IF(E333="Tip","Stylist","Unapplied"))))</f>
        <v>0</v>
      </c>
      <c r="W333" s="39">
        <f>IF(B333="","",IF(G333="","Add - no amount yet",IF(E333="","Add - what was this for?",IF(IF(H333="",FALSE,COUNTIF(Sales!$A$5:$A$1204,H333)=0),"Missing - no sale with that ID",IF(IF(I333="",FALSE,COUNTIF(Appointments!$A$5:$A$1204,I333)=0),"Missing - no booking with that ID",IF(IF(E333="Tip",J333="",FALSE),"Assign - whose tip is it?",IF(IF(E333="Deposit",IF(H333="",I333="",FALSE),FALSE),"Check - deposit not tied to a booking",IF(M333="No","Due - not reconciled yet","OK"))))))))</f>
        <v>0</v>
      </c>
    </row>
    <row r="334" spans="1:23">
      <c r="A334" s="28">
        <f>IF(B334="","",PaymentPrefix&amp;TEXT(ROW()-4,"0000"))</f>
        <v>0</v>
      </c>
      <c r="D334" s="15">
        <f>IF(C334="","",IFERROR(INDEX(Clients!$B$5:$B$504,MATCH(C334,Clients!$A$5:$A$504,0)),"Walk-in"))</f>
        <v>0</v>
      </c>
      <c r="K334" s="15">
        <f>IF(J334="","",IFERROR(INDEX(Staff!$B$5:$B$44,MATCH(J334,Staff!$A$5:$A$44,0)),""))</f>
        <v>0</v>
      </c>
      <c r="O334" s="15">
        <f>IF(B334="","",TEXT(B334,"yyyy-mm"))</f>
        <v>0</v>
      </c>
      <c r="P334" s="25">
        <f>IF(B334="","",WEEKNUM(B334,2))</f>
        <v>0</v>
      </c>
      <c r="Q334" s="38">
        <f>IF(B334="","",IF(E334="Tip","No",IF(E334="Refund","No","Yes")))</f>
        <v>0</v>
      </c>
      <c r="R334" s="25">
        <f>IF(B334="","",IF(E334="Refund",-1,1))</f>
        <v>0</v>
      </c>
      <c r="S334" s="26">
        <f>IF(B334="","",IF(G334="",0,IF(F334="Card",ROUND(G334*CardFeePercent+CardFeeFixed,2),IF(F334="Online deposit",ROUND(G334*CardFeePercent+CardFeeFixed,2),0))))</f>
        <v>0</v>
      </c>
      <c r="T334" s="26">
        <f>IF(B334="","",ROUND(IF(G334="",0,G334)*R334-S334,2))</f>
        <v>0</v>
      </c>
      <c r="U334" s="38">
        <f>IF(B334="","",IF(E334="Tip","Yes","No"))</f>
        <v>0</v>
      </c>
      <c r="V334" s="15">
        <f>IF(B334="","",IF(H334&lt;&gt;"","Sale "&amp;H334,IF(I334&lt;&gt;"","Booking "&amp;I334,IF(E334="Tip","Stylist","Unapplied"))))</f>
        <v>0</v>
      </c>
      <c r="W334" s="39">
        <f>IF(B334="","",IF(G334="","Add - no amount yet",IF(E334="","Add - what was this for?",IF(IF(H334="",FALSE,COUNTIF(Sales!$A$5:$A$1204,H334)=0),"Missing - no sale with that ID",IF(IF(I334="",FALSE,COUNTIF(Appointments!$A$5:$A$1204,I334)=0),"Missing - no booking with that ID",IF(IF(E334="Tip",J334="",FALSE),"Assign - whose tip is it?",IF(IF(E334="Deposit",IF(H334="",I334="",FALSE),FALSE),"Check - deposit not tied to a booking",IF(M334="No","Due - not reconciled yet","OK"))))))))</f>
        <v>0</v>
      </c>
    </row>
    <row r="335" spans="1:23">
      <c r="A335" s="28">
        <f>IF(B335="","",PaymentPrefix&amp;TEXT(ROW()-4,"0000"))</f>
        <v>0</v>
      </c>
      <c r="D335" s="15">
        <f>IF(C335="","",IFERROR(INDEX(Clients!$B$5:$B$504,MATCH(C335,Clients!$A$5:$A$504,0)),"Walk-in"))</f>
        <v>0</v>
      </c>
      <c r="K335" s="15">
        <f>IF(J335="","",IFERROR(INDEX(Staff!$B$5:$B$44,MATCH(J335,Staff!$A$5:$A$44,0)),""))</f>
        <v>0</v>
      </c>
      <c r="O335" s="15">
        <f>IF(B335="","",TEXT(B335,"yyyy-mm"))</f>
        <v>0</v>
      </c>
      <c r="P335" s="25">
        <f>IF(B335="","",WEEKNUM(B335,2))</f>
        <v>0</v>
      </c>
      <c r="Q335" s="38">
        <f>IF(B335="","",IF(E335="Tip","No",IF(E335="Refund","No","Yes")))</f>
        <v>0</v>
      </c>
      <c r="R335" s="25">
        <f>IF(B335="","",IF(E335="Refund",-1,1))</f>
        <v>0</v>
      </c>
      <c r="S335" s="26">
        <f>IF(B335="","",IF(G335="",0,IF(F335="Card",ROUND(G335*CardFeePercent+CardFeeFixed,2),IF(F335="Online deposit",ROUND(G335*CardFeePercent+CardFeeFixed,2),0))))</f>
        <v>0</v>
      </c>
      <c r="T335" s="26">
        <f>IF(B335="","",ROUND(IF(G335="",0,G335)*R335-S335,2))</f>
        <v>0</v>
      </c>
      <c r="U335" s="38">
        <f>IF(B335="","",IF(E335="Tip","Yes","No"))</f>
        <v>0</v>
      </c>
      <c r="V335" s="15">
        <f>IF(B335="","",IF(H335&lt;&gt;"","Sale "&amp;H335,IF(I335&lt;&gt;"","Booking "&amp;I335,IF(E335="Tip","Stylist","Unapplied"))))</f>
        <v>0</v>
      </c>
      <c r="W335" s="39">
        <f>IF(B335="","",IF(G335="","Add - no amount yet",IF(E335="","Add - what was this for?",IF(IF(H335="",FALSE,COUNTIF(Sales!$A$5:$A$1204,H335)=0),"Missing - no sale with that ID",IF(IF(I335="",FALSE,COUNTIF(Appointments!$A$5:$A$1204,I335)=0),"Missing - no booking with that ID",IF(IF(E335="Tip",J335="",FALSE),"Assign - whose tip is it?",IF(IF(E335="Deposit",IF(H335="",I335="",FALSE),FALSE),"Check - deposit not tied to a booking",IF(M335="No","Due - not reconciled yet","OK"))))))))</f>
        <v>0</v>
      </c>
    </row>
    <row r="336" spans="1:23">
      <c r="A336" s="28">
        <f>IF(B336="","",PaymentPrefix&amp;TEXT(ROW()-4,"0000"))</f>
        <v>0</v>
      </c>
      <c r="D336" s="15">
        <f>IF(C336="","",IFERROR(INDEX(Clients!$B$5:$B$504,MATCH(C336,Clients!$A$5:$A$504,0)),"Walk-in"))</f>
        <v>0</v>
      </c>
      <c r="K336" s="15">
        <f>IF(J336="","",IFERROR(INDEX(Staff!$B$5:$B$44,MATCH(J336,Staff!$A$5:$A$44,0)),""))</f>
        <v>0</v>
      </c>
      <c r="O336" s="15">
        <f>IF(B336="","",TEXT(B336,"yyyy-mm"))</f>
        <v>0</v>
      </c>
      <c r="P336" s="25">
        <f>IF(B336="","",WEEKNUM(B336,2))</f>
        <v>0</v>
      </c>
      <c r="Q336" s="38">
        <f>IF(B336="","",IF(E336="Tip","No",IF(E336="Refund","No","Yes")))</f>
        <v>0</v>
      </c>
      <c r="R336" s="25">
        <f>IF(B336="","",IF(E336="Refund",-1,1))</f>
        <v>0</v>
      </c>
      <c r="S336" s="26">
        <f>IF(B336="","",IF(G336="",0,IF(F336="Card",ROUND(G336*CardFeePercent+CardFeeFixed,2),IF(F336="Online deposit",ROUND(G336*CardFeePercent+CardFeeFixed,2),0))))</f>
        <v>0</v>
      </c>
      <c r="T336" s="26">
        <f>IF(B336="","",ROUND(IF(G336="",0,G336)*R336-S336,2))</f>
        <v>0</v>
      </c>
      <c r="U336" s="38">
        <f>IF(B336="","",IF(E336="Tip","Yes","No"))</f>
        <v>0</v>
      </c>
      <c r="V336" s="15">
        <f>IF(B336="","",IF(H336&lt;&gt;"","Sale "&amp;H336,IF(I336&lt;&gt;"","Booking "&amp;I336,IF(E336="Tip","Stylist","Unapplied"))))</f>
        <v>0</v>
      </c>
      <c r="W336" s="39">
        <f>IF(B336="","",IF(G336="","Add - no amount yet",IF(E336="","Add - what was this for?",IF(IF(H336="",FALSE,COUNTIF(Sales!$A$5:$A$1204,H336)=0),"Missing - no sale with that ID",IF(IF(I336="",FALSE,COUNTIF(Appointments!$A$5:$A$1204,I336)=0),"Missing - no booking with that ID",IF(IF(E336="Tip",J336="",FALSE),"Assign - whose tip is it?",IF(IF(E336="Deposit",IF(H336="",I336="",FALSE),FALSE),"Check - deposit not tied to a booking",IF(M336="No","Due - not reconciled yet","OK"))))))))</f>
        <v>0</v>
      </c>
    </row>
    <row r="337" spans="1:23">
      <c r="A337" s="28">
        <f>IF(B337="","",PaymentPrefix&amp;TEXT(ROW()-4,"0000"))</f>
        <v>0</v>
      </c>
      <c r="D337" s="15">
        <f>IF(C337="","",IFERROR(INDEX(Clients!$B$5:$B$504,MATCH(C337,Clients!$A$5:$A$504,0)),"Walk-in"))</f>
        <v>0</v>
      </c>
      <c r="K337" s="15">
        <f>IF(J337="","",IFERROR(INDEX(Staff!$B$5:$B$44,MATCH(J337,Staff!$A$5:$A$44,0)),""))</f>
        <v>0</v>
      </c>
      <c r="O337" s="15">
        <f>IF(B337="","",TEXT(B337,"yyyy-mm"))</f>
        <v>0</v>
      </c>
      <c r="P337" s="25">
        <f>IF(B337="","",WEEKNUM(B337,2))</f>
        <v>0</v>
      </c>
      <c r="Q337" s="38">
        <f>IF(B337="","",IF(E337="Tip","No",IF(E337="Refund","No","Yes")))</f>
        <v>0</v>
      </c>
      <c r="R337" s="25">
        <f>IF(B337="","",IF(E337="Refund",-1,1))</f>
        <v>0</v>
      </c>
      <c r="S337" s="26">
        <f>IF(B337="","",IF(G337="",0,IF(F337="Card",ROUND(G337*CardFeePercent+CardFeeFixed,2),IF(F337="Online deposit",ROUND(G337*CardFeePercent+CardFeeFixed,2),0))))</f>
        <v>0</v>
      </c>
      <c r="T337" s="26">
        <f>IF(B337="","",ROUND(IF(G337="",0,G337)*R337-S337,2))</f>
        <v>0</v>
      </c>
      <c r="U337" s="38">
        <f>IF(B337="","",IF(E337="Tip","Yes","No"))</f>
        <v>0</v>
      </c>
      <c r="V337" s="15">
        <f>IF(B337="","",IF(H337&lt;&gt;"","Sale "&amp;H337,IF(I337&lt;&gt;"","Booking "&amp;I337,IF(E337="Tip","Stylist","Unapplied"))))</f>
        <v>0</v>
      </c>
      <c r="W337" s="39">
        <f>IF(B337="","",IF(G337="","Add - no amount yet",IF(E337="","Add - what was this for?",IF(IF(H337="",FALSE,COUNTIF(Sales!$A$5:$A$1204,H337)=0),"Missing - no sale with that ID",IF(IF(I337="",FALSE,COUNTIF(Appointments!$A$5:$A$1204,I337)=0),"Missing - no booking with that ID",IF(IF(E337="Tip",J337="",FALSE),"Assign - whose tip is it?",IF(IF(E337="Deposit",IF(H337="",I337="",FALSE),FALSE),"Check - deposit not tied to a booking",IF(M337="No","Due - not reconciled yet","OK"))))))))</f>
        <v>0</v>
      </c>
    </row>
    <row r="338" spans="1:23">
      <c r="A338" s="28">
        <f>IF(B338="","",PaymentPrefix&amp;TEXT(ROW()-4,"0000"))</f>
        <v>0</v>
      </c>
      <c r="D338" s="15">
        <f>IF(C338="","",IFERROR(INDEX(Clients!$B$5:$B$504,MATCH(C338,Clients!$A$5:$A$504,0)),"Walk-in"))</f>
        <v>0</v>
      </c>
      <c r="K338" s="15">
        <f>IF(J338="","",IFERROR(INDEX(Staff!$B$5:$B$44,MATCH(J338,Staff!$A$5:$A$44,0)),""))</f>
        <v>0</v>
      </c>
      <c r="O338" s="15">
        <f>IF(B338="","",TEXT(B338,"yyyy-mm"))</f>
        <v>0</v>
      </c>
      <c r="P338" s="25">
        <f>IF(B338="","",WEEKNUM(B338,2))</f>
        <v>0</v>
      </c>
      <c r="Q338" s="38">
        <f>IF(B338="","",IF(E338="Tip","No",IF(E338="Refund","No","Yes")))</f>
        <v>0</v>
      </c>
      <c r="R338" s="25">
        <f>IF(B338="","",IF(E338="Refund",-1,1))</f>
        <v>0</v>
      </c>
      <c r="S338" s="26">
        <f>IF(B338="","",IF(G338="",0,IF(F338="Card",ROUND(G338*CardFeePercent+CardFeeFixed,2),IF(F338="Online deposit",ROUND(G338*CardFeePercent+CardFeeFixed,2),0))))</f>
        <v>0</v>
      </c>
      <c r="T338" s="26">
        <f>IF(B338="","",ROUND(IF(G338="",0,G338)*R338-S338,2))</f>
        <v>0</v>
      </c>
      <c r="U338" s="38">
        <f>IF(B338="","",IF(E338="Tip","Yes","No"))</f>
        <v>0</v>
      </c>
      <c r="V338" s="15">
        <f>IF(B338="","",IF(H338&lt;&gt;"","Sale "&amp;H338,IF(I338&lt;&gt;"","Booking "&amp;I338,IF(E338="Tip","Stylist","Unapplied"))))</f>
        <v>0</v>
      </c>
      <c r="W338" s="39">
        <f>IF(B338="","",IF(G338="","Add - no amount yet",IF(E338="","Add - what was this for?",IF(IF(H338="",FALSE,COUNTIF(Sales!$A$5:$A$1204,H338)=0),"Missing - no sale with that ID",IF(IF(I338="",FALSE,COUNTIF(Appointments!$A$5:$A$1204,I338)=0),"Missing - no booking with that ID",IF(IF(E338="Tip",J338="",FALSE),"Assign - whose tip is it?",IF(IF(E338="Deposit",IF(H338="",I338="",FALSE),FALSE),"Check - deposit not tied to a booking",IF(M338="No","Due - not reconciled yet","OK"))))))))</f>
        <v>0</v>
      </c>
    </row>
    <row r="339" spans="1:23">
      <c r="A339" s="28">
        <f>IF(B339="","",PaymentPrefix&amp;TEXT(ROW()-4,"0000"))</f>
        <v>0</v>
      </c>
      <c r="D339" s="15">
        <f>IF(C339="","",IFERROR(INDEX(Clients!$B$5:$B$504,MATCH(C339,Clients!$A$5:$A$504,0)),"Walk-in"))</f>
        <v>0</v>
      </c>
      <c r="K339" s="15">
        <f>IF(J339="","",IFERROR(INDEX(Staff!$B$5:$B$44,MATCH(J339,Staff!$A$5:$A$44,0)),""))</f>
        <v>0</v>
      </c>
      <c r="O339" s="15">
        <f>IF(B339="","",TEXT(B339,"yyyy-mm"))</f>
        <v>0</v>
      </c>
      <c r="P339" s="25">
        <f>IF(B339="","",WEEKNUM(B339,2))</f>
        <v>0</v>
      </c>
      <c r="Q339" s="38">
        <f>IF(B339="","",IF(E339="Tip","No",IF(E339="Refund","No","Yes")))</f>
        <v>0</v>
      </c>
      <c r="R339" s="25">
        <f>IF(B339="","",IF(E339="Refund",-1,1))</f>
        <v>0</v>
      </c>
      <c r="S339" s="26">
        <f>IF(B339="","",IF(G339="",0,IF(F339="Card",ROUND(G339*CardFeePercent+CardFeeFixed,2),IF(F339="Online deposit",ROUND(G339*CardFeePercent+CardFeeFixed,2),0))))</f>
        <v>0</v>
      </c>
      <c r="T339" s="26">
        <f>IF(B339="","",ROUND(IF(G339="",0,G339)*R339-S339,2))</f>
        <v>0</v>
      </c>
      <c r="U339" s="38">
        <f>IF(B339="","",IF(E339="Tip","Yes","No"))</f>
        <v>0</v>
      </c>
      <c r="V339" s="15">
        <f>IF(B339="","",IF(H339&lt;&gt;"","Sale "&amp;H339,IF(I339&lt;&gt;"","Booking "&amp;I339,IF(E339="Tip","Stylist","Unapplied"))))</f>
        <v>0</v>
      </c>
      <c r="W339" s="39">
        <f>IF(B339="","",IF(G339="","Add - no amount yet",IF(E339="","Add - what was this for?",IF(IF(H339="",FALSE,COUNTIF(Sales!$A$5:$A$1204,H339)=0),"Missing - no sale with that ID",IF(IF(I339="",FALSE,COUNTIF(Appointments!$A$5:$A$1204,I339)=0),"Missing - no booking with that ID",IF(IF(E339="Tip",J339="",FALSE),"Assign - whose tip is it?",IF(IF(E339="Deposit",IF(H339="",I339="",FALSE),FALSE),"Check - deposit not tied to a booking",IF(M339="No","Due - not reconciled yet","OK"))))))))</f>
        <v>0</v>
      </c>
    </row>
    <row r="340" spans="1:23">
      <c r="A340" s="28">
        <f>IF(B340="","",PaymentPrefix&amp;TEXT(ROW()-4,"0000"))</f>
        <v>0</v>
      </c>
      <c r="D340" s="15">
        <f>IF(C340="","",IFERROR(INDEX(Clients!$B$5:$B$504,MATCH(C340,Clients!$A$5:$A$504,0)),"Walk-in"))</f>
        <v>0</v>
      </c>
      <c r="K340" s="15">
        <f>IF(J340="","",IFERROR(INDEX(Staff!$B$5:$B$44,MATCH(J340,Staff!$A$5:$A$44,0)),""))</f>
        <v>0</v>
      </c>
      <c r="O340" s="15">
        <f>IF(B340="","",TEXT(B340,"yyyy-mm"))</f>
        <v>0</v>
      </c>
      <c r="P340" s="25">
        <f>IF(B340="","",WEEKNUM(B340,2))</f>
        <v>0</v>
      </c>
      <c r="Q340" s="38">
        <f>IF(B340="","",IF(E340="Tip","No",IF(E340="Refund","No","Yes")))</f>
        <v>0</v>
      </c>
      <c r="R340" s="25">
        <f>IF(B340="","",IF(E340="Refund",-1,1))</f>
        <v>0</v>
      </c>
      <c r="S340" s="26">
        <f>IF(B340="","",IF(G340="",0,IF(F340="Card",ROUND(G340*CardFeePercent+CardFeeFixed,2),IF(F340="Online deposit",ROUND(G340*CardFeePercent+CardFeeFixed,2),0))))</f>
        <v>0</v>
      </c>
      <c r="T340" s="26">
        <f>IF(B340="","",ROUND(IF(G340="",0,G340)*R340-S340,2))</f>
        <v>0</v>
      </c>
      <c r="U340" s="38">
        <f>IF(B340="","",IF(E340="Tip","Yes","No"))</f>
        <v>0</v>
      </c>
      <c r="V340" s="15">
        <f>IF(B340="","",IF(H340&lt;&gt;"","Sale "&amp;H340,IF(I340&lt;&gt;"","Booking "&amp;I340,IF(E340="Tip","Stylist","Unapplied"))))</f>
        <v>0</v>
      </c>
      <c r="W340" s="39">
        <f>IF(B340="","",IF(G340="","Add - no amount yet",IF(E340="","Add - what was this for?",IF(IF(H340="",FALSE,COUNTIF(Sales!$A$5:$A$1204,H340)=0),"Missing - no sale with that ID",IF(IF(I340="",FALSE,COUNTIF(Appointments!$A$5:$A$1204,I340)=0),"Missing - no booking with that ID",IF(IF(E340="Tip",J340="",FALSE),"Assign - whose tip is it?",IF(IF(E340="Deposit",IF(H340="",I340="",FALSE),FALSE),"Check - deposit not tied to a booking",IF(M340="No","Due - not reconciled yet","OK"))))))))</f>
        <v>0</v>
      </c>
    </row>
    <row r="341" spans="1:23">
      <c r="A341" s="28">
        <f>IF(B341="","",PaymentPrefix&amp;TEXT(ROW()-4,"0000"))</f>
        <v>0</v>
      </c>
      <c r="D341" s="15">
        <f>IF(C341="","",IFERROR(INDEX(Clients!$B$5:$B$504,MATCH(C341,Clients!$A$5:$A$504,0)),"Walk-in"))</f>
        <v>0</v>
      </c>
      <c r="K341" s="15">
        <f>IF(J341="","",IFERROR(INDEX(Staff!$B$5:$B$44,MATCH(J341,Staff!$A$5:$A$44,0)),""))</f>
        <v>0</v>
      </c>
      <c r="O341" s="15">
        <f>IF(B341="","",TEXT(B341,"yyyy-mm"))</f>
        <v>0</v>
      </c>
      <c r="P341" s="25">
        <f>IF(B341="","",WEEKNUM(B341,2))</f>
        <v>0</v>
      </c>
      <c r="Q341" s="38">
        <f>IF(B341="","",IF(E341="Tip","No",IF(E341="Refund","No","Yes")))</f>
        <v>0</v>
      </c>
      <c r="R341" s="25">
        <f>IF(B341="","",IF(E341="Refund",-1,1))</f>
        <v>0</v>
      </c>
      <c r="S341" s="26">
        <f>IF(B341="","",IF(G341="",0,IF(F341="Card",ROUND(G341*CardFeePercent+CardFeeFixed,2),IF(F341="Online deposit",ROUND(G341*CardFeePercent+CardFeeFixed,2),0))))</f>
        <v>0</v>
      </c>
      <c r="T341" s="26">
        <f>IF(B341="","",ROUND(IF(G341="",0,G341)*R341-S341,2))</f>
        <v>0</v>
      </c>
      <c r="U341" s="38">
        <f>IF(B341="","",IF(E341="Tip","Yes","No"))</f>
        <v>0</v>
      </c>
      <c r="V341" s="15">
        <f>IF(B341="","",IF(H341&lt;&gt;"","Sale "&amp;H341,IF(I341&lt;&gt;"","Booking "&amp;I341,IF(E341="Tip","Stylist","Unapplied"))))</f>
        <v>0</v>
      </c>
      <c r="W341" s="39">
        <f>IF(B341="","",IF(G341="","Add - no amount yet",IF(E341="","Add - what was this for?",IF(IF(H341="",FALSE,COUNTIF(Sales!$A$5:$A$1204,H341)=0),"Missing - no sale with that ID",IF(IF(I341="",FALSE,COUNTIF(Appointments!$A$5:$A$1204,I341)=0),"Missing - no booking with that ID",IF(IF(E341="Tip",J341="",FALSE),"Assign - whose tip is it?",IF(IF(E341="Deposit",IF(H341="",I341="",FALSE),FALSE),"Check - deposit not tied to a booking",IF(M341="No","Due - not reconciled yet","OK"))))))))</f>
        <v>0</v>
      </c>
    </row>
    <row r="342" spans="1:23">
      <c r="A342" s="28">
        <f>IF(B342="","",PaymentPrefix&amp;TEXT(ROW()-4,"0000"))</f>
        <v>0</v>
      </c>
      <c r="D342" s="15">
        <f>IF(C342="","",IFERROR(INDEX(Clients!$B$5:$B$504,MATCH(C342,Clients!$A$5:$A$504,0)),"Walk-in"))</f>
        <v>0</v>
      </c>
      <c r="K342" s="15">
        <f>IF(J342="","",IFERROR(INDEX(Staff!$B$5:$B$44,MATCH(J342,Staff!$A$5:$A$44,0)),""))</f>
        <v>0</v>
      </c>
      <c r="O342" s="15">
        <f>IF(B342="","",TEXT(B342,"yyyy-mm"))</f>
        <v>0</v>
      </c>
      <c r="P342" s="25">
        <f>IF(B342="","",WEEKNUM(B342,2))</f>
        <v>0</v>
      </c>
      <c r="Q342" s="38">
        <f>IF(B342="","",IF(E342="Tip","No",IF(E342="Refund","No","Yes")))</f>
        <v>0</v>
      </c>
      <c r="R342" s="25">
        <f>IF(B342="","",IF(E342="Refund",-1,1))</f>
        <v>0</v>
      </c>
      <c r="S342" s="26">
        <f>IF(B342="","",IF(G342="",0,IF(F342="Card",ROUND(G342*CardFeePercent+CardFeeFixed,2),IF(F342="Online deposit",ROUND(G342*CardFeePercent+CardFeeFixed,2),0))))</f>
        <v>0</v>
      </c>
      <c r="T342" s="26">
        <f>IF(B342="","",ROUND(IF(G342="",0,G342)*R342-S342,2))</f>
        <v>0</v>
      </c>
      <c r="U342" s="38">
        <f>IF(B342="","",IF(E342="Tip","Yes","No"))</f>
        <v>0</v>
      </c>
      <c r="V342" s="15">
        <f>IF(B342="","",IF(H342&lt;&gt;"","Sale "&amp;H342,IF(I342&lt;&gt;"","Booking "&amp;I342,IF(E342="Tip","Stylist","Unapplied"))))</f>
        <v>0</v>
      </c>
      <c r="W342" s="39">
        <f>IF(B342="","",IF(G342="","Add - no amount yet",IF(E342="","Add - what was this for?",IF(IF(H342="",FALSE,COUNTIF(Sales!$A$5:$A$1204,H342)=0),"Missing - no sale with that ID",IF(IF(I342="",FALSE,COUNTIF(Appointments!$A$5:$A$1204,I342)=0),"Missing - no booking with that ID",IF(IF(E342="Tip",J342="",FALSE),"Assign - whose tip is it?",IF(IF(E342="Deposit",IF(H342="",I342="",FALSE),FALSE),"Check - deposit not tied to a booking",IF(M342="No","Due - not reconciled yet","OK"))))))))</f>
        <v>0</v>
      </c>
    </row>
    <row r="343" spans="1:23">
      <c r="A343" s="28">
        <f>IF(B343="","",PaymentPrefix&amp;TEXT(ROW()-4,"0000"))</f>
        <v>0</v>
      </c>
      <c r="D343" s="15">
        <f>IF(C343="","",IFERROR(INDEX(Clients!$B$5:$B$504,MATCH(C343,Clients!$A$5:$A$504,0)),"Walk-in"))</f>
        <v>0</v>
      </c>
      <c r="K343" s="15">
        <f>IF(J343="","",IFERROR(INDEX(Staff!$B$5:$B$44,MATCH(J343,Staff!$A$5:$A$44,0)),""))</f>
        <v>0</v>
      </c>
      <c r="O343" s="15">
        <f>IF(B343="","",TEXT(B343,"yyyy-mm"))</f>
        <v>0</v>
      </c>
      <c r="P343" s="25">
        <f>IF(B343="","",WEEKNUM(B343,2))</f>
        <v>0</v>
      </c>
      <c r="Q343" s="38">
        <f>IF(B343="","",IF(E343="Tip","No",IF(E343="Refund","No","Yes")))</f>
        <v>0</v>
      </c>
      <c r="R343" s="25">
        <f>IF(B343="","",IF(E343="Refund",-1,1))</f>
        <v>0</v>
      </c>
      <c r="S343" s="26">
        <f>IF(B343="","",IF(G343="",0,IF(F343="Card",ROUND(G343*CardFeePercent+CardFeeFixed,2),IF(F343="Online deposit",ROUND(G343*CardFeePercent+CardFeeFixed,2),0))))</f>
        <v>0</v>
      </c>
      <c r="T343" s="26">
        <f>IF(B343="","",ROUND(IF(G343="",0,G343)*R343-S343,2))</f>
        <v>0</v>
      </c>
      <c r="U343" s="38">
        <f>IF(B343="","",IF(E343="Tip","Yes","No"))</f>
        <v>0</v>
      </c>
      <c r="V343" s="15">
        <f>IF(B343="","",IF(H343&lt;&gt;"","Sale "&amp;H343,IF(I343&lt;&gt;"","Booking "&amp;I343,IF(E343="Tip","Stylist","Unapplied"))))</f>
        <v>0</v>
      </c>
      <c r="W343" s="39">
        <f>IF(B343="","",IF(G343="","Add - no amount yet",IF(E343="","Add - what was this for?",IF(IF(H343="",FALSE,COUNTIF(Sales!$A$5:$A$1204,H343)=0),"Missing - no sale with that ID",IF(IF(I343="",FALSE,COUNTIF(Appointments!$A$5:$A$1204,I343)=0),"Missing - no booking with that ID",IF(IF(E343="Tip",J343="",FALSE),"Assign - whose tip is it?",IF(IF(E343="Deposit",IF(H343="",I343="",FALSE),FALSE),"Check - deposit not tied to a booking",IF(M343="No","Due - not reconciled yet","OK"))))))))</f>
        <v>0</v>
      </c>
    </row>
    <row r="344" spans="1:23">
      <c r="A344" s="28">
        <f>IF(B344="","",PaymentPrefix&amp;TEXT(ROW()-4,"0000"))</f>
        <v>0</v>
      </c>
      <c r="D344" s="15">
        <f>IF(C344="","",IFERROR(INDEX(Clients!$B$5:$B$504,MATCH(C344,Clients!$A$5:$A$504,0)),"Walk-in"))</f>
        <v>0</v>
      </c>
      <c r="K344" s="15">
        <f>IF(J344="","",IFERROR(INDEX(Staff!$B$5:$B$44,MATCH(J344,Staff!$A$5:$A$44,0)),""))</f>
        <v>0</v>
      </c>
      <c r="O344" s="15">
        <f>IF(B344="","",TEXT(B344,"yyyy-mm"))</f>
        <v>0</v>
      </c>
      <c r="P344" s="25">
        <f>IF(B344="","",WEEKNUM(B344,2))</f>
        <v>0</v>
      </c>
      <c r="Q344" s="38">
        <f>IF(B344="","",IF(E344="Tip","No",IF(E344="Refund","No","Yes")))</f>
        <v>0</v>
      </c>
      <c r="R344" s="25">
        <f>IF(B344="","",IF(E344="Refund",-1,1))</f>
        <v>0</v>
      </c>
      <c r="S344" s="26">
        <f>IF(B344="","",IF(G344="",0,IF(F344="Card",ROUND(G344*CardFeePercent+CardFeeFixed,2),IF(F344="Online deposit",ROUND(G344*CardFeePercent+CardFeeFixed,2),0))))</f>
        <v>0</v>
      </c>
      <c r="T344" s="26">
        <f>IF(B344="","",ROUND(IF(G344="",0,G344)*R344-S344,2))</f>
        <v>0</v>
      </c>
      <c r="U344" s="38">
        <f>IF(B344="","",IF(E344="Tip","Yes","No"))</f>
        <v>0</v>
      </c>
      <c r="V344" s="15">
        <f>IF(B344="","",IF(H344&lt;&gt;"","Sale "&amp;H344,IF(I344&lt;&gt;"","Booking "&amp;I344,IF(E344="Tip","Stylist","Unapplied"))))</f>
        <v>0</v>
      </c>
      <c r="W344" s="39">
        <f>IF(B344="","",IF(G344="","Add - no amount yet",IF(E344="","Add - what was this for?",IF(IF(H344="",FALSE,COUNTIF(Sales!$A$5:$A$1204,H344)=0),"Missing - no sale with that ID",IF(IF(I344="",FALSE,COUNTIF(Appointments!$A$5:$A$1204,I344)=0),"Missing - no booking with that ID",IF(IF(E344="Tip",J344="",FALSE),"Assign - whose tip is it?",IF(IF(E344="Deposit",IF(H344="",I344="",FALSE),FALSE),"Check - deposit not tied to a booking",IF(M344="No","Due - not reconciled yet","OK"))))))))</f>
        <v>0</v>
      </c>
    </row>
    <row r="345" spans="1:23">
      <c r="A345" s="28">
        <f>IF(B345="","",PaymentPrefix&amp;TEXT(ROW()-4,"0000"))</f>
        <v>0</v>
      </c>
      <c r="D345" s="15">
        <f>IF(C345="","",IFERROR(INDEX(Clients!$B$5:$B$504,MATCH(C345,Clients!$A$5:$A$504,0)),"Walk-in"))</f>
        <v>0</v>
      </c>
      <c r="K345" s="15">
        <f>IF(J345="","",IFERROR(INDEX(Staff!$B$5:$B$44,MATCH(J345,Staff!$A$5:$A$44,0)),""))</f>
        <v>0</v>
      </c>
      <c r="O345" s="15">
        <f>IF(B345="","",TEXT(B345,"yyyy-mm"))</f>
        <v>0</v>
      </c>
      <c r="P345" s="25">
        <f>IF(B345="","",WEEKNUM(B345,2))</f>
        <v>0</v>
      </c>
      <c r="Q345" s="38">
        <f>IF(B345="","",IF(E345="Tip","No",IF(E345="Refund","No","Yes")))</f>
        <v>0</v>
      </c>
      <c r="R345" s="25">
        <f>IF(B345="","",IF(E345="Refund",-1,1))</f>
        <v>0</v>
      </c>
      <c r="S345" s="26">
        <f>IF(B345="","",IF(G345="",0,IF(F345="Card",ROUND(G345*CardFeePercent+CardFeeFixed,2),IF(F345="Online deposit",ROUND(G345*CardFeePercent+CardFeeFixed,2),0))))</f>
        <v>0</v>
      </c>
      <c r="T345" s="26">
        <f>IF(B345="","",ROUND(IF(G345="",0,G345)*R345-S345,2))</f>
        <v>0</v>
      </c>
      <c r="U345" s="38">
        <f>IF(B345="","",IF(E345="Tip","Yes","No"))</f>
        <v>0</v>
      </c>
      <c r="V345" s="15">
        <f>IF(B345="","",IF(H345&lt;&gt;"","Sale "&amp;H345,IF(I345&lt;&gt;"","Booking "&amp;I345,IF(E345="Tip","Stylist","Unapplied"))))</f>
        <v>0</v>
      </c>
      <c r="W345" s="39">
        <f>IF(B345="","",IF(G345="","Add - no amount yet",IF(E345="","Add - what was this for?",IF(IF(H345="",FALSE,COUNTIF(Sales!$A$5:$A$1204,H345)=0),"Missing - no sale with that ID",IF(IF(I345="",FALSE,COUNTIF(Appointments!$A$5:$A$1204,I345)=0),"Missing - no booking with that ID",IF(IF(E345="Tip",J345="",FALSE),"Assign - whose tip is it?",IF(IF(E345="Deposit",IF(H345="",I345="",FALSE),FALSE),"Check - deposit not tied to a booking",IF(M345="No","Due - not reconciled yet","OK"))))))))</f>
        <v>0</v>
      </c>
    </row>
    <row r="346" spans="1:23">
      <c r="A346" s="28">
        <f>IF(B346="","",PaymentPrefix&amp;TEXT(ROW()-4,"0000"))</f>
        <v>0</v>
      </c>
      <c r="D346" s="15">
        <f>IF(C346="","",IFERROR(INDEX(Clients!$B$5:$B$504,MATCH(C346,Clients!$A$5:$A$504,0)),"Walk-in"))</f>
        <v>0</v>
      </c>
      <c r="K346" s="15">
        <f>IF(J346="","",IFERROR(INDEX(Staff!$B$5:$B$44,MATCH(J346,Staff!$A$5:$A$44,0)),""))</f>
        <v>0</v>
      </c>
      <c r="O346" s="15">
        <f>IF(B346="","",TEXT(B346,"yyyy-mm"))</f>
        <v>0</v>
      </c>
      <c r="P346" s="25">
        <f>IF(B346="","",WEEKNUM(B346,2))</f>
        <v>0</v>
      </c>
      <c r="Q346" s="38">
        <f>IF(B346="","",IF(E346="Tip","No",IF(E346="Refund","No","Yes")))</f>
        <v>0</v>
      </c>
      <c r="R346" s="25">
        <f>IF(B346="","",IF(E346="Refund",-1,1))</f>
        <v>0</v>
      </c>
      <c r="S346" s="26">
        <f>IF(B346="","",IF(G346="",0,IF(F346="Card",ROUND(G346*CardFeePercent+CardFeeFixed,2),IF(F346="Online deposit",ROUND(G346*CardFeePercent+CardFeeFixed,2),0))))</f>
        <v>0</v>
      </c>
      <c r="T346" s="26">
        <f>IF(B346="","",ROUND(IF(G346="",0,G346)*R346-S346,2))</f>
        <v>0</v>
      </c>
      <c r="U346" s="38">
        <f>IF(B346="","",IF(E346="Tip","Yes","No"))</f>
        <v>0</v>
      </c>
      <c r="V346" s="15">
        <f>IF(B346="","",IF(H346&lt;&gt;"","Sale "&amp;H346,IF(I346&lt;&gt;"","Booking "&amp;I346,IF(E346="Tip","Stylist","Unapplied"))))</f>
        <v>0</v>
      </c>
      <c r="W346" s="39">
        <f>IF(B346="","",IF(G346="","Add - no amount yet",IF(E346="","Add - what was this for?",IF(IF(H346="",FALSE,COUNTIF(Sales!$A$5:$A$1204,H346)=0),"Missing - no sale with that ID",IF(IF(I346="",FALSE,COUNTIF(Appointments!$A$5:$A$1204,I346)=0),"Missing - no booking with that ID",IF(IF(E346="Tip",J346="",FALSE),"Assign - whose tip is it?",IF(IF(E346="Deposit",IF(H346="",I346="",FALSE),FALSE),"Check - deposit not tied to a booking",IF(M346="No","Due - not reconciled yet","OK"))))))))</f>
        <v>0</v>
      </c>
    </row>
    <row r="347" spans="1:23">
      <c r="A347" s="28">
        <f>IF(B347="","",PaymentPrefix&amp;TEXT(ROW()-4,"0000"))</f>
        <v>0</v>
      </c>
      <c r="D347" s="15">
        <f>IF(C347="","",IFERROR(INDEX(Clients!$B$5:$B$504,MATCH(C347,Clients!$A$5:$A$504,0)),"Walk-in"))</f>
        <v>0</v>
      </c>
      <c r="K347" s="15">
        <f>IF(J347="","",IFERROR(INDEX(Staff!$B$5:$B$44,MATCH(J347,Staff!$A$5:$A$44,0)),""))</f>
        <v>0</v>
      </c>
      <c r="O347" s="15">
        <f>IF(B347="","",TEXT(B347,"yyyy-mm"))</f>
        <v>0</v>
      </c>
      <c r="P347" s="25">
        <f>IF(B347="","",WEEKNUM(B347,2))</f>
        <v>0</v>
      </c>
      <c r="Q347" s="38">
        <f>IF(B347="","",IF(E347="Tip","No",IF(E347="Refund","No","Yes")))</f>
        <v>0</v>
      </c>
      <c r="R347" s="25">
        <f>IF(B347="","",IF(E347="Refund",-1,1))</f>
        <v>0</v>
      </c>
      <c r="S347" s="26">
        <f>IF(B347="","",IF(G347="",0,IF(F347="Card",ROUND(G347*CardFeePercent+CardFeeFixed,2),IF(F347="Online deposit",ROUND(G347*CardFeePercent+CardFeeFixed,2),0))))</f>
        <v>0</v>
      </c>
      <c r="T347" s="26">
        <f>IF(B347="","",ROUND(IF(G347="",0,G347)*R347-S347,2))</f>
        <v>0</v>
      </c>
      <c r="U347" s="38">
        <f>IF(B347="","",IF(E347="Tip","Yes","No"))</f>
        <v>0</v>
      </c>
      <c r="V347" s="15">
        <f>IF(B347="","",IF(H347&lt;&gt;"","Sale "&amp;H347,IF(I347&lt;&gt;"","Booking "&amp;I347,IF(E347="Tip","Stylist","Unapplied"))))</f>
        <v>0</v>
      </c>
      <c r="W347" s="39">
        <f>IF(B347="","",IF(G347="","Add - no amount yet",IF(E347="","Add - what was this for?",IF(IF(H347="",FALSE,COUNTIF(Sales!$A$5:$A$1204,H347)=0),"Missing - no sale with that ID",IF(IF(I347="",FALSE,COUNTIF(Appointments!$A$5:$A$1204,I347)=0),"Missing - no booking with that ID",IF(IF(E347="Tip",J347="",FALSE),"Assign - whose tip is it?",IF(IF(E347="Deposit",IF(H347="",I347="",FALSE),FALSE),"Check - deposit not tied to a booking",IF(M347="No","Due - not reconciled yet","OK"))))))))</f>
        <v>0</v>
      </c>
    </row>
    <row r="348" spans="1:23">
      <c r="A348" s="28">
        <f>IF(B348="","",PaymentPrefix&amp;TEXT(ROW()-4,"0000"))</f>
        <v>0</v>
      </c>
      <c r="D348" s="15">
        <f>IF(C348="","",IFERROR(INDEX(Clients!$B$5:$B$504,MATCH(C348,Clients!$A$5:$A$504,0)),"Walk-in"))</f>
        <v>0</v>
      </c>
      <c r="K348" s="15">
        <f>IF(J348="","",IFERROR(INDEX(Staff!$B$5:$B$44,MATCH(J348,Staff!$A$5:$A$44,0)),""))</f>
        <v>0</v>
      </c>
      <c r="O348" s="15">
        <f>IF(B348="","",TEXT(B348,"yyyy-mm"))</f>
        <v>0</v>
      </c>
      <c r="P348" s="25">
        <f>IF(B348="","",WEEKNUM(B348,2))</f>
        <v>0</v>
      </c>
      <c r="Q348" s="38">
        <f>IF(B348="","",IF(E348="Tip","No",IF(E348="Refund","No","Yes")))</f>
        <v>0</v>
      </c>
      <c r="R348" s="25">
        <f>IF(B348="","",IF(E348="Refund",-1,1))</f>
        <v>0</v>
      </c>
      <c r="S348" s="26">
        <f>IF(B348="","",IF(G348="",0,IF(F348="Card",ROUND(G348*CardFeePercent+CardFeeFixed,2),IF(F348="Online deposit",ROUND(G348*CardFeePercent+CardFeeFixed,2),0))))</f>
        <v>0</v>
      </c>
      <c r="T348" s="26">
        <f>IF(B348="","",ROUND(IF(G348="",0,G348)*R348-S348,2))</f>
        <v>0</v>
      </c>
      <c r="U348" s="38">
        <f>IF(B348="","",IF(E348="Tip","Yes","No"))</f>
        <v>0</v>
      </c>
      <c r="V348" s="15">
        <f>IF(B348="","",IF(H348&lt;&gt;"","Sale "&amp;H348,IF(I348&lt;&gt;"","Booking "&amp;I348,IF(E348="Tip","Stylist","Unapplied"))))</f>
        <v>0</v>
      </c>
      <c r="W348" s="39">
        <f>IF(B348="","",IF(G348="","Add - no amount yet",IF(E348="","Add - what was this for?",IF(IF(H348="",FALSE,COUNTIF(Sales!$A$5:$A$1204,H348)=0),"Missing - no sale with that ID",IF(IF(I348="",FALSE,COUNTIF(Appointments!$A$5:$A$1204,I348)=0),"Missing - no booking with that ID",IF(IF(E348="Tip",J348="",FALSE),"Assign - whose tip is it?",IF(IF(E348="Deposit",IF(H348="",I348="",FALSE),FALSE),"Check - deposit not tied to a booking",IF(M348="No","Due - not reconciled yet","OK"))))))))</f>
        <v>0</v>
      </c>
    </row>
    <row r="349" spans="1:23">
      <c r="A349" s="28">
        <f>IF(B349="","",PaymentPrefix&amp;TEXT(ROW()-4,"0000"))</f>
        <v>0</v>
      </c>
      <c r="D349" s="15">
        <f>IF(C349="","",IFERROR(INDEX(Clients!$B$5:$B$504,MATCH(C349,Clients!$A$5:$A$504,0)),"Walk-in"))</f>
        <v>0</v>
      </c>
      <c r="K349" s="15">
        <f>IF(J349="","",IFERROR(INDEX(Staff!$B$5:$B$44,MATCH(J349,Staff!$A$5:$A$44,0)),""))</f>
        <v>0</v>
      </c>
      <c r="O349" s="15">
        <f>IF(B349="","",TEXT(B349,"yyyy-mm"))</f>
        <v>0</v>
      </c>
      <c r="P349" s="25">
        <f>IF(B349="","",WEEKNUM(B349,2))</f>
        <v>0</v>
      </c>
      <c r="Q349" s="38">
        <f>IF(B349="","",IF(E349="Tip","No",IF(E349="Refund","No","Yes")))</f>
        <v>0</v>
      </c>
      <c r="R349" s="25">
        <f>IF(B349="","",IF(E349="Refund",-1,1))</f>
        <v>0</v>
      </c>
      <c r="S349" s="26">
        <f>IF(B349="","",IF(G349="",0,IF(F349="Card",ROUND(G349*CardFeePercent+CardFeeFixed,2),IF(F349="Online deposit",ROUND(G349*CardFeePercent+CardFeeFixed,2),0))))</f>
        <v>0</v>
      </c>
      <c r="T349" s="26">
        <f>IF(B349="","",ROUND(IF(G349="",0,G349)*R349-S349,2))</f>
        <v>0</v>
      </c>
      <c r="U349" s="38">
        <f>IF(B349="","",IF(E349="Tip","Yes","No"))</f>
        <v>0</v>
      </c>
      <c r="V349" s="15">
        <f>IF(B349="","",IF(H349&lt;&gt;"","Sale "&amp;H349,IF(I349&lt;&gt;"","Booking "&amp;I349,IF(E349="Tip","Stylist","Unapplied"))))</f>
        <v>0</v>
      </c>
      <c r="W349" s="39">
        <f>IF(B349="","",IF(G349="","Add - no amount yet",IF(E349="","Add - what was this for?",IF(IF(H349="",FALSE,COUNTIF(Sales!$A$5:$A$1204,H349)=0),"Missing - no sale with that ID",IF(IF(I349="",FALSE,COUNTIF(Appointments!$A$5:$A$1204,I349)=0),"Missing - no booking with that ID",IF(IF(E349="Tip",J349="",FALSE),"Assign - whose tip is it?",IF(IF(E349="Deposit",IF(H349="",I349="",FALSE),FALSE),"Check - deposit not tied to a booking",IF(M349="No","Due - not reconciled yet","OK"))))))))</f>
        <v>0</v>
      </c>
    </row>
    <row r="350" spans="1:23">
      <c r="A350" s="28">
        <f>IF(B350="","",PaymentPrefix&amp;TEXT(ROW()-4,"0000"))</f>
        <v>0</v>
      </c>
      <c r="D350" s="15">
        <f>IF(C350="","",IFERROR(INDEX(Clients!$B$5:$B$504,MATCH(C350,Clients!$A$5:$A$504,0)),"Walk-in"))</f>
        <v>0</v>
      </c>
      <c r="K350" s="15">
        <f>IF(J350="","",IFERROR(INDEX(Staff!$B$5:$B$44,MATCH(J350,Staff!$A$5:$A$44,0)),""))</f>
        <v>0</v>
      </c>
      <c r="O350" s="15">
        <f>IF(B350="","",TEXT(B350,"yyyy-mm"))</f>
        <v>0</v>
      </c>
      <c r="P350" s="25">
        <f>IF(B350="","",WEEKNUM(B350,2))</f>
        <v>0</v>
      </c>
      <c r="Q350" s="38">
        <f>IF(B350="","",IF(E350="Tip","No",IF(E350="Refund","No","Yes")))</f>
        <v>0</v>
      </c>
      <c r="R350" s="25">
        <f>IF(B350="","",IF(E350="Refund",-1,1))</f>
        <v>0</v>
      </c>
      <c r="S350" s="26">
        <f>IF(B350="","",IF(G350="",0,IF(F350="Card",ROUND(G350*CardFeePercent+CardFeeFixed,2),IF(F350="Online deposit",ROUND(G350*CardFeePercent+CardFeeFixed,2),0))))</f>
        <v>0</v>
      </c>
      <c r="T350" s="26">
        <f>IF(B350="","",ROUND(IF(G350="",0,G350)*R350-S350,2))</f>
        <v>0</v>
      </c>
      <c r="U350" s="38">
        <f>IF(B350="","",IF(E350="Tip","Yes","No"))</f>
        <v>0</v>
      </c>
      <c r="V350" s="15">
        <f>IF(B350="","",IF(H350&lt;&gt;"","Sale "&amp;H350,IF(I350&lt;&gt;"","Booking "&amp;I350,IF(E350="Tip","Stylist","Unapplied"))))</f>
        <v>0</v>
      </c>
      <c r="W350" s="39">
        <f>IF(B350="","",IF(G350="","Add - no amount yet",IF(E350="","Add - what was this for?",IF(IF(H350="",FALSE,COUNTIF(Sales!$A$5:$A$1204,H350)=0),"Missing - no sale with that ID",IF(IF(I350="",FALSE,COUNTIF(Appointments!$A$5:$A$1204,I350)=0),"Missing - no booking with that ID",IF(IF(E350="Tip",J350="",FALSE),"Assign - whose tip is it?",IF(IF(E350="Deposit",IF(H350="",I350="",FALSE),FALSE),"Check - deposit not tied to a booking",IF(M350="No","Due - not reconciled yet","OK"))))))))</f>
        <v>0</v>
      </c>
    </row>
    <row r="351" spans="1:23">
      <c r="A351" s="28">
        <f>IF(B351="","",PaymentPrefix&amp;TEXT(ROW()-4,"0000"))</f>
        <v>0</v>
      </c>
      <c r="D351" s="15">
        <f>IF(C351="","",IFERROR(INDEX(Clients!$B$5:$B$504,MATCH(C351,Clients!$A$5:$A$504,0)),"Walk-in"))</f>
        <v>0</v>
      </c>
      <c r="K351" s="15">
        <f>IF(J351="","",IFERROR(INDEX(Staff!$B$5:$B$44,MATCH(J351,Staff!$A$5:$A$44,0)),""))</f>
        <v>0</v>
      </c>
      <c r="O351" s="15">
        <f>IF(B351="","",TEXT(B351,"yyyy-mm"))</f>
        <v>0</v>
      </c>
      <c r="P351" s="25">
        <f>IF(B351="","",WEEKNUM(B351,2))</f>
        <v>0</v>
      </c>
      <c r="Q351" s="38">
        <f>IF(B351="","",IF(E351="Tip","No",IF(E351="Refund","No","Yes")))</f>
        <v>0</v>
      </c>
      <c r="R351" s="25">
        <f>IF(B351="","",IF(E351="Refund",-1,1))</f>
        <v>0</v>
      </c>
      <c r="S351" s="26">
        <f>IF(B351="","",IF(G351="",0,IF(F351="Card",ROUND(G351*CardFeePercent+CardFeeFixed,2),IF(F351="Online deposit",ROUND(G351*CardFeePercent+CardFeeFixed,2),0))))</f>
        <v>0</v>
      </c>
      <c r="T351" s="26">
        <f>IF(B351="","",ROUND(IF(G351="",0,G351)*R351-S351,2))</f>
        <v>0</v>
      </c>
      <c r="U351" s="38">
        <f>IF(B351="","",IF(E351="Tip","Yes","No"))</f>
        <v>0</v>
      </c>
      <c r="V351" s="15">
        <f>IF(B351="","",IF(H351&lt;&gt;"","Sale "&amp;H351,IF(I351&lt;&gt;"","Booking "&amp;I351,IF(E351="Tip","Stylist","Unapplied"))))</f>
        <v>0</v>
      </c>
      <c r="W351" s="39">
        <f>IF(B351="","",IF(G351="","Add - no amount yet",IF(E351="","Add - what was this for?",IF(IF(H351="",FALSE,COUNTIF(Sales!$A$5:$A$1204,H351)=0),"Missing - no sale with that ID",IF(IF(I351="",FALSE,COUNTIF(Appointments!$A$5:$A$1204,I351)=0),"Missing - no booking with that ID",IF(IF(E351="Tip",J351="",FALSE),"Assign - whose tip is it?",IF(IF(E351="Deposit",IF(H351="",I351="",FALSE),FALSE),"Check - deposit not tied to a booking",IF(M351="No","Due - not reconciled yet","OK"))))))))</f>
        <v>0</v>
      </c>
    </row>
    <row r="352" spans="1:23">
      <c r="A352" s="28">
        <f>IF(B352="","",PaymentPrefix&amp;TEXT(ROW()-4,"0000"))</f>
        <v>0</v>
      </c>
      <c r="D352" s="15">
        <f>IF(C352="","",IFERROR(INDEX(Clients!$B$5:$B$504,MATCH(C352,Clients!$A$5:$A$504,0)),"Walk-in"))</f>
        <v>0</v>
      </c>
      <c r="K352" s="15">
        <f>IF(J352="","",IFERROR(INDEX(Staff!$B$5:$B$44,MATCH(J352,Staff!$A$5:$A$44,0)),""))</f>
        <v>0</v>
      </c>
      <c r="O352" s="15">
        <f>IF(B352="","",TEXT(B352,"yyyy-mm"))</f>
        <v>0</v>
      </c>
      <c r="P352" s="25">
        <f>IF(B352="","",WEEKNUM(B352,2))</f>
        <v>0</v>
      </c>
      <c r="Q352" s="38">
        <f>IF(B352="","",IF(E352="Tip","No",IF(E352="Refund","No","Yes")))</f>
        <v>0</v>
      </c>
      <c r="R352" s="25">
        <f>IF(B352="","",IF(E352="Refund",-1,1))</f>
        <v>0</v>
      </c>
      <c r="S352" s="26">
        <f>IF(B352="","",IF(G352="",0,IF(F352="Card",ROUND(G352*CardFeePercent+CardFeeFixed,2),IF(F352="Online deposit",ROUND(G352*CardFeePercent+CardFeeFixed,2),0))))</f>
        <v>0</v>
      </c>
      <c r="T352" s="26">
        <f>IF(B352="","",ROUND(IF(G352="",0,G352)*R352-S352,2))</f>
        <v>0</v>
      </c>
      <c r="U352" s="38">
        <f>IF(B352="","",IF(E352="Tip","Yes","No"))</f>
        <v>0</v>
      </c>
      <c r="V352" s="15">
        <f>IF(B352="","",IF(H352&lt;&gt;"","Sale "&amp;H352,IF(I352&lt;&gt;"","Booking "&amp;I352,IF(E352="Tip","Stylist","Unapplied"))))</f>
        <v>0</v>
      </c>
      <c r="W352" s="39">
        <f>IF(B352="","",IF(G352="","Add - no amount yet",IF(E352="","Add - what was this for?",IF(IF(H352="",FALSE,COUNTIF(Sales!$A$5:$A$1204,H352)=0),"Missing - no sale with that ID",IF(IF(I352="",FALSE,COUNTIF(Appointments!$A$5:$A$1204,I352)=0),"Missing - no booking with that ID",IF(IF(E352="Tip",J352="",FALSE),"Assign - whose tip is it?",IF(IF(E352="Deposit",IF(H352="",I352="",FALSE),FALSE),"Check - deposit not tied to a booking",IF(M352="No","Due - not reconciled yet","OK"))))))))</f>
        <v>0</v>
      </c>
    </row>
    <row r="353" spans="1:23">
      <c r="A353" s="28">
        <f>IF(B353="","",PaymentPrefix&amp;TEXT(ROW()-4,"0000"))</f>
        <v>0</v>
      </c>
      <c r="D353" s="15">
        <f>IF(C353="","",IFERROR(INDEX(Clients!$B$5:$B$504,MATCH(C353,Clients!$A$5:$A$504,0)),"Walk-in"))</f>
        <v>0</v>
      </c>
      <c r="K353" s="15">
        <f>IF(J353="","",IFERROR(INDEX(Staff!$B$5:$B$44,MATCH(J353,Staff!$A$5:$A$44,0)),""))</f>
        <v>0</v>
      </c>
      <c r="O353" s="15">
        <f>IF(B353="","",TEXT(B353,"yyyy-mm"))</f>
        <v>0</v>
      </c>
      <c r="P353" s="25">
        <f>IF(B353="","",WEEKNUM(B353,2))</f>
        <v>0</v>
      </c>
      <c r="Q353" s="38">
        <f>IF(B353="","",IF(E353="Tip","No",IF(E353="Refund","No","Yes")))</f>
        <v>0</v>
      </c>
      <c r="R353" s="25">
        <f>IF(B353="","",IF(E353="Refund",-1,1))</f>
        <v>0</v>
      </c>
      <c r="S353" s="26">
        <f>IF(B353="","",IF(G353="",0,IF(F353="Card",ROUND(G353*CardFeePercent+CardFeeFixed,2),IF(F353="Online deposit",ROUND(G353*CardFeePercent+CardFeeFixed,2),0))))</f>
        <v>0</v>
      </c>
      <c r="T353" s="26">
        <f>IF(B353="","",ROUND(IF(G353="",0,G353)*R353-S353,2))</f>
        <v>0</v>
      </c>
      <c r="U353" s="38">
        <f>IF(B353="","",IF(E353="Tip","Yes","No"))</f>
        <v>0</v>
      </c>
      <c r="V353" s="15">
        <f>IF(B353="","",IF(H353&lt;&gt;"","Sale "&amp;H353,IF(I353&lt;&gt;"","Booking "&amp;I353,IF(E353="Tip","Stylist","Unapplied"))))</f>
        <v>0</v>
      </c>
      <c r="W353" s="39">
        <f>IF(B353="","",IF(G353="","Add - no amount yet",IF(E353="","Add - what was this for?",IF(IF(H353="",FALSE,COUNTIF(Sales!$A$5:$A$1204,H353)=0),"Missing - no sale with that ID",IF(IF(I353="",FALSE,COUNTIF(Appointments!$A$5:$A$1204,I353)=0),"Missing - no booking with that ID",IF(IF(E353="Tip",J353="",FALSE),"Assign - whose tip is it?",IF(IF(E353="Deposit",IF(H353="",I353="",FALSE),FALSE),"Check - deposit not tied to a booking",IF(M353="No","Due - not reconciled yet","OK"))))))))</f>
        <v>0</v>
      </c>
    </row>
    <row r="354" spans="1:23">
      <c r="A354" s="28">
        <f>IF(B354="","",PaymentPrefix&amp;TEXT(ROW()-4,"0000"))</f>
        <v>0</v>
      </c>
      <c r="D354" s="15">
        <f>IF(C354="","",IFERROR(INDEX(Clients!$B$5:$B$504,MATCH(C354,Clients!$A$5:$A$504,0)),"Walk-in"))</f>
        <v>0</v>
      </c>
      <c r="K354" s="15">
        <f>IF(J354="","",IFERROR(INDEX(Staff!$B$5:$B$44,MATCH(J354,Staff!$A$5:$A$44,0)),""))</f>
        <v>0</v>
      </c>
      <c r="O354" s="15">
        <f>IF(B354="","",TEXT(B354,"yyyy-mm"))</f>
        <v>0</v>
      </c>
      <c r="P354" s="25">
        <f>IF(B354="","",WEEKNUM(B354,2))</f>
        <v>0</v>
      </c>
      <c r="Q354" s="38">
        <f>IF(B354="","",IF(E354="Tip","No",IF(E354="Refund","No","Yes")))</f>
        <v>0</v>
      </c>
      <c r="R354" s="25">
        <f>IF(B354="","",IF(E354="Refund",-1,1))</f>
        <v>0</v>
      </c>
      <c r="S354" s="26">
        <f>IF(B354="","",IF(G354="",0,IF(F354="Card",ROUND(G354*CardFeePercent+CardFeeFixed,2),IF(F354="Online deposit",ROUND(G354*CardFeePercent+CardFeeFixed,2),0))))</f>
        <v>0</v>
      </c>
      <c r="T354" s="26">
        <f>IF(B354="","",ROUND(IF(G354="",0,G354)*R354-S354,2))</f>
        <v>0</v>
      </c>
      <c r="U354" s="38">
        <f>IF(B354="","",IF(E354="Tip","Yes","No"))</f>
        <v>0</v>
      </c>
      <c r="V354" s="15">
        <f>IF(B354="","",IF(H354&lt;&gt;"","Sale "&amp;H354,IF(I354&lt;&gt;"","Booking "&amp;I354,IF(E354="Tip","Stylist","Unapplied"))))</f>
        <v>0</v>
      </c>
      <c r="W354" s="39">
        <f>IF(B354="","",IF(G354="","Add - no amount yet",IF(E354="","Add - what was this for?",IF(IF(H354="",FALSE,COUNTIF(Sales!$A$5:$A$1204,H354)=0),"Missing - no sale with that ID",IF(IF(I354="",FALSE,COUNTIF(Appointments!$A$5:$A$1204,I354)=0),"Missing - no booking with that ID",IF(IF(E354="Tip",J354="",FALSE),"Assign - whose tip is it?",IF(IF(E354="Deposit",IF(H354="",I354="",FALSE),FALSE),"Check - deposit not tied to a booking",IF(M354="No","Due - not reconciled yet","OK"))))))))</f>
        <v>0</v>
      </c>
    </row>
    <row r="355" spans="1:23">
      <c r="A355" s="28">
        <f>IF(B355="","",PaymentPrefix&amp;TEXT(ROW()-4,"0000"))</f>
        <v>0</v>
      </c>
      <c r="D355" s="15">
        <f>IF(C355="","",IFERROR(INDEX(Clients!$B$5:$B$504,MATCH(C355,Clients!$A$5:$A$504,0)),"Walk-in"))</f>
        <v>0</v>
      </c>
      <c r="K355" s="15">
        <f>IF(J355="","",IFERROR(INDEX(Staff!$B$5:$B$44,MATCH(J355,Staff!$A$5:$A$44,0)),""))</f>
        <v>0</v>
      </c>
      <c r="O355" s="15">
        <f>IF(B355="","",TEXT(B355,"yyyy-mm"))</f>
        <v>0</v>
      </c>
      <c r="P355" s="25">
        <f>IF(B355="","",WEEKNUM(B355,2))</f>
        <v>0</v>
      </c>
      <c r="Q355" s="38">
        <f>IF(B355="","",IF(E355="Tip","No",IF(E355="Refund","No","Yes")))</f>
        <v>0</v>
      </c>
      <c r="R355" s="25">
        <f>IF(B355="","",IF(E355="Refund",-1,1))</f>
        <v>0</v>
      </c>
      <c r="S355" s="26">
        <f>IF(B355="","",IF(G355="",0,IF(F355="Card",ROUND(G355*CardFeePercent+CardFeeFixed,2),IF(F355="Online deposit",ROUND(G355*CardFeePercent+CardFeeFixed,2),0))))</f>
        <v>0</v>
      </c>
      <c r="T355" s="26">
        <f>IF(B355="","",ROUND(IF(G355="",0,G355)*R355-S355,2))</f>
        <v>0</v>
      </c>
      <c r="U355" s="38">
        <f>IF(B355="","",IF(E355="Tip","Yes","No"))</f>
        <v>0</v>
      </c>
      <c r="V355" s="15">
        <f>IF(B355="","",IF(H355&lt;&gt;"","Sale "&amp;H355,IF(I355&lt;&gt;"","Booking "&amp;I355,IF(E355="Tip","Stylist","Unapplied"))))</f>
        <v>0</v>
      </c>
      <c r="W355" s="39">
        <f>IF(B355="","",IF(G355="","Add - no amount yet",IF(E355="","Add - what was this for?",IF(IF(H355="",FALSE,COUNTIF(Sales!$A$5:$A$1204,H355)=0),"Missing - no sale with that ID",IF(IF(I355="",FALSE,COUNTIF(Appointments!$A$5:$A$1204,I355)=0),"Missing - no booking with that ID",IF(IF(E355="Tip",J355="",FALSE),"Assign - whose tip is it?",IF(IF(E355="Deposit",IF(H355="",I355="",FALSE),FALSE),"Check - deposit not tied to a booking",IF(M355="No","Due - not reconciled yet","OK"))))))))</f>
        <v>0</v>
      </c>
    </row>
    <row r="356" spans="1:23">
      <c r="A356" s="28">
        <f>IF(B356="","",PaymentPrefix&amp;TEXT(ROW()-4,"0000"))</f>
        <v>0</v>
      </c>
      <c r="D356" s="15">
        <f>IF(C356="","",IFERROR(INDEX(Clients!$B$5:$B$504,MATCH(C356,Clients!$A$5:$A$504,0)),"Walk-in"))</f>
        <v>0</v>
      </c>
      <c r="K356" s="15">
        <f>IF(J356="","",IFERROR(INDEX(Staff!$B$5:$B$44,MATCH(J356,Staff!$A$5:$A$44,0)),""))</f>
        <v>0</v>
      </c>
      <c r="O356" s="15">
        <f>IF(B356="","",TEXT(B356,"yyyy-mm"))</f>
        <v>0</v>
      </c>
      <c r="P356" s="25">
        <f>IF(B356="","",WEEKNUM(B356,2))</f>
        <v>0</v>
      </c>
      <c r="Q356" s="38">
        <f>IF(B356="","",IF(E356="Tip","No",IF(E356="Refund","No","Yes")))</f>
        <v>0</v>
      </c>
      <c r="R356" s="25">
        <f>IF(B356="","",IF(E356="Refund",-1,1))</f>
        <v>0</v>
      </c>
      <c r="S356" s="26">
        <f>IF(B356="","",IF(G356="",0,IF(F356="Card",ROUND(G356*CardFeePercent+CardFeeFixed,2),IF(F356="Online deposit",ROUND(G356*CardFeePercent+CardFeeFixed,2),0))))</f>
        <v>0</v>
      </c>
      <c r="T356" s="26">
        <f>IF(B356="","",ROUND(IF(G356="",0,G356)*R356-S356,2))</f>
        <v>0</v>
      </c>
      <c r="U356" s="38">
        <f>IF(B356="","",IF(E356="Tip","Yes","No"))</f>
        <v>0</v>
      </c>
      <c r="V356" s="15">
        <f>IF(B356="","",IF(H356&lt;&gt;"","Sale "&amp;H356,IF(I356&lt;&gt;"","Booking "&amp;I356,IF(E356="Tip","Stylist","Unapplied"))))</f>
        <v>0</v>
      </c>
      <c r="W356" s="39">
        <f>IF(B356="","",IF(G356="","Add - no amount yet",IF(E356="","Add - what was this for?",IF(IF(H356="",FALSE,COUNTIF(Sales!$A$5:$A$1204,H356)=0),"Missing - no sale with that ID",IF(IF(I356="",FALSE,COUNTIF(Appointments!$A$5:$A$1204,I356)=0),"Missing - no booking with that ID",IF(IF(E356="Tip",J356="",FALSE),"Assign - whose tip is it?",IF(IF(E356="Deposit",IF(H356="",I356="",FALSE),FALSE),"Check - deposit not tied to a booking",IF(M356="No","Due - not reconciled yet","OK"))))))))</f>
        <v>0</v>
      </c>
    </row>
    <row r="357" spans="1:23">
      <c r="A357" s="28">
        <f>IF(B357="","",PaymentPrefix&amp;TEXT(ROW()-4,"0000"))</f>
        <v>0</v>
      </c>
      <c r="D357" s="15">
        <f>IF(C357="","",IFERROR(INDEX(Clients!$B$5:$B$504,MATCH(C357,Clients!$A$5:$A$504,0)),"Walk-in"))</f>
        <v>0</v>
      </c>
      <c r="K357" s="15">
        <f>IF(J357="","",IFERROR(INDEX(Staff!$B$5:$B$44,MATCH(J357,Staff!$A$5:$A$44,0)),""))</f>
        <v>0</v>
      </c>
      <c r="O357" s="15">
        <f>IF(B357="","",TEXT(B357,"yyyy-mm"))</f>
        <v>0</v>
      </c>
      <c r="P357" s="25">
        <f>IF(B357="","",WEEKNUM(B357,2))</f>
        <v>0</v>
      </c>
      <c r="Q357" s="38">
        <f>IF(B357="","",IF(E357="Tip","No",IF(E357="Refund","No","Yes")))</f>
        <v>0</v>
      </c>
      <c r="R357" s="25">
        <f>IF(B357="","",IF(E357="Refund",-1,1))</f>
        <v>0</v>
      </c>
      <c r="S357" s="26">
        <f>IF(B357="","",IF(G357="",0,IF(F357="Card",ROUND(G357*CardFeePercent+CardFeeFixed,2),IF(F357="Online deposit",ROUND(G357*CardFeePercent+CardFeeFixed,2),0))))</f>
        <v>0</v>
      </c>
      <c r="T357" s="26">
        <f>IF(B357="","",ROUND(IF(G357="",0,G357)*R357-S357,2))</f>
        <v>0</v>
      </c>
      <c r="U357" s="38">
        <f>IF(B357="","",IF(E357="Tip","Yes","No"))</f>
        <v>0</v>
      </c>
      <c r="V357" s="15">
        <f>IF(B357="","",IF(H357&lt;&gt;"","Sale "&amp;H357,IF(I357&lt;&gt;"","Booking "&amp;I357,IF(E357="Tip","Stylist","Unapplied"))))</f>
        <v>0</v>
      </c>
      <c r="W357" s="39">
        <f>IF(B357="","",IF(G357="","Add - no amount yet",IF(E357="","Add - what was this for?",IF(IF(H357="",FALSE,COUNTIF(Sales!$A$5:$A$1204,H357)=0),"Missing - no sale with that ID",IF(IF(I357="",FALSE,COUNTIF(Appointments!$A$5:$A$1204,I357)=0),"Missing - no booking with that ID",IF(IF(E357="Tip",J357="",FALSE),"Assign - whose tip is it?",IF(IF(E357="Deposit",IF(H357="",I357="",FALSE),FALSE),"Check - deposit not tied to a booking",IF(M357="No","Due - not reconciled yet","OK"))))))))</f>
        <v>0</v>
      </c>
    </row>
    <row r="358" spans="1:23">
      <c r="A358" s="28">
        <f>IF(B358="","",PaymentPrefix&amp;TEXT(ROW()-4,"0000"))</f>
        <v>0</v>
      </c>
      <c r="D358" s="15">
        <f>IF(C358="","",IFERROR(INDEX(Clients!$B$5:$B$504,MATCH(C358,Clients!$A$5:$A$504,0)),"Walk-in"))</f>
        <v>0</v>
      </c>
      <c r="K358" s="15">
        <f>IF(J358="","",IFERROR(INDEX(Staff!$B$5:$B$44,MATCH(J358,Staff!$A$5:$A$44,0)),""))</f>
        <v>0</v>
      </c>
      <c r="O358" s="15">
        <f>IF(B358="","",TEXT(B358,"yyyy-mm"))</f>
        <v>0</v>
      </c>
      <c r="P358" s="25">
        <f>IF(B358="","",WEEKNUM(B358,2))</f>
        <v>0</v>
      </c>
      <c r="Q358" s="38">
        <f>IF(B358="","",IF(E358="Tip","No",IF(E358="Refund","No","Yes")))</f>
        <v>0</v>
      </c>
      <c r="R358" s="25">
        <f>IF(B358="","",IF(E358="Refund",-1,1))</f>
        <v>0</v>
      </c>
      <c r="S358" s="26">
        <f>IF(B358="","",IF(G358="",0,IF(F358="Card",ROUND(G358*CardFeePercent+CardFeeFixed,2),IF(F358="Online deposit",ROUND(G358*CardFeePercent+CardFeeFixed,2),0))))</f>
        <v>0</v>
      </c>
      <c r="T358" s="26">
        <f>IF(B358="","",ROUND(IF(G358="",0,G358)*R358-S358,2))</f>
        <v>0</v>
      </c>
      <c r="U358" s="38">
        <f>IF(B358="","",IF(E358="Tip","Yes","No"))</f>
        <v>0</v>
      </c>
      <c r="V358" s="15">
        <f>IF(B358="","",IF(H358&lt;&gt;"","Sale "&amp;H358,IF(I358&lt;&gt;"","Booking "&amp;I358,IF(E358="Tip","Stylist","Unapplied"))))</f>
        <v>0</v>
      </c>
      <c r="W358" s="39">
        <f>IF(B358="","",IF(G358="","Add - no amount yet",IF(E358="","Add - what was this for?",IF(IF(H358="",FALSE,COUNTIF(Sales!$A$5:$A$1204,H358)=0),"Missing - no sale with that ID",IF(IF(I358="",FALSE,COUNTIF(Appointments!$A$5:$A$1204,I358)=0),"Missing - no booking with that ID",IF(IF(E358="Tip",J358="",FALSE),"Assign - whose tip is it?",IF(IF(E358="Deposit",IF(H358="",I358="",FALSE),FALSE),"Check - deposit not tied to a booking",IF(M358="No","Due - not reconciled yet","OK"))))))))</f>
        <v>0</v>
      </c>
    </row>
    <row r="359" spans="1:23">
      <c r="A359" s="28">
        <f>IF(B359="","",PaymentPrefix&amp;TEXT(ROW()-4,"0000"))</f>
        <v>0</v>
      </c>
      <c r="D359" s="15">
        <f>IF(C359="","",IFERROR(INDEX(Clients!$B$5:$B$504,MATCH(C359,Clients!$A$5:$A$504,0)),"Walk-in"))</f>
        <v>0</v>
      </c>
      <c r="K359" s="15">
        <f>IF(J359="","",IFERROR(INDEX(Staff!$B$5:$B$44,MATCH(J359,Staff!$A$5:$A$44,0)),""))</f>
        <v>0</v>
      </c>
      <c r="O359" s="15">
        <f>IF(B359="","",TEXT(B359,"yyyy-mm"))</f>
        <v>0</v>
      </c>
      <c r="P359" s="25">
        <f>IF(B359="","",WEEKNUM(B359,2))</f>
        <v>0</v>
      </c>
      <c r="Q359" s="38">
        <f>IF(B359="","",IF(E359="Tip","No",IF(E359="Refund","No","Yes")))</f>
        <v>0</v>
      </c>
      <c r="R359" s="25">
        <f>IF(B359="","",IF(E359="Refund",-1,1))</f>
        <v>0</v>
      </c>
      <c r="S359" s="26">
        <f>IF(B359="","",IF(G359="",0,IF(F359="Card",ROUND(G359*CardFeePercent+CardFeeFixed,2),IF(F359="Online deposit",ROUND(G359*CardFeePercent+CardFeeFixed,2),0))))</f>
        <v>0</v>
      </c>
      <c r="T359" s="26">
        <f>IF(B359="","",ROUND(IF(G359="",0,G359)*R359-S359,2))</f>
        <v>0</v>
      </c>
      <c r="U359" s="38">
        <f>IF(B359="","",IF(E359="Tip","Yes","No"))</f>
        <v>0</v>
      </c>
      <c r="V359" s="15">
        <f>IF(B359="","",IF(H359&lt;&gt;"","Sale "&amp;H359,IF(I359&lt;&gt;"","Booking "&amp;I359,IF(E359="Tip","Stylist","Unapplied"))))</f>
        <v>0</v>
      </c>
      <c r="W359" s="39">
        <f>IF(B359="","",IF(G359="","Add - no amount yet",IF(E359="","Add - what was this for?",IF(IF(H359="",FALSE,COUNTIF(Sales!$A$5:$A$1204,H359)=0),"Missing - no sale with that ID",IF(IF(I359="",FALSE,COUNTIF(Appointments!$A$5:$A$1204,I359)=0),"Missing - no booking with that ID",IF(IF(E359="Tip",J359="",FALSE),"Assign - whose tip is it?",IF(IF(E359="Deposit",IF(H359="",I359="",FALSE),FALSE),"Check - deposit not tied to a booking",IF(M359="No","Due - not reconciled yet","OK"))))))))</f>
        <v>0</v>
      </c>
    </row>
    <row r="360" spans="1:23">
      <c r="A360" s="28">
        <f>IF(B360="","",PaymentPrefix&amp;TEXT(ROW()-4,"0000"))</f>
        <v>0</v>
      </c>
      <c r="D360" s="15">
        <f>IF(C360="","",IFERROR(INDEX(Clients!$B$5:$B$504,MATCH(C360,Clients!$A$5:$A$504,0)),"Walk-in"))</f>
        <v>0</v>
      </c>
      <c r="K360" s="15">
        <f>IF(J360="","",IFERROR(INDEX(Staff!$B$5:$B$44,MATCH(J360,Staff!$A$5:$A$44,0)),""))</f>
        <v>0</v>
      </c>
      <c r="O360" s="15">
        <f>IF(B360="","",TEXT(B360,"yyyy-mm"))</f>
        <v>0</v>
      </c>
      <c r="P360" s="25">
        <f>IF(B360="","",WEEKNUM(B360,2))</f>
        <v>0</v>
      </c>
      <c r="Q360" s="38">
        <f>IF(B360="","",IF(E360="Tip","No",IF(E360="Refund","No","Yes")))</f>
        <v>0</v>
      </c>
      <c r="R360" s="25">
        <f>IF(B360="","",IF(E360="Refund",-1,1))</f>
        <v>0</v>
      </c>
      <c r="S360" s="26">
        <f>IF(B360="","",IF(G360="",0,IF(F360="Card",ROUND(G360*CardFeePercent+CardFeeFixed,2),IF(F360="Online deposit",ROUND(G360*CardFeePercent+CardFeeFixed,2),0))))</f>
        <v>0</v>
      </c>
      <c r="T360" s="26">
        <f>IF(B360="","",ROUND(IF(G360="",0,G360)*R360-S360,2))</f>
        <v>0</v>
      </c>
      <c r="U360" s="38">
        <f>IF(B360="","",IF(E360="Tip","Yes","No"))</f>
        <v>0</v>
      </c>
      <c r="V360" s="15">
        <f>IF(B360="","",IF(H360&lt;&gt;"","Sale "&amp;H360,IF(I360&lt;&gt;"","Booking "&amp;I360,IF(E360="Tip","Stylist","Unapplied"))))</f>
        <v>0</v>
      </c>
      <c r="W360" s="39">
        <f>IF(B360="","",IF(G360="","Add - no amount yet",IF(E360="","Add - what was this for?",IF(IF(H360="",FALSE,COUNTIF(Sales!$A$5:$A$1204,H360)=0),"Missing - no sale with that ID",IF(IF(I360="",FALSE,COUNTIF(Appointments!$A$5:$A$1204,I360)=0),"Missing - no booking with that ID",IF(IF(E360="Tip",J360="",FALSE),"Assign - whose tip is it?",IF(IF(E360="Deposit",IF(H360="",I360="",FALSE),FALSE),"Check - deposit not tied to a booking",IF(M360="No","Due - not reconciled yet","OK"))))))))</f>
        <v>0</v>
      </c>
    </row>
    <row r="361" spans="1:23">
      <c r="A361" s="28">
        <f>IF(B361="","",PaymentPrefix&amp;TEXT(ROW()-4,"0000"))</f>
        <v>0</v>
      </c>
      <c r="D361" s="15">
        <f>IF(C361="","",IFERROR(INDEX(Clients!$B$5:$B$504,MATCH(C361,Clients!$A$5:$A$504,0)),"Walk-in"))</f>
        <v>0</v>
      </c>
      <c r="K361" s="15">
        <f>IF(J361="","",IFERROR(INDEX(Staff!$B$5:$B$44,MATCH(J361,Staff!$A$5:$A$44,0)),""))</f>
        <v>0</v>
      </c>
      <c r="O361" s="15">
        <f>IF(B361="","",TEXT(B361,"yyyy-mm"))</f>
        <v>0</v>
      </c>
      <c r="P361" s="25">
        <f>IF(B361="","",WEEKNUM(B361,2))</f>
        <v>0</v>
      </c>
      <c r="Q361" s="38">
        <f>IF(B361="","",IF(E361="Tip","No",IF(E361="Refund","No","Yes")))</f>
        <v>0</v>
      </c>
      <c r="R361" s="25">
        <f>IF(B361="","",IF(E361="Refund",-1,1))</f>
        <v>0</v>
      </c>
      <c r="S361" s="26">
        <f>IF(B361="","",IF(G361="",0,IF(F361="Card",ROUND(G361*CardFeePercent+CardFeeFixed,2),IF(F361="Online deposit",ROUND(G361*CardFeePercent+CardFeeFixed,2),0))))</f>
        <v>0</v>
      </c>
      <c r="T361" s="26">
        <f>IF(B361="","",ROUND(IF(G361="",0,G361)*R361-S361,2))</f>
        <v>0</v>
      </c>
      <c r="U361" s="38">
        <f>IF(B361="","",IF(E361="Tip","Yes","No"))</f>
        <v>0</v>
      </c>
      <c r="V361" s="15">
        <f>IF(B361="","",IF(H361&lt;&gt;"","Sale "&amp;H361,IF(I361&lt;&gt;"","Booking "&amp;I361,IF(E361="Tip","Stylist","Unapplied"))))</f>
        <v>0</v>
      </c>
      <c r="W361" s="39">
        <f>IF(B361="","",IF(G361="","Add - no amount yet",IF(E361="","Add - what was this for?",IF(IF(H361="",FALSE,COUNTIF(Sales!$A$5:$A$1204,H361)=0),"Missing - no sale with that ID",IF(IF(I361="",FALSE,COUNTIF(Appointments!$A$5:$A$1204,I361)=0),"Missing - no booking with that ID",IF(IF(E361="Tip",J361="",FALSE),"Assign - whose tip is it?",IF(IF(E361="Deposit",IF(H361="",I361="",FALSE),FALSE),"Check - deposit not tied to a booking",IF(M361="No","Due - not reconciled yet","OK"))))))))</f>
        <v>0</v>
      </c>
    </row>
    <row r="362" spans="1:23">
      <c r="A362" s="28">
        <f>IF(B362="","",PaymentPrefix&amp;TEXT(ROW()-4,"0000"))</f>
        <v>0</v>
      </c>
      <c r="D362" s="15">
        <f>IF(C362="","",IFERROR(INDEX(Clients!$B$5:$B$504,MATCH(C362,Clients!$A$5:$A$504,0)),"Walk-in"))</f>
        <v>0</v>
      </c>
      <c r="K362" s="15">
        <f>IF(J362="","",IFERROR(INDEX(Staff!$B$5:$B$44,MATCH(J362,Staff!$A$5:$A$44,0)),""))</f>
        <v>0</v>
      </c>
      <c r="O362" s="15">
        <f>IF(B362="","",TEXT(B362,"yyyy-mm"))</f>
        <v>0</v>
      </c>
      <c r="P362" s="25">
        <f>IF(B362="","",WEEKNUM(B362,2))</f>
        <v>0</v>
      </c>
      <c r="Q362" s="38">
        <f>IF(B362="","",IF(E362="Tip","No",IF(E362="Refund","No","Yes")))</f>
        <v>0</v>
      </c>
      <c r="R362" s="25">
        <f>IF(B362="","",IF(E362="Refund",-1,1))</f>
        <v>0</v>
      </c>
      <c r="S362" s="26">
        <f>IF(B362="","",IF(G362="",0,IF(F362="Card",ROUND(G362*CardFeePercent+CardFeeFixed,2),IF(F362="Online deposit",ROUND(G362*CardFeePercent+CardFeeFixed,2),0))))</f>
        <v>0</v>
      </c>
      <c r="T362" s="26">
        <f>IF(B362="","",ROUND(IF(G362="",0,G362)*R362-S362,2))</f>
        <v>0</v>
      </c>
      <c r="U362" s="38">
        <f>IF(B362="","",IF(E362="Tip","Yes","No"))</f>
        <v>0</v>
      </c>
      <c r="V362" s="15">
        <f>IF(B362="","",IF(H362&lt;&gt;"","Sale "&amp;H362,IF(I362&lt;&gt;"","Booking "&amp;I362,IF(E362="Tip","Stylist","Unapplied"))))</f>
        <v>0</v>
      </c>
      <c r="W362" s="39">
        <f>IF(B362="","",IF(G362="","Add - no amount yet",IF(E362="","Add - what was this for?",IF(IF(H362="",FALSE,COUNTIF(Sales!$A$5:$A$1204,H362)=0),"Missing - no sale with that ID",IF(IF(I362="",FALSE,COUNTIF(Appointments!$A$5:$A$1204,I362)=0),"Missing - no booking with that ID",IF(IF(E362="Tip",J362="",FALSE),"Assign - whose tip is it?",IF(IF(E362="Deposit",IF(H362="",I362="",FALSE),FALSE),"Check - deposit not tied to a booking",IF(M362="No","Due - not reconciled yet","OK"))))))))</f>
        <v>0</v>
      </c>
    </row>
    <row r="363" spans="1:23">
      <c r="A363" s="28">
        <f>IF(B363="","",PaymentPrefix&amp;TEXT(ROW()-4,"0000"))</f>
        <v>0</v>
      </c>
      <c r="D363" s="15">
        <f>IF(C363="","",IFERROR(INDEX(Clients!$B$5:$B$504,MATCH(C363,Clients!$A$5:$A$504,0)),"Walk-in"))</f>
        <v>0</v>
      </c>
      <c r="K363" s="15">
        <f>IF(J363="","",IFERROR(INDEX(Staff!$B$5:$B$44,MATCH(J363,Staff!$A$5:$A$44,0)),""))</f>
        <v>0</v>
      </c>
      <c r="O363" s="15">
        <f>IF(B363="","",TEXT(B363,"yyyy-mm"))</f>
        <v>0</v>
      </c>
      <c r="P363" s="25">
        <f>IF(B363="","",WEEKNUM(B363,2))</f>
        <v>0</v>
      </c>
      <c r="Q363" s="38">
        <f>IF(B363="","",IF(E363="Tip","No",IF(E363="Refund","No","Yes")))</f>
        <v>0</v>
      </c>
      <c r="R363" s="25">
        <f>IF(B363="","",IF(E363="Refund",-1,1))</f>
        <v>0</v>
      </c>
      <c r="S363" s="26">
        <f>IF(B363="","",IF(G363="",0,IF(F363="Card",ROUND(G363*CardFeePercent+CardFeeFixed,2),IF(F363="Online deposit",ROUND(G363*CardFeePercent+CardFeeFixed,2),0))))</f>
        <v>0</v>
      </c>
      <c r="T363" s="26">
        <f>IF(B363="","",ROUND(IF(G363="",0,G363)*R363-S363,2))</f>
        <v>0</v>
      </c>
      <c r="U363" s="38">
        <f>IF(B363="","",IF(E363="Tip","Yes","No"))</f>
        <v>0</v>
      </c>
      <c r="V363" s="15">
        <f>IF(B363="","",IF(H363&lt;&gt;"","Sale "&amp;H363,IF(I363&lt;&gt;"","Booking "&amp;I363,IF(E363="Tip","Stylist","Unapplied"))))</f>
        <v>0</v>
      </c>
      <c r="W363" s="39">
        <f>IF(B363="","",IF(G363="","Add - no amount yet",IF(E363="","Add - what was this for?",IF(IF(H363="",FALSE,COUNTIF(Sales!$A$5:$A$1204,H363)=0),"Missing - no sale with that ID",IF(IF(I363="",FALSE,COUNTIF(Appointments!$A$5:$A$1204,I363)=0),"Missing - no booking with that ID",IF(IF(E363="Tip",J363="",FALSE),"Assign - whose tip is it?",IF(IF(E363="Deposit",IF(H363="",I363="",FALSE),FALSE),"Check - deposit not tied to a booking",IF(M363="No","Due - not reconciled yet","OK"))))))))</f>
        <v>0</v>
      </c>
    </row>
    <row r="364" spans="1:23">
      <c r="A364" s="28">
        <f>IF(B364="","",PaymentPrefix&amp;TEXT(ROW()-4,"0000"))</f>
        <v>0</v>
      </c>
      <c r="D364" s="15">
        <f>IF(C364="","",IFERROR(INDEX(Clients!$B$5:$B$504,MATCH(C364,Clients!$A$5:$A$504,0)),"Walk-in"))</f>
        <v>0</v>
      </c>
      <c r="K364" s="15">
        <f>IF(J364="","",IFERROR(INDEX(Staff!$B$5:$B$44,MATCH(J364,Staff!$A$5:$A$44,0)),""))</f>
        <v>0</v>
      </c>
      <c r="O364" s="15">
        <f>IF(B364="","",TEXT(B364,"yyyy-mm"))</f>
        <v>0</v>
      </c>
      <c r="P364" s="25">
        <f>IF(B364="","",WEEKNUM(B364,2))</f>
        <v>0</v>
      </c>
      <c r="Q364" s="38">
        <f>IF(B364="","",IF(E364="Tip","No",IF(E364="Refund","No","Yes")))</f>
        <v>0</v>
      </c>
      <c r="R364" s="25">
        <f>IF(B364="","",IF(E364="Refund",-1,1))</f>
        <v>0</v>
      </c>
      <c r="S364" s="26">
        <f>IF(B364="","",IF(G364="",0,IF(F364="Card",ROUND(G364*CardFeePercent+CardFeeFixed,2),IF(F364="Online deposit",ROUND(G364*CardFeePercent+CardFeeFixed,2),0))))</f>
        <v>0</v>
      </c>
      <c r="T364" s="26">
        <f>IF(B364="","",ROUND(IF(G364="",0,G364)*R364-S364,2))</f>
        <v>0</v>
      </c>
      <c r="U364" s="38">
        <f>IF(B364="","",IF(E364="Tip","Yes","No"))</f>
        <v>0</v>
      </c>
      <c r="V364" s="15">
        <f>IF(B364="","",IF(H364&lt;&gt;"","Sale "&amp;H364,IF(I364&lt;&gt;"","Booking "&amp;I364,IF(E364="Tip","Stylist","Unapplied"))))</f>
        <v>0</v>
      </c>
      <c r="W364" s="39">
        <f>IF(B364="","",IF(G364="","Add - no amount yet",IF(E364="","Add - what was this for?",IF(IF(H364="",FALSE,COUNTIF(Sales!$A$5:$A$1204,H364)=0),"Missing - no sale with that ID",IF(IF(I364="",FALSE,COUNTIF(Appointments!$A$5:$A$1204,I364)=0),"Missing - no booking with that ID",IF(IF(E364="Tip",J364="",FALSE),"Assign - whose tip is it?",IF(IF(E364="Deposit",IF(H364="",I364="",FALSE),FALSE),"Check - deposit not tied to a booking",IF(M364="No","Due - not reconciled yet","OK"))))))))</f>
        <v>0</v>
      </c>
    </row>
    <row r="365" spans="1:23">
      <c r="A365" s="28">
        <f>IF(B365="","",PaymentPrefix&amp;TEXT(ROW()-4,"0000"))</f>
        <v>0</v>
      </c>
      <c r="D365" s="15">
        <f>IF(C365="","",IFERROR(INDEX(Clients!$B$5:$B$504,MATCH(C365,Clients!$A$5:$A$504,0)),"Walk-in"))</f>
        <v>0</v>
      </c>
      <c r="K365" s="15">
        <f>IF(J365="","",IFERROR(INDEX(Staff!$B$5:$B$44,MATCH(J365,Staff!$A$5:$A$44,0)),""))</f>
        <v>0</v>
      </c>
      <c r="O365" s="15">
        <f>IF(B365="","",TEXT(B365,"yyyy-mm"))</f>
        <v>0</v>
      </c>
      <c r="P365" s="25">
        <f>IF(B365="","",WEEKNUM(B365,2))</f>
        <v>0</v>
      </c>
      <c r="Q365" s="38">
        <f>IF(B365="","",IF(E365="Tip","No",IF(E365="Refund","No","Yes")))</f>
        <v>0</v>
      </c>
      <c r="R365" s="25">
        <f>IF(B365="","",IF(E365="Refund",-1,1))</f>
        <v>0</v>
      </c>
      <c r="S365" s="26">
        <f>IF(B365="","",IF(G365="",0,IF(F365="Card",ROUND(G365*CardFeePercent+CardFeeFixed,2),IF(F365="Online deposit",ROUND(G365*CardFeePercent+CardFeeFixed,2),0))))</f>
        <v>0</v>
      </c>
      <c r="T365" s="26">
        <f>IF(B365="","",ROUND(IF(G365="",0,G365)*R365-S365,2))</f>
        <v>0</v>
      </c>
      <c r="U365" s="38">
        <f>IF(B365="","",IF(E365="Tip","Yes","No"))</f>
        <v>0</v>
      </c>
      <c r="V365" s="15">
        <f>IF(B365="","",IF(H365&lt;&gt;"","Sale "&amp;H365,IF(I365&lt;&gt;"","Booking "&amp;I365,IF(E365="Tip","Stylist","Unapplied"))))</f>
        <v>0</v>
      </c>
      <c r="W365" s="39">
        <f>IF(B365="","",IF(G365="","Add - no amount yet",IF(E365="","Add - what was this for?",IF(IF(H365="",FALSE,COUNTIF(Sales!$A$5:$A$1204,H365)=0),"Missing - no sale with that ID",IF(IF(I365="",FALSE,COUNTIF(Appointments!$A$5:$A$1204,I365)=0),"Missing - no booking with that ID",IF(IF(E365="Tip",J365="",FALSE),"Assign - whose tip is it?",IF(IF(E365="Deposit",IF(H365="",I365="",FALSE),FALSE),"Check - deposit not tied to a booking",IF(M365="No","Due - not reconciled yet","OK"))))))))</f>
        <v>0</v>
      </c>
    </row>
    <row r="366" spans="1:23">
      <c r="A366" s="28">
        <f>IF(B366="","",PaymentPrefix&amp;TEXT(ROW()-4,"0000"))</f>
        <v>0</v>
      </c>
      <c r="D366" s="15">
        <f>IF(C366="","",IFERROR(INDEX(Clients!$B$5:$B$504,MATCH(C366,Clients!$A$5:$A$504,0)),"Walk-in"))</f>
        <v>0</v>
      </c>
      <c r="K366" s="15">
        <f>IF(J366="","",IFERROR(INDEX(Staff!$B$5:$B$44,MATCH(J366,Staff!$A$5:$A$44,0)),""))</f>
        <v>0</v>
      </c>
      <c r="O366" s="15">
        <f>IF(B366="","",TEXT(B366,"yyyy-mm"))</f>
        <v>0</v>
      </c>
      <c r="P366" s="25">
        <f>IF(B366="","",WEEKNUM(B366,2))</f>
        <v>0</v>
      </c>
      <c r="Q366" s="38">
        <f>IF(B366="","",IF(E366="Tip","No",IF(E366="Refund","No","Yes")))</f>
        <v>0</v>
      </c>
      <c r="R366" s="25">
        <f>IF(B366="","",IF(E366="Refund",-1,1))</f>
        <v>0</v>
      </c>
      <c r="S366" s="26">
        <f>IF(B366="","",IF(G366="",0,IF(F366="Card",ROUND(G366*CardFeePercent+CardFeeFixed,2),IF(F366="Online deposit",ROUND(G366*CardFeePercent+CardFeeFixed,2),0))))</f>
        <v>0</v>
      </c>
      <c r="T366" s="26">
        <f>IF(B366="","",ROUND(IF(G366="",0,G366)*R366-S366,2))</f>
        <v>0</v>
      </c>
      <c r="U366" s="38">
        <f>IF(B366="","",IF(E366="Tip","Yes","No"))</f>
        <v>0</v>
      </c>
      <c r="V366" s="15">
        <f>IF(B366="","",IF(H366&lt;&gt;"","Sale "&amp;H366,IF(I366&lt;&gt;"","Booking "&amp;I366,IF(E366="Tip","Stylist","Unapplied"))))</f>
        <v>0</v>
      </c>
      <c r="W366" s="39">
        <f>IF(B366="","",IF(G366="","Add - no amount yet",IF(E366="","Add - what was this for?",IF(IF(H366="",FALSE,COUNTIF(Sales!$A$5:$A$1204,H366)=0),"Missing - no sale with that ID",IF(IF(I366="",FALSE,COUNTIF(Appointments!$A$5:$A$1204,I366)=0),"Missing - no booking with that ID",IF(IF(E366="Tip",J366="",FALSE),"Assign - whose tip is it?",IF(IF(E366="Deposit",IF(H366="",I366="",FALSE),FALSE),"Check - deposit not tied to a booking",IF(M366="No","Due - not reconciled yet","OK"))))))))</f>
        <v>0</v>
      </c>
    </row>
    <row r="367" spans="1:23">
      <c r="A367" s="28">
        <f>IF(B367="","",PaymentPrefix&amp;TEXT(ROW()-4,"0000"))</f>
        <v>0</v>
      </c>
      <c r="D367" s="15">
        <f>IF(C367="","",IFERROR(INDEX(Clients!$B$5:$B$504,MATCH(C367,Clients!$A$5:$A$504,0)),"Walk-in"))</f>
        <v>0</v>
      </c>
      <c r="K367" s="15">
        <f>IF(J367="","",IFERROR(INDEX(Staff!$B$5:$B$44,MATCH(J367,Staff!$A$5:$A$44,0)),""))</f>
        <v>0</v>
      </c>
      <c r="O367" s="15">
        <f>IF(B367="","",TEXT(B367,"yyyy-mm"))</f>
        <v>0</v>
      </c>
      <c r="P367" s="25">
        <f>IF(B367="","",WEEKNUM(B367,2))</f>
        <v>0</v>
      </c>
      <c r="Q367" s="38">
        <f>IF(B367="","",IF(E367="Tip","No",IF(E367="Refund","No","Yes")))</f>
        <v>0</v>
      </c>
      <c r="R367" s="25">
        <f>IF(B367="","",IF(E367="Refund",-1,1))</f>
        <v>0</v>
      </c>
      <c r="S367" s="26">
        <f>IF(B367="","",IF(G367="",0,IF(F367="Card",ROUND(G367*CardFeePercent+CardFeeFixed,2),IF(F367="Online deposit",ROUND(G367*CardFeePercent+CardFeeFixed,2),0))))</f>
        <v>0</v>
      </c>
      <c r="T367" s="26">
        <f>IF(B367="","",ROUND(IF(G367="",0,G367)*R367-S367,2))</f>
        <v>0</v>
      </c>
      <c r="U367" s="38">
        <f>IF(B367="","",IF(E367="Tip","Yes","No"))</f>
        <v>0</v>
      </c>
      <c r="V367" s="15">
        <f>IF(B367="","",IF(H367&lt;&gt;"","Sale "&amp;H367,IF(I367&lt;&gt;"","Booking "&amp;I367,IF(E367="Tip","Stylist","Unapplied"))))</f>
        <v>0</v>
      </c>
      <c r="W367" s="39">
        <f>IF(B367="","",IF(G367="","Add - no amount yet",IF(E367="","Add - what was this for?",IF(IF(H367="",FALSE,COUNTIF(Sales!$A$5:$A$1204,H367)=0),"Missing - no sale with that ID",IF(IF(I367="",FALSE,COUNTIF(Appointments!$A$5:$A$1204,I367)=0),"Missing - no booking with that ID",IF(IF(E367="Tip",J367="",FALSE),"Assign - whose tip is it?",IF(IF(E367="Deposit",IF(H367="",I367="",FALSE),FALSE),"Check - deposit not tied to a booking",IF(M367="No","Due - not reconciled yet","OK"))))))))</f>
        <v>0</v>
      </c>
    </row>
    <row r="368" spans="1:23">
      <c r="A368" s="28">
        <f>IF(B368="","",PaymentPrefix&amp;TEXT(ROW()-4,"0000"))</f>
        <v>0</v>
      </c>
      <c r="D368" s="15">
        <f>IF(C368="","",IFERROR(INDEX(Clients!$B$5:$B$504,MATCH(C368,Clients!$A$5:$A$504,0)),"Walk-in"))</f>
        <v>0</v>
      </c>
      <c r="K368" s="15">
        <f>IF(J368="","",IFERROR(INDEX(Staff!$B$5:$B$44,MATCH(J368,Staff!$A$5:$A$44,0)),""))</f>
        <v>0</v>
      </c>
      <c r="O368" s="15">
        <f>IF(B368="","",TEXT(B368,"yyyy-mm"))</f>
        <v>0</v>
      </c>
      <c r="P368" s="25">
        <f>IF(B368="","",WEEKNUM(B368,2))</f>
        <v>0</v>
      </c>
      <c r="Q368" s="38">
        <f>IF(B368="","",IF(E368="Tip","No",IF(E368="Refund","No","Yes")))</f>
        <v>0</v>
      </c>
      <c r="R368" s="25">
        <f>IF(B368="","",IF(E368="Refund",-1,1))</f>
        <v>0</v>
      </c>
      <c r="S368" s="26">
        <f>IF(B368="","",IF(G368="",0,IF(F368="Card",ROUND(G368*CardFeePercent+CardFeeFixed,2),IF(F368="Online deposit",ROUND(G368*CardFeePercent+CardFeeFixed,2),0))))</f>
        <v>0</v>
      </c>
      <c r="T368" s="26">
        <f>IF(B368="","",ROUND(IF(G368="",0,G368)*R368-S368,2))</f>
        <v>0</v>
      </c>
      <c r="U368" s="38">
        <f>IF(B368="","",IF(E368="Tip","Yes","No"))</f>
        <v>0</v>
      </c>
      <c r="V368" s="15">
        <f>IF(B368="","",IF(H368&lt;&gt;"","Sale "&amp;H368,IF(I368&lt;&gt;"","Booking "&amp;I368,IF(E368="Tip","Stylist","Unapplied"))))</f>
        <v>0</v>
      </c>
      <c r="W368" s="39">
        <f>IF(B368="","",IF(G368="","Add - no amount yet",IF(E368="","Add - what was this for?",IF(IF(H368="",FALSE,COUNTIF(Sales!$A$5:$A$1204,H368)=0),"Missing - no sale with that ID",IF(IF(I368="",FALSE,COUNTIF(Appointments!$A$5:$A$1204,I368)=0),"Missing - no booking with that ID",IF(IF(E368="Tip",J368="",FALSE),"Assign - whose tip is it?",IF(IF(E368="Deposit",IF(H368="",I368="",FALSE),FALSE),"Check - deposit not tied to a booking",IF(M368="No","Due - not reconciled yet","OK"))))))))</f>
        <v>0</v>
      </c>
    </row>
    <row r="369" spans="1:23">
      <c r="A369" s="28">
        <f>IF(B369="","",PaymentPrefix&amp;TEXT(ROW()-4,"0000"))</f>
        <v>0</v>
      </c>
      <c r="D369" s="15">
        <f>IF(C369="","",IFERROR(INDEX(Clients!$B$5:$B$504,MATCH(C369,Clients!$A$5:$A$504,0)),"Walk-in"))</f>
        <v>0</v>
      </c>
      <c r="K369" s="15">
        <f>IF(J369="","",IFERROR(INDEX(Staff!$B$5:$B$44,MATCH(J369,Staff!$A$5:$A$44,0)),""))</f>
        <v>0</v>
      </c>
      <c r="O369" s="15">
        <f>IF(B369="","",TEXT(B369,"yyyy-mm"))</f>
        <v>0</v>
      </c>
      <c r="P369" s="25">
        <f>IF(B369="","",WEEKNUM(B369,2))</f>
        <v>0</v>
      </c>
      <c r="Q369" s="38">
        <f>IF(B369="","",IF(E369="Tip","No",IF(E369="Refund","No","Yes")))</f>
        <v>0</v>
      </c>
      <c r="R369" s="25">
        <f>IF(B369="","",IF(E369="Refund",-1,1))</f>
        <v>0</v>
      </c>
      <c r="S369" s="26">
        <f>IF(B369="","",IF(G369="",0,IF(F369="Card",ROUND(G369*CardFeePercent+CardFeeFixed,2),IF(F369="Online deposit",ROUND(G369*CardFeePercent+CardFeeFixed,2),0))))</f>
        <v>0</v>
      </c>
      <c r="T369" s="26">
        <f>IF(B369="","",ROUND(IF(G369="",0,G369)*R369-S369,2))</f>
        <v>0</v>
      </c>
      <c r="U369" s="38">
        <f>IF(B369="","",IF(E369="Tip","Yes","No"))</f>
        <v>0</v>
      </c>
      <c r="V369" s="15">
        <f>IF(B369="","",IF(H369&lt;&gt;"","Sale "&amp;H369,IF(I369&lt;&gt;"","Booking "&amp;I369,IF(E369="Tip","Stylist","Unapplied"))))</f>
        <v>0</v>
      </c>
      <c r="W369" s="39">
        <f>IF(B369="","",IF(G369="","Add - no amount yet",IF(E369="","Add - what was this for?",IF(IF(H369="",FALSE,COUNTIF(Sales!$A$5:$A$1204,H369)=0),"Missing - no sale with that ID",IF(IF(I369="",FALSE,COUNTIF(Appointments!$A$5:$A$1204,I369)=0),"Missing - no booking with that ID",IF(IF(E369="Tip",J369="",FALSE),"Assign - whose tip is it?",IF(IF(E369="Deposit",IF(H369="",I369="",FALSE),FALSE),"Check - deposit not tied to a booking",IF(M369="No","Due - not reconciled yet","OK"))))))))</f>
        <v>0</v>
      </c>
    </row>
    <row r="370" spans="1:23">
      <c r="A370" s="28">
        <f>IF(B370="","",PaymentPrefix&amp;TEXT(ROW()-4,"0000"))</f>
        <v>0</v>
      </c>
      <c r="D370" s="15">
        <f>IF(C370="","",IFERROR(INDEX(Clients!$B$5:$B$504,MATCH(C370,Clients!$A$5:$A$504,0)),"Walk-in"))</f>
        <v>0</v>
      </c>
      <c r="K370" s="15">
        <f>IF(J370="","",IFERROR(INDEX(Staff!$B$5:$B$44,MATCH(J370,Staff!$A$5:$A$44,0)),""))</f>
        <v>0</v>
      </c>
      <c r="O370" s="15">
        <f>IF(B370="","",TEXT(B370,"yyyy-mm"))</f>
        <v>0</v>
      </c>
      <c r="P370" s="25">
        <f>IF(B370="","",WEEKNUM(B370,2))</f>
        <v>0</v>
      </c>
      <c r="Q370" s="38">
        <f>IF(B370="","",IF(E370="Tip","No",IF(E370="Refund","No","Yes")))</f>
        <v>0</v>
      </c>
      <c r="R370" s="25">
        <f>IF(B370="","",IF(E370="Refund",-1,1))</f>
        <v>0</v>
      </c>
      <c r="S370" s="26">
        <f>IF(B370="","",IF(G370="",0,IF(F370="Card",ROUND(G370*CardFeePercent+CardFeeFixed,2),IF(F370="Online deposit",ROUND(G370*CardFeePercent+CardFeeFixed,2),0))))</f>
        <v>0</v>
      </c>
      <c r="T370" s="26">
        <f>IF(B370="","",ROUND(IF(G370="",0,G370)*R370-S370,2))</f>
        <v>0</v>
      </c>
      <c r="U370" s="38">
        <f>IF(B370="","",IF(E370="Tip","Yes","No"))</f>
        <v>0</v>
      </c>
      <c r="V370" s="15">
        <f>IF(B370="","",IF(H370&lt;&gt;"","Sale "&amp;H370,IF(I370&lt;&gt;"","Booking "&amp;I370,IF(E370="Tip","Stylist","Unapplied"))))</f>
        <v>0</v>
      </c>
      <c r="W370" s="39">
        <f>IF(B370="","",IF(G370="","Add - no amount yet",IF(E370="","Add - what was this for?",IF(IF(H370="",FALSE,COUNTIF(Sales!$A$5:$A$1204,H370)=0),"Missing - no sale with that ID",IF(IF(I370="",FALSE,COUNTIF(Appointments!$A$5:$A$1204,I370)=0),"Missing - no booking with that ID",IF(IF(E370="Tip",J370="",FALSE),"Assign - whose tip is it?",IF(IF(E370="Deposit",IF(H370="",I370="",FALSE),FALSE),"Check - deposit not tied to a booking",IF(M370="No","Due - not reconciled yet","OK"))))))))</f>
        <v>0</v>
      </c>
    </row>
    <row r="371" spans="1:23">
      <c r="A371" s="28">
        <f>IF(B371="","",PaymentPrefix&amp;TEXT(ROW()-4,"0000"))</f>
        <v>0</v>
      </c>
      <c r="D371" s="15">
        <f>IF(C371="","",IFERROR(INDEX(Clients!$B$5:$B$504,MATCH(C371,Clients!$A$5:$A$504,0)),"Walk-in"))</f>
        <v>0</v>
      </c>
      <c r="K371" s="15">
        <f>IF(J371="","",IFERROR(INDEX(Staff!$B$5:$B$44,MATCH(J371,Staff!$A$5:$A$44,0)),""))</f>
        <v>0</v>
      </c>
      <c r="O371" s="15">
        <f>IF(B371="","",TEXT(B371,"yyyy-mm"))</f>
        <v>0</v>
      </c>
      <c r="P371" s="25">
        <f>IF(B371="","",WEEKNUM(B371,2))</f>
        <v>0</v>
      </c>
      <c r="Q371" s="38">
        <f>IF(B371="","",IF(E371="Tip","No",IF(E371="Refund","No","Yes")))</f>
        <v>0</v>
      </c>
      <c r="R371" s="25">
        <f>IF(B371="","",IF(E371="Refund",-1,1))</f>
        <v>0</v>
      </c>
      <c r="S371" s="26">
        <f>IF(B371="","",IF(G371="",0,IF(F371="Card",ROUND(G371*CardFeePercent+CardFeeFixed,2),IF(F371="Online deposit",ROUND(G371*CardFeePercent+CardFeeFixed,2),0))))</f>
        <v>0</v>
      </c>
      <c r="T371" s="26">
        <f>IF(B371="","",ROUND(IF(G371="",0,G371)*R371-S371,2))</f>
        <v>0</v>
      </c>
      <c r="U371" s="38">
        <f>IF(B371="","",IF(E371="Tip","Yes","No"))</f>
        <v>0</v>
      </c>
      <c r="V371" s="15">
        <f>IF(B371="","",IF(H371&lt;&gt;"","Sale "&amp;H371,IF(I371&lt;&gt;"","Booking "&amp;I371,IF(E371="Tip","Stylist","Unapplied"))))</f>
        <v>0</v>
      </c>
      <c r="W371" s="39">
        <f>IF(B371="","",IF(G371="","Add - no amount yet",IF(E371="","Add - what was this for?",IF(IF(H371="",FALSE,COUNTIF(Sales!$A$5:$A$1204,H371)=0),"Missing - no sale with that ID",IF(IF(I371="",FALSE,COUNTIF(Appointments!$A$5:$A$1204,I371)=0),"Missing - no booking with that ID",IF(IF(E371="Tip",J371="",FALSE),"Assign - whose tip is it?",IF(IF(E371="Deposit",IF(H371="",I371="",FALSE),FALSE),"Check - deposit not tied to a booking",IF(M371="No","Due - not reconciled yet","OK"))))))))</f>
        <v>0</v>
      </c>
    </row>
    <row r="372" spans="1:23">
      <c r="A372" s="28">
        <f>IF(B372="","",PaymentPrefix&amp;TEXT(ROW()-4,"0000"))</f>
        <v>0</v>
      </c>
      <c r="D372" s="15">
        <f>IF(C372="","",IFERROR(INDEX(Clients!$B$5:$B$504,MATCH(C372,Clients!$A$5:$A$504,0)),"Walk-in"))</f>
        <v>0</v>
      </c>
      <c r="K372" s="15">
        <f>IF(J372="","",IFERROR(INDEX(Staff!$B$5:$B$44,MATCH(J372,Staff!$A$5:$A$44,0)),""))</f>
        <v>0</v>
      </c>
      <c r="O372" s="15">
        <f>IF(B372="","",TEXT(B372,"yyyy-mm"))</f>
        <v>0</v>
      </c>
      <c r="P372" s="25">
        <f>IF(B372="","",WEEKNUM(B372,2))</f>
        <v>0</v>
      </c>
      <c r="Q372" s="38">
        <f>IF(B372="","",IF(E372="Tip","No",IF(E372="Refund","No","Yes")))</f>
        <v>0</v>
      </c>
      <c r="R372" s="25">
        <f>IF(B372="","",IF(E372="Refund",-1,1))</f>
        <v>0</v>
      </c>
      <c r="S372" s="26">
        <f>IF(B372="","",IF(G372="",0,IF(F372="Card",ROUND(G372*CardFeePercent+CardFeeFixed,2),IF(F372="Online deposit",ROUND(G372*CardFeePercent+CardFeeFixed,2),0))))</f>
        <v>0</v>
      </c>
      <c r="T372" s="26">
        <f>IF(B372="","",ROUND(IF(G372="",0,G372)*R372-S372,2))</f>
        <v>0</v>
      </c>
      <c r="U372" s="38">
        <f>IF(B372="","",IF(E372="Tip","Yes","No"))</f>
        <v>0</v>
      </c>
      <c r="V372" s="15">
        <f>IF(B372="","",IF(H372&lt;&gt;"","Sale "&amp;H372,IF(I372&lt;&gt;"","Booking "&amp;I372,IF(E372="Tip","Stylist","Unapplied"))))</f>
        <v>0</v>
      </c>
      <c r="W372" s="39">
        <f>IF(B372="","",IF(G372="","Add - no amount yet",IF(E372="","Add - what was this for?",IF(IF(H372="",FALSE,COUNTIF(Sales!$A$5:$A$1204,H372)=0),"Missing - no sale with that ID",IF(IF(I372="",FALSE,COUNTIF(Appointments!$A$5:$A$1204,I372)=0),"Missing - no booking with that ID",IF(IF(E372="Tip",J372="",FALSE),"Assign - whose tip is it?",IF(IF(E372="Deposit",IF(H372="",I372="",FALSE),FALSE),"Check - deposit not tied to a booking",IF(M372="No","Due - not reconciled yet","OK"))))))))</f>
        <v>0</v>
      </c>
    </row>
    <row r="373" spans="1:23">
      <c r="A373" s="28">
        <f>IF(B373="","",PaymentPrefix&amp;TEXT(ROW()-4,"0000"))</f>
        <v>0</v>
      </c>
      <c r="D373" s="15">
        <f>IF(C373="","",IFERROR(INDEX(Clients!$B$5:$B$504,MATCH(C373,Clients!$A$5:$A$504,0)),"Walk-in"))</f>
        <v>0</v>
      </c>
      <c r="K373" s="15">
        <f>IF(J373="","",IFERROR(INDEX(Staff!$B$5:$B$44,MATCH(J373,Staff!$A$5:$A$44,0)),""))</f>
        <v>0</v>
      </c>
      <c r="O373" s="15">
        <f>IF(B373="","",TEXT(B373,"yyyy-mm"))</f>
        <v>0</v>
      </c>
      <c r="P373" s="25">
        <f>IF(B373="","",WEEKNUM(B373,2))</f>
        <v>0</v>
      </c>
      <c r="Q373" s="38">
        <f>IF(B373="","",IF(E373="Tip","No",IF(E373="Refund","No","Yes")))</f>
        <v>0</v>
      </c>
      <c r="R373" s="25">
        <f>IF(B373="","",IF(E373="Refund",-1,1))</f>
        <v>0</v>
      </c>
      <c r="S373" s="26">
        <f>IF(B373="","",IF(G373="",0,IF(F373="Card",ROUND(G373*CardFeePercent+CardFeeFixed,2),IF(F373="Online deposit",ROUND(G373*CardFeePercent+CardFeeFixed,2),0))))</f>
        <v>0</v>
      </c>
      <c r="T373" s="26">
        <f>IF(B373="","",ROUND(IF(G373="",0,G373)*R373-S373,2))</f>
        <v>0</v>
      </c>
      <c r="U373" s="38">
        <f>IF(B373="","",IF(E373="Tip","Yes","No"))</f>
        <v>0</v>
      </c>
      <c r="V373" s="15">
        <f>IF(B373="","",IF(H373&lt;&gt;"","Sale "&amp;H373,IF(I373&lt;&gt;"","Booking "&amp;I373,IF(E373="Tip","Stylist","Unapplied"))))</f>
        <v>0</v>
      </c>
      <c r="W373" s="39">
        <f>IF(B373="","",IF(G373="","Add - no amount yet",IF(E373="","Add - what was this for?",IF(IF(H373="",FALSE,COUNTIF(Sales!$A$5:$A$1204,H373)=0),"Missing - no sale with that ID",IF(IF(I373="",FALSE,COUNTIF(Appointments!$A$5:$A$1204,I373)=0),"Missing - no booking with that ID",IF(IF(E373="Tip",J373="",FALSE),"Assign - whose tip is it?",IF(IF(E373="Deposit",IF(H373="",I373="",FALSE),FALSE),"Check - deposit not tied to a booking",IF(M373="No","Due - not reconciled yet","OK"))))))))</f>
        <v>0</v>
      </c>
    </row>
    <row r="374" spans="1:23">
      <c r="A374" s="28">
        <f>IF(B374="","",PaymentPrefix&amp;TEXT(ROW()-4,"0000"))</f>
        <v>0</v>
      </c>
      <c r="D374" s="15">
        <f>IF(C374="","",IFERROR(INDEX(Clients!$B$5:$B$504,MATCH(C374,Clients!$A$5:$A$504,0)),"Walk-in"))</f>
        <v>0</v>
      </c>
      <c r="K374" s="15">
        <f>IF(J374="","",IFERROR(INDEX(Staff!$B$5:$B$44,MATCH(J374,Staff!$A$5:$A$44,0)),""))</f>
        <v>0</v>
      </c>
      <c r="O374" s="15">
        <f>IF(B374="","",TEXT(B374,"yyyy-mm"))</f>
        <v>0</v>
      </c>
      <c r="P374" s="25">
        <f>IF(B374="","",WEEKNUM(B374,2))</f>
        <v>0</v>
      </c>
      <c r="Q374" s="38">
        <f>IF(B374="","",IF(E374="Tip","No",IF(E374="Refund","No","Yes")))</f>
        <v>0</v>
      </c>
      <c r="R374" s="25">
        <f>IF(B374="","",IF(E374="Refund",-1,1))</f>
        <v>0</v>
      </c>
      <c r="S374" s="26">
        <f>IF(B374="","",IF(G374="",0,IF(F374="Card",ROUND(G374*CardFeePercent+CardFeeFixed,2),IF(F374="Online deposit",ROUND(G374*CardFeePercent+CardFeeFixed,2),0))))</f>
        <v>0</v>
      </c>
      <c r="T374" s="26">
        <f>IF(B374="","",ROUND(IF(G374="",0,G374)*R374-S374,2))</f>
        <v>0</v>
      </c>
      <c r="U374" s="38">
        <f>IF(B374="","",IF(E374="Tip","Yes","No"))</f>
        <v>0</v>
      </c>
      <c r="V374" s="15">
        <f>IF(B374="","",IF(H374&lt;&gt;"","Sale "&amp;H374,IF(I374&lt;&gt;"","Booking "&amp;I374,IF(E374="Tip","Stylist","Unapplied"))))</f>
        <v>0</v>
      </c>
      <c r="W374" s="39">
        <f>IF(B374="","",IF(G374="","Add - no amount yet",IF(E374="","Add - what was this for?",IF(IF(H374="",FALSE,COUNTIF(Sales!$A$5:$A$1204,H374)=0),"Missing - no sale with that ID",IF(IF(I374="",FALSE,COUNTIF(Appointments!$A$5:$A$1204,I374)=0),"Missing - no booking with that ID",IF(IF(E374="Tip",J374="",FALSE),"Assign - whose tip is it?",IF(IF(E374="Deposit",IF(H374="",I374="",FALSE),FALSE),"Check - deposit not tied to a booking",IF(M374="No","Due - not reconciled yet","OK"))))))))</f>
        <v>0</v>
      </c>
    </row>
    <row r="375" spans="1:23">
      <c r="A375" s="28">
        <f>IF(B375="","",PaymentPrefix&amp;TEXT(ROW()-4,"0000"))</f>
        <v>0</v>
      </c>
      <c r="D375" s="15">
        <f>IF(C375="","",IFERROR(INDEX(Clients!$B$5:$B$504,MATCH(C375,Clients!$A$5:$A$504,0)),"Walk-in"))</f>
        <v>0</v>
      </c>
      <c r="K375" s="15">
        <f>IF(J375="","",IFERROR(INDEX(Staff!$B$5:$B$44,MATCH(J375,Staff!$A$5:$A$44,0)),""))</f>
        <v>0</v>
      </c>
      <c r="O375" s="15">
        <f>IF(B375="","",TEXT(B375,"yyyy-mm"))</f>
        <v>0</v>
      </c>
      <c r="P375" s="25">
        <f>IF(B375="","",WEEKNUM(B375,2))</f>
        <v>0</v>
      </c>
      <c r="Q375" s="38">
        <f>IF(B375="","",IF(E375="Tip","No",IF(E375="Refund","No","Yes")))</f>
        <v>0</v>
      </c>
      <c r="R375" s="25">
        <f>IF(B375="","",IF(E375="Refund",-1,1))</f>
        <v>0</v>
      </c>
      <c r="S375" s="26">
        <f>IF(B375="","",IF(G375="",0,IF(F375="Card",ROUND(G375*CardFeePercent+CardFeeFixed,2),IF(F375="Online deposit",ROUND(G375*CardFeePercent+CardFeeFixed,2),0))))</f>
        <v>0</v>
      </c>
      <c r="T375" s="26">
        <f>IF(B375="","",ROUND(IF(G375="",0,G375)*R375-S375,2))</f>
        <v>0</v>
      </c>
      <c r="U375" s="38">
        <f>IF(B375="","",IF(E375="Tip","Yes","No"))</f>
        <v>0</v>
      </c>
      <c r="V375" s="15">
        <f>IF(B375="","",IF(H375&lt;&gt;"","Sale "&amp;H375,IF(I375&lt;&gt;"","Booking "&amp;I375,IF(E375="Tip","Stylist","Unapplied"))))</f>
        <v>0</v>
      </c>
      <c r="W375" s="39">
        <f>IF(B375="","",IF(G375="","Add - no amount yet",IF(E375="","Add - what was this for?",IF(IF(H375="",FALSE,COUNTIF(Sales!$A$5:$A$1204,H375)=0),"Missing - no sale with that ID",IF(IF(I375="",FALSE,COUNTIF(Appointments!$A$5:$A$1204,I375)=0),"Missing - no booking with that ID",IF(IF(E375="Tip",J375="",FALSE),"Assign - whose tip is it?",IF(IF(E375="Deposit",IF(H375="",I375="",FALSE),FALSE),"Check - deposit not tied to a booking",IF(M375="No","Due - not reconciled yet","OK"))))))))</f>
        <v>0</v>
      </c>
    </row>
    <row r="376" spans="1:23">
      <c r="A376" s="28">
        <f>IF(B376="","",PaymentPrefix&amp;TEXT(ROW()-4,"0000"))</f>
        <v>0</v>
      </c>
      <c r="D376" s="15">
        <f>IF(C376="","",IFERROR(INDEX(Clients!$B$5:$B$504,MATCH(C376,Clients!$A$5:$A$504,0)),"Walk-in"))</f>
        <v>0</v>
      </c>
      <c r="K376" s="15">
        <f>IF(J376="","",IFERROR(INDEX(Staff!$B$5:$B$44,MATCH(J376,Staff!$A$5:$A$44,0)),""))</f>
        <v>0</v>
      </c>
      <c r="O376" s="15">
        <f>IF(B376="","",TEXT(B376,"yyyy-mm"))</f>
        <v>0</v>
      </c>
      <c r="P376" s="25">
        <f>IF(B376="","",WEEKNUM(B376,2))</f>
        <v>0</v>
      </c>
      <c r="Q376" s="38">
        <f>IF(B376="","",IF(E376="Tip","No",IF(E376="Refund","No","Yes")))</f>
        <v>0</v>
      </c>
      <c r="R376" s="25">
        <f>IF(B376="","",IF(E376="Refund",-1,1))</f>
        <v>0</v>
      </c>
      <c r="S376" s="26">
        <f>IF(B376="","",IF(G376="",0,IF(F376="Card",ROUND(G376*CardFeePercent+CardFeeFixed,2),IF(F376="Online deposit",ROUND(G376*CardFeePercent+CardFeeFixed,2),0))))</f>
        <v>0</v>
      </c>
      <c r="T376" s="26">
        <f>IF(B376="","",ROUND(IF(G376="",0,G376)*R376-S376,2))</f>
        <v>0</v>
      </c>
      <c r="U376" s="38">
        <f>IF(B376="","",IF(E376="Tip","Yes","No"))</f>
        <v>0</v>
      </c>
      <c r="V376" s="15">
        <f>IF(B376="","",IF(H376&lt;&gt;"","Sale "&amp;H376,IF(I376&lt;&gt;"","Booking "&amp;I376,IF(E376="Tip","Stylist","Unapplied"))))</f>
        <v>0</v>
      </c>
      <c r="W376" s="39">
        <f>IF(B376="","",IF(G376="","Add - no amount yet",IF(E376="","Add - what was this for?",IF(IF(H376="",FALSE,COUNTIF(Sales!$A$5:$A$1204,H376)=0),"Missing - no sale with that ID",IF(IF(I376="",FALSE,COUNTIF(Appointments!$A$5:$A$1204,I376)=0),"Missing - no booking with that ID",IF(IF(E376="Tip",J376="",FALSE),"Assign - whose tip is it?",IF(IF(E376="Deposit",IF(H376="",I376="",FALSE),FALSE),"Check - deposit not tied to a booking",IF(M376="No","Due - not reconciled yet","OK"))))))))</f>
        <v>0</v>
      </c>
    </row>
    <row r="377" spans="1:23">
      <c r="A377" s="28">
        <f>IF(B377="","",PaymentPrefix&amp;TEXT(ROW()-4,"0000"))</f>
        <v>0</v>
      </c>
      <c r="D377" s="15">
        <f>IF(C377="","",IFERROR(INDEX(Clients!$B$5:$B$504,MATCH(C377,Clients!$A$5:$A$504,0)),"Walk-in"))</f>
        <v>0</v>
      </c>
      <c r="K377" s="15">
        <f>IF(J377="","",IFERROR(INDEX(Staff!$B$5:$B$44,MATCH(J377,Staff!$A$5:$A$44,0)),""))</f>
        <v>0</v>
      </c>
      <c r="O377" s="15">
        <f>IF(B377="","",TEXT(B377,"yyyy-mm"))</f>
        <v>0</v>
      </c>
      <c r="P377" s="25">
        <f>IF(B377="","",WEEKNUM(B377,2))</f>
        <v>0</v>
      </c>
      <c r="Q377" s="38">
        <f>IF(B377="","",IF(E377="Tip","No",IF(E377="Refund","No","Yes")))</f>
        <v>0</v>
      </c>
      <c r="R377" s="25">
        <f>IF(B377="","",IF(E377="Refund",-1,1))</f>
        <v>0</v>
      </c>
      <c r="S377" s="26">
        <f>IF(B377="","",IF(G377="",0,IF(F377="Card",ROUND(G377*CardFeePercent+CardFeeFixed,2),IF(F377="Online deposit",ROUND(G377*CardFeePercent+CardFeeFixed,2),0))))</f>
        <v>0</v>
      </c>
      <c r="T377" s="26">
        <f>IF(B377="","",ROUND(IF(G377="",0,G377)*R377-S377,2))</f>
        <v>0</v>
      </c>
      <c r="U377" s="38">
        <f>IF(B377="","",IF(E377="Tip","Yes","No"))</f>
        <v>0</v>
      </c>
      <c r="V377" s="15">
        <f>IF(B377="","",IF(H377&lt;&gt;"","Sale "&amp;H377,IF(I377&lt;&gt;"","Booking "&amp;I377,IF(E377="Tip","Stylist","Unapplied"))))</f>
        <v>0</v>
      </c>
      <c r="W377" s="39">
        <f>IF(B377="","",IF(G377="","Add - no amount yet",IF(E377="","Add - what was this for?",IF(IF(H377="",FALSE,COUNTIF(Sales!$A$5:$A$1204,H377)=0),"Missing - no sale with that ID",IF(IF(I377="",FALSE,COUNTIF(Appointments!$A$5:$A$1204,I377)=0),"Missing - no booking with that ID",IF(IF(E377="Tip",J377="",FALSE),"Assign - whose tip is it?",IF(IF(E377="Deposit",IF(H377="",I377="",FALSE),FALSE),"Check - deposit not tied to a booking",IF(M377="No","Due - not reconciled yet","OK"))))))))</f>
        <v>0</v>
      </c>
    </row>
    <row r="378" spans="1:23">
      <c r="A378" s="28">
        <f>IF(B378="","",PaymentPrefix&amp;TEXT(ROW()-4,"0000"))</f>
        <v>0</v>
      </c>
      <c r="D378" s="15">
        <f>IF(C378="","",IFERROR(INDEX(Clients!$B$5:$B$504,MATCH(C378,Clients!$A$5:$A$504,0)),"Walk-in"))</f>
        <v>0</v>
      </c>
      <c r="K378" s="15">
        <f>IF(J378="","",IFERROR(INDEX(Staff!$B$5:$B$44,MATCH(J378,Staff!$A$5:$A$44,0)),""))</f>
        <v>0</v>
      </c>
      <c r="O378" s="15">
        <f>IF(B378="","",TEXT(B378,"yyyy-mm"))</f>
        <v>0</v>
      </c>
      <c r="P378" s="25">
        <f>IF(B378="","",WEEKNUM(B378,2))</f>
        <v>0</v>
      </c>
      <c r="Q378" s="38">
        <f>IF(B378="","",IF(E378="Tip","No",IF(E378="Refund","No","Yes")))</f>
        <v>0</v>
      </c>
      <c r="R378" s="25">
        <f>IF(B378="","",IF(E378="Refund",-1,1))</f>
        <v>0</v>
      </c>
      <c r="S378" s="26">
        <f>IF(B378="","",IF(G378="",0,IF(F378="Card",ROUND(G378*CardFeePercent+CardFeeFixed,2),IF(F378="Online deposit",ROUND(G378*CardFeePercent+CardFeeFixed,2),0))))</f>
        <v>0</v>
      </c>
      <c r="T378" s="26">
        <f>IF(B378="","",ROUND(IF(G378="",0,G378)*R378-S378,2))</f>
        <v>0</v>
      </c>
      <c r="U378" s="38">
        <f>IF(B378="","",IF(E378="Tip","Yes","No"))</f>
        <v>0</v>
      </c>
      <c r="V378" s="15">
        <f>IF(B378="","",IF(H378&lt;&gt;"","Sale "&amp;H378,IF(I378&lt;&gt;"","Booking "&amp;I378,IF(E378="Tip","Stylist","Unapplied"))))</f>
        <v>0</v>
      </c>
      <c r="W378" s="39">
        <f>IF(B378="","",IF(G378="","Add - no amount yet",IF(E378="","Add - what was this for?",IF(IF(H378="",FALSE,COUNTIF(Sales!$A$5:$A$1204,H378)=0),"Missing - no sale with that ID",IF(IF(I378="",FALSE,COUNTIF(Appointments!$A$5:$A$1204,I378)=0),"Missing - no booking with that ID",IF(IF(E378="Tip",J378="",FALSE),"Assign - whose tip is it?",IF(IF(E378="Deposit",IF(H378="",I378="",FALSE),FALSE),"Check - deposit not tied to a booking",IF(M378="No","Due - not reconciled yet","OK"))))))))</f>
        <v>0</v>
      </c>
    </row>
    <row r="379" spans="1:23">
      <c r="A379" s="28">
        <f>IF(B379="","",PaymentPrefix&amp;TEXT(ROW()-4,"0000"))</f>
        <v>0</v>
      </c>
      <c r="D379" s="15">
        <f>IF(C379="","",IFERROR(INDEX(Clients!$B$5:$B$504,MATCH(C379,Clients!$A$5:$A$504,0)),"Walk-in"))</f>
        <v>0</v>
      </c>
      <c r="K379" s="15">
        <f>IF(J379="","",IFERROR(INDEX(Staff!$B$5:$B$44,MATCH(J379,Staff!$A$5:$A$44,0)),""))</f>
        <v>0</v>
      </c>
      <c r="O379" s="15">
        <f>IF(B379="","",TEXT(B379,"yyyy-mm"))</f>
        <v>0</v>
      </c>
      <c r="P379" s="25">
        <f>IF(B379="","",WEEKNUM(B379,2))</f>
        <v>0</v>
      </c>
      <c r="Q379" s="38">
        <f>IF(B379="","",IF(E379="Tip","No",IF(E379="Refund","No","Yes")))</f>
        <v>0</v>
      </c>
      <c r="R379" s="25">
        <f>IF(B379="","",IF(E379="Refund",-1,1))</f>
        <v>0</v>
      </c>
      <c r="S379" s="26">
        <f>IF(B379="","",IF(G379="",0,IF(F379="Card",ROUND(G379*CardFeePercent+CardFeeFixed,2),IF(F379="Online deposit",ROUND(G379*CardFeePercent+CardFeeFixed,2),0))))</f>
        <v>0</v>
      </c>
      <c r="T379" s="26">
        <f>IF(B379="","",ROUND(IF(G379="",0,G379)*R379-S379,2))</f>
        <v>0</v>
      </c>
      <c r="U379" s="38">
        <f>IF(B379="","",IF(E379="Tip","Yes","No"))</f>
        <v>0</v>
      </c>
      <c r="V379" s="15">
        <f>IF(B379="","",IF(H379&lt;&gt;"","Sale "&amp;H379,IF(I379&lt;&gt;"","Booking "&amp;I379,IF(E379="Tip","Stylist","Unapplied"))))</f>
        <v>0</v>
      </c>
      <c r="W379" s="39">
        <f>IF(B379="","",IF(G379="","Add - no amount yet",IF(E379="","Add - what was this for?",IF(IF(H379="",FALSE,COUNTIF(Sales!$A$5:$A$1204,H379)=0),"Missing - no sale with that ID",IF(IF(I379="",FALSE,COUNTIF(Appointments!$A$5:$A$1204,I379)=0),"Missing - no booking with that ID",IF(IF(E379="Tip",J379="",FALSE),"Assign - whose tip is it?",IF(IF(E379="Deposit",IF(H379="",I379="",FALSE),FALSE),"Check - deposit not tied to a booking",IF(M379="No","Due - not reconciled yet","OK"))))))))</f>
        <v>0</v>
      </c>
    </row>
    <row r="380" spans="1:23">
      <c r="A380" s="28">
        <f>IF(B380="","",PaymentPrefix&amp;TEXT(ROW()-4,"0000"))</f>
        <v>0</v>
      </c>
      <c r="D380" s="15">
        <f>IF(C380="","",IFERROR(INDEX(Clients!$B$5:$B$504,MATCH(C380,Clients!$A$5:$A$504,0)),"Walk-in"))</f>
        <v>0</v>
      </c>
      <c r="K380" s="15">
        <f>IF(J380="","",IFERROR(INDEX(Staff!$B$5:$B$44,MATCH(J380,Staff!$A$5:$A$44,0)),""))</f>
        <v>0</v>
      </c>
      <c r="O380" s="15">
        <f>IF(B380="","",TEXT(B380,"yyyy-mm"))</f>
        <v>0</v>
      </c>
      <c r="P380" s="25">
        <f>IF(B380="","",WEEKNUM(B380,2))</f>
        <v>0</v>
      </c>
      <c r="Q380" s="38">
        <f>IF(B380="","",IF(E380="Tip","No",IF(E380="Refund","No","Yes")))</f>
        <v>0</v>
      </c>
      <c r="R380" s="25">
        <f>IF(B380="","",IF(E380="Refund",-1,1))</f>
        <v>0</v>
      </c>
      <c r="S380" s="26">
        <f>IF(B380="","",IF(G380="",0,IF(F380="Card",ROUND(G380*CardFeePercent+CardFeeFixed,2),IF(F380="Online deposit",ROUND(G380*CardFeePercent+CardFeeFixed,2),0))))</f>
        <v>0</v>
      </c>
      <c r="T380" s="26">
        <f>IF(B380="","",ROUND(IF(G380="",0,G380)*R380-S380,2))</f>
        <v>0</v>
      </c>
      <c r="U380" s="38">
        <f>IF(B380="","",IF(E380="Tip","Yes","No"))</f>
        <v>0</v>
      </c>
      <c r="V380" s="15">
        <f>IF(B380="","",IF(H380&lt;&gt;"","Sale "&amp;H380,IF(I380&lt;&gt;"","Booking "&amp;I380,IF(E380="Tip","Stylist","Unapplied"))))</f>
        <v>0</v>
      </c>
      <c r="W380" s="39">
        <f>IF(B380="","",IF(G380="","Add - no amount yet",IF(E380="","Add - what was this for?",IF(IF(H380="",FALSE,COUNTIF(Sales!$A$5:$A$1204,H380)=0),"Missing - no sale with that ID",IF(IF(I380="",FALSE,COUNTIF(Appointments!$A$5:$A$1204,I380)=0),"Missing - no booking with that ID",IF(IF(E380="Tip",J380="",FALSE),"Assign - whose tip is it?",IF(IF(E380="Deposit",IF(H380="",I380="",FALSE),FALSE),"Check - deposit not tied to a booking",IF(M380="No","Due - not reconciled yet","OK"))))))))</f>
        <v>0</v>
      </c>
    </row>
    <row r="381" spans="1:23">
      <c r="A381" s="28">
        <f>IF(B381="","",PaymentPrefix&amp;TEXT(ROW()-4,"0000"))</f>
        <v>0</v>
      </c>
      <c r="D381" s="15">
        <f>IF(C381="","",IFERROR(INDEX(Clients!$B$5:$B$504,MATCH(C381,Clients!$A$5:$A$504,0)),"Walk-in"))</f>
        <v>0</v>
      </c>
      <c r="K381" s="15">
        <f>IF(J381="","",IFERROR(INDEX(Staff!$B$5:$B$44,MATCH(J381,Staff!$A$5:$A$44,0)),""))</f>
        <v>0</v>
      </c>
      <c r="O381" s="15">
        <f>IF(B381="","",TEXT(B381,"yyyy-mm"))</f>
        <v>0</v>
      </c>
      <c r="P381" s="25">
        <f>IF(B381="","",WEEKNUM(B381,2))</f>
        <v>0</v>
      </c>
      <c r="Q381" s="38">
        <f>IF(B381="","",IF(E381="Tip","No",IF(E381="Refund","No","Yes")))</f>
        <v>0</v>
      </c>
      <c r="R381" s="25">
        <f>IF(B381="","",IF(E381="Refund",-1,1))</f>
        <v>0</v>
      </c>
      <c r="S381" s="26">
        <f>IF(B381="","",IF(G381="",0,IF(F381="Card",ROUND(G381*CardFeePercent+CardFeeFixed,2),IF(F381="Online deposit",ROUND(G381*CardFeePercent+CardFeeFixed,2),0))))</f>
        <v>0</v>
      </c>
      <c r="T381" s="26">
        <f>IF(B381="","",ROUND(IF(G381="",0,G381)*R381-S381,2))</f>
        <v>0</v>
      </c>
      <c r="U381" s="38">
        <f>IF(B381="","",IF(E381="Tip","Yes","No"))</f>
        <v>0</v>
      </c>
      <c r="V381" s="15">
        <f>IF(B381="","",IF(H381&lt;&gt;"","Sale "&amp;H381,IF(I381&lt;&gt;"","Booking "&amp;I381,IF(E381="Tip","Stylist","Unapplied"))))</f>
        <v>0</v>
      </c>
      <c r="W381" s="39">
        <f>IF(B381="","",IF(G381="","Add - no amount yet",IF(E381="","Add - what was this for?",IF(IF(H381="",FALSE,COUNTIF(Sales!$A$5:$A$1204,H381)=0),"Missing - no sale with that ID",IF(IF(I381="",FALSE,COUNTIF(Appointments!$A$5:$A$1204,I381)=0),"Missing - no booking with that ID",IF(IF(E381="Tip",J381="",FALSE),"Assign - whose tip is it?",IF(IF(E381="Deposit",IF(H381="",I381="",FALSE),FALSE),"Check - deposit not tied to a booking",IF(M381="No","Due - not reconciled yet","OK"))))))))</f>
        <v>0</v>
      </c>
    </row>
    <row r="382" spans="1:23">
      <c r="A382" s="28">
        <f>IF(B382="","",PaymentPrefix&amp;TEXT(ROW()-4,"0000"))</f>
        <v>0</v>
      </c>
      <c r="D382" s="15">
        <f>IF(C382="","",IFERROR(INDEX(Clients!$B$5:$B$504,MATCH(C382,Clients!$A$5:$A$504,0)),"Walk-in"))</f>
        <v>0</v>
      </c>
      <c r="K382" s="15">
        <f>IF(J382="","",IFERROR(INDEX(Staff!$B$5:$B$44,MATCH(J382,Staff!$A$5:$A$44,0)),""))</f>
        <v>0</v>
      </c>
      <c r="O382" s="15">
        <f>IF(B382="","",TEXT(B382,"yyyy-mm"))</f>
        <v>0</v>
      </c>
      <c r="P382" s="25">
        <f>IF(B382="","",WEEKNUM(B382,2))</f>
        <v>0</v>
      </c>
      <c r="Q382" s="38">
        <f>IF(B382="","",IF(E382="Tip","No",IF(E382="Refund","No","Yes")))</f>
        <v>0</v>
      </c>
      <c r="R382" s="25">
        <f>IF(B382="","",IF(E382="Refund",-1,1))</f>
        <v>0</v>
      </c>
      <c r="S382" s="26">
        <f>IF(B382="","",IF(G382="",0,IF(F382="Card",ROUND(G382*CardFeePercent+CardFeeFixed,2),IF(F382="Online deposit",ROUND(G382*CardFeePercent+CardFeeFixed,2),0))))</f>
        <v>0</v>
      </c>
      <c r="T382" s="26">
        <f>IF(B382="","",ROUND(IF(G382="",0,G382)*R382-S382,2))</f>
        <v>0</v>
      </c>
      <c r="U382" s="38">
        <f>IF(B382="","",IF(E382="Tip","Yes","No"))</f>
        <v>0</v>
      </c>
      <c r="V382" s="15">
        <f>IF(B382="","",IF(H382&lt;&gt;"","Sale "&amp;H382,IF(I382&lt;&gt;"","Booking "&amp;I382,IF(E382="Tip","Stylist","Unapplied"))))</f>
        <v>0</v>
      </c>
      <c r="W382" s="39">
        <f>IF(B382="","",IF(G382="","Add - no amount yet",IF(E382="","Add - what was this for?",IF(IF(H382="",FALSE,COUNTIF(Sales!$A$5:$A$1204,H382)=0),"Missing - no sale with that ID",IF(IF(I382="",FALSE,COUNTIF(Appointments!$A$5:$A$1204,I382)=0),"Missing - no booking with that ID",IF(IF(E382="Tip",J382="",FALSE),"Assign - whose tip is it?",IF(IF(E382="Deposit",IF(H382="",I382="",FALSE),FALSE),"Check - deposit not tied to a booking",IF(M382="No","Due - not reconciled yet","OK"))))))))</f>
        <v>0</v>
      </c>
    </row>
    <row r="383" spans="1:23">
      <c r="A383" s="28">
        <f>IF(B383="","",PaymentPrefix&amp;TEXT(ROW()-4,"0000"))</f>
        <v>0</v>
      </c>
      <c r="D383" s="15">
        <f>IF(C383="","",IFERROR(INDEX(Clients!$B$5:$B$504,MATCH(C383,Clients!$A$5:$A$504,0)),"Walk-in"))</f>
        <v>0</v>
      </c>
      <c r="K383" s="15">
        <f>IF(J383="","",IFERROR(INDEX(Staff!$B$5:$B$44,MATCH(J383,Staff!$A$5:$A$44,0)),""))</f>
        <v>0</v>
      </c>
      <c r="O383" s="15">
        <f>IF(B383="","",TEXT(B383,"yyyy-mm"))</f>
        <v>0</v>
      </c>
      <c r="P383" s="25">
        <f>IF(B383="","",WEEKNUM(B383,2))</f>
        <v>0</v>
      </c>
      <c r="Q383" s="38">
        <f>IF(B383="","",IF(E383="Tip","No",IF(E383="Refund","No","Yes")))</f>
        <v>0</v>
      </c>
      <c r="R383" s="25">
        <f>IF(B383="","",IF(E383="Refund",-1,1))</f>
        <v>0</v>
      </c>
      <c r="S383" s="26">
        <f>IF(B383="","",IF(G383="",0,IF(F383="Card",ROUND(G383*CardFeePercent+CardFeeFixed,2),IF(F383="Online deposit",ROUND(G383*CardFeePercent+CardFeeFixed,2),0))))</f>
        <v>0</v>
      </c>
      <c r="T383" s="26">
        <f>IF(B383="","",ROUND(IF(G383="",0,G383)*R383-S383,2))</f>
        <v>0</v>
      </c>
      <c r="U383" s="38">
        <f>IF(B383="","",IF(E383="Tip","Yes","No"))</f>
        <v>0</v>
      </c>
      <c r="V383" s="15">
        <f>IF(B383="","",IF(H383&lt;&gt;"","Sale "&amp;H383,IF(I383&lt;&gt;"","Booking "&amp;I383,IF(E383="Tip","Stylist","Unapplied"))))</f>
        <v>0</v>
      </c>
      <c r="W383" s="39">
        <f>IF(B383="","",IF(G383="","Add - no amount yet",IF(E383="","Add - what was this for?",IF(IF(H383="",FALSE,COUNTIF(Sales!$A$5:$A$1204,H383)=0),"Missing - no sale with that ID",IF(IF(I383="",FALSE,COUNTIF(Appointments!$A$5:$A$1204,I383)=0),"Missing - no booking with that ID",IF(IF(E383="Tip",J383="",FALSE),"Assign - whose tip is it?",IF(IF(E383="Deposit",IF(H383="",I383="",FALSE),FALSE),"Check - deposit not tied to a booking",IF(M383="No","Due - not reconciled yet","OK"))))))))</f>
        <v>0</v>
      </c>
    </row>
    <row r="384" spans="1:23">
      <c r="A384" s="28">
        <f>IF(B384="","",PaymentPrefix&amp;TEXT(ROW()-4,"0000"))</f>
        <v>0</v>
      </c>
      <c r="D384" s="15">
        <f>IF(C384="","",IFERROR(INDEX(Clients!$B$5:$B$504,MATCH(C384,Clients!$A$5:$A$504,0)),"Walk-in"))</f>
        <v>0</v>
      </c>
      <c r="K384" s="15">
        <f>IF(J384="","",IFERROR(INDEX(Staff!$B$5:$B$44,MATCH(J384,Staff!$A$5:$A$44,0)),""))</f>
        <v>0</v>
      </c>
      <c r="O384" s="15">
        <f>IF(B384="","",TEXT(B384,"yyyy-mm"))</f>
        <v>0</v>
      </c>
      <c r="P384" s="25">
        <f>IF(B384="","",WEEKNUM(B384,2))</f>
        <v>0</v>
      </c>
      <c r="Q384" s="38">
        <f>IF(B384="","",IF(E384="Tip","No",IF(E384="Refund","No","Yes")))</f>
        <v>0</v>
      </c>
      <c r="R384" s="25">
        <f>IF(B384="","",IF(E384="Refund",-1,1))</f>
        <v>0</v>
      </c>
      <c r="S384" s="26">
        <f>IF(B384="","",IF(G384="",0,IF(F384="Card",ROUND(G384*CardFeePercent+CardFeeFixed,2),IF(F384="Online deposit",ROUND(G384*CardFeePercent+CardFeeFixed,2),0))))</f>
        <v>0</v>
      </c>
      <c r="T384" s="26">
        <f>IF(B384="","",ROUND(IF(G384="",0,G384)*R384-S384,2))</f>
        <v>0</v>
      </c>
      <c r="U384" s="38">
        <f>IF(B384="","",IF(E384="Tip","Yes","No"))</f>
        <v>0</v>
      </c>
      <c r="V384" s="15">
        <f>IF(B384="","",IF(H384&lt;&gt;"","Sale "&amp;H384,IF(I384&lt;&gt;"","Booking "&amp;I384,IF(E384="Tip","Stylist","Unapplied"))))</f>
        <v>0</v>
      </c>
      <c r="W384" s="39">
        <f>IF(B384="","",IF(G384="","Add - no amount yet",IF(E384="","Add - what was this for?",IF(IF(H384="",FALSE,COUNTIF(Sales!$A$5:$A$1204,H384)=0),"Missing - no sale with that ID",IF(IF(I384="",FALSE,COUNTIF(Appointments!$A$5:$A$1204,I384)=0),"Missing - no booking with that ID",IF(IF(E384="Tip",J384="",FALSE),"Assign - whose tip is it?",IF(IF(E384="Deposit",IF(H384="",I384="",FALSE),FALSE),"Check - deposit not tied to a booking",IF(M384="No","Due - not reconciled yet","OK"))))))))</f>
        <v>0</v>
      </c>
    </row>
    <row r="385" spans="1:23">
      <c r="A385" s="28">
        <f>IF(B385="","",PaymentPrefix&amp;TEXT(ROW()-4,"0000"))</f>
        <v>0</v>
      </c>
      <c r="D385" s="15">
        <f>IF(C385="","",IFERROR(INDEX(Clients!$B$5:$B$504,MATCH(C385,Clients!$A$5:$A$504,0)),"Walk-in"))</f>
        <v>0</v>
      </c>
      <c r="K385" s="15">
        <f>IF(J385="","",IFERROR(INDEX(Staff!$B$5:$B$44,MATCH(J385,Staff!$A$5:$A$44,0)),""))</f>
        <v>0</v>
      </c>
      <c r="O385" s="15">
        <f>IF(B385="","",TEXT(B385,"yyyy-mm"))</f>
        <v>0</v>
      </c>
      <c r="P385" s="25">
        <f>IF(B385="","",WEEKNUM(B385,2))</f>
        <v>0</v>
      </c>
      <c r="Q385" s="38">
        <f>IF(B385="","",IF(E385="Tip","No",IF(E385="Refund","No","Yes")))</f>
        <v>0</v>
      </c>
      <c r="R385" s="25">
        <f>IF(B385="","",IF(E385="Refund",-1,1))</f>
        <v>0</v>
      </c>
      <c r="S385" s="26">
        <f>IF(B385="","",IF(G385="",0,IF(F385="Card",ROUND(G385*CardFeePercent+CardFeeFixed,2),IF(F385="Online deposit",ROUND(G385*CardFeePercent+CardFeeFixed,2),0))))</f>
        <v>0</v>
      </c>
      <c r="T385" s="26">
        <f>IF(B385="","",ROUND(IF(G385="",0,G385)*R385-S385,2))</f>
        <v>0</v>
      </c>
      <c r="U385" s="38">
        <f>IF(B385="","",IF(E385="Tip","Yes","No"))</f>
        <v>0</v>
      </c>
      <c r="V385" s="15">
        <f>IF(B385="","",IF(H385&lt;&gt;"","Sale "&amp;H385,IF(I385&lt;&gt;"","Booking "&amp;I385,IF(E385="Tip","Stylist","Unapplied"))))</f>
        <v>0</v>
      </c>
      <c r="W385" s="39">
        <f>IF(B385="","",IF(G385="","Add - no amount yet",IF(E385="","Add - what was this for?",IF(IF(H385="",FALSE,COUNTIF(Sales!$A$5:$A$1204,H385)=0),"Missing - no sale with that ID",IF(IF(I385="",FALSE,COUNTIF(Appointments!$A$5:$A$1204,I385)=0),"Missing - no booking with that ID",IF(IF(E385="Tip",J385="",FALSE),"Assign - whose tip is it?",IF(IF(E385="Deposit",IF(H385="",I385="",FALSE),FALSE),"Check - deposit not tied to a booking",IF(M385="No","Due - not reconciled yet","OK"))))))))</f>
        <v>0</v>
      </c>
    </row>
    <row r="386" spans="1:23">
      <c r="A386" s="28">
        <f>IF(B386="","",PaymentPrefix&amp;TEXT(ROW()-4,"0000"))</f>
        <v>0</v>
      </c>
      <c r="D386" s="15">
        <f>IF(C386="","",IFERROR(INDEX(Clients!$B$5:$B$504,MATCH(C386,Clients!$A$5:$A$504,0)),"Walk-in"))</f>
        <v>0</v>
      </c>
      <c r="K386" s="15">
        <f>IF(J386="","",IFERROR(INDEX(Staff!$B$5:$B$44,MATCH(J386,Staff!$A$5:$A$44,0)),""))</f>
        <v>0</v>
      </c>
      <c r="O386" s="15">
        <f>IF(B386="","",TEXT(B386,"yyyy-mm"))</f>
        <v>0</v>
      </c>
      <c r="P386" s="25">
        <f>IF(B386="","",WEEKNUM(B386,2))</f>
        <v>0</v>
      </c>
      <c r="Q386" s="38">
        <f>IF(B386="","",IF(E386="Tip","No",IF(E386="Refund","No","Yes")))</f>
        <v>0</v>
      </c>
      <c r="R386" s="25">
        <f>IF(B386="","",IF(E386="Refund",-1,1))</f>
        <v>0</v>
      </c>
      <c r="S386" s="26">
        <f>IF(B386="","",IF(G386="",0,IF(F386="Card",ROUND(G386*CardFeePercent+CardFeeFixed,2),IF(F386="Online deposit",ROUND(G386*CardFeePercent+CardFeeFixed,2),0))))</f>
        <v>0</v>
      </c>
      <c r="T386" s="26">
        <f>IF(B386="","",ROUND(IF(G386="",0,G386)*R386-S386,2))</f>
        <v>0</v>
      </c>
      <c r="U386" s="38">
        <f>IF(B386="","",IF(E386="Tip","Yes","No"))</f>
        <v>0</v>
      </c>
      <c r="V386" s="15">
        <f>IF(B386="","",IF(H386&lt;&gt;"","Sale "&amp;H386,IF(I386&lt;&gt;"","Booking "&amp;I386,IF(E386="Tip","Stylist","Unapplied"))))</f>
        <v>0</v>
      </c>
      <c r="W386" s="39">
        <f>IF(B386="","",IF(G386="","Add - no amount yet",IF(E386="","Add - what was this for?",IF(IF(H386="",FALSE,COUNTIF(Sales!$A$5:$A$1204,H386)=0),"Missing - no sale with that ID",IF(IF(I386="",FALSE,COUNTIF(Appointments!$A$5:$A$1204,I386)=0),"Missing - no booking with that ID",IF(IF(E386="Tip",J386="",FALSE),"Assign - whose tip is it?",IF(IF(E386="Deposit",IF(H386="",I386="",FALSE),FALSE),"Check - deposit not tied to a booking",IF(M386="No","Due - not reconciled yet","OK"))))))))</f>
        <v>0</v>
      </c>
    </row>
    <row r="387" spans="1:23">
      <c r="A387" s="28">
        <f>IF(B387="","",PaymentPrefix&amp;TEXT(ROW()-4,"0000"))</f>
        <v>0</v>
      </c>
      <c r="D387" s="15">
        <f>IF(C387="","",IFERROR(INDEX(Clients!$B$5:$B$504,MATCH(C387,Clients!$A$5:$A$504,0)),"Walk-in"))</f>
        <v>0</v>
      </c>
      <c r="K387" s="15">
        <f>IF(J387="","",IFERROR(INDEX(Staff!$B$5:$B$44,MATCH(J387,Staff!$A$5:$A$44,0)),""))</f>
        <v>0</v>
      </c>
      <c r="O387" s="15">
        <f>IF(B387="","",TEXT(B387,"yyyy-mm"))</f>
        <v>0</v>
      </c>
      <c r="P387" s="25">
        <f>IF(B387="","",WEEKNUM(B387,2))</f>
        <v>0</v>
      </c>
      <c r="Q387" s="38">
        <f>IF(B387="","",IF(E387="Tip","No",IF(E387="Refund","No","Yes")))</f>
        <v>0</v>
      </c>
      <c r="R387" s="25">
        <f>IF(B387="","",IF(E387="Refund",-1,1))</f>
        <v>0</v>
      </c>
      <c r="S387" s="26">
        <f>IF(B387="","",IF(G387="",0,IF(F387="Card",ROUND(G387*CardFeePercent+CardFeeFixed,2),IF(F387="Online deposit",ROUND(G387*CardFeePercent+CardFeeFixed,2),0))))</f>
        <v>0</v>
      </c>
      <c r="T387" s="26">
        <f>IF(B387="","",ROUND(IF(G387="",0,G387)*R387-S387,2))</f>
        <v>0</v>
      </c>
      <c r="U387" s="38">
        <f>IF(B387="","",IF(E387="Tip","Yes","No"))</f>
        <v>0</v>
      </c>
      <c r="V387" s="15">
        <f>IF(B387="","",IF(H387&lt;&gt;"","Sale "&amp;H387,IF(I387&lt;&gt;"","Booking "&amp;I387,IF(E387="Tip","Stylist","Unapplied"))))</f>
        <v>0</v>
      </c>
      <c r="W387" s="39">
        <f>IF(B387="","",IF(G387="","Add - no amount yet",IF(E387="","Add - what was this for?",IF(IF(H387="",FALSE,COUNTIF(Sales!$A$5:$A$1204,H387)=0),"Missing - no sale with that ID",IF(IF(I387="",FALSE,COUNTIF(Appointments!$A$5:$A$1204,I387)=0),"Missing - no booking with that ID",IF(IF(E387="Tip",J387="",FALSE),"Assign - whose tip is it?",IF(IF(E387="Deposit",IF(H387="",I387="",FALSE),FALSE),"Check - deposit not tied to a booking",IF(M387="No","Due - not reconciled yet","OK"))))))))</f>
        <v>0</v>
      </c>
    </row>
    <row r="388" spans="1:23">
      <c r="A388" s="28">
        <f>IF(B388="","",PaymentPrefix&amp;TEXT(ROW()-4,"0000"))</f>
        <v>0</v>
      </c>
      <c r="D388" s="15">
        <f>IF(C388="","",IFERROR(INDEX(Clients!$B$5:$B$504,MATCH(C388,Clients!$A$5:$A$504,0)),"Walk-in"))</f>
        <v>0</v>
      </c>
      <c r="K388" s="15">
        <f>IF(J388="","",IFERROR(INDEX(Staff!$B$5:$B$44,MATCH(J388,Staff!$A$5:$A$44,0)),""))</f>
        <v>0</v>
      </c>
      <c r="O388" s="15">
        <f>IF(B388="","",TEXT(B388,"yyyy-mm"))</f>
        <v>0</v>
      </c>
      <c r="P388" s="25">
        <f>IF(B388="","",WEEKNUM(B388,2))</f>
        <v>0</v>
      </c>
      <c r="Q388" s="38">
        <f>IF(B388="","",IF(E388="Tip","No",IF(E388="Refund","No","Yes")))</f>
        <v>0</v>
      </c>
      <c r="R388" s="25">
        <f>IF(B388="","",IF(E388="Refund",-1,1))</f>
        <v>0</v>
      </c>
      <c r="S388" s="26">
        <f>IF(B388="","",IF(G388="",0,IF(F388="Card",ROUND(G388*CardFeePercent+CardFeeFixed,2),IF(F388="Online deposit",ROUND(G388*CardFeePercent+CardFeeFixed,2),0))))</f>
        <v>0</v>
      </c>
      <c r="T388" s="26">
        <f>IF(B388="","",ROUND(IF(G388="",0,G388)*R388-S388,2))</f>
        <v>0</v>
      </c>
      <c r="U388" s="38">
        <f>IF(B388="","",IF(E388="Tip","Yes","No"))</f>
        <v>0</v>
      </c>
      <c r="V388" s="15">
        <f>IF(B388="","",IF(H388&lt;&gt;"","Sale "&amp;H388,IF(I388&lt;&gt;"","Booking "&amp;I388,IF(E388="Tip","Stylist","Unapplied"))))</f>
        <v>0</v>
      </c>
      <c r="W388" s="39">
        <f>IF(B388="","",IF(G388="","Add - no amount yet",IF(E388="","Add - what was this for?",IF(IF(H388="",FALSE,COUNTIF(Sales!$A$5:$A$1204,H388)=0),"Missing - no sale with that ID",IF(IF(I388="",FALSE,COUNTIF(Appointments!$A$5:$A$1204,I388)=0),"Missing - no booking with that ID",IF(IF(E388="Tip",J388="",FALSE),"Assign - whose tip is it?",IF(IF(E388="Deposit",IF(H388="",I388="",FALSE),FALSE),"Check - deposit not tied to a booking",IF(M388="No","Due - not reconciled yet","OK"))))))))</f>
        <v>0</v>
      </c>
    </row>
    <row r="389" spans="1:23">
      <c r="A389" s="28">
        <f>IF(B389="","",PaymentPrefix&amp;TEXT(ROW()-4,"0000"))</f>
        <v>0</v>
      </c>
      <c r="D389" s="15">
        <f>IF(C389="","",IFERROR(INDEX(Clients!$B$5:$B$504,MATCH(C389,Clients!$A$5:$A$504,0)),"Walk-in"))</f>
        <v>0</v>
      </c>
      <c r="K389" s="15">
        <f>IF(J389="","",IFERROR(INDEX(Staff!$B$5:$B$44,MATCH(J389,Staff!$A$5:$A$44,0)),""))</f>
        <v>0</v>
      </c>
      <c r="O389" s="15">
        <f>IF(B389="","",TEXT(B389,"yyyy-mm"))</f>
        <v>0</v>
      </c>
      <c r="P389" s="25">
        <f>IF(B389="","",WEEKNUM(B389,2))</f>
        <v>0</v>
      </c>
      <c r="Q389" s="38">
        <f>IF(B389="","",IF(E389="Tip","No",IF(E389="Refund","No","Yes")))</f>
        <v>0</v>
      </c>
      <c r="R389" s="25">
        <f>IF(B389="","",IF(E389="Refund",-1,1))</f>
        <v>0</v>
      </c>
      <c r="S389" s="26">
        <f>IF(B389="","",IF(G389="",0,IF(F389="Card",ROUND(G389*CardFeePercent+CardFeeFixed,2),IF(F389="Online deposit",ROUND(G389*CardFeePercent+CardFeeFixed,2),0))))</f>
        <v>0</v>
      </c>
      <c r="T389" s="26">
        <f>IF(B389="","",ROUND(IF(G389="",0,G389)*R389-S389,2))</f>
        <v>0</v>
      </c>
      <c r="U389" s="38">
        <f>IF(B389="","",IF(E389="Tip","Yes","No"))</f>
        <v>0</v>
      </c>
      <c r="V389" s="15">
        <f>IF(B389="","",IF(H389&lt;&gt;"","Sale "&amp;H389,IF(I389&lt;&gt;"","Booking "&amp;I389,IF(E389="Tip","Stylist","Unapplied"))))</f>
        <v>0</v>
      </c>
      <c r="W389" s="39">
        <f>IF(B389="","",IF(G389="","Add - no amount yet",IF(E389="","Add - what was this for?",IF(IF(H389="",FALSE,COUNTIF(Sales!$A$5:$A$1204,H389)=0),"Missing - no sale with that ID",IF(IF(I389="",FALSE,COUNTIF(Appointments!$A$5:$A$1204,I389)=0),"Missing - no booking with that ID",IF(IF(E389="Tip",J389="",FALSE),"Assign - whose tip is it?",IF(IF(E389="Deposit",IF(H389="",I389="",FALSE),FALSE),"Check - deposit not tied to a booking",IF(M389="No","Due - not reconciled yet","OK"))))))))</f>
        <v>0</v>
      </c>
    </row>
    <row r="390" spans="1:23">
      <c r="A390" s="28">
        <f>IF(B390="","",PaymentPrefix&amp;TEXT(ROW()-4,"0000"))</f>
        <v>0</v>
      </c>
      <c r="D390" s="15">
        <f>IF(C390="","",IFERROR(INDEX(Clients!$B$5:$B$504,MATCH(C390,Clients!$A$5:$A$504,0)),"Walk-in"))</f>
        <v>0</v>
      </c>
      <c r="K390" s="15">
        <f>IF(J390="","",IFERROR(INDEX(Staff!$B$5:$B$44,MATCH(J390,Staff!$A$5:$A$44,0)),""))</f>
        <v>0</v>
      </c>
      <c r="O390" s="15">
        <f>IF(B390="","",TEXT(B390,"yyyy-mm"))</f>
        <v>0</v>
      </c>
      <c r="P390" s="25">
        <f>IF(B390="","",WEEKNUM(B390,2))</f>
        <v>0</v>
      </c>
      <c r="Q390" s="38">
        <f>IF(B390="","",IF(E390="Tip","No",IF(E390="Refund","No","Yes")))</f>
        <v>0</v>
      </c>
      <c r="R390" s="25">
        <f>IF(B390="","",IF(E390="Refund",-1,1))</f>
        <v>0</v>
      </c>
      <c r="S390" s="26">
        <f>IF(B390="","",IF(G390="",0,IF(F390="Card",ROUND(G390*CardFeePercent+CardFeeFixed,2),IF(F390="Online deposit",ROUND(G390*CardFeePercent+CardFeeFixed,2),0))))</f>
        <v>0</v>
      </c>
      <c r="T390" s="26">
        <f>IF(B390="","",ROUND(IF(G390="",0,G390)*R390-S390,2))</f>
        <v>0</v>
      </c>
      <c r="U390" s="38">
        <f>IF(B390="","",IF(E390="Tip","Yes","No"))</f>
        <v>0</v>
      </c>
      <c r="V390" s="15">
        <f>IF(B390="","",IF(H390&lt;&gt;"","Sale "&amp;H390,IF(I390&lt;&gt;"","Booking "&amp;I390,IF(E390="Tip","Stylist","Unapplied"))))</f>
        <v>0</v>
      </c>
      <c r="W390" s="39">
        <f>IF(B390="","",IF(G390="","Add - no amount yet",IF(E390="","Add - what was this for?",IF(IF(H390="",FALSE,COUNTIF(Sales!$A$5:$A$1204,H390)=0),"Missing - no sale with that ID",IF(IF(I390="",FALSE,COUNTIF(Appointments!$A$5:$A$1204,I390)=0),"Missing - no booking with that ID",IF(IF(E390="Tip",J390="",FALSE),"Assign - whose tip is it?",IF(IF(E390="Deposit",IF(H390="",I390="",FALSE),FALSE),"Check - deposit not tied to a booking",IF(M390="No","Due - not reconciled yet","OK"))))))))</f>
        <v>0</v>
      </c>
    </row>
    <row r="391" spans="1:23">
      <c r="A391" s="28">
        <f>IF(B391="","",PaymentPrefix&amp;TEXT(ROW()-4,"0000"))</f>
        <v>0</v>
      </c>
      <c r="D391" s="15">
        <f>IF(C391="","",IFERROR(INDEX(Clients!$B$5:$B$504,MATCH(C391,Clients!$A$5:$A$504,0)),"Walk-in"))</f>
        <v>0</v>
      </c>
      <c r="K391" s="15">
        <f>IF(J391="","",IFERROR(INDEX(Staff!$B$5:$B$44,MATCH(J391,Staff!$A$5:$A$44,0)),""))</f>
        <v>0</v>
      </c>
      <c r="O391" s="15">
        <f>IF(B391="","",TEXT(B391,"yyyy-mm"))</f>
        <v>0</v>
      </c>
      <c r="P391" s="25">
        <f>IF(B391="","",WEEKNUM(B391,2))</f>
        <v>0</v>
      </c>
      <c r="Q391" s="38">
        <f>IF(B391="","",IF(E391="Tip","No",IF(E391="Refund","No","Yes")))</f>
        <v>0</v>
      </c>
      <c r="R391" s="25">
        <f>IF(B391="","",IF(E391="Refund",-1,1))</f>
        <v>0</v>
      </c>
      <c r="S391" s="26">
        <f>IF(B391="","",IF(G391="",0,IF(F391="Card",ROUND(G391*CardFeePercent+CardFeeFixed,2),IF(F391="Online deposit",ROUND(G391*CardFeePercent+CardFeeFixed,2),0))))</f>
        <v>0</v>
      </c>
      <c r="T391" s="26">
        <f>IF(B391="","",ROUND(IF(G391="",0,G391)*R391-S391,2))</f>
        <v>0</v>
      </c>
      <c r="U391" s="38">
        <f>IF(B391="","",IF(E391="Tip","Yes","No"))</f>
        <v>0</v>
      </c>
      <c r="V391" s="15">
        <f>IF(B391="","",IF(H391&lt;&gt;"","Sale "&amp;H391,IF(I391&lt;&gt;"","Booking "&amp;I391,IF(E391="Tip","Stylist","Unapplied"))))</f>
        <v>0</v>
      </c>
      <c r="W391" s="39">
        <f>IF(B391="","",IF(G391="","Add - no amount yet",IF(E391="","Add - what was this for?",IF(IF(H391="",FALSE,COUNTIF(Sales!$A$5:$A$1204,H391)=0),"Missing - no sale with that ID",IF(IF(I391="",FALSE,COUNTIF(Appointments!$A$5:$A$1204,I391)=0),"Missing - no booking with that ID",IF(IF(E391="Tip",J391="",FALSE),"Assign - whose tip is it?",IF(IF(E391="Deposit",IF(H391="",I391="",FALSE),FALSE),"Check - deposit not tied to a booking",IF(M391="No","Due - not reconciled yet","OK"))))))))</f>
        <v>0</v>
      </c>
    </row>
    <row r="392" spans="1:23">
      <c r="A392" s="28">
        <f>IF(B392="","",PaymentPrefix&amp;TEXT(ROW()-4,"0000"))</f>
        <v>0</v>
      </c>
      <c r="D392" s="15">
        <f>IF(C392="","",IFERROR(INDEX(Clients!$B$5:$B$504,MATCH(C392,Clients!$A$5:$A$504,0)),"Walk-in"))</f>
        <v>0</v>
      </c>
      <c r="K392" s="15">
        <f>IF(J392="","",IFERROR(INDEX(Staff!$B$5:$B$44,MATCH(J392,Staff!$A$5:$A$44,0)),""))</f>
        <v>0</v>
      </c>
      <c r="O392" s="15">
        <f>IF(B392="","",TEXT(B392,"yyyy-mm"))</f>
        <v>0</v>
      </c>
      <c r="P392" s="25">
        <f>IF(B392="","",WEEKNUM(B392,2))</f>
        <v>0</v>
      </c>
      <c r="Q392" s="38">
        <f>IF(B392="","",IF(E392="Tip","No",IF(E392="Refund","No","Yes")))</f>
        <v>0</v>
      </c>
      <c r="R392" s="25">
        <f>IF(B392="","",IF(E392="Refund",-1,1))</f>
        <v>0</v>
      </c>
      <c r="S392" s="26">
        <f>IF(B392="","",IF(G392="",0,IF(F392="Card",ROUND(G392*CardFeePercent+CardFeeFixed,2),IF(F392="Online deposit",ROUND(G392*CardFeePercent+CardFeeFixed,2),0))))</f>
        <v>0</v>
      </c>
      <c r="T392" s="26">
        <f>IF(B392="","",ROUND(IF(G392="",0,G392)*R392-S392,2))</f>
        <v>0</v>
      </c>
      <c r="U392" s="38">
        <f>IF(B392="","",IF(E392="Tip","Yes","No"))</f>
        <v>0</v>
      </c>
      <c r="V392" s="15">
        <f>IF(B392="","",IF(H392&lt;&gt;"","Sale "&amp;H392,IF(I392&lt;&gt;"","Booking "&amp;I392,IF(E392="Tip","Stylist","Unapplied"))))</f>
        <v>0</v>
      </c>
      <c r="W392" s="39">
        <f>IF(B392="","",IF(G392="","Add - no amount yet",IF(E392="","Add - what was this for?",IF(IF(H392="",FALSE,COUNTIF(Sales!$A$5:$A$1204,H392)=0),"Missing - no sale with that ID",IF(IF(I392="",FALSE,COUNTIF(Appointments!$A$5:$A$1204,I392)=0),"Missing - no booking with that ID",IF(IF(E392="Tip",J392="",FALSE),"Assign - whose tip is it?",IF(IF(E392="Deposit",IF(H392="",I392="",FALSE),FALSE),"Check - deposit not tied to a booking",IF(M392="No","Due - not reconciled yet","OK"))))))))</f>
        <v>0</v>
      </c>
    </row>
    <row r="393" spans="1:23">
      <c r="A393" s="28">
        <f>IF(B393="","",PaymentPrefix&amp;TEXT(ROW()-4,"0000"))</f>
        <v>0</v>
      </c>
      <c r="D393" s="15">
        <f>IF(C393="","",IFERROR(INDEX(Clients!$B$5:$B$504,MATCH(C393,Clients!$A$5:$A$504,0)),"Walk-in"))</f>
        <v>0</v>
      </c>
      <c r="K393" s="15">
        <f>IF(J393="","",IFERROR(INDEX(Staff!$B$5:$B$44,MATCH(J393,Staff!$A$5:$A$44,0)),""))</f>
        <v>0</v>
      </c>
      <c r="O393" s="15">
        <f>IF(B393="","",TEXT(B393,"yyyy-mm"))</f>
        <v>0</v>
      </c>
      <c r="P393" s="25">
        <f>IF(B393="","",WEEKNUM(B393,2))</f>
        <v>0</v>
      </c>
      <c r="Q393" s="38">
        <f>IF(B393="","",IF(E393="Tip","No",IF(E393="Refund","No","Yes")))</f>
        <v>0</v>
      </c>
      <c r="R393" s="25">
        <f>IF(B393="","",IF(E393="Refund",-1,1))</f>
        <v>0</v>
      </c>
      <c r="S393" s="26">
        <f>IF(B393="","",IF(G393="",0,IF(F393="Card",ROUND(G393*CardFeePercent+CardFeeFixed,2),IF(F393="Online deposit",ROUND(G393*CardFeePercent+CardFeeFixed,2),0))))</f>
        <v>0</v>
      </c>
      <c r="T393" s="26">
        <f>IF(B393="","",ROUND(IF(G393="",0,G393)*R393-S393,2))</f>
        <v>0</v>
      </c>
      <c r="U393" s="38">
        <f>IF(B393="","",IF(E393="Tip","Yes","No"))</f>
        <v>0</v>
      </c>
      <c r="V393" s="15">
        <f>IF(B393="","",IF(H393&lt;&gt;"","Sale "&amp;H393,IF(I393&lt;&gt;"","Booking "&amp;I393,IF(E393="Tip","Stylist","Unapplied"))))</f>
        <v>0</v>
      </c>
      <c r="W393" s="39">
        <f>IF(B393="","",IF(G393="","Add - no amount yet",IF(E393="","Add - what was this for?",IF(IF(H393="",FALSE,COUNTIF(Sales!$A$5:$A$1204,H393)=0),"Missing - no sale with that ID",IF(IF(I393="",FALSE,COUNTIF(Appointments!$A$5:$A$1204,I393)=0),"Missing - no booking with that ID",IF(IF(E393="Tip",J393="",FALSE),"Assign - whose tip is it?",IF(IF(E393="Deposit",IF(H393="",I393="",FALSE),FALSE),"Check - deposit not tied to a booking",IF(M393="No","Due - not reconciled yet","OK"))))))))</f>
        <v>0</v>
      </c>
    </row>
    <row r="394" spans="1:23">
      <c r="A394" s="28">
        <f>IF(B394="","",PaymentPrefix&amp;TEXT(ROW()-4,"0000"))</f>
        <v>0</v>
      </c>
      <c r="D394" s="15">
        <f>IF(C394="","",IFERROR(INDEX(Clients!$B$5:$B$504,MATCH(C394,Clients!$A$5:$A$504,0)),"Walk-in"))</f>
        <v>0</v>
      </c>
      <c r="K394" s="15">
        <f>IF(J394="","",IFERROR(INDEX(Staff!$B$5:$B$44,MATCH(J394,Staff!$A$5:$A$44,0)),""))</f>
        <v>0</v>
      </c>
      <c r="O394" s="15">
        <f>IF(B394="","",TEXT(B394,"yyyy-mm"))</f>
        <v>0</v>
      </c>
      <c r="P394" s="25">
        <f>IF(B394="","",WEEKNUM(B394,2))</f>
        <v>0</v>
      </c>
      <c r="Q394" s="38">
        <f>IF(B394="","",IF(E394="Tip","No",IF(E394="Refund","No","Yes")))</f>
        <v>0</v>
      </c>
      <c r="R394" s="25">
        <f>IF(B394="","",IF(E394="Refund",-1,1))</f>
        <v>0</v>
      </c>
      <c r="S394" s="26">
        <f>IF(B394="","",IF(G394="",0,IF(F394="Card",ROUND(G394*CardFeePercent+CardFeeFixed,2),IF(F394="Online deposit",ROUND(G394*CardFeePercent+CardFeeFixed,2),0))))</f>
        <v>0</v>
      </c>
      <c r="T394" s="26">
        <f>IF(B394="","",ROUND(IF(G394="",0,G394)*R394-S394,2))</f>
        <v>0</v>
      </c>
      <c r="U394" s="38">
        <f>IF(B394="","",IF(E394="Tip","Yes","No"))</f>
        <v>0</v>
      </c>
      <c r="V394" s="15">
        <f>IF(B394="","",IF(H394&lt;&gt;"","Sale "&amp;H394,IF(I394&lt;&gt;"","Booking "&amp;I394,IF(E394="Tip","Stylist","Unapplied"))))</f>
        <v>0</v>
      </c>
      <c r="W394" s="39">
        <f>IF(B394="","",IF(G394="","Add - no amount yet",IF(E394="","Add - what was this for?",IF(IF(H394="",FALSE,COUNTIF(Sales!$A$5:$A$1204,H394)=0),"Missing - no sale with that ID",IF(IF(I394="",FALSE,COUNTIF(Appointments!$A$5:$A$1204,I394)=0),"Missing - no booking with that ID",IF(IF(E394="Tip",J394="",FALSE),"Assign - whose tip is it?",IF(IF(E394="Deposit",IF(H394="",I394="",FALSE),FALSE),"Check - deposit not tied to a booking",IF(M394="No","Due - not reconciled yet","OK"))))))))</f>
        <v>0</v>
      </c>
    </row>
    <row r="395" spans="1:23">
      <c r="A395" s="28">
        <f>IF(B395="","",PaymentPrefix&amp;TEXT(ROW()-4,"0000"))</f>
        <v>0</v>
      </c>
      <c r="D395" s="15">
        <f>IF(C395="","",IFERROR(INDEX(Clients!$B$5:$B$504,MATCH(C395,Clients!$A$5:$A$504,0)),"Walk-in"))</f>
        <v>0</v>
      </c>
      <c r="K395" s="15">
        <f>IF(J395="","",IFERROR(INDEX(Staff!$B$5:$B$44,MATCH(J395,Staff!$A$5:$A$44,0)),""))</f>
        <v>0</v>
      </c>
      <c r="O395" s="15">
        <f>IF(B395="","",TEXT(B395,"yyyy-mm"))</f>
        <v>0</v>
      </c>
      <c r="P395" s="25">
        <f>IF(B395="","",WEEKNUM(B395,2))</f>
        <v>0</v>
      </c>
      <c r="Q395" s="38">
        <f>IF(B395="","",IF(E395="Tip","No",IF(E395="Refund","No","Yes")))</f>
        <v>0</v>
      </c>
      <c r="R395" s="25">
        <f>IF(B395="","",IF(E395="Refund",-1,1))</f>
        <v>0</v>
      </c>
      <c r="S395" s="26">
        <f>IF(B395="","",IF(G395="",0,IF(F395="Card",ROUND(G395*CardFeePercent+CardFeeFixed,2),IF(F395="Online deposit",ROUND(G395*CardFeePercent+CardFeeFixed,2),0))))</f>
        <v>0</v>
      </c>
      <c r="T395" s="26">
        <f>IF(B395="","",ROUND(IF(G395="",0,G395)*R395-S395,2))</f>
        <v>0</v>
      </c>
      <c r="U395" s="38">
        <f>IF(B395="","",IF(E395="Tip","Yes","No"))</f>
        <v>0</v>
      </c>
      <c r="V395" s="15">
        <f>IF(B395="","",IF(H395&lt;&gt;"","Sale "&amp;H395,IF(I395&lt;&gt;"","Booking "&amp;I395,IF(E395="Tip","Stylist","Unapplied"))))</f>
        <v>0</v>
      </c>
      <c r="W395" s="39">
        <f>IF(B395="","",IF(G395="","Add - no amount yet",IF(E395="","Add - what was this for?",IF(IF(H395="",FALSE,COUNTIF(Sales!$A$5:$A$1204,H395)=0),"Missing - no sale with that ID",IF(IF(I395="",FALSE,COUNTIF(Appointments!$A$5:$A$1204,I395)=0),"Missing - no booking with that ID",IF(IF(E395="Tip",J395="",FALSE),"Assign - whose tip is it?",IF(IF(E395="Deposit",IF(H395="",I395="",FALSE),FALSE),"Check - deposit not tied to a booking",IF(M395="No","Due - not reconciled yet","OK"))))))))</f>
        <v>0</v>
      </c>
    </row>
    <row r="396" spans="1:23">
      <c r="A396" s="28">
        <f>IF(B396="","",PaymentPrefix&amp;TEXT(ROW()-4,"0000"))</f>
        <v>0</v>
      </c>
      <c r="D396" s="15">
        <f>IF(C396="","",IFERROR(INDEX(Clients!$B$5:$B$504,MATCH(C396,Clients!$A$5:$A$504,0)),"Walk-in"))</f>
        <v>0</v>
      </c>
      <c r="K396" s="15">
        <f>IF(J396="","",IFERROR(INDEX(Staff!$B$5:$B$44,MATCH(J396,Staff!$A$5:$A$44,0)),""))</f>
        <v>0</v>
      </c>
      <c r="O396" s="15">
        <f>IF(B396="","",TEXT(B396,"yyyy-mm"))</f>
        <v>0</v>
      </c>
      <c r="P396" s="25">
        <f>IF(B396="","",WEEKNUM(B396,2))</f>
        <v>0</v>
      </c>
      <c r="Q396" s="38">
        <f>IF(B396="","",IF(E396="Tip","No",IF(E396="Refund","No","Yes")))</f>
        <v>0</v>
      </c>
      <c r="R396" s="25">
        <f>IF(B396="","",IF(E396="Refund",-1,1))</f>
        <v>0</v>
      </c>
      <c r="S396" s="26">
        <f>IF(B396="","",IF(G396="",0,IF(F396="Card",ROUND(G396*CardFeePercent+CardFeeFixed,2),IF(F396="Online deposit",ROUND(G396*CardFeePercent+CardFeeFixed,2),0))))</f>
        <v>0</v>
      </c>
      <c r="T396" s="26">
        <f>IF(B396="","",ROUND(IF(G396="",0,G396)*R396-S396,2))</f>
        <v>0</v>
      </c>
      <c r="U396" s="38">
        <f>IF(B396="","",IF(E396="Tip","Yes","No"))</f>
        <v>0</v>
      </c>
      <c r="V396" s="15">
        <f>IF(B396="","",IF(H396&lt;&gt;"","Sale "&amp;H396,IF(I396&lt;&gt;"","Booking "&amp;I396,IF(E396="Tip","Stylist","Unapplied"))))</f>
        <v>0</v>
      </c>
      <c r="W396" s="39">
        <f>IF(B396="","",IF(G396="","Add - no amount yet",IF(E396="","Add - what was this for?",IF(IF(H396="",FALSE,COUNTIF(Sales!$A$5:$A$1204,H396)=0),"Missing - no sale with that ID",IF(IF(I396="",FALSE,COUNTIF(Appointments!$A$5:$A$1204,I396)=0),"Missing - no booking with that ID",IF(IF(E396="Tip",J396="",FALSE),"Assign - whose tip is it?",IF(IF(E396="Deposit",IF(H396="",I396="",FALSE),FALSE),"Check - deposit not tied to a booking",IF(M396="No","Due - not reconciled yet","OK"))))))))</f>
        <v>0</v>
      </c>
    </row>
    <row r="397" spans="1:23">
      <c r="A397" s="28">
        <f>IF(B397="","",PaymentPrefix&amp;TEXT(ROW()-4,"0000"))</f>
        <v>0</v>
      </c>
      <c r="D397" s="15">
        <f>IF(C397="","",IFERROR(INDEX(Clients!$B$5:$B$504,MATCH(C397,Clients!$A$5:$A$504,0)),"Walk-in"))</f>
        <v>0</v>
      </c>
      <c r="K397" s="15">
        <f>IF(J397="","",IFERROR(INDEX(Staff!$B$5:$B$44,MATCH(J397,Staff!$A$5:$A$44,0)),""))</f>
        <v>0</v>
      </c>
      <c r="O397" s="15">
        <f>IF(B397="","",TEXT(B397,"yyyy-mm"))</f>
        <v>0</v>
      </c>
      <c r="P397" s="25">
        <f>IF(B397="","",WEEKNUM(B397,2))</f>
        <v>0</v>
      </c>
      <c r="Q397" s="38">
        <f>IF(B397="","",IF(E397="Tip","No",IF(E397="Refund","No","Yes")))</f>
        <v>0</v>
      </c>
      <c r="R397" s="25">
        <f>IF(B397="","",IF(E397="Refund",-1,1))</f>
        <v>0</v>
      </c>
      <c r="S397" s="26">
        <f>IF(B397="","",IF(G397="",0,IF(F397="Card",ROUND(G397*CardFeePercent+CardFeeFixed,2),IF(F397="Online deposit",ROUND(G397*CardFeePercent+CardFeeFixed,2),0))))</f>
        <v>0</v>
      </c>
      <c r="T397" s="26">
        <f>IF(B397="","",ROUND(IF(G397="",0,G397)*R397-S397,2))</f>
        <v>0</v>
      </c>
      <c r="U397" s="38">
        <f>IF(B397="","",IF(E397="Tip","Yes","No"))</f>
        <v>0</v>
      </c>
      <c r="V397" s="15">
        <f>IF(B397="","",IF(H397&lt;&gt;"","Sale "&amp;H397,IF(I397&lt;&gt;"","Booking "&amp;I397,IF(E397="Tip","Stylist","Unapplied"))))</f>
        <v>0</v>
      </c>
      <c r="W397" s="39">
        <f>IF(B397="","",IF(G397="","Add - no amount yet",IF(E397="","Add - what was this for?",IF(IF(H397="",FALSE,COUNTIF(Sales!$A$5:$A$1204,H397)=0),"Missing - no sale with that ID",IF(IF(I397="",FALSE,COUNTIF(Appointments!$A$5:$A$1204,I397)=0),"Missing - no booking with that ID",IF(IF(E397="Tip",J397="",FALSE),"Assign - whose tip is it?",IF(IF(E397="Deposit",IF(H397="",I397="",FALSE),FALSE),"Check - deposit not tied to a booking",IF(M397="No","Due - not reconciled yet","OK"))))))))</f>
        <v>0</v>
      </c>
    </row>
    <row r="398" spans="1:23">
      <c r="A398" s="28">
        <f>IF(B398="","",PaymentPrefix&amp;TEXT(ROW()-4,"0000"))</f>
        <v>0</v>
      </c>
      <c r="D398" s="15">
        <f>IF(C398="","",IFERROR(INDEX(Clients!$B$5:$B$504,MATCH(C398,Clients!$A$5:$A$504,0)),"Walk-in"))</f>
        <v>0</v>
      </c>
      <c r="K398" s="15">
        <f>IF(J398="","",IFERROR(INDEX(Staff!$B$5:$B$44,MATCH(J398,Staff!$A$5:$A$44,0)),""))</f>
        <v>0</v>
      </c>
      <c r="O398" s="15">
        <f>IF(B398="","",TEXT(B398,"yyyy-mm"))</f>
        <v>0</v>
      </c>
      <c r="P398" s="25">
        <f>IF(B398="","",WEEKNUM(B398,2))</f>
        <v>0</v>
      </c>
      <c r="Q398" s="38">
        <f>IF(B398="","",IF(E398="Tip","No",IF(E398="Refund","No","Yes")))</f>
        <v>0</v>
      </c>
      <c r="R398" s="25">
        <f>IF(B398="","",IF(E398="Refund",-1,1))</f>
        <v>0</v>
      </c>
      <c r="S398" s="26">
        <f>IF(B398="","",IF(G398="",0,IF(F398="Card",ROUND(G398*CardFeePercent+CardFeeFixed,2),IF(F398="Online deposit",ROUND(G398*CardFeePercent+CardFeeFixed,2),0))))</f>
        <v>0</v>
      </c>
      <c r="T398" s="26">
        <f>IF(B398="","",ROUND(IF(G398="",0,G398)*R398-S398,2))</f>
        <v>0</v>
      </c>
      <c r="U398" s="38">
        <f>IF(B398="","",IF(E398="Tip","Yes","No"))</f>
        <v>0</v>
      </c>
      <c r="V398" s="15">
        <f>IF(B398="","",IF(H398&lt;&gt;"","Sale "&amp;H398,IF(I398&lt;&gt;"","Booking "&amp;I398,IF(E398="Tip","Stylist","Unapplied"))))</f>
        <v>0</v>
      </c>
      <c r="W398" s="39">
        <f>IF(B398="","",IF(G398="","Add - no amount yet",IF(E398="","Add - what was this for?",IF(IF(H398="",FALSE,COUNTIF(Sales!$A$5:$A$1204,H398)=0),"Missing - no sale with that ID",IF(IF(I398="",FALSE,COUNTIF(Appointments!$A$5:$A$1204,I398)=0),"Missing - no booking with that ID",IF(IF(E398="Tip",J398="",FALSE),"Assign - whose tip is it?",IF(IF(E398="Deposit",IF(H398="",I398="",FALSE),FALSE),"Check - deposit not tied to a booking",IF(M398="No","Due - not reconciled yet","OK"))))))))</f>
        <v>0</v>
      </c>
    </row>
    <row r="399" spans="1:23">
      <c r="A399" s="28">
        <f>IF(B399="","",PaymentPrefix&amp;TEXT(ROW()-4,"0000"))</f>
        <v>0</v>
      </c>
      <c r="D399" s="15">
        <f>IF(C399="","",IFERROR(INDEX(Clients!$B$5:$B$504,MATCH(C399,Clients!$A$5:$A$504,0)),"Walk-in"))</f>
        <v>0</v>
      </c>
      <c r="K399" s="15">
        <f>IF(J399="","",IFERROR(INDEX(Staff!$B$5:$B$44,MATCH(J399,Staff!$A$5:$A$44,0)),""))</f>
        <v>0</v>
      </c>
      <c r="O399" s="15">
        <f>IF(B399="","",TEXT(B399,"yyyy-mm"))</f>
        <v>0</v>
      </c>
      <c r="P399" s="25">
        <f>IF(B399="","",WEEKNUM(B399,2))</f>
        <v>0</v>
      </c>
      <c r="Q399" s="38">
        <f>IF(B399="","",IF(E399="Tip","No",IF(E399="Refund","No","Yes")))</f>
        <v>0</v>
      </c>
      <c r="R399" s="25">
        <f>IF(B399="","",IF(E399="Refund",-1,1))</f>
        <v>0</v>
      </c>
      <c r="S399" s="26">
        <f>IF(B399="","",IF(G399="",0,IF(F399="Card",ROUND(G399*CardFeePercent+CardFeeFixed,2),IF(F399="Online deposit",ROUND(G399*CardFeePercent+CardFeeFixed,2),0))))</f>
        <v>0</v>
      </c>
      <c r="T399" s="26">
        <f>IF(B399="","",ROUND(IF(G399="",0,G399)*R399-S399,2))</f>
        <v>0</v>
      </c>
      <c r="U399" s="38">
        <f>IF(B399="","",IF(E399="Tip","Yes","No"))</f>
        <v>0</v>
      </c>
      <c r="V399" s="15">
        <f>IF(B399="","",IF(H399&lt;&gt;"","Sale "&amp;H399,IF(I399&lt;&gt;"","Booking "&amp;I399,IF(E399="Tip","Stylist","Unapplied"))))</f>
        <v>0</v>
      </c>
      <c r="W399" s="39">
        <f>IF(B399="","",IF(G399="","Add - no amount yet",IF(E399="","Add - what was this for?",IF(IF(H399="",FALSE,COUNTIF(Sales!$A$5:$A$1204,H399)=0),"Missing - no sale with that ID",IF(IF(I399="",FALSE,COUNTIF(Appointments!$A$5:$A$1204,I399)=0),"Missing - no booking with that ID",IF(IF(E399="Tip",J399="",FALSE),"Assign - whose tip is it?",IF(IF(E399="Deposit",IF(H399="",I399="",FALSE),FALSE),"Check - deposit not tied to a booking",IF(M399="No","Due - not reconciled yet","OK"))))))))</f>
        <v>0</v>
      </c>
    </row>
    <row r="400" spans="1:23">
      <c r="A400" s="28">
        <f>IF(B400="","",PaymentPrefix&amp;TEXT(ROW()-4,"0000"))</f>
        <v>0</v>
      </c>
      <c r="D400" s="15">
        <f>IF(C400="","",IFERROR(INDEX(Clients!$B$5:$B$504,MATCH(C400,Clients!$A$5:$A$504,0)),"Walk-in"))</f>
        <v>0</v>
      </c>
      <c r="K400" s="15">
        <f>IF(J400="","",IFERROR(INDEX(Staff!$B$5:$B$44,MATCH(J400,Staff!$A$5:$A$44,0)),""))</f>
        <v>0</v>
      </c>
      <c r="O400" s="15">
        <f>IF(B400="","",TEXT(B400,"yyyy-mm"))</f>
        <v>0</v>
      </c>
      <c r="P400" s="25">
        <f>IF(B400="","",WEEKNUM(B400,2))</f>
        <v>0</v>
      </c>
      <c r="Q400" s="38">
        <f>IF(B400="","",IF(E400="Tip","No",IF(E400="Refund","No","Yes")))</f>
        <v>0</v>
      </c>
      <c r="R400" s="25">
        <f>IF(B400="","",IF(E400="Refund",-1,1))</f>
        <v>0</v>
      </c>
      <c r="S400" s="26">
        <f>IF(B400="","",IF(G400="",0,IF(F400="Card",ROUND(G400*CardFeePercent+CardFeeFixed,2),IF(F400="Online deposit",ROUND(G400*CardFeePercent+CardFeeFixed,2),0))))</f>
        <v>0</v>
      </c>
      <c r="T400" s="26">
        <f>IF(B400="","",ROUND(IF(G400="",0,G400)*R400-S400,2))</f>
        <v>0</v>
      </c>
      <c r="U400" s="38">
        <f>IF(B400="","",IF(E400="Tip","Yes","No"))</f>
        <v>0</v>
      </c>
      <c r="V400" s="15">
        <f>IF(B400="","",IF(H400&lt;&gt;"","Sale "&amp;H400,IF(I400&lt;&gt;"","Booking "&amp;I400,IF(E400="Tip","Stylist","Unapplied"))))</f>
        <v>0</v>
      </c>
      <c r="W400" s="39">
        <f>IF(B400="","",IF(G400="","Add - no amount yet",IF(E400="","Add - what was this for?",IF(IF(H400="",FALSE,COUNTIF(Sales!$A$5:$A$1204,H400)=0),"Missing - no sale with that ID",IF(IF(I400="",FALSE,COUNTIF(Appointments!$A$5:$A$1204,I400)=0),"Missing - no booking with that ID",IF(IF(E400="Tip",J400="",FALSE),"Assign - whose tip is it?",IF(IF(E400="Deposit",IF(H400="",I400="",FALSE),FALSE),"Check - deposit not tied to a booking",IF(M400="No","Due - not reconciled yet","OK"))))))))</f>
        <v>0</v>
      </c>
    </row>
    <row r="401" spans="1:23">
      <c r="A401" s="28">
        <f>IF(B401="","",PaymentPrefix&amp;TEXT(ROW()-4,"0000"))</f>
        <v>0</v>
      </c>
      <c r="D401" s="15">
        <f>IF(C401="","",IFERROR(INDEX(Clients!$B$5:$B$504,MATCH(C401,Clients!$A$5:$A$504,0)),"Walk-in"))</f>
        <v>0</v>
      </c>
      <c r="K401" s="15">
        <f>IF(J401="","",IFERROR(INDEX(Staff!$B$5:$B$44,MATCH(J401,Staff!$A$5:$A$44,0)),""))</f>
        <v>0</v>
      </c>
      <c r="O401" s="15">
        <f>IF(B401="","",TEXT(B401,"yyyy-mm"))</f>
        <v>0</v>
      </c>
      <c r="P401" s="25">
        <f>IF(B401="","",WEEKNUM(B401,2))</f>
        <v>0</v>
      </c>
      <c r="Q401" s="38">
        <f>IF(B401="","",IF(E401="Tip","No",IF(E401="Refund","No","Yes")))</f>
        <v>0</v>
      </c>
      <c r="R401" s="25">
        <f>IF(B401="","",IF(E401="Refund",-1,1))</f>
        <v>0</v>
      </c>
      <c r="S401" s="26">
        <f>IF(B401="","",IF(G401="",0,IF(F401="Card",ROUND(G401*CardFeePercent+CardFeeFixed,2),IF(F401="Online deposit",ROUND(G401*CardFeePercent+CardFeeFixed,2),0))))</f>
        <v>0</v>
      </c>
      <c r="T401" s="26">
        <f>IF(B401="","",ROUND(IF(G401="",0,G401)*R401-S401,2))</f>
        <v>0</v>
      </c>
      <c r="U401" s="38">
        <f>IF(B401="","",IF(E401="Tip","Yes","No"))</f>
        <v>0</v>
      </c>
      <c r="V401" s="15">
        <f>IF(B401="","",IF(H401&lt;&gt;"","Sale "&amp;H401,IF(I401&lt;&gt;"","Booking "&amp;I401,IF(E401="Tip","Stylist","Unapplied"))))</f>
        <v>0</v>
      </c>
      <c r="W401" s="39">
        <f>IF(B401="","",IF(G401="","Add - no amount yet",IF(E401="","Add - what was this for?",IF(IF(H401="",FALSE,COUNTIF(Sales!$A$5:$A$1204,H401)=0),"Missing - no sale with that ID",IF(IF(I401="",FALSE,COUNTIF(Appointments!$A$5:$A$1204,I401)=0),"Missing - no booking with that ID",IF(IF(E401="Tip",J401="",FALSE),"Assign - whose tip is it?",IF(IF(E401="Deposit",IF(H401="",I401="",FALSE),FALSE),"Check - deposit not tied to a booking",IF(M401="No","Due - not reconciled yet","OK"))))))))</f>
        <v>0</v>
      </c>
    </row>
    <row r="402" spans="1:23">
      <c r="A402" s="28">
        <f>IF(B402="","",PaymentPrefix&amp;TEXT(ROW()-4,"0000"))</f>
        <v>0</v>
      </c>
      <c r="D402" s="15">
        <f>IF(C402="","",IFERROR(INDEX(Clients!$B$5:$B$504,MATCH(C402,Clients!$A$5:$A$504,0)),"Walk-in"))</f>
        <v>0</v>
      </c>
      <c r="K402" s="15">
        <f>IF(J402="","",IFERROR(INDEX(Staff!$B$5:$B$44,MATCH(J402,Staff!$A$5:$A$44,0)),""))</f>
        <v>0</v>
      </c>
      <c r="O402" s="15">
        <f>IF(B402="","",TEXT(B402,"yyyy-mm"))</f>
        <v>0</v>
      </c>
      <c r="P402" s="25">
        <f>IF(B402="","",WEEKNUM(B402,2))</f>
        <v>0</v>
      </c>
      <c r="Q402" s="38">
        <f>IF(B402="","",IF(E402="Tip","No",IF(E402="Refund","No","Yes")))</f>
        <v>0</v>
      </c>
      <c r="R402" s="25">
        <f>IF(B402="","",IF(E402="Refund",-1,1))</f>
        <v>0</v>
      </c>
      <c r="S402" s="26">
        <f>IF(B402="","",IF(G402="",0,IF(F402="Card",ROUND(G402*CardFeePercent+CardFeeFixed,2),IF(F402="Online deposit",ROUND(G402*CardFeePercent+CardFeeFixed,2),0))))</f>
        <v>0</v>
      </c>
      <c r="T402" s="26">
        <f>IF(B402="","",ROUND(IF(G402="",0,G402)*R402-S402,2))</f>
        <v>0</v>
      </c>
      <c r="U402" s="38">
        <f>IF(B402="","",IF(E402="Tip","Yes","No"))</f>
        <v>0</v>
      </c>
      <c r="V402" s="15">
        <f>IF(B402="","",IF(H402&lt;&gt;"","Sale "&amp;H402,IF(I402&lt;&gt;"","Booking "&amp;I402,IF(E402="Tip","Stylist","Unapplied"))))</f>
        <v>0</v>
      </c>
      <c r="W402" s="39">
        <f>IF(B402="","",IF(G402="","Add - no amount yet",IF(E402="","Add - what was this for?",IF(IF(H402="",FALSE,COUNTIF(Sales!$A$5:$A$1204,H402)=0),"Missing - no sale with that ID",IF(IF(I402="",FALSE,COUNTIF(Appointments!$A$5:$A$1204,I402)=0),"Missing - no booking with that ID",IF(IF(E402="Tip",J402="",FALSE),"Assign - whose tip is it?",IF(IF(E402="Deposit",IF(H402="",I402="",FALSE),FALSE),"Check - deposit not tied to a booking",IF(M402="No","Due - not reconciled yet","OK"))))))))</f>
        <v>0</v>
      </c>
    </row>
    <row r="403" spans="1:23">
      <c r="A403" s="28">
        <f>IF(B403="","",PaymentPrefix&amp;TEXT(ROW()-4,"0000"))</f>
        <v>0</v>
      </c>
      <c r="D403" s="15">
        <f>IF(C403="","",IFERROR(INDEX(Clients!$B$5:$B$504,MATCH(C403,Clients!$A$5:$A$504,0)),"Walk-in"))</f>
        <v>0</v>
      </c>
      <c r="K403" s="15">
        <f>IF(J403="","",IFERROR(INDEX(Staff!$B$5:$B$44,MATCH(J403,Staff!$A$5:$A$44,0)),""))</f>
        <v>0</v>
      </c>
      <c r="O403" s="15">
        <f>IF(B403="","",TEXT(B403,"yyyy-mm"))</f>
        <v>0</v>
      </c>
      <c r="P403" s="25">
        <f>IF(B403="","",WEEKNUM(B403,2))</f>
        <v>0</v>
      </c>
      <c r="Q403" s="38">
        <f>IF(B403="","",IF(E403="Tip","No",IF(E403="Refund","No","Yes")))</f>
        <v>0</v>
      </c>
      <c r="R403" s="25">
        <f>IF(B403="","",IF(E403="Refund",-1,1))</f>
        <v>0</v>
      </c>
      <c r="S403" s="26">
        <f>IF(B403="","",IF(G403="",0,IF(F403="Card",ROUND(G403*CardFeePercent+CardFeeFixed,2),IF(F403="Online deposit",ROUND(G403*CardFeePercent+CardFeeFixed,2),0))))</f>
        <v>0</v>
      </c>
      <c r="T403" s="26">
        <f>IF(B403="","",ROUND(IF(G403="",0,G403)*R403-S403,2))</f>
        <v>0</v>
      </c>
      <c r="U403" s="38">
        <f>IF(B403="","",IF(E403="Tip","Yes","No"))</f>
        <v>0</v>
      </c>
      <c r="V403" s="15">
        <f>IF(B403="","",IF(H403&lt;&gt;"","Sale "&amp;H403,IF(I403&lt;&gt;"","Booking "&amp;I403,IF(E403="Tip","Stylist","Unapplied"))))</f>
        <v>0</v>
      </c>
      <c r="W403" s="39">
        <f>IF(B403="","",IF(G403="","Add - no amount yet",IF(E403="","Add - what was this for?",IF(IF(H403="",FALSE,COUNTIF(Sales!$A$5:$A$1204,H403)=0),"Missing - no sale with that ID",IF(IF(I403="",FALSE,COUNTIF(Appointments!$A$5:$A$1204,I403)=0),"Missing - no booking with that ID",IF(IF(E403="Tip",J403="",FALSE),"Assign - whose tip is it?",IF(IF(E403="Deposit",IF(H403="",I403="",FALSE),FALSE),"Check - deposit not tied to a booking",IF(M403="No","Due - not reconciled yet","OK"))))))))</f>
        <v>0</v>
      </c>
    </row>
    <row r="404" spans="1:23">
      <c r="A404" s="28">
        <f>IF(B404="","",PaymentPrefix&amp;TEXT(ROW()-4,"0000"))</f>
        <v>0</v>
      </c>
      <c r="D404" s="15">
        <f>IF(C404="","",IFERROR(INDEX(Clients!$B$5:$B$504,MATCH(C404,Clients!$A$5:$A$504,0)),"Walk-in"))</f>
        <v>0</v>
      </c>
      <c r="K404" s="15">
        <f>IF(J404="","",IFERROR(INDEX(Staff!$B$5:$B$44,MATCH(J404,Staff!$A$5:$A$44,0)),""))</f>
        <v>0</v>
      </c>
      <c r="O404" s="15">
        <f>IF(B404="","",TEXT(B404,"yyyy-mm"))</f>
        <v>0</v>
      </c>
      <c r="P404" s="25">
        <f>IF(B404="","",WEEKNUM(B404,2))</f>
        <v>0</v>
      </c>
      <c r="Q404" s="38">
        <f>IF(B404="","",IF(E404="Tip","No",IF(E404="Refund","No","Yes")))</f>
        <v>0</v>
      </c>
      <c r="R404" s="25">
        <f>IF(B404="","",IF(E404="Refund",-1,1))</f>
        <v>0</v>
      </c>
      <c r="S404" s="26">
        <f>IF(B404="","",IF(G404="",0,IF(F404="Card",ROUND(G404*CardFeePercent+CardFeeFixed,2),IF(F404="Online deposit",ROUND(G404*CardFeePercent+CardFeeFixed,2),0))))</f>
        <v>0</v>
      </c>
      <c r="T404" s="26">
        <f>IF(B404="","",ROUND(IF(G404="",0,G404)*R404-S404,2))</f>
        <v>0</v>
      </c>
      <c r="U404" s="38">
        <f>IF(B404="","",IF(E404="Tip","Yes","No"))</f>
        <v>0</v>
      </c>
      <c r="V404" s="15">
        <f>IF(B404="","",IF(H404&lt;&gt;"","Sale "&amp;H404,IF(I404&lt;&gt;"","Booking "&amp;I404,IF(E404="Tip","Stylist","Unapplied"))))</f>
        <v>0</v>
      </c>
      <c r="W404" s="39">
        <f>IF(B404="","",IF(G404="","Add - no amount yet",IF(E404="","Add - what was this for?",IF(IF(H404="",FALSE,COUNTIF(Sales!$A$5:$A$1204,H404)=0),"Missing - no sale with that ID",IF(IF(I404="",FALSE,COUNTIF(Appointments!$A$5:$A$1204,I404)=0),"Missing - no booking with that ID",IF(IF(E404="Tip",J404="",FALSE),"Assign - whose tip is it?",IF(IF(E404="Deposit",IF(H404="",I404="",FALSE),FALSE),"Check - deposit not tied to a booking",IF(M404="No","Due - not reconciled yet","OK"))))))))</f>
        <v>0</v>
      </c>
    </row>
    <row r="405" spans="1:23">
      <c r="A405" s="28">
        <f>IF(B405="","",PaymentPrefix&amp;TEXT(ROW()-4,"0000"))</f>
        <v>0</v>
      </c>
      <c r="D405" s="15">
        <f>IF(C405="","",IFERROR(INDEX(Clients!$B$5:$B$504,MATCH(C405,Clients!$A$5:$A$504,0)),"Walk-in"))</f>
        <v>0</v>
      </c>
      <c r="K405" s="15">
        <f>IF(J405="","",IFERROR(INDEX(Staff!$B$5:$B$44,MATCH(J405,Staff!$A$5:$A$44,0)),""))</f>
        <v>0</v>
      </c>
      <c r="O405" s="15">
        <f>IF(B405="","",TEXT(B405,"yyyy-mm"))</f>
        <v>0</v>
      </c>
      <c r="P405" s="25">
        <f>IF(B405="","",WEEKNUM(B405,2))</f>
        <v>0</v>
      </c>
      <c r="Q405" s="38">
        <f>IF(B405="","",IF(E405="Tip","No",IF(E405="Refund","No","Yes")))</f>
        <v>0</v>
      </c>
      <c r="R405" s="25">
        <f>IF(B405="","",IF(E405="Refund",-1,1))</f>
        <v>0</v>
      </c>
      <c r="S405" s="26">
        <f>IF(B405="","",IF(G405="",0,IF(F405="Card",ROUND(G405*CardFeePercent+CardFeeFixed,2),IF(F405="Online deposit",ROUND(G405*CardFeePercent+CardFeeFixed,2),0))))</f>
        <v>0</v>
      </c>
      <c r="T405" s="26">
        <f>IF(B405="","",ROUND(IF(G405="",0,G405)*R405-S405,2))</f>
        <v>0</v>
      </c>
      <c r="U405" s="38">
        <f>IF(B405="","",IF(E405="Tip","Yes","No"))</f>
        <v>0</v>
      </c>
      <c r="V405" s="15">
        <f>IF(B405="","",IF(H405&lt;&gt;"","Sale "&amp;H405,IF(I405&lt;&gt;"","Booking "&amp;I405,IF(E405="Tip","Stylist","Unapplied"))))</f>
        <v>0</v>
      </c>
      <c r="W405" s="39">
        <f>IF(B405="","",IF(G405="","Add - no amount yet",IF(E405="","Add - what was this for?",IF(IF(H405="",FALSE,COUNTIF(Sales!$A$5:$A$1204,H405)=0),"Missing - no sale with that ID",IF(IF(I405="",FALSE,COUNTIF(Appointments!$A$5:$A$1204,I405)=0),"Missing - no booking with that ID",IF(IF(E405="Tip",J405="",FALSE),"Assign - whose tip is it?",IF(IF(E405="Deposit",IF(H405="",I405="",FALSE),FALSE),"Check - deposit not tied to a booking",IF(M405="No","Due - not reconciled yet","OK"))))))))</f>
        <v>0</v>
      </c>
    </row>
    <row r="406" spans="1:23">
      <c r="A406" s="28">
        <f>IF(B406="","",PaymentPrefix&amp;TEXT(ROW()-4,"0000"))</f>
        <v>0</v>
      </c>
      <c r="D406" s="15">
        <f>IF(C406="","",IFERROR(INDEX(Clients!$B$5:$B$504,MATCH(C406,Clients!$A$5:$A$504,0)),"Walk-in"))</f>
        <v>0</v>
      </c>
      <c r="K406" s="15">
        <f>IF(J406="","",IFERROR(INDEX(Staff!$B$5:$B$44,MATCH(J406,Staff!$A$5:$A$44,0)),""))</f>
        <v>0</v>
      </c>
      <c r="O406" s="15">
        <f>IF(B406="","",TEXT(B406,"yyyy-mm"))</f>
        <v>0</v>
      </c>
      <c r="P406" s="25">
        <f>IF(B406="","",WEEKNUM(B406,2))</f>
        <v>0</v>
      </c>
      <c r="Q406" s="38">
        <f>IF(B406="","",IF(E406="Tip","No",IF(E406="Refund","No","Yes")))</f>
        <v>0</v>
      </c>
      <c r="R406" s="25">
        <f>IF(B406="","",IF(E406="Refund",-1,1))</f>
        <v>0</v>
      </c>
      <c r="S406" s="26">
        <f>IF(B406="","",IF(G406="",0,IF(F406="Card",ROUND(G406*CardFeePercent+CardFeeFixed,2),IF(F406="Online deposit",ROUND(G406*CardFeePercent+CardFeeFixed,2),0))))</f>
        <v>0</v>
      </c>
      <c r="T406" s="26">
        <f>IF(B406="","",ROUND(IF(G406="",0,G406)*R406-S406,2))</f>
        <v>0</v>
      </c>
      <c r="U406" s="38">
        <f>IF(B406="","",IF(E406="Tip","Yes","No"))</f>
        <v>0</v>
      </c>
      <c r="V406" s="15">
        <f>IF(B406="","",IF(H406&lt;&gt;"","Sale "&amp;H406,IF(I406&lt;&gt;"","Booking "&amp;I406,IF(E406="Tip","Stylist","Unapplied"))))</f>
        <v>0</v>
      </c>
      <c r="W406" s="39">
        <f>IF(B406="","",IF(G406="","Add - no amount yet",IF(E406="","Add - what was this for?",IF(IF(H406="",FALSE,COUNTIF(Sales!$A$5:$A$1204,H406)=0),"Missing - no sale with that ID",IF(IF(I406="",FALSE,COUNTIF(Appointments!$A$5:$A$1204,I406)=0),"Missing - no booking with that ID",IF(IF(E406="Tip",J406="",FALSE),"Assign - whose tip is it?",IF(IF(E406="Deposit",IF(H406="",I406="",FALSE),FALSE),"Check - deposit not tied to a booking",IF(M406="No","Due - not reconciled yet","OK"))))))))</f>
        <v>0</v>
      </c>
    </row>
    <row r="407" spans="1:23">
      <c r="A407" s="28">
        <f>IF(B407="","",PaymentPrefix&amp;TEXT(ROW()-4,"0000"))</f>
        <v>0</v>
      </c>
      <c r="D407" s="15">
        <f>IF(C407="","",IFERROR(INDEX(Clients!$B$5:$B$504,MATCH(C407,Clients!$A$5:$A$504,0)),"Walk-in"))</f>
        <v>0</v>
      </c>
      <c r="K407" s="15">
        <f>IF(J407="","",IFERROR(INDEX(Staff!$B$5:$B$44,MATCH(J407,Staff!$A$5:$A$44,0)),""))</f>
        <v>0</v>
      </c>
      <c r="O407" s="15">
        <f>IF(B407="","",TEXT(B407,"yyyy-mm"))</f>
        <v>0</v>
      </c>
      <c r="P407" s="25">
        <f>IF(B407="","",WEEKNUM(B407,2))</f>
        <v>0</v>
      </c>
      <c r="Q407" s="38">
        <f>IF(B407="","",IF(E407="Tip","No",IF(E407="Refund","No","Yes")))</f>
        <v>0</v>
      </c>
      <c r="R407" s="25">
        <f>IF(B407="","",IF(E407="Refund",-1,1))</f>
        <v>0</v>
      </c>
      <c r="S407" s="26">
        <f>IF(B407="","",IF(G407="",0,IF(F407="Card",ROUND(G407*CardFeePercent+CardFeeFixed,2),IF(F407="Online deposit",ROUND(G407*CardFeePercent+CardFeeFixed,2),0))))</f>
        <v>0</v>
      </c>
      <c r="T407" s="26">
        <f>IF(B407="","",ROUND(IF(G407="",0,G407)*R407-S407,2))</f>
        <v>0</v>
      </c>
      <c r="U407" s="38">
        <f>IF(B407="","",IF(E407="Tip","Yes","No"))</f>
        <v>0</v>
      </c>
      <c r="V407" s="15">
        <f>IF(B407="","",IF(H407&lt;&gt;"","Sale "&amp;H407,IF(I407&lt;&gt;"","Booking "&amp;I407,IF(E407="Tip","Stylist","Unapplied"))))</f>
        <v>0</v>
      </c>
      <c r="W407" s="39">
        <f>IF(B407="","",IF(G407="","Add - no amount yet",IF(E407="","Add - what was this for?",IF(IF(H407="",FALSE,COUNTIF(Sales!$A$5:$A$1204,H407)=0),"Missing - no sale with that ID",IF(IF(I407="",FALSE,COUNTIF(Appointments!$A$5:$A$1204,I407)=0),"Missing - no booking with that ID",IF(IF(E407="Tip",J407="",FALSE),"Assign - whose tip is it?",IF(IF(E407="Deposit",IF(H407="",I407="",FALSE),FALSE),"Check - deposit not tied to a booking",IF(M407="No","Due - not reconciled yet","OK"))))))))</f>
        <v>0</v>
      </c>
    </row>
    <row r="408" spans="1:23">
      <c r="A408" s="28">
        <f>IF(B408="","",PaymentPrefix&amp;TEXT(ROW()-4,"0000"))</f>
        <v>0</v>
      </c>
      <c r="D408" s="15">
        <f>IF(C408="","",IFERROR(INDEX(Clients!$B$5:$B$504,MATCH(C408,Clients!$A$5:$A$504,0)),"Walk-in"))</f>
        <v>0</v>
      </c>
      <c r="K408" s="15">
        <f>IF(J408="","",IFERROR(INDEX(Staff!$B$5:$B$44,MATCH(J408,Staff!$A$5:$A$44,0)),""))</f>
        <v>0</v>
      </c>
      <c r="O408" s="15">
        <f>IF(B408="","",TEXT(B408,"yyyy-mm"))</f>
        <v>0</v>
      </c>
      <c r="P408" s="25">
        <f>IF(B408="","",WEEKNUM(B408,2))</f>
        <v>0</v>
      </c>
      <c r="Q408" s="38">
        <f>IF(B408="","",IF(E408="Tip","No",IF(E408="Refund","No","Yes")))</f>
        <v>0</v>
      </c>
      <c r="R408" s="25">
        <f>IF(B408="","",IF(E408="Refund",-1,1))</f>
        <v>0</v>
      </c>
      <c r="S408" s="26">
        <f>IF(B408="","",IF(G408="",0,IF(F408="Card",ROUND(G408*CardFeePercent+CardFeeFixed,2),IF(F408="Online deposit",ROUND(G408*CardFeePercent+CardFeeFixed,2),0))))</f>
        <v>0</v>
      </c>
      <c r="T408" s="26">
        <f>IF(B408="","",ROUND(IF(G408="",0,G408)*R408-S408,2))</f>
        <v>0</v>
      </c>
      <c r="U408" s="38">
        <f>IF(B408="","",IF(E408="Tip","Yes","No"))</f>
        <v>0</v>
      </c>
      <c r="V408" s="15">
        <f>IF(B408="","",IF(H408&lt;&gt;"","Sale "&amp;H408,IF(I408&lt;&gt;"","Booking "&amp;I408,IF(E408="Tip","Stylist","Unapplied"))))</f>
        <v>0</v>
      </c>
      <c r="W408" s="39">
        <f>IF(B408="","",IF(G408="","Add - no amount yet",IF(E408="","Add - what was this for?",IF(IF(H408="",FALSE,COUNTIF(Sales!$A$5:$A$1204,H408)=0),"Missing - no sale with that ID",IF(IF(I408="",FALSE,COUNTIF(Appointments!$A$5:$A$1204,I408)=0),"Missing - no booking with that ID",IF(IF(E408="Tip",J408="",FALSE),"Assign - whose tip is it?",IF(IF(E408="Deposit",IF(H408="",I408="",FALSE),FALSE),"Check - deposit not tied to a booking",IF(M408="No","Due - not reconciled yet","OK"))))))))</f>
        <v>0</v>
      </c>
    </row>
    <row r="409" spans="1:23">
      <c r="A409" s="28">
        <f>IF(B409="","",PaymentPrefix&amp;TEXT(ROW()-4,"0000"))</f>
        <v>0</v>
      </c>
      <c r="D409" s="15">
        <f>IF(C409="","",IFERROR(INDEX(Clients!$B$5:$B$504,MATCH(C409,Clients!$A$5:$A$504,0)),"Walk-in"))</f>
        <v>0</v>
      </c>
      <c r="K409" s="15">
        <f>IF(J409="","",IFERROR(INDEX(Staff!$B$5:$B$44,MATCH(J409,Staff!$A$5:$A$44,0)),""))</f>
        <v>0</v>
      </c>
      <c r="O409" s="15">
        <f>IF(B409="","",TEXT(B409,"yyyy-mm"))</f>
        <v>0</v>
      </c>
      <c r="P409" s="25">
        <f>IF(B409="","",WEEKNUM(B409,2))</f>
        <v>0</v>
      </c>
      <c r="Q409" s="38">
        <f>IF(B409="","",IF(E409="Tip","No",IF(E409="Refund","No","Yes")))</f>
        <v>0</v>
      </c>
      <c r="R409" s="25">
        <f>IF(B409="","",IF(E409="Refund",-1,1))</f>
        <v>0</v>
      </c>
      <c r="S409" s="26">
        <f>IF(B409="","",IF(G409="",0,IF(F409="Card",ROUND(G409*CardFeePercent+CardFeeFixed,2),IF(F409="Online deposit",ROUND(G409*CardFeePercent+CardFeeFixed,2),0))))</f>
        <v>0</v>
      </c>
      <c r="T409" s="26">
        <f>IF(B409="","",ROUND(IF(G409="",0,G409)*R409-S409,2))</f>
        <v>0</v>
      </c>
      <c r="U409" s="38">
        <f>IF(B409="","",IF(E409="Tip","Yes","No"))</f>
        <v>0</v>
      </c>
      <c r="V409" s="15">
        <f>IF(B409="","",IF(H409&lt;&gt;"","Sale "&amp;H409,IF(I409&lt;&gt;"","Booking "&amp;I409,IF(E409="Tip","Stylist","Unapplied"))))</f>
        <v>0</v>
      </c>
      <c r="W409" s="39">
        <f>IF(B409="","",IF(G409="","Add - no amount yet",IF(E409="","Add - what was this for?",IF(IF(H409="",FALSE,COUNTIF(Sales!$A$5:$A$1204,H409)=0),"Missing - no sale with that ID",IF(IF(I409="",FALSE,COUNTIF(Appointments!$A$5:$A$1204,I409)=0),"Missing - no booking with that ID",IF(IF(E409="Tip",J409="",FALSE),"Assign - whose tip is it?",IF(IF(E409="Deposit",IF(H409="",I409="",FALSE),FALSE),"Check - deposit not tied to a booking",IF(M409="No","Due - not reconciled yet","OK"))))))))</f>
        <v>0</v>
      </c>
    </row>
    <row r="410" spans="1:23">
      <c r="A410" s="28">
        <f>IF(B410="","",PaymentPrefix&amp;TEXT(ROW()-4,"0000"))</f>
        <v>0</v>
      </c>
      <c r="D410" s="15">
        <f>IF(C410="","",IFERROR(INDEX(Clients!$B$5:$B$504,MATCH(C410,Clients!$A$5:$A$504,0)),"Walk-in"))</f>
        <v>0</v>
      </c>
      <c r="K410" s="15">
        <f>IF(J410="","",IFERROR(INDEX(Staff!$B$5:$B$44,MATCH(J410,Staff!$A$5:$A$44,0)),""))</f>
        <v>0</v>
      </c>
      <c r="O410" s="15">
        <f>IF(B410="","",TEXT(B410,"yyyy-mm"))</f>
        <v>0</v>
      </c>
      <c r="P410" s="25">
        <f>IF(B410="","",WEEKNUM(B410,2))</f>
        <v>0</v>
      </c>
      <c r="Q410" s="38">
        <f>IF(B410="","",IF(E410="Tip","No",IF(E410="Refund","No","Yes")))</f>
        <v>0</v>
      </c>
      <c r="R410" s="25">
        <f>IF(B410="","",IF(E410="Refund",-1,1))</f>
        <v>0</v>
      </c>
      <c r="S410" s="26">
        <f>IF(B410="","",IF(G410="",0,IF(F410="Card",ROUND(G410*CardFeePercent+CardFeeFixed,2),IF(F410="Online deposit",ROUND(G410*CardFeePercent+CardFeeFixed,2),0))))</f>
        <v>0</v>
      </c>
      <c r="T410" s="26">
        <f>IF(B410="","",ROUND(IF(G410="",0,G410)*R410-S410,2))</f>
        <v>0</v>
      </c>
      <c r="U410" s="38">
        <f>IF(B410="","",IF(E410="Tip","Yes","No"))</f>
        <v>0</v>
      </c>
      <c r="V410" s="15">
        <f>IF(B410="","",IF(H410&lt;&gt;"","Sale "&amp;H410,IF(I410&lt;&gt;"","Booking "&amp;I410,IF(E410="Tip","Stylist","Unapplied"))))</f>
        <v>0</v>
      </c>
      <c r="W410" s="39">
        <f>IF(B410="","",IF(G410="","Add - no amount yet",IF(E410="","Add - what was this for?",IF(IF(H410="",FALSE,COUNTIF(Sales!$A$5:$A$1204,H410)=0),"Missing - no sale with that ID",IF(IF(I410="",FALSE,COUNTIF(Appointments!$A$5:$A$1204,I410)=0),"Missing - no booking with that ID",IF(IF(E410="Tip",J410="",FALSE),"Assign - whose tip is it?",IF(IF(E410="Deposit",IF(H410="",I410="",FALSE),FALSE),"Check - deposit not tied to a booking",IF(M410="No","Due - not reconciled yet","OK"))))))))</f>
        <v>0</v>
      </c>
    </row>
    <row r="411" spans="1:23">
      <c r="A411" s="28">
        <f>IF(B411="","",PaymentPrefix&amp;TEXT(ROW()-4,"0000"))</f>
        <v>0</v>
      </c>
      <c r="D411" s="15">
        <f>IF(C411="","",IFERROR(INDEX(Clients!$B$5:$B$504,MATCH(C411,Clients!$A$5:$A$504,0)),"Walk-in"))</f>
        <v>0</v>
      </c>
      <c r="K411" s="15">
        <f>IF(J411="","",IFERROR(INDEX(Staff!$B$5:$B$44,MATCH(J411,Staff!$A$5:$A$44,0)),""))</f>
        <v>0</v>
      </c>
      <c r="O411" s="15">
        <f>IF(B411="","",TEXT(B411,"yyyy-mm"))</f>
        <v>0</v>
      </c>
      <c r="P411" s="25">
        <f>IF(B411="","",WEEKNUM(B411,2))</f>
        <v>0</v>
      </c>
      <c r="Q411" s="38">
        <f>IF(B411="","",IF(E411="Tip","No",IF(E411="Refund","No","Yes")))</f>
        <v>0</v>
      </c>
      <c r="R411" s="25">
        <f>IF(B411="","",IF(E411="Refund",-1,1))</f>
        <v>0</v>
      </c>
      <c r="S411" s="26">
        <f>IF(B411="","",IF(G411="",0,IF(F411="Card",ROUND(G411*CardFeePercent+CardFeeFixed,2),IF(F411="Online deposit",ROUND(G411*CardFeePercent+CardFeeFixed,2),0))))</f>
        <v>0</v>
      </c>
      <c r="T411" s="26">
        <f>IF(B411="","",ROUND(IF(G411="",0,G411)*R411-S411,2))</f>
        <v>0</v>
      </c>
      <c r="U411" s="38">
        <f>IF(B411="","",IF(E411="Tip","Yes","No"))</f>
        <v>0</v>
      </c>
      <c r="V411" s="15">
        <f>IF(B411="","",IF(H411&lt;&gt;"","Sale "&amp;H411,IF(I411&lt;&gt;"","Booking "&amp;I411,IF(E411="Tip","Stylist","Unapplied"))))</f>
        <v>0</v>
      </c>
      <c r="W411" s="39">
        <f>IF(B411="","",IF(G411="","Add - no amount yet",IF(E411="","Add - what was this for?",IF(IF(H411="",FALSE,COUNTIF(Sales!$A$5:$A$1204,H411)=0),"Missing - no sale with that ID",IF(IF(I411="",FALSE,COUNTIF(Appointments!$A$5:$A$1204,I411)=0),"Missing - no booking with that ID",IF(IF(E411="Tip",J411="",FALSE),"Assign - whose tip is it?",IF(IF(E411="Deposit",IF(H411="",I411="",FALSE),FALSE),"Check - deposit not tied to a booking",IF(M411="No","Due - not reconciled yet","OK"))))))))</f>
        <v>0</v>
      </c>
    </row>
    <row r="412" spans="1:23">
      <c r="A412" s="28">
        <f>IF(B412="","",PaymentPrefix&amp;TEXT(ROW()-4,"0000"))</f>
        <v>0</v>
      </c>
      <c r="D412" s="15">
        <f>IF(C412="","",IFERROR(INDEX(Clients!$B$5:$B$504,MATCH(C412,Clients!$A$5:$A$504,0)),"Walk-in"))</f>
        <v>0</v>
      </c>
      <c r="K412" s="15">
        <f>IF(J412="","",IFERROR(INDEX(Staff!$B$5:$B$44,MATCH(J412,Staff!$A$5:$A$44,0)),""))</f>
        <v>0</v>
      </c>
      <c r="O412" s="15">
        <f>IF(B412="","",TEXT(B412,"yyyy-mm"))</f>
        <v>0</v>
      </c>
      <c r="P412" s="25">
        <f>IF(B412="","",WEEKNUM(B412,2))</f>
        <v>0</v>
      </c>
      <c r="Q412" s="38">
        <f>IF(B412="","",IF(E412="Tip","No",IF(E412="Refund","No","Yes")))</f>
        <v>0</v>
      </c>
      <c r="R412" s="25">
        <f>IF(B412="","",IF(E412="Refund",-1,1))</f>
        <v>0</v>
      </c>
      <c r="S412" s="26">
        <f>IF(B412="","",IF(G412="",0,IF(F412="Card",ROUND(G412*CardFeePercent+CardFeeFixed,2),IF(F412="Online deposit",ROUND(G412*CardFeePercent+CardFeeFixed,2),0))))</f>
        <v>0</v>
      </c>
      <c r="T412" s="26">
        <f>IF(B412="","",ROUND(IF(G412="",0,G412)*R412-S412,2))</f>
        <v>0</v>
      </c>
      <c r="U412" s="38">
        <f>IF(B412="","",IF(E412="Tip","Yes","No"))</f>
        <v>0</v>
      </c>
      <c r="V412" s="15">
        <f>IF(B412="","",IF(H412&lt;&gt;"","Sale "&amp;H412,IF(I412&lt;&gt;"","Booking "&amp;I412,IF(E412="Tip","Stylist","Unapplied"))))</f>
        <v>0</v>
      </c>
      <c r="W412" s="39">
        <f>IF(B412="","",IF(G412="","Add - no amount yet",IF(E412="","Add - what was this for?",IF(IF(H412="",FALSE,COUNTIF(Sales!$A$5:$A$1204,H412)=0),"Missing - no sale with that ID",IF(IF(I412="",FALSE,COUNTIF(Appointments!$A$5:$A$1204,I412)=0),"Missing - no booking with that ID",IF(IF(E412="Tip",J412="",FALSE),"Assign - whose tip is it?",IF(IF(E412="Deposit",IF(H412="",I412="",FALSE),FALSE),"Check - deposit not tied to a booking",IF(M412="No","Due - not reconciled yet","OK"))))))))</f>
        <v>0</v>
      </c>
    </row>
    <row r="413" spans="1:23">
      <c r="A413" s="28">
        <f>IF(B413="","",PaymentPrefix&amp;TEXT(ROW()-4,"0000"))</f>
        <v>0</v>
      </c>
      <c r="D413" s="15">
        <f>IF(C413="","",IFERROR(INDEX(Clients!$B$5:$B$504,MATCH(C413,Clients!$A$5:$A$504,0)),"Walk-in"))</f>
        <v>0</v>
      </c>
      <c r="K413" s="15">
        <f>IF(J413="","",IFERROR(INDEX(Staff!$B$5:$B$44,MATCH(J413,Staff!$A$5:$A$44,0)),""))</f>
        <v>0</v>
      </c>
      <c r="O413" s="15">
        <f>IF(B413="","",TEXT(B413,"yyyy-mm"))</f>
        <v>0</v>
      </c>
      <c r="P413" s="25">
        <f>IF(B413="","",WEEKNUM(B413,2))</f>
        <v>0</v>
      </c>
      <c r="Q413" s="38">
        <f>IF(B413="","",IF(E413="Tip","No",IF(E413="Refund","No","Yes")))</f>
        <v>0</v>
      </c>
      <c r="R413" s="25">
        <f>IF(B413="","",IF(E413="Refund",-1,1))</f>
        <v>0</v>
      </c>
      <c r="S413" s="26">
        <f>IF(B413="","",IF(G413="",0,IF(F413="Card",ROUND(G413*CardFeePercent+CardFeeFixed,2),IF(F413="Online deposit",ROUND(G413*CardFeePercent+CardFeeFixed,2),0))))</f>
        <v>0</v>
      </c>
      <c r="T413" s="26">
        <f>IF(B413="","",ROUND(IF(G413="",0,G413)*R413-S413,2))</f>
        <v>0</v>
      </c>
      <c r="U413" s="38">
        <f>IF(B413="","",IF(E413="Tip","Yes","No"))</f>
        <v>0</v>
      </c>
      <c r="V413" s="15">
        <f>IF(B413="","",IF(H413&lt;&gt;"","Sale "&amp;H413,IF(I413&lt;&gt;"","Booking "&amp;I413,IF(E413="Tip","Stylist","Unapplied"))))</f>
        <v>0</v>
      </c>
      <c r="W413" s="39">
        <f>IF(B413="","",IF(G413="","Add - no amount yet",IF(E413="","Add - what was this for?",IF(IF(H413="",FALSE,COUNTIF(Sales!$A$5:$A$1204,H413)=0),"Missing - no sale with that ID",IF(IF(I413="",FALSE,COUNTIF(Appointments!$A$5:$A$1204,I413)=0),"Missing - no booking with that ID",IF(IF(E413="Tip",J413="",FALSE),"Assign - whose tip is it?",IF(IF(E413="Deposit",IF(H413="",I413="",FALSE),FALSE),"Check - deposit not tied to a booking",IF(M413="No","Due - not reconciled yet","OK"))))))))</f>
        <v>0</v>
      </c>
    </row>
    <row r="414" spans="1:23">
      <c r="A414" s="28">
        <f>IF(B414="","",PaymentPrefix&amp;TEXT(ROW()-4,"0000"))</f>
        <v>0</v>
      </c>
      <c r="D414" s="15">
        <f>IF(C414="","",IFERROR(INDEX(Clients!$B$5:$B$504,MATCH(C414,Clients!$A$5:$A$504,0)),"Walk-in"))</f>
        <v>0</v>
      </c>
      <c r="K414" s="15">
        <f>IF(J414="","",IFERROR(INDEX(Staff!$B$5:$B$44,MATCH(J414,Staff!$A$5:$A$44,0)),""))</f>
        <v>0</v>
      </c>
      <c r="O414" s="15">
        <f>IF(B414="","",TEXT(B414,"yyyy-mm"))</f>
        <v>0</v>
      </c>
      <c r="P414" s="25">
        <f>IF(B414="","",WEEKNUM(B414,2))</f>
        <v>0</v>
      </c>
      <c r="Q414" s="38">
        <f>IF(B414="","",IF(E414="Tip","No",IF(E414="Refund","No","Yes")))</f>
        <v>0</v>
      </c>
      <c r="R414" s="25">
        <f>IF(B414="","",IF(E414="Refund",-1,1))</f>
        <v>0</v>
      </c>
      <c r="S414" s="26">
        <f>IF(B414="","",IF(G414="",0,IF(F414="Card",ROUND(G414*CardFeePercent+CardFeeFixed,2),IF(F414="Online deposit",ROUND(G414*CardFeePercent+CardFeeFixed,2),0))))</f>
        <v>0</v>
      </c>
      <c r="T414" s="26">
        <f>IF(B414="","",ROUND(IF(G414="",0,G414)*R414-S414,2))</f>
        <v>0</v>
      </c>
      <c r="U414" s="38">
        <f>IF(B414="","",IF(E414="Tip","Yes","No"))</f>
        <v>0</v>
      </c>
      <c r="V414" s="15">
        <f>IF(B414="","",IF(H414&lt;&gt;"","Sale "&amp;H414,IF(I414&lt;&gt;"","Booking "&amp;I414,IF(E414="Tip","Stylist","Unapplied"))))</f>
        <v>0</v>
      </c>
      <c r="W414" s="39">
        <f>IF(B414="","",IF(G414="","Add - no amount yet",IF(E414="","Add - what was this for?",IF(IF(H414="",FALSE,COUNTIF(Sales!$A$5:$A$1204,H414)=0),"Missing - no sale with that ID",IF(IF(I414="",FALSE,COUNTIF(Appointments!$A$5:$A$1204,I414)=0),"Missing - no booking with that ID",IF(IF(E414="Tip",J414="",FALSE),"Assign - whose tip is it?",IF(IF(E414="Deposit",IF(H414="",I414="",FALSE),FALSE),"Check - deposit not tied to a booking",IF(M414="No","Due - not reconciled yet","OK"))))))))</f>
        <v>0</v>
      </c>
    </row>
    <row r="415" spans="1:23">
      <c r="A415" s="28">
        <f>IF(B415="","",PaymentPrefix&amp;TEXT(ROW()-4,"0000"))</f>
        <v>0</v>
      </c>
      <c r="D415" s="15">
        <f>IF(C415="","",IFERROR(INDEX(Clients!$B$5:$B$504,MATCH(C415,Clients!$A$5:$A$504,0)),"Walk-in"))</f>
        <v>0</v>
      </c>
      <c r="K415" s="15">
        <f>IF(J415="","",IFERROR(INDEX(Staff!$B$5:$B$44,MATCH(J415,Staff!$A$5:$A$44,0)),""))</f>
        <v>0</v>
      </c>
      <c r="O415" s="15">
        <f>IF(B415="","",TEXT(B415,"yyyy-mm"))</f>
        <v>0</v>
      </c>
      <c r="P415" s="25">
        <f>IF(B415="","",WEEKNUM(B415,2))</f>
        <v>0</v>
      </c>
      <c r="Q415" s="38">
        <f>IF(B415="","",IF(E415="Tip","No",IF(E415="Refund","No","Yes")))</f>
        <v>0</v>
      </c>
      <c r="R415" s="25">
        <f>IF(B415="","",IF(E415="Refund",-1,1))</f>
        <v>0</v>
      </c>
      <c r="S415" s="26">
        <f>IF(B415="","",IF(G415="",0,IF(F415="Card",ROUND(G415*CardFeePercent+CardFeeFixed,2),IF(F415="Online deposit",ROUND(G415*CardFeePercent+CardFeeFixed,2),0))))</f>
        <v>0</v>
      </c>
      <c r="T415" s="26">
        <f>IF(B415="","",ROUND(IF(G415="",0,G415)*R415-S415,2))</f>
        <v>0</v>
      </c>
      <c r="U415" s="38">
        <f>IF(B415="","",IF(E415="Tip","Yes","No"))</f>
        <v>0</v>
      </c>
      <c r="V415" s="15">
        <f>IF(B415="","",IF(H415&lt;&gt;"","Sale "&amp;H415,IF(I415&lt;&gt;"","Booking "&amp;I415,IF(E415="Tip","Stylist","Unapplied"))))</f>
        <v>0</v>
      </c>
      <c r="W415" s="39">
        <f>IF(B415="","",IF(G415="","Add - no amount yet",IF(E415="","Add - what was this for?",IF(IF(H415="",FALSE,COUNTIF(Sales!$A$5:$A$1204,H415)=0),"Missing - no sale with that ID",IF(IF(I415="",FALSE,COUNTIF(Appointments!$A$5:$A$1204,I415)=0),"Missing - no booking with that ID",IF(IF(E415="Tip",J415="",FALSE),"Assign - whose tip is it?",IF(IF(E415="Deposit",IF(H415="",I415="",FALSE),FALSE),"Check - deposit not tied to a booking",IF(M415="No","Due - not reconciled yet","OK"))))))))</f>
        <v>0</v>
      </c>
    </row>
    <row r="416" spans="1:23">
      <c r="A416" s="28">
        <f>IF(B416="","",PaymentPrefix&amp;TEXT(ROW()-4,"0000"))</f>
        <v>0</v>
      </c>
      <c r="D416" s="15">
        <f>IF(C416="","",IFERROR(INDEX(Clients!$B$5:$B$504,MATCH(C416,Clients!$A$5:$A$504,0)),"Walk-in"))</f>
        <v>0</v>
      </c>
      <c r="K416" s="15">
        <f>IF(J416="","",IFERROR(INDEX(Staff!$B$5:$B$44,MATCH(J416,Staff!$A$5:$A$44,0)),""))</f>
        <v>0</v>
      </c>
      <c r="O416" s="15">
        <f>IF(B416="","",TEXT(B416,"yyyy-mm"))</f>
        <v>0</v>
      </c>
      <c r="P416" s="25">
        <f>IF(B416="","",WEEKNUM(B416,2))</f>
        <v>0</v>
      </c>
      <c r="Q416" s="38">
        <f>IF(B416="","",IF(E416="Tip","No",IF(E416="Refund","No","Yes")))</f>
        <v>0</v>
      </c>
      <c r="R416" s="25">
        <f>IF(B416="","",IF(E416="Refund",-1,1))</f>
        <v>0</v>
      </c>
      <c r="S416" s="26">
        <f>IF(B416="","",IF(G416="",0,IF(F416="Card",ROUND(G416*CardFeePercent+CardFeeFixed,2),IF(F416="Online deposit",ROUND(G416*CardFeePercent+CardFeeFixed,2),0))))</f>
        <v>0</v>
      </c>
      <c r="T416" s="26">
        <f>IF(B416="","",ROUND(IF(G416="",0,G416)*R416-S416,2))</f>
        <v>0</v>
      </c>
      <c r="U416" s="38">
        <f>IF(B416="","",IF(E416="Tip","Yes","No"))</f>
        <v>0</v>
      </c>
      <c r="V416" s="15">
        <f>IF(B416="","",IF(H416&lt;&gt;"","Sale "&amp;H416,IF(I416&lt;&gt;"","Booking "&amp;I416,IF(E416="Tip","Stylist","Unapplied"))))</f>
        <v>0</v>
      </c>
      <c r="W416" s="39">
        <f>IF(B416="","",IF(G416="","Add - no amount yet",IF(E416="","Add - what was this for?",IF(IF(H416="",FALSE,COUNTIF(Sales!$A$5:$A$1204,H416)=0),"Missing - no sale with that ID",IF(IF(I416="",FALSE,COUNTIF(Appointments!$A$5:$A$1204,I416)=0),"Missing - no booking with that ID",IF(IF(E416="Tip",J416="",FALSE),"Assign - whose tip is it?",IF(IF(E416="Deposit",IF(H416="",I416="",FALSE),FALSE),"Check - deposit not tied to a booking",IF(M416="No","Due - not reconciled yet","OK"))))))))</f>
        <v>0</v>
      </c>
    </row>
    <row r="417" spans="1:23">
      <c r="A417" s="28">
        <f>IF(B417="","",PaymentPrefix&amp;TEXT(ROW()-4,"0000"))</f>
        <v>0</v>
      </c>
      <c r="D417" s="15">
        <f>IF(C417="","",IFERROR(INDEX(Clients!$B$5:$B$504,MATCH(C417,Clients!$A$5:$A$504,0)),"Walk-in"))</f>
        <v>0</v>
      </c>
      <c r="K417" s="15">
        <f>IF(J417="","",IFERROR(INDEX(Staff!$B$5:$B$44,MATCH(J417,Staff!$A$5:$A$44,0)),""))</f>
        <v>0</v>
      </c>
      <c r="O417" s="15">
        <f>IF(B417="","",TEXT(B417,"yyyy-mm"))</f>
        <v>0</v>
      </c>
      <c r="P417" s="25">
        <f>IF(B417="","",WEEKNUM(B417,2))</f>
        <v>0</v>
      </c>
      <c r="Q417" s="38">
        <f>IF(B417="","",IF(E417="Tip","No",IF(E417="Refund","No","Yes")))</f>
        <v>0</v>
      </c>
      <c r="R417" s="25">
        <f>IF(B417="","",IF(E417="Refund",-1,1))</f>
        <v>0</v>
      </c>
      <c r="S417" s="26">
        <f>IF(B417="","",IF(G417="",0,IF(F417="Card",ROUND(G417*CardFeePercent+CardFeeFixed,2),IF(F417="Online deposit",ROUND(G417*CardFeePercent+CardFeeFixed,2),0))))</f>
        <v>0</v>
      </c>
      <c r="T417" s="26">
        <f>IF(B417="","",ROUND(IF(G417="",0,G417)*R417-S417,2))</f>
        <v>0</v>
      </c>
      <c r="U417" s="38">
        <f>IF(B417="","",IF(E417="Tip","Yes","No"))</f>
        <v>0</v>
      </c>
      <c r="V417" s="15">
        <f>IF(B417="","",IF(H417&lt;&gt;"","Sale "&amp;H417,IF(I417&lt;&gt;"","Booking "&amp;I417,IF(E417="Tip","Stylist","Unapplied"))))</f>
        <v>0</v>
      </c>
      <c r="W417" s="39">
        <f>IF(B417="","",IF(G417="","Add - no amount yet",IF(E417="","Add - what was this for?",IF(IF(H417="",FALSE,COUNTIF(Sales!$A$5:$A$1204,H417)=0),"Missing - no sale with that ID",IF(IF(I417="",FALSE,COUNTIF(Appointments!$A$5:$A$1204,I417)=0),"Missing - no booking with that ID",IF(IF(E417="Tip",J417="",FALSE),"Assign - whose tip is it?",IF(IF(E417="Deposit",IF(H417="",I417="",FALSE),FALSE),"Check - deposit not tied to a booking",IF(M417="No","Due - not reconciled yet","OK"))))))))</f>
        <v>0</v>
      </c>
    </row>
    <row r="418" spans="1:23">
      <c r="A418" s="28">
        <f>IF(B418="","",PaymentPrefix&amp;TEXT(ROW()-4,"0000"))</f>
        <v>0</v>
      </c>
      <c r="D418" s="15">
        <f>IF(C418="","",IFERROR(INDEX(Clients!$B$5:$B$504,MATCH(C418,Clients!$A$5:$A$504,0)),"Walk-in"))</f>
        <v>0</v>
      </c>
      <c r="K418" s="15">
        <f>IF(J418="","",IFERROR(INDEX(Staff!$B$5:$B$44,MATCH(J418,Staff!$A$5:$A$44,0)),""))</f>
        <v>0</v>
      </c>
      <c r="O418" s="15">
        <f>IF(B418="","",TEXT(B418,"yyyy-mm"))</f>
        <v>0</v>
      </c>
      <c r="P418" s="25">
        <f>IF(B418="","",WEEKNUM(B418,2))</f>
        <v>0</v>
      </c>
      <c r="Q418" s="38">
        <f>IF(B418="","",IF(E418="Tip","No",IF(E418="Refund","No","Yes")))</f>
        <v>0</v>
      </c>
      <c r="R418" s="25">
        <f>IF(B418="","",IF(E418="Refund",-1,1))</f>
        <v>0</v>
      </c>
      <c r="S418" s="26">
        <f>IF(B418="","",IF(G418="",0,IF(F418="Card",ROUND(G418*CardFeePercent+CardFeeFixed,2),IF(F418="Online deposit",ROUND(G418*CardFeePercent+CardFeeFixed,2),0))))</f>
        <v>0</v>
      </c>
      <c r="T418" s="26">
        <f>IF(B418="","",ROUND(IF(G418="",0,G418)*R418-S418,2))</f>
        <v>0</v>
      </c>
      <c r="U418" s="38">
        <f>IF(B418="","",IF(E418="Tip","Yes","No"))</f>
        <v>0</v>
      </c>
      <c r="V418" s="15">
        <f>IF(B418="","",IF(H418&lt;&gt;"","Sale "&amp;H418,IF(I418&lt;&gt;"","Booking "&amp;I418,IF(E418="Tip","Stylist","Unapplied"))))</f>
        <v>0</v>
      </c>
      <c r="W418" s="39">
        <f>IF(B418="","",IF(G418="","Add - no amount yet",IF(E418="","Add - what was this for?",IF(IF(H418="",FALSE,COUNTIF(Sales!$A$5:$A$1204,H418)=0),"Missing - no sale with that ID",IF(IF(I418="",FALSE,COUNTIF(Appointments!$A$5:$A$1204,I418)=0),"Missing - no booking with that ID",IF(IF(E418="Tip",J418="",FALSE),"Assign - whose tip is it?",IF(IF(E418="Deposit",IF(H418="",I418="",FALSE),FALSE),"Check - deposit not tied to a booking",IF(M418="No","Due - not reconciled yet","OK"))))))))</f>
        <v>0</v>
      </c>
    </row>
    <row r="419" spans="1:23">
      <c r="A419" s="28">
        <f>IF(B419="","",PaymentPrefix&amp;TEXT(ROW()-4,"0000"))</f>
        <v>0</v>
      </c>
      <c r="D419" s="15">
        <f>IF(C419="","",IFERROR(INDEX(Clients!$B$5:$B$504,MATCH(C419,Clients!$A$5:$A$504,0)),"Walk-in"))</f>
        <v>0</v>
      </c>
      <c r="K419" s="15">
        <f>IF(J419="","",IFERROR(INDEX(Staff!$B$5:$B$44,MATCH(J419,Staff!$A$5:$A$44,0)),""))</f>
        <v>0</v>
      </c>
      <c r="O419" s="15">
        <f>IF(B419="","",TEXT(B419,"yyyy-mm"))</f>
        <v>0</v>
      </c>
      <c r="P419" s="25">
        <f>IF(B419="","",WEEKNUM(B419,2))</f>
        <v>0</v>
      </c>
      <c r="Q419" s="38">
        <f>IF(B419="","",IF(E419="Tip","No",IF(E419="Refund","No","Yes")))</f>
        <v>0</v>
      </c>
      <c r="R419" s="25">
        <f>IF(B419="","",IF(E419="Refund",-1,1))</f>
        <v>0</v>
      </c>
      <c r="S419" s="26">
        <f>IF(B419="","",IF(G419="",0,IF(F419="Card",ROUND(G419*CardFeePercent+CardFeeFixed,2),IF(F419="Online deposit",ROUND(G419*CardFeePercent+CardFeeFixed,2),0))))</f>
        <v>0</v>
      </c>
      <c r="T419" s="26">
        <f>IF(B419="","",ROUND(IF(G419="",0,G419)*R419-S419,2))</f>
        <v>0</v>
      </c>
      <c r="U419" s="38">
        <f>IF(B419="","",IF(E419="Tip","Yes","No"))</f>
        <v>0</v>
      </c>
      <c r="V419" s="15">
        <f>IF(B419="","",IF(H419&lt;&gt;"","Sale "&amp;H419,IF(I419&lt;&gt;"","Booking "&amp;I419,IF(E419="Tip","Stylist","Unapplied"))))</f>
        <v>0</v>
      </c>
      <c r="W419" s="39">
        <f>IF(B419="","",IF(G419="","Add - no amount yet",IF(E419="","Add - what was this for?",IF(IF(H419="",FALSE,COUNTIF(Sales!$A$5:$A$1204,H419)=0),"Missing - no sale with that ID",IF(IF(I419="",FALSE,COUNTIF(Appointments!$A$5:$A$1204,I419)=0),"Missing - no booking with that ID",IF(IF(E419="Tip",J419="",FALSE),"Assign - whose tip is it?",IF(IF(E419="Deposit",IF(H419="",I419="",FALSE),FALSE),"Check - deposit not tied to a booking",IF(M419="No","Due - not reconciled yet","OK"))))))))</f>
        <v>0</v>
      </c>
    </row>
    <row r="420" spans="1:23">
      <c r="A420" s="28">
        <f>IF(B420="","",PaymentPrefix&amp;TEXT(ROW()-4,"0000"))</f>
        <v>0</v>
      </c>
      <c r="D420" s="15">
        <f>IF(C420="","",IFERROR(INDEX(Clients!$B$5:$B$504,MATCH(C420,Clients!$A$5:$A$504,0)),"Walk-in"))</f>
        <v>0</v>
      </c>
      <c r="K420" s="15">
        <f>IF(J420="","",IFERROR(INDEX(Staff!$B$5:$B$44,MATCH(J420,Staff!$A$5:$A$44,0)),""))</f>
        <v>0</v>
      </c>
      <c r="O420" s="15">
        <f>IF(B420="","",TEXT(B420,"yyyy-mm"))</f>
        <v>0</v>
      </c>
      <c r="P420" s="25">
        <f>IF(B420="","",WEEKNUM(B420,2))</f>
        <v>0</v>
      </c>
      <c r="Q420" s="38">
        <f>IF(B420="","",IF(E420="Tip","No",IF(E420="Refund","No","Yes")))</f>
        <v>0</v>
      </c>
      <c r="R420" s="25">
        <f>IF(B420="","",IF(E420="Refund",-1,1))</f>
        <v>0</v>
      </c>
      <c r="S420" s="26">
        <f>IF(B420="","",IF(G420="",0,IF(F420="Card",ROUND(G420*CardFeePercent+CardFeeFixed,2),IF(F420="Online deposit",ROUND(G420*CardFeePercent+CardFeeFixed,2),0))))</f>
        <v>0</v>
      </c>
      <c r="T420" s="26">
        <f>IF(B420="","",ROUND(IF(G420="",0,G420)*R420-S420,2))</f>
        <v>0</v>
      </c>
      <c r="U420" s="38">
        <f>IF(B420="","",IF(E420="Tip","Yes","No"))</f>
        <v>0</v>
      </c>
      <c r="V420" s="15">
        <f>IF(B420="","",IF(H420&lt;&gt;"","Sale "&amp;H420,IF(I420&lt;&gt;"","Booking "&amp;I420,IF(E420="Tip","Stylist","Unapplied"))))</f>
        <v>0</v>
      </c>
      <c r="W420" s="39">
        <f>IF(B420="","",IF(G420="","Add - no amount yet",IF(E420="","Add - what was this for?",IF(IF(H420="",FALSE,COUNTIF(Sales!$A$5:$A$1204,H420)=0),"Missing - no sale with that ID",IF(IF(I420="",FALSE,COUNTIF(Appointments!$A$5:$A$1204,I420)=0),"Missing - no booking with that ID",IF(IF(E420="Tip",J420="",FALSE),"Assign - whose tip is it?",IF(IF(E420="Deposit",IF(H420="",I420="",FALSE),FALSE),"Check - deposit not tied to a booking",IF(M420="No","Due - not reconciled yet","OK"))))))))</f>
        <v>0</v>
      </c>
    </row>
    <row r="421" spans="1:23">
      <c r="A421" s="28">
        <f>IF(B421="","",PaymentPrefix&amp;TEXT(ROW()-4,"0000"))</f>
        <v>0</v>
      </c>
      <c r="D421" s="15">
        <f>IF(C421="","",IFERROR(INDEX(Clients!$B$5:$B$504,MATCH(C421,Clients!$A$5:$A$504,0)),"Walk-in"))</f>
        <v>0</v>
      </c>
      <c r="K421" s="15">
        <f>IF(J421="","",IFERROR(INDEX(Staff!$B$5:$B$44,MATCH(J421,Staff!$A$5:$A$44,0)),""))</f>
        <v>0</v>
      </c>
      <c r="O421" s="15">
        <f>IF(B421="","",TEXT(B421,"yyyy-mm"))</f>
        <v>0</v>
      </c>
      <c r="P421" s="25">
        <f>IF(B421="","",WEEKNUM(B421,2))</f>
        <v>0</v>
      </c>
      <c r="Q421" s="38">
        <f>IF(B421="","",IF(E421="Tip","No",IF(E421="Refund","No","Yes")))</f>
        <v>0</v>
      </c>
      <c r="R421" s="25">
        <f>IF(B421="","",IF(E421="Refund",-1,1))</f>
        <v>0</v>
      </c>
      <c r="S421" s="26">
        <f>IF(B421="","",IF(G421="",0,IF(F421="Card",ROUND(G421*CardFeePercent+CardFeeFixed,2),IF(F421="Online deposit",ROUND(G421*CardFeePercent+CardFeeFixed,2),0))))</f>
        <v>0</v>
      </c>
      <c r="T421" s="26">
        <f>IF(B421="","",ROUND(IF(G421="",0,G421)*R421-S421,2))</f>
        <v>0</v>
      </c>
      <c r="U421" s="38">
        <f>IF(B421="","",IF(E421="Tip","Yes","No"))</f>
        <v>0</v>
      </c>
      <c r="V421" s="15">
        <f>IF(B421="","",IF(H421&lt;&gt;"","Sale "&amp;H421,IF(I421&lt;&gt;"","Booking "&amp;I421,IF(E421="Tip","Stylist","Unapplied"))))</f>
        <v>0</v>
      </c>
      <c r="W421" s="39">
        <f>IF(B421="","",IF(G421="","Add - no amount yet",IF(E421="","Add - what was this for?",IF(IF(H421="",FALSE,COUNTIF(Sales!$A$5:$A$1204,H421)=0),"Missing - no sale with that ID",IF(IF(I421="",FALSE,COUNTIF(Appointments!$A$5:$A$1204,I421)=0),"Missing - no booking with that ID",IF(IF(E421="Tip",J421="",FALSE),"Assign - whose tip is it?",IF(IF(E421="Deposit",IF(H421="",I421="",FALSE),FALSE),"Check - deposit not tied to a booking",IF(M421="No","Due - not reconciled yet","OK"))))))))</f>
        <v>0</v>
      </c>
    </row>
    <row r="422" spans="1:23">
      <c r="A422" s="28">
        <f>IF(B422="","",PaymentPrefix&amp;TEXT(ROW()-4,"0000"))</f>
        <v>0</v>
      </c>
      <c r="D422" s="15">
        <f>IF(C422="","",IFERROR(INDEX(Clients!$B$5:$B$504,MATCH(C422,Clients!$A$5:$A$504,0)),"Walk-in"))</f>
        <v>0</v>
      </c>
      <c r="K422" s="15">
        <f>IF(J422="","",IFERROR(INDEX(Staff!$B$5:$B$44,MATCH(J422,Staff!$A$5:$A$44,0)),""))</f>
        <v>0</v>
      </c>
      <c r="O422" s="15">
        <f>IF(B422="","",TEXT(B422,"yyyy-mm"))</f>
        <v>0</v>
      </c>
      <c r="P422" s="25">
        <f>IF(B422="","",WEEKNUM(B422,2))</f>
        <v>0</v>
      </c>
      <c r="Q422" s="38">
        <f>IF(B422="","",IF(E422="Tip","No",IF(E422="Refund","No","Yes")))</f>
        <v>0</v>
      </c>
      <c r="R422" s="25">
        <f>IF(B422="","",IF(E422="Refund",-1,1))</f>
        <v>0</v>
      </c>
      <c r="S422" s="26">
        <f>IF(B422="","",IF(G422="",0,IF(F422="Card",ROUND(G422*CardFeePercent+CardFeeFixed,2),IF(F422="Online deposit",ROUND(G422*CardFeePercent+CardFeeFixed,2),0))))</f>
        <v>0</v>
      </c>
      <c r="T422" s="26">
        <f>IF(B422="","",ROUND(IF(G422="",0,G422)*R422-S422,2))</f>
        <v>0</v>
      </c>
      <c r="U422" s="38">
        <f>IF(B422="","",IF(E422="Tip","Yes","No"))</f>
        <v>0</v>
      </c>
      <c r="V422" s="15">
        <f>IF(B422="","",IF(H422&lt;&gt;"","Sale "&amp;H422,IF(I422&lt;&gt;"","Booking "&amp;I422,IF(E422="Tip","Stylist","Unapplied"))))</f>
        <v>0</v>
      </c>
      <c r="W422" s="39">
        <f>IF(B422="","",IF(G422="","Add - no amount yet",IF(E422="","Add - what was this for?",IF(IF(H422="",FALSE,COUNTIF(Sales!$A$5:$A$1204,H422)=0),"Missing - no sale with that ID",IF(IF(I422="",FALSE,COUNTIF(Appointments!$A$5:$A$1204,I422)=0),"Missing - no booking with that ID",IF(IF(E422="Tip",J422="",FALSE),"Assign - whose tip is it?",IF(IF(E422="Deposit",IF(H422="",I422="",FALSE),FALSE),"Check - deposit not tied to a booking",IF(M422="No","Due - not reconciled yet","OK"))))))))</f>
        <v>0</v>
      </c>
    </row>
    <row r="423" spans="1:23">
      <c r="A423" s="28">
        <f>IF(B423="","",PaymentPrefix&amp;TEXT(ROW()-4,"0000"))</f>
        <v>0</v>
      </c>
      <c r="D423" s="15">
        <f>IF(C423="","",IFERROR(INDEX(Clients!$B$5:$B$504,MATCH(C423,Clients!$A$5:$A$504,0)),"Walk-in"))</f>
        <v>0</v>
      </c>
      <c r="K423" s="15">
        <f>IF(J423="","",IFERROR(INDEX(Staff!$B$5:$B$44,MATCH(J423,Staff!$A$5:$A$44,0)),""))</f>
        <v>0</v>
      </c>
      <c r="O423" s="15">
        <f>IF(B423="","",TEXT(B423,"yyyy-mm"))</f>
        <v>0</v>
      </c>
      <c r="P423" s="25">
        <f>IF(B423="","",WEEKNUM(B423,2))</f>
        <v>0</v>
      </c>
      <c r="Q423" s="38">
        <f>IF(B423="","",IF(E423="Tip","No",IF(E423="Refund","No","Yes")))</f>
        <v>0</v>
      </c>
      <c r="R423" s="25">
        <f>IF(B423="","",IF(E423="Refund",-1,1))</f>
        <v>0</v>
      </c>
      <c r="S423" s="26">
        <f>IF(B423="","",IF(G423="",0,IF(F423="Card",ROUND(G423*CardFeePercent+CardFeeFixed,2),IF(F423="Online deposit",ROUND(G423*CardFeePercent+CardFeeFixed,2),0))))</f>
        <v>0</v>
      </c>
      <c r="T423" s="26">
        <f>IF(B423="","",ROUND(IF(G423="",0,G423)*R423-S423,2))</f>
        <v>0</v>
      </c>
      <c r="U423" s="38">
        <f>IF(B423="","",IF(E423="Tip","Yes","No"))</f>
        <v>0</v>
      </c>
      <c r="V423" s="15">
        <f>IF(B423="","",IF(H423&lt;&gt;"","Sale "&amp;H423,IF(I423&lt;&gt;"","Booking "&amp;I423,IF(E423="Tip","Stylist","Unapplied"))))</f>
        <v>0</v>
      </c>
      <c r="W423" s="39">
        <f>IF(B423="","",IF(G423="","Add - no amount yet",IF(E423="","Add - what was this for?",IF(IF(H423="",FALSE,COUNTIF(Sales!$A$5:$A$1204,H423)=0),"Missing - no sale with that ID",IF(IF(I423="",FALSE,COUNTIF(Appointments!$A$5:$A$1204,I423)=0),"Missing - no booking with that ID",IF(IF(E423="Tip",J423="",FALSE),"Assign - whose tip is it?",IF(IF(E423="Deposit",IF(H423="",I423="",FALSE),FALSE),"Check - deposit not tied to a booking",IF(M423="No","Due - not reconciled yet","OK"))))))))</f>
        <v>0</v>
      </c>
    </row>
    <row r="424" spans="1:23">
      <c r="A424" s="28">
        <f>IF(B424="","",PaymentPrefix&amp;TEXT(ROW()-4,"0000"))</f>
        <v>0</v>
      </c>
      <c r="D424" s="15">
        <f>IF(C424="","",IFERROR(INDEX(Clients!$B$5:$B$504,MATCH(C424,Clients!$A$5:$A$504,0)),"Walk-in"))</f>
        <v>0</v>
      </c>
      <c r="K424" s="15">
        <f>IF(J424="","",IFERROR(INDEX(Staff!$B$5:$B$44,MATCH(J424,Staff!$A$5:$A$44,0)),""))</f>
        <v>0</v>
      </c>
      <c r="O424" s="15">
        <f>IF(B424="","",TEXT(B424,"yyyy-mm"))</f>
        <v>0</v>
      </c>
      <c r="P424" s="25">
        <f>IF(B424="","",WEEKNUM(B424,2))</f>
        <v>0</v>
      </c>
      <c r="Q424" s="38">
        <f>IF(B424="","",IF(E424="Tip","No",IF(E424="Refund","No","Yes")))</f>
        <v>0</v>
      </c>
      <c r="R424" s="25">
        <f>IF(B424="","",IF(E424="Refund",-1,1))</f>
        <v>0</v>
      </c>
      <c r="S424" s="26">
        <f>IF(B424="","",IF(G424="",0,IF(F424="Card",ROUND(G424*CardFeePercent+CardFeeFixed,2),IF(F424="Online deposit",ROUND(G424*CardFeePercent+CardFeeFixed,2),0))))</f>
        <v>0</v>
      </c>
      <c r="T424" s="26">
        <f>IF(B424="","",ROUND(IF(G424="",0,G424)*R424-S424,2))</f>
        <v>0</v>
      </c>
      <c r="U424" s="38">
        <f>IF(B424="","",IF(E424="Tip","Yes","No"))</f>
        <v>0</v>
      </c>
      <c r="V424" s="15">
        <f>IF(B424="","",IF(H424&lt;&gt;"","Sale "&amp;H424,IF(I424&lt;&gt;"","Booking "&amp;I424,IF(E424="Tip","Stylist","Unapplied"))))</f>
        <v>0</v>
      </c>
      <c r="W424" s="39">
        <f>IF(B424="","",IF(G424="","Add - no amount yet",IF(E424="","Add - what was this for?",IF(IF(H424="",FALSE,COUNTIF(Sales!$A$5:$A$1204,H424)=0),"Missing - no sale with that ID",IF(IF(I424="",FALSE,COUNTIF(Appointments!$A$5:$A$1204,I424)=0),"Missing - no booking with that ID",IF(IF(E424="Tip",J424="",FALSE),"Assign - whose tip is it?",IF(IF(E424="Deposit",IF(H424="",I424="",FALSE),FALSE),"Check - deposit not tied to a booking",IF(M424="No","Due - not reconciled yet","OK"))))))))</f>
        <v>0</v>
      </c>
    </row>
    <row r="425" spans="1:23">
      <c r="A425" s="28">
        <f>IF(B425="","",PaymentPrefix&amp;TEXT(ROW()-4,"0000"))</f>
        <v>0</v>
      </c>
      <c r="D425" s="15">
        <f>IF(C425="","",IFERROR(INDEX(Clients!$B$5:$B$504,MATCH(C425,Clients!$A$5:$A$504,0)),"Walk-in"))</f>
        <v>0</v>
      </c>
      <c r="K425" s="15">
        <f>IF(J425="","",IFERROR(INDEX(Staff!$B$5:$B$44,MATCH(J425,Staff!$A$5:$A$44,0)),""))</f>
        <v>0</v>
      </c>
      <c r="O425" s="15">
        <f>IF(B425="","",TEXT(B425,"yyyy-mm"))</f>
        <v>0</v>
      </c>
      <c r="P425" s="25">
        <f>IF(B425="","",WEEKNUM(B425,2))</f>
        <v>0</v>
      </c>
      <c r="Q425" s="38">
        <f>IF(B425="","",IF(E425="Tip","No",IF(E425="Refund","No","Yes")))</f>
        <v>0</v>
      </c>
      <c r="R425" s="25">
        <f>IF(B425="","",IF(E425="Refund",-1,1))</f>
        <v>0</v>
      </c>
      <c r="S425" s="26">
        <f>IF(B425="","",IF(G425="",0,IF(F425="Card",ROUND(G425*CardFeePercent+CardFeeFixed,2),IF(F425="Online deposit",ROUND(G425*CardFeePercent+CardFeeFixed,2),0))))</f>
        <v>0</v>
      </c>
      <c r="T425" s="26">
        <f>IF(B425="","",ROUND(IF(G425="",0,G425)*R425-S425,2))</f>
        <v>0</v>
      </c>
      <c r="U425" s="38">
        <f>IF(B425="","",IF(E425="Tip","Yes","No"))</f>
        <v>0</v>
      </c>
      <c r="V425" s="15">
        <f>IF(B425="","",IF(H425&lt;&gt;"","Sale "&amp;H425,IF(I425&lt;&gt;"","Booking "&amp;I425,IF(E425="Tip","Stylist","Unapplied"))))</f>
        <v>0</v>
      </c>
      <c r="W425" s="39">
        <f>IF(B425="","",IF(G425="","Add - no amount yet",IF(E425="","Add - what was this for?",IF(IF(H425="",FALSE,COUNTIF(Sales!$A$5:$A$1204,H425)=0),"Missing - no sale with that ID",IF(IF(I425="",FALSE,COUNTIF(Appointments!$A$5:$A$1204,I425)=0),"Missing - no booking with that ID",IF(IF(E425="Tip",J425="",FALSE),"Assign - whose tip is it?",IF(IF(E425="Deposit",IF(H425="",I425="",FALSE),FALSE),"Check - deposit not tied to a booking",IF(M425="No","Due - not reconciled yet","OK"))))))))</f>
        <v>0</v>
      </c>
    </row>
    <row r="426" spans="1:23">
      <c r="A426" s="28">
        <f>IF(B426="","",PaymentPrefix&amp;TEXT(ROW()-4,"0000"))</f>
        <v>0</v>
      </c>
      <c r="D426" s="15">
        <f>IF(C426="","",IFERROR(INDEX(Clients!$B$5:$B$504,MATCH(C426,Clients!$A$5:$A$504,0)),"Walk-in"))</f>
        <v>0</v>
      </c>
      <c r="K426" s="15">
        <f>IF(J426="","",IFERROR(INDEX(Staff!$B$5:$B$44,MATCH(J426,Staff!$A$5:$A$44,0)),""))</f>
        <v>0</v>
      </c>
      <c r="O426" s="15">
        <f>IF(B426="","",TEXT(B426,"yyyy-mm"))</f>
        <v>0</v>
      </c>
      <c r="P426" s="25">
        <f>IF(B426="","",WEEKNUM(B426,2))</f>
        <v>0</v>
      </c>
      <c r="Q426" s="38">
        <f>IF(B426="","",IF(E426="Tip","No",IF(E426="Refund","No","Yes")))</f>
        <v>0</v>
      </c>
      <c r="R426" s="25">
        <f>IF(B426="","",IF(E426="Refund",-1,1))</f>
        <v>0</v>
      </c>
      <c r="S426" s="26">
        <f>IF(B426="","",IF(G426="",0,IF(F426="Card",ROUND(G426*CardFeePercent+CardFeeFixed,2),IF(F426="Online deposit",ROUND(G426*CardFeePercent+CardFeeFixed,2),0))))</f>
        <v>0</v>
      </c>
      <c r="T426" s="26">
        <f>IF(B426="","",ROUND(IF(G426="",0,G426)*R426-S426,2))</f>
        <v>0</v>
      </c>
      <c r="U426" s="38">
        <f>IF(B426="","",IF(E426="Tip","Yes","No"))</f>
        <v>0</v>
      </c>
      <c r="V426" s="15">
        <f>IF(B426="","",IF(H426&lt;&gt;"","Sale "&amp;H426,IF(I426&lt;&gt;"","Booking "&amp;I426,IF(E426="Tip","Stylist","Unapplied"))))</f>
        <v>0</v>
      </c>
      <c r="W426" s="39">
        <f>IF(B426="","",IF(G426="","Add - no amount yet",IF(E426="","Add - what was this for?",IF(IF(H426="",FALSE,COUNTIF(Sales!$A$5:$A$1204,H426)=0),"Missing - no sale with that ID",IF(IF(I426="",FALSE,COUNTIF(Appointments!$A$5:$A$1204,I426)=0),"Missing - no booking with that ID",IF(IF(E426="Tip",J426="",FALSE),"Assign - whose tip is it?",IF(IF(E426="Deposit",IF(H426="",I426="",FALSE),FALSE),"Check - deposit not tied to a booking",IF(M426="No","Due - not reconciled yet","OK"))))))))</f>
        <v>0</v>
      </c>
    </row>
    <row r="427" spans="1:23">
      <c r="A427" s="28">
        <f>IF(B427="","",PaymentPrefix&amp;TEXT(ROW()-4,"0000"))</f>
        <v>0</v>
      </c>
      <c r="D427" s="15">
        <f>IF(C427="","",IFERROR(INDEX(Clients!$B$5:$B$504,MATCH(C427,Clients!$A$5:$A$504,0)),"Walk-in"))</f>
        <v>0</v>
      </c>
      <c r="K427" s="15">
        <f>IF(J427="","",IFERROR(INDEX(Staff!$B$5:$B$44,MATCH(J427,Staff!$A$5:$A$44,0)),""))</f>
        <v>0</v>
      </c>
      <c r="O427" s="15">
        <f>IF(B427="","",TEXT(B427,"yyyy-mm"))</f>
        <v>0</v>
      </c>
      <c r="P427" s="25">
        <f>IF(B427="","",WEEKNUM(B427,2))</f>
        <v>0</v>
      </c>
      <c r="Q427" s="38">
        <f>IF(B427="","",IF(E427="Tip","No",IF(E427="Refund","No","Yes")))</f>
        <v>0</v>
      </c>
      <c r="R427" s="25">
        <f>IF(B427="","",IF(E427="Refund",-1,1))</f>
        <v>0</v>
      </c>
      <c r="S427" s="26">
        <f>IF(B427="","",IF(G427="",0,IF(F427="Card",ROUND(G427*CardFeePercent+CardFeeFixed,2),IF(F427="Online deposit",ROUND(G427*CardFeePercent+CardFeeFixed,2),0))))</f>
        <v>0</v>
      </c>
      <c r="T427" s="26">
        <f>IF(B427="","",ROUND(IF(G427="",0,G427)*R427-S427,2))</f>
        <v>0</v>
      </c>
      <c r="U427" s="38">
        <f>IF(B427="","",IF(E427="Tip","Yes","No"))</f>
        <v>0</v>
      </c>
      <c r="V427" s="15">
        <f>IF(B427="","",IF(H427&lt;&gt;"","Sale "&amp;H427,IF(I427&lt;&gt;"","Booking "&amp;I427,IF(E427="Tip","Stylist","Unapplied"))))</f>
        <v>0</v>
      </c>
      <c r="W427" s="39">
        <f>IF(B427="","",IF(G427="","Add - no amount yet",IF(E427="","Add - what was this for?",IF(IF(H427="",FALSE,COUNTIF(Sales!$A$5:$A$1204,H427)=0),"Missing - no sale with that ID",IF(IF(I427="",FALSE,COUNTIF(Appointments!$A$5:$A$1204,I427)=0),"Missing - no booking with that ID",IF(IF(E427="Tip",J427="",FALSE),"Assign - whose tip is it?",IF(IF(E427="Deposit",IF(H427="",I427="",FALSE),FALSE),"Check - deposit not tied to a booking",IF(M427="No","Due - not reconciled yet","OK"))))))))</f>
        <v>0</v>
      </c>
    </row>
    <row r="428" spans="1:23">
      <c r="A428" s="28">
        <f>IF(B428="","",PaymentPrefix&amp;TEXT(ROW()-4,"0000"))</f>
        <v>0</v>
      </c>
      <c r="D428" s="15">
        <f>IF(C428="","",IFERROR(INDEX(Clients!$B$5:$B$504,MATCH(C428,Clients!$A$5:$A$504,0)),"Walk-in"))</f>
        <v>0</v>
      </c>
      <c r="K428" s="15">
        <f>IF(J428="","",IFERROR(INDEX(Staff!$B$5:$B$44,MATCH(J428,Staff!$A$5:$A$44,0)),""))</f>
        <v>0</v>
      </c>
      <c r="O428" s="15">
        <f>IF(B428="","",TEXT(B428,"yyyy-mm"))</f>
        <v>0</v>
      </c>
      <c r="P428" s="25">
        <f>IF(B428="","",WEEKNUM(B428,2))</f>
        <v>0</v>
      </c>
      <c r="Q428" s="38">
        <f>IF(B428="","",IF(E428="Tip","No",IF(E428="Refund","No","Yes")))</f>
        <v>0</v>
      </c>
      <c r="R428" s="25">
        <f>IF(B428="","",IF(E428="Refund",-1,1))</f>
        <v>0</v>
      </c>
      <c r="S428" s="26">
        <f>IF(B428="","",IF(G428="",0,IF(F428="Card",ROUND(G428*CardFeePercent+CardFeeFixed,2),IF(F428="Online deposit",ROUND(G428*CardFeePercent+CardFeeFixed,2),0))))</f>
        <v>0</v>
      </c>
      <c r="T428" s="26">
        <f>IF(B428="","",ROUND(IF(G428="",0,G428)*R428-S428,2))</f>
        <v>0</v>
      </c>
      <c r="U428" s="38">
        <f>IF(B428="","",IF(E428="Tip","Yes","No"))</f>
        <v>0</v>
      </c>
      <c r="V428" s="15">
        <f>IF(B428="","",IF(H428&lt;&gt;"","Sale "&amp;H428,IF(I428&lt;&gt;"","Booking "&amp;I428,IF(E428="Tip","Stylist","Unapplied"))))</f>
        <v>0</v>
      </c>
      <c r="W428" s="39">
        <f>IF(B428="","",IF(G428="","Add - no amount yet",IF(E428="","Add - what was this for?",IF(IF(H428="",FALSE,COUNTIF(Sales!$A$5:$A$1204,H428)=0),"Missing - no sale with that ID",IF(IF(I428="",FALSE,COUNTIF(Appointments!$A$5:$A$1204,I428)=0),"Missing - no booking with that ID",IF(IF(E428="Tip",J428="",FALSE),"Assign - whose tip is it?",IF(IF(E428="Deposit",IF(H428="",I428="",FALSE),FALSE),"Check - deposit not tied to a booking",IF(M428="No","Due - not reconciled yet","OK"))))))))</f>
        <v>0</v>
      </c>
    </row>
    <row r="429" spans="1:23">
      <c r="A429" s="28">
        <f>IF(B429="","",PaymentPrefix&amp;TEXT(ROW()-4,"0000"))</f>
        <v>0</v>
      </c>
      <c r="D429" s="15">
        <f>IF(C429="","",IFERROR(INDEX(Clients!$B$5:$B$504,MATCH(C429,Clients!$A$5:$A$504,0)),"Walk-in"))</f>
        <v>0</v>
      </c>
      <c r="K429" s="15">
        <f>IF(J429="","",IFERROR(INDEX(Staff!$B$5:$B$44,MATCH(J429,Staff!$A$5:$A$44,0)),""))</f>
        <v>0</v>
      </c>
      <c r="O429" s="15">
        <f>IF(B429="","",TEXT(B429,"yyyy-mm"))</f>
        <v>0</v>
      </c>
      <c r="P429" s="25">
        <f>IF(B429="","",WEEKNUM(B429,2))</f>
        <v>0</v>
      </c>
      <c r="Q429" s="38">
        <f>IF(B429="","",IF(E429="Tip","No",IF(E429="Refund","No","Yes")))</f>
        <v>0</v>
      </c>
      <c r="R429" s="25">
        <f>IF(B429="","",IF(E429="Refund",-1,1))</f>
        <v>0</v>
      </c>
      <c r="S429" s="26">
        <f>IF(B429="","",IF(G429="",0,IF(F429="Card",ROUND(G429*CardFeePercent+CardFeeFixed,2),IF(F429="Online deposit",ROUND(G429*CardFeePercent+CardFeeFixed,2),0))))</f>
        <v>0</v>
      </c>
      <c r="T429" s="26">
        <f>IF(B429="","",ROUND(IF(G429="",0,G429)*R429-S429,2))</f>
        <v>0</v>
      </c>
      <c r="U429" s="38">
        <f>IF(B429="","",IF(E429="Tip","Yes","No"))</f>
        <v>0</v>
      </c>
      <c r="V429" s="15">
        <f>IF(B429="","",IF(H429&lt;&gt;"","Sale "&amp;H429,IF(I429&lt;&gt;"","Booking "&amp;I429,IF(E429="Tip","Stylist","Unapplied"))))</f>
        <v>0</v>
      </c>
      <c r="W429" s="39">
        <f>IF(B429="","",IF(G429="","Add - no amount yet",IF(E429="","Add - what was this for?",IF(IF(H429="",FALSE,COUNTIF(Sales!$A$5:$A$1204,H429)=0),"Missing - no sale with that ID",IF(IF(I429="",FALSE,COUNTIF(Appointments!$A$5:$A$1204,I429)=0),"Missing - no booking with that ID",IF(IF(E429="Tip",J429="",FALSE),"Assign - whose tip is it?",IF(IF(E429="Deposit",IF(H429="",I429="",FALSE),FALSE),"Check - deposit not tied to a booking",IF(M429="No","Due - not reconciled yet","OK"))))))))</f>
        <v>0</v>
      </c>
    </row>
    <row r="430" spans="1:23">
      <c r="A430" s="28">
        <f>IF(B430="","",PaymentPrefix&amp;TEXT(ROW()-4,"0000"))</f>
        <v>0</v>
      </c>
      <c r="D430" s="15">
        <f>IF(C430="","",IFERROR(INDEX(Clients!$B$5:$B$504,MATCH(C430,Clients!$A$5:$A$504,0)),"Walk-in"))</f>
        <v>0</v>
      </c>
      <c r="K430" s="15">
        <f>IF(J430="","",IFERROR(INDEX(Staff!$B$5:$B$44,MATCH(J430,Staff!$A$5:$A$44,0)),""))</f>
        <v>0</v>
      </c>
      <c r="O430" s="15">
        <f>IF(B430="","",TEXT(B430,"yyyy-mm"))</f>
        <v>0</v>
      </c>
      <c r="P430" s="25">
        <f>IF(B430="","",WEEKNUM(B430,2))</f>
        <v>0</v>
      </c>
      <c r="Q430" s="38">
        <f>IF(B430="","",IF(E430="Tip","No",IF(E430="Refund","No","Yes")))</f>
        <v>0</v>
      </c>
      <c r="R430" s="25">
        <f>IF(B430="","",IF(E430="Refund",-1,1))</f>
        <v>0</v>
      </c>
      <c r="S430" s="26">
        <f>IF(B430="","",IF(G430="",0,IF(F430="Card",ROUND(G430*CardFeePercent+CardFeeFixed,2),IF(F430="Online deposit",ROUND(G430*CardFeePercent+CardFeeFixed,2),0))))</f>
        <v>0</v>
      </c>
      <c r="T430" s="26">
        <f>IF(B430="","",ROUND(IF(G430="",0,G430)*R430-S430,2))</f>
        <v>0</v>
      </c>
      <c r="U430" s="38">
        <f>IF(B430="","",IF(E430="Tip","Yes","No"))</f>
        <v>0</v>
      </c>
      <c r="V430" s="15">
        <f>IF(B430="","",IF(H430&lt;&gt;"","Sale "&amp;H430,IF(I430&lt;&gt;"","Booking "&amp;I430,IF(E430="Tip","Stylist","Unapplied"))))</f>
        <v>0</v>
      </c>
      <c r="W430" s="39">
        <f>IF(B430="","",IF(G430="","Add - no amount yet",IF(E430="","Add - what was this for?",IF(IF(H430="",FALSE,COUNTIF(Sales!$A$5:$A$1204,H430)=0),"Missing - no sale with that ID",IF(IF(I430="",FALSE,COUNTIF(Appointments!$A$5:$A$1204,I430)=0),"Missing - no booking with that ID",IF(IF(E430="Tip",J430="",FALSE),"Assign - whose tip is it?",IF(IF(E430="Deposit",IF(H430="",I430="",FALSE),FALSE),"Check - deposit not tied to a booking",IF(M430="No","Due - not reconciled yet","OK"))))))))</f>
        <v>0</v>
      </c>
    </row>
    <row r="431" spans="1:23">
      <c r="A431" s="28">
        <f>IF(B431="","",PaymentPrefix&amp;TEXT(ROW()-4,"0000"))</f>
        <v>0</v>
      </c>
      <c r="D431" s="15">
        <f>IF(C431="","",IFERROR(INDEX(Clients!$B$5:$B$504,MATCH(C431,Clients!$A$5:$A$504,0)),"Walk-in"))</f>
        <v>0</v>
      </c>
      <c r="K431" s="15">
        <f>IF(J431="","",IFERROR(INDEX(Staff!$B$5:$B$44,MATCH(J431,Staff!$A$5:$A$44,0)),""))</f>
        <v>0</v>
      </c>
      <c r="O431" s="15">
        <f>IF(B431="","",TEXT(B431,"yyyy-mm"))</f>
        <v>0</v>
      </c>
      <c r="P431" s="25">
        <f>IF(B431="","",WEEKNUM(B431,2))</f>
        <v>0</v>
      </c>
      <c r="Q431" s="38">
        <f>IF(B431="","",IF(E431="Tip","No",IF(E431="Refund","No","Yes")))</f>
        <v>0</v>
      </c>
      <c r="R431" s="25">
        <f>IF(B431="","",IF(E431="Refund",-1,1))</f>
        <v>0</v>
      </c>
      <c r="S431" s="26">
        <f>IF(B431="","",IF(G431="",0,IF(F431="Card",ROUND(G431*CardFeePercent+CardFeeFixed,2),IF(F431="Online deposit",ROUND(G431*CardFeePercent+CardFeeFixed,2),0))))</f>
        <v>0</v>
      </c>
      <c r="T431" s="26">
        <f>IF(B431="","",ROUND(IF(G431="",0,G431)*R431-S431,2))</f>
        <v>0</v>
      </c>
      <c r="U431" s="38">
        <f>IF(B431="","",IF(E431="Tip","Yes","No"))</f>
        <v>0</v>
      </c>
      <c r="V431" s="15">
        <f>IF(B431="","",IF(H431&lt;&gt;"","Sale "&amp;H431,IF(I431&lt;&gt;"","Booking "&amp;I431,IF(E431="Tip","Stylist","Unapplied"))))</f>
        <v>0</v>
      </c>
      <c r="W431" s="39">
        <f>IF(B431="","",IF(G431="","Add - no amount yet",IF(E431="","Add - what was this for?",IF(IF(H431="",FALSE,COUNTIF(Sales!$A$5:$A$1204,H431)=0),"Missing - no sale with that ID",IF(IF(I431="",FALSE,COUNTIF(Appointments!$A$5:$A$1204,I431)=0),"Missing - no booking with that ID",IF(IF(E431="Tip",J431="",FALSE),"Assign - whose tip is it?",IF(IF(E431="Deposit",IF(H431="",I431="",FALSE),FALSE),"Check - deposit not tied to a booking",IF(M431="No","Due - not reconciled yet","OK"))))))))</f>
        <v>0</v>
      </c>
    </row>
    <row r="432" spans="1:23">
      <c r="A432" s="28">
        <f>IF(B432="","",PaymentPrefix&amp;TEXT(ROW()-4,"0000"))</f>
        <v>0</v>
      </c>
      <c r="D432" s="15">
        <f>IF(C432="","",IFERROR(INDEX(Clients!$B$5:$B$504,MATCH(C432,Clients!$A$5:$A$504,0)),"Walk-in"))</f>
        <v>0</v>
      </c>
      <c r="K432" s="15">
        <f>IF(J432="","",IFERROR(INDEX(Staff!$B$5:$B$44,MATCH(J432,Staff!$A$5:$A$44,0)),""))</f>
        <v>0</v>
      </c>
      <c r="O432" s="15">
        <f>IF(B432="","",TEXT(B432,"yyyy-mm"))</f>
        <v>0</v>
      </c>
      <c r="P432" s="25">
        <f>IF(B432="","",WEEKNUM(B432,2))</f>
        <v>0</v>
      </c>
      <c r="Q432" s="38">
        <f>IF(B432="","",IF(E432="Tip","No",IF(E432="Refund","No","Yes")))</f>
        <v>0</v>
      </c>
      <c r="R432" s="25">
        <f>IF(B432="","",IF(E432="Refund",-1,1))</f>
        <v>0</v>
      </c>
      <c r="S432" s="26">
        <f>IF(B432="","",IF(G432="",0,IF(F432="Card",ROUND(G432*CardFeePercent+CardFeeFixed,2),IF(F432="Online deposit",ROUND(G432*CardFeePercent+CardFeeFixed,2),0))))</f>
        <v>0</v>
      </c>
      <c r="T432" s="26">
        <f>IF(B432="","",ROUND(IF(G432="",0,G432)*R432-S432,2))</f>
        <v>0</v>
      </c>
      <c r="U432" s="38">
        <f>IF(B432="","",IF(E432="Tip","Yes","No"))</f>
        <v>0</v>
      </c>
      <c r="V432" s="15">
        <f>IF(B432="","",IF(H432&lt;&gt;"","Sale "&amp;H432,IF(I432&lt;&gt;"","Booking "&amp;I432,IF(E432="Tip","Stylist","Unapplied"))))</f>
        <v>0</v>
      </c>
      <c r="W432" s="39">
        <f>IF(B432="","",IF(G432="","Add - no amount yet",IF(E432="","Add - what was this for?",IF(IF(H432="",FALSE,COUNTIF(Sales!$A$5:$A$1204,H432)=0),"Missing - no sale with that ID",IF(IF(I432="",FALSE,COUNTIF(Appointments!$A$5:$A$1204,I432)=0),"Missing - no booking with that ID",IF(IF(E432="Tip",J432="",FALSE),"Assign - whose tip is it?",IF(IF(E432="Deposit",IF(H432="",I432="",FALSE),FALSE),"Check - deposit not tied to a booking",IF(M432="No","Due - not reconciled yet","OK"))))))))</f>
        <v>0</v>
      </c>
    </row>
    <row r="433" spans="1:23">
      <c r="A433" s="28">
        <f>IF(B433="","",PaymentPrefix&amp;TEXT(ROW()-4,"0000"))</f>
        <v>0</v>
      </c>
      <c r="D433" s="15">
        <f>IF(C433="","",IFERROR(INDEX(Clients!$B$5:$B$504,MATCH(C433,Clients!$A$5:$A$504,0)),"Walk-in"))</f>
        <v>0</v>
      </c>
      <c r="K433" s="15">
        <f>IF(J433="","",IFERROR(INDEX(Staff!$B$5:$B$44,MATCH(J433,Staff!$A$5:$A$44,0)),""))</f>
        <v>0</v>
      </c>
      <c r="O433" s="15">
        <f>IF(B433="","",TEXT(B433,"yyyy-mm"))</f>
        <v>0</v>
      </c>
      <c r="P433" s="25">
        <f>IF(B433="","",WEEKNUM(B433,2))</f>
        <v>0</v>
      </c>
      <c r="Q433" s="38">
        <f>IF(B433="","",IF(E433="Tip","No",IF(E433="Refund","No","Yes")))</f>
        <v>0</v>
      </c>
      <c r="R433" s="25">
        <f>IF(B433="","",IF(E433="Refund",-1,1))</f>
        <v>0</v>
      </c>
      <c r="S433" s="26">
        <f>IF(B433="","",IF(G433="",0,IF(F433="Card",ROUND(G433*CardFeePercent+CardFeeFixed,2),IF(F433="Online deposit",ROUND(G433*CardFeePercent+CardFeeFixed,2),0))))</f>
        <v>0</v>
      </c>
      <c r="T433" s="26">
        <f>IF(B433="","",ROUND(IF(G433="",0,G433)*R433-S433,2))</f>
        <v>0</v>
      </c>
      <c r="U433" s="38">
        <f>IF(B433="","",IF(E433="Tip","Yes","No"))</f>
        <v>0</v>
      </c>
      <c r="V433" s="15">
        <f>IF(B433="","",IF(H433&lt;&gt;"","Sale "&amp;H433,IF(I433&lt;&gt;"","Booking "&amp;I433,IF(E433="Tip","Stylist","Unapplied"))))</f>
        <v>0</v>
      </c>
      <c r="W433" s="39">
        <f>IF(B433="","",IF(G433="","Add - no amount yet",IF(E433="","Add - what was this for?",IF(IF(H433="",FALSE,COUNTIF(Sales!$A$5:$A$1204,H433)=0),"Missing - no sale with that ID",IF(IF(I433="",FALSE,COUNTIF(Appointments!$A$5:$A$1204,I433)=0),"Missing - no booking with that ID",IF(IF(E433="Tip",J433="",FALSE),"Assign - whose tip is it?",IF(IF(E433="Deposit",IF(H433="",I433="",FALSE),FALSE),"Check - deposit not tied to a booking",IF(M433="No","Due - not reconciled yet","OK"))))))))</f>
        <v>0</v>
      </c>
    </row>
    <row r="434" spans="1:23">
      <c r="A434" s="28">
        <f>IF(B434="","",PaymentPrefix&amp;TEXT(ROW()-4,"0000"))</f>
        <v>0</v>
      </c>
      <c r="D434" s="15">
        <f>IF(C434="","",IFERROR(INDEX(Clients!$B$5:$B$504,MATCH(C434,Clients!$A$5:$A$504,0)),"Walk-in"))</f>
        <v>0</v>
      </c>
      <c r="K434" s="15">
        <f>IF(J434="","",IFERROR(INDEX(Staff!$B$5:$B$44,MATCH(J434,Staff!$A$5:$A$44,0)),""))</f>
        <v>0</v>
      </c>
      <c r="O434" s="15">
        <f>IF(B434="","",TEXT(B434,"yyyy-mm"))</f>
        <v>0</v>
      </c>
      <c r="P434" s="25">
        <f>IF(B434="","",WEEKNUM(B434,2))</f>
        <v>0</v>
      </c>
      <c r="Q434" s="38">
        <f>IF(B434="","",IF(E434="Tip","No",IF(E434="Refund","No","Yes")))</f>
        <v>0</v>
      </c>
      <c r="R434" s="25">
        <f>IF(B434="","",IF(E434="Refund",-1,1))</f>
        <v>0</v>
      </c>
      <c r="S434" s="26">
        <f>IF(B434="","",IF(G434="",0,IF(F434="Card",ROUND(G434*CardFeePercent+CardFeeFixed,2),IF(F434="Online deposit",ROUND(G434*CardFeePercent+CardFeeFixed,2),0))))</f>
        <v>0</v>
      </c>
      <c r="T434" s="26">
        <f>IF(B434="","",ROUND(IF(G434="",0,G434)*R434-S434,2))</f>
        <v>0</v>
      </c>
      <c r="U434" s="38">
        <f>IF(B434="","",IF(E434="Tip","Yes","No"))</f>
        <v>0</v>
      </c>
      <c r="V434" s="15">
        <f>IF(B434="","",IF(H434&lt;&gt;"","Sale "&amp;H434,IF(I434&lt;&gt;"","Booking "&amp;I434,IF(E434="Tip","Stylist","Unapplied"))))</f>
        <v>0</v>
      </c>
      <c r="W434" s="39">
        <f>IF(B434="","",IF(G434="","Add - no amount yet",IF(E434="","Add - what was this for?",IF(IF(H434="",FALSE,COUNTIF(Sales!$A$5:$A$1204,H434)=0),"Missing - no sale with that ID",IF(IF(I434="",FALSE,COUNTIF(Appointments!$A$5:$A$1204,I434)=0),"Missing - no booking with that ID",IF(IF(E434="Tip",J434="",FALSE),"Assign - whose tip is it?",IF(IF(E434="Deposit",IF(H434="",I434="",FALSE),FALSE),"Check - deposit not tied to a booking",IF(M434="No","Due - not reconciled yet","OK"))))))))</f>
        <v>0</v>
      </c>
    </row>
    <row r="435" spans="1:23">
      <c r="A435" s="28">
        <f>IF(B435="","",PaymentPrefix&amp;TEXT(ROW()-4,"0000"))</f>
        <v>0</v>
      </c>
      <c r="D435" s="15">
        <f>IF(C435="","",IFERROR(INDEX(Clients!$B$5:$B$504,MATCH(C435,Clients!$A$5:$A$504,0)),"Walk-in"))</f>
        <v>0</v>
      </c>
      <c r="K435" s="15">
        <f>IF(J435="","",IFERROR(INDEX(Staff!$B$5:$B$44,MATCH(J435,Staff!$A$5:$A$44,0)),""))</f>
        <v>0</v>
      </c>
      <c r="O435" s="15">
        <f>IF(B435="","",TEXT(B435,"yyyy-mm"))</f>
        <v>0</v>
      </c>
      <c r="P435" s="25">
        <f>IF(B435="","",WEEKNUM(B435,2))</f>
        <v>0</v>
      </c>
      <c r="Q435" s="38">
        <f>IF(B435="","",IF(E435="Tip","No",IF(E435="Refund","No","Yes")))</f>
        <v>0</v>
      </c>
      <c r="R435" s="25">
        <f>IF(B435="","",IF(E435="Refund",-1,1))</f>
        <v>0</v>
      </c>
      <c r="S435" s="26">
        <f>IF(B435="","",IF(G435="",0,IF(F435="Card",ROUND(G435*CardFeePercent+CardFeeFixed,2),IF(F435="Online deposit",ROUND(G435*CardFeePercent+CardFeeFixed,2),0))))</f>
        <v>0</v>
      </c>
      <c r="T435" s="26">
        <f>IF(B435="","",ROUND(IF(G435="",0,G435)*R435-S435,2))</f>
        <v>0</v>
      </c>
      <c r="U435" s="38">
        <f>IF(B435="","",IF(E435="Tip","Yes","No"))</f>
        <v>0</v>
      </c>
      <c r="V435" s="15">
        <f>IF(B435="","",IF(H435&lt;&gt;"","Sale "&amp;H435,IF(I435&lt;&gt;"","Booking "&amp;I435,IF(E435="Tip","Stylist","Unapplied"))))</f>
        <v>0</v>
      </c>
      <c r="W435" s="39">
        <f>IF(B435="","",IF(G435="","Add - no amount yet",IF(E435="","Add - what was this for?",IF(IF(H435="",FALSE,COUNTIF(Sales!$A$5:$A$1204,H435)=0),"Missing - no sale with that ID",IF(IF(I435="",FALSE,COUNTIF(Appointments!$A$5:$A$1204,I435)=0),"Missing - no booking with that ID",IF(IF(E435="Tip",J435="",FALSE),"Assign - whose tip is it?",IF(IF(E435="Deposit",IF(H435="",I435="",FALSE),FALSE),"Check - deposit not tied to a booking",IF(M435="No","Due - not reconciled yet","OK"))))))))</f>
        <v>0</v>
      </c>
    </row>
    <row r="436" spans="1:23">
      <c r="A436" s="28">
        <f>IF(B436="","",PaymentPrefix&amp;TEXT(ROW()-4,"0000"))</f>
        <v>0</v>
      </c>
      <c r="D436" s="15">
        <f>IF(C436="","",IFERROR(INDEX(Clients!$B$5:$B$504,MATCH(C436,Clients!$A$5:$A$504,0)),"Walk-in"))</f>
        <v>0</v>
      </c>
      <c r="K436" s="15">
        <f>IF(J436="","",IFERROR(INDEX(Staff!$B$5:$B$44,MATCH(J436,Staff!$A$5:$A$44,0)),""))</f>
        <v>0</v>
      </c>
      <c r="O436" s="15">
        <f>IF(B436="","",TEXT(B436,"yyyy-mm"))</f>
        <v>0</v>
      </c>
      <c r="P436" s="25">
        <f>IF(B436="","",WEEKNUM(B436,2))</f>
        <v>0</v>
      </c>
      <c r="Q436" s="38">
        <f>IF(B436="","",IF(E436="Tip","No",IF(E436="Refund","No","Yes")))</f>
        <v>0</v>
      </c>
      <c r="R436" s="25">
        <f>IF(B436="","",IF(E436="Refund",-1,1))</f>
        <v>0</v>
      </c>
      <c r="S436" s="26">
        <f>IF(B436="","",IF(G436="",0,IF(F436="Card",ROUND(G436*CardFeePercent+CardFeeFixed,2),IF(F436="Online deposit",ROUND(G436*CardFeePercent+CardFeeFixed,2),0))))</f>
        <v>0</v>
      </c>
      <c r="T436" s="26">
        <f>IF(B436="","",ROUND(IF(G436="",0,G436)*R436-S436,2))</f>
        <v>0</v>
      </c>
      <c r="U436" s="38">
        <f>IF(B436="","",IF(E436="Tip","Yes","No"))</f>
        <v>0</v>
      </c>
      <c r="V436" s="15">
        <f>IF(B436="","",IF(H436&lt;&gt;"","Sale "&amp;H436,IF(I436&lt;&gt;"","Booking "&amp;I436,IF(E436="Tip","Stylist","Unapplied"))))</f>
        <v>0</v>
      </c>
      <c r="W436" s="39">
        <f>IF(B436="","",IF(G436="","Add - no amount yet",IF(E436="","Add - what was this for?",IF(IF(H436="",FALSE,COUNTIF(Sales!$A$5:$A$1204,H436)=0),"Missing - no sale with that ID",IF(IF(I436="",FALSE,COUNTIF(Appointments!$A$5:$A$1204,I436)=0),"Missing - no booking with that ID",IF(IF(E436="Tip",J436="",FALSE),"Assign - whose tip is it?",IF(IF(E436="Deposit",IF(H436="",I436="",FALSE),FALSE),"Check - deposit not tied to a booking",IF(M436="No","Due - not reconciled yet","OK"))))))))</f>
        <v>0</v>
      </c>
    </row>
    <row r="437" spans="1:23">
      <c r="A437" s="28">
        <f>IF(B437="","",PaymentPrefix&amp;TEXT(ROW()-4,"0000"))</f>
        <v>0</v>
      </c>
      <c r="D437" s="15">
        <f>IF(C437="","",IFERROR(INDEX(Clients!$B$5:$B$504,MATCH(C437,Clients!$A$5:$A$504,0)),"Walk-in"))</f>
        <v>0</v>
      </c>
      <c r="K437" s="15">
        <f>IF(J437="","",IFERROR(INDEX(Staff!$B$5:$B$44,MATCH(J437,Staff!$A$5:$A$44,0)),""))</f>
        <v>0</v>
      </c>
      <c r="O437" s="15">
        <f>IF(B437="","",TEXT(B437,"yyyy-mm"))</f>
        <v>0</v>
      </c>
      <c r="P437" s="25">
        <f>IF(B437="","",WEEKNUM(B437,2))</f>
        <v>0</v>
      </c>
      <c r="Q437" s="38">
        <f>IF(B437="","",IF(E437="Tip","No",IF(E437="Refund","No","Yes")))</f>
        <v>0</v>
      </c>
      <c r="R437" s="25">
        <f>IF(B437="","",IF(E437="Refund",-1,1))</f>
        <v>0</v>
      </c>
      <c r="S437" s="26">
        <f>IF(B437="","",IF(G437="",0,IF(F437="Card",ROUND(G437*CardFeePercent+CardFeeFixed,2),IF(F437="Online deposit",ROUND(G437*CardFeePercent+CardFeeFixed,2),0))))</f>
        <v>0</v>
      </c>
      <c r="T437" s="26">
        <f>IF(B437="","",ROUND(IF(G437="",0,G437)*R437-S437,2))</f>
        <v>0</v>
      </c>
      <c r="U437" s="38">
        <f>IF(B437="","",IF(E437="Tip","Yes","No"))</f>
        <v>0</v>
      </c>
      <c r="V437" s="15">
        <f>IF(B437="","",IF(H437&lt;&gt;"","Sale "&amp;H437,IF(I437&lt;&gt;"","Booking "&amp;I437,IF(E437="Tip","Stylist","Unapplied"))))</f>
        <v>0</v>
      </c>
      <c r="W437" s="39">
        <f>IF(B437="","",IF(G437="","Add - no amount yet",IF(E437="","Add - what was this for?",IF(IF(H437="",FALSE,COUNTIF(Sales!$A$5:$A$1204,H437)=0),"Missing - no sale with that ID",IF(IF(I437="",FALSE,COUNTIF(Appointments!$A$5:$A$1204,I437)=0),"Missing - no booking with that ID",IF(IF(E437="Tip",J437="",FALSE),"Assign - whose tip is it?",IF(IF(E437="Deposit",IF(H437="",I437="",FALSE),FALSE),"Check - deposit not tied to a booking",IF(M437="No","Due - not reconciled yet","OK"))))))))</f>
        <v>0</v>
      </c>
    </row>
    <row r="438" spans="1:23">
      <c r="A438" s="28">
        <f>IF(B438="","",PaymentPrefix&amp;TEXT(ROW()-4,"0000"))</f>
        <v>0</v>
      </c>
      <c r="D438" s="15">
        <f>IF(C438="","",IFERROR(INDEX(Clients!$B$5:$B$504,MATCH(C438,Clients!$A$5:$A$504,0)),"Walk-in"))</f>
        <v>0</v>
      </c>
      <c r="K438" s="15">
        <f>IF(J438="","",IFERROR(INDEX(Staff!$B$5:$B$44,MATCH(J438,Staff!$A$5:$A$44,0)),""))</f>
        <v>0</v>
      </c>
      <c r="O438" s="15">
        <f>IF(B438="","",TEXT(B438,"yyyy-mm"))</f>
        <v>0</v>
      </c>
      <c r="P438" s="25">
        <f>IF(B438="","",WEEKNUM(B438,2))</f>
        <v>0</v>
      </c>
      <c r="Q438" s="38">
        <f>IF(B438="","",IF(E438="Tip","No",IF(E438="Refund","No","Yes")))</f>
        <v>0</v>
      </c>
      <c r="R438" s="25">
        <f>IF(B438="","",IF(E438="Refund",-1,1))</f>
        <v>0</v>
      </c>
      <c r="S438" s="26">
        <f>IF(B438="","",IF(G438="",0,IF(F438="Card",ROUND(G438*CardFeePercent+CardFeeFixed,2),IF(F438="Online deposit",ROUND(G438*CardFeePercent+CardFeeFixed,2),0))))</f>
        <v>0</v>
      </c>
      <c r="T438" s="26">
        <f>IF(B438="","",ROUND(IF(G438="",0,G438)*R438-S438,2))</f>
        <v>0</v>
      </c>
      <c r="U438" s="38">
        <f>IF(B438="","",IF(E438="Tip","Yes","No"))</f>
        <v>0</v>
      </c>
      <c r="V438" s="15">
        <f>IF(B438="","",IF(H438&lt;&gt;"","Sale "&amp;H438,IF(I438&lt;&gt;"","Booking "&amp;I438,IF(E438="Tip","Stylist","Unapplied"))))</f>
        <v>0</v>
      </c>
      <c r="W438" s="39">
        <f>IF(B438="","",IF(G438="","Add - no amount yet",IF(E438="","Add - what was this for?",IF(IF(H438="",FALSE,COUNTIF(Sales!$A$5:$A$1204,H438)=0),"Missing - no sale with that ID",IF(IF(I438="",FALSE,COUNTIF(Appointments!$A$5:$A$1204,I438)=0),"Missing - no booking with that ID",IF(IF(E438="Tip",J438="",FALSE),"Assign - whose tip is it?",IF(IF(E438="Deposit",IF(H438="",I438="",FALSE),FALSE),"Check - deposit not tied to a booking",IF(M438="No","Due - not reconciled yet","OK"))))))))</f>
        <v>0</v>
      </c>
    </row>
    <row r="439" spans="1:23">
      <c r="A439" s="28">
        <f>IF(B439="","",PaymentPrefix&amp;TEXT(ROW()-4,"0000"))</f>
        <v>0</v>
      </c>
      <c r="D439" s="15">
        <f>IF(C439="","",IFERROR(INDEX(Clients!$B$5:$B$504,MATCH(C439,Clients!$A$5:$A$504,0)),"Walk-in"))</f>
        <v>0</v>
      </c>
      <c r="K439" s="15">
        <f>IF(J439="","",IFERROR(INDEX(Staff!$B$5:$B$44,MATCH(J439,Staff!$A$5:$A$44,0)),""))</f>
        <v>0</v>
      </c>
      <c r="O439" s="15">
        <f>IF(B439="","",TEXT(B439,"yyyy-mm"))</f>
        <v>0</v>
      </c>
      <c r="P439" s="25">
        <f>IF(B439="","",WEEKNUM(B439,2))</f>
        <v>0</v>
      </c>
      <c r="Q439" s="38">
        <f>IF(B439="","",IF(E439="Tip","No",IF(E439="Refund","No","Yes")))</f>
        <v>0</v>
      </c>
      <c r="R439" s="25">
        <f>IF(B439="","",IF(E439="Refund",-1,1))</f>
        <v>0</v>
      </c>
      <c r="S439" s="26">
        <f>IF(B439="","",IF(G439="",0,IF(F439="Card",ROUND(G439*CardFeePercent+CardFeeFixed,2),IF(F439="Online deposit",ROUND(G439*CardFeePercent+CardFeeFixed,2),0))))</f>
        <v>0</v>
      </c>
      <c r="T439" s="26">
        <f>IF(B439="","",ROUND(IF(G439="",0,G439)*R439-S439,2))</f>
        <v>0</v>
      </c>
      <c r="U439" s="38">
        <f>IF(B439="","",IF(E439="Tip","Yes","No"))</f>
        <v>0</v>
      </c>
      <c r="V439" s="15">
        <f>IF(B439="","",IF(H439&lt;&gt;"","Sale "&amp;H439,IF(I439&lt;&gt;"","Booking "&amp;I439,IF(E439="Tip","Stylist","Unapplied"))))</f>
        <v>0</v>
      </c>
      <c r="W439" s="39">
        <f>IF(B439="","",IF(G439="","Add - no amount yet",IF(E439="","Add - what was this for?",IF(IF(H439="",FALSE,COUNTIF(Sales!$A$5:$A$1204,H439)=0),"Missing - no sale with that ID",IF(IF(I439="",FALSE,COUNTIF(Appointments!$A$5:$A$1204,I439)=0),"Missing - no booking with that ID",IF(IF(E439="Tip",J439="",FALSE),"Assign - whose tip is it?",IF(IF(E439="Deposit",IF(H439="",I439="",FALSE),FALSE),"Check - deposit not tied to a booking",IF(M439="No","Due - not reconciled yet","OK"))))))))</f>
        <v>0</v>
      </c>
    </row>
    <row r="440" spans="1:23">
      <c r="A440" s="28">
        <f>IF(B440="","",PaymentPrefix&amp;TEXT(ROW()-4,"0000"))</f>
        <v>0</v>
      </c>
      <c r="D440" s="15">
        <f>IF(C440="","",IFERROR(INDEX(Clients!$B$5:$B$504,MATCH(C440,Clients!$A$5:$A$504,0)),"Walk-in"))</f>
        <v>0</v>
      </c>
      <c r="K440" s="15">
        <f>IF(J440="","",IFERROR(INDEX(Staff!$B$5:$B$44,MATCH(J440,Staff!$A$5:$A$44,0)),""))</f>
        <v>0</v>
      </c>
      <c r="O440" s="15">
        <f>IF(B440="","",TEXT(B440,"yyyy-mm"))</f>
        <v>0</v>
      </c>
      <c r="P440" s="25">
        <f>IF(B440="","",WEEKNUM(B440,2))</f>
        <v>0</v>
      </c>
      <c r="Q440" s="38">
        <f>IF(B440="","",IF(E440="Tip","No",IF(E440="Refund","No","Yes")))</f>
        <v>0</v>
      </c>
      <c r="R440" s="25">
        <f>IF(B440="","",IF(E440="Refund",-1,1))</f>
        <v>0</v>
      </c>
      <c r="S440" s="26">
        <f>IF(B440="","",IF(G440="",0,IF(F440="Card",ROUND(G440*CardFeePercent+CardFeeFixed,2),IF(F440="Online deposit",ROUND(G440*CardFeePercent+CardFeeFixed,2),0))))</f>
        <v>0</v>
      </c>
      <c r="T440" s="26">
        <f>IF(B440="","",ROUND(IF(G440="",0,G440)*R440-S440,2))</f>
        <v>0</v>
      </c>
      <c r="U440" s="38">
        <f>IF(B440="","",IF(E440="Tip","Yes","No"))</f>
        <v>0</v>
      </c>
      <c r="V440" s="15">
        <f>IF(B440="","",IF(H440&lt;&gt;"","Sale "&amp;H440,IF(I440&lt;&gt;"","Booking "&amp;I440,IF(E440="Tip","Stylist","Unapplied"))))</f>
        <v>0</v>
      </c>
      <c r="W440" s="39">
        <f>IF(B440="","",IF(G440="","Add - no amount yet",IF(E440="","Add - what was this for?",IF(IF(H440="",FALSE,COUNTIF(Sales!$A$5:$A$1204,H440)=0),"Missing - no sale with that ID",IF(IF(I440="",FALSE,COUNTIF(Appointments!$A$5:$A$1204,I440)=0),"Missing - no booking with that ID",IF(IF(E440="Tip",J440="",FALSE),"Assign - whose tip is it?",IF(IF(E440="Deposit",IF(H440="",I440="",FALSE),FALSE),"Check - deposit not tied to a booking",IF(M440="No","Due - not reconciled yet","OK"))))))))</f>
        <v>0</v>
      </c>
    </row>
    <row r="441" spans="1:23">
      <c r="A441" s="28">
        <f>IF(B441="","",PaymentPrefix&amp;TEXT(ROW()-4,"0000"))</f>
        <v>0</v>
      </c>
      <c r="D441" s="15">
        <f>IF(C441="","",IFERROR(INDEX(Clients!$B$5:$B$504,MATCH(C441,Clients!$A$5:$A$504,0)),"Walk-in"))</f>
        <v>0</v>
      </c>
      <c r="K441" s="15">
        <f>IF(J441="","",IFERROR(INDEX(Staff!$B$5:$B$44,MATCH(J441,Staff!$A$5:$A$44,0)),""))</f>
        <v>0</v>
      </c>
      <c r="O441" s="15">
        <f>IF(B441="","",TEXT(B441,"yyyy-mm"))</f>
        <v>0</v>
      </c>
      <c r="P441" s="25">
        <f>IF(B441="","",WEEKNUM(B441,2))</f>
        <v>0</v>
      </c>
      <c r="Q441" s="38">
        <f>IF(B441="","",IF(E441="Tip","No",IF(E441="Refund","No","Yes")))</f>
        <v>0</v>
      </c>
      <c r="R441" s="25">
        <f>IF(B441="","",IF(E441="Refund",-1,1))</f>
        <v>0</v>
      </c>
      <c r="S441" s="26">
        <f>IF(B441="","",IF(G441="",0,IF(F441="Card",ROUND(G441*CardFeePercent+CardFeeFixed,2),IF(F441="Online deposit",ROUND(G441*CardFeePercent+CardFeeFixed,2),0))))</f>
        <v>0</v>
      </c>
      <c r="T441" s="26">
        <f>IF(B441="","",ROUND(IF(G441="",0,G441)*R441-S441,2))</f>
        <v>0</v>
      </c>
      <c r="U441" s="38">
        <f>IF(B441="","",IF(E441="Tip","Yes","No"))</f>
        <v>0</v>
      </c>
      <c r="V441" s="15">
        <f>IF(B441="","",IF(H441&lt;&gt;"","Sale "&amp;H441,IF(I441&lt;&gt;"","Booking "&amp;I441,IF(E441="Tip","Stylist","Unapplied"))))</f>
        <v>0</v>
      </c>
      <c r="W441" s="39">
        <f>IF(B441="","",IF(G441="","Add - no amount yet",IF(E441="","Add - what was this for?",IF(IF(H441="",FALSE,COUNTIF(Sales!$A$5:$A$1204,H441)=0),"Missing - no sale with that ID",IF(IF(I441="",FALSE,COUNTIF(Appointments!$A$5:$A$1204,I441)=0),"Missing - no booking with that ID",IF(IF(E441="Tip",J441="",FALSE),"Assign - whose tip is it?",IF(IF(E441="Deposit",IF(H441="",I441="",FALSE),FALSE),"Check - deposit not tied to a booking",IF(M441="No","Due - not reconciled yet","OK"))))))))</f>
        <v>0</v>
      </c>
    </row>
    <row r="442" spans="1:23">
      <c r="A442" s="28">
        <f>IF(B442="","",PaymentPrefix&amp;TEXT(ROW()-4,"0000"))</f>
        <v>0</v>
      </c>
      <c r="D442" s="15">
        <f>IF(C442="","",IFERROR(INDEX(Clients!$B$5:$B$504,MATCH(C442,Clients!$A$5:$A$504,0)),"Walk-in"))</f>
        <v>0</v>
      </c>
      <c r="K442" s="15">
        <f>IF(J442="","",IFERROR(INDEX(Staff!$B$5:$B$44,MATCH(J442,Staff!$A$5:$A$44,0)),""))</f>
        <v>0</v>
      </c>
      <c r="O442" s="15">
        <f>IF(B442="","",TEXT(B442,"yyyy-mm"))</f>
        <v>0</v>
      </c>
      <c r="P442" s="25">
        <f>IF(B442="","",WEEKNUM(B442,2))</f>
        <v>0</v>
      </c>
      <c r="Q442" s="38">
        <f>IF(B442="","",IF(E442="Tip","No",IF(E442="Refund","No","Yes")))</f>
        <v>0</v>
      </c>
      <c r="R442" s="25">
        <f>IF(B442="","",IF(E442="Refund",-1,1))</f>
        <v>0</v>
      </c>
      <c r="S442" s="26">
        <f>IF(B442="","",IF(G442="",0,IF(F442="Card",ROUND(G442*CardFeePercent+CardFeeFixed,2),IF(F442="Online deposit",ROUND(G442*CardFeePercent+CardFeeFixed,2),0))))</f>
        <v>0</v>
      </c>
      <c r="T442" s="26">
        <f>IF(B442="","",ROUND(IF(G442="",0,G442)*R442-S442,2))</f>
        <v>0</v>
      </c>
      <c r="U442" s="38">
        <f>IF(B442="","",IF(E442="Tip","Yes","No"))</f>
        <v>0</v>
      </c>
      <c r="V442" s="15">
        <f>IF(B442="","",IF(H442&lt;&gt;"","Sale "&amp;H442,IF(I442&lt;&gt;"","Booking "&amp;I442,IF(E442="Tip","Stylist","Unapplied"))))</f>
        <v>0</v>
      </c>
      <c r="W442" s="39">
        <f>IF(B442="","",IF(G442="","Add - no amount yet",IF(E442="","Add - what was this for?",IF(IF(H442="",FALSE,COUNTIF(Sales!$A$5:$A$1204,H442)=0),"Missing - no sale with that ID",IF(IF(I442="",FALSE,COUNTIF(Appointments!$A$5:$A$1204,I442)=0),"Missing - no booking with that ID",IF(IF(E442="Tip",J442="",FALSE),"Assign - whose tip is it?",IF(IF(E442="Deposit",IF(H442="",I442="",FALSE),FALSE),"Check - deposit not tied to a booking",IF(M442="No","Due - not reconciled yet","OK"))))))))</f>
        <v>0</v>
      </c>
    </row>
    <row r="443" spans="1:23">
      <c r="A443" s="28">
        <f>IF(B443="","",PaymentPrefix&amp;TEXT(ROW()-4,"0000"))</f>
        <v>0</v>
      </c>
      <c r="D443" s="15">
        <f>IF(C443="","",IFERROR(INDEX(Clients!$B$5:$B$504,MATCH(C443,Clients!$A$5:$A$504,0)),"Walk-in"))</f>
        <v>0</v>
      </c>
      <c r="K443" s="15">
        <f>IF(J443="","",IFERROR(INDEX(Staff!$B$5:$B$44,MATCH(J443,Staff!$A$5:$A$44,0)),""))</f>
        <v>0</v>
      </c>
      <c r="O443" s="15">
        <f>IF(B443="","",TEXT(B443,"yyyy-mm"))</f>
        <v>0</v>
      </c>
      <c r="P443" s="25">
        <f>IF(B443="","",WEEKNUM(B443,2))</f>
        <v>0</v>
      </c>
      <c r="Q443" s="38">
        <f>IF(B443="","",IF(E443="Tip","No",IF(E443="Refund","No","Yes")))</f>
        <v>0</v>
      </c>
      <c r="R443" s="25">
        <f>IF(B443="","",IF(E443="Refund",-1,1))</f>
        <v>0</v>
      </c>
      <c r="S443" s="26">
        <f>IF(B443="","",IF(G443="",0,IF(F443="Card",ROUND(G443*CardFeePercent+CardFeeFixed,2),IF(F443="Online deposit",ROUND(G443*CardFeePercent+CardFeeFixed,2),0))))</f>
        <v>0</v>
      </c>
      <c r="T443" s="26">
        <f>IF(B443="","",ROUND(IF(G443="",0,G443)*R443-S443,2))</f>
        <v>0</v>
      </c>
      <c r="U443" s="38">
        <f>IF(B443="","",IF(E443="Tip","Yes","No"))</f>
        <v>0</v>
      </c>
      <c r="V443" s="15">
        <f>IF(B443="","",IF(H443&lt;&gt;"","Sale "&amp;H443,IF(I443&lt;&gt;"","Booking "&amp;I443,IF(E443="Tip","Stylist","Unapplied"))))</f>
        <v>0</v>
      </c>
      <c r="W443" s="39">
        <f>IF(B443="","",IF(G443="","Add - no amount yet",IF(E443="","Add - what was this for?",IF(IF(H443="",FALSE,COUNTIF(Sales!$A$5:$A$1204,H443)=0),"Missing - no sale with that ID",IF(IF(I443="",FALSE,COUNTIF(Appointments!$A$5:$A$1204,I443)=0),"Missing - no booking with that ID",IF(IF(E443="Tip",J443="",FALSE),"Assign - whose tip is it?",IF(IF(E443="Deposit",IF(H443="",I443="",FALSE),FALSE),"Check - deposit not tied to a booking",IF(M443="No","Due - not reconciled yet","OK"))))))))</f>
        <v>0</v>
      </c>
    </row>
    <row r="444" spans="1:23">
      <c r="A444" s="28">
        <f>IF(B444="","",PaymentPrefix&amp;TEXT(ROW()-4,"0000"))</f>
        <v>0</v>
      </c>
      <c r="D444" s="15">
        <f>IF(C444="","",IFERROR(INDEX(Clients!$B$5:$B$504,MATCH(C444,Clients!$A$5:$A$504,0)),"Walk-in"))</f>
        <v>0</v>
      </c>
      <c r="K444" s="15">
        <f>IF(J444="","",IFERROR(INDEX(Staff!$B$5:$B$44,MATCH(J444,Staff!$A$5:$A$44,0)),""))</f>
        <v>0</v>
      </c>
      <c r="O444" s="15">
        <f>IF(B444="","",TEXT(B444,"yyyy-mm"))</f>
        <v>0</v>
      </c>
      <c r="P444" s="25">
        <f>IF(B444="","",WEEKNUM(B444,2))</f>
        <v>0</v>
      </c>
      <c r="Q444" s="38">
        <f>IF(B444="","",IF(E444="Tip","No",IF(E444="Refund","No","Yes")))</f>
        <v>0</v>
      </c>
      <c r="R444" s="25">
        <f>IF(B444="","",IF(E444="Refund",-1,1))</f>
        <v>0</v>
      </c>
      <c r="S444" s="26">
        <f>IF(B444="","",IF(G444="",0,IF(F444="Card",ROUND(G444*CardFeePercent+CardFeeFixed,2),IF(F444="Online deposit",ROUND(G444*CardFeePercent+CardFeeFixed,2),0))))</f>
        <v>0</v>
      </c>
      <c r="T444" s="26">
        <f>IF(B444="","",ROUND(IF(G444="",0,G444)*R444-S444,2))</f>
        <v>0</v>
      </c>
      <c r="U444" s="38">
        <f>IF(B444="","",IF(E444="Tip","Yes","No"))</f>
        <v>0</v>
      </c>
      <c r="V444" s="15">
        <f>IF(B444="","",IF(H444&lt;&gt;"","Sale "&amp;H444,IF(I444&lt;&gt;"","Booking "&amp;I444,IF(E444="Tip","Stylist","Unapplied"))))</f>
        <v>0</v>
      </c>
      <c r="W444" s="39">
        <f>IF(B444="","",IF(G444="","Add - no amount yet",IF(E444="","Add - what was this for?",IF(IF(H444="",FALSE,COUNTIF(Sales!$A$5:$A$1204,H444)=0),"Missing - no sale with that ID",IF(IF(I444="",FALSE,COUNTIF(Appointments!$A$5:$A$1204,I444)=0),"Missing - no booking with that ID",IF(IF(E444="Tip",J444="",FALSE),"Assign - whose tip is it?",IF(IF(E444="Deposit",IF(H444="",I444="",FALSE),FALSE),"Check - deposit not tied to a booking",IF(M444="No","Due - not reconciled yet","OK"))))))))</f>
        <v>0</v>
      </c>
    </row>
    <row r="445" spans="1:23">
      <c r="A445" s="28">
        <f>IF(B445="","",PaymentPrefix&amp;TEXT(ROW()-4,"0000"))</f>
        <v>0</v>
      </c>
      <c r="D445" s="15">
        <f>IF(C445="","",IFERROR(INDEX(Clients!$B$5:$B$504,MATCH(C445,Clients!$A$5:$A$504,0)),"Walk-in"))</f>
        <v>0</v>
      </c>
      <c r="K445" s="15">
        <f>IF(J445="","",IFERROR(INDEX(Staff!$B$5:$B$44,MATCH(J445,Staff!$A$5:$A$44,0)),""))</f>
        <v>0</v>
      </c>
      <c r="O445" s="15">
        <f>IF(B445="","",TEXT(B445,"yyyy-mm"))</f>
        <v>0</v>
      </c>
      <c r="P445" s="25">
        <f>IF(B445="","",WEEKNUM(B445,2))</f>
        <v>0</v>
      </c>
      <c r="Q445" s="38">
        <f>IF(B445="","",IF(E445="Tip","No",IF(E445="Refund","No","Yes")))</f>
        <v>0</v>
      </c>
      <c r="R445" s="25">
        <f>IF(B445="","",IF(E445="Refund",-1,1))</f>
        <v>0</v>
      </c>
      <c r="S445" s="26">
        <f>IF(B445="","",IF(G445="",0,IF(F445="Card",ROUND(G445*CardFeePercent+CardFeeFixed,2),IF(F445="Online deposit",ROUND(G445*CardFeePercent+CardFeeFixed,2),0))))</f>
        <v>0</v>
      </c>
      <c r="T445" s="26">
        <f>IF(B445="","",ROUND(IF(G445="",0,G445)*R445-S445,2))</f>
        <v>0</v>
      </c>
      <c r="U445" s="38">
        <f>IF(B445="","",IF(E445="Tip","Yes","No"))</f>
        <v>0</v>
      </c>
      <c r="V445" s="15">
        <f>IF(B445="","",IF(H445&lt;&gt;"","Sale "&amp;H445,IF(I445&lt;&gt;"","Booking "&amp;I445,IF(E445="Tip","Stylist","Unapplied"))))</f>
        <v>0</v>
      </c>
      <c r="W445" s="39">
        <f>IF(B445="","",IF(G445="","Add - no amount yet",IF(E445="","Add - what was this for?",IF(IF(H445="",FALSE,COUNTIF(Sales!$A$5:$A$1204,H445)=0),"Missing - no sale with that ID",IF(IF(I445="",FALSE,COUNTIF(Appointments!$A$5:$A$1204,I445)=0),"Missing - no booking with that ID",IF(IF(E445="Tip",J445="",FALSE),"Assign - whose tip is it?",IF(IF(E445="Deposit",IF(H445="",I445="",FALSE),FALSE),"Check - deposit not tied to a booking",IF(M445="No","Due - not reconciled yet","OK"))))))))</f>
        <v>0</v>
      </c>
    </row>
    <row r="446" spans="1:23">
      <c r="A446" s="28">
        <f>IF(B446="","",PaymentPrefix&amp;TEXT(ROW()-4,"0000"))</f>
        <v>0</v>
      </c>
      <c r="D446" s="15">
        <f>IF(C446="","",IFERROR(INDEX(Clients!$B$5:$B$504,MATCH(C446,Clients!$A$5:$A$504,0)),"Walk-in"))</f>
        <v>0</v>
      </c>
      <c r="K446" s="15">
        <f>IF(J446="","",IFERROR(INDEX(Staff!$B$5:$B$44,MATCH(J446,Staff!$A$5:$A$44,0)),""))</f>
        <v>0</v>
      </c>
      <c r="O446" s="15">
        <f>IF(B446="","",TEXT(B446,"yyyy-mm"))</f>
        <v>0</v>
      </c>
      <c r="P446" s="25">
        <f>IF(B446="","",WEEKNUM(B446,2))</f>
        <v>0</v>
      </c>
      <c r="Q446" s="38">
        <f>IF(B446="","",IF(E446="Tip","No",IF(E446="Refund","No","Yes")))</f>
        <v>0</v>
      </c>
      <c r="R446" s="25">
        <f>IF(B446="","",IF(E446="Refund",-1,1))</f>
        <v>0</v>
      </c>
      <c r="S446" s="26">
        <f>IF(B446="","",IF(G446="",0,IF(F446="Card",ROUND(G446*CardFeePercent+CardFeeFixed,2),IF(F446="Online deposit",ROUND(G446*CardFeePercent+CardFeeFixed,2),0))))</f>
        <v>0</v>
      </c>
      <c r="T446" s="26">
        <f>IF(B446="","",ROUND(IF(G446="",0,G446)*R446-S446,2))</f>
        <v>0</v>
      </c>
      <c r="U446" s="38">
        <f>IF(B446="","",IF(E446="Tip","Yes","No"))</f>
        <v>0</v>
      </c>
      <c r="V446" s="15">
        <f>IF(B446="","",IF(H446&lt;&gt;"","Sale "&amp;H446,IF(I446&lt;&gt;"","Booking "&amp;I446,IF(E446="Tip","Stylist","Unapplied"))))</f>
        <v>0</v>
      </c>
      <c r="W446" s="39">
        <f>IF(B446="","",IF(G446="","Add - no amount yet",IF(E446="","Add - what was this for?",IF(IF(H446="",FALSE,COUNTIF(Sales!$A$5:$A$1204,H446)=0),"Missing - no sale with that ID",IF(IF(I446="",FALSE,COUNTIF(Appointments!$A$5:$A$1204,I446)=0),"Missing - no booking with that ID",IF(IF(E446="Tip",J446="",FALSE),"Assign - whose tip is it?",IF(IF(E446="Deposit",IF(H446="",I446="",FALSE),FALSE),"Check - deposit not tied to a booking",IF(M446="No","Due - not reconciled yet","OK"))))))))</f>
        <v>0</v>
      </c>
    </row>
    <row r="447" spans="1:23">
      <c r="A447" s="28">
        <f>IF(B447="","",PaymentPrefix&amp;TEXT(ROW()-4,"0000"))</f>
        <v>0</v>
      </c>
      <c r="D447" s="15">
        <f>IF(C447="","",IFERROR(INDEX(Clients!$B$5:$B$504,MATCH(C447,Clients!$A$5:$A$504,0)),"Walk-in"))</f>
        <v>0</v>
      </c>
      <c r="K447" s="15">
        <f>IF(J447="","",IFERROR(INDEX(Staff!$B$5:$B$44,MATCH(J447,Staff!$A$5:$A$44,0)),""))</f>
        <v>0</v>
      </c>
      <c r="O447" s="15">
        <f>IF(B447="","",TEXT(B447,"yyyy-mm"))</f>
        <v>0</v>
      </c>
      <c r="P447" s="25">
        <f>IF(B447="","",WEEKNUM(B447,2))</f>
        <v>0</v>
      </c>
      <c r="Q447" s="38">
        <f>IF(B447="","",IF(E447="Tip","No",IF(E447="Refund","No","Yes")))</f>
        <v>0</v>
      </c>
      <c r="R447" s="25">
        <f>IF(B447="","",IF(E447="Refund",-1,1))</f>
        <v>0</v>
      </c>
      <c r="S447" s="26">
        <f>IF(B447="","",IF(G447="",0,IF(F447="Card",ROUND(G447*CardFeePercent+CardFeeFixed,2),IF(F447="Online deposit",ROUND(G447*CardFeePercent+CardFeeFixed,2),0))))</f>
        <v>0</v>
      </c>
      <c r="T447" s="26">
        <f>IF(B447="","",ROUND(IF(G447="",0,G447)*R447-S447,2))</f>
        <v>0</v>
      </c>
      <c r="U447" s="38">
        <f>IF(B447="","",IF(E447="Tip","Yes","No"))</f>
        <v>0</v>
      </c>
      <c r="V447" s="15">
        <f>IF(B447="","",IF(H447&lt;&gt;"","Sale "&amp;H447,IF(I447&lt;&gt;"","Booking "&amp;I447,IF(E447="Tip","Stylist","Unapplied"))))</f>
        <v>0</v>
      </c>
      <c r="W447" s="39">
        <f>IF(B447="","",IF(G447="","Add - no amount yet",IF(E447="","Add - what was this for?",IF(IF(H447="",FALSE,COUNTIF(Sales!$A$5:$A$1204,H447)=0),"Missing - no sale with that ID",IF(IF(I447="",FALSE,COUNTIF(Appointments!$A$5:$A$1204,I447)=0),"Missing - no booking with that ID",IF(IF(E447="Tip",J447="",FALSE),"Assign - whose tip is it?",IF(IF(E447="Deposit",IF(H447="",I447="",FALSE),FALSE),"Check - deposit not tied to a booking",IF(M447="No","Due - not reconciled yet","OK"))))))))</f>
        <v>0</v>
      </c>
    </row>
    <row r="448" spans="1:23">
      <c r="A448" s="28">
        <f>IF(B448="","",PaymentPrefix&amp;TEXT(ROW()-4,"0000"))</f>
        <v>0</v>
      </c>
      <c r="D448" s="15">
        <f>IF(C448="","",IFERROR(INDEX(Clients!$B$5:$B$504,MATCH(C448,Clients!$A$5:$A$504,0)),"Walk-in"))</f>
        <v>0</v>
      </c>
      <c r="K448" s="15">
        <f>IF(J448="","",IFERROR(INDEX(Staff!$B$5:$B$44,MATCH(J448,Staff!$A$5:$A$44,0)),""))</f>
        <v>0</v>
      </c>
      <c r="O448" s="15">
        <f>IF(B448="","",TEXT(B448,"yyyy-mm"))</f>
        <v>0</v>
      </c>
      <c r="P448" s="25">
        <f>IF(B448="","",WEEKNUM(B448,2))</f>
        <v>0</v>
      </c>
      <c r="Q448" s="38">
        <f>IF(B448="","",IF(E448="Tip","No",IF(E448="Refund","No","Yes")))</f>
        <v>0</v>
      </c>
      <c r="R448" s="25">
        <f>IF(B448="","",IF(E448="Refund",-1,1))</f>
        <v>0</v>
      </c>
      <c r="S448" s="26">
        <f>IF(B448="","",IF(G448="",0,IF(F448="Card",ROUND(G448*CardFeePercent+CardFeeFixed,2),IF(F448="Online deposit",ROUND(G448*CardFeePercent+CardFeeFixed,2),0))))</f>
        <v>0</v>
      </c>
      <c r="T448" s="26">
        <f>IF(B448="","",ROUND(IF(G448="",0,G448)*R448-S448,2))</f>
        <v>0</v>
      </c>
      <c r="U448" s="38">
        <f>IF(B448="","",IF(E448="Tip","Yes","No"))</f>
        <v>0</v>
      </c>
      <c r="V448" s="15">
        <f>IF(B448="","",IF(H448&lt;&gt;"","Sale "&amp;H448,IF(I448&lt;&gt;"","Booking "&amp;I448,IF(E448="Tip","Stylist","Unapplied"))))</f>
        <v>0</v>
      </c>
      <c r="W448" s="39">
        <f>IF(B448="","",IF(G448="","Add - no amount yet",IF(E448="","Add - what was this for?",IF(IF(H448="",FALSE,COUNTIF(Sales!$A$5:$A$1204,H448)=0),"Missing - no sale with that ID",IF(IF(I448="",FALSE,COUNTIF(Appointments!$A$5:$A$1204,I448)=0),"Missing - no booking with that ID",IF(IF(E448="Tip",J448="",FALSE),"Assign - whose tip is it?",IF(IF(E448="Deposit",IF(H448="",I448="",FALSE),FALSE),"Check - deposit not tied to a booking",IF(M448="No","Due - not reconciled yet","OK"))))))))</f>
        <v>0</v>
      </c>
    </row>
    <row r="449" spans="1:23">
      <c r="A449" s="28">
        <f>IF(B449="","",PaymentPrefix&amp;TEXT(ROW()-4,"0000"))</f>
        <v>0</v>
      </c>
      <c r="D449" s="15">
        <f>IF(C449="","",IFERROR(INDEX(Clients!$B$5:$B$504,MATCH(C449,Clients!$A$5:$A$504,0)),"Walk-in"))</f>
        <v>0</v>
      </c>
      <c r="K449" s="15">
        <f>IF(J449="","",IFERROR(INDEX(Staff!$B$5:$B$44,MATCH(J449,Staff!$A$5:$A$44,0)),""))</f>
        <v>0</v>
      </c>
      <c r="O449" s="15">
        <f>IF(B449="","",TEXT(B449,"yyyy-mm"))</f>
        <v>0</v>
      </c>
      <c r="P449" s="25">
        <f>IF(B449="","",WEEKNUM(B449,2))</f>
        <v>0</v>
      </c>
      <c r="Q449" s="38">
        <f>IF(B449="","",IF(E449="Tip","No",IF(E449="Refund","No","Yes")))</f>
        <v>0</v>
      </c>
      <c r="R449" s="25">
        <f>IF(B449="","",IF(E449="Refund",-1,1))</f>
        <v>0</v>
      </c>
      <c r="S449" s="26">
        <f>IF(B449="","",IF(G449="",0,IF(F449="Card",ROUND(G449*CardFeePercent+CardFeeFixed,2),IF(F449="Online deposit",ROUND(G449*CardFeePercent+CardFeeFixed,2),0))))</f>
        <v>0</v>
      </c>
      <c r="T449" s="26">
        <f>IF(B449="","",ROUND(IF(G449="",0,G449)*R449-S449,2))</f>
        <v>0</v>
      </c>
      <c r="U449" s="38">
        <f>IF(B449="","",IF(E449="Tip","Yes","No"))</f>
        <v>0</v>
      </c>
      <c r="V449" s="15">
        <f>IF(B449="","",IF(H449&lt;&gt;"","Sale "&amp;H449,IF(I449&lt;&gt;"","Booking "&amp;I449,IF(E449="Tip","Stylist","Unapplied"))))</f>
        <v>0</v>
      </c>
      <c r="W449" s="39">
        <f>IF(B449="","",IF(G449="","Add - no amount yet",IF(E449="","Add - what was this for?",IF(IF(H449="",FALSE,COUNTIF(Sales!$A$5:$A$1204,H449)=0),"Missing - no sale with that ID",IF(IF(I449="",FALSE,COUNTIF(Appointments!$A$5:$A$1204,I449)=0),"Missing - no booking with that ID",IF(IF(E449="Tip",J449="",FALSE),"Assign - whose tip is it?",IF(IF(E449="Deposit",IF(H449="",I449="",FALSE),FALSE),"Check - deposit not tied to a booking",IF(M449="No","Due - not reconciled yet","OK"))))))))</f>
        <v>0</v>
      </c>
    </row>
    <row r="450" spans="1:23">
      <c r="A450" s="28">
        <f>IF(B450="","",PaymentPrefix&amp;TEXT(ROW()-4,"0000"))</f>
        <v>0</v>
      </c>
      <c r="D450" s="15">
        <f>IF(C450="","",IFERROR(INDEX(Clients!$B$5:$B$504,MATCH(C450,Clients!$A$5:$A$504,0)),"Walk-in"))</f>
        <v>0</v>
      </c>
      <c r="K450" s="15">
        <f>IF(J450="","",IFERROR(INDEX(Staff!$B$5:$B$44,MATCH(J450,Staff!$A$5:$A$44,0)),""))</f>
        <v>0</v>
      </c>
      <c r="O450" s="15">
        <f>IF(B450="","",TEXT(B450,"yyyy-mm"))</f>
        <v>0</v>
      </c>
      <c r="P450" s="25">
        <f>IF(B450="","",WEEKNUM(B450,2))</f>
        <v>0</v>
      </c>
      <c r="Q450" s="38">
        <f>IF(B450="","",IF(E450="Tip","No",IF(E450="Refund","No","Yes")))</f>
        <v>0</v>
      </c>
      <c r="R450" s="25">
        <f>IF(B450="","",IF(E450="Refund",-1,1))</f>
        <v>0</v>
      </c>
      <c r="S450" s="26">
        <f>IF(B450="","",IF(G450="",0,IF(F450="Card",ROUND(G450*CardFeePercent+CardFeeFixed,2),IF(F450="Online deposit",ROUND(G450*CardFeePercent+CardFeeFixed,2),0))))</f>
        <v>0</v>
      </c>
      <c r="T450" s="26">
        <f>IF(B450="","",ROUND(IF(G450="",0,G450)*R450-S450,2))</f>
        <v>0</v>
      </c>
      <c r="U450" s="38">
        <f>IF(B450="","",IF(E450="Tip","Yes","No"))</f>
        <v>0</v>
      </c>
      <c r="V450" s="15">
        <f>IF(B450="","",IF(H450&lt;&gt;"","Sale "&amp;H450,IF(I450&lt;&gt;"","Booking "&amp;I450,IF(E450="Tip","Stylist","Unapplied"))))</f>
        <v>0</v>
      </c>
      <c r="W450" s="39">
        <f>IF(B450="","",IF(G450="","Add - no amount yet",IF(E450="","Add - what was this for?",IF(IF(H450="",FALSE,COUNTIF(Sales!$A$5:$A$1204,H450)=0),"Missing - no sale with that ID",IF(IF(I450="",FALSE,COUNTIF(Appointments!$A$5:$A$1204,I450)=0),"Missing - no booking with that ID",IF(IF(E450="Tip",J450="",FALSE),"Assign - whose tip is it?",IF(IF(E450="Deposit",IF(H450="",I450="",FALSE),FALSE),"Check - deposit not tied to a booking",IF(M450="No","Due - not reconciled yet","OK"))))))))</f>
        <v>0</v>
      </c>
    </row>
    <row r="451" spans="1:23">
      <c r="A451" s="28">
        <f>IF(B451="","",PaymentPrefix&amp;TEXT(ROW()-4,"0000"))</f>
        <v>0</v>
      </c>
      <c r="D451" s="15">
        <f>IF(C451="","",IFERROR(INDEX(Clients!$B$5:$B$504,MATCH(C451,Clients!$A$5:$A$504,0)),"Walk-in"))</f>
        <v>0</v>
      </c>
      <c r="K451" s="15">
        <f>IF(J451="","",IFERROR(INDEX(Staff!$B$5:$B$44,MATCH(J451,Staff!$A$5:$A$44,0)),""))</f>
        <v>0</v>
      </c>
      <c r="O451" s="15">
        <f>IF(B451="","",TEXT(B451,"yyyy-mm"))</f>
        <v>0</v>
      </c>
      <c r="P451" s="25">
        <f>IF(B451="","",WEEKNUM(B451,2))</f>
        <v>0</v>
      </c>
      <c r="Q451" s="38">
        <f>IF(B451="","",IF(E451="Tip","No",IF(E451="Refund","No","Yes")))</f>
        <v>0</v>
      </c>
      <c r="R451" s="25">
        <f>IF(B451="","",IF(E451="Refund",-1,1))</f>
        <v>0</v>
      </c>
      <c r="S451" s="26">
        <f>IF(B451="","",IF(G451="",0,IF(F451="Card",ROUND(G451*CardFeePercent+CardFeeFixed,2),IF(F451="Online deposit",ROUND(G451*CardFeePercent+CardFeeFixed,2),0))))</f>
        <v>0</v>
      </c>
      <c r="T451" s="26">
        <f>IF(B451="","",ROUND(IF(G451="",0,G451)*R451-S451,2))</f>
        <v>0</v>
      </c>
      <c r="U451" s="38">
        <f>IF(B451="","",IF(E451="Tip","Yes","No"))</f>
        <v>0</v>
      </c>
      <c r="V451" s="15">
        <f>IF(B451="","",IF(H451&lt;&gt;"","Sale "&amp;H451,IF(I451&lt;&gt;"","Booking "&amp;I451,IF(E451="Tip","Stylist","Unapplied"))))</f>
        <v>0</v>
      </c>
      <c r="W451" s="39">
        <f>IF(B451="","",IF(G451="","Add - no amount yet",IF(E451="","Add - what was this for?",IF(IF(H451="",FALSE,COUNTIF(Sales!$A$5:$A$1204,H451)=0),"Missing - no sale with that ID",IF(IF(I451="",FALSE,COUNTIF(Appointments!$A$5:$A$1204,I451)=0),"Missing - no booking with that ID",IF(IF(E451="Tip",J451="",FALSE),"Assign - whose tip is it?",IF(IF(E451="Deposit",IF(H451="",I451="",FALSE),FALSE),"Check - deposit not tied to a booking",IF(M451="No","Due - not reconciled yet","OK"))))))))</f>
        <v>0</v>
      </c>
    </row>
    <row r="452" spans="1:23">
      <c r="A452" s="28">
        <f>IF(B452="","",PaymentPrefix&amp;TEXT(ROW()-4,"0000"))</f>
        <v>0</v>
      </c>
      <c r="D452" s="15">
        <f>IF(C452="","",IFERROR(INDEX(Clients!$B$5:$B$504,MATCH(C452,Clients!$A$5:$A$504,0)),"Walk-in"))</f>
        <v>0</v>
      </c>
      <c r="K452" s="15">
        <f>IF(J452="","",IFERROR(INDEX(Staff!$B$5:$B$44,MATCH(J452,Staff!$A$5:$A$44,0)),""))</f>
        <v>0</v>
      </c>
      <c r="O452" s="15">
        <f>IF(B452="","",TEXT(B452,"yyyy-mm"))</f>
        <v>0</v>
      </c>
      <c r="P452" s="25">
        <f>IF(B452="","",WEEKNUM(B452,2))</f>
        <v>0</v>
      </c>
      <c r="Q452" s="38">
        <f>IF(B452="","",IF(E452="Tip","No",IF(E452="Refund","No","Yes")))</f>
        <v>0</v>
      </c>
      <c r="R452" s="25">
        <f>IF(B452="","",IF(E452="Refund",-1,1))</f>
        <v>0</v>
      </c>
      <c r="S452" s="26">
        <f>IF(B452="","",IF(G452="",0,IF(F452="Card",ROUND(G452*CardFeePercent+CardFeeFixed,2),IF(F452="Online deposit",ROUND(G452*CardFeePercent+CardFeeFixed,2),0))))</f>
        <v>0</v>
      </c>
      <c r="T452" s="26">
        <f>IF(B452="","",ROUND(IF(G452="",0,G452)*R452-S452,2))</f>
        <v>0</v>
      </c>
      <c r="U452" s="38">
        <f>IF(B452="","",IF(E452="Tip","Yes","No"))</f>
        <v>0</v>
      </c>
      <c r="V452" s="15">
        <f>IF(B452="","",IF(H452&lt;&gt;"","Sale "&amp;H452,IF(I452&lt;&gt;"","Booking "&amp;I452,IF(E452="Tip","Stylist","Unapplied"))))</f>
        <v>0</v>
      </c>
      <c r="W452" s="39">
        <f>IF(B452="","",IF(G452="","Add - no amount yet",IF(E452="","Add - what was this for?",IF(IF(H452="",FALSE,COUNTIF(Sales!$A$5:$A$1204,H452)=0),"Missing - no sale with that ID",IF(IF(I452="",FALSE,COUNTIF(Appointments!$A$5:$A$1204,I452)=0),"Missing - no booking with that ID",IF(IF(E452="Tip",J452="",FALSE),"Assign - whose tip is it?",IF(IF(E452="Deposit",IF(H452="",I452="",FALSE),FALSE),"Check - deposit not tied to a booking",IF(M452="No","Due - not reconciled yet","OK"))))))))</f>
        <v>0</v>
      </c>
    </row>
    <row r="453" spans="1:23">
      <c r="A453" s="28">
        <f>IF(B453="","",PaymentPrefix&amp;TEXT(ROW()-4,"0000"))</f>
        <v>0</v>
      </c>
      <c r="D453" s="15">
        <f>IF(C453="","",IFERROR(INDEX(Clients!$B$5:$B$504,MATCH(C453,Clients!$A$5:$A$504,0)),"Walk-in"))</f>
        <v>0</v>
      </c>
      <c r="K453" s="15">
        <f>IF(J453="","",IFERROR(INDEX(Staff!$B$5:$B$44,MATCH(J453,Staff!$A$5:$A$44,0)),""))</f>
        <v>0</v>
      </c>
      <c r="O453" s="15">
        <f>IF(B453="","",TEXT(B453,"yyyy-mm"))</f>
        <v>0</v>
      </c>
      <c r="P453" s="25">
        <f>IF(B453="","",WEEKNUM(B453,2))</f>
        <v>0</v>
      </c>
      <c r="Q453" s="38">
        <f>IF(B453="","",IF(E453="Tip","No",IF(E453="Refund","No","Yes")))</f>
        <v>0</v>
      </c>
      <c r="R453" s="25">
        <f>IF(B453="","",IF(E453="Refund",-1,1))</f>
        <v>0</v>
      </c>
      <c r="S453" s="26">
        <f>IF(B453="","",IF(G453="",0,IF(F453="Card",ROUND(G453*CardFeePercent+CardFeeFixed,2),IF(F453="Online deposit",ROUND(G453*CardFeePercent+CardFeeFixed,2),0))))</f>
        <v>0</v>
      </c>
      <c r="T453" s="26">
        <f>IF(B453="","",ROUND(IF(G453="",0,G453)*R453-S453,2))</f>
        <v>0</v>
      </c>
      <c r="U453" s="38">
        <f>IF(B453="","",IF(E453="Tip","Yes","No"))</f>
        <v>0</v>
      </c>
      <c r="V453" s="15">
        <f>IF(B453="","",IF(H453&lt;&gt;"","Sale "&amp;H453,IF(I453&lt;&gt;"","Booking "&amp;I453,IF(E453="Tip","Stylist","Unapplied"))))</f>
        <v>0</v>
      </c>
      <c r="W453" s="39">
        <f>IF(B453="","",IF(G453="","Add - no amount yet",IF(E453="","Add - what was this for?",IF(IF(H453="",FALSE,COUNTIF(Sales!$A$5:$A$1204,H453)=0),"Missing - no sale with that ID",IF(IF(I453="",FALSE,COUNTIF(Appointments!$A$5:$A$1204,I453)=0),"Missing - no booking with that ID",IF(IF(E453="Tip",J453="",FALSE),"Assign - whose tip is it?",IF(IF(E453="Deposit",IF(H453="",I453="",FALSE),FALSE),"Check - deposit not tied to a booking",IF(M453="No","Due - not reconciled yet","OK"))))))))</f>
        <v>0</v>
      </c>
    </row>
    <row r="454" spans="1:23">
      <c r="A454" s="28">
        <f>IF(B454="","",PaymentPrefix&amp;TEXT(ROW()-4,"0000"))</f>
        <v>0</v>
      </c>
      <c r="D454" s="15">
        <f>IF(C454="","",IFERROR(INDEX(Clients!$B$5:$B$504,MATCH(C454,Clients!$A$5:$A$504,0)),"Walk-in"))</f>
        <v>0</v>
      </c>
      <c r="K454" s="15">
        <f>IF(J454="","",IFERROR(INDEX(Staff!$B$5:$B$44,MATCH(J454,Staff!$A$5:$A$44,0)),""))</f>
        <v>0</v>
      </c>
      <c r="O454" s="15">
        <f>IF(B454="","",TEXT(B454,"yyyy-mm"))</f>
        <v>0</v>
      </c>
      <c r="P454" s="25">
        <f>IF(B454="","",WEEKNUM(B454,2))</f>
        <v>0</v>
      </c>
      <c r="Q454" s="38">
        <f>IF(B454="","",IF(E454="Tip","No",IF(E454="Refund","No","Yes")))</f>
        <v>0</v>
      </c>
      <c r="R454" s="25">
        <f>IF(B454="","",IF(E454="Refund",-1,1))</f>
        <v>0</v>
      </c>
      <c r="S454" s="26">
        <f>IF(B454="","",IF(G454="",0,IF(F454="Card",ROUND(G454*CardFeePercent+CardFeeFixed,2),IF(F454="Online deposit",ROUND(G454*CardFeePercent+CardFeeFixed,2),0))))</f>
        <v>0</v>
      </c>
      <c r="T454" s="26">
        <f>IF(B454="","",ROUND(IF(G454="",0,G454)*R454-S454,2))</f>
        <v>0</v>
      </c>
      <c r="U454" s="38">
        <f>IF(B454="","",IF(E454="Tip","Yes","No"))</f>
        <v>0</v>
      </c>
      <c r="V454" s="15">
        <f>IF(B454="","",IF(H454&lt;&gt;"","Sale "&amp;H454,IF(I454&lt;&gt;"","Booking "&amp;I454,IF(E454="Tip","Stylist","Unapplied"))))</f>
        <v>0</v>
      </c>
      <c r="W454" s="39">
        <f>IF(B454="","",IF(G454="","Add - no amount yet",IF(E454="","Add - what was this for?",IF(IF(H454="",FALSE,COUNTIF(Sales!$A$5:$A$1204,H454)=0),"Missing - no sale with that ID",IF(IF(I454="",FALSE,COUNTIF(Appointments!$A$5:$A$1204,I454)=0),"Missing - no booking with that ID",IF(IF(E454="Tip",J454="",FALSE),"Assign - whose tip is it?",IF(IF(E454="Deposit",IF(H454="",I454="",FALSE),FALSE),"Check - deposit not tied to a booking",IF(M454="No","Due - not reconciled yet","OK"))))))))</f>
        <v>0</v>
      </c>
    </row>
    <row r="455" spans="1:23">
      <c r="A455" s="28">
        <f>IF(B455="","",PaymentPrefix&amp;TEXT(ROW()-4,"0000"))</f>
        <v>0</v>
      </c>
      <c r="D455" s="15">
        <f>IF(C455="","",IFERROR(INDEX(Clients!$B$5:$B$504,MATCH(C455,Clients!$A$5:$A$504,0)),"Walk-in"))</f>
        <v>0</v>
      </c>
      <c r="K455" s="15">
        <f>IF(J455="","",IFERROR(INDEX(Staff!$B$5:$B$44,MATCH(J455,Staff!$A$5:$A$44,0)),""))</f>
        <v>0</v>
      </c>
      <c r="O455" s="15">
        <f>IF(B455="","",TEXT(B455,"yyyy-mm"))</f>
        <v>0</v>
      </c>
      <c r="P455" s="25">
        <f>IF(B455="","",WEEKNUM(B455,2))</f>
        <v>0</v>
      </c>
      <c r="Q455" s="38">
        <f>IF(B455="","",IF(E455="Tip","No",IF(E455="Refund","No","Yes")))</f>
        <v>0</v>
      </c>
      <c r="R455" s="25">
        <f>IF(B455="","",IF(E455="Refund",-1,1))</f>
        <v>0</v>
      </c>
      <c r="S455" s="26">
        <f>IF(B455="","",IF(G455="",0,IF(F455="Card",ROUND(G455*CardFeePercent+CardFeeFixed,2),IF(F455="Online deposit",ROUND(G455*CardFeePercent+CardFeeFixed,2),0))))</f>
        <v>0</v>
      </c>
      <c r="T455" s="26">
        <f>IF(B455="","",ROUND(IF(G455="",0,G455)*R455-S455,2))</f>
        <v>0</v>
      </c>
      <c r="U455" s="38">
        <f>IF(B455="","",IF(E455="Tip","Yes","No"))</f>
        <v>0</v>
      </c>
      <c r="V455" s="15">
        <f>IF(B455="","",IF(H455&lt;&gt;"","Sale "&amp;H455,IF(I455&lt;&gt;"","Booking "&amp;I455,IF(E455="Tip","Stylist","Unapplied"))))</f>
        <v>0</v>
      </c>
      <c r="W455" s="39">
        <f>IF(B455="","",IF(G455="","Add - no amount yet",IF(E455="","Add - what was this for?",IF(IF(H455="",FALSE,COUNTIF(Sales!$A$5:$A$1204,H455)=0),"Missing - no sale with that ID",IF(IF(I455="",FALSE,COUNTIF(Appointments!$A$5:$A$1204,I455)=0),"Missing - no booking with that ID",IF(IF(E455="Tip",J455="",FALSE),"Assign - whose tip is it?",IF(IF(E455="Deposit",IF(H455="",I455="",FALSE),FALSE),"Check - deposit not tied to a booking",IF(M455="No","Due - not reconciled yet","OK"))))))))</f>
        <v>0</v>
      </c>
    </row>
    <row r="456" spans="1:23">
      <c r="A456" s="28">
        <f>IF(B456="","",PaymentPrefix&amp;TEXT(ROW()-4,"0000"))</f>
        <v>0</v>
      </c>
      <c r="D456" s="15">
        <f>IF(C456="","",IFERROR(INDEX(Clients!$B$5:$B$504,MATCH(C456,Clients!$A$5:$A$504,0)),"Walk-in"))</f>
        <v>0</v>
      </c>
      <c r="K456" s="15">
        <f>IF(J456="","",IFERROR(INDEX(Staff!$B$5:$B$44,MATCH(J456,Staff!$A$5:$A$44,0)),""))</f>
        <v>0</v>
      </c>
      <c r="O456" s="15">
        <f>IF(B456="","",TEXT(B456,"yyyy-mm"))</f>
        <v>0</v>
      </c>
      <c r="P456" s="25">
        <f>IF(B456="","",WEEKNUM(B456,2))</f>
        <v>0</v>
      </c>
      <c r="Q456" s="38">
        <f>IF(B456="","",IF(E456="Tip","No",IF(E456="Refund","No","Yes")))</f>
        <v>0</v>
      </c>
      <c r="R456" s="25">
        <f>IF(B456="","",IF(E456="Refund",-1,1))</f>
        <v>0</v>
      </c>
      <c r="S456" s="26">
        <f>IF(B456="","",IF(G456="",0,IF(F456="Card",ROUND(G456*CardFeePercent+CardFeeFixed,2),IF(F456="Online deposit",ROUND(G456*CardFeePercent+CardFeeFixed,2),0))))</f>
        <v>0</v>
      </c>
      <c r="T456" s="26">
        <f>IF(B456="","",ROUND(IF(G456="",0,G456)*R456-S456,2))</f>
        <v>0</v>
      </c>
      <c r="U456" s="38">
        <f>IF(B456="","",IF(E456="Tip","Yes","No"))</f>
        <v>0</v>
      </c>
      <c r="V456" s="15">
        <f>IF(B456="","",IF(H456&lt;&gt;"","Sale "&amp;H456,IF(I456&lt;&gt;"","Booking "&amp;I456,IF(E456="Tip","Stylist","Unapplied"))))</f>
        <v>0</v>
      </c>
      <c r="W456" s="39">
        <f>IF(B456="","",IF(G456="","Add - no amount yet",IF(E456="","Add - what was this for?",IF(IF(H456="",FALSE,COUNTIF(Sales!$A$5:$A$1204,H456)=0),"Missing - no sale with that ID",IF(IF(I456="",FALSE,COUNTIF(Appointments!$A$5:$A$1204,I456)=0),"Missing - no booking with that ID",IF(IF(E456="Tip",J456="",FALSE),"Assign - whose tip is it?",IF(IF(E456="Deposit",IF(H456="",I456="",FALSE),FALSE),"Check - deposit not tied to a booking",IF(M456="No","Due - not reconciled yet","OK"))))))))</f>
        <v>0</v>
      </c>
    </row>
    <row r="457" spans="1:23">
      <c r="A457" s="28">
        <f>IF(B457="","",PaymentPrefix&amp;TEXT(ROW()-4,"0000"))</f>
        <v>0</v>
      </c>
      <c r="D457" s="15">
        <f>IF(C457="","",IFERROR(INDEX(Clients!$B$5:$B$504,MATCH(C457,Clients!$A$5:$A$504,0)),"Walk-in"))</f>
        <v>0</v>
      </c>
      <c r="K457" s="15">
        <f>IF(J457="","",IFERROR(INDEX(Staff!$B$5:$B$44,MATCH(J457,Staff!$A$5:$A$44,0)),""))</f>
        <v>0</v>
      </c>
      <c r="O457" s="15">
        <f>IF(B457="","",TEXT(B457,"yyyy-mm"))</f>
        <v>0</v>
      </c>
      <c r="P457" s="25">
        <f>IF(B457="","",WEEKNUM(B457,2))</f>
        <v>0</v>
      </c>
      <c r="Q457" s="38">
        <f>IF(B457="","",IF(E457="Tip","No",IF(E457="Refund","No","Yes")))</f>
        <v>0</v>
      </c>
      <c r="R457" s="25">
        <f>IF(B457="","",IF(E457="Refund",-1,1))</f>
        <v>0</v>
      </c>
      <c r="S457" s="26">
        <f>IF(B457="","",IF(G457="",0,IF(F457="Card",ROUND(G457*CardFeePercent+CardFeeFixed,2),IF(F457="Online deposit",ROUND(G457*CardFeePercent+CardFeeFixed,2),0))))</f>
        <v>0</v>
      </c>
      <c r="T457" s="26">
        <f>IF(B457="","",ROUND(IF(G457="",0,G457)*R457-S457,2))</f>
        <v>0</v>
      </c>
      <c r="U457" s="38">
        <f>IF(B457="","",IF(E457="Tip","Yes","No"))</f>
        <v>0</v>
      </c>
      <c r="V457" s="15">
        <f>IF(B457="","",IF(H457&lt;&gt;"","Sale "&amp;H457,IF(I457&lt;&gt;"","Booking "&amp;I457,IF(E457="Tip","Stylist","Unapplied"))))</f>
        <v>0</v>
      </c>
      <c r="W457" s="39">
        <f>IF(B457="","",IF(G457="","Add - no amount yet",IF(E457="","Add - what was this for?",IF(IF(H457="",FALSE,COUNTIF(Sales!$A$5:$A$1204,H457)=0),"Missing - no sale with that ID",IF(IF(I457="",FALSE,COUNTIF(Appointments!$A$5:$A$1204,I457)=0),"Missing - no booking with that ID",IF(IF(E457="Tip",J457="",FALSE),"Assign - whose tip is it?",IF(IF(E457="Deposit",IF(H457="",I457="",FALSE),FALSE),"Check - deposit not tied to a booking",IF(M457="No","Due - not reconciled yet","OK"))))))))</f>
        <v>0</v>
      </c>
    </row>
    <row r="458" spans="1:23">
      <c r="A458" s="28">
        <f>IF(B458="","",PaymentPrefix&amp;TEXT(ROW()-4,"0000"))</f>
        <v>0</v>
      </c>
      <c r="D458" s="15">
        <f>IF(C458="","",IFERROR(INDEX(Clients!$B$5:$B$504,MATCH(C458,Clients!$A$5:$A$504,0)),"Walk-in"))</f>
        <v>0</v>
      </c>
      <c r="K458" s="15">
        <f>IF(J458="","",IFERROR(INDEX(Staff!$B$5:$B$44,MATCH(J458,Staff!$A$5:$A$44,0)),""))</f>
        <v>0</v>
      </c>
      <c r="O458" s="15">
        <f>IF(B458="","",TEXT(B458,"yyyy-mm"))</f>
        <v>0</v>
      </c>
      <c r="P458" s="25">
        <f>IF(B458="","",WEEKNUM(B458,2))</f>
        <v>0</v>
      </c>
      <c r="Q458" s="38">
        <f>IF(B458="","",IF(E458="Tip","No",IF(E458="Refund","No","Yes")))</f>
        <v>0</v>
      </c>
      <c r="R458" s="25">
        <f>IF(B458="","",IF(E458="Refund",-1,1))</f>
        <v>0</v>
      </c>
      <c r="S458" s="26">
        <f>IF(B458="","",IF(G458="",0,IF(F458="Card",ROUND(G458*CardFeePercent+CardFeeFixed,2),IF(F458="Online deposit",ROUND(G458*CardFeePercent+CardFeeFixed,2),0))))</f>
        <v>0</v>
      </c>
      <c r="T458" s="26">
        <f>IF(B458="","",ROUND(IF(G458="",0,G458)*R458-S458,2))</f>
        <v>0</v>
      </c>
      <c r="U458" s="38">
        <f>IF(B458="","",IF(E458="Tip","Yes","No"))</f>
        <v>0</v>
      </c>
      <c r="V458" s="15">
        <f>IF(B458="","",IF(H458&lt;&gt;"","Sale "&amp;H458,IF(I458&lt;&gt;"","Booking "&amp;I458,IF(E458="Tip","Stylist","Unapplied"))))</f>
        <v>0</v>
      </c>
      <c r="W458" s="39">
        <f>IF(B458="","",IF(G458="","Add - no amount yet",IF(E458="","Add - what was this for?",IF(IF(H458="",FALSE,COUNTIF(Sales!$A$5:$A$1204,H458)=0),"Missing - no sale with that ID",IF(IF(I458="",FALSE,COUNTIF(Appointments!$A$5:$A$1204,I458)=0),"Missing - no booking with that ID",IF(IF(E458="Tip",J458="",FALSE),"Assign - whose tip is it?",IF(IF(E458="Deposit",IF(H458="",I458="",FALSE),FALSE),"Check - deposit not tied to a booking",IF(M458="No","Due - not reconciled yet","OK"))))))))</f>
        <v>0</v>
      </c>
    </row>
    <row r="459" spans="1:23">
      <c r="A459" s="28">
        <f>IF(B459="","",PaymentPrefix&amp;TEXT(ROW()-4,"0000"))</f>
        <v>0</v>
      </c>
      <c r="D459" s="15">
        <f>IF(C459="","",IFERROR(INDEX(Clients!$B$5:$B$504,MATCH(C459,Clients!$A$5:$A$504,0)),"Walk-in"))</f>
        <v>0</v>
      </c>
      <c r="K459" s="15">
        <f>IF(J459="","",IFERROR(INDEX(Staff!$B$5:$B$44,MATCH(J459,Staff!$A$5:$A$44,0)),""))</f>
        <v>0</v>
      </c>
      <c r="O459" s="15">
        <f>IF(B459="","",TEXT(B459,"yyyy-mm"))</f>
        <v>0</v>
      </c>
      <c r="P459" s="25">
        <f>IF(B459="","",WEEKNUM(B459,2))</f>
        <v>0</v>
      </c>
      <c r="Q459" s="38">
        <f>IF(B459="","",IF(E459="Tip","No",IF(E459="Refund","No","Yes")))</f>
        <v>0</v>
      </c>
      <c r="R459" s="25">
        <f>IF(B459="","",IF(E459="Refund",-1,1))</f>
        <v>0</v>
      </c>
      <c r="S459" s="26">
        <f>IF(B459="","",IF(G459="",0,IF(F459="Card",ROUND(G459*CardFeePercent+CardFeeFixed,2),IF(F459="Online deposit",ROUND(G459*CardFeePercent+CardFeeFixed,2),0))))</f>
        <v>0</v>
      </c>
      <c r="T459" s="26">
        <f>IF(B459="","",ROUND(IF(G459="",0,G459)*R459-S459,2))</f>
        <v>0</v>
      </c>
      <c r="U459" s="38">
        <f>IF(B459="","",IF(E459="Tip","Yes","No"))</f>
        <v>0</v>
      </c>
      <c r="V459" s="15">
        <f>IF(B459="","",IF(H459&lt;&gt;"","Sale "&amp;H459,IF(I459&lt;&gt;"","Booking "&amp;I459,IF(E459="Tip","Stylist","Unapplied"))))</f>
        <v>0</v>
      </c>
      <c r="W459" s="39">
        <f>IF(B459="","",IF(G459="","Add - no amount yet",IF(E459="","Add - what was this for?",IF(IF(H459="",FALSE,COUNTIF(Sales!$A$5:$A$1204,H459)=0),"Missing - no sale with that ID",IF(IF(I459="",FALSE,COUNTIF(Appointments!$A$5:$A$1204,I459)=0),"Missing - no booking with that ID",IF(IF(E459="Tip",J459="",FALSE),"Assign - whose tip is it?",IF(IF(E459="Deposit",IF(H459="",I459="",FALSE),FALSE),"Check - deposit not tied to a booking",IF(M459="No","Due - not reconciled yet","OK"))))))))</f>
        <v>0</v>
      </c>
    </row>
    <row r="460" spans="1:23">
      <c r="A460" s="28">
        <f>IF(B460="","",PaymentPrefix&amp;TEXT(ROW()-4,"0000"))</f>
        <v>0</v>
      </c>
      <c r="D460" s="15">
        <f>IF(C460="","",IFERROR(INDEX(Clients!$B$5:$B$504,MATCH(C460,Clients!$A$5:$A$504,0)),"Walk-in"))</f>
        <v>0</v>
      </c>
      <c r="K460" s="15">
        <f>IF(J460="","",IFERROR(INDEX(Staff!$B$5:$B$44,MATCH(J460,Staff!$A$5:$A$44,0)),""))</f>
        <v>0</v>
      </c>
      <c r="O460" s="15">
        <f>IF(B460="","",TEXT(B460,"yyyy-mm"))</f>
        <v>0</v>
      </c>
      <c r="P460" s="25">
        <f>IF(B460="","",WEEKNUM(B460,2))</f>
        <v>0</v>
      </c>
      <c r="Q460" s="38">
        <f>IF(B460="","",IF(E460="Tip","No",IF(E460="Refund","No","Yes")))</f>
        <v>0</v>
      </c>
      <c r="R460" s="25">
        <f>IF(B460="","",IF(E460="Refund",-1,1))</f>
        <v>0</v>
      </c>
      <c r="S460" s="26">
        <f>IF(B460="","",IF(G460="",0,IF(F460="Card",ROUND(G460*CardFeePercent+CardFeeFixed,2),IF(F460="Online deposit",ROUND(G460*CardFeePercent+CardFeeFixed,2),0))))</f>
        <v>0</v>
      </c>
      <c r="T460" s="26">
        <f>IF(B460="","",ROUND(IF(G460="",0,G460)*R460-S460,2))</f>
        <v>0</v>
      </c>
      <c r="U460" s="38">
        <f>IF(B460="","",IF(E460="Tip","Yes","No"))</f>
        <v>0</v>
      </c>
      <c r="V460" s="15">
        <f>IF(B460="","",IF(H460&lt;&gt;"","Sale "&amp;H460,IF(I460&lt;&gt;"","Booking "&amp;I460,IF(E460="Tip","Stylist","Unapplied"))))</f>
        <v>0</v>
      </c>
      <c r="W460" s="39">
        <f>IF(B460="","",IF(G460="","Add - no amount yet",IF(E460="","Add - what was this for?",IF(IF(H460="",FALSE,COUNTIF(Sales!$A$5:$A$1204,H460)=0),"Missing - no sale with that ID",IF(IF(I460="",FALSE,COUNTIF(Appointments!$A$5:$A$1204,I460)=0),"Missing - no booking with that ID",IF(IF(E460="Tip",J460="",FALSE),"Assign - whose tip is it?",IF(IF(E460="Deposit",IF(H460="",I460="",FALSE),FALSE),"Check - deposit not tied to a booking",IF(M460="No","Due - not reconciled yet","OK"))))))))</f>
        <v>0</v>
      </c>
    </row>
    <row r="461" spans="1:23">
      <c r="A461" s="28">
        <f>IF(B461="","",PaymentPrefix&amp;TEXT(ROW()-4,"0000"))</f>
        <v>0</v>
      </c>
      <c r="D461" s="15">
        <f>IF(C461="","",IFERROR(INDEX(Clients!$B$5:$B$504,MATCH(C461,Clients!$A$5:$A$504,0)),"Walk-in"))</f>
        <v>0</v>
      </c>
      <c r="K461" s="15">
        <f>IF(J461="","",IFERROR(INDEX(Staff!$B$5:$B$44,MATCH(J461,Staff!$A$5:$A$44,0)),""))</f>
        <v>0</v>
      </c>
      <c r="O461" s="15">
        <f>IF(B461="","",TEXT(B461,"yyyy-mm"))</f>
        <v>0</v>
      </c>
      <c r="P461" s="25">
        <f>IF(B461="","",WEEKNUM(B461,2))</f>
        <v>0</v>
      </c>
      <c r="Q461" s="38">
        <f>IF(B461="","",IF(E461="Tip","No",IF(E461="Refund","No","Yes")))</f>
        <v>0</v>
      </c>
      <c r="R461" s="25">
        <f>IF(B461="","",IF(E461="Refund",-1,1))</f>
        <v>0</v>
      </c>
      <c r="S461" s="26">
        <f>IF(B461="","",IF(G461="",0,IF(F461="Card",ROUND(G461*CardFeePercent+CardFeeFixed,2),IF(F461="Online deposit",ROUND(G461*CardFeePercent+CardFeeFixed,2),0))))</f>
        <v>0</v>
      </c>
      <c r="T461" s="26">
        <f>IF(B461="","",ROUND(IF(G461="",0,G461)*R461-S461,2))</f>
        <v>0</v>
      </c>
      <c r="U461" s="38">
        <f>IF(B461="","",IF(E461="Tip","Yes","No"))</f>
        <v>0</v>
      </c>
      <c r="V461" s="15">
        <f>IF(B461="","",IF(H461&lt;&gt;"","Sale "&amp;H461,IF(I461&lt;&gt;"","Booking "&amp;I461,IF(E461="Tip","Stylist","Unapplied"))))</f>
        <v>0</v>
      </c>
      <c r="W461" s="39">
        <f>IF(B461="","",IF(G461="","Add - no amount yet",IF(E461="","Add - what was this for?",IF(IF(H461="",FALSE,COUNTIF(Sales!$A$5:$A$1204,H461)=0),"Missing - no sale with that ID",IF(IF(I461="",FALSE,COUNTIF(Appointments!$A$5:$A$1204,I461)=0),"Missing - no booking with that ID",IF(IF(E461="Tip",J461="",FALSE),"Assign - whose tip is it?",IF(IF(E461="Deposit",IF(H461="",I461="",FALSE),FALSE),"Check - deposit not tied to a booking",IF(M461="No","Due - not reconciled yet","OK"))))))))</f>
        <v>0</v>
      </c>
    </row>
    <row r="462" spans="1:23">
      <c r="A462" s="28">
        <f>IF(B462="","",PaymentPrefix&amp;TEXT(ROW()-4,"0000"))</f>
        <v>0</v>
      </c>
      <c r="D462" s="15">
        <f>IF(C462="","",IFERROR(INDEX(Clients!$B$5:$B$504,MATCH(C462,Clients!$A$5:$A$504,0)),"Walk-in"))</f>
        <v>0</v>
      </c>
      <c r="K462" s="15">
        <f>IF(J462="","",IFERROR(INDEX(Staff!$B$5:$B$44,MATCH(J462,Staff!$A$5:$A$44,0)),""))</f>
        <v>0</v>
      </c>
      <c r="O462" s="15">
        <f>IF(B462="","",TEXT(B462,"yyyy-mm"))</f>
        <v>0</v>
      </c>
      <c r="P462" s="25">
        <f>IF(B462="","",WEEKNUM(B462,2))</f>
        <v>0</v>
      </c>
      <c r="Q462" s="38">
        <f>IF(B462="","",IF(E462="Tip","No",IF(E462="Refund","No","Yes")))</f>
        <v>0</v>
      </c>
      <c r="R462" s="25">
        <f>IF(B462="","",IF(E462="Refund",-1,1))</f>
        <v>0</v>
      </c>
      <c r="S462" s="26">
        <f>IF(B462="","",IF(G462="",0,IF(F462="Card",ROUND(G462*CardFeePercent+CardFeeFixed,2),IF(F462="Online deposit",ROUND(G462*CardFeePercent+CardFeeFixed,2),0))))</f>
        <v>0</v>
      </c>
      <c r="T462" s="26">
        <f>IF(B462="","",ROUND(IF(G462="",0,G462)*R462-S462,2))</f>
        <v>0</v>
      </c>
      <c r="U462" s="38">
        <f>IF(B462="","",IF(E462="Tip","Yes","No"))</f>
        <v>0</v>
      </c>
      <c r="V462" s="15">
        <f>IF(B462="","",IF(H462&lt;&gt;"","Sale "&amp;H462,IF(I462&lt;&gt;"","Booking "&amp;I462,IF(E462="Tip","Stylist","Unapplied"))))</f>
        <v>0</v>
      </c>
      <c r="W462" s="39">
        <f>IF(B462="","",IF(G462="","Add - no amount yet",IF(E462="","Add - what was this for?",IF(IF(H462="",FALSE,COUNTIF(Sales!$A$5:$A$1204,H462)=0),"Missing - no sale with that ID",IF(IF(I462="",FALSE,COUNTIF(Appointments!$A$5:$A$1204,I462)=0),"Missing - no booking with that ID",IF(IF(E462="Tip",J462="",FALSE),"Assign - whose tip is it?",IF(IF(E462="Deposit",IF(H462="",I462="",FALSE),FALSE),"Check - deposit not tied to a booking",IF(M462="No","Due - not reconciled yet","OK"))))))))</f>
        <v>0</v>
      </c>
    </row>
    <row r="463" spans="1:23">
      <c r="A463" s="28">
        <f>IF(B463="","",PaymentPrefix&amp;TEXT(ROW()-4,"0000"))</f>
        <v>0</v>
      </c>
      <c r="D463" s="15">
        <f>IF(C463="","",IFERROR(INDEX(Clients!$B$5:$B$504,MATCH(C463,Clients!$A$5:$A$504,0)),"Walk-in"))</f>
        <v>0</v>
      </c>
      <c r="K463" s="15">
        <f>IF(J463="","",IFERROR(INDEX(Staff!$B$5:$B$44,MATCH(J463,Staff!$A$5:$A$44,0)),""))</f>
        <v>0</v>
      </c>
      <c r="O463" s="15">
        <f>IF(B463="","",TEXT(B463,"yyyy-mm"))</f>
        <v>0</v>
      </c>
      <c r="P463" s="25">
        <f>IF(B463="","",WEEKNUM(B463,2))</f>
        <v>0</v>
      </c>
      <c r="Q463" s="38">
        <f>IF(B463="","",IF(E463="Tip","No",IF(E463="Refund","No","Yes")))</f>
        <v>0</v>
      </c>
      <c r="R463" s="25">
        <f>IF(B463="","",IF(E463="Refund",-1,1))</f>
        <v>0</v>
      </c>
      <c r="S463" s="26">
        <f>IF(B463="","",IF(G463="",0,IF(F463="Card",ROUND(G463*CardFeePercent+CardFeeFixed,2),IF(F463="Online deposit",ROUND(G463*CardFeePercent+CardFeeFixed,2),0))))</f>
        <v>0</v>
      </c>
      <c r="T463" s="26">
        <f>IF(B463="","",ROUND(IF(G463="",0,G463)*R463-S463,2))</f>
        <v>0</v>
      </c>
      <c r="U463" s="38">
        <f>IF(B463="","",IF(E463="Tip","Yes","No"))</f>
        <v>0</v>
      </c>
      <c r="V463" s="15">
        <f>IF(B463="","",IF(H463&lt;&gt;"","Sale "&amp;H463,IF(I463&lt;&gt;"","Booking "&amp;I463,IF(E463="Tip","Stylist","Unapplied"))))</f>
        <v>0</v>
      </c>
      <c r="W463" s="39">
        <f>IF(B463="","",IF(G463="","Add - no amount yet",IF(E463="","Add - what was this for?",IF(IF(H463="",FALSE,COUNTIF(Sales!$A$5:$A$1204,H463)=0),"Missing - no sale with that ID",IF(IF(I463="",FALSE,COUNTIF(Appointments!$A$5:$A$1204,I463)=0),"Missing - no booking with that ID",IF(IF(E463="Tip",J463="",FALSE),"Assign - whose tip is it?",IF(IF(E463="Deposit",IF(H463="",I463="",FALSE),FALSE),"Check - deposit not tied to a booking",IF(M463="No","Due - not reconciled yet","OK"))))))))</f>
        <v>0</v>
      </c>
    </row>
    <row r="464" spans="1:23">
      <c r="A464" s="28">
        <f>IF(B464="","",PaymentPrefix&amp;TEXT(ROW()-4,"0000"))</f>
        <v>0</v>
      </c>
      <c r="D464" s="15">
        <f>IF(C464="","",IFERROR(INDEX(Clients!$B$5:$B$504,MATCH(C464,Clients!$A$5:$A$504,0)),"Walk-in"))</f>
        <v>0</v>
      </c>
      <c r="K464" s="15">
        <f>IF(J464="","",IFERROR(INDEX(Staff!$B$5:$B$44,MATCH(J464,Staff!$A$5:$A$44,0)),""))</f>
        <v>0</v>
      </c>
      <c r="O464" s="15">
        <f>IF(B464="","",TEXT(B464,"yyyy-mm"))</f>
        <v>0</v>
      </c>
      <c r="P464" s="25">
        <f>IF(B464="","",WEEKNUM(B464,2))</f>
        <v>0</v>
      </c>
      <c r="Q464" s="38">
        <f>IF(B464="","",IF(E464="Tip","No",IF(E464="Refund","No","Yes")))</f>
        <v>0</v>
      </c>
      <c r="R464" s="25">
        <f>IF(B464="","",IF(E464="Refund",-1,1))</f>
        <v>0</v>
      </c>
      <c r="S464" s="26">
        <f>IF(B464="","",IF(G464="",0,IF(F464="Card",ROUND(G464*CardFeePercent+CardFeeFixed,2),IF(F464="Online deposit",ROUND(G464*CardFeePercent+CardFeeFixed,2),0))))</f>
        <v>0</v>
      </c>
      <c r="T464" s="26">
        <f>IF(B464="","",ROUND(IF(G464="",0,G464)*R464-S464,2))</f>
        <v>0</v>
      </c>
      <c r="U464" s="38">
        <f>IF(B464="","",IF(E464="Tip","Yes","No"))</f>
        <v>0</v>
      </c>
      <c r="V464" s="15">
        <f>IF(B464="","",IF(H464&lt;&gt;"","Sale "&amp;H464,IF(I464&lt;&gt;"","Booking "&amp;I464,IF(E464="Tip","Stylist","Unapplied"))))</f>
        <v>0</v>
      </c>
      <c r="W464" s="39">
        <f>IF(B464="","",IF(G464="","Add - no amount yet",IF(E464="","Add - what was this for?",IF(IF(H464="",FALSE,COUNTIF(Sales!$A$5:$A$1204,H464)=0),"Missing - no sale with that ID",IF(IF(I464="",FALSE,COUNTIF(Appointments!$A$5:$A$1204,I464)=0),"Missing - no booking with that ID",IF(IF(E464="Tip",J464="",FALSE),"Assign - whose tip is it?",IF(IF(E464="Deposit",IF(H464="",I464="",FALSE),FALSE),"Check - deposit not tied to a booking",IF(M464="No","Due - not reconciled yet","OK"))))))))</f>
        <v>0</v>
      </c>
    </row>
    <row r="465" spans="1:23">
      <c r="A465" s="28">
        <f>IF(B465="","",PaymentPrefix&amp;TEXT(ROW()-4,"0000"))</f>
        <v>0</v>
      </c>
      <c r="D465" s="15">
        <f>IF(C465="","",IFERROR(INDEX(Clients!$B$5:$B$504,MATCH(C465,Clients!$A$5:$A$504,0)),"Walk-in"))</f>
        <v>0</v>
      </c>
      <c r="K465" s="15">
        <f>IF(J465="","",IFERROR(INDEX(Staff!$B$5:$B$44,MATCH(J465,Staff!$A$5:$A$44,0)),""))</f>
        <v>0</v>
      </c>
      <c r="O465" s="15">
        <f>IF(B465="","",TEXT(B465,"yyyy-mm"))</f>
        <v>0</v>
      </c>
      <c r="P465" s="25">
        <f>IF(B465="","",WEEKNUM(B465,2))</f>
        <v>0</v>
      </c>
      <c r="Q465" s="38">
        <f>IF(B465="","",IF(E465="Tip","No",IF(E465="Refund","No","Yes")))</f>
        <v>0</v>
      </c>
      <c r="R465" s="25">
        <f>IF(B465="","",IF(E465="Refund",-1,1))</f>
        <v>0</v>
      </c>
      <c r="S465" s="26">
        <f>IF(B465="","",IF(G465="",0,IF(F465="Card",ROUND(G465*CardFeePercent+CardFeeFixed,2),IF(F465="Online deposit",ROUND(G465*CardFeePercent+CardFeeFixed,2),0))))</f>
        <v>0</v>
      </c>
      <c r="T465" s="26">
        <f>IF(B465="","",ROUND(IF(G465="",0,G465)*R465-S465,2))</f>
        <v>0</v>
      </c>
      <c r="U465" s="38">
        <f>IF(B465="","",IF(E465="Tip","Yes","No"))</f>
        <v>0</v>
      </c>
      <c r="V465" s="15">
        <f>IF(B465="","",IF(H465&lt;&gt;"","Sale "&amp;H465,IF(I465&lt;&gt;"","Booking "&amp;I465,IF(E465="Tip","Stylist","Unapplied"))))</f>
        <v>0</v>
      </c>
      <c r="W465" s="39">
        <f>IF(B465="","",IF(G465="","Add - no amount yet",IF(E465="","Add - what was this for?",IF(IF(H465="",FALSE,COUNTIF(Sales!$A$5:$A$1204,H465)=0),"Missing - no sale with that ID",IF(IF(I465="",FALSE,COUNTIF(Appointments!$A$5:$A$1204,I465)=0),"Missing - no booking with that ID",IF(IF(E465="Tip",J465="",FALSE),"Assign - whose tip is it?",IF(IF(E465="Deposit",IF(H465="",I465="",FALSE),FALSE),"Check - deposit not tied to a booking",IF(M465="No","Due - not reconciled yet","OK"))))))))</f>
        <v>0</v>
      </c>
    </row>
    <row r="466" spans="1:23">
      <c r="A466" s="28">
        <f>IF(B466="","",PaymentPrefix&amp;TEXT(ROW()-4,"0000"))</f>
        <v>0</v>
      </c>
      <c r="D466" s="15">
        <f>IF(C466="","",IFERROR(INDEX(Clients!$B$5:$B$504,MATCH(C466,Clients!$A$5:$A$504,0)),"Walk-in"))</f>
        <v>0</v>
      </c>
      <c r="K466" s="15">
        <f>IF(J466="","",IFERROR(INDEX(Staff!$B$5:$B$44,MATCH(J466,Staff!$A$5:$A$44,0)),""))</f>
        <v>0</v>
      </c>
      <c r="O466" s="15">
        <f>IF(B466="","",TEXT(B466,"yyyy-mm"))</f>
        <v>0</v>
      </c>
      <c r="P466" s="25">
        <f>IF(B466="","",WEEKNUM(B466,2))</f>
        <v>0</v>
      </c>
      <c r="Q466" s="38">
        <f>IF(B466="","",IF(E466="Tip","No",IF(E466="Refund","No","Yes")))</f>
        <v>0</v>
      </c>
      <c r="R466" s="25">
        <f>IF(B466="","",IF(E466="Refund",-1,1))</f>
        <v>0</v>
      </c>
      <c r="S466" s="26">
        <f>IF(B466="","",IF(G466="",0,IF(F466="Card",ROUND(G466*CardFeePercent+CardFeeFixed,2),IF(F466="Online deposit",ROUND(G466*CardFeePercent+CardFeeFixed,2),0))))</f>
        <v>0</v>
      </c>
      <c r="T466" s="26">
        <f>IF(B466="","",ROUND(IF(G466="",0,G466)*R466-S466,2))</f>
        <v>0</v>
      </c>
      <c r="U466" s="38">
        <f>IF(B466="","",IF(E466="Tip","Yes","No"))</f>
        <v>0</v>
      </c>
      <c r="V466" s="15">
        <f>IF(B466="","",IF(H466&lt;&gt;"","Sale "&amp;H466,IF(I466&lt;&gt;"","Booking "&amp;I466,IF(E466="Tip","Stylist","Unapplied"))))</f>
        <v>0</v>
      </c>
      <c r="W466" s="39">
        <f>IF(B466="","",IF(G466="","Add - no amount yet",IF(E466="","Add - what was this for?",IF(IF(H466="",FALSE,COUNTIF(Sales!$A$5:$A$1204,H466)=0),"Missing - no sale with that ID",IF(IF(I466="",FALSE,COUNTIF(Appointments!$A$5:$A$1204,I466)=0),"Missing - no booking with that ID",IF(IF(E466="Tip",J466="",FALSE),"Assign - whose tip is it?",IF(IF(E466="Deposit",IF(H466="",I466="",FALSE),FALSE),"Check - deposit not tied to a booking",IF(M466="No","Due - not reconciled yet","OK"))))))))</f>
        <v>0</v>
      </c>
    </row>
    <row r="467" spans="1:23">
      <c r="A467" s="28">
        <f>IF(B467="","",PaymentPrefix&amp;TEXT(ROW()-4,"0000"))</f>
        <v>0</v>
      </c>
      <c r="D467" s="15">
        <f>IF(C467="","",IFERROR(INDEX(Clients!$B$5:$B$504,MATCH(C467,Clients!$A$5:$A$504,0)),"Walk-in"))</f>
        <v>0</v>
      </c>
      <c r="K467" s="15">
        <f>IF(J467="","",IFERROR(INDEX(Staff!$B$5:$B$44,MATCH(J467,Staff!$A$5:$A$44,0)),""))</f>
        <v>0</v>
      </c>
      <c r="O467" s="15">
        <f>IF(B467="","",TEXT(B467,"yyyy-mm"))</f>
        <v>0</v>
      </c>
      <c r="P467" s="25">
        <f>IF(B467="","",WEEKNUM(B467,2))</f>
        <v>0</v>
      </c>
      <c r="Q467" s="38">
        <f>IF(B467="","",IF(E467="Tip","No",IF(E467="Refund","No","Yes")))</f>
        <v>0</v>
      </c>
      <c r="R467" s="25">
        <f>IF(B467="","",IF(E467="Refund",-1,1))</f>
        <v>0</v>
      </c>
      <c r="S467" s="26">
        <f>IF(B467="","",IF(G467="",0,IF(F467="Card",ROUND(G467*CardFeePercent+CardFeeFixed,2),IF(F467="Online deposit",ROUND(G467*CardFeePercent+CardFeeFixed,2),0))))</f>
        <v>0</v>
      </c>
      <c r="T467" s="26">
        <f>IF(B467="","",ROUND(IF(G467="",0,G467)*R467-S467,2))</f>
        <v>0</v>
      </c>
      <c r="U467" s="38">
        <f>IF(B467="","",IF(E467="Tip","Yes","No"))</f>
        <v>0</v>
      </c>
      <c r="V467" s="15">
        <f>IF(B467="","",IF(H467&lt;&gt;"","Sale "&amp;H467,IF(I467&lt;&gt;"","Booking "&amp;I467,IF(E467="Tip","Stylist","Unapplied"))))</f>
        <v>0</v>
      </c>
      <c r="W467" s="39">
        <f>IF(B467="","",IF(G467="","Add - no amount yet",IF(E467="","Add - what was this for?",IF(IF(H467="",FALSE,COUNTIF(Sales!$A$5:$A$1204,H467)=0),"Missing - no sale with that ID",IF(IF(I467="",FALSE,COUNTIF(Appointments!$A$5:$A$1204,I467)=0),"Missing - no booking with that ID",IF(IF(E467="Tip",J467="",FALSE),"Assign - whose tip is it?",IF(IF(E467="Deposit",IF(H467="",I467="",FALSE),FALSE),"Check - deposit not tied to a booking",IF(M467="No","Due - not reconciled yet","OK"))))))))</f>
        <v>0</v>
      </c>
    </row>
    <row r="468" spans="1:23">
      <c r="A468" s="28">
        <f>IF(B468="","",PaymentPrefix&amp;TEXT(ROW()-4,"0000"))</f>
        <v>0</v>
      </c>
      <c r="D468" s="15">
        <f>IF(C468="","",IFERROR(INDEX(Clients!$B$5:$B$504,MATCH(C468,Clients!$A$5:$A$504,0)),"Walk-in"))</f>
        <v>0</v>
      </c>
      <c r="K468" s="15">
        <f>IF(J468="","",IFERROR(INDEX(Staff!$B$5:$B$44,MATCH(J468,Staff!$A$5:$A$44,0)),""))</f>
        <v>0</v>
      </c>
      <c r="O468" s="15">
        <f>IF(B468="","",TEXT(B468,"yyyy-mm"))</f>
        <v>0</v>
      </c>
      <c r="P468" s="25">
        <f>IF(B468="","",WEEKNUM(B468,2))</f>
        <v>0</v>
      </c>
      <c r="Q468" s="38">
        <f>IF(B468="","",IF(E468="Tip","No",IF(E468="Refund","No","Yes")))</f>
        <v>0</v>
      </c>
      <c r="R468" s="25">
        <f>IF(B468="","",IF(E468="Refund",-1,1))</f>
        <v>0</v>
      </c>
      <c r="S468" s="26">
        <f>IF(B468="","",IF(G468="",0,IF(F468="Card",ROUND(G468*CardFeePercent+CardFeeFixed,2),IF(F468="Online deposit",ROUND(G468*CardFeePercent+CardFeeFixed,2),0))))</f>
        <v>0</v>
      </c>
      <c r="T468" s="26">
        <f>IF(B468="","",ROUND(IF(G468="",0,G468)*R468-S468,2))</f>
        <v>0</v>
      </c>
      <c r="U468" s="38">
        <f>IF(B468="","",IF(E468="Tip","Yes","No"))</f>
        <v>0</v>
      </c>
      <c r="V468" s="15">
        <f>IF(B468="","",IF(H468&lt;&gt;"","Sale "&amp;H468,IF(I468&lt;&gt;"","Booking "&amp;I468,IF(E468="Tip","Stylist","Unapplied"))))</f>
        <v>0</v>
      </c>
      <c r="W468" s="39">
        <f>IF(B468="","",IF(G468="","Add - no amount yet",IF(E468="","Add - what was this for?",IF(IF(H468="",FALSE,COUNTIF(Sales!$A$5:$A$1204,H468)=0),"Missing - no sale with that ID",IF(IF(I468="",FALSE,COUNTIF(Appointments!$A$5:$A$1204,I468)=0),"Missing - no booking with that ID",IF(IF(E468="Tip",J468="",FALSE),"Assign - whose tip is it?",IF(IF(E468="Deposit",IF(H468="",I468="",FALSE),FALSE),"Check - deposit not tied to a booking",IF(M468="No","Due - not reconciled yet","OK"))))))))</f>
        <v>0</v>
      </c>
    </row>
    <row r="469" spans="1:23">
      <c r="A469" s="28">
        <f>IF(B469="","",PaymentPrefix&amp;TEXT(ROW()-4,"0000"))</f>
        <v>0</v>
      </c>
      <c r="D469" s="15">
        <f>IF(C469="","",IFERROR(INDEX(Clients!$B$5:$B$504,MATCH(C469,Clients!$A$5:$A$504,0)),"Walk-in"))</f>
        <v>0</v>
      </c>
      <c r="K469" s="15">
        <f>IF(J469="","",IFERROR(INDEX(Staff!$B$5:$B$44,MATCH(J469,Staff!$A$5:$A$44,0)),""))</f>
        <v>0</v>
      </c>
      <c r="O469" s="15">
        <f>IF(B469="","",TEXT(B469,"yyyy-mm"))</f>
        <v>0</v>
      </c>
      <c r="P469" s="25">
        <f>IF(B469="","",WEEKNUM(B469,2))</f>
        <v>0</v>
      </c>
      <c r="Q469" s="38">
        <f>IF(B469="","",IF(E469="Tip","No",IF(E469="Refund","No","Yes")))</f>
        <v>0</v>
      </c>
      <c r="R469" s="25">
        <f>IF(B469="","",IF(E469="Refund",-1,1))</f>
        <v>0</v>
      </c>
      <c r="S469" s="26">
        <f>IF(B469="","",IF(G469="",0,IF(F469="Card",ROUND(G469*CardFeePercent+CardFeeFixed,2),IF(F469="Online deposit",ROUND(G469*CardFeePercent+CardFeeFixed,2),0))))</f>
        <v>0</v>
      </c>
      <c r="T469" s="26">
        <f>IF(B469="","",ROUND(IF(G469="",0,G469)*R469-S469,2))</f>
        <v>0</v>
      </c>
      <c r="U469" s="38">
        <f>IF(B469="","",IF(E469="Tip","Yes","No"))</f>
        <v>0</v>
      </c>
      <c r="V469" s="15">
        <f>IF(B469="","",IF(H469&lt;&gt;"","Sale "&amp;H469,IF(I469&lt;&gt;"","Booking "&amp;I469,IF(E469="Tip","Stylist","Unapplied"))))</f>
        <v>0</v>
      </c>
      <c r="W469" s="39">
        <f>IF(B469="","",IF(G469="","Add - no amount yet",IF(E469="","Add - what was this for?",IF(IF(H469="",FALSE,COUNTIF(Sales!$A$5:$A$1204,H469)=0),"Missing - no sale with that ID",IF(IF(I469="",FALSE,COUNTIF(Appointments!$A$5:$A$1204,I469)=0),"Missing - no booking with that ID",IF(IF(E469="Tip",J469="",FALSE),"Assign - whose tip is it?",IF(IF(E469="Deposit",IF(H469="",I469="",FALSE),FALSE),"Check - deposit not tied to a booking",IF(M469="No","Due - not reconciled yet","OK"))))))))</f>
        <v>0</v>
      </c>
    </row>
    <row r="470" spans="1:23">
      <c r="A470" s="28">
        <f>IF(B470="","",PaymentPrefix&amp;TEXT(ROW()-4,"0000"))</f>
        <v>0</v>
      </c>
      <c r="D470" s="15">
        <f>IF(C470="","",IFERROR(INDEX(Clients!$B$5:$B$504,MATCH(C470,Clients!$A$5:$A$504,0)),"Walk-in"))</f>
        <v>0</v>
      </c>
      <c r="K470" s="15">
        <f>IF(J470="","",IFERROR(INDEX(Staff!$B$5:$B$44,MATCH(J470,Staff!$A$5:$A$44,0)),""))</f>
        <v>0</v>
      </c>
      <c r="O470" s="15">
        <f>IF(B470="","",TEXT(B470,"yyyy-mm"))</f>
        <v>0</v>
      </c>
      <c r="P470" s="25">
        <f>IF(B470="","",WEEKNUM(B470,2))</f>
        <v>0</v>
      </c>
      <c r="Q470" s="38">
        <f>IF(B470="","",IF(E470="Tip","No",IF(E470="Refund","No","Yes")))</f>
        <v>0</v>
      </c>
      <c r="R470" s="25">
        <f>IF(B470="","",IF(E470="Refund",-1,1))</f>
        <v>0</v>
      </c>
      <c r="S470" s="26">
        <f>IF(B470="","",IF(G470="",0,IF(F470="Card",ROUND(G470*CardFeePercent+CardFeeFixed,2),IF(F470="Online deposit",ROUND(G470*CardFeePercent+CardFeeFixed,2),0))))</f>
        <v>0</v>
      </c>
      <c r="T470" s="26">
        <f>IF(B470="","",ROUND(IF(G470="",0,G470)*R470-S470,2))</f>
        <v>0</v>
      </c>
      <c r="U470" s="38">
        <f>IF(B470="","",IF(E470="Tip","Yes","No"))</f>
        <v>0</v>
      </c>
      <c r="V470" s="15">
        <f>IF(B470="","",IF(H470&lt;&gt;"","Sale "&amp;H470,IF(I470&lt;&gt;"","Booking "&amp;I470,IF(E470="Tip","Stylist","Unapplied"))))</f>
        <v>0</v>
      </c>
      <c r="W470" s="39">
        <f>IF(B470="","",IF(G470="","Add - no amount yet",IF(E470="","Add - what was this for?",IF(IF(H470="",FALSE,COUNTIF(Sales!$A$5:$A$1204,H470)=0),"Missing - no sale with that ID",IF(IF(I470="",FALSE,COUNTIF(Appointments!$A$5:$A$1204,I470)=0),"Missing - no booking with that ID",IF(IF(E470="Tip",J470="",FALSE),"Assign - whose tip is it?",IF(IF(E470="Deposit",IF(H470="",I470="",FALSE),FALSE),"Check - deposit not tied to a booking",IF(M470="No","Due - not reconciled yet","OK"))))))))</f>
        <v>0</v>
      </c>
    </row>
    <row r="471" spans="1:23">
      <c r="A471" s="28">
        <f>IF(B471="","",PaymentPrefix&amp;TEXT(ROW()-4,"0000"))</f>
        <v>0</v>
      </c>
      <c r="D471" s="15">
        <f>IF(C471="","",IFERROR(INDEX(Clients!$B$5:$B$504,MATCH(C471,Clients!$A$5:$A$504,0)),"Walk-in"))</f>
        <v>0</v>
      </c>
      <c r="K471" s="15">
        <f>IF(J471="","",IFERROR(INDEX(Staff!$B$5:$B$44,MATCH(J471,Staff!$A$5:$A$44,0)),""))</f>
        <v>0</v>
      </c>
      <c r="O471" s="15">
        <f>IF(B471="","",TEXT(B471,"yyyy-mm"))</f>
        <v>0</v>
      </c>
      <c r="P471" s="25">
        <f>IF(B471="","",WEEKNUM(B471,2))</f>
        <v>0</v>
      </c>
      <c r="Q471" s="38">
        <f>IF(B471="","",IF(E471="Tip","No",IF(E471="Refund","No","Yes")))</f>
        <v>0</v>
      </c>
      <c r="R471" s="25">
        <f>IF(B471="","",IF(E471="Refund",-1,1))</f>
        <v>0</v>
      </c>
      <c r="S471" s="26">
        <f>IF(B471="","",IF(G471="",0,IF(F471="Card",ROUND(G471*CardFeePercent+CardFeeFixed,2),IF(F471="Online deposit",ROUND(G471*CardFeePercent+CardFeeFixed,2),0))))</f>
        <v>0</v>
      </c>
      <c r="T471" s="26">
        <f>IF(B471="","",ROUND(IF(G471="",0,G471)*R471-S471,2))</f>
        <v>0</v>
      </c>
      <c r="U471" s="38">
        <f>IF(B471="","",IF(E471="Tip","Yes","No"))</f>
        <v>0</v>
      </c>
      <c r="V471" s="15">
        <f>IF(B471="","",IF(H471&lt;&gt;"","Sale "&amp;H471,IF(I471&lt;&gt;"","Booking "&amp;I471,IF(E471="Tip","Stylist","Unapplied"))))</f>
        <v>0</v>
      </c>
      <c r="W471" s="39">
        <f>IF(B471="","",IF(G471="","Add - no amount yet",IF(E471="","Add - what was this for?",IF(IF(H471="",FALSE,COUNTIF(Sales!$A$5:$A$1204,H471)=0),"Missing - no sale with that ID",IF(IF(I471="",FALSE,COUNTIF(Appointments!$A$5:$A$1204,I471)=0),"Missing - no booking with that ID",IF(IF(E471="Tip",J471="",FALSE),"Assign - whose tip is it?",IF(IF(E471="Deposit",IF(H471="",I471="",FALSE),FALSE),"Check - deposit not tied to a booking",IF(M471="No","Due - not reconciled yet","OK"))))))))</f>
        <v>0</v>
      </c>
    </row>
    <row r="472" spans="1:23">
      <c r="A472" s="28">
        <f>IF(B472="","",PaymentPrefix&amp;TEXT(ROW()-4,"0000"))</f>
        <v>0</v>
      </c>
      <c r="D472" s="15">
        <f>IF(C472="","",IFERROR(INDEX(Clients!$B$5:$B$504,MATCH(C472,Clients!$A$5:$A$504,0)),"Walk-in"))</f>
        <v>0</v>
      </c>
      <c r="K472" s="15">
        <f>IF(J472="","",IFERROR(INDEX(Staff!$B$5:$B$44,MATCH(J472,Staff!$A$5:$A$44,0)),""))</f>
        <v>0</v>
      </c>
      <c r="O472" s="15">
        <f>IF(B472="","",TEXT(B472,"yyyy-mm"))</f>
        <v>0</v>
      </c>
      <c r="P472" s="25">
        <f>IF(B472="","",WEEKNUM(B472,2))</f>
        <v>0</v>
      </c>
      <c r="Q472" s="38">
        <f>IF(B472="","",IF(E472="Tip","No",IF(E472="Refund","No","Yes")))</f>
        <v>0</v>
      </c>
      <c r="R472" s="25">
        <f>IF(B472="","",IF(E472="Refund",-1,1))</f>
        <v>0</v>
      </c>
      <c r="S472" s="26">
        <f>IF(B472="","",IF(G472="",0,IF(F472="Card",ROUND(G472*CardFeePercent+CardFeeFixed,2),IF(F472="Online deposit",ROUND(G472*CardFeePercent+CardFeeFixed,2),0))))</f>
        <v>0</v>
      </c>
      <c r="T472" s="26">
        <f>IF(B472="","",ROUND(IF(G472="",0,G472)*R472-S472,2))</f>
        <v>0</v>
      </c>
      <c r="U472" s="38">
        <f>IF(B472="","",IF(E472="Tip","Yes","No"))</f>
        <v>0</v>
      </c>
      <c r="V472" s="15">
        <f>IF(B472="","",IF(H472&lt;&gt;"","Sale "&amp;H472,IF(I472&lt;&gt;"","Booking "&amp;I472,IF(E472="Tip","Stylist","Unapplied"))))</f>
        <v>0</v>
      </c>
      <c r="W472" s="39">
        <f>IF(B472="","",IF(G472="","Add - no amount yet",IF(E472="","Add - what was this for?",IF(IF(H472="",FALSE,COUNTIF(Sales!$A$5:$A$1204,H472)=0),"Missing - no sale with that ID",IF(IF(I472="",FALSE,COUNTIF(Appointments!$A$5:$A$1204,I472)=0),"Missing - no booking with that ID",IF(IF(E472="Tip",J472="",FALSE),"Assign - whose tip is it?",IF(IF(E472="Deposit",IF(H472="",I472="",FALSE),FALSE),"Check - deposit not tied to a booking",IF(M472="No","Due - not reconciled yet","OK"))))))))</f>
        <v>0</v>
      </c>
    </row>
    <row r="473" spans="1:23">
      <c r="A473" s="28">
        <f>IF(B473="","",PaymentPrefix&amp;TEXT(ROW()-4,"0000"))</f>
        <v>0</v>
      </c>
      <c r="D473" s="15">
        <f>IF(C473="","",IFERROR(INDEX(Clients!$B$5:$B$504,MATCH(C473,Clients!$A$5:$A$504,0)),"Walk-in"))</f>
        <v>0</v>
      </c>
      <c r="K473" s="15">
        <f>IF(J473="","",IFERROR(INDEX(Staff!$B$5:$B$44,MATCH(J473,Staff!$A$5:$A$44,0)),""))</f>
        <v>0</v>
      </c>
      <c r="O473" s="15">
        <f>IF(B473="","",TEXT(B473,"yyyy-mm"))</f>
        <v>0</v>
      </c>
      <c r="P473" s="25">
        <f>IF(B473="","",WEEKNUM(B473,2))</f>
        <v>0</v>
      </c>
      <c r="Q473" s="38">
        <f>IF(B473="","",IF(E473="Tip","No",IF(E473="Refund","No","Yes")))</f>
        <v>0</v>
      </c>
      <c r="R473" s="25">
        <f>IF(B473="","",IF(E473="Refund",-1,1))</f>
        <v>0</v>
      </c>
      <c r="S473" s="26">
        <f>IF(B473="","",IF(G473="",0,IF(F473="Card",ROUND(G473*CardFeePercent+CardFeeFixed,2),IF(F473="Online deposit",ROUND(G473*CardFeePercent+CardFeeFixed,2),0))))</f>
        <v>0</v>
      </c>
      <c r="T473" s="26">
        <f>IF(B473="","",ROUND(IF(G473="",0,G473)*R473-S473,2))</f>
        <v>0</v>
      </c>
      <c r="U473" s="38">
        <f>IF(B473="","",IF(E473="Tip","Yes","No"))</f>
        <v>0</v>
      </c>
      <c r="V473" s="15">
        <f>IF(B473="","",IF(H473&lt;&gt;"","Sale "&amp;H473,IF(I473&lt;&gt;"","Booking "&amp;I473,IF(E473="Tip","Stylist","Unapplied"))))</f>
        <v>0</v>
      </c>
      <c r="W473" s="39">
        <f>IF(B473="","",IF(G473="","Add - no amount yet",IF(E473="","Add - what was this for?",IF(IF(H473="",FALSE,COUNTIF(Sales!$A$5:$A$1204,H473)=0),"Missing - no sale with that ID",IF(IF(I473="",FALSE,COUNTIF(Appointments!$A$5:$A$1204,I473)=0),"Missing - no booking with that ID",IF(IF(E473="Tip",J473="",FALSE),"Assign - whose tip is it?",IF(IF(E473="Deposit",IF(H473="",I473="",FALSE),FALSE),"Check - deposit not tied to a booking",IF(M473="No","Due - not reconciled yet","OK"))))))))</f>
        <v>0</v>
      </c>
    </row>
    <row r="474" spans="1:23">
      <c r="A474" s="28">
        <f>IF(B474="","",PaymentPrefix&amp;TEXT(ROW()-4,"0000"))</f>
        <v>0</v>
      </c>
      <c r="D474" s="15">
        <f>IF(C474="","",IFERROR(INDEX(Clients!$B$5:$B$504,MATCH(C474,Clients!$A$5:$A$504,0)),"Walk-in"))</f>
        <v>0</v>
      </c>
      <c r="K474" s="15">
        <f>IF(J474="","",IFERROR(INDEX(Staff!$B$5:$B$44,MATCH(J474,Staff!$A$5:$A$44,0)),""))</f>
        <v>0</v>
      </c>
      <c r="O474" s="15">
        <f>IF(B474="","",TEXT(B474,"yyyy-mm"))</f>
        <v>0</v>
      </c>
      <c r="P474" s="25">
        <f>IF(B474="","",WEEKNUM(B474,2))</f>
        <v>0</v>
      </c>
      <c r="Q474" s="38">
        <f>IF(B474="","",IF(E474="Tip","No",IF(E474="Refund","No","Yes")))</f>
        <v>0</v>
      </c>
      <c r="R474" s="25">
        <f>IF(B474="","",IF(E474="Refund",-1,1))</f>
        <v>0</v>
      </c>
      <c r="S474" s="26">
        <f>IF(B474="","",IF(G474="",0,IF(F474="Card",ROUND(G474*CardFeePercent+CardFeeFixed,2),IF(F474="Online deposit",ROUND(G474*CardFeePercent+CardFeeFixed,2),0))))</f>
        <v>0</v>
      </c>
      <c r="T474" s="26">
        <f>IF(B474="","",ROUND(IF(G474="",0,G474)*R474-S474,2))</f>
        <v>0</v>
      </c>
      <c r="U474" s="38">
        <f>IF(B474="","",IF(E474="Tip","Yes","No"))</f>
        <v>0</v>
      </c>
      <c r="V474" s="15">
        <f>IF(B474="","",IF(H474&lt;&gt;"","Sale "&amp;H474,IF(I474&lt;&gt;"","Booking "&amp;I474,IF(E474="Tip","Stylist","Unapplied"))))</f>
        <v>0</v>
      </c>
      <c r="W474" s="39">
        <f>IF(B474="","",IF(G474="","Add - no amount yet",IF(E474="","Add - what was this for?",IF(IF(H474="",FALSE,COUNTIF(Sales!$A$5:$A$1204,H474)=0),"Missing - no sale with that ID",IF(IF(I474="",FALSE,COUNTIF(Appointments!$A$5:$A$1204,I474)=0),"Missing - no booking with that ID",IF(IF(E474="Tip",J474="",FALSE),"Assign - whose tip is it?",IF(IF(E474="Deposit",IF(H474="",I474="",FALSE),FALSE),"Check - deposit not tied to a booking",IF(M474="No","Due - not reconciled yet","OK"))))))))</f>
        <v>0</v>
      </c>
    </row>
    <row r="475" spans="1:23">
      <c r="A475" s="28">
        <f>IF(B475="","",PaymentPrefix&amp;TEXT(ROW()-4,"0000"))</f>
        <v>0</v>
      </c>
      <c r="D475" s="15">
        <f>IF(C475="","",IFERROR(INDEX(Clients!$B$5:$B$504,MATCH(C475,Clients!$A$5:$A$504,0)),"Walk-in"))</f>
        <v>0</v>
      </c>
      <c r="K475" s="15">
        <f>IF(J475="","",IFERROR(INDEX(Staff!$B$5:$B$44,MATCH(J475,Staff!$A$5:$A$44,0)),""))</f>
        <v>0</v>
      </c>
      <c r="O475" s="15">
        <f>IF(B475="","",TEXT(B475,"yyyy-mm"))</f>
        <v>0</v>
      </c>
      <c r="P475" s="25">
        <f>IF(B475="","",WEEKNUM(B475,2))</f>
        <v>0</v>
      </c>
      <c r="Q475" s="38">
        <f>IF(B475="","",IF(E475="Tip","No",IF(E475="Refund","No","Yes")))</f>
        <v>0</v>
      </c>
      <c r="R475" s="25">
        <f>IF(B475="","",IF(E475="Refund",-1,1))</f>
        <v>0</v>
      </c>
      <c r="S475" s="26">
        <f>IF(B475="","",IF(G475="",0,IF(F475="Card",ROUND(G475*CardFeePercent+CardFeeFixed,2),IF(F475="Online deposit",ROUND(G475*CardFeePercent+CardFeeFixed,2),0))))</f>
        <v>0</v>
      </c>
      <c r="T475" s="26">
        <f>IF(B475="","",ROUND(IF(G475="",0,G475)*R475-S475,2))</f>
        <v>0</v>
      </c>
      <c r="U475" s="38">
        <f>IF(B475="","",IF(E475="Tip","Yes","No"))</f>
        <v>0</v>
      </c>
      <c r="V475" s="15">
        <f>IF(B475="","",IF(H475&lt;&gt;"","Sale "&amp;H475,IF(I475&lt;&gt;"","Booking "&amp;I475,IF(E475="Tip","Stylist","Unapplied"))))</f>
        <v>0</v>
      </c>
      <c r="W475" s="39">
        <f>IF(B475="","",IF(G475="","Add - no amount yet",IF(E475="","Add - what was this for?",IF(IF(H475="",FALSE,COUNTIF(Sales!$A$5:$A$1204,H475)=0),"Missing - no sale with that ID",IF(IF(I475="",FALSE,COUNTIF(Appointments!$A$5:$A$1204,I475)=0),"Missing - no booking with that ID",IF(IF(E475="Tip",J475="",FALSE),"Assign - whose tip is it?",IF(IF(E475="Deposit",IF(H475="",I475="",FALSE),FALSE),"Check - deposit not tied to a booking",IF(M475="No","Due - not reconciled yet","OK"))))))))</f>
        <v>0</v>
      </c>
    </row>
    <row r="476" spans="1:23">
      <c r="A476" s="28">
        <f>IF(B476="","",PaymentPrefix&amp;TEXT(ROW()-4,"0000"))</f>
        <v>0</v>
      </c>
      <c r="D476" s="15">
        <f>IF(C476="","",IFERROR(INDEX(Clients!$B$5:$B$504,MATCH(C476,Clients!$A$5:$A$504,0)),"Walk-in"))</f>
        <v>0</v>
      </c>
      <c r="K476" s="15">
        <f>IF(J476="","",IFERROR(INDEX(Staff!$B$5:$B$44,MATCH(J476,Staff!$A$5:$A$44,0)),""))</f>
        <v>0</v>
      </c>
      <c r="O476" s="15">
        <f>IF(B476="","",TEXT(B476,"yyyy-mm"))</f>
        <v>0</v>
      </c>
      <c r="P476" s="25">
        <f>IF(B476="","",WEEKNUM(B476,2))</f>
        <v>0</v>
      </c>
      <c r="Q476" s="38">
        <f>IF(B476="","",IF(E476="Tip","No",IF(E476="Refund","No","Yes")))</f>
        <v>0</v>
      </c>
      <c r="R476" s="25">
        <f>IF(B476="","",IF(E476="Refund",-1,1))</f>
        <v>0</v>
      </c>
      <c r="S476" s="26">
        <f>IF(B476="","",IF(G476="",0,IF(F476="Card",ROUND(G476*CardFeePercent+CardFeeFixed,2),IF(F476="Online deposit",ROUND(G476*CardFeePercent+CardFeeFixed,2),0))))</f>
        <v>0</v>
      </c>
      <c r="T476" s="26">
        <f>IF(B476="","",ROUND(IF(G476="",0,G476)*R476-S476,2))</f>
        <v>0</v>
      </c>
      <c r="U476" s="38">
        <f>IF(B476="","",IF(E476="Tip","Yes","No"))</f>
        <v>0</v>
      </c>
      <c r="V476" s="15">
        <f>IF(B476="","",IF(H476&lt;&gt;"","Sale "&amp;H476,IF(I476&lt;&gt;"","Booking "&amp;I476,IF(E476="Tip","Stylist","Unapplied"))))</f>
        <v>0</v>
      </c>
      <c r="W476" s="39">
        <f>IF(B476="","",IF(G476="","Add - no amount yet",IF(E476="","Add - what was this for?",IF(IF(H476="",FALSE,COUNTIF(Sales!$A$5:$A$1204,H476)=0),"Missing - no sale with that ID",IF(IF(I476="",FALSE,COUNTIF(Appointments!$A$5:$A$1204,I476)=0),"Missing - no booking with that ID",IF(IF(E476="Tip",J476="",FALSE),"Assign - whose tip is it?",IF(IF(E476="Deposit",IF(H476="",I476="",FALSE),FALSE),"Check - deposit not tied to a booking",IF(M476="No","Due - not reconciled yet","OK"))))))))</f>
        <v>0</v>
      </c>
    </row>
    <row r="477" spans="1:23">
      <c r="A477" s="28">
        <f>IF(B477="","",PaymentPrefix&amp;TEXT(ROW()-4,"0000"))</f>
        <v>0</v>
      </c>
      <c r="D477" s="15">
        <f>IF(C477="","",IFERROR(INDEX(Clients!$B$5:$B$504,MATCH(C477,Clients!$A$5:$A$504,0)),"Walk-in"))</f>
        <v>0</v>
      </c>
      <c r="K477" s="15">
        <f>IF(J477="","",IFERROR(INDEX(Staff!$B$5:$B$44,MATCH(J477,Staff!$A$5:$A$44,0)),""))</f>
        <v>0</v>
      </c>
      <c r="O477" s="15">
        <f>IF(B477="","",TEXT(B477,"yyyy-mm"))</f>
        <v>0</v>
      </c>
      <c r="P477" s="25">
        <f>IF(B477="","",WEEKNUM(B477,2))</f>
        <v>0</v>
      </c>
      <c r="Q477" s="38">
        <f>IF(B477="","",IF(E477="Tip","No",IF(E477="Refund","No","Yes")))</f>
        <v>0</v>
      </c>
      <c r="R477" s="25">
        <f>IF(B477="","",IF(E477="Refund",-1,1))</f>
        <v>0</v>
      </c>
      <c r="S477" s="26">
        <f>IF(B477="","",IF(G477="",0,IF(F477="Card",ROUND(G477*CardFeePercent+CardFeeFixed,2),IF(F477="Online deposit",ROUND(G477*CardFeePercent+CardFeeFixed,2),0))))</f>
        <v>0</v>
      </c>
      <c r="T477" s="26">
        <f>IF(B477="","",ROUND(IF(G477="",0,G477)*R477-S477,2))</f>
        <v>0</v>
      </c>
      <c r="U477" s="38">
        <f>IF(B477="","",IF(E477="Tip","Yes","No"))</f>
        <v>0</v>
      </c>
      <c r="V477" s="15">
        <f>IF(B477="","",IF(H477&lt;&gt;"","Sale "&amp;H477,IF(I477&lt;&gt;"","Booking "&amp;I477,IF(E477="Tip","Stylist","Unapplied"))))</f>
        <v>0</v>
      </c>
      <c r="W477" s="39">
        <f>IF(B477="","",IF(G477="","Add - no amount yet",IF(E477="","Add - what was this for?",IF(IF(H477="",FALSE,COUNTIF(Sales!$A$5:$A$1204,H477)=0),"Missing - no sale with that ID",IF(IF(I477="",FALSE,COUNTIF(Appointments!$A$5:$A$1204,I477)=0),"Missing - no booking with that ID",IF(IF(E477="Tip",J477="",FALSE),"Assign - whose tip is it?",IF(IF(E477="Deposit",IF(H477="",I477="",FALSE),FALSE),"Check - deposit not tied to a booking",IF(M477="No","Due - not reconciled yet","OK"))))))))</f>
        <v>0</v>
      </c>
    </row>
    <row r="478" spans="1:23">
      <c r="A478" s="28">
        <f>IF(B478="","",PaymentPrefix&amp;TEXT(ROW()-4,"0000"))</f>
        <v>0</v>
      </c>
      <c r="D478" s="15">
        <f>IF(C478="","",IFERROR(INDEX(Clients!$B$5:$B$504,MATCH(C478,Clients!$A$5:$A$504,0)),"Walk-in"))</f>
        <v>0</v>
      </c>
      <c r="K478" s="15">
        <f>IF(J478="","",IFERROR(INDEX(Staff!$B$5:$B$44,MATCH(J478,Staff!$A$5:$A$44,0)),""))</f>
        <v>0</v>
      </c>
      <c r="O478" s="15">
        <f>IF(B478="","",TEXT(B478,"yyyy-mm"))</f>
        <v>0</v>
      </c>
      <c r="P478" s="25">
        <f>IF(B478="","",WEEKNUM(B478,2))</f>
        <v>0</v>
      </c>
      <c r="Q478" s="38">
        <f>IF(B478="","",IF(E478="Tip","No",IF(E478="Refund","No","Yes")))</f>
        <v>0</v>
      </c>
      <c r="R478" s="25">
        <f>IF(B478="","",IF(E478="Refund",-1,1))</f>
        <v>0</v>
      </c>
      <c r="S478" s="26">
        <f>IF(B478="","",IF(G478="",0,IF(F478="Card",ROUND(G478*CardFeePercent+CardFeeFixed,2),IF(F478="Online deposit",ROUND(G478*CardFeePercent+CardFeeFixed,2),0))))</f>
        <v>0</v>
      </c>
      <c r="T478" s="26">
        <f>IF(B478="","",ROUND(IF(G478="",0,G478)*R478-S478,2))</f>
        <v>0</v>
      </c>
      <c r="U478" s="38">
        <f>IF(B478="","",IF(E478="Tip","Yes","No"))</f>
        <v>0</v>
      </c>
      <c r="V478" s="15">
        <f>IF(B478="","",IF(H478&lt;&gt;"","Sale "&amp;H478,IF(I478&lt;&gt;"","Booking "&amp;I478,IF(E478="Tip","Stylist","Unapplied"))))</f>
        <v>0</v>
      </c>
      <c r="W478" s="39">
        <f>IF(B478="","",IF(G478="","Add - no amount yet",IF(E478="","Add - what was this for?",IF(IF(H478="",FALSE,COUNTIF(Sales!$A$5:$A$1204,H478)=0),"Missing - no sale with that ID",IF(IF(I478="",FALSE,COUNTIF(Appointments!$A$5:$A$1204,I478)=0),"Missing - no booking with that ID",IF(IF(E478="Tip",J478="",FALSE),"Assign - whose tip is it?",IF(IF(E478="Deposit",IF(H478="",I478="",FALSE),FALSE),"Check - deposit not tied to a booking",IF(M478="No","Due - not reconciled yet","OK"))))))))</f>
        <v>0</v>
      </c>
    </row>
    <row r="479" spans="1:23">
      <c r="A479" s="28">
        <f>IF(B479="","",PaymentPrefix&amp;TEXT(ROW()-4,"0000"))</f>
        <v>0</v>
      </c>
      <c r="D479" s="15">
        <f>IF(C479="","",IFERROR(INDEX(Clients!$B$5:$B$504,MATCH(C479,Clients!$A$5:$A$504,0)),"Walk-in"))</f>
        <v>0</v>
      </c>
      <c r="K479" s="15">
        <f>IF(J479="","",IFERROR(INDEX(Staff!$B$5:$B$44,MATCH(J479,Staff!$A$5:$A$44,0)),""))</f>
        <v>0</v>
      </c>
      <c r="O479" s="15">
        <f>IF(B479="","",TEXT(B479,"yyyy-mm"))</f>
        <v>0</v>
      </c>
      <c r="P479" s="25">
        <f>IF(B479="","",WEEKNUM(B479,2))</f>
        <v>0</v>
      </c>
      <c r="Q479" s="38">
        <f>IF(B479="","",IF(E479="Tip","No",IF(E479="Refund","No","Yes")))</f>
        <v>0</v>
      </c>
      <c r="R479" s="25">
        <f>IF(B479="","",IF(E479="Refund",-1,1))</f>
        <v>0</v>
      </c>
      <c r="S479" s="26">
        <f>IF(B479="","",IF(G479="",0,IF(F479="Card",ROUND(G479*CardFeePercent+CardFeeFixed,2),IF(F479="Online deposit",ROUND(G479*CardFeePercent+CardFeeFixed,2),0))))</f>
        <v>0</v>
      </c>
      <c r="T479" s="26">
        <f>IF(B479="","",ROUND(IF(G479="",0,G479)*R479-S479,2))</f>
        <v>0</v>
      </c>
      <c r="U479" s="38">
        <f>IF(B479="","",IF(E479="Tip","Yes","No"))</f>
        <v>0</v>
      </c>
      <c r="V479" s="15">
        <f>IF(B479="","",IF(H479&lt;&gt;"","Sale "&amp;H479,IF(I479&lt;&gt;"","Booking "&amp;I479,IF(E479="Tip","Stylist","Unapplied"))))</f>
        <v>0</v>
      </c>
      <c r="W479" s="39">
        <f>IF(B479="","",IF(G479="","Add - no amount yet",IF(E479="","Add - what was this for?",IF(IF(H479="",FALSE,COUNTIF(Sales!$A$5:$A$1204,H479)=0),"Missing - no sale with that ID",IF(IF(I479="",FALSE,COUNTIF(Appointments!$A$5:$A$1204,I479)=0),"Missing - no booking with that ID",IF(IF(E479="Tip",J479="",FALSE),"Assign - whose tip is it?",IF(IF(E479="Deposit",IF(H479="",I479="",FALSE),FALSE),"Check - deposit not tied to a booking",IF(M479="No","Due - not reconciled yet","OK"))))))))</f>
        <v>0</v>
      </c>
    </row>
    <row r="480" spans="1:23">
      <c r="A480" s="28">
        <f>IF(B480="","",PaymentPrefix&amp;TEXT(ROW()-4,"0000"))</f>
        <v>0</v>
      </c>
      <c r="D480" s="15">
        <f>IF(C480="","",IFERROR(INDEX(Clients!$B$5:$B$504,MATCH(C480,Clients!$A$5:$A$504,0)),"Walk-in"))</f>
        <v>0</v>
      </c>
      <c r="K480" s="15">
        <f>IF(J480="","",IFERROR(INDEX(Staff!$B$5:$B$44,MATCH(J480,Staff!$A$5:$A$44,0)),""))</f>
        <v>0</v>
      </c>
      <c r="O480" s="15">
        <f>IF(B480="","",TEXT(B480,"yyyy-mm"))</f>
        <v>0</v>
      </c>
      <c r="P480" s="25">
        <f>IF(B480="","",WEEKNUM(B480,2))</f>
        <v>0</v>
      </c>
      <c r="Q480" s="38">
        <f>IF(B480="","",IF(E480="Tip","No",IF(E480="Refund","No","Yes")))</f>
        <v>0</v>
      </c>
      <c r="R480" s="25">
        <f>IF(B480="","",IF(E480="Refund",-1,1))</f>
        <v>0</v>
      </c>
      <c r="S480" s="26">
        <f>IF(B480="","",IF(G480="",0,IF(F480="Card",ROUND(G480*CardFeePercent+CardFeeFixed,2),IF(F480="Online deposit",ROUND(G480*CardFeePercent+CardFeeFixed,2),0))))</f>
        <v>0</v>
      </c>
      <c r="T480" s="26">
        <f>IF(B480="","",ROUND(IF(G480="",0,G480)*R480-S480,2))</f>
        <v>0</v>
      </c>
      <c r="U480" s="38">
        <f>IF(B480="","",IF(E480="Tip","Yes","No"))</f>
        <v>0</v>
      </c>
      <c r="V480" s="15">
        <f>IF(B480="","",IF(H480&lt;&gt;"","Sale "&amp;H480,IF(I480&lt;&gt;"","Booking "&amp;I480,IF(E480="Tip","Stylist","Unapplied"))))</f>
        <v>0</v>
      </c>
      <c r="W480" s="39">
        <f>IF(B480="","",IF(G480="","Add - no amount yet",IF(E480="","Add - what was this for?",IF(IF(H480="",FALSE,COUNTIF(Sales!$A$5:$A$1204,H480)=0),"Missing - no sale with that ID",IF(IF(I480="",FALSE,COUNTIF(Appointments!$A$5:$A$1204,I480)=0),"Missing - no booking with that ID",IF(IF(E480="Tip",J480="",FALSE),"Assign - whose tip is it?",IF(IF(E480="Deposit",IF(H480="",I480="",FALSE),FALSE),"Check - deposit not tied to a booking",IF(M480="No","Due - not reconciled yet","OK"))))))))</f>
        <v>0</v>
      </c>
    </row>
    <row r="481" spans="1:23">
      <c r="A481" s="28">
        <f>IF(B481="","",PaymentPrefix&amp;TEXT(ROW()-4,"0000"))</f>
        <v>0</v>
      </c>
      <c r="D481" s="15">
        <f>IF(C481="","",IFERROR(INDEX(Clients!$B$5:$B$504,MATCH(C481,Clients!$A$5:$A$504,0)),"Walk-in"))</f>
        <v>0</v>
      </c>
      <c r="K481" s="15">
        <f>IF(J481="","",IFERROR(INDEX(Staff!$B$5:$B$44,MATCH(J481,Staff!$A$5:$A$44,0)),""))</f>
        <v>0</v>
      </c>
      <c r="O481" s="15">
        <f>IF(B481="","",TEXT(B481,"yyyy-mm"))</f>
        <v>0</v>
      </c>
      <c r="P481" s="25">
        <f>IF(B481="","",WEEKNUM(B481,2))</f>
        <v>0</v>
      </c>
      <c r="Q481" s="38">
        <f>IF(B481="","",IF(E481="Tip","No",IF(E481="Refund","No","Yes")))</f>
        <v>0</v>
      </c>
      <c r="R481" s="25">
        <f>IF(B481="","",IF(E481="Refund",-1,1))</f>
        <v>0</v>
      </c>
      <c r="S481" s="26">
        <f>IF(B481="","",IF(G481="",0,IF(F481="Card",ROUND(G481*CardFeePercent+CardFeeFixed,2),IF(F481="Online deposit",ROUND(G481*CardFeePercent+CardFeeFixed,2),0))))</f>
        <v>0</v>
      </c>
      <c r="T481" s="26">
        <f>IF(B481="","",ROUND(IF(G481="",0,G481)*R481-S481,2))</f>
        <v>0</v>
      </c>
      <c r="U481" s="38">
        <f>IF(B481="","",IF(E481="Tip","Yes","No"))</f>
        <v>0</v>
      </c>
      <c r="V481" s="15">
        <f>IF(B481="","",IF(H481&lt;&gt;"","Sale "&amp;H481,IF(I481&lt;&gt;"","Booking "&amp;I481,IF(E481="Tip","Stylist","Unapplied"))))</f>
        <v>0</v>
      </c>
      <c r="W481" s="39">
        <f>IF(B481="","",IF(G481="","Add - no amount yet",IF(E481="","Add - what was this for?",IF(IF(H481="",FALSE,COUNTIF(Sales!$A$5:$A$1204,H481)=0),"Missing - no sale with that ID",IF(IF(I481="",FALSE,COUNTIF(Appointments!$A$5:$A$1204,I481)=0),"Missing - no booking with that ID",IF(IF(E481="Tip",J481="",FALSE),"Assign - whose tip is it?",IF(IF(E481="Deposit",IF(H481="",I481="",FALSE),FALSE),"Check - deposit not tied to a booking",IF(M481="No","Due - not reconciled yet","OK"))))))))</f>
        <v>0</v>
      </c>
    </row>
    <row r="482" spans="1:23">
      <c r="A482" s="28">
        <f>IF(B482="","",PaymentPrefix&amp;TEXT(ROW()-4,"0000"))</f>
        <v>0</v>
      </c>
      <c r="D482" s="15">
        <f>IF(C482="","",IFERROR(INDEX(Clients!$B$5:$B$504,MATCH(C482,Clients!$A$5:$A$504,0)),"Walk-in"))</f>
        <v>0</v>
      </c>
      <c r="K482" s="15">
        <f>IF(J482="","",IFERROR(INDEX(Staff!$B$5:$B$44,MATCH(J482,Staff!$A$5:$A$44,0)),""))</f>
        <v>0</v>
      </c>
      <c r="O482" s="15">
        <f>IF(B482="","",TEXT(B482,"yyyy-mm"))</f>
        <v>0</v>
      </c>
      <c r="P482" s="25">
        <f>IF(B482="","",WEEKNUM(B482,2))</f>
        <v>0</v>
      </c>
      <c r="Q482" s="38">
        <f>IF(B482="","",IF(E482="Tip","No",IF(E482="Refund","No","Yes")))</f>
        <v>0</v>
      </c>
      <c r="R482" s="25">
        <f>IF(B482="","",IF(E482="Refund",-1,1))</f>
        <v>0</v>
      </c>
      <c r="S482" s="26">
        <f>IF(B482="","",IF(G482="",0,IF(F482="Card",ROUND(G482*CardFeePercent+CardFeeFixed,2),IF(F482="Online deposit",ROUND(G482*CardFeePercent+CardFeeFixed,2),0))))</f>
        <v>0</v>
      </c>
      <c r="T482" s="26">
        <f>IF(B482="","",ROUND(IF(G482="",0,G482)*R482-S482,2))</f>
        <v>0</v>
      </c>
      <c r="U482" s="38">
        <f>IF(B482="","",IF(E482="Tip","Yes","No"))</f>
        <v>0</v>
      </c>
      <c r="V482" s="15">
        <f>IF(B482="","",IF(H482&lt;&gt;"","Sale "&amp;H482,IF(I482&lt;&gt;"","Booking "&amp;I482,IF(E482="Tip","Stylist","Unapplied"))))</f>
        <v>0</v>
      </c>
      <c r="W482" s="39">
        <f>IF(B482="","",IF(G482="","Add - no amount yet",IF(E482="","Add - what was this for?",IF(IF(H482="",FALSE,COUNTIF(Sales!$A$5:$A$1204,H482)=0),"Missing - no sale with that ID",IF(IF(I482="",FALSE,COUNTIF(Appointments!$A$5:$A$1204,I482)=0),"Missing - no booking with that ID",IF(IF(E482="Tip",J482="",FALSE),"Assign - whose tip is it?",IF(IF(E482="Deposit",IF(H482="",I482="",FALSE),FALSE),"Check - deposit not tied to a booking",IF(M482="No","Due - not reconciled yet","OK"))))))))</f>
        <v>0</v>
      </c>
    </row>
    <row r="483" spans="1:23">
      <c r="A483" s="28">
        <f>IF(B483="","",PaymentPrefix&amp;TEXT(ROW()-4,"0000"))</f>
        <v>0</v>
      </c>
      <c r="D483" s="15">
        <f>IF(C483="","",IFERROR(INDEX(Clients!$B$5:$B$504,MATCH(C483,Clients!$A$5:$A$504,0)),"Walk-in"))</f>
        <v>0</v>
      </c>
      <c r="K483" s="15">
        <f>IF(J483="","",IFERROR(INDEX(Staff!$B$5:$B$44,MATCH(J483,Staff!$A$5:$A$44,0)),""))</f>
        <v>0</v>
      </c>
      <c r="O483" s="15">
        <f>IF(B483="","",TEXT(B483,"yyyy-mm"))</f>
        <v>0</v>
      </c>
      <c r="P483" s="25">
        <f>IF(B483="","",WEEKNUM(B483,2))</f>
        <v>0</v>
      </c>
      <c r="Q483" s="38">
        <f>IF(B483="","",IF(E483="Tip","No",IF(E483="Refund","No","Yes")))</f>
        <v>0</v>
      </c>
      <c r="R483" s="25">
        <f>IF(B483="","",IF(E483="Refund",-1,1))</f>
        <v>0</v>
      </c>
      <c r="S483" s="26">
        <f>IF(B483="","",IF(G483="",0,IF(F483="Card",ROUND(G483*CardFeePercent+CardFeeFixed,2),IF(F483="Online deposit",ROUND(G483*CardFeePercent+CardFeeFixed,2),0))))</f>
        <v>0</v>
      </c>
      <c r="T483" s="26">
        <f>IF(B483="","",ROUND(IF(G483="",0,G483)*R483-S483,2))</f>
        <v>0</v>
      </c>
      <c r="U483" s="38">
        <f>IF(B483="","",IF(E483="Tip","Yes","No"))</f>
        <v>0</v>
      </c>
      <c r="V483" s="15">
        <f>IF(B483="","",IF(H483&lt;&gt;"","Sale "&amp;H483,IF(I483&lt;&gt;"","Booking "&amp;I483,IF(E483="Tip","Stylist","Unapplied"))))</f>
        <v>0</v>
      </c>
      <c r="W483" s="39">
        <f>IF(B483="","",IF(G483="","Add - no amount yet",IF(E483="","Add - what was this for?",IF(IF(H483="",FALSE,COUNTIF(Sales!$A$5:$A$1204,H483)=0),"Missing - no sale with that ID",IF(IF(I483="",FALSE,COUNTIF(Appointments!$A$5:$A$1204,I483)=0),"Missing - no booking with that ID",IF(IF(E483="Tip",J483="",FALSE),"Assign - whose tip is it?",IF(IF(E483="Deposit",IF(H483="",I483="",FALSE),FALSE),"Check - deposit not tied to a booking",IF(M483="No","Due - not reconciled yet","OK"))))))))</f>
        <v>0</v>
      </c>
    </row>
    <row r="484" spans="1:23">
      <c r="A484" s="28">
        <f>IF(B484="","",PaymentPrefix&amp;TEXT(ROW()-4,"0000"))</f>
        <v>0</v>
      </c>
      <c r="D484" s="15">
        <f>IF(C484="","",IFERROR(INDEX(Clients!$B$5:$B$504,MATCH(C484,Clients!$A$5:$A$504,0)),"Walk-in"))</f>
        <v>0</v>
      </c>
      <c r="K484" s="15">
        <f>IF(J484="","",IFERROR(INDEX(Staff!$B$5:$B$44,MATCH(J484,Staff!$A$5:$A$44,0)),""))</f>
        <v>0</v>
      </c>
      <c r="O484" s="15">
        <f>IF(B484="","",TEXT(B484,"yyyy-mm"))</f>
        <v>0</v>
      </c>
      <c r="P484" s="25">
        <f>IF(B484="","",WEEKNUM(B484,2))</f>
        <v>0</v>
      </c>
      <c r="Q484" s="38">
        <f>IF(B484="","",IF(E484="Tip","No",IF(E484="Refund","No","Yes")))</f>
        <v>0</v>
      </c>
      <c r="R484" s="25">
        <f>IF(B484="","",IF(E484="Refund",-1,1))</f>
        <v>0</v>
      </c>
      <c r="S484" s="26">
        <f>IF(B484="","",IF(G484="",0,IF(F484="Card",ROUND(G484*CardFeePercent+CardFeeFixed,2),IF(F484="Online deposit",ROUND(G484*CardFeePercent+CardFeeFixed,2),0))))</f>
        <v>0</v>
      </c>
      <c r="T484" s="26">
        <f>IF(B484="","",ROUND(IF(G484="",0,G484)*R484-S484,2))</f>
        <v>0</v>
      </c>
      <c r="U484" s="38">
        <f>IF(B484="","",IF(E484="Tip","Yes","No"))</f>
        <v>0</v>
      </c>
      <c r="V484" s="15">
        <f>IF(B484="","",IF(H484&lt;&gt;"","Sale "&amp;H484,IF(I484&lt;&gt;"","Booking "&amp;I484,IF(E484="Tip","Stylist","Unapplied"))))</f>
        <v>0</v>
      </c>
      <c r="W484" s="39">
        <f>IF(B484="","",IF(G484="","Add - no amount yet",IF(E484="","Add - what was this for?",IF(IF(H484="",FALSE,COUNTIF(Sales!$A$5:$A$1204,H484)=0),"Missing - no sale with that ID",IF(IF(I484="",FALSE,COUNTIF(Appointments!$A$5:$A$1204,I484)=0),"Missing - no booking with that ID",IF(IF(E484="Tip",J484="",FALSE),"Assign - whose tip is it?",IF(IF(E484="Deposit",IF(H484="",I484="",FALSE),FALSE),"Check - deposit not tied to a booking",IF(M484="No","Due - not reconciled yet","OK"))))))))</f>
        <v>0</v>
      </c>
    </row>
    <row r="485" spans="1:23">
      <c r="A485" s="28">
        <f>IF(B485="","",PaymentPrefix&amp;TEXT(ROW()-4,"0000"))</f>
        <v>0</v>
      </c>
      <c r="D485" s="15">
        <f>IF(C485="","",IFERROR(INDEX(Clients!$B$5:$B$504,MATCH(C485,Clients!$A$5:$A$504,0)),"Walk-in"))</f>
        <v>0</v>
      </c>
      <c r="K485" s="15">
        <f>IF(J485="","",IFERROR(INDEX(Staff!$B$5:$B$44,MATCH(J485,Staff!$A$5:$A$44,0)),""))</f>
        <v>0</v>
      </c>
      <c r="O485" s="15">
        <f>IF(B485="","",TEXT(B485,"yyyy-mm"))</f>
        <v>0</v>
      </c>
      <c r="P485" s="25">
        <f>IF(B485="","",WEEKNUM(B485,2))</f>
        <v>0</v>
      </c>
      <c r="Q485" s="38">
        <f>IF(B485="","",IF(E485="Tip","No",IF(E485="Refund","No","Yes")))</f>
        <v>0</v>
      </c>
      <c r="R485" s="25">
        <f>IF(B485="","",IF(E485="Refund",-1,1))</f>
        <v>0</v>
      </c>
      <c r="S485" s="26">
        <f>IF(B485="","",IF(G485="",0,IF(F485="Card",ROUND(G485*CardFeePercent+CardFeeFixed,2),IF(F485="Online deposit",ROUND(G485*CardFeePercent+CardFeeFixed,2),0))))</f>
        <v>0</v>
      </c>
      <c r="T485" s="26">
        <f>IF(B485="","",ROUND(IF(G485="",0,G485)*R485-S485,2))</f>
        <v>0</v>
      </c>
      <c r="U485" s="38">
        <f>IF(B485="","",IF(E485="Tip","Yes","No"))</f>
        <v>0</v>
      </c>
      <c r="V485" s="15">
        <f>IF(B485="","",IF(H485&lt;&gt;"","Sale "&amp;H485,IF(I485&lt;&gt;"","Booking "&amp;I485,IF(E485="Tip","Stylist","Unapplied"))))</f>
        <v>0</v>
      </c>
      <c r="W485" s="39">
        <f>IF(B485="","",IF(G485="","Add - no amount yet",IF(E485="","Add - what was this for?",IF(IF(H485="",FALSE,COUNTIF(Sales!$A$5:$A$1204,H485)=0),"Missing - no sale with that ID",IF(IF(I485="",FALSE,COUNTIF(Appointments!$A$5:$A$1204,I485)=0),"Missing - no booking with that ID",IF(IF(E485="Tip",J485="",FALSE),"Assign - whose tip is it?",IF(IF(E485="Deposit",IF(H485="",I485="",FALSE),FALSE),"Check - deposit not tied to a booking",IF(M485="No","Due - not reconciled yet","OK"))))))))</f>
        <v>0</v>
      </c>
    </row>
    <row r="486" spans="1:23">
      <c r="A486" s="28">
        <f>IF(B486="","",PaymentPrefix&amp;TEXT(ROW()-4,"0000"))</f>
        <v>0</v>
      </c>
      <c r="D486" s="15">
        <f>IF(C486="","",IFERROR(INDEX(Clients!$B$5:$B$504,MATCH(C486,Clients!$A$5:$A$504,0)),"Walk-in"))</f>
        <v>0</v>
      </c>
      <c r="K486" s="15">
        <f>IF(J486="","",IFERROR(INDEX(Staff!$B$5:$B$44,MATCH(J486,Staff!$A$5:$A$44,0)),""))</f>
        <v>0</v>
      </c>
      <c r="O486" s="15">
        <f>IF(B486="","",TEXT(B486,"yyyy-mm"))</f>
        <v>0</v>
      </c>
      <c r="P486" s="25">
        <f>IF(B486="","",WEEKNUM(B486,2))</f>
        <v>0</v>
      </c>
      <c r="Q486" s="38">
        <f>IF(B486="","",IF(E486="Tip","No",IF(E486="Refund","No","Yes")))</f>
        <v>0</v>
      </c>
      <c r="R486" s="25">
        <f>IF(B486="","",IF(E486="Refund",-1,1))</f>
        <v>0</v>
      </c>
      <c r="S486" s="26">
        <f>IF(B486="","",IF(G486="",0,IF(F486="Card",ROUND(G486*CardFeePercent+CardFeeFixed,2),IF(F486="Online deposit",ROUND(G486*CardFeePercent+CardFeeFixed,2),0))))</f>
        <v>0</v>
      </c>
      <c r="T486" s="26">
        <f>IF(B486="","",ROUND(IF(G486="",0,G486)*R486-S486,2))</f>
        <v>0</v>
      </c>
      <c r="U486" s="38">
        <f>IF(B486="","",IF(E486="Tip","Yes","No"))</f>
        <v>0</v>
      </c>
      <c r="V486" s="15">
        <f>IF(B486="","",IF(H486&lt;&gt;"","Sale "&amp;H486,IF(I486&lt;&gt;"","Booking "&amp;I486,IF(E486="Tip","Stylist","Unapplied"))))</f>
        <v>0</v>
      </c>
      <c r="W486" s="39">
        <f>IF(B486="","",IF(G486="","Add - no amount yet",IF(E486="","Add - what was this for?",IF(IF(H486="",FALSE,COUNTIF(Sales!$A$5:$A$1204,H486)=0),"Missing - no sale with that ID",IF(IF(I486="",FALSE,COUNTIF(Appointments!$A$5:$A$1204,I486)=0),"Missing - no booking with that ID",IF(IF(E486="Tip",J486="",FALSE),"Assign - whose tip is it?",IF(IF(E486="Deposit",IF(H486="",I486="",FALSE),FALSE),"Check - deposit not tied to a booking",IF(M486="No","Due - not reconciled yet","OK"))))))))</f>
        <v>0</v>
      </c>
    </row>
    <row r="487" spans="1:23">
      <c r="A487" s="28">
        <f>IF(B487="","",PaymentPrefix&amp;TEXT(ROW()-4,"0000"))</f>
        <v>0</v>
      </c>
      <c r="D487" s="15">
        <f>IF(C487="","",IFERROR(INDEX(Clients!$B$5:$B$504,MATCH(C487,Clients!$A$5:$A$504,0)),"Walk-in"))</f>
        <v>0</v>
      </c>
      <c r="K487" s="15">
        <f>IF(J487="","",IFERROR(INDEX(Staff!$B$5:$B$44,MATCH(J487,Staff!$A$5:$A$44,0)),""))</f>
        <v>0</v>
      </c>
      <c r="O487" s="15">
        <f>IF(B487="","",TEXT(B487,"yyyy-mm"))</f>
        <v>0</v>
      </c>
      <c r="P487" s="25">
        <f>IF(B487="","",WEEKNUM(B487,2))</f>
        <v>0</v>
      </c>
      <c r="Q487" s="38">
        <f>IF(B487="","",IF(E487="Tip","No",IF(E487="Refund","No","Yes")))</f>
        <v>0</v>
      </c>
      <c r="R487" s="25">
        <f>IF(B487="","",IF(E487="Refund",-1,1))</f>
        <v>0</v>
      </c>
      <c r="S487" s="26">
        <f>IF(B487="","",IF(G487="",0,IF(F487="Card",ROUND(G487*CardFeePercent+CardFeeFixed,2),IF(F487="Online deposit",ROUND(G487*CardFeePercent+CardFeeFixed,2),0))))</f>
        <v>0</v>
      </c>
      <c r="T487" s="26">
        <f>IF(B487="","",ROUND(IF(G487="",0,G487)*R487-S487,2))</f>
        <v>0</v>
      </c>
      <c r="U487" s="38">
        <f>IF(B487="","",IF(E487="Tip","Yes","No"))</f>
        <v>0</v>
      </c>
      <c r="V487" s="15">
        <f>IF(B487="","",IF(H487&lt;&gt;"","Sale "&amp;H487,IF(I487&lt;&gt;"","Booking "&amp;I487,IF(E487="Tip","Stylist","Unapplied"))))</f>
        <v>0</v>
      </c>
      <c r="W487" s="39">
        <f>IF(B487="","",IF(G487="","Add - no amount yet",IF(E487="","Add - what was this for?",IF(IF(H487="",FALSE,COUNTIF(Sales!$A$5:$A$1204,H487)=0),"Missing - no sale with that ID",IF(IF(I487="",FALSE,COUNTIF(Appointments!$A$5:$A$1204,I487)=0),"Missing - no booking with that ID",IF(IF(E487="Tip",J487="",FALSE),"Assign - whose tip is it?",IF(IF(E487="Deposit",IF(H487="",I487="",FALSE),FALSE),"Check - deposit not tied to a booking",IF(M487="No","Due - not reconciled yet","OK"))))))))</f>
        <v>0</v>
      </c>
    </row>
    <row r="488" spans="1:23">
      <c r="A488" s="28">
        <f>IF(B488="","",PaymentPrefix&amp;TEXT(ROW()-4,"0000"))</f>
        <v>0</v>
      </c>
      <c r="D488" s="15">
        <f>IF(C488="","",IFERROR(INDEX(Clients!$B$5:$B$504,MATCH(C488,Clients!$A$5:$A$504,0)),"Walk-in"))</f>
        <v>0</v>
      </c>
      <c r="K488" s="15">
        <f>IF(J488="","",IFERROR(INDEX(Staff!$B$5:$B$44,MATCH(J488,Staff!$A$5:$A$44,0)),""))</f>
        <v>0</v>
      </c>
      <c r="O488" s="15">
        <f>IF(B488="","",TEXT(B488,"yyyy-mm"))</f>
        <v>0</v>
      </c>
      <c r="P488" s="25">
        <f>IF(B488="","",WEEKNUM(B488,2))</f>
        <v>0</v>
      </c>
      <c r="Q488" s="38">
        <f>IF(B488="","",IF(E488="Tip","No",IF(E488="Refund","No","Yes")))</f>
        <v>0</v>
      </c>
      <c r="R488" s="25">
        <f>IF(B488="","",IF(E488="Refund",-1,1))</f>
        <v>0</v>
      </c>
      <c r="S488" s="26">
        <f>IF(B488="","",IF(G488="",0,IF(F488="Card",ROUND(G488*CardFeePercent+CardFeeFixed,2),IF(F488="Online deposit",ROUND(G488*CardFeePercent+CardFeeFixed,2),0))))</f>
        <v>0</v>
      </c>
      <c r="T488" s="26">
        <f>IF(B488="","",ROUND(IF(G488="",0,G488)*R488-S488,2))</f>
        <v>0</v>
      </c>
      <c r="U488" s="38">
        <f>IF(B488="","",IF(E488="Tip","Yes","No"))</f>
        <v>0</v>
      </c>
      <c r="V488" s="15">
        <f>IF(B488="","",IF(H488&lt;&gt;"","Sale "&amp;H488,IF(I488&lt;&gt;"","Booking "&amp;I488,IF(E488="Tip","Stylist","Unapplied"))))</f>
        <v>0</v>
      </c>
      <c r="W488" s="39">
        <f>IF(B488="","",IF(G488="","Add - no amount yet",IF(E488="","Add - what was this for?",IF(IF(H488="",FALSE,COUNTIF(Sales!$A$5:$A$1204,H488)=0),"Missing - no sale with that ID",IF(IF(I488="",FALSE,COUNTIF(Appointments!$A$5:$A$1204,I488)=0),"Missing - no booking with that ID",IF(IF(E488="Tip",J488="",FALSE),"Assign - whose tip is it?",IF(IF(E488="Deposit",IF(H488="",I488="",FALSE),FALSE),"Check - deposit not tied to a booking",IF(M488="No","Due - not reconciled yet","OK"))))))))</f>
        <v>0</v>
      </c>
    </row>
    <row r="489" spans="1:23">
      <c r="A489" s="28">
        <f>IF(B489="","",PaymentPrefix&amp;TEXT(ROW()-4,"0000"))</f>
        <v>0</v>
      </c>
      <c r="D489" s="15">
        <f>IF(C489="","",IFERROR(INDEX(Clients!$B$5:$B$504,MATCH(C489,Clients!$A$5:$A$504,0)),"Walk-in"))</f>
        <v>0</v>
      </c>
      <c r="K489" s="15">
        <f>IF(J489="","",IFERROR(INDEX(Staff!$B$5:$B$44,MATCH(J489,Staff!$A$5:$A$44,0)),""))</f>
        <v>0</v>
      </c>
      <c r="O489" s="15">
        <f>IF(B489="","",TEXT(B489,"yyyy-mm"))</f>
        <v>0</v>
      </c>
      <c r="P489" s="25">
        <f>IF(B489="","",WEEKNUM(B489,2))</f>
        <v>0</v>
      </c>
      <c r="Q489" s="38">
        <f>IF(B489="","",IF(E489="Tip","No",IF(E489="Refund","No","Yes")))</f>
        <v>0</v>
      </c>
      <c r="R489" s="25">
        <f>IF(B489="","",IF(E489="Refund",-1,1))</f>
        <v>0</v>
      </c>
      <c r="S489" s="26">
        <f>IF(B489="","",IF(G489="",0,IF(F489="Card",ROUND(G489*CardFeePercent+CardFeeFixed,2),IF(F489="Online deposit",ROUND(G489*CardFeePercent+CardFeeFixed,2),0))))</f>
        <v>0</v>
      </c>
      <c r="T489" s="26">
        <f>IF(B489="","",ROUND(IF(G489="",0,G489)*R489-S489,2))</f>
        <v>0</v>
      </c>
      <c r="U489" s="38">
        <f>IF(B489="","",IF(E489="Tip","Yes","No"))</f>
        <v>0</v>
      </c>
      <c r="V489" s="15">
        <f>IF(B489="","",IF(H489&lt;&gt;"","Sale "&amp;H489,IF(I489&lt;&gt;"","Booking "&amp;I489,IF(E489="Tip","Stylist","Unapplied"))))</f>
        <v>0</v>
      </c>
      <c r="W489" s="39">
        <f>IF(B489="","",IF(G489="","Add - no amount yet",IF(E489="","Add - what was this for?",IF(IF(H489="",FALSE,COUNTIF(Sales!$A$5:$A$1204,H489)=0),"Missing - no sale with that ID",IF(IF(I489="",FALSE,COUNTIF(Appointments!$A$5:$A$1204,I489)=0),"Missing - no booking with that ID",IF(IF(E489="Tip",J489="",FALSE),"Assign - whose tip is it?",IF(IF(E489="Deposit",IF(H489="",I489="",FALSE),FALSE),"Check - deposit not tied to a booking",IF(M489="No","Due - not reconciled yet","OK"))))))))</f>
        <v>0</v>
      </c>
    </row>
    <row r="490" spans="1:23">
      <c r="A490" s="28">
        <f>IF(B490="","",PaymentPrefix&amp;TEXT(ROW()-4,"0000"))</f>
        <v>0</v>
      </c>
      <c r="D490" s="15">
        <f>IF(C490="","",IFERROR(INDEX(Clients!$B$5:$B$504,MATCH(C490,Clients!$A$5:$A$504,0)),"Walk-in"))</f>
        <v>0</v>
      </c>
      <c r="K490" s="15">
        <f>IF(J490="","",IFERROR(INDEX(Staff!$B$5:$B$44,MATCH(J490,Staff!$A$5:$A$44,0)),""))</f>
        <v>0</v>
      </c>
      <c r="O490" s="15">
        <f>IF(B490="","",TEXT(B490,"yyyy-mm"))</f>
        <v>0</v>
      </c>
      <c r="P490" s="25">
        <f>IF(B490="","",WEEKNUM(B490,2))</f>
        <v>0</v>
      </c>
      <c r="Q490" s="38">
        <f>IF(B490="","",IF(E490="Tip","No",IF(E490="Refund","No","Yes")))</f>
        <v>0</v>
      </c>
      <c r="R490" s="25">
        <f>IF(B490="","",IF(E490="Refund",-1,1))</f>
        <v>0</v>
      </c>
      <c r="S490" s="26">
        <f>IF(B490="","",IF(G490="",0,IF(F490="Card",ROUND(G490*CardFeePercent+CardFeeFixed,2),IF(F490="Online deposit",ROUND(G490*CardFeePercent+CardFeeFixed,2),0))))</f>
        <v>0</v>
      </c>
      <c r="T490" s="26">
        <f>IF(B490="","",ROUND(IF(G490="",0,G490)*R490-S490,2))</f>
        <v>0</v>
      </c>
      <c r="U490" s="38">
        <f>IF(B490="","",IF(E490="Tip","Yes","No"))</f>
        <v>0</v>
      </c>
      <c r="V490" s="15">
        <f>IF(B490="","",IF(H490&lt;&gt;"","Sale "&amp;H490,IF(I490&lt;&gt;"","Booking "&amp;I490,IF(E490="Tip","Stylist","Unapplied"))))</f>
        <v>0</v>
      </c>
      <c r="W490" s="39">
        <f>IF(B490="","",IF(G490="","Add - no amount yet",IF(E490="","Add - what was this for?",IF(IF(H490="",FALSE,COUNTIF(Sales!$A$5:$A$1204,H490)=0),"Missing - no sale with that ID",IF(IF(I490="",FALSE,COUNTIF(Appointments!$A$5:$A$1204,I490)=0),"Missing - no booking with that ID",IF(IF(E490="Tip",J490="",FALSE),"Assign - whose tip is it?",IF(IF(E490="Deposit",IF(H490="",I490="",FALSE),FALSE),"Check - deposit not tied to a booking",IF(M490="No","Due - not reconciled yet","OK"))))))))</f>
        <v>0</v>
      </c>
    </row>
    <row r="491" spans="1:23">
      <c r="A491" s="28">
        <f>IF(B491="","",PaymentPrefix&amp;TEXT(ROW()-4,"0000"))</f>
        <v>0</v>
      </c>
      <c r="D491" s="15">
        <f>IF(C491="","",IFERROR(INDEX(Clients!$B$5:$B$504,MATCH(C491,Clients!$A$5:$A$504,0)),"Walk-in"))</f>
        <v>0</v>
      </c>
      <c r="K491" s="15">
        <f>IF(J491="","",IFERROR(INDEX(Staff!$B$5:$B$44,MATCH(J491,Staff!$A$5:$A$44,0)),""))</f>
        <v>0</v>
      </c>
      <c r="O491" s="15">
        <f>IF(B491="","",TEXT(B491,"yyyy-mm"))</f>
        <v>0</v>
      </c>
      <c r="P491" s="25">
        <f>IF(B491="","",WEEKNUM(B491,2))</f>
        <v>0</v>
      </c>
      <c r="Q491" s="38">
        <f>IF(B491="","",IF(E491="Tip","No",IF(E491="Refund","No","Yes")))</f>
        <v>0</v>
      </c>
      <c r="R491" s="25">
        <f>IF(B491="","",IF(E491="Refund",-1,1))</f>
        <v>0</v>
      </c>
      <c r="S491" s="26">
        <f>IF(B491="","",IF(G491="",0,IF(F491="Card",ROUND(G491*CardFeePercent+CardFeeFixed,2),IF(F491="Online deposit",ROUND(G491*CardFeePercent+CardFeeFixed,2),0))))</f>
        <v>0</v>
      </c>
      <c r="T491" s="26">
        <f>IF(B491="","",ROUND(IF(G491="",0,G491)*R491-S491,2))</f>
        <v>0</v>
      </c>
      <c r="U491" s="38">
        <f>IF(B491="","",IF(E491="Tip","Yes","No"))</f>
        <v>0</v>
      </c>
      <c r="V491" s="15">
        <f>IF(B491="","",IF(H491&lt;&gt;"","Sale "&amp;H491,IF(I491&lt;&gt;"","Booking "&amp;I491,IF(E491="Tip","Stylist","Unapplied"))))</f>
        <v>0</v>
      </c>
      <c r="W491" s="39">
        <f>IF(B491="","",IF(G491="","Add - no amount yet",IF(E491="","Add - what was this for?",IF(IF(H491="",FALSE,COUNTIF(Sales!$A$5:$A$1204,H491)=0),"Missing - no sale with that ID",IF(IF(I491="",FALSE,COUNTIF(Appointments!$A$5:$A$1204,I491)=0),"Missing - no booking with that ID",IF(IF(E491="Tip",J491="",FALSE),"Assign - whose tip is it?",IF(IF(E491="Deposit",IF(H491="",I491="",FALSE),FALSE),"Check - deposit not tied to a booking",IF(M491="No","Due - not reconciled yet","OK"))))))))</f>
        <v>0</v>
      </c>
    </row>
    <row r="492" spans="1:23">
      <c r="A492" s="28">
        <f>IF(B492="","",PaymentPrefix&amp;TEXT(ROW()-4,"0000"))</f>
        <v>0</v>
      </c>
      <c r="D492" s="15">
        <f>IF(C492="","",IFERROR(INDEX(Clients!$B$5:$B$504,MATCH(C492,Clients!$A$5:$A$504,0)),"Walk-in"))</f>
        <v>0</v>
      </c>
      <c r="K492" s="15">
        <f>IF(J492="","",IFERROR(INDEX(Staff!$B$5:$B$44,MATCH(J492,Staff!$A$5:$A$44,0)),""))</f>
        <v>0</v>
      </c>
      <c r="O492" s="15">
        <f>IF(B492="","",TEXT(B492,"yyyy-mm"))</f>
        <v>0</v>
      </c>
      <c r="P492" s="25">
        <f>IF(B492="","",WEEKNUM(B492,2))</f>
        <v>0</v>
      </c>
      <c r="Q492" s="38">
        <f>IF(B492="","",IF(E492="Tip","No",IF(E492="Refund","No","Yes")))</f>
        <v>0</v>
      </c>
      <c r="R492" s="25">
        <f>IF(B492="","",IF(E492="Refund",-1,1))</f>
        <v>0</v>
      </c>
      <c r="S492" s="26">
        <f>IF(B492="","",IF(G492="",0,IF(F492="Card",ROUND(G492*CardFeePercent+CardFeeFixed,2),IF(F492="Online deposit",ROUND(G492*CardFeePercent+CardFeeFixed,2),0))))</f>
        <v>0</v>
      </c>
      <c r="T492" s="26">
        <f>IF(B492="","",ROUND(IF(G492="",0,G492)*R492-S492,2))</f>
        <v>0</v>
      </c>
      <c r="U492" s="38">
        <f>IF(B492="","",IF(E492="Tip","Yes","No"))</f>
        <v>0</v>
      </c>
      <c r="V492" s="15">
        <f>IF(B492="","",IF(H492&lt;&gt;"","Sale "&amp;H492,IF(I492&lt;&gt;"","Booking "&amp;I492,IF(E492="Tip","Stylist","Unapplied"))))</f>
        <v>0</v>
      </c>
      <c r="W492" s="39">
        <f>IF(B492="","",IF(G492="","Add - no amount yet",IF(E492="","Add - what was this for?",IF(IF(H492="",FALSE,COUNTIF(Sales!$A$5:$A$1204,H492)=0),"Missing - no sale with that ID",IF(IF(I492="",FALSE,COUNTIF(Appointments!$A$5:$A$1204,I492)=0),"Missing - no booking with that ID",IF(IF(E492="Tip",J492="",FALSE),"Assign - whose tip is it?",IF(IF(E492="Deposit",IF(H492="",I492="",FALSE),FALSE),"Check - deposit not tied to a booking",IF(M492="No","Due - not reconciled yet","OK"))))))))</f>
        <v>0</v>
      </c>
    </row>
    <row r="493" spans="1:23">
      <c r="A493" s="28">
        <f>IF(B493="","",PaymentPrefix&amp;TEXT(ROW()-4,"0000"))</f>
        <v>0</v>
      </c>
      <c r="D493" s="15">
        <f>IF(C493="","",IFERROR(INDEX(Clients!$B$5:$B$504,MATCH(C493,Clients!$A$5:$A$504,0)),"Walk-in"))</f>
        <v>0</v>
      </c>
      <c r="K493" s="15">
        <f>IF(J493="","",IFERROR(INDEX(Staff!$B$5:$B$44,MATCH(J493,Staff!$A$5:$A$44,0)),""))</f>
        <v>0</v>
      </c>
      <c r="O493" s="15">
        <f>IF(B493="","",TEXT(B493,"yyyy-mm"))</f>
        <v>0</v>
      </c>
      <c r="P493" s="25">
        <f>IF(B493="","",WEEKNUM(B493,2))</f>
        <v>0</v>
      </c>
      <c r="Q493" s="38">
        <f>IF(B493="","",IF(E493="Tip","No",IF(E493="Refund","No","Yes")))</f>
        <v>0</v>
      </c>
      <c r="R493" s="25">
        <f>IF(B493="","",IF(E493="Refund",-1,1))</f>
        <v>0</v>
      </c>
      <c r="S493" s="26">
        <f>IF(B493="","",IF(G493="",0,IF(F493="Card",ROUND(G493*CardFeePercent+CardFeeFixed,2),IF(F493="Online deposit",ROUND(G493*CardFeePercent+CardFeeFixed,2),0))))</f>
        <v>0</v>
      </c>
      <c r="T493" s="26">
        <f>IF(B493="","",ROUND(IF(G493="",0,G493)*R493-S493,2))</f>
        <v>0</v>
      </c>
      <c r="U493" s="38">
        <f>IF(B493="","",IF(E493="Tip","Yes","No"))</f>
        <v>0</v>
      </c>
      <c r="V493" s="15">
        <f>IF(B493="","",IF(H493&lt;&gt;"","Sale "&amp;H493,IF(I493&lt;&gt;"","Booking "&amp;I493,IF(E493="Tip","Stylist","Unapplied"))))</f>
        <v>0</v>
      </c>
      <c r="W493" s="39">
        <f>IF(B493="","",IF(G493="","Add - no amount yet",IF(E493="","Add - what was this for?",IF(IF(H493="",FALSE,COUNTIF(Sales!$A$5:$A$1204,H493)=0),"Missing - no sale with that ID",IF(IF(I493="",FALSE,COUNTIF(Appointments!$A$5:$A$1204,I493)=0),"Missing - no booking with that ID",IF(IF(E493="Tip",J493="",FALSE),"Assign - whose tip is it?",IF(IF(E493="Deposit",IF(H493="",I493="",FALSE),FALSE),"Check - deposit not tied to a booking",IF(M493="No","Due - not reconciled yet","OK"))))))))</f>
        <v>0</v>
      </c>
    </row>
    <row r="494" spans="1:23">
      <c r="A494" s="28">
        <f>IF(B494="","",PaymentPrefix&amp;TEXT(ROW()-4,"0000"))</f>
        <v>0</v>
      </c>
      <c r="D494" s="15">
        <f>IF(C494="","",IFERROR(INDEX(Clients!$B$5:$B$504,MATCH(C494,Clients!$A$5:$A$504,0)),"Walk-in"))</f>
        <v>0</v>
      </c>
      <c r="K494" s="15">
        <f>IF(J494="","",IFERROR(INDEX(Staff!$B$5:$B$44,MATCH(J494,Staff!$A$5:$A$44,0)),""))</f>
        <v>0</v>
      </c>
      <c r="O494" s="15">
        <f>IF(B494="","",TEXT(B494,"yyyy-mm"))</f>
        <v>0</v>
      </c>
      <c r="P494" s="25">
        <f>IF(B494="","",WEEKNUM(B494,2))</f>
        <v>0</v>
      </c>
      <c r="Q494" s="38">
        <f>IF(B494="","",IF(E494="Tip","No",IF(E494="Refund","No","Yes")))</f>
        <v>0</v>
      </c>
      <c r="R494" s="25">
        <f>IF(B494="","",IF(E494="Refund",-1,1))</f>
        <v>0</v>
      </c>
      <c r="S494" s="26">
        <f>IF(B494="","",IF(G494="",0,IF(F494="Card",ROUND(G494*CardFeePercent+CardFeeFixed,2),IF(F494="Online deposit",ROUND(G494*CardFeePercent+CardFeeFixed,2),0))))</f>
        <v>0</v>
      </c>
      <c r="T494" s="26">
        <f>IF(B494="","",ROUND(IF(G494="",0,G494)*R494-S494,2))</f>
        <v>0</v>
      </c>
      <c r="U494" s="38">
        <f>IF(B494="","",IF(E494="Tip","Yes","No"))</f>
        <v>0</v>
      </c>
      <c r="V494" s="15">
        <f>IF(B494="","",IF(H494&lt;&gt;"","Sale "&amp;H494,IF(I494&lt;&gt;"","Booking "&amp;I494,IF(E494="Tip","Stylist","Unapplied"))))</f>
        <v>0</v>
      </c>
      <c r="W494" s="39">
        <f>IF(B494="","",IF(G494="","Add - no amount yet",IF(E494="","Add - what was this for?",IF(IF(H494="",FALSE,COUNTIF(Sales!$A$5:$A$1204,H494)=0),"Missing - no sale with that ID",IF(IF(I494="",FALSE,COUNTIF(Appointments!$A$5:$A$1204,I494)=0),"Missing - no booking with that ID",IF(IF(E494="Tip",J494="",FALSE),"Assign - whose tip is it?",IF(IF(E494="Deposit",IF(H494="",I494="",FALSE),FALSE),"Check - deposit not tied to a booking",IF(M494="No","Due - not reconciled yet","OK"))))))))</f>
        <v>0</v>
      </c>
    </row>
    <row r="495" spans="1:23">
      <c r="A495" s="28">
        <f>IF(B495="","",PaymentPrefix&amp;TEXT(ROW()-4,"0000"))</f>
        <v>0</v>
      </c>
      <c r="D495" s="15">
        <f>IF(C495="","",IFERROR(INDEX(Clients!$B$5:$B$504,MATCH(C495,Clients!$A$5:$A$504,0)),"Walk-in"))</f>
        <v>0</v>
      </c>
      <c r="K495" s="15">
        <f>IF(J495="","",IFERROR(INDEX(Staff!$B$5:$B$44,MATCH(J495,Staff!$A$5:$A$44,0)),""))</f>
        <v>0</v>
      </c>
      <c r="O495" s="15">
        <f>IF(B495="","",TEXT(B495,"yyyy-mm"))</f>
        <v>0</v>
      </c>
      <c r="P495" s="25">
        <f>IF(B495="","",WEEKNUM(B495,2))</f>
        <v>0</v>
      </c>
      <c r="Q495" s="38">
        <f>IF(B495="","",IF(E495="Tip","No",IF(E495="Refund","No","Yes")))</f>
        <v>0</v>
      </c>
      <c r="R495" s="25">
        <f>IF(B495="","",IF(E495="Refund",-1,1))</f>
        <v>0</v>
      </c>
      <c r="S495" s="26">
        <f>IF(B495="","",IF(G495="",0,IF(F495="Card",ROUND(G495*CardFeePercent+CardFeeFixed,2),IF(F495="Online deposit",ROUND(G495*CardFeePercent+CardFeeFixed,2),0))))</f>
        <v>0</v>
      </c>
      <c r="T495" s="26">
        <f>IF(B495="","",ROUND(IF(G495="",0,G495)*R495-S495,2))</f>
        <v>0</v>
      </c>
      <c r="U495" s="38">
        <f>IF(B495="","",IF(E495="Tip","Yes","No"))</f>
        <v>0</v>
      </c>
      <c r="V495" s="15">
        <f>IF(B495="","",IF(H495&lt;&gt;"","Sale "&amp;H495,IF(I495&lt;&gt;"","Booking "&amp;I495,IF(E495="Tip","Stylist","Unapplied"))))</f>
        <v>0</v>
      </c>
      <c r="W495" s="39">
        <f>IF(B495="","",IF(G495="","Add - no amount yet",IF(E495="","Add - what was this for?",IF(IF(H495="",FALSE,COUNTIF(Sales!$A$5:$A$1204,H495)=0),"Missing - no sale with that ID",IF(IF(I495="",FALSE,COUNTIF(Appointments!$A$5:$A$1204,I495)=0),"Missing - no booking with that ID",IF(IF(E495="Tip",J495="",FALSE),"Assign - whose tip is it?",IF(IF(E495="Deposit",IF(H495="",I495="",FALSE),FALSE),"Check - deposit not tied to a booking",IF(M495="No","Due - not reconciled yet","OK"))))))))</f>
        <v>0</v>
      </c>
    </row>
    <row r="496" spans="1:23">
      <c r="A496" s="28">
        <f>IF(B496="","",PaymentPrefix&amp;TEXT(ROW()-4,"0000"))</f>
        <v>0</v>
      </c>
      <c r="D496" s="15">
        <f>IF(C496="","",IFERROR(INDEX(Clients!$B$5:$B$504,MATCH(C496,Clients!$A$5:$A$504,0)),"Walk-in"))</f>
        <v>0</v>
      </c>
      <c r="K496" s="15">
        <f>IF(J496="","",IFERROR(INDEX(Staff!$B$5:$B$44,MATCH(J496,Staff!$A$5:$A$44,0)),""))</f>
        <v>0</v>
      </c>
      <c r="O496" s="15">
        <f>IF(B496="","",TEXT(B496,"yyyy-mm"))</f>
        <v>0</v>
      </c>
      <c r="P496" s="25">
        <f>IF(B496="","",WEEKNUM(B496,2))</f>
        <v>0</v>
      </c>
      <c r="Q496" s="38">
        <f>IF(B496="","",IF(E496="Tip","No",IF(E496="Refund","No","Yes")))</f>
        <v>0</v>
      </c>
      <c r="R496" s="25">
        <f>IF(B496="","",IF(E496="Refund",-1,1))</f>
        <v>0</v>
      </c>
      <c r="S496" s="26">
        <f>IF(B496="","",IF(G496="",0,IF(F496="Card",ROUND(G496*CardFeePercent+CardFeeFixed,2),IF(F496="Online deposit",ROUND(G496*CardFeePercent+CardFeeFixed,2),0))))</f>
        <v>0</v>
      </c>
      <c r="T496" s="26">
        <f>IF(B496="","",ROUND(IF(G496="",0,G496)*R496-S496,2))</f>
        <v>0</v>
      </c>
      <c r="U496" s="38">
        <f>IF(B496="","",IF(E496="Tip","Yes","No"))</f>
        <v>0</v>
      </c>
      <c r="V496" s="15">
        <f>IF(B496="","",IF(H496&lt;&gt;"","Sale "&amp;H496,IF(I496&lt;&gt;"","Booking "&amp;I496,IF(E496="Tip","Stylist","Unapplied"))))</f>
        <v>0</v>
      </c>
      <c r="W496" s="39">
        <f>IF(B496="","",IF(G496="","Add - no amount yet",IF(E496="","Add - what was this for?",IF(IF(H496="",FALSE,COUNTIF(Sales!$A$5:$A$1204,H496)=0),"Missing - no sale with that ID",IF(IF(I496="",FALSE,COUNTIF(Appointments!$A$5:$A$1204,I496)=0),"Missing - no booking with that ID",IF(IF(E496="Tip",J496="",FALSE),"Assign - whose tip is it?",IF(IF(E496="Deposit",IF(H496="",I496="",FALSE),FALSE),"Check - deposit not tied to a booking",IF(M496="No","Due - not reconciled yet","OK"))))))))</f>
        <v>0</v>
      </c>
    </row>
    <row r="497" spans="1:23">
      <c r="A497" s="28">
        <f>IF(B497="","",PaymentPrefix&amp;TEXT(ROW()-4,"0000"))</f>
        <v>0</v>
      </c>
      <c r="D497" s="15">
        <f>IF(C497="","",IFERROR(INDEX(Clients!$B$5:$B$504,MATCH(C497,Clients!$A$5:$A$504,0)),"Walk-in"))</f>
        <v>0</v>
      </c>
      <c r="K497" s="15">
        <f>IF(J497="","",IFERROR(INDEX(Staff!$B$5:$B$44,MATCH(J497,Staff!$A$5:$A$44,0)),""))</f>
        <v>0</v>
      </c>
      <c r="O497" s="15">
        <f>IF(B497="","",TEXT(B497,"yyyy-mm"))</f>
        <v>0</v>
      </c>
      <c r="P497" s="25">
        <f>IF(B497="","",WEEKNUM(B497,2))</f>
        <v>0</v>
      </c>
      <c r="Q497" s="38">
        <f>IF(B497="","",IF(E497="Tip","No",IF(E497="Refund","No","Yes")))</f>
        <v>0</v>
      </c>
      <c r="R497" s="25">
        <f>IF(B497="","",IF(E497="Refund",-1,1))</f>
        <v>0</v>
      </c>
      <c r="S497" s="26">
        <f>IF(B497="","",IF(G497="",0,IF(F497="Card",ROUND(G497*CardFeePercent+CardFeeFixed,2),IF(F497="Online deposit",ROUND(G497*CardFeePercent+CardFeeFixed,2),0))))</f>
        <v>0</v>
      </c>
      <c r="T497" s="26">
        <f>IF(B497="","",ROUND(IF(G497="",0,G497)*R497-S497,2))</f>
        <v>0</v>
      </c>
      <c r="U497" s="38">
        <f>IF(B497="","",IF(E497="Tip","Yes","No"))</f>
        <v>0</v>
      </c>
      <c r="V497" s="15">
        <f>IF(B497="","",IF(H497&lt;&gt;"","Sale "&amp;H497,IF(I497&lt;&gt;"","Booking "&amp;I497,IF(E497="Tip","Stylist","Unapplied"))))</f>
        <v>0</v>
      </c>
      <c r="W497" s="39">
        <f>IF(B497="","",IF(G497="","Add - no amount yet",IF(E497="","Add - what was this for?",IF(IF(H497="",FALSE,COUNTIF(Sales!$A$5:$A$1204,H497)=0),"Missing - no sale with that ID",IF(IF(I497="",FALSE,COUNTIF(Appointments!$A$5:$A$1204,I497)=0),"Missing - no booking with that ID",IF(IF(E497="Tip",J497="",FALSE),"Assign - whose tip is it?",IF(IF(E497="Deposit",IF(H497="",I497="",FALSE),FALSE),"Check - deposit not tied to a booking",IF(M497="No","Due - not reconciled yet","OK"))))))))</f>
        <v>0</v>
      </c>
    </row>
    <row r="498" spans="1:23">
      <c r="A498" s="28">
        <f>IF(B498="","",PaymentPrefix&amp;TEXT(ROW()-4,"0000"))</f>
        <v>0</v>
      </c>
      <c r="D498" s="15">
        <f>IF(C498="","",IFERROR(INDEX(Clients!$B$5:$B$504,MATCH(C498,Clients!$A$5:$A$504,0)),"Walk-in"))</f>
        <v>0</v>
      </c>
      <c r="K498" s="15">
        <f>IF(J498="","",IFERROR(INDEX(Staff!$B$5:$B$44,MATCH(J498,Staff!$A$5:$A$44,0)),""))</f>
        <v>0</v>
      </c>
      <c r="O498" s="15">
        <f>IF(B498="","",TEXT(B498,"yyyy-mm"))</f>
        <v>0</v>
      </c>
      <c r="P498" s="25">
        <f>IF(B498="","",WEEKNUM(B498,2))</f>
        <v>0</v>
      </c>
      <c r="Q498" s="38">
        <f>IF(B498="","",IF(E498="Tip","No",IF(E498="Refund","No","Yes")))</f>
        <v>0</v>
      </c>
      <c r="R498" s="25">
        <f>IF(B498="","",IF(E498="Refund",-1,1))</f>
        <v>0</v>
      </c>
      <c r="S498" s="26">
        <f>IF(B498="","",IF(G498="",0,IF(F498="Card",ROUND(G498*CardFeePercent+CardFeeFixed,2),IF(F498="Online deposit",ROUND(G498*CardFeePercent+CardFeeFixed,2),0))))</f>
        <v>0</v>
      </c>
      <c r="T498" s="26">
        <f>IF(B498="","",ROUND(IF(G498="",0,G498)*R498-S498,2))</f>
        <v>0</v>
      </c>
      <c r="U498" s="38">
        <f>IF(B498="","",IF(E498="Tip","Yes","No"))</f>
        <v>0</v>
      </c>
      <c r="V498" s="15">
        <f>IF(B498="","",IF(H498&lt;&gt;"","Sale "&amp;H498,IF(I498&lt;&gt;"","Booking "&amp;I498,IF(E498="Tip","Stylist","Unapplied"))))</f>
        <v>0</v>
      </c>
      <c r="W498" s="39">
        <f>IF(B498="","",IF(G498="","Add - no amount yet",IF(E498="","Add - what was this for?",IF(IF(H498="",FALSE,COUNTIF(Sales!$A$5:$A$1204,H498)=0),"Missing - no sale with that ID",IF(IF(I498="",FALSE,COUNTIF(Appointments!$A$5:$A$1204,I498)=0),"Missing - no booking with that ID",IF(IF(E498="Tip",J498="",FALSE),"Assign - whose tip is it?",IF(IF(E498="Deposit",IF(H498="",I498="",FALSE),FALSE),"Check - deposit not tied to a booking",IF(M498="No","Due - not reconciled yet","OK"))))))))</f>
        <v>0</v>
      </c>
    </row>
    <row r="499" spans="1:23">
      <c r="A499" s="28">
        <f>IF(B499="","",PaymentPrefix&amp;TEXT(ROW()-4,"0000"))</f>
        <v>0</v>
      </c>
      <c r="D499" s="15">
        <f>IF(C499="","",IFERROR(INDEX(Clients!$B$5:$B$504,MATCH(C499,Clients!$A$5:$A$504,0)),"Walk-in"))</f>
        <v>0</v>
      </c>
      <c r="K499" s="15">
        <f>IF(J499="","",IFERROR(INDEX(Staff!$B$5:$B$44,MATCH(J499,Staff!$A$5:$A$44,0)),""))</f>
        <v>0</v>
      </c>
      <c r="O499" s="15">
        <f>IF(B499="","",TEXT(B499,"yyyy-mm"))</f>
        <v>0</v>
      </c>
      <c r="P499" s="25">
        <f>IF(B499="","",WEEKNUM(B499,2))</f>
        <v>0</v>
      </c>
      <c r="Q499" s="38">
        <f>IF(B499="","",IF(E499="Tip","No",IF(E499="Refund","No","Yes")))</f>
        <v>0</v>
      </c>
      <c r="R499" s="25">
        <f>IF(B499="","",IF(E499="Refund",-1,1))</f>
        <v>0</v>
      </c>
      <c r="S499" s="26">
        <f>IF(B499="","",IF(G499="",0,IF(F499="Card",ROUND(G499*CardFeePercent+CardFeeFixed,2),IF(F499="Online deposit",ROUND(G499*CardFeePercent+CardFeeFixed,2),0))))</f>
        <v>0</v>
      </c>
      <c r="T499" s="26">
        <f>IF(B499="","",ROUND(IF(G499="",0,G499)*R499-S499,2))</f>
        <v>0</v>
      </c>
      <c r="U499" s="38">
        <f>IF(B499="","",IF(E499="Tip","Yes","No"))</f>
        <v>0</v>
      </c>
      <c r="V499" s="15">
        <f>IF(B499="","",IF(H499&lt;&gt;"","Sale "&amp;H499,IF(I499&lt;&gt;"","Booking "&amp;I499,IF(E499="Tip","Stylist","Unapplied"))))</f>
        <v>0</v>
      </c>
      <c r="W499" s="39">
        <f>IF(B499="","",IF(G499="","Add - no amount yet",IF(E499="","Add - what was this for?",IF(IF(H499="",FALSE,COUNTIF(Sales!$A$5:$A$1204,H499)=0),"Missing - no sale with that ID",IF(IF(I499="",FALSE,COUNTIF(Appointments!$A$5:$A$1204,I499)=0),"Missing - no booking with that ID",IF(IF(E499="Tip",J499="",FALSE),"Assign - whose tip is it?",IF(IF(E499="Deposit",IF(H499="",I499="",FALSE),FALSE),"Check - deposit not tied to a booking",IF(M499="No","Due - not reconciled yet","OK"))))))))</f>
        <v>0</v>
      </c>
    </row>
    <row r="500" spans="1:23">
      <c r="A500" s="28">
        <f>IF(B500="","",PaymentPrefix&amp;TEXT(ROW()-4,"0000"))</f>
        <v>0</v>
      </c>
      <c r="D500" s="15">
        <f>IF(C500="","",IFERROR(INDEX(Clients!$B$5:$B$504,MATCH(C500,Clients!$A$5:$A$504,0)),"Walk-in"))</f>
        <v>0</v>
      </c>
      <c r="K500" s="15">
        <f>IF(J500="","",IFERROR(INDEX(Staff!$B$5:$B$44,MATCH(J500,Staff!$A$5:$A$44,0)),""))</f>
        <v>0</v>
      </c>
      <c r="O500" s="15">
        <f>IF(B500="","",TEXT(B500,"yyyy-mm"))</f>
        <v>0</v>
      </c>
      <c r="P500" s="25">
        <f>IF(B500="","",WEEKNUM(B500,2))</f>
        <v>0</v>
      </c>
      <c r="Q500" s="38">
        <f>IF(B500="","",IF(E500="Tip","No",IF(E500="Refund","No","Yes")))</f>
        <v>0</v>
      </c>
      <c r="R500" s="25">
        <f>IF(B500="","",IF(E500="Refund",-1,1))</f>
        <v>0</v>
      </c>
      <c r="S500" s="26">
        <f>IF(B500="","",IF(G500="",0,IF(F500="Card",ROUND(G500*CardFeePercent+CardFeeFixed,2),IF(F500="Online deposit",ROUND(G500*CardFeePercent+CardFeeFixed,2),0))))</f>
        <v>0</v>
      </c>
      <c r="T500" s="26">
        <f>IF(B500="","",ROUND(IF(G500="",0,G500)*R500-S500,2))</f>
        <v>0</v>
      </c>
      <c r="U500" s="38">
        <f>IF(B500="","",IF(E500="Tip","Yes","No"))</f>
        <v>0</v>
      </c>
      <c r="V500" s="15">
        <f>IF(B500="","",IF(H500&lt;&gt;"","Sale "&amp;H500,IF(I500&lt;&gt;"","Booking "&amp;I500,IF(E500="Tip","Stylist","Unapplied"))))</f>
        <v>0</v>
      </c>
      <c r="W500" s="39">
        <f>IF(B500="","",IF(G500="","Add - no amount yet",IF(E500="","Add - what was this for?",IF(IF(H500="",FALSE,COUNTIF(Sales!$A$5:$A$1204,H500)=0),"Missing - no sale with that ID",IF(IF(I500="",FALSE,COUNTIF(Appointments!$A$5:$A$1204,I500)=0),"Missing - no booking with that ID",IF(IF(E500="Tip",J500="",FALSE),"Assign - whose tip is it?",IF(IF(E500="Deposit",IF(H500="",I500="",FALSE),FALSE),"Check - deposit not tied to a booking",IF(M500="No","Due - not reconciled yet","OK"))))))))</f>
        <v>0</v>
      </c>
    </row>
    <row r="501" spans="1:23">
      <c r="A501" s="28">
        <f>IF(B501="","",PaymentPrefix&amp;TEXT(ROW()-4,"0000"))</f>
        <v>0</v>
      </c>
      <c r="D501" s="15">
        <f>IF(C501="","",IFERROR(INDEX(Clients!$B$5:$B$504,MATCH(C501,Clients!$A$5:$A$504,0)),"Walk-in"))</f>
        <v>0</v>
      </c>
      <c r="K501" s="15">
        <f>IF(J501="","",IFERROR(INDEX(Staff!$B$5:$B$44,MATCH(J501,Staff!$A$5:$A$44,0)),""))</f>
        <v>0</v>
      </c>
      <c r="O501" s="15">
        <f>IF(B501="","",TEXT(B501,"yyyy-mm"))</f>
        <v>0</v>
      </c>
      <c r="P501" s="25">
        <f>IF(B501="","",WEEKNUM(B501,2))</f>
        <v>0</v>
      </c>
      <c r="Q501" s="38">
        <f>IF(B501="","",IF(E501="Tip","No",IF(E501="Refund","No","Yes")))</f>
        <v>0</v>
      </c>
      <c r="R501" s="25">
        <f>IF(B501="","",IF(E501="Refund",-1,1))</f>
        <v>0</v>
      </c>
      <c r="S501" s="26">
        <f>IF(B501="","",IF(G501="",0,IF(F501="Card",ROUND(G501*CardFeePercent+CardFeeFixed,2),IF(F501="Online deposit",ROUND(G501*CardFeePercent+CardFeeFixed,2),0))))</f>
        <v>0</v>
      </c>
      <c r="T501" s="26">
        <f>IF(B501="","",ROUND(IF(G501="",0,G501)*R501-S501,2))</f>
        <v>0</v>
      </c>
      <c r="U501" s="38">
        <f>IF(B501="","",IF(E501="Tip","Yes","No"))</f>
        <v>0</v>
      </c>
      <c r="V501" s="15">
        <f>IF(B501="","",IF(H501&lt;&gt;"","Sale "&amp;H501,IF(I501&lt;&gt;"","Booking "&amp;I501,IF(E501="Tip","Stylist","Unapplied"))))</f>
        <v>0</v>
      </c>
      <c r="W501" s="39">
        <f>IF(B501="","",IF(G501="","Add - no amount yet",IF(E501="","Add - what was this for?",IF(IF(H501="",FALSE,COUNTIF(Sales!$A$5:$A$1204,H501)=0),"Missing - no sale with that ID",IF(IF(I501="",FALSE,COUNTIF(Appointments!$A$5:$A$1204,I501)=0),"Missing - no booking with that ID",IF(IF(E501="Tip",J501="",FALSE),"Assign - whose tip is it?",IF(IF(E501="Deposit",IF(H501="",I501="",FALSE),FALSE),"Check - deposit not tied to a booking",IF(M501="No","Due - not reconciled yet","OK"))))))))</f>
        <v>0</v>
      </c>
    </row>
    <row r="502" spans="1:23">
      <c r="A502" s="28">
        <f>IF(B502="","",PaymentPrefix&amp;TEXT(ROW()-4,"0000"))</f>
        <v>0</v>
      </c>
      <c r="D502" s="15">
        <f>IF(C502="","",IFERROR(INDEX(Clients!$B$5:$B$504,MATCH(C502,Clients!$A$5:$A$504,0)),"Walk-in"))</f>
        <v>0</v>
      </c>
      <c r="K502" s="15">
        <f>IF(J502="","",IFERROR(INDEX(Staff!$B$5:$B$44,MATCH(J502,Staff!$A$5:$A$44,0)),""))</f>
        <v>0</v>
      </c>
      <c r="O502" s="15">
        <f>IF(B502="","",TEXT(B502,"yyyy-mm"))</f>
        <v>0</v>
      </c>
      <c r="P502" s="25">
        <f>IF(B502="","",WEEKNUM(B502,2))</f>
        <v>0</v>
      </c>
      <c r="Q502" s="38">
        <f>IF(B502="","",IF(E502="Tip","No",IF(E502="Refund","No","Yes")))</f>
        <v>0</v>
      </c>
      <c r="R502" s="25">
        <f>IF(B502="","",IF(E502="Refund",-1,1))</f>
        <v>0</v>
      </c>
      <c r="S502" s="26">
        <f>IF(B502="","",IF(G502="",0,IF(F502="Card",ROUND(G502*CardFeePercent+CardFeeFixed,2),IF(F502="Online deposit",ROUND(G502*CardFeePercent+CardFeeFixed,2),0))))</f>
        <v>0</v>
      </c>
      <c r="T502" s="26">
        <f>IF(B502="","",ROUND(IF(G502="",0,G502)*R502-S502,2))</f>
        <v>0</v>
      </c>
      <c r="U502" s="38">
        <f>IF(B502="","",IF(E502="Tip","Yes","No"))</f>
        <v>0</v>
      </c>
      <c r="V502" s="15">
        <f>IF(B502="","",IF(H502&lt;&gt;"","Sale "&amp;H502,IF(I502&lt;&gt;"","Booking "&amp;I502,IF(E502="Tip","Stylist","Unapplied"))))</f>
        <v>0</v>
      </c>
      <c r="W502" s="39">
        <f>IF(B502="","",IF(G502="","Add - no amount yet",IF(E502="","Add - what was this for?",IF(IF(H502="",FALSE,COUNTIF(Sales!$A$5:$A$1204,H502)=0),"Missing - no sale with that ID",IF(IF(I502="",FALSE,COUNTIF(Appointments!$A$5:$A$1204,I502)=0),"Missing - no booking with that ID",IF(IF(E502="Tip",J502="",FALSE),"Assign - whose tip is it?",IF(IF(E502="Deposit",IF(H502="",I502="",FALSE),FALSE),"Check - deposit not tied to a booking",IF(M502="No","Due - not reconciled yet","OK"))))))))</f>
        <v>0</v>
      </c>
    </row>
    <row r="503" spans="1:23">
      <c r="A503" s="28">
        <f>IF(B503="","",PaymentPrefix&amp;TEXT(ROW()-4,"0000"))</f>
        <v>0</v>
      </c>
      <c r="D503" s="15">
        <f>IF(C503="","",IFERROR(INDEX(Clients!$B$5:$B$504,MATCH(C503,Clients!$A$5:$A$504,0)),"Walk-in"))</f>
        <v>0</v>
      </c>
      <c r="K503" s="15">
        <f>IF(J503="","",IFERROR(INDEX(Staff!$B$5:$B$44,MATCH(J503,Staff!$A$5:$A$44,0)),""))</f>
        <v>0</v>
      </c>
      <c r="O503" s="15">
        <f>IF(B503="","",TEXT(B503,"yyyy-mm"))</f>
        <v>0</v>
      </c>
      <c r="P503" s="25">
        <f>IF(B503="","",WEEKNUM(B503,2))</f>
        <v>0</v>
      </c>
      <c r="Q503" s="38">
        <f>IF(B503="","",IF(E503="Tip","No",IF(E503="Refund","No","Yes")))</f>
        <v>0</v>
      </c>
      <c r="R503" s="25">
        <f>IF(B503="","",IF(E503="Refund",-1,1))</f>
        <v>0</v>
      </c>
      <c r="S503" s="26">
        <f>IF(B503="","",IF(G503="",0,IF(F503="Card",ROUND(G503*CardFeePercent+CardFeeFixed,2),IF(F503="Online deposit",ROUND(G503*CardFeePercent+CardFeeFixed,2),0))))</f>
        <v>0</v>
      </c>
      <c r="T503" s="26">
        <f>IF(B503="","",ROUND(IF(G503="",0,G503)*R503-S503,2))</f>
        <v>0</v>
      </c>
      <c r="U503" s="38">
        <f>IF(B503="","",IF(E503="Tip","Yes","No"))</f>
        <v>0</v>
      </c>
      <c r="V503" s="15">
        <f>IF(B503="","",IF(H503&lt;&gt;"","Sale "&amp;H503,IF(I503&lt;&gt;"","Booking "&amp;I503,IF(E503="Tip","Stylist","Unapplied"))))</f>
        <v>0</v>
      </c>
      <c r="W503" s="39">
        <f>IF(B503="","",IF(G503="","Add - no amount yet",IF(E503="","Add - what was this for?",IF(IF(H503="",FALSE,COUNTIF(Sales!$A$5:$A$1204,H503)=0),"Missing - no sale with that ID",IF(IF(I503="",FALSE,COUNTIF(Appointments!$A$5:$A$1204,I503)=0),"Missing - no booking with that ID",IF(IF(E503="Tip",J503="",FALSE),"Assign - whose tip is it?",IF(IF(E503="Deposit",IF(H503="",I503="",FALSE),FALSE),"Check - deposit not tied to a booking",IF(M503="No","Due - not reconciled yet","OK"))))))))</f>
        <v>0</v>
      </c>
    </row>
    <row r="504" spans="1:23">
      <c r="A504" s="28">
        <f>IF(B504="","",PaymentPrefix&amp;TEXT(ROW()-4,"0000"))</f>
        <v>0</v>
      </c>
      <c r="D504" s="15">
        <f>IF(C504="","",IFERROR(INDEX(Clients!$B$5:$B$504,MATCH(C504,Clients!$A$5:$A$504,0)),"Walk-in"))</f>
        <v>0</v>
      </c>
      <c r="K504" s="15">
        <f>IF(J504="","",IFERROR(INDEX(Staff!$B$5:$B$44,MATCH(J504,Staff!$A$5:$A$44,0)),""))</f>
        <v>0</v>
      </c>
      <c r="O504" s="15">
        <f>IF(B504="","",TEXT(B504,"yyyy-mm"))</f>
        <v>0</v>
      </c>
      <c r="P504" s="25">
        <f>IF(B504="","",WEEKNUM(B504,2))</f>
        <v>0</v>
      </c>
      <c r="Q504" s="38">
        <f>IF(B504="","",IF(E504="Tip","No",IF(E504="Refund","No","Yes")))</f>
        <v>0</v>
      </c>
      <c r="R504" s="25">
        <f>IF(B504="","",IF(E504="Refund",-1,1))</f>
        <v>0</v>
      </c>
      <c r="S504" s="26">
        <f>IF(B504="","",IF(G504="",0,IF(F504="Card",ROUND(G504*CardFeePercent+CardFeeFixed,2),IF(F504="Online deposit",ROUND(G504*CardFeePercent+CardFeeFixed,2),0))))</f>
        <v>0</v>
      </c>
      <c r="T504" s="26">
        <f>IF(B504="","",ROUND(IF(G504="",0,G504)*R504-S504,2))</f>
        <v>0</v>
      </c>
      <c r="U504" s="38">
        <f>IF(B504="","",IF(E504="Tip","Yes","No"))</f>
        <v>0</v>
      </c>
      <c r="V504" s="15">
        <f>IF(B504="","",IF(H504&lt;&gt;"","Sale "&amp;H504,IF(I504&lt;&gt;"","Booking "&amp;I504,IF(E504="Tip","Stylist","Unapplied"))))</f>
        <v>0</v>
      </c>
      <c r="W504" s="39">
        <f>IF(B504="","",IF(G504="","Add - no amount yet",IF(E504="","Add - what was this for?",IF(IF(H504="",FALSE,COUNTIF(Sales!$A$5:$A$1204,H504)=0),"Missing - no sale with that ID",IF(IF(I504="",FALSE,COUNTIF(Appointments!$A$5:$A$1204,I504)=0),"Missing - no booking with that ID",IF(IF(E504="Tip",J504="",FALSE),"Assign - whose tip is it?",IF(IF(E504="Deposit",IF(H504="",I504="",FALSE),FALSE),"Check - deposit not tied to a booking",IF(M504="No","Due - not reconciled yet","OK"))))))))</f>
        <v>0</v>
      </c>
    </row>
    <row r="505" spans="1:23">
      <c r="A505" s="28">
        <f>IF(B505="","",PaymentPrefix&amp;TEXT(ROW()-4,"0000"))</f>
        <v>0</v>
      </c>
      <c r="D505" s="15">
        <f>IF(C505="","",IFERROR(INDEX(Clients!$B$5:$B$504,MATCH(C505,Clients!$A$5:$A$504,0)),"Walk-in"))</f>
        <v>0</v>
      </c>
      <c r="K505" s="15">
        <f>IF(J505="","",IFERROR(INDEX(Staff!$B$5:$B$44,MATCH(J505,Staff!$A$5:$A$44,0)),""))</f>
        <v>0</v>
      </c>
      <c r="O505" s="15">
        <f>IF(B505="","",TEXT(B505,"yyyy-mm"))</f>
        <v>0</v>
      </c>
      <c r="P505" s="25">
        <f>IF(B505="","",WEEKNUM(B505,2))</f>
        <v>0</v>
      </c>
      <c r="Q505" s="38">
        <f>IF(B505="","",IF(E505="Tip","No",IF(E505="Refund","No","Yes")))</f>
        <v>0</v>
      </c>
      <c r="R505" s="25">
        <f>IF(B505="","",IF(E505="Refund",-1,1))</f>
        <v>0</v>
      </c>
      <c r="S505" s="26">
        <f>IF(B505="","",IF(G505="",0,IF(F505="Card",ROUND(G505*CardFeePercent+CardFeeFixed,2),IF(F505="Online deposit",ROUND(G505*CardFeePercent+CardFeeFixed,2),0))))</f>
        <v>0</v>
      </c>
      <c r="T505" s="26">
        <f>IF(B505="","",ROUND(IF(G505="",0,G505)*R505-S505,2))</f>
        <v>0</v>
      </c>
      <c r="U505" s="38">
        <f>IF(B505="","",IF(E505="Tip","Yes","No"))</f>
        <v>0</v>
      </c>
      <c r="V505" s="15">
        <f>IF(B505="","",IF(H505&lt;&gt;"","Sale "&amp;H505,IF(I505&lt;&gt;"","Booking "&amp;I505,IF(E505="Tip","Stylist","Unapplied"))))</f>
        <v>0</v>
      </c>
      <c r="W505" s="39">
        <f>IF(B505="","",IF(G505="","Add - no amount yet",IF(E505="","Add - what was this for?",IF(IF(H505="",FALSE,COUNTIF(Sales!$A$5:$A$1204,H505)=0),"Missing - no sale with that ID",IF(IF(I505="",FALSE,COUNTIF(Appointments!$A$5:$A$1204,I505)=0),"Missing - no booking with that ID",IF(IF(E505="Tip",J505="",FALSE),"Assign - whose tip is it?",IF(IF(E505="Deposit",IF(H505="",I505="",FALSE),FALSE),"Check - deposit not tied to a booking",IF(M505="No","Due - not reconciled yet","OK"))))))))</f>
        <v>0</v>
      </c>
    </row>
    <row r="506" spans="1:23">
      <c r="A506" s="28">
        <f>IF(B506="","",PaymentPrefix&amp;TEXT(ROW()-4,"0000"))</f>
        <v>0</v>
      </c>
      <c r="D506" s="15">
        <f>IF(C506="","",IFERROR(INDEX(Clients!$B$5:$B$504,MATCH(C506,Clients!$A$5:$A$504,0)),"Walk-in"))</f>
        <v>0</v>
      </c>
      <c r="K506" s="15">
        <f>IF(J506="","",IFERROR(INDEX(Staff!$B$5:$B$44,MATCH(J506,Staff!$A$5:$A$44,0)),""))</f>
        <v>0</v>
      </c>
      <c r="O506" s="15">
        <f>IF(B506="","",TEXT(B506,"yyyy-mm"))</f>
        <v>0</v>
      </c>
      <c r="P506" s="25">
        <f>IF(B506="","",WEEKNUM(B506,2))</f>
        <v>0</v>
      </c>
      <c r="Q506" s="38">
        <f>IF(B506="","",IF(E506="Tip","No",IF(E506="Refund","No","Yes")))</f>
        <v>0</v>
      </c>
      <c r="R506" s="25">
        <f>IF(B506="","",IF(E506="Refund",-1,1))</f>
        <v>0</v>
      </c>
      <c r="S506" s="26">
        <f>IF(B506="","",IF(G506="",0,IF(F506="Card",ROUND(G506*CardFeePercent+CardFeeFixed,2),IF(F506="Online deposit",ROUND(G506*CardFeePercent+CardFeeFixed,2),0))))</f>
        <v>0</v>
      </c>
      <c r="T506" s="26">
        <f>IF(B506="","",ROUND(IF(G506="",0,G506)*R506-S506,2))</f>
        <v>0</v>
      </c>
      <c r="U506" s="38">
        <f>IF(B506="","",IF(E506="Tip","Yes","No"))</f>
        <v>0</v>
      </c>
      <c r="V506" s="15">
        <f>IF(B506="","",IF(H506&lt;&gt;"","Sale "&amp;H506,IF(I506&lt;&gt;"","Booking "&amp;I506,IF(E506="Tip","Stylist","Unapplied"))))</f>
        <v>0</v>
      </c>
      <c r="W506" s="39">
        <f>IF(B506="","",IF(G506="","Add - no amount yet",IF(E506="","Add - what was this for?",IF(IF(H506="",FALSE,COUNTIF(Sales!$A$5:$A$1204,H506)=0),"Missing - no sale with that ID",IF(IF(I506="",FALSE,COUNTIF(Appointments!$A$5:$A$1204,I506)=0),"Missing - no booking with that ID",IF(IF(E506="Tip",J506="",FALSE),"Assign - whose tip is it?",IF(IF(E506="Deposit",IF(H506="",I506="",FALSE),FALSE),"Check - deposit not tied to a booking",IF(M506="No","Due - not reconciled yet","OK"))))))))</f>
        <v>0</v>
      </c>
    </row>
    <row r="507" spans="1:23">
      <c r="A507" s="28">
        <f>IF(B507="","",PaymentPrefix&amp;TEXT(ROW()-4,"0000"))</f>
        <v>0</v>
      </c>
      <c r="D507" s="15">
        <f>IF(C507="","",IFERROR(INDEX(Clients!$B$5:$B$504,MATCH(C507,Clients!$A$5:$A$504,0)),"Walk-in"))</f>
        <v>0</v>
      </c>
      <c r="K507" s="15">
        <f>IF(J507="","",IFERROR(INDEX(Staff!$B$5:$B$44,MATCH(J507,Staff!$A$5:$A$44,0)),""))</f>
        <v>0</v>
      </c>
      <c r="O507" s="15">
        <f>IF(B507="","",TEXT(B507,"yyyy-mm"))</f>
        <v>0</v>
      </c>
      <c r="P507" s="25">
        <f>IF(B507="","",WEEKNUM(B507,2))</f>
        <v>0</v>
      </c>
      <c r="Q507" s="38">
        <f>IF(B507="","",IF(E507="Tip","No",IF(E507="Refund","No","Yes")))</f>
        <v>0</v>
      </c>
      <c r="R507" s="25">
        <f>IF(B507="","",IF(E507="Refund",-1,1))</f>
        <v>0</v>
      </c>
      <c r="S507" s="26">
        <f>IF(B507="","",IF(G507="",0,IF(F507="Card",ROUND(G507*CardFeePercent+CardFeeFixed,2),IF(F507="Online deposit",ROUND(G507*CardFeePercent+CardFeeFixed,2),0))))</f>
        <v>0</v>
      </c>
      <c r="T507" s="26">
        <f>IF(B507="","",ROUND(IF(G507="",0,G507)*R507-S507,2))</f>
        <v>0</v>
      </c>
      <c r="U507" s="38">
        <f>IF(B507="","",IF(E507="Tip","Yes","No"))</f>
        <v>0</v>
      </c>
      <c r="V507" s="15">
        <f>IF(B507="","",IF(H507&lt;&gt;"","Sale "&amp;H507,IF(I507&lt;&gt;"","Booking "&amp;I507,IF(E507="Tip","Stylist","Unapplied"))))</f>
        <v>0</v>
      </c>
      <c r="W507" s="39">
        <f>IF(B507="","",IF(G507="","Add - no amount yet",IF(E507="","Add - what was this for?",IF(IF(H507="",FALSE,COUNTIF(Sales!$A$5:$A$1204,H507)=0),"Missing - no sale with that ID",IF(IF(I507="",FALSE,COUNTIF(Appointments!$A$5:$A$1204,I507)=0),"Missing - no booking with that ID",IF(IF(E507="Tip",J507="",FALSE),"Assign - whose tip is it?",IF(IF(E507="Deposit",IF(H507="",I507="",FALSE),FALSE),"Check - deposit not tied to a booking",IF(M507="No","Due - not reconciled yet","OK"))))))))</f>
        <v>0</v>
      </c>
    </row>
    <row r="508" spans="1:23">
      <c r="A508" s="28">
        <f>IF(B508="","",PaymentPrefix&amp;TEXT(ROW()-4,"0000"))</f>
        <v>0</v>
      </c>
      <c r="D508" s="15">
        <f>IF(C508="","",IFERROR(INDEX(Clients!$B$5:$B$504,MATCH(C508,Clients!$A$5:$A$504,0)),"Walk-in"))</f>
        <v>0</v>
      </c>
      <c r="K508" s="15">
        <f>IF(J508="","",IFERROR(INDEX(Staff!$B$5:$B$44,MATCH(J508,Staff!$A$5:$A$44,0)),""))</f>
        <v>0</v>
      </c>
      <c r="O508" s="15">
        <f>IF(B508="","",TEXT(B508,"yyyy-mm"))</f>
        <v>0</v>
      </c>
      <c r="P508" s="25">
        <f>IF(B508="","",WEEKNUM(B508,2))</f>
        <v>0</v>
      </c>
      <c r="Q508" s="38">
        <f>IF(B508="","",IF(E508="Tip","No",IF(E508="Refund","No","Yes")))</f>
        <v>0</v>
      </c>
      <c r="R508" s="25">
        <f>IF(B508="","",IF(E508="Refund",-1,1))</f>
        <v>0</v>
      </c>
      <c r="S508" s="26">
        <f>IF(B508="","",IF(G508="",0,IF(F508="Card",ROUND(G508*CardFeePercent+CardFeeFixed,2),IF(F508="Online deposit",ROUND(G508*CardFeePercent+CardFeeFixed,2),0))))</f>
        <v>0</v>
      </c>
      <c r="T508" s="26">
        <f>IF(B508="","",ROUND(IF(G508="",0,G508)*R508-S508,2))</f>
        <v>0</v>
      </c>
      <c r="U508" s="38">
        <f>IF(B508="","",IF(E508="Tip","Yes","No"))</f>
        <v>0</v>
      </c>
      <c r="V508" s="15">
        <f>IF(B508="","",IF(H508&lt;&gt;"","Sale "&amp;H508,IF(I508&lt;&gt;"","Booking "&amp;I508,IF(E508="Tip","Stylist","Unapplied"))))</f>
        <v>0</v>
      </c>
      <c r="W508" s="39">
        <f>IF(B508="","",IF(G508="","Add - no amount yet",IF(E508="","Add - what was this for?",IF(IF(H508="",FALSE,COUNTIF(Sales!$A$5:$A$1204,H508)=0),"Missing - no sale with that ID",IF(IF(I508="",FALSE,COUNTIF(Appointments!$A$5:$A$1204,I508)=0),"Missing - no booking with that ID",IF(IF(E508="Tip",J508="",FALSE),"Assign - whose tip is it?",IF(IF(E508="Deposit",IF(H508="",I508="",FALSE),FALSE),"Check - deposit not tied to a booking",IF(M508="No","Due - not reconciled yet","OK"))))))))</f>
        <v>0</v>
      </c>
    </row>
    <row r="509" spans="1:23">
      <c r="A509" s="28">
        <f>IF(B509="","",PaymentPrefix&amp;TEXT(ROW()-4,"0000"))</f>
        <v>0</v>
      </c>
      <c r="D509" s="15">
        <f>IF(C509="","",IFERROR(INDEX(Clients!$B$5:$B$504,MATCH(C509,Clients!$A$5:$A$504,0)),"Walk-in"))</f>
        <v>0</v>
      </c>
      <c r="K509" s="15">
        <f>IF(J509="","",IFERROR(INDEX(Staff!$B$5:$B$44,MATCH(J509,Staff!$A$5:$A$44,0)),""))</f>
        <v>0</v>
      </c>
      <c r="O509" s="15">
        <f>IF(B509="","",TEXT(B509,"yyyy-mm"))</f>
        <v>0</v>
      </c>
      <c r="P509" s="25">
        <f>IF(B509="","",WEEKNUM(B509,2))</f>
        <v>0</v>
      </c>
      <c r="Q509" s="38">
        <f>IF(B509="","",IF(E509="Tip","No",IF(E509="Refund","No","Yes")))</f>
        <v>0</v>
      </c>
      <c r="R509" s="25">
        <f>IF(B509="","",IF(E509="Refund",-1,1))</f>
        <v>0</v>
      </c>
      <c r="S509" s="26">
        <f>IF(B509="","",IF(G509="",0,IF(F509="Card",ROUND(G509*CardFeePercent+CardFeeFixed,2),IF(F509="Online deposit",ROUND(G509*CardFeePercent+CardFeeFixed,2),0))))</f>
        <v>0</v>
      </c>
      <c r="T509" s="26">
        <f>IF(B509="","",ROUND(IF(G509="",0,G509)*R509-S509,2))</f>
        <v>0</v>
      </c>
      <c r="U509" s="38">
        <f>IF(B509="","",IF(E509="Tip","Yes","No"))</f>
        <v>0</v>
      </c>
      <c r="V509" s="15">
        <f>IF(B509="","",IF(H509&lt;&gt;"","Sale "&amp;H509,IF(I509&lt;&gt;"","Booking "&amp;I509,IF(E509="Tip","Stylist","Unapplied"))))</f>
        <v>0</v>
      </c>
      <c r="W509" s="39">
        <f>IF(B509="","",IF(G509="","Add - no amount yet",IF(E509="","Add - what was this for?",IF(IF(H509="",FALSE,COUNTIF(Sales!$A$5:$A$1204,H509)=0),"Missing - no sale with that ID",IF(IF(I509="",FALSE,COUNTIF(Appointments!$A$5:$A$1204,I509)=0),"Missing - no booking with that ID",IF(IF(E509="Tip",J509="",FALSE),"Assign - whose tip is it?",IF(IF(E509="Deposit",IF(H509="",I509="",FALSE),FALSE),"Check - deposit not tied to a booking",IF(M509="No","Due - not reconciled yet","OK"))))))))</f>
        <v>0</v>
      </c>
    </row>
    <row r="510" spans="1:23">
      <c r="A510" s="28">
        <f>IF(B510="","",PaymentPrefix&amp;TEXT(ROW()-4,"0000"))</f>
        <v>0</v>
      </c>
      <c r="D510" s="15">
        <f>IF(C510="","",IFERROR(INDEX(Clients!$B$5:$B$504,MATCH(C510,Clients!$A$5:$A$504,0)),"Walk-in"))</f>
        <v>0</v>
      </c>
      <c r="K510" s="15">
        <f>IF(J510="","",IFERROR(INDEX(Staff!$B$5:$B$44,MATCH(J510,Staff!$A$5:$A$44,0)),""))</f>
        <v>0</v>
      </c>
      <c r="O510" s="15">
        <f>IF(B510="","",TEXT(B510,"yyyy-mm"))</f>
        <v>0</v>
      </c>
      <c r="P510" s="25">
        <f>IF(B510="","",WEEKNUM(B510,2))</f>
        <v>0</v>
      </c>
      <c r="Q510" s="38">
        <f>IF(B510="","",IF(E510="Tip","No",IF(E510="Refund","No","Yes")))</f>
        <v>0</v>
      </c>
      <c r="R510" s="25">
        <f>IF(B510="","",IF(E510="Refund",-1,1))</f>
        <v>0</v>
      </c>
      <c r="S510" s="26">
        <f>IF(B510="","",IF(G510="",0,IF(F510="Card",ROUND(G510*CardFeePercent+CardFeeFixed,2),IF(F510="Online deposit",ROUND(G510*CardFeePercent+CardFeeFixed,2),0))))</f>
        <v>0</v>
      </c>
      <c r="T510" s="26">
        <f>IF(B510="","",ROUND(IF(G510="",0,G510)*R510-S510,2))</f>
        <v>0</v>
      </c>
      <c r="U510" s="38">
        <f>IF(B510="","",IF(E510="Tip","Yes","No"))</f>
        <v>0</v>
      </c>
      <c r="V510" s="15">
        <f>IF(B510="","",IF(H510&lt;&gt;"","Sale "&amp;H510,IF(I510&lt;&gt;"","Booking "&amp;I510,IF(E510="Tip","Stylist","Unapplied"))))</f>
        <v>0</v>
      </c>
      <c r="W510" s="39">
        <f>IF(B510="","",IF(G510="","Add - no amount yet",IF(E510="","Add - what was this for?",IF(IF(H510="",FALSE,COUNTIF(Sales!$A$5:$A$1204,H510)=0),"Missing - no sale with that ID",IF(IF(I510="",FALSE,COUNTIF(Appointments!$A$5:$A$1204,I510)=0),"Missing - no booking with that ID",IF(IF(E510="Tip",J510="",FALSE),"Assign - whose tip is it?",IF(IF(E510="Deposit",IF(H510="",I510="",FALSE),FALSE),"Check - deposit not tied to a booking",IF(M510="No","Due - not reconciled yet","OK"))))))))</f>
        <v>0</v>
      </c>
    </row>
    <row r="511" spans="1:23">
      <c r="A511" s="28">
        <f>IF(B511="","",PaymentPrefix&amp;TEXT(ROW()-4,"0000"))</f>
        <v>0</v>
      </c>
      <c r="D511" s="15">
        <f>IF(C511="","",IFERROR(INDEX(Clients!$B$5:$B$504,MATCH(C511,Clients!$A$5:$A$504,0)),"Walk-in"))</f>
        <v>0</v>
      </c>
      <c r="K511" s="15">
        <f>IF(J511="","",IFERROR(INDEX(Staff!$B$5:$B$44,MATCH(J511,Staff!$A$5:$A$44,0)),""))</f>
        <v>0</v>
      </c>
      <c r="O511" s="15">
        <f>IF(B511="","",TEXT(B511,"yyyy-mm"))</f>
        <v>0</v>
      </c>
      <c r="P511" s="25">
        <f>IF(B511="","",WEEKNUM(B511,2))</f>
        <v>0</v>
      </c>
      <c r="Q511" s="38">
        <f>IF(B511="","",IF(E511="Tip","No",IF(E511="Refund","No","Yes")))</f>
        <v>0</v>
      </c>
      <c r="R511" s="25">
        <f>IF(B511="","",IF(E511="Refund",-1,1))</f>
        <v>0</v>
      </c>
      <c r="S511" s="26">
        <f>IF(B511="","",IF(G511="",0,IF(F511="Card",ROUND(G511*CardFeePercent+CardFeeFixed,2),IF(F511="Online deposit",ROUND(G511*CardFeePercent+CardFeeFixed,2),0))))</f>
        <v>0</v>
      </c>
      <c r="T511" s="26">
        <f>IF(B511="","",ROUND(IF(G511="",0,G511)*R511-S511,2))</f>
        <v>0</v>
      </c>
      <c r="U511" s="38">
        <f>IF(B511="","",IF(E511="Tip","Yes","No"))</f>
        <v>0</v>
      </c>
      <c r="V511" s="15">
        <f>IF(B511="","",IF(H511&lt;&gt;"","Sale "&amp;H511,IF(I511&lt;&gt;"","Booking "&amp;I511,IF(E511="Tip","Stylist","Unapplied"))))</f>
        <v>0</v>
      </c>
      <c r="W511" s="39">
        <f>IF(B511="","",IF(G511="","Add - no amount yet",IF(E511="","Add - what was this for?",IF(IF(H511="",FALSE,COUNTIF(Sales!$A$5:$A$1204,H511)=0),"Missing - no sale with that ID",IF(IF(I511="",FALSE,COUNTIF(Appointments!$A$5:$A$1204,I511)=0),"Missing - no booking with that ID",IF(IF(E511="Tip",J511="",FALSE),"Assign - whose tip is it?",IF(IF(E511="Deposit",IF(H511="",I511="",FALSE),FALSE),"Check - deposit not tied to a booking",IF(M511="No","Due - not reconciled yet","OK"))))))))</f>
        <v>0</v>
      </c>
    </row>
    <row r="512" spans="1:23">
      <c r="A512" s="28">
        <f>IF(B512="","",PaymentPrefix&amp;TEXT(ROW()-4,"0000"))</f>
        <v>0</v>
      </c>
      <c r="D512" s="15">
        <f>IF(C512="","",IFERROR(INDEX(Clients!$B$5:$B$504,MATCH(C512,Clients!$A$5:$A$504,0)),"Walk-in"))</f>
        <v>0</v>
      </c>
      <c r="K512" s="15">
        <f>IF(J512="","",IFERROR(INDEX(Staff!$B$5:$B$44,MATCH(J512,Staff!$A$5:$A$44,0)),""))</f>
        <v>0</v>
      </c>
      <c r="O512" s="15">
        <f>IF(B512="","",TEXT(B512,"yyyy-mm"))</f>
        <v>0</v>
      </c>
      <c r="P512" s="25">
        <f>IF(B512="","",WEEKNUM(B512,2))</f>
        <v>0</v>
      </c>
      <c r="Q512" s="38">
        <f>IF(B512="","",IF(E512="Tip","No",IF(E512="Refund","No","Yes")))</f>
        <v>0</v>
      </c>
      <c r="R512" s="25">
        <f>IF(B512="","",IF(E512="Refund",-1,1))</f>
        <v>0</v>
      </c>
      <c r="S512" s="26">
        <f>IF(B512="","",IF(G512="",0,IF(F512="Card",ROUND(G512*CardFeePercent+CardFeeFixed,2),IF(F512="Online deposit",ROUND(G512*CardFeePercent+CardFeeFixed,2),0))))</f>
        <v>0</v>
      </c>
      <c r="T512" s="26">
        <f>IF(B512="","",ROUND(IF(G512="",0,G512)*R512-S512,2))</f>
        <v>0</v>
      </c>
      <c r="U512" s="38">
        <f>IF(B512="","",IF(E512="Tip","Yes","No"))</f>
        <v>0</v>
      </c>
      <c r="V512" s="15">
        <f>IF(B512="","",IF(H512&lt;&gt;"","Sale "&amp;H512,IF(I512&lt;&gt;"","Booking "&amp;I512,IF(E512="Tip","Stylist","Unapplied"))))</f>
        <v>0</v>
      </c>
      <c r="W512" s="39">
        <f>IF(B512="","",IF(G512="","Add - no amount yet",IF(E512="","Add - what was this for?",IF(IF(H512="",FALSE,COUNTIF(Sales!$A$5:$A$1204,H512)=0),"Missing - no sale with that ID",IF(IF(I512="",FALSE,COUNTIF(Appointments!$A$5:$A$1204,I512)=0),"Missing - no booking with that ID",IF(IF(E512="Tip",J512="",FALSE),"Assign - whose tip is it?",IF(IF(E512="Deposit",IF(H512="",I512="",FALSE),FALSE),"Check - deposit not tied to a booking",IF(M512="No","Due - not reconciled yet","OK"))))))))</f>
        <v>0</v>
      </c>
    </row>
    <row r="513" spans="1:23">
      <c r="A513" s="28">
        <f>IF(B513="","",PaymentPrefix&amp;TEXT(ROW()-4,"0000"))</f>
        <v>0</v>
      </c>
      <c r="D513" s="15">
        <f>IF(C513="","",IFERROR(INDEX(Clients!$B$5:$B$504,MATCH(C513,Clients!$A$5:$A$504,0)),"Walk-in"))</f>
        <v>0</v>
      </c>
      <c r="K513" s="15">
        <f>IF(J513="","",IFERROR(INDEX(Staff!$B$5:$B$44,MATCH(J513,Staff!$A$5:$A$44,0)),""))</f>
        <v>0</v>
      </c>
      <c r="O513" s="15">
        <f>IF(B513="","",TEXT(B513,"yyyy-mm"))</f>
        <v>0</v>
      </c>
      <c r="P513" s="25">
        <f>IF(B513="","",WEEKNUM(B513,2))</f>
        <v>0</v>
      </c>
      <c r="Q513" s="38">
        <f>IF(B513="","",IF(E513="Tip","No",IF(E513="Refund","No","Yes")))</f>
        <v>0</v>
      </c>
      <c r="R513" s="25">
        <f>IF(B513="","",IF(E513="Refund",-1,1))</f>
        <v>0</v>
      </c>
      <c r="S513" s="26">
        <f>IF(B513="","",IF(G513="",0,IF(F513="Card",ROUND(G513*CardFeePercent+CardFeeFixed,2),IF(F513="Online deposit",ROUND(G513*CardFeePercent+CardFeeFixed,2),0))))</f>
        <v>0</v>
      </c>
      <c r="T513" s="26">
        <f>IF(B513="","",ROUND(IF(G513="",0,G513)*R513-S513,2))</f>
        <v>0</v>
      </c>
      <c r="U513" s="38">
        <f>IF(B513="","",IF(E513="Tip","Yes","No"))</f>
        <v>0</v>
      </c>
      <c r="V513" s="15">
        <f>IF(B513="","",IF(H513&lt;&gt;"","Sale "&amp;H513,IF(I513&lt;&gt;"","Booking "&amp;I513,IF(E513="Tip","Stylist","Unapplied"))))</f>
        <v>0</v>
      </c>
      <c r="W513" s="39">
        <f>IF(B513="","",IF(G513="","Add - no amount yet",IF(E513="","Add - what was this for?",IF(IF(H513="",FALSE,COUNTIF(Sales!$A$5:$A$1204,H513)=0),"Missing - no sale with that ID",IF(IF(I513="",FALSE,COUNTIF(Appointments!$A$5:$A$1204,I513)=0),"Missing - no booking with that ID",IF(IF(E513="Tip",J513="",FALSE),"Assign - whose tip is it?",IF(IF(E513="Deposit",IF(H513="",I513="",FALSE),FALSE),"Check - deposit not tied to a booking",IF(M513="No","Due - not reconciled yet","OK"))))))))</f>
        <v>0</v>
      </c>
    </row>
    <row r="514" spans="1:23">
      <c r="A514" s="28">
        <f>IF(B514="","",PaymentPrefix&amp;TEXT(ROW()-4,"0000"))</f>
        <v>0</v>
      </c>
      <c r="D514" s="15">
        <f>IF(C514="","",IFERROR(INDEX(Clients!$B$5:$B$504,MATCH(C514,Clients!$A$5:$A$504,0)),"Walk-in"))</f>
        <v>0</v>
      </c>
      <c r="K514" s="15">
        <f>IF(J514="","",IFERROR(INDEX(Staff!$B$5:$B$44,MATCH(J514,Staff!$A$5:$A$44,0)),""))</f>
        <v>0</v>
      </c>
      <c r="O514" s="15">
        <f>IF(B514="","",TEXT(B514,"yyyy-mm"))</f>
        <v>0</v>
      </c>
      <c r="P514" s="25">
        <f>IF(B514="","",WEEKNUM(B514,2))</f>
        <v>0</v>
      </c>
      <c r="Q514" s="38">
        <f>IF(B514="","",IF(E514="Tip","No",IF(E514="Refund","No","Yes")))</f>
        <v>0</v>
      </c>
      <c r="R514" s="25">
        <f>IF(B514="","",IF(E514="Refund",-1,1))</f>
        <v>0</v>
      </c>
      <c r="S514" s="26">
        <f>IF(B514="","",IF(G514="",0,IF(F514="Card",ROUND(G514*CardFeePercent+CardFeeFixed,2),IF(F514="Online deposit",ROUND(G514*CardFeePercent+CardFeeFixed,2),0))))</f>
        <v>0</v>
      </c>
      <c r="T514" s="26">
        <f>IF(B514="","",ROUND(IF(G514="",0,G514)*R514-S514,2))</f>
        <v>0</v>
      </c>
      <c r="U514" s="38">
        <f>IF(B514="","",IF(E514="Tip","Yes","No"))</f>
        <v>0</v>
      </c>
      <c r="V514" s="15">
        <f>IF(B514="","",IF(H514&lt;&gt;"","Sale "&amp;H514,IF(I514&lt;&gt;"","Booking "&amp;I514,IF(E514="Tip","Stylist","Unapplied"))))</f>
        <v>0</v>
      </c>
      <c r="W514" s="39">
        <f>IF(B514="","",IF(G514="","Add - no amount yet",IF(E514="","Add - what was this for?",IF(IF(H514="",FALSE,COUNTIF(Sales!$A$5:$A$1204,H514)=0),"Missing - no sale with that ID",IF(IF(I514="",FALSE,COUNTIF(Appointments!$A$5:$A$1204,I514)=0),"Missing - no booking with that ID",IF(IF(E514="Tip",J514="",FALSE),"Assign - whose tip is it?",IF(IF(E514="Deposit",IF(H514="",I514="",FALSE),FALSE),"Check - deposit not tied to a booking",IF(M514="No","Due - not reconciled yet","OK"))))))))</f>
        <v>0</v>
      </c>
    </row>
    <row r="515" spans="1:23">
      <c r="A515" s="28">
        <f>IF(B515="","",PaymentPrefix&amp;TEXT(ROW()-4,"0000"))</f>
        <v>0</v>
      </c>
      <c r="D515" s="15">
        <f>IF(C515="","",IFERROR(INDEX(Clients!$B$5:$B$504,MATCH(C515,Clients!$A$5:$A$504,0)),"Walk-in"))</f>
        <v>0</v>
      </c>
      <c r="K515" s="15">
        <f>IF(J515="","",IFERROR(INDEX(Staff!$B$5:$B$44,MATCH(J515,Staff!$A$5:$A$44,0)),""))</f>
        <v>0</v>
      </c>
      <c r="O515" s="15">
        <f>IF(B515="","",TEXT(B515,"yyyy-mm"))</f>
        <v>0</v>
      </c>
      <c r="P515" s="25">
        <f>IF(B515="","",WEEKNUM(B515,2))</f>
        <v>0</v>
      </c>
      <c r="Q515" s="38">
        <f>IF(B515="","",IF(E515="Tip","No",IF(E515="Refund","No","Yes")))</f>
        <v>0</v>
      </c>
      <c r="R515" s="25">
        <f>IF(B515="","",IF(E515="Refund",-1,1))</f>
        <v>0</v>
      </c>
      <c r="S515" s="26">
        <f>IF(B515="","",IF(G515="",0,IF(F515="Card",ROUND(G515*CardFeePercent+CardFeeFixed,2),IF(F515="Online deposit",ROUND(G515*CardFeePercent+CardFeeFixed,2),0))))</f>
        <v>0</v>
      </c>
      <c r="T515" s="26">
        <f>IF(B515="","",ROUND(IF(G515="",0,G515)*R515-S515,2))</f>
        <v>0</v>
      </c>
      <c r="U515" s="38">
        <f>IF(B515="","",IF(E515="Tip","Yes","No"))</f>
        <v>0</v>
      </c>
      <c r="V515" s="15">
        <f>IF(B515="","",IF(H515&lt;&gt;"","Sale "&amp;H515,IF(I515&lt;&gt;"","Booking "&amp;I515,IF(E515="Tip","Stylist","Unapplied"))))</f>
        <v>0</v>
      </c>
      <c r="W515" s="39">
        <f>IF(B515="","",IF(G515="","Add - no amount yet",IF(E515="","Add - what was this for?",IF(IF(H515="",FALSE,COUNTIF(Sales!$A$5:$A$1204,H515)=0),"Missing - no sale with that ID",IF(IF(I515="",FALSE,COUNTIF(Appointments!$A$5:$A$1204,I515)=0),"Missing - no booking with that ID",IF(IF(E515="Tip",J515="",FALSE),"Assign - whose tip is it?",IF(IF(E515="Deposit",IF(H515="",I515="",FALSE),FALSE),"Check - deposit not tied to a booking",IF(M515="No","Due - not reconciled yet","OK"))))))))</f>
        <v>0</v>
      </c>
    </row>
    <row r="516" spans="1:23">
      <c r="A516" s="28">
        <f>IF(B516="","",PaymentPrefix&amp;TEXT(ROW()-4,"0000"))</f>
        <v>0</v>
      </c>
      <c r="D516" s="15">
        <f>IF(C516="","",IFERROR(INDEX(Clients!$B$5:$B$504,MATCH(C516,Clients!$A$5:$A$504,0)),"Walk-in"))</f>
        <v>0</v>
      </c>
      <c r="K516" s="15">
        <f>IF(J516="","",IFERROR(INDEX(Staff!$B$5:$B$44,MATCH(J516,Staff!$A$5:$A$44,0)),""))</f>
        <v>0</v>
      </c>
      <c r="O516" s="15">
        <f>IF(B516="","",TEXT(B516,"yyyy-mm"))</f>
        <v>0</v>
      </c>
      <c r="P516" s="25">
        <f>IF(B516="","",WEEKNUM(B516,2))</f>
        <v>0</v>
      </c>
      <c r="Q516" s="38">
        <f>IF(B516="","",IF(E516="Tip","No",IF(E516="Refund","No","Yes")))</f>
        <v>0</v>
      </c>
      <c r="R516" s="25">
        <f>IF(B516="","",IF(E516="Refund",-1,1))</f>
        <v>0</v>
      </c>
      <c r="S516" s="26">
        <f>IF(B516="","",IF(G516="",0,IF(F516="Card",ROUND(G516*CardFeePercent+CardFeeFixed,2),IF(F516="Online deposit",ROUND(G516*CardFeePercent+CardFeeFixed,2),0))))</f>
        <v>0</v>
      </c>
      <c r="T516" s="26">
        <f>IF(B516="","",ROUND(IF(G516="",0,G516)*R516-S516,2))</f>
        <v>0</v>
      </c>
      <c r="U516" s="38">
        <f>IF(B516="","",IF(E516="Tip","Yes","No"))</f>
        <v>0</v>
      </c>
      <c r="V516" s="15">
        <f>IF(B516="","",IF(H516&lt;&gt;"","Sale "&amp;H516,IF(I516&lt;&gt;"","Booking "&amp;I516,IF(E516="Tip","Stylist","Unapplied"))))</f>
        <v>0</v>
      </c>
      <c r="W516" s="39">
        <f>IF(B516="","",IF(G516="","Add - no amount yet",IF(E516="","Add - what was this for?",IF(IF(H516="",FALSE,COUNTIF(Sales!$A$5:$A$1204,H516)=0),"Missing - no sale with that ID",IF(IF(I516="",FALSE,COUNTIF(Appointments!$A$5:$A$1204,I516)=0),"Missing - no booking with that ID",IF(IF(E516="Tip",J516="",FALSE),"Assign - whose tip is it?",IF(IF(E516="Deposit",IF(H516="",I516="",FALSE),FALSE),"Check - deposit not tied to a booking",IF(M516="No","Due - not reconciled yet","OK"))))))))</f>
        <v>0</v>
      </c>
    </row>
    <row r="517" spans="1:23">
      <c r="A517" s="28">
        <f>IF(B517="","",PaymentPrefix&amp;TEXT(ROW()-4,"0000"))</f>
        <v>0</v>
      </c>
      <c r="D517" s="15">
        <f>IF(C517="","",IFERROR(INDEX(Clients!$B$5:$B$504,MATCH(C517,Clients!$A$5:$A$504,0)),"Walk-in"))</f>
        <v>0</v>
      </c>
      <c r="K517" s="15">
        <f>IF(J517="","",IFERROR(INDEX(Staff!$B$5:$B$44,MATCH(J517,Staff!$A$5:$A$44,0)),""))</f>
        <v>0</v>
      </c>
      <c r="O517" s="15">
        <f>IF(B517="","",TEXT(B517,"yyyy-mm"))</f>
        <v>0</v>
      </c>
      <c r="P517" s="25">
        <f>IF(B517="","",WEEKNUM(B517,2))</f>
        <v>0</v>
      </c>
      <c r="Q517" s="38">
        <f>IF(B517="","",IF(E517="Tip","No",IF(E517="Refund","No","Yes")))</f>
        <v>0</v>
      </c>
      <c r="R517" s="25">
        <f>IF(B517="","",IF(E517="Refund",-1,1))</f>
        <v>0</v>
      </c>
      <c r="S517" s="26">
        <f>IF(B517="","",IF(G517="",0,IF(F517="Card",ROUND(G517*CardFeePercent+CardFeeFixed,2),IF(F517="Online deposit",ROUND(G517*CardFeePercent+CardFeeFixed,2),0))))</f>
        <v>0</v>
      </c>
      <c r="T517" s="26">
        <f>IF(B517="","",ROUND(IF(G517="",0,G517)*R517-S517,2))</f>
        <v>0</v>
      </c>
      <c r="U517" s="38">
        <f>IF(B517="","",IF(E517="Tip","Yes","No"))</f>
        <v>0</v>
      </c>
      <c r="V517" s="15">
        <f>IF(B517="","",IF(H517&lt;&gt;"","Sale "&amp;H517,IF(I517&lt;&gt;"","Booking "&amp;I517,IF(E517="Tip","Stylist","Unapplied"))))</f>
        <v>0</v>
      </c>
      <c r="W517" s="39">
        <f>IF(B517="","",IF(G517="","Add - no amount yet",IF(E517="","Add - what was this for?",IF(IF(H517="",FALSE,COUNTIF(Sales!$A$5:$A$1204,H517)=0),"Missing - no sale with that ID",IF(IF(I517="",FALSE,COUNTIF(Appointments!$A$5:$A$1204,I517)=0),"Missing - no booking with that ID",IF(IF(E517="Tip",J517="",FALSE),"Assign - whose tip is it?",IF(IF(E517="Deposit",IF(H517="",I517="",FALSE),FALSE),"Check - deposit not tied to a booking",IF(M517="No","Due - not reconciled yet","OK"))))))))</f>
        <v>0</v>
      </c>
    </row>
    <row r="518" spans="1:23">
      <c r="A518" s="28">
        <f>IF(B518="","",PaymentPrefix&amp;TEXT(ROW()-4,"0000"))</f>
        <v>0</v>
      </c>
      <c r="D518" s="15">
        <f>IF(C518="","",IFERROR(INDEX(Clients!$B$5:$B$504,MATCH(C518,Clients!$A$5:$A$504,0)),"Walk-in"))</f>
        <v>0</v>
      </c>
      <c r="K518" s="15">
        <f>IF(J518="","",IFERROR(INDEX(Staff!$B$5:$B$44,MATCH(J518,Staff!$A$5:$A$44,0)),""))</f>
        <v>0</v>
      </c>
      <c r="O518" s="15">
        <f>IF(B518="","",TEXT(B518,"yyyy-mm"))</f>
        <v>0</v>
      </c>
      <c r="P518" s="25">
        <f>IF(B518="","",WEEKNUM(B518,2))</f>
        <v>0</v>
      </c>
      <c r="Q518" s="38">
        <f>IF(B518="","",IF(E518="Tip","No",IF(E518="Refund","No","Yes")))</f>
        <v>0</v>
      </c>
      <c r="R518" s="25">
        <f>IF(B518="","",IF(E518="Refund",-1,1))</f>
        <v>0</v>
      </c>
      <c r="S518" s="26">
        <f>IF(B518="","",IF(G518="",0,IF(F518="Card",ROUND(G518*CardFeePercent+CardFeeFixed,2),IF(F518="Online deposit",ROUND(G518*CardFeePercent+CardFeeFixed,2),0))))</f>
        <v>0</v>
      </c>
      <c r="T518" s="26">
        <f>IF(B518="","",ROUND(IF(G518="",0,G518)*R518-S518,2))</f>
        <v>0</v>
      </c>
      <c r="U518" s="38">
        <f>IF(B518="","",IF(E518="Tip","Yes","No"))</f>
        <v>0</v>
      </c>
      <c r="V518" s="15">
        <f>IF(B518="","",IF(H518&lt;&gt;"","Sale "&amp;H518,IF(I518&lt;&gt;"","Booking "&amp;I518,IF(E518="Tip","Stylist","Unapplied"))))</f>
        <v>0</v>
      </c>
      <c r="W518" s="39">
        <f>IF(B518="","",IF(G518="","Add - no amount yet",IF(E518="","Add - what was this for?",IF(IF(H518="",FALSE,COUNTIF(Sales!$A$5:$A$1204,H518)=0),"Missing - no sale with that ID",IF(IF(I518="",FALSE,COUNTIF(Appointments!$A$5:$A$1204,I518)=0),"Missing - no booking with that ID",IF(IF(E518="Tip",J518="",FALSE),"Assign - whose tip is it?",IF(IF(E518="Deposit",IF(H518="",I518="",FALSE),FALSE),"Check - deposit not tied to a booking",IF(M518="No","Due - not reconciled yet","OK"))))))))</f>
        <v>0</v>
      </c>
    </row>
    <row r="519" spans="1:23">
      <c r="A519" s="28">
        <f>IF(B519="","",PaymentPrefix&amp;TEXT(ROW()-4,"0000"))</f>
        <v>0</v>
      </c>
      <c r="D519" s="15">
        <f>IF(C519="","",IFERROR(INDEX(Clients!$B$5:$B$504,MATCH(C519,Clients!$A$5:$A$504,0)),"Walk-in"))</f>
        <v>0</v>
      </c>
      <c r="K519" s="15">
        <f>IF(J519="","",IFERROR(INDEX(Staff!$B$5:$B$44,MATCH(J519,Staff!$A$5:$A$44,0)),""))</f>
        <v>0</v>
      </c>
      <c r="O519" s="15">
        <f>IF(B519="","",TEXT(B519,"yyyy-mm"))</f>
        <v>0</v>
      </c>
      <c r="P519" s="25">
        <f>IF(B519="","",WEEKNUM(B519,2))</f>
        <v>0</v>
      </c>
      <c r="Q519" s="38">
        <f>IF(B519="","",IF(E519="Tip","No",IF(E519="Refund","No","Yes")))</f>
        <v>0</v>
      </c>
      <c r="R519" s="25">
        <f>IF(B519="","",IF(E519="Refund",-1,1))</f>
        <v>0</v>
      </c>
      <c r="S519" s="26">
        <f>IF(B519="","",IF(G519="",0,IF(F519="Card",ROUND(G519*CardFeePercent+CardFeeFixed,2),IF(F519="Online deposit",ROUND(G519*CardFeePercent+CardFeeFixed,2),0))))</f>
        <v>0</v>
      </c>
      <c r="T519" s="26">
        <f>IF(B519="","",ROUND(IF(G519="",0,G519)*R519-S519,2))</f>
        <v>0</v>
      </c>
      <c r="U519" s="38">
        <f>IF(B519="","",IF(E519="Tip","Yes","No"))</f>
        <v>0</v>
      </c>
      <c r="V519" s="15">
        <f>IF(B519="","",IF(H519&lt;&gt;"","Sale "&amp;H519,IF(I519&lt;&gt;"","Booking "&amp;I519,IF(E519="Tip","Stylist","Unapplied"))))</f>
        <v>0</v>
      </c>
      <c r="W519" s="39">
        <f>IF(B519="","",IF(G519="","Add - no amount yet",IF(E519="","Add - what was this for?",IF(IF(H519="",FALSE,COUNTIF(Sales!$A$5:$A$1204,H519)=0),"Missing - no sale with that ID",IF(IF(I519="",FALSE,COUNTIF(Appointments!$A$5:$A$1204,I519)=0),"Missing - no booking with that ID",IF(IF(E519="Tip",J519="",FALSE),"Assign - whose tip is it?",IF(IF(E519="Deposit",IF(H519="",I519="",FALSE),FALSE),"Check - deposit not tied to a booking",IF(M519="No","Due - not reconciled yet","OK"))))))))</f>
        <v>0</v>
      </c>
    </row>
    <row r="520" spans="1:23">
      <c r="A520" s="28">
        <f>IF(B520="","",PaymentPrefix&amp;TEXT(ROW()-4,"0000"))</f>
        <v>0</v>
      </c>
      <c r="D520" s="15">
        <f>IF(C520="","",IFERROR(INDEX(Clients!$B$5:$B$504,MATCH(C520,Clients!$A$5:$A$504,0)),"Walk-in"))</f>
        <v>0</v>
      </c>
      <c r="K520" s="15">
        <f>IF(J520="","",IFERROR(INDEX(Staff!$B$5:$B$44,MATCH(J520,Staff!$A$5:$A$44,0)),""))</f>
        <v>0</v>
      </c>
      <c r="O520" s="15">
        <f>IF(B520="","",TEXT(B520,"yyyy-mm"))</f>
        <v>0</v>
      </c>
      <c r="P520" s="25">
        <f>IF(B520="","",WEEKNUM(B520,2))</f>
        <v>0</v>
      </c>
      <c r="Q520" s="38">
        <f>IF(B520="","",IF(E520="Tip","No",IF(E520="Refund","No","Yes")))</f>
        <v>0</v>
      </c>
      <c r="R520" s="25">
        <f>IF(B520="","",IF(E520="Refund",-1,1))</f>
        <v>0</v>
      </c>
      <c r="S520" s="26">
        <f>IF(B520="","",IF(G520="",0,IF(F520="Card",ROUND(G520*CardFeePercent+CardFeeFixed,2),IF(F520="Online deposit",ROUND(G520*CardFeePercent+CardFeeFixed,2),0))))</f>
        <v>0</v>
      </c>
      <c r="T520" s="26">
        <f>IF(B520="","",ROUND(IF(G520="",0,G520)*R520-S520,2))</f>
        <v>0</v>
      </c>
      <c r="U520" s="38">
        <f>IF(B520="","",IF(E520="Tip","Yes","No"))</f>
        <v>0</v>
      </c>
      <c r="V520" s="15">
        <f>IF(B520="","",IF(H520&lt;&gt;"","Sale "&amp;H520,IF(I520&lt;&gt;"","Booking "&amp;I520,IF(E520="Tip","Stylist","Unapplied"))))</f>
        <v>0</v>
      </c>
      <c r="W520" s="39">
        <f>IF(B520="","",IF(G520="","Add - no amount yet",IF(E520="","Add - what was this for?",IF(IF(H520="",FALSE,COUNTIF(Sales!$A$5:$A$1204,H520)=0),"Missing - no sale with that ID",IF(IF(I520="",FALSE,COUNTIF(Appointments!$A$5:$A$1204,I520)=0),"Missing - no booking with that ID",IF(IF(E520="Tip",J520="",FALSE),"Assign - whose tip is it?",IF(IF(E520="Deposit",IF(H520="",I520="",FALSE),FALSE),"Check - deposit not tied to a booking",IF(M520="No","Due - not reconciled yet","OK"))))))))</f>
        <v>0</v>
      </c>
    </row>
    <row r="521" spans="1:23">
      <c r="A521" s="28">
        <f>IF(B521="","",PaymentPrefix&amp;TEXT(ROW()-4,"0000"))</f>
        <v>0</v>
      </c>
      <c r="D521" s="15">
        <f>IF(C521="","",IFERROR(INDEX(Clients!$B$5:$B$504,MATCH(C521,Clients!$A$5:$A$504,0)),"Walk-in"))</f>
        <v>0</v>
      </c>
      <c r="K521" s="15">
        <f>IF(J521="","",IFERROR(INDEX(Staff!$B$5:$B$44,MATCH(J521,Staff!$A$5:$A$44,0)),""))</f>
        <v>0</v>
      </c>
      <c r="O521" s="15">
        <f>IF(B521="","",TEXT(B521,"yyyy-mm"))</f>
        <v>0</v>
      </c>
      <c r="P521" s="25">
        <f>IF(B521="","",WEEKNUM(B521,2))</f>
        <v>0</v>
      </c>
      <c r="Q521" s="38">
        <f>IF(B521="","",IF(E521="Tip","No",IF(E521="Refund","No","Yes")))</f>
        <v>0</v>
      </c>
      <c r="R521" s="25">
        <f>IF(B521="","",IF(E521="Refund",-1,1))</f>
        <v>0</v>
      </c>
      <c r="S521" s="26">
        <f>IF(B521="","",IF(G521="",0,IF(F521="Card",ROUND(G521*CardFeePercent+CardFeeFixed,2),IF(F521="Online deposit",ROUND(G521*CardFeePercent+CardFeeFixed,2),0))))</f>
        <v>0</v>
      </c>
      <c r="T521" s="26">
        <f>IF(B521="","",ROUND(IF(G521="",0,G521)*R521-S521,2))</f>
        <v>0</v>
      </c>
      <c r="U521" s="38">
        <f>IF(B521="","",IF(E521="Tip","Yes","No"))</f>
        <v>0</v>
      </c>
      <c r="V521" s="15">
        <f>IF(B521="","",IF(H521&lt;&gt;"","Sale "&amp;H521,IF(I521&lt;&gt;"","Booking "&amp;I521,IF(E521="Tip","Stylist","Unapplied"))))</f>
        <v>0</v>
      </c>
      <c r="W521" s="39">
        <f>IF(B521="","",IF(G521="","Add - no amount yet",IF(E521="","Add - what was this for?",IF(IF(H521="",FALSE,COUNTIF(Sales!$A$5:$A$1204,H521)=0),"Missing - no sale with that ID",IF(IF(I521="",FALSE,COUNTIF(Appointments!$A$5:$A$1204,I521)=0),"Missing - no booking with that ID",IF(IF(E521="Tip",J521="",FALSE),"Assign - whose tip is it?",IF(IF(E521="Deposit",IF(H521="",I521="",FALSE),FALSE),"Check - deposit not tied to a booking",IF(M521="No","Due - not reconciled yet","OK"))))))))</f>
        <v>0</v>
      </c>
    </row>
    <row r="522" spans="1:23">
      <c r="A522" s="28">
        <f>IF(B522="","",PaymentPrefix&amp;TEXT(ROW()-4,"0000"))</f>
        <v>0</v>
      </c>
      <c r="D522" s="15">
        <f>IF(C522="","",IFERROR(INDEX(Clients!$B$5:$B$504,MATCH(C522,Clients!$A$5:$A$504,0)),"Walk-in"))</f>
        <v>0</v>
      </c>
      <c r="K522" s="15">
        <f>IF(J522="","",IFERROR(INDEX(Staff!$B$5:$B$44,MATCH(J522,Staff!$A$5:$A$44,0)),""))</f>
        <v>0</v>
      </c>
      <c r="O522" s="15">
        <f>IF(B522="","",TEXT(B522,"yyyy-mm"))</f>
        <v>0</v>
      </c>
      <c r="P522" s="25">
        <f>IF(B522="","",WEEKNUM(B522,2))</f>
        <v>0</v>
      </c>
      <c r="Q522" s="38">
        <f>IF(B522="","",IF(E522="Tip","No",IF(E522="Refund","No","Yes")))</f>
        <v>0</v>
      </c>
      <c r="R522" s="25">
        <f>IF(B522="","",IF(E522="Refund",-1,1))</f>
        <v>0</v>
      </c>
      <c r="S522" s="26">
        <f>IF(B522="","",IF(G522="",0,IF(F522="Card",ROUND(G522*CardFeePercent+CardFeeFixed,2),IF(F522="Online deposit",ROUND(G522*CardFeePercent+CardFeeFixed,2),0))))</f>
        <v>0</v>
      </c>
      <c r="T522" s="26">
        <f>IF(B522="","",ROUND(IF(G522="",0,G522)*R522-S522,2))</f>
        <v>0</v>
      </c>
      <c r="U522" s="38">
        <f>IF(B522="","",IF(E522="Tip","Yes","No"))</f>
        <v>0</v>
      </c>
      <c r="V522" s="15">
        <f>IF(B522="","",IF(H522&lt;&gt;"","Sale "&amp;H522,IF(I522&lt;&gt;"","Booking "&amp;I522,IF(E522="Tip","Stylist","Unapplied"))))</f>
        <v>0</v>
      </c>
      <c r="W522" s="39">
        <f>IF(B522="","",IF(G522="","Add - no amount yet",IF(E522="","Add - what was this for?",IF(IF(H522="",FALSE,COUNTIF(Sales!$A$5:$A$1204,H522)=0),"Missing - no sale with that ID",IF(IF(I522="",FALSE,COUNTIF(Appointments!$A$5:$A$1204,I522)=0),"Missing - no booking with that ID",IF(IF(E522="Tip",J522="",FALSE),"Assign - whose tip is it?",IF(IF(E522="Deposit",IF(H522="",I522="",FALSE),FALSE),"Check - deposit not tied to a booking",IF(M522="No","Due - not reconciled yet","OK"))))))))</f>
        <v>0</v>
      </c>
    </row>
    <row r="523" spans="1:23">
      <c r="A523" s="28">
        <f>IF(B523="","",PaymentPrefix&amp;TEXT(ROW()-4,"0000"))</f>
        <v>0</v>
      </c>
      <c r="D523" s="15">
        <f>IF(C523="","",IFERROR(INDEX(Clients!$B$5:$B$504,MATCH(C523,Clients!$A$5:$A$504,0)),"Walk-in"))</f>
        <v>0</v>
      </c>
      <c r="K523" s="15">
        <f>IF(J523="","",IFERROR(INDEX(Staff!$B$5:$B$44,MATCH(J523,Staff!$A$5:$A$44,0)),""))</f>
        <v>0</v>
      </c>
      <c r="O523" s="15">
        <f>IF(B523="","",TEXT(B523,"yyyy-mm"))</f>
        <v>0</v>
      </c>
      <c r="P523" s="25">
        <f>IF(B523="","",WEEKNUM(B523,2))</f>
        <v>0</v>
      </c>
      <c r="Q523" s="38">
        <f>IF(B523="","",IF(E523="Tip","No",IF(E523="Refund","No","Yes")))</f>
        <v>0</v>
      </c>
      <c r="R523" s="25">
        <f>IF(B523="","",IF(E523="Refund",-1,1))</f>
        <v>0</v>
      </c>
      <c r="S523" s="26">
        <f>IF(B523="","",IF(G523="",0,IF(F523="Card",ROUND(G523*CardFeePercent+CardFeeFixed,2),IF(F523="Online deposit",ROUND(G523*CardFeePercent+CardFeeFixed,2),0))))</f>
        <v>0</v>
      </c>
      <c r="T523" s="26">
        <f>IF(B523="","",ROUND(IF(G523="",0,G523)*R523-S523,2))</f>
        <v>0</v>
      </c>
      <c r="U523" s="38">
        <f>IF(B523="","",IF(E523="Tip","Yes","No"))</f>
        <v>0</v>
      </c>
      <c r="V523" s="15">
        <f>IF(B523="","",IF(H523&lt;&gt;"","Sale "&amp;H523,IF(I523&lt;&gt;"","Booking "&amp;I523,IF(E523="Tip","Stylist","Unapplied"))))</f>
        <v>0</v>
      </c>
      <c r="W523" s="39">
        <f>IF(B523="","",IF(G523="","Add - no amount yet",IF(E523="","Add - what was this for?",IF(IF(H523="",FALSE,COUNTIF(Sales!$A$5:$A$1204,H523)=0),"Missing - no sale with that ID",IF(IF(I523="",FALSE,COUNTIF(Appointments!$A$5:$A$1204,I523)=0),"Missing - no booking with that ID",IF(IF(E523="Tip",J523="",FALSE),"Assign - whose tip is it?",IF(IF(E523="Deposit",IF(H523="",I523="",FALSE),FALSE),"Check - deposit not tied to a booking",IF(M523="No","Due - not reconciled yet","OK"))))))))</f>
        <v>0</v>
      </c>
    </row>
    <row r="524" spans="1:23">
      <c r="A524" s="28">
        <f>IF(B524="","",PaymentPrefix&amp;TEXT(ROW()-4,"0000"))</f>
        <v>0</v>
      </c>
      <c r="D524" s="15">
        <f>IF(C524="","",IFERROR(INDEX(Clients!$B$5:$B$504,MATCH(C524,Clients!$A$5:$A$504,0)),"Walk-in"))</f>
        <v>0</v>
      </c>
      <c r="K524" s="15">
        <f>IF(J524="","",IFERROR(INDEX(Staff!$B$5:$B$44,MATCH(J524,Staff!$A$5:$A$44,0)),""))</f>
        <v>0</v>
      </c>
      <c r="O524" s="15">
        <f>IF(B524="","",TEXT(B524,"yyyy-mm"))</f>
        <v>0</v>
      </c>
      <c r="P524" s="25">
        <f>IF(B524="","",WEEKNUM(B524,2))</f>
        <v>0</v>
      </c>
      <c r="Q524" s="38">
        <f>IF(B524="","",IF(E524="Tip","No",IF(E524="Refund","No","Yes")))</f>
        <v>0</v>
      </c>
      <c r="R524" s="25">
        <f>IF(B524="","",IF(E524="Refund",-1,1))</f>
        <v>0</v>
      </c>
      <c r="S524" s="26">
        <f>IF(B524="","",IF(G524="",0,IF(F524="Card",ROUND(G524*CardFeePercent+CardFeeFixed,2),IF(F524="Online deposit",ROUND(G524*CardFeePercent+CardFeeFixed,2),0))))</f>
        <v>0</v>
      </c>
      <c r="T524" s="26">
        <f>IF(B524="","",ROUND(IF(G524="",0,G524)*R524-S524,2))</f>
        <v>0</v>
      </c>
      <c r="U524" s="38">
        <f>IF(B524="","",IF(E524="Tip","Yes","No"))</f>
        <v>0</v>
      </c>
      <c r="V524" s="15">
        <f>IF(B524="","",IF(H524&lt;&gt;"","Sale "&amp;H524,IF(I524&lt;&gt;"","Booking "&amp;I524,IF(E524="Tip","Stylist","Unapplied"))))</f>
        <v>0</v>
      </c>
      <c r="W524" s="39">
        <f>IF(B524="","",IF(G524="","Add - no amount yet",IF(E524="","Add - what was this for?",IF(IF(H524="",FALSE,COUNTIF(Sales!$A$5:$A$1204,H524)=0),"Missing - no sale with that ID",IF(IF(I524="",FALSE,COUNTIF(Appointments!$A$5:$A$1204,I524)=0),"Missing - no booking with that ID",IF(IF(E524="Tip",J524="",FALSE),"Assign - whose tip is it?",IF(IF(E524="Deposit",IF(H524="",I524="",FALSE),FALSE),"Check - deposit not tied to a booking",IF(M524="No","Due - not reconciled yet","OK"))))))))</f>
        <v>0</v>
      </c>
    </row>
    <row r="525" spans="1:23">
      <c r="A525" s="28">
        <f>IF(B525="","",PaymentPrefix&amp;TEXT(ROW()-4,"0000"))</f>
        <v>0</v>
      </c>
      <c r="D525" s="15">
        <f>IF(C525="","",IFERROR(INDEX(Clients!$B$5:$B$504,MATCH(C525,Clients!$A$5:$A$504,0)),"Walk-in"))</f>
        <v>0</v>
      </c>
      <c r="K525" s="15">
        <f>IF(J525="","",IFERROR(INDEX(Staff!$B$5:$B$44,MATCH(J525,Staff!$A$5:$A$44,0)),""))</f>
        <v>0</v>
      </c>
      <c r="O525" s="15">
        <f>IF(B525="","",TEXT(B525,"yyyy-mm"))</f>
        <v>0</v>
      </c>
      <c r="P525" s="25">
        <f>IF(B525="","",WEEKNUM(B525,2))</f>
        <v>0</v>
      </c>
      <c r="Q525" s="38">
        <f>IF(B525="","",IF(E525="Tip","No",IF(E525="Refund","No","Yes")))</f>
        <v>0</v>
      </c>
      <c r="R525" s="25">
        <f>IF(B525="","",IF(E525="Refund",-1,1))</f>
        <v>0</v>
      </c>
      <c r="S525" s="26">
        <f>IF(B525="","",IF(G525="",0,IF(F525="Card",ROUND(G525*CardFeePercent+CardFeeFixed,2),IF(F525="Online deposit",ROUND(G525*CardFeePercent+CardFeeFixed,2),0))))</f>
        <v>0</v>
      </c>
      <c r="T525" s="26">
        <f>IF(B525="","",ROUND(IF(G525="",0,G525)*R525-S525,2))</f>
        <v>0</v>
      </c>
      <c r="U525" s="38">
        <f>IF(B525="","",IF(E525="Tip","Yes","No"))</f>
        <v>0</v>
      </c>
      <c r="V525" s="15">
        <f>IF(B525="","",IF(H525&lt;&gt;"","Sale "&amp;H525,IF(I525&lt;&gt;"","Booking "&amp;I525,IF(E525="Tip","Stylist","Unapplied"))))</f>
        <v>0</v>
      </c>
      <c r="W525" s="39">
        <f>IF(B525="","",IF(G525="","Add - no amount yet",IF(E525="","Add - what was this for?",IF(IF(H525="",FALSE,COUNTIF(Sales!$A$5:$A$1204,H525)=0),"Missing - no sale with that ID",IF(IF(I525="",FALSE,COUNTIF(Appointments!$A$5:$A$1204,I525)=0),"Missing - no booking with that ID",IF(IF(E525="Tip",J525="",FALSE),"Assign - whose tip is it?",IF(IF(E525="Deposit",IF(H525="",I525="",FALSE),FALSE),"Check - deposit not tied to a booking",IF(M525="No","Due - not reconciled yet","OK"))))))))</f>
        <v>0</v>
      </c>
    </row>
    <row r="526" spans="1:23">
      <c r="A526" s="28">
        <f>IF(B526="","",PaymentPrefix&amp;TEXT(ROW()-4,"0000"))</f>
        <v>0</v>
      </c>
      <c r="D526" s="15">
        <f>IF(C526="","",IFERROR(INDEX(Clients!$B$5:$B$504,MATCH(C526,Clients!$A$5:$A$504,0)),"Walk-in"))</f>
        <v>0</v>
      </c>
      <c r="K526" s="15">
        <f>IF(J526="","",IFERROR(INDEX(Staff!$B$5:$B$44,MATCH(J526,Staff!$A$5:$A$44,0)),""))</f>
        <v>0</v>
      </c>
      <c r="O526" s="15">
        <f>IF(B526="","",TEXT(B526,"yyyy-mm"))</f>
        <v>0</v>
      </c>
      <c r="P526" s="25">
        <f>IF(B526="","",WEEKNUM(B526,2))</f>
        <v>0</v>
      </c>
      <c r="Q526" s="38">
        <f>IF(B526="","",IF(E526="Tip","No",IF(E526="Refund","No","Yes")))</f>
        <v>0</v>
      </c>
      <c r="R526" s="25">
        <f>IF(B526="","",IF(E526="Refund",-1,1))</f>
        <v>0</v>
      </c>
      <c r="S526" s="26">
        <f>IF(B526="","",IF(G526="",0,IF(F526="Card",ROUND(G526*CardFeePercent+CardFeeFixed,2),IF(F526="Online deposit",ROUND(G526*CardFeePercent+CardFeeFixed,2),0))))</f>
        <v>0</v>
      </c>
      <c r="T526" s="26">
        <f>IF(B526="","",ROUND(IF(G526="",0,G526)*R526-S526,2))</f>
        <v>0</v>
      </c>
      <c r="U526" s="38">
        <f>IF(B526="","",IF(E526="Tip","Yes","No"))</f>
        <v>0</v>
      </c>
      <c r="V526" s="15">
        <f>IF(B526="","",IF(H526&lt;&gt;"","Sale "&amp;H526,IF(I526&lt;&gt;"","Booking "&amp;I526,IF(E526="Tip","Stylist","Unapplied"))))</f>
        <v>0</v>
      </c>
      <c r="W526" s="39">
        <f>IF(B526="","",IF(G526="","Add - no amount yet",IF(E526="","Add - what was this for?",IF(IF(H526="",FALSE,COUNTIF(Sales!$A$5:$A$1204,H526)=0),"Missing - no sale with that ID",IF(IF(I526="",FALSE,COUNTIF(Appointments!$A$5:$A$1204,I526)=0),"Missing - no booking with that ID",IF(IF(E526="Tip",J526="",FALSE),"Assign - whose tip is it?",IF(IF(E526="Deposit",IF(H526="",I526="",FALSE),FALSE),"Check - deposit not tied to a booking",IF(M526="No","Due - not reconciled yet","OK"))))))))</f>
        <v>0</v>
      </c>
    </row>
    <row r="527" spans="1:23">
      <c r="A527" s="28">
        <f>IF(B527="","",PaymentPrefix&amp;TEXT(ROW()-4,"0000"))</f>
        <v>0</v>
      </c>
      <c r="D527" s="15">
        <f>IF(C527="","",IFERROR(INDEX(Clients!$B$5:$B$504,MATCH(C527,Clients!$A$5:$A$504,0)),"Walk-in"))</f>
        <v>0</v>
      </c>
      <c r="K527" s="15">
        <f>IF(J527="","",IFERROR(INDEX(Staff!$B$5:$B$44,MATCH(J527,Staff!$A$5:$A$44,0)),""))</f>
        <v>0</v>
      </c>
      <c r="O527" s="15">
        <f>IF(B527="","",TEXT(B527,"yyyy-mm"))</f>
        <v>0</v>
      </c>
      <c r="P527" s="25">
        <f>IF(B527="","",WEEKNUM(B527,2))</f>
        <v>0</v>
      </c>
      <c r="Q527" s="38">
        <f>IF(B527="","",IF(E527="Tip","No",IF(E527="Refund","No","Yes")))</f>
        <v>0</v>
      </c>
      <c r="R527" s="25">
        <f>IF(B527="","",IF(E527="Refund",-1,1))</f>
        <v>0</v>
      </c>
      <c r="S527" s="26">
        <f>IF(B527="","",IF(G527="",0,IF(F527="Card",ROUND(G527*CardFeePercent+CardFeeFixed,2),IF(F527="Online deposit",ROUND(G527*CardFeePercent+CardFeeFixed,2),0))))</f>
        <v>0</v>
      </c>
      <c r="T527" s="26">
        <f>IF(B527="","",ROUND(IF(G527="",0,G527)*R527-S527,2))</f>
        <v>0</v>
      </c>
      <c r="U527" s="38">
        <f>IF(B527="","",IF(E527="Tip","Yes","No"))</f>
        <v>0</v>
      </c>
      <c r="V527" s="15">
        <f>IF(B527="","",IF(H527&lt;&gt;"","Sale "&amp;H527,IF(I527&lt;&gt;"","Booking "&amp;I527,IF(E527="Tip","Stylist","Unapplied"))))</f>
        <v>0</v>
      </c>
      <c r="W527" s="39">
        <f>IF(B527="","",IF(G527="","Add - no amount yet",IF(E527="","Add - what was this for?",IF(IF(H527="",FALSE,COUNTIF(Sales!$A$5:$A$1204,H527)=0),"Missing - no sale with that ID",IF(IF(I527="",FALSE,COUNTIF(Appointments!$A$5:$A$1204,I527)=0),"Missing - no booking with that ID",IF(IF(E527="Tip",J527="",FALSE),"Assign - whose tip is it?",IF(IF(E527="Deposit",IF(H527="",I527="",FALSE),FALSE),"Check - deposit not tied to a booking",IF(M527="No","Due - not reconciled yet","OK"))))))))</f>
        <v>0</v>
      </c>
    </row>
    <row r="528" spans="1:23">
      <c r="A528" s="28">
        <f>IF(B528="","",PaymentPrefix&amp;TEXT(ROW()-4,"0000"))</f>
        <v>0</v>
      </c>
      <c r="D528" s="15">
        <f>IF(C528="","",IFERROR(INDEX(Clients!$B$5:$B$504,MATCH(C528,Clients!$A$5:$A$504,0)),"Walk-in"))</f>
        <v>0</v>
      </c>
      <c r="K528" s="15">
        <f>IF(J528="","",IFERROR(INDEX(Staff!$B$5:$B$44,MATCH(J528,Staff!$A$5:$A$44,0)),""))</f>
        <v>0</v>
      </c>
      <c r="O528" s="15">
        <f>IF(B528="","",TEXT(B528,"yyyy-mm"))</f>
        <v>0</v>
      </c>
      <c r="P528" s="25">
        <f>IF(B528="","",WEEKNUM(B528,2))</f>
        <v>0</v>
      </c>
      <c r="Q528" s="38">
        <f>IF(B528="","",IF(E528="Tip","No",IF(E528="Refund","No","Yes")))</f>
        <v>0</v>
      </c>
      <c r="R528" s="25">
        <f>IF(B528="","",IF(E528="Refund",-1,1))</f>
        <v>0</v>
      </c>
      <c r="S528" s="26">
        <f>IF(B528="","",IF(G528="",0,IF(F528="Card",ROUND(G528*CardFeePercent+CardFeeFixed,2),IF(F528="Online deposit",ROUND(G528*CardFeePercent+CardFeeFixed,2),0))))</f>
        <v>0</v>
      </c>
      <c r="T528" s="26">
        <f>IF(B528="","",ROUND(IF(G528="",0,G528)*R528-S528,2))</f>
        <v>0</v>
      </c>
      <c r="U528" s="38">
        <f>IF(B528="","",IF(E528="Tip","Yes","No"))</f>
        <v>0</v>
      </c>
      <c r="V528" s="15">
        <f>IF(B528="","",IF(H528&lt;&gt;"","Sale "&amp;H528,IF(I528&lt;&gt;"","Booking "&amp;I528,IF(E528="Tip","Stylist","Unapplied"))))</f>
        <v>0</v>
      </c>
      <c r="W528" s="39">
        <f>IF(B528="","",IF(G528="","Add - no amount yet",IF(E528="","Add - what was this for?",IF(IF(H528="",FALSE,COUNTIF(Sales!$A$5:$A$1204,H528)=0),"Missing - no sale with that ID",IF(IF(I528="",FALSE,COUNTIF(Appointments!$A$5:$A$1204,I528)=0),"Missing - no booking with that ID",IF(IF(E528="Tip",J528="",FALSE),"Assign - whose tip is it?",IF(IF(E528="Deposit",IF(H528="",I528="",FALSE),FALSE),"Check - deposit not tied to a booking",IF(M528="No","Due - not reconciled yet","OK"))))))))</f>
        <v>0</v>
      </c>
    </row>
    <row r="529" spans="1:23">
      <c r="A529" s="28">
        <f>IF(B529="","",PaymentPrefix&amp;TEXT(ROW()-4,"0000"))</f>
        <v>0</v>
      </c>
      <c r="D529" s="15">
        <f>IF(C529="","",IFERROR(INDEX(Clients!$B$5:$B$504,MATCH(C529,Clients!$A$5:$A$504,0)),"Walk-in"))</f>
        <v>0</v>
      </c>
      <c r="K529" s="15">
        <f>IF(J529="","",IFERROR(INDEX(Staff!$B$5:$B$44,MATCH(J529,Staff!$A$5:$A$44,0)),""))</f>
        <v>0</v>
      </c>
      <c r="O529" s="15">
        <f>IF(B529="","",TEXT(B529,"yyyy-mm"))</f>
        <v>0</v>
      </c>
      <c r="P529" s="25">
        <f>IF(B529="","",WEEKNUM(B529,2))</f>
        <v>0</v>
      </c>
      <c r="Q529" s="38">
        <f>IF(B529="","",IF(E529="Tip","No",IF(E529="Refund","No","Yes")))</f>
        <v>0</v>
      </c>
      <c r="R529" s="25">
        <f>IF(B529="","",IF(E529="Refund",-1,1))</f>
        <v>0</v>
      </c>
      <c r="S529" s="26">
        <f>IF(B529="","",IF(G529="",0,IF(F529="Card",ROUND(G529*CardFeePercent+CardFeeFixed,2),IF(F529="Online deposit",ROUND(G529*CardFeePercent+CardFeeFixed,2),0))))</f>
        <v>0</v>
      </c>
      <c r="T529" s="26">
        <f>IF(B529="","",ROUND(IF(G529="",0,G529)*R529-S529,2))</f>
        <v>0</v>
      </c>
      <c r="U529" s="38">
        <f>IF(B529="","",IF(E529="Tip","Yes","No"))</f>
        <v>0</v>
      </c>
      <c r="V529" s="15">
        <f>IF(B529="","",IF(H529&lt;&gt;"","Sale "&amp;H529,IF(I529&lt;&gt;"","Booking "&amp;I529,IF(E529="Tip","Stylist","Unapplied"))))</f>
        <v>0</v>
      </c>
      <c r="W529" s="39">
        <f>IF(B529="","",IF(G529="","Add - no amount yet",IF(E529="","Add - what was this for?",IF(IF(H529="",FALSE,COUNTIF(Sales!$A$5:$A$1204,H529)=0),"Missing - no sale with that ID",IF(IF(I529="",FALSE,COUNTIF(Appointments!$A$5:$A$1204,I529)=0),"Missing - no booking with that ID",IF(IF(E529="Tip",J529="",FALSE),"Assign - whose tip is it?",IF(IF(E529="Deposit",IF(H529="",I529="",FALSE),FALSE),"Check - deposit not tied to a booking",IF(M529="No","Due - not reconciled yet","OK"))))))))</f>
        <v>0</v>
      </c>
    </row>
    <row r="530" spans="1:23">
      <c r="A530" s="28">
        <f>IF(B530="","",PaymentPrefix&amp;TEXT(ROW()-4,"0000"))</f>
        <v>0</v>
      </c>
      <c r="D530" s="15">
        <f>IF(C530="","",IFERROR(INDEX(Clients!$B$5:$B$504,MATCH(C530,Clients!$A$5:$A$504,0)),"Walk-in"))</f>
        <v>0</v>
      </c>
      <c r="K530" s="15">
        <f>IF(J530="","",IFERROR(INDEX(Staff!$B$5:$B$44,MATCH(J530,Staff!$A$5:$A$44,0)),""))</f>
        <v>0</v>
      </c>
      <c r="O530" s="15">
        <f>IF(B530="","",TEXT(B530,"yyyy-mm"))</f>
        <v>0</v>
      </c>
      <c r="P530" s="25">
        <f>IF(B530="","",WEEKNUM(B530,2))</f>
        <v>0</v>
      </c>
      <c r="Q530" s="38">
        <f>IF(B530="","",IF(E530="Tip","No",IF(E530="Refund","No","Yes")))</f>
        <v>0</v>
      </c>
      <c r="R530" s="25">
        <f>IF(B530="","",IF(E530="Refund",-1,1))</f>
        <v>0</v>
      </c>
      <c r="S530" s="26">
        <f>IF(B530="","",IF(G530="",0,IF(F530="Card",ROUND(G530*CardFeePercent+CardFeeFixed,2),IF(F530="Online deposit",ROUND(G530*CardFeePercent+CardFeeFixed,2),0))))</f>
        <v>0</v>
      </c>
      <c r="T530" s="26">
        <f>IF(B530="","",ROUND(IF(G530="",0,G530)*R530-S530,2))</f>
        <v>0</v>
      </c>
      <c r="U530" s="38">
        <f>IF(B530="","",IF(E530="Tip","Yes","No"))</f>
        <v>0</v>
      </c>
      <c r="V530" s="15">
        <f>IF(B530="","",IF(H530&lt;&gt;"","Sale "&amp;H530,IF(I530&lt;&gt;"","Booking "&amp;I530,IF(E530="Tip","Stylist","Unapplied"))))</f>
        <v>0</v>
      </c>
      <c r="W530" s="39">
        <f>IF(B530="","",IF(G530="","Add - no amount yet",IF(E530="","Add - what was this for?",IF(IF(H530="",FALSE,COUNTIF(Sales!$A$5:$A$1204,H530)=0),"Missing - no sale with that ID",IF(IF(I530="",FALSE,COUNTIF(Appointments!$A$5:$A$1204,I530)=0),"Missing - no booking with that ID",IF(IF(E530="Tip",J530="",FALSE),"Assign - whose tip is it?",IF(IF(E530="Deposit",IF(H530="",I530="",FALSE),FALSE),"Check - deposit not tied to a booking",IF(M530="No","Due - not reconciled yet","OK"))))))))</f>
        <v>0</v>
      </c>
    </row>
    <row r="531" spans="1:23">
      <c r="A531" s="28">
        <f>IF(B531="","",PaymentPrefix&amp;TEXT(ROW()-4,"0000"))</f>
        <v>0</v>
      </c>
      <c r="D531" s="15">
        <f>IF(C531="","",IFERROR(INDEX(Clients!$B$5:$B$504,MATCH(C531,Clients!$A$5:$A$504,0)),"Walk-in"))</f>
        <v>0</v>
      </c>
      <c r="K531" s="15">
        <f>IF(J531="","",IFERROR(INDEX(Staff!$B$5:$B$44,MATCH(J531,Staff!$A$5:$A$44,0)),""))</f>
        <v>0</v>
      </c>
      <c r="O531" s="15">
        <f>IF(B531="","",TEXT(B531,"yyyy-mm"))</f>
        <v>0</v>
      </c>
      <c r="P531" s="25">
        <f>IF(B531="","",WEEKNUM(B531,2))</f>
        <v>0</v>
      </c>
      <c r="Q531" s="38">
        <f>IF(B531="","",IF(E531="Tip","No",IF(E531="Refund","No","Yes")))</f>
        <v>0</v>
      </c>
      <c r="R531" s="25">
        <f>IF(B531="","",IF(E531="Refund",-1,1))</f>
        <v>0</v>
      </c>
      <c r="S531" s="26">
        <f>IF(B531="","",IF(G531="",0,IF(F531="Card",ROUND(G531*CardFeePercent+CardFeeFixed,2),IF(F531="Online deposit",ROUND(G531*CardFeePercent+CardFeeFixed,2),0))))</f>
        <v>0</v>
      </c>
      <c r="T531" s="26">
        <f>IF(B531="","",ROUND(IF(G531="",0,G531)*R531-S531,2))</f>
        <v>0</v>
      </c>
      <c r="U531" s="38">
        <f>IF(B531="","",IF(E531="Tip","Yes","No"))</f>
        <v>0</v>
      </c>
      <c r="V531" s="15">
        <f>IF(B531="","",IF(H531&lt;&gt;"","Sale "&amp;H531,IF(I531&lt;&gt;"","Booking "&amp;I531,IF(E531="Tip","Stylist","Unapplied"))))</f>
        <v>0</v>
      </c>
      <c r="W531" s="39">
        <f>IF(B531="","",IF(G531="","Add - no amount yet",IF(E531="","Add - what was this for?",IF(IF(H531="",FALSE,COUNTIF(Sales!$A$5:$A$1204,H531)=0),"Missing - no sale with that ID",IF(IF(I531="",FALSE,COUNTIF(Appointments!$A$5:$A$1204,I531)=0),"Missing - no booking with that ID",IF(IF(E531="Tip",J531="",FALSE),"Assign - whose tip is it?",IF(IF(E531="Deposit",IF(H531="",I531="",FALSE),FALSE),"Check - deposit not tied to a booking",IF(M531="No","Due - not reconciled yet","OK"))))))))</f>
        <v>0</v>
      </c>
    </row>
    <row r="532" spans="1:23">
      <c r="A532" s="28">
        <f>IF(B532="","",PaymentPrefix&amp;TEXT(ROW()-4,"0000"))</f>
        <v>0</v>
      </c>
      <c r="D532" s="15">
        <f>IF(C532="","",IFERROR(INDEX(Clients!$B$5:$B$504,MATCH(C532,Clients!$A$5:$A$504,0)),"Walk-in"))</f>
        <v>0</v>
      </c>
      <c r="K532" s="15">
        <f>IF(J532="","",IFERROR(INDEX(Staff!$B$5:$B$44,MATCH(J532,Staff!$A$5:$A$44,0)),""))</f>
        <v>0</v>
      </c>
      <c r="O532" s="15">
        <f>IF(B532="","",TEXT(B532,"yyyy-mm"))</f>
        <v>0</v>
      </c>
      <c r="P532" s="25">
        <f>IF(B532="","",WEEKNUM(B532,2))</f>
        <v>0</v>
      </c>
      <c r="Q532" s="38">
        <f>IF(B532="","",IF(E532="Tip","No",IF(E532="Refund","No","Yes")))</f>
        <v>0</v>
      </c>
      <c r="R532" s="25">
        <f>IF(B532="","",IF(E532="Refund",-1,1))</f>
        <v>0</v>
      </c>
      <c r="S532" s="26">
        <f>IF(B532="","",IF(G532="",0,IF(F532="Card",ROUND(G532*CardFeePercent+CardFeeFixed,2),IF(F532="Online deposit",ROUND(G532*CardFeePercent+CardFeeFixed,2),0))))</f>
        <v>0</v>
      </c>
      <c r="T532" s="26">
        <f>IF(B532="","",ROUND(IF(G532="",0,G532)*R532-S532,2))</f>
        <v>0</v>
      </c>
      <c r="U532" s="38">
        <f>IF(B532="","",IF(E532="Tip","Yes","No"))</f>
        <v>0</v>
      </c>
      <c r="V532" s="15">
        <f>IF(B532="","",IF(H532&lt;&gt;"","Sale "&amp;H532,IF(I532&lt;&gt;"","Booking "&amp;I532,IF(E532="Tip","Stylist","Unapplied"))))</f>
        <v>0</v>
      </c>
      <c r="W532" s="39">
        <f>IF(B532="","",IF(G532="","Add - no amount yet",IF(E532="","Add - what was this for?",IF(IF(H532="",FALSE,COUNTIF(Sales!$A$5:$A$1204,H532)=0),"Missing - no sale with that ID",IF(IF(I532="",FALSE,COUNTIF(Appointments!$A$5:$A$1204,I532)=0),"Missing - no booking with that ID",IF(IF(E532="Tip",J532="",FALSE),"Assign - whose tip is it?",IF(IF(E532="Deposit",IF(H532="",I532="",FALSE),FALSE),"Check - deposit not tied to a booking",IF(M532="No","Due - not reconciled yet","OK"))))))))</f>
        <v>0</v>
      </c>
    </row>
    <row r="533" spans="1:23">
      <c r="A533" s="28">
        <f>IF(B533="","",PaymentPrefix&amp;TEXT(ROW()-4,"0000"))</f>
        <v>0</v>
      </c>
      <c r="D533" s="15">
        <f>IF(C533="","",IFERROR(INDEX(Clients!$B$5:$B$504,MATCH(C533,Clients!$A$5:$A$504,0)),"Walk-in"))</f>
        <v>0</v>
      </c>
      <c r="K533" s="15">
        <f>IF(J533="","",IFERROR(INDEX(Staff!$B$5:$B$44,MATCH(J533,Staff!$A$5:$A$44,0)),""))</f>
        <v>0</v>
      </c>
      <c r="O533" s="15">
        <f>IF(B533="","",TEXT(B533,"yyyy-mm"))</f>
        <v>0</v>
      </c>
      <c r="P533" s="25">
        <f>IF(B533="","",WEEKNUM(B533,2))</f>
        <v>0</v>
      </c>
      <c r="Q533" s="38">
        <f>IF(B533="","",IF(E533="Tip","No",IF(E533="Refund","No","Yes")))</f>
        <v>0</v>
      </c>
      <c r="R533" s="25">
        <f>IF(B533="","",IF(E533="Refund",-1,1))</f>
        <v>0</v>
      </c>
      <c r="S533" s="26">
        <f>IF(B533="","",IF(G533="",0,IF(F533="Card",ROUND(G533*CardFeePercent+CardFeeFixed,2),IF(F533="Online deposit",ROUND(G533*CardFeePercent+CardFeeFixed,2),0))))</f>
        <v>0</v>
      </c>
      <c r="T533" s="26">
        <f>IF(B533="","",ROUND(IF(G533="",0,G533)*R533-S533,2))</f>
        <v>0</v>
      </c>
      <c r="U533" s="38">
        <f>IF(B533="","",IF(E533="Tip","Yes","No"))</f>
        <v>0</v>
      </c>
      <c r="V533" s="15">
        <f>IF(B533="","",IF(H533&lt;&gt;"","Sale "&amp;H533,IF(I533&lt;&gt;"","Booking "&amp;I533,IF(E533="Tip","Stylist","Unapplied"))))</f>
        <v>0</v>
      </c>
      <c r="W533" s="39">
        <f>IF(B533="","",IF(G533="","Add - no amount yet",IF(E533="","Add - what was this for?",IF(IF(H533="",FALSE,COUNTIF(Sales!$A$5:$A$1204,H533)=0),"Missing - no sale with that ID",IF(IF(I533="",FALSE,COUNTIF(Appointments!$A$5:$A$1204,I533)=0),"Missing - no booking with that ID",IF(IF(E533="Tip",J533="",FALSE),"Assign - whose tip is it?",IF(IF(E533="Deposit",IF(H533="",I533="",FALSE),FALSE),"Check - deposit not tied to a booking",IF(M533="No","Due - not reconciled yet","OK"))))))))</f>
        <v>0</v>
      </c>
    </row>
    <row r="534" spans="1:23">
      <c r="A534" s="28">
        <f>IF(B534="","",PaymentPrefix&amp;TEXT(ROW()-4,"0000"))</f>
        <v>0</v>
      </c>
      <c r="D534" s="15">
        <f>IF(C534="","",IFERROR(INDEX(Clients!$B$5:$B$504,MATCH(C534,Clients!$A$5:$A$504,0)),"Walk-in"))</f>
        <v>0</v>
      </c>
      <c r="K534" s="15">
        <f>IF(J534="","",IFERROR(INDEX(Staff!$B$5:$B$44,MATCH(J534,Staff!$A$5:$A$44,0)),""))</f>
        <v>0</v>
      </c>
      <c r="O534" s="15">
        <f>IF(B534="","",TEXT(B534,"yyyy-mm"))</f>
        <v>0</v>
      </c>
      <c r="P534" s="25">
        <f>IF(B534="","",WEEKNUM(B534,2))</f>
        <v>0</v>
      </c>
      <c r="Q534" s="38">
        <f>IF(B534="","",IF(E534="Tip","No",IF(E534="Refund","No","Yes")))</f>
        <v>0</v>
      </c>
      <c r="R534" s="25">
        <f>IF(B534="","",IF(E534="Refund",-1,1))</f>
        <v>0</v>
      </c>
      <c r="S534" s="26">
        <f>IF(B534="","",IF(G534="",0,IF(F534="Card",ROUND(G534*CardFeePercent+CardFeeFixed,2),IF(F534="Online deposit",ROUND(G534*CardFeePercent+CardFeeFixed,2),0))))</f>
        <v>0</v>
      </c>
      <c r="T534" s="26">
        <f>IF(B534="","",ROUND(IF(G534="",0,G534)*R534-S534,2))</f>
        <v>0</v>
      </c>
      <c r="U534" s="38">
        <f>IF(B534="","",IF(E534="Tip","Yes","No"))</f>
        <v>0</v>
      </c>
      <c r="V534" s="15">
        <f>IF(B534="","",IF(H534&lt;&gt;"","Sale "&amp;H534,IF(I534&lt;&gt;"","Booking "&amp;I534,IF(E534="Tip","Stylist","Unapplied"))))</f>
        <v>0</v>
      </c>
      <c r="W534" s="39">
        <f>IF(B534="","",IF(G534="","Add - no amount yet",IF(E534="","Add - what was this for?",IF(IF(H534="",FALSE,COUNTIF(Sales!$A$5:$A$1204,H534)=0),"Missing - no sale with that ID",IF(IF(I534="",FALSE,COUNTIF(Appointments!$A$5:$A$1204,I534)=0),"Missing - no booking with that ID",IF(IF(E534="Tip",J534="",FALSE),"Assign - whose tip is it?",IF(IF(E534="Deposit",IF(H534="",I534="",FALSE),FALSE),"Check - deposit not tied to a booking",IF(M534="No","Due - not reconciled yet","OK"))))))))</f>
        <v>0</v>
      </c>
    </row>
    <row r="535" spans="1:23">
      <c r="A535" s="28">
        <f>IF(B535="","",PaymentPrefix&amp;TEXT(ROW()-4,"0000"))</f>
        <v>0</v>
      </c>
      <c r="D535" s="15">
        <f>IF(C535="","",IFERROR(INDEX(Clients!$B$5:$B$504,MATCH(C535,Clients!$A$5:$A$504,0)),"Walk-in"))</f>
        <v>0</v>
      </c>
      <c r="K535" s="15">
        <f>IF(J535="","",IFERROR(INDEX(Staff!$B$5:$B$44,MATCH(J535,Staff!$A$5:$A$44,0)),""))</f>
        <v>0</v>
      </c>
      <c r="O535" s="15">
        <f>IF(B535="","",TEXT(B535,"yyyy-mm"))</f>
        <v>0</v>
      </c>
      <c r="P535" s="25">
        <f>IF(B535="","",WEEKNUM(B535,2))</f>
        <v>0</v>
      </c>
      <c r="Q535" s="38">
        <f>IF(B535="","",IF(E535="Tip","No",IF(E535="Refund","No","Yes")))</f>
        <v>0</v>
      </c>
      <c r="R535" s="25">
        <f>IF(B535="","",IF(E535="Refund",-1,1))</f>
        <v>0</v>
      </c>
      <c r="S535" s="26">
        <f>IF(B535="","",IF(G535="",0,IF(F535="Card",ROUND(G535*CardFeePercent+CardFeeFixed,2),IF(F535="Online deposit",ROUND(G535*CardFeePercent+CardFeeFixed,2),0))))</f>
        <v>0</v>
      </c>
      <c r="T535" s="26">
        <f>IF(B535="","",ROUND(IF(G535="",0,G535)*R535-S535,2))</f>
        <v>0</v>
      </c>
      <c r="U535" s="38">
        <f>IF(B535="","",IF(E535="Tip","Yes","No"))</f>
        <v>0</v>
      </c>
      <c r="V535" s="15">
        <f>IF(B535="","",IF(H535&lt;&gt;"","Sale "&amp;H535,IF(I535&lt;&gt;"","Booking "&amp;I535,IF(E535="Tip","Stylist","Unapplied"))))</f>
        <v>0</v>
      </c>
      <c r="W535" s="39">
        <f>IF(B535="","",IF(G535="","Add - no amount yet",IF(E535="","Add - what was this for?",IF(IF(H535="",FALSE,COUNTIF(Sales!$A$5:$A$1204,H535)=0),"Missing - no sale with that ID",IF(IF(I535="",FALSE,COUNTIF(Appointments!$A$5:$A$1204,I535)=0),"Missing - no booking with that ID",IF(IF(E535="Tip",J535="",FALSE),"Assign - whose tip is it?",IF(IF(E535="Deposit",IF(H535="",I535="",FALSE),FALSE),"Check - deposit not tied to a booking",IF(M535="No","Due - not reconciled yet","OK"))))))))</f>
        <v>0</v>
      </c>
    </row>
    <row r="536" spans="1:23">
      <c r="A536" s="28">
        <f>IF(B536="","",PaymentPrefix&amp;TEXT(ROW()-4,"0000"))</f>
        <v>0</v>
      </c>
      <c r="D536" s="15">
        <f>IF(C536="","",IFERROR(INDEX(Clients!$B$5:$B$504,MATCH(C536,Clients!$A$5:$A$504,0)),"Walk-in"))</f>
        <v>0</v>
      </c>
      <c r="K536" s="15">
        <f>IF(J536="","",IFERROR(INDEX(Staff!$B$5:$B$44,MATCH(J536,Staff!$A$5:$A$44,0)),""))</f>
        <v>0</v>
      </c>
      <c r="O536" s="15">
        <f>IF(B536="","",TEXT(B536,"yyyy-mm"))</f>
        <v>0</v>
      </c>
      <c r="P536" s="25">
        <f>IF(B536="","",WEEKNUM(B536,2))</f>
        <v>0</v>
      </c>
      <c r="Q536" s="38">
        <f>IF(B536="","",IF(E536="Tip","No",IF(E536="Refund","No","Yes")))</f>
        <v>0</v>
      </c>
      <c r="R536" s="25">
        <f>IF(B536="","",IF(E536="Refund",-1,1))</f>
        <v>0</v>
      </c>
      <c r="S536" s="26">
        <f>IF(B536="","",IF(G536="",0,IF(F536="Card",ROUND(G536*CardFeePercent+CardFeeFixed,2),IF(F536="Online deposit",ROUND(G536*CardFeePercent+CardFeeFixed,2),0))))</f>
        <v>0</v>
      </c>
      <c r="T536" s="26">
        <f>IF(B536="","",ROUND(IF(G536="",0,G536)*R536-S536,2))</f>
        <v>0</v>
      </c>
      <c r="U536" s="38">
        <f>IF(B536="","",IF(E536="Tip","Yes","No"))</f>
        <v>0</v>
      </c>
      <c r="V536" s="15">
        <f>IF(B536="","",IF(H536&lt;&gt;"","Sale "&amp;H536,IF(I536&lt;&gt;"","Booking "&amp;I536,IF(E536="Tip","Stylist","Unapplied"))))</f>
        <v>0</v>
      </c>
      <c r="W536" s="39">
        <f>IF(B536="","",IF(G536="","Add - no amount yet",IF(E536="","Add - what was this for?",IF(IF(H536="",FALSE,COUNTIF(Sales!$A$5:$A$1204,H536)=0),"Missing - no sale with that ID",IF(IF(I536="",FALSE,COUNTIF(Appointments!$A$5:$A$1204,I536)=0),"Missing - no booking with that ID",IF(IF(E536="Tip",J536="",FALSE),"Assign - whose tip is it?",IF(IF(E536="Deposit",IF(H536="",I536="",FALSE),FALSE),"Check - deposit not tied to a booking",IF(M536="No","Due - not reconciled yet","OK"))))))))</f>
        <v>0</v>
      </c>
    </row>
    <row r="537" spans="1:23">
      <c r="A537" s="28">
        <f>IF(B537="","",PaymentPrefix&amp;TEXT(ROW()-4,"0000"))</f>
        <v>0</v>
      </c>
      <c r="D537" s="15">
        <f>IF(C537="","",IFERROR(INDEX(Clients!$B$5:$B$504,MATCH(C537,Clients!$A$5:$A$504,0)),"Walk-in"))</f>
        <v>0</v>
      </c>
      <c r="K537" s="15">
        <f>IF(J537="","",IFERROR(INDEX(Staff!$B$5:$B$44,MATCH(J537,Staff!$A$5:$A$44,0)),""))</f>
        <v>0</v>
      </c>
      <c r="O537" s="15">
        <f>IF(B537="","",TEXT(B537,"yyyy-mm"))</f>
        <v>0</v>
      </c>
      <c r="P537" s="25">
        <f>IF(B537="","",WEEKNUM(B537,2))</f>
        <v>0</v>
      </c>
      <c r="Q537" s="38">
        <f>IF(B537="","",IF(E537="Tip","No",IF(E537="Refund","No","Yes")))</f>
        <v>0</v>
      </c>
      <c r="R537" s="25">
        <f>IF(B537="","",IF(E537="Refund",-1,1))</f>
        <v>0</v>
      </c>
      <c r="S537" s="26">
        <f>IF(B537="","",IF(G537="",0,IF(F537="Card",ROUND(G537*CardFeePercent+CardFeeFixed,2),IF(F537="Online deposit",ROUND(G537*CardFeePercent+CardFeeFixed,2),0))))</f>
        <v>0</v>
      </c>
      <c r="T537" s="26">
        <f>IF(B537="","",ROUND(IF(G537="",0,G537)*R537-S537,2))</f>
        <v>0</v>
      </c>
      <c r="U537" s="38">
        <f>IF(B537="","",IF(E537="Tip","Yes","No"))</f>
        <v>0</v>
      </c>
      <c r="V537" s="15">
        <f>IF(B537="","",IF(H537&lt;&gt;"","Sale "&amp;H537,IF(I537&lt;&gt;"","Booking "&amp;I537,IF(E537="Tip","Stylist","Unapplied"))))</f>
        <v>0</v>
      </c>
      <c r="W537" s="39">
        <f>IF(B537="","",IF(G537="","Add - no amount yet",IF(E537="","Add - what was this for?",IF(IF(H537="",FALSE,COUNTIF(Sales!$A$5:$A$1204,H537)=0),"Missing - no sale with that ID",IF(IF(I537="",FALSE,COUNTIF(Appointments!$A$5:$A$1204,I537)=0),"Missing - no booking with that ID",IF(IF(E537="Tip",J537="",FALSE),"Assign - whose tip is it?",IF(IF(E537="Deposit",IF(H537="",I537="",FALSE),FALSE),"Check - deposit not tied to a booking",IF(M537="No","Due - not reconciled yet","OK"))))))))</f>
        <v>0</v>
      </c>
    </row>
    <row r="538" spans="1:23">
      <c r="A538" s="28">
        <f>IF(B538="","",PaymentPrefix&amp;TEXT(ROW()-4,"0000"))</f>
        <v>0</v>
      </c>
      <c r="D538" s="15">
        <f>IF(C538="","",IFERROR(INDEX(Clients!$B$5:$B$504,MATCH(C538,Clients!$A$5:$A$504,0)),"Walk-in"))</f>
        <v>0</v>
      </c>
      <c r="K538" s="15">
        <f>IF(J538="","",IFERROR(INDEX(Staff!$B$5:$B$44,MATCH(J538,Staff!$A$5:$A$44,0)),""))</f>
        <v>0</v>
      </c>
      <c r="O538" s="15">
        <f>IF(B538="","",TEXT(B538,"yyyy-mm"))</f>
        <v>0</v>
      </c>
      <c r="P538" s="25">
        <f>IF(B538="","",WEEKNUM(B538,2))</f>
        <v>0</v>
      </c>
      <c r="Q538" s="38">
        <f>IF(B538="","",IF(E538="Tip","No",IF(E538="Refund","No","Yes")))</f>
        <v>0</v>
      </c>
      <c r="R538" s="25">
        <f>IF(B538="","",IF(E538="Refund",-1,1))</f>
        <v>0</v>
      </c>
      <c r="S538" s="26">
        <f>IF(B538="","",IF(G538="",0,IF(F538="Card",ROUND(G538*CardFeePercent+CardFeeFixed,2),IF(F538="Online deposit",ROUND(G538*CardFeePercent+CardFeeFixed,2),0))))</f>
        <v>0</v>
      </c>
      <c r="T538" s="26">
        <f>IF(B538="","",ROUND(IF(G538="",0,G538)*R538-S538,2))</f>
        <v>0</v>
      </c>
      <c r="U538" s="38">
        <f>IF(B538="","",IF(E538="Tip","Yes","No"))</f>
        <v>0</v>
      </c>
      <c r="V538" s="15">
        <f>IF(B538="","",IF(H538&lt;&gt;"","Sale "&amp;H538,IF(I538&lt;&gt;"","Booking "&amp;I538,IF(E538="Tip","Stylist","Unapplied"))))</f>
        <v>0</v>
      </c>
      <c r="W538" s="39">
        <f>IF(B538="","",IF(G538="","Add - no amount yet",IF(E538="","Add - what was this for?",IF(IF(H538="",FALSE,COUNTIF(Sales!$A$5:$A$1204,H538)=0),"Missing - no sale with that ID",IF(IF(I538="",FALSE,COUNTIF(Appointments!$A$5:$A$1204,I538)=0),"Missing - no booking with that ID",IF(IF(E538="Tip",J538="",FALSE),"Assign - whose tip is it?",IF(IF(E538="Deposit",IF(H538="",I538="",FALSE),FALSE),"Check - deposit not tied to a booking",IF(M538="No","Due - not reconciled yet","OK"))))))))</f>
        <v>0</v>
      </c>
    </row>
    <row r="539" spans="1:23">
      <c r="A539" s="28">
        <f>IF(B539="","",PaymentPrefix&amp;TEXT(ROW()-4,"0000"))</f>
        <v>0</v>
      </c>
      <c r="D539" s="15">
        <f>IF(C539="","",IFERROR(INDEX(Clients!$B$5:$B$504,MATCH(C539,Clients!$A$5:$A$504,0)),"Walk-in"))</f>
        <v>0</v>
      </c>
      <c r="K539" s="15">
        <f>IF(J539="","",IFERROR(INDEX(Staff!$B$5:$B$44,MATCH(J539,Staff!$A$5:$A$44,0)),""))</f>
        <v>0</v>
      </c>
      <c r="O539" s="15">
        <f>IF(B539="","",TEXT(B539,"yyyy-mm"))</f>
        <v>0</v>
      </c>
      <c r="P539" s="25">
        <f>IF(B539="","",WEEKNUM(B539,2))</f>
        <v>0</v>
      </c>
      <c r="Q539" s="38">
        <f>IF(B539="","",IF(E539="Tip","No",IF(E539="Refund","No","Yes")))</f>
        <v>0</v>
      </c>
      <c r="R539" s="25">
        <f>IF(B539="","",IF(E539="Refund",-1,1))</f>
        <v>0</v>
      </c>
      <c r="S539" s="26">
        <f>IF(B539="","",IF(G539="",0,IF(F539="Card",ROUND(G539*CardFeePercent+CardFeeFixed,2),IF(F539="Online deposit",ROUND(G539*CardFeePercent+CardFeeFixed,2),0))))</f>
        <v>0</v>
      </c>
      <c r="T539" s="26">
        <f>IF(B539="","",ROUND(IF(G539="",0,G539)*R539-S539,2))</f>
        <v>0</v>
      </c>
      <c r="U539" s="38">
        <f>IF(B539="","",IF(E539="Tip","Yes","No"))</f>
        <v>0</v>
      </c>
      <c r="V539" s="15">
        <f>IF(B539="","",IF(H539&lt;&gt;"","Sale "&amp;H539,IF(I539&lt;&gt;"","Booking "&amp;I539,IF(E539="Tip","Stylist","Unapplied"))))</f>
        <v>0</v>
      </c>
      <c r="W539" s="39">
        <f>IF(B539="","",IF(G539="","Add - no amount yet",IF(E539="","Add - what was this for?",IF(IF(H539="",FALSE,COUNTIF(Sales!$A$5:$A$1204,H539)=0),"Missing - no sale with that ID",IF(IF(I539="",FALSE,COUNTIF(Appointments!$A$5:$A$1204,I539)=0),"Missing - no booking with that ID",IF(IF(E539="Tip",J539="",FALSE),"Assign - whose tip is it?",IF(IF(E539="Deposit",IF(H539="",I539="",FALSE),FALSE),"Check - deposit not tied to a booking",IF(M539="No","Due - not reconciled yet","OK"))))))))</f>
        <v>0</v>
      </c>
    </row>
    <row r="540" spans="1:23">
      <c r="A540" s="28">
        <f>IF(B540="","",PaymentPrefix&amp;TEXT(ROW()-4,"0000"))</f>
        <v>0</v>
      </c>
      <c r="D540" s="15">
        <f>IF(C540="","",IFERROR(INDEX(Clients!$B$5:$B$504,MATCH(C540,Clients!$A$5:$A$504,0)),"Walk-in"))</f>
        <v>0</v>
      </c>
      <c r="K540" s="15">
        <f>IF(J540="","",IFERROR(INDEX(Staff!$B$5:$B$44,MATCH(J540,Staff!$A$5:$A$44,0)),""))</f>
        <v>0</v>
      </c>
      <c r="O540" s="15">
        <f>IF(B540="","",TEXT(B540,"yyyy-mm"))</f>
        <v>0</v>
      </c>
      <c r="P540" s="25">
        <f>IF(B540="","",WEEKNUM(B540,2))</f>
        <v>0</v>
      </c>
      <c r="Q540" s="38">
        <f>IF(B540="","",IF(E540="Tip","No",IF(E540="Refund","No","Yes")))</f>
        <v>0</v>
      </c>
      <c r="R540" s="25">
        <f>IF(B540="","",IF(E540="Refund",-1,1))</f>
        <v>0</v>
      </c>
      <c r="S540" s="26">
        <f>IF(B540="","",IF(G540="",0,IF(F540="Card",ROUND(G540*CardFeePercent+CardFeeFixed,2),IF(F540="Online deposit",ROUND(G540*CardFeePercent+CardFeeFixed,2),0))))</f>
        <v>0</v>
      </c>
      <c r="T540" s="26">
        <f>IF(B540="","",ROUND(IF(G540="",0,G540)*R540-S540,2))</f>
        <v>0</v>
      </c>
      <c r="U540" s="38">
        <f>IF(B540="","",IF(E540="Tip","Yes","No"))</f>
        <v>0</v>
      </c>
      <c r="V540" s="15">
        <f>IF(B540="","",IF(H540&lt;&gt;"","Sale "&amp;H540,IF(I540&lt;&gt;"","Booking "&amp;I540,IF(E540="Tip","Stylist","Unapplied"))))</f>
        <v>0</v>
      </c>
      <c r="W540" s="39">
        <f>IF(B540="","",IF(G540="","Add - no amount yet",IF(E540="","Add - what was this for?",IF(IF(H540="",FALSE,COUNTIF(Sales!$A$5:$A$1204,H540)=0),"Missing - no sale with that ID",IF(IF(I540="",FALSE,COUNTIF(Appointments!$A$5:$A$1204,I540)=0),"Missing - no booking with that ID",IF(IF(E540="Tip",J540="",FALSE),"Assign - whose tip is it?",IF(IF(E540="Deposit",IF(H540="",I540="",FALSE),FALSE),"Check - deposit not tied to a booking",IF(M540="No","Due - not reconciled yet","OK"))))))))</f>
        <v>0</v>
      </c>
    </row>
    <row r="541" spans="1:23">
      <c r="A541" s="28">
        <f>IF(B541="","",PaymentPrefix&amp;TEXT(ROW()-4,"0000"))</f>
        <v>0</v>
      </c>
      <c r="D541" s="15">
        <f>IF(C541="","",IFERROR(INDEX(Clients!$B$5:$B$504,MATCH(C541,Clients!$A$5:$A$504,0)),"Walk-in"))</f>
        <v>0</v>
      </c>
      <c r="K541" s="15">
        <f>IF(J541="","",IFERROR(INDEX(Staff!$B$5:$B$44,MATCH(J541,Staff!$A$5:$A$44,0)),""))</f>
        <v>0</v>
      </c>
      <c r="O541" s="15">
        <f>IF(B541="","",TEXT(B541,"yyyy-mm"))</f>
        <v>0</v>
      </c>
      <c r="P541" s="25">
        <f>IF(B541="","",WEEKNUM(B541,2))</f>
        <v>0</v>
      </c>
      <c r="Q541" s="38">
        <f>IF(B541="","",IF(E541="Tip","No",IF(E541="Refund","No","Yes")))</f>
        <v>0</v>
      </c>
      <c r="R541" s="25">
        <f>IF(B541="","",IF(E541="Refund",-1,1))</f>
        <v>0</v>
      </c>
      <c r="S541" s="26">
        <f>IF(B541="","",IF(G541="",0,IF(F541="Card",ROUND(G541*CardFeePercent+CardFeeFixed,2),IF(F541="Online deposit",ROUND(G541*CardFeePercent+CardFeeFixed,2),0))))</f>
        <v>0</v>
      </c>
      <c r="T541" s="26">
        <f>IF(B541="","",ROUND(IF(G541="",0,G541)*R541-S541,2))</f>
        <v>0</v>
      </c>
      <c r="U541" s="38">
        <f>IF(B541="","",IF(E541="Tip","Yes","No"))</f>
        <v>0</v>
      </c>
      <c r="V541" s="15">
        <f>IF(B541="","",IF(H541&lt;&gt;"","Sale "&amp;H541,IF(I541&lt;&gt;"","Booking "&amp;I541,IF(E541="Tip","Stylist","Unapplied"))))</f>
        <v>0</v>
      </c>
      <c r="W541" s="39">
        <f>IF(B541="","",IF(G541="","Add - no amount yet",IF(E541="","Add - what was this for?",IF(IF(H541="",FALSE,COUNTIF(Sales!$A$5:$A$1204,H541)=0),"Missing - no sale with that ID",IF(IF(I541="",FALSE,COUNTIF(Appointments!$A$5:$A$1204,I541)=0),"Missing - no booking with that ID",IF(IF(E541="Tip",J541="",FALSE),"Assign - whose tip is it?",IF(IF(E541="Deposit",IF(H541="",I541="",FALSE),FALSE),"Check - deposit not tied to a booking",IF(M541="No","Due - not reconciled yet","OK"))))))))</f>
        <v>0</v>
      </c>
    </row>
    <row r="542" spans="1:23">
      <c r="A542" s="28">
        <f>IF(B542="","",PaymentPrefix&amp;TEXT(ROW()-4,"0000"))</f>
        <v>0</v>
      </c>
      <c r="D542" s="15">
        <f>IF(C542="","",IFERROR(INDEX(Clients!$B$5:$B$504,MATCH(C542,Clients!$A$5:$A$504,0)),"Walk-in"))</f>
        <v>0</v>
      </c>
      <c r="K542" s="15">
        <f>IF(J542="","",IFERROR(INDEX(Staff!$B$5:$B$44,MATCH(J542,Staff!$A$5:$A$44,0)),""))</f>
        <v>0</v>
      </c>
      <c r="O542" s="15">
        <f>IF(B542="","",TEXT(B542,"yyyy-mm"))</f>
        <v>0</v>
      </c>
      <c r="P542" s="25">
        <f>IF(B542="","",WEEKNUM(B542,2))</f>
        <v>0</v>
      </c>
      <c r="Q542" s="38">
        <f>IF(B542="","",IF(E542="Tip","No",IF(E542="Refund","No","Yes")))</f>
        <v>0</v>
      </c>
      <c r="R542" s="25">
        <f>IF(B542="","",IF(E542="Refund",-1,1))</f>
        <v>0</v>
      </c>
      <c r="S542" s="26">
        <f>IF(B542="","",IF(G542="",0,IF(F542="Card",ROUND(G542*CardFeePercent+CardFeeFixed,2),IF(F542="Online deposit",ROUND(G542*CardFeePercent+CardFeeFixed,2),0))))</f>
        <v>0</v>
      </c>
      <c r="T542" s="26">
        <f>IF(B542="","",ROUND(IF(G542="",0,G542)*R542-S542,2))</f>
        <v>0</v>
      </c>
      <c r="U542" s="38">
        <f>IF(B542="","",IF(E542="Tip","Yes","No"))</f>
        <v>0</v>
      </c>
      <c r="V542" s="15">
        <f>IF(B542="","",IF(H542&lt;&gt;"","Sale "&amp;H542,IF(I542&lt;&gt;"","Booking "&amp;I542,IF(E542="Tip","Stylist","Unapplied"))))</f>
        <v>0</v>
      </c>
      <c r="W542" s="39">
        <f>IF(B542="","",IF(G542="","Add - no amount yet",IF(E542="","Add - what was this for?",IF(IF(H542="",FALSE,COUNTIF(Sales!$A$5:$A$1204,H542)=0),"Missing - no sale with that ID",IF(IF(I542="",FALSE,COUNTIF(Appointments!$A$5:$A$1204,I542)=0),"Missing - no booking with that ID",IF(IF(E542="Tip",J542="",FALSE),"Assign - whose tip is it?",IF(IF(E542="Deposit",IF(H542="",I542="",FALSE),FALSE),"Check - deposit not tied to a booking",IF(M542="No","Due - not reconciled yet","OK"))))))))</f>
        <v>0</v>
      </c>
    </row>
    <row r="543" spans="1:23">
      <c r="A543" s="28">
        <f>IF(B543="","",PaymentPrefix&amp;TEXT(ROW()-4,"0000"))</f>
        <v>0</v>
      </c>
      <c r="D543" s="15">
        <f>IF(C543="","",IFERROR(INDEX(Clients!$B$5:$B$504,MATCH(C543,Clients!$A$5:$A$504,0)),"Walk-in"))</f>
        <v>0</v>
      </c>
      <c r="K543" s="15">
        <f>IF(J543="","",IFERROR(INDEX(Staff!$B$5:$B$44,MATCH(J543,Staff!$A$5:$A$44,0)),""))</f>
        <v>0</v>
      </c>
      <c r="O543" s="15">
        <f>IF(B543="","",TEXT(B543,"yyyy-mm"))</f>
        <v>0</v>
      </c>
      <c r="P543" s="25">
        <f>IF(B543="","",WEEKNUM(B543,2))</f>
        <v>0</v>
      </c>
      <c r="Q543" s="38">
        <f>IF(B543="","",IF(E543="Tip","No",IF(E543="Refund","No","Yes")))</f>
        <v>0</v>
      </c>
      <c r="R543" s="25">
        <f>IF(B543="","",IF(E543="Refund",-1,1))</f>
        <v>0</v>
      </c>
      <c r="S543" s="26">
        <f>IF(B543="","",IF(G543="",0,IF(F543="Card",ROUND(G543*CardFeePercent+CardFeeFixed,2),IF(F543="Online deposit",ROUND(G543*CardFeePercent+CardFeeFixed,2),0))))</f>
        <v>0</v>
      </c>
      <c r="T543" s="26">
        <f>IF(B543="","",ROUND(IF(G543="",0,G543)*R543-S543,2))</f>
        <v>0</v>
      </c>
      <c r="U543" s="38">
        <f>IF(B543="","",IF(E543="Tip","Yes","No"))</f>
        <v>0</v>
      </c>
      <c r="V543" s="15">
        <f>IF(B543="","",IF(H543&lt;&gt;"","Sale "&amp;H543,IF(I543&lt;&gt;"","Booking "&amp;I543,IF(E543="Tip","Stylist","Unapplied"))))</f>
        <v>0</v>
      </c>
      <c r="W543" s="39">
        <f>IF(B543="","",IF(G543="","Add - no amount yet",IF(E543="","Add - what was this for?",IF(IF(H543="",FALSE,COUNTIF(Sales!$A$5:$A$1204,H543)=0),"Missing - no sale with that ID",IF(IF(I543="",FALSE,COUNTIF(Appointments!$A$5:$A$1204,I543)=0),"Missing - no booking with that ID",IF(IF(E543="Tip",J543="",FALSE),"Assign - whose tip is it?",IF(IF(E543="Deposit",IF(H543="",I543="",FALSE),FALSE),"Check - deposit not tied to a booking",IF(M543="No","Due - not reconciled yet","OK"))))))))</f>
        <v>0</v>
      </c>
    </row>
    <row r="544" spans="1:23">
      <c r="A544" s="28">
        <f>IF(B544="","",PaymentPrefix&amp;TEXT(ROW()-4,"0000"))</f>
        <v>0</v>
      </c>
      <c r="D544" s="15">
        <f>IF(C544="","",IFERROR(INDEX(Clients!$B$5:$B$504,MATCH(C544,Clients!$A$5:$A$504,0)),"Walk-in"))</f>
        <v>0</v>
      </c>
      <c r="K544" s="15">
        <f>IF(J544="","",IFERROR(INDEX(Staff!$B$5:$B$44,MATCH(J544,Staff!$A$5:$A$44,0)),""))</f>
        <v>0</v>
      </c>
      <c r="O544" s="15">
        <f>IF(B544="","",TEXT(B544,"yyyy-mm"))</f>
        <v>0</v>
      </c>
      <c r="P544" s="25">
        <f>IF(B544="","",WEEKNUM(B544,2))</f>
        <v>0</v>
      </c>
      <c r="Q544" s="38">
        <f>IF(B544="","",IF(E544="Tip","No",IF(E544="Refund","No","Yes")))</f>
        <v>0</v>
      </c>
      <c r="R544" s="25">
        <f>IF(B544="","",IF(E544="Refund",-1,1))</f>
        <v>0</v>
      </c>
      <c r="S544" s="26">
        <f>IF(B544="","",IF(G544="",0,IF(F544="Card",ROUND(G544*CardFeePercent+CardFeeFixed,2),IF(F544="Online deposit",ROUND(G544*CardFeePercent+CardFeeFixed,2),0))))</f>
        <v>0</v>
      </c>
      <c r="T544" s="26">
        <f>IF(B544="","",ROUND(IF(G544="",0,G544)*R544-S544,2))</f>
        <v>0</v>
      </c>
      <c r="U544" s="38">
        <f>IF(B544="","",IF(E544="Tip","Yes","No"))</f>
        <v>0</v>
      </c>
      <c r="V544" s="15">
        <f>IF(B544="","",IF(H544&lt;&gt;"","Sale "&amp;H544,IF(I544&lt;&gt;"","Booking "&amp;I544,IF(E544="Tip","Stylist","Unapplied"))))</f>
        <v>0</v>
      </c>
      <c r="W544" s="39">
        <f>IF(B544="","",IF(G544="","Add - no amount yet",IF(E544="","Add - what was this for?",IF(IF(H544="",FALSE,COUNTIF(Sales!$A$5:$A$1204,H544)=0),"Missing - no sale with that ID",IF(IF(I544="",FALSE,COUNTIF(Appointments!$A$5:$A$1204,I544)=0),"Missing - no booking with that ID",IF(IF(E544="Tip",J544="",FALSE),"Assign - whose tip is it?",IF(IF(E544="Deposit",IF(H544="",I544="",FALSE),FALSE),"Check - deposit not tied to a booking",IF(M544="No","Due - not reconciled yet","OK"))))))))</f>
        <v>0</v>
      </c>
    </row>
    <row r="545" spans="1:23">
      <c r="A545" s="28">
        <f>IF(B545="","",PaymentPrefix&amp;TEXT(ROW()-4,"0000"))</f>
        <v>0</v>
      </c>
      <c r="D545" s="15">
        <f>IF(C545="","",IFERROR(INDEX(Clients!$B$5:$B$504,MATCH(C545,Clients!$A$5:$A$504,0)),"Walk-in"))</f>
        <v>0</v>
      </c>
      <c r="K545" s="15">
        <f>IF(J545="","",IFERROR(INDEX(Staff!$B$5:$B$44,MATCH(J545,Staff!$A$5:$A$44,0)),""))</f>
        <v>0</v>
      </c>
      <c r="O545" s="15">
        <f>IF(B545="","",TEXT(B545,"yyyy-mm"))</f>
        <v>0</v>
      </c>
      <c r="P545" s="25">
        <f>IF(B545="","",WEEKNUM(B545,2))</f>
        <v>0</v>
      </c>
      <c r="Q545" s="38">
        <f>IF(B545="","",IF(E545="Tip","No",IF(E545="Refund","No","Yes")))</f>
        <v>0</v>
      </c>
      <c r="R545" s="25">
        <f>IF(B545="","",IF(E545="Refund",-1,1))</f>
        <v>0</v>
      </c>
      <c r="S545" s="26">
        <f>IF(B545="","",IF(G545="",0,IF(F545="Card",ROUND(G545*CardFeePercent+CardFeeFixed,2),IF(F545="Online deposit",ROUND(G545*CardFeePercent+CardFeeFixed,2),0))))</f>
        <v>0</v>
      </c>
      <c r="T545" s="26">
        <f>IF(B545="","",ROUND(IF(G545="",0,G545)*R545-S545,2))</f>
        <v>0</v>
      </c>
      <c r="U545" s="38">
        <f>IF(B545="","",IF(E545="Tip","Yes","No"))</f>
        <v>0</v>
      </c>
      <c r="V545" s="15">
        <f>IF(B545="","",IF(H545&lt;&gt;"","Sale "&amp;H545,IF(I545&lt;&gt;"","Booking "&amp;I545,IF(E545="Tip","Stylist","Unapplied"))))</f>
        <v>0</v>
      </c>
      <c r="W545" s="39">
        <f>IF(B545="","",IF(G545="","Add - no amount yet",IF(E545="","Add - what was this for?",IF(IF(H545="",FALSE,COUNTIF(Sales!$A$5:$A$1204,H545)=0),"Missing - no sale with that ID",IF(IF(I545="",FALSE,COUNTIF(Appointments!$A$5:$A$1204,I545)=0),"Missing - no booking with that ID",IF(IF(E545="Tip",J545="",FALSE),"Assign - whose tip is it?",IF(IF(E545="Deposit",IF(H545="",I545="",FALSE),FALSE),"Check - deposit not tied to a booking",IF(M545="No","Due - not reconciled yet","OK"))))))))</f>
        <v>0</v>
      </c>
    </row>
    <row r="546" spans="1:23">
      <c r="A546" s="28">
        <f>IF(B546="","",PaymentPrefix&amp;TEXT(ROW()-4,"0000"))</f>
        <v>0</v>
      </c>
      <c r="D546" s="15">
        <f>IF(C546="","",IFERROR(INDEX(Clients!$B$5:$B$504,MATCH(C546,Clients!$A$5:$A$504,0)),"Walk-in"))</f>
        <v>0</v>
      </c>
      <c r="K546" s="15">
        <f>IF(J546="","",IFERROR(INDEX(Staff!$B$5:$B$44,MATCH(J546,Staff!$A$5:$A$44,0)),""))</f>
        <v>0</v>
      </c>
      <c r="O546" s="15">
        <f>IF(B546="","",TEXT(B546,"yyyy-mm"))</f>
        <v>0</v>
      </c>
      <c r="P546" s="25">
        <f>IF(B546="","",WEEKNUM(B546,2))</f>
        <v>0</v>
      </c>
      <c r="Q546" s="38">
        <f>IF(B546="","",IF(E546="Tip","No",IF(E546="Refund","No","Yes")))</f>
        <v>0</v>
      </c>
      <c r="R546" s="25">
        <f>IF(B546="","",IF(E546="Refund",-1,1))</f>
        <v>0</v>
      </c>
      <c r="S546" s="26">
        <f>IF(B546="","",IF(G546="",0,IF(F546="Card",ROUND(G546*CardFeePercent+CardFeeFixed,2),IF(F546="Online deposit",ROUND(G546*CardFeePercent+CardFeeFixed,2),0))))</f>
        <v>0</v>
      </c>
      <c r="T546" s="26">
        <f>IF(B546="","",ROUND(IF(G546="",0,G546)*R546-S546,2))</f>
        <v>0</v>
      </c>
      <c r="U546" s="38">
        <f>IF(B546="","",IF(E546="Tip","Yes","No"))</f>
        <v>0</v>
      </c>
      <c r="V546" s="15">
        <f>IF(B546="","",IF(H546&lt;&gt;"","Sale "&amp;H546,IF(I546&lt;&gt;"","Booking "&amp;I546,IF(E546="Tip","Stylist","Unapplied"))))</f>
        <v>0</v>
      </c>
      <c r="W546" s="39">
        <f>IF(B546="","",IF(G546="","Add - no amount yet",IF(E546="","Add - what was this for?",IF(IF(H546="",FALSE,COUNTIF(Sales!$A$5:$A$1204,H546)=0),"Missing - no sale with that ID",IF(IF(I546="",FALSE,COUNTIF(Appointments!$A$5:$A$1204,I546)=0),"Missing - no booking with that ID",IF(IF(E546="Tip",J546="",FALSE),"Assign - whose tip is it?",IF(IF(E546="Deposit",IF(H546="",I546="",FALSE),FALSE),"Check - deposit not tied to a booking",IF(M546="No","Due - not reconciled yet","OK"))))))))</f>
        <v>0</v>
      </c>
    </row>
    <row r="547" spans="1:23">
      <c r="A547" s="28">
        <f>IF(B547="","",PaymentPrefix&amp;TEXT(ROW()-4,"0000"))</f>
        <v>0</v>
      </c>
      <c r="D547" s="15">
        <f>IF(C547="","",IFERROR(INDEX(Clients!$B$5:$B$504,MATCH(C547,Clients!$A$5:$A$504,0)),"Walk-in"))</f>
        <v>0</v>
      </c>
      <c r="K547" s="15">
        <f>IF(J547="","",IFERROR(INDEX(Staff!$B$5:$B$44,MATCH(J547,Staff!$A$5:$A$44,0)),""))</f>
        <v>0</v>
      </c>
      <c r="O547" s="15">
        <f>IF(B547="","",TEXT(B547,"yyyy-mm"))</f>
        <v>0</v>
      </c>
      <c r="P547" s="25">
        <f>IF(B547="","",WEEKNUM(B547,2))</f>
        <v>0</v>
      </c>
      <c r="Q547" s="38">
        <f>IF(B547="","",IF(E547="Tip","No",IF(E547="Refund","No","Yes")))</f>
        <v>0</v>
      </c>
      <c r="R547" s="25">
        <f>IF(B547="","",IF(E547="Refund",-1,1))</f>
        <v>0</v>
      </c>
      <c r="S547" s="26">
        <f>IF(B547="","",IF(G547="",0,IF(F547="Card",ROUND(G547*CardFeePercent+CardFeeFixed,2),IF(F547="Online deposit",ROUND(G547*CardFeePercent+CardFeeFixed,2),0))))</f>
        <v>0</v>
      </c>
      <c r="T547" s="26">
        <f>IF(B547="","",ROUND(IF(G547="",0,G547)*R547-S547,2))</f>
        <v>0</v>
      </c>
      <c r="U547" s="38">
        <f>IF(B547="","",IF(E547="Tip","Yes","No"))</f>
        <v>0</v>
      </c>
      <c r="V547" s="15">
        <f>IF(B547="","",IF(H547&lt;&gt;"","Sale "&amp;H547,IF(I547&lt;&gt;"","Booking "&amp;I547,IF(E547="Tip","Stylist","Unapplied"))))</f>
        <v>0</v>
      </c>
      <c r="W547" s="39">
        <f>IF(B547="","",IF(G547="","Add - no amount yet",IF(E547="","Add - what was this for?",IF(IF(H547="",FALSE,COUNTIF(Sales!$A$5:$A$1204,H547)=0),"Missing - no sale with that ID",IF(IF(I547="",FALSE,COUNTIF(Appointments!$A$5:$A$1204,I547)=0),"Missing - no booking with that ID",IF(IF(E547="Tip",J547="",FALSE),"Assign - whose tip is it?",IF(IF(E547="Deposit",IF(H547="",I547="",FALSE),FALSE),"Check - deposit not tied to a booking",IF(M547="No","Due - not reconciled yet","OK"))))))))</f>
        <v>0</v>
      </c>
    </row>
    <row r="548" spans="1:23">
      <c r="A548" s="28">
        <f>IF(B548="","",PaymentPrefix&amp;TEXT(ROW()-4,"0000"))</f>
        <v>0</v>
      </c>
      <c r="D548" s="15">
        <f>IF(C548="","",IFERROR(INDEX(Clients!$B$5:$B$504,MATCH(C548,Clients!$A$5:$A$504,0)),"Walk-in"))</f>
        <v>0</v>
      </c>
      <c r="K548" s="15">
        <f>IF(J548="","",IFERROR(INDEX(Staff!$B$5:$B$44,MATCH(J548,Staff!$A$5:$A$44,0)),""))</f>
        <v>0</v>
      </c>
      <c r="O548" s="15">
        <f>IF(B548="","",TEXT(B548,"yyyy-mm"))</f>
        <v>0</v>
      </c>
      <c r="P548" s="25">
        <f>IF(B548="","",WEEKNUM(B548,2))</f>
        <v>0</v>
      </c>
      <c r="Q548" s="38">
        <f>IF(B548="","",IF(E548="Tip","No",IF(E548="Refund","No","Yes")))</f>
        <v>0</v>
      </c>
      <c r="R548" s="25">
        <f>IF(B548="","",IF(E548="Refund",-1,1))</f>
        <v>0</v>
      </c>
      <c r="S548" s="26">
        <f>IF(B548="","",IF(G548="",0,IF(F548="Card",ROUND(G548*CardFeePercent+CardFeeFixed,2),IF(F548="Online deposit",ROUND(G548*CardFeePercent+CardFeeFixed,2),0))))</f>
        <v>0</v>
      </c>
      <c r="T548" s="26">
        <f>IF(B548="","",ROUND(IF(G548="",0,G548)*R548-S548,2))</f>
        <v>0</v>
      </c>
      <c r="U548" s="38">
        <f>IF(B548="","",IF(E548="Tip","Yes","No"))</f>
        <v>0</v>
      </c>
      <c r="V548" s="15">
        <f>IF(B548="","",IF(H548&lt;&gt;"","Sale "&amp;H548,IF(I548&lt;&gt;"","Booking "&amp;I548,IF(E548="Tip","Stylist","Unapplied"))))</f>
        <v>0</v>
      </c>
      <c r="W548" s="39">
        <f>IF(B548="","",IF(G548="","Add - no amount yet",IF(E548="","Add - what was this for?",IF(IF(H548="",FALSE,COUNTIF(Sales!$A$5:$A$1204,H548)=0),"Missing - no sale with that ID",IF(IF(I548="",FALSE,COUNTIF(Appointments!$A$5:$A$1204,I548)=0),"Missing - no booking with that ID",IF(IF(E548="Tip",J548="",FALSE),"Assign - whose tip is it?",IF(IF(E548="Deposit",IF(H548="",I548="",FALSE),FALSE),"Check - deposit not tied to a booking",IF(M548="No","Due - not reconciled yet","OK"))))))))</f>
        <v>0</v>
      </c>
    </row>
    <row r="549" spans="1:23">
      <c r="A549" s="28">
        <f>IF(B549="","",PaymentPrefix&amp;TEXT(ROW()-4,"0000"))</f>
        <v>0</v>
      </c>
      <c r="D549" s="15">
        <f>IF(C549="","",IFERROR(INDEX(Clients!$B$5:$B$504,MATCH(C549,Clients!$A$5:$A$504,0)),"Walk-in"))</f>
        <v>0</v>
      </c>
      <c r="K549" s="15">
        <f>IF(J549="","",IFERROR(INDEX(Staff!$B$5:$B$44,MATCH(J549,Staff!$A$5:$A$44,0)),""))</f>
        <v>0</v>
      </c>
      <c r="O549" s="15">
        <f>IF(B549="","",TEXT(B549,"yyyy-mm"))</f>
        <v>0</v>
      </c>
      <c r="P549" s="25">
        <f>IF(B549="","",WEEKNUM(B549,2))</f>
        <v>0</v>
      </c>
      <c r="Q549" s="38">
        <f>IF(B549="","",IF(E549="Tip","No",IF(E549="Refund","No","Yes")))</f>
        <v>0</v>
      </c>
      <c r="R549" s="25">
        <f>IF(B549="","",IF(E549="Refund",-1,1))</f>
        <v>0</v>
      </c>
      <c r="S549" s="26">
        <f>IF(B549="","",IF(G549="",0,IF(F549="Card",ROUND(G549*CardFeePercent+CardFeeFixed,2),IF(F549="Online deposit",ROUND(G549*CardFeePercent+CardFeeFixed,2),0))))</f>
        <v>0</v>
      </c>
      <c r="T549" s="26">
        <f>IF(B549="","",ROUND(IF(G549="",0,G549)*R549-S549,2))</f>
        <v>0</v>
      </c>
      <c r="U549" s="38">
        <f>IF(B549="","",IF(E549="Tip","Yes","No"))</f>
        <v>0</v>
      </c>
      <c r="V549" s="15">
        <f>IF(B549="","",IF(H549&lt;&gt;"","Sale "&amp;H549,IF(I549&lt;&gt;"","Booking "&amp;I549,IF(E549="Tip","Stylist","Unapplied"))))</f>
        <v>0</v>
      </c>
      <c r="W549" s="39">
        <f>IF(B549="","",IF(G549="","Add - no amount yet",IF(E549="","Add - what was this for?",IF(IF(H549="",FALSE,COUNTIF(Sales!$A$5:$A$1204,H549)=0),"Missing - no sale with that ID",IF(IF(I549="",FALSE,COUNTIF(Appointments!$A$5:$A$1204,I549)=0),"Missing - no booking with that ID",IF(IF(E549="Tip",J549="",FALSE),"Assign - whose tip is it?",IF(IF(E549="Deposit",IF(H549="",I549="",FALSE),FALSE),"Check - deposit not tied to a booking",IF(M549="No","Due - not reconciled yet","OK"))))))))</f>
        <v>0</v>
      </c>
    </row>
    <row r="550" spans="1:23">
      <c r="A550" s="28">
        <f>IF(B550="","",PaymentPrefix&amp;TEXT(ROW()-4,"0000"))</f>
        <v>0</v>
      </c>
      <c r="D550" s="15">
        <f>IF(C550="","",IFERROR(INDEX(Clients!$B$5:$B$504,MATCH(C550,Clients!$A$5:$A$504,0)),"Walk-in"))</f>
        <v>0</v>
      </c>
      <c r="K550" s="15">
        <f>IF(J550="","",IFERROR(INDEX(Staff!$B$5:$B$44,MATCH(J550,Staff!$A$5:$A$44,0)),""))</f>
        <v>0</v>
      </c>
      <c r="O550" s="15">
        <f>IF(B550="","",TEXT(B550,"yyyy-mm"))</f>
        <v>0</v>
      </c>
      <c r="P550" s="25">
        <f>IF(B550="","",WEEKNUM(B550,2))</f>
        <v>0</v>
      </c>
      <c r="Q550" s="38">
        <f>IF(B550="","",IF(E550="Tip","No",IF(E550="Refund","No","Yes")))</f>
        <v>0</v>
      </c>
      <c r="R550" s="25">
        <f>IF(B550="","",IF(E550="Refund",-1,1))</f>
        <v>0</v>
      </c>
      <c r="S550" s="26">
        <f>IF(B550="","",IF(G550="",0,IF(F550="Card",ROUND(G550*CardFeePercent+CardFeeFixed,2),IF(F550="Online deposit",ROUND(G550*CardFeePercent+CardFeeFixed,2),0))))</f>
        <v>0</v>
      </c>
      <c r="T550" s="26">
        <f>IF(B550="","",ROUND(IF(G550="",0,G550)*R550-S550,2))</f>
        <v>0</v>
      </c>
      <c r="U550" s="38">
        <f>IF(B550="","",IF(E550="Tip","Yes","No"))</f>
        <v>0</v>
      </c>
      <c r="V550" s="15">
        <f>IF(B550="","",IF(H550&lt;&gt;"","Sale "&amp;H550,IF(I550&lt;&gt;"","Booking "&amp;I550,IF(E550="Tip","Stylist","Unapplied"))))</f>
        <v>0</v>
      </c>
      <c r="W550" s="39">
        <f>IF(B550="","",IF(G550="","Add - no amount yet",IF(E550="","Add - what was this for?",IF(IF(H550="",FALSE,COUNTIF(Sales!$A$5:$A$1204,H550)=0),"Missing - no sale with that ID",IF(IF(I550="",FALSE,COUNTIF(Appointments!$A$5:$A$1204,I550)=0),"Missing - no booking with that ID",IF(IF(E550="Tip",J550="",FALSE),"Assign - whose tip is it?",IF(IF(E550="Deposit",IF(H550="",I550="",FALSE),FALSE),"Check - deposit not tied to a booking",IF(M550="No","Due - not reconciled yet","OK"))))))))</f>
        <v>0</v>
      </c>
    </row>
    <row r="551" spans="1:23">
      <c r="A551" s="28">
        <f>IF(B551="","",PaymentPrefix&amp;TEXT(ROW()-4,"0000"))</f>
        <v>0</v>
      </c>
      <c r="D551" s="15">
        <f>IF(C551="","",IFERROR(INDEX(Clients!$B$5:$B$504,MATCH(C551,Clients!$A$5:$A$504,0)),"Walk-in"))</f>
        <v>0</v>
      </c>
      <c r="K551" s="15">
        <f>IF(J551="","",IFERROR(INDEX(Staff!$B$5:$B$44,MATCH(J551,Staff!$A$5:$A$44,0)),""))</f>
        <v>0</v>
      </c>
      <c r="O551" s="15">
        <f>IF(B551="","",TEXT(B551,"yyyy-mm"))</f>
        <v>0</v>
      </c>
      <c r="P551" s="25">
        <f>IF(B551="","",WEEKNUM(B551,2))</f>
        <v>0</v>
      </c>
      <c r="Q551" s="38">
        <f>IF(B551="","",IF(E551="Tip","No",IF(E551="Refund","No","Yes")))</f>
        <v>0</v>
      </c>
      <c r="R551" s="25">
        <f>IF(B551="","",IF(E551="Refund",-1,1))</f>
        <v>0</v>
      </c>
      <c r="S551" s="26">
        <f>IF(B551="","",IF(G551="",0,IF(F551="Card",ROUND(G551*CardFeePercent+CardFeeFixed,2),IF(F551="Online deposit",ROUND(G551*CardFeePercent+CardFeeFixed,2),0))))</f>
        <v>0</v>
      </c>
      <c r="T551" s="26">
        <f>IF(B551="","",ROUND(IF(G551="",0,G551)*R551-S551,2))</f>
        <v>0</v>
      </c>
      <c r="U551" s="38">
        <f>IF(B551="","",IF(E551="Tip","Yes","No"))</f>
        <v>0</v>
      </c>
      <c r="V551" s="15">
        <f>IF(B551="","",IF(H551&lt;&gt;"","Sale "&amp;H551,IF(I551&lt;&gt;"","Booking "&amp;I551,IF(E551="Tip","Stylist","Unapplied"))))</f>
        <v>0</v>
      </c>
      <c r="W551" s="39">
        <f>IF(B551="","",IF(G551="","Add - no amount yet",IF(E551="","Add - what was this for?",IF(IF(H551="",FALSE,COUNTIF(Sales!$A$5:$A$1204,H551)=0),"Missing - no sale with that ID",IF(IF(I551="",FALSE,COUNTIF(Appointments!$A$5:$A$1204,I551)=0),"Missing - no booking with that ID",IF(IF(E551="Tip",J551="",FALSE),"Assign - whose tip is it?",IF(IF(E551="Deposit",IF(H551="",I551="",FALSE),FALSE),"Check - deposit not tied to a booking",IF(M551="No","Due - not reconciled yet","OK"))))))))</f>
        <v>0</v>
      </c>
    </row>
    <row r="552" spans="1:23">
      <c r="A552" s="28">
        <f>IF(B552="","",PaymentPrefix&amp;TEXT(ROW()-4,"0000"))</f>
        <v>0</v>
      </c>
      <c r="D552" s="15">
        <f>IF(C552="","",IFERROR(INDEX(Clients!$B$5:$B$504,MATCH(C552,Clients!$A$5:$A$504,0)),"Walk-in"))</f>
        <v>0</v>
      </c>
      <c r="K552" s="15">
        <f>IF(J552="","",IFERROR(INDEX(Staff!$B$5:$B$44,MATCH(J552,Staff!$A$5:$A$44,0)),""))</f>
        <v>0</v>
      </c>
      <c r="O552" s="15">
        <f>IF(B552="","",TEXT(B552,"yyyy-mm"))</f>
        <v>0</v>
      </c>
      <c r="P552" s="25">
        <f>IF(B552="","",WEEKNUM(B552,2))</f>
        <v>0</v>
      </c>
      <c r="Q552" s="38">
        <f>IF(B552="","",IF(E552="Tip","No",IF(E552="Refund","No","Yes")))</f>
        <v>0</v>
      </c>
      <c r="R552" s="25">
        <f>IF(B552="","",IF(E552="Refund",-1,1))</f>
        <v>0</v>
      </c>
      <c r="S552" s="26">
        <f>IF(B552="","",IF(G552="",0,IF(F552="Card",ROUND(G552*CardFeePercent+CardFeeFixed,2),IF(F552="Online deposit",ROUND(G552*CardFeePercent+CardFeeFixed,2),0))))</f>
        <v>0</v>
      </c>
      <c r="T552" s="26">
        <f>IF(B552="","",ROUND(IF(G552="",0,G552)*R552-S552,2))</f>
        <v>0</v>
      </c>
      <c r="U552" s="38">
        <f>IF(B552="","",IF(E552="Tip","Yes","No"))</f>
        <v>0</v>
      </c>
      <c r="V552" s="15">
        <f>IF(B552="","",IF(H552&lt;&gt;"","Sale "&amp;H552,IF(I552&lt;&gt;"","Booking "&amp;I552,IF(E552="Tip","Stylist","Unapplied"))))</f>
        <v>0</v>
      </c>
      <c r="W552" s="39">
        <f>IF(B552="","",IF(G552="","Add - no amount yet",IF(E552="","Add - what was this for?",IF(IF(H552="",FALSE,COUNTIF(Sales!$A$5:$A$1204,H552)=0),"Missing - no sale with that ID",IF(IF(I552="",FALSE,COUNTIF(Appointments!$A$5:$A$1204,I552)=0),"Missing - no booking with that ID",IF(IF(E552="Tip",J552="",FALSE),"Assign - whose tip is it?",IF(IF(E552="Deposit",IF(H552="",I552="",FALSE),FALSE),"Check - deposit not tied to a booking",IF(M552="No","Due - not reconciled yet","OK"))))))))</f>
        <v>0</v>
      </c>
    </row>
    <row r="553" spans="1:23">
      <c r="A553" s="28">
        <f>IF(B553="","",PaymentPrefix&amp;TEXT(ROW()-4,"0000"))</f>
        <v>0</v>
      </c>
      <c r="D553" s="15">
        <f>IF(C553="","",IFERROR(INDEX(Clients!$B$5:$B$504,MATCH(C553,Clients!$A$5:$A$504,0)),"Walk-in"))</f>
        <v>0</v>
      </c>
      <c r="K553" s="15">
        <f>IF(J553="","",IFERROR(INDEX(Staff!$B$5:$B$44,MATCH(J553,Staff!$A$5:$A$44,0)),""))</f>
        <v>0</v>
      </c>
      <c r="O553" s="15">
        <f>IF(B553="","",TEXT(B553,"yyyy-mm"))</f>
        <v>0</v>
      </c>
      <c r="P553" s="25">
        <f>IF(B553="","",WEEKNUM(B553,2))</f>
        <v>0</v>
      </c>
      <c r="Q553" s="38">
        <f>IF(B553="","",IF(E553="Tip","No",IF(E553="Refund","No","Yes")))</f>
        <v>0</v>
      </c>
      <c r="R553" s="25">
        <f>IF(B553="","",IF(E553="Refund",-1,1))</f>
        <v>0</v>
      </c>
      <c r="S553" s="26">
        <f>IF(B553="","",IF(G553="",0,IF(F553="Card",ROUND(G553*CardFeePercent+CardFeeFixed,2),IF(F553="Online deposit",ROUND(G553*CardFeePercent+CardFeeFixed,2),0))))</f>
        <v>0</v>
      </c>
      <c r="T553" s="26">
        <f>IF(B553="","",ROUND(IF(G553="",0,G553)*R553-S553,2))</f>
        <v>0</v>
      </c>
      <c r="U553" s="38">
        <f>IF(B553="","",IF(E553="Tip","Yes","No"))</f>
        <v>0</v>
      </c>
      <c r="V553" s="15">
        <f>IF(B553="","",IF(H553&lt;&gt;"","Sale "&amp;H553,IF(I553&lt;&gt;"","Booking "&amp;I553,IF(E553="Tip","Stylist","Unapplied"))))</f>
        <v>0</v>
      </c>
      <c r="W553" s="39">
        <f>IF(B553="","",IF(G553="","Add - no amount yet",IF(E553="","Add - what was this for?",IF(IF(H553="",FALSE,COUNTIF(Sales!$A$5:$A$1204,H553)=0),"Missing - no sale with that ID",IF(IF(I553="",FALSE,COUNTIF(Appointments!$A$5:$A$1204,I553)=0),"Missing - no booking with that ID",IF(IF(E553="Tip",J553="",FALSE),"Assign - whose tip is it?",IF(IF(E553="Deposit",IF(H553="",I553="",FALSE),FALSE),"Check - deposit not tied to a booking",IF(M553="No","Due - not reconciled yet","OK"))))))))</f>
        <v>0</v>
      </c>
    </row>
    <row r="554" spans="1:23">
      <c r="A554" s="28">
        <f>IF(B554="","",PaymentPrefix&amp;TEXT(ROW()-4,"0000"))</f>
        <v>0</v>
      </c>
      <c r="D554" s="15">
        <f>IF(C554="","",IFERROR(INDEX(Clients!$B$5:$B$504,MATCH(C554,Clients!$A$5:$A$504,0)),"Walk-in"))</f>
        <v>0</v>
      </c>
      <c r="K554" s="15">
        <f>IF(J554="","",IFERROR(INDEX(Staff!$B$5:$B$44,MATCH(J554,Staff!$A$5:$A$44,0)),""))</f>
        <v>0</v>
      </c>
      <c r="O554" s="15">
        <f>IF(B554="","",TEXT(B554,"yyyy-mm"))</f>
        <v>0</v>
      </c>
      <c r="P554" s="25">
        <f>IF(B554="","",WEEKNUM(B554,2))</f>
        <v>0</v>
      </c>
      <c r="Q554" s="38">
        <f>IF(B554="","",IF(E554="Tip","No",IF(E554="Refund","No","Yes")))</f>
        <v>0</v>
      </c>
      <c r="R554" s="25">
        <f>IF(B554="","",IF(E554="Refund",-1,1))</f>
        <v>0</v>
      </c>
      <c r="S554" s="26">
        <f>IF(B554="","",IF(G554="",0,IF(F554="Card",ROUND(G554*CardFeePercent+CardFeeFixed,2),IF(F554="Online deposit",ROUND(G554*CardFeePercent+CardFeeFixed,2),0))))</f>
        <v>0</v>
      </c>
      <c r="T554" s="26">
        <f>IF(B554="","",ROUND(IF(G554="",0,G554)*R554-S554,2))</f>
        <v>0</v>
      </c>
      <c r="U554" s="38">
        <f>IF(B554="","",IF(E554="Tip","Yes","No"))</f>
        <v>0</v>
      </c>
      <c r="V554" s="15">
        <f>IF(B554="","",IF(H554&lt;&gt;"","Sale "&amp;H554,IF(I554&lt;&gt;"","Booking "&amp;I554,IF(E554="Tip","Stylist","Unapplied"))))</f>
        <v>0</v>
      </c>
      <c r="W554" s="39">
        <f>IF(B554="","",IF(G554="","Add - no amount yet",IF(E554="","Add - what was this for?",IF(IF(H554="",FALSE,COUNTIF(Sales!$A$5:$A$1204,H554)=0),"Missing - no sale with that ID",IF(IF(I554="",FALSE,COUNTIF(Appointments!$A$5:$A$1204,I554)=0),"Missing - no booking with that ID",IF(IF(E554="Tip",J554="",FALSE),"Assign - whose tip is it?",IF(IF(E554="Deposit",IF(H554="",I554="",FALSE),FALSE),"Check - deposit not tied to a booking",IF(M554="No","Due - not reconciled yet","OK"))))))))</f>
        <v>0</v>
      </c>
    </row>
    <row r="555" spans="1:23">
      <c r="A555" s="28">
        <f>IF(B555="","",PaymentPrefix&amp;TEXT(ROW()-4,"0000"))</f>
        <v>0</v>
      </c>
      <c r="D555" s="15">
        <f>IF(C555="","",IFERROR(INDEX(Clients!$B$5:$B$504,MATCH(C555,Clients!$A$5:$A$504,0)),"Walk-in"))</f>
        <v>0</v>
      </c>
      <c r="K555" s="15">
        <f>IF(J555="","",IFERROR(INDEX(Staff!$B$5:$B$44,MATCH(J555,Staff!$A$5:$A$44,0)),""))</f>
        <v>0</v>
      </c>
      <c r="O555" s="15">
        <f>IF(B555="","",TEXT(B555,"yyyy-mm"))</f>
        <v>0</v>
      </c>
      <c r="P555" s="25">
        <f>IF(B555="","",WEEKNUM(B555,2))</f>
        <v>0</v>
      </c>
      <c r="Q555" s="38">
        <f>IF(B555="","",IF(E555="Tip","No",IF(E555="Refund","No","Yes")))</f>
        <v>0</v>
      </c>
      <c r="R555" s="25">
        <f>IF(B555="","",IF(E555="Refund",-1,1))</f>
        <v>0</v>
      </c>
      <c r="S555" s="26">
        <f>IF(B555="","",IF(G555="",0,IF(F555="Card",ROUND(G555*CardFeePercent+CardFeeFixed,2),IF(F555="Online deposit",ROUND(G555*CardFeePercent+CardFeeFixed,2),0))))</f>
        <v>0</v>
      </c>
      <c r="T555" s="26">
        <f>IF(B555="","",ROUND(IF(G555="",0,G555)*R555-S555,2))</f>
        <v>0</v>
      </c>
      <c r="U555" s="38">
        <f>IF(B555="","",IF(E555="Tip","Yes","No"))</f>
        <v>0</v>
      </c>
      <c r="V555" s="15">
        <f>IF(B555="","",IF(H555&lt;&gt;"","Sale "&amp;H555,IF(I555&lt;&gt;"","Booking "&amp;I555,IF(E555="Tip","Stylist","Unapplied"))))</f>
        <v>0</v>
      </c>
      <c r="W555" s="39">
        <f>IF(B555="","",IF(G555="","Add - no amount yet",IF(E555="","Add - what was this for?",IF(IF(H555="",FALSE,COUNTIF(Sales!$A$5:$A$1204,H555)=0),"Missing - no sale with that ID",IF(IF(I555="",FALSE,COUNTIF(Appointments!$A$5:$A$1204,I555)=0),"Missing - no booking with that ID",IF(IF(E555="Tip",J555="",FALSE),"Assign - whose tip is it?",IF(IF(E555="Deposit",IF(H555="",I555="",FALSE),FALSE),"Check - deposit not tied to a booking",IF(M555="No","Due - not reconciled yet","OK"))))))))</f>
        <v>0</v>
      </c>
    </row>
    <row r="556" spans="1:23">
      <c r="A556" s="28">
        <f>IF(B556="","",PaymentPrefix&amp;TEXT(ROW()-4,"0000"))</f>
        <v>0</v>
      </c>
      <c r="D556" s="15">
        <f>IF(C556="","",IFERROR(INDEX(Clients!$B$5:$B$504,MATCH(C556,Clients!$A$5:$A$504,0)),"Walk-in"))</f>
        <v>0</v>
      </c>
      <c r="K556" s="15">
        <f>IF(J556="","",IFERROR(INDEX(Staff!$B$5:$B$44,MATCH(J556,Staff!$A$5:$A$44,0)),""))</f>
        <v>0</v>
      </c>
      <c r="O556" s="15">
        <f>IF(B556="","",TEXT(B556,"yyyy-mm"))</f>
        <v>0</v>
      </c>
      <c r="P556" s="25">
        <f>IF(B556="","",WEEKNUM(B556,2))</f>
        <v>0</v>
      </c>
      <c r="Q556" s="38">
        <f>IF(B556="","",IF(E556="Tip","No",IF(E556="Refund","No","Yes")))</f>
        <v>0</v>
      </c>
      <c r="R556" s="25">
        <f>IF(B556="","",IF(E556="Refund",-1,1))</f>
        <v>0</v>
      </c>
      <c r="S556" s="26">
        <f>IF(B556="","",IF(G556="",0,IF(F556="Card",ROUND(G556*CardFeePercent+CardFeeFixed,2),IF(F556="Online deposit",ROUND(G556*CardFeePercent+CardFeeFixed,2),0))))</f>
        <v>0</v>
      </c>
      <c r="T556" s="26">
        <f>IF(B556="","",ROUND(IF(G556="",0,G556)*R556-S556,2))</f>
        <v>0</v>
      </c>
      <c r="U556" s="38">
        <f>IF(B556="","",IF(E556="Tip","Yes","No"))</f>
        <v>0</v>
      </c>
      <c r="V556" s="15">
        <f>IF(B556="","",IF(H556&lt;&gt;"","Sale "&amp;H556,IF(I556&lt;&gt;"","Booking "&amp;I556,IF(E556="Tip","Stylist","Unapplied"))))</f>
        <v>0</v>
      </c>
      <c r="W556" s="39">
        <f>IF(B556="","",IF(G556="","Add - no amount yet",IF(E556="","Add - what was this for?",IF(IF(H556="",FALSE,COUNTIF(Sales!$A$5:$A$1204,H556)=0),"Missing - no sale with that ID",IF(IF(I556="",FALSE,COUNTIF(Appointments!$A$5:$A$1204,I556)=0),"Missing - no booking with that ID",IF(IF(E556="Tip",J556="",FALSE),"Assign - whose tip is it?",IF(IF(E556="Deposit",IF(H556="",I556="",FALSE),FALSE),"Check - deposit not tied to a booking",IF(M556="No","Due - not reconciled yet","OK"))))))))</f>
        <v>0</v>
      </c>
    </row>
    <row r="557" spans="1:23">
      <c r="A557" s="28">
        <f>IF(B557="","",PaymentPrefix&amp;TEXT(ROW()-4,"0000"))</f>
        <v>0</v>
      </c>
      <c r="D557" s="15">
        <f>IF(C557="","",IFERROR(INDEX(Clients!$B$5:$B$504,MATCH(C557,Clients!$A$5:$A$504,0)),"Walk-in"))</f>
        <v>0</v>
      </c>
      <c r="K557" s="15">
        <f>IF(J557="","",IFERROR(INDEX(Staff!$B$5:$B$44,MATCH(J557,Staff!$A$5:$A$44,0)),""))</f>
        <v>0</v>
      </c>
      <c r="O557" s="15">
        <f>IF(B557="","",TEXT(B557,"yyyy-mm"))</f>
        <v>0</v>
      </c>
      <c r="P557" s="25">
        <f>IF(B557="","",WEEKNUM(B557,2))</f>
        <v>0</v>
      </c>
      <c r="Q557" s="38">
        <f>IF(B557="","",IF(E557="Tip","No",IF(E557="Refund","No","Yes")))</f>
        <v>0</v>
      </c>
      <c r="R557" s="25">
        <f>IF(B557="","",IF(E557="Refund",-1,1))</f>
        <v>0</v>
      </c>
      <c r="S557" s="26">
        <f>IF(B557="","",IF(G557="",0,IF(F557="Card",ROUND(G557*CardFeePercent+CardFeeFixed,2),IF(F557="Online deposit",ROUND(G557*CardFeePercent+CardFeeFixed,2),0))))</f>
        <v>0</v>
      </c>
      <c r="T557" s="26">
        <f>IF(B557="","",ROUND(IF(G557="",0,G557)*R557-S557,2))</f>
        <v>0</v>
      </c>
      <c r="U557" s="38">
        <f>IF(B557="","",IF(E557="Tip","Yes","No"))</f>
        <v>0</v>
      </c>
      <c r="V557" s="15">
        <f>IF(B557="","",IF(H557&lt;&gt;"","Sale "&amp;H557,IF(I557&lt;&gt;"","Booking "&amp;I557,IF(E557="Tip","Stylist","Unapplied"))))</f>
        <v>0</v>
      </c>
      <c r="W557" s="39">
        <f>IF(B557="","",IF(G557="","Add - no amount yet",IF(E557="","Add - what was this for?",IF(IF(H557="",FALSE,COUNTIF(Sales!$A$5:$A$1204,H557)=0),"Missing - no sale with that ID",IF(IF(I557="",FALSE,COUNTIF(Appointments!$A$5:$A$1204,I557)=0),"Missing - no booking with that ID",IF(IF(E557="Tip",J557="",FALSE),"Assign - whose tip is it?",IF(IF(E557="Deposit",IF(H557="",I557="",FALSE),FALSE),"Check - deposit not tied to a booking",IF(M557="No","Due - not reconciled yet","OK"))))))))</f>
        <v>0</v>
      </c>
    </row>
    <row r="558" spans="1:23">
      <c r="A558" s="28">
        <f>IF(B558="","",PaymentPrefix&amp;TEXT(ROW()-4,"0000"))</f>
        <v>0</v>
      </c>
      <c r="D558" s="15">
        <f>IF(C558="","",IFERROR(INDEX(Clients!$B$5:$B$504,MATCH(C558,Clients!$A$5:$A$504,0)),"Walk-in"))</f>
        <v>0</v>
      </c>
      <c r="K558" s="15">
        <f>IF(J558="","",IFERROR(INDEX(Staff!$B$5:$B$44,MATCH(J558,Staff!$A$5:$A$44,0)),""))</f>
        <v>0</v>
      </c>
      <c r="O558" s="15">
        <f>IF(B558="","",TEXT(B558,"yyyy-mm"))</f>
        <v>0</v>
      </c>
      <c r="P558" s="25">
        <f>IF(B558="","",WEEKNUM(B558,2))</f>
        <v>0</v>
      </c>
      <c r="Q558" s="38">
        <f>IF(B558="","",IF(E558="Tip","No",IF(E558="Refund","No","Yes")))</f>
        <v>0</v>
      </c>
      <c r="R558" s="25">
        <f>IF(B558="","",IF(E558="Refund",-1,1))</f>
        <v>0</v>
      </c>
      <c r="S558" s="26">
        <f>IF(B558="","",IF(G558="",0,IF(F558="Card",ROUND(G558*CardFeePercent+CardFeeFixed,2),IF(F558="Online deposit",ROUND(G558*CardFeePercent+CardFeeFixed,2),0))))</f>
        <v>0</v>
      </c>
      <c r="T558" s="26">
        <f>IF(B558="","",ROUND(IF(G558="",0,G558)*R558-S558,2))</f>
        <v>0</v>
      </c>
      <c r="U558" s="38">
        <f>IF(B558="","",IF(E558="Tip","Yes","No"))</f>
        <v>0</v>
      </c>
      <c r="V558" s="15">
        <f>IF(B558="","",IF(H558&lt;&gt;"","Sale "&amp;H558,IF(I558&lt;&gt;"","Booking "&amp;I558,IF(E558="Tip","Stylist","Unapplied"))))</f>
        <v>0</v>
      </c>
      <c r="W558" s="39">
        <f>IF(B558="","",IF(G558="","Add - no amount yet",IF(E558="","Add - what was this for?",IF(IF(H558="",FALSE,COUNTIF(Sales!$A$5:$A$1204,H558)=0),"Missing - no sale with that ID",IF(IF(I558="",FALSE,COUNTIF(Appointments!$A$5:$A$1204,I558)=0),"Missing - no booking with that ID",IF(IF(E558="Tip",J558="",FALSE),"Assign - whose tip is it?",IF(IF(E558="Deposit",IF(H558="",I558="",FALSE),FALSE),"Check - deposit not tied to a booking",IF(M558="No","Due - not reconciled yet","OK"))))))))</f>
        <v>0</v>
      </c>
    </row>
    <row r="559" spans="1:23">
      <c r="A559" s="28">
        <f>IF(B559="","",PaymentPrefix&amp;TEXT(ROW()-4,"0000"))</f>
        <v>0</v>
      </c>
      <c r="D559" s="15">
        <f>IF(C559="","",IFERROR(INDEX(Clients!$B$5:$B$504,MATCH(C559,Clients!$A$5:$A$504,0)),"Walk-in"))</f>
        <v>0</v>
      </c>
      <c r="K559" s="15">
        <f>IF(J559="","",IFERROR(INDEX(Staff!$B$5:$B$44,MATCH(J559,Staff!$A$5:$A$44,0)),""))</f>
        <v>0</v>
      </c>
      <c r="O559" s="15">
        <f>IF(B559="","",TEXT(B559,"yyyy-mm"))</f>
        <v>0</v>
      </c>
      <c r="P559" s="25">
        <f>IF(B559="","",WEEKNUM(B559,2))</f>
        <v>0</v>
      </c>
      <c r="Q559" s="38">
        <f>IF(B559="","",IF(E559="Tip","No",IF(E559="Refund","No","Yes")))</f>
        <v>0</v>
      </c>
      <c r="R559" s="25">
        <f>IF(B559="","",IF(E559="Refund",-1,1))</f>
        <v>0</v>
      </c>
      <c r="S559" s="26">
        <f>IF(B559="","",IF(G559="",0,IF(F559="Card",ROUND(G559*CardFeePercent+CardFeeFixed,2),IF(F559="Online deposit",ROUND(G559*CardFeePercent+CardFeeFixed,2),0))))</f>
        <v>0</v>
      </c>
      <c r="T559" s="26">
        <f>IF(B559="","",ROUND(IF(G559="",0,G559)*R559-S559,2))</f>
        <v>0</v>
      </c>
      <c r="U559" s="38">
        <f>IF(B559="","",IF(E559="Tip","Yes","No"))</f>
        <v>0</v>
      </c>
      <c r="V559" s="15">
        <f>IF(B559="","",IF(H559&lt;&gt;"","Sale "&amp;H559,IF(I559&lt;&gt;"","Booking "&amp;I559,IF(E559="Tip","Stylist","Unapplied"))))</f>
        <v>0</v>
      </c>
      <c r="W559" s="39">
        <f>IF(B559="","",IF(G559="","Add - no amount yet",IF(E559="","Add - what was this for?",IF(IF(H559="",FALSE,COUNTIF(Sales!$A$5:$A$1204,H559)=0),"Missing - no sale with that ID",IF(IF(I559="",FALSE,COUNTIF(Appointments!$A$5:$A$1204,I559)=0),"Missing - no booking with that ID",IF(IF(E559="Tip",J559="",FALSE),"Assign - whose tip is it?",IF(IF(E559="Deposit",IF(H559="",I559="",FALSE),FALSE),"Check - deposit not tied to a booking",IF(M559="No","Due - not reconciled yet","OK"))))))))</f>
        <v>0</v>
      </c>
    </row>
    <row r="560" spans="1:23">
      <c r="A560" s="28">
        <f>IF(B560="","",PaymentPrefix&amp;TEXT(ROW()-4,"0000"))</f>
        <v>0</v>
      </c>
      <c r="D560" s="15">
        <f>IF(C560="","",IFERROR(INDEX(Clients!$B$5:$B$504,MATCH(C560,Clients!$A$5:$A$504,0)),"Walk-in"))</f>
        <v>0</v>
      </c>
      <c r="K560" s="15">
        <f>IF(J560="","",IFERROR(INDEX(Staff!$B$5:$B$44,MATCH(J560,Staff!$A$5:$A$44,0)),""))</f>
        <v>0</v>
      </c>
      <c r="O560" s="15">
        <f>IF(B560="","",TEXT(B560,"yyyy-mm"))</f>
        <v>0</v>
      </c>
      <c r="P560" s="25">
        <f>IF(B560="","",WEEKNUM(B560,2))</f>
        <v>0</v>
      </c>
      <c r="Q560" s="38">
        <f>IF(B560="","",IF(E560="Tip","No",IF(E560="Refund","No","Yes")))</f>
        <v>0</v>
      </c>
      <c r="R560" s="25">
        <f>IF(B560="","",IF(E560="Refund",-1,1))</f>
        <v>0</v>
      </c>
      <c r="S560" s="26">
        <f>IF(B560="","",IF(G560="",0,IF(F560="Card",ROUND(G560*CardFeePercent+CardFeeFixed,2),IF(F560="Online deposit",ROUND(G560*CardFeePercent+CardFeeFixed,2),0))))</f>
        <v>0</v>
      </c>
      <c r="T560" s="26">
        <f>IF(B560="","",ROUND(IF(G560="",0,G560)*R560-S560,2))</f>
        <v>0</v>
      </c>
      <c r="U560" s="38">
        <f>IF(B560="","",IF(E560="Tip","Yes","No"))</f>
        <v>0</v>
      </c>
      <c r="V560" s="15">
        <f>IF(B560="","",IF(H560&lt;&gt;"","Sale "&amp;H560,IF(I560&lt;&gt;"","Booking "&amp;I560,IF(E560="Tip","Stylist","Unapplied"))))</f>
        <v>0</v>
      </c>
      <c r="W560" s="39">
        <f>IF(B560="","",IF(G560="","Add - no amount yet",IF(E560="","Add - what was this for?",IF(IF(H560="",FALSE,COUNTIF(Sales!$A$5:$A$1204,H560)=0),"Missing - no sale with that ID",IF(IF(I560="",FALSE,COUNTIF(Appointments!$A$5:$A$1204,I560)=0),"Missing - no booking with that ID",IF(IF(E560="Tip",J560="",FALSE),"Assign - whose tip is it?",IF(IF(E560="Deposit",IF(H560="",I560="",FALSE),FALSE),"Check - deposit not tied to a booking",IF(M560="No","Due - not reconciled yet","OK"))))))))</f>
        <v>0</v>
      </c>
    </row>
    <row r="561" spans="1:23">
      <c r="A561" s="28">
        <f>IF(B561="","",PaymentPrefix&amp;TEXT(ROW()-4,"0000"))</f>
        <v>0</v>
      </c>
      <c r="D561" s="15">
        <f>IF(C561="","",IFERROR(INDEX(Clients!$B$5:$B$504,MATCH(C561,Clients!$A$5:$A$504,0)),"Walk-in"))</f>
        <v>0</v>
      </c>
      <c r="K561" s="15">
        <f>IF(J561="","",IFERROR(INDEX(Staff!$B$5:$B$44,MATCH(J561,Staff!$A$5:$A$44,0)),""))</f>
        <v>0</v>
      </c>
      <c r="O561" s="15">
        <f>IF(B561="","",TEXT(B561,"yyyy-mm"))</f>
        <v>0</v>
      </c>
      <c r="P561" s="25">
        <f>IF(B561="","",WEEKNUM(B561,2))</f>
        <v>0</v>
      </c>
      <c r="Q561" s="38">
        <f>IF(B561="","",IF(E561="Tip","No",IF(E561="Refund","No","Yes")))</f>
        <v>0</v>
      </c>
      <c r="R561" s="25">
        <f>IF(B561="","",IF(E561="Refund",-1,1))</f>
        <v>0</v>
      </c>
      <c r="S561" s="26">
        <f>IF(B561="","",IF(G561="",0,IF(F561="Card",ROUND(G561*CardFeePercent+CardFeeFixed,2),IF(F561="Online deposit",ROUND(G561*CardFeePercent+CardFeeFixed,2),0))))</f>
        <v>0</v>
      </c>
      <c r="T561" s="26">
        <f>IF(B561="","",ROUND(IF(G561="",0,G561)*R561-S561,2))</f>
        <v>0</v>
      </c>
      <c r="U561" s="38">
        <f>IF(B561="","",IF(E561="Tip","Yes","No"))</f>
        <v>0</v>
      </c>
      <c r="V561" s="15">
        <f>IF(B561="","",IF(H561&lt;&gt;"","Sale "&amp;H561,IF(I561&lt;&gt;"","Booking "&amp;I561,IF(E561="Tip","Stylist","Unapplied"))))</f>
        <v>0</v>
      </c>
      <c r="W561" s="39">
        <f>IF(B561="","",IF(G561="","Add - no amount yet",IF(E561="","Add - what was this for?",IF(IF(H561="",FALSE,COUNTIF(Sales!$A$5:$A$1204,H561)=0),"Missing - no sale with that ID",IF(IF(I561="",FALSE,COUNTIF(Appointments!$A$5:$A$1204,I561)=0),"Missing - no booking with that ID",IF(IF(E561="Tip",J561="",FALSE),"Assign - whose tip is it?",IF(IF(E561="Deposit",IF(H561="",I561="",FALSE),FALSE),"Check - deposit not tied to a booking",IF(M561="No","Due - not reconciled yet","OK"))))))))</f>
        <v>0</v>
      </c>
    </row>
    <row r="562" spans="1:23">
      <c r="A562" s="28">
        <f>IF(B562="","",PaymentPrefix&amp;TEXT(ROW()-4,"0000"))</f>
        <v>0</v>
      </c>
      <c r="D562" s="15">
        <f>IF(C562="","",IFERROR(INDEX(Clients!$B$5:$B$504,MATCH(C562,Clients!$A$5:$A$504,0)),"Walk-in"))</f>
        <v>0</v>
      </c>
      <c r="K562" s="15">
        <f>IF(J562="","",IFERROR(INDEX(Staff!$B$5:$B$44,MATCH(J562,Staff!$A$5:$A$44,0)),""))</f>
        <v>0</v>
      </c>
      <c r="O562" s="15">
        <f>IF(B562="","",TEXT(B562,"yyyy-mm"))</f>
        <v>0</v>
      </c>
      <c r="P562" s="25">
        <f>IF(B562="","",WEEKNUM(B562,2))</f>
        <v>0</v>
      </c>
      <c r="Q562" s="38">
        <f>IF(B562="","",IF(E562="Tip","No",IF(E562="Refund","No","Yes")))</f>
        <v>0</v>
      </c>
      <c r="R562" s="25">
        <f>IF(B562="","",IF(E562="Refund",-1,1))</f>
        <v>0</v>
      </c>
      <c r="S562" s="26">
        <f>IF(B562="","",IF(G562="",0,IF(F562="Card",ROUND(G562*CardFeePercent+CardFeeFixed,2),IF(F562="Online deposit",ROUND(G562*CardFeePercent+CardFeeFixed,2),0))))</f>
        <v>0</v>
      </c>
      <c r="T562" s="26">
        <f>IF(B562="","",ROUND(IF(G562="",0,G562)*R562-S562,2))</f>
        <v>0</v>
      </c>
      <c r="U562" s="38">
        <f>IF(B562="","",IF(E562="Tip","Yes","No"))</f>
        <v>0</v>
      </c>
      <c r="V562" s="15">
        <f>IF(B562="","",IF(H562&lt;&gt;"","Sale "&amp;H562,IF(I562&lt;&gt;"","Booking "&amp;I562,IF(E562="Tip","Stylist","Unapplied"))))</f>
        <v>0</v>
      </c>
      <c r="W562" s="39">
        <f>IF(B562="","",IF(G562="","Add - no amount yet",IF(E562="","Add - what was this for?",IF(IF(H562="",FALSE,COUNTIF(Sales!$A$5:$A$1204,H562)=0),"Missing - no sale with that ID",IF(IF(I562="",FALSE,COUNTIF(Appointments!$A$5:$A$1204,I562)=0),"Missing - no booking with that ID",IF(IF(E562="Tip",J562="",FALSE),"Assign - whose tip is it?",IF(IF(E562="Deposit",IF(H562="",I562="",FALSE),FALSE),"Check - deposit not tied to a booking",IF(M562="No","Due - not reconciled yet","OK"))))))))</f>
        <v>0</v>
      </c>
    </row>
    <row r="563" spans="1:23">
      <c r="A563" s="28">
        <f>IF(B563="","",PaymentPrefix&amp;TEXT(ROW()-4,"0000"))</f>
        <v>0</v>
      </c>
      <c r="D563" s="15">
        <f>IF(C563="","",IFERROR(INDEX(Clients!$B$5:$B$504,MATCH(C563,Clients!$A$5:$A$504,0)),"Walk-in"))</f>
        <v>0</v>
      </c>
      <c r="K563" s="15">
        <f>IF(J563="","",IFERROR(INDEX(Staff!$B$5:$B$44,MATCH(J563,Staff!$A$5:$A$44,0)),""))</f>
        <v>0</v>
      </c>
      <c r="O563" s="15">
        <f>IF(B563="","",TEXT(B563,"yyyy-mm"))</f>
        <v>0</v>
      </c>
      <c r="P563" s="25">
        <f>IF(B563="","",WEEKNUM(B563,2))</f>
        <v>0</v>
      </c>
      <c r="Q563" s="38">
        <f>IF(B563="","",IF(E563="Tip","No",IF(E563="Refund","No","Yes")))</f>
        <v>0</v>
      </c>
      <c r="R563" s="25">
        <f>IF(B563="","",IF(E563="Refund",-1,1))</f>
        <v>0</v>
      </c>
      <c r="S563" s="26">
        <f>IF(B563="","",IF(G563="",0,IF(F563="Card",ROUND(G563*CardFeePercent+CardFeeFixed,2),IF(F563="Online deposit",ROUND(G563*CardFeePercent+CardFeeFixed,2),0))))</f>
        <v>0</v>
      </c>
      <c r="T563" s="26">
        <f>IF(B563="","",ROUND(IF(G563="",0,G563)*R563-S563,2))</f>
        <v>0</v>
      </c>
      <c r="U563" s="38">
        <f>IF(B563="","",IF(E563="Tip","Yes","No"))</f>
        <v>0</v>
      </c>
      <c r="V563" s="15">
        <f>IF(B563="","",IF(H563&lt;&gt;"","Sale "&amp;H563,IF(I563&lt;&gt;"","Booking "&amp;I563,IF(E563="Tip","Stylist","Unapplied"))))</f>
        <v>0</v>
      </c>
      <c r="W563" s="39">
        <f>IF(B563="","",IF(G563="","Add - no amount yet",IF(E563="","Add - what was this for?",IF(IF(H563="",FALSE,COUNTIF(Sales!$A$5:$A$1204,H563)=0),"Missing - no sale with that ID",IF(IF(I563="",FALSE,COUNTIF(Appointments!$A$5:$A$1204,I563)=0),"Missing - no booking with that ID",IF(IF(E563="Tip",J563="",FALSE),"Assign - whose tip is it?",IF(IF(E563="Deposit",IF(H563="",I563="",FALSE),FALSE),"Check - deposit not tied to a booking",IF(M563="No","Due - not reconciled yet","OK"))))))))</f>
        <v>0</v>
      </c>
    </row>
    <row r="564" spans="1:23">
      <c r="A564" s="28">
        <f>IF(B564="","",PaymentPrefix&amp;TEXT(ROW()-4,"0000"))</f>
        <v>0</v>
      </c>
      <c r="D564" s="15">
        <f>IF(C564="","",IFERROR(INDEX(Clients!$B$5:$B$504,MATCH(C564,Clients!$A$5:$A$504,0)),"Walk-in"))</f>
        <v>0</v>
      </c>
      <c r="K564" s="15">
        <f>IF(J564="","",IFERROR(INDEX(Staff!$B$5:$B$44,MATCH(J564,Staff!$A$5:$A$44,0)),""))</f>
        <v>0</v>
      </c>
      <c r="O564" s="15">
        <f>IF(B564="","",TEXT(B564,"yyyy-mm"))</f>
        <v>0</v>
      </c>
      <c r="P564" s="25">
        <f>IF(B564="","",WEEKNUM(B564,2))</f>
        <v>0</v>
      </c>
      <c r="Q564" s="38">
        <f>IF(B564="","",IF(E564="Tip","No",IF(E564="Refund","No","Yes")))</f>
        <v>0</v>
      </c>
      <c r="R564" s="25">
        <f>IF(B564="","",IF(E564="Refund",-1,1))</f>
        <v>0</v>
      </c>
      <c r="S564" s="26">
        <f>IF(B564="","",IF(G564="",0,IF(F564="Card",ROUND(G564*CardFeePercent+CardFeeFixed,2),IF(F564="Online deposit",ROUND(G564*CardFeePercent+CardFeeFixed,2),0))))</f>
        <v>0</v>
      </c>
      <c r="T564" s="26">
        <f>IF(B564="","",ROUND(IF(G564="",0,G564)*R564-S564,2))</f>
        <v>0</v>
      </c>
      <c r="U564" s="38">
        <f>IF(B564="","",IF(E564="Tip","Yes","No"))</f>
        <v>0</v>
      </c>
      <c r="V564" s="15">
        <f>IF(B564="","",IF(H564&lt;&gt;"","Sale "&amp;H564,IF(I564&lt;&gt;"","Booking "&amp;I564,IF(E564="Tip","Stylist","Unapplied"))))</f>
        <v>0</v>
      </c>
      <c r="W564" s="39">
        <f>IF(B564="","",IF(G564="","Add - no amount yet",IF(E564="","Add - what was this for?",IF(IF(H564="",FALSE,COUNTIF(Sales!$A$5:$A$1204,H564)=0),"Missing - no sale with that ID",IF(IF(I564="",FALSE,COUNTIF(Appointments!$A$5:$A$1204,I564)=0),"Missing - no booking with that ID",IF(IF(E564="Tip",J564="",FALSE),"Assign - whose tip is it?",IF(IF(E564="Deposit",IF(H564="",I564="",FALSE),FALSE),"Check - deposit not tied to a booking",IF(M564="No","Due - not reconciled yet","OK"))))))))</f>
        <v>0</v>
      </c>
    </row>
    <row r="565" spans="1:23">
      <c r="A565" s="28">
        <f>IF(B565="","",PaymentPrefix&amp;TEXT(ROW()-4,"0000"))</f>
        <v>0</v>
      </c>
      <c r="D565" s="15">
        <f>IF(C565="","",IFERROR(INDEX(Clients!$B$5:$B$504,MATCH(C565,Clients!$A$5:$A$504,0)),"Walk-in"))</f>
        <v>0</v>
      </c>
      <c r="K565" s="15">
        <f>IF(J565="","",IFERROR(INDEX(Staff!$B$5:$B$44,MATCH(J565,Staff!$A$5:$A$44,0)),""))</f>
        <v>0</v>
      </c>
      <c r="O565" s="15">
        <f>IF(B565="","",TEXT(B565,"yyyy-mm"))</f>
        <v>0</v>
      </c>
      <c r="P565" s="25">
        <f>IF(B565="","",WEEKNUM(B565,2))</f>
        <v>0</v>
      </c>
      <c r="Q565" s="38">
        <f>IF(B565="","",IF(E565="Tip","No",IF(E565="Refund","No","Yes")))</f>
        <v>0</v>
      </c>
      <c r="R565" s="25">
        <f>IF(B565="","",IF(E565="Refund",-1,1))</f>
        <v>0</v>
      </c>
      <c r="S565" s="26">
        <f>IF(B565="","",IF(G565="",0,IF(F565="Card",ROUND(G565*CardFeePercent+CardFeeFixed,2),IF(F565="Online deposit",ROUND(G565*CardFeePercent+CardFeeFixed,2),0))))</f>
        <v>0</v>
      </c>
      <c r="T565" s="26">
        <f>IF(B565="","",ROUND(IF(G565="",0,G565)*R565-S565,2))</f>
        <v>0</v>
      </c>
      <c r="U565" s="38">
        <f>IF(B565="","",IF(E565="Tip","Yes","No"))</f>
        <v>0</v>
      </c>
      <c r="V565" s="15">
        <f>IF(B565="","",IF(H565&lt;&gt;"","Sale "&amp;H565,IF(I565&lt;&gt;"","Booking "&amp;I565,IF(E565="Tip","Stylist","Unapplied"))))</f>
        <v>0</v>
      </c>
      <c r="W565" s="39">
        <f>IF(B565="","",IF(G565="","Add - no amount yet",IF(E565="","Add - what was this for?",IF(IF(H565="",FALSE,COUNTIF(Sales!$A$5:$A$1204,H565)=0),"Missing - no sale with that ID",IF(IF(I565="",FALSE,COUNTIF(Appointments!$A$5:$A$1204,I565)=0),"Missing - no booking with that ID",IF(IF(E565="Tip",J565="",FALSE),"Assign - whose tip is it?",IF(IF(E565="Deposit",IF(H565="",I565="",FALSE),FALSE),"Check - deposit not tied to a booking",IF(M565="No","Due - not reconciled yet","OK"))))))))</f>
        <v>0</v>
      </c>
    </row>
    <row r="566" spans="1:23">
      <c r="A566" s="28">
        <f>IF(B566="","",PaymentPrefix&amp;TEXT(ROW()-4,"0000"))</f>
        <v>0</v>
      </c>
      <c r="D566" s="15">
        <f>IF(C566="","",IFERROR(INDEX(Clients!$B$5:$B$504,MATCH(C566,Clients!$A$5:$A$504,0)),"Walk-in"))</f>
        <v>0</v>
      </c>
      <c r="K566" s="15">
        <f>IF(J566="","",IFERROR(INDEX(Staff!$B$5:$B$44,MATCH(J566,Staff!$A$5:$A$44,0)),""))</f>
        <v>0</v>
      </c>
      <c r="O566" s="15">
        <f>IF(B566="","",TEXT(B566,"yyyy-mm"))</f>
        <v>0</v>
      </c>
      <c r="P566" s="25">
        <f>IF(B566="","",WEEKNUM(B566,2))</f>
        <v>0</v>
      </c>
      <c r="Q566" s="38">
        <f>IF(B566="","",IF(E566="Tip","No",IF(E566="Refund","No","Yes")))</f>
        <v>0</v>
      </c>
      <c r="R566" s="25">
        <f>IF(B566="","",IF(E566="Refund",-1,1))</f>
        <v>0</v>
      </c>
      <c r="S566" s="26">
        <f>IF(B566="","",IF(G566="",0,IF(F566="Card",ROUND(G566*CardFeePercent+CardFeeFixed,2),IF(F566="Online deposit",ROUND(G566*CardFeePercent+CardFeeFixed,2),0))))</f>
        <v>0</v>
      </c>
      <c r="T566" s="26">
        <f>IF(B566="","",ROUND(IF(G566="",0,G566)*R566-S566,2))</f>
        <v>0</v>
      </c>
      <c r="U566" s="38">
        <f>IF(B566="","",IF(E566="Tip","Yes","No"))</f>
        <v>0</v>
      </c>
      <c r="V566" s="15">
        <f>IF(B566="","",IF(H566&lt;&gt;"","Sale "&amp;H566,IF(I566&lt;&gt;"","Booking "&amp;I566,IF(E566="Tip","Stylist","Unapplied"))))</f>
        <v>0</v>
      </c>
      <c r="W566" s="39">
        <f>IF(B566="","",IF(G566="","Add - no amount yet",IF(E566="","Add - what was this for?",IF(IF(H566="",FALSE,COUNTIF(Sales!$A$5:$A$1204,H566)=0),"Missing - no sale with that ID",IF(IF(I566="",FALSE,COUNTIF(Appointments!$A$5:$A$1204,I566)=0),"Missing - no booking with that ID",IF(IF(E566="Tip",J566="",FALSE),"Assign - whose tip is it?",IF(IF(E566="Deposit",IF(H566="",I566="",FALSE),FALSE),"Check - deposit not tied to a booking",IF(M566="No","Due - not reconciled yet","OK"))))))))</f>
        <v>0</v>
      </c>
    </row>
    <row r="567" spans="1:23">
      <c r="A567" s="28">
        <f>IF(B567="","",PaymentPrefix&amp;TEXT(ROW()-4,"0000"))</f>
        <v>0</v>
      </c>
      <c r="D567" s="15">
        <f>IF(C567="","",IFERROR(INDEX(Clients!$B$5:$B$504,MATCH(C567,Clients!$A$5:$A$504,0)),"Walk-in"))</f>
        <v>0</v>
      </c>
      <c r="K567" s="15">
        <f>IF(J567="","",IFERROR(INDEX(Staff!$B$5:$B$44,MATCH(J567,Staff!$A$5:$A$44,0)),""))</f>
        <v>0</v>
      </c>
      <c r="O567" s="15">
        <f>IF(B567="","",TEXT(B567,"yyyy-mm"))</f>
        <v>0</v>
      </c>
      <c r="P567" s="25">
        <f>IF(B567="","",WEEKNUM(B567,2))</f>
        <v>0</v>
      </c>
      <c r="Q567" s="38">
        <f>IF(B567="","",IF(E567="Tip","No",IF(E567="Refund","No","Yes")))</f>
        <v>0</v>
      </c>
      <c r="R567" s="25">
        <f>IF(B567="","",IF(E567="Refund",-1,1))</f>
        <v>0</v>
      </c>
      <c r="S567" s="26">
        <f>IF(B567="","",IF(G567="",0,IF(F567="Card",ROUND(G567*CardFeePercent+CardFeeFixed,2),IF(F567="Online deposit",ROUND(G567*CardFeePercent+CardFeeFixed,2),0))))</f>
        <v>0</v>
      </c>
      <c r="T567" s="26">
        <f>IF(B567="","",ROUND(IF(G567="",0,G567)*R567-S567,2))</f>
        <v>0</v>
      </c>
      <c r="U567" s="38">
        <f>IF(B567="","",IF(E567="Tip","Yes","No"))</f>
        <v>0</v>
      </c>
      <c r="V567" s="15">
        <f>IF(B567="","",IF(H567&lt;&gt;"","Sale "&amp;H567,IF(I567&lt;&gt;"","Booking "&amp;I567,IF(E567="Tip","Stylist","Unapplied"))))</f>
        <v>0</v>
      </c>
      <c r="W567" s="39">
        <f>IF(B567="","",IF(G567="","Add - no amount yet",IF(E567="","Add - what was this for?",IF(IF(H567="",FALSE,COUNTIF(Sales!$A$5:$A$1204,H567)=0),"Missing - no sale with that ID",IF(IF(I567="",FALSE,COUNTIF(Appointments!$A$5:$A$1204,I567)=0),"Missing - no booking with that ID",IF(IF(E567="Tip",J567="",FALSE),"Assign - whose tip is it?",IF(IF(E567="Deposit",IF(H567="",I567="",FALSE),FALSE),"Check - deposit not tied to a booking",IF(M567="No","Due - not reconciled yet","OK"))))))))</f>
        <v>0</v>
      </c>
    </row>
    <row r="568" spans="1:23">
      <c r="A568" s="28">
        <f>IF(B568="","",PaymentPrefix&amp;TEXT(ROW()-4,"0000"))</f>
        <v>0</v>
      </c>
      <c r="D568" s="15">
        <f>IF(C568="","",IFERROR(INDEX(Clients!$B$5:$B$504,MATCH(C568,Clients!$A$5:$A$504,0)),"Walk-in"))</f>
        <v>0</v>
      </c>
      <c r="K568" s="15">
        <f>IF(J568="","",IFERROR(INDEX(Staff!$B$5:$B$44,MATCH(J568,Staff!$A$5:$A$44,0)),""))</f>
        <v>0</v>
      </c>
      <c r="O568" s="15">
        <f>IF(B568="","",TEXT(B568,"yyyy-mm"))</f>
        <v>0</v>
      </c>
      <c r="P568" s="25">
        <f>IF(B568="","",WEEKNUM(B568,2))</f>
        <v>0</v>
      </c>
      <c r="Q568" s="38">
        <f>IF(B568="","",IF(E568="Tip","No",IF(E568="Refund","No","Yes")))</f>
        <v>0</v>
      </c>
      <c r="R568" s="25">
        <f>IF(B568="","",IF(E568="Refund",-1,1))</f>
        <v>0</v>
      </c>
      <c r="S568" s="26">
        <f>IF(B568="","",IF(G568="",0,IF(F568="Card",ROUND(G568*CardFeePercent+CardFeeFixed,2),IF(F568="Online deposit",ROUND(G568*CardFeePercent+CardFeeFixed,2),0))))</f>
        <v>0</v>
      </c>
      <c r="T568" s="26">
        <f>IF(B568="","",ROUND(IF(G568="",0,G568)*R568-S568,2))</f>
        <v>0</v>
      </c>
      <c r="U568" s="38">
        <f>IF(B568="","",IF(E568="Tip","Yes","No"))</f>
        <v>0</v>
      </c>
      <c r="V568" s="15">
        <f>IF(B568="","",IF(H568&lt;&gt;"","Sale "&amp;H568,IF(I568&lt;&gt;"","Booking "&amp;I568,IF(E568="Tip","Stylist","Unapplied"))))</f>
        <v>0</v>
      </c>
      <c r="W568" s="39">
        <f>IF(B568="","",IF(G568="","Add - no amount yet",IF(E568="","Add - what was this for?",IF(IF(H568="",FALSE,COUNTIF(Sales!$A$5:$A$1204,H568)=0),"Missing - no sale with that ID",IF(IF(I568="",FALSE,COUNTIF(Appointments!$A$5:$A$1204,I568)=0),"Missing - no booking with that ID",IF(IF(E568="Tip",J568="",FALSE),"Assign - whose tip is it?",IF(IF(E568="Deposit",IF(H568="",I568="",FALSE),FALSE),"Check - deposit not tied to a booking",IF(M568="No","Due - not reconciled yet","OK"))))))))</f>
        <v>0</v>
      </c>
    </row>
    <row r="569" spans="1:23">
      <c r="A569" s="28">
        <f>IF(B569="","",PaymentPrefix&amp;TEXT(ROW()-4,"0000"))</f>
        <v>0</v>
      </c>
      <c r="D569" s="15">
        <f>IF(C569="","",IFERROR(INDEX(Clients!$B$5:$B$504,MATCH(C569,Clients!$A$5:$A$504,0)),"Walk-in"))</f>
        <v>0</v>
      </c>
      <c r="K569" s="15">
        <f>IF(J569="","",IFERROR(INDEX(Staff!$B$5:$B$44,MATCH(J569,Staff!$A$5:$A$44,0)),""))</f>
        <v>0</v>
      </c>
      <c r="O569" s="15">
        <f>IF(B569="","",TEXT(B569,"yyyy-mm"))</f>
        <v>0</v>
      </c>
      <c r="P569" s="25">
        <f>IF(B569="","",WEEKNUM(B569,2))</f>
        <v>0</v>
      </c>
      <c r="Q569" s="38">
        <f>IF(B569="","",IF(E569="Tip","No",IF(E569="Refund","No","Yes")))</f>
        <v>0</v>
      </c>
      <c r="R569" s="25">
        <f>IF(B569="","",IF(E569="Refund",-1,1))</f>
        <v>0</v>
      </c>
      <c r="S569" s="26">
        <f>IF(B569="","",IF(G569="",0,IF(F569="Card",ROUND(G569*CardFeePercent+CardFeeFixed,2),IF(F569="Online deposit",ROUND(G569*CardFeePercent+CardFeeFixed,2),0))))</f>
        <v>0</v>
      </c>
      <c r="T569" s="26">
        <f>IF(B569="","",ROUND(IF(G569="",0,G569)*R569-S569,2))</f>
        <v>0</v>
      </c>
      <c r="U569" s="38">
        <f>IF(B569="","",IF(E569="Tip","Yes","No"))</f>
        <v>0</v>
      </c>
      <c r="V569" s="15">
        <f>IF(B569="","",IF(H569&lt;&gt;"","Sale "&amp;H569,IF(I569&lt;&gt;"","Booking "&amp;I569,IF(E569="Tip","Stylist","Unapplied"))))</f>
        <v>0</v>
      </c>
      <c r="W569" s="39">
        <f>IF(B569="","",IF(G569="","Add - no amount yet",IF(E569="","Add - what was this for?",IF(IF(H569="",FALSE,COUNTIF(Sales!$A$5:$A$1204,H569)=0),"Missing - no sale with that ID",IF(IF(I569="",FALSE,COUNTIF(Appointments!$A$5:$A$1204,I569)=0),"Missing - no booking with that ID",IF(IF(E569="Tip",J569="",FALSE),"Assign - whose tip is it?",IF(IF(E569="Deposit",IF(H569="",I569="",FALSE),FALSE),"Check - deposit not tied to a booking",IF(M569="No","Due - not reconciled yet","OK"))))))))</f>
        <v>0</v>
      </c>
    </row>
    <row r="570" spans="1:23">
      <c r="A570" s="28">
        <f>IF(B570="","",PaymentPrefix&amp;TEXT(ROW()-4,"0000"))</f>
        <v>0</v>
      </c>
      <c r="D570" s="15">
        <f>IF(C570="","",IFERROR(INDEX(Clients!$B$5:$B$504,MATCH(C570,Clients!$A$5:$A$504,0)),"Walk-in"))</f>
        <v>0</v>
      </c>
      <c r="K570" s="15">
        <f>IF(J570="","",IFERROR(INDEX(Staff!$B$5:$B$44,MATCH(J570,Staff!$A$5:$A$44,0)),""))</f>
        <v>0</v>
      </c>
      <c r="O570" s="15">
        <f>IF(B570="","",TEXT(B570,"yyyy-mm"))</f>
        <v>0</v>
      </c>
      <c r="P570" s="25">
        <f>IF(B570="","",WEEKNUM(B570,2))</f>
        <v>0</v>
      </c>
      <c r="Q570" s="38">
        <f>IF(B570="","",IF(E570="Tip","No",IF(E570="Refund","No","Yes")))</f>
        <v>0</v>
      </c>
      <c r="R570" s="25">
        <f>IF(B570="","",IF(E570="Refund",-1,1))</f>
        <v>0</v>
      </c>
      <c r="S570" s="26">
        <f>IF(B570="","",IF(G570="",0,IF(F570="Card",ROUND(G570*CardFeePercent+CardFeeFixed,2),IF(F570="Online deposit",ROUND(G570*CardFeePercent+CardFeeFixed,2),0))))</f>
        <v>0</v>
      </c>
      <c r="T570" s="26">
        <f>IF(B570="","",ROUND(IF(G570="",0,G570)*R570-S570,2))</f>
        <v>0</v>
      </c>
      <c r="U570" s="38">
        <f>IF(B570="","",IF(E570="Tip","Yes","No"))</f>
        <v>0</v>
      </c>
      <c r="V570" s="15">
        <f>IF(B570="","",IF(H570&lt;&gt;"","Sale "&amp;H570,IF(I570&lt;&gt;"","Booking "&amp;I570,IF(E570="Tip","Stylist","Unapplied"))))</f>
        <v>0</v>
      </c>
      <c r="W570" s="39">
        <f>IF(B570="","",IF(G570="","Add - no amount yet",IF(E570="","Add - what was this for?",IF(IF(H570="",FALSE,COUNTIF(Sales!$A$5:$A$1204,H570)=0),"Missing - no sale with that ID",IF(IF(I570="",FALSE,COUNTIF(Appointments!$A$5:$A$1204,I570)=0),"Missing - no booking with that ID",IF(IF(E570="Tip",J570="",FALSE),"Assign - whose tip is it?",IF(IF(E570="Deposit",IF(H570="",I570="",FALSE),FALSE),"Check - deposit not tied to a booking",IF(M570="No","Due - not reconciled yet","OK"))))))))</f>
        <v>0</v>
      </c>
    </row>
    <row r="571" spans="1:23">
      <c r="A571" s="28">
        <f>IF(B571="","",PaymentPrefix&amp;TEXT(ROW()-4,"0000"))</f>
        <v>0</v>
      </c>
      <c r="D571" s="15">
        <f>IF(C571="","",IFERROR(INDEX(Clients!$B$5:$B$504,MATCH(C571,Clients!$A$5:$A$504,0)),"Walk-in"))</f>
        <v>0</v>
      </c>
      <c r="K571" s="15">
        <f>IF(J571="","",IFERROR(INDEX(Staff!$B$5:$B$44,MATCH(J571,Staff!$A$5:$A$44,0)),""))</f>
        <v>0</v>
      </c>
      <c r="O571" s="15">
        <f>IF(B571="","",TEXT(B571,"yyyy-mm"))</f>
        <v>0</v>
      </c>
      <c r="P571" s="25">
        <f>IF(B571="","",WEEKNUM(B571,2))</f>
        <v>0</v>
      </c>
      <c r="Q571" s="38">
        <f>IF(B571="","",IF(E571="Tip","No",IF(E571="Refund","No","Yes")))</f>
        <v>0</v>
      </c>
      <c r="R571" s="25">
        <f>IF(B571="","",IF(E571="Refund",-1,1))</f>
        <v>0</v>
      </c>
      <c r="S571" s="26">
        <f>IF(B571="","",IF(G571="",0,IF(F571="Card",ROUND(G571*CardFeePercent+CardFeeFixed,2),IF(F571="Online deposit",ROUND(G571*CardFeePercent+CardFeeFixed,2),0))))</f>
        <v>0</v>
      </c>
      <c r="T571" s="26">
        <f>IF(B571="","",ROUND(IF(G571="",0,G571)*R571-S571,2))</f>
        <v>0</v>
      </c>
      <c r="U571" s="38">
        <f>IF(B571="","",IF(E571="Tip","Yes","No"))</f>
        <v>0</v>
      </c>
      <c r="V571" s="15">
        <f>IF(B571="","",IF(H571&lt;&gt;"","Sale "&amp;H571,IF(I571&lt;&gt;"","Booking "&amp;I571,IF(E571="Tip","Stylist","Unapplied"))))</f>
        <v>0</v>
      </c>
      <c r="W571" s="39">
        <f>IF(B571="","",IF(G571="","Add - no amount yet",IF(E571="","Add - what was this for?",IF(IF(H571="",FALSE,COUNTIF(Sales!$A$5:$A$1204,H571)=0),"Missing - no sale with that ID",IF(IF(I571="",FALSE,COUNTIF(Appointments!$A$5:$A$1204,I571)=0),"Missing - no booking with that ID",IF(IF(E571="Tip",J571="",FALSE),"Assign - whose tip is it?",IF(IF(E571="Deposit",IF(H571="",I571="",FALSE),FALSE),"Check - deposit not tied to a booking",IF(M571="No","Due - not reconciled yet","OK"))))))))</f>
        <v>0</v>
      </c>
    </row>
    <row r="572" spans="1:23">
      <c r="A572" s="28">
        <f>IF(B572="","",PaymentPrefix&amp;TEXT(ROW()-4,"0000"))</f>
        <v>0</v>
      </c>
      <c r="D572" s="15">
        <f>IF(C572="","",IFERROR(INDEX(Clients!$B$5:$B$504,MATCH(C572,Clients!$A$5:$A$504,0)),"Walk-in"))</f>
        <v>0</v>
      </c>
      <c r="K572" s="15">
        <f>IF(J572="","",IFERROR(INDEX(Staff!$B$5:$B$44,MATCH(J572,Staff!$A$5:$A$44,0)),""))</f>
        <v>0</v>
      </c>
      <c r="O572" s="15">
        <f>IF(B572="","",TEXT(B572,"yyyy-mm"))</f>
        <v>0</v>
      </c>
      <c r="P572" s="25">
        <f>IF(B572="","",WEEKNUM(B572,2))</f>
        <v>0</v>
      </c>
      <c r="Q572" s="38">
        <f>IF(B572="","",IF(E572="Tip","No",IF(E572="Refund","No","Yes")))</f>
        <v>0</v>
      </c>
      <c r="R572" s="25">
        <f>IF(B572="","",IF(E572="Refund",-1,1))</f>
        <v>0</v>
      </c>
      <c r="S572" s="26">
        <f>IF(B572="","",IF(G572="",0,IF(F572="Card",ROUND(G572*CardFeePercent+CardFeeFixed,2),IF(F572="Online deposit",ROUND(G572*CardFeePercent+CardFeeFixed,2),0))))</f>
        <v>0</v>
      </c>
      <c r="T572" s="26">
        <f>IF(B572="","",ROUND(IF(G572="",0,G572)*R572-S572,2))</f>
        <v>0</v>
      </c>
      <c r="U572" s="38">
        <f>IF(B572="","",IF(E572="Tip","Yes","No"))</f>
        <v>0</v>
      </c>
      <c r="V572" s="15">
        <f>IF(B572="","",IF(H572&lt;&gt;"","Sale "&amp;H572,IF(I572&lt;&gt;"","Booking "&amp;I572,IF(E572="Tip","Stylist","Unapplied"))))</f>
        <v>0</v>
      </c>
      <c r="W572" s="39">
        <f>IF(B572="","",IF(G572="","Add - no amount yet",IF(E572="","Add - what was this for?",IF(IF(H572="",FALSE,COUNTIF(Sales!$A$5:$A$1204,H572)=0),"Missing - no sale with that ID",IF(IF(I572="",FALSE,COUNTIF(Appointments!$A$5:$A$1204,I572)=0),"Missing - no booking with that ID",IF(IF(E572="Tip",J572="",FALSE),"Assign - whose tip is it?",IF(IF(E572="Deposit",IF(H572="",I572="",FALSE),FALSE),"Check - deposit not tied to a booking",IF(M572="No","Due - not reconciled yet","OK"))))))))</f>
        <v>0</v>
      </c>
    </row>
    <row r="573" spans="1:23">
      <c r="A573" s="28">
        <f>IF(B573="","",PaymentPrefix&amp;TEXT(ROW()-4,"0000"))</f>
        <v>0</v>
      </c>
      <c r="D573" s="15">
        <f>IF(C573="","",IFERROR(INDEX(Clients!$B$5:$B$504,MATCH(C573,Clients!$A$5:$A$504,0)),"Walk-in"))</f>
        <v>0</v>
      </c>
      <c r="K573" s="15">
        <f>IF(J573="","",IFERROR(INDEX(Staff!$B$5:$B$44,MATCH(J573,Staff!$A$5:$A$44,0)),""))</f>
        <v>0</v>
      </c>
      <c r="O573" s="15">
        <f>IF(B573="","",TEXT(B573,"yyyy-mm"))</f>
        <v>0</v>
      </c>
      <c r="P573" s="25">
        <f>IF(B573="","",WEEKNUM(B573,2))</f>
        <v>0</v>
      </c>
      <c r="Q573" s="38">
        <f>IF(B573="","",IF(E573="Tip","No",IF(E573="Refund","No","Yes")))</f>
        <v>0</v>
      </c>
      <c r="R573" s="25">
        <f>IF(B573="","",IF(E573="Refund",-1,1))</f>
        <v>0</v>
      </c>
      <c r="S573" s="26">
        <f>IF(B573="","",IF(G573="",0,IF(F573="Card",ROUND(G573*CardFeePercent+CardFeeFixed,2),IF(F573="Online deposit",ROUND(G573*CardFeePercent+CardFeeFixed,2),0))))</f>
        <v>0</v>
      </c>
      <c r="T573" s="26">
        <f>IF(B573="","",ROUND(IF(G573="",0,G573)*R573-S573,2))</f>
        <v>0</v>
      </c>
      <c r="U573" s="38">
        <f>IF(B573="","",IF(E573="Tip","Yes","No"))</f>
        <v>0</v>
      </c>
      <c r="V573" s="15">
        <f>IF(B573="","",IF(H573&lt;&gt;"","Sale "&amp;H573,IF(I573&lt;&gt;"","Booking "&amp;I573,IF(E573="Tip","Stylist","Unapplied"))))</f>
        <v>0</v>
      </c>
      <c r="W573" s="39">
        <f>IF(B573="","",IF(G573="","Add - no amount yet",IF(E573="","Add - what was this for?",IF(IF(H573="",FALSE,COUNTIF(Sales!$A$5:$A$1204,H573)=0),"Missing - no sale with that ID",IF(IF(I573="",FALSE,COUNTIF(Appointments!$A$5:$A$1204,I573)=0),"Missing - no booking with that ID",IF(IF(E573="Tip",J573="",FALSE),"Assign - whose tip is it?",IF(IF(E573="Deposit",IF(H573="",I573="",FALSE),FALSE),"Check - deposit not tied to a booking",IF(M573="No","Due - not reconciled yet","OK"))))))))</f>
        <v>0</v>
      </c>
    </row>
    <row r="574" spans="1:23">
      <c r="A574" s="28">
        <f>IF(B574="","",PaymentPrefix&amp;TEXT(ROW()-4,"0000"))</f>
        <v>0</v>
      </c>
      <c r="D574" s="15">
        <f>IF(C574="","",IFERROR(INDEX(Clients!$B$5:$B$504,MATCH(C574,Clients!$A$5:$A$504,0)),"Walk-in"))</f>
        <v>0</v>
      </c>
      <c r="K574" s="15">
        <f>IF(J574="","",IFERROR(INDEX(Staff!$B$5:$B$44,MATCH(J574,Staff!$A$5:$A$44,0)),""))</f>
        <v>0</v>
      </c>
      <c r="O574" s="15">
        <f>IF(B574="","",TEXT(B574,"yyyy-mm"))</f>
        <v>0</v>
      </c>
      <c r="P574" s="25">
        <f>IF(B574="","",WEEKNUM(B574,2))</f>
        <v>0</v>
      </c>
      <c r="Q574" s="38">
        <f>IF(B574="","",IF(E574="Tip","No",IF(E574="Refund","No","Yes")))</f>
        <v>0</v>
      </c>
      <c r="R574" s="25">
        <f>IF(B574="","",IF(E574="Refund",-1,1))</f>
        <v>0</v>
      </c>
      <c r="S574" s="26">
        <f>IF(B574="","",IF(G574="",0,IF(F574="Card",ROUND(G574*CardFeePercent+CardFeeFixed,2),IF(F574="Online deposit",ROUND(G574*CardFeePercent+CardFeeFixed,2),0))))</f>
        <v>0</v>
      </c>
      <c r="T574" s="26">
        <f>IF(B574="","",ROUND(IF(G574="",0,G574)*R574-S574,2))</f>
        <v>0</v>
      </c>
      <c r="U574" s="38">
        <f>IF(B574="","",IF(E574="Tip","Yes","No"))</f>
        <v>0</v>
      </c>
      <c r="V574" s="15">
        <f>IF(B574="","",IF(H574&lt;&gt;"","Sale "&amp;H574,IF(I574&lt;&gt;"","Booking "&amp;I574,IF(E574="Tip","Stylist","Unapplied"))))</f>
        <v>0</v>
      </c>
      <c r="W574" s="39">
        <f>IF(B574="","",IF(G574="","Add - no amount yet",IF(E574="","Add - what was this for?",IF(IF(H574="",FALSE,COUNTIF(Sales!$A$5:$A$1204,H574)=0),"Missing - no sale with that ID",IF(IF(I574="",FALSE,COUNTIF(Appointments!$A$5:$A$1204,I574)=0),"Missing - no booking with that ID",IF(IF(E574="Tip",J574="",FALSE),"Assign - whose tip is it?",IF(IF(E574="Deposit",IF(H574="",I574="",FALSE),FALSE),"Check - deposit not tied to a booking",IF(M574="No","Due - not reconciled yet","OK"))))))))</f>
        <v>0</v>
      </c>
    </row>
    <row r="575" spans="1:23">
      <c r="A575" s="28">
        <f>IF(B575="","",PaymentPrefix&amp;TEXT(ROW()-4,"0000"))</f>
        <v>0</v>
      </c>
      <c r="D575" s="15">
        <f>IF(C575="","",IFERROR(INDEX(Clients!$B$5:$B$504,MATCH(C575,Clients!$A$5:$A$504,0)),"Walk-in"))</f>
        <v>0</v>
      </c>
      <c r="K575" s="15">
        <f>IF(J575="","",IFERROR(INDEX(Staff!$B$5:$B$44,MATCH(J575,Staff!$A$5:$A$44,0)),""))</f>
        <v>0</v>
      </c>
      <c r="O575" s="15">
        <f>IF(B575="","",TEXT(B575,"yyyy-mm"))</f>
        <v>0</v>
      </c>
      <c r="P575" s="25">
        <f>IF(B575="","",WEEKNUM(B575,2))</f>
        <v>0</v>
      </c>
      <c r="Q575" s="38">
        <f>IF(B575="","",IF(E575="Tip","No",IF(E575="Refund","No","Yes")))</f>
        <v>0</v>
      </c>
      <c r="R575" s="25">
        <f>IF(B575="","",IF(E575="Refund",-1,1))</f>
        <v>0</v>
      </c>
      <c r="S575" s="26">
        <f>IF(B575="","",IF(G575="",0,IF(F575="Card",ROUND(G575*CardFeePercent+CardFeeFixed,2),IF(F575="Online deposit",ROUND(G575*CardFeePercent+CardFeeFixed,2),0))))</f>
        <v>0</v>
      </c>
      <c r="T575" s="26">
        <f>IF(B575="","",ROUND(IF(G575="",0,G575)*R575-S575,2))</f>
        <v>0</v>
      </c>
      <c r="U575" s="38">
        <f>IF(B575="","",IF(E575="Tip","Yes","No"))</f>
        <v>0</v>
      </c>
      <c r="V575" s="15">
        <f>IF(B575="","",IF(H575&lt;&gt;"","Sale "&amp;H575,IF(I575&lt;&gt;"","Booking "&amp;I575,IF(E575="Tip","Stylist","Unapplied"))))</f>
        <v>0</v>
      </c>
      <c r="W575" s="39">
        <f>IF(B575="","",IF(G575="","Add - no amount yet",IF(E575="","Add - what was this for?",IF(IF(H575="",FALSE,COUNTIF(Sales!$A$5:$A$1204,H575)=0),"Missing - no sale with that ID",IF(IF(I575="",FALSE,COUNTIF(Appointments!$A$5:$A$1204,I575)=0),"Missing - no booking with that ID",IF(IF(E575="Tip",J575="",FALSE),"Assign - whose tip is it?",IF(IF(E575="Deposit",IF(H575="",I575="",FALSE),FALSE),"Check - deposit not tied to a booking",IF(M575="No","Due - not reconciled yet","OK"))))))))</f>
        <v>0</v>
      </c>
    </row>
    <row r="576" spans="1:23">
      <c r="A576" s="28">
        <f>IF(B576="","",PaymentPrefix&amp;TEXT(ROW()-4,"0000"))</f>
        <v>0</v>
      </c>
      <c r="D576" s="15">
        <f>IF(C576="","",IFERROR(INDEX(Clients!$B$5:$B$504,MATCH(C576,Clients!$A$5:$A$504,0)),"Walk-in"))</f>
        <v>0</v>
      </c>
      <c r="K576" s="15">
        <f>IF(J576="","",IFERROR(INDEX(Staff!$B$5:$B$44,MATCH(J576,Staff!$A$5:$A$44,0)),""))</f>
        <v>0</v>
      </c>
      <c r="O576" s="15">
        <f>IF(B576="","",TEXT(B576,"yyyy-mm"))</f>
        <v>0</v>
      </c>
      <c r="P576" s="25">
        <f>IF(B576="","",WEEKNUM(B576,2))</f>
        <v>0</v>
      </c>
      <c r="Q576" s="38">
        <f>IF(B576="","",IF(E576="Tip","No",IF(E576="Refund","No","Yes")))</f>
        <v>0</v>
      </c>
      <c r="R576" s="25">
        <f>IF(B576="","",IF(E576="Refund",-1,1))</f>
        <v>0</v>
      </c>
      <c r="S576" s="26">
        <f>IF(B576="","",IF(G576="",0,IF(F576="Card",ROUND(G576*CardFeePercent+CardFeeFixed,2),IF(F576="Online deposit",ROUND(G576*CardFeePercent+CardFeeFixed,2),0))))</f>
        <v>0</v>
      </c>
      <c r="T576" s="26">
        <f>IF(B576="","",ROUND(IF(G576="",0,G576)*R576-S576,2))</f>
        <v>0</v>
      </c>
      <c r="U576" s="38">
        <f>IF(B576="","",IF(E576="Tip","Yes","No"))</f>
        <v>0</v>
      </c>
      <c r="V576" s="15">
        <f>IF(B576="","",IF(H576&lt;&gt;"","Sale "&amp;H576,IF(I576&lt;&gt;"","Booking "&amp;I576,IF(E576="Tip","Stylist","Unapplied"))))</f>
        <v>0</v>
      </c>
      <c r="W576" s="39">
        <f>IF(B576="","",IF(G576="","Add - no amount yet",IF(E576="","Add - what was this for?",IF(IF(H576="",FALSE,COUNTIF(Sales!$A$5:$A$1204,H576)=0),"Missing - no sale with that ID",IF(IF(I576="",FALSE,COUNTIF(Appointments!$A$5:$A$1204,I576)=0),"Missing - no booking with that ID",IF(IF(E576="Tip",J576="",FALSE),"Assign - whose tip is it?",IF(IF(E576="Deposit",IF(H576="",I576="",FALSE),FALSE),"Check - deposit not tied to a booking",IF(M576="No","Due - not reconciled yet","OK"))))))))</f>
        <v>0</v>
      </c>
    </row>
    <row r="577" spans="1:23">
      <c r="A577" s="28">
        <f>IF(B577="","",PaymentPrefix&amp;TEXT(ROW()-4,"0000"))</f>
        <v>0</v>
      </c>
      <c r="D577" s="15">
        <f>IF(C577="","",IFERROR(INDEX(Clients!$B$5:$B$504,MATCH(C577,Clients!$A$5:$A$504,0)),"Walk-in"))</f>
        <v>0</v>
      </c>
      <c r="K577" s="15">
        <f>IF(J577="","",IFERROR(INDEX(Staff!$B$5:$B$44,MATCH(J577,Staff!$A$5:$A$44,0)),""))</f>
        <v>0</v>
      </c>
      <c r="O577" s="15">
        <f>IF(B577="","",TEXT(B577,"yyyy-mm"))</f>
        <v>0</v>
      </c>
      <c r="P577" s="25">
        <f>IF(B577="","",WEEKNUM(B577,2))</f>
        <v>0</v>
      </c>
      <c r="Q577" s="38">
        <f>IF(B577="","",IF(E577="Tip","No",IF(E577="Refund","No","Yes")))</f>
        <v>0</v>
      </c>
      <c r="R577" s="25">
        <f>IF(B577="","",IF(E577="Refund",-1,1))</f>
        <v>0</v>
      </c>
      <c r="S577" s="26">
        <f>IF(B577="","",IF(G577="",0,IF(F577="Card",ROUND(G577*CardFeePercent+CardFeeFixed,2),IF(F577="Online deposit",ROUND(G577*CardFeePercent+CardFeeFixed,2),0))))</f>
        <v>0</v>
      </c>
      <c r="T577" s="26">
        <f>IF(B577="","",ROUND(IF(G577="",0,G577)*R577-S577,2))</f>
        <v>0</v>
      </c>
      <c r="U577" s="38">
        <f>IF(B577="","",IF(E577="Tip","Yes","No"))</f>
        <v>0</v>
      </c>
      <c r="V577" s="15">
        <f>IF(B577="","",IF(H577&lt;&gt;"","Sale "&amp;H577,IF(I577&lt;&gt;"","Booking "&amp;I577,IF(E577="Tip","Stylist","Unapplied"))))</f>
        <v>0</v>
      </c>
      <c r="W577" s="39">
        <f>IF(B577="","",IF(G577="","Add - no amount yet",IF(E577="","Add - what was this for?",IF(IF(H577="",FALSE,COUNTIF(Sales!$A$5:$A$1204,H577)=0),"Missing - no sale with that ID",IF(IF(I577="",FALSE,COUNTIF(Appointments!$A$5:$A$1204,I577)=0),"Missing - no booking with that ID",IF(IF(E577="Tip",J577="",FALSE),"Assign - whose tip is it?",IF(IF(E577="Deposit",IF(H577="",I577="",FALSE),FALSE),"Check - deposit not tied to a booking",IF(M577="No","Due - not reconciled yet","OK"))))))))</f>
        <v>0</v>
      </c>
    </row>
    <row r="578" spans="1:23">
      <c r="A578" s="28">
        <f>IF(B578="","",PaymentPrefix&amp;TEXT(ROW()-4,"0000"))</f>
        <v>0</v>
      </c>
      <c r="D578" s="15">
        <f>IF(C578="","",IFERROR(INDEX(Clients!$B$5:$B$504,MATCH(C578,Clients!$A$5:$A$504,0)),"Walk-in"))</f>
        <v>0</v>
      </c>
      <c r="K578" s="15">
        <f>IF(J578="","",IFERROR(INDEX(Staff!$B$5:$B$44,MATCH(J578,Staff!$A$5:$A$44,0)),""))</f>
        <v>0</v>
      </c>
      <c r="O578" s="15">
        <f>IF(B578="","",TEXT(B578,"yyyy-mm"))</f>
        <v>0</v>
      </c>
      <c r="P578" s="25">
        <f>IF(B578="","",WEEKNUM(B578,2))</f>
        <v>0</v>
      </c>
      <c r="Q578" s="38">
        <f>IF(B578="","",IF(E578="Tip","No",IF(E578="Refund","No","Yes")))</f>
        <v>0</v>
      </c>
      <c r="R578" s="25">
        <f>IF(B578="","",IF(E578="Refund",-1,1))</f>
        <v>0</v>
      </c>
      <c r="S578" s="26">
        <f>IF(B578="","",IF(G578="",0,IF(F578="Card",ROUND(G578*CardFeePercent+CardFeeFixed,2),IF(F578="Online deposit",ROUND(G578*CardFeePercent+CardFeeFixed,2),0))))</f>
        <v>0</v>
      </c>
      <c r="T578" s="26">
        <f>IF(B578="","",ROUND(IF(G578="",0,G578)*R578-S578,2))</f>
        <v>0</v>
      </c>
      <c r="U578" s="38">
        <f>IF(B578="","",IF(E578="Tip","Yes","No"))</f>
        <v>0</v>
      </c>
      <c r="V578" s="15">
        <f>IF(B578="","",IF(H578&lt;&gt;"","Sale "&amp;H578,IF(I578&lt;&gt;"","Booking "&amp;I578,IF(E578="Tip","Stylist","Unapplied"))))</f>
        <v>0</v>
      </c>
      <c r="W578" s="39">
        <f>IF(B578="","",IF(G578="","Add - no amount yet",IF(E578="","Add - what was this for?",IF(IF(H578="",FALSE,COUNTIF(Sales!$A$5:$A$1204,H578)=0),"Missing - no sale with that ID",IF(IF(I578="",FALSE,COUNTIF(Appointments!$A$5:$A$1204,I578)=0),"Missing - no booking with that ID",IF(IF(E578="Tip",J578="",FALSE),"Assign - whose tip is it?",IF(IF(E578="Deposit",IF(H578="",I578="",FALSE),FALSE),"Check - deposit not tied to a booking",IF(M578="No","Due - not reconciled yet","OK"))))))))</f>
        <v>0</v>
      </c>
    </row>
    <row r="579" spans="1:23">
      <c r="A579" s="28">
        <f>IF(B579="","",PaymentPrefix&amp;TEXT(ROW()-4,"0000"))</f>
        <v>0</v>
      </c>
      <c r="D579" s="15">
        <f>IF(C579="","",IFERROR(INDEX(Clients!$B$5:$B$504,MATCH(C579,Clients!$A$5:$A$504,0)),"Walk-in"))</f>
        <v>0</v>
      </c>
      <c r="K579" s="15">
        <f>IF(J579="","",IFERROR(INDEX(Staff!$B$5:$B$44,MATCH(J579,Staff!$A$5:$A$44,0)),""))</f>
        <v>0</v>
      </c>
      <c r="O579" s="15">
        <f>IF(B579="","",TEXT(B579,"yyyy-mm"))</f>
        <v>0</v>
      </c>
      <c r="P579" s="25">
        <f>IF(B579="","",WEEKNUM(B579,2))</f>
        <v>0</v>
      </c>
      <c r="Q579" s="38">
        <f>IF(B579="","",IF(E579="Tip","No",IF(E579="Refund","No","Yes")))</f>
        <v>0</v>
      </c>
      <c r="R579" s="25">
        <f>IF(B579="","",IF(E579="Refund",-1,1))</f>
        <v>0</v>
      </c>
      <c r="S579" s="26">
        <f>IF(B579="","",IF(G579="",0,IF(F579="Card",ROUND(G579*CardFeePercent+CardFeeFixed,2),IF(F579="Online deposit",ROUND(G579*CardFeePercent+CardFeeFixed,2),0))))</f>
        <v>0</v>
      </c>
      <c r="T579" s="26">
        <f>IF(B579="","",ROUND(IF(G579="",0,G579)*R579-S579,2))</f>
        <v>0</v>
      </c>
      <c r="U579" s="38">
        <f>IF(B579="","",IF(E579="Tip","Yes","No"))</f>
        <v>0</v>
      </c>
      <c r="V579" s="15">
        <f>IF(B579="","",IF(H579&lt;&gt;"","Sale "&amp;H579,IF(I579&lt;&gt;"","Booking "&amp;I579,IF(E579="Tip","Stylist","Unapplied"))))</f>
        <v>0</v>
      </c>
      <c r="W579" s="39">
        <f>IF(B579="","",IF(G579="","Add - no amount yet",IF(E579="","Add - what was this for?",IF(IF(H579="",FALSE,COUNTIF(Sales!$A$5:$A$1204,H579)=0),"Missing - no sale with that ID",IF(IF(I579="",FALSE,COUNTIF(Appointments!$A$5:$A$1204,I579)=0),"Missing - no booking with that ID",IF(IF(E579="Tip",J579="",FALSE),"Assign - whose tip is it?",IF(IF(E579="Deposit",IF(H579="",I579="",FALSE),FALSE),"Check - deposit not tied to a booking",IF(M579="No","Due - not reconciled yet","OK"))))))))</f>
        <v>0</v>
      </c>
    </row>
    <row r="580" spans="1:23">
      <c r="A580" s="28">
        <f>IF(B580="","",PaymentPrefix&amp;TEXT(ROW()-4,"0000"))</f>
        <v>0</v>
      </c>
      <c r="D580" s="15">
        <f>IF(C580="","",IFERROR(INDEX(Clients!$B$5:$B$504,MATCH(C580,Clients!$A$5:$A$504,0)),"Walk-in"))</f>
        <v>0</v>
      </c>
      <c r="K580" s="15">
        <f>IF(J580="","",IFERROR(INDEX(Staff!$B$5:$B$44,MATCH(J580,Staff!$A$5:$A$44,0)),""))</f>
        <v>0</v>
      </c>
      <c r="O580" s="15">
        <f>IF(B580="","",TEXT(B580,"yyyy-mm"))</f>
        <v>0</v>
      </c>
      <c r="P580" s="25">
        <f>IF(B580="","",WEEKNUM(B580,2))</f>
        <v>0</v>
      </c>
      <c r="Q580" s="38">
        <f>IF(B580="","",IF(E580="Tip","No",IF(E580="Refund","No","Yes")))</f>
        <v>0</v>
      </c>
      <c r="R580" s="25">
        <f>IF(B580="","",IF(E580="Refund",-1,1))</f>
        <v>0</v>
      </c>
      <c r="S580" s="26">
        <f>IF(B580="","",IF(G580="",0,IF(F580="Card",ROUND(G580*CardFeePercent+CardFeeFixed,2),IF(F580="Online deposit",ROUND(G580*CardFeePercent+CardFeeFixed,2),0))))</f>
        <v>0</v>
      </c>
      <c r="T580" s="26">
        <f>IF(B580="","",ROUND(IF(G580="",0,G580)*R580-S580,2))</f>
        <v>0</v>
      </c>
      <c r="U580" s="38">
        <f>IF(B580="","",IF(E580="Tip","Yes","No"))</f>
        <v>0</v>
      </c>
      <c r="V580" s="15">
        <f>IF(B580="","",IF(H580&lt;&gt;"","Sale "&amp;H580,IF(I580&lt;&gt;"","Booking "&amp;I580,IF(E580="Tip","Stylist","Unapplied"))))</f>
        <v>0</v>
      </c>
      <c r="W580" s="39">
        <f>IF(B580="","",IF(G580="","Add - no amount yet",IF(E580="","Add - what was this for?",IF(IF(H580="",FALSE,COUNTIF(Sales!$A$5:$A$1204,H580)=0),"Missing - no sale with that ID",IF(IF(I580="",FALSE,COUNTIF(Appointments!$A$5:$A$1204,I580)=0),"Missing - no booking with that ID",IF(IF(E580="Tip",J580="",FALSE),"Assign - whose tip is it?",IF(IF(E580="Deposit",IF(H580="",I580="",FALSE),FALSE),"Check - deposit not tied to a booking",IF(M580="No","Due - not reconciled yet","OK"))))))))</f>
        <v>0</v>
      </c>
    </row>
    <row r="581" spans="1:23">
      <c r="A581" s="28">
        <f>IF(B581="","",PaymentPrefix&amp;TEXT(ROW()-4,"0000"))</f>
        <v>0</v>
      </c>
      <c r="D581" s="15">
        <f>IF(C581="","",IFERROR(INDEX(Clients!$B$5:$B$504,MATCH(C581,Clients!$A$5:$A$504,0)),"Walk-in"))</f>
        <v>0</v>
      </c>
      <c r="K581" s="15">
        <f>IF(J581="","",IFERROR(INDEX(Staff!$B$5:$B$44,MATCH(J581,Staff!$A$5:$A$44,0)),""))</f>
        <v>0</v>
      </c>
      <c r="O581" s="15">
        <f>IF(B581="","",TEXT(B581,"yyyy-mm"))</f>
        <v>0</v>
      </c>
      <c r="P581" s="25">
        <f>IF(B581="","",WEEKNUM(B581,2))</f>
        <v>0</v>
      </c>
      <c r="Q581" s="38">
        <f>IF(B581="","",IF(E581="Tip","No",IF(E581="Refund","No","Yes")))</f>
        <v>0</v>
      </c>
      <c r="R581" s="25">
        <f>IF(B581="","",IF(E581="Refund",-1,1))</f>
        <v>0</v>
      </c>
      <c r="S581" s="26">
        <f>IF(B581="","",IF(G581="",0,IF(F581="Card",ROUND(G581*CardFeePercent+CardFeeFixed,2),IF(F581="Online deposit",ROUND(G581*CardFeePercent+CardFeeFixed,2),0))))</f>
        <v>0</v>
      </c>
      <c r="T581" s="26">
        <f>IF(B581="","",ROUND(IF(G581="",0,G581)*R581-S581,2))</f>
        <v>0</v>
      </c>
      <c r="U581" s="38">
        <f>IF(B581="","",IF(E581="Tip","Yes","No"))</f>
        <v>0</v>
      </c>
      <c r="V581" s="15">
        <f>IF(B581="","",IF(H581&lt;&gt;"","Sale "&amp;H581,IF(I581&lt;&gt;"","Booking "&amp;I581,IF(E581="Tip","Stylist","Unapplied"))))</f>
        <v>0</v>
      </c>
      <c r="W581" s="39">
        <f>IF(B581="","",IF(G581="","Add - no amount yet",IF(E581="","Add - what was this for?",IF(IF(H581="",FALSE,COUNTIF(Sales!$A$5:$A$1204,H581)=0),"Missing - no sale with that ID",IF(IF(I581="",FALSE,COUNTIF(Appointments!$A$5:$A$1204,I581)=0),"Missing - no booking with that ID",IF(IF(E581="Tip",J581="",FALSE),"Assign - whose tip is it?",IF(IF(E581="Deposit",IF(H581="",I581="",FALSE),FALSE),"Check - deposit not tied to a booking",IF(M581="No","Due - not reconciled yet","OK"))))))))</f>
        <v>0</v>
      </c>
    </row>
    <row r="582" spans="1:23">
      <c r="A582" s="28">
        <f>IF(B582="","",PaymentPrefix&amp;TEXT(ROW()-4,"0000"))</f>
        <v>0</v>
      </c>
      <c r="D582" s="15">
        <f>IF(C582="","",IFERROR(INDEX(Clients!$B$5:$B$504,MATCH(C582,Clients!$A$5:$A$504,0)),"Walk-in"))</f>
        <v>0</v>
      </c>
      <c r="K582" s="15">
        <f>IF(J582="","",IFERROR(INDEX(Staff!$B$5:$B$44,MATCH(J582,Staff!$A$5:$A$44,0)),""))</f>
        <v>0</v>
      </c>
      <c r="O582" s="15">
        <f>IF(B582="","",TEXT(B582,"yyyy-mm"))</f>
        <v>0</v>
      </c>
      <c r="P582" s="25">
        <f>IF(B582="","",WEEKNUM(B582,2))</f>
        <v>0</v>
      </c>
      <c r="Q582" s="38">
        <f>IF(B582="","",IF(E582="Tip","No",IF(E582="Refund","No","Yes")))</f>
        <v>0</v>
      </c>
      <c r="R582" s="25">
        <f>IF(B582="","",IF(E582="Refund",-1,1))</f>
        <v>0</v>
      </c>
      <c r="S582" s="26">
        <f>IF(B582="","",IF(G582="",0,IF(F582="Card",ROUND(G582*CardFeePercent+CardFeeFixed,2),IF(F582="Online deposit",ROUND(G582*CardFeePercent+CardFeeFixed,2),0))))</f>
        <v>0</v>
      </c>
      <c r="T582" s="26">
        <f>IF(B582="","",ROUND(IF(G582="",0,G582)*R582-S582,2))</f>
        <v>0</v>
      </c>
      <c r="U582" s="38">
        <f>IF(B582="","",IF(E582="Tip","Yes","No"))</f>
        <v>0</v>
      </c>
      <c r="V582" s="15">
        <f>IF(B582="","",IF(H582&lt;&gt;"","Sale "&amp;H582,IF(I582&lt;&gt;"","Booking "&amp;I582,IF(E582="Tip","Stylist","Unapplied"))))</f>
        <v>0</v>
      </c>
      <c r="W582" s="39">
        <f>IF(B582="","",IF(G582="","Add - no amount yet",IF(E582="","Add - what was this for?",IF(IF(H582="",FALSE,COUNTIF(Sales!$A$5:$A$1204,H582)=0),"Missing - no sale with that ID",IF(IF(I582="",FALSE,COUNTIF(Appointments!$A$5:$A$1204,I582)=0),"Missing - no booking with that ID",IF(IF(E582="Tip",J582="",FALSE),"Assign - whose tip is it?",IF(IF(E582="Deposit",IF(H582="",I582="",FALSE),FALSE),"Check - deposit not tied to a booking",IF(M582="No","Due - not reconciled yet","OK"))))))))</f>
        <v>0</v>
      </c>
    </row>
    <row r="583" spans="1:23">
      <c r="A583" s="28">
        <f>IF(B583="","",PaymentPrefix&amp;TEXT(ROW()-4,"0000"))</f>
        <v>0</v>
      </c>
      <c r="D583" s="15">
        <f>IF(C583="","",IFERROR(INDEX(Clients!$B$5:$B$504,MATCH(C583,Clients!$A$5:$A$504,0)),"Walk-in"))</f>
        <v>0</v>
      </c>
      <c r="K583" s="15">
        <f>IF(J583="","",IFERROR(INDEX(Staff!$B$5:$B$44,MATCH(J583,Staff!$A$5:$A$44,0)),""))</f>
        <v>0</v>
      </c>
      <c r="O583" s="15">
        <f>IF(B583="","",TEXT(B583,"yyyy-mm"))</f>
        <v>0</v>
      </c>
      <c r="P583" s="25">
        <f>IF(B583="","",WEEKNUM(B583,2))</f>
        <v>0</v>
      </c>
      <c r="Q583" s="38">
        <f>IF(B583="","",IF(E583="Tip","No",IF(E583="Refund","No","Yes")))</f>
        <v>0</v>
      </c>
      <c r="R583" s="25">
        <f>IF(B583="","",IF(E583="Refund",-1,1))</f>
        <v>0</v>
      </c>
      <c r="S583" s="26">
        <f>IF(B583="","",IF(G583="",0,IF(F583="Card",ROUND(G583*CardFeePercent+CardFeeFixed,2),IF(F583="Online deposit",ROUND(G583*CardFeePercent+CardFeeFixed,2),0))))</f>
        <v>0</v>
      </c>
      <c r="T583" s="26">
        <f>IF(B583="","",ROUND(IF(G583="",0,G583)*R583-S583,2))</f>
        <v>0</v>
      </c>
      <c r="U583" s="38">
        <f>IF(B583="","",IF(E583="Tip","Yes","No"))</f>
        <v>0</v>
      </c>
      <c r="V583" s="15">
        <f>IF(B583="","",IF(H583&lt;&gt;"","Sale "&amp;H583,IF(I583&lt;&gt;"","Booking "&amp;I583,IF(E583="Tip","Stylist","Unapplied"))))</f>
        <v>0</v>
      </c>
      <c r="W583" s="39">
        <f>IF(B583="","",IF(G583="","Add - no amount yet",IF(E583="","Add - what was this for?",IF(IF(H583="",FALSE,COUNTIF(Sales!$A$5:$A$1204,H583)=0),"Missing - no sale with that ID",IF(IF(I583="",FALSE,COUNTIF(Appointments!$A$5:$A$1204,I583)=0),"Missing - no booking with that ID",IF(IF(E583="Tip",J583="",FALSE),"Assign - whose tip is it?",IF(IF(E583="Deposit",IF(H583="",I583="",FALSE),FALSE),"Check - deposit not tied to a booking",IF(M583="No","Due - not reconciled yet","OK"))))))))</f>
        <v>0</v>
      </c>
    </row>
    <row r="584" spans="1:23">
      <c r="A584" s="28">
        <f>IF(B584="","",PaymentPrefix&amp;TEXT(ROW()-4,"0000"))</f>
        <v>0</v>
      </c>
      <c r="D584" s="15">
        <f>IF(C584="","",IFERROR(INDEX(Clients!$B$5:$B$504,MATCH(C584,Clients!$A$5:$A$504,0)),"Walk-in"))</f>
        <v>0</v>
      </c>
      <c r="K584" s="15">
        <f>IF(J584="","",IFERROR(INDEX(Staff!$B$5:$B$44,MATCH(J584,Staff!$A$5:$A$44,0)),""))</f>
        <v>0</v>
      </c>
      <c r="O584" s="15">
        <f>IF(B584="","",TEXT(B584,"yyyy-mm"))</f>
        <v>0</v>
      </c>
      <c r="P584" s="25">
        <f>IF(B584="","",WEEKNUM(B584,2))</f>
        <v>0</v>
      </c>
      <c r="Q584" s="38">
        <f>IF(B584="","",IF(E584="Tip","No",IF(E584="Refund","No","Yes")))</f>
        <v>0</v>
      </c>
      <c r="R584" s="25">
        <f>IF(B584="","",IF(E584="Refund",-1,1))</f>
        <v>0</v>
      </c>
      <c r="S584" s="26">
        <f>IF(B584="","",IF(G584="",0,IF(F584="Card",ROUND(G584*CardFeePercent+CardFeeFixed,2),IF(F584="Online deposit",ROUND(G584*CardFeePercent+CardFeeFixed,2),0))))</f>
        <v>0</v>
      </c>
      <c r="T584" s="26">
        <f>IF(B584="","",ROUND(IF(G584="",0,G584)*R584-S584,2))</f>
        <v>0</v>
      </c>
      <c r="U584" s="38">
        <f>IF(B584="","",IF(E584="Tip","Yes","No"))</f>
        <v>0</v>
      </c>
      <c r="V584" s="15">
        <f>IF(B584="","",IF(H584&lt;&gt;"","Sale "&amp;H584,IF(I584&lt;&gt;"","Booking "&amp;I584,IF(E584="Tip","Stylist","Unapplied"))))</f>
        <v>0</v>
      </c>
      <c r="W584" s="39">
        <f>IF(B584="","",IF(G584="","Add - no amount yet",IF(E584="","Add - what was this for?",IF(IF(H584="",FALSE,COUNTIF(Sales!$A$5:$A$1204,H584)=0),"Missing - no sale with that ID",IF(IF(I584="",FALSE,COUNTIF(Appointments!$A$5:$A$1204,I584)=0),"Missing - no booking with that ID",IF(IF(E584="Tip",J584="",FALSE),"Assign - whose tip is it?",IF(IF(E584="Deposit",IF(H584="",I584="",FALSE),FALSE),"Check - deposit not tied to a booking",IF(M584="No","Due - not reconciled yet","OK"))))))))</f>
        <v>0</v>
      </c>
    </row>
    <row r="585" spans="1:23">
      <c r="A585" s="28">
        <f>IF(B585="","",PaymentPrefix&amp;TEXT(ROW()-4,"0000"))</f>
        <v>0</v>
      </c>
      <c r="D585" s="15">
        <f>IF(C585="","",IFERROR(INDEX(Clients!$B$5:$B$504,MATCH(C585,Clients!$A$5:$A$504,0)),"Walk-in"))</f>
        <v>0</v>
      </c>
      <c r="K585" s="15">
        <f>IF(J585="","",IFERROR(INDEX(Staff!$B$5:$B$44,MATCH(J585,Staff!$A$5:$A$44,0)),""))</f>
        <v>0</v>
      </c>
      <c r="O585" s="15">
        <f>IF(B585="","",TEXT(B585,"yyyy-mm"))</f>
        <v>0</v>
      </c>
      <c r="P585" s="25">
        <f>IF(B585="","",WEEKNUM(B585,2))</f>
        <v>0</v>
      </c>
      <c r="Q585" s="38">
        <f>IF(B585="","",IF(E585="Tip","No",IF(E585="Refund","No","Yes")))</f>
        <v>0</v>
      </c>
      <c r="R585" s="25">
        <f>IF(B585="","",IF(E585="Refund",-1,1))</f>
        <v>0</v>
      </c>
      <c r="S585" s="26">
        <f>IF(B585="","",IF(G585="",0,IF(F585="Card",ROUND(G585*CardFeePercent+CardFeeFixed,2),IF(F585="Online deposit",ROUND(G585*CardFeePercent+CardFeeFixed,2),0))))</f>
        <v>0</v>
      </c>
      <c r="T585" s="26">
        <f>IF(B585="","",ROUND(IF(G585="",0,G585)*R585-S585,2))</f>
        <v>0</v>
      </c>
      <c r="U585" s="38">
        <f>IF(B585="","",IF(E585="Tip","Yes","No"))</f>
        <v>0</v>
      </c>
      <c r="V585" s="15">
        <f>IF(B585="","",IF(H585&lt;&gt;"","Sale "&amp;H585,IF(I585&lt;&gt;"","Booking "&amp;I585,IF(E585="Tip","Stylist","Unapplied"))))</f>
        <v>0</v>
      </c>
      <c r="W585" s="39">
        <f>IF(B585="","",IF(G585="","Add - no amount yet",IF(E585="","Add - what was this for?",IF(IF(H585="",FALSE,COUNTIF(Sales!$A$5:$A$1204,H585)=0),"Missing - no sale with that ID",IF(IF(I585="",FALSE,COUNTIF(Appointments!$A$5:$A$1204,I585)=0),"Missing - no booking with that ID",IF(IF(E585="Tip",J585="",FALSE),"Assign - whose tip is it?",IF(IF(E585="Deposit",IF(H585="",I585="",FALSE),FALSE),"Check - deposit not tied to a booking",IF(M585="No","Due - not reconciled yet","OK"))))))))</f>
        <v>0</v>
      </c>
    </row>
    <row r="586" spans="1:23">
      <c r="A586" s="28">
        <f>IF(B586="","",PaymentPrefix&amp;TEXT(ROW()-4,"0000"))</f>
        <v>0</v>
      </c>
      <c r="D586" s="15">
        <f>IF(C586="","",IFERROR(INDEX(Clients!$B$5:$B$504,MATCH(C586,Clients!$A$5:$A$504,0)),"Walk-in"))</f>
        <v>0</v>
      </c>
      <c r="K586" s="15">
        <f>IF(J586="","",IFERROR(INDEX(Staff!$B$5:$B$44,MATCH(J586,Staff!$A$5:$A$44,0)),""))</f>
        <v>0</v>
      </c>
      <c r="O586" s="15">
        <f>IF(B586="","",TEXT(B586,"yyyy-mm"))</f>
        <v>0</v>
      </c>
      <c r="P586" s="25">
        <f>IF(B586="","",WEEKNUM(B586,2))</f>
        <v>0</v>
      </c>
      <c r="Q586" s="38">
        <f>IF(B586="","",IF(E586="Tip","No",IF(E586="Refund","No","Yes")))</f>
        <v>0</v>
      </c>
      <c r="R586" s="25">
        <f>IF(B586="","",IF(E586="Refund",-1,1))</f>
        <v>0</v>
      </c>
      <c r="S586" s="26">
        <f>IF(B586="","",IF(G586="",0,IF(F586="Card",ROUND(G586*CardFeePercent+CardFeeFixed,2),IF(F586="Online deposit",ROUND(G586*CardFeePercent+CardFeeFixed,2),0))))</f>
        <v>0</v>
      </c>
      <c r="T586" s="26">
        <f>IF(B586="","",ROUND(IF(G586="",0,G586)*R586-S586,2))</f>
        <v>0</v>
      </c>
      <c r="U586" s="38">
        <f>IF(B586="","",IF(E586="Tip","Yes","No"))</f>
        <v>0</v>
      </c>
      <c r="V586" s="15">
        <f>IF(B586="","",IF(H586&lt;&gt;"","Sale "&amp;H586,IF(I586&lt;&gt;"","Booking "&amp;I586,IF(E586="Tip","Stylist","Unapplied"))))</f>
        <v>0</v>
      </c>
      <c r="W586" s="39">
        <f>IF(B586="","",IF(G586="","Add - no amount yet",IF(E586="","Add - what was this for?",IF(IF(H586="",FALSE,COUNTIF(Sales!$A$5:$A$1204,H586)=0),"Missing - no sale with that ID",IF(IF(I586="",FALSE,COUNTIF(Appointments!$A$5:$A$1204,I586)=0),"Missing - no booking with that ID",IF(IF(E586="Tip",J586="",FALSE),"Assign - whose tip is it?",IF(IF(E586="Deposit",IF(H586="",I586="",FALSE),FALSE),"Check - deposit not tied to a booking",IF(M586="No","Due - not reconciled yet","OK"))))))))</f>
        <v>0</v>
      </c>
    </row>
    <row r="587" spans="1:23">
      <c r="A587" s="28">
        <f>IF(B587="","",PaymentPrefix&amp;TEXT(ROW()-4,"0000"))</f>
        <v>0</v>
      </c>
      <c r="D587" s="15">
        <f>IF(C587="","",IFERROR(INDEX(Clients!$B$5:$B$504,MATCH(C587,Clients!$A$5:$A$504,0)),"Walk-in"))</f>
        <v>0</v>
      </c>
      <c r="K587" s="15">
        <f>IF(J587="","",IFERROR(INDEX(Staff!$B$5:$B$44,MATCH(J587,Staff!$A$5:$A$44,0)),""))</f>
        <v>0</v>
      </c>
      <c r="O587" s="15">
        <f>IF(B587="","",TEXT(B587,"yyyy-mm"))</f>
        <v>0</v>
      </c>
      <c r="P587" s="25">
        <f>IF(B587="","",WEEKNUM(B587,2))</f>
        <v>0</v>
      </c>
      <c r="Q587" s="38">
        <f>IF(B587="","",IF(E587="Tip","No",IF(E587="Refund","No","Yes")))</f>
        <v>0</v>
      </c>
      <c r="R587" s="25">
        <f>IF(B587="","",IF(E587="Refund",-1,1))</f>
        <v>0</v>
      </c>
      <c r="S587" s="26">
        <f>IF(B587="","",IF(G587="",0,IF(F587="Card",ROUND(G587*CardFeePercent+CardFeeFixed,2),IF(F587="Online deposit",ROUND(G587*CardFeePercent+CardFeeFixed,2),0))))</f>
        <v>0</v>
      </c>
      <c r="T587" s="26">
        <f>IF(B587="","",ROUND(IF(G587="",0,G587)*R587-S587,2))</f>
        <v>0</v>
      </c>
      <c r="U587" s="38">
        <f>IF(B587="","",IF(E587="Tip","Yes","No"))</f>
        <v>0</v>
      </c>
      <c r="V587" s="15">
        <f>IF(B587="","",IF(H587&lt;&gt;"","Sale "&amp;H587,IF(I587&lt;&gt;"","Booking "&amp;I587,IF(E587="Tip","Stylist","Unapplied"))))</f>
        <v>0</v>
      </c>
      <c r="W587" s="39">
        <f>IF(B587="","",IF(G587="","Add - no amount yet",IF(E587="","Add - what was this for?",IF(IF(H587="",FALSE,COUNTIF(Sales!$A$5:$A$1204,H587)=0),"Missing - no sale with that ID",IF(IF(I587="",FALSE,COUNTIF(Appointments!$A$5:$A$1204,I587)=0),"Missing - no booking with that ID",IF(IF(E587="Tip",J587="",FALSE),"Assign - whose tip is it?",IF(IF(E587="Deposit",IF(H587="",I587="",FALSE),FALSE),"Check - deposit not tied to a booking",IF(M587="No","Due - not reconciled yet","OK"))))))))</f>
        <v>0</v>
      </c>
    </row>
    <row r="588" spans="1:23">
      <c r="A588" s="28">
        <f>IF(B588="","",PaymentPrefix&amp;TEXT(ROW()-4,"0000"))</f>
        <v>0</v>
      </c>
      <c r="D588" s="15">
        <f>IF(C588="","",IFERROR(INDEX(Clients!$B$5:$B$504,MATCH(C588,Clients!$A$5:$A$504,0)),"Walk-in"))</f>
        <v>0</v>
      </c>
      <c r="K588" s="15">
        <f>IF(J588="","",IFERROR(INDEX(Staff!$B$5:$B$44,MATCH(J588,Staff!$A$5:$A$44,0)),""))</f>
        <v>0</v>
      </c>
      <c r="O588" s="15">
        <f>IF(B588="","",TEXT(B588,"yyyy-mm"))</f>
        <v>0</v>
      </c>
      <c r="P588" s="25">
        <f>IF(B588="","",WEEKNUM(B588,2))</f>
        <v>0</v>
      </c>
      <c r="Q588" s="38">
        <f>IF(B588="","",IF(E588="Tip","No",IF(E588="Refund","No","Yes")))</f>
        <v>0</v>
      </c>
      <c r="R588" s="25">
        <f>IF(B588="","",IF(E588="Refund",-1,1))</f>
        <v>0</v>
      </c>
      <c r="S588" s="26">
        <f>IF(B588="","",IF(G588="",0,IF(F588="Card",ROUND(G588*CardFeePercent+CardFeeFixed,2),IF(F588="Online deposit",ROUND(G588*CardFeePercent+CardFeeFixed,2),0))))</f>
        <v>0</v>
      </c>
      <c r="T588" s="26">
        <f>IF(B588="","",ROUND(IF(G588="",0,G588)*R588-S588,2))</f>
        <v>0</v>
      </c>
      <c r="U588" s="38">
        <f>IF(B588="","",IF(E588="Tip","Yes","No"))</f>
        <v>0</v>
      </c>
      <c r="V588" s="15">
        <f>IF(B588="","",IF(H588&lt;&gt;"","Sale "&amp;H588,IF(I588&lt;&gt;"","Booking "&amp;I588,IF(E588="Tip","Stylist","Unapplied"))))</f>
        <v>0</v>
      </c>
      <c r="W588" s="39">
        <f>IF(B588="","",IF(G588="","Add - no amount yet",IF(E588="","Add - what was this for?",IF(IF(H588="",FALSE,COUNTIF(Sales!$A$5:$A$1204,H588)=0),"Missing - no sale with that ID",IF(IF(I588="",FALSE,COUNTIF(Appointments!$A$5:$A$1204,I588)=0),"Missing - no booking with that ID",IF(IF(E588="Tip",J588="",FALSE),"Assign - whose tip is it?",IF(IF(E588="Deposit",IF(H588="",I588="",FALSE),FALSE),"Check - deposit not tied to a booking",IF(M588="No","Due - not reconciled yet","OK"))))))))</f>
        <v>0</v>
      </c>
    </row>
    <row r="589" spans="1:23">
      <c r="A589" s="28">
        <f>IF(B589="","",PaymentPrefix&amp;TEXT(ROW()-4,"0000"))</f>
        <v>0</v>
      </c>
      <c r="D589" s="15">
        <f>IF(C589="","",IFERROR(INDEX(Clients!$B$5:$B$504,MATCH(C589,Clients!$A$5:$A$504,0)),"Walk-in"))</f>
        <v>0</v>
      </c>
      <c r="K589" s="15">
        <f>IF(J589="","",IFERROR(INDEX(Staff!$B$5:$B$44,MATCH(J589,Staff!$A$5:$A$44,0)),""))</f>
        <v>0</v>
      </c>
      <c r="O589" s="15">
        <f>IF(B589="","",TEXT(B589,"yyyy-mm"))</f>
        <v>0</v>
      </c>
      <c r="P589" s="25">
        <f>IF(B589="","",WEEKNUM(B589,2))</f>
        <v>0</v>
      </c>
      <c r="Q589" s="38">
        <f>IF(B589="","",IF(E589="Tip","No",IF(E589="Refund","No","Yes")))</f>
        <v>0</v>
      </c>
      <c r="R589" s="25">
        <f>IF(B589="","",IF(E589="Refund",-1,1))</f>
        <v>0</v>
      </c>
      <c r="S589" s="26">
        <f>IF(B589="","",IF(G589="",0,IF(F589="Card",ROUND(G589*CardFeePercent+CardFeeFixed,2),IF(F589="Online deposit",ROUND(G589*CardFeePercent+CardFeeFixed,2),0))))</f>
        <v>0</v>
      </c>
      <c r="T589" s="26">
        <f>IF(B589="","",ROUND(IF(G589="",0,G589)*R589-S589,2))</f>
        <v>0</v>
      </c>
      <c r="U589" s="38">
        <f>IF(B589="","",IF(E589="Tip","Yes","No"))</f>
        <v>0</v>
      </c>
      <c r="V589" s="15">
        <f>IF(B589="","",IF(H589&lt;&gt;"","Sale "&amp;H589,IF(I589&lt;&gt;"","Booking "&amp;I589,IF(E589="Tip","Stylist","Unapplied"))))</f>
        <v>0</v>
      </c>
      <c r="W589" s="39">
        <f>IF(B589="","",IF(G589="","Add - no amount yet",IF(E589="","Add - what was this for?",IF(IF(H589="",FALSE,COUNTIF(Sales!$A$5:$A$1204,H589)=0),"Missing - no sale with that ID",IF(IF(I589="",FALSE,COUNTIF(Appointments!$A$5:$A$1204,I589)=0),"Missing - no booking with that ID",IF(IF(E589="Tip",J589="",FALSE),"Assign - whose tip is it?",IF(IF(E589="Deposit",IF(H589="",I589="",FALSE),FALSE),"Check - deposit not tied to a booking",IF(M589="No","Due - not reconciled yet","OK"))))))))</f>
        <v>0</v>
      </c>
    </row>
    <row r="590" spans="1:23">
      <c r="A590" s="28">
        <f>IF(B590="","",PaymentPrefix&amp;TEXT(ROW()-4,"0000"))</f>
        <v>0</v>
      </c>
      <c r="D590" s="15">
        <f>IF(C590="","",IFERROR(INDEX(Clients!$B$5:$B$504,MATCH(C590,Clients!$A$5:$A$504,0)),"Walk-in"))</f>
        <v>0</v>
      </c>
      <c r="K590" s="15">
        <f>IF(J590="","",IFERROR(INDEX(Staff!$B$5:$B$44,MATCH(J590,Staff!$A$5:$A$44,0)),""))</f>
        <v>0</v>
      </c>
      <c r="O590" s="15">
        <f>IF(B590="","",TEXT(B590,"yyyy-mm"))</f>
        <v>0</v>
      </c>
      <c r="P590" s="25">
        <f>IF(B590="","",WEEKNUM(B590,2))</f>
        <v>0</v>
      </c>
      <c r="Q590" s="38">
        <f>IF(B590="","",IF(E590="Tip","No",IF(E590="Refund","No","Yes")))</f>
        <v>0</v>
      </c>
      <c r="R590" s="25">
        <f>IF(B590="","",IF(E590="Refund",-1,1))</f>
        <v>0</v>
      </c>
      <c r="S590" s="26">
        <f>IF(B590="","",IF(G590="",0,IF(F590="Card",ROUND(G590*CardFeePercent+CardFeeFixed,2),IF(F590="Online deposit",ROUND(G590*CardFeePercent+CardFeeFixed,2),0))))</f>
        <v>0</v>
      </c>
      <c r="T590" s="26">
        <f>IF(B590="","",ROUND(IF(G590="",0,G590)*R590-S590,2))</f>
        <v>0</v>
      </c>
      <c r="U590" s="38">
        <f>IF(B590="","",IF(E590="Tip","Yes","No"))</f>
        <v>0</v>
      </c>
      <c r="V590" s="15">
        <f>IF(B590="","",IF(H590&lt;&gt;"","Sale "&amp;H590,IF(I590&lt;&gt;"","Booking "&amp;I590,IF(E590="Tip","Stylist","Unapplied"))))</f>
        <v>0</v>
      </c>
      <c r="W590" s="39">
        <f>IF(B590="","",IF(G590="","Add - no amount yet",IF(E590="","Add - what was this for?",IF(IF(H590="",FALSE,COUNTIF(Sales!$A$5:$A$1204,H590)=0),"Missing - no sale with that ID",IF(IF(I590="",FALSE,COUNTIF(Appointments!$A$5:$A$1204,I590)=0),"Missing - no booking with that ID",IF(IF(E590="Tip",J590="",FALSE),"Assign - whose tip is it?",IF(IF(E590="Deposit",IF(H590="",I590="",FALSE),FALSE),"Check - deposit not tied to a booking",IF(M590="No","Due - not reconciled yet","OK"))))))))</f>
        <v>0</v>
      </c>
    </row>
    <row r="591" spans="1:23">
      <c r="A591" s="28">
        <f>IF(B591="","",PaymentPrefix&amp;TEXT(ROW()-4,"0000"))</f>
        <v>0</v>
      </c>
      <c r="D591" s="15">
        <f>IF(C591="","",IFERROR(INDEX(Clients!$B$5:$B$504,MATCH(C591,Clients!$A$5:$A$504,0)),"Walk-in"))</f>
        <v>0</v>
      </c>
      <c r="K591" s="15">
        <f>IF(J591="","",IFERROR(INDEX(Staff!$B$5:$B$44,MATCH(J591,Staff!$A$5:$A$44,0)),""))</f>
        <v>0</v>
      </c>
      <c r="O591" s="15">
        <f>IF(B591="","",TEXT(B591,"yyyy-mm"))</f>
        <v>0</v>
      </c>
      <c r="P591" s="25">
        <f>IF(B591="","",WEEKNUM(B591,2))</f>
        <v>0</v>
      </c>
      <c r="Q591" s="38">
        <f>IF(B591="","",IF(E591="Tip","No",IF(E591="Refund","No","Yes")))</f>
        <v>0</v>
      </c>
      <c r="R591" s="25">
        <f>IF(B591="","",IF(E591="Refund",-1,1))</f>
        <v>0</v>
      </c>
      <c r="S591" s="26">
        <f>IF(B591="","",IF(G591="",0,IF(F591="Card",ROUND(G591*CardFeePercent+CardFeeFixed,2),IF(F591="Online deposit",ROUND(G591*CardFeePercent+CardFeeFixed,2),0))))</f>
        <v>0</v>
      </c>
      <c r="T591" s="26">
        <f>IF(B591="","",ROUND(IF(G591="",0,G591)*R591-S591,2))</f>
        <v>0</v>
      </c>
      <c r="U591" s="38">
        <f>IF(B591="","",IF(E591="Tip","Yes","No"))</f>
        <v>0</v>
      </c>
      <c r="V591" s="15">
        <f>IF(B591="","",IF(H591&lt;&gt;"","Sale "&amp;H591,IF(I591&lt;&gt;"","Booking "&amp;I591,IF(E591="Tip","Stylist","Unapplied"))))</f>
        <v>0</v>
      </c>
      <c r="W591" s="39">
        <f>IF(B591="","",IF(G591="","Add - no amount yet",IF(E591="","Add - what was this for?",IF(IF(H591="",FALSE,COUNTIF(Sales!$A$5:$A$1204,H591)=0),"Missing - no sale with that ID",IF(IF(I591="",FALSE,COUNTIF(Appointments!$A$5:$A$1204,I591)=0),"Missing - no booking with that ID",IF(IF(E591="Tip",J591="",FALSE),"Assign - whose tip is it?",IF(IF(E591="Deposit",IF(H591="",I591="",FALSE),FALSE),"Check - deposit not tied to a booking",IF(M591="No","Due - not reconciled yet","OK"))))))))</f>
        <v>0</v>
      </c>
    </row>
    <row r="592" spans="1:23">
      <c r="A592" s="28">
        <f>IF(B592="","",PaymentPrefix&amp;TEXT(ROW()-4,"0000"))</f>
        <v>0</v>
      </c>
      <c r="D592" s="15">
        <f>IF(C592="","",IFERROR(INDEX(Clients!$B$5:$B$504,MATCH(C592,Clients!$A$5:$A$504,0)),"Walk-in"))</f>
        <v>0</v>
      </c>
      <c r="K592" s="15">
        <f>IF(J592="","",IFERROR(INDEX(Staff!$B$5:$B$44,MATCH(J592,Staff!$A$5:$A$44,0)),""))</f>
        <v>0</v>
      </c>
      <c r="O592" s="15">
        <f>IF(B592="","",TEXT(B592,"yyyy-mm"))</f>
        <v>0</v>
      </c>
      <c r="P592" s="25">
        <f>IF(B592="","",WEEKNUM(B592,2))</f>
        <v>0</v>
      </c>
      <c r="Q592" s="38">
        <f>IF(B592="","",IF(E592="Tip","No",IF(E592="Refund","No","Yes")))</f>
        <v>0</v>
      </c>
      <c r="R592" s="25">
        <f>IF(B592="","",IF(E592="Refund",-1,1))</f>
        <v>0</v>
      </c>
      <c r="S592" s="26">
        <f>IF(B592="","",IF(G592="",0,IF(F592="Card",ROUND(G592*CardFeePercent+CardFeeFixed,2),IF(F592="Online deposit",ROUND(G592*CardFeePercent+CardFeeFixed,2),0))))</f>
        <v>0</v>
      </c>
      <c r="T592" s="26">
        <f>IF(B592="","",ROUND(IF(G592="",0,G592)*R592-S592,2))</f>
        <v>0</v>
      </c>
      <c r="U592" s="38">
        <f>IF(B592="","",IF(E592="Tip","Yes","No"))</f>
        <v>0</v>
      </c>
      <c r="V592" s="15">
        <f>IF(B592="","",IF(H592&lt;&gt;"","Sale "&amp;H592,IF(I592&lt;&gt;"","Booking "&amp;I592,IF(E592="Tip","Stylist","Unapplied"))))</f>
        <v>0</v>
      </c>
      <c r="W592" s="39">
        <f>IF(B592="","",IF(G592="","Add - no amount yet",IF(E592="","Add - what was this for?",IF(IF(H592="",FALSE,COUNTIF(Sales!$A$5:$A$1204,H592)=0),"Missing - no sale with that ID",IF(IF(I592="",FALSE,COUNTIF(Appointments!$A$5:$A$1204,I592)=0),"Missing - no booking with that ID",IF(IF(E592="Tip",J592="",FALSE),"Assign - whose tip is it?",IF(IF(E592="Deposit",IF(H592="",I592="",FALSE),FALSE),"Check - deposit not tied to a booking",IF(M592="No","Due - not reconciled yet","OK"))))))))</f>
        <v>0</v>
      </c>
    </row>
    <row r="593" spans="1:23">
      <c r="A593" s="28">
        <f>IF(B593="","",PaymentPrefix&amp;TEXT(ROW()-4,"0000"))</f>
        <v>0</v>
      </c>
      <c r="D593" s="15">
        <f>IF(C593="","",IFERROR(INDEX(Clients!$B$5:$B$504,MATCH(C593,Clients!$A$5:$A$504,0)),"Walk-in"))</f>
        <v>0</v>
      </c>
      <c r="K593" s="15">
        <f>IF(J593="","",IFERROR(INDEX(Staff!$B$5:$B$44,MATCH(J593,Staff!$A$5:$A$44,0)),""))</f>
        <v>0</v>
      </c>
      <c r="O593" s="15">
        <f>IF(B593="","",TEXT(B593,"yyyy-mm"))</f>
        <v>0</v>
      </c>
      <c r="P593" s="25">
        <f>IF(B593="","",WEEKNUM(B593,2))</f>
        <v>0</v>
      </c>
      <c r="Q593" s="38">
        <f>IF(B593="","",IF(E593="Tip","No",IF(E593="Refund","No","Yes")))</f>
        <v>0</v>
      </c>
      <c r="R593" s="25">
        <f>IF(B593="","",IF(E593="Refund",-1,1))</f>
        <v>0</v>
      </c>
      <c r="S593" s="26">
        <f>IF(B593="","",IF(G593="",0,IF(F593="Card",ROUND(G593*CardFeePercent+CardFeeFixed,2),IF(F593="Online deposit",ROUND(G593*CardFeePercent+CardFeeFixed,2),0))))</f>
        <v>0</v>
      </c>
      <c r="T593" s="26">
        <f>IF(B593="","",ROUND(IF(G593="",0,G593)*R593-S593,2))</f>
        <v>0</v>
      </c>
      <c r="U593" s="38">
        <f>IF(B593="","",IF(E593="Tip","Yes","No"))</f>
        <v>0</v>
      </c>
      <c r="V593" s="15">
        <f>IF(B593="","",IF(H593&lt;&gt;"","Sale "&amp;H593,IF(I593&lt;&gt;"","Booking "&amp;I593,IF(E593="Tip","Stylist","Unapplied"))))</f>
        <v>0</v>
      </c>
      <c r="W593" s="39">
        <f>IF(B593="","",IF(G593="","Add - no amount yet",IF(E593="","Add - what was this for?",IF(IF(H593="",FALSE,COUNTIF(Sales!$A$5:$A$1204,H593)=0),"Missing - no sale with that ID",IF(IF(I593="",FALSE,COUNTIF(Appointments!$A$5:$A$1204,I593)=0),"Missing - no booking with that ID",IF(IF(E593="Tip",J593="",FALSE),"Assign - whose tip is it?",IF(IF(E593="Deposit",IF(H593="",I593="",FALSE),FALSE),"Check - deposit not tied to a booking",IF(M593="No","Due - not reconciled yet","OK"))))))))</f>
        <v>0</v>
      </c>
    </row>
    <row r="594" spans="1:23">
      <c r="A594" s="28">
        <f>IF(B594="","",PaymentPrefix&amp;TEXT(ROW()-4,"0000"))</f>
        <v>0</v>
      </c>
      <c r="D594" s="15">
        <f>IF(C594="","",IFERROR(INDEX(Clients!$B$5:$B$504,MATCH(C594,Clients!$A$5:$A$504,0)),"Walk-in"))</f>
        <v>0</v>
      </c>
      <c r="K594" s="15">
        <f>IF(J594="","",IFERROR(INDEX(Staff!$B$5:$B$44,MATCH(J594,Staff!$A$5:$A$44,0)),""))</f>
        <v>0</v>
      </c>
      <c r="O594" s="15">
        <f>IF(B594="","",TEXT(B594,"yyyy-mm"))</f>
        <v>0</v>
      </c>
      <c r="P594" s="25">
        <f>IF(B594="","",WEEKNUM(B594,2))</f>
        <v>0</v>
      </c>
      <c r="Q594" s="38">
        <f>IF(B594="","",IF(E594="Tip","No",IF(E594="Refund","No","Yes")))</f>
        <v>0</v>
      </c>
      <c r="R594" s="25">
        <f>IF(B594="","",IF(E594="Refund",-1,1))</f>
        <v>0</v>
      </c>
      <c r="S594" s="26">
        <f>IF(B594="","",IF(G594="",0,IF(F594="Card",ROUND(G594*CardFeePercent+CardFeeFixed,2),IF(F594="Online deposit",ROUND(G594*CardFeePercent+CardFeeFixed,2),0))))</f>
        <v>0</v>
      </c>
      <c r="T594" s="26">
        <f>IF(B594="","",ROUND(IF(G594="",0,G594)*R594-S594,2))</f>
        <v>0</v>
      </c>
      <c r="U594" s="38">
        <f>IF(B594="","",IF(E594="Tip","Yes","No"))</f>
        <v>0</v>
      </c>
      <c r="V594" s="15">
        <f>IF(B594="","",IF(H594&lt;&gt;"","Sale "&amp;H594,IF(I594&lt;&gt;"","Booking "&amp;I594,IF(E594="Tip","Stylist","Unapplied"))))</f>
        <v>0</v>
      </c>
      <c r="W594" s="39">
        <f>IF(B594="","",IF(G594="","Add - no amount yet",IF(E594="","Add - what was this for?",IF(IF(H594="",FALSE,COUNTIF(Sales!$A$5:$A$1204,H594)=0),"Missing - no sale with that ID",IF(IF(I594="",FALSE,COUNTIF(Appointments!$A$5:$A$1204,I594)=0),"Missing - no booking with that ID",IF(IF(E594="Tip",J594="",FALSE),"Assign - whose tip is it?",IF(IF(E594="Deposit",IF(H594="",I594="",FALSE),FALSE),"Check - deposit not tied to a booking",IF(M594="No","Due - not reconciled yet","OK"))))))))</f>
        <v>0</v>
      </c>
    </row>
    <row r="595" spans="1:23">
      <c r="A595" s="28">
        <f>IF(B595="","",PaymentPrefix&amp;TEXT(ROW()-4,"0000"))</f>
        <v>0</v>
      </c>
      <c r="D595" s="15">
        <f>IF(C595="","",IFERROR(INDEX(Clients!$B$5:$B$504,MATCH(C595,Clients!$A$5:$A$504,0)),"Walk-in"))</f>
        <v>0</v>
      </c>
      <c r="K595" s="15">
        <f>IF(J595="","",IFERROR(INDEX(Staff!$B$5:$B$44,MATCH(J595,Staff!$A$5:$A$44,0)),""))</f>
        <v>0</v>
      </c>
      <c r="O595" s="15">
        <f>IF(B595="","",TEXT(B595,"yyyy-mm"))</f>
        <v>0</v>
      </c>
      <c r="P595" s="25">
        <f>IF(B595="","",WEEKNUM(B595,2))</f>
        <v>0</v>
      </c>
      <c r="Q595" s="38">
        <f>IF(B595="","",IF(E595="Tip","No",IF(E595="Refund","No","Yes")))</f>
        <v>0</v>
      </c>
      <c r="R595" s="25">
        <f>IF(B595="","",IF(E595="Refund",-1,1))</f>
        <v>0</v>
      </c>
      <c r="S595" s="26">
        <f>IF(B595="","",IF(G595="",0,IF(F595="Card",ROUND(G595*CardFeePercent+CardFeeFixed,2),IF(F595="Online deposit",ROUND(G595*CardFeePercent+CardFeeFixed,2),0))))</f>
        <v>0</v>
      </c>
      <c r="T595" s="26">
        <f>IF(B595="","",ROUND(IF(G595="",0,G595)*R595-S595,2))</f>
        <v>0</v>
      </c>
      <c r="U595" s="38">
        <f>IF(B595="","",IF(E595="Tip","Yes","No"))</f>
        <v>0</v>
      </c>
      <c r="V595" s="15">
        <f>IF(B595="","",IF(H595&lt;&gt;"","Sale "&amp;H595,IF(I595&lt;&gt;"","Booking "&amp;I595,IF(E595="Tip","Stylist","Unapplied"))))</f>
        <v>0</v>
      </c>
      <c r="W595" s="39">
        <f>IF(B595="","",IF(G595="","Add - no amount yet",IF(E595="","Add - what was this for?",IF(IF(H595="",FALSE,COUNTIF(Sales!$A$5:$A$1204,H595)=0),"Missing - no sale with that ID",IF(IF(I595="",FALSE,COUNTIF(Appointments!$A$5:$A$1204,I595)=0),"Missing - no booking with that ID",IF(IF(E595="Tip",J595="",FALSE),"Assign - whose tip is it?",IF(IF(E595="Deposit",IF(H595="",I595="",FALSE),FALSE),"Check - deposit not tied to a booking",IF(M595="No","Due - not reconciled yet","OK"))))))))</f>
        <v>0</v>
      </c>
    </row>
    <row r="596" spans="1:23">
      <c r="A596" s="28">
        <f>IF(B596="","",PaymentPrefix&amp;TEXT(ROW()-4,"0000"))</f>
        <v>0</v>
      </c>
      <c r="D596" s="15">
        <f>IF(C596="","",IFERROR(INDEX(Clients!$B$5:$B$504,MATCH(C596,Clients!$A$5:$A$504,0)),"Walk-in"))</f>
        <v>0</v>
      </c>
      <c r="K596" s="15">
        <f>IF(J596="","",IFERROR(INDEX(Staff!$B$5:$B$44,MATCH(J596,Staff!$A$5:$A$44,0)),""))</f>
        <v>0</v>
      </c>
      <c r="O596" s="15">
        <f>IF(B596="","",TEXT(B596,"yyyy-mm"))</f>
        <v>0</v>
      </c>
      <c r="P596" s="25">
        <f>IF(B596="","",WEEKNUM(B596,2))</f>
        <v>0</v>
      </c>
      <c r="Q596" s="38">
        <f>IF(B596="","",IF(E596="Tip","No",IF(E596="Refund","No","Yes")))</f>
        <v>0</v>
      </c>
      <c r="R596" s="25">
        <f>IF(B596="","",IF(E596="Refund",-1,1))</f>
        <v>0</v>
      </c>
      <c r="S596" s="26">
        <f>IF(B596="","",IF(G596="",0,IF(F596="Card",ROUND(G596*CardFeePercent+CardFeeFixed,2),IF(F596="Online deposit",ROUND(G596*CardFeePercent+CardFeeFixed,2),0))))</f>
        <v>0</v>
      </c>
      <c r="T596" s="26">
        <f>IF(B596="","",ROUND(IF(G596="",0,G596)*R596-S596,2))</f>
        <v>0</v>
      </c>
      <c r="U596" s="38">
        <f>IF(B596="","",IF(E596="Tip","Yes","No"))</f>
        <v>0</v>
      </c>
      <c r="V596" s="15">
        <f>IF(B596="","",IF(H596&lt;&gt;"","Sale "&amp;H596,IF(I596&lt;&gt;"","Booking "&amp;I596,IF(E596="Tip","Stylist","Unapplied"))))</f>
        <v>0</v>
      </c>
      <c r="W596" s="39">
        <f>IF(B596="","",IF(G596="","Add - no amount yet",IF(E596="","Add - what was this for?",IF(IF(H596="",FALSE,COUNTIF(Sales!$A$5:$A$1204,H596)=0),"Missing - no sale with that ID",IF(IF(I596="",FALSE,COUNTIF(Appointments!$A$5:$A$1204,I596)=0),"Missing - no booking with that ID",IF(IF(E596="Tip",J596="",FALSE),"Assign - whose tip is it?",IF(IF(E596="Deposit",IF(H596="",I596="",FALSE),FALSE),"Check - deposit not tied to a booking",IF(M596="No","Due - not reconciled yet","OK"))))))))</f>
        <v>0</v>
      </c>
    </row>
    <row r="597" spans="1:23">
      <c r="A597" s="28">
        <f>IF(B597="","",PaymentPrefix&amp;TEXT(ROW()-4,"0000"))</f>
        <v>0</v>
      </c>
      <c r="D597" s="15">
        <f>IF(C597="","",IFERROR(INDEX(Clients!$B$5:$B$504,MATCH(C597,Clients!$A$5:$A$504,0)),"Walk-in"))</f>
        <v>0</v>
      </c>
      <c r="K597" s="15">
        <f>IF(J597="","",IFERROR(INDEX(Staff!$B$5:$B$44,MATCH(J597,Staff!$A$5:$A$44,0)),""))</f>
        <v>0</v>
      </c>
      <c r="O597" s="15">
        <f>IF(B597="","",TEXT(B597,"yyyy-mm"))</f>
        <v>0</v>
      </c>
      <c r="P597" s="25">
        <f>IF(B597="","",WEEKNUM(B597,2))</f>
        <v>0</v>
      </c>
      <c r="Q597" s="38">
        <f>IF(B597="","",IF(E597="Tip","No",IF(E597="Refund","No","Yes")))</f>
        <v>0</v>
      </c>
      <c r="R597" s="25">
        <f>IF(B597="","",IF(E597="Refund",-1,1))</f>
        <v>0</v>
      </c>
      <c r="S597" s="26">
        <f>IF(B597="","",IF(G597="",0,IF(F597="Card",ROUND(G597*CardFeePercent+CardFeeFixed,2),IF(F597="Online deposit",ROUND(G597*CardFeePercent+CardFeeFixed,2),0))))</f>
        <v>0</v>
      </c>
      <c r="T597" s="26">
        <f>IF(B597="","",ROUND(IF(G597="",0,G597)*R597-S597,2))</f>
        <v>0</v>
      </c>
      <c r="U597" s="38">
        <f>IF(B597="","",IF(E597="Tip","Yes","No"))</f>
        <v>0</v>
      </c>
      <c r="V597" s="15">
        <f>IF(B597="","",IF(H597&lt;&gt;"","Sale "&amp;H597,IF(I597&lt;&gt;"","Booking "&amp;I597,IF(E597="Tip","Stylist","Unapplied"))))</f>
        <v>0</v>
      </c>
      <c r="W597" s="39">
        <f>IF(B597="","",IF(G597="","Add - no amount yet",IF(E597="","Add - what was this for?",IF(IF(H597="",FALSE,COUNTIF(Sales!$A$5:$A$1204,H597)=0),"Missing - no sale with that ID",IF(IF(I597="",FALSE,COUNTIF(Appointments!$A$5:$A$1204,I597)=0),"Missing - no booking with that ID",IF(IF(E597="Tip",J597="",FALSE),"Assign - whose tip is it?",IF(IF(E597="Deposit",IF(H597="",I597="",FALSE),FALSE),"Check - deposit not tied to a booking",IF(M597="No","Due - not reconciled yet","OK"))))))))</f>
        <v>0</v>
      </c>
    </row>
    <row r="598" spans="1:23">
      <c r="A598" s="28">
        <f>IF(B598="","",PaymentPrefix&amp;TEXT(ROW()-4,"0000"))</f>
        <v>0</v>
      </c>
      <c r="D598" s="15">
        <f>IF(C598="","",IFERROR(INDEX(Clients!$B$5:$B$504,MATCH(C598,Clients!$A$5:$A$504,0)),"Walk-in"))</f>
        <v>0</v>
      </c>
      <c r="K598" s="15">
        <f>IF(J598="","",IFERROR(INDEX(Staff!$B$5:$B$44,MATCH(J598,Staff!$A$5:$A$44,0)),""))</f>
        <v>0</v>
      </c>
      <c r="O598" s="15">
        <f>IF(B598="","",TEXT(B598,"yyyy-mm"))</f>
        <v>0</v>
      </c>
      <c r="P598" s="25">
        <f>IF(B598="","",WEEKNUM(B598,2))</f>
        <v>0</v>
      </c>
      <c r="Q598" s="38">
        <f>IF(B598="","",IF(E598="Tip","No",IF(E598="Refund","No","Yes")))</f>
        <v>0</v>
      </c>
      <c r="R598" s="25">
        <f>IF(B598="","",IF(E598="Refund",-1,1))</f>
        <v>0</v>
      </c>
      <c r="S598" s="26">
        <f>IF(B598="","",IF(G598="",0,IF(F598="Card",ROUND(G598*CardFeePercent+CardFeeFixed,2),IF(F598="Online deposit",ROUND(G598*CardFeePercent+CardFeeFixed,2),0))))</f>
        <v>0</v>
      </c>
      <c r="T598" s="26">
        <f>IF(B598="","",ROUND(IF(G598="",0,G598)*R598-S598,2))</f>
        <v>0</v>
      </c>
      <c r="U598" s="38">
        <f>IF(B598="","",IF(E598="Tip","Yes","No"))</f>
        <v>0</v>
      </c>
      <c r="V598" s="15">
        <f>IF(B598="","",IF(H598&lt;&gt;"","Sale "&amp;H598,IF(I598&lt;&gt;"","Booking "&amp;I598,IF(E598="Tip","Stylist","Unapplied"))))</f>
        <v>0</v>
      </c>
      <c r="W598" s="39">
        <f>IF(B598="","",IF(G598="","Add - no amount yet",IF(E598="","Add - what was this for?",IF(IF(H598="",FALSE,COUNTIF(Sales!$A$5:$A$1204,H598)=0),"Missing - no sale with that ID",IF(IF(I598="",FALSE,COUNTIF(Appointments!$A$5:$A$1204,I598)=0),"Missing - no booking with that ID",IF(IF(E598="Tip",J598="",FALSE),"Assign - whose tip is it?",IF(IF(E598="Deposit",IF(H598="",I598="",FALSE),FALSE),"Check - deposit not tied to a booking",IF(M598="No","Due - not reconciled yet","OK"))))))))</f>
        <v>0</v>
      </c>
    </row>
    <row r="599" spans="1:23">
      <c r="A599" s="28">
        <f>IF(B599="","",PaymentPrefix&amp;TEXT(ROW()-4,"0000"))</f>
        <v>0</v>
      </c>
      <c r="D599" s="15">
        <f>IF(C599="","",IFERROR(INDEX(Clients!$B$5:$B$504,MATCH(C599,Clients!$A$5:$A$504,0)),"Walk-in"))</f>
        <v>0</v>
      </c>
      <c r="K599" s="15">
        <f>IF(J599="","",IFERROR(INDEX(Staff!$B$5:$B$44,MATCH(J599,Staff!$A$5:$A$44,0)),""))</f>
        <v>0</v>
      </c>
      <c r="O599" s="15">
        <f>IF(B599="","",TEXT(B599,"yyyy-mm"))</f>
        <v>0</v>
      </c>
      <c r="P599" s="25">
        <f>IF(B599="","",WEEKNUM(B599,2))</f>
        <v>0</v>
      </c>
      <c r="Q599" s="38">
        <f>IF(B599="","",IF(E599="Tip","No",IF(E599="Refund","No","Yes")))</f>
        <v>0</v>
      </c>
      <c r="R599" s="25">
        <f>IF(B599="","",IF(E599="Refund",-1,1))</f>
        <v>0</v>
      </c>
      <c r="S599" s="26">
        <f>IF(B599="","",IF(G599="",0,IF(F599="Card",ROUND(G599*CardFeePercent+CardFeeFixed,2),IF(F599="Online deposit",ROUND(G599*CardFeePercent+CardFeeFixed,2),0))))</f>
        <v>0</v>
      </c>
      <c r="T599" s="26">
        <f>IF(B599="","",ROUND(IF(G599="",0,G599)*R599-S599,2))</f>
        <v>0</v>
      </c>
      <c r="U599" s="38">
        <f>IF(B599="","",IF(E599="Tip","Yes","No"))</f>
        <v>0</v>
      </c>
      <c r="V599" s="15">
        <f>IF(B599="","",IF(H599&lt;&gt;"","Sale "&amp;H599,IF(I599&lt;&gt;"","Booking "&amp;I599,IF(E599="Tip","Stylist","Unapplied"))))</f>
        <v>0</v>
      </c>
      <c r="W599" s="39">
        <f>IF(B599="","",IF(G599="","Add - no amount yet",IF(E599="","Add - what was this for?",IF(IF(H599="",FALSE,COUNTIF(Sales!$A$5:$A$1204,H599)=0),"Missing - no sale with that ID",IF(IF(I599="",FALSE,COUNTIF(Appointments!$A$5:$A$1204,I599)=0),"Missing - no booking with that ID",IF(IF(E599="Tip",J599="",FALSE),"Assign - whose tip is it?",IF(IF(E599="Deposit",IF(H599="",I599="",FALSE),FALSE),"Check - deposit not tied to a booking",IF(M599="No","Due - not reconciled yet","OK"))))))))</f>
        <v>0</v>
      </c>
    </row>
    <row r="600" spans="1:23">
      <c r="A600" s="28">
        <f>IF(B600="","",PaymentPrefix&amp;TEXT(ROW()-4,"0000"))</f>
        <v>0</v>
      </c>
      <c r="D600" s="15">
        <f>IF(C600="","",IFERROR(INDEX(Clients!$B$5:$B$504,MATCH(C600,Clients!$A$5:$A$504,0)),"Walk-in"))</f>
        <v>0</v>
      </c>
      <c r="K600" s="15">
        <f>IF(J600="","",IFERROR(INDEX(Staff!$B$5:$B$44,MATCH(J600,Staff!$A$5:$A$44,0)),""))</f>
        <v>0</v>
      </c>
      <c r="O600" s="15">
        <f>IF(B600="","",TEXT(B600,"yyyy-mm"))</f>
        <v>0</v>
      </c>
      <c r="P600" s="25">
        <f>IF(B600="","",WEEKNUM(B600,2))</f>
        <v>0</v>
      </c>
      <c r="Q600" s="38">
        <f>IF(B600="","",IF(E600="Tip","No",IF(E600="Refund","No","Yes")))</f>
        <v>0</v>
      </c>
      <c r="R600" s="25">
        <f>IF(B600="","",IF(E600="Refund",-1,1))</f>
        <v>0</v>
      </c>
      <c r="S600" s="26">
        <f>IF(B600="","",IF(G600="",0,IF(F600="Card",ROUND(G600*CardFeePercent+CardFeeFixed,2),IF(F600="Online deposit",ROUND(G600*CardFeePercent+CardFeeFixed,2),0))))</f>
        <v>0</v>
      </c>
      <c r="T600" s="26">
        <f>IF(B600="","",ROUND(IF(G600="",0,G600)*R600-S600,2))</f>
        <v>0</v>
      </c>
      <c r="U600" s="38">
        <f>IF(B600="","",IF(E600="Tip","Yes","No"))</f>
        <v>0</v>
      </c>
      <c r="V600" s="15">
        <f>IF(B600="","",IF(H600&lt;&gt;"","Sale "&amp;H600,IF(I600&lt;&gt;"","Booking "&amp;I600,IF(E600="Tip","Stylist","Unapplied"))))</f>
        <v>0</v>
      </c>
      <c r="W600" s="39">
        <f>IF(B600="","",IF(G600="","Add - no amount yet",IF(E600="","Add - what was this for?",IF(IF(H600="",FALSE,COUNTIF(Sales!$A$5:$A$1204,H600)=0),"Missing - no sale with that ID",IF(IF(I600="",FALSE,COUNTIF(Appointments!$A$5:$A$1204,I600)=0),"Missing - no booking with that ID",IF(IF(E600="Tip",J600="",FALSE),"Assign - whose tip is it?",IF(IF(E600="Deposit",IF(H600="",I600="",FALSE),FALSE),"Check - deposit not tied to a booking",IF(M600="No","Due - not reconciled yet","OK"))))))))</f>
        <v>0</v>
      </c>
    </row>
    <row r="601" spans="1:23">
      <c r="A601" s="28">
        <f>IF(B601="","",PaymentPrefix&amp;TEXT(ROW()-4,"0000"))</f>
        <v>0</v>
      </c>
      <c r="D601" s="15">
        <f>IF(C601="","",IFERROR(INDEX(Clients!$B$5:$B$504,MATCH(C601,Clients!$A$5:$A$504,0)),"Walk-in"))</f>
        <v>0</v>
      </c>
      <c r="K601" s="15">
        <f>IF(J601="","",IFERROR(INDEX(Staff!$B$5:$B$44,MATCH(J601,Staff!$A$5:$A$44,0)),""))</f>
        <v>0</v>
      </c>
      <c r="O601" s="15">
        <f>IF(B601="","",TEXT(B601,"yyyy-mm"))</f>
        <v>0</v>
      </c>
      <c r="P601" s="25">
        <f>IF(B601="","",WEEKNUM(B601,2))</f>
        <v>0</v>
      </c>
      <c r="Q601" s="38">
        <f>IF(B601="","",IF(E601="Tip","No",IF(E601="Refund","No","Yes")))</f>
        <v>0</v>
      </c>
      <c r="R601" s="25">
        <f>IF(B601="","",IF(E601="Refund",-1,1))</f>
        <v>0</v>
      </c>
      <c r="S601" s="26">
        <f>IF(B601="","",IF(G601="",0,IF(F601="Card",ROUND(G601*CardFeePercent+CardFeeFixed,2),IF(F601="Online deposit",ROUND(G601*CardFeePercent+CardFeeFixed,2),0))))</f>
        <v>0</v>
      </c>
      <c r="T601" s="26">
        <f>IF(B601="","",ROUND(IF(G601="",0,G601)*R601-S601,2))</f>
        <v>0</v>
      </c>
      <c r="U601" s="38">
        <f>IF(B601="","",IF(E601="Tip","Yes","No"))</f>
        <v>0</v>
      </c>
      <c r="V601" s="15">
        <f>IF(B601="","",IF(H601&lt;&gt;"","Sale "&amp;H601,IF(I601&lt;&gt;"","Booking "&amp;I601,IF(E601="Tip","Stylist","Unapplied"))))</f>
        <v>0</v>
      </c>
      <c r="W601" s="39">
        <f>IF(B601="","",IF(G601="","Add - no amount yet",IF(E601="","Add - what was this for?",IF(IF(H601="",FALSE,COUNTIF(Sales!$A$5:$A$1204,H601)=0),"Missing - no sale with that ID",IF(IF(I601="",FALSE,COUNTIF(Appointments!$A$5:$A$1204,I601)=0),"Missing - no booking with that ID",IF(IF(E601="Tip",J601="",FALSE),"Assign - whose tip is it?",IF(IF(E601="Deposit",IF(H601="",I601="",FALSE),FALSE),"Check - deposit not tied to a booking",IF(M601="No","Due - not reconciled yet","OK"))))))))</f>
        <v>0</v>
      </c>
    </row>
    <row r="602" spans="1:23">
      <c r="A602" s="28">
        <f>IF(B602="","",PaymentPrefix&amp;TEXT(ROW()-4,"0000"))</f>
        <v>0</v>
      </c>
      <c r="D602" s="15">
        <f>IF(C602="","",IFERROR(INDEX(Clients!$B$5:$B$504,MATCH(C602,Clients!$A$5:$A$504,0)),"Walk-in"))</f>
        <v>0</v>
      </c>
      <c r="K602" s="15">
        <f>IF(J602="","",IFERROR(INDEX(Staff!$B$5:$B$44,MATCH(J602,Staff!$A$5:$A$44,0)),""))</f>
        <v>0</v>
      </c>
      <c r="O602" s="15">
        <f>IF(B602="","",TEXT(B602,"yyyy-mm"))</f>
        <v>0</v>
      </c>
      <c r="P602" s="25">
        <f>IF(B602="","",WEEKNUM(B602,2))</f>
        <v>0</v>
      </c>
      <c r="Q602" s="38">
        <f>IF(B602="","",IF(E602="Tip","No",IF(E602="Refund","No","Yes")))</f>
        <v>0</v>
      </c>
      <c r="R602" s="25">
        <f>IF(B602="","",IF(E602="Refund",-1,1))</f>
        <v>0</v>
      </c>
      <c r="S602" s="26">
        <f>IF(B602="","",IF(G602="",0,IF(F602="Card",ROUND(G602*CardFeePercent+CardFeeFixed,2),IF(F602="Online deposit",ROUND(G602*CardFeePercent+CardFeeFixed,2),0))))</f>
        <v>0</v>
      </c>
      <c r="T602" s="26">
        <f>IF(B602="","",ROUND(IF(G602="",0,G602)*R602-S602,2))</f>
        <v>0</v>
      </c>
      <c r="U602" s="38">
        <f>IF(B602="","",IF(E602="Tip","Yes","No"))</f>
        <v>0</v>
      </c>
      <c r="V602" s="15">
        <f>IF(B602="","",IF(H602&lt;&gt;"","Sale "&amp;H602,IF(I602&lt;&gt;"","Booking "&amp;I602,IF(E602="Tip","Stylist","Unapplied"))))</f>
        <v>0</v>
      </c>
      <c r="W602" s="39">
        <f>IF(B602="","",IF(G602="","Add - no amount yet",IF(E602="","Add - what was this for?",IF(IF(H602="",FALSE,COUNTIF(Sales!$A$5:$A$1204,H602)=0),"Missing - no sale with that ID",IF(IF(I602="",FALSE,COUNTIF(Appointments!$A$5:$A$1204,I602)=0),"Missing - no booking with that ID",IF(IF(E602="Tip",J602="",FALSE),"Assign - whose tip is it?",IF(IF(E602="Deposit",IF(H602="",I602="",FALSE),FALSE),"Check - deposit not tied to a booking",IF(M602="No","Due - not reconciled yet","OK"))))))))</f>
        <v>0</v>
      </c>
    </row>
    <row r="603" spans="1:23">
      <c r="A603" s="28">
        <f>IF(B603="","",PaymentPrefix&amp;TEXT(ROW()-4,"0000"))</f>
        <v>0</v>
      </c>
      <c r="D603" s="15">
        <f>IF(C603="","",IFERROR(INDEX(Clients!$B$5:$B$504,MATCH(C603,Clients!$A$5:$A$504,0)),"Walk-in"))</f>
        <v>0</v>
      </c>
      <c r="K603" s="15">
        <f>IF(J603="","",IFERROR(INDEX(Staff!$B$5:$B$44,MATCH(J603,Staff!$A$5:$A$44,0)),""))</f>
        <v>0</v>
      </c>
      <c r="O603" s="15">
        <f>IF(B603="","",TEXT(B603,"yyyy-mm"))</f>
        <v>0</v>
      </c>
      <c r="P603" s="25">
        <f>IF(B603="","",WEEKNUM(B603,2))</f>
        <v>0</v>
      </c>
      <c r="Q603" s="38">
        <f>IF(B603="","",IF(E603="Tip","No",IF(E603="Refund","No","Yes")))</f>
        <v>0</v>
      </c>
      <c r="R603" s="25">
        <f>IF(B603="","",IF(E603="Refund",-1,1))</f>
        <v>0</v>
      </c>
      <c r="S603" s="26">
        <f>IF(B603="","",IF(G603="",0,IF(F603="Card",ROUND(G603*CardFeePercent+CardFeeFixed,2),IF(F603="Online deposit",ROUND(G603*CardFeePercent+CardFeeFixed,2),0))))</f>
        <v>0</v>
      </c>
      <c r="T603" s="26">
        <f>IF(B603="","",ROUND(IF(G603="",0,G603)*R603-S603,2))</f>
        <v>0</v>
      </c>
      <c r="U603" s="38">
        <f>IF(B603="","",IF(E603="Tip","Yes","No"))</f>
        <v>0</v>
      </c>
      <c r="V603" s="15">
        <f>IF(B603="","",IF(H603&lt;&gt;"","Sale "&amp;H603,IF(I603&lt;&gt;"","Booking "&amp;I603,IF(E603="Tip","Stylist","Unapplied"))))</f>
        <v>0</v>
      </c>
      <c r="W603" s="39">
        <f>IF(B603="","",IF(G603="","Add - no amount yet",IF(E603="","Add - what was this for?",IF(IF(H603="",FALSE,COUNTIF(Sales!$A$5:$A$1204,H603)=0),"Missing - no sale with that ID",IF(IF(I603="",FALSE,COUNTIF(Appointments!$A$5:$A$1204,I603)=0),"Missing - no booking with that ID",IF(IF(E603="Tip",J603="",FALSE),"Assign - whose tip is it?",IF(IF(E603="Deposit",IF(H603="",I603="",FALSE),FALSE),"Check - deposit not tied to a booking",IF(M603="No","Due - not reconciled yet","OK"))))))))</f>
        <v>0</v>
      </c>
    </row>
    <row r="604" spans="1:23">
      <c r="A604" s="28">
        <f>IF(B604="","",PaymentPrefix&amp;TEXT(ROW()-4,"0000"))</f>
        <v>0</v>
      </c>
      <c r="D604" s="15">
        <f>IF(C604="","",IFERROR(INDEX(Clients!$B$5:$B$504,MATCH(C604,Clients!$A$5:$A$504,0)),"Walk-in"))</f>
        <v>0</v>
      </c>
      <c r="K604" s="15">
        <f>IF(J604="","",IFERROR(INDEX(Staff!$B$5:$B$44,MATCH(J604,Staff!$A$5:$A$44,0)),""))</f>
        <v>0</v>
      </c>
      <c r="O604" s="15">
        <f>IF(B604="","",TEXT(B604,"yyyy-mm"))</f>
        <v>0</v>
      </c>
      <c r="P604" s="25">
        <f>IF(B604="","",WEEKNUM(B604,2))</f>
        <v>0</v>
      </c>
      <c r="Q604" s="38">
        <f>IF(B604="","",IF(E604="Tip","No",IF(E604="Refund","No","Yes")))</f>
        <v>0</v>
      </c>
      <c r="R604" s="25">
        <f>IF(B604="","",IF(E604="Refund",-1,1))</f>
        <v>0</v>
      </c>
      <c r="S604" s="26">
        <f>IF(B604="","",IF(G604="",0,IF(F604="Card",ROUND(G604*CardFeePercent+CardFeeFixed,2),IF(F604="Online deposit",ROUND(G604*CardFeePercent+CardFeeFixed,2),0))))</f>
        <v>0</v>
      </c>
      <c r="T604" s="26">
        <f>IF(B604="","",ROUND(IF(G604="",0,G604)*R604-S604,2))</f>
        <v>0</v>
      </c>
      <c r="U604" s="38">
        <f>IF(B604="","",IF(E604="Tip","Yes","No"))</f>
        <v>0</v>
      </c>
      <c r="V604" s="15">
        <f>IF(B604="","",IF(H604&lt;&gt;"","Sale "&amp;H604,IF(I604&lt;&gt;"","Booking "&amp;I604,IF(E604="Tip","Stylist","Unapplied"))))</f>
        <v>0</v>
      </c>
      <c r="W604" s="39">
        <f>IF(B604="","",IF(G604="","Add - no amount yet",IF(E604="","Add - what was this for?",IF(IF(H604="",FALSE,COUNTIF(Sales!$A$5:$A$1204,H604)=0),"Missing - no sale with that ID",IF(IF(I604="",FALSE,COUNTIF(Appointments!$A$5:$A$1204,I604)=0),"Missing - no booking with that ID",IF(IF(E604="Tip",J604="",FALSE),"Assign - whose tip is it?",IF(IF(E604="Deposit",IF(H604="",I604="",FALSE),FALSE),"Check - deposit not tied to a booking",IF(M604="No","Due - not reconciled yet","OK"))))))))</f>
        <v>0</v>
      </c>
    </row>
    <row r="605" spans="1:23">
      <c r="A605" s="28">
        <f>IF(B605="","",PaymentPrefix&amp;TEXT(ROW()-4,"0000"))</f>
        <v>0</v>
      </c>
      <c r="D605" s="15">
        <f>IF(C605="","",IFERROR(INDEX(Clients!$B$5:$B$504,MATCH(C605,Clients!$A$5:$A$504,0)),"Walk-in"))</f>
        <v>0</v>
      </c>
      <c r="K605" s="15">
        <f>IF(J605="","",IFERROR(INDEX(Staff!$B$5:$B$44,MATCH(J605,Staff!$A$5:$A$44,0)),""))</f>
        <v>0</v>
      </c>
      <c r="O605" s="15">
        <f>IF(B605="","",TEXT(B605,"yyyy-mm"))</f>
        <v>0</v>
      </c>
      <c r="P605" s="25">
        <f>IF(B605="","",WEEKNUM(B605,2))</f>
        <v>0</v>
      </c>
      <c r="Q605" s="38">
        <f>IF(B605="","",IF(E605="Tip","No",IF(E605="Refund","No","Yes")))</f>
        <v>0</v>
      </c>
      <c r="R605" s="25">
        <f>IF(B605="","",IF(E605="Refund",-1,1))</f>
        <v>0</v>
      </c>
      <c r="S605" s="26">
        <f>IF(B605="","",IF(G605="",0,IF(F605="Card",ROUND(G605*CardFeePercent+CardFeeFixed,2),IF(F605="Online deposit",ROUND(G605*CardFeePercent+CardFeeFixed,2),0))))</f>
        <v>0</v>
      </c>
      <c r="T605" s="26">
        <f>IF(B605="","",ROUND(IF(G605="",0,G605)*R605-S605,2))</f>
        <v>0</v>
      </c>
      <c r="U605" s="38">
        <f>IF(B605="","",IF(E605="Tip","Yes","No"))</f>
        <v>0</v>
      </c>
      <c r="V605" s="15">
        <f>IF(B605="","",IF(H605&lt;&gt;"","Sale "&amp;H605,IF(I605&lt;&gt;"","Booking "&amp;I605,IF(E605="Tip","Stylist","Unapplied"))))</f>
        <v>0</v>
      </c>
      <c r="W605" s="39">
        <f>IF(B605="","",IF(G605="","Add - no amount yet",IF(E605="","Add - what was this for?",IF(IF(H605="",FALSE,COUNTIF(Sales!$A$5:$A$1204,H605)=0),"Missing - no sale with that ID",IF(IF(I605="",FALSE,COUNTIF(Appointments!$A$5:$A$1204,I605)=0),"Missing - no booking with that ID",IF(IF(E605="Tip",J605="",FALSE),"Assign - whose tip is it?",IF(IF(E605="Deposit",IF(H605="",I605="",FALSE),FALSE),"Check - deposit not tied to a booking",IF(M605="No","Due - not reconciled yet","OK"))))))))</f>
        <v>0</v>
      </c>
    </row>
    <row r="606" spans="1:23">
      <c r="A606" s="28">
        <f>IF(B606="","",PaymentPrefix&amp;TEXT(ROW()-4,"0000"))</f>
        <v>0</v>
      </c>
      <c r="D606" s="15">
        <f>IF(C606="","",IFERROR(INDEX(Clients!$B$5:$B$504,MATCH(C606,Clients!$A$5:$A$504,0)),"Walk-in"))</f>
        <v>0</v>
      </c>
      <c r="K606" s="15">
        <f>IF(J606="","",IFERROR(INDEX(Staff!$B$5:$B$44,MATCH(J606,Staff!$A$5:$A$44,0)),""))</f>
        <v>0</v>
      </c>
      <c r="O606" s="15">
        <f>IF(B606="","",TEXT(B606,"yyyy-mm"))</f>
        <v>0</v>
      </c>
      <c r="P606" s="25">
        <f>IF(B606="","",WEEKNUM(B606,2))</f>
        <v>0</v>
      </c>
      <c r="Q606" s="38">
        <f>IF(B606="","",IF(E606="Tip","No",IF(E606="Refund","No","Yes")))</f>
        <v>0</v>
      </c>
      <c r="R606" s="25">
        <f>IF(B606="","",IF(E606="Refund",-1,1))</f>
        <v>0</v>
      </c>
      <c r="S606" s="26">
        <f>IF(B606="","",IF(G606="",0,IF(F606="Card",ROUND(G606*CardFeePercent+CardFeeFixed,2),IF(F606="Online deposit",ROUND(G606*CardFeePercent+CardFeeFixed,2),0))))</f>
        <v>0</v>
      </c>
      <c r="T606" s="26">
        <f>IF(B606="","",ROUND(IF(G606="",0,G606)*R606-S606,2))</f>
        <v>0</v>
      </c>
      <c r="U606" s="38">
        <f>IF(B606="","",IF(E606="Tip","Yes","No"))</f>
        <v>0</v>
      </c>
      <c r="V606" s="15">
        <f>IF(B606="","",IF(H606&lt;&gt;"","Sale "&amp;H606,IF(I606&lt;&gt;"","Booking "&amp;I606,IF(E606="Tip","Stylist","Unapplied"))))</f>
        <v>0</v>
      </c>
      <c r="W606" s="39">
        <f>IF(B606="","",IF(G606="","Add - no amount yet",IF(E606="","Add - what was this for?",IF(IF(H606="",FALSE,COUNTIF(Sales!$A$5:$A$1204,H606)=0),"Missing - no sale with that ID",IF(IF(I606="",FALSE,COUNTIF(Appointments!$A$5:$A$1204,I606)=0),"Missing - no booking with that ID",IF(IF(E606="Tip",J606="",FALSE),"Assign - whose tip is it?",IF(IF(E606="Deposit",IF(H606="",I606="",FALSE),FALSE),"Check - deposit not tied to a booking",IF(M606="No","Due - not reconciled yet","OK"))))))))</f>
        <v>0</v>
      </c>
    </row>
    <row r="607" spans="1:23">
      <c r="A607" s="28">
        <f>IF(B607="","",PaymentPrefix&amp;TEXT(ROW()-4,"0000"))</f>
        <v>0</v>
      </c>
      <c r="D607" s="15">
        <f>IF(C607="","",IFERROR(INDEX(Clients!$B$5:$B$504,MATCH(C607,Clients!$A$5:$A$504,0)),"Walk-in"))</f>
        <v>0</v>
      </c>
      <c r="K607" s="15">
        <f>IF(J607="","",IFERROR(INDEX(Staff!$B$5:$B$44,MATCH(J607,Staff!$A$5:$A$44,0)),""))</f>
        <v>0</v>
      </c>
      <c r="O607" s="15">
        <f>IF(B607="","",TEXT(B607,"yyyy-mm"))</f>
        <v>0</v>
      </c>
      <c r="P607" s="25">
        <f>IF(B607="","",WEEKNUM(B607,2))</f>
        <v>0</v>
      </c>
      <c r="Q607" s="38">
        <f>IF(B607="","",IF(E607="Tip","No",IF(E607="Refund","No","Yes")))</f>
        <v>0</v>
      </c>
      <c r="R607" s="25">
        <f>IF(B607="","",IF(E607="Refund",-1,1))</f>
        <v>0</v>
      </c>
      <c r="S607" s="26">
        <f>IF(B607="","",IF(G607="",0,IF(F607="Card",ROUND(G607*CardFeePercent+CardFeeFixed,2),IF(F607="Online deposit",ROUND(G607*CardFeePercent+CardFeeFixed,2),0))))</f>
        <v>0</v>
      </c>
      <c r="T607" s="26">
        <f>IF(B607="","",ROUND(IF(G607="",0,G607)*R607-S607,2))</f>
        <v>0</v>
      </c>
      <c r="U607" s="38">
        <f>IF(B607="","",IF(E607="Tip","Yes","No"))</f>
        <v>0</v>
      </c>
      <c r="V607" s="15">
        <f>IF(B607="","",IF(H607&lt;&gt;"","Sale "&amp;H607,IF(I607&lt;&gt;"","Booking "&amp;I607,IF(E607="Tip","Stylist","Unapplied"))))</f>
        <v>0</v>
      </c>
      <c r="W607" s="39">
        <f>IF(B607="","",IF(G607="","Add - no amount yet",IF(E607="","Add - what was this for?",IF(IF(H607="",FALSE,COUNTIF(Sales!$A$5:$A$1204,H607)=0),"Missing - no sale with that ID",IF(IF(I607="",FALSE,COUNTIF(Appointments!$A$5:$A$1204,I607)=0),"Missing - no booking with that ID",IF(IF(E607="Tip",J607="",FALSE),"Assign - whose tip is it?",IF(IF(E607="Deposit",IF(H607="",I607="",FALSE),FALSE),"Check - deposit not tied to a booking",IF(M607="No","Due - not reconciled yet","OK"))))))))</f>
        <v>0</v>
      </c>
    </row>
    <row r="608" spans="1:23">
      <c r="A608" s="28">
        <f>IF(B608="","",PaymentPrefix&amp;TEXT(ROW()-4,"0000"))</f>
        <v>0</v>
      </c>
      <c r="D608" s="15">
        <f>IF(C608="","",IFERROR(INDEX(Clients!$B$5:$B$504,MATCH(C608,Clients!$A$5:$A$504,0)),"Walk-in"))</f>
        <v>0</v>
      </c>
      <c r="K608" s="15">
        <f>IF(J608="","",IFERROR(INDEX(Staff!$B$5:$B$44,MATCH(J608,Staff!$A$5:$A$44,0)),""))</f>
        <v>0</v>
      </c>
      <c r="O608" s="15">
        <f>IF(B608="","",TEXT(B608,"yyyy-mm"))</f>
        <v>0</v>
      </c>
      <c r="P608" s="25">
        <f>IF(B608="","",WEEKNUM(B608,2))</f>
        <v>0</v>
      </c>
      <c r="Q608" s="38">
        <f>IF(B608="","",IF(E608="Tip","No",IF(E608="Refund","No","Yes")))</f>
        <v>0</v>
      </c>
      <c r="R608" s="25">
        <f>IF(B608="","",IF(E608="Refund",-1,1))</f>
        <v>0</v>
      </c>
      <c r="S608" s="26">
        <f>IF(B608="","",IF(G608="",0,IF(F608="Card",ROUND(G608*CardFeePercent+CardFeeFixed,2),IF(F608="Online deposit",ROUND(G608*CardFeePercent+CardFeeFixed,2),0))))</f>
        <v>0</v>
      </c>
      <c r="T608" s="26">
        <f>IF(B608="","",ROUND(IF(G608="",0,G608)*R608-S608,2))</f>
        <v>0</v>
      </c>
      <c r="U608" s="38">
        <f>IF(B608="","",IF(E608="Tip","Yes","No"))</f>
        <v>0</v>
      </c>
      <c r="V608" s="15">
        <f>IF(B608="","",IF(H608&lt;&gt;"","Sale "&amp;H608,IF(I608&lt;&gt;"","Booking "&amp;I608,IF(E608="Tip","Stylist","Unapplied"))))</f>
        <v>0</v>
      </c>
      <c r="W608" s="39">
        <f>IF(B608="","",IF(G608="","Add - no amount yet",IF(E608="","Add - what was this for?",IF(IF(H608="",FALSE,COUNTIF(Sales!$A$5:$A$1204,H608)=0),"Missing - no sale with that ID",IF(IF(I608="",FALSE,COUNTIF(Appointments!$A$5:$A$1204,I608)=0),"Missing - no booking with that ID",IF(IF(E608="Tip",J608="",FALSE),"Assign - whose tip is it?",IF(IF(E608="Deposit",IF(H608="",I608="",FALSE),FALSE),"Check - deposit not tied to a booking",IF(M608="No","Due - not reconciled yet","OK"))))))))</f>
        <v>0</v>
      </c>
    </row>
    <row r="609" spans="1:23">
      <c r="A609" s="28">
        <f>IF(B609="","",PaymentPrefix&amp;TEXT(ROW()-4,"0000"))</f>
        <v>0</v>
      </c>
      <c r="D609" s="15">
        <f>IF(C609="","",IFERROR(INDEX(Clients!$B$5:$B$504,MATCH(C609,Clients!$A$5:$A$504,0)),"Walk-in"))</f>
        <v>0</v>
      </c>
      <c r="K609" s="15">
        <f>IF(J609="","",IFERROR(INDEX(Staff!$B$5:$B$44,MATCH(J609,Staff!$A$5:$A$44,0)),""))</f>
        <v>0</v>
      </c>
      <c r="O609" s="15">
        <f>IF(B609="","",TEXT(B609,"yyyy-mm"))</f>
        <v>0</v>
      </c>
      <c r="P609" s="25">
        <f>IF(B609="","",WEEKNUM(B609,2))</f>
        <v>0</v>
      </c>
      <c r="Q609" s="38">
        <f>IF(B609="","",IF(E609="Tip","No",IF(E609="Refund","No","Yes")))</f>
        <v>0</v>
      </c>
      <c r="R609" s="25">
        <f>IF(B609="","",IF(E609="Refund",-1,1))</f>
        <v>0</v>
      </c>
      <c r="S609" s="26">
        <f>IF(B609="","",IF(G609="",0,IF(F609="Card",ROUND(G609*CardFeePercent+CardFeeFixed,2),IF(F609="Online deposit",ROUND(G609*CardFeePercent+CardFeeFixed,2),0))))</f>
        <v>0</v>
      </c>
      <c r="T609" s="26">
        <f>IF(B609="","",ROUND(IF(G609="",0,G609)*R609-S609,2))</f>
        <v>0</v>
      </c>
      <c r="U609" s="38">
        <f>IF(B609="","",IF(E609="Tip","Yes","No"))</f>
        <v>0</v>
      </c>
      <c r="V609" s="15">
        <f>IF(B609="","",IF(H609&lt;&gt;"","Sale "&amp;H609,IF(I609&lt;&gt;"","Booking "&amp;I609,IF(E609="Tip","Stylist","Unapplied"))))</f>
        <v>0</v>
      </c>
      <c r="W609" s="39">
        <f>IF(B609="","",IF(G609="","Add - no amount yet",IF(E609="","Add - what was this for?",IF(IF(H609="",FALSE,COUNTIF(Sales!$A$5:$A$1204,H609)=0),"Missing - no sale with that ID",IF(IF(I609="",FALSE,COUNTIF(Appointments!$A$5:$A$1204,I609)=0),"Missing - no booking with that ID",IF(IF(E609="Tip",J609="",FALSE),"Assign - whose tip is it?",IF(IF(E609="Deposit",IF(H609="",I609="",FALSE),FALSE),"Check - deposit not tied to a booking",IF(M609="No","Due - not reconciled yet","OK"))))))))</f>
        <v>0</v>
      </c>
    </row>
    <row r="610" spans="1:23">
      <c r="A610" s="28">
        <f>IF(B610="","",PaymentPrefix&amp;TEXT(ROW()-4,"0000"))</f>
        <v>0</v>
      </c>
      <c r="D610" s="15">
        <f>IF(C610="","",IFERROR(INDEX(Clients!$B$5:$B$504,MATCH(C610,Clients!$A$5:$A$504,0)),"Walk-in"))</f>
        <v>0</v>
      </c>
      <c r="K610" s="15">
        <f>IF(J610="","",IFERROR(INDEX(Staff!$B$5:$B$44,MATCH(J610,Staff!$A$5:$A$44,0)),""))</f>
        <v>0</v>
      </c>
      <c r="O610" s="15">
        <f>IF(B610="","",TEXT(B610,"yyyy-mm"))</f>
        <v>0</v>
      </c>
      <c r="P610" s="25">
        <f>IF(B610="","",WEEKNUM(B610,2))</f>
        <v>0</v>
      </c>
      <c r="Q610" s="38">
        <f>IF(B610="","",IF(E610="Tip","No",IF(E610="Refund","No","Yes")))</f>
        <v>0</v>
      </c>
      <c r="R610" s="25">
        <f>IF(B610="","",IF(E610="Refund",-1,1))</f>
        <v>0</v>
      </c>
      <c r="S610" s="26">
        <f>IF(B610="","",IF(G610="",0,IF(F610="Card",ROUND(G610*CardFeePercent+CardFeeFixed,2),IF(F610="Online deposit",ROUND(G610*CardFeePercent+CardFeeFixed,2),0))))</f>
        <v>0</v>
      </c>
      <c r="T610" s="26">
        <f>IF(B610="","",ROUND(IF(G610="",0,G610)*R610-S610,2))</f>
        <v>0</v>
      </c>
      <c r="U610" s="38">
        <f>IF(B610="","",IF(E610="Tip","Yes","No"))</f>
        <v>0</v>
      </c>
      <c r="V610" s="15">
        <f>IF(B610="","",IF(H610&lt;&gt;"","Sale "&amp;H610,IF(I610&lt;&gt;"","Booking "&amp;I610,IF(E610="Tip","Stylist","Unapplied"))))</f>
        <v>0</v>
      </c>
      <c r="W610" s="39">
        <f>IF(B610="","",IF(G610="","Add - no amount yet",IF(E610="","Add - what was this for?",IF(IF(H610="",FALSE,COUNTIF(Sales!$A$5:$A$1204,H610)=0),"Missing - no sale with that ID",IF(IF(I610="",FALSE,COUNTIF(Appointments!$A$5:$A$1204,I610)=0),"Missing - no booking with that ID",IF(IF(E610="Tip",J610="",FALSE),"Assign - whose tip is it?",IF(IF(E610="Deposit",IF(H610="",I610="",FALSE),FALSE),"Check - deposit not tied to a booking",IF(M610="No","Due - not reconciled yet","OK"))))))))</f>
        <v>0</v>
      </c>
    </row>
    <row r="611" spans="1:23">
      <c r="A611" s="28">
        <f>IF(B611="","",PaymentPrefix&amp;TEXT(ROW()-4,"0000"))</f>
        <v>0</v>
      </c>
      <c r="D611" s="15">
        <f>IF(C611="","",IFERROR(INDEX(Clients!$B$5:$B$504,MATCH(C611,Clients!$A$5:$A$504,0)),"Walk-in"))</f>
        <v>0</v>
      </c>
      <c r="K611" s="15">
        <f>IF(J611="","",IFERROR(INDEX(Staff!$B$5:$B$44,MATCH(J611,Staff!$A$5:$A$44,0)),""))</f>
        <v>0</v>
      </c>
      <c r="O611" s="15">
        <f>IF(B611="","",TEXT(B611,"yyyy-mm"))</f>
        <v>0</v>
      </c>
      <c r="P611" s="25">
        <f>IF(B611="","",WEEKNUM(B611,2))</f>
        <v>0</v>
      </c>
      <c r="Q611" s="38">
        <f>IF(B611="","",IF(E611="Tip","No",IF(E611="Refund","No","Yes")))</f>
        <v>0</v>
      </c>
      <c r="R611" s="25">
        <f>IF(B611="","",IF(E611="Refund",-1,1))</f>
        <v>0</v>
      </c>
      <c r="S611" s="26">
        <f>IF(B611="","",IF(G611="",0,IF(F611="Card",ROUND(G611*CardFeePercent+CardFeeFixed,2),IF(F611="Online deposit",ROUND(G611*CardFeePercent+CardFeeFixed,2),0))))</f>
        <v>0</v>
      </c>
      <c r="T611" s="26">
        <f>IF(B611="","",ROUND(IF(G611="",0,G611)*R611-S611,2))</f>
        <v>0</v>
      </c>
      <c r="U611" s="38">
        <f>IF(B611="","",IF(E611="Tip","Yes","No"))</f>
        <v>0</v>
      </c>
      <c r="V611" s="15">
        <f>IF(B611="","",IF(H611&lt;&gt;"","Sale "&amp;H611,IF(I611&lt;&gt;"","Booking "&amp;I611,IF(E611="Tip","Stylist","Unapplied"))))</f>
        <v>0</v>
      </c>
      <c r="W611" s="39">
        <f>IF(B611="","",IF(G611="","Add - no amount yet",IF(E611="","Add - what was this for?",IF(IF(H611="",FALSE,COUNTIF(Sales!$A$5:$A$1204,H611)=0),"Missing - no sale with that ID",IF(IF(I611="",FALSE,COUNTIF(Appointments!$A$5:$A$1204,I611)=0),"Missing - no booking with that ID",IF(IF(E611="Tip",J611="",FALSE),"Assign - whose tip is it?",IF(IF(E611="Deposit",IF(H611="",I611="",FALSE),FALSE),"Check - deposit not tied to a booking",IF(M611="No","Due - not reconciled yet","OK"))))))))</f>
        <v>0</v>
      </c>
    </row>
    <row r="612" spans="1:23">
      <c r="A612" s="28">
        <f>IF(B612="","",PaymentPrefix&amp;TEXT(ROW()-4,"0000"))</f>
        <v>0</v>
      </c>
      <c r="D612" s="15">
        <f>IF(C612="","",IFERROR(INDEX(Clients!$B$5:$B$504,MATCH(C612,Clients!$A$5:$A$504,0)),"Walk-in"))</f>
        <v>0</v>
      </c>
      <c r="K612" s="15">
        <f>IF(J612="","",IFERROR(INDEX(Staff!$B$5:$B$44,MATCH(J612,Staff!$A$5:$A$44,0)),""))</f>
        <v>0</v>
      </c>
      <c r="O612" s="15">
        <f>IF(B612="","",TEXT(B612,"yyyy-mm"))</f>
        <v>0</v>
      </c>
      <c r="P612" s="25">
        <f>IF(B612="","",WEEKNUM(B612,2))</f>
        <v>0</v>
      </c>
      <c r="Q612" s="38">
        <f>IF(B612="","",IF(E612="Tip","No",IF(E612="Refund","No","Yes")))</f>
        <v>0</v>
      </c>
      <c r="R612" s="25">
        <f>IF(B612="","",IF(E612="Refund",-1,1))</f>
        <v>0</v>
      </c>
      <c r="S612" s="26">
        <f>IF(B612="","",IF(G612="",0,IF(F612="Card",ROUND(G612*CardFeePercent+CardFeeFixed,2),IF(F612="Online deposit",ROUND(G612*CardFeePercent+CardFeeFixed,2),0))))</f>
        <v>0</v>
      </c>
      <c r="T612" s="26">
        <f>IF(B612="","",ROUND(IF(G612="",0,G612)*R612-S612,2))</f>
        <v>0</v>
      </c>
      <c r="U612" s="38">
        <f>IF(B612="","",IF(E612="Tip","Yes","No"))</f>
        <v>0</v>
      </c>
      <c r="V612" s="15">
        <f>IF(B612="","",IF(H612&lt;&gt;"","Sale "&amp;H612,IF(I612&lt;&gt;"","Booking "&amp;I612,IF(E612="Tip","Stylist","Unapplied"))))</f>
        <v>0</v>
      </c>
      <c r="W612" s="39">
        <f>IF(B612="","",IF(G612="","Add - no amount yet",IF(E612="","Add - what was this for?",IF(IF(H612="",FALSE,COUNTIF(Sales!$A$5:$A$1204,H612)=0),"Missing - no sale with that ID",IF(IF(I612="",FALSE,COUNTIF(Appointments!$A$5:$A$1204,I612)=0),"Missing - no booking with that ID",IF(IF(E612="Tip",J612="",FALSE),"Assign - whose tip is it?",IF(IF(E612="Deposit",IF(H612="",I612="",FALSE),FALSE),"Check - deposit not tied to a booking",IF(M612="No","Due - not reconciled yet","OK"))))))))</f>
        <v>0</v>
      </c>
    </row>
    <row r="613" spans="1:23">
      <c r="A613" s="28">
        <f>IF(B613="","",PaymentPrefix&amp;TEXT(ROW()-4,"0000"))</f>
        <v>0</v>
      </c>
      <c r="D613" s="15">
        <f>IF(C613="","",IFERROR(INDEX(Clients!$B$5:$B$504,MATCH(C613,Clients!$A$5:$A$504,0)),"Walk-in"))</f>
        <v>0</v>
      </c>
      <c r="K613" s="15">
        <f>IF(J613="","",IFERROR(INDEX(Staff!$B$5:$B$44,MATCH(J613,Staff!$A$5:$A$44,0)),""))</f>
        <v>0</v>
      </c>
      <c r="O613" s="15">
        <f>IF(B613="","",TEXT(B613,"yyyy-mm"))</f>
        <v>0</v>
      </c>
      <c r="P613" s="25">
        <f>IF(B613="","",WEEKNUM(B613,2))</f>
        <v>0</v>
      </c>
      <c r="Q613" s="38">
        <f>IF(B613="","",IF(E613="Tip","No",IF(E613="Refund","No","Yes")))</f>
        <v>0</v>
      </c>
      <c r="R613" s="25">
        <f>IF(B613="","",IF(E613="Refund",-1,1))</f>
        <v>0</v>
      </c>
      <c r="S613" s="26">
        <f>IF(B613="","",IF(G613="",0,IF(F613="Card",ROUND(G613*CardFeePercent+CardFeeFixed,2),IF(F613="Online deposit",ROUND(G613*CardFeePercent+CardFeeFixed,2),0))))</f>
        <v>0</v>
      </c>
      <c r="T613" s="26">
        <f>IF(B613="","",ROUND(IF(G613="",0,G613)*R613-S613,2))</f>
        <v>0</v>
      </c>
      <c r="U613" s="38">
        <f>IF(B613="","",IF(E613="Tip","Yes","No"))</f>
        <v>0</v>
      </c>
      <c r="V613" s="15">
        <f>IF(B613="","",IF(H613&lt;&gt;"","Sale "&amp;H613,IF(I613&lt;&gt;"","Booking "&amp;I613,IF(E613="Tip","Stylist","Unapplied"))))</f>
        <v>0</v>
      </c>
      <c r="W613" s="39">
        <f>IF(B613="","",IF(G613="","Add - no amount yet",IF(E613="","Add - what was this for?",IF(IF(H613="",FALSE,COUNTIF(Sales!$A$5:$A$1204,H613)=0),"Missing - no sale with that ID",IF(IF(I613="",FALSE,COUNTIF(Appointments!$A$5:$A$1204,I613)=0),"Missing - no booking with that ID",IF(IF(E613="Tip",J613="",FALSE),"Assign - whose tip is it?",IF(IF(E613="Deposit",IF(H613="",I613="",FALSE),FALSE),"Check - deposit not tied to a booking",IF(M613="No","Due - not reconciled yet","OK"))))))))</f>
        <v>0</v>
      </c>
    </row>
    <row r="614" spans="1:23">
      <c r="A614" s="28">
        <f>IF(B614="","",PaymentPrefix&amp;TEXT(ROW()-4,"0000"))</f>
        <v>0</v>
      </c>
      <c r="D614" s="15">
        <f>IF(C614="","",IFERROR(INDEX(Clients!$B$5:$B$504,MATCH(C614,Clients!$A$5:$A$504,0)),"Walk-in"))</f>
        <v>0</v>
      </c>
      <c r="K614" s="15">
        <f>IF(J614="","",IFERROR(INDEX(Staff!$B$5:$B$44,MATCH(J614,Staff!$A$5:$A$44,0)),""))</f>
        <v>0</v>
      </c>
      <c r="O614" s="15">
        <f>IF(B614="","",TEXT(B614,"yyyy-mm"))</f>
        <v>0</v>
      </c>
      <c r="P614" s="25">
        <f>IF(B614="","",WEEKNUM(B614,2))</f>
        <v>0</v>
      </c>
      <c r="Q614" s="38">
        <f>IF(B614="","",IF(E614="Tip","No",IF(E614="Refund","No","Yes")))</f>
        <v>0</v>
      </c>
      <c r="R614" s="25">
        <f>IF(B614="","",IF(E614="Refund",-1,1))</f>
        <v>0</v>
      </c>
      <c r="S614" s="26">
        <f>IF(B614="","",IF(G614="",0,IF(F614="Card",ROUND(G614*CardFeePercent+CardFeeFixed,2),IF(F614="Online deposit",ROUND(G614*CardFeePercent+CardFeeFixed,2),0))))</f>
        <v>0</v>
      </c>
      <c r="T614" s="26">
        <f>IF(B614="","",ROUND(IF(G614="",0,G614)*R614-S614,2))</f>
        <v>0</v>
      </c>
      <c r="U614" s="38">
        <f>IF(B614="","",IF(E614="Tip","Yes","No"))</f>
        <v>0</v>
      </c>
      <c r="V614" s="15">
        <f>IF(B614="","",IF(H614&lt;&gt;"","Sale "&amp;H614,IF(I614&lt;&gt;"","Booking "&amp;I614,IF(E614="Tip","Stylist","Unapplied"))))</f>
        <v>0</v>
      </c>
      <c r="W614" s="39">
        <f>IF(B614="","",IF(G614="","Add - no amount yet",IF(E614="","Add - what was this for?",IF(IF(H614="",FALSE,COUNTIF(Sales!$A$5:$A$1204,H614)=0),"Missing - no sale with that ID",IF(IF(I614="",FALSE,COUNTIF(Appointments!$A$5:$A$1204,I614)=0),"Missing - no booking with that ID",IF(IF(E614="Tip",J614="",FALSE),"Assign - whose tip is it?",IF(IF(E614="Deposit",IF(H614="",I614="",FALSE),FALSE),"Check - deposit not tied to a booking",IF(M614="No","Due - not reconciled yet","OK"))))))))</f>
        <v>0</v>
      </c>
    </row>
    <row r="615" spans="1:23">
      <c r="A615" s="28">
        <f>IF(B615="","",PaymentPrefix&amp;TEXT(ROW()-4,"0000"))</f>
        <v>0</v>
      </c>
      <c r="D615" s="15">
        <f>IF(C615="","",IFERROR(INDEX(Clients!$B$5:$B$504,MATCH(C615,Clients!$A$5:$A$504,0)),"Walk-in"))</f>
        <v>0</v>
      </c>
      <c r="K615" s="15">
        <f>IF(J615="","",IFERROR(INDEX(Staff!$B$5:$B$44,MATCH(J615,Staff!$A$5:$A$44,0)),""))</f>
        <v>0</v>
      </c>
      <c r="O615" s="15">
        <f>IF(B615="","",TEXT(B615,"yyyy-mm"))</f>
        <v>0</v>
      </c>
      <c r="P615" s="25">
        <f>IF(B615="","",WEEKNUM(B615,2))</f>
        <v>0</v>
      </c>
      <c r="Q615" s="38">
        <f>IF(B615="","",IF(E615="Tip","No",IF(E615="Refund","No","Yes")))</f>
        <v>0</v>
      </c>
      <c r="R615" s="25">
        <f>IF(B615="","",IF(E615="Refund",-1,1))</f>
        <v>0</v>
      </c>
      <c r="S615" s="26">
        <f>IF(B615="","",IF(G615="",0,IF(F615="Card",ROUND(G615*CardFeePercent+CardFeeFixed,2),IF(F615="Online deposit",ROUND(G615*CardFeePercent+CardFeeFixed,2),0))))</f>
        <v>0</v>
      </c>
      <c r="T615" s="26">
        <f>IF(B615="","",ROUND(IF(G615="",0,G615)*R615-S615,2))</f>
        <v>0</v>
      </c>
      <c r="U615" s="38">
        <f>IF(B615="","",IF(E615="Tip","Yes","No"))</f>
        <v>0</v>
      </c>
      <c r="V615" s="15">
        <f>IF(B615="","",IF(H615&lt;&gt;"","Sale "&amp;H615,IF(I615&lt;&gt;"","Booking "&amp;I615,IF(E615="Tip","Stylist","Unapplied"))))</f>
        <v>0</v>
      </c>
      <c r="W615" s="39">
        <f>IF(B615="","",IF(G615="","Add - no amount yet",IF(E615="","Add - what was this for?",IF(IF(H615="",FALSE,COUNTIF(Sales!$A$5:$A$1204,H615)=0),"Missing - no sale with that ID",IF(IF(I615="",FALSE,COUNTIF(Appointments!$A$5:$A$1204,I615)=0),"Missing - no booking with that ID",IF(IF(E615="Tip",J615="",FALSE),"Assign - whose tip is it?",IF(IF(E615="Deposit",IF(H615="",I615="",FALSE),FALSE),"Check - deposit not tied to a booking",IF(M615="No","Due - not reconciled yet","OK"))))))))</f>
        <v>0</v>
      </c>
    </row>
    <row r="616" spans="1:23">
      <c r="A616" s="28">
        <f>IF(B616="","",PaymentPrefix&amp;TEXT(ROW()-4,"0000"))</f>
        <v>0</v>
      </c>
      <c r="D616" s="15">
        <f>IF(C616="","",IFERROR(INDEX(Clients!$B$5:$B$504,MATCH(C616,Clients!$A$5:$A$504,0)),"Walk-in"))</f>
        <v>0</v>
      </c>
      <c r="K616" s="15">
        <f>IF(J616="","",IFERROR(INDEX(Staff!$B$5:$B$44,MATCH(J616,Staff!$A$5:$A$44,0)),""))</f>
        <v>0</v>
      </c>
      <c r="O616" s="15">
        <f>IF(B616="","",TEXT(B616,"yyyy-mm"))</f>
        <v>0</v>
      </c>
      <c r="P616" s="25">
        <f>IF(B616="","",WEEKNUM(B616,2))</f>
        <v>0</v>
      </c>
      <c r="Q616" s="38">
        <f>IF(B616="","",IF(E616="Tip","No",IF(E616="Refund","No","Yes")))</f>
        <v>0</v>
      </c>
      <c r="R616" s="25">
        <f>IF(B616="","",IF(E616="Refund",-1,1))</f>
        <v>0</v>
      </c>
      <c r="S616" s="26">
        <f>IF(B616="","",IF(G616="",0,IF(F616="Card",ROUND(G616*CardFeePercent+CardFeeFixed,2),IF(F616="Online deposit",ROUND(G616*CardFeePercent+CardFeeFixed,2),0))))</f>
        <v>0</v>
      </c>
      <c r="T616" s="26">
        <f>IF(B616="","",ROUND(IF(G616="",0,G616)*R616-S616,2))</f>
        <v>0</v>
      </c>
      <c r="U616" s="38">
        <f>IF(B616="","",IF(E616="Tip","Yes","No"))</f>
        <v>0</v>
      </c>
      <c r="V616" s="15">
        <f>IF(B616="","",IF(H616&lt;&gt;"","Sale "&amp;H616,IF(I616&lt;&gt;"","Booking "&amp;I616,IF(E616="Tip","Stylist","Unapplied"))))</f>
        <v>0</v>
      </c>
      <c r="W616" s="39">
        <f>IF(B616="","",IF(G616="","Add - no amount yet",IF(E616="","Add - what was this for?",IF(IF(H616="",FALSE,COUNTIF(Sales!$A$5:$A$1204,H616)=0),"Missing - no sale with that ID",IF(IF(I616="",FALSE,COUNTIF(Appointments!$A$5:$A$1204,I616)=0),"Missing - no booking with that ID",IF(IF(E616="Tip",J616="",FALSE),"Assign - whose tip is it?",IF(IF(E616="Deposit",IF(H616="",I616="",FALSE),FALSE),"Check - deposit not tied to a booking",IF(M616="No","Due - not reconciled yet","OK"))))))))</f>
        <v>0</v>
      </c>
    </row>
    <row r="617" spans="1:23">
      <c r="A617" s="28">
        <f>IF(B617="","",PaymentPrefix&amp;TEXT(ROW()-4,"0000"))</f>
        <v>0</v>
      </c>
      <c r="D617" s="15">
        <f>IF(C617="","",IFERROR(INDEX(Clients!$B$5:$B$504,MATCH(C617,Clients!$A$5:$A$504,0)),"Walk-in"))</f>
        <v>0</v>
      </c>
      <c r="K617" s="15">
        <f>IF(J617="","",IFERROR(INDEX(Staff!$B$5:$B$44,MATCH(J617,Staff!$A$5:$A$44,0)),""))</f>
        <v>0</v>
      </c>
      <c r="O617" s="15">
        <f>IF(B617="","",TEXT(B617,"yyyy-mm"))</f>
        <v>0</v>
      </c>
      <c r="P617" s="25">
        <f>IF(B617="","",WEEKNUM(B617,2))</f>
        <v>0</v>
      </c>
      <c r="Q617" s="38">
        <f>IF(B617="","",IF(E617="Tip","No",IF(E617="Refund","No","Yes")))</f>
        <v>0</v>
      </c>
      <c r="R617" s="25">
        <f>IF(B617="","",IF(E617="Refund",-1,1))</f>
        <v>0</v>
      </c>
      <c r="S617" s="26">
        <f>IF(B617="","",IF(G617="",0,IF(F617="Card",ROUND(G617*CardFeePercent+CardFeeFixed,2),IF(F617="Online deposit",ROUND(G617*CardFeePercent+CardFeeFixed,2),0))))</f>
        <v>0</v>
      </c>
      <c r="T617" s="26">
        <f>IF(B617="","",ROUND(IF(G617="",0,G617)*R617-S617,2))</f>
        <v>0</v>
      </c>
      <c r="U617" s="38">
        <f>IF(B617="","",IF(E617="Tip","Yes","No"))</f>
        <v>0</v>
      </c>
      <c r="V617" s="15">
        <f>IF(B617="","",IF(H617&lt;&gt;"","Sale "&amp;H617,IF(I617&lt;&gt;"","Booking "&amp;I617,IF(E617="Tip","Stylist","Unapplied"))))</f>
        <v>0</v>
      </c>
      <c r="W617" s="39">
        <f>IF(B617="","",IF(G617="","Add - no amount yet",IF(E617="","Add - what was this for?",IF(IF(H617="",FALSE,COUNTIF(Sales!$A$5:$A$1204,H617)=0),"Missing - no sale with that ID",IF(IF(I617="",FALSE,COUNTIF(Appointments!$A$5:$A$1204,I617)=0),"Missing - no booking with that ID",IF(IF(E617="Tip",J617="",FALSE),"Assign - whose tip is it?",IF(IF(E617="Deposit",IF(H617="",I617="",FALSE),FALSE),"Check - deposit not tied to a booking",IF(M617="No","Due - not reconciled yet","OK"))))))))</f>
        <v>0</v>
      </c>
    </row>
    <row r="618" spans="1:23">
      <c r="A618" s="28">
        <f>IF(B618="","",PaymentPrefix&amp;TEXT(ROW()-4,"0000"))</f>
        <v>0</v>
      </c>
      <c r="D618" s="15">
        <f>IF(C618="","",IFERROR(INDEX(Clients!$B$5:$B$504,MATCH(C618,Clients!$A$5:$A$504,0)),"Walk-in"))</f>
        <v>0</v>
      </c>
      <c r="K618" s="15">
        <f>IF(J618="","",IFERROR(INDEX(Staff!$B$5:$B$44,MATCH(J618,Staff!$A$5:$A$44,0)),""))</f>
        <v>0</v>
      </c>
      <c r="O618" s="15">
        <f>IF(B618="","",TEXT(B618,"yyyy-mm"))</f>
        <v>0</v>
      </c>
      <c r="P618" s="25">
        <f>IF(B618="","",WEEKNUM(B618,2))</f>
        <v>0</v>
      </c>
      <c r="Q618" s="38">
        <f>IF(B618="","",IF(E618="Tip","No",IF(E618="Refund","No","Yes")))</f>
        <v>0</v>
      </c>
      <c r="R618" s="25">
        <f>IF(B618="","",IF(E618="Refund",-1,1))</f>
        <v>0</v>
      </c>
      <c r="S618" s="26">
        <f>IF(B618="","",IF(G618="",0,IF(F618="Card",ROUND(G618*CardFeePercent+CardFeeFixed,2),IF(F618="Online deposit",ROUND(G618*CardFeePercent+CardFeeFixed,2),0))))</f>
        <v>0</v>
      </c>
      <c r="T618" s="26">
        <f>IF(B618="","",ROUND(IF(G618="",0,G618)*R618-S618,2))</f>
        <v>0</v>
      </c>
      <c r="U618" s="38">
        <f>IF(B618="","",IF(E618="Tip","Yes","No"))</f>
        <v>0</v>
      </c>
      <c r="V618" s="15">
        <f>IF(B618="","",IF(H618&lt;&gt;"","Sale "&amp;H618,IF(I618&lt;&gt;"","Booking "&amp;I618,IF(E618="Tip","Stylist","Unapplied"))))</f>
        <v>0</v>
      </c>
      <c r="W618" s="39">
        <f>IF(B618="","",IF(G618="","Add - no amount yet",IF(E618="","Add - what was this for?",IF(IF(H618="",FALSE,COUNTIF(Sales!$A$5:$A$1204,H618)=0),"Missing - no sale with that ID",IF(IF(I618="",FALSE,COUNTIF(Appointments!$A$5:$A$1204,I618)=0),"Missing - no booking with that ID",IF(IF(E618="Tip",J618="",FALSE),"Assign - whose tip is it?",IF(IF(E618="Deposit",IF(H618="",I618="",FALSE),FALSE),"Check - deposit not tied to a booking",IF(M618="No","Due - not reconciled yet","OK"))))))))</f>
        <v>0</v>
      </c>
    </row>
    <row r="619" spans="1:23">
      <c r="A619" s="28">
        <f>IF(B619="","",PaymentPrefix&amp;TEXT(ROW()-4,"0000"))</f>
        <v>0</v>
      </c>
      <c r="D619" s="15">
        <f>IF(C619="","",IFERROR(INDEX(Clients!$B$5:$B$504,MATCH(C619,Clients!$A$5:$A$504,0)),"Walk-in"))</f>
        <v>0</v>
      </c>
      <c r="K619" s="15">
        <f>IF(J619="","",IFERROR(INDEX(Staff!$B$5:$B$44,MATCH(J619,Staff!$A$5:$A$44,0)),""))</f>
        <v>0</v>
      </c>
      <c r="O619" s="15">
        <f>IF(B619="","",TEXT(B619,"yyyy-mm"))</f>
        <v>0</v>
      </c>
      <c r="P619" s="25">
        <f>IF(B619="","",WEEKNUM(B619,2))</f>
        <v>0</v>
      </c>
      <c r="Q619" s="38">
        <f>IF(B619="","",IF(E619="Tip","No",IF(E619="Refund","No","Yes")))</f>
        <v>0</v>
      </c>
      <c r="R619" s="25">
        <f>IF(B619="","",IF(E619="Refund",-1,1))</f>
        <v>0</v>
      </c>
      <c r="S619" s="26">
        <f>IF(B619="","",IF(G619="",0,IF(F619="Card",ROUND(G619*CardFeePercent+CardFeeFixed,2),IF(F619="Online deposit",ROUND(G619*CardFeePercent+CardFeeFixed,2),0))))</f>
        <v>0</v>
      </c>
      <c r="T619" s="26">
        <f>IF(B619="","",ROUND(IF(G619="",0,G619)*R619-S619,2))</f>
        <v>0</v>
      </c>
      <c r="U619" s="38">
        <f>IF(B619="","",IF(E619="Tip","Yes","No"))</f>
        <v>0</v>
      </c>
      <c r="V619" s="15">
        <f>IF(B619="","",IF(H619&lt;&gt;"","Sale "&amp;H619,IF(I619&lt;&gt;"","Booking "&amp;I619,IF(E619="Tip","Stylist","Unapplied"))))</f>
        <v>0</v>
      </c>
      <c r="W619" s="39">
        <f>IF(B619="","",IF(G619="","Add - no amount yet",IF(E619="","Add - what was this for?",IF(IF(H619="",FALSE,COUNTIF(Sales!$A$5:$A$1204,H619)=0),"Missing - no sale with that ID",IF(IF(I619="",FALSE,COUNTIF(Appointments!$A$5:$A$1204,I619)=0),"Missing - no booking with that ID",IF(IF(E619="Tip",J619="",FALSE),"Assign - whose tip is it?",IF(IF(E619="Deposit",IF(H619="",I619="",FALSE),FALSE),"Check - deposit not tied to a booking",IF(M619="No","Due - not reconciled yet","OK"))))))))</f>
        <v>0</v>
      </c>
    </row>
    <row r="620" spans="1:23">
      <c r="A620" s="28">
        <f>IF(B620="","",PaymentPrefix&amp;TEXT(ROW()-4,"0000"))</f>
        <v>0</v>
      </c>
      <c r="D620" s="15">
        <f>IF(C620="","",IFERROR(INDEX(Clients!$B$5:$B$504,MATCH(C620,Clients!$A$5:$A$504,0)),"Walk-in"))</f>
        <v>0</v>
      </c>
      <c r="K620" s="15">
        <f>IF(J620="","",IFERROR(INDEX(Staff!$B$5:$B$44,MATCH(J620,Staff!$A$5:$A$44,0)),""))</f>
        <v>0</v>
      </c>
      <c r="O620" s="15">
        <f>IF(B620="","",TEXT(B620,"yyyy-mm"))</f>
        <v>0</v>
      </c>
      <c r="P620" s="25">
        <f>IF(B620="","",WEEKNUM(B620,2))</f>
        <v>0</v>
      </c>
      <c r="Q620" s="38">
        <f>IF(B620="","",IF(E620="Tip","No",IF(E620="Refund","No","Yes")))</f>
        <v>0</v>
      </c>
      <c r="R620" s="25">
        <f>IF(B620="","",IF(E620="Refund",-1,1))</f>
        <v>0</v>
      </c>
      <c r="S620" s="26">
        <f>IF(B620="","",IF(G620="",0,IF(F620="Card",ROUND(G620*CardFeePercent+CardFeeFixed,2),IF(F620="Online deposit",ROUND(G620*CardFeePercent+CardFeeFixed,2),0))))</f>
        <v>0</v>
      </c>
      <c r="T620" s="26">
        <f>IF(B620="","",ROUND(IF(G620="",0,G620)*R620-S620,2))</f>
        <v>0</v>
      </c>
      <c r="U620" s="38">
        <f>IF(B620="","",IF(E620="Tip","Yes","No"))</f>
        <v>0</v>
      </c>
      <c r="V620" s="15">
        <f>IF(B620="","",IF(H620&lt;&gt;"","Sale "&amp;H620,IF(I620&lt;&gt;"","Booking "&amp;I620,IF(E620="Tip","Stylist","Unapplied"))))</f>
        <v>0</v>
      </c>
      <c r="W620" s="39">
        <f>IF(B620="","",IF(G620="","Add - no amount yet",IF(E620="","Add - what was this for?",IF(IF(H620="",FALSE,COUNTIF(Sales!$A$5:$A$1204,H620)=0),"Missing - no sale with that ID",IF(IF(I620="",FALSE,COUNTIF(Appointments!$A$5:$A$1204,I620)=0),"Missing - no booking with that ID",IF(IF(E620="Tip",J620="",FALSE),"Assign - whose tip is it?",IF(IF(E620="Deposit",IF(H620="",I620="",FALSE),FALSE),"Check - deposit not tied to a booking",IF(M620="No","Due - not reconciled yet","OK"))))))))</f>
        <v>0</v>
      </c>
    </row>
    <row r="621" spans="1:23">
      <c r="A621" s="28">
        <f>IF(B621="","",PaymentPrefix&amp;TEXT(ROW()-4,"0000"))</f>
        <v>0</v>
      </c>
      <c r="D621" s="15">
        <f>IF(C621="","",IFERROR(INDEX(Clients!$B$5:$B$504,MATCH(C621,Clients!$A$5:$A$504,0)),"Walk-in"))</f>
        <v>0</v>
      </c>
      <c r="K621" s="15">
        <f>IF(J621="","",IFERROR(INDEX(Staff!$B$5:$B$44,MATCH(J621,Staff!$A$5:$A$44,0)),""))</f>
        <v>0</v>
      </c>
      <c r="O621" s="15">
        <f>IF(B621="","",TEXT(B621,"yyyy-mm"))</f>
        <v>0</v>
      </c>
      <c r="P621" s="25">
        <f>IF(B621="","",WEEKNUM(B621,2))</f>
        <v>0</v>
      </c>
      <c r="Q621" s="38">
        <f>IF(B621="","",IF(E621="Tip","No",IF(E621="Refund","No","Yes")))</f>
        <v>0</v>
      </c>
      <c r="R621" s="25">
        <f>IF(B621="","",IF(E621="Refund",-1,1))</f>
        <v>0</v>
      </c>
      <c r="S621" s="26">
        <f>IF(B621="","",IF(G621="",0,IF(F621="Card",ROUND(G621*CardFeePercent+CardFeeFixed,2),IF(F621="Online deposit",ROUND(G621*CardFeePercent+CardFeeFixed,2),0))))</f>
        <v>0</v>
      </c>
      <c r="T621" s="26">
        <f>IF(B621="","",ROUND(IF(G621="",0,G621)*R621-S621,2))</f>
        <v>0</v>
      </c>
      <c r="U621" s="38">
        <f>IF(B621="","",IF(E621="Tip","Yes","No"))</f>
        <v>0</v>
      </c>
      <c r="V621" s="15">
        <f>IF(B621="","",IF(H621&lt;&gt;"","Sale "&amp;H621,IF(I621&lt;&gt;"","Booking "&amp;I621,IF(E621="Tip","Stylist","Unapplied"))))</f>
        <v>0</v>
      </c>
      <c r="W621" s="39">
        <f>IF(B621="","",IF(G621="","Add - no amount yet",IF(E621="","Add - what was this for?",IF(IF(H621="",FALSE,COUNTIF(Sales!$A$5:$A$1204,H621)=0),"Missing - no sale with that ID",IF(IF(I621="",FALSE,COUNTIF(Appointments!$A$5:$A$1204,I621)=0),"Missing - no booking with that ID",IF(IF(E621="Tip",J621="",FALSE),"Assign - whose tip is it?",IF(IF(E621="Deposit",IF(H621="",I621="",FALSE),FALSE),"Check - deposit not tied to a booking",IF(M621="No","Due - not reconciled yet","OK"))))))))</f>
        <v>0</v>
      </c>
    </row>
    <row r="622" spans="1:23">
      <c r="A622" s="28">
        <f>IF(B622="","",PaymentPrefix&amp;TEXT(ROW()-4,"0000"))</f>
        <v>0</v>
      </c>
      <c r="D622" s="15">
        <f>IF(C622="","",IFERROR(INDEX(Clients!$B$5:$B$504,MATCH(C622,Clients!$A$5:$A$504,0)),"Walk-in"))</f>
        <v>0</v>
      </c>
      <c r="K622" s="15">
        <f>IF(J622="","",IFERROR(INDEX(Staff!$B$5:$B$44,MATCH(J622,Staff!$A$5:$A$44,0)),""))</f>
        <v>0</v>
      </c>
      <c r="O622" s="15">
        <f>IF(B622="","",TEXT(B622,"yyyy-mm"))</f>
        <v>0</v>
      </c>
      <c r="P622" s="25">
        <f>IF(B622="","",WEEKNUM(B622,2))</f>
        <v>0</v>
      </c>
      <c r="Q622" s="38">
        <f>IF(B622="","",IF(E622="Tip","No",IF(E622="Refund","No","Yes")))</f>
        <v>0</v>
      </c>
      <c r="R622" s="25">
        <f>IF(B622="","",IF(E622="Refund",-1,1))</f>
        <v>0</v>
      </c>
      <c r="S622" s="26">
        <f>IF(B622="","",IF(G622="",0,IF(F622="Card",ROUND(G622*CardFeePercent+CardFeeFixed,2),IF(F622="Online deposit",ROUND(G622*CardFeePercent+CardFeeFixed,2),0))))</f>
        <v>0</v>
      </c>
      <c r="T622" s="26">
        <f>IF(B622="","",ROUND(IF(G622="",0,G622)*R622-S622,2))</f>
        <v>0</v>
      </c>
      <c r="U622" s="38">
        <f>IF(B622="","",IF(E622="Tip","Yes","No"))</f>
        <v>0</v>
      </c>
      <c r="V622" s="15">
        <f>IF(B622="","",IF(H622&lt;&gt;"","Sale "&amp;H622,IF(I622&lt;&gt;"","Booking "&amp;I622,IF(E622="Tip","Stylist","Unapplied"))))</f>
        <v>0</v>
      </c>
      <c r="W622" s="39">
        <f>IF(B622="","",IF(G622="","Add - no amount yet",IF(E622="","Add - what was this for?",IF(IF(H622="",FALSE,COUNTIF(Sales!$A$5:$A$1204,H622)=0),"Missing - no sale with that ID",IF(IF(I622="",FALSE,COUNTIF(Appointments!$A$5:$A$1204,I622)=0),"Missing - no booking with that ID",IF(IF(E622="Tip",J622="",FALSE),"Assign - whose tip is it?",IF(IF(E622="Deposit",IF(H622="",I622="",FALSE),FALSE),"Check - deposit not tied to a booking",IF(M622="No","Due - not reconciled yet","OK"))))))))</f>
        <v>0</v>
      </c>
    </row>
    <row r="623" spans="1:23">
      <c r="A623" s="28">
        <f>IF(B623="","",PaymentPrefix&amp;TEXT(ROW()-4,"0000"))</f>
        <v>0</v>
      </c>
      <c r="D623" s="15">
        <f>IF(C623="","",IFERROR(INDEX(Clients!$B$5:$B$504,MATCH(C623,Clients!$A$5:$A$504,0)),"Walk-in"))</f>
        <v>0</v>
      </c>
      <c r="K623" s="15">
        <f>IF(J623="","",IFERROR(INDEX(Staff!$B$5:$B$44,MATCH(J623,Staff!$A$5:$A$44,0)),""))</f>
        <v>0</v>
      </c>
      <c r="O623" s="15">
        <f>IF(B623="","",TEXT(B623,"yyyy-mm"))</f>
        <v>0</v>
      </c>
      <c r="P623" s="25">
        <f>IF(B623="","",WEEKNUM(B623,2))</f>
        <v>0</v>
      </c>
      <c r="Q623" s="38">
        <f>IF(B623="","",IF(E623="Tip","No",IF(E623="Refund","No","Yes")))</f>
        <v>0</v>
      </c>
      <c r="R623" s="25">
        <f>IF(B623="","",IF(E623="Refund",-1,1))</f>
        <v>0</v>
      </c>
      <c r="S623" s="26">
        <f>IF(B623="","",IF(G623="",0,IF(F623="Card",ROUND(G623*CardFeePercent+CardFeeFixed,2),IF(F623="Online deposit",ROUND(G623*CardFeePercent+CardFeeFixed,2),0))))</f>
        <v>0</v>
      </c>
      <c r="T623" s="26">
        <f>IF(B623="","",ROUND(IF(G623="",0,G623)*R623-S623,2))</f>
        <v>0</v>
      </c>
      <c r="U623" s="38">
        <f>IF(B623="","",IF(E623="Tip","Yes","No"))</f>
        <v>0</v>
      </c>
      <c r="V623" s="15">
        <f>IF(B623="","",IF(H623&lt;&gt;"","Sale "&amp;H623,IF(I623&lt;&gt;"","Booking "&amp;I623,IF(E623="Tip","Stylist","Unapplied"))))</f>
        <v>0</v>
      </c>
      <c r="W623" s="39">
        <f>IF(B623="","",IF(G623="","Add - no amount yet",IF(E623="","Add - what was this for?",IF(IF(H623="",FALSE,COUNTIF(Sales!$A$5:$A$1204,H623)=0),"Missing - no sale with that ID",IF(IF(I623="",FALSE,COUNTIF(Appointments!$A$5:$A$1204,I623)=0),"Missing - no booking with that ID",IF(IF(E623="Tip",J623="",FALSE),"Assign - whose tip is it?",IF(IF(E623="Deposit",IF(H623="",I623="",FALSE),FALSE),"Check - deposit not tied to a booking",IF(M623="No","Due - not reconciled yet","OK"))))))))</f>
        <v>0</v>
      </c>
    </row>
    <row r="624" spans="1:23">
      <c r="A624" s="28">
        <f>IF(B624="","",PaymentPrefix&amp;TEXT(ROW()-4,"0000"))</f>
        <v>0</v>
      </c>
      <c r="D624" s="15">
        <f>IF(C624="","",IFERROR(INDEX(Clients!$B$5:$B$504,MATCH(C624,Clients!$A$5:$A$504,0)),"Walk-in"))</f>
        <v>0</v>
      </c>
      <c r="K624" s="15">
        <f>IF(J624="","",IFERROR(INDEX(Staff!$B$5:$B$44,MATCH(J624,Staff!$A$5:$A$44,0)),""))</f>
        <v>0</v>
      </c>
      <c r="O624" s="15">
        <f>IF(B624="","",TEXT(B624,"yyyy-mm"))</f>
        <v>0</v>
      </c>
      <c r="P624" s="25">
        <f>IF(B624="","",WEEKNUM(B624,2))</f>
        <v>0</v>
      </c>
      <c r="Q624" s="38">
        <f>IF(B624="","",IF(E624="Tip","No",IF(E624="Refund","No","Yes")))</f>
        <v>0</v>
      </c>
      <c r="R624" s="25">
        <f>IF(B624="","",IF(E624="Refund",-1,1))</f>
        <v>0</v>
      </c>
      <c r="S624" s="26">
        <f>IF(B624="","",IF(G624="",0,IF(F624="Card",ROUND(G624*CardFeePercent+CardFeeFixed,2),IF(F624="Online deposit",ROUND(G624*CardFeePercent+CardFeeFixed,2),0))))</f>
        <v>0</v>
      </c>
      <c r="T624" s="26">
        <f>IF(B624="","",ROUND(IF(G624="",0,G624)*R624-S624,2))</f>
        <v>0</v>
      </c>
      <c r="U624" s="38">
        <f>IF(B624="","",IF(E624="Tip","Yes","No"))</f>
        <v>0</v>
      </c>
      <c r="V624" s="15">
        <f>IF(B624="","",IF(H624&lt;&gt;"","Sale "&amp;H624,IF(I624&lt;&gt;"","Booking "&amp;I624,IF(E624="Tip","Stylist","Unapplied"))))</f>
        <v>0</v>
      </c>
      <c r="W624" s="39">
        <f>IF(B624="","",IF(G624="","Add - no amount yet",IF(E624="","Add - what was this for?",IF(IF(H624="",FALSE,COUNTIF(Sales!$A$5:$A$1204,H624)=0),"Missing - no sale with that ID",IF(IF(I624="",FALSE,COUNTIF(Appointments!$A$5:$A$1204,I624)=0),"Missing - no booking with that ID",IF(IF(E624="Tip",J624="",FALSE),"Assign - whose tip is it?",IF(IF(E624="Deposit",IF(H624="",I624="",FALSE),FALSE),"Check - deposit not tied to a booking",IF(M624="No","Due - not reconciled yet","OK"))))))))</f>
        <v>0</v>
      </c>
    </row>
    <row r="625" spans="1:23">
      <c r="A625" s="28">
        <f>IF(B625="","",PaymentPrefix&amp;TEXT(ROW()-4,"0000"))</f>
        <v>0</v>
      </c>
      <c r="D625" s="15">
        <f>IF(C625="","",IFERROR(INDEX(Clients!$B$5:$B$504,MATCH(C625,Clients!$A$5:$A$504,0)),"Walk-in"))</f>
        <v>0</v>
      </c>
      <c r="K625" s="15">
        <f>IF(J625="","",IFERROR(INDEX(Staff!$B$5:$B$44,MATCH(J625,Staff!$A$5:$A$44,0)),""))</f>
        <v>0</v>
      </c>
      <c r="O625" s="15">
        <f>IF(B625="","",TEXT(B625,"yyyy-mm"))</f>
        <v>0</v>
      </c>
      <c r="P625" s="25">
        <f>IF(B625="","",WEEKNUM(B625,2))</f>
        <v>0</v>
      </c>
      <c r="Q625" s="38">
        <f>IF(B625="","",IF(E625="Tip","No",IF(E625="Refund","No","Yes")))</f>
        <v>0</v>
      </c>
      <c r="R625" s="25">
        <f>IF(B625="","",IF(E625="Refund",-1,1))</f>
        <v>0</v>
      </c>
      <c r="S625" s="26">
        <f>IF(B625="","",IF(G625="",0,IF(F625="Card",ROUND(G625*CardFeePercent+CardFeeFixed,2),IF(F625="Online deposit",ROUND(G625*CardFeePercent+CardFeeFixed,2),0))))</f>
        <v>0</v>
      </c>
      <c r="T625" s="26">
        <f>IF(B625="","",ROUND(IF(G625="",0,G625)*R625-S625,2))</f>
        <v>0</v>
      </c>
      <c r="U625" s="38">
        <f>IF(B625="","",IF(E625="Tip","Yes","No"))</f>
        <v>0</v>
      </c>
      <c r="V625" s="15">
        <f>IF(B625="","",IF(H625&lt;&gt;"","Sale "&amp;H625,IF(I625&lt;&gt;"","Booking "&amp;I625,IF(E625="Tip","Stylist","Unapplied"))))</f>
        <v>0</v>
      </c>
      <c r="W625" s="39">
        <f>IF(B625="","",IF(G625="","Add - no amount yet",IF(E625="","Add - what was this for?",IF(IF(H625="",FALSE,COUNTIF(Sales!$A$5:$A$1204,H625)=0),"Missing - no sale with that ID",IF(IF(I625="",FALSE,COUNTIF(Appointments!$A$5:$A$1204,I625)=0),"Missing - no booking with that ID",IF(IF(E625="Tip",J625="",FALSE),"Assign - whose tip is it?",IF(IF(E625="Deposit",IF(H625="",I625="",FALSE),FALSE),"Check - deposit not tied to a booking",IF(M625="No","Due - not reconciled yet","OK"))))))))</f>
        <v>0</v>
      </c>
    </row>
    <row r="626" spans="1:23">
      <c r="A626" s="28">
        <f>IF(B626="","",PaymentPrefix&amp;TEXT(ROW()-4,"0000"))</f>
        <v>0</v>
      </c>
      <c r="D626" s="15">
        <f>IF(C626="","",IFERROR(INDEX(Clients!$B$5:$B$504,MATCH(C626,Clients!$A$5:$A$504,0)),"Walk-in"))</f>
        <v>0</v>
      </c>
      <c r="K626" s="15">
        <f>IF(J626="","",IFERROR(INDEX(Staff!$B$5:$B$44,MATCH(J626,Staff!$A$5:$A$44,0)),""))</f>
        <v>0</v>
      </c>
      <c r="O626" s="15">
        <f>IF(B626="","",TEXT(B626,"yyyy-mm"))</f>
        <v>0</v>
      </c>
      <c r="P626" s="25">
        <f>IF(B626="","",WEEKNUM(B626,2))</f>
        <v>0</v>
      </c>
      <c r="Q626" s="38">
        <f>IF(B626="","",IF(E626="Tip","No",IF(E626="Refund","No","Yes")))</f>
        <v>0</v>
      </c>
      <c r="R626" s="25">
        <f>IF(B626="","",IF(E626="Refund",-1,1))</f>
        <v>0</v>
      </c>
      <c r="S626" s="26">
        <f>IF(B626="","",IF(G626="",0,IF(F626="Card",ROUND(G626*CardFeePercent+CardFeeFixed,2),IF(F626="Online deposit",ROUND(G626*CardFeePercent+CardFeeFixed,2),0))))</f>
        <v>0</v>
      </c>
      <c r="T626" s="26">
        <f>IF(B626="","",ROUND(IF(G626="",0,G626)*R626-S626,2))</f>
        <v>0</v>
      </c>
      <c r="U626" s="38">
        <f>IF(B626="","",IF(E626="Tip","Yes","No"))</f>
        <v>0</v>
      </c>
      <c r="V626" s="15">
        <f>IF(B626="","",IF(H626&lt;&gt;"","Sale "&amp;H626,IF(I626&lt;&gt;"","Booking "&amp;I626,IF(E626="Tip","Stylist","Unapplied"))))</f>
        <v>0</v>
      </c>
      <c r="W626" s="39">
        <f>IF(B626="","",IF(G626="","Add - no amount yet",IF(E626="","Add - what was this for?",IF(IF(H626="",FALSE,COUNTIF(Sales!$A$5:$A$1204,H626)=0),"Missing - no sale with that ID",IF(IF(I626="",FALSE,COUNTIF(Appointments!$A$5:$A$1204,I626)=0),"Missing - no booking with that ID",IF(IF(E626="Tip",J626="",FALSE),"Assign - whose tip is it?",IF(IF(E626="Deposit",IF(H626="",I626="",FALSE),FALSE),"Check - deposit not tied to a booking",IF(M626="No","Due - not reconciled yet","OK"))))))))</f>
        <v>0</v>
      </c>
    </row>
    <row r="627" spans="1:23">
      <c r="A627" s="28">
        <f>IF(B627="","",PaymentPrefix&amp;TEXT(ROW()-4,"0000"))</f>
        <v>0</v>
      </c>
      <c r="D627" s="15">
        <f>IF(C627="","",IFERROR(INDEX(Clients!$B$5:$B$504,MATCH(C627,Clients!$A$5:$A$504,0)),"Walk-in"))</f>
        <v>0</v>
      </c>
      <c r="K627" s="15">
        <f>IF(J627="","",IFERROR(INDEX(Staff!$B$5:$B$44,MATCH(J627,Staff!$A$5:$A$44,0)),""))</f>
        <v>0</v>
      </c>
      <c r="O627" s="15">
        <f>IF(B627="","",TEXT(B627,"yyyy-mm"))</f>
        <v>0</v>
      </c>
      <c r="P627" s="25">
        <f>IF(B627="","",WEEKNUM(B627,2))</f>
        <v>0</v>
      </c>
      <c r="Q627" s="38">
        <f>IF(B627="","",IF(E627="Tip","No",IF(E627="Refund","No","Yes")))</f>
        <v>0</v>
      </c>
      <c r="R627" s="25">
        <f>IF(B627="","",IF(E627="Refund",-1,1))</f>
        <v>0</v>
      </c>
      <c r="S627" s="26">
        <f>IF(B627="","",IF(G627="",0,IF(F627="Card",ROUND(G627*CardFeePercent+CardFeeFixed,2),IF(F627="Online deposit",ROUND(G627*CardFeePercent+CardFeeFixed,2),0))))</f>
        <v>0</v>
      </c>
      <c r="T627" s="26">
        <f>IF(B627="","",ROUND(IF(G627="",0,G627)*R627-S627,2))</f>
        <v>0</v>
      </c>
      <c r="U627" s="38">
        <f>IF(B627="","",IF(E627="Tip","Yes","No"))</f>
        <v>0</v>
      </c>
      <c r="V627" s="15">
        <f>IF(B627="","",IF(H627&lt;&gt;"","Sale "&amp;H627,IF(I627&lt;&gt;"","Booking "&amp;I627,IF(E627="Tip","Stylist","Unapplied"))))</f>
        <v>0</v>
      </c>
      <c r="W627" s="39">
        <f>IF(B627="","",IF(G627="","Add - no amount yet",IF(E627="","Add - what was this for?",IF(IF(H627="",FALSE,COUNTIF(Sales!$A$5:$A$1204,H627)=0),"Missing - no sale with that ID",IF(IF(I627="",FALSE,COUNTIF(Appointments!$A$5:$A$1204,I627)=0),"Missing - no booking with that ID",IF(IF(E627="Tip",J627="",FALSE),"Assign - whose tip is it?",IF(IF(E627="Deposit",IF(H627="",I627="",FALSE),FALSE),"Check - deposit not tied to a booking",IF(M627="No","Due - not reconciled yet","OK"))))))))</f>
        <v>0</v>
      </c>
    </row>
    <row r="628" spans="1:23">
      <c r="A628" s="28">
        <f>IF(B628="","",PaymentPrefix&amp;TEXT(ROW()-4,"0000"))</f>
        <v>0</v>
      </c>
      <c r="D628" s="15">
        <f>IF(C628="","",IFERROR(INDEX(Clients!$B$5:$B$504,MATCH(C628,Clients!$A$5:$A$504,0)),"Walk-in"))</f>
        <v>0</v>
      </c>
      <c r="K628" s="15">
        <f>IF(J628="","",IFERROR(INDEX(Staff!$B$5:$B$44,MATCH(J628,Staff!$A$5:$A$44,0)),""))</f>
        <v>0</v>
      </c>
      <c r="O628" s="15">
        <f>IF(B628="","",TEXT(B628,"yyyy-mm"))</f>
        <v>0</v>
      </c>
      <c r="P628" s="25">
        <f>IF(B628="","",WEEKNUM(B628,2))</f>
        <v>0</v>
      </c>
      <c r="Q628" s="38">
        <f>IF(B628="","",IF(E628="Tip","No",IF(E628="Refund","No","Yes")))</f>
        <v>0</v>
      </c>
      <c r="R628" s="25">
        <f>IF(B628="","",IF(E628="Refund",-1,1))</f>
        <v>0</v>
      </c>
      <c r="S628" s="26">
        <f>IF(B628="","",IF(G628="",0,IF(F628="Card",ROUND(G628*CardFeePercent+CardFeeFixed,2),IF(F628="Online deposit",ROUND(G628*CardFeePercent+CardFeeFixed,2),0))))</f>
        <v>0</v>
      </c>
      <c r="T628" s="26">
        <f>IF(B628="","",ROUND(IF(G628="",0,G628)*R628-S628,2))</f>
        <v>0</v>
      </c>
      <c r="U628" s="38">
        <f>IF(B628="","",IF(E628="Tip","Yes","No"))</f>
        <v>0</v>
      </c>
      <c r="V628" s="15">
        <f>IF(B628="","",IF(H628&lt;&gt;"","Sale "&amp;H628,IF(I628&lt;&gt;"","Booking "&amp;I628,IF(E628="Tip","Stylist","Unapplied"))))</f>
        <v>0</v>
      </c>
      <c r="W628" s="39">
        <f>IF(B628="","",IF(G628="","Add - no amount yet",IF(E628="","Add - what was this for?",IF(IF(H628="",FALSE,COUNTIF(Sales!$A$5:$A$1204,H628)=0),"Missing - no sale with that ID",IF(IF(I628="",FALSE,COUNTIF(Appointments!$A$5:$A$1204,I628)=0),"Missing - no booking with that ID",IF(IF(E628="Tip",J628="",FALSE),"Assign - whose tip is it?",IF(IF(E628="Deposit",IF(H628="",I628="",FALSE),FALSE),"Check - deposit not tied to a booking",IF(M628="No","Due - not reconciled yet","OK"))))))))</f>
        <v>0</v>
      </c>
    </row>
    <row r="629" spans="1:23">
      <c r="A629" s="28">
        <f>IF(B629="","",PaymentPrefix&amp;TEXT(ROW()-4,"0000"))</f>
        <v>0</v>
      </c>
      <c r="D629" s="15">
        <f>IF(C629="","",IFERROR(INDEX(Clients!$B$5:$B$504,MATCH(C629,Clients!$A$5:$A$504,0)),"Walk-in"))</f>
        <v>0</v>
      </c>
      <c r="K629" s="15">
        <f>IF(J629="","",IFERROR(INDEX(Staff!$B$5:$B$44,MATCH(J629,Staff!$A$5:$A$44,0)),""))</f>
        <v>0</v>
      </c>
      <c r="O629" s="15">
        <f>IF(B629="","",TEXT(B629,"yyyy-mm"))</f>
        <v>0</v>
      </c>
      <c r="P629" s="25">
        <f>IF(B629="","",WEEKNUM(B629,2))</f>
        <v>0</v>
      </c>
      <c r="Q629" s="38">
        <f>IF(B629="","",IF(E629="Tip","No",IF(E629="Refund","No","Yes")))</f>
        <v>0</v>
      </c>
      <c r="R629" s="25">
        <f>IF(B629="","",IF(E629="Refund",-1,1))</f>
        <v>0</v>
      </c>
      <c r="S629" s="26">
        <f>IF(B629="","",IF(G629="",0,IF(F629="Card",ROUND(G629*CardFeePercent+CardFeeFixed,2),IF(F629="Online deposit",ROUND(G629*CardFeePercent+CardFeeFixed,2),0))))</f>
        <v>0</v>
      </c>
      <c r="T629" s="26">
        <f>IF(B629="","",ROUND(IF(G629="",0,G629)*R629-S629,2))</f>
        <v>0</v>
      </c>
      <c r="U629" s="38">
        <f>IF(B629="","",IF(E629="Tip","Yes","No"))</f>
        <v>0</v>
      </c>
      <c r="V629" s="15">
        <f>IF(B629="","",IF(H629&lt;&gt;"","Sale "&amp;H629,IF(I629&lt;&gt;"","Booking "&amp;I629,IF(E629="Tip","Stylist","Unapplied"))))</f>
        <v>0</v>
      </c>
      <c r="W629" s="39">
        <f>IF(B629="","",IF(G629="","Add - no amount yet",IF(E629="","Add - what was this for?",IF(IF(H629="",FALSE,COUNTIF(Sales!$A$5:$A$1204,H629)=0),"Missing - no sale with that ID",IF(IF(I629="",FALSE,COUNTIF(Appointments!$A$5:$A$1204,I629)=0),"Missing - no booking with that ID",IF(IF(E629="Tip",J629="",FALSE),"Assign - whose tip is it?",IF(IF(E629="Deposit",IF(H629="",I629="",FALSE),FALSE),"Check - deposit not tied to a booking",IF(M629="No","Due - not reconciled yet","OK"))))))))</f>
        <v>0</v>
      </c>
    </row>
    <row r="630" spans="1:23">
      <c r="A630" s="28">
        <f>IF(B630="","",PaymentPrefix&amp;TEXT(ROW()-4,"0000"))</f>
        <v>0</v>
      </c>
      <c r="D630" s="15">
        <f>IF(C630="","",IFERROR(INDEX(Clients!$B$5:$B$504,MATCH(C630,Clients!$A$5:$A$504,0)),"Walk-in"))</f>
        <v>0</v>
      </c>
      <c r="K630" s="15">
        <f>IF(J630="","",IFERROR(INDEX(Staff!$B$5:$B$44,MATCH(J630,Staff!$A$5:$A$44,0)),""))</f>
        <v>0</v>
      </c>
      <c r="O630" s="15">
        <f>IF(B630="","",TEXT(B630,"yyyy-mm"))</f>
        <v>0</v>
      </c>
      <c r="P630" s="25">
        <f>IF(B630="","",WEEKNUM(B630,2))</f>
        <v>0</v>
      </c>
      <c r="Q630" s="38">
        <f>IF(B630="","",IF(E630="Tip","No",IF(E630="Refund","No","Yes")))</f>
        <v>0</v>
      </c>
      <c r="R630" s="25">
        <f>IF(B630="","",IF(E630="Refund",-1,1))</f>
        <v>0</v>
      </c>
      <c r="S630" s="26">
        <f>IF(B630="","",IF(G630="",0,IF(F630="Card",ROUND(G630*CardFeePercent+CardFeeFixed,2),IF(F630="Online deposit",ROUND(G630*CardFeePercent+CardFeeFixed,2),0))))</f>
        <v>0</v>
      </c>
      <c r="T630" s="26">
        <f>IF(B630="","",ROUND(IF(G630="",0,G630)*R630-S630,2))</f>
        <v>0</v>
      </c>
      <c r="U630" s="38">
        <f>IF(B630="","",IF(E630="Tip","Yes","No"))</f>
        <v>0</v>
      </c>
      <c r="V630" s="15">
        <f>IF(B630="","",IF(H630&lt;&gt;"","Sale "&amp;H630,IF(I630&lt;&gt;"","Booking "&amp;I630,IF(E630="Tip","Stylist","Unapplied"))))</f>
        <v>0</v>
      </c>
      <c r="W630" s="39">
        <f>IF(B630="","",IF(G630="","Add - no amount yet",IF(E630="","Add - what was this for?",IF(IF(H630="",FALSE,COUNTIF(Sales!$A$5:$A$1204,H630)=0),"Missing - no sale with that ID",IF(IF(I630="",FALSE,COUNTIF(Appointments!$A$5:$A$1204,I630)=0),"Missing - no booking with that ID",IF(IF(E630="Tip",J630="",FALSE),"Assign - whose tip is it?",IF(IF(E630="Deposit",IF(H630="",I630="",FALSE),FALSE),"Check - deposit not tied to a booking",IF(M630="No","Due - not reconciled yet","OK"))))))))</f>
        <v>0</v>
      </c>
    </row>
    <row r="631" spans="1:23">
      <c r="A631" s="28">
        <f>IF(B631="","",PaymentPrefix&amp;TEXT(ROW()-4,"0000"))</f>
        <v>0</v>
      </c>
      <c r="D631" s="15">
        <f>IF(C631="","",IFERROR(INDEX(Clients!$B$5:$B$504,MATCH(C631,Clients!$A$5:$A$504,0)),"Walk-in"))</f>
        <v>0</v>
      </c>
      <c r="K631" s="15">
        <f>IF(J631="","",IFERROR(INDEX(Staff!$B$5:$B$44,MATCH(J631,Staff!$A$5:$A$44,0)),""))</f>
        <v>0</v>
      </c>
      <c r="O631" s="15">
        <f>IF(B631="","",TEXT(B631,"yyyy-mm"))</f>
        <v>0</v>
      </c>
      <c r="P631" s="25">
        <f>IF(B631="","",WEEKNUM(B631,2))</f>
        <v>0</v>
      </c>
      <c r="Q631" s="38">
        <f>IF(B631="","",IF(E631="Tip","No",IF(E631="Refund","No","Yes")))</f>
        <v>0</v>
      </c>
      <c r="R631" s="25">
        <f>IF(B631="","",IF(E631="Refund",-1,1))</f>
        <v>0</v>
      </c>
      <c r="S631" s="26">
        <f>IF(B631="","",IF(G631="",0,IF(F631="Card",ROUND(G631*CardFeePercent+CardFeeFixed,2),IF(F631="Online deposit",ROUND(G631*CardFeePercent+CardFeeFixed,2),0))))</f>
        <v>0</v>
      </c>
      <c r="T631" s="26">
        <f>IF(B631="","",ROUND(IF(G631="",0,G631)*R631-S631,2))</f>
        <v>0</v>
      </c>
      <c r="U631" s="38">
        <f>IF(B631="","",IF(E631="Tip","Yes","No"))</f>
        <v>0</v>
      </c>
      <c r="V631" s="15">
        <f>IF(B631="","",IF(H631&lt;&gt;"","Sale "&amp;H631,IF(I631&lt;&gt;"","Booking "&amp;I631,IF(E631="Tip","Stylist","Unapplied"))))</f>
        <v>0</v>
      </c>
      <c r="W631" s="39">
        <f>IF(B631="","",IF(G631="","Add - no amount yet",IF(E631="","Add - what was this for?",IF(IF(H631="",FALSE,COUNTIF(Sales!$A$5:$A$1204,H631)=0),"Missing - no sale with that ID",IF(IF(I631="",FALSE,COUNTIF(Appointments!$A$5:$A$1204,I631)=0),"Missing - no booking with that ID",IF(IF(E631="Tip",J631="",FALSE),"Assign - whose tip is it?",IF(IF(E631="Deposit",IF(H631="",I631="",FALSE),FALSE),"Check - deposit not tied to a booking",IF(M631="No","Due - not reconciled yet","OK"))))))))</f>
        <v>0</v>
      </c>
    </row>
    <row r="632" spans="1:23">
      <c r="A632" s="28">
        <f>IF(B632="","",PaymentPrefix&amp;TEXT(ROW()-4,"0000"))</f>
        <v>0</v>
      </c>
      <c r="D632" s="15">
        <f>IF(C632="","",IFERROR(INDEX(Clients!$B$5:$B$504,MATCH(C632,Clients!$A$5:$A$504,0)),"Walk-in"))</f>
        <v>0</v>
      </c>
      <c r="K632" s="15">
        <f>IF(J632="","",IFERROR(INDEX(Staff!$B$5:$B$44,MATCH(J632,Staff!$A$5:$A$44,0)),""))</f>
        <v>0</v>
      </c>
      <c r="O632" s="15">
        <f>IF(B632="","",TEXT(B632,"yyyy-mm"))</f>
        <v>0</v>
      </c>
      <c r="P632" s="25">
        <f>IF(B632="","",WEEKNUM(B632,2))</f>
        <v>0</v>
      </c>
      <c r="Q632" s="38">
        <f>IF(B632="","",IF(E632="Tip","No",IF(E632="Refund","No","Yes")))</f>
        <v>0</v>
      </c>
      <c r="R632" s="25">
        <f>IF(B632="","",IF(E632="Refund",-1,1))</f>
        <v>0</v>
      </c>
      <c r="S632" s="26">
        <f>IF(B632="","",IF(G632="",0,IF(F632="Card",ROUND(G632*CardFeePercent+CardFeeFixed,2),IF(F632="Online deposit",ROUND(G632*CardFeePercent+CardFeeFixed,2),0))))</f>
        <v>0</v>
      </c>
      <c r="T632" s="26">
        <f>IF(B632="","",ROUND(IF(G632="",0,G632)*R632-S632,2))</f>
        <v>0</v>
      </c>
      <c r="U632" s="38">
        <f>IF(B632="","",IF(E632="Tip","Yes","No"))</f>
        <v>0</v>
      </c>
      <c r="V632" s="15">
        <f>IF(B632="","",IF(H632&lt;&gt;"","Sale "&amp;H632,IF(I632&lt;&gt;"","Booking "&amp;I632,IF(E632="Tip","Stylist","Unapplied"))))</f>
        <v>0</v>
      </c>
      <c r="W632" s="39">
        <f>IF(B632="","",IF(G632="","Add - no amount yet",IF(E632="","Add - what was this for?",IF(IF(H632="",FALSE,COUNTIF(Sales!$A$5:$A$1204,H632)=0),"Missing - no sale with that ID",IF(IF(I632="",FALSE,COUNTIF(Appointments!$A$5:$A$1204,I632)=0),"Missing - no booking with that ID",IF(IF(E632="Tip",J632="",FALSE),"Assign - whose tip is it?",IF(IF(E632="Deposit",IF(H632="",I632="",FALSE),FALSE),"Check - deposit not tied to a booking",IF(M632="No","Due - not reconciled yet","OK"))))))))</f>
        <v>0</v>
      </c>
    </row>
    <row r="633" spans="1:23">
      <c r="A633" s="28">
        <f>IF(B633="","",PaymentPrefix&amp;TEXT(ROW()-4,"0000"))</f>
        <v>0</v>
      </c>
      <c r="D633" s="15">
        <f>IF(C633="","",IFERROR(INDEX(Clients!$B$5:$B$504,MATCH(C633,Clients!$A$5:$A$504,0)),"Walk-in"))</f>
        <v>0</v>
      </c>
      <c r="K633" s="15">
        <f>IF(J633="","",IFERROR(INDEX(Staff!$B$5:$B$44,MATCH(J633,Staff!$A$5:$A$44,0)),""))</f>
        <v>0</v>
      </c>
      <c r="O633" s="15">
        <f>IF(B633="","",TEXT(B633,"yyyy-mm"))</f>
        <v>0</v>
      </c>
      <c r="P633" s="25">
        <f>IF(B633="","",WEEKNUM(B633,2))</f>
        <v>0</v>
      </c>
      <c r="Q633" s="38">
        <f>IF(B633="","",IF(E633="Tip","No",IF(E633="Refund","No","Yes")))</f>
        <v>0</v>
      </c>
      <c r="R633" s="25">
        <f>IF(B633="","",IF(E633="Refund",-1,1))</f>
        <v>0</v>
      </c>
      <c r="S633" s="26">
        <f>IF(B633="","",IF(G633="",0,IF(F633="Card",ROUND(G633*CardFeePercent+CardFeeFixed,2),IF(F633="Online deposit",ROUND(G633*CardFeePercent+CardFeeFixed,2),0))))</f>
        <v>0</v>
      </c>
      <c r="T633" s="26">
        <f>IF(B633="","",ROUND(IF(G633="",0,G633)*R633-S633,2))</f>
        <v>0</v>
      </c>
      <c r="U633" s="38">
        <f>IF(B633="","",IF(E633="Tip","Yes","No"))</f>
        <v>0</v>
      </c>
      <c r="V633" s="15">
        <f>IF(B633="","",IF(H633&lt;&gt;"","Sale "&amp;H633,IF(I633&lt;&gt;"","Booking "&amp;I633,IF(E633="Tip","Stylist","Unapplied"))))</f>
        <v>0</v>
      </c>
      <c r="W633" s="39">
        <f>IF(B633="","",IF(G633="","Add - no amount yet",IF(E633="","Add - what was this for?",IF(IF(H633="",FALSE,COUNTIF(Sales!$A$5:$A$1204,H633)=0),"Missing - no sale with that ID",IF(IF(I633="",FALSE,COUNTIF(Appointments!$A$5:$A$1204,I633)=0),"Missing - no booking with that ID",IF(IF(E633="Tip",J633="",FALSE),"Assign - whose tip is it?",IF(IF(E633="Deposit",IF(H633="",I633="",FALSE),FALSE),"Check - deposit not tied to a booking",IF(M633="No","Due - not reconciled yet","OK"))))))))</f>
        <v>0</v>
      </c>
    </row>
    <row r="634" spans="1:23">
      <c r="A634" s="28">
        <f>IF(B634="","",PaymentPrefix&amp;TEXT(ROW()-4,"0000"))</f>
        <v>0</v>
      </c>
      <c r="D634" s="15">
        <f>IF(C634="","",IFERROR(INDEX(Clients!$B$5:$B$504,MATCH(C634,Clients!$A$5:$A$504,0)),"Walk-in"))</f>
        <v>0</v>
      </c>
      <c r="K634" s="15">
        <f>IF(J634="","",IFERROR(INDEX(Staff!$B$5:$B$44,MATCH(J634,Staff!$A$5:$A$44,0)),""))</f>
        <v>0</v>
      </c>
      <c r="O634" s="15">
        <f>IF(B634="","",TEXT(B634,"yyyy-mm"))</f>
        <v>0</v>
      </c>
      <c r="P634" s="25">
        <f>IF(B634="","",WEEKNUM(B634,2))</f>
        <v>0</v>
      </c>
      <c r="Q634" s="38">
        <f>IF(B634="","",IF(E634="Tip","No",IF(E634="Refund","No","Yes")))</f>
        <v>0</v>
      </c>
      <c r="R634" s="25">
        <f>IF(B634="","",IF(E634="Refund",-1,1))</f>
        <v>0</v>
      </c>
      <c r="S634" s="26">
        <f>IF(B634="","",IF(G634="",0,IF(F634="Card",ROUND(G634*CardFeePercent+CardFeeFixed,2),IF(F634="Online deposit",ROUND(G634*CardFeePercent+CardFeeFixed,2),0))))</f>
        <v>0</v>
      </c>
      <c r="T634" s="26">
        <f>IF(B634="","",ROUND(IF(G634="",0,G634)*R634-S634,2))</f>
        <v>0</v>
      </c>
      <c r="U634" s="38">
        <f>IF(B634="","",IF(E634="Tip","Yes","No"))</f>
        <v>0</v>
      </c>
      <c r="V634" s="15">
        <f>IF(B634="","",IF(H634&lt;&gt;"","Sale "&amp;H634,IF(I634&lt;&gt;"","Booking "&amp;I634,IF(E634="Tip","Stylist","Unapplied"))))</f>
        <v>0</v>
      </c>
      <c r="W634" s="39">
        <f>IF(B634="","",IF(G634="","Add - no amount yet",IF(E634="","Add - what was this for?",IF(IF(H634="",FALSE,COUNTIF(Sales!$A$5:$A$1204,H634)=0),"Missing - no sale with that ID",IF(IF(I634="",FALSE,COUNTIF(Appointments!$A$5:$A$1204,I634)=0),"Missing - no booking with that ID",IF(IF(E634="Tip",J634="",FALSE),"Assign - whose tip is it?",IF(IF(E634="Deposit",IF(H634="",I634="",FALSE),FALSE),"Check - deposit not tied to a booking",IF(M634="No","Due - not reconciled yet","OK"))))))))</f>
        <v>0</v>
      </c>
    </row>
    <row r="635" spans="1:23">
      <c r="A635" s="28">
        <f>IF(B635="","",PaymentPrefix&amp;TEXT(ROW()-4,"0000"))</f>
        <v>0</v>
      </c>
      <c r="D635" s="15">
        <f>IF(C635="","",IFERROR(INDEX(Clients!$B$5:$B$504,MATCH(C635,Clients!$A$5:$A$504,0)),"Walk-in"))</f>
        <v>0</v>
      </c>
      <c r="K635" s="15">
        <f>IF(J635="","",IFERROR(INDEX(Staff!$B$5:$B$44,MATCH(J635,Staff!$A$5:$A$44,0)),""))</f>
        <v>0</v>
      </c>
      <c r="O635" s="15">
        <f>IF(B635="","",TEXT(B635,"yyyy-mm"))</f>
        <v>0</v>
      </c>
      <c r="P635" s="25">
        <f>IF(B635="","",WEEKNUM(B635,2))</f>
        <v>0</v>
      </c>
      <c r="Q635" s="38">
        <f>IF(B635="","",IF(E635="Tip","No",IF(E635="Refund","No","Yes")))</f>
        <v>0</v>
      </c>
      <c r="R635" s="25">
        <f>IF(B635="","",IF(E635="Refund",-1,1))</f>
        <v>0</v>
      </c>
      <c r="S635" s="26">
        <f>IF(B635="","",IF(G635="",0,IF(F635="Card",ROUND(G635*CardFeePercent+CardFeeFixed,2),IF(F635="Online deposit",ROUND(G635*CardFeePercent+CardFeeFixed,2),0))))</f>
        <v>0</v>
      </c>
      <c r="T635" s="26">
        <f>IF(B635="","",ROUND(IF(G635="",0,G635)*R635-S635,2))</f>
        <v>0</v>
      </c>
      <c r="U635" s="38">
        <f>IF(B635="","",IF(E635="Tip","Yes","No"))</f>
        <v>0</v>
      </c>
      <c r="V635" s="15">
        <f>IF(B635="","",IF(H635&lt;&gt;"","Sale "&amp;H635,IF(I635&lt;&gt;"","Booking "&amp;I635,IF(E635="Tip","Stylist","Unapplied"))))</f>
        <v>0</v>
      </c>
      <c r="W635" s="39">
        <f>IF(B635="","",IF(G635="","Add - no amount yet",IF(E635="","Add - what was this for?",IF(IF(H635="",FALSE,COUNTIF(Sales!$A$5:$A$1204,H635)=0),"Missing - no sale with that ID",IF(IF(I635="",FALSE,COUNTIF(Appointments!$A$5:$A$1204,I635)=0),"Missing - no booking with that ID",IF(IF(E635="Tip",J635="",FALSE),"Assign - whose tip is it?",IF(IF(E635="Deposit",IF(H635="",I635="",FALSE),FALSE),"Check - deposit not tied to a booking",IF(M635="No","Due - not reconciled yet","OK"))))))))</f>
        <v>0</v>
      </c>
    </row>
    <row r="636" spans="1:23">
      <c r="A636" s="28">
        <f>IF(B636="","",PaymentPrefix&amp;TEXT(ROW()-4,"0000"))</f>
        <v>0</v>
      </c>
      <c r="D636" s="15">
        <f>IF(C636="","",IFERROR(INDEX(Clients!$B$5:$B$504,MATCH(C636,Clients!$A$5:$A$504,0)),"Walk-in"))</f>
        <v>0</v>
      </c>
      <c r="K636" s="15">
        <f>IF(J636="","",IFERROR(INDEX(Staff!$B$5:$B$44,MATCH(J636,Staff!$A$5:$A$44,0)),""))</f>
        <v>0</v>
      </c>
      <c r="O636" s="15">
        <f>IF(B636="","",TEXT(B636,"yyyy-mm"))</f>
        <v>0</v>
      </c>
      <c r="P636" s="25">
        <f>IF(B636="","",WEEKNUM(B636,2))</f>
        <v>0</v>
      </c>
      <c r="Q636" s="38">
        <f>IF(B636="","",IF(E636="Tip","No",IF(E636="Refund","No","Yes")))</f>
        <v>0</v>
      </c>
      <c r="R636" s="25">
        <f>IF(B636="","",IF(E636="Refund",-1,1))</f>
        <v>0</v>
      </c>
      <c r="S636" s="26">
        <f>IF(B636="","",IF(G636="",0,IF(F636="Card",ROUND(G636*CardFeePercent+CardFeeFixed,2),IF(F636="Online deposit",ROUND(G636*CardFeePercent+CardFeeFixed,2),0))))</f>
        <v>0</v>
      </c>
      <c r="T636" s="26">
        <f>IF(B636="","",ROUND(IF(G636="",0,G636)*R636-S636,2))</f>
        <v>0</v>
      </c>
      <c r="U636" s="38">
        <f>IF(B636="","",IF(E636="Tip","Yes","No"))</f>
        <v>0</v>
      </c>
      <c r="V636" s="15">
        <f>IF(B636="","",IF(H636&lt;&gt;"","Sale "&amp;H636,IF(I636&lt;&gt;"","Booking "&amp;I636,IF(E636="Tip","Stylist","Unapplied"))))</f>
        <v>0</v>
      </c>
      <c r="W636" s="39">
        <f>IF(B636="","",IF(G636="","Add - no amount yet",IF(E636="","Add - what was this for?",IF(IF(H636="",FALSE,COUNTIF(Sales!$A$5:$A$1204,H636)=0),"Missing - no sale with that ID",IF(IF(I636="",FALSE,COUNTIF(Appointments!$A$5:$A$1204,I636)=0),"Missing - no booking with that ID",IF(IF(E636="Tip",J636="",FALSE),"Assign - whose tip is it?",IF(IF(E636="Deposit",IF(H636="",I636="",FALSE),FALSE),"Check - deposit not tied to a booking",IF(M636="No","Due - not reconciled yet","OK"))))))))</f>
        <v>0</v>
      </c>
    </row>
    <row r="637" spans="1:23">
      <c r="A637" s="28">
        <f>IF(B637="","",PaymentPrefix&amp;TEXT(ROW()-4,"0000"))</f>
        <v>0</v>
      </c>
      <c r="D637" s="15">
        <f>IF(C637="","",IFERROR(INDEX(Clients!$B$5:$B$504,MATCH(C637,Clients!$A$5:$A$504,0)),"Walk-in"))</f>
        <v>0</v>
      </c>
      <c r="K637" s="15">
        <f>IF(J637="","",IFERROR(INDEX(Staff!$B$5:$B$44,MATCH(J637,Staff!$A$5:$A$44,0)),""))</f>
        <v>0</v>
      </c>
      <c r="O637" s="15">
        <f>IF(B637="","",TEXT(B637,"yyyy-mm"))</f>
        <v>0</v>
      </c>
      <c r="P637" s="25">
        <f>IF(B637="","",WEEKNUM(B637,2))</f>
        <v>0</v>
      </c>
      <c r="Q637" s="38">
        <f>IF(B637="","",IF(E637="Tip","No",IF(E637="Refund","No","Yes")))</f>
        <v>0</v>
      </c>
      <c r="R637" s="25">
        <f>IF(B637="","",IF(E637="Refund",-1,1))</f>
        <v>0</v>
      </c>
      <c r="S637" s="26">
        <f>IF(B637="","",IF(G637="",0,IF(F637="Card",ROUND(G637*CardFeePercent+CardFeeFixed,2),IF(F637="Online deposit",ROUND(G637*CardFeePercent+CardFeeFixed,2),0))))</f>
        <v>0</v>
      </c>
      <c r="T637" s="26">
        <f>IF(B637="","",ROUND(IF(G637="",0,G637)*R637-S637,2))</f>
        <v>0</v>
      </c>
      <c r="U637" s="38">
        <f>IF(B637="","",IF(E637="Tip","Yes","No"))</f>
        <v>0</v>
      </c>
      <c r="V637" s="15">
        <f>IF(B637="","",IF(H637&lt;&gt;"","Sale "&amp;H637,IF(I637&lt;&gt;"","Booking "&amp;I637,IF(E637="Tip","Stylist","Unapplied"))))</f>
        <v>0</v>
      </c>
      <c r="W637" s="39">
        <f>IF(B637="","",IF(G637="","Add - no amount yet",IF(E637="","Add - what was this for?",IF(IF(H637="",FALSE,COUNTIF(Sales!$A$5:$A$1204,H637)=0),"Missing - no sale with that ID",IF(IF(I637="",FALSE,COUNTIF(Appointments!$A$5:$A$1204,I637)=0),"Missing - no booking with that ID",IF(IF(E637="Tip",J637="",FALSE),"Assign - whose tip is it?",IF(IF(E637="Deposit",IF(H637="",I637="",FALSE),FALSE),"Check - deposit not tied to a booking",IF(M637="No","Due - not reconciled yet","OK"))))))))</f>
        <v>0</v>
      </c>
    </row>
    <row r="638" spans="1:23">
      <c r="A638" s="28">
        <f>IF(B638="","",PaymentPrefix&amp;TEXT(ROW()-4,"0000"))</f>
        <v>0</v>
      </c>
      <c r="D638" s="15">
        <f>IF(C638="","",IFERROR(INDEX(Clients!$B$5:$B$504,MATCH(C638,Clients!$A$5:$A$504,0)),"Walk-in"))</f>
        <v>0</v>
      </c>
      <c r="K638" s="15">
        <f>IF(J638="","",IFERROR(INDEX(Staff!$B$5:$B$44,MATCH(J638,Staff!$A$5:$A$44,0)),""))</f>
        <v>0</v>
      </c>
      <c r="O638" s="15">
        <f>IF(B638="","",TEXT(B638,"yyyy-mm"))</f>
        <v>0</v>
      </c>
      <c r="P638" s="25">
        <f>IF(B638="","",WEEKNUM(B638,2))</f>
        <v>0</v>
      </c>
      <c r="Q638" s="38">
        <f>IF(B638="","",IF(E638="Tip","No",IF(E638="Refund","No","Yes")))</f>
        <v>0</v>
      </c>
      <c r="R638" s="25">
        <f>IF(B638="","",IF(E638="Refund",-1,1))</f>
        <v>0</v>
      </c>
      <c r="S638" s="26">
        <f>IF(B638="","",IF(G638="",0,IF(F638="Card",ROUND(G638*CardFeePercent+CardFeeFixed,2),IF(F638="Online deposit",ROUND(G638*CardFeePercent+CardFeeFixed,2),0))))</f>
        <v>0</v>
      </c>
      <c r="T638" s="26">
        <f>IF(B638="","",ROUND(IF(G638="",0,G638)*R638-S638,2))</f>
        <v>0</v>
      </c>
      <c r="U638" s="38">
        <f>IF(B638="","",IF(E638="Tip","Yes","No"))</f>
        <v>0</v>
      </c>
      <c r="V638" s="15">
        <f>IF(B638="","",IF(H638&lt;&gt;"","Sale "&amp;H638,IF(I638&lt;&gt;"","Booking "&amp;I638,IF(E638="Tip","Stylist","Unapplied"))))</f>
        <v>0</v>
      </c>
      <c r="W638" s="39">
        <f>IF(B638="","",IF(G638="","Add - no amount yet",IF(E638="","Add - what was this for?",IF(IF(H638="",FALSE,COUNTIF(Sales!$A$5:$A$1204,H638)=0),"Missing - no sale with that ID",IF(IF(I638="",FALSE,COUNTIF(Appointments!$A$5:$A$1204,I638)=0),"Missing - no booking with that ID",IF(IF(E638="Tip",J638="",FALSE),"Assign - whose tip is it?",IF(IF(E638="Deposit",IF(H638="",I638="",FALSE),FALSE),"Check - deposit not tied to a booking",IF(M638="No","Due - not reconciled yet","OK"))))))))</f>
        <v>0</v>
      </c>
    </row>
    <row r="639" spans="1:23">
      <c r="A639" s="28">
        <f>IF(B639="","",PaymentPrefix&amp;TEXT(ROW()-4,"0000"))</f>
        <v>0</v>
      </c>
      <c r="D639" s="15">
        <f>IF(C639="","",IFERROR(INDEX(Clients!$B$5:$B$504,MATCH(C639,Clients!$A$5:$A$504,0)),"Walk-in"))</f>
        <v>0</v>
      </c>
      <c r="K639" s="15">
        <f>IF(J639="","",IFERROR(INDEX(Staff!$B$5:$B$44,MATCH(J639,Staff!$A$5:$A$44,0)),""))</f>
        <v>0</v>
      </c>
      <c r="O639" s="15">
        <f>IF(B639="","",TEXT(B639,"yyyy-mm"))</f>
        <v>0</v>
      </c>
      <c r="P639" s="25">
        <f>IF(B639="","",WEEKNUM(B639,2))</f>
        <v>0</v>
      </c>
      <c r="Q639" s="38">
        <f>IF(B639="","",IF(E639="Tip","No",IF(E639="Refund","No","Yes")))</f>
        <v>0</v>
      </c>
      <c r="R639" s="25">
        <f>IF(B639="","",IF(E639="Refund",-1,1))</f>
        <v>0</v>
      </c>
      <c r="S639" s="26">
        <f>IF(B639="","",IF(G639="",0,IF(F639="Card",ROUND(G639*CardFeePercent+CardFeeFixed,2),IF(F639="Online deposit",ROUND(G639*CardFeePercent+CardFeeFixed,2),0))))</f>
        <v>0</v>
      </c>
      <c r="T639" s="26">
        <f>IF(B639="","",ROUND(IF(G639="",0,G639)*R639-S639,2))</f>
        <v>0</v>
      </c>
      <c r="U639" s="38">
        <f>IF(B639="","",IF(E639="Tip","Yes","No"))</f>
        <v>0</v>
      </c>
      <c r="V639" s="15">
        <f>IF(B639="","",IF(H639&lt;&gt;"","Sale "&amp;H639,IF(I639&lt;&gt;"","Booking "&amp;I639,IF(E639="Tip","Stylist","Unapplied"))))</f>
        <v>0</v>
      </c>
      <c r="W639" s="39">
        <f>IF(B639="","",IF(G639="","Add - no amount yet",IF(E639="","Add - what was this for?",IF(IF(H639="",FALSE,COUNTIF(Sales!$A$5:$A$1204,H639)=0),"Missing - no sale with that ID",IF(IF(I639="",FALSE,COUNTIF(Appointments!$A$5:$A$1204,I639)=0),"Missing - no booking with that ID",IF(IF(E639="Tip",J639="",FALSE),"Assign - whose tip is it?",IF(IF(E639="Deposit",IF(H639="",I639="",FALSE),FALSE),"Check - deposit not tied to a booking",IF(M639="No","Due - not reconciled yet","OK"))))))))</f>
        <v>0</v>
      </c>
    </row>
    <row r="640" spans="1:23">
      <c r="A640" s="28">
        <f>IF(B640="","",PaymentPrefix&amp;TEXT(ROW()-4,"0000"))</f>
        <v>0</v>
      </c>
      <c r="D640" s="15">
        <f>IF(C640="","",IFERROR(INDEX(Clients!$B$5:$B$504,MATCH(C640,Clients!$A$5:$A$504,0)),"Walk-in"))</f>
        <v>0</v>
      </c>
      <c r="K640" s="15">
        <f>IF(J640="","",IFERROR(INDEX(Staff!$B$5:$B$44,MATCH(J640,Staff!$A$5:$A$44,0)),""))</f>
        <v>0</v>
      </c>
      <c r="O640" s="15">
        <f>IF(B640="","",TEXT(B640,"yyyy-mm"))</f>
        <v>0</v>
      </c>
      <c r="P640" s="25">
        <f>IF(B640="","",WEEKNUM(B640,2))</f>
        <v>0</v>
      </c>
      <c r="Q640" s="38">
        <f>IF(B640="","",IF(E640="Tip","No",IF(E640="Refund","No","Yes")))</f>
        <v>0</v>
      </c>
      <c r="R640" s="25">
        <f>IF(B640="","",IF(E640="Refund",-1,1))</f>
        <v>0</v>
      </c>
      <c r="S640" s="26">
        <f>IF(B640="","",IF(G640="",0,IF(F640="Card",ROUND(G640*CardFeePercent+CardFeeFixed,2),IF(F640="Online deposit",ROUND(G640*CardFeePercent+CardFeeFixed,2),0))))</f>
        <v>0</v>
      </c>
      <c r="T640" s="26">
        <f>IF(B640="","",ROUND(IF(G640="",0,G640)*R640-S640,2))</f>
        <v>0</v>
      </c>
      <c r="U640" s="38">
        <f>IF(B640="","",IF(E640="Tip","Yes","No"))</f>
        <v>0</v>
      </c>
      <c r="V640" s="15">
        <f>IF(B640="","",IF(H640&lt;&gt;"","Sale "&amp;H640,IF(I640&lt;&gt;"","Booking "&amp;I640,IF(E640="Tip","Stylist","Unapplied"))))</f>
        <v>0</v>
      </c>
      <c r="W640" s="39">
        <f>IF(B640="","",IF(G640="","Add - no amount yet",IF(E640="","Add - what was this for?",IF(IF(H640="",FALSE,COUNTIF(Sales!$A$5:$A$1204,H640)=0),"Missing - no sale with that ID",IF(IF(I640="",FALSE,COUNTIF(Appointments!$A$5:$A$1204,I640)=0),"Missing - no booking with that ID",IF(IF(E640="Tip",J640="",FALSE),"Assign - whose tip is it?",IF(IF(E640="Deposit",IF(H640="",I640="",FALSE),FALSE),"Check - deposit not tied to a booking",IF(M640="No","Due - not reconciled yet","OK"))))))))</f>
        <v>0</v>
      </c>
    </row>
    <row r="641" spans="1:23">
      <c r="A641" s="28">
        <f>IF(B641="","",PaymentPrefix&amp;TEXT(ROW()-4,"0000"))</f>
        <v>0</v>
      </c>
      <c r="D641" s="15">
        <f>IF(C641="","",IFERROR(INDEX(Clients!$B$5:$B$504,MATCH(C641,Clients!$A$5:$A$504,0)),"Walk-in"))</f>
        <v>0</v>
      </c>
      <c r="K641" s="15">
        <f>IF(J641="","",IFERROR(INDEX(Staff!$B$5:$B$44,MATCH(J641,Staff!$A$5:$A$44,0)),""))</f>
        <v>0</v>
      </c>
      <c r="O641" s="15">
        <f>IF(B641="","",TEXT(B641,"yyyy-mm"))</f>
        <v>0</v>
      </c>
      <c r="P641" s="25">
        <f>IF(B641="","",WEEKNUM(B641,2))</f>
        <v>0</v>
      </c>
      <c r="Q641" s="38">
        <f>IF(B641="","",IF(E641="Tip","No",IF(E641="Refund","No","Yes")))</f>
        <v>0</v>
      </c>
      <c r="R641" s="25">
        <f>IF(B641="","",IF(E641="Refund",-1,1))</f>
        <v>0</v>
      </c>
      <c r="S641" s="26">
        <f>IF(B641="","",IF(G641="",0,IF(F641="Card",ROUND(G641*CardFeePercent+CardFeeFixed,2),IF(F641="Online deposit",ROUND(G641*CardFeePercent+CardFeeFixed,2),0))))</f>
        <v>0</v>
      </c>
      <c r="T641" s="26">
        <f>IF(B641="","",ROUND(IF(G641="",0,G641)*R641-S641,2))</f>
        <v>0</v>
      </c>
      <c r="U641" s="38">
        <f>IF(B641="","",IF(E641="Tip","Yes","No"))</f>
        <v>0</v>
      </c>
      <c r="V641" s="15">
        <f>IF(B641="","",IF(H641&lt;&gt;"","Sale "&amp;H641,IF(I641&lt;&gt;"","Booking "&amp;I641,IF(E641="Tip","Stylist","Unapplied"))))</f>
        <v>0</v>
      </c>
      <c r="W641" s="39">
        <f>IF(B641="","",IF(G641="","Add - no amount yet",IF(E641="","Add - what was this for?",IF(IF(H641="",FALSE,COUNTIF(Sales!$A$5:$A$1204,H641)=0),"Missing - no sale with that ID",IF(IF(I641="",FALSE,COUNTIF(Appointments!$A$5:$A$1204,I641)=0),"Missing - no booking with that ID",IF(IF(E641="Tip",J641="",FALSE),"Assign - whose tip is it?",IF(IF(E641="Deposit",IF(H641="",I641="",FALSE),FALSE),"Check - deposit not tied to a booking",IF(M641="No","Due - not reconciled yet","OK"))))))))</f>
        <v>0</v>
      </c>
    </row>
    <row r="642" spans="1:23">
      <c r="A642" s="28">
        <f>IF(B642="","",PaymentPrefix&amp;TEXT(ROW()-4,"0000"))</f>
        <v>0</v>
      </c>
      <c r="D642" s="15">
        <f>IF(C642="","",IFERROR(INDEX(Clients!$B$5:$B$504,MATCH(C642,Clients!$A$5:$A$504,0)),"Walk-in"))</f>
        <v>0</v>
      </c>
      <c r="K642" s="15">
        <f>IF(J642="","",IFERROR(INDEX(Staff!$B$5:$B$44,MATCH(J642,Staff!$A$5:$A$44,0)),""))</f>
        <v>0</v>
      </c>
      <c r="O642" s="15">
        <f>IF(B642="","",TEXT(B642,"yyyy-mm"))</f>
        <v>0</v>
      </c>
      <c r="P642" s="25">
        <f>IF(B642="","",WEEKNUM(B642,2))</f>
        <v>0</v>
      </c>
      <c r="Q642" s="38">
        <f>IF(B642="","",IF(E642="Tip","No",IF(E642="Refund","No","Yes")))</f>
        <v>0</v>
      </c>
      <c r="R642" s="25">
        <f>IF(B642="","",IF(E642="Refund",-1,1))</f>
        <v>0</v>
      </c>
      <c r="S642" s="26">
        <f>IF(B642="","",IF(G642="",0,IF(F642="Card",ROUND(G642*CardFeePercent+CardFeeFixed,2),IF(F642="Online deposit",ROUND(G642*CardFeePercent+CardFeeFixed,2),0))))</f>
        <v>0</v>
      </c>
      <c r="T642" s="26">
        <f>IF(B642="","",ROUND(IF(G642="",0,G642)*R642-S642,2))</f>
        <v>0</v>
      </c>
      <c r="U642" s="38">
        <f>IF(B642="","",IF(E642="Tip","Yes","No"))</f>
        <v>0</v>
      </c>
      <c r="V642" s="15">
        <f>IF(B642="","",IF(H642&lt;&gt;"","Sale "&amp;H642,IF(I642&lt;&gt;"","Booking "&amp;I642,IF(E642="Tip","Stylist","Unapplied"))))</f>
        <v>0</v>
      </c>
      <c r="W642" s="39">
        <f>IF(B642="","",IF(G642="","Add - no amount yet",IF(E642="","Add - what was this for?",IF(IF(H642="",FALSE,COUNTIF(Sales!$A$5:$A$1204,H642)=0),"Missing - no sale with that ID",IF(IF(I642="",FALSE,COUNTIF(Appointments!$A$5:$A$1204,I642)=0),"Missing - no booking with that ID",IF(IF(E642="Tip",J642="",FALSE),"Assign - whose tip is it?",IF(IF(E642="Deposit",IF(H642="",I642="",FALSE),FALSE),"Check - deposit not tied to a booking",IF(M642="No","Due - not reconciled yet","OK"))))))))</f>
        <v>0</v>
      </c>
    </row>
    <row r="643" spans="1:23">
      <c r="A643" s="28">
        <f>IF(B643="","",PaymentPrefix&amp;TEXT(ROW()-4,"0000"))</f>
        <v>0</v>
      </c>
      <c r="D643" s="15">
        <f>IF(C643="","",IFERROR(INDEX(Clients!$B$5:$B$504,MATCH(C643,Clients!$A$5:$A$504,0)),"Walk-in"))</f>
        <v>0</v>
      </c>
      <c r="K643" s="15">
        <f>IF(J643="","",IFERROR(INDEX(Staff!$B$5:$B$44,MATCH(J643,Staff!$A$5:$A$44,0)),""))</f>
        <v>0</v>
      </c>
      <c r="O643" s="15">
        <f>IF(B643="","",TEXT(B643,"yyyy-mm"))</f>
        <v>0</v>
      </c>
      <c r="P643" s="25">
        <f>IF(B643="","",WEEKNUM(B643,2))</f>
        <v>0</v>
      </c>
      <c r="Q643" s="38">
        <f>IF(B643="","",IF(E643="Tip","No",IF(E643="Refund","No","Yes")))</f>
        <v>0</v>
      </c>
      <c r="R643" s="25">
        <f>IF(B643="","",IF(E643="Refund",-1,1))</f>
        <v>0</v>
      </c>
      <c r="S643" s="26">
        <f>IF(B643="","",IF(G643="",0,IF(F643="Card",ROUND(G643*CardFeePercent+CardFeeFixed,2),IF(F643="Online deposit",ROUND(G643*CardFeePercent+CardFeeFixed,2),0))))</f>
        <v>0</v>
      </c>
      <c r="T643" s="26">
        <f>IF(B643="","",ROUND(IF(G643="",0,G643)*R643-S643,2))</f>
        <v>0</v>
      </c>
      <c r="U643" s="38">
        <f>IF(B643="","",IF(E643="Tip","Yes","No"))</f>
        <v>0</v>
      </c>
      <c r="V643" s="15">
        <f>IF(B643="","",IF(H643&lt;&gt;"","Sale "&amp;H643,IF(I643&lt;&gt;"","Booking "&amp;I643,IF(E643="Tip","Stylist","Unapplied"))))</f>
        <v>0</v>
      </c>
      <c r="W643" s="39">
        <f>IF(B643="","",IF(G643="","Add - no amount yet",IF(E643="","Add - what was this for?",IF(IF(H643="",FALSE,COUNTIF(Sales!$A$5:$A$1204,H643)=0),"Missing - no sale with that ID",IF(IF(I643="",FALSE,COUNTIF(Appointments!$A$5:$A$1204,I643)=0),"Missing - no booking with that ID",IF(IF(E643="Tip",J643="",FALSE),"Assign - whose tip is it?",IF(IF(E643="Deposit",IF(H643="",I643="",FALSE),FALSE),"Check - deposit not tied to a booking",IF(M643="No","Due - not reconciled yet","OK"))))))))</f>
        <v>0</v>
      </c>
    </row>
    <row r="644" spans="1:23">
      <c r="A644" s="28">
        <f>IF(B644="","",PaymentPrefix&amp;TEXT(ROW()-4,"0000"))</f>
        <v>0</v>
      </c>
      <c r="D644" s="15">
        <f>IF(C644="","",IFERROR(INDEX(Clients!$B$5:$B$504,MATCH(C644,Clients!$A$5:$A$504,0)),"Walk-in"))</f>
        <v>0</v>
      </c>
      <c r="K644" s="15">
        <f>IF(J644="","",IFERROR(INDEX(Staff!$B$5:$B$44,MATCH(J644,Staff!$A$5:$A$44,0)),""))</f>
        <v>0</v>
      </c>
      <c r="O644" s="15">
        <f>IF(B644="","",TEXT(B644,"yyyy-mm"))</f>
        <v>0</v>
      </c>
      <c r="P644" s="25">
        <f>IF(B644="","",WEEKNUM(B644,2))</f>
        <v>0</v>
      </c>
      <c r="Q644" s="38">
        <f>IF(B644="","",IF(E644="Tip","No",IF(E644="Refund","No","Yes")))</f>
        <v>0</v>
      </c>
      <c r="R644" s="25">
        <f>IF(B644="","",IF(E644="Refund",-1,1))</f>
        <v>0</v>
      </c>
      <c r="S644" s="26">
        <f>IF(B644="","",IF(G644="",0,IF(F644="Card",ROUND(G644*CardFeePercent+CardFeeFixed,2),IF(F644="Online deposit",ROUND(G644*CardFeePercent+CardFeeFixed,2),0))))</f>
        <v>0</v>
      </c>
      <c r="T644" s="26">
        <f>IF(B644="","",ROUND(IF(G644="",0,G644)*R644-S644,2))</f>
        <v>0</v>
      </c>
      <c r="U644" s="38">
        <f>IF(B644="","",IF(E644="Tip","Yes","No"))</f>
        <v>0</v>
      </c>
      <c r="V644" s="15">
        <f>IF(B644="","",IF(H644&lt;&gt;"","Sale "&amp;H644,IF(I644&lt;&gt;"","Booking "&amp;I644,IF(E644="Tip","Stylist","Unapplied"))))</f>
        <v>0</v>
      </c>
      <c r="W644" s="39">
        <f>IF(B644="","",IF(G644="","Add - no amount yet",IF(E644="","Add - what was this for?",IF(IF(H644="",FALSE,COUNTIF(Sales!$A$5:$A$1204,H644)=0),"Missing - no sale with that ID",IF(IF(I644="",FALSE,COUNTIF(Appointments!$A$5:$A$1204,I644)=0),"Missing - no booking with that ID",IF(IF(E644="Tip",J644="",FALSE),"Assign - whose tip is it?",IF(IF(E644="Deposit",IF(H644="",I644="",FALSE),FALSE),"Check - deposit not tied to a booking",IF(M644="No","Due - not reconciled yet","OK"))))))))</f>
        <v>0</v>
      </c>
    </row>
    <row r="645" spans="1:23">
      <c r="A645" s="28">
        <f>IF(B645="","",PaymentPrefix&amp;TEXT(ROW()-4,"0000"))</f>
        <v>0</v>
      </c>
      <c r="D645" s="15">
        <f>IF(C645="","",IFERROR(INDEX(Clients!$B$5:$B$504,MATCH(C645,Clients!$A$5:$A$504,0)),"Walk-in"))</f>
        <v>0</v>
      </c>
      <c r="K645" s="15">
        <f>IF(J645="","",IFERROR(INDEX(Staff!$B$5:$B$44,MATCH(J645,Staff!$A$5:$A$44,0)),""))</f>
        <v>0</v>
      </c>
      <c r="O645" s="15">
        <f>IF(B645="","",TEXT(B645,"yyyy-mm"))</f>
        <v>0</v>
      </c>
      <c r="P645" s="25">
        <f>IF(B645="","",WEEKNUM(B645,2))</f>
        <v>0</v>
      </c>
      <c r="Q645" s="38">
        <f>IF(B645="","",IF(E645="Tip","No",IF(E645="Refund","No","Yes")))</f>
        <v>0</v>
      </c>
      <c r="R645" s="25">
        <f>IF(B645="","",IF(E645="Refund",-1,1))</f>
        <v>0</v>
      </c>
      <c r="S645" s="26">
        <f>IF(B645="","",IF(G645="",0,IF(F645="Card",ROUND(G645*CardFeePercent+CardFeeFixed,2),IF(F645="Online deposit",ROUND(G645*CardFeePercent+CardFeeFixed,2),0))))</f>
        <v>0</v>
      </c>
      <c r="T645" s="26">
        <f>IF(B645="","",ROUND(IF(G645="",0,G645)*R645-S645,2))</f>
        <v>0</v>
      </c>
      <c r="U645" s="38">
        <f>IF(B645="","",IF(E645="Tip","Yes","No"))</f>
        <v>0</v>
      </c>
      <c r="V645" s="15">
        <f>IF(B645="","",IF(H645&lt;&gt;"","Sale "&amp;H645,IF(I645&lt;&gt;"","Booking "&amp;I645,IF(E645="Tip","Stylist","Unapplied"))))</f>
        <v>0</v>
      </c>
      <c r="W645" s="39">
        <f>IF(B645="","",IF(G645="","Add - no amount yet",IF(E645="","Add - what was this for?",IF(IF(H645="",FALSE,COUNTIF(Sales!$A$5:$A$1204,H645)=0),"Missing - no sale with that ID",IF(IF(I645="",FALSE,COUNTIF(Appointments!$A$5:$A$1204,I645)=0),"Missing - no booking with that ID",IF(IF(E645="Tip",J645="",FALSE),"Assign - whose tip is it?",IF(IF(E645="Deposit",IF(H645="",I645="",FALSE),FALSE),"Check - deposit not tied to a booking",IF(M645="No","Due - not reconciled yet","OK"))))))))</f>
        <v>0</v>
      </c>
    </row>
    <row r="646" spans="1:23">
      <c r="A646" s="28">
        <f>IF(B646="","",PaymentPrefix&amp;TEXT(ROW()-4,"0000"))</f>
        <v>0</v>
      </c>
      <c r="D646" s="15">
        <f>IF(C646="","",IFERROR(INDEX(Clients!$B$5:$B$504,MATCH(C646,Clients!$A$5:$A$504,0)),"Walk-in"))</f>
        <v>0</v>
      </c>
      <c r="K646" s="15">
        <f>IF(J646="","",IFERROR(INDEX(Staff!$B$5:$B$44,MATCH(J646,Staff!$A$5:$A$44,0)),""))</f>
        <v>0</v>
      </c>
      <c r="O646" s="15">
        <f>IF(B646="","",TEXT(B646,"yyyy-mm"))</f>
        <v>0</v>
      </c>
      <c r="P646" s="25">
        <f>IF(B646="","",WEEKNUM(B646,2))</f>
        <v>0</v>
      </c>
      <c r="Q646" s="38">
        <f>IF(B646="","",IF(E646="Tip","No",IF(E646="Refund","No","Yes")))</f>
        <v>0</v>
      </c>
      <c r="R646" s="25">
        <f>IF(B646="","",IF(E646="Refund",-1,1))</f>
        <v>0</v>
      </c>
      <c r="S646" s="26">
        <f>IF(B646="","",IF(G646="",0,IF(F646="Card",ROUND(G646*CardFeePercent+CardFeeFixed,2),IF(F646="Online deposit",ROUND(G646*CardFeePercent+CardFeeFixed,2),0))))</f>
        <v>0</v>
      </c>
      <c r="T646" s="26">
        <f>IF(B646="","",ROUND(IF(G646="",0,G646)*R646-S646,2))</f>
        <v>0</v>
      </c>
      <c r="U646" s="38">
        <f>IF(B646="","",IF(E646="Tip","Yes","No"))</f>
        <v>0</v>
      </c>
      <c r="V646" s="15">
        <f>IF(B646="","",IF(H646&lt;&gt;"","Sale "&amp;H646,IF(I646&lt;&gt;"","Booking "&amp;I646,IF(E646="Tip","Stylist","Unapplied"))))</f>
        <v>0</v>
      </c>
      <c r="W646" s="39">
        <f>IF(B646="","",IF(G646="","Add - no amount yet",IF(E646="","Add - what was this for?",IF(IF(H646="",FALSE,COUNTIF(Sales!$A$5:$A$1204,H646)=0),"Missing - no sale with that ID",IF(IF(I646="",FALSE,COUNTIF(Appointments!$A$5:$A$1204,I646)=0),"Missing - no booking with that ID",IF(IF(E646="Tip",J646="",FALSE),"Assign - whose tip is it?",IF(IF(E646="Deposit",IF(H646="",I646="",FALSE),FALSE),"Check - deposit not tied to a booking",IF(M646="No","Due - not reconciled yet","OK"))))))))</f>
        <v>0</v>
      </c>
    </row>
    <row r="647" spans="1:23">
      <c r="A647" s="28">
        <f>IF(B647="","",PaymentPrefix&amp;TEXT(ROW()-4,"0000"))</f>
        <v>0</v>
      </c>
      <c r="D647" s="15">
        <f>IF(C647="","",IFERROR(INDEX(Clients!$B$5:$B$504,MATCH(C647,Clients!$A$5:$A$504,0)),"Walk-in"))</f>
        <v>0</v>
      </c>
      <c r="K647" s="15">
        <f>IF(J647="","",IFERROR(INDEX(Staff!$B$5:$B$44,MATCH(J647,Staff!$A$5:$A$44,0)),""))</f>
        <v>0</v>
      </c>
      <c r="O647" s="15">
        <f>IF(B647="","",TEXT(B647,"yyyy-mm"))</f>
        <v>0</v>
      </c>
      <c r="P647" s="25">
        <f>IF(B647="","",WEEKNUM(B647,2))</f>
        <v>0</v>
      </c>
      <c r="Q647" s="38">
        <f>IF(B647="","",IF(E647="Tip","No",IF(E647="Refund","No","Yes")))</f>
        <v>0</v>
      </c>
      <c r="R647" s="25">
        <f>IF(B647="","",IF(E647="Refund",-1,1))</f>
        <v>0</v>
      </c>
      <c r="S647" s="26">
        <f>IF(B647="","",IF(G647="",0,IF(F647="Card",ROUND(G647*CardFeePercent+CardFeeFixed,2),IF(F647="Online deposit",ROUND(G647*CardFeePercent+CardFeeFixed,2),0))))</f>
        <v>0</v>
      </c>
      <c r="T647" s="26">
        <f>IF(B647="","",ROUND(IF(G647="",0,G647)*R647-S647,2))</f>
        <v>0</v>
      </c>
      <c r="U647" s="38">
        <f>IF(B647="","",IF(E647="Tip","Yes","No"))</f>
        <v>0</v>
      </c>
      <c r="V647" s="15">
        <f>IF(B647="","",IF(H647&lt;&gt;"","Sale "&amp;H647,IF(I647&lt;&gt;"","Booking "&amp;I647,IF(E647="Tip","Stylist","Unapplied"))))</f>
        <v>0</v>
      </c>
      <c r="W647" s="39">
        <f>IF(B647="","",IF(G647="","Add - no amount yet",IF(E647="","Add - what was this for?",IF(IF(H647="",FALSE,COUNTIF(Sales!$A$5:$A$1204,H647)=0),"Missing - no sale with that ID",IF(IF(I647="",FALSE,COUNTIF(Appointments!$A$5:$A$1204,I647)=0),"Missing - no booking with that ID",IF(IF(E647="Tip",J647="",FALSE),"Assign - whose tip is it?",IF(IF(E647="Deposit",IF(H647="",I647="",FALSE),FALSE),"Check - deposit not tied to a booking",IF(M647="No","Due - not reconciled yet","OK"))))))))</f>
        <v>0</v>
      </c>
    </row>
    <row r="648" spans="1:23">
      <c r="A648" s="28">
        <f>IF(B648="","",PaymentPrefix&amp;TEXT(ROW()-4,"0000"))</f>
        <v>0</v>
      </c>
      <c r="D648" s="15">
        <f>IF(C648="","",IFERROR(INDEX(Clients!$B$5:$B$504,MATCH(C648,Clients!$A$5:$A$504,0)),"Walk-in"))</f>
        <v>0</v>
      </c>
      <c r="K648" s="15">
        <f>IF(J648="","",IFERROR(INDEX(Staff!$B$5:$B$44,MATCH(J648,Staff!$A$5:$A$44,0)),""))</f>
        <v>0</v>
      </c>
      <c r="O648" s="15">
        <f>IF(B648="","",TEXT(B648,"yyyy-mm"))</f>
        <v>0</v>
      </c>
      <c r="P648" s="25">
        <f>IF(B648="","",WEEKNUM(B648,2))</f>
        <v>0</v>
      </c>
      <c r="Q648" s="38">
        <f>IF(B648="","",IF(E648="Tip","No",IF(E648="Refund","No","Yes")))</f>
        <v>0</v>
      </c>
      <c r="R648" s="25">
        <f>IF(B648="","",IF(E648="Refund",-1,1))</f>
        <v>0</v>
      </c>
      <c r="S648" s="26">
        <f>IF(B648="","",IF(G648="",0,IF(F648="Card",ROUND(G648*CardFeePercent+CardFeeFixed,2),IF(F648="Online deposit",ROUND(G648*CardFeePercent+CardFeeFixed,2),0))))</f>
        <v>0</v>
      </c>
      <c r="T648" s="26">
        <f>IF(B648="","",ROUND(IF(G648="",0,G648)*R648-S648,2))</f>
        <v>0</v>
      </c>
      <c r="U648" s="38">
        <f>IF(B648="","",IF(E648="Tip","Yes","No"))</f>
        <v>0</v>
      </c>
      <c r="V648" s="15">
        <f>IF(B648="","",IF(H648&lt;&gt;"","Sale "&amp;H648,IF(I648&lt;&gt;"","Booking "&amp;I648,IF(E648="Tip","Stylist","Unapplied"))))</f>
        <v>0</v>
      </c>
      <c r="W648" s="39">
        <f>IF(B648="","",IF(G648="","Add - no amount yet",IF(E648="","Add - what was this for?",IF(IF(H648="",FALSE,COUNTIF(Sales!$A$5:$A$1204,H648)=0),"Missing - no sale with that ID",IF(IF(I648="",FALSE,COUNTIF(Appointments!$A$5:$A$1204,I648)=0),"Missing - no booking with that ID",IF(IF(E648="Tip",J648="",FALSE),"Assign - whose tip is it?",IF(IF(E648="Deposit",IF(H648="",I648="",FALSE),FALSE),"Check - deposit not tied to a booking",IF(M648="No","Due - not reconciled yet","OK"))))))))</f>
        <v>0</v>
      </c>
    </row>
    <row r="649" spans="1:23">
      <c r="A649" s="28">
        <f>IF(B649="","",PaymentPrefix&amp;TEXT(ROW()-4,"0000"))</f>
        <v>0</v>
      </c>
      <c r="D649" s="15">
        <f>IF(C649="","",IFERROR(INDEX(Clients!$B$5:$B$504,MATCH(C649,Clients!$A$5:$A$504,0)),"Walk-in"))</f>
        <v>0</v>
      </c>
      <c r="K649" s="15">
        <f>IF(J649="","",IFERROR(INDEX(Staff!$B$5:$B$44,MATCH(J649,Staff!$A$5:$A$44,0)),""))</f>
        <v>0</v>
      </c>
      <c r="O649" s="15">
        <f>IF(B649="","",TEXT(B649,"yyyy-mm"))</f>
        <v>0</v>
      </c>
      <c r="P649" s="25">
        <f>IF(B649="","",WEEKNUM(B649,2))</f>
        <v>0</v>
      </c>
      <c r="Q649" s="38">
        <f>IF(B649="","",IF(E649="Tip","No",IF(E649="Refund","No","Yes")))</f>
        <v>0</v>
      </c>
      <c r="R649" s="25">
        <f>IF(B649="","",IF(E649="Refund",-1,1))</f>
        <v>0</v>
      </c>
      <c r="S649" s="26">
        <f>IF(B649="","",IF(G649="",0,IF(F649="Card",ROUND(G649*CardFeePercent+CardFeeFixed,2),IF(F649="Online deposit",ROUND(G649*CardFeePercent+CardFeeFixed,2),0))))</f>
        <v>0</v>
      </c>
      <c r="T649" s="26">
        <f>IF(B649="","",ROUND(IF(G649="",0,G649)*R649-S649,2))</f>
        <v>0</v>
      </c>
      <c r="U649" s="38">
        <f>IF(B649="","",IF(E649="Tip","Yes","No"))</f>
        <v>0</v>
      </c>
      <c r="V649" s="15">
        <f>IF(B649="","",IF(H649&lt;&gt;"","Sale "&amp;H649,IF(I649&lt;&gt;"","Booking "&amp;I649,IF(E649="Tip","Stylist","Unapplied"))))</f>
        <v>0</v>
      </c>
      <c r="W649" s="39">
        <f>IF(B649="","",IF(G649="","Add - no amount yet",IF(E649="","Add - what was this for?",IF(IF(H649="",FALSE,COUNTIF(Sales!$A$5:$A$1204,H649)=0),"Missing - no sale with that ID",IF(IF(I649="",FALSE,COUNTIF(Appointments!$A$5:$A$1204,I649)=0),"Missing - no booking with that ID",IF(IF(E649="Tip",J649="",FALSE),"Assign - whose tip is it?",IF(IF(E649="Deposit",IF(H649="",I649="",FALSE),FALSE),"Check - deposit not tied to a booking",IF(M649="No","Due - not reconciled yet","OK"))))))))</f>
        <v>0</v>
      </c>
    </row>
    <row r="650" spans="1:23">
      <c r="A650" s="28">
        <f>IF(B650="","",PaymentPrefix&amp;TEXT(ROW()-4,"0000"))</f>
        <v>0</v>
      </c>
      <c r="D650" s="15">
        <f>IF(C650="","",IFERROR(INDEX(Clients!$B$5:$B$504,MATCH(C650,Clients!$A$5:$A$504,0)),"Walk-in"))</f>
        <v>0</v>
      </c>
      <c r="K650" s="15">
        <f>IF(J650="","",IFERROR(INDEX(Staff!$B$5:$B$44,MATCH(J650,Staff!$A$5:$A$44,0)),""))</f>
        <v>0</v>
      </c>
      <c r="O650" s="15">
        <f>IF(B650="","",TEXT(B650,"yyyy-mm"))</f>
        <v>0</v>
      </c>
      <c r="P650" s="25">
        <f>IF(B650="","",WEEKNUM(B650,2))</f>
        <v>0</v>
      </c>
      <c r="Q650" s="38">
        <f>IF(B650="","",IF(E650="Tip","No",IF(E650="Refund","No","Yes")))</f>
        <v>0</v>
      </c>
      <c r="R650" s="25">
        <f>IF(B650="","",IF(E650="Refund",-1,1))</f>
        <v>0</v>
      </c>
      <c r="S650" s="26">
        <f>IF(B650="","",IF(G650="",0,IF(F650="Card",ROUND(G650*CardFeePercent+CardFeeFixed,2),IF(F650="Online deposit",ROUND(G650*CardFeePercent+CardFeeFixed,2),0))))</f>
        <v>0</v>
      </c>
      <c r="T650" s="26">
        <f>IF(B650="","",ROUND(IF(G650="",0,G650)*R650-S650,2))</f>
        <v>0</v>
      </c>
      <c r="U650" s="38">
        <f>IF(B650="","",IF(E650="Tip","Yes","No"))</f>
        <v>0</v>
      </c>
      <c r="V650" s="15">
        <f>IF(B650="","",IF(H650&lt;&gt;"","Sale "&amp;H650,IF(I650&lt;&gt;"","Booking "&amp;I650,IF(E650="Tip","Stylist","Unapplied"))))</f>
        <v>0</v>
      </c>
      <c r="W650" s="39">
        <f>IF(B650="","",IF(G650="","Add - no amount yet",IF(E650="","Add - what was this for?",IF(IF(H650="",FALSE,COUNTIF(Sales!$A$5:$A$1204,H650)=0),"Missing - no sale with that ID",IF(IF(I650="",FALSE,COUNTIF(Appointments!$A$5:$A$1204,I650)=0),"Missing - no booking with that ID",IF(IF(E650="Tip",J650="",FALSE),"Assign - whose tip is it?",IF(IF(E650="Deposit",IF(H650="",I650="",FALSE),FALSE),"Check - deposit not tied to a booking",IF(M650="No","Due - not reconciled yet","OK"))))))))</f>
        <v>0</v>
      </c>
    </row>
    <row r="651" spans="1:23">
      <c r="A651" s="28">
        <f>IF(B651="","",PaymentPrefix&amp;TEXT(ROW()-4,"0000"))</f>
        <v>0</v>
      </c>
      <c r="D651" s="15">
        <f>IF(C651="","",IFERROR(INDEX(Clients!$B$5:$B$504,MATCH(C651,Clients!$A$5:$A$504,0)),"Walk-in"))</f>
        <v>0</v>
      </c>
      <c r="K651" s="15">
        <f>IF(J651="","",IFERROR(INDEX(Staff!$B$5:$B$44,MATCH(J651,Staff!$A$5:$A$44,0)),""))</f>
        <v>0</v>
      </c>
      <c r="O651" s="15">
        <f>IF(B651="","",TEXT(B651,"yyyy-mm"))</f>
        <v>0</v>
      </c>
      <c r="P651" s="25">
        <f>IF(B651="","",WEEKNUM(B651,2))</f>
        <v>0</v>
      </c>
      <c r="Q651" s="38">
        <f>IF(B651="","",IF(E651="Tip","No",IF(E651="Refund","No","Yes")))</f>
        <v>0</v>
      </c>
      <c r="R651" s="25">
        <f>IF(B651="","",IF(E651="Refund",-1,1))</f>
        <v>0</v>
      </c>
      <c r="S651" s="26">
        <f>IF(B651="","",IF(G651="",0,IF(F651="Card",ROUND(G651*CardFeePercent+CardFeeFixed,2),IF(F651="Online deposit",ROUND(G651*CardFeePercent+CardFeeFixed,2),0))))</f>
        <v>0</v>
      </c>
      <c r="T651" s="26">
        <f>IF(B651="","",ROUND(IF(G651="",0,G651)*R651-S651,2))</f>
        <v>0</v>
      </c>
      <c r="U651" s="38">
        <f>IF(B651="","",IF(E651="Tip","Yes","No"))</f>
        <v>0</v>
      </c>
      <c r="V651" s="15">
        <f>IF(B651="","",IF(H651&lt;&gt;"","Sale "&amp;H651,IF(I651&lt;&gt;"","Booking "&amp;I651,IF(E651="Tip","Stylist","Unapplied"))))</f>
        <v>0</v>
      </c>
      <c r="W651" s="39">
        <f>IF(B651="","",IF(G651="","Add - no amount yet",IF(E651="","Add - what was this for?",IF(IF(H651="",FALSE,COUNTIF(Sales!$A$5:$A$1204,H651)=0),"Missing - no sale with that ID",IF(IF(I651="",FALSE,COUNTIF(Appointments!$A$5:$A$1204,I651)=0),"Missing - no booking with that ID",IF(IF(E651="Tip",J651="",FALSE),"Assign - whose tip is it?",IF(IF(E651="Deposit",IF(H651="",I651="",FALSE),FALSE),"Check - deposit not tied to a booking",IF(M651="No","Due - not reconciled yet","OK"))))))))</f>
        <v>0</v>
      </c>
    </row>
    <row r="652" spans="1:23">
      <c r="A652" s="28">
        <f>IF(B652="","",PaymentPrefix&amp;TEXT(ROW()-4,"0000"))</f>
        <v>0</v>
      </c>
      <c r="D652" s="15">
        <f>IF(C652="","",IFERROR(INDEX(Clients!$B$5:$B$504,MATCH(C652,Clients!$A$5:$A$504,0)),"Walk-in"))</f>
        <v>0</v>
      </c>
      <c r="K652" s="15">
        <f>IF(J652="","",IFERROR(INDEX(Staff!$B$5:$B$44,MATCH(J652,Staff!$A$5:$A$44,0)),""))</f>
        <v>0</v>
      </c>
      <c r="O652" s="15">
        <f>IF(B652="","",TEXT(B652,"yyyy-mm"))</f>
        <v>0</v>
      </c>
      <c r="P652" s="25">
        <f>IF(B652="","",WEEKNUM(B652,2))</f>
        <v>0</v>
      </c>
      <c r="Q652" s="38">
        <f>IF(B652="","",IF(E652="Tip","No",IF(E652="Refund","No","Yes")))</f>
        <v>0</v>
      </c>
      <c r="R652" s="25">
        <f>IF(B652="","",IF(E652="Refund",-1,1))</f>
        <v>0</v>
      </c>
      <c r="S652" s="26">
        <f>IF(B652="","",IF(G652="",0,IF(F652="Card",ROUND(G652*CardFeePercent+CardFeeFixed,2),IF(F652="Online deposit",ROUND(G652*CardFeePercent+CardFeeFixed,2),0))))</f>
        <v>0</v>
      </c>
      <c r="T652" s="26">
        <f>IF(B652="","",ROUND(IF(G652="",0,G652)*R652-S652,2))</f>
        <v>0</v>
      </c>
      <c r="U652" s="38">
        <f>IF(B652="","",IF(E652="Tip","Yes","No"))</f>
        <v>0</v>
      </c>
      <c r="V652" s="15">
        <f>IF(B652="","",IF(H652&lt;&gt;"","Sale "&amp;H652,IF(I652&lt;&gt;"","Booking "&amp;I652,IF(E652="Tip","Stylist","Unapplied"))))</f>
        <v>0</v>
      </c>
      <c r="W652" s="39">
        <f>IF(B652="","",IF(G652="","Add - no amount yet",IF(E652="","Add - what was this for?",IF(IF(H652="",FALSE,COUNTIF(Sales!$A$5:$A$1204,H652)=0),"Missing - no sale with that ID",IF(IF(I652="",FALSE,COUNTIF(Appointments!$A$5:$A$1204,I652)=0),"Missing - no booking with that ID",IF(IF(E652="Tip",J652="",FALSE),"Assign - whose tip is it?",IF(IF(E652="Deposit",IF(H652="",I652="",FALSE),FALSE),"Check - deposit not tied to a booking",IF(M652="No","Due - not reconciled yet","OK"))))))))</f>
        <v>0</v>
      </c>
    </row>
    <row r="653" spans="1:23">
      <c r="A653" s="28">
        <f>IF(B653="","",PaymentPrefix&amp;TEXT(ROW()-4,"0000"))</f>
        <v>0</v>
      </c>
      <c r="D653" s="15">
        <f>IF(C653="","",IFERROR(INDEX(Clients!$B$5:$B$504,MATCH(C653,Clients!$A$5:$A$504,0)),"Walk-in"))</f>
        <v>0</v>
      </c>
      <c r="K653" s="15">
        <f>IF(J653="","",IFERROR(INDEX(Staff!$B$5:$B$44,MATCH(J653,Staff!$A$5:$A$44,0)),""))</f>
        <v>0</v>
      </c>
      <c r="O653" s="15">
        <f>IF(B653="","",TEXT(B653,"yyyy-mm"))</f>
        <v>0</v>
      </c>
      <c r="P653" s="25">
        <f>IF(B653="","",WEEKNUM(B653,2))</f>
        <v>0</v>
      </c>
      <c r="Q653" s="38">
        <f>IF(B653="","",IF(E653="Tip","No",IF(E653="Refund","No","Yes")))</f>
        <v>0</v>
      </c>
      <c r="R653" s="25">
        <f>IF(B653="","",IF(E653="Refund",-1,1))</f>
        <v>0</v>
      </c>
      <c r="S653" s="26">
        <f>IF(B653="","",IF(G653="",0,IF(F653="Card",ROUND(G653*CardFeePercent+CardFeeFixed,2),IF(F653="Online deposit",ROUND(G653*CardFeePercent+CardFeeFixed,2),0))))</f>
        <v>0</v>
      </c>
      <c r="T653" s="26">
        <f>IF(B653="","",ROUND(IF(G653="",0,G653)*R653-S653,2))</f>
        <v>0</v>
      </c>
      <c r="U653" s="38">
        <f>IF(B653="","",IF(E653="Tip","Yes","No"))</f>
        <v>0</v>
      </c>
      <c r="V653" s="15">
        <f>IF(B653="","",IF(H653&lt;&gt;"","Sale "&amp;H653,IF(I653&lt;&gt;"","Booking "&amp;I653,IF(E653="Tip","Stylist","Unapplied"))))</f>
        <v>0</v>
      </c>
      <c r="W653" s="39">
        <f>IF(B653="","",IF(G653="","Add - no amount yet",IF(E653="","Add - what was this for?",IF(IF(H653="",FALSE,COUNTIF(Sales!$A$5:$A$1204,H653)=0),"Missing - no sale with that ID",IF(IF(I653="",FALSE,COUNTIF(Appointments!$A$5:$A$1204,I653)=0),"Missing - no booking with that ID",IF(IF(E653="Tip",J653="",FALSE),"Assign - whose tip is it?",IF(IF(E653="Deposit",IF(H653="",I653="",FALSE),FALSE),"Check - deposit not tied to a booking",IF(M653="No","Due - not reconciled yet","OK"))))))))</f>
        <v>0</v>
      </c>
    </row>
    <row r="654" spans="1:23">
      <c r="A654" s="28">
        <f>IF(B654="","",PaymentPrefix&amp;TEXT(ROW()-4,"0000"))</f>
        <v>0</v>
      </c>
      <c r="D654" s="15">
        <f>IF(C654="","",IFERROR(INDEX(Clients!$B$5:$B$504,MATCH(C654,Clients!$A$5:$A$504,0)),"Walk-in"))</f>
        <v>0</v>
      </c>
      <c r="K654" s="15">
        <f>IF(J654="","",IFERROR(INDEX(Staff!$B$5:$B$44,MATCH(J654,Staff!$A$5:$A$44,0)),""))</f>
        <v>0</v>
      </c>
      <c r="O654" s="15">
        <f>IF(B654="","",TEXT(B654,"yyyy-mm"))</f>
        <v>0</v>
      </c>
      <c r="P654" s="25">
        <f>IF(B654="","",WEEKNUM(B654,2))</f>
        <v>0</v>
      </c>
      <c r="Q654" s="38">
        <f>IF(B654="","",IF(E654="Tip","No",IF(E654="Refund","No","Yes")))</f>
        <v>0</v>
      </c>
      <c r="R654" s="25">
        <f>IF(B654="","",IF(E654="Refund",-1,1))</f>
        <v>0</v>
      </c>
      <c r="S654" s="26">
        <f>IF(B654="","",IF(G654="",0,IF(F654="Card",ROUND(G654*CardFeePercent+CardFeeFixed,2),IF(F654="Online deposit",ROUND(G654*CardFeePercent+CardFeeFixed,2),0))))</f>
        <v>0</v>
      </c>
      <c r="T654" s="26">
        <f>IF(B654="","",ROUND(IF(G654="",0,G654)*R654-S654,2))</f>
        <v>0</v>
      </c>
      <c r="U654" s="38">
        <f>IF(B654="","",IF(E654="Tip","Yes","No"))</f>
        <v>0</v>
      </c>
      <c r="V654" s="15">
        <f>IF(B654="","",IF(H654&lt;&gt;"","Sale "&amp;H654,IF(I654&lt;&gt;"","Booking "&amp;I654,IF(E654="Tip","Stylist","Unapplied"))))</f>
        <v>0</v>
      </c>
      <c r="W654" s="39">
        <f>IF(B654="","",IF(G654="","Add - no amount yet",IF(E654="","Add - what was this for?",IF(IF(H654="",FALSE,COUNTIF(Sales!$A$5:$A$1204,H654)=0),"Missing - no sale with that ID",IF(IF(I654="",FALSE,COUNTIF(Appointments!$A$5:$A$1204,I654)=0),"Missing - no booking with that ID",IF(IF(E654="Tip",J654="",FALSE),"Assign - whose tip is it?",IF(IF(E654="Deposit",IF(H654="",I654="",FALSE),FALSE),"Check - deposit not tied to a booking",IF(M654="No","Due - not reconciled yet","OK"))))))))</f>
        <v>0</v>
      </c>
    </row>
    <row r="655" spans="1:23">
      <c r="A655" s="28">
        <f>IF(B655="","",PaymentPrefix&amp;TEXT(ROW()-4,"0000"))</f>
        <v>0</v>
      </c>
      <c r="D655" s="15">
        <f>IF(C655="","",IFERROR(INDEX(Clients!$B$5:$B$504,MATCH(C655,Clients!$A$5:$A$504,0)),"Walk-in"))</f>
        <v>0</v>
      </c>
      <c r="K655" s="15">
        <f>IF(J655="","",IFERROR(INDEX(Staff!$B$5:$B$44,MATCH(J655,Staff!$A$5:$A$44,0)),""))</f>
        <v>0</v>
      </c>
      <c r="O655" s="15">
        <f>IF(B655="","",TEXT(B655,"yyyy-mm"))</f>
        <v>0</v>
      </c>
      <c r="P655" s="25">
        <f>IF(B655="","",WEEKNUM(B655,2))</f>
        <v>0</v>
      </c>
      <c r="Q655" s="38">
        <f>IF(B655="","",IF(E655="Tip","No",IF(E655="Refund","No","Yes")))</f>
        <v>0</v>
      </c>
      <c r="R655" s="25">
        <f>IF(B655="","",IF(E655="Refund",-1,1))</f>
        <v>0</v>
      </c>
      <c r="S655" s="26">
        <f>IF(B655="","",IF(G655="",0,IF(F655="Card",ROUND(G655*CardFeePercent+CardFeeFixed,2),IF(F655="Online deposit",ROUND(G655*CardFeePercent+CardFeeFixed,2),0))))</f>
        <v>0</v>
      </c>
      <c r="T655" s="26">
        <f>IF(B655="","",ROUND(IF(G655="",0,G655)*R655-S655,2))</f>
        <v>0</v>
      </c>
      <c r="U655" s="38">
        <f>IF(B655="","",IF(E655="Tip","Yes","No"))</f>
        <v>0</v>
      </c>
      <c r="V655" s="15">
        <f>IF(B655="","",IF(H655&lt;&gt;"","Sale "&amp;H655,IF(I655&lt;&gt;"","Booking "&amp;I655,IF(E655="Tip","Stylist","Unapplied"))))</f>
        <v>0</v>
      </c>
      <c r="W655" s="39">
        <f>IF(B655="","",IF(G655="","Add - no amount yet",IF(E655="","Add - what was this for?",IF(IF(H655="",FALSE,COUNTIF(Sales!$A$5:$A$1204,H655)=0),"Missing - no sale with that ID",IF(IF(I655="",FALSE,COUNTIF(Appointments!$A$5:$A$1204,I655)=0),"Missing - no booking with that ID",IF(IF(E655="Tip",J655="",FALSE),"Assign - whose tip is it?",IF(IF(E655="Deposit",IF(H655="",I655="",FALSE),FALSE),"Check - deposit not tied to a booking",IF(M655="No","Due - not reconciled yet","OK"))))))))</f>
        <v>0</v>
      </c>
    </row>
    <row r="656" spans="1:23">
      <c r="A656" s="28">
        <f>IF(B656="","",PaymentPrefix&amp;TEXT(ROW()-4,"0000"))</f>
        <v>0</v>
      </c>
      <c r="D656" s="15">
        <f>IF(C656="","",IFERROR(INDEX(Clients!$B$5:$B$504,MATCH(C656,Clients!$A$5:$A$504,0)),"Walk-in"))</f>
        <v>0</v>
      </c>
      <c r="K656" s="15">
        <f>IF(J656="","",IFERROR(INDEX(Staff!$B$5:$B$44,MATCH(J656,Staff!$A$5:$A$44,0)),""))</f>
        <v>0</v>
      </c>
      <c r="O656" s="15">
        <f>IF(B656="","",TEXT(B656,"yyyy-mm"))</f>
        <v>0</v>
      </c>
      <c r="P656" s="25">
        <f>IF(B656="","",WEEKNUM(B656,2))</f>
        <v>0</v>
      </c>
      <c r="Q656" s="38">
        <f>IF(B656="","",IF(E656="Tip","No",IF(E656="Refund","No","Yes")))</f>
        <v>0</v>
      </c>
      <c r="R656" s="25">
        <f>IF(B656="","",IF(E656="Refund",-1,1))</f>
        <v>0</v>
      </c>
      <c r="S656" s="26">
        <f>IF(B656="","",IF(G656="",0,IF(F656="Card",ROUND(G656*CardFeePercent+CardFeeFixed,2),IF(F656="Online deposit",ROUND(G656*CardFeePercent+CardFeeFixed,2),0))))</f>
        <v>0</v>
      </c>
      <c r="T656" s="26">
        <f>IF(B656="","",ROUND(IF(G656="",0,G656)*R656-S656,2))</f>
        <v>0</v>
      </c>
      <c r="U656" s="38">
        <f>IF(B656="","",IF(E656="Tip","Yes","No"))</f>
        <v>0</v>
      </c>
      <c r="V656" s="15">
        <f>IF(B656="","",IF(H656&lt;&gt;"","Sale "&amp;H656,IF(I656&lt;&gt;"","Booking "&amp;I656,IF(E656="Tip","Stylist","Unapplied"))))</f>
        <v>0</v>
      </c>
      <c r="W656" s="39">
        <f>IF(B656="","",IF(G656="","Add - no amount yet",IF(E656="","Add - what was this for?",IF(IF(H656="",FALSE,COUNTIF(Sales!$A$5:$A$1204,H656)=0),"Missing - no sale with that ID",IF(IF(I656="",FALSE,COUNTIF(Appointments!$A$5:$A$1204,I656)=0),"Missing - no booking with that ID",IF(IF(E656="Tip",J656="",FALSE),"Assign - whose tip is it?",IF(IF(E656="Deposit",IF(H656="",I656="",FALSE),FALSE),"Check - deposit not tied to a booking",IF(M656="No","Due - not reconciled yet","OK"))))))))</f>
        <v>0</v>
      </c>
    </row>
    <row r="657" spans="1:23">
      <c r="A657" s="28">
        <f>IF(B657="","",PaymentPrefix&amp;TEXT(ROW()-4,"0000"))</f>
        <v>0</v>
      </c>
      <c r="D657" s="15">
        <f>IF(C657="","",IFERROR(INDEX(Clients!$B$5:$B$504,MATCH(C657,Clients!$A$5:$A$504,0)),"Walk-in"))</f>
        <v>0</v>
      </c>
      <c r="K657" s="15">
        <f>IF(J657="","",IFERROR(INDEX(Staff!$B$5:$B$44,MATCH(J657,Staff!$A$5:$A$44,0)),""))</f>
        <v>0</v>
      </c>
      <c r="O657" s="15">
        <f>IF(B657="","",TEXT(B657,"yyyy-mm"))</f>
        <v>0</v>
      </c>
      <c r="P657" s="25">
        <f>IF(B657="","",WEEKNUM(B657,2))</f>
        <v>0</v>
      </c>
      <c r="Q657" s="38">
        <f>IF(B657="","",IF(E657="Tip","No",IF(E657="Refund","No","Yes")))</f>
        <v>0</v>
      </c>
      <c r="R657" s="25">
        <f>IF(B657="","",IF(E657="Refund",-1,1))</f>
        <v>0</v>
      </c>
      <c r="S657" s="26">
        <f>IF(B657="","",IF(G657="",0,IF(F657="Card",ROUND(G657*CardFeePercent+CardFeeFixed,2),IF(F657="Online deposit",ROUND(G657*CardFeePercent+CardFeeFixed,2),0))))</f>
        <v>0</v>
      </c>
      <c r="T657" s="26">
        <f>IF(B657="","",ROUND(IF(G657="",0,G657)*R657-S657,2))</f>
        <v>0</v>
      </c>
      <c r="U657" s="38">
        <f>IF(B657="","",IF(E657="Tip","Yes","No"))</f>
        <v>0</v>
      </c>
      <c r="V657" s="15">
        <f>IF(B657="","",IF(H657&lt;&gt;"","Sale "&amp;H657,IF(I657&lt;&gt;"","Booking "&amp;I657,IF(E657="Tip","Stylist","Unapplied"))))</f>
        <v>0</v>
      </c>
      <c r="W657" s="39">
        <f>IF(B657="","",IF(G657="","Add - no amount yet",IF(E657="","Add - what was this for?",IF(IF(H657="",FALSE,COUNTIF(Sales!$A$5:$A$1204,H657)=0),"Missing - no sale with that ID",IF(IF(I657="",FALSE,COUNTIF(Appointments!$A$5:$A$1204,I657)=0),"Missing - no booking with that ID",IF(IF(E657="Tip",J657="",FALSE),"Assign - whose tip is it?",IF(IF(E657="Deposit",IF(H657="",I657="",FALSE),FALSE),"Check - deposit not tied to a booking",IF(M657="No","Due - not reconciled yet","OK"))))))))</f>
        <v>0</v>
      </c>
    </row>
    <row r="658" spans="1:23">
      <c r="A658" s="28">
        <f>IF(B658="","",PaymentPrefix&amp;TEXT(ROW()-4,"0000"))</f>
        <v>0</v>
      </c>
      <c r="D658" s="15">
        <f>IF(C658="","",IFERROR(INDEX(Clients!$B$5:$B$504,MATCH(C658,Clients!$A$5:$A$504,0)),"Walk-in"))</f>
        <v>0</v>
      </c>
      <c r="K658" s="15">
        <f>IF(J658="","",IFERROR(INDEX(Staff!$B$5:$B$44,MATCH(J658,Staff!$A$5:$A$44,0)),""))</f>
        <v>0</v>
      </c>
      <c r="O658" s="15">
        <f>IF(B658="","",TEXT(B658,"yyyy-mm"))</f>
        <v>0</v>
      </c>
      <c r="P658" s="25">
        <f>IF(B658="","",WEEKNUM(B658,2))</f>
        <v>0</v>
      </c>
      <c r="Q658" s="38">
        <f>IF(B658="","",IF(E658="Tip","No",IF(E658="Refund","No","Yes")))</f>
        <v>0</v>
      </c>
      <c r="R658" s="25">
        <f>IF(B658="","",IF(E658="Refund",-1,1))</f>
        <v>0</v>
      </c>
      <c r="S658" s="26">
        <f>IF(B658="","",IF(G658="",0,IF(F658="Card",ROUND(G658*CardFeePercent+CardFeeFixed,2),IF(F658="Online deposit",ROUND(G658*CardFeePercent+CardFeeFixed,2),0))))</f>
        <v>0</v>
      </c>
      <c r="T658" s="26">
        <f>IF(B658="","",ROUND(IF(G658="",0,G658)*R658-S658,2))</f>
        <v>0</v>
      </c>
      <c r="U658" s="38">
        <f>IF(B658="","",IF(E658="Tip","Yes","No"))</f>
        <v>0</v>
      </c>
      <c r="V658" s="15">
        <f>IF(B658="","",IF(H658&lt;&gt;"","Sale "&amp;H658,IF(I658&lt;&gt;"","Booking "&amp;I658,IF(E658="Tip","Stylist","Unapplied"))))</f>
        <v>0</v>
      </c>
      <c r="W658" s="39">
        <f>IF(B658="","",IF(G658="","Add - no amount yet",IF(E658="","Add - what was this for?",IF(IF(H658="",FALSE,COUNTIF(Sales!$A$5:$A$1204,H658)=0),"Missing - no sale with that ID",IF(IF(I658="",FALSE,COUNTIF(Appointments!$A$5:$A$1204,I658)=0),"Missing - no booking with that ID",IF(IF(E658="Tip",J658="",FALSE),"Assign - whose tip is it?",IF(IF(E658="Deposit",IF(H658="",I658="",FALSE),FALSE),"Check - deposit not tied to a booking",IF(M658="No","Due - not reconciled yet","OK"))))))))</f>
        <v>0</v>
      </c>
    </row>
    <row r="659" spans="1:23">
      <c r="A659" s="28">
        <f>IF(B659="","",PaymentPrefix&amp;TEXT(ROW()-4,"0000"))</f>
        <v>0</v>
      </c>
      <c r="D659" s="15">
        <f>IF(C659="","",IFERROR(INDEX(Clients!$B$5:$B$504,MATCH(C659,Clients!$A$5:$A$504,0)),"Walk-in"))</f>
        <v>0</v>
      </c>
      <c r="K659" s="15">
        <f>IF(J659="","",IFERROR(INDEX(Staff!$B$5:$B$44,MATCH(J659,Staff!$A$5:$A$44,0)),""))</f>
        <v>0</v>
      </c>
      <c r="O659" s="15">
        <f>IF(B659="","",TEXT(B659,"yyyy-mm"))</f>
        <v>0</v>
      </c>
      <c r="P659" s="25">
        <f>IF(B659="","",WEEKNUM(B659,2))</f>
        <v>0</v>
      </c>
      <c r="Q659" s="38">
        <f>IF(B659="","",IF(E659="Tip","No",IF(E659="Refund","No","Yes")))</f>
        <v>0</v>
      </c>
      <c r="R659" s="25">
        <f>IF(B659="","",IF(E659="Refund",-1,1))</f>
        <v>0</v>
      </c>
      <c r="S659" s="26">
        <f>IF(B659="","",IF(G659="",0,IF(F659="Card",ROUND(G659*CardFeePercent+CardFeeFixed,2),IF(F659="Online deposit",ROUND(G659*CardFeePercent+CardFeeFixed,2),0))))</f>
        <v>0</v>
      </c>
      <c r="T659" s="26">
        <f>IF(B659="","",ROUND(IF(G659="",0,G659)*R659-S659,2))</f>
        <v>0</v>
      </c>
      <c r="U659" s="38">
        <f>IF(B659="","",IF(E659="Tip","Yes","No"))</f>
        <v>0</v>
      </c>
      <c r="V659" s="15">
        <f>IF(B659="","",IF(H659&lt;&gt;"","Sale "&amp;H659,IF(I659&lt;&gt;"","Booking "&amp;I659,IF(E659="Tip","Stylist","Unapplied"))))</f>
        <v>0</v>
      </c>
      <c r="W659" s="39">
        <f>IF(B659="","",IF(G659="","Add - no amount yet",IF(E659="","Add - what was this for?",IF(IF(H659="",FALSE,COUNTIF(Sales!$A$5:$A$1204,H659)=0),"Missing - no sale with that ID",IF(IF(I659="",FALSE,COUNTIF(Appointments!$A$5:$A$1204,I659)=0),"Missing - no booking with that ID",IF(IF(E659="Tip",J659="",FALSE),"Assign - whose tip is it?",IF(IF(E659="Deposit",IF(H659="",I659="",FALSE),FALSE),"Check - deposit not tied to a booking",IF(M659="No","Due - not reconciled yet","OK"))))))))</f>
        <v>0</v>
      </c>
    </row>
    <row r="660" spans="1:23">
      <c r="A660" s="28">
        <f>IF(B660="","",PaymentPrefix&amp;TEXT(ROW()-4,"0000"))</f>
        <v>0</v>
      </c>
      <c r="D660" s="15">
        <f>IF(C660="","",IFERROR(INDEX(Clients!$B$5:$B$504,MATCH(C660,Clients!$A$5:$A$504,0)),"Walk-in"))</f>
        <v>0</v>
      </c>
      <c r="K660" s="15">
        <f>IF(J660="","",IFERROR(INDEX(Staff!$B$5:$B$44,MATCH(J660,Staff!$A$5:$A$44,0)),""))</f>
        <v>0</v>
      </c>
      <c r="O660" s="15">
        <f>IF(B660="","",TEXT(B660,"yyyy-mm"))</f>
        <v>0</v>
      </c>
      <c r="P660" s="25">
        <f>IF(B660="","",WEEKNUM(B660,2))</f>
        <v>0</v>
      </c>
      <c r="Q660" s="38">
        <f>IF(B660="","",IF(E660="Tip","No",IF(E660="Refund","No","Yes")))</f>
        <v>0</v>
      </c>
      <c r="R660" s="25">
        <f>IF(B660="","",IF(E660="Refund",-1,1))</f>
        <v>0</v>
      </c>
      <c r="S660" s="26">
        <f>IF(B660="","",IF(G660="",0,IF(F660="Card",ROUND(G660*CardFeePercent+CardFeeFixed,2),IF(F660="Online deposit",ROUND(G660*CardFeePercent+CardFeeFixed,2),0))))</f>
        <v>0</v>
      </c>
      <c r="T660" s="26">
        <f>IF(B660="","",ROUND(IF(G660="",0,G660)*R660-S660,2))</f>
        <v>0</v>
      </c>
      <c r="U660" s="38">
        <f>IF(B660="","",IF(E660="Tip","Yes","No"))</f>
        <v>0</v>
      </c>
      <c r="V660" s="15">
        <f>IF(B660="","",IF(H660&lt;&gt;"","Sale "&amp;H660,IF(I660&lt;&gt;"","Booking "&amp;I660,IF(E660="Tip","Stylist","Unapplied"))))</f>
        <v>0</v>
      </c>
      <c r="W660" s="39">
        <f>IF(B660="","",IF(G660="","Add - no amount yet",IF(E660="","Add - what was this for?",IF(IF(H660="",FALSE,COUNTIF(Sales!$A$5:$A$1204,H660)=0),"Missing - no sale with that ID",IF(IF(I660="",FALSE,COUNTIF(Appointments!$A$5:$A$1204,I660)=0),"Missing - no booking with that ID",IF(IF(E660="Tip",J660="",FALSE),"Assign - whose tip is it?",IF(IF(E660="Deposit",IF(H660="",I660="",FALSE),FALSE),"Check - deposit not tied to a booking",IF(M660="No","Due - not reconciled yet","OK"))))))))</f>
        <v>0</v>
      </c>
    </row>
    <row r="661" spans="1:23">
      <c r="A661" s="28">
        <f>IF(B661="","",PaymentPrefix&amp;TEXT(ROW()-4,"0000"))</f>
        <v>0</v>
      </c>
      <c r="D661" s="15">
        <f>IF(C661="","",IFERROR(INDEX(Clients!$B$5:$B$504,MATCH(C661,Clients!$A$5:$A$504,0)),"Walk-in"))</f>
        <v>0</v>
      </c>
      <c r="K661" s="15">
        <f>IF(J661="","",IFERROR(INDEX(Staff!$B$5:$B$44,MATCH(J661,Staff!$A$5:$A$44,0)),""))</f>
        <v>0</v>
      </c>
      <c r="O661" s="15">
        <f>IF(B661="","",TEXT(B661,"yyyy-mm"))</f>
        <v>0</v>
      </c>
      <c r="P661" s="25">
        <f>IF(B661="","",WEEKNUM(B661,2))</f>
        <v>0</v>
      </c>
      <c r="Q661" s="38">
        <f>IF(B661="","",IF(E661="Tip","No",IF(E661="Refund","No","Yes")))</f>
        <v>0</v>
      </c>
      <c r="R661" s="25">
        <f>IF(B661="","",IF(E661="Refund",-1,1))</f>
        <v>0</v>
      </c>
      <c r="S661" s="26">
        <f>IF(B661="","",IF(G661="",0,IF(F661="Card",ROUND(G661*CardFeePercent+CardFeeFixed,2),IF(F661="Online deposit",ROUND(G661*CardFeePercent+CardFeeFixed,2),0))))</f>
        <v>0</v>
      </c>
      <c r="T661" s="26">
        <f>IF(B661="","",ROUND(IF(G661="",0,G661)*R661-S661,2))</f>
        <v>0</v>
      </c>
      <c r="U661" s="38">
        <f>IF(B661="","",IF(E661="Tip","Yes","No"))</f>
        <v>0</v>
      </c>
      <c r="V661" s="15">
        <f>IF(B661="","",IF(H661&lt;&gt;"","Sale "&amp;H661,IF(I661&lt;&gt;"","Booking "&amp;I661,IF(E661="Tip","Stylist","Unapplied"))))</f>
        <v>0</v>
      </c>
      <c r="W661" s="39">
        <f>IF(B661="","",IF(G661="","Add - no amount yet",IF(E661="","Add - what was this for?",IF(IF(H661="",FALSE,COUNTIF(Sales!$A$5:$A$1204,H661)=0),"Missing - no sale with that ID",IF(IF(I661="",FALSE,COUNTIF(Appointments!$A$5:$A$1204,I661)=0),"Missing - no booking with that ID",IF(IF(E661="Tip",J661="",FALSE),"Assign - whose tip is it?",IF(IF(E661="Deposit",IF(H661="",I661="",FALSE),FALSE),"Check - deposit not tied to a booking",IF(M661="No","Due - not reconciled yet","OK"))))))))</f>
        <v>0</v>
      </c>
    </row>
    <row r="662" spans="1:23">
      <c r="A662" s="28">
        <f>IF(B662="","",PaymentPrefix&amp;TEXT(ROW()-4,"0000"))</f>
        <v>0</v>
      </c>
      <c r="D662" s="15">
        <f>IF(C662="","",IFERROR(INDEX(Clients!$B$5:$B$504,MATCH(C662,Clients!$A$5:$A$504,0)),"Walk-in"))</f>
        <v>0</v>
      </c>
      <c r="K662" s="15">
        <f>IF(J662="","",IFERROR(INDEX(Staff!$B$5:$B$44,MATCH(J662,Staff!$A$5:$A$44,0)),""))</f>
        <v>0</v>
      </c>
      <c r="O662" s="15">
        <f>IF(B662="","",TEXT(B662,"yyyy-mm"))</f>
        <v>0</v>
      </c>
      <c r="P662" s="25">
        <f>IF(B662="","",WEEKNUM(B662,2))</f>
        <v>0</v>
      </c>
      <c r="Q662" s="38">
        <f>IF(B662="","",IF(E662="Tip","No",IF(E662="Refund","No","Yes")))</f>
        <v>0</v>
      </c>
      <c r="R662" s="25">
        <f>IF(B662="","",IF(E662="Refund",-1,1))</f>
        <v>0</v>
      </c>
      <c r="S662" s="26">
        <f>IF(B662="","",IF(G662="",0,IF(F662="Card",ROUND(G662*CardFeePercent+CardFeeFixed,2),IF(F662="Online deposit",ROUND(G662*CardFeePercent+CardFeeFixed,2),0))))</f>
        <v>0</v>
      </c>
      <c r="T662" s="26">
        <f>IF(B662="","",ROUND(IF(G662="",0,G662)*R662-S662,2))</f>
        <v>0</v>
      </c>
      <c r="U662" s="38">
        <f>IF(B662="","",IF(E662="Tip","Yes","No"))</f>
        <v>0</v>
      </c>
      <c r="V662" s="15">
        <f>IF(B662="","",IF(H662&lt;&gt;"","Sale "&amp;H662,IF(I662&lt;&gt;"","Booking "&amp;I662,IF(E662="Tip","Stylist","Unapplied"))))</f>
        <v>0</v>
      </c>
      <c r="W662" s="39">
        <f>IF(B662="","",IF(G662="","Add - no amount yet",IF(E662="","Add - what was this for?",IF(IF(H662="",FALSE,COUNTIF(Sales!$A$5:$A$1204,H662)=0),"Missing - no sale with that ID",IF(IF(I662="",FALSE,COUNTIF(Appointments!$A$5:$A$1204,I662)=0),"Missing - no booking with that ID",IF(IF(E662="Tip",J662="",FALSE),"Assign - whose tip is it?",IF(IF(E662="Deposit",IF(H662="",I662="",FALSE),FALSE),"Check - deposit not tied to a booking",IF(M662="No","Due - not reconciled yet","OK"))))))))</f>
        <v>0</v>
      </c>
    </row>
    <row r="663" spans="1:23">
      <c r="A663" s="28">
        <f>IF(B663="","",PaymentPrefix&amp;TEXT(ROW()-4,"0000"))</f>
        <v>0</v>
      </c>
      <c r="D663" s="15">
        <f>IF(C663="","",IFERROR(INDEX(Clients!$B$5:$B$504,MATCH(C663,Clients!$A$5:$A$504,0)),"Walk-in"))</f>
        <v>0</v>
      </c>
      <c r="K663" s="15">
        <f>IF(J663="","",IFERROR(INDEX(Staff!$B$5:$B$44,MATCH(J663,Staff!$A$5:$A$44,0)),""))</f>
        <v>0</v>
      </c>
      <c r="O663" s="15">
        <f>IF(B663="","",TEXT(B663,"yyyy-mm"))</f>
        <v>0</v>
      </c>
      <c r="P663" s="25">
        <f>IF(B663="","",WEEKNUM(B663,2))</f>
        <v>0</v>
      </c>
      <c r="Q663" s="38">
        <f>IF(B663="","",IF(E663="Tip","No",IF(E663="Refund","No","Yes")))</f>
        <v>0</v>
      </c>
      <c r="R663" s="25">
        <f>IF(B663="","",IF(E663="Refund",-1,1))</f>
        <v>0</v>
      </c>
      <c r="S663" s="26">
        <f>IF(B663="","",IF(G663="",0,IF(F663="Card",ROUND(G663*CardFeePercent+CardFeeFixed,2),IF(F663="Online deposit",ROUND(G663*CardFeePercent+CardFeeFixed,2),0))))</f>
        <v>0</v>
      </c>
      <c r="T663" s="26">
        <f>IF(B663="","",ROUND(IF(G663="",0,G663)*R663-S663,2))</f>
        <v>0</v>
      </c>
      <c r="U663" s="38">
        <f>IF(B663="","",IF(E663="Tip","Yes","No"))</f>
        <v>0</v>
      </c>
      <c r="V663" s="15">
        <f>IF(B663="","",IF(H663&lt;&gt;"","Sale "&amp;H663,IF(I663&lt;&gt;"","Booking "&amp;I663,IF(E663="Tip","Stylist","Unapplied"))))</f>
        <v>0</v>
      </c>
      <c r="W663" s="39">
        <f>IF(B663="","",IF(G663="","Add - no amount yet",IF(E663="","Add - what was this for?",IF(IF(H663="",FALSE,COUNTIF(Sales!$A$5:$A$1204,H663)=0),"Missing - no sale with that ID",IF(IF(I663="",FALSE,COUNTIF(Appointments!$A$5:$A$1204,I663)=0),"Missing - no booking with that ID",IF(IF(E663="Tip",J663="",FALSE),"Assign - whose tip is it?",IF(IF(E663="Deposit",IF(H663="",I663="",FALSE),FALSE),"Check - deposit not tied to a booking",IF(M663="No","Due - not reconciled yet","OK"))))))))</f>
        <v>0</v>
      </c>
    </row>
    <row r="664" spans="1:23">
      <c r="A664" s="28">
        <f>IF(B664="","",PaymentPrefix&amp;TEXT(ROW()-4,"0000"))</f>
        <v>0</v>
      </c>
      <c r="D664" s="15">
        <f>IF(C664="","",IFERROR(INDEX(Clients!$B$5:$B$504,MATCH(C664,Clients!$A$5:$A$504,0)),"Walk-in"))</f>
        <v>0</v>
      </c>
      <c r="K664" s="15">
        <f>IF(J664="","",IFERROR(INDEX(Staff!$B$5:$B$44,MATCH(J664,Staff!$A$5:$A$44,0)),""))</f>
        <v>0</v>
      </c>
      <c r="O664" s="15">
        <f>IF(B664="","",TEXT(B664,"yyyy-mm"))</f>
        <v>0</v>
      </c>
      <c r="P664" s="25">
        <f>IF(B664="","",WEEKNUM(B664,2))</f>
        <v>0</v>
      </c>
      <c r="Q664" s="38">
        <f>IF(B664="","",IF(E664="Tip","No",IF(E664="Refund","No","Yes")))</f>
        <v>0</v>
      </c>
      <c r="R664" s="25">
        <f>IF(B664="","",IF(E664="Refund",-1,1))</f>
        <v>0</v>
      </c>
      <c r="S664" s="26">
        <f>IF(B664="","",IF(G664="",0,IF(F664="Card",ROUND(G664*CardFeePercent+CardFeeFixed,2),IF(F664="Online deposit",ROUND(G664*CardFeePercent+CardFeeFixed,2),0))))</f>
        <v>0</v>
      </c>
      <c r="T664" s="26">
        <f>IF(B664="","",ROUND(IF(G664="",0,G664)*R664-S664,2))</f>
        <v>0</v>
      </c>
      <c r="U664" s="38">
        <f>IF(B664="","",IF(E664="Tip","Yes","No"))</f>
        <v>0</v>
      </c>
      <c r="V664" s="15">
        <f>IF(B664="","",IF(H664&lt;&gt;"","Sale "&amp;H664,IF(I664&lt;&gt;"","Booking "&amp;I664,IF(E664="Tip","Stylist","Unapplied"))))</f>
        <v>0</v>
      </c>
      <c r="W664" s="39">
        <f>IF(B664="","",IF(G664="","Add - no amount yet",IF(E664="","Add - what was this for?",IF(IF(H664="",FALSE,COUNTIF(Sales!$A$5:$A$1204,H664)=0),"Missing - no sale with that ID",IF(IF(I664="",FALSE,COUNTIF(Appointments!$A$5:$A$1204,I664)=0),"Missing - no booking with that ID",IF(IF(E664="Tip",J664="",FALSE),"Assign - whose tip is it?",IF(IF(E664="Deposit",IF(H664="",I664="",FALSE),FALSE),"Check - deposit not tied to a booking",IF(M664="No","Due - not reconciled yet","OK"))))))))</f>
        <v>0</v>
      </c>
    </row>
    <row r="665" spans="1:23">
      <c r="A665" s="28">
        <f>IF(B665="","",PaymentPrefix&amp;TEXT(ROW()-4,"0000"))</f>
        <v>0</v>
      </c>
      <c r="D665" s="15">
        <f>IF(C665="","",IFERROR(INDEX(Clients!$B$5:$B$504,MATCH(C665,Clients!$A$5:$A$504,0)),"Walk-in"))</f>
        <v>0</v>
      </c>
      <c r="K665" s="15">
        <f>IF(J665="","",IFERROR(INDEX(Staff!$B$5:$B$44,MATCH(J665,Staff!$A$5:$A$44,0)),""))</f>
        <v>0</v>
      </c>
      <c r="O665" s="15">
        <f>IF(B665="","",TEXT(B665,"yyyy-mm"))</f>
        <v>0</v>
      </c>
      <c r="P665" s="25">
        <f>IF(B665="","",WEEKNUM(B665,2))</f>
        <v>0</v>
      </c>
      <c r="Q665" s="38">
        <f>IF(B665="","",IF(E665="Tip","No",IF(E665="Refund","No","Yes")))</f>
        <v>0</v>
      </c>
      <c r="R665" s="25">
        <f>IF(B665="","",IF(E665="Refund",-1,1))</f>
        <v>0</v>
      </c>
      <c r="S665" s="26">
        <f>IF(B665="","",IF(G665="",0,IF(F665="Card",ROUND(G665*CardFeePercent+CardFeeFixed,2),IF(F665="Online deposit",ROUND(G665*CardFeePercent+CardFeeFixed,2),0))))</f>
        <v>0</v>
      </c>
      <c r="T665" s="26">
        <f>IF(B665="","",ROUND(IF(G665="",0,G665)*R665-S665,2))</f>
        <v>0</v>
      </c>
      <c r="U665" s="38">
        <f>IF(B665="","",IF(E665="Tip","Yes","No"))</f>
        <v>0</v>
      </c>
      <c r="V665" s="15">
        <f>IF(B665="","",IF(H665&lt;&gt;"","Sale "&amp;H665,IF(I665&lt;&gt;"","Booking "&amp;I665,IF(E665="Tip","Stylist","Unapplied"))))</f>
        <v>0</v>
      </c>
      <c r="W665" s="39">
        <f>IF(B665="","",IF(G665="","Add - no amount yet",IF(E665="","Add - what was this for?",IF(IF(H665="",FALSE,COUNTIF(Sales!$A$5:$A$1204,H665)=0),"Missing - no sale with that ID",IF(IF(I665="",FALSE,COUNTIF(Appointments!$A$5:$A$1204,I665)=0),"Missing - no booking with that ID",IF(IF(E665="Tip",J665="",FALSE),"Assign - whose tip is it?",IF(IF(E665="Deposit",IF(H665="",I665="",FALSE),FALSE),"Check - deposit not tied to a booking",IF(M665="No","Due - not reconciled yet","OK"))))))))</f>
        <v>0</v>
      </c>
    </row>
    <row r="666" spans="1:23">
      <c r="A666" s="28">
        <f>IF(B666="","",PaymentPrefix&amp;TEXT(ROW()-4,"0000"))</f>
        <v>0</v>
      </c>
      <c r="D666" s="15">
        <f>IF(C666="","",IFERROR(INDEX(Clients!$B$5:$B$504,MATCH(C666,Clients!$A$5:$A$504,0)),"Walk-in"))</f>
        <v>0</v>
      </c>
      <c r="K666" s="15">
        <f>IF(J666="","",IFERROR(INDEX(Staff!$B$5:$B$44,MATCH(J666,Staff!$A$5:$A$44,0)),""))</f>
        <v>0</v>
      </c>
      <c r="O666" s="15">
        <f>IF(B666="","",TEXT(B666,"yyyy-mm"))</f>
        <v>0</v>
      </c>
      <c r="P666" s="25">
        <f>IF(B666="","",WEEKNUM(B666,2))</f>
        <v>0</v>
      </c>
      <c r="Q666" s="38">
        <f>IF(B666="","",IF(E666="Tip","No",IF(E666="Refund","No","Yes")))</f>
        <v>0</v>
      </c>
      <c r="R666" s="25">
        <f>IF(B666="","",IF(E666="Refund",-1,1))</f>
        <v>0</v>
      </c>
      <c r="S666" s="26">
        <f>IF(B666="","",IF(G666="",0,IF(F666="Card",ROUND(G666*CardFeePercent+CardFeeFixed,2),IF(F666="Online deposit",ROUND(G666*CardFeePercent+CardFeeFixed,2),0))))</f>
        <v>0</v>
      </c>
      <c r="T666" s="26">
        <f>IF(B666="","",ROUND(IF(G666="",0,G666)*R666-S666,2))</f>
        <v>0</v>
      </c>
      <c r="U666" s="38">
        <f>IF(B666="","",IF(E666="Tip","Yes","No"))</f>
        <v>0</v>
      </c>
      <c r="V666" s="15">
        <f>IF(B666="","",IF(H666&lt;&gt;"","Sale "&amp;H666,IF(I666&lt;&gt;"","Booking "&amp;I666,IF(E666="Tip","Stylist","Unapplied"))))</f>
        <v>0</v>
      </c>
      <c r="W666" s="39">
        <f>IF(B666="","",IF(G666="","Add - no amount yet",IF(E666="","Add - what was this for?",IF(IF(H666="",FALSE,COUNTIF(Sales!$A$5:$A$1204,H666)=0),"Missing - no sale with that ID",IF(IF(I666="",FALSE,COUNTIF(Appointments!$A$5:$A$1204,I666)=0),"Missing - no booking with that ID",IF(IF(E666="Tip",J666="",FALSE),"Assign - whose tip is it?",IF(IF(E666="Deposit",IF(H666="",I666="",FALSE),FALSE),"Check - deposit not tied to a booking",IF(M666="No","Due - not reconciled yet","OK"))))))))</f>
        <v>0</v>
      </c>
    </row>
    <row r="667" spans="1:23">
      <c r="A667" s="28">
        <f>IF(B667="","",PaymentPrefix&amp;TEXT(ROW()-4,"0000"))</f>
        <v>0</v>
      </c>
      <c r="D667" s="15">
        <f>IF(C667="","",IFERROR(INDEX(Clients!$B$5:$B$504,MATCH(C667,Clients!$A$5:$A$504,0)),"Walk-in"))</f>
        <v>0</v>
      </c>
      <c r="K667" s="15">
        <f>IF(J667="","",IFERROR(INDEX(Staff!$B$5:$B$44,MATCH(J667,Staff!$A$5:$A$44,0)),""))</f>
        <v>0</v>
      </c>
      <c r="O667" s="15">
        <f>IF(B667="","",TEXT(B667,"yyyy-mm"))</f>
        <v>0</v>
      </c>
      <c r="P667" s="25">
        <f>IF(B667="","",WEEKNUM(B667,2))</f>
        <v>0</v>
      </c>
      <c r="Q667" s="38">
        <f>IF(B667="","",IF(E667="Tip","No",IF(E667="Refund","No","Yes")))</f>
        <v>0</v>
      </c>
      <c r="R667" s="25">
        <f>IF(B667="","",IF(E667="Refund",-1,1))</f>
        <v>0</v>
      </c>
      <c r="S667" s="26">
        <f>IF(B667="","",IF(G667="",0,IF(F667="Card",ROUND(G667*CardFeePercent+CardFeeFixed,2),IF(F667="Online deposit",ROUND(G667*CardFeePercent+CardFeeFixed,2),0))))</f>
        <v>0</v>
      </c>
      <c r="T667" s="26">
        <f>IF(B667="","",ROUND(IF(G667="",0,G667)*R667-S667,2))</f>
        <v>0</v>
      </c>
      <c r="U667" s="38">
        <f>IF(B667="","",IF(E667="Tip","Yes","No"))</f>
        <v>0</v>
      </c>
      <c r="V667" s="15">
        <f>IF(B667="","",IF(H667&lt;&gt;"","Sale "&amp;H667,IF(I667&lt;&gt;"","Booking "&amp;I667,IF(E667="Tip","Stylist","Unapplied"))))</f>
        <v>0</v>
      </c>
      <c r="W667" s="39">
        <f>IF(B667="","",IF(G667="","Add - no amount yet",IF(E667="","Add - what was this for?",IF(IF(H667="",FALSE,COUNTIF(Sales!$A$5:$A$1204,H667)=0),"Missing - no sale with that ID",IF(IF(I667="",FALSE,COUNTIF(Appointments!$A$5:$A$1204,I667)=0),"Missing - no booking with that ID",IF(IF(E667="Tip",J667="",FALSE),"Assign - whose tip is it?",IF(IF(E667="Deposit",IF(H667="",I667="",FALSE),FALSE),"Check - deposit not tied to a booking",IF(M667="No","Due - not reconciled yet","OK"))))))))</f>
        <v>0</v>
      </c>
    </row>
    <row r="668" spans="1:23">
      <c r="A668" s="28">
        <f>IF(B668="","",PaymentPrefix&amp;TEXT(ROW()-4,"0000"))</f>
        <v>0</v>
      </c>
      <c r="D668" s="15">
        <f>IF(C668="","",IFERROR(INDEX(Clients!$B$5:$B$504,MATCH(C668,Clients!$A$5:$A$504,0)),"Walk-in"))</f>
        <v>0</v>
      </c>
      <c r="K668" s="15">
        <f>IF(J668="","",IFERROR(INDEX(Staff!$B$5:$B$44,MATCH(J668,Staff!$A$5:$A$44,0)),""))</f>
        <v>0</v>
      </c>
      <c r="O668" s="15">
        <f>IF(B668="","",TEXT(B668,"yyyy-mm"))</f>
        <v>0</v>
      </c>
      <c r="P668" s="25">
        <f>IF(B668="","",WEEKNUM(B668,2))</f>
        <v>0</v>
      </c>
      <c r="Q668" s="38">
        <f>IF(B668="","",IF(E668="Tip","No",IF(E668="Refund","No","Yes")))</f>
        <v>0</v>
      </c>
      <c r="R668" s="25">
        <f>IF(B668="","",IF(E668="Refund",-1,1))</f>
        <v>0</v>
      </c>
      <c r="S668" s="26">
        <f>IF(B668="","",IF(G668="",0,IF(F668="Card",ROUND(G668*CardFeePercent+CardFeeFixed,2),IF(F668="Online deposit",ROUND(G668*CardFeePercent+CardFeeFixed,2),0))))</f>
        <v>0</v>
      </c>
      <c r="T668" s="26">
        <f>IF(B668="","",ROUND(IF(G668="",0,G668)*R668-S668,2))</f>
        <v>0</v>
      </c>
      <c r="U668" s="38">
        <f>IF(B668="","",IF(E668="Tip","Yes","No"))</f>
        <v>0</v>
      </c>
      <c r="V668" s="15">
        <f>IF(B668="","",IF(H668&lt;&gt;"","Sale "&amp;H668,IF(I668&lt;&gt;"","Booking "&amp;I668,IF(E668="Tip","Stylist","Unapplied"))))</f>
        <v>0</v>
      </c>
      <c r="W668" s="39">
        <f>IF(B668="","",IF(G668="","Add - no amount yet",IF(E668="","Add - what was this for?",IF(IF(H668="",FALSE,COUNTIF(Sales!$A$5:$A$1204,H668)=0),"Missing - no sale with that ID",IF(IF(I668="",FALSE,COUNTIF(Appointments!$A$5:$A$1204,I668)=0),"Missing - no booking with that ID",IF(IF(E668="Tip",J668="",FALSE),"Assign - whose tip is it?",IF(IF(E668="Deposit",IF(H668="",I668="",FALSE),FALSE),"Check - deposit not tied to a booking",IF(M668="No","Due - not reconciled yet","OK"))))))))</f>
        <v>0</v>
      </c>
    </row>
    <row r="669" spans="1:23">
      <c r="A669" s="28">
        <f>IF(B669="","",PaymentPrefix&amp;TEXT(ROW()-4,"0000"))</f>
        <v>0</v>
      </c>
      <c r="D669" s="15">
        <f>IF(C669="","",IFERROR(INDEX(Clients!$B$5:$B$504,MATCH(C669,Clients!$A$5:$A$504,0)),"Walk-in"))</f>
        <v>0</v>
      </c>
      <c r="K669" s="15">
        <f>IF(J669="","",IFERROR(INDEX(Staff!$B$5:$B$44,MATCH(J669,Staff!$A$5:$A$44,0)),""))</f>
        <v>0</v>
      </c>
      <c r="O669" s="15">
        <f>IF(B669="","",TEXT(B669,"yyyy-mm"))</f>
        <v>0</v>
      </c>
      <c r="P669" s="25">
        <f>IF(B669="","",WEEKNUM(B669,2))</f>
        <v>0</v>
      </c>
      <c r="Q669" s="38">
        <f>IF(B669="","",IF(E669="Tip","No",IF(E669="Refund","No","Yes")))</f>
        <v>0</v>
      </c>
      <c r="R669" s="25">
        <f>IF(B669="","",IF(E669="Refund",-1,1))</f>
        <v>0</v>
      </c>
      <c r="S669" s="26">
        <f>IF(B669="","",IF(G669="",0,IF(F669="Card",ROUND(G669*CardFeePercent+CardFeeFixed,2),IF(F669="Online deposit",ROUND(G669*CardFeePercent+CardFeeFixed,2),0))))</f>
        <v>0</v>
      </c>
      <c r="T669" s="26">
        <f>IF(B669="","",ROUND(IF(G669="",0,G669)*R669-S669,2))</f>
        <v>0</v>
      </c>
      <c r="U669" s="38">
        <f>IF(B669="","",IF(E669="Tip","Yes","No"))</f>
        <v>0</v>
      </c>
      <c r="V669" s="15">
        <f>IF(B669="","",IF(H669&lt;&gt;"","Sale "&amp;H669,IF(I669&lt;&gt;"","Booking "&amp;I669,IF(E669="Tip","Stylist","Unapplied"))))</f>
        <v>0</v>
      </c>
      <c r="W669" s="39">
        <f>IF(B669="","",IF(G669="","Add - no amount yet",IF(E669="","Add - what was this for?",IF(IF(H669="",FALSE,COUNTIF(Sales!$A$5:$A$1204,H669)=0),"Missing - no sale with that ID",IF(IF(I669="",FALSE,COUNTIF(Appointments!$A$5:$A$1204,I669)=0),"Missing - no booking with that ID",IF(IF(E669="Tip",J669="",FALSE),"Assign - whose tip is it?",IF(IF(E669="Deposit",IF(H669="",I669="",FALSE),FALSE),"Check - deposit not tied to a booking",IF(M669="No","Due - not reconciled yet","OK"))))))))</f>
        <v>0</v>
      </c>
    </row>
    <row r="670" spans="1:23">
      <c r="A670" s="28">
        <f>IF(B670="","",PaymentPrefix&amp;TEXT(ROW()-4,"0000"))</f>
        <v>0</v>
      </c>
      <c r="D670" s="15">
        <f>IF(C670="","",IFERROR(INDEX(Clients!$B$5:$B$504,MATCH(C670,Clients!$A$5:$A$504,0)),"Walk-in"))</f>
        <v>0</v>
      </c>
      <c r="K670" s="15">
        <f>IF(J670="","",IFERROR(INDEX(Staff!$B$5:$B$44,MATCH(J670,Staff!$A$5:$A$44,0)),""))</f>
        <v>0</v>
      </c>
      <c r="O670" s="15">
        <f>IF(B670="","",TEXT(B670,"yyyy-mm"))</f>
        <v>0</v>
      </c>
      <c r="P670" s="25">
        <f>IF(B670="","",WEEKNUM(B670,2))</f>
        <v>0</v>
      </c>
      <c r="Q670" s="38">
        <f>IF(B670="","",IF(E670="Tip","No",IF(E670="Refund","No","Yes")))</f>
        <v>0</v>
      </c>
      <c r="R670" s="25">
        <f>IF(B670="","",IF(E670="Refund",-1,1))</f>
        <v>0</v>
      </c>
      <c r="S670" s="26">
        <f>IF(B670="","",IF(G670="",0,IF(F670="Card",ROUND(G670*CardFeePercent+CardFeeFixed,2),IF(F670="Online deposit",ROUND(G670*CardFeePercent+CardFeeFixed,2),0))))</f>
        <v>0</v>
      </c>
      <c r="T670" s="26">
        <f>IF(B670="","",ROUND(IF(G670="",0,G670)*R670-S670,2))</f>
        <v>0</v>
      </c>
      <c r="U670" s="38">
        <f>IF(B670="","",IF(E670="Tip","Yes","No"))</f>
        <v>0</v>
      </c>
      <c r="V670" s="15">
        <f>IF(B670="","",IF(H670&lt;&gt;"","Sale "&amp;H670,IF(I670&lt;&gt;"","Booking "&amp;I670,IF(E670="Tip","Stylist","Unapplied"))))</f>
        <v>0</v>
      </c>
      <c r="W670" s="39">
        <f>IF(B670="","",IF(G670="","Add - no amount yet",IF(E670="","Add - what was this for?",IF(IF(H670="",FALSE,COUNTIF(Sales!$A$5:$A$1204,H670)=0),"Missing - no sale with that ID",IF(IF(I670="",FALSE,COUNTIF(Appointments!$A$5:$A$1204,I670)=0),"Missing - no booking with that ID",IF(IF(E670="Tip",J670="",FALSE),"Assign - whose tip is it?",IF(IF(E670="Deposit",IF(H670="",I670="",FALSE),FALSE),"Check - deposit not tied to a booking",IF(M670="No","Due - not reconciled yet","OK"))))))))</f>
        <v>0</v>
      </c>
    </row>
    <row r="671" spans="1:23">
      <c r="A671" s="28">
        <f>IF(B671="","",PaymentPrefix&amp;TEXT(ROW()-4,"0000"))</f>
        <v>0</v>
      </c>
      <c r="D671" s="15">
        <f>IF(C671="","",IFERROR(INDEX(Clients!$B$5:$B$504,MATCH(C671,Clients!$A$5:$A$504,0)),"Walk-in"))</f>
        <v>0</v>
      </c>
      <c r="K671" s="15">
        <f>IF(J671="","",IFERROR(INDEX(Staff!$B$5:$B$44,MATCH(J671,Staff!$A$5:$A$44,0)),""))</f>
        <v>0</v>
      </c>
      <c r="O671" s="15">
        <f>IF(B671="","",TEXT(B671,"yyyy-mm"))</f>
        <v>0</v>
      </c>
      <c r="P671" s="25">
        <f>IF(B671="","",WEEKNUM(B671,2))</f>
        <v>0</v>
      </c>
      <c r="Q671" s="38">
        <f>IF(B671="","",IF(E671="Tip","No",IF(E671="Refund","No","Yes")))</f>
        <v>0</v>
      </c>
      <c r="R671" s="25">
        <f>IF(B671="","",IF(E671="Refund",-1,1))</f>
        <v>0</v>
      </c>
      <c r="S671" s="26">
        <f>IF(B671="","",IF(G671="",0,IF(F671="Card",ROUND(G671*CardFeePercent+CardFeeFixed,2),IF(F671="Online deposit",ROUND(G671*CardFeePercent+CardFeeFixed,2),0))))</f>
        <v>0</v>
      </c>
      <c r="T671" s="26">
        <f>IF(B671="","",ROUND(IF(G671="",0,G671)*R671-S671,2))</f>
        <v>0</v>
      </c>
      <c r="U671" s="38">
        <f>IF(B671="","",IF(E671="Tip","Yes","No"))</f>
        <v>0</v>
      </c>
      <c r="V671" s="15">
        <f>IF(B671="","",IF(H671&lt;&gt;"","Sale "&amp;H671,IF(I671&lt;&gt;"","Booking "&amp;I671,IF(E671="Tip","Stylist","Unapplied"))))</f>
        <v>0</v>
      </c>
      <c r="W671" s="39">
        <f>IF(B671="","",IF(G671="","Add - no amount yet",IF(E671="","Add - what was this for?",IF(IF(H671="",FALSE,COUNTIF(Sales!$A$5:$A$1204,H671)=0),"Missing - no sale with that ID",IF(IF(I671="",FALSE,COUNTIF(Appointments!$A$5:$A$1204,I671)=0),"Missing - no booking with that ID",IF(IF(E671="Tip",J671="",FALSE),"Assign - whose tip is it?",IF(IF(E671="Deposit",IF(H671="",I671="",FALSE),FALSE),"Check - deposit not tied to a booking",IF(M671="No","Due - not reconciled yet","OK"))))))))</f>
        <v>0</v>
      </c>
    </row>
    <row r="672" spans="1:23">
      <c r="A672" s="28">
        <f>IF(B672="","",PaymentPrefix&amp;TEXT(ROW()-4,"0000"))</f>
        <v>0</v>
      </c>
      <c r="D672" s="15">
        <f>IF(C672="","",IFERROR(INDEX(Clients!$B$5:$B$504,MATCH(C672,Clients!$A$5:$A$504,0)),"Walk-in"))</f>
        <v>0</v>
      </c>
      <c r="K672" s="15">
        <f>IF(J672="","",IFERROR(INDEX(Staff!$B$5:$B$44,MATCH(J672,Staff!$A$5:$A$44,0)),""))</f>
        <v>0</v>
      </c>
      <c r="O672" s="15">
        <f>IF(B672="","",TEXT(B672,"yyyy-mm"))</f>
        <v>0</v>
      </c>
      <c r="P672" s="25">
        <f>IF(B672="","",WEEKNUM(B672,2))</f>
        <v>0</v>
      </c>
      <c r="Q672" s="38">
        <f>IF(B672="","",IF(E672="Tip","No",IF(E672="Refund","No","Yes")))</f>
        <v>0</v>
      </c>
      <c r="R672" s="25">
        <f>IF(B672="","",IF(E672="Refund",-1,1))</f>
        <v>0</v>
      </c>
      <c r="S672" s="26">
        <f>IF(B672="","",IF(G672="",0,IF(F672="Card",ROUND(G672*CardFeePercent+CardFeeFixed,2),IF(F672="Online deposit",ROUND(G672*CardFeePercent+CardFeeFixed,2),0))))</f>
        <v>0</v>
      </c>
      <c r="T672" s="26">
        <f>IF(B672="","",ROUND(IF(G672="",0,G672)*R672-S672,2))</f>
        <v>0</v>
      </c>
      <c r="U672" s="38">
        <f>IF(B672="","",IF(E672="Tip","Yes","No"))</f>
        <v>0</v>
      </c>
      <c r="V672" s="15">
        <f>IF(B672="","",IF(H672&lt;&gt;"","Sale "&amp;H672,IF(I672&lt;&gt;"","Booking "&amp;I672,IF(E672="Tip","Stylist","Unapplied"))))</f>
        <v>0</v>
      </c>
      <c r="W672" s="39">
        <f>IF(B672="","",IF(G672="","Add - no amount yet",IF(E672="","Add - what was this for?",IF(IF(H672="",FALSE,COUNTIF(Sales!$A$5:$A$1204,H672)=0),"Missing - no sale with that ID",IF(IF(I672="",FALSE,COUNTIF(Appointments!$A$5:$A$1204,I672)=0),"Missing - no booking with that ID",IF(IF(E672="Tip",J672="",FALSE),"Assign - whose tip is it?",IF(IF(E672="Deposit",IF(H672="",I672="",FALSE),FALSE),"Check - deposit not tied to a booking",IF(M672="No","Due - not reconciled yet","OK"))))))))</f>
        <v>0</v>
      </c>
    </row>
    <row r="673" spans="1:23">
      <c r="A673" s="28">
        <f>IF(B673="","",PaymentPrefix&amp;TEXT(ROW()-4,"0000"))</f>
        <v>0</v>
      </c>
      <c r="D673" s="15">
        <f>IF(C673="","",IFERROR(INDEX(Clients!$B$5:$B$504,MATCH(C673,Clients!$A$5:$A$504,0)),"Walk-in"))</f>
        <v>0</v>
      </c>
      <c r="K673" s="15">
        <f>IF(J673="","",IFERROR(INDEX(Staff!$B$5:$B$44,MATCH(J673,Staff!$A$5:$A$44,0)),""))</f>
        <v>0</v>
      </c>
      <c r="O673" s="15">
        <f>IF(B673="","",TEXT(B673,"yyyy-mm"))</f>
        <v>0</v>
      </c>
      <c r="P673" s="25">
        <f>IF(B673="","",WEEKNUM(B673,2))</f>
        <v>0</v>
      </c>
      <c r="Q673" s="38">
        <f>IF(B673="","",IF(E673="Tip","No",IF(E673="Refund","No","Yes")))</f>
        <v>0</v>
      </c>
      <c r="R673" s="25">
        <f>IF(B673="","",IF(E673="Refund",-1,1))</f>
        <v>0</v>
      </c>
      <c r="S673" s="26">
        <f>IF(B673="","",IF(G673="",0,IF(F673="Card",ROUND(G673*CardFeePercent+CardFeeFixed,2),IF(F673="Online deposit",ROUND(G673*CardFeePercent+CardFeeFixed,2),0))))</f>
        <v>0</v>
      </c>
      <c r="T673" s="26">
        <f>IF(B673="","",ROUND(IF(G673="",0,G673)*R673-S673,2))</f>
        <v>0</v>
      </c>
      <c r="U673" s="38">
        <f>IF(B673="","",IF(E673="Tip","Yes","No"))</f>
        <v>0</v>
      </c>
      <c r="V673" s="15">
        <f>IF(B673="","",IF(H673&lt;&gt;"","Sale "&amp;H673,IF(I673&lt;&gt;"","Booking "&amp;I673,IF(E673="Tip","Stylist","Unapplied"))))</f>
        <v>0</v>
      </c>
      <c r="W673" s="39">
        <f>IF(B673="","",IF(G673="","Add - no amount yet",IF(E673="","Add - what was this for?",IF(IF(H673="",FALSE,COUNTIF(Sales!$A$5:$A$1204,H673)=0),"Missing - no sale with that ID",IF(IF(I673="",FALSE,COUNTIF(Appointments!$A$5:$A$1204,I673)=0),"Missing - no booking with that ID",IF(IF(E673="Tip",J673="",FALSE),"Assign - whose tip is it?",IF(IF(E673="Deposit",IF(H673="",I673="",FALSE),FALSE),"Check - deposit not tied to a booking",IF(M673="No","Due - not reconciled yet","OK"))))))))</f>
        <v>0</v>
      </c>
    </row>
    <row r="674" spans="1:23">
      <c r="A674" s="28">
        <f>IF(B674="","",PaymentPrefix&amp;TEXT(ROW()-4,"0000"))</f>
        <v>0</v>
      </c>
      <c r="D674" s="15">
        <f>IF(C674="","",IFERROR(INDEX(Clients!$B$5:$B$504,MATCH(C674,Clients!$A$5:$A$504,0)),"Walk-in"))</f>
        <v>0</v>
      </c>
      <c r="K674" s="15">
        <f>IF(J674="","",IFERROR(INDEX(Staff!$B$5:$B$44,MATCH(J674,Staff!$A$5:$A$44,0)),""))</f>
        <v>0</v>
      </c>
      <c r="O674" s="15">
        <f>IF(B674="","",TEXT(B674,"yyyy-mm"))</f>
        <v>0</v>
      </c>
      <c r="P674" s="25">
        <f>IF(B674="","",WEEKNUM(B674,2))</f>
        <v>0</v>
      </c>
      <c r="Q674" s="38">
        <f>IF(B674="","",IF(E674="Tip","No",IF(E674="Refund","No","Yes")))</f>
        <v>0</v>
      </c>
      <c r="R674" s="25">
        <f>IF(B674="","",IF(E674="Refund",-1,1))</f>
        <v>0</v>
      </c>
      <c r="S674" s="26">
        <f>IF(B674="","",IF(G674="",0,IF(F674="Card",ROUND(G674*CardFeePercent+CardFeeFixed,2),IF(F674="Online deposit",ROUND(G674*CardFeePercent+CardFeeFixed,2),0))))</f>
        <v>0</v>
      </c>
      <c r="T674" s="26">
        <f>IF(B674="","",ROUND(IF(G674="",0,G674)*R674-S674,2))</f>
        <v>0</v>
      </c>
      <c r="U674" s="38">
        <f>IF(B674="","",IF(E674="Tip","Yes","No"))</f>
        <v>0</v>
      </c>
      <c r="V674" s="15">
        <f>IF(B674="","",IF(H674&lt;&gt;"","Sale "&amp;H674,IF(I674&lt;&gt;"","Booking "&amp;I674,IF(E674="Tip","Stylist","Unapplied"))))</f>
        <v>0</v>
      </c>
      <c r="W674" s="39">
        <f>IF(B674="","",IF(G674="","Add - no amount yet",IF(E674="","Add - what was this for?",IF(IF(H674="",FALSE,COUNTIF(Sales!$A$5:$A$1204,H674)=0),"Missing - no sale with that ID",IF(IF(I674="",FALSE,COUNTIF(Appointments!$A$5:$A$1204,I674)=0),"Missing - no booking with that ID",IF(IF(E674="Tip",J674="",FALSE),"Assign - whose tip is it?",IF(IF(E674="Deposit",IF(H674="",I674="",FALSE),FALSE),"Check - deposit not tied to a booking",IF(M674="No","Due - not reconciled yet","OK"))))))))</f>
        <v>0</v>
      </c>
    </row>
    <row r="675" spans="1:23">
      <c r="A675" s="28">
        <f>IF(B675="","",PaymentPrefix&amp;TEXT(ROW()-4,"0000"))</f>
        <v>0</v>
      </c>
      <c r="D675" s="15">
        <f>IF(C675="","",IFERROR(INDEX(Clients!$B$5:$B$504,MATCH(C675,Clients!$A$5:$A$504,0)),"Walk-in"))</f>
        <v>0</v>
      </c>
      <c r="K675" s="15">
        <f>IF(J675="","",IFERROR(INDEX(Staff!$B$5:$B$44,MATCH(J675,Staff!$A$5:$A$44,0)),""))</f>
        <v>0</v>
      </c>
      <c r="O675" s="15">
        <f>IF(B675="","",TEXT(B675,"yyyy-mm"))</f>
        <v>0</v>
      </c>
      <c r="P675" s="25">
        <f>IF(B675="","",WEEKNUM(B675,2))</f>
        <v>0</v>
      </c>
      <c r="Q675" s="38">
        <f>IF(B675="","",IF(E675="Tip","No",IF(E675="Refund","No","Yes")))</f>
        <v>0</v>
      </c>
      <c r="R675" s="25">
        <f>IF(B675="","",IF(E675="Refund",-1,1))</f>
        <v>0</v>
      </c>
      <c r="S675" s="26">
        <f>IF(B675="","",IF(G675="",0,IF(F675="Card",ROUND(G675*CardFeePercent+CardFeeFixed,2),IF(F675="Online deposit",ROUND(G675*CardFeePercent+CardFeeFixed,2),0))))</f>
        <v>0</v>
      </c>
      <c r="T675" s="26">
        <f>IF(B675="","",ROUND(IF(G675="",0,G675)*R675-S675,2))</f>
        <v>0</v>
      </c>
      <c r="U675" s="38">
        <f>IF(B675="","",IF(E675="Tip","Yes","No"))</f>
        <v>0</v>
      </c>
      <c r="V675" s="15">
        <f>IF(B675="","",IF(H675&lt;&gt;"","Sale "&amp;H675,IF(I675&lt;&gt;"","Booking "&amp;I675,IF(E675="Tip","Stylist","Unapplied"))))</f>
        <v>0</v>
      </c>
      <c r="W675" s="39">
        <f>IF(B675="","",IF(G675="","Add - no amount yet",IF(E675="","Add - what was this for?",IF(IF(H675="",FALSE,COUNTIF(Sales!$A$5:$A$1204,H675)=0),"Missing - no sale with that ID",IF(IF(I675="",FALSE,COUNTIF(Appointments!$A$5:$A$1204,I675)=0),"Missing - no booking with that ID",IF(IF(E675="Tip",J675="",FALSE),"Assign - whose tip is it?",IF(IF(E675="Deposit",IF(H675="",I675="",FALSE),FALSE),"Check - deposit not tied to a booking",IF(M675="No","Due - not reconciled yet","OK"))))))))</f>
        <v>0</v>
      </c>
    </row>
    <row r="676" spans="1:23">
      <c r="A676" s="28">
        <f>IF(B676="","",PaymentPrefix&amp;TEXT(ROW()-4,"0000"))</f>
        <v>0</v>
      </c>
      <c r="D676" s="15">
        <f>IF(C676="","",IFERROR(INDEX(Clients!$B$5:$B$504,MATCH(C676,Clients!$A$5:$A$504,0)),"Walk-in"))</f>
        <v>0</v>
      </c>
      <c r="K676" s="15">
        <f>IF(J676="","",IFERROR(INDEX(Staff!$B$5:$B$44,MATCH(J676,Staff!$A$5:$A$44,0)),""))</f>
        <v>0</v>
      </c>
      <c r="O676" s="15">
        <f>IF(B676="","",TEXT(B676,"yyyy-mm"))</f>
        <v>0</v>
      </c>
      <c r="P676" s="25">
        <f>IF(B676="","",WEEKNUM(B676,2))</f>
        <v>0</v>
      </c>
      <c r="Q676" s="38">
        <f>IF(B676="","",IF(E676="Tip","No",IF(E676="Refund","No","Yes")))</f>
        <v>0</v>
      </c>
      <c r="R676" s="25">
        <f>IF(B676="","",IF(E676="Refund",-1,1))</f>
        <v>0</v>
      </c>
      <c r="S676" s="26">
        <f>IF(B676="","",IF(G676="",0,IF(F676="Card",ROUND(G676*CardFeePercent+CardFeeFixed,2),IF(F676="Online deposit",ROUND(G676*CardFeePercent+CardFeeFixed,2),0))))</f>
        <v>0</v>
      </c>
      <c r="T676" s="26">
        <f>IF(B676="","",ROUND(IF(G676="",0,G676)*R676-S676,2))</f>
        <v>0</v>
      </c>
      <c r="U676" s="38">
        <f>IF(B676="","",IF(E676="Tip","Yes","No"))</f>
        <v>0</v>
      </c>
      <c r="V676" s="15">
        <f>IF(B676="","",IF(H676&lt;&gt;"","Sale "&amp;H676,IF(I676&lt;&gt;"","Booking "&amp;I676,IF(E676="Tip","Stylist","Unapplied"))))</f>
        <v>0</v>
      </c>
      <c r="W676" s="39">
        <f>IF(B676="","",IF(G676="","Add - no amount yet",IF(E676="","Add - what was this for?",IF(IF(H676="",FALSE,COUNTIF(Sales!$A$5:$A$1204,H676)=0),"Missing - no sale with that ID",IF(IF(I676="",FALSE,COUNTIF(Appointments!$A$5:$A$1204,I676)=0),"Missing - no booking with that ID",IF(IF(E676="Tip",J676="",FALSE),"Assign - whose tip is it?",IF(IF(E676="Deposit",IF(H676="",I676="",FALSE),FALSE),"Check - deposit not tied to a booking",IF(M676="No","Due - not reconciled yet","OK"))))))))</f>
        <v>0</v>
      </c>
    </row>
    <row r="677" spans="1:23">
      <c r="A677" s="28">
        <f>IF(B677="","",PaymentPrefix&amp;TEXT(ROW()-4,"0000"))</f>
        <v>0</v>
      </c>
      <c r="D677" s="15">
        <f>IF(C677="","",IFERROR(INDEX(Clients!$B$5:$B$504,MATCH(C677,Clients!$A$5:$A$504,0)),"Walk-in"))</f>
        <v>0</v>
      </c>
      <c r="K677" s="15">
        <f>IF(J677="","",IFERROR(INDEX(Staff!$B$5:$B$44,MATCH(J677,Staff!$A$5:$A$44,0)),""))</f>
        <v>0</v>
      </c>
      <c r="O677" s="15">
        <f>IF(B677="","",TEXT(B677,"yyyy-mm"))</f>
        <v>0</v>
      </c>
      <c r="P677" s="25">
        <f>IF(B677="","",WEEKNUM(B677,2))</f>
        <v>0</v>
      </c>
      <c r="Q677" s="38">
        <f>IF(B677="","",IF(E677="Tip","No",IF(E677="Refund","No","Yes")))</f>
        <v>0</v>
      </c>
      <c r="R677" s="25">
        <f>IF(B677="","",IF(E677="Refund",-1,1))</f>
        <v>0</v>
      </c>
      <c r="S677" s="26">
        <f>IF(B677="","",IF(G677="",0,IF(F677="Card",ROUND(G677*CardFeePercent+CardFeeFixed,2),IF(F677="Online deposit",ROUND(G677*CardFeePercent+CardFeeFixed,2),0))))</f>
        <v>0</v>
      </c>
      <c r="T677" s="26">
        <f>IF(B677="","",ROUND(IF(G677="",0,G677)*R677-S677,2))</f>
        <v>0</v>
      </c>
      <c r="U677" s="38">
        <f>IF(B677="","",IF(E677="Tip","Yes","No"))</f>
        <v>0</v>
      </c>
      <c r="V677" s="15">
        <f>IF(B677="","",IF(H677&lt;&gt;"","Sale "&amp;H677,IF(I677&lt;&gt;"","Booking "&amp;I677,IF(E677="Tip","Stylist","Unapplied"))))</f>
        <v>0</v>
      </c>
      <c r="W677" s="39">
        <f>IF(B677="","",IF(G677="","Add - no amount yet",IF(E677="","Add - what was this for?",IF(IF(H677="",FALSE,COUNTIF(Sales!$A$5:$A$1204,H677)=0),"Missing - no sale with that ID",IF(IF(I677="",FALSE,COUNTIF(Appointments!$A$5:$A$1204,I677)=0),"Missing - no booking with that ID",IF(IF(E677="Tip",J677="",FALSE),"Assign - whose tip is it?",IF(IF(E677="Deposit",IF(H677="",I677="",FALSE),FALSE),"Check - deposit not tied to a booking",IF(M677="No","Due - not reconciled yet","OK"))))))))</f>
        <v>0</v>
      </c>
    </row>
    <row r="678" spans="1:23">
      <c r="A678" s="28">
        <f>IF(B678="","",PaymentPrefix&amp;TEXT(ROW()-4,"0000"))</f>
        <v>0</v>
      </c>
      <c r="D678" s="15">
        <f>IF(C678="","",IFERROR(INDEX(Clients!$B$5:$B$504,MATCH(C678,Clients!$A$5:$A$504,0)),"Walk-in"))</f>
        <v>0</v>
      </c>
      <c r="K678" s="15">
        <f>IF(J678="","",IFERROR(INDEX(Staff!$B$5:$B$44,MATCH(J678,Staff!$A$5:$A$44,0)),""))</f>
        <v>0</v>
      </c>
      <c r="O678" s="15">
        <f>IF(B678="","",TEXT(B678,"yyyy-mm"))</f>
        <v>0</v>
      </c>
      <c r="P678" s="25">
        <f>IF(B678="","",WEEKNUM(B678,2))</f>
        <v>0</v>
      </c>
      <c r="Q678" s="38">
        <f>IF(B678="","",IF(E678="Tip","No",IF(E678="Refund","No","Yes")))</f>
        <v>0</v>
      </c>
      <c r="R678" s="25">
        <f>IF(B678="","",IF(E678="Refund",-1,1))</f>
        <v>0</v>
      </c>
      <c r="S678" s="26">
        <f>IF(B678="","",IF(G678="",0,IF(F678="Card",ROUND(G678*CardFeePercent+CardFeeFixed,2),IF(F678="Online deposit",ROUND(G678*CardFeePercent+CardFeeFixed,2),0))))</f>
        <v>0</v>
      </c>
      <c r="T678" s="26">
        <f>IF(B678="","",ROUND(IF(G678="",0,G678)*R678-S678,2))</f>
        <v>0</v>
      </c>
      <c r="U678" s="38">
        <f>IF(B678="","",IF(E678="Tip","Yes","No"))</f>
        <v>0</v>
      </c>
      <c r="V678" s="15">
        <f>IF(B678="","",IF(H678&lt;&gt;"","Sale "&amp;H678,IF(I678&lt;&gt;"","Booking "&amp;I678,IF(E678="Tip","Stylist","Unapplied"))))</f>
        <v>0</v>
      </c>
      <c r="W678" s="39">
        <f>IF(B678="","",IF(G678="","Add - no amount yet",IF(E678="","Add - what was this for?",IF(IF(H678="",FALSE,COUNTIF(Sales!$A$5:$A$1204,H678)=0),"Missing - no sale with that ID",IF(IF(I678="",FALSE,COUNTIF(Appointments!$A$5:$A$1204,I678)=0),"Missing - no booking with that ID",IF(IF(E678="Tip",J678="",FALSE),"Assign - whose tip is it?",IF(IF(E678="Deposit",IF(H678="",I678="",FALSE),FALSE),"Check - deposit not tied to a booking",IF(M678="No","Due - not reconciled yet","OK"))))))))</f>
        <v>0</v>
      </c>
    </row>
    <row r="679" spans="1:23">
      <c r="A679" s="28">
        <f>IF(B679="","",PaymentPrefix&amp;TEXT(ROW()-4,"0000"))</f>
        <v>0</v>
      </c>
      <c r="D679" s="15">
        <f>IF(C679="","",IFERROR(INDEX(Clients!$B$5:$B$504,MATCH(C679,Clients!$A$5:$A$504,0)),"Walk-in"))</f>
        <v>0</v>
      </c>
      <c r="K679" s="15">
        <f>IF(J679="","",IFERROR(INDEX(Staff!$B$5:$B$44,MATCH(J679,Staff!$A$5:$A$44,0)),""))</f>
        <v>0</v>
      </c>
      <c r="O679" s="15">
        <f>IF(B679="","",TEXT(B679,"yyyy-mm"))</f>
        <v>0</v>
      </c>
      <c r="P679" s="25">
        <f>IF(B679="","",WEEKNUM(B679,2))</f>
        <v>0</v>
      </c>
      <c r="Q679" s="38">
        <f>IF(B679="","",IF(E679="Tip","No",IF(E679="Refund","No","Yes")))</f>
        <v>0</v>
      </c>
      <c r="R679" s="25">
        <f>IF(B679="","",IF(E679="Refund",-1,1))</f>
        <v>0</v>
      </c>
      <c r="S679" s="26">
        <f>IF(B679="","",IF(G679="",0,IF(F679="Card",ROUND(G679*CardFeePercent+CardFeeFixed,2),IF(F679="Online deposit",ROUND(G679*CardFeePercent+CardFeeFixed,2),0))))</f>
        <v>0</v>
      </c>
      <c r="T679" s="26">
        <f>IF(B679="","",ROUND(IF(G679="",0,G679)*R679-S679,2))</f>
        <v>0</v>
      </c>
      <c r="U679" s="38">
        <f>IF(B679="","",IF(E679="Tip","Yes","No"))</f>
        <v>0</v>
      </c>
      <c r="V679" s="15">
        <f>IF(B679="","",IF(H679&lt;&gt;"","Sale "&amp;H679,IF(I679&lt;&gt;"","Booking "&amp;I679,IF(E679="Tip","Stylist","Unapplied"))))</f>
        <v>0</v>
      </c>
      <c r="W679" s="39">
        <f>IF(B679="","",IF(G679="","Add - no amount yet",IF(E679="","Add - what was this for?",IF(IF(H679="",FALSE,COUNTIF(Sales!$A$5:$A$1204,H679)=0),"Missing - no sale with that ID",IF(IF(I679="",FALSE,COUNTIF(Appointments!$A$5:$A$1204,I679)=0),"Missing - no booking with that ID",IF(IF(E679="Tip",J679="",FALSE),"Assign - whose tip is it?",IF(IF(E679="Deposit",IF(H679="",I679="",FALSE),FALSE),"Check - deposit not tied to a booking",IF(M679="No","Due - not reconciled yet","OK"))))))))</f>
        <v>0</v>
      </c>
    </row>
    <row r="680" spans="1:23">
      <c r="A680" s="28">
        <f>IF(B680="","",PaymentPrefix&amp;TEXT(ROW()-4,"0000"))</f>
        <v>0</v>
      </c>
      <c r="D680" s="15">
        <f>IF(C680="","",IFERROR(INDEX(Clients!$B$5:$B$504,MATCH(C680,Clients!$A$5:$A$504,0)),"Walk-in"))</f>
        <v>0</v>
      </c>
      <c r="K680" s="15">
        <f>IF(J680="","",IFERROR(INDEX(Staff!$B$5:$B$44,MATCH(J680,Staff!$A$5:$A$44,0)),""))</f>
        <v>0</v>
      </c>
      <c r="O680" s="15">
        <f>IF(B680="","",TEXT(B680,"yyyy-mm"))</f>
        <v>0</v>
      </c>
      <c r="P680" s="25">
        <f>IF(B680="","",WEEKNUM(B680,2))</f>
        <v>0</v>
      </c>
      <c r="Q680" s="38">
        <f>IF(B680="","",IF(E680="Tip","No",IF(E680="Refund","No","Yes")))</f>
        <v>0</v>
      </c>
      <c r="R680" s="25">
        <f>IF(B680="","",IF(E680="Refund",-1,1))</f>
        <v>0</v>
      </c>
      <c r="S680" s="26">
        <f>IF(B680="","",IF(G680="",0,IF(F680="Card",ROUND(G680*CardFeePercent+CardFeeFixed,2),IF(F680="Online deposit",ROUND(G680*CardFeePercent+CardFeeFixed,2),0))))</f>
        <v>0</v>
      </c>
      <c r="T680" s="26">
        <f>IF(B680="","",ROUND(IF(G680="",0,G680)*R680-S680,2))</f>
        <v>0</v>
      </c>
      <c r="U680" s="38">
        <f>IF(B680="","",IF(E680="Tip","Yes","No"))</f>
        <v>0</v>
      </c>
      <c r="V680" s="15">
        <f>IF(B680="","",IF(H680&lt;&gt;"","Sale "&amp;H680,IF(I680&lt;&gt;"","Booking "&amp;I680,IF(E680="Tip","Stylist","Unapplied"))))</f>
        <v>0</v>
      </c>
      <c r="W680" s="39">
        <f>IF(B680="","",IF(G680="","Add - no amount yet",IF(E680="","Add - what was this for?",IF(IF(H680="",FALSE,COUNTIF(Sales!$A$5:$A$1204,H680)=0),"Missing - no sale with that ID",IF(IF(I680="",FALSE,COUNTIF(Appointments!$A$5:$A$1204,I680)=0),"Missing - no booking with that ID",IF(IF(E680="Tip",J680="",FALSE),"Assign - whose tip is it?",IF(IF(E680="Deposit",IF(H680="",I680="",FALSE),FALSE),"Check - deposit not tied to a booking",IF(M680="No","Due - not reconciled yet","OK"))))))))</f>
        <v>0</v>
      </c>
    </row>
    <row r="681" spans="1:23">
      <c r="A681" s="28">
        <f>IF(B681="","",PaymentPrefix&amp;TEXT(ROW()-4,"0000"))</f>
        <v>0</v>
      </c>
      <c r="D681" s="15">
        <f>IF(C681="","",IFERROR(INDEX(Clients!$B$5:$B$504,MATCH(C681,Clients!$A$5:$A$504,0)),"Walk-in"))</f>
        <v>0</v>
      </c>
      <c r="K681" s="15">
        <f>IF(J681="","",IFERROR(INDEX(Staff!$B$5:$B$44,MATCH(J681,Staff!$A$5:$A$44,0)),""))</f>
        <v>0</v>
      </c>
      <c r="O681" s="15">
        <f>IF(B681="","",TEXT(B681,"yyyy-mm"))</f>
        <v>0</v>
      </c>
      <c r="P681" s="25">
        <f>IF(B681="","",WEEKNUM(B681,2))</f>
        <v>0</v>
      </c>
      <c r="Q681" s="38">
        <f>IF(B681="","",IF(E681="Tip","No",IF(E681="Refund","No","Yes")))</f>
        <v>0</v>
      </c>
      <c r="R681" s="25">
        <f>IF(B681="","",IF(E681="Refund",-1,1))</f>
        <v>0</v>
      </c>
      <c r="S681" s="26">
        <f>IF(B681="","",IF(G681="",0,IF(F681="Card",ROUND(G681*CardFeePercent+CardFeeFixed,2),IF(F681="Online deposit",ROUND(G681*CardFeePercent+CardFeeFixed,2),0))))</f>
        <v>0</v>
      </c>
      <c r="T681" s="26">
        <f>IF(B681="","",ROUND(IF(G681="",0,G681)*R681-S681,2))</f>
        <v>0</v>
      </c>
      <c r="U681" s="38">
        <f>IF(B681="","",IF(E681="Tip","Yes","No"))</f>
        <v>0</v>
      </c>
      <c r="V681" s="15">
        <f>IF(B681="","",IF(H681&lt;&gt;"","Sale "&amp;H681,IF(I681&lt;&gt;"","Booking "&amp;I681,IF(E681="Tip","Stylist","Unapplied"))))</f>
        <v>0</v>
      </c>
      <c r="W681" s="39">
        <f>IF(B681="","",IF(G681="","Add - no amount yet",IF(E681="","Add - what was this for?",IF(IF(H681="",FALSE,COUNTIF(Sales!$A$5:$A$1204,H681)=0),"Missing - no sale with that ID",IF(IF(I681="",FALSE,COUNTIF(Appointments!$A$5:$A$1204,I681)=0),"Missing - no booking with that ID",IF(IF(E681="Tip",J681="",FALSE),"Assign - whose tip is it?",IF(IF(E681="Deposit",IF(H681="",I681="",FALSE),FALSE),"Check - deposit not tied to a booking",IF(M681="No","Due - not reconciled yet","OK"))))))))</f>
        <v>0</v>
      </c>
    </row>
    <row r="682" spans="1:23">
      <c r="A682" s="28">
        <f>IF(B682="","",PaymentPrefix&amp;TEXT(ROW()-4,"0000"))</f>
        <v>0</v>
      </c>
      <c r="D682" s="15">
        <f>IF(C682="","",IFERROR(INDEX(Clients!$B$5:$B$504,MATCH(C682,Clients!$A$5:$A$504,0)),"Walk-in"))</f>
        <v>0</v>
      </c>
      <c r="K682" s="15">
        <f>IF(J682="","",IFERROR(INDEX(Staff!$B$5:$B$44,MATCH(J682,Staff!$A$5:$A$44,0)),""))</f>
        <v>0</v>
      </c>
      <c r="O682" s="15">
        <f>IF(B682="","",TEXT(B682,"yyyy-mm"))</f>
        <v>0</v>
      </c>
      <c r="P682" s="25">
        <f>IF(B682="","",WEEKNUM(B682,2))</f>
        <v>0</v>
      </c>
      <c r="Q682" s="38">
        <f>IF(B682="","",IF(E682="Tip","No",IF(E682="Refund","No","Yes")))</f>
        <v>0</v>
      </c>
      <c r="R682" s="25">
        <f>IF(B682="","",IF(E682="Refund",-1,1))</f>
        <v>0</v>
      </c>
      <c r="S682" s="26">
        <f>IF(B682="","",IF(G682="",0,IF(F682="Card",ROUND(G682*CardFeePercent+CardFeeFixed,2),IF(F682="Online deposit",ROUND(G682*CardFeePercent+CardFeeFixed,2),0))))</f>
        <v>0</v>
      </c>
      <c r="T682" s="26">
        <f>IF(B682="","",ROUND(IF(G682="",0,G682)*R682-S682,2))</f>
        <v>0</v>
      </c>
      <c r="U682" s="38">
        <f>IF(B682="","",IF(E682="Tip","Yes","No"))</f>
        <v>0</v>
      </c>
      <c r="V682" s="15">
        <f>IF(B682="","",IF(H682&lt;&gt;"","Sale "&amp;H682,IF(I682&lt;&gt;"","Booking "&amp;I682,IF(E682="Tip","Stylist","Unapplied"))))</f>
        <v>0</v>
      </c>
      <c r="W682" s="39">
        <f>IF(B682="","",IF(G682="","Add - no amount yet",IF(E682="","Add - what was this for?",IF(IF(H682="",FALSE,COUNTIF(Sales!$A$5:$A$1204,H682)=0),"Missing - no sale with that ID",IF(IF(I682="",FALSE,COUNTIF(Appointments!$A$5:$A$1204,I682)=0),"Missing - no booking with that ID",IF(IF(E682="Tip",J682="",FALSE),"Assign - whose tip is it?",IF(IF(E682="Deposit",IF(H682="",I682="",FALSE),FALSE),"Check - deposit not tied to a booking",IF(M682="No","Due - not reconciled yet","OK"))))))))</f>
        <v>0</v>
      </c>
    </row>
    <row r="683" spans="1:23">
      <c r="A683" s="28">
        <f>IF(B683="","",PaymentPrefix&amp;TEXT(ROW()-4,"0000"))</f>
        <v>0</v>
      </c>
      <c r="D683" s="15">
        <f>IF(C683="","",IFERROR(INDEX(Clients!$B$5:$B$504,MATCH(C683,Clients!$A$5:$A$504,0)),"Walk-in"))</f>
        <v>0</v>
      </c>
      <c r="K683" s="15">
        <f>IF(J683="","",IFERROR(INDEX(Staff!$B$5:$B$44,MATCH(J683,Staff!$A$5:$A$44,0)),""))</f>
        <v>0</v>
      </c>
      <c r="O683" s="15">
        <f>IF(B683="","",TEXT(B683,"yyyy-mm"))</f>
        <v>0</v>
      </c>
      <c r="P683" s="25">
        <f>IF(B683="","",WEEKNUM(B683,2))</f>
        <v>0</v>
      </c>
      <c r="Q683" s="38">
        <f>IF(B683="","",IF(E683="Tip","No",IF(E683="Refund","No","Yes")))</f>
        <v>0</v>
      </c>
      <c r="R683" s="25">
        <f>IF(B683="","",IF(E683="Refund",-1,1))</f>
        <v>0</v>
      </c>
      <c r="S683" s="26">
        <f>IF(B683="","",IF(G683="",0,IF(F683="Card",ROUND(G683*CardFeePercent+CardFeeFixed,2),IF(F683="Online deposit",ROUND(G683*CardFeePercent+CardFeeFixed,2),0))))</f>
        <v>0</v>
      </c>
      <c r="T683" s="26">
        <f>IF(B683="","",ROUND(IF(G683="",0,G683)*R683-S683,2))</f>
        <v>0</v>
      </c>
      <c r="U683" s="38">
        <f>IF(B683="","",IF(E683="Tip","Yes","No"))</f>
        <v>0</v>
      </c>
      <c r="V683" s="15">
        <f>IF(B683="","",IF(H683&lt;&gt;"","Sale "&amp;H683,IF(I683&lt;&gt;"","Booking "&amp;I683,IF(E683="Tip","Stylist","Unapplied"))))</f>
        <v>0</v>
      </c>
      <c r="W683" s="39">
        <f>IF(B683="","",IF(G683="","Add - no amount yet",IF(E683="","Add - what was this for?",IF(IF(H683="",FALSE,COUNTIF(Sales!$A$5:$A$1204,H683)=0),"Missing - no sale with that ID",IF(IF(I683="",FALSE,COUNTIF(Appointments!$A$5:$A$1204,I683)=0),"Missing - no booking with that ID",IF(IF(E683="Tip",J683="",FALSE),"Assign - whose tip is it?",IF(IF(E683="Deposit",IF(H683="",I683="",FALSE),FALSE),"Check - deposit not tied to a booking",IF(M683="No","Due - not reconciled yet","OK"))))))))</f>
        <v>0</v>
      </c>
    </row>
    <row r="684" spans="1:23">
      <c r="A684" s="28">
        <f>IF(B684="","",PaymentPrefix&amp;TEXT(ROW()-4,"0000"))</f>
        <v>0</v>
      </c>
      <c r="D684" s="15">
        <f>IF(C684="","",IFERROR(INDEX(Clients!$B$5:$B$504,MATCH(C684,Clients!$A$5:$A$504,0)),"Walk-in"))</f>
        <v>0</v>
      </c>
      <c r="K684" s="15">
        <f>IF(J684="","",IFERROR(INDEX(Staff!$B$5:$B$44,MATCH(J684,Staff!$A$5:$A$44,0)),""))</f>
        <v>0</v>
      </c>
      <c r="O684" s="15">
        <f>IF(B684="","",TEXT(B684,"yyyy-mm"))</f>
        <v>0</v>
      </c>
      <c r="P684" s="25">
        <f>IF(B684="","",WEEKNUM(B684,2))</f>
        <v>0</v>
      </c>
      <c r="Q684" s="38">
        <f>IF(B684="","",IF(E684="Tip","No",IF(E684="Refund","No","Yes")))</f>
        <v>0</v>
      </c>
      <c r="R684" s="25">
        <f>IF(B684="","",IF(E684="Refund",-1,1))</f>
        <v>0</v>
      </c>
      <c r="S684" s="26">
        <f>IF(B684="","",IF(G684="",0,IF(F684="Card",ROUND(G684*CardFeePercent+CardFeeFixed,2),IF(F684="Online deposit",ROUND(G684*CardFeePercent+CardFeeFixed,2),0))))</f>
        <v>0</v>
      </c>
      <c r="T684" s="26">
        <f>IF(B684="","",ROUND(IF(G684="",0,G684)*R684-S684,2))</f>
        <v>0</v>
      </c>
      <c r="U684" s="38">
        <f>IF(B684="","",IF(E684="Tip","Yes","No"))</f>
        <v>0</v>
      </c>
      <c r="V684" s="15">
        <f>IF(B684="","",IF(H684&lt;&gt;"","Sale "&amp;H684,IF(I684&lt;&gt;"","Booking "&amp;I684,IF(E684="Tip","Stylist","Unapplied"))))</f>
        <v>0</v>
      </c>
      <c r="W684" s="39">
        <f>IF(B684="","",IF(G684="","Add - no amount yet",IF(E684="","Add - what was this for?",IF(IF(H684="",FALSE,COUNTIF(Sales!$A$5:$A$1204,H684)=0),"Missing - no sale with that ID",IF(IF(I684="",FALSE,COUNTIF(Appointments!$A$5:$A$1204,I684)=0),"Missing - no booking with that ID",IF(IF(E684="Tip",J684="",FALSE),"Assign - whose tip is it?",IF(IF(E684="Deposit",IF(H684="",I684="",FALSE),FALSE),"Check - deposit not tied to a booking",IF(M684="No","Due - not reconciled yet","OK"))))))))</f>
        <v>0</v>
      </c>
    </row>
    <row r="685" spans="1:23">
      <c r="A685" s="28">
        <f>IF(B685="","",PaymentPrefix&amp;TEXT(ROW()-4,"0000"))</f>
        <v>0</v>
      </c>
      <c r="D685" s="15">
        <f>IF(C685="","",IFERROR(INDEX(Clients!$B$5:$B$504,MATCH(C685,Clients!$A$5:$A$504,0)),"Walk-in"))</f>
        <v>0</v>
      </c>
      <c r="K685" s="15">
        <f>IF(J685="","",IFERROR(INDEX(Staff!$B$5:$B$44,MATCH(J685,Staff!$A$5:$A$44,0)),""))</f>
        <v>0</v>
      </c>
      <c r="O685" s="15">
        <f>IF(B685="","",TEXT(B685,"yyyy-mm"))</f>
        <v>0</v>
      </c>
      <c r="P685" s="25">
        <f>IF(B685="","",WEEKNUM(B685,2))</f>
        <v>0</v>
      </c>
      <c r="Q685" s="38">
        <f>IF(B685="","",IF(E685="Tip","No",IF(E685="Refund","No","Yes")))</f>
        <v>0</v>
      </c>
      <c r="R685" s="25">
        <f>IF(B685="","",IF(E685="Refund",-1,1))</f>
        <v>0</v>
      </c>
      <c r="S685" s="26">
        <f>IF(B685="","",IF(G685="",0,IF(F685="Card",ROUND(G685*CardFeePercent+CardFeeFixed,2),IF(F685="Online deposit",ROUND(G685*CardFeePercent+CardFeeFixed,2),0))))</f>
        <v>0</v>
      </c>
      <c r="T685" s="26">
        <f>IF(B685="","",ROUND(IF(G685="",0,G685)*R685-S685,2))</f>
        <v>0</v>
      </c>
      <c r="U685" s="38">
        <f>IF(B685="","",IF(E685="Tip","Yes","No"))</f>
        <v>0</v>
      </c>
      <c r="V685" s="15">
        <f>IF(B685="","",IF(H685&lt;&gt;"","Sale "&amp;H685,IF(I685&lt;&gt;"","Booking "&amp;I685,IF(E685="Tip","Stylist","Unapplied"))))</f>
        <v>0</v>
      </c>
      <c r="W685" s="39">
        <f>IF(B685="","",IF(G685="","Add - no amount yet",IF(E685="","Add - what was this for?",IF(IF(H685="",FALSE,COUNTIF(Sales!$A$5:$A$1204,H685)=0),"Missing - no sale with that ID",IF(IF(I685="",FALSE,COUNTIF(Appointments!$A$5:$A$1204,I685)=0),"Missing - no booking with that ID",IF(IF(E685="Tip",J685="",FALSE),"Assign - whose tip is it?",IF(IF(E685="Deposit",IF(H685="",I685="",FALSE),FALSE),"Check - deposit not tied to a booking",IF(M685="No","Due - not reconciled yet","OK"))))))))</f>
        <v>0</v>
      </c>
    </row>
    <row r="686" spans="1:23">
      <c r="A686" s="28">
        <f>IF(B686="","",PaymentPrefix&amp;TEXT(ROW()-4,"0000"))</f>
        <v>0</v>
      </c>
      <c r="D686" s="15">
        <f>IF(C686="","",IFERROR(INDEX(Clients!$B$5:$B$504,MATCH(C686,Clients!$A$5:$A$504,0)),"Walk-in"))</f>
        <v>0</v>
      </c>
      <c r="K686" s="15">
        <f>IF(J686="","",IFERROR(INDEX(Staff!$B$5:$B$44,MATCH(J686,Staff!$A$5:$A$44,0)),""))</f>
        <v>0</v>
      </c>
      <c r="O686" s="15">
        <f>IF(B686="","",TEXT(B686,"yyyy-mm"))</f>
        <v>0</v>
      </c>
      <c r="P686" s="25">
        <f>IF(B686="","",WEEKNUM(B686,2))</f>
        <v>0</v>
      </c>
      <c r="Q686" s="38">
        <f>IF(B686="","",IF(E686="Tip","No",IF(E686="Refund","No","Yes")))</f>
        <v>0</v>
      </c>
      <c r="R686" s="25">
        <f>IF(B686="","",IF(E686="Refund",-1,1))</f>
        <v>0</v>
      </c>
      <c r="S686" s="26">
        <f>IF(B686="","",IF(G686="",0,IF(F686="Card",ROUND(G686*CardFeePercent+CardFeeFixed,2),IF(F686="Online deposit",ROUND(G686*CardFeePercent+CardFeeFixed,2),0))))</f>
        <v>0</v>
      </c>
      <c r="T686" s="26">
        <f>IF(B686="","",ROUND(IF(G686="",0,G686)*R686-S686,2))</f>
        <v>0</v>
      </c>
      <c r="U686" s="38">
        <f>IF(B686="","",IF(E686="Tip","Yes","No"))</f>
        <v>0</v>
      </c>
      <c r="V686" s="15">
        <f>IF(B686="","",IF(H686&lt;&gt;"","Sale "&amp;H686,IF(I686&lt;&gt;"","Booking "&amp;I686,IF(E686="Tip","Stylist","Unapplied"))))</f>
        <v>0</v>
      </c>
      <c r="W686" s="39">
        <f>IF(B686="","",IF(G686="","Add - no amount yet",IF(E686="","Add - what was this for?",IF(IF(H686="",FALSE,COUNTIF(Sales!$A$5:$A$1204,H686)=0),"Missing - no sale with that ID",IF(IF(I686="",FALSE,COUNTIF(Appointments!$A$5:$A$1204,I686)=0),"Missing - no booking with that ID",IF(IF(E686="Tip",J686="",FALSE),"Assign - whose tip is it?",IF(IF(E686="Deposit",IF(H686="",I686="",FALSE),FALSE),"Check - deposit not tied to a booking",IF(M686="No","Due - not reconciled yet","OK"))))))))</f>
        <v>0</v>
      </c>
    </row>
    <row r="687" spans="1:23">
      <c r="A687" s="28">
        <f>IF(B687="","",PaymentPrefix&amp;TEXT(ROW()-4,"0000"))</f>
        <v>0</v>
      </c>
      <c r="D687" s="15">
        <f>IF(C687="","",IFERROR(INDEX(Clients!$B$5:$B$504,MATCH(C687,Clients!$A$5:$A$504,0)),"Walk-in"))</f>
        <v>0</v>
      </c>
      <c r="K687" s="15">
        <f>IF(J687="","",IFERROR(INDEX(Staff!$B$5:$B$44,MATCH(J687,Staff!$A$5:$A$44,0)),""))</f>
        <v>0</v>
      </c>
      <c r="O687" s="15">
        <f>IF(B687="","",TEXT(B687,"yyyy-mm"))</f>
        <v>0</v>
      </c>
      <c r="P687" s="25">
        <f>IF(B687="","",WEEKNUM(B687,2))</f>
        <v>0</v>
      </c>
      <c r="Q687" s="38">
        <f>IF(B687="","",IF(E687="Tip","No",IF(E687="Refund","No","Yes")))</f>
        <v>0</v>
      </c>
      <c r="R687" s="25">
        <f>IF(B687="","",IF(E687="Refund",-1,1))</f>
        <v>0</v>
      </c>
      <c r="S687" s="26">
        <f>IF(B687="","",IF(G687="",0,IF(F687="Card",ROUND(G687*CardFeePercent+CardFeeFixed,2),IF(F687="Online deposit",ROUND(G687*CardFeePercent+CardFeeFixed,2),0))))</f>
        <v>0</v>
      </c>
      <c r="T687" s="26">
        <f>IF(B687="","",ROUND(IF(G687="",0,G687)*R687-S687,2))</f>
        <v>0</v>
      </c>
      <c r="U687" s="38">
        <f>IF(B687="","",IF(E687="Tip","Yes","No"))</f>
        <v>0</v>
      </c>
      <c r="V687" s="15">
        <f>IF(B687="","",IF(H687&lt;&gt;"","Sale "&amp;H687,IF(I687&lt;&gt;"","Booking "&amp;I687,IF(E687="Tip","Stylist","Unapplied"))))</f>
        <v>0</v>
      </c>
      <c r="W687" s="39">
        <f>IF(B687="","",IF(G687="","Add - no amount yet",IF(E687="","Add - what was this for?",IF(IF(H687="",FALSE,COUNTIF(Sales!$A$5:$A$1204,H687)=0),"Missing - no sale with that ID",IF(IF(I687="",FALSE,COUNTIF(Appointments!$A$5:$A$1204,I687)=0),"Missing - no booking with that ID",IF(IF(E687="Tip",J687="",FALSE),"Assign - whose tip is it?",IF(IF(E687="Deposit",IF(H687="",I687="",FALSE),FALSE),"Check - deposit not tied to a booking",IF(M687="No","Due - not reconciled yet","OK"))))))))</f>
        <v>0</v>
      </c>
    </row>
    <row r="688" spans="1:23">
      <c r="A688" s="28">
        <f>IF(B688="","",PaymentPrefix&amp;TEXT(ROW()-4,"0000"))</f>
        <v>0</v>
      </c>
      <c r="D688" s="15">
        <f>IF(C688="","",IFERROR(INDEX(Clients!$B$5:$B$504,MATCH(C688,Clients!$A$5:$A$504,0)),"Walk-in"))</f>
        <v>0</v>
      </c>
      <c r="K688" s="15">
        <f>IF(J688="","",IFERROR(INDEX(Staff!$B$5:$B$44,MATCH(J688,Staff!$A$5:$A$44,0)),""))</f>
        <v>0</v>
      </c>
      <c r="O688" s="15">
        <f>IF(B688="","",TEXT(B688,"yyyy-mm"))</f>
        <v>0</v>
      </c>
      <c r="P688" s="25">
        <f>IF(B688="","",WEEKNUM(B688,2))</f>
        <v>0</v>
      </c>
      <c r="Q688" s="38">
        <f>IF(B688="","",IF(E688="Tip","No",IF(E688="Refund","No","Yes")))</f>
        <v>0</v>
      </c>
      <c r="R688" s="25">
        <f>IF(B688="","",IF(E688="Refund",-1,1))</f>
        <v>0</v>
      </c>
      <c r="S688" s="26">
        <f>IF(B688="","",IF(G688="",0,IF(F688="Card",ROUND(G688*CardFeePercent+CardFeeFixed,2),IF(F688="Online deposit",ROUND(G688*CardFeePercent+CardFeeFixed,2),0))))</f>
        <v>0</v>
      </c>
      <c r="T688" s="26">
        <f>IF(B688="","",ROUND(IF(G688="",0,G688)*R688-S688,2))</f>
        <v>0</v>
      </c>
      <c r="U688" s="38">
        <f>IF(B688="","",IF(E688="Tip","Yes","No"))</f>
        <v>0</v>
      </c>
      <c r="V688" s="15">
        <f>IF(B688="","",IF(H688&lt;&gt;"","Sale "&amp;H688,IF(I688&lt;&gt;"","Booking "&amp;I688,IF(E688="Tip","Stylist","Unapplied"))))</f>
        <v>0</v>
      </c>
      <c r="W688" s="39">
        <f>IF(B688="","",IF(G688="","Add - no amount yet",IF(E688="","Add - what was this for?",IF(IF(H688="",FALSE,COUNTIF(Sales!$A$5:$A$1204,H688)=0),"Missing - no sale with that ID",IF(IF(I688="",FALSE,COUNTIF(Appointments!$A$5:$A$1204,I688)=0),"Missing - no booking with that ID",IF(IF(E688="Tip",J688="",FALSE),"Assign - whose tip is it?",IF(IF(E688="Deposit",IF(H688="",I688="",FALSE),FALSE),"Check - deposit not tied to a booking",IF(M688="No","Due - not reconciled yet","OK"))))))))</f>
        <v>0</v>
      </c>
    </row>
    <row r="689" spans="1:23">
      <c r="A689" s="28">
        <f>IF(B689="","",PaymentPrefix&amp;TEXT(ROW()-4,"0000"))</f>
        <v>0</v>
      </c>
      <c r="D689" s="15">
        <f>IF(C689="","",IFERROR(INDEX(Clients!$B$5:$B$504,MATCH(C689,Clients!$A$5:$A$504,0)),"Walk-in"))</f>
        <v>0</v>
      </c>
      <c r="K689" s="15">
        <f>IF(J689="","",IFERROR(INDEX(Staff!$B$5:$B$44,MATCH(J689,Staff!$A$5:$A$44,0)),""))</f>
        <v>0</v>
      </c>
      <c r="O689" s="15">
        <f>IF(B689="","",TEXT(B689,"yyyy-mm"))</f>
        <v>0</v>
      </c>
      <c r="P689" s="25">
        <f>IF(B689="","",WEEKNUM(B689,2))</f>
        <v>0</v>
      </c>
      <c r="Q689" s="38">
        <f>IF(B689="","",IF(E689="Tip","No",IF(E689="Refund","No","Yes")))</f>
        <v>0</v>
      </c>
      <c r="R689" s="25">
        <f>IF(B689="","",IF(E689="Refund",-1,1))</f>
        <v>0</v>
      </c>
      <c r="S689" s="26">
        <f>IF(B689="","",IF(G689="",0,IF(F689="Card",ROUND(G689*CardFeePercent+CardFeeFixed,2),IF(F689="Online deposit",ROUND(G689*CardFeePercent+CardFeeFixed,2),0))))</f>
        <v>0</v>
      </c>
      <c r="T689" s="26">
        <f>IF(B689="","",ROUND(IF(G689="",0,G689)*R689-S689,2))</f>
        <v>0</v>
      </c>
      <c r="U689" s="38">
        <f>IF(B689="","",IF(E689="Tip","Yes","No"))</f>
        <v>0</v>
      </c>
      <c r="V689" s="15">
        <f>IF(B689="","",IF(H689&lt;&gt;"","Sale "&amp;H689,IF(I689&lt;&gt;"","Booking "&amp;I689,IF(E689="Tip","Stylist","Unapplied"))))</f>
        <v>0</v>
      </c>
      <c r="W689" s="39">
        <f>IF(B689="","",IF(G689="","Add - no amount yet",IF(E689="","Add - what was this for?",IF(IF(H689="",FALSE,COUNTIF(Sales!$A$5:$A$1204,H689)=0),"Missing - no sale with that ID",IF(IF(I689="",FALSE,COUNTIF(Appointments!$A$5:$A$1204,I689)=0),"Missing - no booking with that ID",IF(IF(E689="Tip",J689="",FALSE),"Assign - whose tip is it?",IF(IF(E689="Deposit",IF(H689="",I689="",FALSE),FALSE),"Check - deposit not tied to a booking",IF(M689="No","Due - not reconciled yet","OK"))))))))</f>
        <v>0</v>
      </c>
    </row>
    <row r="690" spans="1:23">
      <c r="A690" s="28">
        <f>IF(B690="","",PaymentPrefix&amp;TEXT(ROW()-4,"0000"))</f>
        <v>0</v>
      </c>
      <c r="D690" s="15">
        <f>IF(C690="","",IFERROR(INDEX(Clients!$B$5:$B$504,MATCH(C690,Clients!$A$5:$A$504,0)),"Walk-in"))</f>
        <v>0</v>
      </c>
      <c r="K690" s="15">
        <f>IF(J690="","",IFERROR(INDEX(Staff!$B$5:$B$44,MATCH(J690,Staff!$A$5:$A$44,0)),""))</f>
        <v>0</v>
      </c>
      <c r="O690" s="15">
        <f>IF(B690="","",TEXT(B690,"yyyy-mm"))</f>
        <v>0</v>
      </c>
      <c r="P690" s="25">
        <f>IF(B690="","",WEEKNUM(B690,2))</f>
        <v>0</v>
      </c>
      <c r="Q690" s="38">
        <f>IF(B690="","",IF(E690="Tip","No",IF(E690="Refund","No","Yes")))</f>
        <v>0</v>
      </c>
      <c r="R690" s="25">
        <f>IF(B690="","",IF(E690="Refund",-1,1))</f>
        <v>0</v>
      </c>
      <c r="S690" s="26">
        <f>IF(B690="","",IF(G690="",0,IF(F690="Card",ROUND(G690*CardFeePercent+CardFeeFixed,2),IF(F690="Online deposit",ROUND(G690*CardFeePercent+CardFeeFixed,2),0))))</f>
        <v>0</v>
      </c>
      <c r="T690" s="26">
        <f>IF(B690="","",ROUND(IF(G690="",0,G690)*R690-S690,2))</f>
        <v>0</v>
      </c>
      <c r="U690" s="38">
        <f>IF(B690="","",IF(E690="Tip","Yes","No"))</f>
        <v>0</v>
      </c>
      <c r="V690" s="15">
        <f>IF(B690="","",IF(H690&lt;&gt;"","Sale "&amp;H690,IF(I690&lt;&gt;"","Booking "&amp;I690,IF(E690="Tip","Stylist","Unapplied"))))</f>
        <v>0</v>
      </c>
      <c r="W690" s="39">
        <f>IF(B690="","",IF(G690="","Add - no amount yet",IF(E690="","Add - what was this for?",IF(IF(H690="",FALSE,COUNTIF(Sales!$A$5:$A$1204,H690)=0),"Missing - no sale with that ID",IF(IF(I690="",FALSE,COUNTIF(Appointments!$A$5:$A$1204,I690)=0),"Missing - no booking with that ID",IF(IF(E690="Tip",J690="",FALSE),"Assign - whose tip is it?",IF(IF(E690="Deposit",IF(H690="",I690="",FALSE),FALSE),"Check - deposit not tied to a booking",IF(M690="No","Due - not reconciled yet","OK"))))))))</f>
        <v>0</v>
      </c>
    </row>
    <row r="691" spans="1:23">
      <c r="A691" s="28">
        <f>IF(B691="","",PaymentPrefix&amp;TEXT(ROW()-4,"0000"))</f>
        <v>0</v>
      </c>
      <c r="D691" s="15">
        <f>IF(C691="","",IFERROR(INDEX(Clients!$B$5:$B$504,MATCH(C691,Clients!$A$5:$A$504,0)),"Walk-in"))</f>
        <v>0</v>
      </c>
      <c r="K691" s="15">
        <f>IF(J691="","",IFERROR(INDEX(Staff!$B$5:$B$44,MATCH(J691,Staff!$A$5:$A$44,0)),""))</f>
        <v>0</v>
      </c>
      <c r="O691" s="15">
        <f>IF(B691="","",TEXT(B691,"yyyy-mm"))</f>
        <v>0</v>
      </c>
      <c r="P691" s="25">
        <f>IF(B691="","",WEEKNUM(B691,2))</f>
        <v>0</v>
      </c>
      <c r="Q691" s="38">
        <f>IF(B691="","",IF(E691="Tip","No",IF(E691="Refund","No","Yes")))</f>
        <v>0</v>
      </c>
      <c r="R691" s="25">
        <f>IF(B691="","",IF(E691="Refund",-1,1))</f>
        <v>0</v>
      </c>
      <c r="S691" s="26">
        <f>IF(B691="","",IF(G691="",0,IF(F691="Card",ROUND(G691*CardFeePercent+CardFeeFixed,2),IF(F691="Online deposit",ROUND(G691*CardFeePercent+CardFeeFixed,2),0))))</f>
        <v>0</v>
      </c>
      <c r="T691" s="26">
        <f>IF(B691="","",ROUND(IF(G691="",0,G691)*R691-S691,2))</f>
        <v>0</v>
      </c>
      <c r="U691" s="38">
        <f>IF(B691="","",IF(E691="Tip","Yes","No"))</f>
        <v>0</v>
      </c>
      <c r="V691" s="15">
        <f>IF(B691="","",IF(H691&lt;&gt;"","Sale "&amp;H691,IF(I691&lt;&gt;"","Booking "&amp;I691,IF(E691="Tip","Stylist","Unapplied"))))</f>
        <v>0</v>
      </c>
      <c r="W691" s="39">
        <f>IF(B691="","",IF(G691="","Add - no amount yet",IF(E691="","Add - what was this for?",IF(IF(H691="",FALSE,COUNTIF(Sales!$A$5:$A$1204,H691)=0),"Missing - no sale with that ID",IF(IF(I691="",FALSE,COUNTIF(Appointments!$A$5:$A$1204,I691)=0),"Missing - no booking with that ID",IF(IF(E691="Tip",J691="",FALSE),"Assign - whose tip is it?",IF(IF(E691="Deposit",IF(H691="",I691="",FALSE),FALSE),"Check - deposit not tied to a booking",IF(M691="No","Due - not reconciled yet","OK"))))))))</f>
        <v>0</v>
      </c>
    </row>
    <row r="692" spans="1:23">
      <c r="A692" s="28">
        <f>IF(B692="","",PaymentPrefix&amp;TEXT(ROW()-4,"0000"))</f>
        <v>0</v>
      </c>
      <c r="D692" s="15">
        <f>IF(C692="","",IFERROR(INDEX(Clients!$B$5:$B$504,MATCH(C692,Clients!$A$5:$A$504,0)),"Walk-in"))</f>
        <v>0</v>
      </c>
      <c r="K692" s="15">
        <f>IF(J692="","",IFERROR(INDEX(Staff!$B$5:$B$44,MATCH(J692,Staff!$A$5:$A$44,0)),""))</f>
        <v>0</v>
      </c>
      <c r="O692" s="15">
        <f>IF(B692="","",TEXT(B692,"yyyy-mm"))</f>
        <v>0</v>
      </c>
      <c r="P692" s="25">
        <f>IF(B692="","",WEEKNUM(B692,2))</f>
        <v>0</v>
      </c>
      <c r="Q692" s="38">
        <f>IF(B692="","",IF(E692="Tip","No",IF(E692="Refund","No","Yes")))</f>
        <v>0</v>
      </c>
      <c r="R692" s="25">
        <f>IF(B692="","",IF(E692="Refund",-1,1))</f>
        <v>0</v>
      </c>
      <c r="S692" s="26">
        <f>IF(B692="","",IF(G692="",0,IF(F692="Card",ROUND(G692*CardFeePercent+CardFeeFixed,2),IF(F692="Online deposit",ROUND(G692*CardFeePercent+CardFeeFixed,2),0))))</f>
        <v>0</v>
      </c>
      <c r="T692" s="26">
        <f>IF(B692="","",ROUND(IF(G692="",0,G692)*R692-S692,2))</f>
        <v>0</v>
      </c>
      <c r="U692" s="38">
        <f>IF(B692="","",IF(E692="Tip","Yes","No"))</f>
        <v>0</v>
      </c>
      <c r="V692" s="15">
        <f>IF(B692="","",IF(H692&lt;&gt;"","Sale "&amp;H692,IF(I692&lt;&gt;"","Booking "&amp;I692,IF(E692="Tip","Stylist","Unapplied"))))</f>
        <v>0</v>
      </c>
      <c r="W692" s="39">
        <f>IF(B692="","",IF(G692="","Add - no amount yet",IF(E692="","Add - what was this for?",IF(IF(H692="",FALSE,COUNTIF(Sales!$A$5:$A$1204,H692)=0),"Missing - no sale with that ID",IF(IF(I692="",FALSE,COUNTIF(Appointments!$A$5:$A$1204,I692)=0),"Missing - no booking with that ID",IF(IF(E692="Tip",J692="",FALSE),"Assign - whose tip is it?",IF(IF(E692="Deposit",IF(H692="",I692="",FALSE),FALSE),"Check - deposit not tied to a booking",IF(M692="No","Due - not reconciled yet","OK"))))))))</f>
        <v>0</v>
      </c>
    </row>
    <row r="693" spans="1:23">
      <c r="A693" s="28">
        <f>IF(B693="","",PaymentPrefix&amp;TEXT(ROW()-4,"0000"))</f>
        <v>0</v>
      </c>
      <c r="D693" s="15">
        <f>IF(C693="","",IFERROR(INDEX(Clients!$B$5:$B$504,MATCH(C693,Clients!$A$5:$A$504,0)),"Walk-in"))</f>
        <v>0</v>
      </c>
      <c r="K693" s="15">
        <f>IF(J693="","",IFERROR(INDEX(Staff!$B$5:$B$44,MATCH(J693,Staff!$A$5:$A$44,0)),""))</f>
        <v>0</v>
      </c>
      <c r="O693" s="15">
        <f>IF(B693="","",TEXT(B693,"yyyy-mm"))</f>
        <v>0</v>
      </c>
      <c r="P693" s="25">
        <f>IF(B693="","",WEEKNUM(B693,2))</f>
        <v>0</v>
      </c>
      <c r="Q693" s="38">
        <f>IF(B693="","",IF(E693="Tip","No",IF(E693="Refund","No","Yes")))</f>
        <v>0</v>
      </c>
      <c r="R693" s="25">
        <f>IF(B693="","",IF(E693="Refund",-1,1))</f>
        <v>0</v>
      </c>
      <c r="S693" s="26">
        <f>IF(B693="","",IF(G693="",0,IF(F693="Card",ROUND(G693*CardFeePercent+CardFeeFixed,2),IF(F693="Online deposit",ROUND(G693*CardFeePercent+CardFeeFixed,2),0))))</f>
        <v>0</v>
      </c>
      <c r="T693" s="26">
        <f>IF(B693="","",ROUND(IF(G693="",0,G693)*R693-S693,2))</f>
        <v>0</v>
      </c>
      <c r="U693" s="38">
        <f>IF(B693="","",IF(E693="Tip","Yes","No"))</f>
        <v>0</v>
      </c>
      <c r="V693" s="15">
        <f>IF(B693="","",IF(H693&lt;&gt;"","Sale "&amp;H693,IF(I693&lt;&gt;"","Booking "&amp;I693,IF(E693="Tip","Stylist","Unapplied"))))</f>
        <v>0</v>
      </c>
      <c r="W693" s="39">
        <f>IF(B693="","",IF(G693="","Add - no amount yet",IF(E693="","Add - what was this for?",IF(IF(H693="",FALSE,COUNTIF(Sales!$A$5:$A$1204,H693)=0),"Missing - no sale with that ID",IF(IF(I693="",FALSE,COUNTIF(Appointments!$A$5:$A$1204,I693)=0),"Missing - no booking with that ID",IF(IF(E693="Tip",J693="",FALSE),"Assign - whose tip is it?",IF(IF(E693="Deposit",IF(H693="",I693="",FALSE),FALSE),"Check - deposit not tied to a booking",IF(M693="No","Due - not reconciled yet","OK"))))))))</f>
        <v>0</v>
      </c>
    </row>
    <row r="694" spans="1:23">
      <c r="A694" s="28">
        <f>IF(B694="","",PaymentPrefix&amp;TEXT(ROW()-4,"0000"))</f>
        <v>0</v>
      </c>
      <c r="D694" s="15">
        <f>IF(C694="","",IFERROR(INDEX(Clients!$B$5:$B$504,MATCH(C694,Clients!$A$5:$A$504,0)),"Walk-in"))</f>
        <v>0</v>
      </c>
      <c r="K694" s="15">
        <f>IF(J694="","",IFERROR(INDEX(Staff!$B$5:$B$44,MATCH(J694,Staff!$A$5:$A$44,0)),""))</f>
        <v>0</v>
      </c>
      <c r="O694" s="15">
        <f>IF(B694="","",TEXT(B694,"yyyy-mm"))</f>
        <v>0</v>
      </c>
      <c r="P694" s="25">
        <f>IF(B694="","",WEEKNUM(B694,2))</f>
        <v>0</v>
      </c>
      <c r="Q694" s="38">
        <f>IF(B694="","",IF(E694="Tip","No",IF(E694="Refund","No","Yes")))</f>
        <v>0</v>
      </c>
      <c r="R694" s="25">
        <f>IF(B694="","",IF(E694="Refund",-1,1))</f>
        <v>0</v>
      </c>
      <c r="S694" s="26">
        <f>IF(B694="","",IF(G694="",0,IF(F694="Card",ROUND(G694*CardFeePercent+CardFeeFixed,2),IF(F694="Online deposit",ROUND(G694*CardFeePercent+CardFeeFixed,2),0))))</f>
        <v>0</v>
      </c>
      <c r="T694" s="26">
        <f>IF(B694="","",ROUND(IF(G694="",0,G694)*R694-S694,2))</f>
        <v>0</v>
      </c>
      <c r="U694" s="38">
        <f>IF(B694="","",IF(E694="Tip","Yes","No"))</f>
        <v>0</v>
      </c>
      <c r="V694" s="15">
        <f>IF(B694="","",IF(H694&lt;&gt;"","Sale "&amp;H694,IF(I694&lt;&gt;"","Booking "&amp;I694,IF(E694="Tip","Stylist","Unapplied"))))</f>
        <v>0</v>
      </c>
      <c r="W694" s="39">
        <f>IF(B694="","",IF(G694="","Add - no amount yet",IF(E694="","Add - what was this for?",IF(IF(H694="",FALSE,COUNTIF(Sales!$A$5:$A$1204,H694)=0),"Missing - no sale with that ID",IF(IF(I694="",FALSE,COUNTIF(Appointments!$A$5:$A$1204,I694)=0),"Missing - no booking with that ID",IF(IF(E694="Tip",J694="",FALSE),"Assign - whose tip is it?",IF(IF(E694="Deposit",IF(H694="",I694="",FALSE),FALSE),"Check - deposit not tied to a booking",IF(M694="No","Due - not reconciled yet","OK"))))))))</f>
        <v>0</v>
      </c>
    </row>
    <row r="695" spans="1:23">
      <c r="A695" s="28">
        <f>IF(B695="","",PaymentPrefix&amp;TEXT(ROW()-4,"0000"))</f>
        <v>0</v>
      </c>
      <c r="D695" s="15">
        <f>IF(C695="","",IFERROR(INDEX(Clients!$B$5:$B$504,MATCH(C695,Clients!$A$5:$A$504,0)),"Walk-in"))</f>
        <v>0</v>
      </c>
      <c r="K695" s="15">
        <f>IF(J695="","",IFERROR(INDEX(Staff!$B$5:$B$44,MATCH(J695,Staff!$A$5:$A$44,0)),""))</f>
        <v>0</v>
      </c>
      <c r="O695" s="15">
        <f>IF(B695="","",TEXT(B695,"yyyy-mm"))</f>
        <v>0</v>
      </c>
      <c r="P695" s="25">
        <f>IF(B695="","",WEEKNUM(B695,2))</f>
        <v>0</v>
      </c>
      <c r="Q695" s="38">
        <f>IF(B695="","",IF(E695="Tip","No",IF(E695="Refund","No","Yes")))</f>
        <v>0</v>
      </c>
      <c r="R695" s="25">
        <f>IF(B695="","",IF(E695="Refund",-1,1))</f>
        <v>0</v>
      </c>
      <c r="S695" s="26">
        <f>IF(B695="","",IF(G695="",0,IF(F695="Card",ROUND(G695*CardFeePercent+CardFeeFixed,2),IF(F695="Online deposit",ROUND(G695*CardFeePercent+CardFeeFixed,2),0))))</f>
        <v>0</v>
      </c>
      <c r="T695" s="26">
        <f>IF(B695="","",ROUND(IF(G695="",0,G695)*R695-S695,2))</f>
        <v>0</v>
      </c>
      <c r="U695" s="38">
        <f>IF(B695="","",IF(E695="Tip","Yes","No"))</f>
        <v>0</v>
      </c>
      <c r="V695" s="15">
        <f>IF(B695="","",IF(H695&lt;&gt;"","Sale "&amp;H695,IF(I695&lt;&gt;"","Booking "&amp;I695,IF(E695="Tip","Stylist","Unapplied"))))</f>
        <v>0</v>
      </c>
      <c r="W695" s="39">
        <f>IF(B695="","",IF(G695="","Add - no amount yet",IF(E695="","Add - what was this for?",IF(IF(H695="",FALSE,COUNTIF(Sales!$A$5:$A$1204,H695)=0),"Missing - no sale with that ID",IF(IF(I695="",FALSE,COUNTIF(Appointments!$A$5:$A$1204,I695)=0),"Missing - no booking with that ID",IF(IF(E695="Tip",J695="",FALSE),"Assign - whose tip is it?",IF(IF(E695="Deposit",IF(H695="",I695="",FALSE),FALSE),"Check - deposit not tied to a booking",IF(M695="No","Due - not reconciled yet","OK"))))))))</f>
        <v>0</v>
      </c>
    </row>
    <row r="696" spans="1:23">
      <c r="A696" s="28">
        <f>IF(B696="","",PaymentPrefix&amp;TEXT(ROW()-4,"0000"))</f>
        <v>0</v>
      </c>
      <c r="D696" s="15">
        <f>IF(C696="","",IFERROR(INDEX(Clients!$B$5:$B$504,MATCH(C696,Clients!$A$5:$A$504,0)),"Walk-in"))</f>
        <v>0</v>
      </c>
      <c r="K696" s="15">
        <f>IF(J696="","",IFERROR(INDEX(Staff!$B$5:$B$44,MATCH(J696,Staff!$A$5:$A$44,0)),""))</f>
        <v>0</v>
      </c>
      <c r="O696" s="15">
        <f>IF(B696="","",TEXT(B696,"yyyy-mm"))</f>
        <v>0</v>
      </c>
      <c r="P696" s="25">
        <f>IF(B696="","",WEEKNUM(B696,2))</f>
        <v>0</v>
      </c>
      <c r="Q696" s="38">
        <f>IF(B696="","",IF(E696="Tip","No",IF(E696="Refund","No","Yes")))</f>
        <v>0</v>
      </c>
      <c r="R696" s="25">
        <f>IF(B696="","",IF(E696="Refund",-1,1))</f>
        <v>0</v>
      </c>
      <c r="S696" s="26">
        <f>IF(B696="","",IF(G696="",0,IF(F696="Card",ROUND(G696*CardFeePercent+CardFeeFixed,2),IF(F696="Online deposit",ROUND(G696*CardFeePercent+CardFeeFixed,2),0))))</f>
        <v>0</v>
      </c>
      <c r="T696" s="26">
        <f>IF(B696="","",ROUND(IF(G696="",0,G696)*R696-S696,2))</f>
        <v>0</v>
      </c>
      <c r="U696" s="38">
        <f>IF(B696="","",IF(E696="Tip","Yes","No"))</f>
        <v>0</v>
      </c>
      <c r="V696" s="15">
        <f>IF(B696="","",IF(H696&lt;&gt;"","Sale "&amp;H696,IF(I696&lt;&gt;"","Booking "&amp;I696,IF(E696="Tip","Stylist","Unapplied"))))</f>
        <v>0</v>
      </c>
      <c r="W696" s="39">
        <f>IF(B696="","",IF(G696="","Add - no amount yet",IF(E696="","Add - what was this for?",IF(IF(H696="",FALSE,COUNTIF(Sales!$A$5:$A$1204,H696)=0),"Missing - no sale with that ID",IF(IF(I696="",FALSE,COUNTIF(Appointments!$A$5:$A$1204,I696)=0),"Missing - no booking with that ID",IF(IF(E696="Tip",J696="",FALSE),"Assign - whose tip is it?",IF(IF(E696="Deposit",IF(H696="",I696="",FALSE),FALSE),"Check - deposit not tied to a booking",IF(M696="No","Due - not reconciled yet","OK"))))))))</f>
        <v>0</v>
      </c>
    </row>
    <row r="697" spans="1:23">
      <c r="A697" s="28">
        <f>IF(B697="","",PaymentPrefix&amp;TEXT(ROW()-4,"0000"))</f>
        <v>0</v>
      </c>
      <c r="D697" s="15">
        <f>IF(C697="","",IFERROR(INDEX(Clients!$B$5:$B$504,MATCH(C697,Clients!$A$5:$A$504,0)),"Walk-in"))</f>
        <v>0</v>
      </c>
      <c r="K697" s="15">
        <f>IF(J697="","",IFERROR(INDEX(Staff!$B$5:$B$44,MATCH(J697,Staff!$A$5:$A$44,0)),""))</f>
        <v>0</v>
      </c>
      <c r="O697" s="15">
        <f>IF(B697="","",TEXT(B697,"yyyy-mm"))</f>
        <v>0</v>
      </c>
      <c r="P697" s="25">
        <f>IF(B697="","",WEEKNUM(B697,2))</f>
        <v>0</v>
      </c>
      <c r="Q697" s="38">
        <f>IF(B697="","",IF(E697="Tip","No",IF(E697="Refund","No","Yes")))</f>
        <v>0</v>
      </c>
      <c r="R697" s="25">
        <f>IF(B697="","",IF(E697="Refund",-1,1))</f>
        <v>0</v>
      </c>
      <c r="S697" s="26">
        <f>IF(B697="","",IF(G697="",0,IF(F697="Card",ROUND(G697*CardFeePercent+CardFeeFixed,2),IF(F697="Online deposit",ROUND(G697*CardFeePercent+CardFeeFixed,2),0))))</f>
        <v>0</v>
      </c>
      <c r="T697" s="26">
        <f>IF(B697="","",ROUND(IF(G697="",0,G697)*R697-S697,2))</f>
        <v>0</v>
      </c>
      <c r="U697" s="38">
        <f>IF(B697="","",IF(E697="Tip","Yes","No"))</f>
        <v>0</v>
      </c>
      <c r="V697" s="15">
        <f>IF(B697="","",IF(H697&lt;&gt;"","Sale "&amp;H697,IF(I697&lt;&gt;"","Booking "&amp;I697,IF(E697="Tip","Stylist","Unapplied"))))</f>
        <v>0</v>
      </c>
      <c r="W697" s="39">
        <f>IF(B697="","",IF(G697="","Add - no amount yet",IF(E697="","Add - what was this for?",IF(IF(H697="",FALSE,COUNTIF(Sales!$A$5:$A$1204,H697)=0),"Missing - no sale with that ID",IF(IF(I697="",FALSE,COUNTIF(Appointments!$A$5:$A$1204,I697)=0),"Missing - no booking with that ID",IF(IF(E697="Tip",J697="",FALSE),"Assign - whose tip is it?",IF(IF(E697="Deposit",IF(H697="",I697="",FALSE),FALSE),"Check - deposit not tied to a booking",IF(M697="No","Due - not reconciled yet","OK"))))))))</f>
        <v>0</v>
      </c>
    </row>
    <row r="698" spans="1:23">
      <c r="A698" s="28">
        <f>IF(B698="","",PaymentPrefix&amp;TEXT(ROW()-4,"0000"))</f>
        <v>0</v>
      </c>
      <c r="D698" s="15">
        <f>IF(C698="","",IFERROR(INDEX(Clients!$B$5:$B$504,MATCH(C698,Clients!$A$5:$A$504,0)),"Walk-in"))</f>
        <v>0</v>
      </c>
      <c r="K698" s="15">
        <f>IF(J698="","",IFERROR(INDEX(Staff!$B$5:$B$44,MATCH(J698,Staff!$A$5:$A$44,0)),""))</f>
        <v>0</v>
      </c>
      <c r="O698" s="15">
        <f>IF(B698="","",TEXT(B698,"yyyy-mm"))</f>
        <v>0</v>
      </c>
      <c r="P698" s="25">
        <f>IF(B698="","",WEEKNUM(B698,2))</f>
        <v>0</v>
      </c>
      <c r="Q698" s="38">
        <f>IF(B698="","",IF(E698="Tip","No",IF(E698="Refund","No","Yes")))</f>
        <v>0</v>
      </c>
      <c r="R698" s="25">
        <f>IF(B698="","",IF(E698="Refund",-1,1))</f>
        <v>0</v>
      </c>
      <c r="S698" s="26">
        <f>IF(B698="","",IF(G698="",0,IF(F698="Card",ROUND(G698*CardFeePercent+CardFeeFixed,2),IF(F698="Online deposit",ROUND(G698*CardFeePercent+CardFeeFixed,2),0))))</f>
        <v>0</v>
      </c>
      <c r="T698" s="26">
        <f>IF(B698="","",ROUND(IF(G698="",0,G698)*R698-S698,2))</f>
        <v>0</v>
      </c>
      <c r="U698" s="38">
        <f>IF(B698="","",IF(E698="Tip","Yes","No"))</f>
        <v>0</v>
      </c>
      <c r="V698" s="15">
        <f>IF(B698="","",IF(H698&lt;&gt;"","Sale "&amp;H698,IF(I698&lt;&gt;"","Booking "&amp;I698,IF(E698="Tip","Stylist","Unapplied"))))</f>
        <v>0</v>
      </c>
      <c r="W698" s="39">
        <f>IF(B698="","",IF(G698="","Add - no amount yet",IF(E698="","Add - what was this for?",IF(IF(H698="",FALSE,COUNTIF(Sales!$A$5:$A$1204,H698)=0),"Missing - no sale with that ID",IF(IF(I698="",FALSE,COUNTIF(Appointments!$A$5:$A$1204,I698)=0),"Missing - no booking with that ID",IF(IF(E698="Tip",J698="",FALSE),"Assign - whose tip is it?",IF(IF(E698="Deposit",IF(H698="",I698="",FALSE),FALSE),"Check - deposit not tied to a booking",IF(M698="No","Due - not reconciled yet","OK"))))))))</f>
        <v>0</v>
      </c>
    </row>
    <row r="699" spans="1:23">
      <c r="A699" s="28">
        <f>IF(B699="","",PaymentPrefix&amp;TEXT(ROW()-4,"0000"))</f>
        <v>0</v>
      </c>
      <c r="D699" s="15">
        <f>IF(C699="","",IFERROR(INDEX(Clients!$B$5:$B$504,MATCH(C699,Clients!$A$5:$A$504,0)),"Walk-in"))</f>
        <v>0</v>
      </c>
      <c r="K699" s="15">
        <f>IF(J699="","",IFERROR(INDEX(Staff!$B$5:$B$44,MATCH(J699,Staff!$A$5:$A$44,0)),""))</f>
        <v>0</v>
      </c>
      <c r="O699" s="15">
        <f>IF(B699="","",TEXT(B699,"yyyy-mm"))</f>
        <v>0</v>
      </c>
      <c r="P699" s="25">
        <f>IF(B699="","",WEEKNUM(B699,2))</f>
        <v>0</v>
      </c>
      <c r="Q699" s="38">
        <f>IF(B699="","",IF(E699="Tip","No",IF(E699="Refund","No","Yes")))</f>
        <v>0</v>
      </c>
      <c r="R699" s="25">
        <f>IF(B699="","",IF(E699="Refund",-1,1))</f>
        <v>0</v>
      </c>
      <c r="S699" s="26">
        <f>IF(B699="","",IF(G699="",0,IF(F699="Card",ROUND(G699*CardFeePercent+CardFeeFixed,2),IF(F699="Online deposit",ROUND(G699*CardFeePercent+CardFeeFixed,2),0))))</f>
        <v>0</v>
      </c>
      <c r="T699" s="26">
        <f>IF(B699="","",ROUND(IF(G699="",0,G699)*R699-S699,2))</f>
        <v>0</v>
      </c>
      <c r="U699" s="38">
        <f>IF(B699="","",IF(E699="Tip","Yes","No"))</f>
        <v>0</v>
      </c>
      <c r="V699" s="15">
        <f>IF(B699="","",IF(H699&lt;&gt;"","Sale "&amp;H699,IF(I699&lt;&gt;"","Booking "&amp;I699,IF(E699="Tip","Stylist","Unapplied"))))</f>
        <v>0</v>
      </c>
      <c r="W699" s="39">
        <f>IF(B699="","",IF(G699="","Add - no amount yet",IF(E699="","Add - what was this for?",IF(IF(H699="",FALSE,COUNTIF(Sales!$A$5:$A$1204,H699)=0),"Missing - no sale with that ID",IF(IF(I699="",FALSE,COUNTIF(Appointments!$A$5:$A$1204,I699)=0),"Missing - no booking with that ID",IF(IF(E699="Tip",J699="",FALSE),"Assign - whose tip is it?",IF(IF(E699="Deposit",IF(H699="",I699="",FALSE),FALSE),"Check - deposit not tied to a booking",IF(M699="No","Due - not reconciled yet","OK"))))))))</f>
        <v>0</v>
      </c>
    </row>
    <row r="700" spans="1:23">
      <c r="A700" s="28">
        <f>IF(B700="","",PaymentPrefix&amp;TEXT(ROW()-4,"0000"))</f>
        <v>0</v>
      </c>
      <c r="D700" s="15">
        <f>IF(C700="","",IFERROR(INDEX(Clients!$B$5:$B$504,MATCH(C700,Clients!$A$5:$A$504,0)),"Walk-in"))</f>
        <v>0</v>
      </c>
      <c r="K700" s="15">
        <f>IF(J700="","",IFERROR(INDEX(Staff!$B$5:$B$44,MATCH(J700,Staff!$A$5:$A$44,0)),""))</f>
        <v>0</v>
      </c>
      <c r="O700" s="15">
        <f>IF(B700="","",TEXT(B700,"yyyy-mm"))</f>
        <v>0</v>
      </c>
      <c r="P700" s="25">
        <f>IF(B700="","",WEEKNUM(B700,2))</f>
        <v>0</v>
      </c>
      <c r="Q700" s="38">
        <f>IF(B700="","",IF(E700="Tip","No",IF(E700="Refund","No","Yes")))</f>
        <v>0</v>
      </c>
      <c r="R700" s="25">
        <f>IF(B700="","",IF(E700="Refund",-1,1))</f>
        <v>0</v>
      </c>
      <c r="S700" s="26">
        <f>IF(B700="","",IF(G700="",0,IF(F700="Card",ROUND(G700*CardFeePercent+CardFeeFixed,2),IF(F700="Online deposit",ROUND(G700*CardFeePercent+CardFeeFixed,2),0))))</f>
        <v>0</v>
      </c>
      <c r="T700" s="26">
        <f>IF(B700="","",ROUND(IF(G700="",0,G700)*R700-S700,2))</f>
        <v>0</v>
      </c>
      <c r="U700" s="38">
        <f>IF(B700="","",IF(E700="Tip","Yes","No"))</f>
        <v>0</v>
      </c>
      <c r="V700" s="15">
        <f>IF(B700="","",IF(H700&lt;&gt;"","Sale "&amp;H700,IF(I700&lt;&gt;"","Booking "&amp;I700,IF(E700="Tip","Stylist","Unapplied"))))</f>
        <v>0</v>
      </c>
      <c r="W700" s="39">
        <f>IF(B700="","",IF(G700="","Add - no amount yet",IF(E700="","Add - what was this for?",IF(IF(H700="",FALSE,COUNTIF(Sales!$A$5:$A$1204,H700)=0),"Missing - no sale with that ID",IF(IF(I700="",FALSE,COUNTIF(Appointments!$A$5:$A$1204,I700)=0),"Missing - no booking with that ID",IF(IF(E700="Tip",J700="",FALSE),"Assign - whose tip is it?",IF(IF(E700="Deposit",IF(H700="",I700="",FALSE),FALSE),"Check - deposit not tied to a booking",IF(M700="No","Due - not reconciled yet","OK"))))))))</f>
        <v>0</v>
      </c>
    </row>
    <row r="701" spans="1:23">
      <c r="A701" s="28">
        <f>IF(B701="","",PaymentPrefix&amp;TEXT(ROW()-4,"0000"))</f>
        <v>0</v>
      </c>
      <c r="D701" s="15">
        <f>IF(C701="","",IFERROR(INDEX(Clients!$B$5:$B$504,MATCH(C701,Clients!$A$5:$A$504,0)),"Walk-in"))</f>
        <v>0</v>
      </c>
      <c r="K701" s="15">
        <f>IF(J701="","",IFERROR(INDEX(Staff!$B$5:$B$44,MATCH(J701,Staff!$A$5:$A$44,0)),""))</f>
        <v>0</v>
      </c>
      <c r="O701" s="15">
        <f>IF(B701="","",TEXT(B701,"yyyy-mm"))</f>
        <v>0</v>
      </c>
      <c r="P701" s="25">
        <f>IF(B701="","",WEEKNUM(B701,2))</f>
        <v>0</v>
      </c>
      <c r="Q701" s="38">
        <f>IF(B701="","",IF(E701="Tip","No",IF(E701="Refund","No","Yes")))</f>
        <v>0</v>
      </c>
      <c r="R701" s="25">
        <f>IF(B701="","",IF(E701="Refund",-1,1))</f>
        <v>0</v>
      </c>
      <c r="S701" s="26">
        <f>IF(B701="","",IF(G701="",0,IF(F701="Card",ROUND(G701*CardFeePercent+CardFeeFixed,2),IF(F701="Online deposit",ROUND(G701*CardFeePercent+CardFeeFixed,2),0))))</f>
        <v>0</v>
      </c>
      <c r="T701" s="26">
        <f>IF(B701="","",ROUND(IF(G701="",0,G701)*R701-S701,2))</f>
        <v>0</v>
      </c>
      <c r="U701" s="38">
        <f>IF(B701="","",IF(E701="Tip","Yes","No"))</f>
        <v>0</v>
      </c>
      <c r="V701" s="15">
        <f>IF(B701="","",IF(H701&lt;&gt;"","Sale "&amp;H701,IF(I701&lt;&gt;"","Booking "&amp;I701,IF(E701="Tip","Stylist","Unapplied"))))</f>
        <v>0</v>
      </c>
      <c r="W701" s="39">
        <f>IF(B701="","",IF(G701="","Add - no amount yet",IF(E701="","Add - what was this for?",IF(IF(H701="",FALSE,COUNTIF(Sales!$A$5:$A$1204,H701)=0),"Missing - no sale with that ID",IF(IF(I701="",FALSE,COUNTIF(Appointments!$A$5:$A$1204,I701)=0),"Missing - no booking with that ID",IF(IF(E701="Tip",J701="",FALSE),"Assign - whose tip is it?",IF(IF(E701="Deposit",IF(H701="",I701="",FALSE),FALSE),"Check - deposit not tied to a booking",IF(M701="No","Due - not reconciled yet","OK"))))))))</f>
        <v>0</v>
      </c>
    </row>
    <row r="702" spans="1:23">
      <c r="A702" s="28">
        <f>IF(B702="","",PaymentPrefix&amp;TEXT(ROW()-4,"0000"))</f>
        <v>0</v>
      </c>
      <c r="D702" s="15">
        <f>IF(C702="","",IFERROR(INDEX(Clients!$B$5:$B$504,MATCH(C702,Clients!$A$5:$A$504,0)),"Walk-in"))</f>
        <v>0</v>
      </c>
      <c r="K702" s="15">
        <f>IF(J702="","",IFERROR(INDEX(Staff!$B$5:$B$44,MATCH(J702,Staff!$A$5:$A$44,0)),""))</f>
        <v>0</v>
      </c>
      <c r="O702" s="15">
        <f>IF(B702="","",TEXT(B702,"yyyy-mm"))</f>
        <v>0</v>
      </c>
      <c r="P702" s="25">
        <f>IF(B702="","",WEEKNUM(B702,2))</f>
        <v>0</v>
      </c>
      <c r="Q702" s="38">
        <f>IF(B702="","",IF(E702="Tip","No",IF(E702="Refund","No","Yes")))</f>
        <v>0</v>
      </c>
      <c r="R702" s="25">
        <f>IF(B702="","",IF(E702="Refund",-1,1))</f>
        <v>0</v>
      </c>
      <c r="S702" s="26">
        <f>IF(B702="","",IF(G702="",0,IF(F702="Card",ROUND(G702*CardFeePercent+CardFeeFixed,2),IF(F702="Online deposit",ROUND(G702*CardFeePercent+CardFeeFixed,2),0))))</f>
        <v>0</v>
      </c>
      <c r="T702" s="26">
        <f>IF(B702="","",ROUND(IF(G702="",0,G702)*R702-S702,2))</f>
        <v>0</v>
      </c>
      <c r="U702" s="38">
        <f>IF(B702="","",IF(E702="Tip","Yes","No"))</f>
        <v>0</v>
      </c>
      <c r="V702" s="15">
        <f>IF(B702="","",IF(H702&lt;&gt;"","Sale "&amp;H702,IF(I702&lt;&gt;"","Booking "&amp;I702,IF(E702="Tip","Stylist","Unapplied"))))</f>
        <v>0</v>
      </c>
      <c r="W702" s="39">
        <f>IF(B702="","",IF(G702="","Add - no amount yet",IF(E702="","Add - what was this for?",IF(IF(H702="",FALSE,COUNTIF(Sales!$A$5:$A$1204,H702)=0),"Missing - no sale with that ID",IF(IF(I702="",FALSE,COUNTIF(Appointments!$A$5:$A$1204,I702)=0),"Missing - no booking with that ID",IF(IF(E702="Tip",J702="",FALSE),"Assign - whose tip is it?",IF(IF(E702="Deposit",IF(H702="",I702="",FALSE),FALSE),"Check - deposit not tied to a booking",IF(M702="No","Due - not reconciled yet","OK"))))))))</f>
        <v>0</v>
      </c>
    </row>
    <row r="703" spans="1:23">
      <c r="A703" s="28">
        <f>IF(B703="","",PaymentPrefix&amp;TEXT(ROW()-4,"0000"))</f>
        <v>0</v>
      </c>
      <c r="D703" s="15">
        <f>IF(C703="","",IFERROR(INDEX(Clients!$B$5:$B$504,MATCH(C703,Clients!$A$5:$A$504,0)),"Walk-in"))</f>
        <v>0</v>
      </c>
      <c r="K703" s="15">
        <f>IF(J703="","",IFERROR(INDEX(Staff!$B$5:$B$44,MATCH(J703,Staff!$A$5:$A$44,0)),""))</f>
        <v>0</v>
      </c>
      <c r="O703" s="15">
        <f>IF(B703="","",TEXT(B703,"yyyy-mm"))</f>
        <v>0</v>
      </c>
      <c r="P703" s="25">
        <f>IF(B703="","",WEEKNUM(B703,2))</f>
        <v>0</v>
      </c>
      <c r="Q703" s="38">
        <f>IF(B703="","",IF(E703="Tip","No",IF(E703="Refund","No","Yes")))</f>
        <v>0</v>
      </c>
      <c r="R703" s="25">
        <f>IF(B703="","",IF(E703="Refund",-1,1))</f>
        <v>0</v>
      </c>
      <c r="S703" s="26">
        <f>IF(B703="","",IF(G703="",0,IF(F703="Card",ROUND(G703*CardFeePercent+CardFeeFixed,2),IF(F703="Online deposit",ROUND(G703*CardFeePercent+CardFeeFixed,2),0))))</f>
        <v>0</v>
      </c>
      <c r="T703" s="26">
        <f>IF(B703="","",ROUND(IF(G703="",0,G703)*R703-S703,2))</f>
        <v>0</v>
      </c>
      <c r="U703" s="38">
        <f>IF(B703="","",IF(E703="Tip","Yes","No"))</f>
        <v>0</v>
      </c>
      <c r="V703" s="15">
        <f>IF(B703="","",IF(H703&lt;&gt;"","Sale "&amp;H703,IF(I703&lt;&gt;"","Booking "&amp;I703,IF(E703="Tip","Stylist","Unapplied"))))</f>
        <v>0</v>
      </c>
      <c r="W703" s="39">
        <f>IF(B703="","",IF(G703="","Add - no amount yet",IF(E703="","Add - what was this for?",IF(IF(H703="",FALSE,COUNTIF(Sales!$A$5:$A$1204,H703)=0),"Missing - no sale with that ID",IF(IF(I703="",FALSE,COUNTIF(Appointments!$A$5:$A$1204,I703)=0),"Missing - no booking with that ID",IF(IF(E703="Tip",J703="",FALSE),"Assign - whose tip is it?",IF(IF(E703="Deposit",IF(H703="",I703="",FALSE),FALSE),"Check - deposit not tied to a booking",IF(M703="No","Due - not reconciled yet","OK"))))))))</f>
        <v>0</v>
      </c>
    </row>
    <row r="704" spans="1:23">
      <c r="A704" s="28">
        <f>IF(B704="","",PaymentPrefix&amp;TEXT(ROW()-4,"0000"))</f>
        <v>0</v>
      </c>
      <c r="D704" s="15">
        <f>IF(C704="","",IFERROR(INDEX(Clients!$B$5:$B$504,MATCH(C704,Clients!$A$5:$A$504,0)),"Walk-in"))</f>
        <v>0</v>
      </c>
      <c r="K704" s="15">
        <f>IF(J704="","",IFERROR(INDEX(Staff!$B$5:$B$44,MATCH(J704,Staff!$A$5:$A$44,0)),""))</f>
        <v>0</v>
      </c>
      <c r="O704" s="15">
        <f>IF(B704="","",TEXT(B704,"yyyy-mm"))</f>
        <v>0</v>
      </c>
      <c r="P704" s="25">
        <f>IF(B704="","",WEEKNUM(B704,2))</f>
        <v>0</v>
      </c>
      <c r="Q704" s="38">
        <f>IF(B704="","",IF(E704="Tip","No",IF(E704="Refund","No","Yes")))</f>
        <v>0</v>
      </c>
      <c r="R704" s="25">
        <f>IF(B704="","",IF(E704="Refund",-1,1))</f>
        <v>0</v>
      </c>
      <c r="S704" s="26">
        <f>IF(B704="","",IF(G704="",0,IF(F704="Card",ROUND(G704*CardFeePercent+CardFeeFixed,2),IF(F704="Online deposit",ROUND(G704*CardFeePercent+CardFeeFixed,2),0))))</f>
        <v>0</v>
      </c>
      <c r="T704" s="26">
        <f>IF(B704="","",ROUND(IF(G704="",0,G704)*R704-S704,2))</f>
        <v>0</v>
      </c>
      <c r="U704" s="38">
        <f>IF(B704="","",IF(E704="Tip","Yes","No"))</f>
        <v>0</v>
      </c>
      <c r="V704" s="15">
        <f>IF(B704="","",IF(H704&lt;&gt;"","Sale "&amp;H704,IF(I704&lt;&gt;"","Booking "&amp;I704,IF(E704="Tip","Stylist","Unapplied"))))</f>
        <v>0</v>
      </c>
      <c r="W704" s="39">
        <f>IF(B704="","",IF(G704="","Add - no amount yet",IF(E704="","Add - what was this for?",IF(IF(H704="",FALSE,COUNTIF(Sales!$A$5:$A$1204,H704)=0),"Missing - no sale with that ID",IF(IF(I704="",FALSE,COUNTIF(Appointments!$A$5:$A$1204,I704)=0),"Missing - no booking with that ID",IF(IF(E704="Tip",J704="",FALSE),"Assign - whose tip is it?",IF(IF(E704="Deposit",IF(H704="",I704="",FALSE),FALSE),"Check - deposit not tied to a booking",IF(M704="No","Due - not reconciled yet","OK"))))))))</f>
        <v>0</v>
      </c>
    </row>
    <row r="705" spans="1:23">
      <c r="A705" s="28">
        <f>IF(B705="","",PaymentPrefix&amp;TEXT(ROW()-4,"0000"))</f>
        <v>0</v>
      </c>
      <c r="D705" s="15">
        <f>IF(C705="","",IFERROR(INDEX(Clients!$B$5:$B$504,MATCH(C705,Clients!$A$5:$A$504,0)),"Walk-in"))</f>
        <v>0</v>
      </c>
      <c r="K705" s="15">
        <f>IF(J705="","",IFERROR(INDEX(Staff!$B$5:$B$44,MATCH(J705,Staff!$A$5:$A$44,0)),""))</f>
        <v>0</v>
      </c>
      <c r="O705" s="15">
        <f>IF(B705="","",TEXT(B705,"yyyy-mm"))</f>
        <v>0</v>
      </c>
      <c r="P705" s="25">
        <f>IF(B705="","",WEEKNUM(B705,2))</f>
        <v>0</v>
      </c>
      <c r="Q705" s="38">
        <f>IF(B705="","",IF(E705="Tip","No",IF(E705="Refund","No","Yes")))</f>
        <v>0</v>
      </c>
      <c r="R705" s="25">
        <f>IF(B705="","",IF(E705="Refund",-1,1))</f>
        <v>0</v>
      </c>
      <c r="S705" s="26">
        <f>IF(B705="","",IF(G705="",0,IF(F705="Card",ROUND(G705*CardFeePercent+CardFeeFixed,2),IF(F705="Online deposit",ROUND(G705*CardFeePercent+CardFeeFixed,2),0))))</f>
        <v>0</v>
      </c>
      <c r="T705" s="26">
        <f>IF(B705="","",ROUND(IF(G705="",0,G705)*R705-S705,2))</f>
        <v>0</v>
      </c>
      <c r="U705" s="38">
        <f>IF(B705="","",IF(E705="Tip","Yes","No"))</f>
        <v>0</v>
      </c>
      <c r="V705" s="15">
        <f>IF(B705="","",IF(H705&lt;&gt;"","Sale "&amp;H705,IF(I705&lt;&gt;"","Booking "&amp;I705,IF(E705="Tip","Stylist","Unapplied"))))</f>
        <v>0</v>
      </c>
      <c r="W705" s="39">
        <f>IF(B705="","",IF(G705="","Add - no amount yet",IF(E705="","Add - what was this for?",IF(IF(H705="",FALSE,COUNTIF(Sales!$A$5:$A$1204,H705)=0),"Missing - no sale with that ID",IF(IF(I705="",FALSE,COUNTIF(Appointments!$A$5:$A$1204,I705)=0),"Missing - no booking with that ID",IF(IF(E705="Tip",J705="",FALSE),"Assign - whose tip is it?",IF(IF(E705="Deposit",IF(H705="",I705="",FALSE),FALSE),"Check - deposit not tied to a booking",IF(M705="No","Due - not reconciled yet","OK"))))))))</f>
        <v>0</v>
      </c>
    </row>
    <row r="706" spans="1:23">
      <c r="A706" s="28">
        <f>IF(B706="","",PaymentPrefix&amp;TEXT(ROW()-4,"0000"))</f>
        <v>0</v>
      </c>
      <c r="D706" s="15">
        <f>IF(C706="","",IFERROR(INDEX(Clients!$B$5:$B$504,MATCH(C706,Clients!$A$5:$A$504,0)),"Walk-in"))</f>
        <v>0</v>
      </c>
      <c r="K706" s="15">
        <f>IF(J706="","",IFERROR(INDEX(Staff!$B$5:$B$44,MATCH(J706,Staff!$A$5:$A$44,0)),""))</f>
        <v>0</v>
      </c>
      <c r="O706" s="15">
        <f>IF(B706="","",TEXT(B706,"yyyy-mm"))</f>
        <v>0</v>
      </c>
      <c r="P706" s="25">
        <f>IF(B706="","",WEEKNUM(B706,2))</f>
        <v>0</v>
      </c>
      <c r="Q706" s="38">
        <f>IF(B706="","",IF(E706="Tip","No",IF(E706="Refund","No","Yes")))</f>
        <v>0</v>
      </c>
      <c r="R706" s="25">
        <f>IF(B706="","",IF(E706="Refund",-1,1))</f>
        <v>0</v>
      </c>
      <c r="S706" s="26">
        <f>IF(B706="","",IF(G706="",0,IF(F706="Card",ROUND(G706*CardFeePercent+CardFeeFixed,2),IF(F706="Online deposit",ROUND(G706*CardFeePercent+CardFeeFixed,2),0))))</f>
        <v>0</v>
      </c>
      <c r="T706" s="26">
        <f>IF(B706="","",ROUND(IF(G706="",0,G706)*R706-S706,2))</f>
        <v>0</v>
      </c>
      <c r="U706" s="38">
        <f>IF(B706="","",IF(E706="Tip","Yes","No"))</f>
        <v>0</v>
      </c>
      <c r="V706" s="15">
        <f>IF(B706="","",IF(H706&lt;&gt;"","Sale "&amp;H706,IF(I706&lt;&gt;"","Booking "&amp;I706,IF(E706="Tip","Stylist","Unapplied"))))</f>
        <v>0</v>
      </c>
      <c r="W706" s="39">
        <f>IF(B706="","",IF(G706="","Add - no amount yet",IF(E706="","Add - what was this for?",IF(IF(H706="",FALSE,COUNTIF(Sales!$A$5:$A$1204,H706)=0),"Missing - no sale with that ID",IF(IF(I706="",FALSE,COUNTIF(Appointments!$A$5:$A$1204,I706)=0),"Missing - no booking with that ID",IF(IF(E706="Tip",J706="",FALSE),"Assign - whose tip is it?",IF(IF(E706="Deposit",IF(H706="",I706="",FALSE),FALSE),"Check - deposit not tied to a booking",IF(M706="No","Due - not reconciled yet","OK"))))))))</f>
        <v>0</v>
      </c>
    </row>
    <row r="707" spans="1:23">
      <c r="A707" s="28">
        <f>IF(B707="","",PaymentPrefix&amp;TEXT(ROW()-4,"0000"))</f>
        <v>0</v>
      </c>
      <c r="D707" s="15">
        <f>IF(C707="","",IFERROR(INDEX(Clients!$B$5:$B$504,MATCH(C707,Clients!$A$5:$A$504,0)),"Walk-in"))</f>
        <v>0</v>
      </c>
      <c r="K707" s="15">
        <f>IF(J707="","",IFERROR(INDEX(Staff!$B$5:$B$44,MATCH(J707,Staff!$A$5:$A$44,0)),""))</f>
        <v>0</v>
      </c>
      <c r="O707" s="15">
        <f>IF(B707="","",TEXT(B707,"yyyy-mm"))</f>
        <v>0</v>
      </c>
      <c r="P707" s="25">
        <f>IF(B707="","",WEEKNUM(B707,2))</f>
        <v>0</v>
      </c>
      <c r="Q707" s="38">
        <f>IF(B707="","",IF(E707="Tip","No",IF(E707="Refund","No","Yes")))</f>
        <v>0</v>
      </c>
      <c r="R707" s="25">
        <f>IF(B707="","",IF(E707="Refund",-1,1))</f>
        <v>0</v>
      </c>
      <c r="S707" s="26">
        <f>IF(B707="","",IF(G707="",0,IF(F707="Card",ROUND(G707*CardFeePercent+CardFeeFixed,2),IF(F707="Online deposit",ROUND(G707*CardFeePercent+CardFeeFixed,2),0))))</f>
        <v>0</v>
      </c>
      <c r="T707" s="26">
        <f>IF(B707="","",ROUND(IF(G707="",0,G707)*R707-S707,2))</f>
        <v>0</v>
      </c>
      <c r="U707" s="38">
        <f>IF(B707="","",IF(E707="Tip","Yes","No"))</f>
        <v>0</v>
      </c>
      <c r="V707" s="15">
        <f>IF(B707="","",IF(H707&lt;&gt;"","Sale "&amp;H707,IF(I707&lt;&gt;"","Booking "&amp;I707,IF(E707="Tip","Stylist","Unapplied"))))</f>
        <v>0</v>
      </c>
      <c r="W707" s="39">
        <f>IF(B707="","",IF(G707="","Add - no amount yet",IF(E707="","Add - what was this for?",IF(IF(H707="",FALSE,COUNTIF(Sales!$A$5:$A$1204,H707)=0),"Missing - no sale with that ID",IF(IF(I707="",FALSE,COUNTIF(Appointments!$A$5:$A$1204,I707)=0),"Missing - no booking with that ID",IF(IF(E707="Tip",J707="",FALSE),"Assign - whose tip is it?",IF(IF(E707="Deposit",IF(H707="",I707="",FALSE),FALSE),"Check - deposit not tied to a booking",IF(M707="No","Due - not reconciled yet","OK"))))))))</f>
        <v>0</v>
      </c>
    </row>
    <row r="708" spans="1:23">
      <c r="A708" s="28">
        <f>IF(B708="","",PaymentPrefix&amp;TEXT(ROW()-4,"0000"))</f>
        <v>0</v>
      </c>
      <c r="D708" s="15">
        <f>IF(C708="","",IFERROR(INDEX(Clients!$B$5:$B$504,MATCH(C708,Clients!$A$5:$A$504,0)),"Walk-in"))</f>
        <v>0</v>
      </c>
      <c r="K708" s="15">
        <f>IF(J708="","",IFERROR(INDEX(Staff!$B$5:$B$44,MATCH(J708,Staff!$A$5:$A$44,0)),""))</f>
        <v>0</v>
      </c>
      <c r="O708" s="15">
        <f>IF(B708="","",TEXT(B708,"yyyy-mm"))</f>
        <v>0</v>
      </c>
      <c r="P708" s="25">
        <f>IF(B708="","",WEEKNUM(B708,2))</f>
        <v>0</v>
      </c>
      <c r="Q708" s="38">
        <f>IF(B708="","",IF(E708="Tip","No",IF(E708="Refund","No","Yes")))</f>
        <v>0</v>
      </c>
      <c r="R708" s="25">
        <f>IF(B708="","",IF(E708="Refund",-1,1))</f>
        <v>0</v>
      </c>
      <c r="S708" s="26">
        <f>IF(B708="","",IF(G708="",0,IF(F708="Card",ROUND(G708*CardFeePercent+CardFeeFixed,2),IF(F708="Online deposit",ROUND(G708*CardFeePercent+CardFeeFixed,2),0))))</f>
        <v>0</v>
      </c>
      <c r="T708" s="26">
        <f>IF(B708="","",ROUND(IF(G708="",0,G708)*R708-S708,2))</f>
        <v>0</v>
      </c>
      <c r="U708" s="38">
        <f>IF(B708="","",IF(E708="Tip","Yes","No"))</f>
        <v>0</v>
      </c>
      <c r="V708" s="15">
        <f>IF(B708="","",IF(H708&lt;&gt;"","Sale "&amp;H708,IF(I708&lt;&gt;"","Booking "&amp;I708,IF(E708="Tip","Stylist","Unapplied"))))</f>
        <v>0</v>
      </c>
      <c r="W708" s="39">
        <f>IF(B708="","",IF(G708="","Add - no amount yet",IF(E708="","Add - what was this for?",IF(IF(H708="",FALSE,COUNTIF(Sales!$A$5:$A$1204,H708)=0),"Missing - no sale with that ID",IF(IF(I708="",FALSE,COUNTIF(Appointments!$A$5:$A$1204,I708)=0),"Missing - no booking with that ID",IF(IF(E708="Tip",J708="",FALSE),"Assign - whose tip is it?",IF(IF(E708="Deposit",IF(H708="",I708="",FALSE),FALSE),"Check - deposit not tied to a booking",IF(M708="No","Due - not reconciled yet","OK"))))))))</f>
        <v>0</v>
      </c>
    </row>
    <row r="709" spans="1:23">
      <c r="A709" s="28">
        <f>IF(B709="","",PaymentPrefix&amp;TEXT(ROW()-4,"0000"))</f>
        <v>0</v>
      </c>
      <c r="D709" s="15">
        <f>IF(C709="","",IFERROR(INDEX(Clients!$B$5:$B$504,MATCH(C709,Clients!$A$5:$A$504,0)),"Walk-in"))</f>
        <v>0</v>
      </c>
      <c r="K709" s="15">
        <f>IF(J709="","",IFERROR(INDEX(Staff!$B$5:$B$44,MATCH(J709,Staff!$A$5:$A$44,0)),""))</f>
        <v>0</v>
      </c>
      <c r="O709" s="15">
        <f>IF(B709="","",TEXT(B709,"yyyy-mm"))</f>
        <v>0</v>
      </c>
      <c r="P709" s="25">
        <f>IF(B709="","",WEEKNUM(B709,2))</f>
        <v>0</v>
      </c>
      <c r="Q709" s="38">
        <f>IF(B709="","",IF(E709="Tip","No",IF(E709="Refund","No","Yes")))</f>
        <v>0</v>
      </c>
      <c r="R709" s="25">
        <f>IF(B709="","",IF(E709="Refund",-1,1))</f>
        <v>0</v>
      </c>
      <c r="S709" s="26">
        <f>IF(B709="","",IF(G709="",0,IF(F709="Card",ROUND(G709*CardFeePercent+CardFeeFixed,2),IF(F709="Online deposit",ROUND(G709*CardFeePercent+CardFeeFixed,2),0))))</f>
        <v>0</v>
      </c>
      <c r="T709" s="26">
        <f>IF(B709="","",ROUND(IF(G709="",0,G709)*R709-S709,2))</f>
        <v>0</v>
      </c>
      <c r="U709" s="38">
        <f>IF(B709="","",IF(E709="Tip","Yes","No"))</f>
        <v>0</v>
      </c>
      <c r="V709" s="15">
        <f>IF(B709="","",IF(H709&lt;&gt;"","Sale "&amp;H709,IF(I709&lt;&gt;"","Booking "&amp;I709,IF(E709="Tip","Stylist","Unapplied"))))</f>
        <v>0</v>
      </c>
      <c r="W709" s="39">
        <f>IF(B709="","",IF(G709="","Add - no amount yet",IF(E709="","Add - what was this for?",IF(IF(H709="",FALSE,COUNTIF(Sales!$A$5:$A$1204,H709)=0),"Missing - no sale with that ID",IF(IF(I709="",FALSE,COUNTIF(Appointments!$A$5:$A$1204,I709)=0),"Missing - no booking with that ID",IF(IF(E709="Tip",J709="",FALSE),"Assign - whose tip is it?",IF(IF(E709="Deposit",IF(H709="",I709="",FALSE),FALSE),"Check - deposit not tied to a booking",IF(M709="No","Due - not reconciled yet","OK"))))))))</f>
        <v>0</v>
      </c>
    </row>
    <row r="710" spans="1:23">
      <c r="A710" s="28">
        <f>IF(B710="","",PaymentPrefix&amp;TEXT(ROW()-4,"0000"))</f>
        <v>0</v>
      </c>
      <c r="D710" s="15">
        <f>IF(C710="","",IFERROR(INDEX(Clients!$B$5:$B$504,MATCH(C710,Clients!$A$5:$A$504,0)),"Walk-in"))</f>
        <v>0</v>
      </c>
      <c r="K710" s="15">
        <f>IF(J710="","",IFERROR(INDEX(Staff!$B$5:$B$44,MATCH(J710,Staff!$A$5:$A$44,0)),""))</f>
        <v>0</v>
      </c>
      <c r="O710" s="15">
        <f>IF(B710="","",TEXT(B710,"yyyy-mm"))</f>
        <v>0</v>
      </c>
      <c r="P710" s="25">
        <f>IF(B710="","",WEEKNUM(B710,2))</f>
        <v>0</v>
      </c>
      <c r="Q710" s="38">
        <f>IF(B710="","",IF(E710="Tip","No",IF(E710="Refund","No","Yes")))</f>
        <v>0</v>
      </c>
      <c r="R710" s="25">
        <f>IF(B710="","",IF(E710="Refund",-1,1))</f>
        <v>0</v>
      </c>
      <c r="S710" s="26">
        <f>IF(B710="","",IF(G710="",0,IF(F710="Card",ROUND(G710*CardFeePercent+CardFeeFixed,2),IF(F710="Online deposit",ROUND(G710*CardFeePercent+CardFeeFixed,2),0))))</f>
        <v>0</v>
      </c>
      <c r="T710" s="26">
        <f>IF(B710="","",ROUND(IF(G710="",0,G710)*R710-S710,2))</f>
        <v>0</v>
      </c>
      <c r="U710" s="38">
        <f>IF(B710="","",IF(E710="Tip","Yes","No"))</f>
        <v>0</v>
      </c>
      <c r="V710" s="15">
        <f>IF(B710="","",IF(H710&lt;&gt;"","Sale "&amp;H710,IF(I710&lt;&gt;"","Booking "&amp;I710,IF(E710="Tip","Stylist","Unapplied"))))</f>
        <v>0</v>
      </c>
      <c r="W710" s="39">
        <f>IF(B710="","",IF(G710="","Add - no amount yet",IF(E710="","Add - what was this for?",IF(IF(H710="",FALSE,COUNTIF(Sales!$A$5:$A$1204,H710)=0),"Missing - no sale with that ID",IF(IF(I710="",FALSE,COUNTIF(Appointments!$A$5:$A$1204,I710)=0),"Missing - no booking with that ID",IF(IF(E710="Tip",J710="",FALSE),"Assign - whose tip is it?",IF(IF(E710="Deposit",IF(H710="",I710="",FALSE),FALSE),"Check - deposit not tied to a booking",IF(M710="No","Due - not reconciled yet","OK"))))))))</f>
        <v>0</v>
      </c>
    </row>
    <row r="711" spans="1:23">
      <c r="A711" s="28">
        <f>IF(B711="","",PaymentPrefix&amp;TEXT(ROW()-4,"0000"))</f>
        <v>0</v>
      </c>
      <c r="D711" s="15">
        <f>IF(C711="","",IFERROR(INDEX(Clients!$B$5:$B$504,MATCH(C711,Clients!$A$5:$A$504,0)),"Walk-in"))</f>
        <v>0</v>
      </c>
      <c r="K711" s="15">
        <f>IF(J711="","",IFERROR(INDEX(Staff!$B$5:$B$44,MATCH(J711,Staff!$A$5:$A$44,0)),""))</f>
        <v>0</v>
      </c>
      <c r="O711" s="15">
        <f>IF(B711="","",TEXT(B711,"yyyy-mm"))</f>
        <v>0</v>
      </c>
      <c r="P711" s="25">
        <f>IF(B711="","",WEEKNUM(B711,2))</f>
        <v>0</v>
      </c>
      <c r="Q711" s="38">
        <f>IF(B711="","",IF(E711="Tip","No",IF(E711="Refund","No","Yes")))</f>
        <v>0</v>
      </c>
      <c r="R711" s="25">
        <f>IF(B711="","",IF(E711="Refund",-1,1))</f>
        <v>0</v>
      </c>
      <c r="S711" s="26">
        <f>IF(B711="","",IF(G711="",0,IF(F711="Card",ROUND(G711*CardFeePercent+CardFeeFixed,2),IF(F711="Online deposit",ROUND(G711*CardFeePercent+CardFeeFixed,2),0))))</f>
        <v>0</v>
      </c>
      <c r="T711" s="26">
        <f>IF(B711="","",ROUND(IF(G711="",0,G711)*R711-S711,2))</f>
        <v>0</v>
      </c>
      <c r="U711" s="38">
        <f>IF(B711="","",IF(E711="Tip","Yes","No"))</f>
        <v>0</v>
      </c>
      <c r="V711" s="15">
        <f>IF(B711="","",IF(H711&lt;&gt;"","Sale "&amp;H711,IF(I711&lt;&gt;"","Booking "&amp;I711,IF(E711="Tip","Stylist","Unapplied"))))</f>
        <v>0</v>
      </c>
      <c r="W711" s="39">
        <f>IF(B711="","",IF(G711="","Add - no amount yet",IF(E711="","Add - what was this for?",IF(IF(H711="",FALSE,COUNTIF(Sales!$A$5:$A$1204,H711)=0),"Missing - no sale with that ID",IF(IF(I711="",FALSE,COUNTIF(Appointments!$A$5:$A$1204,I711)=0),"Missing - no booking with that ID",IF(IF(E711="Tip",J711="",FALSE),"Assign - whose tip is it?",IF(IF(E711="Deposit",IF(H711="",I711="",FALSE),FALSE),"Check - deposit not tied to a booking",IF(M711="No","Due - not reconciled yet","OK"))))))))</f>
        <v>0</v>
      </c>
    </row>
    <row r="712" spans="1:23">
      <c r="A712" s="28">
        <f>IF(B712="","",PaymentPrefix&amp;TEXT(ROW()-4,"0000"))</f>
        <v>0</v>
      </c>
      <c r="D712" s="15">
        <f>IF(C712="","",IFERROR(INDEX(Clients!$B$5:$B$504,MATCH(C712,Clients!$A$5:$A$504,0)),"Walk-in"))</f>
        <v>0</v>
      </c>
      <c r="K712" s="15">
        <f>IF(J712="","",IFERROR(INDEX(Staff!$B$5:$B$44,MATCH(J712,Staff!$A$5:$A$44,0)),""))</f>
        <v>0</v>
      </c>
      <c r="O712" s="15">
        <f>IF(B712="","",TEXT(B712,"yyyy-mm"))</f>
        <v>0</v>
      </c>
      <c r="P712" s="25">
        <f>IF(B712="","",WEEKNUM(B712,2))</f>
        <v>0</v>
      </c>
      <c r="Q712" s="38">
        <f>IF(B712="","",IF(E712="Tip","No",IF(E712="Refund","No","Yes")))</f>
        <v>0</v>
      </c>
      <c r="R712" s="25">
        <f>IF(B712="","",IF(E712="Refund",-1,1))</f>
        <v>0</v>
      </c>
      <c r="S712" s="26">
        <f>IF(B712="","",IF(G712="",0,IF(F712="Card",ROUND(G712*CardFeePercent+CardFeeFixed,2),IF(F712="Online deposit",ROUND(G712*CardFeePercent+CardFeeFixed,2),0))))</f>
        <v>0</v>
      </c>
      <c r="T712" s="26">
        <f>IF(B712="","",ROUND(IF(G712="",0,G712)*R712-S712,2))</f>
        <v>0</v>
      </c>
      <c r="U712" s="38">
        <f>IF(B712="","",IF(E712="Tip","Yes","No"))</f>
        <v>0</v>
      </c>
      <c r="V712" s="15">
        <f>IF(B712="","",IF(H712&lt;&gt;"","Sale "&amp;H712,IF(I712&lt;&gt;"","Booking "&amp;I712,IF(E712="Tip","Stylist","Unapplied"))))</f>
        <v>0</v>
      </c>
      <c r="W712" s="39">
        <f>IF(B712="","",IF(G712="","Add - no amount yet",IF(E712="","Add - what was this for?",IF(IF(H712="",FALSE,COUNTIF(Sales!$A$5:$A$1204,H712)=0),"Missing - no sale with that ID",IF(IF(I712="",FALSE,COUNTIF(Appointments!$A$5:$A$1204,I712)=0),"Missing - no booking with that ID",IF(IF(E712="Tip",J712="",FALSE),"Assign - whose tip is it?",IF(IF(E712="Deposit",IF(H712="",I712="",FALSE),FALSE),"Check - deposit not tied to a booking",IF(M712="No","Due - not reconciled yet","OK"))))))))</f>
        <v>0</v>
      </c>
    </row>
    <row r="713" spans="1:23">
      <c r="A713" s="28">
        <f>IF(B713="","",PaymentPrefix&amp;TEXT(ROW()-4,"0000"))</f>
        <v>0</v>
      </c>
      <c r="D713" s="15">
        <f>IF(C713="","",IFERROR(INDEX(Clients!$B$5:$B$504,MATCH(C713,Clients!$A$5:$A$504,0)),"Walk-in"))</f>
        <v>0</v>
      </c>
      <c r="K713" s="15">
        <f>IF(J713="","",IFERROR(INDEX(Staff!$B$5:$B$44,MATCH(J713,Staff!$A$5:$A$44,0)),""))</f>
        <v>0</v>
      </c>
      <c r="O713" s="15">
        <f>IF(B713="","",TEXT(B713,"yyyy-mm"))</f>
        <v>0</v>
      </c>
      <c r="P713" s="25">
        <f>IF(B713="","",WEEKNUM(B713,2))</f>
        <v>0</v>
      </c>
      <c r="Q713" s="38">
        <f>IF(B713="","",IF(E713="Tip","No",IF(E713="Refund","No","Yes")))</f>
        <v>0</v>
      </c>
      <c r="R713" s="25">
        <f>IF(B713="","",IF(E713="Refund",-1,1))</f>
        <v>0</v>
      </c>
      <c r="S713" s="26">
        <f>IF(B713="","",IF(G713="",0,IF(F713="Card",ROUND(G713*CardFeePercent+CardFeeFixed,2),IF(F713="Online deposit",ROUND(G713*CardFeePercent+CardFeeFixed,2),0))))</f>
        <v>0</v>
      </c>
      <c r="T713" s="26">
        <f>IF(B713="","",ROUND(IF(G713="",0,G713)*R713-S713,2))</f>
        <v>0</v>
      </c>
      <c r="U713" s="38">
        <f>IF(B713="","",IF(E713="Tip","Yes","No"))</f>
        <v>0</v>
      </c>
      <c r="V713" s="15">
        <f>IF(B713="","",IF(H713&lt;&gt;"","Sale "&amp;H713,IF(I713&lt;&gt;"","Booking "&amp;I713,IF(E713="Tip","Stylist","Unapplied"))))</f>
        <v>0</v>
      </c>
      <c r="W713" s="39">
        <f>IF(B713="","",IF(G713="","Add - no amount yet",IF(E713="","Add - what was this for?",IF(IF(H713="",FALSE,COUNTIF(Sales!$A$5:$A$1204,H713)=0),"Missing - no sale with that ID",IF(IF(I713="",FALSE,COUNTIF(Appointments!$A$5:$A$1204,I713)=0),"Missing - no booking with that ID",IF(IF(E713="Tip",J713="",FALSE),"Assign - whose tip is it?",IF(IF(E713="Deposit",IF(H713="",I713="",FALSE),FALSE),"Check - deposit not tied to a booking",IF(M713="No","Due - not reconciled yet","OK"))))))))</f>
        <v>0</v>
      </c>
    </row>
    <row r="714" spans="1:23">
      <c r="A714" s="28">
        <f>IF(B714="","",PaymentPrefix&amp;TEXT(ROW()-4,"0000"))</f>
        <v>0</v>
      </c>
      <c r="D714" s="15">
        <f>IF(C714="","",IFERROR(INDEX(Clients!$B$5:$B$504,MATCH(C714,Clients!$A$5:$A$504,0)),"Walk-in"))</f>
        <v>0</v>
      </c>
      <c r="K714" s="15">
        <f>IF(J714="","",IFERROR(INDEX(Staff!$B$5:$B$44,MATCH(J714,Staff!$A$5:$A$44,0)),""))</f>
        <v>0</v>
      </c>
      <c r="O714" s="15">
        <f>IF(B714="","",TEXT(B714,"yyyy-mm"))</f>
        <v>0</v>
      </c>
      <c r="P714" s="25">
        <f>IF(B714="","",WEEKNUM(B714,2))</f>
        <v>0</v>
      </c>
      <c r="Q714" s="38">
        <f>IF(B714="","",IF(E714="Tip","No",IF(E714="Refund","No","Yes")))</f>
        <v>0</v>
      </c>
      <c r="R714" s="25">
        <f>IF(B714="","",IF(E714="Refund",-1,1))</f>
        <v>0</v>
      </c>
      <c r="S714" s="26">
        <f>IF(B714="","",IF(G714="",0,IF(F714="Card",ROUND(G714*CardFeePercent+CardFeeFixed,2),IF(F714="Online deposit",ROUND(G714*CardFeePercent+CardFeeFixed,2),0))))</f>
        <v>0</v>
      </c>
      <c r="T714" s="26">
        <f>IF(B714="","",ROUND(IF(G714="",0,G714)*R714-S714,2))</f>
        <v>0</v>
      </c>
      <c r="U714" s="38">
        <f>IF(B714="","",IF(E714="Tip","Yes","No"))</f>
        <v>0</v>
      </c>
      <c r="V714" s="15">
        <f>IF(B714="","",IF(H714&lt;&gt;"","Sale "&amp;H714,IF(I714&lt;&gt;"","Booking "&amp;I714,IF(E714="Tip","Stylist","Unapplied"))))</f>
        <v>0</v>
      </c>
      <c r="W714" s="39">
        <f>IF(B714="","",IF(G714="","Add - no amount yet",IF(E714="","Add - what was this for?",IF(IF(H714="",FALSE,COUNTIF(Sales!$A$5:$A$1204,H714)=0),"Missing - no sale with that ID",IF(IF(I714="",FALSE,COUNTIF(Appointments!$A$5:$A$1204,I714)=0),"Missing - no booking with that ID",IF(IF(E714="Tip",J714="",FALSE),"Assign - whose tip is it?",IF(IF(E714="Deposit",IF(H714="",I714="",FALSE),FALSE),"Check - deposit not tied to a booking",IF(M714="No","Due - not reconciled yet","OK"))))))))</f>
        <v>0</v>
      </c>
    </row>
    <row r="715" spans="1:23">
      <c r="A715" s="28">
        <f>IF(B715="","",PaymentPrefix&amp;TEXT(ROW()-4,"0000"))</f>
        <v>0</v>
      </c>
      <c r="D715" s="15">
        <f>IF(C715="","",IFERROR(INDEX(Clients!$B$5:$B$504,MATCH(C715,Clients!$A$5:$A$504,0)),"Walk-in"))</f>
        <v>0</v>
      </c>
      <c r="K715" s="15">
        <f>IF(J715="","",IFERROR(INDEX(Staff!$B$5:$B$44,MATCH(J715,Staff!$A$5:$A$44,0)),""))</f>
        <v>0</v>
      </c>
      <c r="O715" s="15">
        <f>IF(B715="","",TEXT(B715,"yyyy-mm"))</f>
        <v>0</v>
      </c>
      <c r="P715" s="25">
        <f>IF(B715="","",WEEKNUM(B715,2))</f>
        <v>0</v>
      </c>
      <c r="Q715" s="38">
        <f>IF(B715="","",IF(E715="Tip","No",IF(E715="Refund","No","Yes")))</f>
        <v>0</v>
      </c>
      <c r="R715" s="25">
        <f>IF(B715="","",IF(E715="Refund",-1,1))</f>
        <v>0</v>
      </c>
      <c r="S715" s="26">
        <f>IF(B715="","",IF(G715="",0,IF(F715="Card",ROUND(G715*CardFeePercent+CardFeeFixed,2),IF(F715="Online deposit",ROUND(G715*CardFeePercent+CardFeeFixed,2),0))))</f>
        <v>0</v>
      </c>
      <c r="T715" s="26">
        <f>IF(B715="","",ROUND(IF(G715="",0,G715)*R715-S715,2))</f>
        <v>0</v>
      </c>
      <c r="U715" s="38">
        <f>IF(B715="","",IF(E715="Tip","Yes","No"))</f>
        <v>0</v>
      </c>
      <c r="V715" s="15">
        <f>IF(B715="","",IF(H715&lt;&gt;"","Sale "&amp;H715,IF(I715&lt;&gt;"","Booking "&amp;I715,IF(E715="Tip","Stylist","Unapplied"))))</f>
        <v>0</v>
      </c>
      <c r="W715" s="39">
        <f>IF(B715="","",IF(G715="","Add - no amount yet",IF(E715="","Add - what was this for?",IF(IF(H715="",FALSE,COUNTIF(Sales!$A$5:$A$1204,H715)=0),"Missing - no sale with that ID",IF(IF(I715="",FALSE,COUNTIF(Appointments!$A$5:$A$1204,I715)=0),"Missing - no booking with that ID",IF(IF(E715="Tip",J715="",FALSE),"Assign - whose tip is it?",IF(IF(E715="Deposit",IF(H715="",I715="",FALSE),FALSE),"Check - deposit not tied to a booking",IF(M715="No","Due - not reconciled yet","OK"))))))))</f>
        <v>0</v>
      </c>
    </row>
    <row r="716" spans="1:23">
      <c r="A716" s="28">
        <f>IF(B716="","",PaymentPrefix&amp;TEXT(ROW()-4,"0000"))</f>
        <v>0</v>
      </c>
      <c r="D716" s="15">
        <f>IF(C716="","",IFERROR(INDEX(Clients!$B$5:$B$504,MATCH(C716,Clients!$A$5:$A$504,0)),"Walk-in"))</f>
        <v>0</v>
      </c>
      <c r="K716" s="15">
        <f>IF(J716="","",IFERROR(INDEX(Staff!$B$5:$B$44,MATCH(J716,Staff!$A$5:$A$44,0)),""))</f>
        <v>0</v>
      </c>
      <c r="O716" s="15">
        <f>IF(B716="","",TEXT(B716,"yyyy-mm"))</f>
        <v>0</v>
      </c>
      <c r="P716" s="25">
        <f>IF(B716="","",WEEKNUM(B716,2))</f>
        <v>0</v>
      </c>
      <c r="Q716" s="38">
        <f>IF(B716="","",IF(E716="Tip","No",IF(E716="Refund","No","Yes")))</f>
        <v>0</v>
      </c>
      <c r="R716" s="25">
        <f>IF(B716="","",IF(E716="Refund",-1,1))</f>
        <v>0</v>
      </c>
      <c r="S716" s="26">
        <f>IF(B716="","",IF(G716="",0,IF(F716="Card",ROUND(G716*CardFeePercent+CardFeeFixed,2),IF(F716="Online deposit",ROUND(G716*CardFeePercent+CardFeeFixed,2),0))))</f>
        <v>0</v>
      </c>
      <c r="T716" s="26">
        <f>IF(B716="","",ROUND(IF(G716="",0,G716)*R716-S716,2))</f>
        <v>0</v>
      </c>
      <c r="U716" s="38">
        <f>IF(B716="","",IF(E716="Tip","Yes","No"))</f>
        <v>0</v>
      </c>
      <c r="V716" s="15">
        <f>IF(B716="","",IF(H716&lt;&gt;"","Sale "&amp;H716,IF(I716&lt;&gt;"","Booking "&amp;I716,IF(E716="Tip","Stylist","Unapplied"))))</f>
        <v>0</v>
      </c>
      <c r="W716" s="39">
        <f>IF(B716="","",IF(G716="","Add - no amount yet",IF(E716="","Add - what was this for?",IF(IF(H716="",FALSE,COUNTIF(Sales!$A$5:$A$1204,H716)=0),"Missing - no sale with that ID",IF(IF(I716="",FALSE,COUNTIF(Appointments!$A$5:$A$1204,I716)=0),"Missing - no booking with that ID",IF(IF(E716="Tip",J716="",FALSE),"Assign - whose tip is it?",IF(IF(E716="Deposit",IF(H716="",I716="",FALSE),FALSE),"Check - deposit not tied to a booking",IF(M716="No","Due - not reconciled yet","OK"))))))))</f>
        <v>0</v>
      </c>
    </row>
    <row r="717" spans="1:23">
      <c r="A717" s="28">
        <f>IF(B717="","",PaymentPrefix&amp;TEXT(ROW()-4,"0000"))</f>
        <v>0</v>
      </c>
      <c r="D717" s="15">
        <f>IF(C717="","",IFERROR(INDEX(Clients!$B$5:$B$504,MATCH(C717,Clients!$A$5:$A$504,0)),"Walk-in"))</f>
        <v>0</v>
      </c>
      <c r="K717" s="15">
        <f>IF(J717="","",IFERROR(INDEX(Staff!$B$5:$B$44,MATCH(J717,Staff!$A$5:$A$44,0)),""))</f>
        <v>0</v>
      </c>
      <c r="O717" s="15">
        <f>IF(B717="","",TEXT(B717,"yyyy-mm"))</f>
        <v>0</v>
      </c>
      <c r="P717" s="25">
        <f>IF(B717="","",WEEKNUM(B717,2))</f>
        <v>0</v>
      </c>
      <c r="Q717" s="38">
        <f>IF(B717="","",IF(E717="Tip","No",IF(E717="Refund","No","Yes")))</f>
        <v>0</v>
      </c>
      <c r="R717" s="25">
        <f>IF(B717="","",IF(E717="Refund",-1,1))</f>
        <v>0</v>
      </c>
      <c r="S717" s="26">
        <f>IF(B717="","",IF(G717="",0,IF(F717="Card",ROUND(G717*CardFeePercent+CardFeeFixed,2),IF(F717="Online deposit",ROUND(G717*CardFeePercent+CardFeeFixed,2),0))))</f>
        <v>0</v>
      </c>
      <c r="T717" s="26">
        <f>IF(B717="","",ROUND(IF(G717="",0,G717)*R717-S717,2))</f>
        <v>0</v>
      </c>
      <c r="U717" s="38">
        <f>IF(B717="","",IF(E717="Tip","Yes","No"))</f>
        <v>0</v>
      </c>
      <c r="V717" s="15">
        <f>IF(B717="","",IF(H717&lt;&gt;"","Sale "&amp;H717,IF(I717&lt;&gt;"","Booking "&amp;I717,IF(E717="Tip","Stylist","Unapplied"))))</f>
        <v>0</v>
      </c>
      <c r="W717" s="39">
        <f>IF(B717="","",IF(G717="","Add - no amount yet",IF(E717="","Add - what was this for?",IF(IF(H717="",FALSE,COUNTIF(Sales!$A$5:$A$1204,H717)=0),"Missing - no sale with that ID",IF(IF(I717="",FALSE,COUNTIF(Appointments!$A$5:$A$1204,I717)=0),"Missing - no booking with that ID",IF(IF(E717="Tip",J717="",FALSE),"Assign - whose tip is it?",IF(IF(E717="Deposit",IF(H717="",I717="",FALSE),FALSE),"Check - deposit not tied to a booking",IF(M717="No","Due - not reconciled yet","OK"))))))))</f>
        <v>0</v>
      </c>
    </row>
    <row r="718" spans="1:23">
      <c r="A718" s="28">
        <f>IF(B718="","",PaymentPrefix&amp;TEXT(ROW()-4,"0000"))</f>
        <v>0</v>
      </c>
      <c r="D718" s="15">
        <f>IF(C718="","",IFERROR(INDEX(Clients!$B$5:$B$504,MATCH(C718,Clients!$A$5:$A$504,0)),"Walk-in"))</f>
        <v>0</v>
      </c>
      <c r="K718" s="15">
        <f>IF(J718="","",IFERROR(INDEX(Staff!$B$5:$B$44,MATCH(J718,Staff!$A$5:$A$44,0)),""))</f>
        <v>0</v>
      </c>
      <c r="O718" s="15">
        <f>IF(B718="","",TEXT(B718,"yyyy-mm"))</f>
        <v>0</v>
      </c>
      <c r="P718" s="25">
        <f>IF(B718="","",WEEKNUM(B718,2))</f>
        <v>0</v>
      </c>
      <c r="Q718" s="38">
        <f>IF(B718="","",IF(E718="Tip","No",IF(E718="Refund","No","Yes")))</f>
        <v>0</v>
      </c>
      <c r="R718" s="25">
        <f>IF(B718="","",IF(E718="Refund",-1,1))</f>
        <v>0</v>
      </c>
      <c r="S718" s="26">
        <f>IF(B718="","",IF(G718="",0,IF(F718="Card",ROUND(G718*CardFeePercent+CardFeeFixed,2),IF(F718="Online deposit",ROUND(G718*CardFeePercent+CardFeeFixed,2),0))))</f>
        <v>0</v>
      </c>
      <c r="T718" s="26">
        <f>IF(B718="","",ROUND(IF(G718="",0,G718)*R718-S718,2))</f>
        <v>0</v>
      </c>
      <c r="U718" s="38">
        <f>IF(B718="","",IF(E718="Tip","Yes","No"))</f>
        <v>0</v>
      </c>
      <c r="V718" s="15">
        <f>IF(B718="","",IF(H718&lt;&gt;"","Sale "&amp;H718,IF(I718&lt;&gt;"","Booking "&amp;I718,IF(E718="Tip","Stylist","Unapplied"))))</f>
        <v>0</v>
      </c>
      <c r="W718" s="39">
        <f>IF(B718="","",IF(G718="","Add - no amount yet",IF(E718="","Add - what was this for?",IF(IF(H718="",FALSE,COUNTIF(Sales!$A$5:$A$1204,H718)=0),"Missing - no sale with that ID",IF(IF(I718="",FALSE,COUNTIF(Appointments!$A$5:$A$1204,I718)=0),"Missing - no booking with that ID",IF(IF(E718="Tip",J718="",FALSE),"Assign - whose tip is it?",IF(IF(E718="Deposit",IF(H718="",I718="",FALSE),FALSE),"Check - deposit not tied to a booking",IF(M718="No","Due - not reconciled yet","OK"))))))))</f>
        <v>0</v>
      </c>
    </row>
    <row r="719" spans="1:23">
      <c r="A719" s="28">
        <f>IF(B719="","",PaymentPrefix&amp;TEXT(ROW()-4,"0000"))</f>
        <v>0</v>
      </c>
      <c r="D719" s="15">
        <f>IF(C719="","",IFERROR(INDEX(Clients!$B$5:$B$504,MATCH(C719,Clients!$A$5:$A$504,0)),"Walk-in"))</f>
        <v>0</v>
      </c>
      <c r="K719" s="15">
        <f>IF(J719="","",IFERROR(INDEX(Staff!$B$5:$B$44,MATCH(J719,Staff!$A$5:$A$44,0)),""))</f>
        <v>0</v>
      </c>
      <c r="O719" s="15">
        <f>IF(B719="","",TEXT(B719,"yyyy-mm"))</f>
        <v>0</v>
      </c>
      <c r="P719" s="25">
        <f>IF(B719="","",WEEKNUM(B719,2))</f>
        <v>0</v>
      </c>
      <c r="Q719" s="38">
        <f>IF(B719="","",IF(E719="Tip","No",IF(E719="Refund","No","Yes")))</f>
        <v>0</v>
      </c>
      <c r="R719" s="25">
        <f>IF(B719="","",IF(E719="Refund",-1,1))</f>
        <v>0</v>
      </c>
      <c r="S719" s="26">
        <f>IF(B719="","",IF(G719="",0,IF(F719="Card",ROUND(G719*CardFeePercent+CardFeeFixed,2),IF(F719="Online deposit",ROUND(G719*CardFeePercent+CardFeeFixed,2),0))))</f>
        <v>0</v>
      </c>
      <c r="T719" s="26">
        <f>IF(B719="","",ROUND(IF(G719="",0,G719)*R719-S719,2))</f>
        <v>0</v>
      </c>
      <c r="U719" s="38">
        <f>IF(B719="","",IF(E719="Tip","Yes","No"))</f>
        <v>0</v>
      </c>
      <c r="V719" s="15">
        <f>IF(B719="","",IF(H719&lt;&gt;"","Sale "&amp;H719,IF(I719&lt;&gt;"","Booking "&amp;I719,IF(E719="Tip","Stylist","Unapplied"))))</f>
        <v>0</v>
      </c>
      <c r="W719" s="39">
        <f>IF(B719="","",IF(G719="","Add - no amount yet",IF(E719="","Add - what was this for?",IF(IF(H719="",FALSE,COUNTIF(Sales!$A$5:$A$1204,H719)=0),"Missing - no sale with that ID",IF(IF(I719="",FALSE,COUNTIF(Appointments!$A$5:$A$1204,I719)=0),"Missing - no booking with that ID",IF(IF(E719="Tip",J719="",FALSE),"Assign - whose tip is it?",IF(IF(E719="Deposit",IF(H719="",I719="",FALSE),FALSE),"Check - deposit not tied to a booking",IF(M719="No","Due - not reconciled yet","OK"))))))))</f>
        <v>0</v>
      </c>
    </row>
    <row r="720" spans="1:23">
      <c r="A720" s="28">
        <f>IF(B720="","",PaymentPrefix&amp;TEXT(ROW()-4,"0000"))</f>
        <v>0</v>
      </c>
      <c r="D720" s="15">
        <f>IF(C720="","",IFERROR(INDEX(Clients!$B$5:$B$504,MATCH(C720,Clients!$A$5:$A$504,0)),"Walk-in"))</f>
        <v>0</v>
      </c>
      <c r="K720" s="15">
        <f>IF(J720="","",IFERROR(INDEX(Staff!$B$5:$B$44,MATCH(J720,Staff!$A$5:$A$44,0)),""))</f>
        <v>0</v>
      </c>
      <c r="O720" s="15">
        <f>IF(B720="","",TEXT(B720,"yyyy-mm"))</f>
        <v>0</v>
      </c>
      <c r="P720" s="25">
        <f>IF(B720="","",WEEKNUM(B720,2))</f>
        <v>0</v>
      </c>
      <c r="Q720" s="38">
        <f>IF(B720="","",IF(E720="Tip","No",IF(E720="Refund","No","Yes")))</f>
        <v>0</v>
      </c>
      <c r="R720" s="25">
        <f>IF(B720="","",IF(E720="Refund",-1,1))</f>
        <v>0</v>
      </c>
      <c r="S720" s="26">
        <f>IF(B720="","",IF(G720="",0,IF(F720="Card",ROUND(G720*CardFeePercent+CardFeeFixed,2),IF(F720="Online deposit",ROUND(G720*CardFeePercent+CardFeeFixed,2),0))))</f>
        <v>0</v>
      </c>
      <c r="T720" s="26">
        <f>IF(B720="","",ROUND(IF(G720="",0,G720)*R720-S720,2))</f>
        <v>0</v>
      </c>
      <c r="U720" s="38">
        <f>IF(B720="","",IF(E720="Tip","Yes","No"))</f>
        <v>0</v>
      </c>
      <c r="V720" s="15">
        <f>IF(B720="","",IF(H720&lt;&gt;"","Sale "&amp;H720,IF(I720&lt;&gt;"","Booking "&amp;I720,IF(E720="Tip","Stylist","Unapplied"))))</f>
        <v>0</v>
      </c>
      <c r="W720" s="39">
        <f>IF(B720="","",IF(G720="","Add - no amount yet",IF(E720="","Add - what was this for?",IF(IF(H720="",FALSE,COUNTIF(Sales!$A$5:$A$1204,H720)=0),"Missing - no sale with that ID",IF(IF(I720="",FALSE,COUNTIF(Appointments!$A$5:$A$1204,I720)=0),"Missing - no booking with that ID",IF(IF(E720="Tip",J720="",FALSE),"Assign - whose tip is it?",IF(IF(E720="Deposit",IF(H720="",I720="",FALSE),FALSE),"Check - deposit not tied to a booking",IF(M720="No","Due - not reconciled yet","OK"))))))))</f>
        <v>0</v>
      </c>
    </row>
    <row r="721" spans="1:23">
      <c r="A721" s="28">
        <f>IF(B721="","",PaymentPrefix&amp;TEXT(ROW()-4,"0000"))</f>
        <v>0</v>
      </c>
      <c r="D721" s="15">
        <f>IF(C721="","",IFERROR(INDEX(Clients!$B$5:$B$504,MATCH(C721,Clients!$A$5:$A$504,0)),"Walk-in"))</f>
        <v>0</v>
      </c>
      <c r="K721" s="15">
        <f>IF(J721="","",IFERROR(INDEX(Staff!$B$5:$B$44,MATCH(J721,Staff!$A$5:$A$44,0)),""))</f>
        <v>0</v>
      </c>
      <c r="O721" s="15">
        <f>IF(B721="","",TEXT(B721,"yyyy-mm"))</f>
        <v>0</v>
      </c>
      <c r="P721" s="25">
        <f>IF(B721="","",WEEKNUM(B721,2))</f>
        <v>0</v>
      </c>
      <c r="Q721" s="38">
        <f>IF(B721="","",IF(E721="Tip","No",IF(E721="Refund","No","Yes")))</f>
        <v>0</v>
      </c>
      <c r="R721" s="25">
        <f>IF(B721="","",IF(E721="Refund",-1,1))</f>
        <v>0</v>
      </c>
      <c r="S721" s="26">
        <f>IF(B721="","",IF(G721="",0,IF(F721="Card",ROUND(G721*CardFeePercent+CardFeeFixed,2),IF(F721="Online deposit",ROUND(G721*CardFeePercent+CardFeeFixed,2),0))))</f>
        <v>0</v>
      </c>
      <c r="T721" s="26">
        <f>IF(B721="","",ROUND(IF(G721="",0,G721)*R721-S721,2))</f>
        <v>0</v>
      </c>
      <c r="U721" s="38">
        <f>IF(B721="","",IF(E721="Tip","Yes","No"))</f>
        <v>0</v>
      </c>
      <c r="V721" s="15">
        <f>IF(B721="","",IF(H721&lt;&gt;"","Sale "&amp;H721,IF(I721&lt;&gt;"","Booking "&amp;I721,IF(E721="Tip","Stylist","Unapplied"))))</f>
        <v>0</v>
      </c>
      <c r="W721" s="39">
        <f>IF(B721="","",IF(G721="","Add - no amount yet",IF(E721="","Add - what was this for?",IF(IF(H721="",FALSE,COUNTIF(Sales!$A$5:$A$1204,H721)=0),"Missing - no sale with that ID",IF(IF(I721="",FALSE,COUNTIF(Appointments!$A$5:$A$1204,I721)=0),"Missing - no booking with that ID",IF(IF(E721="Tip",J721="",FALSE),"Assign - whose tip is it?",IF(IF(E721="Deposit",IF(H721="",I721="",FALSE),FALSE),"Check - deposit not tied to a booking",IF(M721="No","Due - not reconciled yet","OK"))))))))</f>
        <v>0</v>
      </c>
    </row>
    <row r="722" spans="1:23">
      <c r="A722" s="28">
        <f>IF(B722="","",PaymentPrefix&amp;TEXT(ROW()-4,"0000"))</f>
        <v>0</v>
      </c>
      <c r="D722" s="15">
        <f>IF(C722="","",IFERROR(INDEX(Clients!$B$5:$B$504,MATCH(C722,Clients!$A$5:$A$504,0)),"Walk-in"))</f>
        <v>0</v>
      </c>
      <c r="K722" s="15">
        <f>IF(J722="","",IFERROR(INDEX(Staff!$B$5:$B$44,MATCH(J722,Staff!$A$5:$A$44,0)),""))</f>
        <v>0</v>
      </c>
      <c r="O722" s="15">
        <f>IF(B722="","",TEXT(B722,"yyyy-mm"))</f>
        <v>0</v>
      </c>
      <c r="P722" s="25">
        <f>IF(B722="","",WEEKNUM(B722,2))</f>
        <v>0</v>
      </c>
      <c r="Q722" s="38">
        <f>IF(B722="","",IF(E722="Tip","No",IF(E722="Refund","No","Yes")))</f>
        <v>0</v>
      </c>
      <c r="R722" s="25">
        <f>IF(B722="","",IF(E722="Refund",-1,1))</f>
        <v>0</v>
      </c>
      <c r="S722" s="26">
        <f>IF(B722="","",IF(G722="",0,IF(F722="Card",ROUND(G722*CardFeePercent+CardFeeFixed,2),IF(F722="Online deposit",ROUND(G722*CardFeePercent+CardFeeFixed,2),0))))</f>
        <v>0</v>
      </c>
      <c r="T722" s="26">
        <f>IF(B722="","",ROUND(IF(G722="",0,G722)*R722-S722,2))</f>
        <v>0</v>
      </c>
      <c r="U722" s="38">
        <f>IF(B722="","",IF(E722="Tip","Yes","No"))</f>
        <v>0</v>
      </c>
      <c r="V722" s="15">
        <f>IF(B722="","",IF(H722&lt;&gt;"","Sale "&amp;H722,IF(I722&lt;&gt;"","Booking "&amp;I722,IF(E722="Tip","Stylist","Unapplied"))))</f>
        <v>0</v>
      </c>
      <c r="W722" s="39">
        <f>IF(B722="","",IF(G722="","Add - no amount yet",IF(E722="","Add - what was this for?",IF(IF(H722="",FALSE,COUNTIF(Sales!$A$5:$A$1204,H722)=0),"Missing - no sale with that ID",IF(IF(I722="",FALSE,COUNTIF(Appointments!$A$5:$A$1204,I722)=0),"Missing - no booking with that ID",IF(IF(E722="Tip",J722="",FALSE),"Assign - whose tip is it?",IF(IF(E722="Deposit",IF(H722="",I722="",FALSE),FALSE),"Check - deposit not tied to a booking",IF(M722="No","Due - not reconciled yet","OK"))))))))</f>
        <v>0</v>
      </c>
    </row>
    <row r="723" spans="1:23">
      <c r="A723" s="28">
        <f>IF(B723="","",PaymentPrefix&amp;TEXT(ROW()-4,"0000"))</f>
        <v>0</v>
      </c>
      <c r="D723" s="15">
        <f>IF(C723="","",IFERROR(INDEX(Clients!$B$5:$B$504,MATCH(C723,Clients!$A$5:$A$504,0)),"Walk-in"))</f>
        <v>0</v>
      </c>
      <c r="K723" s="15">
        <f>IF(J723="","",IFERROR(INDEX(Staff!$B$5:$B$44,MATCH(J723,Staff!$A$5:$A$44,0)),""))</f>
        <v>0</v>
      </c>
      <c r="O723" s="15">
        <f>IF(B723="","",TEXT(B723,"yyyy-mm"))</f>
        <v>0</v>
      </c>
      <c r="P723" s="25">
        <f>IF(B723="","",WEEKNUM(B723,2))</f>
        <v>0</v>
      </c>
      <c r="Q723" s="38">
        <f>IF(B723="","",IF(E723="Tip","No",IF(E723="Refund","No","Yes")))</f>
        <v>0</v>
      </c>
      <c r="R723" s="25">
        <f>IF(B723="","",IF(E723="Refund",-1,1))</f>
        <v>0</v>
      </c>
      <c r="S723" s="26">
        <f>IF(B723="","",IF(G723="",0,IF(F723="Card",ROUND(G723*CardFeePercent+CardFeeFixed,2),IF(F723="Online deposit",ROUND(G723*CardFeePercent+CardFeeFixed,2),0))))</f>
        <v>0</v>
      </c>
      <c r="T723" s="26">
        <f>IF(B723="","",ROUND(IF(G723="",0,G723)*R723-S723,2))</f>
        <v>0</v>
      </c>
      <c r="U723" s="38">
        <f>IF(B723="","",IF(E723="Tip","Yes","No"))</f>
        <v>0</v>
      </c>
      <c r="V723" s="15">
        <f>IF(B723="","",IF(H723&lt;&gt;"","Sale "&amp;H723,IF(I723&lt;&gt;"","Booking "&amp;I723,IF(E723="Tip","Stylist","Unapplied"))))</f>
        <v>0</v>
      </c>
      <c r="W723" s="39">
        <f>IF(B723="","",IF(G723="","Add - no amount yet",IF(E723="","Add - what was this for?",IF(IF(H723="",FALSE,COUNTIF(Sales!$A$5:$A$1204,H723)=0),"Missing - no sale with that ID",IF(IF(I723="",FALSE,COUNTIF(Appointments!$A$5:$A$1204,I723)=0),"Missing - no booking with that ID",IF(IF(E723="Tip",J723="",FALSE),"Assign - whose tip is it?",IF(IF(E723="Deposit",IF(H723="",I723="",FALSE),FALSE),"Check - deposit not tied to a booking",IF(M723="No","Due - not reconciled yet","OK"))))))))</f>
        <v>0</v>
      </c>
    </row>
    <row r="724" spans="1:23">
      <c r="A724" s="28">
        <f>IF(B724="","",PaymentPrefix&amp;TEXT(ROW()-4,"0000"))</f>
        <v>0</v>
      </c>
      <c r="D724" s="15">
        <f>IF(C724="","",IFERROR(INDEX(Clients!$B$5:$B$504,MATCH(C724,Clients!$A$5:$A$504,0)),"Walk-in"))</f>
        <v>0</v>
      </c>
      <c r="K724" s="15">
        <f>IF(J724="","",IFERROR(INDEX(Staff!$B$5:$B$44,MATCH(J724,Staff!$A$5:$A$44,0)),""))</f>
        <v>0</v>
      </c>
      <c r="O724" s="15">
        <f>IF(B724="","",TEXT(B724,"yyyy-mm"))</f>
        <v>0</v>
      </c>
      <c r="P724" s="25">
        <f>IF(B724="","",WEEKNUM(B724,2))</f>
        <v>0</v>
      </c>
      <c r="Q724" s="38">
        <f>IF(B724="","",IF(E724="Tip","No",IF(E724="Refund","No","Yes")))</f>
        <v>0</v>
      </c>
      <c r="R724" s="25">
        <f>IF(B724="","",IF(E724="Refund",-1,1))</f>
        <v>0</v>
      </c>
      <c r="S724" s="26">
        <f>IF(B724="","",IF(G724="",0,IF(F724="Card",ROUND(G724*CardFeePercent+CardFeeFixed,2),IF(F724="Online deposit",ROUND(G724*CardFeePercent+CardFeeFixed,2),0))))</f>
        <v>0</v>
      </c>
      <c r="T724" s="26">
        <f>IF(B724="","",ROUND(IF(G724="",0,G724)*R724-S724,2))</f>
        <v>0</v>
      </c>
      <c r="U724" s="38">
        <f>IF(B724="","",IF(E724="Tip","Yes","No"))</f>
        <v>0</v>
      </c>
      <c r="V724" s="15">
        <f>IF(B724="","",IF(H724&lt;&gt;"","Sale "&amp;H724,IF(I724&lt;&gt;"","Booking "&amp;I724,IF(E724="Tip","Stylist","Unapplied"))))</f>
        <v>0</v>
      </c>
      <c r="W724" s="39">
        <f>IF(B724="","",IF(G724="","Add - no amount yet",IF(E724="","Add - what was this for?",IF(IF(H724="",FALSE,COUNTIF(Sales!$A$5:$A$1204,H724)=0),"Missing - no sale with that ID",IF(IF(I724="",FALSE,COUNTIF(Appointments!$A$5:$A$1204,I724)=0),"Missing - no booking with that ID",IF(IF(E724="Tip",J724="",FALSE),"Assign - whose tip is it?",IF(IF(E724="Deposit",IF(H724="",I724="",FALSE),FALSE),"Check - deposit not tied to a booking",IF(M724="No","Due - not reconciled yet","OK"))))))))</f>
        <v>0</v>
      </c>
    </row>
    <row r="725" spans="1:23">
      <c r="A725" s="28">
        <f>IF(B725="","",PaymentPrefix&amp;TEXT(ROW()-4,"0000"))</f>
        <v>0</v>
      </c>
      <c r="D725" s="15">
        <f>IF(C725="","",IFERROR(INDEX(Clients!$B$5:$B$504,MATCH(C725,Clients!$A$5:$A$504,0)),"Walk-in"))</f>
        <v>0</v>
      </c>
      <c r="K725" s="15">
        <f>IF(J725="","",IFERROR(INDEX(Staff!$B$5:$B$44,MATCH(J725,Staff!$A$5:$A$44,0)),""))</f>
        <v>0</v>
      </c>
      <c r="O725" s="15">
        <f>IF(B725="","",TEXT(B725,"yyyy-mm"))</f>
        <v>0</v>
      </c>
      <c r="P725" s="25">
        <f>IF(B725="","",WEEKNUM(B725,2))</f>
        <v>0</v>
      </c>
      <c r="Q725" s="38">
        <f>IF(B725="","",IF(E725="Tip","No",IF(E725="Refund","No","Yes")))</f>
        <v>0</v>
      </c>
      <c r="R725" s="25">
        <f>IF(B725="","",IF(E725="Refund",-1,1))</f>
        <v>0</v>
      </c>
      <c r="S725" s="26">
        <f>IF(B725="","",IF(G725="",0,IF(F725="Card",ROUND(G725*CardFeePercent+CardFeeFixed,2),IF(F725="Online deposit",ROUND(G725*CardFeePercent+CardFeeFixed,2),0))))</f>
        <v>0</v>
      </c>
      <c r="T725" s="26">
        <f>IF(B725="","",ROUND(IF(G725="",0,G725)*R725-S725,2))</f>
        <v>0</v>
      </c>
      <c r="U725" s="38">
        <f>IF(B725="","",IF(E725="Tip","Yes","No"))</f>
        <v>0</v>
      </c>
      <c r="V725" s="15">
        <f>IF(B725="","",IF(H725&lt;&gt;"","Sale "&amp;H725,IF(I725&lt;&gt;"","Booking "&amp;I725,IF(E725="Tip","Stylist","Unapplied"))))</f>
        <v>0</v>
      </c>
      <c r="W725" s="39">
        <f>IF(B725="","",IF(G725="","Add - no amount yet",IF(E725="","Add - what was this for?",IF(IF(H725="",FALSE,COUNTIF(Sales!$A$5:$A$1204,H725)=0),"Missing - no sale with that ID",IF(IF(I725="",FALSE,COUNTIF(Appointments!$A$5:$A$1204,I725)=0),"Missing - no booking with that ID",IF(IF(E725="Tip",J725="",FALSE),"Assign - whose tip is it?",IF(IF(E725="Deposit",IF(H725="",I725="",FALSE),FALSE),"Check - deposit not tied to a booking",IF(M725="No","Due - not reconciled yet","OK"))))))))</f>
        <v>0</v>
      </c>
    </row>
    <row r="726" spans="1:23">
      <c r="A726" s="28">
        <f>IF(B726="","",PaymentPrefix&amp;TEXT(ROW()-4,"0000"))</f>
        <v>0</v>
      </c>
      <c r="D726" s="15">
        <f>IF(C726="","",IFERROR(INDEX(Clients!$B$5:$B$504,MATCH(C726,Clients!$A$5:$A$504,0)),"Walk-in"))</f>
        <v>0</v>
      </c>
      <c r="K726" s="15">
        <f>IF(J726="","",IFERROR(INDEX(Staff!$B$5:$B$44,MATCH(J726,Staff!$A$5:$A$44,0)),""))</f>
        <v>0</v>
      </c>
      <c r="O726" s="15">
        <f>IF(B726="","",TEXT(B726,"yyyy-mm"))</f>
        <v>0</v>
      </c>
      <c r="P726" s="25">
        <f>IF(B726="","",WEEKNUM(B726,2))</f>
        <v>0</v>
      </c>
      <c r="Q726" s="38">
        <f>IF(B726="","",IF(E726="Tip","No",IF(E726="Refund","No","Yes")))</f>
        <v>0</v>
      </c>
      <c r="R726" s="25">
        <f>IF(B726="","",IF(E726="Refund",-1,1))</f>
        <v>0</v>
      </c>
      <c r="S726" s="26">
        <f>IF(B726="","",IF(G726="",0,IF(F726="Card",ROUND(G726*CardFeePercent+CardFeeFixed,2),IF(F726="Online deposit",ROUND(G726*CardFeePercent+CardFeeFixed,2),0))))</f>
        <v>0</v>
      </c>
      <c r="T726" s="26">
        <f>IF(B726="","",ROUND(IF(G726="",0,G726)*R726-S726,2))</f>
        <v>0</v>
      </c>
      <c r="U726" s="38">
        <f>IF(B726="","",IF(E726="Tip","Yes","No"))</f>
        <v>0</v>
      </c>
      <c r="V726" s="15">
        <f>IF(B726="","",IF(H726&lt;&gt;"","Sale "&amp;H726,IF(I726&lt;&gt;"","Booking "&amp;I726,IF(E726="Tip","Stylist","Unapplied"))))</f>
        <v>0</v>
      </c>
      <c r="W726" s="39">
        <f>IF(B726="","",IF(G726="","Add - no amount yet",IF(E726="","Add - what was this for?",IF(IF(H726="",FALSE,COUNTIF(Sales!$A$5:$A$1204,H726)=0),"Missing - no sale with that ID",IF(IF(I726="",FALSE,COUNTIF(Appointments!$A$5:$A$1204,I726)=0),"Missing - no booking with that ID",IF(IF(E726="Tip",J726="",FALSE),"Assign - whose tip is it?",IF(IF(E726="Deposit",IF(H726="",I726="",FALSE),FALSE),"Check - deposit not tied to a booking",IF(M726="No","Due - not reconciled yet","OK"))))))))</f>
        <v>0</v>
      </c>
    </row>
    <row r="727" spans="1:23">
      <c r="A727" s="28">
        <f>IF(B727="","",PaymentPrefix&amp;TEXT(ROW()-4,"0000"))</f>
        <v>0</v>
      </c>
      <c r="D727" s="15">
        <f>IF(C727="","",IFERROR(INDEX(Clients!$B$5:$B$504,MATCH(C727,Clients!$A$5:$A$504,0)),"Walk-in"))</f>
        <v>0</v>
      </c>
      <c r="K727" s="15">
        <f>IF(J727="","",IFERROR(INDEX(Staff!$B$5:$B$44,MATCH(J727,Staff!$A$5:$A$44,0)),""))</f>
        <v>0</v>
      </c>
      <c r="O727" s="15">
        <f>IF(B727="","",TEXT(B727,"yyyy-mm"))</f>
        <v>0</v>
      </c>
      <c r="P727" s="25">
        <f>IF(B727="","",WEEKNUM(B727,2))</f>
        <v>0</v>
      </c>
      <c r="Q727" s="38">
        <f>IF(B727="","",IF(E727="Tip","No",IF(E727="Refund","No","Yes")))</f>
        <v>0</v>
      </c>
      <c r="R727" s="25">
        <f>IF(B727="","",IF(E727="Refund",-1,1))</f>
        <v>0</v>
      </c>
      <c r="S727" s="26">
        <f>IF(B727="","",IF(G727="",0,IF(F727="Card",ROUND(G727*CardFeePercent+CardFeeFixed,2),IF(F727="Online deposit",ROUND(G727*CardFeePercent+CardFeeFixed,2),0))))</f>
        <v>0</v>
      </c>
      <c r="T727" s="26">
        <f>IF(B727="","",ROUND(IF(G727="",0,G727)*R727-S727,2))</f>
        <v>0</v>
      </c>
      <c r="U727" s="38">
        <f>IF(B727="","",IF(E727="Tip","Yes","No"))</f>
        <v>0</v>
      </c>
      <c r="V727" s="15">
        <f>IF(B727="","",IF(H727&lt;&gt;"","Sale "&amp;H727,IF(I727&lt;&gt;"","Booking "&amp;I727,IF(E727="Tip","Stylist","Unapplied"))))</f>
        <v>0</v>
      </c>
      <c r="W727" s="39">
        <f>IF(B727="","",IF(G727="","Add - no amount yet",IF(E727="","Add - what was this for?",IF(IF(H727="",FALSE,COUNTIF(Sales!$A$5:$A$1204,H727)=0),"Missing - no sale with that ID",IF(IF(I727="",FALSE,COUNTIF(Appointments!$A$5:$A$1204,I727)=0),"Missing - no booking with that ID",IF(IF(E727="Tip",J727="",FALSE),"Assign - whose tip is it?",IF(IF(E727="Deposit",IF(H727="",I727="",FALSE),FALSE),"Check - deposit not tied to a booking",IF(M727="No","Due - not reconciled yet","OK"))))))))</f>
        <v>0</v>
      </c>
    </row>
    <row r="728" spans="1:23">
      <c r="A728" s="28">
        <f>IF(B728="","",PaymentPrefix&amp;TEXT(ROW()-4,"0000"))</f>
        <v>0</v>
      </c>
      <c r="D728" s="15">
        <f>IF(C728="","",IFERROR(INDEX(Clients!$B$5:$B$504,MATCH(C728,Clients!$A$5:$A$504,0)),"Walk-in"))</f>
        <v>0</v>
      </c>
      <c r="K728" s="15">
        <f>IF(J728="","",IFERROR(INDEX(Staff!$B$5:$B$44,MATCH(J728,Staff!$A$5:$A$44,0)),""))</f>
        <v>0</v>
      </c>
      <c r="O728" s="15">
        <f>IF(B728="","",TEXT(B728,"yyyy-mm"))</f>
        <v>0</v>
      </c>
      <c r="P728" s="25">
        <f>IF(B728="","",WEEKNUM(B728,2))</f>
        <v>0</v>
      </c>
      <c r="Q728" s="38">
        <f>IF(B728="","",IF(E728="Tip","No",IF(E728="Refund","No","Yes")))</f>
        <v>0</v>
      </c>
      <c r="R728" s="25">
        <f>IF(B728="","",IF(E728="Refund",-1,1))</f>
        <v>0</v>
      </c>
      <c r="S728" s="26">
        <f>IF(B728="","",IF(G728="",0,IF(F728="Card",ROUND(G728*CardFeePercent+CardFeeFixed,2),IF(F728="Online deposit",ROUND(G728*CardFeePercent+CardFeeFixed,2),0))))</f>
        <v>0</v>
      </c>
      <c r="T728" s="26">
        <f>IF(B728="","",ROUND(IF(G728="",0,G728)*R728-S728,2))</f>
        <v>0</v>
      </c>
      <c r="U728" s="38">
        <f>IF(B728="","",IF(E728="Tip","Yes","No"))</f>
        <v>0</v>
      </c>
      <c r="V728" s="15">
        <f>IF(B728="","",IF(H728&lt;&gt;"","Sale "&amp;H728,IF(I728&lt;&gt;"","Booking "&amp;I728,IF(E728="Tip","Stylist","Unapplied"))))</f>
        <v>0</v>
      </c>
      <c r="W728" s="39">
        <f>IF(B728="","",IF(G728="","Add - no amount yet",IF(E728="","Add - what was this for?",IF(IF(H728="",FALSE,COUNTIF(Sales!$A$5:$A$1204,H728)=0),"Missing - no sale with that ID",IF(IF(I728="",FALSE,COUNTIF(Appointments!$A$5:$A$1204,I728)=0),"Missing - no booking with that ID",IF(IF(E728="Tip",J728="",FALSE),"Assign - whose tip is it?",IF(IF(E728="Deposit",IF(H728="",I728="",FALSE),FALSE),"Check - deposit not tied to a booking",IF(M728="No","Due - not reconciled yet","OK"))))))))</f>
        <v>0</v>
      </c>
    </row>
    <row r="729" spans="1:23">
      <c r="A729" s="28">
        <f>IF(B729="","",PaymentPrefix&amp;TEXT(ROW()-4,"0000"))</f>
        <v>0</v>
      </c>
      <c r="D729" s="15">
        <f>IF(C729="","",IFERROR(INDEX(Clients!$B$5:$B$504,MATCH(C729,Clients!$A$5:$A$504,0)),"Walk-in"))</f>
        <v>0</v>
      </c>
      <c r="K729" s="15">
        <f>IF(J729="","",IFERROR(INDEX(Staff!$B$5:$B$44,MATCH(J729,Staff!$A$5:$A$44,0)),""))</f>
        <v>0</v>
      </c>
      <c r="O729" s="15">
        <f>IF(B729="","",TEXT(B729,"yyyy-mm"))</f>
        <v>0</v>
      </c>
      <c r="P729" s="25">
        <f>IF(B729="","",WEEKNUM(B729,2))</f>
        <v>0</v>
      </c>
      <c r="Q729" s="38">
        <f>IF(B729="","",IF(E729="Tip","No",IF(E729="Refund","No","Yes")))</f>
        <v>0</v>
      </c>
      <c r="R729" s="25">
        <f>IF(B729="","",IF(E729="Refund",-1,1))</f>
        <v>0</v>
      </c>
      <c r="S729" s="26">
        <f>IF(B729="","",IF(G729="",0,IF(F729="Card",ROUND(G729*CardFeePercent+CardFeeFixed,2),IF(F729="Online deposit",ROUND(G729*CardFeePercent+CardFeeFixed,2),0))))</f>
        <v>0</v>
      </c>
      <c r="T729" s="26">
        <f>IF(B729="","",ROUND(IF(G729="",0,G729)*R729-S729,2))</f>
        <v>0</v>
      </c>
      <c r="U729" s="38">
        <f>IF(B729="","",IF(E729="Tip","Yes","No"))</f>
        <v>0</v>
      </c>
      <c r="V729" s="15">
        <f>IF(B729="","",IF(H729&lt;&gt;"","Sale "&amp;H729,IF(I729&lt;&gt;"","Booking "&amp;I729,IF(E729="Tip","Stylist","Unapplied"))))</f>
        <v>0</v>
      </c>
      <c r="W729" s="39">
        <f>IF(B729="","",IF(G729="","Add - no amount yet",IF(E729="","Add - what was this for?",IF(IF(H729="",FALSE,COUNTIF(Sales!$A$5:$A$1204,H729)=0),"Missing - no sale with that ID",IF(IF(I729="",FALSE,COUNTIF(Appointments!$A$5:$A$1204,I729)=0),"Missing - no booking with that ID",IF(IF(E729="Tip",J729="",FALSE),"Assign - whose tip is it?",IF(IF(E729="Deposit",IF(H729="",I729="",FALSE),FALSE),"Check - deposit not tied to a booking",IF(M729="No","Due - not reconciled yet","OK"))))))))</f>
        <v>0</v>
      </c>
    </row>
    <row r="730" spans="1:23">
      <c r="A730" s="28">
        <f>IF(B730="","",PaymentPrefix&amp;TEXT(ROW()-4,"0000"))</f>
        <v>0</v>
      </c>
      <c r="D730" s="15">
        <f>IF(C730="","",IFERROR(INDEX(Clients!$B$5:$B$504,MATCH(C730,Clients!$A$5:$A$504,0)),"Walk-in"))</f>
        <v>0</v>
      </c>
      <c r="K730" s="15">
        <f>IF(J730="","",IFERROR(INDEX(Staff!$B$5:$B$44,MATCH(J730,Staff!$A$5:$A$44,0)),""))</f>
        <v>0</v>
      </c>
      <c r="O730" s="15">
        <f>IF(B730="","",TEXT(B730,"yyyy-mm"))</f>
        <v>0</v>
      </c>
      <c r="P730" s="25">
        <f>IF(B730="","",WEEKNUM(B730,2))</f>
        <v>0</v>
      </c>
      <c r="Q730" s="38">
        <f>IF(B730="","",IF(E730="Tip","No",IF(E730="Refund","No","Yes")))</f>
        <v>0</v>
      </c>
      <c r="R730" s="25">
        <f>IF(B730="","",IF(E730="Refund",-1,1))</f>
        <v>0</v>
      </c>
      <c r="S730" s="26">
        <f>IF(B730="","",IF(G730="",0,IF(F730="Card",ROUND(G730*CardFeePercent+CardFeeFixed,2),IF(F730="Online deposit",ROUND(G730*CardFeePercent+CardFeeFixed,2),0))))</f>
        <v>0</v>
      </c>
      <c r="T730" s="26">
        <f>IF(B730="","",ROUND(IF(G730="",0,G730)*R730-S730,2))</f>
        <v>0</v>
      </c>
      <c r="U730" s="38">
        <f>IF(B730="","",IF(E730="Tip","Yes","No"))</f>
        <v>0</v>
      </c>
      <c r="V730" s="15">
        <f>IF(B730="","",IF(H730&lt;&gt;"","Sale "&amp;H730,IF(I730&lt;&gt;"","Booking "&amp;I730,IF(E730="Tip","Stylist","Unapplied"))))</f>
        <v>0</v>
      </c>
      <c r="W730" s="39">
        <f>IF(B730="","",IF(G730="","Add - no amount yet",IF(E730="","Add - what was this for?",IF(IF(H730="",FALSE,COUNTIF(Sales!$A$5:$A$1204,H730)=0),"Missing - no sale with that ID",IF(IF(I730="",FALSE,COUNTIF(Appointments!$A$5:$A$1204,I730)=0),"Missing - no booking with that ID",IF(IF(E730="Tip",J730="",FALSE),"Assign - whose tip is it?",IF(IF(E730="Deposit",IF(H730="",I730="",FALSE),FALSE),"Check - deposit not tied to a booking",IF(M730="No","Due - not reconciled yet","OK"))))))))</f>
        <v>0</v>
      </c>
    </row>
    <row r="731" spans="1:23">
      <c r="A731" s="28">
        <f>IF(B731="","",PaymentPrefix&amp;TEXT(ROW()-4,"0000"))</f>
        <v>0</v>
      </c>
      <c r="D731" s="15">
        <f>IF(C731="","",IFERROR(INDEX(Clients!$B$5:$B$504,MATCH(C731,Clients!$A$5:$A$504,0)),"Walk-in"))</f>
        <v>0</v>
      </c>
      <c r="K731" s="15">
        <f>IF(J731="","",IFERROR(INDEX(Staff!$B$5:$B$44,MATCH(J731,Staff!$A$5:$A$44,0)),""))</f>
        <v>0</v>
      </c>
      <c r="O731" s="15">
        <f>IF(B731="","",TEXT(B731,"yyyy-mm"))</f>
        <v>0</v>
      </c>
      <c r="P731" s="25">
        <f>IF(B731="","",WEEKNUM(B731,2))</f>
        <v>0</v>
      </c>
      <c r="Q731" s="38">
        <f>IF(B731="","",IF(E731="Tip","No",IF(E731="Refund","No","Yes")))</f>
        <v>0</v>
      </c>
      <c r="R731" s="25">
        <f>IF(B731="","",IF(E731="Refund",-1,1))</f>
        <v>0</v>
      </c>
      <c r="S731" s="26">
        <f>IF(B731="","",IF(G731="",0,IF(F731="Card",ROUND(G731*CardFeePercent+CardFeeFixed,2),IF(F731="Online deposit",ROUND(G731*CardFeePercent+CardFeeFixed,2),0))))</f>
        <v>0</v>
      </c>
      <c r="T731" s="26">
        <f>IF(B731="","",ROUND(IF(G731="",0,G731)*R731-S731,2))</f>
        <v>0</v>
      </c>
      <c r="U731" s="38">
        <f>IF(B731="","",IF(E731="Tip","Yes","No"))</f>
        <v>0</v>
      </c>
      <c r="V731" s="15">
        <f>IF(B731="","",IF(H731&lt;&gt;"","Sale "&amp;H731,IF(I731&lt;&gt;"","Booking "&amp;I731,IF(E731="Tip","Stylist","Unapplied"))))</f>
        <v>0</v>
      </c>
      <c r="W731" s="39">
        <f>IF(B731="","",IF(G731="","Add - no amount yet",IF(E731="","Add - what was this for?",IF(IF(H731="",FALSE,COUNTIF(Sales!$A$5:$A$1204,H731)=0),"Missing - no sale with that ID",IF(IF(I731="",FALSE,COUNTIF(Appointments!$A$5:$A$1204,I731)=0),"Missing - no booking with that ID",IF(IF(E731="Tip",J731="",FALSE),"Assign - whose tip is it?",IF(IF(E731="Deposit",IF(H731="",I731="",FALSE),FALSE),"Check - deposit not tied to a booking",IF(M731="No","Due - not reconciled yet","OK"))))))))</f>
        <v>0</v>
      </c>
    </row>
    <row r="732" spans="1:23">
      <c r="A732" s="28">
        <f>IF(B732="","",PaymentPrefix&amp;TEXT(ROW()-4,"0000"))</f>
        <v>0</v>
      </c>
      <c r="D732" s="15">
        <f>IF(C732="","",IFERROR(INDEX(Clients!$B$5:$B$504,MATCH(C732,Clients!$A$5:$A$504,0)),"Walk-in"))</f>
        <v>0</v>
      </c>
      <c r="K732" s="15">
        <f>IF(J732="","",IFERROR(INDEX(Staff!$B$5:$B$44,MATCH(J732,Staff!$A$5:$A$44,0)),""))</f>
        <v>0</v>
      </c>
      <c r="O732" s="15">
        <f>IF(B732="","",TEXT(B732,"yyyy-mm"))</f>
        <v>0</v>
      </c>
      <c r="P732" s="25">
        <f>IF(B732="","",WEEKNUM(B732,2))</f>
        <v>0</v>
      </c>
      <c r="Q732" s="38">
        <f>IF(B732="","",IF(E732="Tip","No",IF(E732="Refund","No","Yes")))</f>
        <v>0</v>
      </c>
      <c r="R732" s="25">
        <f>IF(B732="","",IF(E732="Refund",-1,1))</f>
        <v>0</v>
      </c>
      <c r="S732" s="26">
        <f>IF(B732="","",IF(G732="",0,IF(F732="Card",ROUND(G732*CardFeePercent+CardFeeFixed,2),IF(F732="Online deposit",ROUND(G732*CardFeePercent+CardFeeFixed,2),0))))</f>
        <v>0</v>
      </c>
      <c r="T732" s="26">
        <f>IF(B732="","",ROUND(IF(G732="",0,G732)*R732-S732,2))</f>
        <v>0</v>
      </c>
      <c r="U732" s="38">
        <f>IF(B732="","",IF(E732="Tip","Yes","No"))</f>
        <v>0</v>
      </c>
      <c r="V732" s="15">
        <f>IF(B732="","",IF(H732&lt;&gt;"","Sale "&amp;H732,IF(I732&lt;&gt;"","Booking "&amp;I732,IF(E732="Tip","Stylist","Unapplied"))))</f>
        <v>0</v>
      </c>
      <c r="W732" s="39">
        <f>IF(B732="","",IF(G732="","Add - no amount yet",IF(E732="","Add - what was this for?",IF(IF(H732="",FALSE,COUNTIF(Sales!$A$5:$A$1204,H732)=0),"Missing - no sale with that ID",IF(IF(I732="",FALSE,COUNTIF(Appointments!$A$5:$A$1204,I732)=0),"Missing - no booking with that ID",IF(IF(E732="Tip",J732="",FALSE),"Assign - whose tip is it?",IF(IF(E732="Deposit",IF(H732="",I732="",FALSE),FALSE),"Check - deposit not tied to a booking",IF(M732="No","Due - not reconciled yet","OK"))))))))</f>
        <v>0</v>
      </c>
    </row>
    <row r="733" spans="1:23">
      <c r="A733" s="28">
        <f>IF(B733="","",PaymentPrefix&amp;TEXT(ROW()-4,"0000"))</f>
        <v>0</v>
      </c>
      <c r="D733" s="15">
        <f>IF(C733="","",IFERROR(INDEX(Clients!$B$5:$B$504,MATCH(C733,Clients!$A$5:$A$504,0)),"Walk-in"))</f>
        <v>0</v>
      </c>
      <c r="K733" s="15">
        <f>IF(J733="","",IFERROR(INDEX(Staff!$B$5:$B$44,MATCH(J733,Staff!$A$5:$A$44,0)),""))</f>
        <v>0</v>
      </c>
      <c r="O733" s="15">
        <f>IF(B733="","",TEXT(B733,"yyyy-mm"))</f>
        <v>0</v>
      </c>
      <c r="P733" s="25">
        <f>IF(B733="","",WEEKNUM(B733,2))</f>
        <v>0</v>
      </c>
      <c r="Q733" s="38">
        <f>IF(B733="","",IF(E733="Tip","No",IF(E733="Refund","No","Yes")))</f>
        <v>0</v>
      </c>
      <c r="R733" s="25">
        <f>IF(B733="","",IF(E733="Refund",-1,1))</f>
        <v>0</v>
      </c>
      <c r="S733" s="26">
        <f>IF(B733="","",IF(G733="",0,IF(F733="Card",ROUND(G733*CardFeePercent+CardFeeFixed,2),IF(F733="Online deposit",ROUND(G733*CardFeePercent+CardFeeFixed,2),0))))</f>
        <v>0</v>
      </c>
      <c r="T733" s="26">
        <f>IF(B733="","",ROUND(IF(G733="",0,G733)*R733-S733,2))</f>
        <v>0</v>
      </c>
      <c r="U733" s="38">
        <f>IF(B733="","",IF(E733="Tip","Yes","No"))</f>
        <v>0</v>
      </c>
      <c r="V733" s="15">
        <f>IF(B733="","",IF(H733&lt;&gt;"","Sale "&amp;H733,IF(I733&lt;&gt;"","Booking "&amp;I733,IF(E733="Tip","Stylist","Unapplied"))))</f>
        <v>0</v>
      </c>
      <c r="W733" s="39">
        <f>IF(B733="","",IF(G733="","Add - no amount yet",IF(E733="","Add - what was this for?",IF(IF(H733="",FALSE,COUNTIF(Sales!$A$5:$A$1204,H733)=0),"Missing - no sale with that ID",IF(IF(I733="",FALSE,COUNTIF(Appointments!$A$5:$A$1204,I733)=0),"Missing - no booking with that ID",IF(IF(E733="Tip",J733="",FALSE),"Assign - whose tip is it?",IF(IF(E733="Deposit",IF(H733="",I733="",FALSE),FALSE),"Check - deposit not tied to a booking",IF(M733="No","Due - not reconciled yet","OK"))))))))</f>
        <v>0</v>
      </c>
    </row>
    <row r="734" spans="1:23">
      <c r="A734" s="28">
        <f>IF(B734="","",PaymentPrefix&amp;TEXT(ROW()-4,"0000"))</f>
        <v>0</v>
      </c>
      <c r="D734" s="15">
        <f>IF(C734="","",IFERROR(INDEX(Clients!$B$5:$B$504,MATCH(C734,Clients!$A$5:$A$504,0)),"Walk-in"))</f>
        <v>0</v>
      </c>
      <c r="K734" s="15">
        <f>IF(J734="","",IFERROR(INDEX(Staff!$B$5:$B$44,MATCH(J734,Staff!$A$5:$A$44,0)),""))</f>
        <v>0</v>
      </c>
      <c r="O734" s="15">
        <f>IF(B734="","",TEXT(B734,"yyyy-mm"))</f>
        <v>0</v>
      </c>
      <c r="P734" s="25">
        <f>IF(B734="","",WEEKNUM(B734,2))</f>
        <v>0</v>
      </c>
      <c r="Q734" s="38">
        <f>IF(B734="","",IF(E734="Tip","No",IF(E734="Refund","No","Yes")))</f>
        <v>0</v>
      </c>
      <c r="R734" s="25">
        <f>IF(B734="","",IF(E734="Refund",-1,1))</f>
        <v>0</v>
      </c>
      <c r="S734" s="26">
        <f>IF(B734="","",IF(G734="",0,IF(F734="Card",ROUND(G734*CardFeePercent+CardFeeFixed,2),IF(F734="Online deposit",ROUND(G734*CardFeePercent+CardFeeFixed,2),0))))</f>
        <v>0</v>
      </c>
      <c r="T734" s="26">
        <f>IF(B734="","",ROUND(IF(G734="",0,G734)*R734-S734,2))</f>
        <v>0</v>
      </c>
      <c r="U734" s="38">
        <f>IF(B734="","",IF(E734="Tip","Yes","No"))</f>
        <v>0</v>
      </c>
      <c r="V734" s="15">
        <f>IF(B734="","",IF(H734&lt;&gt;"","Sale "&amp;H734,IF(I734&lt;&gt;"","Booking "&amp;I734,IF(E734="Tip","Stylist","Unapplied"))))</f>
        <v>0</v>
      </c>
      <c r="W734" s="39">
        <f>IF(B734="","",IF(G734="","Add - no amount yet",IF(E734="","Add - what was this for?",IF(IF(H734="",FALSE,COUNTIF(Sales!$A$5:$A$1204,H734)=0),"Missing - no sale with that ID",IF(IF(I734="",FALSE,COUNTIF(Appointments!$A$5:$A$1204,I734)=0),"Missing - no booking with that ID",IF(IF(E734="Tip",J734="",FALSE),"Assign - whose tip is it?",IF(IF(E734="Deposit",IF(H734="",I734="",FALSE),FALSE),"Check - deposit not tied to a booking",IF(M734="No","Due - not reconciled yet","OK"))))))))</f>
        <v>0</v>
      </c>
    </row>
    <row r="735" spans="1:23">
      <c r="A735" s="28">
        <f>IF(B735="","",PaymentPrefix&amp;TEXT(ROW()-4,"0000"))</f>
        <v>0</v>
      </c>
      <c r="D735" s="15">
        <f>IF(C735="","",IFERROR(INDEX(Clients!$B$5:$B$504,MATCH(C735,Clients!$A$5:$A$504,0)),"Walk-in"))</f>
        <v>0</v>
      </c>
      <c r="K735" s="15">
        <f>IF(J735="","",IFERROR(INDEX(Staff!$B$5:$B$44,MATCH(J735,Staff!$A$5:$A$44,0)),""))</f>
        <v>0</v>
      </c>
      <c r="O735" s="15">
        <f>IF(B735="","",TEXT(B735,"yyyy-mm"))</f>
        <v>0</v>
      </c>
      <c r="P735" s="25">
        <f>IF(B735="","",WEEKNUM(B735,2))</f>
        <v>0</v>
      </c>
      <c r="Q735" s="38">
        <f>IF(B735="","",IF(E735="Tip","No",IF(E735="Refund","No","Yes")))</f>
        <v>0</v>
      </c>
      <c r="R735" s="25">
        <f>IF(B735="","",IF(E735="Refund",-1,1))</f>
        <v>0</v>
      </c>
      <c r="S735" s="26">
        <f>IF(B735="","",IF(G735="",0,IF(F735="Card",ROUND(G735*CardFeePercent+CardFeeFixed,2),IF(F735="Online deposit",ROUND(G735*CardFeePercent+CardFeeFixed,2),0))))</f>
        <v>0</v>
      </c>
      <c r="T735" s="26">
        <f>IF(B735="","",ROUND(IF(G735="",0,G735)*R735-S735,2))</f>
        <v>0</v>
      </c>
      <c r="U735" s="38">
        <f>IF(B735="","",IF(E735="Tip","Yes","No"))</f>
        <v>0</v>
      </c>
      <c r="V735" s="15">
        <f>IF(B735="","",IF(H735&lt;&gt;"","Sale "&amp;H735,IF(I735&lt;&gt;"","Booking "&amp;I735,IF(E735="Tip","Stylist","Unapplied"))))</f>
        <v>0</v>
      </c>
      <c r="W735" s="39">
        <f>IF(B735="","",IF(G735="","Add - no amount yet",IF(E735="","Add - what was this for?",IF(IF(H735="",FALSE,COUNTIF(Sales!$A$5:$A$1204,H735)=0),"Missing - no sale with that ID",IF(IF(I735="",FALSE,COUNTIF(Appointments!$A$5:$A$1204,I735)=0),"Missing - no booking with that ID",IF(IF(E735="Tip",J735="",FALSE),"Assign - whose tip is it?",IF(IF(E735="Deposit",IF(H735="",I735="",FALSE),FALSE),"Check - deposit not tied to a booking",IF(M735="No","Due - not reconciled yet","OK"))))))))</f>
        <v>0</v>
      </c>
    </row>
    <row r="736" spans="1:23">
      <c r="A736" s="28">
        <f>IF(B736="","",PaymentPrefix&amp;TEXT(ROW()-4,"0000"))</f>
        <v>0</v>
      </c>
      <c r="D736" s="15">
        <f>IF(C736="","",IFERROR(INDEX(Clients!$B$5:$B$504,MATCH(C736,Clients!$A$5:$A$504,0)),"Walk-in"))</f>
        <v>0</v>
      </c>
      <c r="K736" s="15">
        <f>IF(J736="","",IFERROR(INDEX(Staff!$B$5:$B$44,MATCH(J736,Staff!$A$5:$A$44,0)),""))</f>
        <v>0</v>
      </c>
      <c r="O736" s="15">
        <f>IF(B736="","",TEXT(B736,"yyyy-mm"))</f>
        <v>0</v>
      </c>
      <c r="P736" s="25">
        <f>IF(B736="","",WEEKNUM(B736,2))</f>
        <v>0</v>
      </c>
      <c r="Q736" s="38">
        <f>IF(B736="","",IF(E736="Tip","No",IF(E736="Refund","No","Yes")))</f>
        <v>0</v>
      </c>
      <c r="R736" s="25">
        <f>IF(B736="","",IF(E736="Refund",-1,1))</f>
        <v>0</v>
      </c>
      <c r="S736" s="26">
        <f>IF(B736="","",IF(G736="",0,IF(F736="Card",ROUND(G736*CardFeePercent+CardFeeFixed,2),IF(F736="Online deposit",ROUND(G736*CardFeePercent+CardFeeFixed,2),0))))</f>
        <v>0</v>
      </c>
      <c r="T736" s="26">
        <f>IF(B736="","",ROUND(IF(G736="",0,G736)*R736-S736,2))</f>
        <v>0</v>
      </c>
      <c r="U736" s="38">
        <f>IF(B736="","",IF(E736="Tip","Yes","No"))</f>
        <v>0</v>
      </c>
      <c r="V736" s="15">
        <f>IF(B736="","",IF(H736&lt;&gt;"","Sale "&amp;H736,IF(I736&lt;&gt;"","Booking "&amp;I736,IF(E736="Tip","Stylist","Unapplied"))))</f>
        <v>0</v>
      </c>
      <c r="W736" s="39">
        <f>IF(B736="","",IF(G736="","Add - no amount yet",IF(E736="","Add - what was this for?",IF(IF(H736="",FALSE,COUNTIF(Sales!$A$5:$A$1204,H736)=0),"Missing - no sale with that ID",IF(IF(I736="",FALSE,COUNTIF(Appointments!$A$5:$A$1204,I736)=0),"Missing - no booking with that ID",IF(IF(E736="Tip",J736="",FALSE),"Assign - whose tip is it?",IF(IF(E736="Deposit",IF(H736="",I736="",FALSE),FALSE),"Check - deposit not tied to a booking",IF(M736="No","Due - not reconciled yet","OK"))))))))</f>
        <v>0</v>
      </c>
    </row>
    <row r="737" spans="1:23">
      <c r="A737" s="28">
        <f>IF(B737="","",PaymentPrefix&amp;TEXT(ROW()-4,"0000"))</f>
        <v>0</v>
      </c>
      <c r="D737" s="15">
        <f>IF(C737="","",IFERROR(INDEX(Clients!$B$5:$B$504,MATCH(C737,Clients!$A$5:$A$504,0)),"Walk-in"))</f>
        <v>0</v>
      </c>
      <c r="K737" s="15">
        <f>IF(J737="","",IFERROR(INDEX(Staff!$B$5:$B$44,MATCH(J737,Staff!$A$5:$A$44,0)),""))</f>
        <v>0</v>
      </c>
      <c r="O737" s="15">
        <f>IF(B737="","",TEXT(B737,"yyyy-mm"))</f>
        <v>0</v>
      </c>
      <c r="P737" s="25">
        <f>IF(B737="","",WEEKNUM(B737,2))</f>
        <v>0</v>
      </c>
      <c r="Q737" s="38">
        <f>IF(B737="","",IF(E737="Tip","No",IF(E737="Refund","No","Yes")))</f>
        <v>0</v>
      </c>
      <c r="R737" s="25">
        <f>IF(B737="","",IF(E737="Refund",-1,1))</f>
        <v>0</v>
      </c>
      <c r="S737" s="26">
        <f>IF(B737="","",IF(G737="",0,IF(F737="Card",ROUND(G737*CardFeePercent+CardFeeFixed,2),IF(F737="Online deposit",ROUND(G737*CardFeePercent+CardFeeFixed,2),0))))</f>
        <v>0</v>
      </c>
      <c r="T737" s="26">
        <f>IF(B737="","",ROUND(IF(G737="",0,G737)*R737-S737,2))</f>
        <v>0</v>
      </c>
      <c r="U737" s="38">
        <f>IF(B737="","",IF(E737="Tip","Yes","No"))</f>
        <v>0</v>
      </c>
      <c r="V737" s="15">
        <f>IF(B737="","",IF(H737&lt;&gt;"","Sale "&amp;H737,IF(I737&lt;&gt;"","Booking "&amp;I737,IF(E737="Tip","Stylist","Unapplied"))))</f>
        <v>0</v>
      </c>
      <c r="W737" s="39">
        <f>IF(B737="","",IF(G737="","Add - no amount yet",IF(E737="","Add - what was this for?",IF(IF(H737="",FALSE,COUNTIF(Sales!$A$5:$A$1204,H737)=0),"Missing - no sale with that ID",IF(IF(I737="",FALSE,COUNTIF(Appointments!$A$5:$A$1204,I737)=0),"Missing - no booking with that ID",IF(IF(E737="Tip",J737="",FALSE),"Assign - whose tip is it?",IF(IF(E737="Deposit",IF(H737="",I737="",FALSE),FALSE),"Check - deposit not tied to a booking",IF(M737="No","Due - not reconciled yet","OK"))))))))</f>
        <v>0</v>
      </c>
    </row>
    <row r="738" spans="1:23">
      <c r="A738" s="28">
        <f>IF(B738="","",PaymentPrefix&amp;TEXT(ROW()-4,"0000"))</f>
        <v>0</v>
      </c>
      <c r="D738" s="15">
        <f>IF(C738="","",IFERROR(INDEX(Clients!$B$5:$B$504,MATCH(C738,Clients!$A$5:$A$504,0)),"Walk-in"))</f>
        <v>0</v>
      </c>
      <c r="K738" s="15">
        <f>IF(J738="","",IFERROR(INDEX(Staff!$B$5:$B$44,MATCH(J738,Staff!$A$5:$A$44,0)),""))</f>
        <v>0</v>
      </c>
      <c r="O738" s="15">
        <f>IF(B738="","",TEXT(B738,"yyyy-mm"))</f>
        <v>0</v>
      </c>
      <c r="P738" s="25">
        <f>IF(B738="","",WEEKNUM(B738,2))</f>
        <v>0</v>
      </c>
      <c r="Q738" s="38">
        <f>IF(B738="","",IF(E738="Tip","No",IF(E738="Refund","No","Yes")))</f>
        <v>0</v>
      </c>
      <c r="R738" s="25">
        <f>IF(B738="","",IF(E738="Refund",-1,1))</f>
        <v>0</v>
      </c>
      <c r="S738" s="26">
        <f>IF(B738="","",IF(G738="",0,IF(F738="Card",ROUND(G738*CardFeePercent+CardFeeFixed,2),IF(F738="Online deposit",ROUND(G738*CardFeePercent+CardFeeFixed,2),0))))</f>
        <v>0</v>
      </c>
      <c r="T738" s="26">
        <f>IF(B738="","",ROUND(IF(G738="",0,G738)*R738-S738,2))</f>
        <v>0</v>
      </c>
      <c r="U738" s="38">
        <f>IF(B738="","",IF(E738="Tip","Yes","No"))</f>
        <v>0</v>
      </c>
      <c r="V738" s="15">
        <f>IF(B738="","",IF(H738&lt;&gt;"","Sale "&amp;H738,IF(I738&lt;&gt;"","Booking "&amp;I738,IF(E738="Tip","Stylist","Unapplied"))))</f>
        <v>0</v>
      </c>
      <c r="W738" s="39">
        <f>IF(B738="","",IF(G738="","Add - no amount yet",IF(E738="","Add - what was this for?",IF(IF(H738="",FALSE,COUNTIF(Sales!$A$5:$A$1204,H738)=0),"Missing - no sale with that ID",IF(IF(I738="",FALSE,COUNTIF(Appointments!$A$5:$A$1204,I738)=0),"Missing - no booking with that ID",IF(IF(E738="Tip",J738="",FALSE),"Assign - whose tip is it?",IF(IF(E738="Deposit",IF(H738="",I738="",FALSE),FALSE),"Check - deposit not tied to a booking",IF(M738="No","Due - not reconciled yet","OK"))))))))</f>
        <v>0</v>
      </c>
    </row>
    <row r="739" spans="1:23">
      <c r="A739" s="28">
        <f>IF(B739="","",PaymentPrefix&amp;TEXT(ROW()-4,"0000"))</f>
        <v>0</v>
      </c>
      <c r="D739" s="15">
        <f>IF(C739="","",IFERROR(INDEX(Clients!$B$5:$B$504,MATCH(C739,Clients!$A$5:$A$504,0)),"Walk-in"))</f>
        <v>0</v>
      </c>
      <c r="K739" s="15">
        <f>IF(J739="","",IFERROR(INDEX(Staff!$B$5:$B$44,MATCH(J739,Staff!$A$5:$A$44,0)),""))</f>
        <v>0</v>
      </c>
      <c r="O739" s="15">
        <f>IF(B739="","",TEXT(B739,"yyyy-mm"))</f>
        <v>0</v>
      </c>
      <c r="P739" s="25">
        <f>IF(B739="","",WEEKNUM(B739,2))</f>
        <v>0</v>
      </c>
      <c r="Q739" s="38">
        <f>IF(B739="","",IF(E739="Tip","No",IF(E739="Refund","No","Yes")))</f>
        <v>0</v>
      </c>
      <c r="R739" s="25">
        <f>IF(B739="","",IF(E739="Refund",-1,1))</f>
        <v>0</v>
      </c>
      <c r="S739" s="26">
        <f>IF(B739="","",IF(G739="",0,IF(F739="Card",ROUND(G739*CardFeePercent+CardFeeFixed,2),IF(F739="Online deposit",ROUND(G739*CardFeePercent+CardFeeFixed,2),0))))</f>
        <v>0</v>
      </c>
      <c r="T739" s="26">
        <f>IF(B739="","",ROUND(IF(G739="",0,G739)*R739-S739,2))</f>
        <v>0</v>
      </c>
      <c r="U739" s="38">
        <f>IF(B739="","",IF(E739="Tip","Yes","No"))</f>
        <v>0</v>
      </c>
      <c r="V739" s="15">
        <f>IF(B739="","",IF(H739&lt;&gt;"","Sale "&amp;H739,IF(I739&lt;&gt;"","Booking "&amp;I739,IF(E739="Tip","Stylist","Unapplied"))))</f>
        <v>0</v>
      </c>
      <c r="W739" s="39">
        <f>IF(B739="","",IF(G739="","Add - no amount yet",IF(E739="","Add - what was this for?",IF(IF(H739="",FALSE,COUNTIF(Sales!$A$5:$A$1204,H739)=0),"Missing - no sale with that ID",IF(IF(I739="",FALSE,COUNTIF(Appointments!$A$5:$A$1204,I739)=0),"Missing - no booking with that ID",IF(IF(E739="Tip",J739="",FALSE),"Assign - whose tip is it?",IF(IF(E739="Deposit",IF(H739="",I739="",FALSE),FALSE),"Check - deposit not tied to a booking",IF(M739="No","Due - not reconciled yet","OK"))))))))</f>
        <v>0</v>
      </c>
    </row>
    <row r="740" spans="1:23">
      <c r="A740" s="28">
        <f>IF(B740="","",PaymentPrefix&amp;TEXT(ROW()-4,"0000"))</f>
        <v>0</v>
      </c>
      <c r="D740" s="15">
        <f>IF(C740="","",IFERROR(INDEX(Clients!$B$5:$B$504,MATCH(C740,Clients!$A$5:$A$504,0)),"Walk-in"))</f>
        <v>0</v>
      </c>
      <c r="K740" s="15">
        <f>IF(J740="","",IFERROR(INDEX(Staff!$B$5:$B$44,MATCH(J740,Staff!$A$5:$A$44,0)),""))</f>
        <v>0</v>
      </c>
      <c r="O740" s="15">
        <f>IF(B740="","",TEXT(B740,"yyyy-mm"))</f>
        <v>0</v>
      </c>
      <c r="P740" s="25">
        <f>IF(B740="","",WEEKNUM(B740,2))</f>
        <v>0</v>
      </c>
      <c r="Q740" s="38">
        <f>IF(B740="","",IF(E740="Tip","No",IF(E740="Refund","No","Yes")))</f>
        <v>0</v>
      </c>
      <c r="R740" s="25">
        <f>IF(B740="","",IF(E740="Refund",-1,1))</f>
        <v>0</v>
      </c>
      <c r="S740" s="26">
        <f>IF(B740="","",IF(G740="",0,IF(F740="Card",ROUND(G740*CardFeePercent+CardFeeFixed,2),IF(F740="Online deposit",ROUND(G740*CardFeePercent+CardFeeFixed,2),0))))</f>
        <v>0</v>
      </c>
      <c r="T740" s="26">
        <f>IF(B740="","",ROUND(IF(G740="",0,G740)*R740-S740,2))</f>
        <v>0</v>
      </c>
      <c r="U740" s="38">
        <f>IF(B740="","",IF(E740="Tip","Yes","No"))</f>
        <v>0</v>
      </c>
      <c r="V740" s="15">
        <f>IF(B740="","",IF(H740&lt;&gt;"","Sale "&amp;H740,IF(I740&lt;&gt;"","Booking "&amp;I740,IF(E740="Tip","Stylist","Unapplied"))))</f>
        <v>0</v>
      </c>
      <c r="W740" s="39">
        <f>IF(B740="","",IF(G740="","Add - no amount yet",IF(E740="","Add - what was this for?",IF(IF(H740="",FALSE,COUNTIF(Sales!$A$5:$A$1204,H740)=0),"Missing - no sale with that ID",IF(IF(I740="",FALSE,COUNTIF(Appointments!$A$5:$A$1204,I740)=0),"Missing - no booking with that ID",IF(IF(E740="Tip",J740="",FALSE),"Assign - whose tip is it?",IF(IF(E740="Deposit",IF(H740="",I740="",FALSE),FALSE),"Check - deposit not tied to a booking",IF(M740="No","Due - not reconciled yet","OK"))))))))</f>
        <v>0</v>
      </c>
    </row>
    <row r="741" spans="1:23">
      <c r="A741" s="28">
        <f>IF(B741="","",PaymentPrefix&amp;TEXT(ROW()-4,"0000"))</f>
        <v>0</v>
      </c>
      <c r="D741" s="15">
        <f>IF(C741="","",IFERROR(INDEX(Clients!$B$5:$B$504,MATCH(C741,Clients!$A$5:$A$504,0)),"Walk-in"))</f>
        <v>0</v>
      </c>
      <c r="K741" s="15">
        <f>IF(J741="","",IFERROR(INDEX(Staff!$B$5:$B$44,MATCH(J741,Staff!$A$5:$A$44,0)),""))</f>
        <v>0</v>
      </c>
      <c r="O741" s="15">
        <f>IF(B741="","",TEXT(B741,"yyyy-mm"))</f>
        <v>0</v>
      </c>
      <c r="P741" s="25">
        <f>IF(B741="","",WEEKNUM(B741,2))</f>
        <v>0</v>
      </c>
      <c r="Q741" s="38">
        <f>IF(B741="","",IF(E741="Tip","No",IF(E741="Refund","No","Yes")))</f>
        <v>0</v>
      </c>
      <c r="R741" s="25">
        <f>IF(B741="","",IF(E741="Refund",-1,1))</f>
        <v>0</v>
      </c>
      <c r="S741" s="26">
        <f>IF(B741="","",IF(G741="",0,IF(F741="Card",ROUND(G741*CardFeePercent+CardFeeFixed,2),IF(F741="Online deposit",ROUND(G741*CardFeePercent+CardFeeFixed,2),0))))</f>
        <v>0</v>
      </c>
      <c r="T741" s="26">
        <f>IF(B741="","",ROUND(IF(G741="",0,G741)*R741-S741,2))</f>
        <v>0</v>
      </c>
      <c r="U741" s="38">
        <f>IF(B741="","",IF(E741="Tip","Yes","No"))</f>
        <v>0</v>
      </c>
      <c r="V741" s="15">
        <f>IF(B741="","",IF(H741&lt;&gt;"","Sale "&amp;H741,IF(I741&lt;&gt;"","Booking "&amp;I741,IF(E741="Tip","Stylist","Unapplied"))))</f>
        <v>0</v>
      </c>
      <c r="W741" s="39">
        <f>IF(B741="","",IF(G741="","Add - no amount yet",IF(E741="","Add - what was this for?",IF(IF(H741="",FALSE,COUNTIF(Sales!$A$5:$A$1204,H741)=0),"Missing - no sale with that ID",IF(IF(I741="",FALSE,COUNTIF(Appointments!$A$5:$A$1204,I741)=0),"Missing - no booking with that ID",IF(IF(E741="Tip",J741="",FALSE),"Assign - whose tip is it?",IF(IF(E741="Deposit",IF(H741="",I741="",FALSE),FALSE),"Check - deposit not tied to a booking",IF(M741="No","Due - not reconciled yet","OK"))))))))</f>
        <v>0</v>
      </c>
    </row>
    <row r="742" spans="1:23">
      <c r="A742" s="28">
        <f>IF(B742="","",PaymentPrefix&amp;TEXT(ROW()-4,"0000"))</f>
        <v>0</v>
      </c>
      <c r="D742" s="15">
        <f>IF(C742="","",IFERROR(INDEX(Clients!$B$5:$B$504,MATCH(C742,Clients!$A$5:$A$504,0)),"Walk-in"))</f>
        <v>0</v>
      </c>
      <c r="K742" s="15">
        <f>IF(J742="","",IFERROR(INDEX(Staff!$B$5:$B$44,MATCH(J742,Staff!$A$5:$A$44,0)),""))</f>
        <v>0</v>
      </c>
      <c r="O742" s="15">
        <f>IF(B742="","",TEXT(B742,"yyyy-mm"))</f>
        <v>0</v>
      </c>
      <c r="P742" s="25">
        <f>IF(B742="","",WEEKNUM(B742,2))</f>
        <v>0</v>
      </c>
      <c r="Q742" s="38">
        <f>IF(B742="","",IF(E742="Tip","No",IF(E742="Refund","No","Yes")))</f>
        <v>0</v>
      </c>
      <c r="R742" s="25">
        <f>IF(B742="","",IF(E742="Refund",-1,1))</f>
        <v>0</v>
      </c>
      <c r="S742" s="26">
        <f>IF(B742="","",IF(G742="",0,IF(F742="Card",ROUND(G742*CardFeePercent+CardFeeFixed,2),IF(F742="Online deposit",ROUND(G742*CardFeePercent+CardFeeFixed,2),0))))</f>
        <v>0</v>
      </c>
      <c r="T742" s="26">
        <f>IF(B742="","",ROUND(IF(G742="",0,G742)*R742-S742,2))</f>
        <v>0</v>
      </c>
      <c r="U742" s="38">
        <f>IF(B742="","",IF(E742="Tip","Yes","No"))</f>
        <v>0</v>
      </c>
      <c r="V742" s="15">
        <f>IF(B742="","",IF(H742&lt;&gt;"","Sale "&amp;H742,IF(I742&lt;&gt;"","Booking "&amp;I742,IF(E742="Tip","Stylist","Unapplied"))))</f>
        <v>0</v>
      </c>
      <c r="W742" s="39">
        <f>IF(B742="","",IF(G742="","Add - no amount yet",IF(E742="","Add - what was this for?",IF(IF(H742="",FALSE,COUNTIF(Sales!$A$5:$A$1204,H742)=0),"Missing - no sale with that ID",IF(IF(I742="",FALSE,COUNTIF(Appointments!$A$5:$A$1204,I742)=0),"Missing - no booking with that ID",IF(IF(E742="Tip",J742="",FALSE),"Assign - whose tip is it?",IF(IF(E742="Deposit",IF(H742="",I742="",FALSE),FALSE),"Check - deposit not tied to a booking",IF(M742="No","Due - not reconciled yet","OK"))))))))</f>
        <v>0</v>
      </c>
    </row>
    <row r="743" spans="1:23">
      <c r="A743" s="28">
        <f>IF(B743="","",PaymentPrefix&amp;TEXT(ROW()-4,"0000"))</f>
        <v>0</v>
      </c>
      <c r="D743" s="15">
        <f>IF(C743="","",IFERROR(INDEX(Clients!$B$5:$B$504,MATCH(C743,Clients!$A$5:$A$504,0)),"Walk-in"))</f>
        <v>0</v>
      </c>
      <c r="K743" s="15">
        <f>IF(J743="","",IFERROR(INDEX(Staff!$B$5:$B$44,MATCH(J743,Staff!$A$5:$A$44,0)),""))</f>
        <v>0</v>
      </c>
      <c r="O743" s="15">
        <f>IF(B743="","",TEXT(B743,"yyyy-mm"))</f>
        <v>0</v>
      </c>
      <c r="P743" s="25">
        <f>IF(B743="","",WEEKNUM(B743,2))</f>
        <v>0</v>
      </c>
      <c r="Q743" s="38">
        <f>IF(B743="","",IF(E743="Tip","No",IF(E743="Refund","No","Yes")))</f>
        <v>0</v>
      </c>
      <c r="R743" s="25">
        <f>IF(B743="","",IF(E743="Refund",-1,1))</f>
        <v>0</v>
      </c>
      <c r="S743" s="26">
        <f>IF(B743="","",IF(G743="",0,IF(F743="Card",ROUND(G743*CardFeePercent+CardFeeFixed,2),IF(F743="Online deposit",ROUND(G743*CardFeePercent+CardFeeFixed,2),0))))</f>
        <v>0</v>
      </c>
      <c r="T743" s="26">
        <f>IF(B743="","",ROUND(IF(G743="",0,G743)*R743-S743,2))</f>
        <v>0</v>
      </c>
      <c r="U743" s="38">
        <f>IF(B743="","",IF(E743="Tip","Yes","No"))</f>
        <v>0</v>
      </c>
      <c r="V743" s="15">
        <f>IF(B743="","",IF(H743&lt;&gt;"","Sale "&amp;H743,IF(I743&lt;&gt;"","Booking "&amp;I743,IF(E743="Tip","Stylist","Unapplied"))))</f>
        <v>0</v>
      </c>
      <c r="W743" s="39">
        <f>IF(B743="","",IF(G743="","Add - no amount yet",IF(E743="","Add - what was this for?",IF(IF(H743="",FALSE,COUNTIF(Sales!$A$5:$A$1204,H743)=0),"Missing - no sale with that ID",IF(IF(I743="",FALSE,COUNTIF(Appointments!$A$5:$A$1204,I743)=0),"Missing - no booking with that ID",IF(IF(E743="Tip",J743="",FALSE),"Assign - whose tip is it?",IF(IF(E743="Deposit",IF(H743="",I743="",FALSE),FALSE),"Check - deposit not tied to a booking",IF(M743="No","Due - not reconciled yet","OK"))))))))</f>
        <v>0</v>
      </c>
    </row>
    <row r="744" spans="1:23">
      <c r="A744" s="28">
        <f>IF(B744="","",PaymentPrefix&amp;TEXT(ROW()-4,"0000"))</f>
        <v>0</v>
      </c>
      <c r="D744" s="15">
        <f>IF(C744="","",IFERROR(INDEX(Clients!$B$5:$B$504,MATCH(C744,Clients!$A$5:$A$504,0)),"Walk-in"))</f>
        <v>0</v>
      </c>
      <c r="K744" s="15">
        <f>IF(J744="","",IFERROR(INDEX(Staff!$B$5:$B$44,MATCH(J744,Staff!$A$5:$A$44,0)),""))</f>
        <v>0</v>
      </c>
      <c r="O744" s="15">
        <f>IF(B744="","",TEXT(B744,"yyyy-mm"))</f>
        <v>0</v>
      </c>
      <c r="P744" s="25">
        <f>IF(B744="","",WEEKNUM(B744,2))</f>
        <v>0</v>
      </c>
      <c r="Q744" s="38">
        <f>IF(B744="","",IF(E744="Tip","No",IF(E744="Refund","No","Yes")))</f>
        <v>0</v>
      </c>
      <c r="R744" s="25">
        <f>IF(B744="","",IF(E744="Refund",-1,1))</f>
        <v>0</v>
      </c>
      <c r="S744" s="26">
        <f>IF(B744="","",IF(G744="",0,IF(F744="Card",ROUND(G744*CardFeePercent+CardFeeFixed,2),IF(F744="Online deposit",ROUND(G744*CardFeePercent+CardFeeFixed,2),0))))</f>
        <v>0</v>
      </c>
      <c r="T744" s="26">
        <f>IF(B744="","",ROUND(IF(G744="",0,G744)*R744-S744,2))</f>
        <v>0</v>
      </c>
      <c r="U744" s="38">
        <f>IF(B744="","",IF(E744="Tip","Yes","No"))</f>
        <v>0</v>
      </c>
      <c r="V744" s="15">
        <f>IF(B744="","",IF(H744&lt;&gt;"","Sale "&amp;H744,IF(I744&lt;&gt;"","Booking "&amp;I744,IF(E744="Tip","Stylist","Unapplied"))))</f>
        <v>0</v>
      </c>
      <c r="W744" s="39">
        <f>IF(B744="","",IF(G744="","Add - no amount yet",IF(E744="","Add - what was this for?",IF(IF(H744="",FALSE,COUNTIF(Sales!$A$5:$A$1204,H744)=0),"Missing - no sale with that ID",IF(IF(I744="",FALSE,COUNTIF(Appointments!$A$5:$A$1204,I744)=0),"Missing - no booking with that ID",IF(IF(E744="Tip",J744="",FALSE),"Assign - whose tip is it?",IF(IF(E744="Deposit",IF(H744="",I744="",FALSE),FALSE),"Check - deposit not tied to a booking",IF(M744="No","Due - not reconciled yet","OK"))))))))</f>
        <v>0</v>
      </c>
    </row>
    <row r="745" spans="1:23">
      <c r="A745" s="28">
        <f>IF(B745="","",PaymentPrefix&amp;TEXT(ROW()-4,"0000"))</f>
        <v>0</v>
      </c>
      <c r="D745" s="15">
        <f>IF(C745="","",IFERROR(INDEX(Clients!$B$5:$B$504,MATCH(C745,Clients!$A$5:$A$504,0)),"Walk-in"))</f>
        <v>0</v>
      </c>
      <c r="K745" s="15">
        <f>IF(J745="","",IFERROR(INDEX(Staff!$B$5:$B$44,MATCH(J745,Staff!$A$5:$A$44,0)),""))</f>
        <v>0</v>
      </c>
      <c r="O745" s="15">
        <f>IF(B745="","",TEXT(B745,"yyyy-mm"))</f>
        <v>0</v>
      </c>
      <c r="P745" s="25">
        <f>IF(B745="","",WEEKNUM(B745,2))</f>
        <v>0</v>
      </c>
      <c r="Q745" s="38">
        <f>IF(B745="","",IF(E745="Tip","No",IF(E745="Refund","No","Yes")))</f>
        <v>0</v>
      </c>
      <c r="R745" s="25">
        <f>IF(B745="","",IF(E745="Refund",-1,1))</f>
        <v>0</v>
      </c>
      <c r="S745" s="26">
        <f>IF(B745="","",IF(G745="",0,IF(F745="Card",ROUND(G745*CardFeePercent+CardFeeFixed,2),IF(F745="Online deposit",ROUND(G745*CardFeePercent+CardFeeFixed,2),0))))</f>
        <v>0</v>
      </c>
      <c r="T745" s="26">
        <f>IF(B745="","",ROUND(IF(G745="",0,G745)*R745-S745,2))</f>
        <v>0</v>
      </c>
      <c r="U745" s="38">
        <f>IF(B745="","",IF(E745="Tip","Yes","No"))</f>
        <v>0</v>
      </c>
      <c r="V745" s="15">
        <f>IF(B745="","",IF(H745&lt;&gt;"","Sale "&amp;H745,IF(I745&lt;&gt;"","Booking "&amp;I745,IF(E745="Tip","Stylist","Unapplied"))))</f>
        <v>0</v>
      </c>
      <c r="W745" s="39">
        <f>IF(B745="","",IF(G745="","Add - no amount yet",IF(E745="","Add - what was this for?",IF(IF(H745="",FALSE,COUNTIF(Sales!$A$5:$A$1204,H745)=0),"Missing - no sale with that ID",IF(IF(I745="",FALSE,COUNTIF(Appointments!$A$5:$A$1204,I745)=0),"Missing - no booking with that ID",IF(IF(E745="Tip",J745="",FALSE),"Assign - whose tip is it?",IF(IF(E745="Deposit",IF(H745="",I745="",FALSE),FALSE),"Check - deposit not tied to a booking",IF(M745="No","Due - not reconciled yet","OK"))))))))</f>
        <v>0</v>
      </c>
    </row>
    <row r="746" spans="1:23">
      <c r="A746" s="28">
        <f>IF(B746="","",PaymentPrefix&amp;TEXT(ROW()-4,"0000"))</f>
        <v>0</v>
      </c>
      <c r="D746" s="15">
        <f>IF(C746="","",IFERROR(INDEX(Clients!$B$5:$B$504,MATCH(C746,Clients!$A$5:$A$504,0)),"Walk-in"))</f>
        <v>0</v>
      </c>
      <c r="K746" s="15">
        <f>IF(J746="","",IFERROR(INDEX(Staff!$B$5:$B$44,MATCH(J746,Staff!$A$5:$A$44,0)),""))</f>
        <v>0</v>
      </c>
      <c r="O746" s="15">
        <f>IF(B746="","",TEXT(B746,"yyyy-mm"))</f>
        <v>0</v>
      </c>
      <c r="P746" s="25">
        <f>IF(B746="","",WEEKNUM(B746,2))</f>
        <v>0</v>
      </c>
      <c r="Q746" s="38">
        <f>IF(B746="","",IF(E746="Tip","No",IF(E746="Refund","No","Yes")))</f>
        <v>0</v>
      </c>
      <c r="R746" s="25">
        <f>IF(B746="","",IF(E746="Refund",-1,1))</f>
        <v>0</v>
      </c>
      <c r="S746" s="26">
        <f>IF(B746="","",IF(G746="",0,IF(F746="Card",ROUND(G746*CardFeePercent+CardFeeFixed,2),IF(F746="Online deposit",ROUND(G746*CardFeePercent+CardFeeFixed,2),0))))</f>
        <v>0</v>
      </c>
      <c r="T746" s="26">
        <f>IF(B746="","",ROUND(IF(G746="",0,G746)*R746-S746,2))</f>
        <v>0</v>
      </c>
      <c r="U746" s="38">
        <f>IF(B746="","",IF(E746="Tip","Yes","No"))</f>
        <v>0</v>
      </c>
      <c r="V746" s="15">
        <f>IF(B746="","",IF(H746&lt;&gt;"","Sale "&amp;H746,IF(I746&lt;&gt;"","Booking "&amp;I746,IF(E746="Tip","Stylist","Unapplied"))))</f>
        <v>0</v>
      </c>
      <c r="W746" s="39">
        <f>IF(B746="","",IF(G746="","Add - no amount yet",IF(E746="","Add - what was this for?",IF(IF(H746="",FALSE,COUNTIF(Sales!$A$5:$A$1204,H746)=0),"Missing - no sale with that ID",IF(IF(I746="",FALSE,COUNTIF(Appointments!$A$5:$A$1204,I746)=0),"Missing - no booking with that ID",IF(IF(E746="Tip",J746="",FALSE),"Assign - whose tip is it?",IF(IF(E746="Deposit",IF(H746="",I746="",FALSE),FALSE),"Check - deposit not tied to a booking",IF(M746="No","Due - not reconciled yet","OK"))))))))</f>
        <v>0</v>
      </c>
    </row>
    <row r="747" spans="1:23">
      <c r="A747" s="28">
        <f>IF(B747="","",PaymentPrefix&amp;TEXT(ROW()-4,"0000"))</f>
        <v>0</v>
      </c>
      <c r="D747" s="15">
        <f>IF(C747="","",IFERROR(INDEX(Clients!$B$5:$B$504,MATCH(C747,Clients!$A$5:$A$504,0)),"Walk-in"))</f>
        <v>0</v>
      </c>
      <c r="K747" s="15">
        <f>IF(J747="","",IFERROR(INDEX(Staff!$B$5:$B$44,MATCH(J747,Staff!$A$5:$A$44,0)),""))</f>
        <v>0</v>
      </c>
      <c r="O747" s="15">
        <f>IF(B747="","",TEXT(B747,"yyyy-mm"))</f>
        <v>0</v>
      </c>
      <c r="P747" s="25">
        <f>IF(B747="","",WEEKNUM(B747,2))</f>
        <v>0</v>
      </c>
      <c r="Q747" s="38">
        <f>IF(B747="","",IF(E747="Tip","No",IF(E747="Refund","No","Yes")))</f>
        <v>0</v>
      </c>
      <c r="R747" s="25">
        <f>IF(B747="","",IF(E747="Refund",-1,1))</f>
        <v>0</v>
      </c>
      <c r="S747" s="26">
        <f>IF(B747="","",IF(G747="",0,IF(F747="Card",ROUND(G747*CardFeePercent+CardFeeFixed,2),IF(F747="Online deposit",ROUND(G747*CardFeePercent+CardFeeFixed,2),0))))</f>
        <v>0</v>
      </c>
      <c r="T747" s="26">
        <f>IF(B747="","",ROUND(IF(G747="",0,G747)*R747-S747,2))</f>
        <v>0</v>
      </c>
      <c r="U747" s="38">
        <f>IF(B747="","",IF(E747="Tip","Yes","No"))</f>
        <v>0</v>
      </c>
      <c r="V747" s="15">
        <f>IF(B747="","",IF(H747&lt;&gt;"","Sale "&amp;H747,IF(I747&lt;&gt;"","Booking "&amp;I747,IF(E747="Tip","Stylist","Unapplied"))))</f>
        <v>0</v>
      </c>
      <c r="W747" s="39">
        <f>IF(B747="","",IF(G747="","Add - no amount yet",IF(E747="","Add - what was this for?",IF(IF(H747="",FALSE,COUNTIF(Sales!$A$5:$A$1204,H747)=0),"Missing - no sale with that ID",IF(IF(I747="",FALSE,COUNTIF(Appointments!$A$5:$A$1204,I747)=0),"Missing - no booking with that ID",IF(IF(E747="Tip",J747="",FALSE),"Assign - whose tip is it?",IF(IF(E747="Deposit",IF(H747="",I747="",FALSE),FALSE),"Check - deposit not tied to a booking",IF(M747="No","Due - not reconciled yet","OK"))))))))</f>
        <v>0</v>
      </c>
    </row>
    <row r="748" spans="1:23">
      <c r="A748" s="28">
        <f>IF(B748="","",PaymentPrefix&amp;TEXT(ROW()-4,"0000"))</f>
        <v>0</v>
      </c>
      <c r="D748" s="15">
        <f>IF(C748="","",IFERROR(INDEX(Clients!$B$5:$B$504,MATCH(C748,Clients!$A$5:$A$504,0)),"Walk-in"))</f>
        <v>0</v>
      </c>
      <c r="K748" s="15">
        <f>IF(J748="","",IFERROR(INDEX(Staff!$B$5:$B$44,MATCH(J748,Staff!$A$5:$A$44,0)),""))</f>
        <v>0</v>
      </c>
      <c r="O748" s="15">
        <f>IF(B748="","",TEXT(B748,"yyyy-mm"))</f>
        <v>0</v>
      </c>
      <c r="P748" s="25">
        <f>IF(B748="","",WEEKNUM(B748,2))</f>
        <v>0</v>
      </c>
      <c r="Q748" s="38">
        <f>IF(B748="","",IF(E748="Tip","No",IF(E748="Refund","No","Yes")))</f>
        <v>0</v>
      </c>
      <c r="R748" s="25">
        <f>IF(B748="","",IF(E748="Refund",-1,1))</f>
        <v>0</v>
      </c>
      <c r="S748" s="26">
        <f>IF(B748="","",IF(G748="",0,IF(F748="Card",ROUND(G748*CardFeePercent+CardFeeFixed,2),IF(F748="Online deposit",ROUND(G748*CardFeePercent+CardFeeFixed,2),0))))</f>
        <v>0</v>
      </c>
      <c r="T748" s="26">
        <f>IF(B748="","",ROUND(IF(G748="",0,G748)*R748-S748,2))</f>
        <v>0</v>
      </c>
      <c r="U748" s="38">
        <f>IF(B748="","",IF(E748="Tip","Yes","No"))</f>
        <v>0</v>
      </c>
      <c r="V748" s="15">
        <f>IF(B748="","",IF(H748&lt;&gt;"","Sale "&amp;H748,IF(I748&lt;&gt;"","Booking "&amp;I748,IF(E748="Tip","Stylist","Unapplied"))))</f>
        <v>0</v>
      </c>
      <c r="W748" s="39">
        <f>IF(B748="","",IF(G748="","Add - no amount yet",IF(E748="","Add - what was this for?",IF(IF(H748="",FALSE,COUNTIF(Sales!$A$5:$A$1204,H748)=0),"Missing - no sale with that ID",IF(IF(I748="",FALSE,COUNTIF(Appointments!$A$5:$A$1204,I748)=0),"Missing - no booking with that ID",IF(IF(E748="Tip",J748="",FALSE),"Assign - whose tip is it?",IF(IF(E748="Deposit",IF(H748="",I748="",FALSE),FALSE),"Check - deposit not tied to a booking",IF(M748="No","Due - not reconciled yet","OK"))))))))</f>
        <v>0</v>
      </c>
    </row>
    <row r="749" spans="1:23">
      <c r="A749" s="28">
        <f>IF(B749="","",PaymentPrefix&amp;TEXT(ROW()-4,"0000"))</f>
        <v>0</v>
      </c>
      <c r="D749" s="15">
        <f>IF(C749="","",IFERROR(INDEX(Clients!$B$5:$B$504,MATCH(C749,Clients!$A$5:$A$504,0)),"Walk-in"))</f>
        <v>0</v>
      </c>
      <c r="K749" s="15">
        <f>IF(J749="","",IFERROR(INDEX(Staff!$B$5:$B$44,MATCH(J749,Staff!$A$5:$A$44,0)),""))</f>
        <v>0</v>
      </c>
      <c r="O749" s="15">
        <f>IF(B749="","",TEXT(B749,"yyyy-mm"))</f>
        <v>0</v>
      </c>
      <c r="P749" s="25">
        <f>IF(B749="","",WEEKNUM(B749,2))</f>
        <v>0</v>
      </c>
      <c r="Q749" s="38">
        <f>IF(B749="","",IF(E749="Tip","No",IF(E749="Refund","No","Yes")))</f>
        <v>0</v>
      </c>
      <c r="R749" s="25">
        <f>IF(B749="","",IF(E749="Refund",-1,1))</f>
        <v>0</v>
      </c>
      <c r="S749" s="26">
        <f>IF(B749="","",IF(G749="",0,IF(F749="Card",ROUND(G749*CardFeePercent+CardFeeFixed,2),IF(F749="Online deposit",ROUND(G749*CardFeePercent+CardFeeFixed,2),0))))</f>
        <v>0</v>
      </c>
      <c r="T749" s="26">
        <f>IF(B749="","",ROUND(IF(G749="",0,G749)*R749-S749,2))</f>
        <v>0</v>
      </c>
      <c r="U749" s="38">
        <f>IF(B749="","",IF(E749="Tip","Yes","No"))</f>
        <v>0</v>
      </c>
      <c r="V749" s="15">
        <f>IF(B749="","",IF(H749&lt;&gt;"","Sale "&amp;H749,IF(I749&lt;&gt;"","Booking "&amp;I749,IF(E749="Tip","Stylist","Unapplied"))))</f>
        <v>0</v>
      </c>
      <c r="W749" s="39">
        <f>IF(B749="","",IF(G749="","Add - no amount yet",IF(E749="","Add - what was this for?",IF(IF(H749="",FALSE,COUNTIF(Sales!$A$5:$A$1204,H749)=0),"Missing - no sale with that ID",IF(IF(I749="",FALSE,COUNTIF(Appointments!$A$5:$A$1204,I749)=0),"Missing - no booking with that ID",IF(IF(E749="Tip",J749="",FALSE),"Assign - whose tip is it?",IF(IF(E749="Deposit",IF(H749="",I749="",FALSE),FALSE),"Check - deposit not tied to a booking",IF(M749="No","Due - not reconciled yet","OK"))))))))</f>
        <v>0</v>
      </c>
    </row>
    <row r="750" spans="1:23">
      <c r="A750" s="28">
        <f>IF(B750="","",PaymentPrefix&amp;TEXT(ROW()-4,"0000"))</f>
        <v>0</v>
      </c>
      <c r="D750" s="15">
        <f>IF(C750="","",IFERROR(INDEX(Clients!$B$5:$B$504,MATCH(C750,Clients!$A$5:$A$504,0)),"Walk-in"))</f>
        <v>0</v>
      </c>
      <c r="K750" s="15">
        <f>IF(J750="","",IFERROR(INDEX(Staff!$B$5:$B$44,MATCH(J750,Staff!$A$5:$A$44,0)),""))</f>
        <v>0</v>
      </c>
      <c r="O750" s="15">
        <f>IF(B750="","",TEXT(B750,"yyyy-mm"))</f>
        <v>0</v>
      </c>
      <c r="P750" s="25">
        <f>IF(B750="","",WEEKNUM(B750,2))</f>
        <v>0</v>
      </c>
      <c r="Q750" s="38">
        <f>IF(B750="","",IF(E750="Tip","No",IF(E750="Refund","No","Yes")))</f>
        <v>0</v>
      </c>
      <c r="R750" s="25">
        <f>IF(B750="","",IF(E750="Refund",-1,1))</f>
        <v>0</v>
      </c>
      <c r="S750" s="26">
        <f>IF(B750="","",IF(G750="",0,IF(F750="Card",ROUND(G750*CardFeePercent+CardFeeFixed,2),IF(F750="Online deposit",ROUND(G750*CardFeePercent+CardFeeFixed,2),0))))</f>
        <v>0</v>
      </c>
      <c r="T750" s="26">
        <f>IF(B750="","",ROUND(IF(G750="",0,G750)*R750-S750,2))</f>
        <v>0</v>
      </c>
      <c r="U750" s="38">
        <f>IF(B750="","",IF(E750="Tip","Yes","No"))</f>
        <v>0</v>
      </c>
      <c r="V750" s="15">
        <f>IF(B750="","",IF(H750&lt;&gt;"","Sale "&amp;H750,IF(I750&lt;&gt;"","Booking "&amp;I750,IF(E750="Tip","Stylist","Unapplied"))))</f>
        <v>0</v>
      </c>
      <c r="W750" s="39">
        <f>IF(B750="","",IF(G750="","Add - no amount yet",IF(E750="","Add - what was this for?",IF(IF(H750="",FALSE,COUNTIF(Sales!$A$5:$A$1204,H750)=0),"Missing - no sale with that ID",IF(IF(I750="",FALSE,COUNTIF(Appointments!$A$5:$A$1204,I750)=0),"Missing - no booking with that ID",IF(IF(E750="Tip",J750="",FALSE),"Assign - whose tip is it?",IF(IF(E750="Deposit",IF(H750="",I750="",FALSE),FALSE),"Check - deposit not tied to a booking",IF(M750="No","Due - not reconciled yet","OK"))))))))</f>
        <v>0</v>
      </c>
    </row>
    <row r="751" spans="1:23">
      <c r="A751" s="28">
        <f>IF(B751="","",PaymentPrefix&amp;TEXT(ROW()-4,"0000"))</f>
        <v>0</v>
      </c>
      <c r="D751" s="15">
        <f>IF(C751="","",IFERROR(INDEX(Clients!$B$5:$B$504,MATCH(C751,Clients!$A$5:$A$504,0)),"Walk-in"))</f>
        <v>0</v>
      </c>
      <c r="K751" s="15">
        <f>IF(J751="","",IFERROR(INDEX(Staff!$B$5:$B$44,MATCH(J751,Staff!$A$5:$A$44,0)),""))</f>
        <v>0</v>
      </c>
      <c r="O751" s="15">
        <f>IF(B751="","",TEXT(B751,"yyyy-mm"))</f>
        <v>0</v>
      </c>
      <c r="P751" s="25">
        <f>IF(B751="","",WEEKNUM(B751,2))</f>
        <v>0</v>
      </c>
      <c r="Q751" s="38">
        <f>IF(B751="","",IF(E751="Tip","No",IF(E751="Refund","No","Yes")))</f>
        <v>0</v>
      </c>
      <c r="R751" s="25">
        <f>IF(B751="","",IF(E751="Refund",-1,1))</f>
        <v>0</v>
      </c>
      <c r="S751" s="26">
        <f>IF(B751="","",IF(G751="",0,IF(F751="Card",ROUND(G751*CardFeePercent+CardFeeFixed,2),IF(F751="Online deposit",ROUND(G751*CardFeePercent+CardFeeFixed,2),0))))</f>
        <v>0</v>
      </c>
      <c r="T751" s="26">
        <f>IF(B751="","",ROUND(IF(G751="",0,G751)*R751-S751,2))</f>
        <v>0</v>
      </c>
      <c r="U751" s="38">
        <f>IF(B751="","",IF(E751="Tip","Yes","No"))</f>
        <v>0</v>
      </c>
      <c r="V751" s="15">
        <f>IF(B751="","",IF(H751&lt;&gt;"","Sale "&amp;H751,IF(I751&lt;&gt;"","Booking "&amp;I751,IF(E751="Tip","Stylist","Unapplied"))))</f>
        <v>0</v>
      </c>
      <c r="W751" s="39">
        <f>IF(B751="","",IF(G751="","Add - no amount yet",IF(E751="","Add - what was this for?",IF(IF(H751="",FALSE,COUNTIF(Sales!$A$5:$A$1204,H751)=0),"Missing - no sale with that ID",IF(IF(I751="",FALSE,COUNTIF(Appointments!$A$5:$A$1204,I751)=0),"Missing - no booking with that ID",IF(IF(E751="Tip",J751="",FALSE),"Assign - whose tip is it?",IF(IF(E751="Deposit",IF(H751="",I751="",FALSE),FALSE),"Check - deposit not tied to a booking",IF(M751="No","Due - not reconciled yet","OK"))))))))</f>
        <v>0</v>
      </c>
    </row>
    <row r="752" spans="1:23">
      <c r="A752" s="28">
        <f>IF(B752="","",PaymentPrefix&amp;TEXT(ROW()-4,"0000"))</f>
        <v>0</v>
      </c>
      <c r="D752" s="15">
        <f>IF(C752="","",IFERROR(INDEX(Clients!$B$5:$B$504,MATCH(C752,Clients!$A$5:$A$504,0)),"Walk-in"))</f>
        <v>0</v>
      </c>
      <c r="K752" s="15">
        <f>IF(J752="","",IFERROR(INDEX(Staff!$B$5:$B$44,MATCH(J752,Staff!$A$5:$A$44,0)),""))</f>
        <v>0</v>
      </c>
      <c r="O752" s="15">
        <f>IF(B752="","",TEXT(B752,"yyyy-mm"))</f>
        <v>0</v>
      </c>
      <c r="P752" s="25">
        <f>IF(B752="","",WEEKNUM(B752,2))</f>
        <v>0</v>
      </c>
      <c r="Q752" s="38">
        <f>IF(B752="","",IF(E752="Tip","No",IF(E752="Refund","No","Yes")))</f>
        <v>0</v>
      </c>
      <c r="R752" s="25">
        <f>IF(B752="","",IF(E752="Refund",-1,1))</f>
        <v>0</v>
      </c>
      <c r="S752" s="26">
        <f>IF(B752="","",IF(G752="",0,IF(F752="Card",ROUND(G752*CardFeePercent+CardFeeFixed,2),IF(F752="Online deposit",ROUND(G752*CardFeePercent+CardFeeFixed,2),0))))</f>
        <v>0</v>
      </c>
      <c r="T752" s="26">
        <f>IF(B752="","",ROUND(IF(G752="",0,G752)*R752-S752,2))</f>
        <v>0</v>
      </c>
      <c r="U752" s="38">
        <f>IF(B752="","",IF(E752="Tip","Yes","No"))</f>
        <v>0</v>
      </c>
      <c r="V752" s="15">
        <f>IF(B752="","",IF(H752&lt;&gt;"","Sale "&amp;H752,IF(I752&lt;&gt;"","Booking "&amp;I752,IF(E752="Tip","Stylist","Unapplied"))))</f>
        <v>0</v>
      </c>
      <c r="W752" s="39">
        <f>IF(B752="","",IF(G752="","Add - no amount yet",IF(E752="","Add - what was this for?",IF(IF(H752="",FALSE,COUNTIF(Sales!$A$5:$A$1204,H752)=0),"Missing - no sale with that ID",IF(IF(I752="",FALSE,COUNTIF(Appointments!$A$5:$A$1204,I752)=0),"Missing - no booking with that ID",IF(IF(E752="Tip",J752="",FALSE),"Assign - whose tip is it?",IF(IF(E752="Deposit",IF(H752="",I752="",FALSE),FALSE),"Check - deposit not tied to a booking",IF(M752="No","Due - not reconciled yet","OK"))))))))</f>
        <v>0</v>
      </c>
    </row>
    <row r="753" spans="1:23">
      <c r="A753" s="28">
        <f>IF(B753="","",PaymentPrefix&amp;TEXT(ROW()-4,"0000"))</f>
        <v>0</v>
      </c>
      <c r="D753" s="15">
        <f>IF(C753="","",IFERROR(INDEX(Clients!$B$5:$B$504,MATCH(C753,Clients!$A$5:$A$504,0)),"Walk-in"))</f>
        <v>0</v>
      </c>
      <c r="K753" s="15">
        <f>IF(J753="","",IFERROR(INDEX(Staff!$B$5:$B$44,MATCH(J753,Staff!$A$5:$A$44,0)),""))</f>
        <v>0</v>
      </c>
      <c r="O753" s="15">
        <f>IF(B753="","",TEXT(B753,"yyyy-mm"))</f>
        <v>0</v>
      </c>
      <c r="P753" s="25">
        <f>IF(B753="","",WEEKNUM(B753,2))</f>
        <v>0</v>
      </c>
      <c r="Q753" s="38">
        <f>IF(B753="","",IF(E753="Tip","No",IF(E753="Refund","No","Yes")))</f>
        <v>0</v>
      </c>
      <c r="R753" s="25">
        <f>IF(B753="","",IF(E753="Refund",-1,1))</f>
        <v>0</v>
      </c>
      <c r="S753" s="26">
        <f>IF(B753="","",IF(G753="",0,IF(F753="Card",ROUND(G753*CardFeePercent+CardFeeFixed,2),IF(F753="Online deposit",ROUND(G753*CardFeePercent+CardFeeFixed,2),0))))</f>
        <v>0</v>
      </c>
      <c r="T753" s="26">
        <f>IF(B753="","",ROUND(IF(G753="",0,G753)*R753-S753,2))</f>
        <v>0</v>
      </c>
      <c r="U753" s="38">
        <f>IF(B753="","",IF(E753="Tip","Yes","No"))</f>
        <v>0</v>
      </c>
      <c r="V753" s="15">
        <f>IF(B753="","",IF(H753&lt;&gt;"","Sale "&amp;H753,IF(I753&lt;&gt;"","Booking "&amp;I753,IF(E753="Tip","Stylist","Unapplied"))))</f>
        <v>0</v>
      </c>
      <c r="W753" s="39">
        <f>IF(B753="","",IF(G753="","Add - no amount yet",IF(E753="","Add - what was this for?",IF(IF(H753="",FALSE,COUNTIF(Sales!$A$5:$A$1204,H753)=0),"Missing - no sale with that ID",IF(IF(I753="",FALSE,COUNTIF(Appointments!$A$5:$A$1204,I753)=0),"Missing - no booking with that ID",IF(IF(E753="Tip",J753="",FALSE),"Assign - whose tip is it?",IF(IF(E753="Deposit",IF(H753="",I753="",FALSE),FALSE),"Check - deposit not tied to a booking",IF(M753="No","Due - not reconciled yet","OK"))))))))</f>
        <v>0</v>
      </c>
    </row>
    <row r="754" spans="1:23">
      <c r="A754" s="28">
        <f>IF(B754="","",PaymentPrefix&amp;TEXT(ROW()-4,"0000"))</f>
        <v>0</v>
      </c>
      <c r="D754" s="15">
        <f>IF(C754="","",IFERROR(INDEX(Clients!$B$5:$B$504,MATCH(C754,Clients!$A$5:$A$504,0)),"Walk-in"))</f>
        <v>0</v>
      </c>
      <c r="K754" s="15">
        <f>IF(J754="","",IFERROR(INDEX(Staff!$B$5:$B$44,MATCH(J754,Staff!$A$5:$A$44,0)),""))</f>
        <v>0</v>
      </c>
      <c r="O754" s="15">
        <f>IF(B754="","",TEXT(B754,"yyyy-mm"))</f>
        <v>0</v>
      </c>
      <c r="P754" s="25">
        <f>IF(B754="","",WEEKNUM(B754,2))</f>
        <v>0</v>
      </c>
      <c r="Q754" s="38">
        <f>IF(B754="","",IF(E754="Tip","No",IF(E754="Refund","No","Yes")))</f>
        <v>0</v>
      </c>
      <c r="R754" s="25">
        <f>IF(B754="","",IF(E754="Refund",-1,1))</f>
        <v>0</v>
      </c>
      <c r="S754" s="26">
        <f>IF(B754="","",IF(G754="",0,IF(F754="Card",ROUND(G754*CardFeePercent+CardFeeFixed,2),IF(F754="Online deposit",ROUND(G754*CardFeePercent+CardFeeFixed,2),0))))</f>
        <v>0</v>
      </c>
      <c r="T754" s="26">
        <f>IF(B754="","",ROUND(IF(G754="",0,G754)*R754-S754,2))</f>
        <v>0</v>
      </c>
      <c r="U754" s="38">
        <f>IF(B754="","",IF(E754="Tip","Yes","No"))</f>
        <v>0</v>
      </c>
      <c r="V754" s="15">
        <f>IF(B754="","",IF(H754&lt;&gt;"","Sale "&amp;H754,IF(I754&lt;&gt;"","Booking "&amp;I754,IF(E754="Tip","Stylist","Unapplied"))))</f>
        <v>0</v>
      </c>
      <c r="W754" s="39">
        <f>IF(B754="","",IF(G754="","Add - no amount yet",IF(E754="","Add - what was this for?",IF(IF(H754="",FALSE,COUNTIF(Sales!$A$5:$A$1204,H754)=0),"Missing - no sale with that ID",IF(IF(I754="",FALSE,COUNTIF(Appointments!$A$5:$A$1204,I754)=0),"Missing - no booking with that ID",IF(IF(E754="Tip",J754="",FALSE),"Assign - whose tip is it?",IF(IF(E754="Deposit",IF(H754="",I754="",FALSE),FALSE),"Check - deposit not tied to a booking",IF(M754="No","Due - not reconciled yet","OK"))))))))</f>
        <v>0</v>
      </c>
    </row>
    <row r="755" spans="1:23">
      <c r="A755" s="28">
        <f>IF(B755="","",PaymentPrefix&amp;TEXT(ROW()-4,"0000"))</f>
        <v>0</v>
      </c>
      <c r="D755" s="15">
        <f>IF(C755="","",IFERROR(INDEX(Clients!$B$5:$B$504,MATCH(C755,Clients!$A$5:$A$504,0)),"Walk-in"))</f>
        <v>0</v>
      </c>
      <c r="K755" s="15">
        <f>IF(J755="","",IFERROR(INDEX(Staff!$B$5:$B$44,MATCH(J755,Staff!$A$5:$A$44,0)),""))</f>
        <v>0</v>
      </c>
      <c r="O755" s="15">
        <f>IF(B755="","",TEXT(B755,"yyyy-mm"))</f>
        <v>0</v>
      </c>
      <c r="P755" s="25">
        <f>IF(B755="","",WEEKNUM(B755,2))</f>
        <v>0</v>
      </c>
      <c r="Q755" s="38">
        <f>IF(B755="","",IF(E755="Tip","No",IF(E755="Refund","No","Yes")))</f>
        <v>0</v>
      </c>
      <c r="R755" s="25">
        <f>IF(B755="","",IF(E755="Refund",-1,1))</f>
        <v>0</v>
      </c>
      <c r="S755" s="26">
        <f>IF(B755="","",IF(G755="",0,IF(F755="Card",ROUND(G755*CardFeePercent+CardFeeFixed,2),IF(F755="Online deposit",ROUND(G755*CardFeePercent+CardFeeFixed,2),0))))</f>
        <v>0</v>
      </c>
      <c r="T755" s="26">
        <f>IF(B755="","",ROUND(IF(G755="",0,G755)*R755-S755,2))</f>
        <v>0</v>
      </c>
      <c r="U755" s="38">
        <f>IF(B755="","",IF(E755="Tip","Yes","No"))</f>
        <v>0</v>
      </c>
      <c r="V755" s="15">
        <f>IF(B755="","",IF(H755&lt;&gt;"","Sale "&amp;H755,IF(I755&lt;&gt;"","Booking "&amp;I755,IF(E755="Tip","Stylist","Unapplied"))))</f>
        <v>0</v>
      </c>
      <c r="W755" s="39">
        <f>IF(B755="","",IF(G755="","Add - no amount yet",IF(E755="","Add - what was this for?",IF(IF(H755="",FALSE,COUNTIF(Sales!$A$5:$A$1204,H755)=0),"Missing - no sale with that ID",IF(IF(I755="",FALSE,COUNTIF(Appointments!$A$5:$A$1204,I755)=0),"Missing - no booking with that ID",IF(IF(E755="Tip",J755="",FALSE),"Assign - whose tip is it?",IF(IF(E755="Deposit",IF(H755="",I755="",FALSE),FALSE),"Check - deposit not tied to a booking",IF(M755="No","Due - not reconciled yet","OK"))))))))</f>
        <v>0</v>
      </c>
    </row>
    <row r="756" spans="1:23">
      <c r="A756" s="28">
        <f>IF(B756="","",PaymentPrefix&amp;TEXT(ROW()-4,"0000"))</f>
        <v>0</v>
      </c>
      <c r="D756" s="15">
        <f>IF(C756="","",IFERROR(INDEX(Clients!$B$5:$B$504,MATCH(C756,Clients!$A$5:$A$504,0)),"Walk-in"))</f>
        <v>0</v>
      </c>
      <c r="K756" s="15">
        <f>IF(J756="","",IFERROR(INDEX(Staff!$B$5:$B$44,MATCH(J756,Staff!$A$5:$A$44,0)),""))</f>
        <v>0</v>
      </c>
      <c r="O756" s="15">
        <f>IF(B756="","",TEXT(B756,"yyyy-mm"))</f>
        <v>0</v>
      </c>
      <c r="P756" s="25">
        <f>IF(B756="","",WEEKNUM(B756,2))</f>
        <v>0</v>
      </c>
      <c r="Q756" s="38">
        <f>IF(B756="","",IF(E756="Tip","No",IF(E756="Refund","No","Yes")))</f>
        <v>0</v>
      </c>
      <c r="R756" s="25">
        <f>IF(B756="","",IF(E756="Refund",-1,1))</f>
        <v>0</v>
      </c>
      <c r="S756" s="26">
        <f>IF(B756="","",IF(G756="",0,IF(F756="Card",ROUND(G756*CardFeePercent+CardFeeFixed,2),IF(F756="Online deposit",ROUND(G756*CardFeePercent+CardFeeFixed,2),0))))</f>
        <v>0</v>
      </c>
      <c r="T756" s="26">
        <f>IF(B756="","",ROUND(IF(G756="",0,G756)*R756-S756,2))</f>
        <v>0</v>
      </c>
      <c r="U756" s="38">
        <f>IF(B756="","",IF(E756="Tip","Yes","No"))</f>
        <v>0</v>
      </c>
      <c r="V756" s="15">
        <f>IF(B756="","",IF(H756&lt;&gt;"","Sale "&amp;H756,IF(I756&lt;&gt;"","Booking "&amp;I756,IF(E756="Tip","Stylist","Unapplied"))))</f>
        <v>0</v>
      </c>
      <c r="W756" s="39">
        <f>IF(B756="","",IF(G756="","Add - no amount yet",IF(E756="","Add - what was this for?",IF(IF(H756="",FALSE,COUNTIF(Sales!$A$5:$A$1204,H756)=0),"Missing - no sale with that ID",IF(IF(I756="",FALSE,COUNTIF(Appointments!$A$5:$A$1204,I756)=0),"Missing - no booking with that ID",IF(IF(E756="Tip",J756="",FALSE),"Assign - whose tip is it?",IF(IF(E756="Deposit",IF(H756="",I756="",FALSE),FALSE),"Check - deposit not tied to a booking",IF(M756="No","Due - not reconciled yet","OK"))))))))</f>
        <v>0</v>
      </c>
    </row>
    <row r="757" spans="1:23">
      <c r="A757" s="28">
        <f>IF(B757="","",PaymentPrefix&amp;TEXT(ROW()-4,"0000"))</f>
        <v>0</v>
      </c>
      <c r="D757" s="15">
        <f>IF(C757="","",IFERROR(INDEX(Clients!$B$5:$B$504,MATCH(C757,Clients!$A$5:$A$504,0)),"Walk-in"))</f>
        <v>0</v>
      </c>
      <c r="K757" s="15">
        <f>IF(J757="","",IFERROR(INDEX(Staff!$B$5:$B$44,MATCH(J757,Staff!$A$5:$A$44,0)),""))</f>
        <v>0</v>
      </c>
      <c r="O757" s="15">
        <f>IF(B757="","",TEXT(B757,"yyyy-mm"))</f>
        <v>0</v>
      </c>
      <c r="P757" s="25">
        <f>IF(B757="","",WEEKNUM(B757,2))</f>
        <v>0</v>
      </c>
      <c r="Q757" s="38">
        <f>IF(B757="","",IF(E757="Tip","No",IF(E757="Refund","No","Yes")))</f>
        <v>0</v>
      </c>
      <c r="R757" s="25">
        <f>IF(B757="","",IF(E757="Refund",-1,1))</f>
        <v>0</v>
      </c>
      <c r="S757" s="26">
        <f>IF(B757="","",IF(G757="",0,IF(F757="Card",ROUND(G757*CardFeePercent+CardFeeFixed,2),IF(F757="Online deposit",ROUND(G757*CardFeePercent+CardFeeFixed,2),0))))</f>
        <v>0</v>
      </c>
      <c r="T757" s="26">
        <f>IF(B757="","",ROUND(IF(G757="",0,G757)*R757-S757,2))</f>
        <v>0</v>
      </c>
      <c r="U757" s="38">
        <f>IF(B757="","",IF(E757="Tip","Yes","No"))</f>
        <v>0</v>
      </c>
      <c r="V757" s="15">
        <f>IF(B757="","",IF(H757&lt;&gt;"","Sale "&amp;H757,IF(I757&lt;&gt;"","Booking "&amp;I757,IF(E757="Tip","Stylist","Unapplied"))))</f>
        <v>0</v>
      </c>
      <c r="W757" s="39">
        <f>IF(B757="","",IF(G757="","Add - no amount yet",IF(E757="","Add - what was this for?",IF(IF(H757="",FALSE,COUNTIF(Sales!$A$5:$A$1204,H757)=0),"Missing - no sale with that ID",IF(IF(I757="",FALSE,COUNTIF(Appointments!$A$5:$A$1204,I757)=0),"Missing - no booking with that ID",IF(IF(E757="Tip",J757="",FALSE),"Assign - whose tip is it?",IF(IF(E757="Deposit",IF(H757="",I757="",FALSE),FALSE),"Check - deposit not tied to a booking",IF(M757="No","Due - not reconciled yet","OK"))))))))</f>
        <v>0</v>
      </c>
    </row>
    <row r="758" spans="1:23">
      <c r="A758" s="28">
        <f>IF(B758="","",PaymentPrefix&amp;TEXT(ROW()-4,"0000"))</f>
        <v>0</v>
      </c>
      <c r="D758" s="15">
        <f>IF(C758="","",IFERROR(INDEX(Clients!$B$5:$B$504,MATCH(C758,Clients!$A$5:$A$504,0)),"Walk-in"))</f>
        <v>0</v>
      </c>
      <c r="K758" s="15">
        <f>IF(J758="","",IFERROR(INDEX(Staff!$B$5:$B$44,MATCH(J758,Staff!$A$5:$A$44,0)),""))</f>
        <v>0</v>
      </c>
      <c r="O758" s="15">
        <f>IF(B758="","",TEXT(B758,"yyyy-mm"))</f>
        <v>0</v>
      </c>
      <c r="P758" s="25">
        <f>IF(B758="","",WEEKNUM(B758,2))</f>
        <v>0</v>
      </c>
      <c r="Q758" s="38">
        <f>IF(B758="","",IF(E758="Tip","No",IF(E758="Refund","No","Yes")))</f>
        <v>0</v>
      </c>
      <c r="R758" s="25">
        <f>IF(B758="","",IF(E758="Refund",-1,1))</f>
        <v>0</v>
      </c>
      <c r="S758" s="26">
        <f>IF(B758="","",IF(G758="",0,IF(F758="Card",ROUND(G758*CardFeePercent+CardFeeFixed,2),IF(F758="Online deposit",ROUND(G758*CardFeePercent+CardFeeFixed,2),0))))</f>
        <v>0</v>
      </c>
      <c r="T758" s="26">
        <f>IF(B758="","",ROUND(IF(G758="",0,G758)*R758-S758,2))</f>
        <v>0</v>
      </c>
      <c r="U758" s="38">
        <f>IF(B758="","",IF(E758="Tip","Yes","No"))</f>
        <v>0</v>
      </c>
      <c r="V758" s="15">
        <f>IF(B758="","",IF(H758&lt;&gt;"","Sale "&amp;H758,IF(I758&lt;&gt;"","Booking "&amp;I758,IF(E758="Tip","Stylist","Unapplied"))))</f>
        <v>0</v>
      </c>
      <c r="W758" s="39">
        <f>IF(B758="","",IF(G758="","Add - no amount yet",IF(E758="","Add - what was this for?",IF(IF(H758="",FALSE,COUNTIF(Sales!$A$5:$A$1204,H758)=0),"Missing - no sale with that ID",IF(IF(I758="",FALSE,COUNTIF(Appointments!$A$5:$A$1204,I758)=0),"Missing - no booking with that ID",IF(IF(E758="Tip",J758="",FALSE),"Assign - whose tip is it?",IF(IF(E758="Deposit",IF(H758="",I758="",FALSE),FALSE),"Check - deposit not tied to a booking",IF(M758="No","Due - not reconciled yet","OK"))))))))</f>
        <v>0</v>
      </c>
    </row>
    <row r="759" spans="1:23">
      <c r="A759" s="28">
        <f>IF(B759="","",PaymentPrefix&amp;TEXT(ROW()-4,"0000"))</f>
        <v>0</v>
      </c>
      <c r="D759" s="15">
        <f>IF(C759="","",IFERROR(INDEX(Clients!$B$5:$B$504,MATCH(C759,Clients!$A$5:$A$504,0)),"Walk-in"))</f>
        <v>0</v>
      </c>
      <c r="K759" s="15">
        <f>IF(J759="","",IFERROR(INDEX(Staff!$B$5:$B$44,MATCH(J759,Staff!$A$5:$A$44,0)),""))</f>
        <v>0</v>
      </c>
      <c r="O759" s="15">
        <f>IF(B759="","",TEXT(B759,"yyyy-mm"))</f>
        <v>0</v>
      </c>
      <c r="P759" s="25">
        <f>IF(B759="","",WEEKNUM(B759,2))</f>
        <v>0</v>
      </c>
      <c r="Q759" s="38">
        <f>IF(B759="","",IF(E759="Tip","No",IF(E759="Refund","No","Yes")))</f>
        <v>0</v>
      </c>
      <c r="R759" s="25">
        <f>IF(B759="","",IF(E759="Refund",-1,1))</f>
        <v>0</v>
      </c>
      <c r="S759" s="26">
        <f>IF(B759="","",IF(G759="",0,IF(F759="Card",ROUND(G759*CardFeePercent+CardFeeFixed,2),IF(F759="Online deposit",ROUND(G759*CardFeePercent+CardFeeFixed,2),0))))</f>
        <v>0</v>
      </c>
      <c r="T759" s="26">
        <f>IF(B759="","",ROUND(IF(G759="",0,G759)*R759-S759,2))</f>
        <v>0</v>
      </c>
      <c r="U759" s="38">
        <f>IF(B759="","",IF(E759="Tip","Yes","No"))</f>
        <v>0</v>
      </c>
      <c r="V759" s="15">
        <f>IF(B759="","",IF(H759&lt;&gt;"","Sale "&amp;H759,IF(I759&lt;&gt;"","Booking "&amp;I759,IF(E759="Tip","Stylist","Unapplied"))))</f>
        <v>0</v>
      </c>
      <c r="W759" s="39">
        <f>IF(B759="","",IF(G759="","Add - no amount yet",IF(E759="","Add - what was this for?",IF(IF(H759="",FALSE,COUNTIF(Sales!$A$5:$A$1204,H759)=0),"Missing - no sale with that ID",IF(IF(I759="",FALSE,COUNTIF(Appointments!$A$5:$A$1204,I759)=0),"Missing - no booking with that ID",IF(IF(E759="Tip",J759="",FALSE),"Assign - whose tip is it?",IF(IF(E759="Deposit",IF(H759="",I759="",FALSE),FALSE),"Check - deposit not tied to a booking",IF(M759="No","Due - not reconciled yet","OK"))))))))</f>
        <v>0</v>
      </c>
    </row>
    <row r="760" spans="1:23">
      <c r="A760" s="28">
        <f>IF(B760="","",PaymentPrefix&amp;TEXT(ROW()-4,"0000"))</f>
        <v>0</v>
      </c>
      <c r="D760" s="15">
        <f>IF(C760="","",IFERROR(INDEX(Clients!$B$5:$B$504,MATCH(C760,Clients!$A$5:$A$504,0)),"Walk-in"))</f>
        <v>0</v>
      </c>
      <c r="K760" s="15">
        <f>IF(J760="","",IFERROR(INDEX(Staff!$B$5:$B$44,MATCH(J760,Staff!$A$5:$A$44,0)),""))</f>
        <v>0</v>
      </c>
      <c r="O760" s="15">
        <f>IF(B760="","",TEXT(B760,"yyyy-mm"))</f>
        <v>0</v>
      </c>
      <c r="P760" s="25">
        <f>IF(B760="","",WEEKNUM(B760,2))</f>
        <v>0</v>
      </c>
      <c r="Q760" s="38">
        <f>IF(B760="","",IF(E760="Tip","No",IF(E760="Refund","No","Yes")))</f>
        <v>0</v>
      </c>
      <c r="R760" s="25">
        <f>IF(B760="","",IF(E760="Refund",-1,1))</f>
        <v>0</v>
      </c>
      <c r="S760" s="26">
        <f>IF(B760="","",IF(G760="",0,IF(F760="Card",ROUND(G760*CardFeePercent+CardFeeFixed,2),IF(F760="Online deposit",ROUND(G760*CardFeePercent+CardFeeFixed,2),0))))</f>
        <v>0</v>
      </c>
      <c r="T760" s="26">
        <f>IF(B760="","",ROUND(IF(G760="",0,G760)*R760-S760,2))</f>
        <v>0</v>
      </c>
      <c r="U760" s="38">
        <f>IF(B760="","",IF(E760="Tip","Yes","No"))</f>
        <v>0</v>
      </c>
      <c r="V760" s="15">
        <f>IF(B760="","",IF(H760&lt;&gt;"","Sale "&amp;H760,IF(I760&lt;&gt;"","Booking "&amp;I760,IF(E760="Tip","Stylist","Unapplied"))))</f>
        <v>0</v>
      </c>
      <c r="W760" s="39">
        <f>IF(B760="","",IF(G760="","Add - no amount yet",IF(E760="","Add - what was this for?",IF(IF(H760="",FALSE,COUNTIF(Sales!$A$5:$A$1204,H760)=0),"Missing - no sale with that ID",IF(IF(I760="",FALSE,COUNTIF(Appointments!$A$5:$A$1204,I760)=0),"Missing - no booking with that ID",IF(IF(E760="Tip",J760="",FALSE),"Assign - whose tip is it?",IF(IF(E760="Deposit",IF(H760="",I760="",FALSE),FALSE),"Check - deposit not tied to a booking",IF(M760="No","Due - not reconciled yet","OK"))))))))</f>
        <v>0</v>
      </c>
    </row>
    <row r="761" spans="1:23">
      <c r="A761" s="28">
        <f>IF(B761="","",PaymentPrefix&amp;TEXT(ROW()-4,"0000"))</f>
        <v>0</v>
      </c>
      <c r="D761" s="15">
        <f>IF(C761="","",IFERROR(INDEX(Clients!$B$5:$B$504,MATCH(C761,Clients!$A$5:$A$504,0)),"Walk-in"))</f>
        <v>0</v>
      </c>
      <c r="K761" s="15">
        <f>IF(J761="","",IFERROR(INDEX(Staff!$B$5:$B$44,MATCH(J761,Staff!$A$5:$A$44,0)),""))</f>
        <v>0</v>
      </c>
      <c r="O761" s="15">
        <f>IF(B761="","",TEXT(B761,"yyyy-mm"))</f>
        <v>0</v>
      </c>
      <c r="P761" s="25">
        <f>IF(B761="","",WEEKNUM(B761,2))</f>
        <v>0</v>
      </c>
      <c r="Q761" s="38">
        <f>IF(B761="","",IF(E761="Tip","No",IF(E761="Refund","No","Yes")))</f>
        <v>0</v>
      </c>
      <c r="R761" s="25">
        <f>IF(B761="","",IF(E761="Refund",-1,1))</f>
        <v>0</v>
      </c>
      <c r="S761" s="26">
        <f>IF(B761="","",IF(G761="",0,IF(F761="Card",ROUND(G761*CardFeePercent+CardFeeFixed,2),IF(F761="Online deposit",ROUND(G761*CardFeePercent+CardFeeFixed,2),0))))</f>
        <v>0</v>
      </c>
      <c r="T761" s="26">
        <f>IF(B761="","",ROUND(IF(G761="",0,G761)*R761-S761,2))</f>
        <v>0</v>
      </c>
      <c r="U761" s="38">
        <f>IF(B761="","",IF(E761="Tip","Yes","No"))</f>
        <v>0</v>
      </c>
      <c r="V761" s="15">
        <f>IF(B761="","",IF(H761&lt;&gt;"","Sale "&amp;H761,IF(I761&lt;&gt;"","Booking "&amp;I761,IF(E761="Tip","Stylist","Unapplied"))))</f>
        <v>0</v>
      </c>
      <c r="W761" s="39">
        <f>IF(B761="","",IF(G761="","Add - no amount yet",IF(E761="","Add - what was this for?",IF(IF(H761="",FALSE,COUNTIF(Sales!$A$5:$A$1204,H761)=0),"Missing - no sale with that ID",IF(IF(I761="",FALSE,COUNTIF(Appointments!$A$5:$A$1204,I761)=0),"Missing - no booking with that ID",IF(IF(E761="Tip",J761="",FALSE),"Assign - whose tip is it?",IF(IF(E761="Deposit",IF(H761="",I761="",FALSE),FALSE),"Check - deposit not tied to a booking",IF(M761="No","Due - not reconciled yet","OK"))))))))</f>
        <v>0</v>
      </c>
    </row>
    <row r="762" spans="1:23">
      <c r="A762" s="28">
        <f>IF(B762="","",PaymentPrefix&amp;TEXT(ROW()-4,"0000"))</f>
        <v>0</v>
      </c>
      <c r="D762" s="15">
        <f>IF(C762="","",IFERROR(INDEX(Clients!$B$5:$B$504,MATCH(C762,Clients!$A$5:$A$504,0)),"Walk-in"))</f>
        <v>0</v>
      </c>
      <c r="K762" s="15">
        <f>IF(J762="","",IFERROR(INDEX(Staff!$B$5:$B$44,MATCH(J762,Staff!$A$5:$A$44,0)),""))</f>
        <v>0</v>
      </c>
      <c r="O762" s="15">
        <f>IF(B762="","",TEXT(B762,"yyyy-mm"))</f>
        <v>0</v>
      </c>
      <c r="P762" s="25">
        <f>IF(B762="","",WEEKNUM(B762,2))</f>
        <v>0</v>
      </c>
      <c r="Q762" s="38">
        <f>IF(B762="","",IF(E762="Tip","No",IF(E762="Refund","No","Yes")))</f>
        <v>0</v>
      </c>
      <c r="R762" s="25">
        <f>IF(B762="","",IF(E762="Refund",-1,1))</f>
        <v>0</v>
      </c>
      <c r="S762" s="26">
        <f>IF(B762="","",IF(G762="",0,IF(F762="Card",ROUND(G762*CardFeePercent+CardFeeFixed,2),IF(F762="Online deposit",ROUND(G762*CardFeePercent+CardFeeFixed,2),0))))</f>
        <v>0</v>
      </c>
      <c r="T762" s="26">
        <f>IF(B762="","",ROUND(IF(G762="",0,G762)*R762-S762,2))</f>
        <v>0</v>
      </c>
      <c r="U762" s="38">
        <f>IF(B762="","",IF(E762="Tip","Yes","No"))</f>
        <v>0</v>
      </c>
      <c r="V762" s="15">
        <f>IF(B762="","",IF(H762&lt;&gt;"","Sale "&amp;H762,IF(I762&lt;&gt;"","Booking "&amp;I762,IF(E762="Tip","Stylist","Unapplied"))))</f>
        <v>0</v>
      </c>
      <c r="W762" s="39">
        <f>IF(B762="","",IF(G762="","Add - no amount yet",IF(E762="","Add - what was this for?",IF(IF(H762="",FALSE,COUNTIF(Sales!$A$5:$A$1204,H762)=0),"Missing - no sale with that ID",IF(IF(I762="",FALSE,COUNTIF(Appointments!$A$5:$A$1204,I762)=0),"Missing - no booking with that ID",IF(IF(E762="Tip",J762="",FALSE),"Assign - whose tip is it?",IF(IF(E762="Deposit",IF(H762="",I762="",FALSE),FALSE),"Check - deposit not tied to a booking",IF(M762="No","Due - not reconciled yet","OK"))))))))</f>
        <v>0</v>
      </c>
    </row>
    <row r="763" spans="1:23">
      <c r="A763" s="28">
        <f>IF(B763="","",PaymentPrefix&amp;TEXT(ROW()-4,"0000"))</f>
        <v>0</v>
      </c>
      <c r="D763" s="15">
        <f>IF(C763="","",IFERROR(INDEX(Clients!$B$5:$B$504,MATCH(C763,Clients!$A$5:$A$504,0)),"Walk-in"))</f>
        <v>0</v>
      </c>
      <c r="K763" s="15">
        <f>IF(J763="","",IFERROR(INDEX(Staff!$B$5:$B$44,MATCH(J763,Staff!$A$5:$A$44,0)),""))</f>
        <v>0</v>
      </c>
      <c r="O763" s="15">
        <f>IF(B763="","",TEXT(B763,"yyyy-mm"))</f>
        <v>0</v>
      </c>
      <c r="P763" s="25">
        <f>IF(B763="","",WEEKNUM(B763,2))</f>
        <v>0</v>
      </c>
      <c r="Q763" s="38">
        <f>IF(B763="","",IF(E763="Tip","No",IF(E763="Refund","No","Yes")))</f>
        <v>0</v>
      </c>
      <c r="R763" s="25">
        <f>IF(B763="","",IF(E763="Refund",-1,1))</f>
        <v>0</v>
      </c>
      <c r="S763" s="26">
        <f>IF(B763="","",IF(G763="",0,IF(F763="Card",ROUND(G763*CardFeePercent+CardFeeFixed,2),IF(F763="Online deposit",ROUND(G763*CardFeePercent+CardFeeFixed,2),0))))</f>
        <v>0</v>
      </c>
      <c r="T763" s="26">
        <f>IF(B763="","",ROUND(IF(G763="",0,G763)*R763-S763,2))</f>
        <v>0</v>
      </c>
      <c r="U763" s="38">
        <f>IF(B763="","",IF(E763="Tip","Yes","No"))</f>
        <v>0</v>
      </c>
      <c r="V763" s="15">
        <f>IF(B763="","",IF(H763&lt;&gt;"","Sale "&amp;H763,IF(I763&lt;&gt;"","Booking "&amp;I763,IF(E763="Tip","Stylist","Unapplied"))))</f>
        <v>0</v>
      </c>
      <c r="W763" s="39">
        <f>IF(B763="","",IF(G763="","Add - no amount yet",IF(E763="","Add - what was this for?",IF(IF(H763="",FALSE,COUNTIF(Sales!$A$5:$A$1204,H763)=0),"Missing - no sale with that ID",IF(IF(I763="",FALSE,COUNTIF(Appointments!$A$5:$A$1204,I763)=0),"Missing - no booking with that ID",IF(IF(E763="Tip",J763="",FALSE),"Assign - whose tip is it?",IF(IF(E763="Deposit",IF(H763="",I763="",FALSE),FALSE),"Check - deposit not tied to a booking",IF(M763="No","Due - not reconciled yet","OK"))))))))</f>
        <v>0</v>
      </c>
    </row>
    <row r="764" spans="1:23">
      <c r="A764" s="28">
        <f>IF(B764="","",PaymentPrefix&amp;TEXT(ROW()-4,"0000"))</f>
        <v>0</v>
      </c>
      <c r="D764" s="15">
        <f>IF(C764="","",IFERROR(INDEX(Clients!$B$5:$B$504,MATCH(C764,Clients!$A$5:$A$504,0)),"Walk-in"))</f>
        <v>0</v>
      </c>
      <c r="K764" s="15">
        <f>IF(J764="","",IFERROR(INDEX(Staff!$B$5:$B$44,MATCH(J764,Staff!$A$5:$A$44,0)),""))</f>
        <v>0</v>
      </c>
      <c r="O764" s="15">
        <f>IF(B764="","",TEXT(B764,"yyyy-mm"))</f>
        <v>0</v>
      </c>
      <c r="P764" s="25">
        <f>IF(B764="","",WEEKNUM(B764,2))</f>
        <v>0</v>
      </c>
      <c r="Q764" s="38">
        <f>IF(B764="","",IF(E764="Tip","No",IF(E764="Refund","No","Yes")))</f>
        <v>0</v>
      </c>
      <c r="R764" s="25">
        <f>IF(B764="","",IF(E764="Refund",-1,1))</f>
        <v>0</v>
      </c>
      <c r="S764" s="26">
        <f>IF(B764="","",IF(G764="",0,IF(F764="Card",ROUND(G764*CardFeePercent+CardFeeFixed,2),IF(F764="Online deposit",ROUND(G764*CardFeePercent+CardFeeFixed,2),0))))</f>
        <v>0</v>
      </c>
      <c r="T764" s="26">
        <f>IF(B764="","",ROUND(IF(G764="",0,G764)*R764-S764,2))</f>
        <v>0</v>
      </c>
      <c r="U764" s="38">
        <f>IF(B764="","",IF(E764="Tip","Yes","No"))</f>
        <v>0</v>
      </c>
      <c r="V764" s="15">
        <f>IF(B764="","",IF(H764&lt;&gt;"","Sale "&amp;H764,IF(I764&lt;&gt;"","Booking "&amp;I764,IF(E764="Tip","Stylist","Unapplied"))))</f>
        <v>0</v>
      </c>
      <c r="W764" s="39">
        <f>IF(B764="","",IF(G764="","Add - no amount yet",IF(E764="","Add - what was this for?",IF(IF(H764="",FALSE,COUNTIF(Sales!$A$5:$A$1204,H764)=0),"Missing - no sale with that ID",IF(IF(I764="",FALSE,COUNTIF(Appointments!$A$5:$A$1204,I764)=0),"Missing - no booking with that ID",IF(IF(E764="Tip",J764="",FALSE),"Assign - whose tip is it?",IF(IF(E764="Deposit",IF(H764="",I764="",FALSE),FALSE),"Check - deposit not tied to a booking",IF(M764="No","Due - not reconciled yet","OK"))))))))</f>
        <v>0</v>
      </c>
    </row>
    <row r="765" spans="1:23">
      <c r="A765" s="28">
        <f>IF(B765="","",PaymentPrefix&amp;TEXT(ROW()-4,"0000"))</f>
        <v>0</v>
      </c>
      <c r="D765" s="15">
        <f>IF(C765="","",IFERROR(INDEX(Clients!$B$5:$B$504,MATCH(C765,Clients!$A$5:$A$504,0)),"Walk-in"))</f>
        <v>0</v>
      </c>
      <c r="K765" s="15">
        <f>IF(J765="","",IFERROR(INDEX(Staff!$B$5:$B$44,MATCH(J765,Staff!$A$5:$A$44,0)),""))</f>
        <v>0</v>
      </c>
      <c r="O765" s="15">
        <f>IF(B765="","",TEXT(B765,"yyyy-mm"))</f>
        <v>0</v>
      </c>
      <c r="P765" s="25">
        <f>IF(B765="","",WEEKNUM(B765,2))</f>
        <v>0</v>
      </c>
      <c r="Q765" s="38">
        <f>IF(B765="","",IF(E765="Tip","No",IF(E765="Refund","No","Yes")))</f>
        <v>0</v>
      </c>
      <c r="R765" s="25">
        <f>IF(B765="","",IF(E765="Refund",-1,1))</f>
        <v>0</v>
      </c>
      <c r="S765" s="26">
        <f>IF(B765="","",IF(G765="",0,IF(F765="Card",ROUND(G765*CardFeePercent+CardFeeFixed,2),IF(F765="Online deposit",ROUND(G765*CardFeePercent+CardFeeFixed,2),0))))</f>
        <v>0</v>
      </c>
      <c r="T765" s="26">
        <f>IF(B765="","",ROUND(IF(G765="",0,G765)*R765-S765,2))</f>
        <v>0</v>
      </c>
      <c r="U765" s="38">
        <f>IF(B765="","",IF(E765="Tip","Yes","No"))</f>
        <v>0</v>
      </c>
      <c r="V765" s="15">
        <f>IF(B765="","",IF(H765&lt;&gt;"","Sale "&amp;H765,IF(I765&lt;&gt;"","Booking "&amp;I765,IF(E765="Tip","Stylist","Unapplied"))))</f>
        <v>0</v>
      </c>
      <c r="W765" s="39">
        <f>IF(B765="","",IF(G765="","Add - no amount yet",IF(E765="","Add - what was this for?",IF(IF(H765="",FALSE,COUNTIF(Sales!$A$5:$A$1204,H765)=0),"Missing - no sale with that ID",IF(IF(I765="",FALSE,COUNTIF(Appointments!$A$5:$A$1204,I765)=0),"Missing - no booking with that ID",IF(IF(E765="Tip",J765="",FALSE),"Assign - whose tip is it?",IF(IF(E765="Deposit",IF(H765="",I765="",FALSE),FALSE),"Check - deposit not tied to a booking",IF(M765="No","Due - not reconciled yet","OK"))))))))</f>
        <v>0</v>
      </c>
    </row>
    <row r="766" spans="1:23">
      <c r="A766" s="28">
        <f>IF(B766="","",PaymentPrefix&amp;TEXT(ROW()-4,"0000"))</f>
        <v>0</v>
      </c>
      <c r="D766" s="15">
        <f>IF(C766="","",IFERROR(INDEX(Clients!$B$5:$B$504,MATCH(C766,Clients!$A$5:$A$504,0)),"Walk-in"))</f>
        <v>0</v>
      </c>
      <c r="K766" s="15">
        <f>IF(J766="","",IFERROR(INDEX(Staff!$B$5:$B$44,MATCH(J766,Staff!$A$5:$A$44,0)),""))</f>
        <v>0</v>
      </c>
      <c r="O766" s="15">
        <f>IF(B766="","",TEXT(B766,"yyyy-mm"))</f>
        <v>0</v>
      </c>
      <c r="P766" s="25">
        <f>IF(B766="","",WEEKNUM(B766,2))</f>
        <v>0</v>
      </c>
      <c r="Q766" s="38">
        <f>IF(B766="","",IF(E766="Tip","No",IF(E766="Refund","No","Yes")))</f>
        <v>0</v>
      </c>
      <c r="R766" s="25">
        <f>IF(B766="","",IF(E766="Refund",-1,1))</f>
        <v>0</v>
      </c>
      <c r="S766" s="26">
        <f>IF(B766="","",IF(G766="",0,IF(F766="Card",ROUND(G766*CardFeePercent+CardFeeFixed,2),IF(F766="Online deposit",ROUND(G766*CardFeePercent+CardFeeFixed,2),0))))</f>
        <v>0</v>
      </c>
      <c r="T766" s="26">
        <f>IF(B766="","",ROUND(IF(G766="",0,G766)*R766-S766,2))</f>
        <v>0</v>
      </c>
      <c r="U766" s="38">
        <f>IF(B766="","",IF(E766="Tip","Yes","No"))</f>
        <v>0</v>
      </c>
      <c r="V766" s="15">
        <f>IF(B766="","",IF(H766&lt;&gt;"","Sale "&amp;H766,IF(I766&lt;&gt;"","Booking "&amp;I766,IF(E766="Tip","Stylist","Unapplied"))))</f>
        <v>0</v>
      </c>
      <c r="W766" s="39">
        <f>IF(B766="","",IF(G766="","Add - no amount yet",IF(E766="","Add - what was this for?",IF(IF(H766="",FALSE,COUNTIF(Sales!$A$5:$A$1204,H766)=0),"Missing - no sale with that ID",IF(IF(I766="",FALSE,COUNTIF(Appointments!$A$5:$A$1204,I766)=0),"Missing - no booking with that ID",IF(IF(E766="Tip",J766="",FALSE),"Assign - whose tip is it?",IF(IF(E766="Deposit",IF(H766="",I766="",FALSE),FALSE),"Check - deposit not tied to a booking",IF(M766="No","Due - not reconciled yet","OK"))))))))</f>
        <v>0</v>
      </c>
    </row>
    <row r="767" spans="1:23">
      <c r="A767" s="28">
        <f>IF(B767="","",PaymentPrefix&amp;TEXT(ROW()-4,"0000"))</f>
        <v>0</v>
      </c>
      <c r="D767" s="15">
        <f>IF(C767="","",IFERROR(INDEX(Clients!$B$5:$B$504,MATCH(C767,Clients!$A$5:$A$504,0)),"Walk-in"))</f>
        <v>0</v>
      </c>
      <c r="K767" s="15">
        <f>IF(J767="","",IFERROR(INDEX(Staff!$B$5:$B$44,MATCH(J767,Staff!$A$5:$A$44,0)),""))</f>
        <v>0</v>
      </c>
      <c r="O767" s="15">
        <f>IF(B767="","",TEXT(B767,"yyyy-mm"))</f>
        <v>0</v>
      </c>
      <c r="P767" s="25">
        <f>IF(B767="","",WEEKNUM(B767,2))</f>
        <v>0</v>
      </c>
      <c r="Q767" s="38">
        <f>IF(B767="","",IF(E767="Tip","No",IF(E767="Refund","No","Yes")))</f>
        <v>0</v>
      </c>
      <c r="R767" s="25">
        <f>IF(B767="","",IF(E767="Refund",-1,1))</f>
        <v>0</v>
      </c>
      <c r="S767" s="26">
        <f>IF(B767="","",IF(G767="",0,IF(F767="Card",ROUND(G767*CardFeePercent+CardFeeFixed,2),IF(F767="Online deposit",ROUND(G767*CardFeePercent+CardFeeFixed,2),0))))</f>
        <v>0</v>
      </c>
      <c r="T767" s="26">
        <f>IF(B767="","",ROUND(IF(G767="",0,G767)*R767-S767,2))</f>
        <v>0</v>
      </c>
      <c r="U767" s="38">
        <f>IF(B767="","",IF(E767="Tip","Yes","No"))</f>
        <v>0</v>
      </c>
      <c r="V767" s="15">
        <f>IF(B767="","",IF(H767&lt;&gt;"","Sale "&amp;H767,IF(I767&lt;&gt;"","Booking "&amp;I767,IF(E767="Tip","Stylist","Unapplied"))))</f>
        <v>0</v>
      </c>
      <c r="W767" s="39">
        <f>IF(B767="","",IF(G767="","Add - no amount yet",IF(E767="","Add - what was this for?",IF(IF(H767="",FALSE,COUNTIF(Sales!$A$5:$A$1204,H767)=0),"Missing - no sale with that ID",IF(IF(I767="",FALSE,COUNTIF(Appointments!$A$5:$A$1204,I767)=0),"Missing - no booking with that ID",IF(IF(E767="Tip",J767="",FALSE),"Assign - whose tip is it?",IF(IF(E767="Deposit",IF(H767="",I767="",FALSE),FALSE),"Check - deposit not tied to a booking",IF(M767="No","Due - not reconciled yet","OK"))))))))</f>
        <v>0</v>
      </c>
    </row>
    <row r="768" spans="1:23">
      <c r="A768" s="28">
        <f>IF(B768="","",PaymentPrefix&amp;TEXT(ROW()-4,"0000"))</f>
        <v>0</v>
      </c>
      <c r="D768" s="15">
        <f>IF(C768="","",IFERROR(INDEX(Clients!$B$5:$B$504,MATCH(C768,Clients!$A$5:$A$504,0)),"Walk-in"))</f>
        <v>0</v>
      </c>
      <c r="K768" s="15">
        <f>IF(J768="","",IFERROR(INDEX(Staff!$B$5:$B$44,MATCH(J768,Staff!$A$5:$A$44,0)),""))</f>
        <v>0</v>
      </c>
      <c r="O768" s="15">
        <f>IF(B768="","",TEXT(B768,"yyyy-mm"))</f>
        <v>0</v>
      </c>
      <c r="P768" s="25">
        <f>IF(B768="","",WEEKNUM(B768,2))</f>
        <v>0</v>
      </c>
      <c r="Q768" s="38">
        <f>IF(B768="","",IF(E768="Tip","No",IF(E768="Refund","No","Yes")))</f>
        <v>0</v>
      </c>
      <c r="R768" s="25">
        <f>IF(B768="","",IF(E768="Refund",-1,1))</f>
        <v>0</v>
      </c>
      <c r="S768" s="26">
        <f>IF(B768="","",IF(G768="",0,IF(F768="Card",ROUND(G768*CardFeePercent+CardFeeFixed,2),IF(F768="Online deposit",ROUND(G768*CardFeePercent+CardFeeFixed,2),0))))</f>
        <v>0</v>
      </c>
      <c r="T768" s="26">
        <f>IF(B768="","",ROUND(IF(G768="",0,G768)*R768-S768,2))</f>
        <v>0</v>
      </c>
      <c r="U768" s="38">
        <f>IF(B768="","",IF(E768="Tip","Yes","No"))</f>
        <v>0</v>
      </c>
      <c r="V768" s="15">
        <f>IF(B768="","",IF(H768&lt;&gt;"","Sale "&amp;H768,IF(I768&lt;&gt;"","Booking "&amp;I768,IF(E768="Tip","Stylist","Unapplied"))))</f>
        <v>0</v>
      </c>
      <c r="W768" s="39">
        <f>IF(B768="","",IF(G768="","Add - no amount yet",IF(E768="","Add - what was this for?",IF(IF(H768="",FALSE,COUNTIF(Sales!$A$5:$A$1204,H768)=0),"Missing - no sale with that ID",IF(IF(I768="",FALSE,COUNTIF(Appointments!$A$5:$A$1204,I768)=0),"Missing - no booking with that ID",IF(IF(E768="Tip",J768="",FALSE),"Assign - whose tip is it?",IF(IF(E768="Deposit",IF(H768="",I768="",FALSE),FALSE),"Check - deposit not tied to a booking",IF(M768="No","Due - not reconciled yet","OK"))))))))</f>
        <v>0</v>
      </c>
    </row>
    <row r="769" spans="1:23">
      <c r="A769" s="28">
        <f>IF(B769="","",PaymentPrefix&amp;TEXT(ROW()-4,"0000"))</f>
        <v>0</v>
      </c>
      <c r="D769" s="15">
        <f>IF(C769="","",IFERROR(INDEX(Clients!$B$5:$B$504,MATCH(C769,Clients!$A$5:$A$504,0)),"Walk-in"))</f>
        <v>0</v>
      </c>
      <c r="K769" s="15">
        <f>IF(J769="","",IFERROR(INDEX(Staff!$B$5:$B$44,MATCH(J769,Staff!$A$5:$A$44,0)),""))</f>
        <v>0</v>
      </c>
      <c r="O769" s="15">
        <f>IF(B769="","",TEXT(B769,"yyyy-mm"))</f>
        <v>0</v>
      </c>
      <c r="P769" s="25">
        <f>IF(B769="","",WEEKNUM(B769,2))</f>
        <v>0</v>
      </c>
      <c r="Q769" s="38">
        <f>IF(B769="","",IF(E769="Tip","No",IF(E769="Refund","No","Yes")))</f>
        <v>0</v>
      </c>
      <c r="R769" s="25">
        <f>IF(B769="","",IF(E769="Refund",-1,1))</f>
        <v>0</v>
      </c>
      <c r="S769" s="26">
        <f>IF(B769="","",IF(G769="",0,IF(F769="Card",ROUND(G769*CardFeePercent+CardFeeFixed,2),IF(F769="Online deposit",ROUND(G769*CardFeePercent+CardFeeFixed,2),0))))</f>
        <v>0</v>
      </c>
      <c r="T769" s="26">
        <f>IF(B769="","",ROUND(IF(G769="",0,G769)*R769-S769,2))</f>
        <v>0</v>
      </c>
      <c r="U769" s="38">
        <f>IF(B769="","",IF(E769="Tip","Yes","No"))</f>
        <v>0</v>
      </c>
      <c r="V769" s="15">
        <f>IF(B769="","",IF(H769&lt;&gt;"","Sale "&amp;H769,IF(I769&lt;&gt;"","Booking "&amp;I769,IF(E769="Tip","Stylist","Unapplied"))))</f>
        <v>0</v>
      </c>
      <c r="W769" s="39">
        <f>IF(B769="","",IF(G769="","Add - no amount yet",IF(E769="","Add - what was this for?",IF(IF(H769="",FALSE,COUNTIF(Sales!$A$5:$A$1204,H769)=0),"Missing - no sale with that ID",IF(IF(I769="",FALSE,COUNTIF(Appointments!$A$5:$A$1204,I769)=0),"Missing - no booking with that ID",IF(IF(E769="Tip",J769="",FALSE),"Assign - whose tip is it?",IF(IF(E769="Deposit",IF(H769="",I769="",FALSE),FALSE),"Check - deposit not tied to a booking",IF(M769="No","Due - not reconciled yet","OK"))))))))</f>
        <v>0</v>
      </c>
    </row>
    <row r="770" spans="1:23">
      <c r="A770" s="28">
        <f>IF(B770="","",PaymentPrefix&amp;TEXT(ROW()-4,"0000"))</f>
        <v>0</v>
      </c>
      <c r="D770" s="15">
        <f>IF(C770="","",IFERROR(INDEX(Clients!$B$5:$B$504,MATCH(C770,Clients!$A$5:$A$504,0)),"Walk-in"))</f>
        <v>0</v>
      </c>
      <c r="K770" s="15">
        <f>IF(J770="","",IFERROR(INDEX(Staff!$B$5:$B$44,MATCH(J770,Staff!$A$5:$A$44,0)),""))</f>
        <v>0</v>
      </c>
      <c r="O770" s="15">
        <f>IF(B770="","",TEXT(B770,"yyyy-mm"))</f>
        <v>0</v>
      </c>
      <c r="P770" s="25">
        <f>IF(B770="","",WEEKNUM(B770,2))</f>
        <v>0</v>
      </c>
      <c r="Q770" s="38">
        <f>IF(B770="","",IF(E770="Tip","No",IF(E770="Refund","No","Yes")))</f>
        <v>0</v>
      </c>
      <c r="R770" s="25">
        <f>IF(B770="","",IF(E770="Refund",-1,1))</f>
        <v>0</v>
      </c>
      <c r="S770" s="26">
        <f>IF(B770="","",IF(G770="",0,IF(F770="Card",ROUND(G770*CardFeePercent+CardFeeFixed,2),IF(F770="Online deposit",ROUND(G770*CardFeePercent+CardFeeFixed,2),0))))</f>
        <v>0</v>
      </c>
      <c r="T770" s="26">
        <f>IF(B770="","",ROUND(IF(G770="",0,G770)*R770-S770,2))</f>
        <v>0</v>
      </c>
      <c r="U770" s="38">
        <f>IF(B770="","",IF(E770="Tip","Yes","No"))</f>
        <v>0</v>
      </c>
      <c r="V770" s="15">
        <f>IF(B770="","",IF(H770&lt;&gt;"","Sale "&amp;H770,IF(I770&lt;&gt;"","Booking "&amp;I770,IF(E770="Tip","Stylist","Unapplied"))))</f>
        <v>0</v>
      </c>
      <c r="W770" s="39">
        <f>IF(B770="","",IF(G770="","Add - no amount yet",IF(E770="","Add - what was this for?",IF(IF(H770="",FALSE,COUNTIF(Sales!$A$5:$A$1204,H770)=0),"Missing - no sale with that ID",IF(IF(I770="",FALSE,COUNTIF(Appointments!$A$5:$A$1204,I770)=0),"Missing - no booking with that ID",IF(IF(E770="Tip",J770="",FALSE),"Assign - whose tip is it?",IF(IF(E770="Deposit",IF(H770="",I770="",FALSE),FALSE),"Check - deposit not tied to a booking",IF(M770="No","Due - not reconciled yet","OK"))))))))</f>
        <v>0</v>
      </c>
    </row>
    <row r="771" spans="1:23">
      <c r="A771" s="28">
        <f>IF(B771="","",PaymentPrefix&amp;TEXT(ROW()-4,"0000"))</f>
        <v>0</v>
      </c>
      <c r="D771" s="15">
        <f>IF(C771="","",IFERROR(INDEX(Clients!$B$5:$B$504,MATCH(C771,Clients!$A$5:$A$504,0)),"Walk-in"))</f>
        <v>0</v>
      </c>
      <c r="K771" s="15">
        <f>IF(J771="","",IFERROR(INDEX(Staff!$B$5:$B$44,MATCH(J771,Staff!$A$5:$A$44,0)),""))</f>
        <v>0</v>
      </c>
      <c r="O771" s="15">
        <f>IF(B771="","",TEXT(B771,"yyyy-mm"))</f>
        <v>0</v>
      </c>
      <c r="P771" s="25">
        <f>IF(B771="","",WEEKNUM(B771,2))</f>
        <v>0</v>
      </c>
      <c r="Q771" s="38">
        <f>IF(B771="","",IF(E771="Tip","No",IF(E771="Refund","No","Yes")))</f>
        <v>0</v>
      </c>
      <c r="R771" s="25">
        <f>IF(B771="","",IF(E771="Refund",-1,1))</f>
        <v>0</v>
      </c>
      <c r="S771" s="26">
        <f>IF(B771="","",IF(G771="",0,IF(F771="Card",ROUND(G771*CardFeePercent+CardFeeFixed,2),IF(F771="Online deposit",ROUND(G771*CardFeePercent+CardFeeFixed,2),0))))</f>
        <v>0</v>
      </c>
      <c r="T771" s="26">
        <f>IF(B771="","",ROUND(IF(G771="",0,G771)*R771-S771,2))</f>
        <v>0</v>
      </c>
      <c r="U771" s="38">
        <f>IF(B771="","",IF(E771="Tip","Yes","No"))</f>
        <v>0</v>
      </c>
      <c r="V771" s="15">
        <f>IF(B771="","",IF(H771&lt;&gt;"","Sale "&amp;H771,IF(I771&lt;&gt;"","Booking "&amp;I771,IF(E771="Tip","Stylist","Unapplied"))))</f>
        <v>0</v>
      </c>
      <c r="W771" s="39">
        <f>IF(B771="","",IF(G771="","Add - no amount yet",IF(E771="","Add - what was this for?",IF(IF(H771="",FALSE,COUNTIF(Sales!$A$5:$A$1204,H771)=0),"Missing - no sale with that ID",IF(IF(I771="",FALSE,COUNTIF(Appointments!$A$5:$A$1204,I771)=0),"Missing - no booking with that ID",IF(IF(E771="Tip",J771="",FALSE),"Assign - whose tip is it?",IF(IF(E771="Deposit",IF(H771="",I771="",FALSE),FALSE),"Check - deposit not tied to a booking",IF(M771="No","Due - not reconciled yet","OK"))))))))</f>
        <v>0</v>
      </c>
    </row>
    <row r="772" spans="1:23">
      <c r="A772" s="28">
        <f>IF(B772="","",PaymentPrefix&amp;TEXT(ROW()-4,"0000"))</f>
        <v>0</v>
      </c>
      <c r="D772" s="15">
        <f>IF(C772="","",IFERROR(INDEX(Clients!$B$5:$B$504,MATCH(C772,Clients!$A$5:$A$504,0)),"Walk-in"))</f>
        <v>0</v>
      </c>
      <c r="K772" s="15">
        <f>IF(J772="","",IFERROR(INDEX(Staff!$B$5:$B$44,MATCH(J772,Staff!$A$5:$A$44,0)),""))</f>
        <v>0</v>
      </c>
      <c r="O772" s="15">
        <f>IF(B772="","",TEXT(B772,"yyyy-mm"))</f>
        <v>0</v>
      </c>
      <c r="P772" s="25">
        <f>IF(B772="","",WEEKNUM(B772,2))</f>
        <v>0</v>
      </c>
      <c r="Q772" s="38">
        <f>IF(B772="","",IF(E772="Tip","No",IF(E772="Refund","No","Yes")))</f>
        <v>0</v>
      </c>
      <c r="R772" s="25">
        <f>IF(B772="","",IF(E772="Refund",-1,1))</f>
        <v>0</v>
      </c>
      <c r="S772" s="26">
        <f>IF(B772="","",IF(G772="",0,IF(F772="Card",ROUND(G772*CardFeePercent+CardFeeFixed,2),IF(F772="Online deposit",ROUND(G772*CardFeePercent+CardFeeFixed,2),0))))</f>
        <v>0</v>
      </c>
      <c r="T772" s="26">
        <f>IF(B772="","",ROUND(IF(G772="",0,G772)*R772-S772,2))</f>
        <v>0</v>
      </c>
      <c r="U772" s="38">
        <f>IF(B772="","",IF(E772="Tip","Yes","No"))</f>
        <v>0</v>
      </c>
      <c r="V772" s="15">
        <f>IF(B772="","",IF(H772&lt;&gt;"","Sale "&amp;H772,IF(I772&lt;&gt;"","Booking "&amp;I772,IF(E772="Tip","Stylist","Unapplied"))))</f>
        <v>0</v>
      </c>
      <c r="W772" s="39">
        <f>IF(B772="","",IF(G772="","Add - no amount yet",IF(E772="","Add - what was this for?",IF(IF(H772="",FALSE,COUNTIF(Sales!$A$5:$A$1204,H772)=0),"Missing - no sale with that ID",IF(IF(I772="",FALSE,COUNTIF(Appointments!$A$5:$A$1204,I772)=0),"Missing - no booking with that ID",IF(IF(E772="Tip",J772="",FALSE),"Assign - whose tip is it?",IF(IF(E772="Deposit",IF(H772="",I772="",FALSE),FALSE),"Check - deposit not tied to a booking",IF(M772="No","Due - not reconciled yet","OK"))))))))</f>
        <v>0</v>
      </c>
    </row>
    <row r="773" spans="1:23">
      <c r="A773" s="28">
        <f>IF(B773="","",PaymentPrefix&amp;TEXT(ROW()-4,"0000"))</f>
        <v>0</v>
      </c>
      <c r="D773" s="15">
        <f>IF(C773="","",IFERROR(INDEX(Clients!$B$5:$B$504,MATCH(C773,Clients!$A$5:$A$504,0)),"Walk-in"))</f>
        <v>0</v>
      </c>
      <c r="K773" s="15">
        <f>IF(J773="","",IFERROR(INDEX(Staff!$B$5:$B$44,MATCH(J773,Staff!$A$5:$A$44,0)),""))</f>
        <v>0</v>
      </c>
      <c r="O773" s="15">
        <f>IF(B773="","",TEXT(B773,"yyyy-mm"))</f>
        <v>0</v>
      </c>
      <c r="P773" s="25">
        <f>IF(B773="","",WEEKNUM(B773,2))</f>
        <v>0</v>
      </c>
      <c r="Q773" s="38">
        <f>IF(B773="","",IF(E773="Tip","No",IF(E773="Refund","No","Yes")))</f>
        <v>0</v>
      </c>
      <c r="R773" s="25">
        <f>IF(B773="","",IF(E773="Refund",-1,1))</f>
        <v>0</v>
      </c>
      <c r="S773" s="26">
        <f>IF(B773="","",IF(G773="",0,IF(F773="Card",ROUND(G773*CardFeePercent+CardFeeFixed,2),IF(F773="Online deposit",ROUND(G773*CardFeePercent+CardFeeFixed,2),0))))</f>
        <v>0</v>
      </c>
      <c r="T773" s="26">
        <f>IF(B773="","",ROUND(IF(G773="",0,G773)*R773-S773,2))</f>
        <v>0</v>
      </c>
      <c r="U773" s="38">
        <f>IF(B773="","",IF(E773="Tip","Yes","No"))</f>
        <v>0</v>
      </c>
      <c r="V773" s="15">
        <f>IF(B773="","",IF(H773&lt;&gt;"","Sale "&amp;H773,IF(I773&lt;&gt;"","Booking "&amp;I773,IF(E773="Tip","Stylist","Unapplied"))))</f>
        <v>0</v>
      </c>
      <c r="W773" s="39">
        <f>IF(B773="","",IF(G773="","Add - no amount yet",IF(E773="","Add - what was this for?",IF(IF(H773="",FALSE,COUNTIF(Sales!$A$5:$A$1204,H773)=0),"Missing - no sale with that ID",IF(IF(I773="",FALSE,COUNTIF(Appointments!$A$5:$A$1204,I773)=0),"Missing - no booking with that ID",IF(IF(E773="Tip",J773="",FALSE),"Assign - whose tip is it?",IF(IF(E773="Deposit",IF(H773="",I773="",FALSE),FALSE),"Check - deposit not tied to a booking",IF(M773="No","Due - not reconciled yet","OK"))))))))</f>
        <v>0</v>
      </c>
    </row>
    <row r="774" spans="1:23">
      <c r="A774" s="28">
        <f>IF(B774="","",PaymentPrefix&amp;TEXT(ROW()-4,"0000"))</f>
        <v>0</v>
      </c>
      <c r="D774" s="15">
        <f>IF(C774="","",IFERROR(INDEX(Clients!$B$5:$B$504,MATCH(C774,Clients!$A$5:$A$504,0)),"Walk-in"))</f>
        <v>0</v>
      </c>
      <c r="K774" s="15">
        <f>IF(J774="","",IFERROR(INDEX(Staff!$B$5:$B$44,MATCH(J774,Staff!$A$5:$A$44,0)),""))</f>
        <v>0</v>
      </c>
      <c r="O774" s="15">
        <f>IF(B774="","",TEXT(B774,"yyyy-mm"))</f>
        <v>0</v>
      </c>
      <c r="P774" s="25">
        <f>IF(B774="","",WEEKNUM(B774,2))</f>
        <v>0</v>
      </c>
      <c r="Q774" s="38">
        <f>IF(B774="","",IF(E774="Tip","No",IF(E774="Refund","No","Yes")))</f>
        <v>0</v>
      </c>
      <c r="R774" s="25">
        <f>IF(B774="","",IF(E774="Refund",-1,1))</f>
        <v>0</v>
      </c>
      <c r="S774" s="26">
        <f>IF(B774="","",IF(G774="",0,IF(F774="Card",ROUND(G774*CardFeePercent+CardFeeFixed,2),IF(F774="Online deposit",ROUND(G774*CardFeePercent+CardFeeFixed,2),0))))</f>
        <v>0</v>
      </c>
      <c r="T774" s="26">
        <f>IF(B774="","",ROUND(IF(G774="",0,G774)*R774-S774,2))</f>
        <v>0</v>
      </c>
      <c r="U774" s="38">
        <f>IF(B774="","",IF(E774="Tip","Yes","No"))</f>
        <v>0</v>
      </c>
      <c r="V774" s="15">
        <f>IF(B774="","",IF(H774&lt;&gt;"","Sale "&amp;H774,IF(I774&lt;&gt;"","Booking "&amp;I774,IF(E774="Tip","Stylist","Unapplied"))))</f>
        <v>0</v>
      </c>
      <c r="W774" s="39">
        <f>IF(B774="","",IF(G774="","Add - no amount yet",IF(E774="","Add - what was this for?",IF(IF(H774="",FALSE,COUNTIF(Sales!$A$5:$A$1204,H774)=0),"Missing - no sale with that ID",IF(IF(I774="",FALSE,COUNTIF(Appointments!$A$5:$A$1204,I774)=0),"Missing - no booking with that ID",IF(IF(E774="Tip",J774="",FALSE),"Assign - whose tip is it?",IF(IF(E774="Deposit",IF(H774="",I774="",FALSE),FALSE),"Check - deposit not tied to a booking",IF(M774="No","Due - not reconciled yet","OK"))))))))</f>
        <v>0</v>
      </c>
    </row>
    <row r="775" spans="1:23">
      <c r="A775" s="28">
        <f>IF(B775="","",PaymentPrefix&amp;TEXT(ROW()-4,"0000"))</f>
        <v>0</v>
      </c>
      <c r="D775" s="15">
        <f>IF(C775="","",IFERROR(INDEX(Clients!$B$5:$B$504,MATCH(C775,Clients!$A$5:$A$504,0)),"Walk-in"))</f>
        <v>0</v>
      </c>
      <c r="K775" s="15">
        <f>IF(J775="","",IFERROR(INDEX(Staff!$B$5:$B$44,MATCH(J775,Staff!$A$5:$A$44,0)),""))</f>
        <v>0</v>
      </c>
      <c r="O775" s="15">
        <f>IF(B775="","",TEXT(B775,"yyyy-mm"))</f>
        <v>0</v>
      </c>
      <c r="P775" s="25">
        <f>IF(B775="","",WEEKNUM(B775,2))</f>
        <v>0</v>
      </c>
      <c r="Q775" s="38">
        <f>IF(B775="","",IF(E775="Tip","No",IF(E775="Refund","No","Yes")))</f>
        <v>0</v>
      </c>
      <c r="R775" s="25">
        <f>IF(B775="","",IF(E775="Refund",-1,1))</f>
        <v>0</v>
      </c>
      <c r="S775" s="26">
        <f>IF(B775="","",IF(G775="",0,IF(F775="Card",ROUND(G775*CardFeePercent+CardFeeFixed,2),IF(F775="Online deposit",ROUND(G775*CardFeePercent+CardFeeFixed,2),0))))</f>
        <v>0</v>
      </c>
      <c r="T775" s="26">
        <f>IF(B775="","",ROUND(IF(G775="",0,G775)*R775-S775,2))</f>
        <v>0</v>
      </c>
      <c r="U775" s="38">
        <f>IF(B775="","",IF(E775="Tip","Yes","No"))</f>
        <v>0</v>
      </c>
      <c r="V775" s="15">
        <f>IF(B775="","",IF(H775&lt;&gt;"","Sale "&amp;H775,IF(I775&lt;&gt;"","Booking "&amp;I775,IF(E775="Tip","Stylist","Unapplied"))))</f>
        <v>0</v>
      </c>
      <c r="W775" s="39">
        <f>IF(B775="","",IF(G775="","Add - no amount yet",IF(E775="","Add - what was this for?",IF(IF(H775="",FALSE,COUNTIF(Sales!$A$5:$A$1204,H775)=0),"Missing - no sale with that ID",IF(IF(I775="",FALSE,COUNTIF(Appointments!$A$5:$A$1204,I775)=0),"Missing - no booking with that ID",IF(IF(E775="Tip",J775="",FALSE),"Assign - whose tip is it?",IF(IF(E775="Deposit",IF(H775="",I775="",FALSE),FALSE),"Check - deposit not tied to a booking",IF(M775="No","Due - not reconciled yet","OK"))))))))</f>
        <v>0</v>
      </c>
    </row>
    <row r="776" spans="1:23">
      <c r="A776" s="28">
        <f>IF(B776="","",PaymentPrefix&amp;TEXT(ROW()-4,"0000"))</f>
        <v>0</v>
      </c>
      <c r="D776" s="15">
        <f>IF(C776="","",IFERROR(INDEX(Clients!$B$5:$B$504,MATCH(C776,Clients!$A$5:$A$504,0)),"Walk-in"))</f>
        <v>0</v>
      </c>
      <c r="K776" s="15">
        <f>IF(J776="","",IFERROR(INDEX(Staff!$B$5:$B$44,MATCH(J776,Staff!$A$5:$A$44,0)),""))</f>
        <v>0</v>
      </c>
      <c r="O776" s="15">
        <f>IF(B776="","",TEXT(B776,"yyyy-mm"))</f>
        <v>0</v>
      </c>
      <c r="P776" s="25">
        <f>IF(B776="","",WEEKNUM(B776,2))</f>
        <v>0</v>
      </c>
      <c r="Q776" s="38">
        <f>IF(B776="","",IF(E776="Tip","No",IF(E776="Refund","No","Yes")))</f>
        <v>0</v>
      </c>
      <c r="R776" s="25">
        <f>IF(B776="","",IF(E776="Refund",-1,1))</f>
        <v>0</v>
      </c>
      <c r="S776" s="26">
        <f>IF(B776="","",IF(G776="",0,IF(F776="Card",ROUND(G776*CardFeePercent+CardFeeFixed,2),IF(F776="Online deposit",ROUND(G776*CardFeePercent+CardFeeFixed,2),0))))</f>
        <v>0</v>
      </c>
      <c r="T776" s="26">
        <f>IF(B776="","",ROUND(IF(G776="",0,G776)*R776-S776,2))</f>
        <v>0</v>
      </c>
      <c r="U776" s="38">
        <f>IF(B776="","",IF(E776="Tip","Yes","No"))</f>
        <v>0</v>
      </c>
      <c r="V776" s="15">
        <f>IF(B776="","",IF(H776&lt;&gt;"","Sale "&amp;H776,IF(I776&lt;&gt;"","Booking "&amp;I776,IF(E776="Tip","Stylist","Unapplied"))))</f>
        <v>0</v>
      </c>
      <c r="W776" s="39">
        <f>IF(B776="","",IF(G776="","Add - no amount yet",IF(E776="","Add - what was this for?",IF(IF(H776="",FALSE,COUNTIF(Sales!$A$5:$A$1204,H776)=0),"Missing - no sale with that ID",IF(IF(I776="",FALSE,COUNTIF(Appointments!$A$5:$A$1204,I776)=0),"Missing - no booking with that ID",IF(IF(E776="Tip",J776="",FALSE),"Assign - whose tip is it?",IF(IF(E776="Deposit",IF(H776="",I776="",FALSE),FALSE),"Check - deposit not tied to a booking",IF(M776="No","Due - not reconciled yet","OK"))))))))</f>
        <v>0</v>
      </c>
    </row>
    <row r="777" spans="1:23">
      <c r="A777" s="28">
        <f>IF(B777="","",PaymentPrefix&amp;TEXT(ROW()-4,"0000"))</f>
        <v>0</v>
      </c>
      <c r="D777" s="15">
        <f>IF(C777="","",IFERROR(INDEX(Clients!$B$5:$B$504,MATCH(C777,Clients!$A$5:$A$504,0)),"Walk-in"))</f>
        <v>0</v>
      </c>
      <c r="K777" s="15">
        <f>IF(J777="","",IFERROR(INDEX(Staff!$B$5:$B$44,MATCH(J777,Staff!$A$5:$A$44,0)),""))</f>
        <v>0</v>
      </c>
      <c r="O777" s="15">
        <f>IF(B777="","",TEXT(B777,"yyyy-mm"))</f>
        <v>0</v>
      </c>
      <c r="P777" s="25">
        <f>IF(B777="","",WEEKNUM(B777,2))</f>
        <v>0</v>
      </c>
      <c r="Q777" s="38">
        <f>IF(B777="","",IF(E777="Tip","No",IF(E777="Refund","No","Yes")))</f>
        <v>0</v>
      </c>
      <c r="R777" s="25">
        <f>IF(B777="","",IF(E777="Refund",-1,1))</f>
        <v>0</v>
      </c>
      <c r="S777" s="26">
        <f>IF(B777="","",IF(G777="",0,IF(F777="Card",ROUND(G777*CardFeePercent+CardFeeFixed,2),IF(F777="Online deposit",ROUND(G777*CardFeePercent+CardFeeFixed,2),0))))</f>
        <v>0</v>
      </c>
      <c r="T777" s="26">
        <f>IF(B777="","",ROUND(IF(G777="",0,G777)*R777-S777,2))</f>
        <v>0</v>
      </c>
      <c r="U777" s="38">
        <f>IF(B777="","",IF(E777="Tip","Yes","No"))</f>
        <v>0</v>
      </c>
      <c r="V777" s="15">
        <f>IF(B777="","",IF(H777&lt;&gt;"","Sale "&amp;H777,IF(I777&lt;&gt;"","Booking "&amp;I777,IF(E777="Tip","Stylist","Unapplied"))))</f>
        <v>0</v>
      </c>
      <c r="W777" s="39">
        <f>IF(B777="","",IF(G777="","Add - no amount yet",IF(E777="","Add - what was this for?",IF(IF(H777="",FALSE,COUNTIF(Sales!$A$5:$A$1204,H777)=0),"Missing - no sale with that ID",IF(IF(I777="",FALSE,COUNTIF(Appointments!$A$5:$A$1204,I777)=0),"Missing - no booking with that ID",IF(IF(E777="Tip",J777="",FALSE),"Assign - whose tip is it?",IF(IF(E777="Deposit",IF(H777="",I777="",FALSE),FALSE),"Check - deposit not tied to a booking",IF(M777="No","Due - not reconciled yet","OK"))))))))</f>
        <v>0</v>
      </c>
    </row>
    <row r="778" spans="1:23">
      <c r="A778" s="28">
        <f>IF(B778="","",PaymentPrefix&amp;TEXT(ROW()-4,"0000"))</f>
        <v>0</v>
      </c>
      <c r="D778" s="15">
        <f>IF(C778="","",IFERROR(INDEX(Clients!$B$5:$B$504,MATCH(C778,Clients!$A$5:$A$504,0)),"Walk-in"))</f>
        <v>0</v>
      </c>
      <c r="K778" s="15">
        <f>IF(J778="","",IFERROR(INDEX(Staff!$B$5:$B$44,MATCH(J778,Staff!$A$5:$A$44,0)),""))</f>
        <v>0</v>
      </c>
      <c r="O778" s="15">
        <f>IF(B778="","",TEXT(B778,"yyyy-mm"))</f>
        <v>0</v>
      </c>
      <c r="P778" s="25">
        <f>IF(B778="","",WEEKNUM(B778,2))</f>
        <v>0</v>
      </c>
      <c r="Q778" s="38">
        <f>IF(B778="","",IF(E778="Tip","No",IF(E778="Refund","No","Yes")))</f>
        <v>0</v>
      </c>
      <c r="R778" s="25">
        <f>IF(B778="","",IF(E778="Refund",-1,1))</f>
        <v>0</v>
      </c>
      <c r="S778" s="26">
        <f>IF(B778="","",IF(G778="",0,IF(F778="Card",ROUND(G778*CardFeePercent+CardFeeFixed,2),IF(F778="Online deposit",ROUND(G778*CardFeePercent+CardFeeFixed,2),0))))</f>
        <v>0</v>
      </c>
      <c r="T778" s="26">
        <f>IF(B778="","",ROUND(IF(G778="",0,G778)*R778-S778,2))</f>
        <v>0</v>
      </c>
      <c r="U778" s="38">
        <f>IF(B778="","",IF(E778="Tip","Yes","No"))</f>
        <v>0</v>
      </c>
      <c r="V778" s="15">
        <f>IF(B778="","",IF(H778&lt;&gt;"","Sale "&amp;H778,IF(I778&lt;&gt;"","Booking "&amp;I778,IF(E778="Tip","Stylist","Unapplied"))))</f>
        <v>0</v>
      </c>
      <c r="W778" s="39">
        <f>IF(B778="","",IF(G778="","Add - no amount yet",IF(E778="","Add - what was this for?",IF(IF(H778="",FALSE,COUNTIF(Sales!$A$5:$A$1204,H778)=0),"Missing - no sale with that ID",IF(IF(I778="",FALSE,COUNTIF(Appointments!$A$5:$A$1204,I778)=0),"Missing - no booking with that ID",IF(IF(E778="Tip",J778="",FALSE),"Assign - whose tip is it?",IF(IF(E778="Deposit",IF(H778="",I778="",FALSE),FALSE),"Check - deposit not tied to a booking",IF(M778="No","Due - not reconciled yet","OK"))))))))</f>
        <v>0</v>
      </c>
    </row>
    <row r="779" spans="1:23">
      <c r="A779" s="28">
        <f>IF(B779="","",PaymentPrefix&amp;TEXT(ROW()-4,"0000"))</f>
        <v>0</v>
      </c>
      <c r="D779" s="15">
        <f>IF(C779="","",IFERROR(INDEX(Clients!$B$5:$B$504,MATCH(C779,Clients!$A$5:$A$504,0)),"Walk-in"))</f>
        <v>0</v>
      </c>
      <c r="K779" s="15">
        <f>IF(J779="","",IFERROR(INDEX(Staff!$B$5:$B$44,MATCH(J779,Staff!$A$5:$A$44,0)),""))</f>
        <v>0</v>
      </c>
      <c r="O779" s="15">
        <f>IF(B779="","",TEXT(B779,"yyyy-mm"))</f>
        <v>0</v>
      </c>
      <c r="P779" s="25">
        <f>IF(B779="","",WEEKNUM(B779,2))</f>
        <v>0</v>
      </c>
      <c r="Q779" s="38">
        <f>IF(B779="","",IF(E779="Tip","No",IF(E779="Refund","No","Yes")))</f>
        <v>0</v>
      </c>
      <c r="R779" s="25">
        <f>IF(B779="","",IF(E779="Refund",-1,1))</f>
        <v>0</v>
      </c>
      <c r="S779" s="26">
        <f>IF(B779="","",IF(G779="",0,IF(F779="Card",ROUND(G779*CardFeePercent+CardFeeFixed,2),IF(F779="Online deposit",ROUND(G779*CardFeePercent+CardFeeFixed,2),0))))</f>
        <v>0</v>
      </c>
      <c r="T779" s="26">
        <f>IF(B779="","",ROUND(IF(G779="",0,G779)*R779-S779,2))</f>
        <v>0</v>
      </c>
      <c r="U779" s="38">
        <f>IF(B779="","",IF(E779="Tip","Yes","No"))</f>
        <v>0</v>
      </c>
      <c r="V779" s="15">
        <f>IF(B779="","",IF(H779&lt;&gt;"","Sale "&amp;H779,IF(I779&lt;&gt;"","Booking "&amp;I779,IF(E779="Tip","Stylist","Unapplied"))))</f>
        <v>0</v>
      </c>
      <c r="W779" s="39">
        <f>IF(B779="","",IF(G779="","Add - no amount yet",IF(E779="","Add - what was this for?",IF(IF(H779="",FALSE,COUNTIF(Sales!$A$5:$A$1204,H779)=0),"Missing - no sale with that ID",IF(IF(I779="",FALSE,COUNTIF(Appointments!$A$5:$A$1204,I779)=0),"Missing - no booking with that ID",IF(IF(E779="Tip",J779="",FALSE),"Assign - whose tip is it?",IF(IF(E779="Deposit",IF(H779="",I779="",FALSE),FALSE),"Check - deposit not tied to a booking",IF(M779="No","Due - not reconciled yet","OK"))))))))</f>
        <v>0</v>
      </c>
    </row>
    <row r="780" spans="1:23">
      <c r="A780" s="28">
        <f>IF(B780="","",PaymentPrefix&amp;TEXT(ROW()-4,"0000"))</f>
        <v>0</v>
      </c>
      <c r="D780" s="15">
        <f>IF(C780="","",IFERROR(INDEX(Clients!$B$5:$B$504,MATCH(C780,Clients!$A$5:$A$504,0)),"Walk-in"))</f>
        <v>0</v>
      </c>
      <c r="K780" s="15">
        <f>IF(J780="","",IFERROR(INDEX(Staff!$B$5:$B$44,MATCH(J780,Staff!$A$5:$A$44,0)),""))</f>
        <v>0</v>
      </c>
      <c r="O780" s="15">
        <f>IF(B780="","",TEXT(B780,"yyyy-mm"))</f>
        <v>0</v>
      </c>
      <c r="P780" s="25">
        <f>IF(B780="","",WEEKNUM(B780,2))</f>
        <v>0</v>
      </c>
      <c r="Q780" s="38">
        <f>IF(B780="","",IF(E780="Tip","No",IF(E780="Refund","No","Yes")))</f>
        <v>0</v>
      </c>
      <c r="R780" s="25">
        <f>IF(B780="","",IF(E780="Refund",-1,1))</f>
        <v>0</v>
      </c>
      <c r="S780" s="26">
        <f>IF(B780="","",IF(G780="",0,IF(F780="Card",ROUND(G780*CardFeePercent+CardFeeFixed,2),IF(F780="Online deposit",ROUND(G780*CardFeePercent+CardFeeFixed,2),0))))</f>
        <v>0</v>
      </c>
      <c r="T780" s="26">
        <f>IF(B780="","",ROUND(IF(G780="",0,G780)*R780-S780,2))</f>
        <v>0</v>
      </c>
      <c r="U780" s="38">
        <f>IF(B780="","",IF(E780="Tip","Yes","No"))</f>
        <v>0</v>
      </c>
      <c r="V780" s="15">
        <f>IF(B780="","",IF(H780&lt;&gt;"","Sale "&amp;H780,IF(I780&lt;&gt;"","Booking "&amp;I780,IF(E780="Tip","Stylist","Unapplied"))))</f>
        <v>0</v>
      </c>
      <c r="W780" s="39">
        <f>IF(B780="","",IF(G780="","Add - no amount yet",IF(E780="","Add - what was this for?",IF(IF(H780="",FALSE,COUNTIF(Sales!$A$5:$A$1204,H780)=0),"Missing - no sale with that ID",IF(IF(I780="",FALSE,COUNTIF(Appointments!$A$5:$A$1204,I780)=0),"Missing - no booking with that ID",IF(IF(E780="Tip",J780="",FALSE),"Assign - whose tip is it?",IF(IF(E780="Deposit",IF(H780="",I780="",FALSE),FALSE),"Check - deposit not tied to a booking",IF(M780="No","Due - not reconciled yet","OK"))))))))</f>
        <v>0</v>
      </c>
    </row>
    <row r="781" spans="1:23">
      <c r="A781" s="28">
        <f>IF(B781="","",PaymentPrefix&amp;TEXT(ROW()-4,"0000"))</f>
        <v>0</v>
      </c>
      <c r="D781" s="15">
        <f>IF(C781="","",IFERROR(INDEX(Clients!$B$5:$B$504,MATCH(C781,Clients!$A$5:$A$504,0)),"Walk-in"))</f>
        <v>0</v>
      </c>
      <c r="K781" s="15">
        <f>IF(J781="","",IFERROR(INDEX(Staff!$B$5:$B$44,MATCH(J781,Staff!$A$5:$A$44,0)),""))</f>
        <v>0</v>
      </c>
      <c r="O781" s="15">
        <f>IF(B781="","",TEXT(B781,"yyyy-mm"))</f>
        <v>0</v>
      </c>
      <c r="P781" s="25">
        <f>IF(B781="","",WEEKNUM(B781,2))</f>
        <v>0</v>
      </c>
      <c r="Q781" s="38">
        <f>IF(B781="","",IF(E781="Tip","No",IF(E781="Refund","No","Yes")))</f>
        <v>0</v>
      </c>
      <c r="R781" s="25">
        <f>IF(B781="","",IF(E781="Refund",-1,1))</f>
        <v>0</v>
      </c>
      <c r="S781" s="26">
        <f>IF(B781="","",IF(G781="",0,IF(F781="Card",ROUND(G781*CardFeePercent+CardFeeFixed,2),IF(F781="Online deposit",ROUND(G781*CardFeePercent+CardFeeFixed,2),0))))</f>
        <v>0</v>
      </c>
      <c r="T781" s="26">
        <f>IF(B781="","",ROUND(IF(G781="",0,G781)*R781-S781,2))</f>
        <v>0</v>
      </c>
      <c r="U781" s="38">
        <f>IF(B781="","",IF(E781="Tip","Yes","No"))</f>
        <v>0</v>
      </c>
      <c r="V781" s="15">
        <f>IF(B781="","",IF(H781&lt;&gt;"","Sale "&amp;H781,IF(I781&lt;&gt;"","Booking "&amp;I781,IF(E781="Tip","Stylist","Unapplied"))))</f>
        <v>0</v>
      </c>
      <c r="W781" s="39">
        <f>IF(B781="","",IF(G781="","Add - no amount yet",IF(E781="","Add - what was this for?",IF(IF(H781="",FALSE,COUNTIF(Sales!$A$5:$A$1204,H781)=0),"Missing - no sale with that ID",IF(IF(I781="",FALSE,COUNTIF(Appointments!$A$5:$A$1204,I781)=0),"Missing - no booking with that ID",IF(IF(E781="Tip",J781="",FALSE),"Assign - whose tip is it?",IF(IF(E781="Deposit",IF(H781="",I781="",FALSE),FALSE),"Check - deposit not tied to a booking",IF(M781="No","Due - not reconciled yet","OK"))))))))</f>
        <v>0</v>
      </c>
    </row>
    <row r="782" spans="1:23">
      <c r="A782" s="28">
        <f>IF(B782="","",PaymentPrefix&amp;TEXT(ROW()-4,"0000"))</f>
        <v>0</v>
      </c>
      <c r="D782" s="15">
        <f>IF(C782="","",IFERROR(INDEX(Clients!$B$5:$B$504,MATCH(C782,Clients!$A$5:$A$504,0)),"Walk-in"))</f>
        <v>0</v>
      </c>
      <c r="K782" s="15">
        <f>IF(J782="","",IFERROR(INDEX(Staff!$B$5:$B$44,MATCH(J782,Staff!$A$5:$A$44,0)),""))</f>
        <v>0</v>
      </c>
      <c r="O782" s="15">
        <f>IF(B782="","",TEXT(B782,"yyyy-mm"))</f>
        <v>0</v>
      </c>
      <c r="P782" s="25">
        <f>IF(B782="","",WEEKNUM(B782,2))</f>
        <v>0</v>
      </c>
      <c r="Q782" s="38">
        <f>IF(B782="","",IF(E782="Tip","No",IF(E782="Refund","No","Yes")))</f>
        <v>0</v>
      </c>
      <c r="R782" s="25">
        <f>IF(B782="","",IF(E782="Refund",-1,1))</f>
        <v>0</v>
      </c>
      <c r="S782" s="26">
        <f>IF(B782="","",IF(G782="",0,IF(F782="Card",ROUND(G782*CardFeePercent+CardFeeFixed,2),IF(F782="Online deposit",ROUND(G782*CardFeePercent+CardFeeFixed,2),0))))</f>
        <v>0</v>
      </c>
      <c r="T782" s="26">
        <f>IF(B782="","",ROUND(IF(G782="",0,G782)*R782-S782,2))</f>
        <v>0</v>
      </c>
      <c r="U782" s="38">
        <f>IF(B782="","",IF(E782="Tip","Yes","No"))</f>
        <v>0</v>
      </c>
      <c r="V782" s="15">
        <f>IF(B782="","",IF(H782&lt;&gt;"","Sale "&amp;H782,IF(I782&lt;&gt;"","Booking "&amp;I782,IF(E782="Tip","Stylist","Unapplied"))))</f>
        <v>0</v>
      </c>
      <c r="W782" s="39">
        <f>IF(B782="","",IF(G782="","Add - no amount yet",IF(E782="","Add - what was this for?",IF(IF(H782="",FALSE,COUNTIF(Sales!$A$5:$A$1204,H782)=0),"Missing - no sale with that ID",IF(IF(I782="",FALSE,COUNTIF(Appointments!$A$5:$A$1204,I782)=0),"Missing - no booking with that ID",IF(IF(E782="Tip",J782="",FALSE),"Assign - whose tip is it?",IF(IF(E782="Deposit",IF(H782="",I782="",FALSE),FALSE),"Check - deposit not tied to a booking",IF(M782="No","Due - not reconciled yet","OK"))))))))</f>
        <v>0</v>
      </c>
    </row>
    <row r="783" spans="1:23">
      <c r="A783" s="28">
        <f>IF(B783="","",PaymentPrefix&amp;TEXT(ROW()-4,"0000"))</f>
        <v>0</v>
      </c>
      <c r="D783" s="15">
        <f>IF(C783="","",IFERROR(INDEX(Clients!$B$5:$B$504,MATCH(C783,Clients!$A$5:$A$504,0)),"Walk-in"))</f>
        <v>0</v>
      </c>
      <c r="K783" s="15">
        <f>IF(J783="","",IFERROR(INDEX(Staff!$B$5:$B$44,MATCH(J783,Staff!$A$5:$A$44,0)),""))</f>
        <v>0</v>
      </c>
      <c r="O783" s="15">
        <f>IF(B783="","",TEXT(B783,"yyyy-mm"))</f>
        <v>0</v>
      </c>
      <c r="P783" s="25">
        <f>IF(B783="","",WEEKNUM(B783,2))</f>
        <v>0</v>
      </c>
      <c r="Q783" s="38">
        <f>IF(B783="","",IF(E783="Tip","No",IF(E783="Refund","No","Yes")))</f>
        <v>0</v>
      </c>
      <c r="R783" s="25">
        <f>IF(B783="","",IF(E783="Refund",-1,1))</f>
        <v>0</v>
      </c>
      <c r="S783" s="26">
        <f>IF(B783="","",IF(G783="",0,IF(F783="Card",ROUND(G783*CardFeePercent+CardFeeFixed,2),IF(F783="Online deposit",ROUND(G783*CardFeePercent+CardFeeFixed,2),0))))</f>
        <v>0</v>
      </c>
      <c r="T783" s="26">
        <f>IF(B783="","",ROUND(IF(G783="",0,G783)*R783-S783,2))</f>
        <v>0</v>
      </c>
      <c r="U783" s="38">
        <f>IF(B783="","",IF(E783="Tip","Yes","No"))</f>
        <v>0</v>
      </c>
      <c r="V783" s="15">
        <f>IF(B783="","",IF(H783&lt;&gt;"","Sale "&amp;H783,IF(I783&lt;&gt;"","Booking "&amp;I783,IF(E783="Tip","Stylist","Unapplied"))))</f>
        <v>0</v>
      </c>
      <c r="W783" s="39">
        <f>IF(B783="","",IF(G783="","Add - no amount yet",IF(E783="","Add - what was this for?",IF(IF(H783="",FALSE,COUNTIF(Sales!$A$5:$A$1204,H783)=0),"Missing - no sale with that ID",IF(IF(I783="",FALSE,COUNTIF(Appointments!$A$5:$A$1204,I783)=0),"Missing - no booking with that ID",IF(IF(E783="Tip",J783="",FALSE),"Assign - whose tip is it?",IF(IF(E783="Deposit",IF(H783="",I783="",FALSE),FALSE),"Check - deposit not tied to a booking",IF(M783="No","Due - not reconciled yet","OK"))))))))</f>
        <v>0</v>
      </c>
    </row>
    <row r="784" spans="1:23">
      <c r="A784" s="28">
        <f>IF(B784="","",PaymentPrefix&amp;TEXT(ROW()-4,"0000"))</f>
        <v>0</v>
      </c>
      <c r="D784" s="15">
        <f>IF(C784="","",IFERROR(INDEX(Clients!$B$5:$B$504,MATCH(C784,Clients!$A$5:$A$504,0)),"Walk-in"))</f>
        <v>0</v>
      </c>
      <c r="K784" s="15">
        <f>IF(J784="","",IFERROR(INDEX(Staff!$B$5:$B$44,MATCH(J784,Staff!$A$5:$A$44,0)),""))</f>
        <v>0</v>
      </c>
      <c r="O784" s="15">
        <f>IF(B784="","",TEXT(B784,"yyyy-mm"))</f>
        <v>0</v>
      </c>
      <c r="P784" s="25">
        <f>IF(B784="","",WEEKNUM(B784,2))</f>
        <v>0</v>
      </c>
      <c r="Q784" s="38">
        <f>IF(B784="","",IF(E784="Tip","No",IF(E784="Refund","No","Yes")))</f>
        <v>0</v>
      </c>
      <c r="R784" s="25">
        <f>IF(B784="","",IF(E784="Refund",-1,1))</f>
        <v>0</v>
      </c>
      <c r="S784" s="26">
        <f>IF(B784="","",IF(G784="",0,IF(F784="Card",ROUND(G784*CardFeePercent+CardFeeFixed,2),IF(F784="Online deposit",ROUND(G784*CardFeePercent+CardFeeFixed,2),0))))</f>
        <v>0</v>
      </c>
      <c r="T784" s="26">
        <f>IF(B784="","",ROUND(IF(G784="",0,G784)*R784-S784,2))</f>
        <v>0</v>
      </c>
      <c r="U784" s="38">
        <f>IF(B784="","",IF(E784="Tip","Yes","No"))</f>
        <v>0</v>
      </c>
      <c r="V784" s="15">
        <f>IF(B784="","",IF(H784&lt;&gt;"","Sale "&amp;H784,IF(I784&lt;&gt;"","Booking "&amp;I784,IF(E784="Tip","Stylist","Unapplied"))))</f>
        <v>0</v>
      </c>
      <c r="W784" s="39">
        <f>IF(B784="","",IF(G784="","Add - no amount yet",IF(E784="","Add - what was this for?",IF(IF(H784="",FALSE,COUNTIF(Sales!$A$5:$A$1204,H784)=0),"Missing - no sale with that ID",IF(IF(I784="",FALSE,COUNTIF(Appointments!$A$5:$A$1204,I784)=0),"Missing - no booking with that ID",IF(IF(E784="Tip",J784="",FALSE),"Assign - whose tip is it?",IF(IF(E784="Deposit",IF(H784="",I784="",FALSE),FALSE),"Check - deposit not tied to a booking",IF(M784="No","Due - not reconciled yet","OK"))))))))</f>
        <v>0</v>
      </c>
    </row>
    <row r="785" spans="1:23">
      <c r="A785" s="28">
        <f>IF(B785="","",PaymentPrefix&amp;TEXT(ROW()-4,"0000"))</f>
        <v>0</v>
      </c>
      <c r="D785" s="15">
        <f>IF(C785="","",IFERROR(INDEX(Clients!$B$5:$B$504,MATCH(C785,Clients!$A$5:$A$504,0)),"Walk-in"))</f>
        <v>0</v>
      </c>
      <c r="K785" s="15">
        <f>IF(J785="","",IFERROR(INDEX(Staff!$B$5:$B$44,MATCH(J785,Staff!$A$5:$A$44,0)),""))</f>
        <v>0</v>
      </c>
      <c r="O785" s="15">
        <f>IF(B785="","",TEXT(B785,"yyyy-mm"))</f>
        <v>0</v>
      </c>
      <c r="P785" s="25">
        <f>IF(B785="","",WEEKNUM(B785,2))</f>
        <v>0</v>
      </c>
      <c r="Q785" s="38">
        <f>IF(B785="","",IF(E785="Tip","No",IF(E785="Refund","No","Yes")))</f>
        <v>0</v>
      </c>
      <c r="R785" s="25">
        <f>IF(B785="","",IF(E785="Refund",-1,1))</f>
        <v>0</v>
      </c>
      <c r="S785" s="26">
        <f>IF(B785="","",IF(G785="",0,IF(F785="Card",ROUND(G785*CardFeePercent+CardFeeFixed,2),IF(F785="Online deposit",ROUND(G785*CardFeePercent+CardFeeFixed,2),0))))</f>
        <v>0</v>
      </c>
      <c r="T785" s="26">
        <f>IF(B785="","",ROUND(IF(G785="",0,G785)*R785-S785,2))</f>
        <v>0</v>
      </c>
      <c r="U785" s="38">
        <f>IF(B785="","",IF(E785="Tip","Yes","No"))</f>
        <v>0</v>
      </c>
      <c r="V785" s="15">
        <f>IF(B785="","",IF(H785&lt;&gt;"","Sale "&amp;H785,IF(I785&lt;&gt;"","Booking "&amp;I785,IF(E785="Tip","Stylist","Unapplied"))))</f>
        <v>0</v>
      </c>
      <c r="W785" s="39">
        <f>IF(B785="","",IF(G785="","Add - no amount yet",IF(E785="","Add - what was this for?",IF(IF(H785="",FALSE,COUNTIF(Sales!$A$5:$A$1204,H785)=0),"Missing - no sale with that ID",IF(IF(I785="",FALSE,COUNTIF(Appointments!$A$5:$A$1204,I785)=0),"Missing - no booking with that ID",IF(IF(E785="Tip",J785="",FALSE),"Assign - whose tip is it?",IF(IF(E785="Deposit",IF(H785="",I785="",FALSE),FALSE),"Check - deposit not tied to a booking",IF(M785="No","Due - not reconciled yet","OK"))))))))</f>
        <v>0</v>
      </c>
    </row>
    <row r="786" spans="1:23">
      <c r="A786" s="28">
        <f>IF(B786="","",PaymentPrefix&amp;TEXT(ROW()-4,"0000"))</f>
        <v>0</v>
      </c>
      <c r="D786" s="15">
        <f>IF(C786="","",IFERROR(INDEX(Clients!$B$5:$B$504,MATCH(C786,Clients!$A$5:$A$504,0)),"Walk-in"))</f>
        <v>0</v>
      </c>
      <c r="K786" s="15">
        <f>IF(J786="","",IFERROR(INDEX(Staff!$B$5:$B$44,MATCH(J786,Staff!$A$5:$A$44,0)),""))</f>
        <v>0</v>
      </c>
      <c r="O786" s="15">
        <f>IF(B786="","",TEXT(B786,"yyyy-mm"))</f>
        <v>0</v>
      </c>
      <c r="P786" s="25">
        <f>IF(B786="","",WEEKNUM(B786,2))</f>
        <v>0</v>
      </c>
      <c r="Q786" s="38">
        <f>IF(B786="","",IF(E786="Tip","No",IF(E786="Refund","No","Yes")))</f>
        <v>0</v>
      </c>
      <c r="R786" s="25">
        <f>IF(B786="","",IF(E786="Refund",-1,1))</f>
        <v>0</v>
      </c>
      <c r="S786" s="26">
        <f>IF(B786="","",IF(G786="",0,IF(F786="Card",ROUND(G786*CardFeePercent+CardFeeFixed,2),IF(F786="Online deposit",ROUND(G786*CardFeePercent+CardFeeFixed,2),0))))</f>
        <v>0</v>
      </c>
      <c r="T786" s="26">
        <f>IF(B786="","",ROUND(IF(G786="",0,G786)*R786-S786,2))</f>
        <v>0</v>
      </c>
      <c r="U786" s="38">
        <f>IF(B786="","",IF(E786="Tip","Yes","No"))</f>
        <v>0</v>
      </c>
      <c r="V786" s="15">
        <f>IF(B786="","",IF(H786&lt;&gt;"","Sale "&amp;H786,IF(I786&lt;&gt;"","Booking "&amp;I786,IF(E786="Tip","Stylist","Unapplied"))))</f>
        <v>0</v>
      </c>
      <c r="W786" s="39">
        <f>IF(B786="","",IF(G786="","Add - no amount yet",IF(E786="","Add - what was this for?",IF(IF(H786="",FALSE,COUNTIF(Sales!$A$5:$A$1204,H786)=0),"Missing - no sale with that ID",IF(IF(I786="",FALSE,COUNTIF(Appointments!$A$5:$A$1204,I786)=0),"Missing - no booking with that ID",IF(IF(E786="Tip",J786="",FALSE),"Assign - whose tip is it?",IF(IF(E786="Deposit",IF(H786="",I786="",FALSE),FALSE),"Check - deposit not tied to a booking",IF(M786="No","Due - not reconciled yet","OK"))))))))</f>
        <v>0</v>
      </c>
    </row>
    <row r="787" spans="1:23">
      <c r="A787" s="28">
        <f>IF(B787="","",PaymentPrefix&amp;TEXT(ROW()-4,"0000"))</f>
        <v>0</v>
      </c>
      <c r="D787" s="15">
        <f>IF(C787="","",IFERROR(INDEX(Clients!$B$5:$B$504,MATCH(C787,Clients!$A$5:$A$504,0)),"Walk-in"))</f>
        <v>0</v>
      </c>
      <c r="K787" s="15">
        <f>IF(J787="","",IFERROR(INDEX(Staff!$B$5:$B$44,MATCH(J787,Staff!$A$5:$A$44,0)),""))</f>
        <v>0</v>
      </c>
      <c r="O787" s="15">
        <f>IF(B787="","",TEXT(B787,"yyyy-mm"))</f>
        <v>0</v>
      </c>
      <c r="P787" s="25">
        <f>IF(B787="","",WEEKNUM(B787,2))</f>
        <v>0</v>
      </c>
      <c r="Q787" s="38">
        <f>IF(B787="","",IF(E787="Tip","No",IF(E787="Refund","No","Yes")))</f>
        <v>0</v>
      </c>
      <c r="R787" s="25">
        <f>IF(B787="","",IF(E787="Refund",-1,1))</f>
        <v>0</v>
      </c>
      <c r="S787" s="26">
        <f>IF(B787="","",IF(G787="",0,IF(F787="Card",ROUND(G787*CardFeePercent+CardFeeFixed,2),IF(F787="Online deposit",ROUND(G787*CardFeePercent+CardFeeFixed,2),0))))</f>
        <v>0</v>
      </c>
      <c r="T787" s="26">
        <f>IF(B787="","",ROUND(IF(G787="",0,G787)*R787-S787,2))</f>
        <v>0</v>
      </c>
      <c r="U787" s="38">
        <f>IF(B787="","",IF(E787="Tip","Yes","No"))</f>
        <v>0</v>
      </c>
      <c r="V787" s="15">
        <f>IF(B787="","",IF(H787&lt;&gt;"","Sale "&amp;H787,IF(I787&lt;&gt;"","Booking "&amp;I787,IF(E787="Tip","Stylist","Unapplied"))))</f>
        <v>0</v>
      </c>
      <c r="W787" s="39">
        <f>IF(B787="","",IF(G787="","Add - no amount yet",IF(E787="","Add - what was this for?",IF(IF(H787="",FALSE,COUNTIF(Sales!$A$5:$A$1204,H787)=0),"Missing - no sale with that ID",IF(IF(I787="",FALSE,COUNTIF(Appointments!$A$5:$A$1204,I787)=0),"Missing - no booking with that ID",IF(IF(E787="Tip",J787="",FALSE),"Assign - whose tip is it?",IF(IF(E787="Deposit",IF(H787="",I787="",FALSE),FALSE),"Check - deposit not tied to a booking",IF(M787="No","Due - not reconciled yet","OK"))))))))</f>
        <v>0</v>
      </c>
    </row>
    <row r="788" spans="1:23">
      <c r="A788" s="28">
        <f>IF(B788="","",PaymentPrefix&amp;TEXT(ROW()-4,"0000"))</f>
        <v>0</v>
      </c>
      <c r="D788" s="15">
        <f>IF(C788="","",IFERROR(INDEX(Clients!$B$5:$B$504,MATCH(C788,Clients!$A$5:$A$504,0)),"Walk-in"))</f>
        <v>0</v>
      </c>
      <c r="K788" s="15">
        <f>IF(J788="","",IFERROR(INDEX(Staff!$B$5:$B$44,MATCH(J788,Staff!$A$5:$A$44,0)),""))</f>
        <v>0</v>
      </c>
      <c r="O788" s="15">
        <f>IF(B788="","",TEXT(B788,"yyyy-mm"))</f>
        <v>0</v>
      </c>
      <c r="P788" s="25">
        <f>IF(B788="","",WEEKNUM(B788,2))</f>
        <v>0</v>
      </c>
      <c r="Q788" s="38">
        <f>IF(B788="","",IF(E788="Tip","No",IF(E788="Refund","No","Yes")))</f>
        <v>0</v>
      </c>
      <c r="R788" s="25">
        <f>IF(B788="","",IF(E788="Refund",-1,1))</f>
        <v>0</v>
      </c>
      <c r="S788" s="26">
        <f>IF(B788="","",IF(G788="",0,IF(F788="Card",ROUND(G788*CardFeePercent+CardFeeFixed,2),IF(F788="Online deposit",ROUND(G788*CardFeePercent+CardFeeFixed,2),0))))</f>
        <v>0</v>
      </c>
      <c r="T788" s="26">
        <f>IF(B788="","",ROUND(IF(G788="",0,G788)*R788-S788,2))</f>
        <v>0</v>
      </c>
      <c r="U788" s="38">
        <f>IF(B788="","",IF(E788="Tip","Yes","No"))</f>
        <v>0</v>
      </c>
      <c r="V788" s="15">
        <f>IF(B788="","",IF(H788&lt;&gt;"","Sale "&amp;H788,IF(I788&lt;&gt;"","Booking "&amp;I788,IF(E788="Tip","Stylist","Unapplied"))))</f>
        <v>0</v>
      </c>
      <c r="W788" s="39">
        <f>IF(B788="","",IF(G788="","Add - no amount yet",IF(E788="","Add - what was this for?",IF(IF(H788="",FALSE,COUNTIF(Sales!$A$5:$A$1204,H788)=0),"Missing - no sale with that ID",IF(IF(I788="",FALSE,COUNTIF(Appointments!$A$5:$A$1204,I788)=0),"Missing - no booking with that ID",IF(IF(E788="Tip",J788="",FALSE),"Assign - whose tip is it?",IF(IF(E788="Deposit",IF(H788="",I788="",FALSE),FALSE),"Check - deposit not tied to a booking",IF(M788="No","Due - not reconciled yet","OK"))))))))</f>
        <v>0</v>
      </c>
    </row>
    <row r="789" spans="1:23">
      <c r="A789" s="28">
        <f>IF(B789="","",PaymentPrefix&amp;TEXT(ROW()-4,"0000"))</f>
        <v>0</v>
      </c>
      <c r="D789" s="15">
        <f>IF(C789="","",IFERROR(INDEX(Clients!$B$5:$B$504,MATCH(C789,Clients!$A$5:$A$504,0)),"Walk-in"))</f>
        <v>0</v>
      </c>
      <c r="K789" s="15">
        <f>IF(J789="","",IFERROR(INDEX(Staff!$B$5:$B$44,MATCH(J789,Staff!$A$5:$A$44,0)),""))</f>
        <v>0</v>
      </c>
      <c r="O789" s="15">
        <f>IF(B789="","",TEXT(B789,"yyyy-mm"))</f>
        <v>0</v>
      </c>
      <c r="P789" s="25">
        <f>IF(B789="","",WEEKNUM(B789,2))</f>
        <v>0</v>
      </c>
      <c r="Q789" s="38">
        <f>IF(B789="","",IF(E789="Tip","No",IF(E789="Refund","No","Yes")))</f>
        <v>0</v>
      </c>
      <c r="R789" s="25">
        <f>IF(B789="","",IF(E789="Refund",-1,1))</f>
        <v>0</v>
      </c>
      <c r="S789" s="26">
        <f>IF(B789="","",IF(G789="",0,IF(F789="Card",ROUND(G789*CardFeePercent+CardFeeFixed,2),IF(F789="Online deposit",ROUND(G789*CardFeePercent+CardFeeFixed,2),0))))</f>
        <v>0</v>
      </c>
      <c r="T789" s="26">
        <f>IF(B789="","",ROUND(IF(G789="",0,G789)*R789-S789,2))</f>
        <v>0</v>
      </c>
      <c r="U789" s="38">
        <f>IF(B789="","",IF(E789="Tip","Yes","No"))</f>
        <v>0</v>
      </c>
      <c r="V789" s="15">
        <f>IF(B789="","",IF(H789&lt;&gt;"","Sale "&amp;H789,IF(I789&lt;&gt;"","Booking "&amp;I789,IF(E789="Tip","Stylist","Unapplied"))))</f>
        <v>0</v>
      </c>
      <c r="W789" s="39">
        <f>IF(B789="","",IF(G789="","Add - no amount yet",IF(E789="","Add - what was this for?",IF(IF(H789="",FALSE,COUNTIF(Sales!$A$5:$A$1204,H789)=0),"Missing - no sale with that ID",IF(IF(I789="",FALSE,COUNTIF(Appointments!$A$5:$A$1204,I789)=0),"Missing - no booking with that ID",IF(IF(E789="Tip",J789="",FALSE),"Assign - whose tip is it?",IF(IF(E789="Deposit",IF(H789="",I789="",FALSE),FALSE),"Check - deposit not tied to a booking",IF(M789="No","Due - not reconciled yet","OK"))))))))</f>
        <v>0</v>
      </c>
    </row>
    <row r="790" spans="1:23">
      <c r="A790" s="28">
        <f>IF(B790="","",PaymentPrefix&amp;TEXT(ROW()-4,"0000"))</f>
        <v>0</v>
      </c>
      <c r="D790" s="15">
        <f>IF(C790="","",IFERROR(INDEX(Clients!$B$5:$B$504,MATCH(C790,Clients!$A$5:$A$504,0)),"Walk-in"))</f>
        <v>0</v>
      </c>
      <c r="K790" s="15">
        <f>IF(J790="","",IFERROR(INDEX(Staff!$B$5:$B$44,MATCH(J790,Staff!$A$5:$A$44,0)),""))</f>
        <v>0</v>
      </c>
      <c r="O790" s="15">
        <f>IF(B790="","",TEXT(B790,"yyyy-mm"))</f>
        <v>0</v>
      </c>
      <c r="P790" s="25">
        <f>IF(B790="","",WEEKNUM(B790,2))</f>
        <v>0</v>
      </c>
      <c r="Q790" s="38">
        <f>IF(B790="","",IF(E790="Tip","No",IF(E790="Refund","No","Yes")))</f>
        <v>0</v>
      </c>
      <c r="R790" s="25">
        <f>IF(B790="","",IF(E790="Refund",-1,1))</f>
        <v>0</v>
      </c>
      <c r="S790" s="26">
        <f>IF(B790="","",IF(G790="",0,IF(F790="Card",ROUND(G790*CardFeePercent+CardFeeFixed,2),IF(F790="Online deposit",ROUND(G790*CardFeePercent+CardFeeFixed,2),0))))</f>
        <v>0</v>
      </c>
      <c r="T790" s="26">
        <f>IF(B790="","",ROUND(IF(G790="",0,G790)*R790-S790,2))</f>
        <v>0</v>
      </c>
      <c r="U790" s="38">
        <f>IF(B790="","",IF(E790="Tip","Yes","No"))</f>
        <v>0</v>
      </c>
      <c r="V790" s="15">
        <f>IF(B790="","",IF(H790&lt;&gt;"","Sale "&amp;H790,IF(I790&lt;&gt;"","Booking "&amp;I790,IF(E790="Tip","Stylist","Unapplied"))))</f>
        <v>0</v>
      </c>
      <c r="W790" s="39">
        <f>IF(B790="","",IF(G790="","Add - no amount yet",IF(E790="","Add - what was this for?",IF(IF(H790="",FALSE,COUNTIF(Sales!$A$5:$A$1204,H790)=0),"Missing - no sale with that ID",IF(IF(I790="",FALSE,COUNTIF(Appointments!$A$5:$A$1204,I790)=0),"Missing - no booking with that ID",IF(IF(E790="Tip",J790="",FALSE),"Assign - whose tip is it?",IF(IF(E790="Deposit",IF(H790="",I790="",FALSE),FALSE),"Check - deposit not tied to a booking",IF(M790="No","Due - not reconciled yet","OK"))))))))</f>
        <v>0</v>
      </c>
    </row>
    <row r="791" spans="1:23">
      <c r="A791" s="28">
        <f>IF(B791="","",PaymentPrefix&amp;TEXT(ROW()-4,"0000"))</f>
        <v>0</v>
      </c>
      <c r="D791" s="15">
        <f>IF(C791="","",IFERROR(INDEX(Clients!$B$5:$B$504,MATCH(C791,Clients!$A$5:$A$504,0)),"Walk-in"))</f>
        <v>0</v>
      </c>
      <c r="K791" s="15">
        <f>IF(J791="","",IFERROR(INDEX(Staff!$B$5:$B$44,MATCH(J791,Staff!$A$5:$A$44,0)),""))</f>
        <v>0</v>
      </c>
      <c r="O791" s="15">
        <f>IF(B791="","",TEXT(B791,"yyyy-mm"))</f>
        <v>0</v>
      </c>
      <c r="P791" s="25">
        <f>IF(B791="","",WEEKNUM(B791,2))</f>
        <v>0</v>
      </c>
      <c r="Q791" s="38">
        <f>IF(B791="","",IF(E791="Tip","No",IF(E791="Refund","No","Yes")))</f>
        <v>0</v>
      </c>
      <c r="R791" s="25">
        <f>IF(B791="","",IF(E791="Refund",-1,1))</f>
        <v>0</v>
      </c>
      <c r="S791" s="26">
        <f>IF(B791="","",IF(G791="",0,IF(F791="Card",ROUND(G791*CardFeePercent+CardFeeFixed,2),IF(F791="Online deposit",ROUND(G791*CardFeePercent+CardFeeFixed,2),0))))</f>
        <v>0</v>
      </c>
      <c r="T791" s="26">
        <f>IF(B791="","",ROUND(IF(G791="",0,G791)*R791-S791,2))</f>
        <v>0</v>
      </c>
      <c r="U791" s="38">
        <f>IF(B791="","",IF(E791="Tip","Yes","No"))</f>
        <v>0</v>
      </c>
      <c r="V791" s="15">
        <f>IF(B791="","",IF(H791&lt;&gt;"","Sale "&amp;H791,IF(I791&lt;&gt;"","Booking "&amp;I791,IF(E791="Tip","Stylist","Unapplied"))))</f>
        <v>0</v>
      </c>
      <c r="W791" s="39">
        <f>IF(B791="","",IF(G791="","Add - no amount yet",IF(E791="","Add - what was this for?",IF(IF(H791="",FALSE,COUNTIF(Sales!$A$5:$A$1204,H791)=0),"Missing - no sale with that ID",IF(IF(I791="",FALSE,COUNTIF(Appointments!$A$5:$A$1204,I791)=0),"Missing - no booking with that ID",IF(IF(E791="Tip",J791="",FALSE),"Assign - whose tip is it?",IF(IF(E791="Deposit",IF(H791="",I791="",FALSE),FALSE),"Check - deposit not tied to a booking",IF(M791="No","Due - not reconciled yet","OK"))))))))</f>
        <v>0</v>
      </c>
    </row>
    <row r="792" spans="1:23">
      <c r="A792" s="28">
        <f>IF(B792="","",PaymentPrefix&amp;TEXT(ROW()-4,"0000"))</f>
        <v>0</v>
      </c>
      <c r="D792" s="15">
        <f>IF(C792="","",IFERROR(INDEX(Clients!$B$5:$B$504,MATCH(C792,Clients!$A$5:$A$504,0)),"Walk-in"))</f>
        <v>0</v>
      </c>
      <c r="K792" s="15">
        <f>IF(J792="","",IFERROR(INDEX(Staff!$B$5:$B$44,MATCH(J792,Staff!$A$5:$A$44,0)),""))</f>
        <v>0</v>
      </c>
      <c r="O792" s="15">
        <f>IF(B792="","",TEXT(B792,"yyyy-mm"))</f>
        <v>0</v>
      </c>
      <c r="P792" s="25">
        <f>IF(B792="","",WEEKNUM(B792,2))</f>
        <v>0</v>
      </c>
      <c r="Q792" s="38">
        <f>IF(B792="","",IF(E792="Tip","No",IF(E792="Refund","No","Yes")))</f>
        <v>0</v>
      </c>
      <c r="R792" s="25">
        <f>IF(B792="","",IF(E792="Refund",-1,1))</f>
        <v>0</v>
      </c>
      <c r="S792" s="26">
        <f>IF(B792="","",IF(G792="",0,IF(F792="Card",ROUND(G792*CardFeePercent+CardFeeFixed,2),IF(F792="Online deposit",ROUND(G792*CardFeePercent+CardFeeFixed,2),0))))</f>
        <v>0</v>
      </c>
      <c r="T792" s="26">
        <f>IF(B792="","",ROUND(IF(G792="",0,G792)*R792-S792,2))</f>
        <v>0</v>
      </c>
      <c r="U792" s="38">
        <f>IF(B792="","",IF(E792="Tip","Yes","No"))</f>
        <v>0</v>
      </c>
      <c r="V792" s="15">
        <f>IF(B792="","",IF(H792&lt;&gt;"","Sale "&amp;H792,IF(I792&lt;&gt;"","Booking "&amp;I792,IF(E792="Tip","Stylist","Unapplied"))))</f>
        <v>0</v>
      </c>
      <c r="W792" s="39">
        <f>IF(B792="","",IF(G792="","Add - no amount yet",IF(E792="","Add - what was this for?",IF(IF(H792="",FALSE,COUNTIF(Sales!$A$5:$A$1204,H792)=0),"Missing - no sale with that ID",IF(IF(I792="",FALSE,COUNTIF(Appointments!$A$5:$A$1204,I792)=0),"Missing - no booking with that ID",IF(IF(E792="Tip",J792="",FALSE),"Assign - whose tip is it?",IF(IF(E792="Deposit",IF(H792="",I792="",FALSE),FALSE),"Check - deposit not tied to a booking",IF(M792="No","Due - not reconciled yet","OK"))))))))</f>
        <v>0</v>
      </c>
    </row>
    <row r="793" spans="1:23">
      <c r="A793" s="28">
        <f>IF(B793="","",PaymentPrefix&amp;TEXT(ROW()-4,"0000"))</f>
        <v>0</v>
      </c>
      <c r="D793" s="15">
        <f>IF(C793="","",IFERROR(INDEX(Clients!$B$5:$B$504,MATCH(C793,Clients!$A$5:$A$504,0)),"Walk-in"))</f>
        <v>0</v>
      </c>
      <c r="K793" s="15">
        <f>IF(J793="","",IFERROR(INDEX(Staff!$B$5:$B$44,MATCH(J793,Staff!$A$5:$A$44,0)),""))</f>
        <v>0</v>
      </c>
      <c r="O793" s="15">
        <f>IF(B793="","",TEXT(B793,"yyyy-mm"))</f>
        <v>0</v>
      </c>
      <c r="P793" s="25">
        <f>IF(B793="","",WEEKNUM(B793,2))</f>
        <v>0</v>
      </c>
      <c r="Q793" s="38">
        <f>IF(B793="","",IF(E793="Tip","No",IF(E793="Refund","No","Yes")))</f>
        <v>0</v>
      </c>
      <c r="R793" s="25">
        <f>IF(B793="","",IF(E793="Refund",-1,1))</f>
        <v>0</v>
      </c>
      <c r="S793" s="26">
        <f>IF(B793="","",IF(G793="",0,IF(F793="Card",ROUND(G793*CardFeePercent+CardFeeFixed,2),IF(F793="Online deposit",ROUND(G793*CardFeePercent+CardFeeFixed,2),0))))</f>
        <v>0</v>
      </c>
      <c r="T793" s="26">
        <f>IF(B793="","",ROUND(IF(G793="",0,G793)*R793-S793,2))</f>
        <v>0</v>
      </c>
      <c r="U793" s="38">
        <f>IF(B793="","",IF(E793="Tip","Yes","No"))</f>
        <v>0</v>
      </c>
      <c r="V793" s="15">
        <f>IF(B793="","",IF(H793&lt;&gt;"","Sale "&amp;H793,IF(I793&lt;&gt;"","Booking "&amp;I793,IF(E793="Tip","Stylist","Unapplied"))))</f>
        <v>0</v>
      </c>
      <c r="W793" s="39">
        <f>IF(B793="","",IF(G793="","Add - no amount yet",IF(E793="","Add - what was this for?",IF(IF(H793="",FALSE,COUNTIF(Sales!$A$5:$A$1204,H793)=0),"Missing - no sale with that ID",IF(IF(I793="",FALSE,COUNTIF(Appointments!$A$5:$A$1204,I793)=0),"Missing - no booking with that ID",IF(IF(E793="Tip",J793="",FALSE),"Assign - whose tip is it?",IF(IF(E793="Deposit",IF(H793="",I793="",FALSE),FALSE),"Check - deposit not tied to a booking",IF(M793="No","Due - not reconciled yet","OK"))))))))</f>
        <v>0</v>
      </c>
    </row>
    <row r="794" spans="1:23">
      <c r="A794" s="28">
        <f>IF(B794="","",PaymentPrefix&amp;TEXT(ROW()-4,"0000"))</f>
        <v>0</v>
      </c>
      <c r="D794" s="15">
        <f>IF(C794="","",IFERROR(INDEX(Clients!$B$5:$B$504,MATCH(C794,Clients!$A$5:$A$504,0)),"Walk-in"))</f>
        <v>0</v>
      </c>
      <c r="K794" s="15">
        <f>IF(J794="","",IFERROR(INDEX(Staff!$B$5:$B$44,MATCH(J794,Staff!$A$5:$A$44,0)),""))</f>
        <v>0</v>
      </c>
      <c r="O794" s="15">
        <f>IF(B794="","",TEXT(B794,"yyyy-mm"))</f>
        <v>0</v>
      </c>
      <c r="P794" s="25">
        <f>IF(B794="","",WEEKNUM(B794,2))</f>
        <v>0</v>
      </c>
      <c r="Q794" s="38">
        <f>IF(B794="","",IF(E794="Tip","No",IF(E794="Refund","No","Yes")))</f>
        <v>0</v>
      </c>
      <c r="R794" s="25">
        <f>IF(B794="","",IF(E794="Refund",-1,1))</f>
        <v>0</v>
      </c>
      <c r="S794" s="26">
        <f>IF(B794="","",IF(G794="",0,IF(F794="Card",ROUND(G794*CardFeePercent+CardFeeFixed,2),IF(F794="Online deposit",ROUND(G794*CardFeePercent+CardFeeFixed,2),0))))</f>
        <v>0</v>
      </c>
      <c r="T794" s="26">
        <f>IF(B794="","",ROUND(IF(G794="",0,G794)*R794-S794,2))</f>
        <v>0</v>
      </c>
      <c r="U794" s="38">
        <f>IF(B794="","",IF(E794="Tip","Yes","No"))</f>
        <v>0</v>
      </c>
      <c r="V794" s="15">
        <f>IF(B794="","",IF(H794&lt;&gt;"","Sale "&amp;H794,IF(I794&lt;&gt;"","Booking "&amp;I794,IF(E794="Tip","Stylist","Unapplied"))))</f>
        <v>0</v>
      </c>
      <c r="W794" s="39">
        <f>IF(B794="","",IF(G794="","Add - no amount yet",IF(E794="","Add - what was this for?",IF(IF(H794="",FALSE,COUNTIF(Sales!$A$5:$A$1204,H794)=0),"Missing - no sale with that ID",IF(IF(I794="",FALSE,COUNTIF(Appointments!$A$5:$A$1204,I794)=0),"Missing - no booking with that ID",IF(IF(E794="Tip",J794="",FALSE),"Assign - whose tip is it?",IF(IF(E794="Deposit",IF(H794="",I794="",FALSE),FALSE),"Check - deposit not tied to a booking",IF(M794="No","Due - not reconciled yet","OK"))))))))</f>
        <v>0</v>
      </c>
    </row>
    <row r="795" spans="1:23">
      <c r="A795" s="28">
        <f>IF(B795="","",PaymentPrefix&amp;TEXT(ROW()-4,"0000"))</f>
        <v>0</v>
      </c>
      <c r="D795" s="15">
        <f>IF(C795="","",IFERROR(INDEX(Clients!$B$5:$B$504,MATCH(C795,Clients!$A$5:$A$504,0)),"Walk-in"))</f>
        <v>0</v>
      </c>
      <c r="K795" s="15">
        <f>IF(J795="","",IFERROR(INDEX(Staff!$B$5:$B$44,MATCH(J795,Staff!$A$5:$A$44,0)),""))</f>
        <v>0</v>
      </c>
      <c r="O795" s="15">
        <f>IF(B795="","",TEXT(B795,"yyyy-mm"))</f>
        <v>0</v>
      </c>
      <c r="P795" s="25">
        <f>IF(B795="","",WEEKNUM(B795,2))</f>
        <v>0</v>
      </c>
      <c r="Q795" s="38">
        <f>IF(B795="","",IF(E795="Tip","No",IF(E795="Refund","No","Yes")))</f>
        <v>0</v>
      </c>
      <c r="R795" s="25">
        <f>IF(B795="","",IF(E795="Refund",-1,1))</f>
        <v>0</v>
      </c>
      <c r="S795" s="26">
        <f>IF(B795="","",IF(G795="",0,IF(F795="Card",ROUND(G795*CardFeePercent+CardFeeFixed,2),IF(F795="Online deposit",ROUND(G795*CardFeePercent+CardFeeFixed,2),0))))</f>
        <v>0</v>
      </c>
      <c r="T795" s="26">
        <f>IF(B795="","",ROUND(IF(G795="",0,G795)*R795-S795,2))</f>
        <v>0</v>
      </c>
      <c r="U795" s="38">
        <f>IF(B795="","",IF(E795="Tip","Yes","No"))</f>
        <v>0</v>
      </c>
      <c r="V795" s="15">
        <f>IF(B795="","",IF(H795&lt;&gt;"","Sale "&amp;H795,IF(I795&lt;&gt;"","Booking "&amp;I795,IF(E795="Tip","Stylist","Unapplied"))))</f>
        <v>0</v>
      </c>
      <c r="W795" s="39">
        <f>IF(B795="","",IF(G795="","Add - no amount yet",IF(E795="","Add - what was this for?",IF(IF(H795="",FALSE,COUNTIF(Sales!$A$5:$A$1204,H795)=0),"Missing - no sale with that ID",IF(IF(I795="",FALSE,COUNTIF(Appointments!$A$5:$A$1204,I795)=0),"Missing - no booking with that ID",IF(IF(E795="Tip",J795="",FALSE),"Assign - whose tip is it?",IF(IF(E795="Deposit",IF(H795="",I795="",FALSE),FALSE),"Check - deposit not tied to a booking",IF(M795="No","Due - not reconciled yet","OK"))))))))</f>
        <v>0</v>
      </c>
    </row>
    <row r="796" spans="1:23">
      <c r="A796" s="28">
        <f>IF(B796="","",PaymentPrefix&amp;TEXT(ROW()-4,"0000"))</f>
        <v>0</v>
      </c>
      <c r="D796" s="15">
        <f>IF(C796="","",IFERROR(INDEX(Clients!$B$5:$B$504,MATCH(C796,Clients!$A$5:$A$504,0)),"Walk-in"))</f>
        <v>0</v>
      </c>
      <c r="K796" s="15">
        <f>IF(J796="","",IFERROR(INDEX(Staff!$B$5:$B$44,MATCH(J796,Staff!$A$5:$A$44,0)),""))</f>
        <v>0</v>
      </c>
      <c r="O796" s="15">
        <f>IF(B796="","",TEXT(B796,"yyyy-mm"))</f>
        <v>0</v>
      </c>
      <c r="P796" s="25">
        <f>IF(B796="","",WEEKNUM(B796,2))</f>
        <v>0</v>
      </c>
      <c r="Q796" s="38">
        <f>IF(B796="","",IF(E796="Tip","No",IF(E796="Refund","No","Yes")))</f>
        <v>0</v>
      </c>
      <c r="R796" s="25">
        <f>IF(B796="","",IF(E796="Refund",-1,1))</f>
        <v>0</v>
      </c>
      <c r="S796" s="26">
        <f>IF(B796="","",IF(G796="",0,IF(F796="Card",ROUND(G796*CardFeePercent+CardFeeFixed,2),IF(F796="Online deposit",ROUND(G796*CardFeePercent+CardFeeFixed,2),0))))</f>
        <v>0</v>
      </c>
      <c r="T796" s="26">
        <f>IF(B796="","",ROUND(IF(G796="",0,G796)*R796-S796,2))</f>
        <v>0</v>
      </c>
      <c r="U796" s="38">
        <f>IF(B796="","",IF(E796="Tip","Yes","No"))</f>
        <v>0</v>
      </c>
      <c r="V796" s="15">
        <f>IF(B796="","",IF(H796&lt;&gt;"","Sale "&amp;H796,IF(I796&lt;&gt;"","Booking "&amp;I796,IF(E796="Tip","Stylist","Unapplied"))))</f>
        <v>0</v>
      </c>
      <c r="W796" s="39">
        <f>IF(B796="","",IF(G796="","Add - no amount yet",IF(E796="","Add - what was this for?",IF(IF(H796="",FALSE,COUNTIF(Sales!$A$5:$A$1204,H796)=0),"Missing - no sale with that ID",IF(IF(I796="",FALSE,COUNTIF(Appointments!$A$5:$A$1204,I796)=0),"Missing - no booking with that ID",IF(IF(E796="Tip",J796="",FALSE),"Assign - whose tip is it?",IF(IF(E796="Deposit",IF(H796="",I796="",FALSE),FALSE),"Check - deposit not tied to a booking",IF(M796="No","Due - not reconciled yet","OK"))))))))</f>
        <v>0</v>
      </c>
    </row>
    <row r="797" spans="1:23">
      <c r="A797" s="28">
        <f>IF(B797="","",PaymentPrefix&amp;TEXT(ROW()-4,"0000"))</f>
        <v>0</v>
      </c>
      <c r="D797" s="15">
        <f>IF(C797="","",IFERROR(INDEX(Clients!$B$5:$B$504,MATCH(C797,Clients!$A$5:$A$504,0)),"Walk-in"))</f>
        <v>0</v>
      </c>
      <c r="K797" s="15">
        <f>IF(J797="","",IFERROR(INDEX(Staff!$B$5:$B$44,MATCH(J797,Staff!$A$5:$A$44,0)),""))</f>
        <v>0</v>
      </c>
      <c r="O797" s="15">
        <f>IF(B797="","",TEXT(B797,"yyyy-mm"))</f>
        <v>0</v>
      </c>
      <c r="P797" s="25">
        <f>IF(B797="","",WEEKNUM(B797,2))</f>
        <v>0</v>
      </c>
      <c r="Q797" s="38">
        <f>IF(B797="","",IF(E797="Tip","No",IF(E797="Refund","No","Yes")))</f>
        <v>0</v>
      </c>
      <c r="R797" s="25">
        <f>IF(B797="","",IF(E797="Refund",-1,1))</f>
        <v>0</v>
      </c>
      <c r="S797" s="26">
        <f>IF(B797="","",IF(G797="",0,IF(F797="Card",ROUND(G797*CardFeePercent+CardFeeFixed,2),IF(F797="Online deposit",ROUND(G797*CardFeePercent+CardFeeFixed,2),0))))</f>
        <v>0</v>
      </c>
      <c r="T797" s="26">
        <f>IF(B797="","",ROUND(IF(G797="",0,G797)*R797-S797,2))</f>
        <v>0</v>
      </c>
      <c r="U797" s="38">
        <f>IF(B797="","",IF(E797="Tip","Yes","No"))</f>
        <v>0</v>
      </c>
      <c r="V797" s="15">
        <f>IF(B797="","",IF(H797&lt;&gt;"","Sale "&amp;H797,IF(I797&lt;&gt;"","Booking "&amp;I797,IF(E797="Tip","Stylist","Unapplied"))))</f>
        <v>0</v>
      </c>
      <c r="W797" s="39">
        <f>IF(B797="","",IF(G797="","Add - no amount yet",IF(E797="","Add - what was this for?",IF(IF(H797="",FALSE,COUNTIF(Sales!$A$5:$A$1204,H797)=0),"Missing - no sale with that ID",IF(IF(I797="",FALSE,COUNTIF(Appointments!$A$5:$A$1204,I797)=0),"Missing - no booking with that ID",IF(IF(E797="Tip",J797="",FALSE),"Assign - whose tip is it?",IF(IF(E797="Deposit",IF(H797="",I797="",FALSE),FALSE),"Check - deposit not tied to a booking",IF(M797="No","Due - not reconciled yet","OK"))))))))</f>
        <v>0</v>
      </c>
    </row>
    <row r="798" spans="1:23">
      <c r="A798" s="28">
        <f>IF(B798="","",PaymentPrefix&amp;TEXT(ROW()-4,"0000"))</f>
        <v>0</v>
      </c>
      <c r="D798" s="15">
        <f>IF(C798="","",IFERROR(INDEX(Clients!$B$5:$B$504,MATCH(C798,Clients!$A$5:$A$504,0)),"Walk-in"))</f>
        <v>0</v>
      </c>
      <c r="K798" s="15">
        <f>IF(J798="","",IFERROR(INDEX(Staff!$B$5:$B$44,MATCH(J798,Staff!$A$5:$A$44,0)),""))</f>
        <v>0</v>
      </c>
      <c r="O798" s="15">
        <f>IF(B798="","",TEXT(B798,"yyyy-mm"))</f>
        <v>0</v>
      </c>
      <c r="P798" s="25">
        <f>IF(B798="","",WEEKNUM(B798,2))</f>
        <v>0</v>
      </c>
      <c r="Q798" s="38">
        <f>IF(B798="","",IF(E798="Tip","No",IF(E798="Refund","No","Yes")))</f>
        <v>0</v>
      </c>
      <c r="R798" s="25">
        <f>IF(B798="","",IF(E798="Refund",-1,1))</f>
        <v>0</v>
      </c>
      <c r="S798" s="26">
        <f>IF(B798="","",IF(G798="",0,IF(F798="Card",ROUND(G798*CardFeePercent+CardFeeFixed,2),IF(F798="Online deposit",ROUND(G798*CardFeePercent+CardFeeFixed,2),0))))</f>
        <v>0</v>
      </c>
      <c r="T798" s="26">
        <f>IF(B798="","",ROUND(IF(G798="",0,G798)*R798-S798,2))</f>
        <v>0</v>
      </c>
      <c r="U798" s="38">
        <f>IF(B798="","",IF(E798="Tip","Yes","No"))</f>
        <v>0</v>
      </c>
      <c r="V798" s="15">
        <f>IF(B798="","",IF(H798&lt;&gt;"","Sale "&amp;H798,IF(I798&lt;&gt;"","Booking "&amp;I798,IF(E798="Tip","Stylist","Unapplied"))))</f>
        <v>0</v>
      </c>
      <c r="W798" s="39">
        <f>IF(B798="","",IF(G798="","Add - no amount yet",IF(E798="","Add - what was this for?",IF(IF(H798="",FALSE,COUNTIF(Sales!$A$5:$A$1204,H798)=0),"Missing - no sale with that ID",IF(IF(I798="",FALSE,COUNTIF(Appointments!$A$5:$A$1204,I798)=0),"Missing - no booking with that ID",IF(IF(E798="Tip",J798="",FALSE),"Assign - whose tip is it?",IF(IF(E798="Deposit",IF(H798="",I798="",FALSE),FALSE),"Check - deposit not tied to a booking",IF(M798="No","Due - not reconciled yet","OK"))))))))</f>
        <v>0</v>
      </c>
    </row>
    <row r="799" spans="1:23">
      <c r="A799" s="28">
        <f>IF(B799="","",PaymentPrefix&amp;TEXT(ROW()-4,"0000"))</f>
        <v>0</v>
      </c>
      <c r="D799" s="15">
        <f>IF(C799="","",IFERROR(INDEX(Clients!$B$5:$B$504,MATCH(C799,Clients!$A$5:$A$504,0)),"Walk-in"))</f>
        <v>0</v>
      </c>
      <c r="K799" s="15">
        <f>IF(J799="","",IFERROR(INDEX(Staff!$B$5:$B$44,MATCH(J799,Staff!$A$5:$A$44,0)),""))</f>
        <v>0</v>
      </c>
      <c r="O799" s="15">
        <f>IF(B799="","",TEXT(B799,"yyyy-mm"))</f>
        <v>0</v>
      </c>
      <c r="P799" s="25">
        <f>IF(B799="","",WEEKNUM(B799,2))</f>
        <v>0</v>
      </c>
      <c r="Q799" s="38">
        <f>IF(B799="","",IF(E799="Tip","No",IF(E799="Refund","No","Yes")))</f>
        <v>0</v>
      </c>
      <c r="R799" s="25">
        <f>IF(B799="","",IF(E799="Refund",-1,1))</f>
        <v>0</v>
      </c>
      <c r="S799" s="26">
        <f>IF(B799="","",IF(G799="",0,IF(F799="Card",ROUND(G799*CardFeePercent+CardFeeFixed,2),IF(F799="Online deposit",ROUND(G799*CardFeePercent+CardFeeFixed,2),0))))</f>
        <v>0</v>
      </c>
      <c r="T799" s="26">
        <f>IF(B799="","",ROUND(IF(G799="",0,G799)*R799-S799,2))</f>
        <v>0</v>
      </c>
      <c r="U799" s="38">
        <f>IF(B799="","",IF(E799="Tip","Yes","No"))</f>
        <v>0</v>
      </c>
      <c r="V799" s="15">
        <f>IF(B799="","",IF(H799&lt;&gt;"","Sale "&amp;H799,IF(I799&lt;&gt;"","Booking "&amp;I799,IF(E799="Tip","Stylist","Unapplied"))))</f>
        <v>0</v>
      </c>
      <c r="W799" s="39">
        <f>IF(B799="","",IF(G799="","Add - no amount yet",IF(E799="","Add - what was this for?",IF(IF(H799="",FALSE,COUNTIF(Sales!$A$5:$A$1204,H799)=0),"Missing - no sale with that ID",IF(IF(I799="",FALSE,COUNTIF(Appointments!$A$5:$A$1204,I799)=0),"Missing - no booking with that ID",IF(IF(E799="Tip",J799="",FALSE),"Assign - whose tip is it?",IF(IF(E799="Deposit",IF(H799="",I799="",FALSE),FALSE),"Check - deposit not tied to a booking",IF(M799="No","Due - not reconciled yet","OK"))))))))</f>
        <v>0</v>
      </c>
    </row>
    <row r="800" spans="1:23">
      <c r="A800" s="28">
        <f>IF(B800="","",PaymentPrefix&amp;TEXT(ROW()-4,"0000"))</f>
        <v>0</v>
      </c>
      <c r="D800" s="15">
        <f>IF(C800="","",IFERROR(INDEX(Clients!$B$5:$B$504,MATCH(C800,Clients!$A$5:$A$504,0)),"Walk-in"))</f>
        <v>0</v>
      </c>
      <c r="K800" s="15">
        <f>IF(J800="","",IFERROR(INDEX(Staff!$B$5:$B$44,MATCH(J800,Staff!$A$5:$A$44,0)),""))</f>
        <v>0</v>
      </c>
      <c r="O800" s="15">
        <f>IF(B800="","",TEXT(B800,"yyyy-mm"))</f>
        <v>0</v>
      </c>
      <c r="P800" s="25">
        <f>IF(B800="","",WEEKNUM(B800,2))</f>
        <v>0</v>
      </c>
      <c r="Q800" s="38">
        <f>IF(B800="","",IF(E800="Tip","No",IF(E800="Refund","No","Yes")))</f>
        <v>0</v>
      </c>
      <c r="R800" s="25">
        <f>IF(B800="","",IF(E800="Refund",-1,1))</f>
        <v>0</v>
      </c>
      <c r="S800" s="26">
        <f>IF(B800="","",IF(G800="",0,IF(F800="Card",ROUND(G800*CardFeePercent+CardFeeFixed,2),IF(F800="Online deposit",ROUND(G800*CardFeePercent+CardFeeFixed,2),0))))</f>
        <v>0</v>
      </c>
      <c r="T800" s="26">
        <f>IF(B800="","",ROUND(IF(G800="",0,G800)*R800-S800,2))</f>
        <v>0</v>
      </c>
      <c r="U800" s="38">
        <f>IF(B800="","",IF(E800="Tip","Yes","No"))</f>
        <v>0</v>
      </c>
      <c r="V800" s="15">
        <f>IF(B800="","",IF(H800&lt;&gt;"","Sale "&amp;H800,IF(I800&lt;&gt;"","Booking "&amp;I800,IF(E800="Tip","Stylist","Unapplied"))))</f>
        <v>0</v>
      </c>
      <c r="W800" s="39">
        <f>IF(B800="","",IF(G800="","Add - no amount yet",IF(E800="","Add - what was this for?",IF(IF(H800="",FALSE,COUNTIF(Sales!$A$5:$A$1204,H800)=0),"Missing - no sale with that ID",IF(IF(I800="",FALSE,COUNTIF(Appointments!$A$5:$A$1204,I800)=0),"Missing - no booking with that ID",IF(IF(E800="Tip",J800="",FALSE),"Assign - whose tip is it?",IF(IF(E800="Deposit",IF(H800="",I800="",FALSE),FALSE),"Check - deposit not tied to a booking",IF(M800="No","Due - not reconciled yet","OK"))))))))</f>
        <v>0</v>
      </c>
    </row>
    <row r="801" spans="1:23">
      <c r="A801" s="28">
        <f>IF(B801="","",PaymentPrefix&amp;TEXT(ROW()-4,"0000"))</f>
        <v>0</v>
      </c>
      <c r="D801" s="15">
        <f>IF(C801="","",IFERROR(INDEX(Clients!$B$5:$B$504,MATCH(C801,Clients!$A$5:$A$504,0)),"Walk-in"))</f>
        <v>0</v>
      </c>
      <c r="K801" s="15">
        <f>IF(J801="","",IFERROR(INDEX(Staff!$B$5:$B$44,MATCH(J801,Staff!$A$5:$A$44,0)),""))</f>
        <v>0</v>
      </c>
      <c r="O801" s="15">
        <f>IF(B801="","",TEXT(B801,"yyyy-mm"))</f>
        <v>0</v>
      </c>
      <c r="P801" s="25">
        <f>IF(B801="","",WEEKNUM(B801,2))</f>
        <v>0</v>
      </c>
      <c r="Q801" s="38">
        <f>IF(B801="","",IF(E801="Tip","No",IF(E801="Refund","No","Yes")))</f>
        <v>0</v>
      </c>
      <c r="R801" s="25">
        <f>IF(B801="","",IF(E801="Refund",-1,1))</f>
        <v>0</v>
      </c>
      <c r="S801" s="26">
        <f>IF(B801="","",IF(G801="",0,IF(F801="Card",ROUND(G801*CardFeePercent+CardFeeFixed,2),IF(F801="Online deposit",ROUND(G801*CardFeePercent+CardFeeFixed,2),0))))</f>
        <v>0</v>
      </c>
      <c r="T801" s="26">
        <f>IF(B801="","",ROUND(IF(G801="",0,G801)*R801-S801,2))</f>
        <v>0</v>
      </c>
      <c r="U801" s="38">
        <f>IF(B801="","",IF(E801="Tip","Yes","No"))</f>
        <v>0</v>
      </c>
      <c r="V801" s="15">
        <f>IF(B801="","",IF(H801&lt;&gt;"","Sale "&amp;H801,IF(I801&lt;&gt;"","Booking "&amp;I801,IF(E801="Tip","Stylist","Unapplied"))))</f>
        <v>0</v>
      </c>
      <c r="W801" s="39">
        <f>IF(B801="","",IF(G801="","Add - no amount yet",IF(E801="","Add - what was this for?",IF(IF(H801="",FALSE,COUNTIF(Sales!$A$5:$A$1204,H801)=0),"Missing - no sale with that ID",IF(IF(I801="",FALSE,COUNTIF(Appointments!$A$5:$A$1204,I801)=0),"Missing - no booking with that ID",IF(IF(E801="Tip",J801="",FALSE),"Assign - whose tip is it?",IF(IF(E801="Deposit",IF(H801="",I801="",FALSE),FALSE),"Check - deposit not tied to a booking",IF(M801="No","Due - not reconciled yet","OK"))))))))</f>
        <v>0</v>
      </c>
    </row>
    <row r="802" spans="1:23">
      <c r="A802" s="28">
        <f>IF(B802="","",PaymentPrefix&amp;TEXT(ROW()-4,"0000"))</f>
        <v>0</v>
      </c>
      <c r="D802" s="15">
        <f>IF(C802="","",IFERROR(INDEX(Clients!$B$5:$B$504,MATCH(C802,Clients!$A$5:$A$504,0)),"Walk-in"))</f>
        <v>0</v>
      </c>
      <c r="K802" s="15">
        <f>IF(J802="","",IFERROR(INDEX(Staff!$B$5:$B$44,MATCH(J802,Staff!$A$5:$A$44,0)),""))</f>
        <v>0</v>
      </c>
      <c r="O802" s="15">
        <f>IF(B802="","",TEXT(B802,"yyyy-mm"))</f>
        <v>0</v>
      </c>
      <c r="P802" s="25">
        <f>IF(B802="","",WEEKNUM(B802,2))</f>
        <v>0</v>
      </c>
      <c r="Q802" s="38">
        <f>IF(B802="","",IF(E802="Tip","No",IF(E802="Refund","No","Yes")))</f>
        <v>0</v>
      </c>
      <c r="R802" s="25">
        <f>IF(B802="","",IF(E802="Refund",-1,1))</f>
        <v>0</v>
      </c>
      <c r="S802" s="26">
        <f>IF(B802="","",IF(G802="",0,IF(F802="Card",ROUND(G802*CardFeePercent+CardFeeFixed,2),IF(F802="Online deposit",ROUND(G802*CardFeePercent+CardFeeFixed,2),0))))</f>
        <v>0</v>
      </c>
      <c r="T802" s="26">
        <f>IF(B802="","",ROUND(IF(G802="",0,G802)*R802-S802,2))</f>
        <v>0</v>
      </c>
      <c r="U802" s="38">
        <f>IF(B802="","",IF(E802="Tip","Yes","No"))</f>
        <v>0</v>
      </c>
      <c r="V802" s="15">
        <f>IF(B802="","",IF(H802&lt;&gt;"","Sale "&amp;H802,IF(I802&lt;&gt;"","Booking "&amp;I802,IF(E802="Tip","Stylist","Unapplied"))))</f>
        <v>0</v>
      </c>
      <c r="W802" s="39">
        <f>IF(B802="","",IF(G802="","Add - no amount yet",IF(E802="","Add - what was this for?",IF(IF(H802="",FALSE,COUNTIF(Sales!$A$5:$A$1204,H802)=0),"Missing - no sale with that ID",IF(IF(I802="",FALSE,COUNTIF(Appointments!$A$5:$A$1204,I802)=0),"Missing - no booking with that ID",IF(IF(E802="Tip",J802="",FALSE),"Assign - whose tip is it?",IF(IF(E802="Deposit",IF(H802="",I802="",FALSE),FALSE),"Check - deposit not tied to a booking",IF(M802="No","Due - not reconciled yet","OK"))))))))</f>
        <v>0</v>
      </c>
    </row>
    <row r="803" spans="1:23">
      <c r="A803" s="28">
        <f>IF(B803="","",PaymentPrefix&amp;TEXT(ROW()-4,"0000"))</f>
        <v>0</v>
      </c>
      <c r="D803" s="15">
        <f>IF(C803="","",IFERROR(INDEX(Clients!$B$5:$B$504,MATCH(C803,Clients!$A$5:$A$504,0)),"Walk-in"))</f>
        <v>0</v>
      </c>
      <c r="K803" s="15">
        <f>IF(J803="","",IFERROR(INDEX(Staff!$B$5:$B$44,MATCH(J803,Staff!$A$5:$A$44,0)),""))</f>
        <v>0</v>
      </c>
      <c r="O803" s="15">
        <f>IF(B803="","",TEXT(B803,"yyyy-mm"))</f>
        <v>0</v>
      </c>
      <c r="P803" s="25">
        <f>IF(B803="","",WEEKNUM(B803,2))</f>
        <v>0</v>
      </c>
      <c r="Q803" s="38">
        <f>IF(B803="","",IF(E803="Tip","No",IF(E803="Refund","No","Yes")))</f>
        <v>0</v>
      </c>
      <c r="R803" s="25">
        <f>IF(B803="","",IF(E803="Refund",-1,1))</f>
        <v>0</v>
      </c>
      <c r="S803" s="26">
        <f>IF(B803="","",IF(G803="",0,IF(F803="Card",ROUND(G803*CardFeePercent+CardFeeFixed,2),IF(F803="Online deposit",ROUND(G803*CardFeePercent+CardFeeFixed,2),0))))</f>
        <v>0</v>
      </c>
      <c r="T803" s="26">
        <f>IF(B803="","",ROUND(IF(G803="",0,G803)*R803-S803,2))</f>
        <v>0</v>
      </c>
      <c r="U803" s="38">
        <f>IF(B803="","",IF(E803="Tip","Yes","No"))</f>
        <v>0</v>
      </c>
      <c r="V803" s="15">
        <f>IF(B803="","",IF(H803&lt;&gt;"","Sale "&amp;H803,IF(I803&lt;&gt;"","Booking "&amp;I803,IF(E803="Tip","Stylist","Unapplied"))))</f>
        <v>0</v>
      </c>
      <c r="W803" s="39">
        <f>IF(B803="","",IF(G803="","Add - no amount yet",IF(E803="","Add - what was this for?",IF(IF(H803="",FALSE,COUNTIF(Sales!$A$5:$A$1204,H803)=0),"Missing - no sale with that ID",IF(IF(I803="",FALSE,COUNTIF(Appointments!$A$5:$A$1204,I803)=0),"Missing - no booking with that ID",IF(IF(E803="Tip",J803="",FALSE),"Assign - whose tip is it?",IF(IF(E803="Deposit",IF(H803="",I803="",FALSE),FALSE),"Check - deposit not tied to a booking",IF(M803="No","Due - not reconciled yet","OK"))))))))</f>
        <v>0</v>
      </c>
    </row>
    <row r="804" spans="1:23">
      <c r="A804" s="28">
        <f>IF(B804="","",PaymentPrefix&amp;TEXT(ROW()-4,"0000"))</f>
        <v>0</v>
      </c>
      <c r="D804" s="15">
        <f>IF(C804="","",IFERROR(INDEX(Clients!$B$5:$B$504,MATCH(C804,Clients!$A$5:$A$504,0)),"Walk-in"))</f>
        <v>0</v>
      </c>
      <c r="K804" s="15">
        <f>IF(J804="","",IFERROR(INDEX(Staff!$B$5:$B$44,MATCH(J804,Staff!$A$5:$A$44,0)),""))</f>
        <v>0</v>
      </c>
      <c r="O804" s="15">
        <f>IF(B804="","",TEXT(B804,"yyyy-mm"))</f>
        <v>0</v>
      </c>
      <c r="P804" s="25">
        <f>IF(B804="","",WEEKNUM(B804,2))</f>
        <v>0</v>
      </c>
      <c r="Q804" s="38">
        <f>IF(B804="","",IF(E804="Tip","No",IF(E804="Refund","No","Yes")))</f>
        <v>0</v>
      </c>
      <c r="R804" s="25">
        <f>IF(B804="","",IF(E804="Refund",-1,1))</f>
        <v>0</v>
      </c>
      <c r="S804" s="26">
        <f>IF(B804="","",IF(G804="",0,IF(F804="Card",ROUND(G804*CardFeePercent+CardFeeFixed,2),IF(F804="Online deposit",ROUND(G804*CardFeePercent+CardFeeFixed,2),0))))</f>
        <v>0</v>
      </c>
      <c r="T804" s="26">
        <f>IF(B804="","",ROUND(IF(G804="",0,G804)*R804-S804,2))</f>
        <v>0</v>
      </c>
      <c r="U804" s="38">
        <f>IF(B804="","",IF(E804="Tip","Yes","No"))</f>
        <v>0</v>
      </c>
      <c r="V804" s="15">
        <f>IF(B804="","",IF(H804&lt;&gt;"","Sale "&amp;H804,IF(I804&lt;&gt;"","Booking "&amp;I804,IF(E804="Tip","Stylist","Unapplied"))))</f>
        <v>0</v>
      </c>
      <c r="W804" s="39">
        <f>IF(B804="","",IF(G804="","Add - no amount yet",IF(E804="","Add - what was this for?",IF(IF(H804="",FALSE,COUNTIF(Sales!$A$5:$A$1204,H804)=0),"Missing - no sale with that ID",IF(IF(I804="",FALSE,COUNTIF(Appointments!$A$5:$A$1204,I804)=0),"Missing - no booking with that ID",IF(IF(E804="Tip",J804="",FALSE),"Assign - whose tip is it?",IF(IF(E804="Deposit",IF(H804="",I804="",FALSE),FALSE),"Check - deposit not tied to a booking",IF(M804="No","Due - not reconciled yet","OK"))))))))</f>
        <v>0</v>
      </c>
    </row>
    <row r="805" spans="1:23">
      <c r="A805" s="28">
        <f>IF(B805="","",PaymentPrefix&amp;TEXT(ROW()-4,"0000"))</f>
        <v>0</v>
      </c>
      <c r="D805" s="15">
        <f>IF(C805="","",IFERROR(INDEX(Clients!$B$5:$B$504,MATCH(C805,Clients!$A$5:$A$504,0)),"Walk-in"))</f>
        <v>0</v>
      </c>
      <c r="K805" s="15">
        <f>IF(J805="","",IFERROR(INDEX(Staff!$B$5:$B$44,MATCH(J805,Staff!$A$5:$A$44,0)),""))</f>
        <v>0</v>
      </c>
      <c r="O805" s="15">
        <f>IF(B805="","",TEXT(B805,"yyyy-mm"))</f>
        <v>0</v>
      </c>
      <c r="P805" s="25">
        <f>IF(B805="","",WEEKNUM(B805,2))</f>
        <v>0</v>
      </c>
      <c r="Q805" s="38">
        <f>IF(B805="","",IF(E805="Tip","No",IF(E805="Refund","No","Yes")))</f>
        <v>0</v>
      </c>
      <c r="R805" s="25">
        <f>IF(B805="","",IF(E805="Refund",-1,1))</f>
        <v>0</v>
      </c>
      <c r="S805" s="26">
        <f>IF(B805="","",IF(G805="",0,IF(F805="Card",ROUND(G805*CardFeePercent+CardFeeFixed,2),IF(F805="Online deposit",ROUND(G805*CardFeePercent+CardFeeFixed,2),0))))</f>
        <v>0</v>
      </c>
      <c r="T805" s="26">
        <f>IF(B805="","",ROUND(IF(G805="",0,G805)*R805-S805,2))</f>
        <v>0</v>
      </c>
      <c r="U805" s="38">
        <f>IF(B805="","",IF(E805="Tip","Yes","No"))</f>
        <v>0</v>
      </c>
      <c r="V805" s="15">
        <f>IF(B805="","",IF(H805&lt;&gt;"","Sale "&amp;H805,IF(I805&lt;&gt;"","Booking "&amp;I805,IF(E805="Tip","Stylist","Unapplied"))))</f>
        <v>0</v>
      </c>
      <c r="W805" s="39">
        <f>IF(B805="","",IF(G805="","Add - no amount yet",IF(E805="","Add - what was this for?",IF(IF(H805="",FALSE,COUNTIF(Sales!$A$5:$A$1204,H805)=0),"Missing - no sale with that ID",IF(IF(I805="",FALSE,COUNTIF(Appointments!$A$5:$A$1204,I805)=0),"Missing - no booking with that ID",IF(IF(E805="Tip",J805="",FALSE),"Assign - whose tip is it?",IF(IF(E805="Deposit",IF(H805="",I805="",FALSE),FALSE),"Check - deposit not tied to a booking",IF(M805="No","Due - not reconciled yet","OK"))))))))</f>
        <v>0</v>
      </c>
    </row>
    <row r="806" spans="1:23">
      <c r="A806" s="28">
        <f>IF(B806="","",PaymentPrefix&amp;TEXT(ROW()-4,"0000"))</f>
        <v>0</v>
      </c>
      <c r="D806" s="15">
        <f>IF(C806="","",IFERROR(INDEX(Clients!$B$5:$B$504,MATCH(C806,Clients!$A$5:$A$504,0)),"Walk-in"))</f>
        <v>0</v>
      </c>
      <c r="K806" s="15">
        <f>IF(J806="","",IFERROR(INDEX(Staff!$B$5:$B$44,MATCH(J806,Staff!$A$5:$A$44,0)),""))</f>
        <v>0</v>
      </c>
      <c r="O806" s="15">
        <f>IF(B806="","",TEXT(B806,"yyyy-mm"))</f>
        <v>0</v>
      </c>
      <c r="P806" s="25">
        <f>IF(B806="","",WEEKNUM(B806,2))</f>
        <v>0</v>
      </c>
      <c r="Q806" s="38">
        <f>IF(B806="","",IF(E806="Tip","No",IF(E806="Refund","No","Yes")))</f>
        <v>0</v>
      </c>
      <c r="R806" s="25">
        <f>IF(B806="","",IF(E806="Refund",-1,1))</f>
        <v>0</v>
      </c>
      <c r="S806" s="26">
        <f>IF(B806="","",IF(G806="",0,IF(F806="Card",ROUND(G806*CardFeePercent+CardFeeFixed,2),IF(F806="Online deposit",ROUND(G806*CardFeePercent+CardFeeFixed,2),0))))</f>
        <v>0</v>
      </c>
      <c r="T806" s="26">
        <f>IF(B806="","",ROUND(IF(G806="",0,G806)*R806-S806,2))</f>
        <v>0</v>
      </c>
      <c r="U806" s="38">
        <f>IF(B806="","",IF(E806="Tip","Yes","No"))</f>
        <v>0</v>
      </c>
      <c r="V806" s="15">
        <f>IF(B806="","",IF(H806&lt;&gt;"","Sale "&amp;H806,IF(I806&lt;&gt;"","Booking "&amp;I806,IF(E806="Tip","Stylist","Unapplied"))))</f>
        <v>0</v>
      </c>
      <c r="W806" s="39">
        <f>IF(B806="","",IF(G806="","Add - no amount yet",IF(E806="","Add - what was this for?",IF(IF(H806="",FALSE,COUNTIF(Sales!$A$5:$A$1204,H806)=0),"Missing - no sale with that ID",IF(IF(I806="",FALSE,COUNTIF(Appointments!$A$5:$A$1204,I806)=0),"Missing - no booking with that ID",IF(IF(E806="Tip",J806="",FALSE),"Assign - whose tip is it?",IF(IF(E806="Deposit",IF(H806="",I806="",FALSE),FALSE),"Check - deposit not tied to a booking",IF(M806="No","Due - not reconciled yet","OK"))))))))</f>
        <v>0</v>
      </c>
    </row>
    <row r="807" spans="1:23">
      <c r="A807" s="28">
        <f>IF(B807="","",PaymentPrefix&amp;TEXT(ROW()-4,"0000"))</f>
        <v>0</v>
      </c>
      <c r="D807" s="15">
        <f>IF(C807="","",IFERROR(INDEX(Clients!$B$5:$B$504,MATCH(C807,Clients!$A$5:$A$504,0)),"Walk-in"))</f>
        <v>0</v>
      </c>
      <c r="K807" s="15">
        <f>IF(J807="","",IFERROR(INDEX(Staff!$B$5:$B$44,MATCH(J807,Staff!$A$5:$A$44,0)),""))</f>
        <v>0</v>
      </c>
      <c r="O807" s="15">
        <f>IF(B807="","",TEXT(B807,"yyyy-mm"))</f>
        <v>0</v>
      </c>
      <c r="P807" s="25">
        <f>IF(B807="","",WEEKNUM(B807,2))</f>
        <v>0</v>
      </c>
      <c r="Q807" s="38">
        <f>IF(B807="","",IF(E807="Tip","No",IF(E807="Refund","No","Yes")))</f>
        <v>0</v>
      </c>
      <c r="R807" s="25">
        <f>IF(B807="","",IF(E807="Refund",-1,1))</f>
        <v>0</v>
      </c>
      <c r="S807" s="26">
        <f>IF(B807="","",IF(G807="",0,IF(F807="Card",ROUND(G807*CardFeePercent+CardFeeFixed,2),IF(F807="Online deposit",ROUND(G807*CardFeePercent+CardFeeFixed,2),0))))</f>
        <v>0</v>
      </c>
      <c r="T807" s="26">
        <f>IF(B807="","",ROUND(IF(G807="",0,G807)*R807-S807,2))</f>
        <v>0</v>
      </c>
      <c r="U807" s="38">
        <f>IF(B807="","",IF(E807="Tip","Yes","No"))</f>
        <v>0</v>
      </c>
      <c r="V807" s="15">
        <f>IF(B807="","",IF(H807&lt;&gt;"","Sale "&amp;H807,IF(I807&lt;&gt;"","Booking "&amp;I807,IF(E807="Tip","Stylist","Unapplied"))))</f>
        <v>0</v>
      </c>
      <c r="W807" s="39">
        <f>IF(B807="","",IF(G807="","Add - no amount yet",IF(E807="","Add - what was this for?",IF(IF(H807="",FALSE,COUNTIF(Sales!$A$5:$A$1204,H807)=0),"Missing - no sale with that ID",IF(IF(I807="",FALSE,COUNTIF(Appointments!$A$5:$A$1204,I807)=0),"Missing - no booking with that ID",IF(IF(E807="Tip",J807="",FALSE),"Assign - whose tip is it?",IF(IF(E807="Deposit",IF(H807="",I807="",FALSE),FALSE),"Check - deposit not tied to a booking",IF(M807="No","Due - not reconciled yet","OK"))))))))</f>
        <v>0</v>
      </c>
    </row>
    <row r="808" spans="1:23">
      <c r="A808" s="28">
        <f>IF(B808="","",PaymentPrefix&amp;TEXT(ROW()-4,"0000"))</f>
        <v>0</v>
      </c>
      <c r="D808" s="15">
        <f>IF(C808="","",IFERROR(INDEX(Clients!$B$5:$B$504,MATCH(C808,Clients!$A$5:$A$504,0)),"Walk-in"))</f>
        <v>0</v>
      </c>
      <c r="K808" s="15">
        <f>IF(J808="","",IFERROR(INDEX(Staff!$B$5:$B$44,MATCH(J808,Staff!$A$5:$A$44,0)),""))</f>
        <v>0</v>
      </c>
      <c r="O808" s="15">
        <f>IF(B808="","",TEXT(B808,"yyyy-mm"))</f>
        <v>0</v>
      </c>
      <c r="P808" s="25">
        <f>IF(B808="","",WEEKNUM(B808,2))</f>
        <v>0</v>
      </c>
      <c r="Q808" s="38">
        <f>IF(B808="","",IF(E808="Tip","No",IF(E808="Refund","No","Yes")))</f>
        <v>0</v>
      </c>
      <c r="R808" s="25">
        <f>IF(B808="","",IF(E808="Refund",-1,1))</f>
        <v>0</v>
      </c>
      <c r="S808" s="26">
        <f>IF(B808="","",IF(G808="",0,IF(F808="Card",ROUND(G808*CardFeePercent+CardFeeFixed,2),IF(F808="Online deposit",ROUND(G808*CardFeePercent+CardFeeFixed,2),0))))</f>
        <v>0</v>
      </c>
      <c r="T808" s="26">
        <f>IF(B808="","",ROUND(IF(G808="",0,G808)*R808-S808,2))</f>
        <v>0</v>
      </c>
      <c r="U808" s="38">
        <f>IF(B808="","",IF(E808="Tip","Yes","No"))</f>
        <v>0</v>
      </c>
      <c r="V808" s="15">
        <f>IF(B808="","",IF(H808&lt;&gt;"","Sale "&amp;H808,IF(I808&lt;&gt;"","Booking "&amp;I808,IF(E808="Tip","Stylist","Unapplied"))))</f>
        <v>0</v>
      </c>
      <c r="W808" s="39">
        <f>IF(B808="","",IF(G808="","Add - no amount yet",IF(E808="","Add - what was this for?",IF(IF(H808="",FALSE,COUNTIF(Sales!$A$5:$A$1204,H808)=0),"Missing - no sale with that ID",IF(IF(I808="",FALSE,COUNTIF(Appointments!$A$5:$A$1204,I808)=0),"Missing - no booking with that ID",IF(IF(E808="Tip",J808="",FALSE),"Assign - whose tip is it?",IF(IF(E808="Deposit",IF(H808="",I808="",FALSE),FALSE),"Check - deposit not tied to a booking",IF(M808="No","Due - not reconciled yet","OK"))))))))</f>
        <v>0</v>
      </c>
    </row>
    <row r="809" spans="1:23">
      <c r="A809" s="28">
        <f>IF(B809="","",PaymentPrefix&amp;TEXT(ROW()-4,"0000"))</f>
        <v>0</v>
      </c>
      <c r="D809" s="15">
        <f>IF(C809="","",IFERROR(INDEX(Clients!$B$5:$B$504,MATCH(C809,Clients!$A$5:$A$504,0)),"Walk-in"))</f>
        <v>0</v>
      </c>
      <c r="K809" s="15">
        <f>IF(J809="","",IFERROR(INDEX(Staff!$B$5:$B$44,MATCH(J809,Staff!$A$5:$A$44,0)),""))</f>
        <v>0</v>
      </c>
      <c r="O809" s="15">
        <f>IF(B809="","",TEXT(B809,"yyyy-mm"))</f>
        <v>0</v>
      </c>
      <c r="P809" s="25">
        <f>IF(B809="","",WEEKNUM(B809,2))</f>
        <v>0</v>
      </c>
      <c r="Q809" s="38">
        <f>IF(B809="","",IF(E809="Tip","No",IF(E809="Refund","No","Yes")))</f>
        <v>0</v>
      </c>
      <c r="R809" s="25">
        <f>IF(B809="","",IF(E809="Refund",-1,1))</f>
        <v>0</v>
      </c>
      <c r="S809" s="26">
        <f>IF(B809="","",IF(G809="",0,IF(F809="Card",ROUND(G809*CardFeePercent+CardFeeFixed,2),IF(F809="Online deposit",ROUND(G809*CardFeePercent+CardFeeFixed,2),0))))</f>
        <v>0</v>
      </c>
      <c r="T809" s="26">
        <f>IF(B809="","",ROUND(IF(G809="",0,G809)*R809-S809,2))</f>
        <v>0</v>
      </c>
      <c r="U809" s="38">
        <f>IF(B809="","",IF(E809="Tip","Yes","No"))</f>
        <v>0</v>
      </c>
      <c r="V809" s="15">
        <f>IF(B809="","",IF(H809&lt;&gt;"","Sale "&amp;H809,IF(I809&lt;&gt;"","Booking "&amp;I809,IF(E809="Tip","Stylist","Unapplied"))))</f>
        <v>0</v>
      </c>
      <c r="W809" s="39">
        <f>IF(B809="","",IF(G809="","Add - no amount yet",IF(E809="","Add - what was this for?",IF(IF(H809="",FALSE,COUNTIF(Sales!$A$5:$A$1204,H809)=0),"Missing - no sale with that ID",IF(IF(I809="",FALSE,COUNTIF(Appointments!$A$5:$A$1204,I809)=0),"Missing - no booking with that ID",IF(IF(E809="Tip",J809="",FALSE),"Assign - whose tip is it?",IF(IF(E809="Deposit",IF(H809="",I809="",FALSE),FALSE),"Check - deposit not tied to a booking",IF(M809="No","Due - not reconciled yet","OK"))))))))</f>
        <v>0</v>
      </c>
    </row>
    <row r="810" spans="1:23">
      <c r="A810" s="28">
        <f>IF(B810="","",PaymentPrefix&amp;TEXT(ROW()-4,"0000"))</f>
        <v>0</v>
      </c>
      <c r="D810" s="15">
        <f>IF(C810="","",IFERROR(INDEX(Clients!$B$5:$B$504,MATCH(C810,Clients!$A$5:$A$504,0)),"Walk-in"))</f>
        <v>0</v>
      </c>
      <c r="K810" s="15">
        <f>IF(J810="","",IFERROR(INDEX(Staff!$B$5:$B$44,MATCH(J810,Staff!$A$5:$A$44,0)),""))</f>
        <v>0</v>
      </c>
      <c r="O810" s="15">
        <f>IF(B810="","",TEXT(B810,"yyyy-mm"))</f>
        <v>0</v>
      </c>
      <c r="P810" s="25">
        <f>IF(B810="","",WEEKNUM(B810,2))</f>
        <v>0</v>
      </c>
      <c r="Q810" s="38">
        <f>IF(B810="","",IF(E810="Tip","No",IF(E810="Refund","No","Yes")))</f>
        <v>0</v>
      </c>
      <c r="R810" s="25">
        <f>IF(B810="","",IF(E810="Refund",-1,1))</f>
        <v>0</v>
      </c>
      <c r="S810" s="26">
        <f>IF(B810="","",IF(G810="",0,IF(F810="Card",ROUND(G810*CardFeePercent+CardFeeFixed,2),IF(F810="Online deposit",ROUND(G810*CardFeePercent+CardFeeFixed,2),0))))</f>
        <v>0</v>
      </c>
      <c r="T810" s="26">
        <f>IF(B810="","",ROUND(IF(G810="",0,G810)*R810-S810,2))</f>
        <v>0</v>
      </c>
      <c r="U810" s="38">
        <f>IF(B810="","",IF(E810="Tip","Yes","No"))</f>
        <v>0</v>
      </c>
      <c r="V810" s="15">
        <f>IF(B810="","",IF(H810&lt;&gt;"","Sale "&amp;H810,IF(I810&lt;&gt;"","Booking "&amp;I810,IF(E810="Tip","Stylist","Unapplied"))))</f>
        <v>0</v>
      </c>
      <c r="W810" s="39">
        <f>IF(B810="","",IF(G810="","Add - no amount yet",IF(E810="","Add - what was this for?",IF(IF(H810="",FALSE,COUNTIF(Sales!$A$5:$A$1204,H810)=0),"Missing - no sale with that ID",IF(IF(I810="",FALSE,COUNTIF(Appointments!$A$5:$A$1204,I810)=0),"Missing - no booking with that ID",IF(IF(E810="Tip",J810="",FALSE),"Assign - whose tip is it?",IF(IF(E810="Deposit",IF(H810="",I810="",FALSE),FALSE),"Check - deposit not tied to a booking",IF(M810="No","Due - not reconciled yet","OK"))))))))</f>
        <v>0</v>
      </c>
    </row>
    <row r="811" spans="1:23">
      <c r="A811" s="28">
        <f>IF(B811="","",PaymentPrefix&amp;TEXT(ROW()-4,"0000"))</f>
        <v>0</v>
      </c>
      <c r="D811" s="15">
        <f>IF(C811="","",IFERROR(INDEX(Clients!$B$5:$B$504,MATCH(C811,Clients!$A$5:$A$504,0)),"Walk-in"))</f>
        <v>0</v>
      </c>
      <c r="K811" s="15">
        <f>IF(J811="","",IFERROR(INDEX(Staff!$B$5:$B$44,MATCH(J811,Staff!$A$5:$A$44,0)),""))</f>
        <v>0</v>
      </c>
      <c r="O811" s="15">
        <f>IF(B811="","",TEXT(B811,"yyyy-mm"))</f>
        <v>0</v>
      </c>
      <c r="P811" s="25">
        <f>IF(B811="","",WEEKNUM(B811,2))</f>
        <v>0</v>
      </c>
      <c r="Q811" s="38">
        <f>IF(B811="","",IF(E811="Tip","No",IF(E811="Refund","No","Yes")))</f>
        <v>0</v>
      </c>
      <c r="R811" s="25">
        <f>IF(B811="","",IF(E811="Refund",-1,1))</f>
        <v>0</v>
      </c>
      <c r="S811" s="26">
        <f>IF(B811="","",IF(G811="",0,IF(F811="Card",ROUND(G811*CardFeePercent+CardFeeFixed,2),IF(F811="Online deposit",ROUND(G811*CardFeePercent+CardFeeFixed,2),0))))</f>
        <v>0</v>
      </c>
      <c r="T811" s="26">
        <f>IF(B811="","",ROUND(IF(G811="",0,G811)*R811-S811,2))</f>
        <v>0</v>
      </c>
      <c r="U811" s="38">
        <f>IF(B811="","",IF(E811="Tip","Yes","No"))</f>
        <v>0</v>
      </c>
      <c r="V811" s="15">
        <f>IF(B811="","",IF(H811&lt;&gt;"","Sale "&amp;H811,IF(I811&lt;&gt;"","Booking "&amp;I811,IF(E811="Tip","Stylist","Unapplied"))))</f>
        <v>0</v>
      </c>
      <c r="W811" s="39">
        <f>IF(B811="","",IF(G811="","Add - no amount yet",IF(E811="","Add - what was this for?",IF(IF(H811="",FALSE,COUNTIF(Sales!$A$5:$A$1204,H811)=0),"Missing - no sale with that ID",IF(IF(I811="",FALSE,COUNTIF(Appointments!$A$5:$A$1204,I811)=0),"Missing - no booking with that ID",IF(IF(E811="Tip",J811="",FALSE),"Assign - whose tip is it?",IF(IF(E811="Deposit",IF(H811="",I811="",FALSE),FALSE),"Check - deposit not tied to a booking",IF(M811="No","Due - not reconciled yet","OK"))))))))</f>
        <v>0</v>
      </c>
    </row>
    <row r="812" spans="1:23">
      <c r="A812" s="28">
        <f>IF(B812="","",PaymentPrefix&amp;TEXT(ROW()-4,"0000"))</f>
        <v>0</v>
      </c>
      <c r="D812" s="15">
        <f>IF(C812="","",IFERROR(INDEX(Clients!$B$5:$B$504,MATCH(C812,Clients!$A$5:$A$504,0)),"Walk-in"))</f>
        <v>0</v>
      </c>
      <c r="K812" s="15">
        <f>IF(J812="","",IFERROR(INDEX(Staff!$B$5:$B$44,MATCH(J812,Staff!$A$5:$A$44,0)),""))</f>
        <v>0</v>
      </c>
      <c r="O812" s="15">
        <f>IF(B812="","",TEXT(B812,"yyyy-mm"))</f>
        <v>0</v>
      </c>
      <c r="P812" s="25">
        <f>IF(B812="","",WEEKNUM(B812,2))</f>
        <v>0</v>
      </c>
      <c r="Q812" s="38">
        <f>IF(B812="","",IF(E812="Tip","No",IF(E812="Refund","No","Yes")))</f>
        <v>0</v>
      </c>
      <c r="R812" s="25">
        <f>IF(B812="","",IF(E812="Refund",-1,1))</f>
        <v>0</v>
      </c>
      <c r="S812" s="26">
        <f>IF(B812="","",IF(G812="",0,IF(F812="Card",ROUND(G812*CardFeePercent+CardFeeFixed,2),IF(F812="Online deposit",ROUND(G812*CardFeePercent+CardFeeFixed,2),0))))</f>
        <v>0</v>
      </c>
      <c r="T812" s="26">
        <f>IF(B812="","",ROUND(IF(G812="",0,G812)*R812-S812,2))</f>
        <v>0</v>
      </c>
      <c r="U812" s="38">
        <f>IF(B812="","",IF(E812="Tip","Yes","No"))</f>
        <v>0</v>
      </c>
      <c r="V812" s="15">
        <f>IF(B812="","",IF(H812&lt;&gt;"","Sale "&amp;H812,IF(I812&lt;&gt;"","Booking "&amp;I812,IF(E812="Tip","Stylist","Unapplied"))))</f>
        <v>0</v>
      </c>
      <c r="W812" s="39">
        <f>IF(B812="","",IF(G812="","Add - no amount yet",IF(E812="","Add - what was this for?",IF(IF(H812="",FALSE,COUNTIF(Sales!$A$5:$A$1204,H812)=0),"Missing - no sale with that ID",IF(IF(I812="",FALSE,COUNTIF(Appointments!$A$5:$A$1204,I812)=0),"Missing - no booking with that ID",IF(IF(E812="Tip",J812="",FALSE),"Assign - whose tip is it?",IF(IF(E812="Deposit",IF(H812="",I812="",FALSE),FALSE),"Check - deposit not tied to a booking",IF(M812="No","Due - not reconciled yet","OK"))))))))</f>
        <v>0</v>
      </c>
    </row>
    <row r="813" spans="1:23">
      <c r="A813" s="28">
        <f>IF(B813="","",PaymentPrefix&amp;TEXT(ROW()-4,"0000"))</f>
        <v>0</v>
      </c>
      <c r="D813" s="15">
        <f>IF(C813="","",IFERROR(INDEX(Clients!$B$5:$B$504,MATCH(C813,Clients!$A$5:$A$504,0)),"Walk-in"))</f>
        <v>0</v>
      </c>
      <c r="K813" s="15">
        <f>IF(J813="","",IFERROR(INDEX(Staff!$B$5:$B$44,MATCH(J813,Staff!$A$5:$A$44,0)),""))</f>
        <v>0</v>
      </c>
      <c r="O813" s="15">
        <f>IF(B813="","",TEXT(B813,"yyyy-mm"))</f>
        <v>0</v>
      </c>
      <c r="P813" s="25">
        <f>IF(B813="","",WEEKNUM(B813,2))</f>
        <v>0</v>
      </c>
      <c r="Q813" s="38">
        <f>IF(B813="","",IF(E813="Tip","No",IF(E813="Refund","No","Yes")))</f>
        <v>0</v>
      </c>
      <c r="R813" s="25">
        <f>IF(B813="","",IF(E813="Refund",-1,1))</f>
        <v>0</v>
      </c>
      <c r="S813" s="26">
        <f>IF(B813="","",IF(G813="",0,IF(F813="Card",ROUND(G813*CardFeePercent+CardFeeFixed,2),IF(F813="Online deposit",ROUND(G813*CardFeePercent+CardFeeFixed,2),0))))</f>
        <v>0</v>
      </c>
      <c r="T813" s="26">
        <f>IF(B813="","",ROUND(IF(G813="",0,G813)*R813-S813,2))</f>
        <v>0</v>
      </c>
      <c r="U813" s="38">
        <f>IF(B813="","",IF(E813="Tip","Yes","No"))</f>
        <v>0</v>
      </c>
      <c r="V813" s="15">
        <f>IF(B813="","",IF(H813&lt;&gt;"","Sale "&amp;H813,IF(I813&lt;&gt;"","Booking "&amp;I813,IF(E813="Tip","Stylist","Unapplied"))))</f>
        <v>0</v>
      </c>
      <c r="W813" s="39">
        <f>IF(B813="","",IF(G813="","Add - no amount yet",IF(E813="","Add - what was this for?",IF(IF(H813="",FALSE,COUNTIF(Sales!$A$5:$A$1204,H813)=0),"Missing - no sale with that ID",IF(IF(I813="",FALSE,COUNTIF(Appointments!$A$5:$A$1204,I813)=0),"Missing - no booking with that ID",IF(IF(E813="Tip",J813="",FALSE),"Assign - whose tip is it?",IF(IF(E813="Deposit",IF(H813="",I813="",FALSE),FALSE),"Check - deposit not tied to a booking",IF(M813="No","Due - not reconciled yet","OK"))))))))</f>
        <v>0</v>
      </c>
    </row>
    <row r="814" spans="1:23">
      <c r="A814" s="28">
        <f>IF(B814="","",PaymentPrefix&amp;TEXT(ROW()-4,"0000"))</f>
        <v>0</v>
      </c>
      <c r="D814" s="15">
        <f>IF(C814="","",IFERROR(INDEX(Clients!$B$5:$B$504,MATCH(C814,Clients!$A$5:$A$504,0)),"Walk-in"))</f>
        <v>0</v>
      </c>
      <c r="K814" s="15">
        <f>IF(J814="","",IFERROR(INDEX(Staff!$B$5:$B$44,MATCH(J814,Staff!$A$5:$A$44,0)),""))</f>
        <v>0</v>
      </c>
      <c r="O814" s="15">
        <f>IF(B814="","",TEXT(B814,"yyyy-mm"))</f>
        <v>0</v>
      </c>
      <c r="P814" s="25">
        <f>IF(B814="","",WEEKNUM(B814,2))</f>
        <v>0</v>
      </c>
      <c r="Q814" s="38">
        <f>IF(B814="","",IF(E814="Tip","No",IF(E814="Refund","No","Yes")))</f>
        <v>0</v>
      </c>
      <c r="R814" s="25">
        <f>IF(B814="","",IF(E814="Refund",-1,1))</f>
        <v>0</v>
      </c>
      <c r="S814" s="26">
        <f>IF(B814="","",IF(G814="",0,IF(F814="Card",ROUND(G814*CardFeePercent+CardFeeFixed,2),IF(F814="Online deposit",ROUND(G814*CardFeePercent+CardFeeFixed,2),0))))</f>
        <v>0</v>
      </c>
      <c r="T814" s="26">
        <f>IF(B814="","",ROUND(IF(G814="",0,G814)*R814-S814,2))</f>
        <v>0</v>
      </c>
      <c r="U814" s="38">
        <f>IF(B814="","",IF(E814="Tip","Yes","No"))</f>
        <v>0</v>
      </c>
      <c r="V814" s="15">
        <f>IF(B814="","",IF(H814&lt;&gt;"","Sale "&amp;H814,IF(I814&lt;&gt;"","Booking "&amp;I814,IF(E814="Tip","Stylist","Unapplied"))))</f>
        <v>0</v>
      </c>
      <c r="W814" s="39">
        <f>IF(B814="","",IF(G814="","Add - no amount yet",IF(E814="","Add - what was this for?",IF(IF(H814="",FALSE,COUNTIF(Sales!$A$5:$A$1204,H814)=0),"Missing - no sale with that ID",IF(IF(I814="",FALSE,COUNTIF(Appointments!$A$5:$A$1204,I814)=0),"Missing - no booking with that ID",IF(IF(E814="Tip",J814="",FALSE),"Assign - whose tip is it?",IF(IF(E814="Deposit",IF(H814="",I814="",FALSE),FALSE),"Check - deposit not tied to a booking",IF(M814="No","Due - not reconciled yet","OK"))))))))</f>
        <v>0</v>
      </c>
    </row>
    <row r="815" spans="1:23">
      <c r="A815" s="28">
        <f>IF(B815="","",PaymentPrefix&amp;TEXT(ROW()-4,"0000"))</f>
        <v>0</v>
      </c>
      <c r="D815" s="15">
        <f>IF(C815="","",IFERROR(INDEX(Clients!$B$5:$B$504,MATCH(C815,Clients!$A$5:$A$504,0)),"Walk-in"))</f>
        <v>0</v>
      </c>
      <c r="K815" s="15">
        <f>IF(J815="","",IFERROR(INDEX(Staff!$B$5:$B$44,MATCH(J815,Staff!$A$5:$A$44,0)),""))</f>
        <v>0</v>
      </c>
      <c r="O815" s="15">
        <f>IF(B815="","",TEXT(B815,"yyyy-mm"))</f>
        <v>0</v>
      </c>
      <c r="P815" s="25">
        <f>IF(B815="","",WEEKNUM(B815,2))</f>
        <v>0</v>
      </c>
      <c r="Q815" s="38">
        <f>IF(B815="","",IF(E815="Tip","No",IF(E815="Refund","No","Yes")))</f>
        <v>0</v>
      </c>
      <c r="R815" s="25">
        <f>IF(B815="","",IF(E815="Refund",-1,1))</f>
        <v>0</v>
      </c>
      <c r="S815" s="26">
        <f>IF(B815="","",IF(G815="",0,IF(F815="Card",ROUND(G815*CardFeePercent+CardFeeFixed,2),IF(F815="Online deposit",ROUND(G815*CardFeePercent+CardFeeFixed,2),0))))</f>
        <v>0</v>
      </c>
      <c r="T815" s="26">
        <f>IF(B815="","",ROUND(IF(G815="",0,G815)*R815-S815,2))</f>
        <v>0</v>
      </c>
      <c r="U815" s="38">
        <f>IF(B815="","",IF(E815="Tip","Yes","No"))</f>
        <v>0</v>
      </c>
      <c r="V815" s="15">
        <f>IF(B815="","",IF(H815&lt;&gt;"","Sale "&amp;H815,IF(I815&lt;&gt;"","Booking "&amp;I815,IF(E815="Tip","Stylist","Unapplied"))))</f>
        <v>0</v>
      </c>
      <c r="W815" s="39">
        <f>IF(B815="","",IF(G815="","Add - no amount yet",IF(E815="","Add - what was this for?",IF(IF(H815="",FALSE,COUNTIF(Sales!$A$5:$A$1204,H815)=0),"Missing - no sale with that ID",IF(IF(I815="",FALSE,COUNTIF(Appointments!$A$5:$A$1204,I815)=0),"Missing - no booking with that ID",IF(IF(E815="Tip",J815="",FALSE),"Assign - whose tip is it?",IF(IF(E815="Deposit",IF(H815="",I815="",FALSE),FALSE),"Check - deposit not tied to a booking",IF(M815="No","Due - not reconciled yet","OK"))))))))</f>
        <v>0</v>
      </c>
    </row>
    <row r="816" spans="1:23">
      <c r="A816" s="28">
        <f>IF(B816="","",PaymentPrefix&amp;TEXT(ROW()-4,"0000"))</f>
        <v>0</v>
      </c>
      <c r="D816" s="15">
        <f>IF(C816="","",IFERROR(INDEX(Clients!$B$5:$B$504,MATCH(C816,Clients!$A$5:$A$504,0)),"Walk-in"))</f>
        <v>0</v>
      </c>
      <c r="K816" s="15">
        <f>IF(J816="","",IFERROR(INDEX(Staff!$B$5:$B$44,MATCH(J816,Staff!$A$5:$A$44,0)),""))</f>
        <v>0</v>
      </c>
      <c r="O816" s="15">
        <f>IF(B816="","",TEXT(B816,"yyyy-mm"))</f>
        <v>0</v>
      </c>
      <c r="P816" s="25">
        <f>IF(B816="","",WEEKNUM(B816,2))</f>
        <v>0</v>
      </c>
      <c r="Q816" s="38">
        <f>IF(B816="","",IF(E816="Tip","No",IF(E816="Refund","No","Yes")))</f>
        <v>0</v>
      </c>
      <c r="R816" s="25">
        <f>IF(B816="","",IF(E816="Refund",-1,1))</f>
        <v>0</v>
      </c>
      <c r="S816" s="26">
        <f>IF(B816="","",IF(G816="",0,IF(F816="Card",ROUND(G816*CardFeePercent+CardFeeFixed,2),IF(F816="Online deposit",ROUND(G816*CardFeePercent+CardFeeFixed,2),0))))</f>
        <v>0</v>
      </c>
      <c r="T816" s="26">
        <f>IF(B816="","",ROUND(IF(G816="",0,G816)*R816-S816,2))</f>
        <v>0</v>
      </c>
      <c r="U816" s="38">
        <f>IF(B816="","",IF(E816="Tip","Yes","No"))</f>
        <v>0</v>
      </c>
      <c r="V816" s="15">
        <f>IF(B816="","",IF(H816&lt;&gt;"","Sale "&amp;H816,IF(I816&lt;&gt;"","Booking "&amp;I816,IF(E816="Tip","Stylist","Unapplied"))))</f>
        <v>0</v>
      </c>
      <c r="W816" s="39">
        <f>IF(B816="","",IF(G816="","Add - no amount yet",IF(E816="","Add - what was this for?",IF(IF(H816="",FALSE,COUNTIF(Sales!$A$5:$A$1204,H816)=0),"Missing - no sale with that ID",IF(IF(I816="",FALSE,COUNTIF(Appointments!$A$5:$A$1204,I816)=0),"Missing - no booking with that ID",IF(IF(E816="Tip",J816="",FALSE),"Assign - whose tip is it?",IF(IF(E816="Deposit",IF(H816="",I816="",FALSE),FALSE),"Check - deposit not tied to a booking",IF(M816="No","Due - not reconciled yet","OK"))))))))</f>
        <v>0</v>
      </c>
    </row>
    <row r="817" spans="1:23">
      <c r="A817" s="28">
        <f>IF(B817="","",PaymentPrefix&amp;TEXT(ROW()-4,"0000"))</f>
        <v>0</v>
      </c>
      <c r="D817" s="15">
        <f>IF(C817="","",IFERROR(INDEX(Clients!$B$5:$B$504,MATCH(C817,Clients!$A$5:$A$504,0)),"Walk-in"))</f>
        <v>0</v>
      </c>
      <c r="K817" s="15">
        <f>IF(J817="","",IFERROR(INDEX(Staff!$B$5:$B$44,MATCH(J817,Staff!$A$5:$A$44,0)),""))</f>
        <v>0</v>
      </c>
      <c r="O817" s="15">
        <f>IF(B817="","",TEXT(B817,"yyyy-mm"))</f>
        <v>0</v>
      </c>
      <c r="P817" s="25">
        <f>IF(B817="","",WEEKNUM(B817,2))</f>
        <v>0</v>
      </c>
      <c r="Q817" s="38">
        <f>IF(B817="","",IF(E817="Tip","No",IF(E817="Refund","No","Yes")))</f>
        <v>0</v>
      </c>
      <c r="R817" s="25">
        <f>IF(B817="","",IF(E817="Refund",-1,1))</f>
        <v>0</v>
      </c>
      <c r="S817" s="26">
        <f>IF(B817="","",IF(G817="",0,IF(F817="Card",ROUND(G817*CardFeePercent+CardFeeFixed,2),IF(F817="Online deposit",ROUND(G817*CardFeePercent+CardFeeFixed,2),0))))</f>
        <v>0</v>
      </c>
      <c r="T817" s="26">
        <f>IF(B817="","",ROUND(IF(G817="",0,G817)*R817-S817,2))</f>
        <v>0</v>
      </c>
      <c r="U817" s="38">
        <f>IF(B817="","",IF(E817="Tip","Yes","No"))</f>
        <v>0</v>
      </c>
      <c r="V817" s="15">
        <f>IF(B817="","",IF(H817&lt;&gt;"","Sale "&amp;H817,IF(I817&lt;&gt;"","Booking "&amp;I817,IF(E817="Tip","Stylist","Unapplied"))))</f>
        <v>0</v>
      </c>
      <c r="W817" s="39">
        <f>IF(B817="","",IF(G817="","Add - no amount yet",IF(E817="","Add - what was this for?",IF(IF(H817="",FALSE,COUNTIF(Sales!$A$5:$A$1204,H817)=0),"Missing - no sale with that ID",IF(IF(I817="",FALSE,COUNTIF(Appointments!$A$5:$A$1204,I817)=0),"Missing - no booking with that ID",IF(IF(E817="Tip",J817="",FALSE),"Assign - whose tip is it?",IF(IF(E817="Deposit",IF(H817="",I817="",FALSE),FALSE),"Check - deposit not tied to a booking",IF(M817="No","Due - not reconciled yet","OK"))))))))</f>
        <v>0</v>
      </c>
    </row>
    <row r="818" spans="1:23">
      <c r="A818" s="28">
        <f>IF(B818="","",PaymentPrefix&amp;TEXT(ROW()-4,"0000"))</f>
        <v>0</v>
      </c>
      <c r="D818" s="15">
        <f>IF(C818="","",IFERROR(INDEX(Clients!$B$5:$B$504,MATCH(C818,Clients!$A$5:$A$504,0)),"Walk-in"))</f>
        <v>0</v>
      </c>
      <c r="K818" s="15">
        <f>IF(J818="","",IFERROR(INDEX(Staff!$B$5:$B$44,MATCH(J818,Staff!$A$5:$A$44,0)),""))</f>
        <v>0</v>
      </c>
      <c r="O818" s="15">
        <f>IF(B818="","",TEXT(B818,"yyyy-mm"))</f>
        <v>0</v>
      </c>
      <c r="P818" s="25">
        <f>IF(B818="","",WEEKNUM(B818,2))</f>
        <v>0</v>
      </c>
      <c r="Q818" s="38">
        <f>IF(B818="","",IF(E818="Tip","No",IF(E818="Refund","No","Yes")))</f>
        <v>0</v>
      </c>
      <c r="R818" s="25">
        <f>IF(B818="","",IF(E818="Refund",-1,1))</f>
        <v>0</v>
      </c>
      <c r="S818" s="26">
        <f>IF(B818="","",IF(G818="",0,IF(F818="Card",ROUND(G818*CardFeePercent+CardFeeFixed,2),IF(F818="Online deposit",ROUND(G818*CardFeePercent+CardFeeFixed,2),0))))</f>
        <v>0</v>
      </c>
      <c r="T818" s="26">
        <f>IF(B818="","",ROUND(IF(G818="",0,G818)*R818-S818,2))</f>
        <v>0</v>
      </c>
      <c r="U818" s="38">
        <f>IF(B818="","",IF(E818="Tip","Yes","No"))</f>
        <v>0</v>
      </c>
      <c r="V818" s="15">
        <f>IF(B818="","",IF(H818&lt;&gt;"","Sale "&amp;H818,IF(I818&lt;&gt;"","Booking "&amp;I818,IF(E818="Tip","Stylist","Unapplied"))))</f>
        <v>0</v>
      </c>
      <c r="W818" s="39">
        <f>IF(B818="","",IF(G818="","Add - no amount yet",IF(E818="","Add - what was this for?",IF(IF(H818="",FALSE,COUNTIF(Sales!$A$5:$A$1204,H818)=0),"Missing - no sale with that ID",IF(IF(I818="",FALSE,COUNTIF(Appointments!$A$5:$A$1204,I818)=0),"Missing - no booking with that ID",IF(IF(E818="Tip",J818="",FALSE),"Assign - whose tip is it?",IF(IF(E818="Deposit",IF(H818="",I818="",FALSE),FALSE),"Check - deposit not tied to a booking",IF(M818="No","Due - not reconciled yet","OK"))))))))</f>
        <v>0</v>
      </c>
    </row>
    <row r="819" spans="1:23">
      <c r="A819" s="28">
        <f>IF(B819="","",PaymentPrefix&amp;TEXT(ROW()-4,"0000"))</f>
        <v>0</v>
      </c>
      <c r="D819" s="15">
        <f>IF(C819="","",IFERROR(INDEX(Clients!$B$5:$B$504,MATCH(C819,Clients!$A$5:$A$504,0)),"Walk-in"))</f>
        <v>0</v>
      </c>
      <c r="K819" s="15">
        <f>IF(J819="","",IFERROR(INDEX(Staff!$B$5:$B$44,MATCH(J819,Staff!$A$5:$A$44,0)),""))</f>
        <v>0</v>
      </c>
      <c r="O819" s="15">
        <f>IF(B819="","",TEXT(B819,"yyyy-mm"))</f>
        <v>0</v>
      </c>
      <c r="P819" s="25">
        <f>IF(B819="","",WEEKNUM(B819,2))</f>
        <v>0</v>
      </c>
      <c r="Q819" s="38">
        <f>IF(B819="","",IF(E819="Tip","No",IF(E819="Refund","No","Yes")))</f>
        <v>0</v>
      </c>
      <c r="R819" s="25">
        <f>IF(B819="","",IF(E819="Refund",-1,1))</f>
        <v>0</v>
      </c>
      <c r="S819" s="26">
        <f>IF(B819="","",IF(G819="",0,IF(F819="Card",ROUND(G819*CardFeePercent+CardFeeFixed,2),IF(F819="Online deposit",ROUND(G819*CardFeePercent+CardFeeFixed,2),0))))</f>
        <v>0</v>
      </c>
      <c r="T819" s="26">
        <f>IF(B819="","",ROUND(IF(G819="",0,G819)*R819-S819,2))</f>
        <v>0</v>
      </c>
      <c r="U819" s="38">
        <f>IF(B819="","",IF(E819="Tip","Yes","No"))</f>
        <v>0</v>
      </c>
      <c r="V819" s="15">
        <f>IF(B819="","",IF(H819&lt;&gt;"","Sale "&amp;H819,IF(I819&lt;&gt;"","Booking "&amp;I819,IF(E819="Tip","Stylist","Unapplied"))))</f>
        <v>0</v>
      </c>
      <c r="W819" s="39">
        <f>IF(B819="","",IF(G819="","Add - no amount yet",IF(E819="","Add - what was this for?",IF(IF(H819="",FALSE,COUNTIF(Sales!$A$5:$A$1204,H819)=0),"Missing - no sale with that ID",IF(IF(I819="",FALSE,COUNTIF(Appointments!$A$5:$A$1204,I819)=0),"Missing - no booking with that ID",IF(IF(E819="Tip",J819="",FALSE),"Assign - whose tip is it?",IF(IF(E819="Deposit",IF(H819="",I819="",FALSE),FALSE),"Check - deposit not tied to a booking",IF(M819="No","Due - not reconciled yet","OK"))))))))</f>
        <v>0</v>
      </c>
    </row>
    <row r="820" spans="1:23">
      <c r="A820" s="28">
        <f>IF(B820="","",PaymentPrefix&amp;TEXT(ROW()-4,"0000"))</f>
        <v>0</v>
      </c>
      <c r="D820" s="15">
        <f>IF(C820="","",IFERROR(INDEX(Clients!$B$5:$B$504,MATCH(C820,Clients!$A$5:$A$504,0)),"Walk-in"))</f>
        <v>0</v>
      </c>
      <c r="K820" s="15">
        <f>IF(J820="","",IFERROR(INDEX(Staff!$B$5:$B$44,MATCH(J820,Staff!$A$5:$A$44,0)),""))</f>
        <v>0</v>
      </c>
      <c r="O820" s="15">
        <f>IF(B820="","",TEXT(B820,"yyyy-mm"))</f>
        <v>0</v>
      </c>
      <c r="P820" s="25">
        <f>IF(B820="","",WEEKNUM(B820,2))</f>
        <v>0</v>
      </c>
      <c r="Q820" s="38">
        <f>IF(B820="","",IF(E820="Tip","No",IF(E820="Refund","No","Yes")))</f>
        <v>0</v>
      </c>
      <c r="R820" s="25">
        <f>IF(B820="","",IF(E820="Refund",-1,1))</f>
        <v>0</v>
      </c>
      <c r="S820" s="26">
        <f>IF(B820="","",IF(G820="",0,IF(F820="Card",ROUND(G820*CardFeePercent+CardFeeFixed,2),IF(F820="Online deposit",ROUND(G820*CardFeePercent+CardFeeFixed,2),0))))</f>
        <v>0</v>
      </c>
      <c r="T820" s="26">
        <f>IF(B820="","",ROUND(IF(G820="",0,G820)*R820-S820,2))</f>
        <v>0</v>
      </c>
      <c r="U820" s="38">
        <f>IF(B820="","",IF(E820="Tip","Yes","No"))</f>
        <v>0</v>
      </c>
      <c r="V820" s="15">
        <f>IF(B820="","",IF(H820&lt;&gt;"","Sale "&amp;H820,IF(I820&lt;&gt;"","Booking "&amp;I820,IF(E820="Tip","Stylist","Unapplied"))))</f>
        <v>0</v>
      </c>
      <c r="W820" s="39">
        <f>IF(B820="","",IF(G820="","Add - no amount yet",IF(E820="","Add - what was this for?",IF(IF(H820="",FALSE,COUNTIF(Sales!$A$5:$A$1204,H820)=0),"Missing - no sale with that ID",IF(IF(I820="",FALSE,COUNTIF(Appointments!$A$5:$A$1204,I820)=0),"Missing - no booking with that ID",IF(IF(E820="Tip",J820="",FALSE),"Assign - whose tip is it?",IF(IF(E820="Deposit",IF(H820="",I820="",FALSE),FALSE),"Check - deposit not tied to a booking",IF(M820="No","Due - not reconciled yet","OK"))))))))</f>
        <v>0</v>
      </c>
    </row>
    <row r="821" spans="1:23">
      <c r="A821" s="28">
        <f>IF(B821="","",PaymentPrefix&amp;TEXT(ROW()-4,"0000"))</f>
        <v>0</v>
      </c>
      <c r="D821" s="15">
        <f>IF(C821="","",IFERROR(INDEX(Clients!$B$5:$B$504,MATCH(C821,Clients!$A$5:$A$504,0)),"Walk-in"))</f>
        <v>0</v>
      </c>
      <c r="K821" s="15">
        <f>IF(J821="","",IFERROR(INDEX(Staff!$B$5:$B$44,MATCH(J821,Staff!$A$5:$A$44,0)),""))</f>
        <v>0</v>
      </c>
      <c r="O821" s="15">
        <f>IF(B821="","",TEXT(B821,"yyyy-mm"))</f>
        <v>0</v>
      </c>
      <c r="P821" s="25">
        <f>IF(B821="","",WEEKNUM(B821,2))</f>
        <v>0</v>
      </c>
      <c r="Q821" s="38">
        <f>IF(B821="","",IF(E821="Tip","No",IF(E821="Refund","No","Yes")))</f>
        <v>0</v>
      </c>
      <c r="R821" s="25">
        <f>IF(B821="","",IF(E821="Refund",-1,1))</f>
        <v>0</v>
      </c>
      <c r="S821" s="26">
        <f>IF(B821="","",IF(G821="",0,IF(F821="Card",ROUND(G821*CardFeePercent+CardFeeFixed,2),IF(F821="Online deposit",ROUND(G821*CardFeePercent+CardFeeFixed,2),0))))</f>
        <v>0</v>
      </c>
      <c r="T821" s="26">
        <f>IF(B821="","",ROUND(IF(G821="",0,G821)*R821-S821,2))</f>
        <v>0</v>
      </c>
      <c r="U821" s="38">
        <f>IF(B821="","",IF(E821="Tip","Yes","No"))</f>
        <v>0</v>
      </c>
      <c r="V821" s="15">
        <f>IF(B821="","",IF(H821&lt;&gt;"","Sale "&amp;H821,IF(I821&lt;&gt;"","Booking "&amp;I821,IF(E821="Tip","Stylist","Unapplied"))))</f>
        <v>0</v>
      </c>
      <c r="W821" s="39">
        <f>IF(B821="","",IF(G821="","Add - no amount yet",IF(E821="","Add - what was this for?",IF(IF(H821="",FALSE,COUNTIF(Sales!$A$5:$A$1204,H821)=0),"Missing - no sale with that ID",IF(IF(I821="",FALSE,COUNTIF(Appointments!$A$5:$A$1204,I821)=0),"Missing - no booking with that ID",IF(IF(E821="Tip",J821="",FALSE),"Assign - whose tip is it?",IF(IF(E821="Deposit",IF(H821="",I821="",FALSE),FALSE),"Check - deposit not tied to a booking",IF(M821="No","Due - not reconciled yet","OK"))))))))</f>
        <v>0</v>
      </c>
    </row>
    <row r="822" spans="1:23">
      <c r="A822" s="28">
        <f>IF(B822="","",PaymentPrefix&amp;TEXT(ROW()-4,"0000"))</f>
        <v>0</v>
      </c>
      <c r="D822" s="15">
        <f>IF(C822="","",IFERROR(INDEX(Clients!$B$5:$B$504,MATCH(C822,Clients!$A$5:$A$504,0)),"Walk-in"))</f>
        <v>0</v>
      </c>
      <c r="K822" s="15">
        <f>IF(J822="","",IFERROR(INDEX(Staff!$B$5:$B$44,MATCH(J822,Staff!$A$5:$A$44,0)),""))</f>
        <v>0</v>
      </c>
      <c r="O822" s="15">
        <f>IF(B822="","",TEXT(B822,"yyyy-mm"))</f>
        <v>0</v>
      </c>
      <c r="P822" s="25">
        <f>IF(B822="","",WEEKNUM(B822,2))</f>
        <v>0</v>
      </c>
      <c r="Q822" s="38">
        <f>IF(B822="","",IF(E822="Tip","No",IF(E822="Refund","No","Yes")))</f>
        <v>0</v>
      </c>
      <c r="R822" s="25">
        <f>IF(B822="","",IF(E822="Refund",-1,1))</f>
        <v>0</v>
      </c>
      <c r="S822" s="26">
        <f>IF(B822="","",IF(G822="",0,IF(F822="Card",ROUND(G822*CardFeePercent+CardFeeFixed,2),IF(F822="Online deposit",ROUND(G822*CardFeePercent+CardFeeFixed,2),0))))</f>
        <v>0</v>
      </c>
      <c r="T822" s="26">
        <f>IF(B822="","",ROUND(IF(G822="",0,G822)*R822-S822,2))</f>
        <v>0</v>
      </c>
      <c r="U822" s="38">
        <f>IF(B822="","",IF(E822="Tip","Yes","No"))</f>
        <v>0</v>
      </c>
      <c r="V822" s="15">
        <f>IF(B822="","",IF(H822&lt;&gt;"","Sale "&amp;H822,IF(I822&lt;&gt;"","Booking "&amp;I822,IF(E822="Tip","Stylist","Unapplied"))))</f>
        <v>0</v>
      </c>
      <c r="W822" s="39">
        <f>IF(B822="","",IF(G822="","Add - no amount yet",IF(E822="","Add - what was this for?",IF(IF(H822="",FALSE,COUNTIF(Sales!$A$5:$A$1204,H822)=0),"Missing - no sale with that ID",IF(IF(I822="",FALSE,COUNTIF(Appointments!$A$5:$A$1204,I822)=0),"Missing - no booking with that ID",IF(IF(E822="Tip",J822="",FALSE),"Assign - whose tip is it?",IF(IF(E822="Deposit",IF(H822="",I822="",FALSE),FALSE),"Check - deposit not tied to a booking",IF(M822="No","Due - not reconciled yet","OK"))))))))</f>
        <v>0</v>
      </c>
    </row>
    <row r="823" spans="1:23">
      <c r="A823" s="28">
        <f>IF(B823="","",PaymentPrefix&amp;TEXT(ROW()-4,"0000"))</f>
        <v>0</v>
      </c>
      <c r="D823" s="15">
        <f>IF(C823="","",IFERROR(INDEX(Clients!$B$5:$B$504,MATCH(C823,Clients!$A$5:$A$504,0)),"Walk-in"))</f>
        <v>0</v>
      </c>
      <c r="K823" s="15">
        <f>IF(J823="","",IFERROR(INDEX(Staff!$B$5:$B$44,MATCH(J823,Staff!$A$5:$A$44,0)),""))</f>
        <v>0</v>
      </c>
      <c r="O823" s="15">
        <f>IF(B823="","",TEXT(B823,"yyyy-mm"))</f>
        <v>0</v>
      </c>
      <c r="P823" s="25">
        <f>IF(B823="","",WEEKNUM(B823,2))</f>
        <v>0</v>
      </c>
      <c r="Q823" s="38">
        <f>IF(B823="","",IF(E823="Tip","No",IF(E823="Refund","No","Yes")))</f>
        <v>0</v>
      </c>
      <c r="R823" s="25">
        <f>IF(B823="","",IF(E823="Refund",-1,1))</f>
        <v>0</v>
      </c>
      <c r="S823" s="26">
        <f>IF(B823="","",IF(G823="",0,IF(F823="Card",ROUND(G823*CardFeePercent+CardFeeFixed,2),IF(F823="Online deposit",ROUND(G823*CardFeePercent+CardFeeFixed,2),0))))</f>
        <v>0</v>
      </c>
      <c r="T823" s="26">
        <f>IF(B823="","",ROUND(IF(G823="",0,G823)*R823-S823,2))</f>
        <v>0</v>
      </c>
      <c r="U823" s="38">
        <f>IF(B823="","",IF(E823="Tip","Yes","No"))</f>
        <v>0</v>
      </c>
      <c r="V823" s="15">
        <f>IF(B823="","",IF(H823&lt;&gt;"","Sale "&amp;H823,IF(I823&lt;&gt;"","Booking "&amp;I823,IF(E823="Tip","Stylist","Unapplied"))))</f>
        <v>0</v>
      </c>
      <c r="W823" s="39">
        <f>IF(B823="","",IF(G823="","Add - no amount yet",IF(E823="","Add - what was this for?",IF(IF(H823="",FALSE,COUNTIF(Sales!$A$5:$A$1204,H823)=0),"Missing - no sale with that ID",IF(IF(I823="",FALSE,COUNTIF(Appointments!$A$5:$A$1204,I823)=0),"Missing - no booking with that ID",IF(IF(E823="Tip",J823="",FALSE),"Assign - whose tip is it?",IF(IF(E823="Deposit",IF(H823="",I823="",FALSE),FALSE),"Check - deposit not tied to a booking",IF(M823="No","Due - not reconciled yet","OK"))))))))</f>
        <v>0</v>
      </c>
    </row>
    <row r="824" spans="1:23">
      <c r="A824" s="28">
        <f>IF(B824="","",PaymentPrefix&amp;TEXT(ROW()-4,"0000"))</f>
        <v>0</v>
      </c>
      <c r="D824" s="15">
        <f>IF(C824="","",IFERROR(INDEX(Clients!$B$5:$B$504,MATCH(C824,Clients!$A$5:$A$504,0)),"Walk-in"))</f>
        <v>0</v>
      </c>
      <c r="K824" s="15">
        <f>IF(J824="","",IFERROR(INDEX(Staff!$B$5:$B$44,MATCH(J824,Staff!$A$5:$A$44,0)),""))</f>
        <v>0</v>
      </c>
      <c r="O824" s="15">
        <f>IF(B824="","",TEXT(B824,"yyyy-mm"))</f>
        <v>0</v>
      </c>
      <c r="P824" s="25">
        <f>IF(B824="","",WEEKNUM(B824,2))</f>
        <v>0</v>
      </c>
      <c r="Q824" s="38">
        <f>IF(B824="","",IF(E824="Tip","No",IF(E824="Refund","No","Yes")))</f>
        <v>0</v>
      </c>
      <c r="R824" s="25">
        <f>IF(B824="","",IF(E824="Refund",-1,1))</f>
        <v>0</v>
      </c>
      <c r="S824" s="26">
        <f>IF(B824="","",IF(G824="",0,IF(F824="Card",ROUND(G824*CardFeePercent+CardFeeFixed,2),IF(F824="Online deposit",ROUND(G824*CardFeePercent+CardFeeFixed,2),0))))</f>
        <v>0</v>
      </c>
      <c r="T824" s="26">
        <f>IF(B824="","",ROUND(IF(G824="",0,G824)*R824-S824,2))</f>
        <v>0</v>
      </c>
      <c r="U824" s="38">
        <f>IF(B824="","",IF(E824="Tip","Yes","No"))</f>
        <v>0</v>
      </c>
      <c r="V824" s="15">
        <f>IF(B824="","",IF(H824&lt;&gt;"","Sale "&amp;H824,IF(I824&lt;&gt;"","Booking "&amp;I824,IF(E824="Tip","Stylist","Unapplied"))))</f>
        <v>0</v>
      </c>
      <c r="W824" s="39">
        <f>IF(B824="","",IF(G824="","Add - no amount yet",IF(E824="","Add - what was this for?",IF(IF(H824="",FALSE,COUNTIF(Sales!$A$5:$A$1204,H824)=0),"Missing - no sale with that ID",IF(IF(I824="",FALSE,COUNTIF(Appointments!$A$5:$A$1204,I824)=0),"Missing - no booking with that ID",IF(IF(E824="Tip",J824="",FALSE),"Assign - whose tip is it?",IF(IF(E824="Deposit",IF(H824="",I824="",FALSE),FALSE),"Check - deposit not tied to a booking",IF(M824="No","Due - not reconciled yet","OK"))))))))</f>
        <v>0</v>
      </c>
    </row>
    <row r="825" spans="1:23">
      <c r="A825" s="28">
        <f>IF(B825="","",PaymentPrefix&amp;TEXT(ROW()-4,"0000"))</f>
        <v>0</v>
      </c>
      <c r="D825" s="15">
        <f>IF(C825="","",IFERROR(INDEX(Clients!$B$5:$B$504,MATCH(C825,Clients!$A$5:$A$504,0)),"Walk-in"))</f>
        <v>0</v>
      </c>
      <c r="K825" s="15">
        <f>IF(J825="","",IFERROR(INDEX(Staff!$B$5:$B$44,MATCH(J825,Staff!$A$5:$A$44,0)),""))</f>
        <v>0</v>
      </c>
      <c r="O825" s="15">
        <f>IF(B825="","",TEXT(B825,"yyyy-mm"))</f>
        <v>0</v>
      </c>
      <c r="P825" s="25">
        <f>IF(B825="","",WEEKNUM(B825,2))</f>
        <v>0</v>
      </c>
      <c r="Q825" s="38">
        <f>IF(B825="","",IF(E825="Tip","No",IF(E825="Refund","No","Yes")))</f>
        <v>0</v>
      </c>
      <c r="R825" s="25">
        <f>IF(B825="","",IF(E825="Refund",-1,1))</f>
        <v>0</v>
      </c>
      <c r="S825" s="26">
        <f>IF(B825="","",IF(G825="",0,IF(F825="Card",ROUND(G825*CardFeePercent+CardFeeFixed,2),IF(F825="Online deposit",ROUND(G825*CardFeePercent+CardFeeFixed,2),0))))</f>
        <v>0</v>
      </c>
      <c r="T825" s="26">
        <f>IF(B825="","",ROUND(IF(G825="",0,G825)*R825-S825,2))</f>
        <v>0</v>
      </c>
      <c r="U825" s="38">
        <f>IF(B825="","",IF(E825="Tip","Yes","No"))</f>
        <v>0</v>
      </c>
      <c r="V825" s="15">
        <f>IF(B825="","",IF(H825&lt;&gt;"","Sale "&amp;H825,IF(I825&lt;&gt;"","Booking "&amp;I825,IF(E825="Tip","Stylist","Unapplied"))))</f>
        <v>0</v>
      </c>
      <c r="W825" s="39">
        <f>IF(B825="","",IF(G825="","Add - no amount yet",IF(E825="","Add - what was this for?",IF(IF(H825="",FALSE,COUNTIF(Sales!$A$5:$A$1204,H825)=0),"Missing - no sale with that ID",IF(IF(I825="",FALSE,COUNTIF(Appointments!$A$5:$A$1204,I825)=0),"Missing - no booking with that ID",IF(IF(E825="Tip",J825="",FALSE),"Assign - whose tip is it?",IF(IF(E825="Deposit",IF(H825="",I825="",FALSE),FALSE),"Check - deposit not tied to a booking",IF(M825="No","Due - not reconciled yet","OK"))))))))</f>
        <v>0</v>
      </c>
    </row>
    <row r="826" spans="1:23">
      <c r="A826" s="28">
        <f>IF(B826="","",PaymentPrefix&amp;TEXT(ROW()-4,"0000"))</f>
        <v>0</v>
      </c>
      <c r="D826" s="15">
        <f>IF(C826="","",IFERROR(INDEX(Clients!$B$5:$B$504,MATCH(C826,Clients!$A$5:$A$504,0)),"Walk-in"))</f>
        <v>0</v>
      </c>
      <c r="K826" s="15">
        <f>IF(J826="","",IFERROR(INDEX(Staff!$B$5:$B$44,MATCH(J826,Staff!$A$5:$A$44,0)),""))</f>
        <v>0</v>
      </c>
      <c r="O826" s="15">
        <f>IF(B826="","",TEXT(B826,"yyyy-mm"))</f>
        <v>0</v>
      </c>
      <c r="P826" s="25">
        <f>IF(B826="","",WEEKNUM(B826,2))</f>
        <v>0</v>
      </c>
      <c r="Q826" s="38">
        <f>IF(B826="","",IF(E826="Tip","No",IF(E826="Refund","No","Yes")))</f>
        <v>0</v>
      </c>
      <c r="R826" s="25">
        <f>IF(B826="","",IF(E826="Refund",-1,1))</f>
        <v>0</v>
      </c>
      <c r="S826" s="26">
        <f>IF(B826="","",IF(G826="",0,IF(F826="Card",ROUND(G826*CardFeePercent+CardFeeFixed,2),IF(F826="Online deposit",ROUND(G826*CardFeePercent+CardFeeFixed,2),0))))</f>
        <v>0</v>
      </c>
      <c r="T826" s="26">
        <f>IF(B826="","",ROUND(IF(G826="",0,G826)*R826-S826,2))</f>
        <v>0</v>
      </c>
      <c r="U826" s="38">
        <f>IF(B826="","",IF(E826="Tip","Yes","No"))</f>
        <v>0</v>
      </c>
      <c r="V826" s="15">
        <f>IF(B826="","",IF(H826&lt;&gt;"","Sale "&amp;H826,IF(I826&lt;&gt;"","Booking "&amp;I826,IF(E826="Tip","Stylist","Unapplied"))))</f>
        <v>0</v>
      </c>
      <c r="W826" s="39">
        <f>IF(B826="","",IF(G826="","Add - no amount yet",IF(E826="","Add - what was this for?",IF(IF(H826="",FALSE,COUNTIF(Sales!$A$5:$A$1204,H826)=0),"Missing - no sale with that ID",IF(IF(I826="",FALSE,COUNTIF(Appointments!$A$5:$A$1204,I826)=0),"Missing - no booking with that ID",IF(IF(E826="Tip",J826="",FALSE),"Assign - whose tip is it?",IF(IF(E826="Deposit",IF(H826="",I826="",FALSE),FALSE),"Check - deposit not tied to a booking",IF(M826="No","Due - not reconciled yet","OK"))))))))</f>
        <v>0</v>
      </c>
    </row>
    <row r="827" spans="1:23">
      <c r="A827" s="28">
        <f>IF(B827="","",PaymentPrefix&amp;TEXT(ROW()-4,"0000"))</f>
        <v>0</v>
      </c>
      <c r="D827" s="15">
        <f>IF(C827="","",IFERROR(INDEX(Clients!$B$5:$B$504,MATCH(C827,Clients!$A$5:$A$504,0)),"Walk-in"))</f>
        <v>0</v>
      </c>
      <c r="K827" s="15">
        <f>IF(J827="","",IFERROR(INDEX(Staff!$B$5:$B$44,MATCH(J827,Staff!$A$5:$A$44,0)),""))</f>
        <v>0</v>
      </c>
      <c r="O827" s="15">
        <f>IF(B827="","",TEXT(B827,"yyyy-mm"))</f>
        <v>0</v>
      </c>
      <c r="P827" s="25">
        <f>IF(B827="","",WEEKNUM(B827,2))</f>
        <v>0</v>
      </c>
      <c r="Q827" s="38">
        <f>IF(B827="","",IF(E827="Tip","No",IF(E827="Refund","No","Yes")))</f>
        <v>0</v>
      </c>
      <c r="R827" s="25">
        <f>IF(B827="","",IF(E827="Refund",-1,1))</f>
        <v>0</v>
      </c>
      <c r="S827" s="26">
        <f>IF(B827="","",IF(G827="",0,IF(F827="Card",ROUND(G827*CardFeePercent+CardFeeFixed,2),IF(F827="Online deposit",ROUND(G827*CardFeePercent+CardFeeFixed,2),0))))</f>
        <v>0</v>
      </c>
      <c r="T827" s="26">
        <f>IF(B827="","",ROUND(IF(G827="",0,G827)*R827-S827,2))</f>
        <v>0</v>
      </c>
      <c r="U827" s="38">
        <f>IF(B827="","",IF(E827="Tip","Yes","No"))</f>
        <v>0</v>
      </c>
      <c r="V827" s="15">
        <f>IF(B827="","",IF(H827&lt;&gt;"","Sale "&amp;H827,IF(I827&lt;&gt;"","Booking "&amp;I827,IF(E827="Tip","Stylist","Unapplied"))))</f>
        <v>0</v>
      </c>
      <c r="W827" s="39">
        <f>IF(B827="","",IF(G827="","Add - no amount yet",IF(E827="","Add - what was this for?",IF(IF(H827="",FALSE,COUNTIF(Sales!$A$5:$A$1204,H827)=0),"Missing - no sale with that ID",IF(IF(I827="",FALSE,COUNTIF(Appointments!$A$5:$A$1204,I827)=0),"Missing - no booking with that ID",IF(IF(E827="Tip",J827="",FALSE),"Assign - whose tip is it?",IF(IF(E827="Deposit",IF(H827="",I827="",FALSE),FALSE),"Check - deposit not tied to a booking",IF(M827="No","Due - not reconciled yet","OK"))))))))</f>
        <v>0</v>
      </c>
    </row>
    <row r="828" spans="1:23">
      <c r="A828" s="28">
        <f>IF(B828="","",PaymentPrefix&amp;TEXT(ROW()-4,"0000"))</f>
        <v>0</v>
      </c>
      <c r="D828" s="15">
        <f>IF(C828="","",IFERROR(INDEX(Clients!$B$5:$B$504,MATCH(C828,Clients!$A$5:$A$504,0)),"Walk-in"))</f>
        <v>0</v>
      </c>
      <c r="K828" s="15">
        <f>IF(J828="","",IFERROR(INDEX(Staff!$B$5:$B$44,MATCH(J828,Staff!$A$5:$A$44,0)),""))</f>
        <v>0</v>
      </c>
      <c r="O828" s="15">
        <f>IF(B828="","",TEXT(B828,"yyyy-mm"))</f>
        <v>0</v>
      </c>
      <c r="P828" s="25">
        <f>IF(B828="","",WEEKNUM(B828,2))</f>
        <v>0</v>
      </c>
      <c r="Q828" s="38">
        <f>IF(B828="","",IF(E828="Tip","No",IF(E828="Refund","No","Yes")))</f>
        <v>0</v>
      </c>
      <c r="R828" s="25">
        <f>IF(B828="","",IF(E828="Refund",-1,1))</f>
        <v>0</v>
      </c>
      <c r="S828" s="26">
        <f>IF(B828="","",IF(G828="",0,IF(F828="Card",ROUND(G828*CardFeePercent+CardFeeFixed,2),IF(F828="Online deposit",ROUND(G828*CardFeePercent+CardFeeFixed,2),0))))</f>
        <v>0</v>
      </c>
      <c r="T828" s="26">
        <f>IF(B828="","",ROUND(IF(G828="",0,G828)*R828-S828,2))</f>
        <v>0</v>
      </c>
      <c r="U828" s="38">
        <f>IF(B828="","",IF(E828="Tip","Yes","No"))</f>
        <v>0</v>
      </c>
      <c r="V828" s="15">
        <f>IF(B828="","",IF(H828&lt;&gt;"","Sale "&amp;H828,IF(I828&lt;&gt;"","Booking "&amp;I828,IF(E828="Tip","Stylist","Unapplied"))))</f>
        <v>0</v>
      </c>
      <c r="W828" s="39">
        <f>IF(B828="","",IF(G828="","Add - no amount yet",IF(E828="","Add - what was this for?",IF(IF(H828="",FALSE,COUNTIF(Sales!$A$5:$A$1204,H828)=0),"Missing - no sale with that ID",IF(IF(I828="",FALSE,COUNTIF(Appointments!$A$5:$A$1204,I828)=0),"Missing - no booking with that ID",IF(IF(E828="Tip",J828="",FALSE),"Assign - whose tip is it?",IF(IF(E828="Deposit",IF(H828="",I828="",FALSE),FALSE),"Check - deposit not tied to a booking",IF(M828="No","Due - not reconciled yet","OK"))))))))</f>
        <v>0</v>
      </c>
    </row>
    <row r="829" spans="1:23">
      <c r="A829" s="28">
        <f>IF(B829="","",PaymentPrefix&amp;TEXT(ROW()-4,"0000"))</f>
        <v>0</v>
      </c>
      <c r="D829" s="15">
        <f>IF(C829="","",IFERROR(INDEX(Clients!$B$5:$B$504,MATCH(C829,Clients!$A$5:$A$504,0)),"Walk-in"))</f>
        <v>0</v>
      </c>
      <c r="K829" s="15">
        <f>IF(J829="","",IFERROR(INDEX(Staff!$B$5:$B$44,MATCH(J829,Staff!$A$5:$A$44,0)),""))</f>
        <v>0</v>
      </c>
      <c r="O829" s="15">
        <f>IF(B829="","",TEXT(B829,"yyyy-mm"))</f>
        <v>0</v>
      </c>
      <c r="P829" s="25">
        <f>IF(B829="","",WEEKNUM(B829,2))</f>
        <v>0</v>
      </c>
      <c r="Q829" s="38">
        <f>IF(B829="","",IF(E829="Tip","No",IF(E829="Refund","No","Yes")))</f>
        <v>0</v>
      </c>
      <c r="R829" s="25">
        <f>IF(B829="","",IF(E829="Refund",-1,1))</f>
        <v>0</v>
      </c>
      <c r="S829" s="26">
        <f>IF(B829="","",IF(G829="",0,IF(F829="Card",ROUND(G829*CardFeePercent+CardFeeFixed,2),IF(F829="Online deposit",ROUND(G829*CardFeePercent+CardFeeFixed,2),0))))</f>
        <v>0</v>
      </c>
      <c r="T829" s="26">
        <f>IF(B829="","",ROUND(IF(G829="",0,G829)*R829-S829,2))</f>
        <v>0</v>
      </c>
      <c r="U829" s="38">
        <f>IF(B829="","",IF(E829="Tip","Yes","No"))</f>
        <v>0</v>
      </c>
      <c r="V829" s="15">
        <f>IF(B829="","",IF(H829&lt;&gt;"","Sale "&amp;H829,IF(I829&lt;&gt;"","Booking "&amp;I829,IF(E829="Tip","Stylist","Unapplied"))))</f>
        <v>0</v>
      </c>
      <c r="W829" s="39">
        <f>IF(B829="","",IF(G829="","Add - no amount yet",IF(E829="","Add - what was this for?",IF(IF(H829="",FALSE,COUNTIF(Sales!$A$5:$A$1204,H829)=0),"Missing - no sale with that ID",IF(IF(I829="",FALSE,COUNTIF(Appointments!$A$5:$A$1204,I829)=0),"Missing - no booking with that ID",IF(IF(E829="Tip",J829="",FALSE),"Assign - whose tip is it?",IF(IF(E829="Deposit",IF(H829="",I829="",FALSE),FALSE),"Check - deposit not tied to a booking",IF(M829="No","Due - not reconciled yet","OK"))))))))</f>
        <v>0</v>
      </c>
    </row>
    <row r="830" spans="1:23">
      <c r="A830" s="28">
        <f>IF(B830="","",PaymentPrefix&amp;TEXT(ROW()-4,"0000"))</f>
        <v>0</v>
      </c>
      <c r="D830" s="15">
        <f>IF(C830="","",IFERROR(INDEX(Clients!$B$5:$B$504,MATCH(C830,Clients!$A$5:$A$504,0)),"Walk-in"))</f>
        <v>0</v>
      </c>
      <c r="K830" s="15">
        <f>IF(J830="","",IFERROR(INDEX(Staff!$B$5:$B$44,MATCH(J830,Staff!$A$5:$A$44,0)),""))</f>
        <v>0</v>
      </c>
      <c r="O830" s="15">
        <f>IF(B830="","",TEXT(B830,"yyyy-mm"))</f>
        <v>0</v>
      </c>
      <c r="P830" s="25">
        <f>IF(B830="","",WEEKNUM(B830,2))</f>
        <v>0</v>
      </c>
      <c r="Q830" s="38">
        <f>IF(B830="","",IF(E830="Tip","No",IF(E830="Refund","No","Yes")))</f>
        <v>0</v>
      </c>
      <c r="R830" s="25">
        <f>IF(B830="","",IF(E830="Refund",-1,1))</f>
        <v>0</v>
      </c>
      <c r="S830" s="26">
        <f>IF(B830="","",IF(G830="",0,IF(F830="Card",ROUND(G830*CardFeePercent+CardFeeFixed,2),IF(F830="Online deposit",ROUND(G830*CardFeePercent+CardFeeFixed,2),0))))</f>
        <v>0</v>
      </c>
      <c r="T830" s="26">
        <f>IF(B830="","",ROUND(IF(G830="",0,G830)*R830-S830,2))</f>
        <v>0</v>
      </c>
      <c r="U830" s="38">
        <f>IF(B830="","",IF(E830="Tip","Yes","No"))</f>
        <v>0</v>
      </c>
      <c r="V830" s="15">
        <f>IF(B830="","",IF(H830&lt;&gt;"","Sale "&amp;H830,IF(I830&lt;&gt;"","Booking "&amp;I830,IF(E830="Tip","Stylist","Unapplied"))))</f>
        <v>0</v>
      </c>
      <c r="W830" s="39">
        <f>IF(B830="","",IF(G830="","Add - no amount yet",IF(E830="","Add - what was this for?",IF(IF(H830="",FALSE,COUNTIF(Sales!$A$5:$A$1204,H830)=0),"Missing - no sale with that ID",IF(IF(I830="",FALSE,COUNTIF(Appointments!$A$5:$A$1204,I830)=0),"Missing - no booking with that ID",IF(IF(E830="Tip",J830="",FALSE),"Assign - whose tip is it?",IF(IF(E830="Deposit",IF(H830="",I830="",FALSE),FALSE),"Check - deposit not tied to a booking",IF(M830="No","Due - not reconciled yet","OK"))))))))</f>
        <v>0</v>
      </c>
    </row>
    <row r="831" spans="1:23">
      <c r="A831" s="28">
        <f>IF(B831="","",PaymentPrefix&amp;TEXT(ROW()-4,"0000"))</f>
        <v>0</v>
      </c>
      <c r="D831" s="15">
        <f>IF(C831="","",IFERROR(INDEX(Clients!$B$5:$B$504,MATCH(C831,Clients!$A$5:$A$504,0)),"Walk-in"))</f>
        <v>0</v>
      </c>
      <c r="K831" s="15">
        <f>IF(J831="","",IFERROR(INDEX(Staff!$B$5:$B$44,MATCH(J831,Staff!$A$5:$A$44,0)),""))</f>
        <v>0</v>
      </c>
      <c r="O831" s="15">
        <f>IF(B831="","",TEXT(B831,"yyyy-mm"))</f>
        <v>0</v>
      </c>
      <c r="P831" s="25">
        <f>IF(B831="","",WEEKNUM(B831,2))</f>
        <v>0</v>
      </c>
      <c r="Q831" s="38">
        <f>IF(B831="","",IF(E831="Tip","No",IF(E831="Refund","No","Yes")))</f>
        <v>0</v>
      </c>
      <c r="R831" s="25">
        <f>IF(B831="","",IF(E831="Refund",-1,1))</f>
        <v>0</v>
      </c>
      <c r="S831" s="26">
        <f>IF(B831="","",IF(G831="",0,IF(F831="Card",ROUND(G831*CardFeePercent+CardFeeFixed,2),IF(F831="Online deposit",ROUND(G831*CardFeePercent+CardFeeFixed,2),0))))</f>
        <v>0</v>
      </c>
      <c r="T831" s="26">
        <f>IF(B831="","",ROUND(IF(G831="",0,G831)*R831-S831,2))</f>
        <v>0</v>
      </c>
      <c r="U831" s="38">
        <f>IF(B831="","",IF(E831="Tip","Yes","No"))</f>
        <v>0</v>
      </c>
      <c r="V831" s="15">
        <f>IF(B831="","",IF(H831&lt;&gt;"","Sale "&amp;H831,IF(I831&lt;&gt;"","Booking "&amp;I831,IF(E831="Tip","Stylist","Unapplied"))))</f>
        <v>0</v>
      </c>
      <c r="W831" s="39">
        <f>IF(B831="","",IF(G831="","Add - no amount yet",IF(E831="","Add - what was this for?",IF(IF(H831="",FALSE,COUNTIF(Sales!$A$5:$A$1204,H831)=0),"Missing - no sale with that ID",IF(IF(I831="",FALSE,COUNTIF(Appointments!$A$5:$A$1204,I831)=0),"Missing - no booking with that ID",IF(IF(E831="Tip",J831="",FALSE),"Assign - whose tip is it?",IF(IF(E831="Deposit",IF(H831="",I831="",FALSE),FALSE),"Check - deposit not tied to a booking",IF(M831="No","Due - not reconciled yet","OK"))))))))</f>
        <v>0</v>
      </c>
    </row>
    <row r="832" spans="1:23">
      <c r="A832" s="28">
        <f>IF(B832="","",PaymentPrefix&amp;TEXT(ROW()-4,"0000"))</f>
        <v>0</v>
      </c>
      <c r="D832" s="15">
        <f>IF(C832="","",IFERROR(INDEX(Clients!$B$5:$B$504,MATCH(C832,Clients!$A$5:$A$504,0)),"Walk-in"))</f>
        <v>0</v>
      </c>
      <c r="K832" s="15">
        <f>IF(J832="","",IFERROR(INDEX(Staff!$B$5:$B$44,MATCH(J832,Staff!$A$5:$A$44,0)),""))</f>
        <v>0</v>
      </c>
      <c r="O832" s="15">
        <f>IF(B832="","",TEXT(B832,"yyyy-mm"))</f>
        <v>0</v>
      </c>
      <c r="P832" s="25">
        <f>IF(B832="","",WEEKNUM(B832,2))</f>
        <v>0</v>
      </c>
      <c r="Q832" s="38">
        <f>IF(B832="","",IF(E832="Tip","No",IF(E832="Refund","No","Yes")))</f>
        <v>0</v>
      </c>
      <c r="R832" s="25">
        <f>IF(B832="","",IF(E832="Refund",-1,1))</f>
        <v>0</v>
      </c>
      <c r="S832" s="26">
        <f>IF(B832="","",IF(G832="",0,IF(F832="Card",ROUND(G832*CardFeePercent+CardFeeFixed,2),IF(F832="Online deposit",ROUND(G832*CardFeePercent+CardFeeFixed,2),0))))</f>
        <v>0</v>
      </c>
      <c r="T832" s="26">
        <f>IF(B832="","",ROUND(IF(G832="",0,G832)*R832-S832,2))</f>
        <v>0</v>
      </c>
      <c r="U832" s="38">
        <f>IF(B832="","",IF(E832="Tip","Yes","No"))</f>
        <v>0</v>
      </c>
      <c r="V832" s="15">
        <f>IF(B832="","",IF(H832&lt;&gt;"","Sale "&amp;H832,IF(I832&lt;&gt;"","Booking "&amp;I832,IF(E832="Tip","Stylist","Unapplied"))))</f>
        <v>0</v>
      </c>
      <c r="W832" s="39">
        <f>IF(B832="","",IF(G832="","Add - no amount yet",IF(E832="","Add - what was this for?",IF(IF(H832="",FALSE,COUNTIF(Sales!$A$5:$A$1204,H832)=0),"Missing - no sale with that ID",IF(IF(I832="",FALSE,COUNTIF(Appointments!$A$5:$A$1204,I832)=0),"Missing - no booking with that ID",IF(IF(E832="Tip",J832="",FALSE),"Assign - whose tip is it?",IF(IF(E832="Deposit",IF(H832="",I832="",FALSE),FALSE),"Check - deposit not tied to a booking",IF(M832="No","Due - not reconciled yet","OK"))))))))</f>
        <v>0</v>
      </c>
    </row>
    <row r="833" spans="1:23">
      <c r="A833" s="28">
        <f>IF(B833="","",PaymentPrefix&amp;TEXT(ROW()-4,"0000"))</f>
        <v>0</v>
      </c>
      <c r="D833" s="15">
        <f>IF(C833="","",IFERROR(INDEX(Clients!$B$5:$B$504,MATCH(C833,Clients!$A$5:$A$504,0)),"Walk-in"))</f>
        <v>0</v>
      </c>
      <c r="K833" s="15">
        <f>IF(J833="","",IFERROR(INDEX(Staff!$B$5:$B$44,MATCH(J833,Staff!$A$5:$A$44,0)),""))</f>
        <v>0</v>
      </c>
      <c r="O833" s="15">
        <f>IF(B833="","",TEXT(B833,"yyyy-mm"))</f>
        <v>0</v>
      </c>
      <c r="P833" s="25">
        <f>IF(B833="","",WEEKNUM(B833,2))</f>
        <v>0</v>
      </c>
      <c r="Q833" s="38">
        <f>IF(B833="","",IF(E833="Tip","No",IF(E833="Refund","No","Yes")))</f>
        <v>0</v>
      </c>
      <c r="R833" s="25">
        <f>IF(B833="","",IF(E833="Refund",-1,1))</f>
        <v>0</v>
      </c>
      <c r="S833" s="26">
        <f>IF(B833="","",IF(G833="",0,IF(F833="Card",ROUND(G833*CardFeePercent+CardFeeFixed,2),IF(F833="Online deposit",ROUND(G833*CardFeePercent+CardFeeFixed,2),0))))</f>
        <v>0</v>
      </c>
      <c r="T833" s="26">
        <f>IF(B833="","",ROUND(IF(G833="",0,G833)*R833-S833,2))</f>
        <v>0</v>
      </c>
      <c r="U833" s="38">
        <f>IF(B833="","",IF(E833="Tip","Yes","No"))</f>
        <v>0</v>
      </c>
      <c r="V833" s="15">
        <f>IF(B833="","",IF(H833&lt;&gt;"","Sale "&amp;H833,IF(I833&lt;&gt;"","Booking "&amp;I833,IF(E833="Tip","Stylist","Unapplied"))))</f>
        <v>0</v>
      </c>
      <c r="W833" s="39">
        <f>IF(B833="","",IF(G833="","Add - no amount yet",IF(E833="","Add - what was this for?",IF(IF(H833="",FALSE,COUNTIF(Sales!$A$5:$A$1204,H833)=0),"Missing - no sale with that ID",IF(IF(I833="",FALSE,COUNTIF(Appointments!$A$5:$A$1204,I833)=0),"Missing - no booking with that ID",IF(IF(E833="Tip",J833="",FALSE),"Assign - whose tip is it?",IF(IF(E833="Deposit",IF(H833="",I833="",FALSE),FALSE),"Check - deposit not tied to a booking",IF(M833="No","Due - not reconciled yet","OK"))))))))</f>
        <v>0</v>
      </c>
    </row>
    <row r="834" spans="1:23">
      <c r="A834" s="28">
        <f>IF(B834="","",PaymentPrefix&amp;TEXT(ROW()-4,"0000"))</f>
        <v>0</v>
      </c>
      <c r="D834" s="15">
        <f>IF(C834="","",IFERROR(INDEX(Clients!$B$5:$B$504,MATCH(C834,Clients!$A$5:$A$504,0)),"Walk-in"))</f>
        <v>0</v>
      </c>
      <c r="K834" s="15">
        <f>IF(J834="","",IFERROR(INDEX(Staff!$B$5:$B$44,MATCH(J834,Staff!$A$5:$A$44,0)),""))</f>
        <v>0</v>
      </c>
      <c r="O834" s="15">
        <f>IF(B834="","",TEXT(B834,"yyyy-mm"))</f>
        <v>0</v>
      </c>
      <c r="P834" s="25">
        <f>IF(B834="","",WEEKNUM(B834,2))</f>
        <v>0</v>
      </c>
      <c r="Q834" s="38">
        <f>IF(B834="","",IF(E834="Tip","No",IF(E834="Refund","No","Yes")))</f>
        <v>0</v>
      </c>
      <c r="R834" s="25">
        <f>IF(B834="","",IF(E834="Refund",-1,1))</f>
        <v>0</v>
      </c>
      <c r="S834" s="26">
        <f>IF(B834="","",IF(G834="",0,IF(F834="Card",ROUND(G834*CardFeePercent+CardFeeFixed,2),IF(F834="Online deposit",ROUND(G834*CardFeePercent+CardFeeFixed,2),0))))</f>
        <v>0</v>
      </c>
      <c r="T834" s="26">
        <f>IF(B834="","",ROUND(IF(G834="",0,G834)*R834-S834,2))</f>
        <v>0</v>
      </c>
      <c r="U834" s="38">
        <f>IF(B834="","",IF(E834="Tip","Yes","No"))</f>
        <v>0</v>
      </c>
      <c r="V834" s="15">
        <f>IF(B834="","",IF(H834&lt;&gt;"","Sale "&amp;H834,IF(I834&lt;&gt;"","Booking "&amp;I834,IF(E834="Tip","Stylist","Unapplied"))))</f>
        <v>0</v>
      </c>
      <c r="W834" s="39">
        <f>IF(B834="","",IF(G834="","Add - no amount yet",IF(E834="","Add - what was this for?",IF(IF(H834="",FALSE,COUNTIF(Sales!$A$5:$A$1204,H834)=0),"Missing - no sale with that ID",IF(IF(I834="",FALSE,COUNTIF(Appointments!$A$5:$A$1204,I834)=0),"Missing - no booking with that ID",IF(IF(E834="Tip",J834="",FALSE),"Assign - whose tip is it?",IF(IF(E834="Deposit",IF(H834="",I834="",FALSE),FALSE),"Check - deposit not tied to a booking",IF(M834="No","Due - not reconciled yet","OK"))))))))</f>
        <v>0</v>
      </c>
    </row>
    <row r="835" spans="1:23">
      <c r="A835" s="28">
        <f>IF(B835="","",PaymentPrefix&amp;TEXT(ROW()-4,"0000"))</f>
        <v>0</v>
      </c>
      <c r="D835" s="15">
        <f>IF(C835="","",IFERROR(INDEX(Clients!$B$5:$B$504,MATCH(C835,Clients!$A$5:$A$504,0)),"Walk-in"))</f>
        <v>0</v>
      </c>
      <c r="K835" s="15">
        <f>IF(J835="","",IFERROR(INDEX(Staff!$B$5:$B$44,MATCH(J835,Staff!$A$5:$A$44,0)),""))</f>
        <v>0</v>
      </c>
      <c r="O835" s="15">
        <f>IF(B835="","",TEXT(B835,"yyyy-mm"))</f>
        <v>0</v>
      </c>
      <c r="P835" s="25">
        <f>IF(B835="","",WEEKNUM(B835,2))</f>
        <v>0</v>
      </c>
      <c r="Q835" s="38">
        <f>IF(B835="","",IF(E835="Tip","No",IF(E835="Refund","No","Yes")))</f>
        <v>0</v>
      </c>
      <c r="R835" s="25">
        <f>IF(B835="","",IF(E835="Refund",-1,1))</f>
        <v>0</v>
      </c>
      <c r="S835" s="26">
        <f>IF(B835="","",IF(G835="",0,IF(F835="Card",ROUND(G835*CardFeePercent+CardFeeFixed,2),IF(F835="Online deposit",ROUND(G835*CardFeePercent+CardFeeFixed,2),0))))</f>
        <v>0</v>
      </c>
      <c r="T835" s="26">
        <f>IF(B835="","",ROUND(IF(G835="",0,G835)*R835-S835,2))</f>
        <v>0</v>
      </c>
      <c r="U835" s="38">
        <f>IF(B835="","",IF(E835="Tip","Yes","No"))</f>
        <v>0</v>
      </c>
      <c r="V835" s="15">
        <f>IF(B835="","",IF(H835&lt;&gt;"","Sale "&amp;H835,IF(I835&lt;&gt;"","Booking "&amp;I835,IF(E835="Tip","Stylist","Unapplied"))))</f>
        <v>0</v>
      </c>
      <c r="W835" s="39">
        <f>IF(B835="","",IF(G835="","Add - no amount yet",IF(E835="","Add - what was this for?",IF(IF(H835="",FALSE,COUNTIF(Sales!$A$5:$A$1204,H835)=0),"Missing - no sale with that ID",IF(IF(I835="",FALSE,COUNTIF(Appointments!$A$5:$A$1204,I835)=0),"Missing - no booking with that ID",IF(IF(E835="Tip",J835="",FALSE),"Assign - whose tip is it?",IF(IF(E835="Deposit",IF(H835="",I835="",FALSE),FALSE),"Check - deposit not tied to a booking",IF(M835="No","Due - not reconciled yet","OK"))))))))</f>
        <v>0</v>
      </c>
    </row>
    <row r="836" spans="1:23">
      <c r="A836" s="28">
        <f>IF(B836="","",PaymentPrefix&amp;TEXT(ROW()-4,"0000"))</f>
        <v>0</v>
      </c>
      <c r="D836" s="15">
        <f>IF(C836="","",IFERROR(INDEX(Clients!$B$5:$B$504,MATCH(C836,Clients!$A$5:$A$504,0)),"Walk-in"))</f>
        <v>0</v>
      </c>
      <c r="K836" s="15">
        <f>IF(J836="","",IFERROR(INDEX(Staff!$B$5:$B$44,MATCH(J836,Staff!$A$5:$A$44,0)),""))</f>
        <v>0</v>
      </c>
      <c r="O836" s="15">
        <f>IF(B836="","",TEXT(B836,"yyyy-mm"))</f>
        <v>0</v>
      </c>
      <c r="P836" s="25">
        <f>IF(B836="","",WEEKNUM(B836,2))</f>
        <v>0</v>
      </c>
      <c r="Q836" s="38">
        <f>IF(B836="","",IF(E836="Tip","No",IF(E836="Refund","No","Yes")))</f>
        <v>0</v>
      </c>
      <c r="R836" s="25">
        <f>IF(B836="","",IF(E836="Refund",-1,1))</f>
        <v>0</v>
      </c>
      <c r="S836" s="26">
        <f>IF(B836="","",IF(G836="",0,IF(F836="Card",ROUND(G836*CardFeePercent+CardFeeFixed,2),IF(F836="Online deposit",ROUND(G836*CardFeePercent+CardFeeFixed,2),0))))</f>
        <v>0</v>
      </c>
      <c r="T836" s="26">
        <f>IF(B836="","",ROUND(IF(G836="",0,G836)*R836-S836,2))</f>
        <v>0</v>
      </c>
      <c r="U836" s="38">
        <f>IF(B836="","",IF(E836="Tip","Yes","No"))</f>
        <v>0</v>
      </c>
      <c r="V836" s="15">
        <f>IF(B836="","",IF(H836&lt;&gt;"","Sale "&amp;H836,IF(I836&lt;&gt;"","Booking "&amp;I836,IF(E836="Tip","Stylist","Unapplied"))))</f>
        <v>0</v>
      </c>
      <c r="W836" s="39">
        <f>IF(B836="","",IF(G836="","Add - no amount yet",IF(E836="","Add - what was this for?",IF(IF(H836="",FALSE,COUNTIF(Sales!$A$5:$A$1204,H836)=0),"Missing - no sale with that ID",IF(IF(I836="",FALSE,COUNTIF(Appointments!$A$5:$A$1204,I836)=0),"Missing - no booking with that ID",IF(IF(E836="Tip",J836="",FALSE),"Assign - whose tip is it?",IF(IF(E836="Deposit",IF(H836="",I836="",FALSE),FALSE),"Check - deposit not tied to a booking",IF(M836="No","Due - not reconciled yet","OK"))))))))</f>
        <v>0</v>
      </c>
    </row>
    <row r="837" spans="1:23">
      <c r="A837" s="28">
        <f>IF(B837="","",PaymentPrefix&amp;TEXT(ROW()-4,"0000"))</f>
        <v>0</v>
      </c>
      <c r="D837" s="15">
        <f>IF(C837="","",IFERROR(INDEX(Clients!$B$5:$B$504,MATCH(C837,Clients!$A$5:$A$504,0)),"Walk-in"))</f>
        <v>0</v>
      </c>
      <c r="K837" s="15">
        <f>IF(J837="","",IFERROR(INDEX(Staff!$B$5:$B$44,MATCH(J837,Staff!$A$5:$A$44,0)),""))</f>
        <v>0</v>
      </c>
      <c r="O837" s="15">
        <f>IF(B837="","",TEXT(B837,"yyyy-mm"))</f>
        <v>0</v>
      </c>
      <c r="P837" s="25">
        <f>IF(B837="","",WEEKNUM(B837,2))</f>
        <v>0</v>
      </c>
      <c r="Q837" s="38">
        <f>IF(B837="","",IF(E837="Tip","No",IF(E837="Refund","No","Yes")))</f>
        <v>0</v>
      </c>
      <c r="R837" s="25">
        <f>IF(B837="","",IF(E837="Refund",-1,1))</f>
        <v>0</v>
      </c>
      <c r="S837" s="26">
        <f>IF(B837="","",IF(G837="",0,IF(F837="Card",ROUND(G837*CardFeePercent+CardFeeFixed,2),IF(F837="Online deposit",ROUND(G837*CardFeePercent+CardFeeFixed,2),0))))</f>
        <v>0</v>
      </c>
      <c r="T837" s="26">
        <f>IF(B837="","",ROUND(IF(G837="",0,G837)*R837-S837,2))</f>
        <v>0</v>
      </c>
      <c r="U837" s="38">
        <f>IF(B837="","",IF(E837="Tip","Yes","No"))</f>
        <v>0</v>
      </c>
      <c r="V837" s="15">
        <f>IF(B837="","",IF(H837&lt;&gt;"","Sale "&amp;H837,IF(I837&lt;&gt;"","Booking "&amp;I837,IF(E837="Tip","Stylist","Unapplied"))))</f>
        <v>0</v>
      </c>
      <c r="W837" s="39">
        <f>IF(B837="","",IF(G837="","Add - no amount yet",IF(E837="","Add - what was this for?",IF(IF(H837="",FALSE,COUNTIF(Sales!$A$5:$A$1204,H837)=0),"Missing - no sale with that ID",IF(IF(I837="",FALSE,COUNTIF(Appointments!$A$5:$A$1204,I837)=0),"Missing - no booking with that ID",IF(IF(E837="Tip",J837="",FALSE),"Assign - whose tip is it?",IF(IF(E837="Deposit",IF(H837="",I837="",FALSE),FALSE),"Check - deposit not tied to a booking",IF(M837="No","Due - not reconciled yet","OK"))))))))</f>
        <v>0</v>
      </c>
    </row>
    <row r="838" spans="1:23">
      <c r="A838" s="28">
        <f>IF(B838="","",PaymentPrefix&amp;TEXT(ROW()-4,"0000"))</f>
        <v>0</v>
      </c>
      <c r="D838" s="15">
        <f>IF(C838="","",IFERROR(INDEX(Clients!$B$5:$B$504,MATCH(C838,Clients!$A$5:$A$504,0)),"Walk-in"))</f>
        <v>0</v>
      </c>
      <c r="K838" s="15">
        <f>IF(J838="","",IFERROR(INDEX(Staff!$B$5:$B$44,MATCH(J838,Staff!$A$5:$A$44,0)),""))</f>
        <v>0</v>
      </c>
      <c r="O838" s="15">
        <f>IF(B838="","",TEXT(B838,"yyyy-mm"))</f>
        <v>0</v>
      </c>
      <c r="P838" s="25">
        <f>IF(B838="","",WEEKNUM(B838,2))</f>
        <v>0</v>
      </c>
      <c r="Q838" s="38">
        <f>IF(B838="","",IF(E838="Tip","No",IF(E838="Refund","No","Yes")))</f>
        <v>0</v>
      </c>
      <c r="R838" s="25">
        <f>IF(B838="","",IF(E838="Refund",-1,1))</f>
        <v>0</v>
      </c>
      <c r="S838" s="26">
        <f>IF(B838="","",IF(G838="",0,IF(F838="Card",ROUND(G838*CardFeePercent+CardFeeFixed,2),IF(F838="Online deposit",ROUND(G838*CardFeePercent+CardFeeFixed,2),0))))</f>
        <v>0</v>
      </c>
      <c r="T838" s="26">
        <f>IF(B838="","",ROUND(IF(G838="",0,G838)*R838-S838,2))</f>
        <v>0</v>
      </c>
      <c r="U838" s="38">
        <f>IF(B838="","",IF(E838="Tip","Yes","No"))</f>
        <v>0</v>
      </c>
      <c r="V838" s="15">
        <f>IF(B838="","",IF(H838&lt;&gt;"","Sale "&amp;H838,IF(I838&lt;&gt;"","Booking "&amp;I838,IF(E838="Tip","Stylist","Unapplied"))))</f>
        <v>0</v>
      </c>
      <c r="W838" s="39">
        <f>IF(B838="","",IF(G838="","Add - no amount yet",IF(E838="","Add - what was this for?",IF(IF(H838="",FALSE,COUNTIF(Sales!$A$5:$A$1204,H838)=0),"Missing - no sale with that ID",IF(IF(I838="",FALSE,COUNTIF(Appointments!$A$5:$A$1204,I838)=0),"Missing - no booking with that ID",IF(IF(E838="Tip",J838="",FALSE),"Assign - whose tip is it?",IF(IF(E838="Deposit",IF(H838="",I838="",FALSE),FALSE),"Check - deposit not tied to a booking",IF(M838="No","Due - not reconciled yet","OK"))))))))</f>
        <v>0</v>
      </c>
    </row>
    <row r="839" spans="1:23">
      <c r="A839" s="28">
        <f>IF(B839="","",PaymentPrefix&amp;TEXT(ROW()-4,"0000"))</f>
        <v>0</v>
      </c>
      <c r="D839" s="15">
        <f>IF(C839="","",IFERROR(INDEX(Clients!$B$5:$B$504,MATCH(C839,Clients!$A$5:$A$504,0)),"Walk-in"))</f>
        <v>0</v>
      </c>
      <c r="K839" s="15">
        <f>IF(J839="","",IFERROR(INDEX(Staff!$B$5:$B$44,MATCH(J839,Staff!$A$5:$A$44,0)),""))</f>
        <v>0</v>
      </c>
      <c r="O839" s="15">
        <f>IF(B839="","",TEXT(B839,"yyyy-mm"))</f>
        <v>0</v>
      </c>
      <c r="P839" s="25">
        <f>IF(B839="","",WEEKNUM(B839,2))</f>
        <v>0</v>
      </c>
      <c r="Q839" s="38">
        <f>IF(B839="","",IF(E839="Tip","No",IF(E839="Refund","No","Yes")))</f>
        <v>0</v>
      </c>
      <c r="R839" s="25">
        <f>IF(B839="","",IF(E839="Refund",-1,1))</f>
        <v>0</v>
      </c>
      <c r="S839" s="26">
        <f>IF(B839="","",IF(G839="",0,IF(F839="Card",ROUND(G839*CardFeePercent+CardFeeFixed,2),IF(F839="Online deposit",ROUND(G839*CardFeePercent+CardFeeFixed,2),0))))</f>
        <v>0</v>
      </c>
      <c r="T839" s="26">
        <f>IF(B839="","",ROUND(IF(G839="",0,G839)*R839-S839,2))</f>
        <v>0</v>
      </c>
      <c r="U839" s="38">
        <f>IF(B839="","",IF(E839="Tip","Yes","No"))</f>
        <v>0</v>
      </c>
      <c r="V839" s="15">
        <f>IF(B839="","",IF(H839&lt;&gt;"","Sale "&amp;H839,IF(I839&lt;&gt;"","Booking "&amp;I839,IF(E839="Tip","Stylist","Unapplied"))))</f>
        <v>0</v>
      </c>
      <c r="W839" s="39">
        <f>IF(B839="","",IF(G839="","Add - no amount yet",IF(E839="","Add - what was this for?",IF(IF(H839="",FALSE,COUNTIF(Sales!$A$5:$A$1204,H839)=0),"Missing - no sale with that ID",IF(IF(I839="",FALSE,COUNTIF(Appointments!$A$5:$A$1204,I839)=0),"Missing - no booking with that ID",IF(IF(E839="Tip",J839="",FALSE),"Assign - whose tip is it?",IF(IF(E839="Deposit",IF(H839="",I839="",FALSE),FALSE),"Check - deposit not tied to a booking",IF(M839="No","Due - not reconciled yet","OK"))))))))</f>
        <v>0</v>
      </c>
    </row>
    <row r="840" spans="1:23">
      <c r="A840" s="28">
        <f>IF(B840="","",PaymentPrefix&amp;TEXT(ROW()-4,"0000"))</f>
        <v>0</v>
      </c>
      <c r="D840" s="15">
        <f>IF(C840="","",IFERROR(INDEX(Clients!$B$5:$B$504,MATCH(C840,Clients!$A$5:$A$504,0)),"Walk-in"))</f>
        <v>0</v>
      </c>
      <c r="K840" s="15">
        <f>IF(J840="","",IFERROR(INDEX(Staff!$B$5:$B$44,MATCH(J840,Staff!$A$5:$A$44,0)),""))</f>
        <v>0</v>
      </c>
      <c r="O840" s="15">
        <f>IF(B840="","",TEXT(B840,"yyyy-mm"))</f>
        <v>0</v>
      </c>
      <c r="P840" s="25">
        <f>IF(B840="","",WEEKNUM(B840,2))</f>
        <v>0</v>
      </c>
      <c r="Q840" s="38">
        <f>IF(B840="","",IF(E840="Tip","No",IF(E840="Refund","No","Yes")))</f>
        <v>0</v>
      </c>
      <c r="R840" s="25">
        <f>IF(B840="","",IF(E840="Refund",-1,1))</f>
        <v>0</v>
      </c>
      <c r="S840" s="26">
        <f>IF(B840="","",IF(G840="",0,IF(F840="Card",ROUND(G840*CardFeePercent+CardFeeFixed,2),IF(F840="Online deposit",ROUND(G840*CardFeePercent+CardFeeFixed,2),0))))</f>
        <v>0</v>
      </c>
      <c r="T840" s="26">
        <f>IF(B840="","",ROUND(IF(G840="",0,G840)*R840-S840,2))</f>
        <v>0</v>
      </c>
      <c r="U840" s="38">
        <f>IF(B840="","",IF(E840="Tip","Yes","No"))</f>
        <v>0</v>
      </c>
      <c r="V840" s="15">
        <f>IF(B840="","",IF(H840&lt;&gt;"","Sale "&amp;H840,IF(I840&lt;&gt;"","Booking "&amp;I840,IF(E840="Tip","Stylist","Unapplied"))))</f>
        <v>0</v>
      </c>
      <c r="W840" s="39">
        <f>IF(B840="","",IF(G840="","Add - no amount yet",IF(E840="","Add - what was this for?",IF(IF(H840="",FALSE,COUNTIF(Sales!$A$5:$A$1204,H840)=0),"Missing - no sale with that ID",IF(IF(I840="",FALSE,COUNTIF(Appointments!$A$5:$A$1204,I840)=0),"Missing - no booking with that ID",IF(IF(E840="Tip",J840="",FALSE),"Assign - whose tip is it?",IF(IF(E840="Deposit",IF(H840="",I840="",FALSE),FALSE),"Check - deposit not tied to a booking",IF(M840="No","Due - not reconciled yet","OK"))))))))</f>
        <v>0</v>
      </c>
    </row>
    <row r="841" spans="1:23">
      <c r="A841" s="28">
        <f>IF(B841="","",PaymentPrefix&amp;TEXT(ROW()-4,"0000"))</f>
        <v>0</v>
      </c>
      <c r="D841" s="15">
        <f>IF(C841="","",IFERROR(INDEX(Clients!$B$5:$B$504,MATCH(C841,Clients!$A$5:$A$504,0)),"Walk-in"))</f>
        <v>0</v>
      </c>
      <c r="K841" s="15">
        <f>IF(J841="","",IFERROR(INDEX(Staff!$B$5:$B$44,MATCH(J841,Staff!$A$5:$A$44,0)),""))</f>
        <v>0</v>
      </c>
      <c r="O841" s="15">
        <f>IF(B841="","",TEXT(B841,"yyyy-mm"))</f>
        <v>0</v>
      </c>
      <c r="P841" s="25">
        <f>IF(B841="","",WEEKNUM(B841,2))</f>
        <v>0</v>
      </c>
      <c r="Q841" s="38">
        <f>IF(B841="","",IF(E841="Tip","No",IF(E841="Refund","No","Yes")))</f>
        <v>0</v>
      </c>
      <c r="R841" s="25">
        <f>IF(B841="","",IF(E841="Refund",-1,1))</f>
        <v>0</v>
      </c>
      <c r="S841" s="26">
        <f>IF(B841="","",IF(G841="",0,IF(F841="Card",ROUND(G841*CardFeePercent+CardFeeFixed,2),IF(F841="Online deposit",ROUND(G841*CardFeePercent+CardFeeFixed,2),0))))</f>
        <v>0</v>
      </c>
      <c r="T841" s="26">
        <f>IF(B841="","",ROUND(IF(G841="",0,G841)*R841-S841,2))</f>
        <v>0</v>
      </c>
      <c r="U841" s="38">
        <f>IF(B841="","",IF(E841="Tip","Yes","No"))</f>
        <v>0</v>
      </c>
      <c r="V841" s="15">
        <f>IF(B841="","",IF(H841&lt;&gt;"","Sale "&amp;H841,IF(I841&lt;&gt;"","Booking "&amp;I841,IF(E841="Tip","Stylist","Unapplied"))))</f>
        <v>0</v>
      </c>
      <c r="W841" s="39">
        <f>IF(B841="","",IF(G841="","Add - no amount yet",IF(E841="","Add - what was this for?",IF(IF(H841="",FALSE,COUNTIF(Sales!$A$5:$A$1204,H841)=0),"Missing - no sale with that ID",IF(IF(I841="",FALSE,COUNTIF(Appointments!$A$5:$A$1204,I841)=0),"Missing - no booking with that ID",IF(IF(E841="Tip",J841="",FALSE),"Assign - whose tip is it?",IF(IF(E841="Deposit",IF(H841="",I841="",FALSE),FALSE),"Check - deposit not tied to a booking",IF(M841="No","Due - not reconciled yet","OK"))))))))</f>
        <v>0</v>
      </c>
    </row>
    <row r="842" spans="1:23">
      <c r="A842" s="28">
        <f>IF(B842="","",PaymentPrefix&amp;TEXT(ROW()-4,"0000"))</f>
        <v>0</v>
      </c>
      <c r="D842" s="15">
        <f>IF(C842="","",IFERROR(INDEX(Clients!$B$5:$B$504,MATCH(C842,Clients!$A$5:$A$504,0)),"Walk-in"))</f>
        <v>0</v>
      </c>
      <c r="K842" s="15">
        <f>IF(J842="","",IFERROR(INDEX(Staff!$B$5:$B$44,MATCH(J842,Staff!$A$5:$A$44,0)),""))</f>
        <v>0</v>
      </c>
      <c r="O842" s="15">
        <f>IF(B842="","",TEXT(B842,"yyyy-mm"))</f>
        <v>0</v>
      </c>
      <c r="P842" s="25">
        <f>IF(B842="","",WEEKNUM(B842,2))</f>
        <v>0</v>
      </c>
      <c r="Q842" s="38">
        <f>IF(B842="","",IF(E842="Tip","No",IF(E842="Refund","No","Yes")))</f>
        <v>0</v>
      </c>
      <c r="R842" s="25">
        <f>IF(B842="","",IF(E842="Refund",-1,1))</f>
        <v>0</v>
      </c>
      <c r="S842" s="26">
        <f>IF(B842="","",IF(G842="",0,IF(F842="Card",ROUND(G842*CardFeePercent+CardFeeFixed,2),IF(F842="Online deposit",ROUND(G842*CardFeePercent+CardFeeFixed,2),0))))</f>
        <v>0</v>
      </c>
      <c r="T842" s="26">
        <f>IF(B842="","",ROUND(IF(G842="",0,G842)*R842-S842,2))</f>
        <v>0</v>
      </c>
      <c r="U842" s="38">
        <f>IF(B842="","",IF(E842="Tip","Yes","No"))</f>
        <v>0</v>
      </c>
      <c r="V842" s="15">
        <f>IF(B842="","",IF(H842&lt;&gt;"","Sale "&amp;H842,IF(I842&lt;&gt;"","Booking "&amp;I842,IF(E842="Tip","Stylist","Unapplied"))))</f>
        <v>0</v>
      </c>
      <c r="W842" s="39">
        <f>IF(B842="","",IF(G842="","Add - no amount yet",IF(E842="","Add - what was this for?",IF(IF(H842="",FALSE,COUNTIF(Sales!$A$5:$A$1204,H842)=0),"Missing - no sale with that ID",IF(IF(I842="",FALSE,COUNTIF(Appointments!$A$5:$A$1204,I842)=0),"Missing - no booking with that ID",IF(IF(E842="Tip",J842="",FALSE),"Assign - whose tip is it?",IF(IF(E842="Deposit",IF(H842="",I842="",FALSE),FALSE),"Check - deposit not tied to a booking",IF(M842="No","Due - not reconciled yet","OK"))))))))</f>
        <v>0</v>
      </c>
    </row>
    <row r="843" spans="1:23">
      <c r="A843" s="28">
        <f>IF(B843="","",PaymentPrefix&amp;TEXT(ROW()-4,"0000"))</f>
        <v>0</v>
      </c>
      <c r="D843" s="15">
        <f>IF(C843="","",IFERROR(INDEX(Clients!$B$5:$B$504,MATCH(C843,Clients!$A$5:$A$504,0)),"Walk-in"))</f>
        <v>0</v>
      </c>
      <c r="K843" s="15">
        <f>IF(J843="","",IFERROR(INDEX(Staff!$B$5:$B$44,MATCH(J843,Staff!$A$5:$A$44,0)),""))</f>
        <v>0</v>
      </c>
      <c r="O843" s="15">
        <f>IF(B843="","",TEXT(B843,"yyyy-mm"))</f>
        <v>0</v>
      </c>
      <c r="P843" s="25">
        <f>IF(B843="","",WEEKNUM(B843,2))</f>
        <v>0</v>
      </c>
      <c r="Q843" s="38">
        <f>IF(B843="","",IF(E843="Tip","No",IF(E843="Refund","No","Yes")))</f>
        <v>0</v>
      </c>
      <c r="R843" s="25">
        <f>IF(B843="","",IF(E843="Refund",-1,1))</f>
        <v>0</v>
      </c>
      <c r="S843" s="26">
        <f>IF(B843="","",IF(G843="",0,IF(F843="Card",ROUND(G843*CardFeePercent+CardFeeFixed,2),IF(F843="Online deposit",ROUND(G843*CardFeePercent+CardFeeFixed,2),0))))</f>
        <v>0</v>
      </c>
      <c r="T843" s="26">
        <f>IF(B843="","",ROUND(IF(G843="",0,G843)*R843-S843,2))</f>
        <v>0</v>
      </c>
      <c r="U843" s="38">
        <f>IF(B843="","",IF(E843="Tip","Yes","No"))</f>
        <v>0</v>
      </c>
      <c r="V843" s="15">
        <f>IF(B843="","",IF(H843&lt;&gt;"","Sale "&amp;H843,IF(I843&lt;&gt;"","Booking "&amp;I843,IF(E843="Tip","Stylist","Unapplied"))))</f>
        <v>0</v>
      </c>
      <c r="W843" s="39">
        <f>IF(B843="","",IF(G843="","Add - no amount yet",IF(E843="","Add - what was this for?",IF(IF(H843="",FALSE,COUNTIF(Sales!$A$5:$A$1204,H843)=0),"Missing - no sale with that ID",IF(IF(I843="",FALSE,COUNTIF(Appointments!$A$5:$A$1204,I843)=0),"Missing - no booking with that ID",IF(IF(E843="Tip",J843="",FALSE),"Assign - whose tip is it?",IF(IF(E843="Deposit",IF(H843="",I843="",FALSE),FALSE),"Check - deposit not tied to a booking",IF(M843="No","Due - not reconciled yet","OK"))))))))</f>
        <v>0</v>
      </c>
    </row>
    <row r="844" spans="1:23">
      <c r="A844" s="28">
        <f>IF(B844="","",PaymentPrefix&amp;TEXT(ROW()-4,"0000"))</f>
        <v>0</v>
      </c>
      <c r="D844" s="15">
        <f>IF(C844="","",IFERROR(INDEX(Clients!$B$5:$B$504,MATCH(C844,Clients!$A$5:$A$504,0)),"Walk-in"))</f>
        <v>0</v>
      </c>
      <c r="K844" s="15">
        <f>IF(J844="","",IFERROR(INDEX(Staff!$B$5:$B$44,MATCH(J844,Staff!$A$5:$A$44,0)),""))</f>
        <v>0</v>
      </c>
      <c r="O844" s="15">
        <f>IF(B844="","",TEXT(B844,"yyyy-mm"))</f>
        <v>0</v>
      </c>
      <c r="P844" s="25">
        <f>IF(B844="","",WEEKNUM(B844,2))</f>
        <v>0</v>
      </c>
      <c r="Q844" s="38">
        <f>IF(B844="","",IF(E844="Tip","No",IF(E844="Refund","No","Yes")))</f>
        <v>0</v>
      </c>
      <c r="R844" s="25">
        <f>IF(B844="","",IF(E844="Refund",-1,1))</f>
        <v>0</v>
      </c>
      <c r="S844" s="26">
        <f>IF(B844="","",IF(G844="",0,IF(F844="Card",ROUND(G844*CardFeePercent+CardFeeFixed,2),IF(F844="Online deposit",ROUND(G844*CardFeePercent+CardFeeFixed,2),0))))</f>
        <v>0</v>
      </c>
      <c r="T844" s="26">
        <f>IF(B844="","",ROUND(IF(G844="",0,G844)*R844-S844,2))</f>
        <v>0</v>
      </c>
      <c r="U844" s="38">
        <f>IF(B844="","",IF(E844="Tip","Yes","No"))</f>
        <v>0</v>
      </c>
      <c r="V844" s="15">
        <f>IF(B844="","",IF(H844&lt;&gt;"","Sale "&amp;H844,IF(I844&lt;&gt;"","Booking "&amp;I844,IF(E844="Tip","Stylist","Unapplied"))))</f>
        <v>0</v>
      </c>
      <c r="W844" s="39">
        <f>IF(B844="","",IF(G844="","Add - no amount yet",IF(E844="","Add - what was this for?",IF(IF(H844="",FALSE,COUNTIF(Sales!$A$5:$A$1204,H844)=0),"Missing - no sale with that ID",IF(IF(I844="",FALSE,COUNTIF(Appointments!$A$5:$A$1204,I844)=0),"Missing - no booking with that ID",IF(IF(E844="Tip",J844="",FALSE),"Assign - whose tip is it?",IF(IF(E844="Deposit",IF(H844="",I844="",FALSE),FALSE),"Check - deposit not tied to a booking",IF(M844="No","Due - not reconciled yet","OK"))))))))</f>
        <v>0</v>
      </c>
    </row>
    <row r="845" spans="1:23">
      <c r="A845" s="28">
        <f>IF(B845="","",PaymentPrefix&amp;TEXT(ROW()-4,"0000"))</f>
        <v>0</v>
      </c>
      <c r="D845" s="15">
        <f>IF(C845="","",IFERROR(INDEX(Clients!$B$5:$B$504,MATCH(C845,Clients!$A$5:$A$504,0)),"Walk-in"))</f>
        <v>0</v>
      </c>
      <c r="K845" s="15">
        <f>IF(J845="","",IFERROR(INDEX(Staff!$B$5:$B$44,MATCH(J845,Staff!$A$5:$A$44,0)),""))</f>
        <v>0</v>
      </c>
      <c r="O845" s="15">
        <f>IF(B845="","",TEXT(B845,"yyyy-mm"))</f>
        <v>0</v>
      </c>
      <c r="P845" s="25">
        <f>IF(B845="","",WEEKNUM(B845,2))</f>
        <v>0</v>
      </c>
      <c r="Q845" s="38">
        <f>IF(B845="","",IF(E845="Tip","No",IF(E845="Refund","No","Yes")))</f>
        <v>0</v>
      </c>
      <c r="R845" s="25">
        <f>IF(B845="","",IF(E845="Refund",-1,1))</f>
        <v>0</v>
      </c>
      <c r="S845" s="26">
        <f>IF(B845="","",IF(G845="",0,IF(F845="Card",ROUND(G845*CardFeePercent+CardFeeFixed,2),IF(F845="Online deposit",ROUND(G845*CardFeePercent+CardFeeFixed,2),0))))</f>
        <v>0</v>
      </c>
      <c r="T845" s="26">
        <f>IF(B845="","",ROUND(IF(G845="",0,G845)*R845-S845,2))</f>
        <v>0</v>
      </c>
      <c r="U845" s="38">
        <f>IF(B845="","",IF(E845="Tip","Yes","No"))</f>
        <v>0</v>
      </c>
      <c r="V845" s="15">
        <f>IF(B845="","",IF(H845&lt;&gt;"","Sale "&amp;H845,IF(I845&lt;&gt;"","Booking "&amp;I845,IF(E845="Tip","Stylist","Unapplied"))))</f>
        <v>0</v>
      </c>
      <c r="W845" s="39">
        <f>IF(B845="","",IF(G845="","Add - no amount yet",IF(E845="","Add - what was this for?",IF(IF(H845="",FALSE,COUNTIF(Sales!$A$5:$A$1204,H845)=0),"Missing - no sale with that ID",IF(IF(I845="",FALSE,COUNTIF(Appointments!$A$5:$A$1204,I845)=0),"Missing - no booking with that ID",IF(IF(E845="Tip",J845="",FALSE),"Assign - whose tip is it?",IF(IF(E845="Deposit",IF(H845="",I845="",FALSE),FALSE),"Check - deposit not tied to a booking",IF(M845="No","Due - not reconciled yet","OK"))))))))</f>
        <v>0</v>
      </c>
    </row>
    <row r="846" spans="1:23">
      <c r="A846" s="28">
        <f>IF(B846="","",PaymentPrefix&amp;TEXT(ROW()-4,"0000"))</f>
        <v>0</v>
      </c>
      <c r="D846" s="15">
        <f>IF(C846="","",IFERROR(INDEX(Clients!$B$5:$B$504,MATCH(C846,Clients!$A$5:$A$504,0)),"Walk-in"))</f>
        <v>0</v>
      </c>
      <c r="K846" s="15">
        <f>IF(J846="","",IFERROR(INDEX(Staff!$B$5:$B$44,MATCH(J846,Staff!$A$5:$A$44,0)),""))</f>
        <v>0</v>
      </c>
      <c r="O846" s="15">
        <f>IF(B846="","",TEXT(B846,"yyyy-mm"))</f>
        <v>0</v>
      </c>
      <c r="P846" s="25">
        <f>IF(B846="","",WEEKNUM(B846,2))</f>
        <v>0</v>
      </c>
      <c r="Q846" s="38">
        <f>IF(B846="","",IF(E846="Tip","No",IF(E846="Refund","No","Yes")))</f>
        <v>0</v>
      </c>
      <c r="R846" s="25">
        <f>IF(B846="","",IF(E846="Refund",-1,1))</f>
        <v>0</v>
      </c>
      <c r="S846" s="26">
        <f>IF(B846="","",IF(G846="",0,IF(F846="Card",ROUND(G846*CardFeePercent+CardFeeFixed,2),IF(F846="Online deposit",ROUND(G846*CardFeePercent+CardFeeFixed,2),0))))</f>
        <v>0</v>
      </c>
      <c r="T846" s="26">
        <f>IF(B846="","",ROUND(IF(G846="",0,G846)*R846-S846,2))</f>
        <v>0</v>
      </c>
      <c r="U846" s="38">
        <f>IF(B846="","",IF(E846="Tip","Yes","No"))</f>
        <v>0</v>
      </c>
      <c r="V846" s="15">
        <f>IF(B846="","",IF(H846&lt;&gt;"","Sale "&amp;H846,IF(I846&lt;&gt;"","Booking "&amp;I846,IF(E846="Tip","Stylist","Unapplied"))))</f>
        <v>0</v>
      </c>
      <c r="W846" s="39">
        <f>IF(B846="","",IF(G846="","Add - no amount yet",IF(E846="","Add - what was this for?",IF(IF(H846="",FALSE,COUNTIF(Sales!$A$5:$A$1204,H846)=0),"Missing - no sale with that ID",IF(IF(I846="",FALSE,COUNTIF(Appointments!$A$5:$A$1204,I846)=0),"Missing - no booking with that ID",IF(IF(E846="Tip",J846="",FALSE),"Assign - whose tip is it?",IF(IF(E846="Deposit",IF(H846="",I846="",FALSE),FALSE),"Check - deposit not tied to a booking",IF(M846="No","Due - not reconciled yet","OK"))))))))</f>
        <v>0</v>
      </c>
    </row>
    <row r="847" spans="1:23">
      <c r="A847" s="28">
        <f>IF(B847="","",PaymentPrefix&amp;TEXT(ROW()-4,"0000"))</f>
        <v>0</v>
      </c>
      <c r="D847" s="15">
        <f>IF(C847="","",IFERROR(INDEX(Clients!$B$5:$B$504,MATCH(C847,Clients!$A$5:$A$504,0)),"Walk-in"))</f>
        <v>0</v>
      </c>
      <c r="K847" s="15">
        <f>IF(J847="","",IFERROR(INDEX(Staff!$B$5:$B$44,MATCH(J847,Staff!$A$5:$A$44,0)),""))</f>
        <v>0</v>
      </c>
      <c r="O847" s="15">
        <f>IF(B847="","",TEXT(B847,"yyyy-mm"))</f>
        <v>0</v>
      </c>
      <c r="P847" s="25">
        <f>IF(B847="","",WEEKNUM(B847,2))</f>
        <v>0</v>
      </c>
      <c r="Q847" s="38">
        <f>IF(B847="","",IF(E847="Tip","No",IF(E847="Refund","No","Yes")))</f>
        <v>0</v>
      </c>
      <c r="R847" s="25">
        <f>IF(B847="","",IF(E847="Refund",-1,1))</f>
        <v>0</v>
      </c>
      <c r="S847" s="26">
        <f>IF(B847="","",IF(G847="",0,IF(F847="Card",ROUND(G847*CardFeePercent+CardFeeFixed,2),IF(F847="Online deposit",ROUND(G847*CardFeePercent+CardFeeFixed,2),0))))</f>
        <v>0</v>
      </c>
      <c r="T847" s="26">
        <f>IF(B847="","",ROUND(IF(G847="",0,G847)*R847-S847,2))</f>
        <v>0</v>
      </c>
      <c r="U847" s="38">
        <f>IF(B847="","",IF(E847="Tip","Yes","No"))</f>
        <v>0</v>
      </c>
      <c r="V847" s="15">
        <f>IF(B847="","",IF(H847&lt;&gt;"","Sale "&amp;H847,IF(I847&lt;&gt;"","Booking "&amp;I847,IF(E847="Tip","Stylist","Unapplied"))))</f>
        <v>0</v>
      </c>
      <c r="W847" s="39">
        <f>IF(B847="","",IF(G847="","Add - no amount yet",IF(E847="","Add - what was this for?",IF(IF(H847="",FALSE,COUNTIF(Sales!$A$5:$A$1204,H847)=0),"Missing - no sale with that ID",IF(IF(I847="",FALSE,COUNTIF(Appointments!$A$5:$A$1204,I847)=0),"Missing - no booking with that ID",IF(IF(E847="Tip",J847="",FALSE),"Assign - whose tip is it?",IF(IF(E847="Deposit",IF(H847="",I847="",FALSE),FALSE),"Check - deposit not tied to a booking",IF(M847="No","Due - not reconciled yet","OK"))))))))</f>
        <v>0</v>
      </c>
    </row>
    <row r="848" spans="1:23">
      <c r="A848" s="28">
        <f>IF(B848="","",PaymentPrefix&amp;TEXT(ROW()-4,"0000"))</f>
        <v>0</v>
      </c>
      <c r="D848" s="15">
        <f>IF(C848="","",IFERROR(INDEX(Clients!$B$5:$B$504,MATCH(C848,Clients!$A$5:$A$504,0)),"Walk-in"))</f>
        <v>0</v>
      </c>
      <c r="K848" s="15">
        <f>IF(J848="","",IFERROR(INDEX(Staff!$B$5:$B$44,MATCH(J848,Staff!$A$5:$A$44,0)),""))</f>
        <v>0</v>
      </c>
      <c r="O848" s="15">
        <f>IF(B848="","",TEXT(B848,"yyyy-mm"))</f>
        <v>0</v>
      </c>
      <c r="P848" s="25">
        <f>IF(B848="","",WEEKNUM(B848,2))</f>
        <v>0</v>
      </c>
      <c r="Q848" s="38">
        <f>IF(B848="","",IF(E848="Tip","No",IF(E848="Refund","No","Yes")))</f>
        <v>0</v>
      </c>
      <c r="R848" s="25">
        <f>IF(B848="","",IF(E848="Refund",-1,1))</f>
        <v>0</v>
      </c>
      <c r="S848" s="26">
        <f>IF(B848="","",IF(G848="",0,IF(F848="Card",ROUND(G848*CardFeePercent+CardFeeFixed,2),IF(F848="Online deposit",ROUND(G848*CardFeePercent+CardFeeFixed,2),0))))</f>
        <v>0</v>
      </c>
      <c r="T848" s="26">
        <f>IF(B848="","",ROUND(IF(G848="",0,G848)*R848-S848,2))</f>
        <v>0</v>
      </c>
      <c r="U848" s="38">
        <f>IF(B848="","",IF(E848="Tip","Yes","No"))</f>
        <v>0</v>
      </c>
      <c r="V848" s="15">
        <f>IF(B848="","",IF(H848&lt;&gt;"","Sale "&amp;H848,IF(I848&lt;&gt;"","Booking "&amp;I848,IF(E848="Tip","Stylist","Unapplied"))))</f>
        <v>0</v>
      </c>
      <c r="W848" s="39">
        <f>IF(B848="","",IF(G848="","Add - no amount yet",IF(E848="","Add - what was this for?",IF(IF(H848="",FALSE,COUNTIF(Sales!$A$5:$A$1204,H848)=0),"Missing - no sale with that ID",IF(IF(I848="",FALSE,COUNTIF(Appointments!$A$5:$A$1204,I848)=0),"Missing - no booking with that ID",IF(IF(E848="Tip",J848="",FALSE),"Assign - whose tip is it?",IF(IF(E848="Deposit",IF(H848="",I848="",FALSE),FALSE),"Check - deposit not tied to a booking",IF(M848="No","Due - not reconciled yet","OK"))))))))</f>
        <v>0</v>
      </c>
    </row>
    <row r="849" spans="1:23">
      <c r="A849" s="28">
        <f>IF(B849="","",PaymentPrefix&amp;TEXT(ROW()-4,"0000"))</f>
        <v>0</v>
      </c>
      <c r="D849" s="15">
        <f>IF(C849="","",IFERROR(INDEX(Clients!$B$5:$B$504,MATCH(C849,Clients!$A$5:$A$504,0)),"Walk-in"))</f>
        <v>0</v>
      </c>
      <c r="K849" s="15">
        <f>IF(J849="","",IFERROR(INDEX(Staff!$B$5:$B$44,MATCH(J849,Staff!$A$5:$A$44,0)),""))</f>
        <v>0</v>
      </c>
      <c r="O849" s="15">
        <f>IF(B849="","",TEXT(B849,"yyyy-mm"))</f>
        <v>0</v>
      </c>
      <c r="P849" s="25">
        <f>IF(B849="","",WEEKNUM(B849,2))</f>
        <v>0</v>
      </c>
      <c r="Q849" s="38">
        <f>IF(B849="","",IF(E849="Tip","No",IF(E849="Refund","No","Yes")))</f>
        <v>0</v>
      </c>
      <c r="R849" s="25">
        <f>IF(B849="","",IF(E849="Refund",-1,1))</f>
        <v>0</v>
      </c>
      <c r="S849" s="26">
        <f>IF(B849="","",IF(G849="",0,IF(F849="Card",ROUND(G849*CardFeePercent+CardFeeFixed,2),IF(F849="Online deposit",ROUND(G849*CardFeePercent+CardFeeFixed,2),0))))</f>
        <v>0</v>
      </c>
      <c r="T849" s="26">
        <f>IF(B849="","",ROUND(IF(G849="",0,G849)*R849-S849,2))</f>
        <v>0</v>
      </c>
      <c r="U849" s="38">
        <f>IF(B849="","",IF(E849="Tip","Yes","No"))</f>
        <v>0</v>
      </c>
      <c r="V849" s="15">
        <f>IF(B849="","",IF(H849&lt;&gt;"","Sale "&amp;H849,IF(I849&lt;&gt;"","Booking "&amp;I849,IF(E849="Tip","Stylist","Unapplied"))))</f>
        <v>0</v>
      </c>
      <c r="W849" s="39">
        <f>IF(B849="","",IF(G849="","Add - no amount yet",IF(E849="","Add - what was this for?",IF(IF(H849="",FALSE,COUNTIF(Sales!$A$5:$A$1204,H849)=0),"Missing - no sale with that ID",IF(IF(I849="",FALSE,COUNTIF(Appointments!$A$5:$A$1204,I849)=0),"Missing - no booking with that ID",IF(IF(E849="Tip",J849="",FALSE),"Assign - whose tip is it?",IF(IF(E849="Deposit",IF(H849="",I849="",FALSE),FALSE),"Check - deposit not tied to a booking",IF(M849="No","Due - not reconciled yet","OK"))))))))</f>
        <v>0</v>
      </c>
    </row>
    <row r="850" spans="1:23">
      <c r="A850" s="28">
        <f>IF(B850="","",PaymentPrefix&amp;TEXT(ROW()-4,"0000"))</f>
        <v>0</v>
      </c>
      <c r="D850" s="15">
        <f>IF(C850="","",IFERROR(INDEX(Clients!$B$5:$B$504,MATCH(C850,Clients!$A$5:$A$504,0)),"Walk-in"))</f>
        <v>0</v>
      </c>
      <c r="K850" s="15">
        <f>IF(J850="","",IFERROR(INDEX(Staff!$B$5:$B$44,MATCH(J850,Staff!$A$5:$A$44,0)),""))</f>
        <v>0</v>
      </c>
      <c r="O850" s="15">
        <f>IF(B850="","",TEXT(B850,"yyyy-mm"))</f>
        <v>0</v>
      </c>
      <c r="P850" s="25">
        <f>IF(B850="","",WEEKNUM(B850,2))</f>
        <v>0</v>
      </c>
      <c r="Q850" s="38">
        <f>IF(B850="","",IF(E850="Tip","No",IF(E850="Refund","No","Yes")))</f>
        <v>0</v>
      </c>
      <c r="R850" s="25">
        <f>IF(B850="","",IF(E850="Refund",-1,1))</f>
        <v>0</v>
      </c>
      <c r="S850" s="26">
        <f>IF(B850="","",IF(G850="",0,IF(F850="Card",ROUND(G850*CardFeePercent+CardFeeFixed,2),IF(F850="Online deposit",ROUND(G850*CardFeePercent+CardFeeFixed,2),0))))</f>
        <v>0</v>
      </c>
      <c r="T850" s="26">
        <f>IF(B850="","",ROUND(IF(G850="",0,G850)*R850-S850,2))</f>
        <v>0</v>
      </c>
      <c r="U850" s="38">
        <f>IF(B850="","",IF(E850="Tip","Yes","No"))</f>
        <v>0</v>
      </c>
      <c r="V850" s="15">
        <f>IF(B850="","",IF(H850&lt;&gt;"","Sale "&amp;H850,IF(I850&lt;&gt;"","Booking "&amp;I850,IF(E850="Tip","Stylist","Unapplied"))))</f>
        <v>0</v>
      </c>
      <c r="W850" s="39">
        <f>IF(B850="","",IF(G850="","Add - no amount yet",IF(E850="","Add - what was this for?",IF(IF(H850="",FALSE,COUNTIF(Sales!$A$5:$A$1204,H850)=0),"Missing - no sale with that ID",IF(IF(I850="",FALSE,COUNTIF(Appointments!$A$5:$A$1204,I850)=0),"Missing - no booking with that ID",IF(IF(E850="Tip",J850="",FALSE),"Assign - whose tip is it?",IF(IF(E850="Deposit",IF(H850="",I850="",FALSE),FALSE),"Check - deposit not tied to a booking",IF(M850="No","Due - not reconciled yet","OK"))))))))</f>
        <v>0</v>
      </c>
    </row>
    <row r="851" spans="1:23">
      <c r="A851" s="28">
        <f>IF(B851="","",PaymentPrefix&amp;TEXT(ROW()-4,"0000"))</f>
        <v>0</v>
      </c>
      <c r="D851" s="15">
        <f>IF(C851="","",IFERROR(INDEX(Clients!$B$5:$B$504,MATCH(C851,Clients!$A$5:$A$504,0)),"Walk-in"))</f>
        <v>0</v>
      </c>
      <c r="K851" s="15">
        <f>IF(J851="","",IFERROR(INDEX(Staff!$B$5:$B$44,MATCH(J851,Staff!$A$5:$A$44,0)),""))</f>
        <v>0</v>
      </c>
      <c r="O851" s="15">
        <f>IF(B851="","",TEXT(B851,"yyyy-mm"))</f>
        <v>0</v>
      </c>
      <c r="P851" s="25">
        <f>IF(B851="","",WEEKNUM(B851,2))</f>
        <v>0</v>
      </c>
      <c r="Q851" s="38">
        <f>IF(B851="","",IF(E851="Tip","No",IF(E851="Refund","No","Yes")))</f>
        <v>0</v>
      </c>
      <c r="R851" s="25">
        <f>IF(B851="","",IF(E851="Refund",-1,1))</f>
        <v>0</v>
      </c>
      <c r="S851" s="26">
        <f>IF(B851="","",IF(G851="",0,IF(F851="Card",ROUND(G851*CardFeePercent+CardFeeFixed,2),IF(F851="Online deposit",ROUND(G851*CardFeePercent+CardFeeFixed,2),0))))</f>
        <v>0</v>
      </c>
      <c r="T851" s="26">
        <f>IF(B851="","",ROUND(IF(G851="",0,G851)*R851-S851,2))</f>
        <v>0</v>
      </c>
      <c r="U851" s="38">
        <f>IF(B851="","",IF(E851="Tip","Yes","No"))</f>
        <v>0</v>
      </c>
      <c r="V851" s="15">
        <f>IF(B851="","",IF(H851&lt;&gt;"","Sale "&amp;H851,IF(I851&lt;&gt;"","Booking "&amp;I851,IF(E851="Tip","Stylist","Unapplied"))))</f>
        <v>0</v>
      </c>
      <c r="W851" s="39">
        <f>IF(B851="","",IF(G851="","Add - no amount yet",IF(E851="","Add - what was this for?",IF(IF(H851="",FALSE,COUNTIF(Sales!$A$5:$A$1204,H851)=0),"Missing - no sale with that ID",IF(IF(I851="",FALSE,COUNTIF(Appointments!$A$5:$A$1204,I851)=0),"Missing - no booking with that ID",IF(IF(E851="Tip",J851="",FALSE),"Assign - whose tip is it?",IF(IF(E851="Deposit",IF(H851="",I851="",FALSE),FALSE),"Check - deposit not tied to a booking",IF(M851="No","Due - not reconciled yet","OK"))))))))</f>
        <v>0</v>
      </c>
    </row>
    <row r="852" spans="1:23">
      <c r="A852" s="28">
        <f>IF(B852="","",PaymentPrefix&amp;TEXT(ROW()-4,"0000"))</f>
        <v>0</v>
      </c>
      <c r="D852" s="15">
        <f>IF(C852="","",IFERROR(INDEX(Clients!$B$5:$B$504,MATCH(C852,Clients!$A$5:$A$504,0)),"Walk-in"))</f>
        <v>0</v>
      </c>
      <c r="K852" s="15">
        <f>IF(J852="","",IFERROR(INDEX(Staff!$B$5:$B$44,MATCH(J852,Staff!$A$5:$A$44,0)),""))</f>
        <v>0</v>
      </c>
      <c r="O852" s="15">
        <f>IF(B852="","",TEXT(B852,"yyyy-mm"))</f>
        <v>0</v>
      </c>
      <c r="P852" s="25">
        <f>IF(B852="","",WEEKNUM(B852,2))</f>
        <v>0</v>
      </c>
      <c r="Q852" s="38">
        <f>IF(B852="","",IF(E852="Tip","No",IF(E852="Refund","No","Yes")))</f>
        <v>0</v>
      </c>
      <c r="R852" s="25">
        <f>IF(B852="","",IF(E852="Refund",-1,1))</f>
        <v>0</v>
      </c>
      <c r="S852" s="26">
        <f>IF(B852="","",IF(G852="",0,IF(F852="Card",ROUND(G852*CardFeePercent+CardFeeFixed,2),IF(F852="Online deposit",ROUND(G852*CardFeePercent+CardFeeFixed,2),0))))</f>
        <v>0</v>
      </c>
      <c r="T852" s="26">
        <f>IF(B852="","",ROUND(IF(G852="",0,G852)*R852-S852,2))</f>
        <v>0</v>
      </c>
      <c r="U852" s="38">
        <f>IF(B852="","",IF(E852="Tip","Yes","No"))</f>
        <v>0</v>
      </c>
      <c r="V852" s="15">
        <f>IF(B852="","",IF(H852&lt;&gt;"","Sale "&amp;H852,IF(I852&lt;&gt;"","Booking "&amp;I852,IF(E852="Tip","Stylist","Unapplied"))))</f>
        <v>0</v>
      </c>
      <c r="W852" s="39">
        <f>IF(B852="","",IF(G852="","Add - no amount yet",IF(E852="","Add - what was this for?",IF(IF(H852="",FALSE,COUNTIF(Sales!$A$5:$A$1204,H852)=0),"Missing - no sale with that ID",IF(IF(I852="",FALSE,COUNTIF(Appointments!$A$5:$A$1204,I852)=0),"Missing - no booking with that ID",IF(IF(E852="Tip",J852="",FALSE),"Assign - whose tip is it?",IF(IF(E852="Deposit",IF(H852="",I852="",FALSE),FALSE),"Check - deposit not tied to a booking",IF(M852="No","Due - not reconciled yet","OK"))))))))</f>
        <v>0</v>
      </c>
    </row>
    <row r="853" spans="1:23">
      <c r="A853" s="28">
        <f>IF(B853="","",PaymentPrefix&amp;TEXT(ROW()-4,"0000"))</f>
        <v>0</v>
      </c>
      <c r="D853" s="15">
        <f>IF(C853="","",IFERROR(INDEX(Clients!$B$5:$B$504,MATCH(C853,Clients!$A$5:$A$504,0)),"Walk-in"))</f>
        <v>0</v>
      </c>
      <c r="K853" s="15">
        <f>IF(J853="","",IFERROR(INDEX(Staff!$B$5:$B$44,MATCH(J853,Staff!$A$5:$A$44,0)),""))</f>
        <v>0</v>
      </c>
      <c r="O853" s="15">
        <f>IF(B853="","",TEXT(B853,"yyyy-mm"))</f>
        <v>0</v>
      </c>
      <c r="P853" s="25">
        <f>IF(B853="","",WEEKNUM(B853,2))</f>
        <v>0</v>
      </c>
      <c r="Q853" s="38">
        <f>IF(B853="","",IF(E853="Tip","No",IF(E853="Refund","No","Yes")))</f>
        <v>0</v>
      </c>
      <c r="R853" s="25">
        <f>IF(B853="","",IF(E853="Refund",-1,1))</f>
        <v>0</v>
      </c>
      <c r="S853" s="26">
        <f>IF(B853="","",IF(G853="",0,IF(F853="Card",ROUND(G853*CardFeePercent+CardFeeFixed,2),IF(F853="Online deposit",ROUND(G853*CardFeePercent+CardFeeFixed,2),0))))</f>
        <v>0</v>
      </c>
      <c r="T853" s="26">
        <f>IF(B853="","",ROUND(IF(G853="",0,G853)*R853-S853,2))</f>
        <v>0</v>
      </c>
      <c r="U853" s="38">
        <f>IF(B853="","",IF(E853="Tip","Yes","No"))</f>
        <v>0</v>
      </c>
      <c r="V853" s="15">
        <f>IF(B853="","",IF(H853&lt;&gt;"","Sale "&amp;H853,IF(I853&lt;&gt;"","Booking "&amp;I853,IF(E853="Tip","Stylist","Unapplied"))))</f>
        <v>0</v>
      </c>
      <c r="W853" s="39">
        <f>IF(B853="","",IF(G853="","Add - no amount yet",IF(E853="","Add - what was this for?",IF(IF(H853="",FALSE,COUNTIF(Sales!$A$5:$A$1204,H853)=0),"Missing - no sale with that ID",IF(IF(I853="",FALSE,COUNTIF(Appointments!$A$5:$A$1204,I853)=0),"Missing - no booking with that ID",IF(IF(E853="Tip",J853="",FALSE),"Assign - whose tip is it?",IF(IF(E853="Deposit",IF(H853="",I853="",FALSE),FALSE),"Check - deposit not tied to a booking",IF(M853="No","Due - not reconciled yet","OK"))))))))</f>
        <v>0</v>
      </c>
    </row>
    <row r="854" spans="1:23">
      <c r="A854" s="28">
        <f>IF(B854="","",PaymentPrefix&amp;TEXT(ROW()-4,"0000"))</f>
        <v>0</v>
      </c>
      <c r="D854" s="15">
        <f>IF(C854="","",IFERROR(INDEX(Clients!$B$5:$B$504,MATCH(C854,Clients!$A$5:$A$504,0)),"Walk-in"))</f>
        <v>0</v>
      </c>
      <c r="K854" s="15">
        <f>IF(J854="","",IFERROR(INDEX(Staff!$B$5:$B$44,MATCH(J854,Staff!$A$5:$A$44,0)),""))</f>
        <v>0</v>
      </c>
      <c r="O854" s="15">
        <f>IF(B854="","",TEXT(B854,"yyyy-mm"))</f>
        <v>0</v>
      </c>
      <c r="P854" s="25">
        <f>IF(B854="","",WEEKNUM(B854,2))</f>
        <v>0</v>
      </c>
      <c r="Q854" s="38">
        <f>IF(B854="","",IF(E854="Tip","No",IF(E854="Refund","No","Yes")))</f>
        <v>0</v>
      </c>
      <c r="R854" s="25">
        <f>IF(B854="","",IF(E854="Refund",-1,1))</f>
        <v>0</v>
      </c>
      <c r="S854" s="26">
        <f>IF(B854="","",IF(G854="",0,IF(F854="Card",ROUND(G854*CardFeePercent+CardFeeFixed,2),IF(F854="Online deposit",ROUND(G854*CardFeePercent+CardFeeFixed,2),0))))</f>
        <v>0</v>
      </c>
      <c r="T854" s="26">
        <f>IF(B854="","",ROUND(IF(G854="",0,G854)*R854-S854,2))</f>
        <v>0</v>
      </c>
      <c r="U854" s="38">
        <f>IF(B854="","",IF(E854="Tip","Yes","No"))</f>
        <v>0</v>
      </c>
      <c r="V854" s="15">
        <f>IF(B854="","",IF(H854&lt;&gt;"","Sale "&amp;H854,IF(I854&lt;&gt;"","Booking "&amp;I854,IF(E854="Tip","Stylist","Unapplied"))))</f>
        <v>0</v>
      </c>
      <c r="W854" s="39">
        <f>IF(B854="","",IF(G854="","Add - no amount yet",IF(E854="","Add - what was this for?",IF(IF(H854="",FALSE,COUNTIF(Sales!$A$5:$A$1204,H854)=0),"Missing - no sale with that ID",IF(IF(I854="",FALSE,COUNTIF(Appointments!$A$5:$A$1204,I854)=0),"Missing - no booking with that ID",IF(IF(E854="Tip",J854="",FALSE),"Assign - whose tip is it?",IF(IF(E854="Deposit",IF(H854="",I854="",FALSE),FALSE),"Check - deposit not tied to a booking",IF(M854="No","Due - not reconciled yet","OK"))))))))</f>
        <v>0</v>
      </c>
    </row>
    <row r="855" spans="1:23">
      <c r="A855" s="28">
        <f>IF(B855="","",PaymentPrefix&amp;TEXT(ROW()-4,"0000"))</f>
        <v>0</v>
      </c>
      <c r="D855" s="15">
        <f>IF(C855="","",IFERROR(INDEX(Clients!$B$5:$B$504,MATCH(C855,Clients!$A$5:$A$504,0)),"Walk-in"))</f>
        <v>0</v>
      </c>
      <c r="K855" s="15">
        <f>IF(J855="","",IFERROR(INDEX(Staff!$B$5:$B$44,MATCH(J855,Staff!$A$5:$A$44,0)),""))</f>
        <v>0</v>
      </c>
      <c r="O855" s="15">
        <f>IF(B855="","",TEXT(B855,"yyyy-mm"))</f>
        <v>0</v>
      </c>
      <c r="P855" s="25">
        <f>IF(B855="","",WEEKNUM(B855,2))</f>
        <v>0</v>
      </c>
      <c r="Q855" s="38">
        <f>IF(B855="","",IF(E855="Tip","No",IF(E855="Refund","No","Yes")))</f>
        <v>0</v>
      </c>
      <c r="R855" s="25">
        <f>IF(B855="","",IF(E855="Refund",-1,1))</f>
        <v>0</v>
      </c>
      <c r="S855" s="26">
        <f>IF(B855="","",IF(G855="",0,IF(F855="Card",ROUND(G855*CardFeePercent+CardFeeFixed,2),IF(F855="Online deposit",ROUND(G855*CardFeePercent+CardFeeFixed,2),0))))</f>
        <v>0</v>
      </c>
      <c r="T855" s="26">
        <f>IF(B855="","",ROUND(IF(G855="",0,G855)*R855-S855,2))</f>
        <v>0</v>
      </c>
      <c r="U855" s="38">
        <f>IF(B855="","",IF(E855="Tip","Yes","No"))</f>
        <v>0</v>
      </c>
      <c r="V855" s="15">
        <f>IF(B855="","",IF(H855&lt;&gt;"","Sale "&amp;H855,IF(I855&lt;&gt;"","Booking "&amp;I855,IF(E855="Tip","Stylist","Unapplied"))))</f>
        <v>0</v>
      </c>
      <c r="W855" s="39">
        <f>IF(B855="","",IF(G855="","Add - no amount yet",IF(E855="","Add - what was this for?",IF(IF(H855="",FALSE,COUNTIF(Sales!$A$5:$A$1204,H855)=0),"Missing - no sale with that ID",IF(IF(I855="",FALSE,COUNTIF(Appointments!$A$5:$A$1204,I855)=0),"Missing - no booking with that ID",IF(IF(E855="Tip",J855="",FALSE),"Assign - whose tip is it?",IF(IF(E855="Deposit",IF(H855="",I855="",FALSE),FALSE),"Check - deposit not tied to a booking",IF(M855="No","Due - not reconciled yet","OK"))))))))</f>
        <v>0</v>
      </c>
    </row>
    <row r="856" spans="1:23">
      <c r="A856" s="28">
        <f>IF(B856="","",PaymentPrefix&amp;TEXT(ROW()-4,"0000"))</f>
        <v>0</v>
      </c>
      <c r="D856" s="15">
        <f>IF(C856="","",IFERROR(INDEX(Clients!$B$5:$B$504,MATCH(C856,Clients!$A$5:$A$504,0)),"Walk-in"))</f>
        <v>0</v>
      </c>
      <c r="K856" s="15">
        <f>IF(J856="","",IFERROR(INDEX(Staff!$B$5:$B$44,MATCH(J856,Staff!$A$5:$A$44,0)),""))</f>
        <v>0</v>
      </c>
      <c r="O856" s="15">
        <f>IF(B856="","",TEXT(B856,"yyyy-mm"))</f>
        <v>0</v>
      </c>
      <c r="P856" s="25">
        <f>IF(B856="","",WEEKNUM(B856,2))</f>
        <v>0</v>
      </c>
      <c r="Q856" s="38">
        <f>IF(B856="","",IF(E856="Tip","No",IF(E856="Refund","No","Yes")))</f>
        <v>0</v>
      </c>
      <c r="R856" s="25">
        <f>IF(B856="","",IF(E856="Refund",-1,1))</f>
        <v>0</v>
      </c>
      <c r="S856" s="26">
        <f>IF(B856="","",IF(G856="",0,IF(F856="Card",ROUND(G856*CardFeePercent+CardFeeFixed,2),IF(F856="Online deposit",ROUND(G856*CardFeePercent+CardFeeFixed,2),0))))</f>
        <v>0</v>
      </c>
      <c r="T856" s="26">
        <f>IF(B856="","",ROUND(IF(G856="",0,G856)*R856-S856,2))</f>
        <v>0</v>
      </c>
      <c r="U856" s="38">
        <f>IF(B856="","",IF(E856="Tip","Yes","No"))</f>
        <v>0</v>
      </c>
      <c r="V856" s="15">
        <f>IF(B856="","",IF(H856&lt;&gt;"","Sale "&amp;H856,IF(I856&lt;&gt;"","Booking "&amp;I856,IF(E856="Tip","Stylist","Unapplied"))))</f>
        <v>0</v>
      </c>
      <c r="W856" s="39">
        <f>IF(B856="","",IF(G856="","Add - no amount yet",IF(E856="","Add - what was this for?",IF(IF(H856="",FALSE,COUNTIF(Sales!$A$5:$A$1204,H856)=0),"Missing - no sale with that ID",IF(IF(I856="",FALSE,COUNTIF(Appointments!$A$5:$A$1204,I856)=0),"Missing - no booking with that ID",IF(IF(E856="Tip",J856="",FALSE),"Assign - whose tip is it?",IF(IF(E856="Deposit",IF(H856="",I856="",FALSE),FALSE),"Check - deposit not tied to a booking",IF(M856="No","Due - not reconciled yet","OK"))))))))</f>
        <v>0</v>
      </c>
    </row>
    <row r="857" spans="1:23">
      <c r="A857" s="28">
        <f>IF(B857="","",PaymentPrefix&amp;TEXT(ROW()-4,"0000"))</f>
        <v>0</v>
      </c>
      <c r="D857" s="15">
        <f>IF(C857="","",IFERROR(INDEX(Clients!$B$5:$B$504,MATCH(C857,Clients!$A$5:$A$504,0)),"Walk-in"))</f>
        <v>0</v>
      </c>
      <c r="K857" s="15">
        <f>IF(J857="","",IFERROR(INDEX(Staff!$B$5:$B$44,MATCH(J857,Staff!$A$5:$A$44,0)),""))</f>
        <v>0</v>
      </c>
      <c r="O857" s="15">
        <f>IF(B857="","",TEXT(B857,"yyyy-mm"))</f>
        <v>0</v>
      </c>
      <c r="P857" s="25">
        <f>IF(B857="","",WEEKNUM(B857,2))</f>
        <v>0</v>
      </c>
      <c r="Q857" s="38">
        <f>IF(B857="","",IF(E857="Tip","No",IF(E857="Refund","No","Yes")))</f>
        <v>0</v>
      </c>
      <c r="R857" s="25">
        <f>IF(B857="","",IF(E857="Refund",-1,1))</f>
        <v>0</v>
      </c>
      <c r="S857" s="26">
        <f>IF(B857="","",IF(G857="",0,IF(F857="Card",ROUND(G857*CardFeePercent+CardFeeFixed,2),IF(F857="Online deposit",ROUND(G857*CardFeePercent+CardFeeFixed,2),0))))</f>
        <v>0</v>
      </c>
      <c r="T857" s="26">
        <f>IF(B857="","",ROUND(IF(G857="",0,G857)*R857-S857,2))</f>
        <v>0</v>
      </c>
      <c r="U857" s="38">
        <f>IF(B857="","",IF(E857="Tip","Yes","No"))</f>
        <v>0</v>
      </c>
      <c r="V857" s="15">
        <f>IF(B857="","",IF(H857&lt;&gt;"","Sale "&amp;H857,IF(I857&lt;&gt;"","Booking "&amp;I857,IF(E857="Tip","Stylist","Unapplied"))))</f>
        <v>0</v>
      </c>
      <c r="W857" s="39">
        <f>IF(B857="","",IF(G857="","Add - no amount yet",IF(E857="","Add - what was this for?",IF(IF(H857="",FALSE,COUNTIF(Sales!$A$5:$A$1204,H857)=0),"Missing - no sale with that ID",IF(IF(I857="",FALSE,COUNTIF(Appointments!$A$5:$A$1204,I857)=0),"Missing - no booking with that ID",IF(IF(E857="Tip",J857="",FALSE),"Assign - whose tip is it?",IF(IF(E857="Deposit",IF(H857="",I857="",FALSE),FALSE),"Check - deposit not tied to a booking",IF(M857="No","Due - not reconciled yet","OK"))))))))</f>
        <v>0</v>
      </c>
    </row>
    <row r="858" spans="1:23">
      <c r="A858" s="28">
        <f>IF(B858="","",PaymentPrefix&amp;TEXT(ROW()-4,"0000"))</f>
        <v>0</v>
      </c>
      <c r="D858" s="15">
        <f>IF(C858="","",IFERROR(INDEX(Clients!$B$5:$B$504,MATCH(C858,Clients!$A$5:$A$504,0)),"Walk-in"))</f>
        <v>0</v>
      </c>
      <c r="K858" s="15">
        <f>IF(J858="","",IFERROR(INDEX(Staff!$B$5:$B$44,MATCH(J858,Staff!$A$5:$A$44,0)),""))</f>
        <v>0</v>
      </c>
      <c r="O858" s="15">
        <f>IF(B858="","",TEXT(B858,"yyyy-mm"))</f>
        <v>0</v>
      </c>
      <c r="P858" s="25">
        <f>IF(B858="","",WEEKNUM(B858,2))</f>
        <v>0</v>
      </c>
      <c r="Q858" s="38">
        <f>IF(B858="","",IF(E858="Tip","No",IF(E858="Refund","No","Yes")))</f>
        <v>0</v>
      </c>
      <c r="R858" s="25">
        <f>IF(B858="","",IF(E858="Refund",-1,1))</f>
        <v>0</v>
      </c>
      <c r="S858" s="26">
        <f>IF(B858="","",IF(G858="",0,IF(F858="Card",ROUND(G858*CardFeePercent+CardFeeFixed,2),IF(F858="Online deposit",ROUND(G858*CardFeePercent+CardFeeFixed,2),0))))</f>
        <v>0</v>
      </c>
      <c r="T858" s="26">
        <f>IF(B858="","",ROUND(IF(G858="",0,G858)*R858-S858,2))</f>
        <v>0</v>
      </c>
      <c r="U858" s="38">
        <f>IF(B858="","",IF(E858="Tip","Yes","No"))</f>
        <v>0</v>
      </c>
      <c r="V858" s="15">
        <f>IF(B858="","",IF(H858&lt;&gt;"","Sale "&amp;H858,IF(I858&lt;&gt;"","Booking "&amp;I858,IF(E858="Tip","Stylist","Unapplied"))))</f>
        <v>0</v>
      </c>
      <c r="W858" s="39">
        <f>IF(B858="","",IF(G858="","Add - no amount yet",IF(E858="","Add - what was this for?",IF(IF(H858="",FALSE,COUNTIF(Sales!$A$5:$A$1204,H858)=0),"Missing - no sale with that ID",IF(IF(I858="",FALSE,COUNTIF(Appointments!$A$5:$A$1204,I858)=0),"Missing - no booking with that ID",IF(IF(E858="Tip",J858="",FALSE),"Assign - whose tip is it?",IF(IF(E858="Deposit",IF(H858="",I858="",FALSE),FALSE),"Check - deposit not tied to a booking",IF(M858="No","Due - not reconciled yet","OK"))))))))</f>
        <v>0</v>
      </c>
    </row>
    <row r="859" spans="1:23">
      <c r="A859" s="28">
        <f>IF(B859="","",PaymentPrefix&amp;TEXT(ROW()-4,"0000"))</f>
        <v>0</v>
      </c>
      <c r="D859" s="15">
        <f>IF(C859="","",IFERROR(INDEX(Clients!$B$5:$B$504,MATCH(C859,Clients!$A$5:$A$504,0)),"Walk-in"))</f>
        <v>0</v>
      </c>
      <c r="K859" s="15">
        <f>IF(J859="","",IFERROR(INDEX(Staff!$B$5:$B$44,MATCH(J859,Staff!$A$5:$A$44,0)),""))</f>
        <v>0</v>
      </c>
      <c r="O859" s="15">
        <f>IF(B859="","",TEXT(B859,"yyyy-mm"))</f>
        <v>0</v>
      </c>
      <c r="P859" s="25">
        <f>IF(B859="","",WEEKNUM(B859,2))</f>
        <v>0</v>
      </c>
      <c r="Q859" s="38">
        <f>IF(B859="","",IF(E859="Tip","No",IF(E859="Refund","No","Yes")))</f>
        <v>0</v>
      </c>
      <c r="R859" s="25">
        <f>IF(B859="","",IF(E859="Refund",-1,1))</f>
        <v>0</v>
      </c>
      <c r="S859" s="26">
        <f>IF(B859="","",IF(G859="",0,IF(F859="Card",ROUND(G859*CardFeePercent+CardFeeFixed,2),IF(F859="Online deposit",ROUND(G859*CardFeePercent+CardFeeFixed,2),0))))</f>
        <v>0</v>
      </c>
      <c r="T859" s="26">
        <f>IF(B859="","",ROUND(IF(G859="",0,G859)*R859-S859,2))</f>
        <v>0</v>
      </c>
      <c r="U859" s="38">
        <f>IF(B859="","",IF(E859="Tip","Yes","No"))</f>
        <v>0</v>
      </c>
      <c r="V859" s="15">
        <f>IF(B859="","",IF(H859&lt;&gt;"","Sale "&amp;H859,IF(I859&lt;&gt;"","Booking "&amp;I859,IF(E859="Tip","Stylist","Unapplied"))))</f>
        <v>0</v>
      </c>
      <c r="W859" s="39">
        <f>IF(B859="","",IF(G859="","Add - no amount yet",IF(E859="","Add - what was this for?",IF(IF(H859="",FALSE,COUNTIF(Sales!$A$5:$A$1204,H859)=0),"Missing - no sale with that ID",IF(IF(I859="",FALSE,COUNTIF(Appointments!$A$5:$A$1204,I859)=0),"Missing - no booking with that ID",IF(IF(E859="Tip",J859="",FALSE),"Assign - whose tip is it?",IF(IF(E859="Deposit",IF(H859="",I859="",FALSE),FALSE),"Check - deposit not tied to a booking",IF(M859="No","Due - not reconciled yet","OK"))))))))</f>
        <v>0</v>
      </c>
    </row>
    <row r="860" spans="1:23">
      <c r="A860" s="28">
        <f>IF(B860="","",PaymentPrefix&amp;TEXT(ROW()-4,"0000"))</f>
        <v>0</v>
      </c>
      <c r="D860" s="15">
        <f>IF(C860="","",IFERROR(INDEX(Clients!$B$5:$B$504,MATCH(C860,Clients!$A$5:$A$504,0)),"Walk-in"))</f>
        <v>0</v>
      </c>
      <c r="K860" s="15">
        <f>IF(J860="","",IFERROR(INDEX(Staff!$B$5:$B$44,MATCH(J860,Staff!$A$5:$A$44,0)),""))</f>
        <v>0</v>
      </c>
      <c r="O860" s="15">
        <f>IF(B860="","",TEXT(B860,"yyyy-mm"))</f>
        <v>0</v>
      </c>
      <c r="P860" s="25">
        <f>IF(B860="","",WEEKNUM(B860,2))</f>
        <v>0</v>
      </c>
      <c r="Q860" s="38">
        <f>IF(B860="","",IF(E860="Tip","No",IF(E860="Refund","No","Yes")))</f>
        <v>0</v>
      </c>
      <c r="R860" s="25">
        <f>IF(B860="","",IF(E860="Refund",-1,1))</f>
        <v>0</v>
      </c>
      <c r="S860" s="26">
        <f>IF(B860="","",IF(G860="",0,IF(F860="Card",ROUND(G860*CardFeePercent+CardFeeFixed,2),IF(F860="Online deposit",ROUND(G860*CardFeePercent+CardFeeFixed,2),0))))</f>
        <v>0</v>
      </c>
      <c r="T860" s="26">
        <f>IF(B860="","",ROUND(IF(G860="",0,G860)*R860-S860,2))</f>
        <v>0</v>
      </c>
      <c r="U860" s="38">
        <f>IF(B860="","",IF(E860="Tip","Yes","No"))</f>
        <v>0</v>
      </c>
      <c r="V860" s="15">
        <f>IF(B860="","",IF(H860&lt;&gt;"","Sale "&amp;H860,IF(I860&lt;&gt;"","Booking "&amp;I860,IF(E860="Tip","Stylist","Unapplied"))))</f>
        <v>0</v>
      </c>
      <c r="W860" s="39">
        <f>IF(B860="","",IF(G860="","Add - no amount yet",IF(E860="","Add - what was this for?",IF(IF(H860="",FALSE,COUNTIF(Sales!$A$5:$A$1204,H860)=0),"Missing - no sale with that ID",IF(IF(I860="",FALSE,COUNTIF(Appointments!$A$5:$A$1204,I860)=0),"Missing - no booking with that ID",IF(IF(E860="Tip",J860="",FALSE),"Assign - whose tip is it?",IF(IF(E860="Deposit",IF(H860="",I860="",FALSE),FALSE),"Check - deposit not tied to a booking",IF(M860="No","Due - not reconciled yet","OK"))))))))</f>
        <v>0</v>
      </c>
    </row>
    <row r="861" spans="1:23">
      <c r="A861" s="28">
        <f>IF(B861="","",PaymentPrefix&amp;TEXT(ROW()-4,"0000"))</f>
        <v>0</v>
      </c>
      <c r="D861" s="15">
        <f>IF(C861="","",IFERROR(INDEX(Clients!$B$5:$B$504,MATCH(C861,Clients!$A$5:$A$504,0)),"Walk-in"))</f>
        <v>0</v>
      </c>
      <c r="K861" s="15">
        <f>IF(J861="","",IFERROR(INDEX(Staff!$B$5:$B$44,MATCH(J861,Staff!$A$5:$A$44,0)),""))</f>
        <v>0</v>
      </c>
      <c r="O861" s="15">
        <f>IF(B861="","",TEXT(B861,"yyyy-mm"))</f>
        <v>0</v>
      </c>
      <c r="P861" s="25">
        <f>IF(B861="","",WEEKNUM(B861,2))</f>
        <v>0</v>
      </c>
      <c r="Q861" s="38">
        <f>IF(B861="","",IF(E861="Tip","No",IF(E861="Refund","No","Yes")))</f>
        <v>0</v>
      </c>
      <c r="R861" s="25">
        <f>IF(B861="","",IF(E861="Refund",-1,1))</f>
        <v>0</v>
      </c>
      <c r="S861" s="26">
        <f>IF(B861="","",IF(G861="",0,IF(F861="Card",ROUND(G861*CardFeePercent+CardFeeFixed,2),IF(F861="Online deposit",ROUND(G861*CardFeePercent+CardFeeFixed,2),0))))</f>
        <v>0</v>
      </c>
      <c r="T861" s="26">
        <f>IF(B861="","",ROUND(IF(G861="",0,G861)*R861-S861,2))</f>
        <v>0</v>
      </c>
      <c r="U861" s="38">
        <f>IF(B861="","",IF(E861="Tip","Yes","No"))</f>
        <v>0</v>
      </c>
      <c r="V861" s="15">
        <f>IF(B861="","",IF(H861&lt;&gt;"","Sale "&amp;H861,IF(I861&lt;&gt;"","Booking "&amp;I861,IF(E861="Tip","Stylist","Unapplied"))))</f>
        <v>0</v>
      </c>
      <c r="W861" s="39">
        <f>IF(B861="","",IF(G861="","Add - no amount yet",IF(E861="","Add - what was this for?",IF(IF(H861="",FALSE,COUNTIF(Sales!$A$5:$A$1204,H861)=0),"Missing - no sale with that ID",IF(IF(I861="",FALSE,COUNTIF(Appointments!$A$5:$A$1204,I861)=0),"Missing - no booking with that ID",IF(IF(E861="Tip",J861="",FALSE),"Assign - whose tip is it?",IF(IF(E861="Deposit",IF(H861="",I861="",FALSE),FALSE),"Check - deposit not tied to a booking",IF(M861="No","Due - not reconciled yet","OK"))))))))</f>
        <v>0</v>
      </c>
    </row>
    <row r="862" spans="1:23">
      <c r="A862" s="28">
        <f>IF(B862="","",PaymentPrefix&amp;TEXT(ROW()-4,"0000"))</f>
        <v>0</v>
      </c>
      <c r="D862" s="15">
        <f>IF(C862="","",IFERROR(INDEX(Clients!$B$5:$B$504,MATCH(C862,Clients!$A$5:$A$504,0)),"Walk-in"))</f>
        <v>0</v>
      </c>
      <c r="K862" s="15">
        <f>IF(J862="","",IFERROR(INDEX(Staff!$B$5:$B$44,MATCH(J862,Staff!$A$5:$A$44,0)),""))</f>
        <v>0</v>
      </c>
      <c r="O862" s="15">
        <f>IF(B862="","",TEXT(B862,"yyyy-mm"))</f>
        <v>0</v>
      </c>
      <c r="P862" s="25">
        <f>IF(B862="","",WEEKNUM(B862,2))</f>
        <v>0</v>
      </c>
      <c r="Q862" s="38">
        <f>IF(B862="","",IF(E862="Tip","No",IF(E862="Refund","No","Yes")))</f>
        <v>0</v>
      </c>
      <c r="R862" s="25">
        <f>IF(B862="","",IF(E862="Refund",-1,1))</f>
        <v>0</v>
      </c>
      <c r="S862" s="26">
        <f>IF(B862="","",IF(G862="",0,IF(F862="Card",ROUND(G862*CardFeePercent+CardFeeFixed,2),IF(F862="Online deposit",ROUND(G862*CardFeePercent+CardFeeFixed,2),0))))</f>
        <v>0</v>
      </c>
      <c r="T862" s="26">
        <f>IF(B862="","",ROUND(IF(G862="",0,G862)*R862-S862,2))</f>
        <v>0</v>
      </c>
      <c r="U862" s="38">
        <f>IF(B862="","",IF(E862="Tip","Yes","No"))</f>
        <v>0</v>
      </c>
      <c r="V862" s="15">
        <f>IF(B862="","",IF(H862&lt;&gt;"","Sale "&amp;H862,IF(I862&lt;&gt;"","Booking "&amp;I862,IF(E862="Tip","Stylist","Unapplied"))))</f>
        <v>0</v>
      </c>
      <c r="W862" s="39">
        <f>IF(B862="","",IF(G862="","Add - no amount yet",IF(E862="","Add - what was this for?",IF(IF(H862="",FALSE,COUNTIF(Sales!$A$5:$A$1204,H862)=0),"Missing - no sale with that ID",IF(IF(I862="",FALSE,COUNTIF(Appointments!$A$5:$A$1204,I862)=0),"Missing - no booking with that ID",IF(IF(E862="Tip",J862="",FALSE),"Assign - whose tip is it?",IF(IF(E862="Deposit",IF(H862="",I862="",FALSE),FALSE),"Check - deposit not tied to a booking",IF(M862="No","Due - not reconciled yet","OK"))))))))</f>
        <v>0</v>
      </c>
    </row>
    <row r="863" spans="1:23">
      <c r="A863" s="28">
        <f>IF(B863="","",PaymentPrefix&amp;TEXT(ROW()-4,"0000"))</f>
        <v>0</v>
      </c>
      <c r="D863" s="15">
        <f>IF(C863="","",IFERROR(INDEX(Clients!$B$5:$B$504,MATCH(C863,Clients!$A$5:$A$504,0)),"Walk-in"))</f>
        <v>0</v>
      </c>
      <c r="K863" s="15">
        <f>IF(J863="","",IFERROR(INDEX(Staff!$B$5:$B$44,MATCH(J863,Staff!$A$5:$A$44,0)),""))</f>
        <v>0</v>
      </c>
      <c r="O863" s="15">
        <f>IF(B863="","",TEXT(B863,"yyyy-mm"))</f>
        <v>0</v>
      </c>
      <c r="P863" s="25">
        <f>IF(B863="","",WEEKNUM(B863,2))</f>
        <v>0</v>
      </c>
      <c r="Q863" s="38">
        <f>IF(B863="","",IF(E863="Tip","No",IF(E863="Refund","No","Yes")))</f>
        <v>0</v>
      </c>
      <c r="R863" s="25">
        <f>IF(B863="","",IF(E863="Refund",-1,1))</f>
        <v>0</v>
      </c>
      <c r="S863" s="26">
        <f>IF(B863="","",IF(G863="",0,IF(F863="Card",ROUND(G863*CardFeePercent+CardFeeFixed,2),IF(F863="Online deposit",ROUND(G863*CardFeePercent+CardFeeFixed,2),0))))</f>
        <v>0</v>
      </c>
      <c r="T863" s="26">
        <f>IF(B863="","",ROUND(IF(G863="",0,G863)*R863-S863,2))</f>
        <v>0</v>
      </c>
      <c r="U863" s="38">
        <f>IF(B863="","",IF(E863="Tip","Yes","No"))</f>
        <v>0</v>
      </c>
      <c r="V863" s="15">
        <f>IF(B863="","",IF(H863&lt;&gt;"","Sale "&amp;H863,IF(I863&lt;&gt;"","Booking "&amp;I863,IF(E863="Tip","Stylist","Unapplied"))))</f>
        <v>0</v>
      </c>
      <c r="W863" s="39">
        <f>IF(B863="","",IF(G863="","Add - no amount yet",IF(E863="","Add - what was this for?",IF(IF(H863="",FALSE,COUNTIF(Sales!$A$5:$A$1204,H863)=0),"Missing - no sale with that ID",IF(IF(I863="",FALSE,COUNTIF(Appointments!$A$5:$A$1204,I863)=0),"Missing - no booking with that ID",IF(IF(E863="Tip",J863="",FALSE),"Assign - whose tip is it?",IF(IF(E863="Deposit",IF(H863="",I863="",FALSE),FALSE),"Check - deposit not tied to a booking",IF(M863="No","Due - not reconciled yet","OK"))))))))</f>
        <v>0</v>
      </c>
    </row>
    <row r="864" spans="1:23">
      <c r="A864" s="28">
        <f>IF(B864="","",PaymentPrefix&amp;TEXT(ROW()-4,"0000"))</f>
        <v>0</v>
      </c>
      <c r="D864" s="15">
        <f>IF(C864="","",IFERROR(INDEX(Clients!$B$5:$B$504,MATCH(C864,Clients!$A$5:$A$504,0)),"Walk-in"))</f>
        <v>0</v>
      </c>
      <c r="K864" s="15">
        <f>IF(J864="","",IFERROR(INDEX(Staff!$B$5:$B$44,MATCH(J864,Staff!$A$5:$A$44,0)),""))</f>
        <v>0</v>
      </c>
      <c r="O864" s="15">
        <f>IF(B864="","",TEXT(B864,"yyyy-mm"))</f>
        <v>0</v>
      </c>
      <c r="P864" s="25">
        <f>IF(B864="","",WEEKNUM(B864,2))</f>
        <v>0</v>
      </c>
      <c r="Q864" s="38">
        <f>IF(B864="","",IF(E864="Tip","No",IF(E864="Refund","No","Yes")))</f>
        <v>0</v>
      </c>
      <c r="R864" s="25">
        <f>IF(B864="","",IF(E864="Refund",-1,1))</f>
        <v>0</v>
      </c>
      <c r="S864" s="26">
        <f>IF(B864="","",IF(G864="",0,IF(F864="Card",ROUND(G864*CardFeePercent+CardFeeFixed,2),IF(F864="Online deposit",ROUND(G864*CardFeePercent+CardFeeFixed,2),0))))</f>
        <v>0</v>
      </c>
      <c r="T864" s="26">
        <f>IF(B864="","",ROUND(IF(G864="",0,G864)*R864-S864,2))</f>
        <v>0</v>
      </c>
      <c r="U864" s="38">
        <f>IF(B864="","",IF(E864="Tip","Yes","No"))</f>
        <v>0</v>
      </c>
      <c r="V864" s="15">
        <f>IF(B864="","",IF(H864&lt;&gt;"","Sale "&amp;H864,IF(I864&lt;&gt;"","Booking "&amp;I864,IF(E864="Tip","Stylist","Unapplied"))))</f>
        <v>0</v>
      </c>
      <c r="W864" s="39">
        <f>IF(B864="","",IF(G864="","Add - no amount yet",IF(E864="","Add - what was this for?",IF(IF(H864="",FALSE,COUNTIF(Sales!$A$5:$A$1204,H864)=0),"Missing - no sale with that ID",IF(IF(I864="",FALSE,COUNTIF(Appointments!$A$5:$A$1204,I864)=0),"Missing - no booking with that ID",IF(IF(E864="Tip",J864="",FALSE),"Assign - whose tip is it?",IF(IF(E864="Deposit",IF(H864="",I864="",FALSE),FALSE),"Check - deposit not tied to a booking",IF(M864="No","Due - not reconciled yet","OK"))))))))</f>
        <v>0</v>
      </c>
    </row>
    <row r="865" spans="1:23">
      <c r="A865" s="28">
        <f>IF(B865="","",PaymentPrefix&amp;TEXT(ROW()-4,"0000"))</f>
        <v>0</v>
      </c>
      <c r="D865" s="15">
        <f>IF(C865="","",IFERROR(INDEX(Clients!$B$5:$B$504,MATCH(C865,Clients!$A$5:$A$504,0)),"Walk-in"))</f>
        <v>0</v>
      </c>
      <c r="K865" s="15">
        <f>IF(J865="","",IFERROR(INDEX(Staff!$B$5:$B$44,MATCH(J865,Staff!$A$5:$A$44,0)),""))</f>
        <v>0</v>
      </c>
      <c r="O865" s="15">
        <f>IF(B865="","",TEXT(B865,"yyyy-mm"))</f>
        <v>0</v>
      </c>
      <c r="P865" s="25">
        <f>IF(B865="","",WEEKNUM(B865,2))</f>
        <v>0</v>
      </c>
      <c r="Q865" s="38">
        <f>IF(B865="","",IF(E865="Tip","No",IF(E865="Refund","No","Yes")))</f>
        <v>0</v>
      </c>
      <c r="R865" s="25">
        <f>IF(B865="","",IF(E865="Refund",-1,1))</f>
        <v>0</v>
      </c>
      <c r="S865" s="26">
        <f>IF(B865="","",IF(G865="",0,IF(F865="Card",ROUND(G865*CardFeePercent+CardFeeFixed,2),IF(F865="Online deposit",ROUND(G865*CardFeePercent+CardFeeFixed,2),0))))</f>
        <v>0</v>
      </c>
      <c r="T865" s="26">
        <f>IF(B865="","",ROUND(IF(G865="",0,G865)*R865-S865,2))</f>
        <v>0</v>
      </c>
      <c r="U865" s="38">
        <f>IF(B865="","",IF(E865="Tip","Yes","No"))</f>
        <v>0</v>
      </c>
      <c r="V865" s="15">
        <f>IF(B865="","",IF(H865&lt;&gt;"","Sale "&amp;H865,IF(I865&lt;&gt;"","Booking "&amp;I865,IF(E865="Tip","Stylist","Unapplied"))))</f>
        <v>0</v>
      </c>
      <c r="W865" s="39">
        <f>IF(B865="","",IF(G865="","Add - no amount yet",IF(E865="","Add - what was this for?",IF(IF(H865="",FALSE,COUNTIF(Sales!$A$5:$A$1204,H865)=0),"Missing - no sale with that ID",IF(IF(I865="",FALSE,COUNTIF(Appointments!$A$5:$A$1204,I865)=0),"Missing - no booking with that ID",IF(IF(E865="Tip",J865="",FALSE),"Assign - whose tip is it?",IF(IF(E865="Deposit",IF(H865="",I865="",FALSE),FALSE),"Check - deposit not tied to a booking",IF(M865="No","Due - not reconciled yet","OK"))))))))</f>
        <v>0</v>
      </c>
    </row>
    <row r="866" spans="1:23">
      <c r="A866" s="28">
        <f>IF(B866="","",PaymentPrefix&amp;TEXT(ROW()-4,"0000"))</f>
        <v>0</v>
      </c>
      <c r="D866" s="15">
        <f>IF(C866="","",IFERROR(INDEX(Clients!$B$5:$B$504,MATCH(C866,Clients!$A$5:$A$504,0)),"Walk-in"))</f>
        <v>0</v>
      </c>
      <c r="K866" s="15">
        <f>IF(J866="","",IFERROR(INDEX(Staff!$B$5:$B$44,MATCH(J866,Staff!$A$5:$A$44,0)),""))</f>
        <v>0</v>
      </c>
      <c r="O866" s="15">
        <f>IF(B866="","",TEXT(B866,"yyyy-mm"))</f>
        <v>0</v>
      </c>
      <c r="P866" s="25">
        <f>IF(B866="","",WEEKNUM(B866,2))</f>
        <v>0</v>
      </c>
      <c r="Q866" s="38">
        <f>IF(B866="","",IF(E866="Tip","No",IF(E866="Refund","No","Yes")))</f>
        <v>0</v>
      </c>
      <c r="R866" s="25">
        <f>IF(B866="","",IF(E866="Refund",-1,1))</f>
        <v>0</v>
      </c>
      <c r="S866" s="26">
        <f>IF(B866="","",IF(G866="",0,IF(F866="Card",ROUND(G866*CardFeePercent+CardFeeFixed,2),IF(F866="Online deposit",ROUND(G866*CardFeePercent+CardFeeFixed,2),0))))</f>
        <v>0</v>
      </c>
      <c r="T866" s="26">
        <f>IF(B866="","",ROUND(IF(G866="",0,G866)*R866-S866,2))</f>
        <v>0</v>
      </c>
      <c r="U866" s="38">
        <f>IF(B866="","",IF(E866="Tip","Yes","No"))</f>
        <v>0</v>
      </c>
      <c r="V866" s="15">
        <f>IF(B866="","",IF(H866&lt;&gt;"","Sale "&amp;H866,IF(I866&lt;&gt;"","Booking "&amp;I866,IF(E866="Tip","Stylist","Unapplied"))))</f>
        <v>0</v>
      </c>
      <c r="W866" s="39">
        <f>IF(B866="","",IF(G866="","Add - no amount yet",IF(E866="","Add - what was this for?",IF(IF(H866="",FALSE,COUNTIF(Sales!$A$5:$A$1204,H866)=0),"Missing - no sale with that ID",IF(IF(I866="",FALSE,COUNTIF(Appointments!$A$5:$A$1204,I866)=0),"Missing - no booking with that ID",IF(IF(E866="Tip",J866="",FALSE),"Assign - whose tip is it?",IF(IF(E866="Deposit",IF(H866="",I866="",FALSE),FALSE),"Check - deposit not tied to a booking",IF(M866="No","Due - not reconciled yet","OK"))))))))</f>
        <v>0</v>
      </c>
    </row>
    <row r="867" spans="1:23">
      <c r="A867" s="28">
        <f>IF(B867="","",PaymentPrefix&amp;TEXT(ROW()-4,"0000"))</f>
        <v>0</v>
      </c>
      <c r="D867" s="15">
        <f>IF(C867="","",IFERROR(INDEX(Clients!$B$5:$B$504,MATCH(C867,Clients!$A$5:$A$504,0)),"Walk-in"))</f>
        <v>0</v>
      </c>
      <c r="K867" s="15">
        <f>IF(J867="","",IFERROR(INDEX(Staff!$B$5:$B$44,MATCH(J867,Staff!$A$5:$A$44,0)),""))</f>
        <v>0</v>
      </c>
      <c r="O867" s="15">
        <f>IF(B867="","",TEXT(B867,"yyyy-mm"))</f>
        <v>0</v>
      </c>
      <c r="P867" s="25">
        <f>IF(B867="","",WEEKNUM(B867,2))</f>
        <v>0</v>
      </c>
      <c r="Q867" s="38">
        <f>IF(B867="","",IF(E867="Tip","No",IF(E867="Refund","No","Yes")))</f>
        <v>0</v>
      </c>
      <c r="R867" s="25">
        <f>IF(B867="","",IF(E867="Refund",-1,1))</f>
        <v>0</v>
      </c>
      <c r="S867" s="26">
        <f>IF(B867="","",IF(G867="",0,IF(F867="Card",ROUND(G867*CardFeePercent+CardFeeFixed,2),IF(F867="Online deposit",ROUND(G867*CardFeePercent+CardFeeFixed,2),0))))</f>
        <v>0</v>
      </c>
      <c r="T867" s="26">
        <f>IF(B867="","",ROUND(IF(G867="",0,G867)*R867-S867,2))</f>
        <v>0</v>
      </c>
      <c r="U867" s="38">
        <f>IF(B867="","",IF(E867="Tip","Yes","No"))</f>
        <v>0</v>
      </c>
      <c r="V867" s="15">
        <f>IF(B867="","",IF(H867&lt;&gt;"","Sale "&amp;H867,IF(I867&lt;&gt;"","Booking "&amp;I867,IF(E867="Tip","Stylist","Unapplied"))))</f>
        <v>0</v>
      </c>
      <c r="W867" s="39">
        <f>IF(B867="","",IF(G867="","Add - no amount yet",IF(E867="","Add - what was this for?",IF(IF(H867="",FALSE,COUNTIF(Sales!$A$5:$A$1204,H867)=0),"Missing - no sale with that ID",IF(IF(I867="",FALSE,COUNTIF(Appointments!$A$5:$A$1204,I867)=0),"Missing - no booking with that ID",IF(IF(E867="Tip",J867="",FALSE),"Assign - whose tip is it?",IF(IF(E867="Deposit",IF(H867="",I867="",FALSE),FALSE),"Check - deposit not tied to a booking",IF(M867="No","Due - not reconciled yet","OK"))))))))</f>
        <v>0</v>
      </c>
    </row>
    <row r="868" spans="1:23">
      <c r="A868" s="28">
        <f>IF(B868="","",PaymentPrefix&amp;TEXT(ROW()-4,"0000"))</f>
        <v>0</v>
      </c>
      <c r="D868" s="15">
        <f>IF(C868="","",IFERROR(INDEX(Clients!$B$5:$B$504,MATCH(C868,Clients!$A$5:$A$504,0)),"Walk-in"))</f>
        <v>0</v>
      </c>
      <c r="K868" s="15">
        <f>IF(J868="","",IFERROR(INDEX(Staff!$B$5:$B$44,MATCH(J868,Staff!$A$5:$A$44,0)),""))</f>
        <v>0</v>
      </c>
      <c r="O868" s="15">
        <f>IF(B868="","",TEXT(B868,"yyyy-mm"))</f>
        <v>0</v>
      </c>
      <c r="P868" s="25">
        <f>IF(B868="","",WEEKNUM(B868,2))</f>
        <v>0</v>
      </c>
      <c r="Q868" s="38">
        <f>IF(B868="","",IF(E868="Tip","No",IF(E868="Refund","No","Yes")))</f>
        <v>0</v>
      </c>
      <c r="R868" s="25">
        <f>IF(B868="","",IF(E868="Refund",-1,1))</f>
        <v>0</v>
      </c>
      <c r="S868" s="26">
        <f>IF(B868="","",IF(G868="",0,IF(F868="Card",ROUND(G868*CardFeePercent+CardFeeFixed,2),IF(F868="Online deposit",ROUND(G868*CardFeePercent+CardFeeFixed,2),0))))</f>
        <v>0</v>
      </c>
      <c r="T868" s="26">
        <f>IF(B868="","",ROUND(IF(G868="",0,G868)*R868-S868,2))</f>
        <v>0</v>
      </c>
      <c r="U868" s="38">
        <f>IF(B868="","",IF(E868="Tip","Yes","No"))</f>
        <v>0</v>
      </c>
      <c r="V868" s="15">
        <f>IF(B868="","",IF(H868&lt;&gt;"","Sale "&amp;H868,IF(I868&lt;&gt;"","Booking "&amp;I868,IF(E868="Tip","Stylist","Unapplied"))))</f>
        <v>0</v>
      </c>
      <c r="W868" s="39">
        <f>IF(B868="","",IF(G868="","Add - no amount yet",IF(E868="","Add - what was this for?",IF(IF(H868="",FALSE,COUNTIF(Sales!$A$5:$A$1204,H868)=0),"Missing - no sale with that ID",IF(IF(I868="",FALSE,COUNTIF(Appointments!$A$5:$A$1204,I868)=0),"Missing - no booking with that ID",IF(IF(E868="Tip",J868="",FALSE),"Assign - whose tip is it?",IF(IF(E868="Deposit",IF(H868="",I868="",FALSE),FALSE),"Check - deposit not tied to a booking",IF(M868="No","Due - not reconciled yet","OK"))))))))</f>
        <v>0</v>
      </c>
    </row>
    <row r="869" spans="1:23">
      <c r="A869" s="28">
        <f>IF(B869="","",PaymentPrefix&amp;TEXT(ROW()-4,"0000"))</f>
        <v>0</v>
      </c>
      <c r="D869" s="15">
        <f>IF(C869="","",IFERROR(INDEX(Clients!$B$5:$B$504,MATCH(C869,Clients!$A$5:$A$504,0)),"Walk-in"))</f>
        <v>0</v>
      </c>
      <c r="K869" s="15">
        <f>IF(J869="","",IFERROR(INDEX(Staff!$B$5:$B$44,MATCH(J869,Staff!$A$5:$A$44,0)),""))</f>
        <v>0</v>
      </c>
      <c r="O869" s="15">
        <f>IF(B869="","",TEXT(B869,"yyyy-mm"))</f>
        <v>0</v>
      </c>
      <c r="P869" s="25">
        <f>IF(B869="","",WEEKNUM(B869,2))</f>
        <v>0</v>
      </c>
      <c r="Q869" s="38">
        <f>IF(B869="","",IF(E869="Tip","No",IF(E869="Refund","No","Yes")))</f>
        <v>0</v>
      </c>
      <c r="R869" s="25">
        <f>IF(B869="","",IF(E869="Refund",-1,1))</f>
        <v>0</v>
      </c>
      <c r="S869" s="26">
        <f>IF(B869="","",IF(G869="",0,IF(F869="Card",ROUND(G869*CardFeePercent+CardFeeFixed,2),IF(F869="Online deposit",ROUND(G869*CardFeePercent+CardFeeFixed,2),0))))</f>
        <v>0</v>
      </c>
      <c r="T869" s="26">
        <f>IF(B869="","",ROUND(IF(G869="",0,G869)*R869-S869,2))</f>
        <v>0</v>
      </c>
      <c r="U869" s="38">
        <f>IF(B869="","",IF(E869="Tip","Yes","No"))</f>
        <v>0</v>
      </c>
      <c r="V869" s="15">
        <f>IF(B869="","",IF(H869&lt;&gt;"","Sale "&amp;H869,IF(I869&lt;&gt;"","Booking "&amp;I869,IF(E869="Tip","Stylist","Unapplied"))))</f>
        <v>0</v>
      </c>
      <c r="W869" s="39">
        <f>IF(B869="","",IF(G869="","Add - no amount yet",IF(E869="","Add - what was this for?",IF(IF(H869="",FALSE,COUNTIF(Sales!$A$5:$A$1204,H869)=0),"Missing - no sale with that ID",IF(IF(I869="",FALSE,COUNTIF(Appointments!$A$5:$A$1204,I869)=0),"Missing - no booking with that ID",IF(IF(E869="Tip",J869="",FALSE),"Assign - whose tip is it?",IF(IF(E869="Deposit",IF(H869="",I869="",FALSE),FALSE),"Check - deposit not tied to a booking",IF(M869="No","Due - not reconciled yet","OK"))))))))</f>
        <v>0</v>
      </c>
    </row>
    <row r="870" spans="1:23">
      <c r="A870" s="28">
        <f>IF(B870="","",PaymentPrefix&amp;TEXT(ROW()-4,"0000"))</f>
        <v>0</v>
      </c>
      <c r="D870" s="15">
        <f>IF(C870="","",IFERROR(INDEX(Clients!$B$5:$B$504,MATCH(C870,Clients!$A$5:$A$504,0)),"Walk-in"))</f>
        <v>0</v>
      </c>
      <c r="K870" s="15">
        <f>IF(J870="","",IFERROR(INDEX(Staff!$B$5:$B$44,MATCH(J870,Staff!$A$5:$A$44,0)),""))</f>
        <v>0</v>
      </c>
      <c r="O870" s="15">
        <f>IF(B870="","",TEXT(B870,"yyyy-mm"))</f>
        <v>0</v>
      </c>
      <c r="P870" s="25">
        <f>IF(B870="","",WEEKNUM(B870,2))</f>
        <v>0</v>
      </c>
      <c r="Q870" s="38">
        <f>IF(B870="","",IF(E870="Tip","No",IF(E870="Refund","No","Yes")))</f>
        <v>0</v>
      </c>
      <c r="R870" s="25">
        <f>IF(B870="","",IF(E870="Refund",-1,1))</f>
        <v>0</v>
      </c>
      <c r="S870" s="26">
        <f>IF(B870="","",IF(G870="",0,IF(F870="Card",ROUND(G870*CardFeePercent+CardFeeFixed,2),IF(F870="Online deposit",ROUND(G870*CardFeePercent+CardFeeFixed,2),0))))</f>
        <v>0</v>
      </c>
      <c r="T870" s="26">
        <f>IF(B870="","",ROUND(IF(G870="",0,G870)*R870-S870,2))</f>
        <v>0</v>
      </c>
      <c r="U870" s="38">
        <f>IF(B870="","",IF(E870="Tip","Yes","No"))</f>
        <v>0</v>
      </c>
      <c r="V870" s="15">
        <f>IF(B870="","",IF(H870&lt;&gt;"","Sale "&amp;H870,IF(I870&lt;&gt;"","Booking "&amp;I870,IF(E870="Tip","Stylist","Unapplied"))))</f>
        <v>0</v>
      </c>
      <c r="W870" s="39">
        <f>IF(B870="","",IF(G870="","Add - no amount yet",IF(E870="","Add - what was this for?",IF(IF(H870="",FALSE,COUNTIF(Sales!$A$5:$A$1204,H870)=0),"Missing - no sale with that ID",IF(IF(I870="",FALSE,COUNTIF(Appointments!$A$5:$A$1204,I870)=0),"Missing - no booking with that ID",IF(IF(E870="Tip",J870="",FALSE),"Assign - whose tip is it?",IF(IF(E870="Deposit",IF(H870="",I870="",FALSE),FALSE),"Check - deposit not tied to a booking",IF(M870="No","Due - not reconciled yet","OK"))))))))</f>
        <v>0</v>
      </c>
    </row>
    <row r="871" spans="1:23">
      <c r="A871" s="28">
        <f>IF(B871="","",PaymentPrefix&amp;TEXT(ROW()-4,"0000"))</f>
        <v>0</v>
      </c>
      <c r="D871" s="15">
        <f>IF(C871="","",IFERROR(INDEX(Clients!$B$5:$B$504,MATCH(C871,Clients!$A$5:$A$504,0)),"Walk-in"))</f>
        <v>0</v>
      </c>
      <c r="K871" s="15">
        <f>IF(J871="","",IFERROR(INDEX(Staff!$B$5:$B$44,MATCH(J871,Staff!$A$5:$A$44,0)),""))</f>
        <v>0</v>
      </c>
      <c r="O871" s="15">
        <f>IF(B871="","",TEXT(B871,"yyyy-mm"))</f>
        <v>0</v>
      </c>
      <c r="P871" s="25">
        <f>IF(B871="","",WEEKNUM(B871,2))</f>
        <v>0</v>
      </c>
      <c r="Q871" s="38">
        <f>IF(B871="","",IF(E871="Tip","No",IF(E871="Refund","No","Yes")))</f>
        <v>0</v>
      </c>
      <c r="R871" s="25">
        <f>IF(B871="","",IF(E871="Refund",-1,1))</f>
        <v>0</v>
      </c>
      <c r="S871" s="26">
        <f>IF(B871="","",IF(G871="",0,IF(F871="Card",ROUND(G871*CardFeePercent+CardFeeFixed,2),IF(F871="Online deposit",ROUND(G871*CardFeePercent+CardFeeFixed,2),0))))</f>
        <v>0</v>
      </c>
      <c r="T871" s="26">
        <f>IF(B871="","",ROUND(IF(G871="",0,G871)*R871-S871,2))</f>
        <v>0</v>
      </c>
      <c r="U871" s="38">
        <f>IF(B871="","",IF(E871="Tip","Yes","No"))</f>
        <v>0</v>
      </c>
      <c r="V871" s="15">
        <f>IF(B871="","",IF(H871&lt;&gt;"","Sale "&amp;H871,IF(I871&lt;&gt;"","Booking "&amp;I871,IF(E871="Tip","Stylist","Unapplied"))))</f>
        <v>0</v>
      </c>
      <c r="W871" s="39">
        <f>IF(B871="","",IF(G871="","Add - no amount yet",IF(E871="","Add - what was this for?",IF(IF(H871="",FALSE,COUNTIF(Sales!$A$5:$A$1204,H871)=0),"Missing - no sale with that ID",IF(IF(I871="",FALSE,COUNTIF(Appointments!$A$5:$A$1204,I871)=0),"Missing - no booking with that ID",IF(IF(E871="Tip",J871="",FALSE),"Assign - whose tip is it?",IF(IF(E871="Deposit",IF(H871="",I871="",FALSE),FALSE),"Check - deposit not tied to a booking",IF(M871="No","Due - not reconciled yet","OK"))))))))</f>
        <v>0</v>
      </c>
    </row>
    <row r="872" spans="1:23">
      <c r="A872" s="28">
        <f>IF(B872="","",PaymentPrefix&amp;TEXT(ROW()-4,"0000"))</f>
        <v>0</v>
      </c>
      <c r="D872" s="15">
        <f>IF(C872="","",IFERROR(INDEX(Clients!$B$5:$B$504,MATCH(C872,Clients!$A$5:$A$504,0)),"Walk-in"))</f>
        <v>0</v>
      </c>
      <c r="K872" s="15">
        <f>IF(J872="","",IFERROR(INDEX(Staff!$B$5:$B$44,MATCH(J872,Staff!$A$5:$A$44,0)),""))</f>
        <v>0</v>
      </c>
      <c r="O872" s="15">
        <f>IF(B872="","",TEXT(B872,"yyyy-mm"))</f>
        <v>0</v>
      </c>
      <c r="P872" s="25">
        <f>IF(B872="","",WEEKNUM(B872,2))</f>
        <v>0</v>
      </c>
      <c r="Q872" s="38">
        <f>IF(B872="","",IF(E872="Tip","No",IF(E872="Refund","No","Yes")))</f>
        <v>0</v>
      </c>
      <c r="R872" s="25">
        <f>IF(B872="","",IF(E872="Refund",-1,1))</f>
        <v>0</v>
      </c>
      <c r="S872" s="26">
        <f>IF(B872="","",IF(G872="",0,IF(F872="Card",ROUND(G872*CardFeePercent+CardFeeFixed,2),IF(F872="Online deposit",ROUND(G872*CardFeePercent+CardFeeFixed,2),0))))</f>
        <v>0</v>
      </c>
      <c r="T872" s="26">
        <f>IF(B872="","",ROUND(IF(G872="",0,G872)*R872-S872,2))</f>
        <v>0</v>
      </c>
      <c r="U872" s="38">
        <f>IF(B872="","",IF(E872="Tip","Yes","No"))</f>
        <v>0</v>
      </c>
      <c r="V872" s="15">
        <f>IF(B872="","",IF(H872&lt;&gt;"","Sale "&amp;H872,IF(I872&lt;&gt;"","Booking "&amp;I872,IF(E872="Tip","Stylist","Unapplied"))))</f>
        <v>0</v>
      </c>
      <c r="W872" s="39">
        <f>IF(B872="","",IF(G872="","Add - no amount yet",IF(E872="","Add - what was this for?",IF(IF(H872="",FALSE,COUNTIF(Sales!$A$5:$A$1204,H872)=0),"Missing - no sale with that ID",IF(IF(I872="",FALSE,COUNTIF(Appointments!$A$5:$A$1204,I872)=0),"Missing - no booking with that ID",IF(IF(E872="Tip",J872="",FALSE),"Assign - whose tip is it?",IF(IF(E872="Deposit",IF(H872="",I872="",FALSE),FALSE),"Check - deposit not tied to a booking",IF(M872="No","Due - not reconciled yet","OK"))))))))</f>
        <v>0</v>
      </c>
    </row>
    <row r="873" spans="1:23">
      <c r="A873" s="28">
        <f>IF(B873="","",PaymentPrefix&amp;TEXT(ROW()-4,"0000"))</f>
        <v>0</v>
      </c>
      <c r="D873" s="15">
        <f>IF(C873="","",IFERROR(INDEX(Clients!$B$5:$B$504,MATCH(C873,Clients!$A$5:$A$504,0)),"Walk-in"))</f>
        <v>0</v>
      </c>
      <c r="K873" s="15">
        <f>IF(J873="","",IFERROR(INDEX(Staff!$B$5:$B$44,MATCH(J873,Staff!$A$5:$A$44,0)),""))</f>
        <v>0</v>
      </c>
      <c r="O873" s="15">
        <f>IF(B873="","",TEXT(B873,"yyyy-mm"))</f>
        <v>0</v>
      </c>
      <c r="P873" s="25">
        <f>IF(B873="","",WEEKNUM(B873,2))</f>
        <v>0</v>
      </c>
      <c r="Q873" s="38">
        <f>IF(B873="","",IF(E873="Tip","No",IF(E873="Refund","No","Yes")))</f>
        <v>0</v>
      </c>
      <c r="R873" s="25">
        <f>IF(B873="","",IF(E873="Refund",-1,1))</f>
        <v>0</v>
      </c>
      <c r="S873" s="26">
        <f>IF(B873="","",IF(G873="",0,IF(F873="Card",ROUND(G873*CardFeePercent+CardFeeFixed,2),IF(F873="Online deposit",ROUND(G873*CardFeePercent+CardFeeFixed,2),0))))</f>
        <v>0</v>
      </c>
      <c r="T873" s="26">
        <f>IF(B873="","",ROUND(IF(G873="",0,G873)*R873-S873,2))</f>
        <v>0</v>
      </c>
      <c r="U873" s="38">
        <f>IF(B873="","",IF(E873="Tip","Yes","No"))</f>
        <v>0</v>
      </c>
      <c r="V873" s="15">
        <f>IF(B873="","",IF(H873&lt;&gt;"","Sale "&amp;H873,IF(I873&lt;&gt;"","Booking "&amp;I873,IF(E873="Tip","Stylist","Unapplied"))))</f>
        <v>0</v>
      </c>
      <c r="W873" s="39">
        <f>IF(B873="","",IF(G873="","Add - no amount yet",IF(E873="","Add - what was this for?",IF(IF(H873="",FALSE,COUNTIF(Sales!$A$5:$A$1204,H873)=0),"Missing - no sale with that ID",IF(IF(I873="",FALSE,COUNTIF(Appointments!$A$5:$A$1204,I873)=0),"Missing - no booking with that ID",IF(IF(E873="Tip",J873="",FALSE),"Assign - whose tip is it?",IF(IF(E873="Deposit",IF(H873="",I873="",FALSE),FALSE),"Check - deposit not tied to a booking",IF(M873="No","Due - not reconciled yet","OK"))))))))</f>
        <v>0</v>
      </c>
    </row>
    <row r="874" spans="1:23">
      <c r="A874" s="28">
        <f>IF(B874="","",PaymentPrefix&amp;TEXT(ROW()-4,"0000"))</f>
        <v>0</v>
      </c>
      <c r="D874" s="15">
        <f>IF(C874="","",IFERROR(INDEX(Clients!$B$5:$B$504,MATCH(C874,Clients!$A$5:$A$504,0)),"Walk-in"))</f>
        <v>0</v>
      </c>
      <c r="K874" s="15">
        <f>IF(J874="","",IFERROR(INDEX(Staff!$B$5:$B$44,MATCH(J874,Staff!$A$5:$A$44,0)),""))</f>
        <v>0</v>
      </c>
      <c r="O874" s="15">
        <f>IF(B874="","",TEXT(B874,"yyyy-mm"))</f>
        <v>0</v>
      </c>
      <c r="P874" s="25">
        <f>IF(B874="","",WEEKNUM(B874,2))</f>
        <v>0</v>
      </c>
      <c r="Q874" s="38">
        <f>IF(B874="","",IF(E874="Tip","No",IF(E874="Refund","No","Yes")))</f>
        <v>0</v>
      </c>
      <c r="R874" s="25">
        <f>IF(B874="","",IF(E874="Refund",-1,1))</f>
        <v>0</v>
      </c>
      <c r="S874" s="26">
        <f>IF(B874="","",IF(G874="",0,IF(F874="Card",ROUND(G874*CardFeePercent+CardFeeFixed,2),IF(F874="Online deposit",ROUND(G874*CardFeePercent+CardFeeFixed,2),0))))</f>
        <v>0</v>
      </c>
      <c r="T874" s="26">
        <f>IF(B874="","",ROUND(IF(G874="",0,G874)*R874-S874,2))</f>
        <v>0</v>
      </c>
      <c r="U874" s="38">
        <f>IF(B874="","",IF(E874="Tip","Yes","No"))</f>
        <v>0</v>
      </c>
      <c r="V874" s="15">
        <f>IF(B874="","",IF(H874&lt;&gt;"","Sale "&amp;H874,IF(I874&lt;&gt;"","Booking "&amp;I874,IF(E874="Tip","Stylist","Unapplied"))))</f>
        <v>0</v>
      </c>
      <c r="W874" s="39">
        <f>IF(B874="","",IF(G874="","Add - no amount yet",IF(E874="","Add - what was this for?",IF(IF(H874="",FALSE,COUNTIF(Sales!$A$5:$A$1204,H874)=0),"Missing - no sale with that ID",IF(IF(I874="",FALSE,COUNTIF(Appointments!$A$5:$A$1204,I874)=0),"Missing - no booking with that ID",IF(IF(E874="Tip",J874="",FALSE),"Assign - whose tip is it?",IF(IF(E874="Deposit",IF(H874="",I874="",FALSE),FALSE),"Check - deposit not tied to a booking",IF(M874="No","Due - not reconciled yet","OK"))))))))</f>
        <v>0</v>
      </c>
    </row>
    <row r="875" spans="1:23">
      <c r="A875" s="28">
        <f>IF(B875="","",PaymentPrefix&amp;TEXT(ROW()-4,"0000"))</f>
        <v>0</v>
      </c>
      <c r="D875" s="15">
        <f>IF(C875="","",IFERROR(INDEX(Clients!$B$5:$B$504,MATCH(C875,Clients!$A$5:$A$504,0)),"Walk-in"))</f>
        <v>0</v>
      </c>
      <c r="K875" s="15">
        <f>IF(J875="","",IFERROR(INDEX(Staff!$B$5:$B$44,MATCH(J875,Staff!$A$5:$A$44,0)),""))</f>
        <v>0</v>
      </c>
      <c r="O875" s="15">
        <f>IF(B875="","",TEXT(B875,"yyyy-mm"))</f>
        <v>0</v>
      </c>
      <c r="P875" s="25">
        <f>IF(B875="","",WEEKNUM(B875,2))</f>
        <v>0</v>
      </c>
      <c r="Q875" s="38">
        <f>IF(B875="","",IF(E875="Tip","No",IF(E875="Refund","No","Yes")))</f>
        <v>0</v>
      </c>
      <c r="R875" s="25">
        <f>IF(B875="","",IF(E875="Refund",-1,1))</f>
        <v>0</v>
      </c>
      <c r="S875" s="26">
        <f>IF(B875="","",IF(G875="",0,IF(F875="Card",ROUND(G875*CardFeePercent+CardFeeFixed,2),IF(F875="Online deposit",ROUND(G875*CardFeePercent+CardFeeFixed,2),0))))</f>
        <v>0</v>
      </c>
      <c r="T875" s="26">
        <f>IF(B875="","",ROUND(IF(G875="",0,G875)*R875-S875,2))</f>
        <v>0</v>
      </c>
      <c r="U875" s="38">
        <f>IF(B875="","",IF(E875="Tip","Yes","No"))</f>
        <v>0</v>
      </c>
      <c r="V875" s="15">
        <f>IF(B875="","",IF(H875&lt;&gt;"","Sale "&amp;H875,IF(I875&lt;&gt;"","Booking "&amp;I875,IF(E875="Tip","Stylist","Unapplied"))))</f>
        <v>0</v>
      </c>
      <c r="W875" s="39">
        <f>IF(B875="","",IF(G875="","Add - no amount yet",IF(E875="","Add - what was this for?",IF(IF(H875="",FALSE,COUNTIF(Sales!$A$5:$A$1204,H875)=0),"Missing - no sale with that ID",IF(IF(I875="",FALSE,COUNTIF(Appointments!$A$5:$A$1204,I875)=0),"Missing - no booking with that ID",IF(IF(E875="Tip",J875="",FALSE),"Assign - whose tip is it?",IF(IF(E875="Deposit",IF(H875="",I875="",FALSE),FALSE),"Check - deposit not tied to a booking",IF(M875="No","Due - not reconciled yet","OK"))))))))</f>
        <v>0</v>
      </c>
    </row>
    <row r="876" spans="1:23">
      <c r="A876" s="28">
        <f>IF(B876="","",PaymentPrefix&amp;TEXT(ROW()-4,"0000"))</f>
        <v>0</v>
      </c>
      <c r="D876" s="15">
        <f>IF(C876="","",IFERROR(INDEX(Clients!$B$5:$B$504,MATCH(C876,Clients!$A$5:$A$504,0)),"Walk-in"))</f>
        <v>0</v>
      </c>
      <c r="K876" s="15">
        <f>IF(J876="","",IFERROR(INDEX(Staff!$B$5:$B$44,MATCH(J876,Staff!$A$5:$A$44,0)),""))</f>
        <v>0</v>
      </c>
      <c r="O876" s="15">
        <f>IF(B876="","",TEXT(B876,"yyyy-mm"))</f>
        <v>0</v>
      </c>
      <c r="P876" s="25">
        <f>IF(B876="","",WEEKNUM(B876,2))</f>
        <v>0</v>
      </c>
      <c r="Q876" s="38">
        <f>IF(B876="","",IF(E876="Tip","No",IF(E876="Refund","No","Yes")))</f>
        <v>0</v>
      </c>
      <c r="R876" s="25">
        <f>IF(B876="","",IF(E876="Refund",-1,1))</f>
        <v>0</v>
      </c>
      <c r="S876" s="26">
        <f>IF(B876="","",IF(G876="",0,IF(F876="Card",ROUND(G876*CardFeePercent+CardFeeFixed,2),IF(F876="Online deposit",ROUND(G876*CardFeePercent+CardFeeFixed,2),0))))</f>
        <v>0</v>
      </c>
      <c r="T876" s="26">
        <f>IF(B876="","",ROUND(IF(G876="",0,G876)*R876-S876,2))</f>
        <v>0</v>
      </c>
      <c r="U876" s="38">
        <f>IF(B876="","",IF(E876="Tip","Yes","No"))</f>
        <v>0</v>
      </c>
      <c r="V876" s="15">
        <f>IF(B876="","",IF(H876&lt;&gt;"","Sale "&amp;H876,IF(I876&lt;&gt;"","Booking "&amp;I876,IF(E876="Tip","Stylist","Unapplied"))))</f>
        <v>0</v>
      </c>
      <c r="W876" s="39">
        <f>IF(B876="","",IF(G876="","Add - no amount yet",IF(E876="","Add - what was this for?",IF(IF(H876="",FALSE,COUNTIF(Sales!$A$5:$A$1204,H876)=0),"Missing - no sale with that ID",IF(IF(I876="",FALSE,COUNTIF(Appointments!$A$5:$A$1204,I876)=0),"Missing - no booking with that ID",IF(IF(E876="Tip",J876="",FALSE),"Assign - whose tip is it?",IF(IF(E876="Deposit",IF(H876="",I876="",FALSE),FALSE),"Check - deposit not tied to a booking",IF(M876="No","Due - not reconciled yet","OK"))))))))</f>
        <v>0</v>
      </c>
    </row>
    <row r="877" spans="1:23">
      <c r="A877" s="28">
        <f>IF(B877="","",PaymentPrefix&amp;TEXT(ROW()-4,"0000"))</f>
        <v>0</v>
      </c>
      <c r="D877" s="15">
        <f>IF(C877="","",IFERROR(INDEX(Clients!$B$5:$B$504,MATCH(C877,Clients!$A$5:$A$504,0)),"Walk-in"))</f>
        <v>0</v>
      </c>
      <c r="K877" s="15">
        <f>IF(J877="","",IFERROR(INDEX(Staff!$B$5:$B$44,MATCH(J877,Staff!$A$5:$A$44,0)),""))</f>
        <v>0</v>
      </c>
      <c r="O877" s="15">
        <f>IF(B877="","",TEXT(B877,"yyyy-mm"))</f>
        <v>0</v>
      </c>
      <c r="P877" s="25">
        <f>IF(B877="","",WEEKNUM(B877,2))</f>
        <v>0</v>
      </c>
      <c r="Q877" s="38">
        <f>IF(B877="","",IF(E877="Tip","No",IF(E877="Refund","No","Yes")))</f>
        <v>0</v>
      </c>
      <c r="R877" s="25">
        <f>IF(B877="","",IF(E877="Refund",-1,1))</f>
        <v>0</v>
      </c>
      <c r="S877" s="26">
        <f>IF(B877="","",IF(G877="",0,IF(F877="Card",ROUND(G877*CardFeePercent+CardFeeFixed,2),IF(F877="Online deposit",ROUND(G877*CardFeePercent+CardFeeFixed,2),0))))</f>
        <v>0</v>
      </c>
      <c r="T877" s="26">
        <f>IF(B877="","",ROUND(IF(G877="",0,G877)*R877-S877,2))</f>
        <v>0</v>
      </c>
      <c r="U877" s="38">
        <f>IF(B877="","",IF(E877="Tip","Yes","No"))</f>
        <v>0</v>
      </c>
      <c r="V877" s="15">
        <f>IF(B877="","",IF(H877&lt;&gt;"","Sale "&amp;H877,IF(I877&lt;&gt;"","Booking "&amp;I877,IF(E877="Tip","Stylist","Unapplied"))))</f>
        <v>0</v>
      </c>
      <c r="W877" s="39">
        <f>IF(B877="","",IF(G877="","Add - no amount yet",IF(E877="","Add - what was this for?",IF(IF(H877="",FALSE,COUNTIF(Sales!$A$5:$A$1204,H877)=0),"Missing - no sale with that ID",IF(IF(I877="",FALSE,COUNTIF(Appointments!$A$5:$A$1204,I877)=0),"Missing - no booking with that ID",IF(IF(E877="Tip",J877="",FALSE),"Assign - whose tip is it?",IF(IF(E877="Deposit",IF(H877="",I877="",FALSE),FALSE),"Check - deposit not tied to a booking",IF(M877="No","Due - not reconciled yet","OK"))))))))</f>
        <v>0</v>
      </c>
    </row>
    <row r="878" spans="1:23">
      <c r="A878" s="28">
        <f>IF(B878="","",PaymentPrefix&amp;TEXT(ROW()-4,"0000"))</f>
        <v>0</v>
      </c>
      <c r="D878" s="15">
        <f>IF(C878="","",IFERROR(INDEX(Clients!$B$5:$B$504,MATCH(C878,Clients!$A$5:$A$504,0)),"Walk-in"))</f>
        <v>0</v>
      </c>
      <c r="K878" s="15">
        <f>IF(J878="","",IFERROR(INDEX(Staff!$B$5:$B$44,MATCH(J878,Staff!$A$5:$A$44,0)),""))</f>
        <v>0</v>
      </c>
      <c r="O878" s="15">
        <f>IF(B878="","",TEXT(B878,"yyyy-mm"))</f>
        <v>0</v>
      </c>
      <c r="P878" s="25">
        <f>IF(B878="","",WEEKNUM(B878,2))</f>
        <v>0</v>
      </c>
      <c r="Q878" s="38">
        <f>IF(B878="","",IF(E878="Tip","No",IF(E878="Refund","No","Yes")))</f>
        <v>0</v>
      </c>
      <c r="R878" s="25">
        <f>IF(B878="","",IF(E878="Refund",-1,1))</f>
        <v>0</v>
      </c>
      <c r="S878" s="26">
        <f>IF(B878="","",IF(G878="",0,IF(F878="Card",ROUND(G878*CardFeePercent+CardFeeFixed,2),IF(F878="Online deposit",ROUND(G878*CardFeePercent+CardFeeFixed,2),0))))</f>
        <v>0</v>
      </c>
      <c r="T878" s="26">
        <f>IF(B878="","",ROUND(IF(G878="",0,G878)*R878-S878,2))</f>
        <v>0</v>
      </c>
      <c r="U878" s="38">
        <f>IF(B878="","",IF(E878="Tip","Yes","No"))</f>
        <v>0</v>
      </c>
      <c r="V878" s="15">
        <f>IF(B878="","",IF(H878&lt;&gt;"","Sale "&amp;H878,IF(I878&lt;&gt;"","Booking "&amp;I878,IF(E878="Tip","Stylist","Unapplied"))))</f>
        <v>0</v>
      </c>
      <c r="W878" s="39">
        <f>IF(B878="","",IF(G878="","Add - no amount yet",IF(E878="","Add - what was this for?",IF(IF(H878="",FALSE,COUNTIF(Sales!$A$5:$A$1204,H878)=0),"Missing - no sale with that ID",IF(IF(I878="",FALSE,COUNTIF(Appointments!$A$5:$A$1204,I878)=0),"Missing - no booking with that ID",IF(IF(E878="Tip",J878="",FALSE),"Assign - whose tip is it?",IF(IF(E878="Deposit",IF(H878="",I878="",FALSE),FALSE),"Check - deposit not tied to a booking",IF(M878="No","Due - not reconciled yet","OK"))))))))</f>
        <v>0</v>
      </c>
    </row>
    <row r="879" spans="1:23">
      <c r="A879" s="28">
        <f>IF(B879="","",PaymentPrefix&amp;TEXT(ROW()-4,"0000"))</f>
        <v>0</v>
      </c>
      <c r="D879" s="15">
        <f>IF(C879="","",IFERROR(INDEX(Clients!$B$5:$B$504,MATCH(C879,Clients!$A$5:$A$504,0)),"Walk-in"))</f>
        <v>0</v>
      </c>
      <c r="K879" s="15">
        <f>IF(J879="","",IFERROR(INDEX(Staff!$B$5:$B$44,MATCH(J879,Staff!$A$5:$A$44,0)),""))</f>
        <v>0</v>
      </c>
      <c r="O879" s="15">
        <f>IF(B879="","",TEXT(B879,"yyyy-mm"))</f>
        <v>0</v>
      </c>
      <c r="P879" s="25">
        <f>IF(B879="","",WEEKNUM(B879,2))</f>
        <v>0</v>
      </c>
      <c r="Q879" s="38">
        <f>IF(B879="","",IF(E879="Tip","No",IF(E879="Refund","No","Yes")))</f>
        <v>0</v>
      </c>
      <c r="R879" s="25">
        <f>IF(B879="","",IF(E879="Refund",-1,1))</f>
        <v>0</v>
      </c>
      <c r="S879" s="26">
        <f>IF(B879="","",IF(G879="",0,IF(F879="Card",ROUND(G879*CardFeePercent+CardFeeFixed,2),IF(F879="Online deposit",ROUND(G879*CardFeePercent+CardFeeFixed,2),0))))</f>
        <v>0</v>
      </c>
      <c r="T879" s="26">
        <f>IF(B879="","",ROUND(IF(G879="",0,G879)*R879-S879,2))</f>
        <v>0</v>
      </c>
      <c r="U879" s="38">
        <f>IF(B879="","",IF(E879="Tip","Yes","No"))</f>
        <v>0</v>
      </c>
      <c r="V879" s="15">
        <f>IF(B879="","",IF(H879&lt;&gt;"","Sale "&amp;H879,IF(I879&lt;&gt;"","Booking "&amp;I879,IF(E879="Tip","Stylist","Unapplied"))))</f>
        <v>0</v>
      </c>
      <c r="W879" s="39">
        <f>IF(B879="","",IF(G879="","Add - no amount yet",IF(E879="","Add - what was this for?",IF(IF(H879="",FALSE,COUNTIF(Sales!$A$5:$A$1204,H879)=0),"Missing - no sale with that ID",IF(IF(I879="",FALSE,COUNTIF(Appointments!$A$5:$A$1204,I879)=0),"Missing - no booking with that ID",IF(IF(E879="Tip",J879="",FALSE),"Assign - whose tip is it?",IF(IF(E879="Deposit",IF(H879="",I879="",FALSE),FALSE),"Check - deposit not tied to a booking",IF(M879="No","Due - not reconciled yet","OK"))))))))</f>
        <v>0</v>
      </c>
    </row>
    <row r="880" spans="1:23">
      <c r="A880" s="28">
        <f>IF(B880="","",PaymentPrefix&amp;TEXT(ROW()-4,"0000"))</f>
        <v>0</v>
      </c>
      <c r="D880" s="15">
        <f>IF(C880="","",IFERROR(INDEX(Clients!$B$5:$B$504,MATCH(C880,Clients!$A$5:$A$504,0)),"Walk-in"))</f>
        <v>0</v>
      </c>
      <c r="K880" s="15">
        <f>IF(J880="","",IFERROR(INDEX(Staff!$B$5:$B$44,MATCH(J880,Staff!$A$5:$A$44,0)),""))</f>
        <v>0</v>
      </c>
      <c r="O880" s="15">
        <f>IF(B880="","",TEXT(B880,"yyyy-mm"))</f>
        <v>0</v>
      </c>
      <c r="P880" s="25">
        <f>IF(B880="","",WEEKNUM(B880,2))</f>
        <v>0</v>
      </c>
      <c r="Q880" s="38">
        <f>IF(B880="","",IF(E880="Tip","No",IF(E880="Refund","No","Yes")))</f>
        <v>0</v>
      </c>
      <c r="R880" s="25">
        <f>IF(B880="","",IF(E880="Refund",-1,1))</f>
        <v>0</v>
      </c>
      <c r="S880" s="26">
        <f>IF(B880="","",IF(G880="",0,IF(F880="Card",ROUND(G880*CardFeePercent+CardFeeFixed,2),IF(F880="Online deposit",ROUND(G880*CardFeePercent+CardFeeFixed,2),0))))</f>
        <v>0</v>
      </c>
      <c r="T880" s="26">
        <f>IF(B880="","",ROUND(IF(G880="",0,G880)*R880-S880,2))</f>
        <v>0</v>
      </c>
      <c r="U880" s="38">
        <f>IF(B880="","",IF(E880="Tip","Yes","No"))</f>
        <v>0</v>
      </c>
      <c r="V880" s="15">
        <f>IF(B880="","",IF(H880&lt;&gt;"","Sale "&amp;H880,IF(I880&lt;&gt;"","Booking "&amp;I880,IF(E880="Tip","Stylist","Unapplied"))))</f>
        <v>0</v>
      </c>
      <c r="W880" s="39">
        <f>IF(B880="","",IF(G880="","Add - no amount yet",IF(E880="","Add - what was this for?",IF(IF(H880="",FALSE,COUNTIF(Sales!$A$5:$A$1204,H880)=0),"Missing - no sale with that ID",IF(IF(I880="",FALSE,COUNTIF(Appointments!$A$5:$A$1204,I880)=0),"Missing - no booking with that ID",IF(IF(E880="Tip",J880="",FALSE),"Assign - whose tip is it?",IF(IF(E880="Deposit",IF(H880="",I880="",FALSE),FALSE),"Check - deposit not tied to a booking",IF(M880="No","Due - not reconciled yet","OK"))))))))</f>
        <v>0</v>
      </c>
    </row>
    <row r="881" spans="1:23">
      <c r="A881" s="28">
        <f>IF(B881="","",PaymentPrefix&amp;TEXT(ROW()-4,"0000"))</f>
        <v>0</v>
      </c>
      <c r="D881" s="15">
        <f>IF(C881="","",IFERROR(INDEX(Clients!$B$5:$B$504,MATCH(C881,Clients!$A$5:$A$504,0)),"Walk-in"))</f>
        <v>0</v>
      </c>
      <c r="K881" s="15">
        <f>IF(J881="","",IFERROR(INDEX(Staff!$B$5:$B$44,MATCH(J881,Staff!$A$5:$A$44,0)),""))</f>
        <v>0</v>
      </c>
      <c r="O881" s="15">
        <f>IF(B881="","",TEXT(B881,"yyyy-mm"))</f>
        <v>0</v>
      </c>
      <c r="P881" s="25">
        <f>IF(B881="","",WEEKNUM(B881,2))</f>
        <v>0</v>
      </c>
      <c r="Q881" s="38">
        <f>IF(B881="","",IF(E881="Tip","No",IF(E881="Refund","No","Yes")))</f>
        <v>0</v>
      </c>
      <c r="R881" s="25">
        <f>IF(B881="","",IF(E881="Refund",-1,1))</f>
        <v>0</v>
      </c>
      <c r="S881" s="26">
        <f>IF(B881="","",IF(G881="",0,IF(F881="Card",ROUND(G881*CardFeePercent+CardFeeFixed,2),IF(F881="Online deposit",ROUND(G881*CardFeePercent+CardFeeFixed,2),0))))</f>
        <v>0</v>
      </c>
      <c r="T881" s="26">
        <f>IF(B881="","",ROUND(IF(G881="",0,G881)*R881-S881,2))</f>
        <v>0</v>
      </c>
      <c r="U881" s="38">
        <f>IF(B881="","",IF(E881="Tip","Yes","No"))</f>
        <v>0</v>
      </c>
      <c r="V881" s="15">
        <f>IF(B881="","",IF(H881&lt;&gt;"","Sale "&amp;H881,IF(I881&lt;&gt;"","Booking "&amp;I881,IF(E881="Tip","Stylist","Unapplied"))))</f>
        <v>0</v>
      </c>
      <c r="W881" s="39">
        <f>IF(B881="","",IF(G881="","Add - no amount yet",IF(E881="","Add - what was this for?",IF(IF(H881="",FALSE,COUNTIF(Sales!$A$5:$A$1204,H881)=0),"Missing - no sale with that ID",IF(IF(I881="",FALSE,COUNTIF(Appointments!$A$5:$A$1204,I881)=0),"Missing - no booking with that ID",IF(IF(E881="Tip",J881="",FALSE),"Assign - whose tip is it?",IF(IF(E881="Deposit",IF(H881="",I881="",FALSE),FALSE),"Check - deposit not tied to a booking",IF(M881="No","Due - not reconciled yet","OK"))))))))</f>
        <v>0</v>
      </c>
    </row>
    <row r="882" spans="1:23">
      <c r="A882" s="28">
        <f>IF(B882="","",PaymentPrefix&amp;TEXT(ROW()-4,"0000"))</f>
        <v>0</v>
      </c>
      <c r="D882" s="15">
        <f>IF(C882="","",IFERROR(INDEX(Clients!$B$5:$B$504,MATCH(C882,Clients!$A$5:$A$504,0)),"Walk-in"))</f>
        <v>0</v>
      </c>
      <c r="K882" s="15">
        <f>IF(J882="","",IFERROR(INDEX(Staff!$B$5:$B$44,MATCH(J882,Staff!$A$5:$A$44,0)),""))</f>
        <v>0</v>
      </c>
      <c r="O882" s="15">
        <f>IF(B882="","",TEXT(B882,"yyyy-mm"))</f>
        <v>0</v>
      </c>
      <c r="P882" s="25">
        <f>IF(B882="","",WEEKNUM(B882,2))</f>
        <v>0</v>
      </c>
      <c r="Q882" s="38">
        <f>IF(B882="","",IF(E882="Tip","No",IF(E882="Refund","No","Yes")))</f>
        <v>0</v>
      </c>
      <c r="R882" s="25">
        <f>IF(B882="","",IF(E882="Refund",-1,1))</f>
        <v>0</v>
      </c>
      <c r="S882" s="26">
        <f>IF(B882="","",IF(G882="",0,IF(F882="Card",ROUND(G882*CardFeePercent+CardFeeFixed,2),IF(F882="Online deposit",ROUND(G882*CardFeePercent+CardFeeFixed,2),0))))</f>
        <v>0</v>
      </c>
      <c r="T882" s="26">
        <f>IF(B882="","",ROUND(IF(G882="",0,G882)*R882-S882,2))</f>
        <v>0</v>
      </c>
      <c r="U882" s="38">
        <f>IF(B882="","",IF(E882="Tip","Yes","No"))</f>
        <v>0</v>
      </c>
      <c r="V882" s="15">
        <f>IF(B882="","",IF(H882&lt;&gt;"","Sale "&amp;H882,IF(I882&lt;&gt;"","Booking "&amp;I882,IF(E882="Tip","Stylist","Unapplied"))))</f>
        <v>0</v>
      </c>
      <c r="W882" s="39">
        <f>IF(B882="","",IF(G882="","Add - no amount yet",IF(E882="","Add - what was this for?",IF(IF(H882="",FALSE,COUNTIF(Sales!$A$5:$A$1204,H882)=0),"Missing - no sale with that ID",IF(IF(I882="",FALSE,COUNTIF(Appointments!$A$5:$A$1204,I882)=0),"Missing - no booking with that ID",IF(IF(E882="Tip",J882="",FALSE),"Assign - whose tip is it?",IF(IF(E882="Deposit",IF(H882="",I882="",FALSE),FALSE),"Check - deposit not tied to a booking",IF(M882="No","Due - not reconciled yet","OK"))))))))</f>
        <v>0</v>
      </c>
    </row>
    <row r="883" spans="1:23">
      <c r="A883" s="28">
        <f>IF(B883="","",PaymentPrefix&amp;TEXT(ROW()-4,"0000"))</f>
        <v>0</v>
      </c>
      <c r="D883" s="15">
        <f>IF(C883="","",IFERROR(INDEX(Clients!$B$5:$B$504,MATCH(C883,Clients!$A$5:$A$504,0)),"Walk-in"))</f>
        <v>0</v>
      </c>
      <c r="K883" s="15">
        <f>IF(J883="","",IFERROR(INDEX(Staff!$B$5:$B$44,MATCH(J883,Staff!$A$5:$A$44,0)),""))</f>
        <v>0</v>
      </c>
      <c r="O883" s="15">
        <f>IF(B883="","",TEXT(B883,"yyyy-mm"))</f>
        <v>0</v>
      </c>
      <c r="P883" s="25">
        <f>IF(B883="","",WEEKNUM(B883,2))</f>
        <v>0</v>
      </c>
      <c r="Q883" s="38">
        <f>IF(B883="","",IF(E883="Tip","No",IF(E883="Refund","No","Yes")))</f>
        <v>0</v>
      </c>
      <c r="R883" s="25">
        <f>IF(B883="","",IF(E883="Refund",-1,1))</f>
        <v>0</v>
      </c>
      <c r="S883" s="26">
        <f>IF(B883="","",IF(G883="",0,IF(F883="Card",ROUND(G883*CardFeePercent+CardFeeFixed,2),IF(F883="Online deposit",ROUND(G883*CardFeePercent+CardFeeFixed,2),0))))</f>
        <v>0</v>
      </c>
      <c r="T883" s="26">
        <f>IF(B883="","",ROUND(IF(G883="",0,G883)*R883-S883,2))</f>
        <v>0</v>
      </c>
      <c r="U883" s="38">
        <f>IF(B883="","",IF(E883="Tip","Yes","No"))</f>
        <v>0</v>
      </c>
      <c r="V883" s="15">
        <f>IF(B883="","",IF(H883&lt;&gt;"","Sale "&amp;H883,IF(I883&lt;&gt;"","Booking "&amp;I883,IF(E883="Tip","Stylist","Unapplied"))))</f>
        <v>0</v>
      </c>
      <c r="W883" s="39">
        <f>IF(B883="","",IF(G883="","Add - no amount yet",IF(E883="","Add - what was this for?",IF(IF(H883="",FALSE,COUNTIF(Sales!$A$5:$A$1204,H883)=0),"Missing - no sale with that ID",IF(IF(I883="",FALSE,COUNTIF(Appointments!$A$5:$A$1204,I883)=0),"Missing - no booking with that ID",IF(IF(E883="Tip",J883="",FALSE),"Assign - whose tip is it?",IF(IF(E883="Deposit",IF(H883="",I883="",FALSE),FALSE),"Check - deposit not tied to a booking",IF(M883="No","Due - not reconciled yet","OK"))))))))</f>
        <v>0</v>
      </c>
    </row>
    <row r="884" spans="1:23">
      <c r="A884" s="28">
        <f>IF(B884="","",PaymentPrefix&amp;TEXT(ROW()-4,"0000"))</f>
        <v>0</v>
      </c>
      <c r="D884" s="15">
        <f>IF(C884="","",IFERROR(INDEX(Clients!$B$5:$B$504,MATCH(C884,Clients!$A$5:$A$504,0)),"Walk-in"))</f>
        <v>0</v>
      </c>
      <c r="K884" s="15">
        <f>IF(J884="","",IFERROR(INDEX(Staff!$B$5:$B$44,MATCH(J884,Staff!$A$5:$A$44,0)),""))</f>
        <v>0</v>
      </c>
      <c r="O884" s="15">
        <f>IF(B884="","",TEXT(B884,"yyyy-mm"))</f>
        <v>0</v>
      </c>
      <c r="P884" s="25">
        <f>IF(B884="","",WEEKNUM(B884,2))</f>
        <v>0</v>
      </c>
      <c r="Q884" s="38">
        <f>IF(B884="","",IF(E884="Tip","No",IF(E884="Refund","No","Yes")))</f>
        <v>0</v>
      </c>
      <c r="R884" s="25">
        <f>IF(B884="","",IF(E884="Refund",-1,1))</f>
        <v>0</v>
      </c>
      <c r="S884" s="26">
        <f>IF(B884="","",IF(G884="",0,IF(F884="Card",ROUND(G884*CardFeePercent+CardFeeFixed,2),IF(F884="Online deposit",ROUND(G884*CardFeePercent+CardFeeFixed,2),0))))</f>
        <v>0</v>
      </c>
      <c r="T884" s="26">
        <f>IF(B884="","",ROUND(IF(G884="",0,G884)*R884-S884,2))</f>
        <v>0</v>
      </c>
      <c r="U884" s="38">
        <f>IF(B884="","",IF(E884="Tip","Yes","No"))</f>
        <v>0</v>
      </c>
      <c r="V884" s="15">
        <f>IF(B884="","",IF(H884&lt;&gt;"","Sale "&amp;H884,IF(I884&lt;&gt;"","Booking "&amp;I884,IF(E884="Tip","Stylist","Unapplied"))))</f>
        <v>0</v>
      </c>
      <c r="W884" s="39">
        <f>IF(B884="","",IF(G884="","Add - no amount yet",IF(E884="","Add - what was this for?",IF(IF(H884="",FALSE,COUNTIF(Sales!$A$5:$A$1204,H884)=0),"Missing - no sale with that ID",IF(IF(I884="",FALSE,COUNTIF(Appointments!$A$5:$A$1204,I884)=0),"Missing - no booking with that ID",IF(IF(E884="Tip",J884="",FALSE),"Assign - whose tip is it?",IF(IF(E884="Deposit",IF(H884="",I884="",FALSE),FALSE),"Check - deposit not tied to a booking",IF(M884="No","Due - not reconciled yet","OK"))))))))</f>
        <v>0</v>
      </c>
    </row>
    <row r="885" spans="1:23">
      <c r="A885" s="28">
        <f>IF(B885="","",PaymentPrefix&amp;TEXT(ROW()-4,"0000"))</f>
        <v>0</v>
      </c>
      <c r="D885" s="15">
        <f>IF(C885="","",IFERROR(INDEX(Clients!$B$5:$B$504,MATCH(C885,Clients!$A$5:$A$504,0)),"Walk-in"))</f>
        <v>0</v>
      </c>
      <c r="K885" s="15">
        <f>IF(J885="","",IFERROR(INDEX(Staff!$B$5:$B$44,MATCH(J885,Staff!$A$5:$A$44,0)),""))</f>
        <v>0</v>
      </c>
      <c r="O885" s="15">
        <f>IF(B885="","",TEXT(B885,"yyyy-mm"))</f>
        <v>0</v>
      </c>
      <c r="P885" s="25">
        <f>IF(B885="","",WEEKNUM(B885,2))</f>
        <v>0</v>
      </c>
      <c r="Q885" s="38">
        <f>IF(B885="","",IF(E885="Tip","No",IF(E885="Refund","No","Yes")))</f>
        <v>0</v>
      </c>
      <c r="R885" s="25">
        <f>IF(B885="","",IF(E885="Refund",-1,1))</f>
        <v>0</v>
      </c>
      <c r="S885" s="26">
        <f>IF(B885="","",IF(G885="",0,IF(F885="Card",ROUND(G885*CardFeePercent+CardFeeFixed,2),IF(F885="Online deposit",ROUND(G885*CardFeePercent+CardFeeFixed,2),0))))</f>
        <v>0</v>
      </c>
      <c r="T885" s="26">
        <f>IF(B885="","",ROUND(IF(G885="",0,G885)*R885-S885,2))</f>
        <v>0</v>
      </c>
      <c r="U885" s="38">
        <f>IF(B885="","",IF(E885="Tip","Yes","No"))</f>
        <v>0</v>
      </c>
      <c r="V885" s="15">
        <f>IF(B885="","",IF(H885&lt;&gt;"","Sale "&amp;H885,IF(I885&lt;&gt;"","Booking "&amp;I885,IF(E885="Tip","Stylist","Unapplied"))))</f>
        <v>0</v>
      </c>
      <c r="W885" s="39">
        <f>IF(B885="","",IF(G885="","Add - no amount yet",IF(E885="","Add - what was this for?",IF(IF(H885="",FALSE,COUNTIF(Sales!$A$5:$A$1204,H885)=0),"Missing - no sale with that ID",IF(IF(I885="",FALSE,COUNTIF(Appointments!$A$5:$A$1204,I885)=0),"Missing - no booking with that ID",IF(IF(E885="Tip",J885="",FALSE),"Assign - whose tip is it?",IF(IF(E885="Deposit",IF(H885="",I885="",FALSE),FALSE),"Check - deposit not tied to a booking",IF(M885="No","Due - not reconciled yet","OK"))))))))</f>
        <v>0</v>
      </c>
    </row>
    <row r="886" spans="1:23">
      <c r="A886" s="28">
        <f>IF(B886="","",PaymentPrefix&amp;TEXT(ROW()-4,"0000"))</f>
        <v>0</v>
      </c>
      <c r="D886" s="15">
        <f>IF(C886="","",IFERROR(INDEX(Clients!$B$5:$B$504,MATCH(C886,Clients!$A$5:$A$504,0)),"Walk-in"))</f>
        <v>0</v>
      </c>
      <c r="K886" s="15">
        <f>IF(J886="","",IFERROR(INDEX(Staff!$B$5:$B$44,MATCH(J886,Staff!$A$5:$A$44,0)),""))</f>
        <v>0</v>
      </c>
      <c r="O886" s="15">
        <f>IF(B886="","",TEXT(B886,"yyyy-mm"))</f>
        <v>0</v>
      </c>
      <c r="P886" s="25">
        <f>IF(B886="","",WEEKNUM(B886,2))</f>
        <v>0</v>
      </c>
      <c r="Q886" s="38">
        <f>IF(B886="","",IF(E886="Tip","No",IF(E886="Refund","No","Yes")))</f>
        <v>0</v>
      </c>
      <c r="R886" s="25">
        <f>IF(B886="","",IF(E886="Refund",-1,1))</f>
        <v>0</v>
      </c>
      <c r="S886" s="26">
        <f>IF(B886="","",IF(G886="",0,IF(F886="Card",ROUND(G886*CardFeePercent+CardFeeFixed,2),IF(F886="Online deposit",ROUND(G886*CardFeePercent+CardFeeFixed,2),0))))</f>
        <v>0</v>
      </c>
      <c r="T886" s="26">
        <f>IF(B886="","",ROUND(IF(G886="",0,G886)*R886-S886,2))</f>
        <v>0</v>
      </c>
      <c r="U886" s="38">
        <f>IF(B886="","",IF(E886="Tip","Yes","No"))</f>
        <v>0</v>
      </c>
      <c r="V886" s="15">
        <f>IF(B886="","",IF(H886&lt;&gt;"","Sale "&amp;H886,IF(I886&lt;&gt;"","Booking "&amp;I886,IF(E886="Tip","Stylist","Unapplied"))))</f>
        <v>0</v>
      </c>
      <c r="W886" s="39">
        <f>IF(B886="","",IF(G886="","Add - no amount yet",IF(E886="","Add - what was this for?",IF(IF(H886="",FALSE,COUNTIF(Sales!$A$5:$A$1204,H886)=0),"Missing - no sale with that ID",IF(IF(I886="",FALSE,COUNTIF(Appointments!$A$5:$A$1204,I886)=0),"Missing - no booking with that ID",IF(IF(E886="Tip",J886="",FALSE),"Assign - whose tip is it?",IF(IF(E886="Deposit",IF(H886="",I886="",FALSE),FALSE),"Check - deposit not tied to a booking",IF(M886="No","Due - not reconciled yet","OK"))))))))</f>
        <v>0</v>
      </c>
    </row>
    <row r="887" spans="1:23">
      <c r="A887" s="28">
        <f>IF(B887="","",PaymentPrefix&amp;TEXT(ROW()-4,"0000"))</f>
        <v>0</v>
      </c>
      <c r="D887" s="15">
        <f>IF(C887="","",IFERROR(INDEX(Clients!$B$5:$B$504,MATCH(C887,Clients!$A$5:$A$504,0)),"Walk-in"))</f>
        <v>0</v>
      </c>
      <c r="K887" s="15">
        <f>IF(J887="","",IFERROR(INDEX(Staff!$B$5:$B$44,MATCH(J887,Staff!$A$5:$A$44,0)),""))</f>
        <v>0</v>
      </c>
      <c r="O887" s="15">
        <f>IF(B887="","",TEXT(B887,"yyyy-mm"))</f>
        <v>0</v>
      </c>
      <c r="P887" s="25">
        <f>IF(B887="","",WEEKNUM(B887,2))</f>
        <v>0</v>
      </c>
      <c r="Q887" s="38">
        <f>IF(B887="","",IF(E887="Tip","No",IF(E887="Refund","No","Yes")))</f>
        <v>0</v>
      </c>
      <c r="R887" s="25">
        <f>IF(B887="","",IF(E887="Refund",-1,1))</f>
        <v>0</v>
      </c>
      <c r="S887" s="26">
        <f>IF(B887="","",IF(G887="",0,IF(F887="Card",ROUND(G887*CardFeePercent+CardFeeFixed,2),IF(F887="Online deposit",ROUND(G887*CardFeePercent+CardFeeFixed,2),0))))</f>
        <v>0</v>
      </c>
      <c r="T887" s="26">
        <f>IF(B887="","",ROUND(IF(G887="",0,G887)*R887-S887,2))</f>
        <v>0</v>
      </c>
      <c r="U887" s="38">
        <f>IF(B887="","",IF(E887="Tip","Yes","No"))</f>
        <v>0</v>
      </c>
      <c r="V887" s="15">
        <f>IF(B887="","",IF(H887&lt;&gt;"","Sale "&amp;H887,IF(I887&lt;&gt;"","Booking "&amp;I887,IF(E887="Tip","Stylist","Unapplied"))))</f>
        <v>0</v>
      </c>
      <c r="W887" s="39">
        <f>IF(B887="","",IF(G887="","Add - no amount yet",IF(E887="","Add - what was this for?",IF(IF(H887="",FALSE,COUNTIF(Sales!$A$5:$A$1204,H887)=0),"Missing - no sale with that ID",IF(IF(I887="",FALSE,COUNTIF(Appointments!$A$5:$A$1204,I887)=0),"Missing - no booking with that ID",IF(IF(E887="Tip",J887="",FALSE),"Assign - whose tip is it?",IF(IF(E887="Deposit",IF(H887="",I887="",FALSE),FALSE),"Check - deposit not tied to a booking",IF(M887="No","Due - not reconciled yet","OK"))))))))</f>
        <v>0</v>
      </c>
    </row>
    <row r="888" spans="1:23">
      <c r="A888" s="28">
        <f>IF(B888="","",PaymentPrefix&amp;TEXT(ROW()-4,"0000"))</f>
        <v>0</v>
      </c>
      <c r="D888" s="15">
        <f>IF(C888="","",IFERROR(INDEX(Clients!$B$5:$B$504,MATCH(C888,Clients!$A$5:$A$504,0)),"Walk-in"))</f>
        <v>0</v>
      </c>
      <c r="K888" s="15">
        <f>IF(J888="","",IFERROR(INDEX(Staff!$B$5:$B$44,MATCH(J888,Staff!$A$5:$A$44,0)),""))</f>
        <v>0</v>
      </c>
      <c r="O888" s="15">
        <f>IF(B888="","",TEXT(B888,"yyyy-mm"))</f>
        <v>0</v>
      </c>
      <c r="P888" s="25">
        <f>IF(B888="","",WEEKNUM(B888,2))</f>
        <v>0</v>
      </c>
      <c r="Q888" s="38">
        <f>IF(B888="","",IF(E888="Tip","No",IF(E888="Refund","No","Yes")))</f>
        <v>0</v>
      </c>
      <c r="R888" s="25">
        <f>IF(B888="","",IF(E888="Refund",-1,1))</f>
        <v>0</v>
      </c>
      <c r="S888" s="26">
        <f>IF(B888="","",IF(G888="",0,IF(F888="Card",ROUND(G888*CardFeePercent+CardFeeFixed,2),IF(F888="Online deposit",ROUND(G888*CardFeePercent+CardFeeFixed,2),0))))</f>
        <v>0</v>
      </c>
      <c r="T888" s="26">
        <f>IF(B888="","",ROUND(IF(G888="",0,G888)*R888-S888,2))</f>
        <v>0</v>
      </c>
      <c r="U888" s="38">
        <f>IF(B888="","",IF(E888="Tip","Yes","No"))</f>
        <v>0</v>
      </c>
      <c r="V888" s="15">
        <f>IF(B888="","",IF(H888&lt;&gt;"","Sale "&amp;H888,IF(I888&lt;&gt;"","Booking "&amp;I888,IF(E888="Tip","Stylist","Unapplied"))))</f>
        <v>0</v>
      </c>
      <c r="W888" s="39">
        <f>IF(B888="","",IF(G888="","Add - no amount yet",IF(E888="","Add - what was this for?",IF(IF(H888="",FALSE,COUNTIF(Sales!$A$5:$A$1204,H888)=0),"Missing - no sale with that ID",IF(IF(I888="",FALSE,COUNTIF(Appointments!$A$5:$A$1204,I888)=0),"Missing - no booking with that ID",IF(IF(E888="Tip",J888="",FALSE),"Assign - whose tip is it?",IF(IF(E888="Deposit",IF(H888="",I888="",FALSE),FALSE),"Check - deposit not tied to a booking",IF(M888="No","Due - not reconciled yet","OK"))))))))</f>
        <v>0</v>
      </c>
    </row>
    <row r="889" spans="1:23">
      <c r="A889" s="28">
        <f>IF(B889="","",PaymentPrefix&amp;TEXT(ROW()-4,"0000"))</f>
        <v>0</v>
      </c>
      <c r="D889" s="15">
        <f>IF(C889="","",IFERROR(INDEX(Clients!$B$5:$B$504,MATCH(C889,Clients!$A$5:$A$504,0)),"Walk-in"))</f>
        <v>0</v>
      </c>
      <c r="K889" s="15">
        <f>IF(J889="","",IFERROR(INDEX(Staff!$B$5:$B$44,MATCH(J889,Staff!$A$5:$A$44,0)),""))</f>
        <v>0</v>
      </c>
      <c r="O889" s="15">
        <f>IF(B889="","",TEXT(B889,"yyyy-mm"))</f>
        <v>0</v>
      </c>
      <c r="P889" s="25">
        <f>IF(B889="","",WEEKNUM(B889,2))</f>
        <v>0</v>
      </c>
      <c r="Q889" s="38">
        <f>IF(B889="","",IF(E889="Tip","No",IF(E889="Refund","No","Yes")))</f>
        <v>0</v>
      </c>
      <c r="R889" s="25">
        <f>IF(B889="","",IF(E889="Refund",-1,1))</f>
        <v>0</v>
      </c>
      <c r="S889" s="26">
        <f>IF(B889="","",IF(G889="",0,IF(F889="Card",ROUND(G889*CardFeePercent+CardFeeFixed,2),IF(F889="Online deposit",ROUND(G889*CardFeePercent+CardFeeFixed,2),0))))</f>
        <v>0</v>
      </c>
      <c r="T889" s="26">
        <f>IF(B889="","",ROUND(IF(G889="",0,G889)*R889-S889,2))</f>
        <v>0</v>
      </c>
      <c r="U889" s="38">
        <f>IF(B889="","",IF(E889="Tip","Yes","No"))</f>
        <v>0</v>
      </c>
      <c r="V889" s="15">
        <f>IF(B889="","",IF(H889&lt;&gt;"","Sale "&amp;H889,IF(I889&lt;&gt;"","Booking "&amp;I889,IF(E889="Tip","Stylist","Unapplied"))))</f>
        <v>0</v>
      </c>
      <c r="W889" s="39">
        <f>IF(B889="","",IF(G889="","Add - no amount yet",IF(E889="","Add - what was this for?",IF(IF(H889="",FALSE,COUNTIF(Sales!$A$5:$A$1204,H889)=0),"Missing - no sale with that ID",IF(IF(I889="",FALSE,COUNTIF(Appointments!$A$5:$A$1204,I889)=0),"Missing - no booking with that ID",IF(IF(E889="Tip",J889="",FALSE),"Assign - whose tip is it?",IF(IF(E889="Deposit",IF(H889="",I889="",FALSE),FALSE),"Check - deposit not tied to a booking",IF(M889="No","Due - not reconciled yet","OK"))))))))</f>
        <v>0</v>
      </c>
    </row>
    <row r="890" spans="1:23">
      <c r="A890" s="28">
        <f>IF(B890="","",PaymentPrefix&amp;TEXT(ROW()-4,"0000"))</f>
        <v>0</v>
      </c>
      <c r="D890" s="15">
        <f>IF(C890="","",IFERROR(INDEX(Clients!$B$5:$B$504,MATCH(C890,Clients!$A$5:$A$504,0)),"Walk-in"))</f>
        <v>0</v>
      </c>
      <c r="K890" s="15">
        <f>IF(J890="","",IFERROR(INDEX(Staff!$B$5:$B$44,MATCH(J890,Staff!$A$5:$A$44,0)),""))</f>
        <v>0</v>
      </c>
      <c r="O890" s="15">
        <f>IF(B890="","",TEXT(B890,"yyyy-mm"))</f>
        <v>0</v>
      </c>
      <c r="P890" s="25">
        <f>IF(B890="","",WEEKNUM(B890,2))</f>
        <v>0</v>
      </c>
      <c r="Q890" s="38">
        <f>IF(B890="","",IF(E890="Tip","No",IF(E890="Refund","No","Yes")))</f>
        <v>0</v>
      </c>
      <c r="R890" s="25">
        <f>IF(B890="","",IF(E890="Refund",-1,1))</f>
        <v>0</v>
      </c>
      <c r="S890" s="26">
        <f>IF(B890="","",IF(G890="",0,IF(F890="Card",ROUND(G890*CardFeePercent+CardFeeFixed,2),IF(F890="Online deposit",ROUND(G890*CardFeePercent+CardFeeFixed,2),0))))</f>
        <v>0</v>
      </c>
      <c r="T890" s="26">
        <f>IF(B890="","",ROUND(IF(G890="",0,G890)*R890-S890,2))</f>
        <v>0</v>
      </c>
      <c r="U890" s="38">
        <f>IF(B890="","",IF(E890="Tip","Yes","No"))</f>
        <v>0</v>
      </c>
      <c r="V890" s="15">
        <f>IF(B890="","",IF(H890&lt;&gt;"","Sale "&amp;H890,IF(I890&lt;&gt;"","Booking "&amp;I890,IF(E890="Tip","Stylist","Unapplied"))))</f>
        <v>0</v>
      </c>
      <c r="W890" s="39">
        <f>IF(B890="","",IF(G890="","Add - no amount yet",IF(E890="","Add - what was this for?",IF(IF(H890="",FALSE,COUNTIF(Sales!$A$5:$A$1204,H890)=0),"Missing - no sale with that ID",IF(IF(I890="",FALSE,COUNTIF(Appointments!$A$5:$A$1204,I890)=0),"Missing - no booking with that ID",IF(IF(E890="Tip",J890="",FALSE),"Assign - whose tip is it?",IF(IF(E890="Deposit",IF(H890="",I890="",FALSE),FALSE),"Check - deposit not tied to a booking",IF(M890="No","Due - not reconciled yet","OK"))))))))</f>
        <v>0</v>
      </c>
    </row>
    <row r="891" spans="1:23">
      <c r="A891" s="28">
        <f>IF(B891="","",PaymentPrefix&amp;TEXT(ROW()-4,"0000"))</f>
        <v>0</v>
      </c>
      <c r="D891" s="15">
        <f>IF(C891="","",IFERROR(INDEX(Clients!$B$5:$B$504,MATCH(C891,Clients!$A$5:$A$504,0)),"Walk-in"))</f>
        <v>0</v>
      </c>
      <c r="K891" s="15">
        <f>IF(J891="","",IFERROR(INDEX(Staff!$B$5:$B$44,MATCH(J891,Staff!$A$5:$A$44,0)),""))</f>
        <v>0</v>
      </c>
      <c r="O891" s="15">
        <f>IF(B891="","",TEXT(B891,"yyyy-mm"))</f>
        <v>0</v>
      </c>
      <c r="P891" s="25">
        <f>IF(B891="","",WEEKNUM(B891,2))</f>
        <v>0</v>
      </c>
      <c r="Q891" s="38">
        <f>IF(B891="","",IF(E891="Tip","No",IF(E891="Refund","No","Yes")))</f>
        <v>0</v>
      </c>
      <c r="R891" s="25">
        <f>IF(B891="","",IF(E891="Refund",-1,1))</f>
        <v>0</v>
      </c>
      <c r="S891" s="26">
        <f>IF(B891="","",IF(G891="",0,IF(F891="Card",ROUND(G891*CardFeePercent+CardFeeFixed,2),IF(F891="Online deposit",ROUND(G891*CardFeePercent+CardFeeFixed,2),0))))</f>
        <v>0</v>
      </c>
      <c r="T891" s="26">
        <f>IF(B891="","",ROUND(IF(G891="",0,G891)*R891-S891,2))</f>
        <v>0</v>
      </c>
      <c r="U891" s="38">
        <f>IF(B891="","",IF(E891="Tip","Yes","No"))</f>
        <v>0</v>
      </c>
      <c r="V891" s="15">
        <f>IF(B891="","",IF(H891&lt;&gt;"","Sale "&amp;H891,IF(I891&lt;&gt;"","Booking "&amp;I891,IF(E891="Tip","Stylist","Unapplied"))))</f>
        <v>0</v>
      </c>
      <c r="W891" s="39">
        <f>IF(B891="","",IF(G891="","Add - no amount yet",IF(E891="","Add - what was this for?",IF(IF(H891="",FALSE,COUNTIF(Sales!$A$5:$A$1204,H891)=0),"Missing - no sale with that ID",IF(IF(I891="",FALSE,COUNTIF(Appointments!$A$5:$A$1204,I891)=0),"Missing - no booking with that ID",IF(IF(E891="Tip",J891="",FALSE),"Assign - whose tip is it?",IF(IF(E891="Deposit",IF(H891="",I891="",FALSE),FALSE),"Check - deposit not tied to a booking",IF(M891="No","Due - not reconciled yet","OK"))))))))</f>
        <v>0</v>
      </c>
    </row>
    <row r="892" spans="1:23">
      <c r="A892" s="28">
        <f>IF(B892="","",PaymentPrefix&amp;TEXT(ROW()-4,"0000"))</f>
        <v>0</v>
      </c>
      <c r="D892" s="15">
        <f>IF(C892="","",IFERROR(INDEX(Clients!$B$5:$B$504,MATCH(C892,Clients!$A$5:$A$504,0)),"Walk-in"))</f>
        <v>0</v>
      </c>
      <c r="K892" s="15">
        <f>IF(J892="","",IFERROR(INDEX(Staff!$B$5:$B$44,MATCH(J892,Staff!$A$5:$A$44,0)),""))</f>
        <v>0</v>
      </c>
      <c r="O892" s="15">
        <f>IF(B892="","",TEXT(B892,"yyyy-mm"))</f>
        <v>0</v>
      </c>
      <c r="P892" s="25">
        <f>IF(B892="","",WEEKNUM(B892,2))</f>
        <v>0</v>
      </c>
      <c r="Q892" s="38">
        <f>IF(B892="","",IF(E892="Tip","No",IF(E892="Refund","No","Yes")))</f>
        <v>0</v>
      </c>
      <c r="R892" s="25">
        <f>IF(B892="","",IF(E892="Refund",-1,1))</f>
        <v>0</v>
      </c>
      <c r="S892" s="26">
        <f>IF(B892="","",IF(G892="",0,IF(F892="Card",ROUND(G892*CardFeePercent+CardFeeFixed,2),IF(F892="Online deposit",ROUND(G892*CardFeePercent+CardFeeFixed,2),0))))</f>
        <v>0</v>
      </c>
      <c r="T892" s="26">
        <f>IF(B892="","",ROUND(IF(G892="",0,G892)*R892-S892,2))</f>
        <v>0</v>
      </c>
      <c r="U892" s="38">
        <f>IF(B892="","",IF(E892="Tip","Yes","No"))</f>
        <v>0</v>
      </c>
      <c r="V892" s="15">
        <f>IF(B892="","",IF(H892&lt;&gt;"","Sale "&amp;H892,IF(I892&lt;&gt;"","Booking "&amp;I892,IF(E892="Tip","Stylist","Unapplied"))))</f>
        <v>0</v>
      </c>
      <c r="W892" s="39">
        <f>IF(B892="","",IF(G892="","Add - no amount yet",IF(E892="","Add - what was this for?",IF(IF(H892="",FALSE,COUNTIF(Sales!$A$5:$A$1204,H892)=0),"Missing - no sale with that ID",IF(IF(I892="",FALSE,COUNTIF(Appointments!$A$5:$A$1204,I892)=0),"Missing - no booking with that ID",IF(IF(E892="Tip",J892="",FALSE),"Assign - whose tip is it?",IF(IF(E892="Deposit",IF(H892="",I892="",FALSE),FALSE),"Check - deposit not tied to a booking",IF(M892="No","Due - not reconciled yet","OK"))))))))</f>
        <v>0</v>
      </c>
    </row>
    <row r="893" spans="1:23">
      <c r="A893" s="28">
        <f>IF(B893="","",PaymentPrefix&amp;TEXT(ROW()-4,"0000"))</f>
        <v>0</v>
      </c>
      <c r="D893" s="15">
        <f>IF(C893="","",IFERROR(INDEX(Clients!$B$5:$B$504,MATCH(C893,Clients!$A$5:$A$504,0)),"Walk-in"))</f>
        <v>0</v>
      </c>
      <c r="K893" s="15">
        <f>IF(J893="","",IFERROR(INDEX(Staff!$B$5:$B$44,MATCH(J893,Staff!$A$5:$A$44,0)),""))</f>
        <v>0</v>
      </c>
      <c r="O893" s="15">
        <f>IF(B893="","",TEXT(B893,"yyyy-mm"))</f>
        <v>0</v>
      </c>
      <c r="P893" s="25">
        <f>IF(B893="","",WEEKNUM(B893,2))</f>
        <v>0</v>
      </c>
      <c r="Q893" s="38">
        <f>IF(B893="","",IF(E893="Tip","No",IF(E893="Refund","No","Yes")))</f>
        <v>0</v>
      </c>
      <c r="R893" s="25">
        <f>IF(B893="","",IF(E893="Refund",-1,1))</f>
        <v>0</v>
      </c>
      <c r="S893" s="26">
        <f>IF(B893="","",IF(G893="",0,IF(F893="Card",ROUND(G893*CardFeePercent+CardFeeFixed,2),IF(F893="Online deposit",ROUND(G893*CardFeePercent+CardFeeFixed,2),0))))</f>
        <v>0</v>
      </c>
      <c r="T893" s="26">
        <f>IF(B893="","",ROUND(IF(G893="",0,G893)*R893-S893,2))</f>
        <v>0</v>
      </c>
      <c r="U893" s="38">
        <f>IF(B893="","",IF(E893="Tip","Yes","No"))</f>
        <v>0</v>
      </c>
      <c r="V893" s="15">
        <f>IF(B893="","",IF(H893&lt;&gt;"","Sale "&amp;H893,IF(I893&lt;&gt;"","Booking "&amp;I893,IF(E893="Tip","Stylist","Unapplied"))))</f>
        <v>0</v>
      </c>
      <c r="W893" s="39">
        <f>IF(B893="","",IF(G893="","Add - no amount yet",IF(E893="","Add - what was this for?",IF(IF(H893="",FALSE,COUNTIF(Sales!$A$5:$A$1204,H893)=0),"Missing - no sale with that ID",IF(IF(I893="",FALSE,COUNTIF(Appointments!$A$5:$A$1204,I893)=0),"Missing - no booking with that ID",IF(IF(E893="Tip",J893="",FALSE),"Assign - whose tip is it?",IF(IF(E893="Deposit",IF(H893="",I893="",FALSE),FALSE),"Check - deposit not tied to a booking",IF(M893="No","Due - not reconciled yet","OK"))))))))</f>
        <v>0</v>
      </c>
    </row>
    <row r="894" spans="1:23">
      <c r="A894" s="28">
        <f>IF(B894="","",PaymentPrefix&amp;TEXT(ROW()-4,"0000"))</f>
        <v>0</v>
      </c>
      <c r="D894" s="15">
        <f>IF(C894="","",IFERROR(INDEX(Clients!$B$5:$B$504,MATCH(C894,Clients!$A$5:$A$504,0)),"Walk-in"))</f>
        <v>0</v>
      </c>
      <c r="K894" s="15">
        <f>IF(J894="","",IFERROR(INDEX(Staff!$B$5:$B$44,MATCH(J894,Staff!$A$5:$A$44,0)),""))</f>
        <v>0</v>
      </c>
      <c r="O894" s="15">
        <f>IF(B894="","",TEXT(B894,"yyyy-mm"))</f>
        <v>0</v>
      </c>
      <c r="P894" s="25">
        <f>IF(B894="","",WEEKNUM(B894,2))</f>
        <v>0</v>
      </c>
      <c r="Q894" s="38">
        <f>IF(B894="","",IF(E894="Tip","No",IF(E894="Refund","No","Yes")))</f>
        <v>0</v>
      </c>
      <c r="R894" s="25">
        <f>IF(B894="","",IF(E894="Refund",-1,1))</f>
        <v>0</v>
      </c>
      <c r="S894" s="26">
        <f>IF(B894="","",IF(G894="",0,IF(F894="Card",ROUND(G894*CardFeePercent+CardFeeFixed,2),IF(F894="Online deposit",ROUND(G894*CardFeePercent+CardFeeFixed,2),0))))</f>
        <v>0</v>
      </c>
      <c r="T894" s="26">
        <f>IF(B894="","",ROUND(IF(G894="",0,G894)*R894-S894,2))</f>
        <v>0</v>
      </c>
      <c r="U894" s="38">
        <f>IF(B894="","",IF(E894="Tip","Yes","No"))</f>
        <v>0</v>
      </c>
      <c r="V894" s="15">
        <f>IF(B894="","",IF(H894&lt;&gt;"","Sale "&amp;H894,IF(I894&lt;&gt;"","Booking "&amp;I894,IF(E894="Tip","Stylist","Unapplied"))))</f>
        <v>0</v>
      </c>
      <c r="W894" s="39">
        <f>IF(B894="","",IF(G894="","Add - no amount yet",IF(E894="","Add - what was this for?",IF(IF(H894="",FALSE,COUNTIF(Sales!$A$5:$A$1204,H894)=0),"Missing - no sale with that ID",IF(IF(I894="",FALSE,COUNTIF(Appointments!$A$5:$A$1204,I894)=0),"Missing - no booking with that ID",IF(IF(E894="Tip",J894="",FALSE),"Assign - whose tip is it?",IF(IF(E894="Deposit",IF(H894="",I894="",FALSE),FALSE),"Check - deposit not tied to a booking",IF(M894="No","Due - not reconciled yet","OK"))))))))</f>
        <v>0</v>
      </c>
    </row>
    <row r="895" spans="1:23">
      <c r="A895" s="28">
        <f>IF(B895="","",PaymentPrefix&amp;TEXT(ROW()-4,"0000"))</f>
        <v>0</v>
      </c>
      <c r="D895" s="15">
        <f>IF(C895="","",IFERROR(INDEX(Clients!$B$5:$B$504,MATCH(C895,Clients!$A$5:$A$504,0)),"Walk-in"))</f>
        <v>0</v>
      </c>
      <c r="K895" s="15">
        <f>IF(J895="","",IFERROR(INDEX(Staff!$B$5:$B$44,MATCH(J895,Staff!$A$5:$A$44,0)),""))</f>
        <v>0</v>
      </c>
      <c r="O895" s="15">
        <f>IF(B895="","",TEXT(B895,"yyyy-mm"))</f>
        <v>0</v>
      </c>
      <c r="P895" s="25">
        <f>IF(B895="","",WEEKNUM(B895,2))</f>
        <v>0</v>
      </c>
      <c r="Q895" s="38">
        <f>IF(B895="","",IF(E895="Tip","No",IF(E895="Refund","No","Yes")))</f>
        <v>0</v>
      </c>
      <c r="R895" s="25">
        <f>IF(B895="","",IF(E895="Refund",-1,1))</f>
        <v>0</v>
      </c>
      <c r="S895" s="26">
        <f>IF(B895="","",IF(G895="",0,IF(F895="Card",ROUND(G895*CardFeePercent+CardFeeFixed,2),IF(F895="Online deposit",ROUND(G895*CardFeePercent+CardFeeFixed,2),0))))</f>
        <v>0</v>
      </c>
      <c r="T895" s="26">
        <f>IF(B895="","",ROUND(IF(G895="",0,G895)*R895-S895,2))</f>
        <v>0</v>
      </c>
      <c r="U895" s="38">
        <f>IF(B895="","",IF(E895="Tip","Yes","No"))</f>
        <v>0</v>
      </c>
      <c r="V895" s="15">
        <f>IF(B895="","",IF(H895&lt;&gt;"","Sale "&amp;H895,IF(I895&lt;&gt;"","Booking "&amp;I895,IF(E895="Tip","Stylist","Unapplied"))))</f>
        <v>0</v>
      </c>
      <c r="W895" s="39">
        <f>IF(B895="","",IF(G895="","Add - no amount yet",IF(E895="","Add - what was this for?",IF(IF(H895="",FALSE,COUNTIF(Sales!$A$5:$A$1204,H895)=0),"Missing - no sale with that ID",IF(IF(I895="",FALSE,COUNTIF(Appointments!$A$5:$A$1204,I895)=0),"Missing - no booking with that ID",IF(IF(E895="Tip",J895="",FALSE),"Assign - whose tip is it?",IF(IF(E895="Deposit",IF(H895="",I895="",FALSE),FALSE),"Check - deposit not tied to a booking",IF(M895="No","Due - not reconciled yet","OK"))))))))</f>
        <v>0</v>
      </c>
    </row>
    <row r="896" spans="1:23">
      <c r="A896" s="28">
        <f>IF(B896="","",PaymentPrefix&amp;TEXT(ROW()-4,"0000"))</f>
        <v>0</v>
      </c>
      <c r="D896" s="15">
        <f>IF(C896="","",IFERROR(INDEX(Clients!$B$5:$B$504,MATCH(C896,Clients!$A$5:$A$504,0)),"Walk-in"))</f>
        <v>0</v>
      </c>
      <c r="K896" s="15">
        <f>IF(J896="","",IFERROR(INDEX(Staff!$B$5:$B$44,MATCH(J896,Staff!$A$5:$A$44,0)),""))</f>
        <v>0</v>
      </c>
      <c r="O896" s="15">
        <f>IF(B896="","",TEXT(B896,"yyyy-mm"))</f>
        <v>0</v>
      </c>
      <c r="P896" s="25">
        <f>IF(B896="","",WEEKNUM(B896,2))</f>
        <v>0</v>
      </c>
      <c r="Q896" s="38">
        <f>IF(B896="","",IF(E896="Tip","No",IF(E896="Refund","No","Yes")))</f>
        <v>0</v>
      </c>
      <c r="R896" s="25">
        <f>IF(B896="","",IF(E896="Refund",-1,1))</f>
        <v>0</v>
      </c>
      <c r="S896" s="26">
        <f>IF(B896="","",IF(G896="",0,IF(F896="Card",ROUND(G896*CardFeePercent+CardFeeFixed,2),IF(F896="Online deposit",ROUND(G896*CardFeePercent+CardFeeFixed,2),0))))</f>
        <v>0</v>
      </c>
      <c r="T896" s="26">
        <f>IF(B896="","",ROUND(IF(G896="",0,G896)*R896-S896,2))</f>
        <v>0</v>
      </c>
      <c r="U896" s="38">
        <f>IF(B896="","",IF(E896="Tip","Yes","No"))</f>
        <v>0</v>
      </c>
      <c r="V896" s="15">
        <f>IF(B896="","",IF(H896&lt;&gt;"","Sale "&amp;H896,IF(I896&lt;&gt;"","Booking "&amp;I896,IF(E896="Tip","Stylist","Unapplied"))))</f>
        <v>0</v>
      </c>
      <c r="W896" s="39">
        <f>IF(B896="","",IF(G896="","Add - no amount yet",IF(E896="","Add - what was this for?",IF(IF(H896="",FALSE,COUNTIF(Sales!$A$5:$A$1204,H896)=0),"Missing - no sale with that ID",IF(IF(I896="",FALSE,COUNTIF(Appointments!$A$5:$A$1204,I896)=0),"Missing - no booking with that ID",IF(IF(E896="Tip",J896="",FALSE),"Assign - whose tip is it?",IF(IF(E896="Deposit",IF(H896="",I896="",FALSE),FALSE),"Check - deposit not tied to a booking",IF(M896="No","Due - not reconciled yet","OK"))))))))</f>
        <v>0</v>
      </c>
    </row>
    <row r="897" spans="1:23">
      <c r="A897" s="28">
        <f>IF(B897="","",PaymentPrefix&amp;TEXT(ROW()-4,"0000"))</f>
        <v>0</v>
      </c>
      <c r="D897" s="15">
        <f>IF(C897="","",IFERROR(INDEX(Clients!$B$5:$B$504,MATCH(C897,Clients!$A$5:$A$504,0)),"Walk-in"))</f>
        <v>0</v>
      </c>
      <c r="K897" s="15">
        <f>IF(J897="","",IFERROR(INDEX(Staff!$B$5:$B$44,MATCH(J897,Staff!$A$5:$A$44,0)),""))</f>
        <v>0</v>
      </c>
      <c r="O897" s="15">
        <f>IF(B897="","",TEXT(B897,"yyyy-mm"))</f>
        <v>0</v>
      </c>
      <c r="P897" s="25">
        <f>IF(B897="","",WEEKNUM(B897,2))</f>
        <v>0</v>
      </c>
      <c r="Q897" s="38">
        <f>IF(B897="","",IF(E897="Tip","No",IF(E897="Refund","No","Yes")))</f>
        <v>0</v>
      </c>
      <c r="R897" s="25">
        <f>IF(B897="","",IF(E897="Refund",-1,1))</f>
        <v>0</v>
      </c>
      <c r="S897" s="26">
        <f>IF(B897="","",IF(G897="",0,IF(F897="Card",ROUND(G897*CardFeePercent+CardFeeFixed,2),IF(F897="Online deposit",ROUND(G897*CardFeePercent+CardFeeFixed,2),0))))</f>
        <v>0</v>
      </c>
      <c r="T897" s="26">
        <f>IF(B897="","",ROUND(IF(G897="",0,G897)*R897-S897,2))</f>
        <v>0</v>
      </c>
      <c r="U897" s="38">
        <f>IF(B897="","",IF(E897="Tip","Yes","No"))</f>
        <v>0</v>
      </c>
      <c r="V897" s="15">
        <f>IF(B897="","",IF(H897&lt;&gt;"","Sale "&amp;H897,IF(I897&lt;&gt;"","Booking "&amp;I897,IF(E897="Tip","Stylist","Unapplied"))))</f>
        <v>0</v>
      </c>
      <c r="W897" s="39">
        <f>IF(B897="","",IF(G897="","Add - no amount yet",IF(E897="","Add - what was this for?",IF(IF(H897="",FALSE,COUNTIF(Sales!$A$5:$A$1204,H897)=0),"Missing - no sale with that ID",IF(IF(I897="",FALSE,COUNTIF(Appointments!$A$5:$A$1204,I897)=0),"Missing - no booking with that ID",IF(IF(E897="Tip",J897="",FALSE),"Assign - whose tip is it?",IF(IF(E897="Deposit",IF(H897="",I897="",FALSE),FALSE),"Check - deposit not tied to a booking",IF(M897="No","Due - not reconciled yet","OK"))))))))</f>
        <v>0</v>
      </c>
    </row>
    <row r="898" spans="1:23">
      <c r="A898" s="28">
        <f>IF(B898="","",PaymentPrefix&amp;TEXT(ROW()-4,"0000"))</f>
        <v>0</v>
      </c>
      <c r="D898" s="15">
        <f>IF(C898="","",IFERROR(INDEX(Clients!$B$5:$B$504,MATCH(C898,Clients!$A$5:$A$504,0)),"Walk-in"))</f>
        <v>0</v>
      </c>
      <c r="K898" s="15">
        <f>IF(J898="","",IFERROR(INDEX(Staff!$B$5:$B$44,MATCH(J898,Staff!$A$5:$A$44,0)),""))</f>
        <v>0</v>
      </c>
      <c r="O898" s="15">
        <f>IF(B898="","",TEXT(B898,"yyyy-mm"))</f>
        <v>0</v>
      </c>
      <c r="P898" s="25">
        <f>IF(B898="","",WEEKNUM(B898,2))</f>
        <v>0</v>
      </c>
      <c r="Q898" s="38">
        <f>IF(B898="","",IF(E898="Tip","No",IF(E898="Refund","No","Yes")))</f>
        <v>0</v>
      </c>
      <c r="R898" s="25">
        <f>IF(B898="","",IF(E898="Refund",-1,1))</f>
        <v>0</v>
      </c>
      <c r="S898" s="26">
        <f>IF(B898="","",IF(G898="",0,IF(F898="Card",ROUND(G898*CardFeePercent+CardFeeFixed,2),IF(F898="Online deposit",ROUND(G898*CardFeePercent+CardFeeFixed,2),0))))</f>
        <v>0</v>
      </c>
      <c r="T898" s="26">
        <f>IF(B898="","",ROUND(IF(G898="",0,G898)*R898-S898,2))</f>
        <v>0</v>
      </c>
      <c r="U898" s="38">
        <f>IF(B898="","",IF(E898="Tip","Yes","No"))</f>
        <v>0</v>
      </c>
      <c r="V898" s="15">
        <f>IF(B898="","",IF(H898&lt;&gt;"","Sale "&amp;H898,IF(I898&lt;&gt;"","Booking "&amp;I898,IF(E898="Tip","Stylist","Unapplied"))))</f>
        <v>0</v>
      </c>
      <c r="W898" s="39">
        <f>IF(B898="","",IF(G898="","Add - no amount yet",IF(E898="","Add - what was this for?",IF(IF(H898="",FALSE,COUNTIF(Sales!$A$5:$A$1204,H898)=0),"Missing - no sale with that ID",IF(IF(I898="",FALSE,COUNTIF(Appointments!$A$5:$A$1204,I898)=0),"Missing - no booking with that ID",IF(IF(E898="Tip",J898="",FALSE),"Assign - whose tip is it?",IF(IF(E898="Deposit",IF(H898="",I898="",FALSE),FALSE),"Check - deposit not tied to a booking",IF(M898="No","Due - not reconciled yet","OK"))))))))</f>
        <v>0</v>
      </c>
    </row>
    <row r="899" spans="1:23">
      <c r="A899" s="28">
        <f>IF(B899="","",PaymentPrefix&amp;TEXT(ROW()-4,"0000"))</f>
        <v>0</v>
      </c>
      <c r="D899" s="15">
        <f>IF(C899="","",IFERROR(INDEX(Clients!$B$5:$B$504,MATCH(C899,Clients!$A$5:$A$504,0)),"Walk-in"))</f>
        <v>0</v>
      </c>
      <c r="K899" s="15">
        <f>IF(J899="","",IFERROR(INDEX(Staff!$B$5:$B$44,MATCH(J899,Staff!$A$5:$A$44,0)),""))</f>
        <v>0</v>
      </c>
      <c r="O899" s="15">
        <f>IF(B899="","",TEXT(B899,"yyyy-mm"))</f>
        <v>0</v>
      </c>
      <c r="P899" s="25">
        <f>IF(B899="","",WEEKNUM(B899,2))</f>
        <v>0</v>
      </c>
      <c r="Q899" s="38">
        <f>IF(B899="","",IF(E899="Tip","No",IF(E899="Refund","No","Yes")))</f>
        <v>0</v>
      </c>
      <c r="R899" s="25">
        <f>IF(B899="","",IF(E899="Refund",-1,1))</f>
        <v>0</v>
      </c>
      <c r="S899" s="26">
        <f>IF(B899="","",IF(G899="",0,IF(F899="Card",ROUND(G899*CardFeePercent+CardFeeFixed,2),IF(F899="Online deposit",ROUND(G899*CardFeePercent+CardFeeFixed,2),0))))</f>
        <v>0</v>
      </c>
      <c r="T899" s="26">
        <f>IF(B899="","",ROUND(IF(G899="",0,G899)*R899-S899,2))</f>
        <v>0</v>
      </c>
      <c r="U899" s="38">
        <f>IF(B899="","",IF(E899="Tip","Yes","No"))</f>
        <v>0</v>
      </c>
      <c r="V899" s="15">
        <f>IF(B899="","",IF(H899&lt;&gt;"","Sale "&amp;H899,IF(I899&lt;&gt;"","Booking "&amp;I899,IF(E899="Tip","Stylist","Unapplied"))))</f>
        <v>0</v>
      </c>
      <c r="W899" s="39">
        <f>IF(B899="","",IF(G899="","Add - no amount yet",IF(E899="","Add - what was this for?",IF(IF(H899="",FALSE,COUNTIF(Sales!$A$5:$A$1204,H899)=0),"Missing - no sale with that ID",IF(IF(I899="",FALSE,COUNTIF(Appointments!$A$5:$A$1204,I899)=0),"Missing - no booking with that ID",IF(IF(E899="Tip",J899="",FALSE),"Assign - whose tip is it?",IF(IF(E899="Deposit",IF(H899="",I899="",FALSE),FALSE),"Check - deposit not tied to a booking",IF(M899="No","Due - not reconciled yet","OK"))))))))</f>
        <v>0</v>
      </c>
    </row>
    <row r="900" spans="1:23">
      <c r="A900" s="28">
        <f>IF(B900="","",PaymentPrefix&amp;TEXT(ROW()-4,"0000"))</f>
        <v>0</v>
      </c>
      <c r="D900" s="15">
        <f>IF(C900="","",IFERROR(INDEX(Clients!$B$5:$B$504,MATCH(C900,Clients!$A$5:$A$504,0)),"Walk-in"))</f>
        <v>0</v>
      </c>
      <c r="K900" s="15">
        <f>IF(J900="","",IFERROR(INDEX(Staff!$B$5:$B$44,MATCH(J900,Staff!$A$5:$A$44,0)),""))</f>
        <v>0</v>
      </c>
      <c r="O900" s="15">
        <f>IF(B900="","",TEXT(B900,"yyyy-mm"))</f>
        <v>0</v>
      </c>
      <c r="P900" s="25">
        <f>IF(B900="","",WEEKNUM(B900,2))</f>
        <v>0</v>
      </c>
      <c r="Q900" s="38">
        <f>IF(B900="","",IF(E900="Tip","No",IF(E900="Refund","No","Yes")))</f>
        <v>0</v>
      </c>
      <c r="R900" s="25">
        <f>IF(B900="","",IF(E900="Refund",-1,1))</f>
        <v>0</v>
      </c>
      <c r="S900" s="26">
        <f>IF(B900="","",IF(G900="",0,IF(F900="Card",ROUND(G900*CardFeePercent+CardFeeFixed,2),IF(F900="Online deposit",ROUND(G900*CardFeePercent+CardFeeFixed,2),0))))</f>
        <v>0</v>
      </c>
      <c r="T900" s="26">
        <f>IF(B900="","",ROUND(IF(G900="",0,G900)*R900-S900,2))</f>
        <v>0</v>
      </c>
      <c r="U900" s="38">
        <f>IF(B900="","",IF(E900="Tip","Yes","No"))</f>
        <v>0</v>
      </c>
      <c r="V900" s="15">
        <f>IF(B900="","",IF(H900&lt;&gt;"","Sale "&amp;H900,IF(I900&lt;&gt;"","Booking "&amp;I900,IF(E900="Tip","Stylist","Unapplied"))))</f>
        <v>0</v>
      </c>
      <c r="W900" s="39">
        <f>IF(B900="","",IF(G900="","Add - no amount yet",IF(E900="","Add - what was this for?",IF(IF(H900="",FALSE,COUNTIF(Sales!$A$5:$A$1204,H900)=0),"Missing - no sale with that ID",IF(IF(I900="",FALSE,COUNTIF(Appointments!$A$5:$A$1204,I900)=0),"Missing - no booking with that ID",IF(IF(E900="Tip",J900="",FALSE),"Assign - whose tip is it?",IF(IF(E900="Deposit",IF(H900="",I900="",FALSE),FALSE),"Check - deposit not tied to a booking",IF(M900="No","Due - not reconciled yet","OK"))))))))</f>
        <v>0</v>
      </c>
    </row>
    <row r="901" spans="1:23">
      <c r="A901" s="28">
        <f>IF(B901="","",PaymentPrefix&amp;TEXT(ROW()-4,"0000"))</f>
        <v>0</v>
      </c>
      <c r="D901" s="15">
        <f>IF(C901="","",IFERROR(INDEX(Clients!$B$5:$B$504,MATCH(C901,Clients!$A$5:$A$504,0)),"Walk-in"))</f>
        <v>0</v>
      </c>
      <c r="K901" s="15">
        <f>IF(J901="","",IFERROR(INDEX(Staff!$B$5:$B$44,MATCH(J901,Staff!$A$5:$A$44,0)),""))</f>
        <v>0</v>
      </c>
      <c r="O901" s="15">
        <f>IF(B901="","",TEXT(B901,"yyyy-mm"))</f>
        <v>0</v>
      </c>
      <c r="P901" s="25">
        <f>IF(B901="","",WEEKNUM(B901,2))</f>
        <v>0</v>
      </c>
      <c r="Q901" s="38">
        <f>IF(B901="","",IF(E901="Tip","No",IF(E901="Refund","No","Yes")))</f>
        <v>0</v>
      </c>
      <c r="R901" s="25">
        <f>IF(B901="","",IF(E901="Refund",-1,1))</f>
        <v>0</v>
      </c>
      <c r="S901" s="26">
        <f>IF(B901="","",IF(G901="",0,IF(F901="Card",ROUND(G901*CardFeePercent+CardFeeFixed,2),IF(F901="Online deposit",ROUND(G901*CardFeePercent+CardFeeFixed,2),0))))</f>
        <v>0</v>
      </c>
      <c r="T901" s="26">
        <f>IF(B901="","",ROUND(IF(G901="",0,G901)*R901-S901,2))</f>
        <v>0</v>
      </c>
      <c r="U901" s="38">
        <f>IF(B901="","",IF(E901="Tip","Yes","No"))</f>
        <v>0</v>
      </c>
      <c r="V901" s="15">
        <f>IF(B901="","",IF(H901&lt;&gt;"","Sale "&amp;H901,IF(I901&lt;&gt;"","Booking "&amp;I901,IF(E901="Tip","Stylist","Unapplied"))))</f>
        <v>0</v>
      </c>
      <c r="W901" s="39">
        <f>IF(B901="","",IF(G901="","Add - no amount yet",IF(E901="","Add - what was this for?",IF(IF(H901="",FALSE,COUNTIF(Sales!$A$5:$A$1204,H901)=0),"Missing - no sale with that ID",IF(IF(I901="",FALSE,COUNTIF(Appointments!$A$5:$A$1204,I901)=0),"Missing - no booking with that ID",IF(IF(E901="Tip",J901="",FALSE),"Assign - whose tip is it?",IF(IF(E901="Deposit",IF(H901="",I901="",FALSE),FALSE),"Check - deposit not tied to a booking",IF(M901="No","Due - not reconciled yet","OK"))))))))</f>
        <v>0</v>
      </c>
    </row>
    <row r="902" spans="1:23">
      <c r="A902" s="28">
        <f>IF(B902="","",PaymentPrefix&amp;TEXT(ROW()-4,"0000"))</f>
        <v>0</v>
      </c>
      <c r="D902" s="15">
        <f>IF(C902="","",IFERROR(INDEX(Clients!$B$5:$B$504,MATCH(C902,Clients!$A$5:$A$504,0)),"Walk-in"))</f>
        <v>0</v>
      </c>
      <c r="K902" s="15">
        <f>IF(J902="","",IFERROR(INDEX(Staff!$B$5:$B$44,MATCH(J902,Staff!$A$5:$A$44,0)),""))</f>
        <v>0</v>
      </c>
      <c r="O902" s="15">
        <f>IF(B902="","",TEXT(B902,"yyyy-mm"))</f>
        <v>0</v>
      </c>
      <c r="P902" s="25">
        <f>IF(B902="","",WEEKNUM(B902,2))</f>
        <v>0</v>
      </c>
      <c r="Q902" s="38">
        <f>IF(B902="","",IF(E902="Tip","No",IF(E902="Refund","No","Yes")))</f>
        <v>0</v>
      </c>
      <c r="R902" s="25">
        <f>IF(B902="","",IF(E902="Refund",-1,1))</f>
        <v>0</v>
      </c>
      <c r="S902" s="26">
        <f>IF(B902="","",IF(G902="",0,IF(F902="Card",ROUND(G902*CardFeePercent+CardFeeFixed,2),IF(F902="Online deposit",ROUND(G902*CardFeePercent+CardFeeFixed,2),0))))</f>
        <v>0</v>
      </c>
      <c r="T902" s="26">
        <f>IF(B902="","",ROUND(IF(G902="",0,G902)*R902-S902,2))</f>
        <v>0</v>
      </c>
      <c r="U902" s="38">
        <f>IF(B902="","",IF(E902="Tip","Yes","No"))</f>
        <v>0</v>
      </c>
      <c r="V902" s="15">
        <f>IF(B902="","",IF(H902&lt;&gt;"","Sale "&amp;H902,IF(I902&lt;&gt;"","Booking "&amp;I902,IF(E902="Tip","Stylist","Unapplied"))))</f>
        <v>0</v>
      </c>
      <c r="W902" s="39">
        <f>IF(B902="","",IF(G902="","Add - no amount yet",IF(E902="","Add - what was this for?",IF(IF(H902="",FALSE,COUNTIF(Sales!$A$5:$A$1204,H902)=0),"Missing - no sale with that ID",IF(IF(I902="",FALSE,COUNTIF(Appointments!$A$5:$A$1204,I902)=0),"Missing - no booking with that ID",IF(IF(E902="Tip",J902="",FALSE),"Assign - whose tip is it?",IF(IF(E902="Deposit",IF(H902="",I902="",FALSE),FALSE),"Check - deposit not tied to a booking",IF(M902="No","Due - not reconciled yet","OK"))))))))</f>
        <v>0</v>
      </c>
    </row>
    <row r="903" spans="1:23">
      <c r="A903" s="28">
        <f>IF(B903="","",PaymentPrefix&amp;TEXT(ROW()-4,"0000"))</f>
        <v>0</v>
      </c>
      <c r="D903" s="15">
        <f>IF(C903="","",IFERROR(INDEX(Clients!$B$5:$B$504,MATCH(C903,Clients!$A$5:$A$504,0)),"Walk-in"))</f>
        <v>0</v>
      </c>
      <c r="K903" s="15">
        <f>IF(J903="","",IFERROR(INDEX(Staff!$B$5:$B$44,MATCH(J903,Staff!$A$5:$A$44,0)),""))</f>
        <v>0</v>
      </c>
      <c r="O903" s="15">
        <f>IF(B903="","",TEXT(B903,"yyyy-mm"))</f>
        <v>0</v>
      </c>
      <c r="P903" s="25">
        <f>IF(B903="","",WEEKNUM(B903,2))</f>
        <v>0</v>
      </c>
      <c r="Q903" s="38">
        <f>IF(B903="","",IF(E903="Tip","No",IF(E903="Refund","No","Yes")))</f>
        <v>0</v>
      </c>
      <c r="R903" s="25">
        <f>IF(B903="","",IF(E903="Refund",-1,1))</f>
        <v>0</v>
      </c>
      <c r="S903" s="26">
        <f>IF(B903="","",IF(G903="",0,IF(F903="Card",ROUND(G903*CardFeePercent+CardFeeFixed,2),IF(F903="Online deposit",ROUND(G903*CardFeePercent+CardFeeFixed,2),0))))</f>
        <v>0</v>
      </c>
      <c r="T903" s="26">
        <f>IF(B903="","",ROUND(IF(G903="",0,G903)*R903-S903,2))</f>
        <v>0</v>
      </c>
      <c r="U903" s="38">
        <f>IF(B903="","",IF(E903="Tip","Yes","No"))</f>
        <v>0</v>
      </c>
      <c r="V903" s="15">
        <f>IF(B903="","",IF(H903&lt;&gt;"","Sale "&amp;H903,IF(I903&lt;&gt;"","Booking "&amp;I903,IF(E903="Tip","Stylist","Unapplied"))))</f>
        <v>0</v>
      </c>
      <c r="W903" s="39">
        <f>IF(B903="","",IF(G903="","Add - no amount yet",IF(E903="","Add - what was this for?",IF(IF(H903="",FALSE,COUNTIF(Sales!$A$5:$A$1204,H903)=0),"Missing - no sale with that ID",IF(IF(I903="",FALSE,COUNTIF(Appointments!$A$5:$A$1204,I903)=0),"Missing - no booking with that ID",IF(IF(E903="Tip",J903="",FALSE),"Assign - whose tip is it?",IF(IF(E903="Deposit",IF(H903="",I903="",FALSE),FALSE),"Check - deposit not tied to a booking",IF(M903="No","Due - not reconciled yet","OK"))))))))</f>
        <v>0</v>
      </c>
    </row>
    <row r="904" spans="1:23">
      <c r="A904" s="28">
        <f>IF(B904="","",PaymentPrefix&amp;TEXT(ROW()-4,"0000"))</f>
        <v>0</v>
      </c>
      <c r="D904" s="15">
        <f>IF(C904="","",IFERROR(INDEX(Clients!$B$5:$B$504,MATCH(C904,Clients!$A$5:$A$504,0)),"Walk-in"))</f>
        <v>0</v>
      </c>
      <c r="K904" s="15">
        <f>IF(J904="","",IFERROR(INDEX(Staff!$B$5:$B$44,MATCH(J904,Staff!$A$5:$A$44,0)),""))</f>
        <v>0</v>
      </c>
      <c r="O904" s="15">
        <f>IF(B904="","",TEXT(B904,"yyyy-mm"))</f>
        <v>0</v>
      </c>
      <c r="P904" s="25">
        <f>IF(B904="","",WEEKNUM(B904,2))</f>
        <v>0</v>
      </c>
      <c r="Q904" s="38">
        <f>IF(B904="","",IF(E904="Tip","No",IF(E904="Refund","No","Yes")))</f>
        <v>0</v>
      </c>
      <c r="R904" s="25">
        <f>IF(B904="","",IF(E904="Refund",-1,1))</f>
        <v>0</v>
      </c>
      <c r="S904" s="26">
        <f>IF(B904="","",IF(G904="",0,IF(F904="Card",ROUND(G904*CardFeePercent+CardFeeFixed,2),IF(F904="Online deposit",ROUND(G904*CardFeePercent+CardFeeFixed,2),0))))</f>
        <v>0</v>
      </c>
      <c r="T904" s="26">
        <f>IF(B904="","",ROUND(IF(G904="",0,G904)*R904-S904,2))</f>
        <v>0</v>
      </c>
      <c r="U904" s="38">
        <f>IF(B904="","",IF(E904="Tip","Yes","No"))</f>
        <v>0</v>
      </c>
      <c r="V904" s="15">
        <f>IF(B904="","",IF(H904&lt;&gt;"","Sale "&amp;H904,IF(I904&lt;&gt;"","Booking "&amp;I904,IF(E904="Tip","Stylist","Unapplied"))))</f>
        <v>0</v>
      </c>
      <c r="W904" s="39">
        <f>IF(B904="","",IF(G904="","Add - no amount yet",IF(E904="","Add - what was this for?",IF(IF(H904="",FALSE,COUNTIF(Sales!$A$5:$A$1204,H904)=0),"Missing - no sale with that ID",IF(IF(I904="",FALSE,COUNTIF(Appointments!$A$5:$A$1204,I904)=0),"Missing - no booking with that ID",IF(IF(E904="Tip",J904="",FALSE),"Assign - whose tip is it?",IF(IF(E904="Deposit",IF(H904="",I904="",FALSE),FALSE),"Check - deposit not tied to a booking",IF(M904="No","Due - not reconciled yet","OK"))))))))</f>
        <v>0</v>
      </c>
    </row>
    <row r="905" spans="1:23">
      <c r="A905" s="28">
        <f>IF(B905="","",PaymentPrefix&amp;TEXT(ROW()-4,"0000"))</f>
        <v>0</v>
      </c>
      <c r="D905" s="15">
        <f>IF(C905="","",IFERROR(INDEX(Clients!$B$5:$B$504,MATCH(C905,Clients!$A$5:$A$504,0)),"Walk-in"))</f>
        <v>0</v>
      </c>
      <c r="K905" s="15">
        <f>IF(J905="","",IFERROR(INDEX(Staff!$B$5:$B$44,MATCH(J905,Staff!$A$5:$A$44,0)),""))</f>
        <v>0</v>
      </c>
      <c r="O905" s="15">
        <f>IF(B905="","",TEXT(B905,"yyyy-mm"))</f>
        <v>0</v>
      </c>
      <c r="P905" s="25">
        <f>IF(B905="","",WEEKNUM(B905,2))</f>
        <v>0</v>
      </c>
      <c r="Q905" s="38">
        <f>IF(B905="","",IF(E905="Tip","No",IF(E905="Refund","No","Yes")))</f>
        <v>0</v>
      </c>
      <c r="R905" s="25">
        <f>IF(B905="","",IF(E905="Refund",-1,1))</f>
        <v>0</v>
      </c>
      <c r="S905" s="26">
        <f>IF(B905="","",IF(G905="",0,IF(F905="Card",ROUND(G905*CardFeePercent+CardFeeFixed,2),IF(F905="Online deposit",ROUND(G905*CardFeePercent+CardFeeFixed,2),0))))</f>
        <v>0</v>
      </c>
      <c r="T905" s="26">
        <f>IF(B905="","",ROUND(IF(G905="",0,G905)*R905-S905,2))</f>
        <v>0</v>
      </c>
      <c r="U905" s="38">
        <f>IF(B905="","",IF(E905="Tip","Yes","No"))</f>
        <v>0</v>
      </c>
      <c r="V905" s="15">
        <f>IF(B905="","",IF(H905&lt;&gt;"","Sale "&amp;H905,IF(I905&lt;&gt;"","Booking "&amp;I905,IF(E905="Tip","Stylist","Unapplied"))))</f>
        <v>0</v>
      </c>
      <c r="W905" s="39">
        <f>IF(B905="","",IF(G905="","Add - no amount yet",IF(E905="","Add - what was this for?",IF(IF(H905="",FALSE,COUNTIF(Sales!$A$5:$A$1204,H905)=0),"Missing - no sale with that ID",IF(IF(I905="",FALSE,COUNTIF(Appointments!$A$5:$A$1204,I905)=0),"Missing - no booking with that ID",IF(IF(E905="Tip",J905="",FALSE),"Assign - whose tip is it?",IF(IF(E905="Deposit",IF(H905="",I905="",FALSE),FALSE),"Check - deposit not tied to a booking",IF(M905="No","Due - not reconciled yet","OK"))))))))</f>
        <v>0</v>
      </c>
    </row>
    <row r="906" spans="1:23">
      <c r="A906" s="28">
        <f>IF(B906="","",PaymentPrefix&amp;TEXT(ROW()-4,"0000"))</f>
        <v>0</v>
      </c>
      <c r="D906" s="15">
        <f>IF(C906="","",IFERROR(INDEX(Clients!$B$5:$B$504,MATCH(C906,Clients!$A$5:$A$504,0)),"Walk-in"))</f>
        <v>0</v>
      </c>
      <c r="K906" s="15">
        <f>IF(J906="","",IFERROR(INDEX(Staff!$B$5:$B$44,MATCH(J906,Staff!$A$5:$A$44,0)),""))</f>
        <v>0</v>
      </c>
      <c r="O906" s="15">
        <f>IF(B906="","",TEXT(B906,"yyyy-mm"))</f>
        <v>0</v>
      </c>
      <c r="P906" s="25">
        <f>IF(B906="","",WEEKNUM(B906,2))</f>
        <v>0</v>
      </c>
      <c r="Q906" s="38">
        <f>IF(B906="","",IF(E906="Tip","No",IF(E906="Refund","No","Yes")))</f>
        <v>0</v>
      </c>
      <c r="R906" s="25">
        <f>IF(B906="","",IF(E906="Refund",-1,1))</f>
        <v>0</v>
      </c>
      <c r="S906" s="26">
        <f>IF(B906="","",IF(G906="",0,IF(F906="Card",ROUND(G906*CardFeePercent+CardFeeFixed,2),IF(F906="Online deposit",ROUND(G906*CardFeePercent+CardFeeFixed,2),0))))</f>
        <v>0</v>
      </c>
      <c r="T906" s="26">
        <f>IF(B906="","",ROUND(IF(G906="",0,G906)*R906-S906,2))</f>
        <v>0</v>
      </c>
      <c r="U906" s="38">
        <f>IF(B906="","",IF(E906="Tip","Yes","No"))</f>
        <v>0</v>
      </c>
      <c r="V906" s="15">
        <f>IF(B906="","",IF(H906&lt;&gt;"","Sale "&amp;H906,IF(I906&lt;&gt;"","Booking "&amp;I906,IF(E906="Tip","Stylist","Unapplied"))))</f>
        <v>0</v>
      </c>
      <c r="W906" s="39">
        <f>IF(B906="","",IF(G906="","Add - no amount yet",IF(E906="","Add - what was this for?",IF(IF(H906="",FALSE,COUNTIF(Sales!$A$5:$A$1204,H906)=0),"Missing - no sale with that ID",IF(IF(I906="",FALSE,COUNTIF(Appointments!$A$5:$A$1204,I906)=0),"Missing - no booking with that ID",IF(IF(E906="Tip",J906="",FALSE),"Assign - whose tip is it?",IF(IF(E906="Deposit",IF(H906="",I906="",FALSE),FALSE),"Check - deposit not tied to a booking",IF(M906="No","Due - not reconciled yet","OK"))))))))</f>
        <v>0</v>
      </c>
    </row>
    <row r="907" spans="1:23">
      <c r="A907" s="28">
        <f>IF(B907="","",PaymentPrefix&amp;TEXT(ROW()-4,"0000"))</f>
        <v>0</v>
      </c>
      <c r="D907" s="15">
        <f>IF(C907="","",IFERROR(INDEX(Clients!$B$5:$B$504,MATCH(C907,Clients!$A$5:$A$504,0)),"Walk-in"))</f>
        <v>0</v>
      </c>
      <c r="K907" s="15">
        <f>IF(J907="","",IFERROR(INDEX(Staff!$B$5:$B$44,MATCH(J907,Staff!$A$5:$A$44,0)),""))</f>
        <v>0</v>
      </c>
      <c r="O907" s="15">
        <f>IF(B907="","",TEXT(B907,"yyyy-mm"))</f>
        <v>0</v>
      </c>
      <c r="P907" s="25">
        <f>IF(B907="","",WEEKNUM(B907,2))</f>
        <v>0</v>
      </c>
      <c r="Q907" s="38">
        <f>IF(B907="","",IF(E907="Tip","No",IF(E907="Refund","No","Yes")))</f>
        <v>0</v>
      </c>
      <c r="R907" s="25">
        <f>IF(B907="","",IF(E907="Refund",-1,1))</f>
        <v>0</v>
      </c>
      <c r="S907" s="26">
        <f>IF(B907="","",IF(G907="",0,IF(F907="Card",ROUND(G907*CardFeePercent+CardFeeFixed,2),IF(F907="Online deposit",ROUND(G907*CardFeePercent+CardFeeFixed,2),0))))</f>
        <v>0</v>
      </c>
      <c r="T907" s="26">
        <f>IF(B907="","",ROUND(IF(G907="",0,G907)*R907-S907,2))</f>
        <v>0</v>
      </c>
      <c r="U907" s="38">
        <f>IF(B907="","",IF(E907="Tip","Yes","No"))</f>
        <v>0</v>
      </c>
      <c r="V907" s="15">
        <f>IF(B907="","",IF(H907&lt;&gt;"","Sale "&amp;H907,IF(I907&lt;&gt;"","Booking "&amp;I907,IF(E907="Tip","Stylist","Unapplied"))))</f>
        <v>0</v>
      </c>
      <c r="W907" s="39">
        <f>IF(B907="","",IF(G907="","Add - no amount yet",IF(E907="","Add - what was this for?",IF(IF(H907="",FALSE,COUNTIF(Sales!$A$5:$A$1204,H907)=0),"Missing - no sale with that ID",IF(IF(I907="",FALSE,COUNTIF(Appointments!$A$5:$A$1204,I907)=0),"Missing - no booking with that ID",IF(IF(E907="Tip",J907="",FALSE),"Assign - whose tip is it?",IF(IF(E907="Deposit",IF(H907="",I907="",FALSE),FALSE),"Check - deposit not tied to a booking",IF(M907="No","Due - not reconciled yet","OK"))))))))</f>
        <v>0</v>
      </c>
    </row>
    <row r="908" spans="1:23">
      <c r="A908" s="28">
        <f>IF(B908="","",PaymentPrefix&amp;TEXT(ROW()-4,"0000"))</f>
        <v>0</v>
      </c>
      <c r="D908" s="15">
        <f>IF(C908="","",IFERROR(INDEX(Clients!$B$5:$B$504,MATCH(C908,Clients!$A$5:$A$504,0)),"Walk-in"))</f>
        <v>0</v>
      </c>
      <c r="K908" s="15">
        <f>IF(J908="","",IFERROR(INDEX(Staff!$B$5:$B$44,MATCH(J908,Staff!$A$5:$A$44,0)),""))</f>
        <v>0</v>
      </c>
      <c r="O908" s="15">
        <f>IF(B908="","",TEXT(B908,"yyyy-mm"))</f>
        <v>0</v>
      </c>
      <c r="P908" s="25">
        <f>IF(B908="","",WEEKNUM(B908,2))</f>
        <v>0</v>
      </c>
      <c r="Q908" s="38">
        <f>IF(B908="","",IF(E908="Tip","No",IF(E908="Refund","No","Yes")))</f>
        <v>0</v>
      </c>
      <c r="R908" s="25">
        <f>IF(B908="","",IF(E908="Refund",-1,1))</f>
        <v>0</v>
      </c>
      <c r="S908" s="26">
        <f>IF(B908="","",IF(G908="",0,IF(F908="Card",ROUND(G908*CardFeePercent+CardFeeFixed,2),IF(F908="Online deposit",ROUND(G908*CardFeePercent+CardFeeFixed,2),0))))</f>
        <v>0</v>
      </c>
      <c r="T908" s="26">
        <f>IF(B908="","",ROUND(IF(G908="",0,G908)*R908-S908,2))</f>
        <v>0</v>
      </c>
      <c r="U908" s="38">
        <f>IF(B908="","",IF(E908="Tip","Yes","No"))</f>
        <v>0</v>
      </c>
      <c r="V908" s="15">
        <f>IF(B908="","",IF(H908&lt;&gt;"","Sale "&amp;H908,IF(I908&lt;&gt;"","Booking "&amp;I908,IF(E908="Tip","Stylist","Unapplied"))))</f>
        <v>0</v>
      </c>
      <c r="W908" s="39">
        <f>IF(B908="","",IF(G908="","Add - no amount yet",IF(E908="","Add - what was this for?",IF(IF(H908="",FALSE,COUNTIF(Sales!$A$5:$A$1204,H908)=0),"Missing - no sale with that ID",IF(IF(I908="",FALSE,COUNTIF(Appointments!$A$5:$A$1204,I908)=0),"Missing - no booking with that ID",IF(IF(E908="Tip",J908="",FALSE),"Assign - whose tip is it?",IF(IF(E908="Deposit",IF(H908="",I908="",FALSE),FALSE),"Check - deposit not tied to a booking",IF(M908="No","Due - not reconciled yet","OK"))))))))</f>
        <v>0</v>
      </c>
    </row>
    <row r="909" spans="1:23">
      <c r="A909" s="28">
        <f>IF(B909="","",PaymentPrefix&amp;TEXT(ROW()-4,"0000"))</f>
        <v>0</v>
      </c>
      <c r="D909" s="15">
        <f>IF(C909="","",IFERROR(INDEX(Clients!$B$5:$B$504,MATCH(C909,Clients!$A$5:$A$504,0)),"Walk-in"))</f>
        <v>0</v>
      </c>
      <c r="K909" s="15">
        <f>IF(J909="","",IFERROR(INDEX(Staff!$B$5:$B$44,MATCH(J909,Staff!$A$5:$A$44,0)),""))</f>
        <v>0</v>
      </c>
      <c r="O909" s="15">
        <f>IF(B909="","",TEXT(B909,"yyyy-mm"))</f>
        <v>0</v>
      </c>
      <c r="P909" s="25">
        <f>IF(B909="","",WEEKNUM(B909,2))</f>
        <v>0</v>
      </c>
      <c r="Q909" s="38">
        <f>IF(B909="","",IF(E909="Tip","No",IF(E909="Refund","No","Yes")))</f>
        <v>0</v>
      </c>
      <c r="R909" s="25">
        <f>IF(B909="","",IF(E909="Refund",-1,1))</f>
        <v>0</v>
      </c>
      <c r="S909" s="26">
        <f>IF(B909="","",IF(G909="",0,IF(F909="Card",ROUND(G909*CardFeePercent+CardFeeFixed,2),IF(F909="Online deposit",ROUND(G909*CardFeePercent+CardFeeFixed,2),0))))</f>
        <v>0</v>
      </c>
      <c r="T909" s="26">
        <f>IF(B909="","",ROUND(IF(G909="",0,G909)*R909-S909,2))</f>
        <v>0</v>
      </c>
      <c r="U909" s="38">
        <f>IF(B909="","",IF(E909="Tip","Yes","No"))</f>
        <v>0</v>
      </c>
      <c r="V909" s="15">
        <f>IF(B909="","",IF(H909&lt;&gt;"","Sale "&amp;H909,IF(I909&lt;&gt;"","Booking "&amp;I909,IF(E909="Tip","Stylist","Unapplied"))))</f>
        <v>0</v>
      </c>
      <c r="W909" s="39">
        <f>IF(B909="","",IF(G909="","Add - no amount yet",IF(E909="","Add - what was this for?",IF(IF(H909="",FALSE,COUNTIF(Sales!$A$5:$A$1204,H909)=0),"Missing - no sale with that ID",IF(IF(I909="",FALSE,COUNTIF(Appointments!$A$5:$A$1204,I909)=0),"Missing - no booking with that ID",IF(IF(E909="Tip",J909="",FALSE),"Assign - whose tip is it?",IF(IF(E909="Deposit",IF(H909="",I909="",FALSE),FALSE),"Check - deposit not tied to a booking",IF(M909="No","Due - not reconciled yet","OK"))))))))</f>
        <v>0</v>
      </c>
    </row>
    <row r="910" spans="1:23">
      <c r="A910" s="28">
        <f>IF(B910="","",PaymentPrefix&amp;TEXT(ROW()-4,"0000"))</f>
        <v>0</v>
      </c>
      <c r="D910" s="15">
        <f>IF(C910="","",IFERROR(INDEX(Clients!$B$5:$B$504,MATCH(C910,Clients!$A$5:$A$504,0)),"Walk-in"))</f>
        <v>0</v>
      </c>
      <c r="K910" s="15">
        <f>IF(J910="","",IFERROR(INDEX(Staff!$B$5:$B$44,MATCH(J910,Staff!$A$5:$A$44,0)),""))</f>
        <v>0</v>
      </c>
      <c r="O910" s="15">
        <f>IF(B910="","",TEXT(B910,"yyyy-mm"))</f>
        <v>0</v>
      </c>
      <c r="P910" s="25">
        <f>IF(B910="","",WEEKNUM(B910,2))</f>
        <v>0</v>
      </c>
      <c r="Q910" s="38">
        <f>IF(B910="","",IF(E910="Tip","No",IF(E910="Refund","No","Yes")))</f>
        <v>0</v>
      </c>
      <c r="R910" s="25">
        <f>IF(B910="","",IF(E910="Refund",-1,1))</f>
        <v>0</v>
      </c>
      <c r="S910" s="26">
        <f>IF(B910="","",IF(G910="",0,IF(F910="Card",ROUND(G910*CardFeePercent+CardFeeFixed,2),IF(F910="Online deposit",ROUND(G910*CardFeePercent+CardFeeFixed,2),0))))</f>
        <v>0</v>
      </c>
      <c r="T910" s="26">
        <f>IF(B910="","",ROUND(IF(G910="",0,G910)*R910-S910,2))</f>
        <v>0</v>
      </c>
      <c r="U910" s="38">
        <f>IF(B910="","",IF(E910="Tip","Yes","No"))</f>
        <v>0</v>
      </c>
      <c r="V910" s="15">
        <f>IF(B910="","",IF(H910&lt;&gt;"","Sale "&amp;H910,IF(I910&lt;&gt;"","Booking "&amp;I910,IF(E910="Tip","Stylist","Unapplied"))))</f>
        <v>0</v>
      </c>
      <c r="W910" s="39">
        <f>IF(B910="","",IF(G910="","Add - no amount yet",IF(E910="","Add - what was this for?",IF(IF(H910="",FALSE,COUNTIF(Sales!$A$5:$A$1204,H910)=0),"Missing - no sale with that ID",IF(IF(I910="",FALSE,COUNTIF(Appointments!$A$5:$A$1204,I910)=0),"Missing - no booking with that ID",IF(IF(E910="Tip",J910="",FALSE),"Assign - whose tip is it?",IF(IF(E910="Deposit",IF(H910="",I910="",FALSE),FALSE),"Check - deposit not tied to a booking",IF(M910="No","Due - not reconciled yet","OK"))))))))</f>
        <v>0</v>
      </c>
    </row>
    <row r="911" spans="1:23">
      <c r="A911" s="28">
        <f>IF(B911="","",PaymentPrefix&amp;TEXT(ROW()-4,"0000"))</f>
        <v>0</v>
      </c>
      <c r="D911" s="15">
        <f>IF(C911="","",IFERROR(INDEX(Clients!$B$5:$B$504,MATCH(C911,Clients!$A$5:$A$504,0)),"Walk-in"))</f>
        <v>0</v>
      </c>
      <c r="K911" s="15">
        <f>IF(J911="","",IFERROR(INDEX(Staff!$B$5:$B$44,MATCH(J911,Staff!$A$5:$A$44,0)),""))</f>
        <v>0</v>
      </c>
      <c r="O911" s="15">
        <f>IF(B911="","",TEXT(B911,"yyyy-mm"))</f>
        <v>0</v>
      </c>
      <c r="P911" s="25">
        <f>IF(B911="","",WEEKNUM(B911,2))</f>
        <v>0</v>
      </c>
      <c r="Q911" s="38">
        <f>IF(B911="","",IF(E911="Tip","No",IF(E911="Refund","No","Yes")))</f>
        <v>0</v>
      </c>
      <c r="R911" s="25">
        <f>IF(B911="","",IF(E911="Refund",-1,1))</f>
        <v>0</v>
      </c>
      <c r="S911" s="26">
        <f>IF(B911="","",IF(G911="",0,IF(F911="Card",ROUND(G911*CardFeePercent+CardFeeFixed,2),IF(F911="Online deposit",ROUND(G911*CardFeePercent+CardFeeFixed,2),0))))</f>
        <v>0</v>
      </c>
      <c r="T911" s="26">
        <f>IF(B911="","",ROUND(IF(G911="",0,G911)*R911-S911,2))</f>
        <v>0</v>
      </c>
      <c r="U911" s="38">
        <f>IF(B911="","",IF(E911="Tip","Yes","No"))</f>
        <v>0</v>
      </c>
      <c r="V911" s="15">
        <f>IF(B911="","",IF(H911&lt;&gt;"","Sale "&amp;H911,IF(I911&lt;&gt;"","Booking "&amp;I911,IF(E911="Tip","Stylist","Unapplied"))))</f>
        <v>0</v>
      </c>
      <c r="W911" s="39">
        <f>IF(B911="","",IF(G911="","Add - no amount yet",IF(E911="","Add - what was this for?",IF(IF(H911="",FALSE,COUNTIF(Sales!$A$5:$A$1204,H911)=0),"Missing - no sale with that ID",IF(IF(I911="",FALSE,COUNTIF(Appointments!$A$5:$A$1204,I911)=0),"Missing - no booking with that ID",IF(IF(E911="Tip",J911="",FALSE),"Assign - whose tip is it?",IF(IF(E911="Deposit",IF(H911="",I911="",FALSE),FALSE),"Check - deposit not tied to a booking",IF(M911="No","Due - not reconciled yet","OK"))))))))</f>
        <v>0</v>
      </c>
    </row>
    <row r="912" spans="1:23">
      <c r="A912" s="28">
        <f>IF(B912="","",PaymentPrefix&amp;TEXT(ROW()-4,"0000"))</f>
        <v>0</v>
      </c>
      <c r="D912" s="15">
        <f>IF(C912="","",IFERROR(INDEX(Clients!$B$5:$B$504,MATCH(C912,Clients!$A$5:$A$504,0)),"Walk-in"))</f>
        <v>0</v>
      </c>
      <c r="K912" s="15">
        <f>IF(J912="","",IFERROR(INDEX(Staff!$B$5:$B$44,MATCH(J912,Staff!$A$5:$A$44,0)),""))</f>
        <v>0</v>
      </c>
      <c r="O912" s="15">
        <f>IF(B912="","",TEXT(B912,"yyyy-mm"))</f>
        <v>0</v>
      </c>
      <c r="P912" s="25">
        <f>IF(B912="","",WEEKNUM(B912,2))</f>
        <v>0</v>
      </c>
      <c r="Q912" s="38">
        <f>IF(B912="","",IF(E912="Tip","No",IF(E912="Refund","No","Yes")))</f>
        <v>0</v>
      </c>
      <c r="R912" s="25">
        <f>IF(B912="","",IF(E912="Refund",-1,1))</f>
        <v>0</v>
      </c>
      <c r="S912" s="26">
        <f>IF(B912="","",IF(G912="",0,IF(F912="Card",ROUND(G912*CardFeePercent+CardFeeFixed,2),IF(F912="Online deposit",ROUND(G912*CardFeePercent+CardFeeFixed,2),0))))</f>
        <v>0</v>
      </c>
      <c r="T912" s="26">
        <f>IF(B912="","",ROUND(IF(G912="",0,G912)*R912-S912,2))</f>
        <v>0</v>
      </c>
      <c r="U912" s="38">
        <f>IF(B912="","",IF(E912="Tip","Yes","No"))</f>
        <v>0</v>
      </c>
      <c r="V912" s="15">
        <f>IF(B912="","",IF(H912&lt;&gt;"","Sale "&amp;H912,IF(I912&lt;&gt;"","Booking "&amp;I912,IF(E912="Tip","Stylist","Unapplied"))))</f>
        <v>0</v>
      </c>
      <c r="W912" s="39">
        <f>IF(B912="","",IF(G912="","Add - no amount yet",IF(E912="","Add - what was this for?",IF(IF(H912="",FALSE,COUNTIF(Sales!$A$5:$A$1204,H912)=0),"Missing - no sale with that ID",IF(IF(I912="",FALSE,COUNTIF(Appointments!$A$5:$A$1204,I912)=0),"Missing - no booking with that ID",IF(IF(E912="Tip",J912="",FALSE),"Assign - whose tip is it?",IF(IF(E912="Deposit",IF(H912="",I912="",FALSE),FALSE),"Check - deposit not tied to a booking",IF(M912="No","Due - not reconciled yet","OK"))))))))</f>
        <v>0</v>
      </c>
    </row>
    <row r="913" spans="1:23">
      <c r="A913" s="28">
        <f>IF(B913="","",PaymentPrefix&amp;TEXT(ROW()-4,"0000"))</f>
        <v>0</v>
      </c>
      <c r="D913" s="15">
        <f>IF(C913="","",IFERROR(INDEX(Clients!$B$5:$B$504,MATCH(C913,Clients!$A$5:$A$504,0)),"Walk-in"))</f>
        <v>0</v>
      </c>
      <c r="K913" s="15">
        <f>IF(J913="","",IFERROR(INDEX(Staff!$B$5:$B$44,MATCH(J913,Staff!$A$5:$A$44,0)),""))</f>
        <v>0</v>
      </c>
      <c r="O913" s="15">
        <f>IF(B913="","",TEXT(B913,"yyyy-mm"))</f>
        <v>0</v>
      </c>
      <c r="P913" s="25">
        <f>IF(B913="","",WEEKNUM(B913,2))</f>
        <v>0</v>
      </c>
      <c r="Q913" s="38">
        <f>IF(B913="","",IF(E913="Tip","No",IF(E913="Refund","No","Yes")))</f>
        <v>0</v>
      </c>
      <c r="R913" s="25">
        <f>IF(B913="","",IF(E913="Refund",-1,1))</f>
        <v>0</v>
      </c>
      <c r="S913" s="26">
        <f>IF(B913="","",IF(G913="",0,IF(F913="Card",ROUND(G913*CardFeePercent+CardFeeFixed,2),IF(F913="Online deposit",ROUND(G913*CardFeePercent+CardFeeFixed,2),0))))</f>
        <v>0</v>
      </c>
      <c r="T913" s="26">
        <f>IF(B913="","",ROUND(IF(G913="",0,G913)*R913-S913,2))</f>
        <v>0</v>
      </c>
      <c r="U913" s="38">
        <f>IF(B913="","",IF(E913="Tip","Yes","No"))</f>
        <v>0</v>
      </c>
      <c r="V913" s="15">
        <f>IF(B913="","",IF(H913&lt;&gt;"","Sale "&amp;H913,IF(I913&lt;&gt;"","Booking "&amp;I913,IF(E913="Tip","Stylist","Unapplied"))))</f>
        <v>0</v>
      </c>
      <c r="W913" s="39">
        <f>IF(B913="","",IF(G913="","Add - no amount yet",IF(E913="","Add - what was this for?",IF(IF(H913="",FALSE,COUNTIF(Sales!$A$5:$A$1204,H913)=0),"Missing - no sale with that ID",IF(IF(I913="",FALSE,COUNTIF(Appointments!$A$5:$A$1204,I913)=0),"Missing - no booking with that ID",IF(IF(E913="Tip",J913="",FALSE),"Assign - whose tip is it?",IF(IF(E913="Deposit",IF(H913="",I913="",FALSE),FALSE),"Check - deposit not tied to a booking",IF(M913="No","Due - not reconciled yet","OK"))))))))</f>
        <v>0</v>
      </c>
    </row>
    <row r="914" spans="1:23">
      <c r="A914" s="28">
        <f>IF(B914="","",PaymentPrefix&amp;TEXT(ROW()-4,"0000"))</f>
        <v>0</v>
      </c>
      <c r="D914" s="15">
        <f>IF(C914="","",IFERROR(INDEX(Clients!$B$5:$B$504,MATCH(C914,Clients!$A$5:$A$504,0)),"Walk-in"))</f>
        <v>0</v>
      </c>
      <c r="K914" s="15">
        <f>IF(J914="","",IFERROR(INDEX(Staff!$B$5:$B$44,MATCH(J914,Staff!$A$5:$A$44,0)),""))</f>
        <v>0</v>
      </c>
      <c r="O914" s="15">
        <f>IF(B914="","",TEXT(B914,"yyyy-mm"))</f>
        <v>0</v>
      </c>
      <c r="P914" s="25">
        <f>IF(B914="","",WEEKNUM(B914,2))</f>
        <v>0</v>
      </c>
      <c r="Q914" s="38">
        <f>IF(B914="","",IF(E914="Tip","No",IF(E914="Refund","No","Yes")))</f>
        <v>0</v>
      </c>
      <c r="R914" s="25">
        <f>IF(B914="","",IF(E914="Refund",-1,1))</f>
        <v>0</v>
      </c>
      <c r="S914" s="26">
        <f>IF(B914="","",IF(G914="",0,IF(F914="Card",ROUND(G914*CardFeePercent+CardFeeFixed,2),IF(F914="Online deposit",ROUND(G914*CardFeePercent+CardFeeFixed,2),0))))</f>
        <v>0</v>
      </c>
      <c r="T914" s="26">
        <f>IF(B914="","",ROUND(IF(G914="",0,G914)*R914-S914,2))</f>
        <v>0</v>
      </c>
      <c r="U914" s="38">
        <f>IF(B914="","",IF(E914="Tip","Yes","No"))</f>
        <v>0</v>
      </c>
      <c r="V914" s="15">
        <f>IF(B914="","",IF(H914&lt;&gt;"","Sale "&amp;H914,IF(I914&lt;&gt;"","Booking "&amp;I914,IF(E914="Tip","Stylist","Unapplied"))))</f>
        <v>0</v>
      </c>
      <c r="W914" s="39">
        <f>IF(B914="","",IF(G914="","Add - no amount yet",IF(E914="","Add - what was this for?",IF(IF(H914="",FALSE,COUNTIF(Sales!$A$5:$A$1204,H914)=0),"Missing - no sale with that ID",IF(IF(I914="",FALSE,COUNTIF(Appointments!$A$5:$A$1204,I914)=0),"Missing - no booking with that ID",IF(IF(E914="Tip",J914="",FALSE),"Assign - whose tip is it?",IF(IF(E914="Deposit",IF(H914="",I914="",FALSE),FALSE),"Check - deposit not tied to a booking",IF(M914="No","Due - not reconciled yet","OK"))))))))</f>
        <v>0</v>
      </c>
    </row>
    <row r="915" spans="1:23">
      <c r="A915" s="28">
        <f>IF(B915="","",PaymentPrefix&amp;TEXT(ROW()-4,"0000"))</f>
        <v>0</v>
      </c>
      <c r="D915" s="15">
        <f>IF(C915="","",IFERROR(INDEX(Clients!$B$5:$B$504,MATCH(C915,Clients!$A$5:$A$504,0)),"Walk-in"))</f>
        <v>0</v>
      </c>
      <c r="K915" s="15">
        <f>IF(J915="","",IFERROR(INDEX(Staff!$B$5:$B$44,MATCH(J915,Staff!$A$5:$A$44,0)),""))</f>
        <v>0</v>
      </c>
      <c r="O915" s="15">
        <f>IF(B915="","",TEXT(B915,"yyyy-mm"))</f>
        <v>0</v>
      </c>
      <c r="P915" s="25">
        <f>IF(B915="","",WEEKNUM(B915,2))</f>
        <v>0</v>
      </c>
      <c r="Q915" s="38">
        <f>IF(B915="","",IF(E915="Tip","No",IF(E915="Refund","No","Yes")))</f>
        <v>0</v>
      </c>
      <c r="R915" s="25">
        <f>IF(B915="","",IF(E915="Refund",-1,1))</f>
        <v>0</v>
      </c>
      <c r="S915" s="26">
        <f>IF(B915="","",IF(G915="",0,IF(F915="Card",ROUND(G915*CardFeePercent+CardFeeFixed,2),IF(F915="Online deposit",ROUND(G915*CardFeePercent+CardFeeFixed,2),0))))</f>
        <v>0</v>
      </c>
      <c r="T915" s="26">
        <f>IF(B915="","",ROUND(IF(G915="",0,G915)*R915-S915,2))</f>
        <v>0</v>
      </c>
      <c r="U915" s="38">
        <f>IF(B915="","",IF(E915="Tip","Yes","No"))</f>
        <v>0</v>
      </c>
      <c r="V915" s="15">
        <f>IF(B915="","",IF(H915&lt;&gt;"","Sale "&amp;H915,IF(I915&lt;&gt;"","Booking "&amp;I915,IF(E915="Tip","Stylist","Unapplied"))))</f>
        <v>0</v>
      </c>
      <c r="W915" s="39">
        <f>IF(B915="","",IF(G915="","Add - no amount yet",IF(E915="","Add - what was this for?",IF(IF(H915="",FALSE,COUNTIF(Sales!$A$5:$A$1204,H915)=0),"Missing - no sale with that ID",IF(IF(I915="",FALSE,COUNTIF(Appointments!$A$5:$A$1204,I915)=0),"Missing - no booking with that ID",IF(IF(E915="Tip",J915="",FALSE),"Assign - whose tip is it?",IF(IF(E915="Deposit",IF(H915="",I915="",FALSE),FALSE),"Check - deposit not tied to a booking",IF(M915="No","Due - not reconciled yet","OK"))))))))</f>
        <v>0</v>
      </c>
    </row>
    <row r="916" spans="1:23">
      <c r="A916" s="28">
        <f>IF(B916="","",PaymentPrefix&amp;TEXT(ROW()-4,"0000"))</f>
        <v>0</v>
      </c>
      <c r="D916" s="15">
        <f>IF(C916="","",IFERROR(INDEX(Clients!$B$5:$B$504,MATCH(C916,Clients!$A$5:$A$504,0)),"Walk-in"))</f>
        <v>0</v>
      </c>
      <c r="K916" s="15">
        <f>IF(J916="","",IFERROR(INDEX(Staff!$B$5:$B$44,MATCH(J916,Staff!$A$5:$A$44,0)),""))</f>
        <v>0</v>
      </c>
      <c r="O916" s="15">
        <f>IF(B916="","",TEXT(B916,"yyyy-mm"))</f>
        <v>0</v>
      </c>
      <c r="P916" s="25">
        <f>IF(B916="","",WEEKNUM(B916,2))</f>
        <v>0</v>
      </c>
      <c r="Q916" s="38">
        <f>IF(B916="","",IF(E916="Tip","No",IF(E916="Refund","No","Yes")))</f>
        <v>0</v>
      </c>
      <c r="R916" s="25">
        <f>IF(B916="","",IF(E916="Refund",-1,1))</f>
        <v>0</v>
      </c>
      <c r="S916" s="26">
        <f>IF(B916="","",IF(G916="",0,IF(F916="Card",ROUND(G916*CardFeePercent+CardFeeFixed,2),IF(F916="Online deposit",ROUND(G916*CardFeePercent+CardFeeFixed,2),0))))</f>
        <v>0</v>
      </c>
      <c r="T916" s="26">
        <f>IF(B916="","",ROUND(IF(G916="",0,G916)*R916-S916,2))</f>
        <v>0</v>
      </c>
      <c r="U916" s="38">
        <f>IF(B916="","",IF(E916="Tip","Yes","No"))</f>
        <v>0</v>
      </c>
      <c r="V916" s="15">
        <f>IF(B916="","",IF(H916&lt;&gt;"","Sale "&amp;H916,IF(I916&lt;&gt;"","Booking "&amp;I916,IF(E916="Tip","Stylist","Unapplied"))))</f>
        <v>0</v>
      </c>
      <c r="W916" s="39">
        <f>IF(B916="","",IF(G916="","Add - no amount yet",IF(E916="","Add - what was this for?",IF(IF(H916="",FALSE,COUNTIF(Sales!$A$5:$A$1204,H916)=0),"Missing - no sale with that ID",IF(IF(I916="",FALSE,COUNTIF(Appointments!$A$5:$A$1204,I916)=0),"Missing - no booking with that ID",IF(IF(E916="Tip",J916="",FALSE),"Assign - whose tip is it?",IF(IF(E916="Deposit",IF(H916="",I916="",FALSE),FALSE),"Check - deposit not tied to a booking",IF(M916="No","Due - not reconciled yet","OK"))))))))</f>
        <v>0</v>
      </c>
    </row>
    <row r="917" spans="1:23">
      <c r="A917" s="28">
        <f>IF(B917="","",PaymentPrefix&amp;TEXT(ROW()-4,"0000"))</f>
        <v>0</v>
      </c>
      <c r="D917" s="15">
        <f>IF(C917="","",IFERROR(INDEX(Clients!$B$5:$B$504,MATCH(C917,Clients!$A$5:$A$504,0)),"Walk-in"))</f>
        <v>0</v>
      </c>
      <c r="K917" s="15">
        <f>IF(J917="","",IFERROR(INDEX(Staff!$B$5:$B$44,MATCH(J917,Staff!$A$5:$A$44,0)),""))</f>
        <v>0</v>
      </c>
      <c r="O917" s="15">
        <f>IF(B917="","",TEXT(B917,"yyyy-mm"))</f>
        <v>0</v>
      </c>
      <c r="P917" s="25">
        <f>IF(B917="","",WEEKNUM(B917,2))</f>
        <v>0</v>
      </c>
      <c r="Q917" s="38">
        <f>IF(B917="","",IF(E917="Tip","No",IF(E917="Refund","No","Yes")))</f>
        <v>0</v>
      </c>
      <c r="R917" s="25">
        <f>IF(B917="","",IF(E917="Refund",-1,1))</f>
        <v>0</v>
      </c>
      <c r="S917" s="26">
        <f>IF(B917="","",IF(G917="",0,IF(F917="Card",ROUND(G917*CardFeePercent+CardFeeFixed,2),IF(F917="Online deposit",ROUND(G917*CardFeePercent+CardFeeFixed,2),0))))</f>
        <v>0</v>
      </c>
      <c r="T917" s="26">
        <f>IF(B917="","",ROUND(IF(G917="",0,G917)*R917-S917,2))</f>
        <v>0</v>
      </c>
      <c r="U917" s="38">
        <f>IF(B917="","",IF(E917="Tip","Yes","No"))</f>
        <v>0</v>
      </c>
      <c r="V917" s="15">
        <f>IF(B917="","",IF(H917&lt;&gt;"","Sale "&amp;H917,IF(I917&lt;&gt;"","Booking "&amp;I917,IF(E917="Tip","Stylist","Unapplied"))))</f>
        <v>0</v>
      </c>
      <c r="W917" s="39">
        <f>IF(B917="","",IF(G917="","Add - no amount yet",IF(E917="","Add - what was this for?",IF(IF(H917="",FALSE,COUNTIF(Sales!$A$5:$A$1204,H917)=0),"Missing - no sale with that ID",IF(IF(I917="",FALSE,COUNTIF(Appointments!$A$5:$A$1204,I917)=0),"Missing - no booking with that ID",IF(IF(E917="Tip",J917="",FALSE),"Assign - whose tip is it?",IF(IF(E917="Deposit",IF(H917="",I917="",FALSE),FALSE),"Check - deposit not tied to a booking",IF(M917="No","Due - not reconciled yet","OK"))))))))</f>
        <v>0</v>
      </c>
    </row>
    <row r="918" spans="1:23">
      <c r="A918" s="28">
        <f>IF(B918="","",PaymentPrefix&amp;TEXT(ROW()-4,"0000"))</f>
        <v>0</v>
      </c>
      <c r="D918" s="15">
        <f>IF(C918="","",IFERROR(INDEX(Clients!$B$5:$B$504,MATCH(C918,Clients!$A$5:$A$504,0)),"Walk-in"))</f>
        <v>0</v>
      </c>
      <c r="K918" s="15">
        <f>IF(J918="","",IFERROR(INDEX(Staff!$B$5:$B$44,MATCH(J918,Staff!$A$5:$A$44,0)),""))</f>
        <v>0</v>
      </c>
      <c r="O918" s="15">
        <f>IF(B918="","",TEXT(B918,"yyyy-mm"))</f>
        <v>0</v>
      </c>
      <c r="P918" s="25">
        <f>IF(B918="","",WEEKNUM(B918,2))</f>
        <v>0</v>
      </c>
      <c r="Q918" s="38">
        <f>IF(B918="","",IF(E918="Tip","No",IF(E918="Refund","No","Yes")))</f>
        <v>0</v>
      </c>
      <c r="R918" s="25">
        <f>IF(B918="","",IF(E918="Refund",-1,1))</f>
        <v>0</v>
      </c>
      <c r="S918" s="26">
        <f>IF(B918="","",IF(G918="",0,IF(F918="Card",ROUND(G918*CardFeePercent+CardFeeFixed,2),IF(F918="Online deposit",ROUND(G918*CardFeePercent+CardFeeFixed,2),0))))</f>
        <v>0</v>
      </c>
      <c r="T918" s="26">
        <f>IF(B918="","",ROUND(IF(G918="",0,G918)*R918-S918,2))</f>
        <v>0</v>
      </c>
      <c r="U918" s="38">
        <f>IF(B918="","",IF(E918="Tip","Yes","No"))</f>
        <v>0</v>
      </c>
      <c r="V918" s="15">
        <f>IF(B918="","",IF(H918&lt;&gt;"","Sale "&amp;H918,IF(I918&lt;&gt;"","Booking "&amp;I918,IF(E918="Tip","Stylist","Unapplied"))))</f>
        <v>0</v>
      </c>
      <c r="W918" s="39">
        <f>IF(B918="","",IF(G918="","Add - no amount yet",IF(E918="","Add - what was this for?",IF(IF(H918="",FALSE,COUNTIF(Sales!$A$5:$A$1204,H918)=0),"Missing - no sale with that ID",IF(IF(I918="",FALSE,COUNTIF(Appointments!$A$5:$A$1204,I918)=0),"Missing - no booking with that ID",IF(IF(E918="Tip",J918="",FALSE),"Assign - whose tip is it?",IF(IF(E918="Deposit",IF(H918="",I918="",FALSE),FALSE),"Check - deposit not tied to a booking",IF(M918="No","Due - not reconciled yet","OK"))))))))</f>
        <v>0</v>
      </c>
    </row>
    <row r="919" spans="1:23">
      <c r="A919" s="28">
        <f>IF(B919="","",PaymentPrefix&amp;TEXT(ROW()-4,"0000"))</f>
        <v>0</v>
      </c>
      <c r="D919" s="15">
        <f>IF(C919="","",IFERROR(INDEX(Clients!$B$5:$B$504,MATCH(C919,Clients!$A$5:$A$504,0)),"Walk-in"))</f>
        <v>0</v>
      </c>
      <c r="K919" s="15">
        <f>IF(J919="","",IFERROR(INDEX(Staff!$B$5:$B$44,MATCH(J919,Staff!$A$5:$A$44,0)),""))</f>
        <v>0</v>
      </c>
      <c r="O919" s="15">
        <f>IF(B919="","",TEXT(B919,"yyyy-mm"))</f>
        <v>0</v>
      </c>
      <c r="P919" s="25">
        <f>IF(B919="","",WEEKNUM(B919,2))</f>
        <v>0</v>
      </c>
      <c r="Q919" s="38">
        <f>IF(B919="","",IF(E919="Tip","No",IF(E919="Refund","No","Yes")))</f>
        <v>0</v>
      </c>
      <c r="R919" s="25">
        <f>IF(B919="","",IF(E919="Refund",-1,1))</f>
        <v>0</v>
      </c>
      <c r="S919" s="26">
        <f>IF(B919="","",IF(G919="",0,IF(F919="Card",ROUND(G919*CardFeePercent+CardFeeFixed,2),IF(F919="Online deposit",ROUND(G919*CardFeePercent+CardFeeFixed,2),0))))</f>
        <v>0</v>
      </c>
      <c r="T919" s="26">
        <f>IF(B919="","",ROUND(IF(G919="",0,G919)*R919-S919,2))</f>
        <v>0</v>
      </c>
      <c r="U919" s="38">
        <f>IF(B919="","",IF(E919="Tip","Yes","No"))</f>
        <v>0</v>
      </c>
      <c r="V919" s="15">
        <f>IF(B919="","",IF(H919&lt;&gt;"","Sale "&amp;H919,IF(I919&lt;&gt;"","Booking "&amp;I919,IF(E919="Tip","Stylist","Unapplied"))))</f>
        <v>0</v>
      </c>
      <c r="W919" s="39">
        <f>IF(B919="","",IF(G919="","Add - no amount yet",IF(E919="","Add - what was this for?",IF(IF(H919="",FALSE,COUNTIF(Sales!$A$5:$A$1204,H919)=0),"Missing - no sale with that ID",IF(IF(I919="",FALSE,COUNTIF(Appointments!$A$5:$A$1204,I919)=0),"Missing - no booking with that ID",IF(IF(E919="Tip",J919="",FALSE),"Assign - whose tip is it?",IF(IF(E919="Deposit",IF(H919="",I919="",FALSE),FALSE),"Check - deposit not tied to a booking",IF(M919="No","Due - not reconciled yet","OK"))))))))</f>
        <v>0</v>
      </c>
    </row>
    <row r="920" spans="1:23">
      <c r="A920" s="28">
        <f>IF(B920="","",PaymentPrefix&amp;TEXT(ROW()-4,"0000"))</f>
        <v>0</v>
      </c>
      <c r="D920" s="15">
        <f>IF(C920="","",IFERROR(INDEX(Clients!$B$5:$B$504,MATCH(C920,Clients!$A$5:$A$504,0)),"Walk-in"))</f>
        <v>0</v>
      </c>
      <c r="K920" s="15">
        <f>IF(J920="","",IFERROR(INDEX(Staff!$B$5:$B$44,MATCH(J920,Staff!$A$5:$A$44,0)),""))</f>
        <v>0</v>
      </c>
      <c r="O920" s="15">
        <f>IF(B920="","",TEXT(B920,"yyyy-mm"))</f>
        <v>0</v>
      </c>
      <c r="P920" s="25">
        <f>IF(B920="","",WEEKNUM(B920,2))</f>
        <v>0</v>
      </c>
      <c r="Q920" s="38">
        <f>IF(B920="","",IF(E920="Tip","No",IF(E920="Refund","No","Yes")))</f>
        <v>0</v>
      </c>
      <c r="R920" s="25">
        <f>IF(B920="","",IF(E920="Refund",-1,1))</f>
        <v>0</v>
      </c>
      <c r="S920" s="26">
        <f>IF(B920="","",IF(G920="",0,IF(F920="Card",ROUND(G920*CardFeePercent+CardFeeFixed,2),IF(F920="Online deposit",ROUND(G920*CardFeePercent+CardFeeFixed,2),0))))</f>
        <v>0</v>
      </c>
      <c r="T920" s="26">
        <f>IF(B920="","",ROUND(IF(G920="",0,G920)*R920-S920,2))</f>
        <v>0</v>
      </c>
      <c r="U920" s="38">
        <f>IF(B920="","",IF(E920="Tip","Yes","No"))</f>
        <v>0</v>
      </c>
      <c r="V920" s="15">
        <f>IF(B920="","",IF(H920&lt;&gt;"","Sale "&amp;H920,IF(I920&lt;&gt;"","Booking "&amp;I920,IF(E920="Tip","Stylist","Unapplied"))))</f>
        <v>0</v>
      </c>
      <c r="W920" s="39">
        <f>IF(B920="","",IF(G920="","Add - no amount yet",IF(E920="","Add - what was this for?",IF(IF(H920="",FALSE,COUNTIF(Sales!$A$5:$A$1204,H920)=0),"Missing - no sale with that ID",IF(IF(I920="",FALSE,COUNTIF(Appointments!$A$5:$A$1204,I920)=0),"Missing - no booking with that ID",IF(IF(E920="Tip",J920="",FALSE),"Assign - whose tip is it?",IF(IF(E920="Deposit",IF(H920="",I920="",FALSE),FALSE),"Check - deposit not tied to a booking",IF(M920="No","Due - not reconciled yet","OK"))))))))</f>
        <v>0</v>
      </c>
    </row>
    <row r="921" spans="1:23">
      <c r="A921" s="28">
        <f>IF(B921="","",PaymentPrefix&amp;TEXT(ROW()-4,"0000"))</f>
        <v>0</v>
      </c>
      <c r="D921" s="15">
        <f>IF(C921="","",IFERROR(INDEX(Clients!$B$5:$B$504,MATCH(C921,Clients!$A$5:$A$504,0)),"Walk-in"))</f>
        <v>0</v>
      </c>
      <c r="K921" s="15">
        <f>IF(J921="","",IFERROR(INDEX(Staff!$B$5:$B$44,MATCH(J921,Staff!$A$5:$A$44,0)),""))</f>
        <v>0</v>
      </c>
      <c r="O921" s="15">
        <f>IF(B921="","",TEXT(B921,"yyyy-mm"))</f>
        <v>0</v>
      </c>
      <c r="P921" s="25">
        <f>IF(B921="","",WEEKNUM(B921,2))</f>
        <v>0</v>
      </c>
      <c r="Q921" s="38">
        <f>IF(B921="","",IF(E921="Tip","No",IF(E921="Refund","No","Yes")))</f>
        <v>0</v>
      </c>
      <c r="R921" s="25">
        <f>IF(B921="","",IF(E921="Refund",-1,1))</f>
        <v>0</v>
      </c>
      <c r="S921" s="26">
        <f>IF(B921="","",IF(G921="",0,IF(F921="Card",ROUND(G921*CardFeePercent+CardFeeFixed,2),IF(F921="Online deposit",ROUND(G921*CardFeePercent+CardFeeFixed,2),0))))</f>
        <v>0</v>
      </c>
      <c r="T921" s="26">
        <f>IF(B921="","",ROUND(IF(G921="",0,G921)*R921-S921,2))</f>
        <v>0</v>
      </c>
      <c r="U921" s="38">
        <f>IF(B921="","",IF(E921="Tip","Yes","No"))</f>
        <v>0</v>
      </c>
      <c r="V921" s="15">
        <f>IF(B921="","",IF(H921&lt;&gt;"","Sale "&amp;H921,IF(I921&lt;&gt;"","Booking "&amp;I921,IF(E921="Tip","Stylist","Unapplied"))))</f>
        <v>0</v>
      </c>
      <c r="W921" s="39">
        <f>IF(B921="","",IF(G921="","Add - no amount yet",IF(E921="","Add - what was this for?",IF(IF(H921="",FALSE,COUNTIF(Sales!$A$5:$A$1204,H921)=0),"Missing - no sale with that ID",IF(IF(I921="",FALSE,COUNTIF(Appointments!$A$5:$A$1204,I921)=0),"Missing - no booking with that ID",IF(IF(E921="Tip",J921="",FALSE),"Assign - whose tip is it?",IF(IF(E921="Deposit",IF(H921="",I921="",FALSE),FALSE),"Check - deposit not tied to a booking",IF(M921="No","Due - not reconciled yet","OK"))))))))</f>
        <v>0</v>
      </c>
    </row>
    <row r="922" spans="1:23">
      <c r="A922" s="28">
        <f>IF(B922="","",PaymentPrefix&amp;TEXT(ROW()-4,"0000"))</f>
        <v>0</v>
      </c>
      <c r="D922" s="15">
        <f>IF(C922="","",IFERROR(INDEX(Clients!$B$5:$B$504,MATCH(C922,Clients!$A$5:$A$504,0)),"Walk-in"))</f>
        <v>0</v>
      </c>
      <c r="K922" s="15">
        <f>IF(J922="","",IFERROR(INDEX(Staff!$B$5:$B$44,MATCH(J922,Staff!$A$5:$A$44,0)),""))</f>
        <v>0</v>
      </c>
      <c r="O922" s="15">
        <f>IF(B922="","",TEXT(B922,"yyyy-mm"))</f>
        <v>0</v>
      </c>
      <c r="P922" s="25">
        <f>IF(B922="","",WEEKNUM(B922,2))</f>
        <v>0</v>
      </c>
      <c r="Q922" s="38">
        <f>IF(B922="","",IF(E922="Tip","No",IF(E922="Refund","No","Yes")))</f>
        <v>0</v>
      </c>
      <c r="R922" s="25">
        <f>IF(B922="","",IF(E922="Refund",-1,1))</f>
        <v>0</v>
      </c>
      <c r="S922" s="26">
        <f>IF(B922="","",IF(G922="",0,IF(F922="Card",ROUND(G922*CardFeePercent+CardFeeFixed,2),IF(F922="Online deposit",ROUND(G922*CardFeePercent+CardFeeFixed,2),0))))</f>
        <v>0</v>
      </c>
      <c r="T922" s="26">
        <f>IF(B922="","",ROUND(IF(G922="",0,G922)*R922-S922,2))</f>
        <v>0</v>
      </c>
      <c r="U922" s="38">
        <f>IF(B922="","",IF(E922="Tip","Yes","No"))</f>
        <v>0</v>
      </c>
      <c r="V922" s="15">
        <f>IF(B922="","",IF(H922&lt;&gt;"","Sale "&amp;H922,IF(I922&lt;&gt;"","Booking "&amp;I922,IF(E922="Tip","Stylist","Unapplied"))))</f>
        <v>0</v>
      </c>
      <c r="W922" s="39">
        <f>IF(B922="","",IF(G922="","Add - no amount yet",IF(E922="","Add - what was this for?",IF(IF(H922="",FALSE,COUNTIF(Sales!$A$5:$A$1204,H922)=0),"Missing - no sale with that ID",IF(IF(I922="",FALSE,COUNTIF(Appointments!$A$5:$A$1204,I922)=0),"Missing - no booking with that ID",IF(IF(E922="Tip",J922="",FALSE),"Assign - whose tip is it?",IF(IF(E922="Deposit",IF(H922="",I922="",FALSE),FALSE),"Check - deposit not tied to a booking",IF(M922="No","Due - not reconciled yet","OK"))))))))</f>
        <v>0</v>
      </c>
    </row>
    <row r="923" spans="1:23">
      <c r="A923" s="28">
        <f>IF(B923="","",PaymentPrefix&amp;TEXT(ROW()-4,"0000"))</f>
        <v>0</v>
      </c>
      <c r="D923" s="15">
        <f>IF(C923="","",IFERROR(INDEX(Clients!$B$5:$B$504,MATCH(C923,Clients!$A$5:$A$504,0)),"Walk-in"))</f>
        <v>0</v>
      </c>
      <c r="K923" s="15">
        <f>IF(J923="","",IFERROR(INDEX(Staff!$B$5:$B$44,MATCH(J923,Staff!$A$5:$A$44,0)),""))</f>
        <v>0</v>
      </c>
      <c r="O923" s="15">
        <f>IF(B923="","",TEXT(B923,"yyyy-mm"))</f>
        <v>0</v>
      </c>
      <c r="P923" s="25">
        <f>IF(B923="","",WEEKNUM(B923,2))</f>
        <v>0</v>
      </c>
      <c r="Q923" s="38">
        <f>IF(B923="","",IF(E923="Tip","No",IF(E923="Refund","No","Yes")))</f>
        <v>0</v>
      </c>
      <c r="R923" s="25">
        <f>IF(B923="","",IF(E923="Refund",-1,1))</f>
        <v>0</v>
      </c>
      <c r="S923" s="26">
        <f>IF(B923="","",IF(G923="",0,IF(F923="Card",ROUND(G923*CardFeePercent+CardFeeFixed,2),IF(F923="Online deposit",ROUND(G923*CardFeePercent+CardFeeFixed,2),0))))</f>
        <v>0</v>
      </c>
      <c r="T923" s="26">
        <f>IF(B923="","",ROUND(IF(G923="",0,G923)*R923-S923,2))</f>
        <v>0</v>
      </c>
      <c r="U923" s="38">
        <f>IF(B923="","",IF(E923="Tip","Yes","No"))</f>
        <v>0</v>
      </c>
      <c r="V923" s="15">
        <f>IF(B923="","",IF(H923&lt;&gt;"","Sale "&amp;H923,IF(I923&lt;&gt;"","Booking "&amp;I923,IF(E923="Tip","Stylist","Unapplied"))))</f>
        <v>0</v>
      </c>
      <c r="W923" s="39">
        <f>IF(B923="","",IF(G923="","Add - no amount yet",IF(E923="","Add - what was this for?",IF(IF(H923="",FALSE,COUNTIF(Sales!$A$5:$A$1204,H923)=0),"Missing - no sale with that ID",IF(IF(I923="",FALSE,COUNTIF(Appointments!$A$5:$A$1204,I923)=0),"Missing - no booking with that ID",IF(IF(E923="Tip",J923="",FALSE),"Assign - whose tip is it?",IF(IF(E923="Deposit",IF(H923="",I923="",FALSE),FALSE),"Check - deposit not tied to a booking",IF(M923="No","Due - not reconciled yet","OK"))))))))</f>
        <v>0</v>
      </c>
    </row>
    <row r="924" spans="1:23">
      <c r="A924" s="28">
        <f>IF(B924="","",PaymentPrefix&amp;TEXT(ROW()-4,"0000"))</f>
        <v>0</v>
      </c>
      <c r="D924" s="15">
        <f>IF(C924="","",IFERROR(INDEX(Clients!$B$5:$B$504,MATCH(C924,Clients!$A$5:$A$504,0)),"Walk-in"))</f>
        <v>0</v>
      </c>
      <c r="K924" s="15">
        <f>IF(J924="","",IFERROR(INDEX(Staff!$B$5:$B$44,MATCH(J924,Staff!$A$5:$A$44,0)),""))</f>
        <v>0</v>
      </c>
      <c r="O924" s="15">
        <f>IF(B924="","",TEXT(B924,"yyyy-mm"))</f>
        <v>0</v>
      </c>
      <c r="P924" s="25">
        <f>IF(B924="","",WEEKNUM(B924,2))</f>
        <v>0</v>
      </c>
      <c r="Q924" s="38">
        <f>IF(B924="","",IF(E924="Tip","No",IF(E924="Refund","No","Yes")))</f>
        <v>0</v>
      </c>
      <c r="R924" s="25">
        <f>IF(B924="","",IF(E924="Refund",-1,1))</f>
        <v>0</v>
      </c>
      <c r="S924" s="26">
        <f>IF(B924="","",IF(G924="",0,IF(F924="Card",ROUND(G924*CardFeePercent+CardFeeFixed,2),IF(F924="Online deposit",ROUND(G924*CardFeePercent+CardFeeFixed,2),0))))</f>
        <v>0</v>
      </c>
      <c r="T924" s="26">
        <f>IF(B924="","",ROUND(IF(G924="",0,G924)*R924-S924,2))</f>
        <v>0</v>
      </c>
      <c r="U924" s="38">
        <f>IF(B924="","",IF(E924="Tip","Yes","No"))</f>
        <v>0</v>
      </c>
      <c r="V924" s="15">
        <f>IF(B924="","",IF(H924&lt;&gt;"","Sale "&amp;H924,IF(I924&lt;&gt;"","Booking "&amp;I924,IF(E924="Tip","Stylist","Unapplied"))))</f>
        <v>0</v>
      </c>
      <c r="W924" s="39">
        <f>IF(B924="","",IF(G924="","Add - no amount yet",IF(E924="","Add - what was this for?",IF(IF(H924="",FALSE,COUNTIF(Sales!$A$5:$A$1204,H924)=0),"Missing - no sale with that ID",IF(IF(I924="",FALSE,COUNTIF(Appointments!$A$5:$A$1204,I924)=0),"Missing - no booking with that ID",IF(IF(E924="Tip",J924="",FALSE),"Assign - whose tip is it?",IF(IF(E924="Deposit",IF(H924="",I924="",FALSE),FALSE),"Check - deposit not tied to a booking",IF(M924="No","Due - not reconciled yet","OK"))))))))</f>
        <v>0</v>
      </c>
    </row>
    <row r="925" spans="1:23">
      <c r="A925" s="28">
        <f>IF(B925="","",PaymentPrefix&amp;TEXT(ROW()-4,"0000"))</f>
        <v>0</v>
      </c>
      <c r="D925" s="15">
        <f>IF(C925="","",IFERROR(INDEX(Clients!$B$5:$B$504,MATCH(C925,Clients!$A$5:$A$504,0)),"Walk-in"))</f>
        <v>0</v>
      </c>
      <c r="K925" s="15">
        <f>IF(J925="","",IFERROR(INDEX(Staff!$B$5:$B$44,MATCH(J925,Staff!$A$5:$A$44,0)),""))</f>
        <v>0</v>
      </c>
      <c r="O925" s="15">
        <f>IF(B925="","",TEXT(B925,"yyyy-mm"))</f>
        <v>0</v>
      </c>
      <c r="P925" s="25">
        <f>IF(B925="","",WEEKNUM(B925,2))</f>
        <v>0</v>
      </c>
      <c r="Q925" s="38">
        <f>IF(B925="","",IF(E925="Tip","No",IF(E925="Refund","No","Yes")))</f>
        <v>0</v>
      </c>
      <c r="R925" s="25">
        <f>IF(B925="","",IF(E925="Refund",-1,1))</f>
        <v>0</v>
      </c>
      <c r="S925" s="26">
        <f>IF(B925="","",IF(G925="",0,IF(F925="Card",ROUND(G925*CardFeePercent+CardFeeFixed,2),IF(F925="Online deposit",ROUND(G925*CardFeePercent+CardFeeFixed,2),0))))</f>
        <v>0</v>
      </c>
      <c r="T925" s="26">
        <f>IF(B925="","",ROUND(IF(G925="",0,G925)*R925-S925,2))</f>
        <v>0</v>
      </c>
      <c r="U925" s="38">
        <f>IF(B925="","",IF(E925="Tip","Yes","No"))</f>
        <v>0</v>
      </c>
      <c r="V925" s="15">
        <f>IF(B925="","",IF(H925&lt;&gt;"","Sale "&amp;H925,IF(I925&lt;&gt;"","Booking "&amp;I925,IF(E925="Tip","Stylist","Unapplied"))))</f>
        <v>0</v>
      </c>
      <c r="W925" s="39">
        <f>IF(B925="","",IF(G925="","Add - no amount yet",IF(E925="","Add - what was this for?",IF(IF(H925="",FALSE,COUNTIF(Sales!$A$5:$A$1204,H925)=0),"Missing - no sale with that ID",IF(IF(I925="",FALSE,COUNTIF(Appointments!$A$5:$A$1204,I925)=0),"Missing - no booking with that ID",IF(IF(E925="Tip",J925="",FALSE),"Assign - whose tip is it?",IF(IF(E925="Deposit",IF(H925="",I925="",FALSE),FALSE),"Check - deposit not tied to a booking",IF(M925="No","Due - not reconciled yet","OK"))))))))</f>
        <v>0</v>
      </c>
    </row>
    <row r="926" spans="1:23">
      <c r="A926" s="28">
        <f>IF(B926="","",PaymentPrefix&amp;TEXT(ROW()-4,"0000"))</f>
        <v>0</v>
      </c>
      <c r="D926" s="15">
        <f>IF(C926="","",IFERROR(INDEX(Clients!$B$5:$B$504,MATCH(C926,Clients!$A$5:$A$504,0)),"Walk-in"))</f>
        <v>0</v>
      </c>
      <c r="K926" s="15">
        <f>IF(J926="","",IFERROR(INDEX(Staff!$B$5:$B$44,MATCH(J926,Staff!$A$5:$A$44,0)),""))</f>
        <v>0</v>
      </c>
      <c r="O926" s="15">
        <f>IF(B926="","",TEXT(B926,"yyyy-mm"))</f>
        <v>0</v>
      </c>
      <c r="P926" s="25">
        <f>IF(B926="","",WEEKNUM(B926,2))</f>
        <v>0</v>
      </c>
      <c r="Q926" s="38">
        <f>IF(B926="","",IF(E926="Tip","No",IF(E926="Refund","No","Yes")))</f>
        <v>0</v>
      </c>
      <c r="R926" s="25">
        <f>IF(B926="","",IF(E926="Refund",-1,1))</f>
        <v>0</v>
      </c>
      <c r="S926" s="26">
        <f>IF(B926="","",IF(G926="",0,IF(F926="Card",ROUND(G926*CardFeePercent+CardFeeFixed,2),IF(F926="Online deposit",ROUND(G926*CardFeePercent+CardFeeFixed,2),0))))</f>
        <v>0</v>
      </c>
      <c r="T926" s="26">
        <f>IF(B926="","",ROUND(IF(G926="",0,G926)*R926-S926,2))</f>
        <v>0</v>
      </c>
      <c r="U926" s="38">
        <f>IF(B926="","",IF(E926="Tip","Yes","No"))</f>
        <v>0</v>
      </c>
      <c r="V926" s="15">
        <f>IF(B926="","",IF(H926&lt;&gt;"","Sale "&amp;H926,IF(I926&lt;&gt;"","Booking "&amp;I926,IF(E926="Tip","Stylist","Unapplied"))))</f>
        <v>0</v>
      </c>
      <c r="W926" s="39">
        <f>IF(B926="","",IF(G926="","Add - no amount yet",IF(E926="","Add - what was this for?",IF(IF(H926="",FALSE,COUNTIF(Sales!$A$5:$A$1204,H926)=0),"Missing - no sale with that ID",IF(IF(I926="",FALSE,COUNTIF(Appointments!$A$5:$A$1204,I926)=0),"Missing - no booking with that ID",IF(IF(E926="Tip",J926="",FALSE),"Assign - whose tip is it?",IF(IF(E926="Deposit",IF(H926="",I926="",FALSE),FALSE),"Check - deposit not tied to a booking",IF(M926="No","Due - not reconciled yet","OK"))))))))</f>
        <v>0</v>
      </c>
    </row>
    <row r="927" spans="1:23">
      <c r="A927" s="28">
        <f>IF(B927="","",PaymentPrefix&amp;TEXT(ROW()-4,"0000"))</f>
        <v>0</v>
      </c>
      <c r="D927" s="15">
        <f>IF(C927="","",IFERROR(INDEX(Clients!$B$5:$B$504,MATCH(C927,Clients!$A$5:$A$504,0)),"Walk-in"))</f>
        <v>0</v>
      </c>
      <c r="K927" s="15">
        <f>IF(J927="","",IFERROR(INDEX(Staff!$B$5:$B$44,MATCH(J927,Staff!$A$5:$A$44,0)),""))</f>
        <v>0</v>
      </c>
      <c r="O927" s="15">
        <f>IF(B927="","",TEXT(B927,"yyyy-mm"))</f>
        <v>0</v>
      </c>
      <c r="P927" s="25">
        <f>IF(B927="","",WEEKNUM(B927,2))</f>
        <v>0</v>
      </c>
      <c r="Q927" s="38">
        <f>IF(B927="","",IF(E927="Tip","No",IF(E927="Refund","No","Yes")))</f>
        <v>0</v>
      </c>
      <c r="R927" s="25">
        <f>IF(B927="","",IF(E927="Refund",-1,1))</f>
        <v>0</v>
      </c>
      <c r="S927" s="26">
        <f>IF(B927="","",IF(G927="",0,IF(F927="Card",ROUND(G927*CardFeePercent+CardFeeFixed,2),IF(F927="Online deposit",ROUND(G927*CardFeePercent+CardFeeFixed,2),0))))</f>
        <v>0</v>
      </c>
      <c r="T927" s="26">
        <f>IF(B927="","",ROUND(IF(G927="",0,G927)*R927-S927,2))</f>
        <v>0</v>
      </c>
      <c r="U927" s="38">
        <f>IF(B927="","",IF(E927="Tip","Yes","No"))</f>
        <v>0</v>
      </c>
      <c r="V927" s="15">
        <f>IF(B927="","",IF(H927&lt;&gt;"","Sale "&amp;H927,IF(I927&lt;&gt;"","Booking "&amp;I927,IF(E927="Tip","Stylist","Unapplied"))))</f>
        <v>0</v>
      </c>
      <c r="W927" s="39">
        <f>IF(B927="","",IF(G927="","Add - no amount yet",IF(E927="","Add - what was this for?",IF(IF(H927="",FALSE,COUNTIF(Sales!$A$5:$A$1204,H927)=0),"Missing - no sale with that ID",IF(IF(I927="",FALSE,COUNTIF(Appointments!$A$5:$A$1204,I927)=0),"Missing - no booking with that ID",IF(IF(E927="Tip",J927="",FALSE),"Assign - whose tip is it?",IF(IF(E927="Deposit",IF(H927="",I927="",FALSE),FALSE),"Check - deposit not tied to a booking",IF(M927="No","Due - not reconciled yet","OK"))))))))</f>
        <v>0</v>
      </c>
    </row>
    <row r="928" spans="1:23">
      <c r="A928" s="28">
        <f>IF(B928="","",PaymentPrefix&amp;TEXT(ROW()-4,"0000"))</f>
        <v>0</v>
      </c>
      <c r="D928" s="15">
        <f>IF(C928="","",IFERROR(INDEX(Clients!$B$5:$B$504,MATCH(C928,Clients!$A$5:$A$504,0)),"Walk-in"))</f>
        <v>0</v>
      </c>
      <c r="K928" s="15">
        <f>IF(J928="","",IFERROR(INDEX(Staff!$B$5:$B$44,MATCH(J928,Staff!$A$5:$A$44,0)),""))</f>
        <v>0</v>
      </c>
      <c r="O928" s="15">
        <f>IF(B928="","",TEXT(B928,"yyyy-mm"))</f>
        <v>0</v>
      </c>
      <c r="P928" s="25">
        <f>IF(B928="","",WEEKNUM(B928,2))</f>
        <v>0</v>
      </c>
      <c r="Q928" s="38">
        <f>IF(B928="","",IF(E928="Tip","No",IF(E928="Refund","No","Yes")))</f>
        <v>0</v>
      </c>
      <c r="R928" s="25">
        <f>IF(B928="","",IF(E928="Refund",-1,1))</f>
        <v>0</v>
      </c>
      <c r="S928" s="26">
        <f>IF(B928="","",IF(G928="",0,IF(F928="Card",ROUND(G928*CardFeePercent+CardFeeFixed,2),IF(F928="Online deposit",ROUND(G928*CardFeePercent+CardFeeFixed,2),0))))</f>
        <v>0</v>
      </c>
      <c r="T928" s="26">
        <f>IF(B928="","",ROUND(IF(G928="",0,G928)*R928-S928,2))</f>
        <v>0</v>
      </c>
      <c r="U928" s="38">
        <f>IF(B928="","",IF(E928="Tip","Yes","No"))</f>
        <v>0</v>
      </c>
      <c r="V928" s="15">
        <f>IF(B928="","",IF(H928&lt;&gt;"","Sale "&amp;H928,IF(I928&lt;&gt;"","Booking "&amp;I928,IF(E928="Tip","Stylist","Unapplied"))))</f>
        <v>0</v>
      </c>
      <c r="W928" s="39">
        <f>IF(B928="","",IF(G928="","Add - no amount yet",IF(E928="","Add - what was this for?",IF(IF(H928="",FALSE,COUNTIF(Sales!$A$5:$A$1204,H928)=0),"Missing - no sale with that ID",IF(IF(I928="",FALSE,COUNTIF(Appointments!$A$5:$A$1204,I928)=0),"Missing - no booking with that ID",IF(IF(E928="Tip",J928="",FALSE),"Assign - whose tip is it?",IF(IF(E928="Deposit",IF(H928="",I928="",FALSE),FALSE),"Check - deposit not tied to a booking",IF(M928="No","Due - not reconciled yet","OK"))))))))</f>
        <v>0</v>
      </c>
    </row>
    <row r="929" spans="1:23">
      <c r="A929" s="28">
        <f>IF(B929="","",PaymentPrefix&amp;TEXT(ROW()-4,"0000"))</f>
        <v>0</v>
      </c>
      <c r="D929" s="15">
        <f>IF(C929="","",IFERROR(INDEX(Clients!$B$5:$B$504,MATCH(C929,Clients!$A$5:$A$504,0)),"Walk-in"))</f>
        <v>0</v>
      </c>
      <c r="K929" s="15">
        <f>IF(J929="","",IFERROR(INDEX(Staff!$B$5:$B$44,MATCH(J929,Staff!$A$5:$A$44,0)),""))</f>
        <v>0</v>
      </c>
      <c r="O929" s="15">
        <f>IF(B929="","",TEXT(B929,"yyyy-mm"))</f>
        <v>0</v>
      </c>
      <c r="P929" s="25">
        <f>IF(B929="","",WEEKNUM(B929,2))</f>
        <v>0</v>
      </c>
      <c r="Q929" s="38">
        <f>IF(B929="","",IF(E929="Tip","No",IF(E929="Refund","No","Yes")))</f>
        <v>0</v>
      </c>
      <c r="R929" s="25">
        <f>IF(B929="","",IF(E929="Refund",-1,1))</f>
        <v>0</v>
      </c>
      <c r="S929" s="26">
        <f>IF(B929="","",IF(G929="",0,IF(F929="Card",ROUND(G929*CardFeePercent+CardFeeFixed,2),IF(F929="Online deposit",ROUND(G929*CardFeePercent+CardFeeFixed,2),0))))</f>
        <v>0</v>
      </c>
      <c r="T929" s="26">
        <f>IF(B929="","",ROUND(IF(G929="",0,G929)*R929-S929,2))</f>
        <v>0</v>
      </c>
      <c r="U929" s="38">
        <f>IF(B929="","",IF(E929="Tip","Yes","No"))</f>
        <v>0</v>
      </c>
      <c r="V929" s="15">
        <f>IF(B929="","",IF(H929&lt;&gt;"","Sale "&amp;H929,IF(I929&lt;&gt;"","Booking "&amp;I929,IF(E929="Tip","Stylist","Unapplied"))))</f>
        <v>0</v>
      </c>
      <c r="W929" s="39">
        <f>IF(B929="","",IF(G929="","Add - no amount yet",IF(E929="","Add - what was this for?",IF(IF(H929="",FALSE,COUNTIF(Sales!$A$5:$A$1204,H929)=0),"Missing - no sale with that ID",IF(IF(I929="",FALSE,COUNTIF(Appointments!$A$5:$A$1204,I929)=0),"Missing - no booking with that ID",IF(IF(E929="Tip",J929="",FALSE),"Assign - whose tip is it?",IF(IF(E929="Deposit",IF(H929="",I929="",FALSE),FALSE),"Check - deposit not tied to a booking",IF(M929="No","Due - not reconciled yet","OK"))))))))</f>
        <v>0</v>
      </c>
    </row>
    <row r="930" spans="1:23">
      <c r="A930" s="28">
        <f>IF(B930="","",PaymentPrefix&amp;TEXT(ROW()-4,"0000"))</f>
        <v>0</v>
      </c>
      <c r="D930" s="15">
        <f>IF(C930="","",IFERROR(INDEX(Clients!$B$5:$B$504,MATCH(C930,Clients!$A$5:$A$504,0)),"Walk-in"))</f>
        <v>0</v>
      </c>
      <c r="K930" s="15">
        <f>IF(J930="","",IFERROR(INDEX(Staff!$B$5:$B$44,MATCH(J930,Staff!$A$5:$A$44,0)),""))</f>
        <v>0</v>
      </c>
      <c r="O930" s="15">
        <f>IF(B930="","",TEXT(B930,"yyyy-mm"))</f>
        <v>0</v>
      </c>
      <c r="P930" s="25">
        <f>IF(B930="","",WEEKNUM(B930,2))</f>
        <v>0</v>
      </c>
      <c r="Q930" s="38">
        <f>IF(B930="","",IF(E930="Tip","No",IF(E930="Refund","No","Yes")))</f>
        <v>0</v>
      </c>
      <c r="R930" s="25">
        <f>IF(B930="","",IF(E930="Refund",-1,1))</f>
        <v>0</v>
      </c>
      <c r="S930" s="26">
        <f>IF(B930="","",IF(G930="",0,IF(F930="Card",ROUND(G930*CardFeePercent+CardFeeFixed,2),IF(F930="Online deposit",ROUND(G930*CardFeePercent+CardFeeFixed,2),0))))</f>
        <v>0</v>
      </c>
      <c r="T930" s="26">
        <f>IF(B930="","",ROUND(IF(G930="",0,G930)*R930-S930,2))</f>
        <v>0</v>
      </c>
      <c r="U930" s="38">
        <f>IF(B930="","",IF(E930="Tip","Yes","No"))</f>
        <v>0</v>
      </c>
      <c r="V930" s="15">
        <f>IF(B930="","",IF(H930&lt;&gt;"","Sale "&amp;H930,IF(I930&lt;&gt;"","Booking "&amp;I930,IF(E930="Tip","Stylist","Unapplied"))))</f>
        <v>0</v>
      </c>
      <c r="W930" s="39">
        <f>IF(B930="","",IF(G930="","Add - no amount yet",IF(E930="","Add - what was this for?",IF(IF(H930="",FALSE,COUNTIF(Sales!$A$5:$A$1204,H930)=0),"Missing - no sale with that ID",IF(IF(I930="",FALSE,COUNTIF(Appointments!$A$5:$A$1204,I930)=0),"Missing - no booking with that ID",IF(IF(E930="Tip",J930="",FALSE),"Assign - whose tip is it?",IF(IF(E930="Deposit",IF(H930="",I930="",FALSE),FALSE),"Check - deposit not tied to a booking",IF(M930="No","Due - not reconciled yet","OK"))))))))</f>
        <v>0</v>
      </c>
    </row>
    <row r="931" spans="1:23">
      <c r="A931" s="28">
        <f>IF(B931="","",PaymentPrefix&amp;TEXT(ROW()-4,"0000"))</f>
        <v>0</v>
      </c>
      <c r="D931" s="15">
        <f>IF(C931="","",IFERROR(INDEX(Clients!$B$5:$B$504,MATCH(C931,Clients!$A$5:$A$504,0)),"Walk-in"))</f>
        <v>0</v>
      </c>
      <c r="K931" s="15">
        <f>IF(J931="","",IFERROR(INDEX(Staff!$B$5:$B$44,MATCH(J931,Staff!$A$5:$A$44,0)),""))</f>
        <v>0</v>
      </c>
      <c r="O931" s="15">
        <f>IF(B931="","",TEXT(B931,"yyyy-mm"))</f>
        <v>0</v>
      </c>
      <c r="P931" s="25">
        <f>IF(B931="","",WEEKNUM(B931,2))</f>
        <v>0</v>
      </c>
      <c r="Q931" s="38">
        <f>IF(B931="","",IF(E931="Tip","No",IF(E931="Refund","No","Yes")))</f>
        <v>0</v>
      </c>
      <c r="R931" s="25">
        <f>IF(B931="","",IF(E931="Refund",-1,1))</f>
        <v>0</v>
      </c>
      <c r="S931" s="26">
        <f>IF(B931="","",IF(G931="",0,IF(F931="Card",ROUND(G931*CardFeePercent+CardFeeFixed,2),IF(F931="Online deposit",ROUND(G931*CardFeePercent+CardFeeFixed,2),0))))</f>
        <v>0</v>
      </c>
      <c r="T931" s="26">
        <f>IF(B931="","",ROUND(IF(G931="",0,G931)*R931-S931,2))</f>
        <v>0</v>
      </c>
      <c r="U931" s="38">
        <f>IF(B931="","",IF(E931="Tip","Yes","No"))</f>
        <v>0</v>
      </c>
      <c r="V931" s="15">
        <f>IF(B931="","",IF(H931&lt;&gt;"","Sale "&amp;H931,IF(I931&lt;&gt;"","Booking "&amp;I931,IF(E931="Tip","Stylist","Unapplied"))))</f>
        <v>0</v>
      </c>
      <c r="W931" s="39">
        <f>IF(B931="","",IF(G931="","Add - no amount yet",IF(E931="","Add - what was this for?",IF(IF(H931="",FALSE,COUNTIF(Sales!$A$5:$A$1204,H931)=0),"Missing - no sale with that ID",IF(IF(I931="",FALSE,COUNTIF(Appointments!$A$5:$A$1204,I931)=0),"Missing - no booking with that ID",IF(IF(E931="Tip",J931="",FALSE),"Assign - whose tip is it?",IF(IF(E931="Deposit",IF(H931="",I931="",FALSE),FALSE),"Check - deposit not tied to a booking",IF(M931="No","Due - not reconciled yet","OK"))))))))</f>
        <v>0</v>
      </c>
    </row>
    <row r="932" spans="1:23">
      <c r="A932" s="28">
        <f>IF(B932="","",PaymentPrefix&amp;TEXT(ROW()-4,"0000"))</f>
        <v>0</v>
      </c>
      <c r="D932" s="15">
        <f>IF(C932="","",IFERROR(INDEX(Clients!$B$5:$B$504,MATCH(C932,Clients!$A$5:$A$504,0)),"Walk-in"))</f>
        <v>0</v>
      </c>
      <c r="K932" s="15">
        <f>IF(J932="","",IFERROR(INDEX(Staff!$B$5:$B$44,MATCH(J932,Staff!$A$5:$A$44,0)),""))</f>
        <v>0</v>
      </c>
      <c r="O932" s="15">
        <f>IF(B932="","",TEXT(B932,"yyyy-mm"))</f>
        <v>0</v>
      </c>
      <c r="P932" s="25">
        <f>IF(B932="","",WEEKNUM(B932,2))</f>
        <v>0</v>
      </c>
      <c r="Q932" s="38">
        <f>IF(B932="","",IF(E932="Tip","No",IF(E932="Refund","No","Yes")))</f>
        <v>0</v>
      </c>
      <c r="R932" s="25">
        <f>IF(B932="","",IF(E932="Refund",-1,1))</f>
        <v>0</v>
      </c>
      <c r="S932" s="26">
        <f>IF(B932="","",IF(G932="",0,IF(F932="Card",ROUND(G932*CardFeePercent+CardFeeFixed,2),IF(F932="Online deposit",ROUND(G932*CardFeePercent+CardFeeFixed,2),0))))</f>
        <v>0</v>
      </c>
      <c r="T932" s="26">
        <f>IF(B932="","",ROUND(IF(G932="",0,G932)*R932-S932,2))</f>
        <v>0</v>
      </c>
      <c r="U932" s="38">
        <f>IF(B932="","",IF(E932="Tip","Yes","No"))</f>
        <v>0</v>
      </c>
      <c r="V932" s="15">
        <f>IF(B932="","",IF(H932&lt;&gt;"","Sale "&amp;H932,IF(I932&lt;&gt;"","Booking "&amp;I932,IF(E932="Tip","Stylist","Unapplied"))))</f>
        <v>0</v>
      </c>
      <c r="W932" s="39">
        <f>IF(B932="","",IF(G932="","Add - no amount yet",IF(E932="","Add - what was this for?",IF(IF(H932="",FALSE,COUNTIF(Sales!$A$5:$A$1204,H932)=0),"Missing - no sale with that ID",IF(IF(I932="",FALSE,COUNTIF(Appointments!$A$5:$A$1204,I932)=0),"Missing - no booking with that ID",IF(IF(E932="Tip",J932="",FALSE),"Assign - whose tip is it?",IF(IF(E932="Deposit",IF(H932="",I932="",FALSE),FALSE),"Check - deposit not tied to a booking",IF(M932="No","Due - not reconciled yet","OK"))))))))</f>
        <v>0</v>
      </c>
    </row>
    <row r="933" spans="1:23">
      <c r="A933" s="28">
        <f>IF(B933="","",PaymentPrefix&amp;TEXT(ROW()-4,"0000"))</f>
        <v>0</v>
      </c>
      <c r="D933" s="15">
        <f>IF(C933="","",IFERROR(INDEX(Clients!$B$5:$B$504,MATCH(C933,Clients!$A$5:$A$504,0)),"Walk-in"))</f>
        <v>0</v>
      </c>
      <c r="K933" s="15">
        <f>IF(J933="","",IFERROR(INDEX(Staff!$B$5:$B$44,MATCH(J933,Staff!$A$5:$A$44,0)),""))</f>
        <v>0</v>
      </c>
      <c r="O933" s="15">
        <f>IF(B933="","",TEXT(B933,"yyyy-mm"))</f>
        <v>0</v>
      </c>
      <c r="P933" s="25">
        <f>IF(B933="","",WEEKNUM(B933,2))</f>
        <v>0</v>
      </c>
      <c r="Q933" s="38">
        <f>IF(B933="","",IF(E933="Tip","No",IF(E933="Refund","No","Yes")))</f>
        <v>0</v>
      </c>
      <c r="R933" s="25">
        <f>IF(B933="","",IF(E933="Refund",-1,1))</f>
        <v>0</v>
      </c>
      <c r="S933" s="26">
        <f>IF(B933="","",IF(G933="",0,IF(F933="Card",ROUND(G933*CardFeePercent+CardFeeFixed,2),IF(F933="Online deposit",ROUND(G933*CardFeePercent+CardFeeFixed,2),0))))</f>
        <v>0</v>
      </c>
      <c r="T933" s="26">
        <f>IF(B933="","",ROUND(IF(G933="",0,G933)*R933-S933,2))</f>
        <v>0</v>
      </c>
      <c r="U933" s="38">
        <f>IF(B933="","",IF(E933="Tip","Yes","No"))</f>
        <v>0</v>
      </c>
      <c r="V933" s="15">
        <f>IF(B933="","",IF(H933&lt;&gt;"","Sale "&amp;H933,IF(I933&lt;&gt;"","Booking "&amp;I933,IF(E933="Tip","Stylist","Unapplied"))))</f>
        <v>0</v>
      </c>
      <c r="W933" s="39">
        <f>IF(B933="","",IF(G933="","Add - no amount yet",IF(E933="","Add - what was this for?",IF(IF(H933="",FALSE,COUNTIF(Sales!$A$5:$A$1204,H933)=0),"Missing - no sale with that ID",IF(IF(I933="",FALSE,COUNTIF(Appointments!$A$5:$A$1204,I933)=0),"Missing - no booking with that ID",IF(IF(E933="Tip",J933="",FALSE),"Assign - whose tip is it?",IF(IF(E933="Deposit",IF(H933="",I933="",FALSE),FALSE),"Check - deposit not tied to a booking",IF(M933="No","Due - not reconciled yet","OK"))))))))</f>
        <v>0</v>
      </c>
    </row>
    <row r="934" spans="1:23">
      <c r="A934" s="28">
        <f>IF(B934="","",PaymentPrefix&amp;TEXT(ROW()-4,"0000"))</f>
        <v>0</v>
      </c>
      <c r="D934" s="15">
        <f>IF(C934="","",IFERROR(INDEX(Clients!$B$5:$B$504,MATCH(C934,Clients!$A$5:$A$504,0)),"Walk-in"))</f>
        <v>0</v>
      </c>
      <c r="K934" s="15">
        <f>IF(J934="","",IFERROR(INDEX(Staff!$B$5:$B$44,MATCH(J934,Staff!$A$5:$A$44,0)),""))</f>
        <v>0</v>
      </c>
      <c r="O934" s="15">
        <f>IF(B934="","",TEXT(B934,"yyyy-mm"))</f>
        <v>0</v>
      </c>
      <c r="P934" s="25">
        <f>IF(B934="","",WEEKNUM(B934,2))</f>
        <v>0</v>
      </c>
      <c r="Q934" s="38">
        <f>IF(B934="","",IF(E934="Tip","No",IF(E934="Refund","No","Yes")))</f>
        <v>0</v>
      </c>
      <c r="R934" s="25">
        <f>IF(B934="","",IF(E934="Refund",-1,1))</f>
        <v>0</v>
      </c>
      <c r="S934" s="26">
        <f>IF(B934="","",IF(G934="",0,IF(F934="Card",ROUND(G934*CardFeePercent+CardFeeFixed,2),IF(F934="Online deposit",ROUND(G934*CardFeePercent+CardFeeFixed,2),0))))</f>
        <v>0</v>
      </c>
      <c r="T934" s="26">
        <f>IF(B934="","",ROUND(IF(G934="",0,G934)*R934-S934,2))</f>
        <v>0</v>
      </c>
      <c r="U934" s="38">
        <f>IF(B934="","",IF(E934="Tip","Yes","No"))</f>
        <v>0</v>
      </c>
      <c r="V934" s="15">
        <f>IF(B934="","",IF(H934&lt;&gt;"","Sale "&amp;H934,IF(I934&lt;&gt;"","Booking "&amp;I934,IF(E934="Tip","Stylist","Unapplied"))))</f>
        <v>0</v>
      </c>
      <c r="W934" s="39">
        <f>IF(B934="","",IF(G934="","Add - no amount yet",IF(E934="","Add - what was this for?",IF(IF(H934="",FALSE,COUNTIF(Sales!$A$5:$A$1204,H934)=0),"Missing - no sale with that ID",IF(IF(I934="",FALSE,COUNTIF(Appointments!$A$5:$A$1204,I934)=0),"Missing - no booking with that ID",IF(IF(E934="Tip",J934="",FALSE),"Assign - whose tip is it?",IF(IF(E934="Deposit",IF(H934="",I934="",FALSE),FALSE),"Check - deposit not tied to a booking",IF(M934="No","Due - not reconciled yet","OK"))))))))</f>
        <v>0</v>
      </c>
    </row>
    <row r="935" spans="1:23">
      <c r="A935" s="28">
        <f>IF(B935="","",PaymentPrefix&amp;TEXT(ROW()-4,"0000"))</f>
        <v>0</v>
      </c>
      <c r="D935" s="15">
        <f>IF(C935="","",IFERROR(INDEX(Clients!$B$5:$B$504,MATCH(C935,Clients!$A$5:$A$504,0)),"Walk-in"))</f>
        <v>0</v>
      </c>
      <c r="K935" s="15">
        <f>IF(J935="","",IFERROR(INDEX(Staff!$B$5:$B$44,MATCH(J935,Staff!$A$5:$A$44,0)),""))</f>
        <v>0</v>
      </c>
      <c r="O935" s="15">
        <f>IF(B935="","",TEXT(B935,"yyyy-mm"))</f>
        <v>0</v>
      </c>
      <c r="P935" s="25">
        <f>IF(B935="","",WEEKNUM(B935,2))</f>
        <v>0</v>
      </c>
      <c r="Q935" s="38">
        <f>IF(B935="","",IF(E935="Tip","No",IF(E935="Refund","No","Yes")))</f>
        <v>0</v>
      </c>
      <c r="R935" s="25">
        <f>IF(B935="","",IF(E935="Refund",-1,1))</f>
        <v>0</v>
      </c>
      <c r="S935" s="26">
        <f>IF(B935="","",IF(G935="",0,IF(F935="Card",ROUND(G935*CardFeePercent+CardFeeFixed,2),IF(F935="Online deposit",ROUND(G935*CardFeePercent+CardFeeFixed,2),0))))</f>
        <v>0</v>
      </c>
      <c r="T935" s="26">
        <f>IF(B935="","",ROUND(IF(G935="",0,G935)*R935-S935,2))</f>
        <v>0</v>
      </c>
      <c r="U935" s="38">
        <f>IF(B935="","",IF(E935="Tip","Yes","No"))</f>
        <v>0</v>
      </c>
      <c r="V935" s="15">
        <f>IF(B935="","",IF(H935&lt;&gt;"","Sale "&amp;H935,IF(I935&lt;&gt;"","Booking "&amp;I935,IF(E935="Tip","Stylist","Unapplied"))))</f>
        <v>0</v>
      </c>
      <c r="W935" s="39">
        <f>IF(B935="","",IF(G935="","Add - no amount yet",IF(E935="","Add - what was this for?",IF(IF(H935="",FALSE,COUNTIF(Sales!$A$5:$A$1204,H935)=0),"Missing - no sale with that ID",IF(IF(I935="",FALSE,COUNTIF(Appointments!$A$5:$A$1204,I935)=0),"Missing - no booking with that ID",IF(IF(E935="Tip",J935="",FALSE),"Assign - whose tip is it?",IF(IF(E935="Deposit",IF(H935="",I935="",FALSE),FALSE),"Check - deposit not tied to a booking",IF(M935="No","Due - not reconciled yet","OK"))))))))</f>
        <v>0</v>
      </c>
    </row>
    <row r="936" spans="1:23">
      <c r="A936" s="28">
        <f>IF(B936="","",PaymentPrefix&amp;TEXT(ROW()-4,"0000"))</f>
        <v>0</v>
      </c>
      <c r="D936" s="15">
        <f>IF(C936="","",IFERROR(INDEX(Clients!$B$5:$B$504,MATCH(C936,Clients!$A$5:$A$504,0)),"Walk-in"))</f>
        <v>0</v>
      </c>
      <c r="K936" s="15">
        <f>IF(J936="","",IFERROR(INDEX(Staff!$B$5:$B$44,MATCH(J936,Staff!$A$5:$A$44,0)),""))</f>
        <v>0</v>
      </c>
      <c r="O936" s="15">
        <f>IF(B936="","",TEXT(B936,"yyyy-mm"))</f>
        <v>0</v>
      </c>
      <c r="P936" s="25">
        <f>IF(B936="","",WEEKNUM(B936,2))</f>
        <v>0</v>
      </c>
      <c r="Q936" s="38">
        <f>IF(B936="","",IF(E936="Tip","No",IF(E936="Refund","No","Yes")))</f>
        <v>0</v>
      </c>
      <c r="R936" s="25">
        <f>IF(B936="","",IF(E936="Refund",-1,1))</f>
        <v>0</v>
      </c>
      <c r="S936" s="26">
        <f>IF(B936="","",IF(G936="",0,IF(F936="Card",ROUND(G936*CardFeePercent+CardFeeFixed,2),IF(F936="Online deposit",ROUND(G936*CardFeePercent+CardFeeFixed,2),0))))</f>
        <v>0</v>
      </c>
      <c r="T936" s="26">
        <f>IF(B936="","",ROUND(IF(G936="",0,G936)*R936-S936,2))</f>
        <v>0</v>
      </c>
      <c r="U936" s="38">
        <f>IF(B936="","",IF(E936="Tip","Yes","No"))</f>
        <v>0</v>
      </c>
      <c r="V936" s="15">
        <f>IF(B936="","",IF(H936&lt;&gt;"","Sale "&amp;H936,IF(I936&lt;&gt;"","Booking "&amp;I936,IF(E936="Tip","Stylist","Unapplied"))))</f>
        <v>0</v>
      </c>
      <c r="W936" s="39">
        <f>IF(B936="","",IF(G936="","Add - no amount yet",IF(E936="","Add - what was this for?",IF(IF(H936="",FALSE,COUNTIF(Sales!$A$5:$A$1204,H936)=0),"Missing - no sale with that ID",IF(IF(I936="",FALSE,COUNTIF(Appointments!$A$5:$A$1204,I936)=0),"Missing - no booking with that ID",IF(IF(E936="Tip",J936="",FALSE),"Assign - whose tip is it?",IF(IF(E936="Deposit",IF(H936="",I936="",FALSE),FALSE),"Check - deposit not tied to a booking",IF(M936="No","Due - not reconciled yet","OK"))))))))</f>
        <v>0</v>
      </c>
    </row>
    <row r="937" spans="1:23">
      <c r="A937" s="28">
        <f>IF(B937="","",PaymentPrefix&amp;TEXT(ROW()-4,"0000"))</f>
        <v>0</v>
      </c>
      <c r="D937" s="15">
        <f>IF(C937="","",IFERROR(INDEX(Clients!$B$5:$B$504,MATCH(C937,Clients!$A$5:$A$504,0)),"Walk-in"))</f>
        <v>0</v>
      </c>
      <c r="K937" s="15">
        <f>IF(J937="","",IFERROR(INDEX(Staff!$B$5:$B$44,MATCH(J937,Staff!$A$5:$A$44,0)),""))</f>
        <v>0</v>
      </c>
      <c r="O937" s="15">
        <f>IF(B937="","",TEXT(B937,"yyyy-mm"))</f>
        <v>0</v>
      </c>
      <c r="P937" s="25">
        <f>IF(B937="","",WEEKNUM(B937,2))</f>
        <v>0</v>
      </c>
      <c r="Q937" s="38">
        <f>IF(B937="","",IF(E937="Tip","No",IF(E937="Refund","No","Yes")))</f>
        <v>0</v>
      </c>
      <c r="R937" s="25">
        <f>IF(B937="","",IF(E937="Refund",-1,1))</f>
        <v>0</v>
      </c>
      <c r="S937" s="26">
        <f>IF(B937="","",IF(G937="",0,IF(F937="Card",ROUND(G937*CardFeePercent+CardFeeFixed,2),IF(F937="Online deposit",ROUND(G937*CardFeePercent+CardFeeFixed,2),0))))</f>
        <v>0</v>
      </c>
      <c r="T937" s="26">
        <f>IF(B937="","",ROUND(IF(G937="",0,G937)*R937-S937,2))</f>
        <v>0</v>
      </c>
      <c r="U937" s="38">
        <f>IF(B937="","",IF(E937="Tip","Yes","No"))</f>
        <v>0</v>
      </c>
      <c r="V937" s="15">
        <f>IF(B937="","",IF(H937&lt;&gt;"","Sale "&amp;H937,IF(I937&lt;&gt;"","Booking "&amp;I937,IF(E937="Tip","Stylist","Unapplied"))))</f>
        <v>0</v>
      </c>
      <c r="W937" s="39">
        <f>IF(B937="","",IF(G937="","Add - no amount yet",IF(E937="","Add - what was this for?",IF(IF(H937="",FALSE,COUNTIF(Sales!$A$5:$A$1204,H937)=0),"Missing - no sale with that ID",IF(IF(I937="",FALSE,COUNTIF(Appointments!$A$5:$A$1204,I937)=0),"Missing - no booking with that ID",IF(IF(E937="Tip",J937="",FALSE),"Assign - whose tip is it?",IF(IF(E937="Deposit",IF(H937="",I937="",FALSE),FALSE),"Check - deposit not tied to a booking",IF(M937="No","Due - not reconciled yet","OK"))))))))</f>
        <v>0</v>
      </c>
    </row>
    <row r="938" spans="1:23">
      <c r="A938" s="28">
        <f>IF(B938="","",PaymentPrefix&amp;TEXT(ROW()-4,"0000"))</f>
        <v>0</v>
      </c>
      <c r="D938" s="15">
        <f>IF(C938="","",IFERROR(INDEX(Clients!$B$5:$B$504,MATCH(C938,Clients!$A$5:$A$504,0)),"Walk-in"))</f>
        <v>0</v>
      </c>
      <c r="K938" s="15">
        <f>IF(J938="","",IFERROR(INDEX(Staff!$B$5:$B$44,MATCH(J938,Staff!$A$5:$A$44,0)),""))</f>
        <v>0</v>
      </c>
      <c r="O938" s="15">
        <f>IF(B938="","",TEXT(B938,"yyyy-mm"))</f>
        <v>0</v>
      </c>
      <c r="P938" s="25">
        <f>IF(B938="","",WEEKNUM(B938,2))</f>
        <v>0</v>
      </c>
      <c r="Q938" s="38">
        <f>IF(B938="","",IF(E938="Tip","No",IF(E938="Refund","No","Yes")))</f>
        <v>0</v>
      </c>
      <c r="R938" s="25">
        <f>IF(B938="","",IF(E938="Refund",-1,1))</f>
        <v>0</v>
      </c>
      <c r="S938" s="26">
        <f>IF(B938="","",IF(G938="",0,IF(F938="Card",ROUND(G938*CardFeePercent+CardFeeFixed,2),IF(F938="Online deposit",ROUND(G938*CardFeePercent+CardFeeFixed,2),0))))</f>
        <v>0</v>
      </c>
      <c r="T938" s="26">
        <f>IF(B938="","",ROUND(IF(G938="",0,G938)*R938-S938,2))</f>
        <v>0</v>
      </c>
      <c r="U938" s="38">
        <f>IF(B938="","",IF(E938="Tip","Yes","No"))</f>
        <v>0</v>
      </c>
      <c r="V938" s="15">
        <f>IF(B938="","",IF(H938&lt;&gt;"","Sale "&amp;H938,IF(I938&lt;&gt;"","Booking "&amp;I938,IF(E938="Tip","Stylist","Unapplied"))))</f>
        <v>0</v>
      </c>
      <c r="W938" s="39">
        <f>IF(B938="","",IF(G938="","Add - no amount yet",IF(E938="","Add - what was this for?",IF(IF(H938="",FALSE,COUNTIF(Sales!$A$5:$A$1204,H938)=0),"Missing - no sale with that ID",IF(IF(I938="",FALSE,COUNTIF(Appointments!$A$5:$A$1204,I938)=0),"Missing - no booking with that ID",IF(IF(E938="Tip",J938="",FALSE),"Assign - whose tip is it?",IF(IF(E938="Deposit",IF(H938="",I938="",FALSE),FALSE),"Check - deposit not tied to a booking",IF(M938="No","Due - not reconciled yet","OK"))))))))</f>
        <v>0</v>
      </c>
    </row>
    <row r="939" spans="1:23">
      <c r="A939" s="28">
        <f>IF(B939="","",PaymentPrefix&amp;TEXT(ROW()-4,"0000"))</f>
        <v>0</v>
      </c>
      <c r="D939" s="15">
        <f>IF(C939="","",IFERROR(INDEX(Clients!$B$5:$B$504,MATCH(C939,Clients!$A$5:$A$504,0)),"Walk-in"))</f>
        <v>0</v>
      </c>
      <c r="K939" s="15">
        <f>IF(J939="","",IFERROR(INDEX(Staff!$B$5:$B$44,MATCH(J939,Staff!$A$5:$A$44,0)),""))</f>
        <v>0</v>
      </c>
      <c r="O939" s="15">
        <f>IF(B939="","",TEXT(B939,"yyyy-mm"))</f>
        <v>0</v>
      </c>
      <c r="P939" s="25">
        <f>IF(B939="","",WEEKNUM(B939,2))</f>
        <v>0</v>
      </c>
      <c r="Q939" s="38">
        <f>IF(B939="","",IF(E939="Tip","No",IF(E939="Refund","No","Yes")))</f>
        <v>0</v>
      </c>
      <c r="R939" s="25">
        <f>IF(B939="","",IF(E939="Refund",-1,1))</f>
        <v>0</v>
      </c>
      <c r="S939" s="26">
        <f>IF(B939="","",IF(G939="",0,IF(F939="Card",ROUND(G939*CardFeePercent+CardFeeFixed,2),IF(F939="Online deposit",ROUND(G939*CardFeePercent+CardFeeFixed,2),0))))</f>
        <v>0</v>
      </c>
      <c r="T939" s="26">
        <f>IF(B939="","",ROUND(IF(G939="",0,G939)*R939-S939,2))</f>
        <v>0</v>
      </c>
      <c r="U939" s="38">
        <f>IF(B939="","",IF(E939="Tip","Yes","No"))</f>
        <v>0</v>
      </c>
      <c r="V939" s="15">
        <f>IF(B939="","",IF(H939&lt;&gt;"","Sale "&amp;H939,IF(I939&lt;&gt;"","Booking "&amp;I939,IF(E939="Tip","Stylist","Unapplied"))))</f>
        <v>0</v>
      </c>
      <c r="W939" s="39">
        <f>IF(B939="","",IF(G939="","Add - no amount yet",IF(E939="","Add - what was this for?",IF(IF(H939="",FALSE,COUNTIF(Sales!$A$5:$A$1204,H939)=0),"Missing - no sale with that ID",IF(IF(I939="",FALSE,COUNTIF(Appointments!$A$5:$A$1204,I939)=0),"Missing - no booking with that ID",IF(IF(E939="Tip",J939="",FALSE),"Assign - whose tip is it?",IF(IF(E939="Deposit",IF(H939="",I939="",FALSE),FALSE),"Check - deposit not tied to a booking",IF(M939="No","Due - not reconciled yet","OK"))))))))</f>
        <v>0</v>
      </c>
    </row>
    <row r="940" spans="1:23">
      <c r="A940" s="28">
        <f>IF(B940="","",PaymentPrefix&amp;TEXT(ROW()-4,"0000"))</f>
        <v>0</v>
      </c>
      <c r="D940" s="15">
        <f>IF(C940="","",IFERROR(INDEX(Clients!$B$5:$B$504,MATCH(C940,Clients!$A$5:$A$504,0)),"Walk-in"))</f>
        <v>0</v>
      </c>
      <c r="K940" s="15">
        <f>IF(J940="","",IFERROR(INDEX(Staff!$B$5:$B$44,MATCH(J940,Staff!$A$5:$A$44,0)),""))</f>
        <v>0</v>
      </c>
      <c r="O940" s="15">
        <f>IF(B940="","",TEXT(B940,"yyyy-mm"))</f>
        <v>0</v>
      </c>
      <c r="P940" s="25">
        <f>IF(B940="","",WEEKNUM(B940,2))</f>
        <v>0</v>
      </c>
      <c r="Q940" s="38">
        <f>IF(B940="","",IF(E940="Tip","No",IF(E940="Refund","No","Yes")))</f>
        <v>0</v>
      </c>
      <c r="R940" s="25">
        <f>IF(B940="","",IF(E940="Refund",-1,1))</f>
        <v>0</v>
      </c>
      <c r="S940" s="26">
        <f>IF(B940="","",IF(G940="",0,IF(F940="Card",ROUND(G940*CardFeePercent+CardFeeFixed,2),IF(F940="Online deposit",ROUND(G940*CardFeePercent+CardFeeFixed,2),0))))</f>
        <v>0</v>
      </c>
      <c r="T940" s="26">
        <f>IF(B940="","",ROUND(IF(G940="",0,G940)*R940-S940,2))</f>
        <v>0</v>
      </c>
      <c r="U940" s="38">
        <f>IF(B940="","",IF(E940="Tip","Yes","No"))</f>
        <v>0</v>
      </c>
      <c r="V940" s="15">
        <f>IF(B940="","",IF(H940&lt;&gt;"","Sale "&amp;H940,IF(I940&lt;&gt;"","Booking "&amp;I940,IF(E940="Tip","Stylist","Unapplied"))))</f>
        <v>0</v>
      </c>
      <c r="W940" s="39">
        <f>IF(B940="","",IF(G940="","Add - no amount yet",IF(E940="","Add - what was this for?",IF(IF(H940="",FALSE,COUNTIF(Sales!$A$5:$A$1204,H940)=0),"Missing - no sale with that ID",IF(IF(I940="",FALSE,COUNTIF(Appointments!$A$5:$A$1204,I940)=0),"Missing - no booking with that ID",IF(IF(E940="Tip",J940="",FALSE),"Assign - whose tip is it?",IF(IF(E940="Deposit",IF(H940="",I940="",FALSE),FALSE),"Check - deposit not tied to a booking",IF(M940="No","Due - not reconciled yet","OK"))))))))</f>
        <v>0</v>
      </c>
    </row>
    <row r="941" spans="1:23">
      <c r="A941" s="28">
        <f>IF(B941="","",PaymentPrefix&amp;TEXT(ROW()-4,"0000"))</f>
        <v>0</v>
      </c>
      <c r="D941" s="15">
        <f>IF(C941="","",IFERROR(INDEX(Clients!$B$5:$B$504,MATCH(C941,Clients!$A$5:$A$504,0)),"Walk-in"))</f>
        <v>0</v>
      </c>
      <c r="K941" s="15">
        <f>IF(J941="","",IFERROR(INDEX(Staff!$B$5:$B$44,MATCH(J941,Staff!$A$5:$A$44,0)),""))</f>
        <v>0</v>
      </c>
      <c r="O941" s="15">
        <f>IF(B941="","",TEXT(B941,"yyyy-mm"))</f>
        <v>0</v>
      </c>
      <c r="P941" s="25">
        <f>IF(B941="","",WEEKNUM(B941,2))</f>
        <v>0</v>
      </c>
      <c r="Q941" s="38">
        <f>IF(B941="","",IF(E941="Tip","No",IF(E941="Refund","No","Yes")))</f>
        <v>0</v>
      </c>
      <c r="R941" s="25">
        <f>IF(B941="","",IF(E941="Refund",-1,1))</f>
        <v>0</v>
      </c>
      <c r="S941" s="26">
        <f>IF(B941="","",IF(G941="",0,IF(F941="Card",ROUND(G941*CardFeePercent+CardFeeFixed,2),IF(F941="Online deposit",ROUND(G941*CardFeePercent+CardFeeFixed,2),0))))</f>
        <v>0</v>
      </c>
      <c r="T941" s="26">
        <f>IF(B941="","",ROUND(IF(G941="",0,G941)*R941-S941,2))</f>
        <v>0</v>
      </c>
      <c r="U941" s="38">
        <f>IF(B941="","",IF(E941="Tip","Yes","No"))</f>
        <v>0</v>
      </c>
      <c r="V941" s="15">
        <f>IF(B941="","",IF(H941&lt;&gt;"","Sale "&amp;H941,IF(I941&lt;&gt;"","Booking "&amp;I941,IF(E941="Tip","Stylist","Unapplied"))))</f>
        <v>0</v>
      </c>
      <c r="W941" s="39">
        <f>IF(B941="","",IF(G941="","Add - no amount yet",IF(E941="","Add - what was this for?",IF(IF(H941="",FALSE,COUNTIF(Sales!$A$5:$A$1204,H941)=0),"Missing - no sale with that ID",IF(IF(I941="",FALSE,COUNTIF(Appointments!$A$5:$A$1204,I941)=0),"Missing - no booking with that ID",IF(IF(E941="Tip",J941="",FALSE),"Assign - whose tip is it?",IF(IF(E941="Deposit",IF(H941="",I941="",FALSE),FALSE),"Check - deposit not tied to a booking",IF(M941="No","Due - not reconciled yet","OK"))))))))</f>
        <v>0</v>
      </c>
    </row>
    <row r="942" spans="1:23">
      <c r="A942" s="28">
        <f>IF(B942="","",PaymentPrefix&amp;TEXT(ROW()-4,"0000"))</f>
        <v>0</v>
      </c>
      <c r="D942" s="15">
        <f>IF(C942="","",IFERROR(INDEX(Clients!$B$5:$B$504,MATCH(C942,Clients!$A$5:$A$504,0)),"Walk-in"))</f>
        <v>0</v>
      </c>
      <c r="K942" s="15">
        <f>IF(J942="","",IFERROR(INDEX(Staff!$B$5:$B$44,MATCH(J942,Staff!$A$5:$A$44,0)),""))</f>
        <v>0</v>
      </c>
      <c r="O942" s="15">
        <f>IF(B942="","",TEXT(B942,"yyyy-mm"))</f>
        <v>0</v>
      </c>
      <c r="P942" s="25">
        <f>IF(B942="","",WEEKNUM(B942,2))</f>
        <v>0</v>
      </c>
      <c r="Q942" s="38">
        <f>IF(B942="","",IF(E942="Tip","No",IF(E942="Refund","No","Yes")))</f>
        <v>0</v>
      </c>
      <c r="R942" s="25">
        <f>IF(B942="","",IF(E942="Refund",-1,1))</f>
        <v>0</v>
      </c>
      <c r="S942" s="26">
        <f>IF(B942="","",IF(G942="",0,IF(F942="Card",ROUND(G942*CardFeePercent+CardFeeFixed,2),IF(F942="Online deposit",ROUND(G942*CardFeePercent+CardFeeFixed,2),0))))</f>
        <v>0</v>
      </c>
      <c r="T942" s="26">
        <f>IF(B942="","",ROUND(IF(G942="",0,G942)*R942-S942,2))</f>
        <v>0</v>
      </c>
      <c r="U942" s="38">
        <f>IF(B942="","",IF(E942="Tip","Yes","No"))</f>
        <v>0</v>
      </c>
      <c r="V942" s="15">
        <f>IF(B942="","",IF(H942&lt;&gt;"","Sale "&amp;H942,IF(I942&lt;&gt;"","Booking "&amp;I942,IF(E942="Tip","Stylist","Unapplied"))))</f>
        <v>0</v>
      </c>
      <c r="W942" s="39">
        <f>IF(B942="","",IF(G942="","Add - no amount yet",IF(E942="","Add - what was this for?",IF(IF(H942="",FALSE,COUNTIF(Sales!$A$5:$A$1204,H942)=0),"Missing - no sale with that ID",IF(IF(I942="",FALSE,COUNTIF(Appointments!$A$5:$A$1204,I942)=0),"Missing - no booking with that ID",IF(IF(E942="Tip",J942="",FALSE),"Assign - whose tip is it?",IF(IF(E942="Deposit",IF(H942="",I942="",FALSE),FALSE),"Check - deposit not tied to a booking",IF(M942="No","Due - not reconciled yet","OK"))))))))</f>
        <v>0</v>
      </c>
    </row>
    <row r="943" spans="1:23">
      <c r="A943" s="28">
        <f>IF(B943="","",PaymentPrefix&amp;TEXT(ROW()-4,"0000"))</f>
        <v>0</v>
      </c>
      <c r="D943" s="15">
        <f>IF(C943="","",IFERROR(INDEX(Clients!$B$5:$B$504,MATCH(C943,Clients!$A$5:$A$504,0)),"Walk-in"))</f>
        <v>0</v>
      </c>
      <c r="K943" s="15">
        <f>IF(J943="","",IFERROR(INDEX(Staff!$B$5:$B$44,MATCH(J943,Staff!$A$5:$A$44,0)),""))</f>
        <v>0</v>
      </c>
      <c r="O943" s="15">
        <f>IF(B943="","",TEXT(B943,"yyyy-mm"))</f>
        <v>0</v>
      </c>
      <c r="P943" s="25">
        <f>IF(B943="","",WEEKNUM(B943,2))</f>
        <v>0</v>
      </c>
      <c r="Q943" s="38">
        <f>IF(B943="","",IF(E943="Tip","No",IF(E943="Refund","No","Yes")))</f>
        <v>0</v>
      </c>
      <c r="R943" s="25">
        <f>IF(B943="","",IF(E943="Refund",-1,1))</f>
        <v>0</v>
      </c>
      <c r="S943" s="26">
        <f>IF(B943="","",IF(G943="",0,IF(F943="Card",ROUND(G943*CardFeePercent+CardFeeFixed,2),IF(F943="Online deposit",ROUND(G943*CardFeePercent+CardFeeFixed,2),0))))</f>
        <v>0</v>
      </c>
      <c r="T943" s="26">
        <f>IF(B943="","",ROUND(IF(G943="",0,G943)*R943-S943,2))</f>
        <v>0</v>
      </c>
      <c r="U943" s="38">
        <f>IF(B943="","",IF(E943="Tip","Yes","No"))</f>
        <v>0</v>
      </c>
      <c r="V943" s="15">
        <f>IF(B943="","",IF(H943&lt;&gt;"","Sale "&amp;H943,IF(I943&lt;&gt;"","Booking "&amp;I943,IF(E943="Tip","Stylist","Unapplied"))))</f>
        <v>0</v>
      </c>
      <c r="W943" s="39">
        <f>IF(B943="","",IF(G943="","Add - no amount yet",IF(E943="","Add - what was this for?",IF(IF(H943="",FALSE,COUNTIF(Sales!$A$5:$A$1204,H943)=0),"Missing - no sale with that ID",IF(IF(I943="",FALSE,COUNTIF(Appointments!$A$5:$A$1204,I943)=0),"Missing - no booking with that ID",IF(IF(E943="Tip",J943="",FALSE),"Assign - whose tip is it?",IF(IF(E943="Deposit",IF(H943="",I943="",FALSE),FALSE),"Check - deposit not tied to a booking",IF(M943="No","Due - not reconciled yet","OK"))))))))</f>
        <v>0</v>
      </c>
    </row>
    <row r="944" spans="1:23">
      <c r="A944" s="28">
        <f>IF(B944="","",PaymentPrefix&amp;TEXT(ROW()-4,"0000"))</f>
        <v>0</v>
      </c>
      <c r="D944" s="15">
        <f>IF(C944="","",IFERROR(INDEX(Clients!$B$5:$B$504,MATCH(C944,Clients!$A$5:$A$504,0)),"Walk-in"))</f>
        <v>0</v>
      </c>
      <c r="K944" s="15">
        <f>IF(J944="","",IFERROR(INDEX(Staff!$B$5:$B$44,MATCH(J944,Staff!$A$5:$A$44,0)),""))</f>
        <v>0</v>
      </c>
      <c r="O944" s="15">
        <f>IF(B944="","",TEXT(B944,"yyyy-mm"))</f>
        <v>0</v>
      </c>
      <c r="P944" s="25">
        <f>IF(B944="","",WEEKNUM(B944,2))</f>
        <v>0</v>
      </c>
      <c r="Q944" s="38">
        <f>IF(B944="","",IF(E944="Tip","No",IF(E944="Refund","No","Yes")))</f>
        <v>0</v>
      </c>
      <c r="R944" s="25">
        <f>IF(B944="","",IF(E944="Refund",-1,1))</f>
        <v>0</v>
      </c>
      <c r="S944" s="26">
        <f>IF(B944="","",IF(G944="",0,IF(F944="Card",ROUND(G944*CardFeePercent+CardFeeFixed,2),IF(F944="Online deposit",ROUND(G944*CardFeePercent+CardFeeFixed,2),0))))</f>
        <v>0</v>
      </c>
      <c r="T944" s="26">
        <f>IF(B944="","",ROUND(IF(G944="",0,G944)*R944-S944,2))</f>
        <v>0</v>
      </c>
      <c r="U944" s="38">
        <f>IF(B944="","",IF(E944="Tip","Yes","No"))</f>
        <v>0</v>
      </c>
      <c r="V944" s="15">
        <f>IF(B944="","",IF(H944&lt;&gt;"","Sale "&amp;H944,IF(I944&lt;&gt;"","Booking "&amp;I944,IF(E944="Tip","Stylist","Unapplied"))))</f>
        <v>0</v>
      </c>
      <c r="W944" s="39">
        <f>IF(B944="","",IF(G944="","Add - no amount yet",IF(E944="","Add - what was this for?",IF(IF(H944="",FALSE,COUNTIF(Sales!$A$5:$A$1204,H944)=0),"Missing - no sale with that ID",IF(IF(I944="",FALSE,COUNTIF(Appointments!$A$5:$A$1204,I944)=0),"Missing - no booking with that ID",IF(IF(E944="Tip",J944="",FALSE),"Assign - whose tip is it?",IF(IF(E944="Deposit",IF(H944="",I944="",FALSE),FALSE),"Check - deposit not tied to a booking",IF(M944="No","Due - not reconciled yet","OK"))))))))</f>
        <v>0</v>
      </c>
    </row>
    <row r="945" spans="1:23">
      <c r="A945" s="28">
        <f>IF(B945="","",PaymentPrefix&amp;TEXT(ROW()-4,"0000"))</f>
        <v>0</v>
      </c>
      <c r="D945" s="15">
        <f>IF(C945="","",IFERROR(INDEX(Clients!$B$5:$B$504,MATCH(C945,Clients!$A$5:$A$504,0)),"Walk-in"))</f>
        <v>0</v>
      </c>
      <c r="K945" s="15">
        <f>IF(J945="","",IFERROR(INDEX(Staff!$B$5:$B$44,MATCH(J945,Staff!$A$5:$A$44,0)),""))</f>
        <v>0</v>
      </c>
      <c r="O945" s="15">
        <f>IF(B945="","",TEXT(B945,"yyyy-mm"))</f>
        <v>0</v>
      </c>
      <c r="P945" s="25">
        <f>IF(B945="","",WEEKNUM(B945,2))</f>
        <v>0</v>
      </c>
      <c r="Q945" s="38">
        <f>IF(B945="","",IF(E945="Tip","No",IF(E945="Refund","No","Yes")))</f>
        <v>0</v>
      </c>
      <c r="R945" s="25">
        <f>IF(B945="","",IF(E945="Refund",-1,1))</f>
        <v>0</v>
      </c>
      <c r="S945" s="26">
        <f>IF(B945="","",IF(G945="",0,IF(F945="Card",ROUND(G945*CardFeePercent+CardFeeFixed,2),IF(F945="Online deposit",ROUND(G945*CardFeePercent+CardFeeFixed,2),0))))</f>
        <v>0</v>
      </c>
      <c r="T945" s="26">
        <f>IF(B945="","",ROUND(IF(G945="",0,G945)*R945-S945,2))</f>
        <v>0</v>
      </c>
      <c r="U945" s="38">
        <f>IF(B945="","",IF(E945="Tip","Yes","No"))</f>
        <v>0</v>
      </c>
      <c r="V945" s="15">
        <f>IF(B945="","",IF(H945&lt;&gt;"","Sale "&amp;H945,IF(I945&lt;&gt;"","Booking "&amp;I945,IF(E945="Tip","Stylist","Unapplied"))))</f>
        <v>0</v>
      </c>
      <c r="W945" s="39">
        <f>IF(B945="","",IF(G945="","Add - no amount yet",IF(E945="","Add - what was this for?",IF(IF(H945="",FALSE,COUNTIF(Sales!$A$5:$A$1204,H945)=0),"Missing - no sale with that ID",IF(IF(I945="",FALSE,COUNTIF(Appointments!$A$5:$A$1204,I945)=0),"Missing - no booking with that ID",IF(IF(E945="Tip",J945="",FALSE),"Assign - whose tip is it?",IF(IF(E945="Deposit",IF(H945="",I945="",FALSE),FALSE),"Check - deposit not tied to a booking",IF(M945="No","Due - not reconciled yet","OK"))))))))</f>
        <v>0</v>
      </c>
    </row>
    <row r="946" spans="1:23">
      <c r="A946" s="28">
        <f>IF(B946="","",PaymentPrefix&amp;TEXT(ROW()-4,"0000"))</f>
        <v>0</v>
      </c>
      <c r="D946" s="15">
        <f>IF(C946="","",IFERROR(INDEX(Clients!$B$5:$B$504,MATCH(C946,Clients!$A$5:$A$504,0)),"Walk-in"))</f>
        <v>0</v>
      </c>
      <c r="K946" s="15">
        <f>IF(J946="","",IFERROR(INDEX(Staff!$B$5:$B$44,MATCH(J946,Staff!$A$5:$A$44,0)),""))</f>
        <v>0</v>
      </c>
      <c r="O946" s="15">
        <f>IF(B946="","",TEXT(B946,"yyyy-mm"))</f>
        <v>0</v>
      </c>
      <c r="P946" s="25">
        <f>IF(B946="","",WEEKNUM(B946,2))</f>
        <v>0</v>
      </c>
      <c r="Q946" s="38">
        <f>IF(B946="","",IF(E946="Tip","No",IF(E946="Refund","No","Yes")))</f>
        <v>0</v>
      </c>
      <c r="R946" s="25">
        <f>IF(B946="","",IF(E946="Refund",-1,1))</f>
        <v>0</v>
      </c>
      <c r="S946" s="26">
        <f>IF(B946="","",IF(G946="",0,IF(F946="Card",ROUND(G946*CardFeePercent+CardFeeFixed,2),IF(F946="Online deposit",ROUND(G946*CardFeePercent+CardFeeFixed,2),0))))</f>
        <v>0</v>
      </c>
      <c r="T946" s="26">
        <f>IF(B946="","",ROUND(IF(G946="",0,G946)*R946-S946,2))</f>
        <v>0</v>
      </c>
      <c r="U946" s="38">
        <f>IF(B946="","",IF(E946="Tip","Yes","No"))</f>
        <v>0</v>
      </c>
      <c r="V946" s="15">
        <f>IF(B946="","",IF(H946&lt;&gt;"","Sale "&amp;H946,IF(I946&lt;&gt;"","Booking "&amp;I946,IF(E946="Tip","Stylist","Unapplied"))))</f>
        <v>0</v>
      </c>
      <c r="W946" s="39">
        <f>IF(B946="","",IF(G946="","Add - no amount yet",IF(E946="","Add - what was this for?",IF(IF(H946="",FALSE,COUNTIF(Sales!$A$5:$A$1204,H946)=0),"Missing - no sale with that ID",IF(IF(I946="",FALSE,COUNTIF(Appointments!$A$5:$A$1204,I946)=0),"Missing - no booking with that ID",IF(IF(E946="Tip",J946="",FALSE),"Assign - whose tip is it?",IF(IF(E946="Deposit",IF(H946="",I946="",FALSE),FALSE),"Check - deposit not tied to a booking",IF(M946="No","Due - not reconciled yet","OK"))))))))</f>
        <v>0</v>
      </c>
    </row>
    <row r="947" spans="1:23">
      <c r="A947" s="28">
        <f>IF(B947="","",PaymentPrefix&amp;TEXT(ROW()-4,"0000"))</f>
        <v>0</v>
      </c>
      <c r="D947" s="15">
        <f>IF(C947="","",IFERROR(INDEX(Clients!$B$5:$B$504,MATCH(C947,Clients!$A$5:$A$504,0)),"Walk-in"))</f>
        <v>0</v>
      </c>
      <c r="K947" s="15">
        <f>IF(J947="","",IFERROR(INDEX(Staff!$B$5:$B$44,MATCH(J947,Staff!$A$5:$A$44,0)),""))</f>
        <v>0</v>
      </c>
      <c r="O947" s="15">
        <f>IF(B947="","",TEXT(B947,"yyyy-mm"))</f>
        <v>0</v>
      </c>
      <c r="P947" s="25">
        <f>IF(B947="","",WEEKNUM(B947,2))</f>
        <v>0</v>
      </c>
      <c r="Q947" s="38">
        <f>IF(B947="","",IF(E947="Tip","No",IF(E947="Refund","No","Yes")))</f>
        <v>0</v>
      </c>
      <c r="R947" s="25">
        <f>IF(B947="","",IF(E947="Refund",-1,1))</f>
        <v>0</v>
      </c>
      <c r="S947" s="26">
        <f>IF(B947="","",IF(G947="",0,IF(F947="Card",ROUND(G947*CardFeePercent+CardFeeFixed,2),IF(F947="Online deposit",ROUND(G947*CardFeePercent+CardFeeFixed,2),0))))</f>
        <v>0</v>
      </c>
      <c r="T947" s="26">
        <f>IF(B947="","",ROUND(IF(G947="",0,G947)*R947-S947,2))</f>
        <v>0</v>
      </c>
      <c r="U947" s="38">
        <f>IF(B947="","",IF(E947="Tip","Yes","No"))</f>
        <v>0</v>
      </c>
      <c r="V947" s="15">
        <f>IF(B947="","",IF(H947&lt;&gt;"","Sale "&amp;H947,IF(I947&lt;&gt;"","Booking "&amp;I947,IF(E947="Tip","Stylist","Unapplied"))))</f>
        <v>0</v>
      </c>
      <c r="W947" s="39">
        <f>IF(B947="","",IF(G947="","Add - no amount yet",IF(E947="","Add - what was this for?",IF(IF(H947="",FALSE,COUNTIF(Sales!$A$5:$A$1204,H947)=0),"Missing - no sale with that ID",IF(IF(I947="",FALSE,COUNTIF(Appointments!$A$5:$A$1204,I947)=0),"Missing - no booking with that ID",IF(IF(E947="Tip",J947="",FALSE),"Assign - whose tip is it?",IF(IF(E947="Deposit",IF(H947="",I947="",FALSE),FALSE),"Check - deposit not tied to a booking",IF(M947="No","Due - not reconciled yet","OK"))))))))</f>
        <v>0</v>
      </c>
    </row>
    <row r="948" spans="1:23">
      <c r="A948" s="28">
        <f>IF(B948="","",PaymentPrefix&amp;TEXT(ROW()-4,"0000"))</f>
        <v>0</v>
      </c>
      <c r="D948" s="15">
        <f>IF(C948="","",IFERROR(INDEX(Clients!$B$5:$B$504,MATCH(C948,Clients!$A$5:$A$504,0)),"Walk-in"))</f>
        <v>0</v>
      </c>
      <c r="K948" s="15">
        <f>IF(J948="","",IFERROR(INDEX(Staff!$B$5:$B$44,MATCH(J948,Staff!$A$5:$A$44,0)),""))</f>
        <v>0</v>
      </c>
      <c r="O948" s="15">
        <f>IF(B948="","",TEXT(B948,"yyyy-mm"))</f>
        <v>0</v>
      </c>
      <c r="P948" s="25">
        <f>IF(B948="","",WEEKNUM(B948,2))</f>
        <v>0</v>
      </c>
      <c r="Q948" s="38">
        <f>IF(B948="","",IF(E948="Tip","No",IF(E948="Refund","No","Yes")))</f>
        <v>0</v>
      </c>
      <c r="R948" s="25">
        <f>IF(B948="","",IF(E948="Refund",-1,1))</f>
        <v>0</v>
      </c>
      <c r="S948" s="26">
        <f>IF(B948="","",IF(G948="",0,IF(F948="Card",ROUND(G948*CardFeePercent+CardFeeFixed,2),IF(F948="Online deposit",ROUND(G948*CardFeePercent+CardFeeFixed,2),0))))</f>
        <v>0</v>
      </c>
      <c r="T948" s="26">
        <f>IF(B948="","",ROUND(IF(G948="",0,G948)*R948-S948,2))</f>
        <v>0</v>
      </c>
      <c r="U948" s="38">
        <f>IF(B948="","",IF(E948="Tip","Yes","No"))</f>
        <v>0</v>
      </c>
      <c r="V948" s="15">
        <f>IF(B948="","",IF(H948&lt;&gt;"","Sale "&amp;H948,IF(I948&lt;&gt;"","Booking "&amp;I948,IF(E948="Tip","Stylist","Unapplied"))))</f>
        <v>0</v>
      </c>
      <c r="W948" s="39">
        <f>IF(B948="","",IF(G948="","Add - no amount yet",IF(E948="","Add - what was this for?",IF(IF(H948="",FALSE,COUNTIF(Sales!$A$5:$A$1204,H948)=0),"Missing - no sale with that ID",IF(IF(I948="",FALSE,COUNTIF(Appointments!$A$5:$A$1204,I948)=0),"Missing - no booking with that ID",IF(IF(E948="Tip",J948="",FALSE),"Assign - whose tip is it?",IF(IF(E948="Deposit",IF(H948="",I948="",FALSE),FALSE),"Check - deposit not tied to a booking",IF(M948="No","Due - not reconciled yet","OK"))))))))</f>
        <v>0</v>
      </c>
    </row>
    <row r="949" spans="1:23">
      <c r="A949" s="28">
        <f>IF(B949="","",PaymentPrefix&amp;TEXT(ROW()-4,"0000"))</f>
        <v>0</v>
      </c>
      <c r="D949" s="15">
        <f>IF(C949="","",IFERROR(INDEX(Clients!$B$5:$B$504,MATCH(C949,Clients!$A$5:$A$504,0)),"Walk-in"))</f>
        <v>0</v>
      </c>
      <c r="K949" s="15">
        <f>IF(J949="","",IFERROR(INDEX(Staff!$B$5:$B$44,MATCH(J949,Staff!$A$5:$A$44,0)),""))</f>
        <v>0</v>
      </c>
      <c r="O949" s="15">
        <f>IF(B949="","",TEXT(B949,"yyyy-mm"))</f>
        <v>0</v>
      </c>
      <c r="P949" s="25">
        <f>IF(B949="","",WEEKNUM(B949,2))</f>
        <v>0</v>
      </c>
      <c r="Q949" s="38">
        <f>IF(B949="","",IF(E949="Tip","No",IF(E949="Refund","No","Yes")))</f>
        <v>0</v>
      </c>
      <c r="R949" s="25">
        <f>IF(B949="","",IF(E949="Refund",-1,1))</f>
        <v>0</v>
      </c>
      <c r="S949" s="26">
        <f>IF(B949="","",IF(G949="",0,IF(F949="Card",ROUND(G949*CardFeePercent+CardFeeFixed,2),IF(F949="Online deposit",ROUND(G949*CardFeePercent+CardFeeFixed,2),0))))</f>
        <v>0</v>
      </c>
      <c r="T949" s="26">
        <f>IF(B949="","",ROUND(IF(G949="",0,G949)*R949-S949,2))</f>
        <v>0</v>
      </c>
      <c r="U949" s="38">
        <f>IF(B949="","",IF(E949="Tip","Yes","No"))</f>
        <v>0</v>
      </c>
      <c r="V949" s="15">
        <f>IF(B949="","",IF(H949&lt;&gt;"","Sale "&amp;H949,IF(I949&lt;&gt;"","Booking "&amp;I949,IF(E949="Tip","Stylist","Unapplied"))))</f>
        <v>0</v>
      </c>
      <c r="W949" s="39">
        <f>IF(B949="","",IF(G949="","Add - no amount yet",IF(E949="","Add - what was this for?",IF(IF(H949="",FALSE,COUNTIF(Sales!$A$5:$A$1204,H949)=0),"Missing - no sale with that ID",IF(IF(I949="",FALSE,COUNTIF(Appointments!$A$5:$A$1204,I949)=0),"Missing - no booking with that ID",IF(IF(E949="Tip",J949="",FALSE),"Assign - whose tip is it?",IF(IF(E949="Deposit",IF(H949="",I949="",FALSE),FALSE),"Check - deposit not tied to a booking",IF(M949="No","Due - not reconciled yet","OK"))))))))</f>
        <v>0</v>
      </c>
    </row>
    <row r="950" spans="1:23">
      <c r="A950" s="28">
        <f>IF(B950="","",PaymentPrefix&amp;TEXT(ROW()-4,"0000"))</f>
        <v>0</v>
      </c>
      <c r="D950" s="15">
        <f>IF(C950="","",IFERROR(INDEX(Clients!$B$5:$B$504,MATCH(C950,Clients!$A$5:$A$504,0)),"Walk-in"))</f>
        <v>0</v>
      </c>
      <c r="K950" s="15">
        <f>IF(J950="","",IFERROR(INDEX(Staff!$B$5:$B$44,MATCH(J950,Staff!$A$5:$A$44,0)),""))</f>
        <v>0</v>
      </c>
      <c r="O950" s="15">
        <f>IF(B950="","",TEXT(B950,"yyyy-mm"))</f>
        <v>0</v>
      </c>
      <c r="P950" s="25">
        <f>IF(B950="","",WEEKNUM(B950,2))</f>
        <v>0</v>
      </c>
      <c r="Q950" s="38">
        <f>IF(B950="","",IF(E950="Tip","No",IF(E950="Refund","No","Yes")))</f>
        <v>0</v>
      </c>
      <c r="R950" s="25">
        <f>IF(B950="","",IF(E950="Refund",-1,1))</f>
        <v>0</v>
      </c>
      <c r="S950" s="26">
        <f>IF(B950="","",IF(G950="",0,IF(F950="Card",ROUND(G950*CardFeePercent+CardFeeFixed,2),IF(F950="Online deposit",ROUND(G950*CardFeePercent+CardFeeFixed,2),0))))</f>
        <v>0</v>
      </c>
      <c r="T950" s="26">
        <f>IF(B950="","",ROUND(IF(G950="",0,G950)*R950-S950,2))</f>
        <v>0</v>
      </c>
      <c r="U950" s="38">
        <f>IF(B950="","",IF(E950="Tip","Yes","No"))</f>
        <v>0</v>
      </c>
      <c r="V950" s="15">
        <f>IF(B950="","",IF(H950&lt;&gt;"","Sale "&amp;H950,IF(I950&lt;&gt;"","Booking "&amp;I950,IF(E950="Tip","Stylist","Unapplied"))))</f>
        <v>0</v>
      </c>
      <c r="W950" s="39">
        <f>IF(B950="","",IF(G950="","Add - no amount yet",IF(E950="","Add - what was this for?",IF(IF(H950="",FALSE,COUNTIF(Sales!$A$5:$A$1204,H950)=0),"Missing - no sale with that ID",IF(IF(I950="",FALSE,COUNTIF(Appointments!$A$5:$A$1204,I950)=0),"Missing - no booking with that ID",IF(IF(E950="Tip",J950="",FALSE),"Assign - whose tip is it?",IF(IF(E950="Deposit",IF(H950="",I950="",FALSE),FALSE),"Check - deposit not tied to a booking",IF(M950="No","Due - not reconciled yet","OK"))))))))</f>
        <v>0</v>
      </c>
    </row>
    <row r="951" spans="1:23">
      <c r="A951" s="28">
        <f>IF(B951="","",PaymentPrefix&amp;TEXT(ROW()-4,"0000"))</f>
        <v>0</v>
      </c>
      <c r="D951" s="15">
        <f>IF(C951="","",IFERROR(INDEX(Clients!$B$5:$B$504,MATCH(C951,Clients!$A$5:$A$504,0)),"Walk-in"))</f>
        <v>0</v>
      </c>
      <c r="K951" s="15">
        <f>IF(J951="","",IFERROR(INDEX(Staff!$B$5:$B$44,MATCH(J951,Staff!$A$5:$A$44,0)),""))</f>
        <v>0</v>
      </c>
      <c r="O951" s="15">
        <f>IF(B951="","",TEXT(B951,"yyyy-mm"))</f>
        <v>0</v>
      </c>
      <c r="P951" s="25">
        <f>IF(B951="","",WEEKNUM(B951,2))</f>
        <v>0</v>
      </c>
      <c r="Q951" s="38">
        <f>IF(B951="","",IF(E951="Tip","No",IF(E951="Refund","No","Yes")))</f>
        <v>0</v>
      </c>
      <c r="R951" s="25">
        <f>IF(B951="","",IF(E951="Refund",-1,1))</f>
        <v>0</v>
      </c>
      <c r="S951" s="26">
        <f>IF(B951="","",IF(G951="",0,IF(F951="Card",ROUND(G951*CardFeePercent+CardFeeFixed,2),IF(F951="Online deposit",ROUND(G951*CardFeePercent+CardFeeFixed,2),0))))</f>
        <v>0</v>
      </c>
      <c r="T951" s="26">
        <f>IF(B951="","",ROUND(IF(G951="",0,G951)*R951-S951,2))</f>
        <v>0</v>
      </c>
      <c r="U951" s="38">
        <f>IF(B951="","",IF(E951="Tip","Yes","No"))</f>
        <v>0</v>
      </c>
      <c r="V951" s="15">
        <f>IF(B951="","",IF(H951&lt;&gt;"","Sale "&amp;H951,IF(I951&lt;&gt;"","Booking "&amp;I951,IF(E951="Tip","Stylist","Unapplied"))))</f>
        <v>0</v>
      </c>
      <c r="W951" s="39">
        <f>IF(B951="","",IF(G951="","Add - no amount yet",IF(E951="","Add - what was this for?",IF(IF(H951="",FALSE,COUNTIF(Sales!$A$5:$A$1204,H951)=0),"Missing - no sale with that ID",IF(IF(I951="",FALSE,COUNTIF(Appointments!$A$5:$A$1204,I951)=0),"Missing - no booking with that ID",IF(IF(E951="Tip",J951="",FALSE),"Assign - whose tip is it?",IF(IF(E951="Deposit",IF(H951="",I951="",FALSE),FALSE),"Check - deposit not tied to a booking",IF(M951="No","Due - not reconciled yet","OK"))))))))</f>
        <v>0</v>
      </c>
    </row>
    <row r="952" spans="1:23">
      <c r="A952" s="28">
        <f>IF(B952="","",PaymentPrefix&amp;TEXT(ROW()-4,"0000"))</f>
        <v>0</v>
      </c>
      <c r="D952" s="15">
        <f>IF(C952="","",IFERROR(INDEX(Clients!$B$5:$B$504,MATCH(C952,Clients!$A$5:$A$504,0)),"Walk-in"))</f>
        <v>0</v>
      </c>
      <c r="K952" s="15">
        <f>IF(J952="","",IFERROR(INDEX(Staff!$B$5:$B$44,MATCH(J952,Staff!$A$5:$A$44,0)),""))</f>
        <v>0</v>
      </c>
      <c r="O952" s="15">
        <f>IF(B952="","",TEXT(B952,"yyyy-mm"))</f>
        <v>0</v>
      </c>
      <c r="P952" s="25">
        <f>IF(B952="","",WEEKNUM(B952,2))</f>
        <v>0</v>
      </c>
      <c r="Q952" s="38">
        <f>IF(B952="","",IF(E952="Tip","No",IF(E952="Refund","No","Yes")))</f>
        <v>0</v>
      </c>
      <c r="R952" s="25">
        <f>IF(B952="","",IF(E952="Refund",-1,1))</f>
        <v>0</v>
      </c>
      <c r="S952" s="26">
        <f>IF(B952="","",IF(G952="",0,IF(F952="Card",ROUND(G952*CardFeePercent+CardFeeFixed,2),IF(F952="Online deposit",ROUND(G952*CardFeePercent+CardFeeFixed,2),0))))</f>
        <v>0</v>
      </c>
      <c r="T952" s="26">
        <f>IF(B952="","",ROUND(IF(G952="",0,G952)*R952-S952,2))</f>
        <v>0</v>
      </c>
      <c r="U952" s="38">
        <f>IF(B952="","",IF(E952="Tip","Yes","No"))</f>
        <v>0</v>
      </c>
      <c r="V952" s="15">
        <f>IF(B952="","",IF(H952&lt;&gt;"","Sale "&amp;H952,IF(I952&lt;&gt;"","Booking "&amp;I952,IF(E952="Tip","Stylist","Unapplied"))))</f>
        <v>0</v>
      </c>
      <c r="W952" s="39">
        <f>IF(B952="","",IF(G952="","Add - no amount yet",IF(E952="","Add - what was this for?",IF(IF(H952="",FALSE,COUNTIF(Sales!$A$5:$A$1204,H952)=0),"Missing - no sale with that ID",IF(IF(I952="",FALSE,COUNTIF(Appointments!$A$5:$A$1204,I952)=0),"Missing - no booking with that ID",IF(IF(E952="Tip",J952="",FALSE),"Assign - whose tip is it?",IF(IF(E952="Deposit",IF(H952="",I952="",FALSE),FALSE),"Check - deposit not tied to a booking",IF(M952="No","Due - not reconciled yet","OK"))))))))</f>
        <v>0</v>
      </c>
    </row>
    <row r="953" spans="1:23">
      <c r="A953" s="28">
        <f>IF(B953="","",PaymentPrefix&amp;TEXT(ROW()-4,"0000"))</f>
        <v>0</v>
      </c>
      <c r="D953" s="15">
        <f>IF(C953="","",IFERROR(INDEX(Clients!$B$5:$B$504,MATCH(C953,Clients!$A$5:$A$504,0)),"Walk-in"))</f>
        <v>0</v>
      </c>
      <c r="K953" s="15">
        <f>IF(J953="","",IFERROR(INDEX(Staff!$B$5:$B$44,MATCH(J953,Staff!$A$5:$A$44,0)),""))</f>
        <v>0</v>
      </c>
      <c r="O953" s="15">
        <f>IF(B953="","",TEXT(B953,"yyyy-mm"))</f>
        <v>0</v>
      </c>
      <c r="P953" s="25">
        <f>IF(B953="","",WEEKNUM(B953,2))</f>
        <v>0</v>
      </c>
      <c r="Q953" s="38">
        <f>IF(B953="","",IF(E953="Tip","No",IF(E953="Refund","No","Yes")))</f>
        <v>0</v>
      </c>
      <c r="R953" s="25">
        <f>IF(B953="","",IF(E953="Refund",-1,1))</f>
        <v>0</v>
      </c>
      <c r="S953" s="26">
        <f>IF(B953="","",IF(G953="",0,IF(F953="Card",ROUND(G953*CardFeePercent+CardFeeFixed,2),IF(F953="Online deposit",ROUND(G953*CardFeePercent+CardFeeFixed,2),0))))</f>
        <v>0</v>
      </c>
      <c r="T953" s="26">
        <f>IF(B953="","",ROUND(IF(G953="",0,G953)*R953-S953,2))</f>
        <v>0</v>
      </c>
      <c r="U953" s="38">
        <f>IF(B953="","",IF(E953="Tip","Yes","No"))</f>
        <v>0</v>
      </c>
      <c r="V953" s="15">
        <f>IF(B953="","",IF(H953&lt;&gt;"","Sale "&amp;H953,IF(I953&lt;&gt;"","Booking "&amp;I953,IF(E953="Tip","Stylist","Unapplied"))))</f>
        <v>0</v>
      </c>
      <c r="W953" s="39">
        <f>IF(B953="","",IF(G953="","Add - no amount yet",IF(E953="","Add - what was this for?",IF(IF(H953="",FALSE,COUNTIF(Sales!$A$5:$A$1204,H953)=0),"Missing - no sale with that ID",IF(IF(I953="",FALSE,COUNTIF(Appointments!$A$5:$A$1204,I953)=0),"Missing - no booking with that ID",IF(IF(E953="Tip",J953="",FALSE),"Assign - whose tip is it?",IF(IF(E953="Deposit",IF(H953="",I953="",FALSE),FALSE),"Check - deposit not tied to a booking",IF(M953="No","Due - not reconciled yet","OK"))))))))</f>
        <v>0</v>
      </c>
    </row>
    <row r="954" spans="1:23">
      <c r="A954" s="28">
        <f>IF(B954="","",PaymentPrefix&amp;TEXT(ROW()-4,"0000"))</f>
        <v>0</v>
      </c>
      <c r="D954" s="15">
        <f>IF(C954="","",IFERROR(INDEX(Clients!$B$5:$B$504,MATCH(C954,Clients!$A$5:$A$504,0)),"Walk-in"))</f>
        <v>0</v>
      </c>
      <c r="K954" s="15">
        <f>IF(J954="","",IFERROR(INDEX(Staff!$B$5:$B$44,MATCH(J954,Staff!$A$5:$A$44,0)),""))</f>
        <v>0</v>
      </c>
      <c r="O954" s="15">
        <f>IF(B954="","",TEXT(B954,"yyyy-mm"))</f>
        <v>0</v>
      </c>
      <c r="P954" s="25">
        <f>IF(B954="","",WEEKNUM(B954,2))</f>
        <v>0</v>
      </c>
      <c r="Q954" s="38">
        <f>IF(B954="","",IF(E954="Tip","No",IF(E954="Refund","No","Yes")))</f>
        <v>0</v>
      </c>
      <c r="R954" s="25">
        <f>IF(B954="","",IF(E954="Refund",-1,1))</f>
        <v>0</v>
      </c>
      <c r="S954" s="26">
        <f>IF(B954="","",IF(G954="",0,IF(F954="Card",ROUND(G954*CardFeePercent+CardFeeFixed,2),IF(F954="Online deposit",ROUND(G954*CardFeePercent+CardFeeFixed,2),0))))</f>
        <v>0</v>
      </c>
      <c r="T954" s="26">
        <f>IF(B954="","",ROUND(IF(G954="",0,G954)*R954-S954,2))</f>
        <v>0</v>
      </c>
      <c r="U954" s="38">
        <f>IF(B954="","",IF(E954="Tip","Yes","No"))</f>
        <v>0</v>
      </c>
      <c r="V954" s="15">
        <f>IF(B954="","",IF(H954&lt;&gt;"","Sale "&amp;H954,IF(I954&lt;&gt;"","Booking "&amp;I954,IF(E954="Tip","Stylist","Unapplied"))))</f>
        <v>0</v>
      </c>
      <c r="W954" s="39">
        <f>IF(B954="","",IF(G954="","Add - no amount yet",IF(E954="","Add - what was this for?",IF(IF(H954="",FALSE,COUNTIF(Sales!$A$5:$A$1204,H954)=0),"Missing - no sale with that ID",IF(IF(I954="",FALSE,COUNTIF(Appointments!$A$5:$A$1204,I954)=0),"Missing - no booking with that ID",IF(IF(E954="Tip",J954="",FALSE),"Assign - whose tip is it?",IF(IF(E954="Deposit",IF(H954="",I954="",FALSE),FALSE),"Check - deposit not tied to a booking",IF(M954="No","Due - not reconciled yet","OK"))))))))</f>
        <v>0</v>
      </c>
    </row>
    <row r="955" spans="1:23">
      <c r="A955" s="28">
        <f>IF(B955="","",PaymentPrefix&amp;TEXT(ROW()-4,"0000"))</f>
        <v>0</v>
      </c>
      <c r="D955" s="15">
        <f>IF(C955="","",IFERROR(INDEX(Clients!$B$5:$B$504,MATCH(C955,Clients!$A$5:$A$504,0)),"Walk-in"))</f>
        <v>0</v>
      </c>
      <c r="K955" s="15">
        <f>IF(J955="","",IFERROR(INDEX(Staff!$B$5:$B$44,MATCH(J955,Staff!$A$5:$A$44,0)),""))</f>
        <v>0</v>
      </c>
      <c r="O955" s="15">
        <f>IF(B955="","",TEXT(B955,"yyyy-mm"))</f>
        <v>0</v>
      </c>
      <c r="P955" s="25">
        <f>IF(B955="","",WEEKNUM(B955,2))</f>
        <v>0</v>
      </c>
      <c r="Q955" s="38">
        <f>IF(B955="","",IF(E955="Tip","No",IF(E955="Refund","No","Yes")))</f>
        <v>0</v>
      </c>
      <c r="R955" s="25">
        <f>IF(B955="","",IF(E955="Refund",-1,1))</f>
        <v>0</v>
      </c>
      <c r="S955" s="26">
        <f>IF(B955="","",IF(G955="",0,IF(F955="Card",ROUND(G955*CardFeePercent+CardFeeFixed,2),IF(F955="Online deposit",ROUND(G955*CardFeePercent+CardFeeFixed,2),0))))</f>
        <v>0</v>
      </c>
      <c r="T955" s="26">
        <f>IF(B955="","",ROUND(IF(G955="",0,G955)*R955-S955,2))</f>
        <v>0</v>
      </c>
      <c r="U955" s="38">
        <f>IF(B955="","",IF(E955="Tip","Yes","No"))</f>
        <v>0</v>
      </c>
      <c r="V955" s="15">
        <f>IF(B955="","",IF(H955&lt;&gt;"","Sale "&amp;H955,IF(I955&lt;&gt;"","Booking "&amp;I955,IF(E955="Tip","Stylist","Unapplied"))))</f>
        <v>0</v>
      </c>
      <c r="W955" s="39">
        <f>IF(B955="","",IF(G955="","Add - no amount yet",IF(E955="","Add - what was this for?",IF(IF(H955="",FALSE,COUNTIF(Sales!$A$5:$A$1204,H955)=0),"Missing - no sale with that ID",IF(IF(I955="",FALSE,COUNTIF(Appointments!$A$5:$A$1204,I955)=0),"Missing - no booking with that ID",IF(IF(E955="Tip",J955="",FALSE),"Assign - whose tip is it?",IF(IF(E955="Deposit",IF(H955="",I955="",FALSE),FALSE),"Check - deposit not tied to a booking",IF(M955="No","Due - not reconciled yet","OK"))))))))</f>
        <v>0</v>
      </c>
    </row>
    <row r="956" spans="1:23">
      <c r="A956" s="28">
        <f>IF(B956="","",PaymentPrefix&amp;TEXT(ROW()-4,"0000"))</f>
        <v>0</v>
      </c>
      <c r="D956" s="15">
        <f>IF(C956="","",IFERROR(INDEX(Clients!$B$5:$B$504,MATCH(C956,Clients!$A$5:$A$504,0)),"Walk-in"))</f>
        <v>0</v>
      </c>
      <c r="K956" s="15">
        <f>IF(J956="","",IFERROR(INDEX(Staff!$B$5:$B$44,MATCH(J956,Staff!$A$5:$A$44,0)),""))</f>
        <v>0</v>
      </c>
      <c r="O956" s="15">
        <f>IF(B956="","",TEXT(B956,"yyyy-mm"))</f>
        <v>0</v>
      </c>
      <c r="P956" s="25">
        <f>IF(B956="","",WEEKNUM(B956,2))</f>
        <v>0</v>
      </c>
      <c r="Q956" s="38">
        <f>IF(B956="","",IF(E956="Tip","No",IF(E956="Refund","No","Yes")))</f>
        <v>0</v>
      </c>
      <c r="R956" s="25">
        <f>IF(B956="","",IF(E956="Refund",-1,1))</f>
        <v>0</v>
      </c>
      <c r="S956" s="26">
        <f>IF(B956="","",IF(G956="",0,IF(F956="Card",ROUND(G956*CardFeePercent+CardFeeFixed,2),IF(F956="Online deposit",ROUND(G956*CardFeePercent+CardFeeFixed,2),0))))</f>
        <v>0</v>
      </c>
      <c r="T956" s="26">
        <f>IF(B956="","",ROUND(IF(G956="",0,G956)*R956-S956,2))</f>
        <v>0</v>
      </c>
      <c r="U956" s="38">
        <f>IF(B956="","",IF(E956="Tip","Yes","No"))</f>
        <v>0</v>
      </c>
      <c r="V956" s="15">
        <f>IF(B956="","",IF(H956&lt;&gt;"","Sale "&amp;H956,IF(I956&lt;&gt;"","Booking "&amp;I956,IF(E956="Tip","Stylist","Unapplied"))))</f>
        <v>0</v>
      </c>
      <c r="W956" s="39">
        <f>IF(B956="","",IF(G956="","Add - no amount yet",IF(E956="","Add - what was this for?",IF(IF(H956="",FALSE,COUNTIF(Sales!$A$5:$A$1204,H956)=0),"Missing - no sale with that ID",IF(IF(I956="",FALSE,COUNTIF(Appointments!$A$5:$A$1204,I956)=0),"Missing - no booking with that ID",IF(IF(E956="Tip",J956="",FALSE),"Assign - whose tip is it?",IF(IF(E956="Deposit",IF(H956="",I956="",FALSE),FALSE),"Check - deposit not tied to a booking",IF(M956="No","Due - not reconciled yet","OK"))))))))</f>
        <v>0</v>
      </c>
    </row>
    <row r="957" spans="1:23">
      <c r="A957" s="28">
        <f>IF(B957="","",PaymentPrefix&amp;TEXT(ROW()-4,"0000"))</f>
        <v>0</v>
      </c>
      <c r="D957" s="15">
        <f>IF(C957="","",IFERROR(INDEX(Clients!$B$5:$B$504,MATCH(C957,Clients!$A$5:$A$504,0)),"Walk-in"))</f>
        <v>0</v>
      </c>
      <c r="K957" s="15">
        <f>IF(J957="","",IFERROR(INDEX(Staff!$B$5:$B$44,MATCH(J957,Staff!$A$5:$A$44,0)),""))</f>
        <v>0</v>
      </c>
      <c r="O957" s="15">
        <f>IF(B957="","",TEXT(B957,"yyyy-mm"))</f>
        <v>0</v>
      </c>
      <c r="P957" s="25">
        <f>IF(B957="","",WEEKNUM(B957,2))</f>
        <v>0</v>
      </c>
      <c r="Q957" s="38">
        <f>IF(B957="","",IF(E957="Tip","No",IF(E957="Refund","No","Yes")))</f>
        <v>0</v>
      </c>
      <c r="R957" s="25">
        <f>IF(B957="","",IF(E957="Refund",-1,1))</f>
        <v>0</v>
      </c>
      <c r="S957" s="26">
        <f>IF(B957="","",IF(G957="",0,IF(F957="Card",ROUND(G957*CardFeePercent+CardFeeFixed,2),IF(F957="Online deposit",ROUND(G957*CardFeePercent+CardFeeFixed,2),0))))</f>
        <v>0</v>
      </c>
      <c r="T957" s="26">
        <f>IF(B957="","",ROUND(IF(G957="",0,G957)*R957-S957,2))</f>
        <v>0</v>
      </c>
      <c r="U957" s="38">
        <f>IF(B957="","",IF(E957="Tip","Yes","No"))</f>
        <v>0</v>
      </c>
      <c r="V957" s="15">
        <f>IF(B957="","",IF(H957&lt;&gt;"","Sale "&amp;H957,IF(I957&lt;&gt;"","Booking "&amp;I957,IF(E957="Tip","Stylist","Unapplied"))))</f>
        <v>0</v>
      </c>
      <c r="W957" s="39">
        <f>IF(B957="","",IF(G957="","Add - no amount yet",IF(E957="","Add - what was this for?",IF(IF(H957="",FALSE,COUNTIF(Sales!$A$5:$A$1204,H957)=0),"Missing - no sale with that ID",IF(IF(I957="",FALSE,COUNTIF(Appointments!$A$5:$A$1204,I957)=0),"Missing - no booking with that ID",IF(IF(E957="Tip",J957="",FALSE),"Assign - whose tip is it?",IF(IF(E957="Deposit",IF(H957="",I957="",FALSE),FALSE),"Check - deposit not tied to a booking",IF(M957="No","Due - not reconciled yet","OK"))))))))</f>
        <v>0</v>
      </c>
    </row>
    <row r="958" spans="1:23">
      <c r="A958" s="28">
        <f>IF(B958="","",PaymentPrefix&amp;TEXT(ROW()-4,"0000"))</f>
        <v>0</v>
      </c>
      <c r="D958" s="15">
        <f>IF(C958="","",IFERROR(INDEX(Clients!$B$5:$B$504,MATCH(C958,Clients!$A$5:$A$504,0)),"Walk-in"))</f>
        <v>0</v>
      </c>
      <c r="K958" s="15">
        <f>IF(J958="","",IFERROR(INDEX(Staff!$B$5:$B$44,MATCH(J958,Staff!$A$5:$A$44,0)),""))</f>
        <v>0</v>
      </c>
      <c r="O958" s="15">
        <f>IF(B958="","",TEXT(B958,"yyyy-mm"))</f>
        <v>0</v>
      </c>
      <c r="P958" s="25">
        <f>IF(B958="","",WEEKNUM(B958,2))</f>
        <v>0</v>
      </c>
      <c r="Q958" s="38">
        <f>IF(B958="","",IF(E958="Tip","No",IF(E958="Refund","No","Yes")))</f>
        <v>0</v>
      </c>
      <c r="R958" s="25">
        <f>IF(B958="","",IF(E958="Refund",-1,1))</f>
        <v>0</v>
      </c>
      <c r="S958" s="26">
        <f>IF(B958="","",IF(G958="",0,IF(F958="Card",ROUND(G958*CardFeePercent+CardFeeFixed,2),IF(F958="Online deposit",ROUND(G958*CardFeePercent+CardFeeFixed,2),0))))</f>
        <v>0</v>
      </c>
      <c r="T958" s="26">
        <f>IF(B958="","",ROUND(IF(G958="",0,G958)*R958-S958,2))</f>
        <v>0</v>
      </c>
      <c r="U958" s="38">
        <f>IF(B958="","",IF(E958="Tip","Yes","No"))</f>
        <v>0</v>
      </c>
      <c r="V958" s="15">
        <f>IF(B958="","",IF(H958&lt;&gt;"","Sale "&amp;H958,IF(I958&lt;&gt;"","Booking "&amp;I958,IF(E958="Tip","Stylist","Unapplied"))))</f>
        <v>0</v>
      </c>
      <c r="W958" s="39">
        <f>IF(B958="","",IF(G958="","Add - no amount yet",IF(E958="","Add - what was this for?",IF(IF(H958="",FALSE,COUNTIF(Sales!$A$5:$A$1204,H958)=0),"Missing - no sale with that ID",IF(IF(I958="",FALSE,COUNTIF(Appointments!$A$5:$A$1204,I958)=0),"Missing - no booking with that ID",IF(IF(E958="Tip",J958="",FALSE),"Assign - whose tip is it?",IF(IF(E958="Deposit",IF(H958="",I958="",FALSE),FALSE),"Check - deposit not tied to a booking",IF(M958="No","Due - not reconciled yet","OK"))))))))</f>
        <v>0</v>
      </c>
    </row>
    <row r="959" spans="1:23">
      <c r="A959" s="28">
        <f>IF(B959="","",PaymentPrefix&amp;TEXT(ROW()-4,"0000"))</f>
        <v>0</v>
      </c>
      <c r="D959" s="15">
        <f>IF(C959="","",IFERROR(INDEX(Clients!$B$5:$B$504,MATCH(C959,Clients!$A$5:$A$504,0)),"Walk-in"))</f>
        <v>0</v>
      </c>
      <c r="K959" s="15">
        <f>IF(J959="","",IFERROR(INDEX(Staff!$B$5:$B$44,MATCH(J959,Staff!$A$5:$A$44,0)),""))</f>
        <v>0</v>
      </c>
      <c r="O959" s="15">
        <f>IF(B959="","",TEXT(B959,"yyyy-mm"))</f>
        <v>0</v>
      </c>
      <c r="P959" s="25">
        <f>IF(B959="","",WEEKNUM(B959,2))</f>
        <v>0</v>
      </c>
      <c r="Q959" s="38">
        <f>IF(B959="","",IF(E959="Tip","No",IF(E959="Refund","No","Yes")))</f>
        <v>0</v>
      </c>
      <c r="R959" s="25">
        <f>IF(B959="","",IF(E959="Refund",-1,1))</f>
        <v>0</v>
      </c>
      <c r="S959" s="26">
        <f>IF(B959="","",IF(G959="",0,IF(F959="Card",ROUND(G959*CardFeePercent+CardFeeFixed,2),IF(F959="Online deposit",ROUND(G959*CardFeePercent+CardFeeFixed,2),0))))</f>
        <v>0</v>
      </c>
      <c r="T959" s="26">
        <f>IF(B959="","",ROUND(IF(G959="",0,G959)*R959-S959,2))</f>
        <v>0</v>
      </c>
      <c r="U959" s="38">
        <f>IF(B959="","",IF(E959="Tip","Yes","No"))</f>
        <v>0</v>
      </c>
      <c r="V959" s="15">
        <f>IF(B959="","",IF(H959&lt;&gt;"","Sale "&amp;H959,IF(I959&lt;&gt;"","Booking "&amp;I959,IF(E959="Tip","Stylist","Unapplied"))))</f>
        <v>0</v>
      </c>
      <c r="W959" s="39">
        <f>IF(B959="","",IF(G959="","Add - no amount yet",IF(E959="","Add - what was this for?",IF(IF(H959="",FALSE,COUNTIF(Sales!$A$5:$A$1204,H959)=0),"Missing - no sale with that ID",IF(IF(I959="",FALSE,COUNTIF(Appointments!$A$5:$A$1204,I959)=0),"Missing - no booking with that ID",IF(IF(E959="Tip",J959="",FALSE),"Assign - whose tip is it?",IF(IF(E959="Deposit",IF(H959="",I959="",FALSE),FALSE),"Check - deposit not tied to a booking",IF(M959="No","Due - not reconciled yet","OK"))))))))</f>
        <v>0</v>
      </c>
    </row>
    <row r="960" spans="1:23">
      <c r="A960" s="28">
        <f>IF(B960="","",PaymentPrefix&amp;TEXT(ROW()-4,"0000"))</f>
        <v>0</v>
      </c>
      <c r="D960" s="15">
        <f>IF(C960="","",IFERROR(INDEX(Clients!$B$5:$B$504,MATCH(C960,Clients!$A$5:$A$504,0)),"Walk-in"))</f>
        <v>0</v>
      </c>
      <c r="K960" s="15">
        <f>IF(J960="","",IFERROR(INDEX(Staff!$B$5:$B$44,MATCH(J960,Staff!$A$5:$A$44,0)),""))</f>
        <v>0</v>
      </c>
      <c r="O960" s="15">
        <f>IF(B960="","",TEXT(B960,"yyyy-mm"))</f>
        <v>0</v>
      </c>
      <c r="P960" s="25">
        <f>IF(B960="","",WEEKNUM(B960,2))</f>
        <v>0</v>
      </c>
      <c r="Q960" s="38">
        <f>IF(B960="","",IF(E960="Tip","No",IF(E960="Refund","No","Yes")))</f>
        <v>0</v>
      </c>
      <c r="R960" s="25">
        <f>IF(B960="","",IF(E960="Refund",-1,1))</f>
        <v>0</v>
      </c>
      <c r="S960" s="26">
        <f>IF(B960="","",IF(G960="",0,IF(F960="Card",ROUND(G960*CardFeePercent+CardFeeFixed,2),IF(F960="Online deposit",ROUND(G960*CardFeePercent+CardFeeFixed,2),0))))</f>
        <v>0</v>
      </c>
      <c r="T960" s="26">
        <f>IF(B960="","",ROUND(IF(G960="",0,G960)*R960-S960,2))</f>
        <v>0</v>
      </c>
      <c r="U960" s="38">
        <f>IF(B960="","",IF(E960="Tip","Yes","No"))</f>
        <v>0</v>
      </c>
      <c r="V960" s="15">
        <f>IF(B960="","",IF(H960&lt;&gt;"","Sale "&amp;H960,IF(I960&lt;&gt;"","Booking "&amp;I960,IF(E960="Tip","Stylist","Unapplied"))))</f>
        <v>0</v>
      </c>
      <c r="W960" s="39">
        <f>IF(B960="","",IF(G960="","Add - no amount yet",IF(E960="","Add - what was this for?",IF(IF(H960="",FALSE,COUNTIF(Sales!$A$5:$A$1204,H960)=0),"Missing - no sale with that ID",IF(IF(I960="",FALSE,COUNTIF(Appointments!$A$5:$A$1204,I960)=0),"Missing - no booking with that ID",IF(IF(E960="Tip",J960="",FALSE),"Assign - whose tip is it?",IF(IF(E960="Deposit",IF(H960="",I960="",FALSE),FALSE),"Check - deposit not tied to a booking",IF(M960="No","Due - not reconciled yet","OK"))))))))</f>
        <v>0</v>
      </c>
    </row>
    <row r="961" spans="1:23">
      <c r="A961" s="28">
        <f>IF(B961="","",PaymentPrefix&amp;TEXT(ROW()-4,"0000"))</f>
        <v>0</v>
      </c>
      <c r="D961" s="15">
        <f>IF(C961="","",IFERROR(INDEX(Clients!$B$5:$B$504,MATCH(C961,Clients!$A$5:$A$504,0)),"Walk-in"))</f>
        <v>0</v>
      </c>
      <c r="K961" s="15">
        <f>IF(J961="","",IFERROR(INDEX(Staff!$B$5:$B$44,MATCH(J961,Staff!$A$5:$A$44,0)),""))</f>
        <v>0</v>
      </c>
      <c r="O961" s="15">
        <f>IF(B961="","",TEXT(B961,"yyyy-mm"))</f>
        <v>0</v>
      </c>
      <c r="P961" s="25">
        <f>IF(B961="","",WEEKNUM(B961,2))</f>
        <v>0</v>
      </c>
      <c r="Q961" s="38">
        <f>IF(B961="","",IF(E961="Tip","No",IF(E961="Refund","No","Yes")))</f>
        <v>0</v>
      </c>
      <c r="R961" s="25">
        <f>IF(B961="","",IF(E961="Refund",-1,1))</f>
        <v>0</v>
      </c>
      <c r="S961" s="26">
        <f>IF(B961="","",IF(G961="",0,IF(F961="Card",ROUND(G961*CardFeePercent+CardFeeFixed,2),IF(F961="Online deposit",ROUND(G961*CardFeePercent+CardFeeFixed,2),0))))</f>
        <v>0</v>
      </c>
      <c r="T961" s="26">
        <f>IF(B961="","",ROUND(IF(G961="",0,G961)*R961-S961,2))</f>
        <v>0</v>
      </c>
      <c r="U961" s="38">
        <f>IF(B961="","",IF(E961="Tip","Yes","No"))</f>
        <v>0</v>
      </c>
      <c r="V961" s="15">
        <f>IF(B961="","",IF(H961&lt;&gt;"","Sale "&amp;H961,IF(I961&lt;&gt;"","Booking "&amp;I961,IF(E961="Tip","Stylist","Unapplied"))))</f>
        <v>0</v>
      </c>
      <c r="W961" s="39">
        <f>IF(B961="","",IF(G961="","Add - no amount yet",IF(E961="","Add - what was this for?",IF(IF(H961="",FALSE,COUNTIF(Sales!$A$5:$A$1204,H961)=0),"Missing - no sale with that ID",IF(IF(I961="",FALSE,COUNTIF(Appointments!$A$5:$A$1204,I961)=0),"Missing - no booking with that ID",IF(IF(E961="Tip",J961="",FALSE),"Assign - whose tip is it?",IF(IF(E961="Deposit",IF(H961="",I961="",FALSE),FALSE),"Check - deposit not tied to a booking",IF(M961="No","Due - not reconciled yet","OK"))))))))</f>
        <v>0</v>
      </c>
    </row>
    <row r="962" spans="1:23">
      <c r="A962" s="28">
        <f>IF(B962="","",PaymentPrefix&amp;TEXT(ROW()-4,"0000"))</f>
        <v>0</v>
      </c>
      <c r="D962" s="15">
        <f>IF(C962="","",IFERROR(INDEX(Clients!$B$5:$B$504,MATCH(C962,Clients!$A$5:$A$504,0)),"Walk-in"))</f>
        <v>0</v>
      </c>
      <c r="K962" s="15">
        <f>IF(J962="","",IFERROR(INDEX(Staff!$B$5:$B$44,MATCH(J962,Staff!$A$5:$A$44,0)),""))</f>
        <v>0</v>
      </c>
      <c r="O962" s="15">
        <f>IF(B962="","",TEXT(B962,"yyyy-mm"))</f>
        <v>0</v>
      </c>
      <c r="P962" s="25">
        <f>IF(B962="","",WEEKNUM(B962,2))</f>
        <v>0</v>
      </c>
      <c r="Q962" s="38">
        <f>IF(B962="","",IF(E962="Tip","No",IF(E962="Refund","No","Yes")))</f>
        <v>0</v>
      </c>
      <c r="R962" s="25">
        <f>IF(B962="","",IF(E962="Refund",-1,1))</f>
        <v>0</v>
      </c>
      <c r="S962" s="26">
        <f>IF(B962="","",IF(G962="",0,IF(F962="Card",ROUND(G962*CardFeePercent+CardFeeFixed,2),IF(F962="Online deposit",ROUND(G962*CardFeePercent+CardFeeFixed,2),0))))</f>
        <v>0</v>
      </c>
      <c r="T962" s="26">
        <f>IF(B962="","",ROUND(IF(G962="",0,G962)*R962-S962,2))</f>
        <v>0</v>
      </c>
      <c r="U962" s="38">
        <f>IF(B962="","",IF(E962="Tip","Yes","No"))</f>
        <v>0</v>
      </c>
      <c r="V962" s="15">
        <f>IF(B962="","",IF(H962&lt;&gt;"","Sale "&amp;H962,IF(I962&lt;&gt;"","Booking "&amp;I962,IF(E962="Tip","Stylist","Unapplied"))))</f>
        <v>0</v>
      </c>
      <c r="W962" s="39">
        <f>IF(B962="","",IF(G962="","Add - no amount yet",IF(E962="","Add - what was this for?",IF(IF(H962="",FALSE,COUNTIF(Sales!$A$5:$A$1204,H962)=0),"Missing - no sale with that ID",IF(IF(I962="",FALSE,COUNTIF(Appointments!$A$5:$A$1204,I962)=0),"Missing - no booking with that ID",IF(IF(E962="Tip",J962="",FALSE),"Assign - whose tip is it?",IF(IF(E962="Deposit",IF(H962="",I962="",FALSE),FALSE),"Check - deposit not tied to a booking",IF(M962="No","Due - not reconciled yet","OK"))))))))</f>
        <v>0</v>
      </c>
    </row>
    <row r="963" spans="1:23">
      <c r="A963" s="28">
        <f>IF(B963="","",PaymentPrefix&amp;TEXT(ROW()-4,"0000"))</f>
        <v>0</v>
      </c>
      <c r="D963" s="15">
        <f>IF(C963="","",IFERROR(INDEX(Clients!$B$5:$B$504,MATCH(C963,Clients!$A$5:$A$504,0)),"Walk-in"))</f>
        <v>0</v>
      </c>
      <c r="K963" s="15">
        <f>IF(J963="","",IFERROR(INDEX(Staff!$B$5:$B$44,MATCH(J963,Staff!$A$5:$A$44,0)),""))</f>
        <v>0</v>
      </c>
      <c r="O963" s="15">
        <f>IF(B963="","",TEXT(B963,"yyyy-mm"))</f>
        <v>0</v>
      </c>
      <c r="P963" s="25">
        <f>IF(B963="","",WEEKNUM(B963,2))</f>
        <v>0</v>
      </c>
      <c r="Q963" s="38">
        <f>IF(B963="","",IF(E963="Tip","No",IF(E963="Refund","No","Yes")))</f>
        <v>0</v>
      </c>
      <c r="R963" s="25">
        <f>IF(B963="","",IF(E963="Refund",-1,1))</f>
        <v>0</v>
      </c>
      <c r="S963" s="26">
        <f>IF(B963="","",IF(G963="",0,IF(F963="Card",ROUND(G963*CardFeePercent+CardFeeFixed,2),IF(F963="Online deposit",ROUND(G963*CardFeePercent+CardFeeFixed,2),0))))</f>
        <v>0</v>
      </c>
      <c r="T963" s="26">
        <f>IF(B963="","",ROUND(IF(G963="",0,G963)*R963-S963,2))</f>
        <v>0</v>
      </c>
      <c r="U963" s="38">
        <f>IF(B963="","",IF(E963="Tip","Yes","No"))</f>
        <v>0</v>
      </c>
      <c r="V963" s="15">
        <f>IF(B963="","",IF(H963&lt;&gt;"","Sale "&amp;H963,IF(I963&lt;&gt;"","Booking "&amp;I963,IF(E963="Tip","Stylist","Unapplied"))))</f>
        <v>0</v>
      </c>
      <c r="W963" s="39">
        <f>IF(B963="","",IF(G963="","Add - no amount yet",IF(E963="","Add - what was this for?",IF(IF(H963="",FALSE,COUNTIF(Sales!$A$5:$A$1204,H963)=0),"Missing - no sale with that ID",IF(IF(I963="",FALSE,COUNTIF(Appointments!$A$5:$A$1204,I963)=0),"Missing - no booking with that ID",IF(IF(E963="Tip",J963="",FALSE),"Assign - whose tip is it?",IF(IF(E963="Deposit",IF(H963="",I963="",FALSE),FALSE),"Check - deposit not tied to a booking",IF(M963="No","Due - not reconciled yet","OK"))))))))</f>
        <v>0</v>
      </c>
    </row>
    <row r="964" spans="1:23">
      <c r="A964" s="28">
        <f>IF(B964="","",PaymentPrefix&amp;TEXT(ROW()-4,"0000"))</f>
        <v>0</v>
      </c>
      <c r="D964" s="15">
        <f>IF(C964="","",IFERROR(INDEX(Clients!$B$5:$B$504,MATCH(C964,Clients!$A$5:$A$504,0)),"Walk-in"))</f>
        <v>0</v>
      </c>
      <c r="K964" s="15">
        <f>IF(J964="","",IFERROR(INDEX(Staff!$B$5:$B$44,MATCH(J964,Staff!$A$5:$A$44,0)),""))</f>
        <v>0</v>
      </c>
      <c r="O964" s="15">
        <f>IF(B964="","",TEXT(B964,"yyyy-mm"))</f>
        <v>0</v>
      </c>
      <c r="P964" s="25">
        <f>IF(B964="","",WEEKNUM(B964,2))</f>
        <v>0</v>
      </c>
      <c r="Q964" s="38">
        <f>IF(B964="","",IF(E964="Tip","No",IF(E964="Refund","No","Yes")))</f>
        <v>0</v>
      </c>
      <c r="R964" s="25">
        <f>IF(B964="","",IF(E964="Refund",-1,1))</f>
        <v>0</v>
      </c>
      <c r="S964" s="26">
        <f>IF(B964="","",IF(G964="",0,IF(F964="Card",ROUND(G964*CardFeePercent+CardFeeFixed,2),IF(F964="Online deposit",ROUND(G964*CardFeePercent+CardFeeFixed,2),0))))</f>
        <v>0</v>
      </c>
      <c r="T964" s="26">
        <f>IF(B964="","",ROUND(IF(G964="",0,G964)*R964-S964,2))</f>
        <v>0</v>
      </c>
      <c r="U964" s="38">
        <f>IF(B964="","",IF(E964="Tip","Yes","No"))</f>
        <v>0</v>
      </c>
      <c r="V964" s="15">
        <f>IF(B964="","",IF(H964&lt;&gt;"","Sale "&amp;H964,IF(I964&lt;&gt;"","Booking "&amp;I964,IF(E964="Tip","Stylist","Unapplied"))))</f>
        <v>0</v>
      </c>
      <c r="W964" s="39">
        <f>IF(B964="","",IF(G964="","Add - no amount yet",IF(E964="","Add - what was this for?",IF(IF(H964="",FALSE,COUNTIF(Sales!$A$5:$A$1204,H964)=0),"Missing - no sale with that ID",IF(IF(I964="",FALSE,COUNTIF(Appointments!$A$5:$A$1204,I964)=0),"Missing - no booking with that ID",IF(IF(E964="Tip",J964="",FALSE),"Assign - whose tip is it?",IF(IF(E964="Deposit",IF(H964="",I964="",FALSE),FALSE),"Check - deposit not tied to a booking",IF(M964="No","Due - not reconciled yet","OK"))))))))</f>
        <v>0</v>
      </c>
    </row>
    <row r="965" spans="1:23">
      <c r="A965" s="28">
        <f>IF(B965="","",PaymentPrefix&amp;TEXT(ROW()-4,"0000"))</f>
        <v>0</v>
      </c>
      <c r="D965" s="15">
        <f>IF(C965="","",IFERROR(INDEX(Clients!$B$5:$B$504,MATCH(C965,Clients!$A$5:$A$504,0)),"Walk-in"))</f>
        <v>0</v>
      </c>
      <c r="K965" s="15">
        <f>IF(J965="","",IFERROR(INDEX(Staff!$B$5:$B$44,MATCH(J965,Staff!$A$5:$A$44,0)),""))</f>
        <v>0</v>
      </c>
      <c r="O965" s="15">
        <f>IF(B965="","",TEXT(B965,"yyyy-mm"))</f>
        <v>0</v>
      </c>
      <c r="P965" s="25">
        <f>IF(B965="","",WEEKNUM(B965,2))</f>
        <v>0</v>
      </c>
      <c r="Q965" s="38">
        <f>IF(B965="","",IF(E965="Tip","No",IF(E965="Refund","No","Yes")))</f>
        <v>0</v>
      </c>
      <c r="R965" s="25">
        <f>IF(B965="","",IF(E965="Refund",-1,1))</f>
        <v>0</v>
      </c>
      <c r="S965" s="26">
        <f>IF(B965="","",IF(G965="",0,IF(F965="Card",ROUND(G965*CardFeePercent+CardFeeFixed,2),IF(F965="Online deposit",ROUND(G965*CardFeePercent+CardFeeFixed,2),0))))</f>
        <v>0</v>
      </c>
      <c r="T965" s="26">
        <f>IF(B965="","",ROUND(IF(G965="",0,G965)*R965-S965,2))</f>
        <v>0</v>
      </c>
      <c r="U965" s="38">
        <f>IF(B965="","",IF(E965="Tip","Yes","No"))</f>
        <v>0</v>
      </c>
      <c r="V965" s="15">
        <f>IF(B965="","",IF(H965&lt;&gt;"","Sale "&amp;H965,IF(I965&lt;&gt;"","Booking "&amp;I965,IF(E965="Tip","Stylist","Unapplied"))))</f>
        <v>0</v>
      </c>
      <c r="W965" s="39">
        <f>IF(B965="","",IF(G965="","Add - no amount yet",IF(E965="","Add - what was this for?",IF(IF(H965="",FALSE,COUNTIF(Sales!$A$5:$A$1204,H965)=0),"Missing - no sale with that ID",IF(IF(I965="",FALSE,COUNTIF(Appointments!$A$5:$A$1204,I965)=0),"Missing - no booking with that ID",IF(IF(E965="Tip",J965="",FALSE),"Assign - whose tip is it?",IF(IF(E965="Deposit",IF(H965="",I965="",FALSE),FALSE),"Check - deposit not tied to a booking",IF(M965="No","Due - not reconciled yet","OK"))))))))</f>
        <v>0</v>
      </c>
    </row>
    <row r="966" spans="1:23">
      <c r="A966" s="28">
        <f>IF(B966="","",PaymentPrefix&amp;TEXT(ROW()-4,"0000"))</f>
        <v>0</v>
      </c>
      <c r="D966" s="15">
        <f>IF(C966="","",IFERROR(INDEX(Clients!$B$5:$B$504,MATCH(C966,Clients!$A$5:$A$504,0)),"Walk-in"))</f>
        <v>0</v>
      </c>
      <c r="K966" s="15">
        <f>IF(J966="","",IFERROR(INDEX(Staff!$B$5:$B$44,MATCH(J966,Staff!$A$5:$A$44,0)),""))</f>
        <v>0</v>
      </c>
      <c r="O966" s="15">
        <f>IF(B966="","",TEXT(B966,"yyyy-mm"))</f>
        <v>0</v>
      </c>
      <c r="P966" s="25">
        <f>IF(B966="","",WEEKNUM(B966,2))</f>
        <v>0</v>
      </c>
      <c r="Q966" s="38">
        <f>IF(B966="","",IF(E966="Tip","No",IF(E966="Refund","No","Yes")))</f>
        <v>0</v>
      </c>
      <c r="R966" s="25">
        <f>IF(B966="","",IF(E966="Refund",-1,1))</f>
        <v>0</v>
      </c>
      <c r="S966" s="26">
        <f>IF(B966="","",IF(G966="",0,IF(F966="Card",ROUND(G966*CardFeePercent+CardFeeFixed,2),IF(F966="Online deposit",ROUND(G966*CardFeePercent+CardFeeFixed,2),0))))</f>
        <v>0</v>
      </c>
      <c r="T966" s="26">
        <f>IF(B966="","",ROUND(IF(G966="",0,G966)*R966-S966,2))</f>
        <v>0</v>
      </c>
      <c r="U966" s="38">
        <f>IF(B966="","",IF(E966="Tip","Yes","No"))</f>
        <v>0</v>
      </c>
      <c r="V966" s="15">
        <f>IF(B966="","",IF(H966&lt;&gt;"","Sale "&amp;H966,IF(I966&lt;&gt;"","Booking "&amp;I966,IF(E966="Tip","Stylist","Unapplied"))))</f>
        <v>0</v>
      </c>
      <c r="W966" s="39">
        <f>IF(B966="","",IF(G966="","Add - no amount yet",IF(E966="","Add - what was this for?",IF(IF(H966="",FALSE,COUNTIF(Sales!$A$5:$A$1204,H966)=0),"Missing - no sale with that ID",IF(IF(I966="",FALSE,COUNTIF(Appointments!$A$5:$A$1204,I966)=0),"Missing - no booking with that ID",IF(IF(E966="Tip",J966="",FALSE),"Assign - whose tip is it?",IF(IF(E966="Deposit",IF(H966="",I966="",FALSE),FALSE),"Check - deposit not tied to a booking",IF(M966="No","Due - not reconciled yet","OK"))))))))</f>
        <v>0</v>
      </c>
    </row>
    <row r="967" spans="1:23">
      <c r="A967" s="28">
        <f>IF(B967="","",PaymentPrefix&amp;TEXT(ROW()-4,"0000"))</f>
        <v>0</v>
      </c>
      <c r="D967" s="15">
        <f>IF(C967="","",IFERROR(INDEX(Clients!$B$5:$B$504,MATCH(C967,Clients!$A$5:$A$504,0)),"Walk-in"))</f>
        <v>0</v>
      </c>
      <c r="K967" s="15">
        <f>IF(J967="","",IFERROR(INDEX(Staff!$B$5:$B$44,MATCH(J967,Staff!$A$5:$A$44,0)),""))</f>
        <v>0</v>
      </c>
      <c r="O967" s="15">
        <f>IF(B967="","",TEXT(B967,"yyyy-mm"))</f>
        <v>0</v>
      </c>
      <c r="P967" s="25">
        <f>IF(B967="","",WEEKNUM(B967,2))</f>
        <v>0</v>
      </c>
      <c r="Q967" s="38">
        <f>IF(B967="","",IF(E967="Tip","No",IF(E967="Refund","No","Yes")))</f>
        <v>0</v>
      </c>
      <c r="R967" s="25">
        <f>IF(B967="","",IF(E967="Refund",-1,1))</f>
        <v>0</v>
      </c>
      <c r="S967" s="26">
        <f>IF(B967="","",IF(G967="",0,IF(F967="Card",ROUND(G967*CardFeePercent+CardFeeFixed,2),IF(F967="Online deposit",ROUND(G967*CardFeePercent+CardFeeFixed,2),0))))</f>
        <v>0</v>
      </c>
      <c r="T967" s="26">
        <f>IF(B967="","",ROUND(IF(G967="",0,G967)*R967-S967,2))</f>
        <v>0</v>
      </c>
      <c r="U967" s="38">
        <f>IF(B967="","",IF(E967="Tip","Yes","No"))</f>
        <v>0</v>
      </c>
      <c r="V967" s="15">
        <f>IF(B967="","",IF(H967&lt;&gt;"","Sale "&amp;H967,IF(I967&lt;&gt;"","Booking "&amp;I967,IF(E967="Tip","Stylist","Unapplied"))))</f>
        <v>0</v>
      </c>
      <c r="W967" s="39">
        <f>IF(B967="","",IF(G967="","Add - no amount yet",IF(E967="","Add - what was this for?",IF(IF(H967="",FALSE,COUNTIF(Sales!$A$5:$A$1204,H967)=0),"Missing - no sale with that ID",IF(IF(I967="",FALSE,COUNTIF(Appointments!$A$5:$A$1204,I967)=0),"Missing - no booking with that ID",IF(IF(E967="Tip",J967="",FALSE),"Assign - whose tip is it?",IF(IF(E967="Deposit",IF(H967="",I967="",FALSE),FALSE),"Check - deposit not tied to a booking",IF(M967="No","Due - not reconciled yet","OK"))))))))</f>
        <v>0</v>
      </c>
    </row>
    <row r="968" spans="1:23">
      <c r="A968" s="28">
        <f>IF(B968="","",PaymentPrefix&amp;TEXT(ROW()-4,"0000"))</f>
        <v>0</v>
      </c>
      <c r="D968" s="15">
        <f>IF(C968="","",IFERROR(INDEX(Clients!$B$5:$B$504,MATCH(C968,Clients!$A$5:$A$504,0)),"Walk-in"))</f>
        <v>0</v>
      </c>
      <c r="K968" s="15">
        <f>IF(J968="","",IFERROR(INDEX(Staff!$B$5:$B$44,MATCH(J968,Staff!$A$5:$A$44,0)),""))</f>
        <v>0</v>
      </c>
      <c r="O968" s="15">
        <f>IF(B968="","",TEXT(B968,"yyyy-mm"))</f>
        <v>0</v>
      </c>
      <c r="P968" s="25">
        <f>IF(B968="","",WEEKNUM(B968,2))</f>
        <v>0</v>
      </c>
      <c r="Q968" s="38">
        <f>IF(B968="","",IF(E968="Tip","No",IF(E968="Refund","No","Yes")))</f>
        <v>0</v>
      </c>
      <c r="R968" s="25">
        <f>IF(B968="","",IF(E968="Refund",-1,1))</f>
        <v>0</v>
      </c>
      <c r="S968" s="26">
        <f>IF(B968="","",IF(G968="",0,IF(F968="Card",ROUND(G968*CardFeePercent+CardFeeFixed,2),IF(F968="Online deposit",ROUND(G968*CardFeePercent+CardFeeFixed,2),0))))</f>
        <v>0</v>
      </c>
      <c r="T968" s="26">
        <f>IF(B968="","",ROUND(IF(G968="",0,G968)*R968-S968,2))</f>
        <v>0</v>
      </c>
      <c r="U968" s="38">
        <f>IF(B968="","",IF(E968="Tip","Yes","No"))</f>
        <v>0</v>
      </c>
      <c r="V968" s="15">
        <f>IF(B968="","",IF(H968&lt;&gt;"","Sale "&amp;H968,IF(I968&lt;&gt;"","Booking "&amp;I968,IF(E968="Tip","Stylist","Unapplied"))))</f>
        <v>0</v>
      </c>
      <c r="W968" s="39">
        <f>IF(B968="","",IF(G968="","Add - no amount yet",IF(E968="","Add - what was this for?",IF(IF(H968="",FALSE,COUNTIF(Sales!$A$5:$A$1204,H968)=0),"Missing - no sale with that ID",IF(IF(I968="",FALSE,COUNTIF(Appointments!$A$5:$A$1204,I968)=0),"Missing - no booking with that ID",IF(IF(E968="Tip",J968="",FALSE),"Assign - whose tip is it?",IF(IF(E968="Deposit",IF(H968="",I968="",FALSE),FALSE),"Check - deposit not tied to a booking",IF(M968="No","Due - not reconciled yet","OK"))))))))</f>
        <v>0</v>
      </c>
    </row>
    <row r="969" spans="1:23">
      <c r="A969" s="28">
        <f>IF(B969="","",PaymentPrefix&amp;TEXT(ROW()-4,"0000"))</f>
        <v>0</v>
      </c>
      <c r="D969" s="15">
        <f>IF(C969="","",IFERROR(INDEX(Clients!$B$5:$B$504,MATCH(C969,Clients!$A$5:$A$504,0)),"Walk-in"))</f>
        <v>0</v>
      </c>
      <c r="K969" s="15">
        <f>IF(J969="","",IFERROR(INDEX(Staff!$B$5:$B$44,MATCH(J969,Staff!$A$5:$A$44,0)),""))</f>
        <v>0</v>
      </c>
      <c r="O969" s="15">
        <f>IF(B969="","",TEXT(B969,"yyyy-mm"))</f>
        <v>0</v>
      </c>
      <c r="P969" s="25">
        <f>IF(B969="","",WEEKNUM(B969,2))</f>
        <v>0</v>
      </c>
      <c r="Q969" s="38">
        <f>IF(B969="","",IF(E969="Tip","No",IF(E969="Refund","No","Yes")))</f>
        <v>0</v>
      </c>
      <c r="R969" s="25">
        <f>IF(B969="","",IF(E969="Refund",-1,1))</f>
        <v>0</v>
      </c>
      <c r="S969" s="26">
        <f>IF(B969="","",IF(G969="",0,IF(F969="Card",ROUND(G969*CardFeePercent+CardFeeFixed,2),IF(F969="Online deposit",ROUND(G969*CardFeePercent+CardFeeFixed,2),0))))</f>
        <v>0</v>
      </c>
      <c r="T969" s="26">
        <f>IF(B969="","",ROUND(IF(G969="",0,G969)*R969-S969,2))</f>
        <v>0</v>
      </c>
      <c r="U969" s="38">
        <f>IF(B969="","",IF(E969="Tip","Yes","No"))</f>
        <v>0</v>
      </c>
      <c r="V969" s="15">
        <f>IF(B969="","",IF(H969&lt;&gt;"","Sale "&amp;H969,IF(I969&lt;&gt;"","Booking "&amp;I969,IF(E969="Tip","Stylist","Unapplied"))))</f>
        <v>0</v>
      </c>
      <c r="W969" s="39">
        <f>IF(B969="","",IF(G969="","Add - no amount yet",IF(E969="","Add - what was this for?",IF(IF(H969="",FALSE,COUNTIF(Sales!$A$5:$A$1204,H969)=0),"Missing - no sale with that ID",IF(IF(I969="",FALSE,COUNTIF(Appointments!$A$5:$A$1204,I969)=0),"Missing - no booking with that ID",IF(IF(E969="Tip",J969="",FALSE),"Assign - whose tip is it?",IF(IF(E969="Deposit",IF(H969="",I969="",FALSE),FALSE),"Check - deposit not tied to a booking",IF(M969="No","Due - not reconciled yet","OK"))))))))</f>
        <v>0</v>
      </c>
    </row>
    <row r="970" spans="1:23">
      <c r="A970" s="28">
        <f>IF(B970="","",PaymentPrefix&amp;TEXT(ROW()-4,"0000"))</f>
        <v>0</v>
      </c>
      <c r="D970" s="15">
        <f>IF(C970="","",IFERROR(INDEX(Clients!$B$5:$B$504,MATCH(C970,Clients!$A$5:$A$504,0)),"Walk-in"))</f>
        <v>0</v>
      </c>
      <c r="K970" s="15">
        <f>IF(J970="","",IFERROR(INDEX(Staff!$B$5:$B$44,MATCH(J970,Staff!$A$5:$A$44,0)),""))</f>
        <v>0</v>
      </c>
      <c r="O970" s="15">
        <f>IF(B970="","",TEXT(B970,"yyyy-mm"))</f>
        <v>0</v>
      </c>
      <c r="P970" s="25">
        <f>IF(B970="","",WEEKNUM(B970,2))</f>
        <v>0</v>
      </c>
      <c r="Q970" s="38">
        <f>IF(B970="","",IF(E970="Tip","No",IF(E970="Refund","No","Yes")))</f>
        <v>0</v>
      </c>
      <c r="R970" s="25">
        <f>IF(B970="","",IF(E970="Refund",-1,1))</f>
        <v>0</v>
      </c>
      <c r="S970" s="26">
        <f>IF(B970="","",IF(G970="",0,IF(F970="Card",ROUND(G970*CardFeePercent+CardFeeFixed,2),IF(F970="Online deposit",ROUND(G970*CardFeePercent+CardFeeFixed,2),0))))</f>
        <v>0</v>
      </c>
      <c r="T970" s="26">
        <f>IF(B970="","",ROUND(IF(G970="",0,G970)*R970-S970,2))</f>
        <v>0</v>
      </c>
      <c r="U970" s="38">
        <f>IF(B970="","",IF(E970="Tip","Yes","No"))</f>
        <v>0</v>
      </c>
      <c r="V970" s="15">
        <f>IF(B970="","",IF(H970&lt;&gt;"","Sale "&amp;H970,IF(I970&lt;&gt;"","Booking "&amp;I970,IF(E970="Tip","Stylist","Unapplied"))))</f>
        <v>0</v>
      </c>
      <c r="W970" s="39">
        <f>IF(B970="","",IF(G970="","Add - no amount yet",IF(E970="","Add - what was this for?",IF(IF(H970="",FALSE,COUNTIF(Sales!$A$5:$A$1204,H970)=0),"Missing - no sale with that ID",IF(IF(I970="",FALSE,COUNTIF(Appointments!$A$5:$A$1204,I970)=0),"Missing - no booking with that ID",IF(IF(E970="Tip",J970="",FALSE),"Assign - whose tip is it?",IF(IF(E970="Deposit",IF(H970="",I970="",FALSE),FALSE),"Check - deposit not tied to a booking",IF(M970="No","Due - not reconciled yet","OK"))))))))</f>
        <v>0</v>
      </c>
    </row>
    <row r="971" spans="1:23">
      <c r="A971" s="28">
        <f>IF(B971="","",PaymentPrefix&amp;TEXT(ROW()-4,"0000"))</f>
        <v>0</v>
      </c>
      <c r="D971" s="15">
        <f>IF(C971="","",IFERROR(INDEX(Clients!$B$5:$B$504,MATCH(C971,Clients!$A$5:$A$504,0)),"Walk-in"))</f>
        <v>0</v>
      </c>
      <c r="K971" s="15">
        <f>IF(J971="","",IFERROR(INDEX(Staff!$B$5:$B$44,MATCH(J971,Staff!$A$5:$A$44,0)),""))</f>
        <v>0</v>
      </c>
      <c r="O971" s="15">
        <f>IF(B971="","",TEXT(B971,"yyyy-mm"))</f>
        <v>0</v>
      </c>
      <c r="P971" s="25">
        <f>IF(B971="","",WEEKNUM(B971,2))</f>
        <v>0</v>
      </c>
      <c r="Q971" s="38">
        <f>IF(B971="","",IF(E971="Tip","No",IF(E971="Refund","No","Yes")))</f>
        <v>0</v>
      </c>
      <c r="R971" s="25">
        <f>IF(B971="","",IF(E971="Refund",-1,1))</f>
        <v>0</v>
      </c>
      <c r="S971" s="26">
        <f>IF(B971="","",IF(G971="",0,IF(F971="Card",ROUND(G971*CardFeePercent+CardFeeFixed,2),IF(F971="Online deposit",ROUND(G971*CardFeePercent+CardFeeFixed,2),0))))</f>
        <v>0</v>
      </c>
      <c r="T971" s="26">
        <f>IF(B971="","",ROUND(IF(G971="",0,G971)*R971-S971,2))</f>
        <v>0</v>
      </c>
      <c r="U971" s="38">
        <f>IF(B971="","",IF(E971="Tip","Yes","No"))</f>
        <v>0</v>
      </c>
      <c r="V971" s="15">
        <f>IF(B971="","",IF(H971&lt;&gt;"","Sale "&amp;H971,IF(I971&lt;&gt;"","Booking "&amp;I971,IF(E971="Tip","Stylist","Unapplied"))))</f>
        <v>0</v>
      </c>
      <c r="W971" s="39">
        <f>IF(B971="","",IF(G971="","Add - no amount yet",IF(E971="","Add - what was this for?",IF(IF(H971="",FALSE,COUNTIF(Sales!$A$5:$A$1204,H971)=0),"Missing - no sale with that ID",IF(IF(I971="",FALSE,COUNTIF(Appointments!$A$5:$A$1204,I971)=0),"Missing - no booking with that ID",IF(IF(E971="Tip",J971="",FALSE),"Assign - whose tip is it?",IF(IF(E971="Deposit",IF(H971="",I971="",FALSE),FALSE),"Check - deposit not tied to a booking",IF(M971="No","Due - not reconciled yet","OK"))))))))</f>
        <v>0</v>
      </c>
    </row>
    <row r="972" spans="1:23">
      <c r="A972" s="28">
        <f>IF(B972="","",PaymentPrefix&amp;TEXT(ROW()-4,"0000"))</f>
        <v>0</v>
      </c>
      <c r="D972" s="15">
        <f>IF(C972="","",IFERROR(INDEX(Clients!$B$5:$B$504,MATCH(C972,Clients!$A$5:$A$504,0)),"Walk-in"))</f>
        <v>0</v>
      </c>
      <c r="K972" s="15">
        <f>IF(J972="","",IFERROR(INDEX(Staff!$B$5:$B$44,MATCH(J972,Staff!$A$5:$A$44,0)),""))</f>
        <v>0</v>
      </c>
      <c r="O972" s="15">
        <f>IF(B972="","",TEXT(B972,"yyyy-mm"))</f>
        <v>0</v>
      </c>
      <c r="P972" s="25">
        <f>IF(B972="","",WEEKNUM(B972,2))</f>
        <v>0</v>
      </c>
      <c r="Q972" s="38">
        <f>IF(B972="","",IF(E972="Tip","No",IF(E972="Refund","No","Yes")))</f>
        <v>0</v>
      </c>
      <c r="R972" s="25">
        <f>IF(B972="","",IF(E972="Refund",-1,1))</f>
        <v>0</v>
      </c>
      <c r="S972" s="26">
        <f>IF(B972="","",IF(G972="",0,IF(F972="Card",ROUND(G972*CardFeePercent+CardFeeFixed,2),IF(F972="Online deposit",ROUND(G972*CardFeePercent+CardFeeFixed,2),0))))</f>
        <v>0</v>
      </c>
      <c r="T972" s="26">
        <f>IF(B972="","",ROUND(IF(G972="",0,G972)*R972-S972,2))</f>
        <v>0</v>
      </c>
      <c r="U972" s="38">
        <f>IF(B972="","",IF(E972="Tip","Yes","No"))</f>
        <v>0</v>
      </c>
      <c r="V972" s="15">
        <f>IF(B972="","",IF(H972&lt;&gt;"","Sale "&amp;H972,IF(I972&lt;&gt;"","Booking "&amp;I972,IF(E972="Tip","Stylist","Unapplied"))))</f>
        <v>0</v>
      </c>
      <c r="W972" s="39">
        <f>IF(B972="","",IF(G972="","Add - no amount yet",IF(E972="","Add - what was this for?",IF(IF(H972="",FALSE,COUNTIF(Sales!$A$5:$A$1204,H972)=0),"Missing - no sale with that ID",IF(IF(I972="",FALSE,COUNTIF(Appointments!$A$5:$A$1204,I972)=0),"Missing - no booking with that ID",IF(IF(E972="Tip",J972="",FALSE),"Assign - whose tip is it?",IF(IF(E972="Deposit",IF(H972="",I972="",FALSE),FALSE),"Check - deposit not tied to a booking",IF(M972="No","Due - not reconciled yet","OK"))))))))</f>
        <v>0</v>
      </c>
    </row>
    <row r="973" spans="1:23">
      <c r="A973" s="28">
        <f>IF(B973="","",PaymentPrefix&amp;TEXT(ROW()-4,"0000"))</f>
        <v>0</v>
      </c>
      <c r="D973" s="15">
        <f>IF(C973="","",IFERROR(INDEX(Clients!$B$5:$B$504,MATCH(C973,Clients!$A$5:$A$504,0)),"Walk-in"))</f>
        <v>0</v>
      </c>
      <c r="K973" s="15">
        <f>IF(J973="","",IFERROR(INDEX(Staff!$B$5:$B$44,MATCH(J973,Staff!$A$5:$A$44,0)),""))</f>
        <v>0</v>
      </c>
      <c r="O973" s="15">
        <f>IF(B973="","",TEXT(B973,"yyyy-mm"))</f>
        <v>0</v>
      </c>
      <c r="P973" s="25">
        <f>IF(B973="","",WEEKNUM(B973,2))</f>
        <v>0</v>
      </c>
      <c r="Q973" s="38">
        <f>IF(B973="","",IF(E973="Tip","No",IF(E973="Refund","No","Yes")))</f>
        <v>0</v>
      </c>
      <c r="R973" s="25">
        <f>IF(B973="","",IF(E973="Refund",-1,1))</f>
        <v>0</v>
      </c>
      <c r="S973" s="26">
        <f>IF(B973="","",IF(G973="",0,IF(F973="Card",ROUND(G973*CardFeePercent+CardFeeFixed,2),IF(F973="Online deposit",ROUND(G973*CardFeePercent+CardFeeFixed,2),0))))</f>
        <v>0</v>
      </c>
      <c r="T973" s="26">
        <f>IF(B973="","",ROUND(IF(G973="",0,G973)*R973-S973,2))</f>
        <v>0</v>
      </c>
      <c r="U973" s="38">
        <f>IF(B973="","",IF(E973="Tip","Yes","No"))</f>
        <v>0</v>
      </c>
      <c r="V973" s="15">
        <f>IF(B973="","",IF(H973&lt;&gt;"","Sale "&amp;H973,IF(I973&lt;&gt;"","Booking "&amp;I973,IF(E973="Tip","Stylist","Unapplied"))))</f>
        <v>0</v>
      </c>
      <c r="W973" s="39">
        <f>IF(B973="","",IF(G973="","Add - no amount yet",IF(E973="","Add - what was this for?",IF(IF(H973="",FALSE,COUNTIF(Sales!$A$5:$A$1204,H973)=0),"Missing - no sale with that ID",IF(IF(I973="",FALSE,COUNTIF(Appointments!$A$5:$A$1204,I973)=0),"Missing - no booking with that ID",IF(IF(E973="Tip",J973="",FALSE),"Assign - whose tip is it?",IF(IF(E973="Deposit",IF(H973="",I973="",FALSE),FALSE),"Check - deposit not tied to a booking",IF(M973="No","Due - not reconciled yet","OK"))))))))</f>
        <v>0</v>
      </c>
    </row>
    <row r="974" spans="1:23">
      <c r="A974" s="28">
        <f>IF(B974="","",PaymentPrefix&amp;TEXT(ROW()-4,"0000"))</f>
        <v>0</v>
      </c>
      <c r="D974" s="15">
        <f>IF(C974="","",IFERROR(INDEX(Clients!$B$5:$B$504,MATCH(C974,Clients!$A$5:$A$504,0)),"Walk-in"))</f>
        <v>0</v>
      </c>
      <c r="K974" s="15">
        <f>IF(J974="","",IFERROR(INDEX(Staff!$B$5:$B$44,MATCH(J974,Staff!$A$5:$A$44,0)),""))</f>
        <v>0</v>
      </c>
      <c r="O974" s="15">
        <f>IF(B974="","",TEXT(B974,"yyyy-mm"))</f>
        <v>0</v>
      </c>
      <c r="P974" s="25">
        <f>IF(B974="","",WEEKNUM(B974,2))</f>
        <v>0</v>
      </c>
      <c r="Q974" s="38">
        <f>IF(B974="","",IF(E974="Tip","No",IF(E974="Refund","No","Yes")))</f>
        <v>0</v>
      </c>
      <c r="R974" s="25">
        <f>IF(B974="","",IF(E974="Refund",-1,1))</f>
        <v>0</v>
      </c>
      <c r="S974" s="26">
        <f>IF(B974="","",IF(G974="",0,IF(F974="Card",ROUND(G974*CardFeePercent+CardFeeFixed,2),IF(F974="Online deposit",ROUND(G974*CardFeePercent+CardFeeFixed,2),0))))</f>
        <v>0</v>
      </c>
      <c r="T974" s="26">
        <f>IF(B974="","",ROUND(IF(G974="",0,G974)*R974-S974,2))</f>
        <v>0</v>
      </c>
      <c r="U974" s="38">
        <f>IF(B974="","",IF(E974="Tip","Yes","No"))</f>
        <v>0</v>
      </c>
      <c r="V974" s="15">
        <f>IF(B974="","",IF(H974&lt;&gt;"","Sale "&amp;H974,IF(I974&lt;&gt;"","Booking "&amp;I974,IF(E974="Tip","Stylist","Unapplied"))))</f>
        <v>0</v>
      </c>
      <c r="W974" s="39">
        <f>IF(B974="","",IF(G974="","Add - no amount yet",IF(E974="","Add - what was this for?",IF(IF(H974="",FALSE,COUNTIF(Sales!$A$5:$A$1204,H974)=0),"Missing - no sale with that ID",IF(IF(I974="",FALSE,COUNTIF(Appointments!$A$5:$A$1204,I974)=0),"Missing - no booking with that ID",IF(IF(E974="Tip",J974="",FALSE),"Assign - whose tip is it?",IF(IF(E974="Deposit",IF(H974="",I974="",FALSE),FALSE),"Check - deposit not tied to a booking",IF(M974="No","Due - not reconciled yet","OK"))))))))</f>
        <v>0</v>
      </c>
    </row>
    <row r="975" spans="1:23">
      <c r="A975" s="28">
        <f>IF(B975="","",PaymentPrefix&amp;TEXT(ROW()-4,"0000"))</f>
        <v>0</v>
      </c>
      <c r="D975" s="15">
        <f>IF(C975="","",IFERROR(INDEX(Clients!$B$5:$B$504,MATCH(C975,Clients!$A$5:$A$504,0)),"Walk-in"))</f>
        <v>0</v>
      </c>
      <c r="K975" s="15">
        <f>IF(J975="","",IFERROR(INDEX(Staff!$B$5:$B$44,MATCH(J975,Staff!$A$5:$A$44,0)),""))</f>
        <v>0</v>
      </c>
      <c r="O975" s="15">
        <f>IF(B975="","",TEXT(B975,"yyyy-mm"))</f>
        <v>0</v>
      </c>
      <c r="P975" s="25">
        <f>IF(B975="","",WEEKNUM(B975,2))</f>
        <v>0</v>
      </c>
      <c r="Q975" s="38">
        <f>IF(B975="","",IF(E975="Tip","No",IF(E975="Refund","No","Yes")))</f>
        <v>0</v>
      </c>
      <c r="R975" s="25">
        <f>IF(B975="","",IF(E975="Refund",-1,1))</f>
        <v>0</v>
      </c>
      <c r="S975" s="26">
        <f>IF(B975="","",IF(G975="",0,IF(F975="Card",ROUND(G975*CardFeePercent+CardFeeFixed,2),IF(F975="Online deposit",ROUND(G975*CardFeePercent+CardFeeFixed,2),0))))</f>
        <v>0</v>
      </c>
      <c r="T975" s="26">
        <f>IF(B975="","",ROUND(IF(G975="",0,G975)*R975-S975,2))</f>
        <v>0</v>
      </c>
      <c r="U975" s="38">
        <f>IF(B975="","",IF(E975="Tip","Yes","No"))</f>
        <v>0</v>
      </c>
      <c r="V975" s="15">
        <f>IF(B975="","",IF(H975&lt;&gt;"","Sale "&amp;H975,IF(I975&lt;&gt;"","Booking "&amp;I975,IF(E975="Tip","Stylist","Unapplied"))))</f>
        <v>0</v>
      </c>
      <c r="W975" s="39">
        <f>IF(B975="","",IF(G975="","Add - no amount yet",IF(E975="","Add - what was this for?",IF(IF(H975="",FALSE,COUNTIF(Sales!$A$5:$A$1204,H975)=0),"Missing - no sale with that ID",IF(IF(I975="",FALSE,COUNTIF(Appointments!$A$5:$A$1204,I975)=0),"Missing - no booking with that ID",IF(IF(E975="Tip",J975="",FALSE),"Assign - whose tip is it?",IF(IF(E975="Deposit",IF(H975="",I975="",FALSE),FALSE),"Check - deposit not tied to a booking",IF(M975="No","Due - not reconciled yet","OK"))))))))</f>
        <v>0</v>
      </c>
    </row>
    <row r="976" spans="1:23">
      <c r="A976" s="28">
        <f>IF(B976="","",PaymentPrefix&amp;TEXT(ROW()-4,"0000"))</f>
        <v>0</v>
      </c>
      <c r="D976" s="15">
        <f>IF(C976="","",IFERROR(INDEX(Clients!$B$5:$B$504,MATCH(C976,Clients!$A$5:$A$504,0)),"Walk-in"))</f>
        <v>0</v>
      </c>
      <c r="K976" s="15">
        <f>IF(J976="","",IFERROR(INDEX(Staff!$B$5:$B$44,MATCH(J976,Staff!$A$5:$A$44,0)),""))</f>
        <v>0</v>
      </c>
      <c r="O976" s="15">
        <f>IF(B976="","",TEXT(B976,"yyyy-mm"))</f>
        <v>0</v>
      </c>
      <c r="P976" s="25">
        <f>IF(B976="","",WEEKNUM(B976,2))</f>
        <v>0</v>
      </c>
      <c r="Q976" s="38">
        <f>IF(B976="","",IF(E976="Tip","No",IF(E976="Refund","No","Yes")))</f>
        <v>0</v>
      </c>
      <c r="R976" s="25">
        <f>IF(B976="","",IF(E976="Refund",-1,1))</f>
        <v>0</v>
      </c>
      <c r="S976" s="26">
        <f>IF(B976="","",IF(G976="",0,IF(F976="Card",ROUND(G976*CardFeePercent+CardFeeFixed,2),IF(F976="Online deposit",ROUND(G976*CardFeePercent+CardFeeFixed,2),0))))</f>
        <v>0</v>
      </c>
      <c r="T976" s="26">
        <f>IF(B976="","",ROUND(IF(G976="",0,G976)*R976-S976,2))</f>
        <v>0</v>
      </c>
      <c r="U976" s="38">
        <f>IF(B976="","",IF(E976="Tip","Yes","No"))</f>
        <v>0</v>
      </c>
      <c r="V976" s="15">
        <f>IF(B976="","",IF(H976&lt;&gt;"","Sale "&amp;H976,IF(I976&lt;&gt;"","Booking "&amp;I976,IF(E976="Tip","Stylist","Unapplied"))))</f>
        <v>0</v>
      </c>
      <c r="W976" s="39">
        <f>IF(B976="","",IF(G976="","Add - no amount yet",IF(E976="","Add - what was this for?",IF(IF(H976="",FALSE,COUNTIF(Sales!$A$5:$A$1204,H976)=0),"Missing - no sale with that ID",IF(IF(I976="",FALSE,COUNTIF(Appointments!$A$5:$A$1204,I976)=0),"Missing - no booking with that ID",IF(IF(E976="Tip",J976="",FALSE),"Assign - whose tip is it?",IF(IF(E976="Deposit",IF(H976="",I976="",FALSE),FALSE),"Check - deposit not tied to a booking",IF(M976="No","Due - not reconciled yet","OK"))))))))</f>
        <v>0</v>
      </c>
    </row>
    <row r="977" spans="1:23">
      <c r="A977" s="28">
        <f>IF(B977="","",PaymentPrefix&amp;TEXT(ROW()-4,"0000"))</f>
        <v>0</v>
      </c>
      <c r="D977" s="15">
        <f>IF(C977="","",IFERROR(INDEX(Clients!$B$5:$B$504,MATCH(C977,Clients!$A$5:$A$504,0)),"Walk-in"))</f>
        <v>0</v>
      </c>
      <c r="K977" s="15">
        <f>IF(J977="","",IFERROR(INDEX(Staff!$B$5:$B$44,MATCH(J977,Staff!$A$5:$A$44,0)),""))</f>
        <v>0</v>
      </c>
      <c r="O977" s="15">
        <f>IF(B977="","",TEXT(B977,"yyyy-mm"))</f>
        <v>0</v>
      </c>
      <c r="P977" s="25">
        <f>IF(B977="","",WEEKNUM(B977,2))</f>
        <v>0</v>
      </c>
      <c r="Q977" s="38">
        <f>IF(B977="","",IF(E977="Tip","No",IF(E977="Refund","No","Yes")))</f>
        <v>0</v>
      </c>
      <c r="R977" s="25">
        <f>IF(B977="","",IF(E977="Refund",-1,1))</f>
        <v>0</v>
      </c>
      <c r="S977" s="26">
        <f>IF(B977="","",IF(G977="",0,IF(F977="Card",ROUND(G977*CardFeePercent+CardFeeFixed,2),IF(F977="Online deposit",ROUND(G977*CardFeePercent+CardFeeFixed,2),0))))</f>
        <v>0</v>
      </c>
      <c r="T977" s="26">
        <f>IF(B977="","",ROUND(IF(G977="",0,G977)*R977-S977,2))</f>
        <v>0</v>
      </c>
      <c r="U977" s="38">
        <f>IF(B977="","",IF(E977="Tip","Yes","No"))</f>
        <v>0</v>
      </c>
      <c r="V977" s="15">
        <f>IF(B977="","",IF(H977&lt;&gt;"","Sale "&amp;H977,IF(I977&lt;&gt;"","Booking "&amp;I977,IF(E977="Tip","Stylist","Unapplied"))))</f>
        <v>0</v>
      </c>
      <c r="W977" s="39">
        <f>IF(B977="","",IF(G977="","Add - no amount yet",IF(E977="","Add - what was this for?",IF(IF(H977="",FALSE,COUNTIF(Sales!$A$5:$A$1204,H977)=0),"Missing - no sale with that ID",IF(IF(I977="",FALSE,COUNTIF(Appointments!$A$5:$A$1204,I977)=0),"Missing - no booking with that ID",IF(IF(E977="Tip",J977="",FALSE),"Assign - whose tip is it?",IF(IF(E977="Deposit",IF(H977="",I977="",FALSE),FALSE),"Check - deposit not tied to a booking",IF(M977="No","Due - not reconciled yet","OK"))))))))</f>
        <v>0</v>
      </c>
    </row>
    <row r="978" spans="1:23">
      <c r="A978" s="28">
        <f>IF(B978="","",PaymentPrefix&amp;TEXT(ROW()-4,"0000"))</f>
        <v>0</v>
      </c>
      <c r="D978" s="15">
        <f>IF(C978="","",IFERROR(INDEX(Clients!$B$5:$B$504,MATCH(C978,Clients!$A$5:$A$504,0)),"Walk-in"))</f>
        <v>0</v>
      </c>
      <c r="K978" s="15">
        <f>IF(J978="","",IFERROR(INDEX(Staff!$B$5:$B$44,MATCH(J978,Staff!$A$5:$A$44,0)),""))</f>
        <v>0</v>
      </c>
      <c r="O978" s="15">
        <f>IF(B978="","",TEXT(B978,"yyyy-mm"))</f>
        <v>0</v>
      </c>
      <c r="P978" s="25">
        <f>IF(B978="","",WEEKNUM(B978,2))</f>
        <v>0</v>
      </c>
      <c r="Q978" s="38">
        <f>IF(B978="","",IF(E978="Tip","No",IF(E978="Refund","No","Yes")))</f>
        <v>0</v>
      </c>
      <c r="R978" s="25">
        <f>IF(B978="","",IF(E978="Refund",-1,1))</f>
        <v>0</v>
      </c>
      <c r="S978" s="26">
        <f>IF(B978="","",IF(G978="",0,IF(F978="Card",ROUND(G978*CardFeePercent+CardFeeFixed,2),IF(F978="Online deposit",ROUND(G978*CardFeePercent+CardFeeFixed,2),0))))</f>
        <v>0</v>
      </c>
      <c r="T978" s="26">
        <f>IF(B978="","",ROUND(IF(G978="",0,G978)*R978-S978,2))</f>
        <v>0</v>
      </c>
      <c r="U978" s="38">
        <f>IF(B978="","",IF(E978="Tip","Yes","No"))</f>
        <v>0</v>
      </c>
      <c r="V978" s="15">
        <f>IF(B978="","",IF(H978&lt;&gt;"","Sale "&amp;H978,IF(I978&lt;&gt;"","Booking "&amp;I978,IF(E978="Tip","Stylist","Unapplied"))))</f>
        <v>0</v>
      </c>
      <c r="W978" s="39">
        <f>IF(B978="","",IF(G978="","Add - no amount yet",IF(E978="","Add - what was this for?",IF(IF(H978="",FALSE,COUNTIF(Sales!$A$5:$A$1204,H978)=0),"Missing - no sale with that ID",IF(IF(I978="",FALSE,COUNTIF(Appointments!$A$5:$A$1204,I978)=0),"Missing - no booking with that ID",IF(IF(E978="Tip",J978="",FALSE),"Assign - whose tip is it?",IF(IF(E978="Deposit",IF(H978="",I978="",FALSE),FALSE),"Check - deposit not tied to a booking",IF(M978="No","Due - not reconciled yet","OK"))))))))</f>
        <v>0</v>
      </c>
    </row>
    <row r="979" spans="1:23">
      <c r="A979" s="28">
        <f>IF(B979="","",PaymentPrefix&amp;TEXT(ROW()-4,"0000"))</f>
        <v>0</v>
      </c>
      <c r="D979" s="15">
        <f>IF(C979="","",IFERROR(INDEX(Clients!$B$5:$B$504,MATCH(C979,Clients!$A$5:$A$504,0)),"Walk-in"))</f>
        <v>0</v>
      </c>
      <c r="K979" s="15">
        <f>IF(J979="","",IFERROR(INDEX(Staff!$B$5:$B$44,MATCH(J979,Staff!$A$5:$A$44,0)),""))</f>
        <v>0</v>
      </c>
      <c r="O979" s="15">
        <f>IF(B979="","",TEXT(B979,"yyyy-mm"))</f>
        <v>0</v>
      </c>
      <c r="P979" s="25">
        <f>IF(B979="","",WEEKNUM(B979,2))</f>
        <v>0</v>
      </c>
      <c r="Q979" s="38">
        <f>IF(B979="","",IF(E979="Tip","No",IF(E979="Refund","No","Yes")))</f>
        <v>0</v>
      </c>
      <c r="R979" s="25">
        <f>IF(B979="","",IF(E979="Refund",-1,1))</f>
        <v>0</v>
      </c>
      <c r="S979" s="26">
        <f>IF(B979="","",IF(G979="",0,IF(F979="Card",ROUND(G979*CardFeePercent+CardFeeFixed,2),IF(F979="Online deposit",ROUND(G979*CardFeePercent+CardFeeFixed,2),0))))</f>
        <v>0</v>
      </c>
      <c r="T979" s="26">
        <f>IF(B979="","",ROUND(IF(G979="",0,G979)*R979-S979,2))</f>
        <v>0</v>
      </c>
      <c r="U979" s="38">
        <f>IF(B979="","",IF(E979="Tip","Yes","No"))</f>
        <v>0</v>
      </c>
      <c r="V979" s="15">
        <f>IF(B979="","",IF(H979&lt;&gt;"","Sale "&amp;H979,IF(I979&lt;&gt;"","Booking "&amp;I979,IF(E979="Tip","Stylist","Unapplied"))))</f>
        <v>0</v>
      </c>
      <c r="W979" s="39">
        <f>IF(B979="","",IF(G979="","Add - no amount yet",IF(E979="","Add - what was this for?",IF(IF(H979="",FALSE,COUNTIF(Sales!$A$5:$A$1204,H979)=0),"Missing - no sale with that ID",IF(IF(I979="",FALSE,COUNTIF(Appointments!$A$5:$A$1204,I979)=0),"Missing - no booking with that ID",IF(IF(E979="Tip",J979="",FALSE),"Assign - whose tip is it?",IF(IF(E979="Deposit",IF(H979="",I979="",FALSE),FALSE),"Check - deposit not tied to a booking",IF(M979="No","Due - not reconciled yet","OK"))))))))</f>
        <v>0</v>
      </c>
    </row>
    <row r="980" spans="1:23">
      <c r="A980" s="28">
        <f>IF(B980="","",PaymentPrefix&amp;TEXT(ROW()-4,"0000"))</f>
        <v>0</v>
      </c>
      <c r="D980" s="15">
        <f>IF(C980="","",IFERROR(INDEX(Clients!$B$5:$B$504,MATCH(C980,Clients!$A$5:$A$504,0)),"Walk-in"))</f>
        <v>0</v>
      </c>
      <c r="K980" s="15">
        <f>IF(J980="","",IFERROR(INDEX(Staff!$B$5:$B$44,MATCH(J980,Staff!$A$5:$A$44,0)),""))</f>
        <v>0</v>
      </c>
      <c r="O980" s="15">
        <f>IF(B980="","",TEXT(B980,"yyyy-mm"))</f>
        <v>0</v>
      </c>
      <c r="P980" s="25">
        <f>IF(B980="","",WEEKNUM(B980,2))</f>
        <v>0</v>
      </c>
      <c r="Q980" s="38">
        <f>IF(B980="","",IF(E980="Tip","No",IF(E980="Refund","No","Yes")))</f>
        <v>0</v>
      </c>
      <c r="R980" s="25">
        <f>IF(B980="","",IF(E980="Refund",-1,1))</f>
        <v>0</v>
      </c>
      <c r="S980" s="26">
        <f>IF(B980="","",IF(G980="",0,IF(F980="Card",ROUND(G980*CardFeePercent+CardFeeFixed,2),IF(F980="Online deposit",ROUND(G980*CardFeePercent+CardFeeFixed,2),0))))</f>
        <v>0</v>
      </c>
      <c r="T980" s="26">
        <f>IF(B980="","",ROUND(IF(G980="",0,G980)*R980-S980,2))</f>
        <v>0</v>
      </c>
      <c r="U980" s="38">
        <f>IF(B980="","",IF(E980="Tip","Yes","No"))</f>
        <v>0</v>
      </c>
      <c r="V980" s="15">
        <f>IF(B980="","",IF(H980&lt;&gt;"","Sale "&amp;H980,IF(I980&lt;&gt;"","Booking "&amp;I980,IF(E980="Tip","Stylist","Unapplied"))))</f>
        <v>0</v>
      </c>
      <c r="W980" s="39">
        <f>IF(B980="","",IF(G980="","Add - no amount yet",IF(E980="","Add - what was this for?",IF(IF(H980="",FALSE,COUNTIF(Sales!$A$5:$A$1204,H980)=0),"Missing - no sale with that ID",IF(IF(I980="",FALSE,COUNTIF(Appointments!$A$5:$A$1204,I980)=0),"Missing - no booking with that ID",IF(IF(E980="Tip",J980="",FALSE),"Assign - whose tip is it?",IF(IF(E980="Deposit",IF(H980="",I980="",FALSE),FALSE),"Check - deposit not tied to a booking",IF(M980="No","Due - not reconciled yet","OK"))))))))</f>
        <v>0</v>
      </c>
    </row>
    <row r="981" spans="1:23">
      <c r="A981" s="28">
        <f>IF(B981="","",PaymentPrefix&amp;TEXT(ROW()-4,"0000"))</f>
        <v>0</v>
      </c>
      <c r="D981" s="15">
        <f>IF(C981="","",IFERROR(INDEX(Clients!$B$5:$B$504,MATCH(C981,Clients!$A$5:$A$504,0)),"Walk-in"))</f>
        <v>0</v>
      </c>
      <c r="K981" s="15">
        <f>IF(J981="","",IFERROR(INDEX(Staff!$B$5:$B$44,MATCH(J981,Staff!$A$5:$A$44,0)),""))</f>
        <v>0</v>
      </c>
      <c r="O981" s="15">
        <f>IF(B981="","",TEXT(B981,"yyyy-mm"))</f>
        <v>0</v>
      </c>
      <c r="P981" s="25">
        <f>IF(B981="","",WEEKNUM(B981,2))</f>
        <v>0</v>
      </c>
      <c r="Q981" s="38">
        <f>IF(B981="","",IF(E981="Tip","No",IF(E981="Refund","No","Yes")))</f>
        <v>0</v>
      </c>
      <c r="R981" s="25">
        <f>IF(B981="","",IF(E981="Refund",-1,1))</f>
        <v>0</v>
      </c>
      <c r="S981" s="26">
        <f>IF(B981="","",IF(G981="",0,IF(F981="Card",ROUND(G981*CardFeePercent+CardFeeFixed,2),IF(F981="Online deposit",ROUND(G981*CardFeePercent+CardFeeFixed,2),0))))</f>
        <v>0</v>
      </c>
      <c r="T981" s="26">
        <f>IF(B981="","",ROUND(IF(G981="",0,G981)*R981-S981,2))</f>
        <v>0</v>
      </c>
      <c r="U981" s="38">
        <f>IF(B981="","",IF(E981="Tip","Yes","No"))</f>
        <v>0</v>
      </c>
      <c r="V981" s="15">
        <f>IF(B981="","",IF(H981&lt;&gt;"","Sale "&amp;H981,IF(I981&lt;&gt;"","Booking "&amp;I981,IF(E981="Tip","Stylist","Unapplied"))))</f>
        <v>0</v>
      </c>
      <c r="W981" s="39">
        <f>IF(B981="","",IF(G981="","Add - no amount yet",IF(E981="","Add - what was this for?",IF(IF(H981="",FALSE,COUNTIF(Sales!$A$5:$A$1204,H981)=0),"Missing - no sale with that ID",IF(IF(I981="",FALSE,COUNTIF(Appointments!$A$5:$A$1204,I981)=0),"Missing - no booking with that ID",IF(IF(E981="Tip",J981="",FALSE),"Assign - whose tip is it?",IF(IF(E981="Deposit",IF(H981="",I981="",FALSE),FALSE),"Check - deposit not tied to a booking",IF(M981="No","Due - not reconciled yet","OK"))))))))</f>
        <v>0</v>
      </c>
    </row>
    <row r="982" spans="1:23">
      <c r="A982" s="28">
        <f>IF(B982="","",PaymentPrefix&amp;TEXT(ROW()-4,"0000"))</f>
        <v>0</v>
      </c>
      <c r="D982" s="15">
        <f>IF(C982="","",IFERROR(INDEX(Clients!$B$5:$B$504,MATCH(C982,Clients!$A$5:$A$504,0)),"Walk-in"))</f>
        <v>0</v>
      </c>
      <c r="K982" s="15">
        <f>IF(J982="","",IFERROR(INDEX(Staff!$B$5:$B$44,MATCH(J982,Staff!$A$5:$A$44,0)),""))</f>
        <v>0</v>
      </c>
      <c r="O982" s="15">
        <f>IF(B982="","",TEXT(B982,"yyyy-mm"))</f>
        <v>0</v>
      </c>
      <c r="P982" s="25">
        <f>IF(B982="","",WEEKNUM(B982,2))</f>
        <v>0</v>
      </c>
      <c r="Q982" s="38">
        <f>IF(B982="","",IF(E982="Tip","No",IF(E982="Refund","No","Yes")))</f>
        <v>0</v>
      </c>
      <c r="R982" s="25">
        <f>IF(B982="","",IF(E982="Refund",-1,1))</f>
        <v>0</v>
      </c>
      <c r="S982" s="26">
        <f>IF(B982="","",IF(G982="",0,IF(F982="Card",ROUND(G982*CardFeePercent+CardFeeFixed,2),IF(F982="Online deposit",ROUND(G982*CardFeePercent+CardFeeFixed,2),0))))</f>
        <v>0</v>
      </c>
      <c r="T982" s="26">
        <f>IF(B982="","",ROUND(IF(G982="",0,G982)*R982-S982,2))</f>
        <v>0</v>
      </c>
      <c r="U982" s="38">
        <f>IF(B982="","",IF(E982="Tip","Yes","No"))</f>
        <v>0</v>
      </c>
      <c r="V982" s="15">
        <f>IF(B982="","",IF(H982&lt;&gt;"","Sale "&amp;H982,IF(I982&lt;&gt;"","Booking "&amp;I982,IF(E982="Tip","Stylist","Unapplied"))))</f>
        <v>0</v>
      </c>
      <c r="W982" s="39">
        <f>IF(B982="","",IF(G982="","Add - no amount yet",IF(E982="","Add - what was this for?",IF(IF(H982="",FALSE,COUNTIF(Sales!$A$5:$A$1204,H982)=0),"Missing - no sale with that ID",IF(IF(I982="",FALSE,COUNTIF(Appointments!$A$5:$A$1204,I982)=0),"Missing - no booking with that ID",IF(IF(E982="Tip",J982="",FALSE),"Assign - whose tip is it?",IF(IF(E982="Deposit",IF(H982="",I982="",FALSE),FALSE),"Check - deposit not tied to a booking",IF(M982="No","Due - not reconciled yet","OK"))))))))</f>
        <v>0</v>
      </c>
    </row>
    <row r="983" spans="1:23">
      <c r="A983" s="28">
        <f>IF(B983="","",PaymentPrefix&amp;TEXT(ROW()-4,"0000"))</f>
        <v>0</v>
      </c>
      <c r="D983" s="15">
        <f>IF(C983="","",IFERROR(INDEX(Clients!$B$5:$B$504,MATCH(C983,Clients!$A$5:$A$504,0)),"Walk-in"))</f>
        <v>0</v>
      </c>
      <c r="K983" s="15">
        <f>IF(J983="","",IFERROR(INDEX(Staff!$B$5:$B$44,MATCH(J983,Staff!$A$5:$A$44,0)),""))</f>
        <v>0</v>
      </c>
      <c r="O983" s="15">
        <f>IF(B983="","",TEXT(B983,"yyyy-mm"))</f>
        <v>0</v>
      </c>
      <c r="P983" s="25">
        <f>IF(B983="","",WEEKNUM(B983,2))</f>
        <v>0</v>
      </c>
      <c r="Q983" s="38">
        <f>IF(B983="","",IF(E983="Tip","No",IF(E983="Refund","No","Yes")))</f>
        <v>0</v>
      </c>
      <c r="R983" s="25">
        <f>IF(B983="","",IF(E983="Refund",-1,1))</f>
        <v>0</v>
      </c>
      <c r="S983" s="26">
        <f>IF(B983="","",IF(G983="",0,IF(F983="Card",ROUND(G983*CardFeePercent+CardFeeFixed,2),IF(F983="Online deposit",ROUND(G983*CardFeePercent+CardFeeFixed,2),0))))</f>
        <v>0</v>
      </c>
      <c r="T983" s="26">
        <f>IF(B983="","",ROUND(IF(G983="",0,G983)*R983-S983,2))</f>
        <v>0</v>
      </c>
      <c r="U983" s="38">
        <f>IF(B983="","",IF(E983="Tip","Yes","No"))</f>
        <v>0</v>
      </c>
      <c r="V983" s="15">
        <f>IF(B983="","",IF(H983&lt;&gt;"","Sale "&amp;H983,IF(I983&lt;&gt;"","Booking "&amp;I983,IF(E983="Tip","Stylist","Unapplied"))))</f>
        <v>0</v>
      </c>
      <c r="W983" s="39">
        <f>IF(B983="","",IF(G983="","Add - no amount yet",IF(E983="","Add - what was this for?",IF(IF(H983="",FALSE,COUNTIF(Sales!$A$5:$A$1204,H983)=0),"Missing - no sale with that ID",IF(IF(I983="",FALSE,COUNTIF(Appointments!$A$5:$A$1204,I983)=0),"Missing - no booking with that ID",IF(IF(E983="Tip",J983="",FALSE),"Assign - whose tip is it?",IF(IF(E983="Deposit",IF(H983="",I983="",FALSE),FALSE),"Check - deposit not tied to a booking",IF(M983="No","Due - not reconciled yet","OK"))))))))</f>
        <v>0</v>
      </c>
    </row>
    <row r="984" spans="1:23">
      <c r="A984" s="28">
        <f>IF(B984="","",PaymentPrefix&amp;TEXT(ROW()-4,"0000"))</f>
        <v>0</v>
      </c>
      <c r="D984" s="15">
        <f>IF(C984="","",IFERROR(INDEX(Clients!$B$5:$B$504,MATCH(C984,Clients!$A$5:$A$504,0)),"Walk-in"))</f>
        <v>0</v>
      </c>
      <c r="K984" s="15">
        <f>IF(J984="","",IFERROR(INDEX(Staff!$B$5:$B$44,MATCH(J984,Staff!$A$5:$A$44,0)),""))</f>
        <v>0</v>
      </c>
      <c r="O984" s="15">
        <f>IF(B984="","",TEXT(B984,"yyyy-mm"))</f>
        <v>0</v>
      </c>
      <c r="P984" s="25">
        <f>IF(B984="","",WEEKNUM(B984,2))</f>
        <v>0</v>
      </c>
      <c r="Q984" s="38">
        <f>IF(B984="","",IF(E984="Tip","No",IF(E984="Refund","No","Yes")))</f>
        <v>0</v>
      </c>
      <c r="R984" s="25">
        <f>IF(B984="","",IF(E984="Refund",-1,1))</f>
        <v>0</v>
      </c>
      <c r="S984" s="26">
        <f>IF(B984="","",IF(G984="",0,IF(F984="Card",ROUND(G984*CardFeePercent+CardFeeFixed,2),IF(F984="Online deposit",ROUND(G984*CardFeePercent+CardFeeFixed,2),0))))</f>
        <v>0</v>
      </c>
      <c r="T984" s="26">
        <f>IF(B984="","",ROUND(IF(G984="",0,G984)*R984-S984,2))</f>
        <v>0</v>
      </c>
      <c r="U984" s="38">
        <f>IF(B984="","",IF(E984="Tip","Yes","No"))</f>
        <v>0</v>
      </c>
      <c r="V984" s="15">
        <f>IF(B984="","",IF(H984&lt;&gt;"","Sale "&amp;H984,IF(I984&lt;&gt;"","Booking "&amp;I984,IF(E984="Tip","Stylist","Unapplied"))))</f>
        <v>0</v>
      </c>
      <c r="W984" s="39">
        <f>IF(B984="","",IF(G984="","Add - no amount yet",IF(E984="","Add - what was this for?",IF(IF(H984="",FALSE,COUNTIF(Sales!$A$5:$A$1204,H984)=0),"Missing - no sale with that ID",IF(IF(I984="",FALSE,COUNTIF(Appointments!$A$5:$A$1204,I984)=0),"Missing - no booking with that ID",IF(IF(E984="Tip",J984="",FALSE),"Assign - whose tip is it?",IF(IF(E984="Deposit",IF(H984="",I984="",FALSE),FALSE),"Check - deposit not tied to a booking",IF(M984="No","Due - not reconciled yet","OK"))))))))</f>
        <v>0</v>
      </c>
    </row>
    <row r="985" spans="1:23">
      <c r="A985" s="28">
        <f>IF(B985="","",PaymentPrefix&amp;TEXT(ROW()-4,"0000"))</f>
        <v>0</v>
      </c>
      <c r="D985" s="15">
        <f>IF(C985="","",IFERROR(INDEX(Clients!$B$5:$B$504,MATCH(C985,Clients!$A$5:$A$504,0)),"Walk-in"))</f>
        <v>0</v>
      </c>
      <c r="K985" s="15">
        <f>IF(J985="","",IFERROR(INDEX(Staff!$B$5:$B$44,MATCH(J985,Staff!$A$5:$A$44,0)),""))</f>
        <v>0</v>
      </c>
      <c r="O985" s="15">
        <f>IF(B985="","",TEXT(B985,"yyyy-mm"))</f>
        <v>0</v>
      </c>
      <c r="P985" s="25">
        <f>IF(B985="","",WEEKNUM(B985,2))</f>
        <v>0</v>
      </c>
      <c r="Q985" s="38">
        <f>IF(B985="","",IF(E985="Tip","No",IF(E985="Refund","No","Yes")))</f>
        <v>0</v>
      </c>
      <c r="R985" s="25">
        <f>IF(B985="","",IF(E985="Refund",-1,1))</f>
        <v>0</v>
      </c>
      <c r="S985" s="26">
        <f>IF(B985="","",IF(G985="",0,IF(F985="Card",ROUND(G985*CardFeePercent+CardFeeFixed,2),IF(F985="Online deposit",ROUND(G985*CardFeePercent+CardFeeFixed,2),0))))</f>
        <v>0</v>
      </c>
      <c r="T985" s="26">
        <f>IF(B985="","",ROUND(IF(G985="",0,G985)*R985-S985,2))</f>
        <v>0</v>
      </c>
      <c r="U985" s="38">
        <f>IF(B985="","",IF(E985="Tip","Yes","No"))</f>
        <v>0</v>
      </c>
      <c r="V985" s="15">
        <f>IF(B985="","",IF(H985&lt;&gt;"","Sale "&amp;H985,IF(I985&lt;&gt;"","Booking "&amp;I985,IF(E985="Tip","Stylist","Unapplied"))))</f>
        <v>0</v>
      </c>
      <c r="W985" s="39">
        <f>IF(B985="","",IF(G985="","Add - no amount yet",IF(E985="","Add - what was this for?",IF(IF(H985="",FALSE,COUNTIF(Sales!$A$5:$A$1204,H985)=0),"Missing - no sale with that ID",IF(IF(I985="",FALSE,COUNTIF(Appointments!$A$5:$A$1204,I985)=0),"Missing - no booking with that ID",IF(IF(E985="Tip",J985="",FALSE),"Assign - whose tip is it?",IF(IF(E985="Deposit",IF(H985="",I985="",FALSE),FALSE),"Check - deposit not tied to a booking",IF(M985="No","Due - not reconciled yet","OK"))))))))</f>
        <v>0</v>
      </c>
    </row>
    <row r="986" spans="1:23">
      <c r="A986" s="28">
        <f>IF(B986="","",PaymentPrefix&amp;TEXT(ROW()-4,"0000"))</f>
        <v>0</v>
      </c>
      <c r="D986" s="15">
        <f>IF(C986="","",IFERROR(INDEX(Clients!$B$5:$B$504,MATCH(C986,Clients!$A$5:$A$504,0)),"Walk-in"))</f>
        <v>0</v>
      </c>
      <c r="K986" s="15">
        <f>IF(J986="","",IFERROR(INDEX(Staff!$B$5:$B$44,MATCH(J986,Staff!$A$5:$A$44,0)),""))</f>
        <v>0</v>
      </c>
      <c r="O986" s="15">
        <f>IF(B986="","",TEXT(B986,"yyyy-mm"))</f>
        <v>0</v>
      </c>
      <c r="P986" s="25">
        <f>IF(B986="","",WEEKNUM(B986,2))</f>
        <v>0</v>
      </c>
      <c r="Q986" s="38">
        <f>IF(B986="","",IF(E986="Tip","No",IF(E986="Refund","No","Yes")))</f>
        <v>0</v>
      </c>
      <c r="R986" s="25">
        <f>IF(B986="","",IF(E986="Refund",-1,1))</f>
        <v>0</v>
      </c>
      <c r="S986" s="26">
        <f>IF(B986="","",IF(G986="",0,IF(F986="Card",ROUND(G986*CardFeePercent+CardFeeFixed,2),IF(F986="Online deposit",ROUND(G986*CardFeePercent+CardFeeFixed,2),0))))</f>
        <v>0</v>
      </c>
      <c r="T986" s="26">
        <f>IF(B986="","",ROUND(IF(G986="",0,G986)*R986-S986,2))</f>
        <v>0</v>
      </c>
      <c r="U986" s="38">
        <f>IF(B986="","",IF(E986="Tip","Yes","No"))</f>
        <v>0</v>
      </c>
      <c r="V986" s="15">
        <f>IF(B986="","",IF(H986&lt;&gt;"","Sale "&amp;H986,IF(I986&lt;&gt;"","Booking "&amp;I986,IF(E986="Tip","Stylist","Unapplied"))))</f>
        <v>0</v>
      </c>
      <c r="W986" s="39">
        <f>IF(B986="","",IF(G986="","Add - no amount yet",IF(E986="","Add - what was this for?",IF(IF(H986="",FALSE,COUNTIF(Sales!$A$5:$A$1204,H986)=0),"Missing - no sale with that ID",IF(IF(I986="",FALSE,COUNTIF(Appointments!$A$5:$A$1204,I986)=0),"Missing - no booking with that ID",IF(IF(E986="Tip",J986="",FALSE),"Assign - whose tip is it?",IF(IF(E986="Deposit",IF(H986="",I986="",FALSE),FALSE),"Check - deposit not tied to a booking",IF(M986="No","Due - not reconciled yet","OK"))))))))</f>
        <v>0</v>
      </c>
    </row>
    <row r="987" spans="1:23">
      <c r="A987" s="28">
        <f>IF(B987="","",PaymentPrefix&amp;TEXT(ROW()-4,"0000"))</f>
        <v>0</v>
      </c>
      <c r="D987" s="15">
        <f>IF(C987="","",IFERROR(INDEX(Clients!$B$5:$B$504,MATCH(C987,Clients!$A$5:$A$504,0)),"Walk-in"))</f>
        <v>0</v>
      </c>
      <c r="K987" s="15">
        <f>IF(J987="","",IFERROR(INDEX(Staff!$B$5:$B$44,MATCH(J987,Staff!$A$5:$A$44,0)),""))</f>
        <v>0</v>
      </c>
      <c r="O987" s="15">
        <f>IF(B987="","",TEXT(B987,"yyyy-mm"))</f>
        <v>0</v>
      </c>
      <c r="P987" s="25">
        <f>IF(B987="","",WEEKNUM(B987,2))</f>
        <v>0</v>
      </c>
      <c r="Q987" s="38">
        <f>IF(B987="","",IF(E987="Tip","No",IF(E987="Refund","No","Yes")))</f>
        <v>0</v>
      </c>
      <c r="R987" s="25">
        <f>IF(B987="","",IF(E987="Refund",-1,1))</f>
        <v>0</v>
      </c>
      <c r="S987" s="26">
        <f>IF(B987="","",IF(G987="",0,IF(F987="Card",ROUND(G987*CardFeePercent+CardFeeFixed,2),IF(F987="Online deposit",ROUND(G987*CardFeePercent+CardFeeFixed,2),0))))</f>
        <v>0</v>
      </c>
      <c r="T987" s="26">
        <f>IF(B987="","",ROUND(IF(G987="",0,G987)*R987-S987,2))</f>
        <v>0</v>
      </c>
      <c r="U987" s="38">
        <f>IF(B987="","",IF(E987="Tip","Yes","No"))</f>
        <v>0</v>
      </c>
      <c r="V987" s="15">
        <f>IF(B987="","",IF(H987&lt;&gt;"","Sale "&amp;H987,IF(I987&lt;&gt;"","Booking "&amp;I987,IF(E987="Tip","Stylist","Unapplied"))))</f>
        <v>0</v>
      </c>
      <c r="W987" s="39">
        <f>IF(B987="","",IF(G987="","Add - no amount yet",IF(E987="","Add - what was this for?",IF(IF(H987="",FALSE,COUNTIF(Sales!$A$5:$A$1204,H987)=0),"Missing - no sale with that ID",IF(IF(I987="",FALSE,COUNTIF(Appointments!$A$5:$A$1204,I987)=0),"Missing - no booking with that ID",IF(IF(E987="Tip",J987="",FALSE),"Assign - whose tip is it?",IF(IF(E987="Deposit",IF(H987="",I987="",FALSE),FALSE),"Check - deposit not tied to a booking",IF(M987="No","Due - not reconciled yet","OK"))))))))</f>
        <v>0</v>
      </c>
    </row>
    <row r="988" spans="1:23">
      <c r="A988" s="28">
        <f>IF(B988="","",PaymentPrefix&amp;TEXT(ROW()-4,"0000"))</f>
        <v>0</v>
      </c>
      <c r="D988" s="15">
        <f>IF(C988="","",IFERROR(INDEX(Clients!$B$5:$B$504,MATCH(C988,Clients!$A$5:$A$504,0)),"Walk-in"))</f>
        <v>0</v>
      </c>
      <c r="K988" s="15">
        <f>IF(J988="","",IFERROR(INDEX(Staff!$B$5:$B$44,MATCH(J988,Staff!$A$5:$A$44,0)),""))</f>
        <v>0</v>
      </c>
      <c r="O988" s="15">
        <f>IF(B988="","",TEXT(B988,"yyyy-mm"))</f>
        <v>0</v>
      </c>
      <c r="P988" s="25">
        <f>IF(B988="","",WEEKNUM(B988,2))</f>
        <v>0</v>
      </c>
      <c r="Q988" s="38">
        <f>IF(B988="","",IF(E988="Tip","No",IF(E988="Refund","No","Yes")))</f>
        <v>0</v>
      </c>
      <c r="R988" s="25">
        <f>IF(B988="","",IF(E988="Refund",-1,1))</f>
        <v>0</v>
      </c>
      <c r="S988" s="26">
        <f>IF(B988="","",IF(G988="",0,IF(F988="Card",ROUND(G988*CardFeePercent+CardFeeFixed,2),IF(F988="Online deposit",ROUND(G988*CardFeePercent+CardFeeFixed,2),0))))</f>
        <v>0</v>
      </c>
      <c r="T988" s="26">
        <f>IF(B988="","",ROUND(IF(G988="",0,G988)*R988-S988,2))</f>
        <v>0</v>
      </c>
      <c r="U988" s="38">
        <f>IF(B988="","",IF(E988="Tip","Yes","No"))</f>
        <v>0</v>
      </c>
      <c r="V988" s="15">
        <f>IF(B988="","",IF(H988&lt;&gt;"","Sale "&amp;H988,IF(I988&lt;&gt;"","Booking "&amp;I988,IF(E988="Tip","Stylist","Unapplied"))))</f>
        <v>0</v>
      </c>
      <c r="W988" s="39">
        <f>IF(B988="","",IF(G988="","Add - no amount yet",IF(E988="","Add - what was this for?",IF(IF(H988="",FALSE,COUNTIF(Sales!$A$5:$A$1204,H988)=0),"Missing - no sale with that ID",IF(IF(I988="",FALSE,COUNTIF(Appointments!$A$5:$A$1204,I988)=0),"Missing - no booking with that ID",IF(IF(E988="Tip",J988="",FALSE),"Assign - whose tip is it?",IF(IF(E988="Deposit",IF(H988="",I988="",FALSE),FALSE),"Check - deposit not tied to a booking",IF(M988="No","Due - not reconciled yet","OK"))))))))</f>
        <v>0</v>
      </c>
    </row>
    <row r="989" spans="1:23">
      <c r="A989" s="28">
        <f>IF(B989="","",PaymentPrefix&amp;TEXT(ROW()-4,"0000"))</f>
        <v>0</v>
      </c>
      <c r="D989" s="15">
        <f>IF(C989="","",IFERROR(INDEX(Clients!$B$5:$B$504,MATCH(C989,Clients!$A$5:$A$504,0)),"Walk-in"))</f>
        <v>0</v>
      </c>
      <c r="K989" s="15">
        <f>IF(J989="","",IFERROR(INDEX(Staff!$B$5:$B$44,MATCH(J989,Staff!$A$5:$A$44,0)),""))</f>
        <v>0</v>
      </c>
      <c r="O989" s="15">
        <f>IF(B989="","",TEXT(B989,"yyyy-mm"))</f>
        <v>0</v>
      </c>
      <c r="P989" s="25">
        <f>IF(B989="","",WEEKNUM(B989,2))</f>
        <v>0</v>
      </c>
      <c r="Q989" s="38">
        <f>IF(B989="","",IF(E989="Tip","No",IF(E989="Refund","No","Yes")))</f>
        <v>0</v>
      </c>
      <c r="R989" s="25">
        <f>IF(B989="","",IF(E989="Refund",-1,1))</f>
        <v>0</v>
      </c>
      <c r="S989" s="26">
        <f>IF(B989="","",IF(G989="",0,IF(F989="Card",ROUND(G989*CardFeePercent+CardFeeFixed,2),IF(F989="Online deposit",ROUND(G989*CardFeePercent+CardFeeFixed,2),0))))</f>
        <v>0</v>
      </c>
      <c r="T989" s="26">
        <f>IF(B989="","",ROUND(IF(G989="",0,G989)*R989-S989,2))</f>
        <v>0</v>
      </c>
      <c r="U989" s="38">
        <f>IF(B989="","",IF(E989="Tip","Yes","No"))</f>
        <v>0</v>
      </c>
      <c r="V989" s="15">
        <f>IF(B989="","",IF(H989&lt;&gt;"","Sale "&amp;H989,IF(I989&lt;&gt;"","Booking "&amp;I989,IF(E989="Tip","Stylist","Unapplied"))))</f>
        <v>0</v>
      </c>
      <c r="W989" s="39">
        <f>IF(B989="","",IF(G989="","Add - no amount yet",IF(E989="","Add - what was this for?",IF(IF(H989="",FALSE,COUNTIF(Sales!$A$5:$A$1204,H989)=0),"Missing - no sale with that ID",IF(IF(I989="",FALSE,COUNTIF(Appointments!$A$5:$A$1204,I989)=0),"Missing - no booking with that ID",IF(IF(E989="Tip",J989="",FALSE),"Assign - whose tip is it?",IF(IF(E989="Deposit",IF(H989="",I989="",FALSE),FALSE),"Check - deposit not tied to a booking",IF(M989="No","Due - not reconciled yet","OK"))))))))</f>
        <v>0</v>
      </c>
    </row>
    <row r="990" spans="1:23">
      <c r="A990" s="28">
        <f>IF(B990="","",PaymentPrefix&amp;TEXT(ROW()-4,"0000"))</f>
        <v>0</v>
      </c>
      <c r="D990" s="15">
        <f>IF(C990="","",IFERROR(INDEX(Clients!$B$5:$B$504,MATCH(C990,Clients!$A$5:$A$504,0)),"Walk-in"))</f>
        <v>0</v>
      </c>
      <c r="K990" s="15">
        <f>IF(J990="","",IFERROR(INDEX(Staff!$B$5:$B$44,MATCH(J990,Staff!$A$5:$A$44,0)),""))</f>
        <v>0</v>
      </c>
      <c r="O990" s="15">
        <f>IF(B990="","",TEXT(B990,"yyyy-mm"))</f>
        <v>0</v>
      </c>
      <c r="P990" s="25">
        <f>IF(B990="","",WEEKNUM(B990,2))</f>
        <v>0</v>
      </c>
      <c r="Q990" s="38">
        <f>IF(B990="","",IF(E990="Tip","No",IF(E990="Refund","No","Yes")))</f>
        <v>0</v>
      </c>
      <c r="R990" s="25">
        <f>IF(B990="","",IF(E990="Refund",-1,1))</f>
        <v>0</v>
      </c>
      <c r="S990" s="26">
        <f>IF(B990="","",IF(G990="",0,IF(F990="Card",ROUND(G990*CardFeePercent+CardFeeFixed,2),IF(F990="Online deposit",ROUND(G990*CardFeePercent+CardFeeFixed,2),0))))</f>
        <v>0</v>
      </c>
      <c r="T990" s="26">
        <f>IF(B990="","",ROUND(IF(G990="",0,G990)*R990-S990,2))</f>
        <v>0</v>
      </c>
      <c r="U990" s="38">
        <f>IF(B990="","",IF(E990="Tip","Yes","No"))</f>
        <v>0</v>
      </c>
      <c r="V990" s="15">
        <f>IF(B990="","",IF(H990&lt;&gt;"","Sale "&amp;H990,IF(I990&lt;&gt;"","Booking "&amp;I990,IF(E990="Tip","Stylist","Unapplied"))))</f>
        <v>0</v>
      </c>
      <c r="W990" s="39">
        <f>IF(B990="","",IF(G990="","Add - no amount yet",IF(E990="","Add - what was this for?",IF(IF(H990="",FALSE,COUNTIF(Sales!$A$5:$A$1204,H990)=0),"Missing - no sale with that ID",IF(IF(I990="",FALSE,COUNTIF(Appointments!$A$5:$A$1204,I990)=0),"Missing - no booking with that ID",IF(IF(E990="Tip",J990="",FALSE),"Assign - whose tip is it?",IF(IF(E990="Deposit",IF(H990="",I990="",FALSE),FALSE),"Check - deposit not tied to a booking",IF(M990="No","Due - not reconciled yet","OK"))))))))</f>
        <v>0</v>
      </c>
    </row>
    <row r="991" spans="1:23">
      <c r="A991" s="28">
        <f>IF(B991="","",PaymentPrefix&amp;TEXT(ROW()-4,"0000"))</f>
        <v>0</v>
      </c>
      <c r="D991" s="15">
        <f>IF(C991="","",IFERROR(INDEX(Clients!$B$5:$B$504,MATCH(C991,Clients!$A$5:$A$504,0)),"Walk-in"))</f>
        <v>0</v>
      </c>
      <c r="K991" s="15">
        <f>IF(J991="","",IFERROR(INDEX(Staff!$B$5:$B$44,MATCH(J991,Staff!$A$5:$A$44,0)),""))</f>
        <v>0</v>
      </c>
      <c r="O991" s="15">
        <f>IF(B991="","",TEXT(B991,"yyyy-mm"))</f>
        <v>0</v>
      </c>
      <c r="P991" s="25">
        <f>IF(B991="","",WEEKNUM(B991,2))</f>
        <v>0</v>
      </c>
      <c r="Q991" s="38">
        <f>IF(B991="","",IF(E991="Tip","No",IF(E991="Refund","No","Yes")))</f>
        <v>0</v>
      </c>
      <c r="R991" s="25">
        <f>IF(B991="","",IF(E991="Refund",-1,1))</f>
        <v>0</v>
      </c>
      <c r="S991" s="26">
        <f>IF(B991="","",IF(G991="",0,IF(F991="Card",ROUND(G991*CardFeePercent+CardFeeFixed,2),IF(F991="Online deposit",ROUND(G991*CardFeePercent+CardFeeFixed,2),0))))</f>
        <v>0</v>
      </c>
      <c r="T991" s="26">
        <f>IF(B991="","",ROUND(IF(G991="",0,G991)*R991-S991,2))</f>
        <v>0</v>
      </c>
      <c r="U991" s="38">
        <f>IF(B991="","",IF(E991="Tip","Yes","No"))</f>
        <v>0</v>
      </c>
      <c r="V991" s="15">
        <f>IF(B991="","",IF(H991&lt;&gt;"","Sale "&amp;H991,IF(I991&lt;&gt;"","Booking "&amp;I991,IF(E991="Tip","Stylist","Unapplied"))))</f>
        <v>0</v>
      </c>
      <c r="W991" s="39">
        <f>IF(B991="","",IF(G991="","Add - no amount yet",IF(E991="","Add - what was this for?",IF(IF(H991="",FALSE,COUNTIF(Sales!$A$5:$A$1204,H991)=0),"Missing - no sale with that ID",IF(IF(I991="",FALSE,COUNTIF(Appointments!$A$5:$A$1204,I991)=0),"Missing - no booking with that ID",IF(IF(E991="Tip",J991="",FALSE),"Assign - whose tip is it?",IF(IF(E991="Deposit",IF(H991="",I991="",FALSE),FALSE),"Check - deposit not tied to a booking",IF(M991="No","Due - not reconciled yet","OK"))))))))</f>
        <v>0</v>
      </c>
    </row>
    <row r="992" spans="1:23">
      <c r="A992" s="28">
        <f>IF(B992="","",PaymentPrefix&amp;TEXT(ROW()-4,"0000"))</f>
        <v>0</v>
      </c>
      <c r="D992" s="15">
        <f>IF(C992="","",IFERROR(INDEX(Clients!$B$5:$B$504,MATCH(C992,Clients!$A$5:$A$504,0)),"Walk-in"))</f>
        <v>0</v>
      </c>
      <c r="K992" s="15">
        <f>IF(J992="","",IFERROR(INDEX(Staff!$B$5:$B$44,MATCH(J992,Staff!$A$5:$A$44,0)),""))</f>
        <v>0</v>
      </c>
      <c r="O992" s="15">
        <f>IF(B992="","",TEXT(B992,"yyyy-mm"))</f>
        <v>0</v>
      </c>
      <c r="P992" s="25">
        <f>IF(B992="","",WEEKNUM(B992,2))</f>
        <v>0</v>
      </c>
      <c r="Q992" s="38">
        <f>IF(B992="","",IF(E992="Tip","No",IF(E992="Refund","No","Yes")))</f>
        <v>0</v>
      </c>
      <c r="R992" s="25">
        <f>IF(B992="","",IF(E992="Refund",-1,1))</f>
        <v>0</v>
      </c>
      <c r="S992" s="26">
        <f>IF(B992="","",IF(G992="",0,IF(F992="Card",ROUND(G992*CardFeePercent+CardFeeFixed,2),IF(F992="Online deposit",ROUND(G992*CardFeePercent+CardFeeFixed,2),0))))</f>
        <v>0</v>
      </c>
      <c r="T992" s="26">
        <f>IF(B992="","",ROUND(IF(G992="",0,G992)*R992-S992,2))</f>
        <v>0</v>
      </c>
      <c r="U992" s="38">
        <f>IF(B992="","",IF(E992="Tip","Yes","No"))</f>
        <v>0</v>
      </c>
      <c r="V992" s="15">
        <f>IF(B992="","",IF(H992&lt;&gt;"","Sale "&amp;H992,IF(I992&lt;&gt;"","Booking "&amp;I992,IF(E992="Tip","Stylist","Unapplied"))))</f>
        <v>0</v>
      </c>
      <c r="W992" s="39">
        <f>IF(B992="","",IF(G992="","Add - no amount yet",IF(E992="","Add - what was this for?",IF(IF(H992="",FALSE,COUNTIF(Sales!$A$5:$A$1204,H992)=0),"Missing - no sale with that ID",IF(IF(I992="",FALSE,COUNTIF(Appointments!$A$5:$A$1204,I992)=0),"Missing - no booking with that ID",IF(IF(E992="Tip",J992="",FALSE),"Assign - whose tip is it?",IF(IF(E992="Deposit",IF(H992="",I992="",FALSE),FALSE),"Check - deposit not tied to a booking",IF(M992="No","Due - not reconciled yet","OK"))))))))</f>
        <v>0</v>
      </c>
    </row>
    <row r="993" spans="1:23">
      <c r="A993" s="28">
        <f>IF(B993="","",PaymentPrefix&amp;TEXT(ROW()-4,"0000"))</f>
        <v>0</v>
      </c>
      <c r="D993" s="15">
        <f>IF(C993="","",IFERROR(INDEX(Clients!$B$5:$B$504,MATCH(C993,Clients!$A$5:$A$504,0)),"Walk-in"))</f>
        <v>0</v>
      </c>
      <c r="K993" s="15">
        <f>IF(J993="","",IFERROR(INDEX(Staff!$B$5:$B$44,MATCH(J993,Staff!$A$5:$A$44,0)),""))</f>
        <v>0</v>
      </c>
      <c r="O993" s="15">
        <f>IF(B993="","",TEXT(B993,"yyyy-mm"))</f>
        <v>0</v>
      </c>
      <c r="P993" s="25">
        <f>IF(B993="","",WEEKNUM(B993,2))</f>
        <v>0</v>
      </c>
      <c r="Q993" s="38">
        <f>IF(B993="","",IF(E993="Tip","No",IF(E993="Refund","No","Yes")))</f>
        <v>0</v>
      </c>
      <c r="R993" s="25">
        <f>IF(B993="","",IF(E993="Refund",-1,1))</f>
        <v>0</v>
      </c>
      <c r="S993" s="26">
        <f>IF(B993="","",IF(G993="",0,IF(F993="Card",ROUND(G993*CardFeePercent+CardFeeFixed,2),IF(F993="Online deposit",ROUND(G993*CardFeePercent+CardFeeFixed,2),0))))</f>
        <v>0</v>
      </c>
      <c r="T993" s="26">
        <f>IF(B993="","",ROUND(IF(G993="",0,G993)*R993-S993,2))</f>
        <v>0</v>
      </c>
      <c r="U993" s="38">
        <f>IF(B993="","",IF(E993="Tip","Yes","No"))</f>
        <v>0</v>
      </c>
      <c r="V993" s="15">
        <f>IF(B993="","",IF(H993&lt;&gt;"","Sale "&amp;H993,IF(I993&lt;&gt;"","Booking "&amp;I993,IF(E993="Tip","Stylist","Unapplied"))))</f>
        <v>0</v>
      </c>
      <c r="W993" s="39">
        <f>IF(B993="","",IF(G993="","Add - no amount yet",IF(E993="","Add - what was this for?",IF(IF(H993="",FALSE,COUNTIF(Sales!$A$5:$A$1204,H993)=0),"Missing - no sale with that ID",IF(IF(I993="",FALSE,COUNTIF(Appointments!$A$5:$A$1204,I993)=0),"Missing - no booking with that ID",IF(IF(E993="Tip",J993="",FALSE),"Assign - whose tip is it?",IF(IF(E993="Deposit",IF(H993="",I993="",FALSE),FALSE),"Check - deposit not tied to a booking",IF(M993="No","Due - not reconciled yet","OK"))))))))</f>
        <v>0</v>
      </c>
    </row>
    <row r="994" spans="1:23">
      <c r="A994" s="28">
        <f>IF(B994="","",PaymentPrefix&amp;TEXT(ROW()-4,"0000"))</f>
        <v>0</v>
      </c>
      <c r="D994" s="15">
        <f>IF(C994="","",IFERROR(INDEX(Clients!$B$5:$B$504,MATCH(C994,Clients!$A$5:$A$504,0)),"Walk-in"))</f>
        <v>0</v>
      </c>
      <c r="K994" s="15">
        <f>IF(J994="","",IFERROR(INDEX(Staff!$B$5:$B$44,MATCH(J994,Staff!$A$5:$A$44,0)),""))</f>
        <v>0</v>
      </c>
      <c r="O994" s="15">
        <f>IF(B994="","",TEXT(B994,"yyyy-mm"))</f>
        <v>0</v>
      </c>
      <c r="P994" s="25">
        <f>IF(B994="","",WEEKNUM(B994,2))</f>
        <v>0</v>
      </c>
      <c r="Q994" s="38">
        <f>IF(B994="","",IF(E994="Tip","No",IF(E994="Refund","No","Yes")))</f>
        <v>0</v>
      </c>
      <c r="R994" s="25">
        <f>IF(B994="","",IF(E994="Refund",-1,1))</f>
        <v>0</v>
      </c>
      <c r="S994" s="26">
        <f>IF(B994="","",IF(G994="",0,IF(F994="Card",ROUND(G994*CardFeePercent+CardFeeFixed,2),IF(F994="Online deposit",ROUND(G994*CardFeePercent+CardFeeFixed,2),0))))</f>
        <v>0</v>
      </c>
      <c r="T994" s="26">
        <f>IF(B994="","",ROUND(IF(G994="",0,G994)*R994-S994,2))</f>
        <v>0</v>
      </c>
      <c r="U994" s="38">
        <f>IF(B994="","",IF(E994="Tip","Yes","No"))</f>
        <v>0</v>
      </c>
      <c r="V994" s="15">
        <f>IF(B994="","",IF(H994&lt;&gt;"","Sale "&amp;H994,IF(I994&lt;&gt;"","Booking "&amp;I994,IF(E994="Tip","Stylist","Unapplied"))))</f>
        <v>0</v>
      </c>
      <c r="W994" s="39">
        <f>IF(B994="","",IF(G994="","Add - no amount yet",IF(E994="","Add - what was this for?",IF(IF(H994="",FALSE,COUNTIF(Sales!$A$5:$A$1204,H994)=0),"Missing - no sale with that ID",IF(IF(I994="",FALSE,COUNTIF(Appointments!$A$5:$A$1204,I994)=0),"Missing - no booking with that ID",IF(IF(E994="Tip",J994="",FALSE),"Assign - whose tip is it?",IF(IF(E994="Deposit",IF(H994="",I994="",FALSE),FALSE),"Check - deposit not tied to a booking",IF(M994="No","Due - not reconciled yet","OK"))))))))</f>
        <v>0</v>
      </c>
    </row>
    <row r="995" spans="1:23">
      <c r="A995" s="28">
        <f>IF(B995="","",PaymentPrefix&amp;TEXT(ROW()-4,"0000"))</f>
        <v>0</v>
      </c>
      <c r="D995" s="15">
        <f>IF(C995="","",IFERROR(INDEX(Clients!$B$5:$B$504,MATCH(C995,Clients!$A$5:$A$504,0)),"Walk-in"))</f>
        <v>0</v>
      </c>
      <c r="K995" s="15">
        <f>IF(J995="","",IFERROR(INDEX(Staff!$B$5:$B$44,MATCH(J995,Staff!$A$5:$A$44,0)),""))</f>
        <v>0</v>
      </c>
      <c r="O995" s="15">
        <f>IF(B995="","",TEXT(B995,"yyyy-mm"))</f>
        <v>0</v>
      </c>
      <c r="P995" s="25">
        <f>IF(B995="","",WEEKNUM(B995,2))</f>
        <v>0</v>
      </c>
      <c r="Q995" s="38">
        <f>IF(B995="","",IF(E995="Tip","No",IF(E995="Refund","No","Yes")))</f>
        <v>0</v>
      </c>
      <c r="R995" s="25">
        <f>IF(B995="","",IF(E995="Refund",-1,1))</f>
        <v>0</v>
      </c>
      <c r="S995" s="26">
        <f>IF(B995="","",IF(G995="",0,IF(F995="Card",ROUND(G995*CardFeePercent+CardFeeFixed,2),IF(F995="Online deposit",ROUND(G995*CardFeePercent+CardFeeFixed,2),0))))</f>
        <v>0</v>
      </c>
      <c r="T995" s="26">
        <f>IF(B995="","",ROUND(IF(G995="",0,G995)*R995-S995,2))</f>
        <v>0</v>
      </c>
      <c r="U995" s="38">
        <f>IF(B995="","",IF(E995="Tip","Yes","No"))</f>
        <v>0</v>
      </c>
      <c r="V995" s="15">
        <f>IF(B995="","",IF(H995&lt;&gt;"","Sale "&amp;H995,IF(I995&lt;&gt;"","Booking "&amp;I995,IF(E995="Tip","Stylist","Unapplied"))))</f>
        <v>0</v>
      </c>
      <c r="W995" s="39">
        <f>IF(B995="","",IF(G995="","Add - no amount yet",IF(E995="","Add - what was this for?",IF(IF(H995="",FALSE,COUNTIF(Sales!$A$5:$A$1204,H995)=0),"Missing - no sale with that ID",IF(IF(I995="",FALSE,COUNTIF(Appointments!$A$5:$A$1204,I995)=0),"Missing - no booking with that ID",IF(IF(E995="Tip",J995="",FALSE),"Assign - whose tip is it?",IF(IF(E995="Deposit",IF(H995="",I995="",FALSE),FALSE),"Check - deposit not tied to a booking",IF(M995="No","Due - not reconciled yet","OK"))))))))</f>
        <v>0</v>
      </c>
    </row>
    <row r="996" spans="1:23">
      <c r="A996" s="28">
        <f>IF(B996="","",PaymentPrefix&amp;TEXT(ROW()-4,"0000"))</f>
        <v>0</v>
      </c>
      <c r="D996" s="15">
        <f>IF(C996="","",IFERROR(INDEX(Clients!$B$5:$B$504,MATCH(C996,Clients!$A$5:$A$504,0)),"Walk-in"))</f>
        <v>0</v>
      </c>
      <c r="K996" s="15">
        <f>IF(J996="","",IFERROR(INDEX(Staff!$B$5:$B$44,MATCH(J996,Staff!$A$5:$A$44,0)),""))</f>
        <v>0</v>
      </c>
      <c r="O996" s="15">
        <f>IF(B996="","",TEXT(B996,"yyyy-mm"))</f>
        <v>0</v>
      </c>
      <c r="P996" s="25">
        <f>IF(B996="","",WEEKNUM(B996,2))</f>
        <v>0</v>
      </c>
      <c r="Q996" s="38">
        <f>IF(B996="","",IF(E996="Tip","No",IF(E996="Refund","No","Yes")))</f>
        <v>0</v>
      </c>
      <c r="R996" s="25">
        <f>IF(B996="","",IF(E996="Refund",-1,1))</f>
        <v>0</v>
      </c>
      <c r="S996" s="26">
        <f>IF(B996="","",IF(G996="",0,IF(F996="Card",ROUND(G996*CardFeePercent+CardFeeFixed,2),IF(F996="Online deposit",ROUND(G996*CardFeePercent+CardFeeFixed,2),0))))</f>
        <v>0</v>
      </c>
      <c r="T996" s="26">
        <f>IF(B996="","",ROUND(IF(G996="",0,G996)*R996-S996,2))</f>
        <v>0</v>
      </c>
      <c r="U996" s="38">
        <f>IF(B996="","",IF(E996="Tip","Yes","No"))</f>
        <v>0</v>
      </c>
      <c r="V996" s="15">
        <f>IF(B996="","",IF(H996&lt;&gt;"","Sale "&amp;H996,IF(I996&lt;&gt;"","Booking "&amp;I996,IF(E996="Tip","Stylist","Unapplied"))))</f>
        <v>0</v>
      </c>
      <c r="W996" s="39">
        <f>IF(B996="","",IF(G996="","Add - no amount yet",IF(E996="","Add - what was this for?",IF(IF(H996="",FALSE,COUNTIF(Sales!$A$5:$A$1204,H996)=0),"Missing - no sale with that ID",IF(IF(I996="",FALSE,COUNTIF(Appointments!$A$5:$A$1204,I996)=0),"Missing - no booking with that ID",IF(IF(E996="Tip",J996="",FALSE),"Assign - whose tip is it?",IF(IF(E996="Deposit",IF(H996="",I996="",FALSE),FALSE),"Check - deposit not tied to a booking",IF(M996="No","Due - not reconciled yet","OK"))))))))</f>
        <v>0</v>
      </c>
    </row>
    <row r="997" spans="1:23">
      <c r="A997" s="28">
        <f>IF(B997="","",PaymentPrefix&amp;TEXT(ROW()-4,"0000"))</f>
        <v>0</v>
      </c>
      <c r="D997" s="15">
        <f>IF(C997="","",IFERROR(INDEX(Clients!$B$5:$B$504,MATCH(C997,Clients!$A$5:$A$504,0)),"Walk-in"))</f>
        <v>0</v>
      </c>
      <c r="K997" s="15">
        <f>IF(J997="","",IFERROR(INDEX(Staff!$B$5:$B$44,MATCH(J997,Staff!$A$5:$A$44,0)),""))</f>
        <v>0</v>
      </c>
      <c r="O997" s="15">
        <f>IF(B997="","",TEXT(B997,"yyyy-mm"))</f>
        <v>0</v>
      </c>
      <c r="P997" s="25">
        <f>IF(B997="","",WEEKNUM(B997,2))</f>
        <v>0</v>
      </c>
      <c r="Q997" s="38">
        <f>IF(B997="","",IF(E997="Tip","No",IF(E997="Refund","No","Yes")))</f>
        <v>0</v>
      </c>
      <c r="R997" s="25">
        <f>IF(B997="","",IF(E997="Refund",-1,1))</f>
        <v>0</v>
      </c>
      <c r="S997" s="26">
        <f>IF(B997="","",IF(G997="",0,IF(F997="Card",ROUND(G997*CardFeePercent+CardFeeFixed,2),IF(F997="Online deposit",ROUND(G997*CardFeePercent+CardFeeFixed,2),0))))</f>
        <v>0</v>
      </c>
      <c r="T997" s="26">
        <f>IF(B997="","",ROUND(IF(G997="",0,G997)*R997-S997,2))</f>
        <v>0</v>
      </c>
      <c r="U997" s="38">
        <f>IF(B997="","",IF(E997="Tip","Yes","No"))</f>
        <v>0</v>
      </c>
      <c r="V997" s="15">
        <f>IF(B997="","",IF(H997&lt;&gt;"","Sale "&amp;H997,IF(I997&lt;&gt;"","Booking "&amp;I997,IF(E997="Tip","Stylist","Unapplied"))))</f>
        <v>0</v>
      </c>
      <c r="W997" s="39">
        <f>IF(B997="","",IF(G997="","Add - no amount yet",IF(E997="","Add - what was this for?",IF(IF(H997="",FALSE,COUNTIF(Sales!$A$5:$A$1204,H997)=0),"Missing - no sale with that ID",IF(IF(I997="",FALSE,COUNTIF(Appointments!$A$5:$A$1204,I997)=0),"Missing - no booking with that ID",IF(IF(E997="Tip",J997="",FALSE),"Assign - whose tip is it?",IF(IF(E997="Deposit",IF(H997="",I997="",FALSE),FALSE),"Check - deposit not tied to a booking",IF(M997="No","Due - not reconciled yet","OK"))))))))</f>
        <v>0</v>
      </c>
    </row>
    <row r="998" spans="1:23">
      <c r="A998" s="28">
        <f>IF(B998="","",PaymentPrefix&amp;TEXT(ROW()-4,"0000"))</f>
        <v>0</v>
      </c>
      <c r="D998" s="15">
        <f>IF(C998="","",IFERROR(INDEX(Clients!$B$5:$B$504,MATCH(C998,Clients!$A$5:$A$504,0)),"Walk-in"))</f>
        <v>0</v>
      </c>
      <c r="K998" s="15">
        <f>IF(J998="","",IFERROR(INDEX(Staff!$B$5:$B$44,MATCH(J998,Staff!$A$5:$A$44,0)),""))</f>
        <v>0</v>
      </c>
      <c r="O998" s="15">
        <f>IF(B998="","",TEXT(B998,"yyyy-mm"))</f>
        <v>0</v>
      </c>
      <c r="P998" s="25">
        <f>IF(B998="","",WEEKNUM(B998,2))</f>
        <v>0</v>
      </c>
      <c r="Q998" s="38">
        <f>IF(B998="","",IF(E998="Tip","No",IF(E998="Refund","No","Yes")))</f>
        <v>0</v>
      </c>
      <c r="R998" s="25">
        <f>IF(B998="","",IF(E998="Refund",-1,1))</f>
        <v>0</v>
      </c>
      <c r="S998" s="26">
        <f>IF(B998="","",IF(G998="",0,IF(F998="Card",ROUND(G998*CardFeePercent+CardFeeFixed,2),IF(F998="Online deposit",ROUND(G998*CardFeePercent+CardFeeFixed,2),0))))</f>
        <v>0</v>
      </c>
      <c r="T998" s="26">
        <f>IF(B998="","",ROUND(IF(G998="",0,G998)*R998-S998,2))</f>
        <v>0</v>
      </c>
      <c r="U998" s="38">
        <f>IF(B998="","",IF(E998="Tip","Yes","No"))</f>
        <v>0</v>
      </c>
      <c r="V998" s="15">
        <f>IF(B998="","",IF(H998&lt;&gt;"","Sale "&amp;H998,IF(I998&lt;&gt;"","Booking "&amp;I998,IF(E998="Tip","Stylist","Unapplied"))))</f>
        <v>0</v>
      </c>
      <c r="W998" s="39">
        <f>IF(B998="","",IF(G998="","Add - no amount yet",IF(E998="","Add - what was this for?",IF(IF(H998="",FALSE,COUNTIF(Sales!$A$5:$A$1204,H998)=0),"Missing - no sale with that ID",IF(IF(I998="",FALSE,COUNTIF(Appointments!$A$5:$A$1204,I998)=0),"Missing - no booking with that ID",IF(IF(E998="Tip",J998="",FALSE),"Assign - whose tip is it?",IF(IF(E998="Deposit",IF(H998="",I998="",FALSE),FALSE),"Check - deposit not tied to a booking",IF(M998="No","Due - not reconciled yet","OK"))))))))</f>
        <v>0</v>
      </c>
    </row>
    <row r="999" spans="1:23">
      <c r="A999" s="28">
        <f>IF(B999="","",PaymentPrefix&amp;TEXT(ROW()-4,"0000"))</f>
        <v>0</v>
      </c>
      <c r="D999" s="15">
        <f>IF(C999="","",IFERROR(INDEX(Clients!$B$5:$B$504,MATCH(C999,Clients!$A$5:$A$504,0)),"Walk-in"))</f>
        <v>0</v>
      </c>
      <c r="K999" s="15">
        <f>IF(J999="","",IFERROR(INDEX(Staff!$B$5:$B$44,MATCH(J999,Staff!$A$5:$A$44,0)),""))</f>
        <v>0</v>
      </c>
      <c r="O999" s="15">
        <f>IF(B999="","",TEXT(B999,"yyyy-mm"))</f>
        <v>0</v>
      </c>
      <c r="P999" s="25">
        <f>IF(B999="","",WEEKNUM(B999,2))</f>
        <v>0</v>
      </c>
      <c r="Q999" s="38">
        <f>IF(B999="","",IF(E999="Tip","No",IF(E999="Refund","No","Yes")))</f>
        <v>0</v>
      </c>
      <c r="R999" s="25">
        <f>IF(B999="","",IF(E999="Refund",-1,1))</f>
        <v>0</v>
      </c>
      <c r="S999" s="26">
        <f>IF(B999="","",IF(G999="",0,IF(F999="Card",ROUND(G999*CardFeePercent+CardFeeFixed,2),IF(F999="Online deposit",ROUND(G999*CardFeePercent+CardFeeFixed,2),0))))</f>
        <v>0</v>
      </c>
      <c r="T999" s="26">
        <f>IF(B999="","",ROUND(IF(G999="",0,G999)*R999-S999,2))</f>
        <v>0</v>
      </c>
      <c r="U999" s="38">
        <f>IF(B999="","",IF(E999="Tip","Yes","No"))</f>
        <v>0</v>
      </c>
      <c r="V999" s="15">
        <f>IF(B999="","",IF(H999&lt;&gt;"","Sale "&amp;H999,IF(I999&lt;&gt;"","Booking "&amp;I999,IF(E999="Tip","Stylist","Unapplied"))))</f>
        <v>0</v>
      </c>
      <c r="W999" s="39">
        <f>IF(B999="","",IF(G999="","Add - no amount yet",IF(E999="","Add - what was this for?",IF(IF(H999="",FALSE,COUNTIF(Sales!$A$5:$A$1204,H999)=0),"Missing - no sale with that ID",IF(IF(I999="",FALSE,COUNTIF(Appointments!$A$5:$A$1204,I999)=0),"Missing - no booking with that ID",IF(IF(E999="Tip",J999="",FALSE),"Assign - whose tip is it?",IF(IF(E999="Deposit",IF(H999="",I999="",FALSE),FALSE),"Check - deposit not tied to a booking",IF(M999="No","Due - not reconciled yet","OK"))))))))</f>
        <v>0</v>
      </c>
    </row>
    <row r="1000" spans="1:23">
      <c r="A1000" s="28">
        <f>IF(B1000="","",PaymentPrefix&amp;TEXT(ROW()-4,"0000"))</f>
        <v>0</v>
      </c>
      <c r="D1000" s="15">
        <f>IF(C1000="","",IFERROR(INDEX(Clients!$B$5:$B$504,MATCH(C1000,Clients!$A$5:$A$504,0)),"Walk-in"))</f>
        <v>0</v>
      </c>
      <c r="K1000" s="15">
        <f>IF(J1000="","",IFERROR(INDEX(Staff!$B$5:$B$44,MATCH(J1000,Staff!$A$5:$A$44,0)),""))</f>
        <v>0</v>
      </c>
      <c r="O1000" s="15">
        <f>IF(B1000="","",TEXT(B1000,"yyyy-mm"))</f>
        <v>0</v>
      </c>
      <c r="P1000" s="25">
        <f>IF(B1000="","",WEEKNUM(B1000,2))</f>
        <v>0</v>
      </c>
      <c r="Q1000" s="38">
        <f>IF(B1000="","",IF(E1000="Tip","No",IF(E1000="Refund","No","Yes")))</f>
        <v>0</v>
      </c>
      <c r="R1000" s="25">
        <f>IF(B1000="","",IF(E1000="Refund",-1,1))</f>
        <v>0</v>
      </c>
      <c r="S1000" s="26">
        <f>IF(B1000="","",IF(G1000="",0,IF(F1000="Card",ROUND(G1000*CardFeePercent+CardFeeFixed,2),IF(F1000="Online deposit",ROUND(G1000*CardFeePercent+CardFeeFixed,2),0))))</f>
        <v>0</v>
      </c>
      <c r="T1000" s="26">
        <f>IF(B1000="","",ROUND(IF(G1000="",0,G1000)*R1000-S1000,2))</f>
        <v>0</v>
      </c>
      <c r="U1000" s="38">
        <f>IF(B1000="","",IF(E1000="Tip","Yes","No"))</f>
        <v>0</v>
      </c>
      <c r="V1000" s="15">
        <f>IF(B1000="","",IF(H1000&lt;&gt;"","Sale "&amp;H1000,IF(I1000&lt;&gt;"","Booking "&amp;I1000,IF(E1000="Tip","Stylist","Unapplied"))))</f>
        <v>0</v>
      </c>
      <c r="W1000" s="39">
        <f>IF(B1000="","",IF(G1000="","Add - no amount yet",IF(E1000="","Add - what was this for?",IF(IF(H1000="",FALSE,COUNTIF(Sales!$A$5:$A$1204,H1000)=0),"Missing - no sale with that ID",IF(IF(I1000="",FALSE,COUNTIF(Appointments!$A$5:$A$1204,I1000)=0),"Missing - no booking with that ID",IF(IF(E1000="Tip",J1000="",FALSE),"Assign - whose tip is it?",IF(IF(E1000="Deposit",IF(H1000="",I1000="",FALSE),FALSE),"Check - deposit not tied to a booking",IF(M1000="No","Due - not reconciled yet","OK"))))))))</f>
        <v>0</v>
      </c>
    </row>
    <row r="1001" spans="1:23">
      <c r="A1001" s="28">
        <f>IF(B1001="","",PaymentPrefix&amp;TEXT(ROW()-4,"0000"))</f>
        <v>0</v>
      </c>
      <c r="D1001" s="15">
        <f>IF(C1001="","",IFERROR(INDEX(Clients!$B$5:$B$504,MATCH(C1001,Clients!$A$5:$A$504,0)),"Walk-in"))</f>
        <v>0</v>
      </c>
      <c r="K1001" s="15">
        <f>IF(J1001="","",IFERROR(INDEX(Staff!$B$5:$B$44,MATCH(J1001,Staff!$A$5:$A$44,0)),""))</f>
        <v>0</v>
      </c>
      <c r="O1001" s="15">
        <f>IF(B1001="","",TEXT(B1001,"yyyy-mm"))</f>
        <v>0</v>
      </c>
      <c r="P1001" s="25">
        <f>IF(B1001="","",WEEKNUM(B1001,2))</f>
        <v>0</v>
      </c>
      <c r="Q1001" s="38">
        <f>IF(B1001="","",IF(E1001="Tip","No",IF(E1001="Refund","No","Yes")))</f>
        <v>0</v>
      </c>
      <c r="R1001" s="25">
        <f>IF(B1001="","",IF(E1001="Refund",-1,1))</f>
        <v>0</v>
      </c>
      <c r="S1001" s="26">
        <f>IF(B1001="","",IF(G1001="",0,IF(F1001="Card",ROUND(G1001*CardFeePercent+CardFeeFixed,2),IF(F1001="Online deposit",ROUND(G1001*CardFeePercent+CardFeeFixed,2),0))))</f>
        <v>0</v>
      </c>
      <c r="T1001" s="26">
        <f>IF(B1001="","",ROUND(IF(G1001="",0,G1001)*R1001-S1001,2))</f>
        <v>0</v>
      </c>
      <c r="U1001" s="38">
        <f>IF(B1001="","",IF(E1001="Tip","Yes","No"))</f>
        <v>0</v>
      </c>
      <c r="V1001" s="15">
        <f>IF(B1001="","",IF(H1001&lt;&gt;"","Sale "&amp;H1001,IF(I1001&lt;&gt;"","Booking "&amp;I1001,IF(E1001="Tip","Stylist","Unapplied"))))</f>
        <v>0</v>
      </c>
      <c r="W1001" s="39">
        <f>IF(B1001="","",IF(G1001="","Add - no amount yet",IF(E1001="","Add - what was this for?",IF(IF(H1001="",FALSE,COUNTIF(Sales!$A$5:$A$1204,H1001)=0),"Missing - no sale with that ID",IF(IF(I1001="",FALSE,COUNTIF(Appointments!$A$5:$A$1204,I1001)=0),"Missing - no booking with that ID",IF(IF(E1001="Tip",J1001="",FALSE),"Assign - whose tip is it?",IF(IF(E1001="Deposit",IF(H1001="",I1001="",FALSE),FALSE),"Check - deposit not tied to a booking",IF(M1001="No","Due - not reconciled yet","OK"))))))))</f>
        <v>0</v>
      </c>
    </row>
    <row r="1002" spans="1:23">
      <c r="A1002" s="28">
        <f>IF(B1002="","",PaymentPrefix&amp;TEXT(ROW()-4,"0000"))</f>
        <v>0</v>
      </c>
      <c r="D1002" s="15">
        <f>IF(C1002="","",IFERROR(INDEX(Clients!$B$5:$B$504,MATCH(C1002,Clients!$A$5:$A$504,0)),"Walk-in"))</f>
        <v>0</v>
      </c>
      <c r="K1002" s="15">
        <f>IF(J1002="","",IFERROR(INDEX(Staff!$B$5:$B$44,MATCH(J1002,Staff!$A$5:$A$44,0)),""))</f>
        <v>0</v>
      </c>
      <c r="O1002" s="15">
        <f>IF(B1002="","",TEXT(B1002,"yyyy-mm"))</f>
        <v>0</v>
      </c>
      <c r="P1002" s="25">
        <f>IF(B1002="","",WEEKNUM(B1002,2))</f>
        <v>0</v>
      </c>
      <c r="Q1002" s="38">
        <f>IF(B1002="","",IF(E1002="Tip","No",IF(E1002="Refund","No","Yes")))</f>
        <v>0</v>
      </c>
      <c r="R1002" s="25">
        <f>IF(B1002="","",IF(E1002="Refund",-1,1))</f>
        <v>0</v>
      </c>
      <c r="S1002" s="26">
        <f>IF(B1002="","",IF(G1002="",0,IF(F1002="Card",ROUND(G1002*CardFeePercent+CardFeeFixed,2),IF(F1002="Online deposit",ROUND(G1002*CardFeePercent+CardFeeFixed,2),0))))</f>
        <v>0</v>
      </c>
      <c r="T1002" s="26">
        <f>IF(B1002="","",ROUND(IF(G1002="",0,G1002)*R1002-S1002,2))</f>
        <v>0</v>
      </c>
      <c r="U1002" s="38">
        <f>IF(B1002="","",IF(E1002="Tip","Yes","No"))</f>
        <v>0</v>
      </c>
      <c r="V1002" s="15">
        <f>IF(B1002="","",IF(H1002&lt;&gt;"","Sale "&amp;H1002,IF(I1002&lt;&gt;"","Booking "&amp;I1002,IF(E1002="Tip","Stylist","Unapplied"))))</f>
        <v>0</v>
      </c>
      <c r="W1002" s="39">
        <f>IF(B1002="","",IF(G1002="","Add - no amount yet",IF(E1002="","Add - what was this for?",IF(IF(H1002="",FALSE,COUNTIF(Sales!$A$5:$A$1204,H1002)=0),"Missing - no sale with that ID",IF(IF(I1002="",FALSE,COUNTIF(Appointments!$A$5:$A$1204,I1002)=0),"Missing - no booking with that ID",IF(IF(E1002="Tip",J1002="",FALSE),"Assign - whose tip is it?",IF(IF(E1002="Deposit",IF(H1002="",I1002="",FALSE),FALSE),"Check - deposit not tied to a booking",IF(M1002="No","Due - not reconciled yet","OK"))))))))</f>
        <v>0</v>
      </c>
    </row>
    <row r="1003" spans="1:23">
      <c r="A1003" s="28">
        <f>IF(B1003="","",PaymentPrefix&amp;TEXT(ROW()-4,"0000"))</f>
        <v>0</v>
      </c>
      <c r="D1003" s="15">
        <f>IF(C1003="","",IFERROR(INDEX(Clients!$B$5:$B$504,MATCH(C1003,Clients!$A$5:$A$504,0)),"Walk-in"))</f>
        <v>0</v>
      </c>
      <c r="K1003" s="15">
        <f>IF(J1003="","",IFERROR(INDEX(Staff!$B$5:$B$44,MATCH(J1003,Staff!$A$5:$A$44,0)),""))</f>
        <v>0</v>
      </c>
      <c r="O1003" s="15">
        <f>IF(B1003="","",TEXT(B1003,"yyyy-mm"))</f>
        <v>0</v>
      </c>
      <c r="P1003" s="25">
        <f>IF(B1003="","",WEEKNUM(B1003,2))</f>
        <v>0</v>
      </c>
      <c r="Q1003" s="38">
        <f>IF(B1003="","",IF(E1003="Tip","No",IF(E1003="Refund","No","Yes")))</f>
        <v>0</v>
      </c>
      <c r="R1003" s="25">
        <f>IF(B1003="","",IF(E1003="Refund",-1,1))</f>
        <v>0</v>
      </c>
      <c r="S1003" s="26">
        <f>IF(B1003="","",IF(G1003="",0,IF(F1003="Card",ROUND(G1003*CardFeePercent+CardFeeFixed,2),IF(F1003="Online deposit",ROUND(G1003*CardFeePercent+CardFeeFixed,2),0))))</f>
        <v>0</v>
      </c>
      <c r="T1003" s="26">
        <f>IF(B1003="","",ROUND(IF(G1003="",0,G1003)*R1003-S1003,2))</f>
        <v>0</v>
      </c>
      <c r="U1003" s="38">
        <f>IF(B1003="","",IF(E1003="Tip","Yes","No"))</f>
        <v>0</v>
      </c>
      <c r="V1003" s="15">
        <f>IF(B1003="","",IF(H1003&lt;&gt;"","Sale "&amp;H1003,IF(I1003&lt;&gt;"","Booking "&amp;I1003,IF(E1003="Tip","Stylist","Unapplied"))))</f>
        <v>0</v>
      </c>
      <c r="W1003" s="39">
        <f>IF(B1003="","",IF(G1003="","Add - no amount yet",IF(E1003="","Add - what was this for?",IF(IF(H1003="",FALSE,COUNTIF(Sales!$A$5:$A$1204,H1003)=0),"Missing - no sale with that ID",IF(IF(I1003="",FALSE,COUNTIF(Appointments!$A$5:$A$1204,I1003)=0),"Missing - no booking with that ID",IF(IF(E1003="Tip",J1003="",FALSE),"Assign - whose tip is it?",IF(IF(E1003="Deposit",IF(H1003="",I1003="",FALSE),FALSE),"Check - deposit not tied to a booking",IF(M1003="No","Due - not reconciled yet","OK"))))))))</f>
        <v>0</v>
      </c>
    </row>
    <row r="1004" spans="1:23">
      <c r="A1004" s="28">
        <f>IF(B1004="","",PaymentPrefix&amp;TEXT(ROW()-4,"0000"))</f>
        <v>0</v>
      </c>
      <c r="D1004" s="15">
        <f>IF(C1004="","",IFERROR(INDEX(Clients!$B$5:$B$504,MATCH(C1004,Clients!$A$5:$A$504,0)),"Walk-in"))</f>
        <v>0</v>
      </c>
      <c r="K1004" s="15">
        <f>IF(J1004="","",IFERROR(INDEX(Staff!$B$5:$B$44,MATCH(J1004,Staff!$A$5:$A$44,0)),""))</f>
        <v>0</v>
      </c>
      <c r="O1004" s="15">
        <f>IF(B1004="","",TEXT(B1004,"yyyy-mm"))</f>
        <v>0</v>
      </c>
      <c r="P1004" s="25">
        <f>IF(B1004="","",WEEKNUM(B1004,2))</f>
        <v>0</v>
      </c>
      <c r="Q1004" s="38">
        <f>IF(B1004="","",IF(E1004="Tip","No",IF(E1004="Refund","No","Yes")))</f>
        <v>0</v>
      </c>
      <c r="R1004" s="25">
        <f>IF(B1004="","",IF(E1004="Refund",-1,1))</f>
        <v>0</v>
      </c>
      <c r="S1004" s="26">
        <f>IF(B1004="","",IF(G1004="",0,IF(F1004="Card",ROUND(G1004*CardFeePercent+CardFeeFixed,2),IF(F1004="Online deposit",ROUND(G1004*CardFeePercent+CardFeeFixed,2),0))))</f>
        <v>0</v>
      </c>
      <c r="T1004" s="26">
        <f>IF(B1004="","",ROUND(IF(G1004="",0,G1004)*R1004-S1004,2))</f>
        <v>0</v>
      </c>
      <c r="U1004" s="38">
        <f>IF(B1004="","",IF(E1004="Tip","Yes","No"))</f>
        <v>0</v>
      </c>
      <c r="V1004" s="15">
        <f>IF(B1004="","",IF(H1004&lt;&gt;"","Sale "&amp;H1004,IF(I1004&lt;&gt;"","Booking "&amp;I1004,IF(E1004="Tip","Stylist","Unapplied"))))</f>
        <v>0</v>
      </c>
      <c r="W1004" s="39">
        <f>IF(B1004="","",IF(G1004="","Add - no amount yet",IF(E1004="","Add - what was this for?",IF(IF(H1004="",FALSE,COUNTIF(Sales!$A$5:$A$1204,H1004)=0),"Missing - no sale with that ID",IF(IF(I1004="",FALSE,COUNTIF(Appointments!$A$5:$A$1204,I1004)=0),"Missing - no booking with that ID",IF(IF(E1004="Tip",J1004="",FALSE),"Assign - whose tip is it?",IF(IF(E1004="Deposit",IF(H1004="",I1004="",FALSE),FALSE),"Check - deposit not tied to a booking",IF(M1004="No","Due - not reconciled yet","OK"))))))))</f>
        <v>0</v>
      </c>
    </row>
    <row r="1005" spans="1:23">
      <c r="A1005" s="28">
        <f>IF(B1005="","",PaymentPrefix&amp;TEXT(ROW()-4,"0000"))</f>
        <v>0</v>
      </c>
      <c r="D1005" s="15">
        <f>IF(C1005="","",IFERROR(INDEX(Clients!$B$5:$B$504,MATCH(C1005,Clients!$A$5:$A$504,0)),"Walk-in"))</f>
        <v>0</v>
      </c>
      <c r="K1005" s="15">
        <f>IF(J1005="","",IFERROR(INDEX(Staff!$B$5:$B$44,MATCH(J1005,Staff!$A$5:$A$44,0)),""))</f>
        <v>0</v>
      </c>
      <c r="O1005" s="15">
        <f>IF(B1005="","",TEXT(B1005,"yyyy-mm"))</f>
        <v>0</v>
      </c>
      <c r="P1005" s="25">
        <f>IF(B1005="","",WEEKNUM(B1005,2))</f>
        <v>0</v>
      </c>
      <c r="Q1005" s="38">
        <f>IF(B1005="","",IF(E1005="Tip","No",IF(E1005="Refund","No","Yes")))</f>
        <v>0</v>
      </c>
      <c r="R1005" s="25">
        <f>IF(B1005="","",IF(E1005="Refund",-1,1))</f>
        <v>0</v>
      </c>
      <c r="S1005" s="26">
        <f>IF(B1005="","",IF(G1005="",0,IF(F1005="Card",ROUND(G1005*CardFeePercent+CardFeeFixed,2),IF(F1005="Online deposit",ROUND(G1005*CardFeePercent+CardFeeFixed,2),0))))</f>
        <v>0</v>
      </c>
      <c r="T1005" s="26">
        <f>IF(B1005="","",ROUND(IF(G1005="",0,G1005)*R1005-S1005,2))</f>
        <v>0</v>
      </c>
      <c r="U1005" s="38">
        <f>IF(B1005="","",IF(E1005="Tip","Yes","No"))</f>
        <v>0</v>
      </c>
      <c r="V1005" s="15">
        <f>IF(B1005="","",IF(H1005&lt;&gt;"","Sale "&amp;H1005,IF(I1005&lt;&gt;"","Booking "&amp;I1005,IF(E1005="Tip","Stylist","Unapplied"))))</f>
        <v>0</v>
      </c>
      <c r="W1005" s="39">
        <f>IF(B1005="","",IF(G1005="","Add - no amount yet",IF(E1005="","Add - what was this for?",IF(IF(H1005="",FALSE,COUNTIF(Sales!$A$5:$A$1204,H1005)=0),"Missing - no sale with that ID",IF(IF(I1005="",FALSE,COUNTIF(Appointments!$A$5:$A$1204,I1005)=0),"Missing - no booking with that ID",IF(IF(E1005="Tip",J1005="",FALSE),"Assign - whose tip is it?",IF(IF(E1005="Deposit",IF(H1005="",I1005="",FALSE),FALSE),"Check - deposit not tied to a booking",IF(M1005="No","Due - not reconciled yet","OK"))))))))</f>
        <v>0</v>
      </c>
    </row>
    <row r="1006" spans="1:23">
      <c r="A1006" s="28">
        <f>IF(B1006="","",PaymentPrefix&amp;TEXT(ROW()-4,"0000"))</f>
        <v>0</v>
      </c>
      <c r="D1006" s="15">
        <f>IF(C1006="","",IFERROR(INDEX(Clients!$B$5:$B$504,MATCH(C1006,Clients!$A$5:$A$504,0)),"Walk-in"))</f>
        <v>0</v>
      </c>
      <c r="K1006" s="15">
        <f>IF(J1006="","",IFERROR(INDEX(Staff!$B$5:$B$44,MATCH(J1006,Staff!$A$5:$A$44,0)),""))</f>
        <v>0</v>
      </c>
      <c r="O1006" s="15">
        <f>IF(B1006="","",TEXT(B1006,"yyyy-mm"))</f>
        <v>0</v>
      </c>
      <c r="P1006" s="25">
        <f>IF(B1006="","",WEEKNUM(B1006,2))</f>
        <v>0</v>
      </c>
      <c r="Q1006" s="38">
        <f>IF(B1006="","",IF(E1006="Tip","No",IF(E1006="Refund","No","Yes")))</f>
        <v>0</v>
      </c>
      <c r="R1006" s="25">
        <f>IF(B1006="","",IF(E1006="Refund",-1,1))</f>
        <v>0</v>
      </c>
      <c r="S1006" s="26">
        <f>IF(B1006="","",IF(G1006="",0,IF(F1006="Card",ROUND(G1006*CardFeePercent+CardFeeFixed,2),IF(F1006="Online deposit",ROUND(G1006*CardFeePercent+CardFeeFixed,2),0))))</f>
        <v>0</v>
      </c>
      <c r="T1006" s="26">
        <f>IF(B1006="","",ROUND(IF(G1006="",0,G1006)*R1006-S1006,2))</f>
        <v>0</v>
      </c>
      <c r="U1006" s="38">
        <f>IF(B1006="","",IF(E1006="Tip","Yes","No"))</f>
        <v>0</v>
      </c>
      <c r="V1006" s="15">
        <f>IF(B1006="","",IF(H1006&lt;&gt;"","Sale "&amp;H1006,IF(I1006&lt;&gt;"","Booking "&amp;I1006,IF(E1006="Tip","Stylist","Unapplied"))))</f>
        <v>0</v>
      </c>
      <c r="W1006" s="39">
        <f>IF(B1006="","",IF(G1006="","Add - no amount yet",IF(E1006="","Add - what was this for?",IF(IF(H1006="",FALSE,COUNTIF(Sales!$A$5:$A$1204,H1006)=0),"Missing - no sale with that ID",IF(IF(I1006="",FALSE,COUNTIF(Appointments!$A$5:$A$1204,I1006)=0),"Missing - no booking with that ID",IF(IF(E1006="Tip",J1006="",FALSE),"Assign - whose tip is it?",IF(IF(E1006="Deposit",IF(H1006="",I1006="",FALSE),FALSE),"Check - deposit not tied to a booking",IF(M1006="No","Due - not reconciled yet","OK"))))))))</f>
        <v>0</v>
      </c>
    </row>
    <row r="1007" spans="1:23">
      <c r="A1007" s="28">
        <f>IF(B1007="","",PaymentPrefix&amp;TEXT(ROW()-4,"0000"))</f>
        <v>0</v>
      </c>
      <c r="D1007" s="15">
        <f>IF(C1007="","",IFERROR(INDEX(Clients!$B$5:$B$504,MATCH(C1007,Clients!$A$5:$A$504,0)),"Walk-in"))</f>
        <v>0</v>
      </c>
      <c r="K1007" s="15">
        <f>IF(J1007="","",IFERROR(INDEX(Staff!$B$5:$B$44,MATCH(J1007,Staff!$A$5:$A$44,0)),""))</f>
        <v>0</v>
      </c>
      <c r="O1007" s="15">
        <f>IF(B1007="","",TEXT(B1007,"yyyy-mm"))</f>
        <v>0</v>
      </c>
      <c r="P1007" s="25">
        <f>IF(B1007="","",WEEKNUM(B1007,2))</f>
        <v>0</v>
      </c>
      <c r="Q1007" s="38">
        <f>IF(B1007="","",IF(E1007="Tip","No",IF(E1007="Refund","No","Yes")))</f>
        <v>0</v>
      </c>
      <c r="R1007" s="25">
        <f>IF(B1007="","",IF(E1007="Refund",-1,1))</f>
        <v>0</v>
      </c>
      <c r="S1007" s="26">
        <f>IF(B1007="","",IF(G1007="",0,IF(F1007="Card",ROUND(G1007*CardFeePercent+CardFeeFixed,2),IF(F1007="Online deposit",ROUND(G1007*CardFeePercent+CardFeeFixed,2),0))))</f>
        <v>0</v>
      </c>
      <c r="T1007" s="26">
        <f>IF(B1007="","",ROUND(IF(G1007="",0,G1007)*R1007-S1007,2))</f>
        <v>0</v>
      </c>
      <c r="U1007" s="38">
        <f>IF(B1007="","",IF(E1007="Tip","Yes","No"))</f>
        <v>0</v>
      </c>
      <c r="V1007" s="15">
        <f>IF(B1007="","",IF(H1007&lt;&gt;"","Sale "&amp;H1007,IF(I1007&lt;&gt;"","Booking "&amp;I1007,IF(E1007="Tip","Stylist","Unapplied"))))</f>
        <v>0</v>
      </c>
      <c r="W1007" s="39">
        <f>IF(B1007="","",IF(G1007="","Add - no amount yet",IF(E1007="","Add - what was this for?",IF(IF(H1007="",FALSE,COUNTIF(Sales!$A$5:$A$1204,H1007)=0),"Missing - no sale with that ID",IF(IF(I1007="",FALSE,COUNTIF(Appointments!$A$5:$A$1204,I1007)=0),"Missing - no booking with that ID",IF(IF(E1007="Tip",J1007="",FALSE),"Assign - whose tip is it?",IF(IF(E1007="Deposit",IF(H1007="",I1007="",FALSE),FALSE),"Check - deposit not tied to a booking",IF(M1007="No","Due - not reconciled yet","OK"))))))))</f>
        <v>0</v>
      </c>
    </row>
    <row r="1008" spans="1:23">
      <c r="A1008" s="28">
        <f>IF(B1008="","",PaymentPrefix&amp;TEXT(ROW()-4,"0000"))</f>
        <v>0</v>
      </c>
      <c r="D1008" s="15">
        <f>IF(C1008="","",IFERROR(INDEX(Clients!$B$5:$B$504,MATCH(C1008,Clients!$A$5:$A$504,0)),"Walk-in"))</f>
        <v>0</v>
      </c>
      <c r="K1008" s="15">
        <f>IF(J1008="","",IFERROR(INDEX(Staff!$B$5:$B$44,MATCH(J1008,Staff!$A$5:$A$44,0)),""))</f>
        <v>0</v>
      </c>
      <c r="O1008" s="15">
        <f>IF(B1008="","",TEXT(B1008,"yyyy-mm"))</f>
        <v>0</v>
      </c>
      <c r="P1008" s="25">
        <f>IF(B1008="","",WEEKNUM(B1008,2))</f>
        <v>0</v>
      </c>
      <c r="Q1008" s="38">
        <f>IF(B1008="","",IF(E1008="Tip","No",IF(E1008="Refund","No","Yes")))</f>
        <v>0</v>
      </c>
      <c r="R1008" s="25">
        <f>IF(B1008="","",IF(E1008="Refund",-1,1))</f>
        <v>0</v>
      </c>
      <c r="S1008" s="26">
        <f>IF(B1008="","",IF(G1008="",0,IF(F1008="Card",ROUND(G1008*CardFeePercent+CardFeeFixed,2),IF(F1008="Online deposit",ROUND(G1008*CardFeePercent+CardFeeFixed,2),0))))</f>
        <v>0</v>
      </c>
      <c r="T1008" s="26">
        <f>IF(B1008="","",ROUND(IF(G1008="",0,G1008)*R1008-S1008,2))</f>
        <v>0</v>
      </c>
      <c r="U1008" s="38">
        <f>IF(B1008="","",IF(E1008="Tip","Yes","No"))</f>
        <v>0</v>
      </c>
      <c r="V1008" s="15">
        <f>IF(B1008="","",IF(H1008&lt;&gt;"","Sale "&amp;H1008,IF(I1008&lt;&gt;"","Booking "&amp;I1008,IF(E1008="Tip","Stylist","Unapplied"))))</f>
        <v>0</v>
      </c>
      <c r="W1008" s="39">
        <f>IF(B1008="","",IF(G1008="","Add - no amount yet",IF(E1008="","Add - what was this for?",IF(IF(H1008="",FALSE,COUNTIF(Sales!$A$5:$A$1204,H1008)=0),"Missing - no sale with that ID",IF(IF(I1008="",FALSE,COUNTIF(Appointments!$A$5:$A$1204,I1008)=0),"Missing - no booking with that ID",IF(IF(E1008="Tip",J1008="",FALSE),"Assign - whose tip is it?",IF(IF(E1008="Deposit",IF(H1008="",I1008="",FALSE),FALSE),"Check - deposit not tied to a booking",IF(M1008="No","Due - not reconciled yet","OK"))))))))</f>
        <v>0</v>
      </c>
    </row>
    <row r="1009" spans="1:23">
      <c r="A1009" s="28">
        <f>IF(B1009="","",PaymentPrefix&amp;TEXT(ROW()-4,"0000"))</f>
        <v>0</v>
      </c>
      <c r="D1009" s="15">
        <f>IF(C1009="","",IFERROR(INDEX(Clients!$B$5:$B$504,MATCH(C1009,Clients!$A$5:$A$504,0)),"Walk-in"))</f>
        <v>0</v>
      </c>
      <c r="K1009" s="15">
        <f>IF(J1009="","",IFERROR(INDEX(Staff!$B$5:$B$44,MATCH(J1009,Staff!$A$5:$A$44,0)),""))</f>
        <v>0</v>
      </c>
      <c r="O1009" s="15">
        <f>IF(B1009="","",TEXT(B1009,"yyyy-mm"))</f>
        <v>0</v>
      </c>
      <c r="P1009" s="25">
        <f>IF(B1009="","",WEEKNUM(B1009,2))</f>
        <v>0</v>
      </c>
      <c r="Q1009" s="38">
        <f>IF(B1009="","",IF(E1009="Tip","No",IF(E1009="Refund","No","Yes")))</f>
        <v>0</v>
      </c>
      <c r="R1009" s="25">
        <f>IF(B1009="","",IF(E1009="Refund",-1,1))</f>
        <v>0</v>
      </c>
      <c r="S1009" s="26">
        <f>IF(B1009="","",IF(G1009="",0,IF(F1009="Card",ROUND(G1009*CardFeePercent+CardFeeFixed,2),IF(F1009="Online deposit",ROUND(G1009*CardFeePercent+CardFeeFixed,2),0))))</f>
        <v>0</v>
      </c>
      <c r="T1009" s="26">
        <f>IF(B1009="","",ROUND(IF(G1009="",0,G1009)*R1009-S1009,2))</f>
        <v>0</v>
      </c>
      <c r="U1009" s="38">
        <f>IF(B1009="","",IF(E1009="Tip","Yes","No"))</f>
        <v>0</v>
      </c>
      <c r="V1009" s="15">
        <f>IF(B1009="","",IF(H1009&lt;&gt;"","Sale "&amp;H1009,IF(I1009&lt;&gt;"","Booking "&amp;I1009,IF(E1009="Tip","Stylist","Unapplied"))))</f>
        <v>0</v>
      </c>
      <c r="W1009" s="39">
        <f>IF(B1009="","",IF(G1009="","Add - no amount yet",IF(E1009="","Add - what was this for?",IF(IF(H1009="",FALSE,COUNTIF(Sales!$A$5:$A$1204,H1009)=0),"Missing - no sale with that ID",IF(IF(I1009="",FALSE,COUNTIF(Appointments!$A$5:$A$1204,I1009)=0),"Missing - no booking with that ID",IF(IF(E1009="Tip",J1009="",FALSE),"Assign - whose tip is it?",IF(IF(E1009="Deposit",IF(H1009="",I1009="",FALSE),FALSE),"Check - deposit not tied to a booking",IF(M1009="No","Due - not reconciled yet","OK"))))))))</f>
        <v>0</v>
      </c>
    </row>
    <row r="1010" spans="1:23">
      <c r="A1010" s="28">
        <f>IF(B1010="","",PaymentPrefix&amp;TEXT(ROW()-4,"0000"))</f>
        <v>0</v>
      </c>
      <c r="D1010" s="15">
        <f>IF(C1010="","",IFERROR(INDEX(Clients!$B$5:$B$504,MATCH(C1010,Clients!$A$5:$A$504,0)),"Walk-in"))</f>
        <v>0</v>
      </c>
      <c r="K1010" s="15">
        <f>IF(J1010="","",IFERROR(INDEX(Staff!$B$5:$B$44,MATCH(J1010,Staff!$A$5:$A$44,0)),""))</f>
        <v>0</v>
      </c>
      <c r="O1010" s="15">
        <f>IF(B1010="","",TEXT(B1010,"yyyy-mm"))</f>
        <v>0</v>
      </c>
      <c r="P1010" s="25">
        <f>IF(B1010="","",WEEKNUM(B1010,2))</f>
        <v>0</v>
      </c>
      <c r="Q1010" s="38">
        <f>IF(B1010="","",IF(E1010="Tip","No",IF(E1010="Refund","No","Yes")))</f>
        <v>0</v>
      </c>
      <c r="R1010" s="25">
        <f>IF(B1010="","",IF(E1010="Refund",-1,1))</f>
        <v>0</v>
      </c>
      <c r="S1010" s="26">
        <f>IF(B1010="","",IF(G1010="",0,IF(F1010="Card",ROUND(G1010*CardFeePercent+CardFeeFixed,2),IF(F1010="Online deposit",ROUND(G1010*CardFeePercent+CardFeeFixed,2),0))))</f>
        <v>0</v>
      </c>
      <c r="T1010" s="26">
        <f>IF(B1010="","",ROUND(IF(G1010="",0,G1010)*R1010-S1010,2))</f>
        <v>0</v>
      </c>
      <c r="U1010" s="38">
        <f>IF(B1010="","",IF(E1010="Tip","Yes","No"))</f>
        <v>0</v>
      </c>
      <c r="V1010" s="15">
        <f>IF(B1010="","",IF(H1010&lt;&gt;"","Sale "&amp;H1010,IF(I1010&lt;&gt;"","Booking "&amp;I1010,IF(E1010="Tip","Stylist","Unapplied"))))</f>
        <v>0</v>
      </c>
      <c r="W1010" s="39">
        <f>IF(B1010="","",IF(G1010="","Add - no amount yet",IF(E1010="","Add - what was this for?",IF(IF(H1010="",FALSE,COUNTIF(Sales!$A$5:$A$1204,H1010)=0),"Missing - no sale with that ID",IF(IF(I1010="",FALSE,COUNTIF(Appointments!$A$5:$A$1204,I1010)=0),"Missing - no booking with that ID",IF(IF(E1010="Tip",J1010="",FALSE),"Assign - whose tip is it?",IF(IF(E1010="Deposit",IF(H1010="",I1010="",FALSE),FALSE),"Check - deposit not tied to a booking",IF(M1010="No","Due - not reconciled yet","OK"))))))))</f>
        <v>0</v>
      </c>
    </row>
    <row r="1011" spans="1:23">
      <c r="A1011" s="28">
        <f>IF(B1011="","",PaymentPrefix&amp;TEXT(ROW()-4,"0000"))</f>
        <v>0</v>
      </c>
      <c r="D1011" s="15">
        <f>IF(C1011="","",IFERROR(INDEX(Clients!$B$5:$B$504,MATCH(C1011,Clients!$A$5:$A$504,0)),"Walk-in"))</f>
        <v>0</v>
      </c>
      <c r="K1011" s="15">
        <f>IF(J1011="","",IFERROR(INDEX(Staff!$B$5:$B$44,MATCH(J1011,Staff!$A$5:$A$44,0)),""))</f>
        <v>0</v>
      </c>
      <c r="O1011" s="15">
        <f>IF(B1011="","",TEXT(B1011,"yyyy-mm"))</f>
        <v>0</v>
      </c>
      <c r="P1011" s="25">
        <f>IF(B1011="","",WEEKNUM(B1011,2))</f>
        <v>0</v>
      </c>
      <c r="Q1011" s="38">
        <f>IF(B1011="","",IF(E1011="Tip","No",IF(E1011="Refund","No","Yes")))</f>
        <v>0</v>
      </c>
      <c r="R1011" s="25">
        <f>IF(B1011="","",IF(E1011="Refund",-1,1))</f>
        <v>0</v>
      </c>
      <c r="S1011" s="26">
        <f>IF(B1011="","",IF(G1011="",0,IF(F1011="Card",ROUND(G1011*CardFeePercent+CardFeeFixed,2),IF(F1011="Online deposit",ROUND(G1011*CardFeePercent+CardFeeFixed,2),0))))</f>
        <v>0</v>
      </c>
      <c r="T1011" s="26">
        <f>IF(B1011="","",ROUND(IF(G1011="",0,G1011)*R1011-S1011,2))</f>
        <v>0</v>
      </c>
      <c r="U1011" s="38">
        <f>IF(B1011="","",IF(E1011="Tip","Yes","No"))</f>
        <v>0</v>
      </c>
      <c r="V1011" s="15">
        <f>IF(B1011="","",IF(H1011&lt;&gt;"","Sale "&amp;H1011,IF(I1011&lt;&gt;"","Booking "&amp;I1011,IF(E1011="Tip","Stylist","Unapplied"))))</f>
        <v>0</v>
      </c>
      <c r="W1011" s="39">
        <f>IF(B1011="","",IF(G1011="","Add - no amount yet",IF(E1011="","Add - what was this for?",IF(IF(H1011="",FALSE,COUNTIF(Sales!$A$5:$A$1204,H1011)=0),"Missing - no sale with that ID",IF(IF(I1011="",FALSE,COUNTIF(Appointments!$A$5:$A$1204,I1011)=0),"Missing - no booking with that ID",IF(IF(E1011="Tip",J1011="",FALSE),"Assign - whose tip is it?",IF(IF(E1011="Deposit",IF(H1011="",I1011="",FALSE),FALSE),"Check - deposit not tied to a booking",IF(M1011="No","Due - not reconciled yet","OK"))))))))</f>
        <v>0</v>
      </c>
    </row>
    <row r="1012" spans="1:23">
      <c r="A1012" s="28">
        <f>IF(B1012="","",PaymentPrefix&amp;TEXT(ROW()-4,"0000"))</f>
        <v>0</v>
      </c>
      <c r="D1012" s="15">
        <f>IF(C1012="","",IFERROR(INDEX(Clients!$B$5:$B$504,MATCH(C1012,Clients!$A$5:$A$504,0)),"Walk-in"))</f>
        <v>0</v>
      </c>
      <c r="K1012" s="15">
        <f>IF(J1012="","",IFERROR(INDEX(Staff!$B$5:$B$44,MATCH(J1012,Staff!$A$5:$A$44,0)),""))</f>
        <v>0</v>
      </c>
      <c r="O1012" s="15">
        <f>IF(B1012="","",TEXT(B1012,"yyyy-mm"))</f>
        <v>0</v>
      </c>
      <c r="P1012" s="25">
        <f>IF(B1012="","",WEEKNUM(B1012,2))</f>
        <v>0</v>
      </c>
      <c r="Q1012" s="38">
        <f>IF(B1012="","",IF(E1012="Tip","No",IF(E1012="Refund","No","Yes")))</f>
        <v>0</v>
      </c>
      <c r="R1012" s="25">
        <f>IF(B1012="","",IF(E1012="Refund",-1,1))</f>
        <v>0</v>
      </c>
      <c r="S1012" s="26">
        <f>IF(B1012="","",IF(G1012="",0,IF(F1012="Card",ROUND(G1012*CardFeePercent+CardFeeFixed,2),IF(F1012="Online deposit",ROUND(G1012*CardFeePercent+CardFeeFixed,2),0))))</f>
        <v>0</v>
      </c>
      <c r="T1012" s="26">
        <f>IF(B1012="","",ROUND(IF(G1012="",0,G1012)*R1012-S1012,2))</f>
        <v>0</v>
      </c>
      <c r="U1012" s="38">
        <f>IF(B1012="","",IF(E1012="Tip","Yes","No"))</f>
        <v>0</v>
      </c>
      <c r="V1012" s="15">
        <f>IF(B1012="","",IF(H1012&lt;&gt;"","Sale "&amp;H1012,IF(I1012&lt;&gt;"","Booking "&amp;I1012,IF(E1012="Tip","Stylist","Unapplied"))))</f>
        <v>0</v>
      </c>
      <c r="W1012" s="39">
        <f>IF(B1012="","",IF(G1012="","Add - no amount yet",IF(E1012="","Add - what was this for?",IF(IF(H1012="",FALSE,COUNTIF(Sales!$A$5:$A$1204,H1012)=0),"Missing - no sale with that ID",IF(IF(I1012="",FALSE,COUNTIF(Appointments!$A$5:$A$1204,I1012)=0),"Missing - no booking with that ID",IF(IF(E1012="Tip",J1012="",FALSE),"Assign - whose tip is it?",IF(IF(E1012="Deposit",IF(H1012="",I1012="",FALSE),FALSE),"Check - deposit not tied to a booking",IF(M1012="No","Due - not reconciled yet","OK"))))))))</f>
        <v>0</v>
      </c>
    </row>
    <row r="1013" spans="1:23">
      <c r="A1013" s="28">
        <f>IF(B1013="","",PaymentPrefix&amp;TEXT(ROW()-4,"0000"))</f>
        <v>0</v>
      </c>
      <c r="D1013" s="15">
        <f>IF(C1013="","",IFERROR(INDEX(Clients!$B$5:$B$504,MATCH(C1013,Clients!$A$5:$A$504,0)),"Walk-in"))</f>
        <v>0</v>
      </c>
      <c r="K1013" s="15">
        <f>IF(J1013="","",IFERROR(INDEX(Staff!$B$5:$B$44,MATCH(J1013,Staff!$A$5:$A$44,0)),""))</f>
        <v>0</v>
      </c>
      <c r="O1013" s="15">
        <f>IF(B1013="","",TEXT(B1013,"yyyy-mm"))</f>
        <v>0</v>
      </c>
      <c r="P1013" s="25">
        <f>IF(B1013="","",WEEKNUM(B1013,2))</f>
        <v>0</v>
      </c>
      <c r="Q1013" s="38">
        <f>IF(B1013="","",IF(E1013="Tip","No",IF(E1013="Refund","No","Yes")))</f>
        <v>0</v>
      </c>
      <c r="R1013" s="25">
        <f>IF(B1013="","",IF(E1013="Refund",-1,1))</f>
        <v>0</v>
      </c>
      <c r="S1013" s="26">
        <f>IF(B1013="","",IF(G1013="",0,IF(F1013="Card",ROUND(G1013*CardFeePercent+CardFeeFixed,2),IF(F1013="Online deposit",ROUND(G1013*CardFeePercent+CardFeeFixed,2),0))))</f>
        <v>0</v>
      </c>
      <c r="T1013" s="26">
        <f>IF(B1013="","",ROUND(IF(G1013="",0,G1013)*R1013-S1013,2))</f>
        <v>0</v>
      </c>
      <c r="U1013" s="38">
        <f>IF(B1013="","",IF(E1013="Tip","Yes","No"))</f>
        <v>0</v>
      </c>
      <c r="V1013" s="15">
        <f>IF(B1013="","",IF(H1013&lt;&gt;"","Sale "&amp;H1013,IF(I1013&lt;&gt;"","Booking "&amp;I1013,IF(E1013="Tip","Stylist","Unapplied"))))</f>
        <v>0</v>
      </c>
      <c r="W1013" s="39">
        <f>IF(B1013="","",IF(G1013="","Add - no amount yet",IF(E1013="","Add - what was this for?",IF(IF(H1013="",FALSE,COUNTIF(Sales!$A$5:$A$1204,H1013)=0),"Missing - no sale with that ID",IF(IF(I1013="",FALSE,COUNTIF(Appointments!$A$5:$A$1204,I1013)=0),"Missing - no booking with that ID",IF(IF(E1013="Tip",J1013="",FALSE),"Assign - whose tip is it?",IF(IF(E1013="Deposit",IF(H1013="",I1013="",FALSE),FALSE),"Check - deposit not tied to a booking",IF(M1013="No","Due - not reconciled yet","OK"))))))))</f>
        <v>0</v>
      </c>
    </row>
    <row r="1014" spans="1:23">
      <c r="A1014" s="28">
        <f>IF(B1014="","",PaymentPrefix&amp;TEXT(ROW()-4,"0000"))</f>
        <v>0</v>
      </c>
      <c r="D1014" s="15">
        <f>IF(C1014="","",IFERROR(INDEX(Clients!$B$5:$B$504,MATCH(C1014,Clients!$A$5:$A$504,0)),"Walk-in"))</f>
        <v>0</v>
      </c>
      <c r="K1014" s="15">
        <f>IF(J1014="","",IFERROR(INDEX(Staff!$B$5:$B$44,MATCH(J1014,Staff!$A$5:$A$44,0)),""))</f>
        <v>0</v>
      </c>
      <c r="O1014" s="15">
        <f>IF(B1014="","",TEXT(B1014,"yyyy-mm"))</f>
        <v>0</v>
      </c>
      <c r="P1014" s="25">
        <f>IF(B1014="","",WEEKNUM(B1014,2))</f>
        <v>0</v>
      </c>
      <c r="Q1014" s="38">
        <f>IF(B1014="","",IF(E1014="Tip","No",IF(E1014="Refund","No","Yes")))</f>
        <v>0</v>
      </c>
      <c r="R1014" s="25">
        <f>IF(B1014="","",IF(E1014="Refund",-1,1))</f>
        <v>0</v>
      </c>
      <c r="S1014" s="26">
        <f>IF(B1014="","",IF(G1014="",0,IF(F1014="Card",ROUND(G1014*CardFeePercent+CardFeeFixed,2),IF(F1014="Online deposit",ROUND(G1014*CardFeePercent+CardFeeFixed,2),0))))</f>
        <v>0</v>
      </c>
      <c r="T1014" s="26">
        <f>IF(B1014="","",ROUND(IF(G1014="",0,G1014)*R1014-S1014,2))</f>
        <v>0</v>
      </c>
      <c r="U1014" s="38">
        <f>IF(B1014="","",IF(E1014="Tip","Yes","No"))</f>
        <v>0</v>
      </c>
      <c r="V1014" s="15">
        <f>IF(B1014="","",IF(H1014&lt;&gt;"","Sale "&amp;H1014,IF(I1014&lt;&gt;"","Booking "&amp;I1014,IF(E1014="Tip","Stylist","Unapplied"))))</f>
        <v>0</v>
      </c>
      <c r="W1014" s="39">
        <f>IF(B1014="","",IF(G1014="","Add - no amount yet",IF(E1014="","Add - what was this for?",IF(IF(H1014="",FALSE,COUNTIF(Sales!$A$5:$A$1204,H1014)=0),"Missing - no sale with that ID",IF(IF(I1014="",FALSE,COUNTIF(Appointments!$A$5:$A$1204,I1014)=0),"Missing - no booking with that ID",IF(IF(E1014="Tip",J1014="",FALSE),"Assign - whose tip is it?",IF(IF(E1014="Deposit",IF(H1014="",I1014="",FALSE),FALSE),"Check - deposit not tied to a booking",IF(M1014="No","Due - not reconciled yet","OK"))))))))</f>
        <v>0</v>
      </c>
    </row>
    <row r="1015" spans="1:23">
      <c r="A1015" s="28">
        <f>IF(B1015="","",PaymentPrefix&amp;TEXT(ROW()-4,"0000"))</f>
        <v>0</v>
      </c>
      <c r="D1015" s="15">
        <f>IF(C1015="","",IFERROR(INDEX(Clients!$B$5:$B$504,MATCH(C1015,Clients!$A$5:$A$504,0)),"Walk-in"))</f>
        <v>0</v>
      </c>
      <c r="K1015" s="15">
        <f>IF(J1015="","",IFERROR(INDEX(Staff!$B$5:$B$44,MATCH(J1015,Staff!$A$5:$A$44,0)),""))</f>
        <v>0</v>
      </c>
      <c r="O1015" s="15">
        <f>IF(B1015="","",TEXT(B1015,"yyyy-mm"))</f>
        <v>0</v>
      </c>
      <c r="P1015" s="25">
        <f>IF(B1015="","",WEEKNUM(B1015,2))</f>
        <v>0</v>
      </c>
      <c r="Q1015" s="38">
        <f>IF(B1015="","",IF(E1015="Tip","No",IF(E1015="Refund","No","Yes")))</f>
        <v>0</v>
      </c>
      <c r="R1015" s="25">
        <f>IF(B1015="","",IF(E1015="Refund",-1,1))</f>
        <v>0</v>
      </c>
      <c r="S1015" s="26">
        <f>IF(B1015="","",IF(G1015="",0,IF(F1015="Card",ROUND(G1015*CardFeePercent+CardFeeFixed,2),IF(F1015="Online deposit",ROUND(G1015*CardFeePercent+CardFeeFixed,2),0))))</f>
        <v>0</v>
      </c>
      <c r="T1015" s="26">
        <f>IF(B1015="","",ROUND(IF(G1015="",0,G1015)*R1015-S1015,2))</f>
        <v>0</v>
      </c>
      <c r="U1015" s="38">
        <f>IF(B1015="","",IF(E1015="Tip","Yes","No"))</f>
        <v>0</v>
      </c>
      <c r="V1015" s="15">
        <f>IF(B1015="","",IF(H1015&lt;&gt;"","Sale "&amp;H1015,IF(I1015&lt;&gt;"","Booking "&amp;I1015,IF(E1015="Tip","Stylist","Unapplied"))))</f>
        <v>0</v>
      </c>
      <c r="W1015" s="39">
        <f>IF(B1015="","",IF(G1015="","Add - no amount yet",IF(E1015="","Add - what was this for?",IF(IF(H1015="",FALSE,COUNTIF(Sales!$A$5:$A$1204,H1015)=0),"Missing - no sale with that ID",IF(IF(I1015="",FALSE,COUNTIF(Appointments!$A$5:$A$1204,I1015)=0),"Missing - no booking with that ID",IF(IF(E1015="Tip",J1015="",FALSE),"Assign - whose tip is it?",IF(IF(E1015="Deposit",IF(H1015="",I1015="",FALSE),FALSE),"Check - deposit not tied to a booking",IF(M1015="No","Due - not reconciled yet","OK"))))))))</f>
        <v>0</v>
      </c>
    </row>
    <row r="1016" spans="1:23">
      <c r="A1016" s="28">
        <f>IF(B1016="","",PaymentPrefix&amp;TEXT(ROW()-4,"0000"))</f>
        <v>0</v>
      </c>
      <c r="D1016" s="15">
        <f>IF(C1016="","",IFERROR(INDEX(Clients!$B$5:$B$504,MATCH(C1016,Clients!$A$5:$A$504,0)),"Walk-in"))</f>
        <v>0</v>
      </c>
      <c r="K1016" s="15">
        <f>IF(J1016="","",IFERROR(INDEX(Staff!$B$5:$B$44,MATCH(J1016,Staff!$A$5:$A$44,0)),""))</f>
        <v>0</v>
      </c>
      <c r="O1016" s="15">
        <f>IF(B1016="","",TEXT(B1016,"yyyy-mm"))</f>
        <v>0</v>
      </c>
      <c r="P1016" s="25">
        <f>IF(B1016="","",WEEKNUM(B1016,2))</f>
        <v>0</v>
      </c>
      <c r="Q1016" s="38">
        <f>IF(B1016="","",IF(E1016="Tip","No",IF(E1016="Refund","No","Yes")))</f>
        <v>0</v>
      </c>
      <c r="R1016" s="25">
        <f>IF(B1016="","",IF(E1016="Refund",-1,1))</f>
        <v>0</v>
      </c>
      <c r="S1016" s="26">
        <f>IF(B1016="","",IF(G1016="",0,IF(F1016="Card",ROUND(G1016*CardFeePercent+CardFeeFixed,2),IF(F1016="Online deposit",ROUND(G1016*CardFeePercent+CardFeeFixed,2),0))))</f>
        <v>0</v>
      </c>
      <c r="T1016" s="26">
        <f>IF(B1016="","",ROUND(IF(G1016="",0,G1016)*R1016-S1016,2))</f>
        <v>0</v>
      </c>
      <c r="U1016" s="38">
        <f>IF(B1016="","",IF(E1016="Tip","Yes","No"))</f>
        <v>0</v>
      </c>
      <c r="V1016" s="15">
        <f>IF(B1016="","",IF(H1016&lt;&gt;"","Sale "&amp;H1016,IF(I1016&lt;&gt;"","Booking "&amp;I1016,IF(E1016="Tip","Stylist","Unapplied"))))</f>
        <v>0</v>
      </c>
      <c r="W1016" s="39">
        <f>IF(B1016="","",IF(G1016="","Add - no amount yet",IF(E1016="","Add - what was this for?",IF(IF(H1016="",FALSE,COUNTIF(Sales!$A$5:$A$1204,H1016)=0),"Missing - no sale with that ID",IF(IF(I1016="",FALSE,COUNTIF(Appointments!$A$5:$A$1204,I1016)=0),"Missing - no booking with that ID",IF(IF(E1016="Tip",J1016="",FALSE),"Assign - whose tip is it?",IF(IF(E1016="Deposit",IF(H1016="",I1016="",FALSE),FALSE),"Check - deposit not tied to a booking",IF(M1016="No","Due - not reconciled yet","OK"))))))))</f>
        <v>0</v>
      </c>
    </row>
    <row r="1017" spans="1:23">
      <c r="A1017" s="28">
        <f>IF(B1017="","",PaymentPrefix&amp;TEXT(ROW()-4,"0000"))</f>
        <v>0</v>
      </c>
      <c r="D1017" s="15">
        <f>IF(C1017="","",IFERROR(INDEX(Clients!$B$5:$B$504,MATCH(C1017,Clients!$A$5:$A$504,0)),"Walk-in"))</f>
        <v>0</v>
      </c>
      <c r="K1017" s="15">
        <f>IF(J1017="","",IFERROR(INDEX(Staff!$B$5:$B$44,MATCH(J1017,Staff!$A$5:$A$44,0)),""))</f>
        <v>0</v>
      </c>
      <c r="O1017" s="15">
        <f>IF(B1017="","",TEXT(B1017,"yyyy-mm"))</f>
        <v>0</v>
      </c>
      <c r="P1017" s="25">
        <f>IF(B1017="","",WEEKNUM(B1017,2))</f>
        <v>0</v>
      </c>
      <c r="Q1017" s="38">
        <f>IF(B1017="","",IF(E1017="Tip","No",IF(E1017="Refund","No","Yes")))</f>
        <v>0</v>
      </c>
      <c r="R1017" s="25">
        <f>IF(B1017="","",IF(E1017="Refund",-1,1))</f>
        <v>0</v>
      </c>
      <c r="S1017" s="26">
        <f>IF(B1017="","",IF(G1017="",0,IF(F1017="Card",ROUND(G1017*CardFeePercent+CardFeeFixed,2),IF(F1017="Online deposit",ROUND(G1017*CardFeePercent+CardFeeFixed,2),0))))</f>
        <v>0</v>
      </c>
      <c r="T1017" s="26">
        <f>IF(B1017="","",ROUND(IF(G1017="",0,G1017)*R1017-S1017,2))</f>
        <v>0</v>
      </c>
      <c r="U1017" s="38">
        <f>IF(B1017="","",IF(E1017="Tip","Yes","No"))</f>
        <v>0</v>
      </c>
      <c r="V1017" s="15">
        <f>IF(B1017="","",IF(H1017&lt;&gt;"","Sale "&amp;H1017,IF(I1017&lt;&gt;"","Booking "&amp;I1017,IF(E1017="Tip","Stylist","Unapplied"))))</f>
        <v>0</v>
      </c>
      <c r="W1017" s="39">
        <f>IF(B1017="","",IF(G1017="","Add - no amount yet",IF(E1017="","Add - what was this for?",IF(IF(H1017="",FALSE,COUNTIF(Sales!$A$5:$A$1204,H1017)=0),"Missing - no sale with that ID",IF(IF(I1017="",FALSE,COUNTIF(Appointments!$A$5:$A$1204,I1017)=0),"Missing - no booking with that ID",IF(IF(E1017="Tip",J1017="",FALSE),"Assign - whose tip is it?",IF(IF(E1017="Deposit",IF(H1017="",I1017="",FALSE),FALSE),"Check - deposit not tied to a booking",IF(M1017="No","Due - not reconciled yet","OK"))))))))</f>
        <v>0</v>
      </c>
    </row>
    <row r="1018" spans="1:23">
      <c r="A1018" s="28">
        <f>IF(B1018="","",PaymentPrefix&amp;TEXT(ROW()-4,"0000"))</f>
        <v>0</v>
      </c>
      <c r="D1018" s="15">
        <f>IF(C1018="","",IFERROR(INDEX(Clients!$B$5:$B$504,MATCH(C1018,Clients!$A$5:$A$504,0)),"Walk-in"))</f>
        <v>0</v>
      </c>
      <c r="K1018" s="15">
        <f>IF(J1018="","",IFERROR(INDEX(Staff!$B$5:$B$44,MATCH(J1018,Staff!$A$5:$A$44,0)),""))</f>
        <v>0</v>
      </c>
      <c r="O1018" s="15">
        <f>IF(B1018="","",TEXT(B1018,"yyyy-mm"))</f>
        <v>0</v>
      </c>
      <c r="P1018" s="25">
        <f>IF(B1018="","",WEEKNUM(B1018,2))</f>
        <v>0</v>
      </c>
      <c r="Q1018" s="38">
        <f>IF(B1018="","",IF(E1018="Tip","No",IF(E1018="Refund","No","Yes")))</f>
        <v>0</v>
      </c>
      <c r="R1018" s="25">
        <f>IF(B1018="","",IF(E1018="Refund",-1,1))</f>
        <v>0</v>
      </c>
      <c r="S1018" s="26">
        <f>IF(B1018="","",IF(G1018="",0,IF(F1018="Card",ROUND(G1018*CardFeePercent+CardFeeFixed,2),IF(F1018="Online deposit",ROUND(G1018*CardFeePercent+CardFeeFixed,2),0))))</f>
        <v>0</v>
      </c>
      <c r="T1018" s="26">
        <f>IF(B1018="","",ROUND(IF(G1018="",0,G1018)*R1018-S1018,2))</f>
        <v>0</v>
      </c>
      <c r="U1018" s="38">
        <f>IF(B1018="","",IF(E1018="Tip","Yes","No"))</f>
        <v>0</v>
      </c>
      <c r="V1018" s="15">
        <f>IF(B1018="","",IF(H1018&lt;&gt;"","Sale "&amp;H1018,IF(I1018&lt;&gt;"","Booking "&amp;I1018,IF(E1018="Tip","Stylist","Unapplied"))))</f>
        <v>0</v>
      </c>
      <c r="W1018" s="39">
        <f>IF(B1018="","",IF(G1018="","Add - no amount yet",IF(E1018="","Add - what was this for?",IF(IF(H1018="",FALSE,COUNTIF(Sales!$A$5:$A$1204,H1018)=0),"Missing - no sale with that ID",IF(IF(I1018="",FALSE,COUNTIF(Appointments!$A$5:$A$1204,I1018)=0),"Missing - no booking with that ID",IF(IF(E1018="Tip",J1018="",FALSE),"Assign - whose tip is it?",IF(IF(E1018="Deposit",IF(H1018="",I1018="",FALSE),FALSE),"Check - deposit not tied to a booking",IF(M1018="No","Due - not reconciled yet","OK"))))))))</f>
        <v>0</v>
      </c>
    </row>
    <row r="1019" spans="1:23">
      <c r="A1019" s="28">
        <f>IF(B1019="","",PaymentPrefix&amp;TEXT(ROW()-4,"0000"))</f>
        <v>0</v>
      </c>
      <c r="D1019" s="15">
        <f>IF(C1019="","",IFERROR(INDEX(Clients!$B$5:$B$504,MATCH(C1019,Clients!$A$5:$A$504,0)),"Walk-in"))</f>
        <v>0</v>
      </c>
      <c r="K1019" s="15">
        <f>IF(J1019="","",IFERROR(INDEX(Staff!$B$5:$B$44,MATCH(J1019,Staff!$A$5:$A$44,0)),""))</f>
        <v>0</v>
      </c>
      <c r="O1019" s="15">
        <f>IF(B1019="","",TEXT(B1019,"yyyy-mm"))</f>
        <v>0</v>
      </c>
      <c r="P1019" s="25">
        <f>IF(B1019="","",WEEKNUM(B1019,2))</f>
        <v>0</v>
      </c>
      <c r="Q1019" s="38">
        <f>IF(B1019="","",IF(E1019="Tip","No",IF(E1019="Refund","No","Yes")))</f>
        <v>0</v>
      </c>
      <c r="R1019" s="25">
        <f>IF(B1019="","",IF(E1019="Refund",-1,1))</f>
        <v>0</v>
      </c>
      <c r="S1019" s="26">
        <f>IF(B1019="","",IF(G1019="",0,IF(F1019="Card",ROUND(G1019*CardFeePercent+CardFeeFixed,2),IF(F1019="Online deposit",ROUND(G1019*CardFeePercent+CardFeeFixed,2),0))))</f>
        <v>0</v>
      </c>
      <c r="T1019" s="26">
        <f>IF(B1019="","",ROUND(IF(G1019="",0,G1019)*R1019-S1019,2))</f>
        <v>0</v>
      </c>
      <c r="U1019" s="38">
        <f>IF(B1019="","",IF(E1019="Tip","Yes","No"))</f>
        <v>0</v>
      </c>
      <c r="V1019" s="15">
        <f>IF(B1019="","",IF(H1019&lt;&gt;"","Sale "&amp;H1019,IF(I1019&lt;&gt;"","Booking "&amp;I1019,IF(E1019="Tip","Stylist","Unapplied"))))</f>
        <v>0</v>
      </c>
      <c r="W1019" s="39">
        <f>IF(B1019="","",IF(G1019="","Add - no amount yet",IF(E1019="","Add - what was this for?",IF(IF(H1019="",FALSE,COUNTIF(Sales!$A$5:$A$1204,H1019)=0),"Missing - no sale with that ID",IF(IF(I1019="",FALSE,COUNTIF(Appointments!$A$5:$A$1204,I1019)=0),"Missing - no booking with that ID",IF(IF(E1019="Tip",J1019="",FALSE),"Assign - whose tip is it?",IF(IF(E1019="Deposit",IF(H1019="",I1019="",FALSE),FALSE),"Check - deposit not tied to a booking",IF(M1019="No","Due - not reconciled yet","OK"))))))))</f>
        <v>0</v>
      </c>
    </row>
    <row r="1020" spans="1:23">
      <c r="A1020" s="28">
        <f>IF(B1020="","",PaymentPrefix&amp;TEXT(ROW()-4,"0000"))</f>
        <v>0</v>
      </c>
      <c r="D1020" s="15">
        <f>IF(C1020="","",IFERROR(INDEX(Clients!$B$5:$B$504,MATCH(C1020,Clients!$A$5:$A$504,0)),"Walk-in"))</f>
        <v>0</v>
      </c>
      <c r="K1020" s="15">
        <f>IF(J1020="","",IFERROR(INDEX(Staff!$B$5:$B$44,MATCH(J1020,Staff!$A$5:$A$44,0)),""))</f>
        <v>0</v>
      </c>
      <c r="O1020" s="15">
        <f>IF(B1020="","",TEXT(B1020,"yyyy-mm"))</f>
        <v>0</v>
      </c>
      <c r="P1020" s="25">
        <f>IF(B1020="","",WEEKNUM(B1020,2))</f>
        <v>0</v>
      </c>
      <c r="Q1020" s="38">
        <f>IF(B1020="","",IF(E1020="Tip","No",IF(E1020="Refund","No","Yes")))</f>
        <v>0</v>
      </c>
      <c r="R1020" s="25">
        <f>IF(B1020="","",IF(E1020="Refund",-1,1))</f>
        <v>0</v>
      </c>
      <c r="S1020" s="26">
        <f>IF(B1020="","",IF(G1020="",0,IF(F1020="Card",ROUND(G1020*CardFeePercent+CardFeeFixed,2),IF(F1020="Online deposit",ROUND(G1020*CardFeePercent+CardFeeFixed,2),0))))</f>
        <v>0</v>
      </c>
      <c r="T1020" s="26">
        <f>IF(B1020="","",ROUND(IF(G1020="",0,G1020)*R1020-S1020,2))</f>
        <v>0</v>
      </c>
      <c r="U1020" s="38">
        <f>IF(B1020="","",IF(E1020="Tip","Yes","No"))</f>
        <v>0</v>
      </c>
      <c r="V1020" s="15">
        <f>IF(B1020="","",IF(H1020&lt;&gt;"","Sale "&amp;H1020,IF(I1020&lt;&gt;"","Booking "&amp;I1020,IF(E1020="Tip","Stylist","Unapplied"))))</f>
        <v>0</v>
      </c>
      <c r="W1020" s="39">
        <f>IF(B1020="","",IF(G1020="","Add - no amount yet",IF(E1020="","Add - what was this for?",IF(IF(H1020="",FALSE,COUNTIF(Sales!$A$5:$A$1204,H1020)=0),"Missing - no sale with that ID",IF(IF(I1020="",FALSE,COUNTIF(Appointments!$A$5:$A$1204,I1020)=0),"Missing - no booking with that ID",IF(IF(E1020="Tip",J1020="",FALSE),"Assign - whose tip is it?",IF(IF(E1020="Deposit",IF(H1020="",I1020="",FALSE),FALSE),"Check - deposit not tied to a booking",IF(M1020="No","Due - not reconciled yet","OK"))))))))</f>
        <v>0</v>
      </c>
    </row>
    <row r="1021" spans="1:23">
      <c r="A1021" s="28">
        <f>IF(B1021="","",PaymentPrefix&amp;TEXT(ROW()-4,"0000"))</f>
        <v>0</v>
      </c>
      <c r="D1021" s="15">
        <f>IF(C1021="","",IFERROR(INDEX(Clients!$B$5:$B$504,MATCH(C1021,Clients!$A$5:$A$504,0)),"Walk-in"))</f>
        <v>0</v>
      </c>
      <c r="K1021" s="15">
        <f>IF(J1021="","",IFERROR(INDEX(Staff!$B$5:$B$44,MATCH(J1021,Staff!$A$5:$A$44,0)),""))</f>
        <v>0</v>
      </c>
      <c r="O1021" s="15">
        <f>IF(B1021="","",TEXT(B1021,"yyyy-mm"))</f>
        <v>0</v>
      </c>
      <c r="P1021" s="25">
        <f>IF(B1021="","",WEEKNUM(B1021,2))</f>
        <v>0</v>
      </c>
      <c r="Q1021" s="38">
        <f>IF(B1021="","",IF(E1021="Tip","No",IF(E1021="Refund","No","Yes")))</f>
        <v>0</v>
      </c>
      <c r="R1021" s="25">
        <f>IF(B1021="","",IF(E1021="Refund",-1,1))</f>
        <v>0</v>
      </c>
      <c r="S1021" s="26">
        <f>IF(B1021="","",IF(G1021="",0,IF(F1021="Card",ROUND(G1021*CardFeePercent+CardFeeFixed,2),IF(F1021="Online deposit",ROUND(G1021*CardFeePercent+CardFeeFixed,2),0))))</f>
        <v>0</v>
      </c>
      <c r="T1021" s="26">
        <f>IF(B1021="","",ROUND(IF(G1021="",0,G1021)*R1021-S1021,2))</f>
        <v>0</v>
      </c>
      <c r="U1021" s="38">
        <f>IF(B1021="","",IF(E1021="Tip","Yes","No"))</f>
        <v>0</v>
      </c>
      <c r="V1021" s="15">
        <f>IF(B1021="","",IF(H1021&lt;&gt;"","Sale "&amp;H1021,IF(I1021&lt;&gt;"","Booking "&amp;I1021,IF(E1021="Tip","Stylist","Unapplied"))))</f>
        <v>0</v>
      </c>
      <c r="W1021" s="39">
        <f>IF(B1021="","",IF(G1021="","Add - no amount yet",IF(E1021="","Add - what was this for?",IF(IF(H1021="",FALSE,COUNTIF(Sales!$A$5:$A$1204,H1021)=0),"Missing - no sale with that ID",IF(IF(I1021="",FALSE,COUNTIF(Appointments!$A$5:$A$1204,I1021)=0),"Missing - no booking with that ID",IF(IF(E1021="Tip",J1021="",FALSE),"Assign - whose tip is it?",IF(IF(E1021="Deposit",IF(H1021="",I1021="",FALSE),FALSE),"Check - deposit not tied to a booking",IF(M1021="No","Due - not reconciled yet","OK"))))))))</f>
        <v>0</v>
      </c>
    </row>
    <row r="1022" spans="1:23">
      <c r="A1022" s="28">
        <f>IF(B1022="","",PaymentPrefix&amp;TEXT(ROW()-4,"0000"))</f>
        <v>0</v>
      </c>
      <c r="D1022" s="15">
        <f>IF(C1022="","",IFERROR(INDEX(Clients!$B$5:$B$504,MATCH(C1022,Clients!$A$5:$A$504,0)),"Walk-in"))</f>
        <v>0</v>
      </c>
      <c r="K1022" s="15">
        <f>IF(J1022="","",IFERROR(INDEX(Staff!$B$5:$B$44,MATCH(J1022,Staff!$A$5:$A$44,0)),""))</f>
        <v>0</v>
      </c>
      <c r="O1022" s="15">
        <f>IF(B1022="","",TEXT(B1022,"yyyy-mm"))</f>
        <v>0</v>
      </c>
      <c r="P1022" s="25">
        <f>IF(B1022="","",WEEKNUM(B1022,2))</f>
        <v>0</v>
      </c>
      <c r="Q1022" s="38">
        <f>IF(B1022="","",IF(E1022="Tip","No",IF(E1022="Refund","No","Yes")))</f>
        <v>0</v>
      </c>
      <c r="R1022" s="25">
        <f>IF(B1022="","",IF(E1022="Refund",-1,1))</f>
        <v>0</v>
      </c>
      <c r="S1022" s="26">
        <f>IF(B1022="","",IF(G1022="",0,IF(F1022="Card",ROUND(G1022*CardFeePercent+CardFeeFixed,2),IF(F1022="Online deposit",ROUND(G1022*CardFeePercent+CardFeeFixed,2),0))))</f>
        <v>0</v>
      </c>
      <c r="T1022" s="26">
        <f>IF(B1022="","",ROUND(IF(G1022="",0,G1022)*R1022-S1022,2))</f>
        <v>0</v>
      </c>
      <c r="U1022" s="38">
        <f>IF(B1022="","",IF(E1022="Tip","Yes","No"))</f>
        <v>0</v>
      </c>
      <c r="V1022" s="15">
        <f>IF(B1022="","",IF(H1022&lt;&gt;"","Sale "&amp;H1022,IF(I1022&lt;&gt;"","Booking "&amp;I1022,IF(E1022="Tip","Stylist","Unapplied"))))</f>
        <v>0</v>
      </c>
      <c r="W1022" s="39">
        <f>IF(B1022="","",IF(G1022="","Add - no amount yet",IF(E1022="","Add - what was this for?",IF(IF(H1022="",FALSE,COUNTIF(Sales!$A$5:$A$1204,H1022)=0),"Missing - no sale with that ID",IF(IF(I1022="",FALSE,COUNTIF(Appointments!$A$5:$A$1204,I1022)=0),"Missing - no booking with that ID",IF(IF(E1022="Tip",J1022="",FALSE),"Assign - whose tip is it?",IF(IF(E1022="Deposit",IF(H1022="",I1022="",FALSE),FALSE),"Check - deposit not tied to a booking",IF(M1022="No","Due - not reconciled yet","OK"))))))))</f>
        <v>0</v>
      </c>
    </row>
    <row r="1023" spans="1:23">
      <c r="A1023" s="28">
        <f>IF(B1023="","",PaymentPrefix&amp;TEXT(ROW()-4,"0000"))</f>
        <v>0</v>
      </c>
      <c r="D1023" s="15">
        <f>IF(C1023="","",IFERROR(INDEX(Clients!$B$5:$B$504,MATCH(C1023,Clients!$A$5:$A$504,0)),"Walk-in"))</f>
        <v>0</v>
      </c>
      <c r="K1023" s="15">
        <f>IF(J1023="","",IFERROR(INDEX(Staff!$B$5:$B$44,MATCH(J1023,Staff!$A$5:$A$44,0)),""))</f>
        <v>0</v>
      </c>
      <c r="O1023" s="15">
        <f>IF(B1023="","",TEXT(B1023,"yyyy-mm"))</f>
        <v>0</v>
      </c>
      <c r="P1023" s="25">
        <f>IF(B1023="","",WEEKNUM(B1023,2))</f>
        <v>0</v>
      </c>
      <c r="Q1023" s="38">
        <f>IF(B1023="","",IF(E1023="Tip","No",IF(E1023="Refund","No","Yes")))</f>
        <v>0</v>
      </c>
      <c r="R1023" s="25">
        <f>IF(B1023="","",IF(E1023="Refund",-1,1))</f>
        <v>0</v>
      </c>
      <c r="S1023" s="26">
        <f>IF(B1023="","",IF(G1023="",0,IF(F1023="Card",ROUND(G1023*CardFeePercent+CardFeeFixed,2),IF(F1023="Online deposit",ROUND(G1023*CardFeePercent+CardFeeFixed,2),0))))</f>
        <v>0</v>
      </c>
      <c r="T1023" s="26">
        <f>IF(B1023="","",ROUND(IF(G1023="",0,G1023)*R1023-S1023,2))</f>
        <v>0</v>
      </c>
      <c r="U1023" s="38">
        <f>IF(B1023="","",IF(E1023="Tip","Yes","No"))</f>
        <v>0</v>
      </c>
      <c r="V1023" s="15">
        <f>IF(B1023="","",IF(H1023&lt;&gt;"","Sale "&amp;H1023,IF(I1023&lt;&gt;"","Booking "&amp;I1023,IF(E1023="Tip","Stylist","Unapplied"))))</f>
        <v>0</v>
      </c>
      <c r="W1023" s="39">
        <f>IF(B1023="","",IF(G1023="","Add - no amount yet",IF(E1023="","Add - what was this for?",IF(IF(H1023="",FALSE,COUNTIF(Sales!$A$5:$A$1204,H1023)=0),"Missing - no sale with that ID",IF(IF(I1023="",FALSE,COUNTIF(Appointments!$A$5:$A$1204,I1023)=0),"Missing - no booking with that ID",IF(IF(E1023="Tip",J1023="",FALSE),"Assign - whose tip is it?",IF(IF(E1023="Deposit",IF(H1023="",I1023="",FALSE),FALSE),"Check - deposit not tied to a booking",IF(M1023="No","Due - not reconciled yet","OK"))))))))</f>
        <v>0</v>
      </c>
    </row>
    <row r="1024" spans="1:23">
      <c r="A1024" s="28">
        <f>IF(B1024="","",PaymentPrefix&amp;TEXT(ROW()-4,"0000"))</f>
        <v>0</v>
      </c>
      <c r="D1024" s="15">
        <f>IF(C1024="","",IFERROR(INDEX(Clients!$B$5:$B$504,MATCH(C1024,Clients!$A$5:$A$504,0)),"Walk-in"))</f>
        <v>0</v>
      </c>
      <c r="K1024" s="15">
        <f>IF(J1024="","",IFERROR(INDEX(Staff!$B$5:$B$44,MATCH(J1024,Staff!$A$5:$A$44,0)),""))</f>
        <v>0</v>
      </c>
      <c r="O1024" s="15">
        <f>IF(B1024="","",TEXT(B1024,"yyyy-mm"))</f>
        <v>0</v>
      </c>
      <c r="P1024" s="25">
        <f>IF(B1024="","",WEEKNUM(B1024,2))</f>
        <v>0</v>
      </c>
      <c r="Q1024" s="38">
        <f>IF(B1024="","",IF(E1024="Tip","No",IF(E1024="Refund","No","Yes")))</f>
        <v>0</v>
      </c>
      <c r="R1024" s="25">
        <f>IF(B1024="","",IF(E1024="Refund",-1,1))</f>
        <v>0</v>
      </c>
      <c r="S1024" s="26">
        <f>IF(B1024="","",IF(G1024="",0,IF(F1024="Card",ROUND(G1024*CardFeePercent+CardFeeFixed,2),IF(F1024="Online deposit",ROUND(G1024*CardFeePercent+CardFeeFixed,2),0))))</f>
        <v>0</v>
      </c>
      <c r="T1024" s="26">
        <f>IF(B1024="","",ROUND(IF(G1024="",0,G1024)*R1024-S1024,2))</f>
        <v>0</v>
      </c>
      <c r="U1024" s="38">
        <f>IF(B1024="","",IF(E1024="Tip","Yes","No"))</f>
        <v>0</v>
      </c>
      <c r="V1024" s="15">
        <f>IF(B1024="","",IF(H1024&lt;&gt;"","Sale "&amp;H1024,IF(I1024&lt;&gt;"","Booking "&amp;I1024,IF(E1024="Tip","Stylist","Unapplied"))))</f>
        <v>0</v>
      </c>
      <c r="W1024" s="39">
        <f>IF(B1024="","",IF(G1024="","Add - no amount yet",IF(E1024="","Add - what was this for?",IF(IF(H1024="",FALSE,COUNTIF(Sales!$A$5:$A$1204,H1024)=0),"Missing - no sale with that ID",IF(IF(I1024="",FALSE,COUNTIF(Appointments!$A$5:$A$1204,I1024)=0),"Missing - no booking with that ID",IF(IF(E1024="Tip",J1024="",FALSE),"Assign - whose tip is it?",IF(IF(E1024="Deposit",IF(H1024="",I1024="",FALSE),FALSE),"Check - deposit not tied to a booking",IF(M1024="No","Due - not reconciled yet","OK"))))))))</f>
        <v>0</v>
      </c>
    </row>
    <row r="1025" spans="1:23">
      <c r="A1025" s="28">
        <f>IF(B1025="","",PaymentPrefix&amp;TEXT(ROW()-4,"0000"))</f>
        <v>0</v>
      </c>
      <c r="D1025" s="15">
        <f>IF(C1025="","",IFERROR(INDEX(Clients!$B$5:$B$504,MATCH(C1025,Clients!$A$5:$A$504,0)),"Walk-in"))</f>
        <v>0</v>
      </c>
      <c r="K1025" s="15">
        <f>IF(J1025="","",IFERROR(INDEX(Staff!$B$5:$B$44,MATCH(J1025,Staff!$A$5:$A$44,0)),""))</f>
        <v>0</v>
      </c>
      <c r="O1025" s="15">
        <f>IF(B1025="","",TEXT(B1025,"yyyy-mm"))</f>
        <v>0</v>
      </c>
      <c r="P1025" s="25">
        <f>IF(B1025="","",WEEKNUM(B1025,2))</f>
        <v>0</v>
      </c>
      <c r="Q1025" s="38">
        <f>IF(B1025="","",IF(E1025="Tip","No",IF(E1025="Refund","No","Yes")))</f>
        <v>0</v>
      </c>
      <c r="R1025" s="25">
        <f>IF(B1025="","",IF(E1025="Refund",-1,1))</f>
        <v>0</v>
      </c>
      <c r="S1025" s="26">
        <f>IF(B1025="","",IF(G1025="",0,IF(F1025="Card",ROUND(G1025*CardFeePercent+CardFeeFixed,2),IF(F1025="Online deposit",ROUND(G1025*CardFeePercent+CardFeeFixed,2),0))))</f>
        <v>0</v>
      </c>
      <c r="T1025" s="26">
        <f>IF(B1025="","",ROUND(IF(G1025="",0,G1025)*R1025-S1025,2))</f>
        <v>0</v>
      </c>
      <c r="U1025" s="38">
        <f>IF(B1025="","",IF(E1025="Tip","Yes","No"))</f>
        <v>0</v>
      </c>
      <c r="V1025" s="15">
        <f>IF(B1025="","",IF(H1025&lt;&gt;"","Sale "&amp;H1025,IF(I1025&lt;&gt;"","Booking "&amp;I1025,IF(E1025="Tip","Stylist","Unapplied"))))</f>
        <v>0</v>
      </c>
      <c r="W1025" s="39">
        <f>IF(B1025="","",IF(G1025="","Add - no amount yet",IF(E1025="","Add - what was this for?",IF(IF(H1025="",FALSE,COUNTIF(Sales!$A$5:$A$1204,H1025)=0),"Missing - no sale with that ID",IF(IF(I1025="",FALSE,COUNTIF(Appointments!$A$5:$A$1204,I1025)=0),"Missing - no booking with that ID",IF(IF(E1025="Tip",J1025="",FALSE),"Assign - whose tip is it?",IF(IF(E1025="Deposit",IF(H1025="",I1025="",FALSE),FALSE),"Check - deposit not tied to a booking",IF(M1025="No","Due - not reconciled yet","OK"))))))))</f>
        <v>0</v>
      </c>
    </row>
    <row r="1026" spans="1:23">
      <c r="A1026" s="28">
        <f>IF(B1026="","",PaymentPrefix&amp;TEXT(ROW()-4,"0000"))</f>
        <v>0</v>
      </c>
      <c r="D1026" s="15">
        <f>IF(C1026="","",IFERROR(INDEX(Clients!$B$5:$B$504,MATCH(C1026,Clients!$A$5:$A$504,0)),"Walk-in"))</f>
        <v>0</v>
      </c>
      <c r="K1026" s="15">
        <f>IF(J1026="","",IFERROR(INDEX(Staff!$B$5:$B$44,MATCH(J1026,Staff!$A$5:$A$44,0)),""))</f>
        <v>0</v>
      </c>
      <c r="O1026" s="15">
        <f>IF(B1026="","",TEXT(B1026,"yyyy-mm"))</f>
        <v>0</v>
      </c>
      <c r="P1026" s="25">
        <f>IF(B1026="","",WEEKNUM(B1026,2))</f>
        <v>0</v>
      </c>
      <c r="Q1026" s="38">
        <f>IF(B1026="","",IF(E1026="Tip","No",IF(E1026="Refund","No","Yes")))</f>
        <v>0</v>
      </c>
      <c r="R1026" s="25">
        <f>IF(B1026="","",IF(E1026="Refund",-1,1))</f>
        <v>0</v>
      </c>
      <c r="S1026" s="26">
        <f>IF(B1026="","",IF(G1026="",0,IF(F1026="Card",ROUND(G1026*CardFeePercent+CardFeeFixed,2),IF(F1026="Online deposit",ROUND(G1026*CardFeePercent+CardFeeFixed,2),0))))</f>
        <v>0</v>
      </c>
      <c r="T1026" s="26">
        <f>IF(B1026="","",ROUND(IF(G1026="",0,G1026)*R1026-S1026,2))</f>
        <v>0</v>
      </c>
      <c r="U1026" s="38">
        <f>IF(B1026="","",IF(E1026="Tip","Yes","No"))</f>
        <v>0</v>
      </c>
      <c r="V1026" s="15">
        <f>IF(B1026="","",IF(H1026&lt;&gt;"","Sale "&amp;H1026,IF(I1026&lt;&gt;"","Booking "&amp;I1026,IF(E1026="Tip","Stylist","Unapplied"))))</f>
        <v>0</v>
      </c>
      <c r="W1026" s="39">
        <f>IF(B1026="","",IF(G1026="","Add - no amount yet",IF(E1026="","Add - what was this for?",IF(IF(H1026="",FALSE,COUNTIF(Sales!$A$5:$A$1204,H1026)=0),"Missing - no sale with that ID",IF(IF(I1026="",FALSE,COUNTIF(Appointments!$A$5:$A$1204,I1026)=0),"Missing - no booking with that ID",IF(IF(E1026="Tip",J1026="",FALSE),"Assign - whose tip is it?",IF(IF(E1026="Deposit",IF(H1026="",I1026="",FALSE),FALSE),"Check - deposit not tied to a booking",IF(M1026="No","Due - not reconciled yet","OK"))))))))</f>
        <v>0</v>
      </c>
    </row>
    <row r="1027" spans="1:23">
      <c r="A1027" s="28">
        <f>IF(B1027="","",PaymentPrefix&amp;TEXT(ROW()-4,"0000"))</f>
        <v>0</v>
      </c>
      <c r="D1027" s="15">
        <f>IF(C1027="","",IFERROR(INDEX(Clients!$B$5:$B$504,MATCH(C1027,Clients!$A$5:$A$504,0)),"Walk-in"))</f>
        <v>0</v>
      </c>
      <c r="K1027" s="15">
        <f>IF(J1027="","",IFERROR(INDEX(Staff!$B$5:$B$44,MATCH(J1027,Staff!$A$5:$A$44,0)),""))</f>
        <v>0</v>
      </c>
      <c r="O1027" s="15">
        <f>IF(B1027="","",TEXT(B1027,"yyyy-mm"))</f>
        <v>0</v>
      </c>
      <c r="P1027" s="25">
        <f>IF(B1027="","",WEEKNUM(B1027,2))</f>
        <v>0</v>
      </c>
      <c r="Q1027" s="38">
        <f>IF(B1027="","",IF(E1027="Tip","No",IF(E1027="Refund","No","Yes")))</f>
        <v>0</v>
      </c>
      <c r="R1027" s="25">
        <f>IF(B1027="","",IF(E1027="Refund",-1,1))</f>
        <v>0</v>
      </c>
      <c r="S1027" s="26">
        <f>IF(B1027="","",IF(G1027="",0,IF(F1027="Card",ROUND(G1027*CardFeePercent+CardFeeFixed,2),IF(F1027="Online deposit",ROUND(G1027*CardFeePercent+CardFeeFixed,2),0))))</f>
        <v>0</v>
      </c>
      <c r="T1027" s="26">
        <f>IF(B1027="","",ROUND(IF(G1027="",0,G1027)*R1027-S1027,2))</f>
        <v>0</v>
      </c>
      <c r="U1027" s="38">
        <f>IF(B1027="","",IF(E1027="Tip","Yes","No"))</f>
        <v>0</v>
      </c>
      <c r="V1027" s="15">
        <f>IF(B1027="","",IF(H1027&lt;&gt;"","Sale "&amp;H1027,IF(I1027&lt;&gt;"","Booking "&amp;I1027,IF(E1027="Tip","Stylist","Unapplied"))))</f>
        <v>0</v>
      </c>
      <c r="W1027" s="39">
        <f>IF(B1027="","",IF(G1027="","Add - no amount yet",IF(E1027="","Add - what was this for?",IF(IF(H1027="",FALSE,COUNTIF(Sales!$A$5:$A$1204,H1027)=0),"Missing - no sale with that ID",IF(IF(I1027="",FALSE,COUNTIF(Appointments!$A$5:$A$1204,I1027)=0),"Missing - no booking with that ID",IF(IF(E1027="Tip",J1027="",FALSE),"Assign - whose tip is it?",IF(IF(E1027="Deposit",IF(H1027="",I1027="",FALSE),FALSE),"Check - deposit not tied to a booking",IF(M1027="No","Due - not reconciled yet","OK"))))))))</f>
        <v>0</v>
      </c>
    </row>
    <row r="1028" spans="1:23">
      <c r="A1028" s="28">
        <f>IF(B1028="","",PaymentPrefix&amp;TEXT(ROW()-4,"0000"))</f>
        <v>0</v>
      </c>
      <c r="D1028" s="15">
        <f>IF(C1028="","",IFERROR(INDEX(Clients!$B$5:$B$504,MATCH(C1028,Clients!$A$5:$A$504,0)),"Walk-in"))</f>
        <v>0</v>
      </c>
      <c r="K1028" s="15">
        <f>IF(J1028="","",IFERROR(INDEX(Staff!$B$5:$B$44,MATCH(J1028,Staff!$A$5:$A$44,0)),""))</f>
        <v>0</v>
      </c>
      <c r="O1028" s="15">
        <f>IF(B1028="","",TEXT(B1028,"yyyy-mm"))</f>
        <v>0</v>
      </c>
      <c r="P1028" s="25">
        <f>IF(B1028="","",WEEKNUM(B1028,2))</f>
        <v>0</v>
      </c>
      <c r="Q1028" s="38">
        <f>IF(B1028="","",IF(E1028="Tip","No",IF(E1028="Refund","No","Yes")))</f>
        <v>0</v>
      </c>
      <c r="R1028" s="25">
        <f>IF(B1028="","",IF(E1028="Refund",-1,1))</f>
        <v>0</v>
      </c>
      <c r="S1028" s="26">
        <f>IF(B1028="","",IF(G1028="",0,IF(F1028="Card",ROUND(G1028*CardFeePercent+CardFeeFixed,2),IF(F1028="Online deposit",ROUND(G1028*CardFeePercent+CardFeeFixed,2),0))))</f>
        <v>0</v>
      </c>
      <c r="T1028" s="26">
        <f>IF(B1028="","",ROUND(IF(G1028="",0,G1028)*R1028-S1028,2))</f>
        <v>0</v>
      </c>
      <c r="U1028" s="38">
        <f>IF(B1028="","",IF(E1028="Tip","Yes","No"))</f>
        <v>0</v>
      </c>
      <c r="V1028" s="15">
        <f>IF(B1028="","",IF(H1028&lt;&gt;"","Sale "&amp;H1028,IF(I1028&lt;&gt;"","Booking "&amp;I1028,IF(E1028="Tip","Stylist","Unapplied"))))</f>
        <v>0</v>
      </c>
      <c r="W1028" s="39">
        <f>IF(B1028="","",IF(G1028="","Add - no amount yet",IF(E1028="","Add - what was this for?",IF(IF(H1028="",FALSE,COUNTIF(Sales!$A$5:$A$1204,H1028)=0),"Missing - no sale with that ID",IF(IF(I1028="",FALSE,COUNTIF(Appointments!$A$5:$A$1204,I1028)=0),"Missing - no booking with that ID",IF(IF(E1028="Tip",J1028="",FALSE),"Assign - whose tip is it?",IF(IF(E1028="Deposit",IF(H1028="",I1028="",FALSE),FALSE),"Check - deposit not tied to a booking",IF(M1028="No","Due - not reconciled yet","OK"))))))))</f>
        <v>0</v>
      </c>
    </row>
    <row r="1029" spans="1:23">
      <c r="A1029" s="28">
        <f>IF(B1029="","",PaymentPrefix&amp;TEXT(ROW()-4,"0000"))</f>
        <v>0</v>
      </c>
      <c r="D1029" s="15">
        <f>IF(C1029="","",IFERROR(INDEX(Clients!$B$5:$B$504,MATCH(C1029,Clients!$A$5:$A$504,0)),"Walk-in"))</f>
        <v>0</v>
      </c>
      <c r="K1029" s="15">
        <f>IF(J1029="","",IFERROR(INDEX(Staff!$B$5:$B$44,MATCH(J1029,Staff!$A$5:$A$44,0)),""))</f>
        <v>0</v>
      </c>
      <c r="O1029" s="15">
        <f>IF(B1029="","",TEXT(B1029,"yyyy-mm"))</f>
        <v>0</v>
      </c>
      <c r="P1029" s="25">
        <f>IF(B1029="","",WEEKNUM(B1029,2))</f>
        <v>0</v>
      </c>
      <c r="Q1029" s="38">
        <f>IF(B1029="","",IF(E1029="Tip","No",IF(E1029="Refund","No","Yes")))</f>
        <v>0</v>
      </c>
      <c r="R1029" s="25">
        <f>IF(B1029="","",IF(E1029="Refund",-1,1))</f>
        <v>0</v>
      </c>
      <c r="S1029" s="26">
        <f>IF(B1029="","",IF(G1029="",0,IF(F1029="Card",ROUND(G1029*CardFeePercent+CardFeeFixed,2),IF(F1029="Online deposit",ROUND(G1029*CardFeePercent+CardFeeFixed,2),0))))</f>
        <v>0</v>
      </c>
      <c r="T1029" s="26">
        <f>IF(B1029="","",ROUND(IF(G1029="",0,G1029)*R1029-S1029,2))</f>
        <v>0</v>
      </c>
      <c r="U1029" s="38">
        <f>IF(B1029="","",IF(E1029="Tip","Yes","No"))</f>
        <v>0</v>
      </c>
      <c r="V1029" s="15">
        <f>IF(B1029="","",IF(H1029&lt;&gt;"","Sale "&amp;H1029,IF(I1029&lt;&gt;"","Booking "&amp;I1029,IF(E1029="Tip","Stylist","Unapplied"))))</f>
        <v>0</v>
      </c>
      <c r="W1029" s="39">
        <f>IF(B1029="","",IF(G1029="","Add - no amount yet",IF(E1029="","Add - what was this for?",IF(IF(H1029="",FALSE,COUNTIF(Sales!$A$5:$A$1204,H1029)=0),"Missing - no sale with that ID",IF(IF(I1029="",FALSE,COUNTIF(Appointments!$A$5:$A$1204,I1029)=0),"Missing - no booking with that ID",IF(IF(E1029="Tip",J1029="",FALSE),"Assign - whose tip is it?",IF(IF(E1029="Deposit",IF(H1029="",I1029="",FALSE),FALSE),"Check - deposit not tied to a booking",IF(M1029="No","Due - not reconciled yet","OK"))))))))</f>
        <v>0</v>
      </c>
    </row>
    <row r="1030" spans="1:23">
      <c r="A1030" s="28">
        <f>IF(B1030="","",PaymentPrefix&amp;TEXT(ROW()-4,"0000"))</f>
        <v>0</v>
      </c>
      <c r="D1030" s="15">
        <f>IF(C1030="","",IFERROR(INDEX(Clients!$B$5:$B$504,MATCH(C1030,Clients!$A$5:$A$504,0)),"Walk-in"))</f>
        <v>0</v>
      </c>
      <c r="K1030" s="15">
        <f>IF(J1030="","",IFERROR(INDEX(Staff!$B$5:$B$44,MATCH(J1030,Staff!$A$5:$A$44,0)),""))</f>
        <v>0</v>
      </c>
      <c r="O1030" s="15">
        <f>IF(B1030="","",TEXT(B1030,"yyyy-mm"))</f>
        <v>0</v>
      </c>
      <c r="P1030" s="25">
        <f>IF(B1030="","",WEEKNUM(B1030,2))</f>
        <v>0</v>
      </c>
      <c r="Q1030" s="38">
        <f>IF(B1030="","",IF(E1030="Tip","No",IF(E1030="Refund","No","Yes")))</f>
        <v>0</v>
      </c>
      <c r="R1030" s="25">
        <f>IF(B1030="","",IF(E1030="Refund",-1,1))</f>
        <v>0</v>
      </c>
      <c r="S1030" s="26">
        <f>IF(B1030="","",IF(G1030="",0,IF(F1030="Card",ROUND(G1030*CardFeePercent+CardFeeFixed,2),IF(F1030="Online deposit",ROUND(G1030*CardFeePercent+CardFeeFixed,2),0))))</f>
        <v>0</v>
      </c>
      <c r="T1030" s="26">
        <f>IF(B1030="","",ROUND(IF(G1030="",0,G1030)*R1030-S1030,2))</f>
        <v>0</v>
      </c>
      <c r="U1030" s="38">
        <f>IF(B1030="","",IF(E1030="Tip","Yes","No"))</f>
        <v>0</v>
      </c>
      <c r="V1030" s="15">
        <f>IF(B1030="","",IF(H1030&lt;&gt;"","Sale "&amp;H1030,IF(I1030&lt;&gt;"","Booking "&amp;I1030,IF(E1030="Tip","Stylist","Unapplied"))))</f>
        <v>0</v>
      </c>
      <c r="W1030" s="39">
        <f>IF(B1030="","",IF(G1030="","Add - no amount yet",IF(E1030="","Add - what was this for?",IF(IF(H1030="",FALSE,COUNTIF(Sales!$A$5:$A$1204,H1030)=0),"Missing - no sale with that ID",IF(IF(I1030="",FALSE,COUNTIF(Appointments!$A$5:$A$1204,I1030)=0),"Missing - no booking with that ID",IF(IF(E1030="Tip",J1030="",FALSE),"Assign - whose tip is it?",IF(IF(E1030="Deposit",IF(H1030="",I1030="",FALSE),FALSE),"Check - deposit not tied to a booking",IF(M1030="No","Due - not reconciled yet","OK"))))))))</f>
        <v>0</v>
      </c>
    </row>
    <row r="1031" spans="1:23">
      <c r="A1031" s="28">
        <f>IF(B1031="","",PaymentPrefix&amp;TEXT(ROW()-4,"0000"))</f>
        <v>0</v>
      </c>
      <c r="D1031" s="15">
        <f>IF(C1031="","",IFERROR(INDEX(Clients!$B$5:$B$504,MATCH(C1031,Clients!$A$5:$A$504,0)),"Walk-in"))</f>
        <v>0</v>
      </c>
      <c r="K1031" s="15">
        <f>IF(J1031="","",IFERROR(INDEX(Staff!$B$5:$B$44,MATCH(J1031,Staff!$A$5:$A$44,0)),""))</f>
        <v>0</v>
      </c>
      <c r="O1031" s="15">
        <f>IF(B1031="","",TEXT(B1031,"yyyy-mm"))</f>
        <v>0</v>
      </c>
      <c r="P1031" s="25">
        <f>IF(B1031="","",WEEKNUM(B1031,2))</f>
        <v>0</v>
      </c>
      <c r="Q1031" s="38">
        <f>IF(B1031="","",IF(E1031="Tip","No",IF(E1031="Refund","No","Yes")))</f>
        <v>0</v>
      </c>
      <c r="R1031" s="25">
        <f>IF(B1031="","",IF(E1031="Refund",-1,1))</f>
        <v>0</v>
      </c>
      <c r="S1031" s="26">
        <f>IF(B1031="","",IF(G1031="",0,IF(F1031="Card",ROUND(G1031*CardFeePercent+CardFeeFixed,2),IF(F1031="Online deposit",ROUND(G1031*CardFeePercent+CardFeeFixed,2),0))))</f>
        <v>0</v>
      </c>
      <c r="T1031" s="26">
        <f>IF(B1031="","",ROUND(IF(G1031="",0,G1031)*R1031-S1031,2))</f>
        <v>0</v>
      </c>
      <c r="U1031" s="38">
        <f>IF(B1031="","",IF(E1031="Tip","Yes","No"))</f>
        <v>0</v>
      </c>
      <c r="V1031" s="15">
        <f>IF(B1031="","",IF(H1031&lt;&gt;"","Sale "&amp;H1031,IF(I1031&lt;&gt;"","Booking "&amp;I1031,IF(E1031="Tip","Stylist","Unapplied"))))</f>
        <v>0</v>
      </c>
      <c r="W1031" s="39">
        <f>IF(B1031="","",IF(G1031="","Add - no amount yet",IF(E1031="","Add - what was this for?",IF(IF(H1031="",FALSE,COUNTIF(Sales!$A$5:$A$1204,H1031)=0),"Missing - no sale with that ID",IF(IF(I1031="",FALSE,COUNTIF(Appointments!$A$5:$A$1204,I1031)=0),"Missing - no booking with that ID",IF(IF(E1031="Tip",J1031="",FALSE),"Assign - whose tip is it?",IF(IF(E1031="Deposit",IF(H1031="",I1031="",FALSE),FALSE),"Check - deposit not tied to a booking",IF(M1031="No","Due - not reconciled yet","OK"))))))))</f>
        <v>0</v>
      </c>
    </row>
    <row r="1032" spans="1:23">
      <c r="A1032" s="28">
        <f>IF(B1032="","",PaymentPrefix&amp;TEXT(ROW()-4,"0000"))</f>
        <v>0</v>
      </c>
      <c r="D1032" s="15">
        <f>IF(C1032="","",IFERROR(INDEX(Clients!$B$5:$B$504,MATCH(C1032,Clients!$A$5:$A$504,0)),"Walk-in"))</f>
        <v>0</v>
      </c>
      <c r="K1032" s="15">
        <f>IF(J1032="","",IFERROR(INDEX(Staff!$B$5:$B$44,MATCH(J1032,Staff!$A$5:$A$44,0)),""))</f>
        <v>0</v>
      </c>
      <c r="O1032" s="15">
        <f>IF(B1032="","",TEXT(B1032,"yyyy-mm"))</f>
        <v>0</v>
      </c>
      <c r="P1032" s="25">
        <f>IF(B1032="","",WEEKNUM(B1032,2))</f>
        <v>0</v>
      </c>
      <c r="Q1032" s="38">
        <f>IF(B1032="","",IF(E1032="Tip","No",IF(E1032="Refund","No","Yes")))</f>
        <v>0</v>
      </c>
      <c r="R1032" s="25">
        <f>IF(B1032="","",IF(E1032="Refund",-1,1))</f>
        <v>0</v>
      </c>
      <c r="S1032" s="26">
        <f>IF(B1032="","",IF(G1032="",0,IF(F1032="Card",ROUND(G1032*CardFeePercent+CardFeeFixed,2),IF(F1032="Online deposit",ROUND(G1032*CardFeePercent+CardFeeFixed,2),0))))</f>
        <v>0</v>
      </c>
      <c r="T1032" s="26">
        <f>IF(B1032="","",ROUND(IF(G1032="",0,G1032)*R1032-S1032,2))</f>
        <v>0</v>
      </c>
      <c r="U1032" s="38">
        <f>IF(B1032="","",IF(E1032="Tip","Yes","No"))</f>
        <v>0</v>
      </c>
      <c r="V1032" s="15">
        <f>IF(B1032="","",IF(H1032&lt;&gt;"","Sale "&amp;H1032,IF(I1032&lt;&gt;"","Booking "&amp;I1032,IF(E1032="Tip","Stylist","Unapplied"))))</f>
        <v>0</v>
      </c>
      <c r="W1032" s="39">
        <f>IF(B1032="","",IF(G1032="","Add - no amount yet",IF(E1032="","Add - what was this for?",IF(IF(H1032="",FALSE,COUNTIF(Sales!$A$5:$A$1204,H1032)=0),"Missing - no sale with that ID",IF(IF(I1032="",FALSE,COUNTIF(Appointments!$A$5:$A$1204,I1032)=0),"Missing - no booking with that ID",IF(IF(E1032="Tip",J1032="",FALSE),"Assign - whose tip is it?",IF(IF(E1032="Deposit",IF(H1032="",I1032="",FALSE),FALSE),"Check - deposit not tied to a booking",IF(M1032="No","Due - not reconciled yet","OK"))))))))</f>
        <v>0</v>
      </c>
    </row>
    <row r="1033" spans="1:23">
      <c r="A1033" s="28">
        <f>IF(B1033="","",PaymentPrefix&amp;TEXT(ROW()-4,"0000"))</f>
        <v>0</v>
      </c>
      <c r="D1033" s="15">
        <f>IF(C1033="","",IFERROR(INDEX(Clients!$B$5:$B$504,MATCH(C1033,Clients!$A$5:$A$504,0)),"Walk-in"))</f>
        <v>0</v>
      </c>
      <c r="K1033" s="15">
        <f>IF(J1033="","",IFERROR(INDEX(Staff!$B$5:$B$44,MATCH(J1033,Staff!$A$5:$A$44,0)),""))</f>
        <v>0</v>
      </c>
      <c r="O1033" s="15">
        <f>IF(B1033="","",TEXT(B1033,"yyyy-mm"))</f>
        <v>0</v>
      </c>
      <c r="P1033" s="25">
        <f>IF(B1033="","",WEEKNUM(B1033,2))</f>
        <v>0</v>
      </c>
      <c r="Q1033" s="38">
        <f>IF(B1033="","",IF(E1033="Tip","No",IF(E1033="Refund","No","Yes")))</f>
        <v>0</v>
      </c>
      <c r="R1033" s="25">
        <f>IF(B1033="","",IF(E1033="Refund",-1,1))</f>
        <v>0</v>
      </c>
      <c r="S1033" s="26">
        <f>IF(B1033="","",IF(G1033="",0,IF(F1033="Card",ROUND(G1033*CardFeePercent+CardFeeFixed,2),IF(F1033="Online deposit",ROUND(G1033*CardFeePercent+CardFeeFixed,2),0))))</f>
        <v>0</v>
      </c>
      <c r="T1033" s="26">
        <f>IF(B1033="","",ROUND(IF(G1033="",0,G1033)*R1033-S1033,2))</f>
        <v>0</v>
      </c>
      <c r="U1033" s="38">
        <f>IF(B1033="","",IF(E1033="Tip","Yes","No"))</f>
        <v>0</v>
      </c>
      <c r="V1033" s="15">
        <f>IF(B1033="","",IF(H1033&lt;&gt;"","Sale "&amp;H1033,IF(I1033&lt;&gt;"","Booking "&amp;I1033,IF(E1033="Tip","Stylist","Unapplied"))))</f>
        <v>0</v>
      </c>
      <c r="W1033" s="39">
        <f>IF(B1033="","",IF(G1033="","Add - no amount yet",IF(E1033="","Add - what was this for?",IF(IF(H1033="",FALSE,COUNTIF(Sales!$A$5:$A$1204,H1033)=0),"Missing - no sale with that ID",IF(IF(I1033="",FALSE,COUNTIF(Appointments!$A$5:$A$1204,I1033)=0),"Missing - no booking with that ID",IF(IF(E1033="Tip",J1033="",FALSE),"Assign - whose tip is it?",IF(IF(E1033="Deposit",IF(H1033="",I1033="",FALSE),FALSE),"Check - deposit not tied to a booking",IF(M1033="No","Due - not reconciled yet","OK"))))))))</f>
        <v>0</v>
      </c>
    </row>
    <row r="1034" spans="1:23">
      <c r="A1034" s="28">
        <f>IF(B1034="","",PaymentPrefix&amp;TEXT(ROW()-4,"0000"))</f>
        <v>0</v>
      </c>
      <c r="D1034" s="15">
        <f>IF(C1034="","",IFERROR(INDEX(Clients!$B$5:$B$504,MATCH(C1034,Clients!$A$5:$A$504,0)),"Walk-in"))</f>
        <v>0</v>
      </c>
      <c r="K1034" s="15">
        <f>IF(J1034="","",IFERROR(INDEX(Staff!$B$5:$B$44,MATCH(J1034,Staff!$A$5:$A$44,0)),""))</f>
        <v>0</v>
      </c>
      <c r="O1034" s="15">
        <f>IF(B1034="","",TEXT(B1034,"yyyy-mm"))</f>
        <v>0</v>
      </c>
      <c r="P1034" s="25">
        <f>IF(B1034="","",WEEKNUM(B1034,2))</f>
        <v>0</v>
      </c>
      <c r="Q1034" s="38">
        <f>IF(B1034="","",IF(E1034="Tip","No",IF(E1034="Refund","No","Yes")))</f>
        <v>0</v>
      </c>
      <c r="R1034" s="25">
        <f>IF(B1034="","",IF(E1034="Refund",-1,1))</f>
        <v>0</v>
      </c>
      <c r="S1034" s="26">
        <f>IF(B1034="","",IF(G1034="",0,IF(F1034="Card",ROUND(G1034*CardFeePercent+CardFeeFixed,2),IF(F1034="Online deposit",ROUND(G1034*CardFeePercent+CardFeeFixed,2),0))))</f>
        <v>0</v>
      </c>
      <c r="T1034" s="26">
        <f>IF(B1034="","",ROUND(IF(G1034="",0,G1034)*R1034-S1034,2))</f>
        <v>0</v>
      </c>
      <c r="U1034" s="38">
        <f>IF(B1034="","",IF(E1034="Tip","Yes","No"))</f>
        <v>0</v>
      </c>
      <c r="V1034" s="15">
        <f>IF(B1034="","",IF(H1034&lt;&gt;"","Sale "&amp;H1034,IF(I1034&lt;&gt;"","Booking "&amp;I1034,IF(E1034="Tip","Stylist","Unapplied"))))</f>
        <v>0</v>
      </c>
      <c r="W1034" s="39">
        <f>IF(B1034="","",IF(G1034="","Add - no amount yet",IF(E1034="","Add - what was this for?",IF(IF(H1034="",FALSE,COUNTIF(Sales!$A$5:$A$1204,H1034)=0),"Missing - no sale with that ID",IF(IF(I1034="",FALSE,COUNTIF(Appointments!$A$5:$A$1204,I1034)=0),"Missing - no booking with that ID",IF(IF(E1034="Tip",J1034="",FALSE),"Assign - whose tip is it?",IF(IF(E1034="Deposit",IF(H1034="",I1034="",FALSE),FALSE),"Check - deposit not tied to a booking",IF(M1034="No","Due - not reconciled yet","OK"))))))))</f>
        <v>0</v>
      </c>
    </row>
    <row r="1035" spans="1:23">
      <c r="A1035" s="28">
        <f>IF(B1035="","",PaymentPrefix&amp;TEXT(ROW()-4,"0000"))</f>
        <v>0</v>
      </c>
      <c r="D1035" s="15">
        <f>IF(C1035="","",IFERROR(INDEX(Clients!$B$5:$B$504,MATCH(C1035,Clients!$A$5:$A$504,0)),"Walk-in"))</f>
        <v>0</v>
      </c>
      <c r="K1035" s="15">
        <f>IF(J1035="","",IFERROR(INDEX(Staff!$B$5:$B$44,MATCH(J1035,Staff!$A$5:$A$44,0)),""))</f>
        <v>0</v>
      </c>
      <c r="O1035" s="15">
        <f>IF(B1035="","",TEXT(B1035,"yyyy-mm"))</f>
        <v>0</v>
      </c>
      <c r="P1035" s="25">
        <f>IF(B1035="","",WEEKNUM(B1035,2))</f>
        <v>0</v>
      </c>
      <c r="Q1035" s="38">
        <f>IF(B1035="","",IF(E1035="Tip","No",IF(E1035="Refund","No","Yes")))</f>
        <v>0</v>
      </c>
      <c r="R1035" s="25">
        <f>IF(B1035="","",IF(E1035="Refund",-1,1))</f>
        <v>0</v>
      </c>
      <c r="S1035" s="26">
        <f>IF(B1035="","",IF(G1035="",0,IF(F1035="Card",ROUND(G1035*CardFeePercent+CardFeeFixed,2),IF(F1035="Online deposit",ROUND(G1035*CardFeePercent+CardFeeFixed,2),0))))</f>
        <v>0</v>
      </c>
      <c r="T1035" s="26">
        <f>IF(B1035="","",ROUND(IF(G1035="",0,G1035)*R1035-S1035,2))</f>
        <v>0</v>
      </c>
      <c r="U1035" s="38">
        <f>IF(B1035="","",IF(E1035="Tip","Yes","No"))</f>
        <v>0</v>
      </c>
      <c r="V1035" s="15">
        <f>IF(B1035="","",IF(H1035&lt;&gt;"","Sale "&amp;H1035,IF(I1035&lt;&gt;"","Booking "&amp;I1035,IF(E1035="Tip","Stylist","Unapplied"))))</f>
        <v>0</v>
      </c>
      <c r="W1035" s="39">
        <f>IF(B1035="","",IF(G1035="","Add - no amount yet",IF(E1035="","Add - what was this for?",IF(IF(H1035="",FALSE,COUNTIF(Sales!$A$5:$A$1204,H1035)=0),"Missing - no sale with that ID",IF(IF(I1035="",FALSE,COUNTIF(Appointments!$A$5:$A$1204,I1035)=0),"Missing - no booking with that ID",IF(IF(E1035="Tip",J1035="",FALSE),"Assign - whose tip is it?",IF(IF(E1035="Deposit",IF(H1035="",I1035="",FALSE),FALSE),"Check - deposit not tied to a booking",IF(M1035="No","Due - not reconciled yet","OK"))))))))</f>
        <v>0</v>
      </c>
    </row>
    <row r="1036" spans="1:23">
      <c r="A1036" s="28">
        <f>IF(B1036="","",PaymentPrefix&amp;TEXT(ROW()-4,"0000"))</f>
        <v>0</v>
      </c>
      <c r="D1036" s="15">
        <f>IF(C1036="","",IFERROR(INDEX(Clients!$B$5:$B$504,MATCH(C1036,Clients!$A$5:$A$504,0)),"Walk-in"))</f>
        <v>0</v>
      </c>
      <c r="K1036" s="15">
        <f>IF(J1036="","",IFERROR(INDEX(Staff!$B$5:$B$44,MATCH(J1036,Staff!$A$5:$A$44,0)),""))</f>
        <v>0</v>
      </c>
      <c r="O1036" s="15">
        <f>IF(B1036="","",TEXT(B1036,"yyyy-mm"))</f>
        <v>0</v>
      </c>
      <c r="P1036" s="25">
        <f>IF(B1036="","",WEEKNUM(B1036,2))</f>
        <v>0</v>
      </c>
      <c r="Q1036" s="38">
        <f>IF(B1036="","",IF(E1036="Tip","No",IF(E1036="Refund","No","Yes")))</f>
        <v>0</v>
      </c>
      <c r="R1036" s="25">
        <f>IF(B1036="","",IF(E1036="Refund",-1,1))</f>
        <v>0</v>
      </c>
      <c r="S1036" s="26">
        <f>IF(B1036="","",IF(G1036="",0,IF(F1036="Card",ROUND(G1036*CardFeePercent+CardFeeFixed,2),IF(F1036="Online deposit",ROUND(G1036*CardFeePercent+CardFeeFixed,2),0))))</f>
        <v>0</v>
      </c>
      <c r="T1036" s="26">
        <f>IF(B1036="","",ROUND(IF(G1036="",0,G1036)*R1036-S1036,2))</f>
        <v>0</v>
      </c>
      <c r="U1036" s="38">
        <f>IF(B1036="","",IF(E1036="Tip","Yes","No"))</f>
        <v>0</v>
      </c>
      <c r="V1036" s="15">
        <f>IF(B1036="","",IF(H1036&lt;&gt;"","Sale "&amp;H1036,IF(I1036&lt;&gt;"","Booking "&amp;I1036,IF(E1036="Tip","Stylist","Unapplied"))))</f>
        <v>0</v>
      </c>
      <c r="W1036" s="39">
        <f>IF(B1036="","",IF(G1036="","Add - no amount yet",IF(E1036="","Add - what was this for?",IF(IF(H1036="",FALSE,COUNTIF(Sales!$A$5:$A$1204,H1036)=0),"Missing - no sale with that ID",IF(IF(I1036="",FALSE,COUNTIF(Appointments!$A$5:$A$1204,I1036)=0),"Missing - no booking with that ID",IF(IF(E1036="Tip",J1036="",FALSE),"Assign - whose tip is it?",IF(IF(E1036="Deposit",IF(H1036="",I1036="",FALSE),FALSE),"Check - deposit not tied to a booking",IF(M1036="No","Due - not reconciled yet","OK"))))))))</f>
        <v>0</v>
      </c>
    </row>
    <row r="1037" spans="1:23">
      <c r="A1037" s="28">
        <f>IF(B1037="","",PaymentPrefix&amp;TEXT(ROW()-4,"0000"))</f>
        <v>0</v>
      </c>
      <c r="D1037" s="15">
        <f>IF(C1037="","",IFERROR(INDEX(Clients!$B$5:$B$504,MATCH(C1037,Clients!$A$5:$A$504,0)),"Walk-in"))</f>
        <v>0</v>
      </c>
      <c r="K1037" s="15">
        <f>IF(J1037="","",IFERROR(INDEX(Staff!$B$5:$B$44,MATCH(J1037,Staff!$A$5:$A$44,0)),""))</f>
        <v>0</v>
      </c>
      <c r="O1037" s="15">
        <f>IF(B1037="","",TEXT(B1037,"yyyy-mm"))</f>
        <v>0</v>
      </c>
      <c r="P1037" s="25">
        <f>IF(B1037="","",WEEKNUM(B1037,2))</f>
        <v>0</v>
      </c>
      <c r="Q1037" s="38">
        <f>IF(B1037="","",IF(E1037="Tip","No",IF(E1037="Refund","No","Yes")))</f>
        <v>0</v>
      </c>
      <c r="R1037" s="25">
        <f>IF(B1037="","",IF(E1037="Refund",-1,1))</f>
        <v>0</v>
      </c>
      <c r="S1037" s="26">
        <f>IF(B1037="","",IF(G1037="",0,IF(F1037="Card",ROUND(G1037*CardFeePercent+CardFeeFixed,2),IF(F1037="Online deposit",ROUND(G1037*CardFeePercent+CardFeeFixed,2),0))))</f>
        <v>0</v>
      </c>
      <c r="T1037" s="26">
        <f>IF(B1037="","",ROUND(IF(G1037="",0,G1037)*R1037-S1037,2))</f>
        <v>0</v>
      </c>
      <c r="U1037" s="38">
        <f>IF(B1037="","",IF(E1037="Tip","Yes","No"))</f>
        <v>0</v>
      </c>
      <c r="V1037" s="15">
        <f>IF(B1037="","",IF(H1037&lt;&gt;"","Sale "&amp;H1037,IF(I1037&lt;&gt;"","Booking "&amp;I1037,IF(E1037="Tip","Stylist","Unapplied"))))</f>
        <v>0</v>
      </c>
      <c r="W1037" s="39">
        <f>IF(B1037="","",IF(G1037="","Add - no amount yet",IF(E1037="","Add - what was this for?",IF(IF(H1037="",FALSE,COUNTIF(Sales!$A$5:$A$1204,H1037)=0),"Missing - no sale with that ID",IF(IF(I1037="",FALSE,COUNTIF(Appointments!$A$5:$A$1204,I1037)=0),"Missing - no booking with that ID",IF(IF(E1037="Tip",J1037="",FALSE),"Assign - whose tip is it?",IF(IF(E1037="Deposit",IF(H1037="",I1037="",FALSE),FALSE),"Check - deposit not tied to a booking",IF(M1037="No","Due - not reconciled yet","OK"))))))))</f>
        <v>0</v>
      </c>
    </row>
    <row r="1038" spans="1:23">
      <c r="A1038" s="28">
        <f>IF(B1038="","",PaymentPrefix&amp;TEXT(ROW()-4,"0000"))</f>
        <v>0</v>
      </c>
      <c r="D1038" s="15">
        <f>IF(C1038="","",IFERROR(INDEX(Clients!$B$5:$B$504,MATCH(C1038,Clients!$A$5:$A$504,0)),"Walk-in"))</f>
        <v>0</v>
      </c>
      <c r="K1038" s="15">
        <f>IF(J1038="","",IFERROR(INDEX(Staff!$B$5:$B$44,MATCH(J1038,Staff!$A$5:$A$44,0)),""))</f>
        <v>0</v>
      </c>
      <c r="O1038" s="15">
        <f>IF(B1038="","",TEXT(B1038,"yyyy-mm"))</f>
        <v>0</v>
      </c>
      <c r="P1038" s="25">
        <f>IF(B1038="","",WEEKNUM(B1038,2))</f>
        <v>0</v>
      </c>
      <c r="Q1038" s="38">
        <f>IF(B1038="","",IF(E1038="Tip","No",IF(E1038="Refund","No","Yes")))</f>
        <v>0</v>
      </c>
      <c r="R1038" s="25">
        <f>IF(B1038="","",IF(E1038="Refund",-1,1))</f>
        <v>0</v>
      </c>
      <c r="S1038" s="26">
        <f>IF(B1038="","",IF(G1038="",0,IF(F1038="Card",ROUND(G1038*CardFeePercent+CardFeeFixed,2),IF(F1038="Online deposit",ROUND(G1038*CardFeePercent+CardFeeFixed,2),0))))</f>
        <v>0</v>
      </c>
      <c r="T1038" s="26">
        <f>IF(B1038="","",ROUND(IF(G1038="",0,G1038)*R1038-S1038,2))</f>
        <v>0</v>
      </c>
      <c r="U1038" s="38">
        <f>IF(B1038="","",IF(E1038="Tip","Yes","No"))</f>
        <v>0</v>
      </c>
      <c r="V1038" s="15">
        <f>IF(B1038="","",IF(H1038&lt;&gt;"","Sale "&amp;H1038,IF(I1038&lt;&gt;"","Booking "&amp;I1038,IF(E1038="Tip","Stylist","Unapplied"))))</f>
        <v>0</v>
      </c>
      <c r="W1038" s="39">
        <f>IF(B1038="","",IF(G1038="","Add - no amount yet",IF(E1038="","Add - what was this for?",IF(IF(H1038="",FALSE,COUNTIF(Sales!$A$5:$A$1204,H1038)=0),"Missing - no sale with that ID",IF(IF(I1038="",FALSE,COUNTIF(Appointments!$A$5:$A$1204,I1038)=0),"Missing - no booking with that ID",IF(IF(E1038="Tip",J1038="",FALSE),"Assign - whose tip is it?",IF(IF(E1038="Deposit",IF(H1038="",I1038="",FALSE),FALSE),"Check - deposit not tied to a booking",IF(M1038="No","Due - not reconciled yet","OK"))))))))</f>
        <v>0</v>
      </c>
    </row>
    <row r="1039" spans="1:23">
      <c r="A1039" s="28">
        <f>IF(B1039="","",PaymentPrefix&amp;TEXT(ROW()-4,"0000"))</f>
        <v>0</v>
      </c>
      <c r="D1039" s="15">
        <f>IF(C1039="","",IFERROR(INDEX(Clients!$B$5:$B$504,MATCH(C1039,Clients!$A$5:$A$504,0)),"Walk-in"))</f>
        <v>0</v>
      </c>
      <c r="K1039" s="15">
        <f>IF(J1039="","",IFERROR(INDEX(Staff!$B$5:$B$44,MATCH(J1039,Staff!$A$5:$A$44,0)),""))</f>
        <v>0</v>
      </c>
      <c r="O1039" s="15">
        <f>IF(B1039="","",TEXT(B1039,"yyyy-mm"))</f>
        <v>0</v>
      </c>
      <c r="P1039" s="25">
        <f>IF(B1039="","",WEEKNUM(B1039,2))</f>
        <v>0</v>
      </c>
      <c r="Q1039" s="38">
        <f>IF(B1039="","",IF(E1039="Tip","No",IF(E1039="Refund","No","Yes")))</f>
        <v>0</v>
      </c>
      <c r="R1039" s="25">
        <f>IF(B1039="","",IF(E1039="Refund",-1,1))</f>
        <v>0</v>
      </c>
      <c r="S1039" s="26">
        <f>IF(B1039="","",IF(G1039="",0,IF(F1039="Card",ROUND(G1039*CardFeePercent+CardFeeFixed,2),IF(F1039="Online deposit",ROUND(G1039*CardFeePercent+CardFeeFixed,2),0))))</f>
        <v>0</v>
      </c>
      <c r="T1039" s="26">
        <f>IF(B1039="","",ROUND(IF(G1039="",0,G1039)*R1039-S1039,2))</f>
        <v>0</v>
      </c>
      <c r="U1039" s="38">
        <f>IF(B1039="","",IF(E1039="Tip","Yes","No"))</f>
        <v>0</v>
      </c>
      <c r="V1039" s="15">
        <f>IF(B1039="","",IF(H1039&lt;&gt;"","Sale "&amp;H1039,IF(I1039&lt;&gt;"","Booking "&amp;I1039,IF(E1039="Tip","Stylist","Unapplied"))))</f>
        <v>0</v>
      </c>
      <c r="W1039" s="39">
        <f>IF(B1039="","",IF(G1039="","Add - no amount yet",IF(E1039="","Add - what was this for?",IF(IF(H1039="",FALSE,COUNTIF(Sales!$A$5:$A$1204,H1039)=0),"Missing - no sale with that ID",IF(IF(I1039="",FALSE,COUNTIF(Appointments!$A$5:$A$1204,I1039)=0),"Missing - no booking with that ID",IF(IF(E1039="Tip",J1039="",FALSE),"Assign - whose tip is it?",IF(IF(E1039="Deposit",IF(H1039="",I1039="",FALSE),FALSE),"Check - deposit not tied to a booking",IF(M1039="No","Due - not reconciled yet","OK"))))))))</f>
        <v>0</v>
      </c>
    </row>
    <row r="1040" spans="1:23">
      <c r="A1040" s="28">
        <f>IF(B1040="","",PaymentPrefix&amp;TEXT(ROW()-4,"0000"))</f>
        <v>0</v>
      </c>
      <c r="D1040" s="15">
        <f>IF(C1040="","",IFERROR(INDEX(Clients!$B$5:$B$504,MATCH(C1040,Clients!$A$5:$A$504,0)),"Walk-in"))</f>
        <v>0</v>
      </c>
      <c r="K1040" s="15">
        <f>IF(J1040="","",IFERROR(INDEX(Staff!$B$5:$B$44,MATCH(J1040,Staff!$A$5:$A$44,0)),""))</f>
        <v>0</v>
      </c>
      <c r="O1040" s="15">
        <f>IF(B1040="","",TEXT(B1040,"yyyy-mm"))</f>
        <v>0</v>
      </c>
      <c r="P1040" s="25">
        <f>IF(B1040="","",WEEKNUM(B1040,2))</f>
        <v>0</v>
      </c>
      <c r="Q1040" s="38">
        <f>IF(B1040="","",IF(E1040="Tip","No",IF(E1040="Refund","No","Yes")))</f>
        <v>0</v>
      </c>
      <c r="R1040" s="25">
        <f>IF(B1040="","",IF(E1040="Refund",-1,1))</f>
        <v>0</v>
      </c>
      <c r="S1040" s="26">
        <f>IF(B1040="","",IF(G1040="",0,IF(F1040="Card",ROUND(G1040*CardFeePercent+CardFeeFixed,2),IF(F1040="Online deposit",ROUND(G1040*CardFeePercent+CardFeeFixed,2),0))))</f>
        <v>0</v>
      </c>
      <c r="T1040" s="26">
        <f>IF(B1040="","",ROUND(IF(G1040="",0,G1040)*R1040-S1040,2))</f>
        <v>0</v>
      </c>
      <c r="U1040" s="38">
        <f>IF(B1040="","",IF(E1040="Tip","Yes","No"))</f>
        <v>0</v>
      </c>
      <c r="V1040" s="15">
        <f>IF(B1040="","",IF(H1040&lt;&gt;"","Sale "&amp;H1040,IF(I1040&lt;&gt;"","Booking "&amp;I1040,IF(E1040="Tip","Stylist","Unapplied"))))</f>
        <v>0</v>
      </c>
      <c r="W1040" s="39">
        <f>IF(B1040="","",IF(G1040="","Add - no amount yet",IF(E1040="","Add - what was this for?",IF(IF(H1040="",FALSE,COUNTIF(Sales!$A$5:$A$1204,H1040)=0),"Missing - no sale with that ID",IF(IF(I1040="",FALSE,COUNTIF(Appointments!$A$5:$A$1204,I1040)=0),"Missing - no booking with that ID",IF(IF(E1040="Tip",J1040="",FALSE),"Assign - whose tip is it?",IF(IF(E1040="Deposit",IF(H1040="",I1040="",FALSE),FALSE),"Check - deposit not tied to a booking",IF(M1040="No","Due - not reconciled yet","OK"))))))))</f>
        <v>0</v>
      </c>
    </row>
    <row r="1041" spans="1:23">
      <c r="A1041" s="28">
        <f>IF(B1041="","",PaymentPrefix&amp;TEXT(ROW()-4,"0000"))</f>
        <v>0</v>
      </c>
      <c r="D1041" s="15">
        <f>IF(C1041="","",IFERROR(INDEX(Clients!$B$5:$B$504,MATCH(C1041,Clients!$A$5:$A$504,0)),"Walk-in"))</f>
        <v>0</v>
      </c>
      <c r="K1041" s="15">
        <f>IF(J1041="","",IFERROR(INDEX(Staff!$B$5:$B$44,MATCH(J1041,Staff!$A$5:$A$44,0)),""))</f>
        <v>0</v>
      </c>
      <c r="O1041" s="15">
        <f>IF(B1041="","",TEXT(B1041,"yyyy-mm"))</f>
        <v>0</v>
      </c>
      <c r="P1041" s="25">
        <f>IF(B1041="","",WEEKNUM(B1041,2))</f>
        <v>0</v>
      </c>
      <c r="Q1041" s="38">
        <f>IF(B1041="","",IF(E1041="Tip","No",IF(E1041="Refund","No","Yes")))</f>
        <v>0</v>
      </c>
      <c r="R1041" s="25">
        <f>IF(B1041="","",IF(E1041="Refund",-1,1))</f>
        <v>0</v>
      </c>
      <c r="S1041" s="26">
        <f>IF(B1041="","",IF(G1041="",0,IF(F1041="Card",ROUND(G1041*CardFeePercent+CardFeeFixed,2),IF(F1041="Online deposit",ROUND(G1041*CardFeePercent+CardFeeFixed,2),0))))</f>
        <v>0</v>
      </c>
      <c r="T1041" s="26">
        <f>IF(B1041="","",ROUND(IF(G1041="",0,G1041)*R1041-S1041,2))</f>
        <v>0</v>
      </c>
      <c r="U1041" s="38">
        <f>IF(B1041="","",IF(E1041="Tip","Yes","No"))</f>
        <v>0</v>
      </c>
      <c r="V1041" s="15">
        <f>IF(B1041="","",IF(H1041&lt;&gt;"","Sale "&amp;H1041,IF(I1041&lt;&gt;"","Booking "&amp;I1041,IF(E1041="Tip","Stylist","Unapplied"))))</f>
        <v>0</v>
      </c>
      <c r="W1041" s="39">
        <f>IF(B1041="","",IF(G1041="","Add - no amount yet",IF(E1041="","Add - what was this for?",IF(IF(H1041="",FALSE,COUNTIF(Sales!$A$5:$A$1204,H1041)=0),"Missing - no sale with that ID",IF(IF(I1041="",FALSE,COUNTIF(Appointments!$A$5:$A$1204,I1041)=0),"Missing - no booking with that ID",IF(IF(E1041="Tip",J1041="",FALSE),"Assign - whose tip is it?",IF(IF(E1041="Deposit",IF(H1041="",I1041="",FALSE),FALSE),"Check - deposit not tied to a booking",IF(M1041="No","Due - not reconciled yet","OK"))))))))</f>
        <v>0</v>
      </c>
    </row>
    <row r="1042" spans="1:23">
      <c r="A1042" s="28">
        <f>IF(B1042="","",PaymentPrefix&amp;TEXT(ROW()-4,"0000"))</f>
        <v>0</v>
      </c>
      <c r="D1042" s="15">
        <f>IF(C1042="","",IFERROR(INDEX(Clients!$B$5:$B$504,MATCH(C1042,Clients!$A$5:$A$504,0)),"Walk-in"))</f>
        <v>0</v>
      </c>
      <c r="K1042" s="15">
        <f>IF(J1042="","",IFERROR(INDEX(Staff!$B$5:$B$44,MATCH(J1042,Staff!$A$5:$A$44,0)),""))</f>
        <v>0</v>
      </c>
      <c r="O1042" s="15">
        <f>IF(B1042="","",TEXT(B1042,"yyyy-mm"))</f>
        <v>0</v>
      </c>
      <c r="P1042" s="25">
        <f>IF(B1042="","",WEEKNUM(B1042,2))</f>
        <v>0</v>
      </c>
      <c r="Q1042" s="38">
        <f>IF(B1042="","",IF(E1042="Tip","No",IF(E1042="Refund","No","Yes")))</f>
        <v>0</v>
      </c>
      <c r="R1042" s="25">
        <f>IF(B1042="","",IF(E1042="Refund",-1,1))</f>
        <v>0</v>
      </c>
      <c r="S1042" s="26">
        <f>IF(B1042="","",IF(G1042="",0,IF(F1042="Card",ROUND(G1042*CardFeePercent+CardFeeFixed,2),IF(F1042="Online deposit",ROUND(G1042*CardFeePercent+CardFeeFixed,2),0))))</f>
        <v>0</v>
      </c>
      <c r="T1042" s="26">
        <f>IF(B1042="","",ROUND(IF(G1042="",0,G1042)*R1042-S1042,2))</f>
        <v>0</v>
      </c>
      <c r="U1042" s="38">
        <f>IF(B1042="","",IF(E1042="Tip","Yes","No"))</f>
        <v>0</v>
      </c>
      <c r="V1042" s="15">
        <f>IF(B1042="","",IF(H1042&lt;&gt;"","Sale "&amp;H1042,IF(I1042&lt;&gt;"","Booking "&amp;I1042,IF(E1042="Tip","Stylist","Unapplied"))))</f>
        <v>0</v>
      </c>
      <c r="W1042" s="39">
        <f>IF(B1042="","",IF(G1042="","Add - no amount yet",IF(E1042="","Add - what was this for?",IF(IF(H1042="",FALSE,COUNTIF(Sales!$A$5:$A$1204,H1042)=0),"Missing - no sale with that ID",IF(IF(I1042="",FALSE,COUNTIF(Appointments!$A$5:$A$1204,I1042)=0),"Missing - no booking with that ID",IF(IF(E1042="Tip",J1042="",FALSE),"Assign - whose tip is it?",IF(IF(E1042="Deposit",IF(H1042="",I1042="",FALSE),FALSE),"Check - deposit not tied to a booking",IF(M1042="No","Due - not reconciled yet","OK"))))))))</f>
        <v>0</v>
      </c>
    </row>
    <row r="1043" spans="1:23">
      <c r="A1043" s="28">
        <f>IF(B1043="","",PaymentPrefix&amp;TEXT(ROW()-4,"0000"))</f>
        <v>0</v>
      </c>
      <c r="D1043" s="15">
        <f>IF(C1043="","",IFERROR(INDEX(Clients!$B$5:$B$504,MATCH(C1043,Clients!$A$5:$A$504,0)),"Walk-in"))</f>
        <v>0</v>
      </c>
      <c r="K1043" s="15">
        <f>IF(J1043="","",IFERROR(INDEX(Staff!$B$5:$B$44,MATCH(J1043,Staff!$A$5:$A$44,0)),""))</f>
        <v>0</v>
      </c>
      <c r="O1043" s="15">
        <f>IF(B1043="","",TEXT(B1043,"yyyy-mm"))</f>
        <v>0</v>
      </c>
      <c r="P1043" s="25">
        <f>IF(B1043="","",WEEKNUM(B1043,2))</f>
        <v>0</v>
      </c>
      <c r="Q1043" s="38">
        <f>IF(B1043="","",IF(E1043="Tip","No",IF(E1043="Refund","No","Yes")))</f>
        <v>0</v>
      </c>
      <c r="R1043" s="25">
        <f>IF(B1043="","",IF(E1043="Refund",-1,1))</f>
        <v>0</v>
      </c>
      <c r="S1043" s="26">
        <f>IF(B1043="","",IF(G1043="",0,IF(F1043="Card",ROUND(G1043*CardFeePercent+CardFeeFixed,2),IF(F1043="Online deposit",ROUND(G1043*CardFeePercent+CardFeeFixed,2),0))))</f>
        <v>0</v>
      </c>
      <c r="T1043" s="26">
        <f>IF(B1043="","",ROUND(IF(G1043="",0,G1043)*R1043-S1043,2))</f>
        <v>0</v>
      </c>
      <c r="U1043" s="38">
        <f>IF(B1043="","",IF(E1043="Tip","Yes","No"))</f>
        <v>0</v>
      </c>
      <c r="V1043" s="15">
        <f>IF(B1043="","",IF(H1043&lt;&gt;"","Sale "&amp;H1043,IF(I1043&lt;&gt;"","Booking "&amp;I1043,IF(E1043="Tip","Stylist","Unapplied"))))</f>
        <v>0</v>
      </c>
      <c r="W1043" s="39">
        <f>IF(B1043="","",IF(G1043="","Add - no amount yet",IF(E1043="","Add - what was this for?",IF(IF(H1043="",FALSE,COUNTIF(Sales!$A$5:$A$1204,H1043)=0),"Missing - no sale with that ID",IF(IF(I1043="",FALSE,COUNTIF(Appointments!$A$5:$A$1204,I1043)=0),"Missing - no booking with that ID",IF(IF(E1043="Tip",J1043="",FALSE),"Assign - whose tip is it?",IF(IF(E1043="Deposit",IF(H1043="",I1043="",FALSE),FALSE),"Check - deposit not tied to a booking",IF(M1043="No","Due - not reconciled yet","OK"))))))))</f>
        <v>0</v>
      </c>
    </row>
    <row r="1044" spans="1:23">
      <c r="A1044" s="28">
        <f>IF(B1044="","",PaymentPrefix&amp;TEXT(ROW()-4,"0000"))</f>
        <v>0</v>
      </c>
      <c r="D1044" s="15">
        <f>IF(C1044="","",IFERROR(INDEX(Clients!$B$5:$B$504,MATCH(C1044,Clients!$A$5:$A$504,0)),"Walk-in"))</f>
        <v>0</v>
      </c>
      <c r="K1044" s="15">
        <f>IF(J1044="","",IFERROR(INDEX(Staff!$B$5:$B$44,MATCH(J1044,Staff!$A$5:$A$44,0)),""))</f>
        <v>0</v>
      </c>
      <c r="O1044" s="15">
        <f>IF(B1044="","",TEXT(B1044,"yyyy-mm"))</f>
        <v>0</v>
      </c>
      <c r="P1044" s="25">
        <f>IF(B1044="","",WEEKNUM(B1044,2))</f>
        <v>0</v>
      </c>
      <c r="Q1044" s="38">
        <f>IF(B1044="","",IF(E1044="Tip","No",IF(E1044="Refund","No","Yes")))</f>
        <v>0</v>
      </c>
      <c r="R1044" s="25">
        <f>IF(B1044="","",IF(E1044="Refund",-1,1))</f>
        <v>0</v>
      </c>
      <c r="S1044" s="26">
        <f>IF(B1044="","",IF(G1044="",0,IF(F1044="Card",ROUND(G1044*CardFeePercent+CardFeeFixed,2),IF(F1044="Online deposit",ROUND(G1044*CardFeePercent+CardFeeFixed,2),0))))</f>
        <v>0</v>
      </c>
      <c r="T1044" s="26">
        <f>IF(B1044="","",ROUND(IF(G1044="",0,G1044)*R1044-S1044,2))</f>
        <v>0</v>
      </c>
      <c r="U1044" s="38">
        <f>IF(B1044="","",IF(E1044="Tip","Yes","No"))</f>
        <v>0</v>
      </c>
      <c r="V1044" s="15">
        <f>IF(B1044="","",IF(H1044&lt;&gt;"","Sale "&amp;H1044,IF(I1044&lt;&gt;"","Booking "&amp;I1044,IF(E1044="Tip","Stylist","Unapplied"))))</f>
        <v>0</v>
      </c>
      <c r="W1044" s="39">
        <f>IF(B1044="","",IF(G1044="","Add - no amount yet",IF(E1044="","Add - what was this for?",IF(IF(H1044="",FALSE,COUNTIF(Sales!$A$5:$A$1204,H1044)=0),"Missing - no sale with that ID",IF(IF(I1044="",FALSE,COUNTIF(Appointments!$A$5:$A$1204,I1044)=0),"Missing - no booking with that ID",IF(IF(E1044="Tip",J1044="",FALSE),"Assign - whose tip is it?",IF(IF(E1044="Deposit",IF(H1044="",I1044="",FALSE),FALSE),"Check - deposit not tied to a booking",IF(M1044="No","Due - not reconciled yet","OK"))))))))</f>
        <v>0</v>
      </c>
    </row>
    <row r="1045" spans="1:23">
      <c r="A1045" s="28">
        <f>IF(B1045="","",PaymentPrefix&amp;TEXT(ROW()-4,"0000"))</f>
        <v>0</v>
      </c>
      <c r="D1045" s="15">
        <f>IF(C1045="","",IFERROR(INDEX(Clients!$B$5:$B$504,MATCH(C1045,Clients!$A$5:$A$504,0)),"Walk-in"))</f>
        <v>0</v>
      </c>
      <c r="K1045" s="15">
        <f>IF(J1045="","",IFERROR(INDEX(Staff!$B$5:$B$44,MATCH(J1045,Staff!$A$5:$A$44,0)),""))</f>
        <v>0</v>
      </c>
      <c r="O1045" s="15">
        <f>IF(B1045="","",TEXT(B1045,"yyyy-mm"))</f>
        <v>0</v>
      </c>
      <c r="P1045" s="25">
        <f>IF(B1045="","",WEEKNUM(B1045,2))</f>
        <v>0</v>
      </c>
      <c r="Q1045" s="38">
        <f>IF(B1045="","",IF(E1045="Tip","No",IF(E1045="Refund","No","Yes")))</f>
        <v>0</v>
      </c>
      <c r="R1045" s="25">
        <f>IF(B1045="","",IF(E1045="Refund",-1,1))</f>
        <v>0</v>
      </c>
      <c r="S1045" s="26">
        <f>IF(B1045="","",IF(G1045="",0,IF(F1045="Card",ROUND(G1045*CardFeePercent+CardFeeFixed,2),IF(F1045="Online deposit",ROUND(G1045*CardFeePercent+CardFeeFixed,2),0))))</f>
        <v>0</v>
      </c>
      <c r="T1045" s="26">
        <f>IF(B1045="","",ROUND(IF(G1045="",0,G1045)*R1045-S1045,2))</f>
        <v>0</v>
      </c>
      <c r="U1045" s="38">
        <f>IF(B1045="","",IF(E1045="Tip","Yes","No"))</f>
        <v>0</v>
      </c>
      <c r="V1045" s="15">
        <f>IF(B1045="","",IF(H1045&lt;&gt;"","Sale "&amp;H1045,IF(I1045&lt;&gt;"","Booking "&amp;I1045,IF(E1045="Tip","Stylist","Unapplied"))))</f>
        <v>0</v>
      </c>
      <c r="W1045" s="39">
        <f>IF(B1045="","",IF(G1045="","Add - no amount yet",IF(E1045="","Add - what was this for?",IF(IF(H1045="",FALSE,COUNTIF(Sales!$A$5:$A$1204,H1045)=0),"Missing - no sale with that ID",IF(IF(I1045="",FALSE,COUNTIF(Appointments!$A$5:$A$1204,I1045)=0),"Missing - no booking with that ID",IF(IF(E1045="Tip",J1045="",FALSE),"Assign - whose tip is it?",IF(IF(E1045="Deposit",IF(H1045="",I1045="",FALSE),FALSE),"Check - deposit not tied to a booking",IF(M1045="No","Due - not reconciled yet","OK"))))))))</f>
        <v>0</v>
      </c>
    </row>
    <row r="1046" spans="1:23">
      <c r="A1046" s="28">
        <f>IF(B1046="","",PaymentPrefix&amp;TEXT(ROW()-4,"0000"))</f>
        <v>0</v>
      </c>
      <c r="D1046" s="15">
        <f>IF(C1046="","",IFERROR(INDEX(Clients!$B$5:$B$504,MATCH(C1046,Clients!$A$5:$A$504,0)),"Walk-in"))</f>
        <v>0</v>
      </c>
      <c r="K1046" s="15">
        <f>IF(J1046="","",IFERROR(INDEX(Staff!$B$5:$B$44,MATCH(J1046,Staff!$A$5:$A$44,0)),""))</f>
        <v>0</v>
      </c>
      <c r="O1046" s="15">
        <f>IF(B1046="","",TEXT(B1046,"yyyy-mm"))</f>
        <v>0</v>
      </c>
      <c r="P1046" s="25">
        <f>IF(B1046="","",WEEKNUM(B1046,2))</f>
        <v>0</v>
      </c>
      <c r="Q1046" s="38">
        <f>IF(B1046="","",IF(E1046="Tip","No",IF(E1046="Refund","No","Yes")))</f>
        <v>0</v>
      </c>
      <c r="R1046" s="25">
        <f>IF(B1046="","",IF(E1046="Refund",-1,1))</f>
        <v>0</v>
      </c>
      <c r="S1046" s="26">
        <f>IF(B1046="","",IF(G1046="",0,IF(F1046="Card",ROUND(G1046*CardFeePercent+CardFeeFixed,2),IF(F1046="Online deposit",ROUND(G1046*CardFeePercent+CardFeeFixed,2),0))))</f>
        <v>0</v>
      </c>
      <c r="T1046" s="26">
        <f>IF(B1046="","",ROUND(IF(G1046="",0,G1046)*R1046-S1046,2))</f>
        <v>0</v>
      </c>
      <c r="U1046" s="38">
        <f>IF(B1046="","",IF(E1046="Tip","Yes","No"))</f>
        <v>0</v>
      </c>
      <c r="V1046" s="15">
        <f>IF(B1046="","",IF(H1046&lt;&gt;"","Sale "&amp;H1046,IF(I1046&lt;&gt;"","Booking "&amp;I1046,IF(E1046="Tip","Stylist","Unapplied"))))</f>
        <v>0</v>
      </c>
      <c r="W1046" s="39">
        <f>IF(B1046="","",IF(G1046="","Add - no amount yet",IF(E1046="","Add - what was this for?",IF(IF(H1046="",FALSE,COUNTIF(Sales!$A$5:$A$1204,H1046)=0),"Missing - no sale with that ID",IF(IF(I1046="",FALSE,COUNTIF(Appointments!$A$5:$A$1204,I1046)=0),"Missing - no booking with that ID",IF(IF(E1046="Tip",J1046="",FALSE),"Assign - whose tip is it?",IF(IF(E1046="Deposit",IF(H1046="",I1046="",FALSE),FALSE),"Check - deposit not tied to a booking",IF(M1046="No","Due - not reconciled yet","OK"))))))))</f>
        <v>0</v>
      </c>
    </row>
    <row r="1047" spans="1:23">
      <c r="A1047" s="28">
        <f>IF(B1047="","",PaymentPrefix&amp;TEXT(ROW()-4,"0000"))</f>
        <v>0</v>
      </c>
      <c r="D1047" s="15">
        <f>IF(C1047="","",IFERROR(INDEX(Clients!$B$5:$B$504,MATCH(C1047,Clients!$A$5:$A$504,0)),"Walk-in"))</f>
        <v>0</v>
      </c>
      <c r="K1047" s="15">
        <f>IF(J1047="","",IFERROR(INDEX(Staff!$B$5:$B$44,MATCH(J1047,Staff!$A$5:$A$44,0)),""))</f>
        <v>0</v>
      </c>
      <c r="O1047" s="15">
        <f>IF(B1047="","",TEXT(B1047,"yyyy-mm"))</f>
        <v>0</v>
      </c>
      <c r="P1047" s="25">
        <f>IF(B1047="","",WEEKNUM(B1047,2))</f>
        <v>0</v>
      </c>
      <c r="Q1047" s="38">
        <f>IF(B1047="","",IF(E1047="Tip","No",IF(E1047="Refund","No","Yes")))</f>
        <v>0</v>
      </c>
      <c r="R1047" s="25">
        <f>IF(B1047="","",IF(E1047="Refund",-1,1))</f>
        <v>0</v>
      </c>
      <c r="S1047" s="26">
        <f>IF(B1047="","",IF(G1047="",0,IF(F1047="Card",ROUND(G1047*CardFeePercent+CardFeeFixed,2),IF(F1047="Online deposit",ROUND(G1047*CardFeePercent+CardFeeFixed,2),0))))</f>
        <v>0</v>
      </c>
      <c r="T1047" s="26">
        <f>IF(B1047="","",ROUND(IF(G1047="",0,G1047)*R1047-S1047,2))</f>
        <v>0</v>
      </c>
      <c r="U1047" s="38">
        <f>IF(B1047="","",IF(E1047="Tip","Yes","No"))</f>
        <v>0</v>
      </c>
      <c r="V1047" s="15">
        <f>IF(B1047="","",IF(H1047&lt;&gt;"","Sale "&amp;H1047,IF(I1047&lt;&gt;"","Booking "&amp;I1047,IF(E1047="Tip","Stylist","Unapplied"))))</f>
        <v>0</v>
      </c>
      <c r="W1047" s="39">
        <f>IF(B1047="","",IF(G1047="","Add - no amount yet",IF(E1047="","Add - what was this for?",IF(IF(H1047="",FALSE,COUNTIF(Sales!$A$5:$A$1204,H1047)=0),"Missing - no sale with that ID",IF(IF(I1047="",FALSE,COUNTIF(Appointments!$A$5:$A$1204,I1047)=0),"Missing - no booking with that ID",IF(IF(E1047="Tip",J1047="",FALSE),"Assign - whose tip is it?",IF(IF(E1047="Deposit",IF(H1047="",I1047="",FALSE),FALSE),"Check - deposit not tied to a booking",IF(M1047="No","Due - not reconciled yet","OK"))))))))</f>
        <v>0</v>
      </c>
    </row>
    <row r="1048" spans="1:23">
      <c r="A1048" s="28">
        <f>IF(B1048="","",PaymentPrefix&amp;TEXT(ROW()-4,"0000"))</f>
        <v>0</v>
      </c>
      <c r="D1048" s="15">
        <f>IF(C1048="","",IFERROR(INDEX(Clients!$B$5:$B$504,MATCH(C1048,Clients!$A$5:$A$504,0)),"Walk-in"))</f>
        <v>0</v>
      </c>
      <c r="K1048" s="15">
        <f>IF(J1048="","",IFERROR(INDEX(Staff!$B$5:$B$44,MATCH(J1048,Staff!$A$5:$A$44,0)),""))</f>
        <v>0</v>
      </c>
      <c r="O1048" s="15">
        <f>IF(B1048="","",TEXT(B1048,"yyyy-mm"))</f>
        <v>0</v>
      </c>
      <c r="P1048" s="25">
        <f>IF(B1048="","",WEEKNUM(B1048,2))</f>
        <v>0</v>
      </c>
      <c r="Q1048" s="38">
        <f>IF(B1048="","",IF(E1048="Tip","No",IF(E1048="Refund","No","Yes")))</f>
        <v>0</v>
      </c>
      <c r="R1048" s="25">
        <f>IF(B1048="","",IF(E1048="Refund",-1,1))</f>
        <v>0</v>
      </c>
      <c r="S1048" s="26">
        <f>IF(B1048="","",IF(G1048="",0,IF(F1048="Card",ROUND(G1048*CardFeePercent+CardFeeFixed,2),IF(F1048="Online deposit",ROUND(G1048*CardFeePercent+CardFeeFixed,2),0))))</f>
        <v>0</v>
      </c>
      <c r="T1048" s="26">
        <f>IF(B1048="","",ROUND(IF(G1048="",0,G1048)*R1048-S1048,2))</f>
        <v>0</v>
      </c>
      <c r="U1048" s="38">
        <f>IF(B1048="","",IF(E1048="Tip","Yes","No"))</f>
        <v>0</v>
      </c>
      <c r="V1048" s="15">
        <f>IF(B1048="","",IF(H1048&lt;&gt;"","Sale "&amp;H1048,IF(I1048&lt;&gt;"","Booking "&amp;I1048,IF(E1048="Tip","Stylist","Unapplied"))))</f>
        <v>0</v>
      </c>
      <c r="W1048" s="39">
        <f>IF(B1048="","",IF(G1048="","Add - no amount yet",IF(E1048="","Add - what was this for?",IF(IF(H1048="",FALSE,COUNTIF(Sales!$A$5:$A$1204,H1048)=0),"Missing - no sale with that ID",IF(IF(I1048="",FALSE,COUNTIF(Appointments!$A$5:$A$1204,I1048)=0),"Missing - no booking with that ID",IF(IF(E1048="Tip",J1048="",FALSE),"Assign - whose tip is it?",IF(IF(E1048="Deposit",IF(H1048="",I1048="",FALSE),FALSE),"Check - deposit not tied to a booking",IF(M1048="No","Due - not reconciled yet","OK"))))))))</f>
        <v>0</v>
      </c>
    </row>
    <row r="1049" spans="1:23">
      <c r="A1049" s="28">
        <f>IF(B1049="","",PaymentPrefix&amp;TEXT(ROW()-4,"0000"))</f>
        <v>0</v>
      </c>
      <c r="D1049" s="15">
        <f>IF(C1049="","",IFERROR(INDEX(Clients!$B$5:$B$504,MATCH(C1049,Clients!$A$5:$A$504,0)),"Walk-in"))</f>
        <v>0</v>
      </c>
      <c r="K1049" s="15">
        <f>IF(J1049="","",IFERROR(INDEX(Staff!$B$5:$B$44,MATCH(J1049,Staff!$A$5:$A$44,0)),""))</f>
        <v>0</v>
      </c>
      <c r="O1049" s="15">
        <f>IF(B1049="","",TEXT(B1049,"yyyy-mm"))</f>
        <v>0</v>
      </c>
      <c r="P1049" s="25">
        <f>IF(B1049="","",WEEKNUM(B1049,2))</f>
        <v>0</v>
      </c>
      <c r="Q1049" s="38">
        <f>IF(B1049="","",IF(E1049="Tip","No",IF(E1049="Refund","No","Yes")))</f>
        <v>0</v>
      </c>
      <c r="R1049" s="25">
        <f>IF(B1049="","",IF(E1049="Refund",-1,1))</f>
        <v>0</v>
      </c>
      <c r="S1049" s="26">
        <f>IF(B1049="","",IF(G1049="",0,IF(F1049="Card",ROUND(G1049*CardFeePercent+CardFeeFixed,2),IF(F1049="Online deposit",ROUND(G1049*CardFeePercent+CardFeeFixed,2),0))))</f>
        <v>0</v>
      </c>
      <c r="T1049" s="26">
        <f>IF(B1049="","",ROUND(IF(G1049="",0,G1049)*R1049-S1049,2))</f>
        <v>0</v>
      </c>
      <c r="U1049" s="38">
        <f>IF(B1049="","",IF(E1049="Tip","Yes","No"))</f>
        <v>0</v>
      </c>
      <c r="V1049" s="15">
        <f>IF(B1049="","",IF(H1049&lt;&gt;"","Sale "&amp;H1049,IF(I1049&lt;&gt;"","Booking "&amp;I1049,IF(E1049="Tip","Stylist","Unapplied"))))</f>
        <v>0</v>
      </c>
      <c r="W1049" s="39">
        <f>IF(B1049="","",IF(G1049="","Add - no amount yet",IF(E1049="","Add - what was this for?",IF(IF(H1049="",FALSE,COUNTIF(Sales!$A$5:$A$1204,H1049)=0),"Missing - no sale with that ID",IF(IF(I1049="",FALSE,COUNTIF(Appointments!$A$5:$A$1204,I1049)=0),"Missing - no booking with that ID",IF(IF(E1049="Tip",J1049="",FALSE),"Assign - whose tip is it?",IF(IF(E1049="Deposit",IF(H1049="",I1049="",FALSE),FALSE),"Check - deposit not tied to a booking",IF(M1049="No","Due - not reconciled yet","OK"))))))))</f>
        <v>0</v>
      </c>
    </row>
    <row r="1050" spans="1:23">
      <c r="A1050" s="28">
        <f>IF(B1050="","",PaymentPrefix&amp;TEXT(ROW()-4,"0000"))</f>
        <v>0</v>
      </c>
      <c r="D1050" s="15">
        <f>IF(C1050="","",IFERROR(INDEX(Clients!$B$5:$B$504,MATCH(C1050,Clients!$A$5:$A$504,0)),"Walk-in"))</f>
        <v>0</v>
      </c>
      <c r="K1050" s="15">
        <f>IF(J1050="","",IFERROR(INDEX(Staff!$B$5:$B$44,MATCH(J1050,Staff!$A$5:$A$44,0)),""))</f>
        <v>0</v>
      </c>
      <c r="O1050" s="15">
        <f>IF(B1050="","",TEXT(B1050,"yyyy-mm"))</f>
        <v>0</v>
      </c>
      <c r="P1050" s="25">
        <f>IF(B1050="","",WEEKNUM(B1050,2))</f>
        <v>0</v>
      </c>
      <c r="Q1050" s="38">
        <f>IF(B1050="","",IF(E1050="Tip","No",IF(E1050="Refund","No","Yes")))</f>
        <v>0</v>
      </c>
      <c r="R1050" s="25">
        <f>IF(B1050="","",IF(E1050="Refund",-1,1))</f>
        <v>0</v>
      </c>
      <c r="S1050" s="26">
        <f>IF(B1050="","",IF(G1050="",0,IF(F1050="Card",ROUND(G1050*CardFeePercent+CardFeeFixed,2),IF(F1050="Online deposit",ROUND(G1050*CardFeePercent+CardFeeFixed,2),0))))</f>
        <v>0</v>
      </c>
      <c r="T1050" s="26">
        <f>IF(B1050="","",ROUND(IF(G1050="",0,G1050)*R1050-S1050,2))</f>
        <v>0</v>
      </c>
      <c r="U1050" s="38">
        <f>IF(B1050="","",IF(E1050="Tip","Yes","No"))</f>
        <v>0</v>
      </c>
      <c r="V1050" s="15">
        <f>IF(B1050="","",IF(H1050&lt;&gt;"","Sale "&amp;H1050,IF(I1050&lt;&gt;"","Booking "&amp;I1050,IF(E1050="Tip","Stylist","Unapplied"))))</f>
        <v>0</v>
      </c>
      <c r="W1050" s="39">
        <f>IF(B1050="","",IF(G1050="","Add - no amount yet",IF(E1050="","Add - what was this for?",IF(IF(H1050="",FALSE,COUNTIF(Sales!$A$5:$A$1204,H1050)=0),"Missing - no sale with that ID",IF(IF(I1050="",FALSE,COUNTIF(Appointments!$A$5:$A$1204,I1050)=0),"Missing - no booking with that ID",IF(IF(E1050="Tip",J1050="",FALSE),"Assign - whose tip is it?",IF(IF(E1050="Deposit",IF(H1050="",I1050="",FALSE),FALSE),"Check - deposit not tied to a booking",IF(M1050="No","Due - not reconciled yet","OK"))))))))</f>
        <v>0</v>
      </c>
    </row>
    <row r="1051" spans="1:23">
      <c r="A1051" s="28">
        <f>IF(B1051="","",PaymentPrefix&amp;TEXT(ROW()-4,"0000"))</f>
        <v>0</v>
      </c>
      <c r="D1051" s="15">
        <f>IF(C1051="","",IFERROR(INDEX(Clients!$B$5:$B$504,MATCH(C1051,Clients!$A$5:$A$504,0)),"Walk-in"))</f>
        <v>0</v>
      </c>
      <c r="K1051" s="15">
        <f>IF(J1051="","",IFERROR(INDEX(Staff!$B$5:$B$44,MATCH(J1051,Staff!$A$5:$A$44,0)),""))</f>
        <v>0</v>
      </c>
      <c r="O1051" s="15">
        <f>IF(B1051="","",TEXT(B1051,"yyyy-mm"))</f>
        <v>0</v>
      </c>
      <c r="P1051" s="25">
        <f>IF(B1051="","",WEEKNUM(B1051,2))</f>
        <v>0</v>
      </c>
      <c r="Q1051" s="38">
        <f>IF(B1051="","",IF(E1051="Tip","No",IF(E1051="Refund","No","Yes")))</f>
        <v>0</v>
      </c>
      <c r="R1051" s="25">
        <f>IF(B1051="","",IF(E1051="Refund",-1,1))</f>
        <v>0</v>
      </c>
      <c r="S1051" s="26">
        <f>IF(B1051="","",IF(G1051="",0,IF(F1051="Card",ROUND(G1051*CardFeePercent+CardFeeFixed,2),IF(F1051="Online deposit",ROUND(G1051*CardFeePercent+CardFeeFixed,2),0))))</f>
        <v>0</v>
      </c>
      <c r="T1051" s="26">
        <f>IF(B1051="","",ROUND(IF(G1051="",0,G1051)*R1051-S1051,2))</f>
        <v>0</v>
      </c>
      <c r="U1051" s="38">
        <f>IF(B1051="","",IF(E1051="Tip","Yes","No"))</f>
        <v>0</v>
      </c>
      <c r="V1051" s="15">
        <f>IF(B1051="","",IF(H1051&lt;&gt;"","Sale "&amp;H1051,IF(I1051&lt;&gt;"","Booking "&amp;I1051,IF(E1051="Tip","Stylist","Unapplied"))))</f>
        <v>0</v>
      </c>
      <c r="W1051" s="39">
        <f>IF(B1051="","",IF(G1051="","Add - no amount yet",IF(E1051="","Add - what was this for?",IF(IF(H1051="",FALSE,COUNTIF(Sales!$A$5:$A$1204,H1051)=0),"Missing - no sale with that ID",IF(IF(I1051="",FALSE,COUNTIF(Appointments!$A$5:$A$1204,I1051)=0),"Missing - no booking with that ID",IF(IF(E1051="Tip",J1051="",FALSE),"Assign - whose tip is it?",IF(IF(E1051="Deposit",IF(H1051="",I1051="",FALSE),FALSE),"Check - deposit not tied to a booking",IF(M1051="No","Due - not reconciled yet","OK"))))))))</f>
        <v>0</v>
      </c>
    </row>
    <row r="1052" spans="1:23">
      <c r="A1052" s="28">
        <f>IF(B1052="","",PaymentPrefix&amp;TEXT(ROW()-4,"0000"))</f>
        <v>0</v>
      </c>
      <c r="D1052" s="15">
        <f>IF(C1052="","",IFERROR(INDEX(Clients!$B$5:$B$504,MATCH(C1052,Clients!$A$5:$A$504,0)),"Walk-in"))</f>
        <v>0</v>
      </c>
      <c r="K1052" s="15">
        <f>IF(J1052="","",IFERROR(INDEX(Staff!$B$5:$B$44,MATCH(J1052,Staff!$A$5:$A$44,0)),""))</f>
        <v>0</v>
      </c>
      <c r="O1052" s="15">
        <f>IF(B1052="","",TEXT(B1052,"yyyy-mm"))</f>
        <v>0</v>
      </c>
      <c r="P1052" s="25">
        <f>IF(B1052="","",WEEKNUM(B1052,2))</f>
        <v>0</v>
      </c>
      <c r="Q1052" s="38">
        <f>IF(B1052="","",IF(E1052="Tip","No",IF(E1052="Refund","No","Yes")))</f>
        <v>0</v>
      </c>
      <c r="R1052" s="25">
        <f>IF(B1052="","",IF(E1052="Refund",-1,1))</f>
        <v>0</v>
      </c>
      <c r="S1052" s="26">
        <f>IF(B1052="","",IF(G1052="",0,IF(F1052="Card",ROUND(G1052*CardFeePercent+CardFeeFixed,2),IF(F1052="Online deposit",ROUND(G1052*CardFeePercent+CardFeeFixed,2),0))))</f>
        <v>0</v>
      </c>
      <c r="T1052" s="26">
        <f>IF(B1052="","",ROUND(IF(G1052="",0,G1052)*R1052-S1052,2))</f>
        <v>0</v>
      </c>
      <c r="U1052" s="38">
        <f>IF(B1052="","",IF(E1052="Tip","Yes","No"))</f>
        <v>0</v>
      </c>
      <c r="V1052" s="15">
        <f>IF(B1052="","",IF(H1052&lt;&gt;"","Sale "&amp;H1052,IF(I1052&lt;&gt;"","Booking "&amp;I1052,IF(E1052="Tip","Stylist","Unapplied"))))</f>
        <v>0</v>
      </c>
      <c r="W1052" s="39">
        <f>IF(B1052="","",IF(G1052="","Add - no amount yet",IF(E1052="","Add - what was this for?",IF(IF(H1052="",FALSE,COUNTIF(Sales!$A$5:$A$1204,H1052)=0),"Missing - no sale with that ID",IF(IF(I1052="",FALSE,COUNTIF(Appointments!$A$5:$A$1204,I1052)=0),"Missing - no booking with that ID",IF(IF(E1052="Tip",J1052="",FALSE),"Assign - whose tip is it?",IF(IF(E1052="Deposit",IF(H1052="",I1052="",FALSE),FALSE),"Check - deposit not tied to a booking",IF(M1052="No","Due - not reconciled yet","OK"))))))))</f>
        <v>0</v>
      </c>
    </row>
    <row r="1053" spans="1:23">
      <c r="A1053" s="28">
        <f>IF(B1053="","",PaymentPrefix&amp;TEXT(ROW()-4,"0000"))</f>
        <v>0</v>
      </c>
      <c r="D1053" s="15">
        <f>IF(C1053="","",IFERROR(INDEX(Clients!$B$5:$B$504,MATCH(C1053,Clients!$A$5:$A$504,0)),"Walk-in"))</f>
        <v>0</v>
      </c>
      <c r="K1053" s="15">
        <f>IF(J1053="","",IFERROR(INDEX(Staff!$B$5:$B$44,MATCH(J1053,Staff!$A$5:$A$44,0)),""))</f>
        <v>0</v>
      </c>
      <c r="O1053" s="15">
        <f>IF(B1053="","",TEXT(B1053,"yyyy-mm"))</f>
        <v>0</v>
      </c>
      <c r="P1053" s="25">
        <f>IF(B1053="","",WEEKNUM(B1053,2))</f>
        <v>0</v>
      </c>
      <c r="Q1053" s="38">
        <f>IF(B1053="","",IF(E1053="Tip","No",IF(E1053="Refund","No","Yes")))</f>
        <v>0</v>
      </c>
      <c r="R1053" s="25">
        <f>IF(B1053="","",IF(E1053="Refund",-1,1))</f>
        <v>0</v>
      </c>
      <c r="S1053" s="26">
        <f>IF(B1053="","",IF(G1053="",0,IF(F1053="Card",ROUND(G1053*CardFeePercent+CardFeeFixed,2),IF(F1053="Online deposit",ROUND(G1053*CardFeePercent+CardFeeFixed,2),0))))</f>
        <v>0</v>
      </c>
      <c r="T1053" s="26">
        <f>IF(B1053="","",ROUND(IF(G1053="",0,G1053)*R1053-S1053,2))</f>
        <v>0</v>
      </c>
      <c r="U1053" s="38">
        <f>IF(B1053="","",IF(E1053="Tip","Yes","No"))</f>
        <v>0</v>
      </c>
      <c r="V1053" s="15">
        <f>IF(B1053="","",IF(H1053&lt;&gt;"","Sale "&amp;H1053,IF(I1053&lt;&gt;"","Booking "&amp;I1053,IF(E1053="Tip","Stylist","Unapplied"))))</f>
        <v>0</v>
      </c>
      <c r="W1053" s="39">
        <f>IF(B1053="","",IF(G1053="","Add - no amount yet",IF(E1053="","Add - what was this for?",IF(IF(H1053="",FALSE,COUNTIF(Sales!$A$5:$A$1204,H1053)=0),"Missing - no sale with that ID",IF(IF(I1053="",FALSE,COUNTIF(Appointments!$A$5:$A$1204,I1053)=0),"Missing - no booking with that ID",IF(IF(E1053="Tip",J1053="",FALSE),"Assign - whose tip is it?",IF(IF(E1053="Deposit",IF(H1053="",I1053="",FALSE),FALSE),"Check - deposit not tied to a booking",IF(M1053="No","Due - not reconciled yet","OK"))))))))</f>
        <v>0</v>
      </c>
    </row>
    <row r="1054" spans="1:23">
      <c r="A1054" s="28">
        <f>IF(B1054="","",PaymentPrefix&amp;TEXT(ROW()-4,"0000"))</f>
        <v>0</v>
      </c>
      <c r="D1054" s="15">
        <f>IF(C1054="","",IFERROR(INDEX(Clients!$B$5:$B$504,MATCH(C1054,Clients!$A$5:$A$504,0)),"Walk-in"))</f>
        <v>0</v>
      </c>
      <c r="K1054" s="15">
        <f>IF(J1054="","",IFERROR(INDEX(Staff!$B$5:$B$44,MATCH(J1054,Staff!$A$5:$A$44,0)),""))</f>
        <v>0</v>
      </c>
      <c r="O1054" s="15">
        <f>IF(B1054="","",TEXT(B1054,"yyyy-mm"))</f>
        <v>0</v>
      </c>
      <c r="P1054" s="25">
        <f>IF(B1054="","",WEEKNUM(B1054,2))</f>
        <v>0</v>
      </c>
      <c r="Q1054" s="38">
        <f>IF(B1054="","",IF(E1054="Tip","No",IF(E1054="Refund","No","Yes")))</f>
        <v>0</v>
      </c>
      <c r="R1054" s="25">
        <f>IF(B1054="","",IF(E1054="Refund",-1,1))</f>
        <v>0</v>
      </c>
      <c r="S1054" s="26">
        <f>IF(B1054="","",IF(G1054="",0,IF(F1054="Card",ROUND(G1054*CardFeePercent+CardFeeFixed,2),IF(F1054="Online deposit",ROUND(G1054*CardFeePercent+CardFeeFixed,2),0))))</f>
        <v>0</v>
      </c>
      <c r="T1054" s="26">
        <f>IF(B1054="","",ROUND(IF(G1054="",0,G1054)*R1054-S1054,2))</f>
        <v>0</v>
      </c>
      <c r="U1054" s="38">
        <f>IF(B1054="","",IF(E1054="Tip","Yes","No"))</f>
        <v>0</v>
      </c>
      <c r="V1054" s="15">
        <f>IF(B1054="","",IF(H1054&lt;&gt;"","Sale "&amp;H1054,IF(I1054&lt;&gt;"","Booking "&amp;I1054,IF(E1054="Tip","Stylist","Unapplied"))))</f>
        <v>0</v>
      </c>
      <c r="W1054" s="39">
        <f>IF(B1054="","",IF(G1054="","Add - no amount yet",IF(E1054="","Add - what was this for?",IF(IF(H1054="",FALSE,COUNTIF(Sales!$A$5:$A$1204,H1054)=0),"Missing - no sale with that ID",IF(IF(I1054="",FALSE,COUNTIF(Appointments!$A$5:$A$1204,I1054)=0),"Missing - no booking with that ID",IF(IF(E1054="Tip",J1054="",FALSE),"Assign - whose tip is it?",IF(IF(E1054="Deposit",IF(H1054="",I1054="",FALSE),FALSE),"Check - deposit not tied to a booking",IF(M1054="No","Due - not reconciled yet","OK"))))))))</f>
        <v>0</v>
      </c>
    </row>
    <row r="1055" spans="1:23">
      <c r="A1055" s="28">
        <f>IF(B1055="","",PaymentPrefix&amp;TEXT(ROW()-4,"0000"))</f>
        <v>0</v>
      </c>
      <c r="D1055" s="15">
        <f>IF(C1055="","",IFERROR(INDEX(Clients!$B$5:$B$504,MATCH(C1055,Clients!$A$5:$A$504,0)),"Walk-in"))</f>
        <v>0</v>
      </c>
      <c r="K1055" s="15">
        <f>IF(J1055="","",IFERROR(INDEX(Staff!$B$5:$B$44,MATCH(J1055,Staff!$A$5:$A$44,0)),""))</f>
        <v>0</v>
      </c>
      <c r="O1055" s="15">
        <f>IF(B1055="","",TEXT(B1055,"yyyy-mm"))</f>
        <v>0</v>
      </c>
      <c r="P1055" s="25">
        <f>IF(B1055="","",WEEKNUM(B1055,2))</f>
        <v>0</v>
      </c>
      <c r="Q1055" s="38">
        <f>IF(B1055="","",IF(E1055="Tip","No",IF(E1055="Refund","No","Yes")))</f>
        <v>0</v>
      </c>
      <c r="R1055" s="25">
        <f>IF(B1055="","",IF(E1055="Refund",-1,1))</f>
        <v>0</v>
      </c>
      <c r="S1055" s="26">
        <f>IF(B1055="","",IF(G1055="",0,IF(F1055="Card",ROUND(G1055*CardFeePercent+CardFeeFixed,2),IF(F1055="Online deposit",ROUND(G1055*CardFeePercent+CardFeeFixed,2),0))))</f>
        <v>0</v>
      </c>
      <c r="T1055" s="26">
        <f>IF(B1055="","",ROUND(IF(G1055="",0,G1055)*R1055-S1055,2))</f>
        <v>0</v>
      </c>
      <c r="U1055" s="38">
        <f>IF(B1055="","",IF(E1055="Tip","Yes","No"))</f>
        <v>0</v>
      </c>
      <c r="V1055" s="15">
        <f>IF(B1055="","",IF(H1055&lt;&gt;"","Sale "&amp;H1055,IF(I1055&lt;&gt;"","Booking "&amp;I1055,IF(E1055="Tip","Stylist","Unapplied"))))</f>
        <v>0</v>
      </c>
      <c r="W1055" s="39">
        <f>IF(B1055="","",IF(G1055="","Add - no amount yet",IF(E1055="","Add - what was this for?",IF(IF(H1055="",FALSE,COUNTIF(Sales!$A$5:$A$1204,H1055)=0),"Missing - no sale with that ID",IF(IF(I1055="",FALSE,COUNTIF(Appointments!$A$5:$A$1204,I1055)=0),"Missing - no booking with that ID",IF(IF(E1055="Tip",J1055="",FALSE),"Assign - whose tip is it?",IF(IF(E1055="Deposit",IF(H1055="",I1055="",FALSE),FALSE),"Check - deposit not tied to a booking",IF(M1055="No","Due - not reconciled yet","OK"))))))))</f>
        <v>0</v>
      </c>
    </row>
    <row r="1056" spans="1:23">
      <c r="A1056" s="28">
        <f>IF(B1056="","",PaymentPrefix&amp;TEXT(ROW()-4,"0000"))</f>
        <v>0</v>
      </c>
      <c r="D1056" s="15">
        <f>IF(C1056="","",IFERROR(INDEX(Clients!$B$5:$B$504,MATCH(C1056,Clients!$A$5:$A$504,0)),"Walk-in"))</f>
        <v>0</v>
      </c>
      <c r="K1056" s="15">
        <f>IF(J1056="","",IFERROR(INDEX(Staff!$B$5:$B$44,MATCH(J1056,Staff!$A$5:$A$44,0)),""))</f>
        <v>0</v>
      </c>
      <c r="O1056" s="15">
        <f>IF(B1056="","",TEXT(B1056,"yyyy-mm"))</f>
        <v>0</v>
      </c>
      <c r="P1056" s="25">
        <f>IF(B1056="","",WEEKNUM(B1056,2))</f>
        <v>0</v>
      </c>
      <c r="Q1056" s="38">
        <f>IF(B1056="","",IF(E1056="Tip","No",IF(E1056="Refund","No","Yes")))</f>
        <v>0</v>
      </c>
      <c r="R1056" s="25">
        <f>IF(B1056="","",IF(E1056="Refund",-1,1))</f>
        <v>0</v>
      </c>
      <c r="S1056" s="26">
        <f>IF(B1056="","",IF(G1056="",0,IF(F1056="Card",ROUND(G1056*CardFeePercent+CardFeeFixed,2),IF(F1056="Online deposit",ROUND(G1056*CardFeePercent+CardFeeFixed,2),0))))</f>
        <v>0</v>
      </c>
      <c r="T1056" s="26">
        <f>IF(B1056="","",ROUND(IF(G1056="",0,G1056)*R1056-S1056,2))</f>
        <v>0</v>
      </c>
      <c r="U1056" s="38">
        <f>IF(B1056="","",IF(E1056="Tip","Yes","No"))</f>
        <v>0</v>
      </c>
      <c r="V1056" s="15">
        <f>IF(B1056="","",IF(H1056&lt;&gt;"","Sale "&amp;H1056,IF(I1056&lt;&gt;"","Booking "&amp;I1056,IF(E1056="Tip","Stylist","Unapplied"))))</f>
        <v>0</v>
      </c>
      <c r="W1056" s="39">
        <f>IF(B1056="","",IF(G1056="","Add - no amount yet",IF(E1056="","Add - what was this for?",IF(IF(H1056="",FALSE,COUNTIF(Sales!$A$5:$A$1204,H1056)=0),"Missing - no sale with that ID",IF(IF(I1056="",FALSE,COUNTIF(Appointments!$A$5:$A$1204,I1056)=0),"Missing - no booking with that ID",IF(IF(E1056="Tip",J1056="",FALSE),"Assign - whose tip is it?",IF(IF(E1056="Deposit",IF(H1056="",I1056="",FALSE),FALSE),"Check - deposit not tied to a booking",IF(M1056="No","Due - not reconciled yet","OK"))))))))</f>
        <v>0</v>
      </c>
    </row>
    <row r="1057" spans="1:23">
      <c r="A1057" s="28">
        <f>IF(B1057="","",PaymentPrefix&amp;TEXT(ROW()-4,"0000"))</f>
        <v>0</v>
      </c>
      <c r="D1057" s="15">
        <f>IF(C1057="","",IFERROR(INDEX(Clients!$B$5:$B$504,MATCH(C1057,Clients!$A$5:$A$504,0)),"Walk-in"))</f>
        <v>0</v>
      </c>
      <c r="K1057" s="15">
        <f>IF(J1057="","",IFERROR(INDEX(Staff!$B$5:$B$44,MATCH(J1057,Staff!$A$5:$A$44,0)),""))</f>
        <v>0</v>
      </c>
      <c r="O1057" s="15">
        <f>IF(B1057="","",TEXT(B1057,"yyyy-mm"))</f>
        <v>0</v>
      </c>
      <c r="P1057" s="25">
        <f>IF(B1057="","",WEEKNUM(B1057,2))</f>
        <v>0</v>
      </c>
      <c r="Q1057" s="38">
        <f>IF(B1057="","",IF(E1057="Tip","No",IF(E1057="Refund","No","Yes")))</f>
        <v>0</v>
      </c>
      <c r="R1057" s="25">
        <f>IF(B1057="","",IF(E1057="Refund",-1,1))</f>
        <v>0</v>
      </c>
      <c r="S1057" s="26">
        <f>IF(B1057="","",IF(G1057="",0,IF(F1057="Card",ROUND(G1057*CardFeePercent+CardFeeFixed,2),IF(F1057="Online deposit",ROUND(G1057*CardFeePercent+CardFeeFixed,2),0))))</f>
        <v>0</v>
      </c>
      <c r="T1057" s="26">
        <f>IF(B1057="","",ROUND(IF(G1057="",0,G1057)*R1057-S1057,2))</f>
        <v>0</v>
      </c>
      <c r="U1057" s="38">
        <f>IF(B1057="","",IF(E1057="Tip","Yes","No"))</f>
        <v>0</v>
      </c>
      <c r="V1057" s="15">
        <f>IF(B1057="","",IF(H1057&lt;&gt;"","Sale "&amp;H1057,IF(I1057&lt;&gt;"","Booking "&amp;I1057,IF(E1057="Tip","Stylist","Unapplied"))))</f>
        <v>0</v>
      </c>
      <c r="W1057" s="39">
        <f>IF(B1057="","",IF(G1057="","Add - no amount yet",IF(E1057="","Add - what was this for?",IF(IF(H1057="",FALSE,COUNTIF(Sales!$A$5:$A$1204,H1057)=0),"Missing - no sale with that ID",IF(IF(I1057="",FALSE,COUNTIF(Appointments!$A$5:$A$1204,I1057)=0),"Missing - no booking with that ID",IF(IF(E1057="Tip",J1057="",FALSE),"Assign - whose tip is it?",IF(IF(E1057="Deposit",IF(H1057="",I1057="",FALSE),FALSE),"Check - deposit not tied to a booking",IF(M1057="No","Due - not reconciled yet","OK"))))))))</f>
        <v>0</v>
      </c>
    </row>
    <row r="1058" spans="1:23">
      <c r="A1058" s="28">
        <f>IF(B1058="","",PaymentPrefix&amp;TEXT(ROW()-4,"0000"))</f>
        <v>0</v>
      </c>
      <c r="D1058" s="15">
        <f>IF(C1058="","",IFERROR(INDEX(Clients!$B$5:$B$504,MATCH(C1058,Clients!$A$5:$A$504,0)),"Walk-in"))</f>
        <v>0</v>
      </c>
      <c r="K1058" s="15">
        <f>IF(J1058="","",IFERROR(INDEX(Staff!$B$5:$B$44,MATCH(J1058,Staff!$A$5:$A$44,0)),""))</f>
        <v>0</v>
      </c>
      <c r="O1058" s="15">
        <f>IF(B1058="","",TEXT(B1058,"yyyy-mm"))</f>
        <v>0</v>
      </c>
      <c r="P1058" s="25">
        <f>IF(B1058="","",WEEKNUM(B1058,2))</f>
        <v>0</v>
      </c>
      <c r="Q1058" s="38">
        <f>IF(B1058="","",IF(E1058="Tip","No",IF(E1058="Refund","No","Yes")))</f>
        <v>0</v>
      </c>
      <c r="R1058" s="25">
        <f>IF(B1058="","",IF(E1058="Refund",-1,1))</f>
        <v>0</v>
      </c>
      <c r="S1058" s="26">
        <f>IF(B1058="","",IF(G1058="",0,IF(F1058="Card",ROUND(G1058*CardFeePercent+CardFeeFixed,2),IF(F1058="Online deposit",ROUND(G1058*CardFeePercent+CardFeeFixed,2),0))))</f>
        <v>0</v>
      </c>
      <c r="T1058" s="26">
        <f>IF(B1058="","",ROUND(IF(G1058="",0,G1058)*R1058-S1058,2))</f>
        <v>0</v>
      </c>
      <c r="U1058" s="38">
        <f>IF(B1058="","",IF(E1058="Tip","Yes","No"))</f>
        <v>0</v>
      </c>
      <c r="V1058" s="15">
        <f>IF(B1058="","",IF(H1058&lt;&gt;"","Sale "&amp;H1058,IF(I1058&lt;&gt;"","Booking "&amp;I1058,IF(E1058="Tip","Stylist","Unapplied"))))</f>
        <v>0</v>
      </c>
      <c r="W1058" s="39">
        <f>IF(B1058="","",IF(G1058="","Add - no amount yet",IF(E1058="","Add - what was this for?",IF(IF(H1058="",FALSE,COUNTIF(Sales!$A$5:$A$1204,H1058)=0),"Missing - no sale with that ID",IF(IF(I1058="",FALSE,COUNTIF(Appointments!$A$5:$A$1204,I1058)=0),"Missing - no booking with that ID",IF(IF(E1058="Tip",J1058="",FALSE),"Assign - whose tip is it?",IF(IF(E1058="Deposit",IF(H1058="",I1058="",FALSE),FALSE),"Check - deposit not tied to a booking",IF(M1058="No","Due - not reconciled yet","OK"))))))))</f>
        <v>0</v>
      </c>
    </row>
    <row r="1059" spans="1:23">
      <c r="A1059" s="28">
        <f>IF(B1059="","",PaymentPrefix&amp;TEXT(ROW()-4,"0000"))</f>
        <v>0</v>
      </c>
      <c r="D1059" s="15">
        <f>IF(C1059="","",IFERROR(INDEX(Clients!$B$5:$B$504,MATCH(C1059,Clients!$A$5:$A$504,0)),"Walk-in"))</f>
        <v>0</v>
      </c>
      <c r="K1059" s="15">
        <f>IF(J1059="","",IFERROR(INDEX(Staff!$B$5:$B$44,MATCH(J1059,Staff!$A$5:$A$44,0)),""))</f>
        <v>0</v>
      </c>
      <c r="O1059" s="15">
        <f>IF(B1059="","",TEXT(B1059,"yyyy-mm"))</f>
        <v>0</v>
      </c>
      <c r="P1059" s="25">
        <f>IF(B1059="","",WEEKNUM(B1059,2))</f>
        <v>0</v>
      </c>
      <c r="Q1059" s="38">
        <f>IF(B1059="","",IF(E1059="Tip","No",IF(E1059="Refund","No","Yes")))</f>
        <v>0</v>
      </c>
      <c r="R1059" s="25">
        <f>IF(B1059="","",IF(E1059="Refund",-1,1))</f>
        <v>0</v>
      </c>
      <c r="S1059" s="26">
        <f>IF(B1059="","",IF(G1059="",0,IF(F1059="Card",ROUND(G1059*CardFeePercent+CardFeeFixed,2),IF(F1059="Online deposit",ROUND(G1059*CardFeePercent+CardFeeFixed,2),0))))</f>
        <v>0</v>
      </c>
      <c r="T1059" s="26">
        <f>IF(B1059="","",ROUND(IF(G1059="",0,G1059)*R1059-S1059,2))</f>
        <v>0</v>
      </c>
      <c r="U1059" s="38">
        <f>IF(B1059="","",IF(E1059="Tip","Yes","No"))</f>
        <v>0</v>
      </c>
      <c r="V1059" s="15">
        <f>IF(B1059="","",IF(H1059&lt;&gt;"","Sale "&amp;H1059,IF(I1059&lt;&gt;"","Booking "&amp;I1059,IF(E1059="Tip","Stylist","Unapplied"))))</f>
        <v>0</v>
      </c>
      <c r="W1059" s="39">
        <f>IF(B1059="","",IF(G1059="","Add - no amount yet",IF(E1059="","Add - what was this for?",IF(IF(H1059="",FALSE,COUNTIF(Sales!$A$5:$A$1204,H1059)=0),"Missing - no sale with that ID",IF(IF(I1059="",FALSE,COUNTIF(Appointments!$A$5:$A$1204,I1059)=0),"Missing - no booking with that ID",IF(IF(E1059="Tip",J1059="",FALSE),"Assign - whose tip is it?",IF(IF(E1059="Deposit",IF(H1059="",I1059="",FALSE),FALSE),"Check - deposit not tied to a booking",IF(M1059="No","Due - not reconciled yet","OK"))))))))</f>
        <v>0</v>
      </c>
    </row>
    <row r="1060" spans="1:23">
      <c r="A1060" s="28">
        <f>IF(B1060="","",PaymentPrefix&amp;TEXT(ROW()-4,"0000"))</f>
        <v>0</v>
      </c>
      <c r="D1060" s="15">
        <f>IF(C1060="","",IFERROR(INDEX(Clients!$B$5:$B$504,MATCH(C1060,Clients!$A$5:$A$504,0)),"Walk-in"))</f>
        <v>0</v>
      </c>
      <c r="K1060" s="15">
        <f>IF(J1060="","",IFERROR(INDEX(Staff!$B$5:$B$44,MATCH(J1060,Staff!$A$5:$A$44,0)),""))</f>
        <v>0</v>
      </c>
      <c r="O1060" s="15">
        <f>IF(B1060="","",TEXT(B1060,"yyyy-mm"))</f>
        <v>0</v>
      </c>
      <c r="P1060" s="25">
        <f>IF(B1060="","",WEEKNUM(B1060,2))</f>
        <v>0</v>
      </c>
      <c r="Q1060" s="38">
        <f>IF(B1060="","",IF(E1060="Tip","No",IF(E1060="Refund","No","Yes")))</f>
        <v>0</v>
      </c>
      <c r="R1060" s="25">
        <f>IF(B1060="","",IF(E1060="Refund",-1,1))</f>
        <v>0</v>
      </c>
      <c r="S1060" s="26">
        <f>IF(B1060="","",IF(G1060="",0,IF(F1060="Card",ROUND(G1060*CardFeePercent+CardFeeFixed,2),IF(F1060="Online deposit",ROUND(G1060*CardFeePercent+CardFeeFixed,2),0))))</f>
        <v>0</v>
      </c>
      <c r="T1060" s="26">
        <f>IF(B1060="","",ROUND(IF(G1060="",0,G1060)*R1060-S1060,2))</f>
        <v>0</v>
      </c>
      <c r="U1060" s="38">
        <f>IF(B1060="","",IF(E1060="Tip","Yes","No"))</f>
        <v>0</v>
      </c>
      <c r="V1060" s="15">
        <f>IF(B1060="","",IF(H1060&lt;&gt;"","Sale "&amp;H1060,IF(I1060&lt;&gt;"","Booking "&amp;I1060,IF(E1060="Tip","Stylist","Unapplied"))))</f>
        <v>0</v>
      </c>
      <c r="W1060" s="39">
        <f>IF(B1060="","",IF(G1060="","Add - no amount yet",IF(E1060="","Add - what was this for?",IF(IF(H1060="",FALSE,COUNTIF(Sales!$A$5:$A$1204,H1060)=0),"Missing - no sale with that ID",IF(IF(I1060="",FALSE,COUNTIF(Appointments!$A$5:$A$1204,I1060)=0),"Missing - no booking with that ID",IF(IF(E1060="Tip",J1060="",FALSE),"Assign - whose tip is it?",IF(IF(E1060="Deposit",IF(H1060="",I1060="",FALSE),FALSE),"Check - deposit not tied to a booking",IF(M1060="No","Due - not reconciled yet","OK"))))))))</f>
        <v>0</v>
      </c>
    </row>
    <row r="1061" spans="1:23">
      <c r="A1061" s="28">
        <f>IF(B1061="","",PaymentPrefix&amp;TEXT(ROW()-4,"0000"))</f>
        <v>0</v>
      </c>
      <c r="D1061" s="15">
        <f>IF(C1061="","",IFERROR(INDEX(Clients!$B$5:$B$504,MATCH(C1061,Clients!$A$5:$A$504,0)),"Walk-in"))</f>
        <v>0</v>
      </c>
      <c r="K1061" s="15">
        <f>IF(J1061="","",IFERROR(INDEX(Staff!$B$5:$B$44,MATCH(J1061,Staff!$A$5:$A$44,0)),""))</f>
        <v>0</v>
      </c>
      <c r="O1061" s="15">
        <f>IF(B1061="","",TEXT(B1061,"yyyy-mm"))</f>
        <v>0</v>
      </c>
      <c r="P1061" s="25">
        <f>IF(B1061="","",WEEKNUM(B1061,2))</f>
        <v>0</v>
      </c>
      <c r="Q1061" s="38">
        <f>IF(B1061="","",IF(E1061="Tip","No",IF(E1061="Refund","No","Yes")))</f>
        <v>0</v>
      </c>
      <c r="R1061" s="25">
        <f>IF(B1061="","",IF(E1061="Refund",-1,1))</f>
        <v>0</v>
      </c>
      <c r="S1061" s="26">
        <f>IF(B1061="","",IF(G1061="",0,IF(F1061="Card",ROUND(G1061*CardFeePercent+CardFeeFixed,2),IF(F1061="Online deposit",ROUND(G1061*CardFeePercent+CardFeeFixed,2),0))))</f>
        <v>0</v>
      </c>
      <c r="T1061" s="26">
        <f>IF(B1061="","",ROUND(IF(G1061="",0,G1061)*R1061-S1061,2))</f>
        <v>0</v>
      </c>
      <c r="U1061" s="38">
        <f>IF(B1061="","",IF(E1061="Tip","Yes","No"))</f>
        <v>0</v>
      </c>
      <c r="V1061" s="15">
        <f>IF(B1061="","",IF(H1061&lt;&gt;"","Sale "&amp;H1061,IF(I1061&lt;&gt;"","Booking "&amp;I1061,IF(E1061="Tip","Stylist","Unapplied"))))</f>
        <v>0</v>
      </c>
      <c r="W1061" s="39">
        <f>IF(B1061="","",IF(G1061="","Add - no amount yet",IF(E1061="","Add - what was this for?",IF(IF(H1061="",FALSE,COUNTIF(Sales!$A$5:$A$1204,H1061)=0),"Missing - no sale with that ID",IF(IF(I1061="",FALSE,COUNTIF(Appointments!$A$5:$A$1204,I1061)=0),"Missing - no booking with that ID",IF(IF(E1061="Tip",J1061="",FALSE),"Assign - whose tip is it?",IF(IF(E1061="Deposit",IF(H1061="",I1061="",FALSE),FALSE),"Check - deposit not tied to a booking",IF(M1061="No","Due - not reconciled yet","OK"))))))))</f>
        <v>0</v>
      </c>
    </row>
    <row r="1062" spans="1:23">
      <c r="A1062" s="28">
        <f>IF(B1062="","",PaymentPrefix&amp;TEXT(ROW()-4,"0000"))</f>
        <v>0</v>
      </c>
      <c r="D1062" s="15">
        <f>IF(C1062="","",IFERROR(INDEX(Clients!$B$5:$B$504,MATCH(C1062,Clients!$A$5:$A$504,0)),"Walk-in"))</f>
        <v>0</v>
      </c>
      <c r="K1062" s="15">
        <f>IF(J1062="","",IFERROR(INDEX(Staff!$B$5:$B$44,MATCH(J1062,Staff!$A$5:$A$44,0)),""))</f>
        <v>0</v>
      </c>
      <c r="O1062" s="15">
        <f>IF(B1062="","",TEXT(B1062,"yyyy-mm"))</f>
        <v>0</v>
      </c>
      <c r="P1062" s="25">
        <f>IF(B1062="","",WEEKNUM(B1062,2))</f>
        <v>0</v>
      </c>
      <c r="Q1062" s="38">
        <f>IF(B1062="","",IF(E1062="Tip","No",IF(E1062="Refund","No","Yes")))</f>
        <v>0</v>
      </c>
      <c r="R1062" s="25">
        <f>IF(B1062="","",IF(E1062="Refund",-1,1))</f>
        <v>0</v>
      </c>
      <c r="S1062" s="26">
        <f>IF(B1062="","",IF(G1062="",0,IF(F1062="Card",ROUND(G1062*CardFeePercent+CardFeeFixed,2),IF(F1062="Online deposit",ROUND(G1062*CardFeePercent+CardFeeFixed,2),0))))</f>
        <v>0</v>
      </c>
      <c r="T1062" s="26">
        <f>IF(B1062="","",ROUND(IF(G1062="",0,G1062)*R1062-S1062,2))</f>
        <v>0</v>
      </c>
      <c r="U1062" s="38">
        <f>IF(B1062="","",IF(E1062="Tip","Yes","No"))</f>
        <v>0</v>
      </c>
      <c r="V1062" s="15">
        <f>IF(B1062="","",IF(H1062&lt;&gt;"","Sale "&amp;H1062,IF(I1062&lt;&gt;"","Booking "&amp;I1062,IF(E1062="Tip","Stylist","Unapplied"))))</f>
        <v>0</v>
      </c>
      <c r="W1062" s="39">
        <f>IF(B1062="","",IF(G1062="","Add - no amount yet",IF(E1062="","Add - what was this for?",IF(IF(H1062="",FALSE,COUNTIF(Sales!$A$5:$A$1204,H1062)=0),"Missing - no sale with that ID",IF(IF(I1062="",FALSE,COUNTIF(Appointments!$A$5:$A$1204,I1062)=0),"Missing - no booking with that ID",IF(IF(E1062="Tip",J1062="",FALSE),"Assign - whose tip is it?",IF(IF(E1062="Deposit",IF(H1062="",I1062="",FALSE),FALSE),"Check - deposit not tied to a booking",IF(M1062="No","Due - not reconciled yet","OK"))))))))</f>
        <v>0</v>
      </c>
    </row>
    <row r="1063" spans="1:23">
      <c r="A1063" s="28">
        <f>IF(B1063="","",PaymentPrefix&amp;TEXT(ROW()-4,"0000"))</f>
        <v>0</v>
      </c>
      <c r="D1063" s="15">
        <f>IF(C1063="","",IFERROR(INDEX(Clients!$B$5:$B$504,MATCH(C1063,Clients!$A$5:$A$504,0)),"Walk-in"))</f>
        <v>0</v>
      </c>
      <c r="K1063" s="15">
        <f>IF(J1063="","",IFERROR(INDEX(Staff!$B$5:$B$44,MATCH(J1063,Staff!$A$5:$A$44,0)),""))</f>
        <v>0</v>
      </c>
      <c r="O1063" s="15">
        <f>IF(B1063="","",TEXT(B1063,"yyyy-mm"))</f>
        <v>0</v>
      </c>
      <c r="P1063" s="25">
        <f>IF(B1063="","",WEEKNUM(B1063,2))</f>
        <v>0</v>
      </c>
      <c r="Q1063" s="38">
        <f>IF(B1063="","",IF(E1063="Tip","No",IF(E1063="Refund","No","Yes")))</f>
        <v>0</v>
      </c>
      <c r="R1063" s="25">
        <f>IF(B1063="","",IF(E1063="Refund",-1,1))</f>
        <v>0</v>
      </c>
      <c r="S1063" s="26">
        <f>IF(B1063="","",IF(G1063="",0,IF(F1063="Card",ROUND(G1063*CardFeePercent+CardFeeFixed,2),IF(F1063="Online deposit",ROUND(G1063*CardFeePercent+CardFeeFixed,2),0))))</f>
        <v>0</v>
      </c>
      <c r="T1063" s="26">
        <f>IF(B1063="","",ROUND(IF(G1063="",0,G1063)*R1063-S1063,2))</f>
        <v>0</v>
      </c>
      <c r="U1063" s="38">
        <f>IF(B1063="","",IF(E1063="Tip","Yes","No"))</f>
        <v>0</v>
      </c>
      <c r="V1063" s="15">
        <f>IF(B1063="","",IF(H1063&lt;&gt;"","Sale "&amp;H1063,IF(I1063&lt;&gt;"","Booking "&amp;I1063,IF(E1063="Tip","Stylist","Unapplied"))))</f>
        <v>0</v>
      </c>
      <c r="W1063" s="39">
        <f>IF(B1063="","",IF(G1063="","Add - no amount yet",IF(E1063="","Add - what was this for?",IF(IF(H1063="",FALSE,COUNTIF(Sales!$A$5:$A$1204,H1063)=0),"Missing - no sale with that ID",IF(IF(I1063="",FALSE,COUNTIF(Appointments!$A$5:$A$1204,I1063)=0),"Missing - no booking with that ID",IF(IF(E1063="Tip",J1063="",FALSE),"Assign - whose tip is it?",IF(IF(E1063="Deposit",IF(H1063="",I1063="",FALSE),FALSE),"Check - deposit not tied to a booking",IF(M1063="No","Due - not reconciled yet","OK"))))))))</f>
        <v>0</v>
      </c>
    </row>
    <row r="1064" spans="1:23">
      <c r="A1064" s="28">
        <f>IF(B1064="","",PaymentPrefix&amp;TEXT(ROW()-4,"0000"))</f>
        <v>0</v>
      </c>
      <c r="D1064" s="15">
        <f>IF(C1064="","",IFERROR(INDEX(Clients!$B$5:$B$504,MATCH(C1064,Clients!$A$5:$A$504,0)),"Walk-in"))</f>
        <v>0</v>
      </c>
      <c r="K1064" s="15">
        <f>IF(J1064="","",IFERROR(INDEX(Staff!$B$5:$B$44,MATCH(J1064,Staff!$A$5:$A$44,0)),""))</f>
        <v>0</v>
      </c>
      <c r="O1064" s="15">
        <f>IF(B1064="","",TEXT(B1064,"yyyy-mm"))</f>
        <v>0</v>
      </c>
      <c r="P1064" s="25">
        <f>IF(B1064="","",WEEKNUM(B1064,2))</f>
        <v>0</v>
      </c>
      <c r="Q1064" s="38">
        <f>IF(B1064="","",IF(E1064="Tip","No",IF(E1064="Refund","No","Yes")))</f>
        <v>0</v>
      </c>
      <c r="R1064" s="25">
        <f>IF(B1064="","",IF(E1064="Refund",-1,1))</f>
        <v>0</v>
      </c>
      <c r="S1064" s="26">
        <f>IF(B1064="","",IF(G1064="",0,IF(F1064="Card",ROUND(G1064*CardFeePercent+CardFeeFixed,2),IF(F1064="Online deposit",ROUND(G1064*CardFeePercent+CardFeeFixed,2),0))))</f>
        <v>0</v>
      </c>
      <c r="T1064" s="26">
        <f>IF(B1064="","",ROUND(IF(G1064="",0,G1064)*R1064-S1064,2))</f>
        <v>0</v>
      </c>
      <c r="U1064" s="38">
        <f>IF(B1064="","",IF(E1064="Tip","Yes","No"))</f>
        <v>0</v>
      </c>
      <c r="V1064" s="15">
        <f>IF(B1064="","",IF(H1064&lt;&gt;"","Sale "&amp;H1064,IF(I1064&lt;&gt;"","Booking "&amp;I1064,IF(E1064="Tip","Stylist","Unapplied"))))</f>
        <v>0</v>
      </c>
      <c r="W1064" s="39">
        <f>IF(B1064="","",IF(G1064="","Add - no amount yet",IF(E1064="","Add - what was this for?",IF(IF(H1064="",FALSE,COUNTIF(Sales!$A$5:$A$1204,H1064)=0),"Missing - no sale with that ID",IF(IF(I1064="",FALSE,COUNTIF(Appointments!$A$5:$A$1204,I1064)=0),"Missing - no booking with that ID",IF(IF(E1064="Tip",J1064="",FALSE),"Assign - whose tip is it?",IF(IF(E1064="Deposit",IF(H1064="",I1064="",FALSE),FALSE),"Check - deposit not tied to a booking",IF(M1064="No","Due - not reconciled yet","OK"))))))))</f>
        <v>0</v>
      </c>
    </row>
    <row r="1065" spans="1:23">
      <c r="A1065" s="28">
        <f>IF(B1065="","",PaymentPrefix&amp;TEXT(ROW()-4,"0000"))</f>
        <v>0</v>
      </c>
      <c r="D1065" s="15">
        <f>IF(C1065="","",IFERROR(INDEX(Clients!$B$5:$B$504,MATCH(C1065,Clients!$A$5:$A$504,0)),"Walk-in"))</f>
        <v>0</v>
      </c>
      <c r="K1065" s="15">
        <f>IF(J1065="","",IFERROR(INDEX(Staff!$B$5:$B$44,MATCH(J1065,Staff!$A$5:$A$44,0)),""))</f>
        <v>0</v>
      </c>
      <c r="O1065" s="15">
        <f>IF(B1065="","",TEXT(B1065,"yyyy-mm"))</f>
        <v>0</v>
      </c>
      <c r="P1065" s="25">
        <f>IF(B1065="","",WEEKNUM(B1065,2))</f>
        <v>0</v>
      </c>
      <c r="Q1065" s="38">
        <f>IF(B1065="","",IF(E1065="Tip","No",IF(E1065="Refund","No","Yes")))</f>
        <v>0</v>
      </c>
      <c r="R1065" s="25">
        <f>IF(B1065="","",IF(E1065="Refund",-1,1))</f>
        <v>0</v>
      </c>
      <c r="S1065" s="26">
        <f>IF(B1065="","",IF(G1065="",0,IF(F1065="Card",ROUND(G1065*CardFeePercent+CardFeeFixed,2),IF(F1065="Online deposit",ROUND(G1065*CardFeePercent+CardFeeFixed,2),0))))</f>
        <v>0</v>
      </c>
      <c r="T1065" s="26">
        <f>IF(B1065="","",ROUND(IF(G1065="",0,G1065)*R1065-S1065,2))</f>
        <v>0</v>
      </c>
      <c r="U1065" s="38">
        <f>IF(B1065="","",IF(E1065="Tip","Yes","No"))</f>
        <v>0</v>
      </c>
      <c r="V1065" s="15">
        <f>IF(B1065="","",IF(H1065&lt;&gt;"","Sale "&amp;H1065,IF(I1065&lt;&gt;"","Booking "&amp;I1065,IF(E1065="Tip","Stylist","Unapplied"))))</f>
        <v>0</v>
      </c>
      <c r="W1065" s="39">
        <f>IF(B1065="","",IF(G1065="","Add - no amount yet",IF(E1065="","Add - what was this for?",IF(IF(H1065="",FALSE,COUNTIF(Sales!$A$5:$A$1204,H1065)=0),"Missing - no sale with that ID",IF(IF(I1065="",FALSE,COUNTIF(Appointments!$A$5:$A$1204,I1065)=0),"Missing - no booking with that ID",IF(IF(E1065="Tip",J1065="",FALSE),"Assign - whose tip is it?",IF(IF(E1065="Deposit",IF(H1065="",I1065="",FALSE),FALSE),"Check - deposit not tied to a booking",IF(M1065="No","Due - not reconciled yet","OK"))))))))</f>
        <v>0</v>
      </c>
    </row>
    <row r="1066" spans="1:23">
      <c r="A1066" s="28">
        <f>IF(B1066="","",PaymentPrefix&amp;TEXT(ROW()-4,"0000"))</f>
        <v>0</v>
      </c>
      <c r="D1066" s="15">
        <f>IF(C1066="","",IFERROR(INDEX(Clients!$B$5:$B$504,MATCH(C1066,Clients!$A$5:$A$504,0)),"Walk-in"))</f>
        <v>0</v>
      </c>
      <c r="K1066" s="15">
        <f>IF(J1066="","",IFERROR(INDEX(Staff!$B$5:$B$44,MATCH(J1066,Staff!$A$5:$A$44,0)),""))</f>
        <v>0</v>
      </c>
      <c r="O1066" s="15">
        <f>IF(B1066="","",TEXT(B1066,"yyyy-mm"))</f>
        <v>0</v>
      </c>
      <c r="P1066" s="25">
        <f>IF(B1066="","",WEEKNUM(B1066,2))</f>
        <v>0</v>
      </c>
      <c r="Q1066" s="38">
        <f>IF(B1066="","",IF(E1066="Tip","No",IF(E1066="Refund","No","Yes")))</f>
        <v>0</v>
      </c>
      <c r="R1066" s="25">
        <f>IF(B1066="","",IF(E1066="Refund",-1,1))</f>
        <v>0</v>
      </c>
      <c r="S1066" s="26">
        <f>IF(B1066="","",IF(G1066="",0,IF(F1066="Card",ROUND(G1066*CardFeePercent+CardFeeFixed,2),IF(F1066="Online deposit",ROUND(G1066*CardFeePercent+CardFeeFixed,2),0))))</f>
        <v>0</v>
      </c>
      <c r="T1066" s="26">
        <f>IF(B1066="","",ROUND(IF(G1066="",0,G1066)*R1066-S1066,2))</f>
        <v>0</v>
      </c>
      <c r="U1066" s="38">
        <f>IF(B1066="","",IF(E1066="Tip","Yes","No"))</f>
        <v>0</v>
      </c>
      <c r="V1066" s="15">
        <f>IF(B1066="","",IF(H1066&lt;&gt;"","Sale "&amp;H1066,IF(I1066&lt;&gt;"","Booking "&amp;I1066,IF(E1066="Tip","Stylist","Unapplied"))))</f>
        <v>0</v>
      </c>
      <c r="W1066" s="39">
        <f>IF(B1066="","",IF(G1066="","Add - no amount yet",IF(E1066="","Add - what was this for?",IF(IF(H1066="",FALSE,COUNTIF(Sales!$A$5:$A$1204,H1066)=0),"Missing - no sale with that ID",IF(IF(I1066="",FALSE,COUNTIF(Appointments!$A$5:$A$1204,I1066)=0),"Missing - no booking with that ID",IF(IF(E1066="Tip",J1066="",FALSE),"Assign - whose tip is it?",IF(IF(E1066="Deposit",IF(H1066="",I1066="",FALSE),FALSE),"Check - deposit not tied to a booking",IF(M1066="No","Due - not reconciled yet","OK"))))))))</f>
        <v>0</v>
      </c>
    </row>
    <row r="1067" spans="1:23">
      <c r="A1067" s="28">
        <f>IF(B1067="","",PaymentPrefix&amp;TEXT(ROW()-4,"0000"))</f>
        <v>0</v>
      </c>
      <c r="D1067" s="15">
        <f>IF(C1067="","",IFERROR(INDEX(Clients!$B$5:$B$504,MATCH(C1067,Clients!$A$5:$A$504,0)),"Walk-in"))</f>
        <v>0</v>
      </c>
      <c r="K1067" s="15">
        <f>IF(J1067="","",IFERROR(INDEX(Staff!$B$5:$B$44,MATCH(J1067,Staff!$A$5:$A$44,0)),""))</f>
        <v>0</v>
      </c>
      <c r="O1067" s="15">
        <f>IF(B1067="","",TEXT(B1067,"yyyy-mm"))</f>
        <v>0</v>
      </c>
      <c r="P1067" s="25">
        <f>IF(B1067="","",WEEKNUM(B1067,2))</f>
        <v>0</v>
      </c>
      <c r="Q1067" s="38">
        <f>IF(B1067="","",IF(E1067="Tip","No",IF(E1067="Refund","No","Yes")))</f>
        <v>0</v>
      </c>
      <c r="R1067" s="25">
        <f>IF(B1067="","",IF(E1067="Refund",-1,1))</f>
        <v>0</v>
      </c>
      <c r="S1067" s="26">
        <f>IF(B1067="","",IF(G1067="",0,IF(F1067="Card",ROUND(G1067*CardFeePercent+CardFeeFixed,2),IF(F1067="Online deposit",ROUND(G1067*CardFeePercent+CardFeeFixed,2),0))))</f>
        <v>0</v>
      </c>
      <c r="T1067" s="26">
        <f>IF(B1067="","",ROUND(IF(G1067="",0,G1067)*R1067-S1067,2))</f>
        <v>0</v>
      </c>
      <c r="U1067" s="38">
        <f>IF(B1067="","",IF(E1067="Tip","Yes","No"))</f>
        <v>0</v>
      </c>
      <c r="V1067" s="15">
        <f>IF(B1067="","",IF(H1067&lt;&gt;"","Sale "&amp;H1067,IF(I1067&lt;&gt;"","Booking "&amp;I1067,IF(E1067="Tip","Stylist","Unapplied"))))</f>
        <v>0</v>
      </c>
      <c r="W1067" s="39">
        <f>IF(B1067="","",IF(G1067="","Add - no amount yet",IF(E1067="","Add - what was this for?",IF(IF(H1067="",FALSE,COUNTIF(Sales!$A$5:$A$1204,H1067)=0),"Missing - no sale with that ID",IF(IF(I1067="",FALSE,COUNTIF(Appointments!$A$5:$A$1204,I1067)=0),"Missing - no booking with that ID",IF(IF(E1067="Tip",J1067="",FALSE),"Assign - whose tip is it?",IF(IF(E1067="Deposit",IF(H1067="",I1067="",FALSE),FALSE),"Check - deposit not tied to a booking",IF(M1067="No","Due - not reconciled yet","OK"))))))))</f>
        <v>0</v>
      </c>
    </row>
    <row r="1068" spans="1:23">
      <c r="A1068" s="28">
        <f>IF(B1068="","",PaymentPrefix&amp;TEXT(ROW()-4,"0000"))</f>
        <v>0</v>
      </c>
      <c r="D1068" s="15">
        <f>IF(C1068="","",IFERROR(INDEX(Clients!$B$5:$B$504,MATCH(C1068,Clients!$A$5:$A$504,0)),"Walk-in"))</f>
        <v>0</v>
      </c>
      <c r="K1068" s="15">
        <f>IF(J1068="","",IFERROR(INDEX(Staff!$B$5:$B$44,MATCH(J1068,Staff!$A$5:$A$44,0)),""))</f>
        <v>0</v>
      </c>
      <c r="O1068" s="15">
        <f>IF(B1068="","",TEXT(B1068,"yyyy-mm"))</f>
        <v>0</v>
      </c>
      <c r="P1068" s="25">
        <f>IF(B1068="","",WEEKNUM(B1068,2))</f>
        <v>0</v>
      </c>
      <c r="Q1068" s="38">
        <f>IF(B1068="","",IF(E1068="Tip","No",IF(E1068="Refund","No","Yes")))</f>
        <v>0</v>
      </c>
      <c r="R1068" s="25">
        <f>IF(B1068="","",IF(E1068="Refund",-1,1))</f>
        <v>0</v>
      </c>
      <c r="S1068" s="26">
        <f>IF(B1068="","",IF(G1068="",0,IF(F1068="Card",ROUND(G1068*CardFeePercent+CardFeeFixed,2),IF(F1068="Online deposit",ROUND(G1068*CardFeePercent+CardFeeFixed,2),0))))</f>
        <v>0</v>
      </c>
      <c r="T1068" s="26">
        <f>IF(B1068="","",ROUND(IF(G1068="",0,G1068)*R1068-S1068,2))</f>
        <v>0</v>
      </c>
      <c r="U1068" s="38">
        <f>IF(B1068="","",IF(E1068="Tip","Yes","No"))</f>
        <v>0</v>
      </c>
      <c r="V1068" s="15">
        <f>IF(B1068="","",IF(H1068&lt;&gt;"","Sale "&amp;H1068,IF(I1068&lt;&gt;"","Booking "&amp;I1068,IF(E1068="Tip","Stylist","Unapplied"))))</f>
        <v>0</v>
      </c>
      <c r="W1068" s="39">
        <f>IF(B1068="","",IF(G1068="","Add - no amount yet",IF(E1068="","Add - what was this for?",IF(IF(H1068="",FALSE,COUNTIF(Sales!$A$5:$A$1204,H1068)=0),"Missing - no sale with that ID",IF(IF(I1068="",FALSE,COUNTIF(Appointments!$A$5:$A$1204,I1068)=0),"Missing - no booking with that ID",IF(IF(E1068="Tip",J1068="",FALSE),"Assign - whose tip is it?",IF(IF(E1068="Deposit",IF(H1068="",I1068="",FALSE),FALSE),"Check - deposit not tied to a booking",IF(M1068="No","Due - not reconciled yet","OK"))))))))</f>
        <v>0</v>
      </c>
    </row>
    <row r="1069" spans="1:23">
      <c r="A1069" s="28">
        <f>IF(B1069="","",PaymentPrefix&amp;TEXT(ROW()-4,"0000"))</f>
        <v>0</v>
      </c>
      <c r="D1069" s="15">
        <f>IF(C1069="","",IFERROR(INDEX(Clients!$B$5:$B$504,MATCH(C1069,Clients!$A$5:$A$504,0)),"Walk-in"))</f>
        <v>0</v>
      </c>
      <c r="K1069" s="15">
        <f>IF(J1069="","",IFERROR(INDEX(Staff!$B$5:$B$44,MATCH(J1069,Staff!$A$5:$A$44,0)),""))</f>
        <v>0</v>
      </c>
      <c r="O1069" s="15">
        <f>IF(B1069="","",TEXT(B1069,"yyyy-mm"))</f>
        <v>0</v>
      </c>
      <c r="P1069" s="25">
        <f>IF(B1069="","",WEEKNUM(B1069,2))</f>
        <v>0</v>
      </c>
      <c r="Q1069" s="38">
        <f>IF(B1069="","",IF(E1069="Tip","No",IF(E1069="Refund","No","Yes")))</f>
        <v>0</v>
      </c>
      <c r="R1069" s="25">
        <f>IF(B1069="","",IF(E1069="Refund",-1,1))</f>
        <v>0</v>
      </c>
      <c r="S1069" s="26">
        <f>IF(B1069="","",IF(G1069="",0,IF(F1069="Card",ROUND(G1069*CardFeePercent+CardFeeFixed,2),IF(F1069="Online deposit",ROUND(G1069*CardFeePercent+CardFeeFixed,2),0))))</f>
        <v>0</v>
      </c>
      <c r="T1069" s="26">
        <f>IF(B1069="","",ROUND(IF(G1069="",0,G1069)*R1069-S1069,2))</f>
        <v>0</v>
      </c>
      <c r="U1069" s="38">
        <f>IF(B1069="","",IF(E1069="Tip","Yes","No"))</f>
        <v>0</v>
      </c>
      <c r="V1069" s="15">
        <f>IF(B1069="","",IF(H1069&lt;&gt;"","Sale "&amp;H1069,IF(I1069&lt;&gt;"","Booking "&amp;I1069,IF(E1069="Tip","Stylist","Unapplied"))))</f>
        <v>0</v>
      </c>
      <c r="W1069" s="39">
        <f>IF(B1069="","",IF(G1069="","Add - no amount yet",IF(E1069="","Add - what was this for?",IF(IF(H1069="",FALSE,COUNTIF(Sales!$A$5:$A$1204,H1069)=0),"Missing - no sale with that ID",IF(IF(I1069="",FALSE,COUNTIF(Appointments!$A$5:$A$1204,I1069)=0),"Missing - no booking with that ID",IF(IF(E1069="Tip",J1069="",FALSE),"Assign - whose tip is it?",IF(IF(E1069="Deposit",IF(H1069="",I1069="",FALSE),FALSE),"Check - deposit not tied to a booking",IF(M1069="No","Due - not reconciled yet","OK"))))))))</f>
        <v>0</v>
      </c>
    </row>
    <row r="1070" spans="1:23">
      <c r="A1070" s="28">
        <f>IF(B1070="","",PaymentPrefix&amp;TEXT(ROW()-4,"0000"))</f>
        <v>0</v>
      </c>
      <c r="D1070" s="15">
        <f>IF(C1070="","",IFERROR(INDEX(Clients!$B$5:$B$504,MATCH(C1070,Clients!$A$5:$A$504,0)),"Walk-in"))</f>
        <v>0</v>
      </c>
      <c r="K1070" s="15">
        <f>IF(J1070="","",IFERROR(INDEX(Staff!$B$5:$B$44,MATCH(J1070,Staff!$A$5:$A$44,0)),""))</f>
        <v>0</v>
      </c>
      <c r="O1070" s="15">
        <f>IF(B1070="","",TEXT(B1070,"yyyy-mm"))</f>
        <v>0</v>
      </c>
      <c r="P1070" s="25">
        <f>IF(B1070="","",WEEKNUM(B1070,2))</f>
        <v>0</v>
      </c>
      <c r="Q1070" s="38">
        <f>IF(B1070="","",IF(E1070="Tip","No",IF(E1070="Refund","No","Yes")))</f>
        <v>0</v>
      </c>
      <c r="R1070" s="25">
        <f>IF(B1070="","",IF(E1070="Refund",-1,1))</f>
        <v>0</v>
      </c>
      <c r="S1070" s="26">
        <f>IF(B1070="","",IF(G1070="",0,IF(F1070="Card",ROUND(G1070*CardFeePercent+CardFeeFixed,2),IF(F1070="Online deposit",ROUND(G1070*CardFeePercent+CardFeeFixed,2),0))))</f>
        <v>0</v>
      </c>
      <c r="T1070" s="26">
        <f>IF(B1070="","",ROUND(IF(G1070="",0,G1070)*R1070-S1070,2))</f>
        <v>0</v>
      </c>
      <c r="U1070" s="38">
        <f>IF(B1070="","",IF(E1070="Tip","Yes","No"))</f>
        <v>0</v>
      </c>
      <c r="V1070" s="15">
        <f>IF(B1070="","",IF(H1070&lt;&gt;"","Sale "&amp;H1070,IF(I1070&lt;&gt;"","Booking "&amp;I1070,IF(E1070="Tip","Stylist","Unapplied"))))</f>
        <v>0</v>
      </c>
      <c r="W1070" s="39">
        <f>IF(B1070="","",IF(G1070="","Add - no amount yet",IF(E1070="","Add - what was this for?",IF(IF(H1070="",FALSE,COUNTIF(Sales!$A$5:$A$1204,H1070)=0),"Missing - no sale with that ID",IF(IF(I1070="",FALSE,COUNTIF(Appointments!$A$5:$A$1204,I1070)=0),"Missing - no booking with that ID",IF(IF(E1070="Tip",J1070="",FALSE),"Assign - whose tip is it?",IF(IF(E1070="Deposit",IF(H1070="",I1070="",FALSE),FALSE),"Check - deposit not tied to a booking",IF(M1070="No","Due - not reconciled yet","OK"))))))))</f>
        <v>0</v>
      </c>
    </row>
    <row r="1071" spans="1:23">
      <c r="A1071" s="28">
        <f>IF(B1071="","",PaymentPrefix&amp;TEXT(ROW()-4,"0000"))</f>
        <v>0</v>
      </c>
      <c r="D1071" s="15">
        <f>IF(C1071="","",IFERROR(INDEX(Clients!$B$5:$B$504,MATCH(C1071,Clients!$A$5:$A$504,0)),"Walk-in"))</f>
        <v>0</v>
      </c>
      <c r="K1071" s="15">
        <f>IF(J1071="","",IFERROR(INDEX(Staff!$B$5:$B$44,MATCH(J1071,Staff!$A$5:$A$44,0)),""))</f>
        <v>0</v>
      </c>
      <c r="O1071" s="15">
        <f>IF(B1071="","",TEXT(B1071,"yyyy-mm"))</f>
        <v>0</v>
      </c>
      <c r="P1071" s="25">
        <f>IF(B1071="","",WEEKNUM(B1071,2))</f>
        <v>0</v>
      </c>
      <c r="Q1071" s="38">
        <f>IF(B1071="","",IF(E1071="Tip","No",IF(E1071="Refund","No","Yes")))</f>
        <v>0</v>
      </c>
      <c r="R1071" s="25">
        <f>IF(B1071="","",IF(E1071="Refund",-1,1))</f>
        <v>0</v>
      </c>
      <c r="S1071" s="26">
        <f>IF(B1071="","",IF(G1071="",0,IF(F1071="Card",ROUND(G1071*CardFeePercent+CardFeeFixed,2),IF(F1071="Online deposit",ROUND(G1071*CardFeePercent+CardFeeFixed,2),0))))</f>
        <v>0</v>
      </c>
      <c r="T1071" s="26">
        <f>IF(B1071="","",ROUND(IF(G1071="",0,G1071)*R1071-S1071,2))</f>
        <v>0</v>
      </c>
      <c r="U1071" s="38">
        <f>IF(B1071="","",IF(E1071="Tip","Yes","No"))</f>
        <v>0</v>
      </c>
      <c r="V1071" s="15">
        <f>IF(B1071="","",IF(H1071&lt;&gt;"","Sale "&amp;H1071,IF(I1071&lt;&gt;"","Booking "&amp;I1071,IF(E1071="Tip","Stylist","Unapplied"))))</f>
        <v>0</v>
      </c>
      <c r="W1071" s="39">
        <f>IF(B1071="","",IF(G1071="","Add - no amount yet",IF(E1071="","Add - what was this for?",IF(IF(H1071="",FALSE,COUNTIF(Sales!$A$5:$A$1204,H1071)=0),"Missing - no sale with that ID",IF(IF(I1071="",FALSE,COUNTIF(Appointments!$A$5:$A$1204,I1071)=0),"Missing - no booking with that ID",IF(IF(E1071="Tip",J1071="",FALSE),"Assign - whose tip is it?",IF(IF(E1071="Deposit",IF(H1071="",I1071="",FALSE),FALSE),"Check - deposit not tied to a booking",IF(M1071="No","Due - not reconciled yet","OK"))))))))</f>
        <v>0</v>
      </c>
    </row>
    <row r="1072" spans="1:23">
      <c r="A1072" s="28">
        <f>IF(B1072="","",PaymentPrefix&amp;TEXT(ROW()-4,"0000"))</f>
        <v>0</v>
      </c>
      <c r="D1072" s="15">
        <f>IF(C1072="","",IFERROR(INDEX(Clients!$B$5:$B$504,MATCH(C1072,Clients!$A$5:$A$504,0)),"Walk-in"))</f>
        <v>0</v>
      </c>
      <c r="K1072" s="15">
        <f>IF(J1072="","",IFERROR(INDEX(Staff!$B$5:$B$44,MATCH(J1072,Staff!$A$5:$A$44,0)),""))</f>
        <v>0</v>
      </c>
      <c r="O1072" s="15">
        <f>IF(B1072="","",TEXT(B1072,"yyyy-mm"))</f>
        <v>0</v>
      </c>
      <c r="P1072" s="25">
        <f>IF(B1072="","",WEEKNUM(B1072,2))</f>
        <v>0</v>
      </c>
      <c r="Q1072" s="38">
        <f>IF(B1072="","",IF(E1072="Tip","No",IF(E1072="Refund","No","Yes")))</f>
        <v>0</v>
      </c>
      <c r="R1072" s="25">
        <f>IF(B1072="","",IF(E1072="Refund",-1,1))</f>
        <v>0</v>
      </c>
      <c r="S1072" s="26">
        <f>IF(B1072="","",IF(G1072="",0,IF(F1072="Card",ROUND(G1072*CardFeePercent+CardFeeFixed,2),IF(F1072="Online deposit",ROUND(G1072*CardFeePercent+CardFeeFixed,2),0))))</f>
        <v>0</v>
      </c>
      <c r="T1072" s="26">
        <f>IF(B1072="","",ROUND(IF(G1072="",0,G1072)*R1072-S1072,2))</f>
        <v>0</v>
      </c>
      <c r="U1072" s="38">
        <f>IF(B1072="","",IF(E1072="Tip","Yes","No"))</f>
        <v>0</v>
      </c>
      <c r="V1072" s="15">
        <f>IF(B1072="","",IF(H1072&lt;&gt;"","Sale "&amp;H1072,IF(I1072&lt;&gt;"","Booking "&amp;I1072,IF(E1072="Tip","Stylist","Unapplied"))))</f>
        <v>0</v>
      </c>
      <c r="W1072" s="39">
        <f>IF(B1072="","",IF(G1072="","Add - no amount yet",IF(E1072="","Add - what was this for?",IF(IF(H1072="",FALSE,COUNTIF(Sales!$A$5:$A$1204,H1072)=0),"Missing - no sale with that ID",IF(IF(I1072="",FALSE,COUNTIF(Appointments!$A$5:$A$1204,I1072)=0),"Missing - no booking with that ID",IF(IF(E1072="Tip",J1072="",FALSE),"Assign - whose tip is it?",IF(IF(E1072="Deposit",IF(H1072="",I1072="",FALSE),FALSE),"Check - deposit not tied to a booking",IF(M1072="No","Due - not reconciled yet","OK"))))))))</f>
        <v>0</v>
      </c>
    </row>
    <row r="1073" spans="1:23">
      <c r="A1073" s="28">
        <f>IF(B1073="","",PaymentPrefix&amp;TEXT(ROW()-4,"0000"))</f>
        <v>0</v>
      </c>
      <c r="D1073" s="15">
        <f>IF(C1073="","",IFERROR(INDEX(Clients!$B$5:$B$504,MATCH(C1073,Clients!$A$5:$A$504,0)),"Walk-in"))</f>
        <v>0</v>
      </c>
      <c r="K1073" s="15">
        <f>IF(J1073="","",IFERROR(INDEX(Staff!$B$5:$B$44,MATCH(J1073,Staff!$A$5:$A$44,0)),""))</f>
        <v>0</v>
      </c>
      <c r="O1073" s="15">
        <f>IF(B1073="","",TEXT(B1073,"yyyy-mm"))</f>
        <v>0</v>
      </c>
      <c r="P1073" s="25">
        <f>IF(B1073="","",WEEKNUM(B1073,2))</f>
        <v>0</v>
      </c>
      <c r="Q1073" s="38">
        <f>IF(B1073="","",IF(E1073="Tip","No",IF(E1073="Refund","No","Yes")))</f>
        <v>0</v>
      </c>
      <c r="R1073" s="25">
        <f>IF(B1073="","",IF(E1073="Refund",-1,1))</f>
        <v>0</v>
      </c>
      <c r="S1073" s="26">
        <f>IF(B1073="","",IF(G1073="",0,IF(F1073="Card",ROUND(G1073*CardFeePercent+CardFeeFixed,2),IF(F1073="Online deposit",ROUND(G1073*CardFeePercent+CardFeeFixed,2),0))))</f>
        <v>0</v>
      </c>
      <c r="T1073" s="26">
        <f>IF(B1073="","",ROUND(IF(G1073="",0,G1073)*R1073-S1073,2))</f>
        <v>0</v>
      </c>
      <c r="U1073" s="38">
        <f>IF(B1073="","",IF(E1073="Tip","Yes","No"))</f>
        <v>0</v>
      </c>
      <c r="V1073" s="15">
        <f>IF(B1073="","",IF(H1073&lt;&gt;"","Sale "&amp;H1073,IF(I1073&lt;&gt;"","Booking "&amp;I1073,IF(E1073="Tip","Stylist","Unapplied"))))</f>
        <v>0</v>
      </c>
      <c r="W1073" s="39">
        <f>IF(B1073="","",IF(G1073="","Add - no amount yet",IF(E1073="","Add - what was this for?",IF(IF(H1073="",FALSE,COUNTIF(Sales!$A$5:$A$1204,H1073)=0),"Missing - no sale with that ID",IF(IF(I1073="",FALSE,COUNTIF(Appointments!$A$5:$A$1204,I1073)=0),"Missing - no booking with that ID",IF(IF(E1073="Tip",J1073="",FALSE),"Assign - whose tip is it?",IF(IF(E1073="Deposit",IF(H1073="",I1073="",FALSE),FALSE),"Check - deposit not tied to a booking",IF(M1073="No","Due - not reconciled yet","OK"))))))))</f>
        <v>0</v>
      </c>
    </row>
    <row r="1074" spans="1:23">
      <c r="A1074" s="28">
        <f>IF(B1074="","",PaymentPrefix&amp;TEXT(ROW()-4,"0000"))</f>
        <v>0</v>
      </c>
      <c r="D1074" s="15">
        <f>IF(C1074="","",IFERROR(INDEX(Clients!$B$5:$B$504,MATCH(C1074,Clients!$A$5:$A$504,0)),"Walk-in"))</f>
        <v>0</v>
      </c>
      <c r="K1074" s="15">
        <f>IF(J1074="","",IFERROR(INDEX(Staff!$B$5:$B$44,MATCH(J1074,Staff!$A$5:$A$44,0)),""))</f>
        <v>0</v>
      </c>
      <c r="O1074" s="15">
        <f>IF(B1074="","",TEXT(B1074,"yyyy-mm"))</f>
        <v>0</v>
      </c>
      <c r="P1074" s="25">
        <f>IF(B1074="","",WEEKNUM(B1074,2))</f>
        <v>0</v>
      </c>
      <c r="Q1074" s="38">
        <f>IF(B1074="","",IF(E1074="Tip","No",IF(E1074="Refund","No","Yes")))</f>
        <v>0</v>
      </c>
      <c r="R1074" s="25">
        <f>IF(B1074="","",IF(E1074="Refund",-1,1))</f>
        <v>0</v>
      </c>
      <c r="S1074" s="26">
        <f>IF(B1074="","",IF(G1074="",0,IF(F1074="Card",ROUND(G1074*CardFeePercent+CardFeeFixed,2),IF(F1074="Online deposit",ROUND(G1074*CardFeePercent+CardFeeFixed,2),0))))</f>
        <v>0</v>
      </c>
      <c r="T1074" s="26">
        <f>IF(B1074="","",ROUND(IF(G1074="",0,G1074)*R1074-S1074,2))</f>
        <v>0</v>
      </c>
      <c r="U1074" s="38">
        <f>IF(B1074="","",IF(E1074="Tip","Yes","No"))</f>
        <v>0</v>
      </c>
      <c r="V1074" s="15">
        <f>IF(B1074="","",IF(H1074&lt;&gt;"","Sale "&amp;H1074,IF(I1074&lt;&gt;"","Booking "&amp;I1074,IF(E1074="Tip","Stylist","Unapplied"))))</f>
        <v>0</v>
      </c>
      <c r="W1074" s="39">
        <f>IF(B1074="","",IF(G1074="","Add - no amount yet",IF(E1074="","Add - what was this for?",IF(IF(H1074="",FALSE,COUNTIF(Sales!$A$5:$A$1204,H1074)=0),"Missing - no sale with that ID",IF(IF(I1074="",FALSE,COUNTIF(Appointments!$A$5:$A$1204,I1074)=0),"Missing - no booking with that ID",IF(IF(E1074="Tip",J1074="",FALSE),"Assign - whose tip is it?",IF(IF(E1074="Deposit",IF(H1074="",I1074="",FALSE),FALSE),"Check - deposit not tied to a booking",IF(M1074="No","Due - not reconciled yet","OK"))))))))</f>
        <v>0</v>
      </c>
    </row>
    <row r="1075" spans="1:23">
      <c r="A1075" s="28">
        <f>IF(B1075="","",PaymentPrefix&amp;TEXT(ROW()-4,"0000"))</f>
        <v>0</v>
      </c>
      <c r="D1075" s="15">
        <f>IF(C1075="","",IFERROR(INDEX(Clients!$B$5:$B$504,MATCH(C1075,Clients!$A$5:$A$504,0)),"Walk-in"))</f>
        <v>0</v>
      </c>
      <c r="K1075" s="15">
        <f>IF(J1075="","",IFERROR(INDEX(Staff!$B$5:$B$44,MATCH(J1075,Staff!$A$5:$A$44,0)),""))</f>
        <v>0</v>
      </c>
      <c r="O1075" s="15">
        <f>IF(B1075="","",TEXT(B1075,"yyyy-mm"))</f>
        <v>0</v>
      </c>
      <c r="P1075" s="25">
        <f>IF(B1075="","",WEEKNUM(B1075,2))</f>
        <v>0</v>
      </c>
      <c r="Q1075" s="38">
        <f>IF(B1075="","",IF(E1075="Tip","No",IF(E1075="Refund","No","Yes")))</f>
        <v>0</v>
      </c>
      <c r="R1075" s="25">
        <f>IF(B1075="","",IF(E1075="Refund",-1,1))</f>
        <v>0</v>
      </c>
      <c r="S1075" s="26">
        <f>IF(B1075="","",IF(G1075="",0,IF(F1075="Card",ROUND(G1075*CardFeePercent+CardFeeFixed,2),IF(F1075="Online deposit",ROUND(G1075*CardFeePercent+CardFeeFixed,2),0))))</f>
        <v>0</v>
      </c>
      <c r="T1075" s="26">
        <f>IF(B1075="","",ROUND(IF(G1075="",0,G1075)*R1075-S1075,2))</f>
        <v>0</v>
      </c>
      <c r="U1075" s="38">
        <f>IF(B1075="","",IF(E1075="Tip","Yes","No"))</f>
        <v>0</v>
      </c>
      <c r="V1075" s="15">
        <f>IF(B1075="","",IF(H1075&lt;&gt;"","Sale "&amp;H1075,IF(I1075&lt;&gt;"","Booking "&amp;I1075,IF(E1075="Tip","Stylist","Unapplied"))))</f>
        <v>0</v>
      </c>
      <c r="W1075" s="39">
        <f>IF(B1075="","",IF(G1075="","Add - no amount yet",IF(E1075="","Add - what was this for?",IF(IF(H1075="",FALSE,COUNTIF(Sales!$A$5:$A$1204,H1075)=0),"Missing - no sale with that ID",IF(IF(I1075="",FALSE,COUNTIF(Appointments!$A$5:$A$1204,I1075)=0),"Missing - no booking with that ID",IF(IF(E1075="Tip",J1075="",FALSE),"Assign - whose tip is it?",IF(IF(E1075="Deposit",IF(H1075="",I1075="",FALSE),FALSE),"Check - deposit not tied to a booking",IF(M1075="No","Due - not reconciled yet","OK"))))))))</f>
        <v>0</v>
      </c>
    </row>
    <row r="1076" spans="1:23">
      <c r="A1076" s="28">
        <f>IF(B1076="","",PaymentPrefix&amp;TEXT(ROW()-4,"0000"))</f>
        <v>0</v>
      </c>
      <c r="D1076" s="15">
        <f>IF(C1076="","",IFERROR(INDEX(Clients!$B$5:$B$504,MATCH(C1076,Clients!$A$5:$A$504,0)),"Walk-in"))</f>
        <v>0</v>
      </c>
      <c r="K1076" s="15">
        <f>IF(J1076="","",IFERROR(INDEX(Staff!$B$5:$B$44,MATCH(J1076,Staff!$A$5:$A$44,0)),""))</f>
        <v>0</v>
      </c>
      <c r="O1076" s="15">
        <f>IF(B1076="","",TEXT(B1076,"yyyy-mm"))</f>
        <v>0</v>
      </c>
      <c r="P1076" s="25">
        <f>IF(B1076="","",WEEKNUM(B1076,2))</f>
        <v>0</v>
      </c>
      <c r="Q1076" s="38">
        <f>IF(B1076="","",IF(E1076="Tip","No",IF(E1076="Refund","No","Yes")))</f>
        <v>0</v>
      </c>
      <c r="R1076" s="25">
        <f>IF(B1076="","",IF(E1076="Refund",-1,1))</f>
        <v>0</v>
      </c>
      <c r="S1076" s="26">
        <f>IF(B1076="","",IF(G1076="",0,IF(F1076="Card",ROUND(G1076*CardFeePercent+CardFeeFixed,2),IF(F1076="Online deposit",ROUND(G1076*CardFeePercent+CardFeeFixed,2),0))))</f>
        <v>0</v>
      </c>
      <c r="T1076" s="26">
        <f>IF(B1076="","",ROUND(IF(G1076="",0,G1076)*R1076-S1076,2))</f>
        <v>0</v>
      </c>
      <c r="U1076" s="38">
        <f>IF(B1076="","",IF(E1076="Tip","Yes","No"))</f>
        <v>0</v>
      </c>
      <c r="V1076" s="15">
        <f>IF(B1076="","",IF(H1076&lt;&gt;"","Sale "&amp;H1076,IF(I1076&lt;&gt;"","Booking "&amp;I1076,IF(E1076="Tip","Stylist","Unapplied"))))</f>
        <v>0</v>
      </c>
      <c r="W1076" s="39">
        <f>IF(B1076="","",IF(G1076="","Add - no amount yet",IF(E1076="","Add - what was this for?",IF(IF(H1076="",FALSE,COUNTIF(Sales!$A$5:$A$1204,H1076)=0),"Missing - no sale with that ID",IF(IF(I1076="",FALSE,COUNTIF(Appointments!$A$5:$A$1204,I1076)=0),"Missing - no booking with that ID",IF(IF(E1076="Tip",J1076="",FALSE),"Assign - whose tip is it?",IF(IF(E1076="Deposit",IF(H1076="",I1076="",FALSE),FALSE),"Check - deposit not tied to a booking",IF(M1076="No","Due - not reconciled yet","OK"))))))))</f>
        <v>0</v>
      </c>
    </row>
    <row r="1077" spans="1:23">
      <c r="A1077" s="28">
        <f>IF(B1077="","",PaymentPrefix&amp;TEXT(ROW()-4,"0000"))</f>
        <v>0</v>
      </c>
      <c r="D1077" s="15">
        <f>IF(C1077="","",IFERROR(INDEX(Clients!$B$5:$B$504,MATCH(C1077,Clients!$A$5:$A$504,0)),"Walk-in"))</f>
        <v>0</v>
      </c>
      <c r="K1077" s="15">
        <f>IF(J1077="","",IFERROR(INDEX(Staff!$B$5:$B$44,MATCH(J1077,Staff!$A$5:$A$44,0)),""))</f>
        <v>0</v>
      </c>
      <c r="O1077" s="15">
        <f>IF(B1077="","",TEXT(B1077,"yyyy-mm"))</f>
        <v>0</v>
      </c>
      <c r="P1077" s="25">
        <f>IF(B1077="","",WEEKNUM(B1077,2))</f>
        <v>0</v>
      </c>
      <c r="Q1077" s="38">
        <f>IF(B1077="","",IF(E1077="Tip","No",IF(E1077="Refund","No","Yes")))</f>
        <v>0</v>
      </c>
      <c r="R1077" s="25">
        <f>IF(B1077="","",IF(E1077="Refund",-1,1))</f>
        <v>0</v>
      </c>
      <c r="S1077" s="26">
        <f>IF(B1077="","",IF(G1077="",0,IF(F1077="Card",ROUND(G1077*CardFeePercent+CardFeeFixed,2),IF(F1077="Online deposit",ROUND(G1077*CardFeePercent+CardFeeFixed,2),0))))</f>
        <v>0</v>
      </c>
      <c r="T1077" s="26">
        <f>IF(B1077="","",ROUND(IF(G1077="",0,G1077)*R1077-S1077,2))</f>
        <v>0</v>
      </c>
      <c r="U1077" s="38">
        <f>IF(B1077="","",IF(E1077="Tip","Yes","No"))</f>
        <v>0</v>
      </c>
      <c r="V1077" s="15">
        <f>IF(B1077="","",IF(H1077&lt;&gt;"","Sale "&amp;H1077,IF(I1077&lt;&gt;"","Booking "&amp;I1077,IF(E1077="Tip","Stylist","Unapplied"))))</f>
        <v>0</v>
      </c>
      <c r="W1077" s="39">
        <f>IF(B1077="","",IF(G1077="","Add - no amount yet",IF(E1077="","Add - what was this for?",IF(IF(H1077="",FALSE,COUNTIF(Sales!$A$5:$A$1204,H1077)=0),"Missing - no sale with that ID",IF(IF(I1077="",FALSE,COUNTIF(Appointments!$A$5:$A$1204,I1077)=0),"Missing - no booking with that ID",IF(IF(E1077="Tip",J1077="",FALSE),"Assign - whose tip is it?",IF(IF(E1077="Deposit",IF(H1077="",I1077="",FALSE),FALSE),"Check - deposit not tied to a booking",IF(M1077="No","Due - not reconciled yet","OK"))))))))</f>
        <v>0</v>
      </c>
    </row>
    <row r="1078" spans="1:23">
      <c r="A1078" s="28">
        <f>IF(B1078="","",PaymentPrefix&amp;TEXT(ROW()-4,"0000"))</f>
        <v>0</v>
      </c>
      <c r="D1078" s="15">
        <f>IF(C1078="","",IFERROR(INDEX(Clients!$B$5:$B$504,MATCH(C1078,Clients!$A$5:$A$504,0)),"Walk-in"))</f>
        <v>0</v>
      </c>
      <c r="K1078" s="15">
        <f>IF(J1078="","",IFERROR(INDEX(Staff!$B$5:$B$44,MATCH(J1078,Staff!$A$5:$A$44,0)),""))</f>
        <v>0</v>
      </c>
      <c r="O1078" s="15">
        <f>IF(B1078="","",TEXT(B1078,"yyyy-mm"))</f>
        <v>0</v>
      </c>
      <c r="P1078" s="25">
        <f>IF(B1078="","",WEEKNUM(B1078,2))</f>
        <v>0</v>
      </c>
      <c r="Q1078" s="38">
        <f>IF(B1078="","",IF(E1078="Tip","No",IF(E1078="Refund","No","Yes")))</f>
        <v>0</v>
      </c>
      <c r="R1078" s="25">
        <f>IF(B1078="","",IF(E1078="Refund",-1,1))</f>
        <v>0</v>
      </c>
      <c r="S1078" s="26">
        <f>IF(B1078="","",IF(G1078="",0,IF(F1078="Card",ROUND(G1078*CardFeePercent+CardFeeFixed,2),IF(F1078="Online deposit",ROUND(G1078*CardFeePercent+CardFeeFixed,2),0))))</f>
        <v>0</v>
      </c>
      <c r="T1078" s="26">
        <f>IF(B1078="","",ROUND(IF(G1078="",0,G1078)*R1078-S1078,2))</f>
        <v>0</v>
      </c>
      <c r="U1078" s="38">
        <f>IF(B1078="","",IF(E1078="Tip","Yes","No"))</f>
        <v>0</v>
      </c>
      <c r="V1078" s="15">
        <f>IF(B1078="","",IF(H1078&lt;&gt;"","Sale "&amp;H1078,IF(I1078&lt;&gt;"","Booking "&amp;I1078,IF(E1078="Tip","Stylist","Unapplied"))))</f>
        <v>0</v>
      </c>
      <c r="W1078" s="39">
        <f>IF(B1078="","",IF(G1078="","Add - no amount yet",IF(E1078="","Add - what was this for?",IF(IF(H1078="",FALSE,COUNTIF(Sales!$A$5:$A$1204,H1078)=0),"Missing - no sale with that ID",IF(IF(I1078="",FALSE,COUNTIF(Appointments!$A$5:$A$1204,I1078)=0),"Missing - no booking with that ID",IF(IF(E1078="Tip",J1078="",FALSE),"Assign - whose tip is it?",IF(IF(E1078="Deposit",IF(H1078="",I1078="",FALSE),FALSE),"Check - deposit not tied to a booking",IF(M1078="No","Due - not reconciled yet","OK"))))))))</f>
        <v>0</v>
      </c>
    </row>
    <row r="1079" spans="1:23">
      <c r="A1079" s="28">
        <f>IF(B1079="","",PaymentPrefix&amp;TEXT(ROW()-4,"0000"))</f>
        <v>0</v>
      </c>
      <c r="D1079" s="15">
        <f>IF(C1079="","",IFERROR(INDEX(Clients!$B$5:$B$504,MATCH(C1079,Clients!$A$5:$A$504,0)),"Walk-in"))</f>
        <v>0</v>
      </c>
      <c r="K1079" s="15">
        <f>IF(J1079="","",IFERROR(INDEX(Staff!$B$5:$B$44,MATCH(J1079,Staff!$A$5:$A$44,0)),""))</f>
        <v>0</v>
      </c>
      <c r="O1079" s="15">
        <f>IF(B1079="","",TEXT(B1079,"yyyy-mm"))</f>
        <v>0</v>
      </c>
      <c r="P1079" s="25">
        <f>IF(B1079="","",WEEKNUM(B1079,2))</f>
        <v>0</v>
      </c>
      <c r="Q1079" s="38">
        <f>IF(B1079="","",IF(E1079="Tip","No",IF(E1079="Refund","No","Yes")))</f>
        <v>0</v>
      </c>
      <c r="R1079" s="25">
        <f>IF(B1079="","",IF(E1079="Refund",-1,1))</f>
        <v>0</v>
      </c>
      <c r="S1079" s="26">
        <f>IF(B1079="","",IF(G1079="",0,IF(F1079="Card",ROUND(G1079*CardFeePercent+CardFeeFixed,2),IF(F1079="Online deposit",ROUND(G1079*CardFeePercent+CardFeeFixed,2),0))))</f>
        <v>0</v>
      </c>
      <c r="T1079" s="26">
        <f>IF(B1079="","",ROUND(IF(G1079="",0,G1079)*R1079-S1079,2))</f>
        <v>0</v>
      </c>
      <c r="U1079" s="38">
        <f>IF(B1079="","",IF(E1079="Tip","Yes","No"))</f>
        <v>0</v>
      </c>
      <c r="V1079" s="15">
        <f>IF(B1079="","",IF(H1079&lt;&gt;"","Sale "&amp;H1079,IF(I1079&lt;&gt;"","Booking "&amp;I1079,IF(E1079="Tip","Stylist","Unapplied"))))</f>
        <v>0</v>
      </c>
      <c r="W1079" s="39">
        <f>IF(B1079="","",IF(G1079="","Add - no amount yet",IF(E1079="","Add - what was this for?",IF(IF(H1079="",FALSE,COUNTIF(Sales!$A$5:$A$1204,H1079)=0),"Missing - no sale with that ID",IF(IF(I1079="",FALSE,COUNTIF(Appointments!$A$5:$A$1204,I1079)=0),"Missing - no booking with that ID",IF(IF(E1079="Tip",J1079="",FALSE),"Assign - whose tip is it?",IF(IF(E1079="Deposit",IF(H1079="",I1079="",FALSE),FALSE),"Check - deposit not tied to a booking",IF(M1079="No","Due - not reconciled yet","OK"))))))))</f>
        <v>0</v>
      </c>
    </row>
    <row r="1080" spans="1:23">
      <c r="A1080" s="28">
        <f>IF(B1080="","",PaymentPrefix&amp;TEXT(ROW()-4,"0000"))</f>
        <v>0</v>
      </c>
      <c r="D1080" s="15">
        <f>IF(C1080="","",IFERROR(INDEX(Clients!$B$5:$B$504,MATCH(C1080,Clients!$A$5:$A$504,0)),"Walk-in"))</f>
        <v>0</v>
      </c>
      <c r="K1080" s="15">
        <f>IF(J1080="","",IFERROR(INDEX(Staff!$B$5:$B$44,MATCH(J1080,Staff!$A$5:$A$44,0)),""))</f>
        <v>0</v>
      </c>
      <c r="O1080" s="15">
        <f>IF(B1080="","",TEXT(B1080,"yyyy-mm"))</f>
        <v>0</v>
      </c>
      <c r="P1080" s="25">
        <f>IF(B1080="","",WEEKNUM(B1080,2))</f>
        <v>0</v>
      </c>
      <c r="Q1080" s="38">
        <f>IF(B1080="","",IF(E1080="Tip","No",IF(E1080="Refund","No","Yes")))</f>
        <v>0</v>
      </c>
      <c r="R1080" s="25">
        <f>IF(B1080="","",IF(E1080="Refund",-1,1))</f>
        <v>0</v>
      </c>
      <c r="S1080" s="26">
        <f>IF(B1080="","",IF(G1080="",0,IF(F1080="Card",ROUND(G1080*CardFeePercent+CardFeeFixed,2),IF(F1080="Online deposit",ROUND(G1080*CardFeePercent+CardFeeFixed,2),0))))</f>
        <v>0</v>
      </c>
      <c r="T1080" s="26">
        <f>IF(B1080="","",ROUND(IF(G1080="",0,G1080)*R1080-S1080,2))</f>
        <v>0</v>
      </c>
      <c r="U1080" s="38">
        <f>IF(B1080="","",IF(E1080="Tip","Yes","No"))</f>
        <v>0</v>
      </c>
      <c r="V1080" s="15">
        <f>IF(B1080="","",IF(H1080&lt;&gt;"","Sale "&amp;H1080,IF(I1080&lt;&gt;"","Booking "&amp;I1080,IF(E1080="Tip","Stylist","Unapplied"))))</f>
        <v>0</v>
      </c>
      <c r="W1080" s="39">
        <f>IF(B1080="","",IF(G1080="","Add - no amount yet",IF(E1080="","Add - what was this for?",IF(IF(H1080="",FALSE,COUNTIF(Sales!$A$5:$A$1204,H1080)=0),"Missing - no sale with that ID",IF(IF(I1080="",FALSE,COUNTIF(Appointments!$A$5:$A$1204,I1080)=0),"Missing - no booking with that ID",IF(IF(E1080="Tip",J1080="",FALSE),"Assign - whose tip is it?",IF(IF(E1080="Deposit",IF(H1080="",I1080="",FALSE),FALSE),"Check - deposit not tied to a booking",IF(M1080="No","Due - not reconciled yet","OK"))))))))</f>
        <v>0</v>
      </c>
    </row>
    <row r="1081" spans="1:23">
      <c r="A1081" s="28">
        <f>IF(B1081="","",PaymentPrefix&amp;TEXT(ROW()-4,"0000"))</f>
        <v>0</v>
      </c>
      <c r="D1081" s="15">
        <f>IF(C1081="","",IFERROR(INDEX(Clients!$B$5:$B$504,MATCH(C1081,Clients!$A$5:$A$504,0)),"Walk-in"))</f>
        <v>0</v>
      </c>
      <c r="K1081" s="15">
        <f>IF(J1081="","",IFERROR(INDEX(Staff!$B$5:$B$44,MATCH(J1081,Staff!$A$5:$A$44,0)),""))</f>
        <v>0</v>
      </c>
      <c r="O1081" s="15">
        <f>IF(B1081="","",TEXT(B1081,"yyyy-mm"))</f>
        <v>0</v>
      </c>
      <c r="P1081" s="25">
        <f>IF(B1081="","",WEEKNUM(B1081,2))</f>
        <v>0</v>
      </c>
      <c r="Q1081" s="38">
        <f>IF(B1081="","",IF(E1081="Tip","No",IF(E1081="Refund","No","Yes")))</f>
        <v>0</v>
      </c>
      <c r="R1081" s="25">
        <f>IF(B1081="","",IF(E1081="Refund",-1,1))</f>
        <v>0</v>
      </c>
      <c r="S1081" s="26">
        <f>IF(B1081="","",IF(G1081="",0,IF(F1081="Card",ROUND(G1081*CardFeePercent+CardFeeFixed,2),IF(F1081="Online deposit",ROUND(G1081*CardFeePercent+CardFeeFixed,2),0))))</f>
        <v>0</v>
      </c>
      <c r="T1081" s="26">
        <f>IF(B1081="","",ROUND(IF(G1081="",0,G1081)*R1081-S1081,2))</f>
        <v>0</v>
      </c>
      <c r="U1081" s="38">
        <f>IF(B1081="","",IF(E1081="Tip","Yes","No"))</f>
        <v>0</v>
      </c>
      <c r="V1081" s="15">
        <f>IF(B1081="","",IF(H1081&lt;&gt;"","Sale "&amp;H1081,IF(I1081&lt;&gt;"","Booking "&amp;I1081,IF(E1081="Tip","Stylist","Unapplied"))))</f>
        <v>0</v>
      </c>
      <c r="W1081" s="39">
        <f>IF(B1081="","",IF(G1081="","Add - no amount yet",IF(E1081="","Add - what was this for?",IF(IF(H1081="",FALSE,COUNTIF(Sales!$A$5:$A$1204,H1081)=0),"Missing - no sale with that ID",IF(IF(I1081="",FALSE,COUNTIF(Appointments!$A$5:$A$1204,I1081)=0),"Missing - no booking with that ID",IF(IF(E1081="Tip",J1081="",FALSE),"Assign - whose tip is it?",IF(IF(E1081="Deposit",IF(H1081="",I1081="",FALSE),FALSE),"Check - deposit not tied to a booking",IF(M1081="No","Due - not reconciled yet","OK"))))))))</f>
        <v>0</v>
      </c>
    </row>
    <row r="1082" spans="1:23">
      <c r="A1082" s="28">
        <f>IF(B1082="","",PaymentPrefix&amp;TEXT(ROW()-4,"0000"))</f>
        <v>0</v>
      </c>
      <c r="D1082" s="15">
        <f>IF(C1082="","",IFERROR(INDEX(Clients!$B$5:$B$504,MATCH(C1082,Clients!$A$5:$A$504,0)),"Walk-in"))</f>
        <v>0</v>
      </c>
      <c r="K1082" s="15">
        <f>IF(J1082="","",IFERROR(INDEX(Staff!$B$5:$B$44,MATCH(J1082,Staff!$A$5:$A$44,0)),""))</f>
        <v>0</v>
      </c>
      <c r="O1082" s="15">
        <f>IF(B1082="","",TEXT(B1082,"yyyy-mm"))</f>
        <v>0</v>
      </c>
      <c r="P1082" s="25">
        <f>IF(B1082="","",WEEKNUM(B1082,2))</f>
        <v>0</v>
      </c>
      <c r="Q1082" s="38">
        <f>IF(B1082="","",IF(E1082="Tip","No",IF(E1082="Refund","No","Yes")))</f>
        <v>0</v>
      </c>
      <c r="R1082" s="25">
        <f>IF(B1082="","",IF(E1082="Refund",-1,1))</f>
        <v>0</v>
      </c>
      <c r="S1082" s="26">
        <f>IF(B1082="","",IF(G1082="",0,IF(F1082="Card",ROUND(G1082*CardFeePercent+CardFeeFixed,2),IF(F1082="Online deposit",ROUND(G1082*CardFeePercent+CardFeeFixed,2),0))))</f>
        <v>0</v>
      </c>
      <c r="T1082" s="26">
        <f>IF(B1082="","",ROUND(IF(G1082="",0,G1082)*R1082-S1082,2))</f>
        <v>0</v>
      </c>
      <c r="U1082" s="38">
        <f>IF(B1082="","",IF(E1082="Tip","Yes","No"))</f>
        <v>0</v>
      </c>
      <c r="V1082" s="15">
        <f>IF(B1082="","",IF(H1082&lt;&gt;"","Sale "&amp;H1082,IF(I1082&lt;&gt;"","Booking "&amp;I1082,IF(E1082="Tip","Stylist","Unapplied"))))</f>
        <v>0</v>
      </c>
      <c r="W1082" s="39">
        <f>IF(B1082="","",IF(G1082="","Add - no amount yet",IF(E1082="","Add - what was this for?",IF(IF(H1082="",FALSE,COUNTIF(Sales!$A$5:$A$1204,H1082)=0),"Missing - no sale with that ID",IF(IF(I1082="",FALSE,COUNTIF(Appointments!$A$5:$A$1204,I1082)=0),"Missing - no booking with that ID",IF(IF(E1082="Tip",J1082="",FALSE),"Assign - whose tip is it?",IF(IF(E1082="Deposit",IF(H1082="",I1082="",FALSE),FALSE),"Check - deposit not tied to a booking",IF(M1082="No","Due - not reconciled yet","OK"))))))))</f>
        <v>0</v>
      </c>
    </row>
    <row r="1083" spans="1:23">
      <c r="A1083" s="28">
        <f>IF(B1083="","",PaymentPrefix&amp;TEXT(ROW()-4,"0000"))</f>
        <v>0</v>
      </c>
      <c r="D1083" s="15">
        <f>IF(C1083="","",IFERROR(INDEX(Clients!$B$5:$B$504,MATCH(C1083,Clients!$A$5:$A$504,0)),"Walk-in"))</f>
        <v>0</v>
      </c>
      <c r="K1083" s="15">
        <f>IF(J1083="","",IFERROR(INDEX(Staff!$B$5:$B$44,MATCH(J1083,Staff!$A$5:$A$44,0)),""))</f>
        <v>0</v>
      </c>
      <c r="O1083" s="15">
        <f>IF(B1083="","",TEXT(B1083,"yyyy-mm"))</f>
        <v>0</v>
      </c>
      <c r="P1083" s="25">
        <f>IF(B1083="","",WEEKNUM(B1083,2))</f>
        <v>0</v>
      </c>
      <c r="Q1083" s="38">
        <f>IF(B1083="","",IF(E1083="Tip","No",IF(E1083="Refund","No","Yes")))</f>
        <v>0</v>
      </c>
      <c r="R1083" s="25">
        <f>IF(B1083="","",IF(E1083="Refund",-1,1))</f>
        <v>0</v>
      </c>
      <c r="S1083" s="26">
        <f>IF(B1083="","",IF(G1083="",0,IF(F1083="Card",ROUND(G1083*CardFeePercent+CardFeeFixed,2),IF(F1083="Online deposit",ROUND(G1083*CardFeePercent+CardFeeFixed,2),0))))</f>
        <v>0</v>
      </c>
      <c r="T1083" s="26">
        <f>IF(B1083="","",ROUND(IF(G1083="",0,G1083)*R1083-S1083,2))</f>
        <v>0</v>
      </c>
      <c r="U1083" s="38">
        <f>IF(B1083="","",IF(E1083="Tip","Yes","No"))</f>
        <v>0</v>
      </c>
      <c r="V1083" s="15">
        <f>IF(B1083="","",IF(H1083&lt;&gt;"","Sale "&amp;H1083,IF(I1083&lt;&gt;"","Booking "&amp;I1083,IF(E1083="Tip","Stylist","Unapplied"))))</f>
        <v>0</v>
      </c>
      <c r="W1083" s="39">
        <f>IF(B1083="","",IF(G1083="","Add - no amount yet",IF(E1083="","Add - what was this for?",IF(IF(H1083="",FALSE,COUNTIF(Sales!$A$5:$A$1204,H1083)=0),"Missing - no sale with that ID",IF(IF(I1083="",FALSE,COUNTIF(Appointments!$A$5:$A$1204,I1083)=0),"Missing - no booking with that ID",IF(IF(E1083="Tip",J1083="",FALSE),"Assign - whose tip is it?",IF(IF(E1083="Deposit",IF(H1083="",I1083="",FALSE),FALSE),"Check - deposit not tied to a booking",IF(M1083="No","Due - not reconciled yet","OK"))))))))</f>
        <v>0</v>
      </c>
    </row>
    <row r="1084" spans="1:23">
      <c r="A1084" s="28">
        <f>IF(B1084="","",PaymentPrefix&amp;TEXT(ROW()-4,"0000"))</f>
        <v>0</v>
      </c>
      <c r="D1084" s="15">
        <f>IF(C1084="","",IFERROR(INDEX(Clients!$B$5:$B$504,MATCH(C1084,Clients!$A$5:$A$504,0)),"Walk-in"))</f>
        <v>0</v>
      </c>
      <c r="K1084" s="15">
        <f>IF(J1084="","",IFERROR(INDEX(Staff!$B$5:$B$44,MATCH(J1084,Staff!$A$5:$A$44,0)),""))</f>
        <v>0</v>
      </c>
      <c r="O1084" s="15">
        <f>IF(B1084="","",TEXT(B1084,"yyyy-mm"))</f>
        <v>0</v>
      </c>
      <c r="P1084" s="25">
        <f>IF(B1084="","",WEEKNUM(B1084,2))</f>
        <v>0</v>
      </c>
      <c r="Q1084" s="38">
        <f>IF(B1084="","",IF(E1084="Tip","No",IF(E1084="Refund","No","Yes")))</f>
        <v>0</v>
      </c>
      <c r="R1084" s="25">
        <f>IF(B1084="","",IF(E1084="Refund",-1,1))</f>
        <v>0</v>
      </c>
      <c r="S1084" s="26">
        <f>IF(B1084="","",IF(G1084="",0,IF(F1084="Card",ROUND(G1084*CardFeePercent+CardFeeFixed,2),IF(F1084="Online deposit",ROUND(G1084*CardFeePercent+CardFeeFixed,2),0))))</f>
        <v>0</v>
      </c>
      <c r="T1084" s="26">
        <f>IF(B1084="","",ROUND(IF(G1084="",0,G1084)*R1084-S1084,2))</f>
        <v>0</v>
      </c>
      <c r="U1084" s="38">
        <f>IF(B1084="","",IF(E1084="Tip","Yes","No"))</f>
        <v>0</v>
      </c>
      <c r="V1084" s="15">
        <f>IF(B1084="","",IF(H1084&lt;&gt;"","Sale "&amp;H1084,IF(I1084&lt;&gt;"","Booking "&amp;I1084,IF(E1084="Tip","Stylist","Unapplied"))))</f>
        <v>0</v>
      </c>
      <c r="W1084" s="39">
        <f>IF(B1084="","",IF(G1084="","Add - no amount yet",IF(E1084="","Add - what was this for?",IF(IF(H1084="",FALSE,COUNTIF(Sales!$A$5:$A$1204,H1084)=0),"Missing - no sale with that ID",IF(IF(I1084="",FALSE,COUNTIF(Appointments!$A$5:$A$1204,I1084)=0),"Missing - no booking with that ID",IF(IF(E1084="Tip",J1084="",FALSE),"Assign - whose tip is it?",IF(IF(E1084="Deposit",IF(H1084="",I1084="",FALSE),FALSE),"Check - deposit not tied to a booking",IF(M1084="No","Due - not reconciled yet","OK"))))))))</f>
        <v>0</v>
      </c>
    </row>
    <row r="1085" spans="1:23">
      <c r="A1085" s="28">
        <f>IF(B1085="","",PaymentPrefix&amp;TEXT(ROW()-4,"0000"))</f>
        <v>0</v>
      </c>
      <c r="D1085" s="15">
        <f>IF(C1085="","",IFERROR(INDEX(Clients!$B$5:$B$504,MATCH(C1085,Clients!$A$5:$A$504,0)),"Walk-in"))</f>
        <v>0</v>
      </c>
      <c r="K1085" s="15">
        <f>IF(J1085="","",IFERROR(INDEX(Staff!$B$5:$B$44,MATCH(J1085,Staff!$A$5:$A$44,0)),""))</f>
        <v>0</v>
      </c>
      <c r="O1085" s="15">
        <f>IF(B1085="","",TEXT(B1085,"yyyy-mm"))</f>
        <v>0</v>
      </c>
      <c r="P1085" s="25">
        <f>IF(B1085="","",WEEKNUM(B1085,2))</f>
        <v>0</v>
      </c>
      <c r="Q1085" s="38">
        <f>IF(B1085="","",IF(E1085="Tip","No",IF(E1085="Refund","No","Yes")))</f>
        <v>0</v>
      </c>
      <c r="R1085" s="25">
        <f>IF(B1085="","",IF(E1085="Refund",-1,1))</f>
        <v>0</v>
      </c>
      <c r="S1085" s="26">
        <f>IF(B1085="","",IF(G1085="",0,IF(F1085="Card",ROUND(G1085*CardFeePercent+CardFeeFixed,2),IF(F1085="Online deposit",ROUND(G1085*CardFeePercent+CardFeeFixed,2),0))))</f>
        <v>0</v>
      </c>
      <c r="T1085" s="26">
        <f>IF(B1085="","",ROUND(IF(G1085="",0,G1085)*R1085-S1085,2))</f>
        <v>0</v>
      </c>
      <c r="U1085" s="38">
        <f>IF(B1085="","",IF(E1085="Tip","Yes","No"))</f>
        <v>0</v>
      </c>
      <c r="V1085" s="15">
        <f>IF(B1085="","",IF(H1085&lt;&gt;"","Sale "&amp;H1085,IF(I1085&lt;&gt;"","Booking "&amp;I1085,IF(E1085="Tip","Stylist","Unapplied"))))</f>
        <v>0</v>
      </c>
      <c r="W1085" s="39">
        <f>IF(B1085="","",IF(G1085="","Add - no amount yet",IF(E1085="","Add - what was this for?",IF(IF(H1085="",FALSE,COUNTIF(Sales!$A$5:$A$1204,H1085)=0),"Missing - no sale with that ID",IF(IF(I1085="",FALSE,COUNTIF(Appointments!$A$5:$A$1204,I1085)=0),"Missing - no booking with that ID",IF(IF(E1085="Tip",J1085="",FALSE),"Assign - whose tip is it?",IF(IF(E1085="Deposit",IF(H1085="",I1085="",FALSE),FALSE),"Check - deposit not tied to a booking",IF(M1085="No","Due - not reconciled yet","OK"))))))))</f>
        <v>0</v>
      </c>
    </row>
    <row r="1086" spans="1:23">
      <c r="A1086" s="28">
        <f>IF(B1086="","",PaymentPrefix&amp;TEXT(ROW()-4,"0000"))</f>
        <v>0</v>
      </c>
      <c r="D1086" s="15">
        <f>IF(C1086="","",IFERROR(INDEX(Clients!$B$5:$B$504,MATCH(C1086,Clients!$A$5:$A$504,0)),"Walk-in"))</f>
        <v>0</v>
      </c>
      <c r="K1086" s="15">
        <f>IF(J1086="","",IFERROR(INDEX(Staff!$B$5:$B$44,MATCH(J1086,Staff!$A$5:$A$44,0)),""))</f>
        <v>0</v>
      </c>
      <c r="O1086" s="15">
        <f>IF(B1086="","",TEXT(B1086,"yyyy-mm"))</f>
        <v>0</v>
      </c>
      <c r="P1086" s="25">
        <f>IF(B1086="","",WEEKNUM(B1086,2))</f>
        <v>0</v>
      </c>
      <c r="Q1086" s="38">
        <f>IF(B1086="","",IF(E1086="Tip","No",IF(E1086="Refund","No","Yes")))</f>
        <v>0</v>
      </c>
      <c r="R1086" s="25">
        <f>IF(B1086="","",IF(E1086="Refund",-1,1))</f>
        <v>0</v>
      </c>
      <c r="S1086" s="26">
        <f>IF(B1086="","",IF(G1086="",0,IF(F1086="Card",ROUND(G1086*CardFeePercent+CardFeeFixed,2),IF(F1086="Online deposit",ROUND(G1086*CardFeePercent+CardFeeFixed,2),0))))</f>
        <v>0</v>
      </c>
      <c r="T1086" s="26">
        <f>IF(B1086="","",ROUND(IF(G1086="",0,G1086)*R1086-S1086,2))</f>
        <v>0</v>
      </c>
      <c r="U1086" s="38">
        <f>IF(B1086="","",IF(E1086="Tip","Yes","No"))</f>
        <v>0</v>
      </c>
      <c r="V1086" s="15">
        <f>IF(B1086="","",IF(H1086&lt;&gt;"","Sale "&amp;H1086,IF(I1086&lt;&gt;"","Booking "&amp;I1086,IF(E1086="Tip","Stylist","Unapplied"))))</f>
        <v>0</v>
      </c>
      <c r="W1086" s="39">
        <f>IF(B1086="","",IF(G1086="","Add - no amount yet",IF(E1086="","Add - what was this for?",IF(IF(H1086="",FALSE,COUNTIF(Sales!$A$5:$A$1204,H1086)=0),"Missing - no sale with that ID",IF(IF(I1086="",FALSE,COUNTIF(Appointments!$A$5:$A$1204,I1086)=0),"Missing - no booking with that ID",IF(IF(E1086="Tip",J1086="",FALSE),"Assign - whose tip is it?",IF(IF(E1086="Deposit",IF(H1086="",I1086="",FALSE),FALSE),"Check - deposit not tied to a booking",IF(M1086="No","Due - not reconciled yet","OK"))))))))</f>
        <v>0</v>
      </c>
    </row>
    <row r="1087" spans="1:23">
      <c r="A1087" s="28">
        <f>IF(B1087="","",PaymentPrefix&amp;TEXT(ROW()-4,"0000"))</f>
        <v>0</v>
      </c>
      <c r="D1087" s="15">
        <f>IF(C1087="","",IFERROR(INDEX(Clients!$B$5:$B$504,MATCH(C1087,Clients!$A$5:$A$504,0)),"Walk-in"))</f>
        <v>0</v>
      </c>
      <c r="K1087" s="15">
        <f>IF(J1087="","",IFERROR(INDEX(Staff!$B$5:$B$44,MATCH(J1087,Staff!$A$5:$A$44,0)),""))</f>
        <v>0</v>
      </c>
      <c r="O1087" s="15">
        <f>IF(B1087="","",TEXT(B1087,"yyyy-mm"))</f>
        <v>0</v>
      </c>
      <c r="P1087" s="25">
        <f>IF(B1087="","",WEEKNUM(B1087,2))</f>
        <v>0</v>
      </c>
      <c r="Q1087" s="38">
        <f>IF(B1087="","",IF(E1087="Tip","No",IF(E1087="Refund","No","Yes")))</f>
        <v>0</v>
      </c>
      <c r="R1087" s="25">
        <f>IF(B1087="","",IF(E1087="Refund",-1,1))</f>
        <v>0</v>
      </c>
      <c r="S1087" s="26">
        <f>IF(B1087="","",IF(G1087="",0,IF(F1087="Card",ROUND(G1087*CardFeePercent+CardFeeFixed,2),IF(F1087="Online deposit",ROUND(G1087*CardFeePercent+CardFeeFixed,2),0))))</f>
        <v>0</v>
      </c>
      <c r="T1087" s="26">
        <f>IF(B1087="","",ROUND(IF(G1087="",0,G1087)*R1087-S1087,2))</f>
        <v>0</v>
      </c>
      <c r="U1087" s="38">
        <f>IF(B1087="","",IF(E1087="Tip","Yes","No"))</f>
        <v>0</v>
      </c>
      <c r="V1087" s="15">
        <f>IF(B1087="","",IF(H1087&lt;&gt;"","Sale "&amp;H1087,IF(I1087&lt;&gt;"","Booking "&amp;I1087,IF(E1087="Tip","Stylist","Unapplied"))))</f>
        <v>0</v>
      </c>
      <c r="W1087" s="39">
        <f>IF(B1087="","",IF(G1087="","Add - no amount yet",IF(E1087="","Add - what was this for?",IF(IF(H1087="",FALSE,COUNTIF(Sales!$A$5:$A$1204,H1087)=0),"Missing - no sale with that ID",IF(IF(I1087="",FALSE,COUNTIF(Appointments!$A$5:$A$1204,I1087)=0),"Missing - no booking with that ID",IF(IF(E1087="Tip",J1087="",FALSE),"Assign - whose tip is it?",IF(IF(E1087="Deposit",IF(H1087="",I1087="",FALSE),FALSE),"Check - deposit not tied to a booking",IF(M1087="No","Due - not reconciled yet","OK"))))))))</f>
        <v>0</v>
      </c>
    </row>
    <row r="1088" spans="1:23">
      <c r="A1088" s="28">
        <f>IF(B1088="","",PaymentPrefix&amp;TEXT(ROW()-4,"0000"))</f>
        <v>0</v>
      </c>
      <c r="D1088" s="15">
        <f>IF(C1088="","",IFERROR(INDEX(Clients!$B$5:$B$504,MATCH(C1088,Clients!$A$5:$A$504,0)),"Walk-in"))</f>
        <v>0</v>
      </c>
      <c r="K1088" s="15">
        <f>IF(J1088="","",IFERROR(INDEX(Staff!$B$5:$B$44,MATCH(J1088,Staff!$A$5:$A$44,0)),""))</f>
        <v>0</v>
      </c>
      <c r="O1088" s="15">
        <f>IF(B1088="","",TEXT(B1088,"yyyy-mm"))</f>
        <v>0</v>
      </c>
      <c r="P1088" s="25">
        <f>IF(B1088="","",WEEKNUM(B1088,2))</f>
        <v>0</v>
      </c>
      <c r="Q1088" s="38">
        <f>IF(B1088="","",IF(E1088="Tip","No",IF(E1088="Refund","No","Yes")))</f>
        <v>0</v>
      </c>
      <c r="R1088" s="25">
        <f>IF(B1088="","",IF(E1088="Refund",-1,1))</f>
        <v>0</v>
      </c>
      <c r="S1088" s="26">
        <f>IF(B1088="","",IF(G1088="",0,IF(F1088="Card",ROUND(G1088*CardFeePercent+CardFeeFixed,2),IF(F1088="Online deposit",ROUND(G1088*CardFeePercent+CardFeeFixed,2),0))))</f>
        <v>0</v>
      </c>
      <c r="T1088" s="26">
        <f>IF(B1088="","",ROUND(IF(G1088="",0,G1088)*R1088-S1088,2))</f>
        <v>0</v>
      </c>
      <c r="U1088" s="38">
        <f>IF(B1088="","",IF(E1088="Tip","Yes","No"))</f>
        <v>0</v>
      </c>
      <c r="V1088" s="15">
        <f>IF(B1088="","",IF(H1088&lt;&gt;"","Sale "&amp;H1088,IF(I1088&lt;&gt;"","Booking "&amp;I1088,IF(E1088="Tip","Stylist","Unapplied"))))</f>
        <v>0</v>
      </c>
      <c r="W1088" s="39">
        <f>IF(B1088="","",IF(G1088="","Add - no amount yet",IF(E1088="","Add - what was this for?",IF(IF(H1088="",FALSE,COUNTIF(Sales!$A$5:$A$1204,H1088)=0),"Missing - no sale with that ID",IF(IF(I1088="",FALSE,COUNTIF(Appointments!$A$5:$A$1204,I1088)=0),"Missing - no booking with that ID",IF(IF(E1088="Tip",J1088="",FALSE),"Assign - whose tip is it?",IF(IF(E1088="Deposit",IF(H1088="",I1088="",FALSE),FALSE),"Check - deposit not tied to a booking",IF(M1088="No","Due - not reconciled yet","OK"))))))))</f>
        <v>0</v>
      </c>
    </row>
    <row r="1089" spans="1:23">
      <c r="A1089" s="28">
        <f>IF(B1089="","",PaymentPrefix&amp;TEXT(ROW()-4,"0000"))</f>
        <v>0</v>
      </c>
      <c r="D1089" s="15">
        <f>IF(C1089="","",IFERROR(INDEX(Clients!$B$5:$B$504,MATCH(C1089,Clients!$A$5:$A$504,0)),"Walk-in"))</f>
        <v>0</v>
      </c>
      <c r="K1089" s="15">
        <f>IF(J1089="","",IFERROR(INDEX(Staff!$B$5:$B$44,MATCH(J1089,Staff!$A$5:$A$44,0)),""))</f>
        <v>0</v>
      </c>
      <c r="O1089" s="15">
        <f>IF(B1089="","",TEXT(B1089,"yyyy-mm"))</f>
        <v>0</v>
      </c>
      <c r="P1089" s="25">
        <f>IF(B1089="","",WEEKNUM(B1089,2))</f>
        <v>0</v>
      </c>
      <c r="Q1089" s="38">
        <f>IF(B1089="","",IF(E1089="Tip","No",IF(E1089="Refund","No","Yes")))</f>
        <v>0</v>
      </c>
      <c r="R1089" s="25">
        <f>IF(B1089="","",IF(E1089="Refund",-1,1))</f>
        <v>0</v>
      </c>
      <c r="S1089" s="26">
        <f>IF(B1089="","",IF(G1089="",0,IF(F1089="Card",ROUND(G1089*CardFeePercent+CardFeeFixed,2),IF(F1089="Online deposit",ROUND(G1089*CardFeePercent+CardFeeFixed,2),0))))</f>
        <v>0</v>
      </c>
      <c r="T1089" s="26">
        <f>IF(B1089="","",ROUND(IF(G1089="",0,G1089)*R1089-S1089,2))</f>
        <v>0</v>
      </c>
      <c r="U1089" s="38">
        <f>IF(B1089="","",IF(E1089="Tip","Yes","No"))</f>
        <v>0</v>
      </c>
      <c r="V1089" s="15">
        <f>IF(B1089="","",IF(H1089&lt;&gt;"","Sale "&amp;H1089,IF(I1089&lt;&gt;"","Booking "&amp;I1089,IF(E1089="Tip","Stylist","Unapplied"))))</f>
        <v>0</v>
      </c>
      <c r="W1089" s="39">
        <f>IF(B1089="","",IF(G1089="","Add - no amount yet",IF(E1089="","Add - what was this for?",IF(IF(H1089="",FALSE,COUNTIF(Sales!$A$5:$A$1204,H1089)=0),"Missing - no sale with that ID",IF(IF(I1089="",FALSE,COUNTIF(Appointments!$A$5:$A$1204,I1089)=0),"Missing - no booking with that ID",IF(IF(E1089="Tip",J1089="",FALSE),"Assign - whose tip is it?",IF(IF(E1089="Deposit",IF(H1089="",I1089="",FALSE),FALSE),"Check - deposit not tied to a booking",IF(M1089="No","Due - not reconciled yet","OK"))))))))</f>
        <v>0</v>
      </c>
    </row>
    <row r="1090" spans="1:23">
      <c r="A1090" s="28">
        <f>IF(B1090="","",PaymentPrefix&amp;TEXT(ROW()-4,"0000"))</f>
        <v>0</v>
      </c>
      <c r="D1090" s="15">
        <f>IF(C1090="","",IFERROR(INDEX(Clients!$B$5:$B$504,MATCH(C1090,Clients!$A$5:$A$504,0)),"Walk-in"))</f>
        <v>0</v>
      </c>
      <c r="K1090" s="15">
        <f>IF(J1090="","",IFERROR(INDEX(Staff!$B$5:$B$44,MATCH(J1090,Staff!$A$5:$A$44,0)),""))</f>
        <v>0</v>
      </c>
      <c r="O1090" s="15">
        <f>IF(B1090="","",TEXT(B1090,"yyyy-mm"))</f>
        <v>0</v>
      </c>
      <c r="P1090" s="25">
        <f>IF(B1090="","",WEEKNUM(B1090,2))</f>
        <v>0</v>
      </c>
      <c r="Q1090" s="38">
        <f>IF(B1090="","",IF(E1090="Tip","No",IF(E1090="Refund","No","Yes")))</f>
        <v>0</v>
      </c>
      <c r="R1090" s="25">
        <f>IF(B1090="","",IF(E1090="Refund",-1,1))</f>
        <v>0</v>
      </c>
      <c r="S1090" s="26">
        <f>IF(B1090="","",IF(G1090="",0,IF(F1090="Card",ROUND(G1090*CardFeePercent+CardFeeFixed,2),IF(F1090="Online deposit",ROUND(G1090*CardFeePercent+CardFeeFixed,2),0))))</f>
        <v>0</v>
      </c>
      <c r="T1090" s="26">
        <f>IF(B1090="","",ROUND(IF(G1090="",0,G1090)*R1090-S1090,2))</f>
        <v>0</v>
      </c>
      <c r="U1090" s="38">
        <f>IF(B1090="","",IF(E1090="Tip","Yes","No"))</f>
        <v>0</v>
      </c>
      <c r="V1090" s="15">
        <f>IF(B1090="","",IF(H1090&lt;&gt;"","Sale "&amp;H1090,IF(I1090&lt;&gt;"","Booking "&amp;I1090,IF(E1090="Tip","Stylist","Unapplied"))))</f>
        <v>0</v>
      </c>
      <c r="W1090" s="39">
        <f>IF(B1090="","",IF(G1090="","Add - no amount yet",IF(E1090="","Add - what was this for?",IF(IF(H1090="",FALSE,COUNTIF(Sales!$A$5:$A$1204,H1090)=0),"Missing - no sale with that ID",IF(IF(I1090="",FALSE,COUNTIF(Appointments!$A$5:$A$1204,I1090)=0),"Missing - no booking with that ID",IF(IF(E1090="Tip",J1090="",FALSE),"Assign - whose tip is it?",IF(IF(E1090="Deposit",IF(H1090="",I1090="",FALSE),FALSE),"Check - deposit not tied to a booking",IF(M1090="No","Due - not reconciled yet","OK"))))))))</f>
        <v>0</v>
      </c>
    </row>
    <row r="1091" spans="1:23">
      <c r="A1091" s="28">
        <f>IF(B1091="","",PaymentPrefix&amp;TEXT(ROW()-4,"0000"))</f>
        <v>0</v>
      </c>
      <c r="D1091" s="15">
        <f>IF(C1091="","",IFERROR(INDEX(Clients!$B$5:$B$504,MATCH(C1091,Clients!$A$5:$A$504,0)),"Walk-in"))</f>
        <v>0</v>
      </c>
      <c r="K1091" s="15">
        <f>IF(J1091="","",IFERROR(INDEX(Staff!$B$5:$B$44,MATCH(J1091,Staff!$A$5:$A$44,0)),""))</f>
        <v>0</v>
      </c>
      <c r="O1091" s="15">
        <f>IF(B1091="","",TEXT(B1091,"yyyy-mm"))</f>
        <v>0</v>
      </c>
      <c r="P1091" s="25">
        <f>IF(B1091="","",WEEKNUM(B1091,2))</f>
        <v>0</v>
      </c>
      <c r="Q1091" s="38">
        <f>IF(B1091="","",IF(E1091="Tip","No",IF(E1091="Refund","No","Yes")))</f>
        <v>0</v>
      </c>
      <c r="R1091" s="25">
        <f>IF(B1091="","",IF(E1091="Refund",-1,1))</f>
        <v>0</v>
      </c>
      <c r="S1091" s="26">
        <f>IF(B1091="","",IF(G1091="",0,IF(F1091="Card",ROUND(G1091*CardFeePercent+CardFeeFixed,2),IF(F1091="Online deposit",ROUND(G1091*CardFeePercent+CardFeeFixed,2),0))))</f>
        <v>0</v>
      </c>
      <c r="T1091" s="26">
        <f>IF(B1091="","",ROUND(IF(G1091="",0,G1091)*R1091-S1091,2))</f>
        <v>0</v>
      </c>
      <c r="U1091" s="38">
        <f>IF(B1091="","",IF(E1091="Tip","Yes","No"))</f>
        <v>0</v>
      </c>
      <c r="V1091" s="15">
        <f>IF(B1091="","",IF(H1091&lt;&gt;"","Sale "&amp;H1091,IF(I1091&lt;&gt;"","Booking "&amp;I1091,IF(E1091="Tip","Stylist","Unapplied"))))</f>
        <v>0</v>
      </c>
      <c r="W1091" s="39">
        <f>IF(B1091="","",IF(G1091="","Add - no amount yet",IF(E1091="","Add - what was this for?",IF(IF(H1091="",FALSE,COUNTIF(Sales!$A$5:$A$1204,H1091)=0),"Missing - no sale with that ID",IF(IF(I1091="",FALSE,COUNTIF(Appointments!$A$5:$A$1204,I1091)=0),"Missing - no booking with that ID",IF(IF(E1091="Tip",J1091="",FALSE),"Assign - whose tip is it?",IF(IF(E1091="Deposit",IF(H1091="",I1091="",FALSE),FALSE),"Check - deposit not tied to a booking",IF(M1091="No","Due - not reconciled yet","OK"))))))))</f>
        <v>0</v>
      </c>
    </row>
    <row r="1092" spans="1:23">
      <c r="A1092" s="28">
        <f>IF(B1092="","",PaymentPrefix&amp;TEXT(ROW()-4,"0000"))</f>
        <v>0</v>
      </c>
      <c r="D1092" s="15">
        <f>IF(C1092="","",IFERROR(INDEX(Clients!$B$5:$B$504,MATCH(C1092,Clients!$A$5:$A$504,0)),"Walk-in"))</f>
        <v>0</v>
      </c>
      <c r="K1092" s="15">
        <f>IF(J1092="","",IFERROR(INDEX(Staff!$B$5:$B$44,MATCH(J1092,Staff!$A$5:$A$44,0)),""))</f>
        <v>0</v>
      </c>
      <c r="O1092" s="15">
        <f>IF(B1092="","",TEXT(B1092,"yyyy-mm"))</f>
        <v>0</v>
      </c>
      <c r="P1092" s="25">
        <f>IF(B1092="","",WEEKNUM(B1092,2))</f>
        <v>0</v>
      </c>
      <c r="Q1092" s="38">
        <f>IF(B1092="","",IF(E1092="Tip","No",IF(E1092="Refund","No","Yes")))</f>
        <v>0</v>
      </c>
      <c r="R1092" s="25">
        <f>IF(B1092="","",IF(E1092="Refund",-1,1))</f>
        <v>0</v>
      </c>
      <c r="S1092" s="26">
        <f>IF(B1092="","",IF(G1092="",0,IF(F1092="Card",ROUND(G1092*CardFeePercent+CardFeeFixed,2),IF(F1092="Online deposit",ROUND(G1092*CardFeePercent+CardFeeFixed,2),0))))</f>
        <v>0</v>
      </c>
      <c r="T1092" s="26">
        <f>IF(B1092="","",ROUND(IF(G1092="",0,G1092)*R1092-S1092,2))</f>
        <v>0</v>
      </c>
      <c r="U1092" s="38">
        <f>IF(B1092="","",IF(E1092="Tip","Yes","No"))</f>
        <v>0</v>
      </c>
      <c r="V1092" s="15">
        <f>IF(B1092="","",IF(H1092&lt;&gt;"","Sale "&amp;H1092,IF(I1092&lt;&gt;"","Booking "&amp;I1092,IF(E1092="Tip","Stylist","Unapplied"))))</f>
        <v>0</v>
      </c>
      <c r="W1092" s="39">
        <f>IF(B1092="","",IF(G1092="","Add - no amount yet",IF(E1092="","Add - what was this for?",IF(IF(H1092="",FALSE,COUNTIF(Sales!$A$5:$A$1204,H1092)=0),"Missing - no sale with that ID",IF(IF(I1092="",FALSE,COUNTIF(Appointments!$A$5:$A$1204,I1092)=0),"Missing - no booking with that ID",IF(IF(E1092="Tip",J1092="",FALSE),"Assign - whose tip is it?",IF(IF(E1092="Deposit",IF(H1092="",I1092="",FALSE),FALSE),"Check - deposit not tied to a booking",IF(M1092="No","Due - not reconciled yet","OK"))))))))</f>
        <v>0</v>
      </c>
    </row>
    <row r="1093" spans="1:23">
      <c r="A1093" s="28">
        <f>IF(B1093="","",PaymentPrefix&amp;TEXT(ROW()-4,"0000"))</f>
        <v>0</v>
      </c>
      <c r="D1093" s="15">
        <f>IF(C1093="","",IFERROR(INDEX(Clients!$B$5:$B$504,MATCH(C1093,Clients!$A$5:$A$504,0)),"Walk-in"))</f>
        <v>0</v>
      </c>
      <c r="K1093" s="15">
        <f>IF(J1093="","",IFERROR(INDEX(Staff!$B$5:$B$44,MATCH(J1093,Staff!$A$5:$A$44,0)),""))</f>
        <v>0</v>
      </c>
      <c r="O1093" s="15">
        <f>IF(B1093="","",TEXT(B1093,"yyyy-mm"))</f>
        <v>0</v>
      </c>
      <c r="P1093" s="25">
        <f>IF(B1093="","",WEEKNUM(B1093,2))</f>
        <v>0</v>
      </c>
      <c r="Q1093" s="38">
        <f>IF(B1093="","",IF(E1093="Tip","No",IF(E1093="Refund","No","Yes")))</f>
        <v>0</v>
      </c>
      <c r="R1093" s="25">
        <f>IF(B1093="","",IF(E1093="Refund",-1,1))</f>
        <v>0</v>
      </c>
      <c r="S1093" s="26">
        <f>IF(B1093="","",IF(G1093="",0,IF(F1093="Card",ROUND(G1093*CardFeePercent+CardFeeFixed,2),IF(F1093="Online deposit",ROUND(G1093*CardFeePercent+CardFeeFixed,2),0))))</f>
        <v>0</v>
      </c>
      <c r="T1093" s="26">
        <f>IF(B1093="","",ROUND(IF(G1093="",0,G1093)*R1093-S1093,2))</f>
        <v>0</v>
      </c>
      <c r="U1093" s="38">
        <f>IF(B1093="","",IF(E1093="Tip","Yes","No"))</f>
        <v>0</v>
      </c>
      <c r="V1093" s="15">
        <f>IF(B1093="","",IF(H1093&lt;&gt;"","Sale "&amp;H1093,IF(I1093&lt;&gt;"","Booking "&amp;I1093,IF(E1093="Tip","Stylist","Unapplied"))))</f>
        <v>0</v>
      </c>
      <c r="W1093" s="39">
        <f>IF(B1093="","",IF(G1093="","Add - no amount yet",IF(E1093="","Add - what was this for?",IF(IF(H1093="",FALSE,COUNTIF(Sales!$A$5:$A$1204,H1093)=0),"Missing - no sale with that ID",IF(IF(I1093="",FALSE,COUNTIF(Appointments!$A$5:$A$1204,I1093)=0),"Missing - no booking with that ID",IF(IF(E1093="Tip",J1093="",FALSE),"Assign - whose tip is it?",IF(IF(E1093="Deposit",IF(H1093="",I1093="",FALSE),FALSE),"Check - deposit not tied to a booking",IF(M1093="No","Due - not reconciled yet","OK"))))))))</f>
        <v>0</v>
      </c>
    </row>
    <row r="1094" spans="1:23">
      <c r="A1094" s="28">
        <f>IF(B1094="","",PaymentPrefix&amp;TEXT(ROW()-4,"0000"))</f>
        <v>0</v>
      </c>
      <c r="D1094" s="15">
        <f>IF(C1094="","",IFERROR(INDEX(Clients!$B$5:$B$504,MATCH(C1094,Clients!$A$5:$A$504,0)),"Walk-in"))</f>
        <v>0</v>
      </c>
      <c r="K1094" s="15">
        <f>IF(J1094="","",IFERROR(INDEX(Staff!$B$5:$B$44,MATCH(J1094,Staff!$A$5:$A$44,0)),""))</f>
        <v>0</v>
      </c>
      <c r="O1094" s="15">
        <f>IF(B1094="","",TEXT(B1094,"yyyy-mm"))</f>
        <v>0</v>
      </c>
      <c r="P1094" s="25">
        <f>IF(B1094="","",WEEKNUM(B1094,2))</f>
        <v>0</v>
      </c>
      <c r="Q1094" s="38">
        <f>IF(B1094="","",IF(E1094="Tip","No",IF(E1094="Refund","No","Yes")))</f>
        <v>0</v>
      </c>
      <c r="R1094" s="25">
        <f>IF(B1094="","",IF(E1094="Refund",-1,1))</f>
        <v>0</v>
      </c>
      <c r="S1094" s="26">
        <f>IF(B1094="","",IF(G1094="",0,IF(F1094="Card",ROUND(G1094*CardFeePercent+CardFeeFixed,2),IF(F1094="Online deposit",ROUND(G1094*CardFeePercent+CardFeeFixed,2),0))))</f>
        <v>0</v>
      </c>
      <c r="T1094" s="26">
        <f>IF(B1094="","",ROUND(IF(G1094="",0,G1094)*R1094-S1094,2))</f>
        <v>0</v>
      </c>
      <c r="U1094" s="38">
        <f>IF(B1094="","",IF(E1094="Tip","Yes","No"))</f>
        <v>0</v>
      </c>
      <c r="V1094" s="15">
        <f>IF(B1094="","",IF(H1094&lt;&gt;"","Sale "&amp;H1094,IF(I1094&lt;&gt;"","Booking "&amp;I1094,IF(E1094="Tip","Stylist","Unapplied"))))</f>
        <v>0</v>
      </c>
      <c r="W1094" s="39">
        <f>IF(B1094="","",IF(G1094="","Add - no amount yet",IF(E1094="","Add - what was this for?",IF(IF(H1094="",FALSE,COUNTIF(Sales!$A$5:$A$1204,H1094)=0),"Missing - no sale with that ID",IF(IF(I1094="",FALSE,COUNTIF(Appointments!$A$5:$A$1204,I1094)=0),"Missing - no booking with that ID",IF(IF(E1094="Tip",J1094="",FALSE),"Assign - whose tip is it?",IF(IF(E1094="Deposit",IF(H1094="",I1094="",FALSE),FALSE),"Check - deposit not tied to a booking",IF(M1094="No","Due - not reconciled yet","OK"))))))))</f>
        <v>0</v>
      </c>
    </row>
    <row r="1095" spans="1:23">
      <c r="A1095" s="28">
        <f>IF(B1095="","",PaymentPrefix&amp;TEXT(ROW()-4,"0000"))</f>
        <v>0</v>
      </c>
      <c r="D1095" s="15">
        <f>IF(C1095="","",IFERROR(INDEX(Clients!$B$5:$B$504,MATCH(C1095,Clients!$A$5:$A$504,0)),"Walk-in"))</f>
        <v>0</v>
      </c>
      <c r="K1095" s="15">
        <f>IF(J1095="","",IFERROR(INDEX(Staff!$B$5:$B$44,MATCH(J1095,Staff!$A$5:$A$44,0)),""))</f>
        <v>0</v>
      </c>
      <c r="O1095" s="15">
        <f>IF(B1095="","",TEXT(B1095,"yyyy-mm"))</f>
        <v>0</v>
      </c>
      <c r="P1095" s="25">
        <f>IF(B1095="","",WEEKNUM(B1095,2))</f>
        <v>0</v>
      </c>
      <c r="Q1095" s="38">
        <f>IF(B1095="","",IF(E1095="Tip","No",IF(E1095="Refund","No","Yes")))</f>
        <v>0</v>
      </c>
      <c r="R1095" s="25">
        <f>IF(B1095="","",IF(E1095="Refund",-1,1))</f>
        <v>0</v>
      </c>
      <c r="S1095" s="26">
        <f>IF(B1095="","",IF(G1095="",0,IF(F1095="Card",ROUND(G1095*CardFeePercent+CardFeeFixed,2),IF(F1095="Online deposit",ROUND(G1095*CardFeePercent+CardFeeFixed,2),0))))</f>
        <v>0</v>
      </c>
      <c r="T1095" s="26">
        <f>IF(B1095="","",ROUND(IF(G1095="",0,G1095)*R1095-S1095,2))</f>
        <v>0</v>
      </c>
      <c r="U1095" s="38">
        <f>IF(B1095="","",IF(E1095="Tip","Yes","No"))</f>
        <v>0</v>
      </c>
      <c r="V1095" s="15">
        <f>IF(B1095="","",IF(H1095&lt;&gt;"","Sale "&amp;H1095,IF(I1095&lt;&gt;"","Booking "&amp;I1095,IF(E1095="Tip","Stylist","Unapplied"))))</f>
        <v>0</v>
      </c>
      <c r="W1095" s="39">
        <f>IF(B1095="","",IF(G1095="","Add - no amount yet",IF(E1095="","Add - what was this for?",IF(IF(H1095="",FALSE,COUNTIF(Sales!$A$5:$A$1204,H1095)=0),"Missing - no sale with that ID",IF(IF(I1095="",FALSE,COUNTIF(Appointments!$A$5:$A$1204,I1095)=0),"Missing - no booking with that ID",IF(IF(E1095="Tip",J1095="",FALSE),"Assign - whose tip is it?",IF(IF(E1095="Deposit",IF(H1095="",I1095="",FALSE),FALSE),"Check - deposit not tied to a booking",IF(M1095="No","Due - not reconciled yet","OK"))))))))</f>
        <v>0</v>
      </c>
    </row>
    <row r="1096" spans="1:23">
      <c r="A1096" s="28">
        <f>IF(B1096="","",PaymentPrefix&amp;TEXT(ROW()-4,"0000"))</f>
        <v>0</v>
      </c>
      <c r="D1096" s="15">
        <f>IF(C1096="","",IFERROR(INDEX(Clients!$B$5:$B$504,MATCH(C1096,Clients!$A$5:$A$504,0)),"Walk-in"))</f>
        <v>0</v>
      </c>
      <c r="K1096" s="15">
        <f>IF(J1096="","",IFERROR(INDEX(Staff!$B$5:$B$44,MATCH(J1096,Staff!$A$5:$A$44,0)),""))</f>
        <v>0</v>
      </c>
      <c r="O1096" s="15">
        <f>IF(B1096="","",TEXT(B1096,"yyyy-mm"))</f>
        <v>0</v>
      </c>
      <c r="P1096" s="25">
        <f>IF(B1096="","",WEEKNUM(B1096,2))</f>
        <v>0</v>
      </c>
      <c r="Q1096" s="38">
        <f>IF(B1096="","",IF(E1096="Tip","No",IF(E1096="Refund","No","Yes")))</f>
        <v>0</v>
      </c>
      <c r="R1096" s="25">
        <f>IF(B1096="","",IF(E1096="Refund",-1,1))</f>
        <v>0</v>
      </c>
      <c r="S1096" s="26">
        <f>IF(B1096="","",IF(G1096="",0,IF(F1096="Card",ROUND(G1096*CardFeePercent+CardFeeFixed,2),IF(F1096="Online deposit",ROUND(G1096*CardFeePercent+CardFeeFixed,2),0))))</f>
        <v>0</v>
      </c>
      <c r="T1096" s="26">
        <f>IF(B1096="","",ROUND(IF(G1096="",0,G1096)*R1096-S1096,2))</f>
        <v>0</v>
      </c>
      <c r="U1096" s="38">
        <f>IF(B1096="","",IF(E1096="Tip","Yes","No"))</f>
        <v>0</v>
      </c>
      <c r="V1096" s="15">
        <f>IF(B1096="","",IF(H1096&lt;&gt;"","Sale "&amp;H1096,IF(I1096&lt;&gt;"","Booking "&amp;I1096,IF(E1096="Tip","Stylist","Unapplied"))))</f>
        <v>0</v>
      </c>
      <c r="W1096" s="39">
        <f>IF(B1096="","",IF(G1096="","Add - no amount yet",IF(E1096="","Add - what was this for?",IF(IF(H1096="",FALSE,COUNTIF(Sales!$A$5:$A$1204,H1096)=0),"Missing - no sale with that ID",IF(IF(I1096="",FALSE,COUNTIF(Appointments!$A$5:$A$1204,I1096)=0),"Missing - no booking with that ID",IF(IF(E1096="Tip",J1096="",FALSE),"Assign - whose tip is it?",IF(IF(E1096="Deposit",IF(H1096="",I1096="",FALSE),FALSE),"Check - deposit not tied to a booking",IF(M1096="No","Due - not reconciled yet","OK"))))))))</f>
        <v>0</v>
      </c>
    </row>
    <row r="1097" spans="1:23">
      <c r="A1097" s="28">
        <f>IF(B1097="","",PaymentPrefix&amp;TEXT(ROW()-4,"0000"))</f>
        <v>0</v>
      </c>
      <c r="D1097" s="15">
        <f>IF(C1097="","",IFERROR(INDEX(Clients!$B$5:$B$504,MATCH(C1097,Clients!$A$5:$A$504,0)),"Walk-in"))</f>
        <v>0</v>
      </c>
      <c r="K1097" s="15">
        <f>IF(J1097="","",IFERROR(INDEX(Staff!$B$5:$B$44,MATCH(J1097,Staff!$A$5:$A$44,0)),""))</f>
        <v>0</v>
      </c>
      <c r="O1097" s="15">
        <f>IF(B1097="","",TEXT(B1097,"yyyy-mm"))</f>
        <v>0</v>
      </c>
      <c r="P1097" s="25">
        <f>IF(B1097="","",WEEKNUM(B1097,2))</f>
        <v>0</v>
      </c>
      <c r="Q1097" s="38">
        <f>IF(B1097="","",IF(E1097="Tip","No",IF(E1097="Refund","No","Yes")))</f>
        <v>0</v>
      </c>
      <c r="R1097" s="25">
        <f>IF(B1097="","",IF(E1097="Refund",-1,1))</f>
        <v>0</v>
      </c>
      <c r="S1097" s="26">
        <f>IF(B1097="","",IF(G1097="",0,IF(F1097="Card",ROUND(G1097*CardFeePercent+CardFeeFixed,2),IF(F1097="Online deposit",ROUND(G1097*CardFeePercent+CardFeeFixed,2),0))))</f>
        <v>0</v>
      </c>
      <c r="T1097" s="26">
        <f>IF(B1097="","",ROUND(IF(G1097="",0,G1097)*R1097-S1097,2))</f>
        <v>0</v>
      </c>
      <c r="U1097" s="38">
        <f>IF(B1097="","",IF(E1097="Tip","Yes","No"))</f>
        <v>0</v>
      </c>
      <c r="V1097" s="15">
        <f>IF(B1097="","",IF(H1097&lt;&gt;"","Sale "&amp;H1097,IF(I1097&lt;&gt;"","Booking "&amp;I1097,IF(E1097="Tip","Stylist","Unapplied"))))</f>
        <v>0</v>
      </c>
      <c r="W1097" s="39">
        <f>IF(B1097="","",IF(G1097="","Add - no amount yet",IF(E1097="","Add - what was this for?",IF(IF(H1097="",FALSE,COUNTIF(Sales!$A$5:$A$1204,H1097)=0),"Missing - no sale with that ID",IF(IF(I1097="",FALSE,COUNTIF(Appointments!$A$5:$A$1204,I1097)=0),"Missing - no booking with that ID",IF(IF(E1097="Tip",J1097="",FALSE),"Assign - whose tip is it?",IF(IF(E1097="Deposit",IF(H1097="",I1097="",FALSE),FALSE),"Check - deposit not tied to a booking",IF(M1097="No","Due - not reconciled yet","OK"))))))))</f>
        <v>0</v>
      </c>
    </row>
    <row r="1098" spans="1:23">
      <c r="A1098" s="28">
        <f>IF(B1098="","",PaymentPrefix&amp;TEXT(ROW()-4,"0000"))</f>
        <v>0</v>
      </c>
      <c r="D1098" s="15">
        <f>IF(C1098="","",IFERROR(INDEX(Clients!$B$5:$B$504,MATCH(C1098,Clients!$A$5:$A$504,0)),"Walk-in"))</f>
        <v>0</v>
      </c>
      <c r="K1098" s="15">
        <f>IF(J1098="","",IFERROR(INDEX(Staff!$B$5:$B$44,MATCH(J1098,Staff!$A$5:$A$44,0)),""))</f>
        <v>0</v>
      </c>
      <c r="O1098" s="15">
        <f>IF(B1098="","",TEXT(B1098,"yyyy-mm"))</f>
        <v>0</v>
      </c>
      <c r="P1098" s="25">
        <f>IF(B1098="","",WEEKNUM(B1098,2))</f>
        <v>0</v>
      </c>
      <c r="Q1098" s="38">
        <f>IF(B1098="","",IF(E1098="Tip","No",IF(E1098="Refund","No","Yes")))</f>
        <v>0</v>
      </c>
      <c r="R1098" s="25">
        <f>IF(B1098="","",IF(E1098="Refund",-1,1))</f>
        <v>0</v>
      </c>
      <c r="S1098" s="26">
        <f>IF(B1098="","",IF(G1098="",0,IF(F1098="Card",ROUND(G1098*CardFeePercent+CardFeeFixed,2),IF(F1098="Online deposit",ROUND(G1098*CardFeePercent+CardFeeFixed,2),0))))</f>
        <v>0</v>
      </c>
      <c r="T1098" s="26">
        <f>IF(B1098="","",ROUND(IF(G1098="",0,G1098)*R1098-S1098,2))</f>
        <v>0</v>
      </c>
      <c r="U1098" s="38">
        <f>IF(B1098="","",IF(E1098="Tip","Yes","No"))</f>
        <v>0</v>
      </c>
      <c r="V1098" s="15">
        <f>IF(B1098="","",IF(H1098&lt;&gt;"","Sale "&amp;H1098,IF(I1098&lt;&gt;"","Booking "&amp;I1098,IF(E1098="Tip","Stylist","Unapplied"))))</f>
        <v>0</v>
      </c>
      <c r="W1098" s="39">
        <f>IF(B1098="","",IF(G1098="","Add - no amount yet",IF(E1098="","Add - what was this for?",IF(IF(H1098="",FALSE,COUNTIF(Sales!$A$5:$A$1204,H1098)=0),"Missing - no sale with that ID",IF(IF(I1098="",FALSE,COUNTIF(Appointments!$A$5:$A$1204,I1098)=0),"Missing - no booking with that ID",IF(IF(E1098="Tip",J1098="",FALSE),"Assign - whose tip is it?",IF(IF(E1098="Deposit",IF(H1098="",I1098="",FALSE),FALSE),"Check - deposit not tied to a booking",IF(M1098="No","Due - not reconciled yet","OK"))))))))</f>
        <v>0</v>
      </c>
    </row>
    <row r="1099" spans="1:23">
      <c r="A1099" s="28">
        <f>IF(B1099="","",PaymentPrefix&amp;TEXT(ROW()-4,"0000"))</f>
        <v>0</v>
      </c>
      <c r="D1099" s="15">
        <f>IF(C1099="","",IFERROR(INDEX(Clients!$B$5:$B$504,MATCH(C1099,Clients!$A$5:$A$504,0)),"Walk-in"))</f>
        <v>0</v>
      </c>
      <c r="K1099" s="15">
        <f>IF(J1099="","",IFERROR(INDEX(Staff!$B$5:$B$44,MATCH(J1099,Staff!$A$5:$A$44,0)),""))</f>
        <v>0</v>
      </c>
      <c r="O1099" s="15">
        <f>IF(B1099="","",TEXT(B1099,"yyyy-mm"))</f>
        <v>0</v>
      </c>
      <c r="P1099" s="25">
        <f>IF(B1099="","",WEEKNUM(B1099,2))</f>
        <v>0</v>
      </c>
      <c r="Q1099" s="38">
        <f>IF(B1099="","",IF(E1099="Tip","No",IF(E1099="Refund","No","Yes")))</f>
        <v>0</v>
      </c>
      <c r="R1099" s="25">
        <f>IF(B1099="","",IF(E1099="Refund",-1,1))</f>
        <v>0</v>
      </c>
      <c r="S1099" s="26">
        <f>IF(B1099="","",IF(G1099="",0,IF(F1099="Card",ROUND(G1099*CardFeePercent+CardFeeFixed,2),IF(F1099="Online deposit",ROUND(G1099*CardFeePercent+CardFeeFixed,2),0))))</f>
        <v>0</v>
      </c>
      <c r="T1099" s="26">
        <f>IF(B1099="","",ROUND(IF(G1099="",0,G1099)*R1099-S1099,2))</f>
        <v>0</v>
      </c>
      <c r="U1099" s="38">
        <f>IF(B1099="","",IF(E1099="Tip","Yes","No"))</f>
        <v>0</v>
      </c>
      <c r="V1099" s="15">
        <f>IF(B1099="","",IF(H1099&lt;&gt;"","Sale "&amp;H1099,IF(I1099&lt;&gt;"","Booking "&amp;I1099,IF(E1099="Tip","Stylist","Unapplied"))))</f>
        <v>0</v>
      </c>
      <c r="W1099" s="39">
        <f>IF(B1099="","",IF(G1099="","Add - no amount yet",IF(E1099="","Add - what was this for?",IF(IF(H1099="",FALSE,COUNTIF(Sales!$A$5:$A$1204,H1099)=0),"Missing - no sale with that ID",IF(IF(I1099="",FALSE,COUNTIF(Appointments!$A$5:$A$1204,I1099)=0),"Missing - no booking with that ID",IF(IF(E1099="Tip",J1099="",FALSE),"Assign - whose tip is it?",IF(IF(E1099="Deposit",IF(H1099="",I1099="",FALSE),FALSE),"Check - deposit not tied to a booking",IF(M1099="No","Due - not reconciled yet","OK"))))))))</f>
        <v>0</v>
      </c>
    </row>
    <row r="1100" spans="1:23">
      <c r="A1100" s="28">
        <f>IF(B1100="","",PaymentPrefix&amp;TEXT(ROW()-4,"0000"))</f>
        <v>0</v>
      </c>
      <c r="D1100" s="15">
        <f>IF(C1100="","",IFERROR(INDEX(Clients!$B$5:$B$504,MATCH(C1100,Clients!$A$5:$A$504,0)),"Walk-in"))</f>
        <v>0</v>
      </c>
      <c r="K1100" s="15">
        <f>IF(J1100="","",IFERROR(INDEX(Staff!$B$5:$B$44,MATCH(J1100,Staff!$A$5:$A$44,0)),""))</f>
        <v>0</v>
      </c>
      <c r="O1100" s="15">
        <f>IF(B1100="","",TEXT(B1100,"yyyy-mm"))</f>
        <v>0</v>
      </c>
      <c r="P1100" s="25">
        <f>IF(B1100="","",WEEKNUM(B1100,2))</f>
        <v>0</v>
      </c>
      <c r="Q1100" s="38">
        <f>IF(B1100="","",IF(E1100="Tip","No",IF(E1100="Refund","No","Yes")))</f>
        <v>0</v>
      </c>
      <c r="R1100" s="25">
        <f>IF(B1100="","",IF(E1100="Refund",-1,1))</f>
        <v>0</v>
      </c>
      <c r="S1100" s="26">
        <f>IF(B1100="","",IF(G1100="",0,IF(F1100="Card",ROUND(G1100*CardFeePercent+CardFeeFixed,2),IF(F1100="Online deposit",ROUND(G1100*CardFeePercent+CardFeeFixed,2),0))))</f>
        <v>0</v>
      </c>
      <c r="T1100" s="26">
        <f>IF(B1100="","",ROUND(IF(G1100="",0,G1100)*R1100-S1100,2))</f>
        <v>0</v>
      </c>
      <c r="U1100" s="38">
        <f>IF(B1100="","",IF(E1100="Tip","Yes","No"))</f>
        <v>0</v>
      </c>
      <c r="V1100" s="15">
        <f>IF(B1100="","",IF(H1100&lt;&gt;"","Sale "&amp;H1100,IF(I1100&lt;&gt;"","Booking "&amp;I1100,IF(E1100="Tip","Stylist","Unapplied"))))</f>
        <v>0</v>
      </c>
      <c r="W1100" s="39">
        <f>IF(B1100="","",IF(G1100="","Add - no amount yet",IF(E1100="","Add - what was this for?",IF(IF(H1100="",FALSE,COUNTIF(Sales!$A$5:$A$1204,H1100)=0),"Missing - no sale with that ID",IF(IF(I1100="",FALSE,COUNTIF(Appointments!$A$5:$A$1204,I1100)=0),"Missing - no booking with that ID",IF(IF(E1100="Tip",J1100="",FALSE),"Assign - whose tip is it?",IF(IF(E1100="Deposit",IF(H1100="",I1100="",FALSE),FALSE),"Check - deposit not tied to a booking",IF(M1100="No","Due - not reconciled yet","OK"))))))))</f>
        <v>0</v>
      </c>
    </row>
    <row r="1101" spans="1:23">
      <c r="A1101" s="28">
        <f>IF(B1101="","",PaymentPrefix&amp;TEXT(ROW()-4,"0000"))</f>
        <v>0</v>
      </c>
      <c r="D1101" s="15">
        <f>IF(C1101="","",IFERROR(INDEX(Clients!$B$5:$B$504,MATCH(C1101,Clients!$A$5:$A$504,0)),"Walk-in"))</f>
        <v>0</v>
      </c>
      <c r="K1101" s="15">
        <f>IF(J1101="","",IFERROR(INDEX(Staff!$B$5:$B$44,MATCH(J1101,Staff!$A$5:$A$44,0)),""))</f>
        <v>0</v>
      </c>
      <c r="O1101" s="15">
        <f>IF(B1101="","",TEXT(B1101,"yyyy-mm"))</f>
        <v>0</v>
      </c>
      <c r="P1101" s="25">
        <f>IF(B1101="","",WEEKNUM(B1101,2))</f>
        <v>0</v>
      </c>
      <c r="Q1101" s="38">
        <f>IF(B1101="","",IF(E1101="Tip","No",IF(E1101="Refund","No","Yes")))</f>
        <v>0</v>
      </c>
      <c r="R1101" s="25">
        <f>IF(B1101="","",IF(E1101="Refund",-1,1))</f>
        <v>0</v>
      </c>
      <c r="S1101" s="26">
        <f>IF(B1101="","",IF(G1101="",0,IF(F1101="Card",ROUND(G1101*CardFeePercent+CardFeeFixed,2),IF(F1101="Online deposit",ROUND(G1101*CardFeePercent+CardFeeFixed,2),0))))</f>
        <v>0</v>
      </c>
      <c r="T1101" s="26">
        <f>IF(B1101="","",ROUND(IF(G1101="",0,G1101)*R1101-S1101,2))</f>
        <v>0</v>
      </c>
      <c r="U1101" s="38">
        <f>IF(B1101="","",IF(E1101="Tip","Yes","No"))</f>
        <v>0</v>
      </c>
      <c r="V1101" s="15">
        <f>IF(B1101="","",IF(H1101&lt;&gt;"","Sale "&amp;H1101,IF(I1101&lt;&gt;"","Booking "&amp;I1101,IF(E1101="Tip","Stylist","Unapplied"))))</f>
        <v>0</v>
      </c>
      <c r="W1101" s="39">
        <f>IF(B1101="","",IF(G1101="","Add - no amount yet",IF(E1101="","Add - what was this for?",IF(IF(H1101="",FALSE,COUNTIF(Sales!$A$5:$A$1204,H1101)=0),"Missing - no sale with that ID",IF(IF(I1101="",FALSE,COUNTIF(Appointments!$A$5:$A$1204,I1101)=0),"Missing - no booking with that ID",IF(IF(E1101="Tip",J1101="",FALSE),"Assign - whose tip is it?",IF(IF(E1101="Deposit",IF(H1101="",I1101="",FALSE),FALSE),"Check - deposit not tied to a booking",IF(M1101="No","Due - not reconciled yet","OK"))))))))</f>
        <v>0</v>
      </c>
    </row>
    <row r="1102" spans="1:23">
      <c r="A1102" s="28">
        <f>IF(B1102="","",PaymentPrefix&amp;TEXT(ROW()-4,"0000"))</f>
        <v>0</v>
      </c>
      <c r="D1102" s="15">
        <f>IF(C1102="","",IFERROR(INDEX(Clients!$B$5:$B$504,MATCH(C1102,Clients!$A$5:$A$504,0)),"Walk-in"))</f>
        <v>0</v>
      </c>
      <c r="K1102" s="15">
        <f>IF(J1102="","",IFERROR(INDEX(Staff!$B$5:$B$44,MATCH(J1102,Staff!$A$5:$A$44,0)),""))</f>
        <v>0</v>
      </c>
      <c r="O1102" s="15">
        <f>IF(B1102="","",TEXT(B1102,"yyyy-mm"))</f>
        <v>0</v>
      </c>
      <c r="P1102" s="25">
        <f>IF(B1102="","",WEEKNUM(B1102,2))</f>
        <v>0</v>
      </c>
      <c r="Q1102" s="38">
        <f>IF(B1102="","",IF(E1102="Tip","No",IF(E1102="Refund","No","Yes")))</f>
        <v>0</v>
      </c>
      <c r="R1102" s="25">
        <f>IF(B1102="","",IF(E1102="Refund",-1,1))</f>
        <v>0</v>
      </c>
      <c r="S1102" s="26">
        <f>IF(B1102="","",IF(G1102="",0,IF(F1102="Card",ROUND(G1102*CardFeePercent+CardFeeFixed,2),IF(F1102="Online deposit",ROUND(G1102*CardFeePercent+CardFeeFixed,2),0))))</f>
        <v>0</v>
      </c>
      <c r="T1102" s="26">
        <f>IF(B1102="","",ROUND(IF(G1102="",0,G1102)*R1102-S1102,2))</f>
        <v>0</v>
      </c>
      <c r="U1102" s="38">
        <f>IF(B1102="","",IF(E1102="Tip","Yes","No"))</f>
        <v>0</v>
      </c>
      <c r="V1102" s="15">
        <f>IF(B1102="","",IF(H1102&lt;&gt;"","Sale "&amp;H1102,IF(I1102&lt;&gt;"","Booking "&amp;I1102,IF(E1102="Tip","Stylist","Unapplied"))))</f>
        <v>0</v>
      </c>
      <c r="W1102" s="39">
        <f>IF(B1102="","",IF(G1102="","Add - no amount yet",IF(E1102="","Add - what was this for?",IF(IF(H1102="",FALSE,COUNTIF(Sales!$A$5:$A$1204,H1102)=0),"Missing - no sale with that ID",IF(IF(I1102="",FALSE,COUNTIF(Appointments!$A$5:$A$1204,I1102)=0),"Missing - no booking with that ID",IF(IF(E1102="Tip",J1102="",FALSE),"Assign - whose tip is it?",IF(IF(E1102="Deposit",IF(H1102="",I1102="",FALSE),FALSE),"Check - deposit not tied to a booking",IF(M1102="No","Due - not reconciled yet","OK"))))))))</f>
        <v>0</v>
      </c>
    </row>
    <row r="1103" spans="1:23">
      <c r="A1103" s="28">
        <f>IF(B1103="","",PaymentPrefix&amp;TEXT(ROW()-4,"0000"))</f>
        <v>0</v>
      </c>
      <c r="D1103" s="15">
        <f>IF(C1103="","",IFERROR(INDEX(Clients!$B$5:$B$504,MATCH(C1103,Clients!$A$5:$A$504,0)),"Walk-in"))</f>
        <v>0</v>
      </c>
      <c r="K1103" s="15">
        <f>IF(J1103="","",IFERROR(INDEX(Staff!$B$5:$B$44,MATCH(J1103,Staff!$A$5:$A$44,0)),""))</f>
        <v>0</v>
      </c>
      <c r="O1103" s="15">
        <f>IF(B1103="","",TEXT(B1103,"yyyy-mm"))</f>
        <v>0</v>
      </c>
      <c r="P1103" s="25">
        <f>IF(B1103="","",WEEKNUM(B1103,2))</f>
        <v>0</v>
      </c>
      <c r="Q1103" s="38">
        <f>IF(B1103="","",IF(E1103="Tip","No",IF(E1103="Refund","No","Yes")))</f>
        <v>0</v>
      </c>
      <c r="R1103" s="25">
        <f>IF(B1103="","",IF(E1103="Refund",-1,1))</f>
        <v>0</v>
      </c>
      <c r="S1103" s="26">
        <f>IF(B1103="","",IF(G1103="",0,IF(F1103="Card",ROUND(G1103*CardFeePercent+CardFeeFixed,2),IF(F1103="Online deposit",ROUND(G1103*CardFeePercent+CardFeeFixed,2),0))))</f>
        <v>0</v>
      </c>
      <c r="T1103" s="26">
        <f>IF(B1103="","",ROUND(IF(G1103="",0,G1103)*R1103-S1103,2))</f>
        <v>0</v>
      </c>
      <c r="U1103" s="38">
        <f>IF(B1103="","",IF(E1103="Tip","Yes","No"))</f>
        <v>0</v>
      </c>
      <c r="V1103" s="15">
        <f>IF(B1103="","",IF(H1103&lt;&gt;"","Sale "&amp;H1103,IF(I1103&lt;&gt;"","Booking "&amp;I1103,IF(E1103="Tip","Stylist","Unapplied"))))</f>
        <v>0</v>
      </c>
      <c r="W1103" s="39">
        <f>IF(B1103="","",IF(G1103="","Add - no amount yet",IF(E1103="","Add - what was this for?",IF(IF(H1103="",FALSE,COUNTIF(Sales!$A$5:$A$1204,H1103)=0),"Missing - no sale with that ID",IF(IF(I1103="",FALSE,COUNTIF(Appointments!$A$5:$A$1204,I1103)=0),"Missing - no booking with that ID",IF(IF(E1103="Tip",J1103="",FALSE),"Assign - whose tip is it?",IF(IF(E1103="Deposit",IF(H1103="",I1103="",FALSE),FALSE),"Check - deposit not tied to a booking",IF(M1103="No","Due - not reconciled yet","OK"))))))))</f>
        <v>0</v>
      </c>
    </row>
    <row r="1104" spans="1:23">
      <c r="A1104" s="28">
        <f>IF(B1104="","",PaymentPrefix&amp;TEXT(ROW()-4,"0000"))</f>
        <v>0</v>
      </c>
      <c r="D1104" s="15">
        <f>IF(C1104="","",IFERROR(INDEX(Clients!$B$5:$B$504,MATCH(C1104,Clients!$A$5:$A$504,0)),"Walk-in"))</f>
        <v>0</v>
      </c>
      <c r="K1104" s="15">
        <f>IF(J1104="","",IFERROR(INDEX(Staff!$B$5:$B$44,MATCH(J1104,Staff!$A$5:$A$44,0)),""))</f>
        <v>0</v>
      </c>
      <c r="O1104" s="15">
        <f>IF(B1104="","",TEXT(B1104,"yyyy-mm"))</f>
        <v>0</v>
      </c>
      <c r="P1104" s="25">
        <f>IF(B1104="","",WEEKNUM(B1104,2))</f>
        <v>0</v>
      </c>
      <c r="Q1104" s="38">
        <f>IF(B1104="","",IF(E1104="Tip","No",IF(E1104="Refund","No","Yes")))</f>
        <v>0</v>
      </c>
      <c r="R1104" s="25">
        <f>IF(B1104="","",IF(E1104="Refund",-1,1))</f>
        <v>0</v>
      </c>
      <c r="S1104" s="26">
        <f>IF(B1104="","",IF(G1104="",0,IF(F1104="Card",ROUND(G1104*CardFeePercent+CardFeeFixed,2),IF(F1104="Online deposit",ROUND(G1104*CardFeePercent+CardFeeFixed,2),0))))</f>
        <v>0</v>
      </c>
      <c r="T1104" s="26">
        <f>IF(B1104="","",ROUND(IF(G1104="",0,G1104)*R1104-S1104,2))</f>
        <v>0</v>
      </c>
      <c r="U1104" s="38">
        <f>IF(B1104="","",IF(E1104="Tip","Yes","No"))</f>
        <v>0</v>
      </c>
      <c r="V1104" s="15">
        <f>IF(B1104="","",IF(H1104&lt;&gt;"","Sale "&amp;H1104,IF(I1104&lt;&gt;"","Booking "&amp;I1104,IF(E1104="Tip","Stylist","Unapplied"))))</f>
        <v>0</v>
      </c>
      <c r="W1104" s="39">
        <f>IF(B1104="","",IF(G1104="","Add - no amount yet",IF(E1104="","Add - what was this for?",IF(IF(H1104="",FALSE,COUNTIF(Sales!$A$5:$A$1204,H1104)=0),"Missing - no sale with that ID",IF(IF(I1104="",FALSE,COUNTIF(Appointments!$A$5:$A$1204,I1104)=0),"Missing - no booking with that ID",IF(IF(E1104="Tip",J1104="",FALSE),"Assign - whose tip is it?",IF(IF(E1104="Deposit",IF(H1104="",I1104="",FALSE),FALSE),"Check - deposit not tied to a booking",IF(M1104="No","Due - not reconciled yet","OK"))))))))</f>
        <v>0</v>
      </c>
    </row>
    <row r="1105" spans="1:23">
      <c r="A1105" s="28">
        <f>IF(B1105="","",PaymentPrefix&amp;TEXT(ROW()-4,"0000"))</f>
        <v>0</v>
      </c>
      <c r="D1105" s="15">
        <f>IF(C1105="","",IFERROR(INDEX(Clients!$B$5:$B$504,MATCH(C1105,Clients!$A$5:$A$504,0)),"Walk-in"))</f>
        <v>0</v>
      </c>
      <c r="K1105" s="15">
        <f>IF(J1105="","",IFERROR(INDEX(Staff!$B$5:$B$44,MATCH(J1105,Staff!$A$5:$A$44,0)),""))</f>
        <v>0</v>
      </c>
      <c r="O1105" s="15">
        <f>IF(B1105="","",TEXT(B1105,"yyyy-mm"))</f>
        <v>0</v>
      </c>
      <c r="P1105" s="25">
        <f>IF(B1105="","",WEEKNUM(B1105,2))</f>
        <v>0</v>
      </c>
      <c r="Q1105" s="38">
        <f>IF(B1105="","",IF(E1105="Tip","No",IF(E1105="Refund","No","Yes")))</f>
        <v>0</v>
      </c>
      <c r="R1105" s="25">
        <f>IF(B1105="","",IF(E1105="Refund",-1,1))</f>
        <v>0</v>
      </c>
      <c r="S1105" s="26">
        <f>IF(B1105="","",IF(G1105="",0,IF(F1105="Card",ROUND(G1105*CardFeePercent+CardFeeFixed,2),IF(F1105="Online deposit",ROUND(G1105*CardFeePercent+CardFeeFixed,2),0))))</f>
        <v>0</v>
      </c>
      <c r="T1105" s="26">
        <f>IF(B1105="","",ROUND(IF(G1105="",0,G1105)*R1105-S1105,2))</f>
        <v>0</v>
      </c>
      <c r="U1105" s="38">
        <f>IF(B1105="","",IF(E1105="Tip","Yes","No"))</f>
        <v>0</v>
      </c>
      <c r="V1105" s="15">
        <f>IF(B1105="","",IF(H1105&lt;&gt;"","Sale "&amp;H1105,IF(I1105&lt;&gt;"","Booking "&amp;I1105,IF(E1105="Tip","Stylist","Unapplied"))))</f>
        <v>0</v>
      </c>
      <c r="W1105" s="39">
        <f>IF(B1105="","",IF(G1105="","Add - no amount yet",IF(E1105="","Add - what was this for?",IF(IF(H1105="",FALSE,COUNTIF(Sales!$A$5:$A$1204,H1105)=0),"Missing - no sale with that ID",IF(IF(I1105="",FALSE,COUNTIF(Appointments!$A$5:$A$1204,I1105)=0),"Missing - no booking with that ID",IF(IF(E1105="Tip",J1105="",FALSE),"Assign - whose tip is it?",IF(IF(E1105="Deposit",IF(H1105="",I1105="",FALSE),FALSE),"Check - deposit not tied to a booking",IF(M1105="No","Due - not reconciled yet","OK"))))))))</f>
        <v>0</v>
      </c>
    </row>
    <row r="1106" spans="1:23">
      <c r="A1106" s="28">
        <f>IF(B1106="","",PaymentPrefix&amp;TEXT(ROW()-4,"0000"))</f>
        <v>0</v>
      </c>
      <c r="D1106" s="15">
        <f>IF(C1106="","",IFERROR(INDEX(Clients!$B$5:$B$504,MATCH(C1106,Clients!$A$5:$A$504,0)),"Walk-in"))</f>
        <v>0</v>
      </c>
      <c r="K1106" s="15">
        <f>IF(J1106="","",IFERROR(INDEX(Staff!$B$5:$B$44,MATCH(J1106,Staff!$A$5:$A$44,0)),""))</f>
        <v>0</v>
      </c>
      <c r="O1106" s="15">
        <f>IF(B1106="","",TEXT(B1106,"yyyy-mm"))</f>
        <v>0</v>
      </c>
      <c r="P1106" s="25">
        <f>IF(B1106="","",WEEKNUM(B1106,2))</f>
        <v>0</v>
      </c>
      <c r="Q1106" s="38">
        <f>IF(B1106="","",IF(E1106="Tip","No",IF(E1106="Refund","No","Yes")))</f>
        <v>0</v>
      </c>
      <c r="R1106" s="25">
        <f>IF(B1106="","",IF(E1106="Refund",-1,1))</f>
        <v>0</v>
      </c>
      <c r="S1106" s="26">
        <f>IF(B1106="","",IF(G1106="",0,IF(F1106="Card",ROUND(G1106*CardFeePercent+CardFeeFixed,2),IF(F1106="Online deposit",ROUND(G1106*CardFeePercent+CardFeeFixed,2),0))))</f>
        <v>0</v>
      </c>
      <c r="T1106" s="26">
        <f>IF(B1106="","",ROUND(IF(G1106="",0,G1106)*R1106-S1106,2))</f>
        <v>0</v>
      </c>
      <c r="U1106" s="38">
        <f>IF(B1106="","",IF(E1106="Tip","Yes","No"))</f>
        <v>0</v>
      </c>
      <c r="V1106" s="15">
        <f>IF(B1106="","",IF(H1106&lt;&gt;"","Sale "&amp;H1106,IF(I1106&lt;&gt;"","Booking "&amp;I1106,IF(E1106="Tip","Stylist","Unapplied"))))</f>
        <v>0</v>
      </c>
      <c r="W1106" s="39">
        <f>IF(B1106="","",IF(G1106="","Add - no amount yet",IF(E1106="","Add - what was this for?",IF(IF(H1106="",FALSE,COUNTIF(Sales!$A$5:$A$1204,H1106)=0),"Missing - no sale with that ID",IF(IF(I1106="",FALSE,COUNTIF(Appointments!$A$5:$A$1204,I1106)=0),"Missing - no booking with that ID",IF(IF(E1106="Tip",J1106="",FALSE),"Assign - whose tip is it?",IF(IF(E1106="Deposit",IF(H1106="",I1106="",FALSE),FALSE),"Check - deposit not tied to a booking",IF(M1106="No","Due - not reconciled yet","OK"))))))))</f>
        <v>0</v>
      </c>
    </row>
    <row r="1107" spans="1:23">
      <c r="A1107" s="28">
        <f>IF(B1107="","",PaymentPrefix&amp;TEXT(ROW()-4,"0000"))</f>
        <v>0</v>
      </c>
      <c r="D1107" s="15">
        <f>IF(C1107="","",IFERROR(INDEX(Clients!$B$5:$B$504,MATCH(C1107,Clients!$A$5:$A$504,0)),"Walk-in"))</f>
        <v>0</v>
      </c>
      <c r="K1107" s="15">
        <f>IF(J1107="","",IFERROR(INDEX(Staff!$B$5:$B$44,MATCH(J1107,Staff!$A$5:$A$44,0)),""))</f>
        <v>0</v>
      </c>
      <c r="O1107" s="15">
        <f>IF(B1107="","",TEXT(B1107,"yyyy-mm"))</f>
        <v>0</v>
      </c>
      <c r="P1107" s="25">
        <f>IF(B1107="","",WEEKNUM(B1107,2))</f>
        <v>0</v>
      </c>
      <c r="Q1107" s="38">
        <f>IF(B1107="","",IF(E1107="Tip","No",IF(E1107="Refund","No","Yes")))</f>
        <v>0</v>
      </c>
      <c r="R1107" s="25">
        <f>IF(B1107="","",IF(E1107="Refund",-1,1))</f>
        <v>0</v>
      </c>
      <c r="S1107" s="26">
        <f>IF(B1107="","",IF(G1107="",0,IF(F1107="Card",ROUND(G1107*CardFeePercent+CardFeeFixed,2),IF(F1107="Online deposit",ROUND(G1107*CardFeePercent+CardFeeFixed,2),0))))</f>
        <v>0</v>
      </c>
      <c r="T1107" s="26">
        <f>IF(B1107="","",ROUND(IF(G1107="",0,G1107)*R1107-S1107,2))</f>
        <v>0</v>
      </c>
      <c r="U1107" s="38">
        <f>IF(B1107="","",IF(E1107="Tip","Yes","No"))</f>
        <v>0</v>
      </c>
      <c r="V1107" s="15">
        <f>IF(B1107="","",IF(H1107&lt;&gt;"","Sale "&amp;H1107,IF(I1107&lt;&gt;"","Booking "&amp;I1107,IF(E1107="Tip","Stylist","Unapplied"))))</f>
        <v>0</v>
      </c>
      <c r="W1107" s="39">
        <f>IF(B1107="","",IF(G1107="","Add - no amount yet",IF(E1107="","Add - what was this for?",IF(IF(H1107="",FALSE,COUNTIF(Sales!$A$5:$A$1204,H1107)=0),"Missing - no sale with that ID",IF(IF(I1107="",FALSE,COUNTIF(Appointments!$A$5:$A$1204,I1107)=0),"Missing - no booking with that ID",IF(IF(E1107="Tip",J1107="",FALSE),"Assign - whose tip is it?",IF(IF(E1107="Deposit",IF(H1107="",I1107="",FALSE),FALSE),"Check - deposit not tied to a booking",IF(M1107="No","Due - not reconciled yet","OK"))))))))</f>
        <v>0</v>
      </c>
    </row>
    <row r="1108" spans="1:23">
      <c r="A1108" s="28">
        <f>IF(B1108="","",PaymentPrefix&amp;TEXT(ROW()-4,"0000"))</f>
        <v>0</v>
      </c>
      <c r="D1108" s="15">
        <f>IF(C1108="","",IFERROR(INDEX(Clients!$B$5:$B$504,MATCH(C1108,Clients!$A$5:$A$504,0)),"Walk-in"))</f>
        <v>0</v>
      </c>
      <c r="K1108" s="15">
        <f>IF(J1108="","",IFERROR(INDEX(Staff!$B$5:$B$44,MATCH(J1108,Staff!$A$5:$A$44,0)),""))</f>
        <v>0</v>
      </c>
      <c r="O1108" s="15">
        <f>IF(B1108="","",TEXT(B1108,"yyyy-mm"))</f>
        <v>0</v>
      </c>
      <c r="P1108" s="25">
        <f>IF(B1108="","",WEEKNUM(B1108,2))</f>
        <v>0</v>
      </c>
      <c r="Q1108" s="38">
        <f>IF(B1108="","",IF(E1108="Tip","No",IF(E1108="Refund","No","Yes")))</f>
        <v>0</v>
      </c>
      <c r="R1108" s="25">
        <f>IF(B1108="","",IF(E1108="Refund",-1,1))</f>
        <v>0</v>
      </c>
      <c r="S1108" s="26">
        <f>IF(B1108="","",IF(G1108="",0,IF(F1108="Card",ROUND(G1108*CardFeePercent+CardFeeFixed,2),IF(F1108="Online deposit",ROUND(G1108*CardFeePercent+CardFeeFixed,2),0))))</f>
        <v>0</v>
      </c>
      <c r="T1108" s="26">
        <f>IF(B1108="","",ROUND(IF(G1108="",0,G1108)*R1108-S1108,2))</f>
        <v>0</v>
      </c>
      <c r="U1108" s="38">
        <f>IF(B1108="","",IF(E1108="Tip","Yes","No"))</f>
        <v>0</v>
      </c>
      <c r="V1108" s="15">
        <f>IF(B1108="","",IF(H1108&lt;&gt;"","Sale "&amp;H1108,IF(I1108&lt;&gt;"","Booking "&amp;I1108,IF(E1108="Tip","Stylist","Unapplied"))))</f>
        <v>0</v>
      </c>
      <c r="W1108" s="39">
        <f>IF(B1108="","",IF(G1108="","Add - no amount yet",IF(E1108="","Add - what was this for?",IF(IF(H1108="",FALSE,COUNTIF(Sales!$A$5:$A$1204,H1108)=0),"Missing - no sale with that ID",IF(IF(I1108="",FALSE,COUNTIF(Appointments!$A$5:$A$1204,I1108)=0),"Missing - no booking with that ID",IF(IF(E1108="Tip",J1108="",FALSE),"Assign - whose tip is it?",IF(IF(E1108="Deposit",IF(H1108="",I1108="",FALSE),FALSE),"Check - deposit not tied to a booking",IF(M1108="No","Due - not reconciled yet","OK"))))))))</f>
        <v>0</v>
      </c>
    </row>
    <row r="1109" spans="1:23">
      <c r="A1109" s="28">
        <f>IF(B1109="","",PaymentPrefix&amp;TEXT(ROW()-4,"0000"))</f>
        <v>0</v>
      </c>
      <c r="D1109" s="15">
        <f>IF(C1109="","",IFERROR(INDEX(Clients!$B$5:$B$504,MATCH(C1109,Clients!$A$5:$A$504,0)),"Walk-in"))</f>
        <v>0</v>
      </c>
      <c r="K1109" s="15">
        <f>IF(J1109="","",IFERROR(INDEX(Staff!$B$5:$B$44,MATCH(J1109,Staff!$A$5:$A$44,0)),""))</f>
        <v>0</v>
      </c>
      <c r="O1109" s="15">
        <f>IF(B1109="","",TEXT(B1109,"yyyy-mm"))</f>
        <v>0</v>
      </c>
      <c r="P1109" s="25">
        <f>IF(B1109="","",WEEKNUM(B1109,2))</f>
        <v>0</v>
      </c>
      <c r="Q1109" s="38">
        <f>IF(B1109="","",IF(E1109="Tip","No",IF(E1109="Refund","No","Yes")))</f>
        <v>0</v>
      </c>
      <c r="R1109" s="25">
        <f>IF(B1109="","",IF(E1109="Refund",-1,1))</f>
        <v>0</v>
      </c>
      <c r="S1109" s="26">
        <f>IF(B1109="","",IF(G1109="",0,IF(F1109="Card",ROUND(G1109*CardFeePercent+CardFeeFixed,2),IF(F1109="Online deposit",ROUND(G1109*CardFeePercent+CardFeeFixed,2),0))))</f>
        <v>0</v>
      </c>
      <c r="T1109" s="26">
        <f>IF(B1109="","",ROUND(IF(G1109="",0,G1109)*R1109-S1109,2))</f>
        <v>0</v>
      </c>
      <c r="U1109" s="38">
        <f>IF(B1109="","",IF(E1109="Tip","Yes","No"))</f>
        <v>0</v>
      </c>
      <c r="V1109" s="15">
        <f>IF(B1109="","",IF(H1109&lt;&gt;"","Sale "&amp;H1109,IF(I1109&lt;&gt;"","Booking "&amp;I1109,IF(E1109="Tip","Stylist","Unapplied"))))</f>
        <v>0</v>
      </c>
      <c r="W1109" s="39">
        <f>IF(B1109="","",IF(G1109="","Add - no amount yet",IF(E1109="","Add - what was this for?",IF(IF(H1109="",FALSE,COUNTIF(Sales!$A$5:$A$1204,H1109)=0),"Missing - no sale with that ID",IF(IF(I1109="",FALSE,COUNTIF(Appointments!$A$5:$A$1204,I1109)=0),"Missing - no booking with that ID",IF(IF(E1109="Tip",J1109="",FALSE),"Assign - whose tip is it?",IF(IF(E1109="Deposit",IF(H1109="",I1109="",FALSE),FALSE),"Check - deposit not tied to a booking",IF(M1109="No","Due - not reconciled yet","OK"))))))))</f>
        <v>0</v>
      </c>
    </row>
    <row r="1110" spans="1:23">
      <c r="A1110" s="28">
        <f>IF(B1110="","",PaymentPrefix&amp;TEXT(ROW()-4,"0000"))</f>
        <v>0</v>
      </c>
      <c r="D1110" s="15">
        <f>IF(C1110="","",IFERROR(INDEX(Clients!$B$5:$B$504,MATCH(C1110,Clients!$A$5:$A$504,0)),"Walk-in"))</f>
        <v>0</v>
      </c>
      <c r="K1110" s="15">
        <f>IF(J1110="","",IFERROR(INDEX(Staff!$B$5:$B$44,MATCH(J1110,Staff!$A$5:$A$44,0)),""))</f>
        <v>0</v>
      </c>
      <c r="O1110" s="15">
        <f>IF(B1110="","",TEXT(B1110,"yyyy-mm"))</f>
        <v>0</v>
      </c>
      <c r="P1110" s="25">
        <f>IF(B1110="","",WEEKNUM(B1110,2))</f>
        <v>0</v>
      </c>
      <c r="Q1110" s="38">
        <f>IF(B1110="","",IF(E1110="Tip","No",IF(E1110="Refund","No","Yes")))</f>
        <v>0</v>
      </c>
      <c r="R1110" s="25">
        <f>IF(B1110="","",IF(E1110="Refund",-1,1))</f>
        <v>0</v>
      </c>
      <c r="S1110" s="26">
        <f>IF(B1110="","",IF(G1110="",0,IF(F1110="Card",ROUND(G1110*CardFeePercent+CardFeeFixed,2),IF(F1110="Online deposit",ROUND(G1110*CardFeePercent+CardFeeFixed,2),0))))</f>
        <v>0</v>
      </c>
      <c r="T1110" s="26">
        <f>IF(B1110="","",ROUND(IF(G1110="",0,G1110)*R1110-S1110,2))</f>
        <v>0</v>
      </c>
      <c r="U1110" s="38">
        <f>IF(B1110="","",IF(E1110="Tip","Yes","No"))</f>
        <v>0</v>
      </c>
      <c r="V1110" s="15">
        <f>IF(B1110="","",IF(H1110&lt;&gt;"","Sale "&amp;H1110,IF(I1110&lt;&gt;"","Booking "&amp;I1110,IF(E1110="Tip","Stylist","Unapplied"))))</f>
        <v>0</v>
      </c>
      <c r="W1110" s="39">
        <f>IF(B1110="","",IF(G1110="","Add - no amount yet",IF(E1110="","Add - what was this for?",IF(IF(H1110="",FALSE,COUNTIF(Sales!$A$5:$A$1204,H1110)=0),"Missing - no sale with that ID",IF(IF(I1110="",FALSE,COUNTIF(Appointments!$A$5:$A$1204,I1110)=0),"Missing - no booking with that ID",IF(IF(E1110="Tip",J1110="",FALSE),"Assign - whose tip is it?",IF(IF(E1110="Deposit",IF(H1110="",I1110="",FALSE),FALSE),"Check - deposit not tied to a booking",IF(M1110="No","Due - not reconciled yet","OK"))))))))</f>
        <v>0</v>
      </c>
    </row>
    <row r="1111" spans="1:23">
      <c r="A1111" s="28">
        <f>IF(B1111="","",PaymentPrefix&amp;TEXT(ROW()-4,"0000"))</f>
        <v>0</v>
      </c>
      <c r="D1111" s="15">
        <f>IF(C1111="","",IFERROR(INDEX(Clients!$B$5:$B$504,MATCH(C1111,Clients!$A$5:$A$504,0)),"Walk-in"))</f>
        <v>0</v>
      </c>
      <c r="K1111" s="15">
        <f>IF(J1111="","",IFERROR(INDEX(Staff!$B$5:$B$44,MATCH(J1111,Staff!$A$5:$A$44,0)),""))</f>
        <v>0</v>
      </c>
      <c r="O1111" s="15">
        <f>IF(B1111="","",TEXT(B1111,"yyyy-mm"))</f>
        <v>0</v>
      </c>
      <c r="P1111" s="25">
        <f>IF(B1111="","",WEEKNUM(B1111,2))</f>
        <v>0</v>
      </c>
      <c r="Q1111" s="38">
        <f>IF(B1111="","",IF(E1111="Tip","No",IF(E1111="Refund","No","Yes")))</f>
        <v>0</v>
      </c>
      <c r="R1111" s="25">
        <f>IF(B1111="","",IF(E1111="Refund",-1,1))</f>
        <v>0</v>
      </c>
      <c r="S1111" s="26">
        <f>IF(B1111="","",IF(G1111="",0,IF(F1111="Card",ROUND(G1111*CardFeePercent+CardFeeFixed,2),IF(F1111="Online deposit",ROUND(G1111*CardFeePercent+CardFeeFixed,2),0))))</f>
        <v>0</v>
      </c>
      <c r="T1111" s="26">
        <f>IF(B1111="","",ROUND(IF(G1111="",0,G1111)*R1111-S1111,2))</f>
        <v>0</v>
      </c>
      <c r="U1111" s="38">
        <f>IF(B1111="","",IF(E1111="Tip","Yes","No"))</f>
        <v>0</v>
      </c>
      <c r="V1111" s="15">
        <f>IF(B1111="","",IF(H1111&lt;&gt;"","Sale "&amp;H1111,IF(I1111&lt;&gt;"","Booking "&amp;I1111,IF(E1111="Tip","Stylist","Unapplied"))))</f>
        <v>0</v>
      </c>
      <c r="W1111" s="39">
        <f>IF(B1111="","",IF(G1111="","Add - no amount yet",IF(E1111="","Add - what was this for?",IF(IF(H1111="",FALSE,COUNTIF(Sales!$A$5:$A$1204,H1111)=0),"Missing - no sale with that ID",IF(IF(I1111="",FALSE,COUNTIF(Appointments!$A$5:$A$1204,I1111)=0),"Missing - no booking with that ID",IF(IF(E1111="Tip",J1111="",FALSE),"Assign - whose tip is it?",IF(IF(E1111="Deposit",IF(H1111="",I1111="",FALSE),FALSE),"Check - deposit not tied to a booking",IF(M1111="No","Due - not reconciled yet","OK"))))))))</f>
        <v>0</v>
      </c>
    </row>
    <row r="1112" spans="1:23">
      <c r="A1112" s="28">
        <f>IF(B1112="","",PaymentPrefix&amp;TEXT(ROW()-4,"0000"))</f>
        <v>0</v>
      </c>
      <c r="D1112" s="15">
        <f>IF(C1112="","",IFERROR(INDEX(Clients!$B$5:$B$504,MATCH(C1112,Clients!$A$5:$A$504,0)),"Walk-in"))</f>
        <v>0</v>
      </c>
      <c r="K1112" s="15">
        <f>IF(J1112="","",IFERROR(INDEX(Staff!$B$5:$B$44,MATCH(J1112,Staff!$A$5:$A$44,0)),""))</f>
        <v>0</v>
      </c>
      <c r="O1112" s="15">
        <f>IF(B1112="","",TEXT(B1112,"yyyy-mm"))</f>
        <v>0</v>
      </c>
      <c r="P1112" s="25">
        <f>IF(B1112="","",WEEKNUM(B1112,2))</f>
        <v>0</v>
      </c>
      <c r="Q1112" s="38">
        <f>IF(B1112="","",IF(E1112="Tip","No",IF(E1112="Refund","No","Yes")))</f>
        <v>0</v>
      </c>
      <c r="R1112" s="25">
        <f>IF(B1112="","",IF(E1112="Refund",-1,1))</f>
        <v>0</v>
      </c>
      <c r="S1112" s="26">
        <f>IF(B1112="","",IF(G1112="",0,IF(F1112="Card",ROUND(G1112*CardFeePercent+CardFeeFixed,2),IF(F1112="Online deposit",ROUND(G1112*CardFeePercent+CardFeeFixed,2),0))))</f>
        <v>0</v>
      </c>
      <c r="T1112" s="26">
        <f>IF(B1112="","",ROUND(IF(G1112="",0,G1112)*R1112-S1112,2))</f>
        <v>0</v>
      </c>
      <c r="U1112" s="38">
        <f>IF(B1112="","",IF(E1112="Tip","Yes","No"))</f>
        <v>0</v>
      </c>
      <c r="V1112" s="15">
        <f>IF(B1112="","",IF(H1112&lt;&gt;"","Sale "&amp;H1112,IF(I1112&lt;&gt;"","Booking "&amp;I1112,IF(E1112="Tip","Stylist","Unapplied"))))</f>
        <v>0</v>
      </c>
      <c r="W1112" s="39">
        <f>IF(B1112="","",IF(G1112="","Add - no amount yet",IF(E1112="","Add - what was this for?",IF(IF(H1112="",FALSE,COUNTIF(Sales!$A$5:$A$1204,H1112)=0),"Missing - no sale with that ID",IF(IF(I1112="",FALSE,COUNTIF(Appointments!$A$5:$A$1204,I1112)=0),"Missing - no booking with that ID",IF(IF(E1112="Tip",J1112="",FALSE),"Assign - whose tip is it?",IF(IF(E1112="Deposit",IF(H1112="",I1112="",FALSE),FALSE),"Check - deposit not tied to a booking",IF(M1112="No","Due - not reconciled yet","OK"))))))))</f>
        <v>0</v>
      </c>
    </row>
    <row r="1113" spans="1:23">
      <c r="A1113" s="28">
        <f>IF(B1113="","",PaymentPrefix&amp;TEXT(ROW()-4,"0000"))</f>
        <v>0</v>
      </c>
      <c r="D1113" s="15">
        <f>IF(C1113="","",IFERROR(INDEX(Clients!$B$5:$B$504,MATCH(C1113,Clients!$A$5:$A$504,0)),"Walk-in"))</f>
        <v>0</v>
      </c>
      <c r="K1113" s="15">
        <f>IF(J1113="","",IFERROR(INDEX(Staff!$B$5:$B$44,MATCH(J1113,Staff!$A$5:$A$44,0)),""))</f>
        <v>0</v>
      </c>
      <c r="O1113" s="15">
        <f>IF(B1113="","",TEXT(B1113,"yyyy-mm"))</f>
        <v>0</v>
      </c>
      <c r="P1113" s="25">
        <f>IF(B1113="","",WEEKNUM(B1113,2))</f>
        <v>0</v>
      </c>
      <c r="Q1113" s="38">
        <f>IF(B1113="","",IF(E1113="Tip","No",IF(E1113="Refund","No","Yes")))</f>
        <v>0</v>
      </c>
      <c r="R1113" s="25">
        <f>IF(B1113="","",IF(E1113="Refund",-1,1))</f>
        <v>0</v>
      </c>
      <c r="S1113" s="26">
        <f>IF(B1113="","",IF(G1113="",0,IF(F1113="Card",ROUND(G1113*CardFeePercent+CardFeeFixed,2),IF(F1113="Online deposit",ROUND(G1113*CardFeePercent+CardFeeFixed,2),0))))</f>
        <v>0</v>
      </c>
      <c r="T1113" s="26">
        <f>IF(B1113="","",ROUND(IF(G1113="",0,G1113)*R1113-S1113,2))</f>
        <v>0</v>
      </c>
      <c r="U1113" s="38">
        <f>IF(B1113="","",IF(E1113="Tip","Yes","No"))</f>
        <v>0</v>
      </c>
      <c r="V1113" s="15">
        <f>IF(B1113="","",IF(H1113&lt;&gt;"","Sale "&amp;H1113,IF(I1113&lt;&gt;"","Booking "&amp;I1113,IF(E1113="Tip","Stylist","Unapplied"))))</f>
        <v>0</v>
      </c>
      <c r="W1113" s="39">
        <f>IF(B1113="","",IF(G1113="","Add - no amount yet",IF(E1113="","Add - what was this for?",IF(IF(H1113="",FALSE,COUNTIF(Sales!$A$5:$A$1204,H1113)=0),"Missing - no sale with that ID",IF(IF(I1113="",FALSE,COUNTIF(Appointments!$A$5:$A$1204,I1113)=0),"Missing - no booking with that ID",IF(IF(E1113="Tip",J1113="",FALSE),"Assign - whose tip is it?",IF(IF(E1113="Deposit",IF(H1113="",I1113="",FALSE),FALSE),"Check - deposit not tied to a booking",IF(M1113="No","Due - not reconciled yet","OK"))))))))</f>
        <v>0</v>
      </c>
    </row>
    <row r="1114" spans="1:23">
      <c r="A1114" s="28">
        <f>IF(B1114="","",PaymentPrefix&amp;TEXT(ROW()-4,"0000"))</f>
        <v>0</v>
      </c>
      <c r="D1114" s="15">
        <f>IF(C1114="","",IFERROR(INDEX(Clients!$B$5:$B$504,MATCH(C1114,Clients!$A$5:$A$504,0)),"Walk-in"))</f>
        <v>0</v>
      </c>
      <c r="K1114" s="15">
        <f>IF(J1114="","",IFERROR(INDEX(Staff!$B$5:$B$44,MATCH(J1114,Staff!$A$5:$A$44,0)),""))</f>
        <v>0</v>
      </c>
      <c r="O1114" s="15">
        <f>IF(B1114="","",TEXT(B1114,"yyyy-mm"))</f>
        <v>0</v>
      </c>
      <c r="P1114" s="25">
        <f>IF(B1114="","",WEEKNUM(B1114,2))</f>
        <v>0</v>
      </c>
      <c r="Q1114" s="38">
        <f>IF(B1114="","",IF(E1114="Tip","No",IF(E1114="Refund","No","Yes")))</f>
        <v>0</v>
      </c>
      <c r="R1114" s="25">
        <f>IF(B1114="","",IF(E1114="Refund",-1,1))</f>
        <v>0</v>
      </c>
      <c r="S1114" s="26">
        <f>IF(B1114="","",IF(G1114="",0,IF(F1114="Card",ROUND(G1114*CardFeePercent+CardFeeFixed,2),IF(F1114="Online deposit",ROUND(G1114*CardFeePercent+CardFeeFixed,2),0))))</f>
        <v>0</v>
      </c>
      <c r="T1114" s="26">
        <f>IF(B1114="","",ROUND(IF(G1114="",0,G1114)*R1114-S1114,2))</f>
        <v>0</v>
      </c>
      <c r="U1114" s="38">
        <f>IF(B1114="","",IF(E1114="Tip","Yes","No"))</f>
        <v>0</v>
      </c>
      <c r="V1114" s="15">
        <f>IF(B1114="","",IF(H1114&lt;&gt;"","Sale "&amp;H1114,IF(I1114&lt;&gt;"","Booking "&amp;I1114,IF(E1114="Tip","Stylist","Unapplied"))))</f>
        <v>0</v>
      </c>
      <c r="W1114" s="39">
        <f>IF(B1114="","",IF(G1114="","Add - no amount yet",IF(E1114="","Add - what was this for?",IF(IF(H1114="",FALSE,COUNTIF(Sales!$A$5:$A$1204,H1114)=0),"Missing - no sale with that ID",IF(IF(I1114="",FALSE,COUNTIF(Appointments!$A$5:$A$1204,I1114)=0),"Missing - no booking with that ID",IF(IF(E1114="Tip",J1114="",FALSE),"Assign - whose tip is it?",IF(IF(E1114="Deposit",IF(H1114="",I1114="",FALSE),FALSE),"Check - deposit not tied to a booking",IF(M1114="No","Due - not reconciled yet","OK"))))))))</f>
        <v>0</v>
      </c>
    </row>
    <row r="1115" spans="1:23">
      <c r="A1115" s="28">
        <f>IF(B1115="","",PaymentPrefix&amp;TEXT(ROW()-4,"0000"))</f>
        <v>0</v>
      </c>
      <c r="D1115" s="15">
        <f>IF(C1115="","",IFERROR(INDEX(Clients!$B$5:$B$504,MATCH(C1115,Clients!$A$5:$A$504,0)),"Walk-in"))</f>
        <v>0</v>
      </c>
      <c r="K1115" s="15">
        <f>IF(J1115="","",IFERROR(INDEX(Staff!$B$5:$B$44,MATCH(J1115,Staff!$A$5:$A$44,0)),""))</f>
        <v>0</v>
      </c>
      <c r="O1115" s="15">
        <f>IF(B1115="","",TEXT(B1115,"yyyy-mm"))</f>
        <v>0</v>
      </c>
      <c r="P1115" s="25">
        <f>IF(B1115="","",WEEKNUM(B1115,2))</f>
        <v>0</v>
      </c>
      <c r="Q1115" s="38">
        <f>IF(B1115="","",IF(E1115="Tip","No",IF(E1115="Refund","No","Yes")))</f>
        <v>0</v>
      </c>
      <c r="R1115" s="25">
        <f>IF(B1115="","",IF(E1115="Refund",-1,1))</f>
        <v>0</v>
      </c>
      <c r="S1115" s="26">
        <f>IF(B1115="","",IF(G1115="",0,IF(F1115="Card",ROUND(G1115*CardFeePercent+CardFeeFixed,2),IF(F1115="Online deposit",ROUND(G1115*CardFeePercent+CardFeeFixed,2),0))))</f>
        <v>0</v>
      </c>
      <c r="T1115" s="26">
        <f>IF(B1115="","",ROUND(IF(G1115="",0,G1115)*R1115-S1115,2))</f>
        <v>0</v>
      </c>
      <c r="U1115" s="38">
        <f>IF(B1115="","",IF(E1115="Tip","Yes","No"))</f>
        <v>0</v>
      </c>
      <c r="V1115" s="15">
        <f>IF(B1115="","",IF(H1115&lt;&gt;"","Sale "&amp;H1115,IF(I1115&lt;&gt;"","Booking "&amp;I1115,IF(E1115="Tip","Stylist","Unapplied"))))</f>
        <v>0</v>
      </c>
      <c r="W1115" s="39">
        <f>IF(B1115="","",IF(G1115="","Add - no amount yet",IF(E1115="","Add - what was this for?",IF(IF(H1115="",FALSE,COUNTIF(Sales!$A$5:$A$1204,H1115)=0),"Missing - no sale with that ID",IF(IF(I1115="",FALSE,COUNTIF(Appointments!$A$5:$A$1204,I1115)=0),"Missing - no booking with that ID",IF(IF(E1115="Tip",J1115="",FALSE),"Assign - whose tip is it?",IF(IF(E1115="Deposit",IF(H1115="",I1115="",FALSE),FALSE),"Check - deposit not tied to a booking",IF(M1115="No","Due - not reconciled yet","OK"))))))))</f>
        <v>0</v>
      </c>
    </row>
    <row r="1116" spans="1:23">
      <c r="A1116" s="28">
        <f>IF(B1116="","",PaymentPrefix&amp;TEXT(ROW()-4,"0000"))</f>
        <v>0</v>
      </c>
      <c r="D1116" s="15">
        <f>IF(C1116="","",IFERROR(INDEX(Clients!$B$5:$B$504,MATCH(C1116,Clients!$A$5:$A$504,0)),"Walk-in"))</f>
        <v>0</v>
      </c>
      <c r="K1116" s="15">
        <f>IF(J1116="","",IFERROR(INDEX(Staff!$B$5:$B$44,MATCH(J1116,Staff!$A$5:$A$44,0)),""))</f>
        <v>0</v>
      </c>
      <c r="O1116" s="15">
        <f>IF(B1116="","",TEXT(B1116,"yyyy-mm"))</f>
        <v>0</v>
      </c>
      <c r="P1116" s="25">
        <f>IF(B1116="","",WEEKNUM(B1116,2))</f>
        <v>0</v>
      </c>
      <c r="Q1116" s="38">
        <f>IF(B1116="","",IF(E1116="Tip","No",IF(E1116="Refund","No","Yes")))</f>
        <v>0</v>
      </c>
      <c r="R1116" s="25">
        <f>IF(B1116="","",IF(E1116="Refund",-1,1))</f>
        <v>0</v>
      </c>
      <c r="S1116" s="26">
        <f>IF(B1116="","",IF(G1116="",0,IF(F1116="Card",ROUND(G1116*CardFeePercent+CardFeeFixed,2),IF(F1116="Online deposit",ROUND(G1116*CardFeePercent+CardFeeFixed,2),0))))</f>
        <v>0</v>
      </c>
      <c r="T1116" s="26">
        <f>IF(B1116="","",ROUND(IF(G1116="",0,G1116)*R1116-S1116,2))</f>
        <v>0</v>
      </c>
      <c r="U1116" s="38">
        <f>IF(B1116="","",IF(E1116="Tip","Yes","No"))</f>
        <v>0</v>
      </c>
      <c r="V1116" s="15">
        <f>IF(B1116="","",IF(H1116&lt;&gt;"","Sale "&amp;H1116,IF(I1116&lt;&gt;"","Booking "&amp;I1116,IF(E1116="Tip","Stylist","Unapplied"))))</f>
        <v>0</v>
      </c>
      <c r="W1116" s="39">
        <f>IF(B1116="","",IF(G1116="","Add - no amount yet",IF(E1116="","Add - what was this for?",IF(IF(H1116="",FALSE,COUNTIF(Sales!$A$5:$A$1204,H1116)=0),"Missing - no sale with that ID",IF(IF(I1116="",FALSE,COUNTIF(Appointments!$A$5:$A$1204,I1116)=0),"Missing - no booking with that ID",IF(IF(E1116="Tip",J1116="",FALSE),"Assign - whose tip is it?",IF(IF(E1116="Deposit",IF(H1116="",I1116="",FALSE),FALSE),"Check - deposit not tied to a booking",IF(M1116="No","Due - not reconciled yet","OK"))))))))</f>
        <v>0</v>
      </c>
    </row>
    <row r="1117" spans="1:23">
      <c r="A1117" s="28">
        <f>IF(B1117="","",PaymentPrefix&amp;TEXT(ROW()-4,"0000"))</f>
        <v>0</v>
      </c>
      <c r="D1117" s="15">
        <f>IF(C1117="","",IFERROR(INDEX(Clients!$B$5:$B$504,MATCH(C1117,Clients!$A$5:$A$504,0)),"Walk-in"))</f>
        <v>0</v>
      </c>
      <c r="K1117" s="15">
        <f>IF(J1117="","",IFERROR(INDEX(Staff!$B$5:$B$44,MATCH(J1117,Staff!$A$5:$A$44,0)),""))</f>
        <v>0</v>
      </c>
      <c r="O1117" s="15">
        <f>IF(B1117="","",TEXT(B1117,"yyyy-mm"))</f>
        <v>0</v>
      </c>
      <c r="P1117" s="25">
        <f>IF(B1117="","",WEEKNUM(B1117,2))</f>
        <v>0</v>
      </c>
      <c r="Q1117" s="38">
        <f>IF(B1117="","",IF(E1117="Tip","No",IF(E1117="Refund","No","Yes")))</f>
        <v>0</v>
      </c>
      <c r="R1117" s="25">
        <f>IF(B1117="","",IF(E1117="Refund",-1,1))</f>
        <v>0</v>
      </c>
      <c r="S1117" s="26">
        <f>IF(B1117="","",IF(G1117="",0,IF(F1117="Card",ROUND(G1117*CardFeePercent+CardFeeFixed,2),IF(F1117="Online deposit",ROUND(G1117*CardFeePercent+CardFeeFixed,2),0))))</f>
        <v>0</v>
      </c>
      <c r="T1117" s="26">
        <f>IF(B1117="","",ROUND(IF(G1117="",0,G1117)*R1117-S1117,2))</f>
        <v>0</v>
      </c>
      <c r="U1117" s="38">
        <f>IF(B1117="","",IF(E1117="Tip","Yes","No"))</f>
        <v>0</v>
      </c>
      <c r="V1117" s="15">
        <f>IF(B1117="","",IF(H1117&lt;&gt;"","Sale "&amp;H1117,IF(I1117&lt;&gt;"","Booking "&amp;I1117,IF(E1117="Tip","Stylist","Unapplied"))))</f>
        <v>0</v>
      </c>
      <c r="W1117" s="39">
        <f>IF(B1117="","",IF(G1117="","Add - no amount yet",IF(E1117="","Add - what was this for?",IF(IF(H1117="",FALSE,COUNTIF(Sales!$A$5:$A$1204,H1117)=0),"Missing - no sale with that ID",IF(IF(I1117="",FALSE,COUNTIF(Appointments!$A$5:$A$1204,I1117)=0),"Missing - no booking with that ID",IF(IF(E1117="Tip",J1117="",FALSE),"Assign - whose tip is it?",IF(IF(E1117="Deposit",IF(H1117="",I1117="",FALSE),FALSE),"Check - deposit not tied to a booking",IF(M1117="No","Due - not reconciled yet","OK"))))))))</f>
        <v>0</v>
      </c>
    </row>
    <row r="1118" spans="1:23">
      <c r="A1118" s="28">
        <f>IF(B1118="","",PaymentPrefix&amp;TEXT(ROW()-4,"0000"))</f>
        <v>0</v>
      </c>
      <c r="D1118" s="15">
        <f>IF(C1118="","",IFERROR(INDEX(Clients!$B$5:$B$504,MATCH(C1118,Clients!$A$5:$A$504,0)),"Walk-in"))</f>
        <v>0</v>
      </c>
      <c r="K1118" s="15">
        <f>IF(J1118="","",IFERROR(INDEX(Staff!$B$5:$B$44,MATCH(J1118,Staff!$A$5:$A$44,0)),""))</f>
        <v>0</v>
      </c>
      <c r="O1118" s="15">
        <f>IF(B1118="","",TEXT(B1118,"yyyy-mm"))</f>
        <v>0</v>
      </c>
      <c r="P1118" s="25">
        <f>IF(B1118="","",WEEKNUM(B1118,2))</f>
        <v>0</v>
      </c>
      <c r="Q1118" s="38">
        <f>IF(B1118="","",IF(E1118="Tip","No",IF(E1118="Refund","No","Yes")))</f>
        <v>0</v>
      </c>
      <c r="R1118" s="25">
        <f>IF(B1118="","",IF(E1118="Refund",-1,1))</f>
        <v>0</v>
      </c>
      <c r="S1118" s="26">
        <f>IF(B1118="","",IF(G1118="",0,IF(F1118="Card",ROUND(G1118*CardFeePercent+CardFeeFixed,2),IF(F1118="Online deposit",ROUND(G1118*CardFeePercent+CardFeeFixed,2),0))))</f>
        <v>0</v>
      </c>
      <c r="T1118" s="26">
        <f>IF(B1118="","",ROUND(IF(G1118="",0,G1118)*R1118-S1118,2))</f>
        <v>0</v>
      </c>
      <c r="U1118" s="38">
        <f>IF(B1118="","",IF(E1118="Tip","Yes","No"))</f>
        <v>0</v>
      </c>
      <c r="V1118" s="15">
        <f>IF(B1118="","",IF(H1118&lt;&gt;"","Sale "&amp;H1118,IF(I1118&lt;&gt;"","Booking "&amp;I1118,IF(E1118="Tip","Stylist","Unapplied"))))</f>
        <v>0</v>
      </c>
      <c r="W1118" s="39">
        <f>IF(B1118="","",IF(G1118="","Add - no amount yet",IF(E1118="","Add - what was this for?",IF(IF(H1118="",FALSE,COUNTIF(Sales!$A$5:$A$1204,H1118)=0),"Missing - no sale with that ID",IF(IF(I1118="",FALSE,COUNTIF(Appointments!$A$5:$A$1204,I1118)=0),"Missing - no booking with that ID",IF(IF(E1118="Tip",J1118="",FALSE),"Assign - whose tip is it?",IF(IF(E1118="Deposit",IF(H1118="",I1118="",FALSE),FALSE),"Check - deposit not tied to a booking",IF(M1118="No","Due - not reconciled yet","OK"))))))))</f>
        <v>0</v>
      </c>
    </row>
    <row r="1119" spans="1:23">
      <c r="A1119" s="28">
        <f>IF(B1119="","",PaymentPrefix&amp;TEXT(ROW()-4,"0000"))</f>
        <v>0</v>
      </c>
      <c r="D1119" s="15">
        <f>IF(C1119="","",IFERROR(INDEX(Clients!$B$5:$B$504,MATCH(C1119,Clients!$A$5:$A$504,0)),"Walk-in"))</f>
        <v>0</v>
      </c>
      <c r="K1119" s="15">
        <f>IF(J1119="","",IFERROR(INDEX(Staff!$B$5:$B$44,MATCH(J1119,Staff!$A$5:$A$44,0)),""))</f>
        <v>0</v>
      </c>
      <c r="O1119" s="15">
        <f>IF(B1119="","",TEXT(B1119,"yyyy-mm"))</f>
        <v>0</v>
      </c>
      <c r="P1119" s="25">
        <f>IF(B1119="","",WEEKNUM(B1119,2))</f>
        <v>0</v>
      </c>
      <c r="Q1119" s="38">
        <f>IF(B1119="","",IF(E1119="Tip","No",IF(E1119="Refund","No","Yes")))</f>
        <v>0</v>
      </c>
      <c r="R1119" s="25">
        <f>IF(B1119="","",IF(E1119="Refund",-1,1))</f>
        <v>0</v>
      </c>
      <c r="S1119" s="26">
        <f>IF(B1119="","",IF(G1119="",0,IF(F1119="Card",ROUND(G1119*CardFeePercent+CardFeeFixed,2),IF(F1119="Online deposit",ROUND(G1119*CardFeePercent+CardFeeFixed,2),0))))</f>
        <v>0</v>
      </c>
      <c r="T1119" s="26">
        <f>IF(B1119="","",ROUND(IF(G1119="",0,G1119)*R1119-S1119,2))</f>
        <v>0</v>
      </c>
      <c r="U1119" s="38">
        <f>IF(B1119="","",IF(E1119="Tip","Yes","No"))</f>
        <v>0</v>
      </c>
      <c r="V1119" s="15">
        <f>IF(B1119="","",IF(H1119&lt;&gt;"","Sale "&amp;H1119,IF(I1119&lt;&gt;"","Booking "&amp;I1119,IF(E1119="Tip","Stylist","Unapplied"))))</f>
        <v>0</v>
      </c>
      <c r="W1119" s="39">
        <f>IF(B1119="","",IF(G1119="","Add - no amount yet",IF(E1119="","Add - what was this for?",IF(IF(H1119="",FALSE,COUNTIF(Sales!$A$5:$A$1204,H1119)=0),"Missing - no sale with that ID",IF(IF(I1119="",FALSE,COUNTIF(Appointments!$A$5:$A$1204,I1119)=0),"Missing - no booking with that ID",IF(IF(E1119="Tip",J1119="",FALSE),"Assign - whose tip is it?",IF(IF(E1119="Deposit",IF(H1119="",I1119="",FALSE),FALSE),"Check - deposit not tied to a booking",IF(M1119="No","Due - not reconciled yet","OK"))))))))</f>
        <v>0</v>
      </c>
    </row>
    <row r="1120" spans="1:23">
      <c r="A1120" s="28">
        <f>IF(B1120="","",PaymentPrefix&amp;TEXT(ROW()-4,"0000"))</f>
        <v>0</v>
      </c>
      <c r="D1120" s="15">
        <f>IF(C1120="","",IFERROR(INDEX(Clients!$B$5:$B$504,MATCH(C1120,Clients!$A$5:$A$504,0)),"Walk-in"))</f>
        <v>0</v>
      </c>
      <c r="K1120" s="15">
        <f>IF(J1120="","",IFERROR(INDEX(Staff!$B$5:$B$44,MATCH(J1120,Staff!$A$5:$A$44,0)),""))</f>
        <v>0</v>
      </c>
      <c r="O1120" s="15">
        <f>IF(B1120="","",TEXT(B1120,"yyyy-mm"))</f>
        <v>0</v>
      </c>
      <c r="P1120" s="25">
        <f>IF(B1120="","",WEEKNUM(B1120,2))</f>
        <v>0</v>
      </c>
      <c r="Q1120" s="38">
        <f>IF(B1120="","",IF(E1120="Tip","No",IF(E1120="Refund","No","Yes")))</f>
        <v>0</v>
      </c>
      <c r="R1120" s="25">
        <f>IF(B1120="","",IF(E1120="Refund",-1,1))</f>
        <v>0</v>
      </c>
      <c r="S1120" s="26">
        <f>IF(B1120="","",IF(G1120="",0,IF(F1120="Card",ROUND(G1120*CardFeePercent+CardFeeFixed,2),IF(F1120="Online deposit",ROUND(G1120*CardFeePercent+CardFeeFixed,2),0))))</f>
        <v>0</v>
      </c>
      <c r="T1120" s="26">
        <f>IF(B1120="","",ROUND(IF(G1120="",0,G1120)*R1120-S1120,2))</f>
        <v>0</v>
      </c>
      <c r="U1120" s="38">
        <f>IF(B1120="","",IF(E1120="Tip","Yes","No"))</f>
        <v>0</v>
      </c>
      <c r="V1120" s="15">
        <f>IF(B1120="","",IF(H1120&lt;&gt;"","Sale "&amp;H1120,IF(I1120&lt;&gt;"","Booking "&amp;I1120,IF(E1120="Tip","Stylist","Unapplied"))))</f>
        <v>0</v>
      </c>
      <c r="W1120" s="39">
        <f>IF(B1120="","",IF(G1120="","Add - no amount yet",IF(E1120="","Add - what was this for?",IF(IF(H1120="",FALSE,COUNTIF(Sales!$A$5:$A$1204,H1120)=0),"Missing - no sale with that ID",IF(IF(I1120="",FALSE,COUNTIF(Appointments!$A$5:$A$1204,I1120)=0),"Missing - no booking with that ID",IF(IF(E1120="Tip",J1120="",FALSE),"Assign - whose tip is it?",IF(IF(E1120="Deposit",IF(H1120="",I1120="",FALSE),FALSE),"Check - deposit not tied to a booking",IF(M1120="No","Due - not reconciled yet","OK"))))))))</f>
        <v>0</v>
      </c>
    </row>
    <row r="1121" spans="1:23">
      <c r="A1121" s="28">
        <f>IF(B1121="","",PaymentPrefix&amp;TEXT(ROW()-4,"0000"))</f>
        <v>0</v>
      </c>
      <c r="D1121" s="15">
        <f>IF(C1121="","",IFERROR(INDEX(Clients!$B$5:$B$504,MATCH(C1121,Clients!$A$5:$A$504,0)),"Walk-in"))</f>
        <v>0</v>
      </c>
      <c r="K1121" s="15">
        <f>IF(J1121="","",IFERROR(INDEX(Staff!$B$5:$B$44,MATCH(J1121,Staff!$A$5:$A$44,0)),""))</f>
        <v>0</v>
      </c>
      <c r="O1121" s="15">
        <f>IF(B1121="","",TEXT(B1121,"yyyy-mm"))</f>
        <v>0</v>
      </c>
      <c r="P1121" s="25">
        <f>IF(B1121="","",WEEKNUM(B1121,2))</f>
        <v>0</v>
      </c>
      <c r="Q1121" s="38">
        <f>IF(B1121="","",IF(E1121="Tip","No",IF(E1121="Refund","No","Yes")))</f>
        <v>0</v>
      </c>
      <c r="R1121" s="25">
        <f>IF(B1121="","",IF(E1121="Refund",-1,1))</f>
        <v>0</v>
      </c>
      <c r="S1121" s="26">
        <f>IF(B1121="","",IF(G1121="",0,IF(F1121="Card",ROUND(G1121*CardFeePercent+CardFeeFixed,2),IF(F1121="Online deposit",ROUND(G1121*CardFeePercent+CardFeeFixed,2),0))))</f>
        <v>0</v>
      </c>
      <c r="T1121" s="26">
        <f>IF(B1121="","",ROUND(IF(G1121="",0,G1121)*R1121-S1121,2))</f>
        <v>0</v>
      </c>
      <c r="U1121" s="38">
        <f>IF(B1121="","",IF(E1121="Tip","Yes","No"))</f>
        <v>0</v>
      </c>
      <c r="V1121" s="15">
        <f>IF(B1121="","",IF(H1121&lt;&gt;"","Sale "&amp;H1121,IF(I1121&lt;&gt;"","Booking "&amp;I1121,IF(E1121="Tip","Stylist","Unapplied"))))</f>
        <v>0</v>
      </c>
      <c r="W1121" s="39">
        <f>IF(B1121="","",IF(G1121="","Add - no amount yet",IF(E1121="","Add - what was this for?",IF(IF(H1121="",FALSE,COUNTIF(Sales!$A$5:$A$1204,H1121)=0),"Missing - no sale with that ID",IF(IF(I1121="",FALSE,COUNTIF(Appointments!$A$5:$A$1204,I1121)=0),"Missing - no booking with that ID",IF(IF(E1121="Tip",J1121="",FALSE),"Assign - whose tip is it?",IF(IF(E1121="Deposit",IF(H1121="",I1121="",FALSE),FALSE),"Check - deposit not tied to a booking",IF(M1121="No","Due - not reconciled yet","OK"))))))))</f>
        <v>0</v>
      </c>
    </row>
    <row r="1122" spans="1:23">
      <c r="A1122" s="28">
        <f>IF(B1122="","",PaymentPrefix&amp;TEXT(ROW()-4,"0000"))</f>
        <v>0</v>
      </c>
      <c r="D1122" s="15">
        <f>IF(C1122="","",IFERROR(INDEX(Clients!$B$5:$B$504,MATCH(C1122,Clients!$A$5:$A$504,0)),"Walk-in"))</f>
        <v>0</v>
      </c>
      <c r="K1122" s="15">
        <f>IF(J1122="","",IFERROR(INDEX(Staff!$B$5:$B$44,MATCH(J1122,Staff!$A$5:$A$44,0)),""))</f>
        <v>0</v>
      </c>
      <c r="O1122" s="15">
        <f>IF(B1122="","",TEXT(B1122,"yyyy-mm"))</f>
        <v>0</v>
      </c>
      <c r="P1122" s="25">
        <f>IF(B1122="","",WEEKNUM(B1122,2))</f>
        <v>0</v>
      </c>
      <c r="Q1122" s="38">
        <f>IF(B1122="","",IF(E1122="Tip","No",IF(E1122="Refund","No","Yes")))</f>
        <v>0</v>
      </c>
      <c r="R1122" s="25">
        <f>IF(B1122="","",IF(E1122="Refund",-1,1))</f>
        <v>0</v>
      </c>
      <c r="S1122" s="26">
        <f>IF(B1122="","",IF(G1122="",0,IF(F1122="Card",ROUND(G1122*CardFeePercent+CardFeeFixed,2),IF(F1122="Online deposit",ROUND(G1122*CardFeePercent+CardFeeFixed,2),0))))</f>
        <v>0</v>
      </c>
      <c r="T1122" s="26">
        <f>IF(B1122="","",ROUND(IF(G1122="",0,G1122)*R1122-S1122,2))</f>
        <v>0</v>
      </c>
      <c r="U1122" s="38">
        <f>IF(B1122="","",IF(E1122="Tip","Yes","No"))</f>
        <v>0</v>
      </c>
      <c r="V1122" s="15">
        <f>IF(B1122="","",IF(H1122&lt;&gt;"","Sale "&amp;H1122,IF(I1122&lt;&gt;"","Booking "&amp;I1122,IF(E1122="Tip","Stylist","Unapplied"))))</f>
        <v>0</v>
      </c>
      <c r="W1122" s="39">
        <f>IF(B1122="","",IF(G1122="","Add - no amount yet",IF(E1122="","Add - what was this for?",IF(IF(H1122="",FALSE,COUNTIF(Sales!$A$5:$A$1204,H1122)=0),"Missing - no sale with that ID",IF(IF(I1122="",FALSE,COUNTIF(Appointments!$A$5:$A$1204,I1122)=0),"Missing - no booking with that ID",IF(IF(E1122="Tip",J1122="",FALSE),"Assign - whose tip is it?",IF(IF(E1122="Deposit",IF(H1122="",I1122="",FALSE),FALSE),"Check - deposit not tied to a booking",IF(M1122="No","Due - not reconciled yet","OK"))))))))</f>
        <v>0</v>
      </c>
    </row>
    <row r="1123" spans="1:23">
      <c r="A1123" s="28">
        <f>IF(B1123="","",PaymentPrefix&amp;TEXT(ROW()-4,"0000"))</f>
        <v>0</v>
      </c>
      <c r="D1123" s="15">
        <f>IF(C1123="","",IFERROR(INDEX(Clients!$B$5:$B$504,MATCH(C1123,Clients!$A$5:$A$504,0)),"Walk-in"))</f>
        <v>0</v>
      </c>
      <c r="K1123" s="15">
        <f>IF(J1123="","",IFERROR(INDEX(Staff!$B$5:$B$44,MATCH(J1123,Staff!$A$5:$A$44,0)),""))</f>
        <v>0</v>
      </c>
      <c r="O1123" s="15">
        <f>IF(B1123="","",TEXT(B1123,"yyyy-mm"))</f>
        <v>0</v>
      </c>
      <c r="P1123" s="25">
        <f>IF(B1123="","",WEEKNUM(B1123,2))</f>
        <v>0</v>
      </c>
      <c r="Q1123" s="38">
        <f>IF(B1123="","",IF(E1123="Tip","No",IF(E1123="Refund","No","Yes")))</f>
        <v>0</v>
      </c>
      <c r="R1123" s="25">
        <f>IF(B1123="","",IF(E1123="Refund",-1,1))</f>
        <v>0</v>
      </c>
      <c r="S1123" s="26">
        <f>IF(B1123="","",IF(G1123="",0,IF(F1123="Card",ROUND(G1123*CardFeePercent+CardFeeFixed,2),IF(F1123="Online deposit",ROUND(G1123*CardFeePercent+CardFeeFixed,2),0))))</f>
        <v>0</v>
      </c>
      <c r="T1123" s="26">
        <f>IF(B1123="","",ROUND(IF(G1123="",0,G1123)*R1123-S1123,2))</f>
        <v>0</v>
      </c>
      <c r="U1123" s="38">
        <f>IF(B1123="","",IF(E1123="Tip","Yes","No"))</f>
        <v>0</v>
      </c>
      <c r="V1123" s="15">
        <f>IF(B1123="","",IF(H1123&lt;&gt;"","Sale "&amp;H1123,IF(I1123&lt;&gt;"","Booking "&amp;I1123,IF(E1123="Tip","Stylist","Unapplied"))))</f>
        <v>0</v>
      </c>
      <c r="W1123" s="39">
        <f>IF(B1123="","",IF(G1123="","Add - no amount yet",IF(E1123="","Add - what was this for?",IF(IF(H1123="",FALSE,COUNTIF(Sales!$A$5:$A$1204,H1123)=0),"Missing - no sale with that ID",IF(IF(I1123="",FALSE,COUNTIF(Appointments!$A$5:$A$1204,I1123)=0),"Missing - no booking with that ID",IF(IF(E1123="Tip",J1123="",FALSE),"Assign - whose tip is it?",IF(IF(E1123="Deposit",IF(H1123="",I1123="",FALSE),FALSE),"Check - deposit not tied to a booking",IF(M1123="No","Due - not reconciled yet","OK"))))))))</f>
        <v>0</v>
      </c>
    </row>
    <row r="1124" spans="1:23">
      <c r="A1124" s="28">
        <f>IF(B1124="","",PaymentPrefix&amp;TEXT(ROW()-4,"0000"))</f>
        <v>0</v>
      </c>
      <c r="D1124" s="15">
        <f>IF(C1124="","",IFERROR(INDEX(Clients!$B$5:$B$504,MATCH(C1124,Clients!$A$5:$A$504,0)),"Walk-in"))</f>
        <v>0</v>
      </c>
      <c r="K1124" s="15">
        <f>IF(J1124="","",IFERROR(INDEX(Staff!$B$5:$B$44,MATCH(J1124,Staff!$A$5:$A$44,0)),""))</f>
        <v>0</v>
      </c>
      <c r="O1124" s="15">
        <f>IF(B1124="","",TEXT(B1124,"yyyy-mm"))</f>
        <v>0</v>
      </c>
      <c r="P1124" s="25">
        <f>IF(B1124="","",WEEKNUM(B1124,2))</f>
        <v>0</v>
      </c>
      <c r="Q1124" s="38">
        <f>IF(B1124="","",IF(E1124="Tip","No",IF(E1124="Refund","No","Yes")))</f>
        <v>0</v>
      </c>
      <c r="R1124" s="25">
        <f>IF(B1124="","",IF(E1124="Refund",-1,1))</f>
        <v>0</v>
      </c>
      <c r="S1124" s="26">
        <f>IF(B1124="","",IF(G1124="",0,IF(F1124="Card",ROUND(G1124*CardFeePercent+CardFeeFixed,2),IF(F1124="Online deposit",ROUND(G1124*CardFeePercent+CardFeeFixed,2),0))))</f>
        <v>0</v>
      </c>
      <c r="T1124" s="26">
        <f>IF(B1124="","",ROUND(IF(G1124="",0,G1124)*R1124-S1124,2))</f>
        <v>0</v>
      </c>
      <c r="U1124" s="38">
        <f>IF(B1124="","",IF(E1124="Tip","Yes","No"))</f>
        <v>0</v>
      </c>
      <c r="V1124" s="15">
        <f>IF(B1124="","",IF(H1124&lt;&gt;"","Sale "&amp;H1124,IF(I1124&lt;&gt;"","Booking "&amp;I1124,IF(E1124="Tip","Stylist","Unapplied"))))</f>
        <v>0</v>
      </c>
      <c r="W1124" s="39">
        <f>IF(B1124="","",IF(G1124="","Add - no amount yet",IF(E1124="","Add - what was this for?",IF(IF(H1124="",FALSE,COUNTIF(Sales!$A$5:$A$1204,H1124)=0),"Missing - no sale with that ID",IF(IF(I1124="",FALSE,COUNTIF(Appointments!$A$5:$A$1204,I1124)=0),"Missing - no booking with that ID",IF(IF(E1124="Tip",J1124="",FALSE),"Assign - whose tip is it?",IF(IF(E1124="Deposit",IF(H1124="",I1124="",FALSE),FALSE),"Check - deposit not tied to a booking",IF(M1124="No","Due - not reconciled yet","OK"))))))))</f>
        <v>0</v>
      </c>
    </row>
    <row r="1125" spans="1:23">
      <c r="A1125" s="28">
        <f>IF(B1125="","",PaymentPrefix&amp;TEXT(ROW()-4,"0000"))</f>
        <v>0</v>
      </c>
      <c r="D1125" s="15">
        <f>IF(C1125="","",IFERROR(INDEX(Clients!$B$5:$B$504,MATCH(C1125,Clients!$A$5:$A$504,0)),"Walk-in"))</f>
        <v>0</v>
      </c>
      <c r="K1125" s="15">
        <f>IF(J1125="","",IFERROR(INDEX(Staff!$B$5:$B$44,MATCH(J1125,Staff!$A$5:$A$44,0)),""))</f>
        <v>0</v>
      </c>
      <c r="O1125" s="15">
        <f>IF(B1125="","",TEXT(B1125,"yyyy-mm"))</f>
        <v>0</v>
      </c>
      <c r="P1125" s="25">
        <f>IF(B1125="","",WEEKNUM(B1125,2))</f>
        <v>0</v>
      </c>
      <c r="Q1125" s="38">
        <f>IF(B1125="","",IF(E1125="Tip","No",IF(E1125="Refund","No","Yes")))</f>
        <v>0</v>
      </c>
      <c r="R1125" s="25">
        <f>IF(B1125="","",IF(E1125="Refund",-1,1))</f>
        <v>0</v>
      </c>
      <c r="S1125" s="26">
        <f>IF(B1125="","",IF(G1125="",0,IF(F1125="Card",ROUND(G1125*CardFeePercent+CardFeeFixed,2),IF(F1125="Online deposit",ROUND(G1125*CardFeePercent+CardFeeFixed,2),0))))</f>
        <v>0</v>
      </c>
      <c r="T1125" s="26">
        <f>IF(B1125="","",ROUND(IF(G1125="",0,G1125)*R1125-S1125,2))</f>
        <v>0</v>
      </c>
      <c r="U1125" s="38">
        <f>IF(B1125="","",IF(E1125="Tip","Yes","No"))</f>
        <v>0</v>
      </c>
      <c r="V1125" s="15">
        <f>IF(B1125="","",IF(H1125&lt;&gt;"","Sale "&amp;H1125,IF(I1125&lt;&gt;"","Booking "&amp;I1125,IF(E1125="Tip","Stylist","Unapplied"))))</f>
        <v>0</v>
      </c>
      <c r="W1125" s="39">
        <f>IF(B1125="","",IF(G1125="","Add - no amount yet",IF(E1125="","Add - what was this for?",IF(IF(H1125="",FALSE,COUNTIF(Sales!$A$5:$A$1204,H1125)=0),"Missing - no sale with that ID",IF(IF(I1125="",FALSE,COUNTIF(Appointments!$A$5:$A$1204,I1125)=0),"Missing - no booking with that ID",IF(IF(E1125="Tip",J1125="",FALSE),"Assign - whose tip is it?",IF(IF(E1125="Deposit",IF(H1125="",I1125="",FALSE),FALSE),"Check - deposit not tied to a booking",IF(M1125="No","Due - not reconciled yet","OK"))))))))</f>
        <v>0</v>
      </c>
    </row>
    <row r="1126" spans="1:23">
      <c r="A1126" s="28">
        <f>IF(B1126="","",PaymentPrefix&amp;TEXT(ROW()-4,"0000"))</f>
        <v>0</v>
      </c>
      <c r="D1126" s="15">
        <f>IF(C1126="","",IFERROR(INDEX(Clients!$B$5:$B$504,MATCH(C1126,Clients!$A$5:$A$504,0)),"Walk-in"))</f>
        <v>0</v>
      </c>
      <c r="K1126" s="15">
        <f>IF(J1126="","",IFERROR(INDEX(Staff!$B$5:$B$44,MATCH(J1126,Staff!$A$5:$A$44,0)),""))</f>
        <v>0</v>
      </c>
      <c r="O1126" s="15">
        <f>IF(B1126="","",TEXT(B1126,"yyyy-mm"))</f>
        <v>0</v>
      </c>
      <c r="P1126" s="25">
        <f>IF(B1126="","",WEEKNUM(B1126,2))</f>
        <v>0</v>
      </c>
      <c r="Q1126" s="38">
        <f>IF(B1126="","",IF(E1126="Tip","No",IF(E1126="Refund","No","Yes")))</f>
        <v>0</v>
      </c>
      <c r="R1126" s="25">
        <f>IF(B1126="","",IF(E1126="Refund",-1,1))</f>
        <v>0</v>
      </c>
      <c r="S1126" s="26">
        <f>IF(B1126="","",IF(G1126="",0,IF(F1126="Card",ROUND(G1126*CardFeePercent+CardFeeFixed,2),IF(F1126="Online deposit",ROUND(G1126*CardFeePercent+CardFeeFixed,2),0))))</f>
        <v>0</v>
      </c>
      <c r="T1126" s="26">
        <f>IF(B1126="","",ROUND(IF(G1126="",0,G1126)*R1126-S1126,2))</f>
        <v>0</v>
      </c>
      <c r="U1126" s="38">
        <f>IF(B1126="","",IF(E1126="Tip","Yes","No"))</f>
        <v>0</v>
      </c>
      <c r="V1126" s="15">
        <f>IF(B1126="","",IF(H1126&lt;&gt;"","Sale "&amp;H1126,IF(I1126&lt;&gt;"","Booking "&amp;I1126,IF(E1126="Tip","Stylist","Unapplied"))))</f>
        <v>0</v>
      </c>
      <c r="W1126" s="39">
        <f>IF(B1126="","",IF(G1126="","Add - no amount yet",IF(E1126="","Add - what was this for?",IF(IF(H1126="",FALSE,COUNTIF(Sales!$A$5:$A$1204,H1126)=0),"Missing - no sale with that ID",IF(IF(I1126="",FALSE,COUNTIF(Appointments!$A$5:$A$1204,I1126)=0),"Missing - no booking with that ID",IF(IF(E1126="Tip",J1126="",FALSE),"Assign - whose tip is it?",IF(IF(E1126="Deposit",IF(H1126="",I1126="",FALSE),FALSE),"Check - deposit not tied to a booking",IF(M1126="No","Due - not reconciled yet","OK"))))))))</f>
        <v>0</v>
      </c>
    </row>
    <row r="1127" spans="1:23">
      <c r="A1127" s="28">
        <f>IF(B1127="","",PaymentPrefix&amp;TEXT(ROW()-4,"0000"))</f>
        <v>0</v>
      </c>
      <c r="D1127" s="15">
        <f>IF(C1127="","",IFERROR(INDEX(Clients!$B$5:$B$504,MATCH(C1127,Clients!$A$5:$A$504,0)),"Walk-in"))</f>
        <v>0</v>
      </c>
      <c r="K1127" s="15">
        <f>IF(J1127="","",IFERROR(INDEX(Staff!$B$5:$B$44,MATCH(J1127,Staff!$A$5:$A$44,0)),""))</f>
        <v>0</v>
      </c>
      <c r="O1127" s="15">
        <f>IF(B1127="","",TEXT(B1127,"yyyy-mm"))</f>
        <v>0</v>
      </c>
      <c r="P1127" s="25">
        <f>IF(B1127="","",WEEKNUM(B1127,2))</f>
        <v>0</v>
      </c>
      <c r="Q1127" s="38">
        <f>IF(B1127="","",IF(E1127="Tip","No",IF(E1127="Refund","No","Yes")))</f>
        <v>0</v>
      </c>
      <c r="R1127" s="25">
        <f>IF(B1127="","",IF(E1127="Refund",-1,1))</f>
        <v>0</v>
      </c>
      <c r="S1127" s="26">
        <f>IF(B1127="","",IF(G1127="",0,IF(F1127="Card",ROUND(G1127*CardFeePercent+CardFeeFixed,2),IF(F1127="Online deposit",ROUND(G1127*CardFeePercent+CardFeeFixed,2),0))))</f>
        <v>0</v>
      </c>
      <c r="T1127" s="26">
        <f>IF(B1127="","",ROUND(IF(G1127="",0,G1127)*R1127-S1127,2))</f>
        <v>0</v>
      </c>
      <c r="U1127" s="38">
        <f>IF(B1127="","",IF(E1127="Tip","Yes","No"))</f>
        <v>0</v>
      </c>
      <c r="V1127" s="15">
        <f>IF(B1127="","",IF(H1127&lt;&gt;"","Sale "&amp;H1127,IF(I1127&lt;&gt;"","Booking "&amp;I1127,IF(E1127="Tip","Stylist","Unapplied"))))</f>
        <v>0</v>
      </c>
      <c r="W1127" s="39">
        <f>IF(B1127="","",IF(G1127="","Add - no amount yet",IF(E1127="","Add - what was this for?",IF(IF(H1127="",FALSE,COUNTIF(Sales!$A$5:$A$1204,H1127)=0),"Missing - no sale with that ID",IF(IF(I1127="",FALSE,COUNTIF(Appointments!$A$5:$A$1204,I1127)=0),"Missing - no booking with that ID",IF(IF(E1127="Tip",J1127="",FALSE),"Assign - whose tip is it?",IF(IF(E1127="Deposit",IF(H1127="",I1127="",FALSE),FALSE),"Check - deposit not tied to a booking",IF(M1127="No","Due - not reconciled yet","OK"))))))))</f>
        <v>0</v>
      </c>
    </row>
    <row r="1128" spans="1:23">
      <c r="A1128" s="28">
        <f>IF(B1128="","",PaymentPrefix&amp;TEXT(ROW()-4,"0000"))</f>
        <v>0</v>
      </c>
      <c r="D1128" s="15">
        <f>IF(C1128="","",IFERROR(INDEX(Clients!$B$5:$B$504,MATCH(C1128,Clients!$A$5:$A$504,0)),"Walk-in"))</f>
        <v>0</v>
      </c>
      <c r="K1128" s="15">
        <f>IF(J1128="","",IFERROR(INDEX(Staff!$B$5:$B$44,MATCH(J1128,Staff!$A$5:$A$44,0)),""))</f>
        <v>0</v>
      </c>
      <c r="O1128" s="15">
        <f>IF(B1128="","",TEXT(B1128,"yyyy-mm"))</f>
        <v>0</v>
      </c>
      <c r="P1128" s="25">
        <f>IF(B1128="","",WEEKNUM(B1128,2))</f>
        <v>0</v>
      </c>
      <c r="Q1128" s="38">
        <f>IF(B1128="","",IF(E1128="Tip","No",IF(E1128="Refund","No","Yes")))</f>
        <v>0</v>
      </c>
      <c r="R1128" s="25">
        <f>IF(B1128="","",IF(E1128="Refund",-1,1))</f>
        <v>0</v>
      </c>
      <c r="S1128" s="26">
        <f>IF(B1128="","",IF(G1128="",0,IF(F1128="Card",ROUND(G1128*CardFeePercent+CardFeeFixed,2),IF(F1128="Online deposit",ROUND(G1128*CardFeePercent+CardFeeFixed,2),0))))</f>
        <v>0</v>
      </c>
      <c r="T1128" s="26">
        <f>IF(B1128="","",ROUND(IF(G1128="",0,G1128)*R1128-S1128,2))</f>
        <v>0</v>
      </c>
      <c r="U1128" s="38">
        <f>IF(B1128="","",IF(E1128="Tip","Yes","No"))</f>
        <v>0</v>
      </c>
      <c r="V1128" s="15">
        <f>IF(B1128="","",IF(H1128&lt;&gt;"","Sale "&amp;H1128,IF(I1128&lt;&gt;"","Booking "&amp;I1128,IF(E1128="Tip","Stylist","Unapplied"))))</f>
        <v>0</v>
      </c>
      <c r="W1128" s="39">
        <f>IF(B1128="","",IF(G1128="","Add - no amount yet",IF(E1128="","Add - what was this for?",IF(IF(H1128="",FALSE,COUNTIF(Sales!$A$5:$A$1204,H1128)=0),"Missing - no sale with that ID",IF(IF(I1128="",FALSE,COUNTIF(Appointments!$A$5:$A$1204,I1128)=0),"Missing - no booking with that ID",IF(IF(E1128="Tip",J1128="",FALSE),"Assign - whose tip is it?",IF(IF(E1128="Deposit",IF(H1128="",I1128="",FALSE),FALSE),"Check - deposit not tied to a booking",IF(M1128="No","Due - not reconciled yet","OK"))))))))</f>
        <v>0</v>
      </c>
    </row>
    <row r="1129" spans="1:23">
      <c r="A1129" s="28">
        <f>IF(B1129="","",PaymentPrefix&amp;TEXT(ROW()-4,"0000"))</f>
        <v>0</v>
      </c>
      <c r="D1129" s="15">
        <f>IF(C1129="","",IFERROR(INDEX(Clients!$B$5:$B$504,MATCH(C1129,Clients!$A$5:$A$504,0)),"Walk-in"))</f>
        <v>0</v>
      </c>
      <c r="K1129" s="15">
        <f>IF(J1129="","",IFERROR(INDEX(Staff!$B$5:$B$44,MATCH(J1129,Staff!$A$5:$A$44,0)),""))</f>
        <v>0</v>
      </c>
      <c r="O1129" s="15">
        <f>IF(B1129="","",TEXT(B1129,"yyyy-mm"))</f>
        <v>0</v>
      </c>
      <c r="P1129" s="25">
        <f>IF(B1129="","",WEEKNUM(B1129,2))</f>
        <v>0</v>
      </c>
      <c r="Q1129" s="38">
        <f>IF(B1129="","",IF(E1129="Tip","No",IF(E1129="Refund","No","Yes")))</f>
        <v>0</v>
      </c>
      <c r="R1129" s="25">
        <f>IF(B1129="","",IF(E1129="Refund",-1,1))</f>
        <v>0</v>
      </c>
      <c r="S1129" s="26">
        <f>IF(B1129="","",IF(G1129="",0,IF(F1129="Card",ROUND(G1129*CardFeePercent+CardFeeFixed,2),IF(F1129="Online deposit",ROUND(G1129*CardFeePercent+CardFeeFixed,2),0))))</f>
        <v>0</v>
      </c>
      <c r="T1129" s="26">
        <f>IF(B1129="","",ROUND(IF(G1129="",0,G1129)*R1129-S1129,2))</f>
        <v>0</v>
      </c>
      <c r="U1129" s="38">
        <f>IF(B1129="","",IF(E1129="Tip","Yes","No"))</f>
        <v>0</v>
      </c>
      <c r="V1129" s="15">
        <f>IF(B1129="","",IF(H1129&lt;&gt;"","Sale "&amp;H1129,IF(I1129&lt;&gt;"","Booking "&amp;I1129,IF(E1129="Tip","Stylist","Unapplied"))))</f>
        <v>0</v>
      </c>
      <c r="W1129" s="39">
        <f>IF(B1129="","",IF(G1129="","Add - no amount yet",IF(E1129="","Add - what was this for?",IF(IF(H1129="",FALSE,COUNTIF(Sales!$A$5:$A$1204,H1129)=0),"Missing - no sale with that ID",IF(IF(I1129="",FALSE,COUNTIF(Appointments!$A$5:$A$1204,I1129)=0),"Missing - no booking with that ID",IF(IF(E1129="Tip",J1129="",FALSE),"Assign - whose tip is it?",IF(IF(E1129="Deposit",IF(H1129="",I1129="",FALSE),FALSE),"Check - deposit not tied to a booking",IF(M1129="No","Due - not reconciled yet","OK"))))))))</f>
        <v>0</v>
      </c>
    </row>
    <row r="1130" spans="1:23">
      <c r="A1130" s="28">
        <f>IF(B1130="","",PaymentPrefix&amp;TEXT(ROW()-4,"0000"))</f>
        <v>0</v>
      </c>
      <c r="D1130" s="15">
        <f>IF(C1130="","",IFERROR(INDEX(Clients!$B$5:$B$504,MATCH(C1130,Clients!$A$5:$A$504,0)),"Walk-in"))</f>
        <v>0</v>
      </c>
      <c r="K1130" s="15">
        <f>IF(J1130="","",IFERROR(INDEX(Staff!$B$5:$B$44,MATCH(J1130,Staff!$A$5:$A$44,0)),""))</f>
        <v>0</v>
      </c>
      <c r="O1130" s="15">
        <f>IF(B1130="","",TEXT(B1130,"yyyy-mm"))</f>
        <v>0</v>
      </c>
      <c r="P1130" s="25">
        <f>IF(B1130="","",WEEKNUM(B1130,2))</f>
        <v>0</v>
      </c>
      <c r="Q1130" s="38">
        <f>IF(B1130="","",IF(E1130="Tip","No",IF(E1130="Refund","No","Yes")))</f>
        <v>0</v>
      </c>
      <c r="R1130" s="25">
        <f>IF(B1130="","",IF(E1130="Refund",-1,1))</f>
        <v>0</v>
      </c>
      <c r="S1130" s="26">
        <f>IF(B1130="","",IF(G1130="",0,IF(F1130="Card",ROUND(G1130*CardFeePercent+CardFeeFixed,2),IF(F1130="Online deposit",ROUND(G1130*CardFeePercent+CardFeeFixed,2),0))))</f>
        <v>0</v>
      </c>
      <c r="T1130" s="26">
        <f>IF(B1130="","",ROUND(IF(G1130="",0,G1130)*R1130-S1130,2))</f>
        <v>0</v>
      </c>
      <c r="U1130" s="38">
        <f>IF(B1130="","",IF(E1130="Tip","Yes","No"))</f>
        <v>0</v>
      </c>
      <c r="V1130" s="15">
        <f>IF(B1130="","",IF(H1130&lt;&gt;"","Sale "&amp;H1130,IF(I1130&lt;&gt;"","Booking "&amp;I1130,IF(E1130="Tip","Stylist","Unapplied"))))</f>
        <v>0</v>
      </c>
      <c r="W1130" s="39">
        <f>IF(B1130="","",IF(G1130="","Add - no amount yet",IF(E1130="","Add - what was this for?",IF(IF(H1130="",FALSE,COUNTIF(Sales!$A$5:$A$1204,H1130)=0),"Missing - no sale with that ID",IF(IF(I1130="",FALSE,COUNTIF(Appointments!$A$5:$A$1204,I1130)=0),"Missing - no booking with that ID",IF(IF(E1130="Tip",J1130="",FALSE),"Assign - whose tip is it?",IF(IF(E1130="Deposit",IF(H1130="",I1130="",FALSE),FALSE),"Check - deposit not tied to a booking",IF(M1130="No","Due - not reconciled yet","OK"))))))))</f>
        <v>0</v>
      </c>
    </row>
    <row r="1131" spans="1:23">
      <c r="A1131" s="28">
        <f>IF(B1131="","",PaymentPrefix&amp;TEXT(ROW()-4,"0000"))</f>
        <v>0</v>
      </c>
      <c r="D1131" s="15">
        <f>IF(C1131="","",IFERROR(INDEX(Clients!$B$5:$B$504,MATCH(C1131,Clients!$A$5:$A$504,0)),"Walk-in"))</f>
        <v>0</v>
      </c>
      <c r="K1131" s="15">
        <f>IF(J1131="","",IFERROR(INDEX(Staff!$B$5:$B$44,MATCH(J1131,Staff!$A$5:$A$44,0)),""))</f>
        <v>0</v>
      </c>
      <c r="O1131" s="15">
        <f>IF(B1131="","",TEXT(B1131,"yyyy-mm"))</f>
        <v>0</v>
      </c>
      <c r="P1131" s="25">
        <f>IF(B1131="","",WEEKNUM(B1131,2))</f>
        <v>0</v>
      </c>
      <c r="Q1131" s="38">
        <f>IF(B1131="","",IF(E1131="Tip","No",IF(E1131="Refund","No","Yes")))</f>
        <v>0</v>
      </c>
      <c r="R1131" s="25">
        <f>IF(B1131="","",IF(E1131="Refund",-1,1))</f>
        <v>0</v>
      </c>
      <c r="S1131" s="26">
        <f>IF(B1131="","",IF(G1131="",0,IF(F1131="Card",ROUND(G1131*CardFeePercent+CardFeeFixed,2),IF(F1131="Online deposit",ROUND(G1131*CardFeePercent+CardFeeFixed,2),0))))</f>
        <v>0</v>
      </c>
      <c r="T1131" s="26">
        <f>IF(B1131="","",ROUND(IF(G1131="",0,G1131)*R1131-S1131,2))</f>
        <v>0</v>
      </c>
      <c r="U1131" s="38">
        <f>IF(B1131="","",IF(E1131="Tip","Yes","No"))</f>
        <v>0</v>
      </c>
      <c r="V1131" s="15">
        <f>IF(B1131="","",IF(H1131&lt;&gt;"","Sale "&amp;H1131,IF(I1131&lt;&gt;"","Booking "&amp;I1131,IF(E1131="Tip","Stylist","Unapplied"))))</f>
        <v>0</v>
      </c>
      <c r="W1131" s="39">
        <f>IF(B1131="","",IF(G1131="","Add - no amount yet",IF(E1131="","Add - what was this for?",IF(IF(H1131="",FALSE,COUNTIF(Sales!$A$5:$A$1204,H1131)=0),"Missing - no sale with that ID",IF(IF(I1131="",FALSE,COUNTIF(Appointments!$A$5:$A$1204,I1131)=0),"Missing - no booking with that ID",IF(IF(E1131="Tip",J1131="",FALSE),"Assign - whose tip is it?",IF(IF(E1131="Deposit",IF(H1131="",I1131="",FALSE),FALSE),"Check - deposit not tied to a booking",IF(M1131="No","Due - not reconciled yet","OK"))))))))</f>
        <v>0</v>
      </c>
    </row>
    <row r="1132" spans="1:23">
      <c r="A1132" s="28">
        <f>IF(B1132="","",PaymentPrefix&amp;TEXT(ROW()-4,"0000"))</f>
        <v>0</v>
      </c>
      <c r="D1132" s="15">
        <f>IF(C1132="","",IFERROR(INDEX(Clients!$B$5:$B$504,MATCH(C1132,Clients!$A$5:$A$504,0)),"Walk-in"))</f>
        <v>0</v>
      </c>
      <c r="K1132" s="15">
        <f>IF(J1132="","",IFERROR(INDEX(Staff!$B$5:$B$44,MATCH(J1132,Staff!$A$5:$A$44,0)),""))</f>
        <v>0</v>
      </c>
      <c r="O1132" s="15">
        <f>IF(B1132="","",TEXT(B1132,"yyyy-mm"))</f>
        <v>0</v>
      </c>
      <c r="P1132" s="25">
        <f>IF(B1132="","",WEEKNUM(B1132,2))</f>
        <v>0</v>
      </c>
      <c r="Q1132" s="38">
        <f>IF(B1132="","",IF(E1132="Tip","No",IF(E1132="Refund","No","Yes")))</f>
        <v>0</v>
      </c>
      <c r="R1132" s="25">
        <f>IF(B1132="","",IF(E1132="Refund",-1,1))</f>
        <v>0</v>
      </c>
      <c r="S1132" s="26">
        <f>IF(B1132="","",IF(G1132="",0,IF(F1132="Card",ROUND(G1132*CardFeePercent+CardFeeFixed,2),IF(F1132="Online deposit",ROUND(G1132*CardFeePercent+CardFeeFixed,2),0))))</f>
        <v>0</v>
      </c>
      <c r="T1132" s="26">
        <f>IF(B1132="","",ROUND(IF(G1132="",0,G1132)*R1132-S1132,2))</f>
        <v>0</v>
      </c>
      <c r="U1132" s="38">
        <f>IF(B1132="","",IF(E1132="Tip","Yes","No"))</f>
        <v>0</v>
      </c>
      <c r="V1132" s="15">
        <f>IF(B1132="","",IF(H1132&lt;&gt;"","Sale "&amp;H1132,IF(I1132&lt;&gt;"","Booking "&amp;I1132,IF(E1132="Tip","Stylist","Unapplied"))))</f>
        <v>0</v>
      </c>
      <c r="W1132" s="39">
        <f>IF(B1132="","",IF(G1132="","Add - no amount yet",IF(E1132="","Add - what was this for?",IF(IF(H1132="",FALSE,COUNTIF(Sales!$A$5:$A$1204,H1132)=0),"Missing - no sale with that ID",IF(IF(I1132="",FALSE,COUNTIF(Appointments!$A$5:$A$1204,I1132)=0),"Missing - no booking with that ID",IF(IF(E1132="Tip",J1132="",FALSE),"Assign - whose tip is it?",IF(IF(E1132="Deposit",IF(H1132="",I1132="",FALSE),FALSE),"Check - deposit not tied to a booking",IF(M1132="No","Due - not reconciled yet","OK"))))))))</f>
        <v>0</v>
      </c>
    </row>
    <row r="1133" spans="1:23">
      <c r="A1133" s="28">
        <f>IF(B1133="","",PaymentPrefix&amp;TEXT(ROW()-4,"0000"))</f>
        <v>0</v>
      </c>
      <c r="D1133" s="15">
        <f>IF(C1133="","",IFERROR(INDEX(Clients!$B$5:$B$504,MATCH(C1133,Clients!$A$5:$A$504,0)),"Walk-in"))</f>
        <v>0</v>
      </c>
      <c r="K1133" s="15">
        <f>IF(J1133="","",IFERROR(INDEX(Staff!$B$5:$B$44,MATCH(J1133,Staff!$A$5:$A$44,0)),""))</f>
        <v>0</v>
      </c>
      <c r="O1133" s="15">
        <f>IF(B1133="","",TEXT(B1133,"yyyy-mm"))</f>
        <v>0</v>
      </c>
      <c r="P1133" s="25">
        <f>IF(B1133="","",WEEKNUM(B1133,2))</f>
        <v>0</v>
      </c>
      <c r="Q1133" s="38">
        <f>IF(B1133="","",IF(E1133="Tip","No",IF(E1133="Refund","No","Yes")))</f>
        <v>0</v>
      </c>
      <c r="R1133" s="25">
        <f>IF(B1133="","",IF(E1133="Refund",-1,1))</f>
        <v>0</v>
      </c>
      <c r="S1133" s="26">
        <f>IF(B1133="","",IF(G1133="",0,IF(F1133="Card",ROUND(G1133*CardFeePercent+CardFeeFixed,2),IF(F1133="Online deposit",ROUND(G1133*CardFeePercent+CardFeeFixed,2),0))))</f>
        <v>0</v>
      </c>
      <c r="T1133" s="26">
        <f>IF(B1133="","",ROUND(IF(G1133="",0,G1133)*R1133-S1133,2))</f>
        <v>0</v>
      </c>
      <c r="U1133" s="38">
        <f>IF(B1133="","",IF(E1133="Tip","Yes","No"))</f>
        <v>0</v>
      </c>
      <c r="V1133" s="15">
        <f>IF(B1133="","",IF(H1133&lt;&gt;"","Sale "&amp;H1133,IF(I1133&lt;&gt;"","Booking "&amp;I1133,IF(E1133="Tip","Stylist","Unapplied"))))</f>
        <v>0</v>
      </c>
      <c r="W1133" s="39">
        <f>IF(B1133="","",IF(G1133="","Add - no amount yet",IF(E1133="","Add - what was this for?",IF(IF(H1133="",FALSE,COUNTIF(Sales!$A$5:$A$1204,H1133)=0),"Missing - no sale with that ID",IF(IF(I1133="",FALSE,COUNTIF(Appointments!$A$5:$A$1204,I1133)=0),"Missing - no booking with that ID",IF(IF(E1133="Tip",J1133="",FALSE),"Assign - whose tip is it?",IF(IF(E1133="Deposit",IF(H1133="",I1133="",FALSE),FALSE),"Check - deposit not tied to a booking",IF(M1133="No","Due - not reconciled yet","OK"))))))))</f>
        <v>0</v>
      </c>
    </row>
    <row r="1134" spans="1:23">
      <c r="A1134" s="28">
        <f>IF(B1134="","",PaymentPrefix&amp;TEXT(ROW()-4,"0000"))</f>
        <v>0</v>
      </c>
      <c r="D1134" s="15">
        <f>IF(C1134="","",IFERROR(INDEX(Clients!$B$5:$B$504,MATCH(C1134,Clients!$A$5:$A$504,0)),"Walk-in"))</f>
        <v>0</v>
      </c>
      <c r="K1134" s="15">
        <f>IF(J1134="","",IFERROR(INDEX(Staff!$B$5:$B$44,MATCH(J1134,Staff!$A$5:$A$44,0)),""))</f>
        <v>0</v>
      </c>
      <c r="O1134" s="15">
        <f>IF(B1134="","",TEXT(B1134,"yyyy-mm"))</f>
        <v>0</v>
      </c>
      <c r="P1134" s="25">
        <f>IF(B1134="","",WEEKNUM(B1134,2))</f>
        <v>0</v>
      </c>
      <c r="Q1134" s="38">
        <f>IF(B1134="","",IF(E1134="Tip","No",IF(E1134="Refund","No","Yes")))</f>
        <v>0</v>
      </c>
      <c r="R1134" s="25">
        <f>IF(B1134="","",IF(E1134="Refund",-1,1))</f>
        <v>0</v>
      </c>
      <c r="S1134" s="26">
        <f>IF(B1134="","",IF(G1134="",0,IF(F1134="Card",ROUND(G1134*CardFeePercent+CardFeeFixed,2),IF(F1134="Online deposit",ROUND(G1134*CardFeePercent+CardFeeFixed,2),0))))</f>
        <v>0</v>
      </c>
      <c r="T1134" s="26">
        <f>IF(B1134="","",ROUND(IF(G1134="",0,G1134)*R1134-S1134,2))</f>
        <v>0</v>
      </c>
      <c r="U1134" s="38">
        <f>IF(B1134="","",IF(E1134="Tip","Yes","No"))</f>
        <v>0</v>
      </c>
      <c r="V1134" s="15">
        <f>IF(B1134="","",IF(H1134&lt;&gt;"","Sale "&amp;H1134,IF(I1134&lt;&gt;"","Booking "&amp;I1134,IF(E1134="Tip","Stylist","Unapplied"))))</f>
        <v>0</v>
      </c>
      <c r="W1134" s="39">
        <f>IF(B1134="","",IF(G1134="","Add - no amount yet",IF(E1134="","Add - what was this for?",IF(IF(H1134="",FALSE,COUNTIF(Sales!$A$5:$A$1204,H1134)=0),"Missing - no sale with that ID",IF(IF(I1134="",FALSE,COUNTIF(Appointments!$A$5:$A$1204,I1134)=0),"Missing - no booking with that ID",IF(IF(E1134="Tip",J1134="",FALSE),"Assign - whose tip is it?",IF(IF(E1134="Deposit",IF(H1134="",I1134="",FALSE),FALSE),"Check - deposit not tied to a booking",IF(M1134="No","Due - not reconciled yet","OK"))))))))</f>
        <v>0</v>
      </c>
    </row>
    <row r="1135" spans="1:23">
      <c r="A1135" s="28">
        <f>IF(B1135="","",PaymentPrefix&amp;TEXT(ROW()-4,"0000"))</f>
        <v>0</v>
      </c>
      <c r="D1135" s="15">
        <f>IF(C1135="","",IFERROR(INDEX(Clients!$B$5:$B$504,MATCH(C1135,Clients!$A$5:$A$504,0)),"Walk-in"))</f>
        <v>0</v>
      </c>
      <c r="K1135" s="15">
        <f>IF(J1135="","",IFERROR(INDEX(Staff!$B$5:$B$44,MATCH(J1135,Staff!$A$5:$A$44,0)),""))</f>
        <v>0</v>
      </c>
      <c r="O1135" s="15">
        <f>IF(B1135="","",TEXT(B1135,"yyyy-mm"))</f>
        <v>0</v>
      </c>
      <c r="P1135" s="25">
        <f>IF(B1135="","",WEEKNUM(B1135,2))</f>
        <v>0</v>
      </c>
      <c r="Q1135" s="38">
        <f>IF(B1135="","",IF(E1135="Tip","No",IF(E1135="Refund","No","Yes")))</f>
        <v>0</v>
      </c>
      <c r="R1135" s="25">
        <f>IF(B1135="","",IF(E1135="Refund",-1,1))</f>
        <v>0</v>
      </c>
      <c r="S1135" s="26">
        <f>IF(B1135="","",IF(G1135="",0,IF(F1135="Card",ROUND(G1135*CardFeePercent+CardFeeFixed,2),IF(F1135="Online deposit",ROUND(G1135*CardFeePercent+CardFeeFixed,2),0))))</f>
        <v>0</v>
      </c>
      <c r="T1135" s="26">
        <f>IF(B1135="","",ROUND(IF(G1135="",0,G1135)*R1135-S1135,2))</f>
        <v>0</v>
      </c>
      <c r="U1135" s="38">
        <f>IF(B1135="","",IF(E1135="Tip","Yes","No"))</f>
        <v>0</v>
      </c>
      <c r="V1135" s="15">
        <f>IF(B1135="","",IF(H1135&lt;&gt;"","Sale "&amp;H1135,IF(I1135&lt;&gt;"","Booking "&amp;I1135,IF(E1135="Tip","Stylist","Unapplied"))))</f>
        <v>0</v>
      </c>
      <c r="W1135" s="39">
        <f>IF(B1135="","",IF(G1135="","Add - no amount yet",IF(E1135="","Add - what was this for?",IF(IF(H1135="",FALSE,COUNTIF(Sales!$A$5:$A$1204,H1135)=0),"Missing - no sale with that ID",IF(IF(I1135="",FALSE,COUNTIF(Appointments!$A$5:$A$1204,I1135)=0),"Missing - no booking with that ID",IF(IF(E1135="Tip",J1135="",FALSE),"Assign - whose tip is it?",IF(IF(E1135="Deposit",IF(H1135="",I1135="",FALSE),FALSE),"Check - deposit not tied to a booking",IF(M1135="No","Due - not reconciled yet","OK"))))))))</f>
        <v>0</v>
      </c>
    </row>
    <row r="1136" spans="1:23">
      <c r="A1136" s="28">
        <f>IF(B1136="","",PaymentPrefix&amp;TEXT(ROW()-4,"0000"))</f>
        <v>0</v>
      </c>
      <c r="D1136" s="15">
        <f>IF(C1136="","",IFERROR(INDEX(Clients!$B$5:$B$504,MATCH(C1136,Clients!$A$5:$A$504,0)),"Walk-in"))</f>
        <v>0</v>
      </c>
      <c r="K1136" s="15">
        <f>IF(J1136="","",IFERROR(INDEX(Staff!$B$5:$B$44,MATCH(J1136,Staff!$A$5:$A$44,0)),""))</f>
        <v>0</v>
      </c>
      <c r="O1136" s="15">
        <f>IF(B1136="","",TEXT(B1136,"yyyy-mm"))</f>
        <v>0</v>
      </c>
      <c r="P1136" s="25">
        <f>IF(B1136="","",WEEKNUM(B1136,2))</f>
        <v>0</v>
      </c>
      <c r="Q1136" s="38">
        <f>IF(B1136="","",IF(E1136="Tip","No",IF(E1136="Refund","No","Yes")))</f>
        <v>0</v>
      </c>
      <c r="R1136" s="25">
        <f>IF(B1136="","",IF(E1136="Refund",-1,1))</f>
        <v>0</v>
      </c>
      <c r="S1136" s="26">
        <f>IF(B1136="","",IF(G1136="",0,IF(F1136="Card",ROUND(G1136*CardFeePercent+CardFeeFixed,2),IF(F1136="Online deposit",ROUND(G1136*CardFeePercent+CardFeeFixed,2),0))))</f>
        <v>0</v>
      </c>
      <c r="T1136" s="26">
        <f>IF(B1136="","",ROUND(IF(G1136="",0,G1136)*R1136-S1136,2))</f>
        <v>0</v>
      </c>
      <c r="U1136" s="38">
        <f>IF(B1136="","",IF(E1136="Tip","Yes","No"))</f>
        <v>0</v>
      </c>
      <c r="V1136" s="15">
        <f>IF(B1136="","",IF(H1136&lt;&gt;"","Sale "&amp;H1136,IF(I1136&lt;&gt;"","Booking "&amp;I1136,IF(E1136="Tip","Stylist","Unapplied"))))</f>
        <v>0</v>
      </c>
      <c r="W1136" s="39">
        <f>IF(B1136="","",IF(G1136="","Add - no amount yet",IF(E1136="","Add - what was this for?",IF(IF(H1136="",FALSE,COUNTIF(Sales!$A$5:$A$1204,H1136)=0),"Missing - no sale with that ID",IF(IF(I1136="",FALSE,COUNTIF(Appointments!$A$5:$A$1204,I1136)=0),"Missing - no booking with that ID",IF(IF(E1136="Tip",J1136="",FALSE),"Assign - whose tip is it?",IF(IF(E1136="Deposit",IF(H1136="",I1136="",FALSE),FALSE),"Check - deposit not tied to a booking",IF(M1136="No","Due - not reconciled yet","OK"))))))))</f>
        <v>0</v>
      </c>
    </row>
    <row r="1137" spans="1:23">
      <c r="A1137" s="28">
        <f>IF(B1137="","",PaymentPrefix&amp;TEXT(ROW()-4,"0000"))</f>
        <v>0</v>
      </c>
      <c r="D1137" s="15">
        <f>IF(C1137="","",IFERROR(INDEX(Clients!$B$5:$B$504,MATCH(C1137,Clients!$A$5:$A$504,0)),"Walk-in"))</f>
        <v>0</v>
      </c>
      <c r="K1137" s="15">
        <f>IF(J1137="","",IFERROR(INDEX(Staff!$B$5:$B$44,MATCH(J1137,Staff!$A$5:$A$44,0)),""))</f>
        <v>0</v>
      </c>
      <c r="O1137" s="15">
        <f>IF(B1137="","",TEXT(B1137,"yyyy-mm"))</f>
        <v>0</v>
      </c>
      <c r="P1137" s="25">
        <f>IF(B1137="","",WEEKNUM(B1137,2))</f>
        <v>0</v>
      </c>
      <c r="Q1137" s="38">
        <f>IF(B1137="","",IF(E1137="Tip","No",IF(E1137="Refund","No","Yes")))</f>
        <v>0</v>
      </c>
      <c r="R1137" s="25">
        <f>IF(B1137="","",IF(E1137="Refund",-1,1))</f>
        <v>0</v>
      </c>
      <c r="S1137" s="26">
        <f>IF(B1137="","",IF(G1137="",0,IF(F1137="Card",ROUND(G1137*CardFeePercent+CardFeeFixed,2),IF(F1137="Online deposit",ROUND(G1137*CardFeePercent+CardFeeFixed,2),0))))</f>
        <v>0</v>
      </c>
      <c r="T1137" s="26">
        <f>IF(B1137="","",ROUND(IF(G1137="",0,G1137)*R1137-S1137,2))</f>
        <v>0</v>
      </c>
      <c r="U1137" s="38">
        <f>IF(B1137="","",IF(E1137="Tip","Yes","No"))</f>
        <v>0</v>
      </c>
      <c r="V1137" s="15">
        <f>IF(B1137="","",IF(H1137&lt;&gt;"","Sale "&amp;H1137,IF(I1137&lt;&gt;"","Booking "&amp;I1137,IF(E1137="Tip","Stylist","Unapplied"))))</f>
        <v>0</v>
      </c>
      <c r="W1137" s="39">
        <f>IF(B1137="","",IF(G1137="","Add - no amount yet",IF(E1137="","Add - what was this for?",IF(IF(H1137="",FALSE,COUNTIF(Sales!$A$5:$A$1204,H1137)=0),"Missing - no sale with that ID",IF(IF(I1137="",FALSE,COUNTIF(Appointments!$A$5:$A$1204,I1137)=0),"Missing - no booking with that ID",IF(IF(E1137="Tip",J1137="",FALSE),"Assign - whose tip is it?",IF(IF(E1137="Deposit",IF(H1137="",I1137="",FALSE),FALSE),"Check - deposit not tied to a booking",IF(M1137="No","Due - not reconciled yet","OK"))))))))</f>
        <v>0</v>
      </c>
    </row>
    <row r="1138" spans="1:23">
      <c r="A1138" s="28">
        <f>IF(B1138="","",PaymentPrefix&amp;TEXT(ROW()-4,"0000"))</f>
        <v>0</v>
      </c>
      <c r="D1138" s="15">
        <f>IF(C1138="","",IFERROR(INDEX(Clients!$B$5:$B$504,MATCH(C1138,Clients!$A$5:$A$504,0)),"Walk-in"))</f>
        <v>0</v>
      </c>
      <c r="K1138" s="15">
        <f>IF(J1138="","",IFERROR(INDEX(Staff!$B$5:$B$44,MATCH(J1138,Staff!$A$5:$A$44,0)),""))</f>
        <v>0</v>
      </c>
      <c r="O1138" s="15">
        <f>IF(B1138="","",TEXT(B1138,"yyyy-mm"))</f>
        <v>0</v>
      </c>
      <c r="P1138" s="25">
        <f>IF(B1138="","",WEEKNUM(B1138,2))</f>
        <v>0</v>
      </c>
      <c r="Q1138" s="38">
        <f>IF(B1138="","",IF(E1138="Tip","No",IF(E1138="Refund","No","Yes")))</f>
        <v>0</v>
      </c>
      <c r="R1138" s="25">
        <f>IF(B1138="","",IF(E1138="Refund",-1,1))</f>
        <v>0</v>
      </c>
      <c r="S1138" s="26">
        <f>IF(B1138="","",IF(G1138="",0,IF(F1138="Card",ROUND(G1138*CardFeePercent+CardFeeFixed,2),IF(F1138="Online deposit",ROUND(G1138*CardFeePercent+CardFeeFixed,2),0))))</f>
        <v>0</v>
      </c>
      <c r="T1138" s="26">
        <f>IF(B1138="","",ROUND(IF(G1138="",0,G1138)*R1138-S1138,2))</f>
        <v>0</v>
      </c>
      <c r="U1138" s="38">
        <f>IF(B1138="","",IF(E1138="Tip","Yes","No"))</f>
        <v>0</v>
      </c>
      <c r="V1138" s="15">
        <f>IF(B1138="","",IF(H1138&lt;&gt;"","Sale "&amp;H1138,IF(I1138&lt;&gt;"","Booking "&amp;I1138,IF(E1138="Tip","Stylist","Unapplied"))))</f>
        <v>0</v>
      </c>
      <c r="W1138" s="39">
        <f>IF(B1138="","",IF(G1138="","Add - no amount yet",IF(E1138="","Add - what was this for?",IF(IF(H1138="",FALSE,COUNTIF(Sales!$A$5:$A$1204,H1138)=0),"Missing - no sale with that ID",IF(IF(I1138="",FALSE,COUNTIF(Appointments!$A$5:$A$1204,I1138)=0),"Missing - no booking with that ID",IF(IF(E1138="Tip",J1138="",FALSE),"Assign - whose tip is it?",IF(IF(E1138="Deposit",IF(H1138="",I1138="",FALSE),FALSE),"Check - deposit not tied to a booking",IF(M1138="No","Due - not reconciled yet","OK"))))))))</f>
        <v>0</v>
      </c>
    </row>
    <row r="1139" spans="1:23">
      <c r="A1139" s="28">
        <f>IF(B1139="","",PaymentPrefix&amp;TEXT(ROW()-4,"0000"))</f>
        <v>0</v>
      </c>
      <c r="D1139" s="15">
        <f>IF(C1139="","",IFERROR(INDEX(Clients!$B$5:$B$504,MATCH(C1139,Clients!$A$5:$A$504,0)),"Walk-in"))</f>
        <v>0</v>
      </c>
      <c r="K1139" s="15">
        <f>IF(J1139="","",IFERROR(INDEX(Staff!$B$5:$B$44,MATCH(J1139,Staff!$A$5:$A$44,0)),""))</f>
        <v>0</v>
      </c>
      <c r="O1139" s="15">
        <f>IF(B1139="","",TEXT(B1139,"yyyy-mm"))</f>
        <v>0</v>
      </c>
      <c r="P1139" s="25">
        <f>IF(B1139="","",WEEKNUM(B1139,2))</f>
        <v>0</v>
      </c>
      <c r="Q1139" s="38">
        <f>IF(B1139="","",IF(E1139="Tip","No",IF(E1139="Refund","No","Yes")))</f>
        <v>0</v>
      </c>
      <c r="R1139" s="25">
        <f>IF(B1139="","",IF(E1139="Refund",-1,1))</f>
        <v>0</v>
      </c>
      <c r="S1139" s="26">
        <f>IF(B1139="","",IF(G1139="",0,IF(F1139="Card",ROUND(G1139*CardFeePercent+CardFeeFixed,2),IF(F1139="Online deposit",ROUND(G1139*CardFeePercent+CardFeeFixed,2),0))))</f>
        <v>0</v>
      </c>
      <c r="T1139" s="26">
        <f>IF(B1139="","",ROUND(IF(G1139="",0,G1139)*R1139-S1139,2))</f>
        <v>0</v>
      </c>
      <c r="U1139" s="38">
        <f>IF(B1139="","",IF(E1139="Tip","Yes","No"))</f>
        <v>0</v>
      </c>
      <c r="V1139" s="15">
        <f>IF(B1139="","",IF(H1139&lt;&gt;"","Sale "&amp;H1139,IF(I1139&lt;&gt;"","Booking "&amp;I1139,IF(E1139="Tip","Stylist","Unapplied"))))</f>
        <v>0</v>
      </c>
      <c r="W1139" s="39">
        <f>IF(B1139="","",IF(G1139="","Add - no amount yet",IF(E1139="","Add - what was this for?",IF(IF(H1139="",FALSE,COUNTIF(Sales!$A$5:$A$1204,H1139)=0),"Missing - no sale with that ID",IF(IF(I1139="",FALSE,COUNTIF(Appointments!$A$5:$A$1204,I1139)=0),"Missing - no booking with that ID",IF(IF(E1139="Tip",J1139="",FALSE),"Assign - whose tip is it?",IF(IF(E1139="Deposit",IF(H1139="",I1139="",FALSE),FALSE),"Check - deposit not tied to a booking",IF(M1139="No","Due - not reconciled yet","OK"))))))))</f>
        <v>0</v>
      </c>
    </row>
    <row r="1140" spans="1:23">
      <c r="A1140" s="28">
        <f>IF(B1140="","",PaymentPrefix&amp;TEXT(ROW()-4,"0000"))</f>
        <v>0</v>
      </c>
      <c r="D1140" s="15">
        <f>IF(C1140="","",IFERROR(INDEX(Clients!$B$5:$B$504,MATCH(C1140,Clients!$A$5:$A$504,0)),"Walk-in"))</f>
        <v>0</v>
      </c>
      <c r="K1140" s="15">
        <f>IF(J1140="","",IFERROR(INDEX(Staff!$B$5:$B$44,MATCH(J1140,Staff!$A$5:$A$44,0)),""))</f>
        <v>0</v>
      </c>
      <c r="O1140" s="15">
        <f>IF(B1140="","",TEXT(B1140,"yyyy-mm"))</f>
        <v>0</v>
      </c>
      <c r="P1140" s="25">
        <f>IF(B1140="","",WEEKNUM(B1140,2))</f>
        <v>0</v>
      </c>
      <c r="Q1140" s="38">
        <f>IF(B1140="","",IF(E1140="Tip","No",IF(E1140="Refund","No","Yes")))</f>
        <v>0</v>
      </c>
      <c r="R1140" s="25">
        <f>IF(B1140="","",IF(E1140="Refund",-1,1))</f>
        <v>0</v>
      </c>
      <c r="S1140" s="26">
        <f>IF(B1140="","",IF(G1140="",0,IF(F1140="Card",ROUND(G1140*CardFeePercent+CardFeeFixed,2),IF(F1140="Online deposit",ROUND(G1140*CardFeePercent+CardFeeFixed,2),0))))</f>
        <v>0</v>
      </c>
      <c r="T1140" s="26">
        <f>IF(B1140="","",ROUND(IF(G1140="",0,G1140)*R1140-S1140,2))</f>
        <v>0</v>
      </c>
      <c r="U1140" s="38">
        <f>IF(B1140="","",IF(E1140="Tip","Yes","No"))</f>
        <v>0</v>
      </c>
      <c r="V1140" s="15">
        <f>IF(B1140="","",IF(H1140&lt;&gt;"","Sale "&amp;H1140,IF(I1140&lt;&gt;"","Booking "&amp;I1140,IF(E1140="Tip","Stylist","Unapplied"))))</f>
        <v>0</v>
      </c>
      <c r="W1140" s="39">
        <f>IF(B1140="","",IF(G1140="","Add - no amount yet",IF(E1140="","Add - what was this for?",IF(IF(H1140="",FALSE,COUNTIF(Sales!$A$5:$A$1204,H1140)=0),"Missing - no sale with that ID",IF(IF(I1140="",FALSE,COUNTIF(Appointments!$A$5:$A$1204,I1140)=0),"Missing - no booking with that ID",IF(IF(E1140="Tip",J1140="",FALSE),"Assign - whose tip is it?",IF(IF(E1140="Deposit",IF(H1140="",I1140="",FALSE),FALSE),"Check - deposit not tied to a booking",IF(M1140="No","Due - not reconciled yet","OK"))))))))</f>
        <v>0</v>
      </c>
    </row>
    <row r="1141" spans="1:23">
      <c r="A1141" s="28">
        <f>IF(B1141="","",PaymentPrefix&amp;TEXT(ROW()-4,"0000"))</f>
        <v>0</v>
      </c>
      <c r="D1141" s="15">
        <f>IF(C1141="","",IFERROR(INDEX(Clients!$B$5:$B$504,MATCH(C1141,Clients!$A$5:$A$504,0)),"Walk-in"))</f>
        <v>0</v>
      </c>
      <c r="K1141" s="15">
        <f>IF(J1141="","",IFERROR(INDEX(Staff!$B$5:$B$44,MATCH(J1141,Staff!$A$5:$A$44,0)),""))</f>
        <v>0</v>
      </c>
      <c r="O1141" s="15">
        <f>IF(B1141="","",TEXT(B1141,"yyyy-mm"))</f>
        <v>0</v>
      </c>
      <c r="P1141" s="25">
        <f>IF(B1141="","",WEEKNUM(B1141,2))</f>
        <v>0</v>
      </c>
      <c r="Q1141" s="38">
        <f>IF(B1141="","",IF(E1141="Tip","No",IF(E1141="Refund","No","Yes")))</f>
        <v>0</v>
      </c>
      <c r="R1141" s="25">
        <f>IF(B1141="","",IF(E1141="Refund",-1,1))</f>
        <v>0</v>
      </c>
      <c r="S1141" s="26">
        <f>IF(B1141="","",IF(G1141="",0,IF(F1141="Card",ROUND(G1141*CardFeePercent+CardFeeFixed,2),IF(F1141="Online deposit",ROUND(G1141*CardFeePercent+CardFeeFixed,2),0))))</f>
        <v>0</v>
      </c>
      <c r="T1141" s="26">
        <f>IF(B1141="","",ROUND(IF(G1141="",0,G1141)*R1141-S1141,2))</f>
        <v>0</v>
      </c>
      <c r="U1141" s="38">
        <f>IF(B1141="","",IF(E1141="Tip","Yes","No"))</f>
        <v>0</v>
      </c>
      <c r="V1141" s="15">
        <f>IF(B1141="","",IF(H1141&lt;&gt;"","Sale "&amp;H1141,IF(I1141&lt;&gt;"","Booking "&amp;I1141,IF(E1141="Tip","Stylist","Unapplied"))))</f>
        <v>0</v>
      </c>
      <c r="W1141" s="39">
        <f>IF(B1141="","",IF(G1141="","Add - no amount yet",IF(E1141="","Add - what was this for?",IF(IF(H1141="",FALSE,COUNTIF(Sales!$A$5:$A$1204,H1141)=0),"Missing - no sale with that ID",IF(IF(I1141="",FALSE,COUNTIF(Appointments!$A$5:$A$1204,I1141)=0),"Missing - no booking with that ID",IF(IF(E1141="Tip",J1141="",FALSE),"Assign - whose tip is it?",IF(IF(E1141="Deposit",IF(H1141="",I1141="",FALSE),FALSE),"Check - deposit not tied to a booking",IF(M1141="No","Due - not reconciled yet","OK"))))))))</f>
        <v>0</v>
      </c>
    </row>
    <row r="1142" spans="1:23">
      <c r="A1142" s="28">
        <f>IF(B1142="","",PaymentPrefix&amp;TEXT(ROW()-4,"0000"))</f>
        <v>0</v>
      </c>
      <c r="D1142" s="15">
        <f>IF(C1142="","",IFERROR(INDEX(Clients!$B$5:$B$504,MATCH(C1142,Clients!$A$5:$A$504,0)),"Walk-in"))</f>
        <v>0</v>
      </c>
      <c r="K1142" s="15">
        <f>IF(J1142="","",IFERROR(INDEX(Staff!$B$5:$B$44,MATCH(J1142,Staff!$A$5:$A$44,0)),""))</f>
        <v>0</v>
      </c>
      <c r="O1142" s="15">
        <f>IF(B1142="","",TEXT(B1142,"yyyy-mm"))</f>
        <v>0</v>
      </c>
      <c r="P1142" s="25">
        <f>IF(B1142="","",WEEKNUM(B1142,2))</f>
        <v>0</v>
      </c>
      <c r="Q1142" s="38">
        <f>IF(B1142="","",IF(E1142="Tip","No",IF(E1142="Refund","No","Yes")))</f>
        <v>0</v>
      </c>
      <c r="R1142" s="25">
        <f>IF(B1142="","",IF(E1142="Refund",-1,1))</f>
        <v>0</v>
      </c>
      <c r="S1142" s="26">
        <f>IF(B1142="","",IF(G1142="",0,IF(F1142="Card",ROUND(G1142*CardFeePercent+CardFeeFixed,2),IF(F1142="Online deposit",ROUND(G1142*CardFeePercent+CardFeeFixed,2),0))))</f>
        <v>0</v>
      </c>
      <c r="T1142" s="26">
        <f>IF(B1142="","",ROUND(IF(G1142="",0,G1142)*R1142-S1142,2))</f>
        <v>0</v>
      </c>
      <c r="U1142" s="38">
        <f>IF(B1142="","",IF(E1142="Tip","Yes","No"))</f>
        <v>0</v>
      </c>
      <c r="V1142" s="15">
        <f>IF(B1142="","",IF(H1142&lt;&gt;"","Sale "&amp;H1142,IF(I1142&lt;&gt;"","Booking "&amp;I1142,IF(E1142="Tip","Stylist","Unapplied"))))</f>
        <v>0</v>
      </c>
      <c r="W1142" s="39">
        <f>IF(B1142="","",IF(G1142="","Add - no amount yet",IF(E1142="","Add - what was this for?",IF(IF(H1142="",FALSE,COUNTIF(Sales!$A$5:$A$1204,H1142)=0),"Missing - no sale with that ID",IF(IF(I1142="",FALSE,COUNTIF(Appointments!$A$5:$A$1204,I1142)=0),"Missing - no booking with that ID",IF(IF(E1142="Tip",J1142="",FALSE),"Assign - whose tip is it?",IF(IF(E1142="Deposit",IF(H1142="",I1142="",FALSE),FALSE),"Check - deposit not tied to a booking",IF(M1142="No","Due - not reconciled yet","OK"))))))))</f>
        <v>0</v>
      </c>
    </row>
    <row r="1143" spans="1:23">
      <c r="A1143" s="28">
        <f>IF(B1143="","",PaymentPrefix&amp;TEXT(ROW()-4,"0000"))</f>
        <v>0</v>
      </c>
      <c r="D1143" s="15">
        <f>IF(C1143="","",IFERROR(INDEX(Clients!$B$5:$B$504,MATCH(C1143,Clients!$A$5:$A$504,0)),"Walk-in"))</f>
        <v>0</v>
      </c>
      <c r="K1143" s="15">
        <f>IF(J1143="","",IFERROR(INDEX(Staff!$B$5:$B$44,MATCH(J1143,Staff!$A$5:$A$44,0)),""))</f>
        <v>0</v>
      </c>
      <c r="O1143" s="15">
        <f>IF(B1143="","",TEXT(B1143,"yyyy-mm"))</f>
        <v>0</v>
      </c>
      <c r="P1143" s="25">
        <f>IF(B1143="","",WEEKNUM(B1143,2))</f>
        <v>0</v>
      </c>
      <c r="Q1143" s="38">
        <f>IF(B1143="","",IF(E1143="Tip","No",IF(E1143="Refund","No","Yes")))</f>
        <v>0</v>
      </c>
      <c r="R1143" s="25">
        <f>IF(B1143="","",IF(E1143="Refund",-1,1))</f>
        <v>0</v>
      </c>
      <c r="S1143" s="26">
        <f>IF(B1143="","",IF(G1143="",0,IF(F1143="Card",ROUND(G1143*CardFeePercent+CardFeeFixed,2),IF(F1143="Online deposit",ROUND(G1143*CardFeePercent+CardFeeFixed,2),0))))</f>
        <v>0</v>
      </c>
      <c r="T1143" s="26">
        <f>IF(B1143="","",ROUND(IF(G1143="",0,G1143)*R1143-S1143,2))</f>
        <v>0</v>
      </c>
      <c r="U1143" s="38">
        <f>IF(B1143="","",IF(E1143="Tip","Yes","No"))</f>
        <v>0</v>
      </c>
      <c r="V1143" s="15">
        <f>IF(B1143="","",IF(H1143&lt;&gt;"","Sale "&amp;H1143,IF(I1143&lt;&gt;"","Booking "&amp;I1143,IF(E1143="Tip","Stylist","Unapplied"))))</f>
        <v>0</v>
      </c>
      <c r="W1143" s="39">
        <f>IF(B1143="","",IF(G1143="","Add - no amount yet",IF(E1143="","Add - what was this for?",IF(IF(H1143="",FALSE,COUNTIF(Sales!$A$5:$A$1204,H1143)=0),"Missing - no sale with that ID",IF(IF(I1143="",FALSE,COUNTIF(Appointments!$A$5:$A$1204,I1143)=0),"Missing - no booking with that ID",IF(IF(E1143="Tip",J1143="",FALSE),"Assign - whose tip is it?",IF(IF(E1143="Deposit",IF(H1143="",I1143="",FALSE),FALSE),"Check - deposit not tied to a booking",IF(M1143="No","Due - not reconciled yet","OK"))))))))</f>
        <v>0</v>
      </c>
    </row>
    <row r="1144" spans="1:23">
      <c r="A1144" s="28">
        <f>IF(B1144="","",PaymentPrefix&amp;TEXT(ROW()-4,"0000"))</f>
        <v>0</v>
      </c>
      <c r="D1144" s="15">
        <f>IF(C1144="","",IFERROR(INDEX(Clients!$B$5:$B$504,MATCH(C1144,Clients!$A$5:$A$504,0)),"Walk-in"))</f>
        <v>0</v>
      </c>
      <c r="K1144" s="15">
        <f>IF(J1144="","",IFERROR(INDEX(Staff!$B$5:$B$44,MATCH(J1144,Staff!$A$5:$A$44,0)),""))</f>
        <v>0</v>
      </c>
      <c r="O1144" s="15">
        <f>IF(B1144="","",TEXT(B1144,"yyyy-mm"))</f>
        <v>0</v>
      </c>
      <c r="P1144" s="25">
        <f>IF(B1144="","",WEEKNUM(B1144,2))</f>
        <v>0</v>
      </c>
      <c r="Q1144" s="38">
        <f>IF(B1144="","",IF(E1144="Tip","No",IF(E1144="Refund","No","Yes")))</f>
        <v>0</v>
      </c>
      <c r="R1144" s="25">
        <f>IF(B1144="","",IF(E1144="Refund",-1,1))</f>
        <v>0</v>
      </c>
      <c r="S1144" s="26">
        <f>IF(B1144="","",IF(G1144="",0,IF(F1144="Card",ROUND(G1144*CardFeePercent+CardFeeFixed,2),IF(F1144="Online deposit",ROUND(G1144*CardFeePercent+CardFeeFixed,2),0))))</f>
        <v>0</v>
      </c>
      <c r="T1144" s="26">
        <f>IF(B1144="","",ROUND(IF(G1144="",0,G1144)*R1144-S1144,2))</f>
        <v>0</v>
      </c>
      <c r="U1144" s="38">
        <f>IF(B1144="","",IF(E1144="Tip","Yes","No"))</f>
        <v>0</v>
      </c>
      <c r="V1144" s="15">
        <f>IF(B1144="","",IF(H1144&lt;&gt;"","Sale "&amp;H1144,IF(I1144&lt;&gt;"","Booking "&amp;I1144,IF(E1144="Tip","Stylist","Unapplied"))))</f>
        <v>0</v>
      </c>
      <c r="W1144" s="39">
        <f>IF(B1144="","",IF(G1144="","Add - no amount yet",IF(E1144="","Add - what was this for?",IF(IF(H1144="",FALSE,COUNTIF(Sales!$A$5:$A$1204,H1144)=0),"Missing - no sale with that ID",IF(IF(I1144="",FALSE,COUNTIF(Appointments!$A$5:$A$1204,I1144)=0),"Missing - no booking with that ID",IF(IF(E1144="Tip",J1144="",FALSE),"Assign - whose tip is it?",IF(IF(E1144="Deposit",IF(H1144="",I1144="",FALSE),FALSE),"Check - deposit not tied to a booking",IF(M1144="No","Due - not reconciled yet","OK"))))))))</f>
        <v>0</v>
      </c>
    </row>
    <row r="1145" spans="1:23">
      <c r="A1145" s="28">
        <f>IF(B1145="","",PaymentPrefix&amp;TEXT(ROW()-4,"0000"))</f>
        <v>0</v>
      </c>
      <c r="D1145" s="15">
        <f>IF(C1145="","",IFERROR(INDEX(Clients!$B$5:$B$504,MATCH(C1145,Clients!$A$5:$A$504,0)),"Walk-in"))</f>
        <v>0</v>
      </c>
      <c r="K1145" s="15">
        <f>IF(J1145="","",IFERROR(INDEX(Staff!$B$5:$B$44,MATCH(J1145,Staff!$A$5:$A$44,0)),""))</f>
        <v>0</v>
      </c>
      <c r="O1145" s="15">
        <f>IF(B1145="","",TEXT(B1145,"yyyy-mm"))</f>
        <v>0</v>
      </c>
      <c r="P1145" s="25">
        <f>IF(B1145="","",WEEKNUM(B1145,2))</f>
        <v>0</v>
      </c>
      <c r="Q1145" s="38">
        <f>IF(B1145="","",IF(E1145="Tip","No",IF(E1145="Refund","No","Yes")))</f>
        <v>0</v>
      </c>
      <c r="R1145" s="25">
        <f>IF(B1145="","",IF(E1145="Refund",-1,1))</f>
        <v>0</v>
      </c>
      <c r="S1145" s="26">
        <f>IF(B1145="","",IF(G1145="",0,IF(F1145="Card",ROUND(G1145*CardFeePercent+CardFeeFixed,2),IF(F1145="Online deposit",ROUND(G1145*CardFeePercent+CardFeeFixed,2),0))))</f>
        <v>0</v>
      </c>
      <c r="T1145" s="26">
        <f>IF(B1145="","",ROUND(IF(G1145="",0,G1145)*R1145-S1145,2))</f>
        <v>0</v>
      </c>
      <c r="U1145" s="38">
        <f>IF(B1145="","",IF(E1145="Tip","Yes","No"))</f>
        <v>0</v>
      </c>
      <c r="V1145" s="15">
        <f>IF(B1145="","",IF(H1145&lt;&gt;"","Sale "&amp;H1145,IF(I1145&lt;&gt;"","Booking "&amp;I1145,IF(E1145="Tip","Stylist","Unapplied"))))</f>
        <v>0</v>
      </c>
      <c r="W1145" s="39">
        <f>IF(B1145="","",IF(G1145="","Add - no amount yet",IF(E1145="","Add - what was this for?",IF(IF(H1145="",FALSE,COUNTIF(Sales!$A$5:$A$1204,H1145)=0),"Missing - no sale with that ID",IF(IF(I1145="",FALSE,COUNTIF(Appointments!$A$5:$A$1204,I1145)=0),"Missing - no booking with that ID",IF(IF(E1145="Tip",J1145="",FALSE),"Assign - whose tip is it?",IF(IF(E1145="Deposit",IF(H1145="",I1145="",FALSE),FALSE),"Check - deposit not tied to a booking",IF(M1145="No","Due - not reconciled yet","OK"))))))))</f>
        <v>0</v>
      </c>
    </row>
    <row r="1146" spans="1:23">
      <c r="A1146" s="28">
        <f>IF(B1146="","",PaymentPrefix&amp;TEXT(ROW()-4,"0000"))</f>
        <v>0</v>
      </c>
      <c r="D1146" s="15">
        <f>IF(C1146="","",IFERROR(INDEX(Clients!$B$5:$B$504,MATCH(C1146,Clients!$A$5:$A$504,0)),"Walk-in"))</f>
        <v>0</v>
      </c>
      <c r="K1146" s="15">
        <f>IF(J1146="","",IFERROR(INDEX(Staff!$B$5:$B$44,MATCH(J1146,Staff!$A$5:$A$44,0)),""))</f>
        <v>0</v>
      </c>
      <c r="O1146" s="15">
        <f>IF(B1146="","",TEXT(B1146,"yyyy-mm"))</f>
        <v>0</v>
      </c>
      <c r="P1146" s="25">
        <f>IF(B1146="","",WEEKNUM(B1146,2))</f>
        <v>0</v>
      </c>
      <c r="Q1146" s="38">
        <f>IF(B1146="","",IF(E1146="Tip","No",IF(E1146="Refund","No","Yes")))</f>
        <v>0</v>
      </c>
      <c r="R1146" s="25">
        <f>IF(B1146="","",IF(E1146="Refund",-1,1))</f>
        <v>0</v>
      </c>
      <c r="S1146" s="26">
        <f>IF(B1146="","",IF(G1146="",0,IF(F1146="Card",ROUND(G1146*CardFeePercent+CardFeeFixed,2),IF(F1146="Online deposit",ROUND(G1146*CardFeePercent+CardFeeFixed,2),0))))</f>
        <v>0</v>
      </c>
      <c r="T1146" s="26">
        <f>IF(B1146="","",ROUND(IF(G1146="",0,G1146)*R1146-S1146,2))</f>
        <v>0</v>
      </c>
      <c r="U1146" s="38">
        <f>IF(B1146="","",IF(E1146="Tip","Yes","No"))</f>
        <v>0</v>
      </c>
      <c r="V1146" s="15">
        <f>IF(B1146="","",IF(H1146&lt;&gt;"","Sale "&amp;H1146,IF(I1146&lt;&gt;"","Booking "&amp;I1146,IF(E1146="Tip","Stylist","Unapplied"))))</f>
        <v>0</v>
      </c>
      <c r="W1146" s="39">
        <f>IF(B1146="","",IF(G1146="","Add - no amount yet",IF(E1146="","Add - what was this for?",IF(IF(H1146="",FALSE,COUNTIF(Sales!$A$5:$A$1204,H1146)=0),"Missing - no sale with that ID",IF(IF(I1146="",FALSE,COUNTIF(Appointments!$A$5:$A$1204,I1146)=0),"Missing - no booking with that ID",IF(IF(E1146="Tip",J1146="",FALSE),"Assign - whose tip is it?",IF(IF(E1146="Deposit",IF(H1146="",I1146="",FALSE),FALSE),"Check - deposit not tied to a booking",IF(M1146="No","Due - not reconciled yet","OK"))))))))</f>
        <v>0</v>
      </c>
    </row>
    <row r="1147" spans="1:23">
      <c r="A1147" s="28">
        <f>IF(B1147="","",PaymentPrefix&amp;TEXT(ROW()-4,"0000"))</f>
        <v>0</v>
      </c>
      <c r="D1147" s="15">
        <f>IF(C1147="","",IFERROR(INDEX(Clients!$B$5:$B$504,MATCH(C1147,Clients!$A$5:$A$504,0)),"Walk-in"))</f>
        <v>0</v>
      </c>
      <c r="K1147" s="15">
        <f>IF(J1147="","",IFERROR(INDEX(Staff!$B$5:$B$44,MATCH(J1147,Staff!$A$5:$A$44,0)),""))</f>
        <v>0</v>
      </c>
      <c r="O1147" s="15">
        <f>IF(B1147="","",TEXT(B1147,"yyyy-mm"))</f>
        <v>0</v>
      </c>
      <c r="P1147" s="25">
        <f>IF(B1147="","",WEEKNUM(B1147,2))</f>
        <v>0</v>
      </c>
      <c r="Q1147" s="38">
        <f>IF(B1147="","",IF(E1147="Tip","No",IF(E1147="Refund","No","Yes")))</f>
        <v>0</v>
      </c>
      <c r="R1147" s="25">
        <f>IF(B1147="","",IF(E1147="Refund",-1,1))</f>
        <v>0</v>
      </c>
      <c r="S1147" s="26">
        <f>IF(B1147="","",IF(G1147="",0,IF(F1147="Card",ROUND(G1147*CardFeePercent+CardFeeFixed,2),IF(F1147="Online deposit",ROUND(G1147*CardFeePercent+CardFeeFixed,2),0))))</f>
        <v>0</v>
      </c>
      <c r="T1147" s="26">
        <f>IF(B1147="","",ROUND(IF(G1147="",0,G1147)*R1147-S1147,2))</f>
        <v>0</v>
      </c>
      <c r="U1147" s="38">
        <f>IF(B1147="","",IF(E1147="Tip","Yes","No"))</f>
        <v>0</v>
      </c>
      <c r="V1147" s="15">
        <f>IF(B1147="","",IF(H1147&lt;&gt;"","Sale "&amp;H1147,IF(I1147&lt;&gt;"","Booking "&amp;I1147,IF(E1147="Tip","Stylist","Unapplied"))))</f>
        <v>0</v>
      </c>
      <c r="W1147" s="39">
        <f>IF(B1147="","",IF(G1147="","Add - no amount yet",IF(E1147="","Add - what was this for?",IF(IF(H1147="",FALSE,COUNTIF(Sales!$A$5:$A$1204,H1147)=0),"Missing - no sale with that ID",IF(IF(I1147="",FALSE,COUNTIF(Appointments!$A$5:$A$1204,I1147)=0),"Missing - no booking with that ID",IF(IF(E1147="Tip",J1147="",FALSE),"Assign - whose tip is it?",IF(IF(E1147="Deposit",IF(H1147="",I1147="",FALSE),FALSE),"Check - deposit not tied to a booking",IF(M1147="No","Due - not reconciled yet","OK"))))))))</f>
        <v>0</v>
      </c>
    </row>
    <row r="1148" spans="1:23">
      <c r="A1148" s="28">
        <f>IF(B1148="","",PaymentPrefix&amp;TEXT(ROW()-4,"0000"))</f>
        <v>0</v>
      </c>
      <c r="D1148" s="15">
        <f>IF(C1148="","",IFERROR(INDEX(Clients!$B$5:$B$504,MATCH(C1148,Clients!$A$5:$A$504,0)),"Walk-in"))</f>
        <v>0</v>
      </c>
      <c r="K1148" s="15">
        <f>IF(J1148="","",IFERROR(INDEX(Staff!$B$5:$B$44,MATCH(J1148,Staff!$A$5:$A$44,0)),""))</f>
        <v>0</v>
      </c>
      <c r="O1148" s="15">
        <f>IF(B1148="","",TEXT(B1148,"yyyy-mm"))</f>
        <v>0</v>
      </c>
      <c r="P1148" s="25">
        <f>IF(B1148="","",WEEKNUM(B1148,2))</f>
        <v>0</v>
      </c>
      <c r="Q1148" s="38">
        <f>IF(B1148="","",IF(E1148="Tip","No",IF(E1148="Refund","No","Yes")))</f>
        <v>0</v>
      </c>
      <c r="R1148" s="25">
        <f>IF(B1148="","",IF(E1148="Refund",-1,1))</f>
        <v>0</v>
      </c>
      <c r="S1148" s="26">
        <f>IF(B1148="","",IF(G1148="",0,IF(F1148="Card",ROUND(G1148*CardFeePercent+CardFeeFixed,2),IF(F1148="Online deposit",ROUND(G1148*CardFeePercent+CardFeeFixed,2),0))))</f>
        <v>0</v>
      </c>
      <c r="T1148" s="26">
        <f>IF(B1148="","",ROUND(IF(G1148="",0,G1148)*R1148-S1148,2))</f>
        <v>0</v>
      </c>
      <c r="U1148" s="38">
        <f>IF(B1148="","",IF(E1148="Tip","Yes","No"))</f>
        <v>0</v>
      </c>
      <c r="V1148" s="15">
        <f>IF(B1148="","",IF(H1148&lt;&gt;"","Sale "&amp;H1148,IF(I1148&lt;&gt;"","Booking "&amp;I1148,IF(E1148="Tip","Stylist","Unapplied"))))</f>
        <v>0</v>
      </c>
      <c r="W1148" s="39">
        <f>IF(B1148="","",IF(G1148="","Add - no amount yet",IF(E1148="","Add - what was this for?",IF(IF(H1148="",FALSE,COUNTIF(Sales!$A$5:$A$1204,H1148)=0),"Missing - no sale with that ID",IF(IF(I1148="",FALSE,COUNTIF(Appointments!$A$5:$A$1204,I1148)=0),"Missing - no booking with that ID",IF(IF(E1148="Tip",J1148="",FALSE),"Assign - whose tip is it?",IF(IF(E1148="Deposit",IF(H1148="",I1148="",FALSE),FALSE),"Check - deposit not tied to a booking",IF(M1148="No","Due - not reconciled yet","OK"))))))))</f>
        <v>0</v>
      </c>
    </row>
    <row r="1149" spans="1:23">
      <c r="A1149" s="28">
        <f>IF(B1149="","",PaymentPrefix&amp;TEXT(ROW()-4,"0000"))</f>
        <v>0</v>
      </c>
      <c r="D1149" s="15">
        <f>IF(C1149="","",IFERROR(INDEX(Clients!$B$5:$B$504,MATCH(C1149,Clients!$A$5:$A$504,0)),"Walk-in"))</f>
        <v>0</v>
      </c>
      <c r="K1149" s="15">
        <f>IF(J1149="","",IFERROR(INDEX(Staff!$B$5:$B$44,MATCH(J1149,Staff!$A$5:$A$44,0)),""))</f>
        <v>0</v>
      </c>
      <c r="O1149" s="15">
        <f>IF(B1149="","",TEXT(B1149,"yyyy-mm"))</f>
        <v>0</v>
      </c>
      <c r="P1149" s="25">
        <f>IF(B1149="","",WEEKNUM(B1149,2))</f>
        <v>0</v>
      </c>
      <c r="Q1149" s="38">
        <f>IF(B1149="","",IF(E1149="Tip","No",IF(E1149="Refund","No","Yes")))</f>
        <v>0</v>
      </c>
      <c r="R1149" s="25">
        <f>IF(B1149="","",IF(E1149="Refund",-1,1))</f>
        <v>0</v>
      </c>
      <c r="S1149" s="26">
        <f>IF(B1149="","",IF(G1149="",0,IF(F1149="Card",ROUND(G1149*CardFeePercent+CardFeeFixed,2),IF(F1149="Online deposit",ROUND(G1149*CardFeePercent+CardFeeFixed,2),0))))</f>
        <v>0</v>
      </c>
      <c r="T1149" s="26">
        <f>IF(B1149="","",ROUND(IF(G1149="",0,G1149)*R1149-S1149,2))</f>
        <v>0</v>
      </c>
      <c r="U1149" s="38">
        <f>IF(B1149="","",IF(E1149="Tip","Yes","No"))</f>
        <v>0</v>
      </c>
      <c r="V1149" s="15">
        <f>IF(B1149="","",IF(H1149&lt;&gt;"","Sale "&amp;H1149,IF(I1149&lt;&gt;"","Booking "&amp;I1149,IF(E1149="Tip","Stylist","Unapplied"))))</f>
        <v>0</v>
      </c>
      <c r="W1149" s="39">
        <f>IF(B1149="","",IF(G1149="","Add - no amount yet",IF(E1149="","Add - what was this for?",IF(IF(H1149="",FALSE,COUNTIF(Sales!$A$5:$A$1204,H1149)=0),"Missing - no sale with that ID",IF(IF(I1149="",FALSE,COUNTIF(Appointments!$A$5:$A$1204,I1149)=0),"Missing - no booking with that ID",IF(IF(E1149="Tip",J1149="",FALSE),"Assign - whose tip is it?",IF(IF(E1149="Deposit",IF(H1149="",I1149="",FALSE),FALSE),"Check - deposit not tied to a booking",IF(M1149="No","Due - not reconciled yet","OK"))))))))</f>
        <v>0</v>
      </c>
    </row>
    <row r="1150" spans="1:23">
      <c r="A1150" s="28">
        <f>IF(B1150="","",PaymentPrefix&amp;TEXT(ROW()-4,"0000"))</f>
        <v>0</v>
      </c>
      <c r="D1150" s="15">
        <f>IF(C1150="","",IFERROR(INDEX(Clients!$B$5:$B$504,MATCH(C1150,Clients!$A$5:$A$504,0)),"Walk-in"))</f>
        <v>0</v>
      </c>
      <c r="K1150" s="15">
        <f>IF(J1150="","",IFERROR(INDEX(Staff!$B$5:$B$44,MATCH(J1150,Staff!$A$5:$A$44,0)),""))</f>
        <v>0</v>
      </c>
      <c r="O1150" s="15">
        <f>IF(B1150="","",TEXT(B1150,"yyyy-mm"))</f>
        <v>0</v>
      </c>
      <c r="P1150" s="25">
        <f>IF(B1150="","",WEEKNUM(B1150,2))</f>
        <v>0</v>
      </c>
      <c r="Q1150" s="38">
        <f>IF(B1150="","",IF(E1150="Tip","No",IF(E1150="Refund","No","Yes")))</f>
        <v>0</v>
      </c>
      <c r="R1150" s="25">
        <f>IF(B1150="","",IF(E1150="Refund",-1,1))</f>
        <v>0</v>
      </c>
      <c r="S1150" s="26">
        <f>IF(B1150="","",IF(G1150="",0,IF(F1150="Card",ROUND(G1150*CardFeePercent+CardFeeFixed,2),IF(F1150="Online deposit",ROUND(G1150*CardFeePercent+CardFeeFixed,2),0))))</f>
        <v>0</v>
      </c>
      <c r="T1150" s="26">
        <f>IF(B1150="","",ROUND(IF(G1150="",0,G1150)*R1150-S1150,2))</f>
        <v>0</v>
      </c>
      <c r="U1150" s="38">
        <f>IF(B1150="","",IF(E1150="Tip","Yes","No"))</f>
        <v>0</v>
      </c>
      <c r="V1150" s="15">
        <f>IF(B1150="","",IF(H1150&lt;&gt;"","Sale "&amp;H1150,IF(I1150&lt;&gt;"","Booking "&amp;I1150,IF(E1150="Tip","Stylist","Unapplied"))))</f>
        <v>0</v>
      </c>
      <c r="W1150" s="39">
        <f>IF(B1150="","",IF(G1150="","Add - no amount yet",IF(E1150="","Add - what was this for?",IF(IF(H1150="",FALSE,COUNTIF(Sales!$A$5:$A$1204,H1150)=0),"Missing - no sale with that ID",IF(IF(I1150="",FALSE,COUNTIF(Appointments!$A$5:$A$1204,I1150)=0),"Missing - no booking with that ID",IF(IF(E1150="Tip",J1150="",FALSE),"Assign - whose tip is it?",IF(IF(E1150="Deposit",IF(H1150="",I1150="",FALSE),FALSE),"Check - deposit not tied to a booking",IF(M1150="No","Due - not reconciled yet","OK"))))))))</f>
        <v>0</v>
      </c>
    </row>
    <row r="1151" spans="1:23">
      <c r="A1151" s="28">
        <f>IF(B1151="","",PaymentPrefix&amp;TEXT(ROW()-4,"0000"))</f>
        <v>0</v>
      </c>
      <c r="D1151" s="15">
        <f>IF(C1151="","",IFERROR(INDEX(Clients!$B$5:$B$504,MATCH(C1151,Clients!$A$5:$A$504,0)),"Walk-in"))</f>
        <v>0</v>
      </c>
      <c r="K1151" s="15">
        <f>IF(J1151="","",IFERROR(INDEX(Staff!$B$5:$B$44,MATCH(J1151,Staff!$A$5:$A$44,0)),""))</f>
        <v>0</v>
      </c>
      <c r="O1151" s="15">
        <f>IF(B1151="","",TEXT(B1151,"yyyy-mm"))</f>
        <v>0</v>
      </c>
      <c r="P1151" s="25">
        <f>IF(B1151="","",WEEKNUM(B1151,2))</f>
        <v>0</v>
      </c>
      <c r="Q1151" s="38">
        <f>IF(B1151="","",IF(E1151="Tip","No",IF(E1151="Refund","No","Yes")))</f>
        <v>0</v>
      </c>
      <c r="R1151" s="25">
        <f>IF(B1151="","",IF(E1151="Refund",-1,1))</f>
        <v>0</v>
      </c>
      <c r="S1151" s="26">
        <f>IF(B1151="","",IF(G1151="",0,IF(F1151="Card",ROUND(G1151*CardFeePercent+CardFeeFixed,2),IF(F1151="Online deposit",ROUND(G1151*CardFeePercent+CardFeeFixed,2),0))))</f>
        <v>0</v>
      </c>
      <c r="T1151" s="26">
        <f>IF(B1151="","",ROUND(IF(G1151="",0,G1151)*R1151-S1151,2))</f>
        <v>0</v>
      </c>
      <c r="U1151" s="38">
        <f>IF(B1151="","",IF(E1151="Tip","Yes","No"))</f>
        <v>0</v>
      </c>
      <c r="V1151" s="15">
        <f>IF(B1151="","",IF(H1151&lt;&gt;"","Sale "&amp;H1151,IF(I1151&lt;&gt;"","Booking "&amp;I1151,IF(E1151="Tip","Stylist","Unapplied"))))</f>
        <v>0</v>
      </c>
      <c r="W1151" s="39">
        <f>IF(B1151="","",IF(G1151="","Add - no amount yet",IF(E1151="","Add - what was this for?",IF(IF(H1151="",FALSE,COUNTIF(Sales!$A$5:$A$1204,H1151)=0),"Missing - no sale with that ID",IF(IF(I1151="",FALSE,COUNTIF(Appointments!$A$5:$A$1204,I1151)=0),"Missing - no booking with that ID",IF(IF(E1151="Tip",J1151="",FALSE),"Assign - whose tip is it?",IF(IF(E1151="Deposit",IF(H1151="",I1151="",FALSE),FALSE),"Check - deposit not tied to a booking",IF(M1151="No","Due - not reconciled yet","OK"))))))))</f>
        <v>0</v>
      </c>
    </row>
    <row r="1152" spans="1:23">
      <c r="A1152" s="28">
        <f>IF(B1152="","",PaymentPrefix&amp;TEXT(ROW()-4,"0000"))</f>
        <v>0</v>
      </c>
      <c r="D1152" s="15">
        <f>IF(C1152="","",IFERROR(INDEX(Clients!$B$5:$B$504,MATCH(C1152,Clients!$A$5:$A$504,0)),"Walk-in"))</f>
        <v>0</v>
      </c>
      <c r="K1152" s="15">
        <f>IF(J1152="","",IFERROR(INDEX(Staff!$B$5:$B$44,MATCH(J1152,Staff!$A$5:$A$44,0)),""))</f>
        <v>0</v>
      </c>
      <c r="O1152" s="15">
        <f>IF(B1152="","",TEXT(B1152,"yyyy-mm"))</f>
        <v>0</v>
      </c>
      <c r="P1152" s="25">
        <f>IF(B1152="","",WEEKNUM(B1152,2))</f>
        <v>0</v>
      </c>
      <c r="Q1152" s="38">
        <f>IF(B1152="","",IF(E1152="Tip","No",IF(E1152="Refund","No","Yes")))</f>
        <v>0</v>
      </c>
      <c r="R1152" s="25">
        <f>IF(B1152="","",IF(E1152="Refund",-1,1))</f>
        <v>0</v>
      </c>
      <c r="S1152" s="26">
        <f>IF(B1152="","",IF(G1152="",0,IF(F1152="Card",ROUND(G1152*CardFeePercent+CardFeeFixed,2),IF(F1152="Online deposit",ROUND(G1152*CardFeePercent+CardFeeFixed,2),0))))</f>
        <v>0</v>
      </c>
      <c r="T1152" s="26">
        <f>IF(B1152="","",ROUND(IF(G1152="",0,G1152)*R1152-S1152,2))</f>
        <v>0</v>
      </c>
      <c r="U1152" s="38">
        <f>IF(B1152="","",IF(E1152="Tip","Yes","No"))</f>
        <v>0</v>
      </c>
      <c r="V1152" s="15">
        <f>IF(B1152="","",IF(H1152&lt;&gt;"","Sale "&amp;H1152,IF(I1152&lt;&gt;"","Booking "&amp;I1152,IF(E1152="Tip","Stylist","Unapplied"))))</f>
        <v>0</v>
      </c>
      <c r="W1152" s="39">
        <f>IF(B1152="","",IF(G1152="","Add - no amount yet",IF(E1152="","Add - what was this for?",IF(IF(H1152="",FALSE,COUNTIF(Sales!$A$5:$A$1204,H1152)=0),"Missing - no sale with that ID",IF(IF(I1152="",FALSE,COUNTIF(Appointments!$A$5:$A$1204,I1152)=0),"Missing - no booking with that ID",IF(IF(E1152="Tip",J1152="",FALSE),"Assign - whose tip is it?",IF(IF(E1152="Deposit",IF(H1152="",I1152="",FALSE),FALSE),"Check - deposit not tied to a booking",IF(M1152="No","Due - not reconciled yet","OK"))))))))</f>
        <v>0</v>
      </c>
    </row>
    <row r="1153" spans="1:23">
      <c r="A1153" s="28">
        <f>IF(B1153="","",PaymentPrefix&amp;TEXT(ROW()-4,"0000"))</f>
        <v>0</v>
      </c>
      <c r="D1153" s="15">
        <f>IF(C1153="","",IFERROR(INDEX(Clients!$B$5:$B$504,MATCH(C1153,Clients!$A$5:$A$504,0)),"Walk-in"))</f>
        <v>0</v>
      </c>
      <c r="K1153" s="15">
        <f>IF(J1153="","",IFERROR(INDEX(Staff!$B$5:$B$44,MATCH(J1153,Staff!$A$5:$A$44,0)),""))</f>
        <v>0</v>
      </c>
      <c r="O1153" s="15">
        <f>IF(B1153="","",TEXT(B1153,"yyyy-mm"))</f>
        <v>0</v>
      </c>
      <c r="P1153" s="25">
        <f>IF(B1153="","",WEEKNUM(B1153,2))</f>
        <v>0</v>
      </c>
      <c r="Q1153" s="38">
        <f>IF(B1153="","",IF(E1153="Tip","No",IF(E1153="Refund","No","Yes")))</f>
        <v>0</v>
      </c>
      <c r="R1153" s="25">
        <f>IF(B1153="","",IF(E1153="Refund",-1,1))</f>
        <v>0</v>
      </c>
      <c r="S1153" s="26">
        <f>IF(B1153="","",IF(G1153="",0,IF(F1153="Card",ROUND(G1153*CardFeePercent+CardFeeFixed,2),IF(F1153="Online deposit",ROUND(G1153*CardFeePercent+CardFeeFixed,2),0))))</f>
        <v>0</v>
      </c>
      <c r="T1153" s="26">
        <f>IF(B1153="","",ROUND(IF(G1153="",0,G1153)*R1153-S1153,2))</f>
        <v>0</v>
      </c>
      <c r="U1153" s="38">
        <f>IF(B1153="","",IF(E1153="Tip","Yes","No"))</f>
        <v>0</v>
      </c>
      <c r="V1153" s="15">
        <f>IF(B1153="","",IF(H1153&lt;&gt;"","Sale "&amp;H1153,IF(I1153&lt;&gt;"","Booking "&amp;I1153,IF(E1153="Tip","Stylist","Unapplied"))))</f>
        <v>0</v>
      </c>
      <c r="W1153" s="39">
        <f>IF(B1153="","",IF(G1153="","Add - no amount yet",IF(E1153="","Add - what was this for?",IF(IF(H1153="",FALSE,COUNTIF(Sales!$A$5:$A$1204,H1153)=0),"Missing - no sale with that ID",IF(IF(I1153="",FALSE,COUNTIF(Appointments!$A$5:$A$1204,I1153)=0),"Missing - no booking with that ID",IF(IF(E1153="Tip",J1153="",FALSE),"Assign - whose tip is it?",IF(IF(E1153="Deposit",IF(H1153="",I1153="",FALSE),FALSE),"Check - deposit not tied to a booking",IF(M1153="No","Due - not reconciled yet","OK"))))))))</f>
        <v>0</v>
      </c>
    </row>
    <row r="1154" spans="1:23">
      <c r="A1154" s="28">
        <f>IF(B1154="","",PaymentPrefix&amp;TEXT(ROW()-4,"0000"))</f>
        <v>0</v>
      </c>
      <c r="D1154" s="15">
        <f>IF(C1154="","",IFERROR(INDEX(Clients!$B$5:$B$504,MATCH(C1154,Clients!$A$5:$A$504,0)),"Walk-in"))</f>
        <v>0</v>
      </c>
      <c r="K1154" s="15">
        <f>IF(J1154="","",IFERROR(INDEX(Staff!$B$5:$B$44,MATCH(J1154,Staff!$A$5:$A$44,0)),""))</f>
        <v>0</v>
      </c>
      <c r="O1154" s="15">
        <f>IF(B1154="","",TEXT(B1154,"yyyy-mm"))</f>
        <v>0</v>
      </c>
      <c r="P1154" s="25">
        <f>IF(B1154="","",WEEKNUM(B1154,2))</f>
        <v>0</v>
      </c>
      <c r="Q1154" s="38">
        <f>IF(B1154="","",IF(E1154="Tip","No",IF(E1154="Refund","No","Yes")))</f>
        <v>0</v>
      </c>
      <c r="R1154" s="25">
        <f>IF(B1154="","",IF(E1154="Refund",-1,1))</f>
        <v>0</v>
      </c>
      <c r="S1154" s="26">
        <f>IF(B1154="","",IF(G1154="",0,IF(F1154="Card",ROUND(G1154*CardFeePercent+CardFeeFixed,2),IF(F1154="Online deposit",ROUND(G1154*CardFeePercent+CardFeeFixed,2),0))))</f>
        <v>0</v>
      </c>
      <c r="T1154" s="26">
        <f>IF(B1154="","",ROUND(IF(G1154="",0,G1154)*R1154-S1154,2))</f>
        <v>0</v>
      </c>
      <c r="U1154" s="38">
        <f>IF(B1154="","",IF(E1154="Tip","Yes","No"))</f>
        <v>0</v>
      </c>
      <c r="V1154" s="15">
        <f>IF(B1154="","",IF(H1154&lt;&gt;"","Sale "&amp;H1154,IF(I1154&lt;&gt;"","Booking "&amp;I1154,IF(E1154="Tip","Stylist","Unapplied"))))</f>
        <v>0</v>
      </c>
      <c r="W1154" s="39">
        <f>IF(B1154="","",IF(G1154="","Add - no amount yet",IF(E1154="","Add - what was this for?",IF(IF(H1154="",FALSE,COUNTIF(Sales!$A$5:$A$1204,H1154)=0),"Missing - no sale with that ID",IF(IF(I1154="",FALSE,COUNTIF(Appointments!$A$5:$A$1204,I1154)=0),"Missing - no booking with that ID",IF(IF(E1154="Tip",J1154="",FALSE),"Assign - whose tip is it?",IF(IF(E1154="Deposit",IF(H1154="",I1154="",FALSE),FALSE),"Check - deposit not tied to a booking",IF(M1154="No","Due - not reconciled yet","OK"))))))))</f>
        <v>0</v>
      </c>
    </row>
    <row r="1155" spans="1:23">
      <c r="A1155" s="28">
        <f>IF(B1155="","",PaymentPrefix&amp;TEXT(ROW()-4,"0000"))</f>
        <v>0</v>
      </c>
      <c r="D1155" s="15">
        <f>IF(C1155="","",IFERROR(INDEX(Clients!$B$5:$B$504,MATCH(C1155,Clients!$A$5:$A$504,0)),"Walk-in"))</f>
        <v>0</v>
      </c>
      <c r="K1155" s="15">
        <f>IF(J1155="","",IFERROR(INDEX(Staff!$B$5:$B$44,MATCH(J1155,Staff!$A$5:$A$44,0)),""))</f>
        <v>0</v>
      </c>
      <c r="O1155" s="15">
        <f>IF(B1155="","",TEXT(B1155,"yyyy-mm"))</f>
        <v>0</v>
      </c>
      <c r="P1155" s="25">
        <f>IF(B1155="","",WEEKNUM(B1155,2))</f>
        <v>0</v>
      </c>
      <c r="Q1155" s="38">
        <f>IF(B1155="","",IF(E1155="Tip","No",IF(E1155="Refund","No","Yes")))</f>
        <v>0</v>
      </c>
      <c r="R1155" s="25">
        <f>IF(B1155="","",IF(E1155="Refund",-1,1))</f>
        <v>0</v>
      </c>
      <c r="S1155" s="26">
        <f>IF(B1155="","",IF(G1155="",0,IF(F1155="Card",ROUND(G1155*CardFeePercent+CardFeeFixed,2),IF(F1155="Online deposit",ROUND(G1155*CardFeePercent+CardFeeFixed,2),0))))</f>
        <v>0</v>
      </c>
      <c r="T1155" s="26">
        <f>IF(B1155="","",ROUND(IF(G1155="",0,G1155)*R1155-S1155,2))</f>
        <v>0</v>
      </c>
      <c r="U1155" s="38">
        <f>IF(B1155="","",IF(E1155="Tip","Yes","No"))</f>
        <v>0</v>
      </c>
      <c r="V1155" s="15">
        <f>IF(B1155="","",IF(H1155&lt;&gt;"","Sale "&amp;H1155,IF(I1155&lt;&gt;"","Booking "&amp;I1155,IF(E1155="Tip","Stylist","Unapplied"))))</f>
        <v>0</v>
      </c>
      <c r="W1155" s="39">
        <f>IF(B1155="","",IF(G1155="","Add - no amount yet",IF(E1155="","Add - what was this for?",IF(IF(H1155="",FALSE,COUNTIF(Sales!$A$5:$A$1204,H1155)=0),"Missing - no sale with that ID",IF(IF(I1155="",FALSE,COUNTIF(Appointments!$A$5:$A$1204,I1155)=0),"Missing - no booking with that ID",IF(IF(E1155="Tip",J1155="",FALSE),"Assign - whose tip is it?",IF(IF(E1155="Deposit",IF(H1155="",I1155="",FALSE),FALSE),"Check - deposit not tied to a booking",IF(M1155="No","Due - not reconciled yet","OK"))))))))</f>
        <v>0</v>
      </c>
    </row>
    <row r="1156" spans="1:23">
      <c r="A1156" s="28">
        <f>IF(B1156="","",PaymentPrefix&amp;TEXT(ROW()-4,"0000"))</f>
        <v>0</v>
      </c>
      <c r="D1156" s="15">
        <f>IF(C1156="","",IFERROR(INDEX(Clients!$B$5:$B$504,MATCH(C1156,Clients!$A$5:$A$504,0)),"Walk-in"))</f>
        <v>0</v>
      </c>
      <c r="K1156" s="15">
        <f>IF(J1156="","",IFERROR(INDEX(Staff!$B$5:$B$44,MATCH(J1156,Staff!$A$5:$A$44,0)),""))</f>
        <v>0</v>
      </c>
      <c r="O1156" s="15">
        <f>IF(B1156="","",TEXT(B1156,"yyyy-mm"))</f>
        <v>0</v>
      </c>
      <c r="P1156" s="25">
        <f>IF(B1156="","",WEEKNUM(B1156,2))</f>
        <v>0</v>
      </c>
      <c r="Q1156" s="38">
        <f>IF(B1156="","",IF(E1156="Tip","No",IF(E1156="Refund","No","Yes")))</f>
        <v>0</v>
      </c>
      <c r="R1156" s="25">
        <f>IF(B1156="","",IF(E1156="Refund",-1,1))</f>
        <v>0</v>
      </c>
      <c r="S1156" s="26">
        <f>IF(B1156="","",IF(G1156="",0,IF(F1156="Card",ROUND(G1156*CardFeePercent+CardFeeFixed,2),IF(F1156="Online deposit",ROUND(G1156*CardFeePercent+CardFeeFixed,2),0))))</f>
        <v>0</v>
      </c>
      <c r="T1156" s="26">
        <f>IF(B1156="","",ROUND(IF(G1156="",0,G1156)*R1156-S1156,2))</f>
        <v>0</v>
      </c>
      <c r="U1156" s="38">
        <f>IF(B1156="","",IF(E1156="Tip","Yes","No"))</f>
        <v>0</v>
      </c>
      <c r="V1156" s="15">
        <f>IF(B1156="","",IF(H1156&lt;&gt;"","Sale "&amp;H1156,IF(I1156&lt;&gt;"","Booking "&amp;I1156,IF(E1156="Tip","Stylist","Unapplied"))))</f>
        <v>0</v>
      </c>
      <c r="W1156" s="39">
        <f>IF(B1156="","",IF(G1156="","Add - no amount yet",IF(E1156="","Add - what was this for?",IF(IF(H1156="",FALSE,COUNTIF(Sales!$A$5:$A$1204,H1156)=0),"Missing - no sale with that ID",IF(IF(I1156="",FALSE,COUNTIF(Appointments!$A$5:$A$1204,I1156)=0),"Missing - no booking with that ID",IF(IF(E1156="Tip",J1156="",FALSE),"Assign - whose tip is it?",IF(IF(E1156="Deposit",IF(H1156="",I1156="",FALSE),FALSE),"Check - deposit not tied to a booking",IF(M1156="No","Due - not reconciled yet","OK"))))))))</f>
        <v>0</v>
      </c>
    </row>
    <row r="1157" spans="1:23">
      <c r="A1157" s="28">
        <f>IF(B1157="","",PaymentPrefix&amp;TEXT(ROW()-4,"0000"))</f>
        <v>0</v>
      </c>
      <c r="D1157" s="15">
        <f>IF(C1157="","",IFERROR(INDEX(Clients!$B$5:$B$504,MATCH(C1157,Clients!$A$5:$A$504,0)),"Walk-in"))</f>
        <v>0</v>
      </c>
      <c r="K1157" s="15">
        <f>IF(J1157="","",IFERROR(INDEX(Staff!$B$5:$B$44,MATCH(J1157,Staff!$A$5:$A$44,0)),""))</f>
        <v>0</v>
      </c>
      <c r="O1157" s="15">
        <f>IF(B1157="","",TEXT(B1157,"yyyy-mm"))</f>
        <v>0</v>
      </c>
      <c r="P1157" s="25">
        <f>IF(B1157="","",WEEKNUM(B1157,2))</f>
        <v>0</v>
      </c>
      <c r="Q1157" s="38">
        <f>IF(B1157="","",IF(E1157="Tip","No",IF(E1157="Refund","No","Yes")))</f>
        <v>0</v>
      </c>
      <c r="R1157" s="25">
        <f>IF(B1157="","",IF(E1157="Refund",-1,1))</f>
        <v>0</v>
      </c>
      <c r="S1157" s="26">
        <f>IF(B1157="","",IF(G1157="",0,IF(F1157="Card",ROUND(G1157*CardFeePercent+CardFeeFixed,2),IF(F1157="Online deposit",ROUND(G1157*CardFeePercent+CardFeeFixed,2),0))))</f>
        <v>0</v>
      </c>
      <c r="T1157" s="26">
        <f>IF(B1157="","",ROUND(IF(G1157="",0,G1157)*R1157-S1157,2))</f>
        <v>0</v>
      </c>
      <c r="U1157" s="38">
        <f>IF(B1157="","",IF(E1157="Tip","Yes","No"))</f>
        <v>0</v>
      </c>
      <c r="V1157" s="15">
        <f>IF(B1157="","",IF(H1157&lt;&gt;"","Sale "&amp;H1157,IF(I1157&lt;&gt;"","Booking "&amp;I1157,IF(E1157="Tip","Stylist","Unapplied"))))</f>
        <v>0</v>
      </c>
      <c r="W1157" s="39">
        <f>IF(B1157="","",IF(G1157="","Add - no amount yet",IF(E1157="","Add - what was this for?",IF(IF(H1157="",FALSE,COUNTIF(Sales!$A$5:$A$1204,H1157)=0),"Missing - no sale with that ID",IF(IF(I1157="",FALSE,COUNTIF(Appointments!$A$5:$A$1204,I1157)=0),"Missing - no booking with that ID",IF(IF(E1157="Tip",J1157="",FALSE),"Assign - whose tip is it?",IF(IF(E1157="Deposit",IF(H1157="",I1157="",FALSE),FALSE),"Check - deposit not tied to a booking",IF(M1157="No","Due - not reconciled yet","OK"))))))))</f>
        <v>0</v>
      </c>
    </row>
    <row r="1158" spans="1:23">
      <c r="A1158" s="28">
        <f>IF(B1158="","",PaymentPrefix&amp;TEXT(ROW()-4,"0000"))</f>
        <v>0</v>
      </c>
      <c r="D1158" s="15">
        <f>IF(C1158="","",IFERROR(INDEX(Clients!$B$5:$B$504,MATCH(C1158,Clients!$A$5:$A$504,0)),"Walk-in"))</f>
        <v>0</v>
      </c>
      <c r="K1158" s="15">
        <f>IF(J1158="","",IFERROR(INDEX(Staff!$B$5:$B$44,MATCH(J1158,Staff!$A$5:$A$44,0)),""))</f>
        <v>0</v>
      </c>
      <c r="O1158" s="15">
        <f>IF(B1158="","",TEXT(B1158,"yyyy-mm"))</f>
        <v>0</v>
      </c>
      <c r="P1158" s="25">
        <f>IF(B1158="","",WEEKNUM(B1158,2))</f>
        <v>0</v>
      </c>
      <c r="Q1158" s="38">
        <f>IF(B1158="","",IF(E1158="Tip","No",IF(E1158="Refund","No","Yes")))</f>
        <v>0</v>
      </c>
      <c r="R1158" s="25">
        <f>IF(B1158="","",IF(E1158="Refund",-1,1))</f>
        <v>0</v>
      </c>
      <c r="S1158" s="26">
        <f>IF(B1158="","",IF(G1158="",0,IF(F1158="Card",ROUND(G1158*CardFeePercent+CardFeeFixed,2),IF(F1158="Online deposit",ROUND(G1158*CardFeePercent+CardFeeFixed,2),0))))</f>
        <v>0</v>
      </c>
      <c r="T1158" s="26">
        <f>IF(B1158="","",ROUND(IF(G1158="",0,G1158)*R1158-S1158,2))</f>
        <v>0</v>
      </c>
      <c r="U1158" s="38">
        <f>IF(B1158="","",IF(E1158="Tip","Yes","No"))</f>
        <v>0</v>
      </c>
      <c r="V1158" s="15">
        <f>IF(B1158="","",IF(H1158&lt;&gt;"","Sale "&amp;H1158,IF(I1158&lt;&gt;"","Booking "&amp;I1158,IF(E1158="Tip","Stylist","Unapplied"))))</f>
        <v>0</v>
      </c>
      <c r="W1158" s="39">
        <f>IF(B1158="","",IF(G1158="","Add - no amount yet",IF(E1158="","Add - what was this for?",IF(IF(H1158="",FALSE,COUNTIF(Sales!$A$5:$A$1204,H1158)=0),"Missing - no sale with that ID",IF(IF(I1158="",FALSE,COUNTIF(Appointments!$A$5:$A$1204,I1158)=0),"Missing - no booking with that ID",IF(IF(E1158="Tip",J1158="",FALSE),"Assign - whose tip is it?",IF(IF(E1158="Deposit",IF(H1158="",I1158="",FALSE),FALSE),"Check - deposit not tied to a booking",IF(M1158="No","Due - not reconciled yet","OK"))))))))</f>
        <v>0</v>
      </c>
    </row>
    <row r="1159" spans="1:23">
      <c r="A1159" s="28">
        <f>IF(B1159="","",PaymentPrefix&amp;TEXT(ROW()-4,"0000"))</f>
        <v>0</v>
      </c>
      <c r="D1159" s="15">
        <f>IF(C1159="","",IFERROR(INDEX(Clients!$B$5:$B$504,MATCH(C1159,Clients!$A$5:$A$504,0)),"Walk-in"))</f>
        <v>0</v>
      </c>
      <c r="K1159" s="15">
        <f>IF(J1159="","",IFERROR(INDEX(Staff!$B$5:$B$44,MATCH(J1159,Staff!$A$5:$A$44,0)),""))</f>
        <v>0</v>
      </c>
      <c r="O1159" s="15">
        <f>IF(B1159="","",TEXT(B1159,"yyyy-mm"))</f>
        <v>0</v>
      </c>
      <c r="P1159" s="25">
        <f>IF(B1159="","",WEEKNUM(B1159,2))</f>
        <v>0</v>
      </c>
      <c r="Q1159" s="38">
        <f>IF(B1159="","",IF(E1159="Tip","No",IF(E1159="Refund","No","Yes")))</f>
        <v>0</v>
      </c>
      <c r="R1159" s="25">
        <f>IF(B1159="","",IF(E1159="Refund",-1,1))</f>
        <v>0</v>
      </c>
      <c r="S1159" s="26">
        <f>IF(B1159="","",IF(G1159="",0,IF(F1159="Card",ROUND(G1159*CardFeePercent+CardFeeFixed,2),IF(F1159="Online deposit",ROUND(G1159*CardFeePercent+CardFeeFixed,2),0))))</f>
        <v>0</v>
      </c>
      <c r="T1159" s="26">
        <f>IF(B1159="","",ROUND(IF(G1159="",0,G1159)*R1159-S1159,2))</f>
        <v>0</v>
      </c>
      <c r="U1159" s="38">
        <f>IF(B1159="","",IF(E1159="Tip","Yes","No"))</f>
        <v>0</v>
      </c>
      <c r="V1159" s="15">
        <f>IF(B1159="","",IF(H1159&lt;&gt;"","Sale "&amp;H1159,IF(I1159&lt;&gt;"","Booking "&amp;I1159,IF(E1159="Tip","Stylist","Unapplied"))))</f>
        <v>0</v>
      </c>
      <c r="W1159" s="39">
        <f>IF(B1159="","",IF(G1159="","Add - no amount yet",IF(E1159="","Add - what was this for?",IF(IF(H1159="",FALSE,COUNTIF(Sales!$A$5:$A$1204,H1159)=0),"Missing - no sale with that ID",IF(IF(I1159="",FALSE,COUNTIF(Appointments!$A$5:$A$1204,I1159)=0),"Missing - no booking with that ID",IF(IF(E1159="Tip",J1159="",FALSE),"Assign - whose tip is it?",IF(IF(E1159="Deposit",IF(H1159="",I1159="",FALSE),FALSE),"Check - deposit not tied to a booking",IF(M1159="No","Due - not reconciled yet","OK"))))))))</f>
        <v>0</v>
      </c>
    </row>
    <row r="1160" spans="1:23">
      <c r="A1160" s="28">
        <f>IF(B1160="","",PaymentPrefix&amp;TEXT(ROW()-4,"0000"))</f>
        <v>0</v>
      </c>
      <c r="D1160" s="15">
        <f>IF(C1160="","",IFERROR(INDEX(Clients!$B$5:$B$504,MATCH(C1160,Clients!$A$5:$A$504,0)),"Walk-in"))</f>
        <v>0</v>
      </c>
      <c r="K1160" s="15">
        <f>IF(J1160="","",IFERROR(INDEX(Staff!$B$5:$B$44,MATCH(J1160,Staff!$A$5:$A$44,0)),""))</f>
        <v>0</v>
      </c>
      <c r="O1160" s="15">
        <f>IF(B1160="","",TEXT(B1160,"yyyy-mm"))</f>
        <v>0</v>
      </c>
      <c r="P1160" s="25">
        <f>IF(B1160="","",WEEKNUM(B1160,2))</f>
        <v>0</v>
      </c>
      <c r="Q1160" s="38">
        <f>IF(B1160="","",IF(E1160="Tip","No",IF(E1160="Refund","No","Yes")))</f>
        <v>0</v>
      </c>
      <c r="R1160" s="25">
        <f>IF(B1160="","",IF(E1160="Refund",-1,1))</f>
        <v>0</v>
      </c>
      <c r="S1160" s="26">
        <f>IF(B1160="","",IF(G1160="",0,IF(F1160="Card",ROUND(G1160*CardFeePercent+CardFeeFixed,2),IF(F1160="Online deposit",ROUND(G1160*CardFeePercent+CardFeeFixed,2),0))))</f>
        <v>0</v>
      </c>
      <c r="T1160" s="26">
        <f>IF(B1160="","",ROUND(IF(G1160="",0,G1160)*R1160-S1160,2))</f>
        <v>0</v>
      </c>
      <c r="U1160" s="38">
        <f>IF(B1160="","",IF(E1160="Tip","Yes","No"))</f>
        <v>0</v>
      </c>
      <c r="V1160" s="15">
        <f>IF(B1160="","",IF(H1160&lt;&gt;"","Sale "&amp;H1160,IF(I1160&lt;&gt;"","Booking "&amp;I1160,IF(E1160="Tip","Stylist","Unapplied"))))</f>
        <v>0</v>
      </c>
      <c r="W1160" s="39">
        <f>IF(B1160="","",IF(G1160="","Add - no amount yet",IF(E1160="","Add - what was this for?",IF(IF(H1160="",FALSE,COUNTIF(Sales!$A$5:$A$1204,H1160)=0),"Missing - no sale with that ID",IF(IF(I1160="",FALSE,COUNTIF(Appointments!$A$5:$A$1204,I1160)=0),"Missing - no booking with that ID",IF(IF(E1160="Tip",J1160="",FALSE),"Assign - whose tip is it?",IF(IF(E1160="Deposit",IF(H1160="",I1160="",FALSE),FALSE),"Check - deposit not tied to a booking",IF(M1160="No","Due - not reconciled yet","OK"))))))))</f>
        <v>0</v>
      </c>
    </row>
    <row r="1161" spans="1:23">
      <c r="A1161" s="28">
        <f>IF(B1161="","",PaymentPrefix&amp;TEXT(ROW()-4,"0000"))</f>
        <v>0</v>
      </c>
      <c r="D1161" s="15">
        <f>IF(C1161="","",IFERROR(INDEX(Clients!$B$5:$B$504,MATCH(C1161,Clients!$A$5:$A$504,0)),"Walk-in"))</f>
        <v>0</v>
      </c>
      <c r="K1161" s="15">
        <f>IF(J1161="","",IFERROR(INDEX(Staff!$B$5:$B$44,MATCH(J1161,Staff!$A$5:$A$44,0)),""))</f>
        <v>0</v>
      </c>
      <c r="O1161" s="15">
        <f>IF(B1161="","",TEXT(B1161,"yyyy-mm"))</f>
        <v>0</v>
      </c>
      <c r="P1161" s="25">
        <f>IF(B1161="","",WEEKNUM(B1161,2))</f>
        <v>0</v>
      </c>
      <c r="Q1161" s="38">
        <f>IF(B1161="","",IF(E1161="Tip","No",IF(E1161="Refund","No","Yes")))</f>
        <v>0</v>
      </c>
      <c r="R1161" s="25">
        <f>IF(B1161="","",IF(E1161="Refund",-1,1))</f>
        <v>0</v>
      </c>
      <c r="S1161" s="26">
        <f>IF(B1161="","",IF(G1161="",0,IF(F1161="Card",ROUND(G1161*CardFeePercent+CardFeeFixed,2),IF(F1161="Online deposit",ROUND(G1161*CardFeePercent+CardFeeFixed,2),0))))</f>
        <v>0</v>
      </c>
      <c r="T1161" s="26">
        <f>IF(B1161="","",ROUND(IF(G1161="",0,G1161)*R1161-S1161,2))</f>
        <v>0</v>
      </c>
      <c r="U1161" s="38">
        <f>IF(B1161="","",IF(E1161="Tip","Yes","No"))</f>
        <v>0</v>
      </c>
      <c r="V1161" s="15">
        <f>IF(B1161="","",IF(H1161&lt;&gt;"","Sale "&amp;H1161,IF(I1161&lt;&gt;"","Booking "&amp;I1161,IF(E1161="Tip","Stylist","Unapplied"))))</f>
        <v>0</v>
      </c>
      <c r="W1161" s="39">
        <f>IF(B1161="","",IF(G1161="","Add - no amount yet",IF(E1161="","Add - what was this for?",IF(IF(H1161="",FALSE,COUNTIF(Sales!$A$5:$A$1204,H1161)=0),"Missing - no sale with that ID",IF(IF(I1161="",FALSE,COUNTIF(Appointments!$A$5:$A$1204,I1161)=0),"Missing - no booking with that ID",IF(IF(E1161="Tip",J1161="",FALSE),"Assign - whose tip is it?",IF(IF(E1161="Deposit",IF(H1161="",I1161="",FALSE),FALSE),"Check - deposit not tied to a booking",IF(M1161="No","Due - not reconciled yet","OK"))))))))</f>
        <v>0</v>
      </c>
    </row>
    <row r="1162" spans="1:23">
      <c r="A1162" s="28">
        <f>IF(B1162="","",PaymentPrefix&amp;TEXT(ROW()-4,"0000"))</f>
        <v>0</v>
      </c>
      <c r="D1162" s="15">
        <f>IF(C1162="","",IFERROR(INDEX(Clients!$B$5:$B$504,MATCH(C1162,Clients!$A$5:$A$504,0)),"Walk-in"))</f>
        <v>0</v>
      </c>
      <c r="K1162" s="15">
        <f>IF(J1162="","",IFERROR(INDEX(Staff!$B$5:$B$44,MATCH(J1162,Staff!$A$5:$A$44,0)),""))</f>
        <v>0</v>
      </c>
      <c r="O1162" s="15">
        <f>IF(B1162="","",TEXT(B1162,"yyyy-mm"))</f>
        <v>0</v>
      </c>
      <c r="P1162" s="25">
        <f>IF(B1162="","",WEEKNUM(B1162,2))</f>
        <v>0</v>
      </c>
      <c r="Q1162" s="38">
        <f>IF(B1162="","",IF(E1162="Tip","No",IF(E1162="Refund","No","Yes")))</f>
        <v>0</v>
      </c>
      <c r="R1162" s="25">
        <f>IF(B1162="","",IF(E1162="Refund",-1,1))</f>
        <v>0</v>
      </c>
      <c r="S1162" s="26">
        <f>IF(B1162="","",IF(G1162="",0,IF(F1162="Card",ROUND(G1162*CardFeePercent+CardFeeFixed,2),IF(F1162="Online deposit",ROUND(G1162*CardFeePercent+CardFeeFixed,2),0))))</f>
        <v>0</v>
      </c>
      <c r="T1162" s="26">
        <f>IF(B1162="","",ROUND(IF(G1162="",0,G1162)*R1162-S1162,2))</f>
        <v>0</v>
      </c>
      <c r="U1162" s="38">
        <f>IF(B1162="","",IF(E1162="Tip","Yes","No"))</f>
        <v>0</v>
      </c>
      <c r="V1162" s="15">
        <f>IF(B1162="","",IF(H1162&lt;&gt;"","Sale "&amp;H1162,IF(I1162&lt;&gt;"","Booking "&amp;I1162,IF(E1162="Tip","Stylist","Unapplied"))))</f>
        <v>0</v>
      </c>
      <c r="W1162" s="39">
        <f>IF(B1162="","",IF(G1162="","Add - no amount yet",IF(E1162="","Add - what was this for?",IF(IF(H1162="",FALSE,COUNTIF(Sales!$A$5:$A$1204,H1162)=0),"Missing - no sale with that ID",IF(IF(I1162="",FALSE,COUNTIF(Appointments!$A$5:$A$1204,I1162)=0),"Missing - no booking with that ID",IF(IF(E1162="Tip",J1162="",FALSE),"Assign - whose tip is it?",IF(IF(E1162="Deposit",IF(H1162="",I1162="",FALSE),FALSE),"Check - deposit not tied to a booking",IF(M1162="No","Due - not reconciled yet","OK"))))))))</f>
        <v>0</v>
      </c>
    </row>
    <row r="1163" spans="1:23">
      <c r="A1163" s="28">
        <f>IF(B1163="","",PaymentPrefix&amp;TEXT(ROW()-4,"0000"))</f>
        <v>0</v>
      </c>
      <c r="D1163" s="15">
        <f>IF(C1163="","",IFERROR(INDEX(Clients!$B$5:$B$504,MATCH(C1163,Clients!$A$5:$A$504,0)),"Walk-in"))</f>
        <v>0</v>
      </c>
      <c r="K1163" s="15">
        <f>IF(J1163="","",IFERROR(INDEX(Staff!$B$5:$B$44,MATCH(J1163,Staff!$A$5:$A$44,0)),""))</f>
        <v>0</v>
      </c>
      <c r="O1163" s="15">
        <f>IF(B1163="","",TEXT(B1163,"yyyy-mm"))</f>
        <v>0</v>
      </c>
      <c r="P1163" s="25">
        <f>IF(B1163="","",WEEKNUM(B1163,2))</f>
        <v>0</v>
      </c>
      <c r="Q1163" s="38">
        <f>IF(B1163="","",IF(E1163="Tip","No",IF(E1163="Refund","No","Yes")))</f>
        <v>0</v>
      </c>
      <c r="R1163" s="25">
        <f>IF(B1163="","",IF(E1163="Refund",-1,1))</f>
        <v>0</v>
      </c>
      <c r="S1163" s="26">
        <f>IF(B1163="","",IF(G1163="",0,IF(F1163="Card",ROUND(G1163*CardFeePercent+CardFeeFixed,2),IF(F1163="Online deposit",ROUND(G1163*CardFeePercent+CardFeeFixed,2),0))))</f>
        <v>0</v>
      </c>
      <c r="T1163" s="26">
        <f>IF(B1163="","",ROUND(IF(G1163="",0,G1163)*R1163-S1163,2))</f>
        <v>0</v>
      </c>
      <c r="U1163" s="38">
        <f>IF(B1163="","",IF(E1163="Tip","Yes","No"))</f>
        <v>0</v>
      </c>
      <c r="V1163" s="15">
        <f>IF(B1163="","",IF(H1163&lt;&gt;"","Sale "&amp;H1163,IF(I1163&lt;&gt;"","Booking "&amp;I1163,IF(E1163="Tip","Stylist","Unapplied"))))</f>
        <v>0</v>
      </c>
      <c r="W1163" s="39">
        <f>IF(B1163="","",IF(G1163="","Add - no amount yet",IF(E1163="","Add - what was this for?",IF(IF(H1163="",FALSE,COUNTIF(Sales!$A$5:$A$1204,H1163)=0),"Missing - no sale with that ID",IF(IF(I1163="",FALSE,COUNTIF(Appointments!$A$5:$A$1204,I1163)=0),"Missing - no booking with that ID",IF(IF(E1163="Tip",J1163="",FALSE),"Assign - whose tip is it?",IF(IF(E1163="Deposit",IF(H1163="",I1163="",FALSE),FALSE),"Check - deposit not tied to a booking",IF(M1163="No","Due - not reconciled yet","OK"))))))))</f>
        <v>0</v>
      </c>
    </row>
    <row r="1164" spans="1:23">
      <c r="A1164" s="28">
        <f>IF(B1164="","",PaymentPrefix&amp;TEXT(ROW()-4,"0000"))</f>
        <v>0</v>
      </c>
      <c r="D1164" s="15">
        <f>IF(C1164="","",IFERROR(INDEX(Clients!$B$5:$B$504,MATCH(C1164,Clients!$A$5:$A$504,0)),"Walk-in"))</f>
        <v>0</v>
      </c>
      <c r="K1164" s="15">
        <f>IF(J1164="","",IFERROR(INDEX(Staff!$B$5:$B$44,MATCH(J1164,Staff!$A$5:$A$44,0)),""))</f>
        <v>0</v>
      </c>
      <c r="O1164" s="15">
        <f>IF(B1164="","",TEXT(B1164,"yyyy-mm"))</f>
        <v>0</v>
      </c>
      <c r="P1164" s="25">
        <f>IF(B1164="","",WEEKNUM(B1164,2))</f>
        <v>0</v>
      </c>
      <c r="Q1164" s="38">
        <f>IF(B1164="","",IF(E1164="Tip","No",IF(E1164="Refund","No","Yes")))</f>
        <v>0</v>
      </c>
      <c r="R1164" s="25">
        <f>IF(B1164="","",IF(E1164="Refund",-1,1))</f>
        <v>0</v>
      </c>
      <c r="S1164" s="26">
        <f>IF(B1164="","",IF(G1164="",0,IF(F1164="Card",ROUND(G1164*CardFeePercent+CardFeeFixed,2),IF(F1164="Online deposit",ROUND(G1164*CardFeePercent+CardFeeFixed,2),0))))</f>
        <v>0</v>
      </c>
      <c r="T1164" s="26">
        <f>IF(B1164="","",ROUND(IF(G1164="",0,G1164)*R1164-S1164,2))</f>
        <v>0</v>
      </c>
      <c r="U1164" s="38">
        <f>IF(B1164="","",IF(E1164="Tip","Yes","No"))</f>
        <v>0</v>
      </c>
      <c r="V1164" s="15">
        <f>IF(B1164="","",IF(H1164&lt;&gt;"","Sale "&amp;H1164,IF(I1164&lt;&gt;"","Booking "&amp;I1164,IF(E1164="Tip","Stylist","Unapplied"))))</f>
        <v>0</v>
      </c>
      <c r="W1164" s="39">
        <f>IF(B1164="","",IF(G1164="","Add - no amount yet",IF(E1164="","Add - what was this for?",IF(IF(H1164="",FALSE,COUNTIF(Sales!$A$5:$A$1204,H1164)=0),"Missing - no sale with that ID",IF(IF(I1164="",FALSE,COUNTIF(Appointments!$A$5:$A$1204,I1164)=0),"Missing - no booking with that ID",IF(IF(E1164="Tip",J1164="",FALSE),"Assign - whose tip is it?",IF(IF(E1164="Deposit",IF(H1164="",I1164="",FALSE),FALSE),"Check - deposit not tied to a booking",IF(M1164="No","Due - not reconciled yet","OK"))))))))</f>
        <v>0</v>
      </c>
    </row>
    <row r="1165" spans="1:23">
      <c r="A1165" s="28">
        <f>IF(B1165="","",PaymentPrefix&amp;TEXT(ROW()-4,"0000"))</f>
        <v>0</v>
      </c>
      <c r="D1165" s="15">
        <f>IF(C1165="","",IFERROR(INDEX(Clients!$B$5:$B$504,MATCH(C1165,Clients!$A$5:$A$504,0)),"Walk-in"))</f>
        <v>0</v>
      </c>
      <c r="K1165" s="15">
        <f>IF(J1165="","",IFERROR(INDEX(Staff!$B$5:$B$44,MATCH(J1165,Staff!$A$5:$A$44,0)),""))</f>
        <v>0</v>
      </c>
      <c r="O1165" s="15">
        <f>IF(B1165="","",TEXT(B1165,"yyyy-mm"))</f>
        <v>0</v>
      </c>
      <c r="P1165" s="25">
        <f>IF(B1165="","",WEEKNUM(B1165,2))</f>
        <v>0</v>
      </c>
      <c r="Q1165" s="38">
        <f>IF(B1165="","",IF(E1165="Tip","No",IF(E1165="Refund","No","Yes")))</f>
        <v>0</v>
      </c>
      <c r="R1165" s="25">
        <f>IF(B1165="","",IF(E1165="Refund",-1,1))</f>
        <v>0</v>
      </c>
      <c r="S1165" s="26">
        <f>IF(B1165="","",IF(G1165="",0,IF(F1165="Card",ROUND(G1165*CardFeePercent+CardFeeFixed,2),IF(F1165="Online deposit",ROUND(G1165*CardFeePercent+CardFeeFixed,2),0))))</f>
        <v>0</v>
      </c>
      <c r="T1165" s="26">
        <f>IF(B1165="","",ROUND(IF(G1165="",0,G1165)*R1165-S1165,2))</f>
        <v>0</v>
      </c>
      <c r="U1165" s="38">
        <f>IF(B1165="","",IF(E1165="Tip","Yes","No"))</f>
        <v>0</v>
      </c>
      <c r="V1165" s="15">
        <f>IF(B1165="","",IF(H1165&lt;&gt;"","Sale "&amp;H1165,IF(I1165&lt;&gt;"","Booking "&amp;I1165,IF(E1165="Tip","Stylist","Unapplied"))))</f>
        <v>0</v>
      </c>
      <c r="W1165" s="39">
        <f>IF(B1165="","",IF(G1165="","Add - no amount yet",IF(E1165="","Add - what was this for?",IF(IF(H1165="",FALSE,COUNTIF(Sales!$A$5:$A$1204,H1165)=0),"Missing - no sale with that ID",IF(IF(I1165="",FALSE,COUNTIF(Appointments!$A$5:$A$1204,I1165)=0),"Missing - no booking with that ID",IF(IF(E1165="Tip",J1165="",FALSE),"Assign - whose tip is it?",IF(IF(E1165="Deposit",IF(H1165="",I1165="",FALSE),FALSE),"Check - deposit not tied to a booking",IF(M1165="No","Due - not reconciled yet","OK"))))))))</f>
        <v>0</v>
      </c>
    </row>
    <row r="1166" spans="1:23">
      <c r="A1166" s="28">
        <f>IF(B1166="","",PaymentPrefix&amp;TEXT(ROW()-4,"0000"))</f>
        <v>0</v>
      </c>
      <c r="D1166" s="15">
        <f>IF(C1166="","",IFERROR(INDEX(Clients!$B$5:$B$504,MATCH(C1166,Clients!$A$5:$A$504,0)),"Walk-in"))</f>
        <v>0</v>
      </c>
      <c r="K1166" s="15">
        <f>IF(J1166="","",IFERROR(INDEX(Staff!$B$5:$B$44,MATCH(J1166,Staff!$A$5:$A$44,0)),""))</f>
        <v>0</v>
      </c>
      <c r="O1166" s="15">
        <f>IF(B1166="","",TEXT(B1166,"yyyy-mm"))</f>
        <v>0</v>
      </c>
      <c r="P1166" s="25">
        <f>IF(B1166="","",WEEKNUM(B1166,2))</f>
        <v>0</v>
      </c>
      <c r="Q1166" s="38">
        <f>IF(B1166="","",IF(E1166="Tip","No",IF(E1166="Refund","No","Yes")))</f>
        <v>0</v>
      </c>
      <c r="R1166" s="25">
        <f>IF(B1166="","",IF(E1166="Refund",-1,1))</f>
        <v>0</v>
      </c>
      <c r="S1166" s="26">
        <f>IF(B1166="","",IF(G1166="",0,IF(F1166="Card",ROUND(G1166*CardFeePercent+CardFeeFixed,2),IF(F1166="Online deposit",ROUND(G1166*CardFeePercent+CardFeeFixed,2),0))))</f>
        <v>0</v>
      </c>
      <c r="T1166" s="26">
        <f>IF(B1166="","",ROUND(IF(G1166="",0,G1166)*R1166-S1166,2))</f>
        <v>0</v>
      </c>
      <c r="U1166" s="38">
        <f>IF(B1166="","",IF(E1166="Tip","Yes","No"))</f>
        <v>0</v>
      </c>
      <c r="V1166" s="15">
        <f>IF(B1166="","",IF(H1166&lt;&gt;"","Sale "&amp;H1166,IF(I1166&lt;&gt;"","Booking "&amp;I1166,IF(E1166="Tip","Stylist","Unapplied"))))</f>
        <v>0</v>
      </c>
      <c r="W1166" s="39">
        <f>IF(B1166="","",IF(G1166="","Add - no amount yet",IF(E1166="","Add - what was this for?",IF(IF(H1166="",FALSE,COUNTIF(Sales!$A$5:$A$1204,H1166)=0),"Missing - no sale with that ID",IF(IF(I1166="",FALSE,COUNTIF(Appointments!$A$5:$A$1204,I1166)=0),"Missing - no booking with that ID",IF(IF(E1166="Tip",J1166="",FALSE),"Assign - whose tip is it?",IF(IF(E1166="Deposit",IF(H1166="",I1166="",FALSE),FALSE),"Check - deposit not tied to a booking",IF(M1166="No","Due - not reconciled yet","OK"))))))))</f>
        <v>0</v>
      </c>
    </row>
    <row r="1167" spans="1:23">
      <c r="A1167" s="28">
        <f>IF(B1167="","",PaymentPrefix&amp;TEXT(ROW()-4,"0000"))</f>
        <v>0</v>
      </c>
      <c r="D1167" s="15">
        <f>IF(C1167="","",IFERROR(INDEX(Clients!$B$5:$B$504,MATCH(C1167,Clients!$A$5:$A$504,0)),"Walk-in"))</f>
        <v>0</v>
      </c>
      <c r="K1167" s="15">
        <f>IF(J1167="","",IFERROR(INDEX(Staff!$B$5:$B$44,MATCH(J1167,Staff!$A$5:$A$44,0)),""))</f>
        <v>0</v>
      </c>
      <c r="O1167" s="15">
        <f>IF(B1167="","",TEXT(B1167,"yyyy-mm"))</f>
        <v>0</v>
      </c>
      <c r="P1167" s="25">
        <f>IF(B1167="","",WEEKNUM(B1167,2))</f>
        <v>0</v>
      </c>
      <c r="Q1167" s="38">
        <f>IF(B1167="","",IF(E1167="Tip","No",IF(E1167="Refund","No","Yes")))</f>
        <v>0</v>
      </c>
      <c r="R1167" s="25">
        <f>IF(B1167="","",IF(E1167="Refund",-1,1))</f>
        <v>0</v>
      </c>
      <c r="S1167" s="26">
        <f>IF(B1167="","",IF(G1167="",0,IF(F1167="Card",ROUND(G1167*CardFeePercent+CardFeeFixed,2),IF(F1167="Online deposit",ROUND(G1167*CardFeePercent+CardFeeFixed,2),0))))</f>
        <v>0</v>
      </c>
      <c r="T1167" s="26">
        <f>IF(B1167="","",ROUND(IF(G1167="",0,G1167)*R1167-S1167,2))</f>
        <v>0</v>
      </c>
      <c r="U1167" s="38">
        <f>IF(B1167="","",IF(E1167="Tip","Yes","No"))</f>
        <v>0</v>
      </c>
      <c r="V1167" s="15">
        <f>IF(B1167="","",IF(H1167&lt;&gt;"","Sale "&amp;H1167,IF(I1167&lt;&gt;"","Booking "&amp;I1167,IF(E1167="Tip","Stylist","Unapplied"))))</f>
        <v>0</v>
      </c>
      <c r="W1167" s="39">
        <f>IF(B1167="","",IF(G1167="","Add - no amount yet",IF(E1167="","Add - what was this for?",IF(IF(H1167="",FALSE,COUNTIF(Sales!$A$5:$A$1204,H1167)=0),"Missing - no sale with that ID",IF(IF(I1167="",FALSE,COUNTIF(Appointments!$A$5:$A$1204,I1167)=0),"Missing - no booking with that ID",IF(IF(E1167="Tip",J1167="",FALSE),"Assign - whose tip is it?",IF(IF(E1167="Deposit",IF(H1167="",I1167="",FALSE),FALSE),"Check - deposit not tied to a booking",IF(M1167="No","Due - not reconciled yet","OK"))))))))</f>
        <v>0</v>
      </c>
    </row>
    <row r="1168" spans="1:23">
      <c r="A1168" s="28">
        <f>IF(B1168="","",PaymentPrefix&amp;TEXT(ROW()-4,"0000"))</f>
        <v>0</v>
      </c>
      <c r="D1168" s="15">
        <f>IF(C1168="","",IFERROR(INDEX(Clients!$B$5:$B$504,MATCH(C1168,Clients!$A$5:$A$504,0)),"Walk-in"))</f>
        <v>0</v>
      </c>
      <c r="K1168" s="15">
        <f>IF(J1168="","",IFERROR(INDEX(Staff!$B$5:$B$44,MATCH(J1168,Staff!$A$5:$A$44,0)),""))</f>
        <v>0</v>
      </c>
      <c r="O1168" s="15">
        <f>IF(B1168="","",TEXT(B1168,"yyyy-mm"))</f>
        <v>0</v>
      </c>
      <c r="P1168" s="25">
        <f>IF(B1168="","",WEEKNUM(B1168,2))</f>
        <v>0</v>
      </c>
      <c r="Q1168" s="38">
        <f>IF(B1168="","",IF(E1168="Tip","No",IF(E1168="Refund","No","Yes")))</f>
        <v>0</v>
      </c>
      <c r="R1168" s="25">
        <f>IF(B1168="","",IF(E1168="Refund",-1,1))</f>
        <v>0</v>
      </c>
      <c r="S1168" s="26">
        <f>IF(B1168="","",IF(G1168="",0,IF(F1168="Card",ROUND(G1168*CardFeePercent+CardFeeFixed,2),IF(F1168="Online deposit",ROUND(G1168*CardFeePercent+CardFeeFixed,2),0))))</f>
        <v>0</v>
      </c>
      <c r="T1168" s="26">
        <f>IF(B1168="","",ROUND(IF(G1168="",0,G1168)*R1168-S1168,2))</f>
        <v>0</v>
      </c>
      <c r="U1168" s="38">
        <f>IF(B1168="","",IF(E1168="Tip","Yes","No"))</f>
        <v>0</v>
      </c>
      <c r="V1168" s="15">
        <f>IF(B1168="","",IF(H1168&lt;&gt;"","Sale "&amp;H1168,IF(I1168&lt;&gt;"","Booking "&amp;I1168,IF(E1168="Tip","Stylist","Unapplied"))))</f>
        <v>0</v>
      </c>
      <c r="W1168" s="39">
        <f>IF(B1168="","",IF(G1168="","Add - no amount yet",IF(E1168="","Add - what was this for?",IF(IF(H1168="",FALSE,COUNTIF(Sales!$A$5:$A$1204,H1168)=0),"Missing - no sale with that ID",IF(IF(I1168="",FALSE,COUNTIF(Appointments!$A$5:$A$1204,I1168)=0),"Missing - no booking with that ID",IF(IF(E1168="Tip",J1168="",FALSE),"Assign - whose tip is it?",IF(IF(E1168="Deposit",IF(H1168="",I1168="",FALSE),FALSE),"Check - deposit not tied to a booking",IF(M1168="No","Due - not reconciled yet","OK"))))))))</f>
        <v>0</v>
      </c>
    </row>
    <row r="1169" spans="1:23">
      <c r="A1169" s="28">
        <f>IF(B1169="","",PaymentPrefix&amp;TEXT(ROW()-4,"0000"))</f>
        <v>0</v>
      </c>
      <c r="D1169" s="15">
        <f>IF(C1169="","",IFERROR(INDEX(Clients!$B$5:$B$504,MATCH(C1169,Clients!$A$5:$A$504,0)),"Walk-in"))</f>
        <v>0</v>
      </c>
      <c r="K1169" s="15">
        <f>IF(J1169="","",IFERROR(INDEX(Staff!$B$5:$B$44,MATCH(J1169,Staff!$A$5:$A$44,0)),""))</f>
        <v>0</v>
      </c>
      <c r="O1169" s="15">
        <f>IF(B1169="","",TEXT(B1169,"yyyy-mm"))</f>
        <v>0</v>
      </c>
      <c r="P1169" s="25">
        <f>IF(B1169="","",WEEKNUM(B1169,2))</f>
        <v>0</v>
      </c>
      <c r="Q1169" s="38">
        <f>IF(B1169="","",IF(E1169="Tip","No",IF(E1169="Refund","No","Yes")))</f>
        <v>0</v>
      </c>
      <c r="R1169" s="25">
        <f>IF(B1169="","",IF(E1169="Refund",-1,1))</f>
        <v>0</v>
      </c>
      <c r="S1169" s="26">
        <f>IF(B1169="","",IF(G1169="",0,IF(F1169="Card",ROUND(G1169*CardFeePercent+CardFeeFixed,2),IF(F1169="Online deposit",ROUND(G1169*CardFeePercent+CardFeeFixed,2),0))))</f>
        <v>0</v>
      </c>
      <c r="T1169" s="26">
        <f>IF(B1169="","",ROUND(IF(G1169="",0,G1169)*R1169-S1169,2))</f>
        <v>0</v>
      </c>
      <c r="U1169" s="38">
        <f>IF(B1169="","",IF(E1169="Tip","Yes","No"))</f>
        <v>0</v>
      </c>
      <c r="V1169" s="15">
        <f>IF(B1169="","",IF(H1169&lt;&gt;"","Sale "&amp;H1169,IF(I1169&lt;&gt;"","Booking "&amp;I1169,IF(E1169="Tip","Stylist","Unapplied"))))</f>
        <v>0</v>
      </c>
      <c r="W1169" s="39">
        <f>IF(B1169="","",IF(G1169="","Add - no amount yet",IF(E1169="","Add - what was this for?",IF(IF(H1169="",FALSE,COUNTIF(Sales!$A$5:$A$1204,H1169)=0),"Missing - no sale with that ID",IF(IF(I1169="",FALSE,COUNTIF(Appointments!$A$5:$A$1204,I1169)=0),"Missing - no booking with that ID",IF(IF(E1169="Tip",J1169="",FALSE),"Assign - whose tip is it?",IF(IF(E1169="Deposit",IF(H1169="",I1169="",FALSE),FALSE),"Check - deposit not tied to a booking",IF(M1169="No","Due - not reconciled yet","OK"))))))))</f>
        <v>0</v>
      </c>
    </row>
    <row r="1170" spans="1:23">
      <c r="A1170" s="28">
        <f>IF(B1170="","",PaymentPrefix&amp;TEXT(ROW()-4,"0000"))</f>
        <v>0</v>
      </c>
      <c r="D1170" s="15">
        <f>IF(C1170="","",IFERROR(INDEX(Clients!$B$5:$B$504,MATCH(C1170,Clients!$A$5:$A$504,0)),"Walk-in"))</f>
        <v>0</v>
      </c>
      <c r="K1170" s="15">
        <f>IF(J1170="","",IFERROR(INDEX(Staff!$B$5:$B$44,MATCH(J1170,Staff!$A$5:$A$44,0)),""))</f>
        <v>0</v>
      </c>
      <c r="O1170" s="15">
        <f>IF(B1170="","",TEXT(B1170,"yyyy-mm"))</f>
        <v>0</v>
      </c>
      <c r="P1170" s="25">
        <f>IF(B1170="","",WEEKNUM(B1170,2))</f>
        <v>0</v>
      </c>
      <c r="Q1170" s="38">
        <f>IF(B1170="","",IF(E1170="Tip","No",IF(E1170="Refund","No","Yes")))</f>
        <v>0</v>
      </c>
      <c r="R1170" s="25">
        <f>IF(B1170="","",IF(E1170="Refund",-1,1))</f>
        <v>0</v>
      </c>
      <c r="S1170" s="26">
        <f>IF(B1170="","",IF(G1170="",0,IF(F1170="Card",ROUND(G1170*CardFeePercent+CardFeeFixed,2),IF(F1170="Online deposit",ROUND(G1170*CardFeePercent+CardFeeFixed,2),0))))</f>
        <v>0</v>
      </c>
      <c r="T1170" s="26">
        <f>IF(B1170="","",ROUND(IF(G1170="",0,G1170)*R1170-S1170,2))</f>
        <v>0</v>
      </c>
      <c r="U1170" s="38">
        <f>IF(B1170="","",IF(E1170="Tip","Yes","No"))</f>
        <v>0</v>
      </c>
      <c r="V1170" s="15">
        <f>IF(B1170="","",IF(H1170&lt;&gt;"","Sale "&amp;H1170,IF(I1170&lt;&gt;"","Booking "&amp;I1170,IF(E1170="Tip","Stylist","Unapplied"))))</f>
        <v>0</v>
      </c>
      <c r="W1170" s="39">
        <f>IF(B1170="","",IF(G1170="","Add - no amount yet",IF(E1170="","Add - what was this for?",IF(IF(H1170="",FALSE,COUNTIF(Sales!$A$5:$A$1204,H1170)=0),"Missing - no sale with that ID",IF(IF(I1170="",FALSE,COUNTIF(Appointments!$A$5:$A$1204,I1170)=0),"Missing - no booking with that ID",IF(IF(E1170="Tip",J1170="",FALSE),"Assign - whose tip is it?",IF(IF(E1170="Deposit",IF(H1170="",I1170="",FALSE),FALSE),"Check - deposit not tied to a booking",IF(M1170="No","Due - not reconciled yet","OK"))))))))</f>
        <v>0</v>
      </c>
    </row>
    <row r="1171" spans="1:23">
      <c r="A1171" s="28">
        <f>IF(B1171="","",PaymentPrefix&amp;TEXT(ROW()-4,"0000"))</f>
        <v>0</v>
      </c>
      <c r="D1171" s="15">
        <f>IF(C1171="","",IFERROR(INDEX(Clients!$B$5:$B$504,MATCH(C1171,Clients!$A$5:$A$504,0)),"Walk-in"))</f>
        <v>0</v>
      </c>
      <c r="K1171" s="15">
        <f>IF(J1171="","",IFERROR(INDEX(Staff!$B$5:$B$44,MATCH(J1171,Staff!$A$5:$A$44,0)),""))</f>
        <v>0</v>
      </c>
      <c r="O1171" s="15">
        <f>IF(B1171="","",TEXT(B1171,"yyyy-mm"))</f>
        <v>0</v>
      </c>
      <c r="P1171" s="25">
        <f>IF(B1171="","",WEEKNUM(B1171,2))</f>
        <v>0</v>
      </c>
      <c r="Q1171" s="38">
        <f>IF(B1171="","",IF(E1171="Tip","No",IF(E1171="Refund","No","Yes")))</f>
        <v>0</v>
      </c>
      <c r="R1171" s="25">
        <f>IF(B1171="","",IF(E1171="Refund",-1,1))</f>
        <v>0</v>
      </c>
      <c r="S1171" s="26">
        <f>IF(B1171="","",IF(G1171="",0,IF(F1171="Card",ROUND(G1171*CardFeePercent+CardFeeFixed,2),IF(F1171="Online deposit",ROUND(G1171*CardFeePercent+CardFeeFixed,2),0))))</f>
        <v>0</v>
      </c>
      <c r="T1171" s="26">
        <f>IF(B1171="","",ROUND(IF(G1171="",0,G1171)*R1171-S1171,2))</f>
        <v>0</v>
      </c>
      <c r="U1171" s="38">
        <f>IF(B1171="","",IF(E1171="Tip","Yes","No"))</f>
        <v>0</v>
      </c>
      <c r="V1171" s="15">
        <f>IF(B1171="","",IF(H1171&lt;&gt;"","Sale "&amp;H1171,IF(I1171&lt;&gt;"","Booking "&amp;I1171,IF(E1171="Tip","Stylist","Unapplied"))))</f>
        <v>0</v>
      </c>
      <c r="W1171" s="39">
        <f>IF(B1171="","",IF(G1171="","Add - no amount yet",IF(E1171="","Add - what was this for?",IF(IF(H1171="",FALSE,COUNTIF(Sales!$A$5:$A$1204,H1171)=0),"Missing - no sale with that ID",IF(IF(I1171="",FALSE,COUNTIF(Appointments!$A$5:$A$1204,I1171)=0),"Missing - no booking with that ID",IF(IF(E1171="Tip",J1171="",FALSE),"Assign - whose tip is it?",IF(IF(E1171="Deposit",IF(H1171="",I1171="",FALSE),FALSE),"Check - deposit not tied to a booking",IF(M1171="No","Due - not reconciled yet","OK"))))))))</f>
        <v>0</v>
      </c>
    </row>
    <row r="1172" spans="1:23">
      <c r="A1172" s="28">
        <f>IF(B1172="","",PaymentPrefix&amp;TEXT(ROW()-4,"0000"))</f>
        <v>0</v>
      </c>
      <c r="D1172" s="15">
        <f>IF(C1172="","",IFERROR(INDEX(Clients!$B$5:$B$504,MATCH(C1172,Clients!$A$5:$A$504,0)),"Walk-in"))</f>
        <v>0</v>
      </c>
      <c r="K1172" s="15">
        <f>IF(J1172="","",IFERROR(INDEX(Staff!$B$5:$B$44,MATCH(J1172,Staff!$A$5:$A$44,0)),""))</f>
        <v>0</v>
      </c>
      <c r="O1172" s="15">
        <f>IF(B1172="","",TEXT(B1172,"yyyy-mm"))</f>
        <v>0</v>
      </c>
      <c r="P1172" s="25">
        <f>IF(B1172="","",WEEKNUM(B1172,2))</f>
        <v>0</v>
      </c>
      <c r="Q1172" s="38">
        <f>IF(B1172="","",IF(E1172="Tip","No",IF(E1172="Refund","No","Yes")))</f>
        <v>0</v>
      </c>
      <c r="R1172" s="25">
        <f>IF(B1172="","",IF(E1172="Refund",-1,1))</f>
        <v>0</v>
      </c>
      <c r="S1172" s="26">
        <f>IF(B1172="","",IF(G1172="",0,IF(F1172="Card",ROUND(G1172*CardFeePercent+CardFeeFixed,2),IF(F1172="Online deposit",ROUND(G1172*CardFeePercent+CardFeeFixed,2),0))))</f>
        <v>0</v>
      </c>
      <c r="T1172" s="26">
        <f>IF(B1172="","",ROUND(IF(G1172="",0,G1172)*R1172-S1172,2))</f>
        <v>0</v>
      </c>
      <c r="U1172" s="38">
        <f>IF(B1172="","",IF(E1172="Tip","Yes","No"))</f>
        <v>0</v>
      </c>
      <c r="V1172" s="15">
        <f>IF(B1172="","",IF(H1172&lt;&gt;"","Sale "&amp;H1172,IF(I1172&lt;&gt;"","Booking "&amp;I1172,IF(E1172="Tip","Stylist","Unapplied"))))</f>
        <v>0</v>
      </c>
      <c r="W1172" s="39">
        <f>IF(B1172="","",IF(G1172="","Add - no amount yet",IF(E1172="","Add - what was this for?",IF(IF(H1172="",FALSE,COUNTIF(Sales!$A$5:$A$1204,H1172)=0),"Missing - no sale with that ID",IF(IF(I1172="",FALSE,COUNTIF(Appointments!$A$5:$A$1204,I1172)=0),"Missing - no booking with that ID",IF(IF(E1172="Tip",J1172="",FALSE),"Assign - whose tip is it?",IF(IF(E1172="Deposit",IF(H1172="",I1172="",FALSE),FALSE),"Check - deposit not tied to a booking",IF(M1172="No","Due - not reconciled yet","OK"))))))))</f>
        <v>0</v>
      </c>
    </row>
    <row r="1173" spans="1:23">
      <c r="A1173" s="28">
        <f>IF(B1173="","",PaymentPrefix&amp;TEXT(ROW()-4,"0000"))</f>
        <v>0</v>
      </c>
      <c r="D1173" s="15">
        <f>IF(C1173="","",IFERROR(INDEX(Clients!$B$5:$B$504,MATCH(C1173,Clients!$A$5:$A$504,0)),"Walk-in"))</f>
        <v>0</v>
      </c>
      <c r="K1173" s="15">
        <f>IF(J1173="","",IFERROR(INDEX(Staff!$B$5:$B$44,MATCH(J1173,Staff!$A$5:$A$44,0)),""))</f>
        <v>0</v>
      </c>
      <c r="O1173" s="15">
        <f>IF(B1173="","",TEXT(B1173,"yyyy-mm"))</f>
        <v>0</v>
      </c>
      <c r="P1173" s="25">
        <f>IF(B1173="","",WEEKNUM(B1173,2))</f>
        <v>0</v>
      </c>
      <c r="Q1173" s="38">
        <f>IF(B1173="","",IF(E1173="Tip","No",IF(E1173="Refund","No","Yes")))</f>
        <v>0</v>
      </c>
      <c r="R1173" s="25">
        <f>IF(B1173="","",IF(E1173="Refund",-1,1))</f>
        <v>0</v>
      </c>
      <c r="S1173" s="26">
        <f>IF(B1173="","",IF(G1173="",0,IF(F1173="Card",ROUND(G1173*CardFeePercent+CardFeeFixed,2),IF(F1173="Online deposit",ROUND(G1173*CardFeePercent+CardFeeFixed,2),0))))</f>
        <v>0</v>
      </c>
      <c r="T1173" s="26">
        <f>IF(B1173="","",ROUND(IF(G1173="",0,G1173)*R1173-S1173,2))</f>
        <v>0</v>
      </c>
      <c r="U1173" s="38">
        <f>IF(B1173="","",IF(E1173="Tip","Yes","No"))</f>
        <v>0</v>
      </c>
      <c r="V1173" s="15">
        <f>IF(B1173="","",IF(H1173&lt;&gt;"","Sale "&amp;H1173,IF(I1173&lt;&gt;"","Booking "&amp;I1173,IF(E1173="Tip","Stylist","Unapplied"))))</f>
        <v>0</v>
      </c>
      <c r="W1173" s="39">
        <f>IF(B1173="","",IF(G1173="","Add - no amount yet",IF(E1173="","Add - what was this for?",IF(IF(H1173="",FALSE,COUNTIF(Sales!$A$5:$A$1204,H1173)=0),"Missing - no sale with that ID",IF(IF(I1173="",FALSE,COUNTIF(Appointments!$A$5:$A$1204,I1173)=0),"Missing - no booking with that ID",IF(IF(E1173="Tip",J1173="",FALSE),"Assign - whose tip is it?",IF(IF(E1173="Deposit",IF(H1173="",I1173="",FALSE),FALSE),"Check - deposit not tied to a booking",IF(M1173="No","Due - not reconciled yet","OK"))))))))</f>
        <v>0</v>
      </c>
    </row>
    <row r="1174" spans="1:23">
      <c r="A1174" s="28">
        <f>IF(B1174="","",PaymentPrefix&amp;TEXT(ROW()-4,"0000"))</f>
        <v>0</v>
      </c>
      <c r="D1174" s="15">
        <f>IF(C1174="","",IFERROR(INDEX(Clients!$B$5:$B$504,MATCH(C1174,Clients!$A$5:$A$504,0)),"Walk-in"))</f>
        <v>0</v>
      </c>
      <c r="K1174" s="15">
        <f>IF(J1174="","",IFERROR(INDEX(Staff!$B$5:$B$44,MATCH(J1174,Staff!$A$5:$A$44,0)),""))</f>
        <v>0</v>
      </c>
      <c r="O1174" s="15">
        <f>IF(B1174="","",TEXT(B1174,"yyyy-mm"))</f>
        <v>0</v>
      </c>
      <c r="P1174" s="25">
        <f>IF(B1174="","",WEEKNUM(B1174,2))</f>
        <v>0</v>
      </c>
      <c r="Q1174" s="38">
        <f>IF(B1174="","",IF(E1174="Tip","No",IF(E1174="Refund","No","Yes")))</f>
        <v>0</v>
      </c>
      <c r="R1174" s="25">
        <f>IF(B1174="","",IF(E1174="Refund",-1,1))</f>
        <v>0</v>
      </c>
      <c r="S1174" s="26">
        <f>IF(B1174="","",IF(G1174="",0,IF(F1174="Card",ROUND(G1174*CardFeePercent+CardFeeFixed,2),IF(F1174="Online deposit",ROUND(G1174*CardFeePercent+CardFeeFixed,2),0))))</f>
        <v>0</v>
      </c>
      <c r="T1174" s="26">
        <f>IF(B1174="","",ROUND(IF(G1174="",0,G1174)*R1174-S1174,2))</f>
        <v>0</v>
      </c>
      <c r="U1174" s="38">
        <f>IF(B1174="","",IF(E1174="Tip","Yes","No"))</f>
        <v>0</v>
      </c>
      <c r="V1174" s="15">
        <f>IF(B1174="","",IF(H1174&lt;&gt;"","Sale "&amp;H1174,IF(I1174&lt;&gt;"","Booking "&amp;I1174,IF(E1174="Tip","Stylist","Unapplied"))))</f>
        <v>0</v>
      </c>
      <c r="W1174" s="39">
        <f>IF(B1174="","",IF(G1174="","Add - no amount yet",IF(E1174="","Add - what was this for?",IF(IF(H1174="",FALSE,COUNTIF(Sales!$A$5:$A$1204,H1174)=0),"Missing - no sale with that ID",IF(IF(I1174="",FALSE,COUNTIF(Appointments!$A$5:$A$1204,I1174)=0),"Missing - no booking with that ID",IF(IF(E1174="Tip",J1174="",FALSE),"Assign - whose tip is it?",IF(IF(E1174="Deposit",IF(H1174="",I1174="",FALSE),FALSE),"Check - deposit not tied to a booking",IF(M1174="No","Due - not reconciled yet","OK"))))))))</f>
        <v>0</v>
      </c>
    </row>
    <row r="1175" spans="1:23">
      <c r="A1175" s="28">
        <f>IF(B1175="","",PaymentPrefix&amp;TEXT(ROW()-4,"0000"))</f>
        <v>0</v>
      </c>
      <c r="D1175" s="15">
        <f>IF(C1175="","",IFERROR(INDEX(Clients!$B$5:$B$504,MATCH(C1175,Clients!$A$5:$A$504,0)),"Walk-in"))</f>
        <v>0</v>
      </c>
      <c r="K1175" s="15">
        <f>IF(J1175="","",IFERROR(INDEX(Staff!$B$5:$B$44,MATCH(J1175,Staff!$A$5:$A$44,0)),""))</f>
        <v>0</v>
      </c>
      <c r="O1175" s="15">
        <f>IF(B1175="","",TEXT(B1175,"yyyy-mm"))</f>
        <v>0</v>
      </c>
      <c r="P1175" s="25">
        <f>IF(B1175="","",WEEKNUM(B1175,2))</f>
        <v>0</v>
      </c>
      <c r="Q1175" s="38">
        <f>IF(B1175="","",IF(E1175="Tip","No",IF(E1175="Refund","No","Yes")))</f>
        <v>0</v>
      </c>
      <c r="R1175" s="25">
        <f>IF(B1175="","",IF(E1175="Refund",-1,1))</f>
        <v>0</v>
      </c>
      <c r="S1175" s="26">
        <f>IF(B1175="","",IF(G1175="",0,IF(F1175="Card",ROUND(G1175*CardFeePercent+CardFeeFixed,2),IF(F1175="Online deposit",ROUND(G1175*CardFeePercent+CardFeeFixed,2),0))))</f>
        <v>0</v>
      </c>
      <c r="T1175" s="26">
        <f>IF(B1175="","",ROUND(IF(G1175="",0,G1175)*R1175-S1175,2))</f>
        <v>0</v>
      </c>
      <c r="U1175" s="38">
        <f>IF(B1175="","",IF(E1175="Tip","Yes","No"))</f>
        <v>0</v>
      </c>
      <c r="V1175" s="15">
        <f>IF(B1175="","",IF(H1175&lt;&gt;"","Sale "&amp;H1175,IF(I1175&lt;&gt;"","Booking "&amp;I1175,IF(E1175="Tip","Stylist","Unapplied"))))</f>
        <v>0</v>
      </c>
      <c r="W1175" s="39">
        <f>IF(B1175="","",IF(G1175="","Add - no amount yet",IF(E1175="","Add - what was this for?",IF(IF(H1175="",FALSE,COUNTIF(Sales!$A$5:$A$1204,H1175)=0),"Missing - no sale with that ID",IF(IF(I1175="",FALSE,COUNTIF(Appointments!$A$5:$A$1204,I1175)=0),"Missing - no booking with that ID",IF(IF(E1175="Tip",J1175="",FALSE),"Assign - whose tip is it?",IF(IF(E1175="Deposit",IF(H1175="",I1175="",FALSE),FALSE),"Check - deposit not tied to a booking",IF(M1175="No","Due - not reconciled yet","OK"))))))))</f>
        <v>0</v>
      </c>
    </row>
    <row r="1176" spans="1:23">
      <c r="A1176" s="28">
        <f>IF(B1176="","",PaymentPrefix&amp;TEXT(ROW()-4,"0000"))</f>
        <v>0</v>
      </c>
      <c r="D1176" s="15">
        <f>IF(C1176="","",IFERROR(INDEX(Clients!$B$5:$B$504,MATCH(C1176,Clients!$A$5:$A$504,0)),"Walk-in"))</f>
        <v>0</v>
      </c>
      <c r="K1176" s="15">
        <f>IF(J1176="","",IFERROR(INDEX(Staff!$B$5:$B$44,MATCH(J1176,Staff!$A$5:$A$44,0)),""))</f>
        <v>0</v>
      </c>
      <c r="O1176" s="15">
        <f>IF(B1176="","",TEXT(B1176,"yyyy-mm"))</f>
        <v>0</v>
      </c>
      <c r="P1176" s="25">
        <f>IF(B1176="","",WEEKNUM(B1176,2))</f>
        <v>0</v>
      </c>
      <c r="Q1176" s="38">
        <f>IF(B1176="","",IF(E1176="Tip","No",IF(E1176="Refund","No","Yes")))</f>
        <v>0</v>
      </c>
      <c r="R1176" s="25">
        <f>IF(B1176="","",IF(E1176="Refund",-1,1))</f>
        <v>0</v>
      </c>
      <c r="S1176" s="26">
        <f>IF(B1176="","",IF(G1176="",0,IF(F1176="Card",ROUND(G1176*CardFeePercent+CardFeeFixed,2),IF(F1176="Online deposit",ROUND(G1176*CardFeePercent+CardFeeFixed,2),0))))</f>
        <v>0</v>
      </c>
      <c r="T1176" s="26">
        <f>IF(B1176="","",ROUND(IF(G1176="",0,G1176)*R1176-S1176,2))</f>
        <v>0</v>
      </c>
      <c r="U1176" s="38">
        <f>IF(B1176="","",IF(E1176="Tip","Yes","No"))</f>
        <v>0</v>
      </c>
      <c r="V1176" s="15">
        <f>IF(B1176="","",IF(H1176&lt;&gt;"","Sale "&amp;H1176,IF(I1176&lt;&gt;"","Booking "&amp;I1176,IF(E1176="Tip","Stylist","Unapplied"))))</f>
        <v>0</v>
      </c>
      <c r="W1176" s="39">
        <f>IF(B1176="","",IF(G1176="","Add - no amount yet",IF(E1176="","Add - what was this for?",IF(IF(H1176="",FALSE,COUNTIF(Sales!$A$5:$A$1204,H1176)=0),"Missing - no sale with that ID",IF(IF(I1176="",FALSE,COUNTIF(Appointments!$A$5:$A$1204,I1176)=0),"Missing - no booking with that ID",IF(IF(E1176="Tip",J1176="",FALSE),"Assign - whose tip is it?",IF(IF(E1176="Deposit",IF(H1176="",I1176="",FALSE),FALSE),"Check - deposit not tied to a booking",IF(M1176="No","Due - not reconciled yet","OK"))))))))</f>
        <v>0</v>
      </c>
    </row>
    <row r="1177" spans="1:23">
      <c r="A1177" s="28">
        <f>IF(B1177="","",PaymentPrefix&amp;TEXT(ROW()-4,"0000"))</f>
        <v>0</v>
      </c>
      <c r="D1177" s="15">
        <f>IF(C1177="","",IFERROR(INDEX(Clients!$B$5:$B$504,MATCH(C1177,Clients!$A$5:$A$504,0)),"Walk-in"))</f>
        <v>0</v>
      </c>
      <c r="K1177" s="15">
        <f>IF(J1177="","",IFERROR(INDEX(Staff!$B$5:$B$44,MATCH(J1177,Staff!$A$5:$A$44,0)),""))</f>
        <v>0</v>
      </c>
      <c r="O1177" s="15">
        <f>IF(B1177="","",TEXT(B1177,"yyyy-mm"))</f>
        <v>0</v>
      </c>
      <c r="P1177" s="25">
        <f>IF(B1177="","",WEEKNUM(B1177,2))</f>
        <v>0</v>
      </c>
      <c r="Q1177" s="38">
        <f>IF(B1177="","",IF(E1177="Tip","No",IF(E1177="Refund","No","Yes")))</f>
        <v>0</v>
      </c>
      <c r="R1177" s="25">
        <f>IF(B1177="","",IF(E1177="Refund",-1,1))</f>
        <v>0</v>
      </c>
      <c r="S1177" s="26">
        <f>IF(B1177="","",IF(G1177="",0,IF(F1177="Card",ROUND(G1177*CardFeePercent+CardFeeFixed,2),IF(F1177="Online deposit",ROUND(G1177*CardFeePercent+CardFeeFixed,2),0))))</f>
        <v>0</v>
      </c>
      <c r="T1177" s="26">
        <f>IF(B1177="","",ROUND(IF(G1177="",0,G1177)*R1177-S1177,2))</f>
        <v>0</v>
      </c>
      <c r="U1177" s="38">
        <f>IF(B1177="","",IF(E1177="Tip","Yes","No"))</f>
        <v>0</v>
      </c>
      <c r="V1177" s="15">
        <f>IF(B1177="","",IF(H1177&lt;&gt;"","Sale "&amp;H1177,IF(I1177&lt;&gt;"","Booking "&amp;I1177,IF(E1177="Tip","Stylist","Unapplied"))))</f>
        <v>0</v>
      </c>
      <c r="W1177" s="39">
        <f>IF(B1177="","",IF(G1177="","Add - no amount yet",IF(E1177="","Add - what was this for?",IF(IF(H1177="",FALSE,COUNTIF(Sales!$A$5:$A$1204,H1177)=0),"Missing - no sale with that ID",IF(IF(I1177="",FALSE,COUNTIF(Appointments!$A$5:$A$1204,I1177)=0),"Missing - no booking with that ID",IF(IF(E1177="Tip",J1177="",FALSE),"Assign - whose tip is it?",IF(IF(E1177="Deposit",IF(H1177="",I1177="",FALSE),FALSE),"Check - deposit not tied to a booking",IF(M1177="No","Due - not reconciled yet","OK"))))))))</f>
        <v>0</v>
      </c>
    </row>
    <row r="1178" spans="1:23">
      <c r="A1178" s="28">
        <f>IF(B1178="","",PaymentPrefix&amp;TEXT(ROW()-4,"0000"))</f>
        <v>0</v>
      </c>
      <c r="D1178" s="15">
        <f>IF(C1178="","",IFERROR(INDEX(Clients!$B$5:$B$504,MATCH(C1178,Clients!$A$5:$A$504,0)),"Walk-in"))</f>
        <v>0</v>
      </c>
      <c r="K1178" s="15">
        <f>IF(J1178="","",IFERROR(INDEX(Staff!$B$5:$B$44,MATCH(J1178,Staff!$A$5:$A$44,0)),""))</f>
        <v>0</v>
      </c>
      <c r="O1178" s="15">
        <f>IF(B1178="","",TEXT(B1178,"yyyy-mm"))</f>
        <v>0</v>
      </c>
      <c r="P1178" s="25">
        <f>IF(B1178="","",WEEKNUM(B1178,2))</f>
        <v>0</v>
      </c>
      <c r="Q1178" s="38">
        <f>IF(B1178="","",IF(E1178="Tip","No",IF(E1178="Refund","No","Yes")))</f>
        <v>0</v>
      </c>
      <c r="R1178" s="25">
        <f>IF(B1178="","",IF(E1178="Refund",-1,1))</f>
        <v>0</v>
      </c>
      <c r="S1178" s="26">
        <f>IF(B1178="","",IF(G1178="",0,IF(F1178="Card",ROUND(G1178*CardFeePercent+CardFeeFixed,2),IF(F1178="Online deposit",ROUND(G1178*CardFeePercent+CardFeeFixed,2),0))))</f>
        <v>0</v>
      </c>
      <c r="T1178" s="26">
        <f>IF(B1178="","",ROUND(IF(G1178="",0,G1178)*R1178-S1178,2))</f>
        <v>0</v>
      </c>
      <c r="U1178" s="38">
        <f>IF(B1178="","",IF(E1178="Tip","Yes","No"))</f>
        <v>0</v>
      </c>
      <c r="V1178" s="15">
        <f>IF(B1178="","",IF(H1178&lt;&gt;"","Sale "&amp;H1178,IF(I1178&lt;&gt;"","Booking "&amp;I1178,IF(E1178="Tip","Stylist","Unapplied"))))</f>
        <v>0</v>
      </c>
      <c r="W1178" s="39">
        <f>IF(B1178="","",IF(G1178="","Add - no amount yet",IF(E1178="","Add - what was this for?",IF(IF(H1178="",FALSE,COUNTIF(Sales!$A$5:$A$1204,H1178)=0),"Missing - no sale with that ID",IF(IF(I1178="",FALSE,COUNTIF(Appointments!$A$5:$A$1204,I1178)=0),"Missing - no booking with that ID",IF(IF(E1178="Tip",J1178="",FALSE),"Assign - whose tip is it?",IF(IF(E1178="Deposit",IF(H1178="",I1178="",FALSE),FALSE),"Check - deposit not tied to a booking",IF(M1178="No","Due - not reconciled yet","OK"))))))))</f>
        <v>0</v>
      </c>
    </row>
    <row r="1179" spans="1:23">
      <c r="A1179" s="28">
        <f>IF(B1179="","",PaymentPrefix&amp;TEXT(ROW()-4,"0000"))</f>
        <v>0</v>
      </c>
      <c r="D1179" s="15">
        <f>IF(C1179="","",IFERROR(INDEX(Clients!$B$5:$B$504,MATCH(C1179,Clients!$A$5:$A$504,0)),"Walk-in"))</f>
        <v>0</v>
      </c>
      <c r="K1179" s="15">
        <f>IF(J1179="","",IFERROR(INDEX(Staff!$B$5:$B$44,MATCH(J1179,Staff!$A$5:$A$44,0)),""))</f>
        <v>0</v>
      </c>
      <c r="O1179" s="15">
        <f>IF(B1179="","",TEXT(B1179,"yyyy-mm"))</f>
        <v>0</v>
      </c>
      <c r="P1179" s="25">
        <f>IF(B1179="","",WEEKNUM(B1179,2))</f>
        <v>0</v>
      </c>
      <c r="Q1179" s="38">
        <f>IF(B1179="","",IF(E1179="Tip","No",IF(E1179="Refund","No","Yes")))</f>
        <v>0</v>
      </c>
      <c r="R1179" s="25">
        <f>IF(B1179="","",IF(E1179="Refund",-1,1))</f>
        <v>0</v>
      </c>
      <c r="S1179" s="26">
        <f>IF(B1179="","",IF(G1179="",0,IF(F1179="Card",ROUND(G1179*CardFeePercent+CardFeeFixed,2),IF(F1179="Online deposit",ROUND(G1179*CardFeePercent+CardFeeFixed,2),0))))</f>
        <v>0</v>
      </c>
      <c r="T1179" s="26">
        <f>IF(B1179="","",ROUND(IF(G1179="",0,G1179)*R1179-S1179,2))</f>
        <v>0</v>
      </c>
      <c r="U1179" s="38">
        <f>IF(B1179="","",IF(E1179="Tip","Yes","No"))</f>
        <v>0</v>
      </c>
      <c r="V1179" s="15">
        <f>IF(B1179="","",IF(H1179&lt;&gt;"","Sale "&amp;H1179,IF(I1179&lt;&gt;"","Booking "&amp;I1179,IF(E1179="Tip","Stylist","Unapplied"))))</f>
        <v>0</v>
      </c>
      <c r="W1179" s="39">
        <f>IF(B1179="","",IF(G1179="","Add - no amount yet",IF(E1179="","Add - what was this for?",IF(IF(H1179="",FALSE,COUNTIF(Sales!$A$5:$A$1204,H1179)=0),"Missing - no sale with that ID",IF(IF(I1179="",FALSE,COUNTIF(Appointments!$A$5:$A$1204,I1179)=0),"Missing - no booking with that ID",IF(IF(E1179="Tip",J1179="",FALSE),"Assign - whose tip is it?",IF(IF(E1179="Deposit",IF(H1179="",I1179="",FALSE),FALSE),"Check - deposit not tied to a booking",IF(M1179="No","Due - not reconciled yet","OK"))))))))</f>
        <v>0</v>
      </c>
    </row>
    <row r="1180" spans="1:23">
      <c r="A1180" s="28">
        <f>IF(B1180="","",PaymentPrefix&amp;TEXT(ROW()-4,"0000"))</f>
        <v>0</v>
      </c>
      <c r="D1180" s="15">
        <f>IF(C1180="","",IFERROR(INDEX(Clients!$B$5:$B$504,MATCH(C1180,Clients!$A$5:$A$504,0)),"Walk-in"))</f>
        <v>0</v>
      </c>
      <c r="K1180" s="15">
        <f>IF(J1180="","",IFERROR(INDEX(Staff!$B$5:$B$44,MATCH(J1180,Staff!$A$5:$A$44,0)),""))</f>
        <v>0</v>
      </c>
      <c r="O1180" s="15">
        <f>IF(B1180="","",TEXT(B1180,"yyyy-mm"))</f>
        <v>0</v>
      </c>
      <c r="P1180" s="25">
        <f>IF(B1180="","",WEEKNUM(B1180,2))</f>
        <v>0</v>
      </c>
      <c r="Q1180" s="38">
        <f>IF(B1180="","",IF(E1180="Tip","No",IF(E1180="Refund","No","Yes")))</f>
        <v>0</v>
      </c>
      <c r="R1180" s="25">
        <f>IF(B1180="","",IF(E1180="Refund",-1,1))</f>
        <v>0</v>
      </c>
      <c r="S1180" s="26">
        <f>IF(B1180="","",IF(G1180="",0,IF(F1180="Card",ROUND(G1180*CardFeePercent+CardFeeFixed,2),IF(F1180="Online deposit",ROUND(G1180*CardFeePercent+CardFeeFixed,2),0))))</f>
        <v>0</v>
      </c>
      <c r="T1180" s="26">
        <f>IF(B1180="","",ROUND(IF(G1180="",0,G1180)*R1180-S1180,2))</f>
        <v>0</v>
      </c>
      <c r="U1180" s="38">
        <f>IF(B1180="","",IF(E1180="Tip","Yes","No"))</f>
        <v>0</v>
      </c>
      <c r="V1180" s="15">
        <f>IF(B1180="","",IF(H1180&lt;&gt;"","Sale "&amp;H1180,IF(I1180&lt;&gt;"","Booking "&amp;I1180,IF(E1180="Tip","Stylist","Unapplied"))))</f>
        <v>0</v>
      </c>
      <c r="W1180" s="39">
        <f>IF(B1180="","",IF(G1180="","Add - no amount yet",IF(E1180="","Add - what was this for?",IF(IF(H1180="",FALSE,COUNTIF(Sales!$A$5:$A$1204,H1180)=0),"Missing - no sale with that ID",IF(IF(I1180="",FALSE,COUNTIF(Appointments!$A$5:$A$1204,I1180)=0),"Missing - no booking with that ID",IF(IF(E1180="Tip",J1180="",FALSE),"Assign - whose tip is it?",IF(IF(E1180="Deposit",IF(H1180="",I1180="",FALSE),FALSE),"Check - deposit not tied to a booking",IF(M1180="No","Due - not reconciled yet","OK"))))))))</f>
        <v>0</v>
      </c>
    </row>
    <row r="1181" spans="1:23">
      <c r="A1181" s="28">
        <f>IF(B1181="","",PaymentPrefix&amp;TEXT(ROW()-4,"0000"))</f>
        <v>0</v>
      </c>
      <c r="D1181" s="15">
        <f>IF(C1181="","",IFERROR(INDEX(Clients!$B$5:$B$504,MATCH(C1181,Clients!$A$5:$A$504,0)),"Walk-in"))</f>
        <v>0</v>
      </c>
      <c r="K1181" s="15">
        <f>IF(J1181="","",IFERROR(INDEX(Staff!$B$5:$B$44,MATCH(J1181,Staff!$A$5:$A$44,0)),""))</f>
        <v>0</v>
      </c>
      <c r="O1181" s="15">
        <f>IF(B1181="","",TEXT(B1181,"yyyy-mm"))</f>
        <v>0</v>
      </c>
      <c r="P1181" s="25">
        <f>IF(B1181="","",WEEKNUM(B1181,2))</f>
        <v>0</v>
      </c>
      <c r="Q1181" s="38">
        <f>IF(B1181="","",IF(E1181="Tip","No",IF(E1181="Refund","No","Yes")))</f>
        <v>0</v>
      </c>
      <c r="R1181" s="25">
        <f>IF(B1181="","",IF(E1181="Refund",-1,1))</f>
        <v>0</v>
      </c>
      <c r="S1181" s="26">
        <f>IF(B1181="","",IF(G1181="",0,IF(F1181="Card",ROUND(G1181*CardFeePercent+CardFeeFixed,2),IF(F1181="Online deposit",ROUND(G1181*CardFeePercent+CardFeeFixed,2),0))))</f>
        <v>0</v>
      </c>
      <c r="T1181" s="26">
        <f>IF(B1181="","",ROUND(IF(G1181="",0,G1181)*R1181-S1181,2))</f>
        <v>0</v>
      </c>
      <c r="U1181" s="38">
        <f>IF(B1181="","",IF(E1181="Tip","Yes","No"))</f>
        <v>0</v>
      </c>
      <c r="V1181" s="15">
        <f>IF(B1181="","",IF(H1181&lt;&gt;"","Sale "&amp;H1181,IF(I1181&lt;&gt;"","Booking "&amp;I1181,IF(E1181="Tip","Stylist","Unapplied"))))</f>
        <v>0</v>
      </c>
      <c r="W1181" s="39">
        <f>IF(B1181="","",IF(G1181="","Add - no amount yet",IF(E1181="","Add - what was this for?",IF(IF(H1181="",FALSE,COUNTIF(Sales!$A$5:$A$1204,H1181)=0),"Missing - no sale with that ID",IF(IF(I1181="",FALSE,COUNTIF(Appointments!$A$5:$A$1204,I1181)=0),"Missing - no booking with that ID",IF(IF(E1181="Tip",J1181="",FALSE),"Assign - whose tip is it?",IF(IF(E1181="Deposit",IF(H1181="",I1181="",FALSE),FALSE),"Check - deposit not tied to a booking",IF(M1181="No","Due - not reconciled yet","OK"))))))))</f>
        <v>0</v>
      </c>
    </row>
    <row r="1182" spans="1:23">
      <c r="A1182" s="28">
        <f>IF(B1182="","",PaymentPrefix&amp;TEXT(ROW()-4,"0000"))</f>
        <v>0</v>
      </c>
      <c r="D1182" s="15">
        <f>IF(C1182="","",IFERROR(INDEX(Clients!$B$5:$B$504,MATCH(C1182,Clients!$A$5:$A$504,0)),"Walk-in"))</f>
        <v>0</v>
      </c>
      <c r="K1182" s="15">
        <f>IF(J1182="","",IFERROR(INDEX(Staff!$B$5:$B$44,MATCH(J1182,Staff!$A$5:$A$44,0)),""))</f>
        <v>0</v>
      </c>
      <c r="O1182" s="15">
        <f>IF(B1182="","",TEXT(B1182,"yyyy-mm"))</f>
        <v>0</v>
      </c>
      <c r="P1182" s="25">
        <f>IF(B1182="","",WEEKNUM(B1182,2))</f>
        <v>0</v>
      </c>
      <c r="Q1182" s="38">
        <f>IF(B1182="","",IF(E1182="Tip","No",IF(E1182="Refund","No","Yes")))</f>
        <v>0</v>
      </c>
      <c r="R1182" s="25">
        <f>IF(B1182="","",IF(E1182="Refund",-1,1))</f>
        <v>0</v>
      </c>
      <c r="S1182" s="26">
        <f>IF(B1182="","",IF(G1182="",0,IF(F1182="Card",ROUND(G1182*CardFeePercent+CardFeeFixed,2),IF(F1182="Online deposit",ROUND(G1182*CardFeePercent+CardFeeFixed,2),0))))</f>
        <v>0</v>
      </c>
      <c r="T1182" s="26">
        <f>IF(B1182="","",ROUND(IF(G1182="",0,G1182)*R1182-S1182,2))</f>
        <v>0</v>
      </c>
      <c r="U1182" s="38">
        <f>IF(B1182="","",IF(E1182="Tip","Yes","No"))</f>
        <v>0</v>
      </c>
      <c r="V1182" s="15">
        <f>IF(B1182="","",IF(H1182&lt;&gt;"","Sale "&amp;H1182,IF(I1182&lt;&gt;"","Booking "&amp;I1182,IF(E1182="Tip","Stylist","Unapplied"))))</f>
        <v>0</v>
      </c>
      <c r="W1182" s="39">
        <f>IF(B1182="","",IF(G1182="","Add - no amount yet",IF(E1182="","Add - what was this for?",IF(IF(H1182="",FALSE,COUNTIF(Sales!$A$5:$A$1204,H1182)=0),"Missing - no sale with that ID",IF(IF(I1182="",FALSE,COUNTIF(Appointments!$A$5:$A$1204,I1182)=0),"Missing - no booking with that ID",IF(IF(E1182="Tip",J1182="",FALSE),"Assign - whose tip is it?",IF(IF(E1182="Deposit",IF(H1182="",I1182="",FALSE),FALSE),"Check - deposit not tied to a booking",IF(M1182="No","Due - not reconciled yet","OK"))))))))</f>
        <v>0</v>
      </c>
    </row>
    <row r="1183" spans="1:23">
      <c r="A1183" s="28">
        <f>IF(B1183="","",PaymentPrefix&amp;TEXT(ROW()-4,"0000"))</f>
        <v>0</v>
      </c>
      <c r="D1183" s="15">
        <f>IF(C1183="","",IFERROR(INDEX(Clients!$B$5:$B$504,MATCH(C1183,Clients!$A$5:$A$504,0)),"Walk-in"))</f>
        <v>0</v>
      </c>
      <c r="K1183" s="15">
        <f>IF(J1183="","",IFERROR(INDEX(Staff!$B$5:$B$44,MATCH(J1183,Staff!$A$5:$A$44,0)),""))</f>
        <v>0</v>
      </c>
      <c r="O1183" s="15">
        <f>IF(B1183="","",TEXT(B1183,"yyyy-mm"))</f>
        <v>0</v>
      </c>
      <c r="P1183" s="25">
        <f>IF(B1183="","",WEEKNUM(B1183,2))</f>
        <v>0</v>
      </c>
      <c r="Q1183" s="38">
        <f>IF(B1183="","",IF(E1183="Tip","No",IF(E1183="Refund","No","Yes")))</f>
        <v>0</v>
      </c>
      <c r="R1183" s="25">
        <f>IF(B1183="","",IF(E1183="Refund",-1,1))</f>
        <v>0</v>
      </c>
      <c r="S1183" s="26">
        <f>IF(B1183="","",IF(G1183="",0,IF(F1183="Card",ROUND(G1183*CardFeePercent+CardFeeFixed,2),IF(F1183="Online deposit",ROUND(G1183*CardFeePercent+CardFeeFixed,2),0))))</f>
        <v>0</v>
      </c>
      <c r="T1183" s="26">
        <f>IF(B1183="","",ROUND(IF(G1183="",0,G1183)*R1183-S1183,2))</f>
        <v>0</v>
      </c>
      <c r="U1183" s="38">
        <f>IF(B1183="","",IF(E1183="Tip","Yes","No"))</f>
        <v>0</v>
      </c>
      <c r="V1183" s="15">
        <f>IF(B1183="","",IF(H1183&lt;&gt;"","Sale "&amp;H1183,IF(I1183&lt;&gt;"","Booking "&amp;I1183,IF(E1183="Tip","Stylist","Unapplied"))))</f>
        <v>0</v>
      </c>
      <c r="W1183" s="39">
        <f>IF(B1183="","",IF(G1183="","Add - no amount yet",IF(E1183="","Add - what was this for?",IF(IF(H1183="",FALSE,COUNTIF(Sales!$A$5:$A$1204,H1183)=0),"Missing - no sale with that ID",IF(IF(I1183="",FALSE,COUNTIF(Appointments!$A$5:$A$1204,I1183)=0),"Missing - no booking with that ID",IF(IF(E1183="Tip",J1183="",FALSE),"Assign - whose tip is it?",IF(IF(E1183="Deposit",IF(H1183="",I1183="",FALSE),FALSE),"Check - deposit not tied to a booking",IF(M1183="No","Due - not reconciled yet","OK"))))))))</f>
        <v>0</v>
      </c>
    </row>
    <row r="1184" spans="1:23">
      <c r="A1184" s="28">
        <f>IF(B1184="","",PaymentPrefix&amp;TEXT(ROW()-4,"0000"))</f>
        <v>0</v>
      </c>
      <c r="D1184" s="15">
        <f>IF(C1184="","",IFERROR(INDEX(Clients!$B$5:$B$504,MATCH(C1184,Clients!$A$5:$A$504,0)),"Walk-in"))</f>
        <v>0</v>
      </c>
      <c r="K1184" s="15">
        <f>IF(J1184="","",IFERROR(INDEX(Staff!$B$5:$B$44,MATCH(J1184,Staff!$A$5:$A$44,0)),""))</f>
        <v>0</v>
      </c>
      <c r="O1184" s="15">
        <f>IF(B1184="","",TEXT(B1184,"yyyy-mm"))</f>
        <v>0</v>
      </c>
      <c r="P1184" s="25">
        <f>IF(B1184="","",WEEKNUM(B1184,2))</f>
        <v>0</v>
      </c>
      <c r="Q1184" s="38">
        <f>IF(B1184="","",IF(E1184="Tip","No",IF(E1184="Refund","No","Yes")))</f>
        <v>0</v>
      </c>
      <c r="R1184" s="25">
        <f>IF(B1184="","",IF(E1184="Refund",-1,1))</f>
        <v>0</v>
      </c>
      <c r="S1184" s="26">
        <f>IF(B1184="","",IF(G1184="",0,IF(F1184="Card",ROUND(G1184*CardFeePercent+CardFeeFixed,2),IF(F1184="Online deposit",ROUND(G1184*CardFeePercent+CardFeeFixed,2),0))))</f>
        <v>0</v>
      </c>
      <c r="T1184" s="26">
        <f>IF(B1184="","",ROUND(IF(G1184="",0,G1184)*R1184-S1184,2))</f>
        <v>0</v>
      </c>
      <c r="U1184" s="38">
        <f>IF(B1184="","",IF(E1184="Tip","Yes","No"))</f>
        <v>0</v>
      </c>
      <c r="V1184" s="15">
        <f>IF(B1184="","",IF(H1184&lt;&gt;"","Sale "&amp;H1184,IF(I1184&lt;&gt;"","Booking "&amp;I1184,IF(E1184="Tip","Stylist","Unapplied"))))</f>
        <v>0</v>
      </c>
      <c r="W1184" s="39">
        <f>IF(B1184="","",IF(G1184="","Add - no amount yet",IF(E1184="","Add - what was this for?",IF(IF(H1184="",FALSE,COUNTIF(Sales!$A$5:$A$1204,H1184)=0),"Missing - no sale with that ID",IF(IF(I1184="",FALSE,COUNTIF(Appointments!$A$5:$A$1204,I1184)=0),"Missing - no booking with that ID",IF(IF(E1184="Tip",J1184="",FALSE),"Assign - whose tip is it?",IF(IF(E1184="Deposit",IF(H1184="",I1184="",FALSE),FALSE),"Check - deposit not tied to a booking",IF(M1184="No","Due - not reconciled yet","OK"))))))))</f>
        <v>0</v>
      </c>
    </row>
    <row r="1185" spans="1:23">
      <c r="A1185" s="28">
        <f>IF(B1185="","",PaymentPrefix&amp;TEXT(ROW()-4,"0000"))</f>
        <v>0</v>
      </c>
      <c r="D1185" s="15">
        <f>IF(C1185="","",IFERROR(INDEX(Clients!$B$5:$B$504,MATCH(C1185,Clients!$A$5:$A$504,0)),"Walk-in"))</f>
        <v>0</v>
      </c>
      <c r="K1185" s="15">
        <f>IF(J1185="","",IFERROR(INDEX(Staff!$B$5:$B$44,MATCH(J1185,Staff!$A$5:$A$44,0)),""))</f>
        <v>0</v>
      </c>
      <c r="O1185" s="15">
        <f>IF(B1185="","",TEXT(B1185,"yyyy-mm"))</f>
        <v>0</v>
      </c>
      <c r="P1185" s="25">
        <f>IF(B1185="","",WEEKNUM(B1185,2))</f>
        <v>0</v>
      </c>
      <c r="Q1185" s="38">
        <f>IF(B1185="","",IF(E1185="Tip","No",IF(E1185="Refund","No","Yes")))</f>
        <v>0</v>
      </c>
      <c r="R1185" s="25">
        <f>IF(B1185="","",IF(E1185="Refund",-1,1))</f>
        <v>0</v>
      </c>
      <c r="S1185" s="26">
        <f>IF(B1185="","",IF(G1185="",0,IF(F1185="Card",ROUND(G1185*CardFeePercent+CardFeeFixed,2),IF(F1185="Online deposit",ROUND(G1185*CardFeePercent+CardFeeFixed,2),0))))</f>
        <v>0</v>
      </c>
      <c r="T1185" s="26">
        <f>IF(B1185="","",ROUND(IF(G1185="",0,G1185)*R1185-S1185,2))</f>
        <v>0</v>
      </c>
      <c r="U1185" s="38">
        <f>IF(B1185="","",IF(E1185="Tip","Yes","No"))</f>
        <v>0</v>
      </c>
      <c r="V1185" s="15">
        <f>IF(B1185="","",IF(H1185&lt;&gt;"","Sale "&amp;H1185,IF(I1185&lt;&gt;"","Booking "&amp;I1185,IF(E1185="Tip","Stylist","Unapplied"))))</f>
        <v>0</v>
      </c>
      <c r="W1185" s="39">
        <f>IF(B1185="","",IF(G1185="","Add - no amount yet",IF(E1185="","Add - what was this for?",IF(IF(H1185="",FALSE,COUNTIF(Sales!$A$5:$A$1204,H1185)=0),"Missing - no sale with that ID",IF(IF(I1185="",FALSE,COUNTIF(Appointments!$A$5:$A$1204,I1185)=0),"Missing - no booking with that ID",IF(IF(E1185="Tip",J1185="",FALSE),"Assign - whose tip is it?",IF(IF(E1185="Deposit",IF(H1185="",I1185="",FALSE),FALSE),"Check - deposit not tied to a booking",IF(M1185="No","Due - not reconciled yet","OK"))))))))</f>
        <v>0</v>
      </c>
    </row>
    <row r="1186" spans="1:23">
      <c r="A1186" s="28">
        <f>IF(B1186="","",PaymentPrefix&amp;TEXT(ROW()-4,"0000"))</f>
        <v>0</v>
      </c>
      <c r="D1186" s="15">
        <f>IF(C1186="","",IFERROR(INDEX(Clients!$B$5:$B$504,MATCH(C1186,Clients!$A$5:$A$504,0)),"Walk-in"))</f>
        <v>0</v>
      </c>
      <c r="K1186" s="15">
        <f>IF(J1186="","",IFERROR(INDEX(Staff!$B$5:$B$44,MATCH(J1186,Staff!$A$5:$A$44,0)),""))</f>
        <v>0</v>
      </c>
      <c r="O1186" s="15">
        <f>IF(B1186="","",TEXT(B1186,"yyyy-mm"))</f>
        <v>0</v>
      </c>
      <c r="P1186" s="25">
        <f>IF(B1186="","",WEEKNUM(B1186,2))</f>
        <v>0</v>
      </c>
      <c r="Q1186" s="38">
        <f>IF(B1186="","",IF(E1186="Tip","No",IF(E1186="Refund","No","Yes")))</f>
        <v>0</v>
      </c>
      <c r="R1186" s="25">
        <f>IF(B1186="","",IF(E1186="Refund",-1,1))</f>
        <v>0</v>
      </c>
      <c r="S1186" s="26">
        <f>IF(B1186="","",IF(G1186="",0,IF(F1186="Card",ROUND(G1186*CardFeePercent+CardFeeFixed,2),IF(F1186="Online deposit",ROUND(G1186*CardFeePercent+CardFeeFixed,2),0))))</f>
        <v>0</v>
      </c>
      <c r="T1186" s="26">
        <f>IF(B1186="","",ROUND(IF(G1186="",0,G1186)*R1186-S1186,2))</f>
        <v>0</v>
      </c>
      <c r="U1186" s="38">
        <f>IF(B1186="","",IF(E1186="Tip","Yes","No"))</f>
        <v>0</v>
      </c>
      <c r="V1186" s="15">
        <f>IF(B1186="","",IF(H1186&lt;&gt;"","Sale "&amp;H1186,IF(I1186&lt;&gt;"","Booking "&amp;I1186,IF(E1186="Tip","Stylist","Unapplied"))))</f>
        <v>0</v>
      </c>
      <c r="W1186" s="39">
        <f>IF(B1186="","",IF(G1186="","Add - no amount yet",IF(E1186="","Add - what was this for?",IF(IF(H1186="",FALSE,COUNTIF(Sales!$A$5:$A$1204,H1186)=0),"Missing - no sale with that ID",IF(IF(I1186="",FALSE,COUNTIF(Appointments!$A$5:$A$1204,I1186)=0),"Missing - no booking with that ID",IF(IF(E1186="Tip",J1186="",FALSE),"Assign - whose tip is it?",IF(IF(E1186="Deposit",IF(H1186="",I1186="",FALSE),FALSE),"Check - deposit not tied to a booking",IF(M1186="No","Due - not reconciled yet","OK"))))))))</f>
        <v>0</v>
      </c>
    </row>
    <row r="1187" spans="1:23">
      <c r="A1187" s="28">
        <f>IF(B1187="","",PaymentPrefix&amp;TEXT(ROW()-4,"0000"))</f>
        <v>0</v>
      </c>
      <c r="D1187" s="15">
        <f>IF(C1187="","",IFERROR(INDEX(Clients!$B$5:$B$504,MATCH(C1187,Clients!$A$5:$A$504,0)),"Walk-in"))</f>
        <v>0</v>
      </c>
      <c r="K1187" s="15">
        <f>IF(J1187="","",IFERROR(INDEX(Staff!$B$5:$B$44,MATCH(J1187,Staff!$A$5:$A$44,0)),""))</f>
        <v>0</v>
      </c>
      <c r="O1187" s="15">
        <f>IF(B1187="","",TEXT(B1187,"yyyy-mm"))</f>
        <v>0</v>
      </c>
      <c r="P1187" s="25">
        <f>IF(B1187="","",WEEKNUM(B1187,2))</f>
        <v>0</v>
      </c>
      <c r="Q1187" s="38">
        <f>IF(B1187="","",IF(E1187="Tip","No",IF(E1187="Refund","No","Yes")))</f>
        <v>0</v>
      </c>
      <c r="R1187" s="25">
        <f>IF(B1187="","",IF(E1187="Refund",-1,1))</f>
        <v>0</v>
      </c>
      <c r="S1187" s="26">
        <f>IF(B1187="","",IF(G1187="",0,IF(F1187="Card",ROUND(G1187*CardFeePercent+CardFeeFixed,2),IF(F1187="Online deposit",ROUND(G1187*CardFeePercent+CardFeeFixed,2),0))))</f>
        <v>0</v>
      </c>
      <c r="T1187" s="26">
        <f>IF(B1187="","",ROUND(IF(G1187="",0,G1187)*R1187-S1187,2))</f>
        <v>0</v>
      </c>
      <c r="U1187" s="38">
        <f>IF(B1187="","",IF(E1187="Tip","Yes","No"))</f>
        <v>0</v>
      </c>
      <c r="V1187" s="15">
        <f>IF(B1187="","",IF(H1187&lt;&gt;"","Sale "&amp;H1187,IF(I1187&lt;&gt;"","Booking "&amp;I1187,IF(E1187="Tip","Stylist","Unapplied"))))</f>
        <v>0</v>
      </c>
      <c r="W1187" s="39">
        <f>IF(B1187="","",IF(G1187="","Add - no amount yet",IF(E1187="","Add - what was this for?",IF(IF(H1187="",FALSE,COUNTIF(Sales!$A$5:$A$1204,H1187)=0),"Missing - no sale with that ID",IF(IF(I1187="",FALSE,COUNTIF(Appointments!$A$5:$A$1204,I1187)=0),"Missing - no booking with that ID",IF(IF(E1187="Tip",J1187="",FALSE),"Assign - whose tip is it?",IF(IF(E1187="Deposit",IF(H1187="",I1187="",FALSE),FALSE),"Check - deposit not tied to a booking",IF(M1187="No","Due - not reconciled yet","OK"))))))))</f>
        <v>0</v>
      </c>
    </row>
    <row r="1188" spans="1:23">
      <c r="A1188" s="28">
        <f>IF(B1188="","",PaymentPrefix&amp;TEXT(ROW()-4,"0000"))</f>
        <v>0</v>
      </c>
      <c r="D1188" s="15">
        <f>IF(C1188="","",IFERROR(INDEX(Clients!$B$5:$B$504,MATCH(C1188,Clients!$A$5:$A$504,0)),"Walk-in"))</f>
        <v>0</v>
      </c>
      <c r="K1188" s="15">
        <f>IF(J1188="","",IFERROR(INDEX(Staff!$B$5:$B$44,MATCH(J1188,Staff!$A$5:$A$44,0)),""))</f>
        <v>0</v>
      </c>
      <c r="O1188" s="15">
        <f>IF(B1188="","",TEXT(B1188,"yyyy-mm"))</f>
        <v>0</v>
      </c>
      <c r="P1188" s="25">
        <f>IF(B1188="","",WEEKNUM(B1188,2))</f>
        <v>0</v>
      </c>
      <c r="Q1188" s="38">
        <f>IF(B1188="","",IF(E1188="Tip","No",IF(E1188="Refund","No","Yes")))</f>
        <v>0</v>
      </c>
      <c r="R1188" s="25">
        <f>IF(B1188="","",IF(E1188="Refund",-1,1))</f>
        <v>0</v>
      </c>
      <c r="S1188" s="26">
        <f>IF(B1188="","",IF(G1188="",0,IF(F1188="Card",ROUND(G1188*CardFeePercent+CardFeeFixed,2),IF(F1188="Online deposit",ROUND(G1188*CardFeePercent+CardFeeFixed,2),0))))</f>
        <v>0</v>
      </c>
      <c r="T1188" s="26">
        <f>IF(B1188="","",ROUND(IF(G1188="",0,G1188)*R1188-S1188,2))</f>
        <v>0</v>
      </c>
      <c r="U1188" s="38">
        <f>IF(B1188="","",IF(E1188="Tip","Yes","No"))</f>
        <v>0</v>
      </c>
      <c r="V1188" s="15">
        <f>IF(B1188="","",IF(H1188&lt;&gt;"","Sale "&amp;H1188,IF(I1188&lt;&gt;"","Booking "&amp;I1188,IF(E1188="Tip","Stylist","Unapplied"))))</f>
        <v>0</v>
      </c>
      <c r="W1188" s="39">
        <f>IF(B1188="","",IF(G1188="","Add - no amount yet",IF(E1188="","Add - what was this for?",IF(IF(H1188="",FALSE,COUNTIF(Sales!$A$5:$A$1204,H1188)=0),"Missing - no sale with that ID",IF(IF(I1188="",FALSE,COUNTIF(Appointments!$A$5:$A$1204,I1188)=0),"Missing - no booking with that ID",IF(IF(E1188="Tip",J1188="",FALSE),"Assign - whose tip is it?",IF(IF(E1188="Deposit",IF(H1188="",I1188="",FALSE),FALSE),"Check - deposit not tied to a booking",IF(M1188="No","Due - not reconciled yet","OK"))))))))</f>
        <v>0</v>
      </c>
    </row>
    <row r="1189" spans="1:23">
      <c r="A1189" s="28">
        <f>IF(B1189="","",PaymentPrefix&amp;TEXT(ROW()-4,"0000"))</f>
        <v>0</v>
      </c>
      <c r="D1189" s="15">
        <f>IF(C1189="","",IFERROR(INDEX(Clients!$B$5:$B$504,MATCH(C1189,Clients!$A$5:$A$504,0)),"Walk-in"))</f>
        <v>0</v>
      </c>
      <c r="K1189" s="15">
        <f>IF(J1189="","",IFERROR(INDEX(Staff!$B$5:$B$44,MATCH(J1189,Staff!$A$5:$A$44,0)),""))</f>
        <v>0</v>
      </c>
      <c r="O1189" s="15">
        <f>IF(B1189="","",TEXT(B1189,"yyyy-mm"))</f>
        <v>0</v>
      </c>
      <c r="P1189" s="25">
        <f>IF(B1189="","",WEEKNUM(B1189,2))</f>
        <v>0</v>
      </c>
      <c r="Q1189" s="38">
        <f>IF(B1189="","",IF(E1189="Tip","No",IF(E1189="Refund","No","Yes")))</f>
        <v>0</v>
      </c>
      <c r="R1189" s="25">
        <f>IF(B1189="","",IF(E1189="Refund",-1,1))</f>
        <v>0</v>
      </c>
      <c r="S1189" s="26">
        <f>IF(B1189="","",IF(G1189="",0,IF(F1189="Card",ROUND(G1189*CardFeePercent+CardFeeFixed,2),IF(F1189="Online deposit",ROUND(G1189*CardFeePercent+CardFeeFixed,2),0))))</f>
        <v>0</v>
      </c>
      <c r="T1189" s="26">
        <f>IF(B1189="","",ROUND(IF(G1189="",0,G1189)*R1189-S1189,2))</f>
        <v>0</v>
      </c>
      <c r="U1189" s="38">
        <f>IF(B1189="","",IF(E1189="Tip","Yes","No"))</f>
        <v>0</v>
      </c>
      <c r="V1189" s="15">
        <f>IF(B1189="","",IF(H1189&lt;&gt;"","Sale "&amp;H1189,IF(I1189&lt;&gt;"","Booking "&amp;I1189,IF(E1189="Tip","Stylist","Unapplied"))))</f>
        <v>0</v>
      </c>
      <c r="W1189" s="39">
        <f>IF(B1189="","",IF(G1189="","Add - no amount yet",IF(E1189="","Add - what was this for?",IF(IF(H1189="",FALSE,COUNTIF(Sales!$A$5:$A$1204,H1189)=0),"Missing - no sale with that ID",IF(IF(I1189="",FALSE,COUNTIF(Appointments!$A$5:$A$1204,I1189)=0),"Missing - no booking with that ID",IF(IF(E1189="Tip",J1189="",FALSE),"Assign - whose tip is it?",IF(IF(E1189="Deposit",IF(H1189="",I1189="",FALSE),FALSE),"Check - deposit not tied to a booking",IF(M1189="No","Due - not reconciled yet","OK"))))))))</f>
        <v>0</v>
      </c>
    </row>
    <row r="1190" spans="1:23">
      <c r="A1190" s="28">
        <f>IF(B1190="","",PaymentPrefix&amp;TEXT(ROW()-4,"0000"))</f>
        <v>0</v>
      </c>
      <c r="D1190" s="15">
        <f>IF(C1190="","",IFERROR(INDEX(Clients!$B$5:$B$504,MATCH(C1190,Clients!$A$5:$A$504,0)),"Walk-in"))</f>
        <v>0</v>
      </c>
      <c r="K1190" s="15">
        <f>IF(J1190="","",IFERROR(INDEX(Staff!$B$5:$B$44,MATCH(J1190,Staff!$A$5:$A$44,0)),""))</f>
        <v>0</v>
      </c>
      <c r="O1190" s="15">
        <f>IF(B1190="","",TEXT(B1190,"yyyy-mm"))</f>
        <v>0</v>
      </c>
      <c r="P1190" s="25">
        <f>IF(B1190="","",WEEKNUM(B1190,2))</f>
        <v>0</v>
      </c>
      <c r="Q1190" s="38">
        <f>IF(B1190="","",IF(E1190="Tip","No",IF(E1190="Refund","No","Yes")))</f>
        <v>0</v>
      </c>
      <c r="R1190" s="25">
        <f>IF(B1190="","",IF(E1190="Refund",-1,1))</f>
        <v>0</v>
      </c>
      <c r="S1190" s="26">
        <f>IF(B1190="","",IF(G1190="",0,IF(F1190="Card",ROUND(G1190*CardFeePercent+CardFeeFixed,2),IF(F1190="Online deposit",ROUND(G1190*CardFeePercent+CardFeeFixed,2),0))))</f>
        <v>0</v>
      </c>
      <c r="T1190" s="26">
        <f>IF(B1190="","",ROUND(IF(G1190="",0,G1190)*R1190-S1190,2))</f>
        <v>0</v>
      </c>
      <c r="U1190" s="38">
        <f>IF(B1190="","",IF(E1190="Tip","Yes","No"))</f>
        <v>0</v>
      </c>
      <c r="V1190" s="15">
        <f>IF(B1190="","",IF(H1190&lt;&gt;"","Sale "&amp;H1190,IF(I1190&lt;&gt;"","Booking "&amp;I1190,IF(E1190="Tip","Stylist","Unapplied"))))</f>
        <v>0</v>
      </c>
      <c r="W1190" s="39">
        <f>IF(B1190="","",IF(G1190="","Add - no amount yet",IF(E1190="","Add - what was this for?",IF(IF(H1190="",FALSE,COUNTIF(Sales!$A$5:$A$1204,H1190)=0),"Missing - no sale with that ID",IF(IF(I1190="",FALSE,COUNTIF(Appointments!$A$5:$A$1204,I1190)=0),"Missing - no booking with that ID",IF(IF(E1190="Tip",J1190="",FALSE),"Assign - whose tip is it?",IF(IF(E1190="Deposit",IF(H1190="",I1190="",FALSE),FALSE),"Check - deposit not tied to a booking",IF(M1190="No","Due - not reconciled yet","OK"))))))))</f>
        <v>0</v>
      </c>
    </row>
    <row r="1191" spans="1:23">
      <c r="A1191" s="28">
        <f>IF(B1191="","",PaymentPrefix&amp;TEXT(ROW()-4,"0000"))</f>
        <v>0</v>
      </c>
      <c r="D1191" s="15">
        <f>IF(C1191="","",IFERROR(INDEX(Clients!$B$5:$B$504,MATCH(C1191,Clients!$A$5:$A$504,0)),"Walk-in"))</f>
        <v>0</v>
      </c>
      <c r="K1191" s="15">
        <f>IF(J1191="","",IFERROR(INDEX(Staff!$B$5:$B$44,MATCH(J1191,Staff!$A$5:$A$44,0)),""))</f>
        <v>0</v>
      </c>
      <c r="O1191" s="15">
        <f>IF(B1191="","",TEXT(B1191,"yyyy-mm"))</f>
        <v>0</v>
      </c>
      <c r="P1191" s="25">
        <f>IF(B1191="","",WEEKNUM(B1191,2))</f>
        <v>0</v>
      </c>
      <c r="Q1191" s="38">
        <f>IF(B1191="","",IF(E1191="Tip","No",IF(E1191="Refund","No","Yes")))</f>
        <v>0</v>
      </c>
      <c r="R1191" s="25">
        <f>IF(B1191="","",IF(E1191="Refund",-1,1))</f>
        <v>0</v>
      </c>
      <c r="S1191" s="26">
        <f>IF(B1191="","",IF(G1191="",0,IF(F1191="Card",ROUND(G1191*CardFeePercent+CardFeeFixed,2),IF(F1191="Online deposit",ROUND(G1191*CardFeePercent+CardFeeFixed,2),0))))</f>
        <v>0</v>
      </c>
      <c r="T1191" s="26">
        <f>IF(B1191="","",ROUND(IF(G1191="",0,G1191)*R1191-S1191,2))</f>
        <v>0</v>
      </c>
      <c r="U1191" s="38">
        <f>IF(B1191="","",IF(E1191="Tip","Yes","No"))</f>
        <v>0</v>
      </c>
      <c r="V1191" s="15">
        <f>IF(B1191="","",IF(H1191&lt;&gt;"","Sale "&amp;H1191,IF(I1191&lt;&gt;"","Booking "&amp;I1191,IF(E1191="Tip","Stylist","Unapplied"))))</f>
        <v>0</v>
      </c>
      <c r="W1191" s="39">
        <f>IF(B1191="","",IF(G1191="","Add - no amount yet",IF(E1191="","Add - what was this for?",IF(IF(H1191="",FALSE,COUNTIF(Sales!$A$5:$A$1204,H1191)=0),"Missing - no sale with that ID",IF(IF(I1191="",FALSE,COUNTIF(Appointments!$A$5:$A$1204,I1191)=0),"Missing - no booking with that ID",IF(IF(E1191="Tip",J1191="",FALSE),"Assign - whose tip is it?",IF(IF(E1191="Deposit",IF(H1191="",I1191="",FALSE),FALSE),"Check - deposit not tied to a booking",IF(M1191="No","Due - not reconciled yet","OK"))))))))</f>
        <v>0</v>
      </c>
    </row>
    <row r="1192" spans="1:23">
      <c r="A1192" s="28">
        <f>IF(B1192="","",PaymentPrefix&amp;TEXT(ROW()-4,"0000"))</f>
        <v>0</v>
      </c>
      <c r="D1192" s="15">
        <f>IF(C1192="","",IFERROR(INDEX(Clients!$B$5:$B$504,MATCH(C1192,Clients!$A$5:$A$504,0)),"Walk-in"))</f>
        <v>0</v>
      </c>
      <c r="K1192" s="15">
        <f>IF(J1192="","",IFERROR(INDEX(Staff!$B$5:$B$44,MATCH(J1192,Staff!$A$5:$A$44,0)),""))</f>
        <v>0</v>
      </c>
      <c r="O1192" s="15">
        <f>IF(B1192="","",TEXT(B1192,"yyyy-mm"))</f>
        <v>0</v>
      </c>
      <c r="P1192" s="25">
        <f>IF(B1192="","",WEEKNUM(B1192,2))</f>
        <v>0</v>
      </c>
      <c r="Q1192" s="38">
        <f>IF(B1192="","",IF(E1192="Tip","No",IF(E1192="Refund","No","Yes")))</f>
        <v>0</v>
      </c>
      <c r="R1192" s="25">
        <f>IF(B1192="","",IF(E1192="Refund",-1,1))</f>
        <v>0</v>
      </c>
      <c r="S1192" s="26">
        <f>IF(B1192="","",IF(G1192="",0,IF(F1192="Card",ROUND(G1192*CardFeePercent+CardFeeFixed,2),IF(F1192="Online deposit",ROUND(G1192*CardFeePercent+CardFeeFixed,2),0))))</f>
        <v>0</v>
      </c>
      <c r="T1192" s="26">
        <f>IF(B1192="","",ROUND(IF(G1192="",0,G1192)*R1192-S1192,2))</f>
        <v>0</v>
      </c>
      <c r="U1192" s="38">
        <f>IF(B1192="","",IF(E1192="Tip","Yes","No"))</f>
        <v>0</v>
      </c>
      <c r="V1192" s="15">
        <f>IF(B1192="","",IF(H1192&lt;&gt;"","Sale "&amp;H1192,IF(I1192&lt;&gt;"","Booking "&amp;I1192,IF(E1192="Tip","Stylist","Unapplied"))))</f>
        <v>0</v>
      </c>
      <c r="W1192" s="39">
        <f>IF(B1192="","",IF(G1192="","Add - no amount yet",IF(E1192="","Add - what was this for?",IF(IF(H1192="",FALSE,COUNTIF(Sales!$A$5:$A$1204,H1192)=0),"Missing - no sale with that ID",IF(IF(I1192="",FALSE,COUNTIF(Appointments!$A$5:$A$1204,I1192)=0),"Missing - no booking with that ID",IF(IF(E1192="Tip",J1192="",FALSE),"Assign - whose tip is it?",IF(IF(E1192="Deposit",IF(H1192="",I1192="",FALSE),FALSE),"Check - deposit not tied to a booking",IF(M1192="No","Due - not reconciled yet","OK"))))))))</f>
        <v>0</v>
      </c>
    </row>
    <row r="1193" spans="1:23">
      <c r="A1193" s="28">
        <f>IF(B1193="","",PaymentPrefix&amp;TEXT(ROW()-4,"0000"))</f>
        <v>0</v>
      </c>
      <c r="D1193" s="15">
        <f>IF(C1193="","",IFERROR(INDEX(Clients!$B$5:$B$504,MATCH(C1193,Clients!$A$5:$A$504,0)),"Walk-in"))</f>
        <v>0</v>
      </c>
      <c r="K1193" s="15">
        <f>IF(J1193="","",IFERROR(INDEX(Staff!$B$5:$B$44,MATCH(J1193,Staff!$A$5:$A$44,0)),""))</f>
        <v>0</v>
      </c>
      <c r="O1193" s="15">
        <f>IF(B1193="","",TEXT(B1193,"yyyy-mm"))</f>
        <v>0</v>
      </c>
      <c r="P1193" s="25">
        <f>IF(B1193="","",WEEKNUM(B1193,2))</f>
        <v>0</v>
      </c>
      <c r="Q1193" s="38">
        <f>IF(B1193="","",IF(E1193="Tip","No",IF(E1193="Refund","No","Yes")))</f>
        <v>0</v>
      </c>
      <c r="R1193" s="25">
        <f>IF(B1193="","",IF(E1193="Refund",-1,1))</f>
        <v>0</v>
      </c>
      <c r="S1193" s="26">
        <f>IF(B1193="","",IF(G1193="",0,IF(F1193="Card",ROUND(G1193*CardFeePercent+CardFeeFixed,2),IF(F1193="Online deposit",ROUND(G1193*CardFeePercent+CardFeeFixed,2),0))))</f>
        <v>0</v>
      </c>
      <c r="T1193" s="26">
        <f>IF(B1193="","",ROUND(IF(G1193="",0,G1193)*R1193-S1193,2))</f>
        <v>0</v>
      </c>
      <c r="U1193" s="38">
        <f>IF(B1193="","",IF(E1193="Tip","Yes","No"))</f>
        <v>0</v>
      </c>
      <c r="V1193" s="15">
        <f>IF(B1193="","",IF(H1193&lt;&gt;"","Sale "&amp;H1193,IF(I1193&lt;&gt;"","Booking "&amp;I1193,IF(E1193="Tip","Stylist","Unapplied"))))</f>
        <v>0</v>
      </c>
      <c r="W1193" s="39">
        <f>IF(B1193="","",IF(G1193="","Add - no amount yet",IF(E1193="","Add - what was this for?",IF(IF(H1193="",FALSE,COUNTIF(Sales!$A$5:$A$1204,H1193)=0),"Missing - no sale with that ID",IF(IF(I1193="",FALSE,COUNTIF(Appointments!$A$5:$A$1204,I1193)=0),"Missing - no booking with that ID",IF(IF(E1193="Tip",J1193="",FALSE),"Assign - whose tip is it?",IF(IF(E1193="Deposit",IF(H1193="",I1193="",FALSE),FALSE),"Check - deposit not tied to a booking",IF(M1193="No","Due - not reconciled yet","OK"))))))))</f>
        <v>0</v>
      </c>
    </row>
    <row r="1194" spans="1:23">
      <c r="A1194" s="28">
        <f>IF(B1194="","",PaymentPrefix&amp;TEXT(ROW()-4,"0000"))</f>
        <v>0</v>
      </c>
      <c r="D1194" s="15">
        <f>IF(C1194="","",IFERROR(INDEX(Clients!$B$5:$B$504,MATCH(C1194,Clients!$A$5:$A$504,0)),"Walk-in"))</f>
        <v>0</v>
      </c>
      <c r="K1194" s="15">
        <f>IF(J1194="","",IFERROR(INDEX(Staff!$B$5:$B$44,MATCH(J1194,Staff!$A$5:$A$44,0)),""))</f>
        <v>0</v>
      </c>
      <c r="O1194" s="15">
        <f>IF(B1194="","",TEXT(B1194,"yyyy-mm"))</f>
        <v>0</v>
      </c>
      <c r="P1194" s="25">
        <f>IF(B1194="","",WEEKNUM(B1194,2))</f>
        <v>0</v>
      </c>
      <c r="Q1194" s="38">
        <f>IF(B1194="","",IF(E1194="Tip","No",IF(E1194="Refund","No","Yes")))</f>
        <v>0</v>
      </c>
      <c r="R1194" s="25">
        <f>IF(B1194="","",IF(E1194="Refund",-1,1))</f>
        <v>0</v>
      </c>
      <c r="S1194" s="26">
        <f>IF(B1194="","",IF(G1194="",0,IF(F1194="Card",ROUND(G1194*CardFeePercent+CardFeeFixed,2),IF(F1194="Online deposit",ROUND(G1194*CardFeePercent+CardFeeFixed,2),0))))</f>
        <v>0</v>
      </c>
      <c r="T1194" s="26">
        <f>IF(B1194="","",ROUND(IF(G1194="",0,G1194)*R1194-S1194,2))</f>
        <v>0</v>
      </c>
      <c r="U1194" s="38">
        <f>IF(B1194="","",IF(E1194="Tip","Yes","No"))</f>
        <v>0</v>
      </c>
      <c r="V1194" s="15">
        <f>IF(B1194="","",IF(H1194&lt;&gt;"","Sale "&amp;H1194,IF(I1194&lt;&gt;"","Booking "&amp;I1194,IF(E1194="Tip","Stylist","Unapplied"))))</f>
        <v>0</v>
      </c>
      <c r="W1194" s="39">
        <f>IF(B1194="","",IF(G1194="","Add - no amount yet",IF(E1194="","Add - what was this for?",IF(IF(H1194="",FALSE,COUNTIF(Sales!$A$5:$A$1204,H1194)=0),"Missing - no sale with that ID",IF(IF(I1194="",FALSE,COUNTIF(Appointments!$A$5:$A$1204,I1194)=0),"Missing - no booking with that ID",IF(IF(E1194="Tip",J1194="",FALSE),"Assign - whose tip is it?",IF(IF(E1194="Deposit",IF(H1194="",I1194="",FALSE),FALSE),"Check - deposit not tied to a booking",IF(M1194="No","Due - not reconciled yet","OK"))))))))</f>
        <v>0</v>
      </c>
    </row>
    <row r="1195" spans="1:23">
      <c r="A1195" s="28">
        <f>IF(B1195="","",PaymentPrefix&amp;TEXT(ROW()-4,"0000"))</f>
        <v>0</v>
      </c>
      <c r="D1195" s="15">
        <f>IF(C1195="","",IFERROR(INDEX(Clients!$B$5:$B$504,MATCH(C1195,Clients!$A$5:$A$504,0)),"Walk-in"))</f>
        <v>0</v>
      </c>
      <c r="K1195" s="15">
        <f>IF(J1195="","",IFERROR(INDEX(Staff!$B$5:$B$44,MATCH(J1195,Staff!$A$5:$A$44,0)),""))</f>
        <v>0</v>
      </c>
      <c r="O1195" s="15">
        <f>IF(B1195="","",TEXT(B1195,"yyyy-mm"))</f>
        <v>0</v>
      </c>
      <c r="P1195" s="25">
        <f>IF(B1195="","",WEEKNUM(B1195,2))</f>
        <v>0</v>
      </c>
      <c r="Q1195" s="38">
        <f>IF(B1195="","",IF(E1195="Tip","No",IF(E1195="Refund","No","Yes")))</f>
        <v>0</v>
      </c>
      <c r="R1195" s="25">
        <f>IF(B1195="","",IF(E1195="Refund",-1,1))</f>
        <v>0</v>
      </c>
      <c r="S1195" s="26">
        <f>IF(B1195="","",IF(G1195="",0,IF(F1195="Card",ROUND(G1195*CardFeePercent+CardFeeFixed,2),IF(F1195="Online deposit",ROUND(G1195*CardFeePercent+CardFeeFixed,2),0))))</f>
        <v>0</v>
      </c>
      <c r="T1195" s="26">
        <f>IF(B1195="","",ROUND(IF(G1195="",0,G1195)*R1195-S1195,2))</f>
        <v>0</v>
      </c>
      <c r="U1195" s="38">
        <f>IF(B1195="","",IF(E1195="Tip","Yes","No"))</f>
        <v>0</v>
      </c>
      <c r="V1195" s="15">
        <f>IF(B1195="","",IF(H1195&lt;&gt;"","Sale "&amp;H1195,IF(I1195&lt;&gt;"","Booking "&amp;I1195,IF(E1195="Tip","Stylist","Unapplied"))))</f>
        <v>0</v>
      </c>
      <c r="W1195" s="39">
        <f>IF(B1195="","",IF(G1195="","Add - no amount yet",IF(E1195="","Add - what was this for?",IF(IF(H1195="",FALSE,COUNTIF(Sales!$A$5:$A$1204,H1195)=0),"Missing - no sale with that ID",IF(IF(I1195="",FALSE,COUNTIF(Appointments!$A$5:$A$1204,I1195)=0),"Missing - no booking with that ID",IF(IF(E1195="Tip",J1195="",FALSE),"Assign - whose tip is it?",IF(IF(E1195="Deposit",IF(H1195="",I1195="",FALSE),FALSE),"Check - deposit not tied to a booking",IF(M1195="No","Due - not reconciled yet","OK"))))))))</f>
        <v>0</v>
      </c>
    </row>
    <row r="1196" spans="1:23">
      <c r="A1196" s="28">
        <f>IF(B1196="","",PaymentPrefix&amp;TEXT(ROW()-4,"0000"))</f>
        <v>0</v>
      </c>
      <c r="D1196" s="15">
        <f>IF(C1196="","",IFERROR(INDEX(Clients!$B$5:$B$504,MATCH(C1196,Clients!$A$5:$A$504,0)),"Walk-in"))</f>
        <v>0</v>
      </c>
      <c r="K1196" s="15">
        <f>IF(J1196="","",IFERROR(INDEX(Staff!$B$5:$B$44,MATCH(J1196,Staff!$A$5:$A$44,0)),""))</f>
        <v>0</v>
      </c>
      <c r="O1196" s="15">
        <f>IF(B1196="","",TEXT(B1196,"yyyy-mm"))</f>
        <v>0</v>
      </c>
      <c r="P1196" s="25">
        <f>IF(B1196="","",WEEKNUM(B1196,2))</f>
        <v>0</v>
      </c>
      <c r="Q1196" s="38">
        <f>IF(B1196="","",IF(E1196="Tip","No",IF(E1196="Refund","No","Yes")))</f>
        <v>0</v>
      </c>
      <c r="R1196" s="25">
        <f>IF(B1196="","",IF(E1196="Refund",-1,1))</f>
        <v>0</v>
      </c>
      <c r="S1196" s="26">
        <f>IF(B1196="","",IF(G1196="",0,IF(F1196="Card",ROUND(G1196*CardFeePercent+CardFeeFixed,2),IF(F1196="Online deposit",ROUND(G1196*CardFeePercent+CardFeeFixed,2),0))))</f>
        <v>0</v>
      </c>
      <c r="T1196" s="26">
        <f>IF(B1196="","",ROUND(IF(G1196="",0,G1196)*R1196-S1196,2))</f>
        <v>0</v>
      </c>
      <c r="U1196" s="38">
        <f>IF(B1196="","",IF(E1196="Tip","Yes","No"))</f>
        <v>0</v>
      </c>
      <c r="V1196" s="15">
        <f>IF(B1196="","",IF(H1196&lt;&gt;"","Sale "&amp;H1196,IF(I1196&lt;&gt;"","Booking "&amp;I1196,IF(E1196="Tip","Stylist","Unapplied"))))</f>
        <v>0</v>
      </c>
      <c r="W1196" s="39">
        <f>IF(B1196="","",IF(G1196="","Add - no amount yet",IF(E1196="","Add - what was this for?",IF(IF(H1196="",FALSE,COUNTIF(Sales!$A$5:$A$1204,H1196)=0),"Missing - no sale with that ID",IF(IF(I1196="",FALSE,COUNTIF(Appointments!$A$5:$A$1204,I1196)=0),"Missing - no booking with that ID",IF(IF(E1196="Tip",J1196="",FALSE),"Assign - whose tip is it?",IF(IF(E1196="Deposit",IF(H1196="",I1196="",FALSE),FALSE),"Check - deposit not tied to a booking",IF(M1196="No","Due - not reconciled yet","OK"))))))))</f>
        <v>0</v>
      </c>
    </row>
    <row r="1197" spans="1:23">
      <c r="A1197" s="28">
        <f>IF(B1197="","",PaymentPrefix&amp;TEXT(ROW()-4,"0000"))</f>
        <v>0</v>
      </c>
      <c r="D1197" s="15">
        <f>IF(C1197="","",IFERROR(INDEX(Clients!$B$5:$B$504,MATCH(C1197,Clients!$A$5:$A$504,0)),"Walk-in"))</f>
        <v>0</v>
      </c>
      <c r="K1197" s="15">
        <f>IF(J1197="","",IFERROR(INDEX(Staff!$B$5:$B$44,MATCH(J1197,Staff!$A$5:$A$44,0)),""))</f>
        <v>0</v>
      </c>
      <c r="O1197" s="15">
        <f>IF(B1197="","",TEXT(B1197,"yyyy-mm"))</f>
        <v>0</v>
      </c>
      <c r="P1197" s="25">
        <f>IF(B1197="","",WEEKNUM(B1197,2))</f>
        <v>0</v>
      </c>
      <c r="Q1197" s="38">
        <f>IF(B1197="","",IF(E1197="Tip","No",IF(E1197="Refund","No","Yes")))</f>
        <v>0</v>
      </c>
      <c r="R1197" s="25">
        <f>IF(B1197="","",IF(E1197="Refund",-1,1))</f>
        <v>0</v>
      </c>
      <c r="S1197" s="26">
        <f>IF(B1197="","",IF(G1197="",0,IF(F1197="Card",ROUND(G1197*CardFeePercent+CardFeeFixed,2),IF(F1197="Online deposit",ROUND(G1197*CardFeePercent+CardFeeFixed,2),0))))</f>
        <v>0</v>
      </c>
      <c r="T1197" s="26">
        <f>IF(B1197="","",ROUND(IF(G1197="",0,G1197)*R1197-S1197,2))</f>
        <v>0</v>
      </c>
      <c r="U1197" s="38">
        <f>IF(B1197="","",IF(E1197="Tip","Yes","No"))</f>
        <v>0</v>
      </c>
      <c r="V1197" s="15">
        <f>IF(B1197="","",IF(H1197&lt;&gt;"","Sale "&amp;H1197,IF(I1197&lt;&gt;"","Booking "&amp;I1197,IF(E1197="Tip","Stylist","Unapplied"))))</f>
        <v>0</v>
      </c>
      <c r="W1197" s="39">
        <f>IF(B1197="","",IF(G1197="","Add - no amount yet",IF(E1197="","Add - what was this for?",IF(IF(H1197="",FALSE,COUNTIF(Sales!$A$5:$A$1204,H1197)=0),"Missing - no sale with that ID",IF(IF(I1197="",FALSE,COUNTIF(Appointments!$A$5:$A$1204,I1197)=0),"Missing - no booking with that ID",IF(IF(E1197="Tip",J1197="",FALSE),"Assign - whose tip is it?",IF(IF(E1197="Deposit",IF(H1197="",I1197="",FALSE),FALSE),"Check - deposit not tied to a booking",IF(M1197="No","Due - not reconciled yet","OK"))))))))</f>
        <v>0</v>
      </c>
    </row>
    <row r="1198" spans="1:23">
      <c r="A1198" s="28">
        <f>IF(B1198="","",PaymentPrefix&amp;TEXT(ROW()-4,"0000"))</f>
        <v>0</v>
      </c>
      <c r="D1198" s="15">
        <f>IF(C1198="","",IFERROR(INDEX(Clients!$B$5:$B$504,MATCH(C1198,Clients!$A$5:$A$504,0)),"Walk-in"))</f>
        <v>0</v>
      </c>
      <c r="K1198" s="15">
        <f>IF(J1198="","",IFERROR(INDEX(Staff!$B$5:$B$44,MATCH(J1198,Staff!$A$5:$A$44,0)),""))</f>
        <v>0</v>
      </c>
      <c r="O1198" s="15">
        <f>IF(B1198="","",TEXT(B1198,"yyyy-mm"))</f>
        <v>0</v>
      </c>
      <c r="P1198" s="25">
        <f>IF(B1198="","",WEEKNUM(B1198,2))</f>
        <v>0</v>
      </c>
      <c r="Q1198" s="38">
        <f>IF(B1198="","",IF(E1198="Tip","No",IF(E1198="Refund","No","Yes")))</f>
        <v>0</v>
      </c>
      <c r="R1198" s="25">
        <f>IF(B1198="","",IF(E1198="Refund",-1,1))</f>
        <v>0</v>
      </c>
      <c r="S1198" s="26">
        <f>IF(B1198="","",IF(G1198="",0,IF(F1198="Card",ROUND(G1198*CardFeePercent+CardFeeFixed,2),IF(F1198="Online deposit",ROUND(G1198*CardFeePercent+CardFeeFixed,2),0))))</f>
        <v>0</v>
      </c>
      <c r="T1198" s="26">
        <f>IF(B1198="","",ROUND(IF(G1198="",0,G1198)*R1198-S1198,2))</f>
        <v>0</v>
      </c>
      <c r="U1198" s="38">
        <f>IF(B1198="","",IF(E1198="Tip","Yes","No"))</f>
        <v>0</v>
      </c>
      <c r="V1198" s="15">
        <f>IF(B1198="","",IF(H1198&lt;&gt;"","Sale "&amp;H1198,IF(I1198&lt;&gt;"","Booking "&amp;I1198,IF(E1198="Tip","Stylist","Unapplied"))))</f>
        <v>0</v>
      </c>
      <c r="W1198" s="39">
        <f>IF(B1198="","",IF(G1198="","Add - no amount yet",IF(E1198="","Add - what was this for?",IF(IF(H1198="",FALSE,COUNTIF(Sales!$A$5:$A$1204,H1198)=0),"Missing - no sale with that ID",IF(IF(I1198="",FALSE,COUNTIF(Appointments!$A$5:$A$1204,I1198)=0),"Missing - no booking with that ID",IF(IF(E1198="Tip",J1198="",FALSE),"Assign - whose tip is it?",IF(IF(E1198="Deposit",IF(H1198="",I1198="",FALSE),FALSE),"Check - deposit not tied to a booking",IF(M1198="No","Due - not reconciled yet","OK"))))))))</f>
        <v>0</v>
      </c>
    </row>
    <row r="1199" spans="1:23">
      <c r="A1199" s="28">
        <f>IF(B1199="","",PaymentPrefix&amp;TEXT(ROW()-4,"0000"))</f>
        <v>0</v>
      </c>
      <c r="D1199" s="15">
        <f>IF(C1199="","",IFERROR(INDEX(Clients!$B$5:$B$504,MATCH(C1199,Clients!$A$5:$A$504,0)),"Walk-in"))</f>
        <v>0</v>
      </c>
      <c r="K1199" s="15">
        <f>IF(J1199="","",IFERROR(INDEX(Staff!$B$5:$B$44,MATCH(J1199,Staff!$A$5:$A$44,0)),""))</f>
        <v>0</v>
      </c>
      <c r="O1199" s="15">
        <f>IF(B1199="","",TEXT(B1199,"yyyy-mm"))</f>
        <v>0</v>
      </c>
      <c r="P1199" s="25">
        <f>IF(B1199="","",WEEKNUM(B1199,2))</f>
        <v>0</v>
      </c>
      <c r="Q1199" s="38">
        <f>IF(B1199="","",IF(E1199="Tip","No",IF(E1199="Refund","No","Yes")))</f>
        <v>0</v>
      </c>
      <c r="R1199" s="25">
        <f>IF(B1199="","",IF(E1199="Refund",-1,1))</f>
        <v>0</v>
      </c>
      <c r="S1199" s="26">
        <f>IF(B1199="","",IF(G1199="",0,IF(F1199="Card",ROUND(G1199*CardFeePercent+CardFeeFixed,2),IF(F1199="Online deposit",ROUND(G1199*CardFeePercent+CardFeeFixed,2),0))))</f>
        <v>0</v>
      </c>
      <c r="T1199" s="26">
        <f>IF(B1199="","",ROUND(IF(G1199="",0,G1199)*R1199-S1199,2))</f>
        <v>0</v>
      </c>
      <c r="U1199" s="38">
        <f>IF(B1199="","",IF(E1199="Tip","Yes","No"))</f>
        <v>0</v>
      </c>
      <c r="V1199" s="15">
        <f>IF(B1199="","",IF(H1199&lt;&gt;"","Sale "&amp;H1199,IF(I1199&lt;&gt;"","Booking "&amp;I1199,IF(E1199="Tip","Stylist","Unapplied"))))</f>
        <v>0</v>
      </c>
      <c r="W1199" s="39">
        <f>IF(B1199="","",IF(G1199="","Add - no amount yet",IF(E1199="","Add - what was this for?",IF(IF(H1199="",FALSE,COUNTIF(Sales!$A$5:$A$1204,H1199)=0),"Missing - no sale with that ID",IF(IF(I1199="",FALSE,COUNTIF(Appointments!$A$5:$A$1204,I1199)=0),"Missing - no booking with that ID",IF(IF(E1199="Tip",J1199="",FALSE),"Assign - whose tip is it?",IF(IF(E1199="Deposit",IF(H1199="",I1199="",FALSE),FALSE),"Check - deposit not tied to a booking",IF(M1199="No","Due - not reconciled yet","OK"))))))))</f>
        <v>0</v>
      </c>
    </row>
    <row r="1200" spans="1:23">
      <c r="A1200" s="28">
        <f>IF(B1200="","",PaymentPrefix&amp;TEXT(ROW()-4,"0000"))</f>
        <v>0</v>
      </c>
      <c r="D1200" s="15">
        <f>IF(C1200="","",IFERROR(INDEX(Clients!$B$5:$B$504,MATCH(C1200,Clients!$A$5:$A$504,0)),"Walk-in"))</f>
        <v>0</v>
      </c>
      <c r="K1200" s="15">
        <f>IF(J1200="","",IFERROR(INDEX(Staff!$B$5:$B$44,MATCH(J1200,Staff!$A$5:$A$44,0)),""))</f>
        <v>0</v>
      </c>
      <c r="O1200" s="15">
        <f>IF(B1200="","",TEXT(B1200,"yyyy-mm"))</f>
        <v>0</v>
      </c>
      <c r="P1200" s="25">
        <f>IF(B1200="","",WEEKNUM(B1200,2))</f>
        <v>0</v>
      </c>
      <c r="Q1200" s="38">
        <f>IF(B1200="","",IF(E1200="Tip","No",IF(E1200="Refund","No","Yes")))</f>
        <v>0</v>
      </c>
      <c r="R1200" s="25">
        <f>IF(B1200="","",IF(E1200="Refund",-1,1))</f>
        <v>0</v>
      </c>
      <c r="S1200" s="26">
        <f>IF(B1200="","",IF(G1200="",0,IF(F1200="Card",ROUND(G1200*CardFeePercent+CardFeeFixed,2),IF(F1200="Online deposit",ROUND(G1200*CardFeePercent+CardFeeFixed,2),0))))</f>
        <v>0</v>
      </c>
      <c r="T1200" s="26">
        <f>IF(B1200="","",ROUND(IF(G1200="",0,G1200)*R1200-S1200,2))</f>
        <v>0</v>
      </c>
      <c r="U1200" s="38">
        <f>IF(B1200="","",IF(E1200="Tip","Yes","No"))</f>
        <v>0</v>
      </c>
      <c r="V1200" s="15">
        <f>IF(B1200="","",IF(H1200&lt;&gt;"","Sale "&amp;H1200,IF(I1200&lt;&gt;"","Booking "&amp;I1200,IF(E1200="Tip","Stylist","Unapplied"))))</f>
        <v>0</v>
      </c>
      <c r="W1200" s="39">
        <f>IF(B1200="","",IF(G1200="","Add - no amount yet",IF(E1200="","Add - what was this for?",IF(IF(H1200="",FALSE,COUNTIF(Sales!$A$5:$A$1204,H1200)=0),"Missing - no sale with that ID",IF(IF(I1200="",FALSE,COUNTIF(Appointments!$A$5:$A$1204,I1200)=0),"Missing - no booking with that ID",IF(IF(E1200="Tip",J1200="",FALSE),"Assign - whose tip is it?",IF(IF(E1200="Deposit",IF(H1200="",I1200="",FALSE),FALSE),"Check - deposit not tied to a booking",IF(M1200="No","Due - not reconciled yet","OK"))))))))</f>
        <v>0</v>
      </c>
    </row>
    <row r="1201" spans="1:23">
      <c r="A1201" s="28">
        <f>IF(B1201="","",PaymentPrefix&amp;TEXT(ROW()-4,"0000"))</f>
        <v>0</v>
      </c>
      <c r="D1201" s="15">
        <f>IF(C1201="","",IFERROR(INDEX(Clients!$B$5:$B$504,MATCH(C1201,Clients!$A$5:$A$504,0)),"Walk-in"))</f>
        <v>0</v>
      </c>
      <c r="K1201" s="15">
        <f>IF(J1201="","",IFERROR(INDEX(Staff!$B$5:$B$44,MATCH(J1201,Staff!$A$5:$A$44,0)),""))</f>
        <v>0</v>
      </c>
      <c r="O1201" s="15">
        <f>IF(B1201="","",TEXT(B1201,"yyyy-mm"))</f>
        <v>0</v>
      </c>
      <c r="P1201" s="25">
        <f>IF(B1201="","",WEEKNUM(B1201,2))</f>
        <v>0</v>
      </c>
      <c r="Q1201" s="38">
        <f>IF(B1201="","",IF(E1201="Tip","No",IF(E1201="Refund","No","Yes")))</f>
        <v>0</v>
      </c>
      <c r="R1201" s="25">
        <f>IF(B1201="","",IF(E1201="Refund",-1,1))</f>
        <v>0</v>
      </c>
      <c r="S1201" s="26">
        <f>IF(B1201="","",IF(G1201="",0,IF(F1201="Card",ROUND(G1201*CardFeePercent+CardFeeFixed,2),IF(F1201="Online deposit",ROUND(G1201*CardFeePercent+CardFeeFixed,2),0))))</f>
        <v>0</v>
      </c>
      <c r="T1201" s="26">
        <f>IF(B1201="","",ROUND(IF(G1201="",0,G1201)*R1201-S1201,2))</f>
        <v>0</v>
      </c>
      <c r="U1201" s="38">
        <f>IF(B1201="","",IF(E1201="Tip","Yes","No"))</f>
        <v>0</v>
      </c>
      <c r="V1201" s="15">
        <f>IF(B1201="","",IF(H1201&lt;&gt;"","Sale "&amp;H1201,IF(I1201&lt;&gt;"","Booking "&amp;I1201,IF(E1201="Tip","Stylist","Unapplied"))))</f>
        <v>0</v>
      </c>
      <c r="W1201" s="39">
        <f>IF(B1201="","",IF(G1201="","Add - no amount yet",IF(E1201="","Add - what was this for?",IF(IF(H1201="",FALSE,COUNTIF(Sales!$A$5:$A$1204,H1201)=0),"Missing - no sale with that ID",IF(IF(I1201="",FALSE,COUNTIF(Appointments!$A$5:$A$1204,I1201)=0),"Missing - no booking with that ID",IF(IF(E1201="Tip",J1201="",FALSE),"Assign - whose tip is it?",IF(IF(E1201="Deposit",IF(H1201="",I1201="",FALSE),FALSE),"Check - deposit not tied to a booking",IF(M1201="No","Due - not reconciled yet","OK"))))))))</f>
        <v>0</v>
      </c>
    </row>
    <row r="1202" spans="1:23">
      <c r="A1202" s="28">
        <f>IF(B1202="","",PaymentPrefix&amp;TEXT(ROW()-4,"0000"))</f>
        <v>0</v>
      </c>
      <c r="D1202" s="15">
        <f>IF(C1202="","",IFERROR(INDEX(Clients!$B$5:$B$504,MATCH(C1202,Clients!$A$5:$A$504,0)),"Walk-in"))</f>
        <v>0</v>
      </c>
      <c r="K1202" s="15">
        <f>IF(J1202="","",IFERROR(INDEX(Staff!$B$5:$B$44,MATCH(J1202,Staff!$A$5:$A$44,0)),""))</f>
        <v>0</v>
      </c>
      <c r="O1202" s="15">
        <f>IF(B1202="","",TEXT(B1202,"yyyy-mm"))</f>
        <v>0</v>
      </c>
      <c r="P1202" s="25">
        <f>IF(B1202="","",WEEKNUM(B1202,2))</f>
        <v>0</v>
      </c>
      <c r="Q1202" s="38">
        <f>IF(B1202="","",IF(E1202="Tip","No",IF(E1202="Refund","No","Yes")))</f>
        <v>0</v>
      </c>
      <c r="R1202" s="25">
        <f>IF(B1202="","",IF(E1202="Refund",-1,1))</f>
        <v>0</v>
      </c>
      <c r="S1202" s="26">
        <f>IF(B1202="","",IF(G1202="",0,IF(F1202="Card",ROUND(G1202*CardFeePercent+CardFeeFixed,2),IF(F1202="Online deposit",ROUND(G1202*CardFeePercent+CardFeeFixed,2),0))))</f>
        <v>0</v>
      </c>
      <c r="T1202" s="26">
        <f>IF(B1202="","",ROUND(IF(G1202="",0,G1202)*R1202-S1202,2))</f>
        <v>0</v>
      </c>
      <c r="U1202" s="38">
        <f>IF(B1202="","",IF(E1202="Tip","Yes","No"))</f>
        <v>0</v>
      </c>
      <c r="V1202" s="15">
        <f>IF(B1202="","",IF(H1202&lt;&gt;"","Sale "&amp;H1202,IF(I1202&lt;&gt;"","Booking "&amp;I1202,IF(E1202="Tip","Stylist","Unapplied"))))</f>
        <v>0</v>
      </c>
      <c r="W1202" s="39">
        <f>IF(B1202="","",IF(G1202="","Add - no amount yet",IF(E1202="","Add - what was this for?",IF(IF(H1202="",FALSE,COUNTIF(Sales!$A$5:$A$1204,H1202)=0),"Missing - no sale with that ID",IF(IF(I1202="",FALSE,COUNTIF(Appointments!$A$5:$A$1204,I1202)=0),"Missing - no booking with that ID",IF(IF(E1202="Tip",J1202="",FALSE),"Assign - whose tip is it?",IF(IF(E1202="Deposit",IF(H1202="",I1202="",FALSE),FALSE),"Check - deposit not tied to a booking",IF(M1202="No","Due - not reconciled yet","OK"))))))))</f>
        <v>0</v>
      </c>
    </row>
    <row r="1203" spans="1:23">
      <c r="A1203" s="28">
        <f>IF(B1203="","",PaymentPrefix&amp;TEXT(ROW()-4,"0000"))</f>
        <v>0</v>
      </c>
      <c r="D1203" s="15">
        <f>IF(C1203="","",IFERROR(INDEX(Clients!$B$5:$B$504,MATCH(C1203,Clients!$A$5:$A$504,0)),"Walk-in"))</f>
        <v>0</v>
      </c>
      <c r="K1203" s="15">
        <f>IF(J1203="","",IFERROR(INDEX(Staff!$B$5:$B$44,MATCH(J1203,Staff!$A$5:$A$44,0)),""))</f>
        <v>0</v>
      </c>
      <c r="O1203" s="15">
        <f>IF(B1203="","",TEXT(B1203,"yyyy-mm"))</f>
        <v>0</v>
      </c>
      <c r="P1203" s="25">
        <f>IF(B1203="","",WEEKNUM(B1203,2))</f>
        <v>0</v>
      </c>
      <c r="Q1203" s="38">
        <f>IF(B1203="","",IF(E1203="Tip","No",IF(E1203="Refund","No","Yes")))</f>
        <v>0</v>
      </c>
      <c r="R1203" s="25">
        <f>IF(B1203="","",IF(E1203="Refund",-1,1))</f>
        <v>0</v>
      </c>
      <c r="S1203" s="26">
        <f>IF(B1203="","",IF(G1203="",0,IF(F1203="Card",ROUND(G1203*CardFeePercent+CardFeeFixed,2),IF(F1203="Online deposit",ROUND(G1203*CardFeePercent+CardFeeFixed,2),0))))</f>
        <v>0</v>
      </c>
      <c r="T1203" s="26">
        <f>IF(B1203="","",ROUND(IF(G1203="",0,G1203)*R1203-S1203,2))</f>
        <v>0</v>
      </c>
      <c r="U1203" s="38">
        <f>IF(B1203="","",IF(E1203="Tip","Yes","No"))</f>
        <v>0</v>
      </c>
      <c r="V1203" s="15">
        <f>IF(B1203="","",IF(H1203&lt;&gt;"","Sale "&amp;H1203,IF(I1203&lt;&gt;"","Booking "&amp;I1203,IF(E1203="Tip","Stylist","Unapplied"))))</f>
        <v>0</v>
      </c>
      <c r="W1203" s="39">
        <f>IF(B1203="","",IF(G1203="","Add - no amount yet",IF(E1203="","Add - what was this for?",IF(IF(H1203="",FALSE,COUNTIF(Sales!$A$5:$A$1204,H1203)=0),"Missing - no sale with that ID",IF(IF(I1203="",FALSE,COUNTIF(Appointments!$A$5:$A$1204,I1203)=0),"Missing - no booking with that ID",IF(IF(E1203="Tip",J1203="",FALSE),"Assign - whose tip is it?",IF(IF(E1203="Deposit",IF(H1203="",I1203="",FALSE),FALSE),"Check - deposit not tied to a booking",IF(M1203="No","Due - not reconciled yet","OK"))))))))</f>
        <v>0</v>
      </c>
    </row>
    <row r="1204" spans="1:23">
      <c r="A1204" s="28">
        <f>IF(B1204="","",PaymentPrefix&amp;TEXT(ROW()-4,"0000"))</f>
        <v>0</v>
      </c>
      <c r="D1204" s="15">
        <f>IF(C1204="","",IFERROR(INDEX(Clients!$B$5:$B$504,MATCH(C1204,Clients!$A$5:$A$504,0)),"Walk-in"))</f>
        <v>0</v>
      </c>
      <c r="K1204" s="15">
        <f>IF(J1204="","",IFERROR(INDEX(Staff!$B$5:$B$44,MATCH(J1204,Staff!$A$5:$A$44,0)),""))</f>
        <v>0</v>
      </c>
      <c r="O1204" s="15">
        <f>IF(B1204="","",TEXT(B1204,"yyyy-mm"))</f>
        <v>0</v>
      </c>
      <c r="P1204" s="25">
        <f>IF(B1204="","",WEEKNUM(B1204,2))</f>
        <v>0</v>
      </c>
      <c r="Q1204" s="38">
        <f>IF(B1204="","",IF(E1204="Tip","No",IF(E1204="Refund","No","Yes")))</f>
        <v>0</v>
      </c>
      <c r="R1204" s="25">
        <f>IF(B1204="","",IF(E1204="Refund",-1,1))</f>
        <v>0</v>
      </c>
      <c r="S1204" s="26">
        <f>IF(B1204="","",IF(G1204="",0,IF(F1204="Card",ROUND(G1204*CardFeePercent+CardFeeFixed,2),IF(F1204="Online deposit",ROUND(G1204*CardFeePercent+CardFeeFixed,2),0))))</f>
        <v>0</v>
      </c>
      <c r="T1204" s="26">
        <f>IF(B1204="","",ROUND(IF(G1204="",0,G1204)*R1204-S1204,2))</f>
        <v>0</v>
      </c>
      <c r="U1204" s="38">
        <f>IF(B1204="","",IF(E1204="Tip","Yes","No"))</f>
        <v>0</v>
      </c>
      <c r="V1204" s="15">
        <f>IF(B1204="","",IF(H1204&lt;&gt;"","Sale "&amp;H1204,IF(I1204&lt;&gt;"","Booking "&amp;I1204,IF(E1204="Tip","Stylist","Unapplied"))))</f>
        <v>0</v>
      </c>
      <c r="W1204" s="39">
        <f>IF(B1204="","",IF(G1204="","Add - no amount yet",IF(E1204="","Add - what was this for?",IF(IF(H1204="",FALSE,COUNTIF(Sales!$A$5:$A$1204,H1204)=0),"Missing - no sale with that ID",IF(IF(I1204="",FALSE,COUNTIF(Appointments!$A$5:$A$1204,I1204)=0),"Missing - no booking with that ID",IF(IF(E1204="Tip",J1204="",FALSE),"Assign - whose tip is it?",IF(IF(E1204="Deposit",IF(H1204="",I1204="",FALSE),FALSE),"Check - deposit not tied to a booking",IF(M1204="No","Due - not reconciled yet","OK"))))))))</f>
        <v>0</v>
      </c>
    </row>
    <row r="1206" spans="1:23" ht="20" customHeight="1">
      <c r="A1206" s="7" t="s">
        <v>384</v>
      </c>
      <c r="B1206" s="7"/>
      <c r="C1206" s="7"/>
      <c r="D1206" s="7"/>
      <c r="E1206" s="7"/>
      <c r="F1206" s="7"/>
      <c r="G1206" s="7"/>
      <c r="H1206" s="7"/>
      <c r="I1206" s="7"/>
      <c r="J1206" s="7"/>
      <c r="K1206" s="7"/>
      <c r="L1206" s="7"/>
      <c r="M1206" s="7"/>
      <c r="N1206" s="7"/>
      <c r="O1206" s="7"/>
      <c r="P1206" s="7"/>
      <c r="Q1206" s="7"/>
      <c r="R1206" s="7"/>
      <c r="S1206" s="7"/>
      <c r="T1206" s="7"/>
      <c r="U1206" s="7"/>
      <c r="V1206" s="7"/>
      <c r="W1206" s="7"/>
    </row>
    <row r="1207" spans="1:23" ht="26" customHeight="1">
      <c r="A1207" s="10" t="s">
        <v>385</v>
      </c>
      <c r="B1207" s="11" t="s">
        <v>386</v>
      </c>
      <c r="C1207" s="11" t="s">
        <v>345</v>
      </c>
      <c r="D1207" s="11" t="s">
        <v>387</v>
      </c>
      <c r="E1207" s="11" t="s">
        <v>388</v>
      </c>
      <c r="F1207" s="11" t="s">
        <v>381</v>
      </c>
      <c r="G1207" s="11" t="s">
        <v>389</v>
      </c>
      <c r="H1207" s="11" t="s">
        <v>390</v>
      </c>
    </row>
    <row r="1208" spans="1:23">
      <c r="A1208" s="25">
        <f>COUNTIF(Payments!$B$5:$B$1204,"&lt;&gt;")</f>
        <v>0</v>
      </c>
      <c r="B1208" s="26">
        <f>ROUND(SUMIFS(Payments!$G$5:$G$1204,Payments!$E$5:$E$1204,"&lt;&gt;Refund"),2)</f>
        <v>0</v>
      </c>
      <c r="C1208" s="26">
        <f>ROUND(SUMIFS(Payments!$G$5:$G$1204,Payments!$E$5:$E$1204,"Refund"),2)</f>
        <v>0</v>
      </c>
      <c r="D1208" s="26">
        <f>ROUND(SUMIFS(Payments!$G$5:$G$1204,Payments!$E$5:$E$1204,"Tip"),2)</f>
        <v>0</v>
      </c>
      <c r="E1208" s="26">
        <f>ROUND(SUM(Payments!$S$5:$S$1204),2)</f>
        <v>0</v>
      </c>
      <c r="F1208" s="26">
        <f>ROUND(SUM(Payments!$T$5:$T$1204),2)</f>
        <v>0</v>
      </c>
      <c r="G1208" s="26">
        <f>ROUND(SUMIFS(Payments!$G$5:$G$1204,Payments!$E$5:$E$1204,"Deposit",Payments!$H$5:$H$1204,""),2)</f>
        <v>0</v>
      </c>
      <c r="H1208" s="25">
        <f>COUNTIFS(Payments!$M$5:$M$1204,"No")</f>
        <v>0</v>
      </c>
    </row>
  </sheetData>
  <sheetProtection password="EC7C" sheet="1" objects="1" scenarios="1" formatCells="0" formatColumns="0" formatRows="0" insertRows="0" insertHyperlinks="0" deleteRows="0" autoFilter="0"/>
  <autoFilter ref="A4:W1204"/>
  <mergeCells count="14">
    <mergeCell ref="A1:T1"/>
    <mergeCell ref="U1:W1"/>
    <mergeCell ref="A2:W2"/>
    <mergeCell ref="A3:B3"/>
    <mergeCell ref="C3:D3"/>
    <mergeCell ref="E3:F3"/>
    <mergeCell ref="G3:H3"/>
    <mergeCell ref="I3:J3"/>
    <mergeCell ref="K3:L3"/>
    <mergeCell ref="M3:N3"/>
    <mergeCell ref="O3:P3"/>
    <mergeCell ref="Q3:R3"/>
    <mergeCell ref="S3:W3"/>
    <mergeCell ref="A1206:W1206"/>
  </mergeCells>
  <conditionalFormatting sqref="T5:T1204">
    <cfRule type="cellIs" dxfId="2" priority="1" operator="lessThan">
      <formula>0</formula>
    </cfRule>
  </conditionalFormatting>
  <conditionalFormatting sqref="V5:V1204">
    <cfRule type="containsText" dxfId="1" priority="2" operator="containsText" text="Completed">
      <formula>NOT(ISERROR(SEARCH("Completed",V5)))</formula>
    </cfRule>
    <cfRule type="containsText" dxfId="1" priority="3" operator="containsText" text="Complete">
      <formula>NOT(ISERROR(SEARCH("Complete",V5)))</formula>
    </cfRule>
    <cfRule type="containsText" dxfId="1" priority="4" operator="containsText" text="Paid">
      <formula>NOT(ISERROR(SEARCH("Paid",V5)))</formula>
    </cfRule>
    <cfRule type="containsText" dxfId="1" priority="5" operator="containsText" text="Settled">
      <formula>NOT(ISERROR(SEARCH("Settled",V5)))</formula>
    </cfRule>
    <cfRule type="containsText" dxfId="1" priority="6" operator="containsText" text="Arrived">
      <formula>NOT(ISERROR(SEARCH("Arrived",V5)))</formula>
    </cfRule>
    <cfRule type="containsText" dxfId="1" priority="7" operator="containsText" text="Active">
      <formula>NOT(ISERROR(SEARCH("Active",V5)))</formula>
    </cfRule>
    <cfRule type="containsText" dxfId="1" priority="8" operator="containsText" text="Regular">
      <formula>NOT(ISERROR(SEARCH("Regular",V5)))</formula>
    </cfRule>
    <cfRule type="containsText" dxfId="1" priority="9" operator="containsText" text="VIP">
      <formula>NOT(ISERROR(SEARCH("VIP",V5)))</formula>
    </cfRule>
    <cfRule type="containsText" dxfId="1" priority="10" operator="containsText" text="In stock">
      <formula>NOT(ISERROR(SEARCH("In stock",V5)))</formula>
    </cfRule>
    <cfRule type="containsText" dxfId="1" priority="11" operator="containsText" text="Received">
      <formula>NOT(ISERROR(SEARCH("Received",V5)))</formula>
    </cfRule>
    <cfRule type="containsText" dxfId="1" priority="12" operator="containsText" text="Approved">
      <formula>NOT(ISERROR(SEARCH("Approved",V5)))</formula>
    </cfRule>
    <cfRule type="containsText" dxfId="1" priority="13" operator="containsText" text="Yes">
      <formula>NOT(ISERROR(SEARCH("Yes",V5)))</formula>
    </cfRule>
    <cfRule type="containsText" dxfId="3" priority="14" operator="containsText" text="Booked">
      <formula>NOT(ISERROR(SEARCH("Booked",V5)))</formula>
    </cfRule>
    <cfRule type="containsText" dxfId="3" priority="15" operator="containsText" text="Confirmed">
      <formula>NOT(ISERROR(SEARCH("Confirmed",V5)))</formula>
    </cfRule>
    <cfRule type="containsText" dxfId="3" priority="16" operator="containsText" text="Scheduled">
      <formula>NOT(ISERROR(SEARCH("Scheduled",V5)))</formula>
    </cfRule>
    <cfRule type="containsText" dxfId="3" priority="17" operator="containsText" text="New">
      <formula>NOT(ISERROR(SEARCH("New",V5)))</formula>
    </cfRule>
    <cfRule type="containsText" dxfId="3" priority="18" operator="containsText" text="Ordered">
      <formula>NOT(ISERROR(SEARCH("Ordered",V5)))</formula>
    </cfRule>
    <cfRule type="containsText" dxfId="3" priority="19" operator="containsText" text="Running">
      <formula>NOT(ISERROR(SEARCH("Running",V5)))</formula>
    </cfRule>
    <cfRule type="containsText" dxfId="0" priority="20" operator="containsText" text="Part paid">
      <formula>NOT(ISERROR(SEARCH("Part paid",V5)))</formula>
    </cfRule>
    <cfRule type="containsText" dxfId="0" priority="21" operator="containsText" text="Pending">
      <formula>NOT(ISERROR(SEARCH("Pending",V5)))</formula>
    </cfRule>
    <cfRule type="containsText" dxfId="0" priority="22" operator="containsText" text="Enquiry">
      <formula>NOT(ISERROR(SEARCH("Enquiry",V5)))</formula>
    </cfRule>
    <cfRule type="containsText" dxfId="0" priority="23" operator="containsText" text="Rescheduled">
      <formula>NOT(ISERROR(SEARCH("Rescheduled",V5)))</formula>
    </cfRule>
    <cfRule type="containsText" dxfId="0" priority="24" operator="containsText" text="Low stock">
      <formula>NOT(ISERROR(SEARCH("Low stock",V5)))</formula>
    </cfRule>
    <cfRule type="containsText" dxfId="0" priority="25" operator="containsText" text="Lapsing">
      <formula>NOT(ISERROR(SEARCH("Lapsing",V5)))</formula>
    </cfRule>
    <cfRule type="containsText" dxfId="0" priority="26" operator="containsText" text="Planned">
      <formula>NOT(ISERROR(SEARCH("Planned",V5)))</formula>
    </cfRule>
    <cfRule type="containsText" dxfId="0" priority="27" operator="containsText" text="On hold">
      <formula>NOT(ISERROR(SEARCH("On hold",V5)))</formula>
    </cfRule>
    <cfRule type="containsText" dxfId="0" priority="28" operator="containsText" text="Draft">
      <formula>NOT(ISERROR(SEARCH("Draft",V5)))</formula>
    </cfRule>
    <cfRule type="containsText" dxfId="2" priority="29" operator="containsText" text="Cancelled">
      <formula>NOT(ISERROR(SEARCH("Cancelled",V5)))</formula>
    </cfRule>
    <cfRule type="containsText" dxfId="2" priority="30" operator="containsText" text="No show">
      <formula>NOT(ISERROR(SEARCH("No show",V5)))</formula>
    </cfRule>
    <cfRule type="containsText" dxfId="2" priority="31" operator="containsText" text="Refunded">
      <formula>NOT(ISERROR(SEARCH("Refunded",V5)))</formula>
    </cfRule>
    <cfRule type="containsText" dxfId="2" priority="32" operator="containsText" text="Out of stock">
      <formula>NOT(ISERROR(SEARCH("Out of stock",V5)))</formula>
    </cfRule>
    <cfRule type="containsText" dxfId="2" priority="33" operator="containsText" text="Overdue">
      <formula>NOT(ISERROR(SEARCH("Overdue",V5)))</formula>
    </cfRule>
    <cfRule type="containsText" dxfId="2" priority="34" operator="containsText" text="Written off">
      <formula>NOT(ISERROR(SEARCH("Written off",V5)))</formula>
    </cfRule>
    <cfRule type="containsText" dxfId="4" priority="35" operator="containsText" text="Inactive">
      <formula>NOT(ISERROR(SEARCH("Inactive",V5)))</formula>
    </cfRule>
    <cfRule type="containsText" dxfId="4" priority="36" operator="containsText" text="Archived">
      <formula>NOT(ISERROR(SEARCH("Archived",V5)))</formula>
    </cfRule>
    <cfRule type="containsText" dxfId="4" priority="37" operator="containsText" text="Finished">
      <formula>NOT(ISERROR(SEARCH("Finished",V5)))</formula>
    </cfRule>
    <cfRule type="containsText" dxfId="4" priority="38" operator="containsText" text="Discontinued">
      <formula>NOT(ISERROR(SEARCH("Discontinued",V5)))</formula>
    </cfRule>
  </conditionalFormatting>
  <conditionalFormatting sqref="W5:W1204">
    <cfRule type="beginsWith" dxfId="1" priority="39" operator="beginsWith" text="OK">
      <formula>LEFT(W5,2)="OK"</formula>
    </cfRule>
    <cfRule type="containsText" dxfId="2" priority="40" operator="containsText" text="Overdue">
      <formula>NOT(ISERROR(SEARCH("Overdue",W5)))</formula>
    </cfRule>
    <cfRule type="containsText" dxfId="2" priority="41" operator="containsText" text="Late">
      <formula>NOT(ISERROR(SEARCH("Late",W5)))</formula>
    </cfRule>
    <cfRule type="containsText" dxfId="2" priority="42" operator="containsText" text="Missing">
      <formula>NOT(ISERROR(SEARCH("Missing",W5)))</formula>
    </cfRule>
    <cfRule type="containsText" dxfId="2" priority="43" operator="containsText" text="Clash">
      <formula>NOT(ISERROR(SEARCH("Clash",W5)))</formula>
    </cfRule>
    <cfRule type="containsText" dxfId="2" priority="44" operator="containsText" text="Conflict">
      <formula>NOT(ISERROR(SEARCH("Conflict",W5)))</formula>
    </cfRule>
    <cfRule type="containsText" dxfId="2" priority="45" operator="containsText" text="Duplicate">
      <formula>NOT(ISERROR(SEARCH("Duplicate",W5)))</formula>
    </cfRule>
    <cfRule type="containsText" dxfId="2" priority="46" operator="containsText" text="Unpaid">
      <formula>NOT(ISERROR(SEARCH("Unpaid",W5)))</formula>
    </cfRule>
    <cfRule type="containsText" dxfId="2" priority="47" operator="containsText" text="Loss">
      <formula>NOT(ISERROR(SEARCH("Loss",W5)))</formula>
    </cfRule>
    <cfRule type="containsText" dxfId="2" priority="48" operator="containsText" text="Below">
      <formula>NOT(ISERROR(SEARCH("Below",W5)))</formula>
    </cfRule>
    <cfRule type="containsText" dxfId="2" priority="49" operator="containsText" text="Out of stock">
      <formula>NOT(ISERROR(SEARCH("Out of stock",W5)))</formula>
    </cfRule>
    <cfRule type="containsText" dxfId="2" priority="50" operator="containsText" text="No show">
      <formula>NOT(ISERROR(SEARCH("No show",W5)))</formula>
    </cfRule>
    <cfRule type="containsText" dxfId="0" priority="51" operator="containsText" text="Action">
      <formula>NOT(ISERROR(SEARCH("Action",W5)))</formula>
    </cfRule>
    <cfRule type="containsText" dxfId="0" priority="52" operator="containsText" text="Due">
      <formula>NOT(ISERROR(SEARCH("Due",W5)))</formula>
    </cfRule>
    <cfRule type="containsText" dxfId="0" priority="53" operator="containsText" text="Check">
      <formula>NOT(ISERROR(SEARCH("Check",W5)))</formula>
    </cfRule>
    <cfRule type="containsText" dxfId="0" priority="54" operator="containsText" text="Chase">
      <formula>NOT(ISERROR(SEARCH("Chase",W5)))</formula>
    </cfRule>
    <cfRule type="containsText" dxfId="0" priority="55" operator="containsText" text="Assign">
      <formula>NOT(ISERROR(SEARCH("Assign",W5)))</formula>
    </cfRule>
    <cfRule type="containsText" dxfId="0" priority="56" operator="containsText" text="Confirm">
      <formula>NOT(ISERROR(SEARCH("Confirm",W5)))</formula>
    </cfRule>
    <cfRule type="containsText" dxfId="0" priority="57" operator="containsText" text="Order">
      <formula>NOT(ISERROR(SEARCH("Order",W5)))</formula>
    </cfRule>
    <cfRule type="containsText" dxfId="0" priority="58" operator="containsText" text="Rebook">
      <formula>NOT(ISERROR(SEARCH("Rebook",W5)))</formula>
    </cfRule>
    <cfRule type="containsText" dxfId="0" priority="59" operator="containsText" text="Add">
      <formula>NOT(ISERROR(SEARCH("Add",W5)))</formula>
    </cfRule>
    <cfRule type="containsText" dxfId="3" priority="60" operator="containsText" text="Today">
      <formula>NOT(ISERROR(SEARCH("Today",W5)))</formula>
    </cfRule>
    <cfRule type="containsText" dxfId="3" priority="61" operator="containsText" text="Tomorrow">
      <formula>NOT(ISERROR(SEARCH("Tomorrow",W5)))</formula>
    </cfRule>
    <cfRule type="containsText" dxfId="3" priority="62" operator="containsText" text="Upcoming">
      <formula>NOT(ISERROR(SEARCH("Upcoming",W5)))</formula>
    </cfRule>
  </conditionalFormatting>
  <dataValidations count="7">
    <dataValidation type="date" allowBlank="1" showInputMessage="1" showErrorMessage="1" errorTitle="Check the date" error="Enter a real date between 2000 and 2100." promptTitle="Date" prompt="The day the money moved." sqref="B5:B1204">
      <formula1>36526</formula1>
      <formula2>73415</formula2>
    </dataValidation>
    <dataValidation type="list" allowBlank="1" showInputMessage="1" showErrorMessage="1" sqref="C5:C1204">
      <formula1>ClientList</formula1>
    </dataValidation>
    <dataValidation type="list" allowBlank="1" showInputMessage="1" showErrorMessage="1" promptTitle="What for" prompt="Deposit, Balance, Full payment, Retail only, Refund, Gift certificate sale, Package sale or Tip. This column decides how the money is treated everywhere else." sqref="E5:E1204">
      <formula1>PaymentKindList</formula1>
    </dataValidation>
    <dataValidation type="list" allowBlank="1" showInputMessage="1" showErrorMessage="1" promptTitle="Method" prompt="Card payments pick up the processing fee from Settings automatically." sqref="F5:F1204">
      <formula1>PaymentMethodList</formula1>
    </dataValidation>
    <dataValidation type="decimal" allowBlank="1" showInputMessage="1" showErrorMessage="1" errorTitle="Check the value" error="Enter a number between 0 and 1000000." promptTitle="Amount" prompt="Always a positive number, even for a refund - the kind column says which way it went." sqref="G5:G1204">
      <formula1>0</formula1>
      <formula2>1000000</formula2>
    </dataValidation>
    <dataValidation type="list" allowBlank="1" showInputMessage="1" showErrorMessage="1" promptTitle="Stylist ID" prompt="Who the tip belongs to, or who took the payment." sqref="J5:J1204">
      <formula1>StaffList</formula1>
    </dataValidation>
    <dataValidation type="list" allowBlank="1" showInputMessage="1" showErrorMessage="1" promptTitle="Reconciled?" prompt="Tick it off when you have seen it on the bank statement or in the till count." sqref="M5:M1204">
      <formula1>"Yes,No"</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&amp;L&amp;"Calibri,Bold"&amp;12&amp;C&amp;"Calibri,Bold"&amp;11Payments&amp;R&amp;"Calibri,Italic"&amp;9Salon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4C2A42"/>
    <pageSetUpPr fitToPage="1"/>
  </sheetPr>
  <dimension ref="A1:AO4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28" customWidth="1"/>
    <col min="2" max="2" width="20.7109375" style="34" customWidth="1"/>
    <col min="3" max="3" width="18.7109375" style="34" customWidth="1"/>
    <col min="4" max="4" width="14.7109375" style="34" customWidth="1"/>
    <col min="5" max="5" width="15.7109375" style="34" customWidth="1"/>
    <col min="6" max="6" width="11.7109375" style="29" customWidth="1"/>
    <col min="7" max="7" width="11.7109375" style="34" customWidth="1"/>
    <col min="8" max="8" width="15.7109375" style="34" customWidth="1"/>
    <col min="9" max="9" width="24.7109375" style="34" customWidth="1"/>
    <col min="10" max="10" width="12.7109375" style="43" customWidth="1"/>
    <col min="11" max="11" width="18.7109375" style="34" customWidth="1"/>
    <col min="12" max="12" width="24.7109375" style="34" customWidth="1"/>
    <col min="13" max="13" width="11.7109375" style="44" customWidth="1"/>
    <col min="14" max="14" width="11.7109375" style="44" customWidth="1"/>
    <col min="15" max="15" width="12.7109375" style="33" customWidth="1"/>
    <col min="16" max="16" width="11.7109375" style="33" customWidth="1"/>
    <col min="17" max="17" width="11.7109375" style="33" customWidth="1"/>
    <col min="18" max="18" width="13.7109375" style="33" customWidth="1"/>
    <col min="19" max="19" width="24.7109375" style="35" customWidth="1"/>
    <col min="20" max="20" width="12.7109375" style="25" hidden="1" customWidth="1"/>
    <col min="21" max="21" width="10.7109375" style="25" customWidth="1"/>
    <col min="22" max="22" width="9.7109375" style="25" hidden="1" customWidth="1"/>
    <col min="23" max="23" width="11.7109375" style="25" hidden="1" customWidth="1"/>
    <col min="24" max="24" width="12.7109375" style="37" customWidth="1"/>
    <col min="25" max="25" width="12.7109375" style="37" hidden="1" customWidth="1"/>
    <col min="26" max="26" width="11.7109375" style="27" customWidth="1"/>
    <col min="27" max="27" width="12.7109375" style="26" customWidth="1"/>
    <col min="28" max="28" width="11.7109375" style="26" customWidth="1"/>
    <col min="29" max="29" width="12.7109375" style="26" customWidth="1"/>
    <col min="30" max="30" width="13.7109375" style="26" customWidth="1"/>
    <col min="31" max="31" width="12.7109375" style="26" customWidth="1"/>
    <col min="32" max="32" width="12.7109375" style="26" customWidth="1"/>
    <col min="33" max="33" width="11.7109375" style="27" customWidth="1"/>
    <col min="34" max="34" width="12.7109375" style="26" customWidth="1"/>
    <col min="35" max="35" width="11.7109375" style="27" customWidth="1"/>
    <col min="36" max="36" width="10.7109375" style="26" hidden="1" customWidth="1"/>
    <col min="37" max="37" width="12.7109375" style="26" hidden="1" customWidth="1"/>
    <col min="38" max="38" width="12.7109375" style="26" customWidth="1"/>
    <col min="39" max="39" width="12.7109375" style="26" customWidth="1"/>
    <col min="40" max="40" width="9.7109375" style="25" hidden="1" customWidth="1"/>
    <col min="41" max="41" width="30.7109375" style="39" customWidth="1"/>
  </cols>
  <sheetData>
    <row r="1" spans="1:41" ht="34" customHeight="1">
      <c r="A1" s="2" t="s">
        <v>391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t="s">
        <v>1</v>
      </c>
      <c r="AN1" s="3"/>
      <c r="AO1" s="3"/>
    </row>
    <row r="2" spans="1:41" ht="18" customHeight="1">
      <c r="A2" s="4" t="s">
        <v>392</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393</v>
      </c>
      <c r="T3" s="40"/>
      <c r="U3" s="40"/>
      <c r="V3" s="40"/>
      <c r="W3" s="40"/>
      <c r="X3" s="40"/>
      <c r="Y3" s="40"/>
      <c r="Z3" s="40"/>
      <c r="AA3" s="40"/>
      <c r="AB3" s="40"/>
      <c r="AC3" s="40"/>
      <c r="AD3" s="40"/>
      <c r="AE3" s="40"/>
      <c r="AF3" s="40"/>
      <c r="AG3" s="40"/>
      <c r="AH3" s="40"/>
      <c r="AI3" s="40"/>
      <c r="AJ3" s="40"/>
      <c r="AK3" s="40"/>
      <c r="AL3" s="40"/>
      <c r="AM3" s="40"/>
      <c r="AN3" s="40"/>
      <c r="AO3" s="40"/>
    </row>
    <row r="4" spans="1:41" ht="30" customHeight="1">
      <c r="A4" s="10" t="s">
        <v>211</v>
      </c>
      <c r="B4" s="10" t="s">
        <v>394</v>
      </c>
      <c r="C4" s="11" t="s">
        <v>395</v>
      </c>
      <c r="D4" s="11" t="s">
        <v>396</v>
      </c>
      <c r="E4" s="11" t="s">
        <v>397</v>
      </c>
      <c r="F4" s="11" t="s">
        <v>398</v>
      </c>
      <c r="G4" s="11" t="s">
        <v>222</v>
      </c>
      <c r="H4" s="11" t="s">
        <v>253</v>
      </c>
      <c r="I4" s="11" t="s">
        <v>254</v>
      </c>
      <c r="J4" s="11" t="s">
        <v>399</v>
      </c>
      <c r="K4" s="11" t="s">
        <v>400</v>
      </c>
      <c r="L4" s="11" t="s">
        <v>401</v>
      </c>
      <c r="M4" s="11" t="s">
        <v>402</v>
      </c>
      <c r="N4" s="11" t="s">
        <v>403</v>
      </c>
      <c r="O4" s="11" t="s">
        <v>404</v>
      </c>
      <c r="P4" s="11" t="s">
        <v>405</v>
      </c>
      <c r="Q4" s="11" t="s">
        <v>406</v>
      </c>
      <c r="R4" s="11" t="s">
        <v>407</v>
      </c>
      <c r="S4" s="11" t="s">
        <v>225</v>
      </c>
      <c r="T4" s="11" t="s">
        <v>29</v>
      </c>
      <c r="U4" s="11" t="s">
        <v>177</v>
      </c>
      <c r="V4" s="11" t="s">
        <v>246</v>
      </c>
      <c r="W4" s="11" t="s">
        <v>408</v>
      </c>
      <c r="X4" s="11" t="s">
        <v>409</v>
      </c>
      <c r="Y4" s="11" t="s">
        <v>410</v>
      </c>
      <c r="Z4" s="11" t="s">
        <v>178</v>
      </c>
      <c r="AA4" s="11" t="s">
        <v>411</v>
      </c>
      <c r="AB4" s="11" t="s">
        <v>412</v>
      </c>
      <c r="AC4" s="11" t="s">
        <v>413</v>
      </c>
      <c r="AD4" s="11" t="s">
        <v>176</v>
      </c>
      <c r="AE4" s="11" t="s">
        <v>127</v>
      </c>
      <c r="AF4" s="11" t="s">
        <v>88</v>
      </c>
      <c r="AG4" s="11" t="s">
        <v>136</v>
      </c>
      <c r="AH4" s="11" t="s">
        <v>414</v>
      </c>
      <c r="AI4" s="11" t="s">
        <v>179</v>
      </c>
      <c r="AJ4" s="11" t="s">
        <v>387</v>
      </c>
      <c r="AK4" s="11" t="s">
        <v>96</v>
      </c>
      <c r="AL4" s="11" t="s">
        <v>180</v>
      </c>
      <c r="AM4" s="11" t="s">
        <v>181</v>
      </c>
      <c r="AN4" s="11" t="s">
        <v>415</v>
      </c>
      <c r="AO4" s="11" t="s">
        <v>242</v>
      </c>
    </row>
    <row r="5" spans="1:41">
      <c r="A5" s="28">
        <f>IF(B5="","",StaffPrefix&amp;TEXT(ROW()-4,"000"))</f>
        <v>0</v>
      </c>
      <c r="T5" s="25">
        <f>IF(B5="","",COUNTIFS(Appointments!$I$5:$I$1204,A5))</f>
        <v>0</v>
      </c>
      <c r="U5" s="25">
        <f>IF(B5="","",COUNTIFS(Appointments!$I$5:$I$1204,A5,Appointments!$M$5:$M$1204,"Completed"))</f>
        <v>0</v>
      </c>
      <c r="V5" s="25">
        <f>IF(B5="","",COUNTIFS(Appointments!$I$5:$I$1204,A5,Appointments!$M$5:$M$1204,"No show"))</f>
        <v>0</v>
      </c>
      <c r="W5" s="25">
        <f>IF(B5="","",COUNTIFS(Clients!$I$5:$I$504,A5))</f>
        <v>0</v>
      </c>
      <c r="X5" s="37">
        <f>IF(B5="","",ROUND(SUMIFS(Appointments!$X$5:$X$1204,Appointments!$I$5:$I$1204,A5,Appointments!$M$5:$M$1204,"Completed",Appointments!$B$5:$B$1204,"&gt;="&amp;TodayDate-28),1))</f>
        <v>0</v>
      </c>
      <c r="Y5" s="37">
        <f>IF(B5="","",IF(J5="",0,ROUND(J5*4,1)))</f>
        <v>0</v>
      </c>
      <c r="Z5" s="27">
        <f>IF(B5="","",IF(Y5=0,"",X5/Y5))</f>
        <v>0</v>
      </c>
      <c r="AA5" s="26">
        <f>IF(B5="","",ROUND(SUMIFS(Sales!$Y$5:$Y$1204,Sales!$F$5:$F$1204,A5,Sales!$H$5:$H$1204,"Service"),2))</f>
        <v>0</v>
      </c>
      <c r="AB5" s="26">
        <f>IF(B5="","",ROUND(SUMIFS(Sales!$Y$5:$Y$1204,Sales!$F$5:$F$1204,A5,Sales!$H$5:$H$1204,"Retail"),2))</f>
        <v>0</v>
      </c>
      <c r="AC5" s="26">
        <f>IF(B5="","",ROUND(SUMIFS(Sales!$Y$5:$Y$1204,Sales!$F$5:$F$1204,A5),2))</f>
        <v>0</v>
      </c>
      <c r="AD5" s="26">
        <f>IF(B5="","",ROUND(SUMIFS(Sales!$Y$5:$Y$1204,Sales!$F$5:$F$1204,A5,Sales!$R$5:$R$1204,ThisMonthKey),2))</f>
        <v>0</v>
      </c>
      <c r="AE5" s="26">
        <f>IF(B5="","",IF(R5="","",ROUND(AD5-R5,2)))</f>
        <v>0</v>
      </c>
      <c r="AF5" s="26">
        <f>IF(B5="","",IF(U5=0,"",ROUND(AC5/U5,2)))</f>
        <v>0</v>
      </c>
      <c r="AG5" s="27">
        <f>IF(B5="","",IF(AC5=0,"",AB5/AC5))</f>
        <v>0</v>
      </c>
      <c r="AH5" s="26">
        <f>IF(B5="","",IF(X5=0,"",ROUND(SUMIFS(Sales!$Y$5:$Y$1204,Sales!$F$5:$F$1204,A5,Sales!$B$5:$B$1204,"&gt;="&amp;TodayDate-28)/X5,2)))</f>
        <v>0</v>
      </c>
      <c r="AI5" s="27">
        <f>IF(B5="","",IF(COUNTIFS(Appointments!$I$5:$I$1204,A5,Appointments!$M$5:$M$1204,"Completed")=0,"",COUNTIFS(Appointments!$I$5:$I$1204,A5,Appointments!$AF$5:$AF$1204,"Yes")/COUNTIFS(Appointments!$I$5:$I$1204,A5,Appointments!$M$5:$M$1204,"Completed")))</f>
        <v>0</v>
      </c>
      <c r="AJ5" s="26">
        <f>IF(B5="","",ROUND(SUMIFS(Payments!$G$5:$G$1204,Payments!$J$5:$J$1204,A5,Payments!$E$5:$E$1204,"Tip"),2))</f>
        <v>0</v>
      </c>
      <c r="AK5" s="26">
        <f>IF(B5="","",ROUND(SUMIFS(Commissions!$V$5:$V$244,Commissions!$C$5:$C$244,A5),2))</f>
        <v>0</v>
      </c>
      <c r="AL5" s="26">
        <f>IF(B5="","",ROUND(SUMIFS(Payroll!$Y$5:$Y$364,Payroll!$D$5:$D$364,A5,Payroll!$Q$5:$Q$364,ThisMonthKey),2))</f>
        <v>0</v>
      </c>
      <c r="AM5" s="26">
        <f>IF(B5="","",ROUND(AD5-AL5,2))</f>
        <v>0</v>
      </c>
      <c r="AN5" s="25">
        <f>IF(B5="","",COUNTIFS($AC$5:$AC$44,"&gt;"&amp;AC5)+COUNTIFS($AC$5:AC5,AC5))</f>
        <v>0</v>
      </c>
      <c r="AO5" s="39">
        <f>IF(B5="","",IF(G5&lt;&gt;"Active","",IF(L5="","Add - pick a commission method",IF(IF(J5="",TRUE,J5=0),"Add - no hours, no utilisation",IF(Z5&lt;0.5,"Check - chair is half empty",IF(AM5&lt;0,"Loss - pay is ahead of sales",IF(IF(R5="",FALSE,AD5&lt;R5*0.8),"Below - behind the monthly target",IF(AG5&lt;TargetRetailShare,"Action - barely selling any product","OK"))))))))</f>
        <v>0</v>
      </c>
    </row>
    <row r="6" spans="1:41">
      <c r="A6" s="28">
        <f>IF(B6="","",StaffPrefix&amp;TEXT(ROW()-4,"000"))</f>
        <v>0</v>
      </c>
      <c r="T6" s="25">
        <f>IF(B6="","",COUNTIFS(Appointments!$I$5:$I$1204,A6))</f>
        <v>0</v>
      </c>
      <c r="U6" s="25">
        <f>IF(B6="","",COUNTIFS(Appointments!$I$5:$I$1204,A6,Appointments!$M$5:$M$1204,"Completed"))</f>
        <v>0</v>
      </c>
      <c r="V6" s="25">
        <f>IF(B6="","",COUNTIFS(Appointments!$I$5:$I$1204,A6,Appointments!$M$5:$M$1204,"No show"))</f>
        <v>0</v>
      </c>
      <c r="W6" s="25">
        <f>IF(B6="","",COUNTIFS(Clients!$I$5:$I$504,A6))</f>
        <v>0</v>
      </c>
      <c r="X6" s="37">
        <f>IF(B6="","",ROUND(SUMIFS(Appointments!$X$5:$X$1204,Appointments!$I$5:$I$1204,A6,Appointments!$M$5:$M$1204,"Completed",Appointments!$B$5:$B$1204,"&gt;="&amp;TodayDate-28),1))</f>
        <v>0</v>
      </c>
      <c r="Y6" s="37">
        <f>IF(B6="","",IF(J6="",0,ROUND(J6*4,1)))</f>
        <v>0</v>
      </c>
      <c r="Z6" s="27">
        <f>IF(B6="","",IF(Y6=0,"",X6/Y6))</f>
        <v>0</v>
      </c>
      <c r="AA6" s="26">
        <f>IF(B6="","",ROUND(SUMIFS(Sales!$Y$5:$Y$1204,Sales!$F$5:$F$1204,A6,Sales!$H$5:$H$1204,"Service"),2))</f>
        <v>0</v>
      </c>
      <c r="AB6" s="26">
        <f>IF(B6="","",ROUND(SUMIFS(Sales!$Y$5:$Y$1204,Sales!$F$5:$F$1204,A6,Sales!$H$5:$H$1204,"Retail"),2))</f>
        <v>0</v>
      </c>
      <c r="AC6" s="26">
        <f>IF(B6="","",ROUND(SUMIFS(Sales!$Y$5:$Y$1204,Sales!$F$5:$F$1204,A6),2))</f>
        <v>0</v>
      </c>
      <c r="AD6" s="26">
        <f>IF(B6="","",ROUND(SUMIFS(Sales!$Y$5:$Y$1204,Sales!$F$5:$F$1204,A6,Sales!$R$5:$R$1204,ThisMonthKey),2))</f>
        <v>0</v>
      </c>
      <c r="AE6" s="26">
        <f>IF(B6="","",IF(R6="","",ROUND(AD6-R6,2)))</f>
        <v>0</v>
      </c>
      <c r="AF6" s="26">
        <f>IF(B6="","",IF(U6=0,"",ROUND(AC6/U6,2)))</f>
        <v>0</v>
      </c>
      <c r="AG6" s="27">
        <f>IF(B6="","",IF(AC6=0,"",AB6/AC6))</f>
        <v>0</v>
      </c>
      <c r="AH6" s="26">
        <f>IF(B6="","",IF(X6=0,"",ROUND(SUMIFS(Sales!$Y$5:$Y$1204,Sales!$F$5:$F$1204,A6,Sales!$B$5:$B$1204,"&gt;="&amp;TodayDate-28)/X6,2)))</f>
        <v>0</v>
      </c>
      <c r="AI6" s="27">
        <f>IF(B6="","",IF(COUNTIFS(Appointments!$I$5:$I$1204,A6,Appointments!$M$5:$M$1204,"Completed")=0,"",COUNTIFS(Appointments!$I$5:$I$1204,A6,Appointments!$AF$5:$AF$1204,"Yes")/COUNTIFS(Appointments!$I$5:$I$1204,A6,Appointments!$M$5:$M$1204,"Completed")))</f>
        <v>0</v>
      </c>
      <c r="AJ6" s="26">
        <f>IF(B6="","",ROUND(SUMIFS(Payments!$G$5:$G$1204,Payments!$J$5:$J$1204,A6,Payments!$E$5:$E$1204,"Tip"),2))</f>
        <v>0</v>
      </c>
      <c r="AK6" s="26">
        <f>IF(B6="","",ROUND(SUMIFS(Commissions!$V$5:$V$244,Commissions!$C$5:$C$244,A6),2))</f>
        <v>0</v>
      </c>
      <c r="AL6" s="26">
        <f>IF(B6="","",ROUND(SUMIFS(Payroll!$Y$5:$Y$364,Payroll!$D$5:$D$364,A6,Payroll!$Q$5:$Q$364,ThisMonthKey),2))</f>
        <v>0</v>
      </c>
      <c r="AM6" s="26">
        <f>IF(B6="","",ROUND(AD6-AL6,2))</f>
        <v>0</v>
      </c>
      <c r="AN6" s="25">
        <f>IF(B6="","",COUNTIFS($AC$5:$AC$44,"&gt;"&amp;AC6)+COUNTIFS($AC$5:AC6,AC6))</f>
        <v>0</v>
      </c>
      <c r="AO6" s="39">
        <f>IF(B6="","",IF(G6&lt;&gt;"Active","",IF(L6="","Add - pick a commission method",IF(IF(J6="",TRUE,J6=0),"Add - no hours, no utilisation",IF(Z6&lt;0.5,"Check - chair is half empty",IF(AM6&lt;0,"Loss - pay is ahead of sales",IF(IF(R6="",FALSE,AD6&lt;R6*0.8),"Below - behind the monthly target",IF(AG6&lt;TargetRetailShare,"Action - barely selling any product","OK"))))))))</f>
        <v>0</v>
      </c>
    </row>
    <row r="7" spans="1:41">
      <c r="A7" s="28">
        <f>IF(B7="","",StaffPrefix&amp;TEXT(ROW()-4,"000"))</f>
        <v>0</v>
      </c>
      <c r="T7" s="25">
        <f>IF(B7="","",COUNTIFS(Appointments!$I$5:$I$1204,A7))</f>
        <v>0</v>
      </c>
      <c r="U7" s="25">
        <f>IF(B7="","",COUNTIFS(Appointments!$I$5:$I$1204,A7,Appointments!$M$5:$M$1204,"Completed"))</f>
        <v>0</v>
      </c>
      <c r="V7" s="25">
        <f>IF(B7="","",COUNTIFS(Appointments!$I$5:$I$1204,A7,Appointments!$M$5:$M$1204,"No show"))</f>
        <v>0</v>
      </c>
      <c r="W7" s="25">
        <f>IF(B7="","",COUNTIFS(Clients!$I$5:$I$504,A7))</f>
        <v>0</v>
      </c>
      <c r="X7" s="37">
        <f>IF(B7="","",ROUND(SUMIFS(Appointments!$X$5:$X$1204,Appointments!$I$5:$I$1204,A7,Appointments!$M$5:$M$1204,"Completed",Appointments!$B$5:$B$1204,"&gt;="&amp;TodayDate-28),1))</f>
        <v>0</v>
      </c>
      <c r="Y7" s="37">
        <f>IF(B7="","",IF(J7="",0,ROUND(J7*4,1)))</f>
        <v>0</v>
      </c>
      <c r="Z7" s="27">
        <f>IF(B7="","",IF(Y7=0,"",X7/Y7))</f>
        <v>0</v>
      </c>
      <c r="AA7" s="26">
        <f>IF(B7="","",ROUND(SUMIFS(Sales!$Y$5:$Y$1204,Sales!$F$5:$F$1204,A7,Sales!$H$5:$H$1204,"Service"),2))</f>
        <v>0</v>
      </c>
      <c r="AB7" s="26">
        <f>IF(B7="","",ROUND(SUMIFS(Sales!$Y$5:$Y$1204,Sales!$F$5:$F$1204,A7,Sales!$H$5:$H$1204,"Retail"),2))</f>
        <v>0</v>
      </c>
      <c r="AC7" s="26">
        <f>IF(B7="","",ROUND(SUMIFS(Sales!$Y$5:$Y$1204,Sales!$F$5:$F$1204,A7),2))</f>
        <v>0</v>
      </c>
      <c r="AD7" s="26">
        <f>IF(B7="","",ROUND(SUMIFS(Sales!$Y$5:$Y$1204,Sales!$F$5:$F$1204,A7,Sales!$R$5:$R$1204,ThisMonthKey),2))</f>
        <v>0</v>
      </c>
      <c r="AE7" s="26">
        <f>IF(B7="","",IF(R7="","",ROUND(AD7-R7,2)))</f>
        <v>0</v>
      </c>
      <c r="AF7" s="26">
        <f>IF(B7="","",IF(U7=0,"",ROUND(AC7/U7,2)))</f>
        <v>0</v>
      </c>
      <c r="AG7" s="27">
        <f>IF(B7="","",IF(AC7=0,"",AB7/AC7))</f>
        <v>0</v>
      </c>
      <c r="AH7" s="26">
        <f>IF(B7="","",IF(X7=0,"",ROUND(SUMIFS(Sales!$Y$5:$Y$1204,Sales!$F$5:$F$1204,A7,Sales!$B$5:$B$1204,"&gt;="&amp;TodayDate-28)/X7,2)))</f>
        <v>0</v>
      </c>
      <c r="AI7" s="27">
        <f>IF(B7="","",IF(COUNTIFS(Appointments!$I$5:$I$1204,A7,Appointments!$M$5:$M$1204,"Completed")=0,"",COUNTIFS(Appointments!$I$5:$I$1204,A7,Appointments!$AF$5:$AF$1204,"Yes")/COUNTIFS(Appointments!$I$5:$I$1204,A7,Appointments!$M$5:$M$1204,"Completed")))</f>
        <v>0</v>
      </c>
      <c r="AJ7" s="26">
        <f>IF(B7="","",ROUND(SUMIFS(Payments!$G$5:$G$1204,Payments!$J$5:$J$1204,A7,Payments!$E$5:$E$1204,"Tip"),2))</f>
        <v>0</v>
      </c>
      <c r="AK7" s="26">
        <f>IF(B7="","",ROUND(SUMIFS(Commissions!$V$5:$V$244,Commissions!$C$5:$C$244,A7),2))</f>
        <v>0</v>
      </c>
      <c r="AL7" s="26">
        <f>IF(B7="","",ROUND(SUMIFS(Payroll!$Y$5:$Y$364,Payroll!$D$5:$D$364,A7,Payroll!$Q$5:$Q$364,ThisMonthKey),2))</f>
        <v>0</v>
      </c>
      <c r="AM7" s="26">
        <f>IF(B7="","",ROUND(AD7-AL7,2))</f>
        <v>0</v>
      </c>
      <c r="AN7" s="25">
        <f>IF(B7="","",COUNTIFS($AC$5:$AC$44,"&gt;"&amp;AC7)+COUNTIFS($AC$5:AC7,AC7))</f>
        <v>0</v>
      </c>
      <c r="AO7" s="39">
        <f>IF(B7="","",IF(G7&lt;&gt;"Active","",IF(L7="","Add - pick a commission method",IF(IF(J7="",TRUE,J7=0),"Add - no hours, no utilisation",IF(Z7&lt;0.5,"Check - chair is half empty",IF(AM7&lt;0,"Loss - pay is ahead of sales",IF(IF(R7="",FALSE,AD7&lt;R7*0.8),"Below - behind the monthly target",IF(AG7&lt;TargetRetailShare,"Action - barely selling any product","OK"))))))))</f>
        <v>0</v>
      </c>
    </row>
    <row r="8" spans="1:41">
      <c r="A8" s="28">
        <f>IF(B8="","",StaffPrefix&amp;TEXT(ROW()-4,"000"))</f>
        <v>0</v>
      </c>
      <c r="T8" s="25">
        <f>IF(B8="","",COUNTIFS(Appointments!$I$5:$I$1204,A8))</f>
        <v>0</v>
      </c>
      <c r="U8" s="25">
        <f>IF(B8="","",COUNTIFS(Appointments!$I$5:$I$1204,A8,Appointments!$M$5:$M$1204,"Completed"))</f>
        <v>0</v>
      </c>
      <c r="V8" s="25">
        <f>IF(B8="","",COUNTIFS(Appointments!$I$5:$I$1204,A8,Appointments!$M$5:$M$1204,"No show"))</f>
        <v>0</v>
      </c>
      <c r="W8" s="25">
        <f>IF(B8="","",COUNTIFS(Clients!$I$5:$I$504,A8))</f>
        <v>0</v>
      </c>
      <c r="X8" s="37">
        <f>IF(B8="","",ROUND(SUMIFS(Appointments!$X$5:$X$1204,Appointments!$I$5:$I$1204,A8,Appointments!$M$5:$M$1204,"Completed",Appointments!$B$5:$B$1204,"&gt;="&amp;TodayDate-28),1))</f>
        <v>0</v>
      </c>
      <c r="Y8" s="37">
        <f>IF(B8="","",IF(J8="",0,ROUND(J8*4,1)))</f>
        <v>0</v>
      </c>
      <c r="Z8" s="27">
        <f>IF(B8="","",IF(Y8=0,"",X8/Y8))</f>
        <v>0</v>
      </c>
      <c r="AA8" s="26">
        <f>IF(B8="","",ROUND(SUMIFS(Sales!$Y$5:$Y$1204,Sales!$F$5:$F$1204,A8,Sales!$H$5:$H$1204,"Service"),2))</f>
        <v>0</v>
      </c>
      <c r="AB8" s="26">
        <f>IF(B8="","",ROUND(SUMIFS(Sales!$Y$5:$Y$1204,Sales!$F$5:$F$1204,A8,Sales!$H$5:$H$1204,"Retail"),2))</f>
        <v>0</v>
      </c>
      <c r="AC8" s="26">
        <f>IF(B8="","",ROUND(SUMIFS(Sales!$Y$5:$Y$1204,Sales!$F$5:$F$1204,A8),2))</f>
        <v>0</v>
      </c>
      <c r="AD8" s="26">
        <f>IF(B8="","",ROUND(SUMIFS(Sales!$Y$5:$Y$1204,Sales!$F$5:$F$1204,A8,Sales!$R$5:$R$1204,ThisMonthKey),2))</f>
        <v>0</v>
      </c>
      <c r="AE8" s="26">
        <f>IF(B8="","",IF(R8="","",ROUND(AD8-R8,2)))</f>
        <v>0</v>
      </c>
      <c r="AF8" s="26">
        <f>IF(B8="","",IF(U8=0,"",ROUND(AC8/U8,2)))</f>
        <v>0</v>
      </c>
      <c r="AG8" s="27">
        <f>IF(B8="","",IF(AC8=0,"",AB8/AC8))</f>
        <v>0</v>
      </c>
      <c r="AH8" s="26">
        <f>IF(B8="","",IF(X8=0,"",ROUND(SUMIFS(Sales!$Y$5:$Y$1204,Sales!$F$5:$F$1204,A8,Sales!$B$5:$B$1204,"&gt;="&amp;TodayDate-28)/X8,2)))</f>
        <v>0</v>
      </c>
      <c r="AI8" s="27">
        <f>IF(B8="","",IF(COUNTIFS(Appointments!$I$5:$I$1204,A8,Appointments!$M$5:$M$1204,"Completed")=0,"",COUNTIFS(Appointments!$I$5:$I$1204,A8,Appointments!$AF$5:$AF$1204,"Yes")/COUNTIFS(Appointments!$I$5:$I$1204,A8,Appointments!$M$5:$M$1204,"Completed")))</f>
        <v>0</v>
      </c>
      <c r="AJ8" s="26">
        <f>IF(B8="","",ROUND(SUMIFS(Payments!$G$5:$G$1204,Payments!$J$5:$J$1204,A8,Payments!$E$5:$E$1204,"Tip"),2))</f>
        <v>0</v>
      </c>
      <c r="AK8" s="26">
        <f>IF(B8="","",ROUND(SUMIFS(Commissions!$V$5:$V$244,Commissions!$C$5:$C$244,A8),2))</f>
        <v>0</v>
      </c>
      <c r="AL8" s="26">
        <f>IF(B8="","",ROUND(SUMIFS(Payroll!$Y$5:$Y$364,Payroll!$D$5:$D$364,A8,Payroll!$Q$5:$Q$364,ThisMonthKey),2))</f>
        <v>0</v>
      </c>
      <c r="AM8" s="26">
        <f>IF(B8="","",ROUND(AD8-AL8,2))</f>
        <v>0</v>
      </c>
      <c r="AN8" s="25">
        <f>IF(B8="","",COUNTIFS($AC$5:$AC$44,"&gt;"&amp;AC8)+COUNTIFS($AC$5:AC8,AC8))</f>
        <v>0</v>
      </c>
      <c r="AO8" s="39">
        <f>IF(B8="","",IF(G8&lt;&gt;"Active","",IF(L8="","Add - pick a commission method",IF(IF(J8="",TRUE,J8=0),"Add - no hours, no utilisation",IF(Z8&lt;0.5,"Check - chair is half empty",IF(AM8&lt;0,"Loss - pay is ahead of sales",IF(IF(R8="",FALSE,AD8&lt;R8*0.8),"Below - behind the monthly target",IF(AG8&lt;TargetRetailShare,"Action - barely selling any product","OK"))))))))</f>
        <v>0</v>
      </c>
    </row>
    <row r="9" spans="1:41">
      <c r="A9" s="28">
        <f>IF(B9="","",StaffPrefix&amp;TEXT(ROW()-4,"000"))</f>
        <v>0</v>
      </c>
      <c r="T9" s="25">
        <f>IF(B9="","",COUNTIFS(Appointments!$I$5:$I$1204,A9))</f>
        <v>0</v>
      </c>
      <c r="U9" s="25">
        <f>IF(B9="","",COUNTIFS(Appointments!$I$5:$I$1204,A9,Appointments!$M$5:$M$1204,"Completed"))</f>
        <v>0</v>
      </c>
      <c r="V9" s="25">
        <f>IF(B9="","",COUNTIFS(Appointments!$I$5:$I$1204,A9,Appointments!$M$5:$M$1204,"No show"))</f>
        <v>0</v>
      </c>
      <c r="W9" s="25">
        <f>IF(B9="","",COUNTIFS(Clients!$I$5:$I$504,A9))</f>
        <v>0</v>
      </c>
      <c r="X9" s="37">
        <f>IF(B9="","",ROUND(SUMIFS(Appointments!$X$5:$X$1204,Appointments!$I$5:$I$1204,A9,Appointments!$M$5:$M$1204,"Completed",Appointments!$B$5:$B$1204,"&gt;="&amp;TodayDate-28),1))</f>
        <v>0</v>
      </c>
      <c r="Y9" s="37">
        <f>IF(B9="","",IF(J9="",0,ROUND(J9*4,1)))</f>
        <v>0</v>
      </c>
      <c r="Z9" s="27">
        <f>IF(B9="","",IF(Y9=0,"",X9/Y9))</f>
        <v>0</v>
      </c>
      <c r="AA9" s="26">
        <f>IF(B9="","",ROUND(SUMIFS(Sales!$Y$5:$Y$1204,Sales!$F$5:$F$1204,A9,Sales!$H$5:$H$1204,"Service"),2))</f>
        <v>0</v>
      </c>
      <c r="AB9" s="26">
        <f>IF(B9="","",ROUND(SUMIFS(Sales!$Y$5:$Y$1204,Sales!$F$5:$F$1204,A9,Sales!$H$5:$H$1204,"Retail"),2))</f>
        <v>0</v>
      </c>
      <c r="AC9" s="26">
        <f>IF(B9="","",ROUND(SUMIFS(Sales!$Y$5:$Y$1204,Sales!$F$5:$F$1204,A9),2))</f>
        <v>0</v>
      </c>
      <c r="AD9" s="26">
        <f>IF(B9="","",ROUND(SUMIFS(Sales!$Y$5:$Y$1204,Sales!$F$5:$F$1204,A9,Sales!$R$5:$R$1204,ThisMonthKey),2))</f>
        <v>0</v>
      </c>
      <c r="AE9" s="26">
        <f>IF(B9="","",IF(R9="","",ROUND(AD9-R9,2)))</f>
        <v>0</v>
      </c>
      <c r="AF9" s="26">
        <f>IF(B9="","",IF(U9=0,"",ROUND(AC9/U9,2)))</f>
        <v>0</v>
      </c>
      <c r="AG9" s="27">
        <f>IF(B9="","",IF(AC9=0,"",AB9/AC9))</f>
        <v>0</v>
      </c>
      <c r="AH9" s="26">
        <f>IF(B9="","",IF(X9=0,"",ROUND(SUMIFS(Sales!$Y$5:$Y$1204,Sales!$F$5:$F$1204,A9,Sales!$B$5:$B$1204,"&gt;="&amp;TodayDate-28)/X9,2)))</f>
        <v>0</v>
      </c>
      <c r="AI9" s="27">
        <f>IF(B9="","",IF(COUNTIFS(Appointments!$I$5:$I$1204,A9,Appointments!$M$5:$M$1204,"Completed")=0,"",COUNTIFS(Appointments!$I$5:$I$1204,A9,Appointments!$AF$5:$AF$1204,"Yes")/COUNTIFS(Appointments!$I$5:$I$1204,A9,Appointments!$M$5:$M$1204,"Completed")))</f>
        <v>0</v>
      </c>
      <c r="AJ9" s="26">
        <f>IF(B9="","",ROUND(SUMIFS(Payments!$G$5:$G$1204,Payments!$J$5:$J$1204,A9,Payments!$E$5:$E$1204,"Tip"),2))</f>
        <v>0</v>
      </c>
      <c r="AK9" s="26">
        <f>IF(B9="","",ROUND(SUMIFS(Commissions!$V$5:$V$244,Commissions!$C$5:$C$244,A9),2))</f>
        <v>0</v>
      </c>
      <c r="AL9" s="26">
        <f>IF(B9="","",ROUND(SUMIFS(Payroll!$Y$5:$Y$364,Payroll!$D$5:$D$364,A9,Payroll!$Q$5:$Q$364,ThisMonthKey),2))</f>
        <v>0</v>
      </c>
      <c r="AM9" s="26">
        <f>IF(B9="","",ROUND(AD9-AL9,2))</f>
        <v>0</v>
      </c>
      <c r="AN9" s="25">
        <f>IF(B9="","",COUNTIFS($AC$5:$AC$44,"&gt;"&amp;AC9)+COUNTIFS($AC$5:AC9,AC9))</f>
        <v>0</v>
      </c>
      <c r="AO9" s="39">
        <f>IF(B9="","",IF(G9&lt;&gt;"Active","",IF(L9="","Add - pick a commission method",IF(IF(J9="",TRUE,J9=0),"Add - no hours, no utilisation",IF(Z9&lt;0.5,"Check - chair is half empty",IF(AM9&lt;0,"Loss - pay is ahead of sales",IF(IF(R9="",FALSE,AD9&lt;R9*0.8),"Below - behind the monthly target",IF(AG9&lt;TargetRetailShare,"Action - barely selling any product","OK"))))))))</f>
        <v>0</v>
      </c>
    </row>
    <row r="10" spans="1:41">
      <c r="A10" s="28">
        <f>IF(B10="","",StaffPrefix&amp;TEXT(ROW()-4,"000"))</f>
        <v>0</v>
      </c>
      <c r="T10" s="25">
        <f>IF(B10="","",COUNTIFS(Appointments!$I$5:$I$1204,A10))</f>
        <v>0</v>
      </c>
      <c r="U10" s="25">
        <f>IF(B10="","",COUNTIFS(Appointments!$I$5:$I$1204,A10,Appointments!$M$5:$M$1204,"Completed"))</f>
        <v>0</v>
      </c>
      <c r="V10" s="25">
        <f>IF(B10="","",COUNTIFS(Appointments!$I$5:$I$1204,A10,Appointments!$M$5:$M$1204,"No show"))</f>
        <v>0</v>
      </c>
      <c r="W10" s="25">
        <f>IF(B10="","",COUNTIFS(Clients!$I$5:$I$504,A10))</f>
        <v>0</v>
      </c>
      <c r="X10" s="37">
        <f>IF(B10="","",ROUND(SUMIFS(Appointments!$X$5:$X$1204,Appointments!$I$5:$I$1204,A10,Appointments!$M$5:$M$1204,"Completed",Appointments!$B$5:$B$1204,"&gt;="&amp;TodayDate-28),1))</f>
        <v>0</v>
      </c>
      <c r="Y10" s="37">
        <f>IF(B10="","",IF(J10="",0,ROUND(J10*4,1)))</f>
        <v>0</v>
      </c>
      <c r="Z10" s="27">
        <f>IF(B10="","",IF(Y10=0,"",X10/Y10))</f>
        <v>0</v>
      </c>
      <c r="AA10" s="26">
        <f>IF(B10="","",ROUND(SUMIFS(Sales!$Y$5:$Y$1204,Sales!$F$5:$F$1204,A10,Sales!$H$5:$H$1204,"Service"),2))</f>
        <v>0</v>
      </c>
      <c r="AB10" s="26">
        <f>IF(B10="","",ROUND(SUMIFS(Sales!$Y$5:$Y$1204,Sales!$F$5:$F$1204,A10,Sales!$H$5:$H$1204,"Retail"),2))</f>
        <v>0</v>
      </c>
      <c r="AC10" s="26">
        <f>IF(B10="","",ROUND(SUMIFS(Sales!$Y$5:$Y$1204,Sales!$F$5:$F$1204,A10),2))</f>
        <v>0</v>
      </c>
      <c r="AD10" s="26">
        <f>IF(B10="","",ROUND(SUMIFS(Sales!$Y$5:$Y$1204,Sales!$F$5:$F$1204,A10,Sales!$R$5:$R$1204,ThisMonthKey),2))</f>
        <v>0</v>
      </c>
      <c r="AE10" s="26">
        <f>IF(B10="","",IF(R10="","",ROUND(AD10-R10,2)))</f>
        <v>0</v>
      </c>
      <c r="AF10" s="26">
        <f>IF(B10="","",IF(U10=0,"",ROUND(AC10/U10,2)))</f>
        <v>0</v>
      </c>
      <c r="AG10" s="27">
        <f>IF(B10="","",IF(AC10=0,"",AB10/AC10))</f>
        <v>0</v>
      </c>
      <c r="AH10" s="26">
        <f>IF(B10="","",IF(X10=0,"",ROUND(SUMIFS(Sales!$Y$5:$Y$1204,Sales!$F$5:$F$1204,A10,Sales!$B$5:$B$1204,"&gt;="&amp;TodayDate-28)/X10,2)))</f>
        <v>0</v>
      </c>
      <c r="AI10" s="27">
        <f>IF(B10="","",IF(COUNTIFS(Appointments!$I$5:$I$1204,A10,Appointments!$M$5:$M$1204,"Completed")=0,"",COUNTIFS(Appointments!$I$5:$I$1204,A10,Appointments!$AF$5:$AF$1204,"Yes")/COUNTIFS(Appointments!$I$5:$I$1204,A10,Appointments!$M$5:$M$1204,"Completed")))</f>
        <v>0</v>
      </c>
      <c r="AJ10" s="26">
        <f>IF(B10="","",ROUND(SUMIFS(Payments!$G$5:$G$1204,Payments!$J$5:$J$1204,A10,Payments!$E$5:$E$1204,"Tip"),2))</f>
        <v>0</v>
      </c>
      <c r="AK10" s="26">
        <f>IF(B10="","",ROUND(SUMIFS(Commissions!$V$5:$V$244,Commissions!$C$5:$C$244,A10),2))</f>
        <v>0</v>
      </c>
      <c r="AL10" s="26">
        <f>IF(B10="","",ROUND(SUMIFS(Payroll!$Y$5:$Y$364,Payroll!$D$5:$D$364,A10,Payroll!$Q$5:$Q$364,ThisMonthKey),2))</f>
        <v>0</v>
      </c>
      <c r="AM10" s="26">
        <f>IF(B10="","",ROUND(AD10-AL10,2))</f>
        <v>0</v>
      </c>
      <c r="AN10" s="25">
        <f>IF(B10="","",COUNTIFS($AC$5:$AC$44,"&gt;"&amp;AC10)+COUNTIFS($AC$5:AC10,AC10))</f>
        <v>0</v>
      </c>
      <c r="AO10" s="39">
        <f>IF(B10="","",IF(G10&lt;&gt;"Active","",IF(L10="","Add - pick a commission method",IF(IF(J10="",TRUE,J10=0),"Add - no hours, no utilisation",IF(Z10&lt;0.5,"Check - chair is half empty",IF(AM10&lt;0,"Loss - pay is ahead of sales",IF(IF(R10="",FALSE,AD10&lt;R10*0.8),"Below - behind the monthly target",IF(AG10&lt;TargetRetailShare,"Action - barely selling any product","OK"))))))))</f>
        <v>0</v>
      </c>
    </row>
    <row r="11" spans="1:41">
      <c r="A11" s="28">
        <f>IF(B11="","",StaffPrefix&amp;TEXT(ROW()-4,"000"))</f>
        <v>0</v>
      </c>
      <c r="T11" s="25">
        <f>IF(B11="","",COUNTIFS(Appointments!$I$5:$I$1204,A11))</f>
        <v>0</v>
      </c>
      <c r="U11" s="25">
        <f>IF(B11="","",COUNTIFS(Appointments!$I$5:$I$1204,A11,Appointments!$M$5:$M$1204,"Completed"))</f>
        <v>0</v>
      </c>
      <c r="V11" s="25">
        <f>IF(B11="","",COUNTIFS(Appointments!$I$5:$I$1204,A11,Appointments!$M$5:$M$1204,"No show"))</f>
        <v>0</v>
      </c>
      <c r="W11" s="25">
        <f>IF(B11="","",COUNTIFS(Clients!$I$5:$I$504,A11))</f>
        <v>0</v>
      </c>
      <c r="X11" s="37">
        <f>IF(B11="","",ROUND(SUMIFS(Appointments!$X$5:$X$1204,Appointments!$I$5:$I$1204,A11,Appointments!$M$5:$M$1204,"Completed",Appointments!$B$5:$B$1204,"&gt;="&amp;TodayDate-28),1))</f>
        <v>0</v>
      </c>
      <c r="Y11" s="37">
        <f>IF(B11="","",IF(J11="",0,ROUND(J11*4,1)))</f>
        <v>0</v>
      </c>
      <c r="Z11" s="27">
        <f>IF(B11="","",IF(Y11=0,"",X11/Y11))</f>
        <v>0</v>
      </c>
      <c r="AA11" s="26">
        <f>IF(B11="","",ROUND(SUMIFS(Sales!$Y$5:$Y$1204,Sales!$F$5:$F$1204,A11,Sales!$H$5:$H$1204,"Service"),2))</f>
        <v>0</v>
      </c>
      <c r="AB11" s="26">
        <f>IF(B11="","",ROUND(SUMIFS(Sales!$Y$5:$Y$1204,Sales!$F$5:$F$1204,A11,Sales!$H$5:$H$1204,"Retail"),2))</f>
        <v>0</v>
      </c>
      <c r="AC11" s="26">
        <f>IF(B11="","",ROUND(SUMIFS(Sales!$Y$5:$Y$1204,Sales!$F$5:$F$1204,A11),2))</f>
        <v>0</v>
      </c>
      <c r="AD11" s="26">
        <f>IF(B11="","",ROUND(SUMIFS(Sales!$Y$5:$Y$1204,Sales!$F$5:$F$1204,A11,Sales!$R$5:$R$1204,ThisMonthKey),2))</f>
        <v>0</v>
      </c>
      <c r="AE11" s="26">
        <f>IF(B11="","",IF(R11="","",ROUND(AD11-R11,2)))</f>
        <v>0</v>
      </c>
      <c r="AF11" s="26">
        <f>IF(B11="","",IF(U11=0,"",ROUND(AC11/U11,2)))</f>
        <v>0</v>
      </c>
      <c r="AG11" s="27">
        <f>IF(B11="","",IF(AC11=0,"",AB11/AC11))</f>
        <v>0</v>
      </c>
      <c r="AH11" s="26">
        <f>IF(B11="","",IF(X11=0,"",ROUND(SUMIFS(Sales!$Y$5:$Y$1204,Sales!$F$5:$F$1204,A11,Sales!$B$5:$B$1204,"&gt;="&amp;TodayDate-28)/X11,2)))</f>
        <v>0</v>
      </c>
      <c r="AI11" s="27">
        <f>IF(B11="","",IF(COUNTIFS(Appointments!$I$5:$I$1204,A11,Appointments!$M$5:$M$1204,"Completed")=0,"",COUNTIFS(Appointments!$I$5:$I$1204,A11,Appointments!$AF$5:$AF$1204,"Yes")/COUNTIFS(Appointments!$I$5:$I$1204,A11,Appointments!$M$5:$M$1204,"Completed")))</f>
        <v>0</v>
      </c>
      <c r="AJ11" s="26">
        <f>IF(B11="","",ROUND(SUMIFS(Payments!$G$5:$G$1204,Payments!$J$5:$J$1204,A11,Payments!$E$5:$E$1204,"Tip"),2))</f>
        <v>0</v>
      </c>
      <c r="AK11" s="26">
        <f>IF(B11="","",ROUND(SUMIFS(Commissions!$V$5:$V$244,Commissions!$C$5:$C$244,A11),2))</f>
        <v>0</v>
      </c>
      <c r="AL11" s="26">
        <f>IF(B11="","",ROUND(SUMIFS(Payroll!$Y$5:$Y$364,Payroll!$D$5:$D$364,A11,Payroll!$Q$5:$Q$364,ThisMonthKey),2))</f>
        <v>0</v>
      </c>
      <c r="AM11" s="26">
        <f>IF(B11="","",ROUND(AD11-AL11,2))</f>
        <v>0</v>
      </c>
      <c r="AN11" s="25">
        <f>IF(B11="","",COUNTIFS($AC$5:$AC$44,"&gt;"&amp;AC11)+COUNTIFS($AC$5:AC11,AC11))</f>
        <v>0</v>
      </c>
      <c r="AO11" s="39">
        <f>IF(B11="","",IF(G11&lt;&gt;"Active","",IF(L11="","Add - pick a commission method",IF(IF(J11="",TRUE,J11=0),"Add - no hours, no utilisation",IF(Z11&lt;0.5,"Check - chair is half empty",IF(AM11&lt;0,"Loss - pay is ahead of sales",IF(IF(R11="",FALSE,AD11&lt;R11*0.8),"Below - behind the monthly target",IF(AG11&lt;TargetRetailShare,"Action - barely selling any product","OK"))))))))</f>
        <v>0</v>
      </c>
    </row>
    <row r="12" spans="1:41">
      <c r="A12" s="28">
        <f>IF(B12="","",StaffPrefix&amp;TEXT(ROW()-4,"000"))</f>
        <v>0</v>
      </c>
      <c r="T12" s="25">
        <f>IF(B12="","",COUNTIFS(Appointments!$I$5:$I$1204,A12))</f>
        <v>0</v>
      </c>
      <c r="U12" s="25">
        <f>IF(B12="","",COUNTIFS(Appointments!$I$5:$I$1204,A12,Appointments!$M$5:$M$1204,"Completed"))</f>
        <v>0</v>
      </c>
      <c r="V12" s="25">
        <f>IF(B12="","",COUNTIFS(Appointments!$I$5:$I$1204,A12,Appointments!$M$5:$M$1204,"No show"))</f>
        <v>0</v>
      </c>
      <c r="W12" s="25">
        <f>IF(B12="","",COUNTIFS(Clients!$I$5:$I$504,A12))</f>
        <v>0</v>
      </c>
      <c r="X12" s="37">
        <f>IF(B12="","",ROUND(SUMIFS(Appointments!$X$5:$X$1204,Appointments!$I$5:$I$1204,A12,Appointments!$M$5:$M$1204,"Completed",Appointments!$B$5:$B$1204,"&gt;="&amp;TodayDate-28),1))</f>
        <v>0</v>
      </c>
      <c r="Y12" s="37">
        <f>IF(B12="","",IF(J12="",0,ROUND(J12*4,1)))</f>
        <v>0</v>
      </c>
      <c r="Z12" s="27">
        <f>IF(B12="","",IF(Y12=0,"",X12/Y12))</f>
        <v>0</v>
      </c>
      <c r="AA12" s="26">
        <f>IF(B12="","",ROUND(SUMIFS(Sales!$Y$5:$Y$1204,Sales!$F$5:$F$1204,A12,Sales!$H$5:$H$1204,"Service"),2))</f>
        <v>0</v>
      </c>
      <c r="AB12" s="26">
        <f>IF(B12="","",ROUND(SUMIFS(Sales!$Y$5:$Y$1204,Sales!$F$5:$F$1204,A12,Sales!$H$5:$H$1204,"Retail"),2))</f>
        <v>0</v>
      </c>
      <c r="AC12" s="26">
        <f>IF(B12="","",ROUND(SUMIFS(Sales!$Y$5:$Y$1204,Sales!$F$5:$F$1204,A12),2))</f>
        <v>0</v>
      </c>
      <c r="AD12" s="26">
        <f>IF(B12="","",ROUND(SUMIFS(Sales!$Y$5:$Y$1204,Sales!$F$5:$F$1204,A12,Sales!$R$5:$R$1204,ThisMonthKey),2))</f>
        <v>0</v>
      </c>
      <c r="AE12" s="26">
        <f>IF(B12="","",IF(R12="","",ROUND(AD12-R12,2)))</f>
        <v>0</v>
      </c>
      <c r="AF12" s="26">
        <f>IF(B12="","",IF(U12=0,"",ROUND(AC12/U12,2)))</f>
        <v>0</v>
      </c>
      <c r="AG12" s="27">
        <f>IF(B12="","",IF(AC12=0,"",AB12/AC12))</f>
        <v>0</v>
      </c>
      <c r="AH12" s="26">
        <f>IF(B12="","",IF(X12=0,"",ROUND(SUMIFS(Sales!$Y$5:$Y$1204,Sales!$F$5:$F$1204,A12,Sales!$B$5:$B$1204,"&gt;="&amp;TodayDate-28)/X12,2)))</f>
        <v>0</v>
      </c>
      <c r="AI12" s="27">
        <f>IF(B12="","",IF(COUNTIFS(Appointments!$I$5:$I$1204,A12,Appointments!$M$5:$M$1204,"Completed")=0,"",COUNTIFS(Appointments!$I$5:$I$1204,A12,Appointments!$AF$5:$AF$1204,"Yes")/COUNTIFS(Appointments!$I$5:$I$1204,A12,Appointments!$M$5:$M$1204,"Completed")))</f>
        <v>0</v>
      </c>
      <c r="AJ12" s="26">
        <f>IF(B12="","",ROUND(SUMIFS(Payments!$G$5:$G$1204,Payments!$J$5:$J$1204,A12,Payments!$E$5:$E$1204,"Tip"),2))</f>
        <v>0</v>
      </c>
      <c r="AK12" s="26">
        <f>IF(B12="","",ROUND(SUMIFS(Commissions!$V$5:$V$244,Commissions!$C$5:$C$244,A12),2))</f>
        <v>0</v>
      </c>
      <c r="AL12" s="26">
        <f>IF(B12="","",ROUND(SUMIFS(Payroll!$Y$5:$Y$364,Payroll!$D$5:$D$364,A12,Payroll!$Q$5:$Q$364,ThisMonthKey),2))</f>
        <v>0</v>
      </c>
      <c r="AM12" s="26">
        <f>IF(B12="","",ROUND(AD12-AL12,2))</f>
        <v>0</v>
      </c>
      <c r="AN12" s="25">
        <f>IF(B12="","",COUNTIFS($AC$5:$AC$44,"&gt;"&amp;AC12)+COUNTIFS($AC$5:AC12,AC12))</f>
        <v>0</v>
      </c>
      <c r="AO12" s="39">
        <f>IF(B12="","",IF(G12&lt;&gt;"Active","",IF(L12="","Add - pick a commission method",IF(IF(J12="",TRUE,J12=0),"Add - no hours, no utilisation",IF(Z12&lt;0.5,"Check - chair is half empty",IF(AM12&lt;0,"Loss - pay is ahead of sales",IF(IF(R12="",FALSE,AD12&lt;R12*0.8),"Below - behind the monthly target",IF(AG12&lt;TargetRetailShare,"Action - barely selling any product","OK"))))))))</f>
        <v>0</v>
      </c>
    </row>
    <row r="13" spans="1:41">
      <c r="A13" s="28">
        <f>IF(B13="","",StaffPrefix&amp;TEXT(ROW()-4,"000"))</f>
        <v>0</v>
      </c>
      <c r="T13" s="25">
        <f>IF(B13="","",COUNTIFS(Appointments!$I$5:$I$1204,A13))</f>
        <v>0</v>
      </c>
      <c r="U13" s="25">
        <f>IF(B13="","",COUNTIFS(Appointments!$I$5:$I$1204,A13,Appointments!$M$5:$M$1204,"Completed"))</f>
        <v>0</v>
      </c>
      <c r="V13" s="25">
        <f>IF(B13="","",COUNTIFS(Appointments!$I$5:$I$1204,A13,Appointments!$M$5:$M$1204,"No show"))</f>
        <v>0</v>
      </c>
      <c r="W13" s="25">
        <f>IF(B13="","",COUNTIFS(Clients!$I$5:$I$504,A13))</f>
        <v>0</v>
      </c>
      <c r="X13" s="37">
        <f>IF(B13="","",ROUND(SUMIFS(Appointments!$X$5:$X$1204,Appointments!$I$5:$I$1204,A13,Appointments!$M$5:$M$1204,"Completed",Appointments!$B$5:$B$1204,"&gt;="&amp;TodayDate-28),1))</f>
        <v>0</v>
      </c>
      <c r="Y13" s="37">
        <f>IF(B13="","",IF(J13="",0,ROUND(J13*4,1)))</f>
        <v>0</v>
      </c>
      <c r="Z13" s="27">
        <f>IF(B13="","",IF(Y13=0,"",X13/Y13))</f>
        <v>0</v>
      </c>
      <c r="AA13" s="26">
        <f>IF(B13="","",ROUND(SUMIFS(Sales!$Y$5:$Y$1204,Sales!$F$5:$F$1204,A13,Sales!$H$5:$H$1204,"Service"),2))</f>
        <v>0</v>
      </c>
      <c r="AB13" s="26">
        <f>IF(B13="","",ROUND(SUMIFS(Sales!$Y$5:$Y$1204,Sales!$F$5:$F$1204,A13,Sales!$H$5:$H$1204,"Retail"),2))</f>
        <v>0</v>
      </c>
      <c r="AC13" s="26">
        <f>IF(B13="","",ROUND(SUMIFS(Sales!$Y$5:$Y$1204,Sales!$F$5:$F$1204,A13),2))</f>
        <v>0</v>
      </c>
      <c r="AD13" s="26">
        <f>IF(B13="","",ROUND(SUMIFS(Sales!$Y$5:$Y$1204,Sales!$F$5:$F$1204,A13,Sales!$R$5:$R$1204,ThisMonthKey),2))</f>
        <v>0</v>
      </c>
      <c r="AE13" s="26">
        <f>IF(B13="","",IF(R13="","",ROUND(AD13-R13,2)))</f>
        <v>0</v>
      </c>
      <c r="AF13" s="26">
        <f>IF(B13="","",IF(U13=0,"",ROUND(AC13/U13,2)))</f>
        <v>0</v>
      </c>
      <c r="AG13" s="27">
        <f>IF(B13="","",IF(AC13=0,"",AB13/AC13))</f>
        <v>0</v>
      </c>
      <c r="AH13" s="26">
        <f>IF(B13="","",IF(X13=0,"",ROUND(SUMIFS(Sales!$Y$5:$Y$1204,Sales!$F$5:$F$1204,A13,Sales!$B$5:$B$1204,"&gt;="&amp;TodayDate-28)/X13,2)))</f>
        <v>0</v>
      </c>
      <c r="AI13" s="27">
        <f>IF(B13="","",IF(COUNTIFS(Appointments!$I$5:$I$1204,A13,Appointments!$M$5:$M$1204,"Completed")=0,"",COUNTIFS(Appointments!$I$5:$I$1204,A13,Appointments!$AF$5:$AF$1204,"Yes")/COUNTIFS(Appointments!$I$5:$I$1204,A13,Appointments!$M$5:$M$1204,"Completed")))</f>
        <v>0</v>
      </c>
      <c r="AJ13" s="26">
        <f>IF(B13="","",ROUND(SUMIFS(Payments!$G$5:$G$1204,Payments!$J$5:$J$1204,A13,Payments!$E$5:$E$1204,"Tip"),2))</f>
        <v>0</v>
      </c>
      <c r="AK13" s="26">
        <f>IF(B13="","",ROUND(SUMIFS(Commissions!$V$5:$V$244,Commissions!$C$5:$C$244,A13),2))</f>
        <v>0</v>
      </c>
      <c r="AL13" s="26">
        <f>IF(B13="","",ROUND(SUMIFS(Payroll!$Y$5:$Y$364,Payroll!$D$5:$D$364,A13,Payroll!$Q$5:$Q$364,ThisMonthKey),2))</f>
        <v>0</v>
      </c>
      <c r="AM13" s="26">
        <f>IF(B13="","",ROUND(AD13-AL13,2))</f>
        <v>0</v>
      </c>
      <c r="AN13" s="25">
        <f>IF(B13="","",COUNTIFS($AC$5:$AC$44,"&gt;"&amp;AC13)+COUNTIFS($AC$5:AC13,AC13))</f>
        <v>0</v>
      </c>
      <c r="AO13" s="39">
        <f>IF(B13="","",IF(G13&lt;&gt;"Active","",IF(L13="","Add - pick a commission method",IF(IF(J13="",TRUE,J13=0),"Add - no hours, no utilisation",IF(Z13&lt;0.5,"Check - chair is half empty",IF(AM13&lt;0,"Loss - pay is ahead of sales",IF(IF(R13="",FALSE,AD13&lt;R13*0.8),"Below - behind the monthly target",IF(AG13&lt;TargetRetailShare,"Action - barely selling any product","OK"))))))))</f>
        <v>0</v>
      </c>
    </row>
    <row r="14" spans="1:41">
      <c r="A14" s="28">
        <f>IF(B14="","",StaffPrefix&amp;TEXT(ROW()-4,"000"))</f>
        <v>0</v>
      </c>
      <c r="T14" s="25">
        <f>IF(B14="","",COUNTIFS(Appointments!$I$5:$I$1204,A14))</f>
        <v>0</v>
      </c>
      <c r="U14" s="25">
        <f>IF(B14="","",COUNTIFS(Appointments!$I$5:$I$1204,A14,Appointments!$M$5:$M$1204,"Completed"))</f>
        <v>0</v>
      </c>
      <c r="V14" s="25">
        <f>IF(B14="","",COUNTIFS(Appointments!$I$5:$I$1204,A14,Appointments!$M$5:$M$1204,"No show"))</f>
        <v>0</v>
      </c>
      <c r="W14" s="25">
        <f>IF(B14="","",COUNTIFS(Clients!$I$5:$I$504,A14))</f>
        <v>0</v>
      </c>
      <c r="X14" s="37">
        <f>IF(B14="","",ROUND(SUMIFS(Appointments!$X$5:$X$1204,Appointments!$I$5:$I$1204,A14,Appointments!$M$5:$M$1204,"Completed",Appointments!$B$5:$B$1204,"&gt;="&amp;TodayDate-28),1))</f>
        <v>0</v>
      </c>
      <c r="Y14" s="37">
        <f>IF(B14="","",IF(J14="",0,ROUND(J14*4,1)))</f>
        <v>0</v>
      </c>
      <c r="Z14" s="27">
        <f>IF(B14="","",IF(Y14=0,"",X14/Y14))</f>
        <v>0</v>
      </c>
      <c r="AA14" s="26">
        <f>IF(B14="","",ROUND(SUMIFS(Sales!$Y$5:$Y$1204,Sales!$F$5:$F$1204,A14,Sales!$H$5:$H$1204,"Service"),2))</f>
        <v>0</v>
      </c>
      <c r="AB14" s="26">
        <f>IF(B14="","",ROUND(SUMIFS(Sales!$Y$5:$Y$1204,Sales!$F$5:$F$1204,A14,Sales!$H$5:$H$1204,"Retail"),2))</f>
        <v>0</v>
      </c>
      <c r="AC14" s="26">
        <f>IF(B14="","",ROUND(SUMIFS(Sales!$Y$5:$Y$1204,Sales!$F$5:$F$1204,A14),2))</f>
        <v>0</v>
      </c>
      <c r="AD14" s="26">
        <f>IF(B14="","",ROUND(SUMIFS(Sales!$Y$5:$Y$1204,Sales!$F$5:$F$1204,A14,Sales!$R$5:$R$1204,ThisMonthKey),2))</f>
        <v>0</v>
      </c>
      <c r="AE14" s="26">
        <f>IF(B14="","",IF(R14="","",ROUND(AD14-R14,2)))</f>
        <v>0</v>
      </c>
      <c r="AF14" s="26">
        <f>IF(B14="","",IF(U14=0,"",ROUND(AC14/U14,2)))</f>
        <v>0</v>
      </c>
      <c r="AG14" s="27">
        <f>IF(B14="","",IF(AC14=0,"",AB14/AC14))</f>
        <v>0</v>
      </c>
      <c r="AH14" s="26">
        <f>IF(B14="","",IF(X14=0,"",ROUND(SUMIFS(Sales!$Y$5:$Y$1204,Sales!$F$5:$F$1204,A14,Sales!$B$5:$B$1204,"&gt;="&amp;TodayDate-28)/X14,2)))</f>
        <v>0</v>
      </c>
      <c r="AI14" s="27">
        <f>IF(B14="","",IF(COUNTIFS(Appointments!$I$5:$I$1204,A14,Appointments!$M$5:$M$1204,"Completed")=0,"",COUNTIFS(Appointments!$I$5:$I$1204,A14,Appointments!$AF$5:$AF$1204,"Yes")/COUNTIFS(Appointments!$I$5:$I$1204,A14,Appointments!$M$5:$M$1204,"Completed")))</f>
        <v>0</v>
      </c>
      <c r="AJ14" s="26">
        <f>IF(B14="","",ROUND(SUMIFS(Payments!$G$5:$G$1204,Payments!$J$5:$J$1204,A14,Payments!$E$5:$E$1204,"Tip"),2))</f>
        <v>0</v>
      </c>
      <c r="AK14" s="26">
        <f>IF(B14="","",ROUND(SUMIFS(Commissions!$V$5:$V$244,Commissions!$C$5:$C$244,A14),2))</f>
        <v>0</v>
      </c>
      <c r="AL14" s="26">
        <f>IF(B14="","",ROUND(SUMIFS(Payroll!$Y$5:$Y$364,Payroll!$D$5:$D$364,A14,Payroll!$Q$5:$Q$364,ThisMonthKey),2))</f>
        <v>0</v>
      </c>
      <c r="AM14" s="26">
        <f>IF(B14="","",ROUND(AD14-AL14,2))</f>
        <v>0</v>
      </c>
      <c r="AN14" s="25">
        <f>IF(B14="","",COUNTIFS($AC$5:$AC$44,"&gt;"&amp;AC14)+COUNTIFS($AC$5:AC14,AC14))</f>
        <v>0</v>
      </c>
      <c r="AO14" s="39">
        <f>IF(B14="","",IF(G14&lt;&gt;"Active","",IF(L14="","Add - pick a commission method",IF(IF(J14="",TRUE,J14=0),"Add - no hours, no utilisation",IF(Z14&lt;0.5,"Check - chair is half empty",IF(AM14&lt;0,"Loss - pay is ahead of sales",IF(IF(R14="",FALSE,AD14&lt;R14*0.8),"Below - behind the monthly target",IF(AG14&lt;TargetRetailShare,"Action - barely selling any product","OK"))))))))</f>
        <v>0</v>
      </c>
    </row>
    <row r="15" spans="1:41">
      <c r="A15" s="28">
        <f>IF(B15="","",StaffPrefix&amp;TEXT(ROW()-4,"000"))</f>
        <v>0</v>
      </c>
      <c r="T15" s="25">
        <f>IF(B15="","",COUNTIFS(Appointments!$I$5:$I$1204,A15))</f>
        <v>0</v>
      </c>
      <c r="U15" s="25">
        <f>IF(B15="","",COUNTIFS(Appointments!$I$5:$I$1204,A15,Appointments!$M$5:$M$1204,"Completed"))</f>
        <v>0</v>
      </c>
      <c r="V15" s="25">
        <f>IF(B15="","",COUNTIFS(Appointments!$I$5:$I$1204,A15,Appointments!$M$5:$M$1204,"No show"))</f>
        <v>0</v>
      </c>
      <c r="W15" s="25">
        <f>IF(B15="","",COUNTIFS(Clients!$I$5:$I$504,A15))</f>
        <v>0</v>
      </c>
      <c r="X15" s="37">
        <f>IF(B15="","",ROUND(SUMIFS(Appointments!$X$5:$X$1204,Appointments!$I$5:$I$1204,A15,Appointments!$M$5:$M$1204,"Completed",Appointments!$B$5:$B$1204,"&gt;="&amp;TodayDate-28),1))</f>
        <v>0</v>
      </c>
      <c r="Y15" s="37">
        <f>IF(B15="","",IF(J15="",0,ROUND(J15*4,1)))</f>
        <v>0</v>
      </c>
      <c r="Z15" s="27">
        <f>IF(B15="","",IF(Y15=0,"",X15/Y15))</f>
        <v>0</v>
      </c>
      <c r="AA15" s="26">
        <f>IF(B15="","",ROUND(SUMIFS(Sales!$Y$5:$Y$1204,Sales!$F$5:$F$1204,A15,Sales!$H$5:$H$1204,"Service"),2))</f>
        <v>0</v>
      </c>
      <c r="AB15" s="26">
        <f>IF(B15="","",ROUND(SUMIFS(Sales!$Y$5:$Y$1204,Sales!$F$5:$F$1204,A15,Sales!$H$5:$H$1204,"Retail"),2))</f>
        <v>0</v>
      </c>
      <c r="AC15" s="26">
        <f>IF(B15="","",ROUND(SUMIFS(Sales!$Y$5:$Y$1204,Sales!$F$5:$F$1204,A15),2))</f>
        <v>0</v>
      </c>
      <c r="AD15" s="26">
        <f>IF(B15="","",ROUND(SUMIFS(Sales!$Y$5:$Y$1204,Sales!$F$5:$F$1204,A15,Sales!$R$5:$R$1204,ThisMonthKey),2))</f>
        <v>0</v>
      </c>
      <c r="AE15" s="26">
        <f>IF(B15="","",IF(R15="","",ROUND(AD15-R15,2)))</f>
        <v>0</v>
      </c>
      <c r="AF15" s="26">
        <f>IF(B15="","",IF(U15=0,"",ROUND(AC15/U15,2)))</f>
        <v>0</v>
      </c>
      <c r="AG15" s="27">
        <f>IF(B15="","",IF(AC15=0,"",AB15/AC15))</f>
        <v>0</v>
      </c>
      <c r="AH15" s="26">
        <f>IF(B15="","",IF(X15=0,"",ROUND(SUMIFS(Sales!$Y$5:$Y$1204,Sales!$F$5:$F$1204,A15,Sales!$B$5:$B$1204,"&gt;="&amp;TodayDate-28)/X15,2)))</f>
        <v>0</v>
      </c>
      <c r="AI15" s="27">
        <f>IF(B15="","",IF(COUNTIFS(Appointments!$I$5:$I$1204,A15,Appointments!$M$5:$M$1204,"Completed")=0,"",COUNTIFS(Appointments!$I$5:$I$1204,A15,Appointments!$AF$5:$AF$1204,"Yes")/COUNTIFS(Appointments!$I$5:$I$1204,A15,Appointments!$M$5:$M$1204,"Completed")))</f>
        <v>0</v>
      </c>
      <c r="AJ15" s="26">
        <f>IF(B15="","",ROUND(SUMIFS(Payments!$G$5:$G$1204,Payments!$J$5:$J$1204,A15,Payments!$E$5:$E$1204,"Tip"),2))</f>
        <v>0</v>
      </c>
      <c r="AK15" s="26">
        <f>IF(B15="","",ROUND(SUMIFS(Commissions!$V$5:$V$244,Commissions!$C$5:$C$244,A15),2))</f>
        <v>0</v>
      </c>
      <c r="AL15" s="26">
        <f>IF(B15="","",ROUND(SUMIFS(Payroll!$Y$5:$Y$364,Payroll!$D$5:$D$364,A15,Payroll!$Q$5:$Q$364,ThisMonthKey),2))</f>
        <v>0</v>
      </c>
      <c r="AM15" s="26">
        <f>IF(B15="","",ROUND(AD15-AL15,2))</f>
        <v>0</v>
      </c>
      <c r="AN15" s="25">
        <f>IF(B15="","",COUNTIFS($AC$5:$AC$44,"&gt;"&amp;AC15)+COUNTIFS($AC$5:AC15,AC15))</f>
        <v>0</v>
      </c>
      <c r="AO15" s="39">
        <f>IF(B15="","",IF(G15&lt;&gt;"Active","",IF(L15="","Add - pick a commission method",IF(IF(J15="",TRUE,J15=0),"Add - no hours, no utilisation",IF(Z15&lt;0.5,"Check - chair is half empty",IF(AM15&lt;0,"Loss - pay is ahead of sales",IF(IF(R15="",FALSE,AD15&lt;R15*0.8),"Below - behind the monthly target",IF(AG15&lt;TargetRetailShare,"Action - barely selling any product","OK"))))))))</f>
        <v>0</v>
      </c>
    </row>
    <row r="16" spans="1:41">
      <c r="A16" s="28">
        <f>IF(B16="","",StaffPrefix&amp;TEXT(ROW()-4,"000"))</f>
        <v>0</v>
      </c>
      <c r="T16" s="25">
        <f>IF(B16="","",COUNTIFS(Appointments!$I$5:$I$1204,A16))</f>
        <v>0</v>
      </c>
      <c r="U16" s="25">
        <f>IF(B16="","",COUNTIFS(Appointments!$I$5:$I$1204,A16,Appointments!$M$5:$M$1204,"Completed"))</f>
        <v>0</v>
      </c>
      <c r="V16" s="25">
        <f>IF(B16="","",COUNTIFS(Appointments!$I$5:$I$1204,A16,Appointments!$M$5:$M$1204,"No show"))</f>
        <v>0</v>
      </c>
      <c r="W16" s="25">
        <f>IF(B16="","",COUNTIFS(Clients!$I$5:$I$504,A16))</f>
        <v>0</v>
      </c>
      <c r="X16" s="37">
        <f>IF(B16="","",ROUND(SUMIFS(Appointments!$X$5:$X$1204,Appointments!$I$5:$I$1204,A16,Appointments!$M$5:$M$1204,"Completed",Appointments!$B$5:$B$1204,"&gt;="&amp;TodayDate-28),1))</f>
        <v>0</v>
      </c>
      <c r="Y16" s="37">
        <f>IF(B16="","",IF(J16="",0,ROUND(J16*4,1)))</f>
        <v>0</v>
      </c>
      <c r="Z16" s="27">
        <f>IF(B16="","",IF(Y16=0,"",X16/Y16))</f>
        <v>0</v>
      </c>
      <c r="AA16" s="26">
        <f>IF(B16="","",ROUND(SUMIFS(Sales!$Y$5:$Y$1204,Sales!$F$5:$F$1204,A16,Sales!$H$5:$H$1204,"Service"),2))</f>
        <v>0</v>
      </c>
      <c r="AB16" s="26">
        <f>IF(B16="","",ROUND(SUMIFS(Sales!$Y$5:$Y$1204,Sales!$F$5:$F$1204,A16,Sales!$H$5:$H$1204,"Retail"),2))</f>
        <v>0</v>
      </c>
      <c r="AC16" s="26">
        <f>IF(B16="","",ROUND(SUMIFS(Sales!$Y$5:$Y$1204,Sales!$F$5:$F$1204,A16),2))</f>
        <v>0</v>
      </c>
      <c r="AD16" s="26">
        <f>IF(B16="","",ROUND(SUMIFS(Sales!$Y$5:$Y$1204,Sales!$F$5:$F$1204,A16,Sales!$R$5:$R$1204,ThisMonthKey),2))</f>
        <v>0</v>
      </c>
      <c r="AE16" s="26">
        <f>IF(B16="","",IF(R16="","",ROUND(AD16-R16,2)))</f>
        <v>0</v>
      </c>
      <c r="AF16" s="26">
        <f>IF(B16="","",IF(U16=0,"",ROUND(AC16/U16,2)))</f>
        <v>0</v>
      </c>
      <c r="AG16" s="27">
        <f>IF(B16="","",IF(AC16=0,"",AB16/AC16))</f>
        <v>0</v>
      </c>
      <c r="AH16" s="26">
        <f>IF(B16="","",IF(X16=0,"",ROUND(SUMIFS(Sales!$Y$5:$Y$1204,Sales!$F$5:$F$1204,A16,Sales!$B$5:$B$1204,"&gt;="&amp;TodayDate-28)/X16,2)))</f>
        <v>0</v>
      </c>
      <c r="AI16" s="27">
        <f>IF(B16="","",IF(COUNTIFS(Appointments!$I$5:$I$1204,A16,Appointments!$M$5:$M$1204,"Completed")=0,"",COUNTIFS(Appointments!$I$5:$I$1204,A16,Appointments!$AF$5:$AF$1204,"Yes")/COUNTIFS(Appointments!$I$5:$I$1204,A16,Appointments!$M$5:$M$1204,"Completed")))</f>
        <v>0</v>
      </c>
      <c r="AJ16" s="26">
        <f>IF(B16="","",ROUND(SUMIFS(Payments!$G$5:$G$1204,Payments!$J$5:$J$1204,A16,Payments!$E$5:$E$1204,"Tip"),2))</f>
        <v>0</v>
      </c>
      <c r="AK16" s="26">
        <f>IF(B16="","",ROUND(SUMIFS(Commissions!$V$5:$V$244,Commissions!$C$5:$C$244,A16),2))</f>
        <v>0</v>
      </c>
      <c r="AL16" s="26">
        <f>IF(B16="","",ROUND(SUMIFS(Payroll!$Y$5:$Y$364,Payroll!$D$5:$D$364,A16,Payroll!$Q$5:$Q$364,ThisMonthKey),2))</f>
        <v>0</v>
      </c>
      <c r="AM16" s="26">
        <f>IF(B16="","",ROUND(AD16-AL16,2))</f>
        <v>0</v>
      </c>
      <c r="AN16" s="25">
        <f>IF(B16="","",COUNTIFS($AC$5:$AC$44,"&gt;"&amp;AC16)+COUNTIFS($AC$5:AC16,AC16))</f>
        <v>0</v>
      </c>
      <c r="AO16" s="39">
        <f>IF(B16="","",IF(G16&lt;&gt;"Active","",IF(L16="","Add - pick a commission method",IF(IF(J16="",TRUE,J16=0),"Add - no hours, no utilisation",IF(Z16&lt;0.5,"Check - chair is half empty",IF(AM16&lt;0,"Loss - pay is ahead of sales",IF(IF(R16="",FALSE,AD16&lt;R16*0.8),"Below - behind the monthly target",IF(AG16&lt;TargetRetailShare,"Action - barely selling any product","OK"))))))))</f>
        <v>0</v>
      </c>
    </row>
    <row r="17" spans="1:41">
      <c r="A17" s="28">
        <f>IF(B17="","",StaffPrefix&amp;TEXT(ROW()-4,"000"))</f>
        <v>0</v>
      </c>
      <c r="T17" s="25">
        <f>IF(B17="","",COUNTIFS(Appointments!$I$5:$I$1204,A17))</f>
        <v>0</v>
      </c>
      <c r="U17" s="25">
        <f>IF(B17="","",COUNTIFS(Appointments!$I$5:$I$1204,A17,Appointments!$M$5:$M$1204,"Completed"))</f>
        <v>0</v>
      </c>
      <c r="V17" s="25">
        <f>IF(B17="","",COUNTIFS(Appointments!$I$5:$I$1204,A17,Appointments!$M$5:$M$1204,"No show"))</f>
        <v>0</v>
      </c>
      <c r="W17" s="25">
        <f>IF(B17="","",COUNTIFS(Clients!$I$5:$I$504,A17))</f>
        <v>0</v>
      </c>
      <c r="X17" s="37">
        <f>IF(B17="","",ROUND(SUMIFS(Appointments!$X$5:$X$1204,Appointments!$I$5:$I$1204,A17,Appointments!$M$5:$M$1204,"Completed",Appointments!$B$5:$B$1204,"&gt;="&amp;TodayDate-28),1))</f>
        <v>0</v>
      </c>
      <c r="Y17" s="37">
        <f>IF(B17="","",IF(J17="",0,ROUND(J17*4,1)))</f>
        <v>0</v>
      </c>
      <c r="Z17" s="27">
        <f>IF(B17="","",IF(Y17=0,"",X17/Y17))</f>
        <v>0</v>
      </c>
      <c r="AA17" s="26">
        <f>IF(B17="","",ROUND(SUMIFS(Sales!$Y$5:$Y$1204,Sales!$F$5:$F$1204,A17,Sales!$H$5:$H$1204,"Service"),2))</f>
        <v>0</v>
      </c>
      <c r="AB17" s="26">
        <f>IF(B17="","",ROUND(SUMIFS(Sales!$Y$5:$Y$1204,Sales!$F$5:$F$1204,A17,Sales!$H$5:$H$1204,"Retail"),2))</f>
        <v>0</v>
      </c>
      <c r="AC17" s="26">
        <f>IF(B17="","",ROUND(SUMIFS(Sales!$Y$5:$Y$1204,Sales!$F$5:$F$1204,A17),2))</f>
        <v>0</v>
      </c>
      <c r="AD17" s="26">
        <f>IF(B17="","",ROUND(SUMIFS(Sales!$Y$5:$Y$1204,Sales!$F$5:$F$1204,A17,Sales!$R$5:$R$1204,ThisMonthKey),2))</f>
        <v>0</v>
      </c>
      <c r="AE17" s="26">
        <f>IF(B17="","",IF(R17="","",ROUND(AD17-R17,2)))</f>
        <v>0</v>
      </c>
      <c r="AF17" s="26">
        <f>IF(B17="","",IF(U17=0,"",ROUND(AC17/U17,2)))</f>
        <v>0</v>
      </c>
      <c r="AG17" s="27">
        <f>IF(B17="","",IF(AC17=0,"",AB17/AC17))</f>
        <v>0</v>
      </c>
      <c r="AH17" s="26">
        <f>IF(B17="","",IF(X17=0,"",ROUND(SUMIFS(Sales!$Y$5:$Y$1204,Sales!$F$5:$F$1204,A17,Sales!$B$5:$B$1204,"&gt;="&amp;TodayDate-28)/X17,2)))</f>
        <v>0</v>
      </c>
      <c r="AI17" s="27">
        <f>IF(B17="","",IF(COUNTIFS(Appointments!$I$5:$I$1204,A17,Appointments!$M$5:$M$1204,"Completed")=0,"",COUNTIFS(Appointments!$I$5:$I$1204,A17,Appointments!$AF$5:$AF$1204,"Yes")/COUNTIFS(Appointments!$I$5:$I$1204,A17,Appointments!$M$5:$M$1204,"Completed")))</f>
        <v>0</v>
      </c>
      <c r="AJ17" s="26">
        <f>IF(B17="","",ROUND(SUMIFS(Payments!$G$5:$G$1204,Payments!$J$5:$J$1204,A17,Payments!$E$5:$E$1204,"Tip"),2))</f>
        <v>0</v>
      </c>
      <c r="AK17" s="26">
        <f>IF(B17="","",ROUND(SUMIFS(Commissions!$V$5:$V$244,Commissions!$C$5:$C$244,A17),2))</f>
        <v>0</v>
      </c>
      <c r="AL17" s="26">
        <f>IF(B17="","",ROUND(SUMIFS(Payroll!$Y$5:$Y$364,Payroll!$D$5:$D$364,A17,Payroll!$Q$5:$Q$364,ThisMonthKey),2))</f>
        <v>0</v>
      </c>
      <c r="AM17" s="26">
        <f>IF(B17="","",ROUND(AD17-AL17,2))</f>
        <v>0</v>
      </c>
      <c r="AN17" s="25">
        <f>IF(B17="","",COUNTIFS($AC$5:$AC$44,"&gt;"&amp;AC17)+COUNTIFS($AC$5:AC17,AC17))</f>
        <v>0</v>
      </c>
      <c r="AO17" s="39">
        <f>IF(B17="","",IF(G17&lt;&gt;"Active","",IF(L17="","Add - pick a commission method",IF(IF(J17="",TRUE,J17=0),"Add - no hours, no utilisation",IF(Z17&lt;0.5,"Check - chair is half empty",IF(AM17&lt;0,"Loss - pay is ahead of sales",IF(IF(R17="",FALSE,AD17&lt;R17*0.8),"Below - behind the monthly target",IF(AG17&lt;TargetRetailShare,"Action - barely selling any product","OK"))))))))</f>
        <v>0</v>
      </c>
    </row>
    <row r="18" spans="1:41">
      <c r="A18" s="28">
        <f>IF(B18="","",StaffPrefix&amp;TEXT(ROW()-4,"000"))</f>
        <v>0</v>
      </c>
      <c r="T18" s="25">
        <f>IF(B18="","",COUNTIFS(Appointments!$I$5:$I$1204,A18))</f>
        <v>0</v>
      </c>
      <c r="U18" s="25">
        <f>IF(B18="","",COUNTIFS(Appointments!$I$5:$I$1204,A18,Appointments!$M$5:$M$1204,"Completed"))</f>
        <v>0</v>
      </c>
      <c r="V18" s="25">
        <f>IF(B18="","",COUNTIFS(Appointments!$I$5:$I$1204,A18,Appointments!$M$5:$M$1204,"No show"))</f>
        <v>0</v>
      </c>
      <c r="W18" s="25">
        <f>IF(B18="","",COUNTIFS(Clients!$I$5:$I$504,A18))</f>
        <v>0</v>
      </c>
      <c r="X18" s="37">
        <f>IF(B18="","",ROUND(SUMIFS(Appointments!$X$5:$X$1204,Appointments!$I$5:$I$1204,A18,Appointments!$M$5:$M$1204,"Completed",Appointments!$B$5:$B$1204,"&gt;="&amp;TodayDate-28),1))</f>
        <v>0</v>
      </c>
      <c r="Y18" s="37">
        <f>IF(B18="","",IF(J18="",0,ROUND(J18*4,1)))</f>
        <v>0</v>
      </c>
      <c r="Z18" s="27">
        <f>IF(B18="","",IF(Y18=0,"",X18/Y18))</f>
        <v>0</v>
      </c>
      <c r="AA18" s="26">
        <f>IF(B18="","",ROUND(SUMIFS(Sales!$Y$5:$Y$1204,Sales!$F$5:$F$1204,A18,Sales!$H$5:$H$1204,"Service"),2))</f>
        <v>0</v>
      </c>
      <c r="AB18" s="26">
        <f>IF(B18="","",ROUND(SUMIFS(Sales!$Y$5:$Y$1204,Sales!$F$5:$F$1204,A18,Sales!$H$5:$H$1204,"Retail"),2))</f>
        <v>0</v>
      </c>
      <c r="AC18" s="26">
        <f>IF(B18="","",ROUND(SUMIFS(Sales!$Y$5:$Y$1204,Sales!$F$5:$F$1204,A18),2))</f>
        <v>0</v>
      </c>
      <c r="AD18" s="26">
        <f>IF(B18="","",ROUND(SUMIFS(Sales!$Y$5:$Y$1204,Sales!$F$5:$F$1204,A18,Sales!$R$5:$R$1204,ThisMonthKey),2))</f>
        <v>0</v>
      </c>
      <c r="AE18" s="26">
        <f>IF(B18="","",IF(R18="","",ROUND(AD18-R18,2)))</f>
        <v>0</v>
      </c>
      <c r="AF18" s="26">
        <f>IF(B18="","",IF(U18=0,"",ROUND(AC18/U18,2)))</f>
        <v>0</v>
      </c>
      <c r="AG18" s="27">
        <f>IF(B18="","",IF(AC18=0,"",AB18/AC18))</f>
        <v>0</v>
      </c>
      <c r="AH18" s="26">
        <f>IF(B18="","",IF(X18=0,"",ROUND(SUMIFS(Sales!$Y$5:$Y$1204,Sales!$F$5:$F$1204,A18,Sales!$B$5:$B$1204,"&gt;="&amp;TodayDate-28)/X18,2)))</f>
        <v>0</v>
      </c>
      <c r="AI18" s="27">
        <f>IF(B18="","",IF(COUNTIFS(Appointments!$I$5:$I$1204,A18,Appointments!$M$5:$M$1204,"Completed")=0,"",COUNTIFS(Appointments!$I$5:$I$1204,A18,Appointments!$AF$5:$AF$1204,"Yes")/COUNTIFS(Appointments!$I$5:$I$1204,A18,Appointments!$M$5:$M$1204,"Completed")))</f>
        <v>0</v>
      </c>
      <c r="AJ18" s="26">
        <f>IF(B18="","",ROUND(SUMIFS(Payments!$G$5:$G$1204,Payments!$J$5:$J$1204,A18,Payments!$E$5:$E$1204,"Tip"),2))</f>
        <v>0</v>
      </c>
      <c r="AK18" s="26">
        <f>IF(B18="","",ROUND(SUMIFS(Commissions!$V$5:$V$244,Commissions!$C$5:$C$244,A18),2))</f>
        <v>0</v>
      </c>
      <c r="AL18" s="26">
        <f>IF(B18="","",ROUND(SUMIFS(Payroll!$Y$5:$Y$364,Payroll!$D$5:$D$364,A18,Payroll!$Q$5:$Q$364,ThisMonthKey),2))</f>
        <v>0</v>
      </c>
      <c r="AM18" s="26">
        <f>IF(B18="","",ROUND(AD18-AL18,2))</f>
        <v>0</v>
      </c>
      <c r="AN18" s="25">
        <f>IF(B18="","",COUNTIFS($AC$5:$AC$44,"&gt;"&amp;AC18)+COUNTIFS($AC$5:AC18,AC18))</f>
        <v>0</v>
      </c>
      <c r="AO18" s="39">
        <f>IF(B18="","",IF(G18&lt;&gt;"Active","",IF(L18="","Add - pick a commission method",IF(IF(J18="",TRUE,J18=0),"Add - no hours, no utilisation",IF(Z18&lt;0.5,"Check - chair is half empty",IF(AM18&lt;0,"Loss - pay is ahead of sales",IF(IF(R18="",FALSE,AD18&lt;R18*0.8),"Below - behind the monthly target",IF(AG18&lt;TargetRetailShare,"Action - barely selling any product","OK"))))))))</f>
        <v>0</v>
      </c>
    </row>
    <row r="19" spans="1:41">
      <c r="A19" s="28">
        <f>IF(B19="","",StaffPrefix&amp;TEXT(ROW()-4,"000"))</f>
        <v>0</v>
      </c>
      <c r="T19" s="25">
        <f>IF(B19="","",COUNTIFS(Appointments!$I$5:$I$1204,A19))</f>
        <v>0</v>
      </c>
      <c r="U19" s="25">
        <f>IF(B19="","",COUNTIFS(Appointments!$I$5:$I$1204,A19,Appointments!$M$5:$M$1204,"Completed"))</f>
        <v>0</v>
      </c>
      <c r="V19" s="25">
        <f>IF(B19="","",COUNTIFS(Appointments!$I$5:$I$1204,A19,Appointments!$M$5:$M$1204,"No show"))</f>
        <v>0</v>
      </c>
      <c r="W19" s="25">
        <f>IF(B19="","",COUNTIFS(Clients!$I$5:$I$504,A19))</f>
        <v>0</v>
      </c>
      <c r="X19" s="37">
        <f>IF(B19="","",ROUND(SUMIFS(Appointments!$X$5:$X$1204,Appointments!$I$5:$I$1204,A19,Appointments!$M$5:$M$1204,"Completed",Appointments!$B$5:$B$1204,"&gt;="&amp;TodayDate-28),1))</f>
        <v>0</v>
      </c>
      <c r="Y19" s="37">
        <f>IF(B19="","",IF(J19="",0,ROUND(J19*4,1)))</f>
        <v>0</v>
      </c>
      <c r="Z19" s="27">
        <f>IF(B19="","",IF(Y19=0,"",X19/Y19))</f>
        <v>0</v>
      </c>
      <c r="AA19" s="26">
        <f>IF(B19="","",ROUND(SUMIFS(Sales!$Y$5:$Y$1204,Sales!$F$5:$F$1204,A19,Sales!$H$5:$H$1204,"Service"),2))</f>
        <v>0</v>
      </c>
      <c r="AB19" s="26">
        <f>IF(B19="","",ROUND(SUMIFS(Sales!$Y$5:$Y$1204,Sales!$F$5:$F$1204,A19,Sales!$H$5:$H$1204,"Retail"),2))</f>
        <v>0</v>
      </c>
      <c r="AC19" s="26">
        <f>IF(B19="","",ROUND(SUMIFS(Sales!$Y$5:$Y$1204,Sales!$F$5:$F$1204,A19),2))</f>
        <v>0</v>
      </c>
      <c r="AD19" s="26">
        <f>IF(B19="","",ROUND(SUMIFS(Sales!$Y$5:$Y$1204,Sales!$F$5:$F$1204,A19,Sales!$R$5:$R$1204,ThisMonthKey),2))</f>
        <v>0</v>
      </c>
      <c r="AE19" s="26">
        <f>IF(B19="","",IF(R19="","",ROUND(AD19-R19,2)))</f>
        <v>0</v>
      </c>
      <c r="AF19" s="26">
        <f>IF(B19="","",IF(U19=0,"",ROUND(AC19/U19,2)))</f>
        <v>0</v>
      </c>
      <c r="AG19" s="27">
        <f>IF(B19="","",IF(AC19=0,"",AB19/AC19))</f>
        <v>0</v>
      </c>
      <c r="AH19" s="26">
        <f>IF(B19="","",IF(X19=0,"",ROUND(SUMIFS(Sales!$Y$5:$Y$1204,Sales!$F$5:$F$1204,A19,Sales!$B$5:$B$1204,"&gt;="&amp;TodayDate-28)/X19,2)))</f>
        <v>0</v>
      </c>
      <c r="AI19" s="27">
        <f>IF(B19="","",IF(COUNTIFS(Appointments!$I$5:$I$1204,A19,Appointments!$M$5:$M$1204,"Completed")=0,"",COUNTIFS(Appointments!$I$5:$I$1204,A19,Appointments!$AF$5:$AF$1204,"Yes")/COUNTIFS(Appointments!$I$5:$I$1204,A19,Appointments!$M$5:$M$1204,"Completed")))</f>
        <v>0</v>
      </c>
      <c r="AJ19" s="26">
        <f>IF(B19="","",ROUND(SUMIFS(Payments!$G$5:$G$1204,Payments!$J$5:$J$1204,A19,Payments!$E$5:$E$1204,"Tip"),2))</f>
        <v>0</v>
      </c>
      <c r="AK19" s="26">
        <f>IF(B19="","",ROUND(SUMIFS(Commissions!$V$5:$V$244,Commissions!$C$5:$C$244,A19),2))</f>
        <v>0</v>
      </c>
      <c r="AL19" s="26">
        <f>IF(B19="","",ROUND(SUMIFS(Payroll!$Y$5:$Y$364,Payroll!$D$5:$D$364,A19,Payroll!$Q$5:$Q$364,ThisMonthKey),2))</f>
        <v>0</v>
      </c>
      <c r="AM19" s="26">
        <f>IF(B19="","",ROUND(AD19-AL19,2))</f>
        <v>0</v>
      </c>
      <c r="AN19" s="25">
        <f>IF(B19="","",COUNTIFS($AC$5:$AC$44,"&gt;"&amp;AC19)+COUNTIFS($AC$5:AC19,AC19))</f>
        <v>0</v>
      </c>
      <c r="AO19" s="39">
        <f>IF(B19="","",IF(G19&lt;&gt;"Active","",IF(L19="","Add - pick a commission method",IF(IF(J19="",TRUE,J19=0),"Add - no hours, no utilisation",IF(Z19&lt;0.5,"Check - chair is half empty",IF(AM19&lt;0,"Loss - pay is ahead of sales",IF(IF(R19="",FALSE,AD19&lt;R19*0.8),"Below - behind the monthly target",IF(AG19&lt;TargetRetailShare,"Action - barely selling any product","OK"))))))))</f>
        <v>0</v>
      </c>
    </row>
    <row r="20" spans="1:41">
      <c r="A20" s="28">
        <f>IF(B20="","",StaffPrefix&amp;TEXT(ROW()-4,"000"))</f>
        <v>0</v>
      </c>
      <c r="T20" s="25">
        <f>IF(B20="","",COUNTIFS(Appointments!$I$5:$I$1204,A20))</f>
        <v>0</v>
      </c>
      <c r="U20" s="25">
        <f>IF(B20="","",COUNTIFS(Appointments!$I$5:$I$1204,A20,Appointments!$M$5:$M$1204,"Completed"))</f>
        <v>0</v>
      </c>
      <c r="V20" s="25">
        <f>IF(B20="","",COUNTIFS(Appointments!$I$5:$I$1204,A20,Appointments!$M$5:$M$1204,"No show"))</f>
        <v>0</v>
      </c>
      <c r="W20" s="25">
        <f>IF(B20="","",COUNTIFS(Clients!$I$5:$I$504,A20))</f>
        <v>0</v>
      </c>
      <c r="X20" s="37">
        <f>IF(B20="","",ROUND(SUMIFS(Appointments!$X$5:$X$1204,Appointments!$I$5:$I$1204,A20,Appointments!$M$5:$M$1204,"Completed",Appointments!$B$5:$B$1204,"&gt;="&amp;TodayDate-28),1))</f>
        <v>0</v>
      </c>
      <c r="Y20" s="37">
        <f>IF(B20="","",IF(J20="",0,ROUND(J20*4,1)))</f>
        <v>0</v>
      </c>
      <c r="Z20" s="27">
        <f>IF(B20="","",IF(Y20=0,"",X20/Y20))</f>
        <v>0</v>
      </c>
      <c r="AA20" s="26">
        <f>IF(B20="","",ROUND(SUMIFS(Sales!$Y$5:$Y$1204,Sales!$F$5:$F$1204,A20,Sales!$H$5:$H$1204,"Service"),2))</f>
        <v>0</v>
      </c>
      <c r="AB20" s="26">
        <f>IF(B20="","",ROUND(SUMIFS(Sales!$Y$5:$Y$1204,Sales!$F$5:$F$1204,A20,Sales!$H$5:$H$1204,"Retail"),2))</f>
        <v>0</v>
      </c>
      <c r="AC20" s="26">
        <f>IF(B20="","",ROUND(SUMIFS(Sales!$Y$5:$Y$1204,Sales!$F$5:$F$1204,A20),2))</f>
        <v>0</v>
      </c>
      <c r="AD20" s="26">
        <f>IF(B20="","",ROUND(SUMIFS(Sales!$Y$5:$Y$1204,Sales!$F$5:$F$1204,A20,Sales!$R$5:$R$1204,ThisMonthKey),2))</f>
        <v>0</v>
      </c>
      <c r="AE20" s="26">
        <f>IF(B20="","",IF(R20="","",ROUND(AD20-R20,2)))</f>
        <v>0</v>
      </c>
      <c r="AF20" s="26">
        <f>IF(B20="","",IF(U20=0,"",ROUND(AC20/U20,2)))</f>
        <v>0</v>
      </c>
      <c r="AG20" s="27">
        <f>IF(B20="","",IF(AC20=0,"",AB20/AC20))</f>
        <v>0</v>
      </c>
      <c r="AH20" s="26">
        <f>IF(B20="","",IF(X20=0,"",ROUND(SUMIFS(Sales!$Y$5:$Y$1204,Sales!$F$5:$F$1204,A20,Sales!$B$5:$B$1204,"&gt;="&amp;TodayDate-28)/X20,2)))</f>
        <v>0</v>
      </c>
      <c r="AI20" s="27">
        <f>IF(B20="","",IF(COUNTIFS(Appointments!$I$5:$I$1204,A20,Appointments!$M$5:$M$1204,"Completed")=0,"",COUNTIFS(Appointments!$I$5:$I$1204,A20,Appointments!$AF$5:$AF$1204,"Yes")/COUNTIFS(Appointments!$I$5:$I$1204,A20,Appointments!$M$5:$M$1204,"Completed")))</f>
        <v>0</v>
      </c>
      <c r="AJ20" s="26">
        <f>IF(B20="","",ROUND(SUMIFS(Payments!$G$5:$G$1204,Payments!$J$5:$J$1204,A20,Payments!$E$5:$E$1204,"Tip"),2))</f>
        <v>0</v>
      </c>
      <c r="AK20" s="26">
        <f>IF(B20="","",ROUND(SUMIFS(Commissions!$V$5:$V$244,Commissions!$C$5:$C$244,A20),2))</f>
        <v>0</v>
      </c>
      <c r="AL20" s="26">
        <f>IF(B20="","",ROUND(SUMIFS(Payroll!$Y$5:$Y$364,Payroll!$D$5:$D$364,A20,Payroll!$Q$5:$Q$364,ThisMonthKey),2))</f>
        <v>0</v>
      </c>
      <c r="AM20" s="26">
        <f>IF(B20="","",ROUND(AD20-AL20,2))</f>
        <v>0</v>
      </c>
      <c r="AN20" s="25">
        <f>IF(B20="","",COUNTIFS($AC$5:$AC$44,"&gt;"&amp;AC20)+COUNTIFS($AC$5:AC20,AC20))</f>
        <v>0</v>
      </c>
      <c r="AO20" s="39">
        <f>IF(B20="","",IF(G20&lt;&gt;"Active","",IF(L20="","Add - pick a commission method",IF(IF(J20="",TRUE,J20=0),"Add - no hours, no utilisation",IF(Z20&lt;0.5,"Check - chair is half empty",IF(AM20&lt;0,"Loss - pay is ahead of sales",IF(IF(R20="",FALSE,AD20&lt;R20*0.8),"Below - behind the monthly target",IF(AG20&lt;TargetRetailShare,"Action - barely selling any product","OK"))))))))</f>
        <v>0</v>
      </c>
    </row>
    <row r="21" spans="1:41">
      <c r="A21" s="28">
        <f>IF(B21="","",StaffPrefix&amp;TEXT(ROW()-4,"000"))</f>
        <v>0</v>
      </c>
      <c r="T21" s="25">
        <f>IF(B21="","",COUNTIFS(Appointments!$I$5:$I$1204,A21))</f>
        <v>0</v>
      </c>
      <c r="U21" s="25">
        <f>IF(B21="","",COUNTIFS(Appointments!$I$5:$I$1204,A21,Appointments!$M$5:$M$1204,"Completed"))</f>
        <v>0</v>
      </c>
      <c r="V21" s="25">
        <f>IF(B21="","",COUNTIFS(Appointments!$I$5:$I$1204,A21,Appointments!$M$5:$M$1204,"No show"))</f>
        <v>0</v>
      </c>
      <c r="W21" s="25">
        <f>IF(B21="","",COUNTIFS(Clients!$I$5:$I$504,A21))</f>
        <v>0</v>
      </c>
      <c r="X21" s="37">
        <f>IF(B21="","",ROUND(SUMIFS(Appointments!$X$5:$X$1204,Appointments!$I$5:$I$1204,A21,Appointments!$M$5:$M$1204,"Completed",Appointments!$B$5:$B$1204,"&gt;="&amp;TodayDate-28),1))</f>
        <v>0</v>
      </c>
      <c r="Y21" s="37">
        <f>IF(B21="","",IF(J21="",0,ROUND(J21*4,1)))</f>
        <v>0</v>
      </c>
      <c r="Z21" s="27">
        <f>IF(B21="","",IF(Y21=0,"",X21/Y21))</f>
        <v>0</v>
      </c>
      <c r="AA21" s="26">
        <f>IF(B21="","",ROUND(SUMIFS(Sales!$Y$5:$Y$1204,Sales!$F$5:$F$1204,A21,Sales!$H$5:$H$1204,"Service"),2))</f>
        <v>0</v>
      </c>
      <c r="AB21" s="26">
        <f>IF(B21="","",ROUND(SUMIFS(Sales!$Y$5:$Y$1204,Sales!$F$5:$F$1204,A21,Sales!$H$5:$H$1204,"Retail"),2))</f>
        <v>0</v>
      </c>
      <c r="AC21" s="26">
        <f>IF(B21="","",ROUND(SUMIFS(Sales!$Y$5:$Y$1204,Sales!$F$5:$F$1204,A21),2))</f>
        <v>0</v>
      </c>
      <c r="AD21" s="26">
        <f>IF(B21="","",ROUND(SUMIFS(Sales!$Y$5:$Y$1204,Sales!$F$5:$F$1204,A21,Sales!$R$5:$R$1204,ThisMonthKey),2))</f>
        <v>0</v>
      </c>
      <c r="AE21" s="26">
        <f>IF(B21="","",IF(R21="","",ROUND(AD21-R21,2)))</f>
        <v>0</v>
      </c>
      <c r="AF21" s="26">
        <f>IF(B21="","",IF(U21=0,"",ROUND(AC21/U21,2)))</f>
        <v>0</v>
      </c>
      <c r="AG21" s="27">
        <f>IF(B21="","",IF(AC21=0,"",AB21/AC21))</f>
        <v>0</v>
      </c>
      <c r="AH21" s="26">
        <f>IF(B21="","",IF(X21=0,"",ROUND(SUMIFS(Sales!$Y$5:$Y$1204,Sales!$F$5:$F$1204,A21,Sales!$B$5:$B$1204,"&gt;="&amp;TodayDate-28)/X21,2)))</f>
        <v>0</v>
      </c>
      <c r="AI21" s="27">
        <f>IF(B21="","",IF(COUNTIFS(Appointments!$I$5:$I$1204,A21,Appointments!$M$5:$M$1204,"Completed")=0,"",COUNTIFS(Appointments!$I$5:$I$1204,A21,Appointments!$AF$5:$AF$1204,"Yes")/COUNTIFS(Appointments!$I$5:$I$1204,A21,Appointments!$M$5:$M$1204,"Completed")))</f>
        <v>0</v>
      </c>
      <c r="AJ21" s="26">
        <f>IF(B21="","",ROUND(SUMIFS(Payments!$G$5:$G$1204,Payments!$J$5:$J$1204,A21,Payments!$E$5:$E$1204,"Tip"),2))</f>
        <v>0</v>
      </c>
      <c r="AK21" s="26">
        <f>IF(B21="","",ROUND(SUMIFS(Commissions!$V$5:$V$244,Commissions!$C$5:$C$244,A21),2))</f>
        <v>0</v>
      </c>
      <c r="AL21" s="26">
        <f>IF(B21="","",ROUND(SUMIFS(Payroll!$Y$5:$Y$364,Payroll!$D$5:$D$364,A21,Payroll!$Q$5:$Q$364,ThisMonthKey),2))</f>
        <v>0</v>
      </c>
      <c r="AM21" s="26">
        <f>IF(B21="","",ROUND(AD21-AL21,2))</f>
        <v>0</v>
      </c>
      <c r="AN21" s="25">
        <f>IF(B21="","",COUNTIFS($AC$5:$AC$44,"&gt;"&amp;AC21)+COUNTIFS($AC$5:AC21,AC21))</f>
        <v>0</v>
      </c>
      <c r="AO21" s="39">
        <f>IF(B21="","",IF(G21&lt;&gt;"Active","",IF(L21="","Add - pick a commission method",IF(IF(J21="",TRUE,J21=0),"Add - no hours, no utilisation",IF(Z21&lt;0.5,"Check - chair is half empty",IF(AM21&lt;0,"Loss - pay is ahead of sales",IF(IF(R21="",FALSE,AD21&lt;R21*0.8),"Below - behind the monthly target",IF(AG21&lt;TargetRetailShare,"Action - barely selling any product","OK"))))))))</f>
        <v>0</v>
      </c>
    </row>
    <row r="22" spans="1:41">
      <c r="A22" s="28">
        <f>IF(B22="","",StaffPrefix&amp;TEXT(ROW()-4,"000"))</f>
        <v>0</v>
      </c>
      <c r="T22" s="25">
        <f>IF(B22="","",COUNTIFS(Appointments!$I$5:$I$1204,A22))</f>
        <v>0</v>
      </c>
      <c r="U22" s="25">
        <f>IF(B22="","",COUNTIFS(Appointments!$I$5:$I$1204,A22,Appointments!$M$5:$M$1204,"Completed"))</f>
        <v>0</v>
      </c>
      <c r="V22" s="25">
        <f>IF(B22="","",COUNTIFS(Appointments!$I$5:$I$1204,A22,Appointments!$M$5:$M$1204,"No show"))</f>
        <v>0</v>
      </c>
      <c r="W22" s="25">
        <f>IF(B22="","",COUNTIFS(Clients!$I$5:$I$504,A22))</f>
        <v>0</v>
      </c>
      <c r="X22" s="37">
        <f>IF(B22="","",ROUND(SUMIFS(Appointments!$X$5:$X$1204,Appointments!$I$5:$I$1204,A22,Appointments!$M$5:$M$1204,"Completed",Appointments!$B$5:$B$1204,"&gt;="&amp;TodayDate-28),1))</f>
        <v>0</v>
      </c>
      <c r="Y22" s="37">
        <f>IF(B22="","",IF(J22="",0,ROUND(J22*4,1)))</f>
        <v>0</v>
      </c>
      <c r="Z22" s="27">
        <f>IF(B22="","",IF(Y22=0,"",X22/Y22))</f>
        <v>0</v>
      </c>
      <c r="AA22" s="26">
        <f>IF(B22="","",ROUND(SUMIFS(Sales!$Y$5:$Y$1204,Sales!$F$5:$F$1204,A22,Sales!$H$5:$H$1204,"Service"),2))</f>
        <v>0</v>
      </c>
      <c r="AB22" s="26">
        <f>IF(B22="","",ROUND(SUMIFS(Sales!$Y$5:$Y$1204,Sales!$F$5:$F$1204,A22,Sales!$H$5:$H$1204,"Retail"),2))</f>
        <v>0</v>
      </c>
      <c r="AC22" s="26">
        <f>IF(B22="","",ROUND(SUMIFS(Sales!$Y$5:$Y$1204,Sales!$F$5:$F$1204,A22),2))</f>
        <v>0</v>
      </c>
      <c r="AD22" s="26">
        <f>IF(B22="","",ROUND(SUMIFS(Sales!$Y$5:$Y$1204,Sales!$F$5:$F$1204,A22,Sales!$R$5:$R$1204,ThisMonthKey),2))</f>
        <v>0</v>
      </c>
      <c r="AE22" s="26">
        <f>IF(B22="","",IF(R22="","",ROUND(AD22-R22,2)))</f>
        <v>0</v>
      </c>
      <c r="AF22" s="26">
        <f>IF(B22="","",IF(U22=0,"",ROUND(AC22/U22,2)))</f>
        <v>0</v>
      </c>
      <c r="AG22" s="27">
        <f>IF(B22="","",IF(AC22=0,"",AB22/AC22))</f>
        <v>0</v>
      </c>
      <c r="AH22" s="26">
        <f>IF(B22="","",IF(X22=0,"",ROUND(SUMIFS(Sales!$Y$5:$Y$1204,Sales!$F$5:$F$1204,A22,Sales!$B$5:$B$1204,"&gt;="&amp;TodayDate-28)/X22,2)))</f>
        <v>0</v>
      </c>
      <c r="AI22" s="27">
        <f>IF(B22="","",IF(COUNTIFS(Appointments!$I$5:$I$1204,A22,Appointments!$M$5:$M$1204,"Completed")=0,"",COUNTIFS(Appointments!$I$5:$I$1204,A22,Appointments!$AF$5:$AF$1204,"Yes")/COUNTIFS(Appointments!$I$5:$I$1204,A22,Appointments!$M$5:$M$1204,"Completed")))</f>
        <v>0</v>
      </c>
      <c r="AJ22" s="26">
        <f>IF(B22="","",ROUND(SUMIFS(Payments!$G$5:$G$1204,Payments!$J$5:$J$1204,A22,Payments!$E$5:$E$1204,"Tip"),2))</f>
        <v>0</v>
      </c>
      <c r="AK22" s="26">
        <f>IF(B22="","",ROUND(SUMIFS(Commissions!$V$5:$V$244,Commissions!$C$5:$C$244,A22),2))</f>
        <v>0</v>
      </c>
      <c r="AL22" s="26">
        <f>IF(B22="","",ROUND(SUMIFS(Payroll!$Y$5:$Y$364,Payroll!$D$5:$D$364,A22,Payroll!$Q$5:$Q$364,ThisMonthKey),2))</f>
        <v>0</v>
      </c>
      <c r="AM22" s="26">
        <f>IF(B22="","",ROUND(AD22-AL22,2))</f>
        <v>0</v>
      </c>
      <c r="AN22" s="25">
        <f>IF(B22="","",COUNTIFS($AC$5:$AC$44,"&gt;"&amp;AC22)+COUNTIFS($AC$5:AC22,AC22))</f>
        <v>0</v>
      </c>
      <c r="AO22" s="39">
        <f>IF(B22="","",IF(G22&lt;&gt;"Active","",IF(L22="","Add - pick a commission method",IF(IF(J22="",TRUE,J22=0),"Add - no hours, no utilisation",IF(Z22&lt;0.5,"Check - chair is half empty",IF(AM22&lt;0,"Loss - pay is ahead of sales",IF(IF(R22="",FALSE,AD22&lt;R22*0.8),"Below - behind the monthly target",IF(AG22&lt;TargetRetailShare,"Action - barely selling any product","OK"))))))))</f>
        <v>0</v>
      </c>
    </row>
    <row r="23" spans="1:41">
      <c r="A23" s="28">
        <f>IF(B23="","",StaffPrefix&amp;TEXT(ROW()-4,"000"))</f>
        <v>0</v>
      </c>
      <c r="T23" s="25">
        <f>IF(B23="","",COUNTIFS(Appointments!$I$5:$I$1204,A23))</f>
        <v>0</v>
      </c>
      <c r="U23" s="25">
        <f>IF(B23="","",COUNTIFS(Appointments!$I$5:$I$1204,A23,Appointments!$M$5:$M$1204,"Completed"))</f>
        <v>0</v>
      </c>
      <c r="V23" s="25">
        <f>IF(B23="","",COUNTIFS(Appointments!$I$5:$I$1204,A23,Appointments!$M$5:$M$1204,"No show"))</f>
        <v>0</v>
      </c>
      <c r="W23" s="25">
        <f>IF(B23="","",COUNTIFS(Clients!$I$5:$I$504,A23))</f>
        <v>0</v>
      </c>
      <c r="X23" s="37">
        <f>IF(B23="","",ROUND(SUMIFS(Appointments!$X$5:$X$1204,Appointments!$I$5:$I$1204,A23,Appointments!$M$5:$M$1204,"Completed",Appointments!$B$5:$B$1204,"&gt;="&amp;TodayDate-28),1))</f>
        <v>0</v>
      </c>
      <c r="Y23" s="37">
        <f>IF(B23="","",IF(J23="",0,ROUND(J23*4,1)))</f>
        <v>0</v>
      </c>
      <c r="Z23" s="27">
        <f>IF(B23="","",IF(Y23=0,"",X23/Y23))</f>
        <v>0</v>
      </c>
      <c r="AA23" s="26">
        <f>IF(B23="","",ROUND(SUMIFS(Sales!$Y$5:$Y$1204,Sales!$F$5:$F$1204,A23,Sales!$H$5:$H$1204,"Service"),2))</f>
        <v>0</v>
      </c>
      <c r="AB23" s="26">
        <f>IF(B23="","",ROUND(SUMIFS(Sales!$Y$5:$Y$1204,Sales!$F$5:$F$1204,A23,Sales!$H$5:$H$1204,"Retail"),2))</f>
        <v>0</v>
      </c>
      <c r="AC23" s="26">
        <f>IF(B23="","",ROUND(SUMIFS(Sales!$Y$5:$Y$1204,Sales!$F$5:$F$1204,A23),2))</f>
        <v>0</v>
      </c>
      <c r="AD23" s="26">
        <f>IF(B23="","",ROUND(SUMIFS(Sales!$Y$5:$Y$1204,Sales!$F$5:$F$1204,A23,Sales!$R$5:$R$1204,ThisMonthKey),2))</f>
        <v>0</v>
      </c>
      <c r="AE23" s="26">
        <f>IF(B23="","",IF(R23="","",ROUND(AD23-R23,2)))</f>
        <v>0</v>
      </c>
      <c r="AF23" s="26">
        <f>IF(B23="","",IF(U23=0,"",ROUND(AC23/U23,2)))</f>
        <v>0</v>
      </c>
      <c r="AG23" s="27">
        <f>IF(B23="","",IF(AC23=0,"",AB23/AC23))</f>
        <v>0</v>
      </c>
      <c r="AH23" s="26">
        <f>IF(B23="","",IF(X23=0,"",ROUND(SUMIFS(Sales!$Y$5:$Y$1204,Sales!$F$5:$F$1204,A23,Sales!$B$5:$B$1204,"&gt;="&amp;TodayDate-28)/X23,2)))</f>
        <v>0</v>
      </c>
      <c r="AI23" s="27">
        <f>IF(B23="","",IF(COUNTIFS(Appointments!$I$5:$I$1204,A23,Appointments!$M$5:$M$1204,"Completed")=0,"",COUNTIFS(Appointments!$I$5:$I$1204,A23,Appointments!$AF$5:$AF$1204,"Yes")/COUNTIFS(Appointments!$I$5:$I$1204,A23,Appointments!$M$5:$M$1204,"Completed")))</f>
        <v>0</v>
      </c>
      <c r="AJ23" s="26">
        <f>IF(B23="","",ROUND(SUMIFS(Payments!$G$5:$G$1204,Payments!$J$5:$J$1204,A23,Payments!$E$5:$E$1204,"Tip"),2))</f>
        <v>0</v>
      </c>
      <c r="AK23" s="26">
        <f>IF(B23="","",ROUND(SUMIFS(Commissions!$V$5:$V$244,Commissions!$C$5:$C$244,A23),2))</f>
        <v>0</v>
      </c>
      <c r="AL23" s="26">
        <f>IF(B23="","",ROUND(SUMIFS(Payroll!$Y$5:$Y$364,Payroll!$D$5:$D$364,A23,Payroll!$Q$5:$Q$364,ThisMonthKey),2))</f>
        <v>0</v>
      </c>
      <c r="AM23" s="26">
        <f>IF(B23="","",ROUND(AD23-AL23,2))</f>
        <v>0</v>
      </c>
      <c r="AN23" s="25">
        <f>IF(B23="","",COUNTIFS($AC$5:$AC$44,"&gt;"&amp;AC23)+COUNTIFS($AC$5:AC23,AC23))</f>
        <v>0</v>
      </c>
      <c r="AO23" s="39">
        <f>IF(B23="","",IF(G23&lt;&gt;"Active","",IF(L23="","Add - pick a commission method",IF(IF(J23="",TRUE,J23=0),"Add - no hours, no utilisation",IF(Z23&lt;0.5,"Check - chair is half empty",IF(AM23&lt;0,"Loss - pay is ahead of sales",IF(IF(R23="",FALSE,AD23&lt;R23*0.8),"Below - behind the monthly target",IF(AG23&lt;TargetRetailShare,"Action - barely selling any product","OK"))))))))</f>
        <v>0</v>
      </c>
    </row>
    <row r="24" spans="1:41">
      <c r="A24" s="28">
        <f>IF(B24="","",StaffPrefix&amp;TEXT(ROW()-4,"000"))</f>
        <v>0</v>
      </c>
      <c r="T24" s="25">
        <f>IF(B24="","",COUNTIFS(Appointments!$I$5:$I$1204,A24))</f>
        <v>0</v>
      </c>
      <c r="U24" s="25">
        <f>IF(B24="","",COUNTIFS(Appointments!$I$5:$I$1204,A24,Appointments!$M$5:$M$1204,"Completed"))</f>
        <v>0</v>
      </c>
      <c r="V24" s="25">
        <f>IF(B24="","",COUNTIFS(Appointments!$I$5:$I$1204,A24,Appointments!$M$5:$M$1204,"No show"))</f>
        <v>0</v>
      </c>
      <c r="W24" s="25">
        <f>IF(B24="","",COUNTIFS(Clients!$I$5:$I$504,A24))</f>
        <v>0</v>
      </c>
      <c r="X24" s="37">
        <f>IF(B24="","",ROUND(SUMIFS(Appointments!$X$5:$X$1204,Appointments!$I$5:$I$1204,A24,Appointments!$M$5:$M$1204,"Completed",Appointments!$B$5:$B$1204,"&gt;="&amp;TodayDate-28),1))</f>
        <v>0</v>
      </c>
      <c r="Y24" s="37">
        <f>IF(B24="","",IF(J24="",0,ROUND(J24*4,1)))</f>
        <v>0</v>
      </c>
      <c r="Z24" s="27">
        <f>IF(B24="","",IF(Y24=0,"",X24/Y24))</f>
        <v>0</v>
      </c>
      <c r="AA24" s="26">
        <f>IF(B24="","",ROUND(SUMIFS(Sales!$Y$5:$Y$1204,Sales!$F$5:$F$1204,A24,Sales!$H$5:$H$1204,"Service"),2))</f>
        <v>0</v>
      </c>
      <c r="AB24" s="26">
        <f>IF(B24="","",ROUND(SUMIFS(Sales!$Y$5:$Y$1204,Sales!$F$5:$F$1204,A24,Sales!$H$5:$H$1204,"Retail"),2))</f>
        <v>0</v>
      </c>
      <c r="AC24" s="26">
        <f>IF(B24="","",ROUND(SUMIFS(Sales!$Y$5:$Y$1204,Sales!$F$5:$F$1204,A24),2))</f>
        <v>0</v>
      </c>
      <c r="AD24" s="26">
        <f>IF(B24="","",ROUND(SUMIFS(Sales!$Y$5:$Y$1204,Sales!$F$5:$F$1204,A24,Sales!$R$5:$R$1204,ThisMonthKey),2))</f>
        <v>0</v>
      </c>
      <c r="AE24" s="26">
        <f>IF(B24="","",IF(R24="","",ROUND(AD24-R24,2)))</f>
        <v>0</v>
      </c>
      <c r="AF24" s="26">
        <f>IF(B24="","",IF(U24=0,"",ROUND(AC24/U24,2)))</f>
        <v>0</v>
      </c>
      <c r="AG24" s="27">
        <f>IF(B24="","",IF(AC24=0,"",AB24/AC24))</f>
        <v>0</v>
      </c>
      <c r="AH24" s="26">
        <f>IF(B24="","",IF(X24=0,"",ROUND(SUMIFS(Sales!$Y$5:$Y$1204,Sales!$F$5:$F$1204,A24,Sales!$B$5:$B$1204,"&gt;="&amp;TodayDate-28)/X24,2)))</f>
        <v>0</v>
      </c>
      <c r="AI24" s="27">
        <f>IF(B24="","",IF(COUNTIFS(Appointments!$I$5:$I$1204,A24,Appointments!$M$5:$M$1204,"Completed")=0,"",COUNTIFS(Appointments!$I$5:$I$1204,A24,Appointments!$AF$5:$AF$1204,"Yes")/COUNTIFS(Appointments!$I$5:$I$1204,A24,Appointments!$M$5:$M$1204,"Completed")))</f>
        <v>0</v>
      </c>
      <c r="AJ24" s="26">
        <f>IF(B24="","",ROUND(SUMIFS(Payments!$G$5:$G$1204,Payments!$J$5:$J$1204,A24,Payments!$E$5:$E$1204,"Tip"),2))</f>
        <v>0</v>
      </c>
      <c r="AK24" s="26">
        <f>IF(B24="","",ROUND(SUMIFS(Commissions!$V$5:$V$244,Commissions!$C$5:$C$244,A24),2))</f>
        <v>0</v>
      </c>
      <c r="AL24" s="26">
        <f>IF(B24="","",ROUND(SUMIFS(Payroll!$Y$5:$Y$364,Payroll!$D$5:$D$364,A24,Payroll!$Q$5:$Q$364,ThisMonthKey),2))</f>
        <v>0</v>
      </c>
      <c r="AM24" s="26">
        <f>IF(B24="","",ROUND(AD24-AL24,2))</f>
        <v>0</v>
      </c>
      <c r="AN24" s="25">
        <f>IF(B24="","",COUNTIFS($AC$5:$AC$44,"&gt;"&amp;AC24)+COUNTIFS($AC$5:AC24,AC24))</f>
        <v>0</v>
      </c>
      <c r="AO24" s="39">
        <f>IF(B24="","",IF(G24&lt;&gt;"Active","",IF(L24="","Add - pick a commission method",IF(IF(J24="",TRUE,J24=0),"Add - no hours, no utilisation",IF(Z24&lt;0.5,"Check - chair is half empty",IF(AM24&lt;0,"Loss - pay is ahead of sales",IF(IF(R24="",FALSE,AD24&lt;R24*0.8),"Below - behind the monthly target",IF(AG24&lt;TargetRetailShare,"Action - barely selling any product","OK"))))))))</f>
        <v>0</v>
      </c>
    </row>
    <row r="25" spans="1:41">
      <c r="A25" s="28">
        <f>IF(B25="","",StaffPrefix&amp;TEXT(ROW()-4,"000"))</f>
        <v>0</v>
      </c>
      <c r="T25" s="25">
        <f>IF(B25="","",COUNTIFS(Appointments!$I$5:$I$1204,A25))</f>
        <v>0</v>
      </c>
      <c r="U25" s="25">
        <f>IF(B25="","",COUNTIFS(Appointments!$I$5:$I$1204,A25,Appointments!$M$5:$M$1204,"Completed"))</f>
        <v>0</v>
      </c>
      <c r="V25" s="25">
        <f>IF(B25="","",COUNTIFS(Appointments!$I$5:$I$1204,A25,Appointments!$M$5:$M$1204,"No show"))</f>
        <v>0</v>
      </c>
      <c r="W25" s="25">
        <f>IF(B25="","",COUNTIFS(Clients!$I$5:$I$504,A25))</f>
        <v>0</v>
      </c>
      <c r="X25" s="37">
        <f>IF(B25="","",ROUND(SUMIFS(Appointments!$X$5:$X$1204,Appointments!$I$5:$I$1204,A25,Appointments!$M$5:$M$1204,"Completed",Appointments!$B$5:$B$1204,"&gt;="&amp;TodayDate-28),1))</f>
        <v>0</v>
      </c>
      <c r="Y25" s="37">
        <f>IF(B25="","",IF(J25="",0,ROUND(J25*4,1)))</f>
        <v>0</v>
      </c>
      <c r="Z25" s="27">
        <f>IF(B25="","",IF(Y25=0,"",X25/Y25))</f>
        <v>0</v>
      </c>
      <c r="AA25" s="26">
        <f>IF(B25="","",ROUND(SUMIFS(Sales!$Y$5:$Y$1204,Sales!$F$5:$F$1204,A25,Sales!$H$5:$H$1204,"Service"),2))</f>
        <v>0</v>
      </c>
      <c r="AB25" s="26">
        <f>IF(B25="","",ROUND(SUMIFS(Sales!$Y$5:$Y$1204,Sales!$F$5:$F$1204,A25,Sales!$H$5:$H$1204,"Retail"),2))</f>
        <v>0</v>
      </c>
      <c r="AC25" s="26">
        <f>IF(B25="","",ROUND(SUMIFS(Sales!$Y$5:$Y$1204,Sales!$F$5:$F$1204,A25),2))</f>
        <v>0</v>
      </c>
      <c r="AD25" s="26">
        <f>IF(B25="","",ROUND(SUMIFS(Sales!$Y$5:$Y$1204,Sales!$F$5:$F$1204,A25,Sales!$R$5:$R$1204,ThisMonthKey),2))</f>
        <v>0</v>
      </c>
      <c r="AE25" s="26">
        <f>IF(B25="","",IF(R25="","",ROUND(AD25-R25,2)))</f>
        <v>0</v>
      </c>
      <c r="AF25" s="26">
        <f>IF(B25="","",IF(U25=0,"",ROUND(AC25/U25,2)))</f>
        <v>0</v>
      </c>
      <c r="AG25" s="27">
        <f>IF(B25="","",IF(AC25=0,"",AB25/AC25))</f>
        <v>0</v>
      </c>
      <c r="AH25" s="26">
        <f>IF(B25="","",IF(X25=0,"",ROUND(SUMIFS(Sales!$Y$5:$Y$1204,Sales!$F$5:$F$1204,A25,Sales!$B$5:$B$1204,"&gt;="&amp;TodayDate-28)/X25,2)))</f>
        <v>0</v>
      </c>
      <c r="AI25" s="27">
        <f>IF(B25="","",IF(COUNTIFS(Appointments!$I$5:$I$1204,A25,Appointments!$M$5:$M$1204,"Completed")=0,"",COUNTIFS(Appointments!$I$5:$I$1204,A25,Appointments!$AF$5:$AF$1204,"Yes")/COUNTIFS(Appointments!$I$5:$I$1204,A25,Appointments!$M$5:$M$1204,"Completed")))</f>
        <v>0</v>
      </c>
      <c r="AJ25" s="26">
        <f>IF(B25="","",ROUND(SUMIFS(Payments!$G$5:$G$1204,Payments!$J$5:$J$1204,A25,Payments!$E$5:$E$1204,"Tip"),2))</f>
        <v>0</v>
      </c>
      <c r="AK25" s="26">
        <f>IF(B25="","",ROUND(SUMIFS(Commissions!$V$5:$V$244,Commissions!$C$5:$C$244,A25),2))</f>
        <v>0</v>
      </c>
      <c r="AL25" s="26">
        <f>IF(B25="","",ROUND(SUMIFS(Payroll!$Y$5:$Y$364,Payroll!$D$5:$D$364,A25,Payroll!$Q$5:$Q$364,ThisMonthKey),2))</f>
        <v>0</v>
      </c>
      <c r="AM25" s="26">
        <f>IF(B25="","",ROUND(AD25-AL25,2))</f>
        <v>0</v>
      </c>
      <c r="AN25" s="25">
        <f>IF(B25="","",COUNTIFS($AC$5:$AC$44,"&gt;"&amp;AC25)+COUNTIFS($AC$5:AC25,AC25))</f>
        <v>0</v>
      </c>
      <c r="AO25" s="39">
        <f>IF(B25="","",IF(G25&lt;&gt;"Active","",IF(L25="","Add - pick a commission method",IF(IF(J25="",TRUE,J25=0),"Add - no hours, no utilisation",IF(Z25&lt;0.5,"Check - chair is half empty",IF(AM25&lt;0,"Loss - pay is ahead of sales",IF(IF(R25="",FALSE,AD25&lt;R25*0.8),"Below - behind the monthly target",IF(AG25&lt;TargetRetailShare,"Action - barely selling any product","OK"))))))))</f>
        <v>0</v>
      </c>
    </row>
    <row r="26" spans="1:41">
      <c r="A26" s="28">
        <f>IF(B26="","",StaffPrefix&amp;TEXT(ROW()-4,"000"))</f>
        <v>0</v>
      </c>
      <c r="T26" s="25">
        <f>IF(B26="","",COUNTIFS(Appointments!$I$5:$I$1204,A26))</f>
        <v>0</v>
      </c>
      <c r="U26" s="25">
        <f>IF(B26="","",COUNTIFS(Appointments!$I$5:$I$1204,A26,Appointments!$M$5:$M$1204,"Completed"))</f>
        <v>0</v>
      </c>
      <c r="V26" s="25">
        <f>IF(B26="","",COUNTIFS(Appointments!$I$5:$I$1204,A26,Appointments!$M$5:$M$1204,"No show"))</f>
        <v>0</v>
      </c>
      <c r="W26" s="25">
        <f>IF(B26="","",COUNTIFS(Clients!$I$5:$I$504,A26))</f>
        <v>0</v>
      </c>
      <c r="X26" s="37">
        <f>IF(B26="","",ROUND(SUMIFS(Appointments!$X$5:$X$1204,Appointments!$I$5:$I$1204,A26,Appointments!$M$5:$M$1204,"Completed",Appointments!$B$5:$B$1204,"&gt;="&amp;TodayDate-28),1))</f>
        <v>0</v>
      </c>
      <c r="Y26" s="37">
        <f>IF(B26="","",IF(J26="",0,ROUND(J26*4,1)))</f>
        <v>0</v>
      </c>
      <c r="Z26" s="27">
        <f>IF(B26="","",IF(Y26=0,"",X26/Y26))</f>
        <v>0</v>
      </c>
      <c r="AA26" s="26">
        <f>IF(B26="","",ROUND(SUMIFS(Sales!$Y$5:$Y$1204,Sales!$F$5:$F$1204,A26,Sales!$H$5:$H$1204,"Service"),2))</f>
        <v>0</v>
      </c>
      <c r="AB26" s="26">
        <f>IF(B26="","",ROUND(SUMIFS(Sales!$Y$5:$Y$1204,Sales!$F$5:$F$1204,A26,Sales!$H$5:$H$1204,"Retail"),2))</f>
        <v>0</v>
      </c>
      <c r="AC26" s="26">
        <f>IF(B26="","",ROUND(SUMIFS(Sales!$Y$5:$Y$1204,Sales!$F$5:$F$1204,A26),2))</f>
        <v>0</v>
      </c>
      <c r="AD26" s="26">
        <f>IF(B26="","",ROUND(SUMIFS(Sales!$Y$5:$Y$1204,Sales!$F$5:$F$1204,A26,Sales!$R$5:$R$1204,ThisMonthKey),2))</f>
        <v>0</v>
      </c>
      <c r="AE26" s="26">
        <f>IF(B26="","",IF(R26="","",ROUND(AD26-R26,2)))</f>
        <v>0</v>
      </c>
      <c r="AF26" s="26">
        <f>IF(B26="","",IF(U26=0,"",ROUND(AC26/U26,2)))</f>
        <v>0</v>
      </c>
      <c r="AG26" s="27">
        <f>IF(B26="","",IF(AC26=0,"",AB26/AC26))</f>
        <v>0</v>
      </c>
      <c r="AH26" s="26">
        <f>IF(B26="","",IF(X26=0,"",ROUND(SUMIFS(Sales!$Y$5:$Y$1204,Sales!$F$5:$F$1204,A26,Sales!$B$5:$B$1204,"&gt;="&amp;TodayDate-28)/X26,2)))</f>
        <v>0</v>
      </c>
      <c r="AI26" s="27">
        <f>IF(B26="","",IF(COUNTIFS(Appointments!$I$5:$I$1204,A26,Appointments!$M$5:$M$1204,"Completed")=0,"",COUNTIFS(Appointments!$I$5:$I$1204,A26,Appointments!$AF$5:$AF$1204,"Yes")/COUNTIFS(Appointments!$I$5:$I$1204,A26,Appointments!$M$5:$M$1204,"Completed")))</f>
        <v>0</v>
      </c>
      <c r="AJ26" s="26">
        <f>IF(B26="","",ROUND(SUMIFS(Payments!$G$5:$G$1204,Payments!$J$5:$J$1204,A26,Payments!$E$5:$E$1204,"Tip"),2))</f>
        <v>0</v>
      </c>
      <c r="AK26" s="26">
        <f>IF(B26="","",ROUND(SUMIFS(Commissions!$V$5:$V$244,Commissions!$C$5:$C$244,A26),2))</f>
        <v>0</v>
      </c>
      <c r="AL26" s="26">
        <f>IF(B26="","",ROUND(SUMIFS(Payroll!$Y$5:$Y$364,Payroll!$D$5:$D$364,A26,Payroll!$Q$5:$Q$364,ThisMonthKey),2))</f>
        <v>0</v>
      </c>
      <c r="AM26" s="26">
        <f>IF(B26="","",ROUND(AD26-AL26,2))</f>
        <v>0</v>
      </c>
      <c r="AN26" s="25">
        <f>IF(B26="","",COUNTIFS($AC$5:$AC$44,"&gt;"&amp;AC26)+COUNTIFS($AC$5:AC26,AC26))</f>
        <v>0</v>
      </c>
      <c r="AO26" s="39">
        <f>IF(B26="","",IF(G26&lt;&gt;"Active","",IF(L26="","Add - pick a commission method",IF(IF(J26="",TRUE,J26=0),"Add - no hours, no utilisation",IF(Z26&lt;0.5,"Check - chair is half empty",IF(AM26&lt;0,"Loss - pay is ahead of sales",IF(IF(R26="",FALSE,AD26&lt;R26*0.8),"Below - behind the monthly target",IF(AG26&lt;TargetRetailShare,"Action - barely selling any product","OK"))))))))</f>
        <v>0</v>
      </c>
    </row>
    <row r="27" spans="1:41">
      <c r="A27" s="28">
        <f>IF(B27="","",StaffPrefix&amp;TEXT(ROW()-4,"000"))</f>
        <v>0</v>
      </c>
      <c r="T27" s="25">
        <f>IF(B27="","",COUNTIFS(Appointments!$I$5:$I$1204,A27))</f>
        <v>0</v>
      </c>
      <c r="U27" s="25">
        <f>IF(B27="","",COUNTIFS(Appointments!$I$5:$I$1204,A27,Appointments!$M$5:$M$1204,"Completed"))</f>
        <v>0</v>
      </c>
      <c r="V27" s="25">
        <f>IF(B27="","",COUNTIFS(Appointments!$I$5:$I$1204,A27,Appointments!$M$5:$M$1204,"No show"))</f>
        <v>0</v>
      </c>
      <c r="W27" s="25">
        <f>IF(B27="","",COUNTIFS(Clients!$I$5:$I$504,A27))</f>
        <v>0</v>
      </c>
      <c r="X27" s="37">
        <f>IF(B27="","",ROUND(SUMIFS(Appointments!$X$5:$X$1204,Appointments!$I$5:$I$1204,A27,Appointments!$M$5:$M$1204,"Completed",Appointments!$B$5:$B$1204,"&gt;="&amp;TodayDate-28),1))</f>
        <v>0</v>
      </c>
      <c r="Y27" s="37">
        <f>IF(B27="","",IF(J27="",0,ROUND(J27*4,1)))</f>
        <v>0</v>
      </c>
      <c r="Z27" s="27">
        <f>IF(B27="","",IF(Y27=0,"",X27/Y27))</f>
        <v>0</v>
      </c>
      <c r="AA27" s="26">
        <f>IF(B27="","",ROUND(SUMIFS(Sales!$Y$5:$Y$1204,Sales!$F$5:$F$1204,A27,Sales!$H$5:$H$1204,"Service"),2))</f>
        <v>0</v>
      </c>
      <c r="AB27" s="26">
        <f>IF(B27="","",ROUND(SUMIFS(Sales!$Y$5:$Y$1204,Sales!$F$5:$F$1204,A27,Sales!$H$5:$H$1204,"Retail"),2))</f>
        <v>0</v>
      </c>
      <c r="AC27" s="26">
        <f>IF(B27="","",ROUND(SUMIFS(Sales!$Y$5:$Y$1204,Sales!$F$5:$F$1204,A27),2))</f>
        <v>0</v>
      </c>
      <c r="AD27" s="26">
        <f>IF(B27="","",ROUND(SUMIFS(Sales!$Y$5:$Y$1204,Sales!$F$5:$F$1204,A27,Sales!$R$5:$R$1204,ThisMonthKey),2))</f>
        <v>0</v>
      </c>
      <c r="AE27" s="26">
        <f>IF(B27="","",IF(R27="","",ROUND(AD27-R27,2)))</f>
        <v>0</v>
      </c>
      <c r="AF27" s="26">
        <f>IF(B27="","",IF(U27=0,"",ROUND(AC27/U27,2)))</f>
        <v>0</v>
      </c>
      <c r="AG27" s="27">
        <f>IF(B27="","",IF(AC27=0,"",AB27/AC27))</f>
        <v>0</v>
      </c>
      <c r="AH27" s="26">
        <f>IF(B27="","",IF(X27=0,"",ROUND(SUMIFS(Sales!$Y$5:$Y$1204,Sales!$F$5:$F$1204,A27,Sales!$B$5:$B$1204,"&gt;="&amp;TodayDate-28)/X27,2)))</f>
        <v>0</v>
      </c>
      <c r="AI27" s="27">
        <f>IF(B27="","",IF(COUNTIFS(Appointments!$I$5:$I$1204,A27,Appointments!$M$5:$M$1204,"Completed")=0,"",COUNTIFS(Appointments!$I$5:$I$1204,A27,Appointments!$AF$5:$AF$1204,"Yes")/COUNTIFS(Appointments!$I$5:$I$1204,A27,Appointments!$M$5:$M$1204,"Completed")))</f>
        <v>0</v>
      </c>
      <c r="AJ27" s="26">
        <f>IF(B27="","",ROUND(SUMIFS(Payments!$G$5:$G$1204,Payments!$J$5:$J$1204,A27,Payments!$E$5:$E$1204,"Tip"),2))</f>
        <v>0</v>
      </c>
      <c r="AK27" s="26">
        <f>IF(B27="","",ROUND(SUMIFS(Commissions!$V$5:$V$244,Commissions!$C$5:$C$244,A27),2))</f>
        <v>0</v>
      </c>
      <c r="AL27" s="26">
        <f>IF(B27="","",ROUND(SUMIFS(Payroll!$Y$5:$Y$364,Payroll!$D$5:$D$364,A27,Payroll!$Q$5:$Q$364,ThisMonthKey),2))</f>
        <v>0</v>
      </c>
      <c r="AM27" s="26">
        <f>IF(B27="","",ROUND(AD27-AL27,2))</f>
        <v>0</v>
      </c>
      <c r="AN27" s="25">
        <f>IF(B27="","",COUNTIFS($AC$5:$AC$44,"&gt;"&amp;AC27)+COUNTIFS($AC$5:AC27,AC27))</f>
        <v>0</v>
      </c>
      <c r="AO27" s="39">
        <f>IF(B27="","",IF(G27&lt;&gt;"Active","",IF(L27="","Add - pick a commission method",IF(IF(J27="",TRUE,J27=0),"Add - no hours, no utilisation",IF(Z27&lt;0.5,"Check - chair is half empty",IF(AM27&lt;0,"Loss - pay is ahead of sales",IF(IF(R27="",FALSE,AD27&lt;R27*0.8),"Below - behind the monthly target",IF(AG27&lt;TargetRetailShare,"Action - barely selling any product","OK"))))))))</f>
        <v>0</v>
      </c>
    </row>
    <row r="28" spans="1:41">
      <c r="A28" s="28">
        <f>IF(B28="","",StaffPrefix&amp;TEXT(ROW()-4,"000"))</f>
        <v>0</v>
      </c>
      <c r="T28" s="25">
        <f>IF(B28="","",COUNTIFS(Appointments!$I$5:$I$1204,A28))</f>
        <v>0</v>
      </c>
      <c r="U28" s="25">
        <f>IF(B28="","",COUNTIFS(Appointments!$I$5:$I$1204,A28,Appointments!$M$5:$M$1204,"Completed"))</f>
        <v>0</v>
      </c>
      <c r="V28" s="25">
        <f>IF(B28="","",COUNTIFS(Appointments!$I$5:$I$1204,A28,Appointments!$M$5:$M$1204,"No show"))</f>
        <v>0</v>
      </c>
      <c r="W28" s="25">
        <f>IF(B28="","",COUNTIFS(Clients!$I$5:$I$504,A28))</f>
        <v>0</v>
      </c>
      <c r="X28" s="37">
        <f>IF(B28="","",ROUND(SUMIFS(Appointments!$X$5:$X$1204,Appointments!$I$5:$I$1204,A28,Appointments!$M$5:$M$1204,"Completed",Appointments!$B$5:$B$1204,"&gt;="&amp;TodayDate-28),1))</f>
        <v>0</v>
      </c>
      <c r="Y28" s="37">
        <f>IF(B28="","",IF(J28="",0,ROUND(J28*4,1)))</f>
        <v>0</v>
      </c>
      <c r="Z28" s="27">
        <f>IF(B28="","",IF(Y28=0,"",X28/Y28))</f>
        <v>0</v>
      </c>
      <c r="AA28" s="26">
        <f>IF(B28="","",ROUND(SUMIFS(Sales!$Y$5:$Y$1204,Sales!$F$5:$F$1204,A28,Sales!$H$5:$H$1204,"Service"),2))</f>
        <v>0</v>
      </c>
      <c r="AB28" s="26">
        <f>IF(B28="","",ROUND(SUMIFS(Sales!$Y$5:$Y$1204,Sales!$F$5:$F$1204,A28,Sales!$H$5:$H$1204,"Retail"),2))</f>
        <v>0</v>
      </c>
      <c r="AC28" s="26">
        <f>IF(B28="","",ROUND(SUMIFS(Sales!$Y$5:$Y$1204,Sales!$F$5:$F$1204,A28),2))</f>
        <v>0</v>
      </c>
      <c r="AD28" s="26">
        <f>IF(B28="","",ROUND(SUMIFS(Sales!$Y$5:$Y$1204,Sales!$F$5:$F$1204,A28,Sales!$R$5:$R$1204,ThisMonthKey),2))</f>
        <v>0</v>
      </c>
      <c r="AE28" s="26">
        <f>IF(B28="","",IF(R28="","",ROUND(AD28-R28,2)))</f>
        <v>0</v>
      </c>
      <c r="AF28" s="26">
        <f>IF(B28="","",IF(U28=0,"",ROUND(AC28/U28,2)))</f>
        <v>0</v>
      </c>
      <c r="AG28" s="27">
        <f>IF(B28="","",IF(AC28=0,"",AB28/AC28))</f>
        <v>0</v>
      </c>
      <c r="AH28" s="26">
        <f>IF(B28="","",IF(X28=0,"",ROUND(SUMIFS(Sales!$Y$5:$Y$1204,Sales!$F$5:$F$1204,A28,Sales!$B$5:$B$1204,"&gt;="&amp;TodayDate-28)/X28,2)))</f>
        <v>0</v>
      </c>
      <c r="AI28" s="27">
        <f>IF(B28="","",IF(COUNTIFS(Appointments!$I$5:$I$1204,A28,Appointments!$M$5:$M$1204,"Completed")=0,"",COUNTIFS(Appointments!$I$5:$I$1204,A28,Appointments!$AF$5:$AF$1204,"Yes")/COUNTIFS(Appointments!$I$5:$I$1204,A28,Appointments!$M$5:$M$1204,"Completed")))</f>
        <v>0</v>
      </c>
      <c r="AJ28" s="26">
        <f>IF(B28="","",ROUND(SUMIFS(Payments!$G$5:$G$1204,Payments!$J$5:$J$1204,A28,Payments!$E$5:$E$1204,"Tip"),2))</f>
        <v>0</v>
      </c>
      <c r="AK28" s="26">
        <f>IF(B28="","",ROUND(SUMIFS(Commissions!$V$5:$V$244,Commissions!$C$5:$C$244,A28),2))</f>
        <v>0</v>
      </c>
      <c r="AL28" s="26">
        <f>IF(B28="","",ROUND(SUMIFS(Payroll!$Y$5:$Y$364,Payroll!$D$5:$D$364,A28,Payroll!$Q$5:$Q$364,ThisMonthKey),2))</f>
        <v>0</v>
      </c>
      <c r="AM28" s="26">
        <f>IF(B28="","",ROUND(AD28-AL28,2))</f>
        <v>0</v>
      </c>
      <c r="AN28" s="25">
        <f>IF(B28="","",COUNTIFS($AC$5:$AC$44,"&gt;"&amp;AC28)+COUNTIFS($AC$5:AC28,AC28))</f>
        <v>0</v>
      </c>
      <c r="AO28" s="39">
        <f>IF(B28="","",IF(G28&lt;&gt;"Active","",IF(L28="","Add - pick a commission method",IF(IF(J28="",TRUE,J28=0),"Add - no hours, no utilisation",IF(Z28&lt;0.5,"Check - chair is half empty",IF(AM28&lt;0,"Loss - pay is ahead of sales",IF(IF(R28="",FALSE,AD28&lt;R28*0.8),"Below - behind the monthly target",IF(AG28&lt;TargetRetailShare,"Action - barely selling any product","OK"))))))))</f>
        <v>0</v>
      </c>
    </row>
    <row r="29" spans="1:41">
      <c r="A29" s="28">
        <f>IF(B29="","",StaffPrefix&amp;TEXT(ROW()-4,"000"))</f>
        <v>0</v>
      </c>
      <c r="T29" s="25">
        <f>IF(B29="","",COUNTIFS(Appointments!$I$5:$I$1204,A29))</f>
        <v>0</v>
      </c>
      <c r="U29" s="25">
        <f>IF(B29="","",COUNTIFS(Appointments!$I$5:$I$1204,A29,Appointments!$M$5:$M$1204,"Completed"))</f>
        <v>0</v>
      </c>
      <c r="V29" s="25">
        <f>IF(B29="","",COUNTIFS(Appointments!$I$5:$I$1204,A29,Appointments!$M$5:$M$1204,"No show"))</f>
        <v>0</v>
      </c>
      <c r="W29" s="25">
        <f>IF(B29="","",COUNTIFS(Clients!$I$5:$I$504,A29))</f>
        <v>0</v>
      </c>
      <c r="X29" s="37">
        <f>IF(B29="","",ROUND(SUMIFS(Appointments!$X$5:$X$1204,Appointments!$I$5:$I$1204,A29,Appointments!$M$5:$M$1204,"Completed",Appointments!$B$5:$B$1204,"&gt;="&amp;TodayDate-28),1))</f>
        <v>0</v>
      </c>
      <c r="Y29" s="37">
        <f>IF(B29="","",IF(J29="",0,ROUND(J29*4,1)))</f>
        <v>0</v>
      </c>
      <c r="Z29" s="27">
        <f>IF(B29="","",IF(Y29=0,"",X29/Y29))</f>
        <v>0</v>
      </c>
      <c r="AA29" s="26">
        <f>IF(B29="","",ROUND(SUMIFS(Sales!$Y$5:$Y$1204,Sales!$F$5:$F$1204,A29,Sales!$H$5:$H$1204,"Service"),2))</f>
        <v>0</v>
      </c>
      <c r="AB29" s="26">
        <f>IF(B29="","",ROUND(SUMIFS(Sales!$Y$5:$Y$1204,Sales!$F$5:$F$1204,A29,Sales!$H$5:$H$1204,"Retail"),2))</f>
        <v>0</v>
      </c>
      <c r="AC29" s="26">
        <f>IF(B29="","",ROUND(SUMIFS(Sales!$Y$5:$Y$1204,Sales!$F$5:$F$1204,A29),2))</f>
        <v>0</v>
      </c>
      <c r="AD29" s="26">
        <f>IF(B29="","",ROUND(SUMIFS(Sales!$Y$5:$Y$1204,Sales!$F$5:$F$1204,A29,Sales!$R$5:$R$1204,ThisMonthKey),2))</f>
        <v>0</v>
      </c>
      <c r="AE29" s="26">
        <f>IF(B29="","",IF(R29="","",ROUND(AD29-R29,2)))</f>
        <v>0</v>
      </c>
      <c r="AF29" s="26">
        <f>IF(B29="","",IF(U29=0,"",ROUND(AC29/U29,2)))</f>
        <v>0</v>
      </c>
      <c r="AG29" s="27">
        <f>IF(B29="","",IF(AC29=0,"",AB29/AC29))</f>
        <v>0</v>
      </c>
      <c r="AH29" s="26">
        <f>IF(B29="","",IF(X29=0,"",ROUND(SUMIFS(Sales!$Y$5:$Y$1204,Sales!$F$5:$F$1204,A29,Sales!$B$5:$B$1204,"&gt;="&amp;TodayDate-28)/X29,2)))</f>
        <v>0</v>
      </c>
      <c r="AI29" s="27">
        <f>IF(B29="","",IF(COUNTIFS(Appointments!$I$5:$I$1204,A29,Appointments!$M$5:$M$1204,"Completed")=0,"",COUNTIFS(Appointments!$I$5:$I$1204,A29,Appointments!$AF$5:$AF$1204,"Yes")/COUNTIFS(Appointments!$I$5:$I$1204,A29,Appointments!$M$5:$M$1204,"Completed")))</f>
        <v>0</v>
      </c>
      <c r="AJ29" s="26">
        <f>IF(B29="","",ROUND(SUMIFS(Payments!$G$5:$G$1204,Payments!$J$5:$J$1204,A29,Payments!$E$5:$E$1204,"Tip"),2))</f>
        <v>0</v>
      </c>
      <c r="AK29" s="26">
        <f>IF(B29="","",ROUND(SUMIFS(Commissions!$V$5:$V$244,Commissions!$C$5:$C$244,A29),2))</f>
        <v>0</v>
      </c>
      <c r="AL29" s="26">
        <f>IF(B29="","",ROUND(SUMIFS(Payroll!$Y$5:$Y$364,Payroll!$D$5:$D$364,A29,Payroll!$Q$5:$Q$364,ThisMonthKey),2))</f>
        <v>0</v>
      </c>
      <c r="AM29" s="26">
        <f>IF(B29="","",ROUND(AD29-AL29,2))</f>
        <v>0</v>
      </c>
      <c r="AN29" s="25">
        <f>IF(B29="","",COUNTIFS($AC$5:$AC$44,"&gt;"&amp;AC29)+COUNTIFS($AC$5:AC29,AC29))</f>
        <v>0</v>
      </c>
      <c r="AO29" s="39">
        <f>IF(B29="","",IF(G29&lt;&gt;"Active","",IF(L29="","Add - pick a commission method",IF(IF(J29="",TRUE,J29=0),"Add - no hours, no utilisation",IF(Z29&lt;0.5,"Check - chair is half empty",IF(AM29&lt;0,"Loss - pay is ahead of sales",IF(IF(R29="",FALSE,AD29&lt;R29*0.8),"Below - behind the monthly target",IF(AG29&lt;TargetRetailShare,"Action - barely selling any product","OK"))))))))</f>
        <v>0</v>
      </c>
    </row>
    <row r="30" spans="1:41">
      <c r="A30" s="28">
        <f>IF(B30="","",StaffPrefix&amp;TEXT(ROW()-4,"000"))</f>
        <v>0</v>
      </c>
      <c r="T30" s="25">
        <f>IF(B30="","",COUNTIFS(Appointments!$I$5:$I$1204,A30))</f>
        <v>0</v>
      </c>
      <c r="U30" s="25">
        <f>IF(B30="","",COUNTIFS(Appointments!$I$5:$I$1204,A30,Appointments!$M$5:$M$1204,"Completed"))</f>
        <v>0</v>
      </c>
      <c r="V30" s="25">
        <f>IF(B30="","",COUNTIFS(Appointments!$I$5:$I$1204,A30,Appointments!$M$5:$M$1204,"No show"))</f>
        <v>0</v>
      </c>
      <c r="W30" s="25">
        <f>IF(B30="","",COUNTIFS(Clients!$I$5:$I$504,A30))</f>
        <v>0</v>
      </c>
      <c r="X30" s="37">
        <f>IF(B30="","",ROUND(SUMIFS(Appointments!$X$5:$X$1204,Appointments!$I$5:$I$1204,A30,Appointments!$M$5:$M$1204,"Completed",Appointments!$B$5:$B$1204,"&gt;="&amp;TodayDate-28),1))</f>
        <v>0</v>
      </c>
      <c r="Y30" s="37">
        <f>IF(B30="","",IF(J30="",0,ROUND(J30*4,1)))</f>
        <v>0</v>
      </c>
      <c r="Z30" s="27">
        <f>IF(B30="","",IF(Y30=0,"",X30/Y30))</f>
        <v>0</v>
      </c>
      <c r="AA30" s="26">
        <f>IF(B30="","",ROUND(SUMIFS(Sales!$Y$5:$Y$1204,Sales!$F$5:$F$1204,A30,Sales!$H$5:$H$1204,"Service"),2))</f>
        <v>0</v>
      </c>
      <c r="AB30" s="26">
        <f>IF(B30="","",ROUND(SUMIFS(Sales!$Y$5:$Y$1204,Sales!$F$5:$F$1204,A30,Sales!$H$5:$H$1204,"Retail"),2))</f>
        <v>0</v>
      </c>
      <c r="AC30" s="26">
        <f>IF(B30="","",ROUND(SUMIFS(Sales!$Y$5:$Y$1204,Sales!$F$5:$F$1204,A30),2))</f>
        <v>0</v>
      </c>
      <c r="AD30" s="26">
        <f>IF(B30="","",ROUND(SUMIFS(Sales!$Y$5:$Y$1204,Sales!$F$5:$F$1204,A30,Sales!$R$5:$R$1204,ThisMonthKey),2))</f>
        <v>0</v>
      </c>
      <c r="AE30" s="26">
        <f>IF(B30="","",IF(R30="","",ROUND(AD30-R30,2)))</f>
        <v>0</v>
      </c>
      <c r="AF30" s="26">
        <f>IF(B30="","",IF(U30=0,"",ROUND(AC30/U30,2)))</f>
        <v>0</v>
      </c>
      <c r="AG30" s="27">
        <f>IF(B30="","",IF(AC30=0,"",AB30/AC30))</f>
        <v>0</v>
      </c>
      <c r="AH30" s="26">
        <f>IF(B30="","",IF(X30=0,"",ROUND(SUMIFS(Sales!$Y$5:$Y$1204,Sales!$F$5:$F$1204,A30,Sales!$B$5:$B$1204,"&gt;="&amp;TodayDate-28)/X30,2)))</f>
        <v>0</v>
      </c>
      <c r="AI30" s="27">
        <f>IF(B30="","",IF(COUNTIFS(Appointments!$I$5:$I$1204,A30,Appointments!$M$5:$M$1204,"Completed")=0,"",COUNTIFS(Appointments!$I$5:$I$1204,A30,Appointments!$AF$5:$AF$1204,"Yes")/COUNTIFS(Appointments!$I$5:$I$1204,A30,Appointments!$M$5:$M$1204,"Completed")))</f>
        <v>0</v>
      </c>
      <c r="AJ30" s="26">
        <f>IF(B30="","",ROUND(SUMIFS(Payments!$G$5:$G$1204,Payments!$J$5:$J$1204,A30,Payments!$E$5:$E$1204,"Tip"),2))</f>
        <v>0</v>
      </c>
      <c r="AK30" s="26">
        <f>IF(B30="","",ROUND(SUMIFS(Commissions!$V$5:$V$244,Commissions!$C$5:$C$244,A30),2))</f>
        <v>0</v>
      </c>
      <c r="AL30" s="26">
        <f>IF(B30="","",ROUND(SUMIFS(Payroll!$Y$5:$Y$364,Payroll!$D$5:$D$364,A30,Payroll!$Q$5:$Q$364,ThisMonthKey),2))</f>
        <v>0</v>
      </c>
      <c r="AM30" s="26">
        <f>IF(B30="","",ROUND(AD30-AL30,2))</f>
        <v>0</v>
      </c>
      <c r="AN30" s="25">
        <f>IF(B30="","",COUNTIFS($AC$5:$AC$44,"&gt;"&amp;AC30)+COUNTIFS($AC$5:AC30,AC30))</f>
        <v>0</v>
      </c>
      <c r="AO30" s="39">
        <f>IF(B30="","",IF(G30&lt;&gt;"Active","",IF(L30="","Add - pick a commission method",IF(IF(J30="",TRUE,J30=0),"Add - no hours, no utilisation",IF(Z30&lt;0.5,"Check - chair is half empty",IF(AM30&lt;0,"Loss - pay is ahead of sales",IF(IF(R30="",FALSE,AD30&lt;R30*0.8),"Below - behind the monthly target",IF(AG30&lt;TargetRetailShare,"Action - barely selling any product","OK"))))))))</f>
        <v>0</v>
      </c>
    </row>
    <row r="31" spans="1:41">
      <c r="A31" s="28">
        <f>IF(B31="","",StaffPrefix&amp;TEXT(ROW()-4,"000"))</f>
        <v>0</v>
      </c>
      <c r="T31" s="25">
        <f>IF(B31="","",COUNTIFS(Appointments!$I$5:$I$1204,A31))</f>
        <v>0</v>
      </c>
      <c r="U31" s="25">
        <f>IF(B31="","",COUNTIFS(Appointments!$I$5:$I$1204,A31,Appointments!$M$5:$M$1204,"Completed"))</f>
        <v>0</v>
      </c>
      <c r="V31" s="25">
        <f>IF(B31="","",COUNTIFS(Appointments!$I$5:$I$1204,A31,Appointments!$M$5:$M$1204,"No show"))</f>
        <v>0</v>
      </c>
      <c r="W31" s="25">
        <f>IF(B31="","",COUNTIFS(Clients!$I$5:$I$504,A31))</f>
        <v>0</v>
      </c>
      <c r="X31" s="37">
        <f>IF(B31="","",ROUND(SUMIFS(Appointments!$X$5:$X$1204,Appointments!$I$5:$I$1204,A31,Appointments!$M$5:$M$1204,"Completed",Appointments!$B$5:$B$1204,"&gt;="&amp;TodayDate-28),1))</f>
        <v>0</v>
      </c>
      <c r="Y31" s="37">
        <f>IF(B31="","",IF(J31="",0,ROUND(J31*4,1)))</f>
        <v>0</v>
      </c>
      <c r="Z31" s="27">
        <f>IF(B31="","",IF(Y31=0,"",X31/Y31))</f>
        <v>0</v>
      </c>
      <c r="AA31" s="26">
        <f>IF(B31="","",ROUND(SUMIFS(Sales!$Y$5:$Y$1204,Sales!$F$5:$F$1204,A31,Sales!$H$5:$H$1204,"Service"),2))</f>
        <v>0</v>
      </c>
      <c r="AB31" s="26">
        <f>IF(B31="","",ROUND(SUMIFS(Sales!$Y$5:$Y$1204,Sales!$F$5:$F$1204,A31,Sales!$H$5:$H$1204,"Retail"),2))</f>
        <v>0</v>
      </c>
      <c r="AC31" s="26">
        <f>IF(B31="","",ROUND(SUMIFS(Sales!$Y$5:$Y$1204,Sales!$F$5:$F$1204,A31),2))</f>
        <v>0</v>
      </c>
      <c r="AD31" s="26">
        <f>IF(B31="","",ROUND(SUMIFS(Sales!$Y$5:$Y$1204,Sales!$F$5:$F$1204,A31,Sales!$R$5:$R$1204,ThisMonthKey),2))</f>
        <v>0</v>
      </c>
      <c r="AE31" s="26">
        <f>IF(B31="","",IF(R31="","",ROUND(AD31-R31,2)))</f>
        <v>0</v>
      </c>
      <c r="AF31" s="26">
        <f>IF(B31="","",IF(U31=0,"",ROUND(AC31/U31,2)))</f>
        <v>0</v>
      </c>
      <c r="AG31" s="27">
        <f>IF(B31="","",IF(AC31=0,"",AB31/AC31))</f>
        <v>0</v>
      </c>
      <c r="AH31" s="26">
        <f>IF(B31="","",IF(X31=0,"",ROUND(SUMIFS(Sales!$Y$5:$Y$1204,Sales!$F$5:$F$1204,A31,Sales!$B$5:$B$1204,"&gt;="&amp;TodayDate-28)/X31,2)))</f>
        <v>0</v>
      </c>
      <c r="AI31" s="27">
        <f>IF(B31="","",IF(COUNTIFS(Appointments!$I$5:$I$1204,A31,Appointments!$M$5:$M$1204,"Completed")=0,"",COUNTIFS(Appointments!$I$5:$I$1204,A31,Appointments!$AF$5:$AF$1204,"Yes")/COUNTIFS(Appointments!$I$5:$I$1204,A31,Appointments!$M$5:$M$1204,"Completed")))</f>
        <v>0</v>
      </c>
      <c r="AJ31" s="26">
        <f>IF(B31="","",ROUND(SUMIFS(Payments!$G$5:$G$1204,Payments!$J$5:$J$1204,A31,Payments!$E$5:$E$1204,"Tip"),2))</f>
        <v>0</v>
      </c>
      <c r="AK31" s="26">
        <f>IF(B31="","",ROUND(SUMIFS(Commissions!$V$5:$V$244,Commissions!$C$5:$C$244,A31),2))</f>
        <v>0</v>
      </c>
      <c r="AL31" s="26">
        <f>IF(B31="","",ROUND(SUMIFS(Payroll!$Y$5:$Y$364,Payroll!$D$5:$D$364,A31,Payroll!$Q$5:$Q$364,ThisMonthKey),2))</f>
        <v>0</v>
      </c>
      <c r="AM31" s="26">
        <f>IF(B31="","",ROUND(AD31-AL31,2))</f>
        <v>0</v>
      </c>
      <c r="AN31" s="25">
        <f>IF(B31="","",COUNTIFS($AC$5:$AC$44,"&gt;"&amp;AC31)+COUNTIFS($AC$5:AC31,AC31))</f>
        <v>0</v>
      </c>
      <c r="AO31" s="39">
        <f>IF(B31="","",IF(G31&lt;&gt;"Active","",IF(L31="","Add - pick a commission method",IF(IF(J31="",TRUE,J31=0),"Add - no hours, no utilisation",IF(Z31&lt;0.5,"Check - chair is half empty",IF(AM31&lt;0,"Loss - pay is ahead of sales",IF(IF(R31="",FALSE,AD31&lt;R31*0.8),"Below - behind the monthly target",IF(AG31&lt;TargetRetailShare,"Action - barely selling any product","OK"))))))))</f>
        <v>0</v>
      </c>
    </row>
    <row r="32" spans="1:41">
      <c r="A32" s="28">
        <f>IF(B32="","",StaffPrefix&amp;TEXT(ROW()-4,"000"))</f>
        <v>0</v>
      </c>
      <c r="T32" s="25">
        <f>IF(B32="","",COUNTIFS(Appointments!$I$5:$I$1204,A32))</f>
        <v>0</v>
      </c>
      <c r="U32" s="25">
        <f>IF(B32="","",COUNTIFS(Appointments!$I$5:$I$1204,A32,Appointments!$M$5:$M$1204,"Completed"))</f>
        <v>0</v>
      </c>
      <c r="V32" s="25">
        <f>IF(B32="","",COUNTIFS(Appointments!$I$5:$I$1204,A32,Appointments!$M$5:$M$1204,"No show"))</f>
        <v>0</v>
      </c>
      <c r="W32" s="25">
        <f>IF(B32="","",COUNTIFS(Clients!$I$5:$I$504,A32))</f>
        <v>0</v>
      </c>
      <c r="X32" s="37">
        <f>IF(B32="","",ROUND(SUMIFS(Appointments!$X$5:$X$1204,Appointments!$I$5:$I$1204,A32,Appointments!$M$5:$M$1204,"Completed",Appointments!$B$5:$B$1204,"&gt;="&amp;TodayDate-28),1))</f>
        <v>0</v>
      </c>
      <c r="Y32" s="37">
        <f>IF(B32="","",IF(J32="",0,ROUND(J32*4,1)))</f>
        <v>0</v>
      </c>
      <c r="Z32" s="27">
        <f>IF(B32="","",IF(Y32=0,"",X32/Y32))</f>
        <v>0</v>
      </c>
      <c r="AA32" s="26">
        <f>IF(B32="","",ROUND(SUMIFS(Sales!$Y$5:$Y$1204,Sales!$F$5:$F$1204,A32,Sales!$H$5:$H$1204,"Service"),2))</f>
        <v>0</v>
      </c>
      <c r="AB32" s="26">
        <f>IF(B32="","",ROUND(SUMIFS(Sales!$Y$5:$Y$1204,Sales!$F$5:$F$1204,A32,Sales!$H$5:$H$1204,"Retail"),2))</f>
        <v>0</v>
      </c>
      <c r="AC32" s="26">
        <f>IF(B32="","",ROUND(SUMIFS(Sales!$Y$5:$Y$1204,Sales!$F$5:$F$1204,A32),2))</f>
        <v>0</v>
      </c>
      <c r="AD32" s="26">
        <f>IF(B32="","",ROUND(SUMIFS(Sales!$Y$5:$Y$1204,Sales!$F$5:$F$1204,A32,Sales!$R$5:$R$1204,ThisMonthKey),2))</f>
        <v>0</v>
      </c>
      <c r="AE32" s="26">
        <f>IF(B32="","",IF(R32="","",ROUND(AD32-R32,2)))</f>
        <v>0</v>
      </c>
      <c r="AF32" s="26">
        <f>IF(B32="","",IF(U32=0,"",ROUND(AC32/U32,2)))</f>
        <v>0</v>
      </c>
      <c r="AG32" s="27">
        <f>IF(B32="","",IF(AC32=0,"",AB32/AC32))</f>
        <v>0</v>
      </c>
      <c r="AH32" s="26">
        <f>IF(B32="","",IF(X32=0,"",ROUND(SUMIFS(Sales!$Y$5:$Y$1204,Sales!$F$5:$F$1204,A32,Sales!$B$5:$B$1204,"&gt;="&amp;TodayDate-28)/X32,2)))</f>
        <v>0</v>
      </c>
      <c r="AI32" s="27">
        <f>IF(B32="","",IF(COUNTIFS(Appointments!$I$5:$I$1204,A32,Appointments!$M$5:$M$1204,"Completed")=0,"",COUNTIFS(Appointments!$I$5:$I$1204,A32,Appointments!$AF$5:$AF$1204,"Yes")/COUNTIFS(Appointments!$I$5:$I$1204,A32,Appointments!$M$5:$M$1204,"Completed")))</f>
        <v>0</v>
      </c>
      <c r="AJ32" s="26">
        <f>IF(B32="","",ROUND(SUMIFS(Payments!$G$5:$G$1204,Payments!$J$5:$J$1204,A32,Payments!$E$5:$E$1204,"Tip"),2))</f>
        <v>0</v>
      </c>
      <c r="AK32" s="26">
        <f>IF(B32="","",ROUND(SUMIFS(Commissions!$V$5:$V$244,Commissions!$C$5:$C$244,A32),2))</f>
        <v>0</v>
      </c>
      <c r="AL32" s="26">
        <f>IF(B32="","",ROUND(SUMIFS(Payroll!$Y$5:$Y$364,Payroll!$D$5:$D$364,A32,Payroll!$Q$5:$Q$364,ThisMonthKey),2))</f>
        <v>0</v>
      </c>
      <c r="AM32" s="26">
        <f>IF(B32="","",ROUND(AD32-AL32,2))</f>
        <v>0</v>
      </c>
      <c r="AN32" s="25">
        <f>IF(B32="","",COUNTIFS($AC$5:$AC$44,"&gt;"&amp;AC32)+COUNTIFS($AC$5:AC32,AC32))</f>
        <v>0</v>
      </c>
      <c r="AO32" s="39">
        <f>IF(B32="","",IF(G32&lt;&gt;"Active","",IF(L32="","Add - pick a commission method",IF(IF(J32="",TRUE,J32=0),"Add - no hours, no utilisation",IF(Z32&lt;0.5,"Check - chair is half empty",IF(AM32&lt;0,"Loss - pay is ahead of sales",IF(IF(R32="",FALSE,AD32&lt;R32*0.8),"Below - behind the monthly target",IF(AG32&lt;TargetRetailShare,"Action - barely selling any product","OK"))))))))</f>
        <v>0</v>
      </c>
    </row>
    <row r="33" spans="1:41">
      <c r="A33" s="28">
        <f>IF(B33="","",StaffPrefix&amp;TEXT(ROW()-4,"000"))</f>
        <v>0</v>
      </c>
      <c r="T33" s="25">
        <f>IF(B33="","",COUNTIFS(Appointments!$I$5:$I$1204,A33))</f>
        <v>0</v>
      </c>
      <c r="U33" s="25">
        <f>IF(B33="","",COUNTIFS(Appointments!$I$5:$I$1204,A33,Appointments!$M$5:$M$1204,"Completed"))</f>
        <v>0</v>
      </c>
      <c r="V33" s="25">
        <f>IF(B33="","",COUNTIFS(Appointments!$I$5:$I$1204,A33,Appointments!$M$5:$M$1204,"No show"))</f>
        <v>0</v>
      </c>
      <c r="W33" s="25">
        <f>IF(B33="","",COUNTIFS(Clients!$I$5:$I$504,A33))</f>
        <v>0</v>
      </c>
      <c r="X33" s="37">
        <f>IF(B33="","",ROUND(SUMIFS(Appointments!$X$5:$X$1204,Appointments!$I$5:$I$1204,A33,Appointments!$M$5:$M$1204,"Completed",Appointments!$B$5:$B$1204,"&gt;="&amp;TodayDate-28),1))</f>
        <v>0</v>
      </c>
      <c r="Y33" s="37">
        <f>IF(B33="","",IF(J33="",0,ROUND(J33*4,1)))</f>
        <v>0</v>
      </c>
      <c r="Z33" s="27">
        <f>IF(B33="","",IF(Y33=0,"",X33/Y33))</f>
        <v>0</v>
      </c>
      <c r="AA33" s="26">
        <f>IF(B33="","",ROUND(SUMIFS(Sales!$Y$5:$Y$1204,Sales!$F$5:$F$1204,A33,Sales!$H$5:$H$1204,"Service"),2))</f>
        <v>0</v>
      </c>
      <c r="AB33" s="26">
        <f>IF(B33="","",ROUND(SUMIFS(Sales!$Y$5:$Y$1204,Sales!$F$5:$F$1204,A33,Sales!$H$5:$H$1204,"Retail"),2))</f>
        <v>0</v>
      </c>
      <c r="AC33" s="26">
        <f>IF(B33="","",ROUND(SUMIFS(Sales!$Y$5:$Y$1204,Sales!$F$5:$F$1204,A33),2))</f>
        <v>0</v>
      </c>
      <c r="AD33" s="26">
        <f>IF(B33="","",ROUND(SUMIFS(Sales!$Y$5:$Y$1204,Sales!$F$5:$F$1204,A33,Sales!$R$5:$R$1204,ThisMonthKey),2))</f>
        <v>0</v>
      </c>
      <c r="AE33" s="26">
        <f>IF(B33="","",IF(R33="","",ROUND(AD33-R33,2)))</f>
        <v>0</v>
      </c>
      <c r="AF33" s="26">
        <f>IF(B33="","",IF(U33=0,"",ROUND(AC33/U33,2)))</f>
        <v>0</v>
      </c>
      <c r="AG33" s="27">
        <f>IF(B33="","",IF(AC33=0,"",AB33/AC33))</f>
        <v>0</v>
      </c>
      <c r="AH33" s="26">
        <f>IF(B33="","",IF(X33=0,"",ROUND(SUMIFS(Sales!$Y$5:$Y$1204,Sales!$F$5:$F$1204,A33,Sales!$B$5:$B$1204,"&gt;="&amp;TodayDate-28)/X33,2)))</f>
        <v>0</v>
      </c>
      <c r="AI33" s="27">
        <f>IF(B33="","",IF(COUNTIFS(Appointments!$I$5:$I$1204,A33,Appointments!$M$5:$M$1204,"Completed")=0,"",COUNTIFS(Appointments!$I$5:$I$1204,A33,Appointments!$AF$5:$AF$1204,"Yes")/COUNTIFS(Appointments!$I$5:$I$1204,A33,Appointments!$M$5:$M$1204,"Completed")))</f>
        <v>0</v>
      </c>
      <c r="AJ33" s="26">
        <f>IF(B33="","",ROUND(SUMIFS(Payments!$G$5:$G$1204,Payments!$J$5:$J$1204,A33,Payments!$E$5:$E$1204,"Tip"),2))</f>
        <v>0</v>
      </c>
      <c r="AK33" s="26">
        <f>IF(B33="","",ROUND(SUMIFS(Commissions!$V$5:$V$244,Commissions!$C$5:$C$244,A33),2))</f>
        <v>0</v>
      </c>
      <c r="AL33" s="26">
        <f>IF(B33="","",ROUND(SUMIFS(Payroll!$Y$5:$Y$364,Payroll!$D$5:$D$364,A33,Payroll!$Q$5:$Q$364,ThisMonthKey),2))</f>
        <v>0</v>
      </c>
      <c r="AM33" s="26">
        <f>IF(B33="","",ROUND(AD33-AL33,2))</f>
        <v>0</v>
      </c>
      <c r="AN33" s="25">
        <f>IF(B33="","",COUNTIFS($AC$5:$AC$44,"&gt;"&amp;AC33)+COUNTIFS($AC$5:AC33,AC33))</f>
        <v>0</v>
      </c>
      <c r="AO33" s="39">
        <f>IF(B33="","",IF(G33&lt;&gt;"Active","",IF(L33="","Add - pick a commission method",IF(IF(J33="",TRUE,J33=0),"Add - no hours, no utilisation",IF(Z33&lt;0.5,"Check - chair is half empty",IF(AM33&lt;0,"Loss - pay is ahead of sales",IF(IF(R33="",FALSE,AD33&lt;R33*0.8),"Below - behind the monthly target",IF(AG33&lt;TargetRetailShare,"Action - barely selling any product","OK"))))))))</f>
        <v>0</v>
      </c>
    </row>
    <row r="34" spans="1:41">
      <c r="A34" s="28">
        <f>IF(B34="","",StaffPrefix&amp;TEXT(ROW()-4,"000"))</f>
        <v>0</v>
      </c>
      <c r="T34" s="25">
        <f>IF(B34="","",COUNTIFS(Appointments!$I$5:$I$1204,A34))</f>
        <v>0</v>
      </c>
      <c r="U34" s="25">
        <f>IF(B34="","",COUNTIFS(Appointments!$I$5:$I$1204,A34,Appointments!$M$5:$M$1204,"Completed"))</f>
        <v>0</v>
      </c>
      <c r="V34" s="25">
        <f>IF(B34="","",COUNTIFS(Appointments!$I$5:$I$1204,A34,Appointments!$M$5:$M$1204,"No show"))</f>
        <v>0</v>
      </c>
      <c r="W34" s="25">
        <f>IF(B34="","",COUNTIFS(Clients!$I$5:$I$504,A34))</f>
        <v>0</v>
      </c>
      <c r="X34" s="37">
        <f>IF(B34="","",ROUND(SUMIFS(Appointments!$X$5:$X$1204,Appointments!$I$5:$I$1204,A34,Appointments!$M$5:$M$1204,"Completed",Appointments!$B$5:$B$1204,"&gt;="&amp;TodayDate-28),1))</f>
        <v>0</v>
      </c>
      <c r="Y34" s="37">
        <f>IF(B34="","",IF(J34="",0,ROUND(J34*4,1)))</f>
        <v>0</v>
      </c>
      <c r="Z34" s="27">
        <f>IF(B34="","",IF(Y34=0,"",X34/Y34))</f>
        <v>0</v>
      </c>
      <c r="AA34" s="26">
        <f>IF(B34="","",ROUND(SUMIFS(Sales!$Y$5:$Y$1204,Sales!$F$5:$F$1204,A34,Sales!$H$5:$H$1204,"Service"),2))</f>
        <v>0</v>
      </c>
      <c r="AB34" s="26">
        <f>IF(B34="","",ROUND(SUMIFS(Sales!$Y$5:$Y$1204,Sales!$F$5:$F$1204,A34,Sales!$H$5:$H$1204,"Retail"),2))</f>
        <v>0</v>
      </c>
      <c r="AC34" s="26">
        <f>IF(B34="","",ROUND(SUMIFS(Sales!$Y$5:$Y$1204,Sales!$F$5:$F$1204,A34),2))</f>
        <v>0</v>
      </c>
      <c r="AD34" s="26">
        <f>IF(B34="","",ROUND(SUMIFS(Sales!$Y$5:$Y$1204,Sales!$F$5:$F$1204,A34,Sales!$R$5:$R$1204,ThisMonthKey),2))</f>
        <v>0</v>
      </c>
      <c r="AE34" s="26">
        <f>IF(B34="","",IF(R34="","",ROUND(AD34-R34,2)))</f>
        <v>0</v>
      </c>
      <c r="AF34" s="26">
        <f>IF(B34="","",IF(U34=0,"",ROUND(AC34/U34,2)))</f>
        <v>0</v>
      </c>
      <c r="AG34" s="27">
        <f>IF(B34="","",IF(AC34=0,"",AB34/AC34))</f>
        <v>0</v>
      </c>
      <c r="AH34" s="26">
        <f>IF(B34="","",IF(X34=0,"",ROUND(SUMIFS(Sales!$Y$5:$Y$1204,Sales!$F$5:$F$1204,A34,Sales!$B$5:$B$1204,"&gt;="&amp;TodayDate-28)/X34,2)))</f>
        <v>0</v>
      </c>
      <c r="AI34" s="27">
        <f>IF(B34="","",IF(COUNTIFS(Appointments!$I$5:$I$1204,A34,Appointments!$M$5:$M$1204,"Completed")=0,"",COUNTIFS(Appointments!$I$5:$I$1204,A34,Appointments!$AF$5:$AF$1204,"Yes")/COUNTIFS(Appointments!$I$5:$I$1204,A34,Appointments!$M$5:$M$1204,"Completed")))</f>
        <v>0</v>
      </c>
      <c r="AJ34" s="26">
        <f>IF(B34="","",ROUND(SUMIFS(Payments!$G$5:$G$1204,Payments!$J$5:$J$1204,A34,Payments!$E$5:$E$1204,"Tip"),2))</f>
        <v>0</v>
      </c>
      <c r="AK34" s="26">
        <f>IF(B34="","",ROUND(SUMIFS(Commissions!$V$5:$V$244,Commissions!$C$5:$C$244,A34),2))</f>
        <v>0</v>
      </c>
      <c r="AL34" s="26">
        <f>IF(B34="","",ROUND(SUMIFS(Payroll!$Y$5:$Y$364,Payroll!$D$5:$D$364,A34,Payroll!$Q$5:$Q$364,ThisMonthKey),2))</f>
        <v>0</v>
      </c>
      <c r="AM34" s="26">
        <f>IF(B34="","",ROUND(AD34-AL34,2))</f>
        <v>0</v>
      </c>
      <c r="AN34" s="25">
        <f>IF(B34="","",COUNTIFS($AC$5:$AC$44,"&gt;"&amp;AC34)+COUNTIFS($AC$5:AC34,AC34))</f>
        <v>0</v>
      </c>
      <c r="AO34" s="39">
        <f>IF(B34="","",IF(G34&lt;&gt;"Active","",IF(L34="","Add - pick a commission method",IF(IF(J34="",TRUE,J34=0),"Add - no hours, no utilisation",IF(Z34&lt;0.5,"Check - chair is half empty",IF(AM34&lt;0,"Loss - pay is ahead of sales",IF(IF(R34="",FALSE,AD34&lt;R34*0.8),"Below - behind the monthly target",IF(AG34&lt;TargetRetailShare,"Action - barely selling any product","OK"))))))))</f>
        <v>0</v>
      </c>
    </row>
    <row r="35" spans="1:41">
      <c r="A35" s="28">
        <f>IF(B35="","",StaffPrefix&amp;TEXT(ROW()-4,"000"))</f>
        <v>0</v>
      </c>
      <c r="T35" s="25">
        <f>IF(B35="","",COUNTIFS(Appointments!$I$5:$I$1204,A35))</f>
        <v>0</v>
      </c>
      <c r="U35" s="25">
        <f>IF(B35="","",COUNTIFS(Appointments!$I$5:$I$1204,A35,Appointments!$M$5:$M$1204,"Completed"))</f>
        <v>0</v>
      </c>
      <c r="V35" s="25">
        <f>IF(B35="","",COUNTIFS(Appointments!$I$5:$I$1204,A35,Appointments!$M$5:$M$1204,"No show"))</f>
        <v>0</v>
      </c>
      <c r="W35" s="25">
        <f>IF(B35="","",COUNTIFS(Clients!$I$5:$I$504,A35))</f>
        <v>0</v>
      </c>
      <c r="X35" s="37">
        <f>IF(B35="","",ROUND(SUMIFS(Appointments!$X$5:$X$1204,Appointments!$I$5:$I$1204,A35,Appointments!$M$5:$M$1204,"Completed",Appointments!$B$5:$B$1204,"&gt;="&amp;TodayDate-28),1))</f>
        <v>0</v>
      </c>
      <c r="Y35" s="37">
        <f>IF(B35="","",IF(J35="",0,ROUND(J35*4,1)))</f>
        <v>0</v>
      </c>
      <c r="Z35" s="27">
        <f>IF(B35="","",IF(Y35=0,"",X35/Y35))</f>
        <v>0</v>
      </c>
      <c r="AA35" s="26">
        <f>IF(B35="","",ROUND(SUMIFS(Sales!$Y$5:$Y$1204,Sales!$F$5:$F$1204,A35,Sales!$H$5:$H$1204,"Service"),2))</f>
        <v>0</v>
      </c>
      <c r="AB35" s="26">
        <f>IF(B35="","",ROUND(SUMIFS(Sales!$Y$5:$Y$1204,Sales!$F$5:$F$1204,A35,Sales!$H$5:$H$1204,"Retail"),2))</f>
        <v>0</v>
      </c>
      <c r="AC35" s="26">
        <f>IF(B35="","",ROUND(SUMIFS(Sales!$Y$5:$Y$1204,Sales!$F$5:$F$1204,A35),2))</f>
        <v>0</v>
      </c>
      <c r="AD35" s="26">
        <f>IF(B35="","",ROUND(SUMIFS(Sales!$Y$5:$Y$1204,Sales!$F$5:$F$1204,A35,Sales!$R$5:$R$1204,ThisMonthKey),2))</f>
        <v>0</v>
      </c>
      <c r="AE35" s="26">
        <f>IF(B35="","",IF(R35="","",ROUND(AD35-R35,2)))</f>
        <v>0</v>
      </c>
      <c r="AF35" s="26">
        <f>IF(B35="","",IF(U35=0,"",ROUND(AC35/U35,2)))</f>
        <v>0</v>
      </c>
      <c r="AG35" s="27">
        <f>IF(B35="","",IF(AC35=0,"",AB35/AC35))</f>
        <v>0</v>
      </c>
      <c r="AH35" s="26">
        <f>IF(B35="","",IF(X35=0,"",ROUND(SUMIFS(Sales!$Y$5:$Y$1204,Sales!$F$5:$F$1204,A35,Sales!$B$5:$B$1204,"&gt;="&amp;TodayDate-28)/X35,2)))</f>
        <v>0</v>
      </c>
      <c r="AI35" s="27">
        <f>IF(B35="","",IF(COUNTIFS(Appointments!$I$5:$I$1204,A35,Appointments!$M$5:$M$1204,"Completed")=0,"",COUNTIFS(Appointments!$I$5:$I$1204,A35,Appointments!$AF$5:$AF$1204,"Yes")/COUNTIFS(Appointments!$I$5:$I$1204,A35,Appointments!$M$5:$M$1204,"Completed")))</f>
        <v>0</v>
      </c>
      <c r="AJ35" s="26">
        <f>IF(B35="","",ROUND(SUMIFS(Payments!$G$5:$G$1204,Payments!$J$5:$J$1204,A35,Payments!$E$5:$E$1204,"Tip"),2))</f>
        <v>0</v>
      </c>
      <c r="AK35" s="26">
        <f>IF(B35="","",ROUND(SUMIFS(Commissions!$V$5:$V$244,Commissions!$C$5:$C$244,A35),2))</f>
        <v>0</v>
      </c>
      <c r="AL35" s="26">
        <f>IF(B35="","",ROUND(SUMIFS(Payroll!$Y$5:$Y$364,Payroll!$D$5:$D$364,A35,Payroll!$Q$5:$Q$364,ThisMonthKey),2))</f>
        <v>0</v>
      </c>
      <c r="AM35" s="26">
        <f>IF(B35="","",ROUND(AD35-AL35,2))</f>
        <v>0</v>
      </c>
      <c r="AN35" s="25">
        <f>IF(B35="","",COUNTIFS($AC$5:$AC$44,"&gt;"&amp;AC35)+COUNTIFS($AC$5:AC35,AC35))</f>
        <v>0</v>
      </c>
      <c r="AO35" s="39">
        <f>IF(B35="","",IF(G35&lt;&gt;"Active","",IF(L35="","Add - pick a commission method",IF(IF(J35="",TRUE,J35=0),"Add - no hours, no utilisation",IF(Z35&lt;0.5,"Check - chair is half empty",IF(AM35&lt;0,"Loss - pay is ahead of sales",IF(IF(R35="",FALSE,AD35&lt;R35*0.8),"Below - behind the monthly target",IF(AG35&lt;TargetRetailShare,"Action - barely selling any product","OK"))))))))</f>
        <v>0</v>
      </c>
    </row>
    <row r="36" spans="1:41">
      <c r="A36" s="28">
        <f>IF(B36="","",StaffPrefix&amp;TEXT(ROW()-4,"000"))</f>
        <v>0</v>
      </c>
      <c r="T36" s="25">
        <f>IF(B36="","",COUNTIFS(Appointments!$I$5:$I$1204,A36))</f>
        <v>0</v>
      </c>
      <c r="U36" s="25">
        <f>IF(B36="","",COUNTIFS(Appointments!$I$5:$I$1204,A36,Appointments!$M$5:$M$1204,"Completed"))</f>
        <v>0</v>
      </c>
      <c r="V36" s="25">
        <f>IF(B36="","",COUNTIFS(Appointments!$I$5:$I$1204,A36,Appointments!$M$5:$M$1204,"No show"))</f>
        <v>0</v>
      </c>
      <c r="W36" s="25">
        <f>IF(B36="","",COUNTIFS(Clients!$I$5:$I$504,A36))</f>
        <v>0</v>
      </c>
      <c r="X36" s="37">
        <f>IF(B36="","",ROUND(SUMIFS(Appointments!$X$5:$X$1204,Appointments!$I$5:$I$1204,A36,Appointments!$M$5:$M$1204,"Completed",Appointments!$B$5:$B$1204,"&gt;="&amp;TodayDate-28),1))</f>
        <v>0</v>
      </c>
      <c r="Y36" s="37">
        <f>IF(B36="","",IF(J36="",0,ROUND(J36*4,1)))</f>
        <v>0</v>
      </c>
      <c r="Z36" s="27">
        <f>IF(B36="","",IF(Y36=0,"",X36/Y36))</f>
        <v>0</v>
      </c>
      <c r="AA36" s="26">
        <f>IF(B36="","",ROUND(SUMIFS(Sales!$Y$5:$Y$1204,Sales!$F$5:$F$1204,A36,Sales!$H$5:$H$1204,"Service"),2))</f>
        <v>0</v>
      </c>
      <c r="AB36" s="26">
        <f>IF(B36="","",ROUND(SUMIFS(Sales!$Y$5:$Y$1204,Sales!$F$5:$F$1204,A36,Sales!$H$5:$H$1204,"Retail"),2))</f>
        <v>0</v>
      </c>
      <c r="AC36" s="26">
        <f>IF(B36="","",ROUND(SUMIFS(Sales!$Y$5:$Y$1204,Sales!$F$5:$F$1204,A36),2))</f>
        <v>0</v>
      </c>
      <c r="AD36" s="26">
        <f>IF(B36="","",ROUND(SUMIFS(Sales!$Y$5:$Y$1204,Sales!$F$5:$F$1204,A36,Sales!$R$5:$R$1204,ThisMonthKey),2))</f>
        <v>0</v>
      </c>
      <c r="AE36" s="26">
        <f>IF(B36="","",IF(R36="","",ROUND(AD36-R36,2)))</f>
        <v>0</v>
      </c>
      <c r="AF36" s="26">
        <f>IF(B36="","",IF(U36=0,"",ROUND(AC36/U36,2)))</f>
        <v>0</v>
      </c>
      <c r="AG36" s="27">
        <f>IF(B36="","",IF(AC36=0,"",AB36/AC36))</f>
        <v>0</v>
      </c>
      <c r="AH36" s="26">
        <f>IF(B36="","",IF(X36=0,"",ROUND(SUMIFS(Sales!$Y$5:$Y$1204,Sales!$F$5:$F$1204,A36,Sales!$B$5:$B$1204,"&gt;="&amp;TodayDate-28)/X36,2)))</f>
        <v>0</v>
      </c>
      <c r="AI36" s="27">
        <f>IF(B36="","",IF(COUNTIFS(Appointments!$I$5:$I$1204,A36,Appointments!$M$5:$M$1204,"Completed")=0,"",COUNTIFS(Appointments!$I$5:$I$1204,A36,Appointments!$AF$5:$AF$1204,"Yes")/COUNTIFS(Appointments!$I$5:$I$1204,A36,Appointments!$M$5:$M$1204,"Completed")))</f>
        <v>0</v>
      </c>
      <c r="AJ36" s="26">
        <f>IF(B36="","",ROUND(SUMIFS(Payments!$G$5:$G$1204,Payments!$J$5:$J$1204,A36,Payments!$E$5:$E$1204,"Tip"),2))</f>
        <v>0</v>
      </c>
      <c r="AK36" s="26">
        <f>IF(B36="","",ROUND(SUMIFS(Commissions!$V$5:$V$244,Commissions!$C$5:$C$244,A36),2))</f>
        <v>0</v>
      </c>
      <c r="AL36" s="26">
        <f>IF(B36="","",ROUND(SUMIFS(Payroll!$Y$5:$Y$364,Payroll!$D$5:$D$364,A36,Payroll!$Q$5:$Q$364,ThisMonthKey),2))</f>
        <v>0</v>
      </c>
      <c r="AM36" s="26">
        <f>IF(B36="","",ROUND(AD36-AL36,2))</f>
        <v>0</v>
      </c>
      <c r="AN36" s="25">
        <f>IF(B36="","",COUNTIFS($AC$5:$AC$44,"&gt;"&amp;AC36)+COUNTIFS($AC$5:AC36,AC36))</f>
        <v>0</v>
      </c>
      <c r="AO36" s="39">
        <f>IF(B36="","",IF(G36&lt;&gt;"Active","",IF(L36="","Add - pick a commission method",IF(IF(J36="",TRUE,J36=0),"Add - no hours, no utilisation",IF(Z36&lt;0.5,"Check - chair is half empty",IF(AM36&lt;0,"Loss - pay is ahead of sales",IF(IF(R36="",FALSE,AD36&lt;R36*0.8),"Below - behind the monthly target",IF(AG36&lt;TargetRetailShare,"Action - barely selling any product","OK"))))))))</f>
        <v>0</v>
      </c>
    </row>
    <row r="37" spans="1:41">
      <c r="A37" s="28">
        <f>IF(B37="","",StaffPrefix&amp;TEXT(ROW()-4,"000"))</f>
        <v>0</v>
      </c>
      <c r="T37" s="25">
        <f>IF(B37="","",COUNTIFS(Appointments!$I$5:$I$1204,A37))</f>
        <v>0</v>
      </c>
      <c r="U37" s="25">
        <f>IF(B37="","",COUNTIFS(Appointments!$I$5:$I$1204,A37,Appointments!$M$5:$M$1204,"Completed"))</f>
        <v>0</v>
      </c>
      <c r="V37" s="25">
        <f>IF(B37="","",COUNTIFS(Appointments!$I$5:$I$1204,A37,Appointments!$M$5:$M$1204,"No show"))</f>
        <v>0</v>
      </c>
      <c r="W37" s="25">
        <f>IF(B37="","",COUNTIFS(Clients!$I$5:$I$504,A37))</f>
        <v>0</v>
      </c>
      <c r="X37" s="37">
        <f>IF(B37="","",ROUND(SUMIFS(Appointments!$X$5:$X$1204,Appointments!$I$5:$I$1204,A37,Appointments!$M$5:$M$1204,"Completed",Appointments!$B$5:$B$1204,"&gt;="&amp;TodayDate-28),1))</f>
        <v>0</v>
      </c>
      <c r="Y37" s="37">
        <f>IF(B37="","",IF(J37="",0,ROUND(J37*4,1)))</f>
        <v>0</v>
      </c>
      <c r="Z37" s="27">
        <f>IF(B37="","",IF(Y37=0,"",X37/Y37))</f>
        <v>0</v>
      </c>
      <c r="AA37" s="26">
        <f>IF(B37="","",ROUND(SUMIFS(Sales!$Y$5:$Y$1204,Sales!$F$5:$F$1204,A37,Sales!$H$5:$H$1204,"Service"),2))</f>
        <v>0</v>
      </c>
      <c r="AB37" s="26">
        <f>IF(B37="","",ROUND(SUMIFS(Sales!$Y$5:$Y$1204,Sales!$F$5:$F$1204,A37,Sales!$H$5:$H$1204,"Retail"),2))</f>
        <v>0</v>
      </c>
      <c r="AC37" s="26">
        <f>IF(B37="","",ROUND(SUMIFS(Sales!$Y$5:$Y$1204,Sales!$F$5:$F$1204,A37),2))</f>
        <v>0</v>
      </c>
      <c r="AD37" s="26">
        <f>IF(B37="","",ROUND(SUMIFS(Sales!$Y$5:$Y$1204,Sales!$F$5:$F$1204,A37,Sales!$R$5:$R$1204,ThisMonthKey),2))</f>
        <v>0</v>
      </c>
      <c r="AE37" s="26">
        <f>IF(B37="","",IF(R37="","",ROUND(AD37-R37,2)))</f>
        <v>0</v>
      </c>
      <c r="AF37" s="26">
        <f>IF(B37="","",IF(U37=0,"",ROUND(AC37/U37,2)))</f>
        <v>0</v>
      </c>
      <c r="AG37" s="27">
        <f>IF(B37="","",IF(AC37=0,"",AB37/AC37))</f>
        <v>0</v>
      </c>
      <c r="AH37" s="26">
        <f>IF(B37="","",IF(X37=0,"",ROUND(SUMIFS(Sales!$Y$5:$Y$1204,Sales!$F$5:$F$1204,A37,Sales!$B$5:$B$1204,"&gt;="&amp;TodayDate-28)/X37,2)))</f>
        <v>0</v>
      </c>
      <c r="AI37" s="27">
        <f>IF(B37="","",IF(COUNTIFS(Appointments!$I$5:$I$1204,A37,Appointments!$M$5:$M$1204,"Completed")=0,"",COUNTIFS(Appointments!$I$5:$I$1204,A37,Appointments!$AF$5:$AF$1204,"Yes")/COUNTIFS(Appointments!$I$5:$I$1204,A37,Appointments!$M$5:$M$1204,"Completed")))</f>
        <v>0</v>
      </c>
      <c r="AJ37" s="26">
        <f>IF(B37="","",ROUND(SUMIFS(Payments!$G$5:$G$1204,Payments!$J$5:$J$1204,A37,Payments!$E$5:$E$1204,"Tip"),2))</f>
        <v>0</v>
      </c>
      <c r="AK37" s="26">
        <f>IF(B37="","",ROUND(SUMIFS(Commissions!$V$5:$V$244,Commissions!$C$5:$C$244,A37),2))</f>
        <v>0</v>
      </c>
      <c r="AL37" s="26">
        <f>IF(B37="","",ROUND(SUMIFS(Payroll!$Y$5:$Y$364,Payroll!$D$5:$D$364,A37,Payroll!$Q$5:$Q$364,ThisMonthKey),2))</f>
        <v>0</v>
      </c>
      <c r="AM37" s="26">
        <f>IF(B37="","",ROUND(AD37-AL37,2))</f>
        <v>0</v>
      </c>
      <c r="AN37" s="25">
        <f>IF(B37="","",COUNTIFS($AC$5:$AC$44,"&gt;"&amp;AC37)+COUNTIFS($AC$5:AC37,AC37))</f>
        <v>0</v>
      </c>
      <c r="AO37" s="39">
        <f>IF(B37="","",IF(G37&lt;&gt;"Active","",IF(L37="","Add - pick a commission method",IF(IF(J37="",TRUE,J37=0),"Add - no hours, no utilisation",IF(Z37&lt;0.5,"Check - chair is half empty",IF(AM37&lt;0,"Loss - pay is ahead of sales",IF(IF(R37="",FALSE,AD37&lt;R37*0.8),"Below - behind the monthly target",IF(AG37&lt;TargetRetailShare,"Action - barely selling any product","OK"))))))))</f>
        <v>0</v>
      </c>
    </row>
    <row r="38" spans="1:41">
      <c r="A38" s="28">
        <f>IF(B38="","",StaffPrefix&amp;TEXT(ROW()-4,"000"))</f>
        <v>0</v>
      </c>
      <c r="T38" s="25">
        <f>IF(B38="","",COUNTIFS(Appointments!$I$5:$I$1204,A38))</f>
        <v>0</v>
      </c>
      <c r="U38" s="25">
        <f>IF(B38="","",COUNTIFS(Appointments!$I$5:$I$1204,A38,Appointments!$M$5:$M$1204,"Completed"))</f>
        <v>0</v>
      </c>
      <c r="V38" s="25">
        <f>IF(B38="","",COUNTIFS(Appointments!$I$5:$I$1204,A38,Appointments!$M$5:$M$1204,"No show"))</f>
        <v>0</v>
      </c>
      <c r="W38" s="25">
        <f>IF(B38="","",COUNTIFS(Clients!$I$5:$I$504,A38))</f>
        <v>0</v>
      </c>
      <c r="X38" s="37">
        <f>IF(B38="","",ROUND(SUMIFS(Appointments!$X$5:$X$1204,Appointments!$I$5:$I$1204,A38,Appointments!$M$5:$M$1204,"Completed",Appointments!$B$5:$B$1204,"&gt;="&amp;TodayDate-28),1))</f>
        <v>0</v>
      </c>
      <c r="Y38" s="37">
        <f>IF(B38="","",IF(J38="",0,ROUND(J38*4,1)))</f>
        <v>0</v>
      </c>
      <c r="Z38" s="27">
        <f>IF(B38="","",IF(Y38=0,"",X38/Y38))</f>
        <v>0</v>
      </c>
      <c r="AA38" s="26">
        <f>IF(B38="","",ROUND(SUMIFS(Sales!$Y$5:$Y$1204,Sales!$F$5:$F$1204,A38,Sales!$H$5:$H$1204,"Service"),2))</f>
        <v>0</v>
      </c>
      <c r="AB38" s="26">
        <f>IF(B38="","",ROUND(SUMIFS(Sales!$Y$5:$Y$1204,Sales!$F$5:$F$1204,A38,Sales!$H$5:$H$1204,"Retail"),2))</f>
        <v>0</v>
      </c>
      <c r="AC38" s="26">
        <f>IF(B38="","",ROUND(SUMIFS(Sales!$Y$5:$Y$1204,Sales!$F$5:$F$1204,A38),2))</f>
        <v>0</v>
      </c>
      <c r="AD38" s="26">
        <f>IF(B38="","",ROUND(SUMIFS(Sales!$Y$5:$Y$1204,Sales!$F$5:$F$1204,A38,Sales!$R$5:$R$1204,ThisMonthKey),2))</f>
        <v>0</v>
      </c>
      <c r="AE38" s="26">
        <f>IF(B38="","",IF(R38="","",ROUND(AD38-R38,2)))</f>
        <v>0</v>
      </c>
      <c r="AF38" s="26">
        <f>IF(B38="","",IF(U38=0,"",ROUND(AC38/U38,2)))</f>
        <v>0</v>
      </c>
      <c r="AG38" s="27">
        <f>IF(B38="","",IF(AC38=0,"",AB38/AC38))</f>
        <v>0</v>
      </c>
      <c r="AH38" s="26">
        <f>IF(B38="","",IF(X38=0,"",ROUND(SUMIFS(Sales!$Y$5:$Y$1204,Sales!$F$5:$F$1204,A38,Sales!$B$5:$B$1204,"&gt;="&amp;TodayDate-28)/X38,2)))</f>
        <v>0</v>
      </c>
      <c r="AI38" s="27">
        <f>IF(B38="","",IF(COUNTIFS(Appointments!$I$5:$I$1204,A38,Appointments!$M$5:$M$1204,"Completed")=0,"",COUNTIFS(Appointments!$I$5:$I$1204,A38,Appointments!$AF$5:$AF$1204,"Yes")/COUNTIFS(Appointments!$I$5:$I$1204,A38,Appointments!$M$5:$M$1204,"Completed")))</f>
        <v>0</v>
      </c>
      <c r="AJ38" s="26">
        <f>IF(B38="","",ROUND(SUMIFS(Payments!$G$5:$G$1204,Payments!$J$5:$J$1204,A38,Payments!$E$5:$E$1204,"Tip"),2))</f>
        <v>0</v>
      </c>
      <c r="AK38" s="26">
        <f>IF(B38="","",ROUND(SUMIFS(Commissions!$V$5:$V$244,Commissions!$C$5:$C$244,A38),2))</f>
        <v>0</v>
      </c>
      <c r="AL38" s="26">
        <f>IF(B38="","",ROUND(SUMIFS(Payroll!$Y$5:$Y$364,Payroll!$D$5:$D$364,A38,Payroll!$Q$5:$Q$364,ThisMonthKey),2))</f>
        <v>0</v>
      </c>
      <c r="AM38" s="26">
        <f>IF(B38="","",ROUND(AD38-AL38,2))</f>
        <v>0</v>
      </c>
      <c r="AN38" s="25">
        <f>IF(B38="","",COUNTIFS($AC$5:$AC$44,"&gt;"&amp;AC38)+COUNTIFS($AC$5:AC38,AC38))</f>
        <v>0</v>
      </c>
      <c r="AO38" s="39">
        <f>IF(B38="","",IF(G38&lt;&gt;"Active","",IF(L38="","Add - pick a commission method",IF(IF(J38="",TRUE,J38=0),"Add - no hours, no utilisation",IF(Z38&lt;0.5,"Check - chair is half empty",IF(AM38&lt;0,"Loss - pay is ahead of sales",IF(IF(R38="",FALSE,AD38&lt;R38*0.8),"Below - behind the monthly target",IF(AG38&lt;TargetRetailShare,"Action - barely selling any product","OK"))))))))</f>
        <v>0</v>
      </c>
    </row>
    <row r="39" spans="1:41">
      <c r="A39" s="28">
        <f>IF(B39="","",StaffPrefix&amp;TEXT(ROW()-4,"000"))</f>
        <v>0</v>
      </c>
      <c r="T39" s="25">
        <f>IF(B39="","",COUNTIFS(Appointments!$I$5:$I$1204,A39))</f>
        <v>0</v>
      </c>
      <c r="U39" s="25">
        <f>IF(B39="","",COUNTIFS(Appointments!$I$5:$I$1204,A39,Appointments!$M$5:$M$1204,"Completed"))</f>
        <v>0</v>
      </c>
      <c r="V39" s="25">
        <f>IF(B39="","",COUNTIFS(Appointments!$I$5:$I$1204,A39,Appointments!$M$5:$M$1204,"No show"))</f>
        <v>0</v>
      </c>
      <c r="W39" s="25">
        <f>IF(B39="","",COUNTIFS(Clients!$I$5:$I$504,A39))</f>
        <v>0</v>
      </c>
      <c r="X39" s="37">
        <f>IF(B39="","",ROUND(SUMIFS(Appointments!$X$5:$X$1204,Appointments!$I$5:$I$1204,A39,Appointments!$M$5:$M$1204,"Completed",Appointments!$B$5:$B$1204,"&gt;="&amp;TodayDate-28),1))</f>
        <v>0</v>
      </c>
      <c r="Y39" s="37">
        <f>IF(B39="","",IF(J39="",0,ROUND(J39*4,1)))</f>
        <v>0</v>
      </c>
      <c r="Z39" s="27">
        <f>IF(B39="","",IF(Y39=0,"",X39/Y39))</f>
        <v>0</v>
      </c>
      <c r="AA39" s="26">
        <f>IF(B39="","",ROUND(SUMIFS(Sales!$Y$5:$Y$1204,Sales!$F$5:$F$1204,A39,Sales!$H$5:$H$1204,"Service"),2))</f>
        <v>0</v>
      </c>
      <c r="AB39" s="26">
        <f>IF(B39="","",ROUND(SUMIFS(Sales!$Y$5:$Y$1204,Sales!$F$5:$F$1204,A39,Sales!$H$5:$H$1204,"Retail"),2))</f>
        <v>0</v>
      </c>
      <c r="AC39" s="26">
        <f>IF(B39="","",ROUND(SUMIFS(Sales!$Y$5:$Y$1204,Sales!$F$5:$F$1204,A39),2))</f>
        <v>0</v>
      </c>
      <c r="AD39" s="26">
        <f>IF(B39="","",ROUND(SUMIFS(Sales!$Y$5:$Y$1204,Sales!$F$5:$F$1204,A39,Sales!$R$5:$R$1204,ThisMonthKey),2))</f>
        <v>0</v>
      </c>
      <c r="AE39" s="26">
        <f>IF(B39="","",IF(R39="","",ROUND(AD39-R39,2)))</f>
        <v>0</v>
      </c>
      <c r="AF39" s="26">
        <f>IF(B39="","",IF(U39=0,"",ROUND(AC39/U39,2)))</f>
        <v>0</v>
      </c>
      <c r="AG39" s="27">
        <f>IF(B39="","",IF(AC39=0,"",AB39/AC39))</f>
        <v>0</v>
      </c>
      <c r="AH39" s="26">
        <f>IF(B39="","",IF(X39=0,"",ROUND(SUMIFS(Sales!$Y$5:$Y$1204,Sales!$F$5:$F$1204,A39,Sales!$B$5:$B$1204,"&gt;="&amp;TodayDate-28)/X39,2)))</f>
        <v>0</v>
      </c>
      <c r="AI39" s="27">
        <f>IF(B39="","",IF(COUNTIFS(Appointments!$I$5:$I$1204,A39,Appointments!$M$5:$M$1204,"Completed")=0,"",COUNTIFS(Appointments!$I$5:$I$1204,A39,Appointments!$AF$5:$AF$1204,"Yes")/COUNTIFS(Appointments!$I$5:$I$1204,A39,Appointments!$M$5:$M$1204,"Completed")))</f>
        <v>0</v>
      </c>
      <c r="AJ39" s="26">
        <f>IF(B39="","",ROUND(SUMIFS(Payments!$G$5:$G$1204,Payments!$J$5:$J$1204,A39,Payments!$E$5:$E$1204,"Tip"),2))</f>
        <v>0</v>
      </c>
      <c r="AK39" s="26">
        <f>IF(B39="","",ROUND(SUMIFS(Commissions!$V$5:$V$244,Commissions!$C$5:$C$244,A39),2))</f>
        <v>0</v>
      </c>
      <c r="AL39" s="26">
        <f>IF(B39="","",ROUND(SUMIFS(Payroll!$Y$5:$Y$364,Payroll!$D$5:$D$364,A39,Payroll!$Q$5:$Q$364,ThisMonthKey),2))</f>
        <v>0</v>
      </c>
      <c r="AM39" s="26">
        <f>IF(B39="","",ROUND(AD39-AL39,2))</f>
        <v>0</v>
      </c>
      <c r="AN39" s="25">
        <f>IF(B39="","",COUNTIFS($AC$5:$AC$44,"&gt;"&amp;AC39)+COUNTIFS($AC$5:AC39,AC39))</f>
        <v>0</v>
      </c>
      <c r="AO39" s="39">
        <f>IF(B39="","",IF(G39&lt;&gt;"Active","",IF(L39="","Add - pick a commission method",IF(IF(J39="",TRUE,J39=0),"Add - no hours, no utilisation",IF(Z39&lt;0.5,"Check - chair is half empty",IF(AM39&lt;0,"Loss - pay is ahead of sales",IF(IF(R39="",FALSE,AD39&lt;R39*0.8),"Below - behind the monthly target",IF(AG39&lt;TargetRetailShare,"Action - barely selling any product","OK"))))))))</f>
        <v>0</v>
      </c>
    </row>
    <row r="40" spans="1:41">
      <c r="A40" s="28">
        <f>IF(B40="","",StaffPrefix&amp;TEXT(ROW()-4,"000"))</f>
        <v>0</v>
      </c>
      <c r="T40" s="25">
        <f>IF(B40="","",COUNTIFS(Appointments!$I$5:$I$1204,A40))</f>
        <v>0</v>
      </c>
      <c r="U40" s="25">
        <f>IF(B40="","",COUNTIFS(Appointments!$I$5:$I$1204,A40,Appointments!$M$5:$M$1204,"Completed"))</f>
        <v>0</v>
      </c>
      <c r="V40" s="25">
        <f>IF(B40="","",COUNTIFS(Appointments!$I$5:$I$1204,A40,Appointments!$M$5:$M$1204,"No show"))</f>
        <v>0</v>
      </c>
      <c r="W40" s="25">
        <f>IF(B40="","",COUNTIFS(Clients!$I$5:$I$504,A40))</f>
        <v>0</v>
      </c>
      <c r="X40" s="37">
        <f>IF(B40="","",ROUND(SUMIFS(Appointments!$X$5:$X$1204,Appointments!$I$5:$I$1204,A40,Appointments!$M$5:$M$1204,"Completed",Appointments!$B$5:$B$1204,"&gt;="&amp;TodayDate-28),1))</f>
        <v>0</v>
      </c>
      <c r="Y40" s="37">
        <f>IF(B40="","",IF(J40="",0,ROUND(J40*4,1)))</f>
        <v>0</v>
      </c>
      <c r="Z40" s="27">
        <f>IF(B40="","",IF(Y40=0,"",X40/Y40))</f>
        <v>0</v>
      </c>
      <c r="AA40" s="26">
        <f>IF(B40="","",ROUND(SUMIFS(Sales!$Y$5:$Y$1204,Sales!$F$5:$F$1204,A40,Sales!$H$5:$H$1204,"Service"),2))</f>
        <v>0</v>
      </c>
      <c r="AB40" s="26">
        <f>IF(B40="","",ROUND(SUMIFS(Sales!$Y$5:$Y$1204,Sales!$F$5:$F$1204,A40,Sales!$H$5:$H$1204,"Retail"),2))</f>
        <v>0</v>
      </c>
      <c r="AC40" s="26">
        <f>IF(B40="","",ROUND(SUMIFS(Sales!$Y$5:$Y$1204,Sales!$F$5:$F$1204,A40),2))</f>
        <v>0</v>
      </c>
      <c r="AD40" s="26">
        <f>IF(B40="","",ROUND(SUMIFS(Sales!$Y$5:$Y$1204,Sales!$F$5:$F$1204,A40,Sales!$R$5:$R$1204,ThisMonthKey),2))</f>
        <v>0</v>
      </c>
      <c r="AE40" s="26">
        <f>IF(B40="","",IF(R40="","",ROUND(AD40-R40,2)))</f>
        <v>0</v>
      </c>
      <c r="AF40" s="26">
        <f>IF(B40="","",IF(U40=0,"",ROUND(AC40/U40,2)))</f>
        <v>0</v>
      </c>
      <c r="AG40" s="27">
        <f>IF(B40="","",IF(AC40=0,"",AB40/AC40))</f>
        <v>0</v>
      </c>
      <c r="AH40" s="26">
        <f>IF(B40="","",IF(X40=0,"",ROUND(SUMIFS(Sales!$Y$5:$Y$1204,Sales!$F$5:$F$1204,A40,Sales!$B$5:$B$1204,"&gt;="&amp;TodayDate-28)/X40,2)))</f>
        <v>0</v>
      </c>
      <c r="AI40" s="27">
        <f>IF(B40="","",IF(COUNTIFS(Appointments!$I$5:$I$1204,A40,Appointments!$M$5:$M$1204,"Completed")=0,"",COUNTIFS(Appointments!$I$5:$I$1204,A40,Appointments!$AF$5:$AF$1204,"Yes")/COUNTIFS(Appointments!$I$5:$I$1204,A40,Appointments!$M$5:$M$1204,"Completed")))</f>
        <v>0</v>
      </c>
      <c r="AJ40" s="26">
        <f>IF(B40="","",ROUND(SUMIFS(Payments!$G$5:$G$1204,Payments!$J$5:$J$1204,A40,Payments!$E$5:$E$1204,"Tip"),2))</f>
        <v>0</v>
      </c>
      <c r="AK40" s="26">
        <f>IF(B40="","",ROUND(SUMIFS(Commissions!$V$5:$V$244,Commissions!$C$5:$C$244,A40),2))</f>
        <v>0</v>
      </c>
      <c r="AL40" s="26">
        <f>IF(B40="","",ROUND(SUMIFS(Payroll!$Y$5:$Y$364,Payroll!$D$5:$D$364,A40,Payroll!$Q$5:$Q$364,ThisMonthKey),2))</f>
        <v>0</v>
      </c>
      <c r="AM40" s="26">
        <f>IF(B40="","",ROUND(AD40-AL40,2))</f>
        <v>0</v>
      </c>
      <c r="AN40" s="25">
        <f>IF(B40="","",COUNTIFS($AC$5:$AC$44,"&gt;"&amp;AC40)+COUNTIFS($AC$5:AC40,AC40))</f>
        <v>0</v>
      </c>
      <c r="AO40" s="39">
        <f>IF(B40="","",IF(G40&lt;&gt;"Active","",IF(L40="","Add - pick a commission method",IF(IF(J40="",TRUE,J40=0),"Add - no hours, no utilisation",IF(Z40&lt;0.5,"Check - chair is half empty",IF(AM40&lt;0,"Loss - pay is ahead of sales",IF(IF(R40="",FALSE,AD40&lt;R40*0.8),"Below - behind the monthly target",IF(AG40&lt;TargetRetailShare,"Action - barely selling any product","OK"))))))))</f>
        <v>0</v>
      </c>
    </row>
    <row r="41" spans="1:41">
      <c r="A41" s="28">
        <f>IF(B41="","",StaffPrefix&amp;TEXT(ROW()-4,"000"))</f>
        <v>0</v>
      </c>
      <c r="T41" s="25">
        <f>IF(B41="","",COUNTIFS(Appointments!$I$5:$I$1204,A41))</f>
        <v>0</v>
      </c>
      <c r="U41" s="25">
        <f>IF(B41="","",COUNTIFS(Appointments!$I$5:$I$1204,A41,Appointments!$M$5:$M$1204,"Completed"))</f>
        <v>0</v>
      </c>
      <c r="V41" s="25">
        <f>IF(B41="","",COUNTIFS(Appointments!$I$5:$I$1204,A41,Appointments!$M$5:$M$1204,"No show"))</f>
        <v>0</v>
      </c>
      <c r="W41" s="25">
        <f>IF(B41="","",COUNTIFS(Clients!$I$5:$I$504,A41))</f>
        <v>0</v>
      </c>
      <c r="X41" s="37">
        <f>IF(B41="","",ROUND(SUMIFS(Appointments!$X$5:$X$1204,Appointments!$I$5:$I$1204,A41,Appointments!$M$5:$M$1204,"Completed",Appointments!$B$5:$B$1204,"&gt;="&amp;TodayDate-28),1))</f>
        <v>0</v>
      </c>
      <c r="Y41" s="37">
        <f>IF(B41="","",IF(J41="",0,ROUND(J41*4,1)))</f>
        <v>0</v>
      </c>
      <c r="Z41" s="27">
        <f>IF(B41="","",IF(Y41=0,"",X41/Y41))</f>
        <v>0</v>
      </c>
      <c r="AA41" s="26">
        <f>IF(B41="","",ROUND(SUMIFS(Sales!$Y$5:$Y$1204,Sales!$F$5:$F$1204,A41,Sales!$H$5:$H$1204,"Service"),2))</f>
        <v>0</v>
      </c>
      <c r="AB41" s="26">
        <f>IF(B41="","",ROUND(SUMIFS(Sales!$Y$5:$Y$1204,Sales!$F$5:$F$1204,A41,Sales!$H$5:$H$1204,"Retail"),2))</f>
        <v>0</v>
      </c>
      <c r="AC41" s="26">
        <f>IF(B41="","",ROUND(SUMIFS(Sales!$Y$5:$Y$1204,Sales!$F$5:$F$1204,A41),2))</f>
        <v>0</v>
      </c>
      <c r="AD41" s="26">
        <f>IF(B41="","",ROUND(SUMIFS(Sales!$Y$5:$Y$1204,Sales!$F$5:$F$1204,A41,Sales!$R$5:$R$1204,ThisMonthKey),2))</f>
        <v>0</v>
      </c>
      <c r="AE41" s="26">
        <f>IF(B41="","",IF(R41="","",ROUND(AD41-R41,2)))</f>
        <v>0</v>
      </c>
      <c r="AF41" s="26">
        <f>IF(B41="","",IF(U41=0,"",ROUND(AC41/U41,2)))</f>
        <v>0</v>
      </c>
      <c r="AG41" s="27">
        <f>IF(B41="","",IF(AC41=0,"",AB41/AC41))</f>
        <v>0</v>
      </c>
      <c r="AH41" s="26">
        <f>IF(B41="","",IF(X41=0,"",ROUND(SUMIFS(Sales!$Y$5:$Y$1204,Sales!$F$5:$F$1204,A41,Sales!$B$5:$B$1204,"&gt;="&amp;TodayDate-28)/X41,2)))</f>
        <v>0</v>
      </c>
      <c r="AI41" s="27">
        <f>IF(B41="","",IF(COUNTIFS(Appointments!$I$5:$I$1204,A41,Appointments!$M$5:$M$1204,"Completed")=0,"",COUNTIFS(Appointments!$I$5:$I$1204,A41,Appointments!$AF$5:$AF$1204,"Yes")/COUNTIFS(Appointments!$I$5:$I$1204,A41,Appointments!$M$5:$M$1204,"Completed")))</f>
        <v>0</v>
      </c>
      <c r="AJ41" s="26">
        <f>IF(B41="","",ROUND(SUMIFS(Payments!$G$5:$G$1204,Payments!$J$5:$J$1204,A41,Payments!$E$5:$E$1204,"Tip"),2))</f>
        <v>0</v>
      </c>
      <c r="AK41" s="26">
        <f>IF(B41="","",ROUND(SUMIFS(Commissions!$V$5:$V$244,Commissions!$C$5:$C$244,A41),2))</f>
        <v>0</v>
      </c>
      <c r="AL41" s="26">
        <f>IF(B41="","",ROUND(SUMIFS(Payroll!$Y$5:$Y$364,Payroll!$D$5:$D$364,A41,Payroll!$Q$5:$Q$364,ThisMonthKey),2))</f>
        <v>0</v>
      </c>
      <c r="AM41" s="26">
        <f>IF(B41="","",ROUND(AD41-AL41,2))</f>
        <v>0</v>
      </c>
      <c r="AN41" s="25">
        <f>IF(B41="","",COUNTIFS($AC$5:$AC$44,"&gt;"&amp;AC41)+COUNTIFS($AC$5:AC41,AC41))</f>
        <v>0</v>
      </c>
      <c r="AO41" s="39">
        <f>IF(B41="","",IF(G41&lt;&gt;"Active","",IF(L41="","Add - pick a commission method",IF(IF(J41="",TRUE,J41=0),"Add - no hours, no utilisation",IF(Z41&lt;0.5,"Check - chair is half empty",IF(AM41&lt;0,"Loss - pay is ahead of sales",IF(IF(R41="",FALSE,AD41&lt;R41*0.8),"Below - behind the monthly target",IF(AG41&lt;TargetRetailShare,"Action - barely selling any product","OK"))))))))</f>
        <v>0</v>
      </c>
    </row>
    <row r="42" spans="1:41">
      <c r="A42" s="28">
        <f>IF(B42="","",StaffPrefix&amp;TEXT(ROW()-4,"000"))</f>
        <v>0</v>
      </c>
      <c r="T42" s="25">
        <f>IF(B42="","",COUNTIFS(Appointments!$I$5:$I$1204,A42))</f>
        <v>0</v>
      </c>
      <c r="U42" s="25">
        <f>IF(B42="","",COUNTIFS(Appointments!$I$5:$I$1204,A42,Appointments!$M$5:$M$1204,"Completed"))</f>
        <v>0</v>
      </c>
      <c r="V42" s="25">
        <f>IF(B42="","",COUNTIFS(Appointments!$I$5:$I$1204,A42,Appointments!$M$5:$M$1204,"No show"))</f>
        <v>0</v>
      </c>
      <c r="W42" s="25">
        <f>IF(B42="","",COUNTIFS(Clients!$I$5:$I$504,A42))</f>
        <v>0</v>
      </c>
      <c r="X42" s="37">
        <f>IF(B42="","",ROUND(SUMIFS(Appointments!$X$5:$X$1204,Appointments!$I$5:$I$1204,A42,Appointments!$M$5:$M$1204,"Completed",Appointments!$B$5:$B$1204,"&gt;="&amp;TodayDate-28),1))</f>
        <v>0</v>
      </c>
      <c r="Y42" s="37">
        <f>IF(B42="","",IF(J42="",0,ROUND(J42*4,1)))</f>
        <v>0</v>
      </c>
      <c r="Z42" s="27">
        <f>IF(B42="","",IF(Y42=0,"",X42/Y42))</f>
        <v>0</v>
      </c>
      <c r="AA42" s="26">
        <f>IF(B42="","",ROUND(SUMIFS(Sales!$Y$5:$Y$1204,Sales!$F$5:$F$1204,A42,Sales!$H$5:$H$1204,"Service"),2))</f>
        <v>0</v>
      </c>
      <c r="AB42" s="26">
        <f>IF(B42="","",ROUND(SUMIFS(Sales!$Y$5:$Y$1204,Sales!$F$5:$F$1204,A42,Sales!$H$5:$H$1204,"Retail"),2))</f>
        <v>0</v>
      </c>
      <c r="AC42" s="26">
        <f>IF(B42="","",ROUND(SUMIFS(Sales!$Y$5:$Y$1204,Sales!$F$5:$F$1204,A42),2))</f>
        <v>0</v>
      </c>
      <c r="AD42" s="26">
        <f>IF(B42="","",ROUND(SUMIFS(Sales!$Y$5:$Y$1204,Sales!$F$5:$F$1204,A42,Sales!$R$5:$R$1204,ThisMonthKey),2))</f>
        <v>0</v>
      </c>
      <c r="AE42" s="26">
        <f>IF(B42="","",IF(R42="","",ROUND(AD42-R42,2)))</f>
        <v>0</v>
      </c>
      <c r="AF42" s="26">
        <f>IF(B42="","",IF(U42=0,"",ROUND(AC42/U42,2)))</f>
        <v>0</v>
      </c>
      <c r="AG42" s="27">
        <f>IF(B42="","",IF(AC42=0,"",AB42/AC42))</f>
        <v>0</v>
      </c>
      <c r="AH42" s="26">
        <f>IF(B42="","",IF(X42=0,"",ROUND(SUMIFS(Sales!$Y$5:$Y$1204,Sales!$F$5:$F$1204,A42,Sales!$B$5:$B$1204,"&gt;="&amp;TodayDate-28)/X42,2)))</f>
        <v>0</v>
      </c>
      <c r="AI42" s="27">
        <f>IF(B42="","",IF(COUNTIFS(Appointments!$I$5:$I$1204,A42,Appointments!$M$5:$M$1204,"Completed")=0,"",COUNTIFS(Appointments!$I$5:$I$1204,A42,Appointments!$AF$5:$AF$1204,"Yes")/COUNTIFS(Appointments!$I$5:$I$1204,A42,Appointments!$M$5:$M$1204,"Completed")))</f>
        <v>0</v>
      </c>
      <c r="AJ42" s="26">
        <f>IF(B42="","",ROUND(SUMIFS(Payments!$G$5:$G$1204,Payments!$J$5:$J$1204,A42,Payments!$E$5:$E$1204,"Tip"),2))</f>
        <v>0</v>
      </c>
      <c r="AK42" s="26">
        <f>IF(B42="","",ROUND(SUMIFS(Commissions!$V$5:$V$244,Commissions!$C$5:$C$244,A42),2))</f>
        <v>0</v>
      </c>
      <c r="AL42" s="26">
        <f>IF(B42="","",ROUND(SUMIFS(Payroll!$Y$5:$Y$364,Payroll!$D$5:$D$364,A42,Payroll!$Q$5:$Q$364,ThisMonthKey),2))</f>
        <v>0</v>
      </c>
      <c r="AM42" s="26">
        <f>IF(B42="","",ROUND(AD42-AL42,2))</f>
        <v>0</v>
      </c>
      <c r="AN42" s="25">
        <f>IF(B42="","",COUNTIFS($AC$5:$AC$44,"&gt;"&amp;AC42)+COUNTIFS($AC$5:AC42,AC42))</f>
        <v>0</v>
      </c>
      <c r="AO42" s="39">
        <f>IF(B42="","",IF(G42&lt;&gt;"Active","",IF(L42="","Add - pick a commission method",IF(IF(J42="",TRUE,J42=0),"Add - no hours, no utilisation",IF(Z42&lt;0.5,"Check - chair is half empty",IF(AM42&lt;0,"Loss - pay is ahead of sales",IF(IF(R42="",FALSE,AD42&lt;R42*0.8),"Below - behind the monthly target",IF(AG42&lt;TargetRetailShare,"Action - barely selling any product","OK"))))))))</f>
        <v>0</v>
      </c>
    </row>
    <row r="43" spans="1:41">
      <c r="A43" s="28">
        <f>IF(B43="","",StaffPrefix&amp;TEXT(ROW()-4,"000"))</f>
        <v>0</v>
      </c>
      <c r="T43" s="25">
        <f>IF(B43="","",COUNTIFS(Appointments!$I$5:$I$1204,A43))</f>
        <v>0</v>
      </c>
      <c r="U43" s="25">
        <f>IF(B43="","",COUNTIFS(Appointments!$I$5:$I$1204,A43,Appointments!$M$5:$M$1204,"Completed"))</f>
        <v>0</v>
      </c>
      <c r="V43" s="25">
        <f>IF(B43="","",COUNTIFS(Appointments!$I$5:$I$1204,A43,Appointments!$M$5:$M$1204,"No show"))</f>
        <v>0</v>
      </c>
      <c r="W43" s="25">
        <f>IF(B43="","",COUNTIFS(Clients!$I$5:$I$504,A43))</f>
        <v>0</v>
      </c>
      <c r="X43" s="37">
        <f>IF(B43="","",ROUND(SUMIFS(Appointments!$X$5:$X$1204,Appointments!$I$5:$I$1204,A43,Appointments!$M$5:$M$1204,"Completed",Appointments!$B$5:$B$1204,"&gt;="&amp;TodayDate-28),1))</f>
        <v>0</v>
      </c>
      <c r="Y43" s="37">
        <f>IF(B43="","",IF(J43="",0,ROUND(J43*4,1)))</f>
        <v>0</v>
      </c>
      <c r="Z43" s="27">
        <f>IF(B43="","",IF(Y43=0,"",X43/Y43))</f>
        <v>0</v>
      </c>
      <c r="AA43" s="26">
        <f>IF(B43="","",ROUND(SUMIFS(Sales!$Y$5:$Y$1204,Sales!$F$5:$F$1204,A43,Sales!$H$5:$H$1204,"Service"),2))</f>
        <v>0</v>
      </c>
      <c r="AB43" s="26">
        <f>IF(B43="","",ROUND(SUMIFS(Sales!$Y$5:$Y$1204,Sales!$F$5:$F$1204,A43,Sales!$H$5:$H$1204,"Retail"),2))</f>
        <v>0</v>
      </c>
      <c r="AC43" s="26">
        <f>IF(B43="","",ROUND(SUMIFS(Sales!$Y$5:$Y$1204,Sales!$F$5:$F$1204,A43),2))</f>
        <v>0</v>
      </c>
      <c r="AD43" s="26">
        <f>IF(B43="","",ROUND(SUMIFS(Sales!$Y$5:$Y$1204,Sales!$F$5:$F$1204,A43,Sales!$R$5:$R$1204,ThisMonthKey),2))</f>
        <v>0</v>
      </c>
      <c r="AE43" s="26">
        <f>IF(B43="","",IF(R43="","",ROUND(AD43-R43,2)))</f>
        <v>0</v>
      </c>
      <c r="AF43" s="26">
        <f>IF(B43="","",IF(U43=0,"",ROUND(AC43/U43,2)))</f>
        <v>0</v>
      </c>
      <c r="AG43" s="27">
        <f>IF(B43="","",IF(AC43=0,"",AB43/AC43))</f>
        <v>0</v>
      </c>
      <c r="AH43" s="26">
        <f>IF(B43="","",IF(X43=0,"",ROUND(SUMIFS(Sales!$Y$5:$Y$1204,Sales!$F$5:$F$1204,A43,Sales!$B$5:$B$1204,"&gt;="&amp;TodayDate-28)/X43,2)))</f>
        <v>0</v>
      </c>
      <c r="AI43" s="27">
        <f>IF(B43="","",IF(COUNTIFS(Appointments!$I$5:$I$1204,A43,Appointments!$M$5:$M$1204,"Completed")=0,"",COUNTIFS(Appointments!$I$5:$I$1204,A43,Appointments!$AF$5:$AF$1204,"Yes")/COUNTIFS(Appointments!$I$5:$I$1204,A43,Appointments!$M$5:$M$1204,"Completed")))</f>
        <v>0</v>
      </c>
      <c r="AJ43" s="26">
        <f>IF(B43="","",ROUND(SUMIFS(Payments!$G$5:$G$1204,Payments!$J$5:$J$1204,A43,Payments!$E$5:$E$1204,"Tip"),2))</f>
        <v>0</v>
      </c>
      <c r="AK43" s="26">
        <f>IF(B43="","",ROUND(SUMIFS(Commissions!$V$5:$V$244,Commissions!$C$5:$C$244,A43),2))</f>
        <v>0</v>
      </c>
      <c r="AL43" s="26">
        <f>IF(B43="","",ROUND(SUMIFS(Payroll!$Y$5:$Y$364,Payroll!$D$5:$D$364,A43,Payroll!$Q$5:$Q$364,ThisMonthKey),2))</f>
        <v>0</v>
      </c>
      <c r="AM43" s="26">
        <f>IF(B43="","",ROUND(AD43-AL43,2))</f>
        <v>0</v>
      </c>
      <c r="AN43" s="25">
        <f>IF(B43="","",COUNTIFS($AC$5:$AC$44,"&gt;"&amp;AC43)+COUNTIFS($AC$5:AC43,AC43))</f>
        <v>0</v>
      </c>
      <c r="AO43" s="39">
        <f>IF(B43="","",IF(G43&lt;&gt;"Active","",IF(L43="","Add - pick a commission method",IF(IF(J43="",TRUE,J43=0),"Add - no hours, no utilisation",IF(Z43&lt;0.5,"Check - chair is half empty",IF(AM43&lt;0,"Loss - pay is ahead of sales",IF(IF(R43="",FALSE,AD43&lt;R43*0.8),"Below - behind the monthly target",IF(AG43&lt;TargetRetailShare,"Action - barely selling any product","OK"))))))))</f>
        <v>0</v>
      </c>
    </row>
    <row r="44" spans="1:41">
      <c r="A44" s="28">
        <f>IF(B44="","",StaffPrefix&amp;TEXT(ROW()-4,"000"))</f>
        <v>0</v>
      </c>
      <c r="T44" s="25">
        <f>IF(B44="","",COUNTIFS(Appointments!$I$5:$I$1204,A44))</f>
        <v>0</v>
      </c>
      <c r="U44" s="25">
        <f>IF(B44="","",COUNTIFS(Appointments!$I$5:$I$1204,A44,Appointments!$M$5:$M$1204,"Completed"))</f>
        <v>0</v>
      </c>
      <c r="V44" s="25">
        <f>IF(B44="","",COUNTIFS(Appointments!$I$5:$I$1204,A44,Appointments!$M$5:$M$1204,"No show"))</f>
        <v>0</v>
      </c>
      <c r="W44" s="25">
        <f>IF(B44="","",COUNTIFS(Clients!$I$5:$I$504,A44))</f>
        <v>0</v>
      </c>
      <c r="X44" s="37">
        <f>IF(B44="","",ROUND(SUMIFS(Appointments!$X$5:$X$1204,Appointments!$I$5:$I$1204,A44,Appointments!$M$5:$M$1204,"Completed",Appointments!$B$5:$B$1204,"&gt;="&amp;TodayDate-28),1))</f>
        <v>0</v>
      </c>
      <c r="Y44" s="37">
        <f>IF(B44="","",IF(J44="",0,ROUND(J44*4,1)))</f>
        <v>0</v>
      </c>
      <c r="Z44" s="27">
        <f>IF(B44="","",IF(Y44=0,"",X44/Y44))</f>
        <v>0</v>
      </c>
      <c r="AA44" s="26">
        <f>IF(B44="","",ROUND(SUMIFS(Sales!$Y$5:$Y$1204,Sales!$F$5:$F$1204,A44,Sales!$H$5:$H$1204,"Service"),2))</f>
        <v>0</v>
      </c>
      <c r="AB44" s="26">
        <f>IF(B44="","",ROUND(SUMIFS(Sales!$Y$5:$Y$1204,Sales!$F$5:$F$1204,A44,Sales!$H$5:$H$1204,"Retail"),2))</f>
        <v>0</v>
      </c>
      <c r="AC44" s="26">
        <f>IF(B44="","",ROUND(SUMIFS(Sales!$Y$5:$Y$1204,Sales!$F$5:$F$1204,A44),2))</f>
        <v>0</v>
      </c>
      <c r="AD44" s="26">
        <f>IF(B44="","",ROUND(SUMIFS(Sales!$Y$5:$Y$1204,Sales!$F$5:$F$1204,A44,Sales!$R$5:$R$1204,ThisMonthKey),2))</f>
        <v>0</v>
      </c>
      <c r="AE44" s="26">
        <f>IF(B44="","",IF(R44="","",ROUND(AD44-R44,2)))</f>
        <v>0</v>
      </c>
      <c r="AF44" s="26">
        <f>IF(B44="","",IF(U44=0,"",ROUND(AC44/U44,2)))</f>
        <v>0</v>
      </c>
      <c r="AG44" s="27">
        <f>IF(B44="","",IF(AC44=0,"",AB44/AC44))</f>
        <v>0</v>
      </c>
      <c r="AH44" s="26">
        <f>IF(B44="","",IF(X44=0,"",ROUND(SUMIFS(Sales!$Y$5:$Y$1204,Sales!$F$5:$F$1204,A44,Sales!$B$5:$B$1204,"&gt;="&amp;TodayDate-28)/X44,2)))</f>
        <v>0</v>
      </c>
      <c r="AI44" s="27">
        <f>IF(B44="","",IF(COUNTIFS(Appointments!$I$5:$I$1204,A44,Appointments!$M$5:$M$1204,"Completed")=0,"",COUNTIFS(Appointments!$I$5:$I$1204,A44,Appointments!$AF$5:$AF$1204,"Yes")/COUNTIFS(Appointments!$I$5:$I$1204,A44,Appointments!$M$5:$M$1204,"Completed")))</f>
        <v>0</v>
      </c>
      <c r="AJ44" s="26">
        <f>IF(B44="","",ROUND(SUMIFS(Payments!$G$5:$G$1204,Payments!$J$5:$J$1204,A44,Payments!$E$5:$E$1204,"Tip"),2))</f>
        <v>0</v>
      </c>
      <c r="AK44" s="26">
        <f>IF(B44="","",ROUND(SUMIFS(Commissions!$V$5:$V$244,Commissions!$C$5:$C$244,A44),2))</f>
        <v>0</v>
      </c>
      <c r="AL44" s="26">
        <f>IF(B44="","",ROUND(SUMIFS(Payroll!$Y$5:$Y$364,Payroll!$D$5:$D$364,A44,Payroll!$Q$5:$Q$364,ThisMonthKey),2))</f>
        <v>0</v>
      </c>
      <c r="AM44" s="26">
        <f>IF(B44="","",ROUND(AD44-AL44,2))</f>
        <v>0</v>
      </c>
      <c r="AN44" s="25">
        <f>IF(B44="","",COUNTIFS($AC$5:$AC$44,"&gt;"&amp;AC44)+COUNTIFS($AC$5:AC44,AC44))</f>
        <v>0</v>
      </c>
      <c r="AO44" s="39">
        <f>IF(B44="","",IF(G44&lt;&gt;"Active","",IF(L44="","Add - pick a commission method",IF(IF(J44="",TRUE,J44=0),"Add - no hours, no utilisation",IF(Z44&lt;0.5,"Check - chair is half empty",IF(AM44&lt;0,"Loss - pay is ahead of sales",IF(IF(R44="",FALSE,AD44&lt;R44*0.8),"Below - behind the monthly target",IF(AG44&lt;TargetRetailShare,"Action - barely selling any product","OK"))))))))</f>
        <v>0</v>
      </c>
    </row>
    <row r="46" spans="1:41" ht="20" customHeight="1">
      <c r="A46" s="7" t="s">
        <v>416</v>
      </c>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row>
    <row r="47" spans="1:41" ht="26" customHeight="1">
      <c r="A47" s="10" t="s">
        <v>417</v>
      </c>
      <c r="B47" s="11" t="s">
        <v>289</v>
      </c>
      <c r="C47" s="11" t="s">
        <v>399</v>
      </c>
      <c r="D47" s="11" t="s">
        <v>418</v>
      </c>
      <c r="E47" s="11" t="s">
        <v>411</v>
      </c>
      <c r="F47" s="11" t="s">
        <v>412</v>
      </c>
      <c r="G47" s="11" t="s">
        <v>419</v>
      </c>
      <c r="H47" s="11" t="s">
        <v>420</v>
      </c>
      <c r="I47" s="11" t="s">
        <v>180</v>
      </c>
    </row>
    <row r="48" spans="1:41">
      <c r="A48" s="25">
        <f>COUNTIF(Staff!$B$5:$B$44,"&lt;&gt;")</f>
        <v>0</v>
      </c>
      <c r="B48" s="25">
        <f>COUNTIFS(Staff!$G$5:$G$44,"Active")</f>
        <v>0</v>
      </c>
      <c r="C48" s="37">
        <f>ROUND(SUM(Staff!$J$5:$J$44),1)</f>
        <v>0</v>
      </c>
      <c r="D48" s="25">
        <f>SUM(Staff!$U$5:$U$44)</f>
        <v>0</v>
      </c>
      <c r="E48" s="26">
        <f>ROUND(SUM(Staff!$AA$5:$AA$44),2)</f>
        <v>0</v>
      </c>
      <c r="F48" s="26">
        <f>ROUND(SUM(Staff!$AB$5:$AB$44),2)</f>
        <v>0</v>
      </c>
      <c r="G48" s="27">
        <f>IFERROR(SUMPRODUCT(IFERROR(Staff!$Z$5:$Z$44*1,0))/MAX(1,COUNTIFS(Staff!$G$5:$G$44,"Active")),0)</f>
        <v>0</v>
      </c>
      <c r="H48" s="27">
        <f>IFERROR(SUMPRODUCT(IFERROR(Staff!$AI$5:$AI$44*1,0))/MAX(1,COUNTIFS(Staff!$G$5:$G$44,"Active")),0)</f>
        <v>0</v>
      </c>
      <c r="I48" s="26">
        <f>ROUND(SUM(Staff!$AL$5:$AL$44),2)</f>
        <v>0</v>
      </c>
    </row>
  </sheetData>
  <sheetProtection password="EC7C" sheet="1" objects="1" scenarios="1" formatCells="0" formatColumns="0" formatRows="0" insertRows="0" insertHyperlinks="0" deleteRows="0" autoFilter="0"/>
  <autoFilter ref="A4:AO44"/>
  <mergeCells count="14">
    <mergeCell ref="A1:AL1"/>
    <mergeCell ref="AM1:AO1"/>
    <mergeCell ref="A2:AO2"/>
    <mergeCell ref="A3:B3"/>
    <mergeCell ref="C3:D3"/>
    <mergeCell ref="E3:F3"/>
    <mergeCell ref="G3:H3"/>
    <mergeCell ref="I3:J3"/>
    <mergeCell ref="K3:L3"/>
    <mergeCell ref="M3:N3"/>
    <mergeCell ref="O3:P3"/>
    <mergeCell ref="Q3:R3"/>
    <mergeCell ref="S3:AO3"/>
    <mergeCell ref="A46:AO46"/>
  </mergeCells>
  <conditionalFormatting sqref="AA5:AA44">
    <cfRule type="dataBar" priority="41">
      <dataBar>
        <cfvo type="min" val="0"/>
        <cfvo type="max" val="0"/>
        <color rgb="FF9A5C86"/>
      </dataBar>
    </cfRule>
  </conditionalFormatting>
  <conditionalFormatting sqref="AD5:AD44">
    <cfRule type="dataBar" priority="42">
      <dataBar>
        <cfvo type="min" val="0"/>
        <cfvo type="max" val="0"/>
        <color rgb="FFC08A5E"/>
      </dataBar>
    </cfRule>
  </conditionalFormatting>
  <conditionalFormatting sqref="AE5:AE44">
    <cfRule type="cellIs" dxfId="1" priority="43" operator="greaterThanOrEqual">
      <formula>0</formula>
    </cfRule>
    <cfRule type="cellIs" dxfId="0" priority="44" operator="lessThan">
      <formula>0</formula>
    </cfRule>
  </conditionalFormatting>
  <conditionalFormatting sqref="AF5:AF44">
    <cfRule type="cellIs" dxfId="1" priority="45" operator="greaterThanOrEqual">
      <formula>TargetTicket</formula>
    </cfRule>
  </conditionalFormatting>
  <conditionalFormatting sqref="AG5:AG44">
    <cfRule type="cellIs" dxfId="1" priority="46" operator="greaterThanOrEqual">
      <formula>TargetRetailShare</formula>
    </cfRule>
    <cfRule type="cellIs" dxfId="0" priority="47" operator="lessThan">
      <formula>TargetRetailShare</formula>
    </cfRule>
  </conditionalFormatting>
  <conditionalFormatting sqref="AH5:AH44">
    <cfRule type="cellIs" dxfId="1" priority="48" operator="greaterThanOrEqual">
      <formula>TargetChairRate</formula>
    </cfRule>
    <cfRule type="cellIs" dxfId="0" priority="49" operator="lessThan">
      <formula>TargetChairRate</formula>
    </cfRule>
  </conditionalFormatting>
  <conditionalFormatting sqref="AI5:AI44">
    <cfRule type="cellIs" dxfId="1" priority="50" operator="greaterThanOrEqual">
      <formula>TargetRebook</formula>
    </cfRule>
    <cfRule type="cellIs" dxfId="0" priority="51" operator="lessThan">
      <formula>TargetRebook</formula>
    </cfRule>
  </conditionalFormatting>
  <conditionalFormatting sqref="AM5:AM44">
    <cfRule type="cellIs" dxfId="2" priority="52" operator="lessThan">
      <formula>0</formula>
    </cfRule>
    <cfRule type="cellIs" dxfId="1" priority="53" operator="greaterThan">
      <formula>0</formula>
    </cfRule>
  </conditionalFormatting>
  <conditionalFormatting sqref="AO5:AO44">
    <cfRule type="beginsWith" dxfId="1" priority="54" operator="beginsWith" text="OK">
      <formula>LEFT(AO5,2)="OK"</formula>
    </cfRule>
    <cfRule type="containsText" dxfId="2" priority="55" operator="containsText" text="Overdue">
      <formula>NOT(ISERROR(SEARCH("Overdue",AO5)))</formula>
    </cfRule>
    <cfRule type="containsText" dxfId="2" priority="56" operator="containsText" text="Late">
      <formula>NOT(ISERROR(SEARCH("Late",AO5)))</formula>
    </cfRule>
    <cfRule type="containsText" dxfId="2" priority="57" operator="containsText" text="Missing">
      <formula>NOT(ISERROR(SEARCH("Missing",AO5)))</formula>
    </cfRule>
    <cfRule type="containsText" dxfId="2" priority="58" operator="containsText" text="Clash">
      <formula>NOT(ISERROR(SEARCH("Clash",AO5)))</formula>
    </cfRule>
    <cfRule type="containsText" dxfId="2" priority="59" operator="containsText" text="Conflict">
      <formula>NOT(ISERROR(SEARCH("Conflict",AO5)))</formula>
    </cfRule>
    <cfRule type="containsText" dxfId="2" priority="60" operator="containsText" text="Duplicate">
      <formula>NOT(ISERROR(SEARCH("Duplicate",AO5)))</formula>
    </cfRule>
    <cfRule type="containsText" dxfId="2" priority="61" operator="containsText" text="Unpaid">
      <formula>NOT(ISERROR(SEARCH("Unpaid",AO5)))</formula>
    </cfRule>
    <cfRule type="containsText" dxfId="2" priority="62" operator="containsText" text="Loss">
      <formula>NOT(ISERROR(SEARCH("Loss",AO5)))</formula>
    </cfRule>
    <cfRule type="containsText" dxfId="2" priority="63" operator="containsText" text="Below">
      <formula>NOT(ISERROR(SEARCH("Below",AO5)))</formula>
    </cfRule>
    <cfRule type="containsText" dxfId="2" priority="64" operator="containsText" text="Out of stock">
      <formula>NOT(ISERROR(SEARCH("Out of stock",AO5)))</formula>
    </cfRule>
    <cfRule type="containsText" dxfId="2" priority="65" operator="containsText" text="No show">
      <formula>NOT(ISERROR(SEARCH("No show",AO5)))</formula>
    </cfRule>
    <cfRule type="containsText" dxfId="0" priority="66" operator="containsText" text="Action">
      <formula>NOT(ISERROR(SEARCH("Action",AO5)))</formula>
    </cfRule>
    <cfRule type="containsText" dxfId="0" priority="67" operator="containsText" text="Due">
      <formula>NOT(ISERROR(SEARCH("Due",AO5)))</formula>
    </cfRule>
    <cfRule type="containsText" dxfId="0" priority="68" operator="containsText" text="Check">
      <formula>NOT(ISERROR(SEARCH("Check",AO5)))</formula>
    </cfRule>
    <cfRule type="containsText" dxfId="0" priority="69" operator="containsText" text="Chase">
      <formula>NOT(ISERROR(SEARCH("Chase",AO5)))</formula>
    </cfRule>
    <cfRule type="containsText" dxfId="0" priority="70" operator="containsText" text="Assign">
      <formula>NOT(ISERROR(SEARCH("Assign",AO5)))</formula>
    </cfRule>
    <cfRule type="containsText" dxfId="0" priority="71" operator="containsText" text="Confirm">
      <formula>NOT(ISERROR(SEARCH("Confirm",AO5)))</formula>
    </cfRule>
    <cfRule type="containsText" dxfId="0" priority="72" operator="containsText" text="Order">
      <formula>NOT(ISERROR(SEARCH("Order",AO5)))</formula>
    </cfRule>
    <cfRule type="containsText" dxfId="0" priority="73" operator="containsText" text="Rebook">
      <formula>NOT(ISERROR(SEARCH("Rebook",AO5)))</formula>
    </cfRule>
    <cfRule type="containsText" dxfId="0" priority="74" operator="containsText" text="Add">
      <formula>NOT(ISERROR(SEARCH("Add",AO5)))</formula>
    </cfRule>
    <cfRule type="containsText" dxfId="3" priority="75" operator="containsText" text="Today">
      <formula>NOT(ISERROR(SEARCH("Today",AO5)))</formula>
    </cfRule>
    <cfRule type="containsText" dxfId="3" priority="76" operator="containsText" text="Tomorrow">
      <formula>NOT(ISERROR(SEARCH("Tomorrow",AO5)))</formula>
    </cfRule>
    <cfRule type="containsText" dxfId="3" priority="77" operator="containsText" text="Upcoming">
      <formula>NOT(ISERROR(SEARCH("Upcoming",AO5)))</formula>
    </cfRule>
  </conditionalFormatting>
  <conditionalFormatting sqref="G5:G44">
    <cfRule type="containsText" dxfId="1" priority="1" operator="containsText" text="Completed">
      <formula>NOT(ISERROR(SEARCH("Completed",G5)))</formula>
    </cfRule>
    <cfRule type="containsText" dxfId="1" priority="2" operator="containsText" text="Complete">
      <formula>NOT(ISERROR(SEARCH("Complete",G5)))</formula>
    </cfRule>
    <cfRule type="containsText" dxfId="1" priority="3" operator="containsText" text="Paid">
      <formula>NOT(ISERROR(SEARCH("Paid",G5)))</formula>
    </cfRule>
    <cfRule type="containsText" dxfId="1" priority="4" operator="containsText" text="Settled">
      <formula>NOT(ISERROR(SEARCH("Settled",G5)))</formula>
    </cfRule>
    <cfRule type="containsText" dxfId="1" priority="5" operator="containsText" text="Arrived">
      <formula>NOT(ISERROR(SEARCH("Arrived",G5)))</formula>
    </cfRule>
    <cfRule type="containsText" dxfId="1" priority="6" operator="containsText" text="Active">
      <formula>NOT(ISERROR(SEARCH("Active",G5)))</formula>
    </cfRule>
    <cfRule type="containsText" dxfId="1" priority="7" operator="containsText" text="Regular">
      <formula>NOT(ISERROR(SEARCH("Regular",G5)))</formula>
    </cfRule>
    <cfRule type="containsText" dxfId="1" priority="8" operator="containsText" text="VIP">
      <formula>NOT(ISERROR(SEARCH("VIP",G5)))</formula>
    </cfRule>
    <cfRule type="containsText" dxfId="1" priority="9" operator="containsText" text="In stock">
      <formula>NOT(ISERROR(SEARCH("In stock",G5)))</formula>
    </cfRule>
    <cfRule type="containsText" dxfId="1" priority="10" operator="containsText" text="Received">
      <formula>NOT(ISERROR(SEARCH("Received",G5)))</formula>
    </cfRule>
    <cfRule type="containsText" dxfId="1" priority="11" operator="containsText" text="Approved">
      <formula>NOT(ISERROR(SEARCH("Approved",G5)))</formula>
    </cfRule>
    <cfRule type="containsText" dxfId="1" priority="12" operator="containsText" text="Yes">
      <formula>NOT(ISERROR(SEARCH("Yes",G5)))</formula>
    </cfRule>
    <cfRule type="containsText" dxfId="3" priority="13" operator="containsText" text="Booked">
      <formula>NOT(ISERROR(SEARCH("Booked",G5)))</formula>
    </cfRule>
    <cfRule type="containsText" dxfId="3" priority="14" operator="containsText" text="Confirmed">
      <formula>NOT(ISERROR(SEARCH("Confirmed",G5)))</formula>
    </cfRule>
    <cfRule type="containsText" dxfId="3" priority="15" operator="containsText" text="Scheduled">
      <formula>NOT(ISERROR(SEARCH("Scheduled",G5)))</formula>
    </cfRule>
    <cfRule type="containsText" dxfId="3" priority="16" operator="containsText" text="New">
      <formula>NOT(ISERROR(SEARCH("New",G5)))</formula>
    </cfRule>
    <cfRule type="containsText" dxfId="3" priority="17" operator="containsText" text="Ordered">
      <formula>NOT(ISERROR(SEARCH("Ordered",G5)))</formula>
    </cfRule>
    <cfRule type="containsText" dxfId="3" priority="18" operator="containsText" text="Running">
      <formula>NOT(ISERROR(SEARCH("Running",G5)))</formula>
    </cfRule>
    <cfRule type="containsText" dxfId="0" priority="19" operator="containsText" text="Part paid">
      <formula>NOT(ISERROR(SEARCH("Part paid",G5)))</formula>
    </cfRule>
    <cfRule type="containsText" dxfId="0" priority="20" operator="containsText" text="Pending">
      <formula>NOT(ISERROR(SEARCH("Pending",G5)))</formula>
    </cfRule>
    <cfRule type="containsText" dxfId="0" priority="21" operator="containsText" text="Enquiry">
      <formula>NOT(ISERROR(SEARCH("Enquiry",G5)))</formula>
    </cfRule>
    <cfRule type="containsText" dxfId="0" priority="22" operator="containsText" text="Rescheduled">
      <formula>NOT(ISERROR(SEARCH("Rescheduled",G5)))</formula>
    </cfRule>
    <cfRule type="containsText" dxfId="0" priority="23" operator="containsText" text="Low stock">
      <formula>NOT(ISERROR(SEARCH("Low stock",G5)))</formula>
    </cfRule>
    <cfRule type="containsText" dxfId="0" priority="24" operator="containsText" text="Lapsing">
      <formula>NOT(ISERROR(SEARCH("Lapsing",G5)))</formula>
    </cfRule>
    <cfRule type="containsText" dxfId="0" priority="25" operator="containsText" text="Planned">
      <formula>NOT(ISERROR(SEARCH("Planned",G5)))</formula>
    </cfRule>
    <cfRule type="containsText" dxfId="0" priority="26" operator="containsText" text="On hold">
      <formula>NOT(ISERROR(SEARCH("On hold",G5)))</formula>
    </cfRule>
    <cfRule type="containsText" dxfId="0" priority="27" operator="containsText" text="Draft">
      <formula>NOT(ISERROR(SEARCH("Draft",G5)))</formula>
    </cfRule>
    <cfRule type="containsText" dxfId="2" priority="28" operator="containsText" text="Cancelled">
      <formula>NOT(ISERROR(SEARCH("Cancelled",G5)))</formula>
    </cfRule>
    <cfRule type="containsText" dxfId="2" priority="29" operator="containsText" text="No show">
      <formula>NOT(ISERROR(SEARCH("No show",G5)))</formula>
    </cfRule>
    <cfRule type="containsText" dxfId="2" priority="30" operator="containsText" text="Refunded">
      <formula>NOT(ISERROR(SEARCH("Refunded",G5)))</formula>
    </cfRule>
    <cfRule type="containsText" dxfId="2" priority="31" operator="containsText" text="Out of stock">
      <formula>NOT(ISERROR(SEARCH("Out of stock",G5)))</formula>
    </cfRule>
    <cfRule type="containsText" dxfId="2" priority="32" operator="containsText" text="Overdue">
      <formula>NOT(ISERROR(SEARCH("Overdue",G5)))</formula>
    </cfRule>
    <cfRule type="containsText" dxfId="2" priority="33" operator="containsText" text="Written off">
      <formula>NOT(ISERROR(SEARCH("Written off",G5)))</formula>
    </cfRule>
    <cfRule type="containsText" dxfId="4" priority="34" operator="containsText" text="Inactive">
      <formula>NOT(ISERROR(SEARCH("Inactive",G5)))</formula>
    </cfRule>
    <cfRule type="containsText" dxfId="4" priority="35" operator="containsText" text="Archived">
      <formula>NOT(ISERROR(SEARCH("Archived",G5)))</formula>
    </cfRule>
    <cfRule type="containsText" dxfId="4" priority="36" operator="containsText" text="Finished">
      <formula>NOT(ISERROR(SEARCH("Finished",G5)))</formula>
    </cfRule>
    <cfRule type="containsText" dxfId="4" priority="37" operator="containsText" text="Discontinued">
      <formula>NOT(ISERROR(SEARCH("Discontinued",G5)))</formula>
    </cfRule>
  </conditionalFormatting>
  <conditionalFormatting sqref="Z5:Z44">
    <cfRule type="cellIs" dxfId="1" priority="38" operator="greaterThanOrEqual">
      <formula>TargetUtilisation</formula>
    </cfRule>
    <cfRule type="cellIs" dxfId="2" priority="39" operator="lessThan">
      <formula>0.5</formula>
    </cfRule>
    <cfRule type="cellIs" dxfId="0" priority="40" operator="lessThan">
      <formula>TargetUtilisation</formula>
    </cfRule>
  </conditionalFormatting>
  <dataValidations count="12">
    <dataValidation type="list" allowBlank="1" showInputMessage="1" showErrorMessage="1" sqref="D5:D44">
      <formula1>StylistLevelList</formula1>
    </dataValidation>
    <dataValidation type="list" allowBlank="1" showInputMessage="1" showErrorMessage="1" promptTitle="Employment" prompt="Employed, self-employed, chair renter, apprentice, owner or contractor. Chair renters pay you rent instead of earning commission." sqref="E5:E44">
      <formula1>StaffTypeList</formula1>
    </dataValidation>
    <dataValidation type="date" allowBlank="1" showInputMessage="1" showErrorMessage="1" errorTitle="Check the date" error="Enter a real date between 2000 and 2100." sqref="F5:F44">
      <formula1>36526</formula1>
      <formula2>73415</formula2>
    </dataValidation>
    <dataValidation type="list" allowBlank="1" showInputMessage="1" showErrorMessage="1" sqref="G5:G44">
      <formula1>StaffStatusList</formula1>
    </dataValidation>
    <dataValidation type="decimal" allowBlank="1" showInputMessage="1" showErrorMessage="1" errorTitle="Check the value" error="Enter a number between 0 and 100." promptTitle="Hours a week" prompt="Contracted or usual hours on the floor. The utilisation figure divides booked hours by these." sqref="J5:J44">
      <formula1>0</formula1>
      <formula2>100</formula2>
    </dataValidation>
    <dataValidation type="list" allowBlank="1" showInputMessage="1" showErrorMessage="1" promptTitle="Commission method" prompt="Yours to choose, per person: none, percent of service, service and retail, percent after product cost, tiered, flat per service, hourly only, or rent a chair. The commissions tab follows whatever you pick here." sqref="L5:L44">
      <formula1>CommissionMethodList</formula1>
    </dataValidation>
    <dataValidation type="decimal" allowBlank="1" showInputMessage="1" showErrorMessage="1" errorTitle="Check the value" error="Enter a number between 0 and 1." promptTitle="Service rate" prompt="Leave blank to use the salon default on Settings." sqref="M5:M44">
      <formula1>0</formula1>
      <formula2>1</formula2>
    </dataValidation>
    <dataValidation type="decimal" allowBlank="1" showInputMessage="1" showErrorMessage="1" errorTitle="Check the value" error="Enter a number between 0 and 1." sqref="N5:N44">
      <formula1>0</formula1>
      <formula2>1</formula2>
    </dataValidation>
    <dataValidation type="decimal" allowBlank="1" showInputMessage="1" showErrorMessage="1" errorTitle="Check the value" error="Enter a number between 0 and 1000." promptTitle="Flat per service" prompt="Only used by the 'flat amount per service' method." sqref="O5:O44">
      <formula1>0</formula1>
      <formula2>1000</formula2>
    </dataValidation>
    <dataValidation type="decimal" allowBlank="1" showInputMessage="1" showErrorMessage="1" errorTitle="Check the value" error="Enter a number between 0 and 1000." promptTitle="Hourly rate" prompt="Blank uses the default hourly rate on Settings." sqref="P5:P44">
      <formula1>0</formula1>
      <formula2>1000</formula2>
    </dataValidation>
    <dataValidation type="decimal" allowBlank="1" showInputMessage="1" showErrorMessage="1" errorTitle="Check the value" error="Enter a number between 0 and 10000." promptTitle="Chair rent" prompt="Weekly rent for a chair renter. It is income to the salon, not a cost - log the money itself on the Sales tab as kind Other." sqref="Q5:Q44">
      <formula1>0</formula1>
      <formula2>10000</formula2>
    </dataValidation>
    <dataValidation type="decimal" allowBlank="1" showInputMessage="1" showErrorMessage="1" errorTitle="Check the value" error="Enter a number between 0 and 1000000." promptTitle="Monthly target" prompt="What you expect this person to bill in a month." sqref="R5:R44">
      <formula1>0</formula1>
      <formula2>1000000</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&amp;L&amp;"Calibri,Bold"&amp;12&amp;C&amp;"Calibri,Bold"&amp;11Staff&amp;R&amp;"Calibri,Italic"&amp;9Salon Business Management Spreadsheet</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4C2A42"/>
    <pageSetUpPr fitToPage="1"/>
  </sheetPr>
  <dimension ref="A1:AA24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34" customWidth="1"/>
    <col min="3" max="3" width="11.7109375" style="31" customWidth="1"/>
    <col min="4" max="4" width="18.7109375" style="15" customWidth="1"/>
    <col min="5" max="5" width="24.7109375" style="15" customWidth="1"/>
    <col min="6" max="6" width="11.7109375" style="33" customWidth="1"/>
    <col min="7" max="7" width="11.7109375" style="33" customWidth="1"/>
    <col min="8" max="8" width="11.7109375" style="41" customWidth="1"/>
    <col min="9" max="9" width="11.7109375" style="29" customWidth="1"/>
    <col min="10" max="10" width="24.7109375" style="35" customWidth="1"/>
    <col min="11" max="11" width="12.7109375" style="26" customWidth="1"/>
    <col min="12" max="12" width="12.7109375" style="26" hidden="1" customWidth="1"/>
    <col min="13" max="13" width="11.7109375" style="26" customWidth="1"/>
    <col min="14" max="14" width="11.7109375" style="26" hidden="1" customWidth="1"/>
    <col min="15" max="15" width="11.7109375" style="26" customWidth="1"/>
    <col min="16" max="16" width="11.7109375" style="25" hidden="1" customWidth="1"/>
    <col min="17" max="17" width="12.7109375" style="26" customWidth="1"/>
    <col min="18" max="18" width="11.7109375" style="26" hidden="1" customWidth="1"/>
    <col min="19" max="19" width="11.7109375" style="27" customWidth="1"/>
    <col min="20" max="20" width="11.7109375" style="27" hidden="1" customWidth="1"/>
    <col min="21" max="21" width="12.7109375" style="26" hidden="1" customWidth="1"/>
    <col min="22" max="22" width="12.7109375" style="26" customWidth="1"/>
    <col min="23" max="23" width="10.7109375" style="26" customWidth="1"/>
    <col min="24" max="24" width="12.7109375" style="26" customWidth="1"/>
    <col min="25" max="25" width="13.7109375" style="27" customWidth="1"/>
    <col min="26" max="26" width="9.7109375" style="25" hidden="1" customWidth="1"/>
    <col min="27" max="27" width="28.7109375" style="39" customWidth="1"/>
  </cols>
  <sheetData>
    <row r="1" spans="1:27" ht="34" customHeight="1">
      <c r="A1" s="2" t="s">
        <v>421</v>
      </c>
      <c r="B1" s="2"/>
      <c r="C1" s="2"/>
      <c r="D1" s="2"/>
      <c r="E1" s="2"/>
      <c r="F1" s="2"/>
      <c r="G1" s="2"/>
      <c r="H1" s="2"/>
      <c r="I1" s="2"/>
      <c r="J1" s="2"/>
      <c r="K1" s="2"/>
      <c r="L1" s="2"/>
      <c r="M1" s="2"/>
      <c r="N1" s="2"/>
      <c r="O1" s="2"/>
      <c r="P1" s="2"/>
      <c r="Q1" s="2"/>
      <c r="R1" s="2"/>
      <c r="S1" s="2"/>
      <c r="T1" s="2"/>
      <c r="U1" s="2"/>
      <c r="V1" s="2"/>
      <c r="W1" s="2"/>
      <c r="X1" s="2"/>
      <c r="Y1" s="3" t="s">
        <v>1</v>
      </c>
      <c r="Z1" s="3"/>
      <c r="AA1" s="3"/>
    </row>
    <row r="2" spans="1:27" ht="18" customHeight="1">
      <c r="A2" s="4" t="s">
        <v>422</v>
      </c>
      <c r="B2" s="4"/>
      <c r="C2" s="4"/>
      <c r="D2" s="4"/>
      <c r="E2" s="4"/>
      <c r="F2" s="4"/>
      <c r="G2" s="4"/>
      <c r="H2" s="4"/>
      <c r="I2" s="4"/>
      <c r="J2" s="4"/>
      <c r="K2" s="4"/>
      <c r="L2" s="4"/>
      <c r="M2" s="4"/>
      <c r="N2" s="4"/>
      <c r="O2" s="4"/>
      <c r="P2" s="4"/>
      <c r="Q2" s="4"/>
      <c r="R2" s="4"/>
      <c r="S2" s="4"/>
      <c r="T2" s="4"/>
      <c r="U2" s="4"/>
      <c r="V2" s="4"/>
      <c r="W2" s="4"/>
      <c r="X2" s="4"/>
      <c r="Y2" s="4"/>
      <c r="Z2" s="4"/>
      <c r="AA2" s="4"/>
    </row>
    <row r="3" spans="1:27"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423</v>
      </c>
      <c r="T3" s="40"/>
      <c r="U3" s="40"/>
      <c r="V3" s="40"/>
      <c r="W3" s="40"/>
      <c r="X3" s="40"/>
      <c r="Y3" s="40"/>
      <c r="Z3" s="40"/>
      <c r="AA3" s="40"/>
    </row>
    <row r="4" spans="1:27" ht="30" customHeight="1">
      <c r="A4" s="10" t="s">
        <v>211</v>
      </c>
      <c r="B4" s="10" t="s">
        <v>121</v>
      </c>
      <c r="C4" s="11" t="s">
        <v>219</v>
      </c>
      <c r="D4" s="11" t="s">
        <v>175</v>
      </c>
      <c r="E4" s="11" t="s">
        <v>424</v>
      </c>
      <c r="F4" s="11" t="s">
        <v>425</v>
      </c>
      <c r="G4" s="11" t="s">
        <v>426</v>
      </c>
      <c r="H4" s="11" t="s">
        <v>427</v>
      </c>
      <c r="I4" s="11" t="s">
        <v>428</v>
      </c>
      <c r="J4" s="11" t="s">
        <v>225</v>
      </c>
      <c r="K4" s="11" t="s">
        <v>411</v>
      </c>
      <c r="L4" s="11" t="s">
        <v>429</v>
      </c>
      <c r="M4" s="11" t="s">
        <v>412</v>
      </c>
      <c r="N4" s="11" t="s">
        <v>430</v>
      </c>
      <c r="O4" s="11" t="s">
        <v>431</v>
      </c>
      <c r="P4" s="11" t="s">
        <v>432</v>
      </c>
      <c r="Q4" s="11" t="s">
        <v>433</v>
      </c>
      <c r="R4" s="11" t="s">
        <v>434</v>
      </c>
      <c r="S4" s="11" t="s">
        <v>402</v>
      </c>
      <c r="T4" s="11" t="s">
        <v>403</v>
      </c>
      <c r="U4" s="11" t="s">
        <v>404</v>
      </c>
      <c r="V4" s="11" t="s">
        <v>96</v>
      </c>
      <c r="W4" s="11" t="s">
        <v>387</v>
      </c>
      <c r="X4" s="11" t="s">
        <v>435</v>
      </c>
      <c r="Y4" s="11" t="s">
        <v>436</v>
      </c>
      <c r="Z4" s="11" t="s">
        <v>437</v>
      </c>
      <c r="AA4" s="11" t="s">
        <v>363</v>
      </c>
    </row>
    <row r="5" spans="1:27">
      <c r="A5" s="28">
        <f>IF(B5="","",CommissionPrefix&amp;TEXT(ROW()-4,"0000"))</f>
        <v>0</v>
      </c>
      <c r="D5" s="15">
        <f>IF(C5="","",IFERROR(INDEX(Staff!$B$5:$B$44,MATCH(C5,Staff!$A$5:$A$44,0)),"Not in Staff"))</f>
        <v>0</v>
      </c>
      <c r="E5" s="15">
        <f>IF(C5="","",IFERROR(INDEX(Staff!$L$5:$L$44,MATCH(C5,Staff!$A$5:$A$44,0)),"None"))</f>
        <v>0</v>
      </c>
      <c r="K5" s="26">
        <f>IF(B5="","",ROUND(SUMIFS(Sales!$Y$5:$Y$1204,Sales!$F$5:$F$1204,C5,Sales!$R$5:$R$1204,B5,Sales!$H$5:$H$1204,"Service"),2))</f>
        <v>0</v>
      </c>
      <c r="L5" s="26">
        <f>IF(B5="","",ROUND(SUMIFS(Sales!$W$5:$W$1204,Sales!$F$5:$F$1204,C5,Sales!$R$5:$R$1204,B5,Sales!$H$5:$H$1204,"Service"),2))</f>
        <v>0</v>
      </c>
      <c r="M5" s="26">
        <f>IF(B5="","",ROUND(SUMIFS(Sales!$Y$5:$Y$1204,Sales!$F$5:$F$1204,C5,Sales!$R$5:$R$1204,B5,Sales!$H$5:$H$1204,"Retail"),2))</f>
        <v>0</v>
      </c>
      <c r="N5" s="26">
        <f>IF(B5="","",ROUND(SUMIFS(Sales!$W$5:$W$1204,Sales!$F$5:$F$1204,C5,Sales!$R$5:$R$1204,B5,Sales!$H$5:$H$1204,"Retail"),2))</f>
        <v>0</v>
      </c>
      <c r="O5" s="26">
        <f>IF(B5="","",ROUND(SUMIFS(Sales!$AB$5:$AB$1204,Sales!$F$5:$F$1204,C5,Sales!$R$5:$R$1204,B5,Sales!$H$5:$H$1204,"Service"),2))</f>
        <v>0</v>
      </c>
      <c r="P5" s="25">
        <f>IF(B5="","",COUNTIFS(Sales!$F$5:$F$1204,C5,Sales!$R$5:$R$1204,B5,Sales!$H$5:$H$1204,"Service"))</f>
        <v>0</v>
      </c>
      <c r="Q5" s="26">
        <f>IF(B5="","",IF(CommissionOn="Gross before discounts",L5,K5))</f>
        <v>0</v>
      </c>
      <c r="R5" s="26">
        <f>IF(B5="","",IF(CommissionOn="Gross before discounts",N5,M5))</f>
        <v>0</v>
      </c>
      <c r="S5" s="27">
        <f>IF(B5="","",IF(E5="Tiered on monthly service revenue",IFERROR(INDEX(TierRate,MATCH(Q5,TierFrom,1)),0),IFERROR(IF(INDEX(Staff!$M$5:$M$44,MATCH(C5,Staff!$A$5:$A$44,0))="",ServiceCommission,INDEX(Staff!$M$5:$M$44,MATCH(C5,Staff!$A$5:$A$44,0))),ServiceCommission)))</f>
        <v>0</v>
      </c>
      <c r="T5" s="27">
        <f>IF(B5="","",IFERROR(IF(INDEX(Staff!$N$5:$N$44,MATCH(C5,Staff!$A$5:$A$44,0))="",RetailCommission,INDEX(Staff!$N$5:$N$44,MATCH(C5,Staff!$A$5:$A$44,0))),RetailCommission))</f>
        <v>0</v>
      </c>
      <c r="U5" s="26">
        <f>IF(B5="","",IFERROR(INDEX(Staff!$O$5:$O$44,MATCH(C5,Staff!$A$5:$A$44,0))*1,0))</f>
        <v>0</v>
      </c>
      <c r="V5" s="26">
        <f>IF(B5="","",ROUND(IF(E5="Percent of service",Q5*S5,IF(E5="Percent of service and retail",Q5*S5+R5*T5,IF(E5="Percent after product cost",MAX(0,Q5-O5)*S5,IF(E5="Tiered on monthly service revenue",Q5*S5,IF(E5="Flat amount per service",P5*U5,0))))),2))</f>
        <v>0</v>
      </c>
      <c r="W5" s="26">
        <f>IF(B5="","",ROUND(SUMIFS(Payments!$G$5:$G$1204,Payments!$J$5:$J$1204,C5,Payments!$O$5:$O$1204,B5,Payments!$E$5:$E$1204,"Tip"),2))</f>
        <v>0</v>
      </c>
      <c r="X5" s="26">
        <f>IF(B5="","",ROUND(V5+IF(F5="",0,F5)+IF(G5="",0,G5),2))</f>
        <v>0</v>
      </c>
      <c r="Y5" s="27">
        <f>IF(B5="","",IF(Q5+R5=0,"",X5/(Q5+R5)))</f>
        <v>0</v>
      </c>
      <c r="Z5" s="25">
        <f>IF(B5="","",COUNTIFS($V$5:$V$244,"&gt;"&amp;V5)+COUNTIFS($V$5:V5,V5))</f>
        <v>0</v>
      </c>
      <c r="AA5" s="39">
        <f>IF(B5="","",IF(C5="","Add - whose commission is this?",IF(COUNTIFS($B$5:$B$244,B5,$C$5:$C$244,C5)&gt;1,"Duplicate - two rows for the same month",IF(E5="None","",IF(E5="Rent a chair","",IF(E5="Hourly only","",IF(X5=0,"Check - nothing calculated",IF(H5&lt;&gt;"Yes","Due - waiting for approval",IF(I5="","Due - approved but not paid","OK")))))))))</f>
        <v>0</v>
      </c>
    </row>
    <row r="6" spans="1:27">
      <c r="A6" s="28">
        <f>IF(B6="","",CommissionPrefix&amp;TEXT(ROW()-4,"0000"))</f>
        <v>0</v>
      </c>
      <c r="D6" s="15">
        <f>IF(C6="","",IFERROR(INDEX(Staff!$B$5:$B$44,MATCH(C6,Staff!$A$5:$A$44,0)),"Not in Staff"))</f>
        <v>0</v>
      </c>
      <c r="E6" s="15">
        <f>IF(C6="","",IFERROR(INDEX(Staff!$L$5:$L$44,MATCH(C6,Staff!$A$5:$A$44,0)),"None"))</f>
        <v>0</v>
      </c>
      <c r="K6" s="26">
        <f>IF(B6="","",ROUND(SUMIFS(Sales!$Y$5:$Y$1204,Sales!$F$5:$F$1204,C6,Sales!$R$5:$R$1204,B6,Sales!$H$5:$H$1204,"Service"),2))</f>
        <v>0</v>
      </c>
      <c r="L6" s="26">
        <f>IF(B6="","",ROUND(SUMIFS(Sales!$W$5:$W$1204,Sales!$F$5:$F$1204,C6,Sales!$R$5:$R$1204,B6,Sales!$H$5:$H$1204,"Service"),2))</f>
        <v>0</v>
      </c>
      <c r="M6" s="26">
        <f>IF(B6="","",ROUND(SUMIFS(Sales!$Y$5:$Y$1204,Sales!$F$5:$F$1204,C6,Sales!$R$5:$R$1204,B6,Sales!$H$5:$H$1204,"Retail"),2))</f>
        <v>0</v>
      </c>
      <c r="N6" s="26">
        <f>IF(B6="","",ROUND(SUMIFS(Sales!$W$5:$W$1204,Sales!$F$5:$F$1204,C6,Sales!$R$5:$R$1204,B6,Sales!$H$5:$H$1204,"Retail"),2))</f>
        <v>0</v>
      </c>
      <c r="O6" s="26">
        <f>IF(B6="","",ROUND(SUMIFS(Sales!$AB$5:$AB$1204,Sales!$F$5:$F$1204,C6,Sales!$R$5:$R$1204,B6,Sales!$H$5:$H$1204,"Service"),2))</f>
        <v>0</v>
      </c>
      <c r="P6" s="25">
        <f>IF(B6="","",COUNTIFS(Sales!$F$5:$F$1204,C6,Sales!$R$5:$R$1204,B6,Sales!$H$5:$H$1204,"Service"))</f>
        <v>0</v>
      </c>
      <c r="Q6" s="26">
        <f>IF(B6="","",IF(CommissionOn="Gross before discounts",L6,K6))</f>
        <v>0</v>
      </c>
      <c r="R6" s="26">
        <f>IF(B6="","",IF(CommissionOn="Gross before discounts",N6,M6))</f>
        <v>0</v>
      </c>
      <c r="S6" s="27">
        <f>IF(B6="","",IF(E6="Tiered on monthly service revenue",IFERROR(INDEX(TierRate,MATCH(Q6,TierFrom,1)),0),IFERROR(IF(INDEX(Staff!$M$5:$M$44,MATCH(C6,Staff!$A$5:$A$44,0))="",ServiceCommission,INDEX(Staff!$M$5:$M$44,MATCH(C6,Staff!$A$5:$A$44,0))),ServiceCommission)))</f>
        <v>0</v>
      </c>
      <c r="T6" s="27">
        <f>IF(B6="","",IFERROR(IF(INDEX(Staff!$N$5:$N$44,MATCH(C6,Staff!$A$5:$A$44,0))="",RetailCommission,INDEX(Staff!$N$5:$N$44,MATCH(C6,Staff!$A$5:$A$44,0))),RetailCommission))</f>
        <v>0</v>
      </c>
      <c r="U6" s="26">
        <f>IF(B6="","",IFERROR(INDEX(Staff!$O$5:$O$44,MATCH(C6,Staff!$A$5:$A$44,0))*1,0))</f>
        <v>0</v>
      </c>
      <c r="V6" s="26">
        <f>IF(B6="","",ROUND(IF(E6="Percent of service",Q6*S6,IF(E6="Percent of service and retail",Q6*S6+R6*T6,IF(E6="Percent after product cost",MAX(0,Q6-O6)*S6,IF(E6="Tiered on monthly service revenue",Q6*S6,IF(E6="Flat amount per service",P6*U6,0))))),2))</f>
        <v>0</v>
      </c>
      <c r="W6" s="26">
        <f>IF(B6="","",ROUND(SUMIFS(Payments!$G$5:$G$1204,Payments!$J$5:$J$1204,C6,Payments!$O$5:$O$1204,B6,Payments!$E$5:$E$1204,"Tip"),2))</f>
        <v>0</v>
      </c>
      <c r="X6" s="26">
        <f>IF(B6="","",ROUND(V6+IF(F6="",0,F6)+IF(G6="",0,G6),2))</f>
        <v>0</v>
      </c>
      <c r="Y6" s="27">
        <f>IF(B6="","",IF(Q6+R6=0,"",X6/(Q6+R6)))</f>
        <v>0</v>
      </c>
      <c r="Z6" s="25">
        <f>IF(B6="","",COUNTIFS($V$5:$V$244,"&gt;"&amp;V6)+COUNTIFS($V$5:V6,V6))</f>
        <v>0</v>
      </c>
      <c r="AA6" s="39">
        <f>IF(B6="","",IF(C6="","Add - whose commission is this?",IF(COUNTIFS($B$5:$B$244,B6,$C$5:$C$244,C6)&gt;1,"Duplicate - two rows for the same month",IF(E6="None","",IF(E6="Rent a chair","",IF(E6="Hourly only","",IF(X6=0,"Check - nothing calculated",IF(H6&lt;&gt;"Yes","Due - waiting for approval",IF(I6="","Due - approved but not paid","OK")))))))))</f>
        <v>0</v>
      </c>
    </row>
    <row r="7" spans="1:27">
      <c r="A7" s="28">
        <f>IF(B7="","",CommissionPrefix&amp;TEXT(ROW()-4,"0000"))</f>
        <v>0</v>
      </c>
      <c r="D7" s="15">
        <f>IF(C7="","",IFERROR(INDEX(Staff!$B$5:$B$44,MATCH(C7,Staff!$A$5:$A$44,0)),"Not in Staff"))</f>
        <v>0</v>
      </c>
      <c r="E7" s="15">
        <f>IF(C7="","",IFERROR(INDEX(Staff!$L$5:$L$44,MATCH(C7,Staff!$A$5:$A$44,0)),"None"))</f>
        <v>0</v>
      </c>
      <c r="K7" s="26">
        <f>IF(B7="","",ROUND(SUMIFS(Sales!$Y$5:$Y$1204,Sales!$F$5:$F$1204,C7,Sales!$R$5:$R$1204,B7,Sales!$H$5:$H$1204,"Service"),2))</f>
        <v>0</v>
      </c>
      <c r="L7" s="26">
        <f>IF(B7="","",ROUND(SUMIFS(Sales!$W$5:$W$1204,Sales!$F$5:$F$1204,C7,Sales!$R$5:$R$1204,B7,Sales!$H$5:$H$1204,"Service"),2))</f>
        <v>0</v>
      </c>
      <c r="M7" s="26">
        <f>IF(B7="","",ROUND(SUMIFS(Sales!$Y$5:$Y$1204,Sales!$F$5:$F$1204,C7,Sales!$R$5:$R$1204,B7,Sales!$H$5:$H$1204,"Retail"),2))</f>
        <v>0</v>
      </c>
      <c r="N7" s="26">
        <f>IF(B7="","",ROUND(SUMIFS(Sales!$W$5:$W$1204,Sales!$F$5:$F$1204,C7,Sales!$R$5:$R$1204,B7,Sales!$H$5:$H$1204,"Retail"),2))</f>
        <v>0</v>
      </c>
      <c r="O7" s="26">
        <f>IF(B7="","",ROUND(SUMIFS(Sales!$AB$5:$AB$1204,Sales!$F$5:$F$1204,C7,Sales!$R$5:$R$1204,B7,Sales!$H$5:$H$1204,"Service"),2))</f>
        <v>0</v>
      </c>
      <c r="P7" s="25">
        <f>IF(B7="","",COUNTIFS(Sales!$F$5:$F$1204,C7,Sales!$R$5:$R$1204,B7,Sales!$H$5:$H$1204,"Service"))</f>
        <v>0</v>
      </c>
      <c r="Q7" s="26">
        <f>IF(B7="","",IF(CommissionOn="Gross before discounts",L7,K7))</f>
        <v>0</v>
      </c>
      <c r="R7" s="26">
        <f>IF(B7="","",IF(CommissionOn="Gross before discounts",N7,M7))</f>
        <v>0</v>
      </c>
      <c r="S7" s="27">
        <f>IF(B7="","",IF(E7="Tiered on monthly service revenue",IFERROR(INDEX(TierRate,MATCH(Q7,TierFrom,1)),0),IFERROR(IF(INDEX(Staff!$M$5:$M$44,MATCH(C7,Staff!$A$5:$A$44,0))="",ServiceCommission,INDEX(Staff!$M$5:$M$44,MATCH(C7,Staff!$A$5:$A$44,0))),ServiceCommission)))</f>
        <v>0</v>
      </c>
      <c r="T7" s="27">
        <f>IF(B7="","",IFERROR(IF(INDEX(Staff!$N$5:$N$44,MATCH(C7,Staff!$A$5:$A$44,0))="",RetailCommission,INDEX(Staff!$N$5:$N$44,MATCH(C7,Staff!$A$5:$A$44,0))),RetailCommission))</f>
        <v>0</v>
      </c>
      <c r="U7" s="26">
        <f>IF(B7="","",IFERROR(INDEX(Staff!$O$5:$O$44,MATCH(C7,Staff!$A$5:$A$44,0))*1,0))</f>
        <v>0</v>
      </c>
      <c r="V7" s="26">
        <f>IF(B7="","",ROUND(IF(E7="Percent of service",Q7*S7,IF(E7="Percent of service and retail",Q7*S7+R7*T7,IF(E7="Percent after product cost",MAX(0,Q7-O7)*S7,IF(E7="Tiered on monthly service revenue",Q7*S7,IF(E7="Flat amount per service",P7*U7,0))))),2))</f>
        <v>0</v>
      </c>
      <c r="W7" s="26">
        <f>IF(B7="","",ROUND(SUMIFS(Payments!$G$5:$G$1204,Payments!$J$5:$J$1204,C7,Payments!$O$5:$O$1204,B7,Payments!$E$5:$E$1204,"Tip"),2))</f>
        <v>0</v>
      </c>
      <c r="X7" s="26">
        <f>IF(B7="","",ROUND(V7+IF(F7="",0,F7)+IF(G7="",0,G7),2))</f>
        <v>0</v>
      </c>
      <c r="Y7" s="27">
        <f>IF(B7="","",IF(Q7+R7=0,"",X7/(Q7+R7)))</f>
        <v>0</v>
      </c>
      <c r="Z7" s="25">
        <f>IF(B7="","",COUNTIFS($V$5:$V$244,"&gt;"&amp;V7)+COUNTIFS($V$5:V7,V7))</f>
        <v>0</v>
      </c>
      <c r="AA7" s="39">
        <f>IF(B7="","",IF(C7="","Add - whose commission is this?",IF(COUNTIFS($B$5:$B$244,B7,$C$5:$C$244,C7)&gt;1,"Duplicate - two rows for the same month",IF(E7="None","",IF(E7="Rent a chair","",IF(E7="Hourly only","",IF(X7=0,"Check - nothing calculated",IF(H7&lt;&gt;"Yes","Due - waiting for approval",IF(I7="","Due - approved but not paid","OK")))))))))</f>
        <v>0</v>
      </c>
    </row>
    <row r="8" spans="1:27">
      <c r="A8" s="28">
        <f>IF(B8="","",CommissionPrefix&amp;TEXT(ROW()-4,"0000"))</f>
        <v>0</v>
      </c>
      <c r="D8" s="15">
        <f>IF(C8="","",IFERROR(INDEX(Staff!$B$5:$B$44,MATCH(C8,Staff!$A$5:$A$44,0)),"Not in Staff"))</f>
        <v>0</v>
      </c>
      <c r="E8" s="15">
        <f>IF(C8="","",IFERROR(INDEX(Staff!$L$5:$L$44,MATCH(C8,Staff!$A$5:$A$44,0)),"None"))</f>
        <v>0</v>
      </c>
      <c r="K8" s="26">
        <f>IF(B8="","",ROUND(SUMIFS(Sales!$Y$5:$Y$1204,Sales!$F$5:$F$1204,C8,Sales!$R$5:$R$1204,B8,Sales!$H$5:$H$1204,"Service"),2))</f>
        <v>0</v>
      </c>
      <c r="L8" s="26">
        <f>IF(B8="","",ROUND(SUMIFS(Sales!$W$5:$W$1204,Sales!$F$5:$F$1204,C8,Sales!$R$5:$R$1204,B8,Sales!$H$5:$H$1204,"Service"),2))</f>
        <v>0</v>
      </c>
      <c r="M8" s="26">
        <f>IF(B8="","",ROUND(SUMIFS(Sales!$Y$5:$Y$1204,Sales!$F$5:$F$1204,C8,Sales!$R$5:$R$1204,B8,Sales!$H$5:$H$1204,"Retail"),2))</f>
        <v>0</v>
      </c>
      <c r="N8" s="26">
        <f>IF(B8="","",ROUND(SUMIFS(Sales!$W$5:$W$1204,Sales!$F$5:$F$1204,C8,Sales!$R$5:$R$1204,B8,Sales!$H$5:$H$1204,"Retail"),2))</f>
        <v>0</v>
      </c>
      <c r="O8" s="26">
        <f>IF(B8="","",ROUND(SUMIFS(Sales!$AB$5:$AB$1204,Sales!$F$5:$F$1204,C8,Sales!$R$5:$R$1204,B8,Sales!$H$5:$H$1204,"Service"),2))</f>
        <v>0</v>
      </c>
      <c r="P8" s="25">
        <f>IF(B8="","",COUNTIFS(Sales!$F$5:$F$1204,C8,Sales!$R$5:$R$1204,B8,Sales!$H$5:$H$1204,"Service"))</f>
        <v>0</v>
      </c>
      <c r="Q8" s="26">
        <f>IF(B8="","",IF(CommissionOn="Gross before discounts",L8,K8))</f>
        <v>0</v>
      </c>
      <c r="R8" s="26">
        <f>IF(B8="","",IF(CommissionOn="Gross before discounts",N8,M8))</f>
        <v>0</v>
      </c>
      <c r="S8" s="27">
        <f>IF(B8="","",IF(E8="Tiered on monthly service revenue",IFERROR(INDEX(TierRate,MATCH(Q8,TierFrom,1)),0),IFERROR(IF(INDEX(Staff!$M$5:$M$44,MATCH(C8,Staff!$A$5:$A$44,0))="",ServiceCommission,INDEX(Staff!$M$5:$M$44,MATCH(C8,Staff!$A$5:$A$44,0))),ServiceCommission)))</f>
        <v>0</v>
      </c>
      <c r="T8" s="27">
        <f>IF(B8="","",IFERROR(IF(INDEX(Staff!$N$5:$N$44,MATCH(C8,Staff!$A$5:$A$44,0))="",RetailCommission,INDEX(Staff!$N$5:$N$44,MATCH(C8,Staff!$A$5:$A$44,0))),RetailCommission))</f>
        <v>0</v>
      </c>
      <c r="U8" s="26">
        <f>IF(B8="","",IFERROR(INDEX(Staff!$O$5:$O$44,MATCH(C8,Staff!$A$5:$A$44,0))*1,0))</f>
        <v>0</v>
      </c>
      <c r="V8" s="26">
        <f>IF(B8="","",ROUND(IF(E8="Percent of service",Q8*S8,IF(E8="Percent of service and retail",Q8*S8+R8*T8,IF(E8="Percent after product cost",MAX(0,Q8-O8)*S8,IF(E8="Tiered on monthly service revenue",Q8*S8,IF(E8="Flat amount per service",P8*U8,0))))),2))</f>
        <v>0</v>
      </c>
      <c r="W8" s="26">
        <f>IF(B8="","",ROUND(SUMIFS(Payments!$G$5:$G$1204,Payments!$J$5:$J$1204,C8,Payments!$O$5:$O$1204,B8,Payments!$E$5:$E$1204,"Tip"),2))</f>
        <v>0</v>
      </c>
      <c r="X8" s="26">
        <f>IF(B8="","",ROUND(V8+IF(F8="",0,F8)+IF(G8="",0,G8),2))</f>
        <v>0</v>
      </c>
      <c r="Y8" s="27">
        <f>IF(B8="","",IF(Q8+R8=0,"",X8/(Q8+R8)))</f>
        <v>0</v>
      </c>
      <c r="Z8" s="25">
        <f>IF(B8="","",COUNTIFS($V$5:$V$244,"&gt;"&amp;V8)+COUNTIFS($V$5:V8,V8))</f>
        <v>0</v>
      </c>
      <c r="AA8" s="39">
        <f>IF(B8="","",IF(C8="","Add - whose commission is this?",IF(COUNTIFS($B$5:$B$244,B8,$C$5:$C$244,C8)&gt;1,"Duplicate - two rows for the same month",IF(E8="None","",IF(E8="Rent a chair","",IF(E8="Hourly only","",IF(X8=0,"Check - nothing calculated",IF(H8&lt;&gt;"Yes","Due - waiting for approval",IF(I8="","Due - approved but not paid","OK")))))))))</f>
        <v>0</v>
      </c>
    </row>
    <row r="9" spans="1:27">
      <c r="A9" s="28">
        <f>IF(B9="","",CommissionPrefix&amp;TEXT(ROW()-4,"0000"))</f>
        <v>0</v>
      </c>
      <c r="D9" s="15">
        <f>IF(C9="","",IFERROR(INDEX(Staff!$B$5:$B$44,MATCH(C9,Staff!$A$5:$A$44,0)),"Not in Staff"))</f>
        <v>0</v>
      </c>
      <c r="E9" s="15">
        <f>IF(C9="","",IFERROR(INDEX(Staff!$L$5:$L$44,MATCH(C9,Staff!$A$5:$A$44,0)),"None"))</f>
        <v>0</v>
      </c>
      <c r="K9" s="26">
        <f>IF(B9="","",ROUND(SUMIFS(Sales!$Y$5:$Y$1204,Sales!$F$5:$F$1204,C9,Sales!$R$5:$R$1204,B9,Sales!$H$5:$H$1204,"Service"),2))</f>
        <v>0</v>
      </c>
      <c r="L9" s="26">
        <f>IF(B9="","",ROUND(SUMIFS(Sales!$W$5:$W$1204,Sales!$F$5:$F$1204,C9,Sales!$R$5:$R$1204,B9,Sales!$H$5:$H$1204,"Service"),2))</f>
        <v>0</v>
      </c>
      <c r="M9" s="26">
        <f>IF(B9="","",ROUND(SUMIFS(Sales!$Y$5:$Y$1204,Sales!$F$5:$F$1204,C9,Sales!$R$5:$R$1204,B9,Sales!$H$5:$H$1204,"Retail"),2))</f>
        <v>0</v>
      </c>
      <c r="N9" s="26">
        <f>IF(B9="","",ROUND(SUMIFS(Sales!$W$5:$W$1204,Sales!$F$5:$F$1204,C9,Sales!$R$5:$R$1204,B9,Sales!$H$5:$H$1204,"Retail"),2))</f>
        <v>0</v>
      </c>
      <c r="O9" s="26">
        <f>IF(B9="","",ROUND(SUMIFS(Sales!$AB$5:$AB$1204,Sales!$F$5:$F$1204,C9,Sales!$R$5:$R$1204,B9,Sales!$H$5:$H$1204,"Service"),2))</f>
        <v>0</v>
      </c>
      <c r="P9" s="25">
        <f>IF(B9="","",COUNTIFS(Sales!$F$5:$F$1204,C9,Sales!$R$5:$R$1204,B9,Sales!$H$5:$H$1204,"Service"))</f>
        <v>0</v>
      </c>
      <c r="Q9" s="26">
        <f>IF(B9="","",IF(CommissionOn="Gross before discounts",L9,K9))</f>
        <v>0</v>
      </c>
      <c r="R9" s="26">
        <f>IF(B9="","",IF(CommissionOn="Gross before discounts",N9,M9))</f>
        <v>0</v>
      </c>
      <c r="S9" s="27">
        <f>IF(B9="","",IF(E9="Tiered on monthly service revenue",IFERROR(INDEX(TierRate,MATCH(Q9,TierFrom,1)),0),IFERROR(IF(INDEX(Staff!$M$5:$M$44,MATCH(C9,Staff!$A$5:$A$44,0))="",ServiceCommission,INDEX(Staff!$M$5:$M$44,MATCH(C9,Staff!$A$5:$A$44,0))),ServiceCommission)))</f>
        <v>0</v>
      </c>
      <c r="T9" s="27">
        <f>IF(B9="","",IFERROR(IF(INDEX(Staff!$N$5:$N$44,MATCH(C9,Staff!$A$5:$A$44,0))="",RetailCommission,INDEX(Staff!$N$5:$N$44,MATCH(C9,Staff!$A$5:$A$44,0))),RetailCommission))</f>
        <v>0</v>
      </c>
      <c r="U9" s="26">
        <f>IF(B9="","",IFERROR(INDEX(Staff!$O$5:$O$44,MATCH(C9,Staff!$A$5:$A$44,0))*1,0))</f>
        <v>0</v>
      </c>
      <c r="V9" s="26">
        <f>IF(B9="","",ROUND(IF(E9="Percent of service",Q9*S9,IF(E9="Percent of service and retail",Q9*S9+R9*T9,IF(E9="Percent after product cost",MAX(0,Q9-O9)*S9,IF(E9="Tiered on monthly service revenue",Q9*S9,IF(E9="Flat amount per service",P9*U9,0))))),2))</f>
        <v>0</v>
      </c>
      <c r="W9" s="26">
        <f>IF(B9="","",ROUND(SUMIFS(Payments!$G$5:$G$1204,Payments!$J$5:$J$1204,C9,Payments!$O$5:$O$1204,B9,Payments!$E$5:$E$1204,"Tip"),2))</f>
        <v>0</v>
      </c>
      <c r="X9" s="26">
        <f>IF(B9="","",ROUND(V9+IF(F9="",0,F9)+IF(G9="",0,G9),2))</f>
        <v>0</v>
      </c>
      <c r="Y9" s="27">
        <f>IF(B9="","",IF(Q9+R9=0,"",X9/(Q9+R9)))</f>
        <v>0</v>
      </c>
      <c r="Z9" s="25">
        <f>IF(B9="","",COUNTIFS($V$5:$V$244,"&gt;"&amp;V9)+COUNTIFS($V$5:V9,V9))</f>
        <v>0</v>
      </c>
      <c r="AA9" s="39">
        <f>IF(B9="","",IF(C9="","Add - whose commission is this?",IF(COUNTIFS($B$5:$B$244,B9,$C$5:$C$244,C9)&gt;1,"Duplicate - two rows for the same month",IF(E9="None","",IF(E9="Rent a chair","",IF(E9="Hourly only","",IF(X9=0,"Check - nothing calculated",IF(H9&lt;&gt;"Yes","Due - waiting for approval",IF(I9="","Due - approved but not paid","OK")))))))))</f>
        <v>0</v>
      </c>
    </row>
    <row r="10" spans="1:27">
      <c r="A10" s="28">
        <f>IF(B10="","",CommissionPrefix&amp;TEXT(ROW()-4,"0000"))</f>
        <v>0</v>
      </c>
      <c r="D10" s="15">
        <f>IF(C10="","",IFERROR(INDEX(Staff!$B$5:$B$44,MATCH(C10,Staff!$A$5:$A$44,0)),"Not in Staff"))</f>
        <v>0</v>
      </c>
      <c r="E10" s="15">
        <f>IF(C10="","",IFERROR(INDEX(Staff!$L$5:$L$44,MATCH(C10,Staff!$A$5:$A$44,0)),"None"))</f>
        <v>0</v>
      </c>
      <c r="K10" s="26">
        <f>IF(B10="","",ROUND(SUMIFS(Sales!$Y$5:$Y$1204,Sales!$F$5:$F$1204,C10,Sales!$R$5:$R$1204,B10,Sales!$H$5:$H$1204,"Service"),2))</f>
        <v>0</v>
      </c>
      <c r="L10" s="26">
        <f>IF(B10="","",ROUND(SUMIFS(Sales!$W$5:$W$1204,Sales!$F$5:$F$1204,C10,Sales!$R$5:$R$1204,B10,Sales!$H$5:$H$1204,"Service"),2))</f>
        <v>0</v>
      </c>
      <c r="M10" s="26">
        <f>IF(B10="","",ROUND(SUMIFS(Sales!$Y$5:$Y$1204,Sales!$F$5:$F$1204,C10,Sales!$R$5:$R$1204,B10,Sales!$H$5:$H$1204,"Retail"),2))</f>
        <v>0</v>
      </c>
      <c r="N10" s="26">
        <f>IF(B10="","",ROUND(SUMIFS(Sales!$W$5:$W$1204,Sales!$F$5:$F$1204,C10,Sales!$R$5:$R$1204,B10,Sales!$H$5:$H$1204,"Retail"),2))</f>
        <v>0</v>
      </c>
      <c r="O10" s="26">
        <f>IF(B10="","",ROUND(SUMIFS(Sales!$AB$5:$AB$1204,Sales!$F$5:$F$1204,C10,Sales!$R$5:$R$1204,B10,Sales!$H$5:$H$1204,"Service"),2))</f>
        <v>0</v>
      </c>
      <c r="P10" s="25">
        <f>IF(B10="","",COUNTIFS(Sales!$F$5:$F$1204,C10,Sales!$R$5:$R$1204,B10,Sales!$H$5:$H$1204,"Service"))</f>
        <v>0</v>
      </c>
      <c r="Q10" s="26">
        <f>IF(B10="","",IF(CommissionOn="Gross before discounts",L10,K10))</f>
        <v>0</v>
      </c>
      <c r="R10" s="26">
        <f>IF(B10="","",IF(CommissionOn="Gross before discounts",N10,M10))</f>
        <v>0</v>
      </c>
      <c r="S10" s="27">
        <f>IF(B10="","",IF(E10="Tiered on monthly service revenue",IFERROR(INDEX(TierRate,MATCH(Q10,TierFrom,1)),0),IFERROR(IF(INDEX(Staff!$M$5:$M$44,MATCH(C10,Staff!$A$5:$A$44,0))="",ServiceCommission,INDEX(Staff!$M$5:$M$44,MATCH(C10,Staff!$A$5:$A$44,0))),ServiceCommission)))</f>
        <v>0</v>
      </c>
      <c r="T10" s="27">
        <f>IF(B10="","",IFERROR(IF(INDEX(Staff!$N$5:$N$44,MATCH(C10,Staff!$A$5:$A$44,0))="",RetailCommission,INDEX(Staff!$N$5:$N$44,MATCH(C10,Staff!$A$5:$A$44,0))),RetailCommission))</f>
        <v>0</v>
      </c>
      <c r="U10" s="26">
        <f>IF(B10="","",IFERROR(INDEX(Staff!$O$5:$O$44,MATCH(C10,Staff!$A$5:$A$44,0))*1,0))</f>
        <v>0</v>
      </c>
      <c r="V10" s="26">
        <f>IF(B10="","",ROUND(IF(E10="Percent of service",Q10*S10,IF(E10="Percent of service and retail",Q10*S10+R10*T10,IF(E10="Percent after product cost",MAX(0,Q10-O10)*S10,IF(E10="Tiered on monthly service revenue",Q10*S10,IF(E10="Flat amount per service",P10*U10,0))))),2))</f>
        <v>0</v>
      </c>
      <c r="W10" s="26">
        <f>IF(B10="","",ROUND(SUMIFS(Payments!$G$5:$G$1204,Payments!$J$5:$J$1204,C10,Payments!$O$5:$O$1204,B10,Payments!$E$5:$E$1204,"Tip"),2))</f>
        <v>0</v>
      </c>
      <c r="X10" s="26">
        <f>IF(B10="","",ROUND(V10+IF(F10="",0,F10)+IF(G10="",0,G10),2))</f>
        <v>0</v>
      </c>
      <c r="Y10" s="27">
        <f>IF(B10="","",IF(Q10+R10=0,"",X10/(Q10+R10)))</f>
        <v>0</v>
      </c>
      <c r="Z10" s="25">
        <f>IF(B10="","",COUNTIFS($V$5:$V$244,"&gt;"&amp;V10)+COUNTIFS($V$5:V10,V10))</f>
        <v>0</v>
      </c>
      <c r="AA10" s="39">
        <f>IF(B10="","",IF(C10="","Add - whose commission is this?",IF(COUNTIFS($B$5:$B$244,B10,$C$5:$C$244,C10)&gt;1,"Duplicate - two rows for the same month",IF(E10="None","",IF(E10="Rent a chair","",IF(E10="Hourly only","",IF(X10=0,"Check - nothing calculated",IF(H10&lt;&gt;"Yes","Due - waiting for approval",IF(I10="","Due - approved but not paid","OK")))))))))</f>
        <v>0</v>
      </c>
    </row>
    <row r="11" spans="1:27">
      <c r="A11" s="28">
        <f>IF(B11="","",CommissionPrefix&amp;TEXT(ROW()-4,"0000"))</f>
        <v>0</v>
      </c>
      <c r="D11" s="15">
        <f>IF(C11="","",IFERROR(INDEX(Staff!$B$5:$B$44,MATCH(C11,Staff!$A$5:$A$44,0)),"Not in Staff"))</f>
        <v>0</v>
      </c>
      <c r="E11" s="15">
        <f>IF(C11="","",IFERROR(INDEX(Staff!$L$5:$L$44,MATCH(C11,Staff!$A$5:$A$44,0)),"None"))</f>
        <v>0</v>
      </c>
      <c r="K11" s="26">
        <f>IF(B11="","",ROUND(SUMIFS(Sales!$Y$5:$Y$1204,Sales!$F$5:$F$1204,C11,Sales!$R$5:$R$1204,B11,Sales!$H$5:$H$1204,"Service"),2))</f>
        <v>0</v>
      </c>
      <c r="L11" s="26">
        <f>IF(B11="","",ROUND(SUMIFS(Sales!$W$5:$W$1204,Sales!$F$5:$F$1204,C11,Sales!$R$5:$R$1204,B11,Sales!$H$5:$H$1204,"Service"),2))</f>
        <v>0</v>
      </c>
      <c r="M11" s="26">
        <f>IF(B11="","",ROUND(SUMIFS(Sales!$Y$5:$Y$1204,Sales!$F$5:$F$1204,C11,Sales!$R$5:$R$1204,B11,Sales!$H$5:$H$1204,"Retail"),2))</f>
        <v>0</v>
      </c>
      <c r="N11" s="26">
        <f>IF(B11="","",ROUND(SUMIFS(Sales!$W$5:$W$1204,Sales!$F$5:$F$1204,C11,Sales!$R$5:$R$1204,B11,Sales!$H$5:$H$1204,"Retail"),2))</f>
        <v>0</v>
      </c>
      <c r="O11" s="26">
        <f>IF(B11="","",ROUND(SUMIFS(Sales!$AB$5:$AB$1204,Sales!$F$5:$F$1204,C11,Sales!$R$5:$R$1204,B11,Sales!$H$5:$H$1204,"Service"),2))</f>
        <v>0</v>
      </c>
      <c r="P11" s="25">
        <f>IF(B11="","",COUNTIFS(Sales!$F$5:$F$1204,C11,Sales!$R$5:$R$1204,B11,Sales!$H$5:$H$1204,"Service"))</f>
        <v>0</v>
      </c>
      <c r="Q11" s="26">
        <f>IF(B11="","",IF(CommissionOn="Gross before discounts",L11,K11))</f>
        <v>0</v>
      </c>
      <c r="R11" s="26">
        <f>IF(B11="","",IF(CommissionOn="Gross before discounts",N11,M11))</f>
        <v>0</v>
      </c>
      <c r="S11" s="27">
        <f>IF(B11="","",IF(E11="Tiered on monthly service revenue",IFERROR(INDEX(TierRate,MATCH(Q11,TierFrom,1)),0),IFERROR(IF(INDEX(Staff!$M$5:$M$44,MATCH(C11,Staff!$A$5:$A$44,0))="",ServiceCommission,INDEX(Staff!$M$5:$M$44,MATCH(C11,Staff!$A$5:$A$44,0))),ServiceCommission)))</f>
        <v>0</v>
      </c>
      <c r="T11" s="27">
        <f>IF(B11="","",IFERROR(IF(INDEX(Staff!$N$5:$N$44,MATCH(C11,Staff!$A$5:$A$44,0))="",RetailCommission,INDEX(Staff!$N$5:$N$44,MATCH(C11,Staff!$A$5:$A$44,0))),RetailCommission))</f>
        <v>0</v>
      </c>
      <c r="U11" s="26">
        <f>IF(B11="","",IFERROR(INDEX(Staff!$O$5:$O$44,MATCH(C11,Staff!$A$5:$A$44,0))*1,0))</f>
        <v>0</v>
      </c>
      <c r="V11" s="26">
        <f>IF(B11="","",ROUND(IF(E11="Percent of service",Q11*S11,IF(E11="Percent of service and retail",Q11*S11+R11*T11,IF(E11="Percent after product cost",MAX(0,Q11-O11)*S11,IF(E11="Tiered on monthly service revenue",Q11*S11,IF(E11="Flat amount per service",P11*U11,0))))),2))</f>
        <v>0</v>
      </c>
      <c r="W11" s="26">
        <f>IF(B11="","",ROUND(SUMIFS(Payments!$G$5:$G$1204,Payments!$J$5:$J$1204,C11,Payments!$O$5:$O$1204,B11,Payments!$E$5:$E$1204,"Tip"),2))</f>
        <v>0</v>
      </c>
      <c r="X11" s="26">
        <f>IF(B11="","",ROUND(V11+IF(F11="",0,F11)+IF(G11="",0,G11),2))</f>
        <v>0</v>
      </c>
      <c r="Y11" s="27">
        <f>IF(B11="","",IF(Q11+R11=0,"",X11/(Q11+R11)))</f>
        <v>0</v>
      </c>
      <c r="Z11" s="25">
        <f>IF(B11="","",COUNTIFS($V$5:$V$244,"&gt;"&amp;V11)+COUNTIFS($V$5:V11,V11))</f>
        <v>0</v>
      </c>
      <c r="AA11" s="39">
        <f>IF(B11="","",IF(C11="","Add - whose commission is this?",IF(COUNTIFS($B$5:$B$244,B11,$C$5:$C$244,C11)&gt;1,"Duplicate - two rows for the same month",IF(E11="None","",IF(E11="Rent a chair","",IF(E11="Hourly only","",IF(X11=0,"Check - nothing calculated",IF(H11&lt;&gt;"Yes","Due - waiting for approval",IF(I11="","Due - approved but not paid","OK")))))))))</f>
        <v>0</v>
      </c>
    </row>
    <row r="12" spans="1:27">
      <c r="A12" s="28">
        <f>IF(B12="","",CommissionPrefix&amp;TEXT(ROW()-4,"0000"))</f>
        <v>0</v>
      </c>
      <c r="D12" s="15">
        <f>IF(C12="","",IFERROR(INDEX(Staff!$B$5:$B$44,MATCH(C12,Staff!$A$5:$A$44,0)),"Not in Staff"))</f>
        <v>0</v>
      </c>
      <c r="E12" s="15">
        <f>IF(C12="","",IFERROR(INDEX(Staff!$L$5:$L$44,MATCH(C12,Staff!$A$5:$A$44,0)),"None"))</f>
        <v>0</v>
      </c>
      <c r="K12" s="26">
        <f>IF(B12="","",ROUND(SUMIFS(Sales!$Y$5:$Y$1204,Sales!$F$5:$F$1204,C12,Sales!$R$5:$R$1204,B12,Sales!$H$5:$H$1204,"Service"),2))</f>
        <v>0</v>
      </c>
      <c r="L12" s="26">
        <f>IF(B12="","",ROUND(SUMIFS(Sales!$W$5:$W$1204,Sales!$F$5:$F$1204,C12,Sales!$R$5:$R$1204,B12,Sales!$H$5:$H$1204,"Service"),2))</f>
        <v>0</v>
      </c>
      <c r="M12" s="26">
        <f>IF(B12="","",ROUND(SUMIFS(Sales!$Y$5:$Y$1204,Sales!$F$5:$F$1204,C12,Sales!$R$5:$R$1204,B12,Sales!$H$5:$H$1204,"Retail"),2))</f>
        <v>0</v>
      </c>
      <c r="N12" s="26">
        <f>IF(B12="","",ROUND(SUMIFS(Sales!$W$5:$W$1204,Sales!$F$5:$F$1204,C12,Sales!$R$5:$R$1204,B12,Sales!$H$5:$H$1204,"Retail"),2))</f>
        <v>0</v>
      </c>
      <c r="O12" s="26">
        <f>IF(B12="","",ROUND(SUMIFS(Sales!$AB$5:$AB$1204,Sales!$F$5:$F$1204,C12,Sales!$R$5:$R$1204,B12,Sales!$H$5:$H$1204,"Service"),2))</f>
        <v>0</v>
      </c>
      <c r="P12" s="25">
        <f>IF(B12="","",COUNTIFS(Sales!$F$5:$F$1204,C12,Sales!$R$5:$R$1204,B12,Sales!$H$5:$H$1204,"Service"))</f>
        <v>0</v>
      </c>
      <c r="Q12" s="26">
        <f>IF(B12="","",IF(CommissionOn="Gross before discounts",L12,K12))</f>
        <v>0</v>
      </c>
      <c r="R12" s="26">
        <f>IF(B12="","",IF(CommissionOn="Gross before discounts",N12,M12))</f>
        <v>0</v>
      </c>
      <c r="S12" s="27">
        <f>IF(B12="","",IF(E12="Tiered on monthly service revenue",IFERROR(INDEX(TierRate,MATCH(Q12,TierFrom,1)),0),IFERROR(IF(INDEX(Staff!$M$5:$M$44,MATCH(C12,Staff!$A$5:$A$44,0))="",ServiceCommission,INDEX(Staff!$M$5:$M$44,MATCH(C12,Staff!$A$5:$A$44,0))),ServiceCommission)))</f>
        <v>0</v>
      </c>
      <c r="T12" s="27">
        <f>IF(B12="","",IFERROR(IF(INDEX(Staff!$N$5:$N$44,MATCH(C12,Staff!$A$5:$A$44,0))="",RetailCommission,INDEX(Staff!$N$5:$N$44,MATCH(C12,Staff!$A$5:$A$44,0))),RetailCommission))</f>
        <v>0</v>
      </c>
      <c r="U12" s="26">
        <f>IF(B12="","",IFERROR(INDEX(Staff!$O$5:$O$44,MATCH(C12,Staff!$A$5:$A$44,0))*1,0))</f>
        <v>0</v>
      </c>
      <c r="V12" s="26">
        <f>IF(B12="","",ROUND(IF(E12="Percent of service",Q12*S12,IF(E12="Percent of service and retail",Q12*S12+R12*T12,IF(E12="Percent after product cost",MAX(0,Q12-O12)*S12,IF(E12="Tiered on monthly service revenue",Q12*S12,IF(E12="Flat amount per service",P12*U12,0))))),2))</f>
        <v>0</v>
      </c>
      <c r="W12" s="26">
        <f>IF(B12="","",ROUND(SUMIFS(Payments!$G$5:$G$1204,Payments!$J$5:$J$1204,C12,Payments!$O$5:$O$1204,B12,Payments!$E$5:$E$1204,"Tip"),2))</f>
        <v>0</v>
      </c>
      <c r="X12" s="26">
        <f>IF(B12="","",ROUND(V12+IF(F12="",0,F12)+IF(G12="",0,G12),2))</f>
        <v>0</v>
      </c>
      <c r="Y12" s="27">
        <f>IF(B12="","",IF(Q12+R12=0,"",X12/(Q12+R12)))</f>
        <v>0</v>
      </c>
      <c r="Z12" s="25">
        <f>IF(B12="","",COUNTIFS($V$5:$V$244,"&gt;"&amp;V12)+COUNTIFS($V$5:V12,V12))</f>
        <v>0</v>
      </c>
      <c r="AA12" s="39">
        <f>IF(B12="","",IF(C12="","Add - whose commission is this?",IF(COUNTIFS($B$5:$B$244,B12,$C$5:$C$244,C12)&gt;1,"Duplicate - two rows for the same month",IF(E12="None","",IF(E12="Rent a chair","",IF(E12="Hourly only","",IF(X12=0,"Check - nothing calculated",IF(H12&lt;&gt;"Yes","Due - waiting for approval",IF(I12="","Due - approved but not paid","OK")))))))))</f>
        <v>0</v>
      </c>
    </row>
    <row r="13" spans="1:27">
      <c r="A13" s="28">
        <f>IF(B13="","",CommissionPrefix&amp;TEXT(ROW()-4,"0000"))</f>
        <v>0</v>
      </c>
      <c r="D13" s="15">
        <f>IF(C13="","",IFERROR(INDEX(Staff!$B$5:$B$44,MATCH(C13,Staff!$A$5:$A$44,0)),"Not in Staff"))</f>
        <v>0</v>
      </c>
      <c r="E13" s="15">
        <f>IF(C13="","",IFERROR(INDEX(Staff!$L$5:$L$44,MATCH(C13,Staff!$A$5:$A$44,0)),"None"))</f>
        <v>0</v>
      </c>
      <c r="K13" s="26">
        <f>IF(B13="","",ROUND(SUMIFS(Sales!$Y$5:$Y$1204,Sales!$F$5:$F$1204,C13,Sales!$R$5:$R$1204,B13,Sales!$H$5:$H$1204,"Service"),2))</f>
        <v>0</v>
      </c>
      <c r="L13" s="26">
        <f>IF(B13="","",ROUND(SUMIFS(Sales!$W$5:$W$1204,Sales!$F$5:$F$1204,C13,Sales!$R$5:$R$1204,B13,Sales!$H$5:$H$1204,"Service"),2))</f>
        <v>0</v>
      </c>
      <c r="M13" s="26">
        <f>IF(B13="","",ROUND(SUMIFS(Sales!$Y$5:$Y$1204,Sales!$F$5:$F$1204,C13,Sales!$R$5:$R$1204,B13,Sales!$H$5:$H$1204,"Retail"),2))</f>
        <v>0</v>
      </c>
      <c r="N13" s="26">
        <f>IF(B13="","",ROUND(SUMIFS(Sales!$W$5:$W$1204,Sales!$F$5:$F$1204,C13,Sales!$R$5:$R$1204,B13,Sales!$H$5:$H$1204,"Retail"),2))</f>
        <v>0</v>
      </c>
      <c r="O13" s="26">
        <f>IF(B13="","",ROUND(SUMIFS(Sales!$AB$5:$AB$1204,Sales!$F$5:$F$1204,C13,Sales!$R$5:$R$1204,B13,Sales!$H$5:$H$1204,"Service"),2))</f>
        <v>0</v>
      </c>
      <c r="P13" s="25">
        <f>IF(B13="","",COUNTIFS(Sales!$F$5:$F$1204,C13,Sales!$R$5:$R$1204,B13,Sales!$H$5:$H$1204,"Service"))</f>
        <v>0</v>
      </c>
      <c r="Q13" s="26">
        <f>IF(B13="","",IF(CommissionOn="Gross before discounts",L13,K13))</f>
        <v>0</v>
      </c>
      <c r="R13" s="26">
        <f>IF(B13="","",IF(CommissionOn="Gross before discounts",N13,M13))</f>
        <v>0</v>
      </c>
      <c r="S13" s="27">
        <f>IF(B13="","",IF(E13="Tiered on monthly service revenue",IFERROR(INDEX(TierRate,MATCH(Q13,TierFrom,1)),0),IFERROR(IF(INDEX(Staff!$M$5:$M$44,MATCH(C13,Staff!$A$5:$A$44,0))="",ServiceCommission,INDEX(Staff!$M$5:$M$44,MATCH(C13,Staff!$A$5:$A$44,0))),ServiceCommission)))</f>
        <v>0</v>
      </c>
      <c r="T13" s="27">
        <f>IF(B13="","",IFERROR(IF(INDEX(Staff!$N$5:$N$44,MATCH(C13,Staff!$A$5:$A$44,0))="",RetailCommission,INDEX(Staff!$N$5:$N$44,MATCH(C13,Staff!$A$5:$A$44,0))),RetailCommission))</f>
        <v>0</v>
      </c>
      <c r="U13" s="26">
        <f>IF(B13="","",IFERROR(INDEX(Staff!$O$5:$O$44,MATCH(C13,Staff!$A$5:$A$44,0))*1,0))</f>
        <v>0</v>
      </c>
      <c r="V13" s="26">
        <f>IF(B13="","",ROUND(IF(E13="Percent of service",Q13*S13,IF(E13="Percent of service and retail",Q13*S13+R13*T13,IF(E13="Percent after product cost",MAX(0,Q13-O13)*S13,IF(E13="Tiered on monthly service revenue",Q13*S13,IF(E13="Flat amount per service",P13*U13,0))))),2))</f>
        <v>0</v>
      </c>
      <c r="W13" s="26">
        <f>IF(B13="","",ROUND(SUMIFS(Payments!$G$5:$G$1204,Payments!$J$5:$J$1204,C13,Payments!$O$5:$O$1204,B13,Payments!$E$5:$E$1204,"Tip"),2))</f>
        <v>0</v>
      </c>
      <c r="X13" s="26">
        <f>IF(B13="","",ROUND(V13+IF(F13="",0,F13)+IF(G13="",0,G13),2))</f>
        <v>0</v>
      </c>
      <c r="Y13" s="27">
        <f>IF(B13="","",IF(Q13+R13=0,"",X13/(Q13+R13)))</f>
        <v>0</v>
      </c>
      <c r="Z13" s="25">
        <f>IF(B13="","",COUNTIFS($V$5:$V$244,"&gt;"&amp;V13)+COUNTIFS($V$5:V13,V13))</f>
        <v>0</v>
      </c>
      <c r="AA13" s="39">
        <f>IF(B13="","",IF(C13="","Add - whose commission is this?",IF(COUNTIFS($B$5:$B$244,B13,$C$5:$C$244,C13)&gt;1,"Duplicate - two rows for the same month",IF(E13="None","",IF(E13="Rent a chair","",IF(E13="Hourly only","",IF(X13=0,"Check - nothing calculated",IF(H13&lt;&gt;"Yes","Due - waiting for approval",IF(I13="","Due - approved but not paid","OK")))))))))</f>
        <v>0</v>
      </c>
    </row>
    <row r="14" spans="1:27">
      <c r="A14" s="28">
        <f>IF(B14="","",CommissionPrefix&amp;TEXT(ROW()-4,"0000"))</f>
        <v>0</v>
      </c>
      <c r="D14" s="15">
        <f>IF(C14="","",IFERROR(INDEX(Staff!$B$5:$B$44,MATCH(C14,Staff!$A$5:$A$44,0)),"Not in Staff"))</f>
        <v>0</v>
      </c>
      <c r="E14" s="15">
        <f>IF(C14="","",IFERROR(INDEX(Staff!$L$5:$L$44,MATCH(C14,Staff!$A$5:$A$44,0)),"None"))</f>
        <v>0</v>
      </c>
      <c r="K14" s="26">
        <f>IF(B14="","",ROUND(SUMIFS(Sales!$Y$5:$Y$1204,Sales!$F$5:$F$1204,C14,Sales!$R$5:$R$1204,B14,Sales!$H$5:$H$1204,"Service"),2))</f>
        <v>0</v>
      </c>
      <c r="L14" s="26">
        <f>IF(B14="","",ROUND(SUMIFS(Sales!$W$5:$W$1204,Sales!$F$5:$F$1204,C14,Sales!$R$5:$R$1204,B14,Sales!$H$5:$H$1204,"Service"),2))</f>
        <v>0</v>
      </c>
      <c r="M14" s="26">
        <f>IF(B14="","",ROUND(SUMIFS(Sales!$Y$5:$Y$1204,Sales!$F$5:$F$1204,C14,Sales!$R$5:$R$1204,B14,Sales!$H$5:$H$1204,"Retail"),2))</f>
        <v>0</v>
      </c>
      <c r="N14" s="26">
        <f>IF(B14="","",ROUND(SUMIFS(Sales!$W$5:$W$1204,Sales!$F$5:$F$1204,C14,Sales!$R$5:$R$1204,B14,Sales!$H$5:$H$1204,"Retail"),2))</f>
        <v>0</v>
      </c>
      <c r="O14" s="26">
        <f>IF(B14="","",ROUND(SUMIFS(Sales!$AB$5:$AB$1204,Sales!$F$5:$F$1204,C14,Sales!$R$5:$R$1204,B14,Sales!$H$5:$H$1204,"Service"),2))</f>
        <v>0</v>
      </c>
      <c r="P14" s="25">
        <f>IF(B14="","",COUNTIFS(Sales!$F$5:$F$1204,C14,Sales!$R$5:$R$1204,B14,Sales!$H$5:$H$1204,"Service"))</f>
        <v>0</v>
      </c>
      <c r="Q14" s="26">
        <f>IF(B14="","",IF(CommissionOn="Gross before discounts",L14,K14))</f>
        <v>0</v>
      </c>
      <c r="R14" s="26">
        <f>IF(B14="","",IF(CommissionOn="Gross before discounts",N14,M14))</f>
        <v>0</v>
      </c>
      <c r="S14" s="27">
        <f>IF(B14="","",IF(E14="Tiered on monthly service revenue",IFERROR(INDEX(TierRate,MATCH(Q14,TierFrom,1)),0),IFERROR(IF(INDEX(Staff!$M$5:$M$44,MATCH(C14,Staff!$A$5:$A$44,0))="",ServiceCommission,INDEX(Staff!$M$5:$M$44,MATCH(C14,Staff!$A$5:$A$44,0))),ServiceCommission)))</f>
        <v>0</v>
      </c>
      <c r="T14" s="27">
        <f>IF(B14="","",IFERROR(IF(INDEX(Staff!$N$5:$N$44,MATCH(C14,Staff!$A$5:$A$44,0))="",RetailCommission,INDEX(Staff!$N$5:$N$44,MATCH(C14,Staff!$A$5:$A$44,0))),RetailCommission))</f>
        <v>0</v>
      </c>
      <c r="U14" s="26">
        <f>IF(B14="","",IFERROR(INDEX(Staff!$O$5:$O$44,MATCH(C14,Staff!$A$5:$A$44,0))*1,0))</f>
        <v>0</v>
      </c>
      <c r="V14" s="26">
        <f>IF(B14="","",ROUND(IF(E14="Percent of service",Q14*S14,IF(E14="Percent of service and retail",Q14*S14+R14*T14,IF(E14="Percent after product cost",MAX(0,Q14-O14)*S14,IF(E14="Tiered on monthly service revenue",Q14*S14,IF(E14="Flat amount per service",P14*U14,0))))),2))</f>
        <v>0</v>
      </c>
      <c r="W14" s="26">
        <f>IF(B14="","",ROUND(SUMIFS(Payments!$G$5:$G$1204,Payments!$J$5:$J$1204,C14,Payments!$O$5:$O$1204,B14,Payments!$E$5:$E$1204,"Tip"),2))</f>
        <v>0</v>
      </c>
      <c r="X14" s="26">
        <f>IF(B14="","",ROUND(V14+IF(F14="",0,F14)+IF(G14="",0,G14),2))</f>
        <v>0</v>
      </c>
      <c r="Y14" s="27">
        <f>IF(B14="","",IF(Q14+R14=0,"",X14/(Q14+R14)))</f>
        <v>0</v>
      </c>
      <c r="Z14" s="25">
        <f>IF(B14="","",COUNTIFS($V$5:$V$244,"&gt;"&amp;V14)+COUNTIFS($V$5:V14,V14))</f>
        <v>0</v>
      </c>
      <c r="AA14" s="39">
        <f>IF(B14="","",IF(C14="","Add - whose commission is this?",IF(COUNTIFS($B$5:$B$244,B14,$C$5:$C$244,C14)&gt;1,"Duplicate - two rows for the same month",IF(E14="None","",IF(E14="Rent a chair","",IF(E14="Hourly only","",IF(X14=0,"Check - nothing calculated",IF(H14&lt;&gt;"Yes","Due - waiting for approval",IF(I14="","Due - approved but not paid","OK")))))))))</f>
        <v>0</v>
      </c>
    </row>
    <row r="15" spans="1:27">
      <c r="A15" s="28">
        <f>IF(B15="","",CommissionPrefix&amp;TEXT(ROW()-4,"0000"))</f>
        <v>0</v>
      </c>
      <c r="D15" s="15">
        <f>IF(C15="","",IFERROR(INDEX(Staff!$B$5:$B$44,MATCH(C15,Staff!$A$5:$A$44,0)),"Not in Staff"))</f>
        <v>0</v>
      </c>
      <c r="E15" s="15">
        <f>IF(C15="","",IFERROR(INDEX(Staff!$L$5:$L$44,MATCH(C15,Staff!$A$5:$A$44,0)),"None"))</f>
        <v>0</v>
      </c>
      <c r="K15" s="26">
        <f>IF(B15="","",ROUND(SUMIFS(Sales!$Y$5:$Y$1204,Sales!$F$5:$F$1204,C15,Sales!$R$5:$R$1204,B15,Sales!$H$5:$H$1204,"Service"),2))</f>
        <v>0</v>
      </c>
      <c r="L15" s="26">
        <f>IF(B15="","",ROUND(SUMIFS(Sales!$W$5:$W$1204,Sales!$F$5:$F$1204,C15,Sales!$R$5:$R$1204,B15,Sales!$H$5:$H$1204,"Service"),2))</f>
        <v>0</v>
      </c>
      <c r="M15" s="26">
        <f>IF(B15="","",ROUND(SUMIFS(Sales!$Y$5:$Y$1204,Sales!$F$5:$F$1204,C15,Sales!$R$5:$R$1204,B15,Sales!$H$5:$H$1204,"Retail"),2))</f>
        <v>0</v>
      </c>
      <c r="N15" s="26">
        <f>IF(B15="","",ROUND(SUMIFS(Sales!$W$5:$W$1204,Sales!$F$5:$F$1204,C15,Sales!$R$5:$R$1204,B15,Sales!$H$5:$H$1204,"Retail"),2))</f>
        <v>0</v>
      </c>
      <c r="O15" s="26">
        <f>IF(B15="","",ROUND(SUMIFS(Sales!$AB$5:$AB$1204,Sales!$F$5:$F$1204,C15,Sales!$R$5:$R$1204,B15,Sales!$H$5:$H$1204,"Service"),2))</f>
        <v>0</v>
      </c>
      <c r="P15" s="25">
        <f>IF(B15="","",COUNTIFS(Sales!$F$5:$F$1204,C15,Sales!$R$5:$R$1204,B15,Sales!$H$5:$H$1204,"Service"))</f>
        <v>0</v>
      </c>
      <c r="Q15" s="26">
        <f>IF(B15="","",IF(CommissionOn="Gross before discounts",L15,K15))</f>
        <v>0</v>
      </c>
      <c r="R15" s="26">
        <f>IF(B15="","",IF(CommissionOn="Gross before discounts",N15,M15))</f>
        <v>0</v>
      </c>
      <c r="S15" s="27">
        <f>IF(B15="","",IF(E15="Tiered on monthly service revenue",IFERROR(INDEX(TierRate,MATCH(Q15,TierFrom,1)),0),IFERROR(IF(INDEX(Staff!$M$5:$M$44,MATCH(C15,Staff!$A$5:$A$44,0))="",ServiceCommission,INDEX(Staff!$M$5:$M$44,MATCH(C15,Staff!$A$5:$A$44,0))),ServiceCommission)))</f>
        <v>0</v>
      </c>
      <c r="T15" s="27">
        <f>IF(B15="","",IFERROR(IF(INDEX(Staff!$N$5:$N$44,MATCH(C15,Staff!$A$5:$A$44,0))="",RetailCommission,INDEX(Staff!$N$5:$N$44,MATCH(C15,Staff!$A$5:$A$44,0))),RetailCommission))</f>
        <v>0</v>
      </c>
      <c r="U15" s="26">
        <f>IF(B15="","",IFERROR(INDEX(Staff!$O$5:$O$44,MATCH(C15,Staff!$A$5:$A$44,0))*1,0))</f>
        <v>0</v>
      </c>
      <c r="V15" s="26">
        <f>IF(B15="","",ROUND(IF(E15="Percent of service",Q15*S15,IF(E15="Percent of service and retail",Q15*S15+R15*T15,IF(E15="Percent after product cost",MAX(0,Q15-O15)*S15,IF(E15="Tiered on monthly service revenue",Q15*S15,IF(E15="Flat amount per service",P15*U15,0))))),2))</f>
        <v>0</v>
      </c>
      <c r="W15" s="26">
        <f>IF(B15="","",ROUND(SUMIFS(Payments!$G$5:$G$1204,Payments!$J$5:$J$1204,C15,Payments!$O$5:$O$1204,B15,Payments!$E$5:$E$1204,"Tip"),2))</f>
        <v>0</v>
      </c>
      <c r="X15" s="26">
        <f>IF(B15="","",ROUND(V15+IF(F15="",0,F15)+IF(G15="",0,G15),2))</f>
        <v>0</v>
      </c>
      <c r="Y15" s="27">
        <f>IF(B15="","",IF(Q15+R15=0,"",X15/(Q15+R15)))</f>
        <v>0</v>
      </c>
      <c r="Z15" s="25">
        <f>IF(B15="","",COUNTIFS($V$5:$V$244,"&gt;"&amp;V15)+COUNTIFS($V$5:V15,V15))</f>
        <v>0</v>
      </c>
      <c r="AA15" s="39">
        <f>IF(B15="","",IF(C15="","Add - whose commission is this?",IF(COUNTIFS($B$5:$B$244,B15,$C$5:$C$244,C15)&gt;1,"Duplicate - two rows for the same month",IF(E15="None","",IF(E15="Rent a chair","",IF(E15="Hourly only","",IF(X15=0,"Check - nothing calculated",IF(H15&lt;&gt;"Yes","Due - waiting for approval",IF(I15="","Due - approved but not paid","OK")))))))))</f>
        <v>0</v>
      </c>
    </row>
    <row r="16" spans="1:27">
      <c r="A16" s="28">
        <f>IF(B16="","",CommissionPrefix&amp;TEXT(ROW()-4,"0000"))</f>
        <v>0</v>
      </c>
      <c r="D16" s="15">
        <f>IF(C16="","",IFERROR(INDEX(Staff!$B$5:$B$44,MATCH(C16,Staff!$A$5:$A$44,0)),"Not in Staff"))</f>
        <v>0</v>
      </c>
      <c r="E16" s="15">
        <f>IF(C16="","",IFERROR(INDEX(Staff!$L$5:$L$44,MATCH(C16,Staff!$A$5:$A$44,0)),"None"))</f>
        <v>0</v>
      </c>
      <c r="K16" s="26">
        <f>IF(B16="","",ROUND(SUMIFS(Sales!$Y$5:$Y$1204,Sales!$F$5:$F$1204,C16,Sales!$R$5:$R$1204,B16,Sales!$H$5:$H$1204,"Service"),2))</f>
        <v>0</v>
      </c>
      <c r="L16" s="26">
        <f>IF(B16="","",ROUND(SUMIFS(Sales!$W$5:$W$1204,Sales!$F$5:$F$1204,C16,Sales!$R$5:$R$1204,B16,Sales!$H$5:$H$1204,"Service"),2))</f>
        <v>0</v>
      </c>
      <c r="M16" s="26">
        <f>IF(B16="","",ROUND(SUMIFS(Sales!$Y$5:$Y$1204,Sales!$F$5:$F$1204,C16,Sales!$R$5:$R$1204,B16,Sales!$H$5:$H$1204,"Retail"),2))</f>
        <v>0</v>
      </c>
      <c r="N16" s="26">
        <f>IF(B16="","",ROUND(SUMIFS(Sales!$W$5:$W$1204,Sales!$F$5:$F$1204,C16,Sales!$R$5:$R$1204,B16,Sales!$H$5:$H$1204,"Retail"),2))</f>
        <v>0</v>
      </c>
      <c r="O16" s="26">
        <f>IF(B16="","",ROUND(SUMIFS(Sales!$AB$5:$AB$1204,Sales!$F$5:$F$1204,C16,Sales!$R$5:$R$1204,B16,Sales!$H$5:$H$1204,"Service"),2))</f>
        <v>0</v>
      </c>
      <c r="P16" s="25">
        <f>IF(B16="","",COUNTIFS(Sales!$F$5:$F$1204,C16,Sales!$R$5:$R$1204,B16,Sales!$H$5:$H$1204,"Service"))</f>
        <v>0</v>
      </c>
      <c r="Q16" s="26">
        <f>IF(B16="","",IF(CommissionOn="Gross before discounts",L16,K16))</f>
        <v>0</v>
      </c>
      <c r="R16" s="26">
        <f>IF(B16="","",IF(CommissionOn="Gross before discounts",N16,M16))</f>
        <v>0</v>
      </c>
      <c r="S16" s="27">
        <f>IF(B16="","",IF(E16="Tiered on monthly service revenue",IFERROR(INDEX(TierRate,MATCH(Q16,TierFrom,1)),0),IFERROR(IF(INDEX(Staff!$M$5:$M$44,MATCH(C16,Staff!$A$5:$A$44,0))="",ServiceCommission,INDEX(Staff!$M$5:$M$44,MATCH(C16,Staff!$A$5:$A$44,0))),ServiceCommission)))</f>
        <v>0</v>
      </c>
      <c r="T16" s="27">
        <f>IF(B16="","",IFERROR(IF(INDEX(Staff!$N$5:$N$44,MATCH(C16,Staff!$A$5:$A$44,0))="",RetailCommission,INDEX(Staff!$N$5:$N$44,MATCH(C16,Staff!$A$5:$A$44,0))),RetailCommission))</f>
        <v>0</v>
      </c>
      <c r="U16" s="26">
        <f>IF(B16="","",IFERROR(INDEX(Staff!$O$5:$O$44,MATCH(C16,Staff!$A$5:$A$44,0))*1,0))</f>
        <v>0</v>
      </c>
      <c r="V16" s="26">
        <f>IF(B16="","",ROUND(IF(E16="Percent of service",Q16*S16,IF(E16="Percent of service and retail",Q16*S16+R16*T16,IF(E16="Percent after product cost",MAX(0,Q16-O16)*S16,IF(E16="Tiered on monthly service revenue",Q16*S16,IF(E16="Flat amount per service",P16*U16,0))))),2))</f>
        <v>0</v>
      </c>
      <c r="W16" s="26">
        <f>IF(B16="","",ROUND(SUMIFS(Payments!$G$5:$G$1204,Payments!$J$5:$J$1204,C16,Payments!$O$5:$O$1204,B16,Payments!$E$5:$E$1204,"Tip"),2))</f>
        <v>0</v>
      </c>
      <c r="X16" s="26">
        <f>IF(B16="","",ROUND(V16+IF(F16="",0,F16)+IF(G16="",0,G16),2))</f>
        <v>0</v>
      </c>
      <c r="Y16" s="27">
        <f>IF(B16="","",IF(Q16+R16=0,"",X16/(Q16+R16)))</f>
        <v>0</v>
      </c>
      <c r="Z16" s="25">
        <f>IF(B16="","",COUNTIFS($V$5:$V$244,"&gt;"&amp;V16)+COUNTIFS($V$5:V16,V16))</f>
        <v>0</v>
      </c>
      <c r="AA16" s="39">
        <f>IF(B16="","",IF(C16="","Add - whose commission is this?",IF(COUNTIFS($B$5:$B$244,B16,$C$5:$C$244,C16)&gt;1,"Duplicate - two rows for the same month",IF(E16="None","",IF(E16="Rent a chair","",IF(E16="Hourly only","",IF(X16=0,"Check - nothing calculated",IF(H16&lt;&gt;"Yes","Due - waiting for approval",IF(I16="","Due - approved but not paid","OK")))))))))</f>
        <v>0</v>
      </c>
    </row>
    <row r="17" spans="1:27">
      <c r="A17" s="28">
        <f>IF(B17="","",CommissionPrefix&amp;TEXT(ROW()-4,"0000"))</f>
        <v>0</v>
      </c>
      <c r="D17" s="15">
        <f>IF(C17="","",IFERROR(INDEX(Staff!$B$5:$B$44,MATCH(C17,Staff!$A$5:$A$44,0)),"Not in Staff"))</f>
        <v>0</v>
      </c>
      <c r="E17" s="15">
        <f>IF(C17="","",IFERROR(INDEX(Staff!$L$5:$L$44,MATCH(C17,Staff!$A$5:$A$44,0)),"None"))</f>
        <v>0</v>
      </c>
      <c r="K17" s="26">
        <f>IF(B17="","",ROUND(SUMIFS(Sales!$Y$5:$Y$1204,Sales!$F$5:$F$1204,C17,Sales!$R$5:$R$1204,B17,Sales!$H$5:$H$1204,"Service"),2))</f>
        <v>0</v>
      </c>
      <c r="L17" s="26">
        <f>IF(B17="","",ROUND(SUMIFS(Sales!$W$5:$W$1204,Sales!$F$5:$F$1204,C17,Sales!$R$5:$R$1204,B17,Sales!$H$5:$H$1204,"Service"),2))</f>
        <v>0</v>
      </c>
      <c r="M17" s="26">
        <f>IF(B17="","",ROUND(SUMIFS(Sales!$Y$5:$Y$1204,Sales!$F$5:$F$1204,C17,Sales!$R$5:$R$1204,B17,Sales!$H$5:$H$1204,"Retail"),2))</f>
        <v>0</v>
      </c>
      <c r="N17" s="26">
        <f>IF(B17="","",ROUND(SUMIFS(Sales!$W$5:$W$1204,Sales!$F$5:$F$1204,C17,Sales!$R$5:$R$1204,B17,Sales!$H$5:$H$1204,"Retail"),2))</f>
        <v>0</v>
      </c>
      <c r="O17" s="26">
        <f>IF(B17="","",ROUND(SUMIFS(Sales!$AB$5:$AB$1204,Sales!$F$5:$F$1204,C17,Sales!$R$5:$R$1204,B17,Sales!$H$5:$H$1204,"Service"),2))</f>
        <v>0</v>
      </c>
      <c r="P17" s="25">
        <f>IF(B17="","",COUNTIFS(Sales!$F$5:$F$1204,C17,Sales!$R$5:$R$1204,B17,Sales!$H$5:$H$1204,"Service"))</f>
        <v>0</v>
      </c>
      <c r="Q17" s="26">
        <f>IF(B17="","",IF(CommissionOn="Gross before discounts",L17,K17))</f>
        <v>0</v>
      </c>
      <c r="R17" s="26">
        <f>IF(B17="","",IF(CommissionOn="Gross before discounts",N17,M17))</f>
        <v>0</v>
      </c>
      <c r="S17" s="27">
        <f>IF(B17="","",IF(E17="Tiered on monthly service revenue",IFERROR(INDEX(TierRate,MATCH(Q17,TierFrom,1)),0),IFERROR(IF(INDEX(Staff!$M$5:$M$44,MATCH(C17,Staff!$A$5:$A$44,0))="",ServiceCommission,INDEX(Staff!$M$5:$M$44,MATCH(C17,Staff!$A$5:$A$44,0))),ServiceCommission)))</f>
        <v>0</v>
      </c>
      <c r="T17" s="27">
        <f>IF(B17="","",IFERROR(IF(INDEX(Staff!$N$5:$N$44,MATCH(C17,Staff!$A$5:$A$44,0))="",RetailCommission,INDEX(Staff!$N$5:$N$44,MATCH(C17,Staff!$A$5:$A$44,0))),RetailCommission))</f>
        <v>0</v>
      </c>
      <c r="U17" s="26">
        <f>IF(B17="","",IFERROR(INDEX(Staff!$O$5:$O$44,MATCH(C17,Staff!$A$5:$A$44,0))*1,0))</f>
        <v>0</v>
      </c>
      <c r="V17" s="26">
        <f>IF(B17="","",ROUND(IF(E17="Percent of service",Q17*S17,IF(E17="Percent of service and retail",Q17*S17+R17*T17,IF(E17="Percent after product cost",MAX(0,Q17-O17)*S17,IF(E17="Tiered on monthly service revenue",Q17*S17,IF(E17="Flat amount per service",P17*U17,0))))),2))</f>
        <v>0</v>
      </c>
      <c r="W17" s="26">
        <f>IF(B17="","",ROUND(SUMIFS(Payments!$G$5:$G$1204,Payments!$J$5:$J$1204,C17,Payments!$O$5:$O$1204,B17,Payments!$E$5:$E$1204,"Tip"),2))</f>
        <v>0</v>
      </c>
      <c r="X17" s="26">
        <f>IF(B17="","",ROUND(V17+IF(F17="",0,F17)+IF(G17="",0,G17),2))</f>
        <v>0</v>
      </c>
      <c r="Y17" s="27">
        <f>IF(B17="","",IF(Q17+R17=0,"",X17/(Q17+R17)))</f>
        <v>0</v>
      </c>
      <c r="Z17" s="25">
        <f>IF(B17="","",COUNTIFS($V$5:$V$244,"&gt;"&amp;V17)+COUNTIFS($V$5:V17,V17))</f>
        <v>0</v>
      </c>
      <c r="AA17" s="39">
        <f>IF(B17="","",IF(C17="","Add - whose commission is this?",IF(COUNTIFS($B$5:$B$244,B17,$C$5:$C$244,C17)&gt;1,"Duplicate - two rows for the same month",IF(E17="None","",IF(E17="Rent a chair","",IF(E17="Hourly only","",IF(X17=0,"Check - nothing calculated",IF(H17&lt;&gt;"Yes","Due - waiting for approval",IF(I17="","Due - approved but not paid","OK")))))))))</f>
        <v>0</v>
      </c>
    </row>
    <row r="18" spans="1:27">
      <c r="A18" s="28">
        <f>IF(B18="","",CommissionPrefix&amp;TEXT(ROW()-4,"0000"))</f>
        <v>0</v>
      </c>
      <c r="D18" s="15">
        <f>IF(C18="","",IFERROR(INDEX(Staff!$B$5:$B$44,MATCH(C18,Staff!$A$5:$A$44,0)),"Not in Staff"))</f>
        <v>0</v>
      </c>
      <c r="E18" s="15">
        <f>IF(C18="","",IFERROR(INDEX(Staff!$L$5:$L$44,MATCH(C18,Staff!$A$5:$A$44,0)),"None"))</f>
        <v>0</v>
      </c>
      <c r="K18" s="26">
        <f>IF(B18="","",ROUND(SUMIFS(Sales!$Y$5:$Y$1204,Sales!$F$5:$F$1204,C18,Sales!$R$5:$R$1204,B18,Sales!$H$5:$H$1204,"Service"),2))</f>
        <v>0</v>
      </c>
      <c r="L18" s="26">
        <f>IF(B18="","",ROUND(SUMIFS(Sales!$W$5:$W$1204,Sales!$F$5:$F$1204,C18,Sales!$R$5:$R$1204,B18,Sales!$H$5:$H$1204,"Service"),2))</f>
        <v>0</v>
      </c>
      <c r="M18" s="26">
        <f>IF(B18="","",ROUND(SUMIFS(Sales!$Y$5:$Y$1204,Sales!$F$5:$F$1204,C18,Sales!$R$5:$R$1204,B18,Sales!$H$5:$H$1204,"Retail"),2))</f>
        <v>0</v>
      </c>
      <c r="N18" s="26">
        <f>IF(B18="","",ROUND(SUMIFS(Sales!$W$5:$W$1204,Sales!$F$5:$F$1204,C18,Sales!$R$5:$R$1204,B18,Sales!$H$5:$H$1204,"Retail"),2))</f>
        <v>0</v>
      </c>
      <c r="O18" s="26">
        <f>IF(B18="","",ROUND(SUMIFS(Sales!$AB$5:$AB$1204,Sales!$F$5:$F$1204,C18,Sales!$R$5:$R$1204,B18,Sales!$H$5:$H$1204,"Service"),2))</f>
        <v>0</v>
      </c>
      <c r="P18" s="25">
        <f>IF(B18="","",COUNTIFS(Sales!$F$5:$F$1204,C18,Sales!$R$5:$R$1204,B18,Sales!$H$5:$H$1204,"Service"))</f>
        <v>0</v>
      </c>
      <c r="Q18" s="26">
        <f>IF(B18="","",IF(CommissionOn="Gross before discounts",L18,K18))</f>
        <v>0</v>
      </c>
      <c r="R18" s="26">
        <f>IF(B18="","",IF(CommissionOn="Gross before discounts",N18,M18))</f>
        <v>0</v>
      </c>
      <c r="S18" s="27">
        <f>IF(B18="","",IF(E18="Tiered on monthly service revenue",IFERROR(INDEX(TierRate,MATCH(Q18,TierFrom,1)),0),IFERROR(IF(INDEX(Staff!$M$5:$M$44,MATCH(C18,Staff!$A$5:$A$44,0))="",ServiceCommission,INDEX(Staff!$M$5:$M$44,MATCH(C18,Staff!$A$5:$A$44,0))),ServiceCommission)))</f>
        <v>0</v>
      </c>
      <c r="T18" s="27">
        <f>IF(B18="","",IFERROR(IF(INDEX(Staff!$N$5:$N$44,MATCH(C18,Staff!$A$5:$A$44,0))="",RetailCommission,INDEX(Staff!$N$5:$N$44,MATCH(C18,Staff!$A$5:$A$44,0))),RetailCommission))</f>
        <v>0</v>
      </c>
      <c r="U18" s="26">
        <f>IF(B18="","",IFERROR(INDEX(Staff!$O$5:$O$44,MATCH(C18,Staff!$A$5:$A$44,0))*1,0))</f>
        <v>0</v>
      </c>
      <c r="V18" s="26">
        <f>IF(B18="","",ROUND(IF(E18="Percent of service",Q18*S18,IF(E18="Percent of service and retail",Q18*S18+R18*T18,IF(E18="Percent after product cost",MAX(0,Q18-O18)*S18,IF(E18="Tiered on monthly service revenue",Q18*S18,IF(E18="Flat amount per service",P18*U18,0))))),2))</f>
        <v>0</v>
      </c>
      <c r="W18" s="26">
        <f>IF(B18="","",ROUND(SUMIFS(Payments!$G$5:$G$1204,Payments!$J$5:$J$1204,C18,Payments!$O$5:$O$1204,B18,Payments!$E$5:$E$1204,"Tip"),2))</f>
        <v>0</v>
      </c>
      <c r="X18" s="26">
        <f>IF(B18="","",ROUND(V18+IF(F18="",0,F18)+IF(G18="",0,G18),2))</f>
        <v>0</v>
      </c>
      <c r="Y18" s="27">
        <f>IF(B18="","",IF(Q18+R18=0,"",X18/(Q18+R18)))</f>
        <v>0</v>
      </c>
      <c r="Z18" s="25">
        <f>IF(B18="","",COUNTIFS($V$5:$V$244,"&gt;"&amp;V18)+COUNTIFS($V$5:V18,V18))</f>
        <v>0</v>
      </c>
      <c r="AA18" s="39">
        <f>IF(B18="","",IF(C18="","Add - whose commission is this?",IF(COUNTIFS($B$5:$B$244,B18,$C$5:$C$244,C18)&gt;1,"Duplicate - two rows for the same month",IF(E18="None","",IF(E18="Rent a chair","",IF(E18="Hourly only","",IF(X18=0,"Check - nothing calculated",IF(H18&lt;&gt;"Yes","Due - waiting for approval",IF(I18="","Due - approved but not paid","OK")))))))))</f>
        <v>0</v>
      </c>
    </row>
    <row r="19" spans="1:27">
      <c r="A19" s="28">
        <f>IF(B19="","",CommissionPrefix&amp;TEXT(ROW()-4,"0000"))</f>
        <v>0</v>
      </c>
      <c r="D19" s="15">
        <f>IF(C19="","",IFERROR(INDEX(Staff!$B$5:$B$44,MATCH(C19,Staff!$A$5:$A$44,0)),"Not in Staff"))</f>
        <v>0</v>
      </c>
      <c r="E19" s="15">
        <f>IF(C19="","",IFERROR(INDEX(Staff!$L$5:$L$44,MATCH(C19,Staff!$A$5:$A$44,0)),"None"))</f>
        <v>0</v>
      </c>
      <c r="K19" s="26">
        <f>IF(B19="","",ROUND(SUMIFS(Sales!$Y$5:$Y$1204,Sales!$F$5:$F$1204,C19,Sales!$R$5:$R$1204,B19,Sales!$H$5:$H$1204,"Service"),2))</f>
        <v>0</v>
      </c>
      <c r="L19" s="26">
        <f>IF(B19="","",ROUND(SUMIFS(Sales!$W$5:$W$1204,Sales!$F$5:$F$1204,C19,Sales!$R$5:$R$1204,B19,Sales!$H$5:$H$1204,"Service"),2))</f>
        <v>0</v>
      </c>
      <c r="M19" s="26">
        <f>IF(B19="","",ROUND(SUMIFS(Sales!$Y$5:$Y$1204,Sales!$F$5:$F$1204,C19,Sales!$R$5:$R$1204,B19,Sales!$H$5:$H$1204,"Retail"),2))</f>
        <v>0</v>
      </c>
      <c r="N19" s="26">
        <f>IF(B19="","",ROUND(SUMIFS(Sales!$W$5:$W$1204,Sales!$F$5:$F$1204,C19,Sales!$R$5:$R$1204,B19,Sales!$H$5:$H$1204,"Retail"),2))</f>
        <v>0</v>
      </c>
      <c r="O19" s="26">
        <f>IF(B19="","",ROUND(SUMIFS(Sales!$AB$5:$AB$1204,Sales!$F$5:$F$1204,C19,Sales!$R$5:$R$1204,B19,Sales!$H$5:$H$1204,"Service"),2))</f>
        <v>0</v>
      </c>
      <c r="P19" s="25">
        <f>IF(B19="","",COUNTIFS(Sales!$F$5:$F$1204,C19,Sales!$R$5:$R$1204,B19,Sales!$H$5:$H$1204,"Service"))</f>
        <v>0</v>
      </c>
      <c r="Q19" s="26">
        <f>IF(B19="","",IF(CommissionOn="Gross before discounts",L19,K19))</f>
        <v>0</v>
      </c>
      <c r="R19" s="26">
        <f>IF(B19="","",IF(CommissionOn="Gross before discounts",N19,M19))</f>
        <v>0</v>
      </c>
      <c r="S19" s="27">
        <f>IF(B19="","",IF(E19="Tiered on monthly service revenue",IFERROR(INDEX(TierRate,MATCH(Q19,TierFrom,1)),0),IFERROR(IF(INDEX(Staff!$M$5:$M$44,MATCH(C19,Staff!$A$5:$A$44,0))="",ServiceCommission,INDEX(Staff!$M$5:$M$44,MATCH(C19,Staff!$A$5:$A$44,0))),ServiceCommission)))</f>
        <v>0</v>
      </c>
      <c r="T19" s="27">
        <f>IF(B19="","",IFERROR(IF(INDEX(Staff!$N$5:$N$44,MATCH(C19,Staff!$A$5:$A$44,0))="",RetailCommission,INDEX(Staff!$N$5:$N$44,MATCH(C19,Staff!$A$5:$A$44,0))),RetailCommission))</f>
        <v>0</v>
      </c>
      <c r="U19" s="26">
        <f>IF(B19="","",IFERROR(INDEX(Staff!$O$5:$O$44,MATCH(C19,Staff!$A$5:$A$44,0))*1,0))</f>
        <v>0</v>
      </c>
      <c r="V19" s="26">
        <f>IF(B19="","",ROUND(IF(E19="Percent of service",Q19*S19,IF(E19="Percent of service and retail",Q19*S19+R19*T19,IF(E19="Percent after product cost",MAX(0,Q19-O19)*S19,IF(E19="Tiered on monthly service revenue",Q19*S19,IF(E19="Flat amount per service",P19*U19,0))))),2))</f>
        <v>0</v>
      </c>
      <c r="W19" s="26">
        <f>IF(B19="","",ROUND(SUMIFS(Payments!$G$5:$G$1204,Payments!$J$5:$J$1204,C19,Payments!$O$5:$O$1204,B19,Payments!$E$5:$E$1204,"Tip"),2))</f>
        <v>0</v>
      </c>
      <c r="X19" s="26">
        <f>IF(B19="","",ROUND(V19+IF(F19="",0,F19)+IF(G19="",0,G19),2))</f>
        <v>0</v>
      </c>
      <c r="Y19" s="27">
        <f>IF(B19="","",IF(Q19+R19=0,"",X19/(Q19+R19)))</f>
        <v>0</v>
      </c>
      <c r="Z19" s="25">
        <f>IF(B19="","",COUNTIFS($V$5:$V$244,"&gt;"&amp;V19)+COUNTIFS($V$5:V19,V19))</f>
        <v>0</v>
      </c>
      <c r="AA19" s="39">
        <f>IF(B19="","",IF(C19="","Add - whose commission is this?",IF(COUNTIFS($B$5:$B$244,B19,$C$5:$C$244,C19)&gt;1,"Duplicate - two rows for the same month",IF(E19="None","",IF(E19="Rent a chair","",IF(E19="Hourly only","",IF(X19=0,"Check - nothing calculated",IF(H19&lt;&gt;"Yes","Due - waiting for approval",IF(I19="","Due - approved but not paid","OK")))))))))</f>
        <v>0</v>
      </c>
    </row>
    <row r="20" spans="1:27">
      <c r="A20" s="28">
        <f>IF(B20="","",CommissionPrefix&amp;TEXT(ROW()-4,"0000"))</f>
        <v>0</v>
      </c>
      <c r="D20" s="15">
        <f>IF(C20="","",IFERROR(INDEX(Staff!$B$5:$B$44,MATCH(C20,Staff!$A$5:$A$44,0)),"Not in Staff"))</f>
        <v>0</v>
      </c>
      <c r="E20" s="15">
        <f>IF(C20="","",IFERROR(INDEX(Staff!$L$5:$L$44,MATCH(C20,Staff!$A$5:$A$44,0)),"None"))</f>
        <v>0</v>
      </c>
      <c r="K20" s="26">
        <f>IF(B20="","",ROUND(SUMIFS(Sales!$Y$5:$Y$1204,Sales!$F$5:$F$1204,C20,Sales!$R$5:$R$1204,B20,Sales!$H$5:$H$1204,"Service"),2))</f>
        <v>0</v>
      </c>
      <c r="L20" s="26">
        <f>IF(B20="","",ROUND(SUMIFS(Sales!$W$5:$W$1204,Sales!$F$5:$F$1204,C20,Sales!$R$5:$R$1204,B20,Sales!$H$5:$H$1204,"Service"),2))</f>
        <v>0</v>
      </c>
      <c r="M20" s="26">
        <f>IF(B20="","",ROUND(SUMIFS(Sales!$Y$5:$Y$1204,Sales!$F$5:$F$1204,C20,Sales!$R$5:$R$1204,B20,Sales!$H$5:$H$1204,"Retail"),2))</f>
        <v>0</v>
      </c>
      <c r="N20" s="26">
        <f>IF(B20="","",ROUND(SUMIFS(Sales!$W$5:$W$1204,Sales!$F$5:$F$1204,C20,Sales!$R$5:$R$1204,B20,Sales!$H$5:$H$1204,"Retail"),2))</f>
        <v>0</v>
      </c>
      <c r="O20" s="26">
        <f>IF(B20="","",ROUND(SUMIFS(Sales!$AB$5:$AB$1204,Sales!$F$5:$F$1204,C20,Sales!$R$5:$R$1204,B20,Sales!$H$5:$H$1204,"Service"),2))</f>
        <v>0</v>
      </c>
      <c r="P20" s="25">
        <f>IF(B20="","",COUNTIFS(Sales!$F$5:$F$1204,C20,Sales!$R$5:$R$1204,B20,Sales!$H$5:$H$1204,"Service"))</f>
        <v>0</v>
      </c>
      <c r="Q20" s="26">
        <f>IF(B20="","",IF(CommissionOn="Gross before discounts",L20,K20))</f>
        <v>0</v>
      </c>
      <c r="R20" s="26">
        <f>IF(B20="","",IF(CommissionOn="Gross before discounts",N20,M20))</f>
        <v>0</v>
      </c>
      <c r="S20" s="27">
        <f>IF(B20="","",IF(E20="Tiered on monthly service revenue",IFERROR(INDEX(TierRate,MATCH(Q20,TierFrom,1)),0),IFERROR(IF(INDEX(Staff!$M$5:$M$44,MATCH(C20,Staff!$A$5:$A$44,0))="",ServiceCommission,INDEX(Staff!$M$5:$M$44,MATCH(C20,Staff!$A$5:$A$44,0))),ServiceCommission)))</f>
        <v>0</v>
      </c>
      <c r="T20" s="27">
        <f>IF(B20="","",IFERROR(IF(INDEX(Staff!$N$5:$N$44,MATCH(C20,Staff!$A$5:$A$44,0))="",RetailCommission,INDEX(Staff!$N$5:$N$44,MATCH(C20,Staff!$A$5:$A$44,0))),RetailCommission))</f>
        <v>0</v>
      </c>
      <c r="U20" s="26">
        <f>IF(B20="","",IFERROR(INDEX(Staff!$O$5:$O$44,MATCH(C20,Staff!$A$5:$A$44,0))*1,0))</f>
        <v>0</v>
      </c>
      <c r="V20" s="26">
        <f>IF(B20="","",ROUND(IF(E20="Percent of service",Q20*S20,IF(E20="Percent of service and retail",Q20*S20+R20*T20,IF(E20="Percent after product cost",MAX(0,Q20-O20)*S20,IF(E20="Tiered on monthly service revenue",Q20*S20,IF(E20="Flat amount per service",P20*U20,0))))),2))</f>
        <v>0</v>
      </c>
      <c r="W20" s="26">
        <f>IF(B20="","",ROUND(SUMIFS(Payments!$G$5:$G$1204,Payments!$J$5:$J$1204,C20,Payments!$O$5:$O$1204,B20,Payments!$E$5:$E$1204,"Tip"),2))</f>
        <v>0</v>
      </c>
      <c r="X20" s="26">
        <f>IF(B20="","",ROUND(V20+IF(F20="",0,F20)+IF(G20="",0,G20),2))</f>
        <v>0</v>
      </c>
      <c r="Y20" s="27">
        <f>IF(B20="","",IF(Q20+R20=0,"",X20/(Q20+R20)))</f>
        <v>0</v>
      </c>
      <c r="Z20" s="25">
        <f>IF(B20="","",COUNTIFS($V$5:$V$244,"&gt;"&amp;V20)+COUNTIFS($V$5:V20,V20))</f>
        <v>0</v>
      </c>
      <c r="AA20" s="39">
        <f>IF(B20="","",IF(C20="","Add - whose commission is this?",IF(COUNTIFS($B$5:$B$244,B20,$C$5:$C$244,C20)&gt;1,"Duplicate - two rows for the same month",IF(E20="None","",IF(E20="Rent a chair","",IF(E20="Hourly only","",IF(X20=0,"Check - nothing calculated",IF(H20&lt;&gt;"Yes","Due - waiting for approval",IF(I20="","Due - approved but not paid","OK")))))))))</f>
        <v>0</v>
      </c>
    </row>
    <row r="21" spans="1:27">
      <c r="A21" s="28">
        <f>IF(B21="","",CommissionPrefix&amp;TEXT(ROW()-4,"0000"))</f>
        <v>0</v>
      </c>
      <c r="D21" s="15">
        <f>IF(C21="","",IFERROR(INDEX(Staff!$B$5:$B$44,MATCH(C21,Staff!$A$5:$A$44,0)),"Not in Staff"))</f>
        <v>0</v>
      </c>
      <c r="E21" s="15">
        <f>IF(C21="","",IFERROR(INDEX(Staff!$L$5:$L$44,MATCH(C21,Staff!$A$5:$A$44,0)),"None"))</f>
        <v>0</v>
      </c>
      <c r="K21" s="26">
        <f>IF(B21="","",ROUND(SUMIFS(Sales!$Y$5:$Y$1204,Sales!$F$5:$F$1204,C21,Sales!$R$5:$R$1204,B21,Sales!$H$5:$H$1204,"Service"),2))</f>
        <v>0</v>
      </c>
      <c r="L21" s="26">
        <f>IF(B21="","",ROUND(SUMIFS(Sales!$W$5:$W$1204,Sales!$F$5:$F$1204,C21,Sales!$R$5:$R$1204,B21,Sales!$H$5:$H$1204,"Service"),2))</f>
        <v>0</v>
      </c>
      <c r="M21" s="26">
        <f>IF(B21="","",ROUND(SUMIFS(Sales!$Y$5:$Y$1204,Sales!$F$5:$F$1204,C21,Sales!$R$5:$R$1204,B21,Sales!$H$5:$H$1204,"Retail"),2))</f>
        <v>0</v>
      </c>
      <c r="N21" s="26">
        <f>IF(B21="","",ROUND(SUMIFS(Sales!$W$5:$W$1204,Sales!$F$5:$F$1204,C21,Sales!$R$5:$R$1204,B21,Sales!$H$5:$H$1204,"Retail"),2))</f>
        <v>0</v>
      </c>
      <c r="O21" s="26">
        <f>IF(B21="","",ROUND(SUMIFS(Sales!$AB$5:$AB$1204,Sales!$F$5:$F$1204,C21,Sales!$R$5:$R$1204,B21,Sales!$H$5:$H$1204,"Service"),2))</f>
        <v>0</v>
      </c>
      <c r="P21" s="25">
        <f>IF(B21="","",COUNTIFS(Sales!$F$5:$F$1204,C21,Sales!$R$5:$R$1204,B21,Sales!$H$5:$H$1204,"Service"))</f>
        <v>0</v>
      </c>
      <c r="Q21" s="26">
        <f>IF(B21="","",IF(CommissionOn="Gross before discounts",L21,K21))</f>
        <v>0</v>
      </c>
      <c r="R21" s="26">
        <f>IF(B21="","",IF(CommissionOn="Gross before discounts",N21,M21))</f>
        <v>0</v>
      </c>
      <c r="S21" s="27">
        <f>IF(B21="","",IF(E21="Tiered on monthly service revenue",IFERROR(INDEX(TierRate,MATCH(Q21,TierFrom,1)),0),IFERROR(IF(INDEX(Staff!$M$5:$M$44,MATCH(C21,Staff!$A$5:$A$44,0))="",ServiceCommission,INDEX(Staff!$M$5:$M$44,MATCH(C21,Staff!$A$5:$A$44,0))),ServiceCommission)))</f>
        <v>0</v>
      </c>
      <c r="T21" s="27">
        <f>IF(B21="","",IFERROR(IF(INDEX(Staff!$N$5:$N$44,MATCH(C21,Staff!$A$5:$A$44,0))="",RetailCommission,INDEX(Staff!$N$5:$N$44,MATCH(C21,Staff!$A$5:$A$44,0))),RetailCommission))</f>
        <v>0</v>
      </c>
      <c r="U21" s="26">
        <f>IF(B21="","",IFERROR(INDEX(Staff!$O$5:$O$44,MATCH(C21,Staff!$A$5:$A$44,0))*1,0))</f>
        <v>0</v>
      </c>
      <c r="V21" s="26">
        <f>IF(B21="","",ROUND(IF(E21="Percent of service",Q21*S21,IF(E21="Percent of service and retail",Q21*S21+R21*T21,IF(E21="Percent after product cost",MAX(0,Q21-O21)*S21,IF(E21="Tiered on monthly service revenue",Q21*S21,IF(E21="Flat amount per service",P21*U21,0))))),2))</f>
        <v>0</v>
      </c>
      <c r="W21" s="26">
        <f>IF(B21="","",ROUND(SUMIFS(Payments!$G$5:$G$1204,Payments!$J$5:$J$1204,C21,Payments!$O$5:$O$1204,B21,Payments!$E$5:$E$1204,"Tip"),2))</f>
        <v>0</v>
      </c>
      <c r="X21" s="26">
        <f>IF(B21="","",ROUND(V21+IF(F21="",0,F21)+IF(G21="",0,G21),2))</f>
        <v>0</v>
      </c>
      <c r="Y21" s="27">
        <f>IF(B21="","",IF(Q21+R21=0,"",X21/(Q21+R21)))</f>
        <v>0</v>
      </c>
      <c r="Z21" s="25">
        <f>IF(B21="","",COUNTIFS($V$5:$V$244,"&gt;"&amp;V21)+COUNTIFS($V$5:V21,V21))</f>
        <v>0</v>
      </c>
      <c r="AA21" s="39">
        <f>IF(B21="","",IF(C21="","Add - whose commission is this?",IF(COUNTIFS($B$5:$B$244,B21,$C$5:$C$244,C21)&gt;1,"Duplicate - two rows for the same month",IF(E21="None","",IF(E21="Rent a chair","",IF(E21="Hourly only","",IF(X21=0,"Check - nothing calculated",IF(H21&lt;&gt;"Yes","Due - waiting for approval",IF(I21="","Due - approved but not paid","OK")))))))))</f>
        <v>0</v>
      </c>
    </row>
    <row r="22" spans="1:27">
      <c r="A22" s="28">
        <f>IF(B22="","",CommissionPrefix&amp;TEXT(ROW()-4,"0000"))</f>
        <v>0</v>
      </c>
      <c r="D22" s="15">
        <f>IF(C22="","",IFERROR(INDEX(Staff!$B$5:$B$44,MATCH(C22,Staff!$A$5:$A$44,0)),"Not in Staff"))</f>
        <v>0</v>
      </c>
      <c r="E22" s="15">
        <f>IF(C22="","",IFERROR(INDEX(Staff!$L$5:$L$44,MATCH(C22,Staff!$A$5:$A$44,0)),"None"))</f>
        <v>0</v>
      </c>
      <c r="K22" s="26">
        <f>IF(B22="","",ROUND(SUMIFS(Sales!$Y$5:$Y$1204,Sales!$F$5:$F$1204,C22,Sales!$R$5:$R$1204,B22,Sales!$H$5:$H$1204,"Service"),2))</f>
        <v>0</v>
      </c>
      <c r="L22" s="26">
        <f>IF(B22="","",ROUND(SUMIFS(Sales!$W$5:$W$1204,Sales!$F$5:$F$1204,C22,Sales!$R$5:$R$1204,B22,Sales!$H$5:$H$1204,"Service"),2))</f>
        <v>0</v>
      </c>
      <c r="M22" s="26">
        <f>IF(B22="","",ROUND(SUMIFS(Sales!$Y$5:$Y$1204,Sales!$F$5:$F$1204,C22,Sales!$R$5:$R$1204,B22,Sales!$H$5:$H$1204,"Retail"),2))</f>
        <v>0</v>
      </c>
      <c r="N22" s="26">
        <f>IF(B22="","",ROUND(SUMIFS(Sales!$W$5:$W$1204,Sales!$F$5:$F$1204,C22,Sales!$R$5:$R$1204,B22,Sales!$H$5:$H$1204,"Retail"),2))</f>
        <v>0</v>
      </c>
      <c r="O22" s="26">
        <f>IF(B22="","",ROUND(SUMIFS(Sales!$AB$5:$AB$1204,Sales!$F$5:$F$1204,C22,Sales!$R$5:$R$1204,B22,Sales!$H$5:$H$1204,"Service"),2))</f>
        <v>0</v>
      </c>
      <c r="P22" s="25">
        <f>IF(B22="","",COUNTIFS(Sales!$F$5:$F$1204,C22,Sales!$R$5:$R$1204,B22,Sales!$H$5:$H$1204,"Service"))</f>
        <v>0</v>
      </c>
      <c r="Q22" s="26">
        <f>IF(B22="","",IF(CommissionOn="Gross before discounts",L22,K22))</f>
        <v>0</v>
      </c>
      <c r="R22" s="26">
        <f>IF(B22="","",IF(CommissionOn="Gross before discounts",N22,M22))</f>
        <v>0</v>
      </c>
      <c r="S22" s="27">
        <f>IF(B22="","",IF(E22="Tiered on monthly service revenue",IFERROR(INDEX(TierRate,MATCH(Q22,TierFrom,1)),0),IFERROR(IF(INDEX(Staff!$M$5:$M$44,MATCH(C22,Staff!$A$5:$A$44,0))="",ServiceCommission,INDEX(Staff!$M$5:$M$44,MATCH(C22,Staff!$A$5:$A$44,0))),ServiceCommission)))</f>
        <v>0</v>
      </c>
      <c r="T22" s="27">
        <f>IF(B22="","",IFERROR(IF(INDEX(Staff!$N$5:$N$44,MATCH(C22,Staff!$A$5:$A$44,0))="",RetailCommission,INDEX(Staff!$N$5:$N$44,MATCH(C22,Staff!$A$5:$A$44,0))),RetailCommission))</f>
        <v>0</v>
      </c>
      <c r="U22" s="26">
        <f>IF(B22="","",IFERROR(INDEX(Staff!$O$5:$O$44,MATCH(C22,Staff!$A$5:$A$44,0))*1,0))</f>
        <v>0</v>
      </c>
      <c r="V22" s="26">
        <f>IF(B22="","",ROUND(IF(E22="Percent of service",Q22*S22,IF(E22="Percent of service and retail",Q22*S22+R22*T22,IF(E22="Percent after product cost",MAX(0,Q22-O22)*S22,IF(E22="Tiered on monthly service revenue",Q22*S22,IF(E22="Flat amount per service",P22*U22,0))))),2))</f>
        <v>0</v>
      </c>
      <c r="W22" s="26">
        <f>IF(B22="","",ROUND(SUMIFS(Payments!$G$5:$G$1204,Payments!$J$5:$J$1204,C22,Payments!$O$5:$O$1204,B22,Payments!$E$5:$E$1204,"Tip"),2))</f>
        <v>0</v>
      </c>
      <c r="X22" s="26">
        <f>IF(B22="","",ROUND(V22+IF(F22="",0,F22)+IF(G22="",0,G22),2))</f>
        <v>0</v>
      </c>
      <c r="Y22" s="27">
        <f>IF(B22="","",IF(Q22+R22=0,"",X22/(Q22+R22)))</f>
        <v>0</v>
      </c>
      <c r="Z22" s="25">
        <f>IF(B22="","",COUNTIFS($V$5:$V$244,"&gt;"&amp;V22)+COUNTIFS($V$5:V22,V22))</f>
        <v>0</v>
      </c>
      <c r="AA22" s="39">
        <f>IF(B22="","",IF(C22="","Add - whose commission is this?",IF(COUNTIFS($B$5:$B$244,B22,$C$5:$C$244,C22)&gt;1,"Duplicate - two rows for the same month",IF(E22="None","",IF(E22="Rent a chair","",IF(E22="Hourly only","",IF(X22=0,"Check - nothing calculated",IF(H22&lt;&gt;"Yes","Due - waiting for approval",IF(I22="","Due - approved but not paid","OK")))))))))</f>
        <v>0</v>
      </c>
    </row>
    <row r="23" spans="1:27">
      <c r="A23" s="28">
        <f>IF(B23="","",CommissionPrefix&amp;TEXT(ROW()-4,"0000"))</f>
        <v>0</v>
      </c>
      <c r="D23" s="15">
        <f>IF(C23="","",IFERROR(INDEX(Staff!$B$5:$B$44,MATCH(C23,Staff!$A$5:$A$44,0)),"Not in Staff"))</f>
        <v>0</v>
      </c>
      <c r="E23" s="15">
        <f>IF(C23="","",IFERROR(INDEX(Staff!$L$5:$L$44,MATCH(C23,Staff!$A$5:$A$44,0)),"None"))</f>
        <v>0</v>
      </c>
      <c r="K23" s="26">
        <f>IF(B23="","",ROUND(SUMIFS(Sales!$Y$5:$Y$1204,Sales!$F$5:$F$1204,C23,Sales!$R$5:$R$1204,B23,Sales!$H$5:$H$1204,"Service"),2))</f>
        <v>0</v>
      </c>
      <c r="L23" s="26">
        <f>IF(B23="","",ROUND(SUMIFS(Sales!$W$5:$W$1204,Sales!$F$5:$F$1204,C23,Sales!$R$5:$R$1204,B23,Sales!$H$5:$H$1204,"Service"),2))</f>
        <v>0</v>
      </c>
      <c r="M23" s="26">
        <f>IF(B23="","",ROUND(SUMIFS(Sales!$Y$5:$Y$1204,Sales!$F$5:$F$1204,C23,Sales!$R$5:$R$1204,B23,Sales!$H$5:$H$1204,"Retail"),2))</f>
        <v>0</v>
      </c>
      <c r="N23" s="26">
        <f>IF(B23="","",ROUND(SUMIFS(Sales!$W$5:$W$1204,Sales!$F$5:$F$1204,C23,Sales!$R$5:$R$1204,B23,Sales!$H$5:$H$1204,"Retail"),2))</f>
        <v>0</v>
      </c>
      <c r="O23" s="26">
        <f>IF(B23="","",ROUND(SUMIFS(Sales!$AB$5:$AB$1204,Sales!$F$5:$F$1204,C23,Sales!$R$5:$R$1204,B23,Sales!$H$5:$H$1204,"Service"),2))</f>
        <v>0</v>
      </c>
      <c r="P23" s="25">
        <f>IF(B23="","",COUNTIFS(Sales!$F$5:$F$1204,C23,Sales!$R$5:$R$1204,B23,Sales!$H$5:$H$1204,"Service"))</f>
        <v>0</v>
      </c>
      <c r="Q23" s="26">
        <f>IF(B23="","",IF(CommissionOn="Gross before discounts",L23,K23))</f>
        <v>0</v>
      </c>
      <c r="R23" s="26">
        <f>IF(B23="","",IF(CommissionOn="Gross before discounts",N23,M23))</f>
        <v>0</v>
      </c>
      <c r="S23" s="27">
        <f>IF(B23="","",IF(E23="Tiered on monthly service revenue",IFERROR(INDEX(TierRate,MATCH(Q23,TierFrom,1)),0),IFERROR(IF(INDEX(Staff!$M$5:$M$44,MATCH(C23,Staff!$A$5:$A$44,0))="",ServiceCommission,INDEX(Staff!$M$5:$M$44,MATCH(C23,Staff!$A$5:$A$44,0))),ServiceCommission)))</f>
        <v>0</v>
      </c>
      <c r="T23" s="27">
        <f>IF(B23="","",IFERROR(IF(INDEX(Staff!$N$5:$N$44,MATCH(C23,Staff!$A$5:$A$44,0))="",RetailCommission,INDEX(Staff!$N$5:$N$44,MATCH(C23,Staff!$A$5:$A$44,0))),RetailCommission))</f>
        <v>0</v>
      </c>
      <c r="U23" s="26">
        <f>IF(B23="","",IFERROR(INDEX(Staff!$O$5:$O$44,MATCH(C23,Staff!$A$5:$A$44,0))*1,0))</f>
        <v>0</v>
      </c>
      <c r="V23" s="26">
        <f>IF(B23="","",ROUND(IF(E23="Percent of service",Q23*S23,IF(E23="Percent of service and retail",Q23*S23+R23*T23,IF(E23="Percent after product cost",MAX(0,Q23-O23)*S23,IF(E23="Tiered on monthly service revenue",Q23*S23,IF(E23="Flat amount per service",P23*U23,0))))),2))</f>
        <v>0</v>
      </c>
      <c r="W23" s="26">
        <f>IF(B23="","",ROUND(SUMIFS(Payments!$G$5:$G$1204,Payments!$J$5:$J$1204,C23,Payments!$O$5:$O$1204,B23,Payments!$E$5:$E$1204,"Tip"),2))</f>
        <v>0</v>
      </c>
      <c r="X23" s="26">
        <f>IF(B23="","",ROUND(V23+IF(F23="",0,F23)+IF(G23="",0,G23),2))</f>
        <v>0</v>
      </c>
      <c r="Y23" s="27">
        <f>IF(B23="","",IF(Q23+R23=0,"",X23/(Q23+R23)))</f>
        <v>0</v>
      </c>
      <c r="Z23" s="25">
        <f>IF(B23="","",COUNTIFS($V$5:$V$244,"&gt;"&amp;V23)+COUNTIFS($V$5:V23,V23))</f>
        <v>0</v>
      </c>
      <c r="AA23" s="39">
        <f>IF(B23="","",IF(C23="","Add - whose commission is this?",IF(COUNTIFS($B$5:$B$244,B23,$C$5:$C$244,C23)&gt;1,"Duplicate - two rows for the same month",IF(E23="None","",IF(E23="Rent a chair","",IF(E23="Hourly only","",IF(X23=0,"Check - nothing calculated",IF(H23&lt;&gt;"Yes","Due - waiting for approval",IF(I23="","Due - approved but not paid","OK")))))))))</f>
        <v>0</v>
      </c>
    </row>
    <row r="24" spans="1:27">
      <c r="A24" s="28">
        <f>IF(B24="","",CommissionPrefix&amp;TEXT(ROW()-4,"0000"))</f>
        <v>0</v>
      </c>
      <c r="D24" s="15">
        <f>IF(C24="","",IFERROR(INDEX(Staff!$B$5:$B$44,MATCH(C24,Staff!$A$5:$A$44,0)),"Not in Staff"))</f>
        <v>0</v>
      </c>
      <c r="E24" s="15">
        <f>IF(C24="","",IFERROR(INDEX(Staff!$L$5:$L$44,MATCH(C24,Staff!$A$5:$A$44,0)),"None"))</f>
        <v>0</v>
      </c>
      <c r="K24" s="26">
        <f>IF(B24="","",ROUND(SUMIFS(Sales!$Y$5:$Y$1204,Sales!$F$5:$F$1204,C24,Sales!$R$5:$R$1204,B24,Sales!$H$5:$H$1204,"Service"),2))</f>
        <v>0</v>
      </c>
      <c r="L24" s="26">
        <f>IF(B24="","",ROUND(SUMIFS(Sales!$W$5:$W$1204,Sales!$F$5:$F$1204,C24,Sales!$R$5:$R$1204,B24,Sales!$H$5:$H$1204,"Service"),2))</f>
        <v>0</v>
      </c>
      <c r="M24" s="26">
        <f>IF(B24="","",ROUND(SUMIFS(Sales!$Y$5:$Y$1204,Sales!$F$5:$F$1204,C24,Sales!$R$5:$R$1204,B24,Sales!$H$5:$H$1204,"Retail"),2))</f>
        <v>0</v>
      </c>
      <c r="N24" s="26">
        <f>IF(B24="","",ROUND(SUMIFS(Sales!$W$5:$W$1204,Sales!$F$5:$F$1204,C24,Sales!$R$5:$R$1204,B24,Sales!$H$5:$H$1204,"Retail"),2))</f>
        <v>0</v>
      </c>
      <c r="O24" s="26">
        <f>IF(B24="","",ROUND(SUMIFS(Sales!$AB$5:$AB$1204,Sales!$F$5:$F$1204,C24,Sales!$R$5:$R$1204,B24,Sales!$H$5:$H$1204,"Service"),2))</f>
        <v>0</v>
      </c>
      <c r="P24" s="25">
        <f>IF(B24="","",COUNTIFS(Sales!$F$5:$F$1204,C24,Sales!$R$5:$R$1204,B24,Sales!$H$5:$H$1204,"Service"))</f>
        <v>0</v>
      </c>
      <c r="Q24" s="26">
        <f>IF(B24="","",IF(CommissionOn="Gross before discounts",L24,K24))</f>
        <v>0</v>
      </c>
      <c r="R24" s="26">
        <f>IF(B24="","",IF(CommissionOn="Gross before discounts",N24,M24))</f>
        <v>0</v>
      </c>
      <c r="S24" s="27">
        <f>IF(B24="","",IF(E24="Tiered on monthly service revenue",IFERROR(INDEX(TierRate,MATCH(Q24,TierFrom,1)),0),IFERROR(IF(INDEX(Staff!$M$5:$M$44,MATCH(C24,Staff!$A$5:$A$44,0))="",ServiceCommission,INDEX(Staff!$M$5:$M$44,MATCH(C24,Staff!$A$5:$A$44,0))),ServiceCommission)))</f>
        <v>0</v>
      </c>
      <c r="T24" s="27">
        <f>IF(B24="","",IFERROR(IF(INDEX(Staff!$N$5:$N$44,MATCH(C24,Staff!$A$5:$A$44,0))="",RetailCommission,INDEX(Staff!$N$5:$N$44,MATCH(C24,Staff!$A$5:$A$44,0))),RetailCommission))</f>
        <v>0</v>
      </c>
      <c r="U24" s="26">
        <f>IF(B24="","",IFERROR(INDEX(Staff!$O$5:$O$44,MATCH(C24,Staff!$A$5:$A$44,0))*1,0))</f>
        <v>0</v>
      </c>
      <c r="V24" s="26">
        <f>IF(B24="","",ROUND(IF(E24="Percent of service",Q24*S24,IF(E24="Percent of service and retail",Q24*S24+R24*T24,IF(E24="Percent after product cost",MAX(0,Q24-O24)*S24,IF(E24="Tiered on monthly service revenue",Q24*S24,IF(E24="Flat amount per service",P24*U24,0))))),2))</f>
        <v>0</v>
      </c>
      <c r="W24" s="26">
        <f>IF(B24="","",ROUND(SUMIFS(Payments!$G$5:$G$1204,Payments!$J$5:$J$1204,C24,Payments!$O$5:$O$1204,B24,Payments!$E$5:$E$1204,"Tip"),2))</f>
        <v>0</v>
      </c>
      <c r="X24" s="26">
        <f>IF(B24="","",ROUND(V24+IF(F24="",0,F24)+IF(G24="",0,G24),2))</f>
        <v>0</v>
      </c>
      <c r="Y24" s="27">
        <f>IF(B24="","",IF(Q24+R24=0,"",X24/(Q24+R24)))</f>
        <v>0</v>
      </c>
      <c r="Z24" s="25">
        <f>IF(B24="","",COUNTIFS($V$5:$V$244,"&gt;"&amp;V24)+COUNTIFS($V$5:V24,V24))</f>
        <v>0</v>
      </c>
      <c r="AA24" s="39">
        <f>IF(B24="","",IF(C24="","Add - whose commission is this?",IF(COUNTIFS($B$5:$B$244,B24,$C$5:$C$244,C24)&gt;1,"Duplicate - two rows for the same month",IF(E24="None","",IF(E24="Rent a chair","",IF(E24="Hourly only","",IF(X24=0,"Check - nothing calculated",IF(H24&lt;&gt;"Yes","Due - waiting for approval",IF(I24="","Due - approved but not paid","OK")))))))))</f>
        <v>0</v>
      </c>
    </row>
    <row r="25" spans="1:27">
      <c r="A25" s="28">
        <f>IF(B25="","",CommissionPrefix&amp;TEXT(ROW()-4,"0000"))</f>
        <v>0</v>
      </c>
      <c r="D25" s="15">
        <f>IF(C25="","",IFERROR(INDEX(Staff!$B$5:$B$44,MATCH(C25,Staff!$A$5:$A$44,0)),"Not in Staff"))</f>
        <v>0</v>
      </c>
      <c r="E25" s="15">
        <f>IF(C25="","",IFERROR(INDEX(Staff!$L$5:$L$44,MATCH(C25,Staff!$A$5:$A$44,0)),"None"))</f>
        <v>0</v>
      </c>
      <c r="K25" s="26">
        <f>IF(B25="","",ROUND(SUMIFS(Sales!$Y$5:$Y$1204,Sales!$F$5:$F$1204,C25,Sales!$R$5:$R$1204,B25,Sales!$H$5:$H$1204,"Service"),2))</f>
        <v>0</v>
      </c>
      <c r="L25" s="26">
        <f>IF(B25="","",ROUND(SUMIFS(Sales!$W$5:$W$1204,Sales!$F$5:$F$1204,C25,Sales!$R$5:$R$1204,B25,Sales!$H$5:$H$1204,"Service"),2))</f>
        <v>0</v>
      </c>
      <c r="M25" s="26">
        <f>IF(B25="","",ROUND(SUMIFS(Sales!$Y$5:$Y$1204,Sales!$F$5:$F$1204,C25,Sales!$R$5:$R$1204,B25,Sales!$H$5:$H$1204,"Retail"),2))</f>
        <v>0</v>
      </c>
      <c r="N25" s="26">
        <f>IF(B25="","",ROUND(SUMIFS(Sales!$W$5:$W$1204,Sales!$F$5:$F$1204,C25,Sales!$R$5:$R$1204,B25,Sales!$H$5:$H$1204,"Retail"),2))</f>
        <v>0</v>
      </c>
      <c r="O25" s="26">
        <f>IF(B25="","",ROUND(SUMIFS(Sales!$AB$5:$AB$1204,Sales!$F$5:$F$1204,C25,Sales!$R$5:$R$1204,B25,Sales!$H$5:$H$1204,"Service"),2))</f>
        <v>0</v>
      </c>
      <c r="P25" s="25">
        <f>IF(B25="","",COUNTIFS(Sales!$F$5:$F$1204,C25,Sales!$R$5:$R$1204,B25,Sales!$H$5:$H$1204,"Service"))</f>
        <v>0</v>
      </c>
      <c r="Q25" s="26">
        <f>IF(B25="","",IF(CommissionOn="Gross before discounts",L25,K25))</f>
        <v>0</v>
      </c>
      <c r="R25" s="26">
        <f>IF(B25="","",IF(CommissionOn="Gross before discounts",N25,M25))</f>
        <v>0</v>
      </c>
      <c r="S25" s="27">
        <f>IF(B25="","",IF(E25="Tiered on monthly service revenue",IFERROR(INDEX(TierRate,MATCH(Q25,TierFrom,1)),0),IFERROR(IF(INDEX(Staff!$M$5:$M$44,MATCH(C25,Staff!$A$5:$A$44,0))="",ServiceCommission,INDEX(Staff!$M$5:$M$44,MATCH(C25,Staff!$A$5:$A$44,0))),ServiceCommission)))</f>
        <v>0</v>
      </c>
      <c r="T25" s="27">
        <f>IF(B25="","",IFERROR(IF(INDEX(Staff!$N$5:$N$44,MATCH(C25,Staff!$A$5:$A$44,0))="",RetailCommission,INDEX(Staff!$N$5:$N$44,MATCH(C25,Staff!$A$5:$A$44,0))),RetailCommission))</f>
        <v>0</v>
      </c>
      <c r="U25" s="26">
        <f>IF(B25="","",IFERROR(INDEX(Staff!$O$5:$O$44,MATCH(C25,Staff!$A$5:$A$44,0))*1,0))</f>
        <v>0</v>
      </c>
      <c r="V25" s="26">
        <f>IF(B25="","",ROUND(IF(E25="Percent of service",Q25*S25,IF(E25="Percent of service and retail",Q25*S25+R25*T25,IF(E25="Percent after product cost",MAX(0,Q25-O25)*S25,IF(E25="Tiered on monthly service revenue",Q25*S25,IF(E25="Flat amount per service",P25*U25,0))))),2))</f>
        <v>0</v>
      </c>
      <c r="W25" s="26">
        <f>IF(B25="","",ROUND(SUMIFS(Payments!$G$5:$G$1204,Payments!$J$5:$J$1204,C25,Payments!$O$5:$O$1204,B25,Payments!$E$5:$E$1204,"Tip"),2))</f>
        <v>0</v>
      </c>
      <c r="X25" s="26">
        <f>IF(B25="","",ROUND(V25+IF(F25="",0,F25)+IF(G25="",0,G25),2))</f>
        <v>0</v>
      </c>
      <c r="Y25" s="27">
        <f>IF(B25="","",IF(Q25+R25=0,"",X25/(Q25+R25)))</f>
        <v>0</v>
      </c>
      <c r="Z25" s="25">
        <f>IF(B25="","",COUNTIFS($V$5:$V$244,"&gt;"&amp;V25)+COUNTIFS($V$5:V25,V25))</f>
        <v>0</v>
      </c>
      <c r="AA25" s="39">
        <f>IF(B25="","",IF(C25="","Add - whose commission is this?",IF(COUNTIFS($B$5:$B$244,B25,$C$5:$C$244,C25)&gt;1,"Duplicate - two rows for the same month",IF(E25="None","",IF(E25="Rent a chair","",IF(E25="Hourly only","",IF(X25=0,"Check - nothing calculated",IF(H25&lt;&gt;"Yes","Due - waiting for approval",IF(I25="","Due - approved but not paid","OK")))))))))</f>
        <v>0</v>
      </c>
    </row>
    <row r="26" spans="1:27">
      <c r="A26" s="28">
        <f>IF(B26="","",CommissionPrefix&amp;TEXT(ROW()-4,"0000"))</f>
        <v>0</v>
      </c>
      <c r="D26" s="15">
        <f>IF(C26="","",IFERROR(INDEX(Staff!$B$5:$B$44,MATCH(C26,Staff!$A$5:$A$44,0)),"Not in Staff"))</f>
        <v>0</v>
      </c>
      <c r="E26" s="15">
        <f>IF(C26="","",IFERROR(INDEX(Staff!$L$5:$L$44,MATCH(C26,Staff!$A$5:$A$44,0)),"None"))</f>
        <v>0</v>
      </c>
      <c r="K26" s="26">
        <f>IF(B26="","",ROUND(SUMIFS(Sales!$Y$5:$Y$1204,Sales!$F$5:$F$1204,C26,Sales!$R$5:$R$1204,B26,Sales!$H$5:$H$1204,"Service"),2))</f>
        <v>0</v>
      </c>
      <c r="L26" s="26">
        <f>IF(B26="","",ROUND(SUMIFS(Sales!$W$5:$W$1204,Sales!$F$5:$F$1204,C26,Sales!$R$5:$R$1204,B26,Sales!$H$5:$H$1204,"Service"),2))</f>
        <v>0</v>
      </c>
      <c r="M26" s="26">
        <f>IF(B26="","",ROUND(SUMIFS(Sales!$Y$5:$Y$1204,Sales!$F$5:$F$1204,C26,Sales!$R$5:$R$1204,B26,Sales!$H$5:$H$1204,"Retail"),2))</f>
        <v>0</v>
      </c>
      <c r="N26" s="26">
        <f>IF(B26="","",ROUND(SUMIFS(Sales!$W$5:$W$1204,Sales!$F$5:$F$1204,C26,Sales!$R$5:$R$1204,B26,Sales!$H$5:$H$1204,"Retail"),2))</f>
        <v>0</v>
      </c>
      <c r="O26" s="26">
        <f>IF(B26="","",ROUND(SUMIFS(Sales!$AB$5:$AB$1204,Sales!$F$5:$F$1204,C26,Sales!$R$5:$R$1204,B26,Sales!$H$5:$H$1204,"Service"),2))</f>
        <v>0</v>
      </c>
      <c r="P26" s="25">
        <f>IF(B26="","",COUNTIFS(Sales!$F$5:$F$1204,C26,Sales!$R$5:$R$1204,B26,Sales!$H$5:$H$1204,"Service"))</f>
        <v>0</v>
      </c>
      <c r="Q26" s="26">
        <f>IF(B26="","",IF(CommissionOn="Gross before discounts",L26,K26))</f>
        <v>0</v>
      </c>
      <c r="R26" s="26">
        <f>IF(B26="","",IF(CommissionOn="Gross before discounts",N26,M26))</f>
        <v>0</v>
      </c>
      <c r="S26" s="27">
        <f>IF(B26="","",IF(E26="Tiered on monthly service revenue",IFERROR(INDEX(TierRate,MATCH(Q26,TierFrom,1)),0),IFERROR(IF(INDEX(Staff!$M$5:$M$44,MATCH(C26,Staff!$A$5:$A$44,0))="",ServiceCommission,INDEX(Staff!$M$5:$M$44,MATCH(C26,Staff!$A$5:$A$44,0))),ServiceCommission)))</f>
        <v>0</v>
      </c>
      <c r="T26" s="27">
        <f>IF(B26="","",IFERROR(IF(INDEX(Staff!$N$5:$N$44,MATCH(C26,Staff!$A$5:$A$44,0))="",RetailCommission,INDEX(Staff!$N$5:$N$44,MATCH(C26,Staff!$A$5:$A$44,0))),RetailCommission))</f>
        <v>0</v>
      </c>
      <c r="U26" s="26">
        <f>IF(B26="","",IFERROR(INDEX(Staff!$O$5:$O$44,MATCH(C26,Staff!$A$5:$A$44,0))*1,0))</f>
        <v>0</v>
      </c>
      <c r="V26" s="26">
        <f>IF(B26="","",ROUND(IF(E26="Percent of service",Q26*S26,IF(E26="Percent of service and retail",Q26*S26+R26*T26,IF(E26="Percent after product cost",MAX(0,Q26-O26)*S26,IF(E26="Tiered on monthly service revenue",Q26*S26,IF(E26="Flat amount per service",P26*U26,0))))),2))</f>
        <v>0</v>
      </c>
      <c r="W26" s="26">
        <f>IF(B26="","",ROUND(SUMIFS(Payments!$G$5:$G$1204,Payments!$J$5:$J$1204,C26,Payments!$O$5:$O$1204,B26,Payments!$E$5:$E$1204,"Tip"),2))</f>
        <v>0</v>
      </c>
      <c r="X26" s="26">
        <f>IF(B26="","",ROUND(V26+IF(F26="",0,F26)+IF(G26="",0,G26),2))</f>
        <v>0</v>
      </c>
      <c r="Y26" s="27">
        <f>IF(B26="","",IF(Q26+R26=0,"",X26/(Q26+R26)))</f>
        <v>0</v>
      </c>
      <c r="Z26" s="25">
        <f>IF(B26="","",COUNTIFS($V$5:$V$244,"&gt;"&amp;V26)+COUNTIFS($V$5:V26,V26))</f>
        <v>0</v>
      </c>
      <c r="AA26" s="39">
        <f>IF(B26="","",IF(C26="","Add - whose commission is this?",IF(COUNTIFS($B$5:$B$244,B26,$C$5:$C$244,C26)&gt;1,"Duplicate - two rows for the same month",IF(E26="None","",IF(E26="Rent a chair","",IF(E26="Hourly only","",IF(X26=0,"Check - nothing calculated",IF(H26&lt;&gt;"Yes","Due - waiting for approval",IF(I26="","Due - approved but not paid","OK")))))))))</f>
        <v>0</v>
      </c>
    </row>
    <row r="27" spans="1:27">
      <c r="A27" s="28">
        <f>IF(B27="","",CommissionPrefix&amp;TEXT(ROW()-4,"0000"))</f>
        <v>0</v>
      </c>
      <c r="D27" s="15">
        <f>IF(C27="","",IFERROR(INDEX(Staff!$B$5:$B$44,MATCH(C27,Staff!$A$5:$A$44,0)),"Not in Staff"))</f>
        <v>0</v>
      </c>
      <c r="E27" s="15">
        <f>IF(C27="","",IFERROR(INDEX(Staff!$L$5:$L$44,MATCH(C27,Staff!$A$5:$A$44,0)),"None"))</f>
        <v>0</v>
      </c>
      <c r="K27" s="26">
        <f>IF(B27="","",ROUND(SUMIFS(Sales!$Y$5:$Y$1204,Sales!$F$5:$F$1204,C27,Sales!$R$5:$R$1204,B27,Sales!$H$5:$H$1204,"Service"),2))</f>
        <v>0</v>
      </c>
      <c r="L27" s="26">
        <f>IF(B27="","",ROUND(SUMIFS(Sales!$W$5:$W$1204,Sales!$F$5:$F$1204,C27,Sales!$R$5:$R$1204,B27,Sales!$H$5:$H$1204,"Service"),2))</f>
        <v>0</v>
      </c>
      <c r="M27" s="26">
        <f>IF(B27="","",ROUND(SUMIFS(Sales!$Y$5:$Y$1204,Sales!$F$5:$F$1204,C27,Sales!$R$5:$R$1204,B27,Sales!$H$5:$H$1204,"Retail"),2))</f>
        <v>0</v>
      </c>
      <c r="N27" s="26">
        <f>IF(B27="","",ROUND(SUMIFS(Sales!$W$5:$W$1204,Sales!$F$5:$F$1204,C27,Sales!$R$5:$R$1204,B27,Sales!$H$5:$H$1204,"Retail"),2))</f>
        <v>0</v>
      </c>
      <c r="O27" s="26">
        <f>IF(B27="","",ROUND(SUMIFS(Sales!$AB$5:$AB$1204,Sales!$F$5:$F$1204,C27,Sales!$R$5:$R$1204,B27,Sales!$H$5:$H$1204,"Service"),2))</f>
        <v>0</v>
      </c>
      <c r="P27" s="25">
        <f>IF(B27="","",COUNTIFS(Sales!$F$5:$F$1204,C27,Sales!$R$5:$R$1204,B27,Sales!$H$5:$H$1204,"Service"))</f>
        <v>0</v>
      </c>
      <c r="Q27" s="26">
        <f>IF(B27="","",IF(CommissionOn="Gross before discounts",L27,K27))</f>
        <v>0</v>
      </c>
      <c r="R27" s="26">
        <f>IF(B27="","",IF(CommissionOn="Gross before discounts",N27,M27))</f>
        <v>0</v>
      </c>
      <c r="S27" s="27">
        <f>IF(B27="","",IF(E27="Tiered on monthly service revenue",IFERROR(INDEX(TierRate,MATCH(Q27,TierFrom,1)),0),IFERROR(IF(INDEX(Staff!$M$5:$M$44,MATCH(C27,Staff!$A$5:$A$44,0))="",ServiceCommission,INDEX(Staff!$M$5:$M$44,MATCH(C27,Staff!$A$5:$A$44,0))),ServiceCommission)))</f>
        <v>0</v>
      </c>
      <c r="T27" s="27">
        <f>IF(B27="","",IFERROR(IF(INDEX(Staff!$N$5:$N$44,MATCH(C27,Staff!$A$5:$A$44,0))="",RetailCommission,INDEX(Staff!$N$5:$N$44,MATCH(C27,Staff!$A$5:$A$44,0))),RetailCommission))</f>
        <v>0</v>
      </c>
      <c r="U27" s="26">
        <f>IF(B27="","",IFERROR(INDEX(Staff!$O$5:$O$44,MATCH(C27,Staff!$A$5:$A$44,0))*1,0))</f>
        <v>0</v>
      </c>
      <c r="V27" s="26">
        <f>IF(B27="","",ROUND(IF(E27="Percent of service",Q27*S27,IF(E27="Percent of service and retail",Q27*S27+R27*T27,IF(E27="Percent after product cost",MAX(0,Q27-O27)*S27,IF(E27="Tiered on monthly service revenue",Q27*S27,IF(E27="Flat amount per service",P27*U27,0))))),2))</f>
        <v>0</v>
      </c>
      <c r="W27" s="26">
        <f>IF(B27="","",ROUND(SUMIFS(Payments!$G$5:$G$1204,Payments!$J$5:$J$1204,C27,Payments!$O$5:$O$1204,B27,Payments!$E$5:$E$1204,"Tip"),2))</f>
        <v>0</v>
      </c>
      <c r="X27" s="26">
        <f>IF(B27="","",ROUND(V27+IF(F27="",0,F27)+IF(G27="",0,G27),2))</f>
        <v>0</v>
      </c>
      <c r="Y27" s="27">
        <f>IF(B27="","",IF(Q27+R27=0,"",X27/(Q27+R27)))</f>
        <v>0</v>
      </c>
      <c r="Z27" s="25">
        <f>IF(B27="","",COUNTIFS($V$5:$V$244,"&gt;"&amp;V27)+COUNTIFS($V$5:V27,V27))</f>
        <v>0</v>
      </c>
      <c r="AA27" s="39">
        <f>IF(B27="","",IF(C27="","Add - whose commission is this?",IF(COUNTIFS($B$5:$B$244,B27,$C$5:$C$244,C27)&gt;1,"Duplicate - two rows for the same month",IF(E27="None","",IF(E27="Rent a chair","",IF(E27="Hourly only","",IF(X27=0,"Check - nothing calculated",IF(H27&lt;&gt;"Yes","Due - waiting for approval",IF(I27="","Due - approved but not paid","OK")))))))))</f>
        <v>0</v>
      </c>
    </row>
    <row r="28" spans="1:27">
      <c r="A28" s="28">
        <f>IF(B28="","",CommissionPrefix&amp;TEXT(ROW()-4,"0000"))</f>
        <v>0</v>
      </c>
      <c r="D28" s="15">
        <f>IF(C28="","",IFERROR(INDEX(Staff!$B$5:$B$44,MATCH(C28,Staff!$A$5:$A$44,0)),"Not in Staff"))</f>
        <v>0</v>
      </c>
      <c r="E28" s="15">
        <f>IF(C28="","",IFERROR(INDEX(Staff!$L$5:$L$44,MATCH(C28,Staff!$A$5:$A$44,0)),"None"))</f>
        <v>0</v>
      </c>
      <c r="K28" s="26">
        <f>IF(B28="","",ROUND(SUMIFS(Sales!$Y$5:$Y$1204,Sales!$F$5:$F$1204,C28,Sales!$R$5:$R$1204,B28,Sales!$H$5:$H$1204,"Service"),2))</f>
        <v>0</v>
      </c>
      <c r="L28" s="26">
        <f>IF(B28="","",ROUND(SUMIFS(Sales!$W$5:$W$1204,Sales!$F$5:$F$1204,C28,Sales!$R$5:$R$1204,B28,Sales!$H$5:$H$1204,"Service"),2))</f>
        <v>0</v>
      </c>
      <c r="M28" s="26">
        <f>IF(B28="","",ROUND(SUMIFS(Sales!$Y$5:$Y$1204,Sales!$F$5:$F$1204,C28,Sales!$R$5:$R$1204,B28,Sales!$H$5:$H$1204,"Retail"),2))</f>
        <v>0</v>
      </c>
      <c r="N28" s="26">
        <f>IF(B28="","",ROUND(SUMIFS(Sales!$W$5:$W$1204,Sales!$F$5:$F$1204,C28,Sales!$R$5:$R$1204,B28,Sales!$H$5:$H$1204,"Retail"),2))</f>
        <v>0</v>
      </c>
      <c r="O28" s="26">
        <f>IF(B28="","",ROUND(SUMIFS(Sales!$AB$5:$AB$1204,Sales!$F$5:$F$1204,C28,Sales!$R$5:$R$1204,B28,Sales!$H$5:$H$1204,"Service"),2))</f>
        <v>0</v>
      </c>
      <c r="P28" s="25">
        <f>IF(B28="","",COUNTIFS(Sales!$F$5:$F$1204,C28,Sales!$R$5:$R$1204,B28,Sales!$H$5:$H$1204,"Service"))</f>
        <v>0</v>
      </c>
      <c r="Q28" s="26">
        <f>IF(B28="","",IF(CommissionOn="Gross before discounts",L28,K28))</f>
        <v>0</v>
      </c>
      <c r="R28" s="26">
        <f>IF(B28="","",IF(CommissionOn="Gross before discounts",N28,M28))</f>
        <v>0</v>
      </c>
      <c r="S28" s="27">
        <f>IF(B28="","",IF(E28="Tiered on monthly service revenue",IFERROR(INDEX(TierRate,MATCH(Q28,TierFrom,1)),0),IFERROR(IF(INDEX(Staff!$M$5:$M$44,MATCH(C28,Staff!$A$5:$A$44,0))="",ServiceCommission,INDEX(Staff!$M$5:$M$44,MATCH(C28,Staff!$A$5:$A$44,0))),ServiceCommission)))</f>
        <v>0</v>
      </c>
      <c r="T28" s="27">
        <f>IF(B28="","",IFERROR(IF(INDEX(Staff!$N$5:$N$44,MATCH(C28,Staff!$A$5:$A$44,0))="",RetailCommission,INDEX(Staff!$N$5:$N$44,MATCH(C28,Staff!$A$5:$A$44,0))),RetailCommission))</f>
        <v>0</v>
      </c>
      <c r="U28" s="26">
        <f>IF(B28="","",IFERROR(INDEX(Staff!$O$5:$O$44,MATCH(C28,Staff!$A$5:$A$44,0))*1,0))</f>
        <v>0</v>
      </c>
      <c r="V28" s="26">
        <f>IF(B28="","",ROUND(IF(E28="Percent of service",Q28*S28,IF(E28="Percent of service and retail",Q28*S28+R28*T28,IF(E28="Percent after product cost",MAX(0,Q28-O28)*S28,IF(E28="Tiered on monthly service revenue",Q28*S28,IF(E28="Flat amount per service",P28*U28,0))))),2))</f>
        <v>0</v>
      </c>
      <c r="W28" s="26">
        <f>IF(B28="","",ROUND(SUMIFS(Payments!$G$5:$G$1204,Payments!$J$5:$J$1204,C28,Payments!$O$5:$O$1204,B28,Payments!$E$5:$E$1204,"Tip"),2))</f>
        <v>0</v>
      </c>
      <c r="X28" s="26">
        <f>IF(B28="","",ROUND(V28+IF(F28="",0,F28)+IF(G28="",0,G28),2))</f>
        <v>0</v>
      </c>
      <c r="Y28" s="27">
        <f>IF(B28="","",IF(Q28+R28=0,"",X28/(Q28+R28)))</f>
        <v>0</v>
      </c>
      <c r="Z28" s="25">
        <f>IF(B28="","",COUNTIFS($V$5:$V$244,"&gt;"&amp;V28)+COUNTIFS($V$5:V28,V28))</f>
        <v>0</v>
      </c>
      <c r="AA28" s="39">
        <f>IF(B28="","",IF(C28="","Add - whose commission is this?",IF(COUNTIFS($B$5:$B$244,B28,$C$5:$C$244,C28)&gt;1,"Duplicate - two rows for the same month",IF(E28="None","",IF(E28="Rent a chair","",IF(E28="Hourly only","",IF(X28=0,"Check - nothing calculated",IF(H28&lt;&gt;"Yes","Due - waiting for approval",IF(I28="","Due - approved but not paid","OK")))))))))</f>
        <v>0</v>
      </c>
    </row>
    <row r="29" spans="1:27">
      <c r="A29" s="28">
        <f>IF(B29="","",CommissionPrefix&amp;TEXT(ROW()-4,"0000"))</f>
        <v>0</v>
      </c>
      <c r="D29" s="15">
        <f>IF(C29="","",IFERROR(INDEX(Staff!$B$5:$B$44,MATCH(C29,Staff!$A$5:$A$44,0)),"Not in Staff"))</f>
        <v>0</v>
      </c>
      <c r="E29" s="15">
        <f>IF(C29="","",IFERROR(INDEX(Staff!$L$5:$L$44,MATCH(C29,Staff!$A$5:$A$44,0)),"None"))</f>
        <v>0</v>
      </c>
      <c r="K29" s="26">
        <f>IF(B29="","",ROUND(SUMIFS(Sales!$Y$5:$Y$1204,Sales!$F$5:$F$1204,C29,Sales!$R$5:$R$1204,B29,Sales!$H$5:$H$1204,"Service"),2))</f>
        <v>0</v>
      </c>
      <c r="L29" s="26">
        <f>IF(B29="","",ROUND(SUMIFS(Sales!$W$5:$W$1204,Sales!$F$5:$F$1204,C29,Sales!$R$5:$R$1204,B29,Sales!$H$5:$H$1204,"Service"),2))</f>
        <v>0</v>
      </c>
      <c r="M29" s="26">
        <f>IF(B29="","",ROUND(SUMIFS(Sales!$Y$5:$Y$1204,Sales!$F$5:$F$1204,C29,Sales!$R$5:$R$1204,B29,Sales!$H$5:$H$1204,"Retail"),2))</f>
        <v>0</v>
      </c>
      <c r="N29" s="26">
        <f>IF(B29="","",ROUND(SUMIFS(Sales!$W$5:$W$1204,Sales!$F$5:$F$1204,C29,Sales!$R$5:$R$1204,B29,Sales!$H$5:$H$1204,"Retail"),2))</f>
        <v>0</v>
      </c>
      <c r="O29" s="26">
        <f>IF(B29="","",ROUND(SUMIFS(Sales!$AB$5:$AB$1204,Sales!$F$5:$F$1204,C29,Sales!$R$5:$R$1204,B29,Sales!$H$5:$H$1204,"Service"),2))</f>
        <v>0</v>
      </c>
      <c r="P29" s="25">
        <f>IF(B29="","",COUNTIFS(Sales!$F$5:$F$1204,C29,Sales!$R$5:$R$1204,B29,Sales!$H$5:$H$1204,"Service"))</f>
        <v>0</v>
      </c>
      <c r="Q29" s="26">
        <f>IF(B29="","",IF(CommissionOn="Gross before discounts",L29,K29))</f>
        <v>0</v>
      </c>
      <c r="R29" s="26">
        <f>IF(B29="","",IF(CommissionOn="Gross before discounts",N29,M29))</f>
        <v>0</v>
      </c>
      <c r="S29" s="27">
        <f>IF(B29="","",IF(E29="Tiered on monthly service revenue",IFERROR(INDEX(TierRate,MATCH(Q29,TierFrom,1)),0),IFERROR(IF(INDEX(Staff!$M$5:$M$44,MATCH(C29,Staff!$A$5:$A$44,0))="",ServiceCommission,INDEX(Staff!$M$5:$M$44,MATCH(C29,Staff!$A$5:$A$44,0))),ServiceCommission)))</f>
        <v>0</v>
      </c>
      <c r="T29" s="27">
        <f>IF(B29="","",IFERROR(IF(INDEX(Staff!$N$5:$N$44,MATCH(C29,Staff!$A$5:$A$44,0))="",RetailCommission,INDEX(Staff!$N$5:$N$44,MATCH(C29,Staff!$A$5:$A$44,0))),RetailCommission))</f>
        <v>0</v>
      </c>
      <c r="U29" s="26">
        <f>IF(B29="","",IFERROR(INDEX(Staff!$O$5:$O$44,MATCH(C29,Staff!$A$5:$A$44,0))*1,0))</f>
        <v>0</v>
      </c>
      <c r="V29" s="26">
        <f>IF(B29="","",ROUND(IF(E29="Percent of service",Q29*S29,IF(E29="Percent of service and retail",Q29*S29+R29*T29,IF(E29="Percent after product cost",MAX(0,Q29-O29)*S29,IF(E29="Tiered on monthly service revenue",Q29*S29,IF(E29="Flat amount per service",P29*U29,0))))),2))</f>
        <v>0</v>
      </c>
      <c r="W29" s="26">
        <f>IF(B29="","",ROUND(SUMIFS(Payments!$G$5:$G$1204,Payments!$J$5:$J$1204,C29,Payments!$O$5:$O$1204,B29,Payments!$E$5:$E$1204,"Tip"),2))</f>
        <v>0</v>
      </c>
      <c r="X29" s="26">
        <f>IF(B29="","",ROUND(V29+IF(F29="",0,F29)+IF(G29="",0,G29),2))</f>
        <v>0</v>
      </c>
      <c r="Y29" s="27">
        <f>IF(B29="","",IF(Q29+R29=0,"",X29/(Q29+R29)))</f>
        <v>0</v>
      </c>
      <c r="Z29" s="25">
        <f>IF(B29="","",COUNTIFS($V$5:$V$244,"&gt;"&amp;V29)+COUNTIFS($V$5:V29,V29))</f>
        <v>0</v>
      </c>
      <c r="AA29" s="39">
        <f>IF(B29="","",IF(C29="","Add - whose commission is this?",IF(COUNTIFS($B$5:$B$244,B29,$C$5:$C$244,C29)&gt;1,"Duplicate - two rows for the same month",IF(E29="None","",IF(E29="Rent a chair","",IF(E29="Hourly only","",IF(X29=0,"Check - nothing calculated",IF(H29&lt;&gt;"Yes","Due - waiting for approval",IF(I29="","Due - approved but not paid","OK")))))))))</f>
        <v>0</v>
      </c>
    </row>
    <row r="30" spans="1:27">
      <c r="A30" s="28">
        <f>IF(B30="","",CommissionPrefix&amp;TEXT(ROW()-4,"0000"))</f>
        <v>0</v>
      </c>
      <c r="D30" s="15">
        <f>IF(C30="","",IFERROR(INDEX(Staff!$B$5:$B$44,MATCH(C30,Staff!$A$5:$A$44,0)),"Not in Staff"))</f>
        <v>0</v>
      </c>
      <c r="E30" s="15">
        <f>IF(C30="","",IFERROR(INDEX(Staff!$L$5:$L$44,MATCH(C30,Staff!$A$5:$A$44,0)),"None"))</f>
        <v>0</v>
      </c>
      <c r="K30" s="26">
        <f>IF(B30="","",ROUND(SUMIFS(Sales!$Y$5:$Y$1204,Sales!$F$5:$F$1204,C30,Sales!$R$5:$R$1204,B30,Sales!$H$5:$H$1204,"Service"),2))</f>
        <v>0</v>
      </c>
      <c r="L30" s="26">
        <f>IF(B30="","",ROUND(SUMIFS(Sales!$W$5:$W$1204,Sales!$F$5:$F$1204,C30,Sales!$R$5:$R$1204,B30,Sales!$H$5:$H$1204,"Service"),2))</f>
        <v>0</v>
      </c>
      <c r="M30" s="26">
        <f>IF(B30="","",ROUND(SUMIFS(Sales!$Y$5:$Y$1204,Sales!$F$5:$F$1204,C30,Sales!$R$5:$R$1204,B30,Sales!$H$5:$H$1204,"Retail"),2))</f>
        <v>0</v>
      </c>
      <c r="N30" s="26">
        <f>IF(B30="","",ROUND(SUMIFS(Sales!$W$5:$W$1204,Sales!$F$5:$F$1204,C30,Sales!$R$5:$R$1204,B30,Sales!$H$5:$H$1204,"Retail"),2))</f>
        <v>0</v>
      </c>
      <c r="O30" s="26">
        <f>IF(B30="","",ROUND(SUMIFS(Sales!$AB$5:$AB$1204,Sales!$F$5:$F$1204,C30,Sales!$R$5:$R$1204,B30,Sales!$H$5:$H$1204,"Service"),2))</f>
        <v>0</v>
      </c>
      <c r="P30" s="25">
        <f>IF(B30="","",COUNTIFS(Sales!$F$5:$F$1204,C30,Sales!$R$5:$R$1204,B30,Sales!$H$5:$H$1204,"Service"))</f>
        <v>0</v>
      </c>
      <c r="Q30" s="26">
        <f>IF(B30="","",IF(CommissionOn="Gross before discounts",L30,K30))</f>
        <v>0</v>
      </c>
      <c r="R30" s="26">
        <f>IF(B30="","",IF(CommissionOn="Gross before discounts",N30,M30))</f>
        <v>0</v>
      </c>
      <c r="S30" s="27">
        <f>IF(B30="","",IF(E30="Tiered on monthly service revenue",IFERROR(INDEX(TierRate,MATCH(Q30,TierFrom,1)),0),IFERROR(IF(INDEX(Staff!$M$5:$M$44,MATCH(C30,Staff!$A$5:$A$44,0))="",ServiceCommission,INDEX(Staff!$M$5:$M$44,MATCH(C30,Staff!$A$5:$A$44,0))),ServiceCommission)))</f>
        <v>0</v>
      </c>
      <c r="T30" s="27">
        <f>IF(B30="","",IFERROR(IF(INDEX(Staff!$N$5:$N$44,MATCH(C30,Staff!$A$5:$A$44,0))="",RetailCommission,INDEX(Staff!$N$5:$N$44,MATCH(C30,Staff!$A$5:$A$44,0))),RetailCommission))</f>
        <v>0</v>
      </c>
      <c r="U30" s="26">
        <f>IF(B30="","",IFERROR(INDEX(Staff!$O$5:$O$44,MATCH(C30,Staff!$A$5:$A$44,0))*1,0))</f>
        <v>0</v>
      </c>
      <c r="V30" s="26">
        <f>IF(B30="","",ROUND(IF(E30="Percent of service",Q30*S30,IF(E30="Percent of service and retail",Q30*S30+R30*T30,IF(E30="Percent after product cost",MAX(0,Q30-O30)*S30,IF(E30="Tiered on monthly service revenue",Q30*S30,IF(E30="Flat amount per service",P30*U30,0))))),2))</f>
        <v>0</v>
      </c>
      <c r="W30" s="26">
        <f>IF(B30="","",ROUND(SUMIFS(Payments!$G$5:$G$1204,Payments!$J$5:$J$1204,C30,Payments!$O$5:$O$1204,B30,Payments!$E$5:$E$1204,"Tip"),2))</f>
        <v>0</v>
      </c>
      <c r="X30" s="26">
        <f>IF(B30="","",ROUND(V30+IF(F30="",0,F30)+IF(G30="",0,G30),2))</f>
        <v>0</v>
      </c>
      <c r="Y30" s="27">
        <f>IF(B30="","",IF(Q30+R30=0,"",X30/(Q30+R30)))</f>
        <v>0</v>
      </c>
      <c r="Z30" s="25">
        <f>IF(B30="","",COUNTIFS($V$5:$V$244,"&gt;"&amp;V30)+COUNTIFS($V$5:V30,V30))</f>
        <v>0</v>
      </c>
      <c r="AA30" s="39">
        <f>IF(B30="","",IF(C30="","Add - whose commission is this?",IF(COUNTIFS($B$5:$B$244,B30,$C$5:$C$244,C30)&gt;1,"Duplicate - two rows for the same month",IF(E30="None","",IF(E30="Rent a chair","",IF(E30="Hourly only","",IF(X30=0,"Check - nothing calculated",IF(H30&lt;&gt;"Yes","Due - waiting for approval",IF(I30="","Due - approved but not paid","OK")))))))))</f>
        <v>0</v>
      </c>
    </row>
    <row r="31" spans="1:27">
      <c r="A31" s="28">
        <f>IF(B31="","",CommissionPrefix&amp;TEXT(ROW()-4,"0000"))</f>
        <v>0</v>
      </c>
      <c r="D31" s="15">
        <f>IF(C31="","",IFERROR(INDEX(Staff!$B$5:$B$44,MATCH(C31,Staff!$A$5:$A$44,0)),"Not in Staff"))</f>
        <v>0</v>
      </c>
      <c r="E31" s="15">
        <f>IF(C31="","",IFERROR(INDEX(Staff!$L$5:$L$44,MATCH(C31,Staff!$A$5:$A$44,0)),"None"))</f>
        <v>0</v>
      </c>
      <c r="K31" s="26">
        <f>IF(B31="","",ROUND(SUMIFS(Sales!$Y$5:$Y$1204,Sales!$F$5:$F$1204,C31,Sales!$R$5:$R$1204,B31,Sales!$H$5:$H$1204,"Service"),2))</f>
        <v>0</v>
      </c>
      <c r="L31" s="26">
        <f>IF(B31="","",ROUND(SUMIFS(Sales!$W$5:$W$1204,Sales!$F$5:$F$1204,C31,Sales!$R$5:$R$1204,B31,Sales!$H$5:$H$1204,"Service"),2))</f>
        <v>0</v>
      </c>
      <c r="M31" s="26">
        <f>IF(B31="","",ROUND(SUMIFS(Sales!$Y$5:$Y$1204,Sales!$F$5:$F$1204,C31,Sales!$R$5:$R$1204,B31,Sales!$H$5:$H$1204,"Retail"),2))</f>
        <v>0</v>
      </c>
      <c r="N31" s="26">
        <f>IF(B31="","",ROUND(SUMIFS(Sales!$W$5:$W$1204,Sales!$F$5:$F$1204,C31,Sales!$R$5:$R$1204,B31,Sales!$H$5:$H$1204,"Retail"),2))</f>
        <v>0</v>
      </c>
      <c r="O31" s="26">
        <f>IF(B31="","",ROUND(SUMIFS(Sales!$AB$5:$AB$1204,Sales!$F$5:$F$1204,C31,Sales!$R$5:$R$1204,B31,Sales!$H$5:$H$1204,"Service"),2))</f>
        <v>0</v>
      </c>
      <c r="P31" s="25">
        <f>IF(B31="","",COUNTIFS(Sales!$F$5:$F$1204,C31,Sales!$R$5:$R$1204,B31,Sales!$H$5:$H$1204,"Service"))</f>
        <v>0</v>
      </c>
      <c r="Q31" s="26">
        <f>IF(B31="","",IF(CommissionOn="Gross before discounts",L31,K31))</f>
        <v>0</v>
      </c>
      <c r="R31" s="26">
        <f>IF(B31="","",IF(CommissionOn="Gross before discounts",N31,M31))</f>
        <v>0</v>
      </c>
      <c r="S31" s="27">
        <f>IF(B31="","",IF(E31="Tiered on monthly service revenue",IFERROR(INDEX(TierRate,MATCH(Q31,TierFrom,1)),0),IFERROR(IF(INDEX(Staff!$M$5:$M$44,MATCH(C31,Staff!$A$5:$A$44,0))="",ServiceCommission,INDEX(Staff!$M$5:$M$44,MATCH(C31,Staff!$A$5:$A$44,0))),ServiceCommission)))</f>
        <v>0</v>
      </c>
      <c r="T31" s="27">
        <f>IF(B31="","",IFERROR(IF(INDEX(Staff!$N$5:$N$44,MATCH(C31,Staff!$A$5:$A$44,0))="",RetailCommission,INDEX(Staff!$N$5:$N$44,MATCH(C31,Staff!$A$5:$A$44,0))),RetailCommission))</f>
        <v>0</v>
      </c>
      <c r="U31" s="26">
        <f>IF(B31="","",IFERROR(INDEX(Staff!$O$5:$O$44,MATCH(C31,Staff!$A$5:$A$44,0))*1,0))</f>
        <v>0</v>
      </c>
      <c r="V31" s="26">
        <f>IF(B31="","",ROUND(IF(E31="Percent of service",Q31*S31,IF(E31="Percent of service and retail",Q31*S31+R31*T31,IF(E31="Percent after product cost",MAX(0,Q31-O31)*S31,IF(E31="Tiered on monthly service revenue",Q31*S31,IF(E31="Flat amount per service",P31*U31,0))))),2))</f>
        <v>0</v>
      </c>
      <c r="W31" s="26">
        <f>IF(B31="","",ROUND(SUMIFS(Payments!$G$5:$G$1204,Payments!$J$5:$J$1204,C31,Payments!$O$5:$O$1204,B31,Payments!$E$5:$E$1204,"Tip"),2))</f>
        <v>0</v>
      </c>
      <c r="X31" s="26">
        <f>IF(B31="","",ROUND(V31+IF(F31="",0,F31)+IF(G31="",0,G31),2))</f>
        <v>0</v>
      </c>
      <c r="Y31" s="27">
        <f>IF(B31="","",IF(Q31+R31=0,"",X31/(Q31+R31)))</f>
        <v>0</v>
      </c>
      <c r="Z31" s="25">
        <f>IF(B31="","",COUNTIFS($V$5:$V$244,"&gt;"&amp;V31)+COUNTIFS($V$5:V31,V31))</f>
        <v>0</v>
      </c>
      <c r="AA31" s="39">
        <f>IF(B31="","",IF(C31="","Add - whose commission is this?",IF(COUNTIFS($B$5:$B$244,B31,$C$5:$C$244,C31)&gt;1,"Duplicate - two rows for the same month",IF(E31="None","",IF(E31="Rent a chair","",IF(E31="Hourly only","",IF(X31=0,"Check - nothing calculated",IF(H31&lt;&gt;"Yes","Due - waiting for approval",IF(I31="","Due - approved but not paid","OK")))))))))</f>
        <v>0</v>
      </c>
    </row>
    <row r="32" spans="1:27">
      <c r="A32" s="28">
        <f>IF(B32="","",CommissionPrefix&amp;TEXT(ROW()-4,"0000"))</f>
        <v>0</v>
      </c>
      <c r="D32" s="15">
        <f>IF(C32="","",IFERROR(INDEX(Staff!$B$5:$B$44,MATCH(C32,Staff!$A$5:$A$44,0)),"Not in Staff"))</f>
        <v>0</v>
      </c>
      <c r="E32" s="15">
        <f>IF(C32="","",IFERROR(INDEX(Staff!$L$5:$L$44,MATCH(C32,Staff!$A$5:$A$44,0)),"None"))</f>
        <v>0</v>
      </c>
      <c r="K32" s="26">
        <f>IF(B32="","",ROUND(SUMIFS(Sales!$Y$5:$Y$1204,Sales!$F$5:$F$1204,C32,Sales!$R$5:$R$1204,B32,Sales!$H$5:$H$1204,"Service"),2))</f>
        <v>0</v>
      </c>
      <c r="L32" s="26">
        <f>IF(B32="","",ROUND(SUMIFS(Sales!$W$5:$W$1204,Sales!$F$5:$F$1204,C32,Sales!$R$5:$R$1204,B32,Sales!$H$5:$H$1204,"Service"),2))</f>
        <v>0</v>
      </c>
      <c r="M32" s="26">
        <f>IF(B32="","",ROUND(SUMIFS(Sales!$Y$5:$Y$1204,Sales!$F$5:$F$1204,C32,Sales!$R$5:$R$1204,B32,Sales!$H$5:$H$1204,"Retail"),2))</f>
        <v>0</v>
      </c>
      <c r="N32" s="26">
        <f>IF(B32="","",ROUND(SUMIFS(Sales!$W$5:$W$1204,Sales!$F$5:$F$1204,C32,Sales!$R$5:$R$1204,B32,Sales!$H$5:$H$1204,"Retail"),2))</f>
        <v>0</v>
      </c>
      <c r="O32" s="26">
        <f>IF(B32="","",ROUND(SUMIFS(Sales!$AB$5:$AB$1204,Sales!$F$5:$F$1204,C32,Sales!$R$5:$R$1204,B32,Sales!$H$5:$H$1204,"Service"),2))</f>
        <v>0</v>
      </c>
      <c r="P32" s="25">
        <f>IF(B32="","",COUNTIFS(Sales!$F$5:$F$1204,C32,Sales!$R$5:$R$1204,B32,Sales!$H$5:$H$1204,"Service"))</f>
        <v>0</v>
      </c>
      <c r="Q32" s="26">
        <f>IF(B32="","",IF(CommissionOn="Gross before discounts",L32,K32))</f>
        <v>0</v>
      </c>
      <c r="R32" s="26">
        <f>IF(B32="","",IF(CommissionOn="Gross before discounts",N32,M32))</f>
        <v>0</v>
      </c>
      <c r="S32" s="27">
        <f>IF(B32="","",IF(E32="Tiered on monthly service revenue",IFERROR(INDEX(TierRate,MATCH(Q32,TierFrom,1)),0),IFERROR(IF(INDEX(Staff!$M$5:$M$44,MATCH(C32,Staff!$A$5:$A$44,0))="",ServiceCommission,INDEX(Staff!$M$5:$M$44,MATCH(C32,Staff!$A$5:$A$44,0))),ServiceCommission)))</f>
        <v>0</v>
      </c>
      <c r="T32" s="27">
        <f>IF(B32="","",IFERROR(IF(INDEX(Staff!$N$5:$N$44,MATCH(C32,Staff!$A$5:$A$44,0))="",RetailCommission,INDEX(Staff!$N$5:$N$44,MATCH(C32,Staff!$A$5:$A$44,0))),RetailCommission))</f>
        <v>0</v>
      </c>
      <c r="U32" s="26">
        <f>IF(B32="","",IFERROR(INDEX(Staff!$O$5:$O$44,MATCH(C32,Staff!$A$5:$A$44,0))*1,0))</f>
        <v>0</v>
      </c>
      <c r="V32" s="26">
        <f>IF(B32="","",ROUND(IF(E32="Percent of service",Q32*S32,IF(E32="Percent of service and retail",Q32*S32+R32*T32,IF(E32="Percent after product cost",MAX(0,Q32-O32)*S32,IF(E32="Tiered on monthly service revenue",Q32*S32,IF(E32="Flat amount per service",P32*U32,0))))),2))</f>
        <v>0</v>
      </c>
      <c r="W32" s="26">
        <f>IF(B32="","",ROUND(SUMIFS(Payments!$G$5:$G$1204,Payments!$J$5:$J$1204,C32,Payments!$O$5:$O$1204,B32,Payments!$E$5:$E$1204,"Tip"),2))</f>
        <v>0</v>
      </c>
      <c r="X32" s="26">
        <f>IF(B32="","",ROUND(V32+IF(F32="",0,F32)+IF(G32="",0,G32),2))</f>
        <v>0</v>
      </c>
      <c r="Y32" s="27">
        <f>IF(B32="","",IF(Q32+R32=0,"",X32/(Q32+R32)))</f>
        <v>0</v>
      </c>
      <c r="Z32" s="25">
        <f>IF(B32="","",COUNTIFS($V$5:$V$244,"&gt;"&amp;V32)+COUNTIFS($V$5:V32,V32))</f>
        <v>0</v>
      </c>
      <c r="AA32" s="39">
        <f>IF(B32="","",IF(C32="","Add - whose commission is this?",IF(COUNTIFS($B$5:$B$244,B32,$C$5:$C$244,C32)&gt;1,"Duplicate - two rows for the same month",IF(E32="None","",IF(E32="Rent a chair","",IF(E32="Hourly only","",IF(X32=0,"Check - nothing calculated",IF(H32&lt;&gt;"Yes","Due - waiting for approval",IF(I32="","Due - approved but not paid","OK")))))))))</f>
        <v>0</v>
      </c>
    </row>
    <row r="33" spans="1:27">
      <c r="A33" s="28">
        <f>IF(B33="","",CommissionPrefix&amp;TEXT(ROW()-4,"0000"))</f>
        <v>0</v>
      </c>
      <c r="D33" s="15">
        <f>IF(C33="","",IFERROR(INDEX(Staff!$B$5:$B$44,MATCH(C33,Staff!$A$5:$A$44,0)),"Not in Staff"))</f>
        <v>0</v>
      </c>
      <c r="E33" s="15">
        <f>IF(C33="","",IFERROR(INDEX(Staff!$L$5:$L$44,MATCH(C33,Staff!$A$5:$A$44,0)),"None"))</f>
        <v>0</v>
      </c>
      <c r="K33" s="26">
        <f>IF(B33="","",ROUND(SUMIFS(Sales!$Y$5:$Y$1204,Sales!$F$5:$F$1204,C33,Sales!$R$5:$R$1204,B33,Sales!$H$5:$H$1204,"Service"),2))</f>
        <v>0</v>
      </c>
      <c r="L33" s="26">
        <f>IF(B33="","",ROUND(SUMIFS(Sales!$W$5:$W$1204,Sales!$F$5:$F$1204,C33,Sales!$R$5:$R$1204,B33,Sales!$H$5:$H$1204,"Service"),2))</f>
        <v>0</v>
      </c>
      <c r="M33" s="26">
        <f>IF(B33="","",ROUND(SUMIFS(Sales!$Y$5:$Y$1204,Sales!$F$5:$F$1204,C33,Sales!$R$5:$R$1204,B33,Sales!$H$5:$H$1204,"Retail"),2))</f>
        <v>0</v>
      </c>
      <c r="N33" s="26">
        <f>IF(B33="","",ROUND(SUMIFS(Sales!$W$5:$W$1204,Sales!$F$5:$F$1204,C33,Sales!$R$5:$R$1204,B33,Sales!$H$5:$H$1204,"Retail"),2))</f>
        <v>0</v>
      </c>
      <c r="O33" s="26">
        <f>IF(B33="","",ROUND(SUMIFS(Sales!$AB$5:$AB$1204,Sales!$F$5:$F$1204,C33,Sales!$R$5:$R$1204,B33,Sales!$H$5:$H$1204,"Service"),2))</f>
        <v>0</v>
      </c>
      <c r="P33" s="25">
        <f>IF(B33="","",COUNTIFS(Sales!$F$5:$F$1204,C33,Sales!$R$5:$R$1204,B33,Sales!$H$5:$H$1204,"Service"))</f>
        <v>0</v>
      </c>
      <c r="Q33" s="26">
        <f>IF(B33="","",IF(CommissionOn="Gross before discounts",L33,K33))</f>
        <v>0</v>
      </c>
      <c r="R33" s="26">
        <f>IF(B33="","",IF(CommissionOn="Gross before discounts",N33,M33))</f>
        <v>0</v>
      </c>
      <c r="S33" s="27">
        <f>IF(B33="","",IF(E33="Tiered on monthly service revenue",IFERROR(INDEX(TierRate,MATCH(Q33,TierFrom,1)),0),IFERROR(IF(INDEX(Staff!$M$5:$M$44,MATCH(C33,Staff!$A$5:$A$44,0))="",ServiceCommission,INDEX(Staff!$M$5:$M$44,MATCH(C33,Staff!$A$5:$A$44,0))),ServiceCommission)))</f>
        <v>0</v>
      </c>
      <c r="T33" s="27">
        <f>IF(B33="","",IFERROR(IF(INDEX(Staff!$N$5:$N$44,MATCH(C33,Staff!$A$5:$A$44,0))="",RetailCommission,INDEX(Staff!$N$5:$N$44,MATCH(C33,Staff!$A$5:$A$44,0))),RetailCommission))</f>
        <v>0</v>
      </c>
      <c r="U33" s="26">
        <f>IF(B33="","",IFERROR(INDEX(Staff!$O$5:$O$44,MATCH(C33,Staff!$A$5:$A$44,0))*1,0))</f>
        <v>0</v>
      </c>
      <c r="V33" s="26">
        <f>IF(B33="","",ROUND(IF(E33="Percent of service",Q33*S33,IF(E33="Percent of service and retail",Q33*S33+R33*T33,IF(E33="Percent after product cost",MAX(0,Q33-O33)*S33,IF(E33="Tiered on monthly service revenue",Q33*S33,IF(E33="Flat amount per service",P33*U33,0))))),2))</f>
        <v>0</v>
      </c>
      <c r="W33" s="26">
        <f>IF(B33="","",ROUND(SUMIFS(Payments!$G$5:$G$1204,Payments!$J$5:$J$1204,C33,Payments!$O$5:$O$1204,B33,Payments!$E$5:$E$1204,"Tip"),2))</f>
        <v>0</v>
      </c>
      <c r="X33" s="26">
        <f>IF(B33="","",ROUND(V33+IF(F33="",0,F33)+IF(G33="",0,G33),2))</f>
        <v>0</v>
      </c>
      <c r="Y33" s="27">
        <f>IF(B33="","",IF(Q33+R33=0,"",X33/(Q33+R33)))</f>
        <v>0</v>
      </c>
      <c r="Z33" s="25">
        <f>IF(B33="","",COUNTIFS($V$5:$V$244,"&gt;"&amp;V33)+COUNTIFS($V$5:V33,V33))</f>
        <v>0</v>
      </c>
      <c r="AA33" s="39">
        <f>IF(B33="","",IF(C33="","Add - whose commission is this?",IF(COUNTIFS($B$5:$B$244,B33,$C$5:$C$244,C33)&gt;1,"Duplicate - two rows for the same month",IF(E33="None","",IF(E33="Rent a chair","",IF(E33="Hourly only","",IF(X33=0,"Check - nothing calculated",IF(H33&lt;&gt;"Yes","Due - waiting for approval",IF(I33="","Due - approved but not paid","OK")))))))))</f>
        <v>0</v>
      </c>
    </row>
    <row r="34" spans="1:27">
      <c r="A34" s="28">
        <f>IF(B34="","",CommissionPrefix&amp;TEXT(ROW()-4,"0000"))</f>
        <v>0</v>
      </c>
      <c r="D34" s="15">
        <f>IF(C34="","",IFERROR(INDEX(Staff!$B$5:$B$44,MATCH(C34,Staff!$A$5:$A$44,0)),"Not in Staff"))</f>
        <v>0</v>
      </c>
      <c r="E34" s="15">
        <f>IF(C34="","",IFERROR(INDEX(Staff!$L$5:$L$44,MATCH(C34,Staff!$A$5:$A$44,0)),"None"))</f>
        <v>0</v>
      </c>
      <c r="K34" s="26">
        <f>IF(B34="","",ROUND(SUMIFS(Sales!$Y$5:$Y$1204,Sales!$F$5:$F$1204,C34,Sales!$R$5:$R$1204,B34,Sales!$H$5:$H$1204,"Service"),2))</f>
        <v>0</v>
      </c>
      <c r="L34" s="26">
        <f>IF(B34="","",ROUND(SUMIFS(Sales!$W$5:$W$1204,Sales!$F$5:$F$1204,C34,Sales!$R$5:$R$1204,B34,Sales!$H$5:$H$1204,"Service"),2))</f>
        <v>0</v>
      </c>
      <c r="M34" s="26">
        <f>IF(B34="","",ROUND(SUMIFS(Sales!$Y$5:$Y$1204,Sales!$F$5:$F$1204,C34,Sales!$R$5:$R$1204,B34,Sales!$H$5:$H$1204,"Retail"),2))</f>
        <v>0</v>
      </c>
      <c r="N34" s="26">
        <f>IF(B34="","",ROUND(SUMIFS(Sales!$W$5:$W$1204,Sales!$F$5:$F$1204,C34,Sales!$R$5:$R$1204,B34,Sales!$H$5:$H$1204,"Retail"),2))</f>
        <v>0</v>
      </c>
      <c r="O34" s="26">
        <f>IF(B34="","",ROUND(SUMIFS(Sales!$AB$5:$AB$1204,Sales!$F$5:$F$1204,C34,Sales!$R$5:$R$1204,B34,Sales!$H$5:$H$1204,"Service"),2))</f>
        <v>0</v>
      </c>
      <c r="P34" s="25">
        <f>IF(B34="","",COUNTIFS(Sales!$F$5:$F$1204,C34,Sales!$R$5:$R$1204,B34,Sales!$H$5:$H$1204,"Service"))</f>
        <v>0</v>
      </c>
      <c r="Q34" s="26">
        <f>IF(B34="","",IF(CommissionOn="Gross before discounts",L34,K34))</f>
        <v>0</v>
      </c>
      <c r="R34" s="26">
        <f>IF(B34="","",IF(CommissionOn="Gross before discounts",N34,M34))</f>
        <v>0</v>
      </c>
      <c r="S34" s="27">
        <f>IF(B34="","",IF(E34="Tiered on monthly service revenue",IFERROR(INDEX(TierRate,MATCH(Q34,TierFrom,1)),0),IFERROR(IF(INDEX(Staff!$M$5:$M$44,MATCH(C34,Staff!$A$5:$A$44,0))="",ServiceCommission,INDEX(Staff!$M$5:$M$44,MATCH(C34,Staff!$A$5:$A$44,0))),ServiceCommission)))</f>
        <v>0</v>
      </c>
      <c r="T34" s="27">
        <f>IF(B34="","",IFERROR(IF(INDEX(Staff!$N$5:$N$44,MATCH(C34,Staff!$A$5:$A$44,0))="",RetailCommission,INDEX(Staff!$N$5:$N$44,MATCH(C34,Staff!$A$5:$A$44,0))),RetailCommission))</f>
        <v>0</v>
      </c>
      <c r="U34" s="26">
        <f>IF(B34="","",IFERROR(INDEX(Staff!$O$5:$O$44,MATCH(C34,Staff!$A$5:$A$44,0))*1,0))</f>
        <v>0</v>
      </c>
      <c r="V34" s="26">
        <f>IF(B34="","",ROUND(IF(E34="Percent of service",Q34*S34,IF(E34="Percent of service and retail",Q34*S34+R34*T34,IF(E34="Percent after product cost",MAX(0,Q34-O34)*S34,IF(E34="Tiered on monthly service revenue",Q34*S34,IF(E34="Flat amount per service",P34*U34,0))))),2))</f>
        <v>0</v>
      </c>
      <c r="W34" s="26">
        <f>IF(B34="","",ROUND(SUMIFS(Payments!$G$5:$G$1204,Payments!$J$5:$J$1204,C34,Payments!$O$5:$O$1204,B34,Payments!$E$5:$E$1204,"Tip"),2))</f>
        <v>0</v>
      </c>
      <c r="X34" s="26">
        <f>IF(B34="","",ROUND(V34+IF(F34="",0,F34)+IF(G34="",0,G34),2))</f>
        <v>0</v>
      </c>
      <c r="Y34" s="27">
        <f>IF(B34="","",IF(Q34+R34=0,"",X34/(Q34+R34)))</f>
        <v>0</v>
      </c>
      <c r="Z34" s="25">
        <f>IF(B34="","",COUNTIFS($V$5:$V$244,"&gt;"&amp;V34)+COUNTIFS($V$5:V34,V34))</f>
        <v>0</v>
      </c>
      <c r="AA34" s="39">
        <f>IF(B34="","",IF(C34="","Add - whose commission is this?",IF(COUNTIFS($B$5:$B$244,B34,$C$5:$C$244,C34)&gt;1,"Duplicate - two rows for the same month",IF(E34="None","",IF(E34="Rent a chair","",IF(E34="Hourly only","",IF(X34=0,"Check - nothing calculated",IF(H34&lt;&gt;"Yes","Due - waiting for approval",IF(I34="","Due - approved but not paid","OK")))))))))</f>
        <v>0</v>
      </c>
    </row>
    <row r="35" spans="1:27">
      <c r="A35" s="28">
        <f>IF(B35="","",CommissionPrefix&amp;TEXT(ROW()-4,"0000"))</f>
        <v>0</v>
      </c>
      <c r="D35" s="15">
        <f>IF(C35="","",IFERROR(INDEX(Staff!$B$5:$B$44,MATCH(C35,Staff!$A$5:$A$44,0)),"Not in Staff"))</f>
        <v>0</v>
      </c>
      <c r="E35" s="15">
        <f>IF(C35="","",IFERROR(INDEX(Staff!$L$5:$L$44,MATCH(C35,Staff!$A$5:$A$44,0)),"None"))</f>
        <v>0</v>
      </c>
      <c r="K35" s="26">
        <f>IF(B35="","",ROUND(SUMIFS(Sales!$Y$5:$Y$1204,Sales!$F$5:$F$1204,C35,Sales!$R$5:$R$1204,B35,Sales!$H$5:$H$1204,"Service"),2))</f>
        <v>0</v>
      </c>
      <c r="L35" s="26">
        <f>IF(B35="","",ROUND(SUMIFS(Sales!$W$5:$W$1204,Sales!$F$5:$F$1204,C35,Sales!$R$5:$R$1204,B35,Sales!$H$5:$H$1204,"Service"),2))</f>
        <v>0</v>
      </c>
      <c r="M35" s="26">
        <f>IF(B35="","",ROUND(SUMIFS(Sales!$Y$5:$Y$1204,Sales!$F$5:$F$1204,C35,Sales!$R$5:$R$1204,B35,Sales!$H$5:$H$1204,"Retail"),2))</f>
        <v>0</v>
      </c>
      <c r="N35" s="26">
        <f>IF(B35="","",ROUND(SUMIFS(Sales!$W$5:$W$1204,Sales!$F$5:$F$1204,C35,Sales!$R$5:$R$1204,B35,Sales!$H$5:$H$1204,"Retail"),2))</f>
        <v>0</v>
      </c>
      <c r="O35" s="26">
        <f>IF(B35="","",ROUND(SUMIFS(Sales!$AB$5:$AB$1204,Sales!$F$5:$F$1204,C35,Sales!$R$5:$R$1204,B35,Sales!$H$5:$H$1204,"Service"),2))</f>
        <v>0</v>
      </c>
      <c r="P35" s="25">
        <f>IF(B35="","",COUNTIFS(Sales!$F$5:$F$1204,C35,Sales!$R$5:$R$1204,B35,Sales!$H$5:$H$1204,"Service"))</f>
        <v>0</v>
      </c>
      <c r="Q35" s="26">
        <f>IF(B35="","",IF(CommissionOn="Gross before discounts",L35,K35))</f>
        <v>0</v>
      </c>
      <c r="R35" s="26">
        <f>IF(B35="","",IF(CommissionOn="Gross before discounts",N35,M35))</f>
        <v>0</v>
      </c>
      <c r="S35" s="27">
        <f>IF(B35="","",IF(E35="Tiered on monthly service revenue",IFERROR(INDEX(TierRate,MATCH(Q35,TierFrom,1)),0),IFERROR(IF(INDEX(Staff!$M$5:$M$44,MATCH(C35,Staff!$A$5:$A$44,0))="",ServiceCommission,INDEX(Staff!$M$5:$M$44,MATCH(C35,Staff!$A$5:$A$44,0))),ServiceCommission)))</f>
        <v>0</v>
      </c>
      <c r="T35" s="27">
        <f>IF(B35="","",IFERROR(IF(INDEX(Staff!$N$5:$N$44,MATCH(C35,Staff!$A$5:$A$44,0))="",RetailCommission,INDEX(Staff!$N$5:$N$44,MATCH(C35,Staff!$A$5:$A$44,0))),RetailCommission))</f>
        <v>0</v>
      </c>
      <c r="U35" s="26">
        <f>IF(B35="","",IFERROR(INDEX(Staff!$O$5:$O$44,MATCH(C35,Staff!$A$5:$A$44,0))*1,0))</f>
        <v>0</v>
      </c>
      <c r="V35" s="26">
        <f>IF(B35="","",ROUND(IF(E35="Percent of service",Q35*S35,IF(E35="Percent of service and retail",Q35*S35+R35*T35,IF(E35="Percent after product cost",MAX(0,Q35-O35)*S35,IF(E35="Tiered on monthly service revenue",Q35*S35,IF(E35="Flat amount per service",P35*U35,0))))),2))</f>
        <v>0</v>
      </c>
      <c r="W35" s="26">
        <f>IF(B35="","",ROUND(SUMIFS(Payments!$G$5:$G$1204,Payments!$J$5:$J$1204,C35,Payments!$O$5:$O$1204,B35,Payments!$E$5:$E$1204,"Tip"),2))</f>
        <v>0</v>
      </c>
      <c r="X35" s="26">
        <f>IF(B35="","",ROUND(V35+IF(F35="",0,F35)+IF(G35="",0,G35),2))</f>
        <v>0</v>
      </c>
      <c r="Y35" s="27">
        <f>IF(B35="","",IF(Q35+R35=0,"",X35/(Q35+R35)))</f>
        <v>0</v>
      </c>
      <c r="Z35" s="25">
        <f>IF(B35="","",COUNTIFS($V$5:$V$244,"&gt;"&amp;V35)+COUNTIFS($V$5:V35,V35))</f>
        <v>0</v>
      </c>
      <c r="AA35" s="39">
        <f>IF(B35="","",IF(C35="","Add - whose commission is this?",IF(COUNTIFS($B$5:$B$244,B35,$C$5:$C$244,C35)&gt;1,"Duplicate - two rows for the same month",IF(E35="None","",IF(E35="Rent a chair","",IF(E35="Hourly only","",IF(X35=0,"Check - nothing calculated",IF(H35&lt;&gt;"Yes","Due - waiting for approval",IF(I35="","Due - approved but not paid","OK")))))))))</f>
        <v>0</v>
      </c>
    </row>
    <row r="36" spans="1:27">
      <c r="A36" s="28">
        <f>IF(B36="","",CommissionPrefix&amp;TEXT(ROW()-4,"0000"))</f>
        <v>0</v>
      </c>
      <c r="D36" s="15">
        <f>IF(C36="","",IFERROR(INDEX(Staff!$B$5:$B$44,MATCH(C36,Staff!$A$5:$A$44,0)),"Not in Staff"))</f>
        <v>0</v>
      </c>
      <c r="E36" s="15">
        <f>IF(C36="","",IFERROR(INDEX(Staff!$L$5:$L$44,MATCH(C36,Staff!$A$5:$A$44,0)),"None"))</f>
        <v>0</v>
      </c>
      <c r="K36" s="26">
        <f>IF(B36="","",ROUND(SUMIFS(Sales!$Y$5:$Y$1204,Sales!$F$5:$F$1204,C36,Sales!$R$5:$R$1204,B36,Sales!$H$5:$H$1204,"Service"),2))</f>
        <v>0</v>
      </c>
      <c r="L36" s="26">
        <f>IF(B36="","",ROUND(SUMIFS(Sales!$W$5:$W$1204,Sales!$F$5:$F$1204,C36,Sales!$R$5:$R$1204,B36,Sales!$H$5:$H$1204,"Service"),2))</f>
        <v>0</v>
      </c>
      <c r="M36" s="26">
        <f>IF(B36="","",ROUND(SUMIFS(Sales!$Y$5:$Y$1204,Sales!$F$5:$F$1204,C36,Sales!$R$5:$R$1204,B36,Sales!$H$5:$H$1204,"Retail"),2))</f>
        <v>0</v>
      </c>
      <c r="N36" s="26">
        <f>IF(B36="","",ROUND(SUMIFS(Sales!$W$5:$W$1204,Sales!$F$5:$F$1204,C36,Sales!$R$5:$R$1204,B36,Sales!$H$5:$H$1204,"Retail"),2))</f>
        <v>0</v>
      </c>
      <c r="O36" s="26">
        <f>IF(B36="","",ROUND(SUMIFS(Sales!$AB$5:$AB$1204,Sales!$F$5:$F$1204,C36,Sales!$R$5:$R$1204,B36,Sales!$H$5:$H$1204,"Service"),2))</f>
        <v>0</v>
      </c>
      <c r="P36" s="25">
        <f>IF(B36="","",COUNTIFS(Sales!$F$5:$F$1204,C36,Sales!$R$5:$R$1204,B36,Sales!$H$5:$H$1204,"Service"))</f>
        <v>0</v>
      </c>
      <c r="Q36" s="26">
        <f>IF(B36="","",IF(CommissionOn="Gross before discounts",L36,K36))</f>
        <v>0</v>
      </c>
      <c r="R36" s="26">
        <f>IF(B36="","",IF(CommissionOn="Gross before discounts",N36,M36))</f>
        <v>0</v>
      </c>
      <c r="S36" s="27">
        <f>IF(B36="","",IF(E36="Tiered on monthly service revenue",IFERROR(INDEX(TierRate,MATCH(Q36,TierFrom,1)),0),IFERROR(IF(INDEX(Staff!$M$5:$M$44,MATCH(C36,Staff!$A$5:$A$44,0))="",ServiceCommission,INDEX(Staff!$M$5:$M$44,MATCH(C36,Staff!$A$5:$A$44,0))),ServiceCommission)))</f>
        <v>0</v>
      </c>
      <c r="T36" s="27">
        <f>IF(B36="","",IFERROR(IF(INDEX(Staff!$N$5:$N$44,MATCH(C36,Staff!$A$5:$A$44,0))="",RetailCommission,INDEX(Staff!$N$5:$N$44,MATCH(C36,Staff!$A$5:$A$44,0))),RetailCommission))</f>
        <v>0</v>
      </c>
      <c r="U36" s="26">
        <f>IF(B36="","",IFERROR(INDEX(Staff!$O$5:$O$44,MATCH(C36,Staff!$A$5:$A$44,0))*1,0))</f>
        <v>0</v>
      </c>
      <c r="V36" s="26">
        <f>IF(B36="","",ROUND(IF(E36="Percent of service",Q36*S36,IF(E36="Percent of service and retail",Q36*S36+R36*T36,IF(E36="Percent after product cost",MAX(0,Q36-O36)*S36,IF(E36="Tiered on monthly service revenue",Q36*S36,IF(E36="Flat amount per service",P36*U36,0))))),2))</f>
        <v>0</v>
      </c>
      <c r="W36" s="26">
        <f>IF(B36="","",ROUND(SUMIFS(Payments!$G$5:$G$1204,Payments!$J$5:$J$1204,C36,Payments!$O$5:$O$1204,B36,Payments!$E$5:$E$1204,"Tip"),2))</f>
        <v>0</v>
      </c>
      <c r="X36" s="26">
        <f>IF(B36="","",ROUND(V36+IF(F36="",0,F36)+IF(G36="",0,G36),2))</f>
        <v>0</v>
      </c>
      <c r="Y36" s="27">
        <f>IF(B36="","",IF(Q36+R36=0,"",X36/(Q36+R36)))</f>
        <v>0</v>
      </c>
      <c r="Z36" s="25">
        <f>IF(B36="","",COUNTIFS($V$5:$V$244,"&gt;"&amp;V36)+COUNTIFS($V$5:V36,V36))</f>
        <v>0</v>
      </c>
      <c r="AA36" s="39">
        <f>IF(B36="","",IF(C36="","Add - whose commission is this?",IF(COUNTIFS($B$5:$B$244,B36,$C$5:$C$244,C36)&gt;1,"Duplicate - two rows for the same month",IF(E36="None","",IF(E36="Rent a chair","",IF(E36="Hourly only","",IF(X36=0,"Check - nothing calculated",IF(H36&lt;&gt;"Yes","Due - waiting for approval",IF(I36="","Due - approved but not paid","OK")))))))))</f>
        <v>0</v>
      </c>
    </row>
    <row r="37" spans="1:27">
      <c r="A37" s="28">
        <f>IF(B37="","",CommissionPrefix&amp;TEXT(ROW()-4,"0000"))</f>
        <v>0</v>
      </c>
      <c r="D37" s="15">
        <f>IF(C37="","",IFERROR(INDEX(Staff!$B$5:$B$44,MATCH(C37,Staff!$A$5:$A$44,0)),"Not in Staff"))</f>
        <v>0</v>
      </c>
      <c r="E37" s="15">
        <f>IF(C37="","",IFERROR(INDEX(Staff!$L$5:$L$44,MATCH(C37,Staff!$A$5:$A$44,0)),"None"))</f>
        <v>0</v>
      </c>
      <c r="K37" s="26">
        <f>IF(B37="","",ROUND(SUMIFS(Sales!$Y$5:$Y$1204,Sales!$F$5:$F$1204,C37,Sales!$R$5:$R$1204,B37,Sales!$H$5:$H$1204,"Service"),2))</f>
        <v>0</v>
      </c>
      <c r="L37" s="26">
        <f>IF(B37="","",ROUND(SUMIFS(Sales!$W$5:$W$1204,Sales!$F$5:$F$1204,C37,Sales!$R$5:$R$1204,B37,Sales!$H$5:$H$1204,"Service"),2))</f>
        <v>0</v>
      </c>
      <c r="M37" s="26">
        <f>IF(B37="","",ROUND(SUMIFS(Sales!$Y$5:$Y$1204,Sales!$F$5:$F$1204,C37,Sales!$R$5:$R$1204,B37,Sales!$H$5:$H$1204,"Retail"),2))</f>
        <v>0</v>
      </c>
      <c r="N37" s="26">
        <f>IF(B37="","",ROUND(SUMIFS(Sales!$W$5:$W$1204,Sales!$F$5:$F$1204,C37,Sales!$R$5:$R$1204,B37,Sales!$H$5:$H$1204,"Retail"),2))</f>
        <v>0</v>
      </c>
      <c r="O37" s="26">
        <f>IF(B37="","",ROUND(SUMIFS(Sales!$AB$5:$AB$1204,Sales!$F$5:$F$1204,C37,Sales!$R$5:$R$1204,B37,Sales!$H$5:$H$1204,"Service"),2))</f>
        <v>0</v>
      </c>
      <c r="P37" s="25">
        <f>IF(B37="","",COUNTIFS(Sales!$F$5:$F$1204,C37,Sales!$R$5:$R$1204,B37,Sales!$H$5:$H$1204,"Service"))</f>
        <v>0</v>
      </c>
      <c r="Q37" s="26">
        <f>IF(B37="","",IF(CommissionOn="Gross before discounts",L37,K37))</f>
        <v>0</v>
      </c>
      <c r="R37" s="26">
        <f>IF(B37="","",IF(CommissionOn="Gross before discounts",N37,M37))</f>
        <v>0</v>
      </c>
      <c r="S37" s="27">
        <f>IF(B37="","",IF(E37="Tiered on monthly service revenue",IFERROR(INDEX(TierRate,MATCH(Q37,TierFrom,1)),0),IFERROR(IF(INDEX(Staff!$M$5:$M$44,MATCH(C37,Staff!$A$5:$A$44,0))="",ServiceCommission,INDEX(Staff!$M$5:$M$44,MATCH(C37,Staff!$A$5:$A$44,0))),ServiceCommission)))</f>
        <v>0</v>
      </c>
      <c r="T37" s="27">
        <f>IF(B37="","",IFERROR(IF(INDEX(Staff!$N$5:$N$44,MATCH(C37,Staff!$A$5:$A$44,0))="",RetailCommission,INDEX(Staff!$N$5:$N$44,MATCH(C37,Staff!$A$5:$A$44,0))),RetailCommission))</f>
        <v>0</v>
      </c>
      <c r="U37" s="26">
        <f>IF(B37="","",IFERROR(INDEX(Staff!$O$5:$O$44,MATCH(C37,Staff!$A$5:$A$44,0))*1,0))</f>
        <v>0</v>
      </c>
      <c r="V37" s="26">
        <f>IF(B37="","",ROUND(IF(E37="Percent of service",Q37*S37,IF(E37="Percent of service and retail",Q37*S37+R37*T37,IF(E37="Percent after product cost",MAX(0,Q37-O37)*S37,IF(E37="Tiered on monthly service revenue",Q37*S37,IF(E37="Flat amount per service",P37*U37,0))))),2))</f>
        <v>0</v>
      </c>
      <c r="W37" s="26">
        <f>IF(B37="","",ROUND(SUMIFS(Payments!$G$5:$G$1204,Payments!$J$5:$J$1204,C37,Payments!$O$5:$O$1204,B37,Payments!$E$5:$E$1204,"Tip"),2))</f>
        <v>0</v>
      </c>
      <c r="X37" s="26">
        <f>IF(B37="","",ROUND(V37+IF(F37="",0,F37)+IF(G37="",0,G37),2))</f>
        <v>0</v>
      </c>
      <c r="Y37" s="27">
        <f>IF(B37="","",IF(Q37+R37=0,"",X37/(Q37+R37)))</f>
        <v>0</v>
      </c>
      <c r="Z37" s="25">
        <f>IF(B37="","",COUNTIFS($V$5:$V$244,"&gt;"&amp;V37)+COUNTIFS($V$5:V37,V37))</f>
        <v>0</v>
      </c>
      <c r="AA37" s="39">
        <f>IF(B37="","",IF(C37="","Add - whose commission is this?",IF(COUNTIFS($B$5:$B$244,B37,$C$5:$C$244,C37)&gt;1,"Duplicate - two rows for the same month",IF(E37="None","",IF(E37="Rent a chair","",IF(E37="Hourly only","",IF(X37=0,"Check - nothing calculated",IF(H37&lt;&gt;"Yes","Due - waiting for approval",IF(I37="","Due - approved but not paid","OK")))))))))</f>
        <v>0</v>
      </c>
    </row>
    <row r="38" spans="1:27">
      <c r="A38" s="28">
        <f>IF(B38="","",CommissionPrefix&amp;TEXT(ROW()-4,"0000"))</f>
        <v>0</v>
      </c>
      <c r="D38" s="15">
        <f>IF(C38="","",IFERROR(INDEX(Staff!$B$5:$B$44,MATCH(C38,Staff!$A$5:$A$44,0)),"Not in Staff"))</f>
        <v>0</v>
      </c>
      <c r="E38" s="15">
        <f>IF(C38="","",IFERROR(INDEX(Staff!$L$5:$L$44,MATCH(C38,Staff!$A$5:$A$44,0)),"None"))</f>
        <v>0</v>
      </c>
      <c r="K38" s="26">
        <f>IF(B38="","",ROUND(SUMIFS(Sales!$Y$5:$Y$1204,Sales!$F$5:$F$1204,C38,Sales!$R$5:$R$1204,B38,Sales!$H$5:$H$1204,"Service"),2))</f>
        <v>0</v>
      </c>
      <c r="L38" s="26">
        <f>IF(B38="","",ROUND(SUMIFS(Sales!$W$5:$W$1204,Sales!$F$5:$F$1204,C38,Sales!$R$5:$R$1204,B38,Sales!$H$5:$H$1204,"Service"),2))</f>
        <v>0</v>
      </c>
      <c r="M38" s="26">
        <f>IF(B38="","",ROUND(SUMIFS(Sales!$Y$5:$Y$1204,Sales!$F$5:$F$1204,C38,Sales!$R$5:$R$1204,B38,Sales!$H$5:$H$1204,"Retail"),2))</f>
        <v>0</v>
      </c>
      <c r="N38" s="26">
        <f>IF(B38="","",ROUND(SUMIFS(Sales!$W$5:$W$1204,Sales!$F$5:$F$1204,C38,Sales!$R$5:$R$1204,B38,Sales!$H$5:$H$1204,"Retail"),2))</f>
        <v>0</v>
      </c>
      <c r="O38" s="26">
        <f>IF(B38="","",ROUND(SUMIFS(Sales!$AB$5:$AB$1204,Sales!$F$5:$F$1204,C38,Sales!$R$5:$R$1204,B38,Sales!$H$5:$H$1204,"Service"),2))</f>
        <v>0</v>
      </c>
      <c r="P38" s="25">
        <f>IF(B38="","",COUNTIFS(Sales!$F$5:$F$1204,C38,Sales!$R$5:$R$1204,B38,Sales!$H$5:$H$1204,"Service"))</f>
        <v>0</v>
      </c>
      <c r="Q38" s="26">
        <f>IF(B38="","",IF(CommissionOn="Gross before discounts",L38,K38))</f>
        <v>0</v>
      </c>
      <c r="R38" s="26">
        <f>IF(B38="","",IF(CommissionOn="Gross before discounts",N38,M38))</f>
        <v>0</v>
      </c>
      <c r="S38" s="27">
        <f>IF(B38="","",IF(E38="Tiered on monthly service revenue",IFERROR(INDEX(TierRate,MATCH(Q38,TierFrom,1)),0),IFERROR(IF(INDEX(Staff!$M$5:$M$44,MATCH(C38,Staff!$A$5:$A$44,0))="",ServiceCommission,INDEX(Staff!$M$5:$M$44,MATCH(C38,Staff!$A$5:$A$44,0))),ServiceCommission)))</f>
        <v>0</v>
      </c>
      <c r="T38" s="27">
        <f>IF(B38="","",IFERROR(IF(INDEX(Staff!$N$5:$N$44,MATCH(C38,Staff!$A$5:$A$44,0))="",RetailCommission,INDEX(Staff!$N$5:$N$44,MATCH(C38,Staff!$A$5:$A$44,0))),RetailCommission))</f>
        <v>0</v>
      </c>
      <c r="U38" s="26">
        <f>IF(B38="","",IFERROR(INDEX(Staff!$O$5:$O$44,MATCH(C38,Staff!$A$5:$A$44,0))*1,0))</f>
        <v>0</v>
      </c>
      <c r="V38" s="26">
        <f>IF(B38="","",ROUND(IF(E38="Percent of service",Q38*S38,IF(E38="Percent of service and retail",Q38*S38+R38*T38,IF(E38="Percent after product cost",MAX(0,Q38-O38)*S38,IF(E38="Tiered on monthly service revenue",Q38*S38,IF(E38="Flat amount per service",P38*U38,0))))),2))</f>
        <v>0</v>
      </c>
      <c r="W38" s="26">
        <f>IF(B38="","",ROUND(SUMIFS(Payments!$G$5:$G$1204,Payments!$J$5:$J$1204,C38,Payments!$O$5:$O$1204,B38,Payments!$E$5:$E$1204,"Tip"),2))</f>
        <v>0</v>
      </c>
      <c r="X38" s="26">
        <f>IF(B38="","",ROUND(V38+IF(F38="",0,F38)+IF(G38="",0,G38),2))</f>
        <v>0</v>
      </c>
      <c r="Y38" s="27">
        <f>IF(B38="","",IF(Q38+R38=0,"",X38/(Q38+R38)))</f>
        <v>0</v>
      </c>
      <c r="Z38" s="25">
        <f>IF(B38="","",COUNTIFS($V$5:$V$244,"&gt;"&amp;V38)+COUNTIFS($V$5:V38,V38))</f>
        <v>0</v>
      </c>
      <c r="AA38" s="39">
        <f>IF(B38="","",IF(C38="","Add - whose commission is this?",IF(COUNTIFS($B$5:$B$244,B38,$C$5:$C$244,C38)&gt;1,"Duplicate - two rows for the same month",IF(E38="None","",IF(E38="Rent a chair","",IF(E38="Hourly only","",IF(X38=0,"Check - nothing calculated",IF(H38&lt;&gt;"Yes","Due - waiting for approval",IF(I38="","Due - approved but not paid","OK")))))))))</f>
        <v>0</v>
      </c>
    </row>
    <row r="39" spans="1:27">
      <c r="A39" s="28">
        <f>IF(B39="","",CommissionPrefix&amp;TEXT(ROW()-4,"0000"))</f>
        <v>0</v>
      </c>
      <c r="D39" s="15">
        <f>IF(C39="","",IFERROR(INDEX(Staff!$B$5:$B$44,MATCH(C39,Staff!$A$5:$A$44,0)),"Not in Staff"))</f>
        <v>0</v>
      </c>
      <c r="E39" s="15">
        <f>IF(C39="","",IFERROR(INDEX(Staff!$L$5:$L$44,MATCH(C39,Staff!$A$5:$A$44,0)),"None"))</f>
        <v>0</v>
      </c>
      <c r="K39" s="26">
        <f>IF(B39="","",ROUND(SUMIFS(Sales!$Y$5:$Y$1204,Sales!$F$5:$F$1204,C39,Sales!$R$5:$R$1204,B39,Sales!$H$5:$H$1204,"Service"),2))</f>
        <v>0</v>
      </c>
      <c r="L39" s="26">
        <f>IF(B39="","",ROUND(SUMIFS(Sales!$W$5:$W$1204,Sales!$F$5:$F$1204,C39,Sales!$R$5:$R$1204,B39,Sales!$H$5:$H$1204,"Service"),2))</f>
        <v>0</v>
      </c>
      <c r="M39" s="26">
        <f>IF(B39="","",ROUND(SUMIFS(Sales!$Y$5:$Y$1204,Sales!$F$5:$F$1204,C39,Sales!$R$5:$R$1204,B39,Sales!$H$5:$H$1204,"Retail"),2))</f>
        <v>0</v>
      </c>
      <c r="N39" s="26">
        <f>IF(B39="","",ROUND(SUMIFS(Sales!$W$5:$W$1204,Sales!$F$5:$F$1204,C39,Sales!$R$5:$R$1204,B39,Sales!$H$5:$H$1204,"Retail"),2))</f>
        <v>0</v>
      </c>
      <c r="O39" s="26">
        <f>IF(B39="","",ROUND(SUMIFS(Sales!$AB$5:$AB$1204,Sales!$F$5:$F$1204,C39,Sales!$R$5:$R$1204,B39,Sales!$H$5:$H$1204,"Service"),2))</f>
        <v>0</v>
      </c>
      <c r="P39" s="25">
        <f>IF(B39="","",COUNTIFS(Sales!$F$5:$F$1204,C39,Sales!$R$5:$R$1204,B39,Sales!$H$5:$H$1204,"Service"))</f>
        <v>0</v>
      </c>
      <c r="Q39" s="26">
        <f>IF(B39="","",IF(CommissionOn="Gross before discounts",L39,K39))</f>
        <v>0</v>
      </c>
      <c r="R39" s="26">
        <f>IF(B39="","",IF(CommissionOn="Gross before discounts",N39,M39))</f>
        <v>0</v>
      </c>
      <c r="S39" s="27">
        <f>IF(B39="","",IF(E39="Tiered on monthly service revenue",IFERROR(INDEX(TierRate,MATCH(Q39,TierFrom,1)),0),IFERROR(IF(INDEX(Staff!$M$5:$M$44,MATCH(C39,Staff!$A$5:$A$44,0))="",ServiceCommission,INDEX(Staff!$M$5:$M$44,MATCH(C39,Staff!$A$5:$A$44,0))),ServiceCommission)))</f>
        <v>0</v>
      </c>
      <c r="T39" s="27">
        <f>IF(B39="","",IFERROR(IF(INDEX(Staff!$N$5:$N$44,MATCH(C39,Staff!$A$5:$A$44,0))="",RetailCommission,INDEX(Staff!$N$5:$N$44,MATCH(C39,Staff!$A$5:$A$44,0))),RetailCommission))</f>
        <v>0</v>
      </c>
      <c r="U39" s="26">
        <f>IF(B39="","",IFERROR(INDEX(Staff!$O$5:$O$44,MATCH(C39,Staff!$A$5:$A$44,0))*1,0))</f>
        <v>0</v>
      </c>
      <c r="V39" s="26">
        <f>IF(B39="","",ROUND(IF(E39="Percent of service",Q39*S39,IF(E39="Percent of service and retail",Q39*S39+R39*T39,IF(E39="Percent after product cost",MAX(0,Q39-O39)*S39,IF(E39="Tiered on monthly service revenue",Q39*S39,IF(E39="Flat amount per service",P39*U39,0))))),2))</f>
        <v>0</v>
      </c>
      <c r="W39" s="26">
        <f>IF(B39="","",ROUND(SUMIFS(Payments!$G$5:$G$1204,Payments!$J$5:$J$1204,C39,Payments!$O$5:$O$1204,B39,Payments!$E$5:$E$1204,"Tip"),2))</f>
        <v>0</v>
      </c>
      <c r="X39" s="26">
        <f>IF(B39="","",ROUND(V39+IF(F39="",0,F39)+IF(G39="",0,G39),2))</f>
        <v>0</v>
      </c>
      <c r="Y39" s="27">
        <f>IF(B39="","",IF(Q39+R39=0,"",X39/(Q39+R39)))</f>
        <v>0</v>
      </c>
      <c r="Z39" s="25">
        <f>IF(B39="","",COUNTIFS($V$5:$V$244,"&gt;"&amp;V39)+COUNTIFS($V$5:V39,V39))</f>
        <v>0</v>
      </c>
      <c r="AA39" s="39">
        <f>IF(B39="","",IF(C39="","Add - whose commission is this?",IF(COUNTIFS($B$5:$B$244,B39,$C$5:$C$244,C39)&gt;1,"Duplicate - two rows for the same month",IF(E39="None","",IF(E39="Rent a chair","",IF(E39="Hourly only","",IF(X39=0,"Check - nothing calculated",IF(H39&lt;&gt;"Yes","Due - waiting for approval",IF(I39="","Due - approved but not paid","OK")))))))))</f>
        <v>0</v>
      </c>
    </row>
    <row r="40" spans="1:27">
      <c r="A40" s="28">
        <f>IF(B40="","",CommissionPrefix&amp;TEXT(ROW()-4,"0000"))</f>
        <v>0</v>
      </c>
      <c r="D40" s="15">
        <f>IF(C40="","",IFERROR(INDEX(Staff!$B$5:$B$44,MATCH(C40,Staff!$A$5:$A$44,0)),"Not in Staff"))</f>
        <v>0</v>
      </c>
      <c r="E40" s="15">
        <f>IF(C40="","",IFERROR(INDEX(Staff!$L$5:$L$44,MATCH(C40,Staff!$A$5:$A$44,0)),"None"))</f>
        <v>0</v>
      </c>
      <c r="K40" s="26">
        <f>IF(B40="","",ROUND(SUMIFS(Sales!$Y$5:$Y$1204,Sales!$F$5:$F$1204,C40,Sales!$R$5:$R$1204,B40,Sales!$H$5:$H$1204,"Service"),2))</f>
        <v>0</v>
      </c>
      <c r="L40" s="26">
        <f>IF(B40="","",ROUND(SUMIFS(Sales!$W$5:$W$1204,Sales!$F$5:$F$1204,C40,Sales!$R$5:$R$1204,B40,Sales!$H$5:$H$1204,"Service"),2))</f>
        <v>0</v>
      </c>
      <c r="M40" s="26">
        <f>IF(B40="","",ROUND(SUMIFS(Sales!$Y$5:$Y$1204,Sales!$F$5:$F$1204,C40,Sales!$R$5:$R$1204,B40,Sales!$H$5:$H$1204,"Retail"),2))</f>
        <v>0</v>
      </c>
      <c r="N40" s="26">
        <f>IF(B40="","",ROUND(SUMIFS(Sales!$W$5:$W$1204,Sales!$F$5:$F$1204,C40,Sales!$R$5:$R$1204,B40,Sales!$H$5:$H$1204,"Retail"),2))</f>
        <v>0</v>
      </c>
      <c r="O40" s="26">
        <f>IF(B40="","",ROUND(SUMIFS(Sales!$AB$5:$AB$1204,Sales!$F$5:$F$1204,C40,Sales!$R$5:$R$1204,B40,Sales!$H$5:$H$1204,"Service"),2))</f>
        <v>0</v>
      </c>
      <c r="P40" s="25">
        <f>IF(B40="","",COUNTIFS(Sales!$F$5:$F$1204,C40,Sales!$R$5:$R$1204,B40,Sales!$H$5:$H$1204,"Service"))</f>
        <v>0</v>
      </c>
      <c r="Q40" s="26">
        <f>IF(B40="","",IF(CommissionOn="Gross before discounts",L40,K40))</f>
        <v>0</v>
      </c>
      <c r="R40" s="26">
        <f>IF(B40="","",IF(CommissionOn="Gross before discounts",N40,M40))</f>
        <v>0</v>
      </c>
      <c r="S40" s="27">
        <f>IF(B40="","",IF(E40="Tiered on monthly service revenue",IFERROR(INDEX(TierRate,MATCH(Q40,TierFrom,1)),0),IFERROR(IF(INDEX(Staff!$M$5:$M$44,MATCH(C40,Staff!$A$5:$A$44,0))="",ServiceCommission,INDEX(Staff!$M$5:$M$44,MATCH(C40,Staff!$A$5:$A$44,0))),ServiceCommission)))</f>
        <v>0</v>
      </c>
      <c r="T40" s="27">
        <f>IF(B40="","",IFERROR(IF(INDEX(Staff!$N$5:$N$44,MATCH(C40,Staff!$A$5:$A$44,0))="",RetailCommission,INDEX(Staff!$N$5:$N$44,MATCH(C40,Staff!$A$5:$A$44,0))),RetailCommission))</f>
        <v>0</v>
      </c>
      <c r="U40" s="26">
        <f>IF(B40="","",IFERROR(INDEX(Staff!$O$5:$O$44,MATCH(C40,Staff!$A$5:$A$44,0))*1,0))</f>
        <v>0</v>
      </c>
      <c r="V40" s="26">
        <f>IF(B40="","",ROUND(IF(E40="Percent of service",Q40*S40,IF(E40="Percent of service and retail",Q40*S40+R40*T40,IF(E40="Percent after product cost",MAX(0,Q40-O40)*S40,IF(E40="Tiered on monthly service revenue",Q40*S40,IF(E40="Flat amount per service",P40*U40,0))))),2))</f>
        <v>0</v>
      </c>
      <c r="W40" s="26">
        <f>IF(B40="","",ROUND(SUMIFS(Payments!$G$5:$G$1204,Payments!$J$5:$J$1204,C40,Payments!$O$5:$O$1204,B40,Payments!$E$5:$E$1204,"Tip"),2))</f>
        <v>0</v>
      </c>
      <c r="X40" s="26">
        <f>IF(B40="","",ROUND(V40+IF(F40="",0,F40)+IF(G40="",0,G40),2))</f>
        <v>0</v>
      </c>
      <c r="Y40" s="27">
        <f>IF(B40="","",IF(Q40+R40=0,"",X40/(Q40+R40)))</f>
        <v>0</v>
      </c>
      <c r="Z40" s="25">
        <f>IF(B40="","",COUNTIFS($V$5:$V$244,"&gt;"&amp;V40)+COUNTIFS($V$5:V40,V40))</f>
        <v>0</v>
      </c>
      <c r="AA40" s="39">
        <f>IF(B40="","",IF(C40="","Add - whose commission is this?",IF(COUNTIFS($B$5:$B$244,B40,$C$5:$C$244,C40)&gt;1,"Duplicate - two rows for the same month",IF(E40="None","",IF(E40="Rent a chair","",IF(E40="Hourly only","",IF(X40=0,"Check - nothing calculated",IF(H40&lt;&gt;"Yes","Due - waiting for approval",IF(I40="","Due - approved but not paid","OK")))))))))</f>
        <v>0</v>
      </c>
    </row>
    <row r="41" spans="1:27">
      <c r="A41" s="28">
        <f>IF(B41="","",CommissionPrefix&amp;TEXT(ROW()-4,"0000"))</f>
        <v>0</v>
      </c>
      <c r="D41" s="15">
        <f>IF(C41="","",IFERROR(INDEX(Staff!$B$5:$B$44,MATCH(C41,Staff!$A$5:$A$44,0)),"Not in Staff"))</f>
        <v>0</v>
      </c>
      <c r="E41" s="15">
        <f>IF(C41="","",IFERROR(INDEX(Staff!$L$5:$L$44,MATCH(C41,Staff!$A$5:$A$44,0)),"None"))</f>
        <v>0</v>
      </c>
      <c r="K41" s="26">
        <f>IF(B41="","",ROUND(SUMIFS(Sales!$Y$5:$Y$1204,Sales!$F$5:$F$1204,C41,Sales!$R$5:$R$1204,B41,Sales!$H$5:$H$1204,"Service"),2))</f>
        <v>0</v>
      </c>
      <c r="L41" s="26">
        <f>IF(B41="","",ROUND(SUMIFS(Sales!$W$5:$W$1204,Sales!$F$5:$F$1204,C41,Sales!$R$5:$R$1204,B41,Sales!$H$5:$H$1204,"Service"),2))</f>
        <v>0</v>
      </c>
      <c r="M41" s="26">
        <f>IF(B41="","",ROUND(SUMIFS(Sales!$Y$5:$Y$1204,Sales!$F$5:$F$1204,C41,Sales!$R$5:$R$1204,B41,Sales!$H$5:$H$1204,"Retail"),2))</f>
        <v>0</v>
      </c>
      <c r="N41" s="26">
        <f>IF(B41="","",ROUND(SUMIFS(Sales!$W$5:$W$1204,Sales!$F$5:$F$1204,C41,Sales!$R$5:$R$1204,B41,Sales!$H$5:$H$1204,"Retail"),2))</f>
        <v>0</v>
      </c>
      <c r="O41" s="26">
        <f>IF(B41="","",ROUND(SUMIFS(Sales!$AB$5:$AB$1204,Sales!$F$5:$F$1204,C41,Sales!$R$5:$R$1204,B41,Sales!$H$5:$H$1204,"Service"),2))</f>
        <v>0</v>
      </c>
      <c r="P41" s="25">
        <f>IF(B41="","",COUNTIFS(Sales!$F$5:$F$1204,C41,Sales!$R$5:$R$1204,B41,Sales!$H$5:$H$1204,"Service"))</f>
        <v>0</v>
      </c>
      <c r="Q41" s="26">
        <f>IF(B41="","",IF(CommissionOn="Gross before discounts",L41,K41))</f>
        <v>0</v>
      </c>
      <c r="R41" s="26">
        <f>IF(B41="","",IF(CommissionOn="Gross before discounts",N41,M41))</f>
        <v>0</v>
      </c>
      <c r="S41" s="27">
        <f>IF(B41="","",IF(E41="Tiered on monthly service revenue",IFERROR(INDEX(TierRate,MATCH(Q41,TierFrom,1)),0),IFERROR(IF(INDEX(Staff!$M$5:$M$44,MATCH(C41,Staff!$A$5:$A$44,0))="",ServiceCommission,INDEX(Staff!$M$5:$M$44,MATCH(C41,Staff!$A$5:$A$44,0))),ServiceCommission)))</f>
        <v>0</v>
      </c>
      <c r="T41" s="27">
        <f>IF(B41="","",IFERROR(IF(INDEX(Staff!$N$5:$N$44,MATCH(C41,Staff!$A$5:$A$44,0))="",RetailCommission,INDEX(Staff!$N$5:$N$44,MATCH(C41,Staff!$A$5:$A$44,0))),RetailCommission))</f>
        <v>0</v>
      </c>
      <c r="U41" s="26">
        <f>IF(B41="","",IFERROR(INDEX(Staff!$O$5:$O$44,MATCH(C41,Staff!$A$5:$A$44,0))*1,0))</f>
        <v>0</v>
      </c>
      <c r="V41" s="26">
        <f>IF(B41="","",ROUND(IF(E41="Percent of service",Q41*S41,IF(E41="Percent of service and retail",Q41*S41+R41*T41,IF(E41="Percent after product cost",MAX(0,Q41-O41)*S41,IF(E41="Tiered on monthly service revenue",Q41*S41,IF(E41="Flat amount per service",P41*U41,0))))),2))</f>
        <v>0</v>
      </c>
      <c r="W41" s="26">
        <f>IF(B41="","",ROUND(SUMIFS(Payments!$G$5:$G$1204,Payments!$J$5:$J$1204,C41,Payments!$O$5:$O$1204,B41,Payments!$E$5:$E$1204,"Tip"),2))</f>
        <v>0</v>
      </c>
      <c r="X41" s="26">
        <f>IF(B41="","",ROUND(V41+IF(F41="",0,F41)+IF(G41="",0,G41),2))</f>
        <v>0</v>
      </c>
      <c r="Y41" s="27">
        <f>IF(B41="","",IF(Q41+R41=0,"",X41/(Q41+R41)))</f>
        <v>0</v>
      </c>
      <c r="Z41" s="25">
        <f>IF(B41="","",COUNTIFS($V$5:$V$244,"&gt;"&amp;V41)+COUNTIFS($V$5:V41,V41))</f>
        <v>0</v>
      </c>
      <c r="AA41" s="39">
        <f>IF(B41="","",IF(C41="","Add - whose commission is this?",IF(COUNTIFS($B$5:$B$244,B41,$C$5:$C$244,C41)&gt;1,"Duplicate - two rows for the same month",IF(E41="None","",IF(E41="Rent a chair","",IF(E41="Hourly only","",IF(X41=0,"Check - nothing calculated",IF(H41&lt;&gt;"Yes","Due - waiting for approval",IF(I41="","Due - approved but not paid","OK")))))))))</f>
        <v>0</v>
      </c>
    </row>
    <row r="42" spans="1:27">
      <c r="A42" s="28">
        <f>IF(B42="","",CommissionPrefix&amp;TEXT(ROW()-4,"0000"))</f>
        <v>0</v>
      </c>
      <c r="D42" s="15">
        <f>IF(C42="","",IFERROR(INDEX(Staff!$B$5:$B$44,MATCH(C42,Staff!$A$5:$A$44,0)),"Not in Staff"))</f>
        <v>0</v>
      </c>
      <c r="E42" s="15">
        <f>IF(C42="","",IFERROR(INDEX(Staff!$L$5:$L$44,MATCH(C42,Staff!$A$5:$A$44,0)),"None"))</f>
        <v>0</v>
      </c>
      <c r="K42" s="26">
        <f>IF(B42="","",ROUND(SUMIFS(Sales!$Y$5:$Y$1204,Sales!$F$5:$F$1204,C42,Sales!$R$5:$R$1204,B42,Sales!$H$5:$H$1204,"Service"),2))</f>
        <v>0</v>
      </c>
      <c r="L42" s="26">
        <f>IF(B42="","",ROUND(SUMIFS(Sales!$W$5:$W$1204,Sales!$F$5:$F$1204,C42,Sales!$R$5:$R$1204,B42,Sales!$H$5:$H$1204,"Service"),2))</f>
        <v>0</v>
      </c>
      <c r="M42" s="26">
        <f>IF(B42="","",ROUND(SUMIFS(Sales!$Y$5:$Y$1204,Sales!$F$5:$F$1204,C42,Sales!$R$5:$R$1204,B42,Sales!$H$5:$H$1204,"Retail"),2))</f>
        <v>0</v>
      </c>
      <c r="N42" s="26">
        <f>IF(B42="","",ROUND(SUMIFS(Sales!$W$5:$W$1204,Sales!$F$5:$F$1204,C42,Sales!$R$5:$R$1204,B42,Sales!$H$5:$H$1204,"Retail"),2))</f>
        <v>0</v>
      </c>
      <c r="O42" s="26">
        <f>IF(B42="","",ROUND(SUMIFS(Sales!$AB$5:$AB$1204,Sales!$F$5:$F$1204,C42,Sales!$R$5:$R$1204,B42,Sales!$H$5:$H$1204,"Service"),2))</f>
        <v>0</v>
      </c>
      <c r="P42" s="25">
        <f>IF(B42="","",COUNTIFS(Sales!$F$5:$F$1204,C42,Sales!$R$5:$R$1204,B42,Sales!$H$5:$H$1204,"Service"))</f>
        <v>0</v>
      </c>
      <c r="Q42" s="26">
        <f>IF(B42="","",IF(CommissionOn="Gross before discounts",L42,K42))</f>
        <v>0</v>
      </c>
      <c r="R42" s="26">
        <f>IF(B42="","",IF(CommissionOn="Gross before discounts",N42,M42))</f>
        <v>0</v>
      </c>
      <c r="S42" s="27">
        <f>IF(B42="","",IF(E42="Tiered on monthly service revenue",IFERROR(INDEX(TierRate,MATCH(Q42,TierFrom,1)),0),IFERROR(IF(INDEX(Staff!$M$5:$M$44,MATCH(C42,Staff!$A$5:$A$44,0))="",ServiceCommission,INDEX(Staff!$M$5:$M$44,MATCH(C42,Staff!$A$5:$A$44,0))),ServiceCommission)))</f>
        <v>0</v>
      </c>
      <c r="T42" s="27">
        <f>IF(B42="","",IFERROR(IF(INDEX(Staff!$N$5:$N$44,MATCH(C42,Staff!$A$5:$A$44,0))="",RetailCommission,INDEX(Staff!$N$5:$N$44,MATCH(C42,Staff!$A$5:$A$44,0))),RetailCommission))</f>
        <v>0</v>
      </c>
      <c r="U42" s="26">
        <f>IF(B42="","",IFERROR(INDEX(Staff!$O$5:$O$44,MATCH(C42,Staff!$A$5:$A$44,0))*1,0))</f>
        <v>0</v>
      </c>
      <c r="V42" s="26">
        <f>IF(B42="","",ROUND(IF(E42="Percent of service",Q42*S42,IF(E42="Percent of service and retail",Q42*S42+R42*T42,IF(E42="Percent after product cost",MAX(0,Q42-O42)*S42,IF(E42="Tiered on monthly service revenue",Q42*S42,IF(E42="Flat amount per service",P42*U42,0))))),2))</f>
        <v>0</v>
      </c>
      <c r="W42" s="26">
        <f>IF(B42="","",ROUND(SUMIFS(Payments!$G$5:$G$1204,Payments!$J$5:$J$1204,C42,Payments!$O$5:$O$1204,B42,Payments!$E$5:$E$1204,"Tip"),2))</f>
        <v>0</v>
      </c>
      <c r="X42" s="26">
        <f>IF(B42="","",ROUND(V42+IF(F42="",0,F42)+IF(G42="",0,G42),2))</f>
        <v>0</v>
      </c>
      <c r="Y42" s="27">
        <f>IF(B42="","",IF(Q42+R42=0,"",X42/(Q42+R42)))</f>
        <v>0</v>
      </c>
      <c r="Z42" s="25">
        <f>IF(B42="","",COUNTIFS($V$5:$V$244,"&gt;"&amp;V42)+COUNTIFS($V$5:V42,V42))</f>
        <v>0</v>
      </c>
      <c r="AA42" s="39">
        <f>IF(B42="","",IF(C42="","Add - whose commission is this?",IF(COUNTIFS($B$5:$B$244,B42,$C$5:$C$244,C42)&gt;1,"Duplicate - two rows for the same month",IF(E42="None","",IF(E42="Rent a chair","",IF(E42="Hourly only","",IF(X42=0,"Check - nothing calculated",IF(H42&lt;&gt;"Yes","Due - waiting for approval",IF(I42="","Due - approved but not paid","OK")))))))))</f>
        <v>0</v>
      </c>
    </row>
    <row r="43" spans="1:27">
      <c r="A43" s="28">
        <f>IF(B43="","",CommissionPrefix&amp;TEXT(ROW()-4,"0000"))</f>
        <v>0</v>
      </c>
      <c r="D43" s="15">
        <f>IF(C43="","",IFERROR(INDEX(Staff!$B$5:$B$44,MATCH(C43,Staff!$A$5:$A$44,0)),"Not in Staff"))</f>
        <v>0</v>
      </c>
      <c r="E43" s="15">
        <f>IF(C43="","",IFERROR(INDEX(Staff!$L$5:$L$44,MATCH(C43,Staff!$A$5:$A$44,0)),"None"))</f>
        <v>0</v>
      </c>
      <c r="K43" s="26">
        <f>IF(B43="","",ROUND(SUMIFS(Sales!$Y$5:$Y$1204,Sales!$F$5:$F$1204,C43,Sales!$R$5:$R$1204,B43,Sales!$H$5:$H$1204,"Service"),2))</f>
        <v>0</v>
      </c>
      <c r="L43" s="26">
        <f>IF(B43="","",ROUND(SUMIFS(Sales!$W$5:$W$1204,Sales!$F$5:$F$1204,C43,Sales!$R$5:$R$1204,B43,Sales!$H$5:$H$1204,"Service"),2))</f>
        <v>0</v>
      </c>
      <c r="M43" s="26">
        <f>IF(B43="","",ROUND(SUMIFS(Sales!$Y$5:$Y$1204,Sales!$F$5:$F$1204,C43,Sales!$R$5:$R$1204,B43,Sales!$H$5:$H$1204,"Retail"),2))</f>
        <v>0</v>
      </c>
      <c r="N43" s="26">
        <f>IF(B43="","",ROUND(SUMIFS(Sales!$W$5:$W$1204,Sales!$F$5:$F$1204,C43,Sales!$R$5:$R$1204,B43,Sales!$H$5:$H$1204,"Retail"),2))</f>
        <v>0</v>
      </c>
      <c r="O43" s="26">
        <f>IF(B43="","",ROUND(SUMIFS(Sales!$AB$5:$AB$1204,Sales!$F$5:$F$1204,C43,Sales!$R$5:$R$1204,B43,Sales!$H$5:$H$1204,"Service"),2))</f>
        <v>0</v>
      </c>
      <c r="P43" s="25">
        <f>IF(B43="","",COUNTIFS(Sales!$F$5:$F$1204,C43,Sales!$R$5:$R$1204,B43,Sales!$H$5:$H$1204,"Service"))</f>
        <v>0</v>
      </c>
      <c r="Q43" s="26">
        <f>IF(B43="","",IF(CommissionOn="Gross before discounts",L43,K43))</f>
        <v>0</v>
      </c>
      <c r="R43" s="26">
        <f>IF(B43="","",IF(CommissionOn="Gross before discounts",N43,M43))</f>
        <v>0</v>
      </c>
      <c r="S43" s="27">
        <f>IF(B43="","",IF(E43="Tiered on monthly service revenue",IFERROR(INDEX(TierRate,MATCH(Q43,TierFrom,1)),0),IFERROR(IF(INDEX(Staff!$M$5:$M$44,MATCH(C43,Staff!$A$5:$A$44,0))="",ServiceCommission,INDEX(Staff!$M$5:$M$44,MATCH(C43,Staff!$A$5:$A$44,0))),ServiceCommission)))</f>
        <v>0</v>
      </c>
      <c r="T43" s="27">
        <f>IF(B43="","",IFERROR(IF(INDEX(Staff!$N$5:$N$44,MATCH(C43,Staff!$A$5:$A$44,0))="",RetailCommission,INDEX(Staff!$N$5:$N$44,MATCH(C43,Staff!$A$5:$A$44,0))),RetailCommission))</f>
        <v>0</v>
      </c>
      <c r="U43" s="26">
        <f>IF(B43="","",IFERROR(INDEX(Staff!$O$5:$O$44,MATCH(C43,Staff!$A$5:$A$44,0))*1,0))</f>
        <v>0</v>
      </c>
      <c r="V43" s="26">
        <f>IF(B43="","",ROUND(IF(E43="Percent of service",Q43*S43,IF(E43="Percent of service and retail",Q43*S43+R43*T43,IF(E43="Percent after product cost",MAX(0,Q43-O43)*S43,IF(E43="Tiered on monthly service revenue",Q43*S43,IF(E43="Flat amount per service",P43*U43,0))))),2))</f>
        <v>0</v>
      </c>
      <c r="W43" s="26">
        <f>IF(B43="","",ROUND(SUMIFS(Payments!$G$5:$G$1204,Payments!$J$5:$J$1204,C43,Payments!$O$5:$O$1204,B43,Payments!$E$5:$E$1204,"Tip"),2))</f>
        <v>0</v>
      </c>
      <c r="X43" s="26">
        <f>IF(B43="","",ROUND(V43+IF(F43="",0,F43)+IF(G43="",0,G43),2))</f>
        <v>0</v>
      </c>
      <c r="Y43" s="27">
        <f>IF(B43="","",IF(Q43+R43=0,"",X43/(Q43+R43)))</f>
        <v>0</v>
      </c>
      <c r="Z43" s="25">
        <f>IF(B43="","",COUNTIFS($V$5:$V$244,"&gt;"&amp;V43)+COUNTIFS($V$5:V43,V43))</f>
        <v>0</v>
      </c>
      <c r="AA43" s="39">
        <f>IF(B43="","",IF(C43="","Add - whose commission is this?",IF(COUNTIFS($B$5:$B$244,B43,$C$5:$C$244,C43)&gt;1,"Duplicate - two rows for the same month",IF(E43="None","",IF(E43="Rent a chair","",IF(E43="Hourly only","",IF(X43=0,"Check - nothing calculated",IF(H43&lt;&gt;"Yes","Due - waiting for approval",IF(I43="","Due - approved but not paid","OK")))))))))</f>
        <v>0</v>
      </c>
    </row>
    <row r="44" spans="1:27">
      <c r="A44" s="28">
        <f>IF(B44="","",CommissionPrefix&amp;TEXT(ROW()-4,"0000"))</f>
        <v>0</v>
      </c>
      <c r="D44" s="15">
        <f>IF(C44="","",IFERROR(INDEX(Staff!$B$5:$B$44,MATCH(C44,Staff!$A$5:$A$44,0)),"Not in Staff"))</f>
        <v>0</v>
      </c>
      <c r="E44" s="15">
        <f>IF(C44="","",IFERROR(INDEX(Staff!$L$5:$L$44,MATCH(C44,Staff!$A$5:$A$44,0)),"None"))</f>
        <v>0</v>
      </c>
      <c r="K44" s="26">
        <f>IF(B44="","",ROUND(SUMIFS(Sales!$Y$5:$Y$1204,Sales!$F$5:$F$1204,C44,Sales!$R$5:$R$1204,B44,Sales!$H$5:$H$1204,"Service"),2))</f>
        <v>0</v>
      </c>
      <c r="L44" s="26">
        <f>IF(B44="","",ROUND(SUMIFS(Sales!$W$5:$W$1204,Sales!$F$5:$F$1204,C44,Sales!$R$5:$R$1204,B44,Sales!$H$5:$H$1204,"Service"),2))</f>
        <v>0</v>
      </c>
      <c r="M44" s="26">
        <f>IF(B44="","",ROUND(SUMIFS(Sales!$Y$5:$Y$1204,Sales!$F$5:$F$1204,C44,Sales!$R$5:$R$1204,B44,Sales!$H$5:$H$1204,"Retail"),2))</f>
        <v>0</v>
      </c>
      <c r="N44" s="26">
        <f>IF(B44="","",ROUND(SUMIFS(Sales!$W$5:$W$1204,Sales!$F$5:$F$1204,C44,Sales!$R$5:$R$1204,B44,Sales!$H$5:$H$1204,"Retail"),2))</f>
        <v>0</v>
      </c>
      <c r="O44" s="26">
        <f>IF(B44="","",ROUND(SUMIFS(Sales!$AB$5:$AB$1204,Sales!$F$5:$F$1204,C44,Sales!$R$5:$R$1204,B44,Sales!$H$5:$H$1204,"Service"),2))</f>
        <v>0</v>
      </c>
      <c r="P44" s="25">
        <f>IF(B44="","",COUNTIFS(Sales!$F$5:$F$1204,C44,Sales!$R$5:$R$1204,B44,Sales!$H$5:$H$1204,"Service"))</f>
        <v>0</v>
      </c>
      <c r="Q44" s="26">
        <f>IF(B44="","",IF(CommissionOn="Gross before discounts",L44,K44))</f>
        <v>0</v>
      </c>
      <c r="R44" s="26">
        <f>IF(B44="","",IF(CommissionOn="Gross before discounts",N44,M44))</f>
        <v>0</v>
      </c>
      <c r="S44" s="27">
        <f>IF(B44="","",IF(E44="Tiered on monthly service revenue",IFERROR(INDEX(TierRate,MATCH(Q44,TierFrom,1)),0),IFERROR(IF(INDEX(Staff!$M$5:$M$44,MATCH(C44,Staff!$A$5:$A$44,0))="",ServiceCommission,INDEX(Staff!$M$5:$M$44,MATCH(C44,Staff!$A$5:$A$44,0))),ServiceCommission)))</f>
        <v>0</v>
      </c>
      <c r="T44" s="27">
        <f>IF(B44="","",IFERROR(IF(INDEX(Staff!$N$5:$N$44,MATCH(C44,Staff!$A$5:$A$44,0))="",RetailCommission,INDEX(Staff!$N$5:$N$44,MATCH(C44,Staff!$A$5:$A$44,0))),RetailCommission))</f>
        <v>0</v>
      </c>
      <c r="U44" s="26">
        <f>IF(B44="","",IFERROR(INDEX(Staff!$O$5:$O$44,MATCH(C44,Staff!$A$5:$A$44,0))*1,0))</f>
        <v>0</v>
      </c>
      <c r="V44" s="26">
        <f>IF(B44="","",ROUND(IF(E44="Percent of service",Q44*S44,IF(E44="Percent of service and retail",Q44*S44+R44*T44,IF(E44="Percent after product cost",MAX(0,Q44-O44)*S44,IF(E44="Tiered on monthly service revenue",Q44*S44,IF(E44="Flat amount per service",P44*U44,0))))),2))</f>
        <v>0</v>
      </c>
      <c r="W44" s="26">
        <f>IF(B44="","",ROUND(SUMIFS(Payments!$G$5:$G$1204,Payments!$J$5:$J$1204,C44,Payments!$O$5:$O$1204,B44,Payments!$E$5:$E$1204,"Tip"),2))</f>
        <v>0</v>
      </c>
      <c r="X44" s="26">
        <f>IF(B44="","",ROUND(V44+IF(F44="",0,F44)+IF(G44="",0,G44),2))</f>
        <v>0</v>
      </c>
      <c r="Y44" s="27">
        <f>IF(B44="","",IF(Q44+R44=0,"",X44/(Q44+R44)))</f>
        <v>0</v>
      </c>
      <c r="Z44" s="25">
        <f>IF(B44="","",COUNTIFS($V$5:$V$244,"&gt;"&amp;V44)+COUNTIFS($V$5:V44,V44))</f>
        <v>0</v>
      </c>
      <c r="AA44" s="39">
        <f>IF(B44="","",IF(C44="","Add - whose commission is this?",IF(COUNTIFS($B$5:$B$244,B44,$C$5:$C$244,C44)&gt;1,"Duplicate - two rows for the same month",IF(E44="None","",IF(E44="Rent a chair","",IF(E44="Hourly only","",IF(X44=0,"Check - nothing calculated",IF(H44&lt;&gt;"Yes","Due - waiting for approval",IF(I44="","Due - approved but not paid","OK")))))))))</f>
        <v>0</v>
      </c>
    </row>
    <row r="45" spans="1:27">
      <c r="A45" s="28">
        <f>IF(B45="","",CommissionPrefix&amp;TEXT(ROW()-4,"0000"))</f>
        <v>0</v>
      </c>
      <c r="D45" s="15">
        <f>IF(C45="","",IFERROR(INDEX(Staff!$B$5:$B$44,MATCH(C45,Staff!$A$5:$A$44,0)),"Not in Staff"))</f>
        <v>0</v>
      </c>
      <c r="E45" s="15">
        <f>IF(C45="","",IFERROR(INDEX(Staff!$L$5:$L$44,MATCH(C45,Staff!$A$5:$A$44,0)),"None"))</f>
        <v>0</v>
      </c>
      <c r="K45" s="26">
        <f>IF(B45="","",ROUND(SUMIFS(Sales!$Y$5:$Y$1204,Sales!$F$5:$F$1204,C45,Sales!$R$5:$R$1204,B45,Sales!$H$5:$H$1204,"Service"),2))</f>
        <v>0</v>
      </c>
      <c r="L45" s="26">
        <f>IF(B45="","",ROUND(SUMIFS(Sales!$W$5:$W$1204,Sales!$F$5:$F$1204,C45,Sales!$R$5:$R$1204,B45,Sales!$H$5:$H$1204,"Service"),2))</f>
        <v>0</v>
      </c>
      <c r="M45" s="26">
        <f>IF(B45="","",ROUND(SUMIFS(Sales!$Y$5:$Y$1204,Sales!$F$5:$F$1204,C45,Sales!$R$5:$R$1204,B45,Sales!$H$5:$H$1204,"Retail"),2))</f>
        <v>0</v>
      </c>
      <c r="N45" s="26">
        <f>IF(B45="","",ROUND(SUMIFS(Sales!$W$5:$W$1204,Sales!$F$5:$F$1204,C45,Sales!$R$5:$R$1204,B45,Sales!$H$5:$H$1204,"Retail"),2))</f>
        <v>0</v>
      </c>
      <c r="O45" s="26">
        <f>IF(B45="","",ROUND(SUMIFS(Sales!$AB$5:$AB$1204,Sales!$F$5:$F$1204,C45,Sales!$R$5:$R$1204,B45,Sales!$H$5:$H$1204,"Service"),2))</f>
        <v>0</v>
      </c>
      <c r="P45" s="25">
        <f>IF(B45="","",COUNTIFS(Sales!$F$5:$F$1204,C45,Sales!$R$5:$R$1204,B45,Sales!$H$5:$H$1204,"Service"))</f>
        <v>0</v>
      </c>
      <c r="Q45" s="26">
        <f>IF(B45="","",IF(CommissionOn="Gross before discounts",L45,K45))</f>
        <v>0</v>
      </c>
      <c r="R45" s="26">
        <f>IF(B45="","",IF(CommissionOn="Gross before discounts",N45,M45))</f>
        <v>0</v>
      </c>
      <c r="S45" s="27">
        <f>IF(B45="","",IF(E45="Tiered on monthly service revenue",IFERROR(INDEX(TierRate,MATCH(Q45,TierFrom,1)),0),IFERROR(IF(INDEX(Staff!$M$5:$M$44,MATCH(C45,Staff!$A$5:$A$44,0))="",ServiceCommission,INDEX(Staff!$M$5:$M$44,MATCH(C45,Staff!$A$5:$A$44,0))),ServiceCommission)))</f>
        <v>0</v>
      </c>
      <c r="T45" s="27">
        <f>IF(B45="","",IFERROR(IF(INDEX(Staff!$N$5:$N$44,MATCH(C45,Staff!$A$5:$A$44,0))="",RetailCommission,INDEX(Staff!$N$5:$N$44,MATCH(C45,Staff!$A$5:$A$44,0))),RetailCommission))</f>
        <v>0</v>
      </c>
      <c r="U45" s="26">
        <f>IF(B45="","",IFERROR(INDEX(Staff!$O$5:$O$44,MATCH(C45,Staff!$A$5:$A$44,0))*1,0))</f>
        <v>0</v>
      </c>
      <c r="V45" s="26">
        <f>IF(B45="","",ROUND(IF(E45="Percent of service",Q45*S45,IF(E45="Percent of service and retail",Q45*S45+R45*T45,IF(E45="Percent after product cost",MAX(0,Q45-O45)*S45,IF(E45="Tiered on monthly service revenue",Q45*S45,IF(E45="Flat amount per service",P45*U45,0))))),2))</f>
        <v>0</v>
      </c>
      <c r="W45" s="26">
        <f>IF(B45="","",ROUND(SUMIFS(Payments!$G$5:$G$1204,Payments!$J$5:$J$1204,C45,Payments!$O$5:$O$1204,B45,Payments!$E$5:$E$1204,"Tip"),2))</f>
        <v>0</v>
      </c>
      <c r="X45" s="26">
        <f>IF(B45="","",ROUND(V45+IF(F45="",0,F45)+IF(G45="",0,G45),2))</f>
        <v>0</v>
      </c>
      <c r="Y45" s="27">
        <f>IF(B45="","",IF(Q45+R45=0,"",X45/(Q45+R45)))</f>
        <v>0</v>
      </c>
      <c r="Z45" s="25">
        <f>IF(B45="","",COUNTIFS($V$5:$V$244,"&gt;"&amp;V45)+COUNTIFS($V$5:V45,V45))</f>
        <v>0</v>
      </c>
      <c r="AA45" s="39">
        <f>IF(B45="","",IF(C45="","Add - whose commission is this?",IF(COUNTIFS($B$5:$B$244,B45,$C$5:$C$244,C45)&gt;1,"Duplicate - two rows for the same month",IF(E45="None","",IF(E45="Rent a chair","",IF(E45="Hourly only","",IF(X45=0,"Check - nothing calculated",IF(H45&lt;&gt;"Yes","Due - waiting for approval",IF(I45="","Due - approved but not paid","OK")))))))))</f>
        <v>0</v>
      </c>
    </row>
    <row r="46" spans="1:27">
      <c r="A46" s="28">
        <f>IF(B46="","",CommissionPrefix&amp;TEXT(ROW()-4,"0000"))</f>
        <v>0</v>
      </c>
      <c r="D46" s="15">
        <f>IF(C46="","",IFERROR(INDEX(Staff!$B$5:$B$44,MATCH(C46,Staff!$A$5:$A$44,0)),"Not in Staff"))</f>
        <v>0</v>
      </c>
      <c r="E46" s="15">
        <f>IF(C46="","",IFERROR(INDEX(Staff!$L$5:$L$44,MATCH(C46,Staff!$A$5:$A$44,0)),"None"))</f>
        <v>0</v>
      </c>
      <c r="K46" s="26">
        <f>IF(B46="","",ROUND(SUMIFS(Sales!$Y$5:$Y$1204,Sales!$F$5:$F$1204,C46,Sales!$R$5:$R$1204,B46,Sales!$H$5:$H$1204,"Service"),2))</f>
        <v>0</v>
      </c>
      <c r="L46" s="26">
        <f>IF(B46="","",ROUND(SUMIFS(Sales!$W$5:$W$1204,Sales!$F$5:$F$1204,C46,Sales!$R$5:$R$1204,B46,Sales!$H$5:$H$1204,"Service"),2))</f>
        <v>0</v>
      </c>
      <c r="M46" s="26">
        <f>IF(B46="","",ROUND(SUMIFS(Sales!$Y$5:$Y$1204,Sales!$F$5:$F$1204,C46,Sales!$R$5:$R$1204,B46,Sales!$H$5:$H$1204,"Retail"),2))</f>
        <v>0</v>
      </c>
      <c r="N46" s="26">
        <f>IF(B46="","",ROUND(SUMIFS(Sales!$W$5:$W$1204,Sales!$F$5:$F$1204,C46,Sales!$R$5:$R$1204,B46,Sales!$H$5:$H$1204,"Retail"),2))</f>
        <v>0</v>
      </c>
      <c r="O46" s="26">
        <f>IF(B46="","",ROUND(SUMIFS(Sales!$AB$5:$AB$1204,Sales!$F$5:$F$1204,C46,Sales!$R$5:$R$1204,B46,Sales!$H$5:$H$1204,"Service"),2))</f>
        <v>0</v>
      </c>
      <c r="P46" s="25">
        <f>IF(B46="","",COUNTIFS(Sales!$F$5:$F$1204,C46,Sales!$R$5:$R$1204,B46,Sales!$H$5:$H$1204,"Service"))</f>
        <v>0</v>
      </c>
      <c r="Q46" s="26">
        <f>IF(B46="","",IF(CommissionOn="Gross before discounts",L46,K46))</f>
        <v>0</v>
      </c>
      <c r="R46" s="26">
        <f>IF(B46="","",IF(CommissionOn="Gross before discounts",N46,M46))</f>
        <v>0</v>
      </c>
      <c r="S46" s="27">
        <f>IF(B46="","",IF(E46="Tiered on monthly service revenue",IFERROR(INDEX(TierRate,MATCH(Q46,TierFrom,1)),0),IFERROR(IF(INDEX(Staff!$M$5:$M$44,MATCH(C46,Staff!$A$5:$A$44,0))="",ServiceCommission,INDEX(Staff!$M$5:$M$44,MATCH(C46,Staff!$A$5:$A$44,0))),ServiceCommission)))</f>
        <v>0</v>
      </c>
      <c r="T46" s="27">
        <f>IF(B46="","",IFERROR(IF(INDEX(Staff!$N$5:$N$44,MATCH(C46,Staff!$A$5:$A$44,0))="",RetailCommission,INDEX(Staff!$N$5:$N$44,MATCH(C46,Staff!$A$5:$A$44,0))),RetailCommission))</f>
        <v>0</v>
      </c>
      <c r="U46" s="26">
        <f>IF(B46="","",IFERROR(INDEX(Staff!$O$5:$O$44,MATCH(C46,Staff!$A$5:$A$44,0))*1,0))</f>
        <v>0</v>
      </c>
      <c r="V46" s="26">
        <f>IF(B46="","",ROUND(IF(E46="Percent of service",Q46*S46,IF(E46="Percent of service and retail",Q46*S46+R46*T46,IF(E46="Percent after product cost",MAX(0,Q46-O46)*S46,IF(E46="Tiered on monthly service revenue",Q46*S46,IF(E46="Flat amount per service",P46*U46,0))))),2))</f>
        <v>0</v>
      </c>
      <c r="W46" s="26">
        <f>IF(B46="","",ROUND(SUMIFS(Payments!$G$5:$G$1204,Payments!$J$5:$J$1204,C46,Payments!$O$5:$O$1204,B46,Payments!$E$5:$E$1204,"Tip"),2))</f>
        <v>0</v>
      </c>
      <c r="X46" s="26">
        <f>IF(B46="","",ROUND(V46+IF(F46="",0,F46)+IF(G46="",0,G46),2))</f>
        <v>0</v>
      </c>
      <c r="Y46" s="27">
        <f>IF(B46="","",IF(Q46+R46=0,"",X46/(Q46+R46)))</f>
        <v>0</v>
      </c>
      <c r="Z46" s="25">
        <f>IF(B46="","",COUNTIFS($V$5:$V$244,"&gt;"&amp;V46)+COUNTIFS($V$5:V46,V46))</f>
        <v>0</v>
      </c>
      <c r="AA46" s="39">
        <f>IF(B46="","",IF(C46="","Add - whose commission is this?",IF(COUNTIFS($B$5:$B$244,B46,$C$5:$C$244,C46)&gt;1,"Duplicate - two rows for the same month",IF(E46="None","",IF(E46="Rent a chair","",IF(E46="Hourly only","",IF(X46=0,"Check - nothing calculated",IF(H46&lt;&gt;"Yes","Due - waiting for approval",IF(I46="","Due - approved but not paid","OK")))))))))</f>
        <v>0</v>
      </c>
    </row>
    <row r="47" spans="1:27">
      <c r="A47" s="28">
        <f>IF(B47="","",CommissionPrefix&amp;TEXT(ROW()-4,"0000"))</f>
        <v>0</v>
      </c>
      <c r="D47" s="15">
        <f>IF(C47="","",IFERROR(INDEX(Staff!$B$5:$B$44,MATCH(C47,Staff!$A$5:$A$44,0)),"Not in Staff"))</f>
        <v>0</v>
      </c>
      <c r="E47" s="15">
        <f>IF(C47="","",IFERROR(INDEX(Staff!$L$5:$L$44,MATCH(C47,Staff!$A$5:$A$44,0)),"None"))</f>
        <v>0</v>
      </c>
      <c r="K47" s="26">
        <f>IF(B47="","",ROUND(SUMIFS(Sales!$Y$5:$Y$1204,Sales!$F$5:$F$1204,C47,Sales!$R$5:$R$1204,B47,Sales!$H$5:$H$1204,"Service"),2))</f>
        <v>0</v>
      </c>
      <c r="L47" s="26">
        <f>IF(B47="","",ROUND(SUMIFS(Sales!$W$5:$W$1204,Sales!$F$5:$F$1204,C47,Sales!$R$5:$R$1204,B47,Sales!$H$5:$H$1204,"Service"),2))</f>
        <v>0</v>
      </c>
      <c r="M47" s="26">
        <f>IF(B47="","",ROUND(SUMIFS(Sales!$Y$5:$Y$1204,Sales!$F$5:$F$1204,C47,Sales!$R$5:$R$1204,B47,Sales!$H$5:$H$1204,"Retail"),2))</f>
        <v>0</v>
      </c>
      <c r="N47" s="26">
        <f>IF(B47="","",ROUND(SUMIFS(Sales!$W$5:$W$1204,Sales!$F$5:$F$1204,C47,Sales!$R$5:$R$1204,B47,Sales!$H$5:$H$1204,"Retail"),2))</f>
        <v>0</v>
      </c>
      <c r="O47" s="26">
        <f>IF(B47="","",ROUND(SUMIFS(Sales!$AB$5:$AB$1204,Sales!$F$5:$F$1204,C47,Sales!$R$5:$R$1204,B47,Sales!$H$5:$H$1204,"Service"),2))</f>
        <v>0</v>
      </c>
      <c r="P47" s="25">
        <f>IF(B47="","",COUNTIFS(Sales!$F$5:$F$1204,C47,Sales!$R$5:$R$1204,B47,Sales!$H$5:$H$1204,"Service"))</f>
        <v>0</v>
      </c>
      <c r="Q47" s="26">
        <f>IF(B47="","",IF(CommissionOn="Gross before discounts",L47,K47))</f>
        <v>0</v>
      </c>
      <c r="R47" s="26">
        <f>IF(B47="","",IF(CommissionOn="Gross before discounts",N47,M47))</f>
        <v>0</v>
      </c>
      <c r="S47" s="27">
        <f>IF(B47="","",IF(E47="Tiered on monthly service revenue",IFERROR(INDEX(TierRate,MATCH(Q47,TierFrom,1)),0),IFERROR(IF(INDEX(Staff!$M$5:$M$44,MATCH(C47,Staff!$A$5:$A$44,0))="",ServiceCommission,INDEX(Staff!$M$5:$M$44,MATCH(C47,Staff!$A$5:$A$44,0))),ServiceCommission)))</f>
        <v>0</v>
      </c>
      <c r="T47" s="27">
        <f>IF(B47="","",IFERROR(IF(INDEX(Staff!$N$5:$N$44,MATCH(C47,Staff!$A$5:$A$44,0))="",RetailCommission,INDEX(Staff!$N$5:$N$44,MATCH(C47,Staff!$A$5:$A$44,0))),RetailCommission))</f>
        <v>0</v>
      </c>
      <c r="U47" s="26">
        <f>IF(B47="","",IFERROR(INDEX(Staff!$O$5:$O$44,MATCH(C47,Staff!$A$5:$A$44,0))*1,0))</f>
        <v>0</v>
      </c>
      <c r="V47" s="26">
        <f>IF(B47="","",ROUND(IF(E47="Percent of service",Q47*S47,IF(E47="Percent of service and retail",Q47*S47+R47*T47,IF(E47="Percent after product cost",MAX(0,Q47-O47)*S47,IF(E47="Tiered on monthly service revenue",Q47*S47,IF(E47="Flat amount per service",P47*U47,0))))),2))</f>
        <v>0</v>
      </c>
      <c r="W47" s="26">
        <f>IF(B47="","",ROUND(SUMIFS(Payments!$G$5:$G$1204,Payments!$J$5:$J$1204,C47,Payments!$O$5:$O$1204,B47,Payments!$E$5:$E$1204,"Tip"),2))</f>
        <v>0</v>
      </c>
      <c r="X47" s="26">
        <f>IF(B47="","",ROUND(V47+IF(F47="",0,F47)+IF(G47="",0,G47),2))</f>
        <v>0</v>
      </c>
      <c r="Y47" s="27">
        <f>IF(B47="","",IF(Q47+R47=0,"",X47/(Q47+R47)))</f>
        <v>0</v>
      </c>
      <c r="Z47" s="25">
        <f>IF(B47="","",COUNTIFS($V$5:$V$244,"&gt;"&amp;V47)+COUNTIFS($V$5:V47,V47))</f>
        <v>0</v>
      </c>
      <c r="AA47" s="39">
        <f>IF(B47="","",IF(C47="","Add - whose commission is this?",IF(COUNTIFS($B$5:$B$244,B47,$C$5:$C$244,C47)&gt;1,"Duplicate - two rows for the same month",IF(E47="None","",IF(E47="Rent a chair","",IF(E47="Hourly only","",IF(X47=0,"Check - nothing calculated",IF(H47&lt;&gt;"Yes","Due - waiting for approval",IF(I47="","Due - approved but not paid","OK")))))))))</f>
        <v>0</v>
      </c>
    </row>
    <row r="48" spans="1:27">
      <c r="A48" s="28">
        <f>IF(B48="","",CommissionPrefix&amp;TEXT(ROW()-4,"0000"))</f>
        <v>0</v>
      </c>
      <c r="D48" s="15">
        <f>IF(C48="","",IFERROR(INDEX(Staff!$B$5:$B$44,MATCH(C48,Staff!$A$5:$A$44,0)),"Not in Staff"))</f>
        <v>0</v>
      </c>
      <c r="E48" s="15">
        <f>IF(C48="","",IFERROR(INDEX(Staff!$L$5:$L$44,MATCH(C48,Staff!$A$5:$A$44,0)),"None"))</f>
        <v>0</v>
      </c>
      <c r="K48" s="26">
        <f>IF(B48="","",ROUND(SUMIFS(Sales!$Y$5:$Y$1204,Sales!$F$5:$F$1204,C48,Sales!$R$5:$R$1204,B48,Sales!$H$5:$H$1204,"Service"),2))</f>
        <v>0</v>
      </c>
      <c r="L48" s="26">
        <f>IF(B48="","",ROUND(SUMIFS(Sales!$W$5:$W$1204,Sales!$F$5:$F$1204,C48,Sales!$R$5:$R$1204,B48,Sales!$H$5:$H$1204,"Service"),2))</f>
        <v>0</v>
      </c>
      <c r="M48" s="26">
        <f>IF(B48="","",ROUND(SUMIFS(Sales!$Y$5:$Y$1204,Sales!$F$5:$F$1204,C48,Sales!$R$5:$R$1204,B48,Sales!$H$5:$H$1204,"Retail"),2))</f>
        <v>0</v>
      </c>
      <c r="N48" s="26">
        <f>IF(B48="","",ROUND(SUMIFS(Sales!$W$5:$W$1204,Sales!$F$5:$F$1204,C48,Sales!$R$5:$R$1204,B48,Sales!$H$5:$H$1204,"Retail"),2))</f>
        <v>0</v>
      </c>
      <c r="O48" s="26">
        <f>IF(B48="","",ROUND(SUMIFS(Sales!$AB$5:$AB$1204,Sales!$F$5:$F$1204,C48,Sales!$R$5:$R$1204,B48,Sales!$H$5:$H$1204,"Service"),2))</f>
        <v>0</v>
      </c>
      <c r="P48" s="25">
        <f>IF(B48="","",COUNTIFS(Sales!$F$5:$F$1204,C48,Sales!$R$5:$R$1204,B48,Sales!$H$5:$H$1204,"Service"))</f>
        <v>0</v>
      </c>
      <c r="Q48" s="26">
        <f>IF(B48="","",IF(CommissionOn="Gross before discounts",L48,K48))</f>
        <v>0</v>
      </c>
      <c r="R48" s="26">
        <f>IF(B48="","",IF(CommissionOn="Gross before discounts",N48,M48))</f>
        <v>0</v>
      </c>
      <c r="S48" s="27">
        <f>IF(B48="","",IF(E48="Tiered on monthly service revenue",IFERROR(INDEX(TierRate,MATCH(Q48,TierFrom,1)),0),IFERROR(IF(INDEX(Staff!$M$5:$M$44,MATCH(C48,Staff!$A$5:$A$44,0))="",ServiceCommission,INDEX(Staff!$M$5:$M$44,MATCH(C48,Staff!$A$5:$A$44,0))),ServiceCommission)))</f>
        <v>0</v>
      </c>
      <c r="T48" s="27">
        <f>IF(B48="","",IFERROR(IF(INDEX(Staff!$N$5:$N$44,MATCH(C48,Staff!$A$5:$A$44,0))="",RetailCommission,INDEX(Staff!$N$5:$N$44,MATCH(C48,Staff!$A$5:$A$44,0))),RetailCommission))</f>
        <v>0</v>
      </c>
      <c r="U48" s="26">
        <f>IF(B48="","",IFERROR(INDEX(Staff!$O$5:$O$44,MATCH(C48,Staff!$A$5:$A$44,0))*1,0))</f>
        <v>0</v>
      </c>
      <c r="V48" s="26">
        <f>IF(B48="","",ROUND(IF(E48="Percent of service",Q48*S48,IF(E48="Percent of service and retail",Q48*S48+R48*T48,IF(E48="Percent after product cost",MAX(0,Q48-O48)*S48,IF(E48="Tiered on monthly service revenue",Q48*S48,IF(E48="Flat amount per service",P48*U48,0))))),2))</f>
        <v>0</v>
      </c>
      <c r="W48" s="26">
        <f>IF(B48="","",ROUND(SUMIFS(Payments!$G$5:$G$1204,Payments!$J$5:$J$1204,C48,Payments!$O$5:$O$1204,B48,Payments!$E$5:$E$1204,"Tip"),2))</f>
        <v>0</v>
      </c>
      <c r="X48" s="26">
        <f>IF(B48="","",ROUND(V48+IF(F48="",0,F48)+IF(G48="",0,G48),2))</f>
        <v>0</v>
      </c>
      <c r="Y48" s="27">
        <f>IF(B48="","",IF(Q48+R48=0,"",X48/(Q48+R48)))</f>
        <v>0</v>
      </c>
      <c r="Z48" s="25">
        <f>IF(B48="","",COUNTIFS($V$5:$V$244,"&gt;"&amp;V48)+COUNTIFS($V$5:V48,V48))</f>
        <v>0</v>
      </c>
      <c r="AA48" s="39">
        <f>IF(B48="","",IF(C48="","Add - whose commission is this?",IF(COUNTIFS($B$5:$B$244,B48,$C$5:$C$244,C48)&gt;1,"Duplicate - two rows for the same month",IF(E48="None","",IF(E48="Rent a chair","",IF(E48="Hourly only","",IF(X48=0,"Check - nothing calculated",IF(H48&lt;&gt;"Yes","Due - waiting for approval",IF(I48="","Due - approved but not paid","OK")))))))))</f>
        <v>0</v>
      </c>
    </row>
    <row r="49" spans="1:27">
      <c r="A49" s="28">
        <f>IF(B49="","",CommissionPrefix&amp;TEXT(ROW()-4,"0000"))</f>
        <v>0</v>
      </c>
      <c r="D49" s="15">
        <f>IF(C49="","",IFERROR(INDEX(Staff!$B$5:$B$44,MATCH(C49,Staff!$A$5:$A$44,0)),"Not in Staff"))</f>
        <v>0</v>
      </c>
      <c r="E49" s="15">
        <f>IF(C49="","",IFERROR(INDEX(Staff!$L$5:$L$44,MATCH(C49,Staff!$A$5:$A$44,0)),"None"))</f>
        <v>0</v>
      </c>
      <c r="K49" s="26">
        <f>IF(B49="","",ROUND(SUMIFS(Sales!$Y$5:$Y$1204,Sales!$F$5:$F$1204,C49,Sales!$R$5:$R$1204,B49,Sales!$H$5:$H$1204,"Service"),2))</f>
        <v>0</v>
      </c>
      <c r="L49" s="26">
        <f>IF(B49="","",ROUND(SUMIFS(Sales!$W$5:$W$1204,Sales!$F$5:$F$1204,C49,Sales!$R$5:$R$1204,B49,Sales!$H$5:$H$1204,"Service"),2))</f>
        <v>0</v>
      </c>
      <c r="M49" s="26">
        <f>IF(B49="","",ROUND(SUMIFS(Sales!$Y$5:$Y$1204,Sales!$F$5:$F$1204,C49,Sales!$R$5:$R$1204,B49,Sales!$H$5:$H$1204,"Retail"),2))</f>
        <v>0</v>
      </c>
      <c r="N49" s="26">
        <f>IF(B49="","",ROUND(SUMIFS(Sales!$W$5:$W$1204,Sales!$F$5:$F$1204,C49,Sales!$R$5:$R$1204,B49,Sales!$H$5:$H$1204,"Retail"),2))</f>
        <v>0</v>
      </c>
      <c r="O49" s="26">
        <f>IF(B49="","",ROUND(SUMIFS(Sales!$AB$5:$AB$1204,Sales!$F$5:$F$1204,C49,Sales!$R$5:$R$1204,B49,Sales!$H$5:$H$1204,"Service"),2))</f>
        <v>0</v>
      </c>
      <c r="P49" s="25">
        <f>IF(B49="","",COUNTIFS(Sales!$F$5:$F$1204,C49,Sales!$R$5:$R$1204,B49,Sales!$H$5:$H$1204,"Service"))</f>
        <v>0</v>
      </c>
      <c r="Q49" s="26">
        <f>IF(B49="","",IF(CommissionOn="Gross before discounts",L49,K49))</f>
        <v>0</v>
      </c>
      <c r="R49" s="26">
        <f>IF(B49="","",IF(CommissionOn="Gross before discounts",N49,M49))</f>
        <v>0</v>
      </c>
      <c r="S49" s="27">
        <f>IF(B49="","",IF(E49="Tiered on monthly service revenue",IFERROR(INDEX(TierRate,MATCH(Q49,TierFrom,1)),0),IFERROR(IF(INDEX(Staff!$M$5:$M$44,MATCH(C49,Staff!$A$5:$A$44,0))="",ServiceCommission,INDEX(Staff!$M$5:$M$44,MATCH(C49,Staff!$A$5:$A$44,0))),ServiceCommission)))</f>
        <v>0</v>
      </c>
      <c r="T49" s="27">
        <f>IF(B49="","",IFERROR(IF(INDEX(Staff!$N$5:$N$44,MATCH(C49,Staff!$A$5:$A$44,0))="",RetailCommission,INDEX(Staff!$N$5:$N$44,MATCH(C49,Staff!$A$5:$A$44,0))),RetailCommission))</f>
        <v>0</v>
      </c>
      <c r="U49" s="26">
        <f>IF(B49="","",IFERROR(INDEX(Staff!$O$5:$O$44,MATCH(C49,Staff!$A$5:$A$44,0))*1,0))</f>
        <v>0</v>
      </c>
      <c r="V49" s="26">
        <f>IF(B49="","",ROUND(IF(E49="Percent of service",Q49*S49,IF(E49="Percent of service and retail",Q49*S49+R49*T49,IF(E49="Percent after product cost",MAX(0,Q49-O49)*S49,IF(E49="Tiered on monthly service revenue",Q49*S49,IF(E49="Flat amount per service",P49*U49,0))))),2))</f>
        <v>0</v>
      </c>
      <c r="W49" s="26">
        <f>IF(B49="","",ROUND(SUMIFS(Payments!$G$5:$G$1204,Payments!$J$5:$J$1204,C49,Payments!$O$5:$O$1204,B49,Payments!$E$5:$E$1204,"Tip"),2))</f>
        <v>0</v>
      </c>
      <c r="X49" s="26">
        <f>IF(B49="","",ROUND(V49+IF(F49="",0,F49)+IF(G49="",0,G49),2))</f>
        <v>0</v>
      </c>
      <c r="Y49" s="27">
        <f>IF(B49="","",IF(Q49+R49=0,"",X49/(Q49+R49)))</f>
        <v>0</v>
      </c>
      <c r="Z49" s="25">
        <f>IF(B49="","",COUNTIFS($V$5:$V$244,"&gt;"&amp;V49)+COUNTIFS($V$5:V49,V49))</f>
        <v>0</v>
      </c>
      <c r="AA49" s="39">
        <f>IF(B49="","",IF(C49="","Add - whose commission is this?",IF(COUNTIFS($B$5:$B$244,B49,$C$5:$C$244,C49)&gt;1,"Duplicate - two rows for the same month",IF(E49="None","",IF(E49="Rent a chair","",IF(E49="Hourly only","",IF(X49=0,"Check - nothing calculated",IF(H49&lt;&gt;"Yes","Due - waiting for approval",IF(I49="","Due - approved but not paid","OK")))))))))</f>
        <v>0</v>
      </c>
    </row>
    <row r="50" spans="1:27">
      <c r="A50" s="28">
        <f>IF(B50="","",CommissionPrefix&amp;TEXT(ROW()-4,"0000"))</f>
        <v>0</v>
      </c>
      <c r="D50" s="15">
        <f>IF(C50="","",IFERROR(INDEX(Staff!$B$5:$B$44,MATCH(C50,Staff!$A$5:$A$44,0)),"Not in Staff"))</f>
        <v>0</v>
      </c>
      <c r="E50" s="15">
        <f>IF(C50="","",IFERROR(INDEX(Staff!$L$5:$L$44,MATCH(C50,Staff!$A$5:$A$44,0)),"None"))</f>
        <v>0</v>
      </c>
      <c r="K50" s="26">
        <f>IF(B50="","",ROUND(SUMIFS(Sales!$Y$5:$Y$1204,Sales!$F$5:$F$1204,C50,Sales!$R$5:$R$1204,B50,Sales!$H$5:$H$1204,"Service"),2))</f>
        <v>0</v>
      </c>
      <c r="L50" s="26">
        <f>IF(B50="","",ROUND(SUMIFS(Sales!$W$5:$W$1204,Sales!$F$5:$F$1204,C50,Sales!$R$5:$R$1204,B50,Sales!$H$5:$H$1204,"Service"),2))</f>
        <v>0</v>
      </c>
      <c r="M50" s="26">
        <f>IF(B50="","",ROUND(SUMIFS(Sales!$Y$5:$Y$1204,Sales!$F$5:$F$1204,C50,Sales!$R$5:$R$1204,B50,Sales!$H$5:$H$1204,"Retail"),2))</f>
        <v>0</v>
      </c>
      <c r="N50" s="26">
        <f>IF(B50="","",ROUND(SUMIFS(Sales!$W$5:$W$1204,Sales!$F$5:$F$1204,C50,Sales!$R$5:$R$1204,B50,Sales!$H$5:$H$1204,"Retail"),2))</f>
        <v>0</v>
      </c>
      <c r="O50" s="26">
        <f>IF(B50="","",ROUND(SUMIFS(Sales!$AB$5:$AB$1204,Sales!$F$5:$F$1204,C50,Sales!$R$5:$R$1204,B50,Sales!$H$5:$H$1204,"Service"),2))</f>
        <v>0</v>
      </c>
      <c r="P50" s="25">
        <f>IF(B50="","",COUNTIFS(Sales!$F$5:$F$1204,C50,Sales!$R$5:$R$1204,B50,Sales!$H$5:$H$1204,"Service"))</f>
        <v>0</v>
      </c>
      <c r="Q50" s="26">
        <f>IF(B50="","",IF(CommissionOn="Gross before discounts",L50,K50))</f>
        <v>0</v>
      </c>
      <c r="R50" s="26">
        <f>IF(B50="","",IF(CommissionOn="Gross before discounts",N50,M50))</f>
        <v>0</v>
      </c>
      <c r="S50" s="27">
        <f>IF(B50="","",IF(E50="Tiered on monthly service revenue",IFERROR(INDEX(TierRate,MATCH(Q50,TierFrom,1)),0),IFERROR(IF(INDEX(Staff!$M$5:$M$44,MATCH(C50,Staff!$A$5:$A$44,0))="",ServiceCommission,INDEX(Staff!$M$5:$M$44,MATCH(C50,Staff!$A$5:$A$44,0))),ServiceCommission)))</f>
        <v>0</v>
      </c>
      <c r="T50" s="27">
        <f>IF(B50="","",IFERROR(IF(INDEX(Staff!$N$5:$N$44,MATCH(C50,Staff!$A$5:$A$44,0))="",RetailCommission,INDEX(Staff!$N$5:$N$44,MATCH(C50,Staff!$A$5:$A$44,0))),RetailCommission))</f>
        <v>0</v>
      </c>
      <c r="U50" s="26">
        <f>IF(B50="","",IFERROR(INDEX(Staff!$O$5:$O$44,MATCH(C50,Staff!$A$5:$A$44,0))*1,0))</f>
        <v>0</v>
      </c>
      <c r="V50" s="26">
        <f>IF(B50="","",ROUND(IF(E50="Percent of service",Q50*S50,IF(E50="Percent of service and retail",Q50*S50+R50*T50,IF(E50="Percent after product cost",MAX(0,Q50-O50)*S50,IF(E50="Tiered on monthly service revenue",Q50*S50,IF(E50="Flat amount per service",P50*U50,0))))),2))</f>
        <v>0</v>
      </c>
      <c r="W50" s="26">
        <f>IF(B50="","",ROUND(SUMIFS(Payments!$G$5:$G$1204,Payments!$J$5:$J$1204,C50,Payments!$O$5:$O$1204,B50,Payments!$E$5:$E$1204,"Tip"),2))</f>
        <v>0</v>
      </c>
      <c r="X50" s="26">
        <f>IF(B50="","",ROUND(V50+IF(F50="",0,F50)+IF(G50="",0,G50),2))</f>
        <v>0</v>
      </c>
      <c r="Y50" s="27">
        <f>IF(B50="","",IF(Q50+R50=0,"",X50/(Q50+R50)))</f>
        <v>0</v>
      </c>
      <c r="Z50" s="25">
        <f>IF(B50="","",COUNTIFS($V$5:$V$244,"&gt;"&amp;V50)+COUNTIFS($V$5:V50,V50))</f>
        <v>0</v>
      </c>
      <c r="AA50" s="39">
        <f>IF(B50="","",IF(C50="","Add - whose commission is this?",IF(COUNTIFS($B$5:$B$244,B50,$C$5:$C$244,C50)&gt;1,"Duplicate - two rows for the same month",IF(E50="None","",IF(E50="Rent a chair","",IF(E50="Hourly only","",IF(X50=0,"Check - nothing calculated",IF(H50&lt;&gt;"Yes","Due - waiting for approval",IF(I50="","Due - approved but not paid","OK")))))))))</f>
        <v>0</v>
      </c>
    </row>
    <row r="51" spans="1:27">
      <c r="A51" s="28">
        <f>IF(B51="","",CommissionPrefix&amp;TEXT(ROW()-4,"0000"))</f>
        <v>0</v>
      </c>
      <c r="D51" s="15">
        <f>IF(C51="","",IFERROR(INDEX(Staff!$B$5:$B$44,MATCH(C51,Staff!$A$5:$A$44,0)),"Not in Staff"))</f>
        <v>0</v>
      </c>
      <c r="E51" s="15">
        <f>IF(C51="","",IFERROR(INDEX(Staff!$L$5:$L$44,MATCH(C51,Staff!$A$5:$A$44,0)),"None"))</f>
        <v>0</v>
      </c>
      <c r="K51" s="26">
        <f>IF(B51="","",ROUND(SUMIFS(Sales!$Y$5:$Y$1204,Sales!$F$5:$F$1204,C51,Sales!$R$5:$R$1204,B51,Sales!$H$5:$H$1204,"Service"),2))</f>
        <v>0</v>
      </c>
      <c r="L51" s="26">
        <f>IF(B51="","",ROUND(SUMIFS(Sales!$W$5:$W$1204,Sales!$F$5:$F$1204,C51,Sales!$R$5:$R$1204,B51,Sales!$H$5:$H$1204,"Service"),2))</f>
        <v>0</v>
      </c>
      <c r="M51" s="26">
        <f>IF(B51="","",ROUND(SUMIFS(Sales!$Y$5:$Y$1204,Sales!$F$5:$F$1204,C51,Sales!$R$5:$R$1204,B51,Sales!$H$5:$H$1204,"Retail"),2))</f>
        <v>0</v>
      </c>
      <c r="N51" s="26">
        <f>IF(B51="","",ROUND(SUMIFS(Sales!$W$5:$W$1204,Sales!$F$5:$F$1204,C51,Sales!$R$5:$R$1204,B51,Sales!$H$5:$H$1204,"Retail"),2))</f>
        <v>0</v>
      </c>
      <c r="O51" s="26">
        <f>IF(B51="","",ROUND(SUMIFS(Sales!$AB$5:$AB$1204,Sales!$F$5:$F$1204,C51,Sales!$R$5:$R$1204,B51,Sales!$H$5:$H$1204,"Service"),2))</f>
        <v>0</v>
      </c>
      <c r="P51" s="25">
        <f>IF(B51="","",COUNTIFS(Sales!$F$5:$F$1204,C51,Sales!$R$5:$R$1204,B51,Sales!$H$5:$H$1204,"Service"))</f>
        <v>0</v>
      </c>
      <c r="Q51" s="26">
        <f>IF(B51="","",IF(CommissionOn="Gross before discounts",L51,K51))</f>
        <v>0</v>
      </c>
      <c r="R51" s="26">
        <f>IF(B51="","",IF(CommissionOn="Gross before discounts",N51,M51))</f>
        <v>0</v>
      </c>
      <c r="S51" s="27">
        <f>IF(B51="","",IF(E51="Tiered on monthly service revenue",IFERROR(INDEX(TierRate,MATCH(Q51,TierFrom,1)),0),IFERROR(IF(INDEX(Staff!$M$5:$M$44,MATCH(C51,Staff!$A$5:$A$44,0))="",ServiceCommission,INDEX(Staff!$M$5:$M$44,MATCH(C51,Staff!$A$5:$A$44,0))),ServiceCommission)))</f>
        <v>0</v>
      </c>
      <c r="T51" s="27">
        <f>IF(B51="","",IFERROR(IF(INDEX(Staff!$N$5:$N$44,MATCH(C51,Staff!$A$5:$A$44,0))="",RetailCommission,INDEX(Staff!$N$5:$N$44,MATCH(C51,Staff!$A$5:$A$44,0))),RetailCommission))</f>
        <v>0</v>
      </c>
      <c r="U51" s="26">
        <f>IF(B51="","",IFERROR(INDEX(Staff!$O$5:$O$44,MATCH(C51,Staff!$A$5:$A$44,0))*1,0))</f>
        <v>0</v>
      </c>
      <c r="V51" s="26">
        <f>IF(B51="","",ROUND(IF(E51="Percent of service",Q51*S51,IF(E51="Percent of service and retail",Q51*S51+R51*T51,IF(E51="Percent after product cost",MAX(0,Q51-O51)*S51,IF(E51="Tiered on monthly service revenue",Q51*S51,IF(E51="Flat amount per service",P51*U51,0))))),2))</f>
        <v>0</v>
      </c>
      <c r="W51" s="26">
        <f>IF(B51="","",ROUND(SUMIFS(Payments!$G$5:$G$1204,Payments!$J$5:$J$1204,C51,Payments!$O$5:$O$1204,B51,Payments!$E$5:$E$1204,"Tip"),2))</f>
        <v>0</v>
      </c>
      <c r="X51" s="26">
        <f>IF(B51="","",ROUND(V51+IF(F51="",0,F51)+IF(G51="",0,G51),2))</f>
        <v>0</v>
      </c>
      <c r="Y51" s="27">
        <f>IF(B51="","",IF(Q51+R51=0,"",X51/(Q51+R51)))</f>
        <v>0</v>
      </c>
      <c r="Z51" s="25">
        <f>IF(B51="","",COUNTIFS($V$5:$V$244,"&gt;"&amp;V51)+COUNTIFS($V$5:V51,V51))</f>
        <v>0</v>
      </c>
      <c r="AA51" s="39">
        <f>IF(B51="","",IF(C51="","Add - whose commission is this?",IF(COUNTIFS($B$5:$B$244,B51,$C$5:$C$244,C51)&gt;1,"Duplicate - two rows for the same month",IF(E51="None","",IF(E51="Rent a chair","",IF(E51="Hourly only","",IF(X51=0,"Check - nothing calculated",IF(H51&lt;&gt;"Yes","Due - waiting for approval",IF(I51="","Due - approved but not paid","OK")))))))))</f>
        <v>0</v>
      </c>
    </row>
    <row r="52" spans="1:27">
      <c r="A52" s="28">
        <f>IF(B52="","",CommissionPrefix&amp;TEXT(ROW()-4,"0000"))</f>
        <v>0</v>
      </c>
      <c r="D52" s="15">
        <f>IF(C52="","",IFERROR(INDEX(Staff!$B$5:$B$44,MATCH(C52,Staff!$A$5:$A$44,0)),"Not in Staff"))</f>
        <v>0</v>
      </c>
      <c r="E52" s="15">
        <f>IF(C52="","",IFERROR(INDEX(Staff!$L$5:$L$44,MATCH(C52,Staff!$A$5:$A$44,0)),"None"))</f>
        <v>0</v>
      </c>
      <c r="K52" s="26">
        <f>IF(B52="","",ROUND(SUMIFS(Sales!$Y$5:$Y$1204,Sales!$F$5:$F$1204,C52,Sales!$R$5:$R$1204,B52,Sales!$H$5:$H$1204,"Service"),2))</f>
        <v>0</v>
      </c>
      <c r="L52" s="26">
        <f>IF(B52="","",ROUND(SUMIFS(Sales!$W$5:$W$1204,Sales!$F$5:$F$1204,C52,Sales!$R$5:$R$1204,B52,Sales!$H$5:$H$1204,"Service"),2))</f>
        <v>0</v>
      </c>
      <c r="M52" s="26">
        <f>IF(B52="","",ROUND(SUMIFS(Sales!$Y$5:$Y$1204,Sales!$F$5:$F$1204,C52,Sales!$R$5:$R$1204,B52,Sales!$H$5:$H$1204,"Retail"),2))</f>
        <v>0</v>
      </c>
      <c r="N52" s="26">
        <f>IF(B52="","",ROUND(SUMIFS(Sales!$W$5:$W$1204,Sales!$F$5:$F$1204,C52,Sales!$R$5:$R$1204,B52,Sales!$H$5:$H$1204,"Retail"),2))</f>
        <v>0</v>
      </c>
      <c r="O52" s="26">
        <f>IF(B52="","",ROUND(SUMIFS(Sales!$AB$5:$AB$1204,Sales!$F$5:$F$1204,C52,Sales!$R$5:$R$1204,B52,Sales!$H$5:$H$1204,"Service"),2))</f>
        <v>0</v>
      </c>
      <c r="P52" s="25">
        <f>IF(B52="","",COUNTIFS(Sales!$F$5:$F$1204,C52,Sales!$R$5:$R$1204,B52,Sales!$H$5:$H$1204,"Service"))</f>
        <v>0</v>
      </c>
      <c r="Q52" s="26">
        <f>IF(B52="","",IF(CommissionOn="Gross before discounts",L52,K52))</f>
        <v>0</v>
      </c>
      <c r="R52" s="26">
        <f>IF(B52="","",IF(CommissionOn="Gross before discounts",N52,M52))</f>
        <v>0</v>
      </c>
      <c r="S52" s="27">
        <f>IF(B52="","",IF(E52="Tiered on monthly service revenue",IFERROR(INDEX(TierRate,MATCH(Q52,TierFrom,1)),0),IFERROR(IF(INDEX(Staff!$M$5:$M$44,MATCH(C52,Staff!$A$5:$A$44,0))="",ServiceCommission,INDEX(Staff!$M$5:$M$44,MATCH(C52,Staff!$A$5:$A$44,0))),ServiceCommission)))</f>
        <v>0</v>
      </c>
      <c r="T52" s="27">
        <f>IF(B52="","",IFERROR(IF(INDEX(Staff!$N$5:$N$44,MATCH(C52,Staff!$A$5:$A$44,0))="",RetailCommission,INDEX(Staff!$N$5:$N$44,MATCH(C52,Staff!$A$5:$A$44,0))),RetailCommission))</f>
        <v>0</v>
      </c>
      <c r="U52" s="26">
        <f>IF(B52="","",IFERROR(INDEX(Staff!$O$5:$O$44,MATCH(C52,Staff!$A$5:$A$44,0))*1,0))</f>
        <v>0</v>
      </c>
      <c r="V52" s="26">
        <f>IF(B52="","",ROUND(IF(E52="Percent of service",Q52*S52,IF(E52="Percent of service and retail",Q52*S52+R52*T52,IF(E52="Percent after product cost",MAX(0,Q52-O52)*S52,IF(E52="Tiered on monthly service revenue",Q52*S52,IF(E52="Flat amount per service",P52*U52,0))))),2))</f>
        <v>0</v>
      </c>
      <c r="W52" s="26">
        <f>IF(B52="","",ROUND(SUMIFS(Payments!$G$5:$G$1204,Payments!$J$5:$J$1204,C52,Payments!$O$5:$O$1204,B52,Payments!$E$5:$E$1204,"Tip"),2))</f>
        <v>0</v>
      </c>
      <c r="X52" s="26">
        <f>IF(B52="","",ROUND(V52+IF(F52="",0,F52)+IF(G52="",0,G52),2))</f>
        <v>0</v>
      </c>
      <c r="Y52" s="27">
        <f>IF(B52="","",IF(Q52+R52=0,"",X52/(Q52+R52)))</f>
        <v>0</v>
      </c>
      <c r="Z52" s="25">
        <f>IF(B52="","",COUNTIFS($V$5:$V$244,"&gt;"&amp;V52)+COUNTIFS($V$5:V52,V52))</f>
        <v>0</v>
      </c>
      <c r="AA52" s="39">
        <f>IF(B52="","",IF(C52="","Add - whose commission is this?",IF(COUNTIFS($B$5:$B$244,B52,$C$5:$C$244,C52)&gt;1,"Duplicate - two rows for the same month",IF(E52="None","",IF(E52="Rent a chair","",IF(E52="Hourly only","",IF(X52=0,"Check - nothing calculated",IF(H52&lt;&gt;"Yes","Due - waiting for approval",IF(I52="","Due - approved but not paid","OK")))))))))</f>
        <v>0</v>
      </c>
    </row>
    <row r="53" spans="1:27">
      <c r="A53" s="28">
        <f>IF(B53="","",CommissionPrefix&amp;TEXT(ROW()-4,"0000"))</f>
        <v>0</v>
      </c>
      <c r="D53" s="15">
        <f>IF(C53="","",IFERROR(INDEX(Staff!$B$5:$B$44,MATCH(C53,Staff!$A$5:$A$44,0)),"Not in Staff"))</f>
        <v>0</v>
      </c>
      <c r="E53" s="15">
        <f>IF(C53="","",IFERROR(INDEX(Staff!$L$5:$L$44,MATCH(C53,Staff!$A$5:$A$44,0)),"None"))</f>
        <v>0</v>
      </c>
      <c r="K53" s="26">
        <f>IF(B53="","",ROUND(SUMIFS(Sales!$Y$5:$Y$1204,Sales!$F$5:$F$1204,C53,Sales!$R$5:$R$1204,B53,Sales!$H$5:$H$1204,"Service"),2))</f>
        <v>0</v>
      </c>
      <c r="L53" s="26">
        <f>IF(B53="","",ROUND(SUMIFS(Sales!$W$5:$W$1204,Sales!$F$5:$F$1204,C53,Sales!$R$5:$R$1204,B53,Sales!$H$5:$H$1204,"Service"),2))</f>
        <v>0</v>
      </c>
      <c r="M53" s="26">
        <f>IF(B53="","",ROUND(SUMIFS(Sales!$Y$5:$Y$1204,Sales!$F$5:$F$1204,C53,Sales!$R$5:$R$1204,B53,Sales!$H$5:$H$1204,"Retail"),2))</f>
        <v>0</v>
      </c>
      <c r="N53" s="26">
        <f>IF(B53="","",ROUND(SUMIFS(Sales!$W$5:$W$1204,Sales!$F$5:$F$1204,C53,Sales!$R$5:$R$1204,B53,Sales!$H$5:$H$1204,"Retail"),2))</f>
        <v>0</v>
      </c>
      <c r="O53" s="26">
        <f>IF(B53="","",ROUND(SUMIFS(Sales!$AB$5:$AB$1204,Sales!$F$5:$F$1204,C53,Sales!$R$5:$R$1204,B53,Sales!$H$5:$H$1204,"Service"),2))</f>
        <v>0</v>
      </c>
      <c r="P53" s="25">
        <f>IF(B53="","",COUNTIFS(Sales!$F$5:$F$1204,C53,Sales!$R$5:$R$1204,B53,Sales!$H$5:$H$1204,"Service"))</f>
        <v>0</v>
      </c>
      <c r="Q53" s="26">
        <f>IF(B53="","",IF(CommissionOn="Gross before discounts",L53,K53))</f>
        <v>0</v>
      </c>
      <c r="R53" s="26">
        <f>IF(B53="","",IF(CommissionOn="Gross before discounts",N53,M53))</f>
        <v>0</v>
      </c>
      <c r="S53" s="27">
        <f>IF(B53="","",IF(E53="Tiered on monthly service revenue",IFERROR(INDEX(TierRate,MATCH(Q53,TierFrom,1)),0),IFERROR(IF(INDEX(Staff!$M$5:$M$44,MATCH(C53,Staff!$A$5:$A$44,0))="",ServiceCommission,INDEX(Staff!$M$5:$M$44,MATCH(C53,Staff!$A$5:$A$44,0))),ServiceCommission)))</f>
        <v>0</v>
      </c>
      <c r="T53" s="27">
        <f>IF(B53="","",IFERROR(IF(INDEX(Staff!$N$5:$N$44,MATCH(C53,Staff!$A$5:$A$44,0))="",RetailCommission,INDEX(Staff!$N$5:$N$44,MATCH(C53,Staff!$A$5:$A$44,0))),RetailCommission))</f>
        <v>0</v>
      </c>
      <c r="U53" s="26">
        <f>IF(B53="","",IFERROR(INDEX(Staff!$O$5:$O$44,MATCH(C53,Staff!$A$5:$A$44,0))*1,0))</f>
        <v>0</v>
      </c>
      <c r="V53" s="26">
        <f>IF(B53="","",ROUND(IF(E53="Percent of service",Q53*S53,IF(E53="Percent of service and retail",Q53*S53+R53*T53,IF(E53="Percent after product cost",MAX(0,Q53-O53)*S53,IF(E53="Tiered on monthly service revenue",Q53*S53,IF(E53="Flat amount per service",P53*U53,0))))),2))</f>
        <v>0</v>
      </c>
      <c r="W53" s="26">
        <f>IF(B53="","",ROUND(SUMIFS(Payments!$G$5:$G$1204,Payments!$J$5:$J$1204,C53,Payments!$O$5:$O$1204,B53,Payments!$E$5:$E$1204,"Tip"),2))</f>
        <v>0</v>
      </c>
      <c r="X53" s="26">
        <f>IF(B53="","",ROUND(V53+IF(F53="",0,F53)+IF(G53="",0,G53),2))</f>
        <v>0</v>
      </c>
      <c r="Y53" s="27">
        <f>IF(B53="","",IF(Q53+R53=0,"",X53/(Q53+R53)))</f>
        <v>0</v>
      </c>
      <c r="Z53" s="25">
        <f>IF(B53="","",COUNTIFS($V$5:$V$244,"&gt;"&amp;V53)+COUNTIFS($V$5:V53,V53))</f>
        <v>0</v>
      </c>
      <c r="AA53" s="39">
        <f>IF(B53="","",IF(C53="","Add - whose commission is this?",IF(COUNTIFS($B$5:$B$244,B53,$C$5:$C$244,C53)&gt;1,"Duplicate - two rows for the same month",IF(E53="None","",IF(E53="Rent a chair","",IF(E53="Hourly only","",IF(X53=0,"Check - nothing calculated",IF(H53&lt;&gt;"Yes","Due - waiting for approval",IF(I53="","Due - approved but not paid","OK")))))))))</f>
        <v>0</v>
      </c>
    </row>
    <row r="54" spans="1:27">
      <c r="A54" s="28">
        <f>IF(B54="","",CommissionPrefix&amp;TEXT(ROW()-4,"0000"))</f>
        <v>0</v>
      </c>
      <c r="D54" s="15">
        <f>IF(C54="","",IFERROR(INDEX(Staff!$B$5:$B$44,MATCH(C54,Staff!$A$5:$A$44,0)),"Not in Staff"))</f>
        <v>0</v>
      </c>
      <c r="E54" s="15">
        <f>IF(C54="","",IFERROR(INDEX(Staff!$L$5:$L$44,MATCH(C54,Staff!$A$5:$A$44,0)),"None"))</f>
        <v>0</v>
      </c>
      <c r="K54" s="26">
        <f>IF(B54="","",ROUND(SUMIFS(Sales!$Y$5:$Y$1204,Sales!$F$5:$F$1204,C54,Sales!$R$5:$R$1204,B54,Sales!$H$5:$H$1204,"Service"),2))</f>
        <v>0</v>
      </c>
      <c r="L54" s="26">
        <f>IF(B54="","",ROUND(SUMIFS(Sales!$W$5:$W$1204,Sales!$F$5:$F$1204,C54,Sales!$R$5:$R$1204,B54,Sales!$H$5:$H$1204,"Service"),2))</f>
        <v>0</v>
      </c>
      <c r="M54" s="26">
        <f>IF(B54="","",ROUND(SUMIFS(Sales!$Y$5:$Y$1204,Sales!$F$5:$F$1204,C54,Sales!$R$5:$R$1204,B54,Sales!$H$5:$H$1204,"Retail"),2))</f>
        <v>0</v>
      </c>
      <c r="N54" s="26">
        <f>IF(B54="","",ROUND(SUMIFS(Sales!$W$5:$W$1204,Sales!$F$5:$F$1204,C54,Sales!$R$5:$R$1204,B54,Sales!$H$5:$H$1204,"Retail"),2))</f>
        <v>0</v>
      </c>
      <c r="O54" s="26">
        <f>IF(B54="","",ROUND(SUMIFS(Sales!$AB$5:$AB$1204,Sales!$F$5:$F$1204,C54,Sales!$R$5:$R$1204,B54,Sales!$H$5:$H$1204,"Service"),2))</f>
        <v>0</v>
      </c>
      <c r="P54" s="25">
        <f>IF(B54="","",COUNTIFS(Sales!$F$5:$F$1204,C54,Sales!$R$5:$R$1204,B54,Sales!$H$5:$H$1204,"Service"))</f>
        <v>0</v>
      </c>
      <c r="Q54" s="26">
        <f>IF(B54="","",IF(CommissionOn="Gross before discounts",L54,K54))</f>
        <v>0</v>
      </c>
      <c r="R54" s="26">
        <f>IF(B54="","",IF(CommissionOn="Gross before discounts",N54,M54))</f>
        <v>0</v>
      </c>
      <c r="S54" s="27">
        <f>IF(B54="","",IF(E54="Tiered on monthly service revenue",IFERROR(INDEX(TierRate,MATCH(Q54,TierFrom,1)),0),IFERROR(IF(INDEX(Staff!$M$5:$M$44,MATCH(C54,Staff!$A$5:$A$44,0))="",ServiceCommission,INDEX(Staff!$M$5:$M$44,MATCH(C54,Staff!$A$5:$A$44,0))),ServiceCommission)))</f>
        <v>0</v>
      </c>
      <c r="T54" s="27">
        <f>IF(B54="","",IFERROR(IF(INDEX(Staff!$N$5:$N$44,MATCH(C54,Staff!$A$5:$A$44,0))="",RetailCommission,INDEX(Staff!$N$5:$N$44,MATCH(C54,Staff!$A$5:$A$44,0))),RetailCommission))</f>
        <v>0</v>
      </c>
      <c r="U54" s="26">
        <f>IF(B54="","",IFERROR(INDEX(Staff!$O$5:$O$44,MATCH(C54,Staff!$A$5:$A$44,0))*1,0))</f>
        <v>0</v>
      </c>
      <c r="V54" s="26">
        <f>IF(B54="","",ROUND(IF(E54="Percent of service",Q54*S54,IF(E54="Percent of service and retail",Q54*S54+R54*T54,IF(E54="Percent after product cost",MAX(0,Q54-O54)*S54,IF(E54="Tiered on monthly service revenue",Q54*S54,IF(E54="Flat amount per service",P54*U54,0))))),2))</f>
        <v>0</v>
      </c>
      <c r="W54" s="26">
        <f>IF(B54="","",ROUND(SUMIFS(Payments!$G$5:$G$1204,Payments!$J$5:$J$1204,C54,Payments!$O$5:$O$1204,B54,Payments!$E$5:$E$1204,"Tip"),2))</f>
        <v>0</v>
      </c>
      <c r="X54" s="26">
        <f>IF(B54="","",ROUND(V54+IF(F54="",0,F54)+IF(G54="",0,G54),2))</f>
        <v>0</v>
      </c>
      <c r="Y54" s="27">
        <f>IF(B54="","",IF(Q54+R54=0,"",X54/(Q54+R54)))</f>
        <v>0</v>
      </c>
      <c r="Z54" s="25">
        <f>IF(B54="","",COUNTIFS($V$5:$V$244,"&gt;"&amp;V54)+COUNTIFS($V$5:V54,V54))</f>
        <v>0</v>
      </c>
      <c r="AA54" s="39">
        <f>IF(B54="","",IF(C54="","Add - whose commission is this?",IF(COUNTIFS($B$5:$B$244,B54,$C$5:$C$244,C54)&gt;1,"Duplicate - two rows for the same month",IF(E54="None","",IF(E54="Rent a chair","",IF(E54="Hourly only","",IF(X54=0,"Check - nothing calculated",IF(H54&lt;&gt;"Yes","Due - waiting for approval",IF(I54="","Due - approved but not paid","OK")))))))))</f>
        <v>0</v>
      </c>
    </row>
    <row r="55" spans="1:27">
      <c r="A55" s="28">
        <f>IF(B55="","",CommissionPrefix&amp;TEXT(ROW()-4,"0000"))</f>
        <v>0</v>
      </c>
      <c r="D55" s="15">
        <f>IF(C55="","",IFERROR(INDEX(Staff!$B$5:$B$44,MATCH(C55,Staff!$A$5:$A$44,0)),"Not in Staff"))</f>
        <v>0</v>
      </c>
      <c r="E55" s="15">
        <f>IF(C55="","",IFERROR(INDEX(Staff!$L$5:$L$44,MATCH(C55,Staff!$A$5:$A$44,0)),"None"))</f>
        <v>0</v>
      </c>
      <c r="K55" s="26">
        <f>IF(B55="","",ROUND(SUMIFS(Sales!$Y$5:$Y$1204,Sales!$F$5:$F$1204,C55,Sales!$R$5:$R$1204,B55,Sales!$H$5:$H$1204,"Service"),2))</f>
        <v>0</v>
      </c>
      <c r="L55" s="26">
        <f>IF(B55="","",ROUND(SUMIFS(Sales!$W$5:$W$1204,Sales!$F$5:$F$1204,C55,Sales!$R$5:$R$1204,B55,Sales!$H$5:$H$1204,"Service"),2))</f>
        <v>0</v>
      </c>
      <c r="M55" s="26">
        <f>IF(B55="","",ROUND(SUMIFS(Sales!$Y$5:$Y$1204,Sales!$F$5:$F$1204,C55,Sales!$R$5:$R$1204,B55,Sales!$H$5:$H$1204,"Retail"),2))</f>
        <v>0</v>
      </c>
      <c r="N55" s="26">
        <f>IF(B55="","",ROUND(SUMIFS(Sales!$W$5:$W$1204,Sales!$F$5:$F$1204,C55,Sales!$R$5:$R$1204,B55,Sales!$H$5:$H$1204,"Retail"),2))</f>
        <v>0</v>
      </c>
      <c r="O55" s="26">
        <f>IF(B55="","",ROUND(SUMIFS(Sales!$AB$5:$AB$1204,Sales!$F$5:$F$1204,C55,Sales!$R$5:$R$1204,B55,Sales!$H$5:$H$1204,"Service"),2))</f>
        <v>0</v>
      </c>
      <c r="P55" s="25">
        <f>IF(B55="","",COUNTIFS(Sales!$F$5:$F$1204,C55,Sales!$R$5:$R$1204,B55,Sales!$H$5:$H$1204,"Service"))</f>
        <v>0</v>
      </c>
      <c r="Q55" s="26">
        <f>IF(B55="","",IF(CommissionOn="Gross before discounts",L55,K55))</f>
        <v>0</v>
      </c>
      <c r="R55" s="26">
        <f>IF(B55="","",IF(CommissionOn="Gross before discounts",N55,M55))</f>
        <v>0</v>
      </c>
      <c r="S55" s="27">
        <f>IF(B55="","",IF(E55="Tiered on monthly service revenue",IFERROR(INDEX(TierRate,MATCH(Q55,TierFrom,1)),0),IFERROR(IF(INDEX(Staff!$M$5:$M$44,MATCH(C55,Staff!$A$5:$A$44,0))="",ServiceCommission,INDEX(Staff!$M$5:$M$44,MATCH(C55,Staff!$A$5:$A$44,0))),ServiceCommission)))</f>
        <v>0</v>
      </c>
      <c r="T55" s="27">
        <f>IF(B55="","",IFERROR(IF(INDEX(Staff!$N$5:$N$44,MATCH(C55,Staff!$A$5:$A$44,0))="",RetailCommission,INDEX(Staff!$N$5:$N$44,MATCH(C55,Staff!$A$5:$A$44,0))),RetailCommission))</f>
        <v>0</v>
      </c>
      <c r="U55" s="26">
        <f>IF(B55="","",IFERROR(INDEX(Staff!$O$5:$O$44,MATCH(C55,Staff!$A$5:$A$44,0))*1,0))</f>
        <v>0</v>
      </c>
      <c r="V55" s="26">
        <f>IF(B55="","",ROUND(IF(E55="Percent of service",Q55*S55,IF(E55="Percent of service and retail",Q55*S55+R55*T55,IF(E55="Percent after product cost",MAX(0,Q55-O55)*S55,IF(E55="Tiered on monthly service revenue",Q55*S55,IF(E55="Flat amount per service",P55*U55,0))))),2))</f>
        <v>0</v>
      </c>
      <c r="W55" s="26">
        <f>IF(B55="","",ROUND(SUMIFS(Payments!$G$5:$G$1204,Payments!$J$5:$J$1204,C55,Payments!$O$5:$O$1204,B55,Payments!$E$5:$E$1204,"Tip"),2))</f>
        <v>0</v>
      </c>
      <c r="X55" s="26">
        <f>IF(B55="","",ROUND(V55+IF(F55="",0,F55)+IF(G55="",0,G55),2))</f>
        <v>0</v>
      </c>
      <c r="Y55" s="27">
        <f>IF(B55="","",IF(Q55+R55=0,"",X55/(Q55+R55)))</f>
        <v>0</v>
      </c>
      <c r="Z55" s="25">
        <f>IF(B55="","",COUNTIFS($V$5:$V$244,"&gt;"&amp;V55)+COUNTIFS($V$5:V55,V55))</f>
        <v>0</v>
      </c>
      <c r="AA55" s="39">
        <f>IF(B55="","",IF(C55="","Add - whose commission is this?",IF(COUNTIFS($B$5:$B$244,B55,$C$5:$C$244,C55)&gt;1,"Duplicate - two rows for the same month",IF(E55="None","",IF(E55="Rent a chair","",IF(E55="Hourly only","",IF(X55=0,"Check - nothing calculated",IF(H55&lt;&gt;"Yes","Due - waiting for approval",IF(I55="","Due - approved but not paid","OK")))))))))</f>
        <v>0</v>
      </c>
    </row>
    <row r="56" spans="1:27">
      <c r="A56" s="28">
        <f>IF(B56="","",CommissionPrefix&amp;TEXT(ROW()-4,"0000"))</f>
        <v>0</v>
      </c>
      <c r="D56" s="15">
        <f>IF(C56="","",IFERROR(INDEX(Staff!$B$5:$B$44,MATCH(C56,Staff!$A$5:$A$44,0)),"Not in Staff"))</f>
        <v>0</v>
      </c>
      <c r="E56" s="15">
        <f>IF(C56="","",IFERROR(INDEX(Staff!$L$5:$L$44,MATCH(C56,Staff!$A$5:$A$44,0)),"None"))</f>
        <v>0</v>
      </c>
      <c r="K56" s="26">
        <f>IF(B56="","",ROUND(SUMIFS(Sales!$Y$5:$Y$1204,Sales!$F$5:$F$1204,C56,Sales!$R$5:$R$1204,B56,Sales!$H$5:$H$1204,"Service"),2))</f>
        <v>0</v>
      </c>
      <c r="L56" s="26">
        <f>IF(B56="","",ROUND(SUMIFS(Sales!$W$5:$W$1204,Sales!$F$5:$F$1204,C56,Sales!$R$5:$R$1204,B56,Sales!$H$5:$H$1204,"Service"),2))</f>
        <v>0</v>
      </c>
      <c r="M56" s="26">
        <f>IF(B56="","",ROUND(SUMIFS(Sales!$Y$5:$Y$1204,Sales!$F$5:$F$1204,C56,Sales!$R$5:$R$1204,B56,Sales!$H$5:$H$1204,"Retail"),2))</f>
        <v>0</v>
      </c>
      <c r="N56" s="26">
        <f>IF(B56="","",ROUND(SUMIFS(Sales!$W$5:$W$1204,Sales!$F$5:$F$1204,C56,Sales!$R$5:$R$1204,B56,Sales!$H$5:$H$1204,"Retail"),2))</f>
        <v>0</v>
      </c>
      <c r="O56" s="26">
        <f>IF(B56="","",ROUND(SUMIFS(Sales!$AB$5:$AB$1204,Sales!$F$5:$F$1204,C56,Sales!$R$5:$R$1204,B56,Sales!$H$5:$H$1204,"Service"),2))</f>
        <v>0</v>
      </c>
      <c r="P56" s="25">
        <f>IF(B56="","",COUNTIFS(Sales!$F$5:$F$1204,C56,Sales!$R$5:$R$1204,B56,Sales!$H$5:$H$1204,"Service"))</f>
        <v>0</v>
      </c>
      <c r="Q56" s="26">
        <f>IF(B56="","",IF(CommissionOn="Gross before discounts",L56,K56))</f>
        <v>0</v>
      </c>
      <c r="R56" s="26">
        <f>IF(B56="","",IF(CommissionOn="Gross before discounts",N56,M56))</f>
        <v>0</v>
      </c>
      <c r="S56" s="27">
        <f>IF(B56="","",IF(E56="Tiered on monthly service revenue",IFERROR(INDEX(TierRate,MATCH(Q56,TierFrom,1)),0),IFERROR(IF(INDEX(Staff!$M$5:$M$44,MATCH(C56,Staff!$A$5:$A$44,0))="",ServiceCommission,INDEX(Staff!$M$5:$M$44,MATCH(C56,Staff!$A$5:$A$44,0))),ServiceCommission)))</f>
        <v>0</v>
      </c>
      <c r="T56" s="27">
        <f>IF(B56="","",IFERROR(IF(INDEX(Staff!$N$5:$N$44,MATCH(C56,Staff!$A$5:$A$44,0))="",RetailCommission,INDEX(Staff!$N$5:$N$44,MATCH(C56,Staff!$A$5:$A$44,0))),RetailCommission))</f>
        <v>0</v>
      </c>
      <c r="U56" s="26">
        <f>IF(B56="","",IFERROR(INDEX(Staff!$O$5:$O$44,MATCH(C56,Staff!$A$5:$A$44,0))*1,0))</f>
        <v>0</v>
      </c>
      <c r="V56" s="26">
        <f>IF(B56="","",ROUND(IF(E56="Percent of service",Q56*S56,IF(E56="Percent of service and retail",Q56*S56+R56*T56,IF(E56="Percent after product cost",MAX(0,Q56-O56)*S56,IF(E56="Tiered on monthly service revenue",Q56*S56,IF(E56="Flat amount per service",P56*U56,0))))),2))</f>
        <v>0</v>
      </c>
      <c r="W56" s="26">
        <f>IF(B56="","",ROUND(SUMIFS(Payments!$G$5:$G$1204,Payments!$J$5:$J$1204,C56,Payments!$O$5:$O$1204,B56,Payments!$E$5:$E$1204,"Tip"),2))</f>
        <v>0</v>
      </c>
      <c r="X56" s="26">
        <f>IF(B56="","",ROUND(V56+IF(F56="",0,F56)+IF(G56="",0,G56),2))</f>
        <v>0</v>
      </c>
      <c r="Y56" s="27">
        <f>IF(B56="","",IF(Q56+R56=0,"",X56/(Q56+R56)))</f>
        <v>0</v>
      </c>
      <c r="Z56" s="25">
        <f>IF(B56="","",COUNTIFS($V$5:$V$244,"&gt;"&amp;V56)+COUNTIFS($V$5:V56,V56))</f>
        <v>0</v>
      </c>
      <c r="AA56" s="39">
        <f>IF(B56="","",IF(C56="","Add - whose commission is this?",IF(COUNTIFS($B$5:$B$244,B56,$C$5:$C$244,C56)&gt;1,"Duplicate - two rows for the same month",IF(E56="None","",IF(E56="Rent a chair","",IF(E56="Hourly only","",IF(X56=0,"Check - nothing calculated",IF(H56&lt;&gt;"Yes","Due - waiting for approval",IF(I56="","Due - approved but not paid","OK")))))))))</f>
        <v>0</v>
      </c>
    </row>
    <row r="57" spans="1:27">
      <c r="A57" s="28">
        <f>IF(B57="","",CommissionPrefix&amp;TEXT(ROW()-4,"0000"))</f>
        <v>0</v>
      </c>
      <c r="D57" s="15">
        <f>IF(C57="","",IFERROR(INDEX(Staff!$B$5:$B$44,MATCH(C57,Staff!$A$5:$A$44,0)),"Not in Staff"))</f>
        <v>0</v>
      </c>
      <c r="E57" s="15">
        <f>IF(C57="","",IFERROR(INDEX(Staff!$L$5:$L$44,MATCH(C57,Staff!$A$5:$A$44,0)),"None"))</f>
        <v>0</v>
      </c>
      <c r="K57" s="26">
        <f>IF(B57="","",ROUND(SUMIFS(Sales!$Y$5:$Y$1204,Sales!$F$5:$F$1204,C57,Sales!$R$5:$R$1204,B57,Sales!$H$5:$H$1204,"Service"),2))</f>
        <v>0</v>
      </c>
      <c r="L57" s="26">
        <f>IF(B57="","",ROUND(SUMIFS(Sales!$W$5:$W$1204,Sales!$F$5:$F$1204,C57,Sales!$R$5:$R$1204,B57,Sales!$H$5:$H$1204,"Service"),2))</f>
        <v>0</v>
      </c>
      <c r="M57" s="26">
        <f>IF(B57="","",ROUND(SUMIFS(Sales!$Y$5:$Y$1204,Sales!$F$5:$F$1204,C57,Sales!$R$5:$R$1204,B57,Sales!$H$5:$H$1204,"Retail"),2))</f>
        <v>0</v>
      </c>
      <c r="N57" s="26">
        <f>IF(B57="","",ROUND(SUMIFS(Sales!$W$5:$W$1204,Sales!$F$5:$F$1204,C57,Sales!$R$5:$R$1204,B57,Sales!$H$5:$H$1204,"Retail"),2))</f>
        <v>0</v>
      </c>
      <c r="O57" s="26">
        <f>IF(B57="","",ROUND(SUMIFS(Sales!$AB$5:$AB$1204,Sales!$F$5:$F$1204,C57,Sales!$R$5:$R$1204,B57,Sales!$H$5:$H$1204,"Service"),2))</f>
        <v>0</v>
      </c>
      <c r="P57" s="25">
        <f>IF(B57="","",COUNTIFS(Sales!$F$5:$F$1204,C57,Sales!$R$5:$R$1204,B57,Sales!$H$5:$H$1204,"Service"))</f>
        <v>0</v>
      </c>
      <c r="Q57" s="26">
        <f>IF(B57="","",IF(CommissionOn="Gross before discounts",L57,K57))</f>
        <v>0</v>
      </c>
      <c r="R57" s="26">
        <f>IF(B57="","",IF(CommissionOn="Gross before discounts",N57,M57))</f>
        <v>0</v>
      </c>
      <c r="S57" s="27">
        <f>IF(B57="","",IF(E57="Tiered on monthly service revenue",IFERROR(INDEX(TierRate,MATCH(Q57,TierFrom,1)),0),IFERROR(IF(INDEX(Staff!$M$5:$M$44,MATCH(C57,Staff!$A$5:$A$44,0))="",ServiceCommission,INDEX(Staff!$M$5:$M$44,MATCH(C57,Staff!$A$5:$A$44,0))),ServiceCommission)))</f>
        <v>0</v>
      </c>
      <c r="T57" s="27">
        <f>IF(B57="","",IFERROR(IF(INDEX(Staff!$N$5:$N$44,MATCH(C57,Staff!$A$5:$A$44,0))="",RetailCommission,INDEX(Staff!$N$5:$N$44,MATCH(C57,Staff!$A$5:$A$44,0))),RetailCommission))</f>
        <v>0</v>
      </c>
      <c r="U57" s="26">
        <f>IF(B57="","",IFERROR(INDEX(Staff!$O$5:$O$44,MATCH(C57,Staff!$A$5:$A$44,0))*1,0))</f>
        <v>0</v>
      </c>
      <c r="V57" s="26">
        <f>IF(B57="","",ROUND(IF(E57="Percent of service",Q57*S57,IF(E57="Percent of service and retail",Q57*S57+R57*T57,IF(E57="Percent after product cost",MAX(0,Q57-O57)*S57,IF(E57="Tiered on monthly service revenue",Q57*S57,IF(E57="Flat amount per service",P57*U57,0))))),2))</f>
        <v>0</v>
      </c>
      <c r="W57" s="26">
        <f>IF(B57="","",ROUND(SUMIFS(Payments!$G$5:$G$1204,Payments!$J$5:$J$1204,C57,Payments!$O$5:$O$1204,B57,Payments!$E$5:$E$1204,"Tip"),2))</f>
        <v>0</v>
      </c>
      <c r="X57" s="26">
        <f>IF(B57="","",ROUND(V57+IF(F57="",0,F57)+IF(G57="",0,G57),2))</f>
        <v>0</v>
      </c>
      <c r="Y57" s="27">
        <f>IF(B57="","",IF(Q57+R57=0,"",X57/(Q57+R57)))</f>
        <v>0</v>
      </c>
      <c r="Z57" s="25">
        <f>IF(B57="","",COUNTIFS($V$5:$V$244,"&gt;"&amp;V57)+COUNTIFS($V$5:V57,V57))</f>
        <v>0</v>
      </c>
      <c r="AA57" s="39">
        <f>IF(B57="","",IF(C57="","Add - whose commission is this?",IF(COUNTIFS($B$5:$B$244,B57,$C$5:$C$244,C57)&gt;1,"Duplicate - two rows for the same month",IF(E57="None","",IF(E57="Rent a chair","",IF(E57="Hourly only","",IF(X57=0,"Check - nothing calculated",IF(H57&lt;&gt;"Yes","Due - waiting for approval",IF(I57="","Due - approved but not paid","OK")))))))))</f>
        <v>0</v>
      </c>
    </row>
    <row r="58" spans="1:27">
      <c r="A58" s="28">
        <f>IF(B58="","",CommissionPrefix&amp;TEXT(ROW()-4,"0000"))</f>
        <v>0</v>
      </c>
      <c r="D58" s="15">
        <f>IF(C58="","",IFERROR(INDEX(Staff!$B$5:$B$44,MATCH(C58,Staff!$A$5:$A$44,0)),"Not in Staff"))</f>
        <v>0</v>
      </c>
      <c r="E58" s="15">
        <f>IF(C58="","",IFERROR(INDEX(Staff!$L$5:$L$44,MATCH(C58,Staff!$A$5:$A$44,0)),"None"))</f>
        <v>0</v>
      </c>
      <c r="K58" s="26">
        <f>IF(B58="","",ROUND(SUMIFS(Sales!$Y$5:$Y$1204,Sales!$F$5:$F$1204,C58,Sales!$R$5:$R$1204,B58,Sales!$H$5:$H$1204,"Service"),2))</f>
        <v>0</v>
      </c>
      <c r="L58" s="26">
        <f>IF(B58="","",ROUND(SUMIFS(Sales!$W$5:$W$1204,Sales!$F$5:$F$1204,C58,Sales!$R$5:$R$1204,B58,Sales!$H$5:$H$1204,"Service"),2))</f>
        <v>0</v>
      </c>
      <c r="M58" s="26">
        <f>IF(B58="","",ROUND(SUMIFS(Sales!$Y$5:$Y$1204,Sales!$F$5:$F$1204,C58,Sales!$R$5:$R$1204,B58,Sales!$H$5:$H$1204,"Retail"),2))</f>
        <v>0</v>
      </c>
      <c r="N58" s="26">
        <f>IF(B58="","",ROUND(SUMIFS(Sales!$W$5:$W$1204,Sales!$F$5:$F$1204,C58,Sales!$R$5:$R$1204,B58,Sales!$H$5:$H$1204,"Retail"),2))</f>
        <v>0</v>
      </c>
      <c r="O58" s="26">
        <f>IF(B58="","",ROUND(SUMIFS(Sales!$AB$5:$AB$1204,Sales!$F$5:$F$1204,C58,Sales!$R$5:$R$1204,B58,Sales!$H$5:$H$1204,"Service"),2))</f>
        <v>0</v>
      </c>
      <c r="P58" s="25">
        <f>IF(B58="","",COUNTIFS(Sales!$F$5:$F$1204,C58,Sales!$R$5:$R$1204,B58,Sales!$H$5:$H$1204,"Service"))</f>
        <v>0</v>
      </c>
      <c r="Q58" s="26">
        <f>IF(B58="","",IF(CommissionOn="Gross before discounts",L58,K58))</f>
        <v>0</v>
      </c>
      <c r="R58" s="26">
        <f>IF(B58="","",IF(CommissionOn="Gross before discounts",N58,M58))</f>
        <v>0</v>
      </c>
      <c r="S58" s="27">
        <f>IF(B58="","",IF(E58="Tiered on monthly service revenue",IFERROR(INDEX(TierRate,MATCH(Q58,TierFrom,1)),0),IFERROR(IF(INDEX(Staff!$M$5:$M$44,MATCH(C58,Staff!$A$5:$A$44,0))="",ServiceCommission,INDEX(Staff!$M$5:$M$44,MATCH(C58,Staff!$A$5:$A$44,0))),ServiceCommission)))</f>
        <v>0</v>
      </c>
      <c r="T58" s="27">
        <f>IF(B58="","",IFERROR(IF(INDEX(Staff!$N$5:$N$44,MATCH(C58,Staff!$A$5:$A$44,0))="",RetailCommission,INDEX(Staff!$N$5:$N$44,MATCH(C58,Staff!$A$5:$A$44,0))),RetailCommission))</f>
        <v>0</v>
      </c>
      <c r="U58" s="26">
        <f>IF(B58="","",IFERROR(INDEX(Staff!$O$5:$O$44,MATCH(C58,Staff!$A$5:$A$44,0))*1,0))</f>
        <v>0</v>
      </c>
      <c r="V58" s="26">
        <f>IF(B58="","",ROUND(IF(E58="Percent of service",Q58*S58,IF(E58="Percent of service and retail",Q58*S58+R58*T58,IF(E58="Percent after product cost",MAX(0,Q58-O58)*S58,IF(E58="Tiered on monthly service revenue",Q58*S58,IF(E58="Flat amount per service",P58*U58,0))))),2))</f>
        <v>0</v>
      </c>
      <c r="W58" s="26">
        <f>IF(B58="","",ROUND(SUMIFS(Payments!$G$5:$G$1204,Payments!$J$5:$J$1204,C58,Payments!$O$5:$O$1204,B58,Payments!$E$5:$E$1204,"Tip"),2))</f>
        <v>0</v>
      </c>
      <c r="X58" s="26">
        <f>IF(B58="","",ROUND(V58+IF(F58="",0,F58)+IF(G58="",0,G58),2))</f>
        <v>0</v>
      </c>
      <c r="Y58" s="27">
        <f>IF(B58="","",IF(Q58+R58=0,"",X58/(Q58+R58)))</f>
        <v>0</v>
      </c>
      <c r="Z58" s="25">
        <f>IF(B58="","",COUNTIFS($V$5:$V$244,"&gt;"&amp;V58)+COUNTIFS($V$5:V58,V58))</f>
        <v>0</v>
      </c>
      <c r="AA58" s="39">
        <f>IF(B58="","",IF(C58="","Add - whose commission is this?",IF(COUNTIFS($B$5:$B$244,B58,$C$5:$C$244,C58)&gt;1,"Duplicate - two rows for the same month",IF(E58="None","",IF(E58="Rent a chair","",IF(E58="Hourly only","",IF(X58=0,"Check - nothing calculated",IF(H58&lt;&gt;"Yes","Due - waiting for approval",IF(I58="","Due - approved but not paid","OK")))))))))</f>
        <v>0</v>
      </c>
    </row>
    <row r="59" spans="1:27">
      <c r="A59" s="28">
        <f>IF(B59="","",CommissionPrefix&amp;TEXT(ROW()-4,"0000"))</f>
        <v>0</v>
      </c>
      <c r="D59" s="15">
        <f>IF(C59="","",IFERROR(INDEX(Staff!$B$5:$B$44,MATCH(C59,Staff!$A$5:$A$44,0)),"Not in Staff"))</f>
        <v>0</v>
      </c>
      <c r="E59" s="15">
        <f>IF(C59="","",IFERROR(INDEX(Staff!$L$5:$L$44,MATCH(C59,Staff!$A$5:$A$44,0)),"None"))</f>
        <v>0</v>
      </c>
      <c r="K59" s="26">
        <f>IF(B59="","",ROUND(SUMIFS(Sales!$Y$5:$Y$1204,Sales!$F$5:$F$1204,C59,Sales!$R$5:$R$1204,B59,Sales!$H$5:$H$1204,"Service"),2))</f>
        <v>0</v>
      </c>
      <c r="L59" s="26">
        <f>IF(B59="","",ROUND(SUMIFS(Sales!$W$5:$W$1204,Sales!$F$5:$F$1204,C59,Sales!$R$5:$R$1204,B59,Sales!$H$5:$H$1204,"Service"),2))</f>
        <v>0</v>
      </c>
      <c r="M59" s="26">
        <f>IF(B59="","",ROUND(SUMIFS(Sales!$Y$5:$Y$1204,Sales!$F$5:$F$1204,C59,Sales!$R$5:$R$1204,B59,Sales!$H$5:$H$1204,"Retail"),2))</f>
        <v>0</v>
      </c>
      <c r="N59" s="26">
        <f>IF(B59="","",ROUND(SUMIFS(Sales!$W$5:$W$1204,Sales!$F$5:$F$1204,C59,Sales!$R$5:$R$1204,B59,Sales!$H$5:$H$1204,"Retail"),2))</f>
        <v>0</v>
      </c>
      <c r="O59" s="26">
        <f>IF(B59="","",ROUND(SUMIFS(Sales!$AB$5:$AB$1204,Sales!$F$5:$F$1204,C59,Sales!$R$5:$R$1204,B59,Sales!$H$5:$H$1204,"Service"),2))</f>
        <v>0</v>
      </c>
      <c r="P59" s="25">
        <f>IF(B59="","",COUNTIFS(Sales!$F$5:$F$1204,C59,Sales!$R$5:$R$1204,B59,Sales!$H$5:$H$1204,"Service"))</f>
        <v>0</v>
      </c>
      <c r="Q59" s="26">
        <f>IF(B59="","",IF(CommissionOn="Gross before discounts",L59,K59))</f>
        <v>0</v>
      </c>
      <c r="R59" s="26">
        <f>IF(B59="","",IF(CommissionOn="Gross before discounts",N59,M59))</f>
        <v>0</v>
      </c>
      <c r="S59" s="27">
        <f>IF(B59="","",IF(E59="Tiered on monthly service revenue",IFERROR(INDEX(TierRate,MATCH(Q59,TierFrom,1)),0),IFERROR(IF(INDEX(Staff!$M$5:$M$44,MATCH(C59,Staff!$A$5:$A$44,0))="",ServiceCommission,INDEX(Staff!$M$5:$M$44,MATCH(C59,Staff!$A$5:$A$44,0))),ServiceCommission)))</f>
        <v>0</v>
      </c>
      <c r="T59" s="27">
        <f>IF(B59="","",IFERROR(IF(INDEX(Staff!$N$5:$N$44,MATCH(C59,Staff!$A$5:$A$44,0))="",RetailCommission,INDEX(Staff!$N$5:$N$44,MATCH(C59,Staff!$A$5:$A$44,0))),RetailCommission))</f>
        <v>0</v>
      </c>
      <c r="U59" s="26">
        <f>IF(B59="","",IFERROR(INDEX(Staff!$O$5:$O$44,MATCH(C59,Staff!$A$5:$A$44,0))*1,0))</f>
        <v>0</v>
      </c>
      <c r="V59" s="26">
        <f>IF(B59="","",ROUND(IF(E59="Percent of service",Q59*S59,IF(E59="Percent of service and retail",Q59*S59+R59*T59,IF(E59="Percent after product cost",MAX(0,Q59-O59)*S59,IF(E59="Tiered on monthly service revenue",Q59*S59,IF(E59="Flat amount per service",P59*U59,0))))),2))</f>
        <v>0</v>
      </c>
      <c r="W59" s="26">
        <f>IF(B59="","",ROUND(SUMIFS(Payments!$G$5:$G$1204,Payments!$J$5:$J$1204,C59,Payments!$O$5:$O$1204,B59,Payments!$E$5:$E$1204,"Tip"),2))</f>
        <v>0</v>
      </c>
      <c r="X59" s="26">
        <f>IF(B59="","",ROUND(V59+IF(F59="",0,F59)+IF(G59="",0,G59),2))</f>
        <v>0</v>
      </c>
      <c r="Y59" s="27">
        <f>IF(B59="","",IF(Q59+R59=0,"",X59/(Q59+R59)))</f>
        <v>0</v>
      </c>
      <c r="Z59" s="25">
        <f>IF(B59="","",COUNTIFS($V$5:$V$244,"&gt;"&amp;V59)+COUNTIFS($V$5:V59,V59))</f>
        <v>0</v>
      </c>
      <c r="AA59" s="39">
        <f>IF(B59="","",IF(C59="","Add - whose commission is this?",IF(COUNTIFS($B$5:$B$244,B59,$C$5:$C$244,C59)&gt;1,"Duplicate - two rows for the same month",IF(E59="None","",IF(E59="Rent a chair","",IF(E59="Hourly only","",IF(X59=0,"Check - nothing calculated",IF(H59&lt;&gt;"Yes","Due - waiting for approval",IF(I59="","Due - approved but not paid","OK")))))))))</f>
        <v>0</v>
      </c>
    </row>
    <row r="60" spans="1:27">
      <c r="A60" s="28">
        <f>IF(B60="","",CommissionPrefix&amp;TEXT(ROW()-4,"0000"))</f>
        <v>0</v>
      </c>
      <c r="D60" s="15">
        <f>IF(C60="","",IFERROR(INDEX(Staff!$B$5:$B$44,MATCH(C60,Staff!$A$5:$A$44,0)),"Not in Staff"))</f>
        <v>0</v>
      </c>
      <c r="E60" s="15">
        <f>IF(C60="","",IFERROR(INDEX(Staff!$L$5:$L$44,MATCH(C60,Staff!$A$5:$A$44,0)),"None"))</f>
        <v>0</v>
      </c>
      <c r="K60" s="26">
        <f>IF(B60="","",ROUND(SUMIFS(Sales!$Y$5:$Y$1204,Sales!$F$5:$F$1204,C60,Sales!$R$5:$R$1204,B60,Sales!$H$5:$H$1204,"Service"),2))</f>
        <v>0</v>
      </c>
      <c r="L60" s="26">
        <f>IF(B60="","",ROUND(SUMIFS(Sales!$W$5:$W$1204,Sales!$F$5:$F$1204,C60,Sales!$R$5:$R$1204,B60,Sales!$H$5:$H$1204,"Service"),2))</f>
        <v>0</v>
      </c>
      <c r="M60" s="26">
        <f>IF(B60="","",ROUND(SUMIFS(Sales!$Y$5:$Y$1204,Sales!$F$5:$F$1204,C60,Sales!$R$5:$R$1204,B60,Sales!$H$5:$H$1204,"Retail"),2))</f>
        <v>0</v>
      </c>
      <c r="N60" s="26">
        <f>IF(B60="","",ROUND(SUMIFS(Sales!$W$5:$W$1204,Sales!$F$5:$F$1204,C60,Sales!$R$5:$R$1204,B60,Sales!$H$5:$H$1204,"Retail"),2))</f>
        <v>0</v>
      </c>
      <c r="O60" s="26">
        <f>IF(B60="","",ROUND(SUMIFS(Sales!$AB$5:$AB$1204,Sales!$F$5:$F$1204,C60,Sales!$R$5:$R$1204,B60,Sales!$H$5:$H$1204,"Service"),2))</f>
        <v>0</v>
      </c>
      <c r="P60" s="25">
        <f>IF(B60="","",COUNTIFS(Sales!$F$5:$F$1204,C60,Sales!$R$5:$R$1204,B60,Sales!$H$5:$H$1204,"Service"))</f>
        <v>0</v>
      </c>
      <c r="Q60" s="26">
        <f>IF(B60="","",IF(CommissionOn="Gross before discounts",L60,K60))</f>
        <v>0</v>
      </c>
      <c r="R60" s="26">
        <f>IF(B60="","",IF(CommissionOn="Gross before discounts",N60,M60))</f>
        <v>0</v>
      </c>
      <c r="S60" s="27">
        <f>IF(B60="","",IF(E60="Tiered on monthly service revenue",IFERROR(INDEX(TierRate,MATCH(Q60,TierFrom,1)),0),IFERROR(IF(INDEX(Staff!$M$5:$M$44,MATCH(C60,Staff!$A$5:$A$44,0))="",ServiceCommission,INDEX(Staff!$M$5:$M$44,MATCH(C60,Staff!$A$5:$A$44,0))),ServiceCommission)))</f>
        <v>0</v>
      </c>
      <c r="T60" s="27">
        <f>IF(B60="","",IFERROR(IF(INDEX(Staff!$N$5:$N$44,MATCH(C60,Staff!$A$5:$A$44,0))="",RetailCommission,INDEX(Staff!$N$5:$N$44,MATCH(C60,Staff!$A$5:$A$44,0))),RetailCommission))</f>
        <v>0</v>
      </c>
      <c r="U60" s="26">
        <f>IF(B60="","",IFERROR(INDEX(Staff!$O$5:$O$44,MATCH(C60,Staff!$A$5:$A$44,0))*1,0))</f>
        <v>0</v>
      </c>
      <c r="V60" s="26">
        <f>IF(B60="","",ROUND(IF(E60="Percent of service",Q60*S60,IF(E60="Percent of service and retail",Q60*S60+R60*T60,IF(E60="Percent after product cost",MAX(0,Q60-O60)*S60,IF(E60="Tiered on monthly service revenue",Q60*S60,IF(E60="Flat amount per service",P60*U60,0))))),2))</f>
        <v>0</v>
      </c>
      <c r="W60" s="26">
        <f>IF(B60="","",ROUND(SUMIFS(Payments!$G$5:$G$1204,Payments!$J$5:$J$1204,C60,Payments!$O$5:$O$1204,B60,Payments!$E$5:$E$1204,"Tip"),2))</f>
        <v>0</v>
      </c>
      <c r="X60" s="26">
        <f>IF(B60="","",ROUND(V60+IF(F60="",0,F60)+IF(G60="",0,G60),2))</f>
        <v>0</v>
      </c>
      <c r="Y60" s="27">
        <f>IF(B60="","",IF(Q60+R60=0,"",X60/(Q60+R60)))</f>
        <v>0</v>
      </c>
      <c r="Z60" s="25">
        <f>IF(B60="","",COUNTIFS($V$5:$V$244,"&gt;"&amp;V60)+COUNTIFS($V$5:V60,V60))</f>
        <v>0</v>
      </c>
      <c r="AA60" s="39">
        <f>IF(B60="","",IF(C60="","Add - whose commission is this?",IF(COUNTIFS($B$5:$B$244,B60,$C$5:$C$244,C60)&gt;1,"Duplicate - two rows for the same month",IF(E60="None","",IF(E60="Rent a chair","",IF(E60="Hourly only","",IF(X60=0,"Check - nothing calculated",IF(H60&lt;&gt;"Yes","Due - waiting for approval",IF(I60="","Due - approved but not paid","OK")))))))))</f>
        <v>0</v>
      </c>
    </row>
    <row r="61" spans="1:27">
      <c r="A61" s="28">
        <f>IF(B61="","",CommissionPrefix&amp;TEXT(ROW()-4,"0000"))</f>
        <v>0</v>
      </c>
      <c r="D61" s="15">
        <f>IF(C61="","",IFERROR(INDEX(Staff!$B$5:$B$44,MATCH(C61,Staff!$A$5:$A$44,0)),"Not in Staff"))</f>
        <v>0</v>
      </c>
      <c r="E61" s="15">
        <f>IF(C61="","",IFERROR(INDEX(Staff!$L$5:$L$44,MATCH(C61,Staff!$A$5:$A$44,0)),"None"))</f>
        <v>0</v>
      </c>
      <c r="K61" s="26">
        <f>IF(B61="","",ROUND(SUMIFS(Sales!$Y$5:$Y$1204,Sales!$F$5:$F$1204,C61,Sales!$R$5:$R$1204,B61,Sales!$H$5:$H$1204,"Service"),2))</f>
        <v>0</v>
      </c>
      <c r="L61" s="26">
        <f>IF(B61="","",ROUND(SUMIFS(Sales!$W$5:$W$1204,Sales!$F$5:$F$1204,C61,Sales!$R$5:$R$1204,B61,Sales!$H$5:$H$1204,"Service"),2))</f>
        <v>0</v>
      </c>
      <c r="M61" s="26">
        <f>IF(B61="","",ROUND(SUMIFS(Sales!$Y$5:$Y$1204,Sales!$F$5:$F$1204,C61,Sales!$R$5:$R$1204,B61,Sales!$H$5:$H$1204,"Retail"),2))</f>
        <v>0</v>
      </c>
      <c r="N61" s="26">
        <f>IF(B61="","",ROUND(SUMIFS(Sales!$W$5:$W$1204,Sales!$F$5:$F$1204,C61,Sales!$R$5:$R$1204,B61,Sales!$H$5:$H$1204,"Retail"),2))</f>
        <v>0</v>
      </c>
      <c r="O61" s="26">
        <f>IF(B61="","",ROUND(SUMIFS(Sales!$AB$5:$AB$1204,Sales!$F$5:$F$1204,C61,Sales!$R$5:$R$1204,B61,Sales!$H$5:$H$1204,"Service"),2))</f>
        <v>0</v>
      </c>
      <c r="P61" s="25">
        <f>IF(B61="","",COUNTIFS(Sales!$F$5:$F$1204,C61,Sales!$R$5:$R$1204,B61,Sales!$H$5:$H$1204,"Service"))</f>
        <v>0</v>
      </c>
      <c r="Q61" s="26">
        <f>IF(B61="","",IF(CommissionOn="Gross before discounts",L61,K61))</f>
        <v>0</v>
      </c>
      <c r="R61" s="26">
        <f>IF(B61="","",IF(CommissionOn="Gross before discounts",N61,M61))</f>
        <v>0</v>
      </c>
      <c r="S61" s="27">
        <f>IF(B61="","",IF(E61="Tiered on monthly service revenue",IFERROR(INDEX(TierRate,MATCH(Q61,TierFrom,1)),0),IFERROR(IF(INDEX(Staff!$M$5:$M$44,MATCH(C61,Staff!$A$5:$A$44,0))="",ServiceCommission,INDEX(Staff!$M$5:$M$44,MATCH(C61,Staff!$A$5:$A$44,0))),ServiceCommission)))</f>
        <v>0</v>
      </c>
      <c r="T61" s="27">
        <f>IF(B61="","",IFERROR(IF(INDEX(Staff!$N$5:$N$44,MATCH(C61,Staff!$A$5:$A$44,0))="",RetailCommission,INDEX(Staff!$N$5:$N$44,MATCH(C61,Staff!$A$5:$A$44,0))),RetailCommission))</f>
        <v>0</v>
      </c>
      <c r="U61" s="26">
        <f>IF(B61="","",IFERROR(INDEX(Staff!$O$5:$O$44,MATCH(C61,Staff!$A$5:$A$44,0))*1,0))</f>
        <v>0</v>
      </c>
      <c r="V61" s="26">
        <f>IF(B61="","",ROUND(IF(E61="Percent of service",Q61*S61,IF(E61="Percent of service and retail",Q61*S61+R61*T61,IF(E61="Percent after product cost",MAX(0,Q61-O61)*S61,IF(E61="Tiered on monthly service revenue",Q61*S61,IF(E61="Flat amount per service",P61*U61,0))))),2))</f>
        <v>0</v>
      </c>
      <c r="W61" s="26">
        <f>IF(B61="","",ROUND(SUMIFS(Payments!$G$5:$G$1204,Payments!$J$5:$J$1204,C61,Payments!$O$5:$O$1204,B61,Payments!$E$5:$E$1204,"Tip"),2))</f>
        <v>0</v>
      </c>
      <c r="X61" s="26">
        <f>IF(B61="","",ROUND(V61+IF(F61="",0,F61)+IF(G61="",0,G61),2))</f>
        <v>0</v>
      </c>
      <c r="Y61" s="27">
        <f>IF(B61="","",IF(Q61+R61=0,"",X61/(Q61+R61)))</f>
        <v>0</v>
      </c>
      <c r="Z61" s="25">
        <f>IF(B61="","",COUNTIFS($V$5:$V$244,"&gt;"&amp;V61)+COUNTIFS($V$5:V61,V61))</f>
        <v>0</v>
      </c>
      <c r="AA61" s="39">
        <f>IF(B61="","",IF(C61="","Add - whose commission is this?",IF(COUNTIFS($B$5:$B$244,B61,$C$5:$C$244,C61)&gt;1,"Duplicate - two rows for the same month",IF(E61="None","",IF(E61="Rent a chair","",IF(E61="Hourly only","",IF(X61=0,"Check - nothing calculated",IF(H61&lt;&gt;"Yes","Due - waiting for approval",IF(I61="","Due - approved but not paid","OK")))))))))</f>
        <v>0</v>
      </c>
    </row>
    <row r="62" spans="1:27">
      <c r="A62" s="28">
        <f>IF(B62="","",CommissionPrefix&amp;TEXT(ROW()-4,"0000"))</f>
        <v>0</v>
      </c>
      <c r="D62" s="15">
        <f>IF(C62="","",IFERROR(INDEX(Staff!$B$5:$B$44,MATCH(C62,Staff!$A$5:$A$44,0)),"Not in Staff"))</f>
        <v>0</v>
      </c>
      <c r="E62" s="15">
        <f>IF(C62="","",IFERROR(INDEX(Staff!$L$5:$L$44,MATCH(C62,Staff!$A$5:$A$44,0)),"None"))</f>
        <v>0</v>
      </c>
      <c r="K62" s="26">
        <f>IF(B62="","",ROUND(SUMIFS(Sales!$Y$5:$Y$1204,Sales!$F$5:$F$1204,C62,Sales!$R$5:$R$1204,B62,Sales!$H$5:$H$1204,"Service"),2))</f>
        <v>0</v>
      </c>
      <c r="L62" s="26">
        <f>IF(B62="","",ROUND(SUMIFS(Sales!$W$5:$W$1204,Sales!$F$5:$F$1204,C62,Sales!$R$5:$R$1204,B62,Sales!$H$5:$H$1204,"Service"),2))</f>
        <v>0</v>
      </c>
      <c r="M62" s="26">
        <f>IF(B62="","",ROUND(SUMIFS(Sales!$Y$5:$Y$1204,Sales!$F$5:$F$1204,C62,Sales!$R$5:$R$1204,B62,Sales!$H$5:$H$1204,"Retail"),2))</f>
        <v>0</v>
      </c>
      <c r="N62" s="26">
        <f>IF(B62="","",ROUND(SUMIFS(Sales!$W$5:$W$1204,Sales!$F$5:$F$1204,C62,Sales!$R$5:$R$1204,B62,Sales!$H$5:$H$1204,"Retail"),2))</f>
        <v>0</v>
      </c>
      <c r="O62" s="26">
        <f>IF(B62="","",ROUND(SUMIFS(Sales!$AB$5:$AB$1204,Sales!$F$5:$F$1204,C62,Sales!$R$5:$R$1204,B62,Sales!$H$5:$H$1204,"Service"),2))</f>
        <v>0</v>
      </c>
      <c r="P62" s="25">
        <f>IF(B62="","",COUNTIFS(Sales!$F$5:$F$1204,C62,Sales!$R$5:$R$1204,B62,Sales!$H$5:$H$1204,"Service"))</f>
        <v>0</v>
      </c>
      <c r="Q62" s="26">
        <f>IF(B62="","",IF(CommissionOn="Gross before discounts",L62,K62))</f>
        <v>0</v>
      </c>
      <c r="R62" s="26">
        <f>IF(B62="","",IF(CommissionOn="Gross before discounts",N62,M62))</f>
        <v>0</v>
      </c>
      <c r="S62" s="27">
        <f>IF(B62="","",IF(E62="Tiered on monthly service revenue",IFERROR(INDEX(TierRate,MATCH(Q62,TierFrom,1)),0),IFERROR(IF(INDEX(Staff!$M$5:$M$44,MATCH(C62,Staff!$A$5:$A$44,0))="",ServiceCommission,INDEX(Staff!$M$5:$M$44,MATCH(C62,Staff!$A$5:$A$44,0))),ServiceCommission)))</f>
        <v>0</v>
      </c>
      <c r="T62" s="27">
        <f>IF(B62="","",IFERROR(IF(INDEX(Staff!$N$5:$N$44,MATCH(C62,Staff!$A$5:$A$44,0))="",RetailCommission,INDEX(Staff!$N$5:$N$44,MATCH(C62,Staff!$A$5:$A$44,0))),RetailCommission))</f>
        <v>0</v>
      </c>
      <c r="U62" s="26">
        <f>IF(B62="","",IFERROR(INDEX(Staff!$O$5:$O$44,MATCH(C62,Staff!$A$5:$A$44,0))*1,0))</f>
        <v>0</v>
      </c>
      <c r="V62" s="26">
        <f>IF(B62="","",ROUND(IF(E62="Percent of service",Q62*S62,IF(E62="Percent of service and retail",Q62*S62+R62*T62,IF(E62="Percent after product cost",MAX(0,Q62-O62)*S62,IF(E62="Tiered on monthly service revenue",Q62*S62,IF(E62="Flat amount per service",P62*U62,0))))),2))</f>
        <v>0</v>
      </c>
      <c r="W62" s="26">
        <f>IF(B62="","",ROUND(SUMIFS(Payments!$G$5:$G$1204,Payments!$J$5:$J$1204,C62,Payments!$O$5:$O$1204,B62,Payments!$E$5:$E$1204,"Tip"),2))</f>
        <v>0</v>
      </c>
      <c r="X62" s="26">
        <f>IF(B62="","",ROUND(V62+IF(F62="",0,F62)+IF(G62="",0,G62),2))</f>
        <v>0</v>
      </c>
      <c r="Y62" s="27">
        <f>IF(B62="","",IF(Q62+R62=0,"",X62/(Q62+R62)))</f>
        <v>0</v>
      </c>
      <c r="Z62" s="25">
        <f>IF(B62="","",COUNTIFS($V$5:$V$244,"&gt;"&amp;V62)+COUNTIFS($V$5:V62,V62))</f>
        <v>0</v>
      </c>
      <c r="AA62" s="39">
        <f>IF(B62="","",IF(C62="","Add - whose commission is this?",IF(COUNTIFS($B$5:$B$244,B62,$C$5:$C$244,C62)&gt;1,"Duplicate - two rows for the same month",IF(E62="None","",IF(E62="Rent a chair","",IF(E62="Hourly only","",IF(X62=0,"Check - nothing calculated",IF(H62&lt;&gt;"Yes","Due - waiting for approval",IF(I62="","Due - approved but not paid","OK")))))))))</f>
        <v>0</v>
      </c>
    </row>
    <row r="63" spans="1:27">
      <c r="A63" s="28">
        <f>IF(B63="","",CommissionPrefix&amp;TEXT(ROW()-4,"0000"))</f>
        <v>0</v>
      </c>
      <c r="D63" s="15">
        <f>IF(C63="","",IFERROR(INDEX(Staff!$B$5:$B$44,MATCH(C63,Staff!$A$5:$A$44,0)),"Not in Staff"))</f>
        <v>0</v>
      </c>
      <c r="E63" s="15">
        <f>IF(C63="","",IFERROR(INDEX(Staff!$L$5:$L$44,MATCH(C63,Staff!$A$5:$A$44,0)),"None"))</f>
        <v>0</v>
      </c>
      <c r="K63" s="26">
        <f>IF(B63="","",ROUND(SUMIFS(Sales!$Y$5:$Y$1204,Sales!$F$5:$F$1204,C63,Sales!$R$5:$R$1204,B63,Sales!$H$5:$H$1204,"Service"),2))</f>
        <v>0</v>
      </c>
      <c r="L63" s="26">
        <f>IF(B63="","",ROUND(SUMIFS(Sales!$W$5:$W$1204,Sales!$F$5:$F$1204,C63,Sales!$R$5:$R$1204,B63,Sales!$H$5:$H$1204,"Service"),2))</f>
        <v>0</v>
      </c>
      <c r="M63" s="26">
        <f>IF(B63="","",ROUND(SUMIFS(Sales!$Y$5:$Y$1204,Sales!$F$5:$F$1204,C63,Sales!$R$5:$R$1204,B63,Sales!$H$5:$H$1204,"Retail"),2))</f>
        <v>0</v>
      </c>
      <c r="N63" s="26">
        <f>IF(B63="","",ROUND(SUMIFS(Sales!$W$5:$W$1204,Sales!$F$5:$F$1204,C63,Sales!$R$5:$R$1204,B63,Sales!$H$5:$H$1204,"Retail"),2))</f>
        <v>0</v>
      </c>
      <c r="O63" s="26">
        <f>IF(B63="","",ROUND(SUMIFS(Sales!$AB$5:$AB$1204,Sales!$F$5:$F$1204,C63,Sales!$R$5:$R$1204,B63,Sales!$H$5:$H$1204,"Service"),2))</f>
        <v>0</v>
      </c>
      <c r="P63" s="25">
        <f>IF(B63="","",COUNTIFS(Sales!$F$5:$F$1204,C63,Sales!$R$5:$R$1204,B63,Sales!$H$5:$H$1204,"Service"))</f>
        <v>0</v>
      </c>
      <c r="Q63" s="26">
        <f>IF(B63="","",IF(CommissionOn="Gross before discounts",L63,K63))</f>
        <v>0</v>
      </c>
      <c r="R63" s="26">
        <f>IF(B63="","",IF(CommissionOn="Gross before discounts",N63,M63))</f>
        <v>0</v>
      </c>
      <c r="S63" s="27">
        <f>IF(B63="","",IF(E63="Tiered on monthly service revenue",IFERROR(INDEX(TierRate,MATCH(Q63,TierFrom,1)),0),IFERROR(IF(INDEX(Staff!$M$5:$M$44,MATCH(C63,Staff!$A$5:$A$44,0))="",ServiceCommission,INDEX(Staff!$M$5:$M$44,MATCH(C63,Staff!$A$5:$A$44,0))),ServiceCommission)))</f>
        <v>0</v>
      </c>
      <c r="T63" s="27">
        <f>IF(B63="","",IFERROR(IF(INDEX(Staff!$N$5:$N$44,MATCH(C63,Staff!$A$5:$A$44,0))="",RetailCommission,INDEX(Staff!$N$5:$N$44,MATCH(C63,Staff!$A$5:$A$44,0))),RetailCommission))</f>
        <v>0</v>
      </c>
      <c r="U63" s="26">
        <f>IF(B63="","",IFERROR(INDEX(Staff!$O$5:$O$44,MATCH(C63,Staff!$A$5:$A$44,0))*1,0))</f>
        <v>0</v>
      </c>
      <c r="V63" s="26">
        <f>IF(B63="","",ROUND(IF(E63="Percent of service",Q63*S63,IF(E63="Percent of service and retail",Q63*S63+R63*T63,IF(E63="Percent after product cost",MAX(0,Q63-O63)*S63,IF(E63="Tiered on monthly service revenue",Q63*S63,IF(E63="Flat amount per service",P63*U63,0))))),2))</f>
        <v>0</v>
      </c>
      <c r="W63" s="26">
        <f>IF(B63="","",ROUND(SUMIFS(Payments!$G$5:$G$1204,Payments!$J$5:$J$1204,C63,Payments!$O$5:$O$1204,B63,Payments!$E$5:$E$1204,"Tip"),2))</f>
        <v>0</v>
      </c>
      <c r="X63" s="26">
        <f>IF(B63="","",ROUND(V63+IF(F63="",0,F63)+IF(G63="",0,G63),2))</f>
        <v>0</v>
      </c>
      <c r="Y63" s="27">
        <f>IF(B63="","",IF(Q63+R63=0,"",X63/(Q63+R63)))</f>
        <v>0</v>
      </c>
      <c r="Z63" s="25">
        <f>IF(B63="","",COUNTIFS($V$5:$V$244,"&gt;"&amp;V63)+COUNTIFS($V$5:V63,V63))</f>
        <v>0</v>
      </c>
      <c r="AA63" s="39">
        <f>IF(B63="","",IF(C63="","Add - whose commission is this?",IF(COUNTIFS($B$5:$B$244,B63,$C$5:$C$244,C63)&gt;1,"Duplicate - two rows for the same month",IF(E63="None","",IF(E63="Rent a chair","",IF(E63="Hourly only","",IF(X63=0,"Check - nothing calculated",IF(H63&lt;&gt;"Yes","Due - waiting for approval",IF(I63="","Due - approved but not paid","OK")))))))))</f>
        <v>0</v>
      </c>
    </row>
    <row r="64" spans="1:27">
      <c r="A64" s="28">
        <f>IF(B64="","",CommissionPrefix&amp;TEXT(ROW()-4,"0000"))</f>
        <v>0</v>
      </c>
      <c r="D64" s="15">
        <f>IF(C64="","",IFERROR(INDEX(Staff!$B$5:$B$44,MATCH(C64,Staff!$A$5:$A$44,0)),"Not in Staff"))</f>
        <v>0</v>
      </c>
      <c r="E64" s="15">
        <f>IF(C64="","",IFERROR(INDEX(Staff!$L$5:$L$44,MATCH(C64,Staff!$A$5:$A$44,0)),"None"))</f>
        <v>0</v>
      </c>
      <c r="K64" s="26">
        <f>IF(B64="","",ROUND(SUMIFS(Sales!$Y$5:$Y$1204,Sales!$F$5:$F$1204,C64,Sales!$R$5:$R$1204,B64,Sales!$H$5:$H$1204,"Service"),2))</f>
        <v>0</v>
      </c>
      <c r="L64" s="26">
        <f>IF(B64="","",ROUND(SUMIFS(Sales!$W$5:$W$1204,Sales!$F$5:$F$1204,C64,Sales!$R$5:$R$1204,B64,Sales!$H$5:$H$1204,"Service"),2))</f>
        <v>0</v>
      </c>
      <c r="M64" s="26">
        <f>IF(B64="","",ROUND(SUMIFS(Sales!$Y$5:$Y$1204,Sales!$F$5:$F$1204,C64,Sales!$R$5:$R$1204,B64,Sales!$H$5:$H$1204,"Retail"),2))</f>
        <v>0</v>
      </c>
      <c r="N64" s="26">
        <f>IF(B64="","",ROUND(SUMIFS(Sales!$W$5:$W$1204,Sales!$F$5:$F$1204,C64,Sales!$R$5:$R$1204,B64,Sales!$H$5:$H$1204,"Retail"),2))</f>
        <v>0</v>
      </c>
      <c r="O64" s="26">
        <f>IF(B64="","",ROUND(SUMIFS(Sales!$AB$5:$AB$1204,Sales!$F$5:$F$1204,C64,Sales!$R$5:$R$1204,B64,Sales!$H$5:$H$1204,"Service"),2))</f>
        <v>0</v>
      </c>
      <c r="P64" s="25">
        <f>IF(B64="","",COUNTIFS(Sales!$F$5:$F$1204,C64,Sales!$R$5:$R$1204,B64,Sales!$H$5:$H$1204,"Service"))</f>
        <v>0</v>
      </c>
      <c r="Q64" s="26">
        <f>IF(B64="","",IF(CommissionOn="Gross before discounts",L64,K64))</f>
        <v>0</v>
      </c>
      <c r="R64" s="26">
        <f>IF(B64="","",IF(CommissionOn="Gross before discounts",N64,M64))</f>
        <v>0</v>
      </c>
      <c r="S64" s="27">
        <f>IF(B64="","",IF(E64="Tiered on monthly service revenue",IFERROR(INDEX(TierRate,MATCH(Q64,TierFrom,1)),0),IFERROR(IF(INDEX(Staff!$M$5:$M$44,MATCH(C64,Staff!$A$5:$A$44,0))="",ServiceCommission,INDEX(Staff!$M$5:$M$44,MATCH(C64,Staff!$A$5:$A$44,0))),ServiceCommission)))</f>
        <v>0</v>
      </c>
      <c r="T64" s="27">
        <f>IF(B64="","",IFERROR(IF(INDEX(Staff!$N$5:$N$44,MATCH(C64,Staff!$A$5:$A$44,0))="",RetailCommission,INDEX(Staff!$N$5:$N$44,MATCH(C64,Staff!$A$5:$A$44,0))),RetailCommission))</f>
        <v>0</v>
      </c>
      <c r="U64" s="26">
        <f>IF(B64="","",IFERROR(INDEX(Staff!$O$5:$O$44,MATCH(C64,Staff!$A$5:$A$44,0))*1,0))</f>
        <v>0</v>
      </c>
      <c r="V64" s="26">
        <f>IF(B64="","",ROUND(IF(E64="Percent of service",Q64*S64,IF(E64="Percent of service and retail",Q64*S64+R64*T64,IF(E64="Percent after product cost",MAX(0,Q64-O64)*S64,IF(E64="Tiered on monthly service revenue",Q64*S64,IF(E64="Flat amount per service",P64*U64,0))))),2))</f>
        <v>0</v>
      </c>
      <c r="W64" s="26">
        <f>IF(B64="","",ROUND(SUMIFS(Payments!$G$5:$G$1204,Payments!$J$5:$J$1204,C64,Payments!$O$5:$O$1204,B64,Payments!$E$5:$E$1204,"Tip"),2))</f>
        <v>0</v>
      </c>
      <c r="X64" s="26">
        <f>IF(B64="","",ROUND(V64+IF(F64="",0,F64)+IF(G64="",0,G64),2))</f>
        <v>0</v>
      </c>
      <c r="Y64" s="27">
        <f>IF(B64="","",IF(Q64+R64=0,"",X64/(Q64+R64)))</f>
        <v>0</v>
      </c>
      <c r="Z64" s="25">
        <f>IF(B64="","",COUNTIFS($V$5:$V$244,"&gt;"&amp;V64)+COUNTIFS($V$5:V64,V64))</f>
        <v>0</v>
      </c>
      <c r="AA64" s="39">
        <f>IF(B64="","",IF(C64="","Add - whose commission is this?",IF(COUNTIFS($B$5:$B$244,B64,$C$5:$C$244,C64)&gt;1,"Duplicate - two rows for the same month",IF(E64="None","",IF(E64="Rent a chair","",IF(E64="Hourly only","",IF(X64=0,"Check - nothing calculated",IF(H64&lt;&gt;"Yes","Due - waiting for approval",IF(I64="","Due - approved but not paid","OK")))))))))</f>
        <v>0</v>
      </c>
    </row>
    <row r="65" spans="1:27">
      <c r="A65" s="28">
        <f>IF(B65="","",CommissionPrefix&amp;TEXT(ROW()-4,"0000"))</f>
        <v>0</v>
      </c>
      <c r="D65" s="15">
        <f>IF(C65="","",IFERROR(INDEX(Staff!$B$5:$B$44,MATCH(C65,Staff!$A$5:$A$44,0)),"Not in Staff"))</f>
        <v>0</v>
      </c>
      <c r="E65" s="15">
        <f>IF(C65="","",IFERROR(INDEX(Staff!$L$5:$L$44,MATCH(C65,Staff!$A$5:$A$44,0)),"None"))</f>
        <v>0</v>
      </c>
      <c r="K65" s="26">
        <f>IF(B65="","",ROUND(SUMIFS(Sales!$Y$5:$Y$1204,Sales!$F$5:$F$1204,C65,Sales!$R$5:$R$1204,B65,Sales!$H$5:$H$1204,"Service"),2))</f>
        <v>0</v>
      </c>
      <c r="L65" s="26">
        <f>IF(B65="","",ROUND(SUMIFS(Sales!$W$5:$W$1204,Sales!$F$5:$F$1204,C65,Sales!$R$5:$R$1204,B65,Sales!$H$5:$H$1204,"Service"),2))</f>
        <v>0</v>
      </c>
      <c r="M65" s="26">
        <f>IF(B65="","",ROUND(SUMIFS(Sales!$Y$5:$Y$1204,Sales!$F$5:$F$1204,C65,Sales!$R$5:$R$1204,B65,Sales!$H$5:$H$1204,"Retail"),2))</f>
        <v>0</v>
      </c>
      <c r="N65" s="26">
        <f>IF(B65="","",ROUND(SUMIFS(Sales!$W$5:$W$1204,Sales!$F$5:$F$1204,C65,Sales!$R$5:$R$1204,B65,Sales!$H$5:$H$1204,"Retail"),2))</f>
        <v>0</v>
      </c>
      <c r="O65" s="26">
        <f>IF(B65="","",ROUND(SUMIFS(Sales!$AB$5:$AB$1204,Sales!$F$5:$F$1204,C65,Sales!$R$5:$R$1204,B65,Sales!$H$5:$H$1204,"Service"),2))</f>
        <v>0</v>
      </c>
      <c r="P65" s="25">
        <f>IF(B65="","",COUNTIFS(Sales!$F$5:$F$1204,C65,Sales!$R$5:$R$1204,B65,Sales!$H$5:$H$1204,"Service"))</f>
        <v>0</v>
      </c>
      <c r="Q65" s="26">
        <f>IF(B65="","",IF(CommissionOn="Gross before discounts",L65,K65))</f>
        <v>0</v>
      </c>
      <c r="R65" s="26">
        <f>IF(B65="","",IF(CommissionOn="Gross before discounts",N65,M65))</f>
        <v>0</v>
      </c>
      <c r="S65" s="27">
        <f>IF(B65="","",IF(E65="Tiered on monthly service revenue",IFERROR(INDEX(TierRate,MATCH(Q65,TierFrom,1)),0),IFERROR(IF(INDEX(Staff!$M$5:$M$44,MATCH(C65,Staff!$A$5:$A$44,0))="",ServiceCommission,INDEX(Staff!$M$5:$M$44,MATCH(C65,Staff!$A$5:$A$44,0))),ServiceCommission)))</f>
        <v>0</v>
      </c>
      <c r="T65" s="27">
        <f>IF(B65="","",IFERROR(IF(INDEX(Staff!$N$5:$N$44,MATCH(C65,Staff!$A$5:$A$44,0))="",RetailCommission,INDEX(Staff!$N$5:$N$44,MATCH(C65,Staff!$A$5:$A$44,0))),RetailCommission))</f>
        <v>0</v>
      </c>
      <c r="U65" s="26">
        <f>IF(B65="","",IFERROR(INDEX(Staff!$O$5:$O$44,MATCH(C65,Staff!$A$5:$A$44,0))*1,0))</f>
        <v>0</v>
      </c>
      <c r="V65" s="26">
        <f>IF(B65="","",ROUND(IF(E65="Percent of service",Q65*S65,IF(E65="Percent of service and retail",Q65*S65+R65*T65,IF(E65="Percent after product cost",MAX(0,Q65-O65)*S65,IF(E65="Tiered on monthly service revenue",Q65*S65,IF(E65="Flat amount per service",P65*U65,0))))),2))</f>
        <v>0</v>
      </c>
      <c r="W65" s="26">
        <f>IF(B65="","",ROUND(SUMIFS(Payments!$G$5:$G$1204,Payments!$J$5:$J$1204,C65,Payments!$O$5:$O$1204,B65,Payments!$E$5:$E$1204,"Tip"),2))</f>
        <v>0</v>
      </c>
      <c r="X65" s="26">
        <f>IF(B65="","",ROUND(V65+IF(F65="",0,F65)+IF(G65="",0,G65),2))</f>
        <v>0</v>
      </c>
      <c r="Y65" s="27">
        <f>IF(B65="","",IF(Q65+R65=0,"",X65/(Q65+R65)))</f>
        <v>0</v>
      </c>
      <c r="Z65" s="25">
        <f>IF(B65="","",COUNTIFS($V$5:$V$244,"&gt;"&amp;V65)+COUNTIFS($V$5:V65,V65))</f>
        <v>0</v>
      </c>
      <c r="AA65" s="39">
        <f>IF(B65="","",IF(C65="","Add - whose commission is this?",IF(COUNTIFS($B$5:$B$244,B65,$C$5:$C$244,C65)&gt;1,"Duplicate - two rows for the same month",IF(E65="None","",IF(E65="Rent a chair","",IF(E65="Hourly only","",IF(X65=0,"Check - nothing calculated",IF(H65&lt;&gt;"Yes","Due - waiting for approval",IF(I65="","Due - approved but not paid","OK")))))))))</f>
        <v>0</v>
      </c>
    </row>
    <row r="66" spans="1:27">
      <c r="A66" s="28">
        <f>IF(B66="","",CommissionPrefix&amp;TEXT(ROW()-4,"0000"))</f>
        <v>0</v>
      </c>
      <c r="D66" s="15">
        <f>IF(C66="","",IFERROR(INDEX(Staff!$B$5:$B$44,MATCH(C66,Staff!$A$5:$A$44,0)),"Not in Staff"))</f>
        <v>0</v>
      </c>
      <c r="E66" s="15">
        <f>IF(C66="","",IFERROR(INDEX(Staff!$L$5:$L$44,MATCH(C66,Staff!$A$5:$A$44,0)),"None"))</f>
        <v>0</v>
      </c>
      <c r="K66" s="26">
        <f>IF(B66="","",ROUND(SUMIFS(Sales!$Y$5:$Y$1204,Sales!$F$5:$F$1204,C66,Sales!$R$5:$R$1204,B66,Sales!$H$5:$H$1204,"Service"),2))</f>
        <v>0</v>
      </c>
      <c r="L66" s="26">
        <f>IF(B66="","",ROUND(SUMIFS(Sales!$W$5:$W$1204,Sales!$F$5:$F$1204,C66,Sales!$R$5:$R$1204,B66,Sales!$H$5:$H$1204,"Service"),2))</f>
        <v>0</v>
      </c>
      <c r="M66" s="26">
        <f>IF(B66="","",ROUND(SUMIFS(Sales!$Y$5:$Y$1204,Sales!$F$5:$F$1204,C66,Sales!$R$5:$R$1204,B66,Sales!$H$5:$H$1204,"Retail"),2))</f>
        <v>0</v>
      </c>
      <c r="N66" s="26">
        <f>IF(B66="","",ROUND(SUMIFS(Sales!$W$5:$W$1204,Sales!$F$5:$F$1204,C66,Sales!$R$5:$R$1204,B66,Sales!$H$5:$H$1204,"Retail"),2))</f>
        <v>0</v>
      </c>
      <c r="O66" s="26">
        <f>IF(B66="","",ROUND(SUMIFS(Sales!$AB$5:$AB$1204,Sales!$F$5:$F$1204,C66,Sales!$R$5:$R$1204,B66,Sales!$H$5:$H$1204,"Service"),2))</f>
        <v>0</v>
      </c>
      <c r="P66" s="25">
        <f>IF(B66="","",COUNTIFS(Sales!$F$5:$F$1204,C66,Sales!$R$5:$R$1204,B66,Sales!$H$5:$H$1204,"Service"))</f>
        <v>0</v>
      </c>
      <c r="Q66" s="26">
        <f>IF(B66="","",IF(CommissionOn="Gross before discounts",L66,K66))</f>
        <v>0</v>
      </c>
      <c r="R66" s="26">
        <f>IF(B66="","",IF(CommissionOn="Gross before discounts",N66,M66))</f>
        <v>0</v>
      </c>
      <c r="S66" s="27">
        <f>IF(B66="","",IF(E66="Tiered on monthly service revenue",IFERROR(INDEX(TierRate,MATCH(Q66,TierFrom,1)),0),IFERROR(IF(INDEX(Staff!$M$5:$M$44,MATCH(C66,Staff!$A$5:$A$44,0))="",ServiceCommission,INDEX(Staff!$M$5:$M$44,MATCH(C66,Staff!$A$5:$A$44,0))),ServiceCommission)))</f>
        <v>0</v>
      </c>
      <c r="T66" s="27">
        <f>IF(B66="","",IFERROR(IF(INDEX(Staff!$N$5:$N$44,MATCH(C66,Staff!$A$5:$A$44,0))="",RetailCommission,INDEX(Staff!$N$5:$N$44,MATCH(C66,Staff!$A$5:$A$44,0))),RetailCommission))</f>
        <v>0</v>
      </c>
      <c r="U66" s="26">
        <f>IF(B66="","",IFERROR(INDEX(Staff!$O$5:$O$44,MATCH(C66,Staff!$A$5:$A$44,0))*1,0))</f>
        <v>0</v>
      </c>
      <c r="V66" s="26">
        <f>IF(B66="","",ROUND(IF(E66="Percent of service",Q66*S66,IF(E66="Percent of service and retail",Q66*S66+R66*T66,IF(E66="Percent after product cost",MAX(0,Q66-O66)*S66,IF(E66="Tiered on monthly service revenue",Q66*S66,IF(E66="Flat amount per service",P66*U66,0))))),2))</f>
        <v>0</v>
      </c>
      <c r="W66" s="26">
        <f>IF(B66="","",ROUND(SUMIFS(Payments!$G$5:$G$1204,Payments!$J$5:$J$1204,C66,Payments!$O$5:$O$1204,B66,Payments!$E$5:$E$1204,"Tip"),2))</f>
        <v>0</v>
      </c>
      <c r="X66" s="26">
        <f>IF(B66="","",ROUND(V66+IF(F66="",0,F66)+IF(G66="",0,G66),2))</f>
        <v>0</v>
      </c>
      <c r="Y66" s="27">
        <f>IF(B66="","",IF(Q66+R66=0,"",X66/(Q66+R66)))</f>
        <v>0</v>
      </c>
      <c r="Z66" s="25">
        <f>IF(B66="","",COUNTIFS($V$5:$V$244,"&gt;"&amp;V66)+COUNTIFS($V$5:V66,V66))</f>
        <v>0</v>
      </c>
      <c r="AA66" s="39">
        <f>IF(B66="","",IF(C66="","Add - whose commission is this?",IF(COUNTIFS($B$5:$B$244,B66,$C$5:$C$244,C66)&gt;1,"Duplicate - two rows for the same month",IF(E66="None","",IF(E66="Rent a chair","",IF(E66="Hourly only","",IF(X66=0,"Check - nothing calculated",IF(H66&lt;&gt;"Yes","Due - waiting for approval",IF(I66="","Due - approved but not paid","OK")))))))))</f>
        <v>0</v>
      </c>
    </row>
    <row r="67" spans="1:27">
      <c r="A67" s="28">
        <f>IF(B67="","",CommissionPrefix&amp;TEXT(ROW()-4,"0000"))</f>
        <v>0</v>
      </c>
      <c r="D67" s="15">
        <f>IF(C67="","",IFERROR(INDEX(Staff!$B$5:$B$44,MATCH(C67,Staff!$A$5:$A$44,0)),"Not in Staff"))</f>
        <v>0</v>
      </c>
      <c r="E67" s="15">
        <f>IF(C67="","",IFERROR(INDEX(Staff!$L$5:$L$44,MATCH(C67,Staff!$A$5:$A$44,0)),"None"))</f>
        <v>0</v>
      </c>
      <c r="K67" s="26">
        <f>IF(B67="","",ROUND(SUMIFS(Sales!$Y$5:$Y$1204,Sales!$F$5:$F$1204,C67,Sales!$R$5:$R$1204,B67,Sales!$H$5:$H$1204,"Service"),2))</f>
        <v>0</v>
      </c>
      <c r="L67" s="26">
        <f>IF(B67="","",ROUND(SUMIFS(Sales!$W$5:$W$1204,Sales!$F$5:$F$1204,C67,Sales!$R$5:$R$1204,B67,Sales!$H$5:$H$1204,"Service"),2))</f>
        <v>0</v>
      </c>
      <c r="M67" s="26">
        <f>IF(B67="","",ROUND(SUMIFS(Sales!$Y$5:$Y$1204,Sales!$F$5:$F$1204,C67,Sales!$R$5:$R$1204,B67,Sales!$H$5:$H$1204,"Retail"),2))</f>
        <v>0</v>
      </c>
      <c r="N67" s="26">
        <f>IF(B67="","",ROUND(SUMIFS(Sales!$W$5:$W$1204,Sales!$F$5:$F$1204,C67,Sales!$R$5:$R$1204,B67,Sales!$H$5:$H$1204,"Retail"),2))</f>
        <v>0</v>
      </c>
      <c r="O67" s="26">
        <f>IF(B67="","",ROUND(SUMIFS(Sales!$AB$5:$AB$1204,Sales!$F$5:$F$1204,C67,Sales!$R$5:$R$1204,B67,Sales!$H$5:$H$1204,"Service"),2))</f>
        <v>0</v>
      </c>
      <c r="P67" s="25">
        <f>IF(B67="","",COUNTIFS(Sales!$F$5:$F$1204,C67,Sales!$R$5:$R$1204,B67,Sales!$H$5:$H$1204,"Service"))</f>
        <v>0</v>
      </c>
      <c r="Q67" s="26">
        <f>IF(B67="","",IF(CommissionOn="Gross before discounts",L67,K67))</f>
        <v>0</v>
      </c>
      <c r="R67" s="26">
        <f>IF(B67="","",IF(CommissionOn="Gross before discounts",N67,M67))</f>
        <v>0</v>
      </c>
      <c r="S67" s="27">
        <f>IF(B67="","",IF(E67="Tiered on monthly service revenue",IFERROR(INDEX(TierRate,MATCH(Q67,TierFrom,1)),0),IFERROR(IF(INDEX(Staff!$M$5:$M$44,MATCH(C67,Staff!$A$5:$A$44,0))="",ServiceCommission,INDEX(Staff!$M$5:$M$44,MATCH(C67,Staff!$A$5:$A$44,0))),ServiceCommission)))</f>
        <v>0</v>
      </c>
      <c r="T67" s="27">
        <f>IF(B67="","",IFERROR(IF(INDEX(Staff!$N$5:$N$44,MATCH(C67,Staff!$A$5:$A$44,0))="",RetailCommission,INDEX(Staff!$N$5:$N$44,MATCH(C67,Staff!$A$5:$A$44,0))),RetailCommission))</f>
        <v>0</v>
      </c>
      <c r="U67" s="26">
        <f>IF(B67="","",IFERROR(INDEX(Staff!$O$5:$O$44,MATCH(C67,Staff!$A$5:$A$44,0))*1,0))</f>
        <v>0</v>
      </c>
      <c r="V67" s="26">
        <f>IF(B67="","",ROUND(IF(E67="Percent of service",Q67*S67,IF(E67="Percent of service and retail",Q67*S67+R67*T67,IF(E67="Percent after product cost",MAX(0,Q67-O67)*S67,IF(E67="Tiered on monthly service revenue",Q67*S67,IF(E67="Flat amount per service",P67*U67,0))))),2))</f>
        <v>0</v>
      </c>
      <c r="W67" s="26">
        <f>IF(B67="","",ROUND(SUMIFS(Payments!$G$5:$G$1204,Payments!$J$5:$J$1204,C67,Payments!$O$5:$O$1204,B67,Payments!$E$5:$E$1204,"Tip"),2))</f>
        <v>0</v>
      </c>
      <c r="X67" s="26">
        <f>IF(B67="","",ROUND(V67+IF(F67="",0,F67)+IF(G67="",0,G67),2))</f>
        <v>0</v>
      </c>
      <c r="Y67" s="27">
        <f>IF(B67="","",IF(Q67+R67=0,"",X67/(Q67+R67)))</f>
        <v>0</v>
      </c>
      <c r="Z67" s="25">
        <f>IF(B67="","",COUNTIFS($V$5:$V$244,"&gt;"&amp;V67)+COUNTIFS($V$5:V67,V67))</f>
        <v>0</v>
      </c>
      <c r="AA67" s="39">
        <f>IF(B67="","",IF(C67="","Add - whose commission is this?",IF(COUNTIFS($B$5:$B$244,B67,$C$5:$C$244,C67)&gt;1,"Duplicate - two rows for the same month",IF(E67="None","",IF(E67="Rent a chair","",IF(E67="Hourly only","",IF(X67=0,"Check - nothing calculated",IF(H67&lt;&gt;"Yes","Due - waiting for approval",IF(I67="","Due - approved but not paid","OK")))))))))</f>
        <v>0</v>
      </c>
    </row>
    <row r="68" spans="1:27">
      <c r="A68" s="28">
        <f>IF(B68="","",CommissionPrefix&amp;TEXT(ROW()-4,"0000"))</f>
        <v>0</v>
      </c>
      <c r="D68" s="15">
        <f>IF(C68="","",IFERROR(INDEX(Staff!$B$5:$B$44,MATCH(C68,Staff!$A$5:$A$44,0)),"Not in Staff"))</f>
        <v>0</v>
      </c>
      <c r="E68" s="15">
        <f>IF(C68="","",IFERROR(INDEX(Staff!$L$5:$L$44,MATCH(C68,Staff!$A$5:$A$44,0)),"None"))</f>
        <v>0</v>
      </c>
      <c r="K68" s="26">
        <f>IF(B68="","",ROUND(SUMIFS(Sales!$Y$5:$Y$1204,Sales!$F$5:$F$1204,C68,Sales!$R$5:$R$1204,B68,Sales!$H$5:$H$1204,"Service"),2))</f>
        <v>0</v>
      </c>
      <c r="L68" s="26">
        <f>IF(B68="","",ROUND(SUMIFS(Sales!$W$5:$W$1204,Sales!$F$5:$F$1204,C68,Sales!$R$5:$R$1204,B68,Sales!$H$5:$H$1204,"Service"),2))</f>
        <v>0</v>
      </c>
      <c r="M68" s="26">
        <f>IF(B68="","",ROUND(SUMIFS(Sales!$Y$5:$Y$1204,Sales!$F$5:$F$1204,C68,Sales!$R$5:$R$1204,B68,Sales!$H$5:$H$1204,"Retail"),2))</f>
        <v>0</v>
      </c>
      <c r="N68" s="26">
        <f>IF(B68="","",ROUND(SUMIFS(Sales!$W$5:$W$1204,Sales!$F$5:$F$1204,C68,Sales!$R$5:$R$1204,B68,Sales!$H$5:$H$1204,"Retail"),2))</f>
        <v>0</v>
      </c>
      <c r="O68" s="26">
        <f>IF(B68="","",ROUND(SUMIFS(Sales!$AB$5:$AB$1204,Sales!$F$5:$F$1204,C68,Sales!$R$5:$R$1204,B68,Sales!$H$5:$H$1204,"Service"),2))</f>
        <v>0</v>
      </c>
      <c r="P68" s="25">
        <f>IF(B68="","",COUNTIFS(Sales!$F$5:$F$1204,C68,Sales!$R$5:$R$1204,B68,Sales!$H$5:$H$1204,"Service"))</f>
        <v>0</v>
      </c>
      <c r="Q68" s="26">
        <f>IF(B68="","",IF(CommissionOn="Gross before discounts",L68,K68))</f>
        <v>0</v>
      </c>
      <c r="R68" s="26">
        <f>IF(B68="","",IF(CommissionOn="Gross before discounts",N68,M68))</f>
        <v>0</v>
      </c>
      <c r="S68" s="27">
        <f>IF(B68="","",IF(E68="Tiered on monthly service revenue",IFERROR(INDEX(TierRate,MATCH(Q68,TierFrom,1)),0),IFERROR(IF(INDEX(Staff!$M$5:$M$44,MATCH(C68,Staff!$A$5:$A$44,0))="",ServiceCommission,INDEX(Staff!$M$5:$M$44,MATCH(C68,Staff!$A$5:$A$44,0))),ServiceCommission)))</f>
        <v>0</v>
      </c>
      <c r="T68" s="27">
        <f>IF(B68="","",IFERROR(IF(INDEX(Staff!$N$5:$N$44,MATCH(C68,Staff!$A$5:$A$44,0))="",RetailCommission,INDEX(Staff!$N$5:$N$44,MATCH(C68,Staff!$A$5:$A$44,0))),RetailCommission))</f>
        <v>0</v>
      </c>
      <c r="U68" s="26">
        <f>IF(B68="","",IFERROR(INDEX(Staff!$O$5:$O$44,MATCH(C68,Staff!$A$5:$A$44,0))*1,0))</f>
        <v>0</v>
      </c>
      <c r="V68" s="26">
        <f>IF(B68="","",ROUND(IF(E68="Percent of service",Q68*S68,IF(E68="Percent of service and retail",Q68*S68+R68*T68,IF(E68="Percent after product cost",MAX(0,Q68-O68)*S68,IF(E68="Tiered on monthly service revenue",Q68*S68,IF(E68="Flat amount per service",P68*U68,0))))),2))</f>
        <v>0</v>
      </c>
      <c r="W68" s="26">
        <f>IF(B68="","",ROUND(SUMIFS(Payments!$G$5:$G$1204,Payments!$J$5:$J$1204,C68,Payments!$O$5:$O$1204,B68,Payments!$E$5:$E$1204,"Tip"),2))</f>
        <v>0</v>
      </c>
      <c r="X68" s="26">
        <f>IF(B68="","",ROUND(V68+IF(F68="",0,F68)+IF(G68="",0,G68),2))</f>
        <v>0</v>
      </c>
      <c r="Y68" s="27">
        <f>IF(B68="","",IF(Q68+R68=0,"",X68/(Q68+R68)))</f>
        <v>0</v>
      </c>
      <c r="Z68" s="25">
        <f>IF(B68="","",COUNTIFS($V$5:$V$244,"&gt;"&amp;V68)+COUNTIFS($V$5:V68,V68))</f>
        <v>0</v>
      </c>
      <c r="AA68" s="39">
        <f>IF(B68="","",IF(C68="","Add - whose commission is this?",IF(COUNTIFS($B$5:$B$244,B68,$C$5:$C$244,C68)&gt;1,"Duplicate - two rows for the same month",IF(E68="None","",IF(E68="Rent a chair","",IF(E68="Hourly only","",IF(X68=0,"Check - nothing calculated",IF(H68&lt;&gt;"Yes","Due - waiting for approval",IF(I68="","Due - approved but not paid","OK")))))))))</f>
        <v>0</v>
      </c>
    </row>
    <row r="69" spans="1:27">
      <c r="A69" s="28">
        <f>IF(B69="","",CommissionPrefix&amp;TEXT(ROW()-4,"0000"))</f>
        <v>0</v>
      </c>
      <c r="D69" s="15">
        <f>IF(C69="","",IFERROR(INDEX(Staff!$B$5:$B$44,MATCH(C69,Staff!$A$5:$A$44,0)),"Not in Staff"))</f>
        <v>0</v>
      </c>
      <c r="E69" s="15">
        <f>IF(C69="","",IFERROR(INDEX(Staff!$L$5:$L$44,MATCH(C69,Staff!$A$5:$A$44,0)),"None"))</f>
        <v>0</v>
      </c>
      <c r="K69" s="26">
        <f>IF(B69="","",ROUND(SUMIFS(Sales!$Y$5:$Y$1204,Sales!$F$5:$F$1204,C69,Sales!$R$5:$R$1204,B69,Sales!$H$5:$H$1204,"Service"),2))</f>
        <v>0</v>
      </c>
      <c r="L69" s="26">
        <f>IF(B69="","",ROUND(SUMIFS(Sales!$W$5:$W$1204,Sales!$F$5:$F$1204,C69,Sales!$R$5:$R$1204,B69,Sales!$H$5:$H$1204,"Service"),2))</f>
        <v>0</v>
      </c>
      <c r="M69" s="26">
        <f>IF(B69="","",ROUND(SUMIFS(Sales!$Y$5:$Y$1204,Sales!$F$5:$F$1204,C69,Sales!$R$5:$R$1204,B69,Sales!$H$5:$H$1204,"Retail"),2))</f>
        <v>0</v>
      </c>
      <c r="N69" s="26">
        <f>IF(B69="","",ROUND(SUMIFS(Sales!$W$5:$W$1204,Sales!$F$5:$F$1204,C69,Sales!$R$5:$R$1204,B69,Sales!$H$5:$H$1204,"Retail"),2))</f>
        <v>0</v>
      </c>
      <c r="O69" s="26">
        <f>IF(B69="","",ROUND(SUMIFS(Sales!$AB$5:$AB$1204,Sales!$F$5:$F$1204,C69,Sales!$R$5:$R$1204,B69,Sales!$H$5:$H$1204,"Service"),2))</f>
        <v>0</v>
      </c>
      <c r="P69" s="25">
        <f>IF(B69="","",COUNTIFS(Sales!$F$5:$F$1204,C69,Sales!$R$5:$R$1204,B69,Sales!$H$5:$H$1204,"Service"))</f>
        <v>0</v>
      </c>
      <c r="Q69" s="26">
        <f>IF(B69="","",IF(CommissionOn="Gross before discounts",L69,K69))</f>
        <v>0</v>
      </c>
      <c r="R69" s="26">
        <f>IF(B69="","",IF(CommissionOn="Gross before discounts",N69,M69))</f>
        <v>0</v>
      </c>
      <c r="S69" s="27">
        <f>IF(B69="","",IF(E69="Tiered on monthly service revenue",IFERROR(INDEX(TierRate,MATCH(Q69,TierFrom,1)),0),IFERROR(IF(INDEX(Staff!$M$5:$M$44,MATCH(C69,Staff!$A$5:$A$44,0))="",ServiceCommission,INDEX(Staff!$M$5:$M$44,MATCH(C69,Staff!$A$5:$A$44,0))),ServiceCommission)))</f>
        <v>0</v>
      </c>
      <c r="T69" s="27">
        <f>IF(B69="","",IFERROR(IF(INDEX(Staff!$N$5:$N$44,MATCH(C69,Staff!$A$5:$A$44,0))="",RetailCommission,INDEX(Staff!$N$5:$N$44,MATCH(C69,Staff!$A$5:$A$44,0))),RetailCommission))</f>
        <v>0</v>
      </c>
      <c r="U69" s="26">
        <f>IF(B69="","",IFERROR(INDEX(Staff!$O$5:$O$44,MATCH(C69,Staff!$A$5:$A$44,0))*1,0))</f>
        <v>0</v>
      </c>
      <c r="V69" s="26">
        <f>IF(B69="","",ROUND(IF(E69="Percent of service",Q69*S69,IF(E69="Percent of service and retail",Q69*S69+R69*T69,IF(E69="Percent after product cost",MAX(0,Q69-O69)*S69,IF(E69="Tiered on monthly service revenue",Q69*S69,IF(E69="Flat amount per service",P69*U69,0))))),2))</f>
        <v>0</v>
      </c>
      <c r="W69" s="26">
        <f>IF(B69="","",ROUND(SUMIFS(Payments!$G$5:$G$1204,Payments!$J$5:$J$1204,C69,Payments!$O$5:$O$1204,B69,Payments!$E$5:$E$1204,"Tip"),2))</f>
        <v>0</v>
      </c>
      <c r="X69" s="26">
        <f>IF(B69="","",ROUND(V69+IF(F69="",0,F69)+IF(G69="",0,G69),2))</f>
        <v>0</v>
      </c>
      <c r="Y69" s="27">
        <f>IF(B69="","",IF(Q69+R69=0,"",X69/(Q69+R69)))</f>
        <v>0</v>
      </c>
      <c r="Z69" s="25">
        <f>IF(B69="","",COUNTIFS($V$5:$V$244,"&gt;"&amp;V69)+COUNTIFS($V$5:V69,V69))</f>
        <v>0</v>
      </c>
      <c r="AA69" s="39">
        <f>IF(B69="","",IF(C69="","Add - whose commission is this?",IF(COUNTIFS($B$5:$B$244,B69,$C$5:$C$244,C69)&gt;1,"Duplicate - two rows for the same month",IF(E69="None","",IF(E69="Rent a chair","",IF(E69="Hourly only","",IF(X69=0,"Check - nothing calculated",IF(H69&lt;&gt;"Yes","Due - waiting for approval",IF(I69="","Due - approved but not paid","OK")))))))))</f>
        <v>0</v>
      </c>
    </row>
    <row r="70" spans="1:27">
      <c r="A70" s="28">
        <f>IF(B70="","",CommissionPrefix&amp;TEXT(ROW()-4,"0000"))</f>
        <v>0</v>
      </c>
      <c r="D70" s="15">
        <f>IF(C70="","",IFERROR(INDEX(Staff!$B$5:$B$44,MATCH(C70,Staff!$A$5:$A$44,0)),"Not in Staff"))</f>
        <v>0</v>
      </c>
      <c r="E70" s="15">
        <f>IF(C70="","",IFERROR(INDEX(Staff!$L$5:$L$44,MATCH(C70,Staff!$A$5:$A$44,0)),"None"))</f>
        <v>0</v>
      </c>
      <c r="K70" s="26">
        <f>IF(B70="","",ROUND(SUMIFS(Sales!$Y$5:$Y$1204,Sales!$F$5:$F$1204,C70,Sales!$R$5:$R$1204,B70,Sales!$H$5:$H$1204,"Service"),2))</f>
        <v>0</v>
      </c>
      <c r="L70" s="26">
        <f>IF(B70="","",ROUND(SUMIFS(Sales!$W$5:$W$1204,Sales!$F$5:$F$1204,C70,Sales!$R$5:$R$1204,B70,Sales!$H$5:$H$1204,"Service"),2))</f>
        <v>0</v>
      </c>
      <c r="M70" s="26">
        <f>IF(B70="","",ROUND(SUMIFS(Sales!$Y$5:$Y$1204,Sales!$F$5:$F$1204,C70,Sales!$R$5:$R$1204,B70,Sales!$H$5:$H$1204,"Retail"),2))</f>
        <v>0</v>
      </c>
      <c r="N70" s="26">
        <f>IF(B70="","",ROUND(SUMIFS(Sales!$W$5:$W$1204,Sales!$F$5:$F$1204,C70,Sales!$R$5:$R$1204,B70,Sales!$H$5:$H$1204,"Retail"),2))</f>
        <v>0</v>
      </c>
      <c r="O70" s="26">
        <f>IF(B70="","",ROUND(SUMIFS(Sales!$AB$5:$AB$1204,Sales!$F$5:$F$1204,C70,Sales!$R$5:$R$1204,B70,Sales!$H$5:$H$1204,"Service"),2))</f>
        <v>0</v>
      </c>
      <c r="P70" s="25">
        <f>IF(B70="","",COUNTIFS(Sales!$F$5:$F$1204,C70,Sales!$R$5:$R$1204,B70,Sales!$H$5:$H$1204,"Service"))</f>
        <v>0</v>
      </c>
      <c r="Q70" s="26">
        <f>IF(B70="","",IF(CommissionOn="Gross before discounts",L70,K70))</f>
        <v>0</v>
      </c>
      <c r="R70" s="26">
        <f>IF(B70="","",IF(CommissionOn="Gross before discounts",N70,M70))</f>
        <v>0</v>
      </c>
      <c r="S70" s="27">
        <f>IF(B70="","",IF(E70="Tiered on monthly service revenue",IFERROR(INDEX(TierRate,MATCH(Q70,TierFrom,1)),0),IFERROR(IF(INDEX(Staff!$M$5:$M$44,MATCH(C70,Staff!$A$5:$A$44,0))="",ServiceCommission,INDEX(Staff!$M$5:$M$44,MATCH(C70,Staff!$A$5:$A$44,0))),ServiceCommission)))</f>
        <v>0</v>
      </c>
      <c r="T70" s="27">
        <f>IF(B70="","",IFERROR(IF(INDEX(Staff!$N$5:$N$44,MATCH(C70,Staff!$A$5:$A$44,0))="",RetailCommission,INDEX(Staff!$N$5:$N$44,MATCH(C70,Staff!$A$5:$A$44,0))),RetailCommission))</f>
        <v>0</v>
      </c>
      <c r="U70" s="26">
        <f>IF(B70="","",IFERROR(INDEX(Staff!$O$5:$O$44,MATCH(C70,Staff!$A$5:$A$44,0))*1,0))</f>
        <v>0</v>
      </c>
      <c r="V70" s="26">
        <f>IF(B70="","",ROUND(IF(E70="Percent of service",Q70*S70,IF(E70="Percent of service and retail",Q70*S70+R70*T70,IF(E70="Percent after product cost",MAX(0,Q70-O70)*S70,IF(E70="Tiered on monthly service revenue",Q70*S70,IF(E70="Flat amount per service",P70*U70,0))))),2))</f>
        <v>0</v>
      </c>
      <c r="W70" s="26">
        <f>IF(B70="","",ROUND(SUMIFS(Payments!$G$5:$G$1204,Payments!$J$5:$J$1204,C70,Payments!$O$5:$O$1204,B70,Payments!$E$5:$E$1204,"Tip"),2))</f>
        <v>0</v>
      </c>
      <c r="X70" s="26">
        <f>IF(B70="","",ROUND(V70+IF(F70="",0,F70)+IF(G70="",0,G70),2))</f>
        <v>0</v>
      </c>
      <c r="Y70" s="27">
        <f>IF(B70="","",IF(Q70+R70=0,"",X70/(Q70+R70)))</f>
        <v>0</v>
      </c>
      <c r="Z70" s="25">
        <f>IF(B70="","",COUNTIFS($V$5:$V$244,"&gt;"&amp;V70)+COUNTIFS($V$5:V70,V70))</f>
        <v>0</v>
      </c>
      <c r="AA70" s="39">
        <f>IF(B70="","",IF(C70="","Add - whose commission is this?",IF(COUNTIFS($B$5:$B$244,B70,$C$5:$C$244,C70)&gt;1,"Duplicate - two rows for the same month",IF(E70="None","",IF(E70="Rent a chair","",IF(E70="Hourly only","",IF(X70=0,"Check - nothing calculated",IF(H70&lt;&gt;"Yes","Due - waiting for approval",IF(I70="","Due - approved but not paid","OK")))))))))</f>
        <v>0</v>
      </c>
    </row>
    <row r="71" spans="1:27">
      <c r="A71" s="28">
        <f>IF(B71="","",CommissionPrefix&amp;TEXT(ROW()-4,"0000"))</f>
        <v>0</v>
      </c>
      <c r="D71" s="15">
        <f>IF(C71="","",IFERROR(INDEX(Staff!$B$5:$B$44,MATCH(C71,Staff!$A$5:$A$44,0)),"Not in Staff"))</f>
        <v>0</v>
      </c>
      <c r="E71" s="15">
        <f>IF(C71="","",IFERROR(INDEX(Staff!$L$5:$L$44,MATCH(C71,Staff!$A$5:$A$44,0)),"None"))</f>
        <v>0</v>
      </c>
      <c r="K71" s="26">
        <f>IF(B71="","",ROUND(SUMIFS(Sales!$Y$5:$Y$1204,Sales!$F$5:$F$1204,C71,Sales!$R$5:$R$1204,B71,Sales!$H$5:$H$1204,"Service"),2))</f>
        <v>0</v>
      </c>
      <c r="L71" s="26">
        <f>IF(B71="","",ROUND(SUMIFS(Sales!$W$5:$W$1204,Sales!$F$5:$F$1204,C71,Sales!$R$5:$R$1204,B71,Sales!$H$5:$H$1204,"Service"),2))</f>
        <v>0</v>
      </c>
      <c r="M71" s="26">
        <f>IF(B71="","",ROUND(SUMIFS(Sales!$Y$5:$Y$1204,Sales!$F$5:$F$1204,C71,Sales!$R$5:$R$1204,B71,Sales!$H$5:$H$1204,"Retail"),2))</f>
        <v>0</v>
      </c>
      <c r="N71" s="26">
        <f>IF(B71="","",ROUND(SUMIFS(Sales!$W$5:$W$1204,Sales!$F$5:$F$1204,C71,Sales!$R$5:$R$1204,B71,Sales!$H$5:$H$1204,"Retail"),2))</f>
        <v>0</v>
      </c>
      <c r="O71" s="26">
        <f>IF(B71="","",ROUND(SUMIFS(Sales!$AB$5:$AB$1204,Sales!$F$5:$F$1204,C71,Sales!$R$5:$R$1204,B71,Sales!$H$5:$H$1204,"Service"),2))</f>
        <v>0</v>
      </c>
      <c r="P71" s="25">
        <f>IF(B71="","",COUNTIFS(Sales!$F$5:$F$1204,C71,Sales!$R$5:$R$1204,B71,Sales!$H$5:$H$1204,"Service"))</f>
        <v>0</v>
      </c>
      <c r="Q71" s="26">
        <f>IF(B71="","",IF(CommissionOn="Gross before discounts",L71,K71))</f>
        <v>0</v>
      </c>
      <c r="R71" s="26">
        <f>IF(B71="","",IF(CommissionOn="Gross before discounts",N71,M71))</f>
        <v>0</v>
      </c>
      <c r="S71" s="27">
        <f>IF(B71="","",IF(E71="Tiered on monthly service revenue",IFERROR(INDEX(TierRate,MATCH(Q71,TierFrom,1)),0),IFERROR(IF(INDEX(Staff!$M$5:$M$44,MATCH(C71,Staff!$A$5:$A$44,0))="",ServiceCommission,INDEX(Staff!$M$5:$M$44,MATCH(C71,Staff!$A$5:$A$44,0))),ServiceCommission)))</f>
        <v>0</v>
      </c>
      <c r="T71" s="27">
        <f>IF(B71="","",IFERROR(IF(INDEX(Staff!$N$5:$N$44,MATCH(C71,Staff!$A$5:$A$44,0))="",RetailCommission,INDEX(Staff!$N$5:$N$44,MATCH(C71,Staff!$A$5:$A$44,0))),RetailCommission))</f>
        <v>0</v>
      </c>
      <c r="U71" s="26">
        <f>IF(B71="","",IFERROR(INDEX(Staff!$O$5:$O$44,MATCH(C71,Staff!$A$5:$A$44,0))*1,0))</f>
        <v>0</v>
      </c>
      <c r="V71" s="26">
        <f>IF(B71="","",ROUND(IF(E71="Percent of service",Q71*S71,IF(E71="Percent of service and retail",Q71*S71+R71*T71,IF(E71="Percent after product cost",MAX(0,Q71-O71)*S71,IF(E71="Tiered on monthly service revenue",Q71*S71,IF(E71="Flat amount per service",P71*U71,0))))),2))</f>
        <v>0</v>
      </c>
      <c r="W71" s="26">
        <f>IF(B71="","",ROUND(SUMIFS(Payments!$G$5:$G$1204,Payments!$J$5:$J$1204,C71,Payments!$O$5:$O$1204,B71,Payments!$E$5:$E$1204,"Tip"),2))</f>
        <v>0</v>
      </c>
      <c r="X71" s="26">
        <f>IF(B71="","",ROUND(V71+IF(F71="",0,F71)+IF(G71="",0,G71),2))</f>
        <v>0</v>
      </c>
      <c r="Y71" s="27">
        <f>IF(B71="","",IF(Q71+R71=0,"",X71/(Q71+R71)))</f>
        <v>0</v>
      </c>
      <c r="Z71" s="25">
        <f>IF(B71="","",COUNTIFS($V$5:$V$244,"&gt;"&amp;V71)+COUNTIFS($V$5:V71,V71))</f>
        <v>0</v>
      </c>
      <c r="AA71" s="39">
        <f>IF(B71="","",IF(C71="","Add - whose commission is this?",IF(COUNTIFS($B$5:$B$244,B71,$C$5:$C$244,C71)&gt;1,"Duplicate - two rows for the same month",IF(E71="None","",IF(E71="Rent a chair","",IF(E71="Hourly only","",IF(X71=0,"Check - nothing calculated",IF(H71&lt;&gt;"Yes","Due - waiting for approval",IF(I71="","Due - approved but not paid","OK")))))))))</f>
        <v>0</v>
      </c>
    </row>
    <row r="72" spans="1:27">
      <c r="A72" s="28">
        <f>IF(B72="","",CommissionPrefix&amp;TEXT(ROW()-4,"0000"))</f>
        <v>0</v>
      </c>
      <c r="D72" s="15">
        <f>IF(C72="","",IFERROR(INDEX(Staff!$B$5:$B$44,MATCH(C72,Staff!$A$5:$A$44,0)),"Not in Staff"))</f>
        <v>0</v>
      </c>
      <c r="E72" s="15">
        <f>IF(C72="","",IFERROR(INDEX(Staff!$L$5:$L$44,MATCH(C72,Staff!$A$5:$A$44,0)),"None"))</f>
        <v>0</v>
      </c>
      <c r="K72" s="26">
        <f>IF(B72="","",ROUND(SUMIFS(Sales!$Y$5:$Y$1204,Sales!$F$5:$F$1204,C72,Sales!$R$5:$R$1204,B72,Sales!$H$5:$H$1204,"Service"),2))</f>
        <v>0</v>
      </c>
      <c r="L72" s="26">
        <f>IF(B72="","",ROUND(SUMIFS(Sales!$W$5:$W$1204,Sales!$F$5:$F$1204,C72,Sales!$R$5:$R$1204,B72,Sales!$H$5:$H$1204,"Service"),2))</f>
        <v>0</v>
      </c>
      <c r="M72" s="26">
        <f>IF(B72="","",ROUND(SUMIFS(Sales!$Y$5:$Y$1204,Sales!$F$5:$F$1204,C72,Sales!$R$5:$R$1204,B72,Sales!$H$5:$H$1204,"Retail"),2))</f>
        <v>0</v>
      </c>
      <c r="N72" s="26">
        <f>IF(B72="","",ROUND(SUMIFS(Sales!$W$5:$W$1204,Sales!$F$5:$F$1204,C72,Sales!$R$5:$R$1204,B72,Sales!$H$5:$H$1204,"Retail"),2))</f>
        <v>0</v>
      </c>
      <c r="O72" s="26">
        <f>IF(B72="","",ROUND(SUMIFS(Sales!$AB$5:$AB$1204,Sales!$F$5:$F$1204,C72,Sales!$R$5:$R$1204,B72,Sales!$H$5:$H$1204,"Service"),2))</f>
        <v>0</v>
      </c>
      <c r="P72" s="25">
        <f>IF(B72="","",COUNTIFS(Sales!$F$5:$F$1204,C72,Sales!$R$5:$R$1204,B72,Sales!$H$5:$H$1204,"Service"))</f>
        <v>0</v>
      </c>
      <c r="Q72" s="26">
        <f>IF(B72="","",IF(CommissionOn="Gross before discounts",L72,K72))</f>
        <v>0</v>
      </c>
      <c r="R72" s="26">
        <f>IF(B72="","",IF(CommissionOn="Gross before discounts",N72,M72))</f>
        <v>0</v>
      </c>
      <c r="S72" s="27">
        <f>IF(B72="","",IF(E72="Tiered on monthly service revenue",IFERROR(INDEX(TierRate,MATCH(Q72,TierFrom,1)),0),IFERROR(IF(INDEX(Staff!$M$5:$M$44,MATCH(C72,Staff!$A$5:$A$44,0))="",ServiceCommission,INDEX(Staff!$M$5:$M$44,MATCH(C72,Staff!$A$5:$A$44,0))),ServiceCommission)))</f>
        <v>0</v>
      </c>
      <c r="T72" s="27">
        <f>IF(B72="","",IFERROR(IF(INDEX(Staff!$N$5:$N$44,MATCH(C72,Staff!$A$5:$A$44,0))="",RetailCommission,INDEX(Staff!$N$5:$N$44,MATCH(C72,Staff!$A$5:$A$44,0))),RetailCommission))</f>
        <v>0</v>
      </c>
      <c r="U72" s="26">
        <f>IF(B72="","",IFERROR(INDEX(Staff!$O$5:$O$44,MATCH(C72,Staff!$A$5:$A$44,0))*1,0))</f>
        <v>0</v>
      </c>
      <c r="V72" s="26">
        <f>IF(B72="","",ROUND(IF(E72="Percent of service",Q72*S72,IF(E72="Percent of service and retail",Q72*S72+R72*T72,IF(E72="Percent after product cost",MAX(0,Q72-O72)*S72,IF(E72="Tiered on monthly service revenue",Q72*S72,IF(E72="Flat amount per service",P72*U72,0))))),2))</f>
        <v>0</v>
      </c>
      <c r="W72" s="26">
        <f>IF(B72="","",ROUND(SUMIFS(Payments!$G$5:$G$1204,Payments!$J$5:$J$1204,C72,Payments!$O$5:$O$1204,B72,Payments!$E$5:$E$1204,"Tip"),2))</f>
        <v>0</v>
      </c>
      <c r="X72" s="26">
        <f>IF(B72="","",ROUND(V72+IF(F72="",0,F72)+IF(G72="",0,G72),2))</f>
        <v>0</v>
      </c>
      <c r="Y72" s="27">
        <f>IF(B72="","",IF(Q72+R72=0,"",X72/(Q72+R72)))</f>
        <v>0</v>
      </c>
      <c r="Z72" s="25">
        <f>IF(B72="","",COUNTIFS($V$5:$V$244,"&gt;"&amp;V72)+COUNTIFS($V$5:V72,V72))</f>
        <v>0</v>
      </c>
      <c r="AA72" s="39">
        <f>IF(B72="","",IF(C72="","Add - whose commission is this?",IF(COUNTIFS($B$5:$B$244,B72,$C$5:$C$244,C72)&gt;1,"Duplicate - two rows for the same month",IF(E72="None","",IF(E72="Rent a chair","",IF(E72="Hourly only","",IF(X72=0,"Check - nothing calculated",IF(H72&lt;&gt;"Yes","Due - waiting for approval",IF(I72="","Due - approved but not paid","OK")))))))))</f>
        <v>0</v>
      </c>
    </row>
    <row r="73" spans="1:27">
      <c r="A73" s="28">
        <f>IF(B73="","",CommissionPrefix&amp;TEXT(ROW()-4,"0000"))</f>
        <v>0</v>
      </c>
      <c r="D73" s="15">
        <f>IF(C73="","",IFERROR(INDEX(Staff!$B$5:$B$44,MATCH(C73,Staff!$A$5:$A$44,0)),"Not in Staff"))</f>
        <v>0</v>
      </c>
      <c r="E73" s="15">
        <f>IF(C73="","",IFERROR(INDEX(Staff!$L$5:$L$44,MATCH(C73,Staff!$A$5:$A$44,0)),"None"))</f>
        <v>0</v>
      </c>
      <c r="K73" s="26">
        <f>IF(B73="","",ROUND(SUMIFS(Sales!$Y$5:$Y$1204,Sales!$F$5:$F$1204,C73,Sales!$R$5:$R$1204,B73,Sales!$H$5:$H$1204,"Service"),2))</f>
        <v>0</v>
      </c>
      <c r="L73" s="26">
        <f>IF(B73="","",ROUND(SUMIFS(Sales!$W$5:$W$1204,Sales!$F$5:$F$1204,C73,Sales!$R$5:$R$1204,B73,Sales!$H$5:$H$1204,"Service"),2))</f>
        <v>0</v>
      </c>
      <c r="M73" s="26">
        <f>IF(B73="","",ROUND(SUMIFS(Sales!$Y$5:$Y$1204,Sales!$F$5:$F$1204,C73,Sales!$R$5:$R$1204,B73,Sales!$H$5:$H$1204,"Retail"),2))</f>
        <v>0</v>
      </c>
      <c r="N73" s="26">
        <f>IF(B73="","",ROUND(SUMIFS(Sales!$W$5:$W$1204,Sales!$F$5:$F$1204,C73,Sales!$R$5:$R$1204,B73,Sales!$H$5:$H$1204,"Retail"),2))</f>
        <v>0</v>
      </c>
      <c r="O73" s="26">
        <f>IF(B73="","",ROUND(SUMIFS(Sales!$AB$5:$AB$1204,Sales!$F$5:$F$1204,C73,Sales!$R$5:$R$1204,B73,Sales!$H$5:$H$1204,"Service"),2))</f>
        <v>0</v>
      </c>
      <c r="P73" s="25">
        <f>IF(B73="","",COUNTIFS(Sales!$F$5:$F$1204,C73,Sales!$R$5:$R$1204,B73,Sales!$H$5:$H$1204,"Service"))</f>
        <v>0</v>
      </c>
      <c r="Q73" s="26">
        <f>IF(B73="","",IF(CommissionOn="Gross before discounts",L73,K73))</f>
        <v>0</v>
      </c>
      <c r="R73" s="26">
        <f>IF(B73="","",IF(CommissionOn="Gross before discounts",N73,M73))</f>
        <v>0</v>
      </c>
      <c r="S73" s="27">
        <f>IF(B73="","",IF(E73="Tiered on monthly service revenue",IFERROR(INDEX(TierRate,MATCH(Q73,TierFrom,1)),0),IFERROR(IF(INDEX(Staff!$M$5:$M$44,MATCH(C73,Staff!$A$5:$A$44,0))="",ServiceCommission,INDEX(Staff!$M$5:$M$44,MATCH(C73,Staff!$A$5:$A$44,0))),ServiceCommission)))</f>
        <v>0</v>
      </c>
      <c r="T73" s="27">
        <f>IF(B73="","",IFERROR(IF(INDEX(Staff!$N$5:$N$44,MATCH(C73,Staff!$A$5:$A$44,0))="",RetailCommission,INDEX(Staff!$N$5:$N$44,MATCH(C73,Staff!$A$5:$A$44,0))),RetailCommission))</f>
        <v>0</v>
      </c>
      <c r="U73" s="26">
        <f>IF(B73="","",IFERROR(INDEX(Staff!$O$5:$O$44,MATCH(C73,Staff!$A$5:$A$44,0))*1,0))</f>
        <v>0</v>
      </c>
      <c r="V73" s="26">
        <f>IF(B73="","",ROUND(IF(E73="Percent of service",Q73*S73,IF(E73="Percent of service and retail",Q73*S73+R73*T73,IF(E73="Percent after product cost",MAX(0,Q73-O73)*S73,IF(E73="Tiered on monthly service revenue",Q73*S73,IF(E73="Flat amount per service",P73*U73,0))))),2))</f>
        <v>0</v>
      </c>
      <c r="W73" s="26">
        <f>IF(B73="","",ROUND(SUMIFS(Payments!$G$5:$G$1204,Payments!$J$5:$J$1204,C73,Payments!$O$5:$O$1204,B73,Payments!$E$5:$E$1204,"Tip"),2))</f>
        <v>0</v>
      </c>
      <c r="X73" s="26">
        <f>IF(B73="","",ROUND(V73+IF(F73="",0,F73)+IF(G73="",0,G73),2))</f>
        <v>0</v>
      </c>
      <c r="Y73" s="27">
        <f>IF(B73="","",IF(Q73+R73=0,"",X73/(Q73+R73)))</f>
        <v>0</v>
      </c>
      <c r="Z73" s="25">
        <f>IF(B73="","",COUNTIFS($V$5:$V$244,"&gt;"&amp;V73)+COUNTIFS($V$5:V73,V73))</f>
        <v>0</v>
      </c>
      <c r="AA73" s="39">
        <f>IF(B73="","",IF(C73="","Add - whose commission is this?",IF(COUNTIFS($B$5:$B$244,B73,$C$5:$C$244,C73)&gt;1,"Duplicate - two rows for the same month",IF(E73="None","",IF(E73="Rent a chair","",IF(E73="Hourly only","",IF(X73=0,"Check - nothing calculated",IF(H73&lt;&gt;"Yes","Due - waiting for approval",IF(I73="","Due - approved but not paid","OK")))))))))</f>
        <v>0</v>
      </c>
    </row>
    <row r="74" spans="1:27">
      <c r="A74" s="28">
        <f>IF(B74="","",CommissionPrefix&amp;TEXT(ROW()-4,"0000"))</f>
        <v>0</v>
      </c>
      <c r="D74" s="15">
        <f>IF(C74="","",IFERROR(INDEX(Staff!$B$5:$B$44,MATCH(C74,Staff!$A$5:$A$44,0)),"Not in Staff"))</f>
        <v>0</v>
      </c>
      <c r="E74" s="15">
        <f>IF(C74="","",IFERROR(INDEX(Staff!$L$5:$L$44,MATCH(C74,Staff!$A$5:$A$44,0)),"None"))</f>
        <v>0</v>
      </c>
      <c r="K74" s="26">
        <f>IF(B74="","",ROUND(SUMIFS(Sales!$Y$5:$Y$1204,Sales!$F$5:$F$1204,C74,Sales!$R$5:$R$1204,B74,Sales!$H$5:$H$1204,"Service"),2))</f>
        <v>0</v>
      </c>
      <c r="L74" s="26">
        <f>IF(B74="","",ROUND(SUMIFS(Sales!$W$5:$W$1204,Sales!$F$5:$F$1204,C74,Sales!$R$5:$R$1204,B74,Sales!$H$5:$H$1204,"Service"),2))</f>
        <v>0</v>
      </c>
      <c r="M74" s="26">
        <f>IF(B74="","",ROUND(SUMIFS(Sales!$Y$5:$Y$1204,Sales!$F$5:$F$1204,C74,Sales!$R$5:$R$1204,B74,Sales!$H$5:$H$1204,"Retail"),2))</f>
        <v>0</v>
      </c>
      <c r="N74" s="26">
        <f>IF(B74="","",ROUND(SUMIFS(Sales!$W$5:$W$1204,Sales!$F$5:$F$1204,C74,Sales!$R$5:$R$1204,B74,Sales!$H$5:$H$1204,"Retail"),2))</f>
        <v>0</v>
      </c>
      <c r="O74" s="26">
        <f>IF(B74="","",ROUND(SUMIFS(Sales!$AB$5:$AB$1204,Sales!$F$5:$F$1204,C74,Sales!$R$5:$R$1204,B74,Sales!$H$5:$H$1204,"Service"),2))</f>
        <v>0</v>
      </c>
      <c r="P74" s="25">
        <f>IF(B74="","",COUNTIFS(Sales!$F$5:$F$1204,C74,Sales!$R$5:$R$1204,B74,Sales!$H$5:$H$1204,"Service"))</f>
        <v>0</v>
      </c>
      <c r="Q74" s="26">
        <f>IF(B74="","",IF(CommissionOn="Gross before discounts",L74,K74))</f>
        <v>0</v>
      </c>
      <c r="R74" s="26">
        <f>IF(B74="","",IF(CommissionOn="Gross before discounts",N74,M74))</f>
        <v>0</v>
      </c>
      <c r="S74" s="27">
        <f>IF(B74="","",IF(E74="Tiered on monthly service revenue",IFERROR(INDEX(TierRate,MATCH(Q74,TierFrom,1)),0),IFERROR(IF(INDEX(Staff!$M$5:$M$44,MATCH(C74,Staff!$A$5:$A$44,0))="",ServiceCommission,INDEX(Staff!$M$5:$M$44,MATCH(C74,Staff!$A$5:$A$44,0))),ServiceCommission)))</f>
        <v>0</v>
      </c>
      <c r="T74" s="27">
        <f>IF(B74="","",IFERROR(IF(INDEX(Staff!$N$5:$N$44,MATCH(C74,Staff!$A$5:$A$44,0))="",RetailCommission,INDEX(Staff!$N$5:$N$44,MATCH(C74,Staff!$A$5:$A$44,0))),RetailCommission))</f>
        <v>0</v>
      </c>
      <c r="U74" s="26">
        <f>IF(B74="","",IFERROR(INDEX(Staff!$O$5:$O$44,MATCH(C74,Staff!$A$5:$A$44,0))*1,0))</f>
        <v>0</v>
      </c>
      <c r="V74" s="26">
        <f>IF(B74="","",ROUND(IF(E74="Percent of service",Q74*S74,IF(E74="Percent of service and retail",Q74*S74+R74*T74,IF(E74="Percent after product cost",MAX(0,Q74-O74)*S74,IF(E74="Tiered on monthly service revenue",Q74*S74,IF(E74="Flat amount per service",P74*U74,0))))),2))</f>
        <v>0</v>
      </c>
      <c r="W74" s="26">
        <f>IF(B74="","",ROUND(SUMIFS(Payments!$G$5:$G$1204,Payments!$J$5:$J$1204,C74,Payments!$O$5:$O$1204,B74,Payments!$E$5:$E$1204,"Tip"),2))</f>
        <v>0</v>
      </c>
      <c r="X74" s="26">
        <f>IF(B74="","",ROUND(V74+IF(F74="",0,F74)+IF(G74="",0,G74),2))</f>
        <v>0</v>
      </c>
      <c r="Y74" s="27">
        <f>IF(B74="","",IF(Q74+R74=0,"",X74/(Q74+R74)))</f>
        <v>0</v>
      </c>
      <c r="Z74" s="25">
        <f>IF(B74="","",COUNTIFS($V$5:$V$244,"&gt;"&amp;V74)+COUNTIFS($V$5:V74,V74))</f>
        <v>0</v>
      </c>
      <c r="AA74" s="39">
        <f>IF(B74="","",IF(C74="","Add - whose commission is this?",IF(COUNTIFS($B$5:$B$244,B74,$C$5:$C$244,C74)&gt;1,"Duplicate - two rows for the same month",IF(E74="None","",IF(E74="Rent a chair","",IF(E74="Hourly only","",IF(X74=0,"Check - nothing calculated",IF(H74&lt;&gt;"Yes","Due - waiting for approval",IF(I74="","Due - approved but not paid","OK")))))))))</f>
        <v>0</v>
      </c>
    </row>
    <row r="75" spans="1:27">
      <c r="A75" s="28">
        <f>IF(B75="","",CommissionPrefix&amp;TEXT(ROW()-4,"0000"))</f>
        <v>0</v>
      </c>
      <c r="D75" s="15">
        <f>IF(C75="","",IFERROR(INDEX(Staff!$B$5:$B$44,MATCH(C75,Staff!$A$5:$A$44,0)),"Not in Staff"))</f>
        <v>0</v>
      </c>
      <c r="E75" s="15">
        <f>IF(C75="","",IFERROR(INDEX(Staff!$L$5:$L$44,MATCH(C75,Staff!$A$5:$A$44,0)),"None"))</f>
        <v>0</v>
      </c>
      <c r="K75" s="26">
        <f>IF(B75="","",ROUND(SUMIFS(Sales!$Y$5:$Y$1204,Sales!$F$5:$F$1204,C75,Sales!$R$5:$R$1204,B75,Sales!$H$5:$H$1204,"Service"),2))</f>
        <v>0</v>
      </c>
      <c r="L75" s="26">
        <f>IF(B75="","",ROUND(SUMIFS(Sales!$W$5:$W$1204,Sales!$F$5:$F$1204,C75,Sales!$R$5:$R$1204,B75,Sales!$H$5:$H$1204,"Service"),2))</f>
        <v>0</v>
      </c>
      <c r="M75" s="26">
        <f>IF(B75="","",ROUND(SUMIFS(Sales!$Y$5:$Y$1204,Sales!$F$5:$F$1204,C75,Sales!$R$5:$R$1204,B75,Sales!$H$5:$H$1204,"Retail"),2))</f>
        <v>0</v>
      </c>
      <c r="N75" s="26">
        <f>IF(B75="","",ROUND(SUMIFS(Sales!$W$5:$W$1204,Sales!$F$5:$F$1204,C75,Sales!$R$5:$R$1204,B75,Sales!$H$5:$H$1204,"Retail"),2))</f>
        <v>0</v>
      </c>
      <c r="O75" s="26">
        <f>IF(B75="","",ROUND(SUMIFS(Sales!$AB$5:$AB$1204,Sales!$F$5:$F$1204,C75,Sales!$R$5:$R$1204,B75,Sales!$H$5:$H$1204,"Service"),2))</f>
        <v>0</v>
      </c>
      <c r="P75" s="25">
        <f>IF(B75="","",COUNTIFS(Sales!$F$5:$F$1204,C75,Sales!$R$5:$R$1204,B75,Sales!$H$5:$H$1204,"Service"))</f>
        <v>0</v>
      </c>
      <c r="Q75" s="26">
        <f>IF(B75="","",IF(CommissionOn="Gross before discounts",L75,K75))</f>
        <v>0</v>
      </c>
      <c r="R75" s="26">
        <f>IF(B75="","",IF(CommissionOn="Gross before discounts",N75,M75))</f>
        <v>0</v>
      </c>
      <c r="S75" s="27">
        <f>IF(B75="","",IF(E75="Tiered on monthly service revenue",IFERROR(INDEX(TierRate,MATCH(Q75,TierFrom,1)),0),IFERROR(IF(INDEX(Staff!$M$5:$M$44,MATCH(C75,Staff!$A$5:$A$44,0))="",ServiceCommission,INDEX(Staff!$M$5:$M$44,MATCH(C75,Staff!$A$5:$A$44,0))),ServiceCommission)))</f>
        <v>0</v>
      </c>
      <c r="T75" s="27">
        <f>IF(B75="","",IFERROR(IF(INDEX(Staff!$N$5:$N$44,MATCH(C75,Staff!$A$5:$A$44,0))="",RetailCommission,INDEX(Staff!$N$5:$N$44,MATCH(C75,Staff!$A$5:$A$44,0))),RetailCommission))</f>
        <v>0</v>
      </c>
      <c r="U75" s="26">
        <f>IF(B75="","",IFERROR(INDEX(Staff!$O$5:$O$44,MATCH(C75,Staff!$A$5:$A$44,0))*1,0))</f>
        <v>0</v>
      </c>
      <c r="V75" s="26">
        <f>IF(B75="","",ROUND(IF(E75="Percent of service",Q75*S75,IF(E75="Percent of service and retail",Q75*S75+R75*T75,IF(E75="Percent after product cost",MAX(0,Q75-O75)*S75,IF(E75="Tiered on monthly service revenue",Q75*S75,IF(E75="Flat amount per service",P75*U75,0))))),2))</f>
        <v>0</v>
      </c>
      <c r="W75" s="26">
        <f>IF(B75="","",ROUND(SUMIFS(Payments!$G$5:$G$1204,Payments!$J$5:$J$1204,C75,Payments!$O$5:$O$1204,B75,Payments!$E$5:$E$1204,"Tip"),2))</f>
        <v>0</v>
      </c>
      <c r="X75" s="26">
        <f>IF(B75="","",ROUND(V75+IF(F75="",0,F75)+IF(G75="",0,G75),2))</f>
        <v>0</v>
      </c>
      <c r="Y75" s="27">
        <f>IF(B75="","",IF(Q75+R75=0,"",X75/(Q75+R75)))</f>
        <v>0</v>
      </c>
      <c r="Z75" s="25">
        <f>IF(B75="","",COUNTIFS($V$5:$V$244,"&gt;"&amp;V75)+COUNTIFS($V$5:V75,V75))</f>
        <v>0</v>
      </c>
      <c r="AA75" s="39">
        <f>IF(B75="","",IF(C75="","Add - whose commission is this?",IF(COUNTIFS($B$5:$B$244,B75,$C$5:$C$244,C75)&gt;1,"Duplicate - two rows for the same month",IF(E75="None","",IF(E75="Rent a chair","",IF(E75="Hourly only","",IF(X75=0,"Check - nothing calculated",IF(H75&lt;&gt;"Yes","Due - waiting for approval",IF(I75="","Due - approved but not paid","OK")))))))))</f>
        <v>0</v>
      </c>
    </row>
    <row r="76" spans="1:27">
      <c r="A76" s="28">
        <f>IF(B76="","",CommissionPrefix&amp;TEXT(ROW()-4,"0000"))</f>
        <v>0</v>
      </c>
      <c r="D76" s="15">
        <f>IF(C76="","",IFERROR(INDEX(Staff!$B$5:$B$44,MATCH(C76,Staff!$A$5:$A$44,0)),"Not in Staff"))</f>
        <v>0</v>
      </c>
      <c r="E76" s="15">
        <f>IF(C76="","",IFERROR(INDEX(Staff!$L$5:$L$44,MATCH(C76,Staff!$A$5:$A$44,0)),"None"))</f>
        <v>0</v>
      </c>
      <c r="K76" s="26">
        <f>IF(B76="","",ROUND(SUMIFS(Sales!$Y$5:$Y$1204,Sales!$F$5:$F$1204,C76,Sales!$R$5:$R$1204,B76,Sales!$H$5:$H$1204,"Service"),2))</f>
        <v>0</v>
      </c>
      <c r="L76" s="26">
        <f>IF(B76="","",ROUND(SUMIFS(Sales!$W$5:$W$1204,Sales!$F$5:$F$1204,C76,Sales!$R$5:$R$1204,B76,Sales!$H$5:$H$1204,"Service"),2))</f>
        <v>0</v>
      </c>
      <c r="M76" s="26">
        <f>IF(B76="","",ROUND(SUMIFS(Sales!$Y$5:$Y$1204,Sales!$F$5:$F$1204,C76,Sales!$R$5:$R$1204,B76,Sales!$H$5:$H$1204,"Retail"),2))</f>
        <v>0</v>
      </c>
      <c r="N76" s="26">
        <f>IF(B76="","",ROUND(SUMIFS(Sales!$W$5:$W$1204,Sales!$F$5:$F$1204,C76,Sales!$R$5:$R$1204,B76,Sales!$H$5:$H$1204,"Retail"),2))</f>
        <v>0</v>
      </c>
      <c r="O76" s="26">
        <f>IF(B76="","",ROUND(SUMIFS(Sales!$AB$5:$AB$1204,Sales!$F$5:$F$1204,C76,Sales!$R$5:$R$1204,B76,Sales!$H$5:$H$1204,"Service"),2))</f>
        <v>0</v>
      </c>
      <c r="P76" s="25">
        <f>IF(B76="","",COUNTIFS(Sales!$F$5:$F$1204,C76,Sales!$R$5:$R$1204,B76,Sales!$H$5:$H$1204,"Service"))</f>
        <v>0</v>
      </c>
      <c r="Q76" s="26">
        <f>IF(B76="","",IF(CommissionOn="Gross before discounts",L76,K76))</f>
        <v>0</v>
      </c>
      <c r="R76" s="26">
        <f>IF(B76="","",IF(CommissionOn="Gross before discounts",N76,M76))</f>
        <v>0</v>
      </c>
      <c r="S76" s="27">
        <f>IF(B76="","",IF(E76="Tiered on monthly service revenue",IFERROR(INDEX(TierRate,MATCH(Q76,TierFrom,1)),0),IFERROR(IF(INDEX(Staff!$M$5:$M$44,MATCH(C76,Staff!$A$5:$A$44,0))="",ServiceCommission,INDEX(Staff!$M$5:$M$44,MATCH(C76,Staff!$A$5:$A$44,0))),ServiceCommission)))</f>
        <v>0</v>
      </c>
      <c r="T76" s="27">
        <f>IF(B76="","",IFERROR(IF(INDEX(Staff!$N$5:$N$44,MATCH(C76,Staff!$A$5:$A$44,0))="",RetailCommission,INDEX(Staff!$N$5:$N$44,MATCH(C76,Staff!$A$5:$A$44,0))),RetailCommission))</f>
        <v>0</v>
      </c>
      <c r="U76" s="26">
        <f>IF(B76="","",IFERROR(INDEX(Staff!$O$5:$O$44,MATCH(C76,Staff!$A$5:$A$44,0))*1,0))</f>
        <v>0</v>
      </c>
      <c r="V76" s="26">
        <f>IF(B76="","",ROUND(IF(E76="Percent of service",Q76*S76,IF(E76="Percent of service and retail",Q76*S76+R76*T76,IF(E76="Percent after product cost",MAX(0,Q76-O76)*S76,IF(E76="Tiered on monthly service revenue",Q76*S76,IF(E76="Flat amount per service",P76*U76,0))))),2))</f>
        <v>0</v>
      </c>
      <c r="W76" s="26">
        <f>IF(B76="","",ROUND(SUMIFS(Payments!$G$5:$G$1204,Payments!$J$5:$J$1204,C76,Payments!$O$5:$O$1204,B76,Payments!$E$5:$E$1204,"Tip"),2))</f>
        <v>0</v>
      </c>
      <c r="X76" s="26">
        <f>IF(B76="","",ROUND(V76+IF(F76="",0,F76)+IF(G76="",0,G76),2))</f>
        <v>0</v>
      </c>
      <c r="Y76" s="27">
        <f>IF(B76="","",IF(Q76+R76=0,"",X76/(Q76+R76)))</f>
        <v>0</v>
      </c>
      <c r="Z76" s="25">
        <f>IF(B76="","",COUNTIFS($V$5:$V$244,"&gt;"&amp;V76)+COUNTIFS($V$5:V76,V76))</f>
        <v>0</v>
      </c>
      <c r="AA76" s="39">
        <f>IF(B76="","",IF(C76="","Add - whose commission is this?",IF(COUNTIFS($B$5:$B$244,B76,$C$5:$C$244,C76)&gt;1,"Duplicate - two rows for the same month",IF(E76="None","",IF(E76="Rent a chair","",IF(E76="Hourly only","",IF(X76=0,"Check - nothing calculated",IF(H76&lt;&gt;"Yes","Due - waiting for approval",IF(I76="","Due - approved but not paid","OK")))))))))</f>
        <v>0</v>
      </c>
    </row>
    <row r="77" spans="1:27">
      <c r="A77" s="28">
        <f>IF(B77="","",CommissionPrefix&amp;TEXT(ROW()-4,"0000"))</f>
        <v>0</v>
      </c>
      <c r="D77" s="15">
        <f>IF(C77="","",IFERROR(INDEX(Staff!$B$5:$B$44,MATCH(C77,Staff!$A$5:$A$44,0)),"Not in Staff"))</f>
        <v>0</v>
      </c>
      <c r="E77" s="15">
        <f>IF(C77="","",IFERROR(INDEX(Staff!$L$5:$L$44,MATCH(C77,Staff!$A$5:$A$44,0)),"None"))</f>
        <v>0</v>
      </c>
      <c r="K77" s="26">
        <f>IF(B77="","",ROUND(SUMIFS(Sales!$Y$5:$Y$1204,Sales!$F$5:$F$1204,C77,Sales!$R$5:$R$1204,B77,Sales!$H$5:$H$1204,"Service"),2))</f>
        <v>0</v>
      </c>
      <c r="L77" s="26">
        <f>IF(B77="","",ROUND(SUMIFS(Sales!$W$5:$W$1204,Sales!$F$5:$F$1204,C77,Sales!$R$5:$R$1204,B77,Sales!$H$5:$H$1204,"Service"),2))</f>
        <v>0</v>
      </c>
      <c r="M77" s="26">
        <f>IF(B77="","",ROUND(SUMIFS(Sales!$Y$5:$Y$1204,Sales!$F$5:$F$1204,C77,Sales!$R$5:$R$1204,B77,Sales!$H$5:$H$1204,"Retail"),2))</f>
        <v>0</v>
      </c>
      <c r="N77" s="26">
        <f>IF(B77="","",ROUND(SUMIFS(Sales!$W$5:$W$1204,Sales!$F$5:$F$1204,C77,Sales!$R$5:$R$1204,B77,Sales!$H$5:$H$1204,"Retail"),2))</f>
        <v>0</v>
      </c>
      <c r="O77" s="26">
        <f>IF(B77="","",ROUND(SUMIFS(Sales!$AB$5:$AB$1204,Sales!$F$5:$F$1204,C77,Sales!$R$5:$R$1204,B77,Sales!$H$5:$H$1204,"Service"),2))</f>
        <v>0</v>
      </c>
      <c r="P77" s="25">
        <f>IF(B77="","",COUNTIFS(Sales!$F$5:$F$1204,C77,Sales!$R$5:$R$1204,B77,Sales!$H$5:$H$1204,"Service"))</f>
        <v>0</v>
      </c>
      <c r="Q77" s="26">
        <f>IF(B77="","",IF(CommissionOn="Gross before discounts",L77,K77))</f>
        <v>0</v>
      </c>
      <c r="R77" s="26">
        <f>IF(B77="","",IF(CommissionOn="Gross before discounts",N77,M77))</f>
        <v>0</v>
      </c>
      <c r="S77" s="27">
        <f>IF(B77="","",IF(E77="Tiered on monthly service revenue",IFERROR(INDEX(TierRate,MATCH(Q77,TierFrom,1)),0),IFERROR(IF(INDEX(Staff!$M$5:$M$44,MATCH(C77,Staff!$A$5:$A$44,0))="",ServiceCommission,INDEX(Staff!$M$5:$M$44,MATCH(C77,Staff!$A$5:$A$44,0))),ServiceCommission)))</f>
        <v>0</v>
      </c>
      <c r="T77" s="27">
        <f>IF(B77="","",IFERROR(IF(INDEX(Staff!$N$5:$N$44,MATCH(C77,Staff!$A$5:$A$44,0))="",RetailCommission,INDEX(Staff!$N$5:$N$44,MATCH(C77,Staff!$A$5:$A$44,0))),RetailCommission))</f>
        <v>0</v>
      </c>
      <c r="U77" s="26">
        <f>IF(B77="","",IFERROR(INDEX(Staff!$O$5:$O$44,MATCH(C77,Staff!$A$5:$A$44,0))*1,0))</f>
        <v>0</v>
      </c>
      <c r="V77" s="26">
        <f>IF(B77="","",ROUND(IF(E77="Percent of service",Q77*S77,IF(E77="Percent of service and retail",Q77*S77+R77*T77,IF(E77="Percent after product cost",MAX(0,Q77-O77)*S77,IF(E77="Tiered on monthly service revenue",Q77*S77,IF(E77="Flat amount per service",P77*U77,0))))),2))</f>
        <v>0</v>
      </c>
      <c r="W77" s="26">
        <f>IF(B77="","",ROUND(SUMIFS(Payments!$G$5:$G$1204,Payments!$J$5:$J$1204,C77,Payments!$O$5:$O$1204,B77,Payments!$E$5:$E$1204,"Tip"),2))</f>
        <v>0</v>
      </c>
      <c r="X77" s="26">
        <f>IF(B77="","",ROUND(V77+IF(F77="",0,F77)+IF(G77="",0,G77),2))</f>
        <v>0</v>
      </c>
      <c r="Y77" s="27">
        <f>IF(B77="","",IF(Q77+R77=0,"",X77/(Q77+R77)))</f>
        <v>0</v>
      </c>
      <c r="Z77" s="25">
        <f>IF(B77="","",COUNTIFS($V$5:$V$244,"&gt;"&amp;V77)+COUNTIFS($V$5:V77,V77))</f>
        <v>0</v>
      </c>
      <c r="AA77" s="39">
        <f>IF(B77="","",IF(C77="","Add - whose commission is this?",IF(COUNTIFS($B$5:$B$244,B77,$C$5:$C$244,C77)&gt;1,"Duplicate - two rows for the same month",IF(E77="None","",IF(E77="Rent a chair","",IF(E77="Hourly only","",IF(X77=0,"Check - nothing calculated",IF(H77&lt;&gt;"Yes","Due - waiting for approval",IF(I77="","Due - approved but not paid","OK")))))))))</f>
        <v>0</v>
      </c>
    </row>
    <row r="78" spans="1:27">
      <c r="A78" s="28">
        <f>IF(B78="","",CommissionPrefix&amp;TEXT(ROW()-4,"0000"))</f>
        <v>0</v>
      </c>
      <c r="D78" s="15">
        <f>IF(C78="","",IFERROR(INDEX(Staff!$B$5:$B$44,MATCH(C78,Staff!$A$5:$A$44,0)),"Not in Staff"))</f>
        <v>0</v>
      </c>
      <c r="E78" s="15">
        <f>IF(C78="","",IFERROR(INDEX(Staff!$L$5:$L$44,MATCH(C78,Staff!$A$5:$A$44,0)),"None"))</f>
        <v>0</v>
      </c>
      <c r="K78" s="26">
        <f>IF(B78="","",ROUND(SUMIFS(Sales!$Y$5:$Y$1204,Sales!$F$5:$F$1204,C78,Sales!$R$5:$R$1204,B78,Sales!$H$5:$H$1204,"Service"),2))</f>
        <v>0</v>
      </c>
      <c r="L78" s="26">
        <f>IF(B78="","",ROUND(SUMIFS(Sales!$W$5:$W$1204,Sales!$F$5:$F$1204,C78,Sales!$R$5:$R$1204,B78,Sales!$H$5:$H$1204,"Service"),2))</f>
        <v>0</v>
      </c>
      <c r="M78" s="26">
        <f>IF(B78="","",ROUND(SUMIFS(Sales!$Y$5:$Y$1204,Sales!$F$5:$F$1204,C78,Sales!$R$5:$R$1204,B78,Sales!$H$5:$H$1204,"Retail"),2))</f>
        <v>0</v>
      </c>
      <c r="N78" s="26">
        <f>IF(B78="","",ROUND(SUMIFS(Sales!$W$5:$W$1204,Sales!$F$5:$F$1204,C78,Sales!$R$5:$R$1204,B78,Sales!$H$5:$H$1204,"Retail"),2))</f>
        <v>0</v>
      </c>
      <c r="O78" s="26">
        <f>IF(B78="","",ROUND(SUMIFS(Sales!$AB$5:$AB$1204,Sales!$F$5:$F$1204,C78,Sales!$R$5:$R$1204,B78,Sales!$H$5:$H$1204,"Service"),2))</f>
        <v>0</v>
      </c>
      <c r="P78" s="25">
        <f>IF(B78="","",COUNTIFS(Sales!$F$5:$F$1204,C78,Sales!$R$5:$R$1204,B78,Sales!$H$5:$H$1204,"Service"))</f>
        <v>0</v>
      </c>
      <c r="Q78" s="26">
        <f>IF(B78="","",IF(CommissionOn="Gross before discounts",L78,K78))</f>
        <v>0</v>
      </c>
      <c r="R78" s="26">
        <f>IF(B78="","",IF(CommissionOn="Gross before discounts",N78,M78))</f>
        <v>0</v>
      </c>
      <c r="S78" s="27">
        <f>IF(B78="","",IF(E78="Tiered on monthly service revenue",IFERROR(INDEX(TierRate,MATCH(Q78,TierFrom,1)),0),IFERROR(IF(INDEX(Staff!$M$5:$M$44,MATCH(C78,Staff!$A$5:$A$44,0))="",ServiceCommission,INDEX(Staff!$M$5:$M$44,MATCH(C78,Staff!$A$5:$A$44,0))),ServiceCommission)))</f>
        <v>0</v>
      </c>
      <c r="T78" s="27">
        <f>IF(B78="","",IFERROR(IF(INDEX(Staff!$N$5:$N$44,MATCH(C78,Staff!$A$5:$A$44,0))="",RetailCommission,INDEX(Staff!$N$5:$N$44,MATCH(C78,Staff!$A$5:$A$44,0))),RetailCommission))</f>
        <v>0</v>
      </c>
      <c r="U78" s="26">
        <f>IF(B78="","",IFERROR(INDEX(Staff!$O$5:$O$44,MATCH(C78,Staff!$A$5:$A$44,0))*1,0))</f>
        <v>0</v>
      </c>
      <c r="V78" s="26">
        <f>IF(B78="","",ROUND(IF(E78="Percent of service",Q78*S78,IF(E78="Percent of service and retail",Q78*S78+R78*T78,IF(E78="Percent after product cost",MAX(0,Q78-O78)*S78,IF(E78="Tiered on monthly service revenue",Q78*S78,IF(E78="Flat amount per service",P78*U78,0))))),2))</f>
        <v>0</v>
      </c>
      <c r="W78" s="26">
        <f>IF(B78="","",ROUND(SUMIFS(Payments!$G$5:$G$1204,Payments!$J$5:$J$1204,C78,Payments!$O$5:$O$1204,B78,Payments!$E$5:$E$1204,"Tip"),2))</f>
        <v>0</v>
      </c>
      <c r="X78" s="26">
        <f>IF(B78="","",ROUND(V78+IF(F78="",0,F78)+IF(G78="",0,G78),2))</f>
        <v>0</v>
      </c>
      <c r="Y78" s="27">
        <f>IF(B78="","",IF(Q78+R78=0,"",X78/(Q78+R78)))</f>
        <v>0</v>
      </c>
      <c r="Z78" s="25">
        <f>IF(B78="","",COUNTIFS($V$5:$V$244,"&gt;"&amp;V78)+COUNTIFS($V$5:V78,V78))</f>
        <v>0</v>
      </c>
      <c r="AA78" s="39">
        <f>IF(B78="","",IF(C78="","Add - whose commission is this?",IF(COUNTIFS($B$5:$B$244,B78,$C$5:$C$244,C78)&gt;1,"Duplicate - two rows for the same month",IF(E78="None","",IF(E78="Rent a chair","",IF(E78="Hourly only","",IF(X78=0,"Check - nothing calculated",IF(H78&lt;&gt;"Yes","Due - waiting for approval",IF(I78="","Due - approved but not paid","OK")))))))))</f>
        <v>0</v>
      </c>
    </row>
    <row r="79" spans="1:27">
      <c r="A79" s="28">
        <f>IF(B79="","",CommissionPrefix&amp;TEXT(ROW()-4,"0000"))</f>
        <v>0</v>
      </c>
      <c r="D79" s="15">
        <f>IF(C79="","",IFERROR(INDEX(Staff!$B$5:$B$44,MATCH(C79,Staff!$A$5:$A$44,0)),"Not in Staff"))</f>
        <v>0</v>
      </c>
      <c r="E79" s="15">
        <f>IF(C79="","",IFERROR(INDEX(Staff!$L$5:$L$44,MATCH(C79,Staff!$A$5:$A$44,0)),"None"))</f>
        <v>0</v>
      </c>
      <c r="K79" s="26">
        <f>IF(B79="","",ROUND(SUMIFS(Sales!$Y$5:$Y$1204,Sales!$F$5:$F$1204,C79,Sales!$R$5:$R$1204,B79,Sales!$H$5:$H$1204,"Service"),2))</f>
        <v>0</v>
      </c>
      <c r="L79" s="26">
        <f>IF(B79="","",ROUND(SUMIFS(Sales!$W$5:$W$1204,Sales!$F$5:$F$1204,C79,Sales!$R$5:$R$1204,B79,Sales!$H$5:$H$1204,"Service"),2))</f>
        <v>0</v>
      </c>
      <c r="M79" s="26">
        <f>IF(B79="","",ROUND(SUMIFS(Sales!$Y$5:$Y$1204,Sales!$F$5:$F$1204,C79,Sales!$R$5:$R$1204,B79,Sales!$H$5:$H$1204,"Retail"),2))</f>
        <v>0</v>
      </c>
      <c r="N79" s="26">
        <f>IF(B79="","",ROUND(SUMIFS(Sales!$W$5:$W$1204,Sales!$F$5:$F$1204,C79,Sales!$R$5:$R$1204,B79,Sales!$H$5:$H$1204,"Retail"),2))</f>
        <v>0</v>
      </c>
      <c r="O79" s="26">
        <f>IF(B79="","",ROUND(SUMIFS(Sales!$AB$5:$AB$1204,Sales!$F$5:$F$1204,C79,Sales!$R$5:$R$1204,B79,Sales!$H$5:$H$1204,"Service"),2))</f>
        <v>0</v>
      </c>
      <c r="P79" s="25">
        <f>IF(B79="","",COUNTIFS(Sales!$F$5:$F$1204,C79,Sales!$R$5:$R$1204,B79,Sales!$H$5:$H$1204,"Service"))</f>
        <v>0</v>
      </c>
      <c r="Q79" s="26">
        <f>IF(B79="","",IF(CommissionOn="Gross before discounts",L79,K79))</f>
        <v>0</v>
      </c>
      <c r="R79" s="26">
        <f>IF(B79="","",IF(CommissionOn="Gross before discounts",N79,M79))</f>
        <v>0</v>
      </c>
      <c r="S79" s="27">
        <f>IF(B79="","",IF(E79="Tiered on monthly service revenue",IFERROR(INDEX(TierRate,MATCH(Q79,TierFrom,1)),0),IFERROR(IF(INDEX(Staff!$M$5:$M$44,MATCH(C79,Staff!$A$5:$A$44,0))="",ServiceCommission,INDEX(Staff!$M$5:$M$44,MATCH(C79,Staff!$A$5:$A$44,0))),ServiceCommission)))</f>
        <v>0</v>
      </c>
      <c r="T79" s="27">
        <f>IF(B79="","",IFERROR(IF(INDEX(Staff!$N$5:$N$44,MATCH(C79,Staff!$A$5:$A$44,0))="",RetailCommission,INDEX(Staff!$N$5:$N$44,MATCH(C79,Staff!$A$5:$A$44,0))),RetailCommission))</f>
        <v>0</v>
      </c>
      <c r="U79" s="26">
        <f>IF(B79="","",IFERROR(INDEX(Staff!$O$5:$O$44,MATCH(C79,Staff!$A$5:$A$44,0))*1,0))</f>
        <v>0</v>
      </c>
      <c r="V79" s="26">
        <f>IF(B79="","",ROUND(IF(E79="Percent of service",Q79*S79,IF(E79="Percent of service and retail",Q79*S79+R79*T79,IF(E79="Percent after product cost",MAX(0,Q79-O79)*S79,IF(E79="Tiered on monthly service revenue",Q79*S79,IF(E79="Flat amount per service",P79*U79,0))))),2))</f>
        <v>0</v>
      </c>
      <c r="W79" s="26">
        <f>IF(B79="","",ROUND(SUMIFS(Payments!$G$5:$G$1204,Payments!$J$5:$J$1204,C79,Payments!$O$5:$O$1204,B79,Payments!$E$5:$E$1204,"Tip"),2))</f>
        <v>0</v>
      </c>
      <c r="X79" s="26">
        <f>IF(B79="","",ROUND(V79+IF(F79="",0,F79)+IF(G79="",0,G79),2))</f>
        <v>0</v>
      </c>
      <c r="Y79" s="27">
        <f>IF(B79="","",IF(Q79+R79=0,"",X79/(Q79+R79)))</f>
        <v>0</v>
      </c>
      <c r="Z79" s="25">
        <f>IF(B79="","",COUNTIFS($V$5:$V$244,"&gt;"&amp;V79)+COUNTIFS($V$5:V79,V79))</f>
        <v>0</v>
      </c>
      <c r="AA79" s="39">
        <f>IF(B79="","",IF(C79="","Add - whose commission is this?",IF(COUNTIFS($B$5:$B$244,B79,$C$5:$C$244,C79)&gt;1,"Duplicate - two rows for the same month",IF(E79="None","",IF(E79="Rent a chair","",IF(E79="Hourly only","",IF(X79=0,"Check - nothing calculated",IF(H79&lt;&gt;"Yes","Due - waiting for approval",IF(I79="","Due - approved but not paid","OK")))))))))</f>
        <v>0</v>
      </c>
    </row>
    <row r="80" spans="1:27">
      <c r="A80" s="28">
        <f>IF(B80="","",CommissionPrefix&amp;TEXT(ROW()-4,"0000"))</f>
        <v>0</v>
      </c>
      <c r="D80" s="15">
        <f>IF(C80="","",IFERROR(INDEX(Staff!$B$5:$B$44,MATCH(C80,Staff!$A$5:$A$44,0)),"Not in Staff"))</f>
        <v>0</v>
      </c>
      <c r="E80" s="15">
        <f>IF(C80="","",IFERROR(INDEX(Staff!$L$5:$L$44,MATCH(C80,Staff!$A$5:$A$44,0)),"None"))</f>
        <v>0</v>
      </c>
      <c r="K80" s="26">
        <f>IF(B80="","",ROUND(SUMIFS(Sales!$Y$5:$Y$1204,Sales!$F$5:$F$1204,C80,Sales!$R$5:$R$1204,B80,Sales!$H$5:$H$1204,"Service"),2))</f>
        <v>0</v>
      </c>
      <c r="L80" s="26">
        <f>IF(B80="","",ROUND(SUMIFS(Sales!$W$5:$W$1204,Sales!$F$5:$F$1204,C80,Sales!$R$5:$R$1204,B80,Sales!$H$5:$H$1204,"Service"),2))</f>
        <v>0</v>
      </c>
      <c r="M80" s="26">
        <f>IF(B80="","",ROUND(SUMIFS(Sales!$Y$5:$Y$1204,Sales!$F$5:$F$1204,C80,Sales!$R$5:$R$1204,B80,Sales!$H$5:$H$1204,"Retail"),2))</f>
        <v>0</v>
      </c>
      <c r="N80" s="26">
        <f>IF(B80="","",ROUND(SUMIFS(Sales!$W$5:$W$1204,Sales!$F$5:$F$1204,C80,Sales!$R$5:$R$1204,B80,Sales!$H$5:$H$1204,"Retail"),2))</f>
        <v>0</v>
      </c>
      <c r="O80" s="26">
        <f>IF(B80="","",ROUND(SUMIFS(Sales!$AB$5:$AB$1204,Sales!$F$5:$F$1204,C80,Sales!$R$5:$R$1204,B80,Sales!$H$5:$H$1204,"Service"),2))</f>
        <v>0</v>
      </c>
      <c r="P80" s="25">
        <f>IF(B80="","",COUNTIFS(Sales!$F$5:$F$1204,C80,Sales!$R$5:$R$1204,B80,Sales!$H$5:$H$1204,"Service"))</f>
        <v>0</v>
      </c>
      <c r="Q80" s="26">
        <f>IF(B80="","",IF(CommissionOn="Gross before discounts",L80,K80))</f>
        <v>0</v>
      </c>
      <c r="R80" s="26">
        <f>IF(B80="","",IF(CommissionOn="Gross before discounts",N80,M80))</f>
        <v>0</v>
      </c>
      <c r="S80" s="27">
        <f>IF(B80="","",IF(E80="Tiered on monthly service revenue",IFERROR(INDEX(TierRate,MATCH(Q80,TierFrom,1)),0),IFERROR(IF(INDEX(Staff!$M$5:$M$44,MATCH(C80,Staff!$A$5:$A$44,0))="",ServiceCommission,INDEX(Staff!$M$5:$M$44,MATCH(C80,Staff!$A$5:$A$44,0))),ServiceCommission)))</f>
        <v>0</v>
      </c>
      <c r="T80" s="27">
        <f>IF(B80="","",IFERROR(IF(INDEX(Staff!$N$5:$N$44,MATCH(C80,Staff!$A$5:$A$44,0))="",RetailCommission,INDEX(Staff!$N$5:$N$44,MATCH(C80,Staff!$A$5:$A$44,0))),RetailCommission))</f>
        <v>0</v>
      </c>
      <c r="U80" s="26">
        <f>IF(B80="","",IFERROR(INDEX(Staff!$O$5:$O$44,MATCH(C80,Staff!$A$5:$A$44,0))*1,0))</f>
        <v>0</v>
      </c>
      <c r="V80" s="26">
        <f>IF(B80="","",ROUND(IF(E80="Percent of service",Q80*S80,IF(E80="Percent of service and retail",Q80*S80+R80*T80,IF(E80="Percent after product cost",MAX(0,Q80-O80)*S80,IF(E80="Tiered on monthly service revenue",Q80*S80,IF(E80="Flat amount per service",P80*U80,0))))),2))</f>
        <v>0</v>
      </c>
      <c r="W80" s="26">
        <f>IF(B80="","",ROUND(SUMIFS(Payments!$G$5:$G$1204,Payments!$J$5:$J$1204,C80,Payments!$O$5:$O$1204,B80,Payments!$E$5:$E$1204,"Tip"),2))</f>
        <v>0</v>
      </c>
      <c r="X80" s="26">
        <f>IF(B80="","",ROUND(V80+IF(F80="",0,F80)+IF(G80="",0,G80),2))</f>
        <v>0</v>
      </c>
      <c r="Y80" s="27">
        <f>IF(B80="","",IF(Q80+R80=0,"",X80/(Q80+R80)))</f>
        <v>0</v>
      </c>
      <c r="Z80" s="25">
        <f>IF(B80="","",COUNTIFS($V$5:$V$244,"&gt;"&amp;V80)+COUNTIFS($V$5:V80,V80))</f>
        <v>0</v>
      </c>
      <c r="AA80" s="39">
        <f>IF(B80="","",IF(C80="","Add - whose commission is this?",IF(COUNTIFS($B$5:$B$244,B80,$C$5:$C$244,C80)&gt;1,"Duplicate - two rows for the same month",IF(E80="None","",IF(E80="Rent a chair","",IF(E80="Hourly only","",IF(X80=0,"Check - nothing calculated",IF(H80&lt;&gt;"Yes","Due - waiting for approval",IF(I80="","Due - approved but not paid","OK")))))))))</f>
        <v>0</v>
      </c>
    </row>
    <row r="81" spans="1:27">
      <c r="A81" s="28">
        <f>IF(B81="","",CommissionPrefix&amp;TEXT(ROW()-4,"0000"))</f>
        <v>0</v>
      </c>
      <c r="D81" s="15">
        <f>IF(C81="","",IFERROR(INDEX(Staff!$B$5:$B$44,MATCH(C81,Staff!$A$5:$A$44,0)),"Not in Staff"))</f>
        <v>0</v>
      </c>
      <c r="E81" s="15">
        <f>IF(C81="","",IFERROR(INDEX(Staff!$L$5:$L$44,MATCH(C81,Staff!$A$5:$A$44,0)),"None"))</f>
        <v>0</v>
      </c>
      <c r="K81" s="26">
        <f>IF(B81="","",ROUND(SUMIFS(Sales!$Y$5:$Y$1204,Sales!$F$5:$F$1204,C81,Sales!$R$5:$R$1204,B81,Sales!$H$5:$H$1204,"Service"),2))</f>
        <v>0</v>
      </c>
      <c r="L81" s="26">
        <f>IF(B81="","",ROUND(SUMIFS(Sales!$W$5:$W$1204,Sales!$F$5:$F$1204,C81,Sales!$R$5:$R$1204,B81,Sales!$H$5:$H$1204,"Service"),2))</f>
        <v>0</v>
      </c>
      <c r="M81" s="26">
        <f>IF(B81="","",ROUND(SUMIFS(Sales!$Y$5:$Y$1204,Sales!$F$5:$F$1204,C81,Sales!$R$5:$R$1204,B81,Sales!$H$5:$H$1204,"Retail"),2))</f>
        <v>0</v>
      </c>
      <c r="N81" s="26">
        <f>IF(B81="","",ROUND(SUMIFS(Sales!$W$5:$W$1204,Sales!$F$5:$F$1204,C81,Sales!$R$5:$R$1204,B81,Sales!$H$5:$H$1204,"Retail"),2))</f>
        <v>0</v>
      </c>
      <c r="O81" s="26">
        <f>IF(B81="","",ROUND(SUMIFS(Sales!$AB$5:$AB$1204,Sales!$F$5:$F$1204,C81,Sales!$R$5:$R$1204,B81,Sales!$H$5:$H$1204,"Service"),2))</f>
        <v>0</v>
      </c>
      <c r="P81" s="25">
        <f>IF(B81="","",COUNTIFS(Sales!$F$5:$F$1204,C81,Sales!$R$5:$R$1204,B81,Sales!$H$5:$H$1204,"Service"))</f>
        <v>0</v>
      </c>
      <c r="Q81" s="26">
        <f>IF(B81="","",IF(CommissionOn="Gross before discounts",L81,K81))</f>
        <v>0</v>
      </c>
      <c r="R81" s="26">
        <f>IF(B81="","",IF(CommissionOn="Gross before discounts",N81,M81))</f>
        <v>0</v>
      </c>
      <c r="S81" s="27">
        <f>IF(B81="","",IF(E81="Tiered on monthly service revenue",IFERROR(INDEX(TierRate,MATCH(Q81,TierFrom,1)),0),IFERROR(IF(INDEX(Staff!$M$5:$M$44,MATCH(C81,Staff!$A$5:$A$44,0))="",ServiceCommission,INDEX(Staff!$M$5:$M$44,MATCH(C81,Staff!$A$5:$A$44,0))),ServiceCommission)))</f>
        <v>0</v>
      </c>
      <c r="T81" s="27">
        <f>IF(B81="","",IFERROR(IF(INDEX(Staff!$N$5:$N$44,MATCH(C81,Staff!$A$5:$A$44,0))="",RetailCommission,INDEX(Staff!$N$5:$N$44,MATCH(C81,Staff!$A$5:$A$44,0))),RetailCommission))</f>
        <v>0</v>
      </c>
      <c r="U81" s="26">
        <f>IF(B81="","",IFERROR(INDEX(Staff!$O$5:$O$44,MATCH(C81,Staff!$A$5:$A$44,0))*1,0))</f>
        <v>0</v>
      </c>
      <c r="V81" s="26">
        <f>IF(B81="","",ROUND(IF(E81="Percent of service",Q81*S81,IF(E81="Percent of service and retail",Q81*S81+R81*T81,IF(E81="Percent after product cost",MAX(0,Q81-O81)*S81,IF(E81="Tiered on monthly service revenue",Q81*S81,IF(E81="Flat amount per service",P81*U81,0))))),2))</f>
        <v>0</v>
      </c>
      <c r="W81" s="26">
        <f>IF(B81="","",ROUND(SUMIFS(Payments!$G$5:$G$1204,Payments!$J$5:$J$1204,C81,Payments!$O$5:$O$1204,B81,Payments!$E$5:$E$1204,"Tip"),2))</f>
        <v>0</v>
      </c>
      <c r="X81" s="26">
        <f>IF(B81="","",ROUND(V81+IF(F81="",0,F81)+IF(G81="",0,G81),2))</f>
        <v>0</v>
      </c>
      <c r="Y81" s="27">
        <f>IF(B81="","",IF(Q81+R81=0,"",X81/(Q81+R81)))</f>
        <v>0</v>
      </c>
      <c r="Z81" s="25">
        <f>IF(B81="","",COUNTIFS($V$5:$V$244,"&gt;"&amp;V81)+COUNTIFS($V$5:V81,V81))</f>
        <v>0</v>
      </c>
      <c r="AA81" s="39">
        <f>IF(B81="","",IF(C81="","Add - whose commission is this?",IF(COUNTIFS($B$5:$B$244,B81,$C$5:$C$244,C81)&gt;1,"Duplicate - two rows for the same month",IF(E81="None","",IF(E81="Rent a chair","",IF(E81="Hourly only","",IF(X81=0,"Check - nothing calculated",IF(H81&lt;&gt;"Yes","Due - waiting for approval",IF(I81="","Due - approved but not paid","OK")))))))))</f>
        <v>0</v>
      </c>
    </row>
    <row r="82" spans="1:27">
      <c r="A82" s="28">
        <f>IF(B82="","",CommissionPrefix&amp;TEXT(ROW()-4,"0000"))</f>
        <v>0</v>
      </c>
      <c r="D82" s="15">
        <f>IF(C82="","",IFERROR(INDEX(Staff!$B$5:$B$44,MATCH(C82,Staff!$A$5:$A$44,0)),"Not in Staff"))</f>
        <v>0</v>
      </c>
      <c r="E82" s="15">
        <f>IF(C82="","",IFERROR(INDEX(Staff!$L$5:$L$44,MATCH(C82,Staff!$A$5:$A$44,0)),"None"))</f>
        <v>0</v>
      </c>
      <c r="K82" s="26">
        <f>IF(B82="","",ROUND(SUMIFS(Sales!$Y$5:$Y$1204,Sales!$F$5:$F$1204,C82,Sales!$R$5:$R$1204,B82,Sales!$H$5:$H$1204,"Service"),2))</f>
        <v>0</v>
      </c>
      <c r="L82" s="26">
        <f>IF(B82="","",ROUND(SUMIFS(Sales!$W$5:$W$1204,Sales!$F$5:$F$1204,C82,Sales!$R$5:$R$1204,B82,Sales!$H$5:$H$1204,"Service"),2))</f>
        <v>0</v>
      </c>
      <c r="M82" s="26">
        <f>IF(B82="","",ROUND(SUMIFS(Sales!$Y$5:$Y$1204,Sales!$F$5:$F$1204,C82,Sales!$R$5:$R$1204,B82,Sales!$H$5:$H$1204,"Retail"),2))</f>
        <v>0</v>
      </c>
      <c r="N82" s="26">
        <f>IF(B82="","",ROUND(SUMIFS(Sales!$W$5:$W$1204,Sales!$F$5:$F$1204,C82,Sales!$R$5:$R$1204,B82,Sales!$H$5:$H$1204,"Retail"),2))</f>
        <v>0</v>
      </c>
      <c r="O82" s="26">
        <f>IF(B82="","",ROUND(SUMIFS(Sales!$AB$5:$AB$1204,Sales!$F$5:$F$1204,C82,Sales!$R$5:$R$1204,B82,Sales!$H$5:$H$1204,"Service"),2))</f>
        <v>0</v>
      </c>
      <c r="P82" s="25">
        <f>IF(B82="","",COUNTIFS(Sales!$F$5:$F$1204,C82,Sales!$R$5:$R$1204,B82,Sales!$H$5:$H$1204,"Service"))</f>
        <v>0</v>
      </c>
      <c r="Q82" s="26">
        <f>IF(B82="","",IF(CommissionOn="Gross before discounts",L82,K82))</f>
        <v>0</v>
      </c>
      <c r="R82" s="26">
        <f>IF(B82="","",IF(CommissionOn="Gross before discounts",N82,M82))</f>
        <v>0</v>
      </c>
      <c r="S82" s="27">
        <f>IF(B82="","",IF(E82="Tiered on monthly service revenue",IFERROR(INDEX(TierRate,MATCH(Q82,TierFrom,1)),0),IFERROR(IF(INDEX(Staff!$M$5:$M$44,MATCH(C82,Staff!$A$5:$A$44,0))="",ServiceCommission,INDEX(Staff!$M$5:$M$44,MATCH(C82,Staff!$A$5:$A$44,0))),ServiceCommission)))</f>
        <v>0</v>
      </c>
      <c r="T82" s="27">
        <f>IF(B82="","",IFERROR(IF(INDEX(Staff!$N$5:$N$44,MATCH(C82,Staff!$A$5:$A$44,0))="",RetailCommission,INDEX(Staff!$N$5:$N$44,MATCH(C82,Staff!$A$5:$A$44,0))),RetailCommission))</f>
        <v>0</v>
      </c>
      <c r="U82" s="26">
        <f>IF(B82="","",IFERROR(INDEX(Staff!$O$5:$O$44,MATCH(C82,Staff!$A$5:$A$44,0))*1,0))</f>
        <v>0</v>
      </c>
      <c r="V82" s="26">
        <f>IF(B82="","",ROUND(IF(E82="Percent of service",Q82*S82,IF(E82="Percent of service and retail",Q82*S82+R82*T82,IF(E82="Percent after product cost",MAX(0,Q82-O82)*S82,IF(E82="Tiered on monthly service revenue",Q82*S82,IF(E82="Flat amount per service",P82*U82,0))))),2))</f>
        <v>0</v>
      </c>
      <c r="W82" s="26">
        <f>IF(B82="","",ROUND(SUMIFS(Payments!$G$5:$G$1204,Payments!$J$5:$J$1204,C82,Payments!$O$5:$O$1204,B82,Payments!$E$5:$E$1204,"Tip"),2))</f>
        <v>0</v>
      </c>
      <c r="X82" s="26">
        <f>IF(B82="","",ROUND(V82+IF(F82="",0,F82)+IF(G82="",0,G82),2))</f>
        <v>0</v>
      </c>
      <c r="Y82" s="27">
        <f>IF(B82="","",IF(Q82+R82=0,"",X82/(Q82+R82)))</f>
        <v>0</v>
      </c>
      <c r="Z82" s="25">
        <f>IF(B82="","",COUNTIFS($V$5:$V$244,"&gt;"&amp;V82)+COUNTIFS($V$5:V82,V82))</f>
        <v>0</v>
      </c>
      <c r="AA82" s="39">
        <f>IF(B82="","",IF(C82="","Add - whose commission is this?",IF(COUNTIFS($B$5:$B$244,B82,$C$5:$C$244,C82)&gt;1,"Duplicate - two rows for the same month",IF(E82="None","",IF(E82="Rent a chair","",IF(E82="Hourly only","",IF(X82=0,"Check - nothing calculated",IF(H82&lt;&gt;"Yes","Due - waiting for approval",IF(I82="","Due - approved but not paid","OK")))))))))</f>
        <v>0</v>
      </c>
    </row>
    <row r="83" spans="1:27">
      <c r="A83" s="28">
        <f>IF(B83="","",CommissionPrefix&amp;TEXT(ROW()-4,"0000"))</f>
        <v>0</v>
      </c>
      <c r="D83" s="15">
        <f>IF(C83="","",IFERROR(INDEX(Staff!$B$5:$B$44,MATCH(C83,Staff!$A$5:$A$44,0)),"Not in Staff"))</f>
        <v>0</v>
      </c>
      <c r="E83" s="15">
        <f>IF(C83="","",IFERROR(INDEX(Staff!$L$5:$L$44,MATCH(C83,Staff!$A$5:$A$44,0)),"None"))</f>
        <v>0</v>
      </c>
      <c r="K83" s="26">
        <f>IF(B83="","",ROUND(SUMIFS(Sales!$Y$5:$Y$1204,Sales!$F$5:$F$1204,C83,Sales!$R$5:$R$1204,B83,Sales!$H$5:$H$1204,"Service"),2))</f>
        <v>0</v>
      </c>
      <c r="L83" s="26">
        <f>IF(B83="","",ROUND(SUMIFS(Sales!$W$5:$W$1204,Sales!$F$5:$F$1204,C83,Sales!$R$5:$R$1204,B83,Sales!$H$5:$H$1204,"Service"),2))</f>
        <v>0</v>
      </c>
      <c r="M83" s="26">
        <f>IF(B83="","",ROUND(SUMIFS(Sales!$Y$5:$Y$1204,Sales!$F$5:$F$1204,C83,Sales!$R$5:$R$1204,B83,Sales!$H$5:$H$1204,"Retail"),2))</f>
        <v>0</v>
      </c>
      <c r="N83" s="26">
        <f>IF(B83="","",ROUND(SUMIFS(Sales!$W$5:$W$1204,Sales!$F$5:$F$1204,C83,Sales!$R$5:$R$1204,B83,Sales!$H$5:$H$1204,"Retail"),2))</f>
        <v>0</v>
      </c>
      <c r="O83" s="26">
        <f>IF(B83="","",ROUND(SUMIFS(Sales!$AB$5:$AB$1204,Sales!$F$5:$F$1204,C83,Sales!$R$5:$R$1204,B83,Sales!$H$5:$H$1204,"Service"),2))</f>
        <v>0</v>
      </c>
      <c r="P83" s="25">
        <f>IF(B83="","",COUNTIFS(Sales!$F$5:$F$1204,C83,Sales!$R$5:$R$1204,B83,Sales!$H$5:$H$1204,"Service"))</f>
        <v>0</v>
      </c>
      <c r="Q83" s="26">
        <f>IF(B83="","",IF(CommissionOn="Gross before discounts",L83,K83))</f>
        <v>0</v>
      </c>
      <c r="R83" s="26">
        <f>IF(B83="","",IF(CommissionOn="Gross before discounts",N83,M83))</f>
        <v>0</v>
      </c>
      <c r="S83" s="27">
        <f>IF(B83="","",IF(E83="Tiered on monthly service revenue",IFERROR(INDEX(TierRate,MATCH(Q83,TierFrom,1)),0),IFERROR(IF(INDEX(Staff!$M$5:$M$44,MATCH(C83,Staff!$A$5:$A$44,0))="",ServiceCommission,INDEX(Staff!$M$5:$M$44,MATCH(C83,Staff!$A$5:$A$44,0))),ServiceCommission)))</f>
        <v>0</v>
      </c>
      <c r="T83" s="27">
        <f>IF(B83="","",IFERROR(IF(INDEX(Staff!$N$5:$N$44,MATCH(C83,Staff!$A$5:$A$44,0))="",RetailCommission,INDEX(Staff!$N$5:$N$44,MATCH(C83,Staff!$A$5:$A$44,0))),RetailCommission))</f>
        <v>0</v>
      </c>
      <c r="U83" s="26">
        <f>IF(B83="","",IFERROR(INDEX(Staff!$O$5:$O$44,MATCH(C83,Staff!$A$5:$A$44,0))*1,0))</f>
        <v>0</v>
      </c>
      <c r="V83" s="26">
        <f>IF(B83="","",ROUND(IF(E83="Percent of service",Q83*S83,IF(E83="Percent of service and retail",Q83*S83+R83*T83,IF(E83="Percent after product cost",MAX(0,Q83-O83)*S83,IF(E83="Tiered on monthly service revenue",Q83*S83,IF(E83="Flat amount per service",P83*U83,0))))),2))</f>
        <v>0</v>
      </c>
      <c r="W83" s="26">
        <f>IF(B83="","",ROUND(SUMIFS(Payments!$G$5:$G$1204,Payments!$J$5:$J$1204,C83,Payments!$O$5:$O$1204,B83,Payments!$E$5:$E$1204,"Tip"),2))</f>
        <v>0</v>
      </c>
      <c r="X83" s="26">
        <f>IF(B83="","",ROUND(V83+IF(F83="",0,F83)+IF(G83="",0,G83),2))</f>
        <v>0</v>
      </c>
      <c r="Y83" s="27">
        <f>IF(B83="","",IF(Q83+R83=0,"",X83/(Q83+R83)))</f>
        <v>0</v>
      </c>
      <c r="Z83" s="25">
        <f>IF(B83="","",COUNTIFS($V$5:$V$244,"&gt;"&amp;V83)+COUNTIFS($V$5:V83,V83))</f>
        <v>0</v>
      </c>
      <c r="AA83" s="39">
        <f>IF(B83="","",IF(C83="","Add - whose commission is this?",IF(COUNTIFS($B$5:$B$244,B83,$C$5:$C$244,C83)&gt;1,"Duplicate - two rows for the same month",IF(E83="None","",IF(E83="Rent a chair","",IF(E83="Hourly only","",IF(X83=0,"Check - nothing calculated",IF(H83&lt;&gt;"Yes","Due - waiting for approval",IF(I83="","Due - approved but not paid","OK")))))))))</f>
        <v>0</v>
      </c>
    </row>
    <row r="84" spans="1:27">
      <c r="A84" s="28">
        <f>IF(B84="","",CommissionPrefix&amp;TEXT(ROW()-4,"0000"))</f>
        <v>0</v>
      </c>
      <c r="D84" s="15">
        <f>IF(C84="","",IFERROR(INDEX(Staff!$B$5:$B$44,MATCH(C84,Staff!$A$5:$A$44,0)),"Not in Staff"))</f>
        <v>0</v>
      </c>
      <c r="E84" s="15">
        <f>IF(C84="","",IFERROR(INDEX(Staff!$L$5:$L$44,MATCH(C84,Staff!$A$5:$A$44,0)),"None"))</f>
        <v>0</v>
      </c>
      <c r="K84" s="26">
        <f>IF(B84="","",ROUND(SUMIFS(Sales!$Y$5:$Y$1204,Sales!$F$5:$F$1204,C84,Sales!$R$5:$R$1204,B84,Sales!$H$5:$H$1204,"Service"),2))</f>
        <v>0</v>
      </c>
      <c r="L84" s="26">
        <f>IF(B84="","",ROUND(SUMIFS(Sales!$W$5:$W$1204,Sales!$F$5:$F$1204,C84,Sales!$R$5:$R$1204,B84,Sales!$H$5:$H$1204,"Service"),2))</f>
        <v>0</v>
      </c>
      <c r="M84" s="26">
        <f>IF(B84="","",ROUND(SUMIFS(Sales!$Y$5:$Y$1204,Sales!$F$5:$F$1204,C84,Sales!$R$5:$R$1204,B84,Sales!$H$5:$H$1204,"Retail"),2))</f>
        <v>0</v>
      </c>
      <c r="N84" s="26">
        <f>IF(B84="","",ROUND(SUMIFS(Sales!$W$5:$W$1204,Sales!$F$5:$F$1204,C84,Sales!$R$5:$R$1204,B84,Sales!$H$5:$H$1204,"Retail"),2))</f>
        <v>0</v>
      </c>
      <c r="O84" s="26">
        <f>IF(B84="","",ROUND(SUMIFS(Sales!$AB$5:$AB$1204,Sales!$F$5:$F$1204,C84,Sales!$R$5:$R$1204,B84,Sales!$H$5:$H$1204,"Service"),2))</f>
        <v>0</v>
      </c>
      <c r="P84" s="25">
        <f>IF(B84="","",COUNTIFS(Sales!$F$5:$F$1204,C84,Sales!$R$5:$R$1204,B84,Sales!$H$5:$H$1204,"Service"))</f>
        <v>0</v>
      </c>
      <c r="Q84" s="26">
        <f>IF(B84="","",IF(CommissionOn="Gross before discounts",L84,K84))</f>
        <v>0</v>
      </c>
      <c r="R84" s="26">
        <f>IF(B84="","",IF(CommissionOn="Gross before discounts",N84,M84))</f>
        <v>0</v>
      </c>
      <c r="S84" s="27">
        <f>IF(B84="","",IF(E84="Tiered on monthly service revenue",IFERROR(INDEX(TierRate,MATCH(Q84,TierFrom,1)),0),IFERROR(IF(INDEX(Staff!$M$5:$M$44,MATCH(C84,Staff!$A$5:$A$44,0))="",ServiceCommission,INDEX(Staff!$M$5:$M$44,MATCH(C84,Staff!$A$5:$A$44,0))),ServiceCommission)))</f>
        <v>0</v>
      </c>
      <c r="T84" s="27">
        <f>IF(B84="","",IFERROR(IF(INDEX(Staff!$N$5:$N$44,MATCH(C84,Staff!$A$5:$A$44,0))="",RetailCommission,INDEX(Staff!$N$5:$N$44,MATCH(C84,Staff!$A$5:$A$44,0))),RetailCommission))</f>
        <v>0</v>
      </c>
      <c r="U84" s="26">
        <f>IF(B84="","",IFERROR(INDEX(Staff!$O$5:$O$44,MATCH(C84,Staff!$A$5:$A$44,0))*1,0))</f>
        <v>0</v>
      </c>
      <c r="V84" s="26">
        <f>IF(B84="","",ROUND(IF(E84="Percent of service",Q84*S84,IF(E84="Percent of service and retail",Q84*S84+R84*T84,IF(E84="Percent after product cost",MAX(0,Q84-O84)*S84,IF(E84="Tiered on monthly service revenue",Q84*S84,IF(E84="Flat amount per service",P84*U84,0))))),2))</f>
        <v>0</v>
      </c>
      <c r="W84" s="26">
        <f>IF(B84="","",ROUND(SUMIFS(Payments!$G$5:$G$1204,Payments!$J$5:$J$1204,C84,Payments!$O$5:$O$1204,B84,Payments!$E$5:$E$1204,"Tip"),2))</f>
        <v>0</v>
      </c>
      <c r="X84" s="26">
        <f>IF(B84="","",ROUND(V84+IF(F84="",0,F84)+IF(G84="",0,G84),2))</f>
        <v>0</v>
      </c>
      <c r="Y84" s="27">
        <f>IF(B84="","",IF(Q84+R84=0,"",X84/(Q84+R84)))</f>
        <v>0</v>
      </c>
      <c r="Z84" s="25">
        <f>IF(B84="","",COUNTIFS($V$5:$V$244,"&gt;"&amp;V84)+COUNTIFS($V$5:V84,V84))</f>
        <v>0</v>
      </c>
      <c r="AA84" s="39">
        <f>IF(B84="","",IF(C84="","Add - whose commission is this?",IF(COUNTIFS($B$5:$B$244,B84,$C$5:$C$244,C84)&gt;1,"Duplicate - two rows for the same month",IF(E84="None","",IF(E84="Rent a chair","",IF(E84="Hourly only","",IF(X84=0,"Check - nothing calculated",IF(H84&lt;&gt;"Yes","Due - waiting for approval",IF(I84="","Due - approved but not paid","OK")))))))))</f>
        <v>0</v>
      </c>
    </row>
    <row r="85" spans="1:27">
      <c r="A85" s="28">
        <f>IF(B85="","",CommissionPrefix&amp;TEXT(ROW()-4,"0000"))</f>
        <v>0</v>
      </c>
      <c r="D85" s="15">
        <f>IF(C85="","",IFERROR(INDEX(Staff!$B$5:$B$44,MATCH(C85,Staff!$A$5:$A$44,0)),"Not in Staff"))</f>
        <v>0</v>
      </c>
      <c r="E85" s="15">
        <f>IF(C85="","",IFERROR(INDEX(Staff!$L$5:$L$44,MATCH(C85,Staff!$A$5:$A$44,0)),"None"))</f>
        <v>0</v>
      </c>
      <c r="K85" s="26">
        <f>IF(B85="","",ROUND(SUMIFS(Sales!$Y$5:$Y$1204,Sales!$F$5:$F$1204,C85,Sales!$R$5:$R$1204,B85,Sales!$H$5:$H$1204,"Service"),2))</f>
        <v>0</v>
      </c>
      <c r="L85" s="26">
        <f>IF(B85="","",ROUND(SUMIFS(Sales!$W$5:$W$1204,Sales!$F$5:$F$1204,C85,Sales!$R$5:$R$1204,B85,Sales!$H$5:$H$1204,"Service"),2))</f>
        <v>0</v>
      </c>
      <c r="M85" s="26">
        <f>IF(B85="","",ROUND(SUMIFS(Sales!$Y$5:$Y$1204,Sales!$F$5:$F$1204,C85,Sales!$R$5:$R$1204,B85,Sales!$H$5:$H$1204,"Retail"),2))</f>
        <v>0</v>
      </c>
      <c r="N85" s="26">
        <f>IF(B85="","",ROUND(SUMIFS(Sales!$W$5:$W$1204,Sales!$F$5:$F$1204,C85,Sales!$R$5:$R$1204,B85,Sales!$H$5:$H$1204,"Retail"),2))</f>
        <v>0</v>
      </c>
      <c r="O85" s="26">
        <f>IF(B85="","",ROUND(SUMIFS(Sales!$AB$5:$AB$1204,Sales!$F$5:$F$1204,C85,Sales!$R$5:$R$1204,B85,Sales!$H$5:$H$1204,"Service"),2))</f>
        <v>0</v>
      </c>
      <c r="P85" s="25">
        <f>IF(B85="","",COUNTIFS(Sales!$F$5:$F$1204,C85,Sales!$R$5:$R$1204,B85,Sales!$H$5:$H$1204,"Service"))</f>
        <v>0</v>
      </c>
      <c r="Q85" s="26">
        <f>IF(B85="","",IF(CommissionOn="Gross before discounts",L85,K85))</f>
        <v>0</v>
      </c>
      <c r="R85" s="26">
        <f>IF(B85="","",IF(CommissionOn="Gross before discounts",N85,M85))</f>
        <v>0</v>
      </c>
      <c r="S85" s="27">
        <f>IF(B85="","",IF(E85="Tiered on monthly service revenue",IFERROR(INDEX(TierRate,MATCH(Q85,TierFrom,1)),0),IFERROR(IF(INDEX(Staff!$M$5:$M$44,MATCH(C85,Staff!$A$5:$A$44,0))="",ServiceCommission,INDEX(Staff!$M$5:$M$44,MATCH(C85,Staff!$A$5:$A$44,0))),ServiceCommission)))</f>
        <v>0</v>
      </c>
      <c r="T85" s="27">
        <f>IF(B85="","",IFERROR(IF(INDEX(Staff!$N$5:$N$44,MATCH(C85,Staff!$A$5:$A$44,0))="",RetailCommission,INDEX(Staff!$N$5:$N$44,MATCH(C85,Staff!$A$5:$A$44,0))),RetailCommission))</f>
        <v>0</v>
      </c>
      <c r="U85" s="26">
        <f>IF(B85="","",IFERROR(INDEX(Staff!$O$5:$O$44,MATCH(C85,Staff!$A$5:$A$44,0))*1,0))</f>
        <v>0</v>
      </c>
      <c r="V85" s="26">
        <f>IF(B85="","",ROUND(IF(E85="Percent of service",Q85*S85,IF(E85="Percent of service and retail",Q85*S85+R85*T85,IF(E85="Percent after product cost",MAX(0,Q85-O85)*S85,IF(E85="Tiered on monthly service revenue",Q85*S85,IF(E85="Flat amount per service",P85*U85,0))))),2))</f>
        <v>0</v>
      </c>
      <c r="W85" s="26">
        <f>IF(B85="","",ROUND(SUMIFS(Payments!$G$5:$G$1204,Payments!$J$5:$J$1204,C85,Payments!$O$5:$O$1204,B85,Payments!$E$5:$E$1204,"Tip"),2))</f>
        <v>0</v>
      </c>
      <c r="X85" s="26">
        <f>IF(B85="","",ROUND(V85+IF(F85="",0,F85)+IF(G85="",0,G85),2))</f>
        <v>0</v>
      </c>
      <c r="Y85" s="27">
        <f>IF(B85="","",IF(Q85+R85=0,"",X85/(Q85+R85)))</f>
        <v>0</v>
      </c>
      <c r="Z85" s="25">
        <f>IF(B85="","",COUNTIFS($V$5:$V$244,"&gt;"&amp;V85)+COUNTIFS($V$5:V85,V85))</f>
        <v>0</v>
      </c>
      <c r="AA85" s="39">
        <f>IF(B85="","",IF(C85="","Add - whose commission is this?",IF(COUNTIFS($B$5:$B$244,B85,$C$5:$C$244,C85)&gt;1,"Duplicate - two rows for the same month",IF(E85="None","",IF(E85="Rent a chair","",IF(E85="Hourly only","",IF(X85=0,"Check - nothing calculated",IF(H85&lt;&gt;"Yes","Due - waiting for approval",IF(I85="","Due - approved but not paid","OK")))))))))</f>
        <v>0</v>
      </c>
    </row>
    <row r="86" spans="1:27">
      <c r="A86" s="28">
        <f>IF(B86="","",CommissionPrefix&amp;TEXT(ROW()-4,"0000"))</f>
        <v>0</v>
      </c>
      <c r="D86" s="15">
        <f>IF(C86="","",IFERROR(INDEX(Staff!$B$5:$B$44,MATCH(C86,Staff!$A$5:$A$44,0)),"Not in Staff"))</f>
        <v>0</v>
      </c>
      <c r="E86" s="15">
        <f>IF(C86="","",IFERROR(INDEX(Staff!$L$5:$L$44,MATCH(C86,Staff!$A$5:$A$44,0)),"None"))</f>
        <v>0</v>
      </c>
      <c r="K86" s="26">
        <f>IF(B86="","",ROUND(SUMIFS(Sales!$Y$5:$Y$1204,Sales!$F$5:$F$1204,C86,Sales!$R$5:$R$1204,B86,Sales!$H$5:$H$1204,"Service"),2))</f>
        <v>0</v>
      </c>
      <c r="L86" s="26">
        <f>IF(B86="","",ROUND(SUMIFS(Sales!$W$5:$W$1204,Sales!$F$5:$F$1204,C86,Sales!$R$5:$R$1204,B86,Sales!$H$5:$H$1204,"Service"),2))</f>
        <v>0</v>
      </c>
      <c r="M86" s="26">
        <f>IF(B86="","",ROUND(SUMIFS(Sales!$Y$5:$Y$1204,Sales!$F$5:$F$1204,C86,Sales!$R$5:$R$1204,B86,Sales!$H$5:$H$1204,"Retail"),2))</f>
        <v>0</v>
      </c>
      <c r="N86" s="26">
        <f>IF(B86="","",ROUND(SUMIFS(Sales!$W$5:$W$1204,Sales!$F$5:$F$1204,C86,Sales!$R$5:$R$1204,B86,Sales!$H$5:$H$1204,"Retail"),2))</f>
        <v>0</v>
      </c>
      <c r="O86" s="26">
        <f>IF(B86="","",ROUND(SUMIFS(Sales!$AB$5:$AB$1204,Sales!$F$5:$F$1204,C86,Sales!$R$5:$R$1204,B86,Sales!$H$5:$H$1204,"Service"),2))</f>
        <v>0</v>
      </c>
      <c r="P86" s="25">
        <f>IF(B86="","",COUNTIFS(Sales!$F$5:$F$1204,C86,Sales!$R$5:$R$1204,B86,Sales!$H$5:$H$1204,"Service"))</f>
        <v>0</v>
      </c>
      <c r="Q86" s="26">
        <f>IF(B86="","",IF(CommissionOn="Gross before discounts",L86,K86))</f>
        <v>0</v>
      </c>
      <c r="R86" s="26">
        <f>IF(B86="","",IF(CommissionOn="Gross before discounts",N86,M86))</f>
        <v>0</v>
      </c>
      <c r="S86" s="27">
        <f>IF(B86="","",IF(E86="Tiered on monthly service revenue",IFERROR(INDEX(TierRate,MATCH(Q86,TierFrom,1)),0),IFERROR(IF(INDEX(Staff!$M$5:$M$44,MATCH(C86,Staff!$A$5:$A$44,0))="",ServiceCommission,INDEX(Staff!$M$5:$M$44,MATCH(C86,Staff!$A$5:$A$44,0))),ServiceCommission)))</f>
        <v>0</v>
      </c>
      <c r="T86" s="27">
        <f>IF(B86="","",IFERROR(IF(INDEX(Staff!$N$5:$N$44,MATCH(C86,Staff!$A$5:$A$44,0))="",RetailCommission,INDEX(Staff!$N$5:$N$44,MATCH(C86,Staff!$A$5:$A$44,0))),RetailCommission))</f>
        <v>0</v>
      </c>
      <c r="U86" s="26">
        <f>IF(B86="","",IFERROR(INDEX(Staff!$O$5:$O$44,MATCH(C86,Staff!$A$5:$A$44,0))*1,0))</f>
        <v>0</v>
      </c>
      <c r="V86" s="26">
        <f>IF(B86="","",ROUND(IF(E86="Percent of service",Q86*S86,IF(E86="Percent of service and retail",Q86*S86+R86*T86,IF(E86="Percent after product cost",MAX(0,Q86-O86)*S86,IF(E86="Tiered on monthly service revenue",Q86*S86,IF(E86="Flat amount per service",P86*U86,0))))),2))</f>
        <v>0</v>
      </c>
      <c r="W86" s="26">
        <f>IF(B86="","",ROUND(SUMIFS(Payments!$G$5:$G$1204,Payments!$J$5:$J$1204,C86,Payments!$O$5:$O$1204,B86,Payments!$E$5:$E$1204,"Tip"),2))</f>
        <v>0</v>
      </c>
      <c r="X86" s="26">
        <f>IF(B86="","",ROUND(V86+IF(F86="",0,F86)+IF(G86="",0,G86),2))</f>
        <v>0</v>
      </c>
      <c r="Y86" s="27">
        <f>IF(B86="","",IF(Q86+R86=0,"",X86/(Q86+R86)))</f>
        <v>0</v>
      </c>
      <c r="Z86" s="25">
        <f>IF(B86="","",COUNTIFS($V$5:$V$244,"&gt;"&amp;V86)+COUNTIFS($V$5:V86,V86))</f>
        <v>0</v>
      </c>
      <c r="AA86" s="39">
        <f>IF(B86="","",IF(C86="","Add - whose commission is this?",IF(COUNTIFS($B$5:$B$244,B86,$C$5:$C$244,C86)&gt;1,"Duplicate - two rows for the same month",IF(E86="None","",IF(E86="Rent a chair","",IF(E86="Hourly only","",IF(X86=0,"Check - nothing calculated",IF(H86&lt;&gt;"Yes","Due - waiting for approval",IF(I86="","Due - approved but not paid","OK")))))))))</f>
        <v>0</v>
      </c>
    </row>
    <row r="87" spans="1:27">
      <c r="A87" s="28">
        <f>IF(B87="","",CommissionPrefix&amp;TEXT(ROW()-4,"0000"))</f>
        <v>0</v>
      </c>
      <c r="D87" s="15">
        <f>IF(C87="","",IFERROR(INDEX(Staff!$B$5:$B$44,MATCH(C87,Staff!$A$5:$A$44,0)),"Not in Staff"))</f>
        <v>0</v>
      </c>
      <c r="E87" s="15">
        <f>IF(C87="","",IFERROR(INDEX(Staff!$L$5:$L$44,MATCH(C87,Staff!$A$5:$A$44,0)),"None"))</f>
        <v>0</v>
      </c>
      <c r="K87" s="26">
        <f>IF(B87="","",ROUND(SUMIFS(Sales!$Y$5:$Y$1204,Sales!$F$5:$F$1204,C87,Sales!$R$5:$R$1204,B87,Sales!$H$5:$H$1204,"Service"),2))</f>
        <v>0</v>
      </c>
      <c r="L87" s="26">
        <f>IF(B87="","",ROUND(SUMIFS(Sales!$W$5:$W$1204,Sales!$F$5:$F$1204,C87,Sales!$R$5:$R$1204,B87,Sales!$H$5:$H$1204,"Service"),2))</f>
        <v>0</v>
      </c>
      <c r="M87" s="26">
        <f>IF(B87="","",ROUND(SUMIFS(Sales!$Y$5:$Y$1204,Sales!$F$5:$F$1204,C87,Sales!$R$5:$R$1204,B87,Sales!$H$5:$H$1204,"Retail"),2))</f>
        <v>0</v>
      </c>
      <c r="N87" s="26">
        <f>IF(B87="","",ROUND(SUMIFS(Sales!$W$5:$W$1204,Sales!$F$5:$F$1204,C87,Sales!$R$5:$R$1204,B87,Sales!$H$5:$H$1204,"Retail"),2))</f>
        <v>0</v>
      </c>
      <c r="O87" s="26">
        <f>IF(B87="","",ROUND(SUMIFS(Sales!$AB$5:$AB$1204,Sales!$F$5:$F$1204,C87,Sales!$R$5:$R$1204,B87,Sales!$H$5:$H$1204,"Service"),2))</f>
        <v>0</v>
      </c>
      <c r="P87" s="25">
        <f>IF(B87="","",COUNTIFS(Sales!$F$5:$F$1204,C87,Sales!$R$5:$R$1204,B87,Sales!$H$5:$H$1204,"Service"))</f>
        <v>0</v>
      </c>
      <c r="Q87" s="26">
        <f>IF(B87="","",IF(CommissionOn="Gross before discounts",L87,K87))</f>
        <v>0</v>
      </c>
      <c r="R87" s="26">
        <f>IF(B87="","",IF(CommissionOn="Gross before discounts",N87,M87))</f>
        <v>0</v>
      </c>
      <c r="S87" s="27">
        <f>IF(B87="","",IF(E87="Tiered on monthly service revenue",IFERROR(INDEX(TierRate,MATCH(Q87,TierFrom,1)),0),IFERROR(IF(INDEX(Staff!$M$5:$M$44,MATCH(C87,Staff!$A$5:$A$44,0))="",ServiceCommission,INDEX(Staff!$M$5:$M$44,MATCH(C87,Staff!$A$5:$A$44,0))),ServiceCommission)))</f>
        <v>0</v>
      </c>
      <c r="T87" s="27">
        <f>IF(B87="","",IFERROR(IF(INDEX(Staff!$N$5:$N$44,MATCH(C87,Staff!$A$5:$A$44,0))="",RetailCommission,INDEX(Staff!$N$5:$N$44,MATCH(C87,Staff!$A$5:$A$44,0))),RetailCommission))</f>
        <v>0</v>
      </c>
      <c r="U87" s="26">
        <f>IF(B87="","",IFERROR(INDEX(Staff!$O$5:$O$44,MATCH(C87,Staff!$A$5:$A$44,0))*1,0))</f>
        <v>0</v>
      </c>
      <c r="V87" s="26">
        <f>IF(B87="","",ROUND(IF(E87="Percent of service",Q87*S87,IF(E87="Percent of service and retail",Q87*S87+R87*T87,IF(E87="Percent after product cost",MAX(0,Q87-O87)*S87,IF(E87="Tiered on monthly service revenue",Q87*S87,IF(E87="Flat amount per service",P87*U87,0))))),2))</f>
        <v>0</v>
      </c>
      <c r="W87" s="26">
        <f>IF(B87="","",ROUND(SUMIFS(Payments!$G$5:$G$1204,Payments!$J$5:$J$1204,C87,Payments!$O$5:$O$1204,B87,Payments!$E$5:$E$1204,"Tip"),2))</f>
        <v>0</v>
      </c>
      <c r="X87" s="26">
        <f>IF(B87="","",ROUND(V87+IF(F87="",0,F87)+IF(G87="",0,G87),2))</f>
        <v>0</v>
      </c>
      <c r="Y87" s="27">
        <f>IF(B87="","",IF(Q87+R87=0,"",X87/(Q87+R87)))</f>
        <v>0</v>
      </c>
      <c r="Z87" s="25">
        <f>IF(B87="","",COUNTIFS($V$5:$V$244,"&gt;"&amp;V87)+COUNTIFS($V$5:V87,V87))</f>
        <v>0</v>
      </c>
      <c r="AA87" s="39">
        <f>IF(B87="","",IF(C87="","Add - whose commission is this?",IF(COUNTIFS($B$5:$B$244,B87,$C$5:$C$244,C87)&gt;1,"Duplicate - two rows for the same month",IF(E87="None","",IF(E87="Rent a chair","",IF(E87="Hourly only","",IF(X87=0,"Check - nothing calculated",IF(H87&lt;&gt;"Yes","Due - waiting for approval",IF(I87="","Due - approved but not paid","OK")))))))))</f>
        <v>0</v>
      </c>
    </row>
    <row r="88" spans="1:27">
      <c r="A88" s="28">
        <f>IF(B88="","",CommissionPrefix&amp;TEXT(ROW()-4,"0000"))</f>
        <v>0</v>
      </c>
      <c r="D88" s="15">
        <f>IF(C88="","",IFERROR(INDEX(Staff!$B$5:$B$44,MATCH(C88,Staff!$A$5:$A$44,0)),"Not in Staff"))</f>
        <v>0</v>
      </c>
      <c r="E88" s="15">
        <f>IF(C88="","",IFERROR(INDEX(Staff!$L$5:$L$44,MATCH(C88,Staff!$A$5:$A$44,0)),"None"))</f>
        <v>0</v>
      </c>
      <c r="K88" s="26">
        <f>IF(B88="","",ROUND(SUMIFS(Sales!$Y$5:$Y$1204,Sales!$F$5:$F$1204,C88,Sales!$R$5:$R$1204,B88,Sales!$H$5:$H$1204,"Service"),2))</f>
        <v>0</v>
      </c>
      <c r="L88" s="26">
        <f>IF(B88="","",ROUND(SUMIFS(Sales!$W$5:$W$1204,Sales!$F$5:$F$1204,C88,Sales!$R$5:$R$1204,B88,Sales!$H$5:$H$1204,"Service"),2))</f>
        <v>0</v>
      </c>
      <c r="M88" s="26">
        <f>IF(B88="","",ROUND(SUMIFS(Sales!$Y$5:$Y$1204,Sales!$F$5:$F$1204,C88,Sales!$R$5:$R$1204,B88,Sales!$H$5:$H$1204,"Retail"),2))</f>
        <v>0</v>
      </c>
      <c r="N88" s="26">
        <f>IF(B88="","",ROUND(SUMIFS(Sales!$W$5:$W$1204,Sales!$F$5:$F$1204,C88,Sales!$R$5:$R$1204,B88,Sales!$H$5:$H$1204,"Retail"),2))</f>
        <v>0</v>
      </c>
      <c r="O88" s="26">
        <f>IF(B88="","",ROUND(SUMIFS(Sales!$AB$5:$AB$1204,Sales!$F$5:$F$1204,C88,Sales!$R$5:$R$1204,B88,Sales!$H$5:$H$1204,"Service"),2))</f>
        <v>0</v>
      </c>
      <c r="P88" s="25">
        <f>IF(B88="","",COUNTIFS(Sales!$F$5:$F$1204,C88,Sales!$R$5:$R$1204,B88,Sales!$H$5:$H$1204,"Service"))</f>
        <v>0</v>
      </c>
      <c r="Q88" s="26">
        <f>IF(B88="","",IF(CommissionOn="Gross before discounts",L88,K88))</f>
        <v>0</v>
      </c>
      <c r="R88" s="26">
        <f>IF(B88="","",IF(CommissionOn="Gross before discounts",N88,M88))</f>
        <v>0</v>
      </c>
      <c r="S88" s="27">
        <f>IF(B88="","",IF(E88="Tiered on monthly service revenue",IFERROR(INDEX(TierRate,MATCH(Q88,TierFrom,1)),0),IFERROR(IF(INDEX(Staff!$M$5:$M$44,MATCH(C88,Staff!$A$5:$A$44,0))="",ServiceCommission,INDEX(Staff!$M$5:$M$44,MATCH(C88,Staff!$A$5:$A$44,0))),ServiceCommission)))</f>
        <v>0</v>
      </c>
      <c r="T88" s="27">
        <f>IF(B88="","",IFERROR(IF(INDEX(Staff!$N$5:$N$44,MATCH(C88,Staff!$A$5:$A$44,0))="",RetailCommission,INDEX(Staff!$N$5:$N$44,MATCH(C88,Staff!$A$5:$A$44,0))),RetailCommission))</f>
        <v>0</v>
      </c>
      <c r="U88" s="26">
        <f>IF(B88="","",IFERROR(INDEX(Staff!$O$5:$O$44,MATCH(C88,Staff!$A$5:$A$44,0))*1,0))</f>
        <v>0</v>
      </c>
      <c r="V88" s="26">
        <f>IF(B88="","",ROUND(IF(E88="Percent of service",Q88*S88,IF(E88="Percent of service and retail",Q88*S88+R88*T88,IF(E88="Percent after product cost",MAX(0,Q88-O88)*S88,IF(E88="Tiered on monthly service revenue",Q88*S88,IF(E88="Flat amount per service",P88*U88,0))))),2))</f>
        <v>0</v>
      </c>
      <c r="W88" s="26">
        <f>IF(B88="","",ROUND(SUMIFS(Payments!$G$5:$G$1204,Payments!$J$5:$J$1204,C88,Payments!$O$5:$O$1204,B88,Payments!$E$5:$E$1204,"Tip"),2))</f>
        <v>0</v>
      </c>
      <c r="X88" s="26">
        <f>IF(B88="","",ROUND(V88+IF(F88="",0,F88)+IF(G88="",0,G88),2))</f>
        <v>0</v>
      </c>
      <c r="Y88" s="27">
        <f>IF(B88="","",IF(Q88+R88=0,"",X88/(Q88+R88)))</f>
        <v>0</v>
      </c>
      <c r="Z88" s="25">
        <f>IF(B88="","",COUNTIFS($V$5:$V$244,"&gt;"&amp;V88)+COUNTIFS($V$5:V88,V88))</f>
        <v>0</v>
      </c>
      <c r="AA88" s="39">
        <f>IF(B88="","",IF(C88="","Add - whose commission is this?",IF(COUNTIFS($B$5:$B$244,B88,$C$5:$C$244,C88)&gt;1,"Duplicate - two rows for the same month",IF(E88="None","",IF(E88="Rent a chair","",IF(E88="Hourly only","",IF(X88=0,"Check - nothing calculated",IF(H88&lt;&gt;"Yes","Due - waiting for approval",IF(I88="","Due - approved but not paid","OK")))))))))</f>
        <v>0</v>
      </c>
    </row>
    <row r="89" spans="1:27">
      <c r="A89" s="28">
        <f>IF(B89="","",CommissionPrefix&amp;TEXT(ROW()-4,"0000"))</f>
        <v>0</v>
      </c>
      <c r="D89" s="15">
        <f>IF(C89="","",IFERROR(INDEX(Staff!$B$5:$B$44,MATCH(C89,Staff!$A$5:$A$44,0)),"Not in Staff"))</f>
        <v>0</v>
      </c>
      <c r="E89" s="15">
        <f>IF(C89="","",IFERROR(INDEX(Staff!$L$5:$L$44,MATCH(C89,Staff!$A$5:$A$44,0)),"None"))</f>
        <v>0</v>
      </c>
      <c r="K89" s="26">
        <f>IF(B89="","",ROUND(SUMIFS(Sales!$Y$5:$Y$1204,Sales!$F$5:$F$1204,C89,Sales!$R$5:$R$1204,B89,Sales!$H$5:$H$1204,"Service"),2))</f>
        <v>0</v>
      </c>
      <c r="L89" s="26">
        <f>IF(B89="","",ROUND(SUMIFS(Sales!$W$5:$W$1204,Sales!$F$5:$F$1204,C89,Sales!$R$5:$R$1204,B89,Sales!$H$5:$H$1204,"Service"),2))</f>
        <v>0</v>
      </c>
      <c r="M89" s="26">
        <f>IF(B89="","",ROUND(SUMIFS(Sales!$Y$5:$Y$1204,Sales!$F$5:$F$1204,C89,Sales!$R$5:$R$1204,B89,Sales!$H$5:$H$1204,"Retail"),2))</f>
        <v>0</v>
      </c>
      <c r="N89" s="26">
        <f>IF(B89="","",ROUND(SUMIFS(Sales!$W$5:$W$1204,Sales!$F$5:$F$1204,C89,Sales!$R$5:$R$1204,B89,Sales!$H$5:$H$1204,"Retail"),2))</f>
        <v>0</v>
      </c>
      <c r="O89" s="26">
        <f>IF(B89="","",ROUND(SUMIFS(Sales!$AB$5:$AB$1204,Sales!$F$5:$F$1204,C89,Sales!$R$5:$R$1204,B89,Sales!$H$5:$H$1204,"Service"),2))</f>
        <v>0</v>
      </c>
      <c r="P89" s="25">
        <f>IF(B89="","",COUNTIFS(Sales!$F$5:$F$1204,C89,Sales!$R$5:$R$1204,B89,Sales!$H$5:$H$1204,"Service"))</f>
        <v>0</v>
      </c>
      <c r="Q89" s="26">
        <f>IF(B89="","",IF(CommissionOn="Gross before discounts",L89,K89))</f>
        <v>0</v>
      </c>
      <c r="R89" s="26">
        <f>IF(B89="","",IF(CommissionOn="Gross before discounts",N89,M89))</f>
        <v>0</v>
      </c>
      <c r="S89" s="27">
        <f>IF(B89="","",IF(E89="Tiered on monthly service revenue",IFERROR(INDEX(TierRate,MATCH(Q89,TierFrom,1)),0),IFERROR(IF(INDEX(Staff!$M$5:$M$44,MATCH(C89,Staff!$A$5:$A$44,0))="",ServiceCommission,INDEX(Staff!$M$5:$M$44,MATCH(C89,Staff!$A$5:$A$44,0))),ServiceCommission)))</f>
        <v>0</v>
      </c>
      <c r="T89" s="27">
        <f>IF(B89="","",IFERROR(IF(INDEX(Staff!$N$5:$N$44,MATCH(C89,Staff!$A$5:$A$44,0))="",RetailCommission,INDEX(Staff!$N$5:$N$44,MATCH(C89,Staff!$A$5:$A$44,0))),RetailCommission))</f>
        <v>0</v>
      </c>
      <c r="U89" s="26">
        <f>IF(B89="","",IFERROR(INDEX(Staff!$O$5:$O$44,MATCH(C89,Staff!$A$5:$A$44,0))*1,0))</f>
        <v>0</v>
      </c>
      <c r="V89" s="26">
        <f>IF(B89="","",ROUND(IF(E89="Percent of service",Q89*S89,IF(E89="Percent of service and retail",Q89*S89+R89*T89,IF(E89="Percent after product cost",MAX(0,Q89-O89)*S89,IF(E89="Tiered on monthly service revenue",Q89*S89,IF(E89="Flat amount per service",P89*U89,0))))),2))</f>
        <v>0</v>
      </c>
      <c r="W89" s="26">
        <f>IF(B89="","",ROUND(SUMIFS(Payments!$G$5:$G$1204,Payments!$J$5:$J$1204,C89,Payments!$O$5:$O$1204,B89,Payments!$E$5:$E$1204,"Tip"),2))</f>
        <v>0</v>
      </c>
      <c r="X89" s="26">
        <f>IF(B89="","",ROUND(V89+IF(F89="",0,F89)+IF(G89="",0,G89),2))</f>
        <v>0</v>
      </c>
      <c r="Y89" s="27">
        <f>IF(B89="","",IF(Q89+R89=0,"",X89/(Q89+R89)))</f>
        <v>0</v>
      </c>
      <c r="Z89" s="25">
        <f>IF(B89="","",COUNTIFS($V$5:$V$244,"&gt;"&amp;V89)+COUNTIFS($V$5:V89,V89))</f>
        <v>0</v>
      </c>
      <c r="AA89" s="39">
        <f>IF(B89="","",IF(C89="","Add - whose commission is this?",IF(COUNTIFS($B$5:$B$244,B89,$C$5:$C$244,C89)&gt;1,"Duplicate - two rows for the same month",IF(E89="None","",IF(E89="Rent a chair","",IF(E89="Hourly only","",IF(X89=0,"Check - nothing calculated",IF(H89&lt;&gt;"Yes","Due - waiting for approval",IF(I89="","Due - approved but not paid","OK")))))))))</f>
        <v>0</v>
      </c>
    </row>
    <row r="90" spans="1:27">
      <c r="A90" s="28">
        <f>IF(B90="","",CommissionPrefix&amp;TEXT(ROW()-4,"0000"))</f>
        <v>0</v>
      </c>
      <c r="D90" s="15">
        <f>IF(C90="","",IFERROR(INDEX(Staff!$B$5:$B$44,MATCH(C90,Staff!$A$5:$A$44,0)),"Not in Staff"))</f>
        <v>0</v>
      </c>
      <c r="E90" s="15">
        <f>IF(C90="","",IFERROR(INDEX(Staff!$L$5:$L$44,MATCH(C90,Staff!$A$5:$A$44,0)),"None"))</f>
        <v>0</v>
      </c>
      <c r="K90" s="26">
        <f>IF(B90="","",ROUND(SUMIFS(Sales!$Y$5:$Y$1204,Sales!$F$5:$F$1204,C90,Sales!$R$5:$R$1204,B90,Sales!$H$5:$H$1204,"Service"),2))</f>
        <v>0</v>
      </c>
      <c r="L90" s="26">
        <f>IF(B90="","",ROUND(SUMIFS(Sales!$W$5:$W$1204,Sales!$F$5:$F$1204,C90,Sales!$R$5:$R$1204,B90,Sales!$H$5:$H$1204,"Service"),2))</f>
        <v>0</v>
      </c>
      <c r="M90" s="26">
        <f>IF(B90="","",ROUND(SUMIFS(Sales!$Y$5:$Y$1204,Sales!$F$5:$F$1204,C90,Sales!$R$5:$R$1204,B90,Sales!$H$5:$H$1204,"Retail"),2))</f>
        <v>0</v>
      </c>
      <c r="N90" s="26">
        <f>IF(B90="","",ROUND(SUMIFS(Sales!$W$5:$W$1204,Sales!$F$5:$F$1204,C90,Sales!$R$5:$R$1204,B90,Sales!$H$5:$H$1204,"Retail"),2))</f>
        <v>0</v>
      </c>
      <c r="O90" s="26">
        <f>IF(B90="","",ROUND(SUMIFS(Sales!$AB$5:$AB$1204,Sales!$F$5:$F$1204,C90,Sales!$R$5:$R$1204,B90,Sales!$H$5:$H$1204,"Service"),2))</f>
        <v>0</v>
      </c>
      <c r="P90" s="25">
        <f>IF(B90="","",COUNTIFS(Sales!$F$5:$F$1204,C90,Sales!$R$5:$R$1204,B90,Sales!$H$5:$H$1204,"Service"))</f>
        <v>0</v>
      </c>
      <c r="Q90" s="26">
        <f>IF(B90="","",IF(CommissionOn="Gross before discounts",L90,K90))</f>
        <v>0</v>
      </c>
      <c r="R90" s="26">
        <f>IF(B90="","",IF(CommissionOn="Gross before discounts",N90,M90))</f>
        <v>0</v>
      </c>
      <c r="S90" s="27">
        <f>IF(B90="","",IF(E90="Tiered on monthly service revenue",IFERROR(INDEX(TierRate,MATCH(Q90,TierFrom,1)),0),IFERROR(IF(INDEX(Staff!$M$5:$M$44,MATCH(C90,Staff!$A$5:$A$44,0))="",ServiceCommission,INDEX(Staff!$M$5:$M$44,MATCH(C90,Staff!$A$5:$A$44,0))),ServiceCommission)))</f>
        <v>0</v>
      </c>
      <c r="T90" s="27">
        <f>IF(B90="","",IFERROR(IF(INDEX(Staff!$N$5:$N$44,MATCH(C90,Staff!$A$5:$A$44,0))="",RetailCommission,INDEX(Staff!$N$5:$N$44,MATCH(C90,Staff!$A$5:$A$44,0))),RetailCommission))</f>
        <v>0</v>
      </c>
      <c r="U90" s="26">
        <f>IF(B90="","",IFERROR(INDEX(Staff!$O$5:$O$44,MATCH(C90,Staff!$A$5:$A$44,0))*1,0))</f>
        <v>0</v>
      </c>
      <c r="V90" s="26">
        <f>IF(B90="","",ROUND(IF(E90="Percent of service",Q90*S90,IF(E90="Percent of service and retail",Q90*S90+R90*T90,IF(E90="Percent after product cost",MAX(0,Q90-O90)*S90,IF(E90="Tiered on monthly service revenue",Q90*S90,IF(E90="Flat amount per service",P90*U90,0))))),2))</f>
        <v>0</v>
      </c>
      <c r="W90" s="26">
        <f>IF(B90="","",ROUND(SUMIFS(Payments!$G$5:$G$1204,Payments!$J$5:$J$1204,C90,Payments!$O$5:$O$1204,B90,Payments!$E$5:$E$1204,"Tip"),2))</f>
        <v>0</v>
      </c>
      <c r="X90" s="26">
        <f>IF(B90="","",ROUND(V90+IF(F90="",0,F90)+IF(G90="",0,G90),2))</f>
        <v>0</v>
      </c>
      <c r="Y90" s="27">
        <f>IF(B90="","",IF(Q90+R90=0,"",X90/(Q90+R90)))</f>
        <v>0</v>
      </c>
      <c r="Z90" s="25">
        <f>IF(B90="","",COUNTIFS($V$5:$V$244,"&gt;"&amp;V90)+COUNTIFS($V$5:V90,V90))</f>
        <v>0</v>
      </c>
      <c r="AA90" s="39">
        <f>IF(B90="","",IF(C90="","Add - whose commission is this?",IF(COUNTIFS($B$5:$B$244,B90,$C$5:$C$244,C90)&gt;1,"Duplicate - two rows for the same month",IF(E90="None","",IF(E90="Rent a chair","",IF(E90="Hourly only","",IF(X90=0,"Check - nothing calculated",IF(H90&lt;&gt;"Yes","Due - waiting for approval",IF(I90="","Due - approved but not paid","OK")))))))))</f>
        <v>0</v>
      </c>
    </row>
    <row r="91" spans="1:27">
      <c r="A91" s="28">
        <f>IF(B91="","",CommissionPrefix&amp;TEXT(ROW()-4,"0000"))</f>
        <v>0</v>
      </c>
      <c r="D91" s="15">
        <f>IF(C91="","",IFERROR(INDEX(Staff!$B$5:$B$44,MATCH(C91,Staff!$A$5:$A$44,0)),"Not in Staff"))</f>
        <v>0</v>
      </c>
      <c r="E91" s="15">
        <f>IF(C91="","",IFERROR(INDEX(Staff!$L$5:$L$44,MATCH(C91,Staff!$A$5:$A$44,0)),"None"))</f>
        <v>0</v>
      </c>
      <c r="K91" s="26">
        <f>IF(B91="","",ROUND(SUMIFS(Sales!$Y$5:$Y$1204,Sales!$F$5:$F$1204,C91,Sales!$R$5:$R$1204,B91,Sales!$H$5:$H$1204,"Service"),2))</f>
        <v>0</v>
      </c>
      <c r="L91" s="26">
        <f>IF(B91="","",ROUND(SUMIFS(Sales!$W$5:$W$1204,Sales!$F$5:$F$1204,C91,Sales!$R$5:$R$1204,B91,Sales!$H$5:$H$1204,"Service"),2))</f>
        <v>0</v>
      </c>
      <c r="M91" s="26">
        <f>IF(B91="","",ROUND(SUMIFS(Sales!$Y$5:$Y$1204,Sales!$F$5:$F$1204,C91,Sales!$R$5:$R$1204,B91,Sales!$H$5:$H$1204,"Retail"),2))</f>
        <v>0</v>
      </c>
      <c r="N91" s="26">
        <f>IF(B91="","",ROUND(SUMIFS(Sales!$W$5:$W$1204,Sales!$F$5:$F$1204,C91,Sales!$R$5:$R$1204,B91,Sales!$H$5:$H$1204,"Retail"),2))</f>
        <v>0</v>
      </c>
      <c r="O91" s="26">
        <f>IF(B91="","",ROUND(SUMIFS(Sales!$AB$5:$AB$1204,Sales!$F$5:$F$1204,C91,Sales!$R$5:$R$1204,B91,Sales!$H$5:$H$1204,"Service"),2))</f>
        <v>0</v>
      </c>
      <c r="P91" s="25">
        <f>IF(B91="","",COUNTIFS(Sales!$F$5:$F$1204,C91,Sales!$R$5:$R$1204,B91,Sales!$H$5:$H$1204,"Service"))</f>
        <v>0</v>
      </c>
      <c r="Q91" s="26">
        <f>IF(B91="","",IF(CommissionOn="Gross before discounts",L91,K91))</f>
        <v>0</v>
      </c>
      <c r="R91" s="26">
        <f>IF(B91="","",IF(CommissionOn="Gross before discounts",N91,M91))</f>
        <v>0</v>
      </c>
      <c r="S91" s="27">
        <f>IF(B91="","",IF(E91="Tiered on monthly service revenue",IFERROR(INDEX(TierRate,MATCH(Q91,TierFrom,1)),0),IFERROR(IF(INDEX(Staff!$M$5:$M$44,MATCH(C91,Staff!$A$5:$A$44,0))="",ServiceCommission,INDEX(Staff!$M$5:$M$44,MATCH(C91,Staff!$A$5:$A$44,0))),ServiceCommission)))</f>
        <v>0</v>
      </c>
      <c r="T91" s="27">
        <f>IF(B91="","",IFERROR(IF(INDEX(Staff!$N$5:$N$44,MATCH(C91,Staff!$A$5:$A$44,0))="",RetailCommission,INDEX(Staff!$N$5:$N$44,MATCH(C91,Staff!$A$5:$A$44,0))),RetailCommission))</f>
        <v>0</v>
      </c>
      <c r="U91" s="26">
        <f>IF(B91="","",IFERROR(INDEX(Staff!$O$5:$O$44,MATCH(C91,Staff!$A$5:$A$44,0))*1,0))</f>
        <v>0</v>
      </c>
      <c r="V91" s="26">
        <f>IF(B91="","",ROUND(IF(E91="Percent of service",Q91*S91,IF(E91="Percent of service and retail",Q91*S91+R91*T91,IF(E91="Percent after product cost",MAX(0,Q91-O91)*S91,IF(E91="Tiered on monthly service revenue",Q91*S91,IF(E91="Flat amount per service",P91*U91,0))))),2))</f>
        <v>0</v>
      </c>
      <c r="W91" s="26">
        <f>IF(B91="","",ROUND(SUMIFS(Payments!$G$5:$G$1204,Payments!$J$5:$J$1204,C91,Payments!$O$5:$O$1204,B91,Payments!$E$5:$E$1204,"Tip"),2))</f>
        <v>0</v>
      </c>
      <c r="X91" s="26">
        <f>IF(B91="","",ROUND(V91+IF(F91="",0,F91)+IF(G91="",0,G91),2))</f>
        <v>0</v>
      </c>
      <c r="Y91" s="27">
        <f>IF(B91="","",IF(Q91+R91=0,"",X91/(Q91+R91)))</f>
        <v>0</v>
      </c>
      <c r="Z91" s="25">
        <f>IF(B91="","",COUNTIFS($V$5:$V$244,"&gt;"&amp;V91)+COUNTIFS($V$5:V91,V91))</f>
        <v>0</v>
      </c>
      <c r="AA91" s="39">
        <f>IF(B91="","",IF(C91="","Add - whose commission is this?",IF(COUNTIFS($B$5:$B$244,B91,$C$5:$C$244,C91)&gt;1,"Duplicate - two rows for the same month",IF(E91="None","",IF(E91="Rent a chair","",IF(E91="Hourly only","",IF(X91=0,"Check - nothing calculated",IF(H91&lt;&gt;"Yes","Due - waiting for approval",IF(I91="","Due - approved but not paid","OK")))))))))</f>
        <v>0</v>
      </c>
    </row>
    <row r="92" spans="1:27">
      <c r="A92" s="28">
        <f>IF(B92="","",CommissionPrefix&amp;TEXT(ROW()-4,"0000"))</f>
        <v>0</v>
      </c>
      <c r="D92" s="15">
        <f>IF(C92="","",IFERROR(INDEX(Staff!$B$5:$B$44,MATCH(C92,Staff!$A$5:$A$44,0)),"Not in Staff"))</f>
        <v>0</v>
      </c>
      <c r="E92" s="15">
        <f>IF(C92="","",IFERROR(INDEX(Staff!$L$5:$L$44,MATCH(C92,Staff!$A$5:$A$44,0)),"None"))</f>
        <v>0</v>
      </c>
      <c r="K92" s="26">
        <f>IF(B92="","",ROUND(SUMIFS(Sales!$Y$5:$Y$1204,Sales!$F$5:$F$1204,C92,Sales!$R$5:$R$1204,B92,Sales!$H$5:$H$1204,"Service"),2))</f>
        <v>0</v>
      </c>
      <c r="L92" s="26">
        <f>IF(B92="","",ROUND(SUMIFS(Sales!$W$5:$W$1204,Sales!$F$5:$F$1204,C92,Sales!$R$5:$R$1204,B92,Sales!$H$5:$H$1204,"Service"),2))</f>
        <v>0</v>
      </c>
      <c r="M92" s="26">
        <f>IF(B92="","",ROUND(SUMIFS(Sales!$Y$5:$Y$1204,Sales!$F$5:$F$1204,C92,Sales!$R$5:$R$1204,B92,Sales!$H$5:$H$1204,"Retail"),2))</f>
        <v>0</v>
      </c>
      <c r="N92" s="26">
        <f>IF(B92="","",ROUND(SUMIFS(Sales!$W$5:$W$1204,Sales!$F$5:$F$1204,C92,Sales!$R$5:$R$1204,B92,Sales!$H$5:$H$1204,"Retail"),2))</f>
        <v>0</v>
      </c>
      <c r="O92" s="26">
        <f>IF(B92="","",ROUND(SUMIFS(Sales!$AB$5:$AB$1204,Sales!$F$5:$F$1204,C92,Sales!$R$5:$R$1204,B92,Sales!$H$5:$H$1204,"Service"),2))</f>
        <v>0</v>
      </c>
      <c r="P92" s="25">
        <f>IF(B92="","",COUNTIFS(Sales!$F$5:$F$1204,C92,Sales!$R$5:$R$1204,B92,Sales!$H$5:$H$1204,"Service"))</f>
        <v>0</v>
      </c>
      <c r="Q92" s="26">
        <f>IF(B92="","",IF(CommissionOn="Gross before discounts",L92,K92))</f>
        <v>0</v>
      </c>
      <c r="R92" s="26">
        <f>IF(B92="","",IF(CommissionOn="Gross before discounts",N92,M92))</f>
        <v>0</v>
      </c>
      <c r="S92" s="27">
        <f>IF(B92="","",IF(E92="Tiered on monthly service revenue",IFERROR(INDEX(TierRate,MATCH(Q92,TierFrom,1)),0),IFERROR(IF(INDEX(Staff!$M$5:$M$44,MATCH(C92,Staff!$A$5:$A$44,0))="",ServiceCommission,INDEX(Staff!$M$5:$M$44,MATCH(C92,Staff!$A$5:$A$44,0))),ServiceCommission)))</f>
        <v>0</v>
      </c>
      <c r="T92" s="27">
        <f>IF(B92="","",IFERROR(IF(INDEX(Staff!$N$5:$N$44,MATCH(C92,Staff!$A$5:$A$44,0))="",RetailCommission,INDEX(Staff!$N$5:$N$44,MATCH(C92,Staff!$A$5:$A$44,0))),RetailCommission))</f>
        <v>0</v>
      </c>
      <c r="U92" s="26">
        <f>IF(B92="","",IFERROR(INDEX(Staff!$O$5:$O$44,MATCH(C92,Staff!$A$5:$A$44,0))*1,0))</f>
        <v>0</v>
      </c>
      <c r="V92" s="26">
        <f>IF(B92="","",ROUND(IF(E92="Percent of service",Q92*S92,IF(E92="Percent of service and retail",Q92*S92+R92*T92,IF(E92="Percent after product cost",MAX(0,Q92-O92)*S92,IF(E92="Tiered on monthly service revenue",Q92*S92,IF(E92="Flat amount per service",P92*U92,0))))),2))</f>
        <v>0</v>
      </c>
      <c r="W92" s="26">
        <f>IF(B92="","",ROUND(SUMIFS(Payments!$G$5:$G$1204,Payments!$J$5:$J$1204,C92,Payments!$O$5:$O$1204,B92,Payments!$E$5:$E$1204,"Tip"),2))</f>
        <v>0</v>
      </c>
      <c r="X92" s="26">
        <f>IF(B92="","",ROUND(V92+IF(F92="",0,F92)+IF(G92="",0,G92),2))</f>
        <v>0</v>
      </c>
      <c r="Y92" s="27">
        <f>IF(B92="","",IF(Q92+R92=0,"",X92/(Q92+R92)))</f>
        <v>0</v>
      </c>
      <c r="Z92" s="25">
        <f>IF(B92="","",COUNTIFS($V$5:$V$244,"&gt;"&amp;V92)+COUNTIFS($V$5:V92,V92))</f>
        <v>0</v>
      </c>
      <c r="AA92" s="39">
        <f>IF(B92="","",IF(C92="","Add - whose commission is this?",IF(COUNTIFS($B$5:$B$244,B92,$C$5:$C$244,C92)&gt;1,"Duplicate - two rows for the same month",IF(E92="None","",IF(E92="Rent a chair","",IF(E92="Hourly only","",IF(X92=0,"Check - nothing calculated",IF(H92&lt;&gt;"Yes","Due - waiting for approval",IF(I92="","Due - approved but not paid","OK")))))))))</f>
        <v>0</v>
      </c>
    </row>
    <row r="93" spans="1:27">
      <c r="A93" s="28">
        <f>IF(B93="","",CommissionPrefix&amp;TEXT(ROW()-4,"0000"))</f>
        <v>0</v>
      </c>
      <c r="D93" s="15">
        <f>IF(C93="","",IFERROR(INDEX(Staff!$B$5:$B$44,MATCH(C93,Staff!$A$5:$A$44,0)),"Not in Staff"))</f>
        <v>0</v>
      </c>
      <c r="E93" s="15">
        <f>IF(C93="","",IFERROR(INDEX(Staff!$L$5:$L$44,MATCH(C93,Staff!$A$5:$A$44,0)),"None"))</f>
        <v>0</v>
      </c>
      <c r="K93" s="26">
        <f>IF(B93="","",ROUND(SUMIFS(Sales!$Y$5:$Y$1204,Sales!$F$5:$F$1204,C93,Sales!$R$5:$R$1204,B93,Sales!$H$5:$H$1204,"Service"),2))</f>
        <v>0</v>
      </c>
      <c r="L93" s="26">
        <f>IF(B93="","",ROUND(SUMIFS(Sales!$W$5:$W$1204,Sales!$F$5:$F$1204,C93,Sales!$R$5:$R$1204,B93,Sales!$H$5:$H$1204,"Service"),2))</f>
        <v>0</v>
      </c>
      <c r="M93" s="26">
        <f>IF(B93="","",ROUND(SUMIFS(Sales!$Y$5:$Y$1204,Sales!$F$5:$F$1204,C93,Sales!$R$5:$R$1204,B93,Sales!$H$5:$H$1204,"Retail"),2))</f>
        <v>0</v>
      </c>
      <c r="N93" s="26">
        <f>IF(B93="","",ROUND(SUMIFS(Sales!$W$5:$W$1204,Sales!$F$5:$F$1204,C93,Sales!$R$5:$R$1204,B93,Sales!$H$5:$H$1204,"Retail"),2))</f>
        <v>0</v>
      </c>
      <c r="O93" s="26">
        <f>IF(B93="","",ROUND(SUMIFS(Sales!$AB$5:$AB$1204,Sales!$F$5:$F$1204,C93,Sales!$R$5:$R$1204,B93,Sales!$H$5:$H$1204,"Service"),2))</f>
        <v>0</v>
      </c>
      <c r="P93" s="25">
        <f>IF(B93="","",COUNTIFS(Sales!$F$5:$F$1204,C93,Sales!$R$5:$R$1204,B93,Sales!$H$5:$H$1204,"Service"))</f>
        <v>0</v>
      </c>
      <c r="Q93" s="26">
        <f>IF(B93="","",IF(CommissionOn="Gross before discounts",L93,K93))</f>
        <v>0</v>
      </c>
      <c r="R93" s="26">
        <f>IF(B93="","",IF(CommissionOn="Gross before discounts",N93,M93))</f>
        <v>0</v>
      </c>
      <c r="S93" s="27">
        <f>IF(B93="","",IF(E93="Tiered on monthly service revenue",IFERROR(INDEX(TierRate,MATCH(Q93,TierFrom,1)),0),IFERROR(IF(INDEX(Staff!$M$5:$M$44,MATCH(C93,Staff!$A$5:$A$44,0))="",ServiceCommission,INDEX(Staff!$M$5:$M$44,MATCH(C93,Staff!$A$5:$A$44,0))),ServiceCommission)))</f>
        <v>0</v>
      </c>
      <c r="T93" s="27">
        <f>IF(B93="","",IFERROR(IF(INDEX(Staff!$N$5:$N$44,MATCH(C93,Staff!$A$5:$A$44,0))="",RetailCommission,INDEX(Staff!$N$5:$N$44,MATCH(C93,Staff!$A$5:$A$44,0))),RetailCommission))</f>
        <v>0</v>
      </c>
      <c r="U93" s="26">
        <f>IF(B93="","",IFERROR(INDEX(Staff!$O$5:$O$44,MATCH(C93,Staff!$A$5:$A$44,0))*1,0))</f>
        <v>0</v>
      </c>
      <c r="V93" s="26">
        <f>IF(B93="","",ROUND(IF(E93="Percent of service",Q93*S93,IF(E93="Percent of service and retail",Q93*S93+R93*T93,IF(E93="Percent after product cost",MAX(0,Q93-O93)*S93,IF(E93="Tiered on monthly service revenue",Q93*S93,IF(E93="Flat amount per service",P93*U93,0))))),2))</f>
        <v>0</v>
      </c>
      <c r="W93" s="26">
        <f>IF(B93="","",ROUND(SUMIFS(Payments!$G$5:$G$1204,Payments!$J$5:$J$1204,C93,Payments!$O$5:$O$1204,B93,Payments!$E$5:$E$1204,"Tip"),2))</f>
        <v>0</v>
      </c>
      <c r="X93" s="26">
        <f>IF(B93="","",ROUND(V93+IF(F93="",0,F93)+IF(G93="",0,G93),2))</f>
        <v>0</v>
      </c>
      <c r="Y93" s="27">
        <f>IF(B93="","",IF(Q93+R93=0,"",X93/(Q93+R93)))</f>
        <v>0</v>
      </c>
      <c r="Z93" s="25">
        <f>IF(B93="","",COUNTIFS($V$5:$V$244,"&gt;"&amp;V93)+COUNTIFS($V$5:V93,V93))</f>
        <v>0</v>
      </c>
      <c r="AA93" s="39">
        <f>IF(B93="","",IF(C93="","Add - whose commission is this?",IF(COUNTIFS($B$5:$B$244,B93,$C$5:$C$244,C93)&gt;1,"Duplicate - two rows for the same month",IF(E93="None","",IF(E93="Rent a chair","",IF(E93="Hourly only","",IF(X93=0,"Check - nothing calculated",IF(H93&lt;&gt;"Yes","Due - waiting for approval",IF(I93="","Due - approved but not paid","OK")))))))))</f>
        <v>0</v>
      </c>
    </row>
    <row r="94" spans="1:27">
      <c r="A94" s="28">
        <f>IF(B94="","",CommissionPrefix&amp;TEXT(ROW()-4,"0000"))</f>
        <v>0</v>
      </c>
      <c r="D94" s="15">
        <f>IF(C94="","",IFERROR(INDEX(Staff!$B$5:$B$44,MATCH(C94,Staff!$A$5:$A$44,0)),"Not in Staff"))</f>
        <v>0</v>
      </c>
      <c r="E94" s="15">
        <f>IF(C94="","",IFERROR(INDEX(Staff!$L$5:$L$44,MATCH(C94,Staff!$A$5:$A$44,0)),"None"))</f>
        <v>0</v>
      </c>
      <c r="K94" s="26">
        <f>IF(B94="","",ROUND(SUMIFS(Sales!$Y$5:$Y$1204,Sales!$F$5:$F$1204,C94,Sales!$R$5:$R$1204,B94,Sales!$H$5:$H$1204,"Service"),2))</f>
        <v>0</v>
      </c>
      <c r="L94" s="26">
        <f>IF(B94="","",ROUND(SUMIFS(Sales!$W$5:$W$1204,Sales!$F$5:$F$1204,C94,Sales!$R$5:$R$1204,B94,Sales!$H$5:$H$1204,"Service"),2))</f>
        <v>0</v>
      </c>
      <c r="M94" s="26">
        <f>IF(B94="","",ROUND(SUMIFS(Sales!$Y$5:$Y$1204,Sales!$F$5:$F$1204,C94,Sales!$R$5:$R$1204,B94,Sales!$H$5:$H$1204,"Retail"),2))</f>
        <v>0</v>
      </c>
      <c r="N94" s="26">
        <f>IF(B94="","",ROUND(SUMIFS(Sales!$W$5:$W$1204,Sales!$F$5:$F$1204,C94,Sales!$R$5:$R$1204,B94,Sales!$H$5:$H$1204,"Retail"),2))</f>
        <v>0</v>
      </c>
      <c r="O94" s="26">
        <f>IF(B94="","",ROUND(SUMIFS(Sales!$AB$5:$AB$1204,Sales!$F$5:$F$1204,C94,Sales!$R$5:$R$1204,B94,Sales!$H$5:$H$1204,"Service"),2))</f>
        <v>0</v>
      </c>
      <c r="P94" s="25">
        <f>IF(B94="","",COUNTIFS(Sales!$F$5:$F$1204,C94,Sales!$R$5:$R$1204,B94,Sales!$H$5:$H$1204,"Service"))</f>
        <v>0</v>
      </c>
      <c r="Q94" s="26">
        <f>IF(B94="","",IF(CommissionOn="Gross before discounts",L94,K94))</f>
        <v>0</v>
      </c>
      <c r="R94" s="26">
        <f>IF(B94="","",IF(CommissionOn="Gross before discounts",N94,M94))</f>
        <v>0</v>
      </c>
      <c r="S94" s="27">
        <f>IF(B94="","",IF(E94="Tiered on monthly service revenue",IFERROR(INDEX(TierRate,MATCH(Q94,TierFrom,1)),0),IFERROR(IF(INDEX(Staff!$M$5:$M$44,MATCH(C94,Staff!$A$5:$A$44,0))="",ServiceCommission,INDEX(Staff!$M$5:$M$44,MATCH(C94,Staff!$A$5:$A$44,0))),ServiceCommission)))</f>
        <v>0</v>
      </c>
      <c r="T94" s="27">
        <f>IF(B94="","",IFERROR(IF(INDEX(Staff!$N$5:$N$44,MATCH(C94,Staff!$A$5:$A$44,0))="",RetailCommission,INDEX(Staff!$N$5:$N$44,MATCH(C94,Staff!$A$5:$A$44,0))),RetailCommission))</f>
        <v>0</v>
      </c>
      <c r="U94" s="26">
        <f>IF(B94="","",IFERROR(INDEX(Staff!$O$5:$O$44,MATCH(C94,Staff!$A$5:$A$44,0))*1,0))</f>
        <v>0</v>
      </c>
      <c r="V94" s="26">
        <f>IF(B94="","",ROUND(IF(E94="Percent of service",Q94*S94,IF(E94="Percent of service and retail",Q94*S94+R94*T94,IF(E94="Percent after product cost",MAX(0,Q94-O94)*S94,IF(E94="Tiered on monthly service revenue",Q94*S94,IF(E94="Flat amount per service",P94*U94,0))))),2))</f>
        <v>0</v>
      </c>
      <c r="W94" s="26">
        <f>IF(B94="","",ROUND(SUMIFS(Payments!$G$5:$G$1204,Payments!$J$5:$J$1204,C94,Payments!$O$5:$O$1204,B94,Payments!$E$5:$E$1204,"Tip"),2))</f>
        <v>0</v>
      </c>
      <c r="X94" s="26">
        <f>IF(B94="","",ROUND(V94+IF(F94="",0,F94)+IF(G94="",0,G94),2))</f>
        <v>0</v>
      </c>
      <c r="Y94" s="27">
        <f>IF(B94="","",IF(Q94+R94=0,"",X94/(Q94+R94)))</f>
        <v>0</v>
      </c>
      <c r="Z94" s="25">
        <f>IF(B94="","",COUNTIFS($V$5:$V$244,"&gt;"&amp;V94)+COUNTIFS($V$5:V94,V94))</f>
        <v>0</v>
      </c>
      <c r="AA94" s="39">
        <f>IF(B94="","",IF(C94="","Add - whose commission is this?",IF(COUNTIFS($B$5:$B$244,B94,$C$5:$C$244,C94)&gt;1,"Duplicate - two rows for the same month",IF(E94="None","",IF(E94="Rent a chair","",IF(E94="Hourly only","",IF(X94=0,"Check - nothing calculated",IF(H94&lt;&gt;"Yes","Due - waiting for approval",IF(I94="","Due - approved but not paid","OK")))))))))</f>
        <v>0</v>
      </c>
    </row>
    <row r="95" spans="1:27">
      <c r="A95" s="28">
        <f>IF(B95="","",CommissionPrefix&amp;TEXT(ROW()-4,"0000"))</f>
        <v>0</v>
      </c>
      <c r="D95" s="15">
        <f>IF(C95="","",IFERROR(INDEX(Staff!$B$5:$B$44,MATCH(C95,Staff!$A$5:$A$44,0)),"Not in Staff"))</f>
        <v>0</v>
      </c>
      <c r="E95" s="15">
        <f>IF(C95="","",IFERROR(INDEX(Staff!$L$5:$L$44,MATCH(C95,Staff!$A$5:$A$44,0)),"None"))</f>
        <v>0</v>
      </c>
      <c r="K95" s="26">
        <f>IF(B95="","",ROUND(SUMIFS(Sales!$Y$5:$Y$1204,Sales!$F$5:$F$1204,C95,Sales!$R$5:$R$1204,B95,Sales!$H$5:$H$1204,"Service"),2))</f>
        <v>0</v>
      </c>
      <c r="L95" s="26">
        <f>IF(B95="","",ROUND(SUMIFS(Sales!$W$5:$W$1204,Sales!$F$5:$F$1204,C95,Sales!$R$5:$R$1204,B95,Sales!$H$5:$H$1204,"Service"),2))</f>
        <v>0</v>
      </c>
      <c r="M95" s="26">
        <f>IF(B95="","",ROUND(SUMIFS(Sales!$Y$5:$Y$1204,Sales!$F$5:$F$1204,C95,Sales!$R$5:$R$1204,B95,Sales!$H$5:$H$1204,"Retail"),2))</f>
        <v>0</v>
      </c>
      <c r="N95" s="26">
        <f>IF(B95="","",ROUND(SUMIFS(Sales!$W$5:$W$1204,Sales!$F$5:$F$1204,C95,Sales!$R$5:$R$1204,B95,Sales!$H$5:$H$1204,"Retail"),2))</f>
        <v>0</v>
      </c>
      <c r="O95" s="26">
        <f>IF(B95="","",ROUND(SUMIFS(Sales!$AB$5:$AB$1204,Sales!$F$5:$F$1204,C95,Sales!$R$5:$R$1204,B95,Sales!$H$5:$H$1204,"Service"),2))</f>
        <v>0</v>
      </c>
      <c r="P95" s="25">
        <f>IF(B95="","",COUNTIFS(Sales!$F$5:$F$1204,C95,Sales!$R$5:$R$1204,B95,Sales!$H$5:$H$1204,"Service"))</f>
        <v>0</v>
      </c>
      <c r="Q95" s="26">
        <f>IF(B95="","",IF(CommissionOn="Gross before discounts",L95,K95))</f>
        <v>0</v>
      </c>
      <c r="R95" s="26">
        <f>IF(B95="","",IF(CommissionOn="Gross before discounts",N95,M95))</f>
        <v>0</v>
      </c>
      <c r="S95" s="27">
        <f>IF(B95="","",IF(E95="Tiered on monthly service revenue",IFERROR(INDEX(TierRate,MATCH(Q95,TierFrom,1)),0),IFERROR(IF(INDEX(Staff!$M$5:$M$44,MATCH(C95,Staff!$A$5:$A$44,0))="",ServiceCommission,INDEX(Staff!$M$5:$M$44,MATCH(C95,Staff!$A$5:$A$44,0))),ServiceCommission)))</f>
        <v>0</v>
      </c>
      <c r="T95" s="27">
        <f>IF(B95="","",IFERROR(IF(INDEX(Staff!$N$5:$N$44,MATCH(C95,Staff!$A$5:$A$44,0))="",RetailCommission,INDEX(Staff!$N$5:$N$44,MATCH(C95,Staff!$A$5:$A$44,0))),RetailCommission))</f>
        <v>0</v>
      </c>
      <c r="U95" s="26">
        <f>IF(B95="","",IFERROR(INDEX(Staff!$O$5:$O$44,MATCH(C95,Staff!$A$5:$A$44,0))*1,0))</f>
        <v>0</v>
      </c>
      <c r="V95" s="26">
        <f>IF(B95="","",ROUND(IF(E95="Percent of service",Q95*S95,IF(E95="Percent of service and retail",Q95*S95+R95*T95,IF(E95="Percent after product cost",MAX(0,Q95-O95)*S95,IF(E95="Tiered on monthly service revenue",Q95*S95,IF(E95="Flat amount per service",P95*U95,0))))),2))</f>
        <v>0</v>
      </c>
      <c r="W95" s="26">
        <f>IF(B95="","",ROUND(SUMIFS(Payments!$G$5:$G$1204,Payments!$J$5:$J$1204,C95,Payments!$O$5:$O$1204,B95,Payments!$E$5:$E$1204,"Tip"),2))</f>
        <v>0</v>
      </c>
      <c r="X95" s="26">
        <f>IF(B95="","",ROUND(V95+IF(F95="",0,F95)+IF(G95="",0,G95),2))</f>
        <v>0</v>
      </c>
      <c r="Y95" s="27">
        <f>IF(B95="","",IF(Q95+R95=0,"",X95/(Q95+R95)))</f>
        <v>0</v>
      </c>
      <c r="Z95" s="25">
        <f>IF(B95="","",COUNTIFS($V$5:$V$244,"&gt;"&amp;V95)+COUNTIFS($V$5:V95,V95))</f>
        <v>0</v>
      </c>
      <c r="AA95" s="39">
        <f>IF(B95="","",IF(C95="","Add - whose commission is this?",IF(COUNTIFS($B$5:$B$244,B95,$C$5:$C$244,C95)&gt;1,"Duplicate - two rows for the same month",IF(E95="None","",IF(E95="Rent a chair","",IF(E95="Hourly only","",IF(X95=0,"Check - nothing calculated",IF(H95&lt;&gt;"Yes","Due - waiting for approval",IF(I95="","Due - approved but not paid","OK")))))))))</f>
        <v>0</v>
      </c>
    </row>
    <row r="96" spans="1:27">
      <c r="A96" s="28">
        <f>IF(B96="","",CommissionPrefix&amp;TEXT(ROW()-4,"0000"))</f>
        <v>0</v>
      </c>
      <c r="D96" s="15">
        <f>IF(C96="","",IFERROR(INDEX(Staff!$B$5:$B$44,MATCH(C96,Staff!$A$5:$A$44,0)),"Not in Staff"))</f>
        <v>0</v>
      </c>
      <c r="E96" s="15">
        <f>IF(C96="","",IFERROR(INDEX(Staff!$L$5:$L$44,MATCH(C96,Staff!$A$5:$A$44,0)),"None"))</f>
        <v>0</v>
      </c>
      <c r="K96" s="26">
        <f>IF(B96="","",ROUND(SUMIFS(Sales!$Y$5:$Y$1204,Sales!$F$5:$F$1204,C96,Sales!$R$5:$R$1204,B96,Sales!$H$5:$H$1204,"Service"),2))</f>
        <v>0</v>
      </c>
      <c r="L96" s="26">
        <f>IF(B96="","",ROUND(SUMIFS(Sales!$W$5:$W$1204,Sales!$F$5:$F$1204,C96,Sales!$R$5:$R$1204,B96,Sales!$H$5:$H$1204,"Service"),2))</f>
        <v>0</v>
      </c>
      <c r="M96" s="26">
        <f>IF(B96="","",ROUND(SUMIFS(Sales!$Y$5:$Y$1204,Sales!$F$5:$F$1204,C96,Sales!$R$5:$R$1204,B96,Sales!$H$5:$H$1204,"Retail"),2))</f>
        <v>0</v>
      </c>
      <c r="N96" s="26">
        <f>IF(B96="","",ROUND(SUMIFS(Sales!$W$5:$W$1204,Sales!$F$5:$F$1204,C96,Sales!$R$5:$R$1204,B96,Sales!$H$5:$H$1204,"Retail"),2))</f>
        <v>0</v>
      </c>
      <c r="O96" s="26">
        <f>IF(B96="","",ROUND(SUMIFS(Sales!$AB$5:$AB$1204,Sales!$F$5:$F$1204,C96,Sales!$R$5:$R$1204,B96,Sales!$H$5:$H$1204,"Service"),2))</f>
        <v>0</v>
      </c>
      <c r="P96" s="25">
        <f>IF(B96="","",COUNTIFS(Sales!$F$5:$F$1204,C96,Sales!$R$5:$R$1204,B96,Sales!$H$5:$H$1204,"Service"))</f>
        <v>0</v>
      </c>
      <c r="Q96" s="26">
        <f>IF(B96="","",IF(CommissionOn="Gross before discounts",L96,K96))</f>
        <v>0</v>
      </c>
      <c r="R96" s="26">
        <f>IF(B96="","",IF(CommissionOn="Gross before discounts",N96,M96))</f>
        <v>0</v>
      </c>
      <c r="S96" s="27">
        <f>IF(B96="","",IF(E96="Tiered on monthly service revenue",IFERROR(INDEX(TierRate,MATCH(Q96,TierFrom,1)),0),IFERROR(IF(INDEX(Staff!$M$5:$M$44,MATCH(C96,Staff!$A$5:$A$44,0))="",ServiceCommission,INDEX(Staff!$M$5:$M$44,MATCH(C96,Staff!$A$5:$A$44,0))),ServiceCommission)))</f>
        <v>0</v>
      </c>
      <c r="T96" s="27">
        <f>IF(B96="","",IFERROR(IF(INDEX(Staff!$N$5:$N$44,MATCH(C96,Staff!$A$5:$A$44,0))="",RetailCommission,INDEX(Staff!$N$5:$N$44,MATCH(C96,Staff!$A$5:$A$44,0))),RetailCommission))</f>
        <v>0</v>
      </c>
      <c r="U96" s="26">
        <f>IF(B96="","",IFERROR(INDEX(Staff!$O$5:$O$44,MATCH(C96,Staff!$A$5:$A$44,0))*1,0))</f>
        <v>0</v>
      </c>
      <c r="V96" s="26">
        <f>IF(B96="","",ROUND(IF(E96="Percent of service",Q96*S96,IF(E96="Percent of service and retail",Q96*S96+R96*T96,IF(E96="Percent after product cost",MAX(0,Q96-O96)*S96,IF(E96="Tiered on monthly service revenue",Q96*S96,IF(E96="Flat amount per service",P96*U96,0))))),2))</f>
        <v>0</v>
      </c>
      <c r="W96" s="26">
        <f>IF(B96="","",ROUND(SUMIFS(Payments!$G$5:$G$1204,Payments!$J$5:$J$1204,C96,Payments!$O$5:$O$1204,B96,Payments!$E$5:$E$1204,"Tip"),2))</f>
        <v>0</v>
      </c>
      <c r="X96" s="26">
        <f>IF(B96="","",ROUND(V96+IF(F96="",0,F96)+IF(G96="",0,G96),2))</f>
        <v>0</v>
      </c>
      <c r="Y96" s="27">
        <f>IF(B96="","",IF(Q96+R96=0,"",X96/(Q96+R96)))</f>
        <v>0</v>
      </c>
      <c r="Z96" s="25">
        <f>IF(B96="","",COUNTIFS($V$5:$V$244,"&gt;"&amp;V96)+COUNTIFS($V$5:V96,V96))</f>
        <v>0</v>
      </c>
      <c r="AA96" s="39">
        <f>IF(B96="","",IF(C96="","Add - whose commission is this?",IF(COUNTIFS($B$5:$B$244,B96,$C$5:$C$244,C96)&gt;1,"Duplicate - two rows for the same month",IF(E96="None","",IF(E96="Rent a chair","",IF(E96="Hourly only","",IF(X96=0,"Check - nothing calculated",IF(H96&lt;&gt;"Yes","Due - waiting for approval",IF(I96="","Due - approved but not paid","OK")))))))))</f>
        <v>0</v>
      </c>
    </row>
    <row r="97" spans="1:27">
      <c r="A97" s="28">
        <f>IF(B97="","",CommissionPrefix&amp;TEXT(ROW()-4,"0000"))</f>
        <v>0</v>
      </c>
      <c r="D97" s="15">
        <f>IF(C97="","",IFERROR(INDEX(Staff!$B$5:$B$44,MATCH(C97,Staff!$A$5:$A$44,0)),"Not in Staff"))</f>
        <v>0</v>
      </c>
      <c r="E97" s="15">
        <f>IF(C97="","",IFERROR(INDEX(Staff!$L$5:$L$44,MATCH(C97,Staff!$A$5:$A$44,0)),"None"))</f>
        <v>0</v>
      </c>
      <c r="K97" s="26">
        <f>IF(B97="","",ROUND(SUMIFS(Sales!$Y$5:$Y$1204,Sales!$F$5:$F$1204,C97,Sales!$R$5:$R$1204,B97,Sales!$H$5:$H$1204,"Service"),2))</f>
        <v>0</v>
      </c>
      <c r="L97" s="26">
        <f>IF(B97="","",ROUND(SUMIFS(Sales!$W$5:$W$1204,Sales!$F$5:$F$1204,C97,Sales!$R$5:$R$1204,B97,Sales!$H$5:$H$1204,"Service"),2))</f>
        <v>0</v>
      </c>
      <c r="M97" s="26">
        <f>IF(B97="","",ROUND(SUMIFS(Sales!$Y$5:$Y$1204,Sales!$F$5:$F$1204,C97,Sales!$R$5:$R$1204,B97,Sales!$H$5:$H$1204,"Retail"),2))</f>
        <v>0</v>
      </c>
      <c r="N97" s="26">
        <f>IF(B97="","",ROUND(SUMIFS(Sales!$W$5:$W$1204,Sales!$F$5:$F$1204,C97,Sales!$R$5:$R$1204,B97,Sales!$H$5:$H$1204,"Retail"),2))</f>
        <v>0</v>
      </c>
      <c r="O97" s="26">
        <f>IF(B97="","",ROUND(SUMIFS(Sales!$AB$5:$AB$1204,Sales!$F$5:$F$1204,C97,Sales!$R$5:$R$1204,B97,Sales!$H$5:$H$1204,"Service"),2))</f>
        <v>0</v>
      </c>
      <c r="P97" s="25">
        <f>IF(B97="","",COUNTIFS(Sales!$F$5:$F$1204,C97,Sales!$R$5:$R$1204,B97,Sales!$H$5:$H$1204,"Service"))</f>
        <v>0</v>
      </c>
      <c r="Q97" s="26">
        <f>IF(B97="","",IF(CommissionOn="Gross before discounts",L97,K97))</f>
        <v>0</v>
      </c>
      <c r="R97" s="26">
        <f>IF(B97="","",IF(CommissionOn="Gross before discounts",N97,M97))</f>
        <v>0</v>
      </c>
      <c r="S97" s="27">
        <f>IF(B97="","",IF(E97="Tiered on monthly service revenue",IFERROR(INDEX(TierRate,MATCH(Q97,TierFrom,1)),0),IFERROR(IF(INDEX(Staff!$M$5:$M$44,MATCH(C97,Staff!$A$5:$A$44,0))="",ServiceCommission,INDEX(Staff!$M$5:$M$44,MATCH(C97,Staff!$A$5:$A$44,0))),ServiceCommission)))</f>
        <v>0</v>
      </c>
      <c r="T97" s="27">
        <f>IF(B97="","",IFERROR(IF(INDEX(Staff!$N$5:$N$44,MATCH(C97,Staff!$A$5:$A$44,0))="",RetailCommission,INDEX(Staff!$N$5:$N$44,MATCH(C97,Staff!$A$5:$A$44,0))),RetailCommission))</f>
        <v>0</v>
      </c>
      <c r="U97" s="26">
        <f>IF(B97="","",IFERROR(INDEX(Staff!$O$5:$O$44,MATCH(C97,Staff!$A$5:$A$44,0))*1,0))</f>
        <v>0</v>
      </c>
      <c r="V97" s="26">
        <f>IF(B97="","",ROUND(IF(E97="Percent of service",Q97*S97,IF(E97="Percent of service and retail",Q97*S97+R97*T97,IF(E97="Percent after product cost",MAX(0,Q97-O97)*S97,IF(E97="Tiered on monthly service revenue",Q97*S97,IF(E97="Flat amount per service",P97*U97,0))))),2))</f>
        <v>0</v>
      </c>
      <c r="W97" s="26">
        <f>IF(B97="","",ROUND(SUMIFS(Payments!$G$5:$G$1204,Payments!$J$5:$J$1204,C97,Payments!$O$5:$O$1204,B97,Payments!$E$5:$E$1204,"Tip"),2))</f>
        <v>0</v>
      </c>
      <c r="X97" s="26">
        <f>IF(B97="","",ROUND(V97+IF(F97="",0,F97)+IF(G97="",0,G97),2))</f>
        <v>0</v>
      </c>
      <c r="Y97" s="27">
        <f>IF(B97="","",IF(Q97+R97=0,"",X97/(Q97+R97)))</f>
        <v>0</v>
      </c>
      <c r="Z97" s="25">
        <f>IF(B97="","",COUNTIFS($V$5:$V$244,"&gt;"&amp;V97)+COUNTIFS($V$5:V97,V97))</f>
        <v>0</v>
      </c>
      <c r="AA97" s="39">
        <f>IF(B97="","",IF(C97="","Add - whose commission is this?",IF(COUNTIFS($B$5:$B$244,B97,$C$5:$C$244,C97)&gt;1,"Duplicate - two rows for the same month",IF(E97="None","",IF(E97="Rent a chair","",IF(E97="Hourly only","",IF(X97=0,"Check - nothing calculated",IF(H97&lt;&gt;"Yes","Due - waiting for approval",IF(I97="","Due - approved but not paid","OK")))))))))</f>
        <v>0</v>
      </c>
    </row>
    <row r="98" spans="1:27">
      <c r="A98" s="28">
        <f>IF(B98="","",CommissionPrefix&amp;TEXT(ROW()-4,"0000"))</f>
        <v>0</v>
      </c>
      <c r="D98" s="15">
        <f>IF(C98="","",IFERROR(INDEX(Staff!$B$5:$B$44,MATCH(C98,Staff!$A$5:$A$44,0)),"Not in Staff"))</f>
        <v>0</v>
      </c>
      <c r="E98" s="15">
        <f>IF(C98="","",IFERROR(INDEX(Staff!$L$5:$L$44,MATCH(C98,Staff!$A$5:$A$44,0)),"None"))</f>
        <v>0</v>
      </c>
      <c r="K98" s="26">
        <f>IF(B98="","",ROUND(SUMIFS(Sales!$Y$5:$Y$1204,Sales!$F$5:$F$1204,C98,Sales!$R$5:$R$1204,B98,Sales!$H$5:$H$1204,"Service"),2))</f>
        <v>0</v>
      </c>
      <c r="L98" s="26">
        <f>IF(B98="","",ROUND(SUMIFS(Sales!$W$5:$W$1204,Sales!$F$5:$F$1204,C98,Sales!$R$5:$R$1204,B98,Sales!$H$5:$H$1204,"Service"),2))</f>
        <v>0</v>
      </c>
      <c r="M98" s="26">
        <f>IF(B98="","",ROUND(SUMIFS(Sales!$Y$5:$Y$1204,Sales!$F$5:$F$1204,C98,Sales!$R$5:$R$1204,B98,Sales!$H$5:$H$1204,"Retail"),2))</f>
        <v>0</v>
      </c>
      <c r="N98" s="26">
        <f>IF(B98="","",ROUND(SUMIFS(Sales!$W$5:$W$1204,Sales!$F$5:$F$1204,C98,Sales!$R$5:$R$1204,B98,Sales!$H$5:$H$1204,"Retail"),2))</f>
        <v>0</v>
      </c>
      <c r="O98" s="26">
        <f>IF(B98="","",ROUND(SUMIFS(Sales!$AB$5:$AB$1204,Sales!$F$5:$F$1204,C98,Sales!$R$5:$R$1204,B98,Sales!$H$5:$H$1204,"Service"),2))</f>
        <v>0</v>
      </c>
      <c r="P98" s="25">
        <f>IF(B98="","",COUNTIFS(Sales!$F$5:$F$1204,C98,Sales!$R$5:$R$1204,B98,Sales!$H$5:$H$1204,"Service"))</f>
        <v>0</v>
      </c>
      <c r="Q98" s="26">
        <f>IF(B98="","",IF(CommissionOn="Gross before discounts",L98,K98))</f>
        <v>0</v>
      </c>
      <c r="R98" s="26">
        <f>IF(B98="","",IF(CommissionOn="Gross before discounts",N98,M98))</f>
        <v>0</v>
      </c>
      <c r="S98" s="27">
        <f>IF(B98="","",IF(E98="Tiered on monthly service revenue",IFERROR(INDEX(TierRate,MATCH(Q98,TierFrom,1)),0),IFERROR(IF(INDEX(Staff!$M$5:$M$44,MATCH(C98,Staff!$A$5:$A$44,0))="",ServiceCommission,INDEX(Staff!$M$5:$M$44,MATCH(C98,Staff!$A$5:$A$44,0))),ServiceCommission)))</f>
        <v>0</v>
      </c>
      <c r="T98" s="27">
        <f>IF(B98="","",IFERROR(IF(INDEX(Staff!$N$5:$N$44,MATCH(C98,Staff!$A$5:$A$44,0))="",RetailCommission,INDEX(Staff!$N$5:$N$44,MATCH(C98,Staff!$A$5:$A$44,0))),RetailCommission))</f>
        <v>0</v>
      </c>
      <c r="U98" s="26">
        <f>IF(B98="","",IFERROR(INDEX(Staff!$O$5:$O$44,MATCH(C98,Staff!$A$5:$A$44,0))*1,0))</f>
        <v>0</v>
      </c>
      <c r="V98" s="26">
        <f>IF(B98="","",ROUND(IF(E98="Percent of service",Q98*S98,IF(E98="Percent of service and retail",Q98*S98+R98*T98,IF(E98="Percent after product cost",MAX(0,Q98-O98)*S98,IF(E98="Tiered on monthly service revenue",Q98*S98,IF(E98="Flat amount per service",P98*U98,0))))),2))</f>
        <v>0</v>
      </c>
      <c r="W98" s="26">
        <f>IF(B98="","",ROUND(SUMIFS(Payments!$G$5:$G$1204,Payments!$J$5:$J$1204,C98,Payments!$O$5:$O$1204,B98,Payments!$E$5:$E$1204,"Tip"),2))</f>
        <v>0</v>
      </c>
      <c r="X98" s="26">
        <f>IF(B98="","",ROUND(V98+IF(F98="",0,F98)+IF(G98="",0,G98),2))</f>
        <v>0</v>
      </c>
      <c r="Y98" s="27">
        <f>IF(B98="","",IF(Q98+R98=0,"",X98/(Q98+R98)))</f>
        <v>0</v>
      </c>
      <c r="Z98" s="25">
        <f>IF(B98="","",COUNTIFS($V$5:$V$244,"&gt;"&amp;V98)+COUNTIFS($V$5:V98,V98))</f>
        <v>0</v>
      </c>
      <c r="AA98" s="39">
        <f>IF(B98="","",IF(C98="","Add - whose commission is this?",IF(COUNTIFS($B$5:$B$244,B98,$C$5:$C$244,C98)&gt;1,"Duplicate - two rows for the same month",IF(E98="None","",IF(E98="Rent a chair","",IF(E98="Hourly only","",IF(X98=0,"Check - nothing calculated",IF(H98&lt;&gt;"Yes","Due - waiting for approval",IF(I98="","Due - approved but not paid","OK")))))))))</f>
        <v>0</v>
      </c>
    </row>
    <row r="99" spans="1:27">
      <c r="A99" s="28">
        <f>IF(B99="","",CommissionPrefix&amp;TEXT(ROW()-4,"0000"))</f>
        <v>0</v>
      </c>
      <c r="D99" s="15">
        <f>IF(C99="","",IFERROR(INDEX(Staff!$B$5:$B$44,MATCH(C99,Staff!$A$5:$A$44,0)),"Not in Staff"))</f>
        <v>0</v>
      </c>
      <c r="E99" s="15">
        <f>IF(C99="","",IFERROR(INDEX(Staff!$L$5:$L$44,MATCH(C99,Staff!$A$5:$A$44,0)),"None"))</f>
        <v>0</v>
      </c>
      <c r="K99" s="26">
        <f>IF(B99="","",ROUND(SUMIFS(Sales!$Y$5:$Y$1204,Sales!$F$5:$F$1204,C99,Sales!$R$5:$R$1204,B99,Sales!$H$5:$H$1204,"Service"),2))</f>
        <v>0</v>
      </c>
      <c r="L99" s="26">
        <f>IF(B99="","",ROUND(SUMIFS(Sales!$W$5:$W$1204,Sales!$F$5:$F$1204,C99,Sales!$R$5:$R$1204,B99,Sales!$H$5:$H$1204,"Service"),2))</f>
        <v>0</v>
      </c>
      <c r="M99" s="26">
        <f>IF(B99="","",ROUND(SUMIFS(Sales!$Y$5:$Y$1204,Sales!$F$5:$F$1204,C99,Sales!$R$5:$R$1204,B99,Sales!$H$5:$H$1204,"Retail"),2))</f>
        <v>0</v>
      </c>
      <c r="N99" s="26">
        <f>IF(B99="","",ROUND(SUMIFS(Sales!$W$5:$W$1204,Sales!$F$5:$F$1204,C99,Sales!$R$5:$R$1204,B99,Sales!$H$5:$H$1204,"Retail"),2))</f>
        <v>0</v>
      </c>
      <c r="O99" s="26">
        <f>IF(B99="","",ROUND(SUMIFS(Sales!$AB$5:$AB$1204,Sales!$F$5:$F$1204,C99,Sales!$R$5:$R$1204,B99,Sales!$H$5:$H$1204,"Service"),2))</f>
        <v>0</v>
      </c>
      <c r="P99" s="25">
        <f>IF(B99="","",COUNTIFS(Sales!$F$5:$F$1204,C99,Sales!$R$5:$R$1204,B99,Sales!$H$5:$H$1204,"Service"))</f>
        <v>0</v>
      </c>
      <c r="Q99" s="26">
        <f>IF(B99="","",IF(CommissionOn="Gross before discounts",L99,K99))</f>
        <v>0</v>
      </c>
      <c r="R99" s="26">
        <f>IF(B99="","",IF(CommissionOn="Gross before discounts",N99,M99))</f>
        <v>0</v>
      </c>
      <c r="S99" s="27">
        <f>IF(B99="","",IF(E99="Tiered on monthly service revenue",IFERROR(INDEX(TierRate,MATCH(Q99,TierFrom,1)),0),IFERROR(IF(INDEX(Staff!$M$5:$M$44,MATCH(C99,Staff!$A$5:$A$44,0))="",ServiceCommission,INDEX(Staff!$M$5:$M$44,MATCH(C99,Staff!$A$5:$A$44,0))),ServiceCommission)))</f>
        <v>0</v>
      </c>
      <c r="T99" s="27">
        <f>IF(B99="","",IFERROR(IF(INDEX(Staff!$N$5:$N$44,MATCH(C99,Staff!$A$5:$A$44,0))="",RetailCommission,INDEX(Staff!$N$5:$N$44,MATCH(C99,Staff!$A$5:$A$44,0))),RetailCommission))</f>
        <v>0</v>
      </c>
      <c r="U99" s="26">
        <f>IF(B99="","",IFERROR(INDEX(Staff!$O$5:$O$44,MATCH(C99,Staff!$A$5:$A$44,0))*1,0))</f>
        <v>0</v>
      </c>
      <c r="V99" s="26">
        <f>IF(B99="","",ROUND(IF(E99="Percent of service",Q99*S99,IF(E99="Percent of service and retail",Q99*S99+R99*T99,IF(E99="Percent after product cost",MAX(0,Q99-O99)*S99,IF(E99="Tiered on monthly service revenue",Q99*S99,IF(E99="Flat amount per service",P99*U99,0))))),2))</f>
        <v>0</v>
      </c>
      <c r="W99" s="26">
        <f>IF(B99="","",ROUND(SUMIFS(Payments!$G$5:$G$1204,Payments!$J$5:$J$1204,C99,Payments!$O$5:$O$1204,B99,Payments!$E$5:$E$1204,"Tip"),2))</f>
        <v>0</v>
      </c>
      <c r="X99" s="26">
        <f>IF(B99="","",ROUND(V99+IF(F99="",0,F99)+IF(G99="",0,G99),2))</f>
        <v>0</v>
      </c>
      <c r="Y99" s="27">
        <f>IF(B99="","",IF(Q99+R99=0,"",X99/(Q99+R99)))</f>
        <v>0</v>
      </c>
      <c r="Z99" s="25">
        <f>IF(B99="","",COUNTIFS($V$5:$V$244,"&gt;"&amp;V99)+COUNTIFS($V$5:V99,V99))</f>
        <v>0</v>
      </c>
      <c r="AA99" s="39">
        <f>IF(B99="","",IF(C99="","Add - whose commission is this?",IF(COUNTIFS($B$5:$B$244,B99,$C$5:$C$244,C99)&gt;1,"Duplicate - two rows for the same month",IF(E99="None","",IF(E99="Rent a chair","",IF(E99="Hourly only","",IF(X99=0,"Check - nothing calculated",IF(H99&lt;&gt;"Yes","Due - waiting for approval",IF(I99="","Due - approved but not paid","OK")))))))))</f>
        <v>0</v>
      </c>
    </row>
    <row r="100" spans="1:27">
      <c r="A100" s="28">
        <f>IF(B100="","",CommissionPrefix&amp;TEXT(ROW()-4,"0000"))</f>
        <v>0</v>
      </c>
      <c r="D100" s="15">
        <f>IF(C100="","",IFERROR(INDEX(Staff!$B$5:$B$44,MATCH(C100,Staff!$A$5:$A$44,0)),"Not in Staff"))</f>
        <v>0</v>
      </c>
      <c r="E100" s="15">
        <f>IF(C100="","",IFERROR(INDEX(Staff!$L$5:$L$44,MATCH(C100,Staff!$A$5:$A$44,0)),"None"))</f>
        <v>0</v>
      </c>
      <c r="K100" s="26">
        <f>IF(B100="","",ROUND(SUMIFS(Sales!$Y$5:$Y$1204,Sales!$F$5:$F$1204,C100,Sales!$R$5:$R$1204,B100,Sales!$H$5:$H$1204,"Service"),2))</f>
        <v>0</v>
      </c>
      <c r="L100" s="26">
        <f>IF(B100="","",ROUND(SUMIFS(Sales!$W$5:$W$1204,Sales!$F$5:$F$1204,C100,Sales!$R$5:$R$1204,B100,Sales!$H$5:$H$1204,"Service"),2))</f>
        <v>0</v>
      </c>
      <c r="M100" s="26">
        <f>IF(B100="","",ROUND(SUMIFS(Sales!$Y$5:$Y$1204,Sales!$F$5:$F$1204,C100,Sales!$R$5:$R$1204,B100,Sales!$H$5:$H$1204,"Retail"),2))</f>
        <v>0</v>
      </c>
      <c r="N100" s="26">
        <f>IF(B100="","",ROUND(SUMIFS(Sales!$W$5:$W$1204,Sales!$F$5:$F$1204,C100,Sales!$R$5:$R$1204,B100,Sales!$H$5:$H$1204,"Retail"),2))</f>
        <v>0</v>
      </c>
      <c r="O100" s="26">
        <f>IF(B100="","",ROUND(SUMIFS(Sales!$AB$5:$AB$1204,Sales!$F$5:$F$1204,C100,Sales!$R$5:$R$1204,B100,Sales!$H$5:$H$1204,"Service"),2))</f>
        <v>0</v>
      </c>
      <c r="P100" s="25">
        <f>IF(B100="","",COUNTIFS(Sales!$F$5:$F$1204,C100,Sales!$R$5:$R$1204,B100,Sales!$H$5:$H$1204,"Service"))</f>
        <v>0</v>
      </c>
      <c r="Q100" s="26">
        <f>IF(B100="","",IF(CommissionOn="Gross before discounts",L100,K100))</f>
        <v>0</v>
      </c>
      <c r="R100" s="26">
        <f>IF(B100="","",IF(CommissionOn="Gross before discounts",N100,M100))</f>
        <v>0</v>
      </c>
      <c r="S100" s="27">
        <f>IF(B100="","",IF(E100="Tiered on monthly service revenue",IFERROR(INDEX(TierRate,MATCH(Q100,TierFrom,1)),0),IFERROR(IF(INDEX(Staff!$M$5:$M$44,MATCH(C100,Staff!$A$5:$A$44,0))="",ServiceCommission,INDEX(Staff!$M$5:$M$44,MATCH(C100,Staff!$A$5:$A$44,0))),ServiceCommission)))</f>
        <v>0</v>
      </c>
      <c r="T100" s="27">
        <f>IF(B100="","",IFERROR(IF(INDEX(Staff!$N$5:$N$44,MATCH(C100,Staff!$A$5:$A$44,0))="",RetailCommission,INDEX(Staff!$N$5:$N$44,MATCH(C100,Staff!$A$5:$A$44,0))),RetailCommission))</f>
        <v>0</v>
      </c>
      <c r="U100" s="26">
        <f>IF(B100="","",IFERROR(INDEX(Staff!$O$5:$O$44,MATCH(C100,Staff!$A$5:$A$44,0))*1,0))</f>
        <v>0</v>
      </c>
      <c r="V100" s="26">
        <f>IF(B100="","",ROUND(IF(E100="Percent of service",Q100*S100,IF(E100="Percent of service and retail",Q100*S100+R100*T100,IF(E100="Percent after product cost",MAX(0,Q100-O100)*S100,IF(E100="Tiered on monthly service revenue",Q100*S100,IF(E100="Flat amount per service",P100*U100,0))))),2))</f>
        <v>0</v>
      </c>
      <c r="W100" s="26">
        <f>IF(B100="","",ROUND(SUMIFS(Payments!$G$5:$G$1204,Payments!$J$5:$J$1204,C100,Payments!$O$5:$O$1204,B100,Payments!$E$5:$E$1204,"Tip"),2))</f>
        <v>0</v>
      </c>
      <c r="X100" s="26">
        <f>IF(B100="","",ROUND(V100+IF(F100="",0,F100)+IF(G100="",0,G100),2))</f>
        <v>0</v>
      </c>
      <c r="Y100" s="27">
        <f>IF(B100="","",IF(Q100+R100=0,"",X100/(Q100+R100)))</f>
        <v>0</v>
      </c>
      <c r="Z100" s="25">
        <f>IF(B100="","",COUNTIFS($V$5:$V$244,"&gt;"&amp;V100)+COUNTIFS($V$5:V100,V100))</f>
        <v>0</v>
      </c>
      <c r="AA100" s="39">
        <f>IF(B100="","",IF(C100="","Add - whose commission is this?",IF(COUNTIFS($B$5:$B$244,B100,$C$5:$C$244,C100)&gt;1,"Duplicate - two rows for the same month",IF(E100="None","",IF(E100="Rent a chair","",IF(E100="Hourly only","",IF(X100=0,"Check - nothing calculated",IF(H100&lt;&gt;"Yes","Due - waiting for approval",IF(I100="","Due - approved but not paid","OK")))))))))</f>
        <v>0</v>
      </c>
    </row>
    <row r="101" spans="1:27">
      <c r="A101" s="28">
        <f>IF(B101="","",CommissionPrefix&amp;TEXT(ROW()-4,"0000"))</f>
        <v>0</v>
      </c>
      <c r="D101" s="15">
        <f>IF(C101="","",IFERROR(INDEX(Staff!$B$5:$B$44,MATCH(C101,Staff!$A$5:$A$44,0)),"Not in Staff"))</f>
        <v>0</v>
      </c>
      <c r="E101" s="15">
        <f>IF(C101="","",IFERROR(INDEX(Staff!$L$5:$L$44,MATCH(C101,Staff!$A$5:$A$44,0)),"None"))</f>
        <v>0</v>
      </c>
      <c r="K101" s="26">
        <f>IF(B101="","",ROUND(SUMIFS(Sales!$Y$5:$Y$1204,Sales!$F$5:$F$1204,C101,Sales!$R$5:$R$1204,B101,Sales!$H$5:$H$1204,"Service"),2))</f>
        <v>0</v>
      </c>
      <c r="L101" s="26">
        <f>IF(B101="","",ROUND(SUMIFS(Sales!$W$5:$W$1204,Sales!$F$5:$F$1204,C101,Sales!$R$5:$R$1204,B101,Sales!$H$5:$H$1204,"Service"),2))</f>
        <v>0</v>
      </c>
      <c r="M101" s="26">
        <f>IF(B101="","",ROUND(SUMIFS(Sales!$Y$5:$Y$1204,Sales!$F$5:$F$1204,C101,Sales!$R$5:$R$1204,B101,Sales!$H$5:$H$1204,"Retail"),2))</f>
        <v>0</v>
      </c>
      <c r="N101" s="26">
        <f>IF(B101="","",ROUND(SUMIFS(Sales!$W$5:$W$1204,Sales!$F$5:$F$1204,C101,Sales!$R$5:$R$1204,B101,Sales!$H$5:$H$1204,"Retail"),2))</f>
        <v>0</v>
      </c>
      <c r="O101" s="26">
        <f>IF(B101="","",ROUND(SUMIFS(Sales!$AB$5:$AB$1204,Sales!$F$5:$F$1204,C101,Sales!$R$5:$R$1204,B101,Sales!$H$5:$H$1204,"Service"),2))</f>
        <v>0</v>
      </c>
      <c r="P101" s="25">
        <f>IF(B101="","",COUNTIFS(Sales!$F$5:$F$1204,C101,Sales!$R$5:$R$1204,B101,Sales!$H$5:$H$1204,"Service"))</f>
        <v>0</v>
      </c>
      <c r="Q101" s="26">
        <f>IF(B101="","",IF(CommissionOn="Gross before discounts",L101,K101))</f>
        <v>0</v>
      </c>
      <c r="R101" s="26">
        <f>IF(B101="","",IF(CommissionOn="Gross before discounts",N101,M101))</f>
        <v>0</v>
      </c>
      <c r="S101" s="27">
        <f>IF(B101="","",IF(E101="Tiered on monthly service revenue",IFERROR(INDEX(TierRate,MATCH(Q101,TierFrom,1)),0),IFERROR(IF(INDEX(Staff!$M$5:$M$44,MATCH(C101,Staff!$A$5:$A$44,0))="",ServiceCommission,INDEX(Staff!$M$5:$M$44,MATCH(C101,Staff!$A$5:$A$44,0))),ServiceCommission)))</f>
        <v>0</v>
      </c>
      <c r="T101" s="27">
        <f>IF(B101="","",IFERROR(IF(INDEX(Staff!$N$5:$N$44,MATCH(C101,Staff!$A$5:$A$44,0))="",RetailCommission,INDEX(Staff!$N$5:$N$44,MATCH(C101,Staff!$A$5:$A$44,0))),RetailCommission))</f>
        <v>0</v>
      </c>
      <c r="U101" s="26">
        <f>IF(B101="","",IFERROR(INDEX(Staff!$O$5:$O$44,MATCH(C101,Staff!$A$5:$A$44,0))*1,0))</f>
        <v>0</v>
      </c>
      <c r="V101" s="26">
        <f>IF(B101="","",ROUND(IF(E101="Percent of service",Q101*S101,IF(E101="Percent of service and retail",Q101*S101+R101*T101,IF(E101="Percent after product cost",MAX(0,Q101-O101)*S101,IF(E101="Tiered on monthly service revenue",Q101*S101,IF(E101="Flat amount per service",P101*U101,0))))),2))</f>
        <v>0</v>
      </c>
      <c r="W101" s="26">
        <f>IF(B101="","",ROUND(SUMIFS(Payments!$G$5:$G$1204,Payments!$J$5:$J$1204,C101,Payments!$O$5:$O$1204,B101,Payments!$E$5:$E$1204,"Tip"),2))</f>
        <v>0</v>
      </c>
      <c r="X101" s="26">
        <f>IF(B101="","",ROUND(V101+IF(F101="",0,F101)+IF(G101="",0,G101),2))</f>
        <v>0</v>
      </c>
      <c r="Y101" s="27">
        <f>IF(B101="","",IF(Q101+R101=0,"",X101/(Q101+R101)))</f>
        <v>0</v>
      </c>
      <c r="Z101" s="25">
        <f>IF(B101="","",COUNTIFS($V$5:$V$244,"&gt;"&amp;V101)+COUNTIFS($V$5:V101,V101))</f>
        <v>0</v>
      </c>
      <c r="AA101" s="39">
        <f>IF(B101="","",IF(C101="","Add - whose commission is this?",IF(COUNTIFS($B$5:$B$244,B101,$C$5:$C$244,C101)&gt;1,"Duplicate - two rows for the same month",IF(E101="None","",IF(E101="Rent a chair","",IF(E101="Hourly only","",IF(X101=0,"Check - nothing calculated",IF(H101&lt;&gt;"Yes","Due - waiting for approval",IF(I101="","Due - approved but not paid","OK")))))))))</f>
        <v>0</v>
      </c>
    </row>
    <row r="102" spans="1:27">
      <c r="A102" s="28">
        <f>IF(B102="","",CommissionPrefix&amp;TEXT(ROW()-4,"0000"))</f>
        <v>0</v>
      </c>
      <c r="D102" s="15">
        <f>IF(C102="","",IFERROR(INDEX(Staff!$B$5:$B$44,MATCH(C102,Staff!$A$5:$A$44,0)),"Not in Staff"))</f>
        <v>0</v>
      </c>
      <c r="E102" s="15">
        <f>IF(C102="","",IFERROR(INDEX(Staff!$L$5:$L$44,MATCH(C102,Staff!$A$5:$A$44,0)),"None"))</f>
        <v>0</v>
      </c>
      <c r="K102" s="26">
        <f>IF(B102="","",ROUND(SUMIFS(Sales!$Y$5:$Y$1204,Sales!$F$5:$F$1204,C102,Sales!$R$5:$R$1204,B102,Sales!$H$5:$H$1204,"Service"),2))</f>
        <v>0</v>
      </c>
      <c r="L102" s="26">
        <f>IF(B102="","",ROUND(SUMIFS(Sales!$W$5:$W$1204,Sales!$F$5:$F$1204,C102,Sales!$R$5:$R$1204,B102,Sales!$H$5:$H$1204,"Service"),2))</f>
        <v>0</v>
      </c>
      <c r="M102" s="26">
        <f>IF(B102="","",ROUND(SUMIFS(Sales!$Y$5:$Y$1204,Sales!$F$5:$F$1204,C102,Sales!$R$5:$R$1204,B102,Sales!$H$5:$H$1204,"Retail"),2))</f>
        <v>0</v>
      </c>
      <c r="N102" s="26">
        <f>IF(B102="","",ROUND(SUMIFS(Sales!$W$5:$W$1204,Sales!$F$5:$F$1204,C102,Sales!$R$5:$R$1204,B102,Sales!$H$5:$H$1204,"Retail"),2))</f>
        <v>0</v>
      </c>
      <c r="O102" s="26">
        <f>IF(B102="","",ROUND(SUMIFS(Sales!$AB$5:$AB$1204,Sales!$F$5:$F$1204,C102,Sales!$R$5:$R$1204,B102,Sales!$H$5:$H$1204,"Service"),2))</f>
        <v>0</v>
      </c>
      <c r="P102" s="25">
        <f>IF(B102="","",COUNTIFS(Sales!$F$5:$F$1204,C102,Sales!$R$5:$R$1204,B102,Sales!$H$5:$H$1204,"Service"))</f>
        <v>0</v>
      </c>
      <c r="Q102" s="26">
        <f>IF(B102="","",IF(CommissionOn="Gross before discounts",L102,K102))</f>
        <v>0</v>
      </c>
      <c r="R102" s="26">
        <f>IF(B102="","",IF(CommissionOn="Gross before discounts",N102,M102))</f>
        <v>0</v>
      </c>
      <c r="S102" s="27">
        <f>IF(B102="","",IF(E102="Tiered on monthly service revenue",IFERROR(INDEX(TierRate,MATCH(Q102,TierFrom,1)),0),IFERROR(IF(INDEX(Staff!$M$5:$M$44,MATCH(C102,Staff!$A$5:$A$44,0))="",ServiceCommission,INDEX(Staff!$M$5:$M$44,MATCH(C102,Staff!$A$5:$A$44,0))),ServiceCommission)))</f>
        <v>0</v>
      </c>
      <c r="T102" s="27">
        <f>IF(B102="","",IFERROR(IF(INDEX(Staff!$N$5:$N$44,MATCH(C102,Staff!$A$5:$A$44,0))="",RetailCommission,INDEX(Staff!$N$5:$N$44,MATCH(C102,Staff!$A$5:$A$44,0))),RetailCommission))</f>
        <v>0</v>
      </c>
      <c r="U102" s="26">
        <f>IF(B102="","",IFERROR(INDEX(Staff!$O$5:$O$44,MATCH(C102,Staff!$A$5:$A$44,0))*1,0))</f>
        <v>0</v>
      </c>
      <c r="V102" s="26">
        <f>IF(B102="","",ROUND(IF(E102="Percent of service",Q102*S102,IF(E102="Percent of service and retail",Q102*S102+R102*T102,IF(E102="Percent after product cost",MAX(0,Q102-O102)*S102,IF(E102="Tiered on monthly service revenue",Q102*S102,IF(E102="Flat amount per service",P102*U102,0))))),2))</f>
        <v>0</v>
      </c>
      <c r="W102" s="26">
        <f>IF(B102="","",ROUND(SUMIFS(Payments!$G$5:$G$1204,Payments!$J$5:$J$1204,C102,Payments!$O$5:$O$1204,B102,Payments!$E$5:$E$1204,"Tip"),2))</f>
        <v>0</v>
      </c>
      <c r="X102" s="26">
        <f>IF(B102="","",ROUND(V102+IF(F102="",0,F102)+IF(G102="",0,G102),2))</f>
        <v>0</v>
      </c>
      <c r="Y102" s="27">
        <f>IF(B102="","",IF(Q102+R102=0,"",X102/(Q102+R102)))</f>
        <v>0</v>
      </c>
      <c r="Z102" s="25">
        <f>IF(B102="","",COUNTIFS($V$5:$V$244,"&gt;"&amp;V102)+COUNTIFS($V$5:V102,V102))</f>
        <v>0</v>
      </c>
      <c r="AA102" s="39">
        <f>IF(B102="","",IF(C102="","Add - whose commission is this?",IF(COUNTIFS($B$5:$B$244,B102,$C$5:$C$244,C102)&gt;1,"Duplicate - two rows for the same month",IF(E102="None","",IF(E102="Rent a chair","",IF(E102="Hourly only","",IF(X102=0,"Check - nothing calculated",IF(H102&lt;&gt;"Yes","Due - waiting for approval",IF(I102="","Due - approved but not paid","OK")))))))))</f>
        <v>0</v>
      </c>
    </row>
    <row r="103" spans="1:27">
      <c r="A103" s="28">
        <f>IF(B103="","",CommissionPrefix&amp;TEXT(ROW()-4,"0000"))</f>
        <v>0</v>
      </c>
      <c r="D103" s="15">
        <f>IF(C103="","",IFERROR(INDEX(Staff!$B$5:$B$44,MATCH(C103,Staff!$A$5:$A$44,0)),"Not in Staff"))</f>
        <v>0</v>
      </c>
      <c r="E103" s="15">
        <f>IF(C103="","",IFERROR(INDEX(Staff!$L$5:$L$44,MATCH(C103,Staff!$A$5:$A$44,0)),"None"))</f>
        <v>0</v>
      </c>
      <c r="K103" s="26">
        <f>IF(B103="","",ROUND(SUMIFS(Sales!$Y$5:$Y$1204,Sales!$F$5:$F$1204,C103,Sales!$R$5:$R$1204,B103,Sales!$H$5:$H$1204,"Service"),2))</f>
        <v>0</v>
      </c>
      <c r="L103" s="26">
        <f>IF(B103="","",ROUND(SUMIFS(Sales!$W$5:$W$1204,Sales!$F$5:$F$1204,C103,Sales!$R$5:$R$1204,B103,Sales!$H$5:$H$1204,"Service"),2))</f>
        <v>0</v>
      </c>
      <c r="M103" s="26">
        <f>IF(B103="","",ROUND(SUMIFS(Sales!$Y$5:$Y$1204,Sales!$F$5:$F$1204,C103,Sales!$R$5:$R$1204,B103,Sales!$H$5:$H$1204,"Retail"),2))</f>
        <v>0</v>
      </c>
      <c r="N103" s="26">
        <f>IF(B103="","",ROUND(SUMIFS(Sales!$W$5:$W$1204,Sales!$F$5:$F$1204,C103,Sales!$R$5:$R$1204,B103,Sales!$H$5:$H$1204,"Retail"),2))</f>
        <v>0</v>
      </c>
      <c r="O103" s="26">
        <f>IF(B103="","",ROUND(SUMIFS(Sales!$AB$5:$AB$1204,Sales!$F$5:$F$1204,C103,Sales!$R$5:$R$1204,B103,Sales!$H$5:$H$1204,"Service"),2))</f>
        <v>0</v>
      </c>
      <c r="P103" s="25">
        <f>IF(B103="","",COUNTIFS(Sales!$F$5:$F$1204,C103,Sales!$R$5:$R$1204,B103,Sales!$H$5:$H$1204,"Service"))</f>
        <v>0</v>
      </c>
      <c r="Q103" s="26">
        <f>IF(B103="","",IF(CommissionOn="Gross before discounts",L103,K103))</f>
        <v>0</v>
      </c>
      <c r="R103" s="26">
        <f>IF(B103="","",IF(CommissionOn="Gross before discounts",N103,M103))</f>
        <v>0</v>
      </c>
      <c r="S103" s="27">
        <f>IF(B103="","",IF(E103="Tiered on monthly service revenue",IFERROR(INDEX(TierRate,MATCH(Q103,TierFrom,1)),0),IFERROR(IF(INDEX(Staff!$M$5:$M$44,MATCH(C103,Staff!$A$5:$A$44,0))="",ServiceCommission,INDEX(Staff!$M$5:$M$44,MATCH(C103,Staff!$A$5:$A$44,0))),ServiceCommission)))</f>
        <v>0</v>
      </c>
      <c r="T103" s="27">
        <f>IF(B103="","",IFERROR(IF(INDEX(Staff!$N$5:$N$44,MATCH(C103,Staff!$A$5:$A$44,0))="",RetailCommission,INDEX(Staff!$N$5:$N$44,MATCH(C103,Staff!$A$5:$A$44,0))),RetailCommission))</f>
        <v>0</v>
      </c>
      <c r="U103" s="26">
        <f>IF(B103="","",IFERROR(INDEX(Staff!$O$5:$O$44,MATCH(C103,Staff!$A$5:$A$44,0))*1,0))</f>
        <v>0</v>
      </c>
      <c r="V103" s="26">
        <f>IF(B103="","",ROUND(IF(E103="Percent of service",Q103*S103,IF(E103="Percent of service and retail",Q103*S103+R103*T103,IF(E103="Percent after product cost",MAX(0,Q103-O103)*S103,IF(E103="Tiered on monthly service revenue",Q103*S103,IF(E103="Flat amount per service",P103*U103,0))))),2))</f>
        <v>0</v>
      </c>
      <c r="W103" s="26">
        <f>IF(B103="","",ROUND(SUMIFS(Payments!$G$5:$G$1204,Payments!$J$5:$J$1204,C103,Payments!$O$5:$O$1204,B103,Payments!$E$5:$E$1204,"Tip"),2))</f>
        <v>0</v>
      </c>
      <c r="X103" s="26">
        <f>IF(B103="","",ROUND(V103+IF(F103="",0,F103)+IF(G103="",0,G103),2))</f>
        <v>0</v>
      </c>
      <c r="Y103" s="27">
        <f>IF(B103="","",IF(Q103+R103=0,"",X103/(Q103+R103)))</f>
        <v>0</v>
      </c>
      <c r="Z103" s="25">
        <f>IF(B103="","",COUNTIFS($V$5:$V$244,"&gt;"&amp;V103)+COUNTIFS($V$5:V103,V103))</f>
        <v>0</v>
      </c>
      <c r="AA103" s="39">
        <f>IF(B103="","",IF(C103="","Add - whose commission is this?",IF(COUNTIFS($B$5:$B$244,B103,$C$5:$C$244,C103)&gt;1,"Duplicate - two rows for the same month",IF(E103="None","",IF(E103="Rent a chair","",IF(E103="Hourly only","",IF(X103=0,"Check - nothing calculated",IF(H103&lt;&gt;"Yes","Due - waiting for approval",IF(I103="","Due - approved but not paid","OK")))))))))</f>
        <v>0</v>
      </c>
    </row>
    <row r="104" spans="1:27">
      <c r="A104" s="28">
        <f>IF(B104="","",CommissionPrefix&amp;TEXT(ROW()-4,"0000"))</f>
        <v>0</v>
      </c>
      <c r="D104" s="15">
        <f>IF(C104="","",IFERROR(INDEX(Staff!$B$5:$B$44,MATCH(C104,Staff!$A$5:$A$44,0)),"Not in Staff"))</f>
        <v>0</v>
      </c>
      <c r="E104" s="15">
        <f>IF(C104="","",IFERROR(INDEX(Staff!$L$5:$L$44,MATCH(C104,Staff!$A$5:$A$44,0)),"None"))</f>
        <v>0</v>
      </c>
      <c r="K104" s="26">
        <f>IF(B104="","",ROUND(SUMIFS(Sales!$Y$5:$Y$1204,Sales!$F$5:$F$1204,C104,Sales!$R$5:$R$1204,B104,Sales!$H$5:$H$1204,"Service"),2))</f>
        <v>0</v>
      </c>
      <c r="L104" s="26">
        <f>IF(B104="","",ROUND(SUMIFS(Sales!$W$5:$W$1204,Sales!$F$5:$F$1204,C104,Sales!$R$5:$R$1204,B104,Sales!$H$5:$H$1204,"Service"),2))</f>
        <v>0</v>
      </c>
      <c r="M104" s="26">
        <f>IF(B104="","",ROUND(SUMIFS(Sales!$Y$5:$Y$1204,Sales!$F$5:$F$1204,C104,Sales!$R$5:$R$1204,B104,Sales!$H$5:$H$1204,"Retail"),2))</f>
        <v>0</v>
      </c>
      <c r="N104" s="26">
        <f>IF(B104="","",ROUND(SUMIFS(Sales!$W$5:$W$1204,Sales!$F$5:$F$1204,C104,Sales!$R$5:$R$1204,B104,Sales!$H$5:$H$1204,"Retail"),2))</f>
        <v>0</v>
      </c>
      <c r="O104" s="26">
        <f>IF(B104="","",ROUND(SUMIFS(Sales!$AB$5:$AB$1204,Sales!$F$5:$F$1204,C104,Sales!$R$5:$R$1204,B104,Sales!$H$5:$H$1204,"Service"),2))</f>
        <v>0</v>
      </c>
      <c r="P104" s="25">
        <f>IF(B104="","",COUNTIFS(Sales!$F$5:$F$1204,C104,Sales!$R$5:$R$1204,B104,Sales!$H$5:$H$1204,"Service"))</f>
        <v>0</v>
      </c>
      <c r="Q104" s="26">
        <f>IF(B104="","",IF(CommissionOn="Gross before discounts",L104,K104))</f>
        <v>0</v>
      </c>
      <c r="R104" s="26">
        <f>IF(B104="","",IF(CommissionOn="Gross before discounts",N104,M104))</f>
        <v>0</v>
      </c>
      <c r="S104" s="27">
        <f>IF(B104="","",IF(E104="Tiered on monthly service revenue",IFERROR(INDEX(TierRate,MATCH(Q104,TierFrom,1)),0),IFERROR(IF(INDEX(Staff!$M$5:$M$44,MATCH(C104,Staff!$A$5:$A$44,0))="",ServiceCommission,INDEX(Staff!$M$5:$M$44,MATCH(C104,Staff!$A$5:$A$44,0))),ServiceCommission)))</f>
        <v>0</v>
      </c>
      <c r="T104" s="27">
        <f>IF(B104="","",IFERROR(IF(INDEX(Staff!$N$5:$N$44,MATCH(C104,Staff!$A$5:$A$44,0))="",RetailCommission,INDEX(Staff!$N$5:$N$44,MATCH(C104,Staff!$A$5:$A$44,0))),RetailCommission))</f>
        <v>0</v>
      </c>
      <c r="U104" s="26">
        <f>IF(B104="","",IFERROR(INDEX(Staff!$O$5:$O$44,MATCH(C104,Staff!$A$5:$A$44,0))*1,0))</f>
        <v>0</v>
      </c>
      <c r="V104" s="26">
        <f>IF(B104="","",ROUND(IF(E104="Percent of service",Q104*S104,IF(E104="Percent of service and retail",Q104*S104+R104*T104,IF(E104="Percent after product cost",MAX(0,Q104-O104)*S104,IF(E104="Tiered on monthly service revenue",Q104*S104,IF(E104="Flat amount per service",P104*U104,0))))),2))</f>
        <v>0</v>
      </c>
      <c r="W104" s="26">
        <f>IF(B104="","",ROUND(SUMIFS(Payments!$G$5:$G$1204,Payments!$J$5:$J$1204,C104,Payments!$O$5:$O$1204,B104,Payments!$E$5:$E$1204,"Tip"),2))</f>
        <v>0</v>
      </c>
      <c r="X104" s="26">
        <f>IF(B104="","",ROUND(V104+IF(F104="",0,F104)+IF(G104="",0,G104),2))</f>
        <v>0</v>
      </c>
      <c r="Y104" s="27">
        <f>IF(B104="","",IF(Q104+R104=0,"",X104/(Q104+R104)))</f>
        <v>0</v>
      </c>
      <c r="Z104" s="25">
        <f>IF(B104="","",COUNTIFS($V$5:$V$244,"&gt;"&amp;V104)+COUNTIFS($V$5:V104,V104))</f>
        <v>0</v>
      </c>
      <c r="AA104" s="39">
        <f>IF(B104="","",IF(C104="","Add - whose commission is this?",IF(COUNTIFS($B$5:$B$244,B104,$C$5:$C$244,C104)&gt;1,"Duplicate - two rows for the same month",IF(E104="None","",IF(E104="Rent a chair","",IF(E104="Hourly only","",IF(X104=0,"Check - nothing calculated",IF(H104&lt;&gt;"Yes","Due - waiting for approval",IF(I104="","Due - approved but not paid","OK")))))))))</f>
        <v>0</v>
      </c>
    </row>
    <row r="105" spans="1:27">
      <c r="A105" s="28">
        <f>IF(B105="","",CommissionPrefix&amp;TEXT(ROW()-4,"0000"))</f>
        <v>0</v>
      </c>
      <c r="D105" s="15">
        <f>IF(C105="","",IFERROR(INDEX(Staff!$B$5:$B$44,MATCH(C105,Staff!$A$5:$A$44,0)),"Not in Staff"))</f>
        <v>0</v>
      </c>
      <c r="E105" s="15">
        <f>IF(C105="","",IFERROR(INDEX(Staff!$L$5:$L$44,MATCH(C105,Staff!$A$5:$A$44,0)),"None"))</f>
        <v>0</v>
      </c>
      <c r="K105" s="26">
        <f>IF(B105="","",ROUND(SUMIFS(Sales!$Y$5:$Y$1204,Sales!$F$5:$F$1204,C105,Sales!$R$5:$R$1204,B105,Sales!$H$5:$H$1204,"Service"),2))</f>
        <v>0</v>
      </c>
      <c r="L105" s="26">
        <f>IF(B105="","",ROUND(SUMIFS(Sales!$W$5:$W$1204,Sales!$F$5:$F$1204,C105,Sales!$R$5:$R$1204,B105,Sales!$H$5:$H$1204,"Service"),2))</f>
        <v>0</v>
      </c>
      <c r="M105" s="26">
        <f>IF(B105="","",ROUND(SUMIFS(Sales!$Y$5:$Y$1204,Sales!$F$5:$F$1204,C105,Sales!$R$5:$R$1204,B105,Sales!$H$5:$H$1204,"Retail"),2))</f>
        <v>0</v>
      </c>
      <c r="N105" s="26">
        <f>IF(B105="","",ROUND(SUMIFS(Sales!$W$5:$W$1204,Sales!$F$5:$F$1204,C105,Sales!$R$5:$R$1204,B105,Sales!$H$5:$H$1204,"Retail"),2))</f>
        <v>0</v>
      </c>
      <c r="O105" s="26">
        <f>IF(B105="","",ROUND(SUMIFS(Sales!$AB$5:$AB$1204,Sales!$F$5:$F$1204,C105,Sales!$R$5:$R$1204,B105,Sales!$H$5:$H$1204,"Service"),2))</f>
        <v>0</v>
      </c>
      <c r="P105" s="25">
        <f>IF(B105="","",COUNTIFS(Sales!$F$5:$F$1204,C105,Sales!$R$5:$R$1204,B105,Sales!$H$5:$H$1204,"Service"))</f>
        <v>0</v>
      </c>
      <c r="Q105" s="26">
        <f>IF(B105="","",IF(CommissionOn="Gross before discounts",L105,K105))</f>
        <v>0</v>
      </c>
      <c r="R105" s="26">
        <f>IF(B105="","",IF(CommissionOn="Gross before discounts",N105,M105))</f>
        <v>0</v>
      </c>
      <c r="S105" s="27">
        <f>IF(B105="","",IF(E105="Tiered on monthly service revenue",IFERROR(INDEX(TierRate,MATCH(Q105,TierFrom,1)),0),IFERROR(IF(INDEX(Staff!$M$5:$M$44,MATCH(C105,Staff!$A$5:$A$44,0))="",ServiceCommission,INDEX(Staff!$M$5:$M$44,MATCH(C105,Staff!$A$5:$A$44,0))),ServiceCommission)))</f>
        <v>0</v>
      </c>
      <c r="T105" s="27">
        <f>IF(B105="","",IFERROR(IF(INDEX(Staff!$N$5:$N$44,MATCH(C105,Staff!$A$5:$A$44,0))="",RetailCommission,INDEX(Staff!$N$5:$N$44,MATCH(C105,Staff!$A$5:$A$44,0))),RetailCommission))</f>
        <v>0</v>
      </c>
      <c r="U105" s="26">
        <f>IF(B105="","",IFERROR(INDEX(Staff!$O$5:$O$44,MATCH(C105,Staff!$A$5:$A$44,0))*1,0))</f>
        <v>0</v>
      </c>
      <c r="V105" s="26">
        <f>IF(B105="","",ROUND(IF(E105="Percent of service",Q105*S105,IF(E105="Percent of service and retail",Q105*S105+R105*T105,IF(E105="Percent after product cost",MAX(0,Q105-O105)*S105,IF(E105="Tiered on monthly service revenue",Q105*S105,IF(E105="Flat amount per service",P105*U105,0))))),2))</f>
        <v>0</v>
      </c>
      <c r="W105" s="26">
        <f>IF(B105="","",ROUND(SUMIFS(Payments!$G$5:$G$1204,Payments!$J$5:$J$1204,C105,Payments!$O$5:$O$1204,B105,Payments!$E$5:$E$1204,"Tip"),2))</f>
        <v>0</v>
      </c>
      <c r="X105" s="26">
        <f>IF(B105="","",ROUND(V105+IF(F105="",0,F105)+IF(G105="",0,G105),2))</f>
        <v>0</v>
      </c>
      <c r="Y105" s="27">
        <f>IF(B105="","",IF(Q105+R105=0,"",X105/(Q105+R105)))</f>
        <v>0</v>
      </c>
      <c r="Z105" s="25">
        <f>IF(B105="","",COUNTIFS($V$5:$V$244,"&gt;"&amp;V105)+COUNTIFS($V$5:V105,V105))</f>
        <v>0</v>
      </c>
      <c r="AA105" s="39">
        <f>IF(B105="","",IF(C105="","Add - whose commission is this?",IF(COUNTIFS($B$5:$B$244,B105,$C$5:$C$244,C105)&gt;1,"Duplicate - two rows for the same month",IF(E105="None","",IF(E105="Rent a chair","",IF(E105="Hourly only","",IF(X105=0,"Check - nothing calculated",IF(H105&lt;&gt;"Yes","Due - waiting for approval",IF(I105="","Due - approved but not paid","OK")))))))))</f>
        <v>0</v>
      </c>
    </row>
    <row r="106" spans="1:27">
      <c r="A106" s="28">
        <f>IF(B106="","",CommissionPrefix&amp;TEXT(ROW()-4,"0000"))</f>
        <v>0</v>
      </c>
      <c r="D106" s="15">
        <f>IF(C106="","",IFERROR(INDEX(Staff!$B$5:$B$44,MATCH(C106,Staff!$A$5:$A$44,0)),"Not in Staff"))</f>
        <v>0</v>
      </c>
      <c r="E106" s="15">
        <f>IF(C106="","",IFERROR(INDEX(Staff!$L$5:$L$44,MATCH(C106,Staff!$A$5:$A$44,0)),"None"))</f>
        <v>0</v>
      </c>
      <c r="K106" s="26">
        <f>IF(B106="","",ROUND(SUMIFS(Sales!$Y$5:$Y$1204,Sales!$F$5:$F$1204,C106,Sales!$R$5:$R$1204,B106,Sales!$H$5:$H$1204,"Service"),2))</f>
        <v>0</v>
      </c>
      <c r="L106" s="26">
        <f>IF(B106="","",ROUND(SUMIFS(Sales!$W$5:$W$1204,Sales!$F$5:$F$1204,C106,Sales!$R$5:$R$1204,B106,Sales!$H$5:$H$1204,"Service"),2))</f>
        <v>0</v>
      </c>
      <c r="M106" s="26">
        <f>IF(B106="","",ROUND(SUMIFS(Sales!$Y$5:$Y$1204,Sales!$F$5:$F$1204,C106,Sales!$R$5:$R$1204,B106,Sales!$H$5:$H$1204,"Retail"),2))</f>
        <v>0</v>
      </c>
      <c r="N106" s="26">
        <f>IF(B106="","",ROUND(SUMIFS(Sales!$W$5:$W$1204,Sales!$F$5:$F$1204,C106,Sales!$R$5:$R$1204,B106,Sales!$H$5:$H$1204,"Retail"),2))</f>
        <v>0</v>
      </c>
      <c r="O106" s="26">
        <f>IF(B106="","",ROUND(SUMIFS(Sales!$AB$5:$AB$1204,Sales!$F$5:$F$1204,C106,Sales!$R$5:$R$1204,B106,Sales!$H$5:$H$1204,"Service"),2))</f>
        <v>0</v>
      </c>
      <c r="P106" s="25">
        <f>IF(B106="","",COUNTIFS(Sales!$F$5:$F$1204,C106,Sales!$R$5:$R$1204,B106,Sales!$H$5:$H$1204,"Service"))</f>
        <v>0</v>
      </c>
      <c r="Q106" s="26">
        <f>IF(B106="","",IF(CommissionOn="Gross before discounts",L106,K106))</f>
        <v>0</v>
      </c>
      <c r="R106" s="26">
        <f>IF(B106="","",IF(CommissionOn="Gross before discounts",N106,M106))</f>
        <v>0</v>
      </c>
      <c r="S106" s="27">
        <f>IF(B106="","",IF(E106="Tiered on monthly service revenue",IFERROR(INDEX(TierRate,MATCH(Q106,TierFrom,1)),0),IFERROR(IF(INDEX(Staff!$M$5:$M$44,MATCH(C106,Staff!$A$5:$A$44,0))="",ServiceCommission,INDEX(Staff!$M$5:$M$44,MATCH(C106,Staff!$A$5:$A$44,0))),ServiceCommission)))</f>
        <v>0</v>
      </c>
      <c r="T106" s="27">
        <f>IF(B106="","",IFERROR(IF(INDEX(Staff!$N$5:$N$44,MATCH(C106,Staff!$A$5:$A$44,0))="",RetailCommission,INDEX(Staff!$N$5:$N$44,MATCH(C106,Staff!$A$5:$A$44,0))),RetailCommission))</f>
        <v>0</v>
      </c>
      <c r="U106" s="26">
        <f>IF(B106="","",IFERROR(INDEX(Staff!$O$5:$O$44,MATCH(C106,Staff!$A$5:$A$44,0))*1,0))</f>
        <v>0</v>
      </c>
      <c r="V106" s="26">
        <f>IF(B106="","",ROUND(IF(E106="Percent of service",Q106*S106,IF(E106="Percent of service and retail",Q106*S106+R106*T106,IF(E106="Percent after product cost",MAX(0,Q106-O106)*S106,IF(E106="Tiered on monthly service revenue",Q106*S106,IF(E106="Flat amount per service",P106*U106,0))))),2))</f>
        <v>0</v>
      </c>
      <c r="W106" s="26">
        <f>IF(B106="","",ROUND(SUMIFS(Payments!$G$5:$G$1204,Payments!$J$5:$J$1204,C106,Payments!$O$5:$O$1204,B106,Payments!$E$5:$E$1204,"Tip"),2))</f>
        <v>0</v>
      </c>
      <c r="X106" s="26">
        <f>IF(B106="","",ROUND(V106+IF(F106="",0,F106)+IF(G106="",0,G106),2))</f>
        <v>0</v>
      </c>
      <c r="Y106" s="27">
        <f>IF(B106="","",IF(Q106+R106=0,"",X106/(Q106+R106)))</f>
        <v>0</v>
      </c>
      <c r="Z106" s="25">
        <f>IF(B106="","",COUNTIFS($V$5:$V$244,"&gt;"&amp;V106)+COUNTIFS($V$5:V106,V106))</f>
        <v>0</v>
      </c>
      <c r="AA106" s="39">
        <f>IF(B106="","",IF(C106="","Add - whose commission is this?",IF(COUNTIFS($B$5:$B$244,B106,$C$5:$C$244,C106)&gt;1,"Duplicate - two rows for the same month",IF(E106="None","",IF(E106="Rent a chair","",IF(E106="Hourly only","",IF(X106=0,"Check - nothing calculated",IF(H106&lt;&gt;"Yes","Due - waiting for approval",IF(I106="","Due - approved but not paid","OK")))))))))</f>
        <v>0</v>
      </c>
    </row>
    <row r="107" spans="1:27">
      <c r="A107" s="28">
        <f>IF(B107="","",CommissionPrefix&amp;TEXT(ROW()-4,"0000"))</f>
        <v>0</v>
      </c>
      <c r="D107" s="15">
        <f>IF(C107="","",IFERROR(INDEX(Staff!$B$5:$B$44,MATCH(C107,Staff!$A$5:$A$44,0)),"Not in Staff"))</f>
        <v>0</v>
      </c>
      <c r="E107" s="15">
        <f>IF(C107="","",IFERROR(INDEX(Staff!$L$5:$L$44,MATCH(C107,Staff!$A$5:$A$44,0)),"None"))</f>
        <v>0</v>
      </c>
      <c r="K107" s="26">
        <f>IF(B107="","",ROUND(SUMIFS(Sales!$Y$5:$Y$1204,Sales!$F$5:$F$1204,C107,Sales!$R$5:$R$1204,B107,Sales!$H$5:$H$1204,"Service"),2))</f>
        <v>0</v>
      </c>
      <c r="L107" s="26">
        <f>IF(B107="","",ROUND(SUMIFS(Sales!$W$5:$W$1204,Sales!$F$5:$F$1204,C107,Sales!$R$5:$R$1204,B107,Sales!$H$5:$H$1204,"Service"),2))</f>
        <v>0</v>
      </c>
      <c r="M107" s="26">
        <f>IF(B107="","",ROUND(SUMIFS(Sales!$Y$5:$Y$1204,Sales!$F$5:$F$1204,C107,Sales!$R$5:$R$1204,B107,Sales!$H$5:$H$1204,"Retail"),2))</f>
        <v>0</v>
      </c>
      <c r="N107" s="26">
        <f>IF(B107="","",ROUND(SUMIFS(Sales!$W$5:$W$1204,Sales!$F$5:$F$1204,C107,Sales!$R$5:$R$1204,B107,Sales!$H$5:$H$1204,"Retail"),2))</f>
        <v>0</v>
      </c>
      <c r="O107" s="26">
        <f>IF(B107="","",ROUND(SUMIFS(Sales!$AB$5:$AB$1204,Sales!$F$5:$F$1204,C107,Sales!$R$5:$R$1204,B107,Sales!$H$5:$H$1204,"Service"),2))</f>
        <v>0</v>
      </c>
      <c r="P107" s="25">
        <f>IF(B107="","",COUNTIFS(Sales!$F$5:$F$1204,C107,Sales!$R$5:$R$1204,B107,Sales!$H$5:$H$1204,"Service"))</f>
        <v>0</v>
      </c>
      <c r="Q107" s="26">
        <f>IF(B107="","",IF(CommissionOn="Gross before discounts",L107,K107))</f>
        <v>0</v>
      </c>
      <c r="R107" s="26">
        <f>IF(B107="","",IF(CommissionOn="Gross before discounts",N107,M107))</f>
        <v>0</v>
      </c>
      <c r="S107" s="27">
        <f>IF(B107="","",IF(E107="Tiered on monthly service revenue",IFERROR(INDEX(TierRate,MATCH(Q107,TierFrom,1)),0),IFERROR(IF(INDEX(Staff!$M$5:$M$44,MATCH(C107,Staff!$A$5:$A$44,0))="",ServiceCommission,INDEX(Staff!$M$5:$M$44,MATCH(C107,Staff!$A$5:$A$44,0))),ServiceCommission)))</f>
        <v>0</v>
      </c>
      <c r="T107" s="27">
        <f>IF(B107="","",IFERROR(IF(INDEX(Staff!$N$5:$N$44,MATCH(C107,Staff!$A$5:$A$44,0))="",RetailCommission,INDEX(Staff!$N$5:$N$44,MATCH(C107,Staff!$A$5:$A$44,0))),RetailCommission))</f>
        <v>0</v>
      </c>
      <c r="U107" s="26">
        <f>IF(B107="","",IFERROR(INDEX(Staff!$O$5:$O$44,MATCH(C107,Staff!$A$5:$A$44,0))*1,0))</f>
        <v>0</v>
      </c>
      <c r="V107" s="26">
        <f>IF(B107="","",ROUND(IF(E107="Percent of service",Q107*S107,IF(E107="Percent of service and retail",Q107*S107+R107*T107,IF(E107="Percent after product cost",MAX(0,Q107-O107)*S107,IF(E107="Tiered on monthly service revenue",Q107*S107,IF(E107="Flat amount per service",P107*U107,0))))),2))</f>
        <v>0</v>
      </c>
      <c r="W107" s="26">
        <f>IF(B107="","",ROUND(SUMIFS(Payments!$G$5:$G$1204,Payments!$J$5:$J$1204,C107,Payments!$O$5:$O$1204,B107,Payments!$E$5:$E$1204,"Tip"),2))</f>
        <v>0</v>
      </c>
      <c r="X107" s="26">
        <f>IF(B107="","",ROUND(V107+IF(F107="",0,F107)+IF(G107="",0,G107),2))</f>
        <v>0</v>
      </c>
      <c r="Y107" s="27">
        <f>IF(B107="","",IF(Q107+R107=0,"",X107/(Q107+R107)))</f>
        <v>0</v>
      </c>
      <c r="Z107" s="25">
        <f>IF(B107="","",COUNTIFS($V$5:$V$244,"&gt;"&amp;V107)+COUNTIFS($V$5:V107,V107))</f>
        <v>0</v>
      </c>
      <c r="AA107" s="39">
        <f>IF(B107="","",IF(C107="","Add - whose commission is this?",IF(COUNTIFS($B$5:$B$244,B107,$C$5:$C$244,C107)&gt;1,"Duplicate - two rows for the same month",IF(E107="None","",IF(E107="Rent a chair","",IF(E107="Hourly only","",IF(X107=0,"Check - nothing calculated",IF(H107&lt;&gt;"Yes","Due - waiting for approval",IF(I107="","Due - approved but not paid","OK")))))))))</f>
        <v>0</v>
      </c>
    </row>
    <row r="108" spans="1:27">
      <c r="A108" s="28">
        <f>IF(B108="","",CommissionPrefix&amp;TEXT(ROW()-4,"0000"))</f>
        <v>0</v>
      </c>
      <c r="D108" s="15">
        <f>IF(C108="","",IFERROR(INDEX(Staff!$B$5:$B$44,MATCH(C108,Staff!$A$5:$A$44,0)),"Not in Staff"))</f>
        <v>0</v>
      </c>
      <c r="E108" s="15">
        <f>IF(C108="","",IFERROR(INDEX(Staff!$L$5:$L$44,MATCH(C108,Staff!$A$5:$A$44,0)),"None"))</f>
        <v>0</v>
      </c>
      <c r="K108" s="26">
        <f>IF(B108="","",ROUND(SUMIFS(Sales!$Y$5:$Y$1204,Sales!$F$5:$F$1204,C108,Sales!$R$5:$R$1204,B108,Sales!$H$5:$H$1204,"Service"),2))</f>
        <v>0</v>
      </c>
      <c r="L108" s="26">
        <f>IF(B108="","",ROUND(SUMIFS(Sales!$W$5:$W$1204,Sales!$F$5:$F$1204,C108,Sales!$R$5:$R$1204,B108,Sales!$H$5:$H$1204,"Service"),2))</f>
        <v>0</v>
      </c>
      <c r="M108" s="26">
        <f>IF(B108="","",ROUND(SUMIFS(Sales!$Y$5:$Y$1204,Sales!$F$5:$F$1204,C108,Sales!$R$5:$R$1204,B108,Sales!$H$5:$H$1204,"Retail"),2))</f>
        <v>0</v>
      </c>
      <c r="N108" s="26">
        <f>IF(B108="","",ROUND(SUMIFS(Sales!$W$5:$W$1204,Sales!$F$5:$F$1204,C108,Sales!$R$5:$R$1204,B108,Sales!$H$5:$H$1204,"Retail"),2))</f>
        <v>0</v>
      </c>
      <c r="O108" s="26">
        <f>IF(B108="","",ROUND(SUMIFS(Sales!$AB$5:$AB$1204,Sales!$F$5:$F$1204,C108,Sales!$R$5:$R$1204,B108,Sales!$H$5:$H$1204,"Service"),2))</f>
        <v>0</v>
      </c>
      <c r="P108" s="25">
        <f>IF(B108="","",COUNTIFS(Sales!$F$5:$F$1204,C108,Sales!$R$5:$R$1204,B108,Sales!$H$5:$H$1204,"Service"))</f>
        <v>0</v>
      </c>
      <c r="Q108" s="26">
        <f>IF(B108="","",IF(CommissionOn="Gross before discounts",L108,K108))</f>
        <v>0</v>
      </c>
      <c r="R108" s="26">
        <f>IF(B108="","",IF(CommissionOn="Gross before discounts",N108,M108))</f>
        <v>0</v>
      </c>
      <c r="S108" s="27">
        <f>IF(B108="","",IF(E108="Tiered on monthly service revenue",IFERROR(INDEX(TierRate,MATCH(Q108,TierFrom,1)),0),IFERROR(IF(INDEX(Staff!$M$5:$M$44,MATCH(C108,Staff!$A$5:$A$44,0))="",ServiceCommission,INDEX(Staff!$M$5:$M$44,MATCH(C108,Staff!$A$5:$A$44,0))),ServiceCommission)))</f>
        <v>0</v>
      </c>
      <c r="T108" s="27">
        <f>IF(B108="","",IFERROR(IF(INDEX(Staff!$N$5:$N$44,MATCH(C108,Staff!$A$5:$A$44,0))="",RetailCommission,INDEX(Staff!$N$5:$N$44,MATCH(C108,Staff!$A$5:$A$44,0))),RetailCommission))</f>
        <v>0</v>
      </c>
      <c r="U108" s="26">
        <f>IF(B108="","",IFERROR(INDEX(Staff!$O$5:$O$44,MATCH(C108,Staff!$A$5:$A$44,0))*1,0))</f>
        <v>0</v>
      </c>
      <c r="V108" s="26">
        <f>IF(B108="","",ROUND(IF(E108="Percent of service",Q108*S108,IF(E108="Percent of service and retail",Q108*S108+R108*T108,IF(E108="Percent after product cost",MAX(0,Q108-O108)*S108,IF(E108="Tiered on monthly service revenue",Q108*S108,IF(E108="Flat amount per service",P108*U108,0))))),2))</f>
        <v>0</v>
      </c>
      <c r="W108" s="26">
        <f>IF(B108="","",ROUND(SUMIFS(Payments!$G$5:$G$1204,Payments!$J$5:$J$1204,C108,Payments!$O$5:$O$1204,B108,Payments!$E$5:$E$1204,"Tip"),2))</f>
        <v>0</v>
      </c>
      <c r="X108" s="26">
        <f>IF(B108="","",ROUND(V108+IF(F108="",0,F108)+IF(G108="",0,G108),2))</f>
        <v>0</v>
      </c>
      <c r="Y108" s="27">
        <f>IF(B108="","",IF(Q108+R108=0,"",X108/(Q108+R108)))</f>
        <v>0</v>
      </c>
      <c r="Z108" s="25">
        <f>IF(B108="","",COUNTIFS($V$5:$V$244,"&gt;"&amp;V108)+COUNTIFS($V$5:V108,V108))</f>
        <v>0</v>
      </c>
      <c r="AA108" s="39">
        <f>IF(B108="","",IF(C108="","Add - whose commission is this?",IF(COUNTIFS($B$5:$B$244,B108,$C$5:$C$244,C108)&gt;1,"Duplicate - two rows for the same month",IF(E108="None","",IF(E108="Rent a chair","",IF(E108="Hourly only","",IF(X108=0,"Check - nothing calculated",IF(H108&lt;&gt;"Yes","Due - waiting for approval",IF(I108="","Due - approved but not paid","OK")))))))))</f>
        <v>0</v>
      </c>
    </row>
    <row r="109" spans="1:27">
      <c r="A109" s="28">
        <f>IF(B109="","",CommissionPrefix&amp;TEXT(ROW()-4,"0000"))</f>
        <v>0</v>
      </c>
      <c r="D109" s="15">
        <f>IF(C109="","",IFERROR(INDEX(Staff!$B$5:$B$44,MATCH(C109,Staff!$A$5:$A$44,0)),"Not in Staff"))</f>
        <v>0</v>
      </c>
      <c r="E109" s="15">
        <f>IF(C109="","",IFERROR(INDEX(Staff!$L$5:$L$44,MATCH(C109,Staff!$A$5:$A$44,0)),"None"))</f>
        <v>0</v>
      </c>
      <c r="K109" s="26">
        <f>IF(B109="","",ROUND(SUMIFS(Sales!$Y$5:$Y$1204,Sales!$F$5:$F$1204,C109,Sales!$R$5:$R$1204,B109,Sales!$H$5:$H$1204,"Service"),2))</f>
        <v>0</v>
      </c>
      <c r="L109" s="26">
        <f>IF(B109="","",ROUND(SUMIFS(Sales!$W$5:$W$1204,Sales!$F$5:$F$1204,C109,Sales!$R$5:$R$1204,B109,Sales!$H$5:$H$1204,"Service"),2))</f>
        <v>0</v>
      </c>
      <c r="M109" s="26">
        <f>IF(B109="","",ROUND(SUMIFS(Sales!$Y$5:$Y$1204,Sales!$F$5:$F$1204,C109,Sales!$R$5:$R$1204,B109,Sales!$H$5:$H$1204,"Retail"),2))</f>
        <v>0</v>
      </c>
      <c r="N109" s="26">
        <f>IF(B109="","",ROUND(SUMIFS(Sales!$W$5:$W$1204,Sales!$F$5:$F$1204,C109,Sales!$R$5:$R$1204,B109,Sales!$H$5:$H$1204,"Retail"),2))</f>
        <v>0</v>
      </c>
      <c r="O109" s="26">
        <f>IF(B109="","",ROUND(SUMIFS(Sales!$AB$5:$AB$1204,Sales!$F$5:$F$1204,C109,Sales!$R$5:$R$1204,B109,Sales!$H$5:$H$1204,"Service"),2))</f>
        <v>0</v>
      </c>
      <c r="P109" s="25">
        <f>IF(B109="","",COUNTIFS(Sales!$F$5:$F$1204,C109,Sales!$R$5:$R$1204,B109,Sales!$H$5:$H$1204,"Service"))</f>
        <v>0</v>
      </c>
      <c r="Q109" s="26">
        <f>IF(B109="","",IF(CommissionOn="Gross before discounts",L109,K109))</f>
        <v>0</v>
      </c>
      <c r="R109" s="26">
        <f>IF(B109="","",IF(CommissionOn="Gross before discounts",N109,M109))</f>
        <v>0</v>
      </c>
      <c r="S109" s="27">
        <f>IF(B109="","",IF(E109="Tiered on monthly service revenue",IFERROR(INDEX(TierRate,MATCH(Q109,TierFrom,1)),0),IFERROR(IF(INDEX(Staff!$M$5:$M$44,MATCH(C109,Staff!$A$5:$A$44,0))="",ServiceCommission,INDEX(Staff!$M$5:$M$44,MATCH(C109,Staff!$A$5:$A$44,0))),ServiceCommission)))</f>
        <v>0</v>
      </c>
      <c r="T109" s="27">
        <f>IF(B109="","",IFERROR(IF(INDEX(Staff!$N$5:$N$44,MATCH(C109,Staff!$A$5:$A$44,0))="",RetailCommission,INDEX(Staff!$N$5:$N$44,MATCH(C109,Staff!$A$5:$A$44,0))),RetailCommission))</f>
        <v>0</v>
      </c>
      <c r="U109" s="26">
        <f>IF(B109="","",IFERROR(INDEX(Staff!$O$5:$O$44,MATCH(C109,Staff!$A$5:$A$44,0))*1,0))</f>
        <v>0</v>
      </c>
      <c r="V109" s="26">
        <f>IF(B109="","",ROUND(IF(E109="Percent of service",Q109*S109,IF(E109="Percent of service and retail",Q109*S109+R109*T109,IF(E109="Percent after product cost",MAX(0,Q109-O109)*S109,IF(E109="Tiered on monthly service revenue",Q109*S109,IF(E109="Flat amount per service",P109*U109,0))))),2))</f>
        <v>0</v>
      </c>
      <c r="W109" s="26">
        <f>IF(B109="","",ROUND(SUMIFS(Payments!$G$5:$G$1204,Payments!$J$5:$J$1204,C109,Payments!$O$5:$O$1204,B109,Payments!$E$5:$E$1204,"Tip"),2))</f>
        <v>0</v>
      </c>
      <c r="X109" s="26">
        <f>IF(B109="","",ROUND(V109+IF(F109="",0,F109)+IF(G109="",0,G109),2))</f>
        <v>0</v>
      </c>
      <c r="Y109" s="27">
        <f>IF(B109="","",IF(Q109+R109=0,"",X109/(Q109+R109)))</f>
        <v>0</v>
      </c>
      <c r="Z109" s="25">
        <f>IF(B109="","",COUNTIFS($V$5:$V$244,"&gt;"&amp;V109)+COUNTIFS($V$5:V109,V109))</f>
        <v>0</v>
      </c>
      <c r="AA109" s="39">
        <f>IF(B109="","",IF(C109="","Add - whose commission is this?",IF(COUNTIFS($B$5:$B$244,B109,$C$5:$C$244,C109)&gt;1,"Duplicate - two rows for the same month",IF(E109="None","",IF(E109="Rent a chair","",IF(E109="Hourly only","",IF(X109=0,"Check - nothing calculated",IF(H109&lt;&gt;"Yes","Due - waiting for approval",IF(I109="","Due - approved but not paid","OK")))))))))</f>
        <v>0</v>
      </c>
    </row>
    <row r="110" spans="1:27">
      <c r="A110" s="28">
        <f>IF(B110="","",CommissionPrefix&amp;TEXT(ROW()-4,"0000"))</f>
        <v>0</v>
      </c>
      <c r="D110" s="15">
        <f>IF(C110="","",IFERROR(INDEX(Staff!$B$5:$B$44,MATCH(C110,Staff!$A$5:$A$44,0)),"Not in Staff"))</f>
        <v>0</v>
      </c>
      <c r="E110" s="15">
        <f>IF(C110="","",IFERROR(INDEX(Staff!$L$5:$L$44,MATCH(C110,Staff!$A$5:$A$44,0)),"None"))</f>
        <v>0</v>
      </c>
      <c r="K110" s="26">
        <f>IF(B110="","",ROUND(SUMIFS(Sales!$Y$5:$Y$1204,Sales!$F$5:$F$1204,C110,Sales!$R$5:$R$1204,B110,Sales!$H$5:$H$1204,"Service"),2))</f>
        <v>0</v>
      </c>
      <c r="L110" s="26">
        <f>IF(B110="","",ROUND(SUMIFS(Sales!$W$5:$W$1204,Sales!$F$5:$F$1204,C110,Sales!$R$5:$R$1204,B110,Sales!$H$5:$H$1204,"Service"),2))</f>
        <v>0</v>
      </c>
      <c r="M110" s="26">
        <f>IF(B110="","",ROUND(SUMIFS(Sales!$Y$5:$Y$1204,Sales!$F$5:$F$1204,C110,Sales!$R$5:$R$1204,B110,Sales!$H$5:$H$1204,"Retail"),2))</f>
        <v>0</v>
      </c>
      <c r="N110" s="26">
        <f>IF(B110="","",ROUND(SUMIFS(Sales!$W$5:$W$1204,Sales!$F$5:$F$1204,C110,Sales!$R$5:$R$1204,B110,Sales!$H$5:$H$1204,"Retail"),2))</f>
        <v>0</v>
      </c>
      <c r="O110" s="26">
        <f>IF(B110="","",ROUND(SUMIFS(Sales!$AB$5:$AB$1204,Sales!$F$5:$F$1204,C110,Sales!$R$5:$R$1204,B110,Sales!$H$5:$H$1204,"Service"),2))</f>
        <v>0</v>
      </c>
      <c r="P110" s="25">
        <f>IF(B110="","",COUNTIFS(Sales!$F$5:$F$1204,C110,Sales!$R$5:$R$1204,B110,Sales!$H$5:$H$1204,"Service"))</f>
        <v>0</v>
      </c>
      <c r="Q110" s="26">
        <f>IF(B110="","",IF(CommissionOn="Gross before discounts",L110,K110))</f>
        <v>0</v>
      </c>
      <c r="R110" s="26">
        <f>IF(B110="","",IF(CommissionOn="Gross before discounts",N110,M110))</f>
        <v>0</v>
      </c>
      <c r="S110" s="27">
        <f>IF(B110="","",IF(E110="Tiered on monthly service revenue",IFERROR(INDEX(TierRate,MATCH(Q110,TierFrom,1)),0),IFERROR(IF(INDEX(Staff!$M$5:$M$44,MATCH(C110,Staff!$A$5:$A$44,0))="",ServiceCommission,INDEX(Staff!$M$5:$M$44,MATCH(C110,Staff!$A$5:$A$44,0))),ServiceCommission)))</f>
        <v>0</v>
      </c>
      <c r="T110" s="27">
        <f>IF(B110="","",IFERROR(IF(INDEX(Staff!$N$5:$N$44,MATCH(C110,Staff!$A$5:$A$44,0))="",RetailCommission,INDEX(Staff!$N$5:$N$44,MATCH(C110,Staff!$A$5:$A$44,0))),RetailCommission))</f>
        <v>0</v>
      </c>
      <c r="U110" s="26">
        <f>IF(B110="","",IFERROR(INDEX(Staff!$O$5:$O$44,MATCH(C110,Staff!$A$5:$A$44,0))*1,0))</f>
        <v>0</v>
      </c>
      <c r="V110" s="26">
        <f>IF(B110="","",ROUND(IF(E110="Percent of service",Q110*S110,IF(E110="Percent of service and retail",Q110*S110+R110*T110,IF(E110="Percent after product cost",MAX(0,Q110-O110)*S110,IF(E110="Tiered on monthly service revenue",Q110*S110,IF(E110="Flat amount per service",P110*U110,0))))),2))</f>
        <v>0</v>
      </c>
      <c r="W110" s="26">
        <f>IF(B110="","",ROUND(SUMIFS(Payments!$G$5:$G$1204,Payments!$J$5:$J$1204,C110,Payments!$O$5:$O$1204,B110,Payments!$E$5:$E$1204,"Tip"),2))</f>
        <v>0</v>
      </c>
      <c r="X110" s="26">
        <f>IF(B110="","",ROUND(V110+IF(F110="",0,F110)+IF(G110="",0,G110),2))</f>
        <v>0</v>
      </c>
      <c r="Y110" s="27">
        <f>IF(B110="","",IF(Q110+R110=0,"",X110/(Q110+R110)))</f>
        <v>0</v>
      </c>
      <c r="Z110" s="25">
        <f>IF(B110="","",COUNTIFS($V$5:$V$244,"&gt;"&amp;V110)+COUNTIFS($V$5:V110,V110))</f>
        <v>0</v>
      </c>
      <c r="AA110" s="39">
        <f>IF(B110="","",IF(C110="","Add - whose commission is this?",IF(COUNTIFS($B$5:$B$244,B110,$C$5:$C$244,C110)&gt;1,"Duplicate - two rows for the same month",IF(E110="None","",IF(E110="Rent a chair","",IF(E110="Hourly only","",IF(X110=0,"Check - nothing calculated",IF(H110&lt;&gt;"Yes","Due - waiting for approval",IF(I110="","Due - approved but not paid","OK")))))))))</f>
        <v>0</v>
      </c>
    </row>
    <row r="111" spans="1:27">
      <c r="A111" s="28">
        <f>IF(B111="","",CommissionPrefix&amp;TEXT(ROW()-4,"0000"))</f>
        <v>0</v>
      </c>
      <c r="D111" s="15">
        <f>IF(C111="","",IFERROR(INDEX(Staff!$B$5:$B$44,MATCH(C111,Staff!$A$5:$A$44,0)),"Not in Staff"))</f>
        <v>0</v>
      </c>
      <c r="E111" s="15">
        <f>IF(C111="","",IFERROR(INDEX(Staff!$L$5:$L$44,MATCH(C111,Staff!$A$5:$A$44,0)),"None"))</f>
        <v>0</v>
      </c>
      <c r="K111" s="26">
        <f>IF(B111="","",ROUND(SUMIFS(Sales!$Y$5:$Y$1204,Sales!$F$5:$F$1204,C111,Sales!$R$5:$R$1204,B111,Sales!$H$5:$H$1204,"Service"),2))</f>
        <v>0</v>
      </c>
      <c r="L111" s="26">
        <f>IF(B111="","",ROUND(SUMIFS(Sales!$W$5:$W$1204,Sales!$F$5:$F$1204,C111,Sales!$R$5:$R$1204,B111,Sales!$H$5:$H$1204,"Service"),2))</f>
        <v>0</v>
      </c>
      <c r="M111" s="26">
        <f>IF(B111="","",ROUND(SUMIFS(Sales!$Y$5:$Y$1204,Sales!$F$5:$F$1204,C111,Sales!$R$5:$R$1204,B111,Sales!$H$5:$H$1204,"Retail"),2))</f>
        <v>0</v>
      </c>
      <c r="N111" s="26">
        <f>IF(B111="","",ROUND(SUMIFS(Sales!$W$5:$W$1204,Sales!$F$5:$F$1204,C111,Sales!$R$5:$R$1204,B111,Sales!$H$5:$H$1204,"Retail"),2))</f>
        <v>0</v>
      </c>
      <c r="O111" s="26">
        <f>IF(B111="","",ROUND(SUMIFS(Sales!$AB$5:$AB$1204,Sales!$F$5:$F$1204,C111,Sales!$R$5:$R$1204,B111,Sales!$H$5:$H$1204,"Service"),2))</f>
        <v>0</v>
      </c>
      <c r="P111" s="25">
        <f>IF(B111="","",COUNTIFS(Sales!$F$5:$F$1204,C111,Sales!$R$5:$R$1204,B111,Sales!$H$5:$H$1204,"Service"))</f>
        <v>0</v>
      </c>
      <c r="Q111" s="26">
        <f>IF(B111="","",IF(CommissionOn="Gross before discounts",L111,K111))</f>
        <v>0</v>
      </c>
      <c r="R111" s="26">
        <f>IF(B111="","",IF(CommissionOn="Gross before discounts",N111,M111))</f>
        <v>0</v>
      </c>
      <c r="S111" s="27">
        <f>IF(B111="","",IF(E111="Tiered on monthly service revenue",IFERROR(INDEX(TierRate,MATCH(Q111,TierFrom,1)),0),IFERROR(IF(INDEX(Staff!$M$5:$M$44,MATCH(C111,Staff!$A$5:$A$44,0))="",ServiceCommission,INDEX(Staff!$M$5:$M$44,MATCH(C111,Staff!$A$5:$A$44,0))),ServiceCommission)))</f>
        <v>0</v>
      </c>
      <c r="T111" s="27">
        <f>IF(B111="","",IFERROR(IF(INDEX(Staff!$N$5:$N$44,MATCH(C111,Staff!$A$5:$A$44,0))="",RetailCommission,INDEX(Staff!$N$5:$N$44,MATCH(C111,Staff!$A$5:$A$44,0))),RetailCommission))</f>
        <v>0</v>
      </c>
      <c r="U111" s="26">
        <f>IF(B111="","",IFERROR(INDEX(Staff!$O$5:$O$44,MATCH(C111,Staff!$A$5:$A$44,0))*1,0))</f>
        <v>0</v>
      </c>
      <c r="V111" s="26">
        <f>IF(B111="","",ROUND(IF(E111="Percent of service",Q111*S111,IF(E111="Percent of service and retail",Q111*S111+R111*T111,IF(E111="Percent after product cost",MAX(0,Q111-O111)*S111,IF(E111="Tiered on monthly service revenue",Q111*S111,IF(E111="Flat amount per service",P111*U111,0))))),2))</f>
        <v>0</v>
      </c>
      <c r="W111" s="26">
        <f>IF(B111="","",ROUND(SUMIFS(Payments!$G$5:$G$1204,Payments!$J$5:$J$1204,C111,Payments!$O$5:$O$1204,B111,Payments!$E$5:$E$1204,"Tip"),2))</f>
        <v>0</v>
      </c>
      <c r="X111" s="26">
        <f>IF(B111="","",ROUND(V111+IF(F111="",0,F111)+IF(G111="",0,G111),2))</f>
        <v>0</v>
      </c>
      <c r="Y111" s="27">
        <f>IF(B111="","",IF(Q111+R111=0,"",X111/(Q111+R111)))</f>
        <v>0</v>
      </c>
      <c r="Z111" s="25">
        <f>IF(B111="","",COUNTIFS($V$5:$V$244,"&gt;"&amp;V111)+COUNTIFS($V$5:V111,V111))</f>
        <v>0</v>
      </c>
      <c r="AA111" s="39">
        <f>IF(B111="","",IF(C111="","Add - whose commission is this?",IF(COUNTIFS($B$5:$B$244,B111,$C$5:$C$244,C111)&gt;1,"Duplicate - two rows for the same month",IF(E111="None","",IF(E111="Rent a chair","",IF(E111="Hourly only","",IF(X111=0,"Check - nothing calculated",IF(H111&lt;&gt;"Yes","Due - waiting for approval",IF(I111="","Due - approved but not paid","OK")))))))))</f>
        <v>0</v>
      </c>
    </row>
    <row r="112" spans="1:27">
      <c r="A112" s="28">
        <f>IF(B112="","",CommissionPrefix&amp;TEXT(ROW()-4,"0000"))</f>
        <v>0</v>
      </c>
      <c r="D112" s="15">
        <f>IF(C112="","",IFERROR(INDEX(Staff!$B$5:$B$44,MATCH(C112,Staff!$A$5:$A$44,0)),"Not in Staff"))</f>
        <v>0</v>
      </c>
      <c r="E112" s="15">
        <f>IF(C112="","",IFERROR(INDEX(Staff!$L$5:$L$44,MATCH(C112,Staff!$A$5:$A$44,0)),"None"))</f>
        <v>0</v>
      </c>
      <c r="K112" s="26">
        <f>IF(B112="","",ROUND(SUMIFS(Sales!$Y$5:$Y$1204,Sales!$F$5:$F$1204,C112,Sales!$R$5:$R$1204,B112,Sales!$H$5:$H$1204,"Service"),2))</f>
        <v>0</v>
      </c>
      <c r="L112" s="26">
        <f>IF(B112="","",ROUND(SUMIFS(Sales!$W$5:$W$1204,Sales!$F$5:$F$1204,C112,Sales!$R$5:$R$1204,B112,Sales!$H$5:$H$1204,"Service"),2))</f>
        <v>0</v>
      </c>
      <c r="M112" s="26">
        <f>IF(B112="","",ROUND(SUMIFS(Sales!$Y$5:$Y$1204,Sales!$F$5:$F$1204,C112,Sales!$R$5:$R$1204,B112,Sales!$H$5:$H$1204,"Retail"),2))</f>
        <v>0</v>
      </c>
      <c r="N112" s="26">
        <f>IF(B112="","",ROUND(SUMIFS(Sales!$W$5:$W$1204,Sales!$F$5:$F$1204,C112,Sales!$R$5:$R$1204,B112,Sales!$H$5:$H$1204,"Retail"),2))</f>
        <v>0</v>
      </c>
      <c r="O112" s="26">
        <f>IF(B112="","",ROUND(SUMIFS(Sales!$AB$5:$AB$1204,Sales!$F$5:$F$1204,C112,Sales!$R$5:$R$1204,B112,Sales!$H$5:$H$1204,"Service"),2))</f>
        <v>0</v>
      </c>
      <c r="P112" s="25">
        <f>IF(B112="","",COUNTIFS(Sales!$F$5:$F$1204,C112,Sales!$R$5:$R$1204,B112,Sales!$H$5:$H$1204,"Service"))</f>
        <v>0</v>
      </c>
      <c r="Q112" s="26">
        <f>IF(B112="","",IF(CommissionOn="Gross before discounts",L112,K112))</f>
        <v>0</v>
      </c>
      <c r="R112" s="26">
        <f>IF(B112="","",IF(CommissionOn="Gross before discounts",N112,M112))</f>
        <v>0</v>
      </c>
      <c r="S112" s="27">
        <f>IF(B112="","",IF(E112="Tiered on monthly service revenue",IFERROR(INDEX(TierRate,MATCH(Q112,TierFrom,1)),0),IFERROR(IF(INDEX(Staff!$M$5:$M$44,MATCH(C112,Staff!$A$5:$A$44,0))="",ServiceCommission,INDEX(Staff!$M$5:$M$44,MATCH(C112,Staff!$A$5:$A$44,0))),ServiceCommission)))</f>
        <v>0</v>
      </c>
      <c r="T112" s="27">
        <f>IF(B112="","",IFERROR(IF(INDEX(Staff!$N$5:$N$44,MATCH(C112,Staff!$A$5:$A$44,0))="",RetailCommission,INDEX(Staff!$N$5:$N$44,MATCH(C112,Staff!$A$5:$A$44,0))),RetailCommission))</f>
        <v>0</v>
      </c>
      <c r="U112" s="26">
        <f>IF(B112="","",IFERROR(INDEX(Staff!$O$5:$O$44,MATCH(C112,Staff!$A$5:$A$44,0))*1,0))</f>
        <v>0</v>
      </c>
      <c r="V112" s="26">
        <f>IF(B112="","",ROUND(IF(E112="Percent of service",Q112*S112,IF(E112="Percent of service and retail",Q112*S112+R112*T112,IF(E112="Percent after product cost",MAX(0,Q112-O112)*S112,IF(E112="Tiered on monthly service revenue",Q112*S112,IF(E112="Flat amount per service",P112*U112,0))))),2))</f>
        <v>0</v>
      </c>
      <c r="W112" s="26">
        <f>IF(B112="","",ROUND(SUMIFS(Payments!$G$5:$G$1204,Payments!$J$5:$J$1204,C112,Payments!$O$5:$O$1204,B112,Payments!$E$5:$E$1204,"Tip"),2))</f>
        <v>0</v>
      </c>
      <c r="X112" s="26">
        <f>IF(B112="","",ROUND(V112+IF(F112="",0,F112)+IF(G112="",0,G112),2))</f>
        <v>0</v>
      </c>
      <c r="Y112" s="27">
        <f>IF(B112="","",IF(Q112+R112=0,"",X112/(Q112+R112)))</f>
        <v>0</v>
      </c>
      <c r="Z112" s="25">
        <f>IF(B112="","",COUNTIFS($V$5:$V$244,"&gt;"&amp;V112)+COUNTIFS($V$5:V112,V112))</f>
        <v>0</v>
      </c>
      <c r="AA112" s="39">
        <f>IF(B112="","",IF(C112="","Add - whose commission is this?",IF(COUNTIFS($B$5:$B$244,B112,$C$5:$C$244,C112)&gt;1,"Duplicate - two rows for the same month",IF(E112="None","",IF(E112="Rent a chair","",IF(E112="Hourly only","",IF(X112=0,"Check - nothing calculated",IF(H112&lt;&gt;"Yes","Due - waiting for approval",IF(I112="","Due - approved but not paid","OK")))))))))</f>
        <v>0</v>
      </c>
    </row>
    <row r="113" spans="1:27">
      <c r="A113" s="28">
        <f>IF(B113="","",CommissionPrefix&amp;TEXT(ROW()-4,"0000"))</f>
        <v>0</v>
      </c>
      <c r="D113" s="15">
        <f>IF(C113="","",IFERROR(INDEX(Staff!$B$5:$B$44,MATCH(C113,Staff!$A$5:$A$44,0)),"Not in Staff"))</f>
        <v>0</v>
      </c>
      <c r="E113" s="15">
        <f>IF(C113="","",IFERROR(INDEX(Staff!$L$5:$L$44,MATCH(C113,Staff!$A$5:$A$44,0)),"None"))</f>
        <v>0</v>
      </c>
      <c r="K113" s="26">
        <f>IF(B113="","",ROUND(SUMIFS(Sales!$Y$5:$Y$1204,Sales!$F$5:$F$1204,C113,Sales!$R$5:$R$1204,B113,Sales!$H$5:$H$1204,"Service"),2))</f>
        <v>0</v>
      </c>
      <c r="L113" s="26">
        <f>IF(B113="","",ROUND(SUMIFS(Sales!$W$5:$W$1204,Sales!$F$5:$F$1204,C113,Sales!$R$5:$R$1204,B113,Sales!$H$5:$H$1204,"Service"),2))</f>
        <v>0</v>
      </c>
      <c r="M113" s="26">
        <f>IF(B113="","",ROUND(SUMIFS(Sales!$Y$5:$Y$1204,Sales!$F$5:$F$1204,C113,Sales!$R$5:$R$1204,B113,Sales!$H$5:$H$1204,"Retail"),2))</f>
        <v>0</v>
      </c>
      <c r="N113" s="26">
        <f>IF(B113="","",ROUND(SUMIFS(Sales!$W$5:$W$1204,Sales!$F$5:$F$1204,C113,Sales!$R$5:$R$1204,B113,Sales!$H$5:$H$1204,"Retail"),2))</f>
        <v>0</v>
      </c>
      <c r="O113" s="26">
        <f>IF(B113="","",ROUND(SUMIFS(Sales!$AB$5:$AB$1204,Sales!$F$5:$F$1204,C113,Sales!$R$5:$R$1204,B113,Sales!$H$5:$H$1204,"Service"),2))</f>
        <v>0</v>
      </c>
      <c r="P113" s="25">
        <f>IF(B113="","",COUNTIFS(Sales!$F$5:$F$1204,C113,Sales!$R$5:$R$1204,B113,Sales!$H$5:$H$1204,"Service"))</f>
        <v>0</v>
      </c>
      <c r="Q113" s="26">
        <f>IF(B113="","",IF(CommissionOn="Gross before discounts",L113,K113))</f>
        <v>0</v>
      </c>
      <c r="R113" s="26">
        <f>IF(B113="","",IF(CommissionOn="Gross before discounts",N113,M113))</f>
        <v>0</v>
      </c>
      <c r="S113" s="27">
        <f>IF(B113="","",IF(E113="Tiered on monthly service revenue",IFERROR(INDEX(TierRate,MATCH(Q113,TierFrom,1)),0),IFERROR(IF(INDEX(Staff!$M$5:$M$44,MATCH(C113,Staff!$A$5:$A$44,0))="",ServiceCommission,INDEX(Staff!$M$5:$M$44,MATCH(C113,Staff!$A$5:$A$44,0))),ServiceCommission)))</f>
        <v>0</v>
      </c>
      <c r="T113" s="27">
        <f>IF(B113="","",IFERROR(IF(INDEX(Staff!$N$5:$N$44,MATCH(C113,Staff!$A$5:$A$44,0))="",RetailCommission,INDEX(Staff!$N$5:$N$44,MATCH(C113,Staff!$A$5:$A$44,0))),RetailCommission))</f>
        <v>0</v>
      </c>
      <c r="U113" s="26">
        <f>IF(B113="","",IFERROR(INDEX(Staff!$O$5:$O$44,MATCH(C113,Staff!$A$5:$A$44,0))*1,0))</f>
        <v>0</v>
      </c>
      <c r="V113" s="26">
        <f>IF(B113="","",ROUND(IF(E113="Percent of service",Q113*S113,IF(E113="Percent of service and retail",Q113*S113+R113*T113,IF(E113="Percent after product cost",MAX(0,Q113-O113)*S113,IF(E113="Tiered on monthly service revenue",Q113*S113,IF(E113="Flat amount per service",P113*U113,0))))),2))</f>
        <v>0</v>
      </c>
      <c r="W113" s="26">
        <f>IF(B113="","",ROUND(SUMIFS(Payments!$G$5:$G$1204,Payments!$J$5:$J$1204,C113,Payments!$O$5:$O$1204,B113,Payments!$E$5:$E$1204,"Tip"),2))</f>
        <v>0</v>
      </c>
      <c r="X113" s="26">
        <f>IF(B113="","",ROUND(V113+IF(F113="",0,F113)+IF(G113="",0,G113),2))</f>
        <v>0</v>
      </c>
      <c r="Y113" s="27">
        <f>IF(B113="","",IF(Q113+R113=0,"",X113/(Q113+R113)))</f>
        <v>0</v>
      </c>
      <c r="Z113" s="25">
        <f>IF(B113="","",COUNTIFS($V$5:$V$244,"&gt;"&amp;V113)+COUNTIFS($V$5:V113,V113))</f>
        <v>0</v>
      </c>
      <c r="AA113" s="39">
        <f>IF(B113="","",IF(C113="","Add - whose commission is this?",IF(COUNTIFS($B$5:$B$244,B113,$C$5:$C$244,C113)&gt;1,"Duplicate - two rows for the same month",IF(E113="None","",IF(E113="Rent a chair","",IF(E113="Hourly only","",IF(X113=0,"Check - nothing calculated",IF(H113&lt;&gt;"Yes","Due - waiting for approval",IF(I113="","Due - approved but not paid","OK")))))))))</f>
        <v>0</v>
      </c>
    </row>
    <row r="114" spans="1:27">
      <c r="A114" s="28">
        <f>IF(B114="","",CommissionPrefix&amp;TEXT(ROW()-4,"0000"))</f>
        <v>0</v>
      </c>
      <c r="D114" s="15">
        <f>IF(C114="","",IFERROR(INDEX(Staff!$B$5:$B$44,MATCH(C114,Staff!$A$5:$A$44,0)),"Not in Staff"))</f>
        <v>0</v>
      </c>
      <c r="E114" s="15">
        <f>IF(C114="","",IFERROR(INDEX(Staff!$L$5:$L$44,MATCH(C114,Staff!$A$5:$A$44,0)),"None"))</f>
        <v>0</v>
      </c>
      <c r="K114" s="26">
        <f>IF(B114="","",ROUND(SUMIFS(Sales!$Y$5:$Y$1204,Sales!$F$5:$F$1204,C114,Sales!$R$5:$R$1204,B114,Sales!$H$5:$H$1204,"Service"),2))</f>
        <v>0</v>
      </c>
      <c r="L114" s="26">
        <f>IF(B114="","",ROUND(SUMIFS(Sales!$W$5:$W$1204,Sales!$F$5:$F$1204,C114,Sales!$R$5:$R$1204,B114,Sales!$H$5:$H$1204,"Service"),2))</f>
        <v>0</v>
      </c>
      <c r="M114" s="26">
        <f>IF(B114="","",ROUND(SUMIFS(Sales!$Y$5:$Y$1204,Sales!$F$5:$F$1204,C114,Sales!$R$5:$R$1204,B114,Sales!$H$5:$H$1204,"Retail"),2))</f>
        <v>0</v>
      </c>
      <c r="N114" s="26">
        <f>IF(B114="","",ROUND(SUMIFS(Sales!$W$5:$W$1204,Sales!$F$5:$F$1204,C114,Sales!$R$5:$R$1204,B114,Sales!$H$5:$H$1204,"Retail"),2))</f>
        <v>0</v>
      </c>
      <c r="O114" s="26">
        <f>IF(B114="","",ROUND(SUMIFS(Sales!$AB$5:$AB$1204,Sales!$F$5:$F$1204,C114,Sales!$R$5:$R$1204,B114,Sales!$H$5:$H$1204,"Service"),2))</f>
        <v>0</v>
      </c>
      <c r="P114" s="25">
        <f>IF(B114="","",COUNTIFS(Sales!$F$5:$F$1204,C114,Sales!$R$5:$R$1204,B114,Sales!$H$5:$H$1204,"Service"))</f>
        <v>0</v>
      </c>
      <c r="Q114" s="26">
        <f>IF(B114="","",IF(CommissionOn="Gross before discounts",L114,K114))</f>
        <v>0</v>
      </c>
      <c r="R114" s="26">
        <f>IF(B114="","",IF(CommissionOn="Gross before discounts",N114,M114))</f>
        <v>0</v>
      </c>
      <c r="S114" s="27">
        <f>IF(B114="","",IF(E114="Tiered on monthly service revenue",IFERROR(INDEX(TierRate,MATCH(Q114,TierFrom,1)),0),IFERROR(IF(INDEX(Staff!$M$5:$M$44,MATCH(C114,Staff!$A$5:$A$44,0))="",ServiceCommission,INDEX(Staff!$M$5:$M$44,MATCH(C114,Staff!$A$5:$A$44,0))),ServiceCommission)))</f>
        <v>0</v>
      </c>
      <c r="T114" s="27">
        <f>IF(B114="","",IFERROR(IF(INDEX(Staff!$N$5:$N$44,MATCH(C114,Staff!$A$5:$A$44,0))="",RetailCommission,INDEX(Staff!$N$5:$N$44,MATCH(C114,Staff!$A$5:$A$44,0))),RetailCommission))</f>
        <v>0</v>
      </c>
      <c r="U114" s="26">
        <f>IF(B114="","",IFERROR(INDEX(Staff!$O$5:$O$44,MATCH(C114,Staff!$A$5:$A$44,0))*1,0))</f>
        <v>0</v>
      </c>
      <c r="V114" s="26">
        <f>IF(B114="","",ROUND(IF(E114="Percent of service",Q114*S114,IF(E114="Percent of service and retail",Q114*S114+R114*T114,IF(E114="Percent after product cost",MAX(0,Q114-O114)*S114,IF(E114="Tiered on monthly service revenue",Q114*S114,IF(E114="Flat amount per service",P114*U114,0))))),2))</f>
        <v>0</v>
      </c>
      <c r="W114" s="26">
        <f>IF(B114="","",ROUND(SUMIFS(Payments!$G$5:$G$1204,Payments!$J$5:$J$1204,C114,Payments!$O$5:$O$1204,B114,Payments!$E$5:$E$1204,"Tip"),2))</f>
        <v>0</v>
      </c>
      <c r="X114" s="26">
        <f>IF(B114="","",ROUND(V114+IF(F114="",0,F114)+IF(G114="",0,G114),2))</f>
        <v>0</v>
      </c>
      <c r="Y114" s="27">
        <f>IF(B114="","",IF(Q114+R114=0,"",X114/(Q114+R114)))</f>
        <v>0</v>
      </c>
      <c r="Z114" s="25">
        <f>IF(B114="","",COUNTIFS($V$5:$V$244,"&gt;"&amp;V114)+COUNTIFS($V$5:V114,V114))</f>
        <v>0</v>
      </c>
      <c r="AA114" s="39">
        <f>IF(B114="","",IF(C114="","Add - whose commission is this?",IF(COUNTIFS($B$5:$B$244,B114,$C$5:$C$244,C114)&gt;1,"Duplicate - two rows for the same month",IF(E114="None","",IF(E114="Rent a chair","",IF(E114="Hourly only","",IF(X114=0,"Check - nothing calculated",IF(H114&lt;&gt;"Yes","Due - waiting for approval",IF(I114="","Due - approved but not paid","OK")))))))))</f>
        <v>0</v>
      </c>
    </row>
    <row r="115" spans="1:27">
      <c r="A115" s="28">
        <f>IF(B115="","",CommissionPrefix&amp;TEXT(ROW()-4,"0000"))</f>
        <v>0</v>
      </c>
      <c r="D115" s="15">
        <f>IF(C115="","",IFERROR(INDEX(Staff!$B$5:$B$44,MATCH(C115,Staff!$A$5:$A$44,0)),"Not in Staff"))</f>
        <v>0</v>
      </c>
      <c r="E115" s="15">
        <f>IF(C115="","",IFERROR(INDEX(Staff!$L$5:$L$44,MATCH(C115,Staff!$A$5:$A$44,0)),"None"))</f>
        <v>0</v>
      </c>
      <c r="K115" s="26">
        <f>IF(B115="","",ROUND(SUMIFS(Sales!$Y$5:$Y$1204,Sales!$F$5:$F$1204,C115,Sales!$R$5:$R$1204,B115,Sales!$H$5:$H$1204,"Service"),2))</f>
        <v>0</v>
      </c>
      <c r="L115" s="26">
        <f>IF(B115="","",ROUND(SUMIFS(Sales!$W$5:$W$1204,Sales!$F$5:$F$1204,C115,Sales!$R$5:$R$1204,B115,Sales!$H$5:$H$1204,"Service"),2))</f>
        <v>0</v>
      </c>
      <c r="M115" s="26">
        <f>IF(B115="","",ROUND(SUMIFS(Sales!$Y$5:$Y$1204,Sales!$F$5:$F$1204,C115,Sales!$R$5:$R$1204,B115,Sales!$H$5:$H$1204,"Retail"),2))</f>
        <v>0</v>
      </c>
      <c r="N115" s="26">
        <f>IF(B115="","",ROUND(SUMIFS(Sales!$W$5:$W$1204,Sales!$F$5:$F$1204,C115,Sales!$R$5:$R$1204,B115,Sales!$H$5:$H$1204,"Retail"),2))</f>
        <v>0</v>
      </c>
      <c r="O115" s="26">
        <f>IF(B115="","",ROUND(SUMIFS(Sales!$AB$5:$AB$1204,Sales!$F$5:$F$1204,C115,Sales!$R$5:$R$1204,B115,Sales!$H$5:$H$1204,"Service"),2))</f>
        <v>0</v>
      </c>
      <c r="P115" s="25">
        <f>IF(B115="","",COUNTIFS(Sales!$F$5:$F$1204,C115,Sales!$R$5:$R$1204,B115,Sales!$H$5:$H$1204,"Service"))</f>
        <v>0</v>
      </c>
      <c r="Q115" s="26">
        <f>IF(B115="","",IF(CommissionOn="Gross before discounts",L115,K115))</f>
        <v>0</v>
      </c>
      <c r="R115" s="26">
        <f>IF(B115="","",IF(CommissionOn="Gross before discounts",N115,M115))</f>
        <v>0</v>
      </c>
      <c r="S115" s="27">
        <f>IF(B115="","",IF(E115="Tiered on monthly service revenue",IFERROR(INDEX(TierRate,MATCH(Q115,TierFrom,1)),0),IFERROR(IF(INDEX(Staff!$M$5:$M$44,MATCH(C115,Staff!$A$5:$A$44,0))="",ServiceCommission,INDEX(Staff!$M$5:$M$44,MATCH(C115,Staff!$A$5:$A$44,0))),ServiceCommission)))</f>
        <v>0</v>
      </c>
      <c r="T115" s="27">
        <f>IF(B115="","",IFERROR(IF(INDEX(Staff!$N$5:$N$44,MATCH(C115,Staff!$A$5:$A$44,0))="",RetailCommission,INDEX(Staff!$N$5:$N$44,MATCH(C115,Staff!$A$5:$A$44,0))),RetailCommission))</f>
        <v>0</v>
      </c>
      <c r="U115" s="26">
        <f>IF(B115="","",IFERROR(INDEX(Staff!$O$5:$O$44,MATCH(C115,Staff!$A$5:$A$44,0))*1,0))</f>
        <v>0</v>
      </c>
      <c r="V115" s="26">
        <f>IF(B115="","",ROUND(IF(E115="Percent of service",Q115*S115,IF(E115="Percent of service and retail",Q115*S115+R115*T115,IF(E115="Percent after product cost",MAX(0,Q115-O115)*S115,IF(E115="Tiered on monthly service revenue",Q115*S115,IF(E115="Flat amount per service",P115*U115,0))))),2))</f>
        <v>0</v>
      </c>
      <c r="W115" s="26">
        <f>IF(B115="","",ROUND(SUMIFS(Payments!$G$5:$G$1204,Payments!$J$5:$J$1204,C115,Payments!$O$5:$O$1204,B115,Payments!$E$5:$E$1204,"Tip"),2))</f>
        <v>0</v>
      </c>
      <c r="X115" s="26">
        <f>IF(B115="","",ROUND(V115+IF(F115="",0,F115)+IF(G115="",0,G115),2))</f>
        <v>0</v>
      </c>
      <c r="Y115" s="27">
        <f>IF(B115="","",IF(Q115+R115=0,"",X115/(Q115+R115)))</f>
        <v>0</v>
      </c>
      <c r="Z115" s="25">
        <f>IF(B115="","",COUNTIFS($V$5:$V$244,"&gt;"&amp;V115)+COUNTIFS($V$5:V115,V115))</f>
        <v>0</v>
      </c>
      <c r="AA115" s="39">
        <f>IF(B115="","",IF(C115="","Add - whose commission is this?",IF(COUNTIFS($B$5:$B$244,B115,$C$5:$C$244,C115)&gt;1,"Duplicate - two rows for the same month",IF(E115="None","",IF(E115="Rent a chair","",IF(E115="Hourly only","",IF(X115=0,"Check - nothing calculated",IF(H115&lt;&gt;"Yes","Due - waiting for approval",IF(I115="","Due - approved but not paid","OK")))))))))</f>
        <v>0</v>
      </c>
    </row>
    <row r="116" spans="1:27">
      <c r="A116" s="28">
        <f>IF(B116="","",CommissionPrefix&amp;TEXT(ROW()-4,"0000"))</f>
        <v>0</v>
      </c>
      <c r="D116" s="15">
        <f>IF(C116="","",IFERROR(INDEX(Staff!$B$5:$B$44,MATCH(C116,Staff!$A$5:$A$44,0)),"Not in Staff"))</f>
        <v>0</v>
      </c>
      <c r="E116" s="15">
        <f>IF(C116="","",IFERROR(INDEX(Staff!$L$5:$L$44,MATCH(C116,Staff!$A$5:$A$44,0)),"None"))</f>
        <v>0</v>
      </c>
      <c r="K116" s="26">
        <f>IF(B116="","",ROUND(SUMIFS(Sales!$Y$5:$Y$1204,Sales!$F$5:$F$1204,C116,Sales!$R$5:$R$1204,B116,Sales!$H$5:$H$1204,"Service"),2))</f>
        <v>0</v>
      </c>
      <c r="L116" s="26">
        <f>IF(B116="","",ROUND(SUMIFS(Sales!$W$5:$W$1204,Sales!$F$5:$F$1204,C116,Sales!$R$5:$R$1204,B116,Sales!$H$5:$H$1204,"Service"),2))</f>
        <v>0</v>
      </c>
      <c r="M116" s="26">
        <f>IF(B116="","",ROUND(SUMIFS(Sales!$Y$5:$Y$1204,Sales!$F$5:$F$1204,C116,Sales!$R$5:$R$1204,B116,Sales!$H$5:$H$1204,"Retail"),2))</f>
        <v>0</v>
      </c>
      <c r="N116" s="26">
        <f>IF(B116="","",ROUND(SUMIFS(Sales!$W$5:$W$1204,Sales!$F$5:$F$1204,C116,Sales!$R$5:$R$1204,B116,Sales!$H$5:$H$1204,"Retail"),2))</f>
        <v>0</v>
      </c>
      <c r="O116" s="26">
        <f>IF(B116="","",ROUND(SUMIFS(Sales!$AB$5:$AB$1204,Sales!$F$5:$F$1204,C116,Sales!$R$5:$R$1204,B116,Sales!$H$5:$H$1204,"Service"),2))</f>
        <v>0</v>
      </c>
      <c r="P116" s="25">
        <f>IF(B116="","",COUNTIFS(Sales!$F$5:$F$1204,C116,Sales!$R$5:$R$1204,B116,Sales!$H$5:$H$1204,"Service"))</f>
        <v>0</v>
      </c>
      <c r="Q116" s="26">
        <f>IF(B116="","",IF(CommissionOn="Gross before discounts",L116,K116))</f>
        <v>0</v>
      </c>
      <c r="R116" s="26">
        <f>IF(B116="","",IF(CommissionOn="Gross before discounts",N116,M116))</f>
        <v>0</v>
      </c>
      <c r="S116" s="27">
        <f>IF(B116="","",IF(E116="Tiered on monthly service revenue",IFERROR(INDEX(TierRate,MATCH(Q116,TierFrom,1)),0),IFERROR(IF(INDEX(Staff!$M$5:$M$44,MATCH(C116,Staff!$A$5:$A$44,0))="",ServiceCommission,INDEX(Staff!$M$5:$M$44,MATCH(C116,Staff!$A$5:$A$44,0))),ServiceCommission)))</f>
        <v>0</v>
      </c>
      <c r="T116" s="27">
        <f>IF(B116="","",IFERROR(IF(INDEX(Staff!$N$5:$N$44,MATCH(C116,Staff!$A$5:$A$44,0))="",RetailCommission,INDEX(Staff!$N$5:$N$44,MATCH(C116,Staff!$A$5:$A$44,0))),RetailCommission))</f>
        <v>0</v>
      </c>
      <c r="U116" s="26">
        <f>IF(B116="","",IFERROR(INDEX(Staff!$O$5:$O$44,MATCH(C116,Staff!$A$5:$A$44,0))*1,0))</f>
        <v>0</v>
      </c>
      <c r="V116" s="26">
        <f>IF(B116="","",ROUND(IF(E116="Percent of service",Q116*S116,IF(E116="Percent of service and retail",Q116*S116+R116*T116,IF(E116="Percent after product cost",MAX(0,Q116-O116)*S116,IF(E116="Tiered on monthly service revenue",Q116*S116,IF(E116="Flat amount per service",P116*U116,0))))),2))</f>
        <v>0</v>
      </c>
      <c r="W116" s="26">
        <f>IF(B116="","",ROUND(SUMIFS(Payments!$G$5:$G$1204,Payments!$J$5:$J$1204,C116,Payments!$O$5:$O$1204,B116,Payments!$E$5:$E$1204,"Tip"),2))</f>
        <v>0</v>
      </c>
      <c r="X116" s="26">
        <f>IF(B116="","",ROUND(V116+IF(F116="",0,F116)+IF(G116="",0,G116),2))</f>
        <v>0</v>
      </c>
      <c r="Y116" s="27">
        <f>IF(B116="","",IF(Q116+R116=0,"",X116/(Q116+R116)))</f>
        <v>0</v>
      </c>
      <c r="Z116" s="25">
        <f>IF(B116="","",COUNTIFS($V$5:$V$244,"&gt;"&amp;V116)+COUNTIFS($V$5:V116,V116))</f>
        <v>0</v>
      </c>
      <c r="AA116" s="39">
        <f>IF(B116="","",IF(C116="","Add - whose commission is this?",IF(COUNTIFS($B$5:$B$244,B116,$C$5:$C$244,C116)&gt;1,"Duplicate - two rows for the same month",IF(E116="None","",IF(E116="Rent a chair","",IF(E116="Hourly only","",IF(X116=0,"Check - nothing calculated",IF(H116&lt;&gt;"Yes","Due - waiting for approval",IF(I116="","Due - approved but not paid","OK")))))))))</f>
        <v>0</v>
      </c>
    </row>
    <row r="117" spans="1:27">
      <c r="A117" s="28">
        <f>IF(B117="","",CommissionPrefix&amp;TEXT(ROW()-4,"0000"))</f>
        <v>0</v>
      </c>
      <c r="D117" s="15">
        <f>IF(C117="","",IFERROR(INDEX(Staff!$B$5:$B$44,MATCH(C117,Staff!$A$5:$A$44,0)),"Not in Staff"))</f>
        <v>0</v>
      </c>
      <c r="E117" s="15">
        <f>IF(C117="","",IFERROR(INDEX(Staff!$L$5:$L$44,MATCH(C117,Staff!$A$5:$A$44,0)),"None"))</f>
        <v>0</v>
      </c>
      <c r="K117" s="26">
        <f>IF(B117="","",ROUND(SUMIFS(Sales!$Y$5:$Y$1204,Sales!$F$5:$F$1204,C117,Sales!$R$5:$R$1204,B117,Sales!$H$5:$H$1204,"Service"),2))</f>
        <v>0</v>
      </c>
      <c r="L117" s="26">
        <f>IF(B117="","",ROUND(SUMIFS(Sales!$W$5:$W$1204,Sales!$F$5:$F$1204,C117,Sales!$R$5:$R$1204,B117,Sales!$H$5:$H$1204,"Service"),2))</f>
        <v>0</v>
      </c>
      <c r="M117" s="26">
        <f>IF(B117="","",ROUND(SUMIFS(Sales!$Y$5:$Y$1204,Sales!$F$5:$F$1204,C117,Sales!$R$5:$R$1204,B117,Sales!$H$5:$H$1204,"Retail"),2))</f>
        <v>0</v>
      </c>
      <c r="N117" s="26">
        <f>IF(B117="","",ROUND(SUMIFS(Sales!$W$5:$W$1204,Sales!$F$5:$F$1204,C117,Sales!$R$5:$R$1204,B117,Sales!$H$5:$H$1204,"Retail"),2))</f>
        <v>0</v>
      </c>
      <c r="O117" s="26">
        <f>IF(B117="","",ROUND(SUMIFS(Sales!$AB$5:$AB$1204,Sales!$F$5:$F$1204,C117,Sales!$R$5:$R$1204,B117,Sales!$H$5:$H$1204,"Service"),2))</f>
        <v>0</v>
      </c>
      <c r="P117" s="25">
        <f>IF(B117="","",COUNTIFS(Sales!$F$5:$F$1204,C117,Sales!$R$5:$R$1204,B117,Sales!$H$5:$H$1204,"Service"))</f>
        <v>0</v>
      </c>
      <c r="Q117" s="26">
        <f>IF(B117="","",IF(CommissionOn="Gross before discounts",L117,K117))</f>
        <v>0</v>
      </c>
      <c r="R117" s="26">
        <f>IF(B117="","",IF(CommissionOn="Gross before discounts",N117,M117))</f>
        <v>0</v>
      </c>
      <c r="S117" s="27">
        <f>IF(B117="","",IF(E117="Tiered on monthly service revenue",IFERROR(INDEX(TierRate,MATCH(Q117,TierFrom,1)),0),IFERROR(IF(INDEX(Staff!$M$5:$M$44,MATCH(C117,Staff!$A$5:$A$44,0))="",ServiceCommission,INDEX(Staff!$M$5:$M$44,MATCH(C117,Staff!$A$5:$A$44,0))),ServiceCommission)))</f>
        <v>0</v>
      </c>
      <c r="T117" s="27">
        <f>IF(B117="","",IFERROR(IF(INDEX(Staff!$N$5:$N$44,MATCH(C117,Staff!$A$5:$A$44,0))="",RetailCommission,INDEX(Staff!$N$5:$N$44,MATCH(C117,Staff!$A$5:$A$44,0))),RetailCommission))</f>
        <v>0</v>
      </c>
      <c r="U117" s="26">
        <f>IF(B117="","",IFERROR(INDEX(Staff!$O$5:$O$44,MATCH(C117,Staff!$A$5:$A$44,0))*1,0))</f>
        <v>0</v>
      </c>
      <c r="V117" s="26">
        <f>IF(B117="","",ROUND(IF(E117="Percent of service",Q117*S117,IF(E117="Percent of service and retail",Q117*S117+R117*T117,IF(E117="Percent after product cost",MAX(0,Q117-O117)*S117,IF(E117="Tiered on monthly service revenue",Q117*S117,IF(E117="Flat amount per service",P117*U117,0))))),2))</f>
        <v>0</v>
      </c>
      <c r="W117" s="26">
        <f>IF(B117="","",ROUND(SUMIFS(Payments!$G$5:$G$1204,Payments!$J$5:$J$1204,C117,Payments!$O$5:$O$1204,B117,Payments!$E$5:$E$1204,"Tip"),2))</f>
        <v>0</v>
      </c>
      <c r="X117" s="26">
        <f>IF(B117="","",ROUND(V117+IF(F117="",0,F117)+IF(G117="",0,G117),2))</f>
        <v>0</v>
      </c>
      <c r="Y117" s="27">
        <f>IF(B117="","",IF(Q117+R117=0,"",X117/(Q117+R117)))</f>
        <v>0</v>
      </c>
      <c r="Z117" s="25">
        <f>IF(B117="","",COUNTIFS($V$5:$V$244,"&gt;"&amp;V117)+COUNTIFS($V$5:V117,V117))</f>
        <v>0</v>
      </c>
      <c r="AA117" s="39">
        <f>IF(B117="","",IF(C117="","Add - whose commission is this?",IF(COUNTIFS($B$5:$B$244,B117,$C$5:$C$244,C117)&gt;1,"Duplicate - two rows for the same month",IF(E117="None","",IF(E117="Rent a chair","",IF(E117="Hourly only","",IF(X117=0,"Check - nothing calculated",IF(H117&lt;&gt;"Yes","Due - waiting for approval",IF(I117="","Due - approved but not paid","OK")))))))))</f>
        <v>0</v>
      </c>
    </row>
    <row r="118" spans="1:27">
      <c r="A118" s="28">
        <f>IF(B118="","",CommissionPrefix&amp;TEXT(ROW()-4,"0000"))</f>
        <v>0</v>
      </c>
      <c r="D118" s="15">
        <f>IF(C118="","",IFERROR(INDEX(Staff!$B$5:$B$44,MATCH(C118,Staff!$A$5:$A$44,0)),"Not in Staff"))</f>
        <v>0</v>
      </c>
      <c r="E118" s="15">
        <f>IF(C118="","",IFERROR(INDEX(Staff!$L$5:$L$44,MATCH(C118,Staff!$A$5:$A$44,0)),"None"))</f>
        <v>0</v>
      </c>
      <c r="K118" s="26">
        <f>IF(B118="","",ROUND(SUMIFS(Sales!$Y$5:$Y$1204,Sales!$F$5:$F$1204,C118,Sales!$R$5:$R$1204,B118,Sales!$H$5:$H$1204,"Service"),2))</f>
        <v>0</v>
      </c>
      <c r="L118" s="26">
        <f>IF(B118="","",ROUND(SUMIFS(Sales!$W$5:$W$1204,Sales!$F$5:$F$1204,C118,Sales!$R$5:$R$1204,B118,Sales!$H$5:$H$1204,"Service"),2))</f>
        <v>0</v>
      </c>
      <c r="M118" s="26">
        <f>IF(B118="","",ROUND(SUMIFS(Sales!$Y$5:$Y$1204,Sales!$F$5:$F$1204,C118,Sales!$R$5:$R$1204,B118,Sales!$H$5:$H$1204,"Retail"),2))</f>
        <v>0</v>
      </c>
      <c r="N118" s="26">
        <f>IF(B118="","",ROUND(SUMIFS(Sales!$W$5:$W$1204,Sales!$F$5:$F$1204,C118,Sales!$R$5:$R$1204,B118,Sales!$H$5:$H$1204,"Retail"),2))</f>
        <v>0</v>
      </c>
      <c r="O118" s="26">
        <f>IF(B118="","",ROUND(SUMIFS(Sales!$AB$5:$AB$1204,Sales!$F$5:$F$1204,C118,Sales!$R$5:$R$1204,B118,Sales!$H$5:$H$1204,"Service"),2))</f>
        <v>0</v>
      </c>
      <c r="P118" s="25">
        <f>IF(B118="","",COUNTIFS(Sales!$F$5:$F$1204,C118,Sales!$R$5:$R$1204,B118,Sales!$H$5:$H$1204,"Service"))</f>
        <v>0</v>
      </c>
      <c r="Q118" s="26">
        <f>IF(B118="","",IF(CommissionOn="Gross before discounts",L118,K118))</f>
        <v>0</v>
      </c>
      <c r="R118" s="26">
        <f>IF(B118="","",IF(CommissionOn="Gross before discounts",N118,M118))</f>
        <v>0</v>
      </c>
      <c r="S118" s="27">
        <f>IF(B118="","",IF(E118="Tiered on monthly service revenue",IFERROR(INDEX(TierRate,MATCH(Q118,TierFrom,1)),0),IFERROR(IF(INDEX(Staff!$M$5:$M$44,MATCH(C118,Staff!$A$5:$A$44,0))="",ServiceCommission,INDEX(Staff!$M$5:$M$44,MATCH(C118,Staff!$A$5:$A$44,0))),ServiceCommission)))</f>
        <v>0</v>
      </c>
      <c r="T118" s="27">
        <f>IF(B118="","",IFERROR(IF(INDEX(Staff!$N$5:$N$44,MATCH(C118,Staff!$A$5:$A$44,0))="",RetailCommission,INDEX(Staff!$N$5:$N$44,MATCH(C118,Staff!$A$5:$A$44,0))),RetailCommission))</f>
        <v>0</v>
      </c>
      <c r="U118" s="26">
        <f>IF(B118="","",IFERROR(INDEX(Staff!$O$5:$O$44,MATCH(C118,Staff!$A$5:$A$44,0))*1,0))</f>
        <v>0</v>
      </c>
      <c r="V118" s="26">
        <f>IF(B118="","",ROUND(IF(E118="Percent of service",Q118*S118,IF(E118="Percent of service and retail",Q118*S118+R118*T118,IF(E118="Percent after product cost",MAX(0,Q118-O118)*S118,IF(E118="Tiered on monthly service revenue",Q118*S118,IF(E118="Flat amount per service",P118*U118,0))))),2))</f>
        <v>0</v>
      </c>
      <c r="W118" s="26">
        <f>IF(B118="","",ROUND(SUMIFS(Payments!$G$5:$G$1204,Payments!$J$5:$J$1204,C118,Payments!$O$5:$O$1204,B118,Payments!$E$5:$E$1204,"Tip"),2))</f>
        <v>0</v>
      </c>
      <c r="X118" s="26">
        <f>IF(B118="","",ROUND(V118+IF(F118="",0,F118)+IF(G118="",0,G118),2))</f>
        <v>0</v>
      </c>
      <c r="Y118" s="27">
        <f>IF(B118="","",IF(Q118+R118=0,"",X118/(Q118+R118)))</f>
        <v>0</v>
      </c>
      <c r="Z118" s="25">
        <f>IF(B118="","",COUNTIFS($V$5:$V$244,"&gt;"&amp;V118)+COUNTIFS($V$5:V118,V118))</f>
        <v>0</v>
      </c>
      <c r="AA118" s="39">
        <f>IF(B118="","",IF(C118="","Add - whose commission is this?",IF(COUNTIFS($B$5:$B$244,B118,$C$5:$C$244,C118)&gt;1,"Duplicate - two rows for the same month",IF(E118="None","",IF(E118="Rent a chair","",IF(E118="Hourly only","",IF(X118=0,"Check - nothing calculated",IF(H118&lt;&gt;"Yes","Due - waiting for approval",IF(I118="","Due - approved but not paid","OK")))))))))</f>
        <v>0</v>
      </c>
    </row>
    <row r="119" spans="1:27">
      <c r="A119" s="28">
        <f>IF(B119="","",CommissionPrefix&amp;TEXT(ROW()-4,"0000"))</f>
        <v>0</v>
      </c>
      <c r="D119" s="15">
        <f>IF(C119="","",IFERROR(INDEX(Staff!$B$5:$B$44,MATCH(C119,Staff!$A$5:$A$44,0)),"Not in Staff"))</f>
        <v>0</v>
      </c>
      <c r="E119" s="15">
        <f>IF(C119="","",IFERROR(INDEX(Staff!$L$5:$L$44,MATCH(C119,Staff!$A$5:$A$44,0)),"None"))</f>
        <v>0</v>
      </c>
      <c r="K119" s="26">
        <f>IF(B119="","",ROUND(SUMIFS(Sales!$Y$5:$Y$1204,Sales!$F$5:$F$1204,C119,Sales!$R$5:$R$1204,B119,Sales!$H$5:$H$1204,"Service"),2))</f>
        <v>0</v>
      </c>
      <c r="L119" s="26">
        <f>IF(B119="","",ROUND(SUMIFS(Sales!$W$5:$W$1204,Sales!$F$5:$F$1204,C119,Sales!$R$5:$R$1204,B119,Sales!$H$5:$H$1204,"Service"),2))</f>
        <v>0</v>
      </c>
      <c r="M119" s="26">
        <f>IF(B119="","",ROUND(SUMIFS(Sales!$Y$5:$Y$1204,Sales!$F$5:$F$1204,C119,Sales!$R$5:$R$1204,B119,Sales!$H$5:$H$1204,"Retail"),2))</f>
        <v>0</v>
      </c>
      <c r="N119" s="26">
        <f>IF(B119="","",ROUND(SUMIFS(Sales!$W$5:$W$1204,Sales!$F$5:$F$1204,C119,Sales!$R$5:$R$1204,B119,Sales!$H$5:$H$1204,"Retail"),2))</f>
        <v>0</v>
      </c>
      <c r="O119" s="26">
        <f>IF(B119="","",ROUND(SUMIFS(Sales!$AB$5:$AB$1204,Sales!$F$5:$F$1204,C119,Sales!$R$5:$R$1204,B119,Sales!$H$5:$H$1204,"Service"),2))</f>
        <v>0</v>
      </c>
      <c r="P119" s="25">
        <f>IF(B119="","",COUNTIFS(Sales!$F$5:$F$1204,C119,Sales!$R$5:$R$1204,B119,Sales!$H$5:$H$1204,"Service"))</f>
        <v>0</v>
      </c>
      <c r="Q119" s="26">
        <f>IF(B119="","",IF(CommissionOn="Gross before discounts",L119,K119))</f>
        <v>0</v>
      </c>
      <c r="R119" s="26">
        <f>IF(B119="","",IF(CommissionOn="Gross before discounts",N119,M119))</f>
        <v>0</v>
      </c>
      <c r="S119" s="27">
        <f>IF(B119="","",IF(E119="Tiered on monthly service revenue",IFERROR(INDEX(TierRate,MATCH(Q119,TierFrom,1)),0),IFERROR(IF(INDEX(Staff!$M$5:$M$44,MATCH(C119,Staff!$A$5:$A$44,0))="",ServiceCommission,INDEX(Staff!$M$5:$M$44,MATCH(C119,Staff!$A$5:$A$44,0))),ServiceCommission)))</f>
        <v>0</v>
      </c>
      <c r="T119" s="27">
        <f>IF(B119="","",IFERROR(IF(INDEX(Staff!$N$5:$N$44,MATCH(C119,Staff!$A$5:$A$44,0))="",RetailCommission,INDEX(Staff!$N$5:$N$44,MATCH(C119,Staff!$A$5:$A$44,0))),RetailCommission))</f>
        <v>0</v>
      </c>
      <c r="U119" s="26">
        <f>IF(B119="","",IFERROR(INDEX(Staff!$O$5:$O$44,MATCH(C119,Staff!$A$5:$A$44,0))*1,0))</f>
        <v>0</v>
      </c>
      <c r="V119" s="26">
        <f>IF(B119="","",ROUND(IF(E119="Percent of service",Q119*S119,IF(E119="Percent of service and retail",Q119*S119+R119*T119,IF(E119="Percent after product cost",MAX(0,Q119-O119)*S119,IF(E119="Tiered on monthly service revenue",Q119*S119,IF(E119="Flat amount per service",P119*U119,0))))),2))</f>
        <v>0</v>
      </c>
      <c r="W119" s="26">
        <f>IF(B119="","",ROUND(SUMIFS(Payments!$G$5:$G$1204,Payments!$J$5:$J$1204,C119,Payments!$O$5:$O$1204,B119,Payments!$E$5:$E$1204,"Tip"),2))</f>
        <v>0</v>
      </c>
      <c r="X119" s="26">
        <f>IF(B119="","",ROUND(V119+IF(F119="",0,F119)+IF(G119="",0,G119),2))</f>
        <v>0</v>
      </c>
      <c r="Y119" s="27">
        <f>IF(B119="","",IF(Q119+R119=0,"",X119/(Q119+R119)))</f>
        <v>0</v>
      </c>
      <c r="Z119" s="25">
        <f>IF(B119="","",COUNTIFS($V$5:$V$244,"&gt;"&amp;V119)+COUNTIFS($V$5:V119,V119))</f>
        <v>0</v>
      </c>
      <c r="AA119" s="39">
        <f>IF(B119="","",IF(C119="","Add - whose commission is this?",IF(COUNTIFS($B$5:$B$244,B119,$C$5:$C$244,C119)&gt;1,"Duplicate - two rows for the same month",IF(E119="None","",IF(E119="Rent a chair","",IF(E119="Hourly only","",IF(X119=0,"Check - nothing calculated",IF(H119&lt;&gt;"Yes","Due - waiting for approval",IF(I119="","Due - approved but not paid","OK")))))))))</f>
        <v>0</v>
      </c>
    </row>
    <row r="120" spans="1:27">
      <c r="A120" s="28">
        <f>IF(B120="","",CommissionPrefix&amp;TEXT(ROW()-4,"0000"))</f>
        <v>0</v>
      </c>
      <c r="D120" s="15">
        <f>IF(C120="","",IFERROR(INDEX(Staff!$B$5:$B$44,MATCH(C120,Staff!$A$5:$A$44,0)),"Not in Staff"))</f>
        <v>0</v>
      </c>
      <c r="E120" s="15">
        <f>IF(C120="","",IFERROR(INDEX(Staff!$L$5:$L$44,MATCH(C120,Staff!$A$5:$A$44,0)),"None"))</f>
        <v>0</v>
      </c>
      <c r="K120" s="26">
        <f>IF(B120="","",ROUND(SUMIFS(Sales!$Y$5:$Y$1204,Sales!$F$5:$F$1204,C120,Sales!$R$5:$R$1204,B120,Sales!$H$5:$H$1204,"Service"),2))</f>
        <v>0</v>
      </c>
      <c r="L120" s="26">
        <f>IF(B120="","",ROUND(SUMIFS(Sales!$W$5:$W$1204,Sales!$F$5:$F$1204,C120,Sales!$R$5:$R$1204,B120,Sales!$H$5:$H$1204,"Service"),2))</f>
        <v>0</v>
      </c>
      <c r="M120" s="26">
        <f>IF(B120="","",ROUND(SUMIFS(Sales!$Y$5:$Y$1204,Sales!$F$5:$F$1204,C120,Sales!$R$5:$R$1204,B120,Sales!$H$5:$H$1204,"Retail"),2))</f>
        <v>0</v>
      </c>
      <c r="N120" s="26">
        <f>IF(B120="","",ROUND(SUMIFS(Sales!$W$5:$W$1204,Sales!$F$5:$F$1204,C120,Sales!$R$5:$R$1204,B120,Sales!$H$5:$H$1204,"Retail"),2))</f>
        <v>0</v>
      </c>
      <c r="O120" s="26">
        <f>IF(B120="","",ROUND(SUMIFS(Sales!$AB$5:$AB$1204,Sales!$F$5:$F$1204,C120,Sales!$R$5:$R$1204,B120,Sales!$H$5:$H$1204,"Service"),2))</f>
        <v>0</v>
      </c>
      <c r="P120" s="25">
        <f>IF(B120="","",COUNTIFS(Sales!$F$5:$F$1204,C120,Sales!$R$5:$R$1204,B120,Sales!$H$5:$H$1204,"Service"))</f>
        <v>0</v>
      </c>
      <c r="Q120" s="26">
        <f>IF(B120="","",IF(CommissionOn="Gross before discounts",L120,K120))</f>
        <v>0</v>
      </c>
      <c r="R120" s="26">
        <f>IF(B120="","",IF(CommissionOn="Gross before discounts",N120,M120))</f>
        <v>0</v>
      </c>
      <c r="S120" s="27">
        <f>IF(B120="","",IF(E120="Tiered on monthly service revenue",IFERROR(INDEX(TierRate,MATCH(Q120,TierFrom,1)),0),IFERROR(IF(INDEX(Staff!$M$5:$M$44,MATCH(C120,Staff!$A$5:$A$44,0))="",ServiceCommission,INDEX(Staff!$M$5:$M$44,MATCH(C120,Staff!$A$5:$A$44,0))),ServiceCommission)))</f>
        <v>0</v>
      </c>
      <c r="T120" s="27">
        <f>IF(B120="","",IFERROR(IF(INDEX(Staff!$N$5:$N$44,MATCH(C120,Staff!$A$5:$A$44,0))="",RetailCommission,INDEX(Staff!$N$5:$N$44,MATCH(C120,Staff!$A$5:$A$44,0))),RetailCommission))</f>
        <v>0</v>
      </c>
      <c r="U120" s="26">
        <f>IF(B120="","",IFERROR(INDEX(Staff!$O$5:$O$44,MATCH(C120,Staff!$A$5:$A$44,0))*1,0))</f>
        <v>0</v>
      </c>
      <c r="V120" s="26">
        <f>IF(B120="","",ROUND(IF(E120="Percent of service",Q120*S120,IF(E120="Percent of service and retail",Q120*S120+R120*T120,IF(E120="Percent after product cost",MAX(0,Q120-O120)*S120,IF(E120="Tiered on monthly service revenue",Q120*S120,IF(E120="Flat amount per service",P120*U120,0))))),2))</f>
        <v>0</v>
      </c>
      <c r="W120" s="26">
        <f>IF(B120="","",ROUND(SUMIFS(Payments!$G$5:$G$1204,Payments!$J$5:$J$1204,C120,Payments!$O$5:$O$1204,B120,Payments!$E$5:$E$1204,"Tip"),2))</f>
        <v>0</v>
      </c>
      <c r="X120" s="26">
        <f>IF(B120="","",ROUND(V120+IF(F120="",0,F120)+IF(G120="",0,G120),2))</f>
        <v>0</v>
      </c>
      <c r="Y120" s="27">
        <f>IF(B120="","",IF(Q120+R120=0,"",X120/(Q120+R120)))</f>
        <v>0</v>
      </c>
      <c r="Z120" s="25">
        <f>IF(B120="","",COUNTIFS($V$5:$V$244,"&gt;"&amp;V120)+COUNTIFS($V$5:V120,V120))</f>
        <v>0</v>
      </c>
      <c r="AA120" s="39">
        <f>IF(B120="","",IF(C120="","Add - whose commission is this?",IF(COUNTIFS($B$5:$B$244,B120,$C$5:$C$244,C120)&gt;1,"Duplicate - two rows for the same month",IF(E120="None","",IF(E120="Rent a chair","",IF(E120="Hourly only","",IF(X120=0,"Check - nothing calculated",IF(H120&lt;&gt;"Yes","Due - waiting for approval",IF(I120="","Due - approved but not paid","OK")))))))))</f>
        <v>0</v>
      </c>
    </row>
    <row r="121" spans="1:27">
      <c r="A121" s="28">
        <f>IF(B121="","",CommissionPrefix&amp;TEXT(ROW()-4,"0000"))</f>
        <v>0</v>
      </c>
      <c r="D121" s="15">
        <f>IF(C121="","",IFERROR(INDEX(Staff!$B$5:$B$44,MATCH(C121,Staff!$A$5:$A$44,0)),"Not in Staff"))</f>
        <v>0</v>
      </c>
      <c r="E121" s="15">
        <f>IF(C121="","",IFERROR(INDEX(Staff!$L$5:$L$44,MATCH(C121,Staff!$A$5:$A$44,0)),"None"))</f>
        <v>0</v>
      </c>
      <c r="K121" s="26">
        <f>IF(B121="","",ROUND(SUMIFS(Sales!$Y$5:$Y$1204,Sales!$F$5:$F$1204,C121,Sales!$R$5:$R$1204,B121,Sales!$H$5:$H$1204,"Service"),2))</f>
        <v>0</v>
      </c>
      <c r="L121" s="26">
        <f>IF(B121="","",ROUND(SUMIFS(Sales!$W$5:$W$1204,Sales!$F$5:$F$1204,C121,Sales!$R$5:$R$1204,B121,Sales!$H$5:$H$1204,"Service"),2))</f>
        <v>0</v>
      </c>
      <c r="M121" s="26">
        <f>IF(B121="","",ROUND(SUMIFS(Sales!$Y$5:$Y$1204,Sales!$F$5:$F$1204,C121,Sales!$R$5:$R$1204,B121,Sales!$H$5:$H$1204,"Retail"),2))</f>
        <v>0</v>
      </c>
      <c r="N121" s="26">
        <f>IF(B121="","",ROUND(SUMIFS(Sales!$W$5:$W$1204,Sales!$F$5:$F$1204,C121,Sales!$R$5:$R$1204,B121,Sales!$H$5:$H$1204,"Retail"),2))</f>
        <v>0</v>
      </c>
      <c r="O121" s="26">
        <f>IF(B121="","",ROUND(SUMIFS(Sales!$AB$5:$AB$1204,Sales!$F$5:$F$1204,C121,Sales!$R$5:$R$1204,B121,Sales!$H$5:$H$1204,"Service"),2))</f>
        <v>0</v>
      </c>
      <c r="P121" s="25">
        <f>IF(B121="","",COUNTIFS(Sales!$F$5:$F$1204,C121,Sales!$R$5:$R$1204,B121,Sales!$H$5:$H$1204,"Service"))</f>
        <v>0</v>
      </c>
      <c r="Q121" s="26">
        <f>IF(B121="","",IF(CommissionOn="Gross before discounts",L121,K121))</f>
        <v>0</v>
      </c>
      <c r="R121" s="26">
        <f>IF(B121="","",IF(CommissionOn="Gross before discounts",N121,M121))</f>
        <v>0</v>
      </c>
      <c r="S121" s="27">
        <f>IF(B121="","",IF(E121="Tiered on monthly service revenue",IFERROR(INDEX(TierRate,MATCH(Q121,TierFrom,1)),0),IFERROR(IF(INDEX(Staff!$M$5:$M$44,MATCH(C121,Staff!$A$5:$A$44,0))="",ServiceCommission,INDEX(Staff!$M$5:$M$44,MATCH(C121,Staff!$A$5:$A$44,0))),ServiceCommission)))</f>
        <v>0</v>
      </c>
      <c r="T121" s="27">
        <f>IF(B121="","",IFERROR(IF(INDEX(Staff!$N$5:$N$44,MATCH(C121,Staff!$A$5:$A$44,0))="",RetailCommission,INDEX(Staff!$N$5:$N$44,MATCH(C121,Staff!$A$5:$A$44,0))),RetailCommission))</f>
        <v>0</v>
      </c>
      <c r="U121" s="26">
        <f>IF(B121="","",IFERROR(INDEX(Staff!$O$5:$O$44,MATCH(C121,Staff!$A$5:$A$44,0))*1,0))</f>
        <v>0</v>
      </c>
      <c r="V121" s="26">
        <f>IF(B121="","",ROUND(IF(E121="Percent of service",Q121*S121,IF(E121="Percent of service and retail",Q121*S121+R121*T121,IF(E121="Percent after product cost",MAX(0,Q121-O121)*S121,IF(E121="Tiered on monthly service revenue",Q121*S121,IF(E121="Flat amount per service",P121*U121,0))))),2))</f>
        <v>0</v>
      </c>
      <c r="W121" s="26">
        <f>IF(B121="","",ROUND(SUMIFS(Payments!$G$5:$G$1204,Payments!$J$5:$J$1204,C121,Payments!$O$5:$O$1204,B121,Payments!$E$5:$E$1204,"Tip"),2))</f>
        <v>0</v>
      </c>
      <c r="X121" s="26">
        <f>IF(B121="","",ROUND(V121+IF(F121="",0,F121)+IF(G121="",0,G121),2))</f>
        <v>0</v>
      </c>
      <c r="Y121" s="27">
        <f>IF(B121="","",IF(Q121+R121=0,"",X121/(Q121+R121)))</f>
        <v>0</v>
      </c>
      <c r="Z121" s="25">
        <f>IF(B121="","",COUNTIFS($V$5:$V$244,"&gt;"&amp;V121)+COUNTIFS($V$5:V121,V121))</f>
        <v>0</v>
      </c>
      <c r="AA121" s="39">
        <f>IF(B121="","",IF(C121="","Add - whose commission is this?",IF(COUNTIFS($B$5:$B$244,B121,$C$5:$C$244,C121)&gt;1,"Duplicate - two rows for the same month",IF(E121="None","",IF(E121="Rent a chair","",IF(E121="Hourly only","",IF(X121=0,"Check - nothing calculated",IF(H121&lt;&gt;"Yes","Due - waiting for approval",IF(I121="","Due - approved but not paid","OK")))))))))</f>
        <v>0</v>
      </c>
    </row>
    <row r="122" spans="1:27">
      <c r="A122" s="28">
        <f>IF(B122="","",CommissionPrefix&amp;TEXT(ROW()-4,"0000"))</f>
        <v>0</v>
      </c>
      <c r="D122" s="15">
        <f>IF(C122="","",IFERROR(INDEX(Staff!$B$5:$B$44,MATCH(C122,Staff!$A$5:$A$44,0)),"Not in Staff"))</f>
        <v>0</v>
      </c>
      <c r="E122" s="15">
        <f>IF(C122="","",IFERROR(INDEX(Staff!$L$5:$L$44,MATCH(C122,Staff!$A$5:$A$44,0)),"None"))</f>
        <v>0</v>
      </c>
      <c r="K122" s="26">
        <f>IF(B122="","",ROUND(SUMIFS(Sales!$Y$5:$Y$1204,Sales!$F$5:$F$1204,C122,Sales!$R$5:$R$1204,B122,Sales!$H$5:$H$1204,"Service"),2))</f>
        <v>0</v>
      </c>
      <c r="L122" s="26">
        <f>IF(B122="","",ROUND(SUMIFS(Sales!$W$5:$W$1204,Sales!$F$5:$F$1204,C122,Sales!$R$5:$R$1204,B122,Sales!$H$5:$H$1204,"Service"),2))</f>
        <v>0</v>
      </c>
      <c r="M122" s="26">
        <f>IF(B122="","",ROUND(SUMIFS(Sales!$Y$5:$Y$1204,Sales!$F$5:$F$1204,C122,Sales!$R$5:$R$1204,B122,Sales!$H$5:$H$1204,"Retail"),2))</f>
        <v>0</v>
      </c>
      <c r="N122" s="26">
        <f>IF(B122="","",ROUND(SUMIFS(Sales!$W$5:$W$1204,Sales!$F$5:$F$1204,C122,Sales!$R$5:$R$1204,B122,Sales!$H$5:$H$1204,"Retail"),2))</f>
        <v>0</v>
      </c>
      <c r="O122" s="26">
        <f>IF(B122="","",ROUND(SUMIFS(Sales!$AB$5:$AB$1204,Sales!$F$5:$F$1204,C122,Sales!$R$5:$R$1204,B122,Sales!$H$5:$H$1204,"Service"),2))</f>
        <v>0</v>
      </c>
      <c r="P122" s="25">
        <f>IF(B122="","",COUNTIFS(Sales!$F$5:$F$1204,C122,Sales!$R$5:$R$1204,B122,Sales!$H$5:$H$1204,"Service"))</f>
        <v>0</v>
      </c>
      <c r="Q122" s="26">
        <f>IF(B122="","",IF(CommissionOn="Gross before discounts",L122,K122))</f>
        <v>0</v>
      </c>
      <c r="R122" s="26">
        <f>IF(B122="","",IF(CommissionOn="Gross before discounts",N122,M122))</f>
        <v>0</v>
      </c>
      <c r="S122" s="27">
        <f>IF(B122="","",IF(E122="Tiered on monthly service revenue",IFERROR(INDEX(TierRate,MATCH(Q122,TierFrom,1)),0),IFERROR(IF(INDEX(Staff!$M$5:$M$44,MATCH(C122,Staff!$A$5:$A$44,0))="",ServiceCommission,INDEX(Staff!$M$5:$M$44,MATCH(C122,Staff!$A$5:$A$44,0))),ServiceCommission)))</f>
        <v>0</v>
      </c>
      <c r="T122" s="27">
        <f>IF(B122="","",IFERROR(IF(INDEX(Staff!$N$5:$N$44,MATCH(C122,Staff!$A$5:$A$44,0))="",RetailCommission,INDEX(Staff!$N$5:$N$44,MATCH(C122,Staff!$A$5:$A$44,0))),RetailCommission))</f>
        <v>0</v>
      </c>
      <c r="U122" s="26">
        <f>IF(B122="","",IFERROR(INDEX(Staff!$O$5:$O$44,MATCH(C122,Staff!$A$5:$A$44,0))*1,0))</f>
        <v>0</v>
      </c>
      <c r="V122" s="26">
        <f>IF(B122="","",ROUND(IF(E122="Percent of service",Q122*S122,IF(E122="Percent of service and retail",Q122*S122+R122*T122,IF(E122="Percent after product cost",MAX(0,Q122-O122)*S122,IF(E122="Tiered on monthly service revenue",Q122*S122,IF(E122="Flat amount per service",P122*U122,0))))),2))</f>
        <v>0</v>
      </c>
      <c r="W122" s="26">
        <f>IF(B122="","",ROUND(SUMIFS(Payments!$G$5:$G$1204,Payments!$J$5:$J$1204,C122,Payments!$O$5:$O$1204,B122,Payments!$E$5:$E$1204,"Tip"),2))</f>
        <v>0</v>
      </c>
      <c r="X122" s="26">
        <f>IF(B122="","",ROUND(V122+IF(F122="",0,F122)+IF(G122="",0,G122),2))</f>
        <v>0</v>
      </c>
      <c r="Y122" s="27">
        <f>IF(B122="","",IF(Q122+R122=0,"",X122/(Q122+R122)))</f>
        <v>0</v>
      </c>
      <c r="Z122" s="25">
        <f>IF(B122="","",COUNTIFS($V$5:$V$244,"&gt;"&amp;V122)+COUNTIFS($V$5:V122,V122))</f>
        <v>0</v>
      </c>
      <c r="AA122" s="39">
        <f>IF(B122="","",IF(C122="","Add - whose commission is this?",IF(COUNTIFS($B$5:$B$244,B122,$C$5:$C$244,C122)&gt;1,"Duplicate - two rows for the same month",IF(E122="None","",IF(E122="Rent a chair","",IF(E122="Hourly only","",IF(X122=0,"Check - nothing calculated",IF(H122&lt;&gt;"Yes","Due - waiting for approval",IF(I122="","Due - approved but not paid","OK")))))))))</f>
        <v>0</v>
      </c>
    </row>
    <row r="123" spans="1:27">
      <c r="A123" s="28">
        <f>IF(B123="","",CommissionPrefix&amp;TEXT(ROW()-4,"0000"))</f>
        <v>0</v>
      </c>
      <c r="D123" s="15">
        <f>IF(C123="","",IFERROR(INDEX(Staff!$B$5:$B$44,MATCH(C123,Staff!$A$5:$A$44,0)),"Not in Staff"))</f>
        <v>0</v>
      </c>
      <c r="E123" s="15">
        <f>IF(C123="","",IFERROR(INDEX(Staff!$L$5:$L$44,MATCH(C123,Staff!$A$5:$A$44,0)),"None"))</f>
        <v>0</v>
      </c>
      <c r="K123" s="26">
        <f>IF(B123="","",ROUND(SUMIFS(Sales!$Y$5:$Y$1204,Sales!$F$5:$F$1204,C123,Sales!$R$5:$R$1204,B123,Sales!$H$5:$H$1204,"Service"),2))</f>
        <v>0</v>
      </c>
      <c r="L123" s="26">
        <f>IF(B123="","",ROUND(SUMIFS(Sales!$W$5:$W$1204,Sales!$F$5:$F$1204,C123,Sales!$R$5:$R$1204,B123,Sales!$H$5:$H$1204,"Service"),2))</f>
        <v>0</v>
      </c>
      <c r="M123" s="26">
        <f>IF(B123="","",ROUND(SUMIFS(Sales!$Y$5:$Y$1204,Sales!$F$5:$F$1204,C123,Sales!$R$5:$R$1204,B123,Sales!$H$5:$H$1204,"Retail"),2))</f>
        <v>0</v>
      </c>
      <c r="N123" s="26">
        <f>IF(B123="","",ROUND(SUMIFS(Sales!$W$5:$W$1204,Sales!$F$5:$F$1204,C123,Sales!$R$5:$R$1204,B123,Sales!$H$5:$H$1204,"Retail"),2))</f>
        <v>0</v>
      </c>
      <c r="O123" s="26">
        <f>IF(B123="","",ROUND(SUMIFS(Sales!$AB$5:$AB$1204,Sales!$F$5:$F$1204,C123,Sales!$R$5:$R$1204,B123,Sales!$H$5:$H$1204,"Service"),2))</f>
        <v>0</v>
      </c>
      <c r="P123" s="25">
        <f>IF(B123="","",COUNTIFS(Sales!$F$5:$F$1204,C123,Sales!$R$5:$R$1204,B123,Sales!$H$5:$H$1204,"Service"))</f>
        <v>0</v>
      </c>
      <c r="Q123" s="26">
        <f>IF(B123="","",IF(CommissionOn="Gross before discounts",L123,K123))</f>
        <v>0</v>
      </c>
      <c r="R123" s="26">
        <f>IF(B123="","",IF(CommissionOn="Gross before discounts",N123,M123))</f>
        <v>0</v>
      </c>
      <c r="S123" s="27">
        <f>IF(B123="","",IF(E123="Tiered on monthly service revenue",IFERROR(INDEX(TierRate,MATCH(Q123,TierFrom,1)),0),IFERROR(IF(INDEX(Staff!$M$5:$M$44,MATCH(C123,Staff!$A$5:$A$44,0))="",ServiceCommission,INDEX(Staff!$M$5:$M$44,MATCH(C123,Staff!$A$5:$A$44,0))),ServiceCommission)))</f>
        <v>0</v>
      </c>
      <c r="T123" s="27">
        <f>IF(B123="","",IFERROR(IF(INDEX(Staff!$N$5:$N$44,MATCH(C123,Staff!$A$5:$A$44,0))="",RetailCommission,INDEX(Staff!$N$5:$N$44,MATCH(C123,Staff!$A$5:$A$44,0))),RetailCommission))</f>
        <v>0</v>
      </c>
      <c r="U123" s="26">
        <f>IF(B123="","",IFERROR(INDEX(Staff!$O$5:$O$44,MATCH(C123,Staff!$A$5:$A$44,0))*1,0))</f>
        <v>0</v>
      </c>
      <c r="V123" s="26">
        <f>IF(B123="","",ROUND(IF(E123="Percent of service",Q123*S123,IF(E123="Percent of service and retail",Q123*S123+R123*T123,IF(E123="Percent after product cost",MAX(0,Q123-O123)*S123,IF(E123="Tiered on monthly service revenue",Q123*S123,IF(E123="Flat amount per service",P123*U123,0))))),2))</f>
        <v>0</v>
      </c>
      <c r="W123" s="26">
        <f>IF(B123="","",ROUND(SUMIFS(Payments!$G$5:$G$1204,Payments!$J$5:$J$1204,C123,Payments!$O$5:$O$1204,B123,Payments!$E$5:$E$1204,"Tip"),2))</f>
        <v>0</v>
      </c>
      <c r="X123" s="26">
        <f>IF(B123="","",ROUND(V123+IF(F123="",0,F123)+IF(G123="",0,G123),2))</f>
        <v>0</v>
      </c>
      <c r="Y123" s="27">
        <f>IF(B123="","",IF(Q123+R123=0,"",X123/(Q123+R123)))</f>
        <v>0</v>
      </c>
      <c r="Z123" s="25">
        <f>IF(B123="","",COUNTIFS($V$5:$V$244,"&gt;"&amp;V123)+COUNTIFS($V$5:V123,V123))</f>
        <v>0</v>
      </c>
      <c r="AA123" s="39">
        <f>IF(B123="","",IF(C123="","Add - whose commission is this?",IF(COUNTIFS($B$5:$B$244,B123,$C$5:$C$244,C123)&gt;1,"Duplicate - two rows for the same month",IF(E123="None","",IF(E123="Rent a chair","",IF(E123="Hourly only","",IF(X123=0,"Check - nothing calculated",IF(H123&lt;&gt;"Yes","Due - waiting for approval",IF(I123="","Due - approved but not paid","OK")))))))))</f>
        <v>0</v>
      </c>
    </row>
    <row r="124" spans="1:27">
      <c r="A124" s="28">
        <f>IF(B124="","",CommissionPrefix&amp;TEXT(ROW()-4,"0000"))</f>
        <v>0</v>
      </c>
      <c r="D124" s="15">
        <f>IF(C124="","",IFERROR(INDEX(Staff!$B$5:$B$44,MATCH(C124,Staff!$A$5:$A$44,0)),"Not in Staff"))</f>
        <v>0</v>
      </c>
      <c r="E124" s="15">
        <f>IF(C124="","",IFERROR(INDEX(Staff!$L$5:$L$44,MATCH(C124,Staff!$A$5:$A$44,0)),"None"))</f>
        <v>0</v>
      </c>
      <c r="K124" s="26">
        <f>IF(B124="","",ROUND(SUMIFS(Sales!$Y$5:$Y$1204,Sales!$F$5:$F$1204,C124,Sales!$R$5:$R$1204,B124,Sales!$H$5:$H$1204,"Service"),2))</f>
        <v>0</v>
      </c>
      <c r="L124" s="26">
        <f>IF(B124="","",ROUND(SUMIFS(Sales!$W$5:$W$1204,Sales!$F$5:$F$1204,C124,Sales!$R$5:$R$1204,B124,Sales!$H$5:$H$1204,"Service"),2))</f>
        <v>0</v>
      </c>
      <c r="M124" s="26">
        <f>IF(B124="","",ROUND(SUMIFS(Sales!$Y$5:$Y$1204,Sales!$F$5:$F$1204,C124,Sales!$R$5:$R$1204,B124,Sales!$H$5:$H$1204,"Retail"),2))</f>
        <v>0</v>
      </c>
      <c r="N124" s="26">
        <f>IF(B124="","",ROUND(SUMIFS(Sales!$W$5:$W$1204,Sales!$F$5:$F$1204,C124,Sales!$R$5:$R$1204,B124,Sales!$H$5:$H$1204,"Retail"),2))</f>
        <v>0</v>
      </c>
      <c r="O124" s="26">
        <f>IF(B124="","",ROUND(SUMIFS(Sales!$AB$5:$AB$1204,Sales!$F$5:$F$1204,C124,Sales!$R$5:$R$1204,B124,Sales!$H$5:$H$1204,"Service"),2))</f>
        <v>0</v>
      </c>
      <c r="P124" s="25">
        <f>IF(B124="","",COUNTIFS(Sales!$F$5:$F$1204,C124,Sales!$R$5:$R$1204,B124,Sales!$H$5:$H$1204,"Service"))</f>
        <v>0</v>
      </c>
      <c r="Q124" s="26">
        <f>IF(B124="","",IF(CommissionOn="Gross before discounts",L124,K124))</f>
        <v>0</v>
      </c>
      <c r="R124" s="26">
        <f>IF(B124="","",IF(CommissionOn="Gross before discounts",N124,M124))</f>
        <v>0</v>
      </c>
      <c r="S124" s="27">
        <f>IF(B124="","",IF(E124="Tiered on monthly service revenue",IFERROR(INDEX(TierRate,MATCH(Q124,TierFrom,1)),0),IFERROR(IF(INDEX(Staff!$M$5:$M$44,MATCH(C124,Staff!$A$5:$A$44,0))="",ServiceCommission,INDEX(Staff!$M$5:$M$44,MATCH(C124,Staff!$A$5:$A$44,0))),ServiceCommission)))</f>
        <v>0</v>
      </c>
      <c r="T124" s="27">
        <f>IF(B124="","",IFERROR(IF(INDEX(Staff!$N$5:$N$44,MATCH(C124,Staff!$A$5:$A$44,0))="",RetailCommission,INDEX(Staff!$N$5:$N$44,MATCH(C124,Staff!$A$5:$A$44,0))),RetailCommission))</f>
        <v>0</v>
      </c>
      <c r="U124" s="26">
        <f>IF(B124="","",IFERROR(INDEX(Staff!$O$5:$O$44,MATCH(C124,Staff!$A$5:$A$44,0))*1,0))</f>
        <v>0</v>
      </c>
      <c r="V124" s="26">
        <f>IF(B124="","",ROUND(IF(E124="Percent of service",Q124*S124,IF(E124="Percent of service and retail",Q124*S124+R124*T124,IF(E124="Percent after product cost",MAX(0,Q124-O124)*S124,IF(E124="Tiered on monthly service revenue",Q124*S124,IF(E124="Flat amount per service",P124*U124,0))))),2))</f>
        <v>0</v>
      </c>
      <c r="W124" s="26">
        <f>IF(B124="","",ROUND(SUMIFS(Payments!$G$5:$G$1204,Payments!$J$5:$J$1204,C124,Payments!$O$5:$O$1204,B124,Payments!$E$5:$E$1204,"Tip"),2))</f>
        <v>0</v>
      </c>
      <c r="X124" s="26">
        <f>IF(B124="","",ROUND(V124+IF(F124="",0,F124)+IF(G124="",0,G124),2))</f>
        <v>0</v>
      </c>
      <c r="Y124" s="27">
        <f>IF(B124="","",IF(Q124+R124=0,"",X124/(Q124+R124)))</f>
        <v>0</v>
      </c>
      <c r="Z124" s="25">
        <f>IF(B124="","",COUNTIFS($V$5:$V$244,"&gt;"&amp;V124)+COUNTIFS($V$5:V124,V124))</f>
        <v>0</v>
      </c>
      <c r="AA124" s="39">
        <f>IF(B124="","",IF(C124="","Add - whose commission is this?",IF(COUNTIFS($B$5:$B$244,B124,$C$5:$C$244,C124)&gt;1,"Duplicate - two rows for the same month",IF(E124="None","",IF(E124="Rent a chair","",IF(E124="Hourly only","",IF(X124=0,"Check - nothing calculated",IF(H124&lt;&gt;"Yes","Due - waiting for approval",IF(I124="","Due - approved but not paid","OK")))))))))</f>
        <v>0</v>
      </c>
    </row>
    <row r="125" spans="1:27">
      <c r="A125" s="28">
        <f>IF(B125="","",CommissionPrefix&amp;TEXT(ROW()-4,"0000"))</f>
        <v>0</v>
      </c>
      <c r="D125" s="15">
        <f>IF(C125="","",IFERROR(INDEX(Staff!$B$5:$B$44,MATCH(C125,Staff!$A$5:$A$44,0)),"Not in Staff"))</f>
        <v>0</v>
      </c>
      <c r="E125" s="15">
        <f>IF(C125="","",IFERROR(INDEX(Staff!$L$5:$L$44,MATCH(C125,Staff!$A$5:$A$44,0)),"None"))</f>
        <v>0</v>
      </c>
      <c r="K125" s="26">
        <f>IF(B125="","",ROUND(SUMIFS(Sales!$Y$5:$Y$1204,Sales!$F$5:$F$1204,C125,Sales!$R$5:$R$1204,B125,Sales!$H$5:$H$1204,"Service"),2))</f>
        <v>0</v>
      </c>
      <c r="L125" s="26">
        <f>IF(B125="","",ROUND(SUMIFS(Sales!$W$5:$W$1204,Sales!$F$5:$F$1204,C125,Sales!$R$5:$R$1204,B125,Sales!$H$5:$H$1204,"Service"),2))</f>
        <v>0</v>
      </c>
      <c r="M125" s="26">
        <f>IF(B125="","",ROUND(SUMIFS(Sales!$Y$5:$Y$1204,Sales!$F$5:$F$1204,C125,Sales!$R$5:$R$1204,B125,Sales!$H$5:$H$1204,"Retail"),2))</f>
        <v>0</v>
      </c>
      <c r="N125" s="26">
        <f>IF(B125="","",ROUND(SUMIFS(Sales!$W$5:$W$1204,Sales!$F$5:$F$1204,C125,Sales!$R$5:$R$1204,B125,Sales!$H$5:$H$1204,"Retail"),2))</f>
        <v>0</v>
      </c>
      <c r="O125" s="26">
        <f>IF(B125="","",ROUND(SUMIFS(Sales!$AB$5:$AB$1204,Sales!$F$5:$F$1204,C125,Sales!$R$5:$R$1204,B125,Sales!$H$5:$H$1204,"Service"),2))</f>
        <v>0</v>
      </c>
      <c r="P125" s="25">
        <f>IF(B125="","",COUNTIFS(Sales!$F$5:$F$1204,C125,Sales!$R$5:$R$1204,B125,Sales!$H$5:$H$1204,"Service"))</f>
        <v>0</v>
      </c>
      <c r="Q125" s="26">
        <f>IF(B125="","",IF(CommissionOn="Gross before discounts",L125,K125))</f>
        <v>0</v>
      </c>
      <c r="R125" s="26">
        <f>IF(B125="","",IF(CommissionOn="Gross before discounts",N125,M125))</f>
        <v>0</v>
      </c>
      <c r="S125" s="27">
        <f>IF(B125="","",IF(E125="Tiered on monthly service revenue",IFERROR(INDEX(TierRate,MATCH(Q125,TierFrom,1)),0),IFERROR(IF(INDEX(Staff!$M$5:$M$44,MATCH(C125,Staff!$A$5:$A$44,0))="",ServiceCommission,INDEX(Staff!$M$5:$M$44,MATCH(C125,Staff!$A$5:$A$44,0))),ServiceCommission)))</f>
        <v>0</v>
      </c>
      <c r="T125" s="27">
        <f>IF(B125="","",IFERROR(IF(INDEX(Staff!$N$5:$N$44,MATCH(C125,Staff!$A$5:$A$44,0))="",RetailCommission,INDEX(Staff!$N$5:$N$44,MATCH(C125,Staff!$A$5:$A$44,0))),RetailCommission))</f>
        <v>0</v>
      </c>
      <c r="U125" s="26">
        <f>IF(B125="","",IFERROR(INDEX(Staff!$O$5:$O$44,MATCH(C125,Staff!$A$5:$A$44,0))*1,0))</f>
        <v>0</v>
      </c>
      <c r="V125" s="26">
        <f>IF(B125="","",ROUND(IF(E125="Percent of service",Q125*S125,IF(E125="Percent of service and retail",Q125*S125+R125*T125,IF(E125="Percent after product cost",MAX(0,Q125-O125)*S125,IF(E125="Tiered on monthly service revenue",Q125*S125,IF(E125="Flat amount per service",P125*U125,0))))),2))</f>
        <v>0</v>
      </c>
      <c r="W125" s="26">
        <f>IF(B125="","",ROUND(SUMIFS(Payments!$G$5:$G$1204,Payments!$J$5:$J$1204,C125,Payments!$O$5:$O$1204,B125,Payments!$E$5:$E$1204,"Tip"),2))</f>
        <v>0</v>
      </c>
      <c r="X125" s="26">
        <f>IF(B125="","",ROUND(V125+IF(F125="",0,F125)+IF(G125="",0,G125),2))</f>
        <v>0</v>
      </c>
      <c r="Y125" s="27">
        <f>IF(B125="","",IF(Q125+R125=0,"",X125/(Q125+R125)))</f>
        <v>0</v>
      </c>
      <c r="Z125" s="25">
        <f>IF(B125="","",COUNTIFS($V$5:$V$244,"&gt;"&amp;V125)+COUNTIFS($V$5:V125,V125))</f>
        <v>0</v>
      </c>
      <c r="AA125" s="39">
        <f>IF(B125="","",IF(C125="","Add - whose commission is this?",IF(COUNTIFS($B$5:$B$244,B125,$C$5:$C$244,C125)&gt;1,"Duplicate - two rows for the same month",IF(E125="None","",IF(E125="Rent a chair","",IF(E125="Hourly only","",IF(X125=0,"Check - nothing calculated",IF(H125&lt;&gt;"Yes","Due - waiting for approval",IF(I125="","Due - approved but not paid","OK")))))))))</f>
        <v>0</v>
      </c>
    </row>
    <row r="126" spans="1:27">
      <c r="A126" s="28">
        <f>IF(B126="","",CommissionPrefix&amp;TEXT(ROW()-4,"0000"))</f>
        <v>0</v>
      </c>
      <c r="D126" s="15">
        <f>IF(C126="","",IFERROR(INDEX(Staff!$B$5:$B$44,MATCH(C126,Staff!$A$5:$A$44,0)),"Not in Staff"))</f>
        <v>0</v>
      </c>
      <c r="E126" s="15">
        <f>IF(C126="","",IFERROR(INDEX(Staff!$L$5:$L$44,MATCH(C126,Staff!$A$5:$A$44,0)),"None"))</f>
        <v>0</v>
      </c>
      <c r="K126" s="26">
        <f>IF(B126="","",ROUND(SUMIFS(Sales!$Y$5:$Y$1204,Sales!$F$5:$F$1204,C126,Sales!$R$5:$R$1204,B126,Sales!$H$5:$H$1204,"Service"),2))</f>
        <v>0</v>
      </c>
      <c r="L126" s="26">
        <f>IF(B126="","",ROUND(SUMIFS(Sales!$W$5:$W$1204,Sales!$F$5:$F$1204,C126,Sales!$R$5:$R$1204,B126,Sales!$H$5:$H$1204,"Service"),2))</f>
        <v>0</v>
      </c>
      <c r="M126" s="26">
        <f>IF(B126="","",ROUND(SUMIFS(Sales!$Y$5:$Y$1204,Sales!$F$5:$F$1204,C126,Sales!$R$5:$R$1204,B126,Sales!$H$5:$H$1204,"Retail"),2))</f>
        <v>0</v>
      </c>
      <c r="N126" s="26">
        <f>IF(B126="","",ROUND(SUMIFS(Sales!$W$5:$W$1204,Sales!$F$5:$F$1204,C126,Sales!$R$5:$R$1204,B126,Sales!$H$5:$H$1204,"Retail"),2))</f>
        <v>0</v>
      </c>
      <c r="O126" s="26">
        <f>IF(B126="","",ROUND(SUMIFS(Sales!$AB$5:$AB$1204,Sales!$F$5:$F$1204,C126,Sales!$R$5:$R$1204,B126,Sales!$H$5:$H$1204,"Service"),2))</f>
        <v>0</v>
      </c>
      <c r="P126" s="25">
        <f>IF(B126="","",COUNTIFS(Sales!$F$5:$F$1204,C126,Sales!$R$5:$R$1204,B126,Sales!$H$5:$H$1204,"Service"))</f>
        <v>0</v>
      </c>
      <c r="Q126" s="26">
        <f>IF(B126="","",IF(CommissionOn="Gross before discounts",L126,K126))</f>
        <v>0</v>
      </c>
      <c r="R126" s="26">
        <f>IF(B126="","",IF(CommissionOn="Gross before discounts",N126,M126))</f>
        <v>0</v>
      </c>
      <c r="S126" s="27">
        <f>IF(B126="","",IF(E126="Tiered on monthly service revenue",IFERROR(INDEX(TierRate,MATCH(Q126,TierFrom,1)),0),IFERROR(IF(INDEX(Staff!$M$5:$M$44,MATCH(C126,Staff!$A$5:$A$44,0))="",ServiceCommission,INDEX(Staff!$M$5:$M$44,MATCH(C126,Staff!$A$5:$A$44,0))),ServiceCommission)))</f>
        <v>0</v>
      </c>
      <c r="T126" s="27">
        <f>IF(B126="","",IFERROR(IF(INDEX(Staff!$N$5:$N$44,MATCH(C126,Staff!$A$5:$A$44,0))="",RetailCommission,INDEX(Staff!$N$5:$N$44,MATCH(C126,Staff!$A$5:$A$44,0))),RetailCommission))</f>
        <v>0</v>
      </c>
      <c r="U126" s="26">
        <f>IF(B126="","",IFERROR(INDEX(Staff!$O$5:$O$44,MATCH(C126,Staff!$A$5:$A$44,0))*1,0))</f>
        <v>0</v>
      </c>
      <c r="V126" s="26">
        <f>IF(B126="","",ROUND(IF(E126="Percent of service",Q126*S126,IF(E126="Percent of service and retail",Q126*S126+R126*T126,IF(E126="Percent after product cost",MAX(0,Q126-O126)*S126,IF(E126="Tiered on monthly service revenue",Q126*S126,IF(E126="Flat amount per service",P126*U126,0))))),2))</f>
        <v>0</v>
      </c>
      <c r="W126" s="26">
        <f>IF(B126="","",ROUND(SUMIFS(Payments!$G$5:$G$1204,Payments!$J$5:$J$1204,C126,Payments!$O$5:$O$1204,B126,Payments!$E$5:$E$1204,"Tip"),2))</f>
        <v>0</v>
      </c>
      <c r="X126" s="26">
        <f>IF(B126="","",ROUND(V126+IF(F126="",0,F126)+IF(G126="",0,G126),2))</f>
        <v>0</v>
      </c>
      <c r="Y126" s="27">
        <f>IF(B126="","",IF(Q126+R126=0,"",X126/(Q126+R126)))</f>
        <v>0</v>
      </c>
      <c r="Z126" s="25">
        <f>IF(B126="","",COUNTIFS($V$5:$V$244,"&gt;"&amp;V126)+COUNTIFS($V$5:V126,V126))</f>
        <v>0</v>
      </c>
      <c r="AA126" s="39">
        <f>IF(B126="","",IF(C126="","Add - whose commission is this?",IF(COUNTIFS($B$5:$B$244,B126,$C$5:$C$244,C126)&gt;1,"Duplicate - two rows for the same month",IF(E126="None","",IF(E126="Rent a chair","",IF(E126="Hourly only","",IF(X126=0,"Check - nothing calculated",IF(H126&lt;&gt;"Yes","Due - waiting for approval",IF(I126="","Due - approved but not paid","OK")))))))))</f>
        <v>0</v>
      </c>
    </row>
    <row r="127" spans="1:27">
      <c r="A127" s="28">
        <f>IF(B127="","",CommissionPrefix&amp;TEXT(ROW()-4,"0000"))</f>
        <v>0</v>
      </c>
      <c r="D127" s="15">
        <f>IF(C127="","",IFERROR(INDEX(Staff!$B$5:$B$44,MATCH(C127,Staff!$A$5:$A$44,0)),"Not in Staff"))</f>
        <v>0</v>
      </c>
      <c r="E127" s="15">
        <f>IF(C127="","",IFERROR(INDEX(Staff!$L$5:$L$44,MATCH(C127,Staff!$A$5:$A$44,0)),"None"))</f>
        <v>0</v>
      </c>
      <c r="K127" s="26">
        <f>IF(B127="","",ROUND(SUMIFS(Sales!$Y$5:$Y$1204,Sales!$F$5:$F$1204,C127,Sales!$R$5:$R$1204,B127,Sales!$H$5:$H$1204,"Service"),2))</f>
        <v>0</v>
      </c>
      <c r="L127" s="26">
        <f>IF(B127="","",ROUND(SUMIFS(Sales!$W$5:$W$1204,Sales!$F$5:$F$1204,C127,Sales!$R$5:$R$1204,B127,Sales!$H$5:$H$1204,"Service"),2))</f>
        <v>0</v>
      </c>
      <c r="M127" s="26">
        <f>IF(B127="","",ROUND(SUMIFS(Sales!$Y$5:$Y$1204,Sales!$F$5:$F$1204,C127,Sales!$R$5:$R$1204,B127,Sales!$H$5:$H$1204,"Retail"),2))</f>
        <v>0</v>
      </c>
      <c r="N127" s="26">
        <f>IF(B127="","",ROUND(SUMIFS(Sales!$W$5:$W$1204,Sales!$F$5:$F$1204,C127,Sales!$R$5:$R$1204,B127,Sales!$H$5:$H$1204,"Retail"),2))</f>
        <v>0</v>
      </c>
      <c r="O127" s="26">
        <f>IF(B127="","",ROUND(SUMIFS(Sales!$AB$5:$AB$1204,Sales!$F$5:$F$1204,C127,Sales!$R$5:$R$1204,B127,Sales!$H$5:$H$1204,"Service"),2))</f>
        <v>0</v>
      </c>
      <c r="P127" s="25">
        <f>IF(B127="","",COUNTIFS(Sales!$F$5:$F$1204,C127,Sales!$R$5:$R$1204,B127,Sales!$H$5:$H$1204,"Service"))</f>
        <v>0</v>
      </c>
      <c r="Q127" s="26">
        <f>IF(B127="","",IF(CommissionOn="Gross before discounts",L127,K127))</f>
        <v>0</v>
      </c>
      <c r="R127" s="26">
        <f>IF(B127="","",IF(CommissionOn="Gross before discounts",N127,M127))</f>
        <v>0</v>
      </c>
      <c r="S127" s="27">
        <f>IF(B127="","",IF(E127="Tiered on monthly service revenue",IFERROR(INDEX(TierRate,MATCH(Q127,TierFrom,1)),0),IFERROR(IF(INDEX(Staff!$M$5:$M$44,MATCH(C127,Staff!$A$5:$A$44,0))="",ServiceCommission,INDEX(Staff!$M$5:$M$44,MATCH(C127,Staff!$A$5:$A$44,0))),ServiceCommission)))</f>
        <v>0</v>
      </c>
      <c r="T127" s="27">
        <f>IF(B127="","",IFERROR(IF(INDEX(Staff!$N$5:$N$44,MATCH(C127,Staff!$A$5:$A$44,0))="",RetailCommission,INDEX(Staff!$N$5:$N$44,MATCH(C127,Staff!$A$5:$A$44,0))),RetailCommission))</f>
        <v>0</v>
      </c>
      <c r="U127" s="26">
        <f>IF(B127="","",IFERROR(INDEX(Staff!$O$5:$O$44,MATCH(C127,Staff!$A$5:$A$44,0))*1,0))</f>
        <v>0</v>
      </c>
      <c r="V127" s="26">
        <f>IF(B127="","",ROUND(IF(E127="Percent of service",Q127*S127,IF(E127="Percent of service and retail",Q127*S127+R127*T127,IF(E127="Percent after product cost",MAX(0,Q127-O127)*S127,IF(E127="Tiered on monthly service revenue",Q127*S127,IF(E127="Flat amount per service",P127*U127,0))))),2))</f>
        <v>0</v>
      </c>
      <c r="W127" s="26">
        <f>IF(B127="","",ROUND(SUMIFS(Payments!$G$5:$G$1204,Payments!$J$5:$J$1204,C127,Payments!$O$5:$O$1204,B127,Payments!$E$5:$E$1204,"Tip"),2))</f>
        <v>0</v>
      </c>
      <c r="X127" s="26">
        <f>IF(B127="","",ROUND(V127+IF(F127="",0,F127)+IF(G127="",0,G127),2))</f>
        <v>0</v>
      </c>
      <c r="Y127" s="27">
        <f>IF(B127="","",IF(Q127+R127=0,"",X127/(Q127+R127)))</f>
        <v>0</v>
      </c>
      <c r="Z127" s="25">
        <f>IF(B127="","",COUNTIFS($V$5:$V$244,"&gt;"&amp;V127)+COUNTIFS($V$5:V127,V127))</f>
        <v>0</v>
      </c>
      <c r="AA127" s="39">
        <f>IF(B127="","",IF(C127="","Add - whose commission is this?",IF(COUNTIFS($B$5:$B$244,B127,$C$5:$C$244,C127)&gt;1,"Duplicate - two rows for the same month",IF(E127="None","",IF(E127="Rent a chair","",IF(E127="Hourly only","",IF(X127=0,"Check - nothing calculated",IF(H127&lt;&gt;"Yes","Due - waiting for approval",IF(I127="","Due - approved but not paid","OK")))))))))</f>
        <v>0</v>
      </c>
    </row>
    <row r="128" spans="1:27">
      <c r="A128" s="28">
        <f>IF(B128="","",CommissionPrefix&amp;TEXT(ROW()-4,"0000"))</f>
        <v>0</v>
      </c>
      <c r="D128" s="15">
        <f>IF(C128="","",IFERROR(INDEX(Staff!$B$5:$B$44,MATCH(C128,Staff!$A$5:$A$44,0)),"Not in Staff"))</f>
        <v>0</v>
      </c>
      <c r="E128" s="15">
        <f>IF(C128="","",IFERROR(INDEX(Staff!$L$5:$L$44,MATCH(C128,Staff!$A$5:$A$44,0)),"None"))</f>
        <v>0</v>
      </c>
      <c r="K128" s="26">
        <f>IF(B128="","",ROUND(SUMIFS(Sales!$Y$5:$Y$1204,Sales!$F$5:$F$1204,C128,Sales!$R$5:$R$1204,B128,Sales!$H$5:$H$1204,"Service"),2))</f>
        <v>0</v>
      </c>
      <c r="L128" s="26">
        <f>IF(B128="","",ROUND(SUMIFS(Sales!$W$5:$W$1204,Sales!$F$5:$F$1204,C128,Sales!$R$5:$R$1204,B128,Sales!$H$5:$H$1204,"Service"),2))</f>
        <v>0</v>
      </c>
      <c r="M128" s="26">
        <f>IF(B128="","",ROUND(SUMIFS(Sales!$Y$5:$Y$1204,Sales!$F$5:$F$1204,C128,Sales!$R$5:$R$1204,B128,Sales!$H$5:$H$1204,"Retail"),2))</f>
        <v>0</v>
      </c>
      <c r="N128" s="26">
        <f>IF(B128="","",ROUND(SUMIFS(Sales!$W$5:$W$1204,Sales!$F$5:$F$1204,C128,Sales!$R$5:$R$1204,B128,Sales!$H$5:$H$1204,"Retail"),2))</f>
        <v>0</v>
      </c>
      <c r="O128" s="26">
        <f>IF(B128="","",ROUND(SUMIFS(Sales!$AB$5:$AB$1204,Sales!$F$5:$F$1204,C128,Sales!$R$5:$R$1204,B128,Sales!$H$5:$H$1204,"Service"),2))</f>
        <v>0</v>
      </c>
      <c r="P128" s="25">
        <f>IF(B128="","",COUNTIFS(Sales!$F$5:$F$1204,C128,Sales!$R$5:$R$1204,B128,Sales!$H$5:$H$1204,"Service"))</f>
        <v>0</v>
      </c>
      <c r="Q128" s="26">
        <f>IF(B128="","",IF(CommissionOn="Gross before discounts",L128,K128))</f>
        <v>0</v>
      </c>
      <c r="R128" s="26">
        <f>IF(B128="","",IF(CommissionOn="Gross before discounts",N128,M128))</f>
        <v>0</v>
      </c>
      <c r="S128" s="27">
        <f>IF(B128="","",IF(E128="Tiered on monthly service revenue",IFERROR(INDEX(TierRate,MATCH(Q128,TierFrom,1)),0),IFERROR(IF(INDEX(Staff!$M$5:$M$44,MATCH(C128,Staff!$A$5:$A$44,0))="",ServiceCommission,INDEX(Staff!$M$5:$M$44,MATCH(C128,Staff!$A$5:$A$44,0))),ServiceCommission)))</f>
        <v>0</v>
      </c>
      <c r="T128" s="27">
        <f>IF(B128="","",IFERROR(IF(INDEX(Staff!$N$5:$N$44,MATCH(C128,Staff!$A$5:$A$44,0))="",RetailCommission,INDEX(Staff!$N$5:$N$44,MATCH(C128,Staff!$A$5:$A$44,0))),RetailCommission))</f>
        <v>0</v>
      </c>
      <c r="U128" s="26">
        <f>IF(B128="","",IFERROR(INDEX(Staff!$O$5:$O$44,MATCH(C128,Staff!$A$5:$A$44,0))*1,0))</f>
        <v>0</v>
      </c>
      <c r="V128" s="26">
        <f>IF(B128="","",ROUND(IF(E128="Percent of service",Q128*S128,IF(E128="Percent of service and retail",Q128*S128+R128*T128,IF(E128="Percent after product cost",MAX(0,Q128-O128)*S128,IF(E128="Tiered on monthly service revenue",Q128*S128,IF(E128="Flat amount per service",P128*U128,0))))),2))</f>
        <v>0</v>
      </c>
      <c r="W128" s="26">
        <f>IF(B128="","",ROUND(SUMIFS(Payments!$G$5:$G$1204,Payments!$J$5:$J$1204,C128,Payments!$O$5:$O$1204,B128,Payments!$E$5:$E$1204,"Tip"),2))</f>
        <v>0</v>
      </c>
      <c r="X128" s="26">
        <f>IF(B128="","",ROUND(V128+IF(F128="",0,F128)+IF(G128="",0,G128),2))</f>
        <v>0</v>
      </c>
      <c r="Y128" s="27">
        <f>IF(B128="","",IF(Q128+R128=0,"",X128/(Q128+R128)))</f>
        <v>0</v>
      </c>
      <c r="Z128" s="25">
        <f>IF(B128="","",COUNTIFS($V$5:$V$244,"&gt;"&amp;V128)+COUNTIFS($V$5:V128,V128))</f>
        <v>0</v>
      </c>
      <c r="AA128" s="39">
        <f>IF(B128="","",IF(C128="","Add - whose commission is this?",IF(COUNTIFS($B$5:$B$244,B128,$C$5:$C$244,C128)&gt;1,"Duplicate - two rows for the same month",IF(E128="None","",IF(E128="Rent a chair","",IF(E128="Hourly only","",IF(X128=0,"Check - nothing calculated",IF(H128&lt;&gt;"Yes","Due - waiting for approval",IF(I128="","Due - approved but not paid","OK")))))))))</f>
        <v>0</v>
      </c>
    </row>
    <row r="129" spans="1:27">
      <c r="A129" s="28">
        <f>IF(B129="","",CommissionPrefix&amp;TEXT(ROW()-4,"0000"))</f>
        <v>0</v>
      </c>
      <c r="D129" s="15">
        <f>IF(C129="","",IFERROR(INDEX(Staff!$B$5:$B$44,MATCH(C129,Staff!$A$5:$A$44,0)),"Not in Staff"))</f>
        <v>0</v>
      </c>
      <c r="E129" s="15">
        <f>IF(C129="","",IFERROR(INDEX(Staff!$L$5:$L$44,MATCH(C129,Staff!$A$5:$A$44,0)),"None"))</f>
        <v>0</v>
      </c>
      <c r="K129" s="26">
        <f>IF(B129="","",ROUND(SUMIFS(Sales!$Y$5:$Y$1204,Sales!$F$5:$F$1204,C129,Sales!$R$5:$R$1204,B129,Sales!$H$5:$H$1204,"Service"),2))</f>
        <v>0</v>
      </c>
      <c r="L129" s="26">
        <f>IF(B129="","",ROUND(SUMIFS(Sales!$W$5:$W$1204,Sales!$F$5:$F$1204,C129,Sales!$R$5:$R$1204,B129,Sales!$H$5:$H$1204,"Service"),2))</f>
        <v>0</v>
      </c>
      <c r="M129" s="26">
        <f>IF(B129="","",ROUND(SUMIFS(Sales!$Y$5:$Y$1204,Sales!$F$5:$F$1204,C129,Sales!$R$5:$R$1204,B129,Sales!$H$5:$H$1204,"Retail"),2))</f>
        <v>0</v>
      </c>
      <c r="N129" s="26">
        <f>IF(B129="","",ROUND(SUMIFS(Sales!$W$5:$W$1204,Sales!$F$5:$F$1204,C129,Sales!$R$5:$R$1204,B129,Sales!$H$5:$H$1204,"Retail"),2))</f>
        <v>0</v>
      </c>
      <c r="O129" s="26">
        <f>IF(B129="","",ROUND(SUMIFS(Sales!$AB$5:$AB$1204,Sales!$F$5:$F$1204,C129,Sales!$R$5:$R$1204,B129,Sales!$H$5:$H$1204,"Service"),2))</f>
        <v>0</v>
      </c>
      <c r="P129" s="25">
        <f>IF(B129="","",COUNTIFS(Sales!$F$5:$F$1204,C129,Sales!$R$5:$R$1204,B129,Sales!$H$5:$H$1204,"Service"))</f>
        <v>0</v>
      </c>
      <c r="Q129" s="26">
        <f>IF(B129="","",IF(CommissionOn="Gross before discounts",L129,K129))</f>
        <v>0</v>
      </c>
      <c r="R129" s="26">
        <f>IF(B129="","",IF(CommissionOn="Gross before discounts",N129,M129))</f>
        <v>0</v>
      </c>
      <c r="S129" s="27">
        <f>IF(B129="","",IF(E129="Tiered on monthly service revenue",IFERROR(INDEX(TierRate,MATCH(Q129,TierFrom,1)),0),IFERROR(IF(INDEX(Staff!$M$5:$M$44,MATCH(C129,Staff!$A$5:$A$44,0))="",ServiceCommission,INDEX(Staff!$M$5:$M$44,MATCH(C129,Staff!$A$5:$A$44,0))),ServiceCommission)))</f>
        <v>0</v>
      </c>
      <c r="T129" s="27">
        <f>IF(B129="","",IFERROR(IF(INDEX(Staff!$N$5:$N$44,MATCH(C129,Staff!$A$5:$A$44,0))="",RetailCommission,INDEX(Staff!$N$5:$N$44,MATCH(C129,Staff!$A$5:$A$44,0))),RetailCommission))</f>
        <v>0</v>
      </c>
      <c r="U129" s="26">
        <f>IF(B129="","",IFERROR(INDEX(Staff!$O$5:$O$44,MATCH(C129,Staff!$A$5:$A$44,0))*1,0))</f>
        <v>0</v>
      </c>
      <c r="V129" s="26">
        <f>IF(B129="","",ROUND(IF(E129="Percent of service",Q129*S129,IF(E129="Percent of service and retail",Q129*S129+R129*T129,IF(E129="Percent after product cost",MAX(0,Q129-O129)*S129,IF(E129="Tiered on monthly service revenue",Q129*S129,IF(E129="Flat amount per service",P129*U129,0))))),2))</f>
        <v>0</v>
      </c>
      <c r="W129" s="26">
        <f>IF(B129="","",ROUND(SUMIFS(Payments!$G$5:$G$1204,Payments!$J$5:$J$1204,C129,Payments!$O$5:$O$1204,B129,Payments!$E$5:$E$1204,"Tip"),2))</f>
        <v>0</v>
      </c>
      <c r="X129" s="26">
        <f>IF(B129="","",ROUND(V129+IF(F129="",0,F129)+IF(G129="",0,G129),2))</f>
        <v>0</v>
      </c>
      <c r="Y129" s="27">
        <f>IF(B129="","",IF(Q129+R129=0,"",X129/(Q129+R129)))</f>
        <v>0</v>
      </c>
      <c r="Z129" s="25">
        <f>IF(B129="","",COUNTIFS($V$5:$V$244,"&gt;"&amp;V129)+COUNTIFS($V$5:V129,V129))</f>
        <v>0</v>
      </c>
      <c r="AA129" s="39">
        <f>IF(B129="","",IF(C129="","Add - whose commission is this?",IF(COUNTIFS($B$5:$B$244,B129,$C$5:$C$244,C129)&gt;1,"Duplicate - two rows for the same month",IF(E129="None","",IF(E129="Rent a chair","",IF(E129="Hourly only","",IF(X129=0,"Check - nothing calculated",IF(H129&lt;&gt;"Yes","Due - waiting for approval",IF(I129="","Due - approved but not paid","OK")))))))))</f>
        <v>0</v>
      </c>
    </row>
    <row r="130" spans="1:27">
      <c r="A130" s="28">
        <f>IF(B130="","",CommissionPrefix&amp;TEXT(ROW()-4,"0000"))</f>
        <v>0</v>
      </c>
      <c r="D130" s="15">
        <f>IF(C130="","",IFERROR(INDEX(Staff!$B$5:$B$44,MATCH(C130,Staff!$A$5:$A$44,0)),"Not in Staff"))</f>
        <v>0</v>
      </c>
      <c r="E130" s="15">
        <f>IF(C130="","",IFERROR(INDEX(Staff!$L$5:$L$44,MATCH(C130,Staff!$A$5:$A$44,0)),"None"))</f>
        <v>0</v>
      </c>
      <c r="K130" s="26">
        <f>IF(B130="","",ROUND(SUMIFS(Sales!$Y$5:$Y$1204,Sales!$F$5:$F$1204,C130,Sales!$R$5:$R$1204,B130,Sales!$H$5:$H$1204,"Service"),2))</f>
        <v>0</v>
      </c>
      <c r="L130" s="26">
        <f>IF(B130="","",ROUND(SUMIFS(Sales!$W$5:$W$1204,Sales!$F$5:$F$1204,C130,Sales!$R$5:$R$1204,B130,Sales!$H$5:$H$1204,"Service"),2))</f>
        <v>0</v>
      </c>
      <c r="M130" s="26">
        <f>IF(B130="","",ROUND(SUMIFS(Sales!$Y$5:$Y$1204,Sales!$F$5:$F$1204,C130,Sales!$R$5:$R$1204,B130,Sales!$H$5:$H$1204,"Retail"),2))</f>
        <v>0</v>
      </c>
      <c r="N130" s="26">
        <f>IF(B130="","",ROUND(SUMIFS(Sales!$W$5:$W$1204,Sales!$F$5:$F$1204,C130,Sales!$R$5:$R$1204,B130,Sales!$H$5:$H$1204,"Retail"),2))</f>
        <v>0</v>
      </c>
      <c r="O130" s="26">
        <f>IF(B130="","",ROUND(SUMIFS(Sales!$AB$5:$AB$1204,Sales!$F$5:$F$1204,C130,Sales!$R$5:$R$1204,B130,Sales!$H$5:$H$1204,"Service"),2))</f>
        <v>0</v>
      </c>
      <c r="P130" s="25">
        <f>IF(B130="","",COUNTIFS(Sales!$F$5:$F$1204,C130,Sales!$R$5:$R$1204,B130,Sales!$H$5:$H$1204,"Service"))</f>
        <v>0</v>
      </c>
      <c r="Q130" s="26">
        <f>IF(B130="","",IF(CommissionOn="Gross before discounts",L130,K130))</f>
        <v>0</v>
      </c>
      <c r="R130" s="26">
        <f>IF(B130="","",IF(CommissionOn="Gross before discounts",N130,M130))</f>
        <v>0</v>
      </c>
      <c r="S130" s="27">
        <f>IF(B130="","",IF(E130="Tiered on monthly service revenue",IFERROR(INDEX(TierRate,MATCH(Q130,TierFrom,1)),0),IFERROR(IF(INDEX(Staff!$M$5:$M$44,MATCH(C130,Staff!$A$5:$A$44,0))="",ServiceCommission,INDEX(Staff!$M$5:$M$44,MATCH(C130,Staff!$A$5:$A$44,0))),ServiceCommission)))</f>
        <v>0</v>
      </c>
      <c r="T130" s="27">
        <f>IF(B130="","",IFERROR(IF(INDEX(Staff!$N$5:$N$44,MATCH(C130,Staff!$A$5:$A$44,0))="",RetailCommission,INDEX(Staff!$N$5:$N$44,MATCH(C130,Staff!$A$5:$A$44,0))),RetailCommission))</f>
        <v>0</v>
      </c>
      <c r="U130" s="26">
        <f>IF(B130="","",IFERROR(INDEX(Staff!$O$5:$O$44,MATCH(C130,Staff!$A$5:$A$44,0))*1,0))</f>
        <v>0</v>
      </c>
      <c r="V130" s="26">
        <f>IF(B130="","",ROUND(IF(E130="Percent of service",Q130*S130,IF(E130="Percent of service and retail",Q130*S130+R130*T130,IF(E130="Percent after product cost",MAX(0,Q130-O130)*S130,IF(E130="Tiered on monthly service revenue",Q130*S130,IF(E130="Flat amount per service",P130*U130,0))))),2))</f>
        <v>0</v>
      </c>
      <c r="W130" s="26">
        <f>IF(B130="","",ROUND(SUMIFS(Payments!$G$5:$G$1204,Payments!$J$5:$J$1204,C130,Payments!$O$5:$O$1204,B130,Payments!$E$5:$E$1204,"Tip"),2))</f>
        <v>0</v>
      </c>
      <c r="X130" s="26">
        <f>IF(B130="","",ROUND(V130+IF(F130="",0,F130)+IF(G130="",0,G130),2))</f>
        <v>0</v>
      </c>
      <c r="Y130" s="27">
        <f>IF(B130="","",IF(Q130+R130=0,"",X130/(Q130+R130)))</f>
        <v>0</v>
      </c>
      <c r="Z130" s="25">
        <f>IF(B130="","",COUNTIFS($V$5:$V$244,"&gt;"&amp;V130)+COUNTIFS($V$5:V130,V130))</f>
        <v>0</v>
      </c>
      <c r="AA130" s="39">
        <f>IF(B130="","",IF(C130="","Add - whose commission is this?",IF(COUNTIFS($B$5:$B$244,B130,$C$5:$C$244,C130)&gt;1,"Duplicate - two rows for the same month",IF(E130="None","",IF(E130="Rent a chair","",IF(E130="Hourly only","",IF(X130=0,"Check - nothing calculated",IF(H130&lt;&gt;"Yes","Due - waiting for approval",IF(I130="","Due - approved but not paid","OK")))))))))</f>
        <v>0</v>
      </c>
    </row>
    <row r="131" spans="1:27">
      <c r="A131" s="28">
        <f>IF(B131="","",CommissionPrefix&amp;TEXT(ROW()-4,"0000"))</f>
        <v>0</v>
      </c>
      <c r="D131" s="15">
        <f>IF(C131="","",IFERROR(INDEX(Staff!$B$5:$B$44,MATCH(C131,Staff!$A$5:$A$44,0)),"Not in Staff"))</f>
        <v>0</v>
      </c>
      <c r="E131" s="15">
        <f>IF(C131="","",IFERROR(INDEX(Staff!$L$5:$L$44,MATCH(C131,Staff!$A$5:$A$44,0)),"None"))</f>
        <v>0</v>
      </c>
      <c r="K131" s="26">
        <f>IF(B131="","",ROUND(SUMIFS(Sales!$Y$5:$Y$1204,Sales!$F$5:$F$1204,C131,Sales!$R$5:$R$1204,B131,Sales!$H$5:$H$1204,"Service"),2))</f>
        <v>0</v>
      </c>
      <c r="L131" s="26">
        <f>IF(B131="","",ROUND(SUMIFS(Sales!$W$5:$W$1204,Sales!$F$5:$F$1204,C131,Sales!$R$5:$R$1204,B131,Sales!$H$5:$H$1204,"Service"),2))</f>
        <v>0</v>
      </c>
      <c r="M131" s="26">
        <f>IF(B131="","",ROUND(SUMIFS(Sales!$Y$5:$Y$1204,Sales!$F$5:$F$1204,C131,Sales!$R$5:$R$1204,B131,Sales!$H$5:$H$1204,"Retail"),2))</f>
        <v>0</v>
      </c>
      <c r="N131" s="26">
        <f>IF(B131="","",ROUND(SUMIFS(Sales!$W$5:$W$1204,Sales!$F$5:$F$1204,C131,Sales!$R$5:$R$1204,B131,Sales!$H$5:$H$1204,"Retail"),2))</f>
        <v>0</v>
      </c>
      <c r="O131" s="26">
        <f>IF(B131="","",ROUND(SUMIFS(Sales!$AB$5:$AB$1204,Sales!$F$5:$F$1204,C131,Sales!$R$5:$R$1204,B131,Sales!$H$5:$H$1204,"Service"),2))</f>
        <v>0</v>
      </c>
      <c r="P131" s="25">
        <f>IF(B131="","",COUNTIFS(Sales!$F$5:$F$1204,C131,Sales!$R$5:$R$1204,B131,Sales!$H$5:$H$1204,"Service"))</f>
        <v>0</v>
      </c>
      <c r="Q131" s="26">
        <f>IF(B131="","",IF(CommissionOn="Gross before discounts",L131,K131))</f>
        <v>0</v>
      </c>
      <c r="R131" s="26">
        <f>IF(B131="","",IF(CommissionOn="Gross before discounts",N131,M131))</f>
        <v>0</v>
      </c>
      <c r="S131" s="27">
        <f>IF(B131="","",IF(E131="Tiered on monthly service revenue",IFERROR(INDEX(TierRate,MATCH(Q131,TierFrom,1)),0),IFERROR(IF(INDEX(Staff!$M$5:$M$44,MATCH(C131,Staff!$A$5:$A$44,0))="",ServiceCommission,INDEX(Staff!$M$5:$M$44,MATCH(C131,Staff!$A$5:$A$44,0))),ServiceCommission)))</f>
        <v>0</v>
      </c>
      <c r="T131" s="27">
        <f>IF(B131="","",IFERROR(IF(INDEX(Staff!$N$5:$N$44,MATCH(C131,Staff!$A$5:$A$44,0))="",RetailCommission,INDEX(Staff!$N$5:$N$44,MATCH(C131,Staff!$A$5:$A$44,0))),RetailCommission))</f>
        <v>0</v>
      </c>
      <c r="U131" s="26">
        <f>IF(B131="","",IFERROR(INDEX(Staff!$O$5:$O$44,MATCH(C131,Staff!$A$5:$A$44,0))*1,0))</f>
        <v>0</v>
      </c>
      <c r="V131" s="26">
        <f>IF(B131="","",ROUND(IF(E131="Percent of service",Q131*S131,IF(E131="Percent of service and retail",Q131*S131+R131*T131,IF(E131="Percent after product cost",MAX(0,Q131-O131)*S131,IF(E131="Tiered on monthly service revenue",Q131*S131,IF(E131="Flat amount per service",P131*U131,0))))),2))</f>
        <v>0</v>
      </c>
      <c r="W131" s="26">
        <f>IF(B131="","",ROUND(SUMIFS(Payments!$G$5:$G$1204,Payments!$J$5:$J$1204,C131,Payments!$O$5:$O$1204,B131,Payments!$E$5:$E$1204,"Tip"),2))</f>
        <v>0</v>
      </c>
      <c r="X131" s="26">
        <f>IF(B131="","",ROUND(V131+IF(F131="",0,F131)+IF(G131="",0,G131),2))</f>
        <v>0</v>
      </c>
      <c r="Y131" s="27">
        <f>IF(B131="","",IF(Q131+R131=0,"",X131/(Q131+R131)))</f>
        <v>0</v>
      </c>
      <c r="Z131" s="25">
        <f>IF(B131="","",COUNTIFS($V$5:$V$244,"&gt;"&amp;V131)+COUNTIFS($V$5:V131,V131))</f>
        <v>0</v>
      </c>
      <c r="AA131" s="39">
        <f>IF(B131="","",IF(C131="","Add - whose commission is this?",IF(COUNTIFS($B$5:$B$244,B131,$C$5:$C$244,C131)&gt;1,"Duplicate - two rows for the same month",IF(E131="None","",IF(E131="Rent a chair","",IF(E131="Hourly only","",IF(X131=0,"Check - nothing calculated",IF(H131&lt;&gt;"Yes","Due - waiting for approval",IF(I131="","Due - approved but not paid","OK")))))))))</f>
        <v>0</v>
      </c>
    </row>
    <row r="132" spans="1:27">
      <c r="A132" s="28">
        <f>IF(B132="","",CommissionPrefix&amp;TEXT(ROW()-4,"0000"))</f>
        <v>0</v>
      </c>
      <c r="D132" s="15">
        <f>IF(C132="","",IFERROR(INDEX(Staff!$B$5:$B$44,MATCH(C132,Staff!$A$5:$A$44,0)),"Not in Staff"))</f>
        <v>0</v>
      </c>
      <c r="E132" s="15">
        <f>IF(C132="","",IFERROR(INDEX(Staff!$L$5:$L$44,MATCH(C132,Staff!$A$5:$A$44,0)),"None"))</f>
        <v>0</v>
      </c>
      <c r="K132" s="26">
        <f>IF(B132="","",ROUND(SUMIFS(Sales!$Y$5:$Y$1204,Sales!$F$5:$F$1204,C132,Sales!$R$5:$R$1204,B132,Sales!$H$5:$H$1204,"Service"),2))</f>
        <v>0</v>
      </c>
      <c r="L132" s="26">
        <f>IF(B132="","",ROUND(SUMIFS(Sales!$W$5:$W$1204,Sales!$F$5:$F$1204,C132,Sales!$R$5:$R$1204,B132,Sales!$H$5:$H$1204,"Service"),2))</f>
        <v>0</v>
      </c>
      <c r="M132" s="26">
        <f>IF(B132="","",ROUND(SUMIFS(Sales!$Y$5:$Y$1204,Sales!$F$5:$F$1204,C132,Sales!$R$5:$R$1204,B132,Sales!$H$5:$H$1204,"Retail"),2))</f>
        <v>0</v>
      </c>
      <c r="N132" s="26">
        <f>IF(B132="","",ROUND(SUMIFS(Sales!$W$5:$W$1204,Sales!$F$5:$F$1204,C132,Sales!$R$5:$R$1204,B132,Sales!$H$5:$H$1204,"Retail"),2))</f>
        <v>0</v>
      </c>
      <c r="O132" s="26">
        <f>IF(B132="","",ROUND(SUMIFS(Sales!$AB$5:$AB$1204,Sales!$F$5:$F$1204,C132,Sales!$R$5:$R$1204,B132,Sales!$H$5:$H$1204,"Service"),2))</f>
        <v>0</v>
      </c>
      <c r="P132" s="25">
        <f>IF(B132="","",COUNTIFS(Sales!$F$5:$F$1204,C132,Sales!$R$5:$R$1204,B132,Sales!$H$5:$H$1204,"Service"))</f>
        <v>0</v>
      </c>
      <c r="Q132" s="26">
        <f>IF(B132="","",IF(CommissionOn="Gross before discounts",L132,K132))</f>
        <v>0</v>
      </c>
      <c r="R132" s="26">
        <f>IF(B132="","",IF(CommissionOn="Gross before discounts",N132,M132))</f>
        <v>0</v>
      </c>
      <c r="S132" s="27">
        <f>IF(B132="","",IF(E132="Tiered on monthly service revenue",IFERROR(INDEX(TierRate,MATCH(Q132,TierFrom,1)),0),IFERROR(IF(INDEX(Staff!$M$5:$M$44,MATCH(C132,Staff!$A$5:$A$44,0))="",ServiceCommission,INDEX(Staff!$M$5:$M$44,MATCH(C132,Staff!$A$5:$A$44,0))),ServiceCommission)))</f>
        <v>0</v>
      </c>
      <c r="T132" s="27">
        <f>IF(B132="","",IFERROR(IF(INDEX(Staff!$N$5:$N$44,MATCH(C132,Staff!$A$5:$A$44,0))="",RetailCommission,INDEX(Staff!$N$5:$N$44,MATCH(C132,Staff!$A$5:$A$44,0))),RetailCommission))</f>
        <v>0</v>
      </c>
      <c r="U132" s="26">
        <f>IF(B132="","",IFERROR(INDEX(Staff!$O$5:$O$44,MATCH(C132,Staff!$A$5:$A$44,0))*1,0))</f>
        <v>0</v>
      </c>
      <c r="V132" s="26">
        <f>IF(B132="","",ROUND(IF(E132="Percent of service",Q132*S132,IF(E132="Percent of service and retail",Q132*S132+R132*T132,IF(E132="Percent after product cost",MAX(0,Q132-O132)*S132,IF(E132="Tiered on monthly service revenue",Q132*S132,IF(E132="Flat amount per service",P132*U132,0))))),2))</f>
        <v>0</v>
      </c>
      <c r="W132" s="26">
        <f>IF(B132="","",ROUND(SUMIFS(Payments!$G$5:$G$1204,Payments!$J$5:$J$1204,C132,Payments!$O$5:$O$1204,B132,Payments!$E$5:$E$1204,"Tip"),2))</f>
        <v>0</v>
      </c>
      <c r="X132" s="26">
        <f>IF(B132="","",ROUND(V132+IF(F132="",0,F132)+IF(G132="",0,G132),2))</f>
        <v>0</v>
      </c>
      <c r="Y132" s="27">
        <f>IF(B132="","",IF(Q132+R132=0,"",X132/(Q132+R132)))</f>
        <v>0</v>
      </c>
      <c r="Z132" s="25">
        <f>IF(B132="","",COUNTIFS($V$5:$V$244,"&gt;"&amp;V132)+COUNTIFS($V$5:V132,V132))</f>
        <v>0</v>
      </c>
      <c r="AA132" s="39">
        <f>IF(B132="","",IF(C132="","Add - whose commission is this?",IF(COUNTIFS($B$5:$B$244,B132,$C$5:$C$244,C132)&gt;1,"Duplicate - two rows for the same month",IF(E132="None","",IF(E132="Rent a chair","",IF(E132="Hourly only","",IF(X132=0,"Check - nothing calculated",IF(H132&lt;&gt;"Yes","Due - waiting for approval",IF(I132="","Due - approved but not paid","OK")))))))))</f>
        <v>0</v>
      </c>
    </row>
    <row r="133" spans="1:27">
      <c r="A133" s="28">
        <f>IF(B133="","",CommissionPrefix&amp;TEXT(ROW()-4,"0000"))</f>
        <v>0</v>
      </c>
      <c r="D133" s="15">
        <f>IF(C133="","",IFERROR(INDEX(Staff!$B$5:$B$44,MATCH(C133,Staff!$A$5:$A$44,0)),"Not in Staff"))</f>
        <v>0</v>
      </c>
      <c r="E133" s="15">
        <f>IF(C133="","",IFERROR(INDEX(Staff!$L$5:$L$44,MATCH(C133,Staff!$A$5:$A$44,0)),"None"))</f>
        <v>0</v>
      </c>
      <c r="K133" s="26">
        <f>IF(B133="","",ROUND(SUMIFS(Sales!$Y$5:$Y$1204,Sales!$F$5:$F$1204,C133,Sales!$R$5:$R$1204,B133,Sales!$H$5:$H$1204,"Service"),2))</f>
        <v>0</v>
      </c>
      <c r="L133" s="26">
        <f>IF(B133="","",ROUND(SUMIFS(Sales!$W$5:$W$1204,Sales!$F$5:$F$1204,C133,Sales!$R$5:$R$1204,B133,Sales!$H$5:$H$1204,"Service"),2))</f>
        <v>0</v>
      </c>
      <c r="M133" s="26">
        <f>IF(B133="","",ROUND(SUMIFS(Sales!$Y$5:$Y$1204,Sales!$F$5:$F$1204,C133,Sales!$R$5:$R$1204,B133,Sales!$H$5:$H$1204,"Retail"),2))</f>
        <v>0</v>
      </c>
      <c r="N133" s="26">
        <f>IF(B133="","",ROUND(SUMIFS(Sales!$W$5:$W$1204,Sales!$F$5:$F$1204,C133,Sales!$R$5:$R$1204,B133,Sales!$H$5:$H$1204,"Retail"),2))</f>
        <v>0</v>
      </c>
      <c r="O133" s="26">
        <f>IF(B133="","",ROUND(SUMIFS(Sales!$AB$5:$AB$1204,Sales!$F$5:$F$1204,C133,Sales!$R$5:$R$1204,B133,Sales!$H$5:$H$1204,"Service"),2))</f>
        <v>0</v>
      </c>
      <c r="P133" s="25">
        <f>IF(B133="","",COUNTIFS(Sales!$F$5:$F$1204,C133,Sales!$R$5:$R$1204,B133,Sales!$H$5:$H$1204,"Service"))</f>
        <v>0</v>
      </c>
      <c r="Q133" s="26">
        <f>IF(B133="","",IF(CommissionOn="Gross before discounts",L133,K133))</f>
        <v>0</v>
      </c>
      <c r="R133" s="26">
        <f>IF(B133="","",IF(CommissionOn="Gross before discounts",N133,M133))</f>
        <v>0</v>
      </c>
      <c r="S133" s="27">
        <f>IF(B133="","",IF(E133="Tiered on monthly service revenue",IFERROR(INDEX(TierRate,MATCH(Q133,TierFrom,1)),0),IFERROR(IF(INDEX(Staff!$M$5:$M$44,MATCH(C133,Staff!$A$5:$A$44,0))="",ServiceCommission,INDEX(Staff!$M$5:$M$44,MATCH(C133,Staff!$A$5:$A$44,0))),ServiceCommission)))</f>
        <v>0</v>
      </c>
      <c r="T133" s="27">
        <f>IF(B133="","",IFERROR(IF(INDEX(Staff!$N$5:$N$44,MATCH(C133,Staff!$A$5:$A$44,0))="",RetailCommission,INDEX(Staff!$N$5:$N$44,MATCH(C133,Staff!$A$5:$A$44,0))),RetailCommission))</f>
        <v>0</v>
      </c>
      <c r="U133" s="26">
        <f>IF(B133="","",IFERROR(INDEX(Staff!$O$5:$O$44,MATCH(C133,Staff!$A$5:$A$44,0))*1,0))</f>
        <v>0</v>
      </c>
      <c r="V133" s="26">
        <f>IF(B133="","",ROUND(IF(E133="Percent of service",Q133*S133,IF(E133="Percent of service and retail",Q133*S133+R133*T133,IF(E133="Percent after product cost",MAX(0,Q133-O133)*S133,IF(E133="Tiered on monthly service revenue",Q133*S133,IF(E133="Flat amount per service",P133*U133,0))))),2))</f>
        <v>0</v>
      </c>
      <c r="W133" s="26">
        <f>IF(B133="","",ROUND(SUMIFS(Payments!$G$5:$G$1204,Payments!$J$5:$J$1204,C133,Payments!$O$5:$O$1204,B133,Payments!$E$5:$E$1204,"Tip"),2))</f>
        <v>0</v>
      </c>
      <c r="X133" s="26">
        <f>IF(B133="","",ROUND(V133+IF(F133="",0,F133)+IF(G133="",0,G133),2))</f>
        <v>0</v>
      </c>
      <c r="Y133" s="27">
        <f>IF(B133="","",IF(Q133+R133=0,"",X133/(Q133+R133)))</f>
        <v>0</v>
      </c>
      <c r="Z133" s="25">
        <f>IF(B133="","",COUNTIFS($V$5:$V$244,"&gt;"&amp;V133)+COUNTIFS($V$5:V133,V133))</f>
        <v>0</v>
      </c>
      <c r="AA133" s="39">
        <f>IF(B133="","",IF(C133="","Add - whose commission is this?",IF(COUNTIFS($B$5:$B$244,B133,$C$5:$C$244,C133)&gt;1,"Duplicate - two rows for the same month",IF(E133="None","",IF(E133="Rent a chair","",IF(E133="Hourly only","",IF(X133=0,"Check - nothing calculated",IF(H133&lt;&gt;"Yes","Due - waiting for approval",IF(I133="","Due - approved but not paid","OK")))))))))</f>
        <v>0</v>
      </c>
    </row>
    <row r="134" spans="1:27">
      <c r="A134" s="28">
        <f>IF(B134="","",CommissionPrefix&amp;TEXT(ROW()-4,"0000"))</f>
        <v>0</v>
      </c>
      <c r="D134" s="15">
        <f>IF(C134="","",IFERROR(INDEX(Staff!$B$5:$B$44,MATCH(C134,Staff!$A$5:$A$44,0)),"Not in Staff"))</f>
        <v>0</v>
      </c>
      <c r="E134" s="15">
        <f>IF(C134="","",IFERROR(INDEX(Staff!$L$5:$L$44,MATCH(C134,Staff!$A$5:$A$44,0)),"None"))</f>
        <v>0</v>
      </c>
      <c r="K134" s="26">
        <f>IF(B134="","",ROUND(SUMIFS(Sales!$Y$5:$Y$1204,Sales!$F$5:$F$1204,C134,Sales!$R$5:$R$1204,B134,Sales!$H$5:$H$1204,"Service"),2))</f>
        <v>0</v>
      </c>
      <c r="L134" s="26">
        <f>IF(B134="","",ROUND(SUMIFS(Sales!$W$5:$W$1204,Sales!$F$5:$F$1204,C134,Sales!$R$5:$R$1204,B134,Sales!$H$5:$H$1204,"Service"),2))</f>
        <v>0</v>
      </c>
      <c r="M134" s="26">
        <f>IF(B134="","",ROUND(SUMIFS(Sales!$Y$5:$Y$1204,Sales!$F$5:$F$1204,C134,Sales!$R$5:$R$1204,B134,Sales!$H$5:$H$1204,"Retail"),2))</f>
        <v>0</v>
      </c>
      <c r="N134" s="26">
        <f>IF(B134="","",ROUND(SUMIFS(Sales!$W$5:$W$1204,Sales!$F$5:$F$1204,C134,Sales!$R$5:$R$1204,B134,Sales!$H$5:$H$1204,"Retail"),2))</f>
        <v>0</v>
      </c>
      <c r="O134" s="26">
        <f>IF(B134="","",ROUND(SUMIFS(Sales!$AB$5:$AB$1204,Sales!$F$5:$F$1204,C134,Sales!$R$5:$R$1204,B134,Sales!$H$5:$H$1204,"Service"),2))</f>
        <v>0</v>
      </c>
      <c r="P134" s="25">
        <f>IF(B134="","",COUNTIFS(Sales!$F$5:$F$1204,C134,Sales!$R$5:$R$1204,B134,Sales!$H$5:$H$1204,"Service"))</f>
        <v>0</v>
      </c>
      <c r="Q134" s="26">
        <f>IF(B134="","",IF(CommissionOn="Gross before discounts",L134,K134))</f>
        <v>0</v>
      </c>
      <c r="R134" s="26">
        <f>IF(B134="","",IF(CommissionOn="Gross before discounts",N134,M134))</f>
        <v>0</v>
      </c>
      <c r="S134" s="27">
        <f>IF(B134="","",IF(E134="Tiered on monthly service revenue",IFERROR(INDEX(TierRate,MATCH(Q134,TierFrom,1)),0),IFERROR(IF(INDEX(Staff!$M$5:$M$44,MATCH(C134,Staff!$A$5:$A$44,0))="",ServiceCommission,INDEX(Staff!$M$5:$M$44,MATCH(C134,Staff!$A$5:$A$44,0))),ServiceCommission)))</f>
        <v>0</v>
      </c>
      <c r="T134" s="27">
        <f>IF(B134="","",IFERROR(IF(INDEX(Staff!$N$5:$N$44,MATCH(C134,Staff!$A$5:$A$44,0))="",RetailCommission,INDEX(Staff!$N$5:$N$44,MATCH(C134,Staff!$A$5:$A$44,0))),RetailCommission))</f>
        <v>0</v>
      </c>
      <c r="U134" s="26">
        <f>IF(B134="","",IFERROR(INDEX(Staff!$O$5:$O$44,MATCH(C134,Staff!$A$5:$A$44,0))*1,0))</f>
        <v>0</v>
      </c>
      <c r="V134" s="26">
        <f>IF(B134="","",ROUND(IF(E134="Percent of service",Q134*S134,IF(E134="Percent of service and retail",Q134*S134+R134*T134,IF(E134="Percent after product cost",MAX(0,Q134-O134)*S134,IF(E134="Tiered on monthly service revenue",Q134*S134,IF(E134="Flat amount per service",P134*U134,0))))),2))</f>
        <v>0</v>
      </c>
      <c r="W134" s="26">
        <f>IF(B134="","",ROUND(SUMIFS(Payments!$G$5:$G$1204,Payments!$J$5:$J$1204,C134,Payments!$O$5:$O$1204,B134,Payments!$E$5:$E$1204,"Tip"),2))</f>
        <v>0</v>
      </c>
      <c r="X134" s="26">
        <f>IF(B134="","",ROUND(V134+IF(F134="",0,F134)+IF(G134="",0,G134),2))</f>
        <v>0</v>
      </c>
      <c r="Y134" s="27">
        <f>IF(B134="","",IF(Q134+R134=0,"",X134/(Q134+R134)))</f>
        <v>0</v>
      </c>
      <c r="Z134" s="25">
        <f>IF(B134="","",COUNTIFS($V$5:$V$244,"&gt;"&amp;V134)+COUNTIFS($V$5:V134,V134))</f>
        <v>0</v>
      </c>
      <c r="AA134" s="39">
        <f>IF(B134="","",IF(C134="","Add - whose commission is this?",IF(COUNTIFS($B$5:$B$244,B134,$C$5:$C$244,C134)&gt;1,"Duplicate - two rows for the same month",IF(E134="None","",IF(E134="Rent a chair","",IF(E134="Hourly only","",IF(X134=0,"Check - nothing calculated",IF(H134&lt;&gt;"Yes","Due - waiting for approval",IF(I134="","Due - approved but not paid","OK")))))))))</f>
        <v>0</v>
      </c>
    </row>
    <row r="135" spans="1:27">
      <c r="A135" s="28">
        <f>IF(B135="","",CommissionPrefix&amp;TEXT(ROW()-4,"0000"))</f>
        <v>0</v>
      </c>
      <c r="D135" s="15">
        <f>IF(C135="","",IFERROR(INDEX(Staff!$B$5:$B$44,MATCH(C135,Staff!$A$5:$A$44,0)),"Not in Staff"))</f>
        <v>0</v>
      </c>
      <c r="E135" s="15">
        <f>IF(C135="","",IFERROR(INDEX(Staff!$L$5:$L$44,MATCH(C135,Staff!$A$5:$A$44,0)),"None"))</f>
        <v>0</v>
      </c>
      <c r="K135" s="26">
        <f>IF(B135="","",ROUND(SUMIFS(Sales!$Y$5:$Y$1204,Sales!$F$5:$F$1204,C135,Sales!$R$5:$R$1204,B135,Sales!$H$5:$H$1204,"Service"),2))</f>
        <v>0</v>
      </c>
      <c r="L135" s="26">
        <f>IF(B135="","",ROUND(SUMIFS(Sales!$W$5:$W$1204,Sales!$F$5:$F$1204,C135,Sales!$R$5:$R$1204,B135,Sales!$H$5:$H$1204,"Service"),2))</f>
        <v>0</v>
      </c>
      <c r="M135" s="26">
        <f>IF(B135="","",ROUND(SUMIFS(Sales!$Y$5:$Y$1204,Sales!$F$5:$F$1204,C135,Sales!$R$5:$R$1204,B135,Sales!$H$5:$H$1204,"Retail"),2))</f>
        <v>0</v>
      </c>
      <c r="N135" s="26">
        <f>IF(B135="","",ROUND(SUMIFS(Sales!$W$5:$W$1204,Sales!$F$5:$F$1204,C135,Sales!$R$5:$R$1204,B135,Sales!$H$5:$H$1204,"Retail"),2))</f>
        <v>0</v>
      </c>
      <c r="O135" s="26">
        <f>IF(B135="","",ROUND(SUMIFS(Sales!$AB$5:$AB$1204,Sales!$F$5:$F$1204,C135,Sales!$R$5:$R$1204,B135,Sales!$H$5:$H$1204,"Service"),2))</f>
        <v>0</v>
      </c>
      <c r="P135" s="25">
        <f>IF(B135="","",COUNTIFS(Sales!$F$5:$F$1204,C135,Sales!$R$5:$R$1204,B135,Sales!$H$5:$H$1204,"Service"))</f>
        <v>0</v>
      </c>
      <c r="Q135" s="26">
        <f>IF(B135="","",IF(CommissionOn="Gross before discounts",L135,K135))</f>
        <v>0</v>
      </c>
      <c r="R135" s="26">
        <f>IF(B135="","",IF(CommissionOn="Gross before discounts",N135,M135))</f>
        <v>0</v>
      </c>
      <c r="S135" s="27">
        <f>IF(B135="","",IF(E135="Tiered on monthly service revenue",IFERROR(INDEX(TierRate,MATCH(Q135,TierFrom,1)),0),IFERROR(IF(INDEX(Staff!$M$5:$M$44,MATCH(C135,Staff!$A$5:$A$44,0))="",ServiceCommission,INDEX(Staff!$M$5:$M$44,MATCH(C135,Staff!$A$5:$A$44,0))),ServiceCommission)))</f>
        <v>0</v>
      </c>
      <c r="T135" s="27">
        <f>IF(B135="","",IFERROR(IF(INDEX(Staff!$N$5:$N$44,MATCH(C135,Staff!$A$5:$A$44,0))="",RetailCommission,INDEX(Staff!$N$5:$N$44,MATCH(C135,Staff!$A$5:$A$44,0))),RetailCommission))</f>
        <v>0</v>
      </c>
      <c r="U135" s="26">
        <f>IF(B135="","",IFERROR(INDEX(Staff!$O$5:$O$44,MATCH(C135,Staff!$A$5:$A$44,0))*1,0))</f>
        <v>0</v>
      </c>
      <c r="V135" s="26">
        <f>IF(B135="","",ROUND(IF(E135="Percent of service",Q135*S135,IF(E135="Percent of service and retail",Q135*S135+R135*T135,IF(E135="Percent after product cost",MAX(0,Q135-O135)*S135,IF(E135="Tiered on monthly service revenue",Q135*S135,IF(E135="Flat amount per service",P135*U135,0))))),2))</f>
        <v>0</v>
      </c>
      <c r="W135" s="26">
        <f>IF(B135="","",ROUND(SUMIFS(Payments!$G$5:$G$1204,Payments!$J$5:$J$1204,C135,Payments!$O$5:$O$1204,B135,Payments!$E$5:$E$1204,"Tip"),2))</f>
        <v>0</v>
      </c>
      <c r="X135" s="26">
        <f>IF(B135="","",ROUND(V135+IF(F135="",0,F135)+IF(G135="",0,G135),2))</f>
        <v>0</v>
      </c>
      <c r="Y135" s="27">
        <f>IF(B135="","",IF(Q135+R135=0,"",X135/(Q135+R135)))</f>
        <v>0</v>
      </c>
      <c r="Z135" s="25">
        <f>IF(B135="","",COUNTIFS($V$5:$V$244,"&gt;"&amp;V135)+COUNTIFS($V$5:V135,V135))</f>
        <v>0</v>
      </c>
      <c r="AA135" s="39">
        <f>IF(B135="","",IF(C135="","Add - whose commission is this?",IF(COUNTIFS($B$5:$B$244,B135,$C$5:$C$244,C135)&gt;1,"Duplicate - two rows for the same month",IF(E135="None","",IF(E135="Rent a chair","",IF(E135="Hourly only","",IF(X135=0,"Check - nothing calculated",IF(H135&lt;&gt;"Yes","Due - waiting for approval",IF(I135="","Due - approved but not paid","OK")))))))))</f>
        <v>0</v>
      </c>
    </row>
    <row r="136" spans="1:27">
      <c r="A136" s="28">
        <f>IF(B136="","",CommissionPrefix&amp;TEXT(ROW()-4,"0000"))</f>
        <v>0</v>
      </c>
      <c r="D136" s="15">
        <f>IF(C136="","",IFERROR(INDEX(Staff!$B$5:$B$44,MATCH(C136,Staff!$A$5:$A$44,0)),"Not in Staff"))</f>
        <v>0</v>
      </c>
      <c r="E136" s="15">
        <f>IF(C136="","",IFERROR(INDEX(Staff!$L$5:$L$44,MATCH(C136,Staff!$A$5:$A$44,0)),"None"))</f>
        <v>0</v>
      </c>
      <c r="K136" s="26">
        <f>IF(B136="","",ROUND(SUMIFS(Sales!$Y$5:$Y$1204,Sales!$F$5:$F$1204,C136,Sales!$R$5:$R$1204,B136,Sales!$H$5:$H$1204,"Service"),2))</f>
        <v>0</v>
      </c>
      <c r="L136" s="26">
        <f>IF(B136="","",ROUND(SUMIFS(Sales!$W$5:$W$1204,Sales!$F$5:$F$1204,C136,Sales!$R$5:$R$1204,B136,Sales!$H$5:$H$1204,"Service"),2))</f>
        <v>0</v>
      </c>
      <c r="M136" s="26">
        <f>IF(B136="","",ROUND(SUMIFS(Sales!$Y$5:$Y$1204,Sales!$F$5:$F$1204,C136,Sales!$R$5:$R$1204,B136,Sales!$H$5:$H$1204,"Retail"),2))</f>
        <v>0</v>
      </c>
      <c r="N136" s="26">
        <f>IF(B136="","",ROUND(SUMIFS(Sales!$W$5:$W$1204,Sales!$F$5:$F$1204,C136,Sales!$R$5:$R$1204,B136,Sales!$H$5:$H$1204,"Retail"),2))</f>
        <v>0</v>
      </c>
      <c r="O136" s="26">
        <f>IF(B136="","",ROUND(SUMIFS(Sales!$AB$5:$AB$1204,Sales!$F$5:$F$1204,C136,Sales!$R$5:$R$1204,B136,Sales!$H$5:$H$1204,"Service"),2))</f>
        <v>0</v>
      </c>
      <c r="P136" s="25">
        <f>IF(B136="","",COUNTIFS(Sales!$F$5:$F$1204,C136,Sales!$R$5:$R$1204,B136,Sales!$H$5:$H$1204,"Service"))</f>
        <v>0</v>
      </c>
      <c r="Q136" s="26">
        <f>IF(B136="","",IF(CommissionOn="Gross before discounts",L136,K136))</f>
        <v>0</v>
      </c>
      <c r="R136" s="26">
        <f>IF(B136="","",IF(CommissionOn="Gross before discounts",N136,M136))</f>
        <v>0</v>
      </c>
      <c r="S136" s="27">
        <f>IF(B136="","",IF(E136="Tiered on monthly service revenue",IFERROR(INDEX(TierRate,MATCH(Q136,TierFrom,1)),0),IFERROR(IF(INDEX(Staff!$M$5:$M$44,MATCH(C136,Staff!$A$5:$A$44,0))="",ServiceCommission,INDEX(Staff!$M$5:$M$44,MATCH(C136,Staff!$A$5:$A$44,0))),ServiceCommission)))</f>
        <v>0</v>
      </c>
      <c r="T136" s="27">
        <f>IF(B136="","",IFERROR(IF(INDEX(Staff!$N$5:$N$44,MATCH(C136,Staff!$A$5:$A$44,0))="",RetailCommission,INDEX(Staff!$N$5:$N$44,MATCH(C136,Staff!$A$5:$A$44,0))),RetailCommission))</f>
        <v>0</v>
      </c>
      <c r="U136" s="26">
        <f>IF(B136="","",IFERROR(INDEX(Staff!$O$5:$O$44,MATCH(C136,Staff!$A$5:$A$44,0))*1,0))</f>
        <v>0</v>
      </c>
      <c r="V136" s="26">
        <f>IF(B136="","",ROUND(IF(E136="Percent of service",Q136*S136,IF(E136="Percent of service and retail",Q136*S136+R136*T136,IF(E136="Percent after product cost",MAX(0,Q136-O136)*S136,IF(E136="Tiered on monthly service revenue",Q136*S136,IF(E136="Flat amount per service",P136*U136,0))))),2))</f>
        <v>0</v>
      </c>
      <c r="W136" s="26">
        <f>IF(B136="","",ROUND(SUMIFS(Payments!$G$5:$G$1204,Payments!$J$5:$J$1204,C136,Payments!$O$5:$O$1204,B136,Payments!$E$5:$E$1204,"Tip"),2))</f>
        <v>0</v>
      </c>
      <c r="X136" s="26">
        <f>IF(B136="","",ROUND(V136+IF(F136="",0,F136)+IF(G136="",0,G136),2))</f>
        <v>0</v>
      </c>
      <c r="Y136" s="27">
        <f>IF(B136="","",IF(Q136+R136=0,"",X136/(Q136+R136)))</f>
        <v>0</v>
      </c>
      <c r="Z136" s="25">
        <f>IF(B136="","",COUNTIFS($V$5:$V$244,"&gt;"&amp;V136)+COUNTIFS($V$5:V136,V136))</f>
        <v>0</v>
      </c>
      <c r="AA136" s="39">
        <f>IF(B136="","",IF(C136="","Add - whose commission is this?",IF(COUNTIFS($B$5:$B$244,B136,$C$5:$C$244,C136)&gt;1,"Duplicate - two rows for the same month",IF(E136="None","",IF(E136="Rent a chair","",IF(E136="Hourly only","",IF(X136=0,"Check - nothing calculated",IF(H136&lt;&gt;"Yes","Due - waiting for approval",IF(I136="","Due - approved but not paid","OK")))))))))</f>
        <v>0</v>
      </c>
    </row>
    <row r="137" spans="1:27">
      <c r="A137" s="28">
        <f>IF(B137="","",CommissionPrefix&amp;TEXT(ROW()-4,"0000"))</f>
        <v>0</v>
      </c>
      <c r="D137" s="15">
        <f>IF(C137="","",IFERROR(INDEX(Staff!$B$5:$B$44,MATCH(C137,Staff!$A$5:$A$44,0)),"Not in Staff"))</f>
        <v>0</v>
      </c>
      <c r="E137" s="15">
        <f>IF(C137="","",IFERROR(INDEX(Staff!$L$5:$L$44,MATCH(C137,Staff!$A$5:$A$44,0)),"None"))</f>
        <v>0</v>
      </c>
      <c r="K137" s="26">
        <f>IF(B137="","",ROUND(SUMIFS(Sales!$Y$5:$Y$1204,Sales!$F$5:$F$1204,C137,Sales!$R$5:$R$1204,B137,Sales!$H$5:$H$1204,"Service"),2))</f>
        <v>0</v>
      </c>
      <c r="L137" s="26">
        <f>IF(B137="","",ROUND(SUMIFS(Sales!$W$5:$W$1204,Sales!$F$5:$F$1204,C137,Sales!$R$5:$R$1204,B137,Sales!$H$5:$H$1204,"Service"),2))</f>
        <v>0</v>
      </c>
      <c r="M137" s="26">
        <f>IF(B137="","",ROUND(SUMIFS(Sales!$Y$5:$Y$1204,Sales!$F$5:$F$1204,C137,Sales!$R$5:$R$1204,B137,Sales!$H$5:$H$1204,"Retail"),2))</f>
        <v>0</v>
      </c>
      <c r="N137" s="26">
        <f>IF(B137="","",ROUND(SUMIFS(Sales!$W$5:$W$1204,Sales!$F$5:$F$1204,C137,Sales!$R$5:$R$1204,B137,Sales!$H$5:$H$1204,"Retail"),2))</f>
        <v>0</v>
      </c>
      <c r="O137" s="26">
        <f>IF(B137="","",ROUND(SUMIFS(Sales!$AB$5:$AB$1204,Sales!$F$5:$F$1204,C137,Sales!$R$5:$R$1204,B137,Sales!$H$5:$H$1204,"Service"),2))</f>
        <v>0</v>
      </c>
      <c r="P137" s="25">
        <f>IF(B137="","",COUNTIFS(Sales!$F$5:$F$1204,C137,Sales!$R$5:$R$1204,B137,Sales!$H$5:$H$1204,"Service"))</f>
        <v>0</v>
      </c>
      <c r="Q137" s="26">
        <f>IF(B137="","",IF(CommissionOn="Gross before discounts",L137,K137))</f>
        <v>0</v>
      </c>
      <c r="R137" s="26">
        <f>IF(B137="","",IF(CommissionOn="Gross before discounts",N137,M137))</f>
        <v>0</v>
      </c>
      <c r="S137" s="27">
        <f>IF(B137="","",IF(E137="Tiered on monthly service revenue",IFERROR(INDEX(TierRate,MATCH(Q137,TierFrom,1)),0),IFERROR(IF(INDEX(Staff!$M$5:$M$44,MATCH(C137,Staff!$A$5:$A$44,0))="",ServiceCommission,INDEX(Staff!$M$5:$M$44,MATCH(C137,Staff!$A$5:$A$44,0))),ServiceCommission)))</f>
        <v>0</v>
      </c>
      <c r="T137" s="27">
        <f>IF(B137="","",IFERROR(IF(INDEX(Staff!$N$5:$N$44,MATCH(C137,Staff!$A$5:$A$44,0))="",RetailCommission,INDEX(Staff!$N$5:$N$44,MATCH(C137,Staff!$A$5:$A$44,0))),RetailCommission))</f>
        <v>0</v>
      </c>
      <c r="U137" s="26">
        <f>IF(B137="","",IFERROR(INDEX(Staff!$O$5:$O$44,MATCH(C137,Staff!$A$5:$A$44,0))*1,0))</f>
        <v>0</v>
      </c>
      <c r="V137" s="26">
        <f>IF(B137="","",ROUND(IF(E137="Percent of service",Q137*S137,IF(E137="Percent of service and retail",Q137*S137+R137*T137,IF(E137="Percent after product cost",MAX(0,Q137-O137)*S137,IF(E137="Tiered on monthly service revenue",Q137*S137,IF(E137="Flat amount per service",P137*U137,0))))),2))</f>
        <v>0</v>
      </c>
      <c r="W137" s="26">
        <f>IF(B137="","",ROUND(SUMIFS(Payments!$G$5:$G$1204,Payments!$J$5:$J$1204,C137,Payments!$O$5:$O$1204,B137,Payments!$E$5:$E$1204,"Tip"),2))</f>
        <v>0</v>
      </c>
      <c r="X137" s="26">
        <f>IF(B137="","",ROUND(V137+IF(F137="",0,F137)+IF(G137="",0,G137),2))</f>
        <v>0</v>
      </c>
      <c r="Y137" s="27">
        <f>IF(B137="","",IF(Q137+R137=0,"",X137/(Q137+R137)))</f>
        <v>0</v>
      </c>
      <c r="Z137" s="25">
        <f>IF(B137="","",COUNTIFS($V$5:$V$244,"&gt;"&amp;V137)+COUNTIFS($V$5:V137,V137))</f>
        <v>0</v>
      </c>
      <c r="AA137" s="39">
        <f>IF(B137="","",IF(C137="","Add - whose commission is this?",IF(COUNTIFS($B$5:$B$244,B137,$C$5:$C$244,C137)&gt;1,"Duplicate - two rows for the same month",IF(E137="None","",IF(E137="Rent a chair","",IF(E137="Hourly only","",IF(X137=0,"Check - nothing calculated",IF(H137&lt;&gt;"Yes","Due - waiting for approval",IF(I137="","Due - approved but not paid","OK")))))))))</f>
        <v>0</v>
      </c>
    </row>
    <row r="138" spans="1:27">
      <c r="A138" s="28">
        <f>IF(B138="","",CommissionPrefix&amp;TEXT(ROW()-4,"0000"))</f>
        <v>0</v>
      </c>
      <c r="D138" s="15">
        <f>IF(C138="","",IFERROR(INDEX(Staff!$B$5:$B$44,MATCH(C138,Staff!$A$5:$A$44,0)),"Not in Staff"))</f>
        <v>0</v>
      </c>
      <c r="E138" s="15">
        <f>IF(C138="","",IFERROR(INDEX(Staff!$L$5:$L$44,MATCH(C138,Staff!$A$5:$A$44,0)),"None"))</f>
        <v>0</v>
      </c>
      <c r="K138" s="26">
        <f>IF(B138="","",ROUND(SUMIFS(Sales!$Y$5:$Y$1204,Sales!$F$5:$F$1204,C138,Sales!$R$5:$R$1204,B138,Sales!$H$5:$H$1204,"Service"),2))</f>
        <v>0</v>
      </c>
      <c r="L138" s="26">
        <f>IF(B138="","",ROUND(SUMIFS(Sales!$W$5:$W$1204,Sales!$F$5:$F$1204,C138,Sales!$R$5:$R$1204,B138,Sales!$H$5:$H$1204,"Service"),2))</f>
        <v>0</v>
      </c>
      <c r="M138" s="26">
        <f>IF(B138="","",ROUND(SUMIFS(Sales!$Y$5:$Y$1204,Sales!$F$5:$F$1204,C138,Sales!$R$5:$R$1204,B138,Sales!$H$5:$H$1204,"Retail"),2))</f>
        <v>0</v>
      </c>
      <c r="N138" s="26">
        <f>IF(B138="","",ROUND(SUMIFS(Sales!$W$5:$W$1204,Sales!$F$5:$F$1204,C138,Sales!$R$5:$R$1204,B138,Sales!$H$5:$H$1204,"Retail"),2))</f>
        <v>0</v>
      </c>
      <c r="O138" s="26">
        <f>IF(B138="","",ROUND(SUMIFS(Sales!$AB$5:$AB$1204,Sales!$F$5:$F$1204,C138,Sales!$R$5:$R$1204,B138,Sales!$H$5:$H$1204,"Service"),2))</f>
        <v>0</v>
      </c>
      <c r="P138" s="25">
        <f>IF(B138="","",COUNTIFS(Sales!$F$5:$F$1204,C138,Sales!$R$5:$R$1204,B138,Sales!$H$5:$H$1204,"Service"))</f>
        <v>0</v>
      </c>
      <c r="Q138" s="26">
        <f>IF(B138="","",IF(CommissionOn="Gross before discounts",L138,K138))</f>
        <v>0</v>
      </c>
      <c r="R138" s="26">
        <f>IF(B138="","",IF(CommissionOn="Gross before discounts",N138,M138))</f>
        <v>0</v>
      </c>
      <c r="S138" s="27">
        <f>IF(B138="","",IF(E138="Tiered on monthly service revenue",IFERROR(INDEX(TierRate,MATCH(Q138,TierFrom,1)),0),IFERROR(IF(INDEX(Staff!$M$5:$M$44,MATCH(C138,Staff!$A$5:$A$44,0))="",ServiceCommission,INDEX(Staff!$M$5:$M$44,MATCH(C138,Staff!$A$5:$A$44,0))),ServiceCommission)))</f>
        <v>0</v>
      </c>
      <c r="T138" s="27">
        <f>IF(B138="","",IFERROR(IF(INDEX(Staff!$N$5:$N$44,MATCH(C138,Staff!$A$5:$A$44,0))="",RetailCommission,INDEX(Staff!$N$5:$N$44,MATCH(C138,Staff!$A$5:$A$44,0))),RetailCommission))</f>
        <v>0</v>
      </c>
      <c r="U138" s="26">
        <f>IF(B138="","",IFERROR(INDEX(Staff!$O$5:$O$44,MATCH(C138,Staff!$A$5:$A$44,0))*1,0))</f>
        <v>0</v>
      </c>
      <c r="V138" s="26">
        <f>IF(B138="","",ROUND(IF(E138="Percent of service",Q138*S138,IF(E138="Percent of service and retail",Q138*S138+R138*T138,IF(E138="Percent after product cost",MAX(0,Q138-O138)*S138,IF(E138="Tiered on monthly service revenue",Q138*S138,IF(E138="Flat amount per service",P138*U138,0))))),2))</f>
        <v>0</v>
      </c>
      <c r="W138" s="26">
        <f>IF(B138="","",ROUND(SUMIFS(Payments!$G$5:$G$1204,Payments!$J$5:$J$1204,C138,Payments!$O$5:$O$1204,B138,Payments!$E$5:$E$1204,"Tip"),2))</f>
        <v>0</v>
      </c>
      <c r="X138" s="26">
        <f>IF(B138="","",ROUND(V138+IF(F138="",0,F138)+IF(G138="",0,G138),2))</f>
        <v>0</v>
      </c>
      <c r="Y138" s="27">
        <f>IF(B138="","",IF(Q138+R138=0,"",X138/(Q138+R138)))</f>
        <v>0</v>
      </c>
      <c r="Z138" s="25">
        <f>IF(B138="","",COUNTIFS($V$5:$V$244,"&gt;"&amp;V138)+COUNTIFS($V$5:V138,V138))</f>
        <v>0</v>
      </c>
      <c r="AA138" s="39">
        <f>IF(B138="","",IF(C138="","Add - whose commission is this?",IF(COUNTIFS($B$5:$B$244,B138,$C$5:$C$244,C138)&gt;1,"Duplicate - two rows for the same month",IF(E138="None","",IF(E138="Rent a chair","",IF(E138="Hourly only","",IF(X138=0,"Check - nothing calculated",IF(H138&lt;&gt;"Yes","Due - waiting for approval",IF(I138="","Due - approved but not paid","OK")))))))))</f>
        <v>0</v>
      </c>
    </row>
    <row r="139" spans="1:27">
      <c r="A139" s="28">
        <f>IF(B139="","",CommissionPrefix&amp;TEXT(ROW()-4,"0000"))</f>
        <v>0</v>
      </c>
      <c r="D139" s="15">
        <f>IF(C139="","",IFERROR(INDEX(Staff!$B$5:$B$44,MATCH(C139,Staff!$A$5:$A$44,0)),"Not in Staff"))</f>
        <v>0</v>
      </c>
      <c r="E139" s="15">
        <f>IF(C139="","",IFERROR(INDEX(Staff!$L$5:$L$44,MATCH(C139,Staff!$A$5:$A$44,0)),"None"))</f>
        <v>0</v>
      </c>
      <c r="K139" s="26">
        <f>IF(B139="","",ROUND(SUMIFS(Sales!$Y$5:$Y$1204,Sales!$F$5:$F$1204,C139,Sales!$R$5:$R$1204,B139,Sales!$H$5:$H$1204,"Service"),2))</f>
        <v>0</v>
      </c>
      <c r="L139" s="26">
        <f>IF(B139="","",ROUND(SUMIFS(Sales!$W$5:$W$1204,Sales!$F$5:$F$1204,C139,Sales!$R$5:$R$1204,B139,Sales!$H$5:$H$1204,"Service"),2))</f>
        <v>0</v>
      </c>
      <c r="M139" s="26">
        <f>IF(B139="","",ROUND(SUMIFS(Sales!$Y$5:$Y$1204,Sales!$F$5:$F$1204,C139,Sales!$R$5:$R$1204,B139,Sales!$H$5:$H$1204,"Retail"),2))</f>
        <v>0</v>
      </c>
      <c r="N139" s="26">
        <f>IF(B139="","",ROUND(SUMIFS(Sales!$W$5:$W$1204,Sales!$F$5:$F$1204,C139,Sales!$R$5:$R$1204,B139,Sales!$H$5:$H$1204,"Retail"),2))</f>
        <v>0</v>
      </c>
      <c r="O139" s="26">
        <f>IF(B139="","",ROUND(SUMIFS(Sales!$AB$5:$AB$1204,Sales!$F$5:$F$1204,C139,Sales!$R$5:$R$1204,B139,Sales!$H$5:$H$1204,"Service"),2))</f>
        <v>0</v>
      </c>
      <c r="P139" s="25">
        <f>IF(B139="","",COUNTIFS(Sales!$F$5:$F$1204,C139,Sales!$R$5:$R$1204,B139,Sales!$H$5:$H$1204,"Service"))</f>
        <v>0</v>
      </c>
      <c r="Q139" s="26">
        <f>IF(B139="","",IF(CommissionOn="Gross before discounts",L139,K139))</f>
        <v>0</v>
      </c>
      <c r="R139" s="26">
        <f>IF(B139="","",IF(CommissionOn="Gross before discounts",N139,M139))</f>
        <v>0</v>
      </c>
      <c r="S139" s="27">
        <f>IF(B139="","",IF(E139="Tiered on monthly service revenue",IFERROR(INDEX(TierRate,MATCH(Q139,TierFrom,1)),0),IFERROR(IF(INDEX(Staff!$M$5:$M$44,MATCH(C139,Staff!$A$5:$A$44,0))="",ServiceCommission,INDEX(Staff!$M$5:$M$44,MATCH(C139,Staff!$A$5:$A$44,0))),ServiceCommission)))</f>
        <v>0</v>
      </c>
      <c r="T139" s="27">
        <f>IF(B139="","",IFERROR(IF(INDEX(Staff!$N$5:$N$44,MATCH(C139,Staff!$A$5:$A$44,0))="",RetailCommission,INDEX(Staff!$N$5:$N$44,MATCH(C139,Staff!$A$5:$A$44,0))),RetailCommission))</f>
        <v>0</v>
      </c>
      <c r="U139" s="26">
        <f>IF(B139="","",IFERROR(INDEX(Staff!$O$5:$O$44,MATCH(C139,Staff!$A$5:$A$44,0))*1,0))</f>
        <v>0</v>
      </c>
      <c r="V139" s="26">
        <f>IF(B139="","",ROUND(IF(E139="Percent of service",Q139*S139,IF(E139="Percent of service and retail",Q139*S139+R139*T139,IF(E139="Percent after product cost",MAX(0,Q139-O139)*S139,IF(E139="Tiered on monthly service revenue",Q139*S139,IF(E139="Flat amount per service",P139*U139,0))))),2))</f>
        <v>0</v>
      </c>
      <c r="W139" s="26">
        <f>IF(B139="","",ROUND(SUMIFS(Payments!$G$5:$G$1204,Payments!$J$5:$J$1204,C139,Payments!$O$5:$O$1204,B139,Payments!$E$5:$E$1204,"Tip"),2))</f>
        <v>0</v>
      </c>
      <c r="X139" s="26">
        <f>IF(B139="","",ROUND(V139+IF(F139="",0,F139)+IF(G139="",0,G139),2))</f>
        <v>0</v>
      </c>
      <c r="Y139" s="27">
        <f>IF(B139="","",IF(Q139+R139=0,"",X139/(Q139+R139)))</f>
        <v>0</v>
      </c>
      <c r="Z139" s="25">
        <f>IF(B139="","",COUNTIFS($V$5:$V$244,"&gt;"&amp;V139)+COUNTIFS($V$5:V139,V139))</f>
        <v>0</v>
      </c>
      <c r="AA139" s="39">
        <f>IF(B139="","",IF(C139="","Add - whose commission is this?",IF(COUNTIFS($B$5:$B$244,B139,$C$5:$C$244,C139)&gt;1,"Duplicate - two rows for the same month",IF(E139="None","",IF(E139="Rent a chair","",IF(E139="Hourly only","",IF(X139=0,"Check - nothing calculated",IF(H139&lt;&gt;"Yes","Due - waiting for approval",IF(I139="","Due - approved but not paid","OK")))))))))</f>
        <v>0</v>
      </c>
    </row>
    <row r="140" spans="1:27">
      <c r="A140" s="28">
        <f>IF(B140="","",CommissionPrefix&amp;TEXT(ROW()-4,"0000"))</f>
        <v>0</v>
      </c>
      <c r="D140" s="15">
        <f>IF(C140="","",IFERROR(INDEX(Staff!$B$5:$B$44,MATCH(C140,Staff!$A$5:$A$44,0)),"Not in Staff"))</f>
        <v>0</v>
      </c>
      <c r="E140" s="15">
        <f>IF(C140="","",IFERROR(INDEX(Staff!$L$5:$L$44,MATCH(C140,Staff!$A$5:$A$44,0)),"None"))</f>
        <v>0</v>
      </c>
      <c r="K140" s="26">
        <f>IF(B140="","",ROUND(SUMIFS(Sales!$Y$5:$Y$1204,Sales!$F$5:$F$1204,C140,Sales!$R$5:$R$1204,B140,Sales!$H$5:$H$1204,"Service"),2))</f>
        <v>0</v>
      </c>
      <c r="L140" s="26">
        <f>IF(B140="","",ROUND(SUMIFS(Sales!$W$5:$W$1204,Sales!$F$5:$F$1204,C140,Sales!$R$5:$R$1204,B140,Sales!$H$5:$H$1204,"Service"),2))</f>
        <v>0</v>
      </c>
      <c r="M140" s="26">
        <f>IF(B140="","",ROUND(SUMIFS(Sales!$Y$5:$Y$1204,Sales!$F$5:$F$1204,C140,Sales!$R$5:$R$1204,B140,Sales!$H$5:$H$1204,"Retail"),2))</f>
        <v>0</v>
      </c>
      <c r="N140" s="26">
        <f>IF(B140="","",ROUND(SUMIFS(Sales!$W$5:$W$1204,Sales!$F$5:$F$1204,C140,Sales!$R$5:$R$1204,B140,Sales!$H$5:$H$1204,"Retail"),2))</f>
        <v>0</v>
      </c>
      <c r="O140" s="26">
        <f>IF(B140="","",ROUND(SUMIFS(Sales!$AB$5:$AB$1204,Sales!$F$5:$F$1204,C140,Sales!$R$5:$R$1204,B140,Sales!$H$5:$H$1204,"Service"),2))</f>
        <v>0</v>
      </c>
      <c r="P140" s="25">
        <f>IF(B140="","",COUNTIFS(Sales!$F$5:$F$1204,C140,Sales!$R$5:$R$1204,B140,Sales!$H$5:$H$1204,"Service"))</f>
        <v>0</v>
      </c>
      <c r="Q140" s="26">
        <f>IF(B140="","",IF(CommissionOn="Gross before discounts",L140,K140))</f>
        <v>0</v>
      </c>
      <c r="R140" s="26">
        <f>IF(B140="","",IF(CommissionOn="Gross before discounts",N140,M140))</f>
        <v>0</v>
      </c>
      <c r="S140" s="27">
        <f>IF(B140="","",IF(E140="Tiered on monthly service revenue",IFERROR(INDEX(TierRate,MATCH(Q140,TierFrom,1)),0),IFERROR(IF(INDEX(Staff!$M$5:$M$44,MATCH(C140,Staff!$A$5:$A$44,0))="",ServiceCommission,INDEX(Staff!$M$5:$M$44,MATCH(C140,Staff!$A$5:$A$44,0))),ServiceCommission)))</f>
        <v>0</v>
      </c>
      <c r="T140" s="27">
        <f>IF(B140="","",IFERROR(IF(INDEX(Staff!$N$5:$N$44,MATCH(C140,Staff!$A$5:$A$44,0))="",RetailCommission,INDEX(Staff!$N$5:$N$44,MATCH(C140,Staff!$A$5:$A$44,0))),RetailCommission))</f>
        <v>0</v>
      </c>
      <c r="U140" s="26">
        <f>IF(B140="","",IFERROR(INDEX(Staff!$O$5:$O$44,MATCH(C140,Staff!$A$5:$A$44,0))*1,0))</f>
        <v>0</v>
      </c>
      <c r="V140" s="26">
        <f>IF(B140="","",ROUND(IF(E140="Percent of service",Q140*S140,IF(E140="Percent of service and retail",Q140*S140+R140*T140,IF(E140="Percent after product cost",MAX(0,Q140-O140)*S140,IF(E140="Tiered on monthly service revenue",Q140*S140,IF(E140="Flat amount per service",P140*U140,0))))),2))</f>
        <v>0</v>
      </c>
      <c r="W140" s="26">
        <f>IF(B140="","",ROUND(SUMIFS(Payments!$G$5:$G$1204,Payments!$J$5:$J$1204,C140,Payments!$O$5:$O$1204,B140,Payments!$E$5:$E$1204,"Tip"),2))</f>
        <v>0</v>
      </c>
      <c r="X140" s="26">
        <f>IF(B140="","",ROUND(V140+IF(F140="",0,F140)+IF(G140="",0,G140),2))</f>
        <v>0</v>
      </c>
      <c r="Y140" s="27">
        <f>IF(B140="","",IF(Q140+R140=0,"",X140/(Q140+R140)))</f>
        <v>0</v>
      </c>
      <c r="Z140" s="25">
        <f>IF(B140="","",COUNTIFS($V$5:$V$244,"&gt;"&amp;V140)+COUNTIFS($V$5:V140,V140))</f>
        <v>0</v>
      </c>
      <c r="AA140" s="39">
        <f>IF(B140="","",IF(C140="","Add - whose commission is this?",IF(COUNTIFS($B$5:$B$244,B140,$C$5:$C$244,C140)&gt;1,"Duplicate - two rows for the same month",IF(E140="None","",IF(E140="Rent a chair","",IF(E140="Hourly only","",IF(X140=0,"Check - nothing calculated",IF(H140&lt;&gt;"Yes","Due - waiting for approval",IF(I140="","Due - approved but not paid","OK")))))))))</f>
        <v>0</v>
      </c>
    </row>
    <row r="141" spans="1:27">
      <c r="A141" s="28">
        <f>IF(B141="","",CommissionPrefix&amp;TEXT(ROW()-4,"0000"))</f>
        <v>0</v>
      </c>
      <c r="D141" s="15">
        <f>IF(C141="","",IFERROR(INDEX(Staff!$B$5:$B$44,MATCH(C141,Staff!$A$5:$A$44,0)),"Not in Staff"))</f>
        <v>0</v>
      </c>
      <c r="E141" s="15">
        <f>IF(C141="","",IFERROR(INDEX(Staff!$L$5:$L$44,MATCH(C141,Staff!$A$5:$A$44,0)),"None"))</f>
        <v>0</v>
      </c>
      <c r="K141" s="26">
        <f>IF(B141="","",ROUND(SUMIFS(Sales!$Y$5:$Y$1204,Sales!$F$5:$F$1204,C141,Sales!$R$5:$R$1204,B141,Sales!$H$5:$H$1204,"Service"),2))</f>
        <v>0</v>
      </c>
      <c r="L141" s="26">
        <f>IF(B141="","",ROUND(SUMIFS(Sales!$W$5:$W$1204,Sales!$F$5:$F$1204,C141,Sales!$R$5:$R$1204,B141,Sales!$H$5:$H$1204,"Service"),2))</f>
        <v>0</v>
      </c>
      <c r="M141" s="26">
        <f>IF(B141="","",ROUND(SUMIFS(Sales!$Y$5:$Y$1204,Sales!$F$5:$F$1204,C141,Sales!$R$5:$R$1204,B141,Sales!$H$5:$H$1204,"Retail"),2))</f>
        <v>0</v>
      </c>
      <c r="N141" s="26">
        <f>IF(B141="","",ROUND(SUMIFS(Sales!$W$5:$W$1204,Sales!$F$5:$F$1204,C141,Sales!$R$5:$R$1204,B141,Sales!$H$5:$H$1204,"Retail"),2))</f>
        <v>0</v>
      </c>
      <c r="O141" s="26">
        <f>IF(B141="","",ROUND(SUMIFS(Sales!$AB$5:$AB$1204,Sales!$F$5:$F$1204,C141,Sales!$R$5:$R$1204,B141,Sales!$H$5:$H$1204,"Service"),2))</f>
        <v>0</v>
      </c>
      <c r="P141" s="25">
        <f>IF(B141="","",COUNTIFS(Sales!$F$5:$F$1204,C141,Sales!$R$5:$R$1204,B141,Sales!$H$5:$H$1204,"Service"))</f>
        <v>0</v>
      </c>
      <c r="Q141" s="26">
        <f>IF(B141="","",IF(CommissionOn="Gross before discounts",L141,K141))</f>
        <v>0</v>
      </c>
      <c r="R141" s="26">
        <f>IF(B141="","",IF(CommissionOn="Gross before discounts",N141,M141))</f>
        <v>0</v>
      </c>
      <c r="S141" s="27">
        <f>IF(B141="","",IF(E141="Tiered on monthly service revenue",IFERROR(INDEX(TierRate,MATCH(Q141,TierFrom,1)),0),IFERROR(IF(INDEX(Staff!$M$5:$M$44,MATCH(C141,Staff!$A$5:$A$44,0))="",ServiceCommission,INDEX(Staff!$M$5:$M$44,MATCH(C141,Staff!$A$5:$A$44,0))),ServiceCommission)))</f>
        <v>0</v>
      </c>
      <c r="T141" s="27">
        <f>IF(B141="","",IFERROR(IF(INDEX(Staff!$N$5:$N$44,MATCH(C141,Staff!$A$5:$A$44,0))="",RetailCommission,INDEX(Staff!$N$5:$N$44,MATCH(C141,Staff!$A$5:$A$44,0))),RetailCommission))</f>
        <v>0</v>
      </c>
      <c r="U141" s="26">
        <f>IF(B141="","",IFERROR(INDEX(Staff!$O$5:$O$44,MATCH(C141,Staff!$A$5:$A$44,0))*1,0))</f>
        <v>0</v>
      </c>
      <c r="V141" s="26">
        <f>IF(B141="","",ROUND(IF(E141="Percent of service",Q141*S141,IF(E141="Percent of service and retail",Q141*S141+R141*T141,IF(E141="Percent after product cost",MAX(0,Q141-O141)*S141,IF(E141="Tiered on monthly service revenue",Q141*S141,IF(E141="Flat amount per service",P141*U141,0))))),2))</f>
        <v>0</v>
      </c>
      <c r="W141" s="26">
        <f>IF(B141="","",ROUND(SUMIFS(Payments!$G$5:$G$1204,Payments!$J$5:$J$1204,C141,Payments!$O$5:$O$1204,B141,Payments!$E$5:$E$1204,"Tip"),2))</f>
        <v>0</v>
      </c>
      <c r="X141" s="26">
        <f>IF(B141="","",ROUND(V141+IF(F141="",0,F141)+IF(G141="",0,G141),2))</f>
        <v>0</v>
      </c>
      <c r="Y141" s="27">
        <f>IF(B141="","",IF(Q141+R141=0,"",X141/(Q141+R141)))</f>
        <v>0</v>
      </c>
      <c r="Z141" s="25">
        <f>IF(B141="","",COUNTIFS($V$5:$V$244,"&gt;"&amp;V141)+COUNTIFS($V$5:V141,V141))</f>
        <v>0</v>
      </c>
      <c r="AA141" s="39">
        <f>IF(B141="","",IF(C141="","Add - whose commission is this?",IF(COUNTIFS($B$5:$B$244,B141,$C$5:$C$244,C141)&gt;1,"Duplicate - two rows for the same month",IF(E141="None","",IF(E141="Rent a chair","",IF(E141="Hourly only","",IF(X141=0,"Check - nothing calculated",IF(H141&lt;&gt;"Yes","Due - waiting for approval",IF(I141="","Due - approved but not paid","OK")))))))))</f>
        <v>0</v>
      </c>
    </row>
    <row r="142" spans="1:27">
      <c r="A142" s="28">
        <f>IF(B142="","",CommissionPrefix&amp;TEXT(ROW()-4,"0000"))</f>
        <v>0</v>
      </c>
      <c r="D142" s="15">
        <f>IF(C142="","",IFERROR(INDEX(Staff!$B$5:$B$44,MATCH(C142,Staff!$A$5:$A$44,0)),"Not in Staff"))</f>
        <v>0</v>
      </c>
      <c r="E142" s="15">
        <f>IF(C142="","",IFERROR(INDEX(Staff!$L$5:$L$44,MATCH(C142,Staff!$A$5:$A$44,0)),"None"))</f>
        <v>0</v>
      </c>
      <c r="K142" s="26">
        <f>IF(B142="","",ROUND(SUMIFS(Sales!$Y$5:$Y$1204,Sales!$F$5:$F$1204,C142,Sales!$R$5:$R$1204,B142,Sales!$H$5:$H$1204,"Service"),2))</f>
        <v>0</v>
      </c>
      <c r="L142" s="26">
        <f>IF(B142="","",ROUND(SUMIFS(Sales!$W$5:$W$1204,Sales!$F$5:$F$1204,C142,Sales!$R$5:$R$1204,B142,Sales!$H$5:$H$1204,"Service"),2))</f>
        <v>0</v>
      </c>
      <c r="M142" s="26">
        <f>IF(B142="","",ROUND(SUMIFS(Sales!$Y$5:$Y$1204,Sales!$F$5:$F$1204,C142,Sales!$R$5:$R$1204,B142,Sales!$H$5:$H$1204,"Retail"),2))</f>
        <v>0</v>
      </c>
      <c r="N142" s="26">
        <f>IF(B142="","",ROUND(SUMIFS(Sales!$W$5:$W$1204,Sales!$F$5:$F$1204,C142,Sales!$R$5:$R$1204,B142,Sales!$H$5:$H$1204,"Retail"),2))</f>
        <v>0</v>
      </c>
      <c r="O142" s="26">
        <f>IF(B142="","",ROUND(SUMIFS(Sales!$AB$5:$AB$1204,Sales!$F$5:$F$1204,C142,Sales!$R$5:$R$1204,B142,Sales!$H$5:$H$1204,"Service"),2))</f>
        <v>0</v>
      </c>
      <c r="P142" s="25">
        <f>IF(B142="","",COUNTIFS(Sales!$F$5:$F$1204,C142,Sales!$R$5:$R$1204,B142,Sales!$H$5:$H$1204,"Service"))</f>
        <v>0</v>
      </c>
      <c r="Q142" s="26">
        <f>IF(B142="","",IF(CommissionOn="Gross before discounts",L142,K142))</f>
        <v>0</v>
      </c>
      <c r="R142" s="26">
        <f>IF(B142="","",IF(CommissionOn="Gross before discounts",N142,M142))</f>
        <v>0</v>
      </c>
      <c r="S142" s="27">
        <f>IF(B142="","",IF(E142="Tiered on monthly service revenue",IFERROR(INDEX(TierRate,MATCH(Q142,TierFrom,1)),0),IFERROR(IF(INDEX(Staff!$M$5:$M$44,MATCH(C142,Staff!$A$5:$A$44,0))="",ServiceCommission,INDEX(Staff!$M$5:$M$44,MATCH(C142,Staff!$A$5:$A$44,0))),ServiceCommission)))</f>
        <v>0</v>
      </c>
      <c r="T142" s="27">
        <f>IF(B142="","",IFERROR(IF(INDEX(Staff!$N$5:$N$44,MATCH(C142,Staff!$A$5:$A$44,0))="",RetailCommission,INDEX(Staff!$N$5:$N$44,MATCH(C142,Staff!$A$5:$A$44,0))),RetailCommission))</f>
        <v>0</v>
      </c>
      <c r="U142" s="26">
        <f>IF(B142="","",IFERROR(INDEX(Staff!$O$5:$O$44,MATCH(C142,Staff!$A$5:$A$44,0))*1,0))</f>
        <v>0</v>
      </c>
      <c r="V142" s="26">
        <f>IF(B142="","",ROUND(IF(E142="Percent of service",Q142*S142,IF(E142="Percent of service and retail",Q142*S142+R142*T142,IF(E142="Percent after product cost",MAX(0,Q142-O142)*S142,IF(E142="Tiered on monthly service revenue",Q142*S142,IF(E142="Flat amount per service",P142*U142,0))))),2))</f>
        <v>0</v>
      </c>
      <c r="W142" s="26">
        <f>IF(B142="","",ROUND(SUMIFS(Payments!$G$5:$G$1204,Payments!$J$5:$J$1204,C142,Payments!$O$5:$O$1204,B142,Payments!$E$5:$E$1204,"Tip"),2))</f>
        <v>0</v>
      </c>
      <c r="X142" s="26">
        <f>IF(B142="","",ROUND(V142+IF(F142="",0,F142)+IF(G142="",0,G142),2))</f>
        <v>0</v>
      </c>
      <c r="Y142" s="27">
        <f>IF(B142="","",IF(Q142+R142=0,"",X142/(Q142+R142)))</f>
        <v>0</v>
      </c>
      <c r="Z142" s="25">
        <f>IF(B142="","",COUNTIFS($V$5:$V$244,"&gt;"&amp;V142)+COUNTIFS($V$5:V142,V142))</f>
        <v>0</v>
      </c>
      <c r="AA142" s="39">
        <f>IF(B142="","",IF(C142="","Add - whose commission is this?",IF(COUNTIFS($B$5:$B$244,B142,$C$5:$C$244,C142)&gt;1,"Duplicate - two rows for the same month",IF(E142="None","",IF(E142="Rent a chair","",IF(E142="Hourly only","",IF(X142=0,"Check - nothing calculated",IF(H142&lt;&gt;"Yes","Due - waiting for approval",IF(I142="","Due - approved but not paid","OK")))))))))</f>
        <v>0</v>
      </c>
    </row>
    <row r="143" spans="1:27">
      <c r="A143" s="28">
        <f>IF(B143="","",CommissionPrefix&amp;TEXT(ROW()-4,"0000"))</f>
        <v>0</v>
      </c>
      <c r="D143" s="15">
        <f>IF(C143="","",IFERROR(INDEX(Staff!$B$5:$B$44,MATCH(C143,Staff!$A$5:$A$44,0)),"Not in Staff"))</f>
        <v>0</v>
      </c>
      <c r="E143" s="15">
        <f>IF(C143="","",IFERROR(INDEX(Staff!$L$5:$L$44,MATCH(C143,Staff!$A$5:$A$44,0)),"None"))</f>
        <v>0</v>
      </c>
      <c r="K143" s="26">
        <f>IF(B143="","",ROUND(SUMIFS(Sales!$Y$5:$Y$1204,Sales!$F$5:$F$1204,C143,Sales!$R$5:$R$1204,B143,Sales!$H$5:$H$1204,"Service"),2))</f>
        <v>0</v>
      </c>
      <c r="L143" s="26">
        <f>IF(B143="","",ROUND(SUMIFS(Sales!$W$5:$W$1204,Sales!$F$5:$F$1204,C143,Sales!$R$5:$R$1204,B143,Sales!$H$5:$H$1204,"Service"),2))</f>
        <v>0</v>
      </c>
      <c r="M143" s="26">
        <f>IF(B143="","",ROUND(SUMIFS(Sales!$Y$5:$Y$1204,Sales!$F$5:$F$1204,C143,Sales!$R$5:$R$1204,B143,Sales!$H$5:$H$1204,"Retail"),2))</f>
        <v>0</v>
      </c>
      <c r="N143" s="26">
        <f>IF(B143="","",ROUND(SUMIFS(Sales!$W$5:$W$1204,Sales!$F$5:$F$1204,C143,Sales!$R$5:$R$1204,B143,Sales!$H$5:$H$1204,"Retail"),2))</f>
        <v>0</v>
      </c>
      <c r="O143" s="26">
        <f>IF(B143="","",ROUND(SUMIFS(Sales!$AB$5:$AB$1204,Sales!$F$5:$F$1204,C143,Sales!$R$5:$R$1204,B143,Sales!$H$5:$H$1204,"Service"),2))</f>
        <v>0</v>
      </c>
      <c r="P143" s="25">
        <f>IF(B143="","",COUNTIFS(Sales!$F$5:$F$1204,C143,Sales!$R$5:$R$1204,B143,Sales!$H$5:$H$1204,"Service"))</f>
        <v>0</v>
      </c>
      <c r="Q143" s="26">
        <f>IF(B143="","",IF(CommissionOn="Gross before discounts",L143,K143))</f>
        <v>0</v>
      </c>
      <c r="R143" s="26">
        <f>IF(B143="","",IF(CommissionOn="Gross before discounts",N143,M143))</f>
        <v>0</v>
      </c>
      <c r="S143" s="27">
        <f>IF(B143="","",IF(E143="Tiered on monthly service revenue",IFERROR(INDEX(TierRate,MATCH(Q143,TierFrom,1)),0),IFERROR(IF(INDEX(Staff!$M$5:$M$44,MATCH(C143,Staff!$A$5:$A$44,0))="",ServiceCommission,INDEX(Staff!$M$5:$M$44,MATCH(C143,Staff!$A$5:$A$44,0))),ServiceCommission)))</f>
        <v>0</v>
      </c>
      <c r="T143" s="27">
        <f>IF(B143="","",IFERROR(IF(INDEX(Staff!$N$5:$N$44,MATCH(C143,Staff!$A$5:$A$44,0))="",RetailCommission,INDEX(Staff!$N$5:$N$44,MATCH(C143,Staff!$A$5:$A$44,0))),RetailCommission))</f>
        <v>0</v>
      </c>
      <c r="U143" s="26">
        <f>IF(B143="","",IFERROR(INDEX(Staff!$O$5:$O$44,MATCH(C143,Staff!$A$5:$A$44,0))*1,0))</f>
        <v>0</v>
      </c>
      <c r="V143" s="26">
        <f>IF(B143="","",ROUND(IF(E143="Percent of service",Q143*S143,IF(E143="Percent of service and retail",Q143*S143+R143*T143,IF(E143="Percent after product cost",MAX(0,Q143-O143)*S143,IF(E143="Tiered on monthly service revenue",Q143*S143,IF(E143="Flat amount per service",P143*U143,0))))),2))</f>
        <v>0</v>
      </c>
      <c r="W143" s="26">
        <f>IF(B143="","",ROUND(SUMIFS(Payments!$G$5:$G$1204,Payments!$J$5:$J$1204,C143,Payments!$O$5:$O$1204,B143,Payments!$E$5:$E$1204,"Tip"),2))</f>
        <v>0</v>
      </c>
      <c r="X143" s="26">
        <f>IF(B143="","",ROUND(V143+IF(F143="",0,F143)+IF(G143="",0,G143),2))</f>
        <v>0</v>
      </c>
      <c r="Y143" s="27">
        <f>IF(B143="","",IF(Q143+R143=0,"",X143/(Q143+R143)))</f>
        <v>0</v>
      </c>
      <c r="Z143" s="25">
        <f>IF(B143="","",COUNTIFS($V$5:$V$244,"&gt;"&amp;V143)+COUNTIFS($V$5:V143,V143))</f>
        <v>0</v>
      </c>
      <c r="AA143" s="39">
        <f>IF(B143="","",IF(C143="","Add - whose commission is this?",IF(COUNTIFS($B$5:$B$244,B143,$C$5:$C$244,C143)&gt;1,"Duplicate - two rows for the same month",IF(E143="None","",IF(E143="Rent a chair","",IF(E143="Hourly only","",IF(X143=0,"Check - nothing calculated",IF(H143&lt;&gt;"Yes","Due - waiting for approval",IF(I143="","Due - approved but not paid","OK")))))))))</f>
        <v>0</v>
      </c>
    </row>
    <row r="144" spans="1:27">
      <c r="A144" s="28">
        <f>IF(B144="","",CommissionPrefix&amp;TEXT(ROW()-4,"0000"))</f>
        <v>0</v>
      </c>
      <c r="D144" s="15">
        <f>IF(C144="","",IFERROR(INDEX(Staff!$B$5:$B$44,MATCH(C144,Staff!$A$5:$A$44,0)),"Not in Staff"))</f>
        <v>0</v>
      </c>
      <c r="E144" s="15">
        <f>IF(C144="","",IFERROR(INDEX(Staff!$L$5:$L$44,MATCH(C144,Staff!$A$5:$A$44,0)),"None"))</f>
        <v>0</v>
      </c>
      <c r="K144" s="26">
        <f>IF(B144="","",ROUND(SUMIFS(Sales!$Y$5:$Y$1204,Sales!$F$5:$F$1204,C144,Sales!$R$5:$R$1204,B144,Sales!$H$5:$H$1204,"Service"),2))</f>
        <v>0</v>
      </c>
      <c r="L144" s="26">
        <f>IF(B144="","",ROUND(SUMIFS(Sales!$W$5:$W$1204,Sales!$F$5:$F$1204,C144,Sales!$R$5:$R$1204,B144,Sales!$H$5:$H$1204,"Service"),2))</f>
        <v>0</v>
      </c>
      <c r="M144" s="26">
        <f>IF(B144="","",ROUND(SUMIFS(Sales!$Y$5:$Y$1204,Sales!$F$5:$F$1204,C144,Sales!$R$5:$R$1204,B144,Sales!$H$5:$H$1204,"Retail"),2))</f>
        <v>0</v>
      </c>
      <c r="N144" s="26">
        <f>IF(B144="","",ROUND(SUMIFS(Sales!$W$5:$W$1204,Sales!$F$5:$F$1204,C144,Sales!$R$5:$R$1204,B144,Sales!$H$5:$H$1204,"Retail"),2))</f>
        <v>0</v>
      </c>
      <c r="O144" s="26">
        <f>IF(B144="","",ROUND(SUMIFS(Sales!$AB$5:$AB$1204,Sales!$F$5:$F$1204,C144,Sales!$R$5:$R$1204,B144,Sales!$H$5:$H$1204,"Service"),2))</f>
        <v>0</v>
      </c>
      <c r="P144" s="25">
        <f>IF(B144="","",COUNTIFS(Sales!$F$5:$F$1204,C144,Sales!$R$5:$R$1204,B144,Sales!$H$5:$H$1204,"Service"))</f>
        <v>0</v>
      </c>
      <c r="Q144" s="26">
        <f>IF(B144="","",IF(CommissionOn="Gross before discounts",L144,K144))</f>
        <v>0</v>
      </c>
      <c r="R144" s="26">
        <f>IF(B144="","",IF(CommissionOn="Gross before discounts",N144,M144))</f>
        <v>0</v>
      </c>
      <c r="S144" s="27">
        <f>IF(B144="","",IF(E144="Tiered on monthly service revenue",IFERROR(INDEX(TierRate,MATCH(Q144,TierFrom,1)),0),IFERROR(IF(INDEX(Staff!$M$5:$M$44,MATCH(C144,Staff!$A$5:$A$44,0))="",ServiceCommission,INDEX(Staff!$M$5:$M$44,MATCH(C144,Staff!$A$5:$A$44,0))),ServiceCommission)))</f>
        <v>0</v>
      </c>
      <c r="T144" s="27">
        <f>IF(B144="","",IFERROR(IF(INDEX(Staff!$N$5:$N$44,MATCH(C144,Staff!$A$5:$A$44,0))="",RetailCommission,INDEX(Staff!$N$5:$N$44,MATCH(C144,Staff!$A$5:$A$44,0))),RetailCommission))</f>
        <v>0</v>
      </c>
      <c r="U144" s="26">
        <f>IF(B144="","",IFERROR(INDEX(Staff!$O$5:$O$44,MATCH(C144,Staff!$A$5:$A$44,0))*1,0))</f>
        <v>0</v>
      </c>
      <c r="V144" s="26">
        <f>IF(B144="","",ROUND(IF(E144="Percent of service",Q144*S144,IF(E144="Percent of service and retail",Q144*S144+R144*T144,IF(E144="Percent after product cost",MAX(0,Q144-O144)*S144,IF(E144="Tiered on monthly service revenue",Q144*S144,IF(E144="Flat amount per service",P144*U144,0))))),2))</f>
        <v>0</v>
      </c>
      <c r="W144" s="26">
        <f>IF(B144="","",ROUND(SUMIFS(Payments!$G$5:$G$1204,Payments!$J$5:$J$1204,C144,Payments!$O$5:$O$1204,B144,Payments!$E$5:$E$1204,"Tip"),2))</f>
        <v>0</v>
      </c>
      <c r="X144" s="26">
        <f>IF(B144="","",ROUND(V144+IF(F144="",0,F144)+IF(G144="",0,G144),2))</f>
        <v>0</v>
      </c>
      <c r="Y144" s="27">
        <f>IF(B144="","",IF(Q144+R144=0,"",X144/(Q144+R144)))</f>
        <v>0</v>
      </c>
      <c r="Z144" s="25">
        <f>IF(B144="","",COUNTIFS($V$5:$V$244,"&gt;"&amp;V144)+COUNTIFS($V$5:V144,V144))</f>
        <v>0</v>
      </c>
      <c r="AA144" s="39">
        <f>IF(B144="","",IF(C144="","Add - whose commission is this?",IF(COUNTIFS($B$5:$B$244,B144,$C$5:$C$244,C144)&gt;1,"Duplicate - two rows for the same month",IF(E144="None","",IF(E144="Rent a chair","",IF(E144="Hourly only","",IF(X144=0,"Check - nothing calculated",IF(H144&lt;&gt;"Yes","Due - waiting for approval",IF(I144="","Due - approved but not paid","OK")))))))))</f>
        <v>0</v>
      </c>
    </row>
    <row r="145" spans="1:27">
      <c r="A145" s="28">
        <f>IF(B145="","",CommissionPrefix&amp;TEXT(ROW()-4,"0000"))</f>
        <v>0</v>
      </c>
      <c r="D145" s="15">
        <f>IF(C145="","",IFERROR(INDEX(Staff!$B$5:$B$44,MATCH(C145,Staff!$A$5:$A$44,0)),"Not in Staff"))</f>
        <v>0</v>
      </c>
      <c r="E145" s="15">
        <f>IF(C145="","",IFERROR(INDEX(Staff!$L$5:$L$44,MATCH(C145,Staff!$A$5:$A$44,0)),"None"))</f>
        <v>0</v>
      </c>
      <c r="K145" s="26">
        <f>IF(B145="","",ROUND(SUMIFS(Sales!$Y$5:$Y$1204,Sales!$F$5:$F$1204,C145,Sales!$R$5:$R$1204,B145,Sales!$H$5:$H$1204,"Service"),2))</f>
        <v>0</v>
      </c>
      <c r="L145" s="26">
        <f>IF(B145="","",ROUND(SUMIFS(Sales!$W$5:$W$1204,Sales!$F$5:$F$1204,C145,Sales!$R$5:$R$1204,B145,Sales!$H$5:$H$1204,"Service"),2))</f>
        <v>0</v>
      </c>
      <c r="M145" s="26">
        <f>IF(B145="","",ROUND(SUMIFS(Sales!$Y$5:$Y$1204,Sales!$F$5:$F$1204,C145,Sales!$R$5:$R$1204,B145,Sales!$H$5:$H$1204,"Retail"),2))</f>
        <v>0</v>
      </c>
      <c r="N145" s="26">
        <f>IF(B145="","",ROUND(SUMIFS(Sales!$W$5:$W$1204,Sales!$F$5:$F$1204,C145,Sales!$R$5:$R$1204,B145,Sales!$H$5:$H$1204,"Retail"),2))</f>
        <v>0</v>
      </c>
      <c r="O145" s="26">
        <f>IF(B145="","",ROUND(SUMIFS(Sales!$AB$5:$AB$1204,Sales!$F$5:$F$1204,C145,Sales!$R$5:$R$1204,B145,Sales!$H$5:$H$1204,"Service"),2))</f>
        <v>0</v>
      </c>
      <c r="P145" s="25">
        <f>IF(B145="","",COUNTIFS(Sales!$F$5:$F$1204,C145,Sales!$R$5:$R$1204,B145,Sales!$H$5:$H$1204,"Service"))</f>
        <v>0</v>
      </c>
      <c r="Q145" s="26">
        <f>IF(B145="","",IF(CommissionOn="Gross before discounts",L145,K145))</f>
        <v>0</v>
      </c>
      <c r="R145" s="26">
        <f>IF(B145="","",IF(CommissionOn="Gross before discounts",N145,M145))</f>
        <v>0</v>
      </c>
      <c r="S145" s="27">
        <f>IF(B145="","",IF(E145="Tiered on monthly service revenue",IFERROR(INDEX(TierRate,MATCH(Q145,TierFrom,1)),0),IFERROR(IF(INDEX(Staff!$M$5:$M$44,MATCH(C145,Staff!$A$5:$A$44,0))="",ServiceCommission,INDEX(Staff!$M$5:$M$44,MATCH(C145,Staff!$A$5:$A$44,0))),ServiceCommission)))</f>
        <v>0</v>
      </c>
      <c r="T145" s="27">
        <f>IF(B145="","",IFERROR(IF(INDEX(Staff!$N$5:$N$44,MATCH(C145,Staff!$A$5:$A$44,0))="",RetailCommission,INDEX(Staff!$N$5:$N$44,MATCH(C145,Staff!$A$5:$A$44,0))),RetailCommission))</f>
        <v>0</v>
      </c>
      <c r="U145" s="26">
        <f>IF(B145="","",IFERROR(INDEX(Staff!$O$5:$O$44,MATCH(C145,Staff!$A$5:$A$44,0))*1,0))</f>
        <v>0</v>
      </c>
      <c r="V145" s="26">
        <f>IF(B145="","",ROUND(IF(E145="Percent of service",Q145*S145,IF(E145="Percent of service and retail",Q145*S145+R145*T145,IF(E145="Percent after product cost",MAX(0,Q145-O145)*S145,IF(E145="Tiered on monthly service revenue",Q145*S145,IF(E145="Flat amount per service",P145*U145,0))))),2))</f>
        <v>0</v>
      </c>
      <c r="W145" s="26">
        <f>IF(B145="","",ROUND(SUMIFS(Payments!$G$5:$G$1204,Payments!$J$5:$J$1204,C145,Payments!$O$5:$O$1204,B145,Payments!$E$5:$E$1204,"Tip"),2))</f>
        <v>0</v>
      </c>
      <c r="X145" s="26">
        <f>IF(B145="","",ROUND(V145+IF(F145="",0,F145)+IF(G145="",0,G145),2))</f>
        <v>0</v>
      </c>
      <c r="Y145" s="27">
        <f>IF(B145="","",IF(Q145+R145=0,"",X145/(Q145+R145)))</f>
        <v>0</v>
      </c>
      <c r="Z145" s="25">
        <f>IF(B145="","",COUNTIFS($V$5:$V$244,"&gt;"&amp;V145)+COUNTIFS($V$5:V145,V145))</f>
        <v>0</v>
      </c>
      <c r="AA145" s="39">
        <f>IF(B145="","",IF(C145="","Add - whose commission is this?",IF(COUNTIFS($B$5:$B$244,B145,$C$5:$C$244,C145)&gt;1,"Duplicate - two rows for the same month",IF(E145="None","",IF(E145="Rent a chair","",IF(E145="Hourly only","",IF(X145=0,"Check - nothing calculated",IF(H145&lt;&gt;"Yes","Due - waiting for approval",IF(I145="","Due - approved but not paid","OK")))))))))</f>
        <v>0</v>
      </c>
    </row>
    <row r="146" spans="1:27">
      <c r="A146" s="28">
        <f>IF(B146="","",CommissionPrefix&amp;TEXT(ROW()-4,"0000"))</f>
        <v>0</v>
      </c>
      <c r="D146" s="15">
        <f>IF(C146="","",IFERROR(INDEX(Staff!$B$5:$B$44,MATCH(C146,Staff!$A$5:$A$44,0)),"Not in Staff"))</f>
        <v>0</v>
      </c>
      <c r="E146" s="15">
        <f>IF(C146="","",IFERROR(INDEX(Staff!$L$5:$L$44,MATCH(C146,Staff!$A$5:$A$44,0)),"None"))</f>
        <v>0</v>
      </c>
      <c r="K146" s="26">
        <f>IF(B146="","",ROUND(SUMIFS(Sales!$Y$5:$Y$1204,Sales!$F$5:$F$1204,C146,Sales!$R$5:$R$1204,B146,Sales!$H$5:$H$1204,"Service"),2))</f>
        <v>0</v>
      </c>
      <c r="L146" s="26">
        <f>IF(B146="","",ROUND(SUMIFS(Sales!$W$5:$W$1204,Sales!$F$5:$F$1204,C146,Sales!$R$5:$R$1204,B146,Sales!$H$5:$H$1204,"Service"),2))</f>
        <v>0</v>
      </c>
      <c r="M146" s="26">
        <f>IF(B146="","",ROUND(SUMIFS(Sales!$Y$5:$Y$1204,Sales!$F$5:$F$1204,C146,Sales!$R$5:$R$1204,B146,Sales!$H$5:$H$1204,"Retail"),2))</f>
        <v>0</v>
      </c>
      <c r="N146" s="26">
        <f>IF(B146="","",ROUND(SUMIFS(Sales!$W$5:$W$1204,Sales!$F$5:$F$1204,C146,Sales!$R$5:$R$1204,B146,Sales!$H$5:$H$1204,"Retail"),2))</f>
        <v>0</v>
      </c>
      <c r="O146" s="26">
        <f>IF(B146="","",ROUND(SUMIFS(Sales!$AB$5:$AB$1204,Sales!$F$5:$F$1204,C146,Sales!$R$5:$R$1204,B146,Sales!$H$5:$H$1204,"Service"),2))</f>
        <v>0</v>
      </c>
      <c r="P146" s="25">
        <f>IF(B146="","",COUNTIFS(Sales!$F$5:$F$1204,C146,Sales!$R$5:$R$1204,B146,Sales!$H$5:$H$1204,"Service"))</f>
        <v>0</v>
      </c>
      <c r="Q146" s="26">
        <f>IF(B146="","",IF(CommissionOn="Gross before discounts",L146,K146))</f>
        <v>0</v>
      </c>
      <c r="R146" s="26">
        <f>IF(B146="","",IF(CommissionOn="Gross before discounts",N146,M146))</f>
        <v>0</v>
      </c>
      <c r="S146" s="27">
        <f>IF(B146="","",IF(E146="Tiered on monthly service revenue",IFERROR(INDEX(TierRate,MATCH(Q146,TierFrom,1)),0),IFERROR(IF(INDEX(Staff!$M$5:$M$44,MATCH(C146,Staff!$A$5:$A$44,0))="",ServiceCommission,INDEX(Staff!$M$5:$M$44,MATCH(C146,Staff!$A$5:$A$44,0))),ServiceCommission)))</f>
        <v>0</v>
      </c>
      <c r="T146" s="27">
        <f>IF(B146="","",IFERROR(IF(INDEX(Staff!$N$5:$N$44,MATCH(C146,Staff!$A$5:$A$44,0))="",RetailCommission,INDEX(Staff!$N$5:$N$44,MATCH(C146,Staff!$A$5:$A$44,0))),RetailCommission))</f>
        <v>0</v>
      </c>
      <c r="U146" s="26">
        <f>IF(B146="","",IFERROR(INDEX(Staff!$O$5:$O$44,MATCH(C146,Staff!$A$5:$A$44,0))*1,0))</f>
        <v>0</v>
      </c>
      <c r="V146" s="26">
        <f>IF(B146="","",ROUND(IF(E146="Percent of service",Q146*S146,IF(E146="Percent of service and retail",Q146*S146+R146*T146,IF(E146="Percent after product cost",MAX(0,Q146-O146)*S146,IF(E146="Tiered on monthly service revenue",Q146*S146,IF(E146="Flat amount per service",P146*U146,0))))),2))</f>
        <v>0</v>
      </c>
      <c r="W146" s="26">
        <f>IF(B146="","",ROUND(SUMIFS(Payments!$G$5:$G$1204,Payments!$J$5:$J$1204,C146,Payments!$O$5:$O$1204,B146,Payments!$E$5:$E$1204,"Tip"),2))</f>
        <v>0</v>
      </c>
      <c r="X146" s="26">
        <f>IF(B146="","",ROUND(V146+IF(F146="",0,F146)+IF(G146="",0,G146),2))</f>
        <v>0</v>
      </c>
      <c r="Y146" s="27">
        <f>IF(B146="","",IF(Q146+R146=0,"",X146/(Q146+R146)))</f>
        <v>0</v>
      </c>
      <c r="Z146" s="25">
        <f>IF(B146="","",COUNTIFS($V$5:$V$244,"&gt;"&amp;V146)+COUNTIFS($V$5:V146,V146))</f>
        <v>0</v>
      </c>
      <c r="AA146" s="39">
        <f>IF(B146="","",IF(C146="","Add - whose commission is this?",IF(COUNTIFS($B$5:$B$244,B146,$C$5:$C$244,C146)&gt;1,"Duplicate - two rows for the same month",IF(E146="None","",IF(E146="Rent a chair","",IF(E146="Hourly only","",IF(X146=0,"Check - nothing calculated",IF(H146&lt;&gt;"Yes","Due - waiting for approval",IF(I146="","Due - approved but not paid","OK")))))))))</f>
        <v>0</v>
      </c>
    </row>
    <row r="147" spans="1:27">
      <c r="A147" s="28">
        <f>IF(B147="","",CommissionPrefix&amp;TEXT(ROW()-4,"0000"))</f>
        <v>0</v>
      </c>
      <c r="D147" s="15">
        <f>IF(C147="","",IFERROR(INDEX(Staff!$B$5:$B$44,MATCH(C147,Staff!$A$5:$A$44,0)),"Not in Staff"))</f>
        <v>0</v>
      </c>
      <c r="E147" s="15">
        <f>IF(C147="","",IFERROR(INDEX(Staff!$L$5:$L$44,MATCH(C147,Staff!$A$5:$A$44,0)),"None"))</f>
        <v>0</v>
      </c>
      <c r="K147" s="26">
        <f>IF(B147="","",ROUND(SUMIFS(Sales!$Y$5:$Y$1204,Sales!$F$5:$F$1204,C147,Sales!$R$5:$R$1204,B147,Sales!$H$5:$H$1204,"Service"),2))</f>
        <v>0</v>
      </c>
      <c r="L147" s="26">
        <f>IF(B147="","",ROUND(SUMIFS(Sales!$W$5:$W$1204,Sales!$F$5:$F$1204,C147,Sales!$R$5:$R$1204,B147,Sales!$H$5:$H$1204,"Service"),2))</f>
        <v>0</v>
      </c>
      <c r="M147" s="26">
        <f>IF(B147="","",ROUND(SUMIFS(Sales!$Y$5:$Y$1204,Sales!$F$5:$F$1204,C147,Sales!$R$5:$R$1204,B147,Sales!$H$5:$H$1204,"Retail"),2))</f>
        <v>0</v>
      </c>
      <c r="N147" s="26">
        <f>IF(B147="","",ROUND(SUMIFS(Sales!$W$5:$W$1204,Sales!$F$5:$F$1204,C147,Sales!$R$5:$R$1204,B147,Sales!$H$5:$H$1204,"Retail"),2))</f>
        <v>0</v>
      </c>
      <c r="O147" s="26">
        <f>IF(B147="","",ROUND(SUMIFS(Sales!$AB$5:$AB$1204,Sales!$F$5:$F$1204,C147,Sales!$R$5:$R$1204,B147,Sales!$H$5:$H$1204,"Service"),2))</f>
        <v>0</v>
      </c>
      <c r="P147" s="25">
        <f>IF(B147="","",COUNTIFS(Sales!$F$5:$F$1204,C147,Sales!$R$5:$R$1204,B147,Sales!$H$5:$H$1204,"Service"))</f>
        <v>0</v>
      </c>
      <c r="Q147" s="26">
        <f>IF(B147="","",IF(CommissionOn="Gross before discounts",L147,K147))</f>
        <v>0</v>
      </c>
      <c r="R147" s="26">
        <f>IF(B147="","",IF(CommissionOn="Gross before discounts",N147,M147))</f>
        <v>0</v>
      </c>
      <c r="S147" s="27">
        <f>IF(B147="","",IF(E147="Tiered on monthly service revenue",IFERROR(INDEX(TierRate,MATCH(Q147,TierFrom,1)),0),IFERROR(IF(INDEX(Staff!$M$5:$M$44,MATCH(C147,Staff!$A$5:$A$44,0))="",ServiceCommission,INDEX(Staff!$M$5:$M$44,MATCH(C147,Staff!$A$5:$A$44,0))),ServiceCommission)))</f>
        <v>0</v>
      </c>
      <c r="T147" s="27">
        <f>IF(B147="","",IFERROR(IF(INDEX(Staff!$N$5:$N$44,MATCH(C147,Staff!$A$5:$A$44,0))="",RetailCommission,INDEX(Staff!$N$5:$N$44,MATCH(C147,Staff!$A$5:$A$44,0))),RetailCommission))</f>
        <v>0</v>
      </c>
      <c r="U147" s="26">
        <f>IF(B147="","",IFERROR(INDEX(Staff!$O$5:$O$44,MATCH(C147,Staff!$A$5:$A$44,0))*1,0))</f>
        <v>0</v>
      </c>
      <c r="V147" s="26">
        <f>IF(B147="","",ROUND(IF(E147="Percent of service",Q147*S147,IF(E147="Percent of service and retail",Q147*S147+R147*T147,IF(E147="Percent after product cost",MAX(0,Q147-O147)*S147,IF(E147="Tiered on monthly service revenue",Q147*S147,IF(E147="Flat amount per service",P147*U147,0))))),2))</f>
        <v>0</v>
      </c>
      <c r="W147" s="26">
        <f>IF(B147="","",ROUND(SUMIFS(Payments!$G$5:$G$1204,Payments!$J$5:$J$1204,C147,Payments!$O$5:$O$1204,B147,Payments!$E$5:$E$1204,"Tip"),2))</f>
        <v>0</v>
      </c>
      <c r="X147" s="26">
        <f>IF(B147="","",ROUND(V147+IF(F147="",0,F147)+IF(G147="",0,G147),2))</f>
        <v>0</v>
      </c>
      <c r="Y147" s="27">
        <f>IF(B147="","",IF(Q147+R147=0,"",X147/(Q147+R147)))</f>
        <v>0</v>
      </c>
      <c r="Z147" s="25">
        <f>IF(B147="","",COUNTIFS($V$5:$V$244,"&gt;"&amp;V147)+COUNTIFS($V$5:V147,V147))</f>
        <v>0</v>
      </c>
      <c r="AA147" s="39">
        <f>IF(B147="","",IF(C147="","Add - whose commission is this?",IF(COUNTIFS($B$5:$B$244,B147,$C$5:$C$244,C147)&gt;1,"Duplicate - two rows for the same month",IF(E147="None","",IF(E147="Rent a chair","",IF(E147="Hourly only","",IF(X147=0,"Check - nothing calculated",IF(H147&lt;&gt;"Yes","Due - waiting for approval",IF(I147="","Due - approved but not paid","OK")))))))))</f>
        <v>0</v>
      </c>
    </row>
    <row r="148" spans="1:27">
      <c r="A148" s="28">
        <f>IF(B148="","",CommissionPrefix&amp;TEXT(ROW()-4,"0000"))</f>
        <v>0</v>
      </c>
      <c r="D148" s="15">
        <f>IF(C148="","",IFERROR(INDEX(Staff!$B$5:$B$44,MATCH(C148,Staff!$A$5:$A$44,0)),"Not in Staff"))</f>
        <v>0</v>
      </c>
      <c r="E148" s="15">
        <f>IF(C148="","",IFERROR(INDEX(Staff!$L$5:$L$44,MATCH(C148,Staff!$A$5:$A$44,0)),"None"))</f>
        <v>0</v>
      </c>
      <c r="K148" s="26">
        <f>IF(B148="","",ROUND(SUMIFS(Sales!$Y$5:$Y$1204,Sales!$F$5:$F$1204,C148,Sales!$R$5:$R$1204,B148,Sales!$H$5:$H$1204,"Service"),2))</f>
        <v>0</v>
      </c>
      <c r="L148" s="26">
        <f>IF(B148="","",ROUND(SUMIFS(Sales!$W$5:$W$1204,Sales!$F$5:$F$1204,C148,Sales!$R$5:$R$1204,B148,Sales!$H$5:$H$1204,"Service"),2))</f>
        <v>0</v>
      </c>
      <c r="M148" s="26">
        <f>IF(B148="","",ROUND(SUMIFS(Sales!$Y$5:$Y$1204,Sales!$F$5:$F$1204,C148,Sales!$R$5:$R$1204,B148,Sales!$H$5:$H$1204,"Retail"),2))</f>
        <v>0</v>
      </c>
      <c r="N148" s="26">
        <f>IF(B148="","",ROUND(SUMIFS(Sales!$W$5:$W$1204,Sales!$F$5:$F$1204,C148,Sales!$R$5:$R$1204,B148,Sales!$H$5:$H$1204,"Retail"),2))</f>
        <v>0</v>
      </c>
      <c r="O148" s="26">
        <f>IF(B148="","",ROUND(SUMIFS(Sales!$AB$5:$AB$1204,Sales!$F$5:$F$1204,C148,Sales!$R$5:$R$1204,B148,Sales!$H$5:$H$1204,"Service"),2))</f>
        <v>0</v>
      </c>
      <c r="P148" s="25">
        <f>IF(B148="","",COUNTIFS(Sales!$F$5:$F$1204,C148,Sales!$R$5:$R$1204,B148,Sales!$H$5:$H$1204,"Service"))</f>
        <v>0</v>
      </c>
      <c r="Q148" s="26">
        <f>IF(B148="","",IF(CommissionOn="Gross before discounts",L148,K148))</f>
        <v>0</v>
      </c>
      <c r="R148" s="26">
        <f>IF(B148="","",IF(CommissionOn="Gross before discounts",N148,M148))</f>
        <v>0</v>
      </c>
      <c r="S148" s="27">
        <f>IF(B148="","",IF(E148="Tiered on monthly service revenue",IFERROR(INDEX(TierRate,MATCH(Q148,TierFrom,1)),0),IFERROR(IF(INDEX(Staff!$M$5:$M$44,MATCH(C148,Staff!$A$5:$A$44,0))="",ServiceCommission,INDEX(Staff!$M$5:$M$44,MATCH(C148,Staff!$A$5:$A$44,0))),ServiceCommission)))</f>
        <v>0</v>
      </c>
      <c r="T148" s="27">
        <f>IF(B148="","",IFERROR(IF(INDEX(Staff!$N$5:$N$44,MATCH(C148,Staff!$A$5:$A$44,0))="",RetailCommission,INDEX(Staff!$N$5:$N$44,MATCH(C148,Staff!$A$5:$A$44,0))),RetailCommission))</f>
        <v>0</v>
      </c>
      <c r="U148" s="26">
        <f>IF(B148="","",IFERROR(INDEX(Staff!$O$5:$O$44,MATCH(C148,Staff!$A$5:$A$44,0))*1,0))</f>
        <v>0</v>
      </c>
      <c r="V148" s="26">
        <f>IF(B148="","",ROUND(IF(E148="Percent of service",Q148*S148,IF(E148="Percent of service and retail",Q148*S148+R148*T148,IF(E148="Percent after product cost",MAX(0,Q148-O148)*S148,IF(E148="Tiered on monthly service revenue",Q148*S148,IF(E148="Flat amount per service",P148*U148,0))))),2))</f>
        <v>0</v>
      </c>
      <c r="W148" s="26">
        <f>IF(B148="","",ROUND(SUMIFS(Payments!$G$5:$G$1204,Payments!$J$5:$J$1204,C148,Payments!$O$5:$O$1204,B148,Payments!$E$5:$E$1204,"Tip"),2))</f>
        <v>0</v>
      </c>
      <c r="X148" s="26">
        <f>IF(B148="","",ROUND(V148+IF(F148="",0,F148)+IF(G148="",0,G148),2))</f>
        <v>0</v>
      </c>
      <c r="Y148" s="27">
        <f>IF(B148="","",IF(Q148+R148=0,"",X148/(Q148+R148)))</f>
        <v>0</v>
      </c>
      <c r="Z148" s="25">
        <f>IF(B148="","",COUNTIFS($V$5:$V$244,"&gt;"&amp;V148)+COUNTIFS($V$5:V148,V148))</f>
        <v>0</v>
      </c>
      <c r="AA148" s="39">
        <f>IF(B148="","",IF(C148="","Add - whose commission is this?",IF(COUNTIFS($B$5:$B$244,B148,$C$5:$C$244,C148)&gt;1,"Duplicate - two rows for the same month",IF(E148="None","",IF(E148="Rent a chair","",IF(E148="Hourly only","",IF(X148=0,"Check - nothing calculated",IF(H148&lt;&gt;"Yes","Due - waiting for approval",IF(I148="","Due - approved but not paid","OK")))))))))</f>
        <v>0</v>
      </c>
    </row>
    <row r="149" spans="1:27">
      <c r="A149" s="28">
        <f>IF(B149="","",CommissionPrefix&amp;TEXT(ROW()-4,"0000"))</f>
        <v>0</v>
      </c>
      <c r="D149" s="15">
        <f>IF(C149="","",IFERROR(INDEX(Staff!$B$5:$B$44,MATCH(C149,Staff!$A$5:$A$44,0)),"Not in Staff"))</f>
        <v>0</v>
      </c>
      <c r="E149" s="15">
        <f>IF(C149="","",IFERROR(INDEX(Staff!$L$5:$L$44,MATCH(C149,Staff!$A$5:$A$44,0)),"None"))</f>
        <v>0</v>
      </c>
      <c r="K149" s="26">
        <f>IF(B149="","",ROUND(SUMIFS(Sales!$Y$5:$Y$1204,Sales!$F$5:$F$1204,C149,Sales!$R$5:$R$1204,B149,Sales!$H$5:$H$1204,"Service"),2))</f>
        <v>0</v>
      </c>
      <c r="L149" s="26">
        <f>IF(B149="","",ROUND(SUMIFS(Sales!$W$5:$W$1204,Sales!$F$5:$F$1204,C149,Sales!$R$5:$R$1204,B149,Sales!$H$5:$H$1204,"Service"),2))</f>
        <v>0</v>
      </c>
      <c r="M149" s="26">
        <f>IF(B149="","",ROUND(SUMIFS(Sales!$Y$5:$Y$1204,Sales!$F$5:$F$1204,C149,Sales!$R$5:$R$1204,B149,Sales!$H$5:$H$1204,"Retail"),2))</f>
        <v>0</v>
      </c>
      <c r="N149" s="26">
        <f>IF(B149="","",ROUND(SUMIFS(Sales!$W$5:$W$1204,Sales!$F$5:$F$1204,C149,Sales!$R$5:$R$1204,B149,Sales!$H$5:$H$1204,"Retail"),2))</f>
        <v>0</v>
      </c>
      <c r="O149" s="26">
        <f>IF(B149="","",ROUND(SUMIFS(Sales!$AB$5:$AB$1204,Sales!$F$5:$F$1204,C149,Sales!$R$5:$R$1204,B149,Sales!$H$5:$H$1204,"Service"),2))</f>
        <v>0</v>
      </c>
      <c r="P149" s="25">
        <f>IF(B149="","",COUNTIFS(Sales!$F$5:$F$1204,C149,Sales!$R$5:$R$1204,B149,Sales!$H$5:$H$1204,"Service"))</f>
        <v>0</v>
      </c>
      <c r="Q149" s="26">
        <f>IF(B149="","",IF(CommissionOn="Gross before discounts",L149,K149))</f>
        <v>0</v>
      </c>
      <c r="R149" s="26">
        <f>IF(B149="","",IF(CommissionOn="Gross before discounts",N149,M149))</f>
        <v>0</v>
      </c>
      <c r="S149" s="27">
        <f>IF(B149="","",IF(E149="Tiered on monthly service revenue",IFERROR(INDEX(TierRate,MATCH(Q149,TierFrom,1)),0),IFERROR(IF(INDEX(Staff!$M$5:$M$44,MATCH(C149,Staff!$A$5:$A$44,0))="",ServiceCommission,INDEX(Staff!$M$5:$M$44,MATCH(C149,Staff!$A$5:$A$44,0))),ServiceCommission)))</f>
        <v>0</v>
      </c>
      <c r="T149" s="27">
        <f>IF(B149="","",IFERROR(IF(INDEX(Staff!$N$5:$N$44,MATCH(C149,Staff!$A$5:$A$44,0))="",RetailCommission,INDEX(Staff!$N$5:$N$44,MATCH(C149,Staff!$A$5:$A$44,0))),RetailCommission))</f>
        <v>0</v>
      </c>
      <c r="U149" s="26">
        <f>IF(B149="","",IFERROR(INDEX(Staff!$O$5:$O$44,MATCH(C149,Staff!$A$5:$A$44,0))*1,0))</f>
        <v>0</v>
      </c>
      <c r="V149" s="26">
        <f>IF(B149="","",ROUND(IF(E149="Percent of service",Q149*S149,IF(E149="Percent of service and retail",Q149*S149+R149*T149,IF(E149="Percent after product cost",MAX(0,Q149-O149)*S149,IF(E149="Tiered on monthly service revenue",Q149*S149,IF(E149="Flat amount per service",P149*U149,0))))),2))</f>
        <v>0</v>
      </c>
      <c r="W149" s="26">
        <f>IF(B149="","",ROUND(SUMIFS(Payments!$G$5:$G$1204,Payments!$J$5:$J$1204,C149,Payments!$O$5:$O$1204,B149,Payments!$E$5:$E$1204,"Tip"),2))</f>
        <v>0</v>
      </c>
      <c r="X149" s="26">
        <f>IF(B149="","",ROUND(V149+IF(F149="",0,F149)+IF(G149="",0,G149),2))</f>
        <v>0</v>
      </c>
      <c r="Y149" s="27">
        <f>IF(B149="","",IF(Q149+R149=0,"",X149/(Q149+R149)))</f>
        <v>0</v>
      </c>
      <c r="Z149" s="25">
        <f>IF(B149="","",COUNTIFS($V$5:$V$244,"&gt;"&amp;V149)+COUNTIFS($V$5:V149,V149))</f>
        <v>0</v>
      </c>
      <c r="AA149" s="39">
        <f>IF(B149="","",IF(C149="","Add - whose commission is this?",IF(COUNTIFS($B$5:$B$244,B149,$C$5:$C$244,C149)&gt;1,"Duplicate - two rows for the same month",IF(E149="None","",IF(E149="Rent a chair","",IF(E149="Hourly only","",IF(X149=0,"Check - nothing calculated",IF(H149&lt;&gt;"Yes","Due - waiting for approval",IF(I149="","Due - approved but not paid","OK")))))))))</f>
        <v>0</v>
      </c>
    </row>
    <row r="150" spans="1:27">
      <c r="A150" s="28">
        <f>IF(B150="","",CommissionPrefix&amp;TEXT(ROW()-4,"0000"))</f>
        <v>0</v>
      </c>
      <c r="D150" s="15">
        <f>IF(C150="","",IFERROR(INDEX(Staff!$B$5:$B$44,MATCH(C150,Staff!$A$5:$A$44,0)),"Not in Staff"))</f>
        <v>0</v>
      </c>
      <c r="E150" s="15">
        <f>IF(C150="","",IFERROR(INDEX(Staff!$L$5:$L$44,MATCH(C150,Staff!$A$5:$A$44,0)),"None"))</f>
        <v>0</v>
      </c>
      <c r="K150" s="26">
        <f>IF(B150="","",ROUND(SUMIFS(Sales!$Y$5:$Y$1204,Sales!$F$5:$F$1204,C150,Sales!$R$5:$R$1204,B150,Sales!$H$5:$H$1204,"Service"),2))</f>
        <v>0</v>
      </c>
      <c r="L150" s="26">
        <f>IF(B150="","",ROUND(SUMIFS(Sales!$W$5:$W$1204,Sales!$F$5:$F$1204,C150,Sales!$R$5:$R$1204,B150,Sales!$H$5:$H$1204,"Service"),2))</f>
        <v>0</v>
      </c>
      <c r="M150" s="26">
        <f>IF(B150="","",ROUND(SUMIFS(Sales!$Y$5:$Y$1204,Sales!$F$5:$F$1204,C150,Sales!$R$5:$R$1204,B150,Sales!$H$5:$H$1204,"Retail"),2))</f>
        <v>0</v>
      </c>
      <c r="N150" s="26">
        <f>IF(B150="","",ROUND(SUMIFS(Sales!$W$5:$W$1204,Sales!$F$5:$F$1204,C150,Sales!$R$5:$R$1204,B150,Sales!$H$5:$H$1204,"Retail"),2))</f>
        <v>0</v>
      </c>
      <c r="O150" s="26">
        <f>IF(B150="","",ROUND(SUMIFS(Sales!$AB$5:$AB$1204,Sales!$F$5:$F$1204,C150,Sales!$R$5:$R$1204,B150,Sales!$H$5:$H$1204,"Service"),2))</f>
        <v>0</v>
      </c>
      <c r="P150" s="25">
        <f>IF(B150="","",COUNTIFS(Sales!$F$5:$F$1204,C150,Sales!$R$5:$R$1204,B150,Sales!$H$5:$H$1204,"Service"))</f>
        <v>0</v>
      </c>
      <c r="Q150" s="26">
        <f>IF(B150="","",IF(CommissionOn="Gross before discounts",L150,K150))</f>
        <v>0</v>
      </c>
      <c r="R150" s="26">
        <f>IF(B150="","",IF(CommissionOn="Gross before discounts",N150,M150))</f>
        <v>0</v>
      </c>
      <c r="S150" s="27">
        <f>IF(B150="","",IF(E150="Tiered on monthly service revenue",IFERROR(INDEX(TierRate,MATCH(Q150,TierFrom,1)),0),IFERROR(IF(INDEX(Staff!$M$5:$M$44,MATCH(C150,Staff!$A$5:$A$44,0))="",ServiceCommission,INDEX(Staff!$M$5:$M$44,MATCH(C150,Staff!$A$5:$A$44,0))),ServiceCommission)))</f>
        <v>0</v>
      </c>
      <c r="T150" s="27">
        <f>IF(B150="","",IFERROR(IF(INDEX(Staff!$N$5:$N$44,MATCH(C150,Staff!$A$5:$A$44,0))="",RetailCommission,INDEX(Staff!$N$5:$N$44,MATCH(C150,Staff!$A$5:$A$44,0))),RetailCommission))</f>
        <v>0</v>
      </c>
      <c r="U150" s="26">
        <f>IF(B150="","",IFERROR(INDEX(Staff!$O$5:$O$44,MATCH(C150,Staff!$A$5:$A$44,0))*1,0))</f>
        <v>0</v>
      </c>
      <c r="V150" s="26">
        <f>IF(B150="","",ROUND(IF(E150="Percent of service",Q150*S150,IF(E150="Percent of service and retail",Q150*S150+R150*T150,IF(E150="Percent after product cost",MAX(0,Q150-O150)*S150,IF(E150="Tiered on monthly service revenue",Q150*S150,IF(E150="Flat amount per service",P150*U150,0))))),2))</f>
        <v>0</v>
      </c>
      <c r="W150" s="26">
        <f>IF(B150="","",ROUND(SUMIFS(Payments!$G$5:$G$1204,Payments!$J$5:$J$1204,C150,Payments!$O$5:$O$1204,B150,Payments!$E$5:$E$1204,"Tip"),2))</f>
        <v>0</v>
      </c>
      <c r="X150" s="26">
        <f>IF(B150="","",ROUND(V150+IF(F150="",0,F150)+IF(G150="",0,G150),2))</f>
        <v>0</v>
      </c>
      <c r="Y150" s="27">
        <f>IF(B150="","",IF(Q150+R150=0,"",X150/(Q150+R150)))</f>
        <v>0</v>
      </c>
      <c r="Z150" s="25">
        <f>IF(B150="","",COUNTIFS($V$5:$V$244,"&gt;"&amp;V150)+COUNTIFS($V$5:V150,V150))</f>
        <v>0</v>
      </c>
      <c r="AA150" s="39">
        <f>IF(B150="","",IF(C150="","Add - whose commission is this?",IF(COUNTIFS($B$5:$B$244,B150,$C$5:$C$244,C150)&gt;1,"Duplicate - two rows for the same month",IF(E150="None","",IF(E150="Rent a chair","",IF(E150="Hourly only","",IF(X150=0,"Check - nothing calculated",IF(H150&lt;&gt;"Yes","Due - waiting for approval",IF(I150="","Due - approved but not paid","OK")))))))))</f>
        <v>0</v>
      </c>
    </row>
    <row r="151" spans="1:27">
      <c r="A151" s="28">
        <f>IF(B151="","",CommissionPrefix&amp;TEXT(ROW()-4,"0000"))</f>
        <v>0</v>
      </c>
      <c r="D151" s="15">
        <f>IF(C151="","",IFERROR(INDEX(Staff!$B$5:$B$44,MATCH(C151,Staff!$A$5:$A$44,0)),"Not in Staff"))</f>
        <v>0</v>
      </c>
      <c r="E151" s="15">
        <f>IF(C151="","",IFERROR(INDEX(Staff!$L$5:$L$44,MATCH(C151,Staff!$A$5:$A$44,0)),"None"))</f>
        <v>0</v>
      </c>
      <c r="K151" s="26">
        <f>IF(B151="","",ROUND(SUMIFS(Sales!$Y$5:$Y$1204,Sales!$F$5:$F$1204,C151,Sales!$R$5:$R$1204,B151,Sales!$H$5:$H$1204,"Service"),2))</f>
        <v>0</v>
      </c>
      <c r="L151" s="26">
        <f>IF(B151="","",ROUND(SUMIFS(Sales!$W$5:$W$1204,Sales!$F$5:$F$1204,C151,Sales!$R$5:$R$1204,B151,Sales!$H$5:$H$1204,"Service"),2))</f>
        <v>0</v>
      </c>
      <c r="M151" s="26">
        <f>IF(B151="","",ROUND(SUMIFS(Sales!$Y$5:$Y$1204,Sales!$F$5:$F$1204,C151,Sales!$R$5:$R$1204,B151,Sales!$H$5:$H$1204,"Retail"),2))</f>
        <v>0</v>
      </c>
      <c r="N151" s="26">
        <f>IF(B151="","",ROUND(SUMIFS(Sales!$W$5:$W$1204,Sales!$F$5:$F$1204,C151,Sales!$R$5:$R$1204,B151,Sales!$H$5:$H$1204,"Retail"),2))</f>
        <v>0</v>
      </c>
      <c r="O151" s="26">
        <f>IF(B151="","",ROUND(SUMIFS(Sales!$AB$5:$AB$1204,Sales!$F$5:$F$1204,C151,Sales!$R$5:$R$1204,B151,Sales!$H$5:$H$1204,"Service"),2))</f>
        <v>0</v>
      </c>
      <c r="P151" s="25">
        <f>IF(B151="","",COUNTIFS(Sales!$F$5:$F$1204,C151,Sales!$R$5:$R$1204,B151,Sales!$H$5:$H$1204,"Service"))</f>
        <v>0</v>
      </c>
      <c r="Q151" s="26">
        <f>IF(B151="","",IF(CommissionOn="Gross before discounts",L151,K151))</f>
        <v>0</v>
      </c>
      <c r="R151" s="26">
        <f>IF(B151="","",IF(CommissionOn="Gross before discounts",N151,M151))</f>
        <v>0</v>
      </c>
      <c r="S151" s="27">
        <f>IF(B151="","",IF(E151="Tiered on monthly service revenue",IFERROR(INDEX(TierRate,MATCH(Q151,TierFrom,1)),0),IFERROR(IF(INDEX(Staff!$M$5:$M$44,MATCH(C151,Staff!$A$5:$A$44,0))="",ServiceCommission,INDEX(Staff!$M$5:$M$44,MATCH(C151,Staff!$A$5:$A$44,0))),ServiceCommission)))</f>
        <v>0</v>
      </c>
      <c r="T151" s="27">
        <f>IF(B151="","",IFERROR(IF(INDEX(Staff!$N$5:$N$44,MATCH(C151,Staff!$A$5:$A$44,0))="",RetailCommission,INDEX(Staff!$N$5:$N$44,MATCH(C151,Staff!$A$5:$A$44,0))),RetailCommission))</f>
        <v>0</v>
      </c>
      <c r="U151" s="26">
        <f>IF(B151="","",IFERROR(INDEX(Staff!$O$5:$O$44,MATCH(C151,Staff!$A$5:$A$44,0))*1,0))</f>
        <v>0</v>
      </c>
      <c r="V151" s="26">
        <f>IF(B151="","",ROUND(IF(E151="Percent of service",Q151*S151,IF(E151="Percent of service and retail",Q151*S151+R151*T151,IF(E151="Percent after product cost",MAX(0,Q151-O151)*S151,IF(E151="Tiered on monthly service revenue",Q151*S151,IF(E151="Flat amount per service",P151*U151,0))))),2))</f>
        <v>0</v>
      </c>
      <c r="W151" s="26">
        <f>IF(B151="","",ROUND(SUMIFS(Payments!$G$5:$G$1204,Payments!$J$5:$J$1204,C151,Payments!$O$5:$O$1204,B151,Payments!$E$5:$E$1204,"Tip"),2))</f>
        <v>0</v>
      </c>
      <c r="X151" s="26">
        <f>IF(B151="","",ROUND(V151+IF(F151="",0,F151)+IF(G151="",0,G151),2))</f>
        <v>0</v>
      </c>
      <c r="Y151" s="27">
        <f>IF(B151="","",IF(Q151+R151=0,"",X151/(Q151+R151)))</f>
        <v>0</v>
      </c>
      <c r="Z151" s="25">
        <f>IF(B151="","",COUNTIFS($V$5:$V$244,"&gt;"&amp;V151)+COUNTIFS($V$5:V151,V151))</f>
        <v>0</v>
      </c>
      <c r="AA151" s="39">
        <f>IF(B151="","",IF(C151="","Add - whose commission is this?",IF(COUNTIFS($B$5:$B$244,B151,$C$5:$C$244,C151)&gt;1,"Duplicate - two rows for the same month",IF(E151="None","",IF(E151="Rent a chair","",IF(E151="Hourly only","",IF(X151=0,"Check - nothing calculated",IF(H151&lt;&gt;"Yes","Due - waiting for approval",IF(I151="","Due - approved but not paid","OK")))))))))</f>
        <v>0</v>
      </c>
    </row>
    <row r="152" spans="1:27">
      <c r="A152" s="28">
        <f>IF(B152="","",CommissionPrefix&amp;TEXT(ROW()-4,"0000"))</f>
        <v>0</v>
      </c>
      <c r="D152" s="15">
        <f>IF(C152="","",IFERROR(INDEX(Staff!$B$5:$B$44,MATCH(C152,Staff!$A$5:$A$44,0)),"Not in Staff"))</f>
        <v>0</v>
      </c>
      <c r="E152" s="15">
        <f>IF(C152="","",IFERROR(INDEX(Staff!$L$5:$L$44,MATCH(C152,Staff!$A$5:$A$44,0)),"None"))</f>
        <v>0</v>
      </c>
      <c r="K152" s="26">
        <f>IF(B152="","",ROUND(SUMIFS(Sales!$Y$5:$Y$1204,Sales!$F$5:$F$1204,C152,Sales!$R$5:$R$1204,B152,Sales!$H$5:$H$1204,"Service"),2))</f>
        <v>0</v>
      </c>
      <c r="L152" s="26">
        <f>IF(B152="","",ROUND(SUMIFS(Sales!$W$5:$W$1204,Sales!$F$5:$F$1204,C152,Sales!$R$5:$R$1204,B152,Sales!$H$5:$H$1204,"Service"),2))</f>
        <v>0</v>
      </c>
      <c r="M152" s="26">
        <f>IF(B152="","",ROUND(SUMIFS(Sales!$Y$5:$Y$1204,Sales!$F$5:$F$1204,C152,Sales!$R$5:$R$1204,B152,Sales!$H$5:$H$1204,"Retail"),2))</f>
        <v>0</v>
      </c>
      <c r="N152" s="26">
        <f>IF(B152="","",ROUND(SUMIFS(Sales!$W$5:$W$1204,Sales!$F$5:$F$1204,C152,Sales!$R$5:$R$1204,B152,Sales!$H$5:$H$1204,"Retail"),2))</f>
        <v>0</v>
      </c>
      <c r="O152" s="26">
        <f>IF(B152="","",ROUND(SUMIFS(Sales!$AB$5:$AB$1204,Sales!$F$5:$F$1204,C152,Sales!$R$5:$R$1204,B152,Sales!$H$5:$H$1204,"Service"),2))</f>
        <v>0</v>
      </c>
      <c r="P152" s="25">
        <f>IF(B152="","",COUNTIFS(Sales!$F$5:$F$1204,C152,Sales!$R$5:$R$1204,B152,Sales!$H$5:$H$1204,"Service"))</f>
        <v>0</v>
      </c>
      <c r="Q152" s="26">
        <f>IF(B152="","",IF(CommissionOn="Gross before discounts",L152,K152))</f>
        <v>0</v>
      </c>
      <c r="R152" s="26">
        <f>IF(B152="","",IF(CommissionOn="Gross before discounts",N152,M152))</f>
        <v>0</v>
      </c>
      <c r="S152" s="27">
        <f>IF(B152="","",IF(E152="Tiered on monthly service revenue",IFERROR(INDEX(TierRate,MATCH(Q152,TierFrom,1)),0),IFERROR(IF(INDEX(Staff!$M$5:$M$44,MATCH(C152,Staff!$A$5:$A$44,0))="",ServiceCommission,INDEX(Staff!$M$5:$M$44,MATCH(C152,Staff!$A$5:$A$44,0))),ServiceCommission)))</f>
        <v>0</v>
      </c>
      <c r="T152" s="27">
        <f>IF(B152="","",IFERROR(IF(INDEX(Staff!$N$5:$N$44,MATCH(C152,Staff!$A$5:$A$44,0))="",RetailCommission,INDEX(Staff!$N$5:$N$44,MATCH(C152,Staff!$A$5:$A$44,0))),RetailCommission))</f>
        <v>0</v>
      </c>
      <c r="U152" s="26">
        <f>IF(B152="","",IFERROR(INDEX(Staff!$O$5:$O$44,MATCH(C152,Staff!$A$5:$A$44,0))*1,0))</f>
        <v>0</v>
      </c>
      <c r="V152" s="26">
        <f>IF(B152="","",ROUND(IF(E152="Percent of service",Q152*S152,IF(E152="Percent of service and retail",Q152*S152+R152*T152,IF(E152="Percent after product cost",MAX(0,Q152-O152)*S152,IF(E152="Tiered on monthly service revenue",Q152*S152,IF(E152="Flat amount per service",P152*U152,0))))),2))</f>
        <v>0</v>
      </c>
      <c r="W152" s="26">
        <f>IF(B152="","",ROUND(SUMIFS(Payments!$G$5:$G$1204,Payments!$J$5:$J$1204,C152,Payments!$O$5:$O$1204,B152,Payments!$E$5:$E$1204,"Tip"),2))</f>
        <v>0</v>
      </c>
      <c r="X152" s="26">
        <f>IF(B152="","",ROUND(V152+IF(F152="",0,F152)+IF(G152="",0,G152),2))</f>
        <v>0</v>
      </c>
      <c r="Y152" s="27">
        <f>IF(B152="","",IF(Q152+R152=0,"",X152/(Q152+R152)))</f>
        <v>0</v>
      </c>
      <c r="Z152" s="25">
        <f>IF(B152="","",COUNTIFS($V$5:$V$244,"&gt;"&amp;V152)+COUNTIFS($V$5:V152,V152))</f>
        <v>0</v>
      </c>
      <c r="AA152" s="39">
        <f>IF(B152="","",IF(C152="","Add - whose commission is this?",IF(COUNTIFS($B$5:$B$244,B152,$C$5:$C$244,C152)&gt;1,"Duplicate - two rows for the same month",IF(E152="None","",IF(E152="Rent a chair","",IF(E152="Hourly only","",IF(X152=0,"Check - nothing calculated",IF(H152&lt;&gt;"Yes","Due - waiting for approval",IF(I152="","Due - approved but not paid","OK")))))))))</f>
        <v>0</v>
      </c>
    </row>
    <row r="153" spans="1:27">
      <c r="A153" s="28">
        <f>IF(B153="","",CommissionPrefix&amp;TEXT(ROW()-4,"0000"))</f>
        <v>0</v>
      </c>
      <c r="D153" s="15">
        <f>IF(C153="","",IFERROR(INDEX(Staff!$B$5:$B$44,MATCH(C153,Staff!$A$5:$A$44,0)),"Not in Staff"))</f>
        <v>0</v>
      </c>
      <c r="E153" s="15">
        <f>IF(C153="","",IFERROR(INDEX(Staff!$L$5:$L$44,MATCH(C153,Staff!$A$5:$A$44,0)),"None"))</f>
        <v>0</v>
      </c>
      <c r="K153" s="26">
        <f>IF(B153="","",ROUND(SUMIFS(Sales!$Y$5:$Y$1204,Sales!$F$5:$F$1204,C153,Sales!$R$5:$R$1204,B153,Sales!$H$5:$H$1204,"Service"),2))</f>
        <v>0</v>
      </c>
      <c r="L153" s="26">
        <f>IF(B153="","",ROUND(SUMIFS(Sales!$W$5:$W$1204,Sales!$F$5:$F$1204,C153,Sales!$R$5:$R$1204,B153,Sales!$H$5:$H$1204,"Service"),2))</f>
        <v>0</v>
      </c>
      <c r="M153" s="26">
        <f>IF(B153="","",ROUND(SUMIFS(Sales!$Y$5:$Y$1204,Sales!$F$5:$F$1204,C153,Sales!$R$5:$R$1204,B153,Sales!$H$5:$H$1204,"Retail"),2))</f>
        <v>0</v>
      </c>
      <c r="N153" s="26">
        <f>IF(B153="","",ROUND(SUMIFS(Sales!$W$5:$W$1204,Sales!$F$5:$F$1204,C153,Sales!$R$5:$R$1204,B153,Sales!$H$5:$H$1204,"Retail"),2))</f>
        <v>0</v>
      </c>
      <c r="O153" s="26">
        <f>IF(B153="","",ROUND(SUMIFS(Sales!$AB$5:$AB$1204,Sales!$F$5:$F$1204,C153,Sales!$R$5:$R$1204,B153,Sales!$H$5:$H$1204,"Service"),2))</f>
        <v>0</v>
      </c>
      <c r="P153" s="25">
        <f>IF(B153="","",COUNTIFS(Sales!$F$5:$F$1204,C153,Sales!$R$5:$R$1204,B153,Sales!$H$5:$H$1204,"Service"))</f>
        <v>0</v>
      </c>
      <c r="Q153" s="26">
        <f>IF(B153="","",IF(CommissionOn="Gross before discounts",L153,K153))</f>
        <v>0</v>
      </c>
      <c r="R153" s="26">
        <f>IF(B153="","",IF(CommissionOn="Gross before discounts",N153,M153))</f>
        <v>0</v>
      </c>
      <c r="S153" s="27">
        <f>IF(B153="","",IF(E153="Tiered on monthly service revenue",IFERROR(INDEX(TierRate,MATCH(Q153,TierFrom,1)),0),IFERROR(IF(INDEX(Staff!$M$5:$M$44,MATCH(C153,Staff!$A$5:$A$44,0))="",ServiceCommission,INDEX(Staff!$M$5:$M$44,MATCH(C153,Staff!$A$5:$A$44,0))),ServiceCommission)))</f>
        <v>0</v>
      </c>
      <c r="T153" s="27">
        <f>IF(B153="","",IFERROR(IF(INDEX(Staff!$N$5:$N$44,MATCH(C153,Staff!$A$5:$A$44,0))="",RetailCommission,INDEX(Staff!$N$5:$N$44,MATCH(C153,Staff!$A$5:$A$44,0))),RetailCommission))</f>
        <v>0</v>
      </c>
      <c r="U153" s="26">
        <f>IF(B153="","",IFERROR(INDEX(Staff!$O$5:$O$44,MATCH(C153,Staff!$A$5:$A$44,0))*1,0))</f>
        <v>0</v>
      </c>
      <c r="V153" s="26">
        <f>IF(B153="","",ROUND(IF(E153="Percent of service",Q153*S153,IF(E153="Percent of service and retail",Q153*S153+R153*T153,IF(E153="Percent after product cost",MAX(0,Q153-O153)*S153,IF(E153="Tiered on monthly service revenue",Q153*S153,IF(E153="Flat amount per service",P153*U153,0))))),2))</f>
        <v>0</v>
      </c>
      <c r="W153" s="26">
        <f>IF(B153="","",ROUND(SUMIFS(Payments!$G$5:$G$1204,Payments!$J$5:$J$1204,C153,Payments!$O$5:$O$1204,B153,Payments!$E$5:$E$1204,"Tip"),2))</f>
        <v>0</v>
      </c>
      <c r="X153" s="26">
        <f>IF(B153="","",ROUND(V153+IF(F153="",0,F153)+IF(G153="",0,G153),2))</f>
        <v>0</v>
      </c>
      <c r="Y153" s="27">
        <f>IF(B153="","",IF(Q153+R153=0,"",X153/(Q153+R153)))</f>
        <v>0</v>
      </c>
      <c r="Z153" s="25">
        <f>IF(B153="","",COUNTIFS($V$5:$V$244,"&gt;"&amp;V153)+COUNTIFS($V$5:V153,V153))</f>
        <v>0</v>
      </c>
      <c r="AA153" s="39">
        <f>IF(B153="","",IF(C153="","Add - whose commission is this?",IF(COUNTIFS($B$5:$B$244,B153,$C$5:$C$244,C153)&gt;1,"Duplicate - two rows for the same month",IF(E153="None","",IF(E153="Rent a chair","",IF(E153="Hourly only","",IF(X153=0,"Check - nothing calculated",IF(H153&lt;&gt;"Yes","Due - waiting for approval",IF(I153="","Due - approved but not paid","OK")))))))))</f>
        <v>0</v>
      </c>
    </row>
    <row r="154" spans="1:27">
      <c r="A154" s="28">
        <f>IF(B154="","",CommissionPrefix&amp;TEXT(ROW()-4,"0000"))</f>
        <v>0</v>
      </c>
      <c r="D154" s="15">
        <f>IF(C154="","",IFERROR(INDEX(Staff!$B$5:$B$44,MATCH(C154,Staff!$A$5:$A$44,0)),"Not in Staff"))</f>
        <v>0</v>
      </c>
      <c r="E154" s="15">
        <f>IF(C154="","",IFERROR(INDEX(Staff!$L$5:$L$44,MATCH(C154,Staff!$A$5:$A$44,0)),"None"))</f>
        <v>0</v>
      </c>
      <c r="K154" s="26">
        <f>IF(B154="","",ROUND(SUMIFS(Sales!$Y$5:$Y$1204,Sales!$F$5:$F$1204,C154,Sales!$R$5:$R$1204,B154,Sales!$H$5:$H$1204,"Service"),2))</f>
        <v>0</v>
      </c>
      <c r="L154" s="26">
        <f>IF(B154="","",ROUND(SUMIFS(Sales!$W$5:$W$1204,Sales!$F$5:$F$1204,C154,Sales!$R$5:$R$1204,B154,Sales!$H$5:$H$1204,"Service"),2))</f>
        <v>0</v>
      </c>
      <c r="M154" s="26">
        <f>IF(B154="","",ROUND(SUMIFS(Sales!$Y$5:$Y$1204,Sales!$F$5:$F$1204,C154,Sales!$R$5:$R$1204,B154,Sales!$H$5:$H$1204,"Retail"),2))</f>
        <v>0</v>
      </c>
      <c r="N154" s="26">
        <f>IF(B154="","",ROUND(SUMIFS(Sales!$W$5:$W$1204,Sales!$F$5:$F$1204,C154,Sales!$R$5:$R$1204,B154,Sales!$H$5:$H$1204,"Retail"),2))</f>
        <v>0</v>
      </c>
      <c r="O154" s="26">
        <f>IF(B154="","",ROUND(SUMIFS(Sales!$AB$5:$AB$1204,Sales!$F$5:$F$1204,C154,Sales!$R$5:$R$1204,B154,Sales!$H$5:$H$1204,"Service"),2))</f>
        <v>0</v>
      </c>
      <c r="P154" s="25">
        <f>IF(B154="","",COUNTIFS(Sales!$F$5:$F$1204,C154,Sales!$R$5:$R$1204,B154,Sales!$H$5:$H$1204,"Service"))</f>
        <v>0</v>
      </c>
      <c r="Q154" s="26">
        <f>IF(B154="","",IF(CommissionOn="Gross before discounts",L154,K154))</f>
        <v>0</v>
      </c>
      <c r="R154" s="26">
        <f>IF(B154="","",IF(CommissionOn="Gross before discounts",N154,M154))</f>
        <v>0</v>
      </c>
      <c r="S154" s="27">
        <f>IF(B154="","",IF(E154="Tiered on monthly service revenue",IFERROR(INDEX(TierRate,MATCH(Q154,TierFrom,1)),0),IFERROR(IF(INDEX(Staff!$M$5:$M$44,MATCH(C154,Staff!$A$5:$A$44,0))="",ServiceCommission,INDEX(Staff!$M$5:$M$44,MATCH(C154,Staff!$A$5:$A$44,0))),ServiceCommission)))</f>
        <v>0</v>
      </c>
      <c r="T154" s="27">
        <f>IF(B154="","",IFERROR(IF(INDEX(Staff!$N$5:$N$44,MATCH(C154,Staff!$A$5:$A$44,0))="",RetailCommission,INDEX(Staff!$N$5:$N$44,MATCH(C154,Staff!$A$5:$A$44,0))),RetailCommission))</f>
        <v>0</v>
      </c>
      <c r="U154" s="26">
        <f>IF(B154="","",IFERROR(INDEX(Staff!$O$5:$O$44,MATCH(C154,Staff!$A$5:$A$44,0))*1,0))</f>
        <v>0</v>
      </c>
      <c r="V154" s="26">
        <f>IF(B154="","",ROUND(IF(E154="Percent of service",Q154*S154,IF(E154="Percent of service and retail",Q154*S154+R154*T154,IF(E154="Percent after product cost",MAX(0,Q154-O154)*S154,IF(E154="Tiered on monthly service revenue",Q154*S154,IF(E154="Flat amount per service",P154*U154,0))))),2))</f>
        <v>0</v>
      </c>
      <c r="W154" s="26">
        <f>IF(B154="","",ROUND(SUMIFS(Payments!$G$5:$G$1204,Payments!$J$5:$J$1204,C154,Payments!$O$5:$O$1204,B154,Payments!$E$5:$E$1204,"Tip"),2))</f>
        <v>0</v>
      </c>
      <c r="X154" s="26">
        <f>IF(B154="","",ROUND(V154+IF(F154="",0,F154)+IF(G154="",0,G154),2))</f>
        <v>0</v>
      </c>
      <c r="Y154" s="27">
        <f>IF(B154="","",IF(Q154+R154=0,"",X154/(Q154+R154)))</f>
        <v>0</v>
      </c>
      <c r="Z154" s="25">
        <f>IF(B154="","",COUNTIFS($V$5:$V$244,"&gt;"&amp;V154)+COUNTIFS($V$5:V154,V154))</f>
        <v>0</v>
      </c>
      <c r="AA154" s="39">
        <f>IF(B154="","",IF(C154="","Add - whose commission is this?",IF(COUNTIFS($B$5:$B$244,B154,$C$5:$C$244,C154)&gt;1,"Duplicate - two rows for the same month",IF(E154="None","",IF(E154="Rent a chair","",IF(E154="Hourly only","",IF(X154=0,"Check - nothing calculated",IF(H154&lt;&gt;"Yes","Due - waiting for approval",IF(I154="","Due - approved but not paid","OK")))))))))</f>
        <v>0</v>
      </c>
    </row>
    <row r="155" spans="1:27">
      <c r="A155" s="28">
        <f>IF(B155="","",CommissionPrefix&amp;TEXT(ROW()-4,"0000"))</f>
        <v>0</v>
      </c>
      <c r="D155" s="15">
        <f>IF(C155="","",IFERROR(INDEX(Staff!$B$5:$B$44,MATCH(C155,Staff!$A$5:$A$44,0)),"Not in Staff"))</f>
        <v>0</v>
      </c>
      <c r="E155" s="15">
        <f>IF(C155="","",IFERROR(INDEX(Staff!$L$5:$L$44,MATCH(C155,Staff!$A$5:$A$44,0)),"None"))</f>
        <v>0</v>
      </c>
      <c r="K155" s="26">
        <f>IF(B155="","",ROUND(SUMIFS(Sales!$Y$5:$Y$1204,Sales!$F$5:$F$1204,C155,Sales!$R$5:$R$1204,B155,Sales!$H$5:$H$1204,"Service"),2))</f>
        <v>0</v>
      </c>
      <c r="L155" s="26">
        <f>IF(B155="","",ROUND(SUMIFS(Sales!$W$5:$W$1204,Sales!$F$5:$F$1204,C155,Sales!$R$5:$R$1204,B155,Sales!$H$5:$H$1204,"Service"),2))</f>
        <v>0</v>
      </c>
      <c r="M155" s="26">
        <f>IF(B155="","",ROUND(SUMIFS(Sales!$Y$5:$Y$1204,Sales!$F$5:$F$1204,C155,Sales!$R$5:$R$1204,B155,Sales!$H$5:$H$1204,"Retail"),2))</f>
        <v>0</v>
      </c>
      <c r="N155" s="26">
        <f>IF(B155="","",ROUND(SUMIFS(Sales!$W$5:$W$1204,Sales!$F$5:$F$1204,C155,Sales!$R$5:$R$1204,B155,Sales!$H$5:$H$1204,"Retail"),2))</f>
        <v>0</v>
      </c>
      <c r="O155" s="26">
        <f>IF(B155="","",ROUND(SUMIFS(Sales!$AB$5:$AB$1204,Sales!$F$5:$F$1204,C155,Sales!$R$5:$R$1204,B155,Sales!$H$5:$H$1204,"Service"),2))</f>
        <v>0</v>
      </c>
      <c r="P155" s="25">
        <f>IF(B155="","",COUNTIFS(Sales!$F$5:$F$1204,C155,Sales!$R$5:$R$1204,B155,Sales!$H$5:$H$1204,"Service"))</f>
        <v>0</v>
      </c>
      <c r="Q155" s="26">
        <f>IF(B155="","",IF(CommissionOn="Gross before discounts",L155,K155))</f>
        <v>0</v>
      </c>
      <c r="R155" s="26">
        <f>IF(B155="","",IF(CommissionOn="Gross before discounts",N155,M155))</f>
        <v>0</v>
      </c>
      <c r="S155" s="27">
        <f>IF(B155="","",IF(E155="Tiered on monthly service revenue",IFERROR(INDEX(TierRate,MATCH(Q155,TierFrom,1)),0),IFERROR(IF(INDEX(Staff!$M$5:$M$44,MATCH(C155,Staff!$A$5:$A$44,0))="",ServiceCommission,INDEX(Staff!$M$5:$M$44,MATCH(C155,Staff!$A$5:$A$44,0))),ServiceCommission)))</f>
        <v>0</v>
      </c>
      <c r="T155" s="27">
        <f>IF(B155="","",IFERROR(IF(INDEX(Staff!$N$5:$N$44,MATCH(C155,Staff!$A$5:$A$44,0))="",RetailCommission,INDEX(Staff!$N$5:$N$44,MATCH(C155,Staff!$A$5:$A$44,0))),RetailCommission))</f>
        <v>0</v>
      </c>
      <c r="U155" s="26">
        <f>IF(B155="","",IFERROR(INDEX(Staff!$O$5:$O$44,MATCH(C155,Staff!$A$5:$A$44,0))*1,0))</f>
        <v>0</v>
      </c>
      <c r="V155" s="26">
        <f>IF(B155="","",ROUND(IF(E155="Percent of service",Q155*S155,IF(E155="Percent of service and retail",Q155*S155+R155*T155,IF(E155="Percent after product cost",MAX(0,Q155-O155)*S155,IF(E155="Tiered on monthly service revenue",Q155*S155,IF(E155="Flat amount per service",P155*U155,0))))),2))</f>
        <v>0</v>
      </c>
      <c r="W155" s="26">
        <f>IF(B155="","",ROUND(SUMIFS(Payments!$G$5:$G$1204,Payments!$J$5:$J$1204,C155,Payments!$O$5:$O$1204,B155,Payments!$E$5:$E$1204,"Tip"),2))</f>
        <v>0</v>
      </c>
      <c r="X155" s="26">
        <f>IF(B155="","",ROUND(V155+IF(F155="",0,F155)+IF(G155="",0,G155),2))</f>
        <v>0</v>
      </c>
      <c r="Y155" s="27">
        <f>IF(B155="","",IF(Q155+R155=0,"",X155/(Q155+R155)))</f>
        <v>0</v>
      </c>
      <c r="Z155" s="25">
        <f>IF(B155="","",COUNTIFS($V$5:$V$244,"&gt;"&amp;V155)+COUNTIFS($V$5:V155,V155))</f>
        <v>0</v>
      </c>
      <c r="AA155" s="39">
        <f>IF(B155="","",IF(C155="","Add - whose commission is this?",IF(COUNTIFS($B$5:$B$244,B155,$C$5:$C$244,C155)&gt;1,"Duplicate - two rows for the same month",IF(E155="None","",IF(E155="Rent a chair","",IF(E155="Hourly only","",IF(X155=0,"Check - nothing calculated",IF(H155&lt;&gt;"Yes","Due - waiting for approval",IF(I155="","Due - approved but not paid","OK")))))))))</f>
        <v>0</v>
      </c>
    </row>
    <row r="156" spans="1:27">
      <c r="A156" s="28">
        <f>IF(B156="","",CommissionPrefix&amp;TEXT(ROW()-4,"0000"))</f>
        <v>0</v>
      </c>
      <c r="D156" s="15">
        <f>IF(C156="","",IFERROR(INDEX(Staff!$B$5:$B$44,MATCH(C156,Staff!$A$5:$A$44,0)),"Not in Staff"))</f>
        <v>0</v>
      </c>
      <c r="E156" s="15">
        <f>IF(C156="","",IFERROR(INDEX(Staff!$L$5:$L$44,MATCH(C156,Staff!$A$5:$A$44,0)),"None"))</f>
        <v>0</v>
      </c>
      <c r="K156" s="26">
        <f>IF(B156="","",ROUND(SUMIFS(Sales!$Y$5:$Y$1204,Sales!$F$5:$F$1204,C156,Sales!$R$5:$R$1204,B156,Sales!$H$5:$H$1204,"Service"),2))</f>
        <v>0</v>
      </c>
      <c r="L156" s="26">
        <f>IF(B156="","",ROUND(SUMIFS(Sales!$W$5:$W$1204,Sales!$F$5:$F$1204,C156,Sales!$R$5:$R$1204,B156,Sales!$H$5:$H$1204,"Service"),2))</f>
        <v>0</v>
      </c>
      <c r="M156" s="26">
        <f>IF(B156="","",ROUND(SUMIFS(Sales!$Y$5:$Y$1204,Sales!$F$5:$F$1204,C156,Sales!$R$5:$R$1204,B156,Sales!$H$5:$H$1204,"Retail"),2))</f>
        <v>0</v>
      </c>
      <c r="N156" s="26">
        <f>IF(B156="","",ROUND(SUMIFS(Sales!$W$5:$W$1204,Sales!$F$5:$F$1204,C156,Sales!$R$5:$R$1204,B156,Sales!$H$5:$H$1204,"Retail"),2))</f>
        <v>0</v>
      </c>
      <c r="O156" s="26">
        <f>IF(B156="","",ROUND(SUMIFS(Sales!$AB$5:$AB$1204,Sales!$F$5:$F$1204,C156,Sales!$R$5:$R$1204,B156,Sales!$H$5:$H$1204,"Service"),2))</f>
        <v>0</v>
      </c>
      <c r="P156" s="25">
        <f>IF(B156="","",COUNTIFS(Sales!$F$5:$F$1204,C156,Sales!$R$5:$R$1204,B156,Sales!$H$5:$H$1204,"Service"))</f>
        <v>0</v>
      </c>
      <c r="Q156" s="26">
        <f>IF(B156="","",IF(CommissionOn="Gross before discounts",L156,K156))</f>
        <v>0</v>
      </c>
      <c r="R156" s="26">
        <f>IF(B156="","",IF(CommissionOn="Gross before discounts",N156,M156))</f>
        <v>0</v>
      </c>
      <c r="S156" s="27">
        <f>IF(B156="","",IF(E156="Tiered on monthly service revenue",IFERROR(INDEX(TierRate,MATCH(Q156,TierFrom,1)),0),IFERROR(IF(INDEX(Staff!$M$5:$M$44,MATCH(C156,Staff!$A$5:$A$44,0))="",ServiceCommission,INDEX(Staff!$M$5:$M$44,MATCH(C156,Staff!$A$5:$A$44,0))),ServiceCommission)))</f>
        <v>0</v>
      </c>
      <c r="T156" s="27">
        <f>IF(B156="","",IFERROR(IF(INDEX(Staff!$N$5:$N$44,MATCH(C156,Staff!$A$5:$A$44,0))="",RetailCommission,INDEX(Staff!$N$5:$N$44,MATCH(C156,Staff!$A$5:$A$44,0))),RetailCommission))</f>
        <v>0</v>
      </c>
      <c r="U156" s="26">
        <f>IF(B156="","",IFERROR(INDEX(Staff!$O$5:$O$44,MATCH(C156,Staff!$A$5:$A$44,0))*1,0))</f>
        <v>0</v>
      </c>
      <c r="V156" s="26">
        <f>IF(B156="","",ROUND(IF(E156="Percent of service",Q156*S156,IF(E156="Percent of service and retail",Q156*S156+R156*T156,IF(E156="Percent after product cost",MAX(0,Q156-O156)*S156,IF(E156="Tiered on monthly service revenue",Q156*S156,IF(E156="Flat amount per service",P156*U156,0))))),2))</f>
        <v>0</v>
      </c>
      <c r="W156" s="26">
        <f>IF(B156="","",ROUND(SUMIFS(Payments!$G$5:$G$1204,Payments!$J$5:$J$1204,C156,Payments!$O$5:$O$1204,B156,Payments!$E$5:$E$1204,"Tip"),2))</f>
        <v>0</v>
      </c>
      <c r="X156" s="26">
        <f>IF(B156="","",ROUND(V156+IF(F156="",0,F156)+IF(G156="",0,G156),2))</f>
        <v>0</v>
      </c>
      <c r="Y156" s="27">
        <f>IF(B156="","",IF(Q156+R156=0,"",X156/(Q156+R156)))</f>
        <v>0</v>
      </c>
      <c r="Z156" s="25">
        <f>IF(B156="","",COUNTIFS($V$5:$V$244,"&gt;"&amp;V156)+COUNTIFS($V$5:V156,V156))</f>
        <v>0</v>
      </c>
      <c r="AA156" s="39">
        <f>IF(B156="","",IF(C156="","Add - whose commission is this?",IF(COUNTIFS($B$5:$B$244,B156,$C$5:$C$244,C156)&gt;1,"Duplicate - two rows for the same month",IF(E156="None","",IF(E156="Rent a chair","",IF(E156="Hourly only","",IF(X156=0,"Check - nothing calculated",IF(H156&lt;&gt;"Yes","Due - waiting for approval",IF(I156="","Due - approved but not paid","OK")))))))))</f>
        <v>0</v>
      </c>
    </row>
    <row r="157" spans="1:27">
      <c r="A157" s="28">
        <f>IF(B157="","",CommissionPrefix&amp;TEXT(ROW()-4,"0000"))</f>
        <v>0</v>
      </c>
      <c r="D157" s="15">
        <f>IF(C157="","",IFERROR(INDEX(Staff!$B$5:$B$44,MATCH(C157,Staff!$A$5:$A$44,0)),"Not in Staff"))</f>
        <v>0</v>
      </c>
      <c r="E157" s="15">
        <f>IF(C157="","",IFERROR(INDEX(Staff!$L$5:$L$44,MATCH(C157,Staff!$A$5:$A$44,0)),"None"))</f>
        <v>0</v>
      </c>
      <c r="K157" s="26">
        <f>IF(B157="","",ROUND(SUMIFS(Sales!$Y$5:$Y$1204,Sales!$F$5:$F$1204,C157,Sales!$R$5:$R$1204,B157,Sales!$H$5:$H$1204,"Service"),2))</f>
        <v>0</v>
      </c>
      <c r="L157" s="26">
        <f>IF(B157="","",ROUND(SUMIFS(Sales!$W$5:$W$1204,Sales!$F$5:$F$1204,C157,Sales!$R$5:$R$1204,B157,Sales!$H$5:$H$1204,"Service"),2))</f>
        <v>0</v>
      </c>
      <c r="M157" s="26">
        <f>IF(B157="","",ROUND(SUMIFS(Sales!$Y$5:$Y$1204,Sales!$F$5:$F$1204,C157,Sales!$R$5:$R$1204,B157,Sales!$H$5:$H$1204,"Retail"),2))</f>
        <v>0</v>
      </c>
      <c r="N157" s="26">
        <f>IF(B157="","",ROUND(SUMIFS(Sales!$W$5:$W$1204,Sales!$F$5:$F$1204,C157,Sales!$R$5:$R$1204,B157,Sales!$H$5:$H$1204,"Retail"),2))</f>
        <v>0</v>
      </c>
      <c r="O157" s="26">
        <f>IF(B157="","",ROUND(SUMIFS(Sales!$AB$5:$AB$1204,Sales!$F$5:$F$1204,C157,Sales!$R$5:$R$1204,B157,Sales!$H$5:$H$1204,"Service"),2))</f>
        <v>0</v>
      </c>
      <c r="P157" s="25">
        <f>IF(B157="","",COUNTIFS(Sales!$F$5:$F$1204,C157,Sales!$R$5:$R$1204,B157,Sales!$H$5:$H$1204,"Service"))</f>
        <v>0</v>
      </c>
      <c r="Q157" s="26">
        <f>IF(B157="","",IF(CommissionOn="Gross before discounts",L157,K157))</f>
        <v>0</v>
      </c>
      <c r="R157" s="26">
        <f>IF(B157="","",IF(CommissionOn="Gross before discounts",N157,M157))</f>
        <v>0</v>
      </c>
      <c r="S157" s="27">
        <f>IF(B157="","",IF(E157="Tiered on monthly service revenue",IFERROR(INDEX(TierRate,MATCH(Q157,TierFrom,1)),0),IFERROR(IF(INDEX(Staff!$M$5:$M$44,MATCH(C157,Staff!$A$5:$A$44,0))="",ServiceCommission,INDEX(Staff!$M$5:$M$44,MATCH(C157,Staff!$A$5:$A$44,0))),ServiceCommission)))</f>
        <v>0</v>
      </c>
      <c r="T157" s="27">
        <f>IF(B157="","",IFERROR(IF(INDEX(Staff!$N$5:$N$44,MATCH(C157,Staff!$A$5:$A$44,0))="",RetailCommission,INDEX(Staff!$N$5:$N$44,MATCH(C157,Staff!$A$5:$A$44,0))),RetailCommission))</f>
        <v>0</v>
      </c>
      <c r="U157" s="26">
        <f>IF(B157="","",IFERROR(INDEX(Staff!$O$5:$O$44,MATCH(C157,Staff!$A$5:$A$44,0))*1,0))</f>
        <v>0</v>
      </c>
      <c r="V157" s="26">
        <f>IF(B157="","",ROUND(IF(E157="Percent of service",Q157*S157,IF(E157="Percent of service and retail",Q157*S157+R157*T157,IF(E157="Percent after product cost",MAX(0,Q157-O157)*S157,IF(E157="Tiered on monthly service revenue",Q157*S157,IF(E157="Flat amount per service",P157*U157,0))))),2))</f>
        <v>0</v>
      </c>
      <c r="W157" s="26">
        <f>IF(B157="","",ROUND(SUMIFS(Payments!$G$5:$G$1204,Payments!$J$5:$J$1204,C157,Payments!$O$5:$O$1204,B157,Payments!$E$5:$E$1204,"Tip"),2))</f>
        <v>0</v>
      </c>
      <c r="X157" s="26">
        <f>IF(B157="","",ROUND(V157+IF(F157="",0,F157)+IF(G157="",0,G157),2))</f>
        <v>0</v>
      </c>
      <c r="Y157" s="27">
        <f>IF(B157="","",IF(Q157+R157=0,"",X157/(Q157+R157)))</f>
        <v>0</v>
      </c>
      <c r="Z157" s="25">
        <f>IF(B157="","",COUNTIFS($V$5:$V$244,"&gt;"&amp;V157)+COUNTIFS($V$5:V157,V157))</f>
        <v>0</v>
      </c>
      <c r="AA157" s="39">
        <f>IF(B157="","",IF(C157="","Add - whose commission is this?",IF(COUNTIFS($B$5:$B$244,B157,$C$5:$C$244,C157)&gt;1,"Duplicate - two rows for the same month",IF(E157="None","",IF(E157="Rent a chair","",IF(E157="Hourly only","",IF(X157=0,"Check - nothing calculated",IF(H157&lt;&gt;"Yes","Due - waiting for approval",IF(I157="","Due - approved but not paid","OK")))))))))</f>
        <v>0</v>
      </c>
    </row>
    <row r="158" spans="1:27">
      <c r="A158" s="28">
        <f>IF(B158="","",CommissionPrefix&amp;TEXT(ROW()-4,"0000"))</f>
        <v>0</v>
      </c>
      <c r="D158" s="15">
        <f>IF(C158="","",IFERROR(INDEX(Staff!$B$5:$B$44,MATCH(C158,Staff!$A$5:$A$44,0)),"Not in Staff"))</f>
        <v>0</v>
      </c>
      <c r="E158" s="15">
        <f>IF(C158="","",IFERROR(INDEX(Staff!$L$5:$L$44,MATCH(C158,Staff!$A$5:$A$44,0)),"None"))</f>
        <v>0</v>
      </c>
      <c r="K158" s="26">
        <f>IF(B158="","",ROUND(SUMIFS(Sales!$Y$5:$Y$1204,Sales!$F$5:$F$1204,C158,Sales!$R$5:$R$1204,B158,Sales!$H$5:$H$1204,"Service"),2))</f>
        <v>0</v>
      </c>
      <c r="L158" s="26">
        <f>IF(B158="","",ROUND(SUMIFS(Sales!$W$5:$W$1204,Sales!$F$5:$F$1204,C158,Sales!$R$5:$R$1204,B158,Sales!$H$5:$H$1204,"Service"),2))</f>
        <v>0</v>
      </c>
      <c r="M158" s="26">
        <f>IF(B158="","",ROUND(SUMIFS(Sales!$Y$5:$Y$1204,Sales!$F$5:$F$1204,C158,Sales!$R$5:$R$1204,B158,Sales!$H$5:$H$1204,"Retail"),2))</f>
        <v>0</v>
      </c>
      <c r="N158" s="26">
        <f>IF(B158="","",ROUND(SUMIFS(Sales!$W$5:$W$1204,Sales!$F$5:$F$1204,C158,Sales!$R$5:$R$1204,B158,Sales!$H$5:$H$1204,"Retail"),2))</f>
        <v>0</v>
      </c>
      <c r="O158" s="26">
        <f>IF(B158="","",ROUND(SUMIFS(Sales!$AB$5:$AB$1204,Sales!$F$5:$F$1204,C158,Sales!$R$5:$R$1204,B158,Sales!$H$5:$H$1204,"Service"),2))</f>
        <v>0</v>
      </c>
      <c r="P158" s="25">
        <f>IF(B158="","",COUNTIFS(Sales!$F$5:$F$1204,C158,Sales!$R$5:$R$1204,B158,Sales!$H$5:$H$1204,"Service"))</f>
        <v>0</v>
      </c>
      <c r="Q158" s="26">
        <f>IF(B158="","",IF(CommissionOn="Gross before discounts",L158,K158))</f>
        <v>0</v>
      </c>
      <c r="R158" s="26">
        <f>IF(B158="","",IF(CommissionOn="Gross before discounts",N158,M158))</f>
        <v>0</v>
      </c>
      <c r="S158" s="27">
        <f>IF(B158="","",IF(E158="Tiered on monthly service revenue",IFERROR(INDEX(TierRate,MATCH(Q158,TierFrom,1)),0),IFERROR(IF(INDEX(Staff!$M$5:$M$44,MATCH(C158,Staff!$A$5:$A$44,0))="",ServiceCommission,INDEX(Staff!$M$5:$M$44,MATCH(C158,Staff!$A$5:$A$44,0))),ServiceCommission)))</f>
        <v>0</v>
      </c>
      <c r="T158" s="27">
        <f>IF(B158="","",IFERROR(IF(INDEX(Staff!$N$5:$N$44,MATCH(C158,Staff!$A$5:$A$44,0))="",RetailCommission,INDEX(Staff!$N$5:$N$44,MATCH(C158,Staff!$A$5:$A$44,0))),RetailCommission))</f>
        <v>0</v>
      </c>
      <c r="U158" s="26">
        <f>IF(B158="","",IFERROR(INDEX(Staff!$O$5:$O$44,MATCH(C158,Staff!$A$5:$A$44,0))*1,0))</f>
        <v>0</v>
      </c>
      <c r="V158" s="26">
        <f>IF(B158="","",ROUND(IF(E158="Percent of service",Q158*S158,IF(E158="Percent of service and retail",Q158*S158+R158*T158,IF(E158="Percent after product cost",MAX(0,Q158-O158)*S158,IF(E158="Tiered on monthly service revenue",Q158*S158,IF(E158="Flat amount per service",P158*U158,0))))),2))</f>
        <v>0</v>
      </c>
      <c r="W158" s="26">
        <f>IF(B158="","",ROUND(SUMIFS(Payments!$G$5:$G$1204,Payments!$J$5:$J$1204,C158,Payments!$O$5:$O$1204,B158,Payments!$E$5:$E$1204,"Tip"),2))</f>
        <v>0</v>
      </c>
      <c r="X158" s="26">
        <f>IF(B158="","",ROUND(V158+IF(F158="",0,F158)+IF(G158="",0,G158),2))</f>
        <v>0</v>
      </c>
      <c r="Y158" s="27">
        <f>IF(B158="","",IF(Q158+R158=0,"",X158/(Q158+R158)))</f>
        <v>0</v>
      </c>
      <c r="Z158" s="25">
        <f>IF(B158="","",COUNTIFS($V$5:$V$244,"&gt;"&amp;V158)+COUNTIFS($V$5:V158,V158))</f>
        <v>0</v>
      </c>
      <c r="AA158" s="39">
        <f>IF(B158="","",IF(C158="","Add - whose commission is this?",IF(COUNTIFS($B$5:$B$244,B158,$C$5:$C$244,C158)&gt;1,"Duplicate - two rows for the same month",IF(E158="None","",IF(E158="Rent a chair","",IF(E158="Hourly only","",IF(X158=0,"Check - nothing calculated",IF(H158&lt;&gt;"Yes","Due - waiting for approval",IF(I158="","Due - approved but not paid","OK")))))))))</f>
        <v>0</v>
      </c>
    </row>
    <row r="159" spans="1:27">
      <c r="A159" s="28">
        <f>IF(B159="","",CommissionPrefix&amp;TEXT(ROW()-4,"0000"))</f>
        <v>0</v>
      </c>
      <c r="D159" s="15">
        <f>IF(C159="","",IFERROR(INDEX(Staff!$B$5:$B$44,MATCH(C159,Staff!$A$5:$A$44,0)),"Not in Staff"))</f>
        <v>0</v>
      </c>
      <c r="E159" s="15">
        <f>IF(C159="","",IFERROR(INDEX(Staff!$L$5:$L$44,MATCH(C159,Staff!$A$5:$A$44,0)),"None"))</f>
        <v>0</v>
      </c>
      <c r="K159" s="26">
        <f>IF(B159="","",ROUND(SUMIFS(Sales!$Y$5:$Y$1204,Sales!$F$5:$F$1204,C159,Sales!$R$5:$R$1204,B159,Sales!$H$5:$H$1204,"Service"),2))</f>
        <v>0</v>
      </c>
      <c r="L159" s="26">
        <f>IF(B159="","",ROUND(SUMIFS(Sales!$W$5:$W$1204,Sales!$F$5:$F$1204,C159,Sales!$R$5:$R$1204,B159,Sales!$H$5:$H$1204,"Service"),2))</f>
        <v>0</v>
      </c>
      <c r="M159" s="26">
        <f>IF(B159="","",ROUND(SUMIFS(Sales!$Y$5:$Y$1204,Sales!$F$5:$F$1204,C159,Sales!$R$5:$R$1204,B159,Sales!$H$5:$H$1204,"Retail"),2))</f>
        <v>0</v>
      </c>
      <c r="N159" s="26">
        <f>IF(B159="","",ROUND(SUMIFS(Sales!$W$5:$W$1204,Sales!$F$5:$F$1204,C159,Sales!$R$5:$R$1204,B159,Sales!$H$5:$H$1204,"Retail"),2))</f>
        <v>0</v>
      </c>
      <c r="O159" s="26">
        <f>IF(B159="","",ROUND(SUMIFS(Sales!$AB$5:$AB$1204,Sales!$F$5:$F$1204,C159,Sales!$R$5:$R$1204,B159,Sales!$H$5:$H$1204,"Service"),2))</f>
        <v>0</v>
      </c>
      <c r="P159" s="25">
        <f>IF(B159="","",COUNTIFS(Sales!$F$5:$F$1204,C159,Sales!$R$5:$R$1204,B159,Sales!$H$5:$H$1204,"Service"))</f>
        <v>0</v>
      </c>
      <c r="Q159" s="26">
        <f>IF(B159="","",IF(CommissionOn="Gross before discounts",L159,K159))</f>
        <v>0</v>
      </c>
      <c r="R159" s="26">
        <f>IF(B159="","",IF(CommissionOn="Gross before discounts",N159,M159))</f>
        <v>0</v>
      </c>
      <c r="S159" s="27">
        <f>IF(B159="","",IF(E159="Tiered on monthly service revenue",IFERROR(INDEX(TierRate,MATCH(Q159,TierFrom,1)),0),IFERROR(IF(INDEX(Staff!$M$5:$M$44,MATCH(C159,Staff!$A$5:$A$44,0))="",ServiceCommission,INDEX(Staff!$M$5:$M$44,MATCH(C159,Staff!$A$5:$A$44,0))),ServiceCommission)))</f>
        <v>0</v>
      </c>
      <c r="T159" s="27">
        <f>IF(B159="","",IFERROR(IF(INDEX(Staff!$N$5:$N$44,MATCH(C159,Staff!$A$5:$A$44,0))="",RetailCommission,INDEX(Staff!$N$5:$N$44,MATCH(C159,Staff!$A$5:$A$44,0))),RetailCommission))</f>
        <v>0</v>
      </c>
      <c r="U159" s="26">
        <f>IF(B159="","",IFERROR(INDEX(Staff!$O$5:$O$44,MATCH(C159,Staff!$A$5:$A$44,0))*1,0))</f>
        <v>0</v>
      </c>
      <c r="V159" s="26">
        <f>IF(B159="","",ROUND(IF(E159="Percent of service",Q159*S159,IF(E159="Percent of service and retail",Q159*S159+R159*T159,IF(E159="Percent after product cost",MAX(0,Q159-O159)*S159,IF(E159="Tiered on monthly service revenue",Q159*S159,IF(E159="Flat amount per service",P159*U159,0))))),2))</f>
        <v>0</v>
      </c>
      <c r="W159" s="26">
        <f>IF(B159="","",ROUND(SUMIFS(Payments!$G$5:$G$1204,Payments!$J$5:$J$1204,C159,Payments!$O$5:$O$1204,B159,Payments!$E$5:$E$1204,"Tip"),2))</f>
        <v>0</v>
      </c>
      <c r="X159" s="26">
        <f>IF(B159="","",ROUND(V159+IF(F159="",0,F159)+IF(G159="",0,G159),2))</f>
        <v>0</v>
      </c>
      <c r="Y159" s="27">
        <f>IF(B159="","",IF(Q159+R159=0,"",X159/(Q159+R159)))</f>
        <v>0</v>
      </c>
      <c r="Z159" s="25">
        <f>IF(B159="","",COUNTIFS($V$5:$V$244,"&gt;"&amp;V159)+COUNTIFS($V$5:V159,V159))</f>
        <v>0</v>
      </c>
      <c r="AA159" s="39">
        <f>IF(B159="","",IF(C159="","Add - whose commission is this?",IF(COUNTIFS($B$5:$B$244,B159,$C$5:$C$244,C159)&gt;1,"Duplicate - two rows for the same month",IF(E159="None","",IF(E159="Rent a chair","",IF(E159="Hourly only","",IF(X159=0,"Check - nothing calculated",IF(H159&lt;&gt;"Yes","Due - waiting for approval",IF(I159="","Due - approved but not paid","OK")))))))))</f>
        <v>0</v>
      </c>
    </row>
    <row r="160" spans="1:27">
      <c r="A160" s="28">
        <f>IF(B160="","",CommissionPrefix&amp;TEXT(ROW()-4,"0000"))</f>
        <v>0</v>
      </c>
      <c r="D160" s="15">
        <f>IF(C160="","",IFERROR(INDEX(Staff!$B$5:$B$44,MATCH(C160,Staff!$A$5:$A$44,0)),"Not in Staff"))</f>
        <v>0</v>
      </c>
      <c r="E160" s="15">
        <f>IF(C160="","",IFERROR(INDEX(Staff!$L$5:$L$44,MATCH(C160,Staff!$A$5:$A$44,0)),"None"))</f>
        <v>0</v>
      </c>
      <c r="K160" s="26">
        <f>IF(B160="","",ROUND(SUMIFS(Sales!$Y$5:$Y$1204,Sales!$F$5:$F$1204,C160,Sales!$R$5:$R$1204,B160,Sales!$H$5:$H$1204,"Service"),2))</f>
        <v>0</v>
      </c>
      <c r="L160" s="26">
        <f>IF(B160="","",ROUND(SUMIFS(Sales!$W$5:$W$1204,Sales!$F$5:$F$1204,C160,Sales!$R$5:$R$1204,B160,Sales!$H$5:$H$1204,"Service"),2))</f>
        <v>0</v>
      </c>
      <c r="M160" s="26">
        <f>IF(B160="","",ROUND(SUMIFS(Sales!$Y$5:$Y$1204,Sales!$F$5:$F$1204,C160,Sales!$R$5:$R$1204,B160,Sales!$H$5:$H$1204,"Retail"),2))</f>
        <v>0</v>
      </c>
      <c r="N160" s="26">
        <f>IF(B160="","",ROUND(SUMIFS(Sales!$W$5:$W$1204,Sales!$F$5:$F$1204,C160,Sales!$R$5:$R$1204,B160,Sales!$H$5:$H$1204,"Retail"),2))</f>
        <v>0</v>
      </c>
      <c r="O160" s="26">
        <f>IF(B160="","",ROUND(SUMIFS(Sales!$AB$5:$AB$1204,Sales!$F$5:$F$1204,C160,Sales!$R$5:$R$1204,B160,Sales!$H$5:$H$1204,"Service"),2))</f>
        <v>0</v>
      </c>
      <c r="P160" s="25">
        <f>IF(B160="","",COUNTIFS(Sales!$F$5:$F$1204,C160,Sales!$R$5:$R$1204,B160,Sales!$H$5:$H$1204,"Service"))</f>
        <v>0</v>
      </c>
      <c r="Q160" s="26">
        <f>IF(B160="","",IF(CommissionOn="Gross before discounts",L160,K160))</f>
        <v>0</v>
      </c>
      <c r="R160" s="26">
        <f>IF(B160="","",IF(CommissionOn="Gross before discounts",N160,M160))</f>
        <v>0</v>
      </c>
      <c r="S160" s="27">
        <f>IF(B160="","",IF(E160="Tiered on monthly service revenue",IFERROR(INDEX(TierRate,MATCH(Q160,TierFrom,1)),0),IFERROR(IF(INDEX(Staff!$M$5:$M$44,MATCH(C160,Staff!$A$5:$A$44,0))="",ServiceCommission,INDEX(Staff!$M$5:$M$44,MATCH(C160,Staff!$A$5:$A$44,0))),ServiceCommission)))</f>
        <v>0</v>
      </c>
      <c r="T160" s="27">
        <f>IF(B160="","",IFERROR(IF(INDEX(Staff!$N$5:$N$44,MATCH(C160,Staff!$A$5:$A$44,0))="",RetailCommission,INDEX(Staff!$N$5:$N$44,MATCH(C160,Staff!$A$5:$A$44,0))),RetailCommission))</f>
        <v>0</v>
      </c>
      <c r="U160" s="26">
        <f>IF(B160="","",IFERROR(INDEX(Staff!$O$5:$O$44,MATCH(C160,Staff!$A$5:$A$44,0))*1,0))</f>
        <v>0</v>
      </c>
      <c r="V160" s="26">
        <f>IF(B160="","",ROUND(IF(E160="Percent of service",Q160*S160,IF(E160="Percent of service and retail",Q160*S160+R160*T160,IF(E160="Percent after product cost",MAX(0,Q160-O160)*S160,IF(E160="Tiered on monthly service revenue",Q160*S160,IF(E160="Flat amount per service",P160*U160,0))))),2))</f>
        <v>0</v>
      </c>
      <c r="W160" s="26">
        <f>IF(B160="","",ROUND(SUMIFS(Payments!$G$5:$G$1204,Payments!$J$5:$J$1204,C160,Payments!$O$5:$O$1204,B160,Payments!$E$5:$E$1204,"Tip"),2))</f>
        <v>0</v>
      </c>
      <c r="X160" s="26">
        <f>IF(B160="","",ROUND(V160+IF(F160="",0,F160)+IF(G160="",0,G160),2))</f>
        <v>0</v>
      </c>
      <c r="Y160" s="27">
        <f>IF(B160="","",IF(Q160+R160=0,"",X160/(Q160+R160)))</f>
        <v>0</v>
      </c>
      <c r="Z160" s="25">
        <f>IF(B160="","",COUNTIFS($V$5:$V$244,"&gt;"&amp;V160)+COUNTIFS($V$5:V160,V160))</f>
        <v>0</v>
      </c>
      <c r="AA160" s="39">
        <f>IF(B160="","",IF(C160="","Add - whose commission is this?",IF(COUNTIFS($B$5:$B$244,B160,$C$5:$C$244,C160)&gt;1,"Duplicate - two rows for the same month",IF(E160="None","",IF(E160="Rent a chair","",IF(E160="Hourly only","",IF(X160=0,"Check - nothing calculated",IF(H160&lt;&gt;"Yes","Due - waiting for approval",IF(I160="","Due - approved but not paid","OK")))))))))</f>
        <v>0</v>
      </c>
    </row>
    <row r="161" spans="1:27">
      <c r="A161" s="28">
        <f>IF(B161="","",CommissionPrefix&amp;TEXT(ROW()-4,"0000"))</f>
        <v>0</v>
      </c>
      <c r="D161" s="15">
        <f>IF(C161="","",IFERROR(INDEX(Staff!$B$5:$B$44,MATCH(C161,Staff!$A$5:$A$44,0)),"Not in Staff"))</f>
        <v>0</v>
      </c>
      <c r="E161" s="15">
        <f>IF(C161="","",IFERROR(INDEX(Staff!$L$5:$L$44,MATCH(C161,Staff!$A$5:$A$44,0)),"None"))</f>
        <v>0</v>
      </c>
      <c r="K161" s="26">
        <f>IF(B161="","",ROUND(SUMIFS(Sales!$Y$5:$Y$1204,Sales!$F$5:$F$1204,C161,Sales!$R$5:$R$1204,B161,Sales!$H$5:$H$1204,"Service"),2))</f>
        <v>0</v>
      </c>
      <c r="L161" s="26">
        <f>IF(B161="","",ROUND(SUMIFS(Sales!$W$5:$W$1204,Sales!$F$5:$F$1204,C161,Sales!$R$5:$R$1204,B161,Sales!$H$5:$H$1204,"Service"),2))</f>
        <v>0</v>
      </c>
      <c r="M161" s="26">
        <f>IF(B161="","",ROUND(SUMIFS(Sales!$Y$5:$Y$1204,Sales!$F$5:$F$1204,C161,Sales!$R$5:$R$1204,B161,Sales!$H$5:$H$1204,"Retail"),2))</f>
        <v>0</v>
      </c>
      <c r="N161" s="26">
        <f>IF(B161="","",ROUND(SUMIFS(Sales!$W$5:$W$1204,Sales!$F$5:$F$1204,C161,Sales!$R$5:$R$1204,B161,Sales!$H$5:$H$1204,"Retail"),2))</f>
        <v>0</v>
      </c>
      <c r="O161" s="26">
        <f>IF(B161="","",ROUND(SUMIFS(Sales!$AB$5:$AB$1204,Sales!$F$5:$F$1204,C161,Sales!$R$5:$R$1204,B161,Sales!$H$5:$H$1204,"Service"),2))</f>
        <v>0</v>
      </c>
      <c r="P161" s="25">
        <f>IF(B161="","",COUNTIFS(Sales!$F$5:$F$1204,C161,Sales!$R$5:$R$1204,B161,Sales!$H$5:$H$1204,"Service"))</f>
        <v>0</v>
      </c>
      <c r="Q161" s="26">
        <f>IF(B161="","",IF(CommissionOn="Gross before discounts",L161,K161))</f>
        <v>0</v>
      </c>
      <c r="R161" s="26">
        <f>IF(B161="","",IF(CommissionOn="Gross before discounts",N161,M161))</f>
        <v>0</v>
      </c>
      <c r="S161" s="27">
        <f>IF(B161="","",IF(E161="Tiered on monthly service revenue",IFERROR(INDEX(TierRate,MATCH(Q161,TierFrom,1)),0),IFERROR(IF(INDEX(Staff!$M$5:$M$44,MATCH(C161,Staff!$A$5:$A$44,0))="",ServiceCommission,INDEX(Staff!$M$5:$M$44,MATCH(C161,Staff!$A$5:$A$44,0))),ServiceCommission)))</f>
        <v>0</v>
      </c>
      <c r="T161" s="27">
        <f>IF(B161="","",IFERROR(IF(INDEX(Staff!$N$5:$N$44,MATCH(C161,Staff!$A$5:$A$44,0))="",RetailCommission,INDEX(Staff!$N$5:$N$44,MATCH(C161,Staff!$A$5:$A$44,0))),RetailCommission))</f>
        <v>0</v>
      </c>
      <c r="U161" s="26">
        <f>IF(B161="","",IFERROR(INDEX(Staff!$O$5:$O$44,MATCH(C161,Staff!$A$5:$A$44,0))*1,0))</f>
        <v>0</v>
      </c>
      <c r="V161" s="26">
        <f>IF(B161="","",ROUND(IF(E161="Percent of service",Q161*S161,IF(E161="Percent of service and retail",Q161*S161+R161*T161,IF(E161="Percent after product cost",MAX(0,Q161-O161)*S161,IF(E161="Tiered on monthly service revenue",Q161*S161,IF(E161="Flat amount per service",P161*U161,0))))),2))</f>
        <v>0</v>
      </c>
      <c r="W161" s="26">
        <f>IF(B161="","",ROUND(SUMIFS(Payments!$G$5:$G$1204,Payments!$J$5:$J$1204,C161,Payments!$O$5:$O$1204,B161,Payments!$E$5:$E$1204,"Tip"),2))</f>
        <v>0</v>
      </c>
      <c r="X161" s="26">
        <f>IF(B161="","",ROUND(V161+IF(F161="",0,F161)+IF(G161="",0,G161),2))</f>
        <v>0</v>
      </c>
      <c r="Y161" s="27">
        <f>IF(B161="","",IF(Q161+R161=0,"",X161/(Q161+R161)))</f>
        <v>0</v>
      </c>
      <c r="Z161" s="25">
        <f>IF(B161="","",COUNTIFS($V$5:$V$244,"&gt;"&amp;V161)+COUNTIFS($V$5:V161,V161))</f>
        <v>0</v>
      </c>
      <c r="AA161" s="39">
        <f>IF(B161="","",IF(C161="","Add - whose commission is this?",IF(COUNTIFS($B$5:$B$244,B161,$C$5:$C$244,C161)&gt;1,"Duplicate - two rows for the same month",IF(E161="None","",IF(E161="Rent a chair","",IF(E161="Hourly only","",IF(X161=0,"Check - nothing calculated",IF(H161&lt;&gt;"Yes","Due - waiting for approval",IF(I161="","Due - approved but not paid","OK")))))))))</f>
        <v>0</v>
      </c>
    </row>
    <row r="162" spans="1:27">
      <c r="A162" s="28">
        <f>IF(B162="","",CommissionPrefix&amp;TEXT(ROW()-4,"0000"))</f>
        <v>0</v>
      </c>
      <c r="D162" s="15">
        <f>IF(C162="","",IFERROR(INDEX(Staff!$B$5:$B$44,MATCH(C162,Staff!$A$5:$A$44,0)),"Not in Staff"))</f>
        <v>0</v>
      </c>
      <c r="E162" s="15">
        <f>IF(C162="","",IFERROR(INDEX(Staff!$L$5:$L$44,MATCH(C162,Staff!$A$5:$A$44,0)),"None"))</f>
        <v>0</v>
      </c>
      <c r="K162" s="26">
        <f>IF(B162="","",ROUND(SUMIFS(Sales!$Y$5:$Y$1204,Sales!$F$5:$F$1204,C162,Sales!$R$5:$R$1204,B162,Sales!$H$5:$H$1204,"Service"),2))</f>
        <v>0</v>
      </c>
      <c r="L162" s="26">
        <f>IF(B162="","",ROUND(SUMIFS(Sales!$W$5:$W$1204,Sales!$F$5:$F$1204,C162,Sales!$R$5:$R$1204,B162,Sales!$H$5:$H$1204,"Service"),2))</f>
        <v>0</v>
      </c>
      <c r="M162" s="26">
        <f>IF(B162="","",ROUND(SUMIFS(Sales!$Y$5:$Y$1204,Sales!$F$5:$F$1204,C162,Sales!$R$5:$R$1204,B162,Sales!$H$5:$H$1204,"Retail"),2))</f>
        <v>0</v>
      </c>
      <c r="N162" s="26">
        <f>IF(B162="","",ROUND(SUMIFS(Sales!$W$5:$W$1204,Sales!$F$5:$F$1204,C162,Sales!$R$5:$R$1204,B162,Sales!$H$5:$H$1204,"Retail"),2))</f>
        <v>0</v>
      </c>
      <c r="O162" s="26">
        <f>IF(B162="","",ROUND(SUMIFS(Sales!$AB$5:$AB$1204,Sales!$F$5:$F$1204,C162,Sales!$R$5:$R$1204,B162,Sales!$H$5:$H$1204,"Service"),2))</f>
        <v>0</v>
      </c>
      <c r="P162" s="25">
        <f>IF(B162="","",COUNTIFS(Sales!$F$5:$F$1204,C162,Sales!$R$5:$R$1204,B162,Sales!$H$5:$H$1204,"Service"))</f>
        <v>0</v>
      </c>
      <c r="Q162" s="26">
        <f>IF(B162="","",IF(CommissionOn="Gross before discounts",L162,K162))</f>
        <v>0</v>
      </c>
      <c r="R162" s="26">
        <f>IF(B162="","",IF(CommissionOn="Gross before discounts",N162,M162))</f>
        <v>0</v>
      </c>
      <c r="S162" s="27">
        <f>IF(B162="","",IF(E162="Tiered on monthly service revenue",IFERROR(INDEX(TierRate,MATCH(Q162,TierFrom,1)),0),IFERROR(IF(INDEX(Staff!$M$5:$M$44,MATCH(C162,Staff!$A$5:$A$44,0))="",ServiceCommission,INDEX(Staff!$M$5:$M$44,MATCH(C162,Staff!$A$5:$A$44,0))),ServiceCommission)))</f>
        <v>0</v>
      </c>
      <c r="T162" s="27">
        <f>IF(B162="","",IFERROR(IF(INDEX(Staff!$N$5:$N$44,MATCH(C162,Staff!$A$5:$A$44,0))="",RetailCommission,INDEX(Staff!$N$5:$N$44,MATCH(C162,Staff!$A$5:$A$44,0))),RetailCommission))</f>
        <v>0</v>
      </c>
      <c r="U162" s="26">
        <f>IF(B162="","",IFERROR(INDEX(Staff!$O$5:$O$44,MATCH(C162,Staff!$A$5:$A$44,0))*1,0))</f>
        <v>0</v>
      </c>
      <c r="V162" s="26">
        <f>IF(B162="","",ROUND(IF(E162="Percent of service",Q162*S162,IF(E162="Percent of service and retail",Q162*S162+R162*T162,IF(E162="Percent after product cost",MAX(0,Q162-O162)*S162,IF(E162="Tiered on monthly service revenue",Q162*S162,IF(E162="Flat amount per service",P162*U162,0))))),2))</f>
        <v>0</v>
      </c>
      <c r="W162" s="26">
        <f>IF(B162="","",ROUND(SUMIFS(Payments!$G$5:$G$1204,Payments!$J$5:$J$1204,C162,Payments!$O$5:$O$1204,B162,Payments!$E$5:$E$1204,"Tip"),2))</f>
        <v>0</v>
      </c>
      <c r="X162" s="26">
        <f>IF(B162="","",ROUND(V162+IF(F162="",0,F162)+IF(G162="",0,G162),2))</f>
        <v>0</v>
      </c>
      <c r="Y162" s="27">
        <f>IF(B162="","",IF(Q162+R162=0,"",X162/(Q162+R162)))</f>
        <v>0</v>
      </c>
      <c r="Z162" s="25">
        <f>IF(B162="","",COUNTIFS($V$5:$V$244,"&gt;"&amp;V162)+COUNTIFS($V$5:V162,V162))</f>
        <v>0</v>
      </c>
      <c r="AA162" s="39">
        <f>IF(B162="","",IF(C162="","Add - whose commission is this?",IF(COUNTIFS($B$5:$B$244,B162,$C$5:$C$244,C162)&gt;1,"Duplicate - two rows for the same month",IF(E162="None","",IF(E162="Rent a chair","",IF(E162="Hourly only","",IF(X162=0,"Check - nothing calculated",IF(H162&lt;&gt;"Yes","Due - waiting for approval",IF(I162="","Due - approved but not paid","OK")))))))))</f>
        <v>0</v>
      </c>
    </row>
    <row r="163" spans="1:27">
      <c r="A163" s="28">
        <f>IF(B163="","",CommissionPrefix&amp;TEXT(ROW()-4,"0000"))</f>
        <v>0</v>
      </c>
      <c r="D163" s="15">
        <f>IF(C163="","",IFERROR(INDEX(Staff!$B$5:$B$44,MATCH(C163,Staff!$A$5:$A$44,0)),"Not in Staff"))</f>
        <v>0</v>
      </c>
      <c r="E163" s="15">
        <f>IF(C163="","",IFERROR(INDEX(Staff!$L$5:$L$44,MATCH(C163,Staff!$A$5:$A$44,0)),"None"))</f>
        <v>0</v>
      </c>
      <c r="K163" s="26">
        <f>IF(B163="","",ROUND(SUMIFS(Sales!$Y$5:$Y$1204,Sales!$F$5:$F$1204,C163,Sales!$R$5:$R$1204,B163,Sales!$H$5:$H$1204,"Service"),2))</f>
        <v>0</v>
      </c>
      <c r="L163" s="26">
        <f>IF(B163="","",ROUND(SUMIFS(Sales!$W$5:$W$1204,Sales!$F$5:$F$1204,C163,Sales!$R$5:$R$1204,B163,Sales!$H$5:$H$1204,"Service"),2))</f>
        <v>0</v>
      </c>
      <c r="M163" s="26">
        <f>IF(B163="","",ROUND(SUMIFS(Sales!$Y$5:$Y$1204,Sales!$F$5:$F$1204,C163,Sales!$R$5:$R$1204,B163,Sales!$H$5:$H$1204,"Retail"),2))</f>
        <v>0</v>
      </c>
      <c r="N163" s="26">
        <f>IF(B163="","",ROUND(SUMIFS(Sales!$W$5:$W$1204,Sales!$F$5:$F$1204,C163,Sales!$R$5:$R$1204,B163,Sales!$H$5:$H$1204,"Retail"),2))</f>
        <v>0</v>
      </c>
      <c r="O163" s="26">
        <f>IF(B163="","",ROUND(SUMIFS(Sales!$AB$5:$AB$1204,Sales!$F$5:$F$1204,C163,Sales!$R$5:$R$1204,B163,Sales!$H$5:$H$1204,"Service"),2))</f>
        <v>0</v>
      </c>
      <c r="P163" s="25">
        <f>IF(B163="","",COUNTIFS(Sales!$F$5:$F$1204,C163,Sales!$R$5:$R$1204,B163,Sales!$H$5:$H$1204,"Service"))</f>
        <v>0</v>
      </c>
      <c r="Q163" s="26">
        <f>IF(B163="","",IF(CommissionOn="Gross before discounts",L163,K163))</f>
        <v>0</v>
      </c>
      <c r="R163" s="26">
        <f>IF(B163="","",IF(CommissionOn="Gross before discounts",N163,M163))</f>
        <v>0</v>
      </c>
      <c r="S163" s="27">
        <f>IF(B163="","",IF(E163="Tiered on monthly service revenue",IFERROR(INDEX(TierRate,MATCH(Q163,TierFrom,1)),0),IFERROR(IF(INDEX(Staff!$M$5:$M$44,MATCH(C163,Staff!$A$5:$A$44,0))="",ServiceCommission,INDEX(Staff!$M$5:$M$44,MATCH(C163,Staff!$A$5:$A$44,0))),ServiceCommission)))</f>
        <v>0</v>
      </c>
      <c r="T163" s="27">
        <f>IF(B163="","",IFERROR(IF(INDEX(Staff!$N$5:$N$44,MATCH(C163,Staff!$A$5:$A$44,0))="",RetailCommission,INDEX(Staff!$N$5:$N$44,MATCH(C163,Staff!$A$5:$A$44,0))),RetailCommission))</f>
        <v>0</v>
      </c>
      <c r="U163" s="26">
        <f>IF(B163="","",IFERROR(INDEX(Staff!$O$5:$O$44,MATCH(C163,Staff!$A$5:$A$44,0))*1,0))</f>
        <v>0</v>
      </c>
      <c r="V163" s="26">
        <f>IF(B163="","",ROUND(IF(E163="Percent of service",Q163*S163,IF(E163="Percent of service and retail",Q163*S163+R163*T163,IF(E163="Percent after product cost",MAX(0,Q163-O163)*S163,IF(E163="Tiered on monthly service revenue",Q163*S163,IF(E163="Flat amount per service",P163*U163,0))))),2))</f>
        <v>0</v>
      </c>
      <c r="W163" s="26">
        <f>IF(B163="","",ROUND(SUMIFS(Payments!$G$5:$G$1204,Payments!$J$5:$J$1204,C163,Payments!$O$5:$O$1204,B163,Payments!$E$5:$E$1204,"Tip"),2))</f>
        <v>0</v>
      </c>
      <c r="X163" s="26">
        <f>IF(B163="","",ROUND(V163+IF(F163="",0,F163)+IF(G163="",0,G163),2))</f>
        <v>0</v>
      </c>
      <c r="Y163" s="27">
        <f>IF(B163="","",IF(Q163+R163=0,"",X163/(Q163+R163)))</f>
        <v>0</v>
      </c>
      <c r="Z163" s="25">
        <f>IF(B163="","",COUNTIFS($V$5:$V$244,"&gt;"&amp;V163)+COUNTIFS($V$5:V163,V163))</f>
        <v>0</v>
      </c>
      <c r="AA163" s="39">
        <f>IF(B163="","",IF(C163="","Add - whose commission is this?",IF(COUNTIFS($B$5:$B$244,B163,$C$5:$C$244,C163)&gt;1,"Duplicate - two rows for the same month",IF(E163="None","",IF(E163="Rent a chair","",IF(E163="Hourly only","",IF(X163=0,"Check - nothing calculated",IF(H163&lt;&gt;"Yes","Due - waiting for approval",IF(I163="","Due - approved but not paid","OK")))))))))</f>
        <v>0</v>
      </c>
    </row>
    <row r="164" spans="1:27">
      <c r="A164" s="28">
        <f>IF(B164="","",CommissionPrefix&amp;TEXT(ROW()-4,"0000"))</f>
        <v>0</v>
      </c>
      <c r="D164" s="15">
        <f>IF(C164="","",IFERROR(INDEX(Staff!$B$5:$B$44,MATCH(C164,Staff!$A$5:$A$44,0)),"Not in Staff"))</f>
        <v>0</v>
      </c>
      <c r="E164" s="15">
        <f>IF(C164="","",IFERROR(INDEX(Staff!$L$5:$L$44,MATCH(C164,Staff!$A$5:$A$44,0)),"None"))</f>
        <v>0</v>
      </c>
      <c r="K164" s="26">
        <f>IF(B164="","",ROUND(SUMIFS(Sales!$Y$5:$Y$1204,Sales!$F$5:$F$1204,C164,Sales!$R$5:$R$1204,B164,Sales!$H$5:$H$1204,"Service"),2))</f>
        <v>0</v>
      </c>
      <c r="L164" s="26">
        <f>IF(B164="","",ROUND(SUMIFS(Sales!$W$5:$W$1204,Sales!$F$5:$F$1204,C164,Sales!$R$5:$R$1204,B164,Sales!$H$5:$H$1204,"Service"),2))</f>
        <v>0</v>
      </c>
      <c r="M164" s="26">
        <f>IF(B164="","",ROUND(SUMIFS(Sales!$Y$5:$Y$1204,Sales!$F$5:$F$1204,C164,Sales!$R$5:$R$1204,B164,Sales!$H$5:$H$1204,"Retail"),2))</f>
        <v>0</v>
      </c>
      <c r="N164" s="26">
        <f>IF(B164="","",ROUND(SUMIFS(Sales!$W$5:$W$1204,Sales!$F$5:$F$1204,C164,Sales!$R$5:$R$1204,B164,Sales!$H$5:$H$1204,"Retail"),2))</f>
        <v>0</v>
      </c>
      <c r="O164" s="26">
        <f>IF(B164="","",ROUND(SUMIFS(Sales!$AB$5:$AB$1204,Sales!$F$5:$F$1204,C164,Sales!$R$5:$R$1204,B164,Sales!$H$5:$H$1204,"Service"),2))</f>
        <v>0</v>
      </c>
      <c r="P164" s="25">
        <f>IF(B164="","",COUNTIFS(Sales!$F$5:$F$1204,C164,Sales!$R$5:$R$1204,B164,Sales!$H$5:$H$1204,"Service"))</f>
        <v>0</v>
      </c>
      <c r="Q164" s="26">
        <f>IF(B164="","",IF(CommissionOn="Gross before discounts",L164,K164))</f>
        <v>0</v>
      </c>
      <c r="R164" s="26">
        <f>IF(B164="","",IF(CommissionOn="Gross before discounts",N164,M164))</f>
        <v>0</v>
      </c>
      <c r="S164" s="27">
        <f>IF(B164="","",IF(E164="Tiered on monthly service revenue",IFERROR(INDEX(TierRate,MATCH(Q164,TierFrom,1)),0),IFERROR(IF(INDEX(Staff!$M$5:$M$44,MATCH(C164,Staff!$A$5:$A$44,0))="",ServiceCommission,INDEX(Staff!$M$5:$M$44,MATCH(C164,Staff!$A$5:$A$44,0))),ServiceCommission)))</f>
        <v>0</v>
      </c>
      <c r="T164" s="27">
        <f>IF(B164="","",IFERROR(IF(INDEX(Staff!$N$5:$N$44,MATCH(C164,Staff!$A$5:$A$44,0))="",RetailCommission,INDEX(Staff!$N$5:$N$44,MATCH(C164,Staff!$A$5:$A$44,0))),RetailCommission))</f>
        <v>0</v>
      </c>
      <c r="U164" s="26">
        <f>IF(B164="","",IFERROR(INDEX(Staff!$O$5:$O$44,MATCH(C164,Staff!$A$5:$A$44,0))*1,0))</f>
        <v>0</v>
      </c>
      <c r="V164" s="26">
        <f>IF(B164="","",ROUND(IF(E164="Percent of service",Q164*S164,IF(E164="Percent of service and retail",Q164*S164+R164*T164,IF(E164="Percent after product cost",MAX(0,Q164-O164)*S164,IF(E164="Tiered on monthly service revenue",Q164*S164,IF(E164="Flat amount per service",P164*U164,0))))),2))</f>
        <v>0</v>
      </c>
      <c r="W164" s="26">
        <f>IF(B164="","",ROUND(SUMIFS(Payments!$G$5:$G$1204,Payments!$J$5:$J$1204,C164,Payments!$O$5:$O$1204,B164,Payments!$E$5:$E$1204,"Tip"),2))</f>
        <v>0</v>
      </c>
      <c r="X164" s="26">
        <f>IF(B164="","",ROUND(V164+IF(F164="",0,F164)+IF(G164="",0,G164),2))</f>
        <v>0</v>
      </c>
      <c r="Y164" s="27">
        <f>IF(B164="","",IF(Q164+R164=0,"",X164/(Q164+R164)))</f>
        <v>0</v>
      </c>
      <c r="Z164" s="25">
        <f>IF(B164="","",COUNTIFS($V$5:$V$244,"&gt;"&amp;V164)+COUNTIFS($V$5:V164,V164))</f>
        <v>0</v>
      </c>
      <c r="AA164" s="39">
        <f>IF(B164="","",IF(C164="","Add - whose commission is this?",IF(COUNTIFS($B$5:$B$244,B164,$C$5:$C$244,C164)&gt;1,"Duplicate - two rows for the same month",IF(E164="None","",IF(E164="Rent a chair","",IF(E164="Hourly only","",IF(X164=0,"Check - nothing calculated",IF(H164&lt;&gt;"Yes","Due - waiting for approval",IF(I164="","Due - approved but not paid","OK")))))))))</f>
        <v>0</v>
      </c>
    </row>
    <row r="165" spans="1:27">
      <c r="A165" s="28">
        <f>IF(B165="","",CommissionPrefix&amp;TEXT(ROW()-4,"0000"))</f>
        <v>0</v>
      </c>
      <c r="D165" s="15">
        <f>IF(C165="","",IFERROR(INDEX(Staff!$B$5:$B$44,MATCH(C165,Staff!$A$5:$A$44,0)),"Not in Staff"))</f>
        <v>0</v>
      </c>
      <c r="E165" s="15">
        <f>IF(C165="","",IFERROR(INDEX(Staff!$L$5:$L$44,MATCH(C165,Staff!$A$5:$A$44,0)),"None"))</f>
        <v>0</v>
      </c>
      <c r="K165" s="26">
        <f>IF(B165="","",ROUND(SUMIFS(Sales!$Y$5:$Y$1204,Sales!$F$5:$F$1204,C165,Sales!$R$5:$R$1204,B165,Sales!$H$5:$H$1204,"Service"),2))</f>
        <v>0</v>
      </c>
      <c r="L165" s="26">
        <f>IF(B165="","",ROUND(SUMIFS(Sales!$W$5:$W$1204,Sales!$F$5:$F$1204,C165,Sales!$R$5:$R$1204,B165,Sales!$H$5:$H$1204,"Service"),2))</f>
        <v>0</v>
      </c>
      <c r="M165" s="26">
        <f>IF(B165="","",ROUND(SUMIFS(Sales!$Y$5:$Y$1204,Sales!$F$5:$F$1204,C165,Sales!$R$5:$R$1204,B165,Sales!$H$5:$H$1204,"Retail"),2))</f>
        <v>0</v>
      </c>
      <c r="N165" s="26">
        <f>IF(B165="","",ROUND(SUMIFS(Sales!$W$5:$W$1204,Sales!$F$5:$F$1204,C165,Sales!$R$5:$R$1204,B165,Sales!$H$5:$H$1204,"Retail"),2))</f>
        <v>0</v>
      </c>
      <c r="O165" s="26">
        <f>IF(B165="","",ROUND(SUMIFS(Sales!$AB$5:$AB$1204,Sales!$F$5:$F$1204,C165,Sales!$R$5:$R$1204,B165,Sales!$H$5:$H$1204,"Service"),2))</f>
        <v>0</v>
      </c>
      <c r="P165" s="25">
        <f>IF(B165="","",COUNTIFS(Sales!$F$5:$F$1204,C165,Sales!$R$5:$R$1204,B165,Sales!$H$5:$H$1204,"Service"))</f>
        <v>0</v>
      </c>
      <c r="Q165" s="26">
        <f>IF(B165="","",IF(CommissionOn="Gross before discounts",L165,K165))</f>
        <v>0</v>
      </c>
      <c r="R165" s="26">
        <f>IF(B165="","",IF(CommissionOn="Gross before discounts",N165,M165))</f>
        <v>0</v>
      </c>
      <c r="S165" s="27">
        <f>IF(B165="","",IF(E165="Tiered on monthly service revenue",IFERROR(INDEX(TierRate,MATCH(Q165,TierFrom,1)),0),IFERROR(IF(INDEX(Staff!$M$5:$M$44,MATCH(C165,Staff!$A$5:$A$44,0))="",ServiceCommission,INDEX(Staff!$M$5:$M$44,MATCH(C165,Staff!$A$5:$A$44,0))),ServiceCommission)))</f>
        <v>0</v>
      </c>
      <c r="T165" s="27">
        <f>IF(B165="","",IFERROR(IF(INDEX(Staff!$N$5:$N$44,MATCH(C165,Staff!$A$5:$A$44,0))="",RetailCommission,INDEX(Staff!$N$5:$N$44,MATCH(C165,Staff!$A$5:$A$44,0))),RetailCommission))</f>
        <v>0</v>
      </c>
      <c r="U165" s="26">
        <f>IF(B165="","",IFERROR(INDEX(Staff!$O$5:$O$44,MATCH(C165,Staff!$A$5:$A$44,0))*1,0))</f>
        <v>0</v>
      </c>
      <c r="V165" s="26">
        <f>IF(B165="","",ROUND(IF(E165="Percent of service",Q165*S165,IF(E165="Percent of service and retail",Q165*S165+R165*T165,IF(E165="Percent after product cost",MAX(0,Q165-O165)*S165,IF(E165="Tiered on monthly service revenue",Q165*S165,IF(E165="Flat amount per service",P165*U165,0))))),2))</f>
        <v>0</v>
      </c>
      <c r="W165" s="26">
        <f>IF(B165="","",ROUND(SUMIFS(Payments!$G$5:$G$1204,Payments!$J$5:$J$1204,C165,Payments!$O$5:$O$1204,B165,Payments!$E$5:$E$1204,"Tip"),2))</f>
        <v>0</v>
      </c>
      <c r="X165" s="26">
        <f>IF(B165="","",ROUND(V165+IF(F165="",0,F165)+IF(G165="",0,G165),2))</f>
        <v>0</v>
      </c>
      <c r="Y165" s="27">
        <f>IF(B165="","",IF(Q165+R165=0,"",X165/(Q165+R165)))</f>
        <v>0</v>
      </c>
      <c r="Z165" s="25">
        <f>IF(B165="","",COUNTIFS($V$5:$V$244,"&gt;"&amp;V165)+COUNTIFS($V$5:V165,V165))</f>
        <v>0</v>
      </c>
      <c r="AA165" s="39">
        <f>IF(B165="","",IF(C165="","Add - whose commission is this?",IF(COUNTIFS($B$5:$B$244,B165,$C$5:$C$244,C165)&gt;1,"Duplicate - two rows for the same month",IF(E165="None","",IF(E165="Rent a chair","",IF(E165="Hourly only","",IF(X165=0,"Check - nothing calculated",IF(H165&lt;&gt;"Yes","Due - waiting for approval",IF(I165="","Due - approved but not paid","OK")))))))))</f>
        <v>0</v>
      </c>
    </row>
    <row r="166" spans="1:27">
      <c r="A166" s="28">
        <f>IF(B166="","",CommissionPrefix&amp;TEXT(ROW()-4,"0000"))</f>
        <v>0</v>
      </c>
      <c r="D166" s="15">
        <f>IF(C166="","",IFERROR(INDEX(Staff!$B$5:$B$44,MATCH(C166,Staff!$A$5:$A$44,0)),"Not in Staff"))</f>
        <v>0</v>
      </c>
      <c r="E166" s="15">
        <f>IF(C166="","",IFERROR(INDEX(Staff!$L$5:$L$44,MATCH(C166,Staff!$A$5:$A$44,0)),"None"))</f>
        <v>0</v>
      </c>
      <c r="K166" s="26">
        <f>IF(B166="","",ROUND(SUMIFS(Sales!$Y$5:$Y$1204,Sales!$F$5:$F$1204,C166,Sales!$R$5:$R$1204,B166,Sales!$H$5:$H$1204,"Service"),2))</f>
        <v>0</v>
      </c>
      <c r="L166" s="26">
        <f>IF(B166="","",ROUND(SUMIFS(Sales!$W$5:$W$1204,Sales!$F$5:$F$1204,C166,Sales!$R$5:$R$1204,B166,Sales!$H$5:$H$1204,"Service"),2))</f>
        <v>0</v>
      </c>
      <c r="M166" s="26">
        <f>IF(B166="","",ROUND(SUMIFS(Sales!$Y$5:$Y$1204,Sales!$F$5:$F$1204,C166,Sales!$R$5:$R$1204,B166,Sales!$H$5:$H$1204,"Retail"),2))</f>
        <v>0</v>
      </c>
      <c r="N166" s="26">
        <f>IF(B166="","",ROUND(SUMIFS(Sales!$W$5:$W$1204,Sales!$F$5:$F$1204,C166,Sales!$R$5:$R$1204,B166,Sales!$H$5:$H$1204,"Retail"),2))</f>
        <v>0</v>
      </c>
      <c r="O166" s="26">
        <f>IF(B166="","",ROUND(SUMIFS(Sales!$AB$5:$AB$1204,Sales!$F$5:$F$1204,C166,Sales!$R$5:$R$1204,B166,Sales!$H$5:$H$1204,"Service"),2))</f>
        <v>0</v>
      </c>
      <c r="P166" s="25">
        <f>IF(B166="","",COUNTIFS(Sales!$F$5:$F$1204,C166,Sales!$R$5:$R$1204,B166,Sales!$H$5:$H$1204,"Service"))</f>
        <v>0</v>
      </c>
      <c r="Q166" s="26">
        <f>IF(B166="","",IF(CommissionOn="Gross before discounts",L166,K166))</f>
        <v>0</v>
      </c>
      <c r="R166" s="26">
        <f>IF(B166="","",IF(CommissionOn="Gross before discounts",N166,M166))</f>
        <v>0</v>
      </c>
      <c r="S166" s="27">
        <f>IF(B166="","",IF(E166="Tiered on monthly service revenue",IFERROR(INDEX(TierRate,MATCH(Q166,TierFrom,1)),0),IFERROR(IF(INDEX(Staff!$M$5:$M$44,MATCH(C166,Staff!$A$5:$A$44,0))="",ServiceCommission,INDEX(Staff!$M$5:$M$44,MATCH(C166,Staff!$A$5:$A$44,0))),ServiceCommission)))</f>
        <v>0</v>
      </c>
      <c r="T166" s="27">
        <f>IF(B166="","",IFERROR(IF(INDEX(Staff!$N$5:$N$44,MATCH(C166,Staff!$A$5:$A$44,0))="",RetailCommission,INDEX(Staff!$N$5:$N$44,MATCH(C166,Staff!$A$5:$A$44,0))),RetailCommission))</f>
        <v>0</v>
      </c>
      <c r="U166" s="26">
        <f>IF(B166="","",IFERROR(INDEX(Staff!$O$5:$O$44,MATCH(C166,Staff!$A$5:$A$44,0))*1,0))</f>
        <v>0</v>
      </c>
      <c r="V166" s="26">
        <f>IF(B166="","",ROUND(IF(E166="Percent of service",Q166*S166,IF(E166="Percent of service and retail",Q166*S166+R166*T166,IF(E166="Percent after product cost",MAX(0,Q166-O166)*S166,IF(E166="Tiered on monthly service revenue",Q166*S166,IF(E166="Flat amount per service",P166*U166,0))))),2))</f>
        <v>0</v>
      </c>
      <c r="W166" s="26">
        <f>IF(B166="","",ROUND(SUMIFS(Payments!$G$5:$G$1204,Payments!$J$5:$J$1204,C166,Payments!$O$5:$O$1204,B166,Payments!$E$5:$E$1204,"Tip"),2))</f>
        <v>0</v>
      </c>
      <c r="X166" s="26">
        <f>IF(B166="","",ROUND(V166+IF(F166="",0,F166)+IF(G166="",0,G166),2))</f>
        <v>0</v>
      </c>
      <c r="Y166" s="27">
        <f>IF(B166="","",IF(Q166+R166=0,"",X166/(Q166+R166)))</f>
        <v>0</v>
      </c>
      <c r="Z166" s="25">
        <f>IF(B166="","",COUNTIFS($V$5:$V$244,"&gt;"&amp;V166)+COUNTIFS($V$5:V166,V166))</f>
        <v>0</v>
      </c>
      <c r="AA166" s="39">
        <f>IF(B166="","",IF(C166="","Add - whose commission is this?",IF(COUNTIFS($B$5:$B$244,B166,$C$5:$C$244,C166)&gt;1,"Duplicate - two rows for the same month",IF(E166="None","",IF(E166="Rent a chair","",IF(E166="Hourly only","",IF(X166=0,"Check - nothing calculated",IF(H166&lt;&gt;"Yes","Due - waiting for approval",IF(I166="","Due - approved but not paid","OK")))))))))</f>
        <v>0</v>
      </c>
    </row>
    <row r="167" spans="1:27">
      <c r="A167" s="28">
        <f>IF(B167="","",CommissionPrefix&amp;TEXT(ROW()-4,"0000"))</f>
        <v>0</v>
      </c>
      <c r="D167" s="15">
        <f>IF(C167="","",IFERROR(INDEX(Staff!$B$5:$B$44,MATCH(C167,Staff!$A$5:$A$44,0)),"Not in Staff"))</f>
        <v>0</v>
      </c>
      <c r="E167" s="15">
        <f>IF(C167="","",IFERROR(INDEX(Staff!$L$5:$L$44,MATCH(C167,Staff!$A$5:$A$44,0)),"None"))</f>
        <v>0</v>
      </c>
      <c r="K167" s="26">
        <f>IF(B167="","",ROUND(SUMIFS(Sales!$Y$5:$Y$1204,Sales!$F$5:$F$1204,C167,Sales!$R$5:$R$1204,B167,Sales!$H$5:$H$1204,"Service"),2))</f>
        <v>0</v>
      </c>
      <c r="L167" s="26">
        <f>IF(B167="","",ROUND(SUMIFS(Sales!$W$5:$W$1204,Sales!$F$5:$F$1204,C167,Sales!$R$5:$R$1204,B167,Sales!$H$5:$H$1204,"Service"),2))</f>
        <v>0</v>
      </c>
      <c r="M167" s="26">
        <f>IF(B167="","",ROUND(SUMIFS(Sales!$Y$5:$Y$1204,Sales!$F$5:$F$1204,C167,Sales!$R$5:$R$1204,B167,Sales!$H$5:$H$1204,"Retail"),2))</f>
        <v>0</v>
      </c>
      <c r="N167" s="26">
        <f>IF(B167="","",ROUND(SUMIFS(Sales!$W$5:$W$1204,Sales!$F$5:$F$1204,C167,Sales!$R$5:$R$1204,B167,Sales!$H$5:$H$1204,"Retail"),2))</f>
        <v>0</v>
      </c>
      <c r="O167" s="26">
        <f>IF(B167="","",ROUND(SUMIFS(Sales!$AB$5:$AB$1204,Sales!$F$5:$F$1204,C167,Sales!$R$5:$R$1204,B167,Sales!$H$5:$H$1204,"Service"),2))</f>
        <v>0</v>
      </c>
      <c r="P167" s="25">
        <f>IF(B167="","",COUNTIFS(Sales!$F$5:$F$1204,C167,Sales!$R$5:$R$1204,B167,Sales!$H$5:$H$1204,"Service"))</f>
        <v>0</v>
      </c>
      <c r="Q167" s="26">
        <f>IF(B167="","",IF(CommissionOn="Gross before discounts",L167,K167))</f>
        <v>0</v>
      </c>
      <c r="R167" s="26">
        <f>IF(B167="","",IF(CommissionOn="Gross before discounts",N167,M167))</f>
        <v>0</v>
      </c>
      <c r="S167" s="27">
        <f>IF(B167="","",IF(E167="Tiered on monthly service revenue",IFERROR(INDEX(TierRate,MATCH(Q167,TierFrom,1)),0),IFERROR(IF(INDEX(Staff!$M$5:$M$44,MATCH(C167,Staff!$A$5:$A$44,0))="",ServiceCommission,INDEX(Staff!$M$5:$M$44,MATCH(C167,Staff!$A$5:$A$44,0))),ServiceCommission)))</f>
        <v>0</v>
      </c>
      <c r="T167" s="27">
        <f>IF(B167="","",IFERROR(IF(INDEX(Staff!$N$5:$N$44,MATCH(C167,Staff!$A$5:$A$44,0))="",RetailCommission,INDEX(Staff!$N$5:$N$44,MATCH(C167,Staff!$A$5:$A$44,0))),RetailCommission))</f>
        <v>0</v>
      </c>
      <c r="U167" s="26">
        <f>IF(B167="","",IFERROR(INDEX(Staff!$O$5:$O$44,MATCH(C167,Staff!$A$5:$A$44,0))*1,0))</f>
        <v>0</v>
      </c>
      <c r="V167" s="26">
        <f>IF(B167="","",ROUND(IF(E167="Percent of service",Q167*S167,IF(E167="Percent of service and retail",Q167*S167+R167*T167,IF(E167="Percent after product cost",MAX(0,Q167-O167)*S167,IF(E167="Tiered on monthly service revenue",Q167*S167,IF(E167="Flat amount per service",P167*U167,0))))),2))</f>
        <v>0</v>
      </c>
      <c r="W167" s="26">
        <f>IF(B167="","",ROUND(SUMIFS(Payments!$G$5:$G$1204,Payments!$J$5:$J$1204,C167,Payments!$O$5:$O$1204,B167,Payments!$E$5:$E$1204,"Tip"),2))</f>
        <v>0</v>
      </c>
      <c r="X167" s="26">
        <f>IF(B167="","",ROUND(V167+IF(F167="",0,F167)+IF(G167="",0,G167),2))</f>
        <v>0</v>
      </c>
      <c r="Y167" s="27">
        <f>IF(B167="","",IF(Q167+R167=0,"",X167/(Q167+R167)))</f>
        <v>0</v>
      </c>
      <c r="Z167" s="25">
        <f>IF(B167="","",COUNTIFS($V$5:$V$244,"&gt;"&amp;V167)+COUNTIFS($V$5:V167,V167))</f>
        <v>0</v>
      </c>
      <c r="AA167" s="39">
        <f>IF(B167="","",IF(C167="","Add - whose commission is this?",IF(COUNTIFS($B$5:$B$244,B167,$C$5:$C$244,C167)&gt;1,"Duplicate - two rows for the same month",IF(E167="None","",IF(E167="Rent a chair","",IF(E167="Hourly only","",IF(X167=0,"Check - nothing calculated",IF(H167&lt;&gt;"Yes","Due - waiting for approval",IF(I167="","Due - approved but not paid","OK")))))))))</f>
        <v>0</v>
      </c>
    </row>
    <row r="168" spans="1:27">
      <c r="A168" s="28">
        <f>IF(B168="","",CommissionPrefix&amp;TEXT(ROW()-4,"0000"))</f>
        <v>0</v>
      </c>
      <c r="D168" s="15">
        <f>IF(C168="","",IFERROR(INDEX(Staff!$B$5:$B$44,MATCH(C168,Staff!$A$5:$A$44,0)),"Not in Staff"))</f>
        <v>0</v>
      </c>
      <c r="E168" s="15">
        <f>IF(C168="","",IFERROR(INDEX(Staff!$L$5:$L$44,MATCH(C168,Staff!$A$5:$A$44,0)),"None"))</f>
        <v>0</v>
      </c>
      <c r="K168" s="26">
        <f>IF(B168="","",ROUND(SUMIFS(Sales!$Y$5:$Y$1204,Sales!$F$5:$F$1204,C168,Sales!$R$5:$R$1204,B168,Sales!$H$5:$H$1204,"Service"),2))</f>
        <v>0</v>
      </c>
      <c r="L168" s="26">
        <f>IF(B168="","",ROUND(SUMIFS(Sales!$W$5:$W$1204,Sales!$F$5:$F$1204,C168,Sales!$R$5:$R$1204,B168,Sales!$H$5:$H$1204,"Service"),2))</f>
        <v>0</v>
      </c>
      <c r="M168" s="26">
        <f>IF(B168="","",ROUND(SUMIFS(Sales!$Y$5:$Y$1204,Sales!$F$5:$F$1204,C168,Sales!$R$5:$R$1204,B168,Sales!$H$5:$H$1204,"Retail"),2))</f>
        <v>0</v>
      </c>
      <c r="N168" s="26">
        <f>IF(B168="","",ROUND(SUMIFS(Sales!$W$5:$W$1204,Sales!$F$5:$F$1204,C168,Sales!$R$5:$R$1204,B168,Sales!$H$5:$H$1204,"Retail"),2))</f>
        <v>0</v>
      </c>
      <c r="O168" s="26">
        <f>IF(B168="","",ROUND(SUMIFS(Sales!$AB$5:$AB$1204,Sales!$F$5:$F$1204,C168,Sales!$R$5:$R$1204,B168,Sales!$H$5:$H$1204,"Service"),2))</f>
        <v>0</v>
      </c>
      <c r="P168" s="25">
        <f>IF(B168="","",COUNTIFS(Sales!$F$5:$F$1204,C168,Sales!$R$5:$R$1204,B168,Sales!$H$5:$H$1204,"Service"))</f>
        <v>0</v>
      </c>
      <c r="Q168" s="26">
        <f>IF(B168="","",IF(CommissionOn="Gross before discounts",L168,K168))</f>
        <v>0</v>
      </c>
      <c r="R168" s="26">
        <f>IF(B168="","",IF(CommissionOn="Gross before discounts",N168,M168))</f>
        <v>0</v>
      </c>
      <c r="S168" s="27">
        <f>IF(B168="","",IF(E168="Tiered on monthly service revenue",IFERROR(INDEX(TierRate,MATCH(Q168,TierFrom,1)),0),IFERROR(IF(INDEX(Staff!$M$5:$M$44,MATCH(C168,Staff!$A$5:$A$44,0))="",ServiceCommission,INDEX(Staff!$M$5:$M$44,MATCH(C168,Staff!$A$5:$A$44,0))),ServiceCommission)))</f>
        <v>0</v>
      </c>
      <c r="T168" s="27">
        <f>IF(B168="","",IFERROR(IF(INDEX(Staff!$N$5:$N$44,MATCH(C168,Staff!$A$5:$A$44,0))="",RetailCommission,INDEX(Staff!$N$5:$N$44,MATCH(C168,Staff!$A$5:$A$44,0))),RetailCommission))</f>
        <v>0</v>
      </c>
      <c r="U168" s="26">
        <f>IF(B168="","",IFERROR(INDEX(Staff!$O$5:$O$44,MATCH(C168,Staff!$A$5:$A$44,0))*1,0))</f>
        <v>0</v>
      </c>
      <c r="V168" s="26">
        <f>IF(B168="","",ROUND(IF(E168="Percent of service",Q168*S168,IF(E168="Percent of service and retail",Q168*S168+R168*T168,IF(E168="Percent after product cost",MAX(0,Q168-O168)*S168,IF(E168="Tiered on monthly service revenue",Q168*S168,IF(E168="Flat amount per service",P168*U168,0))))),2))</f>
        <v>0</v>
      </c>
      <c r="W168" s="26">
        <f>IF(B168="","",ROUND(SUMIFS(Payments!$G$5:$G$1204,Payments!$J$5:$J$1204,C168,Payments!$O$5:$O$1204,B168,Payments!$E$5:$E$1204,"Tip"),2))</f>
        <v>0</v>
      </c>
      <c r="X168" s="26">
        <f>IF(B168="","",ROUND(V168+IF(F168="",0,F168)+IF(G168="",0,G168),2))</f>
        <v>0</v>
      </c>
      <c r="Y168" s="27">
        <f>IF(B168="","",IF(Q168+R168=0,"",X168/(Q168+R168)))</f>
        <v>0</v>
      </c>
      <c r="Z168" s="25">
        <f>IF(B168="","",COUNTIFS($V$5:$V$244,"&gt;"&amp;V168)+COUNTIFS($V$5:V168,V168))</f>
        <v>0</v>
      </c>
      <c r="AA168" s="39">
        <f>IF(B168="","",IF(C168="","Add - whose commission is this?",IF(COUNTIFS($B$5:$B$244,B168,$C$5:$C$244,C168)&gt;1,"Duplicate - two rows for the same month",IF(E168="None","",IF(E168="Rent a chair","",IF(E168="Hourly only","",IF(X168=0,"Check - nothing calculated",IF(H168&lt;&gt;"Yes","Due - waiting for approval",IF(I168="","Due - approved but not paid","OK")))))))))</f>
        <v>0</v>
      </c>
    </row>
    <row r="169" spans="1:27">
      <c r="A169" s="28">
        <f>IF(B169="","",CommissionPrefix&amp;TEXT(ROW()-4,"0000"))</f>
        <v>0</v>
      </c>
      <c r="D169" s="15">
        <f>IF(C169="","",IFERROR(INDEX(Staff!$B$5:$B$44,MATCH(C169,Staff!$A$5:$A$44,0)),"Not in Staff"))</f>
        <v>0</v>
      </c>
      <c r="E169" s="15">
        <f>IF(C169="","",IFERROR(INDEX(Staff!$L$5:$L$44,MATCH(C169,Staff!$A$5:$A$44,0)),"None"))</f>
        <v>0</v>
      </c>
      <c r="K169" s="26">
        <f>IF(B169="","",ROUND(SUMIFS(Sales!$Y$5:$Y$1204,Sales!$F$5:$F$1204,C169,Sales!$R$5:$R$1204,B169,Sales!$H$5:$H$1204,"Service"),2))</f>
        <v>0</v>
      </c>
      <c r="L169" s="26">
        <f>IF(B169="","",ROUND(SUMIFS(Sales!$W$5:$W$1204,Sales!$F$5:$F$1204,C169,Sales!$R$5:$R$1204,B169,Sales!$H$5:$H$1204,"Service"),2))</f>
        <v>0</v>
      </c>
      <c r="M169" s="26">
        <f>IF(B169="","",ROUND(SUMIFS(Sales!$Y$5:$Y$1204,Sales!$F$5:$F$1204,C169,Sales!$R$5:$R$1204,B169,Sales!$H$5:$H$1204,"Retail"),2))</f>
        <v>0</v>
      </c>
      <c r="N169" s="26">
        <f>IF(B169="","",ROUND(SUMIFS(Sales!$W$5:$W$1204,Sales!$F$5:$F$1204,C169,Sales!$R$5:$R$1204,B169,Sales!$H$5:$H$1204,"Retail"),2))</f>
        <v>0</v>
      </c>
      <c r="O169" s="26">
        <f>IF(B169="","",ROUND(SUMIFS(Sales!$AB$5:$AB$1204,Sales!$F$5:$F$1204,C169,Sales!$R$5:$R$1204,B169,Sales!$H$5:$H$1204,"Service"),2))</f>
        <v>0</v>
      </c>
      <c r="P169" s="25">
        <f>IF(B169="","",COUNTIFS(Sales!$F$5:$F$1204,C169,Sales!$R$5:$R$1204,B169,Sales!$H$5:$H$1204,"Service"))</f>
        <v>0</v>
      </c>
      <c r="Q169" s="26">
        <f>IF(B169="","",IF(CommissionOn="Gross before discounts",L169,K169))</f>
        <v>0</v>
      </c>
      <c r="R169" s="26">
        <f>IF(B169="","",IF(CommissionOn="Gross before discounts",N169,M169))</f>
        <v>0</v>
      </c>
      <c r="S169" s="27">
        <f>IF(B169="","",IF(E169="Tiered on monthly service revenue",IFERROR(INDEX(TierRate,MATCH(Q169,TierFrom,1)),0),IFERROR(IF(INDEX(Staff!$M$5:$M$44,MATCH(C169,Staff!$A$5:$A$44,0))="",ServiceCommission,INDEX(Staff!$M$5:$M$44,MATCH(C169,Staff!$A$5:$A$44,0))),ServiceCommission)))</f>
        <v>0</v>
      </c>
      <c r="T169" s="27">
        <f>IF(B169="","",IFERROR(IF(INDEX(Staff!$N$5:$N$44,MATCH(C169,Staff!$A$5:$A$44,0))="",RetailCommission,INDEX(Staff!$N$5:$N$44,MATCH(C169,Staff!$A$5:$A$44,0))),RetailCommission))</f>
        <v>0</v>
      </c>
      <c r="U169" s="26">
        <f>IF(B169="","",IFERROR(INDEX(Staff!$O$5:$O$44,MATCH(C169,Staff!$A$5:$A$44,0))*1,0))</f>
        <v>0</v>
      </c>
      <c r="V169" s="26">
        <f>IF(B169="","",ROUND(IF(E169="Percent of service",Q169*S169,IF(E169="Percent of service and retail",Q169*S169+R169*T169,IF(E169="Percent after product cost",MAX(0,Q169-O169)*S169,IF(E169="Tiered on monthly service revenue",Q169*S169,IF(E169="Flat amount per service",P169*U169,0))))),2))</f>
        <v>0</v>
      </c>
      <c r="W169" s="26">
        <f>IF(B169="","",ROUND(SUMIFS(Payments!$G$5:$G$1204,Payments!$J$5:$J$1204,C169,Payments!$O$5:$O$1204,B169,Payments!$E$5:$E$1204,"Tip"),2))</f>
        <v>0</v>
      </c>
      <c r="X169" s="26">
        <f>IF(B169="","",ROUND(V169+IF(F169="",0,F169)+IF(G169="",0,G169),2))</f>
        <v>0</v>
      </c>
      <c r="Y169" s="27">
        <f>IF(B169="","",IF(Q169+R169=0,"",X169/(Q169+R169)))</f>
        <v>0</v>
      </c>
      <c r="Z169" s="25">
        <f>IF(B169="","",COUNTIFS($V$5:$V$244,"&gt;"&amp;V169)+COUNTIFS($V$5:V169,V169))</f>
        <v>0</v>
      </c>
      <c r="AA169" s="39">
        <f>IF(B169="","",IF(C169="","Add - whose commission is this?",IF(COUNTIFS($B$5:$B$244,B169,$C$5:$C$244,C169)&gt;1,"Duplicate - two rows for the same month",IF(E169="None","",IF(E169="Rent a chair","",IF(E169="Hourly only","",IF(X169=0,"Check - nothing calculated",IF(H169&lt;&gt;"Yes","Due - waiting for approval",IF(I169="","Due - approved but not paid","OK")))))))))</f>
        <v>0</v>
      </c>
    </row>
    <row r="170" spans="1:27">
      <c r="A170" s="28">
        <f>IF(B170="","",CommissionPrefix&amp;TEXT(ROW()-4,"0000"))</f>
        <v>0</v>
      </c>
      <c r="D170" s="15">
        <f>IF(C170="","",IFERROR(INDEX(Staff!$B$5:$B$44,MATCH(C170,Staff!$A$5:$A$44,0)),"Not in Staff"))</f>
        <v>0</v>
      </c>
      <c r="E170" s="15">
        <f>IF(C170="","",IFERROR(INDEX(Staff!$L$5:$L$44,MATCH(C170,Staff!$A$5:$A$44,0)),"None"))</f>
        <v>0</v>
      </c>
      <c r="K170" s="26">
        <f>IF(B170="","",ROUND(SUMIFS(Sales!$Y$5:$Y$1204,Sales!$F$5:$F$1204,C170,Sales!$R$5:$R$1204,B170,Sales!$H$5:$H$1204,"Service"),2))</f>
        <v>0</v>
      </c>
      <c r="L170" s="26">
        <f>IF(B170="","",ROUND(SUMIFS(Sales!$W$5:$W$1204,Sales!$F$5:$F$1204,C170,Sales!$R$5:$R$1204,B170,Sales!$H$5:$H$1204,"Service"),2))</f>
        <v>0</v>
      </c>
      <c r="M170" s="26">
        <f>IF(B170="","",ROUND(SUMIFS(Sales!$Y$5:$Y$1204,Sales!$F$5:$F$1204,C170,Sales!$R$5:$R$1204,B170,Sales!$H$5:$H$1204,"Retail"),2))</f>
        <v>0</v>
      </c>
      <c r="N170" s="26">
        <f>IF(B170="","",ROUND(SUMIFS(Sales!$W$5:$W$1204,Sales!$F$5:$F$1204,C170,Sales!$R$5:$R$1204,B170,Sales!$H$5:$H$1204,"Retail"),2))</f>
        <v>0</v>
      </c>
      <c r="O170" s="26">
        <f>IF(B170="","",ROUND(SUMIFS(Sales!$AB$5:$AB$1204,Sales!$F$5:$F$1204,C170,Sales!$R$5:$R$1204,B170,Sales!$H$5:$H$1204,"Service"),2))</f>
        <v>0</v>
      </c>
      <c r="P170" s="25">
        <f>IF(B170="","",COUNTIFS(Sales!$F$5:$F$1204,C170,Sales!$R$5:$R$1204,B170,Sales!$H$5:$H$1204,"Service"))</f>
        <v>0</v>
      </c>
      <c r="Q170" s="26">
        <f>IF(B170="","",IF(CommissionOn="Gross before discounts",L170,K170))</f>
        <v>0</v>
      </c>
      <c r="R170" s="26">
        <f>IF(B170="","",IF(CommissionOn="Gross before discounts",N170,M170))</f>
        <v>0</v>
      </c>
      <c r="S170" s="27">
        <f>IF(B170="","",IF(E170="Tiered on monthly service revenue",IFERROR(INDEX(TierRate,MATCH(Q170,TierFrom,1)),0),IFERROR(IF(INDEX(Staff!$M$5:$M$44,MATCH(C170,Staff!$A$5:$A$44,0))="",ServiceCommission,INDEX(Staff!$M$5:$M$44,MATCH(C170,Staff!$A$5:$A$44,0))),ServiceCommission)))</f>
        <v>0</v>
      </c>
      <c r="T170" s="27">
        <f>IF(B170="","",IFERROR(IF(INDEX(Staff!$N$5:$N$44,MATCH(C170,Staff!$A$5:$A$44,0))="",RetailCommission,INDEX(Staff!$N$5:$N$44,MATCH(C170,Staff!$A$5:$A$44,0))),RetailCommission))</f>
        <v>0</v>
      </c>
      <c r="U170" s="26">
        <f>IF(B170="","",IFERROR(INDEX(Staff!$O$5:$O$44,MATCH(C170,Staff!$A$5:$A$44,0))*1,0))</f>
        <v>0</v>
      </c>
      <c r="V170" s="26">
        <f>IF(B170="","",ROUND(IF(E170="Percent of service",Q170*S170,IF(E170="Percent of service and retail",Q170*S170+R170*T170,IF(E170="Percent after product cost",MAX(0,Q170-O170)*S170,IF(E170="Tiered on monthly service revenue",Q170*S170,IF(E170="Flat amount per service",P170*U170,0))))),2))</f>
        <v>0</v>
      </c>
      <c r="W170" s="26">
        <f>IF(B170="","",ROUND(SUMIFS(Payments!$G$5:$G$1204,Payments!$J$5:$J$1204,C170,Payments!$O$5:$O$1204,B170,Payments!$E$5:$E$1204,"Tip"),2))</f>
        <v>0</v>
      </c>
      <c r="X170" s="26">
        <f>IF(B170="","",ROUND(V170+IF(F170="",0,F170)+IF(G170="",0,G170),2))</f>
        <v>0</v>
      </c>
      <c r="Y170" s="27">
        <f>IF(B170="","",IF(Q170+R170=0,"",X170/(Q170+R170)))</f>
        <v>0</v>
      </c>
      <c r="Z170" s="25">
        <f>IF(B170="","",COUNTIFS($V$5:$V$244,"&gt;"&amp;V170)+COUNTIFS($V$5:V170,V170))</f>
        <v>0</v>
      </c>
      <c r="AA170" s="39">
        <f>IF(B170="","",IF(C170="","Add - whose commission is this?",IF(COUNTIFS($B$5:$B$244,B170,$C$5:$C$244,C170)&gt;1,"Duplicate - two rows for the same month",IF(E170="None","",IF(E170="Rent a chair","",IF(E170="Hourly only","",IF(X170=0,"Check - nothing calculated",IF(H170&lt;&gt;"Yes","Due - waiting for approval",IF(I170="","Due - approved but not paid","OK")))))))))</f>
        <v>0</v>
      </c>
    </row>
    <row r="171" spans="1:27">
      <c r="A171" s="28">
        <f>IF(B171="","",CommissionPrefix&amp;TEXT(ROW()-4,"0000"))</f>
        <v>0</v>
      </c>
      <c r="D171" s="15">
        <f>IF(C171="","",IFERROR(INDEX(Staff!$B$5:$B$44,MATCH(C171,Staff!$A$5:$A$44,0)),"Not in Staff"))</f>
        <v>0</v>
      </c>
      <c r="E171" s="15">
        <f>IF(C171="","",IFERROR(INDEX(Staff!$L$5:$L$44,MATCH(C171,Staff!$A$5:$A$44,0)),"None"))</f>
        <v>0</v>
      </c>
      <c r="K171" s="26">
        <f>IF(B171="","",ROUND(SUMIFS(Sales!$Y$5:$Y$1204,Sales!$F$5:$F$1204,C171,Sales!$R$5:$R$1204,B171,Sales!$H$5:$H$1204,"Service"),2))</f>
        <v>0</v>
      </c>
      <c r="L171" s="26">
        <f>IF(B171="","",ROUND(SUMIFS(Sales!$W$5:$W$1204,Sales!$F$5:$F$1204,C171,Sales!$R$5:$R$1204,B171,Sales!$H$5:$H$1204,"Service"),2))</f>
        <v>0</v>
      </c>
      <c r="M171" s="26">
        <f>IF(B171="","",ROUND(SUMIFS(Sales!$Y$5:$Y$1204,Sales!$F$5:$F$1204,C171,Sales!$R$5:$R$1204,B171,Sales!$H$5:$H$1204,"Retail"),2))</f>
        <v>0</v>
      </c>
      <c r="N171" s="26">
        <f>IF(B171="","",ROUND(SUMIFS(Sales!$W$5:$W$1204,Sales!$F$5:$F$1204,C171,Sales!$R$5:$R$1204,B171,Sales!$H$5:$H$1204,"Retail"),2))</f>
        <v>0</v>
      </c>
      <c r="O171" s="26">
        <f>IF(B171="","",ROUND(SUMIFS(Sales!$AB$5:$AB$1204,Sales!$F$5:$F$1204,C171,Sales!$R$5:$R$1204,B171,Sales!$H$5:$H$1204,"Service"),2))</f>
        <v>0</v>
      </c>
      <c r="P171" s="25">
        <f>IF(B171="","",COUNTIFS(Sales!$F$5:$F$1204,C171,Sales!$R$5:$R$1204,B171,Sales!$H$5:$H$1204,"Service"))</f>
        <v>0</v>
      </c>
      <c r="Q171" s="26">
        <f>IF(B171="","",IF(CommissionOn="Gross before discounts",L171,K171))</f>
        <v>0</v>
      </c>
      <c r="R171" s="26">
        <f>IF(B171="","",IF(CommissionOn="Gross before discounts",N171,M171))</f>
        <v>0</v>
      </c>
      <c r="S171" s="27">
        <f>IF(B171="","",IF(E171="Tiered on monthly service revenue",IFERROR(INDEX(TierRate,MATCH(Q171,TierFrom,1)),0),IFERROR(IF(INDEX(Staff!$M$5:$M$44,MATCH(C171,Staff!$A$5:$A$44,0))="",ServiceCommission,INDEX(Staff!$M$5:$M$44,MATCH(C171,Staff!$A$5:$A$44,0))),ServiceCommission)))</f>
        <v>0</v>
      </c>
      <c r="T171" s="27">
        <f>IF(B171="","",IFERROR(IF(INDEX(Staff!$N$5:$N$44,MATCH(C171,Staff!$A$5:$A$44,0))="",RetailCommission,INDEX(Staff!$N$5:$N$44,MATCH(C171,Staff!$A$5:$A$44,0))),RetailCommission))</f>
        <v>0</v>
      </c>
      <c r="U171" s="26">
        <f>IF(B171="","",IFERROR(INDEX(Staff!$O$5:$O$44,MATCH(C171,Staff!$A$5:$A$44,0))*1,0))</f>
        <v>0</v>
      </c>
      <c r="V171" s="26">
        <f>IF(B171="","",ROUND(IF(E171="Percent of service",Q171*S171,IF(E171="Percent of service and retail",Q171*S171+R171*T171,IF(E171="Percent after product cost",MAX(0,Q171-O171)*S171,IF(E171="Tiered on monthly service revenue",Q171*S171,IF(E171="Flat amount per service",P171*U171,0))))),2))</f>
        <v>0</v>
      </c>
      <c r="W171" s="26">
        <f>IF(B171="","",ROUND(SUMIFS(Payments!$G$5:$G$1204,Payments!$J$5:$J$1204,C171,Payments!$O$5:$O$1204,B171,Payments!$E$5:$E$1204,"Tip"),2))</f>
        <v>0</v>
      </c>
      <c r="X171" s="26">
        <f>IF(B171="","",ROUND(V171+IF(F171="",0,F171)+IF(G171="",0,G171),2))</f>
        <v>0</v>
      </c>
      <c r="Y171" s="27">
        <f>IF(B171="","",IF(Q171+R171=0,"",X171/(Q171+R171)))</f>
        <v>0</v>
      </c>
      <c r="Z171" s="25">
        <f>IF(B171="","",COUNTIFS($V$5:$V$244,"&gt;"&amp;V171)+COUNTIFS($V$5:V171,V171))</f>
        <v>0</v>
      </c>
      <c r="AA171" s="39">
        <f>IF(B171="","",IF(C171="","Add - whose commission is this?",IF(COUNTIFS($B$5:$B$244,B171,$C$5:$C$244,C171)&gt;1,"Duplicate - two rows for the same month",IF(E171="None","",IF(E171="Rent a chair","",IF(E171="Hourly only","",IF(X171=0,"Check - nothing calculated",IF(H171&lt;&gt;"Yes","Due - waiting for approval",IF(I171="","Due - approved but not paid","OK")))))))))</f>
        <v>0</v>
      </c>
    </row>
    <row r="172" spans="1:27">
      <c r="A172" s="28">
        <f>IF(B172="","",CommissionPrefix&amp;TEXT(ROW()-4,"0000"))</f>
        <v>0</v>
      </c>
      <c r="D172" s="15">
        <f>IF(C172="","",IFERROR(INDEX(Staff!$B$5:$B$44,MATCH(C172,Staff!$A$5:$A$44,0)),"Not in Staff"))</f>
        <v>0</v>
      </c>
      <c r="E172" s="15">
        <f>IF(C172="","",IFERROR(INDEX(Staff!$L$5:$L$44,MATCH(C172,Staff!$A$5:$A$44,0)),"None"))</f>
        <v>0</v>
      </c>
      <c r="K172" s="26">
        <f>IF(B172="","",ROUND(SUMIFS(Sales!$Y$5:$Y$1204,Sales!$F$5:$F$1204,C172,Sales!$R$5:$R$1204,B172,Sales!$H$5:$H$1204,"Service"),2))</f>
        <v>0</v>
      </c>
      <c r="L172" s="26">
        <f>IF(B172="","",ROUND(SUMIFS(Sales!$W$5:$W$1204,Sales!$F$5:$F$1204,C172,Sales!$R$5:$R$1204,B172,Sales!$H$5:$H$1204,"Service"),2))</f>
        <v>0</v>
      </c>
      <c r="M172" s="26">
        <f>IF(B172="","",ROUND(SUMIFS(Sales!$Y$5:$Y$1204,Sales!$F$5:$F$1204,C172,Sales!$R$5:$R$1204,B172,Sales!$H$5:$H$1204,"Retail"),2))</f>
        <v>0</v>
      </c>
      <c r="N172" s="26">
        <f>IF(B172="","",ROUND(SUMIFS(Sales!$W$5:$W$1204,Sales!$F$5:$F$1204,C172,Sales!$R$5:$R$1204,B172,Sales!$H$5:$H$1204,"Retail"),2))</f>
        <v>0</v>
      </c>
      <c r="O172" s="26">
        <f>IF(B172="","",ROUND(SUMIFS(Sales!$AB$5:$AB$1204,Sales!$F$5:$F$1204,C172,Sales!$R$5:$R$1204,B172,Sales!$H$5:$H$1204,"Service"),2))</f>
        <v>0</v>
      </c>
      <c r="P172" s="25">
        <f>IF(B172="","",COUNTIFS(Sales!$F$5:$F$1204,C172,Sales!$R$5:$R$1204,B172,Sales!$H$5:$H$1204,"Service"))</f>
        <v>0</v>
      </c>
      <c r="Q172" s="26">
        <f>IF(B172="","",IF(CommissionOn="Gross before discounts",L172,K172))</f>
        <v>0</v>
      </c>
      <c r="R172" s="26">
        <f>IF(B172="","",IF(CommissionOn="Gross before discounts",N172,M172))</f>
        <v>0</v>
      </c>
      <c r="S172" s="27">
        <f>IF(B172="","",IF(E172="Tiered on monthly service revenue",IFERROR(INDEX(TierRate,MATCH(Q172,TierFrom,1)),0),IFERROR(IF(INDEX(Staff!$M$5:$M$44,MATCH(C172,Staff!$A$5:$A$44,0))="",ServiceCommission,INDEX(Staff!$M$5:$M$44,MATCH(C172,Staff!$A$5:$A$44,0))),ServiceCommission)))</f>
        <v>0</v>
      </c>
      <c r="T172" s="27">
        <f>IF(B172="","",IFERROR(IF(INDEX(Staff!$N$5:$N$44,MATCH(C172,Staff!$A$5:$A$44,0))="",RetailCommission,INDEX(Staff!$N$5:$N$44,MATCH(C172,Staff!$A$5:$A$44,0))),RetailCommission))</f>
        <v>0</v>
      </c>
      <c r="U172" s="26">
        <f>IF(B172="","",IFERROR(INDEX(Staff!$O$5:$O$44,MATCH(C172,Staff!$A$5:$A$44,0))*1,0))</f>
        <v>0</v>
      </c>
      <c r="V172" s="26">
        <f>IF(B172="","",ROUND(IF(E172="Percent of service",Q172*S172,IF(E172="Percent of service and retail",Q172*S172+R172*T172,IF(E172="Percent after product cost",MAX(0,Q172-O172)*S172,IF(E172="Tiered on monthly service revenue",Q172*S172,IF(E172="Flat amount per service",P172*U172,0))))),2))</f>
        <v>0</v>
      </c>
      <c r="W172" s="26">
        <f>IF(B172="","",ROUND(SUMIFS(Payments!$G$5:$G$1204,Payments!$J$5:$J$1204,C172,Payments!$O$5:$O$1204,B172,Payments!$E$5:$E$1204,"Tip"),2))</f>
        <v>0</v>
      </c>
      <c r="X172" s="26">
        <f>IF(B172="","",ROUND(V172+IF(F172="",0,F172)+IF(G172="",0,G172),2))</f>
        <v>0</v>
      </c>
      <c r="Y172" s="27">
        <f>IF(B172="","",IF(Q172+R172=0,"",X172/(Q172+R172)))</f>
        <v>0</v>
      </c>
      <c r="Z172" s="25">
        <f>IF(B172="","",COUNTIFS($V$5:$V$244,"&gt;"&amp;V172)+COUNTIFS($V$5:V172,V172))</f>
        <v>0</v>
      </c>
      <c r="AA172" s="39">
        <f>IF(B172="","",IF(C172="","Add - whose commission is this?",IF(COUNTIFS($B$5:$B$244,B172,$C$5:$C$244,C172)&gt;1,"Duplicate - two rows for the same month",IF(E172="None","",IF(E172="Rent a chair","",IF(E172="Hourly only","",IF(X172=0,"Check - nothing calculated",IF(H172&lt;&gt;"Yes","Due - waiting for approval",IF(I172="","Due - approved but not paid","OK")))))))))</f>
        <v>0</v>
      </c>
    </row>
    <row r="173" spans="1:27">
      <c r="A173" s="28">
        <f>IF(B173="","",CommissionPrefix&amp;TEXT(ROW()-4,"0000"))</f>
        <v>0</v>
      </c>
      <c r="D173" s="15">
        <f>IF(C173="","",IFERROR(INDEX(Staff!$B$5:$B$44,MATCH(C173,Staff!$A$5:$A$44,0)),"Not in Staff"))</f>
        <v>0</v>
      </c>
      <c r="E173" s="15">
        <f>IF(C173="","",IFERROR(INDEX(Staff!$L$5:$L$44,MATCH(C173,Staff!$A$5:$A$44,0)),"None"))</f>
        <v>0</v>
      </c>
      <c r="K173" s="26">
        <f>IF(B173="","",ROUND(SUMIFS(Sales!$Y$5:$Y$1204,Sales!$F$5:$F$1204,C173,Sales!$R$5:$R$1204,B173,Sales!$H$5:$H$1204,"Service"),2))</f>
        <v>0</v>
      </c>
      <c r="L173" s="26">
        <f>IF(B173="","",ROUND(SUMIFS(Sales!$W$5:$W$1204,Sales!$F$5:$F$1204,C173,Sales!$R$5:$R$1204,B173,Sales!$H$5:$H$1204,"Service"),2))</f>
        <v>0</v>
      </c>
      <c r="M173" s="26">
        <f>IF(B173="","",ROUND(SUMIFS(Sales!$Y$5:$Y$1204,Sales!$F$5:$F$1204,C173,Sales!$R$5:$R$1204,B173,Sales!$H$5:$H$1204,"Retail"),2))</f>
        <v>0</v>
      </c>
      <c r="N173" s="26">
        <f>IF(B173="","",ROUND(SUMIFS(Sales!$W$5:$W$1204,Sales!$F$5:$F$1204,C173,Sales!$R$5:$R$1204,B173,Sales!$H$5:$H$1204,"Retail"),2))</f>
        <v>0</v>
      </c>
      <c r="O173" s="26">
        <f>IF(B173="","",ROUND(SUMIFS(Sales!$AB$5:$AB$1204,Sales!$F$5:$F$1204,C173,Sales!$R$5:$R$1204,B173,Sales!$H$5:$H$1204,"Service"),2))</f>
        <v>0</v>
      </c>
      <c r="P173" s="25">
        <f>IF(B173="","",COUNTIFS(Sales!$F$5:$F$1204,C173,Sales!$R$5:$R$1204,B173,Sales!$H$5:$H$1204,"Service"))</f>
        <v>0</v>
      </c>
      <c r="Q173" s="26">
        <f>IF(B173="","",IF(CommissionOn="Gross before discounts",L173,K173))</f>
        <v>0</v>
      </c>
      <c r="R173" s="26">
        <f>IF(B173="","",IF(CommissionOn="Gross before discounts",N173,M173))</f>
        <v>0</v>
      </c>
      <c r="S173" s="27">
        <f>IF(B173="","",IF(E173="Tiered on monthly service revenue",IFERROR(INDEX(TierRate,MATCH(Q173,TierFrom,1)),0),IFERROR(IF(INDEX(Staff!$M$5:$M$44,MATCH(C173,Staff!$A$5:$A$44,0))="",ServiceCommission,INDEX(Staff!$M$5:$M$44,MATCH(C173,Staff!$A$5:$A$44,0))),ServiceCommission)))</f>
        <v>0</v>
      </c>
      <c r="T173" s="27">
        <f>IF(B173="","",IFERROR(IF(INDEX(Staff!$N$5:$N$44,MATCH(C173,Staff!$A$5:$A$44,0))="",RetailCommission,INDEX(Staff!$N$5:$N$44,MATCH(C173,Staff!$A$5:$A$44,0))),RetailCommission))</f>
        <v>0</v>
      </c>
      <c r="U173" s="26">
        <f>IF(B173="","",IFERROR(INDEX(Staff!$O$5:$O$44,MATCH(C173,Staff!$A$5:$A$44,0))*1,0))</f>
        <v>0</v>
      </c>
      <c r="V173" s="26">
        <f>IF(B173="","",ROUND(IF(E173="Percent of service",Q173*S173,IF(E173="Percent of service and retail",Q173*S173+R173*T173,IF(E173="Percent after product cost",MAX(0,Q173-O173)*S173,IF(E173="Tiered on monthly service revenue",Q173*S173,IF(E173="Flat amount per service",P173*U173,0))))),2))</f>
        <v>0</v>
      </c>
      <c r="W173" s="26">
        <f>IF(B173="","",ROUND(SUMIFS(Payments!$G$5:$G$1204,Payments!$J$5:$J$1204,C173,Payments!$O$5:$O$1204,B173,Payments!$E$5:$E$1204,"Tip"),2))</f>
        <v>0</v>
      </c>
      <c r="X173" s="26">
        <f>IF(B173="","",ROUND(V173+IF(F173="",0,F173)+IF(G173="",0,G173),2))</f>
        <v>0</v>
      </c>
      <c r="Y173" s="27">
        <f>IF(B173="","",IF(Q173+R173=0,"",X173/(Q173+R173)))</f>
        <v>0</v>
      </c>
      <c r="Z173" s="25">
        <f>IF(B173="","",COUNTIFS($V$5:$V$244,"&gt;"&amp;V173)+COUNTIFS($V$5:V173,V173))</f>
        <v>0</v>
      </c>
      <c r="AA173" s="39">
        <f>IF(B173="","",IF(C173="","Add - whose commission is this?",IF(COUNTIFS($B$5:$B$244,B173,$C$5:$C$244,C173)&gt;1,"Duplicate - two rows for the same month",IF(E173="None","",IF(E173="Rent a chair","",IF(E173="Hourly only","",IF(X173=0,"Check - nothing calculated",IF(H173&lt;&gt;"Yes","Due - waiting for approval",IF(I173="","Due - approved but not paid","OK")))))))))</f>
        <v>0</v>
      </c>
    </row>
    <row r="174" spans="1:27">
      <c r="A174" s="28">
        <f>IF(B174="","",CommissionPrefix&amp;TEXT(ROW()-4,"0000"))</f>
        <v>0</v>
      </c>
      <c r="D174" s="15">
        <f>IF(C174="","",IFERROR(INDEX(Staff!$B$5:$B$44,MATCH(C174,Staff!$A$5:$A$44,0)),"Not in Staff"))</f>
        <v>0</v>
      </c>
      <c r="E174" s="15">
        <f>IF(C174="","",IFERROR(INDEX(Staff!$L$5:$L$44,MATCH(C174,Staff!$A$5:$A$44,0)),"None"))</f>
        <v>0</v>
      </c>
      <c r="K174" s="26">
        <f>IF(B174="","",ROUND(SUMIFS(Sales!$Y$5:$Y$1204,Sales!$F$5:$F$1204,C174,Sales!$R$5:$R$1204,B174,Sales!$H$5:$H$1204,"Service"),2))</f>
        <v>0</v>
      </c>
      <c r="L174" s="26">
        <f>IF(B174="","",ROUND(SUMIFS(Sales!$W$5:$W$1204,Sales!$F$5:$F$1204,C174,Sales!$R$5:$R$1204,B174,Sales!$H$5:$H$1204,"Service"),2))</f>
        <v>0</v>
      </c>
      <c r="M174" s="26">
        <f>IF(B174="","",ROUND(SUMIFS(Sales!$Y$5:$Y$1204,Sales!$F$5:$F$1204,C174,Sales!$R$5:$R$1204,B174,Sales!$H$5:$H$1204,"Retail"),2))</f>
        <v>0</v>
      </c>
      <c r="N174" s="26">
        <f>IF(B174="","",ROUND(SUMIFS(Sales!$W$5:$W$1204,Sales!$F$5:$F$1204,C174,Sales!$R$5:$R$1204,B174,Sales!$H$5:$H$1204,"Retail"),2))</f>
        <v>0</v>
      </c>
      <c r="O174" s="26">
        <f>IF(B174="","",ROUND(SUMIFS(Sales!$AB$5:$AB$1204,Sales!$F$5:$F$1204,C174,Sales!$R$5:$R$1204,B174,Sales!$H$5:$H$1204,"Service"),2))</f>
        <v>0</v>
      </c>
      <c r="P174" s="25">
        <f>IF(B174="","",COUNTIFS(Sales!$F$5:$F$1204,C174,Sales!$R$5:$R$1204,B174,Sales!$H$5:$H$1204,"Service"))</f>
        <v>0</v>
      </c>
      <c r="Q174" s="26">
        <f>IF(B174="","",IF(CommissionOn="Gross before discounts",L174,K174))</f>
        <v>0</v>
      </c>
      <c r="R174" s="26">
        <f>IF(B174="","",IF(CommissionOn="Gross before discounts",N174,M174))</f>
        <v>0</v>
      </c>
      <c r="S174" s="27">
        <f>IF(B174="","",IF(E174="Tiered on monthly service revenue",IFERROR(INDEX(TierRate,MATCH(Q174,TierFrom,1)),0),IFERROR(IF(INDEX(Staff!$M$5:$M$44,MATCH(C174,Staff!$A$5:$A$44,0))="",ServiceCommission,INDEX(Staff!$M$5:$M$44,MATCH(C174,Staff!$A$5:$A$44,0))),ServiceCommission)))</f>
        <v>0</v>
      </c>
      <c r="T174" s="27">
        <f>IF(B174="","",IFERROR(IF(INDEX(Staff!$N$5:$N$44,MATCH(C174,Staff!$A$5:$A$44,0))="",RetailCommission,INDEX(Staff!$N$5:$N$44,MATCH(C174,Staff!$A$5:$A$44,0))),RetailCommission))</f>
        <v>0</v>
      </c>
      <c r="U174" s="26">
        <f>IF(B174="","",IFERROR(INDEX(Staff!$O$5:$O$44,MATCH(C174,Staff!$A$5:$A$44,0))*1,0))</f>
        <v>0</v>
      </c>
      <c r="V174" s="26">
        <f>IF(B174="","",ROUND(IF(E174="Percent of service",Q174*S174,IF(E174="Percent of service and retail",Q174*S174+R174*T174,IF(E174="Percent after product cost",MAX(0,Q174-O174)*S174,IF(E174="Tiered on monthly service revenue",Q174*S174,IF(E174="Flat amount per service",P174*U174,0))))),2))</f>
        <v>0</v>
      </c>
      <c r="W174" s="26">
        <f>IF(B174="","",ROUND(SUMIFS(Payments!$G$5:$G$1204,Payments!$J$5:$J$1204,C174,Payments!$O$5:$O$1204,B174,Payments!$E$5:$E$1204,"Tip"),2))</f>
        <v>0</v>
      </c>
      <c r="X174" s="26">
        <f>IF(B174="","",ROUND(V174+IF(F174="",0,F174)+IF(G174="",0,G174),2))</f>
        <v>0</v>
      </c>
      <c r="Y174" s="27">
        <f>IF(B174="","",IF(Q174+R174=0,"",X174/(Q174+R174)))</f>
        <v>0</v>
      </c>
      <c r="Z174" s="25">
        <f>IF(B174="","",COUNTIFS($V$5:$V$244,"&gt;"&amp;V174)+COUNTIFS($V$5:V174,V174))</f>
        <v>0</v>
      </c>
      <c r="AA174" s="39">
        <f>IF(B174="","",IF(C174="","Add - whose commission is this?",IF(COUNTIFS($B$5:$B$244,B174,$C$5:$C$244,C174)&gt;1,"Duplicate - two rows for the same month",IF(E174="None","",IF(E174="Rent a chair","",IF(E174="Hourly only","",IF(X174=0,"Check - nothing calculated",IF(H174&lt;&gt;"Yes","Due - waiting for approval",IF(I174="","Due - approved but not paid","OK")))))))))</f>
        <v>0</v>
      </c>
    </row>
    <row r="175" spans="1:27">
      <c r="A175" s="28">
        <f>IF(B175="","",CommissionPrefix&amp;TEXT(ROW()-4,"0000"))</f>
        <v>0</v>
      </c>
      <c r="D175" s="15">
        <f>IF(C175="","",IFERROR(INDEX(Staff!$B$5:$B$44,MATCH(C175,Staff!$A$5:$A$44,0)),"Not in Staff"))</f>
        <v>0</v>
      </c>
      <c r="E175" s="15">
        <f>IF(C175="","",IFERROR(INDEX(Staff!$L$5:$L$44,MATCH(C175,Staff!$A$5:$A$44,0)),"None"))</f>
        <v>0</v>
      </c>
      <c r="K175" s="26">
        <f>IF(B175="","",ROUND(SUMIFS(Sales!$Y$5:$Y$1204,Sales!$F$5:$F$1204,C175,Sales!$R$5:$R$1204,B175,Sales!$H$5:$H$1204,"Service"),2))</f>
        <v>0</v>
      </c>
      <c r="L175" s="26">
        <f>IF(B175="","",ROUND(SUMIFS(Sales!$W$5:$W$1204,Sales!$F$5:$F$1204,C175,Sales!$R$5:$R$1204,B175,Sales!$H$5:$H$1204,"Service"),2))</f>
        <v>0</v>
      </c>
      <c r="M175" s="26">
        <f>IF(B175="","",ROUND(SUMIFS(Sales!$Y$5:$Y$1204,Sales!$F$5:$F$1204,C175,Sales!$R$5:$R$1204,B175,Sales!$H$5:$H$1204,"Retail"),2))</f>
        <v>0</v>
      </c>
      <c r="N175" s="26">
        <f>IF(B175="","",ROUND(SUMIFS(Sales!$W$5:$W$1204,Sales!$F$5:$F$1204,C175,Sales!$R$5:$R$1204,B175,Sales!$H$5:$H$1204,"Retail"),2))</f>
        <v>0</v>
      </c>
      <c r="O175" s="26">
        <f>IF(B175="","",ROUND(SUMIFS(Sales!$AB$5:$AB$1204,Sales!$F$5:$F$1204,C175,Sales!$R$5:$R$1204,B175,Sales!$H$5:$H$1204,"Service"),2))</f>
        <v>0</v>
      </c>
      <c r="P175" s="25">
        <f>IF(B175="","",COUNTIFS(Sales!$F$5:$F$1204,C175,Sales!$R$5:$R$1204,B175,Sales!$H$5:$H$1204,"Service"))</f>
        <v>0</v>
      </c>
      <c r="Q175" s="26">
        <f>IF(B175="","",IF(CommissionOn="Gross before discounts",L175,K175))</f>
        <v>0</v>
      </c>
      <c r="R175" s="26">
        <f>IF(B175="","",IF(CommissionOn="Gross before discounts",N175,M175))</f>
        <v>0</v>
      </c>
      <c r="S175" s="27">
        <f>IF(B175="","",IF(E175="Tiered on monthly service revenue",IFERROR(INDEX(TierRate,MATCH(Q175,TierFrom,1)),0),IFERROR(IF(INDEX(Staff!$M$5:$M$44,MATCH(C175,Staff!$A$5:$A$44,0))="",ServiceCommission,INDEX(Staff!$M$5:$M$44,MATCH(C175,Staff!$A$5:$A$44,0))),ServiceCommission)))</f>
        <v>0</v>
      </c>
      <c r="T175" s="27">
        <f>IF(B175="","",IFERROR(IF(INDEX(Staff!$N$5:$N$44,MATCH(C175,Staff!$A$5:$A$44,0))="",RetailCommission,INDEX(Staff!$N$5:$N$44,MATCH(C175,Staff!$A$5:$A$44,0))),RetailCommission))</f>
        <v>0</v>
      </c>
      <c r="U175" s="26">
        <f>IF(B175="","",IFERROR(INDEX(Staff!$O$5:$O$44,MATCH(C175,Staff!$A$5:$A$44,0))*1,0))</f>
        <v>0</v>
      </c>
      <c r="V175" s="26">
        <f>IF(B175="","",ROUND(IF(E175="Percent of service",Q175*S175,IF(E175="Percent of service and retail",Q175*S175+R175*T175,IF(E175="Percent after product cost",MAX(0,Q175-O175)*S175,IF(E175="Tiered on monthly service revenue",Q175*S175,IF(E175="Flat amount per service",P175*U175,0))))),2))</f>
        <v>0</v>
      </c>
      <c r="W175" s="26">
        <f>IF(B175="","",ROUND(SUMIFS(Payments!$G$5:$G$1204,Payments!$J$5:$J$1204,C175,Payments!$O$5:$O$1204,B175,Payments!$E$5:$E$1204,"Tip"),2))</f>
        <v>0</v>
      </c>
      <c r="X175" s="26">
        <f>IF(B175="","",ROUND(V175+IF(F175="",0,F175)+IF(G175="",0,G175),2))</f>
        <v>0</v>
      </c>
      <c r="Y175" s="27">
        <f>IF(B175="","",IF(Q175+R175=0,"",X175/(Q175+R175)))</f>
        <v>0</v>
      </c>
      <c r="Z175" s="25">
        <f>IF(B175="","",COUNTIFS($V$5:$V$244,"&gt;"&amp;V175)+COUNTIFS($V$5:V175,V175))</f>
        <v>0</v>
      </c>
      <c r="AA175" s="39">
        <f>IF(B175="","",IF(C175="","Add - whose commission is this?",IF(COUNTIFS($B$5:$B$244,B175,$C$5:$C$244,C175)&gt;1,"Duplicate - two rows for the same month",IF(E175="None","",IF(E175="Rent a chair","",IF(E175="Hourly only","",IF(X175=0,"Check - nothing calculated",IF(H175&lt;&gt;"Yes","Due - waiting for approval",IF(I175="","Due - approved but not paid","OK")))))))))</f>
        <v>0</v>
      </c>
    </row>
    <row r="176" spans="1:27">
      <c r="A176" s="28">
        <f>IF(B176="","",CommissionPrefix&amp;TEXT(ROW()-4,"0000"))</f>
        <v>0</v>
      </c>
      <c r="D176" s="15">
        <f>IF(C176="","",IFERROR(INDEX(Staff!$B$5:$B$44,MATCH(C176,Staff!$A$5:$A$44,0)),"Not in Staff"))</f>
        <v>0</v>
      </c>
      <c r="E176" s="15">
        <f>IF(C176="","",IFERROR(INDEX(Staff!$L$5:$L$44,MATCH(C176,Staff!$A$5:$A$44,0)),"None"))</f>
        <v>0</v>
      </c>
      <c r="K176" s="26">
        <f>IF(B176="","",ROUND(SUMIFS(Sales!$Y$5:$Y$1204,Sales!$F$5:$F$1204,C176,Sales!$R$5:$R$1204,B176,Sales!$H$5:$H$1204,"Service"),2))</f>
        <v>0</v>
      </c>
      <c r="L176" s="26">
        <f>IF(B176="","",ROUND(SUMIFS(Sales!$W$5:$W$1204,Sales!$F$5:$F$1204,C176,Sales!$R$5:$R$1204,B176,Sales!$H$5:$H$1204,"Service"),2))</f>
        <v>0</v>
      </c>
      <c r="M176" s="26">
        <f>IF(B176="","",ROUND(SUMIFS(Sales!$Y$5:$Y$1204,Sales!$F$5:$F$1204,C176,Sales!$R$5:$R$1204,B176,Sales!$H$5:$H$1204,"Retail"),2))</f>
        <v>0</v>
      </c>
      <c r="N176" s="26">
        <f>IF(B176="","",ROUND(SUMIFS(Sales!$W$5:$W$1204,Sales!$F$5:$F$1204,C176,Sales!$R$5:$R$1204,B176,Sales!$H$5:$H$1204,"Retail"),2))</f>
        <v>0</v>
      </c>
      <c r="O176" s="26">
        <f>IF(B176="","",ROUND(SUMIFS(Sales!$AB$5:$AB$1204,Sales!$F$5:$F$1204,C176,Sales!$R$5:$R$1204,B176,Sales!$H$5:$H$1204,"Service"),2))</f>
        <v>0</v>
      </c>
      <c r="P176" s="25">
        <f>IF(B176="","",COUNTIFS(Sales!$F$5:$F$1204,C176,Sales!$R$5:$R$1204,B176,Sales!$H$5:$H$1204,"Service"))</f>
        <v>0</v>
      </c>
      <c r="Q176" s="26">
        <f>IF(B176="","",IF(CommissionOn="Gross before discounts",L176,K176))</f>
        <v>0</v>
      </c>
      <c r="R176" s="26">
        <f>IF(B176="","",IF(CommissionOn="Gross before discounts",N176,M176))</f>
        <v>0</v>
      </c>
      <c r="S176" s="27">
        <f>IF(B176="","",IF(E176="Tiered on monthly service revenue",IFERROR(INDEX(TierRate,MATCH(Q176,TierFrom,1)),0),IFERROR(IF(INDEX(Staff!$M$5:$M$44,MATCH(C176,Staff!$A$5:$A$44,0))="",ServiceCommission,INDEX(Staff!$M$5:$M$44,MATCH(C176,Staff!$A$5:$A$44,0))),ServiceCommission)))</f>
        <v>0</v>
      </c>
      <c r="T176" s="27">
        <f>IF(B176="","",IFERROR(IF(INDEX(Staff!$N$5:$N$44,MATCH(C176,Staff!$A$5:$A$44,0))="",RetailCommission,INDEX(Staff!$N$5:$N$44,MATCH(C176,Staff!$A$5:$A$44,0))),RetailCommission))</f>
        <v>0</v>
      </c>
      <c r="U176" s="26">
        <f>IF(B176="","",IFERROR(INDEX(Staff!$O$5:$O$44,MATCH(C176,Staff!$A$5:$A$44,0))*1,0))</f>
        <v>0</v>
      </c>
      <c r="V176" s="26">
        <f>IF(B176="","",ROUND(IF(E176="Percent of service",Q176*S176,IF(E176="Percent of service and retail",Q176*S176+R176*T176,IF(E176="Percent after product cost",MAX(0,Q176-O176)*S176,IF(E176="Tiered on monthly service revenue",Q176*S176,IF(E176="Flat amount per service",P176*U176,0))))),2))</f>
        <v>0</v>
      </c>
      <c r="W176" s="26">
        <f>IF(B176="","",ROUND(SUMIFS(Payments!$G$5:$G$1204,Payments!$J$5:$J$1204,C176,Payments!$O$5:$O$1204,B176,Payments!$E$5:$E$1204,"Tip"),2))</f>
        <v>0</v>
      </c>
      <c r="X176" s="26">
        <f>IF(B176="","",ROUND(V176+IF(F176="",0,F176)+IF(G176="",0,G176),2))</f>
        <v>0</v>
      </c>
      <c r="Y176" s="27">
        <f>IF(B176="","",IF(Q176+R176=0,"",X176/(Q176+R176)))</f>
        <v>0</v>
      </c>
      <c r="Z176" s="25">
        <f>IF(B176="","",COUNTIFS($V$5:$V$244,"&gt;"&amp;V176)+COUNTIFS($V$5:V176,V176))</f>
        <v>0</v>
      </c>
      <c r="AA176" s="39">
        <f>IF(B176="","",IF(C176="","Add - whose commission is this?",IF(COUNTIFS($B$5:$B$244,B176,$C$5:$C$244,C176)&gt;1,"Duplicate - two rows for the same month",IF(E176="None","",IF(E176="Rent a chair","",IF(E176="Hourly only","",IF(X176=0,"Check - nothing calculated",IF(H176&lt;&gt;"Yes","Due - waiting for approval",IF(I176="","Due - approved but not paid","OK")))))))))</f>
        <v>0</v>
      </c>
    </row>
    <row r="177" spans="1:27">
      <c r="A177" s="28">
        <f>IF(B177="","",CommissionPrefix&amp;TEXT(ROW()-4,"0000"))</f>
        <v>0</v>
      </c>
      <c r="D177" s="15">
        <f>IF(C177="","",IFERROR(INDEX(Staff!$B$5:$B$44,MATCH(C177,Staff!$A$5:$A$44,0)),"Not in Staff"))</f>
        <v>0</v>
      </c>
      <c r="E177" s="15">
        <f>IF(C177="","",IFERROR(INDEX(Staff!$L$5:$L$44,MATCH(C177,Staff!$A$5:$A$44,0)),"None"))</f>
        <v>0</v>
      </c>
      <c r="K177" s="26">
        <f>IF(B177="","",ROUND(SUMIFS(Sales!$Y$5:$Y$1204,Sales!$F$5:$F$1204,C177,Sales!$R$5:$R$1204,B177,Sales!$H$5:$H$1204,"Service"),2))</f>
        <v>0</v>
      </c>
      <c r="L177" s="26">
        <f>IF(B177="","",ROUND(SUMIFS(Sales!$W$5:$W$1204,Sales!$F$5:$F$1204,C177,Sales!$R$5:$R$1204,B177,Sales!$H$5:$H$1204,"Service"),2))</f>
        <v>0</v>
      </c>
      <c r="M177" s="26">
        <f>IF(B177="","",ROUND(SUMIFS(Sales!$Y$5:$Y$1204,Sales!$F$5:$F$1204,C177,Sales!$R$5:$R$1204,B177,Sales!$H$5:$H$1204,"Retail"),2))</f>
        <v>0</v>
      </c>
      <c r="N177" s="26">
        <f>IF(B177="","",ROUND(SUMIFS(Sales!$W$5:$W$1204,Sales!$F$5:$F$1204,C177,Sales!$R$5:$R$1204,B177,Sales!$H$5:$H$1204,"Retail"),2))</f>
        <v>0</v>
      </c>
      <c r="O177" s="26">
        <f>IF(B177="","",ROUND(SUMIFS(Sales!$AB$5:$AB$1204,Sales!$F$5:$F$1204,C177,Sales!$R$5:$R$1204,B177,Sales!$H$5:$H$1204,"Service"),2))</f>
        <v>0</v>
      </c>
      <c r="P177" s="25">
        <f>IF(B177="","",COUNTIFS(Sales!$F$5:$F$1204,C177,Sales!$R$5:$R$1204,B177,Sales!$H$5:$H$1204,"Service"))</f>
        <v>0</v>
      </c>
      <c r="Q177" s="26">
        <f>IF(B177="","",IF(CommissionOn="Gross before discounts",L177,K177))</f>
        <v>0</v>
      </c>
      <c r="R177" s="26">
        <f>IF(B177="","",IF(CommissionOn="Gross before discounts",N177,M177))</f>
        <v>0</v>
      </c>
      <c r="S177" s="27">
        <f>IF(B177="","",IF(E177="Tiered on monthly service revenue",IFERROR(INDEX(TierRate,MATCH(Q177,TierFrom,1)),0),IFERROR(IF(INDEX(Staff!$M$5:$M$44,MATCH(C177,Staff!$A$5:$A$44,0))="",ServiceCommission,INDEX(Staff!$M$5:$M$44,MATCH(C177,Staff!$A$5:$A$44,0))),ServiceCommission)))</f>
        <v>0</v>
      </c>
      <c r="T177" s="27">
        <f>IF(B177="","",IFERROR(IF(INDEX(Staff!$N$5:$N$44,MATCH(C177,Staff!$A$5:$A$44,0))="",RetailCommission,INDEX(Staff!$N$5:$N$44,MATCH(C177,Staff!$A$5:$A$44,0))),RetailCommission))</f>
        <v>0</v>
      </c>
      <c r="U177" s="26">
        <f>IF(B177="","",IFERROR(INDEX(Staff!$O$5:$O$44,MATCH(C177,Staff!$A$5:$A$44,0))*1,0))</f>
        <v>0</v>
      </c>
      <c r="V177" s="26">
        <f>IF(B177="","",ROUND(IF(E177="Percent of service",Q177*S177,IF(E177="Percent of service and retail",Q177*S177+R177*T177,IF(E177="Percent after product cost",MAX(0,Q177-O177)*S177,IF(E177="Tiered on monthly service revenue",Q177*S177,IF(E177="Flat amount per service",P177*U177,0))))),2))</f>
        <v>0</v>
      </c>
      <c r="W177" s="26">
        <f>IF(B177="","",ROUND(SUMIFS(Payments!$G$5:$G$1204,Payments!$J$5:$J$1204,C177,Payments!$O$5:$O$1204,B177,Payments!$E$5:$E$1204,"Tip"),2))</f>
        <v>0</v>
      </c>
      <c r="X177" s="26">
        <f>IF(B177="","",ROUND(V177+IF(F177="",0,F177)+IF(G177="",0,G177),2))</f>
        <v>0</v>
      </c>
      <c r="Y177" s="27">
        <f>IF(B177="","",IF(Q177+R177=0,"",X177/(Q177+R177)))</f>
        <v>0</v>
      </c>
      <c r="Z177" s="25">
        <f>IF(B177="","",COUNTIFS($V$5:$V$244,"&gt;"&amp;V177)+COUNTIFS($V$5:V177,V177))</f>
        <v>0</v>
      </c>
      <c r="AA177" s="39">
        <f>IF(B177="","",IF(C177="","Add - whose commission is this?",IF(COUNTIFS($B$5:$B$244,B177,$C$5:$C$244,C177)&gt;1,"Duplicate - two rows for the same month",IF(E177="None","",IF(E177="Rent a chair","",IF(E177="Hourly only","",IF(X177=0,"Check - nothing calculated",IF(H177&lt;&gt;"Yes","Due - waiting for approval",IF(I177="","Due - approved but not paid","OK")))))))))</f>
        <v>0</v>
      </c>
    </row>
    <row r="178" spans="1:27">
      <c r="A178" s="28">
        <f>IF(B178="","",CommissionPrefix&amp;TEXT(ROW()-4,"0000"))</f>
        <v>0</v>
      </c>
      <c r="D178" s="15">
        <f>IF(C178="","",IFERROR(INDEX(Staff!$B$5:$B$44,MATCH(C178,Staff!$A$5:$A$44,0)),"Not in Staff"))</f>
        <v>0</v>
      </c>
      <c r="E178" s="15">
        <f>IF(C178="","",IFERROR(INDEX(Staff!$L$5:$L$44,MATCH(C178,Staff!$A$5:$A$44,0)),"None"))</f>
        <v>0</v>
      </c>
      <c r="K178" s="26">
        <f>IF(B178="","",ROUND(SUMIFS(Sales!$Y$5:$Y$1204,Sales!$F$5:$F$1204,C178,Sales!$R$5:$R$1204,B178,Sales!$H$5:$H$1204,"Service"),2))</f>
        <v>0</v>
      </c>
      <c r="L178" s="26">
        <f>IF(B178="","",ROUND(SUMIFS(Sales!$W$5:$W$1204,Sales!$F$5:$F$1204,C178,Sales!$R$5:$R$1204,B178,Sales!$H$5:$H$1204,"Service"),2))</f>
        <v>0</v>
      </c>
      <c r="M178" s="26">
        <f>IF(B178="","",ROUND(SUMIFS(Sales!$Y$5:$Y$1204,Sales!$F$5:$F$1204,C178,Sales!$R$5:$R$1204,B178,Sales!$H$5:$H$1204,"Retail"),2))</f>
        <v>0</v>
      </c>
      <c r="N178" s="26">
        <f>IF(B178="","",ROUND(SUMIFS(Sales!$W$5:$W$1204,Sales!$F$5:$F$1204,C178,Sales!$R$5:$R$1204,B178,Sales!$H$5:$H$1204,"Retail"),2))</f>
        <v>0</v>
      </c>
      <c r="O178" s="26">
        <f>IF(B178="","",ROUND(SUMIFS(Sales!$AB$5:$AB$1204,Sales!$F$5:$F$1204,C178,Sales!$R$5:$R$1204,B178,Sales!$H$5:$H$1204,"Service"),2))</f>
        <v>0</v>
      </c>
      <c r="P178" s="25">
        <f>IF(B178="","",COUNTIFS(Sales!$F$5:$F$1204,C178,Sales!$R$5:$R$1204,B178,Sales!$H$5:$H$1204,"Service"))</f>
        <v>0</v>
      </c>
      <c r="Q178" s="26">
        <f>IF(B178="","",IF(CommissionOn="Gross before discounts",L178,K178))</f>
        <v>0</v>
      </c>
      <c r="R178" s="26">
        <f>IF(B178="","",IF(CommissionOn="Gross before discounts",N178,M178))</f>
        <v>0</v>
      </c>
      <c r="S178" s="27">
        <f>IF(B178="","",IF(E178="Tiered on monthly service revenue",IFERROR(INDEX(TierRate,MATCH(Q178,TierFrom,1)),0),IFERROR(IF(INDEX(Staff!$M$5:$M$44,MATCH(C178,Staff!$A$5:$A$44,0))="",ServiceCommission,INDEX(Staff!$M$5:$M$44,MATCH(C178,Staff!$A$5:$A$44,0))),ServiceCommission)))</f>
        <v>0</v>
      </c>
      <c r="T178" s="27">
        <f>IF(B178="","",IFERROR(IF(INDEX(Staff!$N$5:$N$44,MATCH(C178,Staff!$A$5:$A$44,0))="",RetailCommission,INDEX(Staff!$N$5:$N$44,MATCH(C178,Staff!$A$5:$A$44,0))),RetailCommission))</f>
        <v>0</v>
      </c>
      <c r="U178" s="26">
        <f>IF(B178="","",IFERROR(INDEX(Staff!$O$5:$O$44,MATCH(C178,Staff!$A$5:$A$44,0))*1,0))</f>
        <v>0</v>
      </c>
      <c r="V178" s="26">
        <f>IF(B178="","",ROUND(IF(E178="Percent of service",Q178*S178,IF(E178="Percent of service and retail",Q178*S178+R178*T178,IF(E178="Percent after product cost",MAX(0,Q178-O178)*S178,IF(E178="Tiered on monthly service revenue",Q178*S178,IF(E178="Flat amount per service",P178*U178,0))))),2))</f>
        <v>0</v>
      </c>
      <c r="W178" s="26">
        <f>IF(B178="","",ROUND(SUMIFS(Payments!$G$5:$G$1204,Payments!$J$5:$J$1204,C178,Payments!$O$5:$O$1204,B178,Payments!$E$5:$E$1204,"Tip"),2))</f>
        <v>0</v>
      </c>
      <c r="X178" s="26">
        <f>IF(B178="","",ROUND(V178+IF(F178="",0,F178)+IF(G178="",0,G178),2))</f>
        <v>0</v>
      </c>
      <c r="Y178" s="27">
        <f>IF(B178="","",IF(Q178+R178=0,"",X178/(Q178+R178)))</f>
        <v>0</v>
      </c>
      <c r="Z178" s="25">
        <f>IF(B178="","",COUNTIFS($V$5:$V$244,"&gt;"&amp;V178)+COUNTIFS($V$5:V178,V178))</f>
        <v>0</v>
      </c>
      <c r="AA178" s="39">
        <f>IF(B178="","",IF(C178="","Add - whose commission is this?",IF(COUNTIFS($B$5:$B$244,B178,$C$5:$C$244,C178)&gt;1,"Duplicate - two rows for the same month",IF(E178="None","",IF(E178="Rent a chair","",IF(E178="Hourly only","",IF(X178=0,"Check - nothing calculated",IF(H178&lt;&gt;"Yes","Due - waiting for approval",IF(I178="","Due - approved but not paid","OK")))))))))</f>
        <v>0</v>
      </c>
    </row>
    <row r="179" spans="1:27">
      <c r="A179" s="28">
        <f>IF(B179="","",CommissionPrefix&amp;TEXT(ROW()-4,"0000"))</f>
        <v>0</v>
      </c>
      <c r="D179" s="15">
        <f>IF(C179="","",IFERROR(INDEX(Staff!$B$5:$B$44,MATCH(C179,Staff!$A$5:$A$44,0)),"Not in Staff"))</f>
        <v>0</v>
      </c>
      <c r="E179" s="15">
        <f>IF(C179="","",IFERROR(INDEX(Staff!$L$5:$L$44,MATCH(C179,Staff!$A$5:$A$44,0)),"None"))</f>
        <v>0</v>
      </c>
      <c r="K179" s="26">
        <f>IF(B179="","",ROUND(SUMIFS(Sales!$Y$5:$Y$1204,Sales!$F$5:$F$1204,C179,Sales!$R$5:$R$1204,B179,Sales!$H$5:$H$1204,"Service"),2))</f>
        <v>0</v>
      </c>
      <c r="L179" s="26">
        <f>IF(B179="","",ROUND(SUMIFS(Sales!$W$5:$W$1204,Sales!$F$5:$F$1204,C179,Sales!$R$5:$R$1204,B179,Sales!$H$5:$H$1204,"Service"),2))</f>
        <v>0</v>
      </c>
      <c r="M179" s="26">
        <f>IF(B179="","",ROUND(SUMIFS(Sales!$Y$5:$Y$1204,Sales!$F$5:$F$1204,C179,Sales!$R$5:$R$1204,B179,Sales!$H$5:$H$1204,"Retail"),2))</f>
        <v>0</v>
      </c>
      <c r="N179" s="26">
        <f>IF(B179="","",ROUND(SUMIFS(Sales!$W$5:$W$1204,Sales!$F$5:$F$1204,C179,Sales!$R$5:$R$1204,B179,Sales!$H$5:$H$1204,"Retail"),2))</f>
        <v>0</v>
      </c>
      <c r="O179" s="26">
        <f>IF(B179="","",ROUND(SUMIFS(Sales!$AB$5:$AB$1204,Sales!$F$5:$F$1204,C179,Sales!$R$5:$R$1204,B179,Sales!$H$5:$H$1204,"Service"),2))</f>
        <v>0</v>
      </c>
      <c r="P179" s="25">
        <f>IF(B179="","",COUNTIFS(Sales!$F$5:$F$1204,C179,Sales!$R$5:$R$1204,B179,Sales!$H$5:$H$1204,"Service"))</f>
        <v>0</v>
      </c>
      <c r="Q179" s="26">
        <f>IF(B179="","",IF(CommissionOn="Gross before discounts",L179,K179))</f>
        <v>0</v>
      </c>
      <c r="R179" s="26">
        <f>IF(B179="","",IF(CommissionOn="Gross before discounts",N179,M179))</f>
        <v>0</v>
      </c>
      <c r="S179" s="27">
        <f>IF(B179="","",IF(E179="Tiered on monthly service revenue",IFERROR(INDEX(TierRate,MATCH(Q179,TierFrom,1)),0),IFERROR(IF(INDEX(Staff!$M$5:$M$44,MATCH(C179,Staff!$A$5:$A$44,0))="",ServiceCommission,INDEX(Staff!$M$5:$M$44,MATCH(C179,Staff!$A$5:$A$44,0))),ServiceCommission)))</f>
        <v>0</v>
      </c>
      <c r="T179" s="27">
        <f>IF(B179="","",IFERROR(IF(INDEX(Staff!$N$5:$N$44,MATCH(C179,Staff!$A$5:$A$44,0))="",RetailCommission,INDEX(Staff!$N$5:$N$44,MATCH(C179,Staff!$A$5:$A$44,0))),RetailCommission))</f>
        <v>0</v>
      </c>
      <c r="U179" s="26">
        <f>IF(B179="","",IFERROR(INDEX(Staff!$O$5:$O$44,MATCH(C179,Staff!$A$5:$A$44,0))*1,0))</f>
        <v>0</v>
      </c>
      <c r="V179" s="26">
        <f>IF(B179="","",ROUND(IF(E179="Percent of service",Q179*S179,IF(E179="Percent of service and retail",Q179*S179+R179*T179,IF(E179="Percent after product cost",MAX(0,Q179-O179)*S179,IF(E179="Tiered on monthly service revenue",Q179*S179,IF(E179="Flat amount per service",P179*U179,0))))),2))</f>
        <v>0</v>
      </c>
      <c r="W179" s="26">
        <f>IF(B179="","",ROUND(SUMIFS(Payments!$G$5:$G$1204,Payments!$J$5:$J$1204,C179,Payments!$O$5:$O$1204,B179,Payments!$E$5:$E$1204,"Tip"),2))</f>
        <v>0</v>
      </c>
      <c r="X179" s="26">
        <f>IF(B179="","",ROUND(V179+IF(F179="",0,F179)+IF(G179="",0,G179),2))</f>
        <v>0</v>
      </c>
      <c r="Y179" s="27">
        <f>IF(B179="","",IF(Q179+R179=0,"",X179/(Q179+R179)))</f>
        <v>0</v>
      </c>
      <c r="Z179" s="25">
        <f>IF(B179="","",COUNTIFS($V$5:$V$244,"&gt;"&amp;V179)+COUNTIFS($V$5:V179,V179))</f>
        <v>0</v>
      </c>
      <c r="AA179" s="39">
        <f>IF(B179="","",IF(C179="","Add - whose commission is this?",IF(COUNTIFS($B$5:$B$244,B179,$C$5:$C$244,C179)&gt;1,"Duplicate - two rows for the same month",IF(E179="None","",IF(E179="Rent a chair","",IF(E179="Hourly only","",IF(X179=0,"Check - nothing calculated",IF(H179&lt;&gt;"Yes","Due - waiting for approval",IF(I179="","Due - approved but not paid","OK")))))))))</f>
        <v>0</v>
      </c>
    </row>
    <row r="180" spans="1:27">
      <c r="A180" s="28">
        <f>IF(B180="","",CommissionPrefix&amp;TEXT(ROW()-4,"0000"))</f>
        <v>0</v>
      </c>
      <c r="D180" s="15">
        <f>IF(C180="","",IFERROR(INDEX(Staff!$B$5:$B$44,MATCH(C180,Staff!$A$5:$A$44,0)),"Not in Staff"))</f>
        <v>0</v>
      </c>
      <c r="E180" s="15">
        <f>IF(C180="","",IFERROR(INDEX(Staff!$L$5:$L$44,MATCH(C180,Staff!$A$5:$A$44,0)),"None"))</f>
        <v>0</v>
      </c>
      <c r="K180" s="26">
        <f>IF(B180="","",ROUND(SUMIFS(Sales!$Y$5:$Y$1204,Sales!$F$5:$F$1204,C180,Sales!$R$5:$R$1204,B180,Sales!$H$5:$H$1204,"Service"),2))</f>
        <v>0</v>
      </c>
      <c r="L180" s="26">
        <f>IF(B180="","",ROUND(SUMIFS(Sales!$W$5:$W$1204,Sales!$F$5:$F$1204,C180,Sales!$R$5:$R$1204,B180,Sales!$H$5:$H$1204,"Service"),2))</f>
        <v>0</v>
      </c>
      <c r="M180" s="26">
        <f>IF(B180="","",ROUND(SUMIFS(Sales!$Y$5:$Y$1204,Sales!$F$5:$F$1204,C180,Sales!$R$5:$R$1204,B180,Sales!$H$5:$H$1204,"Retail"),2))</f>
        <v>0</v>
      </c>
      <c r="N180" s="26">
        <f>IF(B180="","",ROUND(SUMIFS(Sales!$W$5:$W$1204,Sales!$F$5:$F$1204,C180,Sales!$R$5:$R$1204,B180,Sales!$H$5:$H$1204,"Retail"),2))</f>
        <v>0</v>
      </c>
      <c r="O180" s="26">
        <f>IF(B180="","",ROUND(SUMIFS(Sales!$AB$5:$AB$1204,Sales!$F$5:$F$1204,C180,Sales!$R$5:$R$1204,B180,Sales!$H$5:$H$1204,"Service"),2))</f>
        <v>0</v>
      </c>
      <c r="P180" s="25">
        <f>IF(B180="","",COUNTIFS(Sales!$F$5:$F$1204,C180,Sales!$R$5:$R$1204,B180,Sales!$H$5:$H$1204,"Service"))</f>
        <v>0</v>
      </c>
      <c r="Q180" s="26">
        <f>IF(B180="","",IF(CommissionOn="Gross before discounts",L180,K180))</f>
        <v>0</v>
      </c>
      <c r="R180" s="26">
        <f>IF(B180="","",IF(CommissionOn="Gross before discounts",N180,M180))</f>
        <v>0</v>
      </c>
      <c r="S180" s="27">
        <f>IF(B180="","",IF(E180="Tiered on monthly service revenue",IFERROR(INDEX(TierRate,MATCH(Q180,TierFrom,1)),0),IFERROR(IF(INDEX(Staff!$M$5:$M$44,MATCH(C180,Staff!$A$5:$A$44,0))="",ServiceCommission,INDEX(Staff!$M$5:$M$44,MATCH(C180,Staff!$A$5:$A$44,0))),ServiceCommission)))</f>
        <v>0</v>
      </c>
      <c r="T180" s="27">
        <f>IF(B180="","",IFERROR(IF(INDEX(Staff!$N$5:$N$44,MATCH(C180,Staff!$A$5:$A$44,0))="",RetailCommission,INDEX(Staff!$N$5:$N$44,MATCH(C180,Staff!$A$5:$A$44,0))),RetailCommission))</f>
        <v>0</v>
      </c>
      <c r="U180" s="26">
        <f>IF(B180="","",IFERROR(INDEX(Staff!$O$5:$O$44,MATCH(C180,Staff!$A$5:$A$44,0))*1,0))</f>
        <v>0</v>
      </c>
      <c r="V180" s="26">
        <f>IF(B180="","",ROUND(IF(E180="Percent of service",Q180*S180,IF(E180="Percent of service and retail",Q180*S180+R180*T180,IF(E180="Percent after product cost",MAX(0,Q180-O180)*S180,IF(E180="Tiered on monthly service revenue",Q180*S180,IF(E180="Flat amount per service",P180*U180,0))))),2))</f>
        <v>0</v>
      </c>
      <c r="W180" s="26">
        <f>IF(B180="","",ROUND(SUMIFS(Payments!$G$5:$G$1204,Payments!$J$5:$J$1204,C180,Payments!$O$5:$O$1204,B180,Payments!$E$5:$E$1204,"Tip"),2))</f>
        <v>0</v>
      </c>
      <c r="X180" s="26">
        <f>IF(B180="","",ROUND(V180+IF(F180="",0,F180)+IF(G180="",0,G180),2))</f>
        <v>0</v>
      </c>
      <c r="Y180" s="27">
        <f>IF(B180="","",IF(Q180+R180=0,"",X180/(Q180+R180)))</f>
        <v>0</v>
      </c>
      <c r="Z180" s="25">
        <f>IF(B180="","",COUNTIFS($V$5:$V$244,"&gt;"&amp;V180)+COUNTIFS($V$5:V180,V180))</f>
        <v>0</v>
      </c>
      <c r="AA180" s="39">
        <f>IF(B180="","",IF(C180="","Add - whose commission is this?",IF(COUNTIFS($B$5:$B$244,B180,$C$5:$C$244,C180)&gt;1,"Duplicate - two rows for the same month",IF(E180="None","",IF(E180="Rent a chair","",IF(E180="Hourly only","",IF(X180=0,"Check - nothing calculated",IF(H180&lt;&gt;"Yes","Due - waiting for approval",IF(I180="","Due - approved but not paid","OK")))))))))</f>
        <v>0</v>
      </c>
    </row>
    <row r="181" spans="1:27">
      <c r="A181" s="28">
        <f>IF(B181="","",CommissionPrefix&amp;TEXT(ROW()-4,"0000"))</f>
        <v>0</v>
      </c>
      <c r="D181" s="15">
        <f>IF(C181="","",IFERROR(INDEX(Staff!$B$5:$B$44,MATCH(C181,Staff!$A$5:$A$44,0)),"Not in Staff"))</f>
        <v>0</v>
      </c>
      <c r="E181" s="15">
        <f>IF(C181="","",IFERROR(INDEX(Staff!$L$5:$L$44,MATCH(C181,Staff!$A$5:$A$44,0)),"None"))</f>
        <v>0</v>
      </c>
      <c r="K181" s="26">
        <f>IF(B181="","",ROUND(SUMIFS(Sales!$Y$5:$Y$1204,Sales!$F$5:$F$1204,C181,Sales!$R$5:$R$1204,B181,Sales!$H$5:$H$1204,"Service"),2))</f>
        <v>0</v>
      </c>
      <c r="L181" s="26">
        <f>IF(B181="","",ROUND(SUMIFS(Sales!$W$5:$W$1204,Sales!$F$5:$F$1204,C181,Sales!$R$5:$R$1204,B181,Sales!$H$5:$H$1204,"Service"),2))</f>
        <v>0</v>
      </c>
      <c r="M181" s="26">
        <f>IF(B181="","",ROUND(SUMIFS(Sales!$Y$5:$Y$1204,Sales!$F$5:$F$1204,C181,Sales!$R$5:$R$1204,B181,Sales!$H$5:$H$1204,"Retail"),2))</f>
        <v>0</v>
      </c>
      <c r="N181" s="26">
        <f>IF(B181="","",ROUND(SUMIFS(Sales!$W$5:$W$1204,Sales!$F$5:$F$1204,C181,Sales!$R$5:$R$1204,B181,Sales!$H$5:$H$1204,"Retail"),2))</f>
        <v>0</v>
      </c>
      <c r="O181" s="26">
        <f>IF(B181="","",ROUND(SUMIFS(Sales!$AB$5:$AB$1204,Sales!$F$5:$F$1204,C181,Sales!$R$5:$R$1204,B181,Sales!$H$5:$H$1204,"Service"),2))</f>
        <v>0</v>
      </c>
      <c r="P181" s="25">
        <f>IF(B181="","",COUNTIFS(Sales!$F$5:$F$1204,C181,Sales!$R$5:$R$1204,B181,Sales!$H$5:$H$1204,"Service"))</f>
        <v>0</v>
      </c>
      <c r="Q181" s="26">
        <f>IF(B181="","",IF(CommissionOn="Gross before discounts",L181,K181))</f>
        <v>0</v>
      </c>
      <c r="R181" s="26">
        <f>IF(B181="","",IF(CommissionOn="Gross before discounts",N181,M181))</f>
        <v>0</v>
      </c>
      <c r="S181" s="27">
        <f>IF(B181="","",IF(E181="Tiered on monthly service revenue",IFERROR(INDEX(TierRate,MATCH(Q181,TierFrom,1)),0),IFERROR(IF(INDEX(Staff!$M$5:$M$44,MATCH(C181,Staff!$A$5:$A$44,0))="",ServiceCommission,INDEX(Staff!$M$5:$M$44,MATCH(C181,Staff!$A$5:$A$44,0))),ServiceCommission)))</f>
        <v>0</v>
      </c>
      <c r="T181" s="27">
        <f>IF(B181="","",IFERROR(IF(INDEX(Staff!$N$5:$N$44,MATCH(C181,Staff!$A$5:$A$44,0))="",RetailCommission,INDEX(Staff!$N$5:$N$44,MATCH(C181,Staff!$A$5:$A$44,0))),RetailCommission))</f>
        <v>0</v>
      </c>
      <c r="U181" s="26">
        <f>IF(B181="","",IFERROR(INDEX(Staff!$O$5:$O$44,MATCH(C181,Staff!$A$5:$A$44,0))*1,0))</f>
        <v>0</v>
      </c>
      <c r="V181" s="26">
        <f>IF(B181="","",ROUND(IF(E181="Percent of service",Q181*S181,IF(E181="Percent of service and retail",Q181*S181+R181*T181,IF(E181="Percent after product cost",MAX(0,Q181-O181)*S181,IF(E181="Tiered on monthly service revenue",Q181*S181,IF(E181="Flat amount per service",P181*U181,0))))),2))</f>
        <v>0</v>
      </c>
      <c r="W181" s="26">
        <f>IF(B181="","",ROUND(SUMIFS(Payments!$G$5:$G$1204,Payments!$J$5:$J$1204,C181,Payments!$O$5:$O$1204,B181,Payments!$E$5:$E$1204,"Tip"),2))</f>
        <v>0</v>
      </c>
      <c r="X181" s="26">
        <f>IF(B181="","",ROUND(V181+IF(F181="",0,F181)+IF(G181="",0,G181),2))</f>
        <v>0</v>
      </c>
      <c r="Y181" s="27">
        <f>IF(B181="","",IF(Q181+R181=0,"",X181/(Q181+R181)))</f>
        <v>0</v>
      </c>
      <c r="Z181" s="25">
        <f>IF(B181="","",COUNTIFS($V$5:$V$244,"&gt;"&amp;V181)+COUNTIFS($V$5:V181,V181))</f>
        <v>0</v>
      </c>
      <c r="AA181" s="39">
        <f>IF(B181="","",IF(C181="","Add - whose commission is this?",IF(COUNTIFS($B$5:$B$244,B181,$C$5:$C$244,C181)&gt;1,"Duplicate - two rows for the same month",IF(E181="None","",IF(E181="Rent a chair","",IF(E181="Hourly only","",IF(X181=0,"Check - nothing calculated",IF(H181&lt;&gt;"Yes","Due - waiting for approval",IF(I181="","Due - approved but not paid","OK")))))))))</f>
        <v>0</v>
      </c>
    </row>
    <row r="182" spans="1:27">
      <c r="A182" s="28">
        <f>IF(B182="","",CommissionPrefix&amp;TEXT(ROW()-4,"0000"))</f>
        <v>0</v>
      </c>
      <c r="D182" s="15">
        <f>IF(C182="","",IFERROR(INDEX(Staff!$B$5:$B$44,MATCH(C182,Staff!$A$5:$A$44,0)),"Not in Staff"))</f>
        <v>0</v>
      </c>
      <c r="E182" s="15">
        <f>IF(C182="","",IFERROR(INDEX(Staff!$L$5:$L$44,MATCH(C182,Staff!$A$5:$A$44,0)),"None"))</f>
        <v>0</v>
      </c>
      <c r="K182" s="26">
        <f>IF(B182="","",ROUND(SUMIFS(Sales!$Y$5:$Y$1204,Sales!$F$5:$F$1204,C182,Sales!$R$5:$R$1204,B182,Sales!$H$5:$H$1204,"Service"),2))</f>
        <v>0</v>
      </c>
      <c r="L182" s="26">
        <f>IF(B182="","",ROUND(SUMIFS(Sales!$W$5:$W$1204,Sales!$F$5:$F$1204,C182,Sales!$R$5:$R$1204,B182,Sales!$H$5:$H$1204,"Service"),2))</f>
        <v>0</v>
      </c>
      <c r="M182" s="26">
        <f>IF(B182="","",ROUND(SUMIFS(Sales!$Y$5:$Y$1204,Sales!$F$5:$F$1204,C182,Sales!$R$5:$R$1204,B182,Sales!$H$5:$H$1204,"Retail"),2))</f>
        <v>0</v>
      </c>
      <c r="N182" s="26">
        <f>IF(B182="","",ROUND(SUMIFS(Sales!$W$5:$W$1204,Sales!$F$5:$F$1204,C182,Sales!$R$5:$R$1204,B182,Sales!$H$5:$H$1204,"Retail"),2))</f>
        <v>0</v>
      </c>
      <c r="O182" s="26">
        <f>IF(B182="","",ROUND(SUMIFS(Sales!$AB$5:$AB$1204,Sales!$F$5:$F$1204,C182,Sales!$R$5:$R$1204,B182,Sales!$H$5:$H$1204,"Service"),2))</f>
        <v>0</v>
      </c>
      <c r="P182" s="25">
        <f>IF(B182="","",COUNTIFS(Sales!$F$5:$F$1204,C182,Sales!$R$5:$R$1204,B182,Sales!$H$5:$H$1204,"Service"))</f>
        <v>0</v>
      </c>
      <c r="Q182" s="26">
        <f>IF(B182="","",IF(CommissionOn="Gross before discounts",L182,K182))</f>
        <v>0</v>
      </c>
      <c r="R182" s="26">
        <f>IF(B182="","",IF(CommissionOn="Gross before discounts",N182,M182))</f>
        <v>0</v>
      </c>
      <c r="S182" s="27">
        <f>IF(B182="","",IF(E182="Tiered on monthly service revenue",IFERROR(INDEX(TierRate,MATCH(Q182,TierFrom,1)),0),IFERROR(IF(INDEX(Staff!$M$5:$M$44,MATCH(C182,Staff!$A$5:$A$44,0))="",ServiceCommission,INDEX(Staff!$M$5:$M$44,MATCH(C182,Staff!$A$5:$A$44,0))),ServiceCommission)))</f>
        <v>0</v>
      </c>
      <c r="T182" s="27">
        <f>IF(B182="","",IFERROR(IF(INDEX(Staff!$N$5:$N$44,MATCH(C182,Staff!$A$5:$A$44,0))="",RetailCommission,INDEX(Staff!$N$5:$N$44,MATCH(C182,Staff!$A$5:$A$44,0))),RetailCommission))</f>
        <v>0</v>
      </c>
      <c r="U182" s="26">
        <f>IF(B182="","",IFERROR(INDEX(Staff!$O$5:$O$44,MATCH(C182,Staff!$A$5:$A$44,0))*1,0))</f>
        <v>0</v>
      </c>
      <c r="V182" s="26">
        <f>IF(B182="","",ROUND(IF(E182="Percent of service",Q182*S182,IF(E182="Percent of service and retail",Q182*S182+R182*T182,IF(E182="Percent after product cost",MAX(0,Q182-O182)*S182,IF(E182="Tiered on monthly service revenue",Q182*S182,IF(E182="Flat amount per service",P182*U182,0))))),2))</f>
        <v>0</v>
      </c>
      <c r="W182" s="26">
        <f>IF(B182="","",ROUND(SUMIFS(Payments!$G$5:$G$1204,Payments!$J$5:$J$1204,C182,Payments!$O$5:$O$1204,B182,Payments!$E$5:$E$1204,"Tip"),2))</f>
        <v>0</v>
      </c>
      <c r="X182" s="26">
        <f>IF(B182="","",ROUND(V182+IF(F182="",0,F182)+IF(G182="",0,G182),2))</f>
        <v>0</v>
      </c>
      <c r="Y182" s="27">
        <f>IF(B182="","",IF(Q182+R182=0,"",X182/(Q182+R182)))</f>
        <v>0</v>
      </c>
      <c r="Z182" s="25">
        <f>IF(B182="","",COUNTIFS($V$5:$V$244,"&gt;"&amp;V182)+COUNTIFS($V$5:V182,V182))</f>
        <v>0</v>
      </c>
      <c r="AA182" s="39">
        <f>IF(B182="","",IF(C182="","Add - whose commission is this?",IF(COUNTIFS($B$5:$B$244,B182,$C$5:$C$244,C182)&gt;1,"Duplicate - two rows for the same month",IF(E182="None","",IF(E182="Rent a chair","",IF(E182="Hourly only","",IF(X182=0,"Check - nothing calculated",IF(H182&lt;&gt;"Yes","Due - waiting for approval",IF(I182="","Due - approved but not paid","OK")))))))))</f>
        <v>0</v>
      </c>
    </row>
    <row r="183" spans="1:27">
      <c r="A183" s="28">
        <f>IF(B183="","",CommissionPrefix&amp;TEXT(ROW()-4,"0000"))</f>
        <v>0</v>
      </c>
      <c r="D183" s="15">
        <f>IF(C183="","",IFERROR(INDEX(Staff!$B$5:$B$44,MATCH(C183,Staff!$A$5:$A$44,0)),"Not in Staff"))</f>
        <v>0</v>
      </c>
      <c r="E183" s="15">
        <f>IF(C183="","",IFERROR(INDEX(Staff!$L$5:$L$44,MATCH(C183,Staff!$A$5:$A$44,0)),"None"))</f>
        <v>0</v>
      </c>
      <c r="K183" s="26">
        <f>IF(B183="","",ROUND(SUMIFS(Sales!$Y$5:$Y$1204,Sales!$F$5:$F$1204,C183,Sales!$R$5:$R$1204,B183,Sales!$H$5:$H$1204,"Service"),2))</f>
        <v>0</v>
      </c>
      <c r="L183" s="26">
        <f>IF(B183="","",ROUND(SUMIFS(Sales!$W$5:$W$1204,Sales!$F$5:$F$1204,C183,Sales!$R$5:$R$1204,B183,Sales!$H$5:$H$1204,"Service"),2))</f>
        <v>0</v>
      </c>
      <c r="M183" s="26">
        <f>IF(B183="","",ROUND(SUMIFS(Sales!$Y$5:$Y$1204,Sales!$F$5:$F$1204,C183,Sales!$R$5:$R$1204,B183,Sales!$H$5:$H$1204,"Retail"),2))</f>
        <v>0</v>
      </c>
      <c r="N183" s="26">
        <f>IF(B183="","",ROUND(SUMIFS(Sales!$W$5:$W$1204,Sales!$F$5:$F$1204,C183,Sales!$R$5:$R$1204,B183,Sales!$H$5:$H$1204,"Retail"),2))</f>
        <v>0</v>
      </c>
      <c r="O183" s="26">
        <f>IF(B183="","",ROUND(SUMIFS(Sales!$AB$5:$AB$1204,Sales!$F$5:$F$1204,C183,Sales!$R$5:$R$1204,B183,Sales!$H$5:$H$1204,"Service"),2))</f>
        <v>0</v>
      </c>
      <c r="P183" s="25">
        <f>IF(B183="","",COUNTIFS(Sales!$F$5:$F$1204,C183,Sales!$R$5:$R$1204,B183,Sales!$H$5:$H$1204,"Service"))</f>
        <v>0</v>
      </c>
      <c r="Q183" s="26">
        <f>IF(B183="","",IF(CommissionOn="Gross before discounts",L183,K183))</f>
        <v>0</v>
      </c>
      <c r="R183" s="26">
        <f>IF(B183="","",IF(CommissionOn="Gross before discounts",N183,M183))</f>
        <v>0</v>
      </c>
      <c r="S183" s="27">
        <f>IF(B183="","",IF(E183="Tiered on monthly service revenue",IFERROR(INDEX(TierRate,MATCH(Q183,TierFrom,1)),0),IFERROR(IF(INDEX(Staff!$M$5:$M$44,MATCH(C183,Staff!$A$5:$A$44,0))="",ServiceCommission,INDEX(Staff!$M$5:$M$44,MATCH(C183,Staff!$A$5:$A$44,0))),ServiceCommission)))</f>
        <v>0</v>
      </c>
      <c r="T183" s="27">
        <f>IF(B183="","",IFERROR(IF(INDEX(Staff!$N$5:$N$44,MATCH(C183,Staff!$A$5:$A$44,0))="",RetailCommission,INDEX(Staff!$N$5:$N$44,MATCH(C183,Staff!$A$5:$A$44,0))),RetailCommission))</f>
        <v>0</v>
      </c>
      <c r="U183" s="26">
        <f>IF(B183="","",IFERROR(INDEX(Staff!$O$5:$O$44,MATCH(C183,Staff!$A$5:$A$44,0))*1,0))</f>
        <v>0</v>
      </c>
      <c r="V183" s="26">
        <f>IF(B183="","",ROUND(IF(E183="Percent of service",Q183*S183,IF(E183="Percent of service and retail",Q183*S183+R183*T183,IF(E183="Percent after product cost",MAX(0,Q183-O183)*S183,IF(E183="Tiered on monthly service revenue",Q183*S183,IF(E183="Flat amount per service",P183*U183,0))))),2))</f>
        <v>0</v>
      </c>
      <c r="W183" s="26">
        <f>IF(B183="","",ROUND(SUMIFS(Payments!$G$5:$G$1204,Payments!$J$5:$J$1204,C183,Payments!$O$5:$O$1204,B183,Payments!$E$5:$E$1204,"Tip"),2))</f>
        <v>0</v>
      </c>
      <c r="X183" s="26">
        <f>IF(B183="","",ROUND(V183+IF(F183="",0,F183)+IF(G183="",0,G183),2))</f>
        <v>0</v>
      </c>
      <c r="Y183" s="27">
        <f>IF(B183="","",IF(Q183+R183=0,"",X183/(Q183+R183)))</f>
        <v>0</v>
      </c>
      <c r="Z183" s="25">
        <f>IF(B183="","",COUNTIFS($V$5:$V$244,"&gt;"&amp;V183)+COUNTIFS($V$5:V183,V183))</f>
        <v>0</v>
      </c>
      <c r="AA183" s="39">
        <f>IF(B183="","",IF(C183="","Add - whose commission is this?",IF(COUNTIFS($B$5:$B$244,B183,$C$5:$C$244,C183)&gt;1,"Duplicate - two rows for the same month",IF(E183="None","",IF(E183="Rent a chair","",IF(E183="Hourly only","",IF(X183=0,"Check - nothing calculated",IF(H183&lt;&gt;"Yes","Due - waiting for approval",IF(I183="","Due - approved but not paid","OK")))))))))</f>
        <v>0</v>
      </c>
    </row>
    <row r="184" spans="1:27">
      <c r="A184" s="28">
        <f>IF(B184="","",CommissionPrefix&amp;TEXT(ROW()-4,"0000"))</f>
        <v>0</v>
      </c>
      <c r="D184" s="15">
        <f>IF(C184="","",IFERROR(INDEX(Staff!$B$5:$B$44,MATCH(C184,Staff!$A$5:$A$44,0)),"Not in Staff"))</f>
        <v>0</v>
      </c>
      <c r="E184" s="15">
        <f>IF(C184="","",IFERROR(INDEX(Staff!$L$5:$L$44,MATCH(C184,Staff!$A$5:$A$44,0)),"None"))</f>
        <v>0</v>
      </c>
      <c r="K184" s="26">
        <f>IF(B184="","",ROUND(SUMIFS(Sales!$Y$5:$Y$1204,Sales!$F$5:$F$1204,C184,Sales!$R$5:$R$1204,B184,Sales!$H$5:$H$1204,"Service"),2))</f>
        <v>0</v>
      </c>
      <c r="L184" s="26">
        <f>IF(B184="","",ROUND(SUMIFS(Sales!$W$5:$W$1204,Sales!$F$5:$F$1204,C184,Sales!$R$5:$R$1204,B184,Sales!$H$5:$H$1204,"Service"),2))</f>
        <v>0</v>
      </c>
      <c r="M184" s="26">
        <f>IF(B184="","",ROUND(SUMIFS(Sales!$Y$5:$Y$1204,Sales!$F$5:$F$1204,C184,Sales!$R$5:$R$1204,B184,Sales!$H$5:$H$1204,"Retail"),2))</f>
        <v>0</v>
      </c>
      <c r="N184" s="26">
        <f>IF(B184="","",ROUND(SUMIFS(Sales!$W$5:$W$1204,Sales!$F$5:$F$1204,C184,Sales!$R$5:$R$1204,B184,Sales!$H$5:$H$1204,"Retail"),2))</f>
        <v>0</v>
      </c>
      <c r="O184" s="26">
        <f>IF(B184="","",ROUND(SUMIFS(Sales!$AB$5:$AB$1204,Sales!$F$5:$F$1204,C184,Sales!$R$5:$R$1204,B184,Sales!$H$5:$H$1204,"Service"),2))</f>
        <v>0</v>
      </c>
      <c r="P184" s="25">
        <f>IF(B184="","",COUNTIFS(Sales!$F$5:$F$1204,C184,Sales!$R$5:$R$1204,B184,Sales!$H$5:$H$1204,"Service"))</f>
        <v>0</v>
      </c>
      <c r="Q184" s="26">
        <f>IF(B184="","",IF(CommissionOn="Gross before discounts",L184,K184))</f>
        <v>0</v>
      </c>
      <c r="R184" s="26">
        <f>IF(B184="","",IF(CommissionOn="Gross before discounts",N184,M184))</f>
        <v>0</v>
      </c>
      <c r="S184" s="27">
        <f>IF(B184="","",IF(E184="Tiered on monthly service revenue",IFERROR(INDEX(TierRate,MATCH(Q184,TierFrom,1)),0),IFERROR(IF(INDEX(Staff!$M$5:$M$44,MATCH(C184,Staff!$A$5:$A$44,0))="",ServiceCommission,INDEX(Staff!$M$5:$M$44,MATCH(C184,Staff!$A$5:$A$44,0))),ServiceCommission)))</f>
        <v>0</v>
      </c>
      <c r="T184" s="27">
        <f>IF(B184="","",IFERROR(IF(INDEX(Staff!$N$5:$N$44,MATCH(C184,Staff!$A$5:$A$44,0))="",RetailCommission,INDEX(Staff!$N$5:$N$44,MATCH(C184,Staff!$A$5:$A$44,0))),RetailCommission))</f>
        <v>0</v>
      </c>
      <c r="U184" s="26">
        <f>IF(B184="","",IFERROR(INDEX(Staff!$O$5:$O$44,MATCH(C184,Staff!$A$5:$A$44,0))*1,0))</f>
        <v>0</v>
      </c>
      <c r="V184" s="26">
        <f>IF(B184="","",ROUND(IF(E184="Percent of service",Q184*S184,IF(E184="Percent of service and retail",Q184*S184+R184*T184,IF(E184="Percent after product cost",MAX(0,Q184-O184)*S184,IF(E184="Tiered on monthly service revenue",Q184*S184,IF(E184="Flat amount per service",P184*U184,0))))),2))</f>
        <v>0</v>
      </c>
      <c r="W184" s="26">
        <f>IF(B184="","",ROUND(SUMIFS(Payments!$G$5:$G$1204,Payments!$J$5:$J$1204,C184,Payments!$O$5:$O$1204,B184,Payments!$E$5:$E$1204,"Tip"),2))</f>
        <v>0</v>
      </c>
      <c r="X184" s="26">
        <f>IF(B184="","",ROUND(V184+IF(F184="",0,F184)+IF(G184="",0,G184),2))</f>
        <v>0</v>
      </c>
      <c r="Y184" s="27">
        <f>IF(B184="","",IF(Q184+R184=0,"",X184/(Q184+R184)))</f>
        <v>0</v>
      </c>
      <c r="Z184" s="25">
        <f>IF(B184="","",COUNTIFS($V$5:$V$244,"&gt;"&amp;V184)+COUNTIFS($V$5:V184,V184))</f>
        <v>0</v>
      </c>
      <c r="AA184" s="39">
        <f>IF(B184="","",IF(C184="","Add - whose commission is this?",IF(COUNTIFS($B$5:$B$244,B184,$C$5:$C$244,C184)&gt;1,"Duplicate - two rows for the same month",IF(E184="None","",IF(E184="Rent a chair","",IF(E184="Hourly only","",IF(X184=0,"Check - nothing calculated",IF(H184&lt;&gt;"Yes","Due - waiting for approval",IF(I184="","Due - approved but not paid","OK")))))))))</f>
        <v>0</v>
      </c>
    </row>
    <row r="185" spans="1:27">
      <c r="A185" s="28">
        <f>IF(B185="","",CommissionPrefix&amp;TEXT(ROW()-4,"0000"))</f>
        <v>0</v>
      </c>
      <c r="D185" s="15">
        <f>IF(C185="","",IFERROR(INDEX(Staff!$B$5:$B$44,MATCH(C185,Staff!$A$5:$A$44,0)),"Not in Staff"))</f>
        <v>0</v>
      </c>
      <c r="E185" s="15">
        <f>IF(C185="","",IFERROR(INDEX(Staff!$L$5:$L$44,MATCH(C185,Staff!$A$5:$A$44,0)),"None"))</f>
        <v>0</v>
      </c>
      <c r="K185" s="26">
        <f>IF(B185="","",ROUND(SUMIFS(Sales!$Y$5:$Y$1204,Sales!$F$5:$F$1204,C185,Sales!$R$5:$R$1204,B185,Sales!$H$5:$H$1204,"Service"),2))</f>
        <v>0</v>
      </c>
      <c r="L185" s="26">
        <f>IF(B185="","",ROUND(SUMIFS(Sales!$W$5:$W$1204,Sales!$F$5:$F$1204,C185,Sales!$R$5:$R$1204,B185,Sales!$H$5:$H$1204,"Service"),2))</f>
        <v>0</v>
      </c>
      <c r="M185" s="26">
        <f>IF(B185="","",ROUND(SUMIFS(Sales!$Y$5:$Y$1204,Sales!$F$5:$F$1204,C185,Sales!$R$5:$R$1204,B185,Sales!$H$5:$H$1204,"Retail"),2))</f>
        <v>0</v>
      </c>
      <c r="N185" s="26">
        <f>IF(B185="","",ROUND(SUMIFS(Sales!$W$5:$W$1204,Sales!$F$5:$F$1204,C185,Sales!$R$5:$R$1204,B185,Sales!$H$5:$H$1204,"Retail"),2))</f>
        <v>0</v>
      </c>
      <c r="O185" s="26">
        <f>IF(B185="","",ROUND(SUMIFS(Sales!$AB$5:$AB$1204,Sales!$F$5:$F$1204,C185,Sales!$R$5:$R$1204,B185,Sales!$H$5:$H$1204,"Service"),2))</f>
        <v>0</v>
      </c>
      <c r="P185" s="25">
        <f>IF(B185="","",COUNTIFS(Sales!$F$5:$F$1204,C185,Sales!$R$5:$R$1204,B185,Sales!$H$5:$H$1204,"Service"))</f>
        <v>0</v>
      </c>
      <c r="Q185" s="26">
        <f>IF(B185="","",IF(CommissionOn="Gross before discounts",L185,K185))</f>
        <v>0</v>
      </c>
      <c r="R185" s="26">
        <f>IF(B185="","",IF(CommissionOn="Gross before discounts",N185,M185))</f>
        <v>0</v>
      </c>
      <c r="S185" s="27">
        <f>IF(B185="","",IF(E185="Tiered on monthly service revenue",IFERROR(INDEX(TierRate,MATCH(Q185,TierFrom,1)),0),IFERROR(IF(INDEX(Staff!$M$5:$M$44,MATCH(C185,Staff!$A$5:$A$44,0))="",ServiceCommission,INDEX(Staff!$M$5:$M$44,MATCH(C185,Staff!$A$5:$A$44,0))),ServiceCommission)))</f>
        <v>0</v>
      </c>
      <c r="T185" s="27">
        <f>IF(B185="","",IFERROR(IF(INDEX(Staff!$N$5:$N$44,MATCH(C185,Staff!$A$5:$A$44,0))="",RetailCommission,INDEX(Staff!$N$5:$N$44,MATCH(C185,Staff!$A$5:$A$44,0))),RetailCommission))</f>
        <v>0</v>
      </c>
      <c r="U185" s="26">
        <f>IF(B185="","",IFERROR(INDEX(Staff!$O$5:$O$44,MATCH(C185,Staff!$A$5:$A$44,0))*1,0))</f>
        <v>0</v>
      </c>
      <c r="V185" s="26">
        <f>IF(B185="","",ROUND(IF(E185="Percent of service",Q185*S185,IF(E185="Percent of service and retail",Q185*S185+R185*T185,IF(E185="Percent after product cost",MAX(0,Q185-O185)*S185,IF(E185="Tiered on monthly service revenue",Q185*S185,IF(E185="Flat amount per service",P185*U185,0))))),2))</f>
        <v>0</v>
      </c>
      <c r="W185" s="26">
        <f>IF(B185="","",ROUND(SUMIFS(Payments!$G$5:$G$1204,Payments!$J$5:$J$1204,C185,Payments!$O$5:$O$1204,B185,Payments!$E$5:$E$1204,"Tip"),2))</f>
        <v>0</v>
      </c>
      <c r="X185" s="26">
        <f>IF(B185="","",ROUND(V185+IF(F185="",0,F185)+IF(G185="",0,G185),2))</f>
        <v>0</v>
      </c>
      <c r="Y185" s="27">
        <f>IF(B185="","",IF(Q185+R185=0,"",X185/(Q185+R185)))</f>
        <v>0</v>
      </c>
      <c r="Z185" s="25">
        <f>IF(B185="","",COUNTIFS($V$5:$V$244,"&gt;"&amp;V185)+COUNTIFS($V$5:V185,V185))</f>
        <v>0</v>
      </c>
      <c r="AA185" s="39">
        <f>IF(B185="","",IF(C185="","Add - whose commission is this?",IF(COUNTIFS($B$5:$B$244,B185,$C$5:$C$244,C185)&gt;1,"Duplicate - two rows for the same month",IF(E185="None","",IF(E185="Rent a chair","",IF(E185="Hourly only","",IF(X185=0,"Check - nothing calculated",IF(H185&lt;&gt;"Yes","Due - waiting for approval",IF(I185="","Due - approved but not paid","OK")))))))))</f>
        <v>0</v>
      </c>
    </row>
    <row r="186" spans="1:27">
      <c r="A186" s="28">
        <f>IF(B186="","",CommissionPrefix&amp;TEXT(ROW()-4,"0000"))</f>
        <v>0</v>
      </c>
      <c r="D186" s="15">
        <f>IF(C186="","",IFERROR(INDEX(Staff!$B$5:$B$44,MATCH(C186,Staff!$A$5:$A$44,0)),"Not in Staff"))</f>
        <v>0</v>
      </c>
      <c r="E186" s="15">
        <f>IF(C186="","",IFERROR(INDEX(Staff!$L$5:$L$44,MATCH(C186,Staff!$A$5:$A$44,0)),"None"))</f>
        <v>0</v>
      </c>
      <c r="K186" s="26">
        <f>IF(B186="","",ROUND(SUMIFS(Sales!$Y$5:$Y$1204,Sales!$F$5:$F$1204,C186,Sales!$R$5:$R$1204,B186,Sales!$H$5:$H$1204,"Service"),2))</f>
        <v>0</v>
      </c>
      <c r="L186" s="26">
        <f>IF(B186="","",ROUND(SUMIFS(Sales!$W$5:$W$1204,Sales!$F$5:$F$1204,C186,Sales!$R$5:$R$1204,B186,Sales!$H$5:$H$1204,"Service"),2))</f>
        <v>0</v>
      </c>
      <c r="M186" s="26">
        <f>IF(B186="","",ROUND(SUMIFS(Sales!$Y$5:$Y$1204,Sales!$F$5:$F$1204,C186,Sales!$R$5:$R$1204,B186,Sales!$H$5:$H$1204,"Retail"),2))</f>
        <v>0</v>
      </c>
      <c r="N186" s="26">
        <f>IF(B186="","",ROUND(SUMIFS(Sales!$W$5:$W$1204,Sales!$F$5:$F$1204,C186,Sales!$R$5:$R$1204,B186,Sales!$H$5:$H$1204,"Retail"),2))</f>
        <v>0</v>
      </c>
      <c r="O186" s="26">
        <f>IF(B186="","",ROUND(SUMIFS(Sales!$AB$5:$AB$1204,Sales!$F$5:$F$1204,C186,Sales!$R$5:$R$1204,B186,Sales!$H$5:$H$1204,"Service"),2))</f>
        <v>0</v>
      </c>
      <c r="P186" s="25">
        <f>IF(B186="","",COUNTIFS(Sales!$F$5:$F$1204,C186,Sales!$R$5:$R$1204,B186,Sales!$H$5:$H$1204,"Service"))</f>
        <v>0</v>
      </c>
      <c r="Q186" s="26">
        <f>IF(B186="","",IF(CommissionOn="Gross before discounts",L186,K186))</f>
        <v>0</v>
      </c>
      <c r="R186" s="26">
        <f>IF(B186="","",IF(CommissionOn="Gross before discounts",N186,M186))</f>
        <v>0</v>
      </c>
      <c r="S186" s="27">
        <f>IF(B186="","",IF(E186="Tiered on monthly service revenue",IFERROR(INDEX(TierRate,MATCH(Q186,TierFrom,1)),0),IFERROR(IF(INDEX(Staff!$M$5:$M$44,MATCH(C186,Staff!$A$5:$A$44,0))="",ServiceCommission,INDEX(Staff!$M$5:$M$44,MATCH(C186,Staff!$A$5:$A$44,0))),ServiceCommission)))</f>
        <v>0</v>
      </c>
      <c r="T186" s="27">
        <f>IF(B186="","",IFERROR(IF(INDEX(Staff!$N$5:$N$44,MATCH(C186,Staff!$A$5:$A$44,0))="",RetailCommission,INDEX(Staff!$N$5:$N$44,MATCH(C186,Staff!$A$5:$A$44,0))),RetailCommission))</f>
        <v>0</v>
      </c>
      <c r="U186" s="26">
        <f>IF(B186="","",IFERROR(INDEX(Staff!$O$5:$O$44,MATCH(C186,Staff!$A$5:$A$44,0))*1,0))</f>
        <v>0</v>
      </c>
      <c r="V186" s="26">
        <f>IF(B186="","",ROUND(IF(E186="Percent of service",Q186*S186,IF(E186="Percent of service and retail",Q186*S186+R186*T186,IF(E186="Percent after product cost",MAX(0,Q186-O186)*S186,IF(E186="Tiered on monthly service revenue",Q186*S186,IF(E186="Flat amount per service",P186*U186,0))))),2))</f>
        <v>0</v>
      </c>
      <c r="W186" s="26">
        <f>IF(B186="","",ROUND(SUMIFS(Payments!$G$5:$G$1204,Payments!$J$5:$J$1204,C186,Payments!$O$5:$O$1204,B186,Payments!$E$5:$E$1204,"Tip"),2))</f>
        <v>0</v>
      </c>
      <c r="X186" s="26">
        <f>IF(B186="","",ROUND(V186+IF(F186="",0,F186)+IF(G186="",0,G186),2))</f>
        <v>0</v>
      </c>
      <c r="Y186" s="27">
        <f>IF(B186="","",IF(Q186+R186=0,"",X186/(Q186+R186)))</f>
        <v>0</v>
      </c>
      <c r="Z186" s="25">
        <f>IF(B186="","",COUNTIFS($V$5:$V$244,"&gt;"&amp;V186)+COUNTIFS($V$5:V186,V186))</f>
        <v>0</v>
      </c>
      <c r="AA186" s="39">
        <f>IF(B186="","",IF(C186="","Add - whose commission is this?",IF(COUNTIFS($B$5:$B$244,B186,$C$5:$C$244,C186)&gt;1,"Duplicate - two rows for the same month",IF(E186="None","",IF(E186="Rent a chair","",IF(E186="Hourly only","",IF(X186=0,"Check - nothing calculated",IF(H186&lt;&gt;"Yes","Due - waiting for approval",IF(I186="","Due - approved but not paid","OK")))))))))</f>
        <v>0</v>
      </c>
    </row>
    <row r="187" spans="1:27">
      <c r="A187" s="28">
        <f>IF(B187="","",CommissionPrefix&amp;TEXT(ROW()-4,"0000"))</f>
        <v>0</v>
      </c>
      <c r="D187" s="15">
        <f>IF(C187="","",IFERROR(INDEX(Staff!$B$5:$B$44,MATCH(C187,Staff!$A$5:$A$44,0)),"Not in Staff"))</f>
        <v>0</v>
      </c>
      <c r="E187" s="15">
        <f>IF(C187="","",IFERROR(INDEX(Staff!$L$5:$L$44,MATCH(C187,Staff!$A$5:$A$44,0)),"None"))</f>
        <v>0</v>
      </c>
      <c r="K187" s="26">
        <f>IF(B187="","",ROUND(SUMIFS(Sales!$Y$5:$Y$1204,Sales!$F$5:$F$1204,C187,Sales!$R$5:$R$1204,B187,Sales!$H$5:$H$1204,"Service"),2))</f>
        <v>0</v>
      </c>
      <c r="L187" s="26">
        <f>IF(B187="","",ROUND(SUMIFS(Sales!$W$5:$W$1204,Sales!$F$5:$F$1204,C187,Sales!$R$5:$R$1204,B187,Sales!$H$5:$H$1204,"Service"),2))</f>
        <v>0</v>
      </c>
      <c r="M187" s="26">
        <f>IF(B187="","",ROUND(SUMIFS(Sales!$Y$5:$Y$1204,Sales!$F$5:$F$1204,C187,Sales!$R$5:$R$1204,B187,Sales!$H$5:$H$1204,"Retail"),2))</f>
        <v>0</v>
      </c>
      <c r="N187" s="26">
        <f>IF(B187="","",ROUND(SUMIFS(Sales!$W$5:$W$1204,Sales!$F$5:$F$1204,C187,Sales!$R$5:$R$1204,B187,Sales!$H$5:$H$1204,"Retail"),2))</f>
        <v>0</v>
      </c>
      <c r="O187" s="26">
        <f>IF(B187="","",ROUND(SUMIFS(Sales!$AB$5:$AB$1204,Sales!$F$5:$F$1204,C187,Sales!$R$5:$R$1204,B187,Sales!$H$5:$H$1204,"Service"),2))</f>
        <v>0</v>
      </c>
      <c r="P187" s="25">
        <f>IF(B187="","",COUNTIFS(Sales!$F$5:$F$1204,C187,Sales!$R$5:$R$1204,B187,Sales!$H$5:$H$1204,"Service"))</f>
        <v>0</v>
      </c>
      <c r="Q187" s="26">
        <f>IF(B187="","",IF(CommissionOn="Gross before discounts",L187,K187))</f>
        <v>0</v>
      </c>
      <c r="R187" s="26">
        <f>IF(B187="","",IF(CommissionOn="Gross before discounts",N187,M187))</f>
        <v>0</v>
      </c>
      <c r="S187" s="27">
        <f>IF(B187="","",IF(E187="Tiered on monthly service revenue",IFERROR(INDEX(TierRate,MATCH(Q187,TierFrom,1)),0),IFERROR(IF(INDEX(Staff!$M$5:$M$44,MATCH(C187,Staff!$A$5:$A$44,0))="",ServiceCommission,INDEX(Staff!$M$5:$M$44,MATCH(C187,Staff!$A$5:$A$44,0))),ServiceCommission)))</f>
        <v>0</v>
      </c>
      <c r="T187" s="27">
        <f>IF(B187="","",IFERROR(IF(INDEX(Staff!$N$5:$N$44,MATCH(C187,Staff!$A$5:$A$44,0))="",RetailCommission,INDEX(Staff!$N$5:$N$44,MATCH(C187,Staff!$A$5:$A$44,0))),RetailCommission))</f>
        <v>0</v>
      </c>
      <c r="U187" s="26">
        <f>IF(B187="","",IFERROR(INDEX(Staff!$O$5:$O$44,MATCH(C187,Staff!$A$5:$A$44,0))*1,0))</f>
        <v>0</v>
      </c>
      <c r="V187" s="26">
        <f>IF(B187="","",ROUND(IF(E187="Percent of service",Q187*S187,IF(E187="Percent of service and retail",Q187*S187+R187*T187,IF(E187="Percent after product cost",MAX(0,Q187-O187)*S187,IF(E187="Tiered on monthly service revenue",Q187*S187,IF(E187="Flat amount per service",P187*U187,0))))),2))</f>
        <v>0</v>
      </c>
      <c r="W187" s="26">
        <f>IF(B187="","",ROUND(SUMIFS(Payments!$G$5:$G$1204,Payments!$J$5:$J$1204,C187,Payments!$O$5:$O$1204,B187,Payments!$E$5:$E$1204,"Tip"),2))</f>
        <v>0</v>
      </c>
      <c r="X187" s="26">
        <f>IF(B187="","",ROUND(V187+IF(F187="",0,F187)+IF(G187="",0,G187),2))</f>
        <v>0</v>
      </c>
      <c r="Y187" s="27">
        <f>IF(B187="","",IF(Q187+R187=0,"",X187/(Q187+R187)))</f>
        <v>0</v>
      </c>
      <c r="Z187" s="25">
        <f>IF(B187="","",COUNTIFS($V$5:$V$244,"&gt;"&amp;V187)+COUNTIFS($V$5:V187,V187))</f>
        <v>0</v>
      </c>
      <c r="AA187" s="39">
        <f>IF(B187="","",IF(C187="","Add - whose commission is this?",IF(COUNTIFS($B$5:$B$244,B187,$C$5:$C$244,C187)&gt;1,"Duplicate - two rows for the same month",IF(E187="None","",IF(E187="Rent a chair","",IF(E187="Hourly only","",IF(X187=0,"Check - nothing calculated",IF(H187&lt;&gt;"Yes","Due - waiting for approval",IF(I187="","Due - approved but not paid","OK")))))))))</f>
        <v>0</v>
      </c>
    </row>
    <row r="188" spans="1:27">
      <c r="A188" s="28">
        <f>IF(B188="","",CommissionPrefix&amp;TEXT(ROW()-4,"0000"))</f>
        <v>0</v>
      </c>
      <c r="D188" s="15">
        <f>IF(C188="","",IFERROR(INDEX(Staff!$B$5:$B$44,MATCH(C188,Staff!$A$5:$A$44,0)),"Not in Staff"))</f>
        <v>0</v>
      </c>
      <c r="E188" s="15">
        <f>IF(C188="","",IFERROR(INDEX(Staff!$L$5:$L$44,MATCH(C188,Staff!$A$5:$A$44,0)),"None"))</f>
        <v>0</v>
      </c>
      <c r="K188" s="26">
        <f>IF(B188="","",ROUND(SUMIFS(Sales!$Y$5:$Y$1204,Sales!$F$5:$F$1204,C188,Sales!$R$5:$R$1204,B188,Sales!$H$5:$H$1204,"Service"),2))</f>
        <v>0</v>
      </c>
      <c r="L188" s="26">
        <f>IF(B188="","",ROUND(SUMIFS(Sales!$W$5:$W$1204,Sales!$F$5:$F$1204,C188,Sales!$R$5:$R$1204,B188,Sales!$H$5:$H$1204,"Service"),2))</f>
        <v>0</v>
      </c>
      <c r="M188" s="26">
        <f>IF(B188="","",ROUND(SUMIFS(Sales!$Y$5:$Y$1204,Sales!$F$5:$F$1204,C188,Sales!$R$5:$R$1204,B188,Sales!$H$5:$H$1204,"Retail"),2))</f>
        <v>0</v>
      </c>
      <c r="N188" s="26">
        <f>IF(B188="","",ROUND(SUMIFS(Sales!$W$5:$W$1204,Sales!$F$5:$F$1204,C188,Sales!$R$5:$R$1204,B188,Sales!$H$5:$H$1204,"Retail"),2))</f>
        <v>0</v>
      </c>
      <c r="O188" s="26">
        <f>IF(B188="","",ROUND(SUMIFS(Sales!$AB$5:$AB$1204,Sales!$F$5:$F$1204,C188,Sales!$R$5:$R$1204,B188,Sales!$H$5:$H$1204,"Service"),2))</f>
        <v>0</v>
      </c>
      <c r="P188" s="25">
        <f>IF(B188="","",COUNTIFS(Sales!$F$5:$F$1204,C188,Sales!$R$5:$R$1204,B188,Sales!$H$5:$H$1204,"Service"))</f>
        <v>0</v>
      </c>
      <c r="Q188" s="26">
        <f>IF(B188="","",IF(CommissionOn="Gross before discounts",L188,K188))</f>
        <v>0</v>
      </c>
      <c r="R188" s="26">
        <f>IF(B188="","",IF(CommissionOn="Gross before discounts",N188,M188))</f>
        <v>0</v>
      </c>
      <c r="S188" s="27">
        <f>IF(B188="","",IF(E188="Tiered on monthly service revenue",IFERROR(INDEX(TierRate,MATCH(Q188,TierFrom,1)),0),IFERROR(IF(INDEX(Staff!$M$5:$M$44,MATCH(C188,Staff!$A$5:$A$44,0))="",ServiceCommission,INDEX(Staff!$M$5:$M$44,MATCH(C188,Staff!$A$5:$A$44,0))),ServiceCommission)))</f>
        <v>0</v>
      </c>
      <c r="T188" s="27">
        <f>IF(B188="","",IFERROR(IF(INDEX(Staff!$N$5:$N$44,MATCH(C188,Staff!$A$5:$A$44,0))="",RetailCommission,INDEX(Staff!$N$5:$N$44,MATCH(C188,Staff!$A$5:$A$44,0))),RetailCommission))</f>
        <v>0</v>
      </c>
      <c r="U188" s="26">
        <f>IF(B188="","",IFERROR(INDEX(Staff!$O$5:$O$44,MATCH(C188,Staff!$A$5:$A$44,0))*1,0))</f>
        <v>0</v>
      </c>
      <c r="V188" s="26">
        <f>IF(B188="","",ROUND(IF(E188="Percent of service",Q188*S188,IF(E188="Percent of service and retail",Q188*S188+R188*T188,IF(E188="Percent after product cost",MAX(0,Q188-O188)*S188,IF(E188="Tiered on monthly service revenue",Q188*S188,IF(E188="Flat amount per service",P188*U188,0))))),2))</f>
        <v>0</v>
      </c>
      <c r="W188" s="26">
        <f>IF(B188="","",ROUND(SUMIFS(Payments!$G$5:$G$1204,Payments!$J$5:$J$1204,C188,Payments!$O$5:$O$1204,B188,Payments!$E$5:$E$1204,"Tip"),2))</f>
        <v>0</v>
      </c>
      <c r="X188" s="26">
        <f>IF(B188="","",ROUND(V188+IF(F188="",0,F188)+IF(G188="",0,G188),2))</f>
        <v>0</v>
      </c>
      <c r="Y188" s="27">
        <f>IF(B188="","",IF(Q188+R188=0,"",X188/(Q188+R188)))</f>
        <v>0</v>
      </c>
      <c r="Z188" s="25">
        <f>IF(B188="","",COUNTIFS($V$5:$V$244,"&gt;"&amp;V188)+COUNTIFS($V$5:V188,V188))</f>
        <v>0</v>
      </c>
      <c r="AA188" s="39">
        <f>IF(B188="","",IF(C188="","Add - whose commission is this?",IF(COUNTIFS($B$5:$B$244,B188,$C$5:$C$244,C188)&gt;1,"Duplicate - two rows for the same month",IF(E188="None","",IF(E188="Rent a chair","",IF(E188="Hourly only","",IF(X188=0,"Check - nothing calculated",IF(H188&lt;&gt;"Yes","Due - waiting for approval",IF(I188="","Due - approved but not paid","OK")))))))))</f>
        <v>0</v>
      </c>
    </row>
    <row r="189" spans="1:27">
      <c r="A189" s="28">
        <f>IF(B189="","",CommissionPrefix&amp;TEXT(ROW()-4,"0000"))</f>
        <v>0</v>
      </c>
      <c r="D189" s="15">
        <f>IF(C189="","",IFERROR(INDEX(Staff!$B$5:$B$44,MATCH(C189,Staff!$A$5:$A$44,0)),"Not in Staff"))</f>
        <v>0</v>
      </c>
      <c r="E189" s="15">
        <f>IF(C189="","",IFERROR(INDEX(Staff!$L$5:$L$44,MATCH(C189,Staff!$A$5:$A$44,0)),"None"))</f>
        <v>0</v>
      </c>
      <c r="K189" s="26">
        <f>IF(B189="","",ROUND(SUMIFS(Sales!$Y$5:$Y$1204,Sales!$F$5:$F$1204,C189,Sales!$R$5:$R$1204,B189,Sales!$H$5:$H$1204,"Service"),2))</f>
        <v>0</v>
      </c>
      <c r="L189" s="26">
        <f>IF(B189="","",ROUND(SUMIFS(Sales!$W$5:$W$1204,Sales!$F$5:$F$1204,C189,Sales!$R$5:$R$1204,B189,Sales!$H$5:$H$1204,"Service"),2))</f>
        <v>0</v>
      </c>
      <c r="M189" s="26">
        <f>IF(B189="","",ROUND(SUMIFS(Sales!$Y$5:$Y$1204,Sales!$F$5:$F$1204,C189,Sales!$R$5:$R$1204,B189,Sales!$H$5:$H$1204,"Retail"),2))</f>
        <v>0</v>
      </c>
      <c r="N189" s="26">
        <f>IF(B189="","",ROUND(SUMIFS(Sales!$W$5:$W$1204,Sales!$F$5:$F$1204,C189,Sales!$R$5:$R$1204,B189,Sales!$H$5:$H$1204,"Retail"),2))</f>
        <v>0</v>
      </c>
      <c r="O189" s="26">
        <f>IF(B189="","",ROUND(SUMIFS(Sales!$AB$5:$AB$1204,Sales!$F$5:$F$1204,C189,Sales!$R$5:$R$1204,B189,Sales!$H$5:$H$1204,"Service"),2))</f>
        <v>0</v>
      </c>
      <c r="P189" s="25">
        <f>IF(B189="","",COUNTIFS(Sales!$F$5:$F$1204,C189,Sales!$R$5:$R$1204,B189,Sales!$H$5:$H$1204,"Service"))</f>
        <v>0</v>
      </c>
      <c r="Q189" s="26">
        <f>IF(B189="","",IF(CommissionOn="Gross before discounts",L189,K189))</f>
        <v>0</v>
      </c>
      <c r="R189" s="26">
        <f>IF(B189="","",IF(CommissionOn="Gross before discounts",N189,M189))</f>
        <v>0</v>
      </c>
      <c r="S189" s="27">
        <f>IF(B189="","",IF(E189="Tiered on monthly service revenue",IFERROR(INDEX(TierRate,MATCH(Q189,TierFrom,1)),0),IFERROR(IF(INDEX(Staff!$M$5:$M$44,MATCH(C189,Staff!$A$5:$A$44,0))="",ServiceCommission,INDEX(Staff!$M$5:$M$44,MATCH(C189,Staff!$A$5:$A$44,0))),ServiceCommission)))</f>
        <v>0</v>
      </c>
      <c r="T189" s="27">
        <f>IF(B189="","",IFERROR(IF(INDEX(Staff!$N$5:$N$44,MATCH(C189,Staff!$A$5:$A$44,0))="",RetailCommission,INDEX(Staff!$N$5:$N$44,MATCH(C189,Staff!$A$5:$A$44,0))),RetailCommission))</f>
        <v>0</v>
      </c>
      <c r="U189" s="26">
        <f>IF(B189="","",IFERROR(INDEX(Staff!$O$5:$O$44,MATCH(C189,Staff!$A$5:$A$44,0))*1,0))</f>
        <v>0</v>
      </c>
      <c r="V189" s="26">
        <f>IF(B189="","",ROUND(IF(E189="Percent of service",Q189*S189,IF(E189="Percent of service and retail",Q189*S189+R189*T189,IF(E189="Percent after product cost",MAX(0,Q189-O189)*S189,IF(E189="Tiered on monthly service revenue",Q189*S189,IF(E189="Flat amount per service",P189*U189,0))))),2))</f>
        <v>0</v>
      </c>
      <c r="W189" s="26">
        <f>IF(B189="","",ROUND(SUMIFS(Payments!$G$5:$G$1204,Payments!$J$5:$J$1204,C189,Payments!$O$5:$O$1204,B189,Payments!$E$5:$E$1204,"Tip"),2))</f>
        <v>0</v>
      </c>
      <c r="X189" s="26">
        <f>IF(B189="","",ROUND(V189+IF(F189="",0,F189)+IF(G189="",0,G189),2))</f>
        <v>0</v>
      </c>
      <c r="Y189" s="27">
        <f>IF(B189="","",IF(Q189+R189=0,"",X189/(Q189+R189)))</f>
        <v>0</v>
      </c>
      <c r="Z189" s="25">
        <f>IF(B189="","",COUNTIFS($V$5:$V$244,"&gt;"&amp;V189)+COUNTIFS($V$5:V189,V189))</f>
        <v>0</v>
      </c>
      <c r="AA189" s="39">
        <f>IF(B189="","",IF(C189="","Add - whose commission is this?",IF(COUNTIFS($B$5:$B$244,B189,$C$5:$C$244,C189)&gt;1,"Duplicate - two rows for the same month",IF(E189="None","",IF(E189="Rent a chair","",IF(E189="Hourly only","",IF(X189=0,"Check - nothing calculated",IF(H189&lt;&gt;"Yes","Due - waiting for approval",IF(I189="","Due - approved but not paid","OK")))))))))</f>
        <v>0</v>
      </c>
    </row>
    <row r="190" spans="1:27">
      <c r="A190" s="28">
        <f>IF(B190="","",CommissionPrefix&amp;TEXT(ROW()-4,"0000"))</f>
        <v>0</v>
      </c>
      <c r="D190" s="15">
        <f>IF(C190="","",IFERROR(INDEX(Staff!$B$5:$B$44,MATCH(C190,Staff!$A$5:$A$44,0)),"Not in Staff"))</f>
        <v>0</v>
      </c>
      <c r="E190" s="15">
        <f>IF(C190="","",IFERROR(INDEX(Staff!$L$5:$L$44,MATCH(C190,Staff!$A$5:$A$44,0)),"None"))</f>
        <v>0</v>
      </c>
      <c r="K190" s="26">
        <f>IF(B190="","",ROUND(SUMIFS(Sales!$Y$5:$Y$1204,Sales!$F$5:$F$1204,C190,Sales!$R$5:$R$1204,B190,Sales!$H$5:$H$1204,"Service"),2))</f>
        <v>0</v>
      </c>
      <c r="L190" s="26">
        <f>IF(B190="","",ROUND(SUMIFS(Sales!$W$5:$W$1204,Sales!$F$5:$F$1204,C190,Sales!$R$5:$R$1204,B190,Sales!$H$5:$H$1204,"Service"),2))</f>
        <v>0</v>
      </c>
      <c r="M190" s="26">
        <f>IF(B190="","",ROUND(SUMIFS(Sales!$Y$5:$Y$1204,Sales!$F$5:$F$1204,C190,Sales!$R$5:$R$1204,B190,Sales!$H$5:$H$1204,"Retail"),2))</f>
        <v>0</v>
      </c>
      <c r="N190" s="26">
        <f>IF(B190="","",ROUND(SUMIFS(Sales!$W$5:$W$1204,Sales!$F$5:$F$1204,C190,Sales!$R$5:$R$1204,B190,Sales!$H$5:$H$1204,"Retail"),2))</f>
        <v>0</v>
      </c>
      <c r="O190" s="26">
        <f>IF(B190="","",ROUND(SUMIFS(Sales!$AB$5:$AB$1204,Sales!$F$5:$F$1204,C190,Sales!$R$5:$R$1204,B190,Sales!$H$5:$H$1204,"Service"),2))</f>
        <v>0</v>
      </c>
      <c r="P190" s="25">
        <f>IF(B190="","",COUNTIFS(Sales!$F$5:$F$1204,C190,Sales!$R$5:$R$1204,B190,Sales!$H$5:$H$1204,"Service"))</f>
        <v>0</v>
      </c>
      <c r="Q190" s="26">
        <f>IF(B190="","",IF(CommissionOn="Gross before discounts",L190,K190))</f>
        <v>0</v>
      </c>
      <c r="R190" s="26">
        <f>IF(B190="","",IF(CommissionOn="Gross before discounts",N190,M190))</f>
        <v>0</v>
      </c>
      <c r="S190" s="27">
        <f>IF(B190="","",IF(E190="Tiered on monthly service revenue",IFERROR(INDEX(TierRate,MATCH(Q190,TierFrom,1)),0),IFERROR(IF(INDEX(Staff!$M$5:$M$44,MATCH(C190,Staff!$A$5:$A$44,0))="",ServiceCommission,INDEX(Staff!$M$5:$M$44,MATCH(C190,Staff!$A$5:$A$44,0))),ServiceCommission)))</f>
        <v>0</v>
      </c>
      <c r="T190" s="27">
        <f>IF(B190="","",IFERROR(IF(INDEX(Staff!$N$5:$N$44,MATCH(C190,Staff!$A$5:$A$44,0))="",RetailCommission,INDEX(Staff!$N$5:$N$44,MATCH(C190,Staff!$A$5:$A$44,0))),RetailCommission))</f>
        <v>0</v>
      </c>
      <c r="U190" s="26">
        <f>IF(B190="","",IFERROR(INDEX(Staff!$O$5:$O$44,MATCH(C190,Staff!$A$5:$A$44,0))*1,0))</f>
        <v>0</v>
      </c>
      <c r="V190" s="26">
        <f>IF(B190="","",ROUND(IF(E190="Percent of service",Q190*S190,IF(E190="Percent of service and retail",Q190*S190+R190*T190,IF(E190="Percent after product cost",MAX(0,Q190-O190)*S190,IF(E190="Tiered on monthly service revenue",Q190*S190,IF(E190="Flat amount per service",P190*U190,0))))),2))</f>
        <v>0</v>
      </c>
      <c r="W190" s="26">
        <f>IF(B190="","",ROUND(SUMIFS(Payments!$G$5:$G$1204,Payments!$J$5:$J$1204,C190,Payments!$O$5:$O$1204,B190,Payments!$E$5:$E$1204,"Tip"),2))</f>
        <v>0</v>
      </c>
      <c r="X190" s="26">
        <f>IF(B190="","",ROUND(V190+IF(F190="",0,F190)+IF(G190="",0,G190),2))</f>
        <v>0</v>
      </c>
      <c r="Y190" s="27">
        <f>IF(B190="","",IF(Q190+R190=0,"",X190/(Q190+R190)))</f>
        <v>0</v>
      </c>
      <c r="Z190" s="25">
        <f>IF(B190="","",COUNTIFS($V$5:$V$244,"&gt;"&amp;V190)+COUNTIFS($V$5:V190,V190))</f>
        <v>0</v>
      </c>
      <c r="AA190" s="39">
        <f>IF(B190="","",IF(C190="","Add - whose commission is this?",IF(COUNTIFS($B$5:$B$244,B190,$C$5:$C$244,C190)&gt;1,"Duplicate - two rows for the same month",IF(E190="None","",IF(E190="Rent a chair","",IF(E190="Hourly only","",IF(X190=0,"Check - nothing calculated",IF(H190&lt;&gt;"Yes","Due - waiting for approval",IF(I190="","Due - approved but not paid","OK")))))))))</f>
        <v>0</v>
      </c>
    </row>
    <row r="191" spans="1:27">
      <c r="A191" s="28">
        <f>IF(B191="","",CommissionPrefix&amp;TEXT(ROW()-4,"0000"))</f>
        <v>0</v>
      </c>
      <c r="D191" s="15">
        <f>IF(C191="","",IFERROR(INDEX(Staff!$B$5:$B$44,MATCH(C191,Staff!$A$5:$A$44,0)),"Not in Staff"))</f>
        <v>0</v>
      </c>
      <c r="E191" s="15">
        <f>IF(C191="","",IFERROR(INDEX(Staff!$L$5:$L$44,MATCH(C191,Staff!$A$5:$A$44,0)),"None"))</f>
        <v>0</v>
      </c>
      <c r="K191" s="26">
        <f>IF(B191="","",ROUND(SUMIFS(Sales!$Y$5:$Y$1204,Sales!$F$5:$F$1204,C191,Sales!$R$5:$R$1204,B191,Sales!$H$5:$H$1204,"Service"),2))</f>
        <v>0</v>
      </c>
      <c r="L191" s="26">
        <f>IF(B191="","",ROUND(SUMIFS(Sales!$W$5:$W$1204,Sales!$F$5:$F$1204,C191,Sales!$R$5:$R$1204,B191,Sales!$H$5:$H$1204,"Service"),2))</f>
        <v>0</v>
      </c>
      <c r="M191" s="26">
        <f>IF(B191="","",ROUND(SUMIFS(Sales!$Y$5:$Y$1204,Sales!$F$5:$F$1204,C191,Sales!$R$5:$R$1204,B191,Sales!$H$5:$H$1204,"Retail"),2))</f>
        <v>0</v>
      </c>
      <c r="N191" s="26">
        <f>IF(B191="","",ROUND(SUMIFS(Sales!$W$5:$W$1204,Sales!$F$5:$F$1204,C191,Sales!$R$5:$R$1204,B191,Sales!$H$5:$H$1204,"Retail"),2))</f>
        <v>0</v>
      </c>
      <c r="O191" s="26">
        <f>IF(B191="","",ROUND(SUMIFS(Sales!$AB$5:$AB$1204,Sales!$F$5:$F$1204,C191,Sales!$R$5:$R$1204,B191,Sales!$H$5:$H$1204,"Service"),2))</f>
        <v>0</v>
      </c>
      <c r="P191" s="25">
        <f>IF(B191="","",COUNTIFS(Sales!$F$5:$F$1204,C191,Sales!$R$5:$R$1204,B191,Sales!$H$5:$H$1204,"Service"))</f>
        <v>0</v>
      </c>
      <c r="Q191" s="26">
        <f>IF(B191="","",IF(CommissionOn="Gross before discounts",L191,K191))</f>
        <v>0</v>
      </c>
      <c r="R191" s="26">
        <f>IF(B191="","",IF(CommissionOn="Gross before discounts",N191,M191))</f>
        <v>0</v>
      </c>
      <c r="S191" s="27">
        <f>IF(B191="","",IF(E191="Tiered on monthly service revenue",IFERROR(INDEX(TierRate,MATCH(Q191,TierFrom,1)),0),IFERROR(IF(INDEX(Staff!$M$5:$M$44,MATCH(C191,Staff!$A$5:$A$44,0))="",ServiceCommission,INDEX(Staff!$M$5:$M$44,MATCH(C191,Staff!$A$5:$A$44,0))),ServiceCommission)))</f>
        <v>0</v>
      </c>
      <c r="T191" s="27">
        <f>IF(B191="","",IFERROR(IF(INDEX(Staff!$N$5:$N$44,MATCH(C191,Staff!$A$5:$A$44,0))="",RetailCommission,INDEX(Staff!$N$5:$N$44,MATCH(C191,Staff!$A$5:$A$44,0))),RetailCommission))</f>
        <v>0</v>
      </c>
      <c r="U191" s="26">
        <f>IF(B191="","",IFERROR(INDEX(Staff!$O$5:$O$44,MATCH(C191,Staff!$A$5:$A$44,0))*1,0))</f>
        <v>0</v>
      </c>
      <c r="V191" s="26">
        <f>IF(B191="","",ROUND(IF(E191="Percent of service",Q191*S191,IF(E191="Percent of service and retail",Q191*S191+R191*T191,IF(E191="Percent after product cost",MAX(0,Q191-O191)*S191,IF(E191="Tiered on monthly service revenue",Q191*S191,IF(E191="Flat amount per service",P191*U191,0))))),2))</f>
        <v>0</v>
      </c>
      <c r="W191" s="26">
        <f>IF(B191="","",ROUND(SUMIFS(Payments!$G$5:$G$1204,Payments!$J$5:$J$1204,C191,Payments!$O$5:$O$1204,B191,Payments!$E$5:$E$1204,"Tip"),2))</f>
        <v>0</v>
      </c>
      <c r="X191" s="26">
        <f>IF(B191="","",ROUND(V191+IF(F191="",0,F191)+IF(G191="",0,G191),2))</f>
        <v>0</v>
      </c>
      <c r="Y191" s="27">
        <f>IF(B191="","",IF(Q191+R191=0,"",X191/(Q191+R191)))</f>
        <v>0</v>
      </c>
      <c r="Z191" s="25">
        <f>IF(B191="","",COUNTIFS($V$5:$V$244,"&gt;"&amp;V191)+COUNTIFS($V$5:V191,V191))</f>
        <v>0</v>
      </c>
      <c r="AA191" s="39">
        <f>IF(B191="","",IF(C191="","Add - whose commission is this?",IF(COUNTIFS($B$5:$B$244,B191,$C$5:$C$244,C191)&gt;1,"Duplicate - two rows for the same month",IF(E191="None","",IF(E191="Rent a chair","",IF(E191="Hourly only","",IF(X191=0,"Check - nothing calculated",IF(H191&lt;&gt;"Yes","Due - waiting for approval",IF(I191="","Due - approved but not paid","OK")))))))))</f>
        <v>0</v>
      </c>
    </row>
    <row r="192" spans="1:27">
      <c r="A192" s="28">
        <f>IF(B192="","",CommissionPrefix&amp;TEXT(ROW()-4,"0000"))</f>
        <v>0</v>
      </c>
      <c r="D192" s="15">
        <f>IF(C192="","",IFERROR(INDEX(Staff!$B$5:$B$44,MATCH(C192,Staff!$A$5:$A$44,0)),"Not in Staff"))</f>
        <v>0</v>
      </c>
      <c r="E192" s="15">
        <f>IF(C192="","",IFERROR(INDEX(Staff!$L$5:$L$44,MATCH(C192,Staff!$A$5:$A$44,0)),"None"))</f>
        <v>0</v>
      </c>
      <c r="K192" s="26">
        <f>IF(B192="","",ROUND(SUMIFS(Sales!$Y$5:$Y$1204,Sales!$F$5:$F$1204,C192,Sales!$R$5:$R$1204,B192,Sales!$H$5:$H$1204,"Service"),2))</f>
        <v>0</v>
      </c>
      <c r="L192" s="26">
        <f>IF(B192="","",ROUND(SUMIFS(Sales!$W$5:$W$1204,Sales!$F$5:$F$1204,C192,Sales!$R$5:$R$1204,B192,Sales!$H$5:$H$1204,"Service"),2))</f>
        <v>0</v>
      </c>
      <c r="M192" s="26">
        <f>IF(B192="","",ROUND(SUMIFS(Sales!$Y$5:$Y$1204,Sales!$F$5:$F$1204,C192,Sales!$R$5:$R$1204,B192,Sales!$H$5:$H$1204,"Retail"),2))</f>
        <v>0</v>
      </c>
      <c r="N192" s="26">
        <f>IF(B192="","",ROUND(SUMIFS(Sales!$W$5:$W$1204,Sales!$F$5:$F$1204,C192,Sales!$R$5:$R$1204,B192,Sales!$H$5:$H$1204,"Retail"),2))</f>
        <v>0</v>
      </c>
      <c r="O192" s="26">
        <f>IF(B192="","",ROUND(SUMIFS(Sales!$AB$5:$AB$1204,Sales!$F$5:$F$1204,C192,Sales!$R$5:$R$1204,B192,Sales!$H$5:$H$1204,"Service"),2))</f>
        <v>0</v>
      </c>
      <c r="P192" s="25">
        <f>IF(B192="","",COUNTIFS(Sales!$F$5:$F$1204,C192,Sales!$R$5:$R$1204,B192,Sales!$H$5:$H$1204,"Service"))</f>
        <v>0</v>
      </c>
      <c r="Q192" s="26">
        <f>IF(B192="","",IF(CommissionOn="Gross before discounts",L192,K192))</f>
        <v>0</v>
      </c>
      <c r="R192" s="26">
        <f>IF(B192="","",IF(CommissionOn="Gross before discounts",N192,M192))</f>
        <v>0</v>
      </c>
      <c r="S192" s="27">
        <f>IF(B192="","",IF(E192="Tiered on monthly service revenue",IFERROR(INDEX(TierRate,MATCH(Q192,TierFrom,1)),0),IFERROR(IF(INDEX(Staff!$M$5:$M$44,MATCH(C192,Staff!$A$5:$A$44,0))="",ServiceCommission,INDEX(Staff!$M$5:$M$44,MATCH(C192,Staff!$A$5:$A$44,0))),ServiceCommission)))</f>
        <v>0</v>
      </c>
      <c r="T192" s="27">
        <f>IF(B192="","",IFERROR(IF(INDEX(Staff!$N$5:$N$44,MATCH(C192,Staff!$A$5:$A$44,0))="",RetailCommission,INDEX(Staff!$N$5:$N$44,MATCH(C192,Staff!$A$5:$A$44,0))),RetailCommission))</f>
        <v>0</v>
      </c>
      <c r="U192" s="26">
        <f>IF(B192="","",IFERROR(INDEX(Staff!$O$5:$O$44,MATCH(C192,Staff!$A$5:$A$44,0))*1,0))</f>
        <v>0</v>
      </c>
      <c r="V192" s="26">
        <f>IF(B192="","",ROUND(IF(E192="Percent of service",Q192*S192,IF(E192="Percent of service and retail",Q192*S192+R192*T192,IF(E192="Percent after product cost",MAX(0,Q192-O192)*S192,IF(E192="Tiered on monthly service revenue",Q192*S192,IF(E192="Flat amount per service",P192*U192,0))))),2))</f>
        <v>0</v>
      </c>
      <c r="W192" s="26">
        <f>IF(B192="","",ROUND(SUMIFS(Payments!$G$5:$G$1204,Payments!$J$5:$J$1204,C192,Payments!$O$5:$O$1204,B192,Payments!$E$5:$E$1204,"Tip"),2))</f>
        <v>0</v>
      </c>
      <c r="X192" s="26">
        <f>IF(B192="","",ROUND(V192+IF(F192="",0,F192)+IF(G192="",0,G192),2))</f>
        <v>0</v>
      </c>
      <c r="Y192" s="27">
        <f>IF(B192="","",IF(Q192+R192=0,"",X192/(Q192+R192)))</f>
        <v>0</v>
      </c>
      <c r="Z192" s="25">
        <f>IF(B192="","",COUNTIFS($V$5:$V$244,"&gt;"&amp;V192)+COUNTIFS($V$5:V192,V192))</f>
        <v>0</v>
      </c>
      <c r="AA192" s="39">
        <f>IF(B192="","",IF(C192="","Add - whose commission is this?",IF(COUNTIFS($B$5:$B$244,B192,$C$5:$C$244,C192)&gt;1,"Duplicate - two rows for the same month",IF(E192="None","",IF(E192="Rent a chair","",IF(E192="Hourly only","",IF(X192=0,"Check - nothing calculated",IF(H192&lt;&gt;"Yes","Due - waiting for approval",IF(I192="","Due - approved but not paid","OK")))))))))</f>
        <v>0</v>
      </c>
    </row>
    <row r="193" spans="1:27">
      <c r="A193" s="28">
        <f>IF(B193="","",CommissionPrefix&amp;TEXT(ROW()-4,"0000"))</f>
        <v>0</v>
      </c>
      <c r="D193" s="15">
        <f>IF(C193="","",IFERROR(INDEX(Staff!$B$5:$B$44,MATCH(C193,Staff!$A$5:$A$44,0)),"Not in Staff"))</f>
        <v>0</v>
      </c>
      <c r="E193" s="15">
        <f>IF(C193="","",IFERROR(INDEX(Staff!$L$5:$L$44,MATCH(C193,Staff!$A$5:$A$44,0)),"None"))</f>
        <v>0</v>
      </c>
      <c r="K193" s="26">
        <f>IF(B193="","",ROUND(SUMIFS(Sales!$Y$5:$Y$1204,Sales!$F$5:$F$1204,C193,Sales!$R$5:$R$1204,B193,Sales!$H$5:$H$1204,"Service"),2))</f>
        <v>0</v>
      </c>
      <c r="L193" s="26">
        <f>IF(B193="","",ROUND(SUMIFS(Sales!$W$5:$W$1204,Sales!$F$5:$F$1204,C193,Sales!$R$5:$R$1204,B193,Sales!$H$5:$H$1204,"Service"),2))</f>
        <v>0</v>
      </c>
      <c r="M193" s="26">
        <f>IF(B193="","",ROUND(SUMIFS(Sales!$Y$5:$Y$1204,Sales!$F$5:$F$1204,C193,Sales!$R$5:$R$1204,B193,Sales!$H$5:$H$1204,"Retail"),2))</f>
        <v>0</v>
      </c>
      <c r="N193" s="26">
        <f>IF(B193="","",ROUND(SUMIFS(Sales!$W$5:$W$1204,Sales!$F$5:$F$1204,C193,Sales!$R$5:$R$1204,B193,Sales!$H$5:$H$1204,"Retail"),2))</f>
        <v>0</v>
      </c>
      <c r="O193" s="26">
        <f>IF(B193="","",ROUND(SUMIFS(Sales!$AB$5:$AB$1204,Sales!$F$5:$F$1204,C193,Sales!$R$5:$R$1204,B193,Sales!$H$5:$H$1204,"Service"),2))</f>
        <v>0</v>
      </c>
      <c r="P193" s="25">
        <f>IF(B193="","",COUNTIFS(Sales!$F$5:$F$1204,C193,Sales!$R$5:$R$1204,B193,Sales!$H$5:$H$1204,"Service"))</f>
        <v>0</v>
      </c>
      <c r="Q193" s="26">
        <f>IF(B193="","",IF(CommissionOn="Gross before discounts",L193,K193))</f>
        <v>0</v>
      </c>
      <c r="R193" s="26">
        <f>IF(B193="","",IF(CommissionOn="Gross before discounts",N193,M193))</f>
        <v>0</v>
      </c>
      <c r="S193" s="27">
        <f>IF(B193="","",IF(E193="Tiered on monthly service revenue",IFERROR(INDEX(TierRate,MATCH(Q193,TierFrom,1)),0),IFERROR(IF(INDEX(Staff!$M$5:$M$44,MATCH(C193,Staff!$A$5:$A$44,0))="",ServiceCommission,INDEX(Staff!$M$5:$M$44,MATCH(C193,Staff!$A$5:$A$44,0))),ServiceCommission)))</f>
        <v>0</v>
      </c>
      <c r="T193" s="27">
        <f>IF(B193="","",IFERROR(IF(INDEX(Staff!$N$5:$N$44,MATCH(C193,Staff!$A$5:$A$44,0))="",RetailCommission,INDEX(Staff!$N$5:$N$44,MATCH(C193,Staff!$A$5:$A$44,0))),RetailCommission))</f>
        <v>0</v>
      </c>
      <c r="U193" s="26">
        <f>IF(B193="","",IFERROR(INDEX(Staff!$O$5:$O$44,MATCH(C193,Staff!$A$5:$A$44,0))*1,0))</f>
        <v>0</v>
      </c>
      <c r="V193" s="26">
        <f>IF(B193="","",ROUND(IF(E193="Percent of service",Q193*S193,IF(E193="Percent of service and retail",Q193*S193+R193*T193,IF(E193="Percent after product cost",MAX(0,Q193-O193)*S193,IF(E193="Tiered on monthly service revenue",Q193*S193,IF(E193="Flat amount per service",P193*U193,0))))),2))</f>
        <v>0</v>
      </c>
      <c r="W193" s="26">
        <f>IF(B193="","",ROUND(SUMIFS(Payments!$G$5:$G$1204,Payments!$J$5:$J$1204,C193,Payments!$O$5:$O$1204,B193,Payments!$E$5:$E$1204,"Tip"),2))</f>
        <v>0</v>
      </c>
      <c r="X193" s="26">
        <f>IF(B193="","",ROUND(V193+IF(F193="",0,F193)+IF(G193="",0,G193),2))</f>
        <v>0</v>
      </c>
      <c r="Y193" s="27">
        <f>IF(B193="","",IF(Q193+R193=0,"",X193/(Q193+R193)))</f>
        <v>0</v>
      </c>
      <c r="Z193" s="25">
        <f>IF(B193="","",COUNTIFS($V$5:$V$244,"&gt;"&amp;V193)+COUNTIFS($V$5:V193,V193))</f>
        <v>0</v>
      </c>
      <c r="AA193" s="39">
        <f>IF(B193="","",IF(C193="","Add - whose commission is this?",IF(COUNTIFS($B$5:$B$244,B193,$C$5:$C$244,C193)&gt;1,"Duplicate - two rows for the same month",IF(E193="None","",IF(E193="Rent a chair","",IF(E193="Hourly only","",IF(X193=0,"Check - nothing calculated",IF(H193&lt;&gt;"Yes","Due - waiting for approval",IF(I193="","Due - approved but not paid","OK")))))))))</f>
        <v>0</v>
      </c>
    </row>
    <row r="194" spans="1:27">
      <c r="A194" s="28">
        <f>IF(B194="","",CommissionPrefix&amp;TEXT(ROW()-4,"0000"))</f>
        <v>0</v>
      </c>
      <c r="D194" s="15">
        <f>IF(C194="","",IFERROR(INDEX(Staff!$B$5:$B$44,MATCH(C194,Staff!$A$5:$A$44,0)),"Not in Staff"))</f>
        <v>0</v>
      </c>
      <c r="E194" s="15">
        <f>IF(C194="","",IFERROR(INDEX(Staff!$L$5:$L$44,MATCH(C194,Staff!$A$5:$A$44,0)),"None"))</f>
        <v>0</v>
      </c>
      <c r="K194" s="26">
        <f>IF(B194="","",ROUND(SUMIFS(Sales!$Y$5:$Y$1204,Sales!$F$5:$F$1204,C194,Sales!$R$5:$R$1204,B194,Sales!$H$5:$H$1204,"Service"),2))</f>
        <v>0</v>
      </c>
      <c r="L194" s="26">
        <f>IF(B194="","",ROUND(SUMIFS(Sales!$W$5:$W$1204,Sales!$F$5:$F$1204,C194,Sales!$R$5:$R$1204,B194,Sales!$H$5:$H$1204,"Service"),2))</f>
        <v>0</v>
      </c>
      <c r="M194" s="26">
        <f>IF(B194="","",ROUND(SUMIFS(Sales!$Y$5:$Y$1204,Sales!$F$5:$F$1204,C194,Sales!$R$5:$R$1204,B194,Sales!$H$5:$H$1204,"Retail"),2))</f>
        <v>0</v>
      </c>
      <c r="N194" s="26">
        <f>IF(B194="","",ROUND(SUMIFS(Sales!$W$5:$W$1204,Sales!$F$5:$F$1204,C194,Sales!$R$5:$R$1204,B194,Sales!$H$5:$H$1204,"Retail"),2))</f>
        <v>0</v>
      </c>
      <c r="O194" s="26">
        <f>IF(B194="","",ROUND(SUMIFS(Sales!$AB$5:$AB$1204,Sales!$F$5:$F$1204,C194,Sales!$R$5:$R$1204,B194,Sales!$H$5:$H$1204,"Service"),2))</f>
        <v>0</v>
      </c>
      <c r="P194" s="25">
        <f>IF(B194="","",COUNTIFS(Sales!$F$5:$F$1204,C194,Sales!$R$5:$R$1204,B194,Sales!$H$5:$H$1204,"Service"))</f>
        <v>0</v>
      </c>
      <c r="Q194" s="26">
        <f>IF(B194="","",IF(CommissionOn="Gross before discounts",L194,K194))</f>
        <v>0</v>
      </c>
      <c r="R194" s="26">
        <f>IF(B194="","",IF(CommissionOn="Gross before discounts",N194,M194))</f>
        <v>0</v>
      </c>
      <c r="S194" s="27">
        <f>IF(B194="","",IF(E194="Tiered on monthly service revenue",IFERROR(INDEX(TierRate,MATCH(Q194,TierFrom,1)),0),IFERROR(IF(INDEX(Staff!$M$5:$M$44,MATCH(C194,Staff!$A$5:$A$44,0))="",ServiceCommission,INDEX(Staff!$M$5:$M$44,MATCH(C194,Staff!$A$5:$A$44,0))),ServiceCommission)))</f>
        <v>0</v>
      </c>
      <c r="T194" s="27">
        <f>IF(B194="","",IFERROR(IF(INDEX(Staff!$N$5:$N$44,MATCH(C194,Staff!$A$5:$A$44,0))="",RetailCommission,INDEX(Staff!$N$5:$N$44,MATCH(C194,Staff!$A$5:$A$44,0))),RetailCommission))</f>
        <v>0</v>
      </c>
      <c r="U194" s="26">
        <f>IF(B194="","",IFERROR(INDEX(Staff!$O$5:$O$44,MATCH(C194,Staff!$A$5:$A$44,0))*1,0))</f>
        <v>0</v>
      </c>
      <c r="V194" s="26">
        <f>IF(B194="","",ROUND(IF(E194="Percent of service",Q194*S194,IF(E194="Percent of service and retail",Q194*S194+R194*T194,IF(E194="Percent after product cost",MAX(0,Q194-O194)*S194,IF(E194="Tiered on monthly service revenue",Q194*S194,IF(E194="Flat amount per service",P194*U194,0))))),2))</f>
        <v>0</v>
      </c>
      <c r="W194" s="26">
        <f>IF(B194="","",ROUND(SUMIFS(Payments!$G$5:$G$1204,Payments!$J$5:$J$1204,C194,Payments!$O$5:$O$1204,B194,Payments!$E$5:$E$1204,"Tip"),2))</f>
        <v>0</v>
      </c>
      <c r="X194" s="26">
        <f>IF(B194="","",ROUND(V194+IF(F194="",0,F194)+IF(G194="",0,G194),2))</f>
        <v>0</v>
      </c>
      <c r="Y194" s="27">
        <f>IF(B194="","",IF(Q194+R194=0,"",X194/(Q194+R194)))</f>
        <v>0</v>
      </c>
      <c r="Z194" s="25">
        <f>IF(B194="","",COUNTIFS($V$5:$V$244,"&gt;"&amp;V194)+COUNTIFS($V$5:V194,V194))</f>
        <v>0</v>
      </c>
      <c r="AA194" s="39">
        <f>IF(B194="","",IF(C194="","Add - whose commission is this?",IF(COUNTIFS($B$5:$B$244,B194,$C$5:$C$244,C194)&gt;1,"Duplicate - two rows for the same month",IF(E194="None","",IF(E194="Rent a chair","",IF(E194="Hourly only","",IF(X194=0,"Check - nothing calculated",IF(H194&lt;&gt;"Yes","Due - waiting for approval",IF(I194="","Due - approved but not paid","OK")))))))))</f>
        <v>0</v>
      </c>
    </row>
    <row r="195" spans="1:27">
      <c r="A195" s="28">
        <f>IF(B195="","",CommissionPrefix&amp;TEXT(ROW()-4,"0000"))</f>
        <v>0</v>
      </c>
      <c r="D195" s="15">
        <f>IF(C195="","",IFERROR(INDEX(Staff!$B$5:$B$44,MATCH(C195,Staff!$A$5:$A$44,0)),"Not in Staff"))</f>
        <v>0</v>
      </c>
      <c r="E195" s="15">
        <f>IF(C195="","",IFERROR(INDEX(Staff!$L$5:$L$44,MATCH(C195,Staff!$A$5:$A$44,0)),"None"))</f>
        <v>0</v>
      </c>
      <c r="K195" s="26">
        <f>IF(B195="","",ROUND(SUMIFS(Sales!$Y$5:$Y$1204,Sales!$F$5:$F$1204,C195,Sales!$R$5:$R$1204,B195,Sales!$H$5:$H$1204,"Service"),2))</f>
        <v>0</v>
      </c>
      <c r="L195" s="26">
        <f>IF(B195="","",ROUND(SUMIFS(Sales!$W$5:$W$1204,Sales!$F$5:$F$1204,C195,Sales!$R$5:$R$1204,B195,Sales!$H$5:$H$1204,"Service"),2))</f>
        <v>0</v>
      </c>
      <c r="M195" s="26">
        <f>IF(B195="","",ROUND(SUMIFS(Sales!$Y$5:$Y$1204,Sales!$F$5:$F$1204,C195,Sales!$R$5:$R$1204,B195,Sales!$H$5:$H$1204,"Retail"),2))</f>
        <v>0</v>
      </c>
      <c r="N195" s="26">
        <f>IF(B195="","",ROUND(SUMIFS(Sales!$W$5:$W$1204,Sales!$F$5:$F$1204,C195,Sales!$R$5:$R$1204,B195,Sales!$H$5:$H$1204,"Retail"),2))</f>
        <v>0</v>
      </c>
      <c r="O195" s="26">
        <f>IF(B195="","",ROUND(SUMIFS(Sales!$AB$5:$AB$1204,Sales!$F$5:$F$1204,C195,Sales!$R$5:$R$1204,B195,Sales!$H$5:$H$1204,"Service"),2))</f>
        <v>0</v>
      </c>
      <c r="P195" s="25">
        <f>IF(B195="","",COUNTIFS(Sales!$F$5:$F$1204,C195,Sales!$R$5:$R$1204,B195,Sales!$H$5:$H$1204,"Service"))</f>
        <v>0</v>
      </c>
      <c r="Q195" s="26">
        <f>IF(B195="","",IF(CommissionOn="Gross before discounts",L195,K195))</f>
        <v>0</v>
      </c>
      <c r="R195" s="26">
        <f>IF(B195="","",IF(CommissionOn="Gross before discounts",N195,M195))</f>
        <v>0</v>
      </c>
      <c r="S195" s="27">
        <f>IF(B195="","",IF(E195="Tiered on monthly service revenue",IFERROR(INDEX(TierRate,MATCH(Q195,TierFrom,1)),0),IFERROR(IF(INDEX(Staff!$M$5:$M$44,MATCH(C195,Staff!$A$5:$A$44,0))="",ServiceCommission,INDEX(Staff!$M$5:$M$44,MATCH(C195,Staff!$A$5:$A$44,0))),ServiceCommission)))</f>
        <v>0</v>
      </c>
      <c r="T195" s="27">
        <f>IF(B195="","",IFERROR(IF(INDEX(Staff!$N$5:$N$44,MATCH(C195,Staff!$A$5:$A$44,0))="",RetailCommission,INDEX(Staff!$N$5:$N$44,MATCH(C195,Staff!$A$5:$A$44,0))),RetailCommission))</f>
        <v>0</v>
      </c>
      <c r="U195" s="26">
        <f>IF(B195="","",IFERROR(INDEX(Staff!$O$5:$O$44,MATCH(C195,Staff!$A$5:$A$44,0))*1,0))</f>
        <v>0</v>
      </c>
      <c r="V195" s="26">
        <f>IF(B195="","",ROUND(IF(E195="Percent of service",Q195*S195,IF(E195="Percent of service and retail",Q195*S195+R195*T195,IF(E195="Percent after product cost",MAX(0,Q195-O195)*S195,IF(E195="Tiered on monthly service revenue",Q195*S195,IF(E195="Flat amount per service",P195*U195,0))))),2))</f>
        <v>0</v>
      </c>
      <c r="W195" s="26">
        <f>IF(B195="","",ROUND(SUMIFS(Payments!$G$5:$G$1204,Payments!$J$5:$J$1204,C195,Payments!$O$5:$O$1204,B195,Payments!$E$5:$E$1204,"Tip"),2))</f>
        <v>0</v>
      </c>
      <c r="X195" s="26">
        <f>IF(B195="","",ROUND(V195+IF(F195="",0,F195)+IF(G195="",0,G195),2))</f>
        <v>0</v>
      </c>
      <c r="Y195" s="27">
        <f>IF(B195="","",IF(Q195+R195=0,"",X195/(Q195+R195)))</f>
        <v>0</v>
      </c>
      <c r="Z195" s="25">
        <f>IF(B195="","",COUNTIFS($V$5:$V$244,"&gt;"&amp;V195)+COUNTIFS($V$5:V195,V195))</f>
        <v>0</v>
      </c>
      <c r="AA195" s="39">
        <f>IF(B195="","",IF(C195="","Add - whose commission is this?",IF(COUNTIFS($B$5:$B$244,B195,$C$5:$C$244,C195)&gt;1,"Duplicate - two rows for the same month",IF(E195="None","",IF(E195="Rent a chair","",IF(E195="Hourly only","",IF(X195=0,"Check - nothing calculated",IF(H195&lt;&gt;"Yes","Due - waiting for approval",IF(I195="","Due - approved but not paid","OK")))))))))</f>
        <v>0</v>
      </c>
    </row>
    <row r="196" spans="1:27">
      <c r="A196" s="28">
        <f>IF(B196="","",CommissionPrefix&amp;TEXT(ROW()-4,"0000"))</f>
        <v>0</v>
      </c>
      <c r="D196" s="15">
        <f>IF(C196="","",IFERROR(INDEX(Staff!$B$5:$B$44,MATCH(C196,Staff!$A$5:$A$44,0)),"Not in Staff"))</f>
        <v>0</v>
      </c>
      <c r="E196" s="15">
        <f>IF(C196="","",IFERROR(INDEX(Staff!$L$5:$L$44,MATCH(C196,Staff!$A$5:$A$44,0)),"None"))</f>
        <v>0</v>
      </c>
      <c r="K196" s="26">
        <f>IF(B196="","",ROUND(SUMIFS(Sales!$Y$5:$Y$1204,Sales!$F$5:$F$1204,C196,Sales!$R$5:$R$1204,B196,Sales!$H$5:$H$1204,"Service"),2))</f>
        <v>0</v>
      </c>
      <c r="L196" s="26">
        <f>IF(B196="","",ROUND(SUMIFS(Sales!$W$5:$W$1204,Sales!$F$5:$F$1204,C196,Sales!$R$5:$R$1204,B196,Sales!$H$5:$H$1204,"Service"),2))</f>
        <v>0</v>
      </c>
      <c r="M196" s="26">
        <f>IF(B196="","",ROUND(SUMIFS(Sales!$Y$5:$Y$1204,Sales!$F$5:$F$1204,C196,Sales!$R$5:$R$1204,B196,Sales!$H$5:$H$1204,"Retail"),2))</f>
        <v>0</v>
      </c>
      <c r="N196" s="26">
        <f>IF(B196="","",ROUND(SUMIFS(Sales!$W$5:$W$1204,Sales!$F$5:$F$1204,C196,Sales!$R$5:$R$1204,B196,Sales!$H$5:$H$1204,"Retail"),2))</f>
        <v>0</v>
      </c>
      <c r="O196" s="26">
        <f>IF(B196="","",ROUND(SUMIFS(Sales!$AB$5:$AB$1204,Sales!$F$5:$F$1204,C196,Sales!$R$5:$R$1204,B196,Sales!$H$5:$H$1204,"Service"),2))</f>
        <v>0</v>
      </c>
      <c r="P196" s="25">
        <f>IF(B196="","",COUNTIFS(Sales!$F$5:$F$1204,C196,Sales!$R$5:$R$1204,B196,Sales!$H$5:$H$1204,"Service"))</f>
        <v>0</v>
      </c>
      <c r="Q196" s="26">
        <f>IF(B196="","",IF(CommissionOn="Gross before discounts",L196,K196))</f>
        <v>0</v>
      </c>
      <c r="R196" s="26">
        <f>IF(B196="","",IF(CommissionOn="Gross before discounts",N196,M196))</f>
        <v>0</v>
      </c>
      <c r="S196" s="27">
        <f>IF(B196="","",IF(E196="Tiered on monthly service revenue",IFERROR(INDEX(TierRate,MATCH(Q196,TierFrom,1)),0),IFERROR(IF(INDEX(Staff!$M$5:$M$44,MATCH(C196,Staff!$A$5:$A$44,0))="",ServiceCommission,INDEX(Staff!$M$5:$M$44,MATCH(C196,Staff!$A$5:$A$44,0))),ServiceCommission)))</f>
        <v>0</v>
      </c>
      <c r="T196" s="27">
        <f>IF(B196="","",IFERROR(IF(INDEX(Staff!$N$5:$N$44,MATCH(C196,Staff!$A$5:$A$44,0))="",RetailCommission,INDEX(Staff!$N$5:$N$44,MATCH(C196,Staff!$A$5:$A$44,0))),RetailCommission))</f>
        <v>0</v>
      </c>
      <c r="U196" s="26">
        <f>IF(B196="","",IFERROR(INDEX(Staff!$O$5:$O$44,MATCH(C196,Staff!$A$5:$A$44,0))*1,0))</f>
        <v>0</v>
      </c>
      <c r="V196" s="26">
        <f>IF(B196="","",ROUND(IF(E196="Percent of service",Q196*S196,IF(E196="Percent of service and retail",Q196*S196+R196*T196,IF(E196="Percent after product cost",MAX(0,Q196-O196)*S196,IF(E196="Tiered on monthly service revenue",Q196*S196,IF(E196="Flat amount per service",P196*U196,0))))),2))</f>
        <v>0</v>
      </c>
      <c r="W196" s="26">
        <f>IF(B196="","",ROUND(SUMIFS(Payments!$G$5:$G$1204,Payments!$J$5:$J$1204,C196,Payments!$O$5:$O$1204,B196,Payments!$E$5:$E$1204,"Tip"),2))</f>
        <v>0</v>
      </c>
      <c r="X196" s="26">
        <f>IF(B196="","",ROUND(V196+IF(F196="",0,F196)+IF(G196="",0,G196),2))</f>
        <v>0</v>
      </c>
      <c r="Y196" s="27">
        <f>IF(B196="","",IF(Q196+R196=0,"",X196/(Q196+R196)))</f>
        <v>0</v>
      </c>
      <c r="Z196" s="25">
        <f>IF(B196="","",COUNTIFS($V$5:$V$244,"&gt;"&amp;V196)+COUNTIFS($V$5:V196,V196))</f>
        <v>0</v>
      </c>
      <c r="AA196" s="39">
        <f>IF(B196="","",IF(C196="","Add - whose commission is this?",IF(COUNTIFS($B$5:$B$244,B196,$C$5:$C$244,C196)&gt;1,"Duplicate - two rows for the same month",IF(E196="None","",IF(E196="Rent a chair","",IF(E196="Hourly only","",IF(X196=0,"Check - nothing calculated",IF(H196&lt;&gt;"Yes","Due - waiting for approval",IF(I196="","Due - approved but not paid","OK")))))))))</f>
        <v>0</v>
      </c>
    </row>
    <row r="197" spans="1:27">
      <c r="A197" s="28">
        <f>IF(B197="","",CommissionPrefix&amp;TEXT(ROW()-4,"0000"))</f>
        <v>0</v>
      </c>
      <c r="D197" s="15">
        <f>IF(C197="","",IFERROR(INDEX(Staff!$B$5:$B$44,MATCH(C197,Staff!$A$5:$A$44,0)),"Not in Staff"))</f>
        <v>0</v>
      </c>
      <c r="E197" s="15">
        <f>IF(C197="","",IFERROR(INDEX(Staff!$L$5:$L$44,MATCH(C197,Staff!$A$5:$A$44,0)),"None"))</f>
        <v>0</v>
      </c>
      <c r="K197" s="26">
        <f>IF(B197="","",ROUND(SUMIFS(Sales!$Y$5:$Y$1204,Sales!$F$5:$F$1204,C197,Sales!$R$5:$R$1204,B197,Sales!$H$5:$H$1204,"Service"),2))</f>
        <v>0</v>
      </c>
      <c r="L197" s="26">
        <f>IF(B197="","",ROUND(SUMIFS(Sales!$W$5:$W$1204,Sales!$F$5:$F$1204,C197,Sales!$R$5:$R$1204,B197,Sales!$H$5:$H$1204,"Service"),2))</f>
        <v>0</v>
      </c>
      <c r="M197" s="26">
        <f>IF(B197="","",ROUND(SUMIFS(Sales!$Y$5:$Y$1204,Sales!$F$5:$F$1204,C197,Sales!$R$5:$R$1204,B197,Sales!$H$5:$H$1204,"Retail"),2))</f>
        <v>0</v>
      </c>
      <c r="N197" s="26">
        <f>IF(B197="","",ROUND(SUMIFS(Sales!$W$5:$W$1204,Sales!$F$5:$F$1204,C197,Sales!$R$5:$R$1204,B197,Sales!$H$5:$H$1204,"Retail"),2))</f>
        <v>0</v>
      </c>
      <c r="O197" s="26">
        <f>IF(B197="","",ROUND(SUMIFS(Sales!$AB$5:$AB$1204,Sales!$F$5:$F$1204,C197,Sales!$R$5:$R$1204,B197,Sales!$H$5:$H$1204,"Service"),2))</f>
        <v>0</v>
      </c>
      <c r="P197" s="25">
        <f>IF(B197="","",COUNTIFS(Sales!$F$5:$F$1204,C197,Sales!$R$5:$R$1204,B197,Sales!$H$5:$H$1204,"Service"))</f>
        <v>0</v>
      </c>
      <c r="Q197" s="26">
        <f>IF(B197="","",IF(CommissionOn="Gross before discounts",L197,K197))</f>
        <v>0</v>
      </c>
      <c r="R197" s="26">
        <f>IF(B197="","",IF(CommissionOn="Gross before discounts",N197,M197))</f>
        <v>0</v>
      </c>
      <c r="S197" s="27">
        <f>IF(B197="","",IF(E197="Tiered on monthly service revenue",IFERROR(INDEX(TierRate,MATCH(Q197,TierFrom,1)),0),IFERROR(IF(INDEX(Staff!$M$5:$M$44,MATCH(C197,Staff!$A$5:$A$44,0))="",ServiceCommission,INDEX(Staff!$M$5:$M$44,MATCH(C197,Staff!$A$5:$A$44,0))),ServiceCommission)))</f>
        <v>0</v>
      </c>
      <c r="T197" s="27">
        <f>IF(B197="","",IFERROR(IF(INDEX(Staff!$N$5:$N$44,MATCH(C197,Staff!$A$5:$A$44,0))="",RetailCommission,INDEX(Staff!$N$5:$N$44,MATCH(C197,Staff!$A$5:$A$44,0))),RetailCommission))</f>
        <v>0</v>
      </c>
      <c r="U197" s="26">
        <f>IF(B197="","",IFERROR(INDEX(Staff!$O$5:$O$44,MATCH(C197,Staff!$A$5:$A$44,0))*1,0))</f>
        <v>0</v>
      </c>
      <c r="V197" s="26">
        <f>IF(B197="","",ROUND(IF(E197="Percent of service",Q197*S197,IF(E197="Percent of service and retail",Q197*S197+R197*T197,IF(E197="Percent after product cost",MAX(0,Q197-O197)*S197,IF(E197="Tiered on monthly service revenue",Q197*S197,IF(E197="Flat amount per service",P197*U197,0))))),2))</f>
        <v>0</v>
      </c>
      <c r="W197" s="26">
        <f>IF(B197="","",ROUND(SUMIFS(Payments!$G$5:$G$1204,Payments!$J$5:$J$1204,C197,Payments!$O$5:$O$1204,B197,Payments!$E$5:$E$1204,"Tip"),2))</f>
        <v>0</v>
      </c>
      <c r="X197" s="26">
        <f>IF(B197="","",ROUND(V197+IF(F197="",0,F197)+IF(G197="",0,G197),2))</f>
        <v>0</v>
      </c>
      <c r="Y197" s="27">
        <f>IF(B197="","",IF(Q197+R197=0,"",X197/(Q197+R197)))</f>
        <v>0</v>
      </c>
      <c r="Z197" s="25">
        <f>IF(B197="","",COUNTIFS($V$5:$V$244,"&gt;"&amp;V197)+COUNTIFS($V$5:V197,V197))</f>
        <v>0</v>
      </c>
      <c r="AA197" s="39">
        <f>IF(B197="","",IF(C197="","Add - whose commission is this?",IF(COUNTIFS($B$5:$B$244,B197,$C$5:$C$244,C197)&gt;1,"Duplicate - two rows for the same month",IF(E197="None","",IF(E197="Rent a chair","",IF(E197="Hourly only","",IF(X197=0,"Check - nothing calculated",IF(H197&lt;&gt;"Yes","Due - waiting for approval",IF(I197="","Due - approved but not paid","OK")))))))))</f>
        <v>0</v>
      </c>
    </row>
    <row r="198" spans="1:27">
      <c r="A198" s="28">
        <f>IF(B198="","",CommissionPrefix&amp;TEXT(ROW()-4,"0000"))</f>
        <v>0</v>
      </c>
      <c r="D198" s="15">
        <f>IF(C198="","",IFERROR(INDEX(Staff!$B$5:$B$44,MATCH(C198,Staff!$A$5:$A$44,0)),"Not in Staff"))</f>
        <v>0</v>
      </c>
      <c r="E198" s="15">
        <f>IF(C198="","",IFERROR(INDEX(Staff!$L$5:$L$44,MATCH(C198,Staff!$A$5:$A$44,0)),"None"))</f>
        <v>0</v>
      </c>
      <c r="K198" s="26">
        <f>IF(B198="","",ROUND(SUMIFS(Sales!$Y$5:$Y$1204,Sales!$F$5:$F$1204,C198,Sales!$R$5:$R$1204,B198,Sales!$H$5:$H$1204,"Service"),2))</f>
        <v>0</v>
      </c>
      <c r="L198" s="26">
        <f>IF(B198="","",ROUND(SUMIFS(Sales!$W$5:$W$1204,Sales!$F$5:$F$1204,C198,Sales!$R$5:$R$1204,B198,Sales!$H$5:$H$1204,"Service"),2))</f>
        <v>0</v>
      </c>
      <c r="M198" s="26">
        <f>IF(B198="","",ROUND(SUMIFS(Sales!$Y$5:$Y$1204,Sales!$F$5:$F$1204,C198,Sales!$R$5:$R$1204,B198,Sales!$H$5:$H$1204,"Retail"),2))</f>
        <v>0</v>
      </c>
      <c r="N198" s="26">
        <f>IF(B198="","",ROUND(SUMIFS(Sales!$W$5:$W$1204,Sales!$F$5:$F$1204,C198,Sales!$R$5:$R$1204,B198,Sales!$H$5:$H$1204,"Retail"),2))</f>
        <v>0</v>
      </c>
      <c r="O198" s="26">
        <f>IF(B198="","",ROUND(SUMIFS(Sales!$AB$5:$AB$1204,Sales!$F$5:$F$1204,C198,Sales!$R$5:$R$1204,B198,Sales!$H$5:$H$1204,"Service"),2))</f>
        <v>0</v>
      </c>
      <c r="P198" s="25">
        <f>IF(B198="","",COUNTIFS(Sales!$F$5:$F$1204,C198,Sales!$R$5:$R$1204,B198,Sales!$H$5:$H$1204,"Service"))</f>
        <v>0</v>
      </c>
      <c r="Q198" s="26">
        <f>IF(B198="","",IF(CommissionOn="Gross before discounts",L198,K198))</f>
        <v>0</v>
      </c>
      <c r="R198" s="26">
        <f>IF(B198="","",IF(CommissionOn="Gross before discounts",N198,M198))</f>
        <v>0</v>
      </c>
      <c r="S198" s="27">
        <f>IF(B198="","",IF(E198="Tiered on monthly service revenue",IFERROR(INDEX(TierRate,MATCH(Q198,TierFrom,1)),0),IFERROR(IF(INDEX(Staff!$M$5:$M$44,MATCH(C198,Staff!$A$5:$A$44,0))="",ServiceCommission,INDEX(Staff!$M$5:$M$44,MATCH(C198,Staff!$A$5:$A$44,0))),ServiceCommission)))</f>
        <v>0</v>
      </c>
      <c r="T198" s="27">
        <f>IF(B198="","",IFERROR(IF(INDEX(Staff!$N$5:$N$44,MATCH(C198,Staff!$A$5:$A$44,0))="",RetailCommission,INDEX(Staff!$N$5:$N$44,MATCH(C198,Staff!$A$5:$A$44,0))),RetailCommission))</f>
        <v>0</v>
      </c>
      <c r="U198" s="26">
        <f>IF(B198="","",IFERROR(INDEX(Staff!$O$5:$O$44,MATCH(C198,Staff!$A$5:$A$44,0))*1,0))</f>
        <v>0</v>
      </c>
      <c r="V198" s="26">
        <f>IF(B198="","",ROUND(IF(E198="Percent of service",Q198*S198,IF(E198="Percent of service and retail",Q198*S198+R198*T198,IF(E198="Percent after product cost",MAX(0,Q198-O198)*S198,IF(E198="Tiered on monthly service revenue",Q198*S198,IF(E198="Flat amount per service",P198*U198,0))))),2))</f>
        <v>0</v>
      </c>
      <c r="W198" s="26">
        <f>IF(B198="","",ROUND(SUMIFS(Payments!$G$5:$G$1204,Payments!$J$5:$J$1204,C198,Payments!$O$5:$O$1204,B198,Payments!$E$5:$E$1204,"Tip"),2))</f>
        <v>0</v>
      </c>
      <c r="X198" s="26">
        <f>IF(B198="","",ROUND(V198+IF(F198="",0,F198)+IF(G198="",0,G198),2))</f>
        <v>0</v>
      </c>
      <c r="Y198" s="27">
        <f>IF(B198="","",IF(Q198+R198=0,"",X198/(Q198+R198)))</f>
        <v>0</v>
      </c>
      <c r="Z198" s="25">
        <f>IF(B198="","",COUNTIFS($V$5:$V$244,"&gt;"&amp;V198)+COUNTIFS($V$5:V198,V198))</f>
        <v>0</v>
      </c>
      <c r="AA198" s="39">
        <f>IF(B198="","",IF(C198="","Add - whose commission is this?",IF(COUNTIFS($B$5:$B$244,B198,$C$5:$C$244,C198)&gt;1,"Duplicate - two rows for the same month",IF(E198="None","",IF(E198="Rent a chair","",IF(E198="Hourly only","",IF(X198=0,"Check - nothing calculated",IF(H198&lt;&gt;"Yes","Due - waiting for approval",IF(I198="","Due - approved but not paid","OK")))))))))</f>
        <v>0</v>
      </c>
    </row>
    <row r="199" spans="1:27">
      <c r="A199" s="28">
        <f>IF(B199="","",CommissionPrefix&amp;TEXT(ROW()-4,"0000"))</f>
        <v>0</v>
      </c>
      <c r="D199" s="15">
        <f>IF(C199="","",IFERROR(INDEX(Staff!$B$5:$B$44,MATCH(C199,Staff!$A$5:$A$44,0)),"Not in Staff"))</f>
        <v>0</v>
      </c>
      <c r="E199" s="15">
        <f>IF(C199="","",IFERROR(INDEX(Staff!$L$5:$L$44,MATCH(C199,Staff!$A$5:$A$44,0)),"None"))</f>
        <v>0</v>
      </c>
      <c r="K199" s="26">
        <f>IF(B199="","",ROUND(SUMIFS(Sales!$Y$5:$Y$1204,Sales!$F$5:$F$1204,C199,Sales!$R$5:$R$1204,B199,Sales!$H$5:$H$1204,"Service"),2))</f>
        <v>0</v>
      </c>
      <c r="L199" s="26">
        <f>IF(B199="","",ROUND(SUMIFS(Sales!$W$5:$W$1204,Sales!$F$5:$F$1204,C199,Sales!$R$5:$R$1204,B199,Sales!$H$5:$H$1204,"Service"),2))</f>
        <v>0</v>
      </c>
      <c r="M199" s="26">
        <f>IF(B199="","",ROUND(SUMIFS(Sales!$Y$5:$Y$1204,Sales!$F$5:$F$1204,C199,Sales!$R$5:$R$1204,B199,Sales!$H$5:$H$1204,"Retail"),2))</f>
        <v>0</v>
      </c>
      <c r="N199" s="26">
        <f>IF(B199="","",ROUND(SUMIFS(Sales!$W$5:$W$1204,Sales!$F$5:$F$1204,C199,Sales!$R$5:$R$1204,B199,Sales!$H$5:$H$1204,"Retail"),2))</f>
        <v>0</v>
      </c>
      <c r="O199" s="26">
        <f>IF(B199="","",ROUND(SUMIFS(Sales!$AB$5:$AB$1204,Sales!$F$5:$F$1204,C199,Sales!$R$5:$R$1204,B199,Sales!$H$5:$H$1204,"Service"),2))</f>
        <v>0</v>
      </c>
      <c r="P199" s="25">
        <f>IF(B199="","",COUNTIFS(Sales!$F$5:$F$1204,C199,Sales!$R$5:$R$1204,B199,Sales!$H$5:$H$1204,"Service"))</f>
        <v>0</v>
      </c>
      <c r="Q199" s="26">
        <f>IF(B199="","",IF(CommissionOn="Gross before discounts",L199,K199))</f>
        <v>0</v>
      </c>
      <c r="R199" s="26">
        <f>IF(B199="","",IF(CommissionOn="Gross before discounts",N199,M199))</f>
        <v>0</v>
      </c>
      <c r="S199" s="27">
        <f>IF(B199="","",IF(E199="Tiered on monthly service revenue",IFERROR(INDEX(TierRate,MATCH(Q199,TierFrom,1)),0),IFERROR(IF(INDEX(Staff!$M$5:$M$44,MATCH(C199,Staff!$A$5:$A$44,0))="",ServiceCommission,INDEX(Staff!$M$5:$M$44,MATCH(C199,Staff!$A$5:$A$44,0))),ServiceCommission)))</f>
        <v>0</v>
      </c>
      <c r="T199" s="27">
        <f>IF(B199="","",IFERROR(IF(INDEX(Staff!$N$5:$N$44,MATCH(C199,Staff!$A$5:$A$44,0))="",RetailCommission,INDEX(Staff!$N$5:$N$44,MATCH(C199,Staff!$A$5:$A$44,0))),RetailCommission))</f>
        <v>0</v>
      </c>
      <c r="U199" s="26">
        <f>IF(B199="","",IFERROR(INDEX(Staff!$O$5:$O$44,MATCH(C199,Staff!$A$5:$A$44,0))*1,0))</f>
        <v>0</v>
      </c>
      <c r="V199" s="26">
        <f>IF(B199="","",ROUND(IF(E199="Percent of service",Q199*S199,IF(E199="Percent of service and retail",Q199*S199+R199*T199,IF(E199="Percent after product cost",MAX(0,Q199-O199)*S199,IF(E199="Tiered on monthly service revenue",Q199*S199,IF(E199="Flat amount per service",P199*U199,0))))),2))</f>
        <v>0</v>
      </c>
      <c r="W199" s="26">
        <f>IF(B199="","",ROUND(SUMIFS(Payments!$G$5:$G$1204,Payments!$J$5:$J$1204,C199,Payments!$O$5:$O$1204,B199,Payments!$E$5:$E$1204,"Tip"),2))</f>
        <v>0</v>
      </c>
      <c r="X199" s="26">
        <f>IF(B199="","",ROUND(V199+IF(F199="",0,F199)+IF(G199="",0,G199),2))</f>
        <v>0</v>
      </c>
      <c r="Y199" s="27">
        <f>IF(B199="","",IF(Q199+R199=0,"",X199/(Q199+R199)))</f>
        <v>0</v>
      </c>
      <c r="Z199" s="25">
        <f>IF(B199="","",COUNTIFS($V$5:$V$244,"&gt;"&amp;V199)+COUNTIFS($V$5:V199,V199))</f>
        <v>0</v>
      </c>
      <c r="AA199" s="39">
        <f>IF(B199="","",IF(C199="","Add - whose commission is this?",IF(COUNTIFS($B$5:$B$244,B199,$C$5:$C$244,C199)&gt;1,"Duplicate - two rows for the same month",IF(E199="None","",IF(E199="Rent a chair","",IF(E199="Hourly only","",IF(X199=0,"Check - nothing calculated",IF(H199&lt;&gt;"Yes","Due - waiting for approval",IF(I199="","Due - approved but not paid","OK")))))))))</f>
        <v>0</v>
      </c>
    </row>
    <row r="200" spans="1:27">
      <c r="A200" s="28">
        <f>IF(B200="","",CommissionPrefix&amp;TEXT(ROW()-4,"0000"))</f>
        <v>0</v>
      </c>
      <c r="D200" s="15">
        <f>IF(C200="","",IFERROR(INDEX(Staff!$B$5:$B$44,MATCH(C200,Staff!$A$5:$A$44,0)),"Not in Staff"))</f>
        <v>0</v>
      </c>
      <c r="E200" s="15">
        <f>IF(C200="","",IFERROR(INDEX(Staff!$L$5:$L$44,MATCH(C200,Staff!$A$5:$A$44,0)),"None"))</f>
        <v>0</v>
      </c>
      <c r="K200" s="26">
        <f>IF(B200="","",ROUND(SUMIFS(Sales!$Y$5:$Y$1204,Sales!$F$5:$F$1204,C200,Sales!$R$5:$R$1204,B200,Sales!$H$5:$H$1204,"Service"),2))</f>
        <v>0</v>
      </c>
      <c r="L200" s="26">
        <f>IF(B200="","",ROUND(SUMIFS(Sales!$W$5:$W$1204,Sales!$F$5:$F$1204,C200,Sales!$R$5:$R$1204,B200,Sales!$H$5:$H$1204,"Service"),2))</f>
        <v>0</v>
      </c>
      <c r="M200" s="26">
        <f>IF(B200="","",ROUND(SUMIFS(Sales!$Y$5:$Y$1204,Sales!$F$5:$F$1204,C200,Sales!$R$5:$R$1204,B200,Sales!$H$5:$H$1204,"Retail"),2))</f>
        <v>0</v>
      </c>
      <c r="N200" s="26">
        <f>IF(B200="","",ROUND(SUMIFS(Sales!$W$5:$W$1204,Sales!$F$5:$F$1204,C200,Sales!$R$5:$R$1204,B200,Sales!$H$5:$H$1204,"Retail"),2))</f>
        <v>0</v>
      </c>
      <c r="O200" s="26">
        <f>IF(B200="","",ROUND(SUMIFS(Sales!$AB$5:$AB$1204,Sales!$F$5:$F$1204,C200,Sales!$R$5:$R$1204,B200,Sales!$H$5:$H$1204,"Service"),2))</f>
        <v>0</v>
      </c>
      <c r="P200" s="25">
        <f>IF(B200="","",COUNTIFS(Sales!$F$5:$F$1204,C200,Sales!$R$5:$R$1204,B200,Sales!$H$5:$H$1204,"Service"))</f>
        <v>0</v>
      </c>
      <c r="Q200" s="26">
        <f>IF(B200="","",IF(CommissionOn="Gross before discounts",L200,K200))</f>
        <v>0</v>
      </c>
      <c r="R200" s="26">
        <f>IF(B200="","",IF(CommissionOn="Gross before discounts",N200,M200))</f>
        <v>0</v>
      </c>
      <c r="S200" s="27">
        <f>IF(B200="","",IF(E200="Tiered on monthly service revenue",IFERROR(INDEX(TierRate,MATCH(Q200,TierFrom,1)),0),IFERROR(IF(INDEX(Staff!$M$5:$M$44,MATCH(C200,Staff!$A$5:$A$44,0))="",ServiceCommission,INDEX(Staff!$M$5:$M$44,MATCH(C200,Staff!$A$5:$A$44,0))),ServiceCommission)))</f>
        <v>0</v>
      </c>
      <c r="T200" s="27">
        <f>IF(B200="","",IFERROR(IF(INDEX(Staff!$N$5:$N$44,MATCH(C200,Staff!$A$5:$A$44,0))="",RetailCommission,INDEX(Staff!$N$5:$N$44,MATCH(C200,Staff!$A$5:$A$44,0))),RetailCommission))</f>
        <v>0</v>
      </c>
      <c r="U200" s="26">
        <f>IF(B200="","",IFERROR(INDEX(Staff!$O$5:$O$44,MATCH(C200,Staff!$A$5:$A$44,0))*1,0))</f>
        <v>0</v>
      </c>
      <c r="V200" s="26">
        <f>IF(B200="","",ROUND(IF(E200="Percent of service",Q200*S200,IF(E200="Percent of service and retail",Q200*S200+R200*T200,IF(E200="Percent after product cost",MAX(0,Q200-O200)*S200,IF(E200="Tiered on monthly service revenue",Q200*S200,IF(E200="Flat amount per service",P200*U200,0))))),2))</f>
        <v>0</v>
      </c>
      <c r="W200" s="26">
        <f>IF(B200="","",ROUND(SUMIFS(Payments!$G$5:$G$1204,Payments!$J$5:$J$1204,C200,Payments!$O$5:$O$1204,B200,Payments!$E$5:$E$1204,"Tip"),2))</f>
        <v>0</v>
      </c>
      <c r="X200" s="26">
        <f>IF(B200="","",ROUND(V200+IF(F200="",0,F200)+IF(G200="",0,G200),2))</f>
        <v>0</v>
      </c>
      <c r="Y200" s="27">
        <f>IF(B200="","",IF(Q200+R200=0,"",X200/(Q200+R200)))</f>
        <v>0</v>
      </c>
      <c r="Z200" s="25">
        <f>IF(B200="","",COUNTIFS($V$5:$V$244,"&gt;"&amp;V200)+COUNTIFS($V$5:V200,V200))</f>
        <v>0</v>
      </c>
      <c r="AA200" s="39">
        <f>IF(B200="","",IF(C200="","Add - whose commission is this?",IF(COUNTIFS($B$5:$B$244,B200,$C$5:$C$244,C200)&gt;1,"Duplicate - two rows for the same month",IF(E200="None","",IF(E200="Rent a chair","",IF(E200="Hourly only","",IF(X200=0,"Check - nothing calculated",IF(H200&lt;&gt;"Yes","Due - waiting for approval",IF(I200="","Due - approved but not paid","OK")))))))))</f>
        <v>0</v>
      </c>
    </row>
    <row r="201" spans="1:27">
      <c r="A201" s="28">
        <f>IF(B201="","",CommissionPrefix&amp;TEXT(ROW()-4,"0000"))</f>
        <v>0</v>
      </c>
      <c r="D201" s="15">
        <f>IF(C201="","",IFERROR(INDEX(Staff!$B$5:$B$44,MATCH(C201,Staff!$A$5:$A$44,0)),"Not in Staff"))</f>
        <v>0</v>
      </c>
      <c r="E201" s="15">
        <f>IF(C201="","",IFERROR(INDEX(Staff!$L$5:$L$44,MATCH(C201,Staff!$A$5:$A$44,0)),"None"))</f>
        <v>0</v>
      </c>
      <c r="K201" s="26">
        <f>IF(B201="","",ROUND(SUMIFS(Sales!$Y$5:$Y$1204,Sales!$F$5:$F$1204,C201,Sales!$R$5:$R$1204,B201,Sales!$H$5:$H$1204,"Service"),2))</f>
        <v>0</v>
      </c>
      <c r="L201" s="26">
        <f>IF(B201="","",ROUND(SUMIFS(Sales!$W$5:$W$1204,Sales!$F$5:$F$1204,C201,Sales!$R$5:$R$1204,B201,Sales!$H$5:$H$1204,"Service"),2))</f>
        <v>0</v>
      </c>
      <c r="M201" s="26">
        <f>IF(B201="","",ROUND(SUMIFS(Sales!$Y$5:$Y$1204,Sales!$F$5:$F$1204,C201,Sales!$R$5:$R$1204,B201,Sales!$H$5:$H$1204,"Retail"),2))</f>
        <v>0</v>
      </c>
      <c r="N201" s="26">
        <f>IF(B201="","",ROUND(SUMIFS(Sales!$W$5:$W$1204,Sales!$F$5:$F$1204,C201,Sales!$R$5:$R$1204,B201,Sales!$H$5:$H$1204,"Retail"),2))</f>
        <v>0</v>
      </c>
      <c r="O201" s="26">
        <f>IF(B201="","",ROUND(SUMIFS(Sales!$AB$5:$AB$1204,Sales!$F$5:$F$1204,C201,Sales!$R$5:$R$1204,B201,Sales!$H$5:$H$1204,"Service"),2))</f>
        <v>0</v>
      </c>
      <c r="P201" s="25">
        <f>IF(B201="","",COUNTIFS(Sales!$F$5:$F$1204,C201,Sales!$R$5:$R$1204,B201,Sales!$H$5:$H$1204,"Service"))</f>
        <v>0</v>
      </c>
      <c r="Q201" s="26">
        <f>IF(B201="","",IF(CommissionOn="Gross before discounts",L201,K201))</f>
        <v>0</v>
      </c>
      <c r="R201" s="26">
        <f>IF(B201="","",IF(CommissionOn="Gross before discounts",N201,M201))</f>
        <v>0</v>
      </c>
      <c r="S201" s="27">
        <f>IF(B201="","",IF(E201="Tiered on monthly service revenue",IFERROR(INDEX(TierRate,MATCH(Q201,TierFrom,1)),0),IFERROR(IF(INDEX(Staff!$M$5:$M$44,MATCH(C201,Staff!$A$5:$A$44,0))="",ServiceCommission,INDEX(Staff!$M$5:$M$44,MATCH(C201,Staff!$A$5:$A$44,0))),ServiceCommission)))</f>
        <v>0</v>
      </c>
      <c r="T201" s="27">
        <f>IF(B201="","",IFERROR(IF(INDEX(Staff!$N$5:$N$44,MATCH(C201,Staff!$A$5:$A$44,0))="",RetailCommission,INDEX(Staff!$N$5:$N$44,MATCH(C201,Staff!$A$5:$A$44,0))),RetailCommission))</f>
        <v>0</v>
      </c>
      <c r="U201" s="26">
        <f>IF(B201="","",IFERROR(INDEX(Staff!$O$5:$O$44,MATCH(C201,Staff!$A$5:$A$44,0))*1,0))</f>
        <v>0</v>
      </c>
      <c r="V201" s="26">
        <f>IF(B201="","",ROUND(IF(E201="Percent of service",Q201*S201,IF(E201="Percent of service and retail",Q201*S201+R201*T201,IF(E201="Percent after product cost",MAX(0,Q201-O201)*S201,IF(E201="Tiered on monthly service revenue",Q201*S201,IF(E201="Flat amount per service",P201*U201,0))))),2))</f>
        <v>0</v>
      </c>
      <c r="W201" s="26">
        <f>IF(B201="","",ROUND(SUMIFS(Payments!$G$5:$G$1204,Payments!$J$5:$J$1204,C201,Payments!$O$5:$O$1204,B201,Payments!$E$5:$E$1204,"Tip"),2))</f>
        <v>0</v>
      </c>
      <c r="X201" s="26">
        <f>IF(B201="","",ROUND(V201+IF(F201="",0,F201)+IF(G201="",0,G201),2))</f>
        <v>0</v>
      </c>
      <c r="Y201" s="27">
        <f>IF(B201="","",IF(Q201+R201=0,"",X201/(Q201+R201)))</f>
        <v>0</v>
      </c>
      <c r="Z201" s="25">
        <f>IF(B201="","",COUNTIFS($V$5:$V$244,"&gt;"&amp;V201)+COUNTIFS($V$5:V201,V201))</f>
        <v>0</v>
      </c>
      <c r="AA201" s="39">
        <f>IF(B201="","",IF(C201="","Add - whose commission is this?",IF(COUNTIFS($B$5:$B$244,B201,$C$5:$C$244,C201)&gt;1,"Duplicate - two rows for the same month",IF(E201="None","",IF(E201="Rent a chair","",IF(E201="Hourly only","",IF(X201=0,"Check - nothing calculated",IF(H201&lt;&gt;"Yes","Due - waiting for approval",IF(I201="","Due - approved but not paid","OK")))))))))</f>
        <v>0</v>
      </c>
    </row>
    <row r="202" spans="1:27">
      <c r="A202" s="28">
        <f>IF(B202="","",CommissionPrefix&amp;TEXT(ROW()-4,"0000"))</f>
        <v>0</v>
      </c>
      <c r="D202" s="15">
        <f>IF(C202="","",IFERROR(INDEX(Staff!$B$5:$B$44,MATCH(C202,Staff!$A$5:$A$44,0)),"Not in Staff"))</f>
        <v>0</v>
      </c>
      <c r="E202" s="15">
        <f>IF(C202="","",IFERROR(INDEX(Staff!$L$5:$L$44,MATCH(C202,Staff!$A$5:$A$44,0)),"None"))</f>
        <v>0</v>
      </c>
      <c r="K202" s="26">
        <f>IF(B202="","",ROUND(SUMIFS(Sales!$Y$5:$Y$1204,Sales!$F$5:$F$1204,C202,Sales!$R$5:$R$1204,B202,Sales!$H$5:$H$1204,"Service"),2))</f>
        <v>0</v>
      </c>
      <c r="L202" s="26">
        <f>IF(B202="","",ROUND(SUMIFS(Sales!$W$5:$W$1204,Sales!$F$5:$F$1204,C202,Sales!$R$5:$R$1204,B202,Sales!$H$5:$H$1204,"Service"),2))</f>
        <v>0</v>
      </c>
      <c r="M202" s="26">
        <f>IF(B202="","",ROUND(SUMIFS(Sales!$Y$5:$Y$1204,Sales!$F$5:$F$1204,C202,Sales!$R$5:$R$1204,B202,Sales!$H$5:$H$1204,"Retail"),2))</f>
        <v>0</v>
      </c>
      <c r="N202" s="26">
        <f>IF(B202="","",ROUND(SUMIFS(Sales!$W$5:$W$1204,Sales!$F$5:$F$1204,C202,Sales!$R$5:$R$1204,B202,Sales!$H$5:$H$1204,"Retail"),2))</f>
        <v>0</v>
      </c>
      <c r="O202" s="26">
        <f>IF(B202="","",ROUND(SUMIFS(Sales!$AB$5:$AB$1204,Sales!$F$5:$F$1204,C202,Sales!$R$5:$R$1204,B202,Sales!$H$5:$H$1204,"Service"),2))</f>
        <v>0</v>
      </c>
      <c r="P202" s="25">
        <f>IF(B202="","",COUNTIFS(Sales!$F$5:$F$1204,C202,Sales!$R$5:$R$1204,B202,Sales!$H$5:$H$1204,"Service"))</f>
        <v>0</v>
      </c>
      <c r="Q202" s="26">
        <f>IF(B202="","",IF(CommissionOn="Gross before discounts",L202,K202))</f>
        <v>0</v>
      </c>
      <c r="R202" s="26">
        <f>IF(B202="","",IF(CommissionOn="Gross before discounts",N202,M202))</f>
        <v>0</v>
      </c>
      <c r="S202" s="27">
        <f>IF(B202="","",IF(E202="Tiered on monthly service revenue",IFERROR(INDEX(TierRate,MATCH(Q202,TierFrom,1)),0),IFERROR(IF(INDEX(Staff!$M$5:$M$44,MATCH(C202,Staff!$A$5:$A$44,0))="",ServiceCommission,INDEX(Staff!$M$5:$M$44,MATCH(C202,Staff!$A$5:$A$44,0))),ServiceCommission)))</f>
        <v>0</v>
      </c>
      <c r="T202" s="27">
        <f>IF(B202="","",IFERROR(IF(INDEX(Staff!$N$5:$N$44,MATCH(C202,Staff!$A$5:$A$44,0))="",RetailCommission,INDEX(Staff!$N$5:$N$44,MATCH(C202,Staff!$A$5:$A$44,0))),RetailCommission))</f>
        <v>0</v>
      </c>
      <c r="U202" s="26">
        <f>IF(B202="","",IFERROR(INDEX(Staff!$O$5:$O$44,MATCH(C202,Staff!$A$5:$A$44,0))*1,0))</f>
        <v>0</v>
      </c>
      <c r="V202" s="26">
        <f>IF(B202="","",ROUND(IF(E202="Percent of service",Q202*S202,IF(E202="Percent of service and retail",Q202*S202+R202*T202,IF(E202="Percent after product cost",MAX(0,Q202-O202)*S202,IF(E202="Tiered on monthly service revenue",Q202*S202,IF(E202="Flat amount per service",P202*U202,0))))),2))</f>
        <v>0</v>
      </c>
      <c r="W202" s="26">
        <f>IF(B202="","",ROUND(SUMIFS(Payments!$G$5:$G$1204,Payments!$J$5:$J$1204,C202,Payments!$O$5:$O$1204,B202,Payments!$E$5:$E$1204,"Tip"),2))</f>
        <v>0</v>
      </c>
      <c r="X202" s="26">
        <f>IF(B202="","",ROUND(V202+IF(F202="",0,F202)+IF(G202="",0,G202),2))</f>
        <v>0</v>
      </c>
      <c r="Y202" s="27">
        <f>IF(B202="","",IF(Q202+R202=0,"",X202/(Q202+R202)))</f>
        <v>0</v>
      </c>
      <c r="Z202" s="25">
        <f>IF(B202="","",COUNTIFS($V$5:$V$244,"&gt;"&amp;V202)+COUNTIFS($V$5:V202,V202))</f>
        <v>0</v>
      </c>
      <c r="AA202" s="39">
        <f>IF(B202="","",IF(C202="","Add - whose commission is this?",IF(COUNTIFS($B$5:$B$244,B202,$C$5:$C$244,C202)&gt;1,"Duplicate - two rows for the same month",IF(E202="None","",IF(E202="Rent a chair","",IF(E202="Hourly only","",IF(X202=0,"Check - nothing calculated",IF(H202&lt;&gt;"Yes","Due - waiting for approval",IF(I202="","Due - approved but not paid","OK")))))))))</f>
        <v>0</v>
      </c>
    </row>
    <row r="203" spans="1:27">
      <c r="A203" s="28">
        <f>IF(B203="","",CommissionPrefix&amp;TEXT(ROW()-4,"0000"))</f>
        <v>0</v>
      </c>
      <c r="D203" s="15">
        <f>IF(C203="","",IFERROR(INDEX(Staff!$B$5:$B$44,MATCH(C203,Staff!$A$5:$A$44,0)),"Not in Staff"))</f>
        <v>0</v>
      </c>
      <c r="E203" s="15">
        <f>IF(C203="","",IFERROR(INDEX(Staff!$L$5:$L$44,MATCH(C203,Staff!$A$5:$A$44,0)),"None"))</f>
        <v>0</v>
      </c>
      <c r="K203" s="26">
        <f>IF(B203="","",ROUND(SUMIFS(Sales!$Y$5:$Y$1204,Sales!$F$5:$F$1204,C203,Sales!$R$5:$R$1204,B203,Sales!$H$5:$H$1204,"Service"),2))</f>
        <v>0</v>
      </c>
      <c r="L203" s="26">
        <f>IF(B203="","",ROUND(SUMIFS(Sales!$W$5:$W$1204,Sales!$F$5:$F$1204,C203,Sales!$R$5:$R$1204,B203,Sales!$H$5:$H$1204,"Service"),2))</f>
        <v>0</v>
      </c>
      <c r="M203" s="26">
        <f>IF(B203="","",ROUND(SUMIFS(Sales!$Y$5:$Y$1204,Sales!$F$5:$F$1204,C203,Sales!$R$5:$R$1204,B203,Sales!$H$5:$H$1204,"Retail"),2))</f>
        <v>0</v>
      </c>
      <c r="N203" s="26">
        <f>IF(B203="","",ROUND(SUMIFS(Sales!$W$5:$W$1204,Sales!$F$5:$F$1204,C203,Sales!$R$5:$R$1204,B203,Sales!$H$5:$H$1204,"Retail"),2))</f>
        <v>0</v>
      </c>
      <c r="O203" s="26">
        <f>IF(B203="","",ROUND(SUMIFS(Sales!$AB$5:$AB$1204,Sales!$F$5:$F$1204,C203,Sales!$R$5:$R$1204,B203,Sales!$H$5:$H$1204,"Service"),2))</f>
        <v>0</v>
      </c>
      <c r="P203" s="25">
        <f>IF(B203="","",COUNTIFS(Sales!$F$5:$F$1204,C203,Sales!$R$5:$R$1204,B203,Sales!$H$5:$H$1204,"Service"))</f>
        <v>0</v>
      </c>
      <c r="Q203" s="26">
        <f>IF(B203="","",IF(CommissionOn="Gross before discounts",L203,K203))</f>
        <v>0</v>
      </c>
      <c r="R203" s="26">
        <f>IF(B203="","",IF(CommissionOn="Gross before discounts",N203,M203))</f>
        <v>0</v>
      </c>
      <c r="S203" s="27">
        <f>IF(B203="","",IF(E203="Tiered on monthly service revenue",IFERROR(INDEX(TierRate,MATCH(Q203,TierFrom,1)),0),IFERROR(IF(INDEX(Staff!$M$5:$M$44,MATCH(C203,Staff!$A$5:$A$44,0))="",ServiceCommission,INDEX(Staff!$M$5:$M$44,MATCH(C203,Staff!$A$5:$A$44,0))),ServiceCommission)))</f>
        <v>0</v>
      </c>
      <c r="T203" s="27">
        <f>IF(B203="","",IFERROR(IF(INDEX(Staff!$N$5:$N$44,MATCH(C203,Staff!$A$5:$A$44,0))="",RetailCommission,INDEX(Staff!$N$5:$N$44,MATCH(C203,Staff!$A$5:$A$44,0))),RetailCommission))</f>
        <v>0</v>
      </c>
      <c r="U203" s="26">
        <f>IF(B203="","",IFERROR(INDEX(Staff!$O$5:$O$44,MATCH(C203,Staff!$A$5:$A$44,0))*1,0))</f>
        <v>0</v>
      </c>
      <c r="V203" s="26">
        <f>IF(B203="","",ROUND(IF(E203="Percent of service",Q203*S203,IF(E203="Percent of service and retail",Q203*S203+R203*T203,IF(E203="Percent after product cost",MAX(0,Q203-O203)*S203,IF(E203="Tiered on monthly service revenue",Q203*S203,IF(E203="Flat amount per service",P203*U203,0))))),2))</f>
        <v>0</v>
      </c>
      <c r="W203" s="26">
        <f>IF(B203="","",ROUND(SUMIFS(Payments!$G$5:$G$1204,Payments!$J$5:$J$1204,C203,Payments!$O$5:$O$1204,B203,Payments!$E$5:$E$1204,"Tip"),2))</f>
        <v>0</v>
      </c>
      <c r="X203" s="26">
        <f>IF(B203="","",ROUND(V203+IF(F203="",0,F203)+IF(G203="",0,G203),2))</f>
        <v>0</v>
      </c>
      <c r="Y203" s="27">
        <f>IF(B203="","",IF(Q203+R203=0,"",X203/(Q203+R203)))</f>
        <v>0</v>
      </c>
      <c r="Z203" s="25">
        <f>IF(B203="","",COUNTIFS($V$5:$V$244,"&gt;"&amp;V203)+COUNTIFS($V$5:V203,V203))</f>
        <v>0</v>
      </c>
      <c r="AA203" s="39">
        <f>IF(B203="","",IF(C203="","Add - whose commission is this?",IF(COUNTIFS($B$5:$B$244,B203,$C$5:$C$244,C203)&gt;1,"Duplicate - two rows for the same month",IF(E203="None","",IF(E203="Rent a chair","",IF(E203="Hourly only","",IF(X203=0,"Check - nothing calculated",IF(H203&lt;&gt;"Yes","Due - waiting for approval",IF(I203="","Due - approved but not paid","OK")))))))))</f>
        <v>0</v>
      </c>
    </row>
    <row r="204" spans="1:27">
      <c r="A204" s="28">
        <f>IF(B204="","",CommissionPrefix&amp;TEXT(ROW()-4,"0000"))</f>
        <v>0</v>
      </c>
      <c r="D204" s="15">
        <f>IF(C204="","",IFERROR(INDEX(Staff!$B$5:$B$44,MATCH(C204,Staff!$A$5:$A$44,0)),"Not in Staff"))</f>
        <v>0</v>
      </c>
      <c r="E204" s="15">
        <f>IF(C204="","",IFERROR(INDEX(Staff!$L$5:$L$44,MATCH(C204,Staff!$A$5:$A$44,0)),"None"))</f>
        <v>0</v>
      </c>
      <c r="K204" s="26">
        <f>IF(B204="","",ROUND(SUMIFS(Sales!$Y$5:$Y$1204,Sales!$F$5:$F$1204,C204,Sales!$R$5:$R$1204,B204,Sales!$H$5:$H$1204,"Service"),2))</f>
        <v>0</v>
      </c>
      <c r="L204" s="26">
        <f>IF(B204="","",ROUND(SUMIFS(Sales!$W$5:$W$1204,Sales!$F$5:$F$1204,C204,Sales!$R$5:$R$1204,B204,Sales!$H$5:$H$1204,"Service"),2))</f>
        <v>0</v>
      </c>
      <c r="M204" s="26">
        <f>IF(B204="","",ROUND(SUMIFS(Sales!$Y$5:$Y$1204,Sales!$F$5:$F$1204,C204,Sales!$R$5:$R$1204,B204,Sales!$H$5:$H$1204,"Retail"),2))</f>
        <v>0</v>
      </c>
      <c r="N204" s="26">
        <f>IF(B204="","",ROUND(SUMIFS(Sales!$W$5:$W$1204,Sales!$F$5:$F$1204,C204,Sales!$R$5:$R$1204,B204,Sales!$H$5:$H$1204,"Retail"),2))</f>
        <v>0</v>
      </c>
      <c r="O204" s="26">
        <f>IF(B204="","",ROUND(SUMIFS(Sales!$AB$5:$AB$1204,Sales!$F$5:$F$1204,C204,Sales!$R$5:$R$1204,B204,Sales!$H$5:$H$1204,"Service"),2))</f>
        <v>0</v>
      </c>
      <c r="P204" s="25">
        <f>IF(B204="","",COUNTIFS(Sales!$F$5:$F$1204,C204,Sales!$R$5:$R$1204,B204,Sales!$H$5:$H$1204,"Service"))</f>
        <v>0</v>
      </c>
      <c r="Q204" s="26">
        <f>IF(B204="","",IF(CommissionOn="Gross before discounts",L204,K204))</f>
        <v>0</v>
      </c>
      <c r="R204" s="26">
        <f>IF(B204="","",IF(CommissionOn="Gross before discounts",N204,M204))</f>
        <v>0</v>
      </c>
      <c r="S204" s="27">
        <f>IF(B204="","",IF(E204="Tiered on monthly service revenue",IFERROR(INDEX(TierRate,MATCH(Q204,TierFrom,1)),0),IFERROR(IF(INDEX(Staff!$M$5:$M$44,MATCH(C204,Staff!$A$5:$A$44,0))="",ServiceCommission,INDEX(Staff!$M$5:$M$44,MATCH(C204,Staff!$A$5:$A$44,0))),ServiceCommission)))</f>
        <v>0</v>
      </c>
      <c r="T204" s="27">
        <f>IF(B204="","",IFERROR(IF(INDEX(Staff!$N$5:$N$44,MATCH(C204,Staff!$A$5:$A$44,0))="",RetailCommission,INDEX(Staff!$N$5:$N$44,MATCH(C204,Staff!$A$5:$A$44,0))),RetailCommission))</f>
        <v>0</v>
      </c>
      <c r="U204" s="26">
        <f>IF(B204="","",IFERROR(INDEX(Staff!$O$5:$O$44,MATCH(C204,Staff!$A$5:$A$44,0))*1,0))</f>
        <v>0</v>
      </c>
      <c r="V204" s="26">
        <f>IF(B204="","",ROUND(IF(E204="Percent of service",Q204*S204,IF(E204="Percent of service and retail",Q204*S204+R204*T204,IF(E204="Percent after product cost",MAX(0,Q204-O204)*S204,IF(E204="Tiered on monthly service revenue",Q204*S204,IF(E204="Flat amount per service",P204*U204,0))))),2))</f>
        <v>0</v>
      </c>
      <c r="W204" s="26">
        <f>IF(B204="","",ROUND(SUMIFS(Payments!$G$5:$G$1204,Payments!$J$5:$J$1204,C204,Payments!$O$5:$O$1204,B204,Payments!$E$5:$E$1204,"Tip"),2))</f>
        <v>0</v>
      </c>
      <c r="X204" s="26">
        <f>IF(B204="","",ROUND(V204+IF(F204="",0,F204)+IF(G204="",0,G204),2))</f>
        <v>0</v>
      </c>
      <c r="Y204" s="27">
        <f>IF(B204="","",IF(Q204+R204=0,"",X204/(Q204+R204)))</f>
        <v>0</v>
      </c>
      <c r="Z204" s="25">
        <f>IF(B204="","",COUNTIFS($V$5:$V$244,"&gt;"&amp;V204)+COUNTIFS($V$5:V204,V204))</f>
        <v>0</v>
      </c>
      <c r="AA204" s="39">
        <f>IF(B204="","",IF(C204="","Add - whose commission is this?",IF(COUNTIFS($B$5:$B$244,B204,$C$5:$C$244,C204)&gt;1,"Duplicate - two rows for the same month",IF(E204="None","",IF(E204="Rent a chair","",IF(E204="Hourly only","",IF(X204=0,"Check - nothing calculated",IF(H204&lt;&gt;"Yes","Due - waiting for approval",IF(I204="","Due - approved but not paid","OK")))))))))</f>
        <v>0</v>
      </c>
    </row>
    <row r="205" spans="1:27">
      <c r="A205" s="28">
        <f>IF(B205="","",CommissionPrefix&amp;TEXT(ROW()-4,"0000"))</f>
        <v>0</v>
      </c>
      <c r="D205" s="15">
        <f>IF(C205="","",IFERROR(INDEX(Staff!$B$5:$B$44,MATCH(C205,Staff!$A$5:$A$44,0)),"Not in Staff"))</f>
        <v>0</v>
      </c>
      <c r="E205" s="15">
        <f>IF(C205="","",IFERROR(INDEX(Staff!$L$5:$L$44,MATCH(C205,Staff!$A$5:$A$44,0)),"None"))</f>
        <v>0</v>
      </c>
      <c r="K205" s="26">
        <f>IF(B205="","",ROUND(SUMIFS(Sales!$Y$5:$Y$1204,Sales!$F$5:$F$1204,C205,Sales!$R$5:$R$1204,B205,Sales!$H$5:$H$1204,"Service"),2))</f>
        <v>0</v>
      </c>
      <c r="L205" s="26">
        <f>IF(B205="","",ROUND(SUMIFS(Sales!$W$5:$W$1204,Sales!$F$5:$F$1204,C205,Sales!$R$5:$R$1204,B205,Sales!$H$5:$H$1204,"Service"),2))</f>
        <v>0</v>
      </c>
      <c r="M205" s="26">
        <f>IF(B205="","",ROUND(SUMIFS(Sales!$Y$5:$Y$1204,Sales!$F$5:$F$1204,C205,Sales!$R$5:$R$1204,B205,Sales!$H$5:$H$1204,"Retail"),2))</f>
        <v>0</v>
      </c>
      <c r="N205" s="26">
        <f>IF(B205="","",ROUND(SUMIFS(Sales!$W$5:$W$1204,Sales!$F$5:$F$1204,C205,Sales!$R$5:$R$1204,B205,Sales!$H$5:$H$1204,"Retail"),2))</f>
        <v>0</v>
      </c>
      <c r="O205" s="26">
        <f>IF(B205="","",ROUND(SUMIFS(Sales!$AB$5:$AB$1204,Sales!$F$5:$F$1204,C205,Sales!$R$5:$R$1204,B205,Sales!$H$5:$H$1204,"Service"),2))</f>
        <v>0</v>
      </c>
      <c r="P205" s="25">
        <f>IF(B205="","",COUNTIFS(Sales!$F$5:$F$1204,C205,Sales!$R$5:$R$1204,B205,Sales!$H$5:$H$1204,"Service"))</f>
        <v>0</v>
      </c>
      <c r="Q205" s="26">
        <f>IF(B205="","",IF(CommissionOn="Gross before discounts",L205,K205))</f>
        <v>0</v>
      </c>
      <c r="R205" s="26">
        <f>IF(B205="","",IF(CommissionOn="Gross before discounts",N205,M205))</f>
        <v>0</v>
      </c>
      <c r="S205" s="27">
        <f>IF(B205="","",IF(E205="Tiered on monthly service revenue",IFERROR(INDEX(TierRate,MATCH(Q205,TierFrom,1)),0),IFERROR(IF(INDEX(Staff!$M$5:$M$44,MATCH(C205,Staff!$A$5:$A$44,0))="",ServiceCommission,INDEX(Staff!$M$5:$M$44,MATCH(C205,Staff!$A$5:$A$44,0))),ServiceCommission)))</f>
        <v>0</v>
      </c>
      <c r="T205" s="27">
        <f>IF(B205="","",IFERROR(IF(INDEX(Staff!$N$5:$N$44,MATCH(C205,Staff!$A$5:$A$44,0))="",RetailCommission,INDEX(Staff!$N$5:$N$44,MATCH(C205,Staff!$A$5:$A$44,0))),RetailCommission))</f>
        <v>0</v>
      </c>
      <c r="U205" s="26">
        <f>IF(B205="","",IFERROR(INDEX(Staff!$O$5:$O$44,MATCH(C205,Staff!$A$5:$A$44,0))*1,0))</f>
        <v>0</v>
      </c>
      <c r="V205" s="26">
        <f>IF(B205="","",ROUND(IF(E205="Percent of service",Q205*S205,IF(E205="Percent of service and retail",Q205*S205+R205*T205,IF(E205="Percent after product cost",MAX(0,Q205-O205)*S205,IF(E205="Tiered on monthly service revenue",Q205*S205,IF(E205="Flat amount per service",P205*U205,0))))),2))</f>
        <v>0</v>
      </c>
      <c r="W205" s="26">
        <f>IF(B205="","",ROUND(SUMIFS(Payments!$G$5:$G$1204,Payments!$J$5:$J$1204,C205,Payments!$O$5:$O$1204,B205,Payments!$E$5:$E$1204,"Tip"),2))</f>
        <v>0</v>
      </c>
      <c r="X205" s="26">
        <f>IF(B205="","",ROUND(V205+IF(F205="",0,F205)+IF(G205="",0,G205),2))</f>
        <v>0</v>
      </c>
      <c r="Y205" s="27">
        <f>IF(B205="","",IF(Q205+R205=0,"",X205/(Q205+R205)))</f>
        <v>0</v>
      </c>
      <c r="Z205" s="25">
        <f>IF(B205="","",COUNTIFS($V$5:$V$244,"&gt;"&amp;V205)+COUNTIFS($V$5:V205,V205))</f>
        <v>0</v>
      </c>
      <c r="AA205" s="39">
        <f>IF(B205="","",IF(C205="","Add - whose commission is this?",IF(COUNTIFS($B$5:$B$244,B205,$C$5:$C$244,C205)&gt;1,"Duplicate - two rows for the same month",IF(E205="None","",IF(E205="Rent a chair","",IF(E205="Hourly only","",IF(X205=0,"Check - nothing calculated",IF(H205&lt;&gt;"Yes","Due - waiting for approval",IF(I205="","Due - approved but not paid","OK")))))))))</f>
        <v>0</v>
      </c>
    </row>
    <row r="206" spans="1:27">
      <c r="A206" s="28">
        <f>IF(B206="","",CommissionPrefix&amp;TEXT(ROW()-4,"0000"))</f>
        <v>0</v>
      </c>
      <c r="D206" s="15">
        <f>IF(C206="","",IFERROR(INDEX(Staff!$B$5:$B$44,MATCH(C206,Staff!$A$5:$A$44,0)),"Not in Staff"))</f>
        <v>0</v>
      </c>
      <c r="E206" s="15">
        <f>IF(C206="","",IFERROR(INDEX(Staff!$L$5:$L$44,MATCH(C206,Staff!$A$5:$A$44,0)),"None"))</f>
        <v>0</v>
      </c>
      <c r="K206" s="26">
        <f>IF(B206="","",ROUND(SUMIFS(Sales!$Y$5:$Y$1204,Sales!$F$5:$F$1204,C206,Sales!$R$5:$R$1204,B206,Sales!$H$5:$H$1204,"Service"),2))</f>
        <v>0</v>
      </c>
      <c r="L206" s="26">
        <f>IF(B206="","",ROUND(SUMIFS(Sales!$W$5:$W$1204,Sales!$F$5:$F$1204,C206,Sales!$R$5:$R$1204,B206,Sales!$H$5:$H$1204,"Service"),2))</f>
        <v>0</v>
      </c>
      <c r="M206" s="26">
        <f>IF(B206="","",ROUND(SUMIFS(Sales!$Y$5:$Y$1204,Sales!$F$5:$F$1204,C206,Sales!$R$5:$R$1204,B206,Sales!$H$5:$H$1204,"Retail"),2))</f>
        <v>0</v>
      </c>
      <c r="N206" s="26">
        <f>IF(B206="","",ROUND(SUMIFS(Sales!$W$5:$W$1204,Sales!$F$5:$F$1204,C206,Sales!$R$5:$R$1204,B206,Sales!$H$5:$H$1204,"Retail"),2))</f>
        <v>0</v>
      </c>
      <c r="O206" s="26">
        <f>IF(B206="","",ROUND(SUMIFS(Sales!$AB$5:$AB$1204,Sales!$F$5:$F$1204,C206,Sales!$R$5:$R$1204,B206,Sales!$H$5:$H$1204,"Service"),2))</f>
        <v>0</v>
      </c>
      <c r="P206" s="25">
        <f>IF(B206="","",COUNTIFS(Sales!$F$5:$F$1204,C206,Sales!$R$5:$R$1204,B206,Sales!$H$5:$H$1204,"Service"))</f>
        <v>0</v>
      </c>
      <c r="Q206" s="26">
        <f>IF(B206="","",IF(CommissionOn="Gross before discounts",L206,K206))</f>
        <v>0</v>
      </c>
      <c r="R206" s="26">
        <f>IF(B206="","",IF(CommissionOn="Gross before discounts",N206,M206))</f>
        <v>0</v>
      </c>
      <c r="S206" s="27">
        <f>IF(B206="","",IF(E206="Tiered on monthly service revenue",IFERROR(INDEX(TierRate,MATCH(Q206,TierFrom,1)),0),IFERROR(IF(INDEX(Staff!$M$5:$M$44,MATCH(C206,Staff!$A$5:$A$44,0))="",ServiceCommission,INDEX(Staff!$M$5:$M$44,MATCH(C206,Staff!$A$5:$A$44,0))),ServiceCommission)))</f>
        <v>0</v>
      </c>
      <c r="T206" s="27">
        <f>IF(B206="","",IFERROR(IF(INDEX(Staff!$N$5:$N$44,MATCH(C206,Staff!$A$5:$A$44,0))="",RetailCommission,INDEX(Staff!$N$5:$N$44,MATCH(C206,Staff!$A$5:$A$44,0))),RetailCommission))</f>
        <v>0</v>
      </c>
      <c r="U206" s="26">
        <f>IF(B206="","",IFERROR(INDEX(Staff!$O$5:$O$44,MATCH(C206,Staff!$A$5:$A$44,0))*1,0))</f>
        <v>0</v>
      </c>
      <c r="V206" s="26">
        <f>IF(B206="","",ROUND(IF(E206="Percent of service",Q206*S206,IF(E206="Percent of service and retail",Q206*S206+R206*T206,IF(E206="Percent after product cost",MAX(0,Q206-O206)*S206,IF(E206="Tiered on monthly service revenue",Q206*S206,IF(E206="Flat amount per service",P206*U206,0))))),2))</f>
        <v>0</v>
      </c>
      <c r="W206" s="26">
        <f>IF(B206="","",ROUND(SUMIFS(Payments!$G$5:$G$1204,Payments!$J$5:$J$1204,C206,Payments!$O$5:$O$1204,B206,Payments!$E$5:$E$1204,"Tip"),2))</f>
        <v>0</v>
      </c>
      <c r="X206" s="26">
        <f>IF(B206="","",ROUND(V206+IF(F206="",0,F206)+IF(G206="",0,G206),2))</f>
        <v>0</v>
      </c>
      <c r="Y206" s="27">
        <f>IF(B206="","",IF(Q206+R206=0,"",X206/(Q206+R206)))</f>
        <v>0</v>
      </c>
      <c r="Z206" s="25">
        <f>IF(B206="","",COUNTIFS($V$5:$V$244,"&gt;"&amp;V206)+COUNTIFS($V$5:V206,V206))</f>
        <v>0</v>
      </c>
      <c r="AA206" s="39">
        <f>IF(B206="","",IF(C206="","Add - whose commission is this?",IF(COUNTIFS($B$5:$B$244,B206,$C$5:$C$244,C206)&gt;1,"Duplicate - two rows for the same month",IF(E206="None","",IF(E206="Rent a chair","",IF(E206="Hourly only","",IF(X206=0,"Check - nothing calculated",IF(H206&lt;&gt;"Yes","Due - waiting for approval",IF(I206="","Due - approved but not paid","OK")))))))))</f>
        <v>0</v>
      </c>
    </row>
    <row r="207" spans="1:27">
      <c r="A207" s="28">
        <f>IF(B207="","",CommissionPrefix&amp;TEXT(ROW()-4,"0000"))</f>
        <v>0</v>
      </c>
      <c r="D207" s="15">
        <f>IF(C207="","",IFERROR(INDEX(Staff!$B$5:$B$44,MATCH(C207,Staff!$A$5:$A$44,0)),"Not in Staff"))</f>
        <v>0</v>
      </c>
      <c r="E207" s="15">
        <f>IF(C207="","",IFERROR(INDEX(Staff!$L$5:$L$44,MATCH(C207,Staff!$A$5:$A$44,0)),"None"))</f>
        <v>0</v>
      </c>
      <c r="K207" s="26">
        <f>IF(B207="","",ROUND(SUMIFS(Sales!$Y$5:$Y$1204,Sales!$F$5:$F$1204,C207,Sales!$R$5:$R$1204,B207,Sales!$H$5:$H$1204,"Service"),2))</f>
        <v>0</v>
      </c>
      <c r="L207" s="26">
        <f>IF(B207="","",ROUND(SUMIFS(Sales!$W$5:$W$1204,Sales!$F$5:$F$1204,C207,Sales!$R$5:$R$1204,B207,Sales!$H$5:$H$1204,"Service"),2))</f>
        <v>0</v>
      </c>
      <c r="M207" s="26">
        <f>IF(B207="","",ROUND(SUMIFS(Sales!$Y$5:$Y$1204,Sales!$F$5:$F$1204,C207,Sales!$R$5:$R$1204,B207,Sales!$H$5:$H$1204,"Retail"),2))</f>
        <v>0</v>
      </c>
      <c r="N207" s="26">
        <f>IF(B207="","",ROUND(SUMIFS(Sales!$W$5:$W$1204,Sales!$F$5:$F$1204,C207,Sales!$R$5:$R$1204,B207,Sales!$H$5:$H$1204,"Retail"),2))</f>
        <v>0</v>
      </c>
      <c r="O207" s="26">
        <f>IF(B207="","",ROUND(SUMIFS(Sales!$AB$5:$AB$1204,Sales!$F$5:$F$1204,C207,Sales!$R$5:$R$1204,B207,Sales!$H$5:$H$1204,"Service"),2))</f>
        <v>0</v>
      </c>
      <c r="P207" s="25">
        <f>IF(B207="","",COUNTIFS(Sales!$F$5:$F$1204,C207,Sales!$R$5:$R$1204,B207,Sales!$H$5:$H$1204,"Service"))</f>
        <v>0</v>
      </c>
      <c r="Q207" s="26">
        <f>IF(B207="","",IF(CommissionOn="Gross before discounts",L207,K207))</f>
        <v>0</v>
      </c>
      <c r="R207" s="26">
        <f>IF(B207="","",IF(CommissionOn="Gross before discounts",N207,M207))</f>
        <v>0</v>
      </c>
      <c r="S207" s="27">
        <f>IF(B207="","",IF(E207="Tiered on monthly service revenue",IFERROR(INDEX(TierRate,MATCH(Q207,TierFrom,1)),0),IFERROR(IF(INDEX(Staff!$M$5:$M$44,MATCH(C207,Staff!$A$5:$A$44,0))="",ServiceCommission,INDEX(Staff!$M$5:$M$44,MATCH(C207,Staff!$A$5:$A$44,0))),ServiceCommission)))</f>
        <v>0</v>
      </c>
      <c r="T207" s="27">
        <f>IF(B207="","",IFERROR(IF(INDEX(Staff!$N$5:$N$44,MATCH(C207,Staff!$A$5:$A$44,0))="",RetailCommission,INDEX(Staff!$N$5:$N$44,MATCH(C207,Staff!$A$5:$A$44,0))),RetailCommission))</f>
        <v>0</v>
      </c>
      <c r="U207" s="26">
        <f>IF(B207="","",IFERROR(INDEX(Staff!$O$5:$O$44,MATCH(C207,Staff!$A$5:$A$44,0))*1,0))</f>
        <v>0</v>
      </c>
      <c r="V207" s="26">
        <f>IF(B207="","",ROUND(IF(E207="Percent of service",Q207*S207,IF(E207="Percent of service and retail",Q207*S207+R207*T207,IF(E207="Percent after product cost",MAX(0,Q207-O207)*S207,IF(E207="Tiered on monthly service revenue",Q207*S207,IF(E207="Flat amount per service",P207*U207,0))))),2))</f>
        <v>0</v>
      </c>
      <c r="W207" s="26">
        <f>IF(B207="","",ROUND(SUMIFS(Payments!$G$5:$G$1204,Payments!$J$5:$J$1204,C207,Payments!$O$5:$O$1204,B207,Payments!$E$5:$E$1204,"Tip"),2))</f>
        <v>0</v>
      </c>
      <c r="X207" s="26">
        <f>IF(B207="","",ROUND(V207+IF(F207="",0,F207)+IF(G207="",0,G207),2))</f>
        <v>0</v>
      </c>
      <c r="Y207" s="27">
        <f>IF(B207="","",IF(Q207+R207=0,"",X207/(Q207+R207)))</f>
        <v>0</v>
      </c>
      <c r="Z207" s="25">
        <f>IF(B207="","",COUNTIFS($V$5:$V$244,"&gt;"&amp;V207)+COUNTIFS($V$5:V207,V207))</f>
        <v>0</v>
      </c>
      <c r="AA207" s="39">
        <f>IF(B207="","",IF(C207="","Add - whose commission is this?",IF(COUNTIFS($B$5:$B$244,B207,$C$5:$C$244,C207)&gt;1,"Duplicate - two rows for the same month",IF(E207="None","",IF(E207="Rent a chair","",IF(E207="Hourly only","",IF(X207=0,"Check - nothing calculated",IF(H207&lt;&gt;"Yes","Due - waiting for approval",IF(I207="","Due - approved but not paid","OK")))))))))</f>
        <v>0</v>
      </c>
    </row>
    <row r="208" spans="1:27">
      <c r="A208" s="28">
        <f>IF(B208="","",CommissionPrefix&amp;TEXT(ROW()-4,"0000"))</f>
        <v>0</v>
      </c>
      <c r="D208" s="15">
        <f>IF(C208="","",IFERROR(INDEX(Staff!$B$5:$B$44,MATCH(C208,Staff!$A$5:$A$44,0)),"Not in Staff"))</f>
        <v>0</v>
      </c>
      <c r="E208" s="15">
        <f>IF(C208="","",IFERROR(INDEX(Staff!$L$5:$L$44,MATCH(C208,Staff!$A$5:$A$44,0)),"None"))</f>
        <v>0</v>
      </c>
      <c r="K208" s="26">
        <f>IF(B208="","",ROUND(SUMIFS(Sales!$Y$5:$Y$1204,Sales!$F$5:$F$1204,C208,Sales!$R$5:$R$1204,B208,Sales!$H$5:$H$1204,"Service"),2))</f>
        <v>0</v>
      </c>
      <c r="L208" s="26">
        <f>IF(B208="","",ROUND(SUMIFS(Sales!$W$5:$W$1204,Sales!$F$5:$F$1204,C208,Sales!$R$5:$R$1204,B208,Sales!$H$5:$H$1204,"Service"),2))</f>
        <v>0</v>
      </c>
      <c r="M208" s="26">
        <f>IF(B208="","",ROUND(SUMIFS(Sales!$Y$5:$Y$1204,Sales!$F$5:$F$1204,C208,Sales!$R$5:$R$1204,B208,Sales!$H$5:$H$1204,"Retail"),2))</f>
        <v>0</v>
      </c>
      <c r="N208" s="26">
        <f>IF(B208="","",ROUND(SUMIFS(Sales!$W$5:$W$1204,Sales!$F$5:$F$1204,C208,Sales!$R$5:$R$1204,B208,Sales!$H$5:$H$1204,"Retail"),2))</f>
        <v>0</v>
      </c>
      <c r="O208" s="26">
        <f>IF(B208="","",ROUND(SUMIFS(Sales!$AB$5:$AB$1204,Sales!$F$5:$F$1204,C208,Sales!$R$5:$R$1204,B208,Sales!$H$5:$H$1204,"Service"),2))</f>
        <v>0</v>
      </c>
      <c r="P208" s="25">
        <f>IF(B208="","",COUNTIFS(Sales!$F$5:$F$1204,C208,Sales!$R$5:$R$1204,B208,Sales!$H$5:$H$1204,"Service"))</f>
        <v>0</v>
      </c>
      <c r="Q208" s="26">
        <f>IF(B208="","",IF(CommissionOn="Gross before discounts",L208,K208))</f>
        <v>0</v>
      </c>
      <c r="R208" s="26">
        <f>IF(B208="","",IF(CommissionOn="Gross before discounts",N208,M208))</f>
        <v>0</v>
      </c>
      <c r="S208" s="27">
        <f>IF(B208="","",IF(E208="Tiered on monthly service revenue",IFERROR(INDEX(TierRate,MATCH(Q208,TierFrom,1)),0),IFERROR(IF(INDEX(Staff!$M$5:$M$44,MATCH(C208,Staff!$A$5:$A$44,0))="",ServiceCommission,INDEX(Staff!$M$5:$M$44,MATCH(C208,Staff!$A$5:$A$44,0))),ServiceCommission)))</f>
        <v>0</v>
      </c>
      <c r="T208" s="27">
        <f>IF(B208="","",IFERROR(IF(INDEX(Staff!$N$5:$N$44,MATCH(C208,Staff!$A$5:$A$44,0))="",RetailCommission,INDEX(Staff!$N$5:$N$44,MATCH(C208,Staff!$A$5:$A$44,0))),RetailCommission))</f>
        <v>0</v>
      </c>
      <c r="U208" s="26">
        <f>IF(B208="","",IFERROR(INDEX(Staff!$O$5:$O$44,MATCH(C208,Staff!$A$5:$A$44,0))*1,0))</f>
        <v>0</v>
      </c>
      <c r="V208" s="26">
        <f>IF(B208="","",ROUND(IF(E208="Percent of service",Q208*S208,IF(E208="Percent of service and retail",Q208*S208+R208*T208,IF(E208="Percent after product cost",MAX(0,Q208-O208)*S208,IF(E208="Tiered on monthly service revenue",Q208*S208,IF(E208="Flat amount per service",P208*U208,0))))),2))</f>
        <v>0</v>
      </c>
      <c r="W208" s="26">
        <f>IF(B208="","",ROUND(SUMIFS(Payments!$G$5:$G$1204,Payments!$J$5:$J$1204,C208,Payments!$O$5:$O$1204,B208,Payments!$E$5:$E$1204,"Tip"),2))</f>
        <v>0</v>
      </c>
      <c r="X208" s="26">
        <f>IF(B208="","",ROUND(V208+IF(F208="",0,F208)+IF(G208="",0,G208),2))</f>
        <v>0</v>
      </c>
      <c r="Y208" s="27">
        <f>IF(B208="","",IF(Q208+R208=0,"",X208/(Q208+R208)))</f>
        <v>0</v>
      </c>
      <c r="Z208" s="25">
        <f>IF(B208="","",COUNTIFS($V$5:$V$244,"&gt;"&amp;V208)+COUNTIFS($V$5:V208,V208))</f>
        <v>0</v>
      </c>
      <c r="AA208" s="39">
        <f>IF(B208="","",IF(C208="","Add - whose commission is this?",IF(COUNTIFS($B$5:$B$244,B208,$C$5:$C$244,C208)&gt;1,"Duplicate - two rows for the same month",IF(E208="None","",IF(E208="Rent a chair","",IF(E208="Hourly only","",IF(X208=0,"Check - nothing calculated",IF(H208&lt;&gt;"Yes","Due - waiting for approval",IF(I208="","Due - approved but not paid","OK")))))))))</f>
        <v>0</v>
      </c>
    </row>
    <row r="209" spans="1:27">
      <c r="A209" s="28">
        <f>IF(B209="","",CommissionPrefix&amp;TEXT(ROW()-4,"0000"))</f>
        <v>0</v>
      </c>
      <c r="D209" s="15">
        <f>IF(C209="","",IFERROR(INDEX(Staff!$B$5:$B$44,MATCH(C209,Staff!$A$5:$A$44,0)),"Not in Staff"))</f>
        <v>0</v>
      </c>
      <c r="E209" s="15">
        <f>IF(C209="","",IFERROR(INDEX(Staff!$L$5:$L$44,MATCH(C209,Staff!$A$5:$A$44,0)),"None"))</f>
        <v>0</v>
      </c>
      <c r="K209" s="26">
        <f>IF(B209="","",ROUND(SUMIFS(Sales!$Y$5:$Y$1204,Sales!$F$5:$F$1204,C209,Sales!$R$5:$R$1204,B209,Sales!$H$5:$H$1204,"Service"),2))</f>
        <v>0</v>
      </c>
      <c r="L209" s="26">
        <f>IF(B209="","",ROUND(SUMIFS(Sales!$W$5:$W$1204,Sales!$F$5:$F$1204,C209,Sales!$R$5:$R$1204,B209,Sales!$H$5:$H$1204,"Service"),2))</f>
        <v>0</v>
      </c>
      <c r="M209" s="26">
        <f>IF(B209="","",ROUND(SUMIFS(Sales!$Y$5:$Y$1204,Sales!$F$5:$F$1204,C209,Sales!$R$5:$R$1204,B209,Sales!$H$5:$H$1204,"Retail"),2))</f>
        <v>0</v>
      </c>
      <c r="N209" s="26">
        <f>IF(B209="","",ROUND(SUMIFS(Sales!$W$5:$W$1204,Sales!$F$5:$F$1204,C209,Sales!$R$5:$R$1204,B209,Sales!$H$5:$H$1204,"Retail"),2))</f>
        <v>0</v>
      </c>
      <c r="O209" s="26">
        <f>IF(B209="","",ROUND(SUMIFS(Sales!$AB$5:$AB$1204,Sales!$F$5:$F$1204,C209,Sales!$R$5:$R$1204,B209,Sales!$H$5:$H$1204,"Service"),2))</f>
        <v>0</v>
      </c>
      <c r="P209" s="25">
        <f>IF(B209="","",COUNTIFS(Sales!$F$5:$F$1204,C209,Sales!$R$5:$R$1204,B209,Sales!$H$5:$H$1204,"Service"))</f>
        <v>0</v>
      </c>
      <c r="Q209" s="26">
        <f>IF(B209="","",IF(CommissionOn="Gross before discounts",L209,K209))</f>
        <v>0</v>
      </c>
      <c r="R209" s="26">
        <f>IF(B209="","",IF(CommissionOn="Gross before discounts",N209,M209))</f>
        <v>0</v>
      </c>
      <c r="S209" s="27">
        <f>IF(B209="","",IF(E209="Tiered on monthly service revenue",IFERROR(INDEX(TierRate,MATCH(Q209,TierFrom,1)),0),IFERROR(IF(INDEX(Staff!$M$5:$M$44,MATCH(C209,Staff!$A$5:$A$44,0))="",ServiceCommission,INDEX(Staff!$M$5:$M$44,MATCH(C209,Staff!$A$5:$A$44,0))),ServiceCommission)))</f>
        <v>0</v>
      </c>
      <c r="T209" s="27">
        <f>IF(B209="","",IFERROR(IF(INDEX(Staff!$N$5:$N$44,MATCH(C209,Staff!$A$5:$A$44,0))="",RetailCommission,INDEX(Staff!$N$5:$N$44,MATCH(C209,Staff!$A$5:$A$44,0))),RetailCommission))</f>
        <v>0</v>
      </c>
      <c r="U209" s="26">
        <f>IF(B209="","",IFERROR(INDEX(Staff!$O$5:$O$44,MATCH(C209,Staff!$A$5:$A$44,0))*1,0))</f>
        <v>0</v>
      </c>
      <c r="V209" s="26">
        <f>IF(B209="","",ROUND(IF(E209="Percent of service",Q209*S209,IF(E209="Percent of service and retail",Q209*S209+R209*T209,IF(E209="Percent after product cost",MAX(0,Q209-O209)*S209,IF(E209="Tiered on monthly service revenue",Q209*S209,IF(E209="Flat amount per service",P209*U209,0))))),2))</f>
        <v>0</v>
      </c>
      <c r="W209" s="26">
        <f>IF(B209="","",ROUND(SUMIFS(Payments!$G$5:$G$1204,Payments!$J$5:$J$1204,C209,Payments!$O$5:$O$1204,B209,Payments!$E$5:$E$1204,"Tip"),2))</f>
        <v>0</v>
      </c>
      <c r="X209" s="26">
        <f>IF(B209="","",ROUND(V209+IF(F209="",0,F209)+IF(G209="",0,G209),2))</f>
        <v>0</v>
      </c>
      <c r="Y209" s="27">
        <f>IF(B209="","",IF(Q209+R209=0,"",X209/(Q209+R209)))</f>
        <v>0</v>
      </c>
      <c r="Z209" s="25">
        <f>IF(B209="","",COUNTIFS($V$5:$V$244,"&gt;"&amp;V209)+COUNTIFS($V$5:V209,V209))</f>
        <v>0</v>
      </c>
      <c r="AA209" s="39">
        <f>IF(B209="","",IF(C209="","Add - whose commission is this?",IF(COUNTIFS($B$5:$B$244,B209,$C$5:$C$244,C209)&gt;1,"Duplicate - two rows for the same month",IF(E209="None","",IF(E209="Rent a chair","",IF(E209="Hourly only","",IF(X209=0,"Check - nothing calculated",IF(H209&lt;&gt;"Yes","Due - waiting for approval",IF(I209="","Due - approved but not paid","OK")))))))))</f>
        <v>0</v>
      </c>
    </row>
    <row r="210" spans="1:27">
      <c r="A210" s="28">
        <f>IF(B210="","",CommissionPrefix&amp;TEXT(ROW()-4,"0000"))</f>
        <v>0</v>
      </c>
      <c r="D210" s="15">
        <f>IF(C210="","",IFERROR(INDEX(Staff!$B$5:$B$44,MATCH(C210,Staff!$A$5:$A$44,0)),"Not in Staff"))</f>
        <v>0</v>
      </c>
      <c r="E210" s="15">
        <f>IF(C210="","",IFERROR(INDEX(Staff!$L$5:$L$44,MATCH(C210,Staff!$A$5:$A$44,0)),"None"))</f>
        <v>0</v>
      </c>
      <c r="K210" s="26">
        <f>IF(B210="","",ROUND(SUMIFS(Sales!$Y$5:$Y$1204,Sales!$F$5:$F$1204,C210,Sales!$R$5:$R$1204,B210,Sales!$H$5:$H$1204,"Service"),2))</f>
        <v>0</v>
      </c>
      <c r="L210" s="26">
        <f>IF(B210="","",ROUND(SUMIFS(Sales!$W$5:$W$1204,Sales!$F$5:$F$1204,C210,Sales!$R$5:$R$1204,B210,Sales!$H$5:$H$1204,"Service"),2))</f>
        <v>0</v>
      </c>
      <c r="M210" s="26">
        <f>IF(B210="","",ROUND(SUMIFS(Sales!$Y$5:$Y$1204,Sales!$F$5:$F$1204,C210,Sales!$R$5:$R$1204,B210,Sales!$H$5:$H$1204,"Retail"),2))</f>
        <v>0</v>
      </c>
      <c r="N210" s="26">
        <f>IF(B210="","",ROUND(SUMIFS(Sales!$W$5:$W$1204,Sales!$F$5:$F$1204,C210,Sales!$R$5:$R$1204,B210,Sales!$H$5:$H$1204,"Retail"),2))</f>
        <v>0</v>
      </c>
      <c r="O210" s="26">
        <f>IF(B210="","",ROUND(SUMIFS(Sales!$AB$5:$AB$1204,Sales!$F$5:$F$1204,C210,Sales!$R$5:$R$1204,B210,Sales!$H$5:$H$1204,"Service"),2))</f>
        <v>0</v>
      </c>
      <c r="P210" s="25">
        <f>IF(B210="","",COUNTIFS(Sales!$F$5:$F$1204,C210,Sales!$R$5:$R$1204,B210,Sales!$H$5:$H$1204,"Service"))</f>
        <v>0</v>
      </c>
      <c r="Q210" s="26">
        <f>IF(B210="","",IF(CommissionOn="Gross before discounts",L210,K210))</f>
        <v>0</v>
      </c>
      <c r="R210" s="26">
        <f>IF(B210="","",IF(CommissionOn="Gross before discounts",N210,M210))</f>
        <v>0</v>
      </c>
      <c r="S210" s="27">
        <f>IF(B210="","",IF(E210="Tiered on monthly service revenue",IFERROR(INDEX(TierRate,MATCH(Q210,TierFrom,1)),0),IFERROR(IF(INDEX(Staff!$M$5:$M$44,MATCH(C210,Staff!$A$5:$A$44,0))="",ServiceCommission,INDEX(Staff!$M$5:$M$44,MATCH(C210,Staff!$A$5:$A$44,0))),ServiceCommission)))</f>
        <v>0</v>
      </c>
      <c r="T210" s="27">
        <f>IF(B210="","",IFERROR(IF(INDEX(Staff!$N$5:$N$44,MATCH(C210,Staff!$A$5:$A$44,0))="",RetailCommission,INDEX(Staff!$N$5:$N$44,MATCH(C210,Staff!$A$5:$A$44,0))),RetailCommission))</f>
        <v>0</v>
      </c>
      <c r="U210" s="26">
        <f>IF(B210="","",IFERROR(INDEX(Staff!$O$5:$O$44,MATCH(C210,Staff!$A$5:$A$44,0))*1,0))</f>
        <v>0</v>
      </c>
      <c r="V210" s="26">
        <f>IF(B210="","",ROUND(IF(E210="Percent of service",Q210*S210,IF(E210="Percent of service and retail",Q210*S210+R210*T210,IF(E210="Percent after product cost",MAX(0,Q210-O210)*S210,IF(E210="Tiered on monthly service revenue",Q210*S210,IF(E210="Flat amount per service",P210*U210,0))))),2))</f>
        <v>0</v>
      </c>
      <c r="W210" s="26">
        <f>IF(B210="","",ROUND(SUMIFS(Payments!$G$5:$G$1204,Payments!$J$5:$J$1204,C210,Payments!$O$5:$O$1204,B210,Payments!$E$5:$E$1204,"Tip"),2))</f>
        <v>0</v>
      </c>
      <c r="X210" s="26">
        <f>IF(B210="","",ROUND(V210+IF(F210="",0,F210)+IF(G210="",0,G210),2))</f>
        <v>0</v>
      </c>
      <c r="Y210" s="27">
        <f>IF(B210="","",IF(Q210+R210=0,"",X210/(Q210+R210)))</f>
        <v>0</v>
      </c>
      <c r="Z210" s="25">
        <f>IF(B210="","",COUNTIFS($V$5:$V$244,"&gt;"&amp;V210)+COUNTIFS($V$5:V210,V210))</f>
        <v>0</v>
      </c>
      <c r="AA210" s="39">
        <f>IF(B210="","",IF(C210="","Add - whose commission is this?",IF(COUNTIFS($B$5:$B$244,B210,$C$5:$C$244,C210)&gt;1,"Duplicate - two rows for the same month",IF(E210="None","",IF(E210="Rent a chair","",IF(E210="Hourly only","",IF(X210=0,"Check - nothing calculated",IF(H210&lt;&gt;"Yes","Due - waiting for approval",IF(I210="","Due - approved but not paid","OK")))))))))</f>
        <v>0</v>
      </c>
    </row>
    <row r="211" spans="1:27">
      <c r="A211" s="28">
        <f>IF(B211="","",CommissionPrefix&amp;TEXT(ROW()-4,"0000"))</f>
        <v>0</v>
      </c>
      <c r="D211" s="15">
        <f>IF(C211="","",IFERROR(INDEX(Staff!$B$5:$B$44,MATCH(C211,Staff!$A$5:$A$44,0)),"Not in Staff"))</f>
        <v>0</v>
      </c>
      <c r="E211" s="15">
        <f>IF(C211="","",IFERROR(INDEX(Staff!$L$5:$L$44,MATCH(C211,Staff!$A$5:$A$44,0)),"None"))</f>
        <v>0</v>
      </c>
      <c r="K211" s="26">
        <f>IF(B211="","",ROUND(SUMIFS(Sales!$Y$5:$Y$1204,Sales!$F$5:$F$1204,C211,Sales!$R$5:$R$1204,B211,Sales!$H$5:$H$1204,"Service"),2))</f>
        <v>0</v>
      </c>
      <c r="L211" s="26">
        <f>IF(B211="","",ROUND(SUMIFS(Sales!$W$5:$W$1204,Sales!$F$5:$F$1204,C211,Sales!$R$5:$R$1204,B211,Sales!$H$5:$H$1204,"Service"),2))</f>
        <v>0</v>
      </c>
      <c r="M211" s="26">
        <f>IF(B211="","",ROUND(SUMIFS(Sales!$Y$5:$Y$1204,Sales!$F$5:$F$1204,C211,Sales!$R$5:$R$1204,B211,Sales!$H$5:$H$1204,"Retail"),2))</f>
        <v>0</v>
      </c>
      <c r="N211" s="26">
        <f>IF(B211="","",ROUND(SUMIFS(Sales!$W$5:$W$1204,Sales!$F$5:$F$1204,C211,Sales!$R$5:$R$1204,B211,Sales!$H$5:$H$1204,"Retail"),2))</f>
        <v>0</v>
      </c>
      <c r="O211" s="26">
        <f>IF(B211="","",ROUND(SUMIFS(Sales!$AB$5:$AB$1204,Sales!$F$5:$F$1204,C211,Sales!$R$5:$R$1204,B211,Sales!$H$5:$H$1204,"Service"),2))</f>
        <v>0</v>
      </c>
      <c r="P211" s="25">
        <f>IF(B211="","",COUNTIFS(Sales!$F$5:$F$1204,C211,Sales!$R$5:$R$1204,B211,Sales!$H$5:$H$1204,"Service"))</f>
        <v>0</v>
      </c>
      <c r="Q211" s="26">
        <f>IF(B211="","",IF(CommissionOn="Gross before discounts",L211,K211))</f>
        <v>0</v>
      </c>
      <c r="R211" s="26">
        <f>IF(B211="","",IF(CommissionOn="Gross before discounts",N211,M211))</f>
        <v>0</v>
      </c>
      <c r="S211" s="27">
        <f>IF(B211="","",IF(E211="Tiered on monthly service revenue",IFERROR(INDEX(TierRate,MATCH(Q211,TierFrom,1)),0),IFERROR(IF(INDEX(Staff!$M$5:$M$44,MATCH(C211,Staff!$A$5:$A$44,0))="",ServiceCommission,INDEX(Staff!$M$5:$M$44,MATCH(C211,Staff!$A$5:$A$44,0))),ServiceCommission)))</f>
        <v>0</v>
      </c>
      <c r="T211" s="27">
        <f>IF(B211="","",IFERROR(IF(INDEX(Staff!$N$5:$N$44,MATCH(C211,Staff!$A$5:$A$44,0))="",RetailCommission,INDEX(Staff!$N$5:$N$44,MATCH(C211,Staff!$A$5:$A$44,0))),RetailCommission))</f>
        <v>0</v>
      </c>
      <c r="U211" s="26">
        <f>IF(B211="","",IFERROR(INDEX(Staff!$O$5:$O$44,MATCH(C211,Staff!$A$5:$A$44,0))*1,0))</f>
        <v>0</v>
      </c>
      <c r="V211" s="26">
        <f>IF(B211="","",ROUND(IF(E211="Percent of service",Q211*S211,IF(E211="Percent of service and retail",Q211*S211+R211*T211,IF(E211="Percent after product cost",MAX(0,Q211-O211)*S211,IF(E211="Tiered on monthly service revenue",Q211*S211,IF(E211="Flat amount per service",P211*U211,0))))),2))</f>
        <v>0</v>
      </c>
      <c r="W211" s="26">
        <f>IF(B211="","",ROUND(SUMIFS(Payments!$G$5:$G$1204,Payments!$J$5:$J$1204,C211,Payments!$O$5:$O$1204,B211,Payments!$E$5:$E$1204,"Tip"),2))</f>
        <v>0</v>
      </c>
      <c r="X211" s="26">
        <f>IF(B211="","",ROUND(V211+IF(F211="",0,F211)+IF(G211="",0,G211),2))</f>
        <v>0</v>
      </c>
      <c r="Y211" s="27">
        <f>IF(B211="","",IF(Q211+R211=0,"",X211/(Q211+R211)))</f>
        <v>0</v>
      </c>
      <c r="Z211" s="25">
        <f>IF(B211="","",COUNTIFS($V$5:$V$244,"&gt;"&amp;V211)+COUNTIFS($V$5:V211,V211))</f>
        <v>0</v>
      </c>
      <c r="AA211" s="39">
        <f>IF(B211="","",IF(C211="","Add - whose commission is this?",IF(COUNTIFS($B$5:$B$244,B211,$C$5:$C$244,C211)&gt;1,"Duplicate - two rows for the same month",IF(E211="None","",IF(E211="Rent a chair","",IF(E211="Hourly only","",IF(X211=0,"Check - nothing calculated",IF(H211&lt;&gt;"Yes","Due - waiting for approval",IF(I211="","Due - approved but not paid","OK")))))))))</f>
        <v>0</v>
      </c>
    </row>
    <row r="212" spans="1:27">
      <c r="A212" s="28">
        <f>IF(B212="","",CommissionPrefix&amp;TEXT(ROW()-4,"0000"))</f>
        <v>0</v>
      </c>
      <c r="D212" s="15">
        <f>IF(C212="","",IFERROR(INDEX(Staff!$B$5:$B$44,MATCH(C212,Staff!$A$5:$A$44,0)),"Not in Staff"))</f>
        <v>0</v>
      </c>
      <c r="E212" s="15">
        <f>IF(C212="","",IFERROR(INDEX(Staff!$L$5:$L$44,MATCH(C212,Staff!$A$5:$A$44,0)),"None"))</f>
        <v>0</v>
      </c>
      <c r="K212" s="26">
        <f>IF(B212="","",ROUND(SUMIFS(Sales!$Y$5:$Y$1204,Sales!$F$5:$F$1204,C212,Sales!$R$5:$R$1204,B212,Sales!$H$5:$H$1204,"Service"),2))</f>
        <v>0</v>
      </c>
      <c r="L212" s="26">
        <f>IF(B212="","",ROUND(SUMIFS(Sales!$W$5:$W$1204,Sales!$F$5:$F$1204,C212,Sales!$R$5:$R$1204,B212,Sales!$H$5:$H$1204,"Service"),2))</f>
        <v>0</v>
      </c>
      <c r="M212" s="26">
        <f>IF(B212="","",ROUND(SUMIFS(Sales!$Y$5:$Y$1204,Sales!$F$5:$F$1204,C212,Sales!$R$5:$R$1204,B212,Sales!$H$5:$H$1204,"Retail"),2))</f>
        <v>0</v>
      </c>
      <c r="N212" s="26">
        <f>IF(B212="","",ROUND(SUMIFS(Sales!$W$5:$W$1204,Sales!$F$5:$F$1204,C212,Sales!$R$5:$R$1204,B212,Sales!$H$5:$H$1204,"Retail"),2))</f>
        <v>0</v>
      </c>
      <c r="O212" s="26">
        <f>IF(B212="","",ROUND(SUMIFS(Sales!$AB$5:$AB$1204,Sales!$F$5:$F$1204,C212,Sales!$R$5:$R$1204,B212,Sales!$H$5:$H$1204,"Service"),2))</f>
        <v>0</v>
      </c>
      <c r="P212" s="25">
        <f>IF(B212="","",COUNTIFS(Sales!$F$5:$F$1204,C212,Sales!$R$5:$R$1204,B212,Sales!$H$5:$H$1204,"Service"))</f>
        <v>0</v>
      </c>
      <c r="Q212" s="26">
        <f>IF(B212="","",IF(CommissionOn="Gross before discounts",L212,K212))</f>
        <v>0</v>
      </c>
      <c r="R212" s="26">
        <f>IF(B212="","",IF(CommissionOn="Gross before discounts",N212,M212))</f>
        <v>0</v>
      </c>
      <c r="S212" s="27">
        <f>IF(B212="","",IF(E212="Tiered on monthly service revenue",IFERROR(INDEX(TierRate,MATCH(Q212,TierFrom,1)),0),IFERROR(IF(INDEX(Staff!$M$5:$M$44,MATCH(C212,Staff!$A$5:$A$44,0))="",ServiceCommission,INDEX(Staff!$M$5:$M$44,MATCH(C212,Staff!$A$5:$A$44,0))),ServiceCommission)))</f>
        <v>0</v>
      </c>
      <c r="T212" s="27">
        <f>IF(B212="","",IFERROR(IF(INDEX(Staff!$N$5:$N$44,MATCH(C212,Staff!$A$5:$A$44,0))="",RetailCommission,INDEX(Staff!$N$5:$N$44,MATCH(C212,Staff!$A$5:$A$44,0))),RetailCommission))</f>
        <v>0</v>
      </c>
      <c r="U212" s="26">
        <f>IF(B212="","",IFERROR(INDEX(Staff!$O$5:$O$44,MATCH(C212,Staff!$A$5:$A$44,0))*1,0))</f>
        <v>0</v>
      </c>
      <c r="V212" s="26">
        <f>IF(B212="","",ROUND(IF(E212="Percent of service",Q212*S212,IF(E212="Percent of service and retail",Q212*S212+R212*T212,IF(E212="Percent after product cost",MAX(0,Q212-O212)*S212,IF(E212="Tiered on monthly service revenue",Q212*S212,IF(E212="Flat amount per service",P212*U212,0))))),2))</f>
        <v>0</v>
      </c>
      <c r="W212" s="26">
        <f>IF(B212="","",ROUND(SUMIFS(Payments!$G$5:$G$1204,Payments!$J$5:$J$1204,C212,Payments!$O$5:$O$1204,B212,Payments!$E$5:$E$1204,"Tip"),2))</f>
        <v>0</v>
      </c>
      <c r="X212" s="26">
        <f>IF(B212="","",ROUND(V212+IF(F212="",0,F212)+IF(G212="",0,G212),2))</f>
        <v>0</v>
      </c>
      <c r="Y212" s="27">
        <f>IF(B212="","",IF(Q212+R212=0,"",X212/(Q212+R212)))</f>
        <v>0</v>
      </c>
      <c r="Z212" s="25">
        <f>IF(B212="","",COUNTIFS($V$5:$V$244,"&gt;"&amp;V212)+COUNTIFS($V$5:V212,V212))</f>
        <v>0</v>
      </c>
      <c r="AA212" s="39">
        <f>IF(B212="","",IF(C212="","Add - whose commission is this?",IF(COUNTIFS($B$5:$B$244,B212,$C$5:$C$244,C212)&gt;1,"Duplicate - two rows for the same month",IF(E212="None","",IF(E212="Rent a chair","",IF(E212="Hourly only","",IF(X212=0,"Check - nothing calculated",IF(H212&lt;&gt;"Yes","Due - waiting for approval",IF(I212="","Due - approved but not paid","OK")))))))))</f>
        <v>0</v>
      </c>
    </row>
    <row r="213" spans="1:27">
      <c r="A213" s="28">
        <f>IF(B213="","",CommissionPrefix&amp;TEXT(ROW()-4,"0000"))</f>
        <v>0</v>
      </c>
      <c r="D213" s="15">
        <f>IF(C213="","",IFERROR(INDEX(Staff!$B$5:$B$44,MATCH(C213,Staff!$A$5:$A$44,0)),"Not in Staff"))</f>
        <v>0</v>
      </c>
      <c r="E213" s="15">
        <f>IF(C213="","",IFERROR(INDEX(Staff!$L$5:$L$44,MATCH(C213,Staff!$A$5:$A$44,0)),"None"))</f>
        <v>0</v>
      </c>
      <c r="K213" s="26">
        <f>IF(B213="","",ROUND(SUMIFS(Sales!$Y$5:$Y$1204,Sales!$F$5:$F$1204,C213,Sales!$R$5:$R$1204,B213,Sales!$H$5:$H$1204,"Service"),2))</f>
        <v>0</v>
      </c>
      <c r="L213" s="26">
        <f>IF(B213="","",ROUND(SUMIFS(Sales!$W$5:$W$1204,Sales!$F$5:$F$1204,C213,Sales!$R$5:$R$1204,B213,Sales!$H$5:$H$1204,"Service"),2))</f>
        <v>0</v>
      </c>
      <c r="M213" s="26">
        <f>IF(B213="","",ROUND(SUMIFS(Sales!$Y$5:$Y$1204,Sales!$F$5:$F$1204,C213,Sales!$R$5:$R$1204,B213,Sales!$H$5:$H$1204,"Retail"),2))</f>
        <v>0</v>
      </c>
      <c r="N213" s="26">
        <f>IF(B213="","",ROUND(SUMIFS(Sales!$W$5:$W$1204,Sales!$F$5:$F$1204,C213,Sales!$R$5:$R$1204,B213,Sales!$H$5:$H$1204,"Retail"),2))</f>
        <v>0</v>
      </c>
      <c r="O213" s="26">
        <f>IF(B213="","",ROUND(SUMIFS(Sales!$AB$5:$AB$1204,Sales!$F$5:$F$1204,C213,Sales!$R$5:$R$1204,B213,Sales!$H$5:$H$1204,"Service"),2))</f>
        <v>0</v>
      </c>
      <c r="P213" s="25">
        <f>IF(B213="","",COUNTIFS(Sales!$F$5:$F$1204,C213,Sales!$R$5:$R$1204,B213,Sales!$H$5:$H$1204,"Service"))</f>
        <v>0</v>
      </c>
      <c r="Q213" s="26">
        <f>IF(B213="","",IF(CommissionOn="Gross before discounts",L213,K213))</f>
        <v>0</v>
      </c>
      <c r="R213" s="26">
        <f>IF(B213="","",IF(CommissionOn="Gross before discounts",N213,M213))</f>
        <v>0</v>
      </c>
      <c r="S213" s="27">
        <f>IF(B213="","",IF(E213="Tiered on monthly service revenue",IFERROR(INDEX(TierRate,MATCH(Q213,TierFrom,1)),0),IFERROR(IF(INDEX(Staff!$M$5:$M$44,MATCH(C213,Staff!$A$5:$A$44,0))="",ServiceCommission,INDEX(Staff!$M$5:$M$44,MATCH(C213,Staff!$A$5:$A$44,0))),ServiceCommission)))</f>
        <v>0</v>
      </c>
      <c r="T213" s="27">
        <f>IF(B213="","",IFERROR(IF(INDEX(Staff!$N$5:$N$44,MATCH(C213,Staff!$A$5:$A$44,0))="",RetailCommission,INDEX(Staff!$N$5:$N$44,MATCH(C213,Staff!$A$5:$A$44,0))),RetailCommission))</f>
        <v>0</v>
      </c>
      <c r="U213" s="26">
        <f>IF(B213="","",IFERROR(INDEX(Staff!$O$5:$O$44,MATCH(C213,Staff!$A$5:$A$44,0))*1,0))</f>
        <v>0</v>
      </c>
      <c r="V213" s="26">
        <f>IF(B213="","",ROUND(IF(E213="Percent of service",Q213*S213,IF(E213="Percent of service and retail",Q213*S213+R213*T213,IF(E213="Percent after product cost",MAX(0,Q213-O213)*S213,IF(E213="Tiered on monthly service revenue",Q213*S213,IF(E213="Flat amount per service",P213*U213,0))))),2))</f>
        <v>0</v>
      </c>
      <c r="W213" s="26">
        <f>IF(B213="","",ROUND(SUMIFS(Payments!$G$5:$G$1204,Payments!$J$5:$J$1204,C213,Payments!$O$5:$O$1204,B213,Payments!$E$5:$E$1204,"Tip"),2))</f>
        <v>0</v>
      </c>
      <c r="X213" s="26">
        <f>IF(B213="","",ROUND(V213+IF(F213="",0,F213)+IF(G213="",0,G213),2))</f>
        <v>0</v>
      </c>
      <c r="Y213" s="27">
        <f>IF(B213="","",IF(Q213+R213=0,"",X213/(Q213+R213)))</f>
        <v>0</v>
      </c>
      <c r="Z213" s="25">
        <f>IF(B213="","",COUNTIFS($V$5:$V$244,"&gt;"&amp;V213)+COUNTIFS($V$5:V213,V213))</f>
        <v>0</v>
      </c>
      <c r="AA213" s="39">
        <f>IF(B213="","",IF(C213="","Add - whose commission is this?",IF(COUNTIFS($B$5:$B$244,B213,$C$5:$C$244,C213)&gt;1,"Duplicate - two rows for the same month",IF(E213="None","",IF(E213="Rent a chair","",IF(E213="Hourly only","",IF(X213=0,"Check - nothing calculated",IF(H213&lt;&gt;"Yes","Due - waiting for approval",IF(I213="","Due - approved but not paid","OK")))))))))</f>
        <v>0</v>
      </c>
    </row>
    <row r="214" spans="1:27">
      <c r="A214" s="28">
        <f>IF(B214="","",CommissionPrefix&amp;TEXT(ROW()-4,"0000"))</f>
        <v>0</v>
      </c>
      <c r="D214" s="15">
        <f>IF(C214="","",IFERROR(INDEX(Staff!$B$5:$B$44,MATCH(C214,Staff!$A$5:$A$44,0)),"Not in Staff"))</f>
        <v>0</v>
      </c>
      <c r="E214" s="15">
        <f>IF(C214="","",IFERROR(INDEX(Staff!$L$5:$L$44,MATCH(C214,Staff!$A$5:$A$44,0)),"None"))</f>
        <v>0</v>
      </c>
      <c r="K214" s="26">
        <f>IF(B214="","",ROUND(SUMIFS(Sales!$Y$5:$Y$1204,Sales!$F$5:$F$1204,C214,Sales!$R$5:$R$1204,B214,Sales!$H$5:$H$1204,"Service"),2))</f>
        <v>0</v>
      </c>
      <c r="L214" s="26">
        <f>IF(B214="","",ROUND(SUMIFS(Sales!$W$5:$W$1204,Sales!$F$5:$F$1204,C214,Sales!$R$5:$R$1204,B214,Sales!$H$5:$H$1204,"Service"),2))</f>
        <v>0</v>
      </c>
      <c r="M214" s="26">
        <f>IF(B214="","",ROUND(SUMIFS(Sales!$Y$5:$Y$1204,Sales!$F$5:$F$1204,C214,Sales!$R$5:$R$1204,B214,Sales!$H$5:$H$1204,"Retail"),2))</f>
        <v>0</v>
      </c>
      <c r="N214" s="26">
        <f>IF(B214="","",ROUND(SUMIFS(Sales!$W$5:$W$1204,Sales!$F$5:$F$1204,C214,Sales!$R$5:$R$1204,B214,Sales!$H$5:$H$1204,"Retail"),2))</f>
        <v>0</v>
      </c>
      <c r="O214" s="26">
        <f>IF(B214="","",ROUND(SUMIFS(Sales!$AB$5:$AB$1204,Sales!$F$5:$F$1204,C214,Sales!$R$5:$R$1204,B214,Sales!$H$5:$H$1204,"Service"),2))</f>
        <v>0</v>
      </c>
      <c r="P214" s="25">
        <f>IF(B214="","",COUNTIFS(Sales!$F$5:$F$1204,C214,Sales!$R$5:$R$1204,B214,Sales!$H$5:$H$1204,"Service"))</f>
        <v>0</v>
      </c>
      <c r="Q214" s="26">
        <f>IF(B214="","",IF(CommissionOn="Gross before discounts",L214,K214))</f>
        <v>0</v>
      </c>
      <c r="R214" s="26">
        <f>IF(B214="","",IF(CommissionOn="Gross before discounts",N214,M214))</f>
        <v>0</v>
      </c>
      <c r="S214" s="27">
        <f>IF(B214="","",IF(E214="Tiered on monthly service revenue",IFERROR(INDEX(TierRate,MATCH(Q214,TierFrom,1)),0),IFERROR(IF(INDEX(Staff!$M$5:$M$44,MATCH(C214,Staff!$A$5:$A$44,0))="",ServiceCommission,INDEX(Staff!$M$5:$M$44,MATCH(C214,Staff!$A$5:$A$44,0))),ServiceCommission)))</f>
        <v>0</v>
      </c>
      <c r="T214" s="27">
        <f>IF(B214="","",IFERROR(IF(INDEX(Staff!$N$5:$N$44,MATCH(C214,Staff!$A$5:$A$44,0))="",RetailCommission,INDEX(Staff!$N$5:$N$44,MATCH(C214,Staff!$A$5:$A$44,0))),RetailCommission))</f>
        <v>0</v>
      </c>
      <c r="U214" s="26">
        <f>IF(B214="","",IFERROR(INDEX(Staff!$O$5:$O$44,MATCH(C214,Staff!$A$5:$A$44,0))*1,0))</f>
        <v>0</v>
      </c>
      <c r="V214" s="26">
        <f>IF(B214="","",ROUND(IF(E214="Percent of service",Q214*S214,IF(E214="Percent of service and retail",Q214*S214+R214*T214,IF(E214="Percent after product cost",MAX(0,Q214-O214)*S214,IF(E214="Tiered on monthly service revenue",Q214*S214,IF(E214="Flat amount per service",P214*U214,0))))),2))</f>
        <v>0</v>
      </c>
      <c r="W214" s="26">
        <f>IF(B214="","",ROUND(SUMIFS(Payments!$G$5:$G$1204,Payments!$J$5:$J$1204,C214,Payments!$O$5:$O$1204,B214,Payments!$E$5:$E$1204,"Tip"),2))</f>
        <v>0</v>
      </c>
      <c r="X214" s="26">
        <f>IF(B214="","",ROUND(V214+IF(F214="",0,F214)+IF(G214="",0,G214),2))</f>
        <v>0</v>
      </c>
      <c r="Y214" s="27">
        <f>IF(B214="","",IF(Q214+R214=0,"",X214/(Q214+R214)))</f>
        <v>0</v>
      </c>
      <c r="Z214" s="25">
        <f>IF(B214="","",COUNTIFS($V$5:$V$244,"&gt;"&amp;V214)+COUNTIFS($V$5:V214,V214))</f>
        <v>0</v>
      </c>
      <c r="AA214" s="39">
        <f>IF(B214="","",IF(C214="","Add - whose commission is this?",IF(COUNTIFS($B$5:$B$244,B214,$C$5:$C$244,C214)&gt;1,"Duplicate - two rows for the same month",IF(E214="None","",IF(E214="Rent a chair","",IF(E214="Hourly only","",IF(X214=0,"Check - nothing calculated",IF(H214&lt;&gt;"Yes","Due - waiting for approval",IF(I214="","Due - approved but not paid","OK")))))))))</f>
        <v>0</v>
      </c>
    </row>
    <row r="215" spans="1:27">
      <c r="A215" s="28">
        <f>IF(B215="","",CommissionPrefix&amp;TEXT(ROW()-4,"0000"))</f>
        <v>0</v>
      </c>
      <c r="D215" s="15">
        <f>IF(C215="","",IFERROR(INDEX(Staff!$B$5:$B$44,MATCH(C215,Staff!$A$5:$A$44,0)),"Not in Staff"))</f>
        <v>0</v>
      </c>
      <c r="E215" s="15">
        <f>IF(C215="","",IFERROR(INDEX(Staff!$L$5:$L$44,MATCH(C215,Staff!$A$5:$A$44,0)),"None"))</f>
        <v>0</v>
      </c>
      <c r="K215" s="26">
        <f>IF(B215="","",ROUND(SUMIFS(Sales!$Y$5:$Y$1204,Sales!$F$5:$F$1204,C215,Sales!$R$5:$R$1204,B215,Sales!$H$5:$H$1204,"Service"),2))</f>
        <v>0</v>
      </c>
      <c r="L215" s="26">
        <f>IF(B215="","",ROUND(SUMIFS(Sales!$W$5:$W$1204,Sales!$F$5:$F$1204,C215,Sales!$R$5:$R$1204,B215,Sales!$H$5:$H$1204,"Service"),2))</f>
        <v>0</v>
      </c>
      <c r="M215" s="26">
        <f>IF(B215="","",ROUND(SUMIFS(Sales!$Y$5:$Y$1204,Sales!$F$5:$F$1204,C215,Sales!$R$5:$R$1204,B215,Sales!$H$5:$H$1204,"Retail"),2))</f>
        <v>0</v>
      </c>
      <c r="N215" s="26">
        <f>IF(B215="","",ROUND(SUMIFS(Sales!$W$5:$W$1204,Sales!$F$5:$F$1204,C215,Sales!$R$5:$R$1204,B215,Sales!$H$5:$H$1204,"Retail"),2))</f>
        <v>0</v>
      </c>
      <c r="O215" s="26">
        <f>IF(B215="","",ROUND(SUMIFS(Sales!$AB$5:$AB$1204,Sales!$F$5:$F$1204,C215,Sales!$R$5:$R$1204,B215,Sales!$H$5:$H$1204,"Service"),2))</f>
        <v>0</v>
      </c>
      <c r="P215" s="25">
        <f>IF(B215="","",COUNTIFS(Sales!$F$5:$F$1204,C215,Sales!$R$5:$R$1204,B215,Sales!$H$5:$H$1204,"Service"))</f>
        <v>0</v>
      </c>
      <c r="Q215" s="26">
        <f>IF(B215="","",IF(CommissionOn="Gross before discounts",L215,K215))</f>
        <v>0</v>
      </c>
      <c r="R215" s="26">
        <f>IF(B215="","",IF(CommissionOn="Gross before discounts",N215,M215))</f>
        <v>0</v>
      </c>
      <c r="S215" s="27">
        <f>IF(B215="","",IF(E215="Tiered on monthly service revenue",IFERROR(INDEX(TierRate,MATCH(Q215,TierFrom,1)),0),IFERROR(IF(INDEX(Staff!$M$5:$M$44,MATCH(C215,Staff!$A$5:$A$44,0))="",ServiceCommission,INDEX(Staff!$M$5:$M$44,MATCH(C215,Staff!$A$5:$A$44,0))),ServiceCommission)))</f>
        <v>0</v>
      </c>
      <c r="T215" s="27">
        <f>IF(B215="","",IFERROR(IF(INDEX(Staff!$N$5:$N$44,MATCH(C215,Staff!$A$5:$A$44,0))="",RetailCommission,INDEX(Staff!$N$5:$N$44,MATCH(C215,Staff!$A$5:$A$44,0))),RetailCommission))</f>
        <v>0</v>
      </c>
      <c r="U215" s="26">
        <f>IF(B215="","",IFERROR(INDEX(Staff!$O$5:$O$44,MATCH(C215,Staff!$A$5:$A$44,0))*1,0))</f>
        <v>0</v>
      </c>
      <c r="V215" s="26">
        <f>IF(B215="","",ROUND(IF(E215="Percent of service",Q215*S215,IF(E215="Percent of service and retail",Q215*S215+R215*T215,IF(E215="Percent after product cost",MAX(0,Q215-O215)*S215,IF(E215="Tiered on monthly service revenue",Q215*S215,IF(E215="Flat amount per service",P215*U215,0))))),2))</f>
        <v>0</v>
      </c>
      <c r="W215" s="26">
        <f>IF(B215="","",ROUND(SUMIFS(Payments!$G$5:$G$1204,Payments!$J$5:$J$1204,C215,Payments!$O$5:$O$1204,B215,Payments!$E$5:$E$1204,"Tip"),2))</f>
        <v>0</v>
      </c>
      <c r="X215" s="26">
        <f>IF(B215="","",ROUND(V215+IF(F215="",0,F215)+IF(G215="",0,G215),2))</f>
        <v>0</v>
      </c>
      <c r="Y215" s="27">
        <f>IF(B215="","",IF(Q215+R215=0,"",X215/(Q215+R215)))</f>
        <v>0</v>
      </c>
      <c r="Z215" s="25">
        <f>IF(B215="","",COUNTIFS($V$5:$V$244,"&gt;"&amp;V215)+COUNTIFS($V$5:V215,V215))</f>
        <v>0</v>
      </c>
      <c r="AA215" s="39">
        <f>IF(B215="","",IF(C215="","Add - whose commission is this?",IF(COUNTIFS($B$5:$B$244,B215,$C$5:$C$244,C215)&gt;1,"Duplicate - two rows for the same month",IF(E215="None","",IF(E215="Rent a chair","",IF(E215="Hourly only","",IF(X215=0,"Check - nothing calculated",IF(H215&lt;&gt;"Yes","Due - waiting for approval",IF(I215="","Due - approved but not paid","OK")))))))))</f>
        <v>0</v>
      </c>
    </row>
    <row r="216" spans="1:27">
      <c r="A216" s="28">
        <f>IF(B216="","",CommissionPrefix&amp;TEXT(ROW()-4,"0000"))</f>
        <v>0</v>
      </c>
      <c r="D216" s="15">
        <f>IF(C216="","",IFERROR(INDEX(Staff!$B$5:$B$44,MATCH(C216,Staff!$A$5:$A$44,0)),"Not in Staff"))</f>
        <v>0</v>
      </c>
      <c r="E216" s="15">
        <f>IF(C216="","",IFERROR(INDEX(Staff!$L$5:$L$44,MATCH(C216,Staff!$A$5:$A$44,0)),"None"))</f>
        <v>0</v>
      </c>
      <c r="K216" s="26">
        <f>IF(B216="","",ROUND(SUMIFS(Sales!$Y$5:$Y$1204,Sales!$F$5:$F$1204,C216,Sales!$R$5:$R$1204,B216,Sales!$H$5:$H$1204,"Service"),2))</f>
        <v>0</v>
      </c>
      <c r="L216" s="26">
        <f>IF(B216="","",ROUND(SUMIFS(Sales!$W$5:$W$1204,Sales!$F$5:$F$1204,C216,Sales!$R$5:$R$1204,B216,Sales!$H$5:$H$1204,"Service"),2))</f>
        <v>0</v>
      </c>
      <c r="M216" s="26">
        <f>IF(B216="","",ROUND(SUMIFS(Sales!$Y$5:$Y$1204,Sales!$F$5:$F$1204,C216,Sales!$R$5:$R$1204,B216,Sales!$H$5:$H$1204,"Retail"),2))</f>
        <v>0</v>
      </c>
      <c r="N216" s="26">
        <f>IF(B216="","",ROUND(SUMIFS(Sales!$W$5:$W$1204,Sales!$F$5:$F$1204,C216,Sales!$R$5:$R$1204,B216,Sales!$H$5:$H$1204,"Retail"),2))</f>
        <v>0</v>
      </c>
      <c r="O216" s="26">
        <f>IF(B216="","",ROUND(SUMIFS(Sales!$AB$5:$AB$1204,Sales!$F$5:$F$1204,C216,Sales!$R$5:$R$1204,B216,Sales!$H$5:$H$1204,"Service"),2))</f>
        <v>0</v>
      </c>
      <c r="P216" s="25">
        <f>IF(B216="","",COUNTIFS(Sales!$F$5:$F$1204,C216,Sales!$R$5:$R$1204,B216,Sales!$H$5:$H$1204,"Service"))</f>
        <v>0</v>
      </c>
      <c r="Q216" s="26">
        <f>IF(B216="","",IF(CommissionOn="Gross before discounts",L216,K216))</f>
        <v>0</v>
      </c>
      <c r="R216" s="26">
        <f>IF(B216="","",IF(CommissionOn="Gross before discounts",N216,M216))</f>
        <v>0</v>
      </c>
      <c r="S216" s="27">
        <f>IF(B216="","",IF(E216="Tiered on monthly service revenue",IFERROR(INDEX(TierRate,MATCH(Q216,TierFrom,1)),0),IFERROR(IF(INDEX(Staff!$M$5:$M$44,MATCH(C216,Staff!$A$5:$A$44,0))="",ServiceCommission,INDEX(Staff!$M$5:$M$44,MATCH(C216,Staff!$A$5:$A$44,0))),ServiceCommission)))</f>
        <v>0</v>
      </c>
      <c r="T216" s="27">
        <f>IF(B216="","",IFERROR(IF(INDEX(Staff!$N$5:$N$44,MATCH(C216,Staff!$A$5:$A$44,0))="",RetailCommission,INDEX(Staff!$N$5:$N$44,MATCH(C216,Staff!$A$5:$A$44,0))),RetailCommission))</f>
        <v>0</v>
      </c>
      <c r="U216" s="26">
        <f>IF(B216="","",IFERROR(INDEX(Staff!$O$5:$O$44,MATCH(C216,Staff!$A$5:$A$44,0))*1,0))</f>
        <v>0</v>
      </c>
      <c r="V216" s="26">
        <f>IF(B216="","",ROUND(IF(E216="Percent of service",Q216*S216,IF(E216="Percent of service and retail",Q216*S216+R216*T216,IF(E216="Percent after product cost",MAX(0,Q216-O216)*S216,IF(E216="Tiered on monthly service revenue",Q216*S216,IF(E216="Flat amount per service",P216*U216,0))))),2))</f>
        <v>0</v>
      </c>
      <c r="W216" s="26">
        <f>IF(B216="","",ROUND(SUMIFS(Payments!$G$5:$G$1204,Payments!$J$5:$J$1204,C216,Payments!$O$5:$O$1204,B216,Payments!$E$5:$E$1204,"Tip"),2))</f>
        <v>0</v>
      </c>
      <c r="X216" s="26">
        <f>IF(B216="","",ROUND(V216+IF(F216="",0,F216)+IF(G216="",0,G216),2))</f>
        <v>0</v>
      </c>
      <c r="Y216" s="27">
        <f>IF(B216="","",IF(Q216+R216=0,"",X216/(Q216+R216)))</f>
        <v>0</v>
      </c>
      <c r="Z216" s="25">
        <f>IF(B216="","",COUNTIFS($V$5:$V$244,"&gt;"&amp;V216)+COUNTIFS($V$5:V216,V216))</f>
        <v>0</v>
      </c>
      <c r="AA216" s="39">
        <f>IF(B216="","",IF(C216="","Add - whose commission is this?",IF(COUNTIFS($B$5:$B$244,B216,$C$5:$C$244,C216)&gt;1,"Duplicate - two rows for the same month",IF(E216="None","",IF(E216="Rent a chair","",IF(E216="Hourly only","",IF(X216=0,"Check - nothing calculated",IF(H216&lt;&gt;"Yes","Due - waiting for approval",IF(I216="","Due - approved but not paid","OK")))))))))</f>
        <v>0</v>
      </c>
    </row>
    <row r="217" spans="1:27">
      <c r="A217" s="28">
        <f>IF(B217="","",CommissionPrefix&amp;TEXT(ROW()-4,"0000"))</f>
        <v>0</v>
      </c>
      <c r="D217" s="15">
        <f>IF(C217="","",IFERROR(INDEX(Staff!$B$5:$B$44,MATCH(C217,Staff!$A$5:$A$44,0)),"Not in Staff"))</f>
        <v>0</v>
      </c>
      <c r="E217" s="15">
        <f>IF(C217="","",IFERROR(INDEX(Staff!$L$5:$L$44,MATCH(C217,Staff!$A$5:$A$44,0)),"None"))</f>
        <v>0</v>
      </c>
      <c r="K217" s="26">
        <f>IF(B217="","",ROUND(SUMIFS(Sales!$Y$5:$Y$1204,Sales!$F$5:$F$1204,C217,Sales!$R$5:$R$1204,B217,Sales!$H$5:$H$1204,"Service"),2))</f>
        <v>0</v>
      </c>
      <c r="L217" s="26">
        <f>IF(B217="","",ROUND(SUMIFS(Sales!$W$5:$W$1204,Sales!$F$5:$F$1204,C217,Sales!$R$5:$R$1204,B217,Sales!$H$5:$H$1204,"Service"),2))</f>
        <v>0</v>
      </c>
      <c r="M217" s="26">
        <f>IF(B217="","",ROUND(SUMIFS(Sales!$Y$5:$Y$1204,Sales!$F$5:$F$1204,C217,Sales!$R$5:$R$1204,B217,Sales!$H$5:$H$1204,"Retail"),2))</f>
        <v>0</v>
      </c>
      <c r="N217" s="26">
        <f>IF(B217="","",ROUND(SUMIFS(Sales!$W$5:$W$1204,Sales!$F$5:$F$1204,C217,Sales!$R$5:$R$1204,B217,Sales!$H$5:$H$1204,"Retail"),2))</f>
        <v>0</v>
      </c>
      <c r="O217" s="26">
        <f>IF(B217="","",ROUND(SUMIFS(Sales!$AB$5:$AB$1204,Sales!$F$5:$F$1204,C217,Sales!$R$5:$R$1204,B217,Sales!$H$5:$H$1204,"Service"),2))</f>
        <v>0</v>
      </c>
      <c r="P217" s="25">
        <f>IF(B217="","",COUNTIFS(Sales!$F$5:$F$1204,C217,Sales!$R$5:$R$1204,B217,Sales!$H$5:$H$1204,"Service"))</f>
        <v>0</v>
      </c>
      <c r="Q217" s="26">
        <f>IF(B217="","",IF(CommissionOn="Gross before discounts",L217,K217))</f>
        <v>0</v>
      </c>
      <c r="R217" s="26">
        <f>IF(B217="","",IF(CommissionOn="Gross before discounts",N217,M217))</f>
        <v>0</v>
      </c>
      <c r="S217" s="27">
        <f>IF(B217="","",IF(E217="Tiered on monthly service revenue",IFERROR(INDEX(TierRate,MATCH(Q217,TierFrom,1)),0),IFERROR(IF(INDEX(Staff!$M$5:$M$44,MATCH(C217,Staff!$A$5:$A$44,0))="",ServiceCommission,INDEX(Staff!$M$5:$M$44,MATCH(C217,Staff!$A$5:$A$44,0))),ServiceCommission)))</f>
        <v>0</v>
      </c>
      <c r="T217" s="27">
        <f>IF(B217="","",IFERROR(IF(INDEX(Staff!$N$5:$N$44,MATCH(C217,Staff!$A$5:$A$44,0))="",RetailCommission,INDEX(Staff!$N$5:$N$44,MATCH(C217,Staff!$A$5:$A$44,0))),RetailCommission))</f>
        <v>0</v>
      </c>
      <c r="U217" s="26">
        <f>IF(B217="","",IFERROR(INDEX(Staff!$O$5:$O$44,MATCH(C217,Staff!$A$5:$A$44,0))*1,0))</f>
        <v>0</v>
      </c>
      <c r="V217" s="26">
        <f>IF(B217="","",ROUND(IF(E217="Percent of service",Q217*S217,IF(E217="Percent of service and retail",Q217*S217+R217*T217,IF(E217="Percent after product cost",MAX(0,Q217-O217)*S217,IF(E217="Tiered on monthly service revenue",Q217*S217,IF(E217="Flat amount per service",P217*U217,0))))),2))</f>
        <v>0</v>
      </c>
      <c r="W217" s="26">
        <f>IF(B217="","",ROUND(SUMIFS(Payments!$G$5:$G$1204,Payments!$J$5:$J$1204,C217,Payments!$O$5:$O$1204,B217,Payments!$E$5:$E$1204,"Tip"),2))</f>
        <v>0</v>
      </c>
      <c r="X217" s="26">
        <f>IF(B217="","",ROUND(V217+IF(F217="",0,F217)+IF(G217="",0,G217),2))</f>
        <v>0</v>
      </c>
      <c r="Y217" s="27">
        <f>IF(B217="","",IF(Q217+R217=0,"",X217/(Q217+R217)))</f>
        <v>0</v>
      </c>
      <c r="Z217" s="25">
        <f>IF(B217="","",COUNTIFS($V$5:$V$244,"&gt;"&amp;V217)+COUNTIFS($V$5:V217,V217))</f>
        <v>0</v>
      </c>
      <c r="AA217" s="39">
        <f>IF(B217="","",IF(C217="","Add - whose commission is this?",IF(COUNTIFS($B$5:$B$244,B217,$C$5:$C$244,C217)&gt;1,"Duplicate - two rows for the same month",IF(E217="None","",IF(E217="Rent a chair","",IF(E217="Hourly only","",IF(X217=0,"Check - nothing calculated",IF(H217&lt;&gt;"Yes","Due - waiting for approval",IF(I217="","Due - approved but not paid","OK")))))))))</f>
        <v>0</v>
      </c>
    </row>
    <row r="218" spans="1:27">
      <c r="A218" s="28">
        <f>IF(B218="","",CommissionPrefix&amp;TEXT(ROW()-4,"0000"))</f>
        <v>0</v>
      </c>
      <c r="D218" s="15">
        <f>IF(C218="","",IFERROR(INDEX(Staff!$B$5:$B$44,MATCH(C218,Staff!$A$5:$A$44,0)),"Not in Staff"))</f>
        <v>0</v>
      </c>
      <c r="E218" s="15">
        <f>IF(C218="","",IFERROR(INDEX(Staff!$L$5:$L$44,MATCH(C218,Staff!$A$5:$A$44,0)),"None"))</f>
        <v>0</v>
      </c>
      <c r="K218" s="26">
        <f>IF(B218="","",ROUND(SUMIFS(Sales!$Y$5:$Y$1204,Sales!$F$5:$F$1204,C218,Sales!$R$5:$R$1204,B218,Sales!$H$5:$H$1204,"Service"),2))</f>
        <v>0</v>
      </c>
      <c r="L218" s="26">
        <f>IF(B218="","",ROUND(SUMIFS(Sales!$W$5:$W$1204,Sales!$F$5:$F$1204,C218,Sales!$R$5:$R$1204,B218,Sales!$H$5:$H$1204,"Service"),2))</f>
        <v>0</v>
      </c>
      <c r="M218" s="26">
        <f>IF(B218="","",ROUND(SUMIFS(Sales!$Y$5:$Y$1204,Sales!$F$5:$F$1204,C218,Sales!$R$5:$R$1204,B218,Sales!$H$5:$H$1204,"Retail"),2))</f>
        <v>0</v>
      </c>
      <c r="N218" s="26">
        <f>IF(B218="","",ROUND(SUMIFS(Sales!$W$5:$W$1204,Sales!$F$5:$F$1204,C218,Sales!$R$5:$R$1204,B218,Sales!$H$5:$H$1204,"Retail"),2))</f>
        <v>0</v>
      </c>
      <c r="O218" s="26">
        <f>IF(B218="","",ROUND(SUMIFS(Sales!$AB$5:$AB$1204,Sales!$F$5:$F$1204,C218,Sales!$R$5:$R$1204,B218,Sales!$H$5:$H$1204,"Service"),2))</f>
        <v>0</v>
      </c>
      <c r="P218" s="25">
        <f>IF(B218="","",COUNTIFS(Sales!$F$5:$F$1204,C218,Sales!$R$5:$R$1204,B218,Sales!$H$5:$H$1204,"Service"))</f>
        <v>0</v>
      </c>
      <c r="Q218" s="26">
        <f>IF(B218="","",IF(CommissionOn="Gross before discounts",L218,K218))</f>
        <v>0</v>
      </c>
      <c r="R218" s="26">
        <f>IF(B218="","",IF(CommissionOn="Gross before discounts",N218,M218))</f>
        <v>0</v>
      </c>
      <c r="S218" s="27">
        <f>IF(B218="","",IF(E218="Tiered on monthly service revenue",IFERROR(INDEX(TierRate,MATCH(Q218,TierFrom,1)),0),IFERROR(IF(INDEX(Staff!$M$5:$M$44,MATCH(C218,Staff!$A$5:$A$44,0))="",ServiceCommission,INDEX(Staff!$M$5:$M$44,MATCH(C218,Staff!$A$5:$A$44,0))),ServiceCommission)))</f>
        <v>0</v>
      </c>
      <c r="T218" s="27">
        <f>IF(B218="","",IFERROR(IF(INDEX(Staff!$N$5:$N$44,MATCH(C218,Staff!$A$5:$A$44,0))="",RetailCommission,INDEX(Staff!$N$5:$N$44,MATCH(C218,Staff!$A$5:$A$44,0))),RetailCommission))</f>
        <v>0</v>
      </c>
      <c r="U218" s="26">
        <f>IF(B218="","",IFERROR(INDEX(Staff!$O$5:$O$44,MATCH(C218,Staff!$A$5:$A$44,0))*1,0))</f>
        <v>0</v>
      </c>
      <c r="V218" s="26">
        <f>IF(B218="","",ROUND(IF(E218="Percent of service",Q218*S218,IF(E218="Percent of service and retail",Q218*S218+R218*T218,IF(E218="Percent after product cost",MAX(0,Q218-O218)*S218,IF(E218="Tiered on monthly service revenue",Q218*S218,IF(E218="Flat amount per service",P218*U218,0))))),2))</f>
        <v>0</v>
      </c>
      <c r="W218" s="26">
        <f>IF(B218="","",ROUND(SUMIFS(Payments!$G$5:$G$1204,Payments!$J$5:$J$1204,C218,Payments!$O$5:$O$1204,B218,Payments!$E$5:$E$1204,"Tip"),2))</f>
        <v>0</v>
      </c>
      <c r="X218" s="26">
        <f>IF(B218="","",ROUND(V218+IF(F218="",0,F218)+IF(G218="",0,G218),2))</f>
        <v>0</v>
      </c>
      <c r="Y218" s="27">
        <f>IF(B218="","",IF(Q218+R218=0,"",X218/(Q218+R218)))</f>
        <v>0</v>
      </c>
      <c r="Z218" s="25">
        <f>IF(B218="","",COUNTIFS($V$5:$V$244,"&gt;"&amp;V218)+COUNTIFS($V$5:V218,V218))</f>
        <v>0</v>
      </c>
      <c r="AA218" s="39">
        <f>IF(B218="","",IF(C218="","Add - whose commission is this?",IF(COUNTIFS($B$5:$B$244,B218,$C$5:$C$244,C218)&gt;1,"Duplicate - two rows for the same month",IF(E218="None","",IF(E218="Rent a chair","",IF(E218="Hourly only","",IF(X218=0,"Check - nothing calculated",IF(H218&lt;&gt;"Yes","Due - waiting for approval",IF(I218="","Due - approved but not paid","OK")))))))))</f>
        <v>0</v>
      </c>
    </row>
    <row r="219" spans="1:27">
      <c r="A219" s="28">
        <f>IF(B219="","",CommissionPrefix&amp;TEXT(ROW()-4,"0000"))</f>
        <v>0</v>
      </c>
      <c r="D219" s="15">
        <f>IF(C219="","",IFERROR(INDEX(Staff!$B$5:$B$44,MATCH(C219,Staff!$A$5:$A$44,0)),"Not in Staff"))</f>
        <v>0</v>
      </c>
      <c r="E219" s="15">
        <f>IF(C219="","",IFERROR(INDEX(Staff!$L$5:$L$44,MATCH(C219,Staff!$A$5:$A$44,0)),"None"))</f>
        <v>0</v>
      </c>
      <c r="K219" s="26">
        <f>IF(B219="","",ROUND(SUMIFS(Sales!$Y$5:$Y$1204,Sales!$F$5:$F$1204,C219,Sales!$R$5:$R$1204,B219,Sales!$H$5:$H$1204,"Service"),2))</f>
        <v>0</v>
      </c>
      <c r="L219" s="26">
        <f>IF(B219="","",ROUND(SUMIFS(Sales!$W$5:$W$1204,Sales!$F$5:$F$1204,C219,Sales!$R$5:$R$1204,B219,Sales!$H$5:$H$1204,"Service"),2))</f>
        <v>0</v>
      </c>
      <c r="M219" s="26">
        <f>IF(B219="","",ROUND(SUMIFS(Sales!$Y$5:$Y$1204,Sales!$F$5:$F$1204,C219,Sales!$R$5:$R$1204,B219,Sales!$H$5:$H$1204,"Retail"),2))</f>
        <v>0</v>
      </c>
      <c r="N219" s="26">
        <f>IF(B219="","",ROUND(SUMIFS(Sales!$W$5:$W$1204,Sales!$F$5:$F$1204,C219,Sales!$R$5:$R$1204,B219,Sales!$H$5:$H$1204,"Retail"),2))</f>
        <v>0</v>
      </c>
      <c r="O219" s="26">
        <f>IF(B219="","",ROUND(SUMIFS(Sales!$AB$5:$AB$1204,Sales!$F$5:$F$1204,C219,Sales!$R$5:$R$1204,B219,Sales!$H$5:$H$1204,"Service"),2))</f>
        <v>0</v>
      </c>
      <c r="P219" s="25">
        <f>IF(B219="","",COUNTIFS(Sales!$F$5:$F$1204,C219,Sales!$R$5:$R$1204,B219,Sales!$H$5:$H$1204,"Service"))</f>
        <v>0</v>
      </c>
      <c r="Q219" s="26">
        <f>IF(B219="","",IF(CommissionOn="Gross before discounts",L219,K219))</f>
        <v>0</v>
      </c>
      <c r="R219" s="26">
        <f>IF(B219="","",IF(CommissionOn="Gross before discounts",N219,M219))</f>
        <v>0</v>
      </c>
      <c r="S219" s="27">
        <f>IF(B219="","",IF(E219="Tiered on monthly service revenue",IFERROR(INDEX(TierRate,MATCH(Q219,TierFrom,1)),0),IFERROR(IF(INDEX(Staff!$M$5:$M$44,MATCH(C219,Staff!$A$5:$A$44,0))="",ServiceCommission,INDEX(Staff!$M$5:$M$44,MATCH(C219,Staff!$A$5:$A$44,0))),ServiceCommission)))</f>
        <v>0</v>
      </c>
      <c r="T219" s="27">
        <f>IF(B219="","",IFERROR(IF(INDEX(Staff!$N$5:$N$44,MATCH(C219,Staff!$A$5:$A$44,0))="",RetailCommission,INDEX(Staff!$N$5:$N$44,MATCH(C219,Staff!$A$5:$A$44,0))),RetailCommission))</f>
        <v>0</v>
      </c>
      <c r="U219" s="26">
        <f>IF(B219="","",IFERROR(INDEX(Staff!$O$5:$O$44,MATCH(C219,Staff!$A$5:$A$44,0))*1,0))</f>
        <v>0</v>
      </c>
      <c r="V219" s="26">
        <f>IF(B219="","",ROUND(IF(E219="Percent of service",Q219*S219,IF(E219="Percent of service and retail",Q219*S219+R219*T219,IF(E219="Percent after product cost",MAX(0,Q219-O219)*S219,IF(E219="Tiered on monthly service revenue",Q219*S219,IF(E219="Flat amount per service",P219*U219,0))))),2))</f>
        <v>0</v>
      </c>
      <c r="W219" s="26">
        <f>IF(B219="","",ROUND(SUMIFS(Payments!$G$5:$G$1204,Payments!$J$5:$J$1204,C219,Payments!$O$5:$O$1204,B219,Payments!$E$5:$E$1204,"Tip"),2))</f>
        <v>0</v>
      </c>
      <c r="X219" s="26">
        <f>IF(B219="","",ROUND(V219+IF(F219="",0,F219)+IF(G219="",0,G219),2))</f>
        <v>0</v>
      </c>
      <c r="Y219" s="27">
        <f>IF(B219="","",IF(Q219+R219=0,"",X219/(Q219+R219)))</f>
        <v>0</v>
      </c>
      <c r="Z219" s="25">
        <f>IF(B219="","",COUNTIFS($V$5:$V$244,"&gt;"&amp;V219)+COUNTIFS($V$5:V219,V219))</f>
        <v>0</v>
      </c>
      <c r="AA219" s="39">
        <f>IF(B219="","",IF(C219="","Add - whose commission is this?",IF(COUNTIFS($B$5:$B$244,B219,$C$5:$C$244,C219)&gt;1,"Duplicate - two rows for the same month",IF(E219="None","",IF(E219="Rent a chair","",IF(E219="Hourly only","",IF(X219=0,"Check - nothing calculated",IF(H219&lt;&gt;"Yes","Due - waiting for approval",IF(I219="","Due - approved but not paid","OK")))))))))</f>
        <v>0</v>
      </c>
    </row>
    <row r="220" spans="1:27">
      <c r="A220" s="28">
        <f>IF(B220="","",CommissionPrefix&amp;TEXT(ROW()-4,"0000"))</f>
        <v>0</v>
      </c>
      <c r="D220" s="15">
        <f>IF(C220="","",IFERROR(INDEX(Staff!$B$5:$B$44,MATCH(C220,Staff!$A$5:$A$44,0)),"Not in Staff"))</f>
        <v>0</v>
      </c>
      <c r="E220" s="15">
        <f>IF(C220="","",IFERROR(INDEX(Staff!$L$5:$L$44,MATCH(C220,Staff!$A$5:$A$44,0)),"None"))</f>
        <v>0</v>
      </c>
      <c r="K220" s="26">
        <f>IF(B220="","",ROUND(SUMIFS(Sales!$Y$5:$Y$1204,Sales!$F$5:$F$1204,C220,Sales!$R$5:$R$1204,B220,Sales!$H$5:$H$1204,"Service"),2))</f>
        <v>0</v>
      </c>
      <c r="L220" s="26">
        <f>IF(B220="","",ROUND(SUMIFS(Sales!$W$5:$W$1204,Sales!$F$5:$F$1204,C220,Sales!$R$5:$R$1204,B220,Sales!$H$5:$H$1204,"Service"),2))</f>
        <v>0</v>
      </c>
      <c r="M220" s="26">
        <f>IF(B220="","",ROUND(SUMIFS(Sales!$Y$5:$Y$1204,Sales!$F$5:$F$1204,C220,Sales!$R$5:$R$1204,B220,Sales!$H$5:$H$1204,"Retail"),2))</f>
        <v>0</v>
      </c>
      <c r="N220" s="26">
        <f>IF(B220="","",ROUND(SUMIFS(Sales!$W$5:$W$1204,Sales!$F$5:$F$1204,C220,Sales!$R$5:$R$1204,B220,Sales!$H$5:$H$1204,"Retail"),2))</f>
        <v>0</v>
      </c>
      <c r="O220" s="26">
        <f>IF(B220="","",ROUND(SUMIFS(Sales!$AB$5:$AB$1204,Sales!$F$5:$F$1204,C220,Sales!$R$5:$R$1204,B220,Sales!$H$5:$H$1204,"Service"),2))</f>
        <v>0</v>
      </c>
      <c r="P220" s="25">
        <f>IF(B220="","",COUNTIFS(Sales!$F$5:$F$1204,C220,Sales!$R$5:$R$1204,B220,Sales!$H$5:$H$1204,"Service"))</f>
        <v>0</v>
      </c>
      <c r="Q220" s="26">
        <f>IF(B220="","",IF(CommissionOn="Gross before discounts",L220,K220))</f>
        <v>0</v>
      </c>
      <c r="R220" s="26">
        <f>IF(B220="","",IF(CommissionOn="Gross before discounts",N220,M220))</f>
        <v>0</v>
      </c>
      <c r="S220" s="27">
        <f>IF(B220="","",IF(E220="Tiered on monthly service revenue",IFERROR(INDEX(TierRate,MATCH(Q220,TierFrom,1)),0),IFERROR(IF(INDEX(Staff!$M$5:$M$44,MATCH(C220,Staff!$A$5:$A$44,0))="",ServiceCommission,INDEX(Staff!$M$5:$M$44,MATCH(C220,Staff!$A$5:$A$44,0))),ServiceCommission)))</f>
        <v>0</v>
      </c>
      <c r="T220" s="27">
        <f>IF(B220="","",IFERROR(IF(INDEX(Staff!$N$5:$N$44,MATCH(C220,Staff!$A$5:$A$44,0))="",RetailCommission,INDEX(Staff!$N$5:$N$44,MATCH(C220,Staff!$A$5:$A$44,0))),RetailCommission))</f>
        <v>0</v>
      </c>
      <c r="U220" s="26">
        <f>IF(B220="","",IFERROR(INDEX(Staff!$O$5:$O$44,MATCH(C220,Staff!$A$5:$A$44,0))*1,0))</f>
        <v>0</v>
      </c>
      <c r="V220" s="26">
        <f>IF(B220="","",ROUND(IF(E220="Percent of service",Q220*S220,IF(E220="Percent of service and retail",Q220*S220+R220*T220,IF(E220="Percent after product cost",MAX(0,Q220-O220)*S220,IF(E220="Tiered on monthly service revenue",Q220*S220,IF(E220="Flat amount per service",P220*U220,0))))),2))</f>
        <v>0</v>
      </c>
      <c r="W220" s="26">
        <f>IF(B220="","",ROUND(SUMIFS(Payments!$G$5:$G$1204,Payments!$J$5:$J$1204,C220,Payments!$O$5:$O$1204,B220,Payments!$E$5:$E$1204,"Tip"),2))</f>
        <v>0</v>
      </c>
      <c r="X220" s="26">
        <f>IF(B220="","",ROUND(V220+IF(F220="",0,F220)+IF(G220="",0,G220),2))</f>
        <v>0</v>
      </c>
      <c r="Y220" s="27">
        <f>IF(B220="","",IF(Q220+R220=0,"",X220/(Q220+R220)))</f>
        <v>0</v>
      </c>
      <c r="Z220" s="25">
        <f>IF(B220="","",COUNTIFS($V$5:$V$244,"&gt;"&amp;V220)+COUNTIFS($V$5:V220,V220))</f>
        <v>0</v>
      </c>
      <c r="AA220" s="39">
        <f>IF(B220="","",IF(C220="","Add - whose commission is this?",IF(COUNTIFS($B$5:$B$244,B220,$C$5:$C$244,C220)&gt;1,"Duplicate - two rows for the same month",IF(E220="None","",IF(E220="Rent a chair","",IF(E220="Hourly only","",IF(X220=0,"Check - nothing calculated",IF(H220&lt;&gt;"Yes","Due - waiting for approval",IF(I220="","Due - approved but not paid","OK")))))))))</f>
        <v>0</v>
      </c>
    </row>
    <row r="221" spans="1:27">
      <c r="A221" s="28">
        <f>IF(B221="","",CommissionPrefix&amp;TEXT(ROW()-4,"0000"))</f>
        <v>0</v>
      </c>
      <c r="D221" s="15">
        <f>IF(C221="","",IFERROR(INDEX(Staff!$B$5:$B$44,MATCH(C221,Staff!$A$5:$A$44,0)),"Not in Staff"))</f>
        <v>0</v>
      </c>
      <c r="E221" s="15">
        <f>IF(C221="","",IFERROR(INDEX(Staff!$L$5:$L$44,MATCH(C221,Staff!$A$5:$A$44,0)),"None"))</f>
        <v>0</v>
      </c>
      <c r="K221" s="26">
        <f>IF(B221="","",ROUND(SUMIFS(Sales!$Y$5:$Y$1204,Sales!$F$5:$F$1204,C221,Sales!$R$5:$R$1204,B221,Sales!$H$5:$H$1204,"Service"),2))</f>
        <v>0</v>
      </c>
      <c r="L221" s="26">
        <f>IF(B221="","",ROUND(SUMIFS(Sales!$W$5:$W$1204,Sales!$F$5:$F$1204,C221,Sales!$R$5:$R$1204,B221,Sales!$H$5:$H$1204,"Service"),2))</f>
        <v>0</v>
      </c>
      <c r="M221" s="26">
        <f>IF(B221="","",ROUND(SUMIFS(Sales!$Y$5:$Y$1204,Sales!$F$5:$F$1204,C221,Sales!$R$5:$R$1204,B221,Sales!$H$5:$H$1204,"Retail"),2))</f>
        <v>0</v>
      </c>
      <c r="N221" s="26">
        <f>IF(B221="","",ROUND(SUMIFS(Sales!$W$5:$W$1204,Sales!$F$5:$F$1204,C221,Sales!$R$5:$R$1204,B221,Sales!$H$5:$H$1204,"Retail"),2))</f>
        <v>0</v>
      </c>
      <c r="O221" s="26">
        <f>IF(B221="","",ROUND(SUMIFS(Sales!$AB$5:$AB$1204,Sales!$F$5:$F$1204,C221,Sales!$R$5:$R$1204,B221,Sales!$H$5:$H$1204,"Service"),2))</f>
        <v>0</v>
      </c>
      <c r="P221" s="25">
        <f>IF(B221="","",COUNTIFS(Sales!$F$5:$F$1204,C221,Sales!$R$5:$R$1204,B221,Sales!$H$5:$H$1204,"Service"))</f>
        <v>0</v>
      </c>
      <c r="Q221" s="26">
        <f>IF(B221="","",IF(CommissionOn="Gross before discounts",L221,K221))</f>
        <v>0</v>
      </c>
      <c r="R221" s="26">
        <f>IF(B221="","",IF(CommissionOn="Gross before discounts",N221,M221))</f>
        <v>0</v>
      </c>
      <c r="S221" s="27">
        <f>IF(B221="","",IF(E221="Tiered on monthly service revenue",IFERROR(INDEX(TierRate,MATCH(Q221,TierFrom,1)),0),IFERROR(IF(INDEX(Staff!$M$5:$M$44,MATCH(C221,Staff!$A$5:$A$44,0))="",ServiceCommission,INDEX(Staff!$M$5:$M$44,MATCH(C221,Staff!$A$5:$A$44,0))),ServiceCommission)))</f>
        <v>0</v>
      </c>
      <c r="T221" s="27">
        <f>IF(B221="","",IFERROR(IF(INDEX(Staff!$N$5:$N$44,MATCH(C221,Staff!$A$5:$A$44,0))="",RetailCommission,INDEX(Staff!$N$5:$N$44,MATCH(C221,Staff!$A$5:$A$44,0))),RetailCommission))</f>
        <v>0</v>
      </c>
      <c r="U221" s="26">
        <f>IF(B221="","",IFERROR(INDEX(Staff!$O$5:$O$44,MATCH(C221,Staff!$A$5:$A$44,0))*1,0))</f>
        <v>0</v>
      </c>
      <c r="V221" s="26">
        <f>IF(B221="","",ROUND(IF(E221="Percent of service",Q221*S221,IF(E221="Percent of service and retail",Q221*S221+R221*T221,IF(E221="Percent after product cost",MAX(0,Q221-O221)*S221,IF(E221="Tiered on monthly service revenue",Q221*S221,IF(E221="Flat amount per service",P221*U221,0))))),2))</f>
        <v>0</v>
      </c>
      <c r="W221" s="26">
        <f>IF(B221="","",ROUND(SUMIFS(Payments!$G$5:$G$1204,Payments!$J$5:$J$1204,C221,Payments!$O$5:$O$1204,B221,Payments!$E$5:$E$1204,"Tip"),2))</f>
        <v>0</v>
      </c>
      <c r="X221" s="26">
        <f>IF(B221="","",ROUND(V221+IF(F221="",0,F221)+IF(G221="",0,G221),2))</f>
        <v>0</v>
      </c>
      <c r="Y221" s="27">
        <f>IF(B221="","",IF(Q221+R221=0,"",X221/(Q221+R221)))</f>
        <v>0</v>
      </c>
      <c r="Z221" s="25">
        <f>IF(B221="","",COUNTIFS($V$5:$V$244,"&gt;"&amp;V221)+COUNTIFS($V$5:V221,V221))</f>
        <v>0</v>
      </c>
      <c r="AA221" s="39">
        <f>IF(B221="","",IF(C221="","Add - whose commission is this?",IF(COUNTIFS($B$5:$B$244,B221,$C$5:$C$244,C221)&gt;1,"Duplicate - two rows for the same month",IF(E221="None","",IF(E221="Rent a chair","",IF(E221="Hourly only","",IF(X221=0,"Check - nothing calculated",IF(H221&lt;&gt;"Yes","Due - waiting for approval",IF(I221="","Due - approved but not paid","OK")))))))))</f>
        <v>0</v>
      </c>
    </row>
    <row r="222" spans="1:27">
      <c r="A222" s="28">
        <f>IF(B222="","",CommissionPrefix&amp;TEXT(ROW()-4,"0000"))</f>
        <v>0</v>
      </c>
      <c r="D222" s="15">
        <f>IF(C222="","",IFERROR(INDEX(Staff!$B$5:$B$44,MATCH(C222,Staff!$A$5:$A$44,0)),"Not in Staff"))</f>
        <v>0</v>
      </c>
      <c r="E222" s="15">
        <f>IF(C222="","",IFERROR(INDEX(Staff!$L$5:$L$44,MATCH(C222,Staff!$A$5:$A$44,0)),"None"))</f>
        <v>0</v>
      </c>
      <c r="K222" s="26">
        <f>IF(B222="","",ROUND(SUMIFS(Sales!$Y$5:$Y$1204,Sales!$F$5:$F$1204,C222,Sales!$R$5:$R$1204,B222,Sales!$H$5:$H$1204,"Service"),2))</f>
        <v>0</v>
      </c>
      <c r="L222" s="26">
        <f>IF(B222="","",ROUND(SUMIFS(Sales!$W$5:$W$1204,Sales!$F$5:$F$1204,C222,Sales!$R$5:$R$1204,B222,Sales!$H$5:$H$1204,"Service"),2))</f>
        <v>0</v>
      </c>
      <c r="M222" s="26">
        <f>IF(B222="","",ROUND(SUMIFS(Sales!$Y$5:$Y$1204,Sales!$F$5:$F$1204,C222,Sales!$R$5:$R$1204,B222,Sales!$H$5:$H$1204,"Retail"),2))</f>
        <v>0</v>
      </c>
      <c r="N222" s="26">
        <f>IF(B222="","",ROUND(SUMIFS(Sales!$W$5:$W$1204,Sales!$F$5:$F$1204,C222,Sales!$R$5:$R$1204,B222,Sales!$H$5:$H$1204,"Retail"),2))</f>
        <v>0</v>
      </c>
      <c r="O222" s="26">
        <f>IF(B222="","",ROUND(SUMIFS(Sales!$AB$5:$AB$1204,Sales!$F$5:$F$1204,C222,Sales!$R$5:$R$1204,B222,Sales!$H$5:$H$1204,"Service"),2))</f>
        <v>0</v>
      </c>
      <c r="P222" s="25">
        <f>IF(B222="","",COUNTIFS(Sales!$F$5:$F$1204,C222,Sales!$R$5:$R$1204,B222,Sales!$H$5:$H$1204,"Service"))</f>
        <v>0</v>
      </c>
      <c r="Q222" s="26">
        <f>IF(B222="","",IF(CommissionOn="Gross before discounts",L222,K222))</f>
        <v>0</v>
      </c>
      <c r="R222" s="26">
        <f>IF(B222="","",IF(CommissionOn="Gross before discounts",N222,M222))</f>
        <v>0</v>
      </c>
      <c r="S222" s="27">
        <f>IF(B222="","",IF(E222="Tiered on monthly service revenue",IFERROR(INDEX(TierRate,MATCH(Q222,TierFrom,1)),0),IFERROR(IF(INDEX(Staff!$M$5:$M$44,MATCH(C222,Staff!$A$5:$A$44,0))="",ServiceCommission,INDEX(Staff!$M$5:$M$44,MATCH(C222,Staff!$A$5:$A$44,0))),ServiceCommission)))</f>
        <v>0</v>
      </c>
      <c r="T222" s="27">
        <f>IF(B222="","",IFERROR(IF(INDEX(Staff!$N$5:$N$44,MATCH(C222,Staff!$A$5:$A$44,0))="",RetailCommission,INDEX(Staff!$N$5:$N$44,MATCH(C222,Staff!$A$5:$A$44,0))),RetailCommission))</f>
        <v>0</v>
      </c>
      <c r="U222" s="26">
        <f>IF(B222="","",IFERROR(INDEX(Staff!$O$5:$O$44,MATCH(C222,Staff!$A$5:$A$44,0))*1,0))</f>
        <v>0</v>
      </c>
      <c r="V222" s="26">
        <f>IF(B222="","",ROUND(IF(E222="Percent of service",Q222*S222,IF(E222="Percent of service and retail",Q222*S222+R222*T222,IF(E222="Percent after product cost",MAX(0,Q222-O222)*S222,IF(E222="Tiered on monthly service revenue",Q222*S222,IF(E222="Flat amount per service",P222*U222,0))))),2))</f>
        <v>0</v>
      </c>
      <c r="W222" s="26">
        <f>IF(B222="","",ROUND(SUMIFS(Payments!$G$5:$G$1204,Payments!$J$5:$J$1204,C222,Payments!$O$5:$O$1204,B222,Payments!$E$5:$E$1204,"Tip"),2))</f>
        <v>0</v>
      </c>
      <c r="X222" s="26">
        <f>IF(B222="","",ROUND(V222+IF(F222="",0,F222)+IF(G222="",0,G222),2))</f>
        <v>0</v>
      </c>
      <c r="Y222" s="27">
        <f>IF(B222="","",IF(Q222+R222=0,"",X222/(Q222+R222)))</f>
        <v>0</v>
      </c>
      <c r="Z222" s="25">
        <f>IF(B222="","",COUNTIFS($V$5:$V$244,"&gt;"&amp;V222)+COUNTIFS($V$5:V222,V222))</f>
        <v>0</v>
      </c>
      <c r="AA222" s="39">
        <f>IF(B222="","",IF(C222="","Add - whose commission is this?",IF(COUNTIFS($B$5:$B$244,B222,$C$5:$C$244,C222)&gt;1,"Duplicate - two rows for the same month",IF(E222="None","",IF(E222="Rent a chair","",IF(E222="Hourly only","",IF(X222=0,"Check - nothing calculated",IF(H222&lt;&gt;"Yes","Due - waiting for approval",IF(I222="","Due - approved but not paid","OK")))))))))</f>
        <v>0</v>
      </c>
    </row>
    <row r="223" spans="1:27">
      <c r="A223" s="28">
        <f>IF(B223="","",CommissionPrefix&amp;TEXT(ROW()-4,"0000"))</f>
        <v>0</v>
      </c>
      <c r="D223" s="15">
        <f>IF(C223="","",IFERROR(INDEX(Staff!$B$5:$B$44,MATCH(C223,Staff!$A$5:$A$44,0)),"Not in Staff"))</f>
        <v>0</v>
      </c>
      <c r="E223" s="15">
        <f>IF(C223="","",IFERROR(INDEX(Staff!$L$5:$L$44,MATCH(C223,Staff!$A$5:$A$44,0)),"None"))</f>
        <v>0</v>
      </c>
      <c r="K223" s="26">
        <f>IF(B223="","",ROUND(SUMIFS(Sales!$Y$5:$Y$1204,Sales!$F$5:$F$1204,C223,Sales!$R$5:$R$1204,B223,Sales!$H$5:$H$1204,"Service"),2))</f>
        <v>0</v>
      </c>
      <c r="L223" s="26">
        <f>IF(B223="","",ROUND(SUMIFS(Sales!$W$5:$W$1204,Sales!$F$5:$F$1204,C223,Sales!$R$5:$R$1204,B223,Sales!$H$5:$H$1204,"Service"),2))</f>
        <v>0</v>
      </c>
      <c r="M223" s="26">
        <f>IF(B223="","",ROUND(SUMIFS(Sales!$Y$5:$Y$1204,Sales!$F$5:$F$1204,C223,Sales!$R$5:$R$1204,B223,Sales!$H$5:$H$1204,"Retail"),2))</f>
        <v>0</v>
      </c>
      <c r="N223" s="26">
        <f>IF(B223="","",ROUND(SUMIFS(Sales!$W$5:$W$1204,Sales!$F$5:$F$1204,C223,Sales!$R$5:$R$1204,B223,Sales!$H$5:$H$1204,"Retail"),2))</f>
        <v>0</v>
      </c>
      <c r="O223" s="26">
        <f>IF(B223="","",ROUND(SUMIFS(Sales!$AB$5:$AB$1204,Sales!$F$5:$F$1204,C223,Sales!$R$5:$R$1204,B223,Sales!$H$5:$H$1204,"Service"),2))</f>
        <v>0</v>
      </c>
      <c r="P223" s="25">
        <f>IF(B223="","",COUNTIFS(Sales!$F$5:$F$1204,C223,Sales!$R$5:$R$1204,B223,Sales!$H$5:$H$1204,"Service"))</f>
        <v>0</v>
      </c>
      <c r="Q223" s="26">
        <f>IF(B223="","",IF(CommissionOn="Gross before discounts",L223,K223))</f>
        <v>0</v>
      </c>
      <c r="R223" s="26">
        <f>IF(B223="","",IF(CommissionOn="Gross before discounts",N223,M223))</f>
        <v>0</v>
      </c>
      <c r="S223" s="27">
        <f>IF(B223="","",IF(E223="Tiered on monthly service revenue",IFERROR(INDEX(TierRate,MATCH(Q223,TierFrom,1)),0),IFERROR(IF(INDEX(Staff!$M$5:$M$44,MATCH(C223,Staff!$A$5:$A$44,0))="",ServiceCommission,INDEX(Staff!$M$5:$M$44,MATCH(C223,Staff!$A$5:$A$44,0))),ServiceCommission)))</f>
        <v>0</v>
      </c>
      <c r="T223" s="27">
        <f>IF(B223="","",IFERROR(IF(INDEX(Staff!$N$5:$N$44,MATCH(C223,Staff!$A$5:$A$44,0))="",RetailCommission,INDEX(Staff!$N$5:$N$44,MATCH(C223,Staff!$A$5:$A$44,0))),RetailCommission))</f>
        <v>0</v>
      </c>
      <c r="U223" s="26">
        <f>IF(B223="","",IFERROR(INDEX(Staff!$O$5:$O$44,MATCH(C223,Staff!$A$5:$A$44,0))*1,0))</f>
        <v>0</v>
      </c>
      <c r="V223" s="26">
        <f>IF(B223="","",ROUND(IF(E223="Percent of service",Q223*S223,IF(E223="Percent of service and retail",Q223*S223+R223*T223,IF(E223="Percent after product cost",MAX(0,Q223-O223)*S223,IF(E223="Tiered on monthly service revenue",Q223*S223,IF(E223="Flat amount per service",P223*U223,0))))),2))</f>
        <v>0</v>
      </c>
      <c r="W223" s="26">
        <f>IF(B223="","",ROUND(SUMIFS(Payments!$G$5:$G$1204,Payments!$J$5:$J$1204,C223,Payments!$O$5:$O$1204,B223,Payments!$E$5:$E$1204,"Tip"),2))</f>
        <v>0</v>
      </c>
      <c r="X223" s="26">
        <f>IF(B223="","",ROUND(V223+IF(F223="",0,F223)+IF(G223="",0,G223),2))</f>
        <v>0</v>
      </c>
      <c r="Y223" s="27">
        <f>IF(B223="","",IF(Q223+R223=0,"",X223/(Q223+R223)))</f>
        <v>0</v>
      </c>
      <c r="Z223" s="25">
        <f>IF(B223="","",COUNTIFS($V$5:$V$244,"&gt;"&amp;V223)+COUNTIFS($V$5:V223,V223))</f>
        <v>0</v>
      </c>
      <c r="AA223" s="39">
        <f>IF(B223="","",IF(C223="","Add - whose commission is this?",IF(COUNTIFS($B$5:$B$244,B223,$C$5:$C$244,C223)&gt;1,"Duplicate - two rows for the same month",IF(E223="None","",IF(E223="Rent a chair","",IF(E223="Hourly only","",IF(X223=0,"Check - nothing calculated",IF(H223&lt;&gt;"Yes","Due - waiting for approval",IF(I223="","Due - approved but not paid","OK")))))))))</f>
        <v>0</v>
      </c>
    </row>
    <row r="224" spans="1:27">
      <c r="A224" s="28">
        <f>IF(B224="","",CommissionPrefix&amp;TEXT(ROW()-4,"0000"))</f>
        <v>0</v>
      </c>
      <c r="D224" s="15">
        <f>IF(C224="","",IFERROR(INDEX(Staff!$B$5:$B$44,MATCH(C224,Staff!$A$5:$A$44,0)),"Not in Staff"))</f>
        <v>0</v>
      </c>
      <c r="E224" s="15">
        <f>IF(C224="","",IFERROR(INDEX(Staff!$L$5:$L$44,MATCH(C224,Staff!$A$5:$A$44,0)),"None"))</f>
        <v>0</v>
      </c>
      <c r="K224" s="26">
        <f>IF(B224="","",ROUND(SUMIFS(Sales!$Y$5:$Y$1204,Sales!$F$5:$F$1204,C224,Sales!$R$5:$R$1204,B224,Sales!$H$5:$H$1204,"Service"),2))</f>
        <v>0</v>
      </c>
      <c r="L224" s="26">
        <f>IF(B224="","",ROUND(SUMIFS(Sales!$W$5:$W$1204,Sales!$F$5:$F$1204,C224,Sales!$R$5:$R$1204,B224,Sales!$H$5:$H$1204,"Service"),2))</f>
        <v>0</v>
      </c>
      <c r="M224" s="26">
        <f>IF(B224="","",ROUND(SUMIFS(Sales!$Y$5:$Y$1204,Sales!$F$5:$F$1204,C224,Sales!$R$5:$R$1204,B224,Sales!$H$5:$H$1204,"Retail"),2))</f>
        <v>0</v>
      </c>
      <c r="N224" s="26">
        <f>IF(B224="","",ROUND(SUMIFS(Sales!$W$5:$W$1204,Sales!$F$5:$F$1204,C224,Sales!$R$5:$R$1204,B224,Sales!$H$5:$H$1204,"Retail"),2))</f>
        <v>0</v>
      </c>
      <c r="O224" s="26">
        <f>IF(B224="","",ROUND(SUMIFS(Sales!$AB$5:$AB$1204,Sales!$F$5:$F$1204,C224,Sales!$R$5:$R$1204,B224,Sales!$H$5:$H$1204,"Service"),2))</f>
        <v>0</v>
      </c>
      <c r="P224" s="25">
        <f>IF(B224="","",COUNTIFS(Sales!$F$5:$F$1204,C224,Sales!$R$5:$R$1204,B224,Sales!$H$5:$H$1204,"Service"))</f>
        <v>0</v>
      </c>
      <c r="Q224" s="26">
        <f>IF(B224="","",IF(CommissionOn="Gross before discounts",L224,K224))</f>
        <v>0</v>
      </c>
      <c r="R224" s="26">
        <f>IF(B224="","",IF(CommissionOn="Gross before discounts",N224,M224))</f>
        <v>0</v>
      </c>
      <c r="S224" s="27">
        <f>IF(B224="","",IF(E224="Tiered on monthly service revenue",IFERROR(INDEX(TierRate,MATCH(Q224,TierFrom,1)),0),IFERROR(IF(INDEX(Staff!$M$5:$M$44,MATCH(C224,Staff!$A$5:$A$44,0))="",ServiceCommission,INDEX(Staff!$M$5:$M$44,MATCH(C224,Staff!$A$5:$A$44,0))),ServiceCommission)))</f>
        <v>0</v>
      </c>
      <c r="T224" s="27">
        <f>IF(B224="","",IFERROR(IF(INDEX(Staff!$N$5:$N$44,MATCH(C224,Staff!$A$5:$A$44,0))="",RetailCommission,INDEX(Staff!$N$5:$N$44,MATCH(C224,Staff!$A$5:$A$44,0))),RetailCommission))</f>
        <v>0</v>
      </c>
      <c r="U224" s="26">
        <f>IF(B224="","",IFERROR(INDEX(Staff!$O$5:$O$44,MATCH(C224,Staff!$A$5:$A$44,0))*1,0))</f>
        <v>0</v>
      </c>
      <c r="V224" s="26">
        <f>IF(B224="","",ROUND(IF(E224="Percent of service",Q224*S224,IF(E224="Percent of service and retail",Q224*S224+R224*T224,IF(E224="Percent after product cost",MAX(0,Q224-O224)*S224,IF(E224="Tiered on monthly service revenue",Q224*S224,IF(E224="Flat amount per service",P224*U224,0))))),2))</f>
        <v>0</v>
      </c>
      <c r="W224" s="26">
        <f>IF(B224="","",ROUND(SUMIFS(Payments!$G$5:$G$1204,Payments!$J$5:$J$1204,C224,Payments!$O$5:$O$1204,B224,Payments!$E$5:$E$1204,"Tip"),2))</f>
        <v>0</v>
      </c>
      <c r="X224" s="26">
        <f>IF(B224="","",ROUND(V224+IF(F224="",0,F224)+IF(G224="",0,G224),2))</f>
        <v>0</v>
      </c>
      <c r="Y224" s="27">
        <f>IF(B224="","",IF(Q224+R224=0,"",X224/(Q224+R224)))</f>
        <v>0</v>
      </c>
      <c r="Z224" s="25">
        <f>IF(B224="","",COUNTIFS($V$5:$V$244,"&gt;"&amp;V224)+COUNTIFS($V$5:V224,V224))</f>
        <v>0</v>
      </c>
      <c r="AA224" s="39">
        <f>IF(B224="","",IF(C224="","Add - whose commission is this?",IF(COUNTIFS($B$5:$B$244,B224,$C$5:$C$244,C224)&gt;1,"Duplicate - two rows for the same month",IF(E224="None","",IF(E224="Rent a chair","",IF(E224="Hourly only","",IF(X224=0,"Check - nothing calculated",IF(H224&lt;&gt;"Yes","Due - waiting for approval",IF(I224="","Due - approved but not paid","OK")))))))))</f>
        <v>0</v>
      </c>
    </row>
    <row r="225" spans="1:27">
      <c r="A225" s="28">
        <f>IF(B225="","",CommissionPrefix&amp;TEXT(ROW()-4,"0000"))</f>
        <v>0</v>
      </c>
      <c r="D225" s="15">
        <f>IF(C225="","",IFERROR(INDEX(Staff!$B$5:$B$44,MATCH(C225,Staff!$A$5:$A$44,0)),"Not in Staff"))</f>
        <v>0</v>
      </c>
      <c r="E225" s="15">
        <f>IF(C225="","",IFERROR(INDEX(Staff!$L$5:$L$44,MATCH(C225,Staff!$A$5:$A$44,0)),"None"))</f>
        <v>0</v>
      </c>
      <c r="K225" s="26">
        <f>IF(B225="","",ROUND(SUMIFS(Sales!$Y$5:$Y$1204,Sales!$F$5:$F$1204,C225,Sales!$R$5:$R$1204,B225,Sales!$H$5:$H$1204,"Service"),2))</f>
        <v>0</v>
      </c>
      <c r="L225" s="26">
        <f>IF(B225="","",ROUND(SUMIFS(Sales!$W$5:$W$1204,Sales!$F$5:$F$1204,C225,Sales!$R$5:$R$1204,B225,Sales!$H$5:$H$1204,"Service"),2))</f>
        <v>0</v>
      </c>
      <c r="M225" s="26">
        <f>IF(B225="","",ROUND(SUMIFS(Sales!$Y$5:$Y$1204,Sales!$F$5:$F$1204,C225,Sales!$R$5:$R$1204,B225,Sales!$H$5:$H$1204,"Retail"),2))</f>
        <v>0</v>
      </c>
      <c r="N225" s="26">
        <f>IF(B225="","",ROUND(SUMIFS(Sales!$W$5:$W$1204,Sales!$F$5:$F$1204,C225,Sales!$R$5:$R$1204,B225,Sales!$H$5:$H$1204,"Retail"),2))</f>
        <v>0</v>
      </c>
      <c r="O225" s="26">
        <f>IF(B225="","",ROUND(SUMIFS(Sales!$AB$5:$AB$1204,Sales!$F$5:$F$1204,C225,Sales!$R$5:$R$1204,B225,Sales!$H$5:$H$1204,"Service"),2))</f>
        <v>0</v>
      </c>
      <c r="P225" s="25">
        <f>IF(B225="","",COUNTIFS(Sales!$F$5:$F$1204,C225,Sales!$R$5:$R$1204,B225,Sales!$H$5:$H$1204,"Service"))</f>
        <v>0</v>
      </c>
      <c r="Q225" s="26">
        <f>IF(B225="","",IF(CommissionOn="Gross before discounts",L225,K225))</f>
        <v>0</v>
      </c>
      <c r="R225" s="26">
        <f>IF(B225="","",IF(CommissionOn="Gross before discounts",N225,M225))</f>
        <v>0</v>
      </c>
      <c r="S225" s="27">
        <f>IF(B225="","",IF(E225="Tiered on monthly service revenue",IFERROR(INDEX(TierRate,MATCH(Q225,TierFrom,1)),0),IFERROR(IF(INDEX(Staff!$M$5:$M$44,MATCH(C225,Staff!$A$5:$A$44,0))="",ServiceCommission,INDEX(Staff!$M$5:$M$44,MATCH(C225,Staff!$A$5:$A$44,0))),ServiceCommission)))</f>
        <v>0</v>
      </c>
      <c r="T225" s="27">
        <f>IF(B225="","",IFERROR(IF(INDEX(Staff!$N$5:$N$44,MATCH(C225,Staff!$A$5:$A$44,0))="",RetailCommission,INDEX(Staff!$N$5:$N$44,MATCH(C225,Staff!$A$5:$A$44,0))),RetailCommission))</f>
        <v>0</v>
      </c>
      <c r="U225" s="26">
        <f>IF(B225="","",IFERROR(INDEX(Staff!$O$5:$O$44,MATCH(C225,Staff!$A$5:$A$44,0))*1,0))</f>
        <v>0</v>
      </c>
      <c r="V225" s="26">
        <f>IF(B225="","",ROUND(IF(E225="Percent of service",Q225*S225,IF(E225="Percent of service and retail",Q225*S225+R225*T225,IF(E225="Percent after product cost",MAX(0,Q225-O225)*S225,IF(E225="Tiered on monthly service revenue",Q225*S225,IF(E225="Flat amount per service",P225*U225,0))))),2))</f>
        <v>0</v>
      </c>
      <c r="W225" s="26">
        <f>IF(B225="","",ROUND(SUMIFS(Payments!$G$5:$G$1204,Payments!$J$5:$J$1204,C225,Payments!$O$5:$O$1204,B225,Payments!$E$5:$E$1204,"Tip"),2))</f>
        <v>0</v>
      </c>
      <c r="X225" s="26">
        <f>IF(B225="","",ROUND(V225+IF(F225="",0,F225)+IF(G225="",0,G225),2))</f>
        <v>0</v>
      </c>
      <c r="Y225" s="27">
        <f>IF(B225="","",IF(Q225+R225=0,"",X225/(Q225+R225)))</f>
        <v>0</v>
      </c>
      <c r="Z225" s="25">
        <f>IF(B225="","",COUNTIFS($V$5:$V$244,"&gt;"&amp;V225)+COUNTIFS($V$5:V225,V225))</f>
        <v>0</v>
      </c>
      <c r="AA225" s="39">
        <f>IF(B225="","",IF(C225="","Add - whose commission is this?",IF(COUNTIFS($B$5:$B$244,B225,$C$5:$C$244,C225)&gt;1,"Duplicate - two rows for the same month",IF(E225="None","",IF(E225="Rent a chair","",IF(E225="Hourly only","",IF(X225=0,"Check - nothing calculated",IF(H225&lt;&gt;"Yes","Due - waiting for approval",IF(I225="","Due - approved but not paid","OK")))))))))</f>
        <v>0</v>
      </c>
    </row>
    <row r="226" spans="1:27">
      <c r="A226" s="28">
        <f>IF(B226="","",CommissionPrefix&amp;TEXT(ROW()-4,"0000"))</f>
        <v>0</v>
      </c>
      <c r="D226" s="15">
        <f>IF(C226="","",IFERROR(INDEX(Staff!$B$5:$B$44,MATCH(C226,Staff!$A$5:$A$44,0)),"Not in Staff"))</f>
        <v>0</v>
      </c>
      <c r="E226" s="15">
        <f>IF(C226="","",IFERROR(INDEX(Staff!$L$5:$L$44,MATCH(C226,Staff!$A$5:$A$44,0)),"None"))</f>
        <v>0</v>
      </c>
      <c r="K226" s="26">
        <f>IF(B226="","",ROUND(SUMIFS(Sales!$Y$5:$Y$1204,Sales!$F$5:$F$1204,C226,Sales!$R$5:$R$1204,B226,Sales!$H$5:$H$1204,"Service"),2))</f>
        <v>0</v>
      </c>
      <c r="L226" s="26">
        <f>IF(B226="","",ROUND(SUMIFS(Sales!$W$5:$W$1204,Sales!$F$5:$F$1204,C226,Sales!$R$5:$R$1204,B226,Sales!$H$5:$H$1204,"Service"),2))</f>
        <v>0</v>
      </c>
      <c r="M226" s="26">
        <f>IF(B226="","",ROUND(SUMIFS(Sales!$Y$5:$Y$1204,Sales!$F$5:$F$1204,C226,Sales!$R$5:$R$1204,B226,Sales!$H$5:$H$1204,"Retail"),2))</f>
        <v>0</v>
      </c>
      <c r="N226" s="26">
        <f>IF(B226="","",ROUND(SUMIFS(Sales!$W$5:$W$1204,Sales!$F$5:$F$1204,C226,Sales!$R$5:$R$1204,B226,Sales!$H$5:$H$1204,"Retail"),2))</f>
        <v>0</v>
      </c>
      <c r="O226" s="26">
        <f>IF(B226="","",ROUND(SUMIFS(Sales!$AB$5:$AB$1204,Sales!$F$5:$F$1204,C226,Sales!$R$5:$R$1204,B226,Sales!$H$5:$H$1204,"Service"),2))</f>
        <v>0</v>
      </c>
      <c r="P226" s="25">
        <f>IF(B226="","",COUNTIFS(Sales!$F$5:$F$1204,C226,Sales!$R$5:$R$1204,B226,Sales!$H$5:$H$1204,"Service"))</f>
        <v>0</v>
      </c>
      <c r="Q226" s="26">
        <f>IF(B226="","",IF(CommissionOn="Gross before discounts",L226,K226))</f>
        <v>0</v>
      </c>
      <c r="R226" s="26">
        <f>IF(B226="","",IF(CommissionOn="Gross before discounts",N226,M226))</f>
        <v>0</v>
      </c>
      <c r="S226" s="27">
        <f>IF(B226="","",IF(E226="Tiered on monthly service revenue",IFERROR(INDEX(TierRate,MATCH(Q226,TierFrom,1)),0),IFERROR(IF(INDEX(Staff!$M$5:$M$44,MATCH(C226,Staff!$A$5:$A$44,0))="",ServiceCommission,INDEX(Staff!$M$5:$M$44,MATCH(C226,Staff!$A$5:$A$44,0))),ServiceCommission)))</f>
        <v>0</v>
      </c>
      <c r="T226" s="27">
        <f>IF(B226="","",IFERROR(IF(INDEX(Staff!$N$5:$N$44,MATCH(C226,Staff!$A$5:$A$44,0))="",RetailCommission,INDEX(Staff!$N$5:$N$44,MATCH(C226,Staff!$A$5:$A$44,0))),RetailCommission))</f>
        <v>0</v>
      </c>
      <c r="U226" s="26">
        <f>IF(B226="","",IFERROR(INDEX(Staff!$O$5:$O$44,MATCH(C226,Staff!$A$5:$A$44,0))*1,0))</f>
        <v>0</v>
      </c>
      <c r="V226" s="26">
        <f>IF(B226="","",ROUND(IF(E226="Percent of service",Q226*S226,IF(E226="Percent of service and retail",Q226*S226+R226*T226,IF(E226="Percent after product cost",MAX(0,Q226-O226)*S226,IF(E226="Tiered on monthly service revenue",Q226*S226,IF(E226="Flat amount per service",P226*U226,0))))),2))</f>
        <v>0</v>
      </c>
      <c r="W226" s="26">
        <f>IF(B226="","",ROUND(SUMIFS(Payments!$G$5:$G$1204,Payments!$J$5:$J$1204,C226,Payments!$O$5:$O$1204,B226,Payments!$E$5:$E$1204,"Tip"),2))</f>
        <v>0</v>
      </c>
      <c r="X226" s="26">
        <f>IF(B226="","",ROUND(V226+IF(F226="",0,F226)+IF(G226="",0,G226),2))</f>
        <v>0</v>
      </c>
      <c r="Y226" s="27">
        <f>IF(B226="","",IF(Q226+R226=0,"",X226/(Q226+R226)))</f>
        <v>0</v>
      </c>
      <c r="Z226" s="25">
        <f>IF(B226="","",COUNTIFS($V$5:$V$244,"&gt;"&amp;V226)+COUNTIFS($V$5:V226,V226))</f>
        <v>0</v>
      </c>
      <c r="AA226" s="39">
        <f>IF(B226="","",IF(C226="","Add - whose commission is this?",IF(COUNTIFS($B$5:$B$244,B226,$C$5:$C$244,C226)&gt;1,"Duplicate - two rows for the same month",IF(E226="None","",IF(E226="Rent a chair","",IF(E226="Hourly only","",IF(X226=0,"Check - nothing calculated",IF(H226&lt;&gt;"Yes","Due - waiting for approval",IF(I226="","Due - approved but not paid","OK")))))))))</f>
        <v>0</v>
      </c>
    </row>
    <row r="227" spans="1:27">
      <c r="A227" s="28">
        <f>IF(B227="","",CommissionPrefix&amp;TEXT(ROW()-4,"0000"))</f>
        <v>0</v>
      </c>
      <c r="D227" s="15">
        <f>IF(C227="","",IFERROR(INDEX(Staff!$B$5:$B$44,MATCH(C227,Staff!$A$5:$A$44,0)),"Not in Staff"))</f>
        <v>0</v>
      </c>
      <c r="E227" s="15">
        <f>IF(C227="","",IFERROR(INDEX(Staff!$L$5:$L$44,MATCH(C227,Staff!$A$5:$A$44,0)),"None"))</f>
        <v>0</v>
      </c>
      <c r="K227" s="26">
        <f>IF(B227="","",ROUND(SUMIFS(Sales!$Y$5:$Y$1204,Sales!$F$5:$F$1204,C227,Sales!$R$5:$R$1204,B227,Sales!$H$5:$H$1204,"Service"),2))</f>
        <v>0</v>
      </c>
      <c r="L227" s="26">
        <f>IF(B227="","",ROUND(SUMIFS(Sales!$W$5:$W$1204,Sales!$F$5:$F$1204,C227,Sales!$R$5:$R$1204,B227,Sales!$H$5:$H$1204,"Service"),2))</f>
        <v>0</v>
      </c>
      <c r="M227" s="26">
        <f>IF(B227="","",ROUND(SUMIFS(Sales!$Y$5:$Y$1204,Sales!$F$5:$F$1204,C227,Sales!$R$5:$R$1204,B227,Sales!$H$5:$H$1204,"Retail"),2))</f>
        <v>0</v>
      </c>
      <c r="N227" s="26">
        <f>IF(B227="","",ROUND(SUMIFS(Sales!$W$5:$W$1204,Sales!$F$5:$F$1204,C227,Sales!$R$5:$R$1204,B227,Sales!$H$5:$H$1204,"Retail"),2))</f>
        <v>0</v>
      </c>
      <c r="O227" s="26">
        <f>IF(B227="","",ROUND(SUMIFS(Sales!$AB$5:$AB$1204,Sales!$F$5:$F$1204,C227,Sales!$R$5:$R$1204,B227,Sales!$H$5:$H$1204,"Service"),2))</f>
        <v>0</v>
      </c>
      <c r="P227" s="25">
        <f>IF(B227="","",COUNTIFS(Sales!$F$5:$F$1204,C227,Sales!$R$5:$R$1204,B227,Sales!$H$5:$H$1204,"Service"))</f>
        <v>0</v>
      </c>
      <c r="Q227" s="26">
        <f>IF(B227="","",IF(CommissionOn="Gross before discounts",L227,K227))</f>
        <v>0</v>
      </c>
      <c r="R227" s="26">
        <f>IF(B227="","",IF(CommissionOn="Gross before discounts",N227,M227))</f>
        <v>0</v>
      </c>
      <c r="S227" s="27">
        <f>IF(B227="","",IF(E227="Tiered on monthly service revenue",IFERROR(INDEX(TierRate,MATCH(Q227,TierFrom,1)),0),IFERROR(IF(INDEX(Staff!$M$5:$M$44,MATCH(C227,Staff!$A$5:$A$44,0))="",ServiceCommission,INDEX(Staff!$M$5:$M$44,MATCH(C227,Staff!$A$5:$A$44,0))),ServiceCommission)))</f>
        <v>0</v>
      </c>
      <c r="T227" s="27">
        <f>IF(B227="","",IFERROR(IF(INDEX(Staff!$N$5:$N$44,MATCH(C227,Staff!$A$5:$A$44,0))="",RetailCommission,INDEX(Staff!$N$5:$N$44,MATCH(C227,Staff!$A$5:$A$44,0))),RetailCommission))</f>
        <v>0</v>
      </c>
      <c r="U227" s="26">
        <f>IF(B227="","",IFERROR(INDEX(Staff!$O$5:$O$44,MATCH(C227,Staff!$A$5:$A$44,0))*1,0))</f>
        <v>0</v>
      </c>
      <c r="V227" s="26">
        <f>IF(B227="","",ROUND(IF(E227="Percent of service",Q227*S227,IF(E227="Percent of service and retail",Q227*S227+R227*T227,IF(E227="Percent after product cost",MAX(0,Q227-O227)*S227,IF(E227="Tiered on monthly service revenue",Q227*S227,IF(E227="Flat amount per service",P227*U227,0))))),2))</f>
        <v>0</v>
      </c>
      <c r="W227" s="26">
        <f>IF(B227="","",ROUND(SUMIFS(Payments!$G$5:$G$1204,Payments!$J$5:$J$1204,C227,Payments!$O$5:$O$1204,B227,Payments!$E$5:$E$1204,"Tip"),2))</f>
        <v>0</v>
      </c>
      <c r="X227" s="26">
        <f>IF(B227="","",ROUND(V227+IF(F227="",0,F227)+IF(G227="",0,G227),2))</f>
        <v>0</v>
      </c>
      <c r="Y227" s="27">
        <f>IF(B227="","",IF(Q227+R227=0,"",X227/(Q227+R227)))</f>
        <v>0</v>
      </c>
      <c r="Z227" s="25">
        <f>IF(B227="","",COUNTIFS($V$5:$V$244,"&gt;"&amp;V227)+COUNTIFS($V$5:V227,V227))</f>
        <v>0</v>
      </c>
      <c r="AA227" s="39">
        <f>IF(B227="","",IF(C227="","Add - whose commission is this?",IF(COUNTIFS($B$5:$B$244,B227,$C$5:$C$244,C227)&gt;1,"Duplicate - two rows for the same month",IF(E227="None","",IF(E227="Rent a chair","",IF(E227="Hourly only","",IF(X227=0,"Check - nothing calculated",IF(H227&lt;&gt;"Yes","Due - waiting for approval",IF(I227="","Due - approved but not paid","OK")))))))))</f>
        <v>0</v>
      </c>
    </row>
    <row r="228" spans="1:27">
      <c r="A228" s="28">
        <f>IF(B228="","",CommissionPrefix&amp;TEXT(ROW()-4,"0000"))</f>
        <v>0</v>
      </c>
      <c r="D228" s="15">
        <f>IF(C228="","",IFERROR(INDEX(Staff!$B$5:$B$44,MATCH(C228,Staff!$A$5:$A$44,0)),"Not in Staff"))</f>
        <v>0</v>
      </c>
      <c r="E228" s="15">
        <f>IF(C228="","",IFERROR(INDEX(Staff!$L$5:$L$44,MATCH(C228,Staff!$A$5:$A$44,0)),"None"))</f>
        <v>0</v>
      </c>
      <c r="K228" s="26">
        <f>IF(B228="","",ROUND(SUMIFS(Sales!$Y$5:$Y$1204,Sales!$F$5:$F$1204,C228,Sales!$R$5:$R$1204,B228,Sales!$H$5:$H$1204,"Service"),2))</f>
        <v>0</v>
      </c>
      <c r="L228" s="26">
        <f>IF(B228="","",ROUND(SUMIFS(Sales!$W$5:$W$1204,Sales!$F$5:$F$1204,C228,Sales!$R$5:$R$1204,B228,Sales!$H$5:$H$1204,"Service"),2))</f>
        <v>0</v>
      </c>
      <c r="M228" s="26">
        <f>IF(B228="","",ROUND(SUMIFS(Sales!$Y$5:$Y$1204,Sales!$F$5:$F$1204,C228,Sales!$R$5:$R$1204,B228,Sales!$H$5:$H$1204,"Retail"),2))</f>
        <v>0</v>
      </c>
      <c r="N228" s="26">
        <f>IF(B228="","",ROUND(SUMIFS(Sales!$W$5:$W$1204,Sales!$F$5:$F$1204,C228,Sales!$R$5:$R$1204,B228,Sales!$H$5:$H$1204,"Retail"),2))</f>
        <v>0</v>
      </c>
      <c r="O228" s="26">
        <f>IF(B228="","",ROUND(SUMIFS(Sales!$AB$5:$AB$1204,Sales!$F$5:$F$1204,C228,Sales!$R$5:$R$1204,B228,Sales!$H$5:$H$1204,"Service"),2))</f>
        <v>0</v>
      </c>
      <c r="P228" s="25">
        <f>IF(B228="","",COUNTIFS(Sales!$F$5:$F$1204,C228,Sales!$R$5:$R$1204,B228,Sales!$H$5:$H$1204,"Service"))</f>
        <v>0</v>
      </c>
      <c r="Q228" s="26">
        <f>IF(B228="","",IF(CommissionOn="Gross before discounts",L228,K228))</f>
        <v>0</v>
      </c>
      <c r="R228" s="26">
        <f>IF(B228="","",IF(CommissionOn="Gross before discounts",N228,M228))</f>
        <v>0</v>
      </c>
      <c r="S228" s="27">
        <f>IF(B228="","",IF(E228="Tiered on monthly service revenue",IFERROR(INDEX(TierRate,MATCH(Q228,TierFrom,1)),0),IFERROR(IF(INDEX(Staff!$M$5:$M$44,MATCH(C228,Staff!$A$5:$A$44,0))="",ServiceCommission,INDEX(Staff!$M$5:$M$44,MATCH(C228,Staff!$A$5:$A$44,0))),ServiceCommission)))</f>
        <v>0</v>
      </c>
      <c r="T228" s="27">
        <f>IF(B228="","",IFERROR(IF(INDEX(Staff!$N$5:$N$44,MATCH(C228,Staff!$A$5:$A$44,0))="",RetailCommission,INDEX(Staff!$N$5:$N$44,MATCH(C228,Staff!$A$5:$A$44,0))),RetailCommission))</f>
        <v>0</v>
      </c>
      <c r="U228" s="26">
        <f>IF(B228="","",IFERROR(INDEX(Staff!$O$5:$O$44,MATCH(C228,Staff!$A$5:$A$44,0))*1,0))</f>
        <v>0</v>
      </c>
      <c r="V228" s="26">
        <f>IF(B228="","",ROUND(IF(E228="Percent of service",Q228*S228,IF(E228="Percent of service and retail",Q228*S228+R228*T228,IF(E228="Percent after product cost",MAX(0,Q228-O228)*S228,IF(E228="Tiered on monthly service revenue",Q228*S228,IF(E228="Flat amount per service",P228*U228,0))))),2))</f>
        <v>0</v>
      </c>
      <c r="W228" s="26">
        <f>IF(B228="","",ROUND(SUMIFS(Payments!$G$5:$G$1204,Payments!$J$5:$J$1204,C228,Payments!$O$5:$O$1204,B228,Payments!$E$5:$E$1204,"Tip"),2))</f>
        <v>0</v>
      </c>
      <c r="X228" s="26">
        <f>IF(B228="","",ROUND(V228+IF(F228="",0,F228)+IF(G228="",0,G228),2))</f>
        <v>0</v>
      </c>
      <c r="Y228" s="27">
        <f>IF(B228="","",IF(Q228+R228=0,"",X228/(Q228+R228)))</f>
        <v>0</v>
      </c>
      <c r="Z228" s="25">
        <f>IF(B228="","",COUNTIFS($V$5:$V$244,"&gt;"&amp;V228)+COUNTIFS($V$5:V228,V228))</f>
        <v>0</v>
      </c>
      <c r="AA228" s="39">
        <f>IF(B228="","",IF(C228="","Add - whose commission is this?",IF(COUNTIFS($B$5:$B$244,B228,$C$5:$C$244,C228)&gt;1,"Duplicate - two rows for the same month",IF(E228="None","",IF(E228="Rent a chair","",IF(E228="Hourly only","",IF(X228=0,"Check - nothing calculated",IF(H228&lt;&gt;"Yes","Due - waiting for approval",IF(I228="","Due - approved but not paid","OK")))))))))</f>
        <v>0</v>
      </c>
    </row>
    <row r="229" spans="1:27">
      <c r="A229" s="28">
        <f>IF(B229="","",CommissionPrefix&amp;TEXT(ROW()-4,"0000"))</f>
        <v>0</v>
      </c>
      <c r="D229" s="15">
        <f>IF(C229="","",IFERROR(INDEX(Staff!$B$5:$B$44,MATCH(C229,Staff!$A$5:$A$44,0)),"Not in Staff"))</f>
        <v>0</v>
      </c>
      <c r="E229" s="15">
        <f>IF(C229="","",IFERROR(INDEX(Staff!$L$5:$L$44,MATCH(C229,Staff!$A$5:$A$44,0)),"None"))</f>
        <v>0</v>
      </c>
      <c r="K229" s="26">
        <f>IF(B229="","",ROUND(SUMIFS(Sales!$Y$5:$Y$1204,Sales!$F$5:$F$1204,C229,Sales!$R$5:$R$1204,B229,Sales!$H$5:$H$1204,"Service"),2))</f>
        <v>0</v>
      </c>
      <c r="L229" s="26">
        <f>IF(B229="","",ROUND(SUMIFS(Sales!$W$5:$W$1204,Sales!$F$5:$F$1204,C229,Sales!$R$5:$R$1204,B229,Sales!$H$5:$H$1204,"Service"),2))</f>
        <v>0</v>
      </c>
      <c r="M229" s="26">
        <f>IF(B229="","",ROUND(SUMIFS(Sales!$Y$5:$Y$1204,Sales!$F$5:$F$1204,C229,Sales!$R$5:$R$1204,B229,Sales!$H$5:$H$1204,"Retail"),2))</f>
        <v>0</v>
      </c>
      <c r="N229" s="26">
        <f>IF(B229="","",ROUND(SUMIFS(Sales!$W$5:$W$1204,Sales!$F$5:$F$1204,C229,Sales!$R$5:$R$1204,B229,Sales!$H$5:$H$1204,"Retail"),2))</f>
        <v>0</v>
      </c>
      <c r="O229" s="26">
        <f>IF(B229="","",ROUND(SUMIFS(Sales!$AB$5:$AB$1204,Sales!$F$5:$F$1204,C229,Sales!$R$5:$R$1204,B229,Sales!$H$5:$H$1204,"Service"),2))</f>
        <v>0</v>
      </c>
      <c r="P229" s="25">
        <f>IF(B229="","",COUNTIFS(Sales!$F$5:$F$1204,C229,Sales!$R$5:$R$1204,B229,Sales!$H$5:$H$1204,"Service"))</f>
        <v>0</v>
      </c>
      <c r="Q229" s="26">
        <f>IF(B229="","",IF(CommissionOn="Gross before discounts",L229,K229))</f>
        <v>0</v>
      </c>
      <c r="R229" s="26">
        <f>IF(B229="","",IF(CommissionOn="Gross before discounts",N229,M229))</f>
        <v>0</v>
      </c>
      <c r="S229" s="27">
        <f>IF(B229="","",IF(E229="Tiered on monthly service revenue",IFERROR(INDEX(TierRate,MATCH(Q229,TierFrom,1)),0),IFERROR(IF(INDEX(Staff!$M$5:$M$44,MATCH(C229,Staff!$A$5:$A$44,0))="",ServiceCommission,INDEX(Staff!$M$5:$M$44,MATCH(C229,Staff!$A$5:$A$44,0))),ServiceCommission)))</f>
        <v>0</v>
      </c>
      <c r="T229" s="27">
        <f>IF(B229="","",IFERROR(IF(INDEX(Staff!$N$5:$N$44,MATCH(C229,Staff!$A$5:$A$44,0))="",RetailCommission,INDEX(Staff!$N$5:$N$44,MATCH(C229,Staff!$A$5:$A$44,0))),RetailCommission))</f>
        <v>0</v>
      </c>
      <c r="U229" s="26">
        <f>IF(B229="","",IFERROR(INDEX(Staff!$O$5:$O$44,MATCH(C229,Staff!$A$5:$A$44,0))*1,0))</f>
        <v>0</v>
      </c>
      <c r="V229" s="26">
        <f>IF(B229="","",ROUND(IF(E229="Percent of service",Q229*S229,IF(E229="Percent of service and retail",Q229*S229+R229*T229,IF(E229="Percent after product cost",MAX(0,Q229-O229)*S229,IF(E229="Tiered on monthly service revenue",Q229*S229,IF(E229="Flat amount per service",P229*U229,0))))),2))</f>
        <v>0</v>
      </c>
      <c r="W229" s="26">
        <f>IF(B229="","",ROUND(SUMIFS(Payments!$G$5:$G$1204,Payments!$J$5:$J$1204,C229,Payments!$O$5:$O$1204,B229,Payments!$E$5:$E$1204,"Tip"),2))</f>
        <v>0</v>
      </c>
      <c r="X229" s="26">
        <f>IF(B229="","",ROUND(V229+IF(F229="",0,F229)+IF(G229="",0,G229),2))</f>
        <v>0</v>
      </c>
      <c r="Y229" s="27">
        <f>IF(B229="","",IF(Q229+R229=0,"",X229/(Q229+R229)))</f>
        <v>0</v>
      </c>
      <c r="Z229" s="25">
        <f>IF(B229="","",COUNTIFS($V$5:$V$244,"&gt;"&amp;V229)+COUNTIFS($V$5:V229,V229))</f>
        <v>0</v>
      </c>
      <c r="AA229" s="39">
        <f>IF(B229="","",IF(C229="","Add - whose commission is this?",IF(COUNTIFS($B$5:$B$244,B229,$C$5:$C$244,C229)&gt;1,"Duplicate - two rows for the same month",IF(E229="None","",IF(E229="Rent a chair","",IF(E229="Hourly only","",IF(X229=0,"Check - nothing calculated",IF(H229&lt;&gt;"Yes","Due - waiting for approval",IF(I229="","Due - approved but not paid","OK")))))))))</f>
        <v>0</v>
      </c>
    </row>
    <row r="230" spans="1:27">
      <c r="A230" s="28">
        <f>IF(B230="","",CommissionPrefix&amp;TEXT(ROW()-4,"0000"))</f>
        <v>0</v>
      </c>
      <c r="D230" s="15">
        <f>IF(C230="","",IFERROR(INDEX(Staff!$B$5:$B$44,MATCH(C230,Staff!$A$5:$A$44,0)),"Not in Staff"))</f>
        <v>0</v>
      </c>
      <c r="E230" s="15">
        <f>IF(C230="","",IFERROR(INDEX(Staff!$L$5:$L$44,MATCH(C230,Staff!$A$5:$A$44,0)),"None"))</f>
        <v>0</v>
      </c>
      <c r="K230" s="26">
        <f>IF(B230="","",ROUND(SUMIFS(Sales!$Y$5:$Y$1204,Sales!$F$5:$F$1204,C230,Sales!$R$5:$R$1204,B230,Sales!$H$5:$H$1204,"Service"),2))</f>
        <v>0</v>
      </c>
      <c r="L230" s="26">
        <f>IF(B230="","",ROUND(SUMIFS(Sales!$W$5:$W$1204,Sales!$F$5:$F$1204,C230,Sales!$R$5:$R$1204,B230,Sales!$H$5:$H$1204,"Service"),2))</f>
        <v>0</v>
      </c>
      <c r="M230" s="26">
        <f>IF(B230="","",ROUND(SUMIFS(Sales!$Y$5:$Y$1204,Sales!$F$5:$F$1204,C230,Sales!$R$5:$R$1204,B230,Sales!$H$5:$H$1204,"Retail"),2))</f>
        <v>0</v>
      </c>
      <c r="N230" s="26">
        <f>IF(B230="","",ROUND(SUMIFS(Sales!$W$5:$W$1204,Sales!$F$5:$F$1204,C230,Sales!$R$5:$R$1204,B230,Sales!$H$5:$H$1204,"Retail"),2))</f>
        <v>0</v>
      </c>
      <c r="O230" s="26">
        <f>IF(B230="","",ROUND(SUMIFS(Sales!$AB$5:$AB$1204,Sales!$F$5:$F$1204,C230,Sales!$R$5:$R$1204,B230,Sales!$H$5:$H$1204,"Service"),2))</f>
        <v>0</v>
      </c>
      <c r="P230" s="25">
        <f>IF(B230="","",COUNTIFS(Sales!$F$5:$F$1204,C230,Sales!$R$5:$R$1204,B230,Sales!$H$5:$H$1204,"Service"))</f>
        <v>0</v>
      </c>
      <c r="Q230" s="26">
        <f>IF(B230="","",IF(CommissionOn="Gross before discounts",L230,K230))</f>
        <v>0</v>
      </c>
      <c r="R230" s="26">
        <f>IF(B230="","",IF(CommissionOn="Gross before discounts",N230,M230))</f>
        <v>0</v>
      </c>
      <c r="S230" s="27">
        <f>IF(B230="","",IF(E230="Tiered on monthly service revenue",IFERROR(INDEX(TierRate,MATCH(Q230,TierFrom,1)),0),IFERROR(IF(INDEX(Staff!$M$5:$M$44,MATCH(C230,Staff!$A$5:$A$44,0))="",ServiceCommission,INDEX(Staff!$M$5:$M$44,MATCH(C230,Staff!$A$5:$A$44,0))),ServiceCommission)))</f>
        <v>0</v>
      </c>
      <c r="T230" s="27">
        <f>IF(B230="","",IFERROR(IF(INDEX(Staff!$N$5:$N$44,MATCH(C230,Staff!$A$5:$A$44,0))="",RetailCommission,INDEX(Staff!$N$5:$N$44,MATCH(C230,Staff!$A$5:$A$44,0))),RetailCommission))</f>
        <v>0</v>
      </c>
      <c r="U230" s="26">
        <f>IF(B230="","",IFERROR(INDEX(Staff!$O$5:$O$44,MATCH(C230,Staff!$A$5:$A$44,0))*1,0))</f>
        <v>0</v>
      </c>
      <c r="V230" s="26">
        <f>IF(B230="","",ROUND(IF(E230="Percent of service",Q230*S230,IF(E230="Percent of service and retail",Q230*S230+R230*T230,IF(E230="Percent after product cost",MAX(0,Q230-O230)*S230,IF(E230="Tiered on monthly service revenue",Q230*S230,IF(E230="Flat amount per service",P230*U230,0))))),2))</f>
        <v>0</v>
      </c>
      <c r="W230" s="26">
        <f>IF(B230="","",ROUND(SUMIFS(Payments!$G$5:$G$1204,Payments!$J$5:$J$1204,C230,Payments!$O$5:$O$1204,B230,Payments!$E$5:$E$1204,"Tip"),2))</f>
        <v>0</v>
      </c>
      <c r="X230" s="26">
        <f>IF(B230="","",ROUND(V230+IF(F230="",0,F230)+IF(G230="",0,G230),2))</f>
        <v>0</v>
      </c>
      <c r="Y230" s="27">
        <f>IF(B230="","",IF(Q230+R230=0,"",X230/(Q230+R230)))</f>
        <v>0</v>
      </c>
      <c r="Z230" s="25">
        <f>IF(B230="","",COUNTIFS($V$5:$V$244,"&gt;"&amp;V230)+COUNTIFS($V$5:V230,V230))</f>
        <v>0</v>
      </c>
      <c r="AA230" s="39">
        <f>IF(B230="","",IF(C230="","Add - whose commission is this?",IF(COUNTIFS($B$5:$B$244,B230,$C$5:$C$244,C230)&gt;1,"Duplicate - two rows for the same month",IF(E230="None","",IF(E230="Rent a chair","",IF(E230="Hourly only","",IF(X230=0,"Check - nothing calculated",IF(H230&lt;&gt;"Yes","Due - waiting for approval",IF(I230="","Due - approved but not paid","OK")))))))))</f>
        <v>0</v>
      </c>
    </row>
    <row r="231" spans="1:27">
      <c r="A231" s="28">
        <f>IF(B231="","",CommissionPrefix&amp;TEXT(ROW()-4,"0000"))</f>
        <v>0</v>
      </c>
      <c r="D231" s="15">
        <f>IF(C231="","",IFERROR(INDEX(Staff!$B$5:$B$44,MATCH(C231,Staff!$A$5:$A$44,0)),"Not in Staff"))</f>
        <v>0</v>
      </c>
      <c r="E231" s="15">
        <f>IF(C231="","",IFERROR(INDEX(Staff!$L$5:$L$44,MATCH(C231,Staff!$A$5:$A$44,0)),"None"))</f>
        <v>0</v>
      </c>
      <c r="K231" s="26">
        <f>IF(B231="","",ROUND(SUMIFS(Sales!$Y$5:$Y$1204,Sales!$F$5:$F$1204,C231,Sales!$R$5:$R$1204,B231,Sales!$H$5:$H$1204,"Service"),2))</f>
        <v>0</v>
      </c>
      <c r="L231" s="26">
        <f>IF(B231="","",ROUND(SUMIFS(Sales!$W$5:$W$1204,Sales!$F$5:$F$1204,C231,Sales!$R$5:$R$1204,B231,Sales!$H$5:$H$1204,"Service"),2))</f>
        <v>0</v>
      </c>
      <c r="M231" s="26">
        <f>IF(B231="","",ROUND(SUMIFS(Sales!$Y$5:$Y$1204,Sales!$F$5:$F$1204,C231,Sales!$R$5:$R$1204,B231,Sales!$H$5:$H$1204,"Retail"),2))</f>
        <v>0</v>
      </c>
      <c r="N231" s="26">
        <f>IF(B231="","",ROUND(SUMIFS(Sales!$W$5:$W$1204,Sales!$F$5:$F$1204,C231,Sales!$R$5:$R$1204,B231,Sales!$H$5:$H$1204,"Retail"),2))</f>
        <v>0</v>
      </c>
      <c r="O231" s="26">
        <f>IF(B231="","",ROUND(SUMIFS(Sales!$AB$5:$AB$1204,Sales!$F$5:$F$1204,C231,Sales!$R$5:$R$1204,B231,Sales!$H$5:$H$1204,"Service"),2))</f>
        <v>0</v>
      </c>
      <c r="P231" s="25">
        <f>IF(B231="","",COUNTIFS(Sales!$F$5:$F$1204,C231,Sales!$R$5:$R$1204,B231,Sales!$H$5:$H$1204,"Service"))</f>
        <v>0</v>
      </c>
      <c r="Q231" s="26">
        <f>IF(B231="","",IF(CommissionOn="Gross before discounts",L231,K231))</f>
        <v>0</v>
      </c>
      <c r="R231" s="26">
        <f>IF(B231="","",IF(CommissionOn="Gross before discounts",N231,M231))</f>
        <v>0</v>
      </c>
      <c r="S231" s="27">
        <f>IF(B231="","",IF(E231="Tiered on monthly service revenue",IFERROR(INDEX(TierRate,MATCH(Q231,TierFrom,1)),0),IFERROR(IF(INDEX(Staff!$M$5:$M$44,MATCH(C231,Staff!$A$5:$A$44,0))="",ServiceCommission,INDEX(Staff!$M$5:$M$44,MATCH(C231,Staff!$A$5:$A$44,0))),ServiceCommission)))</f>
        <v>0</v>
      </c>
      <c r="T231" s="27">
        <f>IF(B231="","",IFERROR(IF(INDEX(Staff!$N$5:$N$44,MATCH(C231,Staff!$A$5:$A$44,0))="",RetailCommission,INDEX(Staff!$N$5:$N$44,MATCH(C231,Staff!$A$5:$A$44,0))),RetailCommission))</f>
        <v>0</v>
      </c>
      <c r="U231" s="26">
        <f>IF(B231="","",IFERROR(INDEX(Staff!$O$5:$O$44,MATCH(C231,Staff!$A$5:$A$44,0))*1,0))</f>
        <v>0</v>
      </c>
      <c r="V231" s="26">
        <f>IF(B231="","",ROUND(IF(E231="Percent of service",Q231*S231,IF(E231="Percent of service and retail",Q231*S231+R231*T231,IF(E231="Percent after product cost",MAX(0,Q231-O231)*S231,IF(E231="Tiered on monthly service revenue",Q231*S231,IF(E231="Flat amount per service",P231*U231,0))))),2))</f>
        <v>0</v>
      </c>
      <c r="W231" s="26">
        <f>IF(B231="","",ROUND(SUMIFS(Payments!$G$5:$G$1204,Payments!$J$5:$J$1204,C231,Payments!$O$5:$O$1204,B231,Payments!$E$5:$E$1204,"Tip"),2))</f>
        <v>0</v>
      </c>
      <c r="X231" s="26">
        <f>IF(B231="","",ROUND(V231+IF(F231="",0,F231)+IF(G231="",0,G231),2))</f>
        <v>0</v>
      </c>
      <c r="Y231" s="27">
        <f>IF(B231="","",IF(Q231+R231=0,"",X231/(Q231+R231)))</f>
        <v>0</v>
      </c>
      <c r="Z231" s="25">
        <f>IF(B231="","",COUNTIFS($V$5:$V$244,"&gt;"&amp;V231)+COUNTIFS($V$5:V231,V231))</f>
        <v>0</v>
      </c>
      <c r="AA231" s="39">
        <f>IF(B231="","",IF(C231="","Add - whose commission is this?",IF(COUNTIFS($B$5:$B$244,B231,$C$5:$C$244,C231)&gt;1,"Duplicate - two rows for the same month",IF(E231="None","",IF(E231="Rent a chair","",IF(E231="Hourly only","",IF(X231=0,"Check - nothing calculated",IF(H231&lt;&gt;"Yes","Due - waiting for approval",IF(I231="","Due - approved but not paid","OK")))))))))</f>
        <v>0</v>
      </c>
    </row>
    <row r="232" spans="1:27">
      <c r="A232" s="28">
        <f>IF(B232="","",CommissionPrefix&amp;TEXT(ROW()-4,"0000"))</f>
        <v>0</v>
      </c>
      <c r="D232" s="15">
        <f>IF(C232="","",IFERROR(INDEX(Staff!$B$5:$B$44,MATCH(C232,Staff!$A$5:$A$44,0)),"Not in Staff"))</f>
        <v>0</v>
      </c>
      <c r="E232" s="15">
        <f>IF(C232="","",IFERROR(INDEX(Staff!$L$5:$L$44,MATCH(C232,Staff!$A$5:$A$44,0)),"None"))</f>
        <v>0</v>
      </c>
      <c r="K232" s="26">
        <f>IF(B232="","",ROUND(SUMIFS(Sales!$Y$5:$Y$1204,Sales!$F$5:$F$1204,C232,Sales!$R$5:$R$1204,B232,Sales!$H$5:$H$1204,"Service"),2))</f>
        <v>0</v>
      </c>
      <c r="L232" s="26">
        <f>IF(B232="","",ROUND(SUMIFS(Sales!$W$5:$W$1204,Sales!$F$5:$F$1204,C232,Sales!$R$5:$R$1204,B232,Sales!$H$5:$H$1204,"Service"),2))</f>
        <v>0</v>
      </c>
      <c r="M232" s="26">
        <f>IF(B232="","",ROUND(SUMIFS(Sales!$Y$5:$Y$1204,Sales!$F$5:$F$1204,C232,Sales!$R$5:$R$1204,B232,Sales!$H$5:$H$1204,"Retail"),2))</f>
        <v>0</v>
      </c>
      <c r="N232" s="26">
        <f>IF(B232="","",ROUND(SUMIFS(Sales!$W$5:$W$1204,Sales!$F$5:$F$1204,C232,Sales!$R$5:$R$1204,B232,Sales!$H$5:$H$1204,"Retail"),2))</f>
        <v>0</v>
      </c>
      <c r="O232" s="26">
        <f>IF(B232="","",ROUND(SUMIFS(Sales!$AB$5:$AB$1204,Sales!$F$5:$F$1204,C232,Sales!$R$5:$R$1204,B232,Sales!$H$5:$H$1204,"Service"),2))</f>
        <v>0</v>
      </c>
      <c r="P232" s="25">
        <f>IF(B232="","",COUNTIFS(Sales!$F$5:$F$1204,C232,Sales!$R$5:$R$1204,B232,Sales!$H$5:$H$1204,"Service"))</f>
        <v>0</v>
      </c>
      <c r="Q232" s="26">
        <f>IF(B232="","",IF(CommissionOn="Gross before discounts",L232,K232))</f>
        <v>0</v>
      </c>
      <c r="R232" s="26">
        <f>IF(B232="","",IF(CommissionOn="Gross before discounts",N232,M232))</f>
        <v>0</v>
      </c>
      <c r="S232" s="27">
        <f>IF(B232="","",IF(E232="Tiered on monthly service revenue",IFERROR(INDEX(TierRate,MATCH(Q232,TierFrom,1)),0),IFERROR(IF(INDEX(Staff!$M$5:$M$44,MATCH(C232,Staff!$A$5:$A$44,0))="",ServiceCommission,INDEX(Staff!$M$5:$M$44,MATCH(C232,Staff!$A$5:$A$44,0))),ServiceCommission)))</f>
        <v>0</v>
      </c>
      <c r="T232" s="27">
        <f>IF(B232="","",IFERROR(IF(INDEX(Staff!$N$5:$N$44,MATCH(C232,Staff!$A$5:$A$44,0))="",RetailCommission,INDEX(Staff!$N$5:$N$44,MATCH(C232,Staff!$A$5:$A$44,0))),RetailCommission))</f>
        <v>0</v>
      </c>
      <c r="U232" s="26">
        <f>IF(B232="","",IFERROR(INDEX(Staff!$O$5:$O$44,MATCH(C232,Staff!$A$5:$A$44,0))*1,0))</f>
        <v>0</v>
      </c>
      <c r="V232" s="26">
        <f>IF(B232="","",ROUND(IF(E232="Percent of service",Q232*S232,IF(E232="Percent of service and retail",Q232*S232+R232*T232,IF(E232="Percent after product cost",MAX(0,Q232-O232)*S232,IF(E232="Tiered on monthly service revenue",Q232*S232,IF(E232="Flat amount per service",P232*U232,0))))),2))</f>
        <v>0</v>
      </c>
      <c r="W232" s="26">
        <f>IF(B232="","",ROUND(SUMIFS(Payments!$G$5:$G$1204,Payments!$J$5:$J$1204,C232,Payments!$O$5:$O$1204,B232,Payments!$E$5:$E$1204,"Tip"),2))</f>
        <v>0</v>
      </c>
      <c r="X232" s="26">
        <f>IF(B232="","",ROUND(V232+IF(F232="",0,F232)+IF(G232="",0,G232),2))</f>
        <v>0</v>
      </c>
      <c r="Y232" s="27">
        <f>IF(B232="","",IF(Q232+R232=0,"",X232/(Q232+R232)))</f>
        <v>0</v>
      </c>
      <c r="Z232" s="25">
        <f>IF(B232="","",COUNTIFS($V$5:$V$244,"&gt;"&amp;V232)+COUNTIFS($V$5:V232,V232))</f>
        <v>0</v>
      </c>
      <c r="AA232" s="39">
        <f>IF(B232="","",IF(C232="","Add - whose commission is this?",IF(COUNTIFS($B$5:$B$244,B232,$C$5:$C$244,C232)&gt;1,"Duplicate - two rows for the same month",IF(E232="None","",IF(E232="Rent a chair","",IF(E232="Hourly only","",IF(X232=0,"Check - nothing calculated",IF(H232&lt;&gt;"Yes","Due - waiting for approval",IF(I232="","Due - approved but not paid","OK")))))))))</f>
        <v>0</v>
      </c>
    </row>
    <row r="233" spans="1:27">
      <c r="A233" s="28">
        <f>IF(B233="","",CommissionPrefix&amp;TEXT(ROW()-4,"0000"))</f>
        <v>0</v>
      </c>
      <c r="D233" s="15">
        <f>IF(C233="","",IFERROR(INDEX(Staff!$B$5:$B$44,MATCH(C233,Staff!$A$5:$A$44,0)),"Not in Staff"))</f>
        <v>0</v>
      </c>
      <c r="E233" s="15">
        <f>IF(C233="","",IFERROR(INDEX(Staff!$L$5:$L$44,MATCH(C233,Staff!$A$5:$A$44,0)),"None"))</f>
        <v>0</v>
      </c>
      <c r="K233" s="26">
        <f>IF(B233="","",ROUND(SUMIFS(Sales!$Y$5:$Y$1204,Sales!$F$5:$F$1204,C233,Sales!$R$5:$R$1204,B233,Sales!$H$5:$H$1204,"Service"),2))</f>
        <v>0</v>
      </c>
      <c r="L233" s="26">
        <f>IF(B233="","",ROUND(SUMIFS(Sales!$W$5:$W$1204,Sales!$F$5:$F$1204,C233,Sales!$R$5:$R$1204,B233,Sales!$H$5:$H$1204,"Service"),2))</f>
        <v>0</v>
      </c>
      <c r="M233" s="26">
        <f>IF(B233="","",ROUND(SUMIFS(Sales!$Y$5:$Y$1204,Sales!$F$5:$F$1204,C233,Sales!$R$5:$R$1204,B233,Sales!$H$5:$H$1204,"Retail"),2))</f>
        <v>0</v>
      </c>
      <c r="N233" s="26">
        <f>IF(B233="","",ROUND(SUMIFS(Sales!$W$5:$W$1204,Sales!$F$5:$F$1204,C233,Sales!$R$5:$R$1204,B233,Sales!$H$5:$H$1204,"Retail"),2))</f>
        <v>0</v>
      </c>
      <c r="O233" s="26">
        <f>IF(B233="","",ROUND(SUMIFS(Sales!$AB$5:$AB$1204,Sales!$F$5:$F$1204,C233,Sales!$R$5:$R$1204,B233,Sales!$H$5:$H$1204,"Service"),2))</f>
        <v>0</v>
      </c>
      <c r="P233" s="25">
        <f>IF(B233="","",COUNTIFS(Sales!$F$5:$F$1204,C233,Sales!$R$5:$R$1204,B233,Sales!$H$5:$H$1204,"Service"))</f>
        <v>0</v>
      </c>
      <c r="Q233" s="26">
        <f>IF(B233="","",IF(CommissionOn="Gross before discounts",L233,K233))</f>
        <v>0</v>
      </c>
      <c r="R233" s="26">
        <f>IF(B233="","",IF(CommissionOn="Gross before discounts",N233,M233))</f>
        <v>0</v>
      </c>
      <c r="S233" s="27">
        <f>IF(B233="","",IF(E233="Tiered on monthly service revenue",IFERROR(INDEX(TierRate,MATCH(Q233,TierFrom,1)),0),IFERROR(IF(INDEX(Staff!$M$5:$M$44,MATCH(C233,Staff!$A$5:$A$44,0))="",ServiceCommission,INDEX(Staff!$M$5:$M$44,MATCH(C233,Staff!$A$5:$A$44,0))),ServiceCommission)))</f>
        <v>0</v>
      </c>
      <c r="T233" s="27">
        <f>IF(B233="","",IFERROR(IF(INDEX(Staff!$N$5:$N$44,MATCH(C233,Staff!$A$5:$A$44,0))="",RetailCommission,INDEX(Staff!$N$5:$N$44,MATCH(C233,Staff!$A$5:$A$44,0))),RetailCommission))</f>
        <v>0</v>
      </c>
      <c r="U233" s="26">
        <f>IF(B233="","",IFERROR(INDEX(Staff!$O$5:$O$44,MATCH(C233,Staff!$A$5:$A$44,0))*1,0))</f>
        <v>0</v>
      </c>
      <c r="V233" s="26">
        <f>IF(B233="","",ROUND(IF(E233="Percent of service",Q233*S233,IF(E233="Percent of service and retail",Q233*S233+R233*T233,IF(E233="Percent after product cost",MAX(0,Q233-O233)*S233,IF(E233="Tiered on monthly service revenue",Q233*S233,IF(E233="Flat amount per service",P233*U233,0))))),2))</f>
        <v>0</v>
      </c>
      <c r="W233" s="26">
        <f>IF(B233="","",ROUND(SUMIFS(Payments!$G$5:$G$1204,Payments!$J$5:$J$1204,C233,Payments!$O$5:$O$1204,B233,Payments!$E$5:$E$1204,"Tip"),2))</f>
        <v>0</v>
      </c>
      <c r="X233" s="26">
        <f>IF(B233="","",ROUND(V233+IF(F233="",0,F233)+IF(G233="",0,G233),2))</f>
        <v>0</v>
      </c>
      <c r="Y233" s="27">
        <f>IF(B233="","",IF(Q233+R233=0,"",X233/(Q233+R233)))</f>
        <v>0</v>
      </c>
      <c r="Z233" s="25">
        <f>IF(B233="","",COUNTIFS($V$5:$V$244,"&gt;"&amp;V233)+COUNTIFS($V$5:V233,V233))</f>
        <v>0</v>
      </c>
      <c r="AA233" s="39">
        <f>IF(B233="","",IF(C233="","Add - whose commission is this?",IF(COUNTIFS($B$5:$B$244,B233,$C$5:$C$244,C233)&gt;1,"Duplicate - two rows for the same month",IF(E233="None","",IF(E233="Rent a chair","",IF(E233="Hourly only","",IF(X233=0,"Check - nothing calculated",IF(H233&lt;&gt;"Yes","Due - waiting for approval",IF(I233="","Due - approved but not paid","OK")))))))))</f>
        <v>0</v>
      </c>
    </row>
    <row r="234" spans="1:27">
      <c r="A234" s="28">
        <f>IF(B234="","",CommissionPrefix&amp;TEXT(ROW()-4,"0000"))</f>
        <v>0</v>
      </c>
      <c r="D234" s="15">
        <f>IF(C234="","",IFERROR(INDEX(Staff!$B$5:$B$44,MATCH(C234,Staff!$A$5:$A$44,0)),"Not in Staff"))</f>
        <v>0</v>
      </c>
      <c r="E234" s="15">
        <f>IF(C234="","",IFERROR(INDEX(Staff!$L$5:$L$44,MATCH(C234,Staff!$A$5:$A$44,0)),"None"))</f>
        <v>0</v>
      </c>
      <c r="K234" s="26">
        <f>IF(B234="","",ROUND(SUMIFS(Sales!$Y$5:$Y$1204,Sales!$F$5:$F$1204,C234,Sales!$R$5:$R$1204,B234,Sales!$H$5:$H$1204,"Service"),2))</f>
        <v>0</v>
      </c>
      <c r="L234" s="26">
        <f>IF(B234="","",ROUND(SUMIFS(Sales!$W$5:$W$1204,Sales!$F$5:$F$1204,C234,Sales!$R$5:$R$1204,B234,Sales!$H$5:$H$1204,"Service"),2))</f>
        <v>0</v>
      </c>
      <c r="M234" s="26">
        <f>IF(B234="","",ROUND(SUMIFS(Sales!$Y$5:$Y$1204,Sales!$F$5:$F$1204,C234,Sales!$R$5:$R$1204,B234,Sales!$H$5:$H$1204,"Retail"),2))</f>
        <v>0</v>
      </c>
      <c r="N234" s="26">
        <f>IF(B234="","",ROUND(SUMIFS(Sales!$W$5:$W$1204,Sales!$F$5:$F$1204,C234,Sales!$R$5:$R$1204,B234,Sales!$H$5:$H$1204,"Retail"),2))</f>
        <v>0</v>
      </c>
      <c r="O234" s="26">
        <f>IF(B234="","",ROUND(SUMIFS(Sales!$AB$5:$AB$1204,Sales!$F$5:$F$1204,C234,Sales!$R$5:$R$1204,B234,Sales!$H$5:$H$1204,"Service"),2))</f>
        <v>0</v>
      </c>
      <c r="P234" s="25">
        <f>IF(B234="","",COUNTIFS(Sales!$F$5:$F$1204,C234,Sales!$R$5:$R$1204,B234,Sales!$H$5:$H$1204,"Service"))</f>
        <v>0</v>
      </c>
      <c r="Q234" s="26">
        <f>IF(B234="","",IF(CommissionOn="Gross before discounts",L234,K234))</f>
        <v>0</v>
      </c>
      <c r="R234" s="26">
        <f>IF(B234="","",IF(CommissionOn="Gross before discounts",N234,M234))</f>
        <v>0</v>
      </c>
      <c r="S234" s="27">
        <f>IF(B234="","",IF(E234="Tiered on monthly service revenue",IFERROR(INDEX(TierRate,MATCH(Q234,TierFrom,1)),0),IFERROR(IF(INDEX(Staff!$M$5:$M$44,MATCH(C234,Staff!$A$5:$A$44,0))="",ServiceCommission,INDEX(Staff!$M$5:$M$44,MATCH(C234,Staff!$A$5:$A$44,0))),ServiceCommission)))</f>
        <v>0</v>
      </c>
      <c r="T234" s="27">
        <f>IF(B234="","",IFERROR(IF(INDEX(Staff!$N$5:$N$44,MATCH(C234,Staff!$A$5:$A$44,0))="",RetailCommission,INDEX(Staff!$N$5:$N$44,MATCH(C234,Staff!$A$5:$A$44,0))),RetailCommission))</f>
        <v>0</v>
      </c>
      <c r="U234" s="26">
        <f>IF(B234="","",IFERROR(INDEX(Staff!$O$5:$O$44,MATCH(C234,Staff!$A$5:$A$44,0))*1,0))</f>
        <v>0</v>
      </c>
      <c r="V234" s="26">
        <f>IF(B234="","",ROUND(IF(E234="Percent of service",Q234*S234,IF(E234="Percent of service and retail",Q234*S234+R234*T234,IF(E234="Percent after product cost",MAX(0,Q234-O234)*S234,IF(E234="Tiered on monthly service revenue",Q234*S234,IF(E234="Flat amount per service",P234*U234,0))))),2))</f>
        <v>0</v>
      </c>
      <c r="W234" s="26">
        <f>IF(B234="","",ROUND(SUMIFS(Payments!$G$5:$G$1204,Payments!$J$5:$J$1204,C234,Payments!$O$5:$O$1204,B234,Payments!$E$5:$E$1204,"Tip"),2))</f>
        <v>0</v>
      </c>
      <c r="X234" s="26">
        <f>IF(B234="","",ROUND(V234+IF(F234="",0,F234)+IF(G234="",0,G234),2))</f>
        <v>0</v>
      </c>
      <c r="Y234" s="27">
        <f>IF(B234="","",IF(Q234+R234=0,"",X234/(Q234+R234)))</f>
        <v>0</v>
      </c>
      <c r="Z234" s="25">
        <f>IF(B234="","",COUNTIFS($V$5:$V$244,"&gt;"&amp;V234)+COUNTIFS($V$5:V234,V234))</f>
        <v>0</v>
      </c>
      <c r="AA234" s="39">
        <f>IF(B234="","",IF(C234="","Add - whose commission is this?",IF(COUNTIFS($B$5:$B$244,B234,$C$5:$C$244,C234)&gt;1,"Duplicate - two rows for the same month",IF(E234="None","",IF(E234="Rent a chair","",IF(E234="Hourly only","",IF(X234=0,"Check - nothing calculated",IF(H234&lt;&gt;"Yes","Due - waiting for approval",IF(I234="","Due - approved but not paid","OK")))))))))</f>
        <v>0</v>
      </c>
    </row>
    <row r="235" spans="1:27">
      <c r="A235" s="28">
        <f>IF(B235="","",CommissionPrefix&amp;TEXT(ROW()-4,"0000"))</f>
        <v>0</v>
      </c>
      <c r="D235" s="15">
        <f>IF(C235="","",IFERROR(INDEX(Staff!$B$5:$B$44,MATCH(C235,Staff!$A$5:$A$44,0)),"Not in Staff"))</f>
        <v>0</v>
      </c>
      <c r="E235" s="15">
        <f>IF(C235="","",IFERROR(INDEX(Staff!$L$5:$L$44,MATCH(C235,Staff!$A$5:$A$44,0)),"None"))</f>
        <v>0</v>
      </c>
      <c r="K235" s="26">
        <f>IF(B235="","",ROUND(SUMIFS(Sales!$Y$5:$Y$1204,Sales!$F$5:$F$1204,C235,Sales!$R$5:$R$1204,B235,Sales!$H$5:$H$1204,"Service"),2))</f>
        <v>0</v>
      </c>
      <c r="L235" s="26">
        <f>IF(B235="","",ROUND(SUMIFS(Sales!$W$5:$W$1204,Sales!$F$5:$F$1204,C235,Sales!$R$5:$R$1204,B235,Sales!$H$5:$H$1204,"Service"),2))</f>
        <v>0</v>
      </c>
      <c r="M235" s="26">
        <f>IF(B235="","",ROUND(SUMIFS(Sales!$Y$5:$Y$1204,Sales!$F$5:$F$1204,C235,Sales!$R$5:$R$1204,B235,Sales!$H$5:$H$1204,"Retail"),2))</f>
        <v>0</v>
      </c>
      <c r="N235" s="26">
        <f>IF(B235="","",ROUND(SUMIFS(Sales!$W$5:$W$1204,Sales!$F$5:$F$1204,C235,Sales!$R$5:$R$1204,B235,Sales!$H$5:$H$1204,"Retail"),2))</f>
        <v>0</v>
      </c>
      <c r="O235" s="26">
        <f>IF(B235="","",ROUND(SUMIFS(Sales!$AB$5:$AB$1204,Sales!$F$5:$F$1204,C235,Sales!$R$5:$R$1204,B235,Sales!$H$5:$H$1204,"Service"),2))</f>
        <v>0</v>
      </c>
      <c r="P235" s="25">
        <f>IF(B235="","",COUNTIFS(Sales!$F$5:$F$1204,C235,Sales!$R$5:$R$1204,B235,Sales!$H$5:$H$1204,"Service"))</f>
        <v>0</v>
      </c>
      <c r="Q235" s="26">
        <f>IF(B235="","",IF(CommissionOn="Gross before discounts",L235,K235))</f>
        <v>0</v>
      </c>
      <c r="R235" s="26">
        <f>IF(B235="","",IF(CommissionOn="Gross before discounts",N235,M235))</f>
        <v>0</v>
      </c>
      <c r="S235" s="27">
        <f>IF(B235="","",IF(E235="Tiered on monthly service revenue",IFERROR(INDEX(TierRate,MATCH(Q235,TierFrom,1)),0),IFERROR(IF(INDEX(Staff!$M$5:$M$44,MATCH(C235,Staff!$A$5:$A$44,0))="",ServiceCommission,INDEX(Staff!$M$5:$M$44,MATCH(C235,Staff!$A$5:$A$44,0))),ServiceCommission)))</f>
        <v>0</v>
      </c>
      <c r="T235" s="27">
        <f>IF(B235="","",IFERROR(IF(INDEX(Staff!$N$5:$N$44,MATCH(C235,Staff!$A$5:$A$44,0))="",RetailCommission,INDEX(Staff!$N$5:$N$44,MATCH(C235,Staff!$A$5:$A$44,0))),RetailCommission))</f>
        <v>0</v>
      </c>
      <c r="U235" s="26">
        <f>IF(B235="","",IFERROR(INDEX(Staff!$O$5:$O$44,MATCH(C235,Staff!$A$5:$A$44,0))*1,0))</f>
        <v>0</v>
      </c>
      <c r="V235" s="26">
        <f>IF(B235="","",ROUND(IF(E235="Percent of service",Q235*S235,IF(E235="Percent of service and retail",Q235*S235+R235*T235,IF(E235="Percent after product cost",MAX(0,Q235-O235)*S235,IF(E235="Tiered on monthly service revenue",Q235*S235,IF(E235="Flat amount per service",P235*U235,0))))),2))</f>
        <v>0</v>
      </c>
      <c r="W235" s="26">
        <f>IF(B235="","",ROUND(SUMIFS(Payments!$G$5:$G$1204,Payments!$J$5:$J$1204,C235,Payments!$O$5:$O$1204,B235,Payments!$E$5:$E$1204,"Tip"),2))</f>
        <v>0</v>
      </c>
      <c r="X235" s="26">
        <f>IF(B235="","",ROUND(V235+IF(F235="",0,F235)+IF(G235="",0,G235),2))</f>
        <v>0</v>
      </c>
      <c r="Y235" s="27">
        <f>IF(B235="","",IF(Q235+R235=0,"",X235/(Q235+R235)))</f>
        <v>0</v>
      </c>
      <c r="Z235" s="25">
        <f>IF(B235="","",COUNTIFS($V$5:$V$244,"&gt;"&amp;V235)+COUNTIFS($V$5:V235,V235))</f>
        <v>0</v>
      </c>
      <c r="AA235" s="39">
        <f>IF(B235="","",IF(C235="","Add - whose commission is this?",IF(COUNTIFS($B$5:$B$244,B235,$C$5:$C$244,C235)&gt;1,"Duplicate - two rows for the same month",IF(E235="None","",IF(E235="Rent a chair","",IF(E235="Hourly only","",IF(X235=0,"Check - nothing calculated",IF(H235&lt;&gt;"Yes","Due - waiting for approval",IF(I235="","Due - approved but not paid","OK")))))))))</f>
        <v>0</v>
      </c>
    </row>
    <row r="236" spans="1:27">
      <c r="A236" s="28">
        <f>IF(B236="","",CommissionPrefix&amp;TEXT(ROW()-4,"0000"))</f>
        <v>0</v>
      </c>
      <c r="D236" s="15">
        <f>IF(C236="","",IFERROR(INDEX(Staff!$B$5:$B$44,MATCH(C236,Staff!$A$5:$A$44,0)),"Not in Staff"))</f>
        <v>0</v>
      </c>
      <c r="E236" s="15">
        <f>IF(C236="","",IFERROR(INDEX(Staff!$L$5:$L$44,MATCH(C236,Staff!$A$5:$A$44,0)),"None"))</f>
        <v>0</v>
      </c>
      <c r="K236" s="26">
        <f>IF(B236="","",ROUND(SUMIFS(Sales!$Y$5:$Y$1204,Sales!$F$5:$F$1204,C236,Sales!$R$5:$R$1204,B236,Sales!$H$5:$H$1204,"Service"),2))</f>
        <v>0</v>
      </c>
      <c r="L236" s="26">
        <f>IF(B236="","",ROUND(SUMIFS(Sales!$W$5:$W$1204,Sales!$F$5:$F$1204,C236,Sales!$R$5:$R$1204,B236,Sales!$H$5:$H$1204,"Service"),2))</f>
        <v>0</v>
      </c>
      <c r="M236" s="26">
        <f>IF(B236="","",ROUND(SUMIFS(Sales!$Y$5:$Y$1204,Sales!$F$5:$F$1204,C236,Sales!$R$5:$R$1204,B236,Sales!$H$5:$H$1204,"Retail"),2))</f>
        <v>0</v>
      </c>
      <c r="N236" s="26">
        <f>IF(B236="","",ROUND(SUMIFS(Sales!$W$5:$W$1204,Sales!$F$5:$F$1204,C236,Sales!$R$5:$R$1204,B236,Sales!$H$5:$H$1204,"Retail"),2))</f>
        <v>0</v>
      </c>
      <c r="O236" s="26">
        <f>IF(B236="","",ROUND(SUMIFS(Sales!$AB$5:$AB$1204,Sales!$F$5:$F$1204,C236,Sales!$R$5:$R$1204,B236,Sales!$H$5:$H$1204,"Service"),2))</f>
        <v>0</v>
      </c>
      <c r="P236" s="25">
        <f>IF(B236="","",COUNTIFS(Sales!$F$5:$F$1204,C236,Sales!$R$5:$R$1204,B236,Sales!$H$5:$H$1204,"Service"))</f>
        <v>0</v>
      </c>
      <c r="Q236" s="26">
        <f>IF(B236="","",IF(CommissionOn="Gross before discounts",L236,K236))</f>
        <v>0</v>
      </c>
      <c r="R236" s="26">
        <f>IF(B236="","",IF(CommissionOn="Gross before discounts",N236,M236))</f>
        <v>0</v>
      </c>
      <c r="S236" s="27">
        <f>IF(B236="","",IF(E236="Tiered on monthly service revenue",IFERROR(INDEX(TierRate,MATCH(Q236,TierFrom,1)),0),IFERROR(IF(INDEX(Staff!$M$5:$M$44,MATCH(C236,Staff!$A$5:$A$44,0))="",ServiceCommission,INDEX(Staff!$M$5:$M$44,MATCH(C236,Staff!$A$5:$A$44,0))),ServiceCommission)))</f>
        <v>0</v>
      </c>
      <c r="T236" s="27">
        <f>IF(B236="","",IFERROR(IF(INDEX(Staff!$N$5:$N$44,MATCH(C236,Staff!$A$5:$A$44,0))="",RetailCommission,INDEX(Staff!$N$5:$N$44,MATCH(C236,Staff!$A$5:$A$44,0))),RetailCommission))</f>
        <v>0</v>
      </c>
      <c r="U236" s="26">
        <f>IF(B236="","",IFERROR(INDEX(Staff!$O$5:$O$44,MATCH(C236,Staff!$A$5:$A$44,0))*1,0))</f>
        <v>0</v>
      </c>
      <c r="V236" s="26">
        <f>IF(B236="","",ROUND(IF(E236="Percent of service",Q236*S236,IF(E236="Percent of service and retail",Q236*S236+R236*T236,IF(E236="Percent after product cost",MAX(0,Q236-O236)*S236,IF(E236="Tiered on monthly service revenue",Q236*S236,IF(E236="Flat amount per service",P236*U236,0))))),2))</f>
        <v>0</v>
      </c>
      <c r="W236" s="26">
        <f>IF(B236="","",ROUND(SUMIFS(Payments!$G$5:$G$1204,Payments!$J$5:$J$1204,C236,Payments!$O$5:$O$1204,B236,Payments!$E$5:$E$1204,"Tip"),2))</f>
        <v>0</v>
      </c>
      <c r="X236" s="26">
        <f>IF(B236="","",ROUND(V236+IF(F236="",0,F236)+IF(G236="",0,G236),2))</f>
        <v>0</v>
      </c>
      <c r="Y236" s="27">
        <f>IF(B236="","",IF(Q236+R236=0,"",X236/(Q236+R236)))</f>
        <v>0</v>
      </c>
      <c r="Z236" s="25">
        <f>IF(B236="","",COUNTIFS($V$5:$V$244,"&gt;"&amp;V236)+COUNTIFS($V$5:V236,V236))</f>
        <v>0</v>
      </c>
      <c r="AA236" s="39">
        <f>IF(B236="","",IF(C236="","Add - whose commission is this?",IF(COUNTIFS($B$5:$B$244,B236,$C$5:$C$244,C236)&gt;1,"Duplicate - two rows for the same month",IF(E236="None","",IF(E236="Rent a chair","",IF(E236="Hourly only","",IF(X236=0,"Check - nothing calculated",IF(H236&lt;&gt;"Yes","Due - waiting for approval",IF(I236="","Due - approved but not paid","OK")))))))))</f>
        <v>0</v>
      </c>
    </row>
    <row r="237" spans="1:27">
      <c r="A237" s="28">
        <f>IF(B237="","",CommissionPrefix&amp;TEXT(ROW()-4,"0000"))</f>
        <v>0</v>
      </c>
      <c r="D237" s="15">
        <f>IF(C237="","",IFERROR(INDEX(Staff!$B$5:$B$44,MATCH(C237,Staff!$A$5:$A$44,0)),"Not in Staff"))</f>
        <v>0</v>
      </c>
      <c r="E237" s="15">
        <f>IF(C237="","",IFERROR(INDEX(Staff!$L$5:$L$44,MATCH(C237,Staff!$A$5:$A$44,0)),"None"))</f>
        <v>0</v>
      </c>
      <c r="K237" s="26">
        <f>IF(B237="","",ROUND(SUMIFS(Sales!$Y$5:$Y$1204,Sales!$F$5:$F$1204,C237,Sales!$R$5:$R$1204,B237,Sales!$H$5:$H$1204,"Service"),2))</f>
        <v>0</v>
      </c>
      <c r="L237" s="26">
        <f>IF(B237="","",ROUND(SUMIFS(Sales!$W$5:$W$1204,Sales!$F$5:$F$1204,C237,Sales!$R$5:$R$1204,B237,Sales!$H$5:$H$1204,"Service"),2))</f>
        <v>0</v>
      </c>
      <c r="M237" s="26">
        <f>IF(B237="","",ROUND(SUMIFS(Sales!$Y$5:$Y$1204,Sales!$F$5:$F$1204,C237,Sales!$R$5:$R$1204,B237,Sales!$H$5:$H$1204,"Retail"),2))</f>
        <v>0</v>
      </c>
      <c r="N237" s="26">
        <f>IF(B237="","",ROUND(SUMIFS(Sales!$W$5:$W$1204,Sales!$F$5:$F$1204,C237,Sales!$R$5:$R$1204,B237,Sales!$H$5:$H$1204,"Retail"),2))</f>
        <v>0</v>
      </c>
      <c r="O237" s="26">
        <f>IF(B237="","",ROUND(SUMIFS(Sales!$AB$5:$AB$1204,Sales!$F$5:$F$1204,C237,Sales!$R$5:$R$1204,B237,Sales!$H$5:$H$1204,"Service"),2))</f>
        <v>0</v>
      </c>
      <c r="P237" s="25">
        <f>IF(B237="","",COUNTIFS(Sales!$F$5:$F$1204,C237,Sales!$R$5:$R$1204,B237,Sales!$H$5:$H$1204,"Service"))</f>
        <v>0</v>
      </c>
      <c r="Q237" s="26">
        <f>IF(B237="","",IF(CommissionOn="Gross before discounts",L237,K237))</f>
        <v>0</v>
      </c>
      <c r="R237" s="26">
        <f>IF(B237="","",IF(CommissionOn="Gross before discounts",N237,M237))</f>
        <v>0</v>
      </c>
      <c r="S237" s="27">
        <f>IF(B237="","",IF(E237="Tiered on monthly service revenue",IFERROR(INDEX(TierRate,MATCH(Q237,TierFrom,1)),0),IFERROR(IF(INDEX(Staff!$M$5:$M$44,MATCH(C237,Staff!$A$5:$A$44,0))="",ServiceCommission,INDEX(Staff!$M$5:$M$44,MATCH(C237,Staff!$A$5:$A$44,0))),ServiceCommission)))</f>
        <v>0</v>
      </c>
      <c r="T237" s="27">
        <f>IF(B237="","",IFERROR(IF(INDEX(Staff!$N$5:$N$44,MATCH(C237,Staff!$A$5:$A$44,0))="",RetailCommission,INDEX(Staff!$N$5:$N$44,MATCH(C237,Staff!$A$5:$A$44,0))),RetailCommission))</f>
        <v>0</v>
      </c>
      <c r="U237" s="26">
        <f>IF(B237="","",IFERROR(INDEX(Staff!$O$5:$O$44,MATCH(C237,Staff!$A$5:$A$44,0))*1,0))</f>
        <v>0</v>
      </c>
      <c r="V237" s="26">
        <f>IF(B237="","",ROUND(IF(E237="Percent of service",Q237*S237,IF(E237="Percent of service and retail",Q237*S237+R237*T237,IF(E237="Percent after product cost",MAX(0,Q237-O237)*S237,IF(E237="Tiered on monthly service revenue",Q237*S237,IF(E237="Flat amount per service",P237*U237,0))))),2))</f>
        <v>0</v>
      </c>
      <c r="W237" s="26">
        <f>IF(B237="","",ROUND(SUMIFS(Payments!$G$5:$G$1204,Payments!$J$5:$J$1204,C237,Payments!$O$5:$O$1204,B237,Payments!$E$5:$E$1204,"Tip"),2))</f>
        <v>0</v>
      </c>
      <c r="X237" s="26">
        <f>IF(B237="","",ROUND(V237+IF(F237="",0,F237)+IF(G237="",0,G237),2))</f>
        <v>0</v>
      </c>
      <c r="Y237" s="27">
        <f>IF(B237="","",IF(Q237+R237=0,"",X237/(Q237+R237)))</f>
        <v>0</v>
      </c>
      <c r="Z237" s="25">
        <f>IF(B237="","",COUNTIFS($V$5:$V$244,"&gt;"&amp;V237)+COUNTIFS($V$5:V237,V237))</f>
        <v>0</v>
      </c>
      <c r="AA237" s="39">
        <f>IF(B237="","",IF(C237="","Add - whose commission is this?",IF(COUNTIFS($B$5:$B$244,B237,$C$5:$C$244,C237)&gt;1,"Duplicate - two rows for the same month",IF(E237="None","",IF(E237="Rent a chair","",IF(E237="Hourly only","",IF(X237=0,"Check - nothing calculated",IF(H237&lt;&gt;"Yes","Due - waiting for approval",IF(I237="","Due - approved but not paid","OK")))))))))</f>
        <v>0</v>
      </c>
    </row>
    <row r="238" spans="1:27">
      <c r="A238" s="28">
        <f>IF(B238="","",CommissionPrefix&amp;TEXT(ROW()-4,"0000"))</f>
        <v>0</v>
      </c>
      <c r="D238" s="15">
        <f>IF(C238="","",IFERROR(INDEX(Staff!$B$5:$B$44,MATCH(C238,Staff!$A$5:$A$44,0)),"Not in Staff"))</f>
        <v>0</v>
      </c>
      <c r="E238" s="15">
        <f>IF(C238="","",IFERROR(INDEX(Staff!$L$5:$L$44,MATCH(C238,Staff!$A$5:$A$44,0)),"None"))</f>
        <v>0</v>
      </c>
      <c r="K238" s="26">
        <f>IF(B238="","",ROUND(SUMIFS(Sales!$Y$5:$Y$1204,Sales!$F$5:$F$1204,C238,Sales!$R$5:$R$1204,B238,Sales!$H$5:$H$1204,"Service"),2))</f>
        <v>0</v>
      </c>
      <c r="L238" s="26">
        <f>IF(B238="","",ROUND(SUMIFS(Sales!$W$5:$W$1204,Sales!$F$5:$F$1204,C238,Sales!$R$5:$R$1204,B238,Sales!$H$5:$H$1204,"Service"),2))</f>
        <v>0</v>
      </c>
      <c r="M238" s="26">
        <f>IF(B238="","",ROUND(SUMIFS(Sales!$Y$5:$Y$1204,Sales!$F$5:$F$1204,C238,Sales!$R$5:$R$1204,B238,Sales!$H$5:$H$1204,"Retail"),2))</f>
        <v>0</v>
      </c>
      <c r="N238" s="26">
        <f>IF(B238="","",ROUND(SUMIFS(Sales!$W$5:$W$1204,Sales!$F$5:$F$1204,C238,Sales!$R$5:$R$1204,B238,Sales!$H$5:$H$1204,"Retail"),2))</f>
        <v>0</v>
      </c>
      <c r="O238" s="26">
        <f>IF(B238="","",ROUND(SUMIFS(Sales!$AB$5:$AB$1204,Sales!$F$5:$F$1204,C238,Sales!$R$5:$R$1204,B238,Sales!$H$5:$H$1204,"Service"),2))</f>
        <v>0</v>
      </c>
      <c r="P238" s="25">
        <f>IF(B238="","",COUNTIFS(Sales!$F$5:$F$1204,C238,Sales!$R$5:$R$1204,B238,Sales!$H$5:$H$1204,"Service"))</f>
        <v>0</v>
      </c>
      <c r="Q238" s="26">
        <f>IF(B238="","",IF(CommissionOn="Gross before discounts",L238,K238))</f>
        <v>0</v>
      </c>
      <c r="R238" s="26">
        <f>IF(B238="","",IF(CommissionOn="Gross before discounts",N238,M238))</f>
        <v>0</v>
      </c>
      <c r="S238" s="27">
        <f>IF(B238="","",IF(E238="Tiered on monthly service revenue",IFERROR(INDEX(TierRate,MATCH(Q238,TierFrom,1)),0),IFERROR(IF(INDEX(Staff!$M$5:$M$44,MATCH(C238,Staff!$A$5:$A$44,0))="",ServiceCommission,INDEX(Staff!$M$5:$M$44,MATCH(C238,Staff!$A$5:$A$44,0))),ServiceCommission)))</f>
        <v>0</v>
      </c>
      <c r="T238" s="27">
        <f>IF(B238="","",IFERROR(IF(INDEX(Staff!$N$5:$N$44,MATCH(C238,Staff!$A$5:$A$44,0))="",RetailCommission,INDEX(Staff!$N$5:$N$44,MATCH(C238,Staff!$A$5:$A$44,0))),RetailCommission))</f>
        <v>0</v>
      </c>
      <c r="U238" s="26">
        <f>IF(B238="","",IFERROR(INDEX(Staff!$O$5:$O$44,MATCH(C238,Staff!$A$5:$A$44,0))*1,0))</f>
        <v>0</v>
      </c>
      <c r="V238" s="26">
        <f>IF(B238="","",ROUND(IF(E238="Percent of service",Q238*S238,IF(E238="Percent of service and retail",Q238*S238+R238*T238,IF(E238="Percent after product cost",MAX(0,Q238-O238)*S238,IF(E238="Tiered on monthly service revenue",Q238*S238,IF(E238="Flat amount per service",P238*U238,0))))),2))</f>
        <v>0</v>
      </c>
      <c r="W238" s="26">
        <f>IF(B238="","",ROUND(SUMIFS(Payments!$G$5:$G$1204,Payments!$J$5:$J$1204,C238,Payments!$O$5:$O$1204,B238,Payments!$E$5:$E$1204,"Tip"),2))</f>
        <v>0</v>
      </c>
      <c r="X238" s="26">
        <f>IF(B238="","",ROUND(V238+IF(F238="",0,F238)+IF(G238="",0,G238),2))</f>
        <v>0</v>
      </c>
      <c r="Y238" s="27">
        <f>IF(B238="","",IF(Q238+R238=0,"",X238/(Q238+R238)))</f>
        <v>0</v>
      </c>
      <c r="Z238" s="25">
        <f>IF(B238="","",COUNTIFS($V$5:$V$244,"&gt;"&amp;V238)+COUNTIFS($V$5:V238,V238))</f>
        <v>0</v>
      </c>
      <c r="AA238" s="39">
        <f>IF(B238="","",IF(C238="","Add - whose commission is this?",IF(COUNTIFS($B$5:$B$244,B238,$C$5:$C$244,C238)&gt;1,"Duplicate - two rows for the same month",IF(E238="None","",IF(E238="Rent a chair","",IF(E238="Hourly only","",IF(X238=0,"Check - nothing calculated",IF(H238&lt;&gt;"Yes","Due - waiting for approval",IF(I238="","Due - approved but not paid","OK")))))))))</f>
        <v>0</v>
      </c>
    </row>
    <row r="239" spans="1:27">
      <c r="A239" s="28">
        <f>IF(B239="","",CommissionPrefix&amp;TEXT(ROW()-4,"0000"))</f>
        <v>0</v>
      </c>
      <c r="D239" s="15">
        <f>IF(C239="","",IFERROR(INDEX(Staff!$B$5:$B$44,MATCH(C239,Staff!$A$5:$A$44,0)),"Not in Staff"))</f>
        <v>0</v>
      </c>
      <c r="E239" s="15">
        <f>IF(C239="","",IFERROR(INDEX(Staff!$L$5:$L$44,MATCH(C239,Staff!$A$5:$A$44,0)),"None"))</f>
        <v>0</v>
      </c>
      <c r="K239" s="26">
        <f>IF(B239="","",ROUND(SUMIFS(Sales!$Y$5:$Y$1204,Sales!$F$5:$F$1204,C239,Sales!$R$5:$R$1204,B239,Sales!$H$5:$H$1204,"Service"),2))</f>
        <v>0</v>
      </c>
      <c r="L239" s="26">
        <f>IF(B239="","",ROUND(SUMIFS(Sales!$W$5:$W$1204,Sales!$F$5:$F$1204,C239,Sales!$R$5:$R$1204,B239,Sales!$H$5:$H$1204,"Service"),2))</f>
        <v>0</v>
      </c>
      <c r="M239" s="26">
        <f>IF(B239="","",ROUND(SUMIFS(Sales!$Y$5:$Y$1204,Sales!$F$5:$F$1204,C239,Sales!$R$5:$R$1204,B239,Sales!$H$5:$H$1204,"Retail"),2))</f>
        <v>0</v>
      </c>
      <c r="N239" s="26">
        <f>IF(B239="","",ROUND(SUMIFS(Sales!$W$5:$W$1204,Sales!$F$5:$F$1204,C239,Sales!$R$5:$R$1204,B239,Sales!$H$5:$H$1204,"Retail"),2))</f>
        <v>0</v>
      </c>
      <c r="O239" s="26">
        <f>IF(B239="","",ROUND(SUMIFS(Sales!$AB$5:$AB$1204,Sales!$F$5:$F$1204,C239,Sales!$R$5:$R$1204,B239,Sales!$H$5:$H$1204,"Service"),2))</f>
        <v>0</v>
      </c>
      <c r="P239" s="25">
        <f>IF(B239="","",COUNTIFS(Sales!$F$5:$F$1204,C239,Sales!$R$5:$R$1204,B239,Sales!$H$5:$H$1204,"Service"))</f>
        <v>0</v>
      </c>
      <c r="Q239" s="26">
        <f>IF(B239="","",IF(CommissionOn="Gross before discounts",L239,K239))</f>
        <v>0</v>
      </c>
      <c r="R239" s="26">
        <f>IF(B239="","",IF(CommissionOn="Gross before discounts",N239,M239))</f>
        <v>0</v>
      </c>
      <c r="S239" s="27">
        <f>IF(B239="","",IF(E239="Tiered on monthly service revenue",IFERROR(INDEX(TierRate,MATCH(Q239,TierFrom,1)),0),IFERROR(IF(INDEX(Staff!$M$5:$M$44,MATCH(C239,Staff!$A$5:$A$44,0))="",ServiceCommission,INDEX(Staff!$M$5:$M$44,MATCH(C239,Staff!$A$5:$A$44,0))),ServiceCommission)))</f>
        <v>0</v>
      </c>
      <c r="T239" s="27">
        <f>IF(B239="","",IFERROR(IF(INDEX(Staff!$N$5:$N$44,MATCH(C239,Staff!$A$5:$A$44,0))="",RetailCommission,INDEX(Staff!$N$5:$N$44,MATCH(C239,Staff!$A$5:$A$44,0))),RetailCommission))</f>
        <v>0</v>
      </c>
      <c r="U239" s="26">
        <f>IF(B239="","",IFERROR(INDEX(Staff!$O$5:$O$44,MATCH(C239,Staff!$A$5:$A$44,0))*1,0))</f>
        <v>0</v>
      </c>
      <c r="V239" s="26">
        <f>IF(B239="","",ROUND(IF(E239="Percent of service",Q239*S239,IF(E239="Percent of service and retail",Q239*S239+R239*T239,IF(E239="Percent after product cost",MAX(0,Q239-O239)*S239,IF(E239="Tiered on monthly service revenue",Q239*S239,IF(E239="Flat amount per service",P239*U239,0))))),2))</f>
        <v>0</v>
      </c>
      <c r="W239" s="26">
        <f>IF(B239="","",ROUND(SUMIFS(Payments!$G$5:$G$1204,Payments!$J$5:$J$1204,C239,Payments!$O$5:$O$1204,B239,Payments!$E$5:$E$1204,"Tip"),2))</f>
        <v>0</v>
      </c>
      <c r="X239" s="26">
        <f>IF(B239="","",ROUND(V239+IF(F239="",0,F239)+IF(G239="",0,G239),2))</f>
        <v>0</v>
      </c>
      <c r="Y239" s="27">
        <f>IF(B239="","",IF(Q239+R239=0,"",X239/(Q239+R239)))</f>
        <v>0</v>
      </c>
      <c r="Z239" s="25">
        <f>IF(B239="","",COUNTIFS($V$5:$V$244,"&gt;"&amp;V239)+COUNTIFS($V$5:V239,V239))</f>
        <v>0</v>
      </c>
      <c r="AA239" s="39">
        <f>IF(B239="","",IF(C239="","Add - whose commission is this?",IF(COUNTIFS($B$5:$B$244,B239,$C$5:$C$244,C239)&gt;1,"Duplicate - two rows for the same month",IF(E239="None","",IF(E239="Rent a chair","",IF(E239="Hourly only","",IF(X239=0,"Check - nothing calculated",IF(H239&lt;&gt;"Yes","Due - waiting for approval",IF(I239="","Due - approved but not paid","OK")))))))))</f>
        <v>0</v>
      </c>
    </row>
    <row r="240" spans="1:27">
      <c r="A240" s="28">
        <f>IF(B240="","",CommissionPrefix&amp;TEXT(ROW()-4,"0000"))</f>
        <v>0</v>
      </c>
      <c r="D240" s="15">
        <f>IF(C240="","",IFERROR(INDEX(Staff!$B$5:$B$44,MATCH(C240,Staff!$A$5:$A$44,0)),"Not in Staff"))</f>
        <v>0</v>
      </c>
      <c r="E240" s="15">
        <f>IF(C240="","",IFERROR(INDEX(Staff!$L$5:$L$44,MATCH(C240,Staff!$A$5:$A$44,0)),"None"))</f>
        <v>0</v>
      </c>
      <c r="K240" s="26">
        <f>IF(B240="","",ROUND(SUMIFS(Sales!$Y$5:$Y$1204,Sales!$F$5:$F$1204,C240,Sales!$R$5:$R$1204,B240,Sales!$H$5:$H$1204,"Service"),2))</f>
        <v>0</v>
      </c>
      <c r="L240" s="26">
        <f>IF(B240="","",ROUND(SUMIFS(Sales!$W$5:$W$1204,Sales!$F$5:$F$1204,C240,Sales!$R$5:$R$1204,B240,Sales!$H$5:$H$1204,"Service"),2))</f>
        <v>0</v>
      </c>
      <c r="M240" s="26">
        <f>IF(B240="","",ROUND(SUMIFS(Sales!$Y$5:$Y$1204,Sales!$F$5:$F$1204,C240,Sales!$R$5:$R$1204,B240,Sales!$H$5:$H$1204,"Retail"),2))</f>
        <v>0</v>
      </c>
      <c r="N240" s="26">
        <f>IF(B240="","",ROUND(SUMIFS(Sales!$W$5:$W$1204,Sales!$F$5:$F$1204,C240,Sales!$R$5:$R$1204,B240,Sales!$H$5:$H$1204,"Retail"),2))</f>
        <v>0</v>
      </c>
      <c r="O240" s="26">
        <f>IF(B240="","",ROUND(SUMIFS(Sales!$AB$5:$AB$1204,Sales!$F$5:$F$1204,C240,Sales!$R$5:$R$1204,B240,Sales!$H$5:$H$1204,"Service"),2))</f>
        <v>0</v>
      </c>
      <c r="P240" s="25">
        <f>IF(B240="","",COUNTIFS(Sales!$F$5:$F$1204,C240,Sales!$R$5:$R$1204,B240,Sales!$H$5:$H$1204,"Service"))</f>
        <v>0</v>
      </c>
      <c r="Q240" s="26">
        <f>IF(B240="","",IF(CommissionOn="Gross before discounts",L240,K240))</f>
        <v>0</v>
      </c>
      <c r="R240" s="26">
        <f>IF(B240="","",IF(CommissionOn="Gross before discounts",N240,M240))</f>
        <v>0</v>
      </c>
      <c r="S240" s="27">
        <f>IF(B240="","",IF(E240="Tiered on monthly service revenue",IFERROR(INDEX(TierRate,MATCH(Q240,TierFrom,1)),0),IFERROR(IF(INDEX(Staff!$M$5:$M$44,MATCH(C240,Staff!$A$5:$A$44,0))="",ServiceCommission,INDEX(Staff!$M$5:$M$44,MATCH(C240,Staff!$A$5:$A$44,0))),ServiceCommission)))</f>
        <v>0</v>
      </c>
      <c r="T240" s="27">
        <f>IF(B240="","",IFERROR(IF(INDEX(Staff!$N$5:$N$44,MATCH(C240,Staff!$A$5:$A$44,0))="",RetailCommission,INDEX(Staff!$N$5:$N$44,MATCH(C240,Staff!$A$5:$A$44,0))),RetailCommission))</f>
        <v>0</v>
      </c>
      <c r="U240" s="26">
        <f>IF(B240="","",IFERROR(INDEX(Staff!$O$5:$O$44,MATCH(C240,Staff!$A$5:$A$44,0))*1,0))</f>
        <v>0</v>
      </c>
      <c r="V240" s="26">
        <f>IF(B240="","",ROUND(IF(E240="Percent of service",Q240*S240,IF(E240="Percent of service and retail",Q240*S240+R240*T240,IF(E240="Percent after product cost",MAX(0,Q240-O240)*S240,IF(E240="Tiered on monthly service revenue",Q240*S240,IF(E240="Flat amount per service",P240*U240,0))))),2))</f>
        <v>0</v>
      </c>
      <c r="W240" s="26">
        <f>IF(B240="","",ROUND(SUMIFS(Payments!$G$5:$G$1204,Payments!$J$5:$J$1204,C240,Payments!$O$5:$O$1204,B240,Payments!$E$5:$E$1204,"Tip"),2))</f>
        <v>0</v>
      </c>
      <c r="X240" s="26">
        <f>IF(B240="","",ROUND(V240+IF(F240="",0,F240)+IF(G240="",0,G240),2))</f>
        <v>0</v>
      </c>
      <c r="Y240" s="27">
        <f>IF(B240="","",IF(Q240+R240=0,"",X240/(Q240+R240)))</f>
        <v>0</v>
      </c>
      <c r="Z240" s="25">
        <f>IF(B240="","",COUNTIFS($V$5:$V$244,"&gt;"&amp;V240)+COUNTIFS($V$5:V240,V240))</f>
        <v>0</v>
      </c>
      <c r="AA240" s="39">
        <f>IF(B240="","",IF(C240="","Add - whose commission is this?",IF(COUNTIFS($B$5:$B$244,B240,$C$5:$C$244,C240)&gt;1,"Duplicate - two rows for the same month",IF(E240="None","",IF(E240="Rent a chair","",IF(E240="Hourly only","",IF(X240=0,"Check - nothing calculated",IF(H240&lt;&gt;"Yes","Due - waiting for approval",IF(I240="","Due - approved but not paid","OK")))))))))</f>
        <v>0</v>
      </c>
    </row>
    <row r="241" spans="1:27">
      <c r="A241" s="28">
        <f>IF(B241="","",CommissionPrefix&amp;TEXT(ROW()-4,"0000"))</f>
        <v>0</v>
      </c>
      <c r="D241" s="15">
        <f>IF(C241="","",IFERROR(INDEX(Staff!$B$5:$B$44,MATCH(C241,Staff!$A$5:$A$44,0)),"Not in Staff"))</f>
        <v>0</v>
      </c>
      <c r="E241" s="15">
        <f>IF(C241="","",IFERROR(INDEX(Staff!$L$5:$L$44,MATCH(C241,Staff!$A$5:$A$44,0)),"None"))</f>
        <v>0</v>
      </c>
      <c r="K241" s="26">
        <f>IF(B241="","",ROUND(SUMIFS(Sales!$Y$5:$Y$1204,Sales!$F$5:$F$1204,C241,Sales!$R$5:$R$1204,B241,Sales!$H$5:$H$1204,"Service"),2))</f>
        <v>0</v>
      </c>
      <c r="L241" s="26">
        <f>IF(B241="","",ROUND(SUMIFS(Sales!$W$5:$W$1204,Sales!$F$5:$F$1204,C241,Sales!$R$5:$R$1204,B241,Sales!$H$5:$H$1204,"Service"),2))</f>
        <v>0</v>
      </c>
      <c r="M241" s="26">
        <f>IF(B241="","",ROUND(SUMIFS(Sales!$Y$5:$Y$1204,Sales!$F$5:$F$1204,C241,Sales!$R$5:$R$1204,B241,Sales!$H$5:$H$1204,"Retail"),2))</f>
        <v>0</v>
      </c>
      <c r="N241" s="26">
        <f>IF(B241="","",ROUND(SUMIFS(Sales!$W$5:$W$1204,Sales!$F$5:$F$1204,C241,Sales!$R$5:$R$1204,B241,Sales!$H$5:$H$1204,"Retail"),2))</f>
        <v>0</v>
      </c>
      <c r="O241" s="26">
        <f>IF(B241="","",ROUND(SUMIFS(Sales!$AB$5:$AB$1204,Sales!$F$5:$F$1204,C241,Sales!$R$5:$R$1204,B241,Sales!$H$5:$H$1204,"Service"),2))</f>
        <v>0</v>
      </c>
      <c r="P241" s="25">
        <f>IF(B241="","",COUNTIFS(Sales!$F$5:$F$1204,C241,Sales!$R$5:$R$1204,B241,Sales!$H$5:$H$1204,"Service"))</f>
        <v>0</v>
      </c>
      <c r="Q241" s="26">
        <f>IF(B241="","",IF(CommissionOn="Gross before discounts",L241,K241))</f>
        <v>0</v>
      </c>
      <c r="R241" s="26">
        <f>IF(B241="","",IF(CommissionOn="Gross before discounts",N241,M241))</f>
        <v>0</v>
      </c>
      <c r="S241" s="27">
        <f>IF(B241="","",IF(E241="Tiered on monthly service revenue",IFERROR(INDEX(TierRate,MATCH(Q241,TierFrom,1)),0),IFERROR(IF(INDEX(Staff!$M$5:$M$44,MATCH(C241,Staff!$A$5:$A$44,0))="",ServiceCommission,INDEX(Staff!$M$5:$M$44,MATCH(C241,Staff!$A$5:$A$44,0))),ServiceCommission)))</f>
        <v>0</v>
      </c>
      <c r="T241" s="27">
        <f>IF(B241="","",IFERROR(IF(INDEX(Staff!$N$5:$N$44,MATCH(C241,Staff!$A$5:$A$44,0))="",RetailCommission,INDEX(Staff!$N$5:$N$44,MATCH(C241,Staff!$A$5:$A$44,0))),RetailCommission))</f>
        <v>0</v>
      </c>
      <c r="U241" s="26">
        <f>IF(B241="","",IFERROR(INDEX(Staff!$O$5:$O$44,MATCH(C241,Staff!$A$5:$A$44,0))*1,0))</f>
        <v>0</v>
      </c>
      <c r="V241" s="26">
        <f>IF(B241="","",ROUND(IF(E241="Percent of service",Q241*S241,IF(E241="Percent of service and retail",Q241*S241+R241*T241,IF(E241="Percent after product cost",MAX(0,Q241-O241)*S241,IF(E241="Tiered on monthly service revenue",Q241*S241,IF(E241="Flat amount per service",P241*U241,0))))),2))</f>
        <v>0</v>
      </c>
      <c r="W241" s="26">
        <f>IF(B241="","",ROUND(SUMIFS(Payments!$G$5:$G$1204,Payments!$J$5:$J$1204,C241,Payments!$O$5:$O$1204,B241,Payments!$E$5:$E$1204,"Tip"),2))</f>
        <v>0</v>
      </c>
      <c r="X241" s="26">
        <f>IF(B241="","",ROUND(V241+IF(F241="",0,F241)+IF(G241="",0,G241),2))</f>
        <v>0</v>
      </c>
      <c r="Y241" s="27">
        <f>IF(B241="","",IF(Q241+R241=0,"",X241/(Q241+R241)))</f>
        <v>0</v>
      </c>
      <c r="Z241" s="25">
        <f>IF(B241="","",COUNTIFS($V$5:$V$244,"&gt;"&amp;V241)+COUNTIFS($V$5:V241,V241))</f>
        <v>0</v>
      </c>
      <c r="AA241" s="39">
        <f>IF(B241="","",IF(C241="","Add - whose commission is this?",IF(COUNTIFS($B$5:$B$244,B241,$C$5:$C$244,C241)&gt;1,"Duplicate - two rows for the same month",IF(E241="None","",IF(E241="Rent a chair","",IF(E241="Hourly only","",IF(X241=0,"Check - nothing calculated",IF(H241&lt;&gt;"Yes","Due - waiting for approval",IF(I241="","Due - approved but not paid","OK")))))))))</f>
        <v>0</v>
      </c>
    </row>
    <row r="242" spans="1:27">
      <c r="A242" s="28">
        <f>IF(B242="","",CommissionPrefix&amp;TEXT(ROW()-4,"0000"))</f>
        <v>0</v>
      </c>
      <c r="D242" s="15">
        <f>IF(C242="","",IFERROR(INDEX(Staff!$B$5:$B$44,MATCH(C242,Staff!$A$5:$A$44,0)),"Not in Staff"))</f>
        <v>0</v>
      </c>
      <c r="E242" s="15">
        <f>IF(C242="","",IFERROR(INDEX(Staff!$L$5:$L$44,MATCH(C242,Staff!$A$5:$A$44,0)),"None"))</f>
        <v>0</v>
      </c>
      <c r="K242" s="26">
        <f>IF(B242="","",ROUND(SUMIFS(Sales!$Y$5:$Y$1204,Sales!$F$5:$F$1204,C242,Sales!$R$5:$R$1204,B242,Sales!$H$5:$H$1204,"Service"),2))</f>
        <v>0</v>
      </c>
      <c r="L242" s="26">
        <f>IF(B242="","",ROUND(SUMIFS(Sales!$W$5:$W$1204,Sales!$F$5:$F$1204,C242,Sales!$R$5:$R$1204,B242,Sales!$H$5:$H$1204,"Service"),2))</f>
        <v>0</v>
      </c>
      <c r="M242" s="26">
        <f>IF(B242="","",ROUND(SUMIFS(Sales!$Y$5:$Y$1204,Sales!$F$5:$F$1204,C242,Sales!$R$5:$R$1204,B242,Sales!$H$5:$H$1204,"Retail"),2))</f>
        <v>0</v>
      </c>
      <c r="N242" s="26">
        <f>IF(B242="","",ROUND(SUMIFS(Sales!$W$5:$W$1204,Sales!$F$5:$F$1204,C242,Sales!$R$5:$R$1204,B242,Sales!$H$5:$H$1204,"Retail"),2))</f>
        <v>0</v>
      </c>
      <c r="O242" s="26">
        <f>IF(B242="","",ROUND(SUMIFS(Sales!$AB$5:$AB$1204,Sales!$F$5:$F$1204,C242,Sales!$R$5:$R$1204,B242,Sales!$H$5:$H$1204,"Service"),2))</f>
        <v>0</v>
      </c>
      <c r="P242" s="25">
        <f>IF(B242="","",COUNTIFS(Sales!$F$5:$F$1204,C242,Sales!$R$5:$R$1204,B242,Sales!$H$5:$H$1204,"Service"))</f>
        <v>0</v>
      </c>
      <c r="Q242" s="26">
        <f>IF(B242="","",IF(CommissionOn="Gross before discounts",L242,K242))</f>
        <v>0</v>
      </c>
      <c r="R242" s="26">
        <f>IF(B242="","",IF(CommissionOn="Gross before discounts",N242,M242))</f>
        <v>0</v>
      </c>
      <c r="S242" s="27">
        <f>IF(B242="","",IF(E242="Tiered on monthly service revenue",IFERROR(INDEX(TierRate,MATCH(Q242,TierFrom,1)),0),IFERROR(IF(INDEX(Staff!$M$5:$M$44,MATCH(C242,Staff!$A$5:$A$44,0))="",ServiceCommission,INDEX(Staff!$M$5:$M$44,MATCH(C242,Staff!$A$5:$A$44,0))),ServiceCommission)))</f>
        <v>0</v>
      </c>
      <c r="T242" s="27">
        <f>IF(B242="","",IFERROR(IF(INDEX(Staff!$N$5:$N$44,MATCH(C242,Staff!$A$5:$A$44,0))="",RetailCommission,INDEX(Staff!$N$5:$N$44,MATCH(C242,Staff!$A$5:$A$44,0))),RetailCommission))</f>
        <v>0</v>
      </c>
      <c r="U242" s="26">
        <f>IF(B242="","",IFERROR(INDEX(Staff!$O$5:$O$44,MATCH(C242,Staff!$A$5:$A$44,0))*1,0))</f>
        <v>0</v>
      </c>
      <c r="V242" s="26">
        <f>IF(B242="","",ROUND(IF(E242="Percent of service",Q242*S242,IF(E242="Percent of service and retail",Q242*S242+R242*T242,IF(E242="Percent after product cost",MAX(0,Q242-O242)*S242,IF(E242="Tiered on monthly service revenue",Q242*S242,IF(E242="Flat amount per service",P242*U242,0))))),2))</f>
        <v>0</v>
      </c>
      <c r="W242" s="26">
        <f>IF(B242="","",ROUND(SUMIFS(Payments!$G$5:$G$1204,Payments!$J$5:$J$1204,C242,Payments!$O$5:$O$1204,B242,Payments!$E$5:$E$1204,"Tip"),2))</f>
        <v>0</v>
      </c>
      <c r="X242" s="26">
        <f>IF(B242="","",ROUND(V242+IF(F242="",0,F242)+IF(G242="",0,G242),2))</f>
        <v>0</v>
      </c>
      <c r="Y242" s="27">
        <f>IF(B242="","",IF(Q242+R242=0,"",X242/(Q242+R242)))</f>
        <v>0</v>
      </c>
      <c r="Z242" s="25">
        <f>IF(B242="","",COUNTIFS($V$5:$V$244,"&gt;"&amp;V242)+COUNTIFS($V$5:V242,V242))</f>
        <v>0</v>
      </c>
      <c r="AA242" s="39">
        <f>IF(B242="","",IF(C242="","Add - whose commission is this?",IF(COUNTIFS($B$5:$B$244,B242,$C$5:$C$244,C242)&gt;1,"Duplicate - two rows for the same month",IF(E242="None","",IF(E242="Rent a chair","",IF(E242="Hourly only","",IF(X242=0,"Check - nothing calculated",IF(H242&lt;&gt;"Yes","Due - waiting for approval",IF(I242="","Due - approved but not paid","OK")))))))))</f>
        <v>0</v>
      </c>
    </row>
    <row r="243" spans="1:27">
      <c r="A243" s="28">
        <f>IF(B243="","",CommissionPrefix&amp;TEXT(ROW()-4,"0000"))</f>
        <v>0</v>
      </c>
      <c r="D243" s="15">
        <f>IF(C243="","",IFERROR(INDEX(Staff!$B$5:$B$44,MATCH(C243,Staff!$A$5:$A$44,0)),"Not in Staff"))</f>
        <v>0</v>
      </c>
      <c r="E243" s="15">
        <f>IF(C243="","",IFERROR(INDEX(Staff!$L$5:$L$44,MATCH(C243,Staff!$A$5:$A$44,0)),"None"))</f>
        <v>0</v>
      </c>
      <c r="K243" s="26">
        <f>IF(B243="","",ROUND(SUMIFS(Sales!$Y$5:$Y$1204,Sales!$F$5:$F$1204,C243,Sales!$R$5:$R$1204,B243,Sales!$H$5:$H$1204,"Service"),2))</f>
        <v>0</v>
      </c>
      <c r="L243" s="26">
        <f>IF(B243="","",ROUND(SUMIFS(Sales!$W$5:$W$1204,Sales!$F$5:$F$1204,C243,Sales!$R$5:$R$1204,B243,Sales!$H$5:$H$1204,"Service"),2))</f>
        <v>0</v>
      </c>
      <c r="M243" s="26">
        <f>IF(B243="","",ROUND(SUMIFS(Sales!$Y$5:$Y$1204,Sales!$F$5:$F$1204,C243,Sales!$R$5:$R$1204,B243,Sales!$H$5:$H$1204,"Retail"),2))</f>
        <v>0</v>
      </c>
      <c r="N243" s="26">
        <f>IF(B243="","",ROUND(SUMIFS(Sales!$W$5:$W$1204,Sales!$F$5:$F$1204,C243,Sales!$R$5:$R$1204,B243,Sales!$H$5:$H$1204,"Retail"),2))</f>
        <v>0</v>
      </c>
      <c r="O243" s="26">
        <f>IF(B243="","",ROUND(SUMIFS(Sales!$AB$5:$AB$1204,Sales!$F$5:$F$1204,C243,Sales!$R$5:$R$1204,B243,Sales!$H$5:$H$1204,"Service"),2))</f>
        <v>0</v>
      </c>
      <c r="P243" s="25">
        <f>IF(B243="","",COUNTIFS(Sales!$F$5:$F$1204,C243,Sales!$R$5:$R$1204,B243,Sales!$H$5:$H$1204,"Service"))</f>
        <v>0</v>
      </c>
      <c r="Q243" s="26">
        <f>IF(B243="","",IF(CommissionOn="Gross before discounts",L243,K243))</f>
        <v>0</v>
      </c>
      <c r="R243" s="26">
        <f>IF(B243="","",IF(CommissionOn="Gross before discounts",N243,M243))</f>
        <v>0</v>
      </c>
      <c r="S243" s="27">
        <f>IF(B243="","",IF(E243="Tiered on monthly service revenue",IFERROR(INDEX(TierRate,MATCH(Q243,TierFrom,1)),0),IFERROR(IF(INDEX(Staff!$M$5:$M$44,MATCH(C243,Staff!$A$5:$A$44,0))="",ServiceCommission,INDEX(Staff!$M$5:$M$44,MATCH(C243,Staff!$A$5:$A$44,0))),ServiceCommission)))</f>
        <v>0</v>
      </c>
      <c r="T243" s="27">
        <f>IF(B243="","",IFERROR(IF(INDEX(Staff!$N$5:$N$44,MATCH(C243,Staff!$A$5:$A$44,0))="",RetailCommission,INDEX(Staff!$N$5:$N$44,MATCH(C243,Staff!$A$5:$A$44,0))),RetailCommission))</f>
        <v>0</v>
      </c>
      <c r="U243" s="26">
        <f>IF(B243="","",IFERROR(INDEX(Staff!$O$5:$O$44,MATCH(C243,Staff!$A$5:$A$44,0))*1,0))</f>
        <v>0</v>
      </c>
      <c r="V243" s="26">
        <f>IF(B243="","",ROUND(IF(E243="Percent of service",Q243*S243,IF(E243="Percent of service and retail",Q243*S243+R243*T243,IF(E243="Percent after product cost",MAX(0,Q243-O243)*S243,IF(E243="Tiered on monthly service revenue",Q243*S243,IF(E243="Flat amount per service",P243*U243,0))))),2))</f>
        <v>0</v>
      </c>
      <c r="W243" s="26">
        <f>IF(B243="","",ROUND(SUMIFS(Payments!$G$5:$G$1204,Payments!$J$5:$J$1204,C243,Payments!$O$5:$O$1204,B243,Payments!$E$5:$E$1204,"Tip"),2))</f>
        <v>0</v>
      </c>
      <c r="X243" s="26">
        <f>IF(B243="","",ROUND(V243+IF(F243="",0,F243)+IF(G243="",0,G243),2))</f>
        <v>0</v>
      </c>
      <c r="Y243" s="27">
        <f>IF(B243="","",IF(Q243+R243=0,"",X243/(Q243+R243)))</f>
        <v>0</v>
      </c>
      <c r="Z243" s="25">
        <f>IF(B243="","",COUNTIFS($V$5:$V$244,"&gt;"&amp;V243)+COUNTIFS($V$5:V243,V243))</f>
        <v>0</v>
      </c>
      <c r="AA243" s="39">
        <f>IF(B243="","",IF(C243="","Add - whose commission is this?",IF(COUNTIFS($B$5:$B$244,B243,$C$5:$C$244,C243)&gt;1,"Duplicate - two rows for the same month",IF(E243="None","",IF(E243="Rent a chair","",IF(E243="Hourly only","",IF(X243=0,"Check - nothing calculated",IF(H243&lt;&gt;"Yes","Due - waiting for approval",IF(I243="","Due - approved but not paid","OK")))))))))</f>
        <v>0</v>
      </c>
    </row>
    <row r="244" spans="1:27">
      <c r="A244" s="28">
        <f>IF(B244="","",CommissionPrefix&amp;TEXT(ROW()-4,"0000"))</f>
        <v>0</v>
      </c>
      <c r="D244" s="15">
        <f>IF(C244="","",IFERROR(INDEX(Staff!$B$5:$B$44,MATCH(C244,Staff!$A$5:$A$44,0)),"Not in Staff"))</f>
        <v>0</v>
      </c>
      <c r="E244" s="15">
        <f>IF(C244="","",IFERROR(INDEX(Staff!$L$5:$L$44,MATCH(C244,Staff!$A$5:$A$44,0)),"None"))</f>
        <v>0</v>
      </c>
      <c r="K244" s="26">
        <f>IF(B244="","",ROUND(SUMIFS(Sales!$Y$5:$Y$1204,Sales!$F$5:$F$1204,C244,Sales!$R$5:$R$1204,B244,Sales!$H$5:$H$1204,"Service"),2))</f>
        <v>0</v>
      </c>
      <c r="L244" s="26">
        <f>IF(B244="","",ROUND(SUMIFS(Sales!$W$5:$W$1204,Sales!$F$5:$F$1204,C244,Sales!$R$5:$R$1204,B244,Sales!$H$5:$H$1204,"Service"),2))</f>
        <v>0</v>
      </c>
      <c r="M244" s="26">
        <f>IF(B244="","",ROUND(SUMIFS(Sales!$Y$5:$Y$1204,Sales!$F$5:$F$1204,C244,Sales!$R$5:$R$1204,B244,Sales!$H$5:$H$1204,"Retail"),2))</f>
        <v>0</v>
      </c>
      <c r="N244" s="26">
        <f>IF(B244="","",ROUND(SUMIFS(Sales!$W$5:$W$1204,Sales!$F$5:$F$1204,C244,Sales!$R$5:$R$1204,B244,Sales!$H$5:$H$1204,"Retail"),2))</f>
        <v>0</v>
      </c>
      <c r="O244" s="26">
        <f>IF(B244="","",ROUND(SUMIFS(Sales!$AB$5:$AB$1204,Sales!$F$5:$F$1204,C244,Sales!$R$5:$R$1204,B244,Sales!$H$5:$H$1204,"Service"),2))</f>
        <v>0</v>
      </c>
      <c r="P244" s="25">
        <f>IF(B244="","",COUNTIFS(Sales!$F$5:$F$1204,C244,Sales!$R$5:$R$1204,B244,Sales!$H$5:$H$1204,"Service"))</f>
        <v>0</v>
      </c>
      <c r="Q244" s="26">
        <f>IF(B244="","",IF(CommissionOn="Gross before discounts",L244,K244))</f>
        <v>0</v>
      </c>
      <c r="R244" s="26">
        <f>IF(B244="","",IF(CommissionOn="Gross before discounts",N244,M244))</f>
        <v>0</v>
      </c>
      <c r="S244" s="27">
        <f>IF(B244="","",IF(E244="Tiered on monthly service revenue",IFERROR(INDEX(TierRate,MATCH(Q244,TierFrom,1)),0),IFERROR(IF(INDEX(Staff!$M$5:$M$44,MATCH(C244,Staff!$A$5:$A$44,0))="",ServiceCommission,INDEX(Staff!$M$5:$M$44,MATCH(C244,Staff!$A$5:$A$44,0))),ServiceCommission)))</f>
        <v>0</v>
      </c>
      <c r="T244" s="27">
        <f>IF(B244="","",IFERROR(IF(INDEX(Staff!$N$5:$N$44,MATCH(C244,Staff!$A$5:$A$44,0))="",RetailCommission,INDEX(Staff!$N$5:$N$44,MATCH(C244,Staff!$A$5:$A$44,0))),RetailCommission))</f>
        <v>0</v>
      </c>
      <c r="U244" s="26">
        <f>IF(B244="","",IFERROR(INDEX(Staff!$O$5:$O$44,MATCH(C244,Staff!$A$5:$A$44,0))*1,0))</f>
        <v>0</v>
      </c>
      <c r="V244" s="26">
        <f>IF(B244="","",ROUND(IF(E244="Percent of service",Q244*S244,IF(E244="Percent of service and retail",Q244*S244+R244*T244,IF(E244="Percent after product cost",MAX(0,Q244-O244)*S244,IF(E244="Tiered on monthly service revenue",Q244*S244,IF(E244="Flat amount per service",P244*U244,0))))),2))</f>
        <v>0</v>
      </c>
      <c r="W244" s="26">
        <f>IF(B244="","",ROUND(SUMIFS(Payments!$G$5:$G$1204,Payments!$J$5:$J$1204,C244,Payments!$O$5:$O$1204,B244,Payments!$E$5:$E$1204,"Tip"),2))</f>
        <v>0</v>
      </c>
      <c r="X244" s="26">
        <f>IF(B244="","",ROUND(V244+IF(F244="",0,F244)+IF(G244="",0,G244),2))</f>
        <v>0</v>
      </c>
      <c r="Y244" s="27">
        <f>IF(B244="","",IF(Q244+R244=0,"",X244/(Q244+R244)))</f>
        <v>0</v>
      </c>
      <c r="Z244" s="25">
        <f>IF(B244="","",COUNTIFS($V$5:$V$244,"&gt;"&amp;V244)+COUNTIFS($V$5:V244,V244))</f>
        <v>0</v>
      </c>
      <c r="AA244" s="39">
        <f>IF(B244="","",IF(C244="","Add - whose commission is this?",IF(COUNTIFS($B$5:$B$244,B244,$C$5:$C$244,C244)&gt;1,"Duplicate - two rows for the same month",IF(E244="None","",IF(E244="Rent a chair","",IF(E244="Hourly only","",IF(X244=0,"Check - nothing calculated",IF(H244&lt;&gt;"Yes","Due - waiting for approval",IF(I244="","Due - approved but not paid","OK")))))))))</f>
        <v>0</v>
      </c>
    </row>
    <row r="246" spans="1:27" ht="20" customHeight="1">
      <c r="A246" s="7" t="s">
        <v>438</v>
      </c>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26" customHeight="1">
      <c r="A247" s="10" t="s">
        <v>439</v>
      </c>
      <c r="B247" s="11" t="s">
        <v>411</v>
      </c>
      <c r="C247" s="11" t="s">
        <v>412</v>
      </c>
      <c r="D247" s="11" t="s">
        <v>96</v>
      </c>
      <c r="E247" s="11" t="s">
        <v>440</v>
      </c>
      <c r="F247" s="11" t="s">
        <v>441</v>
      </c>
      <c r="G247" s="11" t="s">
        <v>435</v>
      </c>
      <c r="H247" s="11" t="s">
        <v>138</v>
      </c>
      <c r="I247" s="11" t="s">
        <v>442</v>
      </c>
      <c r="J247" s="11" t="s">
        <v>443</v>
      </c>
    </row>
    <row r="248" spans="1:27">
      <c r="A248" s="25">
        <f>COUNTIF(Commissions!$B$5:$B$244,"&lt;&gt;")</f>
        <v>0</v>
      </c>
      <c r="B248" s="26">
        <f>ROUND(SUM(Commissions!$K$5:$K$244),2)</f>
        <v>0</v>
      </c>
      <c r="C248" s="26">
        <f>ROUND(SUM(Commissions!$M$5:$M$244),2)</f>
        <v>0</v>
      </c>
      <c r="D248" s="26">
        <f>ROUND(SUM(Commissions!$V$5:$V$244),2)</f>
        <v>0</v>
      </c>
      <c r="E248" s="26">
        <f>ROUND(SUM(Commissions!$F$5:$F$244),2)</f>
        <v>0</v>
      </c>
      <c r="F248" s="26">
        <f>ROUND(SUM(Commissions!$G$5:$G$244),2)</f>
        <v>0</v>
      </c>
      <c r="G248" s="26">
        <f>ROUND(SUM(Commissions!$X$5:$X$244),2)</f>
        <v>0</v>
      </c>
      <c r="H248" s="26">
        <f>ROUND(SUM(Commissions!$W$5:$W$244),2)</f>
        <v>0</v>
      </c>
      <c r="I248" s="25">
        <f>COUNTIFS(Commissions!$H$5:$H$244,"&lt;&gt;Yes",Commissions!$B$5:$B$244,"&lt;&gt;")</f>
        <v>0</v>
      </c>
      <c r="J248" s="25">
        <f>COUNTIFS(Commissions!$H$5:$H$244,"Yes",Commissions!$I$5:$I$244,"")</f>
        <v>0</v>
      </c>
    </row>
  </sheetData>
  <sheetProtection password="EC7C" sheet="1" objects="1" scenarios="1" formatCells="0" formatColumns="0" formatRows="0" insertRows="0" insertHyperlinks="0" deleteRows="0" autoFilter="0"/>
  <autoFilter ref="A4:AA244"/>
  <mergeCells count="14">
    <mergeCell ref="A1:X1"/>
    <mergeCell ref="Y1:AA1"/>
    <mergeCell ref="A2:AA2"/>
    <mergeCell ref="A3:B3"/>
    <mergeCell ref="C3:D3"/>
    <mergeCell ref="E3:F3"/>
    <mergeCell ref="G3:H3"/>
    <mergeCell ref="I3:J3"/>
    <mergeCell ref="K3:L3"/>
    <mergeCell ref="M3:N3"/>
    <mergeCell ref="O3:P3"/>
    <mergeCell ref="Q3:R3"/>
    <mergeCell ref="S3:AA3"/>
    <mergeCell ref="A246:AA246"/>
  </mergeCells>
  <conditionalFormatting sqref="AA5:AA244">
    <cfRule type="beginsWith" dxfId="1" priority="43" operator="beginsWith" text="OK">
      <formula>LEFT(AA5,2)="OK"</formula>
    </cfRule>
    <cfRule type="containsText" dxfId="2" priority="44" operator="containsText" text="Overdue">
      <formula>NOT(ISERROR(SEARCH("Overdue",AA5)))</formula>
    </cfRule>
    <cfRule type="containsText" dxfId="2" priority="45" operator="containsText" text="Late">
      <formula>NOT(ISERROR(SEARCH("Late",AA5)))</formula>
    </cfRule>
    <cfRule type="containsText" dxfId="2" priority="46" operator="containsText" text="Missing">
      <formula>NOT(ISERROR(SEARCH("Missing",AA5)))</formula>
    </cfRule>
    <cfRule type="containsText" dxfId="2" priority="47" operator="containsText" text="Clash">
      <formula>NOT(ISERROR(SEARCH("Clash",AA5)))</formula>
    </cfRule>
    <cfRule type="containsText" dxfId="2" priority="48" operator="containsText" text="Conflict">
      <formula>NOT(ISERROR(SEARCH("Conflict",AA5)))</formula>
    </cfRule>
    <cfRule type="containsText" dxfId="2" priority="49" operator="containsText" text="Duplicate">
      <formula>NOT(ISERROR(SEARCH("Duplicate",AA5)))</formula>
    </cfRule>
    <cfRule type="containsText" dxfId="2" priority="50" operator="containsText" text="Unpaid">
      <formula>NOT(ISERROR(SEARCH("Unpaid",AA5)))</formula>
    </cfRule>
    <cfRule type="containsText" dxfId="2" priority="51" operator="containsText" text="Loss">
      <formula>NOT(ISERROR(SEARCH("Loss",AA5)))</formula>
    </cfRule>
    <cfRule type="containsText" dxfId="2" priority="52" operator="containsText" text="Below">
      <formula>NOT(ISERROR(SEARCH("Below",AA5)))</formula>
    </cfRule>
    <cfRule type="containsText" dxfId="2" priority="53" operator="containsText" text="Out of stock">
      <formula>NOT(ISERROR(SEARCH("Out of stock",AA5)))</formula>
    </cfRule>
    <cfRule type="containsText" dxfId="2" priority="54" operator="containsText" text="No show">
      <formula>NOT(ISERROR(SEARCH("No show",AA5)))</formula>
    </cfRule>
    <cfRule type="containsText" dxfId="0" priority="55" operator="containsText" text="Action">
      <formula>NOT(ISERROR(SEARCH("Action",AA5)))</formula>
    </cfRule>
    <cfRule type="containsText" dxfId="0" priority="56" operator="containsText" text="Due">
      <formula>NOT(ISERROR(SEARCH("Due",AA5)))</formula>
    </cfRule>
    <cfRule type="containsText" dxfId="0" priority="57" operator="containsText" text="Check">
      <formula>NOT(ISERROR(SEARCH("Check",AA5)))</formula>
    </cfRule>
    <cfRule type="containsText" dxfId="0" priority="58" operator="containsText" text="Chase">
      <formula>NOT(ISERROR(SEARCH("Chase",AA5)))</formula>
    </cfRule>
    <cfRule type="containsText" dxfId="0" priority="59" operator="containsText" text="Assign">
      <formula>NOT(ISERROR(SEARCH("Assign",AA5)))</formula>
    </cfRule>
    <cfRule type="containsText" dxfId="0" priority="60" operator="containsText" text="Confirm">
      <formula>NOT(ISERROR(SEARCH("Confirm",AA5)))</formula>
    </cfRule>
    <cfRule type="containsText" dxfId="0" priority="61" operator="containsText" text="Order">
      <formula>NOT(ISERROR(SEARCH("Order",AA5)))</formula>
    </cfRule>
    <cfRule type="containsText" dxfId="0" priority="62" operator="containsText" text="Rebook">
      <formula>NOT(ISERROR(SEARCH("Rebook",AA5)))</formula>
    </cfRule>
    <cfRule type="containsText" dxfId="0" priority="63" operator="containsText" text="Add">
      <formula>NOT(ISERROR(SEARCH("Add",AA5)))</formula>
    </cfRule>
    <cfRule type="containsText" dxfId="3" priority="64" operator="containsText" text="Today">
      <formula>NOT(ISERROR(SEARCH("Today",AA5)))</formula>
    </cfRule>
    <cfRule type="containsText" dxfId="3" priority="65" operator="containsText" text="Tomorrow">
      <formula>NOT(ISERROR(SEARCH("Tomorrow",AA5)))</formula>
    </cfRule>
    <cfRule type="containsText" dxfId="3" priority="66" operator="containsText" text="Upcoming">
      <formula>NOT(ISERROR(SEARCH("Upcoming",AA5)))</formula>
    </cfRule>
  </conditionalFormatting>
  <conditionalFormatting sqref="E5:E244">
    <cfRule type="containsText" dxfId="1" priority="1" operator="containsText" text="Completed">
      <formula>NOT(ISERROR(SEARCH("Completed",E5)))</formula>
    </cfRule>
    <cfRule type="containsText" dxfId="1" priority="2" operator="containsText" text="Complete">
      <formula>NOT(ISERROR(SEARCH("Complete",E5)))</formula>
    </cfRule>
    <cfRule type="containsText" dxfId="1" priority="3" operator="containsText" text="Paid">
      <formula>NOT(ISERROR(SEARCH("Paid",E5)))</formula>
    </cfRule>
    <cfRule type="containsText" dxfId="1" priority="4" operator="containsText" text="Settled">
      <formula>NOT(ISERROR(SEARCH("Settled",E5)))</formula>
    </cfRule>
    <cfRule type="containsText" dxfId="1" priority="5" operator="containsText" text="Arrived">
      <formula>NOT(ISERROR(SEARCH("Arrived",E5)))</formula>
    </cfRule>
    <cfRule type="containsText" dxfId="1" priority="6" operator="containsText" text="Active">
      <formula>NOT(ISERROR(SEARCH("Active",E5)))</formula>
    </cfRule>
    <cfRule type="containsText" dxfId="1" priority="7" operator="containsText" text="Regular">
      <formula>NOT(ISERROR(SEARCH("Regular",E5)))</formula>
    </cfRule>
    <cfRule type="containsText" dxfId="1" priority="8" operator="containsText" text="VIP">
      <formula>NOT(ISERROR(SEARCH("VIP",E5)))</formula>
    </cfRule>
    <cfRule type="containsText" dxfId="1" priority="9" operator="containsText" text="In stock">
      <formula>NOT(ISERROR(SEARCH("In stock",E5)))</formula>
    </cfRule>
    <cfRule type="containsText" dxfId="1" priority="10" operator="containsText" text="Received">
      <formula>NOT(ISERROR(SEARCH("Received",E5)))</formula>
    </cfRule>
    <cfRule type="containsText" dxfId="1" priority="11" operator="containsText" text="Approved">
      <formula>NOT(ISERROR(SEARCH("Approved",E5)))</formula>
    </cfRule>
    <cfRule type="containsText" dxfId="1" priority="12" operator="containsText" text="Yes">
      <formula>NOT(ISERROR(SEARCH("Yes",E5)))</formula>
    </cfRule>
    <cfRule type="containsText" dxfId="3" priority="13" operator="containsText" text="Booked">
      <formula>NOT(ISERROR(SEARCH("Booked",E5)))</formula>
    </cfRule>
    <cfRule type="containsText" dxfId="3" priority="14" operator="containsText" text="Confirmed">
      <formula>NOT(ISERROR(SEARCH("Confirmed",E5)))</formula>
    </cfRule>
    <cfRule type="containsText" dxfId="3" priority="15" operator="containsText" text="Scheduled">
      <formula>NOT(ISERROR(SEARCH("Scheduled",E5)))</formula>
    </cfRule>
    <cfRule type="containsText" dxfId="3" priority="16" operator="containsText" text="New">
      <formula>NOT(ISERROR(SEARCH("New",E5)))</formula>
    </cfRule>
    <cfRule type="containsText" dxfId="3" priority="17" operator="containsText" text="Ordered">
      <formula>NOT(ISERROR(SEARCH("Ordered",E5)))</formula>
    </cfRule>
    <cfRule type="containsText" dxfId="3" priority="18" operator="containsText" text="Running">
      <formula>NOT(ISERROR(SEARCH("Running",E5)))</formula>
    </cfRule>
    <cfRule type="containsText" dxfId="0" priority="19" operator="containsText" text="Part paid">
      <formula>NOT(ISERROR(SEARCH("Part paid",E5)))</formula>
    </cfRule>
    <cfRule type="containsText" dxfId="0" priority="20" operator="containsText" text="Pending">
      <formula>NOT(ISERROR(SEARCH("Pending",E5)))</formula>
    </cfRule>
    <cfRule type="containsText" dxfId="0" priority="21" operator="containsText" text="Enquiry">
      <formula>NOT(ISERROR(SEARCH("Enquiry",E5)))</formula>
    </cfRule>
    <cfRule type="containsText" dxfId="0" priority="22" operator="containsText" text="Rescheduled">
      <formula>NOT(ISERROR(SEARCH("Rescheduled",E5)))</formula>
    </cfRule>
    <cfRule type="containsText" dxfId="0" priority="23" operator="containsText" text="Low stock">
      <formula>NOT(ISERROR(SEARCH("Low stock",E5)))</formula>
    </cfRule>
    <cfRule type="containsText" dxfId="0" priority="24" operator="containsText" text="Lapsing">
      <formula>NOT(ISERROR(SEARCH("Lapsing",E5)))</formula>
    </cfRule>
    <cfRule type="containsText" dxfId="0" priority="25" operator="containsText" text="Planned">
      <formula>NOT(ISERROR(SEARCH("Planned",E5)))</formula>
    </cfRule>
    <cfRule type="containsText" dxfId="0" priority="26" operator="containsText" text="On hold">
      <formula>NOT(ISERROR(SEARCH("On hold",E5)))</formula>
    </cfRule>
    <cfRule type="containsText" dxfId="0" priority="27" operator="containsText" text="Draft">
      <formula>NOT(ISERROR(SEARCH("Draft",E5)))</formula>
    </cfRule>
    <cfRule type="containsText" dxfId="2" priority="28" operator="containsText" text="Cancelled">
      <formula>NOT(ISERROR(SEARCH("Cancelled",E5)))</formula>
    </cfRule>
    <cfRule type="containsText" dxfId="2" priority="29" operator="containsText" text="No show">
      <formula>NOT(ISERROR(SEARCH("No show",E5)))</formula>
    </cfRule>
    <cfRule type="containsText" dxfId="2" priority="30" operator="containsText" text="Refunded">
      <formula>NOT(ISERROR(SEARCH("Refunded",E5)))</formula>
    </cfRule>
    <cfRule type="containsText" dxfId="2" priority="31" operator="containsText" text="Out of stock">
      <formula>NOT(ISERROR(SEARCH("Out of stock",E5)))</formula>
    </cfRule>
    <cfRule type="containsText" dxfId="2" priority="32" operator="containsText" text="Overdue">
      <formula>NOT(ISERROR(SEARCH("Overdue",E5)))</formula>
    </cfRule>
    <cfRule type="containsText" dxfId="2" priority="33" operator="containsText" text="Written off">
      <formula>NOT(ISERROR(SEARCH("Written off",E5)))</formula>
    </cfRule>
    <cfRule type="containsText" dxfId="4" priority="34" operator="containsText" text="Inactive">
      <formula>NOT(ISERROR(SEARCH("Inactive",E5)))</formula>
    </cfRule>
    <cfRule type="containsText" dxfId="4" priority="35" operator="containsText" text="Archived">
      <formula>NOT(ISERROR(SEARCH("Archived",E5)))</formula>
    </cfRule>
    <cfRule type="containsText" dxfId="4" priority="36" operator="containsText" text="Finished">
      <formula>NOT(ISERROR(SEARCH("Finished",E5)))</formula>
    </cfRule>
    <cfRule type="containsText" dxfId="4" priority="37" operator="containsText" text="Discontinued">
      <formula>NOT(ISERROR(SEARCH("Discontinued",E5)))</formula>
    </cfRule>
  </conditionalFormatting>
  <conditionalFormatting sqref="K5:K244">
    <cfRule type="dataBar" priority="38">
      <dataBar>
        <cfvo type="min" val="0"/>
        <cfvo type="max" val="0"/>
        <color rgb="FF9A5C86"/>
      </dataBar>
    </cfRule>
  </conditionalFormatting>
  <conditionalFormatting sqref="V5:V244">
    <cfRule type="dataBar" priority="39">
      <dataBar>
        <cfvo type="min" val="0"/>
        <cfvo type="max" val="0"/>
        <color rgb="FFC08A5E"/>
      </dataBar>
    </cfRule>
  </conditionalFormatting>
  <conditionalFormatting sqref="X5:X244">
    <cfRule type="cellIs" dxfId="2" priority="40" operator="lessThan">
      <formula>0</formula>
    </cfRule>
  </conditionalFormatting>
  <conditionalFormatting sqref="Y5:Y244">
    <cfRule type="cellIs" dxfId="2" priority="41" operator="greaterThan">
      <formula>0.55</formula>
    </cfRule>
    <cfRule type="cellIs" dxfId="0" priority="42" operator="greaterThan">
      <formula>0.45</formula>
    </cfRule>
  </conditionalFormatting>
  <dataValidations count="6">
    <dataValidation type="list" allowBlank="1" showInputMessage="1" showErrorMessage="1" promptTitle="Month" prompt="The month this covers, as yyyy-mm. Pick it from the list so it matches the sales tab exactly." sqref="B5:B244">
      <formula1>MonthKeyList</formula1>
    </dataValidation>
    <dataValidation type="list" allowBlank="1" showInputMessage="1" showErrorMessage="1" sqref="C5:C244">
      <formula1>StaffList</formula1>
    </dataValidation>
    <dataValidation type="decimal" allowBlank="1" showInputMessage="1" showErrorMessage="1" errorTitle="Check the value" error="Enter a number between -100000 and 100000." promptTitle="Adjustment" prompt="A correction, a clawback on a refund, a guarantee top-up. Plus or minus." sqref="F5:F244">
      <formula1>-100000</formula1>
      <formula2>100000</formula2>
    </dataValidation>
    <dataValidation type="decimal" allowBlank="1" showInputMessage="1" showErrorMessage="1" errorTitle="Check the value" error="Enter a number between 0 and 100000." promptTitle="Bonus" prompt="Anything on top - a retail competition, a full column bonus." sqref="G5:G244">
      <formula1>0</formula1>
      <formula2>100000</formula2>
    </dataValidation>
    <dataValidation type="list" allowBlank="1" showInputMessage="1" showErrorMessage="1" sqref="H5:H244">
      <formula1>"Yes,No"</formula1>
    </dataValidation>
    <dataValidation type="date" allowBlank="1" showInputMessage="1" showErrorMessage="1" errorTitle="Check the date" error="Enter a real date between 2000 and 2100." promptTitle="Paid on" prompt="Leave blank until it has actually gone out." sqref="I5:I244">
      <formula1>36526</formula1>
      <formula2>73415</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&amp;L&amp;"Calibri,Bold"&amp;12&amp;C&amp;"Calibri,Bold"&amp;11Commissions&amp;R&amp;"Calibri,Italic"&amp;9Salon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4C2A42"/>
    <pageSetUpPr fitToPage="1"/>
  </sheetPr>
  <dimension ref="A1:AD36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3.7109375" style="29" customWidth="1"/>
    <col min="3" max="3" width="12.7109375" style="34" customWidth="1"/>
    <col min="4" max="4" width="11.7109375" style="31" customWidth="1"/>
    <col min="5" max="5" width="18.7109375" style="15" customWidth="1"/>
    <col min="6" max="6" width="9.7109375" style="43" customWidth="1"/>
    <col min="7" max="7" width="11.7109375" style="33" customWidth="1"/>
    <col min="8" max="8" width="13.7109375" style="33" customWidth="1"/>
    <col min="9" max="9" width="12.7109375" style="33" customWidth="1"/>
    <col min="10" max="10" width="10.7109375" style="33" customWidth="1"/>
    <col min="11" max="11" width="11.7109375" style="33" customWidth="1"/>
    <col min="12" max="12" width="11.7109375" style="33" customWidth="1"/>
    <col min="13" max="13" width="9.7109375" style="41" customWidth="1"/>
    <col min="14" max="14" width="11.7109375" style="29" customWidth="1"/>
    <col min="15" max="15" width="14.7109375" style="34" customWidth="1"/>
    <col min="16" max="16" width="22.7109375" style="35" customWidth="1"/>
    <col min="17" max="17" width="10.7109375" style="15" hidden="1" customWidth="1"/>
    <col min="18" max="18" width="7.7109375" style="25" hidden="1" customWidth="1"/>
    <col min="19" max="19" width="10.7109375" style="26" hidden="1" customWidth="1"/>
    <col min="20" max="20" width="11.7109375" style="26" customWidth="1"/>
    <col min="21" max="21" width="11.7109375" style="26" customWidth="1"/>
    <col min="22" max="22" width="13.7109375" style="26" customWidth="1"/>
    <col min="23" max="23" width="12.7109375" style="26" hidden="1" customWidth="1"/>
    <col min="24" max="24" width="12.7109375" style="26" customWidth="1"/>
    <col min="25" max="25" width="12.7109375" style="26" customWidth="1"/>
    <col min="26" max="26" width="13.7109375" style="26" hidden="1" customWidth="1"/>
    <col min="27" max="27" width="12.7109375" style="26" hidden="1" customWidth="1"/>
    <col min="28" max="28" width="13.7109375" style="26" customWidth="1"/>
    <col min="29" max="29" width="11.7109375" style="26" hidden="1" customWidth="1"/>
    <col min="30" max="30" width="28.7109375" style="39" customWidth="1"/>
  </cols>
  <sheetData>
    <row r="1" spans="1:30" ht="34" customHeight="1">
      <c r="A1" s="2" t="s">
        <v>444</v>
      </c>
      <c r="B1" s="2"/>
      <c r="C1" s="2"/>
      <c r="D1" s="2"/>
      <c r="E1" s="2"/>
      <c r="F1" s="2"/>
      <c r="G1" s="2"/>
      <c r="H1" s="2"/>
      <c r="I1" s="2"/>
      <c r="J1" s="2"/>
      <c r="K1" s="2"/>
      <c r="L1" s="2"/>
      <c r="M1" s="2"/>
      <c r="N1" s="2"/>
      <c r="O1" s="2"/>
      <c r="P1" s="2"/>
      <c r="Q1" s="2"/>
      <c r="R1" s="2"/>
      <c r="S1" s="2"/>
      <c r="T1" s="2"/>
      <c r="U1" s="2"/>
      <c r="V1" s="2"/>
      <c r="W1" s="2"/>
      <c r="X1" s="2"/>
      <c r="Y1" s="2"/>
      <c r="Z1" s="2"/>
      <c r="AA1" s="2"/>
      <c r="AB1" s="3" t="s">
        <v>1</v>
      </c>
      <c r="AC1" s="3"/>
      <c r="AD1" s="3"/>
    </row>
    <row r="2" spans="1:30" ht="18" customHeight="1">
      <c r="A2" s="4" t="s">
        <v>445</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446</v>
      </c>
      <c r="T3" s="40"/>
      <c r="U3" s="40"/>
      <c r="V3" s="40"/>
      <c r="W3" s="40"/>
      <c r="X3" s="40"/>
      <c r="Y3" s="40"/>
      <c r="Z3" s="40"/>
      <c r="AA3" s="40"/>
      <c r="AB3" s="40"/>
      <c r="AC3" s="40"/>
      <c r="AD3" s="40"/>
    </row>
    <row r="4" spans="1:30" ht="30" customHeight="1">
      <c r="A4" s="10" t="s">
        <v>211</v>
      </c>
      <c r="B4" s="10" t="s">
        <v>447</v>
      </c>
      <c r="C4" s="11" t="s">
        <v>448</v>
      </c>
      <c r="D4" s="11" t="s">
        <v>219</v>
      </c>
      <c r="E4" s="11" t="s">
        <v>394</v>
      </c>
      <c r="F4" s="11" t="s">
        <v>449</v>
      </c>
      <c r="G4" s="11" t="s">
        <v>405</v>
      </c>
      <c r="H4" s="11" t="s">
        <v>450</v>
      </c>
      <c r="I4" s="11" t="s">
        <v>138</v>
      </c>
      <c r="J4" s="11" t="s">
        <v>426</v>
      </c>
      <c r="K4" s="11" t="s">
        <v>451</v>
      </c>
      <c r="L4" s="11" t="s">
        <v>452</v>
      </c>
      <c r="M4" s="11" t="s">
        <v>360</v>
      </c>
      <c r="N4" s="11" t="s">
        <v>428</v>
      </c>
      <c r="O4" s="11" t="s">
        <v>373</v>
      </c>
      <c r="P4" s="11" t="s">
        <v>225</v>
      </c>
      <c r="Q4" s="11" t="s">
        <v>121</v>
      </c>
      <c r="R4" s="11" t="s">
        <v>228</v>
      </c>
      <c r="S4" s="11" t="s">
        <v>453</v>
      </c>
      <c r="T4" s="11" t="s">
        <v>454</v>
      </c>
      <c r="U4" s="11" t="s">
        <v>455</v>
      </c>
      <c r="V4" s="11" t="s">
        <v>456</v>
      </c>
      <c r="W4" s="11" t="s">
        <v>457</v>
      </c>
      <c r="X4" s="11" t="s">
        <v>458</v>
      </c>
      <c r="Y4" s="11" t="s">
        <v>459</v>
      </c>
      <c r="Z4" s="11" t="s">
        <v>460</v>
      </c>
      <c r="AA4" s="11" t="s">
        <v>461</v>
      </c>
      <c r="AB4" s="11" t="s">
        <v>462</v>
      </c>
      <c r="AC4" s="11" t="s">
        <v>463</v>
      </c>
      <c r="AD4" s="11" t="s">
        <v>363</v>
      </c>
    </row>
    <row r="5" spans="1:30">
      <c r="A5" s="28">
        <f>IF(B5="","",PayrollPrefix&amp;TEXT(ROW()-4,"0000"))</f>
        <v>0</v>
      </c>
      <c r="E5" s="15">
        <f>IF(D5="","",IFERROR(INDEX(Staff!$B$5:$B$44,MATCH(D5,Staff!$A$5:$A$44,0)),"Not in Staff"))</f>
        <v>0</v>
      </c>
      <c r="Q5" s="15">
        <f>IF(B5="","",TEXT(B5,"yyyy-mm"))</f>
        <v>0</v>
      </c>
      <c r="R5" s="25">
        <f>IF(B5="","",WEEKNUM(B5,2))</f>
        <v>0</v>
      </c>
      <c r="S5" s="26">
        <f>IF(B5="","",IF(G5&lt;&gt;"",G5,IFERROR(IF(INDEX(Staff!$P$5:$P$44,MATCH(D5,Staff!$A$5:$A$44,0))="",DefaultHourly,INDEX(Staff!$P$5:$P$44,MATCH(D5,Staff!$A$5:$A$44,0))),DefaultHourly)))</f>
        <v>0</v>
      </c>
      <c r="T5" s="26">
        <f>IF(B5="","",ROUND(IF(F5="",0,F5)*S5,2))</f>
        <v>0</v>
      </c>
      <c r="U5" s="26">
        <f>IF(B5="","",ROUND(T5+IF(H5="",0,H5)+IF(J5="",0,J5)+IF(K5="",0,K5),2))</f>
        <v>0</v>
      </c>
      <c r="V5" s="26">
        <f>IF(B5="","",ROUND(U5-IF(L5="",0,L5),2))</f>
        <v>0</v>
      </c>
      <c r="W5" s="26">
        <f>IF(B5="","",ROUND(V5+IF(I5="",0,I5),2))</f>
        <v>0</v>
      </c>
      <c r="X5" s="26">
        <f>IF(B5="","",IF(IFERROR(INDEX(Staff!$E$5:$E$44,MATCH(D5,Staff!$A$5:$A$44,0))&amp;"","")="Self-employed",0,IF(IFERROR(INDEX(Staff!$E$5:$E$44,MATCH(D5,Staff!$A$5:$A$44,0))&amp;"","")="Chair renter",0,ROUND(U5*PayrollBurden,2))))</f>
        <v>0</v>
      </c>
      <c r="Y5" s="26">
        <f>IF(B5="","",ROUND(U5+X5,2))</f>
        <v>0</v>
      </c>
      <c r="Z5" s="26">
        <f>IF(B5="","",ROUND(SUMIFS(Commissions!$X$5:$X$244,Commissions!$C$5:$C$244,D5,Commissions!$B$5:$B$244,Q5),2))</f>
        <v>0</v>
      </c>
      <c r="AA5" s="26">
        <f>IF(B5="","",ROUND(SUMIFS($H$5:$H$364,$D$5:$D$364,D5,$Q$5:$Q$364,Q5),2))</f>
        <v>0</v>
      </c>
      <c r="AB5" s="26">
        <f>IF(B5="","",ROUND(Z5-AA5,2))</f>
        <v>0</v>
      </c>
      <c r="AC5" s="26">
        <f>IF(B5="","",IF(IF(F5="",0,F5)=0,"",ROUND(Y5/F5,2)))</f>
        <v>0</v>
      </c>
      <c r="AD5" s="39">
        <f>IF(B5="","",IF(D5="","Add - who is this run for?",IF(IF(F5="",H5="",FALSE),"Add - no hours and no commission",IF(AB5&lt;-0.004,"Check - more commission paid than earned",IF(M5&lt;&gt;"Yes","Due - not paid yet",IF(N5="","Check - marked paid, no date","OK"))))))</f>
        <v>0</v>
      </c>
    </row>
    <row r="6" spans="1:30">
      <c r="A6" s="28">
        <f>IF(B6="","",PayrollPrefix&amp;TEXT(ROW()-4,"0000"))</f>
        <v>0</v>
      </c>
      <c r="E6" s="15">
        <f>IF(D6="","",IFERROR(INDEX(Staff!$B$5:$B$44,MATCH(D6,Staff!$A$5:$A$44,0)),"Not in Staff"))</f>
        <v>0</v>
      </c>
      <c r="Q6" s="15">
        <f>IF(B6="","",TEXT(B6,"yyyy-mm"))</f>
        <v>0</v>
      </c>
      <c r="R6" s="25">
        <f>IF(B6="","",WEEKNUM(B6,2))</f>
        <v>0</v>
      </c>
      <c r="S6" s="26">
        <f>IF(B6="","",IF(G6&lt;&gt;"",G6,IFERROR(IF(INDEX(Staff!$P$5:$P$44,MATCH(D6,Staff!$A$5:$A$44,0))="",DefaultHourly,INDEX(Staff!$P$5:$P$44,MATCH(D6,Staff!$A$5:$A$44,0))),DefaultHourly)))</f>
        <v>0</v>
      </c>
      <c r="T6" s="26">
        <f>IF(B6="","",ROUND(IF(F6="",0,F6)*S6,2))</f>
        <v>0</v>
      </c>
      <c r="U6" s="26">
        <f>IF(B6="","",ROUND(T6+IF(H6="",0,H6)+IF(J6="",0,J6)+IF(K6="",0,K6),2))</f>
        <v>0</v>
      </c>
      <c r="V6" s="26">
        <f>IF(B6="","",ROUND(U6-IF(L6="",0,L6),2))</f>
        <v>0</v>
      </c>
      <c r="W6" s="26">
        <f>IF(B6="","",ROUND(V6+IF(I6="",0,I6),2))</f>
        <v>0</v>
      </c>
      <c r="X6" s="26">
        <f>IF(B6="","",IF(IFERROR(INDEX(Staff!$E$5:$E$44,MATCH(D6,Staff!$A$5:$A$44,0))&amp;"","")="Self-employed",0,IF(IFERROR(INDEX(Staff!$E$5:$E$44,MATCH(D6,Staff!$A$5:$A$44,0))&amp;"","")="Chair renter",0,ROUND(U6*PayrollBurden,2))))</f>
        <v>0</v>
      </c>
      <c r="Y6" s="26">
        <f>IF(B6="","",ROUND(U6+X6,2))</f>
        <v>0</v>
      </c>
      <c r="Z6" s="26">
        <f>IF(B6="","",ROUND(SUMIFS(Commissions!$X$5:$X$244,Commissions!$C$5:$C$244,D6,Commissions!$B$5:$B$244,Q6),2))</f>
        <v>0</v>
      </c>
      <c r="AA6" s="26">
        <f>IF(B6="","",ROUND(SUMIFS($H$5:$H$364,$D$5:$D$364,D6,$Q$5:$Q$364,Q6),2))</f>
        <v>0</v>
      </c>
      <c r="AB6" s="26">
        <f>IF(B6="","",ROUND(Z6-AA6,2))</f>
        <v>0</v>
      </c>
      <c r="AC6" s="26">
        <f>IF(B6="","",IF(IF(F6="",0,F6)=0,"",ROUND(Y6/F6,2)))</f>
        <v>0</v>
      </c>
      <c r="AD6" s="39">
        <f>IF(B6="","",IF(D6="","Add - who is this run for?",IF(IF(F6="",H6="",FALSE),"Add - no hours and no commission",IF(AB6&lt;-0.004,"Check - more commission paid than earned",IF(M6&lt;&gt;"Yes","Due - not paid yet",IF(N6="","Check - marked paid, no date","OK"))))))</f>
        <v>0</v>
      </c>
    </row>
    <row r="7" spans="1:30">
      <c r="A7" s="28">
        <f>IF(B7="","",PayrollPrefix&amp;TEXT(ROW()-4,"0000"))</f>
        <v>0</v>
      </c>
      <c r="E7" s="15">
        <f>IF(D7="","",IFERROR(INDEX(Staff!$B$5:$B$44,MATCH(D7,Staff!$A$5:$A$44,0)),"Not in Staff"))</f>
        <v>0</v>
      </c>
      <c r="Q7" s="15">
        <f>IF(B7="","",TEXT(B7,"yyyy-mm"))</f>
        <v>0</v>
      </c>
      <c r="R7" s="25">
        <f>IF(B7="","",WEEKNUM(B7,2))</f>
        <v>0</v>
      </c>
      <c r="S7" s="26">
        <f>IF(B7="","",IF(G7&lt;&gt;"",G7,IFERROR(IF(INDEX(Staff!$P$5:$P$44,MATCH(D7,Staff!$A$5:$A$44,0))="",DefaultHourly,INDEX(Staff!$P$5:$P$44,MATCH(D7,Staff!$A$5:$A$44,0))),DefaultHourly)))</f>
        <v>0</v>
      </c>
      <c r="T7" s="26">
        <f>IF(B7="","",ROUND(IF(F7="",0,F7)*S7,2))</f>
        <v>0</v>
      </c>
      <c r="U7" s="26">
        <f>IF(B7="","",ROUND(T7+IF(H7="",0,H7)+IF(J7="",0,J7)+IF(K7="",0,K7),2))</f>
        <v>0</v>
      </c>
      <c r="V7" s="26">
        <f>IF(B7="","",ROUND(U7-IF(L7="",0,L7),2))</f>
        <v>0</v>
      </c>
      <c r="W7" s="26">
        <f>IF(B7="","",ROUND(V7+IF(I7="",0,I7),2))</f>
        <v>0</v>
      </c>
      <c r="X7" s="26">
        <f>IF(B7="","",IF(IFERROR(INDEX(Staff!$E$5:$E$44,MATCH(D7,Staff!$A$5:$A$44,0))&amp;"","")="Self-employed",0,IF(IFERROR(INDEX(Staff!$E$5:$E$44,MATCH(D7,Staff!$A$5:$A$44,0))&amp;"","")="Chair renter",0,ROUND(U7*PayrollBurden,2))))</f>
        <v>0</v>
      </c>
      <c r="Y7" s="26">
        <f>IF(B7="","",ROUND(U7+X7,2))</f>
        <v>0</v>
      </c>
      <c r="Z7" s="26">
        <f>IF(B7="","",ROUND(SUMIFS(Commissions!$X$5:$X$244,Commissions!$C$5:$C$244,D7,Commissions!$B$5:$B$244,Q7),2))</f>
        <v>0</v>
      </c>
      <c r="AA7" s="26">
        <f>IF(B7="","",ROUND(SUMIFS($H$5:$H$364,$D$5:$D$364,D7,$Q$5:$Q$364,Q7),2))</f>
        <v>0</v>
      </c>
      <c r="AB7" s="26">
        <f>IF(B7="","",ROUND(Z7-AA7,2))</f>
        <v>0</v>
      </c>
      <c r="AC7" s="26">
        <f>IF(B7="","",IF(IF(F7="",0,F7)=0,"",ROUND(Y7/F7,2)))</f>
        <v>0</v>
      </c>
      <c r="AD7" s="39">
        <f>IF(B7="","",IF(D7="","Add - who is this run for?",IF(IF(F7="",H7="",FALSE),"Add - no hours and no commission",IF(AB7&lt;-0.004,"Check - more commission paid than earned",IF(M7&lt;&gt;"Yes","Due - not paid yet",IF(N7="","Check - marked paid, no date","OK"))))))</f>
        <v>0</v>
      </c>
    </row>
    <row r="8" spans="1:30">
      <c r="A8" s="28">
        <f>IF(B8="","",PayrollPrefix&amp;TEXT(ROW()-4,"0000"))</f>
        <v>0</v>
      </c>
      <c r="E8" s="15">
        <f>IF(D8="","",IFERROR(INDEX(Staff!$B$5:$B$44,MATCH(D8,Staff!$A$5:$A$44,0)),"Not in Staff"))</f>
        <v>0</v>
      </c>
      <c r="Q8" s="15">
        <f>IF(B8="","",TEXT(B8,"yyyy-mm"))</f>
        <v>0</v>
      </c>
      <c r="R8" s="25">
        <f>IF(B8="","",WEEKNUM(B8,2))</f>
        <v>0</v>
      </c>
      <c r="S8" s="26">
        <f>IF(B8="","",IF(G8&lt;&gt;"",G8,IFERROR(IF(INDEX(Staff!$P$5:$P$44,MATCH(D8,Staff!$A$5:$A$44,0))="",DefaultHourly,INDEX(Staff!$P$5:$P$44,MATCH(D8,Staff!$A$5:$A$44,0))),DefaultHourly)))</f>
        <v>0</v>
      </c>
      <c r="T8" s="26">
        <f>IF(B8="","",ROUND(IF(F8="",0,F8)*S8,2))</f>
        <v>0</v>
      </c>
      <c r="U8" s="26">
        <f>IF(B8="","",ROUND(T8+IF(H8="",0,H8)+IF(J8="",0,J8)+IF(K8="",0,K8),2))</f>
        <v>0</v>
      </c>
      <c r="V8" s="26">
        <f>IF(B8="","",ROUND(U8-IF(L8="",0,L8),2))</f>
        <v>0</v>
      </c>
      <c r="W8" s="26">
        <f>IF(B8="","",ROUND(V8+IF(I8="",0,I8),2))</f>
        <v>0</v>
      </c>
      <c r="X8" s="26">
        <f>IF(B8="","",IF(IFERROR(INDEX(Staff!$E$5:$E$44,MATCH(D8,Staff!$A$5:$A$44,0))&amp;"","")="Self-employed",0,IF(IFERROR(INDEX(Staff!$E$5:$E$44,MATCH(D8,Staff!$A$5:$A$44,0))&amp;"","")="Chair renter",0,ROUND(U8*PayrollBurden,2))))</f>
        <v>0</v>
      </c>
      <c r="Y8" s="26">
        <f>IF(B8="","",ROUND(U8+X8,2))</f>
        <v>0</v>
      </c>
      <c r="Z8" s="26">
        <f>IF(B8="","",ROUND(SUMIFS(Commissions!$X$5:$X$244,Commissions!$C$5:$C$244,D8,Commissions!$B$5:$B$244,Q8),2))</f>
        <v>0</v>
      </c>
      <c r="AA8" s="26">
        <f>IF(B8="","",ROUND(SUMIFS($H$5:$H$364,$D$5:$D$364,D8,$Q$5:$Q$364,Q8),2))</f>
        <v>0</v>
      </c>
      <c r="AB8" s="26">
        <f>IF(B8="","",ROUND(Z8-AA8,2))</f>
        <v>0</v>
      </c>
      <c r="AC8" s="26">
        <f>IF(B8="","",IF(IF(F8="",0,F8)=0,"",ROUND(Y8/F8,2)))</f>
        <v>0</v>
      </c>
      <c r="AD8" s="39">
        <f>IF(B8="","",IF(D8="","Add - who is this run for?",IF(IF(F8="",H8="",FALSE),"Add - no hours and no commission",IF(AB8&lt;-0.004,"Check - more commission paid than earned",IF(M8&lt;&gt;"Yes","Due - not paid yet",IF(N8="","Check - marked paid, no date","OK"))))))</f>
        <v>0</v>
      </c>
    </row>
    <row r="9" spans="1:30">
      <c r="A9" s="28">
        <f>IF(B9="","",PayrollPrefix&amp;TEXT(ROW()-4,"0000"))</f>
        <v>0</v>
      </c>
      <c r="E9" s="15">
        <f>IF(D9="","",IFERROR(INDEX(Staff!$B$5:$B$44,MATCH(D9,Staff!$A$5:$A$44,0)),"Not in Staff"))</f>
        <v>0</v>
      </c>
      <c r="Q9" s="15">
        <f>IF(B9="","",TEXT(B9,"yyyy-mm"))</f>
        <v>0</v>
      </c>
      <c r="R9" s="25">
        <f>IF(B9="","",WEEKNUM(B9,2))</f>
        <v>0</v>
      </c>
      <c r="S9" s="26">
        <f>IF(B9="","",IF(G9&lt;&gt;"",G9,IFERROR(IF(INDEX(Staff!$P$5:$P$44,MATCH(D9,Staff!$A$5:$A$44,0))="",DefaultHourly,INDEX(Staff!$P$5:$P$44,MATCH(D9,Staff!$A$5:$A$44,0))),DefaultHourly)))</f>
        <v>0</v>
      </c>
      <c r="T9" s="26">
        <f>IF(B9="","",ROUND(IF(F9="",0,F9)*S9,2))</f>
        <v>0</v>
      </c>
      <c r="U9" s="26">
        <f>IF(B9="","",ROUND(T9+IF(H9="",0,H9)+IF(J9="",0,J9)+IF(K9="",0,K9),2))</f>
        <v>0</v>
      </c>
      <c r="V9" s="26">
        <f>IF(B9="","",ROUND(U9-IF(L9="",0,L9),2))</f>
        <v>0</v>
      </c>
      <c r="W9" s="26">
        <f>IF(B9="","",ROUND(V9+IF(I9="",0,I9),2))</f>
        <v>0</v>
      </c>
      <c r="X9" s="26">
        <f>IF(B9="","",IF(IFERROR(INDEX(Staff!$E$5:$E$44,MATCH(D9,Staff!$A$5:$A$44,0))&amp;"","")="Self-employed",0,IF(IFERROR(INDEX(Staff!$E$5:$E$44,MATCH(D9,Staff!$A$5:$A$44,0))&amp;"","")="Chair renter",0,ROUND(U9*PayrollBurden,2))))</f>
        <v>0</v>
      </c>
      <c r="Y9" s="26">
        <f>IF(B9="","",ROUND(U9+X9,2))</f>
        <v>0</v>
      </c>
      <c r="Z9" s="26">
        <f>IF(B9="","",ROUND(SUMIFS(Commissions!$X$5:$X$244,Commissions!$C$5:$C$244,D9,Commissions!$B$5:$B$244,Q9),2))</f>
        <v>0</v>
      </c>
      <c r="AA9" s="26">
        <f>IF(B9="","",ROUND(SUMIFS($H$5:$H$364,$D$5:$D$364,D9,$Q$5:$Q$364,Q9),2))</f>
        <v>0</v>
      </c>
      <c r="AB9" s="26">
        <f>IF(B9="","",ROUND(Z9-AA9,2))</f>
        <v>0</v>
      </c>
      <c r="AC9" s="26">
        <f>IF(B9="","",IF(IF(F9="",0,F9)=0,"",ROUND(Y9/F9,2)))</f>
        <v>0</v>
      </c>
      <c r="AD9" s="39">
        <f>IF(B9="","",IF(D9="","Add - who is this run for?",IF(IF(F9="",H9="",FALSE),"Add - no hours and no commission",IF(AB9&lt;-0.004,"Check - more commission paid than earned",IF(M9&lt;&gt;"Yes","Due - not paid yet",IF(N9="","Check - marked paid, no date","OK"))))))</f>
        <v>0</v>
      </c>
    </row>
    <row r="10" spans="1:30">
      <c r="A10" s="28">
        <f>IF(B10="","",PayrollPrefix&amp;TEXT(ROW()-4,"0000"))</f>
        <v>0</v>
      </c>
      <c r="E10" s="15">
        <f>IF(D10="","",IFERROR(INDEX(Staff!$B$5:$B$44,MATCH(D10,Staff!$A$5:$A$44,0)),"Not in Staff"))</f>
        <v>0</v>
      </c>
      <c r="Q10" s="15">
        <f>IF(B10="","",TEXT(B10,"yyyy-mm"))</f>
        <v>0</v>
      </c>
      <c r="R10" s="25">
        <f>IF(B10="","",WEEKNUM(B10,2))</f>
        <v>0</v>
      </c>
      <c r="S10" s="26">
        <f>IF(B10="","",IF(G10&lt;&gt;"",G10,IFERROR(IF(INDEX(Staff!$P$5:$P$44,MATCH(D10,Staff!$A$5:$A$44,0))="",DefaultHourly,INDEX(Staff!$P$5:$P$44,MATCH(D10,Staff!$A$5:$A$44,0))),DefaultHourly)))</f>
        <v>0</v>
      </c>
      <c r="T10" s="26">
        <f>IF(B10="","",ROUND(IF(F10="",0,F10)*S10,2))</f>
        <v>0</v>
      </c>
      <c r="U10" s="26">
        <f>IF(B10="","",ROUND(T10+IF(H10="",0,H10)+IF(J10="",0,J10)+IF(K10="",0,K10),2))</f>
        <v>0</v>
      </c>
      <c r="V10" s="26">
        <f>IF(B10="","",ROUND(U10-IF(L10="",0,L10),2))</f>
        <v>0</v>
      </c>
      <c r="W10" s="26">
        <f>IF(B10="","",ROUND(V10+IF(I10="",0,I10),2))</f>
        <v>0</v>
      </c>
      <c r="X10" s="26">
        <f>IF(B10="","",IF(IFERROR(INDEX(Staff!$E$5:$E$44,MATCH(D10,Staff!$A$5:$A$44,0))&amp;"","")="Self-employed",0,IF(IFERROR(INDEX(Staff!$E$5:$E$44,MATCH(D10,Staff!$A$5:$A$44,0))&amp;"","")="Chair renter",0,ROUND(U10*PayrollBurden,2))))</f>
        <v>0</v>
      </c>
      <c r="Y10" s="26">
        <f>IF(B10="","",ROUND(U10+X10,2))</f>
        <v>0</v>
      </c>
      <c r="Z10" s="26">
        <f>IF(B10="","",ROUND(SUMIFS(Commissions!$X$5:$X$244,Commissions!$C$5:$C$244,D10,Commissions!$B$5:$B$244,Q10),2))</f>
        <v>0</v>
      </c>
      <c r="AA10" s="26">
        <f>IF(B10="","",ROUND(SUMIFS($H$5:$H$364,$D$5:$D$364,D10,$Q$5:$Q$364,Q10),2))</f>
        <v>0</v>
      </c>
      <c r="AB10" s="26">
        <f>IF(B10="","",ROUND(Z10-AA10,2))</f>
        <v>0</v>
      </c>
      <c r="AC10" s="26">
        <f>IF(B10="","",IF(IF(F10="",0,F10)=0,"",ROUND(Y10/F10,2)))</f>
        <v>0</v>
      </c>
      <c r="AD10" s="39">
        <f>IF(B10="","",IF(D10="","Add - who is this run for?",IF(IF(F10="",H10="",FALSE),"Add - no hours and no commission",IF(AB10&lt;-0.004,"Check - more commission paid than earned",IF(M10&lt;&gt;"Yes","Due - not paid yet",IF(N10="","Check - marked paid, no date","OK"))))))</f>
        <v>0</v>
      </c>
    </row>
    <row r="11" spans="1:30">
      <c r="A11" s="28">
        <f>IF(B11="","",PayrollPrefix&amp;TEXT(ROW()-4,"0000"))</f>
        <v>0</v>
      </c>
      <c r="E11" s="15">
        <f>IF(D11="","",IFERROR(INDEX(Staff!$B$5:$B$44,MATCH(D11,Staff!$A$5:$A$44,0)),"Not in Staff"))</f>
        <v>0</v>
      </c>
      <c r="Q11" s="15">
        <f>IF(B11="","",TEXT(B11,"yyyy-mm"))</f>
        <v>0</v>
      </c>
      <c r="R11" s="25">
        <f>IF(B11="","",WEEKNUM(B11,2))</f>
        <v>0</v>
      </c>
      <c r="S11" s="26">
        <f>IF(B11="","",IF(G11&lt;&gt;"",G11,IFERROR(IF(INDEX(Staff!$P$5:$P$44,MATCH(D11,Staff!$A$5:$A$44,0))="",DefaultHourly,INDEX(Staff!$P$5:$P$44,MATCH(D11,Staff!$A$5:$A$44,0))),DefaultHourly)))</f>
        <v>0</v>
      </c>
      <c r="T11" s="26">
        <f>IF(B11="","",ROUND(IF(F11="",0,F11)*S11,2))</f>
        <v>0</v>
      </c>
      <c r="U11" s="26">
        <f>IF(B11="","",ROUND(T11+IF(H11="",0,H11)+IF(J11="",0,J11)+IF(K11="",0,K11),2))</f>
        <v>0</v>
      </c>
      <c r="V11" s="26">
        <f>IF(B11="","",ROUND(U11-IF(L11="",0,L11),2))</f>
        <v>0</v>
      </c>
      <c r="W11" s="26">
        <f>IF(B11="","",ROUND(V11+IF(I11="",0,I11),2))</f>
        <v>0</v>
      </c>
      <c r="X11" s="26">
        <f>IF(B11="","",IF(IFERROR(INDEX(Staff!$E$5:$E$44,MATCH(D11,Staff!$A$5:$A$44,0))&amp;"","")="Self-employed",0,IF(IFERROR(INDEX(Staff!$E$5:$E$44,MATCH(D11,Staff!$A$5:$A$44,0))&amp;"","")="Chair renter",0,ROUND(U11*PayrollBurden,2))))</f>
        <v>0</v>
      </c>
      <c r="Y11" s="26">
        <f>IF(B11="","",ROUND(U11+X11,2))</f>
        <v>0</v>
      </c>
      <c r="Z11" s="26">
        <f>IF(B11="","",ROUND(SUMIFS(Commissions!$X$5:$X$244,Commissions!$C$5:$C$244,D11,Commissions!$B$5:$B$244,Q11),2))</f>
        <v>0</v>
      </c>
      <c r="AA11" s="26">
        <f>IF(B11="","",ROUND(SUMIFS($H$5:$H$364,$D$5:$D$364,D11,$Q$5:$Q$364,Q11),2))</f>
        <v>0</v>
      </c>
      <c r="AB11" s="26">
        <f>IF(B11="","",ROUND(Z11-AA11,2))</f>
        <v>0</v>
      </c>
      <c r="AC11" s="26">
        <f>IF(B11="","",IF(IF(F11="",0,F11)=0,"",ROUND(Y11/F11,2)))</f>
        <v>0</v>
      </c>
      <c r="AD11" s="39">
        <f>IF(B11="","",IF(D11="","Add - who is this run for?",IF(IF(F11="",H11="",FALSE),"Add - no hours and no commission",IF(AB11&lt;-0.004,"Check - more commission paid than earned",IF(M11&lt;&gt;"Yes","Due - not paid yet",IF(N11="","Check - marked paid, no date","OK"))))))</f>
        <v>0</v>
      </c>
    </row>
    <row r="12" spans="1:30">
      <c r="A12" s="28">
        <f>IF(B12="","",PayrollPrefix&amp;TEXT(ROW()-4,"0000"))</f>
        <v>0</v>
      </c>
      <c r="E12" s="15">
        <f>IF(D12="","",IFERROR(INDEX(Staff!$B$5:$B$44,MATCH(D12,Staff!$A$5:$A$44,0)),"Not in Staff"))</f>
        <v>0</v>
      </c>
      <c r="Q12" s="15">
        <f>IF(B12="","",TEXT(B12,"yyyy-mm"))</f>
        <v>0</v>
      </c>
      <c r="R12" s="25">
        <f>IF(B12="","",WEEKNUM(B12,2))</f>
        <v>0</v>
      </c>
      <c r="S12" s="26">
        <f>IF(B12="","",IF(G12&lt;&gt;"",G12,IFERROR(IF(INDEX(Staff!$P$5:$P$44,MATCH(D12,Staff!$A$5:$A$44,0))="",DefaultHourly,INDEX(Staff!$P$5:$P$44,MATCH(D12,Staff!$A$5:$A$44,0))),DefaultHourly)))</f>
        <v>0</v>
      </c>
      <c r="T12" s="26">
        <f>IF(B12="","",ROUND(IF(F12="",0,F12)*S12,2))</f>
        <v>0</v>
      </c>
      <c r="U12" s="26">
        <f>IF(B12="","",ROUND(T12+IF(H12="",0,H12)+IF(J12="",0,J12)+IF(K12="",0,K12),2))</f>
        <v>0</v>
      </c>
      <c r="V12" s="26">
        <f>IF(B12="","",ROUND(U12-IF(L12="",0,L12),2))</f>
        <v>0</v>
      </c>
      <c r="W12" s="26">
        <f>IF(B12="","",ROUND(V12+IF(I12="",0,I12),2))</f>
        <v>0</v>
      </c>
      <c r="X12" s="26">
        <f>IF(B12="","",IF(IFERROR(INDEX(Staff!$E$5:$E$44,MATCH(D12,Staff!$A$5:$A$44,0))&amp;"","")="Self-employed",0,IF(IFERROR(INDEX(Staff!$E$5:$E$44,MATCH(D12,Staff!$A$5:$A$44,0))&amp;"","")="Chair renter",0,ROUND(U12*PayrollBurden,2))))</f>
        <v>0</v>
      </c>
      <c r="Y12" s="26">
        <f>IF(B12="","",ROUND(U12+X12,2))</f>
        <v>0</v>
      </c>
      <c r="Z12" s="26">
        <f>IF(B12="","",ROUND(SUMIFS(Commissions!$X$5:$X$244,Commissions!$C$5:$C$244,D12,Commissions!$B$5:$B$244,Q12),2))</f>
        <v>0</v>
      </c>
      <c r="AA12" s="26">
        <f>IF(B12="","",ROUND(SUMIFS($H$5:$H$364,$D$5:$D$364,D12,$Q$5:$Q$364,Q12),2))</f>
        <v>0</v>
      </c>
      <c r="AB12" s="26">
        <f>IF(B12="","",ROUND(Z12-AA12,2))</f>
        <v>0</v>
      </c>
      <c r="AC12" s="26">
        <f>IF(B12="","",IF(IF(F12="",0,F12)=0,"",ROUND(Y12/F12,2)))</f>
        <v>0</v>
      </c>
      <c r="AD12" s="39">
        <f>IF(B12="","",IF(D12="","Add - who is this run for?",IF(IF(F12="",H12="",FALSE),"Add - no hours and no commission",IF(AB12&lt;-0.004,"Check - more commission paid than earned",IF(M12&lt;&gt;"Yes","Due - not paid yet",IF(N12="","Check - marked paid, no date","OK"))))))</f>
        <v>0</v>
      </c>
    </row>
    <row r="13" spans="1:30">
      <c r="A13" s="28">
        <f>IF(B13="","",PayrollPrefix&amp;TEXT(ROW()-4,"0000"))</f>
        <v>0</v>
      </c>
      <c r="E13" s="15">
        <f>IF(D13="","",IFERROR(INDEX(Staff!$B$5:$B$44,MATCH(D13,Staff!$A$5:$A$44,0)),"Not in Staff"))</f>
        <v>0</v>
      </c>
      <c r="Q13" s="15">
        <f>IF(B13="","",TEXT(B13,"yyyy-mm"))</f>
        <v>0</v>
      </c>
      <c r="R13" s="25">
        <f>IF(B13="","",WEEKNUM(B13,2))</f>
        <v>0</v>
      </c>
      <c r="S13" s="26">
        <f>IF(B13="","",IF(G13&lt;&gt;"",G13,IFERROR(IF(INDEX(Staff!$P$5:$P$44,MATCH(D13,Staff!$A$5:$A$44,0))="",DefaultHourly,INDEX(Staff!$P$5:$P$44,MATCH(D13,Staff!$A$5:$A$44,0))),DefaultHourly)))</f>
        <v>0</v>
      </c>
      <c r="T13" s="26">
        <f>IF(B13="","",ROUND(IF(F13="",0,F13)*S13,2))</f>
        <v>0</v>
      </c>
      <c r="U13" s="26">
        <f>IF(B13="","",ROUND(T13+IF(H13="",0,H13)+IF(J13="",0,J13)+IF(K13="",0,K13),2))</f>
        <v>0</v>
      </c>
      <c r="V13" s="26">
        <f>IF(B13="","",ROUND(U13-IF(L13="",0,L13),2))</f>
        <v>0</v>
      </c>
      <c r="W13" s="26">
        <f>IF(B13="","",ROUND(V13+IF(I13="",0,I13),2))</f>
        <v>0</v>
      </c>
      <c r="X13" s="26">
        <f>IF(B13="","",IF(IFERROR(INDEX(Staff!$E$5:$E$44,MATCH(D13,Staff!$A$5:$A$44,0))&amp;"","")="Self-employed",0,IF(IFERROR(INDEX(Staff!$E$5:$E$44,MATCH(D13,Staff!$A$5:$A$44,0))&amp;"","")="Chair renter",0,ROUND(U13*PayrollBurden,2))))</f>
        <v>0</v>
      </c>
      <c r="Y13" s="26">
        <f>IF(B13="","",ROUND(U13+X13,2))</f>
        <v>0</v>
      </c>
      <c r="Z13" s="26">
        <f>IF(B13="","",ROUND(SUMIFS(Commissions!$X$5:$X$244,Commissions!$C$5:$C$244,D13,Commissions!$B$5:$B$244,Q13),2))</f>
        <v>0</v>
      </c>
      <c r="AA13" s="26">
        <f>IF(B13="","",ROUND(SUMIFS($H$5:$H$364,$D$5:$D$364,D13,$Q$5:$Q$364,Q13),2))</f>
        <v>0</v>
      </c>
      <c r="AB13" s="26">
        <f>IF(B13="","",ROUND(Z13-AA13,2))</f>
        <v>0</v>
      </c>
      <c r="AC13" s="26">
        <f>IF(B13="","",IF(IF(F13="",0,F13)=0,"",ROUND(Y13/F13,2)))</f>
        <v>0</v>
      </c>
      <c r="AD13" s="39">
        <f>IF(B13="","",IF(D13="","Add - who is this run for?",IF(IF(F13="",H13="",FALSE),"Add - no hours and no commission",IF(AB13&lt;-0.004,"Check - more commission paid than earned",IF(M13&lt;&gt;"Yes","Due - not paid yet",IF(N13="","Check - marked paid, no date","OK"))))))</f>
        <v>0</v>
      </c>
    </row>
    <row r="14" spans="1:30">
      <c r="A14" s="28">
        <f>IF(B14="","",PayrollPrefix&amp;TEXT(ROW()-4,"0000"))</f>
        <v>0</v>
      </c>
      <c r="E14" s="15">
        <f>IF(D14="","",IFERROR(INDEX(Staff!$B$5:$B$44,MATCH(D14,Staff!$A$5:$A$44,0)),"Not in Staff"))</f>
        <v>0</v>
      </c>
      <c r="Q14" s="15">
        <f>IF(B14="","",TEXT(B14,"yyyy-mm"))</f>
        <v>0</v>
      </c>
      <c r="R14" s="25">
        <f>IF(B14="","",WEEKNUM(B14,2))</f>
        <v>0</v>
      </c>
      <c r="S14" s="26">
        <f>IF(B14="","",IF(G14&lt;&gt;"",G14,IFERROR(IF(INDEX(Staff!$P$5:$P$44,MATCH(D14,Staff!$A$5:$A$44,0))="",DefaultHourly,INDEX(Staff!$P$5:$P$44,MATCH(D14,Staff!$A$5:$A$44,0))),DefaultHourly)))</f>
        <v>0</v>
      </c>
      <c r="T14" s="26">
        <f>IF(B14="","",ROUND(IF(F14="",0,F14)*S14,2))</f>
        <v>0</v>
      </c>
      <c r="U14" s="26">
        <f>IF(B14="","",ROUND(T14+IF(H14="",0,H14)+IF(J14="",0,J14)+IF(K14="",0,K14),2))</f>
        <v>0</v>
      </c>
      <c r="V14" s="26">
        <f>IF(B14="","",ROUND(U14-IF(L14="",0,L14),2))</f>
        <v>0</v>
      </c>
      <c r="W14" s="26">
        <f>IF(B14="","",ROUND(V14+IF(I14="",0,I14),2))</f>
        <v>0</v>
      </c>
      <c r="X14" s="26">
        <f>IF(B14="","",IF(IFERROR(INDEX(Staff!$E$5:$E$44,MATCH(D14,Staff!$A$5:$A$44,0))&amp;"","")="Self-employed",0,IF(IFERROR(INDEX(Staff!$E$5:$E$44,MATCH(D14,Staff!$A$5:$A$44,0))&amp;"","")="Chair renter",0,ROUND(U14*PayrollBurden,2))))</f>
        <v>0</v>
      </c>
      <c r="Y14" s="26">
        <f>IF(B14="","",ROUND(U14+X14,2))</f>
        <v>0</v>
      </c>
      <c r="Z14" s="26">
        <f>IF(B14="","",ROUND(SUMIFS(Commissions!$X$5:$X$244,Commissions!$C$5:$C$244,D14,Commissions!$B$5:$B$244,Q14),2))</f>
        <v>0</v>
      </c>
      <c r="AA14" s="26">
        <f>IF(B14="","",ROUND(SUMIFS($H$5:$H$364,$D$5:$D$364,D14,$Q$5:$Q$364,Q14),2))</f>
        <v>0</v>
      </c>
      <c r="AB14" s="26">
        <f>IF(B14="","",ROUND(Z14-AA14,2))</f>
        <v>0</v>
      </c>
      <c r="AC14" s="26">
        <f>IF(B14="","",IF(IF(F14="",0,F14)=0,"",ROUND(Y14/F14,2)))</f>
        <v>0</v>
      </c>
      <c r="AD14" s="39">
        <f>IF(B14="","",IF(D14="","Add - who is this run for?",IF(IF(F14="",H14="",FALSE),"Add - no hours and no commission",IF(AB14&lt;-0.004,"Check - more commission paid than earned",IF(M14&lt;&gt;"Yes","Due - not paid yet",IF(N14="","Check - marked paid, no date","OK"))))))</f>
        <v>0</v>
      </c>
    </row>
    <row r="15" spans="1:30">
      <c r="A15" s="28">
        <f>IF(B15="","",PayrollPrefix&amp;TEXT(ROW()-4,"0000"))</f>
        <v>0</v>
      </c>
      <c r="E15" s="15">
        <f>IF(D15="","",IFERROR(INDEX(Staff!$B$5:$B$44,MATCH(D15,Staff!$A$5:$A$44,0)),"Not in Staff"))</f>
        <v>0</v>
      </c>
      <c r="Q15" s="15">
        <f>IF(B15="","",TEXT(B15,"yyyy-mm"))</f>
        <v>0</v>
      </c>
      <c r="R15" s="25">
        <f>IF(B15="","",WEEKNUM(B15,2))</f>
        <v>0</v>
      </c>
      <c r="S15" s="26">
        <f>IF(B15="","",IF(G15&lt;&gt;"",G15,IFERROR(IF(INDEX(Staff!$P$5:$P$44,MATCH(D15,Staff!$A$5:$A$44,0))="",DefaultHourly,INDEX(Staff!$P$5:$P$44,MATCH(D15,Staff!$A$5:$A$44,0))),DefaultHourly)))</f>
        <v>0</v>
      </c>
      <c r="T15" s="26">
        <f>IF(B15="","",ROUND(IF(F15="",0,F15)*S15,2))</f>
        <v>0</v>
      </c>
      <c r="U15" s="26">
        <f>IF(B15="","",ROUND(T15+IF(H15="",0,H15)+IF(J15="",0,J15)+IF(K15="",0,K15),2))</f>
        <v>0</v>
      </c>
      <c r="V15" s="26">
        <f>IF(B15="","",ROUND(U15-IF(L15="",0,L15),2))</f>
        <v>0</v>
      </c>
      <c r="W15" s="26">
        <f>IF(B15="","",ROUND(V15+IF(I15="",0,I15),2))</f>
        <v>0</v>
      </c>
      <c r="X15" s="26">
        <f>IF(B15="","",IF(IFERROR(INDEX(Staff!$E$5:$E$44,MATCH(D15,Staff!$A$5:$A$44,0))&amp;"","")="Self-employed",0,IF(IFERROR(INDEX(Staff!$E$5:$E$44,MATCH(D15,Staff!$A$5:$A$44,0))&amp;"","")="Chair renter",0,ROUND(U15*PayrollBurden,2))))</f>
        <v>0</v>
      </c>
      <c r="Y15" s="26">
        <f>IF(B15="","",ROUND(U15+X15,2))</f>
        <v>0</v>
      </c>
      <c r="Z15" s="26">
        <f>IF(B15="","",ROUND(SUMIFS(Commissions!$X$5:$X$244,Commissions!$C$5:$C$244,D15,Commissions!$B$5:$B$244,Q15),2))</f>
        <v>0</v>
      </c>
      <c r="AA15" s="26">
        <f>IF(B15="","",ROUND(SUMIFS($H$5:$H$364,$D$5:$D$364,D15,$Q$5:$Q$364,Q15),2))</f>
        <v>0</v>
      </c>
      <c r="AB15" s="26">
        <f>IF(B15="","",ROUND(Z15-AA15,2))</f>
        <v>0</v>
      </c>
      <c r="AC15" s="26">
        <f>IF(B15="","",IF(IF(F15="",0,F15)=0,"",ROUND(Y15/F15,2)))</f>
        <v>0</v>
      </c>
      <c r="AD15" s="39">
        <f>IF(B15="","",IF(D15="","Add - who is this run for?",IF(IF(F15="",H15="",FALSE),"Add - no hours and no commission",IF(AB15&lt;-0.004,"Check - more commission paid than earned",IF(M15&lt;&gt;"Yes","Due - not paid yet",IF(N15="","Check - marked paid, no date","OK"))))))</f>
        <v>0</v>
      </c>
    </row>
    <row r="16" spans="1:30">
      <c r="A16" s="28">
        <f>IF(B16="","",PayrollPrefix&amp;TEXT(ROW()-4,"0000"))</f>
        <v>0</v>
      </c>
      <c r="E16" s="15">
        <f>IF(D16="","",IFERROR(INDEX(Staff!$B$5:$B$44,MATCH(D16,Staff!$A$5:$A$44,0)),"Not in Staff"))</f>
        <v>0</v>
      </c>
      <c r="Q16" s="15">
        <f>IF(B16="","",TEXT(B16,"yyyy-mm"))</f>
        <v>0</v>
      </c>
      <c r="R16" s="25">
        <f>IF(B16="","",WEEKNUM(B16,2))</f>
        <v>0</v>
      </c>
      <c r="S16" s="26">
        <f>IF(B16="","",IF(G16&lt;&gt;"",G16,IFERROR(IF(INDEX(Staff!$P$5:$P$44,MATCH(D16,Staff!$A$5:$A$44,0))="",DefaultHourly,INDEX(Staff!$P$5:$P$44,MATCH(D16,Staff!$A$5:$A$44,0))),DefaultHourly)))</f>
        <v>0</v>
      </c>
      <c r="T16" s="26">
        <f>IF(B16="","",ROUND(IF(F16="",0,F16)*S16,2))</f>
        <v>0</v>
      </c>
      <c r="U16" s="26">
        <f>IF(B16="","",ROUND(T16+IF(H16="",0,H16)+IF(J16="",0,J16)+IF(K16="",0,K16),2))</f>
        <v>0</v>
      </c>
      <c r="V16" s="26">
        <f>IF(B16="","",ROUND(U16-IF(L16="",0,L16),2))</f>
        <v>0</v>
      </c>
      <c r="W16" s="26">
        <f>IF(B16="","",ROUND(V16+IF(I16="",0,I16),2))</f>
        <v>0</v>
      </c>
      <c r="X16" s="26">
        <f>IF(B16="","",IF(IFERROR(INDEX(Staff!$E$5:$E$44,MATCH(D16,Staff!$A$5:$A$44,0))&amp;"","")="Self-employed",0,IF(IFERROR(INDEX(Staff!$E$5:$E$44,MATCH(D16,Staff!$A$5:$A$44,0))&amp;"","")="Chair renter",0,ROUND(U16*PayrollBurden,2))))</f>
        <v>0</v>
      </c>
      <c r="Y16" s="26">
        <f>IF(B16="","",ROUND(U16+X16,2))</f>
        <v>0</v>
      </c>
      <c r="Z16" s="26">
        <f>IF(B16="","",ROUND(SUMIFS(Commissions!$X$5:$X$244,Commissions!$C$5:$C$244,D16,Commissions!$B$5:$B$244,Q16),2))</f>
        <v>0</v>
      </c>
      <c r="AA16" s="26">
        <f>IF(B16="","",ROUND(SUMIFS($H$5:$H$364,$D$5:$D$364,D16,$Q$5:$Q$364,Q16),2))</f>
        <v>0</v>
      </c>
      <c r="AB16" s="26">
        <f>IF(B16="","",ROUND(Z16-AA16,2))</f>
        <v>0</v>
      </c>
      <c r="AC16" s="26">
        <f>IF(B16="","",IF(IF(F16="",0,F16)=0,"",ROUND(Y16/F16,2)))</f>
        <v>0</v>
      </c>
      <c r="AD16" s="39">
        <f>IF(B16="","",IF(D16="","Add - who is this run for?",IF(IF(F16="",H16="",FALSE),"Add - no hours and no commission",IF(AB16&lt;-0.004,"Check - more commission paid than earned",IF(M16&lt;&gt;"Yes","Due - not paid yet",IF(N16="","Check - marked paid, no date","OK"))))))</f>
        <v>0</v>
      </c>
    </row>
    <row r="17" spans="1:30">
      <c r="A17" s="28">
        <f>IF(B17="","",PayrollPrefix&amp;TEXT(ROW()-4,"0000"))</f>
        <v>0</v>
      </c>
      <c r="E17" s="15">
        <f>IF(D17="","",IFERROR(INDEX(Staff!$B$5:$B$44,MATCH(D17,Staff!$A$5:$A$44,0)),"Not in Staff"))</f>
        <v>0</v>
      </c>
      <c r="Q17" s="15">
        <f>IF(B17="","",TEXT(B17,"yyyy-mm"))</f>
        <v>0</v>
      </c>
      <c r="R17" s="25">
        <f>IF(B17="","",WEEKNUM(B17,2))</f>
        <v>0</v>
      </c>
      <c r="S17" s="26">
        <f>IF(B17="","",IF(G17&lt;&gt;"",G17,IFERROR(IF(INDEX(Staff!$P$5:$P$44,MATCH(D17,Staff!$A$5:$A$44,0))="",DefaultHourly,INDEX(Staff!$P$5:$P$44,MATCH(D17,Staff!$A$5:$A$44,0))),DefaultHourly)))</f>
        <v>0</v>
      </c>
      <c r="T17" s="26">
        <f>IF(B17="","",ROUND(IF(F17="",0,F17)*S17,2))</f>
        <v>0</v>
      </c>
      <c r="U17" s="26">
        <f>IF(B17="","",ROUND(T17+IF(H17="",0,H17)+IF(J17="",0,J17)+IF(K17="",0,K17),2))</f>
        <v>0</v>
      </c>
      <c r="V17" s="26">
        <f>IF(B17="","",ROUND(U17-IF(L17="",0,L17),2))</f>
        <v>0</v>
      </c>
      <c r="W17" s="26">
        <f>IF(B17="","",ROUND(V17+IF(I17="",0,I17),2))</f>
        <v>0</v>
      </c>
      <c r="X17" s="26">
        <f>IF(B17="","",IF(IFERROR(INDEX(Staff!$E$5:$E$44,MATCH(D17,Staff!$A$5:$A$44,0))&amp;"","")="Self-employed",0,IF(IFERROR(INDEX(Staff!$E$5:$E$44,MATCH(D17,Staff!$A$5:$A$44,0))&amp;"","")="Chair renter",0,ROUND(U17*PayrollBurden,2))))</f>
        <v>0</v>
      </c>
      <c r="Y17" s="26">
        <f>IF(B17="","",ROUND(U17+X17,2))</f>
        <v>0</v>
      </c>
      <c r="Z17" s="26">
        <f>IF(B17="","",ROUND(SUMIFS(Commissions!$X$5:$X$244,Commissions!$C$5:$C$244,D17,Commissions!$B$5:$B$244,Q17),2))</f>
        <v>0</v>
      </c>
      <c r="AA17" s="26">
        <f>IF(B17="","",ROUND(SUMIFS($H$5:$H$364,$D$5:$D$364,D17,$Q$5:$Q$364,Q17),2))</f>
        <v>0</v>
      </c>
      <c r="AB17" s="26">
        <f>IF(B17="","",ROUND(Z17-AA17,2))</f>
        <v>0</v>
      </c>
      <c r="AC17" s="26">
        <f>IF(B17="","",IF(IF(F17="",0,F17)=0,"",ROUND(Y17/F17,2)))</f>
        <v>0</v>
      </c>
      <c r="AD17" s="39">
        <f>IF(B17="","",IF(D17="","Add - who is this run for?",IF(IF(F17="",H17="",FALSE),"Add - no hours and no commission",IF(AB17&lt;-0.004,"Check - more commission paid than earned",IF(M17&lt;&gt;"Yes","Due - not paid yet",IF(N17="","Check - marked paid, no date","OK"))))))</f>
        <v>0</v>
      </c>
    </row>
    <row r="18" spans="1:30">
      <c r="A18" s="28">
        <f>IF(B18="","",PayrollPrefix&amp;TEXT(ROW()-4,"0000"))</f>
        <v>0</v>
      </c>
      <c r="E18" s="15">
        <f>IF(D18="","",IFERROR(INDEX(Staff!$B$5:$B$44,MATCH(D18,Staff!$A$5:$A$44,0)),"Not in Staff"))</f>
        <v>0</v>
      </c>
      <c r="Q18" s="15">
        <f>IF(B18="","",TEXT(B18,"yyyy-mm"))</f>
        <v>0</v>
      </c>
      <c r="R18" s="25">
        <f>IF(B18="","",WEEKNUM(B18,2))</f>
        <v>0</v>
      </c>
      <c r="S18" s="26">
        <f>IF(B18="","",IF(G18&lt;&gt;"",G18,IFERROR(IF(INDEX(Staff!$P$5:$P$44,MATCH(D18,Staff!$A$5:$A$44,0))="",DefaultHourly,INDEX(Staff!$P$5:$P$44,MATCH(D18,Staff!$A$5:$A$44,0))),DefaultHourly)))</f>
        <v>0</v>
      </c>
      <c r="T18" s="26">
        <f>IF(B18="","",ROUND(IF(F18="",0,F18)*S18,2))</f>
        <v>0</v>
      </c>
      <c r="U18" s="26">
        <f>IF(B18="","",ROUND(T18+IF(H18="",0,H18)+IF(J18="",0,J18)+IF(K18="",0,K18),2))</f>
        <v>0</v>
      </c>
      <c r="V18" s="26">
        <f>IF(B18="","",ROUND(U18-IF(L18="",0,L18),2))</f>
        <v>0</v>
      </c>
      <c r="W18" s="26">
        <f>IF(B18="","",ROUND(V18+IF(I18="",0,I18),2))</f>
        <v>0</v>
      </c>
      <c r="X18" s="26">
        <f>IF(B18="","",IF(IFERROR(INDEX(Staff!$E$5:$E$44,MATCH(D18,Staff!$A$5:$A$44,0))&amp;"","")="Self-employed",0,IF(IFERROR(INDEX(Staff!$E$5:$E$44,MATCH(D18,Staff!$A$5:$A$44,0))&amp;"","")="Chair renter",0,ROUND(U18*PayrollBurden,2))))</f>
        <v>0</v>
      </c>
      <c r="Y18" s="26">
        <f>IF(B18="","",ROUND(U18+X18,2))</f>
        <v>0</v>
      </c>
      <c r="Z18" s="26">
        <f>IF(B18="","",ROUND(SUMIFS(Commissions!$X$5:$X$244,Commissions!$C$5:$C$244,D18,Commissions!$B$5:$B$244,Q18),2))</f>
        <v>0</v>
      </c>
      <c r="AA18" s="26">
        <f>IF(B18="","",ROUND(SUMIFS($H$5:$H$364,$D$5:$D$364,D18,$Q$5:$Q$364,Q18),2))</f>
        <v>0</v>
      </c>
      <c r="AB18" s="26">
        <f>IF(B18="","",ROUND(Z18-AA18,2))</f>
        <v>0</v>
      </c>
      <c r="AC18" s="26">
        <f>IF(B18="","",IF(IF(F18="",0,F18)=0,"",ROUND(Y18/F18,2)))</f>
        <v>0</v>
      </c>
      <c r="AD18" s="39">
        <f>IF(B18="","",IF(D18="","Add - who is this run for?",IF(IF(F18="",H18="",FALSE),"Add - no hours and no commission",IF(AB18&lt;-0.004,"Check - more commission paid than earned",IF(M18&lt;&gt;"Yes","Due - not paid yet",IF(N18="","Check - marked paid, no date","OK"))))))</f>
        <v>0</v>
      </c>
    </row>
    <row r="19" spans="1:30">
      <c r="A19" s="28">
        <f>IF(B19="","",PayrollPrefix&amp;TEXT(ROW()-4,"0000"))</f>
        <v>0</v>
      </c>
      <c r="E19" s="15">
        <f>IF(D19="","",IFERROR(INDEX(Staff!$B$5:$B$44,MATCH(D19,Staff!$A$5:$A$44,0)),"Not in Staff"))</f>
        <v>0</v>
      </c>
      <c r="Q19" s="15">
        <f>IF(B19="","",TEXT(B19,"yyyy-mm"))</f>
        <v>0</v>
      </c>
      <c r="R19" s="25">
        <f>IF(B19="","",WEEKNUM(B19,2))</f>
        <v>0</v>
      </c>
      <c r="S19" s="26">
        <f>IF(B19="","",IF(G19&lt;&gt;"",G19,IFERROR(IF(INDEX(Staff!$P$5:$P$44,MATCH(D19,Staff!$A$5:$A$44,0))="",DefaultHourly,INDEX(Staff!$P$5:$P$44,MATCH(D19,Staff!$A$5:$A$44,0))),DefaultHourly)))</f>
        <v>0</v>
      </c>
      <c r="T19" s="26">
        <f>IF(B19="","",ROUND(IF(F19="",0,F19)*S19,2))</f>
        <v>0</v>
      </c>
      <c r="U19" s="26">
        <f>IF(B19="","",ROUND(T19+IF(H19="",0,H19)+IF(J19="",0,J19)+IF(K19="",0,K19),2))</f>
        <v>0</v>
      </c>
      <c r="V19" s="26">
        <f>IF(B19="","",ROUND(U19-IF(L19="",0,L19),2))</f>
        <v>0</v>
      </c>
      <c r="W19" s="26">
        <f>IF(B19="","",ROUND(V19+IF(I19="",0,I19),2))</f>
        <v>0</v>
      </c>
      <c r="X19" s="26">
        <f>IF(B19="","",IF(IFERROR(INDEX(Staff!$E$5:$E$44,MATCH(D19,Staff!$A$5:$A$44,0))&amp;"","")="Self-employed",0,IF(IFERROR(INDEX(Staff!$E$5:$E$44,MATCH(D19,Staff!$A$5:$A$44,0))&amp;"","")="Chair renter",0,ROUND(U19*PayrollBurden,2))))</f>
        <v>0</v>
      </c>
      <c r="Y19" s="26">
        <f>IF(B19="","",ROUND(U19+X19,2))</f>
        <v>0</v>
      </c>
      <c r="Z19" s="26">
        <f>IF(B19="","",ROUND(SUMIFS(Commissions!$X$5:$X$244,Commissions!$C$5:$C$244,D19,Commissions!$B$5:$B$244,Q19),2))</f>
        <v>0</v>
      </c>
      <c r="AA19" s="26">
        <f>IF(B19="","",ROUND(SUMIFS($H$5:$H$364,$D$5:$D$364,D19,$Q$5:$Q$364,Q19),2))</f>
        <v>0</v>
      </c>
      <c r="AB19" s="26">
        <f>IF(B19="","",ROUND(Z19-AA19,2))</f>
        <v>0</v>
      </c>
      <c r="AC19" s="26">
        <f>IF(B19="","",IF(IF(F19="",0,F19)=0,"",ROUND(Y19/F19,2)))</f>
        <v>0</v>
      </c>
      <c r="AD19" s="39">
        <f>IF(B19="","",IF(D19="","Add - who is this run for?",IF(IF(F19="",H19="",FALSE),"Add - no hours and no commission",IF(AB19&lt;-0.004,"Check - more commission paid than earned",IF(M19&lt;&gt;"Yes","Due - not paid yet",IF(N19="","Check - marked paid, no date","OK"))))))</f>
        <v>0</v>
      </c>
    </row>
    <row r="20" spans="1:30">
      <c r="A20" s="28">
        <f>IF(B20="","",PayrollPrefix&amp;TEXT(ROW()-4,"0000"))</f>
        <v>0</v>
      </c>
      <c r="E20" s="15">
        <f>IF(D20="","",IFERROR(INDEX(Staff!$B$5:$B$44,MATCH(D20,Staff!$A$5:$A$44,0)),"Not in Staff"))</f>
        <v>0</v>
      </c>
      <c r="Q20" s="15">
        <f>IF(B20="","",TEXT(B20,"yyyy-mm"))</f>
        <v>0</v>
      </c>
      <c r="R20" s="25">
        <f>IF(B20="","",WEEKNUM(B20,2))</f>
        <v>0</v>
      </c>
      <c r="S20" s="26">
        <f>IF(B20="","",IF(G20&lt;&gt;"",G20,IFERROR(IF(INDEX(Staff!$P$5:$P$44,MATCH(D20,Staff!$A$5:$A$44,0))="",DefaultHourly,INDEX(Staff!$P$5:$P$44,MATCH(D20,Staff!$A$5:$A$44,0))),DefaultHourly)))</f>
        <v>0</v>
      </c>
      <c r="T20" s="26">
        <f>IF(B20="","",ROUND(IF(F20="",0,F20)*S20,2))</f>
        <v>0</v>
      </c>
      <c r="U20" s="26">
        <f>IF(B20="","",ROUND(T20+IF(H20="",0,H20)+IF(J20="",0,J20)+IF(K20="",0,K20),2))</f>
        <v>0</v>
      </c>
      <c r="V20" s="26">
        <f>IF(B20="","",ROUND(U20-IF(L20="",0,L20),2))</f>
        <v>0</v>
      </c>
      <c r="W20" s="26">
        <f>IF(B20="","",ROUND(V20+IF(I20="",0,I20),2))</f>
        <v>0</v>
      </c>
      <c r="X20" s="26">
        <f>IF(B20="","",IF(IFERROR(INDEX(Staff!$E$5:$E$44,MATCH(D20,Staff!$A$5:$A$44,0))&amp;"","")="Self-employed",0,IF(IFERROR(INDEX(Staff!$E$5:$E$44,MATCH(D20,Staff!$A$5:$A$44,0))&amp;"","")="Chair renter",0,ROUND(U20*PayrollBurden,2))))</f>
        <v>0</v>
      </c>
      <c r="Y20" s="26">
        <f>IF(B20="","",ROUND(U20+X20,2))</f>
        <v>0</v>
      </c>
      <c r="Z20" s="26">
        <f>IF(B20="","",ROUND(SUMIFS(Commissions!$X$5:$X$244,Commissions!$C$5:$C$244,D20,Commissions!$B$5:$B$244,Q20),2))</f>
        <v>0</v>
      </c>
      <c r="AA20" s="26">
        <f>IF(B20="","",ROUND(SUMIFS($H$5:$H$364,$D$5:$D$364,D20,$Q$5:$Q$364,Q20),2))</f>
        <v>0</v>
      </c>
      <c r="AB20" s="26">
        <f>IF(B20="","",ROUND(Z20-AA20,2))</f>
        <v>0</v>
      </c>
      <c r="AC20" s="26">
        <f>IF(B20="","",IF(IF(F20="",0,F20)=0,"",ROUND(Y20/F20,2)))</f>
        <v>0</v>
      </c>
      <c r="AD20" s="39">
        <f>IF(B20="","",IF(D20="","Add - who is this run for?",IF(IF(F20="",H20="",FALSE),"Add - no hours and no commission",IF(AB20&lt;-0.004,"Check - more commission paid than earned",IF(M20&lt;&gt;"Yes","Due - not paid yet",IF(N20="","Check - marked paid, no date","OK"))))))</f>
        <v>0</v>
      </c>
    </row>
    <row r="21" spans="1:30">
      <c r="A21" s="28">
        <f>IF(B21="","",PayrollPrefix&amp;TEXT(ROW()-4,"0000"))</f>
        <v>0</v>
      </c>
      <c r="E21" s="15">
        <f>IF(D21="","",IFERROR(INDEX(Staff!$B$5:$B$44,MATCH(D21,Staff!$A$5:$A$44,0)),"Not in Staff"))</f>
        <v>0</v>
      </c>
      <c r="Q21" s="15">
        <f>IF(B21="","",TEXT(B21,"yyyy-mm"))</f>
        <v>0</v>
      </c>
      <c r="R21" s="25">
        <f>IF(B21="","",WEEKNUM(B21,2))</f>
        <v>0</v>
      </c>
      <c r="S21" s="26">
        <f>IF(B21="","",IF(G21&lt;&gt;"",G21,IFERROR(IF(INDEX(Staff!$P$5:$P$44,MATCH(D21,Staff!$A$5:$A$44,0))="",DefaultHourly,INDEX(Staff!$P$5:$P$44,MATCH(D21,Staff!$A$5:$A$44,0))),DefaultHourly)))</f>
        <v>0</v>
      </c>
      <c r="T21" s="26">
        <f>IF(B21="","",ROUND(IF(F21="",0,F21)*S21,2))</f>
        <v>0</v>
      </c>
      <c r="U21" s="26">
        <f>IF(B21="","",ROUND(T21+IF(H21="",0,H21)+IF(J21="",0,J21)+IF(K21="",0,K21),2))</f>
        <v>0</v>
      </c>
      <c r="V21" s="26">
        <f>IF(B21="","",ROUND(U21-IF(L21="",0,L21),2))</f>
        <v>0</v>
      </c>
      <c r="W21" s="26">
        <f>IF(B21="","",ROUND(V21+IF(I21="",0,I21),2))</f>
        <v>0</v>
      </c>
      <c r="X21" s="26">
        <f>IF(B21="","",IF(IFERROR(INDEX(Staff!$E$5:$E$44,MATCH(D21,Staff!$A$5:$A$44,0))&amp;"","")="Self-employed",0,IF(IFERROR(INDEX(Staff!$E$5:$E$44,MATCH(D21,Staff!$A$5:$A$44,0))&amp;"","")="Chair renter",0,ROUND(U21*PayrollBurden,2))))</f>
        <v>0</v>
      </c>
      <c r="Y21" s="26">
        <f>IF(B21="","",ROUND(U21+X21,2))</f>
        <v>0</v>
      </c>
      <c r="Z21" s="26">
        <f>IF(B21="","",ROUND(SUMIFS(Commissions!$X$5:$X$244,Commissions!$C$5:$C$244,D21,Commissions!$B$5:$B$244,Q21),2))</f>
        <v>0</v>
      </c>
      <c r="AA21" s="26">
        <f>IF(B21="","",ROUND(SUMIFS($H$5:$H$364,$D$5:$D$364,D21,$Q$5:$Q$364,Q21),2))</f>
        <v>0</v>
      </c>
      <c r="AB21" s="26">
        <f>IF(B21="","",ROUND(Z21-AA21,2))</f>
        <v>0</v>
      </c>
      <c r="AC21" s="26">
        <f>IF(B21="","",IF(IF(F21="",0,F21)=0,"",ROUND(Y21/F21,2)))</f>
        <v>0</v>
      </c>
      <c r="AD21" s="39">
        <f>IF(B21="","",IF(D21="","Add - who is this run for?",IF(IF(F21="",H21="",FALSE),"Add - no hours and no commission",IF(AB21&lt;-0.004,"Check - more commission paid than earned",IF(M21&lt;&gt;"Yes","Due - not paid yet",IF(N21="","Check - marked paid, no date","OK"))))))</f>
        <v>0</v>
      </c>
    </row>
    <row r="22" spans="1:30">
      <c r="A22" s="28">
        <f>IF(B22="","",PayrollPrefix&amp;TEXT(ROW()-4,"0000"))</f>
        <v>0</v>
      </c>
      <c r="E22" s="15">
        <f>IF(D22="","",IFERROR(INDEX(Staff!$B$5:$B$44,MATCH(D22,Staff!$A$5:$A$44,0)),"Not in Staff"))</f>
        <v>0</v>
      </c>
      <c r="Q22" s="15">
        <f>IF(B22="","",TEXT(B22,"yyyy-mm"))</f>
        <v>0</v>
      </c>
      <c r="R22" s="25">
        <f>IF(B22="","",WEEKNUM(B22,2))</f>
        <v>0</v>
      </c>
      <c r="S22" s="26">
        <f>IF(B22="","",IF(G22&lt;&gt;"",G22,IFERROR(IF(INDEX(Staff!$P$5:$P$44,MATCH(D22,Staff!$A$5:$A$44,0))="",DefaultHourly,INDEX(Staff!$P$5:$P$44,MATCH(D22,Staff!$A$5:$A$44,0))),DefaultHourly)))</f>
        <v>0</v>
      </c>
      <c r="T22" s="26">
        <f>IF(B22="","",ROUND(IF(F22="",0,F22)*S22,2))</f>
        <v>0</v>
      </c>
      <c r="U22" s="26">
        <f>IF(B22="","",ROUND(T22+IF(H22="",0,H22)+IF(J22="",0,J22)+IF(K22="",0,K22),2))</f>
        <v>0</v>
      </c>
      <c r="V22" s="26">
        <f>IF(B22="","",ROUND(U22-IF(L22="",0,L22),2))</f>
        <v>0</v>
      </c>
      <c r="W22" s="26">
        <f>IF(B22="","",ROUND(V22+IF(I22="",0,I22),2))</f>
        <v>0</v>
      </c>
      <c r="X22" s="26">
        <f>IF(B22="","",IF(IFERROR(INDEX(Staff!$E$5:$E$44,MATCH(D22,Staff!$A$5:$A$44,0))&amp;"","")="Self-employed",0,IF(IFERROR(INDEX(Staff!$E$5:$E$44,MATCH(D22,Staff!$A$5:$A$44,0))&amp;"","")="Chair renter",0,ROUND(U22*PayrollBurden,2))))</f>
        <v>0</v>
      </c>
      <c r="Y22" s="26">
        <f>IF(B22="","",ROUND(U22+X22,2))</f>
        <v>0</v>
      </c>
      <c r="Z22" s="26">
        <f>IF(B22="","",ROUND(SUMIFS(Commissions!$X$5:$X$244,Commissions!$C$5:$C$244,D22,Commissions!$B$5:$B$244,Q22),2))</f>
        <v>0</v>
      </c>
      <c r="AA22" s="26">
        <f>IF(B22="","",ROUND(SUMIFS($H$5:$H$364,$D$5:$D$364,D22,$Q$5:$Q$364,Q22),2))</f>
        <v>0</v>
      </c>
      <c r="AB22" s="26">
        <f>IF(B22="","",ROUND(Z22-AA22,2))</f>
        <v>0</v>
      </c>
      <c r="AC22" s="26">
        <f>IF(B22="","",IF(IF(F22="",0,F22)=0,"",ROUND(Y22/F22,2)))</f>
        <v>0</v>
      </c>
      <c r="AD22" s="39">
        <f>IF(B22="","",IF(D22="","Add - who is this run for?",IF(IF(F22="",H22="",FALSE),"Add - no hours and no commission",IF(AB22&lt;-0.004,"Check - more commission paid than earned",IF(M22&lt;&gt;"Yes","Due - not paid yet",IF(N22="","Check - marked paid, no date","OK"))))))</f>
        <v>0</v>
      </c>
    </row>
    <row r="23" spans="1:30">
      <c r="A23" s="28">
        <f>IF(B23="","",PayrollPrefix&amp;TEXT(ROW()-4,"0000"))</f>
        <v>0</v>
      </c>
      <c r="E23" s="15">
        <f>IF(D23="","",IFERROR(INDEX(Staff!$B$5:$B$44,MATCH(D23,Staff!$A$5:$A$44,0)),"Not in Staff"))</f>
        <v>0</v>
      </c>
      <c r="Q23" s="15">
        <f>IF(B23="","",TEXT(B23,"yyyy-mm"))</f>
        <v>0</v>
      </c>
      <c r="R23" s="25">
        <f>IF(B23="","",WEEKNUM(B23,2))</f>
        <v>0</v>
      </c>
      <c r="S23" s="26">
        <f>IF(B23="","",IF(G23&lt;&gt;"",G23,IFERROR(IF(INDEX(Staff!$P$5:$P$44,MATCH(D23,Staff!$A$5:$A$44,0))="",DefaultHourly,INDEX(Staff!$P$5:$P$44,MATCH(D23,Staff!$A$5:$A$44,0))),DefaultHourly)))</f>
        <v>0</v>
      </c>
      <c r="T23" s="26">
        <f>IF(B23="","",ROUND(IF(F23="",0,F23)*S23,2))</f>
        <v>0</v>
      </c>
      <c r="U23" s="26">
        <f>IF(B23="","",ROUND(T23+IF(H23="",0,H23)+IF(J23="",0,J23)+IF(K23="",0,K23),2))</f>
        <v>0</v>
      </c>
      <c r="V23" s="26">
        <f>IF(B23="","",ROUND(U23-IF(L23="",0,L23),2))</f>
        <v>0</v>
      </c>
      <c r="W23" s="26">
        <f>IF(B23="","",ROUND(V23+IF(I23="",0,I23),2))</f>
        <v>0</v>
      </c>
      <c r="X23" s="26">
        <f>IF(B23="","",IF(IFERROR(INDEX(Staff!$E$5:$E$44,MATCH(D23,Staff!$A$5:$A$44,0))&amp;"","")="Self-employed",0,IF(IFERROR(INDEX(Staff!$E$5:$E$44,MATCH(D23,Staff!$A$5:$A$44,0))&amp;"","")="Chair renter",0,ROUND(U23*PayrollBurden,2))))</f>
        <v>0</v>
      </c>
      <c r="Y23" s="26">
        <f>IF(B23="","",ROUND(U23+X23,2))</f>
        <v>0</v>
      </c>
      <c r="Z23" s="26">
        <f>IF(B23="","",ROUND(SUMIFS(Commissions!$X$5:$X$244,Commissions!$C$5:$C$244,D23,Commissions!$B$5:$B$244,Q23),2))</f>
        <v>0</v>
      </c>
      <c r="AA23" s="26">
        <f>IF(B23="","",ROUND(SUMIFS($H$5:$H$364,$D$5:$D$364,D23,$Q$5:$Q$364,Q23),2))</f>
        <v>0</v>
      </c>
      <c r="AB23" s="26">
        <f>IF(B23="","",ROUND(Z23-AA23,2))</f>
        <v>0</v>
      </c>
      <c r="AC23" s="26">
        <f>IF(B23="","",IF(IF(F23="",0,F23)=0,"",ROUND(Y23/F23,2)))</f>
        <v>0</v>
      </c>
      <c r="AD23" s="39">
        <f>IF(B23="","",IF(D23="","Add - who is this run for?",IF(IF(F23="",H23="",FALSE),"Add - no hours and no commission",IF(AB23&lt;-0.004,"Check - more commission paid than earned",IF(M23&lt;&gt;"Yes","Due - not paid yet",IF(N23="","Check - marked paid, no date","OK"))))))</f>
        <v>0</v>
      </c>
    </row>
    <row r="24" spans="1:30">
      <c r="A24" s="28">
        <f>IF(B24="","",PayrollPrefix&amp;TEXT(ROW()-4,"0000"))</f>
        <v>0</v>
      </c>
      <c r="E24" s="15">
        <f>IF(D24="","",IFERROR(INDEX(Staff!$B$5:$B$44,MATCH(D24,Staff!$A$5:$A$44,0)),"Not in Staff"))</f>
        <v>0</v>
      </c>
      <c r="Q24" s="15">
        <f>IF(B24="","",TEXT(B24,"yyyy-mm"))</f>
        <v>0</v>
      </c>
      <c r="R24" s="25">
        <f>IF(B24="","",WEEKNUM(B24,2))</f>
        <v>0</v>
      </c>
      <c r="S24" s="26">
        <f>IF(B24="","",IF(G24&lt;&gt;"",G24,IFERROR(IF(INDEX(Staff!$P$5:$P$44,MATCH(D24,Staff!$A$5:$A$44,0))="",DefaultHourly,INDEX(Staff!$P$5:$P$44,MATCH(D24,Staff!$A$5:$A$44,0))),DefaultHourly)))</f>
        <v>0</v>
      </c>
      <c r="T24" s="26">
        <f>IF(B24="","",ROUND(IF(F24="",0,F24)*S24,2))</f>
        <v>0</v>
      </c>
      <c r="U24" s="26">
        <f>IF(B24="","",ROUND(T24+IF(H24="",0,H24)+IF(J24="",0,J24)+IF(K24="",0,K24),2))</f>
        <v>0</v>
      </c>
      <c r="V24" s="26">
        <f>IF(B24="","",ROUND(U24-IF(L24="",0,L24),2))</f>
        <v>0</v>
      </c>
      <c r="W24" s="26">
        <f>IF(B24="","",ROUND(V24+IF(I24="",0,I24),2))</f>
        <v>0</v>
      </c>
      <c r="X24" s="26">
        <f>IF(B24="","",IF(IFERROR(INDEX(Staff!$E$5:$E$44,MATCH(D24,Staff!$A$5:$A$44,0))&amp;"","")="Self-employed",0,IF(IFERROR(INDEX(Staff!$E$5:$E$44,MATCH(D24,Staff!$A$5:$A$44,0))&amp;"","")="Chair renter",0,ROUND(U24*PayrollBurden,2))))</f>
        <v>0</v>
      </c>
      <c r="Y24" s="26">
        <f>IF(B24="","",ROUND(U24+X24,2))</f>
        <v>0</v>
      </c>
      <c r="Z24" s="26">
        <f>IF(B24="","",ROUND(SUMIFS(Commissions!$X$5:$X$244,Commissions!$C$5:$C$244,D24,Commissions!$B$5:$B$244,Q24),2))</f>
        <v>0</v>
      </c>
      <c r="AA24" s="26">
        <f>IF(B24="","",ROUND(SUMIFS($H$5:$H$364,$D$5:$D$364,D24,$Q$5:$Q$364,Q24),2))</f>
        <v>0</v>
      </c>
      <c r="AB24" s="26">
        <f>IF(B24="","",ROUND(Z24-AA24,2))</f>
        <v>0</v>
      </c>
      <c r="AC24" s="26">
        <f>IF(B24="","",IF(IF(F24="",0,F24)=0,"",ROUND(Y24/F24,2)))</f>
        <v>0</v>
      </c>
      <c r="AD24" s="39">
        <f>IF(B24="","",IF(D24="","Add - who is this run for?",IF(IF(F24="",H24="",FALSE),"Add - no hours and no commission",IF(AB24&lt;-0.004,"Check - more commission paid than earned",IF(M24&lt;&gt;"Yes","Due - not paid yet",IF(N24="","Check - marked paid, no date","OK"))))))</f>
        <v>0</v>
      </c>
    </row>
    <row r="25" spans="1:30">
      <c r="A25" s="28">
        <f>IF(B25="","",PayrollPrefix&amp;TEXT(ROW()-4,"0000"))</f>
        <v>0</v>
      </c>
      <c r="E25" s="15">
        <f>IF(D25="","",IFERROR(INDEX(Staff!$B$5:$B$44,MATCH(D25,Staff!$A$5:$A$44,0)),"Not in Staff"))</f>
        <v>0</v>
      </c>
      <c r="Q25" s="15">
        <f>IF(B25="","",TEXT(B25,"yyyy-mm"))</f>
        <v>0</v>
      </c>
      <c r="R25" s="25">
        <f>IF(B25="","",WEEKNUM(B25,2))</f>
        <v>0</v>
      </c>
      <c r="S25" s="26">
        <f>IF(B25="","",IF(G25&lt;&gt;"",G25,IFERROR(IF(INDEX(Staff!$P$5:$P$44,MATCH(D25,Staff!$A$5:$A$44,0))="",DefaultHourly,INDEX(Staff!$P$5:$P$44,MATCH(D25,Staff!$A$5:$A$44,0))),DefaultHourly)))</f>
        <v>0</v>
      </c>
      <c r="T25" s="26">
        <f>IF(B25="","",ROUND(IF(F25="",0,F25)*S25,2))</f>
        <v>0</v>
      </c>
      <c r="U25" s="26">
        <f>IF(B25="","",ROUND(T25+IF(H25="",0,H25)+IF(J25="",0,J25)+IF(K25="",0,K25),2))</f>
        <v>0</v>
      </c>
      <c r="V25" s="26">
        <f>IF(B25="","",ROUND(U25-IF(L25="",0,L25),2))</f>
        <v>0</v>
      </c>
      <c r="W25" s="26">
        <f>IF(B25="","",ROUND(V25+IF(I25="",0,I25),2))</f>
        <v>0</v>
      </c>
      <c r="X25" s="26">
        <f>IF(B25="","",IF(IFERROR(INDEX(Staff!$E$5:$E$44,MATCH(D25,Staff!$A$5:$A$44,0))&amp;"","")="Self-employed",0,IF(IFERROR(INDEX(Staff!$E$5:$E$44,MATCH(D25,Staff!$A$5:$A$44,0))&amp;"","")="Chair renter",0,ROUND(U25*PayrollBurden,2))))</f>
        <v>0</v>
      </c>
      <c r="Y25" s="26">
        <f>IF(B25="","",ROUND(U25+X25,2))</f>
        <v>0</v>
      </c>
      <c r="Z25" s="26">
        <f>IF(B25="","",ROUND(SUMIFS(Commissions!$X$5:$X$244,Commissions!$C$5:$C$244,D25,Commissions!$B$5:$B$244,Q25),2))</f>
        <v>0</v>
      </c>
      <c r="AA25" s="26">
        <f>IF(B25="","",ROUND(SUMIFS($H$5:$H$364,$D$5:$D$364,D25,$Q$5:$Q$364,Q25),2))</f>
        <v>0</v>
      </c>
      <c r="AB25" s="26">
        <f>IF(B25="","",ROUND(Z25-AA25,2))</f>
        <v>0</v>
      </c>
      <c r="AC25" s="26">
        <f>IF(B25="","",IF(IF(F25="",0,F25)=0,"",ROUND(Y25/F25,2)))</f>
        <v>0</v>
      </c>
      <c r="AD25" s="39">
        <f>IF(B25="","",IF(D25="","Add - who is this run for?",IF(IF(F25="",H25="",FALSE),"Add - no hours and no commission",IF(AB25&lt;-0.004,"Check - more commission paid than earned",IF(M25&lt;&gt;"Yes","Due - not paid yet",IF(N25="","Check - marked paid, no date","OK"))))))</f>
        <v>0</v>
      </c>
    </row>
    <row r="26" spans="1:30">
      <c r="A26" s="28">
        <f>IF(B26="","",PayrollPrefix&amp;TEXT(ROW()-4,"0000"))</f>
        <v>0</v>
      </c>
      <c r="E26" s="15">
        <f>IF(D26="","",IFERROR(INDEX(Staff!$B$5:$B$44,MATCH(D26,Staff!$A$5:$A$44,0)),"Not in Staff"))</f>
        <v>0</v>
      </c>
      <c r="Q26" s="15">
        <f>IF(B26="","",TEXT(B26,"yyyy-mm"))</f>
        <v>0</v>
      </c>
      <c r="R26" s="25">
        <f>IF(B26="","",WEEKNUM(B26,2))</f>
        <v>0</v>
      </c>
      <c r="S26" s="26">
        <f>IF(B26="","",IF(G26&lt;&gt;"",G26,IFERROR(IF(INDEX(Staff!$P$5:$P$44,MATCH(D26,Staff!$A$5:$A$44,0))="",DefaultHourly,INDEX(Staff!$P$5:$P$44,MATCH(D26,Staff!$A$5:$A$44,0))),DefaultHourly)))</f>
        <v>0</v>
      </c>
      <c r="T26" s="26">
        <f>IF(B26="","",ROUND(IF(F26="",0,F26)*S26,2))</f>
        <v>0</v>
      </c>
      <c r="U26" s="26">
        <f>IF(B26="","",ROUND(T26+IF(H26="",0,H26)+IF(J26="",0,J26)+IF(K26="",0,K26),2))</f>
        <v>0</v>
      </c>
      <c r="V26" s="26">
        <f>IF(B26="","",ROUND(U26-IF(L26="",0,L26),2))</f>
        <v>0</v>
      </c>
      <c r="W26" s="26">
        <f>IF(B26="","",ROUND(V26+IF(I26="",0,I26),2))</f>
        <v>0</v>
      </c>
      <c r="X26" s="26">
        <f>IF(B26="","",IF(IFERROR(INDEX(Staff!$E$5:$E$44,MATCH(D26,Staff!$A$5:$A$44,0))&amp;"","")="Self-employed",0,IF(IFERROR(INDEX(Staff!$E$5:$E$44,MATCH(D26,Staff!$A$5:$A$44,0))&amp;"","")="Chair renter",0,ROUND(U26*PayrollBurden,2))))</f>
        <v>0</v>
      </c>
      <c r="Y26" s="26">
        <f>IF(B26="","",ROUND(U26+X26,2))</f>
        <v>0</v>
      </c>
      <c r="Z26" s="26">
        <f>IF(B26="","",ROUND(SUMIFS(Commissions!$X$5:$X$244,Commissions!$C$5:$C$244,D26,Commissions!$B$5:$B$244,Q26),2))</f>
        <v>0</v>
      </c>
      <c r="AA26" s="26">
        <f>IF(B26="","",ROUND(SUMIFS($H$5:$H$364,$D$5:$D$364,D26,$Q$5:$Q$364,Q26),2))</f>
        <v>0</v>
      </c>
      <c r="AB26" s="26">
        <f>IF(B26="","",ROUND(Z26-AA26,2))</f>
        <v>0</v>
      </c>
      <c r="AC26" s="26">
        <f>IF(B26="","",IF(IF(F26="",0,F26)=0,"",ROUND(Y26/F26,2)))</f>
        <v>0</v>
      </c>
      <c r="AD26" s="39">
        <f>IF(B26="","",IF(D26="","Add - who is this run for?",IF(IF(F26="",H26="",FALSE),"Add - no hours and no commission",IF(AB26&lt;-0.004,"Check - more commission paid than earned",IF(M26&lt;&gt;"Yes","Due - not paid yet",IF(N26="","Check - marked paid, no date","OK"))))))</f>
        <v>0</v>
      </c>
    </row>
    <row r="27" spans="1:30">
      <c r="A27" s="28">
        <f>IF(B27="","",PayrollPrefix&amp;TEXT(ROW()-4,"0000"))</f>
        <v>0</v>
      </c>
      <c r="E27" s="15">
        <f>IF(D27="","",IFERROR(INDEX(Staff!$B$5:$B$44,MATCH(D27,Staff!$A$5:$A$44,0)),"Not in Staff"))</f>
        <v>0</v>
      </c>
      <c r="Q27" s="15">
        <f>IF(B27="","",TEXT(B27,"yyyy-mm"))</f>
        <v>0</v>
      </c>
      <c r="R27" s="25">
        <f>IF(B27="","",WEEKNUM(B27,2))</f>
        <v>0</v>
      </c>
      <c r="S27" s="26">
        <f>IF(B27="","",IF(G27&lt;&gt;"",G27,IFERROR(IF(INDEX(Staff!$P$5:$P$44,MATCH(D27,Staff!$A$5:$A$44,0))="",DefaultHourly,INDEX(Staff!$P$5:$P$44,MATCH(D27,Staff!$A$5:$A$44,0))),DefaultHourly)))</f>
        <v>0</v>
      </c>
      <c r="T27" s="26">
        <f>IF(B27="","",ROUND(IF(F27="",0,F27)*S27,2))</f>
        <v>0</v>
      </c>
      <c r="U27" s="26">
        <f>IF(B27="","",ROUND(T27+IF(H27="",0,H27)+IF(J27="",0,J27)+IF(K27="",0,K27),2))</f>
        <v>0</v>
      </c>
      <c r="V27" s="26">
        <f>IF(B27="","",ROUND(U27-IF(L27="",0,L27),2))</f>
        <v>0</v>
      </c>
      <c r="W27" s="26">
        <f>IF(B27="","",ROUND(V27+IF(I27="",0,I27),2))</f>
        <v>0</v>
      </c>
      <c r="X27" s="26">
        <f>IF(B27="","",IF(IFERROR(INDEX(Staff!$E$5:$E$44,MATCH(D27,Staff!$A$5:$A$44,0))&amp;"","")="Self-employed",0,IF(IFERROR(INDEX(Staff!$E$5:$E$44,MATCH(D27,Staff!$A$5:$A$44,0))&amp;"","")="Chair renter",0,ROUND(U27*PayrollBurden,2))))</f>
        <v>0</v>
      </c>
      <c r="Y27" s="26">
        <f>IF(B27="","",ROUND(U27+X27,2))</f>
        <v>0</v>
      </c>
      <c r="Z27" s="26">
        <f>IF(B27="","",ROUND(SUMIFS(Commissions!$X$5:$X$244,Commissions!$C$5:$C$244,D27,Commissions!$B$5:$B$244,Q27),2))</f>
        <v>0</v>
      </c>
      <c r="AA27" s="26">
        <f>IF(B27="","",ROUND(SUMIFS($H$5:$H$364,$D$5:$D$364,D27,$Q$5:$Q$364,Q27),2))</f>
        <v>0</v>
      </c>
      <c r="AB27" s="26">
        <f>IF(B27="","",ROUND(Z27-AA27,2))</f>
        <v>0</v>
      </c>
      <c r="AC27" s="26">
        <f>IF(B27="","",IF(IF(F27="",0,F27)=0,"",ROUND(Y27/F27,2)))</f>
        <v>0</v>
      </c>
      <c r="AD27" s="39">
        <f>IF(B27="","",IF(D27="","Add - who is this run for?",IF(IF(F27="",H27="",FALSE),"Add - no hours and no commission",IF(AB27&lt;-0.004,"Check - more commission paid than earned",IF(M27&lt;&gt;"Yes","Due - not paid yet",IF(N27="","Check - marked paid, no date","OK"))))))</f>
        <v>0</v>
      </c>
    </row>
    <row r="28" spans="1:30">
      <c r="A28" s="28">
        <f>IF(B28="","",PayrollPrefix&amp;TEXT(ROW()-4,"0000"))</f>
        <v>0</v>
      </c>
      <c r="E28" s="15">
        <f>IF(D28="","",IFERROR(INDEX(Staff!$B$5:$B$44,MATCH(D28,Staff!$A$5:$A$44,0)),"Not in Staff"))</f>
        <v>0</v>
      </c>
      <c r="Q28" s="15">
        <f>IF(B28="","",TEXT(B28,"yyyy-mm"))</f>
        <v>0</v>
      </c>
      <c r="R28" s="25">
        <f>IF(B28="","",WEEKNUM(B28,2))</f>
        <v>0</v>
      </c>
      <c r="S28" s="26">
        <f>IF(B28="","",IF(G28&lt;&gt;"",G28,IFERROR(IF(INDEX(Staff!$P$5:$P$44,MATCH(D28,Staff!$A$5:$A$44,0))="",DefaultHourly,INDEX(Staff!$P$5:$P$44,MATCH(D28,Staff!$A$5:$A$44,0))),DefaultHourly)))</f>
        <v>0</v>
      </c>
      <c r="T28" s="26">
        <f>IF(B28="","",ROUND(IF(F28="",0,F28)*S28,2))</f>
        <v>0</v>
      </c>
      <c r="U28" s="26">
        <f>IF(B28="","",ROUND(T28+IF(H28="",0,H28)+IF(J28="",0,J28)+IF(K28="",0,K28),2))</f>
        <v>0</v>
      </c>
      <c r="V28" s="26">
        <f>IF(B28="","",ROUND(U28-IF(L28="",0,L28),2))</f>
        <v>0</v>
      </c>
      <c r="W28" s="26">
        <f>IF(B28="","",ROUND(V28+IF(I28="",0,I28),2))</f>
        <v>0</v>
      </c>
      <c r="X28" s="26">
        <f>IF(B28="","",IF(IFERROR(INDEX(Staff!$E$5:$E$44,MATCH(D28,Staff!$A$5:$A$44,0))&amp;"","")="Self-employed",0,IF(IFERROR(INDEX(Staff!$E$5:$E$44,MATCH(D28,Staff!$A$5:$A$44,0))&amp;"","")="Chair renter",0,ROUND(U28*PayrollBurden,2))))</f>
        <v>0</v>
      </c>
      <c r="Y28" s="26">
        <f>IF(B28="","",ROUND(U28+X28,2))</f>
        <v>0</v>
      </c>
      <c r="Z28" s="26">
        <f>IF(B28="","",ROUND(SUMIFS(Commissions!$X$5:$X$244,Commissions!$C$5:$C$244,D28,Commissions!$B$5:$B$244,Q28),2))</f>
        <v>0</v>
      </c>
      <c r="AA28" s="26">
        <f>IF(B28="","",ROUND(SUMIFS($H$5:$H$364,$D$5:$D$364,D28,$Q$5:$Q$364,Q28),2))</f>
        <v>0</v>
      </c>
      <c r="AB28" s="26">
        <f>IF(B28="","",ROUND(Z28-AA28,2))</f>
        <v>0</v>
      </c>
      <c r="AC28" s="26">
        <f>IF(B28="","",IF(IF(F28="",0,F28)=0,"",ROUND(Y28/F28,2)))</f>
        <v>0</v>
      </c>
      <c r="AD28" s="39">
        <f>IF(B28="","",IF(D28="","Add - who is this run for?",IF(IF(F28="",H28="",FALSE),"Add - no hours and no commission",IF(AB28&lt;-0.004,"Check - more commission paid than earned",IF(M28&lt;&gt;"Yes","Due - not paid yet",IF(N28="","Check - marked paid, no date","OK"))))))</f>
        <v>0</v>
      </c>
    </row>
    <row r="29" spans="1:30">
      <c r="A29" s="28">
        <f>IF(B29="","",PayrollPrefix&amp;TEXT(ROW()-4,"0000"))</f>
        <v>0</v>
      </c>
      <c r="E29" s="15">
        <f>IF(D29="","",IFERROR(INDEX(Staff!$B$5:$B$44,MATCH(D29,Staff!$A$5:$A$44,0)),"Not in Staff"))</f>
        <v>0</v>
      </c>
      <c r="Q29" s="15">
        <f>IF(B29="","",TEXT(B29,"yyyy-mm"))</f>
        <v>0</v>
      </c>
      <c r="R29" s="25">
        <f>IF(B29="","",WEEKNUM(B29,2))</f>
        <v>0</v>
      </c>
      <c r="S29" s="26">
        <f>IF(B29="","",IF(G29&lt;&gt;"",G29,IFERROR(IF(INDEX(Staff!$P$5:$P$44,MATCH(D29,Staff!$A$5:$A$44,0))="",DefaultHourly,INDEX(Staff!$P$5:$P$44,MATCH(D29,Staff!$A$5:$A$44,0))),DefaultHourly)))</f>
        <v>0</v>
      </c>
      <c r="T29" s="26">
        <f>IF(B29="","",ROUND(IF(F29="",0,F29)*S29,2))</f>
        <v>0</v>
      </c>
      <c r="U29" s="26">
        <f>IF(B29="","",ROUND(T29+IF(H29="",0,H29)+IF(J29="",0,J29)+IF(K29="",0,K29),2))</f>
        <v>0</v>
      </c>
      <c r="V29" s="26">
        <f>IF(B29="","",ROUND(U29-IF(L29="",0,L29),2))</f>
        <v>0</v>
      </c>
      <c r="W29" s="26">
        <f>IF(B29="","",ROUND(V29+IF(I29="",0,I29),2))</f>
        <v>0</v>
      </c>
      <c r="X29" s="26">
        <f>IF(B29="","",IF(IFERROR(INDEX(Staff!$E$5:$E$44,MATCH(D29,Staff!$A$5:$A$44,0))&amp;"","")="Self-employed",0,IF(IFERROR(INDEX(Staff!$E$5:$E$44,MATCH(D29,Staff!$A$5:$A$44,0))&amp;"","")="Chair renter",0,ROUND(U29*PayrollBurden,2))))</f>
        <v>0</v>
      </c>
      <c r="Y29" s="26">
        <f>IF(B29="","",ROUND(U29+X29,2))</f>
        <v>0</v>
      </c>
      <c r="Z29" s="26">
        <f>IF(B29="","",ROUND(SUMIFS(Commissions!$X$5:$X$244,Commissions!$C$5:$C$244,D29,Commissions!$B$5:$B$244,Q29),2))</f>
        <v>0</v>
      </c>
      <c r="AA29" s="26">
        <f>IF(B29="","",ROUND(SUMIFS($H$5:$H$364,$D$5:$D$364,D29,$Q$5:$Q$364,Q29),2))</f>
        <v>0</v>
      </c>
      <c r="AB29" s="26">
        <f>IF(B29="","",ROUND(Z29-AA29,2))</f>
        <v>0</v>
      </c>
      <c r="AC29" s="26">
        <f>IF(B29="","",IF(IF(F29="",0,F29)=0,"",ROUND(Y29/F29,2)))</f>
        <v>0</v>
      </c>
      <c r="AD29" s="39">
        <f>IF(B29="","",IF(D29="","Add - who is this run for?",IF(IF(F29="",H29="",FALSE),"Add - no hours and no commission",IF(AB29&lt;-0.004,"Check - more commission paid than earned",IF(M29&lt;&gt;"Yes","Due - not paid yet",IF(N29="","Check - marked paid, no date","OK"))))))</f>
        <v>0</v>
      </c>
    </row>
    <row r="30" spans="1:30">
      <c r="A30" s="28">
        <f>IF(B30="","",PayrollPrefix&amp;TEXT(ROW()-4,"0000"))</f>
        <v>0</v>
      </c>
      <c r="E30" s="15">
        <f>IF(D30="","",IFERROR(INDEX(Staff!$B$5:$B$44,MATCH(D30,Staff!$A$5:$A$44,0)),"Not in Staff"))</f>
        <v>0</v>
      </c>
      <c r="Q30" s="15">
        <f>IF(B30="","",TEXT(B30,"yyyy-mm"))</f>
        <v>0</v>
      </c>
      <c r="R30" s="25">
        <f>IF(B30="","",WEEKNUM(B30,2))</f>
        <v>0</v>
      </c>
      <c r="S30" s="26">
        <f>IF(B30="","",IF(G30&lt;&gt;"",G30,IFERROR(IF(INDEX(Staff!$P$5:$P$44,MATCH(D30,Staff!$A$5:$A$44,0))="",DefaultHourly,INDEX(Staff!$P$5:$P$44,MATCH(D30,Staff!$A$5:$A$44,0))),DefaultHourly)))</f>
        <v>0</v>
      </c>
      <c r="T30" s="26">
        <f>IF(B30="","",ROUND(IF(F30="",0,F30)*S30,2))</f>
        <v>0</v>
      </c>
      <c r="U30" s="26">
        <f>IF(B30="","",ROUND(T30+IF(H30="",0,H30)+IF(J30="",0,J30)+IF(K30="",0,K30),2))</f>
        <v>0</v>
      </c>
      <c r="V30" s="26">
        <f>IF(B30="","",ROUND(U30-IF(L30="",0,L30),2))</f>
        <v>0</v>
      </c>
      <c r="W30" s="26">
        <f>IF(B30="","",ROUND(V30+IF(I30="",0,I30),2))</f>
        <v>0</v>
      </c>
      <c r="X30" s="26">
        <f>IF(B30="","",IF(IFERROR(INDEX(Staff!$E$5:$E$44,MATCH(D30,Staff!$A$5:$A$44,0))&amp;"","")="Self-employed",0,IF(IFERROR(INDEX(Staff!$E$5:$E$44,MATCH(D30,Staff!$A$5:$A$44,0))&amp;"","")="Chair renter",0,ROUND(U30*PayrollBurden,2))))</f>
        <v>0</v>
      </c>
      <c r="Y30" s="26">
        <f>IF(B30="","",ROUND(U30+X30,2))</f>
        <v>0</v>
      </c>
      <c r="Z30" s="26">
        <f>IF(B30="","",ROUND(SUMIFS(Commissions!$X$5:$X$244,Commissions!$C$5:$C$244,D30,Commissions!$B$5:$B$244,Q30),2))</f>
        <v>0</v>
      </c>
      <c r="AA30" s="26">
        <f>IF(B30="","",ROUND(SUMIFS($H$5:$H$364,$D$5:$D$364,D30,$Q$5:$Q$364,Q30),2))</f>
        <v>0</v>
      </c>
      <c r="AB30" s="26">
        <f>IF(B30="","",ROUND(Z30-AA30,2))</f>
        <v>0</v>
      </c>
      <c r="AC30" s="26">
        <f>IF(B30="","",IF(IF(F30="",0,F30)=0,"",ROUND(Y30/F30,2)))</f>
        <v>0</v>
      </c>
      <c r="AD30" s="39">
        <f>IF(B30="","",IF(D30="","Add - who is this run for?",IF(IF(F30="",H30="",FALSE),"Add - no hours and no commission",IF(AB30&lt;-0.004,"Check - more commission paid than earned",IF(M30&lt;&gt;"Yes","Due - not paid yet",IF(N30="","Check - marked paid, no date","OK"))))))</f>
        <v>0</v>
      </c>
    </row>
    <row r="31" spans="1:30">
      <c r="A31" s="28">
        <f>IF(B31="","",PayrollPrefix&amp;TEXT(ROW()-4,"0000"))</f>
        <v>0</v>
      </c>
      <c r="E31" s="15">
        <f>IF(D31="","",IFERROR(INDEX(Staff!$B$5:$B$44,MATCH(D31,Staff!$A$5:$A$44,0)),"Not in Staff"))</f>
        <v>0</v>
      </c>
      <c r="Q31" s="15">
        <f>IF(B31="","",TEXT(B31,"yyyy-mm"))</f>
        <v>0</v>
      </c>
      <c r="R31" s="25">
        <f>IF(B31="","",WEEKNUM(B31,2))</f>
        <v>0</v>
      </c>
      <c r="S31" s="26">
        <f>IF(B31="","",IF(G31&lt;&gt;"",G31,IFERROR(IF(INDEX(Staff!$P$5:$P$44,MATCH(D31,Staff!$A$5:$A$44,0))="",DefaultHourly,INDEX(Staff!$P$5:$P$44,MATCH(D31,Staff!$A$5:$A$44,0))),DefaultHourly)))</f>
        <v>0</v>
      </c>
      <c r="T31" s="26">
        <f>IF(B31="","",ROUND(IF(F31="",0,F31)*S31,2))</f>
        <v>0</v>
      </c>
      <c r="U31" s="26">
        <f>IF(B31="","",ROUND(T31+IF(H31="",0,H31)+IF(J31="",0,J31)+IF(K31="",0,K31),2))</f>
        <v>0</v>
      </c>
      <c r="V31" s="26">
        <f>IF(B31="","",ROUND(U31-IF(L31="",0,L31),2))</f>
        <v>0</v>
      </c>
      <c r="W31" s="26">
        <f>IF(B31="","",ROUND(V31+IF(I31="",0,I31),2))</f>
        <v>0</v>
      </c>
      <c r="X31" s="26">
        <f>IF(B31="","",IF(IFERROR(INDEX(Staff!$E$5:$E$44,MATCH(D31,Staff!$A$5:$A$44,0))&amp;"","")="Self-employed",0,IF(IFERROR(INDEX(Staff!$E$5:$E$44,MATCH(D31,Staff!$A$5:$A$44,0))&amp;"","")="Chair renter",0,ROUND(U31*PayrollBurden,2))))</f>
        <v>0</v>
      </c>
      <c r="Y31" s="26">
        <f>IF(B31="","",ROUND(U31+X31,2))</f>
        <v>0</v>
      </c>
      <c r="Z31" s="26">
        <f>IF(B31="","",ROUND(SUMIFS(Commissions!$X$5:$X$244,Commissions!$C$5:$C$244,D31,Commissions!$B$5:$B$244,Q31),2))</f>
        <v>0</v>
      </c>
      <c r="AA31" s="26">
        <f>IF(B31="","",ROUND(SUMIFS($H$5:$H$364,$D$5:$D$364,D31,$Q$5:$Q$364,Q31),2))</f>
        <v>0</v>
      </c>
      <c r="AB31" s="26">
        <f>IF(B31="","",ROUND(Z31-AA31,2))</f>
        <v>0</v>
      </c>
      <c r="AC31" s="26">
        <f>IF(B31="","",IF(IF(F31="",0,F31)=0,"",ROUND(Y31/F31,2)))</f>
        <v>0</v>
      </c>
      <c r="AD31" s="39">
        <f>IF(B31="","",IF(D31="","Add - who is this run for?",IF(IF(F31="",H31="",FALSE),"Add - no hours and no commission",IF(AB31&lt;-0.004,"Check - more commission paid than earned",IF(M31&lt;&gt;"Yes","Due - not paid yet",IF(N31="","Check - marked paid, no date","OK"))))))</f>
        <v>0</v>
      </c>
    </row>
    <row r="32" spans="1:30">
      <c r="A32" s="28">
        <f>IF(B32="","",PayrollPrefix&amp;TEXT(ROW()-4,"0000"))</f>
        <v>0</v>
      </c>
      <c r="E32" s="15">
        <f>IF(D32="","",IFERROR(INDEX(Staff!$B$5:$B$44,MATCH(D32,Staff!$A$5:$A$44,0)),"Not in Staff"))</f>
        <v>0</v>
      </c>
      <c r="Q32" s="15">
        <f>IF(B32="","",TEXT(B32,"yyyy-mm"))</f>
        <v>0</v>
      </c>
      <c r="R32" s="25">
        <f>IF(B32="","",WEEKNUM(B32,2))</f>
        <v>0</v>
      </c>
      <c r="S32" s="26">
        <f>IF(B32="","",IF(G32&lt;&gt;"",G32,IFERROR(IF(INDEX(Staff!$P$5:$P$44,MATCH(D32,Staff!$A$5:$A$44,0))="",DefaultHourly,INDEX(Staff!$P$5:$P$44,MATCH(D32,Staff!$A$5:$A$44,0))),DefaultHourly)))</f>
        <v>0</v>
      </c>
      <c r="T32" s="26">
        <f>IF(B32="","",ROUND(IF(F32="",0,F32)*S32,2))</f>
        <v>0</v>
      </c>
      <c r="U32" s="26">
        <f>IF(B32="","",ROUND(T32+IF(H32="",0,H32)+IF(J32="",0,J32)+IF(K32="",0,K32),2))</f>
        <v>0</v>
      </c>
      <c r="V32" s="26">
        <f>IF(B32="","",ROUND(U32-IF(L32="",0,L32),2))</f>
        <v>0</v>
      </c>
      <c r="W32" s="26">
        <f>IF(B32="","",ROUND(V32+IF(I32="",0,I32),2))</f>
        <v>0</v>
      </c>
      <c r="X32" s="26">
        <f>IF(B32="","",IF(IFERROR(INDEX(Staff!$E$5:$E$44,MATCH(D32,Staff!$A$5:$A$44,0))&amp;"","")="Self-employed",0,IF(IFERROR(INDEX(Staff!$E$5:$E$44,MATCH(D32,Staff!$A$5:$A$44,0))&amp;"","")="Chair renter",0,ROUND(U32*PayrollBurden,2))))</f>
        <v>0</v>
      </c>
      <c r="Y32" s="26">
        <f>IF(B32="","",ROUND(U32+X32,2))</f>
        <v>0</v>
      </c>
      <c r="Z32" s="26">
        <f>IF(B32="","",ROUND(SUMIFS(Commissions!$X$5:$X$244,Commissions!$C$5:$C$244,D32,Commissions!$B$5:$B$244,Q32),2))</f>
        <v>0</v>
      </c>
      <c r="AA32" s="26">
        <f>IF(B32="","",ROUND(SUMIFS($H$5:$H$364,$D$5:$D$364,D32,$Q$5:$Q$364,Q32),2))</f>
        <v>0</v>
      </c>
      <c r="AB32" s="26">
        <f>IF(B32="","",ROUND(Z32-AA32,2))</f>
        <v>0</v>
      </c>
      <c r="AC32" s="26">
        <f>IF(B32="","",IF(IF(F32="",0,F32)=0,"",ROUND(Y32/F32,2)))</f>
        <v>0</v>
      </c>
      <c r="AD32" s="39">
        <f>IF(B32="","",IF(D32="","Add - who is this run for?",IF(IF(F32="",H32="",FALSE),"Add - no hours and no commission",IF(AB32&lt;-0.004,"Check - more commission paid than earned",IF(M32&lt;&gt;"Yes","Due - not paid yet",IF(N32="","Check - marked paid, no date","OK"))))))</f>
        <v>0</v>
      </c>
    </row>
    <row r="33" spans="1:30">
      <c r="A33" s="28">
        <f>IF(B33="","",PayrollPrefix&amp;TEXT(ROW()-4,"0000"))</f>
        <v>0</v>
      </c>
      <c r="E33" s="15">
        <f>IF(D33="","",IFERROR(INDEX(Staff!$B$5:$B$44,MATCH(D33,Staff!$A$5:$A$44,0)),"Not in Staff"))</f>
        <v>0</v>
      </c>
      <c r="Q33" s="15">
        <f>IF(B33="","",TEXT(B33,"yyyy-mm"))</f>
        <v>0</v>
      </c>
      <c r="R33" s="25">
        <f>IF(B33="","",WEEKNUM(B33,2))</f>
        <v>0</v>
      </c>
      <c r="S33" s="26">
        <f>IF(B33="","",IF(G33&lt;&gt;"",G33,IFERROR(IF(INDEX(Staff!$P$5:$P$44,MATCH(D33,Staff!$A$5:$A$44,0))="",DefaultHourly,INDEX(Staff!$P$5:$P$44,MATCH(D33,Staff!$A$5:$A$44,0))),DefaultHourly)))</f>
        <v>0</v>
      </c>
      <c r="T33" s="26">
        <f>IF(B33="","",ROUND(IF(F33="",0,F33)*S33,2))</f>
        <v>0</v>
      </c>
      <c r="U33" s="26">
        <f>IF(B33="","",ROUND(T33+IF(H33="",0,H33)+IF(J33="",0,J33)+IF(K33="",0,K33),2))</f>
        <v>0</v>
      </c>
      <c r="V33" s="26">
        <f>IF(B33="","",ROUND(U33-IF(L33="",0,L33),2))</f>
        <v>0</v>
      </c>
      <c r="W33" s="26">
        <f>IF(B33="","",ROUND(V33+IF(I33="",0,I33),2))</f>
        <v>0</v>
      </c>
      <c r="X33" s="26">
        <f>IF(B33="","",IF(IFERROR(INDEX(Staff!$E$5:$E$44,MATCH(D33,Staff!$A$5:$A$44,0))&amp;"","")="Self-employed",0,IF(IFERROR(INDEX(Staff!$E$5:$E$44,MATCH(D33,Staff!$A$5:$A$44,0))&amp;"","")="Chair renter",0,ROUND(U33*PayrollBurden,2))))</f>
        <v>0</v>
      </c>
      <c r="Y33" s="26">
        <f>IF(B33="","",ROUND(U33+X33,2))</f>
        <v>0</v>
      </c>
      <c r="Z33" s="26">
        <f>IF(B33="","",ROUND(SUMIFS(Commissions!$X$5:$X$244,Commissions!$C$5:$C$244,D33,Commissions!$B$5:$B$244,Q33),2))</f>
        <v>0</v>
      </c>
      <c r="AA33" s="26">
        <f>IF(B33="","",ROUND(SUMIFS($H$5:$H$364,$D$5:$D$364,D33,$Q$5:$Q$364,Q33),2))</f>
        <v>0</v>
      </c>
      <c r="AB33" s="26">
        <f>IF(B33="","",ROUND(Z33-AA33,2))</f>
        <v>0</v>
      </c>
      <c r="AC33" s="26">
        <f>IF(B33="","",IF(IF(F33="",0,F33)=0,"",ROUND(Y33/F33,2)))</f>
        <v>0</v>
      </c>
      <c r="AD33" s="39">
        <f>IF(B33="","",IF(D33="","Add - who is this run for?",IF(IF(F33="",H33="",FALSE),"Add - no hours and no commission",IF(AB33&lt;-0.004,"Check - more commission paid than earned",IF(M33&lt;&gt;"Yes","Due - not paid yet",IF(N33="","Check - marked paid, no date","OK"))))))</f>
        <v>0</v>
      </c>
    </row>
    <row r="34" spans="1:30">
      <c r="A34" s="28">
        <f>IF(B34="","",PayrollPrefix&amp;TEXT(ROW()-4,"0000"))</f>
        <v>0</v>
      </c>
      <c r="E34" s="15">
        <f>IF(D34="","",IFERROR(INDEX(Staff!$B$5:$B$44,MATCH(D34,Staff!$A$5:$A$44,0)),"Not in Staff"))</f>
        <v>0</v>
      </c>
      <c r="Q34" s="15">
        <f>IF(B34="","",TEXT(B34,"yyyy-mm"))</f>
        <v>0</v>
      </c>
      <c r="R34" s="25">
        <f>IF(B34="","",WEEKNUM(B34,2))</f>
        <v>0</v>
      </c>
      <c r="S34" s="26">
        <f>IF(B34="","",IF(G34&lt;&gt;"",G34,IFERROR(IF(INDEX(Staff!$P$5:$P$44,MATCH(D34,Staff!$A$5:$A$44,0))="",DefaultHourly,INDEX(Staff!$P$5:$P$44,MATCH(D34,Staff!$A$5:$A$44,0))),DefaultHourly)))</f>
        <v>0</v>
      </c>
      <c r="T34" s="26">
        <f>IF(B34="","",ROUND(IF(F34="",0,F34)*S34,2))</f>
        <v>0</v>
      </c>
      <c r="U34" s="26">
        <f>IF(B34="","",ROUND(T34+IF(H34="",0,H34)+IF(J34="",0,J34)+IF(K34="",0,K34),2))</f>
        <v>0</v>
      </c>
      <c r="V34" s="26">
        <f>IF(B34="","",ROUND(U34-IF(L34="",0,L34),2))</f>
        <v>0</v>
      </c>
      <c r="W34" s="26">
        <f>IF(B34="","",ROUND(V34+IF(I34="",0,I34),2))</f>
        <v>0</v>
      </c>
      <c r="X34" s="26">
        <f>IF(B34="","",IF(IFERROR(INDEX(Staff!$E$5:$E$44,MATCH(D34,Staff!$A$5:$A$44,0))&amp;"","")="Self-employed",0,IF(IFERROR(INDEX(Staff!$E$5:$E$44,MATCH(D34,Staff!$A$5:$A$44,0))&amp;"","")="Chair renter",0,ROUND(U34*PayrollBurden,2))))</f>
        <v>0</v>
      </c>
      <c r="Y34" s="26">
        <f>IF(B34="","",ROUND(U34+X34,2))</f>
        <v>0</v>
      </c>
      <c r="Z34" s="26">
        <f>IF(B34="","",ROUND(SUMIFS(Commissions!$X$5:$X$244,Commissions!$C$5:$C$244,D34,Commissions!$B$5:$B$244,Q34),2))</f>
        <v>0</v>
      </c>
      <c r="AA34" s="26">
        <f>IF(B34="","",ROUND(SUMIFS($H$5:$H$364,$D$5:$D$364,D34,$Q$5:$Q$364,Q34),2))</f>
        <v>0</v>
      </c>
      <c r="AB34" s="26">
        <f>IF(B34="","",ROUND(Z34-AA34,2))</f>
        <v>0</v>
      </c>
      <c r="AC34" s="26">
        <f>IF(B34="","",IF(IF(F34="",0,F34)=0,"",ROUND(Y34/F34,2)))</f>
        <v>0</v>
      </c>
      <c r="AD34" s="39">
        <f>IF(B34="","",IF(D34="","Add - who is this run for?",IF(IF(F34="",H34="",FALSE),"Add - no hours and no commission",IF(AB34&lt;-0.004,"Check - more commission paid than earned",IF(M34&lt;&gt;"Yes","Due - not paid yet",IF(N34="","Check - marked paid, no date","OK"))))))</f>
        <v>0</v>
      </c>
    </row>
    <row r="35" spans="1:30">
      <c r="A35" s="28">
        <f>IF(B35="","",PayrollPrefix&amp;TEXT(ROW()-4,"0000"))</f>
        <v>0</v>
      </c>
      <c r="E35" s="15">
        <f>IF(D35="","",IFERROR(INDEX(Staff!$B$5:$B$44,MATCH(D35,Staff!$A$5:$A$44,0)),"Not in Staff"))</f>
        <v>0</v>
      </c>
      <c r="Q35" s="15">
        <f>IF(B35="","",TEXT(B35,"yyyy-mm"))</f>
        <v>0</v>
      </c>
      <c r="R35" s="25">
        <f>IF(B35="","",WEEKNUM(B35,2))</f>
        <v>0</v>
      </c>
      <c r="S35" s="26">
        <f>IF(B35="","",IF(G35&lt;&gt;"",G35,IFERROR(IF(INDEX(Staff!$P$5:$P$44,MATCH(D35,Staff!$A$5:$A$44,0))="",DefaultHourly,INDEX(Staff!$P$5:$P$44,MATCH(D35,Staff!$A$5:$A$44,0))),DefaultHourly)))</f>
        <v>0</v>
      </c>
      <c r="T35" s="26">
        <f>IF(B35="","",ROUND(IF(F35="",0,F35)*S35,2))</f>
        <v>0</v>
      </c>
      <c r="U35" s="26">
        <f>IF(B35="","",ROUND(T35+IF(H35="",0,H35)+IF(J35="",0,J35)+IF(K35="",0,K35),2))</f>
        <v>0</v>
      </c>
      <c r="V35" s="26">
        <f>IF(B35="","",ROUND(U35-IF(L35="",0,L35),2))</f>
        <v>0</v>
      </c>
      <c r="W35" s="26">
        <f>IF(B35="","",ROUND(V35+IF(I35="",0,I35),2))</f>
        <v>0</v>
      </c>
      <c r="X35" s="26">
        <f>IF(B35="","",IF(IFERROR(INDEX(Staff!$E$5:$E$44,MATCH(D35,Staff!$A$5:$A$44,0))&amp;"","")="Self-employed",0,IF(IFERROR(INDEX(Staff!$E$5:$E$44,MATCH(D35,Staff!$A$5:$A$44,0))&amp;"","")="Chair renter",0,ROUND(U35*PayrollBurden,2))))</f>
        <v>0</v>
      </c>
      <c r="Y35" s="26">
        <f>IF(B35="","",ROUND(U35+X35,2))</f>
        <v>0</v>
      </c>
      <c r="Z35" s="26">
        <f>IF(B35="","",ROUND(SUMIFS(Commissions!$X$5:$X$244,Commissions!$C$5:$C$244,D35,Commissions!$B$5:$B$244,Q35),2))</f>
        <v>0</v>
      </c>
      <c r="AA35" s="26">
        <f>IF(B35="","",ROUND(SUMIFS($H$5:$H$364,$D$5:$D$364,D35,$Q$5:$Q$364,Q35),2))</f>
        <v>0</v>
      </c>
      <c r="AB35" s="26">
        <f>IF(B35="","",ROUND(Z35-AA35,2))</f>
        <v>0</v>
      </c>
      <c r="AC35" s="26">
        <f>IF(B35="","",IF(IF(F35="",0,F35)=0,"",ROUND(Y35/F35,2)))</f>
        <v>0</v>
      </c>
      <c r="AD35" s="39">
        <f>IF(B35="","",IF(D35="","Add - who is this run for?",IF(IF(F35="",H35="",FALSE),"Add - no hours and no commission",IF(AB35&lt;-0.004,"Check - more commission paid than earned",IF(M35&lt;&gt;"Yes","Due - not paid yet",IF(N35="","Check - marked paid, no date","OK"))))))</f>
        <v>0</v>
      </c>
    </row>
    <row r="36" spans="1:30">
      <c r="A36" s="28">
        <f>IF(B36="","",PayrollPrefix&amp;TEXT(ROW()-4,"0000"))</f>
        <v>0</v>
      </c>
      <c r="E36" s="15">
        <f>IF(D36="","",IFERROR(INDEX(Staff!$B$5:$B$44,MATCH(D36,Staff!$A$5:$A$44,0)),"Not in Staff"))</f>
        <v>0</v>
      </c>
      <c r="Q36" s="15">
        <f>IF(B36="","",TEXT(B36,"yyyy-mm"))</f>
        <v>0</v>
      </c>
      <c r="R36" s="25">
        <f>IF(B36="","",WEEKNUM(B36,2))</f>
        <v>0</v>
      </c>
      <c r="S36" s="26">
        <f>IF(B36="","",IF(G36&lt;&gt;"",G36,IFERROR(IF(INDEX(Staff!$P$5:$P$44,MATCH(D36,Staff!$A$5:$A$44,0))="",DefaultHourly,INDEX(Staff!$P$5:$P$44,MATCH(D36,Staff!$A$5:$A$44,0))),DefaultHourly)))</f>
        <v>0</v>
      </c>
      <c r="T36" s="26">
        <f>IF(B36="","",ROUND(IF(F36="",0,F36)*S36,2))</f>
        <v>0</v>
      </c>
      <c r="U36" s="26">
        <f>IF(B36="","",ROUND(T36+IF(H36="",0,H36)+IF(J36="",0,J36)+IF(K36="",0,K36),2))</f>
        <v>0</v>
      </c>
      <c r="V36" s="26">
        <f>IF(B36="","",ROUND(U36-IF(L36="",0,L36),2))</f>
        <v>0</v>
      </c>
      <c r="W36" s="26">
        <f>IF(B36="","",ROUND(V36+IF(I36="",0,I36),2))</f>
        <v>0</v>
      </c>
      <c r="X36" s="26">
        <f>IF(B36="","",IF(IFERROR(INDEX(Staff!$E$5:$E$44,MATCH(D36,Staff!$A$5:$A$44,0))&amp;"","")="Self-employed",0,IF(IFERROR(INDEX(Staff!$E$5:$E$44,MATCH(D36,Staff!$A$5:$A$44,0))&amp;"","")="Chair renter",0,ROUND(U36*PayrollBurden,2))))</f>
        <v>0</v>
      </c>
      <c r="Y36" s="26">
        <f>IF(B36="","",ROUND(U36+X36,2))</f>
        <v>0</v>
      </c>
      <c r="Z36" s="26">
        <f>IF(B36="","",ROUND(SUMIFS(Commissions!$X$5:$X$244,Commissions!$C$5:$C$244,D36,Commissions!$B$5:$B$244,Q36),2))</f>
        <v>0</v>
      </c>
      <c r="AA36" s="26">
        <f>IF(B36="","",ROUND(SUMIFS($H$5:$H$364,$D$5:$D$364,D36,$Q$5:$Q$364,Q36),2))</f>
        <v>0</v>
      </c>
      <c r="AB36" s="26">
        <f>IF(B36="","",ROUND(Z36-AA36,2))</f>
        <v>0</v>
      </c>
      <c r="AC36" s="26">
        <f>IF(B36="","",IF(IF(F36="",0,F36)=0,"",ROUND(Y36/F36,2)))</f>
        <v>0</v>
      </c>
      <c r="AD36" s="39">
        <f>IF(B36="","",IF(D36="","Add - who is this run for?",IF(IF(F36="",H36="",FALSE),"Add - no hours and no commission",IF(AB36&lt;-0.004,"Check - more commission paid than earned",IF(M36&lt;&gt;"Yes","Due - not paid yet",IF(N36="","Check - marked paid, no date","OK"))))))</f>
        <v>0</v>
      </c>
    </row>
    <row r="37" spans="1:30">
      <c r="A37" s="28">
        <f>IF(B37="","",PayrollPrefix&amp;TEXT(ROW()-4,"0000"))</f>
        <v>0</v>
      </c>
      <c r="E37" s="15">
        <f>IF(D37="","",IFERROR(INDEX(Staff!$B$5:$B$44,MATCH(D37,Staff!$A$5:$A$44,0)),"Not in Staff"))</f>
        <v>0</v>
      </c>
      <c r="Q37" s="15">
        <f>IF(B37="","",TEXT(B37,"yyyy-mm"))</f>
        <v>0</v>
      </c>
      <c r="R37" s="25">
        <f>IF(B37="","",WEEKNUM(B37,2))</f>
        <v>0</v>
      </c>
      <c r="S37" s="26">
        <f>IF(B37="","",IF(G37&lt;&gt;"",G37,IFERROR(IF(INDEX(Staff!$P$5:$P$44,MATCH(D37,Staff!$A$5:$A$44,0))="",DefaultHourly,INDEX(Staff!$P$5:$P$44,MATCH(D37,Staff!$A$5:$A$44,0))),DefaultHourly)))</f>
        <v>0</v>
      </c>
      <c r="T37" s="26">
        <f>IF(B37="","",ROUND(IF(F37="",0,F37)*S37,2))</f>
        <v>0</v>
      </c>
      <c r="U37" s="26">
        <f>IF(B37="","",ROUND(T37+IF(H37="",0,H37)+IF(J37="",0,J37)+IF(K37="",0,K37),2))</f>
        <v>0</v>
      </c>
      <c r="V37" s="26">
        <f>IF(B37="","",ROUND(U37-IF(L37="",0,L37),2))</f>
        <v>0</v>
      </c>
      <c r="W37" s="26">
        <f>IF(B37="","",ROUND(V37+IF(I37="",0,I37),2))</f>
        <v>0</v>
      </c>
      <c r="X37" s="26">
        <f>IF(B37="","",IF(IFERROR(INDEX(Staff!$E$5:$E$44,MATCH(D37,Staff!$A$5:$A$44,0))&amp;"","")="Self-employed",0,IF(IFERROR(INDEX(Staff!$E$5:$E$44,MATCH(D37,Staff!$A$5:$A$44,0))&amp;"","")="Chair renter",0,ROUND(U37*PayrollBurden,2))))</f>
        <v>0</v>
      </c>
      <c r="Y37" s="26">
        <f>IF(B37="","",ROUND(U37+X37,2))</f>
        <v>0</v>
      </c>
      <c r="Z37" s="26">
        <f>IF(B37="","",ROUND(SUMIFS(Commissions!$X$5:$X$244,Commissions!$C$5:$C$244,D37,Commissions!$B$5:$B$244,Q37),2))</f>
        <v>0</v>
      </c>
      <c r="AA37" s="26">
        <f>IF(B37="","",ROUND(SUMIFS($H$5:$H$364,$D$5:$D$364,D37,$Q$5:$Q$364,Q37),2))</f>
        <v>0</v>
      </c>
      <c r="AB37" s="26">
        <f>IF(B37="","",ROUND(Z37-AA37,2))</f>
        <v>0</v>
      </c>
      <c r="AC37" s="26">
        <f>IF(B37="","",IF(IF(F37="",0,F37)=0,"",ROUND(Y37/F37,2)))</f>
        <v>0</v>
      </c>
      <c r="AD37" s="39">
        <f>IF(B37="","",IF(D37="","Add - who is this run for?",IF(IF(F37="",H37="",FALSE),"Add - no hours and no commission",IF(AB37&lt;-0.004,"Check - more commission paid than earned",IF(M37&lt;&gt;"Yes","Due - not paid yet",IF(N37="","Check - marked paid, no date","OK"))))))</f>
        <v>0</v>
      </c>
    </row>
    <row r="38" spans="1:30">
      <c r="A38" s="28">
        <f>IF(B38="","",PayrollPrefix&amp;TEXT(ROW()-4,"0000"))</f>
        <v>0</v>
      </c>
      <c r="E38" s="15">
        <f>IF(D38="","",IFERROR(INDEX(Staff!$B$5:$B$44,MATCH(D38,Staff!$A$5:$A$44,0)),"Not in Staff"))</f>
        <v>0</v>
      </c>
      <c r="Q38" s="15">
        <f>IF(B38="","",TEXT(B38,"yyyy-mm"))</f>
        <v>0</v>
      </c>
      <c r="R38" s="25">
        <f>IF(B38="","",WEEKNUM(B38,2))</f>
        <v>0</v>
      </c>
      <c r="S38" s="26">
        <f>IF(B38="","",IF(G38&lt;&gt;"",G38,IFERROR(IF(INDEX(Staff!$P$5:$P$44,MATCH(D38,Staff!$A$5:$A$44,0))="",DefaultHourly,INDEX(Staff!$P$5:$P$44,MATCH(D38,Staff!$A$5:$A$44,0))),DefaultHourly)))</f>
        <v>0</v>
      </c>
      <c r="T38" s="26">
        <f>IF(B38="","",ROUND(IF(F38="",0,F38)*S38,2))</f>
        <v>0</v>
      </c>
      <c r="U38" s="26">
        <f>IF(B38="","",ROUND(T38+IF(H38="",0,H38)+IF(J38="",0,J38)+IF(K38="",0,K38),2))</f>
        <v>0</v>
      </c>
      <c r="V38" s="26">
        <f>IF(B38="","",ROUND(U38-IF(L38="",0,L38),2))</f>
        <v>0</v>
      </c>
      <c r="W38" s="26">
        <f>IF(B38="","",ROUND(V38+IF(I38="",0,I38),2))</f>
        <v>0</v>
      </c>
      <c r="X38" s="26">
        <f>IF(B38="","",IF(IFERROR(INDEX(Staff!$E$5:$E$44,MATCH(D38,Staff!$A$5:$A$44,0))&amp;"","")="Self-employed",0,IF(IFERROR(INDEX(Staff!$E$5:$E$44,MATCH(D38,Staff!$A$5:$A$44,0))&amp;"","")="Chair renter",0,ROUND(U38*PayrollBurden,2))))</f>
        <v>0</v>
      </c>
      <c r="Y38" s="26">
        <f>IF(B38="","",ROUND(U38+X38,2))</f>
        <v>0</v>
      </c>
      <c r="Z38" s="26">
        <f>IF(B38="","",ROUND(SUMIFS(Commissions!$X$5:$X$244,Commissions!$C$5:$C$244,D38,Commissions!$B$5:$B$244,Q38),2))</f>
        <v>0</v>
      </c>
      <c r="AA38" s="26">
        <f>IF(B38="","",ROUND(SUMIFS($H$5:$H$364,$D$5:$D$364,D38,$Q$5:$Q$364,Q38),2))</f>
        <v>0</v>
      </c>
      <c r="AB38" s="26">
        <f>IF(B38="","",ROUND(Z38-AA38,2))</f>
        <v>0</v>
      </c>
      <c r="AC38" s="26">
        <f>IF(B38="","",IF(IF(F38="",0,F38)=0,"",ROUND(Y38/F38,2)))</f>
        <v>0</v>
      </c>
      <c r="AD38" s="39">
        <f>IF(B38="","",IF(D38="","Add - who is this run for?",IF(IF(F38="",H38="",FALSE),"Add - no hours and no commission",IF(AB38&lt;-0.004,"Check - more commission paid than earned",IF(M38&lt;&gt;"Yes","Due - not paid yet",IF(N38="","Check - marked paid, no date","OK"))))))</f>
        <v>0</v>
      </c>
    </row>
    <row r="39" spans="1:30">
      <c r="A39" s="28">
        <f>IF(B39="","",PayrollPrefix&amp;TEXT(ROW()-4,"0000"))</f>
        <v>0</v>
      </c>
      <c r="E39" s="15">
        <f>IF(D39="","",IFERROR(INDEX(Staff!$B$5:$B$44,MATCH(D39,Staff!$A$5:$A$44,0)),"Not in Staff"))</f>
        <v>0</v>
      </c>
      <c r="Q39" s="15">
        <f>IF(B39="","",TEXT(B39,"yyyy-mm"))</f>
        <v>0</v>
      </c>
      <c r="R39" s="25">
        <f>IF(B39="","",WEEKNUM(B39,2))</f>
        <v>0</v>
      </c>
      <c r="S39" s="26">
        <f>IF(B39="","",IF(G39&lt;&gt;"",G39,IFERROR(IF(INDEX(Staff!$P$5:$P$44,MATCH(D39,Staff!$A$5:$A$44,0))="",DefaultHourly,INDEX(Staff!$P$5:$P$44,MATCH(D39,Staff!$A$5:$A$44,0))),DefaultHourly)))</f>
        <v>0</v>
      </c>
      <c r="T39" s="26">
        <f>IF(B39="","",ROUND(IF(F39="",0,F39)*S39,2))</f>
        <v>0</v>
      </c>
      <c r="U39" s="26">
        <f>IF(B39="","",ROUND(T39+IF(H39="",0,H39)+IF(J39="",0,J39)+IF(K39="",0,K39),2))</f>
        <v>0</v>
      </c>
      <c r="V39" s="26">
        <f>IF(B39="","",ROUND(U39-IF(L39="",0,L39),2))</f>
        <v>0</v>
      </c>
      <c r="W39" s="26">
        <f>IF(B39="","",ROUND(V39+IF(I39="",0,I39),2))</f>
        <v>0</v>
      </c>
      <c r="X39" s="26">
        <f>IF(B39="","",IF(IFERROR(INDEX(Staff!$E$5:$E$44,MATCH(D39,Staff!$A$5:$A$44,0))&amp;"","")="Self-employed",0,IF(IFERROR(INDEX(Staff!$E$5:$E$44,MATCH(D39,Staff!$A$5:$A$44,0))&amp;"","")="Chair renter",0,ROUND(U39*PayrollBurden,2))))</f>
        <v>0</v>
      </c>
      <c r="Y39" s="26">
        <f>IF(B39="","",ROUND(U39+X39,2))</f>
        <v>0</v>
      </c>
      <c r="Z39" s="26">
        <f>IF(B39="","",ROUND(SUMIFS(Commissions!$X$5:$X$244,Commissions!$C$5:$C$244,D39,Commissions!$B$5:$B$244,Q39),2))</f>
        <v>0</v>
      </c>
      <c r="AA39" s="26">
        <f>IF(B39="","",ROUND(SUMIFS($H$5:$H$364,$D$5:$D$364,D39,$Q$5:$Q$364,Q39),2))</f>
        <v>0</v>
      </c>
      <c r="AB39" s="26">
        <f>IF(B39="","",ROUND(Z39-AA39,2))</f>
        <v>0</v>
      </c>
      <c r="AC39" s="26">
        <f>IF(B39="","",IF(IF(F39="",0,F39)=0,"",ROUND(Y39/F39,2)))</f>
        <v>0</v>
      </c>
      <c r="AD39" s="39">
        <f>IF(B39="","",IF(D39="","Add - who is this run for?",IF(IF(F39="",H39="",FALSE),"Add - no hours and no commission",IF(AB39&lt;-0.004,"Check - more commission paid than earned",IF(M39&lt;&gt;"Yes","Due - not paid yet",IF(N39="","Check - marked paid, no date","OK"))))))</f>
        <v>0</v>
      </c>
    </row>
    <row r="40" spans="1:30">
      <c r="A40" s="28">
        <f>IF(B40="","",PayrollPrefix&amp;TEXT(ROW()-4,"0000"))</f>
        <v>0</v>
      </c>
      <c r="E40" s="15">
        <f>IF(D40="","",IFERROR(INDEX(Staff!$B$5:$B$44,MATCH(D40,Staff!$A$5:$A$44,0)),"Not in Staff"))</f>
        <v>0</v>
      </c>
      <c r="Q40" s="15">
        <f>IF(B40="","",TEXT(B40,"yyyy-mm"))</f>
        <v>0</v>
      </c>
      <c r="R40" s="25">
        <f>IF(B40="","",WEEKNUM(B40,2))</f>
        <v>0</v>
      </c>
      <c r="S40" s="26">
        <f>IF(B40="","",IF(G40&lt;&gt;"",G40,IFERROR(IF(INDEX(Staff!$P$5:$P$44,MATCH(D40,Staff!$A$5:$A$44,0))="",DefaultHourly,INDEX(Staff!$P$5:$P$44,MATCH(D40,Staff!$A$5:$A$44,0))),DefaultHourly)))</f>
        <v>0</v>
      </c>
      <c r="T40" s="26">
        <f>IF(B40="","",ROUND(IF(F40="",0,F40)*S40,2))</f>
        <v>0</v>
      </c>
      <c r="U40" s="26">
        <f>IF(B40="","",ROUND(T40+IF(H40="",0,H40)+IF(J40="",0,J40)+IF(K40="",0,K40),2))</f>
        <v>0</v>
      </c>
      <c r="V40" s="26">
        <f>IF(B40="","",ROUND(U40-IF(L40="",0,L40),2))</f>
        <v>0</v>
      </c>
      <c r="W40" s="26">
        <f>IF(B40="","",ROUND(V40+IF(I40="",0,I40),2))</f>
        <v>0</v>
      </c>
      <c r="X40" s="26">
        <f>IF(B40="","",IF(IFERROR(INDEX(Staff!$E$5:$E$44,MATCH(D40,Staff!$A$5:$A$44,0))&amp;"","")="Self-employed",0,IF(IFERROR(INDEX(Staff!$E$5:$E$44,MATCH(D40,Staff!$A$5:$A$44,0))&amp;"","")="Chair renter",0,ROUND(U40*PayrollBurden,2))))</f>
        <v>0</v>
      </c>
      <c r="Y40" s="26">
        <f>IF(B40="","",ROUND(U40+X40,2))</f>
        <v>0</v>
      </c>
      <c r="Z40" s="26">
        <f>IF(B40="","",ROUND(SUMIFS(Commissions!$X$5:$X$244,Commissions!$C$5:$C$244,D40,Commissions!$B$5:$B$244,Q40),2))</f>
        <v>0</v>
      </c>
      <c r="AA40" s="26">
        <f>IF(B40="","",ROUND(SUMIFS($H$5:$H$364,$D$5:$D$364,D40,$Q$5:$Q$364,Q40),2))</f>
        <v>0</v>
      </c>
      <c r="AB40" s="26">
        <f>IF(B40="","",ROUND(Z40-AA40,2))</f>
        <v>0</v>
      </c>
      <c r="AC40" s="26">
        <f>IF(B40="","",IF(IF(F40="",0,F40)=0,"",ROUND(Y40/F40,2)))</f>
        <v>0</v>
      </c>
      <c r="AD40" s="39">
        <f>IF(B40="","",IF(D40="","Add - who is this run for?",IF(IF(F40="",H40="",FALSE),"Add - no hours and no commission",IF(AB40&lt;-0.004,"Check - more commission paid than earned",IF(M40&lt;&gt;"Yes","Due - not paid yet",IF(N40="","Check - marked paid, no date","OK"))))))</f>
        <v>0</v>
      </c>
    </row>
    <row r="41" spans="1:30">
      <c r="A41" s="28">
        <f>IF(B41="","",PayrollPrefix&amp;TEXT(ROW()-4,"0000"))</f>
        <v>0</v>
      </c>
      <c r="E41" s="15">
        <f>IF(D41="","",IFERROR(INDEX(Staff!$B$5:$B$44,MATCH(D41,Staff!$A$5:$A$44,0)),"Not in Staff"))</f>
        <v>0</v>
      </c>
      <c r="Q41" s="15">
        <f>IF(B41="","",TEXT(B41,"yyyy-mm"))</f>
        <v>0</v>
      </c>
      <c r="R41" s="25">
        <f>IF(B41="","",WEEKNUM(B41,2))</f>
        <v>0</v>
      </c>
      <c r="S41" s="26">
        <f>IF(B41="","",IF(G41&lt;&gt;"",G41,IFERROR(IF(INDEX(Staff!$P$5:$P$44,MATCH(D41,Staff!$A$5:$A$44,0))="",DefaultHourly,INDEX(Staff!$P$5:$P$44,MATCH(D41,Staff!$A$5:$A$44,0))),DefaultHourly)))</f>
        <v>0</v>
      </c>
      <c r="T41" s="26">
        <f>IF(B41="","",ROUND(IF(F41="",0,F41)*S41,2))</f>
        <v>0</v>
      </c>
      <c r="U41" s="26">
        <f>IF(B41="","",ROUND(T41+IF(H41="",0,H41)+IF(J41="",0,J41)+IF(K41="",0,K41),2))</f>
        <v>0</v>
      </c>
      <c r="V41" s="26">
        <f>IF(B41="","",ROUND(U41-IF(L41="",0,L41),2))</f>
        <v>0</v>
      </c>
      <c r="W41" s="26">
        <f>IF(B41="","",ROUND(V41+IF(I41="",0,I41),2))</f>
        <v>0</v>
      </c>
      <c r="X41" s="26">
        <f>IF(B41="","",IF(IFERROR(INDEX(Staff!$E$5:$E$44,MATCH(D41,Staff!$A$5:$A$44,0))&amp;"","")="Self-employed",0,IF(IFERROR(INDEX(Staff!$E$5:$E$44,MATCH(D41,Staff!$A$5:$A$44,0))&amp;"","")="Chair renter",0,ROUND(U41*PayrollBurden,2))))</f>
        <v>0</v>
      </c>
      <c r="Y41" s="26">
        <f>IF(B41="","",ROUND(U41+X41,2))</f>
        <v>0</v>
      </c>
      <c r="Z41" s="26">
        <f>IF(B41="","",ROUND(SUMIFS(Commissions!$X$5:$X$244,Commissions!$C$5:$C$244,D41,Commissions!$B$5:$B$244,Q41),2))</f>
        <v>0</v>
      </c>
      <c r="AA41" s="26">
        <f>IF(B41="","",ROUND(SUMIFS($H$5:$H$364,$D$5:$D$364,D41,$Q$5:$Q$364,Q41),2))</f>
        <v>0</v>
      </c>
      <c r="AB41" s="26">
        <f>IF(B41="","",ROUND(Z41-AA41,2))</f>
        <v>0</v>
      </c>
      <c r="AC41" s="26">
        <f>IF(B41="","",IF(IF(F41="",0,F41)=0,"",ROUND(Y41/F41,2)))</f>
        <v>0</v>
      </c>
      <c r="AD41" s="39">
        <f>IF(B41="","",IF(D41="","Add - who is this run for?",IF(IF(F41="",H41="",FALSE),"Add - no hours and no commission",IF(AB41&lt;-0.004,"Check - more commission paid than earned",IF(M41&lt;&gt;"Yes","Due - not paid yet",IF(N41="","Check - marked paid, no date","OK"))))))</f>
        <v>0</v>
      </c>
    </row>
    <row r="42" spans="1:30">
      <c r="A42" s="28">
        <f>IF(B42="","",PayrollPrefix&amp;TEXT(ROW()-4,"0000"))</f>
        <v>0</v>
      </c>
      <c r="E42" s="15">
        <f>IF(D42="","",IFERROR(INDEX(Staff!$B$5:$B$44,MATCH(D42,Staff!$A$5:$A$44,0)),"Not in Staff"))</f>
        <v>0</v>
      </c>
      <c r="Q42" s="15">
        <f>IF(B42="","",TEXT(B42,"yyyy-mm"))</f>
        <v>0</v>
      </c>
      <c r="R42" s="25">
        <f>IF(B42="","",WEEKNUM(B42,2))</f>
        <v>0</v>
      </c>
      <c r="S42" s="26">
        <f>IF(B42="","",IF(G42&lt;&gt;"",G42,IFERROR(IF(INDEX(Staff!$P$5:$P$44,MATCH(D42,Staff!$A$5:$A$44,0))="",DefaultHourly,INDEX(Staff!$P$5:$P$44,MATCH(D42,Staff!$A$5:$A$44,0))),DefaultHourly)))</f>
        <v>0</v>
      </c>
      <c r="T42" s="26">
        <f>IF(B42="","",ROUND(IF(F42="",0,F42)*S42,2))</f>
        <v>0</v>
      </c>
      <c r="U42" s="26">
        <f>IF(B42="","",ROUND(T42+IF(H42="",0,H42)+IF(J42="",0,J42)+IF(K42="",0,K42),2))</f>
        <v>0</v>
      </c>
      <c r="V42" s="26">
        <f>IF(B42="","",ROUND(U42-IF(L42="",0,L42),2))</f>
        <v>0</v>
      </c>
      <c r="W42" s="26">
        <f>IF(B42="","",ROUND(V42+IF(I42="",0,I42),2))</f>
        <v>0</v>
      </c>
      <c r="X42" s="26">
        <f>IF(B42="","",IF(IFERROR(INDEX(Staff!$E$5:$E$44,MATCH(D42,Staff!$A$5:$A$44,0))&amp;"","")="Self-employed",0,IF(IFERROR(INDEX(Staff!$E$5:$E$44,MATCH(D42,Staff!$A$5:$A$44,0))&amp;"","")="Chair renter",0,ROUND(U42*PayrollBurden,2))))</f>
        <v>0</v>
      </c>
      <c r="Y42" s="26">
        <f>IF(B42="","",ROUND(U42+X42,2))</f>
        <v>0</v>
      </c>
      <c r="Z42" s="26">
        <f>IF(B42="","",ROUND(SUMIFS(Commissions!$X$5:$X$244,Commissions!$C$5:$C$244,D42,Commissions!$B$5:$B$244,Q42),2))</f>
        <v>0</v>
      </c>
      <c r="AA42" s="26">
        <f>IF(B42="","",ROUND(SUMIFS($H$5:$H$364,$D$5:$D$364,D42,$Q$5:$Q$364,Q42),2))</f>
        <v>0</v>
      </c>
      <c r="AB42" s="26">
        <f>IF(B42="","",ROUND(Z42-AA42,2))</f>
        <v>0</v>
      </c>
      <c r="AC42" s="26">
        <f>IF(B42="","",IF(IF(F42="",0,F42)=0,"",ROUND(Y42/F42,2)))</f>
        <v>0</v>
      </c>
      <c r="AD42" s="39">
        <f>IF(B42="","",IF(D42="","Add - who is this run for?",IF(IF(F42="",H42="",FALSE),"Add - no hours and no commission",IF(AB42&lt;-0.004,"Check - more commission paid than earned",IF(M42&lt;&gt;"Yes","Due - not paid yet",IF(N42="","Check - marked paid, no date","OK"))))))</f>
        <v>0</v>
      </c>
    </row>
    <row r="43" spans="1:30">
      <c r="A43" s="28">
        <f>IF(B43="","",PayrollPrefix&amp;TEXT(ROW()-4,"0000"))</f>
        <v>0</v>
      </c>
      <c r="E43" s="15">
        <f>IF(D43="","",IFERROR(INDEX(Staff!$B$5:$B$44,MATCH(D43,Staff!$A$5:$A$44,0)),"Not in Staff"))</f>
        <v>0</v>
      </c>
      <c r="Q43" s="15">
        <f>IF(B43="","",TEXT(B43,"yyyy-mm"))</f>
        <v>0</v>
      </c>
      <c r="R43" s="25">
        <f>IF(B43="","",WEEKNUM(B43,2))</f>
        <v>0</v>
      </c>
      <c r="S43" s="26">
        <f>IF(B43="","",IF(G43&lt;&gt;"",G43,IFERROR(IF(INDEX(Staff!$P$5:$P$44,MATCH(D43,Staff!$A$5:$A$44,0))="",DefaultHourly,INDEX(Staff!$P$5:$P$44,MATCH(D43,Staff!$A$5:$A$44,0))),DefaultHourly)))</f>
        <v>0</v>
      </c>
      <c r="T43" s="26">
        <f>IF(B43="","",ROUND(IF(F43="",0,F43)*S43,2))</f>
        <v>0</v>
      </c>
      <c r="U43" s="26">
        <f>IF(B43="","",ROUND(T43+IF(H43="",0,H43)+IF(J43="",0,J43)+IF(K43="",0,K43),2))</f>
        <v>0</v>
      </c>
      <c r="V43" s="26">
        <f>IF(B43="","",ROUND(U43-IF(L43="",0,L43),2))</f>
        <v>0</v>
      </c>
      <c r="W43" s="26">
        <f>IF(B43="","",ROUND(V43+IF(I43="",0,I43),2))</f>
        <v>0</v>
      </c>
      <c r="X43" s="26">
        <f>IF(B43="","",IF(IFERROR(INDEX(Staff!$E$5:$E$44,MATCH(D43,Staff!$A$5:$A$44,0))&amp;"","")="Self-employed",0,IF(IFERROR(INDEX(Staff!$E$5:$E$44,MATCH(D43,Staff!$A$5:$A$44,0))&amp;"","")="Chair renter",0,ROUND(U43*PayrollBurden,2))))</f>
        <v>0</v>
      </c>
      <c r="Y43" s="26">
        <f>IF(B43="","",ROUND(U43+X43,2))</f>
        <v>0</v>
      </c>
      <c r="Z43" s="26">
        <f>IF(B43="","",ROUND(SUMIFS(Commissions!$X$5:$X$244,Commissions!$C$5:$C$244,D43,Commissions!$B$5:$B$244,Q43),2))</f>
        <v>0</v>
      </c>
      <c r="AA43" s="26">
        <f>IF(B43="","",ROUND(SUMIFS($H$5:$H$364,$D$5:$D$364,D43,$Q$5:$Q$364,Q43),2))</f>
        <v>0</v>
      </c>
      <c r="AB43" s="26">
        <f>IF(B43="","",ROUND(Z43-AA43,2))</f>
        <v>0</v>
      </c>
      <c r="AC43" s="26">
        <f>IF(B43="","",IF(IF(F43="",0,F43)=0,"",ROUND(Y43/F43,2)))</f>
        <v>0</v>
      </c>
      <c r="AD43" s="39">
        <f>IF(B43="","",IF(D43="","Add - who is this run for?",IF(IF(F43="",H43="",FALSE),"Add - no hours and no commission",IF(AB43&lt;-0.004,"Check - more commission paid than earned",IF(M43&lt;&gt;"Yes","Due - not paid yet",IF(N43="","Check - marked paid, no date","OK"))))))</f>
        <v>0</v>
      </c>
    </row>
    <row r="44" spans="1:30">
      <c r="A44" s="28">
        <f>IF(B44="","",PayrollPrefix&amp;TEXT(ROW()-4,"0000"))</f>
        <v>0</v>
      </c>
      <c r="E44" s="15">
        <f>IF(D44="","",IFERROR(INDEX(Staff!$B$5:$B$44,MATCH(D44,Staff!$A$5:$A$44,0)),"Not in Staff"))</f>
        <v>0</v>
      </c>
      <c r="Q44" s="15">
        <f>IF(B44="","",TEXT(B44,"yyyy-mm"))</f>
        <v>0</v>
      </c>
      <c r="R44" s="25">
        <f>IF(B44="","",WEEKNUM(B44,2))</f>
        <v>0</v>
      </c>
      <c r="S44" s="26">
        <f>IF(B44="","",IF(G44&lt;&gt;"",G44,IFERROR(IF(INDEX(Staff!$P$5:$P$44,MATCH(D44,Staff!$A$5:$A$44,0))="",DefaultHourly,INDEX(Staff!$P$5:$P$44,MATCH(D44,Staff!$A$5:$A$44,0))),DefaultHourly)))</f>
        <v>0</v>
      </c>
      <c r="T44" s="26">
        <f>IF(B44="","",ROUND(IF(F44="",0,F44)*S44,2))</f>
        <v>0</v>
      </c>
      <c r="U44" s="26">
        <f>IF(B44="","",ROUND(T44+IF(H44="",0,H44)+IF(J44="",0,J44)+IF(K44="",0,K44),2))</f>
        <v>0</v>
      </c>
      <c r="V44" s="26">
        <f>IF(B44="","",ROUND(U44-IF(L44="",0,L44),2))</f>
        <v>0</v>
      </c>
      <c r="W44" s="26">
        <f>IF(B44="","",ROUND(V44+IF(I44="",0,I44),2))</f>
        <v>0</v>
      </c>
      <c r="X44" s="26">
        <f>IF(B44="","",IF(IFERROR(INDEX(Staff!$E$5:$E$44,MATCH(D44,Staff!$A$5:$A$44,0))&amp;"","")="Self-employed",0,IF(IFERROR(INDEX(Staff!$E$5:$E$44,MATCH(D44,Staff!$A$5:$A$44,0))&amp;"","")="Chair renter",0,ROUND(U44*PayrollBurden,2))))</f>
        <v>0</v>
      </c>
      <c r="Y44" s="26">
        <f>IF(B44="","",ROUND(U44+X44,2))</f>
        <v>0</v>
      </c>
      <c r="Z44" s="26">
        <f>IF(B44="","",ROUND(SUMIFS(Commissions!$X$5:$X$244,Commissions!$C$5:$C$244,D44,Commissions!$B$5:$B$244,Q44),2))</f>
        <v>0</v>
      </c>
      <c r="AA44" s="26">
        <f>IF(B44="","",ROUND(SUMIFS($H$5:$H$364,$D$5:$D$364,D44,$Q$5:$Q$364,Q44),2))</f>
        <v>0</v>
      </c>
      <c r="AB44" s="26">
        <f>IF(B44="","",ROUND(Z44-AA44,2))</f>
        <v>0</v>
      </c>
      <c r="AC44" s="26">
        <f>IF(B44="","",IF(IF(F44="",0,F44)=0,"",ROUND(Y44/F44,2)))</f>
        <v>0</v>
      </c>
      <c r="AD44" s="39">
        <f>IF(B44="","",IF(D44="","Add - who is this run for?",IF(IF(F44="",H44="",FALSE),"Add - no hours and no commission",IF(AB44&lt;-0.004,"Check - more commission paid than earned",IF(M44&lt;&gt;"Yes","Due - not paid yet",IF(N44="","Check - marked paid, no date","OK"))))))</f>
        <v>0</v>
      </c>
    </row>
    <row r="45" spans="1:30">
      <c r="A45" s="28">
        <f>IF(B45="","",PayrollPrefix&amp;TEXT(ROW()-4,"0000"))</f>
        <v>0</v>
      </c>
      <c r="E45" s="15">
        <f>IF(D45="","",IFERROR(INDEX(Staff!$B$5:$B$44,MATCH(D45,Staff!$A$5:$A$44,0)),"Not in Staff"))</f>
        <v>0</v>
      </c>
      <c r="Q45" s="15">
        <f>IF(B45="","",TEXT(B45,"yyyy-mm"))</f>
        <v>0</v>
      </c>
      <c r="R45" s="25">
        <f>IF(B45="","",WEEKNUM(B45,2))</f>
        <v>0</v>
      </c>
      <c r="S45" s="26">
        <f>IF(B45="","",IF(G45&lt;&gt;"",G45,IFERROR(IF(INDEX(Staff!$P$5:$P$44,MATCH(D45,Staff!$A$5:$A$44,0))="",DefaultHourly,INDEX(Staff!$P$5:$P$44,MATCH(D45,Staff!$A$5:$A$44,0))),DefaultHourly)))</f>
        <v>0</v>
      </c>
      <c r="T45" s="26">
        <f>IF(B45="","",ROUND(IF(F45="",0,F45)*S45,2))</f>
        <v>0</v>
      </c>
      <c r="U45" s="26">
        <f>IF(B45="","",ROUND(T45+IF(H45="",0,H45)+IF(J45="",0,J45)+IF(K45="",0,K45),2))</f>
        <v>0</v>
      </c>
      <c r="V45" s="26">
        <f>IF(B45="","",ROUND(U45-IF(L45="",0,L45),2))</f>
        <v>0</v>
      </c>
      <c r="W45" s="26">
        <f>IF(B45="","",ROUND(V45+IF(I45="",0,I45),2))</f>
        <v>0</v>
      </c>
      <c r="X45" s="26">
        <f>IF(B45="","",IF(IFERROR(INDEX(Staff!$E$5:$E$44,MATCH(D45,Staff!$A$5:$A$44,0))&amp;"","")="Self-employed",0,IF(IFERROR(INDEX(Staff!$E$5:$E$44,MATCH(D45,Staff!$A$5:$A$44,0))&amp;"","")="Chair renter",0,ROUND(U45*PayrollBurden,2))))</f>
        <v>0</v>
      </c>
      <c r="Y45" s="26">
        <f>IF(B45="","",ROUND(U45+X45,2))</f>
        <v>0</v>
      </c>
      <c r="Z45" s="26">
        <f>IF(B45="","",ROUND(SUMIFS(Commissions!$X$5:$X$244,Commissions!$C$5:$C$244,D45,Commissions!$B$5:$B$244,Q45),2))</f>
        <v>0</v>
      </c>
      <c r="AA45" s="26">
        <f>IF(B45="","",ROUND(SUMIFS($H$5:$H$364,$D$5:$D$364,D45,$Q$5:$Q$364,Q45),2))</f>
        <v>0</v>
      </c>
      <c r="AB45" s="26">
        <f>IF(B45="","",ROUND(Z45-AA45,2))</f>
        <v>0</v>
      </c>
      <c r="AC45" s="26">
        <f>IF(B45="","",IF(IF(F45="",0,F45)=0,"",ROUND(Y45/F45,2)))</f>
        <v>0</v>
      </c>
      <c r="AD45" s="39">
        <f>IF(B45="","",IF(D45="","Add - who is this run for?",IF(IF(F45="",H45="",FALSE),"Add - no hours and no commission",IF(AB45&lt;-0.004,"Check - more commission paid than earned",IF(M45&lt;&gt;"Yes","Due - not paid yet",IF(N45="","Check - marked paid, no date","OK"))))))</f>
        <v>0</v>
      </c>
    </row>
    <row r="46" spans="1:30">
      <c r="A46" s="28">
        <f>IF(B46="","",PayrollPrefix&amp;TEXT(ROW()-4,"0000"))</f>
        <v>0</v>
      </c>
      <c r="E46" s="15">
        <f>IF(D46="","",IFERROR(INDEX(Staff!$B$5:$B$44,MATCH(D46,Staff!$A$5:$A$44,0)),"Not in Staff"))</f>
        <v>0</v>
      </c>
      <c r="Q46" s="15">
        <f>IF(B46="","",TEXT(B46,"yyyy-mm"))</f>
        <v>0</v>
      </c>
      <c r="R46" s="25">
        <f>IF(B46="","",WEEKNUM(B46,2))</f>
        <v>0</v>
      </c>
      <c r="S46" s="26">
        <f>IF(B46="","",IF(G46&lt;&gt;"",G46,IFERROR(IF(INDEX(Staff!$P$5:$P$44,MATCH(D46,Staff!$A$5:$A$44,0))="",DefaultHourly,INDEX(Staff!$P$5:$P$44,MATCH(D46,Staff!$A$5:$A$44,0))),DefaultHourly)))</f>
        <v>0</v>
      </c>
      <c r="T46" s="26">
        <f>IF(B46="","",ROUND(IF(F46="",0,F46)*S46,2))</f>
        <v>0</v>
      </c>
      <c r="U46" s="26">
        <f>IF(B46="","",ROUND(T46+IF(H46="",0,H46)+IF(J46="",0,J46)+IF(K46="",0,K46),2))</f>
        <v>0</v>
      </c>
      <c r="V46" s="26">
        <f>IF(B46="","",ROUND(U46-IF(L46="",0,L46),2))</f>
        <v>0</v>
      </c>
      <c r="W46" s="26">
        <f>IF(B46="","",ROUND(V46+IF(I46="",0,I46),2))</f>
        <v>0</v>
      </c>
      <c r="X46" s="26">
        <f>IF(B46="","",IF(IFERROR(INDEX(Staff!$E$5:$E$44,MATCH(D46,Staff!$A$5:$A$44,0))&amp;"","")="Self-employed",0,IF(IFERROR(INDEX(Staff!$E$5:$E$44,MATCH(D46,Staff!$A$5:$A$44,0))&amp;"","")="Chair renter",0,ROUND(U46*PayrollBurden,2))))</f>
        <v>0</v>
      </c>
      <c r="Y46" s="26">
        <f>IF(B46="","",ROUND(U46+X46,2))</f>
        <v>0</v>
      </c>
      <c r="Z46" s="26">
        <f>IF(B46="","",ROUND(SUMIFS(Commissions!$X$5:$X$244,Commissions!$C$5:$C$244,D46,Commissions!$B$5:$B$244,Q46),2))</f>
        <v>0</v>
      </c>
      <c r="AA46" s="26">
        <f>IF(B46="","",ROUND(SUMIFS($H$5:$H$364,$D$5:$D$364,D46,$Q$5:$Q$364,Q46),2))</f>
        <v>0</v>
      </c>
      <c r="AB46" s="26">
        <f>IF(B46="","",ROUND(Z46-AA46,2))</f>
        <v>0</v>
      </c>
      <c r="AC46" s="26">
        <f>IF(B46="","",IF(IF(F46="",0,F46)=0,"",ROUND(Y46/F46,2)))</f>
        <v>0</v>
      </c>
      <c r="AD46" s="39">
        <f>IF(B46="","",IF(D46="","Add - who is this run for?",IF(IF(F46="",H46="",FALSE),"Add - no hours and no commission",IF(AB46&lt;-0.004,"Check - more commission paid than earned",IF(M46&lt;&gt;"Yes","Due - not paid yet",IF(N46="","Check - marked paid, no date","OK"))))))</f>
        <v>0</v>
      </c>
    </row>
    <row r="47" spans="1:30">
      <c r="A47" s="28">
        <f>IF(B47="","",PayrollPrefix&amp;TEXT(ROW()-4,"0000"))</f>
        <v>0</v>
      </c>
      <c r="E47" s="15">
        <f>IF(D47="","",IFERROR(INDEX(Staff!$B$5:$B$44,MATCH(D47,Staff!$A$5:$A$44,0)),"Not in Staff"))</f>
        <v>0</v>
      </c>
      <c r="Q47" s="15">
        <f>IF(B47="","",TEXT(B47,"yyyy-mm"))</f>
        <v>0</v>
      </c>
      <c r="R47" s="25">
        <f>IF(B47="","",WEEKNUM(B47,2))</f>
        <v>0</v>
      </c>
      <c r="S47" s="26">
        <f>IF(B47="","",IF(G47&lt;&gt;"",G47,IFERROR(IF(INDEX(Staff!$P$5:$P$44,MATCH(D47,Staff!$A$5:$A$44,0))="",DefaultHourly,INDEX(Staff!$P$5:$P$44,MATCH(D47,Staff!$A$5:$A$44,0))),DefaultHourly)))</f>
        <v>0</v>
      </c>
      <c r="T47" s="26">
        <f>IF(B47="","",ROUND(IF(F47="",0,F47)*S47,2))</f>
        <v>0</v>
      </c>
      <c r="U47" s="26">
        <f>IF(B47="","",ROUND(T47+IF(H47="",0,H47)+IF(J47="",0,J47)+IF(K47="",0,K47),2))</f>
        <v>0</v>
      </c>
      <c r="V47" s="26">
        <f>IF(B47="","",ROUND(U47-IF(L47="",0,L47),2))</f>
        <v>0</v>
      </c>
      <c r="W47" s="26">
        <f>IF(B47="","",ROUND(V47+IF(I47="",0,I47),2))</f>
        <v>0</v>
      </c>
      <c r="X47" s="26">
        <f>IF(B47="","",IF(IFERROR(INDEX(Staff!$E$5:$E$44,MATCH(D47,Staff!$A$5:$A$44,0))&amp;"","")="Self-employed",0,IF(IFERROR(INDEX(Staff!$E$5:$E$44,MATCH(D47,Staff!$A$5:$A$44,0))&amp;"","")="Chair renter",0,ROUND(U47*PayrollBurden,2))))</f>
        <v>0</v>
      </c>
      <c r="Y47" s="26">
        <f>IF(B47="","",ROUND(U47+X47,2))</f>
        <v>0</v>
      </c>
      <c r="Z47" s="26">
        <f>IF(B47="","",ROUND(SUMIFS(Commissions!$X$5:$X$244,Commissions!$C$5:$C$244,D47,Commissions!$B$5:$B$244,Q47),2))</f>
        <v>0</v>
      </c>
      <c r="AA47" s="26">
        <f>IF(B47="","",ROUND(SUMIFS($H$5:$H$364,$D$5:$D$364,D47,$Q$5:$Q$364,Q47),2))</f>
        <v>0</v>
      </c>
      <c r="AB47" s="26">
        <f>IF(B47="","",ROUND(Z47-AA47,2))</f>
        <v>0</v>
      </c>
      <c r="AC47" s="26">
        <f>IF(B47="","",IF(IF(F47="",0,F47)=0,"",ROUND(Y47/F47,2)))</f>
        <v>0</v>
      </c>
      <c r="AD47" s="39">
        <f>IF(B47="","",IF(D47="","Add - who is this run for?",IF(IF(F47="",H47="",FALSE),"Add - no hours and no commission",IF(AB47&lt;-0.004,"Check - more commission paid than earned",IF(M47&lt;&gt;"Yes","Due - not paid yet",IF(N47="","Check - marked paid, no date","OK"))))))</f>
        <v>0</v>
      </c>
    </row>
    <row r="48" spans="1:30">
      <c r="A48" s="28">
        <f>IF(B48="","",PayrollPrefix&amp;TEXT(ROW()-4,"0000"))</f>
        <v>0</v>
      </c>
      <c r="E48" s="15">
        <f>IF(D48="","",IFERROR(INDEX(Staff!$B$5:$B$44,MATCH(D48,Staff!$A$5:$A$44,0)),"Not in Staff"))</f>
        <v>0</v>
      </c>
      <c r="Q48" s="15">
        <f>IF(B48="","",TEXT(B48,"yyyy-mm"))</f>
        <v>0</v>
      </c>
      <c r="R48" s="25">
        <f>IF(B48="","",WEEKNUM(B48,2))</f>
        <v>0</v>
      </c>
      <c r="S48" s="26">
        <f>IF(B48="","",IF(G48&lt;&gt;"",G48,IFERROR(IF(INDEX(Staff!$P$5:$P$44,MATCH(D48,Staff!$A$5:$A$44,0))="",DefaultHourly,INDEX(Staff!$P$5:$P$44,MATCH(D48,Staff!$A$5:$A$44,0))),DefaultHourly)))</f>
        <v>0</v>
      </c>
      <c r="T48" s="26">
        <f>IF(B48="","",ROUND(IF(F48="",0,F48)*S48,2))</f>
        <v>0</v>
      </c>
      <c r="U48" s="26">
        <f>IF(B48="","",ROUND(T48+IF(H48="",0,H48)+IF(J48="",0,J48)+IF(K48="",0,K48),2))</f>
        <v>0</v>
      </c>
      <c r="V48" s="26">
        <f>IF(B48="","",ROUND(U48-IF(L48="",0,L48),2))</f>
        <v>0</v>
      </c>
      <c r="W48" s="26">
        <f>IF(B48="","",ROUND(V48+IF(I48="",0,I48),2))</f>
        <v>0</v>
      </c>
      <c r="X48" s="26">
        <f>IF(B48="","",IF(IFERROR(INDEX(Staff!$E$5:$E$44,MATCH(D48,Staff!$A$5:$A$44,0))&amp;"","")="Self-employed",0,IF(IFERROR(INDEX(Staff!$E$5:$E$44,MATCH(D48,Staff!$A$5:$A$44,0))&amp;"","")="Chair renter",0,ROUND(U48*PayrollBurden,2))))</f>
        <v>0</v>
      </c>
      <c r="Y48" s="26">
        <f>IF(B48="","",ROUND(U48+X48,2))</f>
        <v>0</v>
      </c>
      <c r="Z48" s="26">
        <f>IF(B48="","",ROUND(SUMIFS(Commissions!$X$5:$X$244,Commissions!$C$5:$C$244,D48,Commissions!$B$5:$B$244,Q48),2))</f>
        <v>0</v>
      </c>
      <c r="AA48" s="26">
        <f>IF(B48="","",ROUND(SUMIFS($H$5:$H$364,$D$5:$D$364,D48,$Q$5:$Q$364,Q48),2))</f>
        <v>0</v>
      </c>
      <c r="AB48" s="26">
        <f>IF(B48="","",ROUND(Z48-AA48,2))</f>
        <v>0</v>
      </c>
      <c r="AC48" s="26">
        <f>IF(B48="","",IF(IF(F48="",0,F48)=0,"",ROUND(Y48/F48,2)))</f>
        <v>0</v>
      </c>
      <c r="AD48" s="39">
        <f>IF(B48="","",IF(D48="","Add - who is this run for?",IF(IF(F48="",H48="",FALSE),"Add - no hours and no commission",IF(AB48&lt;-0.004,"Check - more commission paid than earned",IF(M48&lt;&gt;"Yes","Due - not paid yet",IF(N48="","Check - marked paid, no date","OK"))))))</f>
        <v>0</v>
      </c>
    </row>
    <row r="49" spans="1:30">
      <c r="A49" s="28">
        <f>IF(B49="","",PayrollPrefix&amp;TEXT(ROW()-4,"0000"))</f>
        <v>0</v>
      </c>
      <c r="E49" s="15">
        <f>IF(D49="","",IFERROR(INDEX(Staff!$B$5:$B$44,MATCH(D49,Staff!$A$5:$A$44,0)),"Not in Staff"))</f>
        <v>0</v>
      </c>
      <c r="Q49" s="15">
        <f>IF(B49="","",TEXT(B49,"yyyy-mm"))</f>
        <v>0</v>
      </c>
      <c r="R49" s="25">
        <f>IF(B49="","",WEEKNUM(B49,2))</f>
        <v>0</v>
      </c>
      <c r="S49" s="26">
        <f>IF(B49="","",IF(G49&lt;&gt;"",G49,IFERROR(IF(INDEX(Staff!$P$5:$P$44,MATCH(D49,Staff!$A$5:$A$44,0))="",DefaultHourly,INDEX(Staff!$P$5:$P$44,MATCH(D49,Staff!$A$5:$A$44,0))),DefaultHourly)))</f>
        <v>0</v>
      </c>
      <c r="T49" s="26">
        <f>IF(B49="","",ROUND(IF(F49="",0,F49)*S49,2))</f>
        <v>0</v>
      </c>
      <c r="U49" s="26">
        <f>IF(B49="","",ROUND(T49+IF(H49="",0,H49)+IF(J49="",0,J49)+IF(K49="",0,K49),2))</f>
        <v>0</v>
      </c>
      <c r="V49" s="26">
        <f>IF(B49="","",ROUND(U49-IF(L49="",0,L49),2))</f>
        <v>0</v>
      </c>
      <c r="W49" s="26">
        <f>IF(B49="","",ROUND(V49+IF(I49="",0,I49),2))</f>
        <v>0</v>
      </c>
      <c r="X49" s="26">
        <f>IF(B49="","",IF(IFERROR(INDEX(Staff!$E$5:$E$44,MATCH(D49,Staff!$A$5:$A$44,0))&amp;"","")="Self-employed",0,IF(IFERROR(INDEX(Staff!$E$5:$E$44,MATCH(D49,Staff!$A$5:$A$44,0))&amp;"","")="Chair renter",0,ROUND(U49*PayrollBurden,2))))</f>
        <v>0</v>
      </c>
      <c r="Y49" s="26">
        <f>IF(B49="","",ROUND(U49+X49,2))</f>
        <v>0</v>
      </c>
      <c r="Z49" s="26">
        <f>IF(B49="","",ROUND(SUMIFS(Commissions!$X$5:$X$244,Commissions!$C$5:$C$244,D49,Commissions!$B$5:$B$244,Q49),2))</f>
        <v>0</v>
      </c>
      <c r="AA49" s="26">
        <f>IF(B49="","",ROUND(SUMIFS($H$5:$H$364,$D$5:$D$364,D49,$Q$5:$Q$364,Q49),2))</f>
        <v>0</v>
      </c>
      <c r="AB49" s="26">
        <f>IF(B49="","",ROUND(Z49-AA49,2))</f>
        <v>0</v>
      </c>
      <c r="AC49" s="26">
        <f>IF(B49="","",IF(IF(F49="",0,F49)=0,"",ROUND(Y49/F49,2)))</f>
        <v>0</v>
      </c>
      <c r="AD49" s="39">
        <f>IF(B49="","",IF(D49="","Add - who is this run for?",IF(IF(F49="",H49="",FALSE),"Add - no hours and no commission",IF(AB49&lt;-0.004,"Check - more commission paid than earned",IF(M49&lt;&gt;"Yes","Due - not paid yet",IF(N49="","Check - marked paid, no date","OK"))))))</f>
        <v>0</v>
      </c>
    </row>
    <row r="50" spans="1:30">
      <c r="A50" s="28">
        <f>IF(B50="","",PayrollPrefix&amp;TEXT(ROW()-4,"0000"))</f>
        <v>0</v>
      </c>
      <c r="E50" s="15">
        <f>IF(D50="","",IFERROR(INDEX(Staff!$B$5:$B$44,MATCH(D50,Staff!$A$5:$A$44,0)),"Not in Staff"))</f>
        <v>0</v>
      </c>
      <c r="Q50" s="15">
        <f>IF(B50="","",TEXT(B50,"yyyy-mm"))</f>
        <v>0</v>
      </c>
      <c r="R50" s="25">
        <f>IF(B50="","",WEEKNUM(B50,2))</f>
        <v>0</v>
      </c>
      <c r="S50" s="26">
        <f>IF(B50="","",IF(G50&lt;&gt;"",G50,IFERROR(IF(INDEX(Staff!$P$5:$P$44,MATCH(D50,Staff!$A$5:$A$44,0))="",DefaultHourly,INDEX(Staff!$P$5:$P$44,MATCH(D50,Staff!$A$5:$A$44,0))),DefaultHourly)))</f>
        <v>0</v>
      </c>
      <c r="T50" s="26">
        <f>IF(B50="","",ROUND(IF(F50="",0,F50)*S50,2))</f>
        <v>0</v>
      </c>
      <c r="U50" s="26">
        <f>IF(B50="","",ROUND(T50+IF(H50="",0,H50)+IF(J50="",0,J50)+IF(K50="",0,K50),2))</f>
        <v>0</v>
      </c>
      <c r="V50" s="26">
        <f>IF(B50="","",ROUND(U50-IF(L50="",0,L50),2))</f>
        <v>0</v>
      </c>
      <c r="W50" s="26">
        <f>IF(B50="","",ROUND(V50+IF(I50="",0,I50),2))</f>
        <v>0</v>
      </c>
      <c r="X50" s="26">
        <f>IF(B50="","",IF(IFERROR(INDEX(Staff!$E$5:$E$44,MATCH(D50,Staff!$A$5:$A$44,0))&amp;"","")="Self-employed",0,IF(IFERROR(INDEX(Staff!$E$5:$E$44,MATCH(D50,Staff!$A$5:$A$44,0))&amp;"","")="Chair renter",0,ROUND(U50*PayrollBurden,2))))</f>
        <v>0</v>
      </c>
      <c r="Y50" s="26">
        <f>IF(B50="","",ROUND(U50+X50,2))</f>
        <v>0</v>
      </c>
      <c r="Z50" s="26">
        <f>IF(B50="","",ROUND(SUMIFS(Commissions!$X$5:$X$244,Commissions!$C$5:$C$244,D50,Commissions!$B$5:$B$244,Q50),2))</f>
        <v>0</v>
      </c>
      <c r="AA50" s="26">
        <f>IF(B50="","",ROUND(SUMIFS($H$5:$H$364,$D$5:$D$364,D50,$Q$5:$Q$364,Q50),2))</f>
        <v>0</v>
      </c>
      <c r="AB50" s="26">
        <f>IF(B50="","",ROUND(Z50-AA50,2))</f>
        <v>0</v>
      </c>
      <c r="AC50" s="26">
        <f>IF(B50="","",IF(IF(F50="",0,F50)=0,"",ROUND(Y50/F50,2)))</f>
        <v>0</v>
      </c>
      <c r="AD50" s="39">
        <f>IF(B50="","",IF(D50="","Add - who is this run for?",IF(IF(F50="",H50="",FALSE),"Add - no hours and no commission",IF(AB50&lt;-0.004,"Check - more commission paid than earned",IF(M50&lt;&gt;"Yes","Due - not paid yet",IF(N50="","Check - marked paid, no date","OK"))))))</f>
        <v>0</v>
      </c>
    </row>
    <row r="51" spans="1:30">
      <c r="A51" s="28">
        <f>IF(B51="","",PayrollPrefix&amp;TEXT(ROW()-4,"0000"))</f>
        <v>0</v>
      </c>
      <c r="E51" s="15">
        <f>IF(D51="","",IFERROR(INDEX(Staff!$B$5:$B$44,MATCH(D51,Staff!$A$5:$A$44,0)),"Not in Staff"))</f>
        <v>0</v>
      </c>
      <c r="Q51" s="15">
        <f>IF(B51="","",TEXT(B51,"yyyy-mm"))</f>
        <v>0</v>
      </c>
      <c r="R51" s="25">
        <f>IF(B51="","",WEEKNUM(B51,2))</f>
        <v>0</v>
      </c>
      <c r="S51" s="26">
        <f>IF(B51="","",IF(G51&lt;&gt;"",G51,IFERROR(IF(INDEX(Staff!$P$5:$P$44,MATCH(D51,Staff!$A$5:$A$44,0))="",DefaultHourly,INDEX(Staff!$P$5:$P$44,MATCH(D51,Staff!$A$5:$A$44,0))),DefaultHourly)))</f>
        <v>0</v>
      </c>
      <c r="T51" s="26">
        <f>IF(B51="","",ROUND(IF(F51="",0,F51)*S51,2))</f>
        <v>0</v>
      </c>
      <c r="U51" s="26">
        <f>IF(B51="","",ROUND(T51+IF(H51="",0,H51)+IF(J51="",0,J51)+IF(K51="",0,K51),2))</f>
        <v>0</v>
      </c>
      <c r="V51" s="26">
        <f>IF(B51="","",ROUND(U51-IF(L51="",0,L51),2))</f>
        <v>0</v>
      </c>
      <c r="W51" s="26">
        <f>IF(B51="","",ROUND(V51+IF(I51="",0,I51),2))</f>
        <v>0</v>
      </c>
      <c r="X51" s="26">
        <f>IF(B51="","",IF(IFERROR(INDEX(Staff!$E$5:$E$44,MATCH(D51,Staff!$A$5:$A$44,0))&amp;"","")="Self-employed",0,IF(IFERROR(INDEX(Staff!$E$5:$E$44,MATCH(D51,Staff!$A$5:$A$44,0))&amp;"","")="Chair renter",0,ROUND(U51*PayrollBurden,2))))</f>
        <v>0</v>
      </c>
      <c r="Y51" s="26">
        <f>IF(B51="","",ROUND(U51+X51,2))</f>
        <v>0</v>
      </c>
      <c r="Z51" s="26">
        <f>IF(B51="","",ROUND(SUMIFS(Commissions!$X$5:$X$244,Commissions!$C$5:$C$244,D51,Commissions!$B$5:$B$244,Q51),2))</f>
        <v>0</v>
      </c>
      <c r="AA51" s="26">
        <f>IF(B51="","",ROUND(SUMIFS($H$5:$H$364,$D$5:$D$364,D51,$Q$5:$Q$364,Q51),2))</f>
        <v>0</v>
      </c>
      <c r="AB51" s="26">
        <f>IF(B51="","",ROUND(Z51-AA51,2))</f>
        <v>0</v>
      </c>
      <c r="AC51" s="26">
        <f>IF(B51="","",IF(IF(F51="",0,F51)=0,"",ROUND(Y51/F51,2)))</f>
        <v>0</v>
      </c>
      <c r="AD51" s="39">
        <f>IF(B51="","",IF(D51="","Add - who is this run for?",IF(IF(F51="",H51="",FALSE),"Add - no hours and no commission",IF(AB51&lt;-0.004,"Check - more commission paid than earned",IF(M51&lt;&gt;"Yes","Due - not paid yet",IF(N51="","Check - marked paid, no date","OK"))))))</f>
        <v>0</v>
      </c>
    </row>
    <row r="52" spans="1:30">
      <c r="A52" s="28">
        <f>IF(B52="","",PayrollPrefix&amp;TEXT(ROW()-4,"0000"))</f>
        <v>0</v>
      </c>
      <c r="E52" s="15">
        <f>IF(D52="","",IFERROR(INDEX(Staff!$B$5:$B$44,MATCH(D52,Staff!$A$5:$A$44,0)),"Not in Staff"))</f>
        <v>0</v>
      </c>
      <c r="Q52" s="15">
        <f>IF(B52="","",TEXT(B52,"yyyy-mm"))</f>
        <v>0</v>
      </c>
      <c r="R52" s="25">
        <f>IF(B52="","",WEEKNUM(B52,2))</f>
        <v>0</v>
      </c>
      <c r="S52" s="26">
        <f>IF(B52="","",IF(G52&lt;&gt;"",G52,IFERROR(IF(INDEX(Staff!$P$5:$P$44,MATCH(D52,Staff!$A$5:$A$44,0))="",DefaultHourly,INDEX(Staff!$P$5:$P$44,MATCH(D52,Staff!$A$5:$A$44,0))),DefaultHourly)))</f>
        <v>0</v>
      </c>
      <c r="T52" s="26">
        <f>IF(B52="","",ROUND(IF(F52="",0,F52)*S52,2))</f>
        <v>0</v>
      </c>
      <c r="U52" s="26">
        <f>IF(B52="","",ROUND(T52+IF(H52="",0,H52)+IF(J52="",0,J52)+IF(K52="",0,K52),2))</f>
        <v>0</v>
      </c>
      <c r="V52" s="26">
        <f>IF(B52="","",ROUND(U52-IF(L52="",0,L52),2))</f>
        <v>0</v>
      </c>
      <c r="W52" s="26">
        <f>IF(B52="","",ROUND(V52+IF(I52="",0,I52),2))</f>
        <v>0</v>
      </c>
      <c r="X52" s="26">
        <f>IF(B52="","",IF(IFERROR(INDEX(Staff!$E$5:$E$44,MATCH(D52,Staff!$A$5:$A$44,0))&amp;"","")="Self-employed",0,IF(IFERROR(INDEX(Staff!$E$5:$E$44,MATCH(D52,Staff!$A$5:$A$44,0))&amp;"","")="Chair renter",0,ROUND(U52*PayrollBurden,2))))</f>
        <v>0</v>
      </c>
      <c r="Y52" s="26">
        <f>IF(B52="","",ROUND(U52+X52,2))</f>
        <v>0</v>
      </c>
      <c r="Z52" s="26">
        <f>IF(B52="","",ROUND(SUMIFS(Commissions!$X$5:$X$244,Commissions!$C$5:$C$244,D52,Commissions!$B$5:$B$244,Q52),2))</f>
        <v>0</v>
      </c>
      <c r="AA52" s="26">
        <f>IF(B52="","",ROUND(SUMIFS($H$5:$H$364,$D$5:$D$364,D52,$Q$5:$Q$364,Q52),2))</f>
        <v>0</v>
      </c>
      <c r="AB52" s="26">
        <f>IF(B52="","",ROUND(Z52-AA52,2))</f>
        <v>0</v>
      </c>
      <c r="AC52" s="26">
        <f>IF(B52="","",IF(IF(F52="",0,F52)=0,"",ROUND(Y52/F52,2)))</f>
        <v>0</v>
      </c>
      <c r="AD52" s="39">
        <f>IF(B52="","",IF(D52="","Add - who is this run for?",IF(IF(F52="",H52="",FALSE),"Add - no hours and no commission",IF(AB52&lt;-0.004,"Check - more commission paid than earned",IF(M52&lt;&gt;"Yes","Due - not paid yet",IF(N52="","Check - marked paid, no date","OK"))))))</f>
        <v>0</v>
      </c>
    </row>
    <row r="53" spans="1:30">
      <c r="A53" s="28">
        <f>IF(B53="","",PayrollPrefix&amp;TEXT(ROW()-4,"0000"))</f>
        <v>0</v>
      </c>
      <c r="E53" s="15">
        <f>IF(D53="","",IFERROR(INDEX(Staff!$B$5:$B$44,MATCH(D53,Staff!$A$5:$A$44,0)),"Not in Staff"))</f>
        <v>0</v>
      </c>
      <c r="Q53" s="15">
        <f>IF(B53="","",TEXT(B53,"yyyy-mm"))</f>
        <v>0</v>
      </c>
      <c r="R53" s="25">
        <f>IF(B53="","",WEEKNUM(B53,2))</f>
        <v>0</v>
      </c>
      <c r="S53" s="26">
        <f>IF(B53="","",IF(G53&lt;&gt;"",G53,IFERROR(IF(INDEX(Staff!$P$5:$P$44,MATCH(D53,Staff!$A$5:$A$44,0))="",DefaultHourly,INDEX(Staff!$P$5:$P$44,MATCH(D53,Staff!$A$5:$A$44,0))),DefaultHourly)))</f>
        <v>0</v>
      </c>
      <c r="T53" s="26">
        <f>IF(B53="","",ROUND(IF(F53="",0,F53)*S53,2))</f>
        <v>0</v>
      </c>
      <c r="U53" s="26">
        <f>IF(B53="","",ROUND(T53+IF(H53="",0,H53)+IF(J53="",0,J53)+IF(K53="",0,K53),2))</f>
        <v>0</v>
      </c>
      <c r="V53" s="26">
        <f>IF(B53="","",ROUND(U53-IF(L53="",0,L53),2))</f>
        <v>0</v>
      </c>
      <c r="W53" s="26">
        <f>IF(B53="","",ROUND(V53+IF(I53="",0,I53),2))</f>
        <v>0</v>
      </c>
      <c r="X53" s="26">
        <f>IF(B53="","",IF(IFERROR(INDEX(Staff!$E$5:$E$44,MATCH(D53,Staff!$A$5:$A$44,0))&amp;"","")="Self-employed",0,IF(IFERROR(INDEX(Staff!$E$5:$E$44,MATCH(D53,Staff!$A$5:$A$44,0))&amp;"","")="Chair renter",0,ROUND(U53*PayrollBurden,2))))</f>
        <v>0</v>
      </c>
      <c r="Y53" s="26">
        <f>IF(B53="","",ROUND(U53+X53,2))</f>
        <v>0</v>
      </c>
      <c r="Z53" s="26">
        <f>IF(B53="","",ROUND(SUMIFS(Commissions!$X$5:$X$244,Commissions!$C$5:$C$244,D53,Commissions!$B$5:$B$244,Q53),2))</f>
        <v>0</v>
      </c>
      <c r="AA53" s="26">
        <f>IF(B53="","",ROUND(SUMIFS($H$5:$H$364,$D$5:$D$364,D53,$Q$5:$Q$364,Q53),2))</f>
        <v>0</v>
      </c>
      <c r="AB53" s="26">
        <f>IF(B53="","",ROUND(Z53-AA53,2))</f>
        <v>0</v>
      </c>
      <c r="AC53" s="26">
        <f>IF(B53="","",IF(IF(F53="",0,F53)=0,"",ROUND(Y53/F53,2)))</f>
        <v>0</v>
      </c>
      <c r="AD53" s="39">
        <f>IF(B53="","",IF(D53="","Add - who is this run for?",IF(IF(F53="",H53="",FALSE),"Add - no hours and no commission",IF(AB53&lt;-0.004,"Check - more commission paid than earned",IF(M53&lt;&gt;"Yes","Due - not paid yet",IF(N53="","Check - marked paid, no date","OK"))))))</f>
        <v>0</v>
      </c>
    </row>
    <row r="54" spans="1:30">
      <c r="A54" s="28">
        <f>IF(B54="","",PayrollPrefix&amp;TEXT(ROW()-4,"0000"))</f>
        <v>0</v>
      </c>
      <c r="E54" s="15">
        <f>IF(D54="","",IFERROR(INDEX(Staff!$B$5:$B$44,MATCH(D54,Staff!$A$5:$A$44,0)),"Not in Staff"))</f>
        <v>0</v>
      </c>
      <c r="Q54" s="15">
        <f>IF(B54="","",TEXT(B54,"yyyy-mm"))</f>
        <v>0</v>
      </c>
      <c r="R54" s="25">
        <f>IF(B54="","",WEEKNUM(B54,2))</f>
        <v>0</v>
      </c>
      <c r="S54" s="26">
        <f>IF(B54="","",IF(G54&lt;&gt;"",G54,IFERROR(IF(INDEX(Staff!$P$5:$P$44,MATCH(D54,Staff!$A$5:$A$44,0))="",DefaultHourly,INDEX(Staff!$P$5:$P$44,MATCH(D54,Staff!$A$5:$A$44,0))),DefaultHourly)))</f>
        <v>0</v>
      </c>
      <c r="T54" s="26">
        <f>IF(B54="","",ROUND(IF(F54="",0,F54)*S54,2))</f>
        <v>0</v>
      </c>
      <c r="U54" s="26">
        <f>IF(B54="","",ROUND(T54+IF(H54="",0,H54)+IF(J54="",0,J54)+IF(K54="",0,K54),2))</f>
        <v>0</v>
      </c>
      <c r="V54" s="26">
        <f>IF(B54="","",ROUND(U54-IF(L54="",0,L54),2))</f>
        <v>0</v>
      </c>
      <c r="W54" s="26">
        <f>IF(B54="","",ROUND(V54+IF(I54="",0,I54),2))</f>
        <v>0</v>
      </c>
      <c r="X54" s="26">
        <f>IF(B54="","",IF(IFERROR(INDEX(Staff!$E$5:$E$44,MATCH(D54,Staff!$A$5:$A$44,0))&amp;"","")="Self-employed",0,IF(IFERROR(INDEX(Staff!$E$5:$E$44,MATCH(D54,Staff!$A$5:$A$44,0))&amp;"","")="Chair renter",0,ROUND(U54*PayrollBurden,2))))</f>
        <v>0</v>
      </c>
      <c r="Y54" s="26">
        <f>IF(B54="","",ROUND(U54+X54,2))</f>
        <v>0</v>
      </c>
      <c r="Z54" s="26">
        <f>IF(B54="","",ROUND(SUMIFS(Commissions!$X$5:$X$244,Commissions!$C$5:$C$244,D54,Commissions!$B$5:$B$244,Q54),2))</f>
        <v>0</v>
      </c>
      <c r="AA54" s="26">
        <f>IF(B54="","",ROUND(SUMIFS($H$5:$H$364,$D$5:$D$364,D54,$Q$5:$Q$364,Q54),2))</f>
        <v>0</v>
      </c>
      <c r="AB54" s="26">
        <f>IF(B54="","",ROUND(Z54-AA54,2))</f>
        <v>0</v>
      </c>
      <c r="AC54" s="26">
        <f>IF(B54="","",IF(IF(F54="",0,F54)=0,"",ROUND(Y54/F54,2)))</f>
        <v>0</v>
      </c>
      <c r="AD54" s="39">
        <f>IF(B54="","",IF(D54="","Add - who is this run for?",IF(IF(F54="",H54="",FALSE),"Add - no hours and no commission",IF(AB54&lt;-0.004,"Check - more commission paid than earned",IF(M54&lt;&gt;"Yes","Due - not paid yet",IF(N54="","Check - marked paid, no date","OK"))))))</f>
        <v>0</v>
      </c>
    </row>
    <row r="55" spans="1:30">
      <c r="A55" s="28">
        <f>IF(B55="","",PayrollPrefix&amp;TEXT(ROW()-4,"0000"))</f>
        <v>0</v>
      </c>
      <c r="E55" s="15">
        <f>IF(D55="","",IFERROR(INDEX(Staff!$B$5:$B$44,MATCH(D55,Staff!$A$5:$A$44,0)),"Not in Staff"))</f>
        <v>0</v>
      </c>
      <c r="Q55" s="15">
        <f>IF(B55="","",TEXT(B55,"yyyy-mm"))</f>
        <v>0</v>
      </c>
      <c r="R55" s="25">
        <f>IF(B55="","",WEEKNUM(B55,2))</f>
        <v>0</v>
      </c>
      <c r="S55" s="26">
        <f>IF(B55="","",IF(G55&lt;&gt;"",G55,IFERROR(IF(INDEX(Staff!$P$5:$P$44,MATCH(D55,Staff!$A$5:$A$44,0))="",DefaultHourly,INDEX(Staff!$P$5:$P$44,MATCH(D55,Staff!$A$5:$A$44,0))),DefaultHourly)))</f>
        <v>0</v>
      </c>
      <c r="T55" s="26">
        <f>IF(B55="","",ROUND(IF(F55="",0,F55)*S55,2))</f>
        <v>0</v>
      </c>
      <c r="U55" s="26">
        <f>IF(B55="","",ROUND(T55+IF(H55="",0,H55)+IF(J55="",0,J55)+IF(K55="",0,K55),2))</f>
        <v>0</v>
      </c>
      <c r="V55" s="26">
        <f>IF(B55="","",ROUND(U55-IF(L55="",0,L55),2))</f>
        <v>0</v>
      </c>
      <c r="W55" s="26">
        <f>IF(B55="","",ROUND(V55+IF(I55="",0,I55),2))</f>
        <v>0</v>
      </c>
      <c r="X55" s="26">
        <f>IF(B55="","",IF(IFERROR(INDEX(Staff!$E$5:$E$44,MATCH(D55,Staff!$A$5:$A$44,0))&amp;"","")="Self-employed",0,IF(IFERROR(INDEX(Staff!$E$5:$E$44,MATCH(D55,Staff!$A$5:$A$44,0))&amp;"","")="Chair renter",0,ROUND(U55*PayrollBurden,2))))</f>
        <v>0</v>
      </c>
      <c r="Y55" s="26">
        <f>IF(B55="","",ROUND(U55+X55,2))</f>
        <v>0</v>
      </c>
      <c r="Z55" s="26">
        <f>IF(B55="","",ROUND(SUMIFS(Commissions!$X$5:$X$244,Commissions!$C$5:$C$244,D55,Commissions!$B$5:$B$244,Q55),2))</f>
        <v>0</v>
      </c>
      <c r="AA55" s="26">
        <f>IF(B55="","",ROUND(SUMIFS($H$5:$H$364,$D$5:$D$364,D55,$Q$5:$Q$364,Q55),2))</f>
        <v>0</v>
      </c>
      <c r="AB55" s="26">
        <f>IF(B55="","",ROUND(Z55-AA55,2))</f>
        <v>0</v>
      </c>
      <c r="AC55" s="26">
        <f>IF(B55="","",IF(IF(F55="",0,F55)=0,"",ROUND(Y55/F55,2)))</f>
        <v>0</v>
      </c>
      <c r="AD55" s="39">
        <f>IF(B55="","",IF(D55="","Add - who is this run for?",IF(IF(F55="",H55="",FALSE),"Add - no hours and no commission",IF(AB55&lt;-0.004,"Check - more commission paid than earned",IF(M55&lt;&gt;"Yes","Due - not paid yet",IF(N55="","Check - marked paid, no date","OK"))))))</f>
        <v>0</v>
      </c>
    </row>
    <row r="56" spans="1:30">
      <c r="A56" s="28">
        <f>IF(B56="","",PayrollPrefix&amp;TEXT(ROW()-4,"0000"))</f>
        <v>0</v>
      </c>
      <c r="E56" s="15">
        <f>IF(D56="","",IFERROR(INDEX(Staff!$B$5:$B$44,MATCH(D56,Staff!$A$5:$A$44,0)),"Not in Staff"))</f>
        <v>0</v>
      </c>
      <c r="Q56" s="15">
        <f>IF(B56="","",TEXT(B56,"yyyy-mm"))</f>
        <v>0</v>
      </c>
      <c r="R56" s="25">
        <f>IF(B56="","",WEEKNUM(B56,2))</f>
        <v>0</v>
      </c>
      <c r="S56" s="26">
        <f>IF(B56="","",IF(G56&lt;&gt;"",G56,IFERROR(IF(INDEX(Staff!$P$5:$P$44,MATCH(D56,Staff!$A$5:$A$44,0))="",DefaultHourly,INDEX(Staff!$P$5:$P$44,MATCH(D56,Staff!$A$5:$A$44,0))),DefaultHourly)))</f>
        <v>0</v>
      </c>
      <c r="T56" s="26">
        <f>IF(B56="","",ROUND(IF(F56="",0,F56)*S56,2))</f>
        <v>0</v>
      </c>
      <c r="U56" s="26">
        <f>IF(B56="","",ROUND(T56+IF(H56="",0,H56)+IF(J56="",0,J56)+IF(K56="",0,K56),2))</f>
        <v>0</v>
      </c>
      <c r="V56" s="26">
        <f>IF(B56="","",ROUND(U56-IF(L56="",0,L56),2))</f>
        <v>0</v>
      </c>
      <c r="W56" s="26">
        <f>IF(B56="","",ROUND(V56+IF(I56="",0,I56),2))</f>
        <v>0</v>
      </c>
      <c r="X56" s="26">
        <f>IF(B56="","",IF(IFERROR(INDEX(Staff!$E$5:$E$44,MATCH(D56,Staff!$A$5:$A$44,0))&amp;"","")="Self-employed",0,IF(IFERROR(INDEX(Staff!$E$5:$E$44,MATCH(D56,Staff!$A$5:$A$44,0))&amp;"","")="Chair renter",0,ROUND(U56*PayrollBurden,2))))</f>
        <v>0</v>
      </c>
      <c r="Y56" s="26">
        <f>IF(B56="","",ROUND(U56+X56,2))</f>
        <v>0</v>
      </c>
      <c r="Z56" s="26">
        <f>IF(B56="","",ROUND(SUMIFS(Commissions!$X$5:$X$244,Commissions!$C$5:$C$244,D56,Commissions!$B$5:$B$244,Q56),2))</f>
        <v>0</v>
      </c>
      <c r="AA56" s="26">
        <f>IF(B56="","",ROUND(SUMIFS($H$5:$H$364,$D$5:$D$364,D56,$Q$5:$Q$364,Q56),2))</f>
        <v>0</v>
      </c>
      <c r="AB56" s="26">
        <f>IF(B56="","",ROUND(Z56-AA56,2))</f>
        <v>0</v>
      </c>
      <c r="AC56" s="26">
        <f>IF(B56="","",IF(IF(F56="",0,F56)=0,"",ROUND(Y56/F56,2)))</f>
        <v>0</v>
      </c>
      <c r="AD56" s="39">
        <f>IF(B56="","",IF(D56="","Add - who is this run for?",IF(IF(F56="",H56="",FALSE),"Add - no hours and no commission",IF(AB56&lt;-0.004,"Check - more commission paid than earned",IF(M56&lt;&gt;"Yes","Due - not paid yet",IF(N56="","Check - marked paid, no date","OK"))))))</f>
        <v>0</v>
      </c>
    </row>
    <row r="57" spans="1:30">
      <c r="A57" s="28">
        <f>IF(B57="","",PayrollPrefix&amp;TEXT(ROW()-4,"0000"))</f>
        <v>0</v>
      </c>
      <c r="E57" s="15">
        <f>IF(D57="","",IFERROR(INDEX(Staff!$B$5:$B$44,MATCH(D57,Staff!$A$5:$A$44,0)),"Not in Staff"))</f>
        <v>0</v>
      </c>
      <c r="Q57" s="15">
        <f>IF(B57="","",TEXT(B57,"yyyy-mm"))</f>
        <v>0</v>
      </c>
      <c r="R57" s="25">
        <f>IF(B57="","",WEEKNUM(B57,2))</f>
        <v>0</v>
      </c>
      <c r="S57" s="26">
        <f>IF(B57="","",IF(G57&lt;&gt;"",G57,IFERROR(IF(INDEX(Staff!$P$5:$P$44,MATCH(D57,Staff!$A$5:$A$44,0))="",DefaultHourly,INDEX(Staff!$P$5:$P$44,MATCH(D57,Staff!$A$5:$A$44,0))),DefaultHourly)))</f>
        <v>0</v>
      </c>
      <c r="T57" s="26">
        <f>IF(B57="","",ROUND(IF(F57="",0,F57)*S57,2))</f>
        <v>0</v>
      </c>
      <c r="U57" s="26">
        <f>IF(B57="","",ROUND(T57+IF(H57="",0,H57)+IF(J57="",0,J57)+IF(K57="",0,K57),2))</f>
        <v>0</v>
      </c>
      <c r="V57" s="26">
        <f>IF(B57="","",ROUND(U57-IF(L57="",0,L57),2))</f>
        <v>0</v>
      </c>
      <c r="W57" s="26">
        <f>IF(B57="","",ROUND(V57+IF(I57="",0,I57),2))</f>
        <v>0</v>
      </c>
      <c r="X57" s="26">
        <f>IF(B57="","",IF(IFERROR(INDEX(Staff!$E$5:$E$44,MATCH(D57,Staff!$A$5:$A$44,0))&amp;"","")="Self-employed",0,IF(IFERROR(INDEX(Staff!$E$5:$E$44,MATCH(D57,Staff!$A$5:$A$44,0))&amp;"","")="Chair renter",0,ROUND(U57*PayrollBurden,2))))</f>
        <v>0</v>
      </c>
      <c r="Y57" s="26">
        <f>IF(B57="","",ROUND(U57+X57,2))</f>
        <v>0</v>
      </c>
      <c r="Z57" s="26">
        <f>IF(B57="","",ROUND(SUMIFS(Commissions!$X$5:$X$244,Commissions!$C$5:$C$244,D57,Commissions!$B$5:$B$244,Q57),2))</f>
        <v>0</v>
      </c>
      <c r="AA57" s="26">
        <f>IF(B57="","",ROUND(SUMIFS($H$5:$H$364,$D$5:$D$364,D57,$Q$5:$Q$364,Q57),2))</f>
        <v>0</v>
      </c>
      <c r="AB57" s="26">
        <f>IF(B57="","",ROUND(Z57-AA57,2))</f>
        <v>0</v>
      </c>
      <c r="AC57" s="26">
        <f>IF(B57="","",IF(IF(F57="",0,F57)=0,"",ROUND(Y57/F57,2)))</f>
        <v>0</v>
      </c>
      <c r="AD57" s="39">
        <f>IF(B57="","",IF(D57="","Add - who is this run for?",IF(IF(F57="",H57="",FALSE),"Add - no hours and no commission",IF(AB57&lt;-0.004,"Check - more commission paid than earned",IF(M57&lt;&gt;"Yes","Due - not paid yet",IF(N57="","Check - marked paid, no date","OK"))))))</f>
        <v>0</v>
      </c>
    </row>
    <row r="58" spans="1:30">
      <c r="A58" s="28">
        <f>IF(B58="","",PayrollPrefix&amp;TEXT(ROW()-4,"0000"))</f>
        <v>0</v>
      </c>
      <c r="E58" s="15">
        <f>IF(D58="","",IFERROR(INDEX(Staff!$B$5:$B$44,MATCH(D58,Staff!$A$5:$A$44,0)),"Not in Staff"))</f>
        <v>0</v>
      </c>
      <c r="Q58" s="15">
        <f>IF(B58="","",TEXT(B58,"yyyy-mm"))</f>
        <v>0</v>
      </c>
      <c r="R58" s="25">
        <f>IF(B58="","",WEEKNUM(B58,2))</f>
        <v>0</v>
      </c>
      <c r="S58" s="26">
        <f>IF(B58="","",IF(G58&lt;&gt;"",G58,IFERROR(IF(INDEX(Staff!$P$5:$P$44,MATCH(D58,Staff!$A$5:$A$44,0))="",DefaultHourly,INDEX(Staff!$P$5:$P$44,MATCH(D58,Staff!$A$5:$A$44,0))),DefaultHourly)))</f>
        <v>0</v>
      </c>
      <c r="T58" s="26">
        <f>IF(B58="","",ROUND(IF(F58="",0,F58)*S58,2))</f>
        <v>0</v>
      </c>
      <c r="U58" s="26">
        <f>IF(B58="","",ROUND(T58+IF(H58="",0,H58)+IF(J58="",0,J58)+IF(K58="",0,K58),2))</f>
        <v>0</v>
      </c>
      <c r="V58" s="26">
        <f>IF(B58="","",ROUND(U58-IF(L58="",0,L58),2))</f>
        <v>0</v>
      </c>
      <c r="W58" s="26">
        <f>IF(B58="","",ROUND(V58+IF(I58="",0,I58),2))</f>
        <v>0</v>
      </c>
      <c r="X58" s="26">
        <f>IF(B58="","",IF(IFERROR(INDEX(Staff!$E$5:$E$44,MATCH(D58,Staff!$A$5:$A$44,0))&amp;"","")="Self-employed",0,IF(IFERROR(INDEX(Staff!$E$5:$E$44,MATCH(D58,Staff!$A$5:$A$44,0))&amp;"","")="Chair renter",0,ROUND(U58*PayrollBurden,2))))</f>
        <v>0</v>
      </c>
      <c r="Y58" s="26">
        <f>IF(B58="","",ROUND(U58+X58,2))</f>
        <v>0</v>
      </c>
      <c r="Z58" s="26">
        <f>IF(B58="","",ROUND(SUMIFS(Commissions!$X$5:$X$244,Commissions!$C$5:$C$244,D58,Commissions!$B$5:$B$244,Q58),2))</f>
        <v>0</v>
      </c>
      <c r="AA58" s="26">
        <f>IF(B58="","",ROUND(SUMIFS($H$5:$H$364,$D$5:$D$364,D58,$Q$5:$Q$364,Q58),2))</f>
        <v>0</v>
      </c>
      <c r="AB58" s="26">
        <f>IF(B58="","",ROUND(Z58-AA58,2))</f>
        <v>0</v>
      </c>
      <c r="AC58" s="26">
        <f>IF(B58="","",IF(IF(F58="",0,F58)=0,"",ROUND(Y58/F58,2)))</f>
        <v>0</v>
      </c>
      <c r="AD58" s="39">
        <f>IF(B58="","",IF(D58="","Add - who is this run for?",IF(IF(F58="",H58="",FALSE),"Add - no hours and no commission",IF(AB58&lt;-0.004,"Check - more commission paid than earned",IF(M58&lt;&gt;"Yes","Due - not paid yet",IF(N58="","Check - marked paid, no date","OK"))))))</f>
        <v>0</v>
      </c>
    </row>
    <row r="59" spans="1:30">
      <c r="A59" s="28">
        <f>IF(B59="","",PayrollPrefix&amp;TEXT(ROW()-4,"0000"))</f>
        <v>0</v>
      </c>
      <c r="E59" s="15">
        <f>IF(D59="","",IFERROR(INDEX(Staff!$B$5:$B$44,MATCH(D59,Staff!$A$5:$A$44,0)),"Not in Staff"))</f>
        <v>0</v>
      </c>
      <c r="Q59" s="15">
        <f>IF(B59="","",TEXT(B59,"yyyy-mm"))</f>
        <v>0</v>
      </c>
      <c r="R59" s="25">
        <f>IF(B59="","",WEEKNUM(B59,2))</f>
        <v>0</v>
      </c>
      <c r="S59" s="26">
        <f>IF(B59="","",IF(G59&lt;&gt;"",G59,IFERROR(IF(INDEX(Staff!$P$5:$P$44,MATCH(D59,Staff!$A$5:$A$44,0))="",DefaultHourly,INDEX(Staff!$P$5:$P$44,MATCH(D59,Staff!$A$5:$A$44,0))),DefaultHourly)))</f>
        <v>0</v>
      </c>
      <c r="T59" s="26">
        <f>IF(B59="","",ROUND(IF(F59="",0,F59)*S59,2))</f>
        <v>0</v>
      </c>
      <c r="U59" s="26">
        <f>IF(B59="","",ROUND(T59+IF(H59="",0,H59)+IF(J59="",0,J59)+IF(K59="",0,K59),2))</f>
        <v>0</v>
      </c>
      <c r="V59" s="26">
        <f>IF(B59="","",ROUND(U59-IF(L59="",0,L59),2))</f>
        <v>0</v>
      </c>
      <c r="W59" s="26">
        <f>IF(B59="","",ROUND(V59+IF(I59="",0,I59),2))</f>
        <v>0</v>
      </c>
      <c r="X59" s="26">
        <f>IF(B59="","",IF(IFERROR(INDEX(Staff!$E$5:$E$44,MATCH(D59,Staff!$A$5:$A$44,0))&amp;"","")="Self-employed",0,IF(IFERROR(INDEX(Staff!$E$5:$E$44,MATCH(D59,Staff!$A$5:$A$44,0))&amp;"","")="Chair renter",0,ROUND(U59*PayrollBurden,2))))</f>
        <v>0</v>
      </c>
      <c r="Y59" s="26">
        <f>IF(B59="","",ROUND(U59+X59,2))</f>
        <v>0</v>
      </c>
      <c r="Z59" s="26">
        <f>IF(B59="","",ROUND(SUMIFS(Commissions!$X$5:$X$244,Commissions!$C$5:$C$244,D59,Commissions!$B$5:$B$244,Q59),2))</f>
        <v>0</v>
      </c>
      <c r="AA59" s="26">
        <f>IF(B59="","",ROUND(SUMIFS($H$5:$H$364,$D$5:$D$364,D59,$Q$5:$Q$364,Q59),2))</f>
        <v>0</v>
      </c>
      <c r="AB59" s="26">
        <f>IF(B59="","",ROUND(Z59-AA59,2))</f>
        <v>0</v>
      </c>
      <c r="AC59" s="26">
        <f>IF(B59="","",IF(IF(F59="",0,F59)=0,"",ROUND(Y59/F59,2)))</f>
        <v>0</v>
      </c>
      <c r="AD59" s="39">
        <f>IF(B59="","",IF(D59="","Add - who is this run for?",IF(IF(F59="",H59="",FALSE),"Add - no hours and no commission",IF(AB59&lt;-0.004,"Check - more commission paid than earned",IF(M59&lt;&gt;"Yes","Due - not paid yet",IF(N59="","Check - marked paid, no date","OK"))))))</f>
        <v>0</v>
      </c>
    </row>
    <row r="60" spans="1:30">
      <c r="A60" s="28">
        <f>IF(B60="","",PayrollPrefix&amp;TEXT(ROW()-4,"0000"))</f>
        <v>0</v>
      </c>
      <c r="E60" s="15">
        <f>IF(D60="","",IFERROR(INDEX(Staff!$B$5:$B$44,MATCH(D60,Staff!$A$5:$A$44,0)),"Not in Staff"))</f>
        <v>0</v>
      </c>
      <c r="Q60" s="15">
        <f>IF(B60="","",TEXT(B60,"yyyy-mm"))</f>
        <v>0</v>
      </c>
      <c r="R60" s="25">
        <f>IF(B60="","",WEEKNUM(B60,2))</f>
        <v>0</v>
      </c>
      <c r="S60" s="26">
        <f>IF(B60="","",IF(G60&lt;&gt;"",G60,IFERROR(IF(INDEX(Staff!$P$5:$P$44,MATCH(D60,Staff!$A$5:$A$44,0))="",DefaultHourly,INDEX(Staff!$P$5:$P$44,MATCH(D60,Staff!$A$5:$A$44,0))),DefaultHourly)))</f>
        <v>0</v>
      </c>
      <c r="T60" s="26">
        <f>IF(B60="","",ROUND(IF(F60="",0,F60)*S60,2))</f>
        <v>0</v>
      </c>
      <c r="U60" s="26">
        <f>IF(B60="","",ROUND(T60+IF(H60="",0,H60)+IF(J60="",0,J60)+IF(K60="",0,K60),2))</f>
        <v>0</v>
      </c>
      <c r="V60" s="26">
        <f>IF(B60="","",ROUND(U60-IF(L60="",0,L60),2))</f>
        <v>0</v>
      </c>
      <c r="W60" s="26">
        <f>IF(B60="","",ROUND(V60+IF(I60="",0,I60),2))</f>
        <v>0</v>
      </c>
      <c r="X60" s="26">
        <f>IF(B60="","",IF(IFERROR(INDEX(Staff!$E$5:$E$44,MATCH(D60,Staff!$A$5:$A$44,0))&amp;"","")="Self-employed",0,IF(IFERROR(INDEX(Staff!$E$5:$E$44,MATCH(D60,Staff!$A$5:$A$44,0))&amp;"","")="Chair renter",0,ROUND(U60*PayrollBurden,2))))</f>
        <v>0</v>
      </c>
      <c r="Y60" s="26">
        <f>IF(B60="","",ROUND(U60+X60,2))</f>
        <v>0</v>
      </c>
      <c r="Z60" s="26">
        <f>IF(B60="","",ROUND(SUMIFS(Commissions!$X$5:$X$244,Commissions!$C$5:$C$244,D60,Commissions!$B$5:$B$244,Q60),2))</f>
        <v>0</v>
      </c>
      <c r="AA60" s="26">
        <f>IF(B60="","",ROUND(SUMIFS($H$5:$H$364,$D$5:$D$364,D60,$Q$5:$Q$364,Q60),2))</f>
        <v>0</v>
      </c>
      <c r="AB60" s="26">
        <f>IF(B60="","",ROUND(Z60-AA60,2))</f>
        <v>0</v>
      </c>
      <c r="AC60" s="26">
        <f>IF(B60="","",IF(IF(F60="",0,F60)=0,"",ROUND(Y60/F60,2)))</f>
        <v>0</v>
      </c>
      <c r="AD60" s="39">
        <f>IF(B60="","",IF(D60="","Add - who is this run for?",IF(IF(F60="",H60="",FALSE),"Add - no hours and no commission",IF(AB60&lt;-0.004,"Check - more commission paid than earned",IF(M60&lt;&gt;"Yes","Due - not paid yet",IF(N60="","Check - marked paid, no date","OK"))))))</f>
        <v>0</v>
      </c>
    </row>
    <row r="61" spans="1:30">
      <c r="A61" s="28">
        <f>IF(B61="","",PayrollPrefix&amp;TEXT(ROW()-4,"0000"))</f>
        <v>0</v>
      </c>
      <c r="E61" s="15">
        <f>IF(D61="","",IFERROR(INDEX(Staff!$B$5:$B$44,MATCH(D61,Staff!$A$5:$A$44,0)),"Not in Staff"))</f>
        <v>0</v>
      </c>
      <c r="Q61" s="15">
        <f>IF(B61="","",TEXT(B61,"yyyy-mm"))</f>
        <v>0</v>
      </c>
      <c r="R61" s="25">
        <f>IF(B61="","",WEEKNUM(B61,2))</f>
        <v>0</v>
      </c>
      <c r="S61" s="26">
        <f>IF(B61="","",IF(G61&lt;&gt;"",G61,IFERROR(IF(INDEX(Staff!$P$5:$P$44,MATCH(D61,Staff!$A$5:$A$44,0))="",DefaultHourly,INDEX(Staff!$P$5:$P$44,MATCH(D61,Staff!$A$5:$A$44,0))),DefaultHourly)))</f>
        <v>0</v>
      </c>
      <c r="T61" s="26">
        <f>IF(B61="","",ROUND(IF(F61="",0,F61)*S61,2))</f>
        <v>0</v>
      </c>
      <c r="U61" s="26">
        <f>IF(B61="","",ROUND(T61+IF(H61="",0,H61)+IF(J61="",0,J61)+IF(K61="",0,K61),2))</f>
        <v>0</v>
      </c>
      <c r="V61" s="26">
        <f>IF(B61="","",ROUND(U61-IF(L61="",0,L61),2))</f>
        <v>0</v>
      </c>
      <c r="W61" s="26">
        <f>IF(B61="","",ROUND(V61+IF(I61="",0,I61),2))</f>
        <v>0</v>
      </c>
      <c r="X61" s="26">
        <f>IF(B61="","",IF(IFERROR(INDEX(Staff!$E$5:$E$44,MATCH(D61,Staff!$A$5:$A$44,0))&amp;"","")="Self-employed",0,IF(IFERROR(INDEX(Staff!$E$5:$E$44,MATCH(D61,Staff!$A$5:$A$44,0))&amp;"","")="Chair renter",0,ROUND(U61*PayrollBurden,2))))</f>
        <v>0</v>
      </c>
      <c r="Y61" s="26">
        <f>IF(B61="","",ROUND(U61+X61,2))</f>
        <v>0</v>
      </c>
      <c r="Z61" s="26">
        <f>IF(B61="","",ROUND(SUMIFS(Commissions!$X$5:$X$244,Commissions!$C$5:$C$244,D61,Commissions!$B$5:$B$244,Q61),2))</f>
        <v>0</v>
      </c>
      <c r="AA61" s="26">
        <f>IF(B61="","",ROUND(SUMIFS($H$5:$H$364,$D$5:$D$364,D61,$Q$5:$Q$364,Q61),2))</f>
        <v>0</v>
      </c>
      <c r="AB61" s="26">
        <f>IF(B61="","",ROUND(Z61-AA61,2))</f>
        <v>0</v>
      </c>
      <c r="AC61" s="26">
        <f>IF(B61="","",IF(IF(F61="",0,F61)=0,"",ROUND(Y61/F61,2)))</f>
        <v>0</v>
      </c>
      <c r="AD61" s="39">
        <f>IF(B61="","",IF(D61="","Add - who is this run for?",IF(IF(F61="",H61="",FALSE),"Add - no hours and no commission",IF(AB61&lt;-0.004,"Check - more commission paid than earned",IF(M61&lt;&gt;"Yes","Due - not paid yet",IF(N61="","Check - marked paid, no date","OK"))))))</f>
        <v>0</v>
      </c>
    </row>
    <row r="62" spans="1:30">
      <c r="A62" s="28">
        <f>IF(B62="","",PayrollPrefix&amp;TEXT(ROW()-4,"0000"))</f>
        <v>0</v>
      </c>
      <c r="E62" s="15">
        <f>IF(D62="","",IFERROR(INDEX(Staff!$B$5:$B$44,MATCH(D62,Staff!$A$5:$A$44,0)),"Not in Staff"))</f>
        <v>0</v>
      </c>
      <c r="Q62" s="15">
        <f>IF(B62="","",TEXT(B62,"yyyy-mm"))</f>
        <v>0</v>
      </c>
      <c r="R62" s="25">
        <f>IF(B62="","",WEEKNUM(B62,2))</f>
        <v>0</v>
      </c>
      <c r="S62" s="26">
        <f>IF(B62="","",IF(G62&lt;&gt;"",G62,IFERROR(IF(INDEX(Staff!$P$5:$P$44,MATCH(D62,Staff!$A$5:$A$44,0))="",DefaultHourly,INDEX(Staff!$P$5:$P$44,MATCH(D62,Staff!$A$5:$A$44,0))),DefaultHourly)))</f>
        <v>0</v>
      </c>
      <c r="T62" s="26">
        <f>IF(B62="","",ROUND(IF(F62="",0,F62)*S62,2))</f>
        <v>0</v>
      </c>
      <c r="U62" s="26">
        <f>IF(B62="","",ROUND(T62+IF(H62="",0,H62)+IF(J62="",0,J62)+IF(K62="",0,K62),2))</f>
        <v>0</v>
      </c>
      <c r="V62" s="26">
        <f>IF(B62="","",ROUND(U62-IF(L62="",0,L62),2))</f>
        <v>0</v>
      </c>
      <c r="W62" s="26">
        <f>IF(B62="","",ROUND(V62+IF(I62="",0,I62),2))</f>
        <v>0</v>
      </c>
      <c r="X62" s="26">
        <f>IF(B62="","",IF(IFERROR(INDEX(Staff!$E$5:$E$44,MATCH(D62,Staff!$A$5:$A$44,0))&amp;"","")="Self-employed",0,IF(IFERROR(INDEX(Staff!$E$5:$E$44,MATCH(D62,Staff!$A$5:$A$44,0))&amp;"","")="Chair renter",0,ROUND(U62*PayrollBurden,2))))</f>
        <v>0</v>
      </c>
      <c r="Y62" s="26">
        <f>IF(B62="","",ROUND(U62+X62,2))</f>
        <v>0</v>
      </c>
      <c r="Z62" s="26">
        <f>IF(B62="","",ROUND(SUMIFS(Commissions!$X$5:$X$244,Commissions!$C$5:$C$244,D62,Commissions!$B$5:$B$244,Q62),2))</f>
        <v>0</v>
      </c>
      <c r="AA62" s="26">
        <f>IF(B62="","",ROUND(SUMIFS($H$5:$H$364,$D$5:$D$364,D62,$Q$5:$Q$364,Q62),2))</f>
        <v>0</v>
      </c>
      <c r="AB62" s="26">
        <f>IF(B62="","",ROUND(Z62-AA62,2))</f>
        <v>0</v>
      </c>
      <c r="AC62" s="26">
        <f>IF(B62="","",IF(IF(F62="",0,F62)=0,"",ROUND(Y62/F62,2)))</f>
        <v>0</v>
      </c>
      <c r="AD62" s="39">
        <f>IF(B62="","",IF(D62="","Add - who is this run for?",IF(IF(F62="",H62="",FALSE),"Add - no hours and no commission",IF(AB62&lt;-0.004,"Check - more commission paid than earned",IF(M62&lt;&gt;"Yes","Due - not paid yet",IF(N62="","Check - marked paid, no date","OK"))))))</f>
        <v>0</v>
      </c>
    </row>
    <row r="63" spans="1:30">
      <c r="A63" s="28">
        <f>IF(B63="","",PayrollPrefix&amp;TEXT(ROW()-4,"0000"))</f>
        <v>0</v>
      </c>
      <c r="E63" s="15">
        <f>IF(D63="","",IFERROR(INDEX(Staff!$B$5:$B$44,MATCH(D63,Staff!$A$5:$A$44,0)),"Not in Staff"))</f>
        <v>0</v>
      </c>
      <c r="Q63" s="15">
        <f>IF(B63="","",TEXT(B63,"yyyy-mm"))</f>
        <v>0</v>
      </c>
      <c r="R63" s="25">
        <f>IF(B63="","",WEEKNUM(B63,2))</f>
        <v>0</v>
      </c>
      <c r="S63" s="26">
        <f>IF(B63="","",IF(G63&lt;&gt;"",G63,IFERROR(IF(INDEX(Staff!$P$5:$P$44,MATCH(D63,Staff!$A$5:$A$44,0))="",DefaultHourly,INDEX(Staff!$P$5:$P$44,MATCH(D63,Staff!$A$5:$A$44,0))),DefaultHourly)))</f>
        <v>0</v>
      </c>
      <c r="T63" s="26">
        <f>IF(B63="","",ROUND(IF(F63="",0,F63)*S63,2))</f>
        <v>0</v>
      </c>
      <c r="U63" s="26">
        <f>IF(B63="","",ROUND(T63+IF(H63="",0,H63)+IF(J63="",0,J63)+IF(K63="",0,K63),2))</f>
        <v>0</v>
      </c>
      <c r="V63" s="26">
        <f>IF(B63="","",ROUND(U63-IF(L63="",0,L63),2))</f>
        <v>0</v>
      </c>
      <c r="W63" s="26">
        <f>IF(B63="","",ROUND(V63+IF(I63="",0,I63),2))</f>
        <v>0</v>
      </c>
      <c r="X63" s="26">
        <f>IF(B63="","",IF(IFERROR(INDEX(Staff!$E$5:$E$44,MATCH(D63,Staff!$A$5:$A$44,0))&amp;"","")="Self-employed",0,IF(IFERROR(INDEX(Staff!$E$5:$E$44,MATCH(D63,Staff!$A$5:$A$44,0))&amp;"","")="Chair renter",0,ROUND(U63*PayrollBurden,2))))</f>
        <v>0</v>
      </c>
      <c r="Y63" s="26">
        <f>IF(B63="","",ROUND(U63+X63,2))</f>
        <v>0</v>
      </c>
      <c r="Z63" s="26">
        <f>IF(B63="","",ROUND(SUMIFS(Commissions!$X$5:$X$244,Commissions!$C$5:$C$244,D63,Commissions!$B$5:$B$244,Q63),2))</f>
        <v>0</v>
      </c>
      <c r="AA63" s="26">
        <f>IF(B63="","",ROUND(SUMIFS($H$5:$H$364,$D$5:$D$364,D63,$Q$5:$Q$364,Q63),2))</f>
        <v>0</v>
      </c>
      <c r="AB63" s="26">
        <f>IF(B63="","",ROUND(Z63-AA63,2))</f>
        <v>0</v>
      </c>
      <c r="AC63" s="26">
        <f>IF(B63="","",IF(IF(F63="",0,F63)=0,"",ROUND(Y63/F63,2)))</f>
        <v>0</v>
      </c>
      <c r="AD63" s="39">
        <f>IF(B63="","",IF(D63="","Add - who is this run for?",IF(IF(F63="",H63="",FALSE),"Add - no hours and no commission",IF(AB63&lt;-0.004,"Check - more commission paid than earned",IF(M63&lt;&gt;"Yes","Due - not paid yet",IF(N63="","Check - marked paid, no date","OK"))))))</f>
        <v>0</v>
      </c>
    </row>
    <row r="64" spans="1:30">
      <c r="A64" s="28">
        <f>IF(B64="","",PayrollPrefix&amp;TEXT(ROW()-4,"0000"))</f>
        <v>0</v>
      </c>
      <c r="E64" s="15">
        <f>IF(D64="","",IFERROR(INDEX(Staff!$B$5:$B$44,MATCH(D64,Staff!$A$5:$A$44,0)),"Not in Staff"))</f>
        <v>0</v>
      </c>
      <c r="Q64" s="15">
        <f>IF(B64="","",TEXT(B64,"yyyy-mm"))</f>
        <v>0</v>
      </c>
      <c r="R64" s="25">
        <f>IF(B64="","",WEEKNUM(B64,2))</f>
        <v>0</v>
      </c>
      <c r="S64" s="26">
        <f>IF(B64="","",IF(G64&lt;&gt;"",G64,IFERROR(IF(INDEX(Staff!$P$5:$P$44,MATCH(D64,Staff!$A$5:$A$44,0))="",DefaultHourly,INDEX(Staff!$P$5:$P$44,MATCH(D64,Staff!$A$5:$A$44,0))),DefaultHourly)))</f>
        <v>0</v>
      </c>
      <c r="T64" s="26">
        <f>IF(B64="","",ROUND(IF(F64="",0,F64)*S64,2))</f>
        <v>0</v>
      </c>
      <c r="U64" s="26">
        <f>IF(B64="","",ROUND(T64+IF(H64="",0,H64)+IF(J64="",0,J64)+IF(K64="",0,K64),2))</f>
        <v>0</v>
      </c>
      <c r="V64" s="26">
        <f>IF(B64="","",ROUND(U64-IF(L64="",0,L64),2))</f>
        <v>0</v>
      </c>
      <c r="W64" s="26">
        <f>IF(B64="","",ROUND(V64+IF(I64="",0,I64),2))</f>
        <v>0</v>
      </c>
      <c r="X64" s="26">
        <f>IF(B64="","",IF(IFERROR(INDEX(Staff!$E$5:$E$44,MATCH(D64,Staff!$A$5:$A$44,0))&amp;"","")="Self-employed",0,IF(IFERROR(INDEX(Staff!$E$5:$E$44,MATCH(D64,Staff!$A$5:$A$44,0))&amp;"","")="Chair renter",0,ROUND(U64*PayrollBurden,2))))</f>
        <v>0</v>
      </c>
      <c r="Y64" s="26">
        <f>IF(B64="","",ROUND(U64+X64,2))</f>
        <v>0</v>
      </c>
      <c r="Z64" s="26">
        <f>IF(B64="","",ROUND(SUMIFS(Commissions!$X$5:$X$244,Commissions!$C$5:$C$244,D64,Commissions!$B$5:$B$244,Q64),2))</f>
        <v>0</v>
      </c>
      <c r="AA64" s="26">
        <f>IF(B64="","",ROUND(SUMIFS($H$5:$H$364,$D$5:$D$364,D64,$Q$5:$Q$364,Q64),2))</f>
        <v>0</v>
      </c>
      <c r="AB64" s="26">
        <f>IF(B64="","",ROUND(Z64-AA64,2))</f>
        <v>0</v>
      </c>
      <c r="AC64" s="26">
        <f>IF(B64="","",IF(IF(F64="",0,F64)=0,"",ROUND(Y64/F64,2)))</f>
        <v>0</v>
      </c>
      <c r="AD64" s="39">
        <f>IF(B64="","",IF(D64="","Add - who is this run for?",IF(IF(F64="",H64="",FALSE),"Add - no hours and no commission",IF(AB64&lt;-0.004,"Check - more commission paid than earned",IF(M64&lt;&gt;"Yes","Due - not paid yet",IF(N64="","Check - marked paid, no date","OK"))))))</f>
        <v>0</v>
      </c>
    </row>
    <row r="65" spans="1:30">
      <c r="A65" s="28">
        <f>IF(B65="","",PayrollPrefix&amp;TEXT(ROW()-4,"0000"))</f>
        <v>0</v>
      </c>
      <c r="E65" s="15">
        <f>IF(D65="","",IFERROR(INDEX(Staff!$B$5:$B$44,MATCH(D65,Staff!$A$5:$A$44,0)),"Not in Staff"))</f>
        <v>0</v>
      </c>
      <c r="Q65" s="15">
        <f>IF(B65="","",TEXT(B65,"yyyy-mm"))</f>
        <v>0</v>
      </c>
      <c r="R65" s="25">
        <f>IF(B65="","",WEEKNUM(B65,2))</f>
        <v>0</v>
      </c>
      <c r="S65" s="26">
        <f>IF(B65="","",IF(G65&lt;&gt;"",G65,IFERROR(IF(INDEX(Staff!$P$5:$P$44,MATCH(D65,Staff!$A$5:$A$44,0))="",DefaultHourly,INDEX(Staff!$P$5:$P$44,MATCH(D65,Staff!$A$5:$A$44,0))),DefaultHourly)))</f>
        <v>0</v>
      </c>
      <c r="T65" s="26">
        <f>IF(B65="","",ROUND(IF(F65="",0,F65)*S65,2))</f>
        <v>0</v>
      </c>
      <c r="U65" s="26">
        <f>IF(B65="","",ROUND(T65+IF(H65="",0,H65)+IF(J65="",0,J65)+IF(K65="",0,K65),2))</f>
        <v>0</v>
      </c>
      <c r="V65" s="26">
        <f>IF(B65="","",ROUND(U65-IF(L65="",0,L65),2))</f>
        <v>0</v>
      </c>
      <c r="W65" s="26">
        <f>IF(B65="","",ROUND(V65+IF(I65="",0,I65),2))</f>
        <v>0</v>
      </c>
      <c r="X65" s="26">
        <f>IF(B65="","",IF(IFERROR(INDEX(Staff!$E$5:$E$44,MATCH(D65,Staff!$A$5:$A$44,0))&amp;"","")="Self-employed",0,IF(IFERROR(INDEX(Staff!$E$5:$E$44,MATCH(D65,Staff!$A$5:$A$44,0))&amp;"","")="Chair renter",0,ROUND(U65*PayrollBurden,2))))</f>
        <v>0</v>
      </c>
      <c r="Y65" s="26">
        <f>IF(B65="","",ROUND(U65+X65,2))</f>
        <v>0</v>
      </c>
      <c r="Z65" s="26">
        <f>IF(B65="","",ROUND(SUMIFS(Commissions!$X$5:$X$244,Commissions!$C$5:$C$244,D65,Commissions!$B$5:$B$244,Q65),2))</f>
        <v>0</v>
      </c>
      <c r="AA65" s="26">
        <f>IF(B65="","",ROUND(SUMIFS($H$5:$H$364,$D$5:$D$364,D65,$Q$5:$Q$364,Q65),2))</f>
        <v>0</v>
      </c>
      <c r="AB65" s="26">
        <f>IF(B65="","",ROUND(Z65-AA65,2))</f>
        <v>0</v>
      </c>
      <c r="AC65" s="26">
        <f>IF(B65="","",IF(IF(F65="",0,F65)=0,"",ROUND(Y65/F65,2)))</f>
        <v>0</v>
      </c>
      <c r="AD65" s="39">
        <f>IF(B65="","",IF(D65="","Add - who is this run for?",IF(IF(F65="",H65="",FALSE),"Add - no hours and no commission",IF(AB65&lt;-0.004,"Check - more commission paid than earned",IF(M65&lt;&gt;"Yes","Due - not paid yet",IF(N65="","Check - marked paid, no date","OK"))))))</f>
        <v>0</v>
      </c>
    </row>
    <row r="66" spans="1:30">
      <c r="A66" s="28">
        <f>IF(B66="","",PayrollPrefix&amp;TEXT(ROW()-4,"0000"))</f>
        <v>0</v>
      </c>
      <c r="E66" s="15">
        <f>IF(D66="","",IFERROR(INDEX(Staff!$B$5:$B$44,MATCH(D66,Staff!$A$5:$A$44,0)),"Not in Staff"))</f>
        <v>0</v>
      </c>
      <c r="Q66" s="15">
        <f>IF(B66="","",TEXT(B66,"yyyy-mm"))</f>
        <v>0</v>
      </c>
      <c r="R66" s="25">
        <f>IF(B66="","",WEEKNUM(B66,2))</f>
        <v>0</v>
      </c>
      <c r="S66" s="26">
        <f>IF(B66="","",IF(G66&lt;&gt;"",G66,IFERROR(IF(INDEX(Staff!$P$5:$P$44,MATCH(D66,Staff!$A$5:$A$44,0))="",DefaultHourly,INDEX(Staff!$P$5:$P$44,MATCH(D66,Staff!$A$5:$A$44,0))),DefaultHourly)))</f>
        <v>0</v>
      </c>
      <c r="T66" s="26">
        <f>IF(B66="","",ROUND(IF(F66="",0,F66)*S66,2))</f>
        <v>0</v>
      </c>
      <c r="U66" s="26">
        <f>IF(B66="","",ROUND(T66+IF(H66="",0,H66)+IF(J66="",0,J66)+IF(K66="",0,K66),2))</f>
        <v>0</v>
      </c>
      <c r="V66" s="26">
        <f>IF(B66="","",ROUND(U66-IF(L66="",0,L66),2))</f>
        <v>0</v>
      </c>
      <c r="W66" s="26">
        <f>IF(B66="","",ROUND(V66+IF(I66="",0,I66),2))</f>
        <v>0</v>
      </c>
      <c r="X66" s="26">
        <f>IF(B66="","",IF(IFERROR(INDEX(Staff!$E$5:$E$44,MATCH(D66,Staff!$A$5:$A$44,0))&amp;"","")="Self-employed",0,IF(IFERROR(INDEX(Staff!$E$5:$E$44,MATCH(D66,Staff!$A$5:$A$44,0))&amp;"","")="Chair renter",0,ROUND(U66*PayrollBurden,2))))</f>
        <v>0</v>
      </c>
      <c r="Y66" s="26">
        <f>IF(B66="","",ROUND(U66+X66,2))</f>
        <v>0</v>
      </c>
      <c r="Z66" s="26">
        <f>IF(B66="","",ROUND(SUMIFS(Commissions!$X$5:$X$244,Commissions!$C$5:$C$244,D66,Commissions!$B$5:$B$244,Q66),2))</f>
        <v>0</v>
      </c>
      <c r="AA66" s="26">
        <f>IF(B66="","",ROUND(SUMIFS($H$5:$H$364,$D$5:$D$364,D66,$Q$5:$Q$364,Q66),2))</f>
        <v>0</v>
      </c>
      <c r="AB66" s="26">
        <f>IF(B66="","",ROUND(Z66-AA66,2))</f>
        <v>0</v>
      </c>
      <c r="AC66" s="26">
        <f>IF(B66="","",IF(IF(F66="",0,F66)=0,"",ROUND(Y66/F66,2)))</f>
        <v>0</v>
      </c>
      <c r="AD66" s="39">
        <f>IF(B66="","",IF(D66="","Add - who is this run for?",IF(IF(F66="",H66="",FALSE),"Add - no hours and no commission",IF(AB66&lt;-0.004,"Check - more commission paid than earned",IF(M66&lt;&gt;"Yes","Due - not paid yet",IF(N66="","Check - marked paid, no date","OK"))))))</f>
        <v>0</v>
      </c>
    </row>
    <row r="67" spans="1:30">
      <c r="A67" s="28">
        <f>IF(B67="","",PayrollPrefix&amp;TEXT(ROW()-4,"0000"))</f>
        <v>0</v>
      </c>
      <c r="E67" s="15">
        <f>IF(D67="","",IFERROR(INDEX(Staff!$B$5:$B$44,MATCH(D67,Staff!$A$5:$A$44,0)),"Not in Staff"))</f>
        <v>0</v>
      </c>
      <c r="Q67" s="15">
        <f>IF(B67="","",TEXT(B67,"yyyy-mm"))</f>
        <v>0</v>
      </c>
      <c r="R67" s="25">
        <f>IF(B67="","",WEEKNUM(B67,2))</f>
        <v>0</v>
      </c>
      <c r="S67" s="26">
        <f>IF(B67="","",IF(G67&lt;&gt;"",G67,IFERROR(IF(INDEX(Staff!$P$5:$P$44,MATCH(D67,Staff!$A$5:$A$44,0))="",DefaultHourly,INDEX(Staff!$P$5:$P$44,MATCH(D67,Staff!$A$5:$A$44,0))),DefaultHourly)))</f>
        <v>0</v>
      </c>
      <c r="T67" s="26">
        <f>IF(B67="","",ROUND(IF(F67="",0,F67)*S67,2))</f>
        <v>0</v>
      </c>
      <c r="U67" s="26">
        <f>IF(B67="","",ROUND(T67+IF(H67="",0,H67)+IF(J67="",0,J67)+IF(K67="",0,K67),2))</f>
        <v>0</v>
      </c>
      <c r="V67" s="26">
        <f>IF(B67="","",ROUND(U67-IF(L67="",0,L67),2))</f>
        <v>0</v>
      </c>
      <c r="W67" s="26">
        <f>IF(B67="","",ROUND(V67+IF(I67="",0,I67),2))</f>
        <v>0</v>
      </c>
      <c r="X67" s="26">
        <f>IF(B67="","",IF(IFERROR(INDEX(Staff!$E$5:$E$44,MATCH(D67,Staff!$A$5:$A$44,0))&amp;"","")="Self-employed",0,IF(IFERROR(INDEX(Staff!$E$5:$E$44,MATCH(D67,Staff!$A$5:$A$44,0))&amp;"","")="Chair renter",0,ROUND(U67*PayrollBurden,2))))</f>
        <v>0</v>
      </c>
      <c r="Y67" s="26">
        <f>IF(B67="","",ROUND(U67+X67,2))</f>
        <v>0</v>
      </c>
      <c r="Z67" s="26">
        <f>IF(B67="","",ROUND(SUMIFS(Commissions!$X$5:$X$244,Commissions!$C$5:$C$244,D67,Commissions!$B$5:$B$244,Q67),2))</f>
        <v>0</v>
      </c>
      <c r="AA67" s="26">
        <f>IF(B67="","",ROUND(SUMIFS($H$5:$H$364,$D$5:$D$364,D67,$Q$5:$Q$364,Q67),2))</f>
        <v>0</v>
      </c>
      <c r="AB67" s="26">
        <f>IF(B67="","",ROUND(Z67-AA67,2))</f>
        <v>0</v>
      </c>
      <c r="AC67" s="26">
        <f>IF(B67="","",IF(IF(F67="",0,F67)=0,"",ROUND(Y67/F67,2)))</f>
        <v>0</v>
      </c>
      <c r="AD67" s="39">
        <f>IF(B67="","",IF(D67="","Add - who is this run for?",IF(IF(F67="",H67="",FALSE),"Add - no hours and no commission",IF(AB67&lt;-0.004,"Check - more commission paid than earned",IF(M67&lt;&gt;"Yes","Due - not paid yet",IF(N67="","Check - marked paid, no date","OK"))))))</f>
        <v>0</v>
      </c>
    </row>
    <row r="68" spans="1:30">
      <c r="A68" s="28">
        <f>IF(B68="","",PayrollPrefix&amp;TEXT(ROW()-4,"0000"))</f>
        <v>0</v>
      </c>
      <c r="E68" s="15">
        <f>IF(D68="","",IFERROR(INDEX(Staff!$B$5:$B$44,MATCH(D68,Staff!$A$5:$A$44,0)),"Not in Staff"))</f>
        <v>0</v>
      </c>
      <c r="Q68" s="15">
        <f>IF(B68="","",TEXT(B68,"yyyy-mm"))</f>
        <v>0</v>
      </c>
      <c r="R68" s="25">
        <f>IF(B68="","",WEEKNUM(B68,2))</f>
        <v>0</v>
      </c>
      <c r="S68" s="26">
        <f>IF(B68="","",IF(G68&lt;&gt;"",G68,IFERROR(IF(INDEX(Staff!$P$5:$P$44,MATCH(D68,Staff!$A$5:$A$44,0))="",DefaultHourly,INDEX(Staff!$P$5:$P$44,MATCH(D68,Staff!$A$5:$A$44,0))),DefaultHourly)))</f>
        <v>0</v>
      </c>
      <c r="T68" s="26">
        <f>IF(B68="","",ROUND(IF(F68="",0,F68)*S68,2))</f>
        <v>0</v>
      </c>
      <c r="U68" s="26">
        <f>IF(B68="","",ROUND(T68+IF(H68="",0,H68)+IF(J68="",0,J68)+IF(K68="",0,K68),2))</f>
        <v>0</v>
      </c>
      <c r="V68" s="26">
        <f>IF(B68="","",ROUND(U68-IF(L68="",0,L68),2))</f>
        <v>0</v>
      </c>
      <c r="W68" s="26">
        <f>IF(B68="","",ROUND(V68+IF(I68="",0,I68),2))</f>
        <v>0</v>
      </c>
      <c r="X68" s="26">
        <f>IF(B68="","",IF(IFERROR(INDEX(Staff!$E$5:$E$44,MATCH(D68,Staff!$A$5:$A$44,0))&amp;"","")="Self-employed",0,IF(IFERROR(INDEX(Staff!$E$5:$E$44,MATCH(D68,Staff!$A$5:$A$44,0))&amp;"","")="Chair renter",0,ROUND(U68*PayrollBurden,2))))</f>
        <v>0</v>
      </c>
      <c r="Y68" s="26">
        <f>IF(B68="","",ROUND(U68+X68,2))</f>
        <v>0</v>
      </c>
      <c r="Z68" s="26">
        <f>IF(B68="","",ROUND(SUMIFS(Commissions!$X$5:$X$244,Commissions!$C$5:$C$244,D68,Commissions!$B$5:$B$244,Q68),2))</f>
        <v>0</v>
      </c>
      <c r="AA68" s="26">
        <f>IF(B68="","",ROUND(SUMIFS($H$5:$H$364,$D$5:$D$364,D68,$Q$5:$Q$364,Q68),2))</f>
        <v>0</v>
      </c>
      <c r="AB68" s="26">
        <f>IF(B68="","",ROUND(Z68-AA68,2))</f>
        <v>0</v>
      </c>
      <c r="AC68" s="26">
        <f>IF(B68="","",IF(IF(F68="",0,F68)=0,"",ROUND(Y68/F68,2)))</f>
        <v>0</v>
      </c>
      <c r="AD68" s="39">
        <f>IF(B68="","",IF(D68="","Add - who is this run for?",IF(IF(F68="",H68="",FALSE),"Add - no hours and no commission",IF(AB68&lt;-0.004,"Check - more commission paid than earned",IF(M68&lt;&gt;"Yes","Due - not paid yet",IF(N68="","Check - marked paid, no date","OK"))))))</f>
        <v>0</v>
      </c>
    </row>
    <row r="69" spans="1:30">
      <c r="A69" s="28">
        <f>IF(B69="","",PayrollPrefix&amp;TEXT(ROW()-4,"0000"))</f>
        <v>0</v>
      </c>
      <c r="E69" s="15">
        <f>IF(D69="","",IFERROR(INDEX(Staff!$B$5:$B$44,MATCH(D69,Staff!$A$5:$A$44,0)),"Not in Staff"))</f>
        <v>0</v>
      </c>
      <c r="Q69" s="15">
        <f>IF(B69="","",TEXT(B69,"yyyy-mm"))</f>
        <v>0</v>
      </c>
      <c r="R69" s="25">
        <f>IF(B69="","",WEEKNUM(B69,2))</f>
        <v>0</v>
      </c>
      <c r="S69" s="26">
        <f>IF(B69="","",IF(G69&lt;&gt;"",G69,IFERROR(IF(INDEX(Staff!$P$5:$P$44,MATCH(D69,Staff!$A$5:$A$44,0))="",DefaultHourly,INDEX(Staff!$P$5:$P$44,MATCH(D69,Staff!$A$5:$A$44,0))),DefaultHourly)))</f>
        <v>0</v>
      </c>
      <c r="T69" s="26">
        <f>IF(B69="","",ROUND(IF(F69="",0,F69)*S69,2))</f>
        <v>0</v>
      </c>
      <c r="U69" s="26">
        <f>IF(B69="","",ROUND(T69+IF(H69="",0,H69)+IF(J69="",0,J69)+IF(K69="",0,K69),2))</f>
        <v>0</v>
      </c>
      <c r="V69" s="26">
        <f>IF(B69="","",ROUND(U69-IF(L69="",0,L69),2))</f>
        <v>0</v>
      </c>
      <c r="W69" s="26">
        <f>IF(B69="","",ROUND(V69+IF(I69="",0,I69),2))</f>
        <v>0</v>
      </c>
      <c r="X69" s="26">
        <f>IF(B69="","",IF(IFERROR(INDEX(Staff!$E$5:$E$44,MATCH(D69,Staff!$A$5:$A$44,0))&amp;"","")="Self-employed",0,IF(IFERROR(INDEX(Staff!$E$5:$E$44,MATCH(D69,Staff!$A$5:$A$44,0))&amp;"","")="Chair renter",0,ROUND(U69*PayrollBurden,2))))</f>
        <v>0</v>
      </c>
      <c r="Y69" s="26">
        <f>IF(B69="","",ROUND(U69+X69,2))</f>
        <v>0</v>
      </c>
      <c r="Z69" s="26">
        <f>IF(B69="","",ROUND(SUMIFS(Commissions!$X$5:$X$244,Commissions!$C$5:$C$244,D69,Commissions!$B$5:$B$244,Q69),2))</f>
        <v>0</v>
      </c>
      <c r="AA69" s="26">
        <f>IF(B69="","",ROUND(SUMIFS($H$5:$H$364,$D$5:$D$364,D69,$Q$5:$Q$364,Q69),2))</f>
        <v>0</v>
      </c>
      <c r="AB69" s="26">
        <f>IF(B69="","",ROUND(Z69-AA69,2))</f>
        <v>0</v>
      </c>
      <c r="AC69" s="26">
        <f>IF(B69="","",IF(IF(F69="",0,F69)=0,"",ROUND(Y69/F69,2)))</f>
        <v>0</v>
      </c>
      <c r="AD69" s="39">
        <f>IF(B69="","",IF(D69="","Add - who is this run for?",IF(IF(F69="",H69="",FALSE),"Add - no hours and no commission",IF(AB69&lt;-0.004,"Check - more commission paid than earned",IF(M69&lt;&gt;"Yes","Due - not paid yet",IF(N69="","Check - marked paid, no date","OK"))))))</f>
        <v>0</v>
      </c>
    </row>
    <row r="70" spans="1:30">
      <c r="A70" s="28">
        <f>IF(B70="","",PayrollPrefix&amp;TEXT(ROW()-4,"0000"))</f>
        <v>0</v>
      </c>
      <c r="E70" s="15">
        <f>IF(D70="","",IFERROR(INDEX(Staff!$B$5:$B$44,MATCH(D70,Staff!$A$5:$A$44,0)),"Not in Staff"))</f>
        <v>0</v>
      </c>
      <c r="Q70" s="15">
        <f>IF(B70="","",TEXT(B70,"yyyy-mm"))</f>
        <v>0</v>
      </c>
      <c r="R70" s="25">
        <f>IF(B70="","",WEEKNUM(B70,2))</f>
        <v>0</v>
      </c>
      <c r="S70" s="26">
        <f>IF(B70="","",IF(G70&lt;&gt;"",G70,IFERROR(IF(INDEX(Staff!$P$5:$P$44,MATCH(D70,Staff!$A$5:$A$44,0))="",DefaultHourly,INDEX(Staff!$P$5:$P$44,MATCH(D70,Staff!$A$5:$A$44,0))),DefaultHourly)))</f>
        <v>0</v>
      </c>
      <c r="T70" s="26">
        <f>IF(B70="","",ROUND(IF(F70="",0,F70)*S70,2))</f>
        <v>0</v>
      </c>
      <c r="U70" s="26">
        <f>IF(B70="","",ROUND(T70+IF(H70="",0,H70)+IF(J70="",0,J70)+IF(K70="",0,K70),2))</f>
        <v>0</v>
      </c>
      <c r="V70" s="26">
        <f>IF(B70="","",ROUND(U70-IF(L70="",0,L70),2))</f>
        <v>0</v>
      </c>
      <c r="W70" s="26">
        <f>IF(B70="","",ROUND(V70+IF(I70="",0,I70),2))</f>
        <v>0</v>
      </c>
      <c r="X70" s="26">
        <f>IF(B70="","",IF(IFERROR(INDEX(Staff!$E$5:$E$44,MATCH(D70,Staff!$A$5:$A$44,0))&amp;"","")="Self-employed",0,IF(IFERROR(INDEX(Staff!$E$5:$E$44,MATCH(D70,Staff!$A$5:$A$44,0))&amp;"","")="Chair renter",0,ROUND(U70*PayrollBurden,2))))</f>
        <v>0</v>
      </c>
      <c r="Y70" s="26">
        <f>IF(B70="","",ROUND(U70+X70,2))</f>
        <v>0</v>
      </c>
      <c r="Z70" s="26">
        <f>IF(B70="","",ROUND(SUMIFS(Commissions!$X$5:$X$244,Commissions!$C$5:$C$244,D70,Commissions!$B$5:$B$244,Q70),2))</f>
        <v>0</v>
      </c>
      <c r="AA70" s="26">
        <f>IF(B70="","",ROUND(SUMIFS($H$5:$H$364,$D$5:$D$364,D70,$Q$5:$Q$364,Q70),2))</f>
        <v>0</v>
      </c>
      <c r="AB70" s="26">
        <f>IF(B70="","",ROUND(Z70-AA70,2))</f>
        <v>0</v>
      </c>
      <c r="AC70" s="26">
        <f>IF(B70="","",IF(IF(F70="",0,F70)=0,"",ROUND(Y70/F70,2)))</f>
        <v>0</v>
      </c>
      <c r="AD70" s="39">
        <f>IF(B70="","",IF(D70="","Add - who is this run for?",IF(IF(F70="",H70="",FALSE),"Add - no hours and no commission",IF(AB70&lt;-0.004,"Check - more commission paid than earned",IF(M70&lt;&gt;"Yes","Due - not paid yet",IF(N70="","Check - marked paid, no date","OK"))))))</f>
        <v>0</v>
      </c>
    </row>
    <row r="71" spans="1:30">
      <c r="A71" s="28">
        <f>IF(B71="","",PayrollPrefix&amp;TEXT(ROW()-4,"0000"))</f>
        <v>0</v>
      </c>
      <c r="E71" s="15">
        <f>IF(D71="","",IFERROR(INDEX(Staff!$B$5:$B$44,MATCH(D71,Staff!$A$5:$A$44,0)),"Not in Staff"))</f>
        <v>0</v>
      </c>
      <c r="Q71" s="15">
        <f>IF(B71="","",TEXT(B71,"yyyy-mm"))</f>
        <v>0</v>
      </c>
      <c r="R71" s="25">
        <f>IF(B71="","",WEEKNUM(B71,2))</f>
        <v>0</v>
      </c>
      <c r="S71" s="26">
        <f>IF(B71="","",IF(G71&lt;&gt;"",G71,IFERROR(IF(INDEX(Staff!$P$5:$P$44,MATCH(D71,Staff!$A$5:$A$44,0))="",DefaultHourly,INDEX(Staff!$P$5:$P$44,MATCH(D71,Staff!$A$5:$A$44,0))),DefaultHourly)))</f>
        <v>0</v>
      </c>
      <c r="T71" s="26">
        <f>IF(B71="","",ROUND(IF(F71="",0,F71)*S71,2))</f>
        <v>0</v>
      </c>
      <c r="U71" s="26">
        <f>IF(B71="","",ROUND(T71+IF(H71="",0,H71)+IF(J71="",0,J71)+IF(K71="",0,K71),2))</f>
        <v>0</v>
      </c>
      <c r="V71" s="26">
        <f>IF(B71="","",ROUND(U71-IF(L71="",0,L71),2))</f>
        <v>0</v>
      </c>
      <c r="W71" s="26">
        <f>IF(B71="","",ROUND(V71+IF(I71="",0,I71),2))</f>
        <v>0</v>
      </c>
      <c r="X71" s="26">
        <f>IF(B71="","",IF(IFERROR(INDEX(Staff!$E$5:$E$44,MATCH(D71,Staff!$A$5:$A$44,0))&amp;"","")="Self-employed",0,IF(IFERROR(INDEX(Staff!$E$5:$E$44,MATCH(D71,Staff!$A$5:$A$44,0))&amp;"","")="Chair renter",0,ROUND(U71*PayrollBurden,2))))</f>
        <v>0</v>
      </c>
      <c r="Y71" s="26">
        <f>IF(B71="","",ROUND(U71+X71,2))</f>
        <v>0</v>
      </c>
      <c r="Z71" s="26">
        <f>IF(B71="","",ROUND(SUMIFS(Commissions!$X$5:$X$244,Commissions!$C$5:$C$244,D71,Commissions!$B$5:$B$244,Q71),2))</f>
        <v>0</v>
      </c>
      <c r="AA71" s="26">
        <f>IF(B71="","",ROUND(SUMIFS($H$5:$H$364,$D$5:$D$364,D71,$Q$5:$Q$364,Q71),2))</f>
        <v>0</v>
      </c>
      <c r="AB71" s="26">
        <f>IF(B71="","",ROUND(Z71-AA71,2))</f>
        <v>0</v>
      </c>
      <c r="AC71" s="26">
        <f>IF(B71="","",IF(IF(F71="",0,F71)=0,"",ROUND(Y71/F71,2)))</f>
        <v>0</v>
      </c>
      <c r="AD71" s="39">
        <f>IF(B71="","",IF(D71="","Add - who is this run for?",IF(IF(F71="",H71="",FALSE),"Add - no hours and no commission",IF(AB71&lt;-0.004,"Check - more commission paid than earned",IF(M71&lt;&gt;"Yes","Due - not paid yet",IF(N71="","Check - marked paid, no date","OK"))))))</f>
        <v>0</v>
      </c>
    </row>
    <row r="72" spans="1:30">
      <c r="A72" s="28">
        <f>IF(B72="","",PayrollPrefix&amp;TEXT(ROW()-4,"0000"))</f>
        <v>0</v>
      </c>
      <c r="E72" s="15">
        <f>IF(D72="","",IFERROR(INDEX(Staff!$B$5:$B$44,MATCH(D72,Staff!$A$5:$A$44,0)),"Not in Staff"))</f>
        <v>0</v>
      </c>
      <c r="Q72" s="15">
        <f>IF(B72="","",TEXT(B72,"yyyy-mm"))</f>
        <v>0</v>
      </c>
      <c r="R72" s="25">
        <f>IF(B72="","",WEEKNUM(B72,2))</f>
        <v>0</v>
      </c>
      <c r="S72" s="26">
        <f>IF(B72="","",IF(G72&lt;&gt;"",G72,IFERROR(IF(INDEX(Staff!$P$5:$P$44,MATCH(D72,Staff!$A$5:$A$44,0))="",DefaultHourly,INDEX(Staff!$P$5:$P$44,MATCH(D72,Staff!$A$5:$A$44,0))),DefaultHourly)))</f>
        <v>0</v>
      </c>
      <c r="T72" s="26">
        <f>IF(B72="","",ROUND(IF(F72="",0,F72)*S72,2))</f>
        <v>0</v>
      </c>
      <c r="U72" s="26">
        <f>IF(B72="","",ROUND(T72+IF(H72="",0,H72)+IF(J72="",0,J72)+IF(K72="",0,K72),2))</f>
        <v>0</v>
      </c>
      <c r="V72" s="26">
        <f>IF(B72="","",ROUND(U72-IF(L72="",0,L72),2))</f>
        <v>0</v>
      </c>
      <c r="W72" s="26">
        <f>IF(B72="","",ROUND(V72+IF(I72="",0,I72),2))</f>
        <v>0</v>
      </c>
      <c r="X72" s="26">
        <f>IF(B72="","",IF(IFERROR(INDEX(Staff!$E$5:$E$44,MATCH(D72,Staff!$A$5:$A$44,0))&amp;"","")="Self-employed",0,IF(IFERROR(INDEX(Staff!$E$5:$E$44,MATCH(D72,Staff!$A$5:$A$44,0))&amp;"","")="Chair renter",0,ROUND(U72*PayrollBurden,2))))</f>
        <v>0</v>
      </c>
      <c r="Y72" s="26">
        <f>IF(B72="","",ROUND(U72+X72,2))</f>
        <v>0</v>
      </c>
      <c r="Z72" s="26">
        <f>IF(B72="","",ROUND(SUMIFS(Commissions!$X$5:$X$244,Commissions!$C$5:$C$244,D72,Commissions!$B$5:$B$244,Q72),2))</f>
        <v>0</v>
      </c>
      <c r="AA72" s="26">
        <f>IF(B72="","",ROUND(SUMIFS($H$5:$H$364,$D$5:$D$364,D72,$Q$5:$Q$364,Q72),2))</f>
        <v>0</v>
      </c>
      <c r="AB72" s="26">
        <f>IF(B72="","",ROUND(Z72-AA72,2))</f>
        <v>0</v>
      </c>
      <c r="AC72" s="26">
        <f>IF(B72="","",IF(IF(F72="",0,F72)=0,"",ROUND(Y72/F72,2)))</f>
        <v>0</v>
      </c>
      <c r="AD72" s="39">
        <f>IF(B72="","",IF(D72="","Add - who is this run for?",IF(IF(F72="",H72="",FALSE),"Add - no hours and no commission",IF(AB72&lt;-0.004,"Check - more commission paid than earned",IF(M72&lt;&gt;"Yes","Due - not paid yet",IF(N72="","Check - marked paid, no date","OK"))))))</f>
        <v>0</v>
      </c>
    </row>
    <row r="73" spans="1:30">
      <c r="A73" s="28">
        <f>IF(B73="","",PayrollPrefix&amp;TEXT(ROW()-4,"0000"))</f>
        <v>0</v>
      </c>
      <c r="E73" s="15">
        <f>IF(D73="","",IFERROR(INDEX(Staff!$B$5:$B$44,MATCH(D73,Staff!$A$5:$A$44,0)),"Not in Staff"))</f>
        <v>0</v>
      </c>
      <c r="Q73" s="15">
        <f>IF(B73="","",TEXT(B73,"yyyy-mm"))</f>
        <v>0</v>
      </c>
      <c r="R73" s="25">
        <f>IF(B73="","",WEEKNUM(B73,2))</f>
        <v>0</v>
      </c>
      <c r="S73" s="26">
        <f>IF(B73="","",IF(G73&lt;&gt;"",G73,IFERROR(IF(INDEX(Staff!$P$5:$P$44,MATCH(D73,Staff!$A$5:$A$44,0))="",DefaultHourly,INDEX(Staff!$P$5:$P$44,MATCH(D73,Staff!$A$5:$A$44,0))),DefaultHourly)))</f>
        <v>0</v>
      </c>
      <c r="T73" s="26">
        <f>IF(B73="","",ROUND(IF(F73="",0,F73)*S73,2))</f>
        <v>0</v>
      </c>
      <c r="U73" s="26">
        <f>IF(B73="","",ROUND(T73+IF(H73="",0,H73)+IF(J73="",0,J73)+IF(K73="",0,K73),2))</f>
        <v>0</v>
      </c>
      <c r="V73" s="26">
        <f>IF(B73="","",ROUND(U73-IF(L73="",0,L73),2))</f>
        <v>0</v>
      </c>
      <c r="W73" s="26">
        <f>IF(B73="","",ROUND(V73+IF(I73="",0,I73),2))</f>
        <v>0</v>
      </c>
      <c r="X73" s="26">
        <f>IF(B73="","",IF(IFERROR(INDEX(Staff!$E$5:$E$44,MATCH(D73,Staff!$A$5:$A$44,0))&amp;"","")="Self-employed",0,IF(IFERROR(INDEX(Staff!$E$5:$E$44,MATCH(D73,Staff!$A$5:$A$44,0))&amp;"","")="Chair renter",0,ROUND(U73*PayrollBurden,2))))</f>
        <v>0</v>
      </c>
      <c r="Y73" s="26">
        <f>IF(B73="","",ROUND(U73+X73,2))</f>
        <v>0</v>
      </c>
      <c r="Z73" s="26">
        <f>IF(B73="","",ROUND(SUMIFS(Commissions!$X$5:$X$244,Commissions!$C$5:$C$244,D73,Commissions!$B$5:$B$244,Q73),2))</f>
        <v>0</v>
      </c>
      <c r="AA73" s="26">
        <f>IF(B73="","",ROUND(SUMIFS($H$5:$H$364,$D$5:$D$364,D73,$Q$5:$Q$364,Q73),2))</f>
        <v>0</v>
      </c>
      <c r="AB73" s="26">
        <f>IF(B73="","",ROUND(Z73-AA73,2))</f>
        <v>0</v>
      </c>
      <c r="AC73" s="26">
        <f>IF(B73="","",IF(IF(F73="",0,F73)=0,"",ROUND(Y73/F73,2)))</f>
        <v>0</v>
      </c>
      <c r="AD73" s="39">
        <f>IF(B73="","",IF(D73="","Add - who is this run for?",IF(IF(F73="",H73="",FALSE),"Add - no hours and no commission",IF(AB73&lt;-0.004,"Check - more commission paid than earned",IF(M73&lt;&gt;"Yes","Due - not paid yet",IF(N73="","Check - marked paid, no date","OK"))))))</f>
        <v>0</v>
      </c>
    </row>
    <row r="74" spans="1:30">
      <c r="A74" s="28">
        <f>IF(B74="","",PayrollPrefix&amp;TEXT(ROW()-4,"0000"))</f>
        <v>0</v>
      </c>
      <c r="E74" s="15">
        <f>IF(D74="","",IFERROR(INDEX(Staff!$B$5:$B$44,MATCH(D74,Staff!$A$5:$A$44,0)),"Not in Staff"))</f>
        <v>0</v>
      </c>
      <c r="Q74" s="15">
        <f>IF(B74="","",TEXT(B74,"yyyy-mm"))</f>
        <v>0</v>
      </c>
      <c r="R74" s="25">
        <f>IF(B74="","",WEEKNUM(B74,2))</f>
        <v>0</v>
      </c>
      <c r="S74" s="26">
        <f>IF(B74="","",IF(G74&lt;&gt;"",G74,IFERROR(IF(INDEX(Staff!$P$5:$P$44,MATCH(D74,Staff!$A$5:$A$44,0))="",DefaultHourly,INDEX(Staff!$P$5:$P$44,MATCH(D74,Staff!$A$5:$A$44,0))),DefaultHourly)))</f>
        <v>0</v>
      </c>
      <c r="T74" s="26">
        <f>IF(B74="","",ROUND(IF(F74="",0,F74)*S74,2))</f>
        <v>0</v>
      </c>
      <c r="U74" s="26">
        <f>IF(B74="","",ROUND(T74+IF(H74="",0,H74)+IF(J74="",0,J74)+IF(K74="",0,K74),2))</f>
        <v>0</v>
      </c>
      <c r="V74" s="26">
        <f>IF(B74="","",ROUND(U74-IF(L74="",0,L74),2))</f>
        <v>0</v>
      </c>
      <c r="W74" s="26">
        <f>IF(B74="","",ROUND(V74+IF(I74="",0,I74),2))</f>
        <v>0</v>
      </c>
      <c r="X74" s="26">
        <f>IF(B74="","",IF(IFERROR(INDEX(Staff!$E$5:$E$44,MATCH(D74,Staff!$A$5:$A$44,0))&amp;"","")="Self-employed",0,IF(IFERROR(INDEX(Staff!$E$5:$E$44,MATCH(D74,Staff!$A$5:$A$44,0))&amp;"","")="Chair renter",0,ROUND(U74*PayrollBurden,2))))</f>
        <v>0</v>
      </c>
      <c r="Y74" s="26">
        <f>IF(B74="","",ROUND(U74+X74,2))</f>
        <v>0</v>
      </c>
      <c r="Z74" s="26">
        <f>IF(B74="","",ROUND(SUMIFS(Commissions!$X$5:$X$244,Commissions!$C$5:$C$244,D74,Commissions!$B$5:$B$244,Q74),2))</f>
        <v>0</v>
      </c>
      <c r="AA74" s="26">
        <f>IF(B74="","",ROUND(SUMIFS($H$5:$H$364,$D$5:$D$364,D74,$Q$5:$Q$364,Q74),2))</f>
        <v>0</v>
      </c>
      <c r="AB74" s="26">
        <f>IF(B74="","",ROUND(Z74-AA74,2))</f>
        <v>0</v>
      </c>
      <c r="AC74" s="26">
        <f>IF(B74="","",IF(IF(F74="",0,F74)=0,"",ROUND(Y74/F74,2)))</f>
        <v>0</v>
      </c>
      <c r="AD74" s="39">
        <f>IF(B74="","",IF(D74="","Add - who is this run for?",IF(IF(F74="",H74="",FALSE),"Add - no hours and no commission",IF(AB74&lt;-0.004,"Check - more commission paid than earned",IF(M74&lt;&gt;"Yes","Due - not paid yet",IF(N74="","Check - marked paid, no date","OK"))))))</f>
        <v>0</v>
      </c>
    </row>
    <row r="75" spans="1:30">
      <c r="A75" s="28">
        <f>IF(B75="","",PayrollPrefix&amp;TEXT(ROW()-4,"0000"))</f>
        <v>0</v>
      </c>
      <c r="E75" s="15">
        <f>IF(D75="","",IFERROR(INDEX(Staff!$B$5:$B$44,MATCH(D75,Staff!$A$5:$A$44,0)),"Not in Staff"))</f>
        <v>0</v>
      </c>
      <c r="Q75" s="15">
        <f>IF(B75="","",TEXT(B75,"yyyy-mm"))</f>
        <v>0</v>
      </c>
      <c r="R75" s="25">
        <f>IF(B75="","",WEEKNUM(B75,2))</f>
        <v>0</v>
      </c>
      <c r="S75" s="26">
        <f>IF(B75="","",IF(G75&lt;&gt;"",G75,IFERROR(IF(INDEX(Staff!$P$5:$P$44,MATCH(D75,Staff!$A$5:$A$44,0))="",DefaultHourly,INDEX(Staff!$P$5:$P$44,MATCH(D75,Staff!$A$5:$A$44,0))),DefaultHourly)))</f>
        <v>0</v>
      </c>
      <c r="T75" s="26">
        <f>IF(B75="","",ROUND(IF(F75="",0,F75)*S75,2))</f>
        <v>0</v>
      </c>
      <c r="U75" s="26">
        <f>IF(B75="","",ROUND(T75+IF(H75="",0,H75)+IF(J75="",0,J75)+IF(K75="",0,K75),2))</f>
        <v>0</v>
      </c>
      <c r="V75" s="26">
        <f>IF(B75="","",ROUND(U75-IF(L75="",0,L75),2))</f>
        <v>0</v>
      </c>
      <c r="W75" s="26">
        <f>IF(B75="","",ROUND(V75+IF(I75="",0,I75),2))</f>
        <v>0</v>
      </c>
      <c r="X75" s="26">
        <f>IF(B75="","",IF(IFERROR(INDEX(Staff!$E$5:$E$44,MATCH(D75,Staff!$A$5:$A$44,0))&amp;"","")="Self-employed",0,IF(IFERROR(INDEX(Staff!$E$5:$E$44,MATCH(D75,Staff!$A$5:$A$44,0))&amp;"","")="Chair renter",0,ROUND(U75*PayrollBurden,2))))</f>
        <v>0</v>
      </c>
      <c r="Y75" s="26">
        <f>IF(B75="","",ROUND(U75+X75,2))</f>
        <v>0</v>
      </c>
      <c r="Z75" s="26">
        <f>IF(B75="","",ROUND(SUMIFS(Commissions!$X$5:$X$244,Commissions!$C$5:$C$244,D75,Commissions!$B$5:$B$244,Q75),2))</f>
        <v>0</v>
      </c>
      <c r="AA75" s="26">
        <f>IF(B75="","",ROUND(SUMIFS($H$5:$H$364,$D$5:$D$364,D75,$Q$5:$Q$364,Q75),2))</f>
        <v>0</v>
      </c>
      <c r="AB75" s="26">
        <f>IF(B75="","",ROUND(Z75-AA75,2))</f>
        <v>0</v>
      </c>
      <c r="AC75" s="26">
        <f>IF(B75="","",IF(IF(F75="",0,F75)=0,"",ROUND(Y75/F75,2)))</f>
        <v>0</v>
      </c>
      <c r="AD75" s="39">
        <f>IF(B75="","",IF(D75="","Add - who is this run for?",IF(IF(F75="",H75="",FALSE),"Add - no hours and no commission",IF(AB75&lt;-0.004,"Check - more commission paid than earned",IF(M75&lt;&gt;"Yes","Due - not paid yet",IF(N75="","Check - marked paid, no date","OK"))))))</f>
        <v>0</v>
      </c>
    </row>
    <row r="76" spans="1:30">
      <c r="A76" s="28">
        <f>IF(B76="","",PayrollPrefix&amp;TEXT(ROW()-4,"0000"))</f>
        <v>0</v>
      </c>
      <c r="E76" s="15">
        <f>IF(D76="","",IFERROR(INDEX(Staff!$B$5:$B$44,MATCH(D76,Staff!$A$5:$A$44,0)),"Not in Staff"))</f>
        <v>0</v>
      </c>
      <c r="Q76" s="15">
        <f>IF(B76="","",TEXT(B76,"yyyy-mm"))</f>
        <v>0</v>
      </c>
      <c r="R76" s="25">
        <f>IF(B76="","",WEEKNUM(B76,2))</f>
        <v>0</v>
      </c>
      <c r="S76" s="26">
        <f>IF(B76="","",IF(G76&lt;&gt;"",G76,IFERROR(IF(INDEX(Staff!$P$5:$P$44,MATCH(D76,Staff!$A$5:$A$44,0))="",DefaultHourly,INDEX(Staff!$P$5:$P$44,MATCH(D76,Staff!$A$5:$A$44,0))),DefaultHourly)))</f>
        <v>0</v>
      </c>
      <c r="T76" s="26">
        <f>IF(B76="","",ROUND(IF(F76="",0,F76)*S76,2))</f>
        <v>0</v>
      </c>
      <c r="U76" s="26">
        <f>IF(B76="","",ROUND(T76+IF(H76="",0,H76)+IF(J76="",0,J76)+IF(K76="",0,K76),2))</f>
        <v>0</v>
      </c>
      <c r="V76" s="26">
        <f>IF(B76="","",ROUND(U76-IF(L76="",0,L76),2))</f>
        <v>0</v>
      </c>
      <c r="W76" s="26">
        <f>IF(B76="","",ROUND(V76+IF(I76="",0,I76),2))</f>
        <v>0</v>
      </c>
      <c r="X76" s="26">
        <f>IF(B76="","",IF(IFERROR(INDEX(Staff!$E$5:$E$44,MATCH(D76,Staff!$A$5:$A$44,0))&amp;"","")="Self-employed",0,IF(IFERROR(INDEX(Staff!$E$5:$E$44,MATCH(D76,Staff!$A$5:$A$44,0))&amp;"","")="Chair renter",0,ROUND(U76*PayrollBurden,2))))</f>
        <v>0</v>
      </c>
      <c r="Y76" s="26">
        <f>IF(B76="","",ROUND(U76+X76,2))</f>
        <v>0</v>
      </c>
      <c r="Z76" s="26">
        <f>IF(B76="","",ROUND(SUMIFS(Commissions!$X$5:$X$244,Commissions!$C$5:$C$244,D76,Commissions!$B$5:$B$244,Q76),2))</f>
        <v>0</v>
      </c>
      <c r="AA76" s="26">
        <f>IF(B76="","",ROUND(SUMIFS($H$5:$H$364,$D$5:$D$364,D76,$Q$5:$Q$364,Q76),2))</f>
        <v>0</v>
      </c>
      <c r="AB76" s="26">
        <f>IF(B76="","",ROUND(Z76-AA76,2))</f>
        <v>0</v>
      </c>
      <c r="AC76" s="26">
        <f>IF(B76="","",IF(IF(F76="",0,F76)=0,"",ROUND(Y76/F76,2)))</f>
        <v>0</v>
      </c>
      <c r="AD76" s="39">
        <f>IF(B76="","",IF(D76="","Add - who is this run for?",IF(IF(F76="",H76="",FALSE),"Add - no hours and no commission",IF(AB76&lt;-0.004,"Check - more commission paid than earned",IF(M76&lt;&gt;"Yes","Due - not paid yet",IF(N76="","Check - marked paid, no date","OK"))))))</f>
        <v>0</v>
      </c>
    </row>
    <row r="77" spans="1:30">
      <c r="A77" s="28">
        <f>IF(B77="","",PayrollPrefix&amp;TEXT(ROW()-4,"0000"))</f>
        <v>0</v>
      </c>
      <c r="E77" s="15">
        <f>IF(D77="","",IFERROR(INDEX(Staff!$B$5:$B$44,MATCH(D77,Staff!$A$5:$A$44,0)),"Not in Staff"))</f>
        <v>0</v>
      </c>
      <c r="Q77" s="15">
        <f>IF(B77="","",TEXT(B77,"yyyy-mm"))</f>
        <v>0</v>
      </c>
      <c r="R77" s="25">
        <f>IF(B77="","",WEEKNUM(B77,2))</f>
        <v>0</v>
      </c>
      <c r="S77" s="26">
        <f>IF(B77="","",IF(G77&lt;&gt;"",G77,IFERROR(IF(INDEX(Staff!$P$5:$P$44,MATCH(D77,Staff!$A$5:$A$44,0))="",DefaultHourly,INDEX(Staff!$P$5:$P$44,MATCH(D77,Staff!$A$5:$A$44,0))),DefaultHourly)))</f>
        <v>0</v>
      </c>
      <c r="T77" s="26">
        <f>IF(B77="","",ROUND(IF(F77="",0,F77)*S77,2))</f>
        <v>0</v>
      </c>
      <c r="U77" s="26">
        <f>IF(B77="","",ROUND(T77+IF(H77="",0,H77)+IF(J77="",0,J77)+IF(K77="",0,K77),2))</f>
        <v>0</v>
      </c>
      <c r="V77" s="26">
        <f>IF(B77="","",ROUND(U77-IF(L77="",0,L77),2))</f>
        <v>0</v>
      </c>
      <c r="W77" s="26">
        <f>IF(B77="","",ROUND(V77+IF(I77="",0,I77),2))</f>
        <v>0</v>
      </c>
      <c r="X77" s="26">
        <f>IF(B77="","",IF(IFERROR(INDEX(Staff!$E$5:$E$44,MATCH(D77,Staff!$A$5:$A$44,0))&amp;"","")="Self-employed",0,IF(IFERROR(INDEX(Staff!$E$5:$E$44,MATCH(D77,Staff!$A$5:$A$44,0))&amp;"","")="Chair renter",0,ROUND(U77*PayrollBurden,2))))</f>
        <v>0</v>
      </c>
      <c r="Y77" s="26">
        <f>IF(B77="","",ROUND(U77+X77,2))</f>
        <v>0</v>
      </c>
      <c r="Z77" s="26">
        <f>IF(B77="","",ROUND(SUMIFS(Commissions!$X$5:$X$244,Commissions!$C$5:$C$244,D77,Commissions!$B$5:$B$244,Q77),2))</f>
        <v>0</v>
      </c>
      <c r="AA77" s="26">
        <f>IF(B77="","",ROUND(SUMIFS($H$5:$H$364,$D$5:$D$364,D77,$Q$5:$Q$364,Q77),2))</f>
        <v>0</v>
      </c>
      <c r="AB77" s="26">
        <f>IF(B77="","",ROUND(Z77-AA77,2))</f>
        <v>0</v>
      </c>
      <c r="AC77" s="26">
        <f>IF(B77="","",IF(IF(F77="",0,F77)=0,"",ROUND(Y77/F77,2)))</f>
        <v>0</v>
      </c>
      <c r="AD77" s="39">
        <f>IF(B77="","",IF(D77="","Add - who is this run for?",IF(IF(F77="",H77="",FALSE),"Add - no hours and no commission",IF(AB77&lt;-0.004,"Check - more commission paid than earned",IF(M77&lt;&gt;"Yes","Due - not paid yet",IF(N77="","Check - marked paid, no date","OK"))))))</f>
        <v>0</v>
      </c>
    </row>
    <row r="78" spans="1:30">
      <c r="A78" s="28">
        <f>IF(B78="","",PayrollPrefix&amp;TEXT(ROW()-4,"0000"))</f>
        <v>0</v>
      </c>
      <c r="E78" s="15">
        <f>IF(D78="","",IFERROR(INDEX(Staff!$B$5:$B$44,MATCH(D78,Staff!$A$5:$A$44,0)),"Not in Staff"))</f>
        <v>0</v>
      </c>
      <c r="Q78" s="15">
        <f>IF(B78="","",TEXT(B78,"yyyy-mm"))</f>
        <v>0</v>
      </c>
      <c r="R78" s="25">
        <f>IF(B78="","",WEEKNUM(B78,2))</f>
        <v>0</v>
      </c>
      <c r="S78" s="26">
        <f>IF(B78="","",IF(G78&lt;&gt;"",G78,IFERROR(IF(INDEX(Staff!$P$5:$P$44,MATCH(D78,Staff!$A$5:$A$44,0))="",DefaultHourly,INDEX(Staff!$P$5:$P$44,MATCH(D78,Staff!$A$5:$A$44,0))),DefaultHourly)))</f>
        <v>0</v>
      </c>
      <c r="T78" s="26">
        <f>IF(B78="","",ROUND(IF(F78="",0,F78)*S78,2))</f>
        <v>0</v>
      </c>
      <c r="U78" s="26">
        <f>IF(B78="","",ROUND(T78+IF(H78="",0,H78)+IF(J78="",0,J78)+IF(K78="",0,K78),2))</f>
        <v>0</v>
      </c>
      <c r="V78" s="26">
        <f>IF(B78="","",ROUND(U78-IF(L78="",0,L78),2))</f>
        <v>0</v>
      </c>
      <c r="W78" s="26">
        <f>IF(B78="","",ROUND(V78+IF(I78="",0,I78),2))</f>
        <v>0</v>
      </c>
      <c r="X78" s="26">
        <f>IF(B78="","",IF(IFERROR(INDEX(Staff!$E$5:$E$44,MATCH(D78,Staff!$A$5:$A$44,0))&amp;"","")="Self-employed",0,IF(IFERROR(INDEX(Staff!$E$5:$E$44,MATCH(D78,Staff!$A$5:$A$44,0))&amp;"","")="Chair renter",0,ROUND(U78*PayrollBurden,2))))</f>
        <v>0</v>
      </c>
      <c r="Y78" s="26">
        <f>IF(B78="","",ROUND(U78+X78,2))</f>
        <v>0</v>
      </c>
      <c r="Z78" s="26">
        <f>IF(B78="","",ROUND(SUMIFS(Commissions!$X$5:$X$244,Commissions!$C$5:$C$244,D78,Commissions!$B$5:$B$244,Q78),2))</f>
        <v>0</v>
      </c>
      <c r="AA78" s="26">
        <f>IF(B78="","",ROUND(SUMIFS($H$5:$H$364,$D$5:$D$364,D78,$Q$5:$Q$364,Q78),2))</f>
        <v>0</v>
      </c>
      <c r="AB78" s="26">
        <f>IF(B78="","",ROUND(Z78-AA78,2))</f>
        <v>0</v>
      </c>
      <c r="AC78" s="26">
        <f>IF(B78="","",IF(IF(F78="",0,F78)=0,"",ROUND(Y78/F78,2)))</f>
        <v>0</v>
      </c>
      <c r="AD78" s="39">
        <f>IF(B78="","",IF(D78="","Add - who is this run for?",IF(IF(F78="",H78="",FALSE),"Add - no hours and no commission",IF(AB78&lt;-0.004,"Check - more commission paid than earned",IF(M78&lt;&gt;"Yes","Due - not paid yet",IF(N78="","Check - marked paid, no date","OK"))))))</f>
        <v>0</v>
      </c>
    </row>
    <row r="79" spans="1:30">
      <c r="A79" s="28">
        <f>IF(B79="","",PayrollPrefix&amp;TEXT(ROW()-4,"0000"))</f>
        <v>0</v>
      </c>
      <c r="E79" s="15">
        <f>IF(D79="","",IFERROR(INDEX(Staff!$B$5:$B$44,MATCH(D79,Staff!$A$5:$A$44,0)),"Not in Staff"))</f>
        <v>0</v>
      </c>
      <c r="Q79" s="15">
        <f>IF(B79="","",TEXT(B79,"yyyy-mm"))</f>
        <v>0</v>
      </c>
      <c r="R79" s="25">
        <f>IF(B79="","",WEEKNUM(B79,2))</f>
        <v>0</v>
      </c>
      <c r="S79" s="26">
        <f>IF(B79="","",IF(G79&lt;&gt;"",G79,IFERROR(IF(INDEX(Staff!$P$5:$P$44,MATCH(D79,Staff!$A$5:$A$44,0))="",DefaultHourly,INDEX(Staff!$P$5:$P$44,MATCH(D79,Staff!$A$5:$A$44,0))),DefaultHourly)))</f>
        <v>0</v>
      </c>
      <c r="T79" s="26">
        <f>IF(B79="","",ROUND(IF(F79="",0,F79)*S79,2))</f>
        <v>0</v>
      </c>
      <c r="U79" s="26">
        <f>IF(B79="","",ROUND(T79+IF(H79="",0,H79)+IF(J79="",0,J79)+IF(K79="",0,K79),2))</f>
        <v>0</v>
      </c>
      <c r="V79" s="26">
        <f>IF(B79="","",ROUND(U79-IF(L79="",0,L79),2))</f>
        <v>0</v>
      </c>
      <c r="W79" s="26">
        <f>IF(B79="","",ROUND(V79+IF(I79="",0,I79),2))</f>
        <v>0</v>
      </c>
      <c r="X79" s="26">
        <f>IF(B79="","",IF(IFERROR(INDEX(Staff!$E$5:$E$44,MATCH(D79,Staff!$A$5:$A$44,0))&amp;"","")="Self-employed",0,IF(IFERROR(INDEX(Staff!$E$5:$E$44,MATCH(D79,Staff!$A$5:$A$44,0))&amp;"","")="Chair renter",0,ROUND(U79*PayrollBurden,2))))</f>
        <v>0</v>
      </c>
      <c r="Y79" s="26">
        <f>IF(B79="","",ROUND(U79+X79,2))</f>
        <v>0</v>
      </c>
      <c r="Z79" s="26">
        <f>IF(B79="","",ROUND(SUMIFS(Commissions!$X$5:$X$244,Commissions!$C$5:$C$244,D79,Commissions!$B$5:$B$244,Q79),2))</f>
        <v>0</v>
      </c>
      <c r="AA79" s="26">
        <f>IF(B79="","",ROUND(SUMIFS($H$5:$H$364,$D$5:$D$364,D79,$Q$5:$Q$364,Q79),2))</f>
        <v>0</v>
      </c>
      <c r="AB79" s="26">
        <f>IF(B79="","",ROUND(Z79-AA79,2))</f>
        <v>0</v>
      </c>
      <c r="AC79" s="26">
        <f>IF(B79="","",IF(IF(F79="",0,F79)=0,"",ROUND(Y79/F79,2)))</f>
        <v>0</v>
      </c>
      <c r="AD79" s="39">
        <f>IF(B79="","",IF(D79="","Add - who is this run for?",IF(IF(F79="",H79="",FALSE),"Add - no hours and no commission",IF(AB79&lt;-0.004,"Check - more commission paid than earned",IF(M79&lt;&gt;"Yes","Due - not paid yet",IF(N79="","Check - marked paid, no date","OK"))))))</f>
        <v>0</v>
      </c>
    </row>
    <row r="80" spans="1:30">
      <c r="A80" s="28">
        <f>IF(B80="","",PayrollPrefix&amp;TEXT(ROW()-4,"0000"))</f>
        <v>0</v>
      </c>
      <c r="E80" s="15">
        <f>IF(D80="","",IFERROR(INDEX(Staff!$B$5:$B$44,MATCH(D80,Staff!$A$5:$A$44,0)),"Not in Staff"))</f>
        <v>0</v>
      </c>
      <c r="Q80" s="15">
        <f>IF(B80="","",TEXT(B80,"yyyy-mm"))</f>
        <v>0</v>
      </c>
      <c r="R80" s="25">
        <f>IF(B80="","",WEEKNUM(B80,2))</f>
        <v>0</v>
      </c>
      <c r="S80" s="26">
        <f>IF(B80="","",IF(G80&lt;&gt;"",G80,IFERROR(IF(INDEX(Staff!$P$5:$P$44,MATCH(D80,Staff!$A$5:$A$44,0))="",DefaultHourly,INDEX(Staff!$P$5:$P$44,MATCH(D80,Staff!$A$5:$A$44,0))),DefaultHourly)))</f>
        <v>0</v>
      </c>
      <c r="T80" s="26">
        <f>IF(B80="","",ROUND(IF(F80="",0,F80)*S80,2))</f>
        <v>0</v>
      </c>
      <c r="U80" s="26">
        <f>IF(B80="","",ROUND(T80+IF(H80="",0,H80)+IF(J80="",0,J80)+IF(K80="",0,K80),2))</f>
        <v>0</v>
      </c>
      <c r="V80" s="26">
        <f>IF(B80="","",ROUND(U80-IF(L80="",0,L80),2))</f>
        <v>0</v>
      </c>
      <c r="W80" s="26">
        <f>IF(B80="","",ROUND(V80+IF(I80="",0,I80),2))</f>
        <v>0</v>
      </c>
      <c r="X80" s="26">
        <f>IF(B80="","",IF(IFERROR(INDEX(Staff!$E$5:$E$44,MATCH(D80,Staff!$A$5:$A$44,0))&amp;"","")="Self-employed",0,IF(IFERROR(INDEX(Staff!$E$5:$E$44,MATCH(D80,Staff!$A$5:$A$44,0))&amp;"","")="Chair renter",0,ROUND(U80*PayrollBurden,2))))</f>
        <v>0</v>
      </c>
      <c r="Y80" s="26">
        <f>IF(B80="","",ROUND(U80+X80,2))</f>
        <v>0</v>
      </c>
      <c r="Z80" s="26">
        <f>IF(B80="","",ROUND(SUMIFS(Commissions!$X$5:$X$244,Commissions!$C$5:$C$244,D80,Commissions!$B$5:$B$244,Q80),2))</f>
        <v>0</v>
      </c>
      <c r="AA80" s="26">
        <f>IF(B80="","",ROUND(SUMIFS($H$5:$H$364,$D$5:$D$364,D80,$Q$5:$Q$364,Q80),2))</f>
        <v>0</v>
      </c>
      <c r="AB80" s="26">
        <f>IF(B80="","",ROUND(Z80-AA80,2))</f>
        <v>0</v>
      </c>
      <c r="AC80" s="26">
        <f>IF(B80="","",IF(IF(F80="",0,F80)=0,"",ROUND(Y80/F80,2)))</f>
        <v>0</v>
      </c>
      <c r="AD80" s="39">
        <f>IF(B80="","",IF(D80="","Add - who is this run for?",IF(IF(F80="",H80="",FALSE),"Add - no hours and no commission",IF(AB80&lt;-0.004,"Check - more commission paid than earned",IF(M80&lt;&gt;"Yes","Due - not paid yet",IF(N80="","Check - marked paid, no date","OK"))))))</f>
        <v>0</v>
      </c>
    </row>
    <row r="81" spans="1:30">
      <c r="A81" s="28">
        <f>IF(B81="","",PayrollPrefix&amp;TEXT(ROW()-4,"0000"))</f>
        <v>0</v>
      </c>
      <c r="E81" s="15">
        <f>IF(D81="","",IFERROR(INDEX(Staff!$B$5:$B$44,MATCH(D81,Staff!$A$5:$A$44,0)),"Not in Staff"))</f>
        <v>0</v>
      </c>
      <c r="Q81" s="15">
        <f>IF(B81="","",TEXT(B81,"yyyy-mm"))</f>
        <v>0</v>
      </c>
      <c r="R81" s="25">
        <f>IF(B81="","",WEEKNUM(B81,2))</f>
        <v>0</v>
      </c>
      <c r="S81" s="26">
        <f>IF(B81="","",IF(G81&lt;&gt;"",G81,IFERROR(IF(INDEX(Staff!$P$5:$P$44,MATCH(D81,Staff!$A$5:$A$44,0))="",DefaultHourly,INDEX(Staff!$P$5:$P$44,MATCH(D81,Staff!$A$5:$A$44,0))),DefaultHourly)))</f>
        <v>0</v>
      </c>
      <c r="T81" s="26">
        <f>IF(B81="","",ROUND(IF(F81="",0,F81)*S81,2))</f>
        <v>0</v>
      </c>
      <c r="U81" s="26">
        <f>IF(B81="","",ROUND(T81+IF(H81="",0,H81)+IF(J81="",0,J81)+IF(K81="",0,K81),2))</f>
        <v>0</v>
      </c>
      <c r="V81" s="26">
        <f>IF(B81="","",ROUND(U81-IF(L81="",0,L81),2))</f>
        <v>0</v>
      </c>
      <c r="W81" s="26">
        <f>IF(B81="","",ROUND(V81+IF(I81="",0,I81),2))</f>
        <v>0</v>
      </c>
      <c r="X81" s="26">
        <f>IF(B81="","",IF(IFERROR(INDEX(Staff!$E$5:$E$44,MATCH(D81,Staff!$A$5:$A$44,0))&amp;"","")="Self-employed",0,IF(IFERROR(INDEX(Staff!$E$5:$E$44,MATCH(D81,Staff!$A$5:$A$44,0))&amp;"","")="Chair renter",0,ROUND(U81*PayrollBurden,2))))</f>
        <v>0</v>
      </c>
      <c r="Y81" s="26">
        <f>IF(B81="","",ROUND(U81+X81,2))</f>
        <v>0</v>
      </c>
      <c r="Z81" s="26">
        <f>IF(B81="","",ROUND(SUMIFS(Commissions!$X$5:$X$244,Commissions!$C$5:$C$244,D81,Commissions!$B$5:$B$244,Q81),2))</f>
        <v>0</v>
      </c>
      <c r="AA81" s="26">
        <f>IF(B81="","",ROUND(SUMIFS($H$5:$H$364,$D$5:$D$364,D81,$Q$5:$Q$364,Q81),2))</f>
        <v>0</v>
      </c>
      <c r="AB81" s="26">
        <f>IF(B81="","",ROUND(Z81-AA81,2))</f>
        <v>0</v>
      </c>
      <c r="AC81" s="26">
        <f>IF(B81="","",IF(IF(F81="",0,F81)=0,"",ROUND(Y81/F81,2)))</f>
        <v>0</v>
      </c>
      <c r="AD81" s="39">
        <f>IF(B81="","",IF(D81="","Add - who is this run for?",IF(IF(F81="",H81="",FALSE),"Add - no hours and no commission",IF(AB81&lt;-0.004,"Check - more commission paid than earned",IF(M81&lt;&gt;"Yes","Due - not paid yet",IF(N81="","Check - marked paid, no date","OK"))))))</f>
        <v>0</v>
      </c>
    </row>
    <row r="82" spans="1:30">
      <c r="A82" s="28">
        <f>IF(B82="","",PayrollPrefix&amp;TEXT(ROW()-4,"0000"))</f>
        <v>0</v>
      </c>
      <c r="E82" s="15">
        <f>IF(D82="","",IFERROR(INDEX(Staff!$B$5:$B$44,MATCH(D82,Staff!$A$5:$A$44,0)),"Not in Staff"))</f>
        <v>0</v>
      </c>
      <c r="Q82" s="15">
        <f>IF(B82="","",TEXT(B82,"yyyy-mm"))</f>
        <v>0</v>
      </c>
      <c r="R82" s="25">
        <f>IF(B82="","",WEEKNUM(B82,2))</f>
        <v>0</v>
      </c>
      <c r="S82" s="26">
        <f>IF(B82="","",IF(G82&lt;&gt;"",G82,IFERROR(IF(INDEX(Staff!$P$5:$P$44,MATCH(D82,Staff!$A$5:$A$44,0))="",DefaultHourly,INDEX(Staff!$P$5:$P$44,MATCH(D82,Staff!$A$5:$A$44,0))),DefaultHourly)))</f>
        <v>0</v>
      </c>
      <c r="T82" s="26">
        <f>IF(B82="","",ROUND(IF(F82="",0,F82)*S82,2))</f>
        <v>0</v>
      </c>
      <c r="U82" s="26">
        <f>IF(B82="","",ROUND(T82+IF(H82="",0,H82)+IF(J82="",0,J82)+IF(K82="",0,K82),2))</f>
        <v>0</v>
      </c>
      <c r="V82" s="26">
        <f>IF(B82="","",ROUND(U82-IF(L82="",0,L82),2))</f>
        <v>0</v>
      </c>
      <c r="W82" s="26">
        <f>IF(B82="","",ROUND(V82+IF(I82="",0,I82),2))</f>
        <v>0</v>
      </c>
      <c r="X82" s="26">
        <f>IF(B82="","",IF(IFERROR(INDEX(Staff!$E$5:$E$44,MATCH(D82,Staff!$A$5:$A$44,0))&amp;"","")="Self-employed",0,IF(IFERROR(INDEX(Staff!$E$5:$E$44,MATCH(D82,Staff!$A$5:$A$44,0))&amp;"","")="Chair renter",0,ROUND(U82*PayrollBurden,2))))</f>
        <v>0</v>
      </c>
      <c r="Y82" s="26">
        <f>IF(B82="","",ROUND(U82+X82,2))</f>
        <v>0</v>
      </c>
      <c r="Z82" s="26">
        <f>IF(B82="","",ROUND(SUMIFS(Commissions!$X$5:$X$244,Commissions!$C$5:$C$244,D82,Commissions!$B$5:$B$244,Q82),2))</f>
        <v>0</v>
      </c>
      <c r="AA82" s="26">
        <f>IF(B82="","",ROUND(SUMIFS($H$5:$H$364,$D$5:$D$364,D82,$Q$5:$Q$364,Q82),2))</f>
        <v>0</v>
      </c>
      <c r="AB82" s="26">
        <f>IF(B82="","",ROUND(Z82-AA82,2))</f>
        <v>0</v>
      </c>
      <c r="AC82" s="26">
        <f>IF(B82="","",IF(IF(F82="",0,F82)=0,"",ROUND(Y82/F82,2)))</f>
        <v>0</v>
      </c>
      <c r="AD82" s="39">
        <f>IF(B82="","",IF(D82="","Add - who is this run for?",IF(IF(F82="",H82="",FALSE),"Add - no hours and no commission",IF(AB82&lt;-0.004,"Check - more commission paid than earned",IF(M82&lt;&gt;"Yes","Due - not paid yet",IF(N82="","Check - marked paid, no date","OK"))))))</f>
        <v>0</v>
      </c>
    </row>
    <row r="83" spans="1:30">
      <c r="A83" s="28">
        <f>IF(B83="","",PayrollPrefix&amp;TEXT(ROW()-4,"0000"))</f>
        <v>0</v>
      </c>
      <c r="E83" s="15">
        <f>IF(D83="","",IFERROR(INDEX(Staff!$B$5:$B$44,MATCH(D83,Staff!$A$5:$A$44,0)),"Not in Staff"))</f>
        <v>0</v>
      </c>
      <c r="Q83" s="15">
        <f>IF(B83="","",TEXT(B83,"yyyy-mm"))</f>
        <v>0</v>
      </c>
      <c r="R83" s="25">
        <f>IF(B83="","",WEEKNUM(B83,2))</f>
        <v>0</v>
      </c>
      <c r="S83" s="26">
        <f>IF(B83="","",IF(G83&lt;&gt;"",G83,IFERROR(IF(INDEX(Staff!$P$5:$P$44,MATCH(D83,Staff!$A$5:$A$44,0))="",DefaultHourly,INDEX(Staff!$P$5:$P$44,MATCH(D83,Staff!$A$5:$A$44,0))),DefaultHourly)))</f>
        <v>0</v>
      </c>
      <c r="T83" s="26">
        <f>IF(B83="","",ROUND(IF(F83="",0,F83)*S83,2))</f>
        <v>0</v>
      </c>
      <c r="U83" s="26">
        <f>IF(B83="","",ROUND(T83+IF(H83="",0,H83)+IF(J83="",0,J83)+IF(K83="",0,K83),2))</f>
        <v>0</v>
      </c>
      <c r="V83" s="26">
        <f>IF(B83="","",ROUND(U83-IF(L83="",0,L83),2))</f>
        <v>0</v>
      </c>
      <c r="W83" s="26">
        <f>IF(B83="","",ROUND(V83+IF(I83="",0,I83),2))</f>
        <v>0</v>
      </c>
      <c r="X83" s="26">
        <f>IF(B83="","",IF(IFERROR(INDEX(Staff!$E$5:$E$44,MATCH(D83,Staff!$A$5:$A$44,0))&amp;"","")="Self-employed",0,IF(IFERROR(INDEX(Staff!$E$5:$E$44,MATCH(D83,Staff!$A$5:$A$44,0))&amp;"","")="Chair renter",0,ROUND(U83*PayrollBurden,2))))</f>
        <v>0</v>
      </c>
      <c r="Y83" s="26">
        <f>IF(B83="","",ROUND(U83+X83,2))</f>
        <v>0</v>
      </c>
      <c r="Z83" s="26">
        <f>IF(B83="","",ROUND(SUMIFS(Commissions!$X$5:$X$244,Commissions!$C$5:$C$244,D83,Commissions!$B$5:$B$244,Q83),2))</f>
        <v>0</v>
      </c>
      <c r="AA83" s="26">
        <f>IF(B83="","",ROUND(SUMIFS($H$5:$H$364,$D$5:$D$364,D83,$Q$5:$Q$364,Q83),2))</f>
        <v>0</v>
      </c>
      <c r="AB83" s="26">
        <f>IF(B83="","",ROUND(Z83-AA83,2))</f>
        <v>0</v>
      </c>
      <c r="AC83" s="26">
        <f>IF(B83="","",IF(IF(F83="",0,F83)=0,"",ROUND(Y83/F83,2)))</f>
        <v>0</v>
      </c>
      <c r="AD83" s="39">
        <f>IF(B83="","",IF(D83="","Add - who is this run for?",IF(IF(F83="",H83="",FALSE),"Add - no hours and no commission",IF(AB83&lt;-0.004,"Check - more commission paid than earned",IF(M83&lt;&gt;"Yes","Due - not paid yet",IF(N83="","Check - marked paid, no date","OK"))))))</f>
        <v>0</v>
      </c>
    </row>
    <row r="84" spans="1:30">
      <c r="A84" s="28">
        <f>IF(B84="","",PayrollPrefix&amp;TEXT(ROW()-4,"0000"))</f>
        <v>0</v>
      </c>
      <c r="E84" s="15">
        <f>IF(D84="","",IFERROR(INDEX(Staff!$B$5:$B$44,MATCH(D84,Staff!$A$5:$A$44,0)),"Not in Staff"))</f>
        <v>0</v>
      </c>
      <c r="Q84" s="15">
        <f>IF(B84="","",TEXT(B84,"yyyy-mm"))</f>
        <v>0</v>
      </c>
      <c r="R84" s="25">
        <f>IF(B84="","",WEEKNUM(B84,2))</f>
        <v>0</v>
      </c>
      <c r="S84" s="26">
        <f>IF(B84="","",IF(G84&lt;&gt;"",G84,IFERROR(IF(INDEX(Staff!$P$5:$P$44,MATCH(D84,Staff!$A$5:$A$44,0))="",DefaultHourly,INDEX(Staff!$P$5:$P$44,MATCH(D84,Staff!$A$5:$A$44,0))),DefaultHourly)))</f>
        <v>0</v>
      </c>
      <c r="T84" s="26">
        <f>IF(B84="","",ROUND(IF(F84="",0,F84)*S84,2))</f>
        <v>0</v>
      </c>
      <c r="U84" s="26">
        <f>IF(B84="","",ROUND(T84+IF(H84="",0,H84)+IF(J84="",0,J84)+IF(K84="",0,K84),2))</f>
        <v>0</v>
      </c>
      <c r="V84" s="26">
        <f>IF(B84="","",ROUND(U84-IF(L84="",0,L84),2))</f>
        <v>0</v>
      </c>
      <c r="W84" s="26">
        <f>IF(B84="","",ROUND(V84+IF(I84="",0,I84),2))</f>
        <v>0</v>
      </c>
      <c r="X84" s="26">
        <f>IF(B84="","",IF(IFERROR(INDEX(Staff!$E$5:$E$44,MATCH(D84,Staff!$A$5:$A$44,0))&amp;"","")="Self-employed",0,IF(IFERROR(INDEX(Staff!$E$5:$E$44,MATCH(D84,Staff!$A$5:$A$44,0))&amp;"","")="Chair renter",0,ROUND(U84*PayrollBurden,2))))</f>
        <v>0</v>
      </c>
      <c r="Y84" s="26">
        <f>IF(B84="","",ROUND(U84+X84,2))</f>
        <v>0</v>
      </c>
      <c r="Z84" s="26">
        <f>IF(B84="","",ROUND(SUMIFS(Commissions!$X$5:$X$244,Commissions!$C$5:$C$244,D84,Commissions!$B$5:$B$244,Q84),2))</f>
        <v>0</v>
      </c>
      <c r="AA84" s="26">
        <f>IF(B84="","",ROUND(SUMIFS($H$5:$H$364,$D$5:$D$364,D84,$Q$5:$Q$364,Q84),2))</f>
        <v>0</v>
      </c>
      <c r="AB84" s="26">
        <f>IF(B84="","",ROUND(Z84-AA84,2))</f>
        <v>0</v>
      </c>
      <c r="AC84" s="26">
        <f>IF(B84="","",IF(IF(F84="",0,F84)=0,"",ROUND(Y84/F84,2)))</f>
        <v>0</v>
      </c>
      <c r="AD84" s="39">
        <f>IF(B84="","",IF(D84="","Add - who is this run for?",IF(IF(F84="",H84="",FALSE),"Add - no hours and no commission",IF(AB84&lt;-0.004,"Check - more commission paid than earned",IF(M84&lt;&gt;"Yes","Due - not paid yet",IF(N84="","Check - marked paid, no date","OK"))))))</f>
        <v>0</v>
      </c>
    </row>
    <row r="85" spans="1:30">
      <c r="A85" s="28">
        <f>IF(B85="","",PayrollPrefix&amp;TEXT(ROW()-4,"0000"))</f>
        <v>0</v>
      </c>
      <c r="E85" s="15">
        <f>IF(D85="","",IFERROR(INDEX(Staff!$B$5:$B$44,MATCH(D85,Staff!$A$5:$A$44,0)),"Not in Staff"))</f>
        <v>0</v>
      </c>
      <c r="Q85" s="15">
        <f>IF(B85="","",TEXT(B85,"yyyy-mm"))</f>
        <v>0</v>
      </c>
      <c r="R85" s="25">
        <f>IF(B85="","",WEEKNUM(B85,2))</f>
        <v>0</v>
      </c>
      <c r="S85" s="26">
        <f>IF(B85="","",IF(G85&lt;&gt;"",G85,IFERROR(IF(INDEX(Staff!$P$5:$P$44,MATCH(D85,Staff!$A$5:$A$44,0))="",DefaultHourly,INDEX(Staff!$P$5:$P$44,MATCH(D85,Staff!$A$5:$A$44,0))),DefaultHourly)))</f>
        <v>0</v>
      </c>
      <c r="T85" s="26">
        <f>IF(B85="","",ROUND(IF(F85="",0,F85)*S85,2))</f>
        <v>0</v>
      </c>
      <c r="U85" s="26">
        <f>IF(B85="","",ROUND(T85+IF(H85="",0,H85)+IF(J85="",0,J85)+IF(K85="",0,K85),2))</f>
        <v>0</v>
      </c>
      <c r="V85" s="26">
        <f>IF(B85="","",ROUND(U85-IF(L85="",0,L85),2))</f>
        <v>0</v>
      </c>
      <c r="W85" s="26">
        <f>IF(B85="","",ROUND(V85+IF(I85="",0,I85),2))</f>
        <v>0</v>
      </c>
      <c r="X85" s="26">
        <f>IF(B85="","",IF(IFERROR(INDEX(Staff!$E$5:$E$44,MATCH(D85,Staff!$A$5:$A$44,0))&amp;"","")="Self-employed",0,IF(IFERROR(INDEX(Staff!$E$5:$E$44,MATCH(D85,Staff!$A$5:$A$44,0))&amp;"","")="Chair renter",0,ROUND(U85*PayrollBurden,2))))</f>
        <v>0</v>
      </c>
      <c r="Y85" s="26">
        <f>IF(B85="","",ROUND(U85+X85,2))</f>
        <v>0</v>
      </c>
      <c r="Z85" s="26">
        <f>IF(B85="","",ROUND(SUMIFS(Commissions!$X$5:$X$244,Commissions!$C$5:$C$244,D85,Commissions!$B$5:$B$244,Q85),2))</f>
        <v>0</v>
      </c>
      <c r="AA85" s="26">
        <f>IF(B85="","",ROUND(SUMIFS($H$5:$H$364,$D$5:$D$364,D85,$Q$5:$Q$364,Q85),2))</f>
        <v>0</v>
      </c>
      <c r="AB85" s="26">
        <f>IF(B85="","",ROUND(Z85-AA85,2))</f>
        <v>0</v>
      </c>
      <c r="AC85" s="26">
        <f>IF(B85="","",IF(IF(F85="",0,F85)=0,"",ROUND(Y85/F85,2)))</f>
        <v>0</v>
      </c>
      <c r="AD85" s="39">
        <f>IF(B85="","",IF(D85="","Add - who is this run for?",IF(IF(F85="",H85="",FALSE),"Add - no hours and no commission",IF(AB85&lt;-0.004,"Check - more commission paid than earned",IF(M85&lt;&gt;"Yes","Due - not paid yet",IF(N85="","Check - marked paid, no date","OK"))))))</f>
        <v>0</v>
      </c>
    </row>
    <row r="86" spans="1:30">
      <c r="A86" s="28">
        <f>IF(B86="","",PayrollPrefix&amp;TEXT(ROW()-4,"0000"))</f>
        <v>0</v>
      </c>
      <c r="E86" s="15">
        <f>IF(D86="","",IFERROR(INDEX(Staff!$B$5:$B$44,MATCH(D86,Staff!$A$5:$A$44,0)),"Not in Staff"))</f>
        <v>0</v>
      </c>
      <c r="Q86" s="15">
        <f>IF(B86="","",TEXT(B86,"yyyy-mm"))</f>
        <v>0</v>
      </c>
      <c r="R86" s="25">
        <f>IF(B86="","",WEEKNUM(B86,2))</f>
        <v>0</v>
      </c>
      <c r="S86" s="26">
        <f>IF(B86="","",IF(G86&lt;&gt;"",G86,IFERROR(IF(INDEX(Staff!$P$5:$P$44,MATCH(D86,Staff!$A$5:$A$44,0))="",DefaultHourly,INDEX(Staff!$P$5:$P$44,MATCH(D86,Staff!$A$5:$A$44,0))),DefaultHourly)))</f>
        <v>0</v>
      </c>
      <c r="T86" s="26">
        <f>IF(B86="","",ROUND(IF(F86="",0,F86)*S86,2))</f>
        <v>0</v>
      </c>
      <c r="U86" s="26">
        <f>IF(B86="","",ROUND(T86+IF(H86="",0,H86)+IF(J86="",0,J86)+IF(K86="",0,K86),2))</f>
        <v>0</v>
      </c>
      <c r="V86" s="26">
        <f>IF(B86="","",ROUND(U86-IF(L86="",0,L86),2))</f>
        <v>0</v>
      </c>
      <c r="W86" s="26">
        <f>IF(B86="","",ROUND(V86+IF(I86="",0,I86),2))</f>
        <v>0</v>
      </c>
      <c r="X86" s="26">
        <f>IF(B86="","",IF(IFERROR(INDEX(Staff!$E$5:$E$44,MATCH(D86,Staff!$A$5:$A$44,0))&amp;"","")="Self-employed",0,IF(IFERROR(INDEX(Staff!$E$5:$E$44,MATCH(D86,Staff!$A$5:$A$44,0))&amp;"","")="Chair renter",0,ROUND(U86*PayrollBurden,2))))</f>
        <v>0</v>
      </c>
      <c r="Y86" s="26">
        <f>IF(B86="","",ROUND(U86+X86,2))</f>
        <v>0</v>
      </c>
      <c r="Z86" s="26">
        <f>IF(B86="","",ROUND(SUMIFS(Commissions!$X$5:$X$244,Commissions!$C$5:$C$244,D86,Commissions!$B$5:$B$244,Q86),2))</f>
        <v>0</v>
      </c>
      <c r="AA86" s="26">
        <f>IF(B86="","",ROUND(SUMIFS($H$5:$H$364,$D$5:$D$364,D86,$Q$5:$Q$364,Q86),2))</f>
        <v>0</v>
      </c>
      <c r="AB86" s="26">
        <f>IF(B86="","",ROUND(Z86-AA86,2))</f>
        <v>0</v>
      </c>
      <c r="AC86" s="26">
        <f>IF(B86="","",IF(IF(F86="",0,F86)=0,"",ROUND(Y86/F86,2)))</f>
        <v>0</v>
      </c>
      <c r="AD86" s="39">
        <f>IF(B86="","",IF(D86="","Add - who is this run for?",IF(IF(F86="",H86="",FALSE),"Add - no hours and no commission",IF(AB86&lt;-0.004,"Check - more commission paid than earned",IF(M86&lt;&gt;"Yes","Due - not paid yet",IF(N86="","Check - marked paid, no date","OK"))))))</f>
        <v>0</v>
      </c>
    </row>
    <row r="87" spans="1:30">
      <c r="A87" s="28">
        <f>IF(B87="","",PayrollPrefix&amp;TEXT(ROW()-4,"0000"))</f>
        <v>0</v>
      </c>
      <c r="E87" s="15">
        <f>IF(D87="","",IFERROR(INDEX(Staff!$B$5:$B$44,MATCH(D87,Staff!$A$5:$A$44,0)),"Not in Staff"))</f>
        <v>0</v>
      </c>
      <c r="Q87" s="15">
        <f>IF(B87="","",TEXT(B87,"yyyy-mm"))</f>
        <v>0</v>
      </c>
      <c r="R87" s="25">
        <f>IF(B87="","",WEEKNUM(B87,2))</f>
        <v>0</v>
      </c>
      <c r="S87" s="26">
        <f>IF(B87="","",IF(G87&lt;&gt;"",G87,IFERROR(IF(INDEX(Staff!$P$5:$P$44,MATCH(D87,Staff!$A$5:$A$44,0))="",DefaultHourly,INDEX(Staff!$P$5:$P$44,MATCH(D87,Staff!$A$5:$A$44,0))),DefaultHourly)))</f>
        <v>0</v>
      </c>
      <c r="T87" s="26">
        <f>IF(B87="","",ROUND(IF(F87="",0,F87)*S87,2))</f>
        <v>0</v>
      </c>
      <c r="U87" s="26">
        <f>IF(B87="","",ROUND(T87+IF(H87="",0,H87)+IF(J87="",0,J87)+IF(K87="",0,K87),2))</f>
        <v>0</v>
      </c>
      <c r="V87" s="26">
        <f>IF(B87="","",ROUND(U87-IF(L87="",0,L87),2))</f>
        <v>0</v>
      </c>
      <c r="W87" s="26">
        <f>IF(B87="","",ROUND(V87+IF(I87="",0,I87),2))</f>
        <v>0</v>
      </c>
      <c r="X87" s="26">
        <f>IF(B87="","",IF(IFERROR(INDEX(Staff!$E$5:$E$44,MATCH(D87,Staff!$A$5:$A$44,0))&amp;"","")="Self-employed",0,IF(IFERROR(INDEX(Staff!$E$5:$E$44,MATCH(D87,Staff!$A$5:$A$44,0))&amp;"","")="Chair renter",0,ROUND(U87*PayrollBurden,2))))</f>
        <v>0</v>
      </c>
      <c r="Y87" s="26">
        <f>IF(B87="","",ROUND(U87+X87,2))</f>
        <v>0</v>
      </c>
      <c r="Z87" s="26">
        <f>IF(B87="","",ROUND(SUMIFS(Commissions!$X$5:$X$244,Commissions!$C$5:$C$244,D87,Commissions!$B$5:$B$244,Q87),2))</f>
        <v>0</v>
      </c>
      <c r="AA87" s="26">
        <f>IF(B87="","",ROUND(SUMIFS($H$5:$H$364,$D$5:$D$364,D87,$Q$5:$Q$364,Q87),2))</f>
        <v>0</v>
      </c>
      <c r="AB87" s="26">
        <f>IF(B87="","",ROUND(Z87-AA87,2))</f>
        <v>0</v>
      </c>
      <c r="AC87" s="26">
        <f>IF(B87="","",IF(IF(F87="",0,F87)=0,"",ROUND(Y87/F87,2)))</f>
        <v>0</v>
      </c>
      <c r="AD87" s="39">
        <f>IF(B87="","",IF(D87="","Add - who is this run for?",IF(IF(F87="",H87="",FALSE),"Add - no hours and no commission",IF(AB87&lt;-0.004,"Check - more commission paid than earned",IF(M87&lt;&gt;"Yes","Due - not paid yet",IF(N87="","Check - marked paid, no date","OK"))))))</f>
        <v>0</v>
      </c>
    </row>
    <row r="88" spans="1:30">
      <c r="A88" s="28">
        <f>IF(B88="","",PayrollPrefix&amp;TEXT(ROW()-4,"0000"))</f>
        <v>0</v>
      </c>
      <c r="E88" s="15">
        <f>IF(D88="","",IFERROR(INDEX(Staff!$B$5:$B$44,MATCH(D88,Staff!$A$5:$A$44,0)),"Not in Staff"))</f>
        <v>0</v>
      </c>
      <c r="Q88" s="15">
        <f>IF(B88="","",TEXT(B88,"yyyy-mm"))</f>
        <v>0</v>
      </c>
      <c r="R88" s="25">
        <f>IF(B88="","",WEEKNUM(B88,2))</f>
        <v>0</v>
      </c>
      <c r="S88" s="26">
        <f>IF(B88="","",IF(G88&lt;&gt;"",G88,IFERROR(IF(INDEX(Staff!$P$5:$P$44,MATCH(D88,Staff!$A$5:$A$44,0))="",DefaultHourly,INDEX(Staff!$P$5:$P$44,MATCH(D88,Staff!$A$5:$A$44,0))),DefaultHourly)))</f>
        <v>0</v>
      </c>
      <c r="T88" s="26">
        <f>IF(B88="","",ROUND(IF(F88="",0,F88)*S88,2))</f>
        <v>0</v>
      </c>
      <c r="U88" s="26">
        <f>IF(B88="","",ROUND(T88+IF(H88="",0,H88)+IF(J88="",0,J88)+IF(K88="",0,K88),2))</f>
        <v>0</v>
      </c>
      <c r="V88" s="26">
        <f>IF(B88="","",ROUND(U88-IF(L88="",0,L88),2))</f>
        <v>0</v>
      </c>
      <c r="W88" s="26">
        <f>IF(B88="","",ROUND(V88+IF(I88="",0,I88),2))</f>
        <v>0</v>
      </c>
      <c r="X88" s="26">
        <f>IF(B88="","",IF(IFERROR(INDEX(Staff!$E$5:$E$44,MATCH(D88,Staff!$A$5:$A$44,0))&amp;"","")="Self-employed",0,IF(IFERROR(INDEX(Staff!$E$5:$E$44,MATCH(D88,Staff!$A$5:$A$44,0))&amp;"","")="Chair renter",0,ROUND(U88*PayrollBurden,2))))</f>
        <v>0</v>
      </c>
      <c r="Y88" s="26">
        <f>IF(B88="","",ROUND(U88+X88,2))</f>
        <v>0</v>
      </c>
      <c r="Z88" s="26">
        <f>IF(B88="","",ROUND(SUMIFS(Commissions!$X$5:$X$244,Commissions!$C$5:$C$244,D88,Commissions!$B$5:$B$244,Q88),2))</f>
        <v>0</v>
      </c>
      <c r="AA88" s="26">
        <f>IF(B88="","",ROUND(SUMIFS($H$5:$H$364,$D$5:$D$364,D88,$Q$5:$Q$364,Q88),2))</f>
        <v>0</v>
      </c>
      <c r="AB88" s="26">
        <f>IF(B88="","",ROUND(Z88-AA88,2))</f>
        <v>0</v>
      </c>
      <c r="AC88" s="26">
        <f>IF(B88="","",IF(IF(F88="",0,F88)=0,"",ROUND(Y88/F88,2)))</f>
        <v>0</v>
      </c>
      <c r="AD88" s="39">
        <f>IF(B88="","",IF(D88="","Add - who is this run for?",IF(IF(F88="",H88="",FALSE),"Add - no hours and no commission",IF(AB88&lt;-0.004,"Check - more commission paid than earned",IF(M88&lt;&gt;"Yes","Due - not paid yet",IF(N88="","Check - marked paid, no date","OK"))))))</f>
        <v>0</v>
      </c>
    </row>
    <row r="89" spans="1:30">
      <c r="A89" s="28">
        <f>IF(B89="","",PayrollPrefix&amp;TEXT(ROW()-4,"0000"))</f>
        <v>0</v>
      </c>
      <c r="E89" s="15">
        <f>IF(D89="","",IFERROR(INDEX(Staff!$B$5:$B$44,MATCH(D89,Staff!$A$5:$A$44,0)),"Not in Staff"))</f>
        <v>0</v>
      </c>
      <c r="Q89" s="15">
        <f>IF(B89="","",TEXT(B89,"yyyy-mm"))</f>
        <v>0</v>
      </c>
      <c r="R89" s="25">
        <f>IF(B89="","",WEEKNUM(B89,2))</f>
        <v>0</v>
      </c>
      <c r="S89" s="26">
        <f>IF(B89="","",IF(G89&lt;&gt;"",G89,IFERROR(IF(INDEX(Staff!$P$5:$P$44,MATCH(D89,Staff!$A$5:$A$44,0))="",DefaultHourly,INDEX(Staff!$P$5:$P$44,MATCH(D89,Staff!$A$5:$A$44,0))),DefaultHourly)))</f>
        <v>0</v>
      </c>
      <c r="T89" s="26">
        <f>IF(B89="","",ROUND(IF(F89="",0,F89)*S89,2))</f>
        <v>0</v>
      </c>
      <c r="U89" s="26">
        <f>IF(B89="","",ROUND(T89+IF(H89="",0,H89)+IF(J89="",0,J89)+IF(K89="",0,K89),2))</f>
        <v>0</v>
      </c>
      <c r="V89" s="26">
        <f>IF(B89="","",ROUND(U89-IF(L89="",0,L89),2))</f>
        <v>0</v>
      </c>
      <c r="W89" s="26">
        <f>IF(B89="","",ROUND(V89+IF(I89="",0,I89),2))</f>
        <v>0</v>
      </c>
      <c r="X89" s="26">
        <f>IF(B89="","",IF(IFERROR(INDEX(Staff!$E$5:$E$44,MATCH(D89,Staff!$A$5:$A$44,0))&amp;"","")="Self-employed",0,IF(IFERROR(INDEX(Staff!$E$5:$E$44,MATCH(D89,Staff!$A$5:$A$44,0))&amp;"","")="Chair renter",0,ROUND(U89*PayrollBurden,2))))</f>
        <v>0</v>
      </c>
      <c r="Y89" s="26">
        <f>IF(B89="","",ROUND(U89+X89,2))</f>
        <v>0</v>
      </c>
      <c r="Z89" s="26">
        <f>IF(B89="","",ROUND(SUMIFS(Commissions!$X$5:$X$244,Commissions!$C$5:$C$244,D89,Commissions!$B$5:$B$244,Q89),2))</f>
        <v>0</v>
      </c>
      <c r="AA89" s="26">
        <f>IF(B89="","",ROUND(SUMIFS($H$5:$H$364,$D$5:$D$364,D89,$Q$5:$Q$364,Q89),2))</f>
        <v>0</v>
      </c>
      <c r="AB89" s="26">
        <f>IF(B89="","",ROUND(Z89-AA89,2))</f>
        <v>0</v>
      </c>
      <c r="AC89" s="26">
        <f>IF(B89="","",IF(IF(F89="",0,F89)=0,"",ROUND(Y89/F89,2)))</f>
        <v>0</v>
      </c>
      <c r="AD89" s="39">
        <f>IF(B89="","",IF(D89="","Add - who is this run for?",IF(IF(F89="",H89="",FALSE),"Add - no hours and no commission",IF(AB89&lt;-0.004,"Check - more commission paid than earned",IF(M89&lt;&gt;"Yes","Due - not paid yet",IF(N89="","Check - marked paid, no date","OK"))))))</f>
        <v>0</v>
      </c>
    </row>
    <row r="90" spans="1:30">
      <c r="A90" s="28">
        <f>IF(B90="","",PayrollPrefix&amp;TEXT(ROW()-4,"0000"))</f>
        <v>0</v>
      </c>
      <c r="E90" s="15">
        <f>IF(D90="","",IFERROR(INDEX(Staff!$B$5:$B$44,MATCH(D90,Staff!$A$5:$A$44,0)),"Not in Staff"))</f>
        <v>0</v>
      </c>
      <c r="Q90" s="15">
        <f>IF(B90="","",TEXT(B90,"yyyy-mm"))</f>
        <v>0</v>
      </c>
      <c r="R90" s="25">
        <f>IF(B90="","",WEEKNUM(B90,2))</f>
        <v>0</v>
      </c>
      <c r="S90" s="26">
        <f>IF(B90="","",IF(G90&lt;&gt;"",G90,IFERROR(IF(INDEX(Staff!$P$5:$P$44,MATCH(D90,Staff!$A$5:$A$44,0))="",DefaultHourly,INDEX(Staff!$P$5:$P$44,MATCH(D90,Staff!$A$5:$A$44,0))),DefaultHourly)))</f>
        <v>0</v>
      </c>
      <c r="T90" s="26">
        <f>IF(B90="","",ROUND(IF(F90="",0,F90)*S90,2))</f>
        <v>0</v>
      </c>
      <c r="U90" s="26">
        <f>IF(B90="","",ROUND(T90+IF(H90="",0,H90)+IF(J90="",0,J90)+IF(K90="",0,K90),2))</f>
        <v>0</v>
      </c>
      <c r="V90" s="26">
        <f>IF(B90="","",ROUND(U90-IF(L90="",0,L90),2))</f>
        <v>0</v>
      </c>
      <c r="W90" s="26">
        <f>IF(B90="","",ROUND(V90+IF(I90="",0,I90),2))</f>
        <v>0</v>
      </c>
      <c r="X90" s="26">
        <f>IF(B90="","",IF(IFERROR(INDEX(Staff!$E$5:$E$44,MATCH(D90,Staff!$A$5:$A$44,0))&amp;"","")="Self-employed",0,IF(IFERROR(INDEX(Staff!$E$5:$E$44,MATCH(D90,Staff!$A$5:$A$44,0))&amp;"","")="Chair renter",0,ROUND(U90*PayrollBurden,2))))</f>
        <v>0</v>
      </c>
      <c r="Y90" s="26">
        <f>IF(B90="","",ROUND(U90+X90,2))</f>
        <v>0</v>
      </c>
      <c r="Z90" s="26">
        <f>IF(B90="","",ROUND(SUMIFS(Commissions!$X$5:$X$244,Commissions!$C$5:$C$244,D90,Commissions!$B$5:$B$244,Q90),2))</f>
        <v>0</v>
      </c>
      <c r="AA90" s="26">
        <f>IF(B90="","",ROUND(SUMIFS($H$5:$H$364,$D$5:$D$364,D90,$Q$5:$Q$364,Q90),2))</f>
        <v>0</v>
      </c>
      <c r="AB90" s="26">
        <f>IF(B90="","",ROUND(Z90-AA90,2))</f>
        <v>0</v>
      </c>
      <c r="AC90" s="26">
        <f>IF(B90="","",IF(IF(F90="",0,F90)=0,"",ROUND(Y90/F90,2)))</f>
        <v>0</v>
      </c>
      <c r="AD90" s="39">
        <f>IF(B90="","",IF(D90="","Add - who is this run for?",IF(IF(F90="",H90="",FALSE),"Add - no hours and no commission",IF(AB90&lt;-0.004,"Check - more commission paid than earned",IF(M90&lt;&gt;"Yes","Due - not paid yet",IF(N90="","Check - marked paid, no date","OK"))))))</f>
        <v>0</v>
      </c>
    </row>
    <row r="91" spans="1:30">
      <c r="A91" s="28">
        <f>IF(B91="","",PayrollPrefix&amp;TEXT(ROW()-4,"0000"))</f>
        <v>0</v>
      </c>
      <c r="E91" s="15">
        <f>IF(D91="","",IFERROR(INDEX(Staff!$B$5:$B$44,MATCH(D91,Staff!$A$5:$A$44,0)),"Not in Staff"))</f>
        <v>0</v>
      </c>
      <c r="Q91" s="15">
        <f>IF(B91="","",TEXT(B91,"yyyy-mm"))</f>
        <v>0</v>
      </c>
      <c r="R91" s="25">
        <f>IF(B91="","",WEEKNUM(B91,2))</f>
        <v>0</v>
      </c>
      <c r="S91" s="26">
        <f>IF(B91="","",IF(G91&lt;&gt;"",G91,IFERROR(IF(INDEX(Staff!$P$5:$P$44,MATCH(D91,Staff!$A$5:$A$44,0))="",DefaultHourly,INDEX(Staff!$P$5:$P$44,MATCH(D91,Staff!$A$5:$A$44,0))),DefaultHourly)))</f>
        <v>0</v>
      </c>
      <c r="T91" s="26">
        <f>IF(B91="","",ROUND(IF(F91="",0,F91)*S91,2))</f>
        <v>0</v>
      </c>
      <c r="U91" s="26">
        <f>IF(B91="","",ROUND(T91+IF(H91="",0,H91)+IF(J91="",0,J91)+IF(K91="",0,K91),2))</f>
        <v>0</v>
      </c>
      <c r="V91" s="26">
        <f>IF(B91="","",ROUND(U91-IF(L91="",0,L91),2))</f>
        <v>0</v>
      </c>
      <c r="W91" s="26">
        <f>IF(B91="","",ROUND(V91+IF(I91="",0,I91),2))</f>
        <v>0</v>
      </c>
      <c r="X91" s="26">
        <f>IF(B91="","",IF(IFERROR(INDEX(Staff!$E$5:$E$44,MATCH(D91,Staff!$A$5:$A$44,0))&amp;"","")="Self-employed",0,IF(IFERROR(INDEX(Staff!$E$5:$E$44,MATCH(D91,Staff!$A$5:$A$44,0))&amp;"","")="Chair renter",0,ROUND(U91*PayrollBurden,2))))</f>
        <v>0</v>
      </c>
      <c r="Y91" s="26">
        <f>IF(B91="","",ROUND(U91+X91,2))</f>
        <v>0</v>
      </c>
      <c r="Z91" s="26">
        <f>IF(B91="","",ROUND(SUMIFS(Commissions!$X$5:$X$244,Commissions!$C$5:$C$244,D91,Commissions!$B$5:$B$244,Q91),2))</f>
        <v>0</v>
      </c>
      <c r="AA91" s="26">
        <f>IF(B91="","",ROUND(SUMIFS($H$5:$H$364,$D$5:$D$364,D91,$Q$5:$Q$364,Q91),2))</f>
        <v>0</v>
      </c>
      <c r="AB91" s="26">
        <f>IF(B91="","",ROUND(Z91-AA91,2))</f>
        <v>0</v>
      </c>
      <c r="AC91" s="26">
        <f>IF(B91="","",IF(IF(F91="",0,F91)=0,"",ROUND(Y91/F91,2)))</f>
        <v>0</v>
      </c>
      <c r="AD91" s="39">
        <f>IF(B91="","",IF(D91="","Add - who is this run for?",IF(IF(F91="",H91="",FALSE),"Add - no hours and no commission",IF(AB91&lt;-0.004,"Check - more commission paid than earned",IF(M91&lt;&gt;"Yes","Due - not paid yet",IF(N91="","Check - marked paid, no date","OK"))))))</f>
        <v>0</v>
      </c>
    </row>
    <row r="92" spans="1:30">
      <c r="A92" s="28">
        <f>IF(B92="","",PayrollPrefix&amp;TEXT(ROW()-4,"0000"))</f>
        <v>0</v>
      </c>
      <c r="E92" s="15">
        <f>IF(D92="","",IFERROR(INDEX(Staff!$B$5:$B$44,MATCH(D92,Staff!$A$5:$A$44,0)),"Not in Staff"))</f>
        <v>0</v>
      </c>
      <c r="Q92" s="15">
        <f>IF(B92="","",TEXT(B92,"yyyy-mm"))</f>
        <v>0</v>
      </c>
      <c r="R92" s="25">
        <f>IF(B92="","",WEEKNUM(B92,2))</f>
        <v>0</v>
      </c>
      <c r="S92" s="26">
        <f>IF(B92="","",IF(G92&lt;&gt;"",G92,IFERROR(IF(INDEX(Staff!$P$5:$P$44,MATCH(D92,Staff!$A$5:$A$44,0))="",DefaultHourly,INDEX(Staff!$P$5:$P$44,MATCH(D92,Staff!$A$5:$A$44,0))),DefaultHourly)))</f>
        <v>0</v>
      </c>
      <c r="T92" s="26">
        <f>IF(B92="","",ROUND(IF(F92="",0,F92)*S92,2))</f>
        <v>0</v>
      </c>
      <c r="U92" s="26">
        <f>IF(B92="","",ROUND(T92+IF(H92="",0,H92)+IF(J92="",0,J92)+IF(K92="",0,K92),2))</f>
        <v>0</v>
      </c>
      <c r="V92" s="26">
        <f>IF(B92="","",ROUND(U92-IF(L92="",0,L92),2))</f>
        <v>0</v>
      </c>
      <c r="W92" s="26">
        <f>IF(B92="","",ROUND(V92+IF(I92="",0,I92),2))</f>
        <v>0</v>
      </c>
      <c r="X92" s="26">
        <f>IF(B92="","",IF(IFERROR(INDEX(Staff!$E$5:$E$44,MATCH(D92,Staff!$A$5:$A$44,0))&amp;"","")="Self-employed",0,IF(IFERROR(INDEX(Staff!$E$5:$E$44,MATCH(D92,Staff!$A$5:$A$44,0))&amp;"","")="Chair renter",0,ROUND(U92*PayrollBurden,2))))</f>
        <v>0</v>
      </c>
      <c r="Y92" s="26">
        <f>IF(B92="","",ROUND(U92+X92,2))</f>
        <v>0</v>
      </c>
      <c r="Z92" s="26">
        <f>IF(B92="","",ROUND(SUMIFS(Commissions!$X$5:$X$244,Commissions!$C$5:$C$244,D92,Commissions!$B$5:$B$244,Q92),2))</f>
        <v>0</v>
      </c>
      <c r="AA92" s="26">
        <f>IF(B92="","",ROUND(SUMIFS($H$5:$H$364,$D$5:$D$364,D92,$Q$5:$Q$364,Q92),2))</f>
        <v>0</v>
      </c>
      <c r="AB92" s="26">
        <f>IF(B92="","",ROUND(Z92-AA92,2))</f>
        <v>0</v>
      </c>
      <c r="AC92" s="26">
        <f>IF(B92="","",IF(IF(F92="",0,F92)=0,"",ROUND(Y92/F92,2)))</f>
        <v>0</v>
      </c>
      <c r="AD92" s="39">
        <f>IF(B92="","",IF(D92="","Add - who is this run for?",IF(IF(F92="",H92="",FALSE),"Add - no hours and no commission",IF(AB92&lt;-0.004,"Check - more commission paid than earned",IF(M92&lt;&gt;"Yes","Due - not paid yet",IF(N92="","Check - marked paid, no date","OK"))))))</f>
        <v>0</v>
      </c>
    </row>
    <row r="93" spans="1:30">
      <c r="A93" s="28">
        <f>IF(B93="","",PayrollPrefix&amp;TEXT(ROW()-4,"0000"))</f>
        <v>0</v>
      </c>
      <c r="E93" s="15">
        <f>IF(D93="","",IFERROR(INDEX(Staff!$B$5:$B$44,MATCH(D93,Staff!$A$5:$A$44,0)),"Not in Staff"))</f>
        <v>0</v>
      </c>
      <c r="Q93" s="15">
        <f>IF(B93="","",TEXT(B93,"yyyy-mm"))</f>
        <v>0</v>
      </c>
      <c r="R93" s="25">
        <f>IF(B93="","",WEEKNUM(B93,2))</f>
        <v>0</v>
      </c>
      <c r="S93" s="26">
        <f>IF(B93="","",IF(G93&lt;&gt;"",G93,IFERROR(IF(INDEX(Staff!$P$5:$P$44,MATCH(D93,Staff!$A$5:$A$44,0))="",DefaultHourly,INDEX(Staff!$P$5:$P$44,MATCH(D93,Staff!$A$5:$A$44,0))),DefaultHourly)))</f>
        <v>0</v>
      </c>
      <c r="T93" s="26">
        <f>IF(B93="","",ROUND(IF(F93="",0,F93)*S93,2))</f>
        <v>0</v>
      </c>
      <c r="U93" s="26">
        <f>IF(B93="","",ROUND(T93+IF(H93="",0,H93)+IF(J93="",0,J93)+IF(K93="",0,K93),2))</f>
        <v>0</v>
      </c>
      <c r="V93" s="26">
        <f>IF(B93="","",ROUND(U93-IF(L93="",0,L93),2))</f>
        <v>0</v>
      </c>
      <c r="W93" s="26">
        <f>IF(B93="","",ROUND(V93+IF(I93="",0,I93),2))</f>
        <v>0</v>
      </c>
      <c r="X93" s="26">
        <f>IF(B93="","",IF(IFERROR(INDEX(Staff!$E$5:$E$44,MATCH(D93,Staff!$A$5:$A$44,0))&amp;"","")="Self-employed",0,IF(IFERROR(INDEX(Staff!$E$5:$E$44,MATCH(D93,Staff!$A$5:$A$44,0))&amp;"","")="Chair renter",0,ROUND(U93*PayrollBurden,2))))</f>
        <v>0</v>
      </c>
      <c r="Y93" s="26">
        <f>IF(B93="","",ROUND(U93+X93,2))</f>
        <v>0</v>
      </c>
      <c r="Z93" s="26">
        <f>IF(B93="","",ROUND(SUMIFS(Commissions!$X$5:$X$244,Commissions!$C$5:$C$244,D93,Commissions!$B$5:$B$244,Q93),2))</f>
        <v>0</v>
      </c>
      <c r="AA93" s="26">
        <f>IF(B93="","",ROUND(SUMIFS($H$5:$H$364,$D$5:$D$364,D93,$Q$5:$Q$364,Q93),2))</f>
        <v>0</v>
      </c>
      <c r="AB93" s="26">
        <f>IF(B93="","",ROUND(Z93-AA93,2))</f>
        <v>0</v>
      </c>
      <c r="AC93" s="26">
        <f>IF(B93="","",IF(IF(F93="",0,F93)=0,"",ROUND(Y93/F93,2)))</f>
        <v>0</v>
      </c>
      <c r="AD93" s="39">
        <f>IF(B93="","",IF(D93="","Add - who is this run for?",IF(IF(F93="",H93="",FALSE),"Add - no hours and no commission",IF(AB93&lt;-0.004,"Check - more commission paid than earned",IF(M93&lt;&gt;"Yes","Due - not paid yet",IF(N93="","Check - marked paid, no date","OK"))))))</f>
        <v>0</v>
      </c>
    </row>
    <row r="94" spans="1:30">
      <c r="A94" s="28">
        <f>IF(B94="","",PayrollPrefix&amp;TEXT(ROW()-4,"0000"))</f>
        <v>0</v>
      </c>
      <c r="E94" s="15">
        <f>IF(D94="","",IFERROR(INDEX(Staff!$B$5:$B$44,MATCH(D94,Staff!$A$5:$A$44,0)),"Not in Staff"))</f>
        <v>0</v>
      </c>
      <c r="Q94" s="15">
        <f>IF(B94="","",TEXT(B94,"yyyy-mm"))</f>
        <v>0</v>
      </c>
      <c r="R94" s="25">
        <f>IF(B94="","",WEEKNUM(B94,2))</f>
        <v>0</v>
      </c>
      <c r="S94" s="26">
        <f>IF(B94="","",IF(G94&lt;&gt;"",G94,IFERROR(IF(INDEX(Staff!$P$5:$P$44,MATCH(D94,Staff!$A$5:$A$44,0))="",DefaultHourly,INDEX(Staff!$P$5:$P$44,MATCH(D94,Staff!$A$5:$A$44,0))),DefaultHourly)))</f>
        <v>0</v>
      </c>
      <c r="T94" s="26">
        <f>IF(B94="","",ROUND(IF(F94="",0,F94)*S94,2))</f>
        <v>0</v>
      </c>
      <c r="U94" s="26">
        <f>IF(B94="","",ROUND(T94+IF(H94="",0,H94)+IF(J94="",0,J94)+IF(K94="",0,K94),2))</f>
        <v>0</v>
      </c>
      <c r="V94" s="26">
        <f>IF(B94="","",ROUND(U94-IF(L94="",0,L94),2))</f>
        <v>0</v>
      </c>
      <c r="W94" s="26">
        <f>IF(B94="","",ROUND(V94+IF(I94="",0,I94),2))</f>
        <v>0</v>
      </c>
      <c r="X94" s="26">
        <f>IF(B94="","",IF(IFERROR(INDEX(Staff!$E$5:$E$44,MATCH(D94,Staff!$A$5:$A$44,0))&amp;"","")="Self-employed",0,IF(IFERROR(INDEX(Staff!$E$5:$E$44,MATCH(D94,Staff!$A$5:$A$44,0))&amp;"","")="Chair renter",0,ROUND(U94*PayrollBurden,2))))</f>
        <v>0</v>
      </c>
      <c r="Y94" s="26">
        <f>IF(B94="","",ROUND(U94+X94,2))</f>
        <v>0</v>
      </c>
      <c r="Z94" s="26">
        <f>IF(B94="","",ROUND(SUMIFS(Commissions!$X$5:$X$244,Commissions!$C$5:$C$244,D94,Commissions!$B$5:$B$244,Q94),2))</f>
        <v>0</v>
      </c>
      <c r="AA94" s="26">
        <f>IF(B94="","",ROUND(SUMIFS($H$5:$H$364,$D$5:$D$364,D94,$Q$5:$Q$364,Q94),2))</f>
        <v>0</v>
      </c>
      <c r="AB94" s="26">
        <f>IF(B94="","",ROUND(Z94-AA94,2))</f>
        <v>0</v>
      </c>
      <c r="AC94" s="26">
        <f>IF(B94="","",IF(IF(F94="",0,F94)=0,"",ROUND(Y94/F94,2)))</f>
        <v>0</v>
      </c>
      <c r="AD94" s="39">
        <f>IF(B94="","",IF(D94="","Add - who is this run for?",IF(IF(F94="",H94="",FALSE),"Add - no hours and no commission",IF(AB94&lt;-0.004,"Check - more commission paid than earned",IF(M94&lt;&gt;"Yes","Due - not paid yet",IF(N94="","Check - marked paid, no date","OK"))))))</f>
        <v>0</v>
      </c>
    </row>
    <row r="95" spans="1:30">
      <c r="A95" s="28">
        <f>IF(B95="","",PayrollPrefix&amp;TEXT(ROW()-4,"0000"))</f>
        <v>0</v>
      </c>
      <c r="E95" s="15">
        <f>IF(D95="","",IFERROR(INDEX(Staff!$B$5:$B$44,MATCH(D95,Staff!$A$5:$A$44,0)),"Not in Staff"))</f>
        <v>0</v>
      </c>
      <c r="Q95" s="15">
        <f>IF(B95="","",TEXT(B95,"yyyy-mm"))</f>
        <v>0</v>
      </c>
      <c r="R95" s="25">
        <f>IF(B95="","",WEEKNUM(B95,2))</f>
        <v>0</v>
      </c>
      <c r="S95" s="26">
        <f>IF(B95="","",IF(G95&lt;&gt;"",G95,IFERROR(IF(INDEX(Staff!$P$5:$P$44,MATCH(D95,Staff!$A$5:$A$44,0))="",DefaultHourly,INDEX(Staff!$P$5:$P$44,MATCH(D95,Staff!$A$5:$A$44,0))),DefaultHourly)))</f>
        <v>0</v>
      </c>
      <c r="T95" s="26">
        <f>IF(B95="","",ROUND(IF(F95="",0,F95)*S95,2))</f>
        <v>0</v>
      </c>
      <c r="U95" s="26">
        <f>IF(B95="","",ROUND(T95+IF(H95="",0,H95)+IF(J95="",0,J95)+IF(K95="",0,K95),2))</f>
        <v>0</v>
      </c>
      <c r="V95" s="26">
        <f>IF(B95="","",ROUND(U95-IF(L95="",0,L95),2))</f>
        <v>0</v>
      </c>
      <c r="W95" s="26">
        <f>IF(B95="","",ROUND(V95+IF(I95="",0,I95),2))</f>
        <v>0</v>
      </c>
      <c r="X95" s="26">
        <f>IF(B95="","",IF(IFERROR(INDEX(Staff!$E$5:$E$44,MATCH(D95,Staff!$A$5:$A$44,0))&amp;"","")="Self-employed",0,IF(IFERROR(INDEX(Staff!$E$5:$E$44,MATCH(D95,Staff!$A$5:$A$44,0))&amp;"","")="Chair renter",0,ROUND(U95*PayrollBurden,2))))</f>
        <v>0</v>
      </c>
      <c r="Y95" s="26">
        <f>IF(B95="","",ROUND(U95+X95,2))</f>
        <v>0</v>
      </c>
      <c r="Z95" s="26">
        <f>IF(B95="","",ROUND(SUMIFS(Commissions!$X$5:$X$244,Commissions!$C$5:$C$244,D95,Commissions!$B$5:$B$244,Q95),2))</f>
        <v>0</v>
      </c>
      <c r="AA95" s="26">
        <f>IF(B95="","",ROUND(SUMIFS($H$5:$H$364,$D$5:$D$364,D95,$Q$5:$Q$364,Q95),2))</f>
        <v>0</v>
      </c>
      <c r="AB95" s="26">
        <f>IF(B95="","",ROUND(Z95-AA95,2))</f>
        <v>0</v>
      </c>
      <c r="AC95" s="26">
        <f>IF(B95="","",IF(IF(F95="",0,F95)=0,"",ROUND(Y95/F95,2)))</f>
        <v>0</v>
      </c>
      <c r="AD95" s="39">
        <f>IF(B95="","",IF(D95="","Add - who is this run for?",IF(IF(F95="",H95="",FALSE),"Add - no hours and no commission",IF(AB95&lt;-0.004,"Check - more commission paid than earned",IF(M95&lt;&gt;"Yes","Due - not paid yet",IF(N95="","Check - marked paid, no date","OK"))))))</f>
        <v>0</v>
      </c>
    </row>
    <row r="96" spans="1:30">
      <c r="A96" s="28">
        <f>IF(B96="","",PayrollPrefix&amp;TEXT(ROW()-4,"0000"))</f>
        <v>0</v>
      </c>
      <c r="E96" s="15">
        <f>IF(D96="","",IFERROR(INDEX(Staff!$B$5:$B$44,MATCH(D96,Staff!$A$5:$A$44,0)),"Not in Staff"))</f>
        <v>0</v>
      </c>
      <c r="Q96" s="15">
        <f>IF(B96="","",TEXT(B96,"yyyy-mm"))</f>
        <v>0</v>
      </c>
      <c r="R96" s="25">
        <f>IF(B96="","",WEEKNUM(B96,2))</f>
        <v>0</v>
      </c>
      <c r="S96" s="26">
        <f>IF(B96="","",IF(G96&lt;&gt;"",G96,IFERROR(IF(INDEX(Staff!$P$5:$P$44,MATCH(D96,Staff!$A$5:$A$44,0))="",DefaultHourly,INDEX(Staff!$P$5:$P$44,MATCH(D96,Staff!$A$5:$A$44,0))),DefaultHourly)))</f>
        <v>0</v>
      </c>
      <c r="T96" s="26">
        <f>IF(B96="","",ROUND(IF(F96="",0,F96)*S96,2))</f>
        <v>0</v>
      </c>
      <c r="U96" s="26">
        <f>IF(B96="","",ROUND(T96+IF(H96="",0,H96)+IF(J96="",0,J96)+IF(K96="",0,K96),2))</f>
        <v>0</v>
      </c>
      <c r="V96" s="26">
        <f>IF(B96="","",ROUND(U96-IF(L96="",0,L96),2))</f>
        <v>0</v>
      </c>
      <c r="W96" s="26">
        <f>IF(B96="","",ROUND(V96+IF(I96="",0,I96),2))</f>
        <v>0</v>
      </c>
      <c r="X96" s="26">
        <f>IF(B96="","",IF(IFERROR(INDEX(Staff!$E$5:$E$44,MATCH(D96,Staff!$A$5:$A$44,0))&amp;"","")="Self-employed",0,IF(IFERROR(INDEX(Staff!$E$5:$E$44,MATCH(D96,Staff!$A$5:$A$44,0))&amp;"","")="Chair renter",0,ROUND(U96*PayrollBurden,2))))</f>
        <v>0</v>
      </c>
      <c r="Y96" s="26">
        <f>IF(B96="","",ROUND(U96+X96,2))</f>
        <v>0</v>
      </c>
      <c r="Z96" s="26">
        <f>IF(B96="","",ROUND(SUMIFS(Commissions!$X$5:$X$244,Commissions!$C$5:$C$244,D96,Commissions!$B$5:$B$244,Q96),2))</f>
        <v>0</v>
      </c>
      <c r="AA96" s="26">
        <f>IF(B96="","",ROUND(SUMIFS($H$5:$H$364,$D$5:$D$364,D96,$Q$5:$Q$364,Q96),2))</f>
        <v>0</v>
      </c>
      <c r="AB96" s="26">
        <f>IF(B96="","",ROUND(Z96-AA96,2))</f>
        <v>0</v>
      </c>
      <c r="AC96" s="26">
        <f>IF(B96="","",IF(IF(F96="",0,F96)=0,"",ROUND(Y96/F96,2)))</f>
        <v>0</v>
      </c>
      <c r="AD96" s="39">
        <f>IF(B96="","",IF(D96="","Add - who is this run for?",IF(IF(F96="",H96="",FALSE),"Add - no hours and no commission",IF(AB96&lt;-0.004,"Check - more commission paid than earned",IF(M96&lt;&gt;"Yes","Due - not paid yet",IF(N96="","Check - marked paid, no date","OK"))))))</f>
        <v>0</v>
      </c>
    </row>
    <row r="97" spans="1:30">
      <c r="A97" s="28">
        <f>IF(B97="","",PayrollPrefix&amp;TEXT(ROW()-4,"0000"))</f>
        <v>0</v>
      </c>
      <c r="E97" s="15">
        <f>IF(D97="","",IFERROR(INDEX(Staff!$B$5:$B$44,MATCH(D97,Staff!$A$5:$A$44,0)),"Not in Staff"))</f>
        <v>0</v>
      </c>
      <c r="Q97" s="15">
        <f>IF(B97="","",TEXT(B97,"yyyy-mm"))</f>
        <v>0</v>
      </c>
      <c r="R97" s="25">
        <f>IF(B97="","",WEEKNUM(B97,2))</f>
        <v>0</v>
      </c>
      <c r="S97" s="26">
        <f>IF(B97="","",IF(G97&lt;&gt;"",G97,IFERROR(IF(INDEX(Staff!$P$5:$P$44,MATCH(D97,Staff!$A$5:$A$44,0))="",DefaultHourly,INDEX(Staff!$P$5:$P$44,MATCH(D97,Staff!$A$5:$A$44,0))),DefaultHourly)))</f>
        <v>0</v>
      </c>
      <c r="T97" s="26">
        <f>IF(B97="","",ROUND(IF(F97="",0,F97)*S97,2))</f>
        <v>0</v>
      </c>
      <c r="U97" s="26">
        <f>IF(B97="","",ROUND(T97+IF(H97="",0,H97)+IF(J97="",0,J97)+IF(K97="",0,K97),2))</f>
        <v>0</v>
      </c>
      <c r="V97" s="26">
        <f>IF(B97="","",ROUND(U97-IF(L97="",0,L97),2))</f>
        <v>0</v>
      </c>
      <c r="W97" s="26">
        <f>IF(B97="","",ROUND(V97+IF(I97="",0,I97),2))</f>
        <v>0</v>
      </c>
      <c r="X97" s="26">
        <f>IF(B97="","",IF(IFERROR(INDEX(Staff!$E$5:$E$44,MATCH(D97,Staff!$A$5:$A$44,0))&amp;"","")="Self-employed",0,IF(IFERROR(INDEX(Staff!$E$5:$E$44,MATCH(D97,Staff!$A$5:$A$44,0))&amp;"","")="Chair renter",0,ROUND(U97*PayrollBurden,2))))</f>
        <v>0</v>
      </c>
      <c r="Y97" s="26">
        <f>IF(B97="","",ROUND(U97+X97,2))</f>
        <v>0</v>
      </c>
      <c r="Z97" s="26">
        <f>IF(B97="","",ROUND(SUMIFS(Commissions!$X$5:$X$244,Commissions!$C$5:$C$244,D97,Commissions!$B$5:$B$244,Q97),2))</f>
        <v>0</v>
      </c>
      <c r="AA97" s="26">
        <f>IF(B97="","",ROUND(SUMIFS($H$5:$H$364,$D$5:$D$364,D97,$Q$5:$Q$364,Q97),2))</f>
        <v>0</v>
      </c>
      <c r="AB97" s="26">
        <f>IF(B97="","",ROUND(Z97-AA97,2))</f>
        <v>0</v>
      </c>
      <c r="AC97" s="26">
        <f>IF(B97="","",IF(IF(F97="",0,F97)=0,"",ROUND(Y97/F97,2)))</f>
        <v>0</v>
      </c>
      <c r="AD97" s="39">
        <f>IF(B97="","",IF(D97="","Add - who is this run for?",IF(IF(F97="",H97="",FALSE),"Add - no hours and no commission",IF(AB97&lt;-0.004,"Check - more commission paid than earned",IF(M97&lt;&gt;"Yes","Due - not paid yet",IF(N97="","Check - marked paid, no date","OK"))))))</f>
        <v>0</v>
      </c>
    </row>
    <row r="98" spans="1:30">
      <c r="A98" s="28">
        <f>IF(B98="","",PayrollPrefix&amp;TEXT(ROW()-4,"0000"))</f>
        <v>0</v>
      </c>
      <c r="E98" s="15">
        <f>IF(D98="","",IFERROR(INDEX(Staff!$B$5:$B$44,MATCH(D98,Staff!$A$5:$A$44,0)),"Not in Staff"))</f>
        <v>0</v>
      </c>
      <c r="Q98" s="15">
        <f>IF(B98="","",TEXT(B98,"yyyy-mm"))</f>
        <v>0</v>
      </c>
      <c r="R98" s="25">
        <f>IF(B98="","",WEEKNUM(B98,2))</f>
        <v>0</v>
      </c>
      <c r="S98" s="26">
        <f>IF(B98="","",IF(G98&lt;&gt;"",G98,IFERROR(IF(INDEX(Staff!$P$5:$P$44,MATCH(D98,Staff!$A$5:$A$44,0))="",DefaultHourly,INDEX(Staff!$P$5:$P$44,MATCH(D98,Staff!$A$5:$A$44,0))),DefaultHourly)))</f>
        <v>0</v>
      </c>
      <c r="T98" s="26">
        <f>IF(B98="","",ROUND(IF(F98="",0,F98)*S98,2))</f>
        <v>0</v>
      </c>
      <c r="U98" s="26">
        <f>IF(B98="","",ROUND(T98+IF(H98="",0,H98)+IF(J98="",0,J98)+IF(K98="",0,K98),2))</f>
        <v>0</v>
      </c>
      <c r="V98" s="26">
        <f>IF(B98="","",ROUND(U98-IF(L98="",0,L98),2))</f>
        <v>0</v>
      </c>
      <c r="W98" s="26">
        <f>IF(B98="","",ROUND(V98+IF(I98="",0,I98),2))</f>
        <v>0</v>
      </c>
      <c r="X98" s="26">
        <f>IF(B98="","",IF(IFERROR(INDEX(Staff!$E$5:$E$44,MATCH(D98,Staff!$A$5:$A$44,0))&amp;"","")="Self-employed",0,IF(IFERROR(INDEX(Staff!$E$5:$E$44,MATCH(D98,Staff!$A$5:$A$44,0))&amp;"","")="Chair renter",0,ROUND(U98*PayrollBurden,2))))</f>
        <v>0</v>
      </c>
      <c r="Y98" s="26">
        <f>IF(B98="","",ROUND(U98+X98,2))</f>
        <v>0</v>
      </c>
      <c r="Z98" s="26">
        <f>IF(B98="","",ROUND(SUMIFS(Commissions!$X$5:$X$244,Commissions!$C$5:$C$244,D98,Commissions!$B$5:$B$244,Q98),2))</f>
        <v>0</v>
      </c>
      <c r="AA98" s="26">
        <f>IF(B98="","",ROUND(SUMIFS($H$5:$H$364,$D$5:$D$364,D98,$Q$5:$Q$364,Q98),2))</f>
        <v>0</v>
      </c>
      <c r="AB98" s="26">
        <f>IF(B98="","",ROUND(Z98-AA98,2))</f>
        <v>0</v>
      </c>
      <c r="AC98" s="26">
        <f>IF(B98="","",IF(IF(F98="",0,F98)=0,"",ROUND(Y98/F98,2)))</f>
        <v>0</v>
      </c>
      <c r="AD98" s="39">
        <f>IF(B98="","",IF(D98="","Add - who is this run for?",IF(IF(F98="",H98="",FALSE),"Add - no hours and no commission",IF(AB98&lt;-0.004,"Check - more commission paid than earned",IF(M98&lt;&gt;"Yes","Due - not paid yet",IF(N98="","Check - marked paid, no date","OK"))))))</f>
        <v>0</v>
      </c>
    </row>
    <row r="99" spans="1:30">
      <c r="A99" s="28">
        <f>IF(B99="","",PayrollPrefix&amp;TEXT(ROW()-4,"0000"))</f>
        <v>0</v>
      </c>
      <c r="E99" s="15">
        <f>IF(D99="","",IFERROR(INDEX(Staff!$B$5:$B$44,MATCH(D99,Staff!$A$5:$A$44,0)),"Not in Staff"))</f>
        <v>0</v>
      </c>
      <c r="Q99" s="15">
        <f>IF(B99="","",TEXT(B99,"yyyy-mm"))</f>
        <v>0</v>
      </c>
      <c r="R99" s="25">
        <f>IF(B99="","",WEEKNUM(B99,2))</f>
        <v>0</v>
      </c>
      <c r="S99" s="26">
        <f>IF(B99="","",IF(G99&lt;&gt;"",G99,IFERROR(IF(INDEX(Staff!$P$5:$P$44,MATCH(D99,Staff!$A$5:$A$44,0))="",DefaultHourly,INDEX(Staff!$P$5:$P$44,MATCH(D99,Staff!$A$5:$A$44,0))),DefaultHourly)))</f>
        <v>0</v>
      </c>
      <c r="T99" s="26">
        <f>IF(B99="","",ROUND(IF(F99="",0,F99)*S99,2))</f>
        <v>0</v>
      </c>
      <c r="U99" s="26">
        <f>IF(B99="","",ROUND(T99+IF(H99="",0,H99)+IF(J99="",0,J99)+IF(K99="",0,K99),2))</f>
        <v>0</v>
      </c>
      <c r="V99" s="26">
        <f>IF(B99="","",ROUND(U99-IF(L99="",0,L99),2))</f>
        <v>0</v>
      </c>
      <c r="W99" s="26">
        <f>IF(B99="","",ROUND(V99+IF(I99="",0,I99),2))</f>
        <v>0</v>
      </c>
      <c r="X99" s="26">
        <f>IF(B99="","",IF(IFERROR(INDEX(Staff!$E$5:$E$44,MATCH(D99,Staff!$A$5:$A$44,0))&amp;"","")="Self-employed",0,IF(IFERROR(INDEX(Staff!$E$5:$E$44,MATCH(D99,Staff!$A$5:$A$44,0))&amp;"","")="Chair renter",0,ROUND(U99*PayrollBurden,2))))</f>
        <v>0</v>
      </c>
      <c r="Y99" s="26">
        <f>IF(B99="","",ROUND(U99+X99,2))</f>
        <v>0</v>
      </c>
      <c r="Z99" s="26">
        <f>IF(B99="","",ROUND(SUMIFS(Commissions!$X$5:$X$244,Commissions!$C$5:$C$244,D99,Commissions!$B$5:$B$244,Q99),2))</f>
        <v>0</v>
      </c>
      <c r="AA99" s="26">
        <f>IF(B99="","",ROUND(SUMIFS($H$5:$H$364,$D$5:$D$364,D99,$Q$5:$Q$364,Q99),2))</f>
        <v>0</v>
      </c>
      <c r="AB99" s="26">
        <f>IF(B99="","",ROUND(Z99-AA99,2))</f>
        <v>0</v>
      </c>
      <c r="AC99" s="26">
        <f>IF(B99="","",IF(IF(F99="",0,F99)=0,"",ROUND(Y99/F99,2)))</f>
        <v>0</v>
      </c>
      <c r="AD99" s="39">
        <f>IF(B99="","",IF(D99="","Add - who is this run for?",IF(IF(F99="",H99="",FALSE),"Add - no hours and no commission",IF(AB99&lt;-0.004,"Check - more commission paid than earned",IF(M99&lt;&gt;"Yes","Due - not paid yet",IF(N99="","Check - marked paid, no date","OK"))))))</f>
        <v>0</v>
      </c>
    </row>
    <row r="100" spans="1:30">
      <c r="A100" s="28">
        <f>IF(B100="","",PayrollPrefix&amp;TEXT(ROW()-4,"0000"))</f>
        <v>0</v>
      </c>
      <c r="E100" s="15">
        <f>IF(D100="","",IFERROR(INDEX(Staff!$B$5:$B$44,MATCH(D100,Staff!$A$5:$A$44,0)),"Not in Staff"))</f>
        <v>0</v>
      </c>
      <c r="Q100" s="15">
        <f>IF(B100="","",TEXT(B100,"yyyy-mm"))</f>
        <v>0</v>
      </c>
      <c r="R100" s="25">
        <f>IF(B100="","",WEEKNUM(B100,2))</f>
        <v>0</v>
      </c>
      <c r="S100" s="26">
        <f>IF(B100="","",IF(G100&lt;&gt;"",G100,IFERROR(IF(INDEX(Staff!$P$5:$P$44,MATCH(D100,Staff!$A$5:$A$44,0))="",DefaultHourly,INDEX(Staff!$P$5:$P$44,MATCH(D100,Staff!$A$5:$A$44,0))),DefaultHourly)))</f>
        <v>0</v>
      </c>
      <c r="T100" s="26">
        <f>IF(B100="","",ROUND(IF(F100="",0,F100)*S100,2))</f>
        <v>0</v>
      </c>
      <c r="U100" s="26">
        <f>IF(B100="","",ROUND(T100+IF(H100="",0,H100)+IF(J100="",0,J100)+IF(K100="",0,K100),2))</f>
        <v>0</v>
      </c>
      <c r="V100" s="26">
        <f>IF(B100="","",ROUND(U100-IF(L100="",0,L100),2))</f>
        <v>0</v>
      </c>
      <c r="W100" s="26">
        <f>IF(B100="","",ROUND(V100+IF(I100="",0,I100),2))</f>
        <v>0</v>
      </c>
      <c r="X100" s="26">
        <f>IF(B100="","",IF(IFERROR(INDEX(Staff!$E$5:$E$44,MATCH(D100,Staff!$A$5:$A$44,0))&amp;"","")="Self-employed",0,IF(IFERROR(INDEX(Staff!$E$5:$E$44,MATCH(D100,Staff!$A$5:$A$44,0))&amp;"","")="Chair renter",0,ROUND(U100*PayrollBurden,2))))</f>
        <v>0</v>
      </c>
      <c r="Y100" s="26">
        <f>IF(B100="","",ROUND(U100+X100,2))</f>
        <v>0</v>
      </c>
      <c r="Z100" s="26">
        <f>IF(B100="","",ROUND(SUMIFS(Commissions!$X$5:$X$244,Commissions!$C$5:$C$244,D100,Commissions!$B$5:$B$244,Q100),2))</f>
        <v>0</v>
      </c>
      <c r="AA100" s="26">
        <f>IF(B100="","",ROUND(SUMIFS($H$5:$H$364,$D$5:$D$364,D100,$Q$5:$Q$364,Q100),2))</f>
        <v>0</v>
      </c>
      <c r="AB100" s="26">
        <f>IF(B100="","",ROUND(Z100-AA100,2))</f>
        <v>0</v>
      </c>
      <c r="AC100" s="26">
        <f>IF(B100="","",IF(IF(F100="",0,F100)=0,"",ROUND(Y100/F100,2)))</f>
        <v>0</v>
      </c>
      <c r="AD100" s="39">
        <f>IF(B100="","",IF(D100="","Add - who is this run for?",IF(IF(F100="",H100="",FALSE),"Add - no hours and no commission",IF(AB100&lt;-0.004,"Check - more commission paid than earned",IF(M100&lt;&gt;"Yes","Due - not paid yet",IF(N100="","Check - marked paid, no date","OK"))))))</f>
        <v>0</v>
      </c>
    </row>
    <row r="101" spans="1:30">
      <c r="A101" s="28">
        <f>IF(B101="","",PayrollPrefix&amp;TEXT(ROW()-4,"0000"))</f>
        <v>0</v>
      </c>
      <c r="E101" s="15">
        <f>IF(D101="","",IFERROR(INDEX(Staff!$B$5:$B$44,MATCH(D101,Staff!$A$5:$A$44,0)),"Not in Staff"))</f>
        <v>0</v>
      </c>
      <c r="Q101" s="15">
        <f>IF(B101="","",TEXT(B101,"yyyy-mm"))</f>
        <v>0</v>
      </c>
      <c r="R101" s="25">
        <f>IF(B101="","",WEEKNUM(B101,2))</f>
        <v>0</v>
      </c>
      <c r="S101" s="26">
        <f>IF(B101="","",IF(G101&lt;&gt;"",G101,IFERROR(IF(INDEX(Staff!$P$5:$P$44,MATCH(D101,Staff!$A$5:$A$44,0))="",DefaultHourly,INDEX(Staff!$P$5:$P$44,MATCH(D101,Staff!$A$5:$A$44,0))),DefaultHourly)))</f>
        <v>0</v>
      </c>
      <c r="T101" s="26">
        <f>IF(B101="","",ROUND(IF(F101="",0,F101)*S101,2))</f>
        <v>0</v>
      </c>
      <c r="U101" s="26">
        <f>IF(B101="","",ROUND(T101+IF(H101="",0,H101)+IF(J101="",0,J101)+IF(K101="",0,K101),2))</f>
        <v>0</v>
      </c>
      <c r="V101" s="26">
        <f>IF(B101="","",ROUND(U101-IF(L101="",0,L101),2))</f>
        <v>0</v>
      </c>
      <c r="W101" s="26">
        <f>IF(B101="","",ROUND(V101+IF(I101="",0,I101),2))</f>
        <v>0</v>
      </c>
      <c r="X101" s="26">
        <f>IF(B101="","",IF(IFERROR(INDEX(Staff!$E$5:$E$44,MATCH(D101,Staff!$A$5:$A$44,0))&amp;"","")="Self-employed",0,IF(IFERROR(INDEX(Staff!$E$5:$E$44,MATCH(D101,Staff!$A$5:$A$44,0))&amp;"","")="Chair renter",0,ROUND(U101*PayrollBurden,2))))</f>
        <v>0</v>
      </c>
      <c r="Y101" s="26">
        <f>IF(B101="","",ROUND(U101+X101,2))</f>
        <v>0</v>
      </c>
      <c r="Z101" s="26">
        <f>IF(B101="","",ROUND(SUMIFS(Commissions!$X$5:$X$244,Commissions!$C$5:$C$244,D101,Commissions!$B$5:$B$244,Q101),2))</f>
        <v>0</v>
      </c>
      <c r="AA101" s="26">
        <f>IF(B101="","",ROUND(SUMIFS($H$5:$H$364,$D$5:$D$364,D101,$Q$5:$Q$364,Q101),2))</f>
        <v>0</v>
      </c>
      <c r="AB101" s="26">
        <f>IF(B101="","",ROUND(Z101-AA101,2))</f>
        <v>0</v>
      </c>
      <c r="AC101" s="26">
        <f>IF(B101="","",IF(IF(F101="",0,F101)=0,"",ROUND(Y101/F101,2)))</f>
        <v>0</v>
      </c>
      <c r="AD101" s="39">
        <f>IF(B101="","",IF(D101="","Add - who is this run for?",IF(IF(F101="",H101="",FALSE),"Add - no hours and no commission",IF(AB101&lt;-0.004,"Check - more commission paid than earned",IF(M101&lt;&gt;"Yes","Due - not paid yet",IF(N101="","Check - marked paid, no date","OK"))))))</f>
        <v>0</v>
      </c>
    </row>
    <row r="102" spans="1:30">
      <c r="A102" s="28">
        <f>IF(B102="","",PayrollPrefix&amp;TEXT(ROW()-4,"0000"))</f>
        <v>0</v>
      </c>
      <c r="E102" s="15">
        <f>IF(D102="","",IFERROR(INDEX(Staff!$B$5:$B$44,MATCH(D102,Staff!$A$5:$A$44,0)),"Not in Staff"))</f>
        <v>0</v>
      </c>
      <c r="Q102" s="15">
        <f>IF(B102="","",TEXT(B102,"yyyy-mm"))</f>
        <v>0</v>
      </c>
      <c r="R102" s="25">
        <f>IF(B102="","",WEEKNUM(B102,2))</f>
        <v>0</v>
      </c>
      <c r="S102" s="26">
        <f>IF(B102="","",IF(G102&lt;&gt;"",G102,IFERROR(IF(INDEX(Staff!$P$5:$P$44,MATCH(D102,Staff!$A$5:$A$44,0))="",DefaultHourly,INDEX(Staff!$P$5:$P$44,MATCH(D102,Staff!$A$5:$A$44,0))),DefaultHourly)))</f>
        <v>0</v>
      </c>
      <c r="T102" s="26">
        <f>IF(B102="","",ROUND(IF(F102="",0,F102)*S102,2))</f>
        <v>0</v>
      </c>
      <c r="U102" s="26">
        <f>IF(B102="","",ROUND(T102+IF(H102="",0,H102)+IF(J102="",0,J102)+IF(K102="",0,K102),2))</f>
        <v>0</v>
      </c>
      <c r="V102" s="26">
        <f>IF(B102="","",ROUND(U102-IF(L102="",0,L102),2))</f>
        <v>0</v>
      </c>
      <c r="W102" s="26">
        <f>IF(B102="","",ROUND(V102+IF(I102="",0,I102),2))</f>
        <v>0</v>
      </c>
      <c r="X102" s="26">
        <f>IF(B102="","",IF(IFERROR(INDEX(Staff!$E$5:$E$44,MATCH(D102,Staff!$A$5:$A$44,0))&amp;"","")="Self-employed",0,IF(IFERROR(INDEX(Staff!$E$5:$E$44,MATCH(D102,Staff!$A$5:$A$44,0))&amp;"","")="Chair renter",0,ROUND(U102*PayrollBurden,2))))</f>
        <v>0</v>
      </c>
      <c r="Y102" s="26">
        <f>IF(B102="","",ROUND(U102+X102,2))</f>
        <v>0</v>
      </c>
      <c r="Z102" s="26">
        <f>IF(B102="","",ROUND(SUMIFS(Commissions!$X$5:$X$244,Commissions!$C$5:$C$244,D102,Commissions!$B$5:$B$244,Q102),2))</f>
        <v>0</v>
      </c>
      <c r="AA102" s="26">
        <f>IF(B102="","",ROUND(SUMIFS($H$5:$H$364,$D$5:$D$364,D102,$Q$5:$Q$364,Q102),2))</f>
        <v>0</v>
      </c>
      <c r="AB102" s="26">
        <f>IF(B102="","",ROUND(Z102-AA102,2))</f>
        <v>0</v>
      </c>
      <c r="AC102" s="26">
        <f>IF(B102="","",IF(IF(F102="",0,F102)=0,"",ROUND(Y102/F102,2)))</f>
        <v>0</v>
      </c>
      <c r="AD102" s="39">
        <f>IF(B102="","",IF(D102="","Add - who is this run for?",IF(IF(F102="",H102="",FALSE),"Add - no hours and no commission",IF(AB102&lt;-0.004,"Check - more commission paid than earned",IF(M102&lt;&gt;"Yes","Due - not paid yet",IF(N102="","Check - marked paid, no date","OK"))))))</f>
        <v>0</v>
      </c>
    </row>
    <row r="103" spans="1:30">
      <c r="A103" s="28">
        <f>IF(B103="","",PayrollPrefix&amp;TEXT(ROW()-4,"0000"))</f>
        <v>0</v>
      </c>
      <c r="E103" s="15">
        <f>IF(D103="","",IFERROR(INDEX(Staff!$B$5:$B$44,MATCH(D103,Staff!$A$5:$A$44,0)),"Not in Staff"))</f>
        <v>0</v>
      </c>
      <c r="Q103" s="15">
        <f>IF(B103="","",TEXT(B103,"yyyy-mm"))</f>
        <v>0</v>
      </c>
      <c r="R103" s="25">
        <f>IF(B103="","",WEEKNUM(B103,2))</f>
        <v>0</v>
      </c>
      <c r="S103" s="26">
        <f>IF(B103="","",IF(G103&lt;&gt;"",G103,IFERROR(IF(INDEX(Staff!$P$5:$P$44,MATCH(D103,Staff!$A$5:$A$44,0))="",DefaultHourly,INDEX(Staff!$P$5:$P$44,MATCH(D103,Staff!$A$5:$A$44,0))),DefaultHourly)))</f>
        <v>0</v>
      </c>
      <c r="T103" s="26">
        <f>IF(B103="","",ROUND(IF(F103="",0,F103)*S103,2))</f>
        <v>0</v>
      </c>
      <c r="U103" s="26">
        <f>IF(B103="","",ROUND(T103+IF(H103="",0,H103)+IF(J103="",0,J103)+IF(K103="",0,K103),2))</f>
        <v>0</v>
      </c>
      <c r="V103" s="26">
        <f>IF(B103="","",ROUND(U103-IF(L103="",0,L103),2))</f>
        <v>0</v>
      </c>
      <c r="W103" s="26">
        <f>IF(B103="","",ROUND(V103+IF(I103="",0,I103),2))</f>
        <v>0</v>
      </c>
      <c r="X103" s="26">
        <f>IF(B103="","",IF(IFERROR(INDEX(Staff!$E$5:$E$44,MATCH(D103,Staff!$A$5:$A$44,0))&amp;"","")="Self-employed",0,IF(IFERROR(INDEX(Staff!$E$5:$E$44,MATCH(D103,Staff!$A$5:$A$44,0))&amp;"","")="Chair renter",0,ROUND(U103*PayrollBurden,2))))</f>
        <v>0</v>
      </c>
      <c r="Y103" s="26">
        <f>IF(B103="","",ROUND(U103+X103,2))</f>
        <v>0</v>
      </c>
      <c r="Z103" s="26">
        <f>IF(B103="","",ROUND(SUMIFS(Commissions!$X$5:$X$244,Commissions!$C$5:$C$244,D103,Commissions!$B$5:$B$244,Q103),2))</f>
        <v>0</v>
      </c>
      <c r="AA103" s="26">
        <f>IF(B103="","",ROUND(SUMIFS($H$5:$H$364,$D$5:$D$364,D103,$Q$5:$Q$364,Q103),2))</f>
        <v>0</v>
      </c>
      <c r="AB103" s="26">
        <f>IF(B103="","",ROUND(Z103-AA103,2))</f>
        <v>0</v>
      </c>
      <c r="AC103" s="26">
        <f>IF(B103="","",IF(IF(F103="",0,F103)=0,"",ROUND(Y103/F103,2)))</f>
        <v>0</v>
      </c>
      <c r="AD103" s="39">
        <f>IF(B103="","",IF(D103="","Add - who is this run for?",IF(IF(F103="",H103="",FALSE),"Add - no hours and no commission",IF(AB103&lt;-0.004,"Check - more commission paid than earned",IF(M103&lt;&gt;"Yes","Due - not paid yet",IF(N103="","Check - marked paid, no date","OK"))))))</f>
        <v>0</v>
      </c>
    </row>
    <row r="104" spans="1:30">
      <c r="A104" s="28">
        <f>IF(B104="","",PayrollPrefix&amp;TEXT(ROW()-4,"0000"))</f>
        <v>0</v>
      </c>
      <c r="E104" s="15">
        <f>IF(D104="","",IFERROR(INDEX(Staff!$B$5:$B$44,MATCH(D104,Staff!$A$5:$A$44,0)),"Not in Staff"))</f>
        <v>0</v>
      </c>
      <c r="Q104" s="15">
        <f>IF(B104="","",TEXT(B104,"yyyy-mm"))</f>
        <v>0</v>
      </c>
      <c r="R104" s="25">
        <f>IF(B104="","",WEEKNUM(B104,2))</f>
        <v>0</v>
      </c>
      <c r="S104" s="26">
        <f>IF(B104="","",IF(G104&lt;&gt;"",G104,IFERROR(IF(INDEX(Staff!$P$5:$P$44,MATCH(D104,Staff!$A$5:$A$44,0))="",DefaultHourly,INDEX(Staff!$P$5:$P$44,MATCH(D104,Staff!$A$5:$A$44,0))),DefaultHourly)))</f>
        <v>0</v>
      </c>
      <c r="T104" s="26">
        <f>IF(B104="","",ROUND(IF(F104="",0,F104)*S104,2))</f>
        <v>0</v>
      </c>
      <c r="U104" s="26">
        <f>IF(B104="","",ROUND(T104+IF(H104="",0,H104)+IF(J104="",0,J104)+IF(K104="",0,K104),2))</f>
        <v>0</v>
      </c>
      <c r="V104" s="26">
        <f>IF(B104="","",ROUND(U104-IF(L104="",0,L104),2))</f>
        <v>0</v>
      </c>
      <c r="W104" s="26">
        <f>IF(B104="","",ROUND(V104+IF(I104="",0,I104),2))</f>
        <v>0</v>
      </c>
      <c r="X104" s="26">
        <f>IF(B104="","",IF(IFERROR(INDEX(Staff!$E$5:$E$44,MATCH(D104,Staff!$A$5:$A$44,0))&amp;"","")="Self-employed",0,IF(IFERROR(INDEX(Staff!$E$5:$E$44,MATCH(D104,Staff!$A$5:$A$44,0))&amp;"","")="Chair renter",0,ROUND(U104*PayrollBurden,2))))</f>
        <v>0</v>
      </c>
      <c r="Y104" s="26">
        <f>IF(B104="","",ROUND(U104+X104,2))</f>
        <v>0</v>
      </c>
      <c r="Z104" s="26">
        <f>IF(B104="","",ROUND(SUMIFS(Commissions!$X$5:$X$244,Commissions!$C$5:$C$244,D104,Commissions!$B$5:$B$244,Q104),2))</f>
        <v>0</v>
      </c>
      <c r="AA104" s="26">
        <f>IF(B104="","",ROUND(SUMIFS($H$5:$H$364,$D$5:$D$364,D104,$Q$5:$Q$364,Q104),2))</f>
        <v>0</v>
      </c>
      <c r="AB104" s="26">
        <f>IF(B104="","",ROUND(Z104-AA104,2))</f>
        <v>0</v>
      </c>
      <c r="AC104" s="26">
        <f>IF(B104="","",IF(IF(F104="",0,F104)=0,"",ROUND(Y104/F104,2)))</f>
        <v>0</v>
      </c>
      <c r="AD104" s="39">
        <f>IF(B104="","",IF(D104="","Add - who is this run for?",IF(IF(F104="",H104="",FALSE),"Add - no hours and no commission",IF(AB104&lt;-0.004,"Check - more commission paid than earned",IF(M104&lt;&gt;"Yes","Due - not paid yet",IF(N104="","Check - marked paid, no date","OK"))))))</f>
        <v>0</v>
      </c>
    </row>
    <row r="105" spans="1:30">
      <c r="A105" s="28">
        <f>IF(B105="","",PayrollPrefix&amp;TEXT(ROW()-4,"0000"))</f>
        <v>0</v>
      </c>
      <c r="E105" s="15">
        <f>IF(D105="","",IFERROR(INDEX(Staff!$B$5:$B$44,MATCH(D105,Staff!$A$5:$A$44,0)),"Not in Staff"))</f>
        <v>0</v>
      </c>
      <c r="Q105" s="15">
        <f>IF(B105="","",TEXT(B105,"yyyy-mm"))</f>
        <v>0</v>
      </c>
      <c r="R105" s="25">
        <f>IF(B105="","",WEEKNUM(B105,2))</f>
        <v>0</v>
      </c>
      <c r="S105" s="26">
        <f>IF(B105="","",IF(G105&lt;&gt;"",G105,IFERROR(IF(INDEX(Staff!$P$5:$P$44,MATCH(D105,Staff!$A$5:$A$44,0))="",DefaultHourly,INDEX(Staff!$P$5:$P$44,MATCH(D105,Staff!$A$5:$A$44,0))),DefaultHourly)))</f>
        <v>0</v>
      </c>
      <c r="T105" s="26">
        <f>IF(B105="","",ROUND(IF(F105="",0,F105)*S105,2))</f>
        <v>0</v>
      </c>
      <c r="U105" s="26">
        <f>IF(B105="","",ROUND(T105+IF(H105="",0,H105)+IF(J105="",0,J105)+IF(K105="",0,K105),2))</f>
        <v>0</v>
      </c>
      <c r="V105" s="26">
        <f>IF(B105="","",ROUND(U105-IF(L105="",0,L105),2))</f>
        <v>0</v>
      </c>
      <c r="W105" s="26">
        <f>IF(B105="","",ROUND(V105+IF(I105="",0,I105),2))</f>
        <v>0</v>
      </c>
      <c r="X105" s="26">
        <f>IF(B105="","",IF(IFERROR(INDEX(Staff!$E$5:$E$44,MATCH(D105,Staff!$A$5:$A$44,0))&amp;"","")="Self-employed",0,IF(IFERROR(INDEX(Staff!$E$5:$E$44,MATCH(D105,Staff!$A$5:$A$44,0))&amp;"","")="Chair renter",0,ROUND(U105*PayrollBurden,2))))</f>
        <v>0</v>
      </c>
      <c r="Y105" s="26">
        <f>IF(B105="","",ROUND(U105+X105,2))</f>
        <v>0</v>
      </c>
      <c r="Z105" s="26">
        <f>IF(B105="","",ROUND(SUMIFS(Commissions!$X$5:$X$244,Commissions!$C$5:$C$244,D105,Commissions!$B$5:$B$244,Q105),2))</f>
        <v>0</v>
      </c>
      <c r="AA105" s="26">
        <f>IF(B105="","",ROUND(SUMIFS($H$5:$H$364,$D$5:$D$364,D105,$Q$5:$Q$364,Q105),2))</f>
        <v>0</v>
      </c>
      <c r="AB105" s="26">
        <f>IF(B105="","",ROUND(Z105-AA105,2))</f>
        <v>0</v>
      </c>
      <c r="AC105" s="26">
        <f>IF(B105="","",IF(IF(F105="",0,F105)=0,"",ROUND(Y105/F105,2)))</f>
        <v>0</v>
      </c>
      <c r="AD105" s="39">
        <f>IF(B105="","",IF(D105="","Add - who is this run for?",IF(IF(F105="",H105="",FALSE),"Add - no hours and no commission",IF(AB105&lt;-0.004,"Check - more commission paid than earned",IF(M105&lt;&gt;"Yes","Due - not paid yet",IF(N105="","Check - marked paid, no date","OK"))))))</f>
        <v>0</v>
      </c>
    </row>
    <row r="106" spans="1:30">
      <c r="A106" s="28">
        <f>IF(B106="","",PayrollPrefix&amp;TEXT(ROW()-4,"0000"))</f>
        <v>0</v>
      </c>
      <c r="E106" s="15">
        <f>IF(D106="","",IFERROR(INDEX(Staff!$B$5:$B$44,MATCH(D106,Staff!$A$5:$A$44,0)),"Not in Staff"))</f>
        <v>0</v>
      </c>
      <c r="Q106" s="15">
        <f>IF(B106="","",TEXT(B106,"yyyy-mm"))</f>
        <v>0</v>
      </c>
      <c r="R106" s="25">
        <f>IF(B106="","",WEEKNUM(B106,2))</f>
        <v>0</v>
      </c>
      <c r="S106" s="26">
        <f>IF(B106="","",IF(G106&lt;&gt;"",G106,IFERROR(IF(INDEX(Staff!$P$5:$P$44,MATCH(D106,Staff!$A$5:$A$44,0))="",DefaultHourly,INDEX(Staff!$P$5:$P$44,MATCH(D106,Staff!$A$5:$A$44,0))),DefaultHourly)))</f>
        <v>0</v>
      </c>
      <c r="T106" s="26">
        <f>IF(B106="","",ROUND(IF(F106="",0,F106)*S106,2))</f>
        <v>0</v>
      </c>
      <c r="U106" s="26">
        <f>IF(B106="","",ROUND(T106+IF(H106="",0,H106)+IF(J106="",0,J106)+IF(K106="",0,K106),2))</f>
        <v>0</v>
      </c>
      <c r="V106" s="26">
        <f>IF(B106="","",ROUND(U106-IF(L106="",0,L106),2))</f>
        <v>0</v>
      </c>
      <c r="W106" s="26">
        <f>IF(B106="","",ROUND(V106+IF(I106="",0,I106),2))</f>
        <v>0</v>
      </c>
      <c r="X106" s="26">
        <f>IF(B106="","",IF(IFERROR(INDEX(Staff!$E$5:$E$44,MATCH(D106,Staff!$A$5:$A$44,0))&amp;"","")="Self-employed",0,IF(IFERROR(INDEX(Staff!$E$5:$E$44,MATCH(D106,Staff!$A$5:$A$44,0))&amp;"","")="Chair renter",0,ROUND(U106*PayrollBurden,2))))</f>
        <v>0</v>
      </c>
      <c r="Y106" s="26">
        <f>IF(B106="","",ROUND(U106+X106,2))</f>
        <v>0</v>
      </c>
      <c r="Z106" s="26">
        <f>IF(B106="","",ROUND(SUMIFS(Commissions!$X$5:$X$244,Commissions!$C$5:$C$244,D106,Commissions!$B$5:$B$244,Q106),2))</f>
        <v>0</v>
      </c>
      <c r="AA106" s="26">
        <f>IF(B106="","",ROUND(SUMIFS($H$5:$H$364,$D$5:$D$364,D106,$Q$5:$Q$364,Q106),2))</f>
        <v>0</v>
      </c>
      <c r="AB106" s="26">
        <f>IF(B106="","",ROUND(Z106-AA106,2))</f>
        <v>0</v>
      </c>
      <c r="AC106" s="26">
        <f>IF(B106="","",IF(IF(F106="",0,F106)=0,"",ROUND(Y106/F106,2)))</f>
        <v>0</v>
      </c>
      <c r="AD106" s="39">
        <f>IF(B106="","",IF(D106="","Add - who is this run for?",IF(IF(F106="",H106="",FALSE),"Add - no hours and no commission",IF(AB106&lt;-0.004,"Check - more commission paid than earned",IF(M106&lt;&gt;"Yes","Due - not paid yet",IF(N106="","Check - marked paid, no date","OK"))))))</f>
        <v>0</v>
      </c>
    </row>
    <row r="107" spans="1:30">
      <c r="A107" s="28">
        <f>IF(B107="","",PayrollPrefix&amp;TEXT(ROW()-4,"0000"))</f>
        <v>0</v>
      </c>
      <c r="E107" s="15">
        <f>IF(D107="","",IFERROR(INDEX(Staff!$B$5:$B$44,MATCH(D107,Staff!$A$5:$A$44,0)),"Not in Staff"))</f>
        <v>0</v>
      </c>
      <c r="Q107" s="15">
        <f>IF(B107="","",TEXT(B107,"yyyy-mm"))</f>
        <v>0</v>
      </c>
      <c r="R107" s="25">
        <f>IF(B107="","",WEEKNUM(B107,2))</f>
        <v>0</v>
      </c>
      <c r="S107" s="26">
        <f>IF(B107="","",IF(G107&lt;&gt;"",G107,IFERROR(IF(INDEX(Staff!$P$5:$P$44,MATCH(D107,Staff!$A$5:$A$44,0))="",DefaultHourly,INDEX(Staff!$P$5:$P$44,MATCH(D107,Staff!$A$5:$A$44,0))),DefaultHourly)))</f>
        <v>0</v>
      </c>
      <c r="T107" s="26">
        <f>IF(B107="","",ROUND(IF(F107="",0,F107)*S107,2))</f>
        <v>0</v>
      </c>
      <c r="U107" s="26">
        <f>IF(B107="","",ROUND(T107+IF(H107="",0,H107)+IF(J107="",0,J107)+IF(K107="",0,K107),2))</f>
        <v>0</v>
      </c>
      <c r="V107" s="26">
        <f>IF(B107="","",ROUND(U107-IF(L107="",0,L107),2))</f>
        <v>0</v>
      </c>
      <c r="W107" s="26">
        <f>IF(B107="","",ROUND(V107+IF(I107="",0,I107),2))</f>
        <v>0</v>
      </c>
      <c r="X107" s="26">
        <f>IF(B107="","",IF(IFERROR(INDEX(Staff!$E$5:$E$44,MATCH(D107,Staff!$A$5:$A$44,0))&amp;"","")="Self-employed",0,IF(IFERROR(INDEX(Staff!$E$5:$E$44,MATCH(D107,Staff!$A$5:$A$44,0))&amp;"","")="Chair renter",0,ROUND(U107*PayrollBurden,2))))</f>
        <v>0</v>
      </c>
      <c r="Y107" s="26">
        <f>IF(B107="","",ROUND(U107+X107,2))</f>
        <v>0</v>
      </c>
      <c r="Z107" s="26">
        <f>IF(B107="","",ROUND(SUMIFS(Commissions!$X$5:$X$244,Commissions!$C$5:$C$244,D107,Commissions!$B$5:$B$244,Q107),2))</f>
        <v>0</v>
      </c>
      <c r="AA107" s="26">
        <f>IF(B107="","",ROUND(SUMIFS($H$5:$H$364,$D$5:$D$364,D107,$Q$5:$Q$364,Q107),2))</f>
        <v>0</v>
      </c>
      <c r="AB107" s="26">
        <f>IF(B107="","",ROUND(Z107-AA107,2))</f>
        <v>0</v>
      </c>
      <c r="AC107" s="26">
        <f>IF(B107="","",IF(IF(F107="",0,F107)=0,"",ROUND(Y107/F107,2)))</f>
        <v>0</v>
      </c>
      <c r="AD107" s="39">
        <f>IF(B107="","",IF(D107="","Add - who is this run for?",IF(IF(F107="",H107="",FALSE),"Add - no hours and no commission",IF(AB107&lt;-0.004,"Check - more commission paid than earned",IF(M107&lt;&gt;"Yes","Due - not paid yet",IF(N107="","Check - marked paid, no date","OK"))))))</f>
        <v>0</v>
      </c>
    </row>
    <row r="108" spans="1:30">
      <c r="A108" s="28">
        <f>IF(B108="","",PayrollPrefix&amp;TEXT(ROW()-4,"0000"))</f>
        <v>0</v>
      </c>
      <c r="E108" s="15">
        <f>IF(D108="","",IFERROR(INDEX(Staff!$B$5:$B$44,MATCH(D108,Staff!$A$5:$A$44,0)),"Not in Staff"))</f>
        <v>0</v>
      </c>
      <c r="Q108" s="15">
        <f>IF(B108="","",TEXT(B108,"yyyy-mm"))</f>
        <v>0</v>
      </c>
      <c r="R108" s="25">
        <f>IF(B108="","",WEEKNUM(B108,2))</f>
        <v>0</v>
      </c>
      <c r="S108" s="26">
        <f>IF(B108="","",IF(G108&lt;&gt;"",G108,IFERROR(IF(INDEX(Staff!$P$5:$P$44,MATCH(D108,Staff!$A$5:$A$44,0))="",DefaultHourly,INDEX(Staff!$P$5:$P$44,MATCH(D108,Staff!$A$5:$A$44,0))),DefaultHourly)))</f>
        <v>0</v>
      </c>
      <c r="T108" s="26">
        <f>IF(B108="","",ROUND(IF(F108="",0,F108)*S108,2))</f>
        <v>0</v>
      </c>
      <c r="U108" s="26">
        <f>IF(B108="","",ROUND(T108+IF(H108="",0,H108)+IF(J108="",0,J108)+IF(K108="",0,K108),2))</f>
        <v>0</v>
      </c>
      <c r="V108" s="26">
        <f>IF(B108="","",ROUND(U108-IF(L108="",0,L108),2))</f>
        <v>0</v>
      </c>
      <c r="W108" s="26">
        <f>IF(B108="","",ROUND(V108+IF(I108="",0,I108),2))</f>
        <v>0</v>
      </c>
      <c r="X108" s="26">
        <f>IF(B108="","",IF(IFERROR(INDEX(Staff!$E$5:$E$44,MATCH(D108,Staff!$A$5:$A$44,0))&amp;"","")="Self-employed",0,IF(IFERROR(INDEX(Staff!$E$5:$E$44,MATCH(D108,Staff!$A$5:$A$44,0))&amp;"","")="Chair renter",0,ROUND(U108*PayrollBurden,2))))</f>
        <v>0</v>
      </c>
      <c r="Y108" s="26">
        <f>IF(B108="","",ROUND(U108+X108,2))</f>
        <v>0</v>
      </c>
      <c r="Z108" s="26">
        <f>IF(B108="","",ROUND(SUMIFS(Commissions!$X$5:$X$244,Commissions!$C$5:$C$244,D108,Commissions!$B$5:$B$244,Q108),2))</f>
        <v>0</v>
      </c>
      <c r="AA108" s="26">
        <f>IF(B108="","",ROUND(SUMIFS($H$5:$H$364,$D$5:$D$364,D108,$Q$5:$Q$364,Q108),2))</f>
        <v>0</v>
      </c>
      <c r="AB108" s="26">
        <f>IF(B108="","",ROUND(Z108-AA108,2))</f>
        <v>0</v>
      </c>
      <c r="AC108" s="26">
        <f>IF(B108="","",IF(IF(F108="",0,F108)=0,"",ROUND(Y108/F108,2)))</f>
        <v>0</v>
      </c>
      <c r="AD108" s="39">
        <f>IF(B108="","",IF(D108="","Add - who is this run for?",IF(IF(F108="",H108="",FALSE),"Add - no hours and no commission",IF(AB108&lt;-0.004,"Check - more commission paid than earned",IF(M108&lt;&gt;"Yes","Due - not paid yet",IF(N108="","Check - marked paid, no date","OK"))))))</f>
        <v>0</v>
      </c>
    </row>
    <row r="109" spans="1:30">
      <c r="A109" s="28">
        <f>IF(B109="","",PayrollPrefix&amp;TEXT(ROW()-4,"0000"))</f>
        <v>0</v>
      </c>
      <c r="E109" s="15">
        <f>IF(D109="","",IFERROR(INDEX(Staff!$B$5:$B$44,MATCH(D109,Staff!$A$5:$A$44,0)),"Not in Staff"))</f>
        <v>0</v>
      </c>
      <c r="Q109" s="15">
        <f>IF(B109="","",TEXT(B109,"yyyy-mm"))</f>
        <v>0</v>
      </c>
      <c r="R109" s="25">
        <f>IF(B109="","",WEEKNUM(B109,2))</f>
        <v>0</v>
      </c>
      <c r="S109" s="26">
        <f>IF(B109="","",IF(G109&lt;&gt;"",G109,IFERROR(IF(INDEX(Staff!$P$5:$P$44,MATCH(D109,Staff!$A$5:$A$44,0))="",DefaultHourly,INDEX(Staff!$P$5:$P$44,MATCH(D109,Staff!$A$5:$A$44,0))),DefaultHourly)))</f>
        <v>0</v>
      </c>
      <c r="T109" s="26">
        <f>IF(B109="","",ROUND(IF(F109="",0,F109)*S109,2))</f>
        <v>0</v>
      </c>
      <c r="U109" s="26">
        <f>IF(B109="","",ROUND(T109+IF(H109="",0,H109)+IF(J109="",0,J109)+IF(K109="",0,K109),2))</f>
        <v>0</v>
      </c>
      <c r="V109" s="26">
        <f>IF(B109="","",ROUND(U109-IF(L109="",0,L109),2))</f>
        <v>0</v>
      </c>
      <c r="W109" s="26">
        <f>IF(B109="","",ROUND(V109+IF(I109="",0,I109),2))</f>
        <v>0</v>
      </c>
      <c r="X109" s="26">
        <f>IF(B109="","",IF(IFERROR(INDEX(Staff!$E$5:$E$44,MATCH(D109,Staff!$A$5:$A$44,0))&amp;"","")="Self-employed",0,IF(IFERROR(INDEX(Staff!$E$5:$E$44,MATCH(D109,Staff!$A$5:$A$44,0))&amp;"","")="Chair renter",0,ROUND(U109*PayrollBurden,2))))</f>
        <v>0</v>
      </c>
      <c r="Y109" s="26">
        <f>IF(B109="","",ROUND(U109+X109,2))</f>
        <v>0</v>
      </c>
      <c r="Z109" s="26">
        <f>IF(B109="","",ROUND(SUMIFS(Commissions!$X$5:$X$244,Commissions!$C$5:$C$244,D109,Commissions!$B$5:$B$244,Q109),2))</f>
        <v>0</v>
      </c>
      <c r="AA109" s="26">
        <f>IF(B109="","",ROUND(SUMIFS($H$5:$H$364,$D$5:$D$364,D109,$Q$5:$Q$364,Q109),2))</f>
        <v>0</v>
      </c>
      <c r="AB109" s="26">
        <f>IF(B109="","",ROUND(Z109-AA109,2))</f>
        <v>0</v>
      </c>
      <c r="AC109" s="26">
        <f>IF(B109="","",IF(IF(F109="",0,F109)=0,"",ROUND(Y109/F109,2)))</f>
        <v>0</v>
      </c>
      <c r="AD109" s="39">
        <f>IF(B109="","",IF(D109="","Add - who is this run for?",IF(IF(F109="",H109="",FALSE),"Add - no hours and no commission",IF(AB109&lt;-0.004,"Check - more commission paid than earned",IF(M109&lt;&gt;"Yes","Due - not paid yet",IF(N109="","Check - marked paid, no date","OK"))))))</f>
        <v>0</v>
      </c>
    </row>
    <row r="110" spans="1:30">
      <c r="A110" s="28">
        <f>IF(B110="","",PayrollPrefix&amp;TEXT(ROW()-4,"0000"))</f>
        <v>0</v>
      </c>
      <c r="E110" s="15">
        <f>IF(D110="","",IFERROR(INDEX(Staff!$B$5:$B$44,MATCH(D110,Staff!$A$5:$A$44,0)),"Not in Staff"))</f>
        <v>0</v>
      </c>
      <c r="Q110" s="15">
        <f>IF(B110="","",TEXT(B110,"yyyy-mm"))</f>
        <v>0</v>
      </c>
      <c r="R110" s="25">
        <f>IF(B110="","",WEEKNUM(B110,2))</f>
        <v>0</v>
      </c>
      <c r="S110" s="26">
        <f>IF(B110="","",IF(G110&lt;&gt;"",G110,IFERROR(IF(INDEX(Staff!$P$5:$P$44,MATCH(D110,Staff!$A$5:$A$44,0))="",DefaultHourly,INDEX(Staff!$P$5:$P$44,MATCH(D110,Staff!$A$5:$A$44,0))),DefaultHourly)))</f>
        <v>0</v>
      </c>
      <c r="T110" s="26">
        <f>IF(B110="","",ROUND(IF(F110="",0,F110)*S110,2))</f>
        <v>0</v>
      </c>
      <c r="U110" s="26">
        <f>IF(B110="","",ROUND(T110+IF(H110="",0,H110)+IF(J110="",0,J110)+IF(K110="",0,K110),2))</f>
        <v>0</v>
      </c>
      <c r="V110" s="26">
        <f>IF(B110="","",ROUND(U110-IF(L110="",0,L110),2))</f>
        <v>0</v>
      </c>
      <c r="W110" s="26">
        <f>IF(B110="","",ROUND(V110+IF(I110="",0,I110),2))</f>
        <v>0</v>
      </c>
      <c r="X110" s="26">
        <f>IF(B110="","",IF(IFERROR(INDEX(Staff!$E$5:$E$44,MATCH(D110,Staff!$A$5:$A$44,0))&amp;"","")="Self-employed",0,IF(IFERROR(INDEX(Staff!$E$5:$E$44,MATCH(D110,Staff!$A$5:$A$44,0))&amp;"","")="Chair renter",0,ROUND(U110*PayrollBurden,2))))</f>
        <v>0</v>
      </c>
      <c r="Y110" s="26">
        <f>IF(B110="","",ROUND(U110+X110,2))</f>
        <v>0</v>
      </c>
      <c r="Z110" s="26">
        <f>IF(B110="","",ROUND(SUMIFS(Commissions!$X$5:$X$244,Commissions!$C$5:$C$244,D110,Commissions!$B$5:$B$244,Q110),2))</f>
        <v>0</v>
      </c>
      <c r="AA110" s="26">
        <f>IF(B110="","",ROUND(SUMIFS($H$5:$H$364,$D$5:$D$364,D110,$Q$5:$Q$364,Q110),2))</f>
        <v>0</v>
      </c>
      <c r="AB110" s="26">
        <f>IF(B110="","",ROUND(Z110-AA110,2))</f>
        <v>0</v>
      </c>
      <c r="AC110" s="26">
        <f>IF(B110="","",IF(IF(F110="",0,F110)=0,"",ROUND(Y110/F110,2)))</f>
        <v>0</v>
      </c>
      <c r="AD110" s="39">
        <f>IF(B110="","",IF(D110="","Add - who is this run for?",IF(IF(F110="",H110="",FALSE),"Add - no hours and no commission",IF(AB110&lt;-0.004,"Check - more commission paid than earned",IF(M110&lt;&gt;"Yes","Due - not paid yet",IF(N110="","Check - marked paid, no date","OK"))))))</f>
        <v>0</v>
      </c>
    </row>
    <row r="111" spans="1:30">
      <c r="A111" s="28">
        <f>IF(B111="","",PayrollPrefix&amp;TEXT(ROW()-4,"0000"))</f>
        <v>0</v>
      </c>
      <c r="E111" s="15">
        <f>IF(D111="","",IFERROR(INDEX(Staff!$B$5:$B$44,MATCH(D111,Staff!$A$5:$A$44,0)),"Not in Staff"))</f>
        <v>0</v>
      </c>
      <c r="Q111" s="15">
        <f>IF(B111="","",TEXT(B111,"yyyy-mm"))</f>
        <v>0</v>
      </c>
      <c r="R111" s="25">
        <f>IF(B111="","",WEEKNUM(B111,2))</f>
        <v>0</v>
      </c>
      <c r="S111" s="26">
        <f>IF(B111="","",IF(G111&lt;&gt;"",G111,IFERROR(IF(INDEX(Staff!$P$5:$P$44,MATCH(D111,Staff!$A$5:$A$44,0))="",DefaultHourly,INDEX(Staff!$P$5:$P$44,MATCH(D111,Staff!$A$5:$A$44,0))),DefaultHourly)))</f>
        <v>0</v>
      </c>
      <c r="T111" s="26">
        <f>IF(B111="","",ROUND(IF(F111="",0,F111)*S111,2))</f>
        <v>0</v>
      </c>
      <c r="U111" s="26">
        <f>IF(B111="","",ROUND(T111+IF(H111="",0,H111)+IF(J111="",0,J111)+IF(K111="",0,K111),2))</f>
        <v>0</v>
      </c>
      <c r="V111" s="26">
        <f>IF(B111="","",ROUND(U111-IF(L111="",0,L111),2))</f>
        <v>0</v>
      </c>
      <c r="W111" s="26">
        <f>IF(B111="","",ROUND(V111+IF(I111="",0,I111),2))</f>
        <v>0</v>
      </c>
      <c r="X111" s="26">
        <f>IF(B111="","",IF(IFERROR(INDEX(Staff!$E$5:$E$44,MATCH(D111,Staff!$A$5:$A$44,0))&amp;"","")="Self-employed",0,IF(IFERROR(INDEX(Staff!$E$5:$E$44,MATCH(D111,Staff!$A$5:$A$44,0))&amp;"","")="Chair renter",0,ROUND(U111*PayrollBurden,2))))</f>
        <v>0</v>
      </c>
      <c r="Y111" s="26">
        <f>IF(B111="","",ROUND(U111+X111,2))</f>
        <v>0</v>
      </c>
      <c r="Z111" s="26">
        <f>IF(B111="","",ROUND(SUMIFS(Commissions!$X$5:$X$244,Commissions!$C$5:$C$244,D111,Commissions!$B$5:$B$244,Q111),2))</f>
        <v>0</v>
      </c>
      <c r="AA111" s="26">
        <f>IF(B111="","",ROUND(SUMIFS($H$5:$H$364,$D$5:$D$364,D111,$Q$5:$Q$364,Q111),2))</f>
        <v>0</v>
      </c>
      <c r="AB111" s="26">
        <f>IF(B111="","",ROUND(Z111-AA111,2))</f>
        <v>0</v>
      </c>
      <c r="AC111" s="26">
        <f>IF(B111="","",IF(IF(F111="",0,F111)=0,"",ROUND(Y111/F111,2)))</f>
        <v>0</v>
      </c>
      <c r="AD111" s="39">
        <f>IF(B111="","",IF(D111="","Add - who is this run for?",IF(IF(F111="",H111="",FALSE),"Add - no hours and no commission",IF(AB111&lt;-0.004,"Check - more commission paid than earned",IF(M111&lt;&gt;"Yes","Due - not paid yet",IF(N111="","Check - marked paid, no date","OK"))))))</f>
        <v>0</v>
      </c>
    </row>
    <row r="112" spans="1:30">
      <c r="A112" s="28">
        <f>IF(B112="","",PayrollPrefix&amp;TEXT(ROW()-4,"0000"))</f>
        <v>0</v>
      </c>
      <c r="E112" s="15">
        <f>IF(D112="","",IFERROR(INDEX(Staff!$B$5:$B$44,MATCH(D112,Staff!$A$5:$A$44,0)),"Not in Staff"))</f>
        <v>0</v>
      </c>
      <c r="Q112" s="15">
        <f>IF(B112="","",TEXT(B112,"yyyy-mm"))</f>
        <v>0</v>
      </c>
      <c r="R112" s="25">
        <f>IF(B112="","",WEEKNUM(B112,2))</f>
        <v>0</v>
      </c>
      <c r="S112" s="26">
        <f>IF(B112="","",IF(G112&lt;&gt;"",G112,IFERROR(IF(INDEX(Staff!$P$5:$P$44,MATCH(D112,Staff!$A$5:$A$44,0))="",DefaultHourly,INDEX(Staff!$P$5:$P$44,MATCH(D112,Staff!$A$5:$A$44,0))),DefaultHourly)))</f>
        <v>0</v>
      </c>
      <c r="T112" s="26">
        <f>IF(B112="","",ROUND(IF(F112="",0,F112)*S112,2))</f>
        <v>0</v>
      </c>
      <c r="U112" s="26">
        <f>IF(B112="","",ROUND(T112+IF(H112="",0,H112)+IF(J112="",0,J112)+IF(K112="",0,K112),2))</f>
        <v>0</v>
      </c>
      <c r="V112" s="26">
        <f>IF(B112="","",ROUND(U112-IF(L112="",0,L112),2))</f>
        <v>0</v>
      </c>
      <c r="W112" s="26">
        <f>IF(B112="","",ROUND(V112+IF(I112="",0,I112),2))</f>
        <v>0</v>
      </c>
      <c r="X112" s="26">
        <f>IF(B112="","",IF(IFERROR(INDEX(Staff!$E$5:$E$44,MATCH(D112,Staff!$A$5:$A$44,0))&amp;"","")="Self-employed",0,IF(IFERROR(INDEX(Staff!$E$5:$E$44,MATCH(D112,Staff!$A$5:$A$44,0))&amp;"","")="Chair renter",0,ROUND(U112*PayrollBurden,2))))</f>
        <v>0</v>
      </c>
      <c r="Y112" s="26">
        <f>IF(B112="","",ROUND(U112+X112,2))</f>
        <v>0</v>
      </c>
      <c r="Z112" s="26">
        <f>IF(B112="","",ROUND(SUMIFS(Commissions!$X$5:$X$244,Commissions!$C$5:$C$244,D112,Commissions!$B$5:$B$244,Q112),2))</f>
        <v>0</v>
      </c>
      <c r="AA112" s="26">
        <f>IF(B112="","",ROUND(SUMIFS($H$5:$H$364,$D$5:$D$364,D112,$Q$5:$Q$364,Q112),2))</f>
        <v>0</v>
      </c>
      <c r="AB112" s="26">
        <f>IF(B112="","",ROUND(Z112-AA112,2))</f>
        <v>0</v>
      </c>
      <c r="AC112" s="26">
        <f>IF(B112="","",IF(IF(F112="",0,F112)=0,"",ROUND(Y112/F112,2)))</f>
        <v>0</v>
      </c>
      <c r="AD112" s="39">
        <f>IF(B112="","",IF(D112="","Add - who is this run for?",IF(IF(F112="",H112="",FALSE),"Add - no hours and no commission",IF(AB112&lt;-0.004,"Check - more commission paid than earned",IF(M112&lt;&gt;"Yes","Due - not paid yet",IF(N112="","Check - marked paid, no date","OK"))))))</f>
        <v>0</v>
      </c>
    </row>
    <row r="113" spans="1:30">
      <c r="A113" s="28">
        <f>IF(B113="","",PayrollPrefix&amp;TEXT(ROW()-4,"0000"))</f>
        <v>0</v>
      </c>
      <c r="E113" s="15">
        <f>IF(D113="","",IFERROR(INDEX(Staff!$B$5:$B$44,MATCH(D113,Staff!$A$5:$A$44,0)),"Not in Staff"))</f>
        <v>0</v>
      </c>
      <c r="Q113" s="15">
        <f>IF(B113="","",TEXT(B113,"yyyy-mm"))</f>
        <v>0</v>
      </c>
      <c r="R113" s="25">
        <f>IF(B113="","",WEEKNUM(B113,2))</f>
        <v>0</v>
      </c>
      <c r="S113" s="26">
        <f>IF(B113="","",IF(G113&lt;&gt;"",G113,IFERROR(IF(INDEX(Staff!$P$5:$P$44,MATCH(D113,Staff!$A$5:$A$44,0))="",DefaultHourly,INDEX(Staff!$P$5:$P$44,MATCH(D113,Staff!$A$5:$A$44,0))),DefaultHourly)))</f>
        <v>0</v>
      </c>
      <c r="T113" s="26">
        <f>IF(B113="","",ROUND(IF(F113="",0,F113)*S113,2))</f>
        <v>0</v>
      </c>
      <c r="U113" s="26">
        <f>IF(B113="","",ROUND(T113+IF(H113="",0,H113)+IF(J113="",0,J113)+IF(K113="",0,K113),2))</f>
        <v>0</v>
      </c>
      <c r="V113" s="26">
        <f>IF(B113="","",ROUND(U113-IF(L113="",0,L113),2))</f>
        <v>0</v>
      </c>
      <c r="W113" s="26">
        <f>IF(B113="","",ROUND(V113+IF(I113="",0,I113),2))</f>
        <v>0</v>
      </c>
      <c r="X113" s="26">
        <f>IF(B113="","",IF(IFERROR(INDEX(Staff!$E$5:$E$44,MATCH(D113,Staff!$A$5:$A$44,0))&amp;"","")="Self-employed",0,IF(IFERROR(INDEX(Staff!$E$5:$E$44,MATCH(D113,Staff!$A$5:$A$44,0))&amp;"","")="Chair renter",0,ROUND(U113*PayrollBurden,2))))</f>
        <v>0</v>
      </c>
      <c r="Y113" s="26">
        <f>IF(B113="","",ROUND(U113+X113,2))</f>
        <v>0</v>
      </c>
      <c r="Z113" s="26">
        <f>IF(B113="","",ROUND(SUMIFS(Commissions!$X$5:$X$244,Commissions!$C$5:$C$244,D113,Commissions!$B$5:$B$244,Q113),2))</f>
        <v>0</v>
      </c>
      <c r="AA113" s="26">
        <f>IF(B113="","",ROUND(SUMIFS($H$5:$H$364,$D$5:$D$364,D113,$Q$5:$Q$364,Q113),2))</f>
        <v>0</v>
      </c>
      <c r="AB113" s="26">
        <f>IF(B113="","",ROUND(Z113-AA113,2))</f>
        <v>0</v>
      </c>
      <c r="AC113" s="26">
        <f>IF(B113="","",IF(IF(F113="",0,F113)=0,"",ROUND(Y113/F113,2)))</f>
        <v>0</v>
      </c>
      <c r="AD113" s="39">
        <f>IF(B113="","",IF(D113="","Add - who is this run for?",IF(IF(F113="",H113="",FALSE),"Add - no hours and no commission",IF(AB113&lt;-0.004,"Check - more commission paid than earned",IF(M113&lt;&gt;"Yes","Due - not paid yet",IF(N113="","Check - marked paid, no date","OK"))))))</f>
        <v>0</v>
      </c>
    </row>
    <row r="114" spans="1:30">
      <c r="A114" s="28">
        <f>IF(B114="","",PayrollPrefix&amp;TEXT(ROW()-4,"0000"))</f>
        <v>0</v>
      </c>
      <c r="E114" s="15">
        <f>IF(D114="","",IFERROR(INDEX(Staff!$B$5:$B$44,MATCH(D114,Staff!$A$5:$A$44,0)),"Not in Staff"))</f>
        <v>0</v>
      </c>
      <c r="Q114" s="15">
        <f>IF(B114="","",TEXT(B114,"yyyy-mm"))</f>
        <v>0</v>
      </c>
      <c r="R114" s="25">
        <f>IF(B114="","",WEEKNUM(B114,2))</f>
        <v>0</v>
      </c>
      <c r="S114" s="26">
        <f>IF(B114="","",IF(G114&lt;&gt;"",G114,IFERROR(IF(INDEX(Staff!$P$5:$P$44,MATCH(D114,Staff!$A$5:$A$44,0))="",DefaultHourly,INDEX(Staff!$P$5:$P$44,MATCH(D114,Staff!$A$5:$A$44,0))),DefaultHourly)))</f>
        <v>0</v>
      </c>
      <c r="T114" s="26">
        <f>IF(B114="","",ROUND(IF(F114="",0,F114)*S114,2))</f>
        <v>0</v>
      </c>
      <c r="U114" s="26">
        <f>IF(B114="","",ROUND(T114+IF(H114="",0,H114)+IF(J114="",0,J114)+IF(K114="",0,K114),2))</f>
        <v>0</v>
      </c>
      <c r="V114" s="26">
        <f>IF(B114="","",ROUND(U114-IF(L114="",0,L114),2))</f>
        <v>0</v>
      </c>
      <c r="W114" s="26">
        <f>IF(B114="","",ROUND(V114+IF(I114="",0,I114),2))</f>
        <v>0</v>
      </c>
      <c r="X114" s="26">
        <f>IF(B114="","",IF(IFERROR(INDEX(Staff!$E$5:$E$44,MATCH(D114,Staff!$A$5:$A$44,0))&amp;"","")="Self-employed",0,IF(IFERROR(INDEX(Staff!$E$5:$E$44,MATCH(D114,Staff!$A$5:$A$44,0))&amp;"","")="Chair renter",0,ROUND(U114*PayrollBurden,2))))</f>
        <v>0</v>
      </c>
      <c r="Y114" s="26">
        <f>IF(B114="","",ROUND(U114+X114,2))</f>
        <v>0</v>
      </c>
      <c r="Z114" s="26">
        <f>IF(B114="","",ROUND(SUMIFS(Commissions!$X$5:$X$244,Commissions!$C$5:$C$244,D114,Commissions!$B$5:$B$244,Q114),2))</f>
        <v>0</v>
      </c>
      <c r="AA114" s="26">
        <f>IF(B114="","",ROUND(SUMIFS($H$5:$H$364,$D$5:$D$364,D114,$Q$5:$Q$364,Q114),2))</f>
        <v>0</v>
      </c>
      <c r="AB114" s="26">
        <f>IF(B114="","",ROUND(Z114-AA114,2))</f>
        <v>0</v>
      </c>
      <c r="AC114" s="26">
        <f>IF(B114="","",IF(IF(F114="",0,F114)=0,"",ROUND(Y114/F114,2)))</f>
        <v>0</v>
      </c>
      <c r="AD114" s="39">
        <f>IF(B114="","",IF(D114="","Add - who is this run for?",IF(IF(F114="",H114="",FALSE),"Add - no hours and no commission",IF(AB114&lt;-0.004,"Check - more commission paid than earned",IF(M114&lt;&gt;"Yes","Due - not paid yet",IF(N114="","Check - marked paid, no date","OK"))))))</f>
        <v>0</v>
      </c>
    </row>
    <row r="115" spans="1:30">
      <c r="A115" s="28">
        <f>IF(B115="","",PayrollPrefix&amp;TEXT(ROW()-4,"0000"))</f>
        <v>0</v>
      </c>
      <c r="E115" s="15">
        <f>IF(D115="","",IFERROR(INDEX(Staff!$B$5:$B$44,MATCH(D115,Staff!$A$5:$A$44,0)),"Not in Staff"))</f>
        <v>0</v>
      </c>
      <c r="Q115" s="15">
        <f>IF(B115="","",TEXT(B115,"yyyy-mm"))</f>
        <v>0</v>
      </c>
      <c r="R115" s="25">
        <f>IF(B115="","",WEEKNUM(B115,2))</f>
        <v>0</v>
      </c>
      <c r="S115" s="26">
        <f>IF(B115="","",IF(G115&lt;&gt;"",G115,IFERROR(IF(INDEX(Staff!$P$5:$P$44,MATCH(D115,Staff!$A$5:$A$44,0))="",DefaultHourly,INDEX(Staff!$P$5:$P$44,MATCH(D115,Staff!$A$5:$A$44,0))),DefaultHourly)))</f>
        <v>0</v>
      </c>
      <c r="T115" s="26">
        <f>IF(B115="","",ROUND(IF(F115="",0,F115)*S115,2))</f>
        <v>0</v>
      </c>
      <c r="U115" s="26">
        <f>IF(B115="","",ROUND(T115+IF(H115="",0,H115)+IF(J115="",0,J115)+IF(K115="",0,K115),2))</f>
        <v>0</v>
      </c>
      <c r="V115" s="26">
        <f>IF(B115="","",ROUND(U115-IF(L115="",0,L115),2))</f>
        <v>0</v>
      </c>
      <c r="W115" s="26">
        <f>IF(B115="","",ROUND(V115+IF(I115="",0,I115),2))</f>
        <v>0</v>
      </c>
      <c r="X115" s="26">
        <f>IF(B115="","",IF(IFERROR(INDEX(Staff!$E$5:$E$44,MATCH(D115,Staff!$A$5:$A$44,0))&amp;"","")="Self-employed",0,IF(IFERROR(INDEX(Staff!$E$5:$E$44,MATCH(D115,Staff!$A$5:$A$44,0))&amp;"","")="Chair renter",0,ROUND(U115*PayrollBurden,2))))</f>
        <v>0</v>
      </c>
      <c r="Y115" s="26">
        <f>IF(B115="","",ROUND(U115+X115,2))</f>
        <v>0</v>
      </c>
      <c r="Z115" s="26">
        <f>IF(B115="","",ROUND(SUMIFS(Commissions!$X$5:$X$244,Commissions!$C$5:$C$244,D115,Commissions!$B$5:$B$244,Q115),2))</f>
        <v>0</v>
      </c>
      <c r="AA115" s="26">
        <f>IF(B115="","",ROUND(SUMIFS($H$5:$H$364,$D$5:$D$364,D115,$Q$5:$Q$364,Q115),2))</f>
        <v>0</v>
      </c>
      <c r="AB115" s="26">
        <f>IF(B115="","",ROUND(Z115-AA115,2))</f>
        <v>0</v>
      </c>
      <c r="AC115" s="26">
        <f>IF(B115="","",IF(IF(F115="",0,F115)=0,"",ROUND(Y115/F115,2)))</f>
        <v>0</v>
      </c>
      <c r="AD115" s="39">
        <f>IF(B115="","",IF(D115="","Add - who is this run for?",IF(IF(F115="",H115="",FALSE),"Add - no hours and no commission",IF(AB115&lt;-0.004,"Check - more commission paid than earned",IF(M115&lt;&gt;"Yes","Due - not paid yet",IF(N115="","Check - marked paid, no date","OK"))))))</f>
        <v>0</v>
      </c>
    </row>
    <row r="116" spans="1:30">
      <c r="A116" s="28">
        <f>IF(B116="","",PayrollPrefix&amp;TEXT(ROW()-4,"0000"))</f>
        <v>0</v>
      </c>
      <c r="E116" s="15">
        <f>IF(D116="","",IFERROR(INDEX(Staff!$B$5:$B$44,MATCH(D116,Staff!$A$5:$A$44,0)),"Not in Staff"))</f>
        <v>0</v>
      </c>
      <c r="Q116" s="15">
        <f>IF(B116="","",TEXT(B116,"yyyy-mm"))</f>
        <v>0</v>
      </c>
      <c r="R116" s="25">
        <f>IF(B116="","",WEEKNUM(B116,2))</f>
        <v>0</v>
      </c>
      <c r="S116" s="26">
        <f>IF(B116="","",IF(G116&lt;&gt;"",G116,IFERROR(IF(INDEX(Staff!$P$5:$P$44,MATCH(D116,Staff!$A$5:$A$44,0))="",DefaultHourly,INDEX(Staff!$P$5:$P$44,MATCH(D116,Staff!$A$5:$A$44,0))),DefaultHourly)))</f>
        <v>0</v>
      </c>
      <c r="T116" s="26">
        <f>IF(B116="","",ROUND(IF(F116="",0,F116)*S116,2))</f>
        <v>0</v>
      </c>
      <c r="U116" s="26">
        <f>IF(B116="","",ROUND(T116+IF(H116="",0,H116)+IF(J116="",0,J116)+IF(K116="",0,K116),2))</f>
        <v>0</v>
      </c>
      <c r="V116" s="26">
        <f>IF(B116="","",ROUND(U116-IF(L116="",0,L116),2))</f>
        <v>0</v>
      </c>
      <c r="W116" s="26">
        <f>IF(B116="","",ROUND(V116+IF(I116="",0,I116),2))</f>
        <v>0</v>
      </c>
      <c r="X116" s="26">
        <f>IF(B116="","",IF(IFERROR(INDEX(Staff!$E$5:$E$44,MATCH(D116,Staff!$A$5:$A$44,0))&amp;"","")="Self-employed",0,IF(IFERROR(INDEX(Staff!$E$5:$E$44,MATCH(D116,Staff!$A$5:$A$44,0))&amp;"","")="Chair renter",0,ROUND(U116*PayrollBurden,2))))</f>
        <v>0</v>
      </c>
      <c r="Y116" s="26">
        <f>IF(B116="","",ROUND(U116+X116,2))</f>
        <v>0</v>
      </c>
      <c r="Z116" s="26">
        <f>IF(B116="","",ROUND(SUMIFS(Commissions!$X$5:$X$244,Commissions!$C$5:$C$244,D116,Commissions!$B$5:$B$244,Q116),2))</f>
        <v>0</v>
      </c>
      <c r="AA116" s="26">
        <f>IF(B116="","",ROUND(SUMIFS($H$5:$H$364,$D$5:$D$364,D116,$Q$5:$Q$364,Q116),2))</f>
        <v>0</v>
      </c>
      <c r="AB116" s="26">
        <f>IF(B116="","",ROUND(Z116-AA116,2))</f>
        <v>0</v>
      </c>
      <c r="AC116" s="26">
        <f>IF(B116="","",IF(IF(F116="",0,F116)=0,"",ROUND(Y116/F116,2)))</f>
        <v>0</v>
      </c>
      <c r="AD116" s="39">
        <f>IF(B116="","",IF(D116="","Add - who is this run for?",IF(IF(F116="",H116="",FALSE),"Add - no hours and no commission",IF(AB116&lt;-0.004,"Check - more commission paid than earned",IF(M116&lt;&gt;"Yes","Due - not paid yet",IF(N116="","Check - marked paid, no date","OK"))))))</f>
        <v>0</v>
      </c>
    </row>
    <row r="117" spans="1:30">
      <c r="A117" s="28">
        <f>IF(B117="","",PayrollPrefix&amp;TEXT(ROW()-4,"0000"))</f>
        <v>0</v>
      </c>
      <c r="E117" s="15">
        <f>IF(D117="","",IFERROR(INDEX(Staff!$B$5:$B$44,MATCH(D117,Staff!$A$5:$A$44,0)),"Not in Staff"))</f>
        <v>0</v>
      </c>
      <c r="Q117" s="15">
        <f>IF(B117="","",TEXT(B117,"yyyy-mm"))</f>
        <v>0</v>
      </c>
      <c r="R117" s="25">
        <f>IF(B117="","",WEEKNUM(B117,2))</f>
        <v>0</v>
      </c>
      <c r="S117" s="26">
        <f>IF(B117="","",IF(G117&lt;&gt;"",G117,IFERROR(IF(INDEX(Staff!$P$5:$P$44,MATCH(D117,Staff!$A$5:$A$44,0))="",DefaultHourly,INDEX(Staff!$P$5:$P$44,MATCH(D117,Staff!$A$5:$A$44,0))),DefaultHourly)))</f>
        <v>0</v>
      </c>
      <c r="T117" s="26">
        <f>IF(B117="","",ROUND(IF(F117="",0,F117)*S117,2))</f>
        <v>0</v>
      </c>
      <c r="U117" s="26">
        <f>IF(B117="","",ROUND(T117+IF(H117="",0,H117)+IF(J117="",0,J117)+IF(K117="",0,K117),2))</f>
        <v>0</v>
      </c>
      <c r="V117" s="26">
        <f>IF(B117="","",ROUND(U117-IF(L117="",0,L117),2))</f>
        <v>0</v>
      </c>
      <c r="W117" s="26">
        <f>IF(B117="","",ROUND(V117+IF(I117="",0,I117),2))</f>
        <v>0</v>
      </c>
      <c r="X117" s="26">
        <f>IF(B117="","",IF(IFERROR(INDEX(Staff!$E$5:$E$44,MATCH(D117,Staff!$A$5:$A$44,0))&amp;"","")="Self-employed",0,IF(IFERROR(INDEX(Staff!$E$5:$E$44,MATCH(D117,Staff!$A$5:$A$44,0))&amp;"","")="Chair renter",0,ROUND(U117*PayrollBurden,2))))</f>
        <v>0</v>
      </c>
      <c r="Y117" s="26">
        <f>IF(B117="","",ROUND(U117+X117,2))</f>
        <v>0</v>
      </c>
      <c r="Z117" s="26">
        <f>IF(B117="","",ROUND(SUMIFS(Commissions!$X$5:$X$244,Commissions!$C$5:$C$244,D117,Commissions!$B$5:$B$244,Q117),2))</f>
        <v>0</v>
      </c>
      <c r="AA117" s="26">
        <f>IF(B117="","",ROUND(SUMIFS($H$5:$H$364,$D$5:$D$364,D117,$Q$5:$Q$364,Q117),2))</f>
        <v>0</v>
      </c>
      <c r="AB117" s="26">
        <f>IF(B117="","",ROUND(Z117-AA117,2))</f>
        <v>0</v>
      </c>
      <c r="AC117" s="26">
        <f>IF(B117="","",IF(IF(F117="",0,F117)=0,"",ROUND(Y117/F117,2)))</f>
        <v>0</v>
      </c>
      <c r="AD117" s="39">
        <f>IF(B117="","",IF(D117="","Add - who is this run for?",IF(IF(F117="",H117="",FALSE),"Add - no hours and no commission",IF(AB117&lt;-0.004,"Check - more commission paid than earned",IF(M117&lt;&gt;"Yes","Due - not paid yet",IF(N117="","Check - marked paid, no date","OK"))))))</f>
        <v>0</v>
      </c>
    </row>
    <row r="118" spans="1:30">
      <c r="A118" s="28">
        <f>IF(B118="","",PayrollPrefix&amp;TEXT(ROW()-4,"0000"))</f>
        <v>0</v>
      </c>
      <c r="E118" s="15">
        <f>IF(D118="","",IFERROR(INDEX(Staff!$B$5:$B$44,MATCH(D118,Staff!$A$5:$A$44,0)),"Not in Staff"))</f>
        <v>0</v>
      </c>
      <c r="Q118" s="15">
        <f>IF(B118="","",TEXT(B118,"yyyy-mm"))</f>
        <v>0</v>
      </c>
      <c r="R118" s="25">
        <f>IF(B118="","",WEEKNUM(B118,2))</f>
        <v>0</v>
      </c>
      <c r="S118" s="26">
        <f>IF(B118="","",IF(G118&lt;&gt;"",G118,IFERROR(IF(INDEX(Staff!$P$5:$P$44,MATCH(D118,Staff!$A$5:$A$44,0))="",DefaultHourly,INDEX(Staff!$P$5:$P$44,MATCH(D118,Staff!$A$5:$A$44,0))),DefaultHourly)))</f>
        <v>0</v>
      </c>
      <c r="T118" s="26">
        <f>IF(B118="","",ROUND(IF(F118="",0,F118)*S118,2))</f>
        <v>0</v>
      </c>
      <c r="U118" s="26">
        <f>IF(B118="","",ROUND(T118+IF(H118="",0,H118)+IF(J118="",0,J118)+IF(K118="",0,K118),2))</f>
        <v>0</v>
      </c>
      <c r="V118" s="26">
        <f>IF(B118="","",ROUND(U118-IF(L118="",0,L118),2))</f>
        <v>0</v>
      </c>
      <c r="W118" s="26">
        <f>IF(B118="","",ROUND(V118+IF(I118="",0,I118),2))</f>
        <v>0</v>
      </c>
      <c r="X118" s="26">
        <f>IF(B118="","",IF(IFERROR(INDEX(Staff!$E$5:$E$44,MATCH(D118,Staff!$A$5:$A$44,0))&amp;"","")="Self-employed",0,IF(IFERROR(INDEX(Staff!$E$5:$E$44,MATCH(D118,Staff!$A$5:$A$44,0))&amp;"","")="Chair renter",0,ROUND(U118*PayrollBurden,2))))</f>
        <v>0</v>
      </c>
      <c r="Y118" s="26">
        <f>IF(B118="","",ROUND(U118+X118,2))</f>
        <v>0</v>
      </c>
      <c r="Z118" s="26">
        <f>IF(B118="","",ROUND(SUMIFS(Commissions!$X$5:$X$244,Commissions!$C$5:$C$244,D118,Commissions!$B$5:$B$244,Q118),2))</f>
        <v>0</v>
      </c>
      <c r="AA118" s="26">
        <f>IF(B118="","",ROUND(SUMIFS($H$5:$H$364,$D$5:$D$364,D118,$Q$5:$Q$364,Q118),2))</f>
        <v>0</v>
      </c>
      <c r="AB118" s="26">
        <f>IF(B118="","",ROUND(Z118-AA118,2))</f>
        <v>0</v>
      </c>
      <c r="AC118" s="26">
        <f>IF(B118="","",IF(IF(F118="",0,F118)=0,"",ROUND(Y118/F118,2)))</f>
        <v>0</v>
      </c>
      <c r="AD118" s="39">
        <f>IF(B118="","",IF(D118="","Add - who is this run for?",IF(IF(F118="",H118="",FALSE),"Add - no hours and no commission",IF(AB118&lt;-0.004,"Check - more commission paid than earned",IF(M118&lt;&gt;"Yes","Due - not paid yet",IF(N118="","Check - marked paid, no date","OK"))))))</f>
        <v>0</v>
      </c>
    </row>
    <row r="119" spans="1:30">
      <c r="A119" s="28">
        <f>IF(B119="","",PayrollPrefix&amp;TEXT(ROW()-4,"0000"))</f>
        <v>0</v>
      </c>
      <c r="E119" s="15">
        <f>IF(D119="","",IFERROR(INDEX(Staff!$B$5:$B$44,MATCH(D119,Staff!$A$5:$A$44,0)),"Not in Staff"))</f>
        <v>0</v>
      </c>
      <c r="Q119" s="15">
        <f>IF(B119="","",TEXT(B119,"yyyy-mm"))</f>
        <v>0</v>
      </c>
      <c r="R119" s="25">
        <f>IF(B119="","",WEEKNUM(B119,2))</f>
        <v>0</v>
      </c>
      <c r="S119" s="26">
        <f>IF(B119="","",IF(G119&lt;&gt;"",G119,IFERROR(IF(INDEX(Staff!$P$5:$P$44,MATCH(D119,Staff!$A$5:$A$44,0))="",DefaultHourly,INDEX(Staff!$P$5:$P$44,MATCH(D119,Staff!$A$5:$A$44,0))),DefaultHourly)))</f>
        <v>0</v>
      </c>
      <c r="T119" s="26">
        <f>IF(B119="","",ROUND(IF(F119="",0,F119)*S119,2))</f>
        <v>0</v>
      </c>
      <c r="U119" s="26">
        <f>IF(B119="","",ROUND(T119+IF(H119="",0,H119)+IF(J119="",0,J119)+IF(K119="",0,K119),2))</f>
        <v>0</v>
      </c>
      <c r="V119" s="26">
        <f>IF(B119="","",ROUND(U119-IF(L119="",0,L119),2))</f>
        <v>0</v>
      </c>
      <c r="W119" s="26">
        <f>IF(B119="","",ROUND(V119+IF(I119="",0,I119),2))</f>
        <v>0</v>
      </c>
      <c r="X119" s="26">
        <f>IF(B119="","",IF(IFERROR(INDEX(Staff!$E$5:$E$44,MATCH(D119,Staff!$A$5:$A$44,0))&amp;"","")="Self-employed",0,IF(IFERROR(INDEX(Staff!$E$5:$E$44,MATCH(D119,Staff!$A$5:$A$44,0))&amp;"","")="Chair renter",0,ROUND(U119*PayrollBurden,2))))</f>
        <v>0</v>
      </c>
      <c r="Y119" s="26">
        <f>IF(B119="","",ROUND(U119+X119,2))</f>
        <v>0</v>
      </c>
      <c r="Z119" s="26">
        <f>IF(B119="","",ROUND(SUMIFS(Commissions!$X$5:$X$244,Commissions!$C$5:$C$244,D119,Commissions!$B$5:$B$244,Q119),2))</f>
        <v>0</v>
      </c>
      <c r="AA119" s="26">
        <f>IF(B119="","",ROUND(SUMIFS($H$5:$H$364,$D$5:$D$364,D119,$Q$5:$Q$364,Q119),2))</f>
        <v>0</v>
      </c>
      <c r="AB119" s="26">
        <f>IF(B119="","",ROUND(Z119-AA119,2))</f>
        <v>0</v>
      </c>
      <c r="AC119" s="26">
        <f>IF(B119="","",IF(IF(F119="",0,F119)=0,"",ROUND(Y119/F119,2)))</f>
        <v>0</v>
      </c>
      <c r="AD119" s="39">
        <f>IF(B119="","",IF(D119="","Add - who is this run for?",IF(IF(F119="",H119="",FALSE),"Add - no hours and no commission",IF(AB119&lt;-0.004,"Check - more commission paid than earned",IF(M119&lt;&gt;"Yes","Due - not paid yet",IF(N119="","Check - marked paid, no date","OK"))))))</f>
        <v>0</v>
      </c>
    </row>
    <row r="120" spans="1:30">
      <c r="A120" s="28">
        <f>IF(B120="","",PayrollPrefix&amp;TEXT(ROW()-4,"0000"))</f>
        <v>0</v>
      </c>
      <c r="E120" s="15">
        <f>IF(D120="","",IFERROR(INDEX(Staff!$B$5:$B$44,MATCH(D120,Staff!$A$5:$A$44,0)),"Not in Staff"))</f>
        <v>0</v>
      </c>
      <c r="Q120" s="15">
        <f>IF(B120="","",TEXT(B120,"yyyy-mm"))</f>
        <v>0</v>
      </c>
      <c r="R120" s="25">
        <f>IF(B120="","",WEEKNUM(B120,2))</f>
        <v>0</v>
      </c>
      <c r="S120" s="26">
        <f>IF(B120="","",IF(G120&lt;&gt;"",G120,IFERROR(IF(INDEX(Staff!$P$5:$P$44,MATCH(D120,Staff!$A$5:$A$44,0))="",DefaultHourly,INDEX(Staff!$P$5:$P$44,MATCH(D120,Staff!$A$5:$A$44,0))),DefaultHourly)))</f>
        <v>0</v>
      </c>
      <c r="T120" s="26">
        <f>IF(B120="","",ROUND(IF(F120="",0,F120)*S120,2))</f>
        <v>0</v>
      </c>
      <c r="U120" s="26">
        <f>IF(B120="","",ROUND(T120+IF(H120="",0,H120)+IF(J120="",0,J120)+IF(K120="",0,K120),2))</f>
        <v>0</v>
      </c>
      <c r="V120" s="26">
        <f>IF(B120="","",ROUND(U120-IF(L120="",0,L120),2))</f>
        <v>0</v>
      </c>
      <c r="W120" s="26">
        <f>IF(B120="","",ROUND(V120+IF(I120="",0,I120),2))</f>
        <v>0</v>
      </c>
      <c r="X120" s="26">
        <f>IF(B120="","",IF(IFERROR(INDEX(Staff!$E$5:$E$44,MATCH(D120,Staff!$A$5:$A$44,0))&amp;"","")="Self-employed",0,IF(IFERROR(INDEX(Staff!$E$5:$E$44,MATCH(D120,Staff!$A$5:$A$44,0))&amp;"","")="Chair renter",0,ROUND(U120*PayrollBurden,2))))</f>
        <v>0</v>
      </c>
      <c r="Y120" s="26">
        <f>IF(B120="","",ROUND(U120+X120,2))</f>
        <v>0</v>
      </c>
      <c r="Z120" s="26">
        <f>IF(B120="","",ROUND(SUMIFS(Commissions!$X$5:$X$244,Commissions!$C$5:$C$244,D120,Commissions!$B$5:$B$244,Q120),2))</f>
        <v>0</v>
      </c>
      <c r="AA120" s="26">
        <f>IF(B120="","",ROUND(SUMIFS($H$5:$H$364,$D$5:$D$364,D120,$Q$5:$Q$364,Q120),2))</f>
        <v>0</v>
      </c>
      <c r="AB120" s="26">
        <f>IF(B120="","",ROUND(Z120-AA120,2))</f>
        <v>0</v>
      </c>
      <c r="AC120" s="26">
        <f>IF(B120="","",IF(IF(F120="",0,F120)=0,"",ROUND(Y120/F120,2)))</f>
        <v>0</v>
      </c>
      <c r="AD120" s="39">
        <f>IF(B120="","",IF(D120="","Add - who is this run for?",IF(IF(F120="",H120="",FALSE),"Add - no hours and no commission",IF(AB120&lt;-0.004,"Check - more commission paid than earned",IF(M120&lt;&gt;"Yes","Due - not paid yet",IF(N120="","Check - marked paid, no date","OK"))))))</f>
        <v>0</v>
      </c>
    </row>
    <row r="121" spans="1:30">
      <c r="A121" s="28">
        <f>IF(B121="","",PayrollPrefix&amp;TEXT(ROW()-4,"0000"))</f>
        <v>0</v>
      </c>
      <c r="E121" s="15">
        <f>IF(D121="","",IFERROR(INDEX(Staff!$B$5:$B$44,MATCH(D121,Staff!$A$5:$A$44,0)),"Not in Staff"))</f>
        <v>0</v>
      </c>
      <c r="Q121" s="15">
        <f>IF(B121="","",TEXT(B121,"yyyy-mm"))</f>
        <v>0</v>
      </c>
      <c r="R121" s="25">
        <f>IF(B121="","",WEEKNUM(B121,2))</f>
        <v>0</v>
      </c>
      <c r="S121" s="26">
        <f>IF(B121="","",IF(G121&lt;&gt;"",G121,IFERROR(IF(INDEX(Staff!$P$5:$P$44,MATCH(D121,Staff!$A$5:$A$44,0))="",DefaultHourly,INDEX(Staff!$P$5:$P$44,MATCH(D121,Staff!$A$5:$A$44,0))),DefaultHourly)))</f>
        <v>0</v>
      </c>
      <c r="T121" s="26">
        <f>IF(B121="","",ROUND(IF(F121="",0,F121)*S121,2))</f>
        <v>0</v>
      </c>
      <c r="U121" s="26">
        <f>IF(B121="","",ROUND(T121+IF(H121="",0,H121)+IF(J121="",0,J121)+IF(K121="",0,K121),2))</f>
        <v>0</v>
      </c>
      <c r="V121" s="26">
        <f>IF(B121="","",ROUND(U121-IF(L121="",0,L121),2))</f>
        <v>0</v>
      </c>
      <c r="W121" s="26">
        <f>IF(B121="","",ROUND(V121+IF(I121="",0,I121),2))</f>
        <v>0</v>
      </c>
      <c r="X121" s="26">
        <f>IF(B121="","",IF(IFERROR(INDEX(Staff!$E$5:$E$44,MATCH(D121,Staff!$A$5:$A$44,0))&amp;"","")="Self-employed",0,IF(IFERROR(INDEX(Staff!$E$5:$E$44,MATCH(D121,Staff!$A$5:$A$44,0))&amp;"","")="Chair renter",0,ROUND(U121*PayrollBurden,2))))</f>
        <v>0</v>
      </c>
      <c r="Y121" s="26">
        <f>IF(B121="","",ROUND(U121+X121,2))</f>
        <v>0</v>
      </c>
      <c r="Z121" s="26">
        <f>IF(B121="","",ROUND(SUMIFS(Commissions!$X$5:$X$244,Commissions!$C$5:$C$244,D121,Commissions!$B$5:$B$244,Q121),2))</f>
        <v>0</v>
      </c>
      <c r="AA121" s="26">
        <f>IF(B121="","",ROUND(SUMIFS($H$5:$H$364,$D$5:$D$364,D121,$Q$5:$Q$364,Q121),2))</f>
        <v>0</v>
      </c>
      <c r="AB121" s="26">
        <f>IF(B121="","",ROUND(Z121-AA121,2))</f>
        <v>0</v>
      </c>
      <c r="AC121" s="26">
        <f>IF(B121="","",IF(IF(F121="",0,F121)=0,"",ROUND(Y121/F121,2)))</f>
        <v>0</v>
      </c>
      <c r="AD121" s="39">
        <f>IF(B121="","",IF(D121="","Add - who is this run for?",IF(IF(F121="",H121="",FALSE),"Add - no hours and no commission",IF(AB121&lt;-0.004,"Check - more commission paid than earned",IF(M121&lt;&gt;"Yes","Due - not paid yet",IF(N121="","Check - marked paid, no date","OK"))))))</f>
        <v>0</v>
      </c>
    </row>
    <row r="122" spans="1:30">
      <c r="A122" s="28">
        <f>IF(B122="","",PayrollPrefix&amp;TEXT(ROW()-4,"0000"))</f>
        <v>0</v>
      </c>
      <c r="E122" s="15">
        <f>IF(D122="","",IFERROR(INDEX(Staff!$B$5:$B$44,MATCH(D122,Staff!$A$5:$A$44,0)),"Not in Staff"))</f>
        <v>0</v>
      </c>
      <c r="Q122" s="15">
        <f>IF(B122="","",TEXT(B122,"yyyy-mm"))</f>
        <v>0</v>
      </c>
      <c r="R122" s="25">
        <f>IF(B122="","",WEEKNUM(B122,2))</f>
        <v>0</v>
      </c>
      <c r="S122" s="26">
        <f>IF(B122="","",IF(G122&lt;&gt;"",G122,IFERROR(IF(INDEX(Staff!$P$5:$P$44,MATCH(D122,Staff!$A$5:$A$44,0))="",DefaultHourly,INDEX(Staff!$P$5:$P$44,MATCH(D122,Staff!$A$5:$A$44,0))),DefaultHourly)))</f>
        <v>0</v>
      </c>
      <c r="T122" s="26">
        <f>IF(B122="","",ROUND(IF(F122="",0,F122)*S122,2))</f>
        <v>0</v>
      </c>
      <c r="U122" s="26">
        <f>IF(B122="","",ROUND(T122+IF(H122="",0,H122)+IF(J122="",0,J122)+IF(K122="",0,K122),2))</f>
        <v>0</v>
      </c>
      <c r="V122" s="26">
        <f>IF(B122="","",ROUND(U122-IF(L122="",0,L122),2))</f>
        <v>0</v>
      </c>
      <c r="W122" s="26">
        <f>IF(B122="","",ROUND(V122+IF(I122="",0,I122),2))</f>
        <v>0</v>
      </c>
      <c r="X122" s="26">
        <f>IF(B122="","",IF(IFERROR(INDEX(Staff!$E$5:$E$44,MATCH(D122,Staff!$A$5:$A$44,0))&amp;"","")="Self-employed",0,IF(IFERROR(INDEX(Staff!$E$5:$E$44,MATCH(D122,Staff!$A$5:$A$44,0))&amp;"","")="Chair renter",0,ROUND(U122*PayrollBurden,2))))</f>
        <v>0</v>
      </c>
      <c r="Y122" s="26">
        <f>IF(B122="","",ROUND(U122+X122,2))</f>
        <v>0</v>
      </c>
      <c r="Z122" s="26">
        <f>IF(B122="","",ROUND(SUMIFS(Commissions!$X$5:$X$244,Commissions!$C$5:$C$244,D122,Commissions!$B$5:$B$244,Q122),2))</f>
        <v>0</v>
      </c>
      <c r="AA122" s="26">
        <f>IF(B122="","",ROUND(SUMIFS($H$5:$H$364,$D$5:$D$364,D122,$Q$5:$Q$364,Q122),2))</f>
        <v>0</v>
      </c>
      <c r="AB122" s="26">
        <f>IF(B122="","",ROUND(Z122-AA122,2))</f>
        <v>0</v>
      </c>
      <c r="AC122" s="26">
        <f>IF(B122="","",IF(IF(F122="",0,F122)=0,"",ROUND(Y122/F122,2)))</f>
        <v>0</v>
      </c>
      <c r="AD122" s="39">
        <f>IF(B122="","",IF(D122="","Add - who is this run for?",IF(IF(F122="",H122="",FALSE),"Add - no hours and no commission",IF(AB122&lt;-0.004,"Check - more commission paid than earned",IF(M122&lt;&gt;"Yes","Due - not paid yet",IF(N122="","Check - marked paid, no date","OK"))))))</f>
        <v>0</v>
      </c>
    </row>
    <row r="123" spans="1:30">
      <c r="A123" s="28">
        <f>IF(B123="","",PayrollPrefix&amp;TEXT(ROW()-4,"0000"))</f>
        <v>0</v>
      </c>
      <c r="E123" s="15">
        <f>IF(D123="","",IFERROR(INDEX(Staff!$B$5:$B$44,MATCH(D123,Staff!$A$5:$A$44,0)),"Not in Staff"))</f>
        <v>0</v>
      </c>
      <c r="Q123" s="15">
        <f>IF(B123="","",TEXT(B123,"yyyy-mm"))</f>
        <v>0</v>
      </c>
      <c r="R123" s="25">
        <f>IF(B123="","",WEEKNUM(B123,2))</f>
        <v>0</v>
      </c>
      <c r="S123" s="26">
        <f>IF(B123="","",IF(G123&lt;&gt;"",G123,IFERROR(IF(INDEX(Staff!$P$5:$P$44,MATCH(D123,Staff!$A$5:$A$44,0))="",DefaultHourly,INDEX(Staff!$P$5:$P$44,MATCH(D123,Staff!$A$5:$A$44,0))),DefaultHourly)))</f>
        <v>0</v>
      </c>
      <c r="T123" s="26">
        <f>IF(B123="","",ROUND(IF(F123="",0,F123)*S123,2))</f>
        <v>0</v>
      </c>
      <c r="U123" s="26">
        <f>IF(B123="","",ROUND(T123+IF(H123="",0,H123)+IF(J123="",0,J123)+IF(K123="",0,K123),2))</f>
        <v>0</v>
      </c>
      <c r="V123" s="26">
        <f>IF(B123="","",ROUND(U123-IF(L123="",0,L123),2))</f>
        <v>0</v>
      </c>
      <c r="W123" s="26">
        <f>IF(B123="","",ROUND(V123+IF(I123="",0,I123),2))</f>
        <v>0</v>
      </c>
      <c r="X123" s="26">
        <f>IF(B123="","",IF(IFERROR(INDEX(Staff!$E$5:$E$44,MATCH(D123,Staff!$A$5:$A$44,0))&amp;"","")="Self-employed",0,IF(IFERROR(INDEX(Staff!$E$5:$E$44,MATCH(D123,Staff!$A$5:$A$44,0))&amp;"","")="Chair renter",0,ROUND(U123*PayrollBurden,2))))</f>
        <v>0</v>
      </c>
      <c r="Y123" s="26">
        <f>IF(B123="","",ROUND(U123+X123,2))</f>
        <v>0</v>
      </c>
      <c r="Z123" s="26">
        <f>IF(B123="","",ROUND(SUMIFS(Commissions!$X$5:$X$244,Commissions!$C$5:$C$244,D123,Commissions!$B$5:$B$244,Q123),2))</f>
        <v>0</v>
      </c>
      <c r="AA123" s="26">
        <f>IF(B123="","",ROUND(SUMIFS($H$5:$H$364,$D$5:$D$364,D123,$Q$5:$Q$364,Q123),2))</f>
        <v>0</v>
      </c>
      <c r="AB123" s="26">
        <f>IF(B123="","",ROUND(Z123-AA123,2))</f>
        <v>0</v>
      </c>
      <c r="AC123" s="26">
        <f>IF(B123="","",IF(IF(F123="",0,F123)=0,"",ROUND(Y123/F123,2)))</f>
        <v>0</v>
      </c>
      <c r="AD123" s="39">
        <f>IF(B123="","",IF(D123="","Add - who is this run for?",IF(IF(F123="",H123="",FALSE),"Add - no hours and no commission",IF(AB123&lt;-0.004,"Check - more commission paid than earned",IF(M123&lt;&gt;"Yes","Due - not paid yet",IF(N123="","Check - marked paid, no date","OK"))))))</f>
        <v>0</v>
      </c>
    </row>
    <row r="124" spans="1:30">
      <c r="A124" s="28">
        <f>IF(B124="","",PayrollPrefix&amp;TEXT(ROW()-4,"0000"))</f>
        <v>0</v>
      </c>
      <c r="E124" s="15">
        <f>IF(D124="","",IFERROR(INDEX(Staff!$B$5:$B$44,MATCH(D124,Staff!$A$5:$A$44,0)),"Not in Staff"))</f>
        <v>0</v>
      </c>
      <c r="Q124" s="15">
        <f>IF(B124="","",TEXT(B124,"yyyy-mm"))</f>
        <v>0</v>
      </c>
      <c r="R124" s="25">
        <f>IF(B124="","",WEEKNUM(B124,2))</f>
        <v>0</v>
      </c>
      <c r="S124" s="26">
        <f>IF(B124="","",IF(G124&lt;&gt;"",G124,IFERROR(IF(INDEX(Staff!$P$5:$P$44,MATCH(D124,Staff!$A$5:$A$44,0))="",DefaultHourly,INDEX(Staff!$P$5:$P$44,MATCH(D124,Staff!$A$5:$A$44,0))),DefaultHourly)))</f>
        <v>0</v>
      </c>
      <c r="T124" s="26">
        <f>IF(B124="","",ROUND(IF(F124="",0,F124)*S124,2))</f>
        <v>0</v>
      </c>
      <c r="U124" s="26">
        <f>IF(B124="","",ROUND(T124+IF(H124="",0,H124)+IF(J124="",0,J124)+IF(K124="",0,K124),2))</f>
        <v>0</v>
      </c>
      <c r="V124" s="26">
        <f>IF(B124="","",ROUND(U124-IF(L124="",0,L124),2))</f>
        <v>0</v>
      </c>
      <c r="W124" s="26">
        <f>IF(B124="","",ROUND(V124+IF(I124="",0,I124),2))</f>
        <v>0</v>
      </c>
      <c r="X124" s="26">
        <f>IF(B124="","",IF(IFERROR(INDEX(Staff!$E$5:$E$44,MATCH(D124,Staff!$A$5:$A$44,0))&amp;"","")="Self-employed",0,IF(IFERROR(INDEX(Staff!$E$5:$E$44,MATCH(D124,Staff!$A$5:$A$44,0))&amp;"","")="Chair renter",0,ROUND(U124*PayrollBurden,2))))</f>
        <v>0</v>
      </c>
      <c r="Y124" s="26">
        <f>IF(B124="","",ROUND(U124+X124,2))</f>
        <v>0</v>
      </c>
      <c r="Z124" s="26">
        <f>IF(B124="","",ROUND(SUMIFS(Commissions!$X$5:$X$244,Commissions!$C$5:$C$244,D124,Commissions!$B$5:$B$244,Q124),2))</f>
        <v>0</v>
      </c>
      <c r="AA124" s="26">
        <f>IF(B124="","",ROUND(SUMIFS($H$5:$H$364,$D$5:$D$364,D124,$Q$5:$Q$364,Q124),2))</f>
        <v>0</v>
      </c>
      <c r="AB124" s="26">
        <f>IF(B124="","",ROUND(Z124-AA124,2))</f>
        <v>0</v>
      </c>
      <c r="AC124" s="26">
        <f>IF(B124="","",IF(IF(F124="",0,F124)=0,"",ROUND(Y124/F124,2)))</f>
        <v>0</v>
      </c>
      <c r="AD124" s="39">
        <f>IF(B124="","",IF(D124="","Add - who is this run for?",IF(IF(F124="",H124="",FALSE),"Add - no hours and no commission",IF(AB124&lt;-0.004,"Check - more commission paid than earned",IF(M124&lt;&gt;"Yes","Due - not paid yet",IF(N124="","Check - marked paid, no date","OK"))))))</f>
        <v>0</v>
      </c>
    </row>
    <row r="125" spans="1:30">
      <c r="A125" s="28">
        <f>IF(B125="","",PayrollPrefix&amp;TEXT(ROW()-4,"0000"))</f>
        <v>0</v>
      </c>
      <c r="E125" s="15">
        <f>IF(D125="","",IFERROR(INDEX(Staff!$B$5:$B$44,MATCH(D125,Staff!$A$5:$A$44,0)),"Not in Staff"))</f>
        <v>0</v>
      </c>
      <c r="Q125" s="15">
        <f>IF(B125="","",TEXT(B125,"yyyy-mm"))</f>
        <v>0</v>
      </c>
      <c r="R125" s="25">
        <f>IF(B125="","",WEEKNUM(B125,2))</f>
        <v>0</v>
      </c>
      <c r="S125" s="26">
        <f>IF(B125="","",IF(G125&lt;&gt;"",G125,IFERROR(IF(INDEX(Staff!$P$5:$P$44,MATCH(D125,Staff!$A$5:$A$44,0))="",DefaultHourly,INDEX(Staff!$P$5:$P$44,MATCH(D125,Staff!$A$5:$A$44,0))),DefaultHourly)))</f>
        <v>0</v>
      </c>
      <c r="T125" s="26">
        <f>IF(B125="","",ROUND(IF(F125="",0,F125)*S125,2))</f>
        <v>0</v>
      </c>
      <c r="U125" s="26">
        <f>IF(B125="","",ROUND(T125+IF(H125="",0,H125)+IF(J125="",0,J125)+IF(K125="",0,K125),2))</f>
        <v>0</v>
      </c>
      <c r="V125" s="26">
        <f>IF(B125="","",ROUND(U125-IF(L125="",0,L125),2))</f>
        <v>0</v>
      </c>
      <c r="W125" s="26">
        <f>IF(B125="","",ROUND(V125+IF(I125="",0,I125),2))</f>
        <v>0</v>
      </c>
      <c r="X125" s="26">
        <f>IF(B125="","",IF(IFERROR(INDEX(Staff!$E$5:$E$44,MATCH(D125,Staff!$A$5:$A$44,0))&amp;"","")="Self-employed",0,IF(IFERROR(INDEX(Staff!$E$5:$E$44,MATCH(D125,Staff!$A$5:$A$44,0))&amp;"","")="Chair renter",0,ROUND(U125*PayrollBurden,2))))</f>
        <v>0</v>
      </c>
      <c r="Y125" s="26">
        <f>IF(B125="","",ROUND(U125+X125,2))</f>
        <v>0</v>
      </c>
      <c r="Z125" s="26">
        <f>IF(B125="","",ROUND(SUMIFS(Commissions!$X$5:$X$244,Commissions!$C$5:$C$244,D125,Commissions!$B$5:$B$244,Q125),2))</f>
        <v>0</v>
      </c>
      <c r="AA125" s="26">
        <f>IF(B125="","",ROUND(SUMIFS($H$5:$H$364,$D$5:$D$364,D125,$Q$5:$Q$364,Q125),2))</f>
        <v>0</v>
      </c>
      <c r="AB125" s="26">
        <f>IF(B125="","",ROUND(Z125-AA125,2))</f>
        <v>0</v>
      </c>
      <c r="AC125" s="26">
        <f>IF(B125="","",IF(IF(F125="",0,F125)=0,"",ROUND(Y125/F125,2)))</f>
        <v>0</v>
      </c>
      <c r="AD125" s="39">
        <f>IF(B125="","",IF(D125="","Add - who is this run for?",IF(IF(F125="",H125="",FALSE),"Add - no hours and no commission",IF(AB125&lt;-0.004,"Check - more commission paid than earned",IF(M125&lt;&gt;"Yes","Due - not paid yet",IF(N125="","Check - marked paid, no date","OK"))))))</f>
        <v>0</v>
      </c>
    </row>
    <row r="126" spans="1:30">
      <c r="A126" s="28">
        <f>IF(B126="","",PayrollPrefix&amp;TEXT(ROW()-4,"0000"))</f>
        <v>0</v>
      </c>
      <c r="E126" s="15">
        <f>IF(D126="","",IFERROR(INDEX(Staff!$B$5:$B$44,MATCH(D126,Staff!$A$5:$A$44,0)),"Not in Staff"))</f>
        <v>0</v>
      </c>
      <c r="Q126" s="15">
        <f>IF(B126="","",TEXT(B126,"yyyy-mm"))</f>
        <v>0</v>
      </c>
      <c r="R126" s="25">
        <f>IF(B126="","",WEEKNUM(B126,2))</f>
        <v>0</v>
      </c>
      <c r="S126" s="26">
        <f>IF(B126="","",IF(G126&lt;&gt;"",G126,IFERROR(IF(INDEX(Staff!$P$5:$P$44,MATCH(D126,Staff!$A$5:$A$44,0))="",DefaultHourly,INDEX(Staff!$P$5:$P$44,MATCH(D126,Staff!$A$5:$A$44,0))),DefaultHourly)))</f>
        <v>0</v>
      </c>
      <c r="T126" s="26">
        <f>IF(B126="","",ROUND(IF(F126="",0,F126)*S126,2))</f>
        <v>0</v>
      </c>
      <c r="U126" s="26">
        <f>IF(B126="","",ROUND(T126+IF(H126="",0,H126)+IF(J126="",0,J126)+IF(K126="",0,K126),2))</f>
        <v>0</v>
      </c>
      <c r="V126" s="26">
        <f>IF(B126="","",ROUND(U126-IF(L126="",0,L126),2))</f>
        <v>0</v>
      </c>
      <c r="W126" s="26">
        <f>IF(B126="","",ROUND(V126+IF(I126="",0,I126),2))</f>
        <v>0</v>
      </c>
      <c r="X126" s="26">
        <f>IF(B126="","",IF(IFERROR(INDEX(Staff!$E$5:$E$44,MATCH(D126,Staff!$A$5:$A$44,0))&amp;"","")="Self-employed",0,IF(IFERROR(INDEX(Staff!$E$5:$E$44,MATCH(D126,Staff!$A$5:$A$44,0))&amp;"","")="Chair renter",0,ROUND(U126*PayrollBurden,2))))</f>
        <v>0</v>
      </c>
      <c r="Y126" s="26">
        <f>IF(B126="","",ROUND(U126+X126,2))</f>
        <v>0</v>
      </c>
      <c r="Z126" s="26">
        <f>IF(B126="","",ROUND(SUMIFS(Commissions!$X$5:$X$244,Commissions!$C$5:$C$244,D126,Commissions!$B$5:$B$244,Q126),2))</f>
        <v>0</v>
      </c>
      <c r="AA126" s="26">
        <f>IF(B126="","",ROUND(SUMIFS($H$5:$H$364,$D$5:$D$364,D126,$Q$5:$Q$364,Q126),2))</f>
        <v>0</v>
      </c>
      <c r="AB126" s="26">
        <f>IF(B126="","",ROUND(Z126-AA126,2))</f>
        <v>0</v>
      </c>
      <c r="AC126" s="26">
        <f>IF(B126="","",IF(IF(F126="",0,F126)=0,"",ROUND(Y126/F126,2)))</f>
        <v>0</v>
      </c>
      <c r="AD126" s="39">
        <f>IF(B126="","",IF(D126="","Add - who is this run for?",IF(IF(F126="",H126="",FALSE),"Add - no hours and no commission",IF(AB126&lt;-0.004,"Check - more commission paid than earned",IF(M126&lt;&gt;"Yes","Due - not paid yet",IF(N126="","Check - marked paid, no date","OK"))))))</f>
        <v>0</v>
      </c>
    </row>
    <row r="127" spans="1:30">
      <c r="A127" s="28">
        <f>IF(B127="","",PayrollPrefix&amp;TEXT(ROW()-4,"0000"))</f>
        <v>0</v>
      </c>
      <c r="E127" s="15">
        <f>IF(D127="","",IFERROR(INDEX(Staff!$B$5:$B$44,MATCH(D127,Staff!$A$5:$A$44,0)),"Not in Staff"))</f>
        <v>0</v>
      </c>
      <c r="Q127" s="15">
        <f>IF(B127="","",TEXT(B127,"yyyy-mm"))</f>
        <v>0</v>
      </c>
      <c r="R127" s="25">
        <f>IF(B127="","",WEEKNUM(B127,2))</f>
        <v>0</v>
      </c>
      <c r="S127" s="26">
        <f>IF(B127="","",IF(G127&lt;&gt;"",G127,IFERROR(IF(INDEX(Staff!$P$5:$P$44,MATCH(D127,Staff!$A$5:$A$44,0))="",DefaultHourly,INDEX(Staff!$P$5:$P$44,MATCH(D127,Staff!$A$5:$A$44,0))),DefaultHourly)))</f>
        <v>0</v>
      </c>
      <c r="T127" s="26">
        <f>IF(B127="","",ROUND(IF(F127="",0,F127)*S127,2))</f>
        <v>0</v>
      </c>
      <c r="U127" s="26">
        <f>IF(B127="","",ROUND(T127+IF(H127="",0,H127)+IF(J127="",0,J127)+IF(K127="",0,K127),2))</f>
        <v>0</v>
      </c>
      <c r="V127" s="26">
        <f>IF(B127="","",ROUND(U127-IF(L127="",0,L127),2))</f>
        <v>0</v>
      </c>
      <c r="W127" s="26">
        <f>IF(B127="","",ROUND(V127+IF(I127="",0,I127),2))</f>
        <v>0</v>
      </c>
      <c r="X127" s="26">
        <f>IF(B127="","",IF(IFERROR(INDEX(Staff!$E$5:$E$44,MATCH(D127,Staff!$A$5:$A$44,0))&amp;"","")="Self-employed",0,IF(IFERROR(INDEX(Staff!$E$5:$E$44,MATCH(D127,Staff!$A$5:$A$44,0))&amp;"","")="Chair renter",0,ROUND(U127*PayrollBurden,2))))</f>
        <v>0</v>
      </c>
      <c r="Y127" s="26">
        <f>IF(B127="","",ROUND(U127+X127,2))</f>
        <v>0</v>
      </c>
      <c r="Z127" s="26">
        <f>IF(B127="","",ROUND(SUMIFS(Commissions!$X$5:$X$244,Commissions!$C$5:$C$244,D127,Commissions!$B$5:$B$244,Q127),2))</f>
        <v>0</v>
      </c>
      <c r="AA127" s="26">
        <f>IF(B127="","",ROUND(SUMIFS($H$5:$H$364,$D$5:$D$364,D127,$Q$5:$Q$364,Q127),2))</f>
        <v>0</v>
      </c>
      <c r="AB127" s="26">
        <f>IF(B127="","",ROUND(Z127-AA127,2))</f>
        <v>0</v>
      </c>
      <c r="AC127" s="26">
        <f>IF(B127="","",IF(IF(F127="",0,F127)=0,"",ROUND(Y127/F127,2)))</f>
        <v>0</v>
      </c>
      <c r="AD127" s="39">
        <f>IF(B127="","",IF(D127="","Add - who is this run for?",IF(IF(F127="",H127="",FALSE),"Add - no hours and no commission",IF(AB127&lt;-0.004,"Check - more commission paid than earned",IF(M127&lt;&gt;"Yes","Due - not paid yet",IF(N127="","Check - marked paid, no date","OK"))))))</f>
        <v>0</v>
      </c>
    </row>
    <row r="128" spans="1:30">
      <c r="A128" s="28">
        <f>IF(B128="","",PayrollPrefix&amp;TEXT(ROW()-4,"0000"))</f>
        <v>0</v>
      </c>
      <c r="E128" s="15">
        <f>IF(D128="","",IFERROR(INDEX(Staff!$B$5:$B$44,MATCH(D128,Staff!$A$5:$A$44,0)),"Not in Staff"))</f>
        <v>0</v>
      </c>
      <c r="Q128" s="15">
        <f>IF(B128="","",TEXT(B128,"yyyy-mm"))</f>
        <v>0</v>
      </c>
      <c r="R128" s="25">
        <f>IF(B128="","",WEEKNUM(B128,2))</f>
        <v>0</v>
      </c>
      <c r="S128" s="26">
        <f>IF(B128="","",IF(G128&lt;&gt;"",G128,IFERROR(IF(INDEX(Staff!$P$5:$P$44,MATCH(D128,Staff!$A$5:$A$44,0))="",DefaultHourly,INDEX(Staff!$P$5:$P$44,MATCH(D128,Staff!$A$5:$A$44,0))),DefaultHourly)))</f>
        <v>0</v>
      </c>
      <c r="T128" s="26">
        <f>IF(B128="","",ROUND(IF(F128="",0,F128)*S128,2))</f>
        <v>0</v>
      </c>
      <c r="U128" s="26">
        <f>IF(B128="","",ROUND(T128+IF(H128="",0,H128)+IF(J128="",0,J128)+IF(K128="",0,K128),2))</f>
        <v>0</v>
      </c>
      <c r="V128" s="26">
        <f>IF(B128="","",ROUND(U128-IF(L128="",0,L128),2))</f>
        <v>0</v>
      </c>
      <c r="W128" s="26">
        <f>IF(B128="","",ROUND(V128+IF(I128="",0,I128),2))</f>
        <v>0</v>
      </c>
      <c r="X128" s="26">
        <f>IF(B128="","",IF(IFERROR(INDEX(Staff!$E$5:$E$44,MATCH(D128,Staff!$A$5:$A$44,0))&amp;"","")="Self-employed",0,IF(IFERROR(INDEX(Staff!$E$5:$E$44,MATCH(D128,Staff!$A$5:$A$44,0))&amp;"","")="Chair renter",0,ROUND(U128*PayrollBurden,2))))</f>
        <v>0</v>
      </c>
      <c r="Y128" s="26">
        <f>IF(B128="","",ROUND(U128+X128,2))</f>
        <v>0</v>
      </c>
      <c r="Z128" s="26">
        <f>IF(B128="","",ROUND(SUMIFS(Commissions!$X$5:$X$244,Commissions!$C$5:$C$244,D128,Commissions!$B$5:$B$244,Q128),2))</f>
        <v>0</v>
      </c>
      <c r="AA128" s="26">
        <f>IF(B128="","",ROUND(SUMIFS($H$5:$H$364,$D$5:$D$364,D128,$Q$5:$Q$364,Q128),2))</f>
        <v>0</v>
      </c>
      <c r="AB128" s="26">
        <f>IF(B128="","",ROUND(Z128-AA128,2))</f>
        <v>0</v>
      </c>
      <c r="AC128" s="26">
        <f>IF(B128="","",IF(IF(F128="",0,F128)=0,"",ROUND(Y128/F128,2)))</f>
        <v>0</v>
      </c>
      <c r="AD128" s="39">
        <f>IF(B128="","",IF(D128="","Add - who is this run for?",IF(IF(F128="",H128="",FALSE),"Add - no hours and no commission",IF(AB128&lt;-0.004,"Check - more commission paid than earned",IF(M128&lt;&gt;"Yes","Due - not paid yet",IF(N128="","Check - marked paid, no date","OK"))))))</f>
        <v>0</v>
      </c>
    </row>
    <row r="129" spans="1:30">
      <c r="A129" s="28">
        <f>IF(B129="","",PayrollPrefix&amp;TEXT(ROW()-4,"0000"))</f>
        <v>0</v>
      </c>
      <c r="E129" s="15">
        <f>IF(D129="","",IFERROR(INDEX(Staff!$B$5:$B$44,MATCH(D129,Staff!$A$5:$A$44,0)),"Not in Staff"))</f>
        <v>0</v>
      </c>
      <c r="Q129" s="15">
        <f>IF(B129="","",TEXT(B129,"yyyy-mm"))</f>
        <v>0</v>
      </c>
      <c r="R129" s="25">
        <f>IF(B129="","",WEEKNUM(B129,2))</f>
        <v>0</v>
      </c>
      <c r="S129" s="26">
        <f>IF(B129="","",IF(G129&lt;&gt;"",G129,IFERROR(IF(INDEX(Staff!$P$5:$P$44,MATCH(D129,Staff!$A$5:$A$44,0))="",DefaultHourly,INDEX(Staff!$P$5:$P$44,MATCH(D129,Staff!$A$5:$A$44,0))),DefaultHourly)))</f>
        <v>0</v>
      </c>
      <c r="T129" s="26">
        <f>IF(B129="","",ROUND(IF(F129="",0,F129)*S129,2))</f>
        <v>0</v>
      </c>
      <c r="U129" s="26">
        <f>IF(B129="","",ROUND(T129+IF(H129="",0,H129)+IF(J129="",0,J129)+IF(K129="",0,K129),2))</f>
        <v>0</v>
      </c>
      <c r="V129" s="26">
        <f>IF(B129="","",ROUND(U129-IF(L129="",0,L129),2))</f>
        <v>0</v>
      </c>
      <c r="W129" s="26">
        <f>IF(B129="","",ROUND(V129+IF(I129="",0,I129),2))</f>
        <v>0</v>
      </c>
      <c r="X129" s="26">
        <f>IF(B129="","",IF(IFERROR(INDEX(Staff!$E$5:$E$44,MATCH(D129,Staff!$A$5:$A$44,0))&amp;"","")="Self-employed",0,IF(IFERROR(INDEX(Staff!$E$5:$E$44,MATCH(D129,Staff!$A$5:$A$44,0))&amp;"","")="Chair renter",0,ROUND(U129*PayrollBurden,2))))</f>
        <v>0</v>
      </c>
      <c r="Y129" s="26">
        <f>IF(B129="","",ROUND(U129+X129,2))</f>
        <v>0</v>
      </c>
      <c r="Z129" s="26">
        <f>IF(B129="","",ROUND(SUMIFS(Commissions!$X$5:$X$244,Commissions!$C$5:$C$244,D129,Commissions!$B$5:$B$244,Q129),2))</f>
        <v>0</v>
      </c>
      <c r="AA129" s="26">
        <f>IF(B129="","",ROUND(SUMIFS($H$5:$H$364,$D$5:$D$364,D129,$Q$5:$Q$364,Q129),2))</f>
        <v>0</v>
      </c>
      <c r="AB129" s="26">
        <f>IF(B129="","",ROUND(Z129-AA129,2))</f>
        <v>0</v>
      </c>
      <c r="AC129" s="26">
        <f>IF(B129="","",IF(IF(F129="",0,F129)=0,"",ROUND(Y129/F129,2)))</f>
        <v>0</v>
      </c>
      <c r="AD129" s="39">
        <f>IF(B129="","",IF(D129="","Add - who is this run for?",IF(IF(F129="",H129="",FALSE),"Add - no hours and no commission",IF(AB129&lt;-0.004,"Check - more commission paid than earned",IF(M129&lt;&gt;"Yes","Due - not paid yet",IF(N129="","Check - marked paid, no date","OK"))))))</f>
        <v>0</v>
      </c>
    </row>
    <row r="130" spans="1:30">
      <c r="A130" s="28">
        <f>IF(B130="","",PayrollPrefix&amp;TEXT(ROW()-4,"0000"))</f>
        <v>0</v>
      </c>
      <c r="E130" s="15">
        <f>IF(D130="","",IFERROR(INDEX(Staff!$B$5:$B$44,MATCH(D130,Staff!$A$5:$A$44,0)),"Not in Staff"))</f>
        <v>0</v>
      </c>
      <c r="Q130" s="15">
        <f>IF(B130="","",TEXT(B130,"yyyy-mm"))</f>
        <v>0</v>
      </c>
      <c r="R130" s="25">
        <f>IF(B130="","",WEEKNUM(B130,2))</f>
        <v>0</v>
      </c>
      <c r="S130" s="26">
        <f>IF(B130="","",IF(G130&lt;&gt;"",G130,IFERROR(IF(INDEX(Staff!$P$5:$P$44,MATCH(D130,Staff!$A$5:$A$44,0))="",DefaultHourly,INDEX(Staff!$P$5:$P$44,MATCH(D130,Staff!$A$5:$A$44,0))),DefaultHourly)))</f>
        <v>0</v>
      </c>
      <c r="T130" s="26">
        <f>IF(B130="","",ROUND(IF(F130="",0,F130)*S130,2))</f>
        <v>0</v>
      </c>
      <c r="U130" s="26">
        <f>IF(B130="","",ROUND(T130+IF(H130="",0,H130)+IF(J130="",0,J130)+IF(K130="",0,K130),2))</f>
        <v>0</v>
      </c>
      <c r="V130" s="26">
        <f>IF(B130="","",ROUND(U130-IF(L130="",0,L130),2))</f>
        <v>0</v>
      </c>
      <c r="W130" s="26">
        <f>IF(B130="","",ROUND(V130+IF(I130="",0,I130),2))</f>
        <v>0</v>
      </c>
      <c r="X130" s="26">
        <f>IF(B130="","",IF(IFERROR(INDEX(Staff!$E$5:$E$44,MATCH(D130,Staff!$A$5:$A$44,0))&amp;"","")="Self-employed",0,IF(IFERROR(INDEX(Staff!$E$5:$E$44,MATCH(D130,Staff!$A$5:$A$44,0))&amp;"","")="Chair renter",0,ROUND(U130*PayrollBurden,2))))</f>
        <v>0</v>
      </c>
      <c r="Y130" s="26">
        <f>IF(B130="","",ROUND(U130+X130,2))</f>
        <v>0</v>
      </c>
      <c r="Z130" s="26">
        <f>IF(B130="","",ROUND(SUMIFS(Commissions!$X$5:$X$244,Commissions!$C$5:$C$244,D130,Commissions!$B$5:$B$244,Q130),2))</f>
        <v>0</v>
      </c>
      <c r="AA130" s="26">
        <f>IF(B130="","",ROUND(SUMIFS($H$5:$H$364,$D$5:$D$364,D130,$Q$5:$Q$364,Q130),2))</f>
        <v>0</v>
      </c>
      <c r="AB130" s="26">
        <f>IF(B130="","",ROUND(Z130-AA130,2))</f>
        <v>0</v>
      </c>
      <c r="AC130" s="26">
        <f>IF(B130="","",IF(IF(F130="",0,F130)=0,"",ROUND(Y130/F130,2)))</f>
        <v>0</v>
      </c>
      <c r="AD130" s="39">
        <f>IF(B130="","",IF(D130="","Add - who is this run for?",IF(IF(F130="",H130="",FALSE),"Add - no hours and no commission",IF(AB130&lt;-0.004,"Check - more commission paid than earned",IF(M130&lt;&gt;"Yes","Due - not paid yet",IF(N130="","Check - marked paid, no date","OK"))))))</f>
        <v>0</v>
      </c>
    </row>
    <row r="131" spans="1:30">
      <c r="A131" s="28">
        <f>IF(B131="","",PayrollPrefix&amp;TEXT(ROW()-4,"0000"))</f>
        <v>0</v>
      </c>
      <c r="E131" s="15">
        <f>IF(D131="","",IFERROR(INDEX(Staff!$B$5:$B$44,MATCH(D131,Staff!$A$5:$A$44,0)),"Not in Staff"))</f>
        <v>0</v>
      </c>
      <c r="Q131" s="15">
        <f>IF(B131="","",TEXT(B131,"yyyy-mm"))</f>
        <v>0</v>
      </c>
      <c r="R131" s="25">
        <f>IF(B131="","",WEEKNUM(B131,2))</f>
        <v>0</v>
      </c>
      <c r="S131" s="26">
        <f>IF(B131="","",IF(G131&lt;&gt;"",G131,IFERROR(IF(INDEX(Staff!$P$5:$P$44,MATCH(D131,Staff!$A$5:$A$44,0))="",DefaultHourly,INDEX(Staff!$P$5:$P$44,MATCH(D131,Staff!$A$5:$A$44,0))),DefaultHourly)))</f>
        <v>0</v>
      </c>
      <c r="T131" s="26">
        <f>IF(B131="","",ROUND(IF(F131="",0,F131)*S131,2))</f>
        <v>0</v>
      </c>
      <c r="U131" s="26">
        <f>IF(B131="","",ROUND(T131+IF(H131="",0,H131)+IF(J131="",0,J131)+IF(K131="",0,K131),2))</f>
        <v>0</v>
      </c>
      <c r="V131" s="26">
        <f>IF(B131="","",ROUND(U131-IF(L131="",0,L131),2))</f>
        <v>0</v>
      </c>
      <c r="W131" s="26">
        <f>IF(B131="","",ROUND(V131+IF(I131="",0,I131),2))</f>
        <v>0</v>
      </c>
      <c r="X131" s="26">
        <f>IF(B131="","",IF(IFERROR(INDEX(Staff!$E$5:$E$44,MATCH(D131,Staff!$A$5:$A$44,0))&amp;"","")="Self-employed",0,IF(IFERROR(INDEX(Staff!$E$5:$E$44,MATCH(D131,Staff!$A$5:$A$44,0))&amp;"","")="Chair renter",0,ROUND(U131*PayrollBurden,2))))</f>
        <v>0</v>
      </c>
      <c r="Y131" s="26">
        <f>IF(B131="","",ROUND(U131+X131,2))</f>
        <v>0</v>
      </c>
      <c r="Z131" s="26">
        <f>IF(B131="","",ROUND(SUMIFS(Commissions!$X$5:$X$244,Commissions!$C$5:$C$244,D131,Commissions!$B$5:$B$244,Q131),2))</f>
        <v>0</v>
      </c>
      <c r="AA131" s="26">
        <f>IF(B131="","",ROUND(SUMIFS($H$5:$H$364,$D$5:$D$364,D131,$Q$5:$Q$364,Q131),2))</f>
        <v>0</v>
      </c>
      <c r="AB131" s="26">
        <f>IF(B131="","",ROUND(Z131-AA131,2))</f>
        <v>0</v>
      </c>
      <c r="AC131" s="26">
        <f>IF(B131="","",IF(IF(F131="",0,F131)=0,"",ROUND(Y131/F131,2)))</f>
        <v>0</v>
      </c>
      <c r="AD131" s="39">
        <f>IF(B131="","",IF(D131="","Add - who is this run for?",IF(IF(F131="",H131="",FALSE),"Add - no hours and no commission",IF(AB131&lt;-0.004,"Check - more commission paid than earned",IF(M131&lt;&gt;"Yes","Due - not paid yet",IF(N131="","Check - marked paid, no date","OK"))))))</f>
        <v>0</v>
      </c>
    </row>
    <row r="132" spans="1:30">
      <c r="A132" s="28">
        <f>IF(B132="","",PayrollPrefix&amp;TEXT(ROW()-4,"0000"))</f>
        <v>0</v>
      </c>
      <c r="E132" s="15">
        <f>IF(D132="","",IFERROR(INDEX(Staff!$B$5:$B$44,MATCH(D132,Staff!$A$5:$A$44,0)),"Not in Staff"))</f>
        <v>0</v>
      </c>
      <c r="Q132" s="15">
        <f>IF(B132="","",TEXT(B132,"yyyy-mm"))</f>
        <v>0</v>
      </c>
      <c r="R132" s="25">
        <f>IF(B132="","",WEEKNUM(B132,2))</f>
        <v>0</v>
      </c>
      <c r="S132" s="26">
        <f>IF(B132="","",IF(G132&lt;&gt;"",G132,IFERROR(IF(INDEX(Staff!$P$5:$P$44,MATCH(D132,Staff!$A$5:$A$44,0))="",DefaultHourly,INDEX(Staff!$P$5:$P$44,MATCH(D132,Staff!$A$5:$A$44,0))),DefaultHourly)))</f>
        <v>0</v>
      </c>
      <c r="T132" s="26">
        <f>IF(B132="","",ROUND(IF(F132="",0,F132)*S132,2))</f>
        <v>0</v>
      </c>
      <c r="U132" s="26">
        <f>IF(B132="","",ROUND(T132+IF(H132="",0,H132)+IF(J132="",0,J132)+IF(K132="",0,K132),2))</f>
        <v>0</v>
      </c>
      <c r="V132" s="26">
        <f>IF(B132="","",ROUND(U132-IF(L132="",0,L132),2))</f>
        <v>0</v>
      </c>
      <c r="W132" s="26">
        <f>IF(B132="","",ROUND(V132+IF(I132="",0,I132),2))</f>
        <v>0</v>
      </c>
      <c r="X132" s="26">
        <f>IF(B132="","",IF(IFERROR(INDEX(Staff!$E$5:$E$44,MATCH(D132,Staff!$A$5:$A$44,0))&amp;"","")="Self-employed",0,IF(IFERROR(INDEX(Staff!$E$5:$E$44,MATCH(D132,Staff!$A$5:$A$44,0))&amp;"","")="Chair renter",0,ROUND(U132*PayrollBurden,2))))</f>
        <v>0</v>
      </c>
      <c r="Y132" s="26">
        <f>IF(B132="","",ROUND(U132+X132,2))</f>
        <v>0</v>
      </c>
      <c r="Z132" s="26">
        <f>IF(B132="","",ROUND(SUMIFS(Commissions!$X$5:$X$244,Commissions!$C$5:$C$244,D132,Commissions!$B$5:$B$244,Q132),2))</f>
        <v>0</v>
      </c>
      <c r="AA132" s="26">
        <f>IF(B132="","",ROUND(SUMIFS($H$5:$H$364,$D$5:$D$364,D132,$Q$5:$Q$364,Q132),2))</f>
        <v>0</v>
      </c>
      <c r="AB132" s="26">
        <f>IF(B132="","",ROUND(Z132-AA132,2))</f>
        <v>0</v>
      </c>
      <c r="AC132" s="26">
        <f>IF(B132="","",IF(IF(F132="",0,F132)=0,"",ROUND(Y132/F132,2)))</f>
        <v>0</v>
      </c>
      <c r="AD132" s="39">
        <f>IF(B132="","",IF(D132="","Add - who is this run for?",IF(IF(F132="",H132="",FALSE),"Add - no hours and no commission",IF(AB132&lt;-0.004,"Check - more commission paid than earned",IF(M132&lt;&gt;"Yes","Due - not paid yet",IF(N132="","Check - marked paid, no date","OK"))))))</f>
        <v>0</v>
      </c>
    </row>
    <row r="133" spans="1:30">
      <c r="A133" s="28">
        <f>IF(B133="","",PayrollPrefix&amp;TEXT(ROW()-4,"0000"))</f>
        <v>0</v>
      </c>
      <c r="E133" s="15">
        <f>IF(D133="","",IFERROR(INDEX(Staff!$B$5:$B$44,MATCH(D133,Staff!$A$5:$A$44,0)),"Not in Staff"))</f>
        <v>0</v>
      </c>
      <c r="Q133" s="15">
        <f>IF(B133="","",TEXT(B133,"yyyy-mm"))</f>
        <v>0</v>
      </c>
      <c r="R133" s="25">
        <f>IF(B133="","",WEEKNUM(B133,2))</f>
        <v>0</v>
      </c>
      <c r="S133" s="26">
        <f>IF(B133="","",IF(G133&lt;&gt;"",G133,IFERROR(IF(INDEX(Staff!$P$5:$P$44,MATCH(D133,Staff!$A$5:$A$44,0))="",DefaultHourly,INDEX(Staff!$P$5:$P$44,MATCH(D133,Staff!$A$5:$A$44,0))),DefaultHourly)))</f>
        <v>0</v>
      </c>
      <c r="T133" s="26">
        <f>IF(B133="","",ROUND(IF(F133="",0,F133)*S133,2))</f>
        <v>0</v>
      </c>
      <c r="U133" s="26">
        <f>IF(B133="","",ROUND(T133+IF(H133="",0,H133)+IF(J133="",0,J133)+IF(K133="",0,K133),2))</f>
        <v>0</v>
      </c>
      <c r="V133" s="26">
        <f>IF(B133="","",ROUND(U133-IF(L133="",0,L133),2))</f>
        <v>0</v>
      </c>
      <c r="W133" s="26">
        <f>IF(B133="","",ROUND(V133+IF(I133="",0,I133),2))</f>
        <v>0</v>
      </c>
      <c r="X133" s="26">
        <f>IF(B133="","",IF(IFERROR(INDEX(Staff!$E$5:$E$44,MATCH(D133,Staff!$A$5:$A$44,0))&amp;"","")="Self-employed",0,IF(IFERROR(INDEX(Staff!$E$5:$E$44,MATCH(D133,Staff!$A$5:$A$44,0))&amp;"","")="Chair renter",0,ROUND(U133*PayrollBurden,2))))</f>
        <v>0</v>
      </c>
      <c r="Y133" s="26">
        <f>IF(B133="","",ROUND(U133+X133,2))</f>
        <v>0</v>
      </c>
      <c r="Z133" s="26">
        <f>IF(B133="","",ROUND(SUMIFS(Commissions!$X$5:$X$244,Commissions!$C$5:$C$244,D133,Commissions!$B$5:$B$244,Q133),2))</f>
        <v>0</v>
      </c>
      <c r="AA133" s="26">
        <f>IF(B133="","",ROUND(SUMIFS($H$5:$H$364,$D$5:$D$364,D133,$Q$5:$Q$364,Q133),2))</f>
        <v>0</v>
      </c>
      <c r="AB133" s="26">
        <f>IF(B133="","",ROUND(Z133-AA133,2))</f>
        <v>0</v>
      </c>
      <c r="AC133" s="26">
        <f>IF(B133="","",IF(IF(F133="",0,F133)=0,"",ROUND(Y133/F133,2)))</f>
        <v>0</v>
      </c>
      <c r="AD133" s="39">
        <f>IF(B133="","",IF(D133="","Add - who is this run for?",IF(IF(F133="",H133="",FALSE),"Add - no hours and no commission",IF(AB133&lt;-0.004,"Check - more commission paid than earned",IF(M133&lt;&gt;"Yes","Due - not paid yet",IF(N133="","Check - marked paid, no date","OK"))))))</f>
        <v>0</v>
      </c>
    </row>
    <row r="134" spans="1:30">
      <c r="A134" s="28">
        <f>IF(B134="","",PayrollPrefix&amp;TEXT(ROW()-4,"0000"))</f>
        <v>0</v>
      </c>
      <c r="E134" s="15">
        <f>IF(D134="","",IFERROR(INDEX(Staff!$B$5:$B$44,MATCH(D134,Staff!$A$5:$A$44,0)),"Not in Staff"))</f>
        <v>0</v>
      </c>
      <c r="Q134" s="15">
        <f>IF(B134="","",TEXT(B134,"yyyy-mm"))</f>
        <v>0</v>
      </c>
      <c r="R134" s="25">
        <f>IF(B134="","",WEEKNUM(B134,2))</f>
        <v>0</v>
      </c>
      <c r="S134" s="26">
        <f>IF(B134="","",IF(G134&lt;&gt;"",G134,IFERROR(IF(INDEX(Staff!$P$5:$P$44,MATCH(D134,Staff!$A$5:$A$44,0))="",DefaultHourly,INDEX(Staff!$P$5:$P$44,MATCH(D134,Staff!$A$5:$A$44,0))),DefaultHourly)))</f>
        <v>0</v>
      </c>
      <c r="T134" s="26">
        <f>IF(B134="","",ROUND(IF(F134="",0,F134)*S134,2))</f>
        <v>0</v>
      </c>
      <c r="U134" s="26">
        <f>IF(B134="","",ROUND(T134+IF(H134="",0,H134)+IF(J134="",0,J134)+IF(K134="",0,K134),2))</f>
        <v>0</v>
      </c>
      <c r="V134" s="26">
        <f>IF(B134="","",ROUND(U134-IF(L134="",0,L134),2))</f>
        <v>0</v>
      </c>
      <c r="W134" s="26">
        <f>IF(B134="","",ROUND(V134+IF(I134="",0,I134),2))</f>
        <v>0</v>
      </c>
      <c r="X134" s="26">
        <f>IF(B134="","",IF(IFERROR(INDEX(Staff!$E$5:$E$44,MATCH(D134,Staff!$A$5:$A$44,0))&amp;"","")="Self-employed",0,IF(IFERROR(INDEX(Staff!$E$5:$E$44,MATCH(D134,Staff!$A$5:$A$44,0))&amp;"","")="Chair renter",0,ROUND(U134*PayrollBurden,2))))</f>
        <v>0</v>
      </c>
      <c r="Y134" s="26">
        <f>IF(B134="","",ROUND(U134+X134,2))</f>
        <v>0</v>
      </c>
      <c r="Z134" s="26">
        <f>IF(B134="","",ROUND(SUMIFS(Commissions!$X$5:$X$244,Commissions!$C$5:$C$244,D134,Commissions!$B$5:$B$244,Q134),2))</f>
        <v>0</v>
      </c>
      <c r="AA134" s="26">
        <f>IF(B134="","",ROUND(SUMIFS($H$5:$H$364,$D$5:$D$364,D134,$Q$5:$Q$364,Q134),2))</f>
        <v>0</v>
      </c>
      <c r="AB134" s="26">
        <f>IF(B134="","",ROUND(Z134-AA134,2))</f>
        <v>0</v>
      </c>
      <c r="AC134" s="26">
        <f>IF(B134="","",IF(IF(F134="",0,F134)=0,"",ROUND(Y134/F134,2)))</f>
        <v>0</v>
      </c>
      <c r="AD134" s="39">
        <f>IF(B134="","",IF(D134="","Add - who is this run for?",IF(IF(F134="",H134="",FALSE),"Add - no hours and no commission",IF(AB134&lt;-0.004,"Check - more commission paid than earned",IF(M134&lt;&gt;"Yes","Due - not paid yet",IF(N134="","Check - marked paid, no date","OK"))))))</f>
        <v>0</v>
      </c>
    </row>
    <row r="135" spans="1:30">
      <c r="A135" s="28">
        <f>IF(B135="","",PayrollPrefix&amp;TEXT(ROW()-4,"0000"))</f>
        <v>0</v>
      </c>
      <c r="E135" s="15">
        <f>IF(D135="","",IFERROR(INDEX(Staff!$B$5:$B$44,MATCH(D135,Staff!$A$5:$A$44,0)),"Not in Staff"))</f>
        <v>0</v>
      </c>
      <c r="Q135" s="15">
        <f>IF(B135="","",TEXT(B135,"yyyy-mm"))</f>
        <v>0</v>
      </c>
      <c r="R135" s="25">
        <f>IF(B135="","",WEEKNUM(B135,2))</f>
        <v>0</v>
      </c>
      <c r="S135" s="26">
        <f>IF(B135="","",IF(G135&lt;&gt;"",G135,IFERROR(IF(INDEX(Staff!$P$5:$P$44,MATCH(D135,Staff!$A$5:$A$44,0))="",DefaultHourly,INDEX(Staff!$P$5:$P$44,MATCH(D135,Staff!$A$5:$A$44,0))),DefaultHourly)))</f>
        <v>0</v>
      </c>
      <c r="T135" s="26">
        <f>IF(B135="","",ROUND(IF(F135="",0,F135)*S135,2))</f>
        <v>0</v>
      </c>
      <c r="U135" s="26">
        <f>IF(B135="","",ROUND(T135+IF(H135="",0,H135)+IF(J135="",0,J135)+IF(K135="",0,K135),2))</f>
        <v>0</v>
      </c>
      <c r="V135" s="26">
        <f>IF(B135="","",ROUND(U135-IF(L135="",0,L135),2))</f>
        <v>0</v>
      </c>
      <c r="W135" s="26">
        <f>IF(B135="","",ROUND(V135+IF(I135="",0,I135),2))</f>
        <v>0</v>
      </c>
      <c r="X135" s="26">
        <f>IF(B135="","",IF(IFERROR(INDEX(Staff!$E$5:$E$44,MATCH(D135,Staff!$A$5:$A$44,0))&amp;"","")="Self-employed",0,IF(IFERROR(INDEX(Staff!$E$5:$E$44,MATCH(D135,Staff!$A$5:$A$44,0))&amp;"","")="Chair renter",0,ROUND(U135*PayrollBurden,2))))</f>
        <v>0</v>
      </c>
      <c r="Y135" s="26">
        <f>IF(B135="","",ROUND(U135+X135,2))</f>
        <v>0</v>
      </c>
      <c r="Z135" s="26">
        <f>IF(B135="","",ROUND(SUMIFS(Commissions!$X$5:$X$244,Commissions!$C$5:$C$244,D135,Commissions!$B$5:$B$244,Q135),2))</f>
        <v>0</v>
      </c>
      <c r="AA135" s="26">
        <f>IF(B135="","",ROUND(SUMIFS($H$5:$H$364,$D$5:$D$364,D135,$Q$5:$Q$364,Q135),2))</f>
        <v>0</v>
      </c>
      <c r="AB135" s="26">
        <f>IF(B135="","",ROUND(Z135-AA135,2))</f>
        <v>0</v>
      </c>
      <c r="AC135" s="26">
        <f>IF(B135="","",IF(IF(F135="",0,F135)=0,"",ROUND(Y135/F135,2)))</f>
        <v>0</v>
      </c>
      <c r="AD135" s="39">
        <f>IF(B135="","",IF(D135="","Add - who is this run for?",IF(IF(F135="",H135="",FALSE),"Add - no hours and no commission",IF(AB135&lt;-0.004,"Check - more commission paid than earned",IF(M135&lt;&gt;"Yes","Due - not paid yet",IF(N135="","Check - marked paid, no date","OK"))))))</f>
        <v>0</v>
      </c>
    </row>
    <row r="136" spans="1:30">
      <c r="A136" s="28">
        <f>IF(B136="","",PayrollPrefix&amp;TEXT(ROW()-4,"0000"))</f>
        <v>0</v>
      </c>
      <c r="E136" s="15">
        <f>IF(D136="","",IFERROR(INDEX(Staff!$B$5:$B$44,MATCH(D136,Staff!$A$5:$A$44,0)),"Not in Staff"))</f>
        <v>0</v>
      </c>
      <c r="Q136" s="15">
        <f>IF(B136="","",TEXT(B136,"yyyy-mm"))</f>
        <v>0</v>
      </c>
      <c r="R136" s="25">
        <f>IF(B136="","",WEEKNUM(B136,2))</f>
        <v>0</v>
      </c>
      <c r="S136" s="26">
        <f>IF(B136="","",IF(G136&lt;&gt;"",G136,IFERROR(IF(INDEX(Staff!$P$5:$P$44,MATCH(D136,Staff!$A$5:$A$44,0))="",DefaultHourly,INDEX(Staff!$P$5:$P$44,MATCH(D136,Staff!$A$5:$A$44,0))),DefaultHourly)))</f>
        <v>0</v>
      </c>
      <c r="T136" s="26">
        <f>IF(B136="","",ROUND(IF(F136="",0,F136)*S136,2))</f>
        <v>0</v>
      </c>
      <c r="U136" s="26">
        <f>IF(B136="","",ROUND(T136+IF(H136="",0,H136)+IF(J136="",0,J136)+IF(K136="",0,K136),2))</f>
        <v>0</v>
      </c>
      <c r="V136" s="26">
        <f>IF(B136="","",ROUND(U136-IF(L136="",0,L136),2))</f>
        <v>0</v>
      </c>
      <c r="W136" s="26">
        <f>IF(B136="","",ROUND(V136+IF(I136="",0,I136),2))</f>
        <v>0</v>
      </c>
      <c r="X136" s="26">
        <f>IF(B136="","",IF(IFERROR(INDEX(Staff!$E$5:$E$44,MATCH(D136,Staff!$A$5:$A$44,0))&amp;"","")="Self-employed",0,IF(IFERROR(INDEX(Staff!$E$5:$E$44,MATCH(D136,Staff!$A$5:$A$44,0))&amp;"","")="Chair renter",0,ROUND(U136*PayrollBurden,2))))</f>
        <v>0</v>
      </c>
      <c r="Y136" s="26">
        <f>IF(B136="","",ROUND(U136+X136,2))</f>
        <v>0</v>
      </c>
      <c r="Z136" s="26">
        <f>IF(B136="","",ROUND(SUMIFS(Commissions!$X$5:$X$244,Commissions!$C$5:$C$244,D136,Commissions!$B$5:$B$244,Q136),2))</f>
        <v>0</v>
      </c>
      <c r="AA136" s="26">
        <f>IF(B136="","",ROUND(SUMIFS($H$5:$H$364,$D$5:$D$364,D136,$Q$5:$Q$364,Q136),2))</f>
        <v>0</v>
      </c>
      <c r="AB136" s="26">
        <f>IF(B136="","",ROUND(Z136-AA136,2))</f>
        <v>0</v>
      </c>
      <c r="AC136" s="26">
        <f>IF(B136="","",IF(IF(F136="",0,F136)=0,"",ROUND(Y136/F136,2)))</f>
        <v>0</v>
      </c>
      <c r="AD136" s="39">
        <f>IF(B136="","",IF(D136="","Add - who is this run for?",IF(IF(F136="",H136="",FALSE),"Add - no hours and no commission",IF(AB136&lt;-0.004,"Check - more commission paid than earned",IF(M136&lt;&gt;"Yes","Due - not paid yet",IF(N136="","Check - marked paid, no date","OK"))))))</f>
        <v>0</v>
      </c>
    </row>
    <row r="137" spans="1:30">
      <c r="A137" s="28">
        <f>IF(B137="","",PayrollPrefix&amp;TEXT(ROW()-4,"0000"))</f>
        <v>0</v>
      </c>
      <c r="E137" s="15">
        <f>IF(D137="","",IFERROR(INDEX(Staff!$B$5:$B$44,MATCH(D137,Staff!$A$5:$A$44,0)),"Not in Staff"))</f>
        <v>0</v>
      </c>
      <c r="Q137" s="15">
        <f>IF(B137="","",TEXT(B137,"yyyy-mm"))</f>
        <v>0</v>
      </c>
      <c r="R137" s="25">
        <f>IF(B137="","",WEEKNUM(B137,2))</f>
        <v>0</v>
      </c>
      <c r="S137" s="26">
        <f>IF(B137="","",IF(G137&lt;&gt;"",G137,IFERROR(IF(INDEX(Staff!$P$5:$P$44,MATCH(D137,Staff!$A$5:$A$44,0))="",DefaultHourly,INDEX(Staff!$P$5:$P$44,MATCH(D137,Staff!$A$5:$A$44,0))),DefaultHourly)))</f>
        <v>0</v>
      </c>
      <c r="T137" s="26">
        <f>IF(B137="","",ROUND(IF(F137="",0,F137)*S137,2))</f>
        <v>0</v>
      </c>
      <c r="U137" s="26">
        <f>IF(B137="","",ROUND(T137+IF(H137="",0,H137)+IF(J137="",0,J137)+IF(K137="",0,K137),2))</f>
        <v>0</v>
      </c>
      <c r="V137" s="26">
        <f>IF(B137="","",ROUND(U137-IF(L137="",0,L137),2))</f>
        <v>0</v>
      </c>
      <c r="W137" s="26">
        <f>IF(B137="","",ROUND(V137+IF(I137="",0,I137),2))</f>
        <v>0</v>
      </c>
      <c r="X137" s="26">
        <f>IF(B137="","",IF(IFERROR(INDEX(Staff!$E$5:$E$44,MATCH(D137,Staff!$A$5:$A$44,0))&amp;"","")="Self-employed",0,IF(IFERROR(INDEX(Staff!$E$5:$E$44,MATCH(D137,Staff!$A$5:$A$44,0))&amp;"","")="Chair renter",0,ROUND(U137*PayrollBurden,2))))</f>
        <v>0</v>
      </c>
      <c r="Y137" s="26">
        <f>IF(B137="","",ROUND(U137+X137,2))</f>
        <v>0</v>
      </c>
      <c r="Z137" s="26">
        <f>IF(B137="","",ROUND(SUMIFS(Commissions!$X$5:$X$244,Commissions!$C$5:$C$244,D137,Commissions!$B$5:$B$244,Q137),2))</f>
        <v>0</v>
      </c>
      <c r="AA137" s="26">
        <f>IF(B137="","",ROUND(SUMIFS($H$5:$H$364,$D$5:$D$364,D137,$Q$5:$Q$364,Q137),2))</f>
        <v>0</v>
      </c>
      <c r="AB137" s="26">
        <f>IF(B137="","",ROUND(Z137-AA137,2))</f>
        <v>0</v>
      </c>
      <c r="AC137" s="26">
        <f>IF(B137="","",IF(IF(F137="",0,F137)=0,"",ROUND(Y137/F137,2)))</f>
        <v>0</v>
      </c>
      <c r="AD137" s="39">
        <f>IF(B137="","",IF(D137="","Add - who is this run for?",IF(IF(F137="",H137="",FALSE),"Add - no hours and no commission",IF(AB137&lt;-0.004,"Check - more commission paid than earned",IF(M137&lt;&gt;"Yes","Due - not paid yet",IF(N137="","Check - marked paid, no date","OK"))))))</f>
        <v>0</v>
      </c>
    </row>
    <row r="138" spans="1:30">
      <c r="A138" s="28">
        <f>IF(B138="","",PayrollPrefix&amp;TEXT(ROW()-4,"0000"))</f>
        <v>0</v>
      </c>
      <c r="E138" s="15">
        <f>IF(D138="","",IFERROR(INDEX(Staff!$B$5:$B$44,MATCH(D138,Staff!$A$5:$A$44,0)),"Not in Staff"))</f>
        <v>0</v>
      </c>
      <c r="Q138" s="15">
        <f>IF(B138="","",TEXT(B138,"yyyy-mm"))</f>
        <v>0</v>
      </c>
      <c r="R138" s="25">
        <f>IF(B138="","",WEEKNUM(B138,2))</f>
        <v>0</v>
      </c>
      <c r="S138" s="26">
        <f>IF(B138="","",IF(G138&lt;&gt;"",G138,IFERROR(IF(INDEX(Staff!$P$5:$P$44,MATCH(D138,Staff!$A$5:$A$44,0))="",DefaultHourly,INDEX(Staff!$P$5:$P$44,MATCH(D138,Staff!$A$5:$A$44,0))),DefaultHourly)))</f>
        <v>0</v>
      </c>
      <c r="T138" s="26">
        <f>IF(B138="","",ROUND(IF(F138="",0,F138)*S138,2))</f>
        <v>0</v>
      </c>
      <c r="U138" s="26">
        <f>IF(B138="","",ROUND(T138+IF(H138="",0,H138)+IF(J138="",0,J138)+IF(K138="",0,K138),2))</f>
        <v>0</v>
      </c>
      <c r="V138" s="26">
        <f>IF(B138="","",ROUND(U138-IF(L138="",0,L138),2))</f>
        <v>0</v>
      </c>
      <c r="W138" s="26">
        <f>IF(B138="","",ROUND(V138+IF(I138="",0,I138),2))</f>
        <v>0</v>
      </c>
      <c r="X138" s="26">
        <f>IF(B138="","",IF(IFERROR(INDEX(Staff!$E$5:$E$44,MATCH(D138,Staff!$A$5:$A$44,0))&amp;"","")="Self-employed",0,IF(IFERROR(INDEX(Staff!$E$5:$E$44,MATCH(D138,Staff!$A$5:$A$44,0))&amp;"","")="Chair renter",0,ROUND(U138*PayrollBurden,2))))</f>
        <v>0</v>
      </c>
      <c r="Y138" s="26">
        <f>IF(B138="","",ROUND(U138+X138,2))</f>
        <v>0</v>
      </c>
      <c r="Z138" s="26">
        <f>IF(B138="","",ROUND(SUMIFS(Commissions!$X$5:$X$244,Commissions!$C$5:$C$244,D138,Commissions!$B$5:$B$244,Q138),2))</f>
        <v>0</v>
      </c>
      <c r="AA138" s="26">
        <f>IF(B138="","",ROUND(SUMIFS($H$5:$H$364,$D$5:$D$364,D138,$Q$5:$Q$364,Q138),2))</f>
        <v>0</v>
      </c>
      <c r="AB138" s="26">
        <f>IF(B138="","",ROUND(Z138-AA138,2))</f>
        <v>0</v>
      </c>
      <c r="AC138" s="26">
        <f>IF(B138="","",IF(IF(F138="",0,F138)=0,"",ROUND(Y138/F138,2)))</f>
        <v>0</v>
      </c>
      <c r="AD138" s="39">
        <f>IF(B138="","",IF(D138="","Add - who is this run for?",IF(IF(F138="",H138="",FALSE),"Add - no hours and no commission",IF(AB138&lt;-0.004,"Check - more commission paid than earned",IF(M138&lt;&gt;"Yes","Due - not paid yet",IF(N138="","Check - marked paid, no date","OK"))))))</f>
        <v>0</v>
      </c>
    </row>
    <row r="139" spans="1:30">
      <c r="A139" s="28">
        <f>IF(B139="","",PayrollPrefix&amp;TEXT(ROW()-4,"0000"))</f>
        <v>0</v>
      </c>
      <c r="E139" s="15">
        <f>IF(D139="","",IFERROR(INDEX(Staff!$B$5:$B$44,MATCH(D139,Staff!$A$5:$A$44,0)),"Not in Staff"))</f>
        <v>0</v>
      </c>
      <c r="Q139" s="15">
        <f>IF(B139="","",TEXT(B139,"yyyy-mm"))</f>
        <v>0</v>
      </c>
      <c r="R139" s="25">
        <f>IF(B139="","",WEEKNUM(B139,2))</f>
        <v>0</v>
      </c>
      <c r="S139" s="26">
        <f>IF(B139="","",IF(G139&lt;&gt;"",G139,IFERROR(IF(INDEX(Staff!$P$5:$P$44,MATCH(D139,Staff!$A$5:$A$44,0))="",DefaultHourly,INDEX(Staff!$P$5:$P$44,MATCH(D139,Staff!$A$5:$A$44,0))),DefaultHourly)))</f>
        <v>0</v>
      </c>
      <c r="T139" s="26">
        <f>IF(B139="","",ROUND(IF(F139="",0,F139)*S139,2))</f>
        <v>0</v>
      </c>
      <c r="U139" s="26">
        <f>IF(B139="","",ROUND(T139+IF(H139="",0,H139)+IF(J139="",0,J139)+IF(K139="",0,K139),2))</f>
        <v>0</v>
      </c>
      <c r="V139" s="26">
        <f>IF(B139="","",ROUND(U139-IF(L139="",0,L139),2))</f>
        <v>0</v>
      </c>
      <c r="W139" s="26">
        <f>IF(B139="","",ROUND(V139+IF(I139="",0,I139),2))</f>
        <v>0</v>
      </c>
      <c r="X139" s="26">
        <f>IF(B139="","",IF(IFERROR(INDEX(Staff!$E$5:$E$44,MATCH(D139,Staff!$A$5:$A$44,0))&amp;"","")="Self-employed",0,IF(IFERROR(INDEX(Staff!$E$5:$E$44,MATCH(D139,Staff!$A$5:$A$44,0))&amp;"","")="Chair renter",0,ROUND(U139*PayrollBurden,2))))</f>
        <v>0</v>
      </c>
      <c r="Y139" s="26">
        <f>IF(B139="","",ROUND(U139+X139,2))</f>
        <v>0</v>
      </c>
      <c r="Z139" s="26">
        <f>IF(B139="","",ROUND(SUMIFS(Commissions!$X$5:$X$244,Commissions!$C$5:$C$244,D139,Commissions!$B$5:$B$244,Q139),2))</f>
        <v>0</v>
      </c>
      <c r="AA139" s="26">
        <f>IF(B139="","",ROUND(SUMIFS($H$5:$H$364,$D$5:$D$364,D139,$Q$5:$Q$364,Q139),2))</f>
        <v>0</v>
      </c>
      <c r="AB139" s="26">
        <f>IF(B139="","",ROUND(Z139-AA139,2))</f>
        <v>0</v>
      </c>
      <c r="AC139" s="26">
        <f>IF(B139="","",IF(IF(F139="",0,F139)=0,"",ROUND(Y139/F139,2)))</f>
        <v>0</v>
      </c>
      <c r="AD139" s="39">
        <f>IF(B139="","",IF(D139="","Add - who is this run for?",IF(IF(F139="",H139="",FALSE),"Add - no hours and no commission",IF(AB139&lt;-0.004,"Check - more commission paid than earned",IF(M139&lt;&gt;"Yes","Due - not paid yet",IF(N139="","Check - marked paid, no date","OK"))))))</f>
        <v>0</v>
      </c>
    </row>
    <row r="140" spans="1:30">
      <c r="A140" s="28">
        <f>IF(B140="","",PayrollPrefix&amp;TEXT(ROW()-4,"0000"))</f>
        <v>0</v>
      </c>
      <c r="E140" s="15">
        <f>IF(D140="","",IFERROR(INDEX(Staff!$B$5:$B$44,MATCH(D140,Staff!$A$5:$A$44,0)),"Not in Staff"))</f>
        <v>0</v>
      </c>
      <c r="Q140" s="15">
        <f>IF(B140="","",TEXT(B140,"yyyy-mm"))</f>
        <v>0</v>
      </c>
      <c r="R140" s="25">
        <f>IF(B140="","",WEEKNUM(B140,2))</f>
        <v>0</v>
      </c>
      <c r="S140" s="26">
        <f>IF(B140="","",IF(G140&lt;&gt;"",G140,IFERROR(IF(INDEX(Staff!$P$5:$P$44,MATCH(D140,Staff!$A$5:$A$44,0))="",DefaultHourly,INDEX(Staff!$P$5:$P$44,MATCH(D140,Staff!$A$5:$A$44,0))),DefaultHourly)))</f>
        <v>0</v>
      </c>
      <c r="T140" s="26">
        <f>IF(B140="","",ROUND(IF(F140="",0,F140)*S140,2))</f>
        <v>0</v>
      </c>
      <c r="U140" s="26">
        <f>IF(B140="","",ROUND(T140+IF(H140="",0,H140)+IF(J140="",0,J140)+IF(K140="",0,K140),2))</f>
        <v>0</v>
      </c>
      <c r="V140" s="26">
        <f>IF(B140="","",ROUND(U140-IF(L140="",0,L140),2))</f>
        <v>0</v>
      </c>
      <c r="W140" s="26">
        <f>IF(B140="","",ROUND(V140+IF(I140="",0,I140),2))</f>
        <v>0</v>
      </c>
      <c r="X140" s="26">
        <f>IF(B140="","",IF(IFERROR(INDEX(Staff!$E$5:$E$44,MATCH(D140,Staff!$A$5:$A$44,0))&amp;"","")="Self-employed",0,IF(IFERROR(INDEX(Staff!$E$5:$E$44,MATCH(D140,Staff!$A$5:$A$44,0))&amp;"","")="Chair renter",0,ROUND(U140*PayrollBurden,2))))</f>
        <v>0</v>
      </c>
      <c r="Y140" s="26">
        <f>IF(B140="","",ROUND(U140+X140,2))</f>
        <v>0</v>
      </c>
      <c r="Z140" s="26">
        <f>IF(B140="","",ROUND(SUMIFS(Commissions!$X$5:$X$244,Commissions!$C$5:$C$244,D140,Commissions!$B$5:$B$244,Q140),2))</f>
        <v>0</v>
      </c>
      <c r="AA140" s="26">
        <f>IF(B140="","",ROUND(SUMIFS($H$5:$H$364,$D$5:$D$364,D140,$Q$5:$Q$364,Q140),2))</f>
        <v>0</v>
      </c>
      <c r="AB140" s="26">
        <f>IF(B140="","",ROUND(Z140-AA140,2))</f>
        <v>0</v>
      </c>
      <c r="AC140" s="26">
        <f>IF(B140="","",IF(IF(F140="",0,F140)=0,"",ROUND(Y140/F140,2)))</f>
        <v>0</v>
      </c>
      <c r="AD140" s="39">
        <f>IF(B140="","",IF(D140="","Add - who is this run for?",IF(IF(F140="",H140="",FALSE),"Add - no hours and no commission",IF(AB140&lt;-0.004,"Check - more commission paid than earned",IF(M140&lt;&gt;"Yes","Due - not paid yet",IF(N140="","Check - marked paid, no date","OK"))))))</f>
        <v>0</v>
      </c>
    </row>
    <row r="141" spans="1:30">
      <c r="A141" s="28">
        <f>IF(B141="","",PayrollPrefix&amp;TEXT(ROW()-4,"0000"))</f>
        <v>0</v>
      </c>
      <c r="E141" s="15">
        <f>IF(D141="","",IFERROR(INDEX(Staff!$B$5:$B$44,MATCH(D141,Staff!$A$5:$A$44,0)),"Not in Staff"))</f>
        <v>0</v>
      </c>
      <c r="Q141" s="15">
        <f>IF(B141="","",TEXT(B141,"yyyy-mm"))</f>
        <v>0</v>
      </c>
      <c r="R141" s="25">
        <f>IF(B141="","",WEEKNUM(B141,2))</f>
        <v>0</v>
      </c>
      <c r="S141" s="26">
        <f>IF(B141="","",IF(G141&lt;&gt;"",G141,IFERROR(IF(INDEX(Staff!$P$5:$P$44,MATCH(D141,Staff!$A$5:$A$44,0))="",DefaultHourly,INDEX(Staff!$P$5:$P$44,MATCH(D141,Staff!$A$5:$A$44,0))),DefaultHourly)))</f>
        <v>0</v>
      </c>
      <c r="T141" s="26">
        <f>IF(B141="","",ROUND(IF(F141="",0,F141)*S141,2))</f>
        <v>0</v>
      </c>
      <c r="U141" s="26">
        <f>IF(B141="","",ROUND(T141+IF(H141="",0,H141)+IF(J141="",0,J141)+IF(K141="",0,K141),2))</f>
        <v>0</v>
      </c>
      <c r="V141" s="26">
        <f>IF(B141="","",ROUND(U141-IF(L141="",0,L141),2))</f>
        <v>0</v>
      </c>
      <c r="W141" s="26">
        <f>IF(B141="","",ROUND(V141+IF(I141="",0,I141),2))</f>
        <v>0</v>
      </c>
      <c r="X141" s="26">
        <f>IF(B141="","",IF(IFERROR(INDEX(Staff!$E$5:$E$44,MATCH(D141,Staff!$A$5:$A$44,0))&amp;"","")="Self-employed",0,IF(IFERROR(INDEX(Staff!$E$5:$E$44,MATCH(D141,Staff!$A$5:$A$44,0))&amp;"","")="Chair renter",0,ROUND(U141*PayrollBurden,2))))</f>
        <v>0</v>
      </c>
      <c r="Y141" s="26">
        <f>IF(B141="","",ROUND(U141+X141,2))</f>
        <v>0</v>
      </c>
      <c r="Z141" s="26">
        <f>IF(B141="","",ROUND(SUMIFS(Commissions!$X$5:$X$244,Commissions!$C$5:$C$244,D141,Commissions!$B$5:$B$244,Q141),2))</f>
        <v>0</v>
      </c>
      <c r="AA141" s="26">
        <f>IF(B141="","",ROUND(SUMIFS($H$5:$H$364,$D$5:$D$364,D141,$Q$5:$Q$364,Q141),2))</f>
        <v>0</v>
      </c>
      <c r="AB141" s="26">
        <f>IF(B141="","",ROUND(Z141-AA141,2))</f>
        <v>0</v>
      </c>
      <c r="AC141" s="26">
        <f>IF(B141="","",IF(IF(F141="",0,F141)=0,"",ROUND(Y141/F141,2)))</f>
        <v>0</v>
      </c>
      <c r="AD141" s="39">
        <f>IF(B141="","",IF(D141="","Add - who is this run for?",IF(IF(F141="",H141="",FALSE),"Add - no hours and no commission",IF(AB141&lt;-0.004,"Check - more commission paid than earned",IF(M141&lt;&gt;"Yes","Due - not paid yet",IF(N141="","Check - marked paid, no date","OK"))))))</f>
        <v>0</v>
      </c>
    </row>
    <row r="142" spans="1:30">
      <c r="A142" s="28">
        <f>IF(B142="","",PayrollPrefix&amp;TEXT(ROW()-4,"0000"))</f>
        <v>0</v>
      </c>
      <c r="E142" s="15">
        <f>IF(D142="","",IFERROR(INDEX(Staff!$B$5:$B$44,MATCH(D142,Staff!$A$5:$A$44,0)),"Not in Staff"))</f>
        <v>0</v>
      </c>
      <c r="Q142" s="15">
        <f>IF(B142="","",TEXT(B142,"yyyy-mm"))</f>
        <v>0</v>
      </c>
      <c r="R142" s="25">
        <f>IF(B142="","",WEEKNUM(B142,2))</f>
        <v>0</v>
      </c>
      <c r="S142" s="26">
        <f>IF(B142="","",IF(G142&lt;&gt;"",G142,IFERROR(IF(INDEX(Staff!$P$5:$P$44,MATCH(D142,Staff!$A$5:$A$44,0))="",DefaultHourly,INDEX(Staff!$P$5:$P$44,MATCH(D142,Staff!$A$5:$A$44,0))),DefaultHourly)))</f>
        <v>0</v>
      </c>
      <c r="T142" s="26">
        <f>IF(B142="","",ROUND(IF(F142="",0,F142)*S142,2))</f>
        <v>0</v>
      </c>
      <c r="U142" s="26">
        <f>IF(B142="","",ROUND(T142+IF(H142="",0,H142)+IF(J142="",0,J142)+IF(K142="",0,K142),2))</f>
        <v>0</v>
      </c>
      <c r="V142" s="26">
        <f>IF(B142="","",ROUND(U142-IF(L142="",0,L142),2))</f>
        <v>0</v>
      </c>
      <c r="W142" s="26">
        <f>IF(B142="","",ROUND(V142+IF(I142="",0,I142),2))</f>
        <v>0</v>
      </c>
      <c r="X142" s="26">
        <f>IF(B142="","",IF(IFERROR(INDEX(Staff!$E$5:$E$44,MATCH(D142,Staff!$A$5:$A$44,0))&amp;"","")="Self-employed",0,IF(IFERROR(INDEX(Staff!$E$5:$E$44,MATCH(D142,Staff!$A$5:$A$44,0))&amp;"","")="Chair renter",0,ROUND(U142*PayrollBurden,2))))</f>
        <v>0</v>
      </c>
      <c r="Y142" s="26">
        <f>IF(B142="","",ROUND(U142+X142,2))</f>
        <v>0</v>
      </c>
      <c r="Z142" s="26">
        <f>IF(B142="","",ROUND(SUMIFS(Commissions!$X$5:$X$244,Commissions!$C$5:$C$244,D142,Commissions!$B$5:$B$244,Q142),2))</f>
        <v>0</v>
      </c>
      <c r="AA142" s="26">
        <f>IF(B142="","",ROUND(SUMIFS($H$5:$H$364,$D$5:$D$364,D142,$Q$5:$Q$364,Q142),2))</f>
        <v>0</v>
      </c>
      <c r="AB142" s="26">
        <f>IF(B142="","",ROUND(Z142-AA142,2))</f>
        <v>0</v>
      </c>
      <c r="AC142" s="26">
        <f>IF(B142="","",IF(IF(F142="",0,F142)=0,"",ROUND(Y142/F142,2)))</f>
        <v>0</v>
      </c>
      <c r="AD142" s="39">
        <f>IF(B142="","",IF(D142="","Add - who is this run for?",IF(IF(F142="",H142="",FALSE),"Add - no hours and no commission",IF(AB142&lt;-0.004,"Check - more commission paid than earned",IF(M142&lt;&gt;"Yes","Due - not paid yet",IF(N142="","Check - marked paid, no date","OK"))))))</f>
        <v>0</v>
      </c>
    </row>
    <row r="143" spans="1:30">
      <c r="A143" s="28">
        <f>IF(B143="","",PayrollPrefix&amp;TEXT(ROW()-4,"0000"))</f>
        <v>0</v>
      </c>
      <c r="E143" s="15">
        <f>IF(D143="","",IFERROR(INDEX(Staff!$B$5:$B$44,MATCH(D143,Staff!$A$5:$A$44,0)),"Not in Staff"))</f>
        <v>0</v>
      </c>
      <c r="Q143" s="15">
        <f>IF(B143="","",TEXT(B143,"yyyy-mm"))</f>
        <v>0</v>
      </c>
      <c r="R143" s="25">
        <f>IF(B143="","",WEEKNUM(B143,2))</f>
        <v>0</v>
      </c>
      <c r="S143" s="26">
        <f>IF(B143="","",IF(G143&lt;&gt;"",G143,IFERROR(IF(INDEX(Staff!$P$5:$P$44,MATCH(D143,Staff!$A$5:$A$44,0))="",DefaultHourly,INDEX(Staff!$P$5:$P$44,MATCH(D143,Staff!$A$5:$A$44,0))),DefaultHourly)))</f>
        <v>0</v>
      </c>
      <c r="T143" s="26">
        <f>IF(B143="","",ROUND(IF(F143="",0,F143)*S143,2))</f>
        <v>0</v>
      </c>
      <c r="U143" s="26">
        <f>IF(B143="","",ROUND(T143+IF(H143="",0,H143)+IF(J143="",0,J143)+IF(K143="",0,K143),2))</f>
        <v>0</v>
      </c>
      <c r="V143" s="26">
        <f>IF(B143="","",ROUND(U143-IF(L143="",0,L143),2))</f>
        <v>0</v>
      </c>
      <c r="W143" s="26">
        <f>IF(B143="","",ROUND(V143+IF(I143="",0,I143),2))</f>
        <v>0</v>
      </c>
      <c r="X143" s="26">
        <f>IF(B143="","",IF(IFERROR(INDEX(Staff!$E$5:$E$44,MATCH(D143,Staff!$A$5:$A$44,0))&amp;"","")="Self-employed",0,IF(IFERROR(INDEX(Staff!$E$5:$E$44,MATCH(D143,Staff!$A$5:$A$44,0))&amp;"","")="Chair renter",0,ROUND(U143*PayrollBurden,2))))</f>
        <v>0</v>
      </c>
      <c r="Y143" s="26">
        <f>IF(B143="","",ROUND(U143+X143,2))</f>
        <v>0</v>
      </c>
      <c r="Z143" s="26">
        <f>IF(B143="","",ROUND(SUMIFS(Commissions!$X$5:$X$244,Commissions!$C$5:$C$244,D143,Commissions!$B$5:$B$244,Q143),2))</f>
        <v>0</v>
      </c>
      <c r="AA143" s="26">
        <f>IF(B143="","",ROUND(SUMIFS($H$5:$H$364,$D$5:$D$364,D143,$Q$5:$Q$364,Q143),2))</f>
        <v>0</v>
      </c>
      <c r="AB143" s="26">
        <f>IF(B143="","",ROUND(Z143-AA143,2))</f>
        <v>0</v>
      </c>
      <c r="AC143" s="26">
        <f>IF(B143="","",IF(IF(F143="",0,F143)=0,"",ROUND(Y143/F143,2)))</f>
        <v>0</v>
      </c>
      <c r="AD143" s="39">
        <f>IF(B143="","",IF(D143="","Add - who is this run for?",IF(IF(F143="",H143="",FALSE),"Add - no hours and no commission",IF(AB143&lt;-0.004,"Check - more commission paid than earned",IF(M143&lt;&gt;"Yes","Due - not paid yet",IF(N143="","Check - marked paid, no date","OK"))))))</f>
        <v>0</v>
      </c>
    </row>
    <row r="144" spans="1:30">
      <c r="A144" s="28">
        <f>IF(B144="","",PayrollPrefix&amp;TEXT(ROW()-4,"0000"))</f>
        <v>0</v>
      </c>
      <c r="E144" s="15">
        <f>IF(D144="","",IFERROR(INDEX(Staff!$B$5:$B$44,MATCH(D144,Staff!$A$5:$A$44,0)),"Not in Staff"))</f>
        <v>0</v>
      </c>
      <c r="Q144" s="15">
        <f>IF(B144="","",TEXT(B144,"yyyy-mm"))</f>
        <v>0</v>
      </c>
      <c r="R144" s="25">
        <f>IF(B144="","",WEEKNUM(B144,2))</f>
        <v>0</v>
      </c>
      <c r="S144" s="26">
        <f>IF(B144="","",IF(G144&lt;&gt;"",G144,IFERROR(IF(INDEX(Staff!$P$5:$P$44,MATCH(D144,Staff!$A$5:$A$44,0))="",DefaultHourly,INDEX(Staff!$P$5:$P$44,MATCH(D144,Staff!$A$5:$A$44,0))),DefaultHourly)))</f>
        <v>0</v>
      </c>
      <c r="T144" s="26">
        <f>IF(B144="","",ROUND(IF(F144="",0,F144)*S144,2))</f>
        <v>0</v>
      </c>
      <c r="U144" s="26">
        <f>IF(B144="","",ROUND(T144+IF(H144="",0,H144)+IF(J144="",0,J144)+IF(K144="",0,K144),2))</f>
        <v>0</v>
      </c>
      <c r="V144" s="26">
        <f>IF(B144="","",ROUND(U144-IF(L144="",0,L144),2))</f>
        <v>0</v>
      </c>
      <c r="W144" s="26">
        <f>IF(B144="","",ROUND(V144+IF(I144="",0,I144),2))</f>
        <v>0</v>
      </c>
      <c r="X144" s="26">
        <f>IF(B144="","",IF(IFERROR(INDEX(Staff!$E$5:$E$44,MATCH(D144,Staff!$A$5:$A$44,0))&amp;"","")="Self-employed",0,IF(IFERROR(INDEX(Staff!$E$5:$E$44,MATCH(D144,Staff!$A$5:$A$44,0))&amp;"","")="Chair renter",0,ROUND(U144*PayrollBurden,2))))</f>
        <v>0</v>
      </c>
      <c r="Y144" s="26">
        <f>IF(B144="","",ROUND(U144+X144,2))</f>
        <v>0</v>
      </c>
      <c r="Z144" s="26">
        <f>IF(B144="","",ROUND(SUMIFS(Commissions!$X$5:$X$244,Commissions!$C$5:$C$244,D144,Commissions!$B$5:$B$244,Q144),2))</f>
        <v>0</v>
      </c>
      <c r="AA144" s="26">
        <f>IF(B144="","",ROUND(SUMIFS($H$5:$H$364,$D$5:$D$364,D144,$Q$5:$Q$364,Q144),2))</f>
        <v>0</v>
      </c>
      <c r="AB144" s="26">
        <f>IF(B144="","",ROUND(Z144-AA144,2))</f>
        <v>0</v>
      </c>
      <c r="AC144" s="26">
        <f>IF(B144="","",IF(IF(F144="",0,F144)=0,"",ROUND(Y144/F144,2)))</f>
        <v>0</v>
      </c>
      <c r="AD144" s="39">
        <f>IF(B144="","",IF(D144="","Add - who is this run for?",IF(IF(F144="",H144="",FALSE),"Add - no hours and no commission",IF(AB144&lt;-0.004,"Check - more commission paid than earned",IF(M144&lt;&gt;"Yes","Due - not paid yet",IF(N144="","Check - marked paid, no date","OK"))))))</f>
        <v>0</v>
      </c>
    </row>
    <row r="145" spans="1:30">
      <c r="A145" s="28">
        <f>IF(B145="","",PayrollPrefix&amp;TEXT(ROW()-4,"0000"))</f>
        <v>0</v>
      </c>
      <c r="E145" s="15">
        <f>IF(D145="","",IFERROR(INDEX(Staff!$B$5:$B$44,MATCH(D145,Staff!$A$5:$A$44,0)),"Not in Staff"))</f>
        <v>0</v>
      </c>
      <c r="Q145" s="15">
        <f>IF(B145="","",TEXT(B145,"yyyy-mm"))</f>
        <v>0</v>
      </c>
      <c r="R145" s="25">
        <f>IF(B145="","",WEEKNUM(B145,2))</f>
        <v>0</v>
      </c>
      <c r="S145" s="26">
        <f>IF(B145="","",IF(G145&lt;&gt;"",G145,IFERROR(IF(INDEX(Staff!$P$5:$P$44,MATCH(D145,Staff!$A$5:$A$44,0))="",DefaultHourly,INDEX(Staff!$P$5:$P$44,MATCH(D145,Staff!$A$5:$A$44,0))),DefaultHourly)))</f>
        <v>0</v>
      </c>
      <c r="T145" s="26">
        <f>IF(B145="","",ROUND(IF(F145="",0,F145)*S145,2))</f>
        <v>0</v>
      </c>
      <c r="U145" s="26">
        <f>IF(B145="","",ROUND(T145+IF(H145="",0,H145)+IF(J145="",0,J145)+IF(K145="",0,K145),2))</f>
        <v>0</v>
      </c>
      <c r="V145" s="26">
        <f>IF(B145="","",ROUND(U145-IF(L145="",0,L145),2))</f>
        <v>0</v>
      </c>
      <c r="W145" s="26">
        <f>IF(B145="","",ROUND(V145+IF(I145="",0,I145),2))</f>
        <v>0</v>
      </c>
      <c r="X145" s="26">
        <f>IF(B145="","",IF(IFERROR(INDEX(Staff!$E$5:$E$44,MATCH(D145,Staff!$A$5:$A$44,0))&amp;"","")="Self-employed",0,IF(IFERROR(INDEX(Staff!$E$5:$E$44,MATCH(D145,Staff!$A$5:$A$44,0))&amp;"","")="Chair renter",0,ROUND(U145*PayrollBurden,2))))</f>
        <v>0</v>
      </c>
      <c r="Y145" s="26">
        <f>IF(B145="","",ROUND(U145+X145,2))</f>
        <v>0</v>
      </c>
      <c r="Z145" s="26">
        <f>IF(B145="","",ROUND(SUMIFS(Commissions!$X$5:$X$244,Commissions!$C$5:$C$244,D145,Commissions!$B$5:$B$244,Q145),2))</f>
        <v>0</v>
      </c>
      <c r="AA145" s="26">
        <f>IF(B145="","",ROUND(SUMIFS($H$5:$H$364,$D$5:$D$364,D145,$Q$5:$Q$364,Q145),2))</f>
        <v>0</v>
      </c>
      <c r="AB145" s="26">
        <f>IF(B145="","",ROUND(Z145-AA145,2))</f>
        <v>0</v>
      </c>
      <c r="AC145" s="26">
        <f>IF(B145="","",IF(IF(F145="",0,F145)=0,"",ROUND(Y145/F145,2)))</f>
        <v>0</v>
      </c>
      <c r="AD145" s="39">
        <f>IF(B145="","",IF(D145="","Add - who is this run for?",IF(IF(F145="",H145="",FALSE),"Add - no hours and no commission",IF(AB145&lt;-0.004,"Check - more commission paid than earned",IF(M145&lt;&gt;"Yes","Due - not paid yet",IF(N145="","Check - marked paid, no date","OK"))))))</f>
        <v>0</v>
      </c>
    </row>
    <row r="146" spans="1:30">
      <c r="A146" s="28">
        <f>IF(B146="","",PayrollPrefix&amp;TEXT(ROW()-4,"0000"))</f>
        <v>0</v>
      </c>
      <c r="E146" s="15">
        <f>IF(D146="","",IFERROR(INDEX(Staff!$B$5:$B$44,MATCH(D146,Staff!$A$5:$A$44,0)),"Not in Staff"))</f>
        <v>0</v>
      </c>
      <c r="Q146" s="15">
        <f>IF(B146="","",TEXT(B146,"yyyy-mm"))</f>
        <v>0</v>
      </c>
      <c r="R146" s="25">
        <f>IF(B146="","",WEEKNUM(B146,2))</f>
        <v>0</v>
      </c>
      <c r="S146" s="26">
        <f>IF(B146="","",IF(G146&lt;&gt;"",G146,IFERROR(IF(INDEX(Staff!$P$5:$P$44,MATCH(D146,Staff!$A$5:$A$44,0))="",DefaultHourly,INDEX(Staff!$P$5:$P$44,MATCH(D146,Staff!$A$5:$A$44,0))),DefaultHourly)))</f>
        <v>0</v>
      </c>
      <c r="T146" s="26">
        <f>IF(B146="","",ROUND(IF(F146="",0,F146)*S146,2))</f>
        <v>0</v>
      </c>
      <c r="U146" s="26">
        <f>IF(B146="","",ROUND(T146+IF(H146="",0,H146)+IF(J146="",0,J146)+IF(K146="",0,K146),2))</f>
        <v>0</v>
      </c>
      <c r="V146" s="26">
        <f>IF(B146="","",ROUND(U146-IF(L146="",0,L146),2))</f>
        <v>0</v>
      </c>
      <c r="W146" s="26">
        <f>IF(B146="","",ROUND(V146+IF(I146="",0,I146),2))</f>
        <v>0</v>
      </c>
      <c r="X146" s="26">
        <f>IF(B146="","",IF(IFERROR(INDEX(Staff!$E$5:$E$44,MATCH(D146,Staff!$A$5:$A$44,0))&amp;"","")="Self-employed",0,IF(IFERROR(INDEX(Staff!$E$5:$E$44,MATCH(D146,Staff!$A$5:$A$44,0))&amp;"","")="Chair renter",0,ROUND(U146*PayrollBurden,2))))</f>
        <v>0</v>
      </c>
      <c r="Y146" s="26">
        <f>IF(B146="","",ROUND(U146+X146,2))</f>
        <v>0</v>
      </c>
      <c r="Z146" s="26">
        <f>IF(B146="","",ROUND(SUMIFS(Commissions!$X$5:$X$244,Commissions!$C$5:$C$244,D146,Commissions!$B$5:$B$244,Q146),2))</f>
        <v>0</v>
      </c>
      <c r="AA146" s="26">
        <f>IF(B146="","",ROUND(SUMIFS($H$5:$H$364,$D$5:$D$364,D146,$Q$5:$Q$364,Q146),2))</f>
        <v>0</v>
      </c>
      <c r="AB146" s="26">
        <f>IF(B146="","",ROUND(Z146-AA146,2))</f>
        <v>0</v>
      </c>
      <c r="AC146" s="26">
        <f>IF(B146="","",IF(IF(F146="",0,F146)=0,"",ROUND(Y146/F146,2)))</f>
        <v>0</v>
      </c>
      <c r="AD146" s="39">
        <f>IF(B146="","",IF(D146="","Add - who is this run for?",IF(IF(F146="",H146="",FALSE),"Add - no hours and no commission",IF(AB146&lt;-0.004,"Check - more commission paid than earned",IF(M146&lt;&gt;"Yes","Due - not paid yet",IF(N146="","Check - marked paid, no date","OK"))))))</f>
        <v>0</v>
      </c>
    </row>
    <row r="147" spans="1:30">
      <c r="A147" s="28">
        <f>IF(B147="","",PayrollPrefix&amp;TEXT(ROW()-4,"0000"))</f>
        <v>0</v>
      </c>
      <c r="E147" s="15">
        <f>IF(D147="","",IFERROR(INDEX(Staff!$B$5:$B$44,MATCH(D147,Staff!$A$5:$A$44,0)),"Not in Staff"))</f>
        <v>0</v>
      </c>
      <c r="Q147" s="15">
        <f>IF(B147="","",TEXT(B147,"yyyy-mm"))</f>
        <v>0</v>
      </c>
      <c r="R147" s="25">
        <f>IF(B147="","",WEEKNUM(B147,2))</f>
        <v>0</v>
      </c>
      <c r="S147" s="26">
        <f>IF(B147="","",IF(G147&lt;&gt;"",G147,IFERROR(IF(INDEX(Staff!$P$5:$P$44,MATCH(D147,Staff!$A$5:$A$44,0))="",DefaultHourly,INDEX(Staff!$P$5:$P$44,MATCH(D147,Staff!$A$5:$A$44,0))),DefaultHourly)))</f>
        <v>0</v>
      </c>
      <c r="T147" s="26">
        <f>IF(B147="","",ROUND(IF(F147="",0,F147)*S147,2))</f>
        <v>0</v>
      </c>
      <c r="U147" s="26">
        <f>IF(B147="","",ROUND(T147+IF(H147="",0,H147)+IF(J147="",0,J147)+IF(K147="",0,K147),2))</f>
        <v>0</v>
      </c>
      <c r="V147" s="26">
        <f>IF(B147="","",ROUND(U147-IF(L147="",0,L147),2))</f>
        <v>0</v>
      </c>
      <c r="W147" s="26">
        <f>IF(B147="","",ROUND(V147+IF(I147="",0,I147),2))</f>
        <v>0</v>
      </c>
      <c r="X147" s="26">
        <f>IF(B147="","",IF(IFERROR(INDEX(Staff!$E$5:$E$44,MATCH(D147,Staff!$A$5:$A$44,0))&amp;"","")="Self-employed",0,IF(IFERROR(INDEX(Staff!$E$5:$E$44,MATCH(D147,Staff!$A$5:$A$44,0))&amp;"","")="Chair renter",0,ROUND(U147*PayrollBurden,2))))</f>
        <v>0</v>
      </c>
      <c r="Y147" s="26">
        <f>IF(B147="","",ROUND(U147+X147,2))</f>
        <v>0</v>
      </c>
      <c r="Z147" s="26">
        <f>IF(B147="","",ROUND(SUMIFS(Commissions!$X$5:$X$244,Commissions!$C$5:$C$244,D147,Commissions!$B$5:$B$244,Q147),2))</f>
        <v>0</v>
      </c>
      <c r="AA147" s="26">
        <f>IF(B147="","",ROUND(SUMIFS($H$5:$H$364,$D$5:$D$364,D147,$Q$5:$Q$364,Q147),2))</f>
        <v>0</v>
      </c>
      <c r="AB147" s="26">
        <f>IF(B147="","",ROUND(Z147-AA147,2))</f>
        <v>0</v>
      </c>
      <c r="AC147" s="26">
        <f>IF(B147="","",IF(IF(F147="",0,F147)=0,"",ROUND(Y147/F147,2)))</f>
        <v>0</v>
      </c>
      <c r="AD147" s="39">
        <f>IF(B147="","",IF(D147="","Add - who is this run for?",IF(IF(F147="",H147="",FALSE),"Add - no hours and no commission",IF(AB147&lt;-0.004,"Check - more commission paid than earned",IF(M147&lt;&gt;"Yes","Due - not paid yet",IF(N147="","Check - marked paid, no date","OK"))))))</f>
        <v>0</v>
      </c>
    </row>
    <row r="148" spans="1:30">
      <c r="A148" s="28">
        <f>IF(B148="","",PayrollPrefix&amp;TEXT(ROW()-4,"0000"))</f>
        <v>0</v>
      </c>
      <c r="E148" s="15">
        <f>IF(D148="","",IFERROR(INDEX(Staff!$B$5:$B$44,MATCH(D148,Staff!$A$5:$A$44,0)),"Not in Staff"))</f>
        <v>0</v>
      </c>
      <c r="Q148" s="15">
        <f>IF(B148="","",TEXT(B148,"yyyy-mm"))</f>
        <v>0</v>
      </c>
      <c r="R148" s="25">
        <f>IF(B148="","",WEEKNUM(B148,2))</f>
        <v>0</v>
      </c>
      <c r="S148" s="26">
        <f>IF(B148="","",IF(G148&lt;&gt;"",G148,IFERROR(IF(INDEX(Staff!$P$5:$P$44,MATCH(D148,Staff!$A$5:$A$44,0))="",DefaultHourly,INDEX(Staff!$P$5:$P$44,MATCH(D148,Staff!$A$5:$A$44,0))),DefaultHourly)))</f>
        <v>0</v>
      </c>
      <c r="T148" s="26">
        <f>IF(B148="","",ROUND(IF(F148="",0,F148)*S148,2))</f>
        <v>0</v>
      </c>
      <c r="U148" s="26">
        <f>IF(B148="","",ROUND(T148+IF(H148="",0,H148)+IF(J148="",0,J148)+IF(K148="",0,K148),2))</f>
        <v>0</v>
      </c>
      <c r="V148" s="26">
        <f>IF(B148="","",ROUND(U148-IF(L148="",0,L148),2))</f>
        <v>0</v>
      </c>
      <c r="W148" s="26">
        <f>IF(B148="","",ROUND(V148+IF(I148="",0,I148),2))</f>
        <v>0</v>
      </c>
      <c r="X148" s="26">
        <f>IF(B148="","",IF(IFERROR(INDEX(Staff!$E$5:$E$44,MATCH(D148,Staff!$A$5:$A$44,0))&amp;"","")="Self-employed",0,IF(IFERROR(INDEX(Staff!$E$5:$E$44,MATCH(D148,Staff!$A$5:$A$44,0))&amp;"","")="Chair renter",0,ROUND(U148*PayrollBurden,2))))</f>
        <v>0</v>
      </c>
      <c r="Y148" s="26">
        <f>IF(B148="","",ROUND(U148+X148,2))</f>
        <v>0</v>
      </c>
      <c r="Z148" s="26">
        <f>IF(B148="","",ROUND(SUMIFS(Commissions!$X$5:$X$244,Commissions!$C$5:$C$244,D148,Commissions!$B$5:$B$244,Q148),2))</f>
        <v>0</v>
      </c>
      <c r="AA148" s="26">
        <f>IF(B148="","",ROUND(SUMIFS($H$5:$H$364,$D$5:$D$364,D148,$Q$5:$Q$364,Q148),2))</f>
        <v>0</v>
      </c>
      <c r="AB148" s="26">
        <f>IF(B148="","",ROUND(Z148-AA148,2))</f>
        <v>0</v>
      </c>
      <c r="AC148" s="26">
        <f>IF(B148="","",IF(IF(F148="",0,F148)=0,"",ROUND(Y148/F148,2)))</f>
        <v>0</v>
      </c>
      <c r="AD148" s="39">
        <f>IF(B148="","",IF(D148="","Add - who is this run for?",IF(IF(F148="",H148="",FALSE),"Add - no hours and no commission",IF(AB148&lt;-0.004,"Check - more commission paid than earned",IF(M148&lt;&gt;"Yes","Due - not paid yet",IF(N148="","Check - marked paid, no date","OK"))))))</f>
        <v>0</v>
      </c>
    </row>
    <row r="149" spans="1:30">
      <c r="A149" s="28">
        <f>IF(B149="","",PayrollPrefix&amp;TEXT(ROW()-4,"0000"))</f>
        <v>0</v>
      </c>
      <c r="E149" s="15">
        <f>IF(D149="","",IFERROR(INDEX(Staff!$B$5:$B$44,MATCH(D149,Staff!$A$5:$A$44,0)),"Not in Staff"))</f>
        <v>0</v>
      </c>
      <c r="Q149" s="15">
        <f>IF(B149="","",TEXT(B149,"yyyy-mm"))</f>
        <v>0</v>
      </c>
      <c r="R149" s="25">
        <f>IF(B149="","",WEEKNUM(B149,2))</f>
        <v>0</v>
      </c>
      <c r="S149" s="26">
        <f>IF(B149="","",IF(G149&lt;&gt;"",G149,IFERROR(IF(INDEX(Staff!$P$5:$P$44,MATCH(D149,Staff!$A$5:$A$44,0))="",DefaultHourly,INDEX(Staff!$P$5:$P$44,MATCH(D149,Staff!$A$5:$A$44,0))),DefaultHourly)))</f>
        <v>0</v>
      </c>
      <c r="T149" s="26">
        <f>IF(B149="","",ROUND(IF(F149="",0,F149)*S149,2))</f>
        <v>0</v>
      </c>
      <c r="U149" s="26">
        <f>IF(B149="","",ROUND(T149+IF(H149="",0,H149)+IF(J149="",0,J149)+IF(K149="",0,K149),2))</f>
        <v>0</v>
      </c>
      <c r="V149" s="26">
        <f>IF(B149="","",ROUND(U149-IF(L149="",0,L149),2))</f>
        <v>0</v>
      </c>
      <c r="W149" s="26">
        <f>IF(B149="","",ROUND(V149+IF(I149="",0,I149),2))</f>
        <v>0</v>
      </c>
      <c r="X149" s="26">
        <f>IF(B149="","",IF(IFERROR(INDEX(Staff!$E$5:$E$44,MATCH(D149,Staff!$A$5:$A$44,0))&amp;"","")="Self-employed",0,IF(IFERROR(INDEX(Staff!$E$5:$E$44,MATCH(D149,Staff!$A$5:$A$44,0))&amp;"","")="Chair renter",0,ROUND(U149*PayrollBurden,2))))</f>
        <v>0</v>
      </c>
      <c r="Y149" s="26">
        <f>IF(B149="","",ROUND(U149+X149,2))</f>
        <v>0</v>
      </c>
      <c r="Z149" s="26">
        <f>IF(B149="","",ROUND(SUMIFS(Commissions!$X$5:$X$244,Commissions!$C$5:$C$244,D149,Commissions!$B$5:$B$244,Q149),2))</f>
        <v>0</v>
      </c>
      <c r="AA149" s="26">
        <f>IF(B149="","",ROUND(SUMIFS($H$5:$H$364,$D$5:$D$364,D149,$Q$5:$Q$364,Q149),2))</f>
        <v>0</v>
      </c>
      <c r="AB149" s="26">
        <f>IF(B149="","",ROUND(Z149-AA149,2))</f>
        <v>0</v>
      </c>
      <c r="AC149" s="26">
        <f>IF(B149="","",IF(IF(F149="",0,F149)=0,"",ROUND(Y149/F149,2)))</f>
        <v>0</v>
      </c>
      <c r="AD149" s="39">
        <f>IF(B149="","",IF(D149="","Add - who is this run for?",IF(IF(F149="",H149="",FALSE),"Add - no hours and no commission",IF(AB149&lt;-0.004,"Check - more commission paid than earned",IF(M149&lt;&gt;"Yes","Due - not paid yet",IF(N149="","Check - marked paid, no date","OK"))))))</f>
        <v>0</v>
      </c>
    </row>
    <row r="150" spans="1:30">
      <c r="A150" s="28">
        <f>IF(B150="","",PayrollPrefix&amp;TEXT(ROW()-4,"0000"))</f>
        <v>0</v>
      </c>
      <c r="E150" s="15">
        <f>IF(D150="","",IFERROR(INDEX(Staff!$B$5:$B$44,MATCH(D150,Staff!$A$5:$A$44,0)),"Not in Staff"))</f>
        <v>0</v>
      </c>
      <c r="Q150" s="15">
        <f>IF(B150="","",TEXT(B150,"yyyy-mm"))</f>
        <v>0</v>
      </c>
      <c r="R150" s="25">
        <f>IF(B150="","",WEEKNUM(B150,2))</f>
        <v>0</v>
      </c>
      <c r="S150" s="26">
        <f>IF(B150="","",IF(G150&lt;&gt;"",G150,IFERROR(IF(INDEX(Staff!$P$5:$P$44,MATCH(D150,Staff!$A$5:$A$44,0))="",DefaultHourly,INDEX(Staff!$P$5:$P$44,MATCH(D150,Staff!$A$5:$A$44,0))),DefaultHourly)))</f>
        <v>0</v>
      </c>
      <c r="T150" s="26">
        <f>IF(B150="","",ROUND(IF(F150="",0,F150)*S150,2))</f>
        <v>0</v>
      </c>
      <c r="U150" s="26">
        <f>IF(B150="","",ROUND(T150+IF(H150="",0,H150)+IF(J150="",0,J150)+IF(K150="",0,K150),2))</f>
        <v>0</v>
      </c>
      <c r="V150" s="26">
        <f>IF(B150="","",ROUND(U150-IF(L150="",0,L150),2))</f>
        <v>0</v>
      </c>
      <c r="W150" s="26">
        <f>IF(B150="","",ROUND(V150+IF(I150="",0,I150),2))</f>
        <v>0</v>
      </c>
      <c r="X150" s="26">
        <f>IF(B150="","",IF(IFERROR(INDEX(Staff!$E$5:$E$44,MATCH(D150,Staff!$A$5:$A$44,0))&amp;"","")="Self-employed",0,IF(IFERROR(INDEX(Staff!$E$5:$E$44,MATCH(D150,Staff!$A$5:$A$44,0))&amp;"","")="Chair renter",0,ROUND(U150*PayrollBurden,2))))</f>
        <v>0</v>
      </c>
      <c r="Y150" s="26">
        <f>IF(B150="","",ROUND(U150+X150,2))</f>
        <v>0</v>
      </c>
      <c r="Z150" s="26">
        <f>IF(B150="","",ROUND(SUMIFS(Commissions!$X$5:$X$244,Commissions!$C$5:$C$244,D150,Commissions!$B$5:$B$244,Q150),2))</f>
        <v>0</v>
      </c>
      <c r="AA150" s="26">
        <f>IF(B150="","",ROUND(SUMIFS($H$5:$H$364,$D$5:$D$364,D150,$Q$5:$Q$364,Q150),2))</f>
        <v>0</v>
      </c>
      <c r="AB150" s="26">
        <f>IF(B150="","",ROUND(Z150-AA150,2))</f>
        <v>0</v>
      </c>
      <c r="AC150" s="26">
        <f>IF(B150="","",IF(IF(F150="",0,F150)=0,"",ROUND(Y150/F150,2)))</f>
        <v>0</v>
      </c>
      <c r="AD150" s="39">
        <f>IF(B150="","",IF(D150="","Add - who is this run for?",IF(IF(F150="",H150="",FALSE),"Add - no hours and no commission",IF(AB150&lt;-0.004,"Check - more commission paid than earned",IF(M150&lt;&gt;"Yes","Due - not paid yet",IF(N150="","Check - marked paid, no date","OK"))))))</f>
        <v>0</v>
      </c>
    </row>
    <row r="151" spans="1:30">
      <c r="A151" s="28">
        <f>IF(B151="","",PayrollPrefix&amp;TEXT(ROW()-4,"0000"))</f>
        <v>0</v>
      </c>
      <c r="E151" s="15">
        <f>IF(D151="","",IFERROR(INDEX(Staff!$B$5:$B$44,MATCH(D151,Staff!$A$5:$A$44,0)),"Not in Staff"))</f>
        <v>0</v>
      </c>
      <c r="Q151" s="15">
        <f>IF(B151="","",TEXT(B151,"yyyy-mm"))</f>
        <v>0</v>
      </c>
      <c r="R151" s="25">
        <f>IF(B151="","",WEEKNUM(B151,2))</f>
        <v>0</v>
      </c>
      <c r="S151" s="26">
        <f>IF(B151="","",IF(G151&lt;&gt;"",G151,IFERROR(IF(INDEX(Staff!$P$5:$P$44,MATCH(D151,Staff!$A$5:$A$44,0))="",DefaultHourly,INDEX(Staff!$P$5:$P$44,MATCH(D151,Staff!$A$5:$A$44,0))),DefaultHourly)))</f>
        <v>0</v>
      </c>
      <c r="T151" s="26">
        <f>IF(B151="","",ROUND(IF(F151="",0,F151)*S151,2))</f>
        <v>0</v>
      </c>
      <c r="U151" s="26">
        <f>IF(B151="","",ROUND(T151+IF(H151="",0,H151)+IF(J151="",0,J151)+IF(K151="",0,K151),2))</f>
        <v>0</v>
      </c>
      <c r="V151" s="26">
        <f>IF(B151="","",ROUND(U151-IF(L151="",0,L151),2))</f>
        <v>0</v>
      </c>
      <c r="W151" s="26">
        <f>IF(B151="","",ROUND(V151+IF(I151="",0,I151),2))</f>
        <v>0</v>
      </c>
      <c r="X151" s="26">
        <f>IF(B151="","",IF(IFERROR(INDEX(Staff!$E$5:$E$44,MATCH(D151,Staff!$A$5:$A$44,0))&amp;"","")="Self-employed",0,IF(IFERROR(INDEX(Staff!$E$5:$E$44,MATCH(D151,Staff!$A$5:$A$44,0))&amp;"","")="Chair renter",0,ROUND(U151*PayrollBurden,2))))</f>
        <v>0</v>
      </c>
      <c r="Y151" s="26">
        <f>IF(B151="","",ROUND(U151+X151,2))</f>
        <v>0</v>
      </c>
      <c r="Z151" s="26">
        <f>IF(B151="","",ROUND(SUMIFS(Commissions!$X$5:$X$244,Commissions!$C$5:$C$244,D151,Commissions!$B$5:$B$244,Q151),2))</f>
        <v>0</v>
      </c>
      <c r="AA151" s="26">
        <f>IF(B151="","",ROUND(SUMIFS($H$5:$H$364,$D$5:$D$364,D151,$Q$5:$Q$364,Q151),2))</f>
        <v>0</v>
      </c>
      <c r="AB151" s="26">
        <f>IF(B151="","",ROUND(Z151-AA151,2))</f>
        <v>0</v>
      </c>
      <c r="AC151" s="26">
        <f>IF(B151="","",IF(IF(F151="",0,F151)=0,"",ROUND(Y151/F151,2)))</f>
        <v>0</v>
      </c>
      <c r="AD151" s="39">
        <f>IF(B151="","",IF(D151="","Add - who is this run for?",IF(IF(F151="",H151="",FALSE),"Add - no hours and no commission",IF(AB151&lt;-0.004,"Check - more commission paid than earned",IF(M151&lt;&gt;"Yes","Due - not paid yet",IF(N151="","Check - marked paid, no date","OK"))))))</f>
        <v>0</v>
      </c>
    </row>
    <row r="152" spans="1:30">
      <c r="A152" s="28">
        <f>IF(B152="","",PayrollPrefix&amp;TEXT(ROW()-4,"0000"))</f>
        <v>0</v>
      </c>
      <c r="E152" s="15">
        <f>IF(D152="","",IFERROR(INDEX(Staff!$B$5:$B$44,MATCH(D152,Staff!$A$5:$A$44,0)),"Not in Staff"))</f>
        <v>0</v>
      </c>
      <c r="Q152" s="15">
        <f>IF(B152="","",TEXT(B152,"yyyy-mm"))</f>
        <v>0</v>
      </c>
      <c r="R152" s="25">
        <f>IF(B152="","",WEEKNUM(B152,2))</f>
        <v>0</v>
      </c>
      <c r="S152" s="26">
        <f>IF(B152="","",IF(G152&lt;&gt;"",G152,IFERROR(IF(INDEX(Staff!$P$5:$P$44,MATCH(D152,Staff!$A$5:$A$44,0))="",DefaultHourly,INDEX(Staff!$P$5:$P$44,MATCH(D152,Staff!$A$5:$A$44,0))),DefaultHourly)))</f>
        <v>0</v>
      </c>
      <c r="T152" s="26">
        <f>IF(B152="","",ROUND(IF(F152="",0,F152)*S152,2))</f>
        <v>0</v>
      </c>
      <c r="U152" s="26">
        <f>IF(B152="","",ROUND(T152+IF(H152="",0,H152)+IF(J152="",0,J152)+IF(K152="",0,K152),2))</f>
        <v>0</v>
      </c>
      <c r="V152" s="26">
        <f>IF(B152="","",ROUND(U152-IF(L152="",0,L152),2))</f>
        <v>0</v>
      </c>
      <c r="W152" s="26">
        <f>IF(B152="","",ROUND(V152+IF(I152="",0,I152),2))</f>
        <v>0</v>
      </c>
      <c r="X152" s="26">
        <f>IF(B152="","",IF(IFERROR(INDEX(Staff!$E$5:$E$44,MATCH(D152,Staff!$A$5:$A$44,0))&amp;"","")="Self-employed",0,IF(IFERROR(INDEX(Staff!$E$5:$E$44,MATCH(D152,Staff!$A$5:$A$44,0))&amp;"","")="Chair renter",0,ROUND(U152*PayrollBurden,2))))</f>
        <v>0</v>
      </c>
      <c r="Y152" s="26">
        <f>IF(B152="","",ROUND(U152+X152,2))</f>
        <v>0</v>
      </c>
      <c r="Z152" s="26">
        <f>IF(B152="","",ROUND(SUMIFS(Commissions!$X$5:$X$244,Commissions!$C$5:$C$244,D152,Commissions!$B$5:$B$244,Q152),2))</f>
        <v>0</v>
      </c>
      <c r="AA152" s="26">
        <f>IF(B152="","",ROUND(SUMIFS($H$5:$H$364,$D$5:$D$364,D152,$Q$5:$Q$364,Q152),2))</f>
        <v>0</v>
      </c>
      <c r="AB152" s="26">
        <f>IF(B152="","",ROUND(Z152-AA152,2))</f>
        <v>0</v>
      </c>
      <c r="AC152" s="26">
        <f>IF(B152="","",IF(IF(F152="",0,F152)=0,"",ROUND(Y152/F152,2)))</f>
        <v>0</v>
      </c>
      <c r="AD152" s="39">
        <f>IF(B152="","",IF(D152="","Add - who is this run for?",IF(IF(F152="",H152="",FALSE),"Add - no hours and no commission",IF(AB152&lt;-0.004,"Check - more commission paid than earned",IF(M152&lt;&gt;"Yes","Due - not paid yet",IF(N152="","Check - marked paid, no date","OK"))))))</f>
        <v>0</v>
      </c>
    </row>
    <row r="153" spans="1:30">
      <c r="A153" s="28">
        <f>IF(B153="","",PayrollPrefix&amp;TEXT(ROW()-4,"0000"))</f>
        <v>0</v>
      </c>
      <c r="E153" s="15">
        <f>IF(D153="","",IFERROR(INDEX(Staff!$B$5:$B$44,MATCH(D153,Staff!$A$5:$A$44,0)),"Not in Staff"))</f>
        <v>0</v>
      </c>
      <c r="Q153" s="15">
        <f>IF(B153="","",TEXT(B153,"yyyy-mm"))</f>
        <v>0</v>
      </c>
      <c r="R153" s="25">
        <f>IF(B153="","",WEEKNUM(B153,2))</f>
        <v>0</v>
      </c>
      <c r="S153" s="26">
        <f>IF(B153="","",IF(G153&lt;&gt;"",G153,IFERROR(IF(INDEX(Staff!$P$5:$P$44,MATCH(D153,Staff!$A$5:$A$44,0))="",DefaultHourly,INDEX(Staff!$P$5:$P$44,MATCH(D153,Staff!$A$5:$A$44,0))),DefaultHourly)))</f>
        <v>0</v>
      </c>
      <c r="T153" s="26">
        <f>IF(B153="","",ROUND(IF(F153="",0,F153)*S153,2))</f>
        <v>0</v>
      </c>
      <c r="U153" s="26">
        <f>IF(B153="","",ROUND(T153+IF(H153="",0,H153)+IF(J153="",0,J153)+IF(K153="",0,K153),2))</f>
        <v>0</v>
      </c>
      <c r="V153" s="26">
        <f>IF(B153="","",ROUND(U153-IF(L153="",0,L153),2))</f>
        <v>0</v>
      </c>
      <c r="W153" s="26">
        <f>IF(B153="","",ROUND(V153+IF(I153="",0,I153),2))</f>
        <v>0</v>
      </c>
      <c r="X153" s="26">
        <f>IF(B153="","",IF(IFERROR(INDEX(Staff!$E$5:$E$44,MATCH(D153,Staff!$A$5:$A$44,0))&amp;"","")="Self-employed",0,IF(IFERROR(INDEX(Staff!$E$5:$E$44,MATCH(D153,Staff!$A$5:$A$44,0))&amp;"","")="Chair renter",0,ROUND(U153*PayrollBurden,2))))</f>
        <v>0</v>
      </c>
      <c r="Y153" s="26">
        <f>IF(B153="","",ROUND(U153+X153,2))</f>
        <v>0</v>
      </c>
      <c r="Z153" s="26">
        <f>IF(B153="","",ROUND(SUMIFS(Commissions!$X$5:$X$244,Commissions!$C$5:$C$244,D153,Commissions!$B$5:$B$244,Q153),2))</f>
        <v>0</v>
      </c>
      <c r="AA153" s="26">
        <f>IF(B153="","",ROUND(SUMIFS($H$5:$H$364,$D$5:$D$364,D153,$Q$5:$Q$364,Q153),2))</f>
        <v>0</v>
      </c>
      <c r="AB153" s="26">
        <f>IF(B153="","",ROUND(Z153-AA153,2))</f>
        <v>0</v>
      </c>
      <c r="AC153" s="26">
        <f>IF(B153="","",IF(IF(F153="",0,F153)=0,"",ROUND(Y153/F153,2)))</f>
        <v>0</v>
      </c>
      <c r="AD153" s="39">
        <f>IF(B153="","",IF(D153="","Add - who is this run for?",IF(IF(F153="",H153="",FALSE),"Add - no hours and no commission",IF(AB153&lt;-0.004,"Check - more commission paid than earned",IF(M153&lt;&gt;"Yes","Due - not paid yet",IF(N153="","Check - marked paid, no date","OK"))))))</f>
        <v>0</v>
      </c>
    </row>
    <row r="154" spans="1:30">
      <c r="A154" s="28">
        <f>IF(B154="","",PayrollPrefix&amp;TEXT(ROW()-4,"0000"))</f>
        <v>0</v>
      </c>
      <c r="E154" s="15">
        <f>IF(D154="","",IFERROR(INDEX(Staff!$B$5:$B$44,MATCH(D154,Staff!$A$5:$A$44,0)),"Not in Staff"))</f>
        <v>0</v>
      </c>
      <c r="Q154" s="15">
        <f>IF(B154="","",TEXT(B154,"yyyy-mm"))</f>
        <v>0</v>
      </c>
      <c r="R154" s="25">
        <f>IF(B154="","",WEEKNUM(B154,2))</f>
        <v>0</v>
      </c>
      <c r="S154" s="26">
        <f>IF(B154="","",IF(G154&lt;&gt;"",G154,IFERROR(IF(INDEX(Staff!$P$5:$P$44,MATCH(D154,Staff!$A$5:$A$44,0))="",DefaultHourly,INDEX(Staff!$P$5:$P$44,MATCH(D154,Staff!$A$5:$A$44,0))),DefaultHourly)))</f>
        <v>0</v>
      </c>
      <c r="T154" s="26">
        <f>IF(B154="","",ROUND(IF(F154="",0,F154)*S154,2))</f>
        <v>0</v>
      </c>
      <c r="U154" s="26">
        <f>IF(B154="","",ROUND(T154+IF(H154="",0,H154)+IF(J154="",0,J154)+IF(K154="",0,K154),2))</f>
        <v>0</v>
      </c>
      <c r="V154" s="26">
        <f>IF(B154="","",ROUND(U154-IF(L154="",0,L154),2))</f>
        <v>0</v>
      </c>
      <c r="W154" s="26">
        <f>IF(B154="","",ROUND(V154+IF(I154="",0,I154),2))</f>
        <v>0</v>
      </c>
      <c r="X154" s="26">
        <f>IF(B154="","",IF(IFERROR(INDEX(Staff!$E$5:$E$44,MATCH(D154,Staff!$A$5:$A$44,0))&amp;"","")="Self-employed",0,IF(IFERROR(INDEX(Staff!$E$5:$E$44,MATCH(D154,Staff!$A$5:$A$44,0))&amp;"","")="Chair renter",0,ROUND(U154*PayrollBurden,2))))</f>
        <v>0</v>
      </c>
      <c r="Y154" s="26">
        <f>IF(B154="","",ROUND(U154+X154,2))</f>
        <v>0</v>
      </c>
      <c r="Z154" s="26">
        <f>IF(B154="","",ROUND(SUMIFS(Commissions!$X$5:$X$244,Commissions!$C$5:$C$244,D154,Commissions!$B$5:$B$244,Q154),2))</f>
        <v>0</v>
      </c>
      <c r="AA154" s="26">
        <f>IF(B154="","",ROUND(SUMIFS($H$5:$H$364,$D$5:$D$364,D154,$Q$5:$Q$364,Q154),2))</f>
        <v>0</v>
      </c>
      <c r="AB154" s="26">
        <f>IF(B154="","",ROUND(Z154-AA154,2))</f>
        <v>0</v>
      </c>
      <c r="AC154" s="26">
        <f>IF(B154="","",IF(IF(F154="",0,F154)=0,"",ROUND(Y154/F154,2)))</f>
        <v>0</v>
      </c>
      <c r="AD154" s="39">
        <f>IF(B154="","",IF(D154="","Add - who is this run for?",IF(IF(F154="",H154="",FALSE),"Add - no hours and no commission",IF(AB154&lt;-0.004,"Check - more commission paid than earned",IF(M154&lt;&gt;"Yes","Due - not paid yet",IF(N154="","Check - marked paid, no date","OK"))))))</f>
        <v>0</v>
      </c>
    </row>
    <row r="155" spans="1:30">
      <c r="A155" s="28">
        <f>IF(B155="","",PayrollPrefix&amp;TEXT(ROW()-4,"0000"))</f>
        <v>0</v>
      </c>
      <c r="E155" s="15">
        <f>IF(D155="","",IFERROR(INDEX(Staff!$B$5:$B$44,MATCH(D155,Staff!$A$5:$A$44,0)),"Not in Staff"))</f>
        <v>0</v>
      </c>
      <c r="Q155" s="15">
        <f>IF(B155="","",TEXT(B155,"yyyy-mm"))</f>
        <v>0</v>
      </c>
      <c r="R155" s="25">
        <f>IF(B155="","",WEEKNUM(B155,2))</f>
        <v>0</v>
      </c>
      <c r="S155" s="26">
        <f>IF(B155="","",IF(G155&lt;&gt;"",G155,IFERROR(IF(INDEX(Staff!$P$5:$P$44,MATCH(D155,Staff!$A$5:$A$44,0))="",DefaultHourly,INDEX(Staff!$P$5:$P$44,MATCH(D155,Staff!$A$5:$A$44,0))),DefaultHourly)))</f>
        <v>0</v>
      </c>
      <c r="T155" s="26">
        <f>IF(B155="","",ROUND(IF(F155="",0,F155)*S155,2))</f>
        <v>0</v>
      </c>
      <c r="U155" s="26">
        <f>IF(B155="","",ROUND(T155+IF(H155="",0,H155)+IF(J155="",0,J155)+IF(K155="",0,K155),2))</f>
        <v>0</v>
      </c>
      <c r="V155" s="26">
        <f>IF(B155="","",ROUND(U155-IF(L155="",0,L155),2))</f>
        <v>0</v>
      </c>
      <c r="W155" s="26">
        <f>IF(B155="","",ROUND(V155+IF(I155="",0,I155),2))</f>
        <v>0</v>
      </c>
      <c r="X155" s="26">
        <f>IF(B155="","",IF(IFERROR(INDEX(Staff!$E$5:$E$44,MATCH(D155,Staff!$A$5:$A$44,0))&amp;"","")="Self-employed",0,IF(IFERROR(INDEX(Staff!$E$5:$E$44,MATCH(D155,Staff!$A$5:$A$44,0))&amp;"","")="Chair renter",0,ROUND(U155*PayrollBurden,2))))</f>
        <v>0</v>
      </c>
      <c r="Y155" s="26">
        <f>IF(B155="","",ROUND(U155+X155,2))</f>
        <v>0</v>
      </c>
      <c r="Z155" s="26">
        <f>IF(B155="","",ROUND(SUMIFS(Commissions!$X$5:$X$244,Commissions!$C$5:$C$244,D155,Commissions!$B$5:$B$244,Q155),2))</f>
        <v>0</v>
      </c>
      <c r="AA155" s="26">
        <f>IF(B155="","",ROUND(SUMIFS($H$5:$H$364,$D$5:$D$364,D155,$Q$5:$Q$364,Q155),2))</f>
        <v>0</v>
      </c>
      <c r="AB155" s="26">
        <f>IF(B155="","",ROUND(Z155-AA155,2))</f>
        <v>0</v>
      </c>
      <c r="AC155" s="26">
        <f>IF(B155="","",IF(IF(F155="",0,F155)=0,"",ROUND(Y155/F155,2)))</f>
        <v>0</v>
      </c>
      <c r="AD155" s="39">
        <f>IF(B155="","",IF(D155="","Add - who is this run for?",IF(IF(F155="",H155="",FALSE),"Add - no hours and no commission",IF(AB155&lt;-0.004,"Check - more commission paid than earned",IF(M155&lt;&gt;"Yes","Due - not paid yet",IF(N155="","Check - marked paid, no date","OK"))))))</f>
        <v>0</v>
      </c>
    </row>
    <row r="156" spans="1:30">
      <c r="A156" s="28">
        <f>IF(B156="","",PayrollPrefix&amp;TEXT(ROW()-4,"0000"))</f>
        <v>0</v>
      </c>
      <c r="E156" s="15">
        <f>IF(D156="","",IFERROR(INDEX(Staff!$B$5:$B$44,MATCH(D156,Staff!$A$5:$A$44,0)),"Not in Staff"))</f>
        <v>0</v>
      </c>
      <c r="Q156" s="15">
        <f>IF(B156="","",TEXT(B156,"yyyy-mm"))</f>
        <v>0</v>
      </c>
      <c r="R156" s="25">
        <f>IF(B156="","",WEEKNUM(B156,2))</f>
        <v>0</v>
      </c>
      <c r="S156" s="26">
        <f>IF(B156="","",IF(G156&lt;&gt;"",G156,IFERROR(IF(INDEX(Staff!$P$5:$P$44,MATCH(D156,Staff!$A$5:$A$44,0))="",DefaultHourly,INDEX(Staff!$P$5:$P$44,MATCH(D156,Staff!$A$5:$A$44,0))),DefaultHourly)))</f>
        <v>0</v>
      </c>
      <c r="T156" s="26">
        <f>IF(B156="","",ROUND(IF(F156="",0,F156)*S156,2))</f>
        <v>0</v>
      </c>
      <c r="U156" s="26">
        <f>IF(B156="","",ROUND(T156+IF(H156="",0,H156)+IF(J156="",0,J156)+IF(K156="",0,K156),2))</f>
        <v>0</v>
      </c>
      <c r="V156" s="26">
        <f>IF(B156="","",ROUND(U156-IF(L156="",0,L156),2))</f>
        <v>0</v>
      </c>
      <c r="W156" s="26">
        <f>IF(B156="","",ROUND(V156+IF(I156="",0,I156),2))</f>
        <v>0</v>
      </c>
      <c r="X156" s="26">
        <f>IF(B156="","",IF(IFERROR(INDEX(Staff!$E$5:$E$44,MATCH(D156,Staff!$A$5:$A$44,0))&amp;"","")="Self-employed",0,IF(IFERROR(INDEX(Staff!$E$5:$E$44,MATCH(D156,Staff!$A$5:$A$44,0))&amp;"","")="Chair renter",0,ROUND(U156*PayrollBurden,2))))</f>
        <v>0</v>
      </c>
      <c r="Y156" s="26">
        <f>IF(B156="","",ROUND(U156+X156,2))</f>
        <v>0</v>
      </c>
      <c r="Z156" s="26">
        <f>IF(B156="","",ROUND(SUMIFS(Commissions!$X$5:$X$244,Commissions!$C$5:$C$244,D156,Commissions!$B$5:$B$244,Q156),2))</f>
        <v>0</v>
      </c>
      <c r="AA156" s="26">
        <f>IF(B156="","",ROUND(SUMIFS($H$5:$H$364,$D$5:$D$364,D156,$Q$5:$Q$364,Q156),2))</f>
        <v>0</v>
      </c>
      <c r="AB156" s="26">
        <f>IF(B156="","",ROUND(Z156-AA156,2))</f>
        <v>0</v>
      </c>
      <c r="AC156" s="26">
        <f>IF(B156="","",IF(IF(F156="",0,F156)=0,"",ROUND(Y156/F156,2)))</f>
        <v>0</v>
      </c>
      <c r="AD156" s="39">
        <f>IF(B156="","",IF(D156="","Add - who is this run for?",IF(IF(F156="",H156="",FALSE),"Add - no hours and no commission",IF(AB156&lt;-0.004,"Check - more commission paid than earned",IF(M156&lt;&gt;"Yes","Due - not paid yet",IF(N156="","Check - marked paid, no date","OK"))))))</f>
        <v>0</v>
      </c>
    </row>
    <row r="157" spans="1:30">
      <c r="A157" s="28">
        <f>IF(B157="","",PayrollPrefix&amp;TEXT(ROW()-4,"0000"))</f>
        <v>0</v>
      </c>
      <c r="E157" s="15">
        <f>IF(D157="","",IFERROR(INDEX(Staff!$B$5:$B$44,MATCH(D157,Staff!$A$5:$A$44,0)),"Not in Staff"))</f>
        <v>0</v>
      </c>
      <c r="Q157" s="15">
        <f>IF(B157="","",TEXT(B157,"yyyy-mm"))</f>
        <v>0</v>
      </c>
      <c r="R157" s="25">
        <f>IF(B157="","",WEEKNUM(B157,2))</f>
        <v>0</v>
      </c>
      <c r="S157" s="26">
        <f>IF(B157="","",IF(G157&lt;&gt;"",G157,IFERROR(IF(INDEX(Staff!$P$5:$P$44,MATCH(D157,Staff!$A$5:$A$44,0))="",DefaultHourly,INDEX(Staff!$P$5:$P$44,MATCH(D157,Staff!$A$5:$A$44,0))),DefaultHourly)))</f>
        <v>0</v>
      </c>
      <c r="T157" s="26">
        <f>IF(B157="","",ROUND(IF(F157="",0,F157)*S157,2))</f>
        <v>0</v>
      </c>
      <c r="U157" s="26">
        <f>IF(B157="","",ROUND(T157+IF(H157="",0,H157)+IF(J157="",0,J157)+IF(K157="",0,K157),2))</f>
        <v>0</v>
      </c>
      <c r="V157" s="26">
        <f>IF(B157="","",ROUND(U157-IF(L157="",0,L157),2))</f>
        <v>0</v>
      </c>
      <c r="W157" s="26">
        <f>IF(B157="","",ROUND(V157+IF(I157="",0,I157),2))</f>
        <v>0</v>
      </c>
      <c r="X157" s="26">
        <f>IF(B157="","",IF(IFERROR(INDEX(Staff!$E$5:$E$44,MATCH(D157,Staff!$A$5:$A$44,0))&amp;"","")="Self-employed",0,IF(IFERROR(INDEX(Staff!$E$5:$E$44,MATCH(D157,Staff!$A$5:$A$44,0))&amp;"","")="Chair renter",0,ROUND(U157*PayrollBurden,2))))</f>
        <v>0</v>
      </c>
      <c r="Y157" s="26">
        <f>IF(B157="","",ROUND(U157+X157,2))</f>
        <v>0</v>
      </c>
      <c r="Z157" s="26">
        <f>IF(B157="","",ROUND(SUMIFS(Commissions!$X$5:$X$244,Commissions!$C$5:$C$244,D157,Commissions!$B$5:$B$244,Q157),2))</f>
        <v>0</v>
      </c>
      <c r="AA157" s="26">
        <f>IF(B157="","",ROUND(SUMIFS($H$5:$H$364,$D$5:$D$364,D157,$Q$5:$Q$364,Q157),2))</f>
        <v>0</v>
      </c>
      <c r="AB157" s="26">
        <f>IF(B157="","",ROUND(Z157-AA157,2))</f>
        <v>0</v>
      </c>
      <c r="AC157" s="26">
        <f>IF(B157="","",IF(IF(F157="",0,F157)=0,"",ROUND(Y157/F157,2)))</f>
        <v>0</v>
      </c>
      <c r="AD157" s="39">
        <f>IF(B157="","",IF(D157="","Add - who is this run for?",IF(IF(F157="",H157="",FALSE),"Add - no hours and no commission",IF(AB157&lt;-0.004,"Check - more commission paid than earned",IF(M157&lt;&gt;"Yes","Due - not paid yet",IF(N157="","Check - marked paid, no date","OK"))))))</f>
        <v>0</v>
      </c>
    </row>
    <row r="158" spans="1:30">
      <c r="A158" s="28">
        <f>IF(B158="","",PayrollPrefix&amp;TEXT(ROW()-4,"0000"))</f>
        <v>0</v>
      </c>
      <c r="E158" s="15">
        <f>IF(D158="","",IFERROR(INDEX(Staff!$B$5:$B$44,MATCH(D158,Staff!$A$5:$A$44,0)),"Not in Staff"))</f>
        <v>0</v>
      </c>
      <c r="Q158" s="15">
        <f>IF(B158="","",TEXT(B158,"yyyy-mm"))</f>
        <v>0</v>
      </c>
      <c r="R158" s="25">
        <f>IF(B158="","",WEEKNUM(B158,2))</f>
        <v>0</v>
      </c>
      <c r="S158" s="26">
        <f>IF(B158="","",IF(G158&lt;&gt;"",G158,IFERROR(IF(INDEX(Staff!$P$5:$P$44,MATCH(D158,Staff!$A$5:$A$44,0))="",DefaultHourly,INDEX(Staff!$P$5:$P$44,MATCH(D158,Staff!$A$5:$A$44,0))),DefaultHourly)))</f>
        <v>0</v>
      </c>
      <c r="T158" s="26">
        <f>IF(B158="","",ROUND(IF(F158="",0,F158)*S158,2))</f>
        <v>0</v>
      </c>
      <c r="U158" s="26">
        <f>IF(B158="","",ROUND(T158+IF(H158="",0,H158)+IF(J158="",0,J158)+IF(K158="",0,K158),2))</f>
        <v>0</v>
      </c>
      <c r="V158" s="26">
        <f>IF(B158="","",ROUND(U158-IF(L158="",0,L158),2))</f>
        <v>0</v>
      </c>
      <c r="W158" s="26">
        <f>IF(B158="","",ROUND(V158+IF(I158="",0,I158),2))</f>
        <v>0</v>
      </c>
      <c r="X158" s="26">
        <f>IF(B158="","",IF(IFERROR(INDEX(Staff!$E$5:$E$44,MATCH(D158,Staff!$A$5:$A$44,0))&amp;"","")="Self-employed",0,IF(IFERROR(INDEX(Staff!$E$5:$E$44,MATCH(D158,Staff!$A$5:$A$44,0))&amp;"","")="Chair renter",0,ROUND(U158*PayrollBurden,2))))</f>
        <v>0</v>
      </c>
      <c r="Y158" s="26">
        <f>IF(B158="","",ROUND(U158+X158,2))</f>
        <v>0</v>
      </c>
      <c r="Z158" s="26">
        <f>IF(B158="","",ROUND(SUMIFS(Commissions!$X$5:$X$244,Commissions!$C$5:$C$244,D158,Commissions!$B$5:$B$244,Q158),2))</f>
        <v>0</v>
      </c>
      <c r="AA158" s="26">
        <f>IF(B158="","",ROUND(SUMIFS($H$5:$H$364,$D$5:$D$364,D158,$Q$5:$Q$364,Q158),2))</f>
        <v>0</v>
      </c>
      <c r="AB158" s="26">
        <f>IF(B158="","",ROUND(Z158-AA158,2))</f>
        <v>0</v>
      </c>
      <c r="AC158" s="26">
        <f>IF(B158="","",IF(IF(F158="",0,F158)=0,"",ROUND(Y158/F158,2)))</f>
        <v>0</v>
      </c>
      <c r="AD158" s="39">
        <f>IF(B158="","",IF(D158="","Add - who is this run for?",IF(IF(F158="",H158="",FALSE),"Add - no hours and no commission",IF(AB158&lt;-0.004,"Check - more commission paid than earned",IF(M158&lt;&gt;"Yes","Due - not paid yet",IF(N158="","Check - marked paid, no date","OK"))))))</f>
        <v>0</v>
      </c>
    </row>
    <row r="159" spans="1:30">
      <c r="A159" s="28">
        <f>IF(B159="","",PayrollPrefix&amp;TEXT(ROW()-4,"0000"))</f>
        <v>0</v>
      </c>
      <c r="E159" s="15">
        <f>IF(D159="","",IFERROR(INDEX(Staff!$B$5:$B$44,MATCH(D159,Staff!$A$5:$A$44,0)),"Not in Staff"))</f>
        <v>0</v>
      </c>
      <c r="Q159" s="15">
        <f>IF(B159="","",TEXT(B159,"yyyy-mm"))</f>
        <v>0</v>
      </c>
      <c r="R159" s="25">
        <f>IF(B159="","",WEEKNUM(B159,2))</f>
        <v>0</v>
      </c>
      <c r="S159" s="26">
        <f>IF(B159="","",IF(G159&lt;&gt;"",G159,IFERROR(IF(INDEX(Staff!$P$5:$P$44,MATCH(D159,Staff!$A$5:$A$44,0))="",DefaultHourly,INDEX(Staff!$P$5:$P$44,MATCH(D159,Staff!$A$5:$A$44,0))),DefaultHourly)))</f>
        <v>0</v>
      </c>
      <c r="T159" s="26">
        <f>IF(B159="","",ROUND(IF(F159="",0,F159)*S159,2))</f>
        <v>0</v>
      </c>
      <c r="U159" s="26">
        <f>IF(B159="","",ROUND(T159+IF(H159="",0,H159)+IF(J159="",0,J159)+IF(K159="",0,K159),2))</f>
        <v>0</v>
      </c>
      <c r="V159" s="26">
        <f>IF(B159="","",ROUND(U159-IF(L159="",0,L159),2))</f>
        <v>0</v>
      </c>
      <c r="W159" s="26">
        <f>IF(B159="","",ROUND(V159+IF(I159="",0,I159),2))</f>
        <v>0</v>
      </c>
      <c r="X159" s="26">
        <f>IF(B159="","",IF(IFERROR(INDEX(Staff!$E$5:$E$44,MATCH(D159,Staff!$A$5:$A$44,0))&amp;"","")="Self-employed",0,IF(IFERROR(INDEX(Staff!$E$5:$E$44,MATCH(D159,Staff!$A$5:$A$44,0))&amp;"","")="Chair renter",0,ROUND(U159*PayrollBurden,2))))</f>
        <v>0</v>
      </c>
      <c r="Y159" s="26">
        <f>IF(B159="","",ROUND(U159+X159,2))</f>
        <v>0</v>
      </c>
      <c r="Z159" s="26">
        <f>IF(B159="","",ROUND(SUMIFS(Commissions!$X$5:$X$244,Commissions!$C$5:$C$244,D159,Commissions!$B$5:$B$244,Q159),2))</f>
        <v>0</v>
      </c>
      <c r="AA159" s="26">
        <f>IF(B159="","",ROUND(SUMIFS($H$5:$H$364,$D$5:$D$364,D159,$Q$5:$Q$364,Q159),2))</f>
        <v>0</v>
      </c>
      <c r="AB159" s="26">
        <f>IF(B159="","",ROUND(Z159-AA159,2))</f>
        <v>0</v>
      </c>
      <c r="AC159" s="26">
        <f>IF(B159="","",IF(IF(F159="",0,F159)=0,"",ROUND(Y159/F159,2)))</f>
        <v>0</v>
      </c>
      <c r="AD159" s="39">
        <f>IF(B159="","",IF(D159="","Add - who is this run for?",IF(IF(F159="",H159="",FALSE),"Add - no hours and no commission",IF(AB159&lt;-0.004,"Check - more commission paid than earned",IF(M159&lt;&gt;"Yes","Due - not paid yet",IF(N159="","Check - marked paid, no date","OK"))))))</f>
        <v>0</v>
      </c>
    </row>
    <row r="160" spans="1:30">
      <c r="A160" s="28">
        <f>IF(B160="","",PayrollPrefix&amp;TEXT(ROW()-4,"0000"))</f>
        <v>0</v>
      </c>
      <c r="E160" s="15">
        <f>IF(D160="","",IFERROR(INDEX(Staff!$B$5:$B$44,MATCH(D160,Staff!$A$5:$A$44,0)),"Not in Staff"))</f>
        <v>0</v>
      </c>
      <c r="Q160" s="15">
        <f>IF(B160="","",TEXT(B160,"yyyy-mm"))</f>
        <v>0</v>
      </c>
      <c r="R160" s="25">
        <f>IF(B160="","",WEEKNUM(B160,2))</f>
        <v>0</v>
      </c>
      <c r="S160" s="26">
        <f>IF(B160="","",IF(G160&lt;&gt;"",G160,IFERROR(IF(INDEX(Staff!$P$5:$P$44,MATCH(D160,Staff!$A$5:$A$44,0))="",DefaultHourly,INDEX(Staff!$P$5:$P$44,MATCH(D160,Staff!$A$5:$A$44,0))),DefaultHourly)))</f>
        <v>0</v>
      </c>
      <c r="T160" s="26">
        <f>IF(B160="","",ROUND(IF(F160="",0,F160)*S160,2))</f>
        <v>0</v>
      </c>
      <c r="U160" s="26">
        <f>IF(B160="","",ROUND(T160+IF(H160="",0,H160)+IF(J160="",0,J160)+IF(K160="",0,K160),2))</f>
        <v>0</v>
      </c>
      <c r="V160" s="26">
        <f>IF(B160="","",ROUND(U160-IF(L160="",0,L160),2))</f>
        <v>0</v>
      </c>
      <c r="W160" s="26">
        <f>IF(B160="","",ROUND(V160+IF(I160="",0,I160),2))</f>
        <v>0</v>
      </c>
      <c r="X160" s="26">
        <f>IF(B160="","",IF(IFERROR(INDEX(Staff!$E$5:$E$44,MATCH(D160,Staff!$A$5:$A$44,0))&amp;"","")="Self-employed",0,IF(IFERROR(INDEX(Staff!$E$5:$E$44,MATCH(D160,Staff!$A$5:$A$44,0))&amp;"","")="Chair renter",0,ROUND(U160*PayrollBurden,2))))</f>
        <v>0</v>
      </c>
      <c r="Y160" s="26">
        <f>IF(B160="","",ROUND(U160+X160,2))</f>
        <v>0</v>
      </c>
      <c r="Z160" s="26">
        <f>IF(B160="","",ROUND(SUMIFS(Commissions!$X$5:$X$244,Commissions!$C$5:$C$244,D160,Commissions!$B$5:$B$244,Q160),2))</f>
        <v>0</v>
      </c>
      <c r="AA160" s="26">
        <f>IF(B160="","",ROUND(SUMIFS($H$5:$H$364,$D$5:$D$364,D160,$Q$5:$Q$364,Q160),2))</f>
        <v>0</v>
      </c>
      <c r="AB160" s="26">
        <f>IF(B160="","",ROUND(Z160-AA160,2))</f>
        <v>0</v>
      </c>
      <c r="AC160" s="26">
        <f>IF(B160="","",IF(IF(F160="",0,F160)=0,"",ROUND(Y160/F160,2)))</f>
        <v>0</v>
      </c>
      <c r="AD160" s="39">
        <f>IF(B160="","",IF(D160="","Add - who is this run for?",IF(IF(F160="",H160="",FALSE),"Add - no hours and no commission",IF(AB160&lt;-0.004,"Check - more commission paid than earned",IF(M160&lt;&gt;"Yes","Due - not paid yet",IF(N160="","Check - marked paid, no date","OK"))))))</f>
        <v>0</v>
      </c>
    </row>
    <row r="161" spans="1:30">
      <c r="A161" s="28">
        <f>IF(B161="","",PayrollPrefix&amp;TEXT(ROW()-4,"0000"))</f>
        <v>0</v>
      </c>
      <c r="E161" s="15">
        <f>IF(D161="","",IFERROR(INDEX(Staff!$B$5:$B$44,MATCH(D161,Staff!$A$5:$A$44,0)),"Not in Staff"))</f>
        <v>0</v>
      </c>
      <c r="Q161" s="15">
        <f>IF(B161="","",TEXT(B161,"yyyy-mm"))</f>
        <v>0</v>
      </c>
      <c r="R161" s="25">
        <f>IF(B161="","",WEEKNUM(B161,2))</f>
        <v>0</v>
      </c>
      <c r="S161" s="26">
        <f>IF(B161="","",IF(G161&lt;&gt;"",G161,IFERROR(IF(INDEX(Staff!$P$5:$P$44,MATCH(D161,Staff!$A$5:$A$44,0))="",DefaultHourly,INDEX(Staff!$P$5:$P$44,MATCH(D161,Staff!$A$5:$A$44,0))),DefaultHourly)))</f>
        <v>0</v>
      </c>
      <c r="T161" s="26">
        <f>IF(B161="","",ROUND(IF(F161="",0,F161)*S161,2))</f>
        <v>0</v>
      </c>
      <c r="U161" s="26">
        <f>IF(B161="","",ROUND(T161+IF(H161="",0,H161)+IF(J161="",0,J161)+IF(K161="",0,K161),2))</f>
        <v>0</v>
      </c>
      <c r="V161" s="26">
        <f>IF(B161="","",ROUND(U161-IF(L161="",0,L161),2))</f>
        <v>0</v>
      </c>
      <c r="W161" s="26">
        <f>IF(B161="","",ROUND(V161+IF(I161="",0,I161),2))</f>
        <v>0</v>
      </c>
      <c r="X161" s="26">
        <f>IF(B161="","",IF(IFERROR(INDEX(Staff!$E$5:$E$44,MATCH(D161,Staff!$A$5:$A$44,0))&amp;"","")="Self-employed",0,IF(IFERROR(INDEX(Staff!$E$5:$E$44,MATCH(D161,Staff!$A$5:$A$44,0))&amp;"","")="Chair renter",0,ROUND(U161*PayrollBurden,2))))</f>
        <v>0</v>
      </c>
      <c r="Y161" s="26">
        <f>IF(B161="","",ROUND(U161+X161,2))</f>
        <v>0</v>
      </c>
      <c r="Z161" s="26">
        <f>IF(B161="","",ROUND(SUMIFS(Commissions!$X$5:$X$244,Commissions!$C$5:$C$244,D161,Commissions!$B$5:$B$244,Q161),2))</f>
        <v>0</v>
      </c>
      <c r="AA161" s="26">
        <f>IF(B161="","",ROUND(SUMIFS($H$5:$H$364,$D$5:$D$364,D161,$Q$5:$Q$364,Q161),2))</f>
        <v>0</v>
      </c>
      <c r="AB161" s="26">
        <f>IF(B161="","",ROUND(Z161-AA161,2))</f>
        <v>0</v>
      </c>
      <c r="AC161" s="26">
        <f>IF(B161="","",IF(IF(F161="",0,F161)=0,"",ROUND(Y161/F161,2)))</f>
        <v>0</v>
      </c>
      <c r="AD161" s="39">
        <f>IF(B161="","",IF(D161="","Add - who is this run for?",IF(IF(F161="",H161="",FALSE),"Add - no hours and no commission",IF(AB161&lt;-0.004,"Check - more commission paid than earned",IF(M161&lt;&gt;"Yes","Due - not paid yet",IF(N161="","Check - marked paid, no date","OK"))))))</f>
        <v>0</v>
      </c>
    </row>
    <row r="162" spans="1:30">
      <c r="A162" s="28">
        <f>IF(B162="","",PayrollPrefix&amp;TEXT(ROW()-4,"0000"))</f>
        <v>0</v>
      </c>
      <c r="E162" s="15">
        <f>IF(D162="","",IFERROR(INDEX(Staff!$B$5:$B$44,MATCH(D162,Staff!$A$5:$A$44,0)),"Not in Staff"))</f>
        <v>0</v>
      </c>
      <c r="Q162" s="15">
        <f>IF(B162="","",TEXT(B162,"yyyy-mm"))</f>
        <v>0</v>
      </c>
      <c r="R162" s="25">
        <f>IF(B162="","",WEEKNUM(B162,2))</f>
        <v>0</v>
      </c>
      <c r="S162" s="26">
        <f>IF(B162="","",IF(G162&lt;&gt;"",G162,IFERROR(IF(INDEX(Staff!$P$5:$P$44,MATCH(D162,Staff!$A$5:$A$44,0))="",DefaultHourly,INDEX(Staff!$P$5:$P$44,MATCH(D162,Staff!$A$5:$A$44,0))),DefaultHourly)))</f>
        <v>0</v>
      </c>
      <c r="T162" s="26">
        <f>IF(B162="","",ROUND(IF(F162="",0,F162)*S162,2))</f>
        <v>0</v>
      </c>
      <c r="U162" s="26">
        <f>IF(B162="","",ROUND(T162+IF(H162="",0,H162)+IF(J162="",0,J162)+IF(K162="",0,K162),2))</f>
        <v>0</v>
      </c>
      <c r="V162" s="26">
        <f>IF(B162="","",ROUND(U162-IF(L162="",0,L162),2))</f>
        <v>0</v>
      </c>
      <c r="W162" s="26">
        <f>IF(B162="","",ROUND(V162+IF(I162="",0,I162),2))</f>
        <v>0</v>
      </c>
      <c r="X162" s="26">
        <f>IF(B162="","",IF(IFERROR(INDEX(Staff!$E$5:$E$44,MATCH(D162,Staff!$A$5:$A$44,0))&amp;"","")="Self-employed",0,IF(IFERROR(INDEX(Staff!$E$5:$E$44,MATCH(D162,Staff!$A$5:$A$44,0))&amp;"","")="Chair renter",0,ROUND(U162*PayrollBurden,2))))</f>
        <v>0</v>
      </c>
      <c r="Y162" s="26">
        <f>IF(B162="","",ROUND(U162+X162,2))</f>
        <v>0</v>
      </c>
      <c r="Z162" s="26">
        <f>IF(B162="","",ROUND(SUMIFS(Commissions!$X$5:$X$244,Commissions!$C$5:$C$244,D162,Commissions!$B$5:$B$244,Q162),2))</f>
        <v>0</v>
      </c>
      <c r="AA162" s="26">
        <f>IF(B162="","",ROUND(SUMIFS($H$5:$H$364,$D$5:$D$364,D162,$Q$5:$Q$364,Q162),2))</f>
        <v>0</v>
      </c>
      <c r="AB162" s="26">
        <f>IF(B162="","",ROUND(Z162-AA162,2))</f>
        <v>0</v>
      </c>
      <c r="AC162" s="26">
        <f>IF(B162="","",IF(IF(F162="",0,F162)=0,"",ROUND(Y162/F162,2)))</f>
        <v>0</v>
      </c>
      <c r="AD162" s="39">
        <f>IF(B162="","",IF(D162="","Add - who is this run for?",IF(IF(F162="",H162="",FALSE),"Add - no hours and no commission",IF(AB162&lt;-0.004,"Check - more commission paid than earned",IF(M162&lt;&gt;"Yes","Due - not paid yet",IF(N162="","Check - marked paid, no date","OK"))))))</f>
        <v>0</v>
      </c>
    </row>
    <row r="163" spans="1:30">
      <c r="A163" s="28">
        <f>IF(B163="","",PayrollPrefix&amp;TEXT(ROW()-4,"0000"))</f>
        <v>0</v>
      </c>
      <c r="E163" s="15">
        <f>IF(D163="","",IFERROR(INDEX(Staff!$B$5:$B$44,MATCH(D163,Staff!$A$5:$A$44,0)),"Not in Staff"))</f>
        <v>0</v>
      </c>
      <c r="Q163" s="15">
        <f>IF(B163="","",TEXT(B163,"yyyy-mm"))</f>
        <v>0</v>
      </c>
      <c r="R163" s="25">
        <f>IF(B163="","",WEEKNUM(B163,2))</f>
        <v>0</v>
      </c>
      <c r="S163" s="26">
        <f>IF(B163="","",IF(G163&lt;&gt;"",G163,IFERROR(IF(INDEX(Staff!$P$5:$P$44,MATCH(D163,Staff!$A$5:$A$44,0))="",DefaultHourly,INDEX(Staff!$P$5:$P$44,MATCH(D163,Staff!$A$5:$A$44,0))),DefaultHourly)))</f>
        <v>0</v>
      </c>
      <c r="T163" s="26">
        <f>IF(B163="","",ROUND(IF(F163="",0,F163)*S163,2))</f>
        <v>0</v>
      </c>
      <c r="U163" s="26">
        <f>IF(B163="","",ROUND(T163+IF(H163="",0,H163)+IF(J163="",0,J163)+IF(K163="",0,K163),2))</f>
        <v>0</v>
      </c>
      <c r="V163" s="26">
        <f>IF(B163="","",ROUND(U163-IF(L163="",0,L163),2))</f>
        <v>0</v>
      </c>
      <c r="W163" s="26">
        <f>IF(B163="","",ROUND(V163+IF(I163="",0,I163),2))</f>
        <v>0</v>
      </c>
      <c r="X163" s="26">
        <f>IF(B163="","",IF(IFERROR(INDEX(Staff!$E$5:$E$44,MATCH(D163,Staff!$A$5:$A$44,0))&amp;"","")="Self-employed",0,IF(IFERROR(INDEX(Staff!$E$5:$E$44,MATCH(D163,Staff!$A$5:$A$44,0))&amp;"","")="Chair renter",0,ROUND(U163*PayrollBurden,2))))</f>
        <v>0</v>
      </c>
      <c r="Y163" s="26">
        <f>IF(B163="","",ROUND(U163+X163,2))</f>
        <v>0</v>
      </c>
      <c r="Z163" s="26">
        <f>IF(B163="","",ROUND(SUMIFS(Commissions!$X$5:$X$244,Commissions!$C$5:$C$244,D163,Commissions!$B$5:$B$244,Q163),2))</f>
        <v>0</v>
      </c>
      <c r="AA163" s="26">
        <f>IF(B163="","",ROUND(SUMIFS($H$5:$H$364,$D$5:$D$364,D163,$Q$5:$Q$364,Q163),2))</f>
        <v>0</v>
      </c>
      <c r="AB163" s="26">
        <f>IF(B163="","",ROUND(Z163-AA163,2))</f>
        <v>0</v>
      </c>
      <c r="AC163" s="26">
        <f>IF(B163="","",IF(IF(F163="",0,F163)=0,"",ROUND(Y163/F163,2)))</f>
        <v>0</v>
      </c>
      <c r="AD163" s="39">
        <f>IF(B163="","",IF(D163="","Add - who is this run for?",IF(IF(F163="",H163="",FALSE),"Add - no hours and no commission",IF(AB163&lt;-0.004,"Check - more commission paid than earned",IF(M163&lt;&gt;"Yes","Due - not paid yet",IF(N163="","Check - marked paid, no date","OK"))))))</f>
        <v>0</v>
      </c>
    </row>
    <row r="164" spans="1:30">
      <c r="A164" s="28">
        <f>IF(B164="","",PayrollPrefix&amp;TEXT(ROW()-4,"0000"))</f>
        <v>0</v>
      </c>
      <c r="E164" s="15">
        <f>IF(D164="","",IFERROR(INDEX(Staff!$B$5:$B$44,MATCH(D164,Staff!$A$5:$A$44,0)),"Not in Staff"))</f>
        <v>0</v>
      </c>
      <c r="Q164" s="15">
        <f>IF(B164="","",TEXT(B164,"yyyy-mm"))</f>
        <v>0</v>
      </c>
      <c r="R164" s="25">
        <f>IF(B164="","",WEEKNUM(B164,2))</f>
        <v>0</v>
      </c>
      <c r="S164" s="26">
        <f>IF(B164="","",IF(G164&lt;&gt;"",G164,IFERROR(IF(INDEX(Staff!$P$5:$P$44,MATCH(D164,Staff!$A$5:$A$44,0))="",DefaultHourly,INDEX(Staff!$P$5:$P$44,MATCH(D164,Staff!$A$5:$A$44,0))),DefaultHourly)))</f>
        <v>0</v>
      </c>
      <c r="T164" s="26">
        <f>IF(B164="","",ROUND(IF(F164="",0,F164)*S164,2))</f>
        <v>0</v>
      </c>
      <c r="U164" s="26">
        <f>IF(B164="","",ROUND(T164+IF(H164="",0,H164)+IF(J164="",0,J164)+IF(K164="",0,K164),2))</f>
        <v>0</v>
      </c>
      <c r="V164" s="26">
        <f>IF(B164="","",ROUND(U164-IF(L164="",0,L164),2))</f>
        <v>0</v>
      </c>
      <c r="W164" s="26">
        <f>IF(B164="","",ROUND(V164+IF(I164="",0,I164),2))</f>
        <v>0</v>
      </c>
      <c r="X164" s="26">
        <f>IF(B164="","",IF(IFERROR(INDEX(Staff!$E$5:$E$44,MATCH(D164,Staff!$A$5:$A$44,0))&amp;"","")="Self-employed",0,IF(IFERROR(INDEX(Staff!$E$5:$E$44,MATCH(D164,Staff!$A$5:$A$44,0))&amp;"","")="Chair renter",0,ROUND(U164*PayrollBurden,2))))</f>
        <v>0</v>
      </c>
      <c r="Y164" s="26">
        <f>IF(B164="","",ROUND(U164+X164,2))</f>
        <v>0</v>
      </c>
      <c r="Z164" s="26">
        <f>IF(B164="","",ROUND(SUMIFS(Commissions!$X$5:$X$244,Commissions!$C$5:$C$244,D164,Commissions!$B$5:$B$244,Q164),2))</f>
        <v>0</v>
      </c>
      <c r="AA164" s="26">
        <f>IF(B164="","",ROUND(SUMIFS($H$5:$H$364,$D$5:$D$364,D164,$Q$5:$Q$364,Q164),2))</f>
        <v>0</v>
      </c>
      <c r="AB164" s="26">
        <f>IF(B164="","",ROUND(Z164-AA164,2))</f>
        <v>0</v>
      </c>
      <c r="AC164" s="26">
        <f>IF(B164="","",IF(IF(F164="",0,F164)=0,"",ROUND(Y164/F164,2)))</f>
        <v>0</v>
      </c>
      <c r="AD164" s="39">
        <f>IF(B164="","",IF(D164="","Add - who is this run for?",IF(IF(F164="",H164="",FALSE),"Add - no hours and no commission",IF(AB164&lt;-0.004,"Check - more commission paid than earned",IF(M164&lt;&gt;"Yes","Due - not paid yet",IF(N164="","Check - marked paid, no date","OK"))))))</f>
        <v>0</v>
      </c>
    </row>
    <row r="165" spans="1:30">
      <c r="A165" s="28">
        <f>IF(B165="","",PayrollPrefix&amp;TEXT(ROW()-4,"0000"))</f>
        <v>0</v>
      </c>
      <c r="E165" s="15">
        <f>IF(D165="","",IFERROR(INDEX(Staff!$B$5:$B$44,MATCH(D165,Staff!$A$5:$A$44,0)),"Not in Staff"))</f>
        <v>0</v>
      </c>
      <c r="Q165" s="15">
        <f>IF(B165="","",TEXT(B165,"yyyy-mm"))</f>
        <v>0</v>
      </c>
      <c r="R165" s="25">
        <f>IF(B165="","",WEEKNUM(B165,2))</f>
        <v>0</v>
      </c>
      <c r="S165" s="26">
        <f>IF(B165="","",IF(G165&lt;&gt;"",G165,IFERROR(IF(INDEX(Staff!$P$5:$P$44,MATCH(D165,Staff!$A$5:$A$44,0))="",DefaultHourly,INDEX(Staff!$P$5:$P$44,MATCH(D165,Staff!$A$5:$A$44,0))),DefaultHourly)))</f>
        <v>0</v>
      </c>
      <c r="T165" s="26">
        <f>IF(B165="","",ROUND(IF(F165="",0,F165)*S165,2))</f>
        <v>0</v>
      </c>
      <c r="U165" s="26">
        <f>IF(B165="","",ROUND(T165+IF(H165="",0,H165)+IF(J165="",0,J165)+IF(K165="",0,K165),2))</f>
        <v>0</v>
      </c>
      <c r="V165" s="26">
        <f>IF(B165="","",ROUND(U165-IF(L165="",0,L165),2))</f>
        <v>0</v>
      </c>
      <c r="W165" s="26">
        <f>IF(B165="","",ROUND(V165+IF(I165="",0,I165),2))</f>
        <v>0</v>
      </c>
      <c r="X165" s="26">
        <f>IF(B165="","",IF(IFERROR(INDEX(Staff!$E$5:$E$44,MATCH(D165,Staff!$A$5:$A$44,0))&amp;"","")="Self-employed",0,IF(IFERROR(INDEX(Staff!$E$5:$E$44,MATCH(D165,Staff!$A$5:$A$44,0))&amp;"","")="Chair renter",0,ROUND(U165*PayrollBurden,2))))</f>
        <v>0</v>
      </c>
      <c r="Y165" s="26">
        <f>IF(B165="","",ROUND(U165+X165,2))</f>
        <v>0</v>
      </c>
      <c r="Z165" s="26">
        <f>IF(B165="","",ROUND(SUMIFS(Commissions!$X$5:$X$244,Commissions!$C$5:$C$244,D165,Commissions!$B$5:$B$244,Q165),2))</f>
        <v>0</v>
      </c>
      <c r="AA165" s="26">
        <f>IF(B165="","",ROUND(SUMIFS($H$5:$H$364,$D$5:$D$364,D165,$Q$5:$Q$364,Q165),2))</f>
        <v>0</v>
      </c>
      <c r="AB165" s="26">
        <f>IF(B165="","",ROUND(Z165-AA165,2))</f>
        <v>0</v>
      </c>
      <c r="AC165" s="26">
        <f>IF(B165="","",IF(IF(F165="",0,F165)=0,"",ROUND(Y165/F165,2)))</f>
        <v>0</v>
      </c>
      <c r="AD165" s="39">
        <f>IF(B165="","",IF(D165="","Add - who is this run for?",IF(IF(F165="",H165="",FALSE),"Add - no hours and no commission",IF(AB165&lt;-0.004,"Check - more commission paid than earned",IF(M165&lt;&gt;"Yes","Due - not paid yet",IF(N165="","Check - marked paid, no date","OK"))))))</f>
        <v>0</v>
      </c>
    </row>
    <row r="166" spans="1:30">
      <c r="A166" s="28">
        <f>IF(B166="","",PayrollPrefix&amp;TEXT(ROW()-4,"0000"))</f>
        <v>0</v>
      </c>
      <c r="E166" s="15">
        <f>IF(D166="","",IFERROR(INDEX(Staff!$B$5:$B$44,MATCH(D166,Staff!$A$5:$A$44,0)),"Not in Staff"))</f>
        <v>0</v>
      </c>
      <c r="Q166" s="15">
        <f>IF(B166="","",TEXT(B166,"yyyy-mm"))</f>
        <v>0</v>
      </c>
      <c r="R166" s="25">
        <f>IF(B166="","",WEEKNUM(B166,2))</f>
        <v>0</v>
      </c>
      <c r="S166" s="26">
        <f>IF(B166="","",IF(G166&lt;&gt;"",G166,IFERROR(IF(INDEX(Staff!$P$5:$P$44,MATCH(D166,Staff!$A$5:$A$44,0))="",DefaultHourly,INDEX(Staff!$P$5:$P$44,MATCH(D166,Staff!$A$5:$A$44,0))),DefaultHourly)))</f>
        <v>0</v>
      </c>
      <c r="T166" s="26">
        <f>IF(B166="","",ROUND(IF(F166="",0,F166)*S166,2))</f>
        <v>0</v>
      </c>
      <c r="U166" s="26">
        <f>IF(B166="","",ROUND(T166+IF(H166="",0,H166)+IF(J166="",0,J166)+IF(K166="",0,K166),2))</f>
        <v>0</v>
      </c>
      <c r="V166" s="26">
        <f>IF(B166="","",ROUND(U166-IF(L166="",0,L166),2))</f>
        <v>0</v>
      </c>
      <c r="W166" s="26">
        <f>IF(B166="","",ROUND(V166+IF(I166="",0,I166),2))</f>
        <v>0</v>
      </c>
      <c r="X166" s="26">
        <f>IF(B166="","",IF(IFERROR(INDEX(Staff!$E$5:$E$44,MATCH(D166,Staff!$A$5:$A$44,0))&amp;"","")="Self-employed",0,IF(IFERROR(INDEX(Staff!$E$5:$E$44,MATCH(D166,Staff!$A$5:$A$44,0))&amp;"","")="Chair renter",0,ROUND(U166*PayrollBurden,2))))</f>
        <v>0</v>
      </c>
      <c r="Y166" s="26">
        <f>IF(B166="","",ROUND(U166+X166,2))</f>
        <v>0</v>
      </c>
      <c r="Z166" s="26">
        <f>IF(B166="","",ROUND(SUMIFS(Commissions!$X$5:$X$244,Commissions!$C$5:$C$244,D166,Commissions!$B$5:$B$244,Q166),2))</f>
        <v>0</v>
      </c>
      <c r="AA166" s="26">
        <f>IF(B166="","",ROUND(SUMIFS($H$5:$H$364,$D$5:$D$364,D166,$Q$5:$Q$364,Q166),2))</f>
        <v>0</v>
      </c>
      <c r="AB166" s="26">
        <f>IF(B166="","",ROUND(Z166-AA166,2))</f>
        <v>0</v>
      </c>
      <c r="AC166" s="26">
        <f>IF(B166="","",IF(IF(F166="",0,F166)=0,"",ROUND(Y166/F166,2)))</f>
        <v>0</v>
      </c>
      <c r="AD166" s="39">
        <f>IF(B166="","",IF(D166="","Add - who is this run for?",IF(IF(F166="",H166="",FALSE),"Add - no hours and no commission",IF(AB166&lt;-0.004,"Check - more commission paid than earned",IF(M166&lt;&gt;"Yes","Due - not paid yet",IF(N166="","Check - marked paid, no date","OK"))))))</f>
        <v>0</v>
      </c>
    </row>
    <row r="167" spans="1:30">
      <c r="A167" s="28">
        <f>IF(B167="","",PayrollPrefix&amp;TEXT(ROW()-4,"0000"))</f>
        <v>0</v>
      </c>
      <c r="E167" s="15">
        <f>IF(D167="","",IFERROR(INDEX(Staff!$B$5:$B$44,MATCH(D167,Staff!$A$5:$A$44,0)),"Not in Staff"))</f>
        <v>0</v>
      </c>
      <c r="Q167" s="15">
        <f>IF(B167="","",TEXT(B167,"yyyy-mm"))</f>
        <v>0</v>
      </c>
      <c r="R167" s="25">
        <f>IF(B167="","",WEEKNUM(B167,2))</f>
        <v>0</v>
      </c>
      <c r="S167" s="26">
        <f>IF(B167="","",IF(G167&lt;&gt;"",G167,IFERROR(IF(INDEX(Staff!$P$5:$P$44,MATCH(D167,Staff!$A$5:$A$44,0))="",DefaultHourly,INDEX(Staff!$P$5:$P$44,MATCH(D167,Staff!$A$5:$A$44,0))),DefaultHourly)))</f>
        <v>0</v>
      </c>
      <c r="T167" s="26">
        <f>IF(B167="","",ROUND(IF(F167="",0,F167)*S167,2))</f>
        <v>0</v>
      </c>
      <c r="U167" s="26">
        <f>IF(B167="","",ROUND(T167+IF(H167="",0,H167)+IF(J167="",0,J167)+IF(K167="",0,K167),2))</f>
        <v>0</v>
      </c>
      <c r="V167" s="26">
        <f>IF(B167="","",ROUND(U167-IF(L167="",0,L167),2))</f>
        <v>0</v>
      </c>
      <c r="W167" s="26">
        <f>IF(B167="","",ROUND(V167+IF(I167="",0,I167),2))</f>
        <v>0</v>
      </c>
      <c r="X167" s="26">
        <f>IF(B167="","",IF(IFERROR(INDEX(Staff!$E$5:$E$44,MATCH(D167,Staff!$A$5:$A$44,0))&amp;"","")="Self-employed",0,IF(IFERROR(INDEX(Staff!$E$5:$E$44,MATCH(D167,Staff!$A$5:$A$44,0))&amp;"","")="Chair renter",0,ROUND(U167*PayrollBurden,2))))</f>
        <v>0</v>
      </c>
      <c r="Y167" s="26">
        <f>IF(B167="","",ROUND(U167+X167,2))</f>
        <v>0</v>
      </c>
      <c r="Z167" s="26">
        <f>IF(B167="","",ROUND(SUMIFS(Commissions!$X$5:$X$244,Commissions!$C$5:$C$244,D167,Commissions!$B$5:$B$244,Q167),2))</f>
        <v>0</v>
      </c>
      <c r="AA167" s="26">
        <f>IF(B167="","",ROUND(SUMIFS($H$5:$H$364,$D$5:$D$364,D167,$Q$5:$Q$364,Q167),2))</f>
        <v>0</v>
      </c>
      <c r="AB167" s="26">
        <f>IF(B167="","",ROUND(Z167-AA167,2))</f>
        <v>0</v>
      </c>
      <c r="AC167" s="26">
        <f>IF(B167="","",IF(IF(F167="",0,F167)=0,"",ROUND(Y167/F167,2)))</f>
        <v>0</v>
      </c>
      <c r="AD167" s="39">
        <f>IF(B167="","",IF(D167="","Add - who is this run for?",IF(IF(F167="",H167="",FALSE),"Add - no hours and no commission",IF(AB167&lt;-0.004,"Check - more commission paid than earned",IF(M167&lt;&gt;"Yes","Due - not paid yet",IF(N167="","Check - marked paid, no date","OK"))))))</f>
        <v>0</v>
      </c>
    </row>
    <row r="168" spans="1:30">
      <c r="A168" s="28">
        <f>IF(B168="","",PayrollPrefix&amp;TEXT(ROW()-4,"0000"))</f>
        <v>0</v>
      </c>
      <c r="E168" s="15">
        <f>IF(D168="","",IFERROR(INDEX(Staff!$B$5:$B$44,MATCH(D168,Staff!$A$5:$A$44,0)),"Not in Staff"))</f>
        <v>0</v>
      </c>
      <c r="Q168" s="15">
        <f>IF(B168="","",TEXT(B168,"yyyy-mm"))</f>
        <v>0</v>
      </c>
      <c r="R168" s="25">
        <f>IF(B168="","",WEEKNUM(B168,2))</f>
        <v>0</v>
      </c>
      <c r="S168" s="26">
        <f>IF(B168="","",IF(G168&lt;&gt;"",G168,IFERROR(IF(INDEX(Staff!$P$5:$P$44,MATCH(D168,Staff!$A$5:$A$44,0))="",DefaultHourly,INDEX(Staff!$P$5:$P$44,MATCH(D168,Staff!$A$5:$A$44,0))),DefaultHourly)))</f>
        <v>0</v>
      </c>
      <c r="T168" s="26">
        <f>IF(B168="","",ROUND(IF(F168="",0,F168)*S168,2))</f>
        <v>0</v>
      </c>
      <c r="U168" s="26">
        <f>IF(B168="","",ROUND(T168+IF(H168="",0,H168)+IF(J168="",0,J168)+IF(K168="",0,K168),2))</f>
        <v>0</v>
      </c>
      <c r="V168" s="26">
        <f>IF(B168="","",ROUND(U168-IF(L168="",0,L168),2))</f>
        <v>0</v>
      </c>
      <c r="W168" s="26">
        <f>IF(B168="","",ROUND(V168+IF(I168="",0,I168),2))</f>
        <v>0</v>
      </c>
      <c r="X168" s="26">
        <f>IF(B168="","",IF(IFERROR(INDEX(Staff!$E$5:$E$44,MATCH(D168,Staff!$A$5:$A$44,0))&amp;"","")="Self-employed",0,IF(IFERROR(INDEX(Staff!$E$5:$E$44,MATCH(D168,Staff!$A$5:$A$44,0))&amp;"","")="Chair renter",0,ROUND(U168*PayrollBurden,2))))</f>
        <v>0</v>
      </c>
      <c r="Y168" s="26">
        <f>IF(B168="","",ROUND(U168+X168,2))</f>
        <v>0</v>
      </c>
      <c r="Z168" s="26">
        <f>IF(B168="","",ROUND(SUMIFS(Commissions!$X$5:$X$244,Commissions!$C$5:$C$244,D168,Commissions!$B$5:$B$244,Q168),2))</f>
        <v>0</v>
      </c>
      <c r="AA168" s="26">
        <f>IF(B168="","",ROUND(SUMIFS($H$5:$H$364,$D$5:$D$364,D168,$Q$5:$Q$364,Q168),2))</f>
        <v>0</v>
      </c>
      <c r="AB168" s="26">
        <f>IF(B168="","",ROUND(Z168-AA168,2))</f>
        <v>0</v>
      </c>
      <c r="AC168" s="26">
        <f>IF(B168="","",IF(IF(F168="",0,F168)=0,"",ROUND(Y168/F168,2)))</f>
        <v>0</v>
      </c>
      <c r="AD168" s="39">
        <f>IF(B168="","",IF(D168="","Add - who is this run for?",IF(IF(F168="",H168="",FALSE),"Add - no hours and no commission",IF(AB168&lt;-0.004,"Check - more commission paid than earned",IF(M168&lt;&gt;"Yes","Due - not paid yet",IF(N168="","Check - marked paid, no date","OK"))))))</f>
        <v>0</v>
      </c>
    </row>
    <row r="169" spans="1:30">
      <c r="A169" s="28">
        <f>IF(B169="","",PayrollPrefix&amp;TEXT(ROW()-4,"0000"))</f>
        <v>0</v>
      </c>
      <c r="E169" s="15">
        <f>IF(D169="","",IFERROR(INDEX(Staff!$B$5:$B$44,MATCH(D169,Staff!$A$5:$A$44,0)),"Not in Staff"))</f>
        <v>0</v>
      </c>
      <c r="Q169" s="15">
        <f>IF(B169="","",TEXT(B169,"yyyy-mm"))</f>
        <v>0</v>
      </c>
      <c r="R169" s="25">
        <f>IF(B169="","",WEEKNUM(B169,2))</f>
        <v>0</v>
      </c>
      <c r="S169" s="26">
        <f>IF(B169="","",IF(G169&lt;&gt;"",G169,IFERROR(IF(INDEX(Staff!$P$5:$P$44,MATCH(D169,Staff!$A$5:$A$44,0))="",DefaultHourly,INDEX(Staff!$P$5:$P$44,MATCH(D169,Staff!$A$5:$A$44,0))),DefaultHourly)))</f>
        <v>0</v>
      </c>
      <c r="T169" s="26">
        <f>IF(B169="","",ROUND(IF(F169="",0,F169)*S169,2))</f>
        <v>0</v>
      </c>
      <c r="U169" s="26">
        <f>IF(B169="","",ROUND(T169+IF(H169="",0,H169)+IF(J169="",0,J169)+IF(K169="",0,K169),2))</f>
        <v>0</v>
      </c>
      <c r="V169" s="26">
        <f>IF(B169="","",ROUND(U169-IF(L169="",0,L169),2))</f>
        <v>0</v>
      </c>
      <c r="W169" s="26">
        <f>IF(B169="","",ROUND(V169+IF(I169="",0,I169),2))</f>
        <v>0</v>
      </c>
      <c r="X169" s="26">
        <f>IF(B169="","",IF(IFERROR(INDEX(Staff!$E$5:$E$44,MATCH(D169,Staff!$A$5:$A$44,0))&amp;"","")="Self-employed",0,IF(IFERROR(INDEX(Staff!$E$5:$E$44,MATCH(D169,Staff!$A$5:$A$44,0))&amp;"","")="Chair renter",0,ROUND(U169*PayrollBurden,2))))</f>
        <v>0</v>
      </c>
      <c r="Y169" s="26">
        <f>IF(B169="","",ROUND(U169+X169,2))</f>
        <v>0</v>
      </c>
      <c r="Z169" s="26">
        <f>IF(B169="","",ROUND(SUMIFS(Commissions!$X$5:$X$244,Commissions!$C$5:$C$244,D169,Commissions!$B$5:$B$244,Q169),2))</f>
        <v>0</v>
      </c>
      <c r="AA169" s="26">
        <f>IF(B169="","",ROUND(SUMIFS($H$5:$H$364,$D$5:$D$364,D169,$Q$5:$Q$364,Q169),2))</f>
        <v>0</v>
      </c>
      <c r="AB169" s="26">
        <f>IF(B169="","",ROUND(Z169-AA169,2))</f>
        <v>0</v>
      </c>
      <c r="AC169" s="26">
        <f>IF(B169="","",IF(IF(F169="",0,F169)=0,"",ROUND(Y169/F169,2)))</f>
        <v>0</v>
      </c>
      <c r="AD169" s="39">
        <f>IF(B169="","",IF(D169="","Add - who is this run for?",IF(IF(F169="",H169="",FALSE),"Add - no hours and no commission",IF(AB169&lt;-0.004,"Check - more commission paid than earned",IF(M169&lt;&gt;"Yes","Due - not paid yet",IF(N169="","Check - marked paid, no date","OK"))))))</f>
        <v>0</v>
      </c>
    </row>
    <row r="170" spans="1:30">
      <c r="A170" s="28">
        <f>IF(B170="","",PayrollPrefix&amp;TEXT(ROW()-4,"0000"))</f>
        <v>0</v>
      </c>
      <c r="E170" s="15">
        <f>IF(D170="","",IFERROR(INDEX(Staff!$B$5:$B$44,MATCH(D170,Staff!$A$5:$A$44,0)),"Not in Staff"))</f>
        <v>0</v>
      </c>
      <c r="Q170" s="15">
        <f>IF(B170="","",TEXT(B170,"yyyy-mm"))</f>
        <v>0</v>
      </c>
      <c r="R170" s="25">
        <f>IF(B170="","",WEEKNUM(B170,2))</f>
        <v>0</v>
      </c>
      <c r="S170" s="26">
        <f>IF(B170="","",IF(G170&lt;&gt;"",G170,IFERROR(IF(INDEX(Staff!$P$5:$P$44,MATCH(D170,Staff!$A$5:$A$44,0))="",DefaultHourly,INDEX(Staff!$P$5:$P$44,MATCH(D170,Staff!$A$5:$A$44,0))),DefaultHourly)))</f>
        <v>0</v>
      </c>
      <c r="T170" s="26">
        <f>IF(B170="","",ROUND(IF(F170="",0,F170)*S170,2))</f>
        <v>0</v>
      </c>
      <c r="U170" s="26">
        <f>IF(B170="","",ROUND(T170+IF(H170="",0,H170)+IF(J170="",0,J170)+IF(K170="",0,K170),2))</f>
        <v>0</v>
      </c>
      <c r="V170" s="26">
        <f>IF(B170="","",ROUND(U170-IF(L170="",0,L170),2))</f>
        <v>0</v>
      </c>
      <c r="W170" s="26">
        <f>IF(B170="","",ROUND(V170+IF(I170="",0,I170),2))</f>
        <v>0</v>
      </c>
      <c r="X170" s="26">
        <f>IF(B170="","",IF(IFERROR(INDEX(Staff!$E$5:$E$44,MATCH(D170,Staff!$A$5:$A$44,0))&amp;"","")="Self-employed",0,IF(IFERROR(INDEX(Staff!$E$5:$E$44,MATCH(D170,Staff!$A$5:$A$44,0))&amp;"","")="Chair renter",0,ROUND(U170*PayrollBurden,2))))</f>
        <v>0</v>
      </c>
      <c r="Y170" s="26">
        <f>IF(B170="","",ROUND(U170+X170,2))</f>
        <v>0</v>
      </c>
      <c r="Z170" s="26">
        <f>IF(B170="","",ROUND(SUMIFS(Commissions!$X$5:$X$244,Commissions!$C$5:$C$244,D170,Commissions!$B$5:$B$244,Q170),2))</f>
        <v>0</v>
      </c>
      <c r="AA170" s="26">
        <f>IF(B170="","",ROUND(SUMIFS($H$5:$H$364,$D$5:$D$364,D170,$Q$5:$Q$364,Q170),2))</f>
        <v>0</v>
      </c>
      <c r="AB170" s="26">
        <f>IF(B170="","",ROUND(Z170-AA170,2))</f>
        <v>0</v>
      </c>
      <c r="AC170" s="26">
        <f>IF(B170="","",IF(IF(F170="",0,F170)=0,"",ROUND(Y170/F170,2)))</f>
        <v>0</v>
      </c>
      <c r="AD170" s="39">
        <f>IF(B170="","",IF(D170="","Add - who is this run for?",IF(IF(F170="",H170="",FALSE),"Add - no hours and no commission",IF(AB170&lt;-0.004,"Check - more commission paid than earned",IF(M170&lt;&gt;"Yes","Due - not paid yet",IF(N170="","Check - marked paid, no date","OK"))))))</f>
        <v>0</v>
      </c>
    </row>
    <row r="171" spans="1:30">
      <c r="A171" s="28">
        <f>IF(B171="","",PayrollPrefix&amp;TEXT(ROW()-4,"0000"))</f>
        <v>0</v>
      </c>
      <c r="E171" s="15">
        <f>IF(D171="","",IFERROR(INDEX(Staff!$B$5:$B$44,MATCH(D171,Staff!$A$5:$A$44,0)),"Not in Staff"))</f>
        <v>0</v>
      </c>
      <c r="Q171" s="15">
        <f>IF(B171="","",TEXT(B171,"yyyy-mm"))</f>
        <v>0</v>
      </c>
      <c r="R171" s="25">
        <f>IF(B171="","",WEEKNUM(B171,2))</f>
        <v>0</v>
      </c>
      <c r="S171" s="26">
        <f>IF(B171="","",IF(G171&lt;&gt;"",G171,IFERROR(IF(INDEX(Staff!$P$5:$P$44,MATCH(D171,Staff!$A$5:$A$44,0))="",DefaultHourly,INDEX(Staff!$P$5:$P$44,MATCH(D171,Staff!$A$5:$A$44,0))),DefaultHourly)))</f>
        <v>0</v>
      </c>
      <c r="T171" s="26">
        <f>IF(B171="","",ROUND(IF(F171="",0,F171)*S171,2))</f>
        <v>0</v>
      </c>
      <c r="U171" s="26">
        <f>IF(B171="","",ROUND(T171+IF(H171="",0,H171)+IF(J171="",0,J171)+IF(K171="",0,K171),2))</f>
        <v>0</v>
      </c>
      <c r="V171" s="26">
        <f>IF(B171="","",ROUND(U171-IF(L171="",0,L171),2))</f>
        <v>0</v>
      </c>
      <c r="W171" s="26">
        <f>IF(B171="","",ROUND(V171+IF(I171="",0,I171),2))</f>
        <v>0</v>
      </c>
      <c r="X171" s="26">
        <f>IF(B171="","",IF(IFERROR(INDEX(Staff!$E$5:$E$44,MATCH(D171,Staff!$A$5:$A$44,0))&amp;"","")="Self-employed",0,IF(IFERROR(INDEX(Staff!$E$5:$E$44,MATCH(D171,Staff!$A$5:$A$44,0))&amp;"","")="Chair renter",0,ROUND(U171*PayrollBurden,2))))</f>
        <v>0</v>
      </c>
      <c r="Y171" s="26">
        <f>IF(B171="","",ROUND(U171+X171,2))</f>
        <v>0</v>
      </c>
      <c r="Z171" s="26">
        <f>IF(B171="","",ROUND(SUMIFS(Commissions!$X$5:$X$244,Commissions!$C$5:$C$244,D171,Commissions!$B$5:$B$244,Q171),2))</f>
        <v>0</v>
      </c>
      <c r="AA171" s="26">
        <f>IF(B171="","",ROUND(SUMIFS($H$5:$H$364,$D$5:$D$364,D171,$Q$5:$Q$364,Q171),2))</f>
        <v>0</v>
      </c>
      <c r="AB171" s="26">
        <f>IF(B171="","",ROUND(Z171-AA171,2))</f>
        <v>0</v>
      </c>
      <c r="AC171" s="26">
        <f>IF(B171="","",IF(IF(F171="",0,F171)=0,"",ROUND(Y171/F171,2)))</f>
        <v>0</v>
      </c>
      <c r="AD171" s="39">
        <f>IF(B171="","",IF(D171="","Add - who is this run for?",IF(IF(F171="",H171="",FALSE),"Add - no hours and no commission",IF(AB171&lt;-0.004,"Check - more commission paid than earned",IF(M171&lt;&gt;"Yes","Due - not paid yet",IF(N171="","Check - marked paid, no date","OK"))))))</f>
        <v>0</v>
      </c>
    </row>
    <row r="172" spans="1:30">
      <c r="A172" s="28">
        <f>IF(B172="","",PayrollPrefix&amp;TEXT(ROW()-4,"0000"))</f>
        <v>0</v>
      </c>
      <c r="E172" s="15">
        <f>IF(D172="","",IFERROR(INDEX(Staff!$B$5:$B$44,MATCH(D172,Staff!$A$5:$A$44,0)),"Not in Staff"))</f>
        <v>0</v>
      </c>
      <c r="Q172" s="15">
        <f>IF(B172="","",TEXT(B172,"yyyy-mm"))</f>
        <v>0</v>
      </c>
      <c r="R172" s="25">
        <f>IF(B172="","",WEEKNUM(B172,2))</f>
        <v>0</v>
      </c>
      <c r="S172" s="26">
        <f>IF(B172="","",IF(G172&lt;&gt;"",G172,IFERROR(IF(INDEX(Staff!$P$5:$P$44,MATCH(D172,Staff!$A$5:$A$44,0))="",DefaultHourly,INDEX(Staff!$P$5:$P$44,MATCH(D172,Staff!$A$5:$A$44,0))),DefaultHourly)))</f>
        <v>0</v>
      </c>
      <c r="T172" s="26">
        <f>IF(B172="","",ROUND(IF(F172="",0,F172)*S172,2))</f>
        <v>0</v>
      </c>
      <c r="U172" s="26">
        <f>IF(B172="","",ROUND(T172+IF(H172="",0,H172)+IF(J172="",0,J172)+IF(K172="",0,K172),2))</f>
        <v>0</v>
      </c>
      <c r="V172" s="26">
        <f>IF(B172="","",ROUND(U172-IF(L172="",0,L172),2))</f>
        <v>0</v>
      </c>
      <c r="W172" s="26">
        <f>IF(B172="","",ROUND(V172+IF(I172="",0,I172),2))</f>
        <v>0</v>
      </c>
      <c r="X172" s="26">
        <f>IF(B172="","",IF(IFERROR(INDEX(Staff!$E$5:$E$44,MATCH(D172,Staff!$A$5:$A$44,0))&amp;"","")="Self-employed",0,IF(IFERROR(INDEX(Staff!$E$5:$E$44,MATCH(D172,Staff!$A$5:$A$44,0))&amp;"","")="Chair renter",0,ROUND(U172*PayrollBurden,2))))</f>
        <v>0</v>
      </c>
      <c r="Y172" s="26">
        <f>IF(B172="","",ROUND(U172+X172,2))</f>
        <v>0</v>
      </c>
      <c r="Z172" s="26">
        <f>IF(B172="","",ROUND(SUMIFS(Commissions!$X$5:$X$244,Commissions!$C$5:$C$244,D172,Commissions!$B$5:$B$244,Q172),2))</f>
        <v>0</v>
      </c>
      <c r="AA172" s="26">
        <f>IF(B172="","",ROUND(SUMIFS($H$5:$H$364,$D$5:$D$364,D172,$Q$5:$Q$364,Q172),2))</f>
        <v>0</v>
      </c>
      <c r="AB172" s="26">
        <f>IF(B172="","",ROUND(Z172-AA172,2))</f>
        <v>0</v>
      </c>
      <c r="AC172" s="26">
        <f>IF(B172="","",IF(IF(F172="",0,F172)=0,"",ROUND(Y172/F172,2)))</f>
        <v>0</v>
      </c>
      <c r="AD172" s="39">
        <f>IF(B172="","",IF(D172="","Add - who is this run for?",IF(IF(F172="",H172="",FALSE),"Add - no hours and no commission",IF(AB172&lt;-0.004,"Check - more commission paid than earned",IF(M172&lt;&gt;"Yes","Due - not paid yet",IF(N172="","Check - marked paid, no date","OK"))))))</f>
        <v>0</v>
      </c>
    </row>
    <row r="173" spans="1:30">
      <c r="A173" s="28">
        <f>IF(B173="","",PayrollPrefix&amp;TEXT(ROW()-4,"0000"))</f>
        <v>0</v>
      </c>
      <c r="E173" s="15">
        <f>IF(D173="","",IFERROR(INDEX(Staff!$B$5:$B$44,MATCH(D173,Staff!$A$5:$A$44,0)),"Not in Staff"))</f>
        <v>0</v>
      </c>
      <c r="Q173" s="15">
        <f>IF(B173="","",TEXT(B173,"yyyy-mm"))</f>
        <v>0</v>
      </c>
      <c r="R173" s="25">
        <f>IF(B173="","",WEEKNUM(B173,2))</f>
        <v>0</v>
      </c>
      <c r="S173" s="26">
        <f>IF(B173="","",IF(G173&lt;&gt;"",G173,IFERROR(IF(INDEX(Staff!$P$5:$P$44,MATCH(D173,Staff!$A$5:$A$44,0))="",DefaultHourly,INDEX(Staff!$P$5:$P$44,MATCH(D173,Staff!$A$5:$A$44,0))),DefaultHourly)))</f>
        <v>0</v>
      </c>
      <c r="T173" s="26">
        <f>IF(B173="","",ROUND(IF(F173="",0,F173)*S173,2))</f>
        <v>0</v>
      </c>
      <c r="U173" s="26">
        <f>IF(B173="","",ROUND(T173+IF(H173="",0,H173)+IF(J173="",0,J173)+IF(K173="",0,K173),2))</f>
        <v>0</v>
      </c>
      <c r="V173" s="26">
        <f>IF(B173="","",ROUND(U173-IF(L173="",0,L173),2))</f>
        <v>0</v>
      </c>
      <c r="W173" s="26">
        <f>IF(B173="","",ROUND(V173+IF(I173="",0,I173),2))</f>
        <v>0</v>
      </c>
      <c r="X173" s="26">
        <f>IF(B173="","",IF(IFERROR(INDEX(Staff!$E$5:$E$44,MATCH(D173,Staff!$A$5:$A$44,0))&amp;"","")="Self-employed",0,IF(IFERROR(INDEX(Staff!$E$5:$E$44,MATCH(D173,Staff!$A$5:$A$44,0))&amp;"","")="Chair renter",0,ROUND(U173*PayrollBurden,2))))</f>
        <v>0</v>
      </c>
      <c r="Y173" s="26">
        <f>IF(B173="","",ROUND(U173+X173,2))</f>
        <v>0</v>
      </c>
      <c r="Z173" s="26">
        <f>IF(B173="","",ROUND(SUMIFS(Commissions!$X$5:$X$244,Commissions!$C$5:$C$244,D173,Commissions!$B$5:$B$244,Q173),2))</f>
        <v>0</v>
      </c>
      <c r="AA173" s="26">
        <f>IF(B173="","",ROUND(SUMIFS($H$5:$H$364,$D$5:$D$364,D173,$Q$5:$Q$364,Q173),2))</f>
        <v>0</v>
      </c>
      <c r="AB173" s="26">
        <f>IF(B173="","",ROUND(Z173-AA173,2))</f>
        <v>0</v>
      </c>
      <c r="AC173" s="26">
        <f>IF(B173="","",IF(IF(F173="",0,F173)=0,"",ROUND(Y173/F173,2)))</f>
        <v>0</v>
      </c>
      <c r="AD173" s="39">
        <f>IF(B173="","",IF(D173="","Add - who is this run for?",IF(IF(F173="",H173="",FALSE),"Add - no hours and no commission",IF(AB173&lt;-0.004,"Check - more commission paid than earned",IF(M173&lt;&gt;"Yes","Due - not paid yet",IF(N173="","Check - marked paid, no date","OK"))))))</f>
        <v>0</v>
      </c>
    </row>
    <row r="174" spans="1:30">
      <c r="A174" s="28">
        <f>IF(B174="","",PayrollPrefix&amp;TEXT(ROW()-4,"0000"))</f>
        <v>0</v>
      </c>
      <c r="E174" s="15">
        <f>IF(D174="","",IFERROR(INDEX(Staff!$B$5:$B$44,MATCH(D174,Staff!$A$5:$A$44,0)),"Not in Staff"))</f>
        <v>0</v>
      </c>
      <c r="Q174" s="15">
        <f>IF(B174="","",TEXT(B174,"yyyy-mm"))</f>
        <v>0</v>
      </c>
      <c r="R174" s="25">
        <f>IF(B174="","",WEEKNUM(B174,2))</f>
        <v>0</v>
      </c>
      <c r="S174" s="26">
        <f>IF(B174="","",IF(G174&lt;&gt;"",G174,IFERROR(IF(INDEX(Staff!$P$5:$P$44,MATCH(D174,Staff!$A$5:$A$44,0))="",DefaultHourly,INDEX(Staff!$P$5:$P$44,MATCH(D174,Staff!$A$5:$A$44,0))),DefaultHourly)))</f>
        <v>0</v>
      </c>
      <c r="T174" s="26">
        <f>IF(B174="","",ROUND(IF(F174="",0,F174)*S174,2))</f>
        <v>0</v>
      </c>
      <c r="U174" s="26">
        <f>IF(B174="","",ROUND(T174+IF(H174="",0,H174)+IF(J174="",0,J174)+IF(K174="",0,K174),2))</f>
        <v>0</v>
      </c>
      <c r="V174" s="26">
        <f>IF(B174="","",ROUND(U174-IF(L174="",0,L174),2))</f>
        <v>0</v>
      </c>
      <c r="W174" s="26">
        <f>IF(B174="","",ROUND(V174+IF(I174="",0,I174),2))</f>
        <v>0</v>
      </c>
      <c r="X174" s="26">
        <f>IF(B174="","",IF(IFERROR(INDEX(Staff!$E$5:$E$44,MATCH(D174,Staff!$A$5:$A$44,0))&amp;"","")="Self-employed",0,IF(IFERROR(INDEX(Staff!$E$5:$E$44,MATCH(D174,Staff!$A$5:$A$44,0))&amp;"","")="Chair renter",0,ROUND(U174*PayrollBurden,2))))</f>
        <v>0</v>
      </c>
      <c r="Y174" s="26">
        <f>IF(B174="","",ROUND(U174+X174,2))</f>
        <v>0</v>
      </c>
      <c r="Z174" s="26">
        <f>IF(B174="","",ROUND(SUMIFS(Commissions!$X$5:$X$244,Commissions!$C$5:$C$244,D174,Commissions!$B$5:$B$244,Q174),2))</f>
        <v>0</v>
      </c>
      <c r="AA174" s="26">
        <f>IF(B174="","",ROUND(SUMIFS($H$5:$H$364,$D$5:$D$364,D174,$Q$5:$Q$364,Q174),2))</f>
        <v>0</v>
      </c>
      <c r="AB174" s="26">
        <f>IF(B174="","",ROUND(Z174-AA174,2))</f>
        <v>0</v>
      </c>
      <c r="AC174" s="26">
        <f>IF(B174="","",IF(IF(F174="",0,F174)=0,"",ROUND(Y174/F174,2)))</f>
        <v>0</v>
      </c>
      <c r="AD174" s="39">
        <f>IF(B174="","",IF(D174="","Add - who is this run for?",IF(IF(F174="",H174="",FALSE),"Add - no hours and no commission",IF(AB174&lt;-0.004,"Check - more commission paid than earned",IF(M174&lt;&gt;"Yes","Due - not paid yet",IF(N174="","Check - marked paid, no date","OK"))))))</f>
        <v>0</v>
      </c>
    </row>
    <row r="175" spans="1:30">
      <c r="A175" s="28">
        <f>IF(B175="","",PayrollPrefix&amp;TEXT(ROW()-4,"0000"))</f>
        <v>0</v>
      </c>
      <c r="E175" s="15">
        <f>IF(D175="","",IFERROR(INDEX(Staff!$B$5:$B$44,MATCH(D175,Staff!$A$5:$A$44,0)),"Not in Staff"))</f>
        <v>0</v>
      </c>
      <c r="Q175" s="15">
        <f>IF(B175="","",TEXT(B175,"yyyy-mm"))</f>
        <v>0</v>
      </c>
      <c r="R175" s="25">
        <f>IF(B175="","",WEEKNUM(B175,2))</f>
        <v>0</v>
      </c>
      <c r="S175" s="26">
        <f>IF(B175="","",IF(G175&lt;&gt;"",G175,IFERROR(IF(INDEX(Staff!$P$5:$P$44,MATCH(D175,Staff!$A$5:$A$44,0))="",DefaultHourly,INDEX(Staff!$P$5:$P$44,MATCH(D175,Staff!$A$5:$A$44,0))),DefaultHourly)))</f>
        <v>0</v>
      </c>
      <c r="T175" s="26">
        <f>IF(B175="","",ROUND(IF(F175="",0,F175)*S175,2))</f>
        <v>0</v>
      </c>
      <c r="U175" s="26">
        <f>IF(B175="","",ROUND(T175+IF(H175="",0,H175)+IF(J175="",0,J175)+IF(K175="",0,K175),2))</f>
        <v>0</v>
      </c>
      <c r="V175" s="26">
        <f>IF(B175="","",ROUND(U175-IF(L175="",0,L175),2))</f>
        <v>0</v>
      </c>
      <c r="W175" s="26">
        <f>IF(B175="","",ROUND(V175+IF(I175="",0,I175),2))</f>
        <v>0</v>
      </c>
      <c r="X175" s="26">
        <f>IF(B175="","",IF(IFERROR(INDEX(Staff!$E$5:$E$44,MATCH(D175,Staff!$A$5:$A$44,0))&amp;"","")="Self-employed",0,IF(IFERROR(INDEX(Staff!$E$5:$E$44,MATCH(D175,Staff!$A$5:$A$44,0))&amp;"","")="Chair renter",0,ROUND(U175*PayrollBurden,2))))</f>
        <v>0</v>
      </c>
      <c r="Y175" s="26">
        <f>IF(B175="","",ROUND(U175+X175,2))</f>
        <v>0</v>
      </c>
      <c r="Z175" s="26">
        <f>IF(B175="","",ROUND(SUMIFS(Commissions!$X$5:$X$244,Commissions!$C$5:$C$244,D175,Commissions!$B$5:$B$244,Q175),2))</f>
        <v>0</v>
      </c>
      <c r="AA175" s="26">
        <f>IF(B175="","",ROUND(SUMIFS($H$5:$H$364,$D$5:$D$364,D175,$Q$5:$Q$364,Q175),2))</f>
        <v>0</v>
      </c>
      <c r="AB175" s="26">
        <f>IF(B175="","",ROUND(Z175-AA175,2))</f>
        <v>0</v>
      </c>
      <c r="AC175" s="26">
        <f>IF(B175="","",IF(IF(F175="",0,F175)=0,"",ROUND(Y175/F175,2)))</f>
        <v>0</v>
      </c>
      <c r="AD175" s="39">
        <f>IF(B175="","",IF(D175="","Add - who is this run for?",IF(IF(F175="",H175="",FALSE),"Add - no hours and no commission",IF(AB175&lt;-0.004,"Check - more commission paid than earned",IF(M175&lt;&gt;"Yes","Due - not paid yet",IF(N175="","Check - marked paid, no date","OK"))))))</f>
        <v>0</v>
      </c>
    </row>
    <row r="176" spans="1:30">
      <c r="A176" s="28">
        <f>IF(B176="","",PayrollPrefix&amp;TEXT(ROW()-4,"0000"))</f>
        <v>0</v>
      </c>
      <c r="E176" s="15">
        <f>IF(D176="","",IFERROR(INDEX(Staff!$B$5:$B$44,MATCH(D176,Staff!$A$5:$A$44,0)),"Not in Staff"))</f>
        <v>0</v>
      </c>
      <c r="Q176" s="15">
        <f>IF(B176="","",TEXT(B176,"yyyy-mm"))</f>
        <v>0</v>
      </c>
      <c r="R176" s="25">
        <f>IF(B176="","",WEEKNUM(B176,2))</f>
        <v>0</v>
      </c>
      <c r="S176" s="26">
        <f>IF(B176="","",IF(G176&lt;&gt;"",G176,IFERROR(IF(INDEX(Staff!$P$5:$P$44,MATCH(D176,Staff!$A$5:$A$44,0))="",DefaultHourly,INDEX(Staff!$P$5:$P$44,MATCH(D176,Staff!$A$5:$A$44,0))),DefaultHourly)))</f>
        <v>0</v>
      </c>
      <c r="T176" s="26">
        <f>IF(B176="","",ROUND(IF(F176="",0,F176)*S176,2))</f>
        <v>0</v>
      </c>
      <c r="U176" s="26">
        <f>IF(B176="","",ROUND(T176+IF(H176="",0,H176)+IF(J176="",0,J176)+IF(K176="",0,K176),2))</f>
        <v>0</v>
      </c>
      <c r="V176" s="26">
        <f>IF(B176="","",ROUND(U176-IF(L176="",0,L176),2))</f>
        <v>0</v>
      </c>
      <c r="W176" s="26">
        <f>IF(B176="","",ROUND(V176+IF(I176="",0,I176),2))</f>
        <v>0</v>
      </c>
      <c r="X176" s="26">
        <f>IF(B176="","",IF(IFERROR(INDEX(Staff!$E$5:$E$44,MATCH(D176,Staff!$A$5:$A$44,0))&amp;"","")="Self-employed",0,IF(IFERROR(INDEX(Staff!$E$5:$E$44,MATCH(D176,Staff!$A$5:$A$44,0))&amp;"","")="Chair renter",0,ROUND(U176*PayrollBurden,2))))</f>
        <v>0</v>
      </c>
      <c r="Y176" s="26">
        <f>IF(B176="","",ROUND(U176+X176,2))</f>
        <v>0</v>
      </c>
      <c r="Z176" s="26">
        <f>IF(B176="","",ROUND(SUMIFS(Commissions!$X$5:$X$244,Commissions!$C$5:$C$244,D176,Commissions!$B$5:$B$244,Q176),2))</f>
        <v>0</v>
      </c>
      <c r="AA176" s="26">
        <f>IF(B176="","",ROUND(SUMIFS($H$5:$H$364,$D$5:$D$364,D176,$Q$5:$Q$364,Q176),2))</f>
        <v>0</v>
      </c>
      <c r="AB176" s="26">
        <f>IF(B176="","",ROUND(Z176-AA176,2))</f>
        <v>0</v>
      </c>
      <c r="AC176" s="26">
        <f>IF(B176="","",IF(IF(F176="",0,F176)=0,"",ROUND(Y176/F176,2)))</f>
        <v>0</v>
      </c>
      <c r="AD176" s="39">
        <f>IF(B176="","",IF(D176="","Add - who is this run for?",IF(IF(F176="",H176="",FALSE),"Add - no hours and no commission",IF(AB176&lt;-0.004,"Check - more commission paid than earned",IF(M176&lt;&gt;"Yes","Due - not paid yet",IF(N176="","Check - marked paid, no date","OK"))))))</f>
        <v>0</v>
      </c>
    </row>
    <row r="177" spans="1:30">
      <c r="A177" s="28">
        <f>IF(B177="","",PayrollPrefix&amp;TEXT(ROW()-4,"0000"))</f>
        <v>0</v>
      </c>
      <c r="E177" s="15">
        <f>IF(D177="","",IFERROR(INDEX(Staff!$B$5:$B$44,MATCH(D177,Staff!$A$5:$A$44,0)),"Not in Staff"))</f>
        <v>0</v>
      </c>
      <c r="Q177" s="15">
        <f>IF(B177="","",TEXT(B177,"yyyy-mm"))</f>
        <v>0</v>
      </c>
      <c r="R177" s="25">
        <f>IF(B177="","",WEEKNUM(B177,2))</f>
        <v>0</v>
      </c>
      <c r="S177" s="26">
        <f>IF(B177="","",IF(G177&lt;&gt;"",G177,IFERROR(IF(INDEX(Staff!$P$5:$P$44,MATCH(D177,Staff!$A$5:$A$44,0))="",DefaultHourly,INDEX(Staff!$P$5:$P$44,MATCH(D177,Staff!$A$5:$A$44,0))),DefaultHourly)))</f>
        <v>0</v>
      </c>
      <c r="T177" s="26">
        <f>IF(B177="","",ROUND(IF(F177="",0,F177)*S177,2))</f>
        <v>0</v>
      </c>
      <c r="U177" s="26">
        <f>IF(B177="","",ROUND(T177+IF(H177="",0,H177)+IF(J177="",0,J177)+IF(K177="",0,K177),2))</f>
        <v>0</v>
      </c>
      <c r="V177" s="26">
        <f>IF(B177="","",ROUND(U177-IF(L177="",0,L177),2))</f>
        <v>0</v>
      </c>
      <c r="W177" s="26">
        <f>IF(B177="","",ROUND(V177+IF(I177="",0,I177),2))</f>
        <v>0</v>
      </c>
      <c r="X177" s="26">
        <f>IF(B177="","",IF(IFERROR(INDEX(Staff!$E$5:$E$44,MATCH(D177,Staff!$A$5:$A$44,0))&amp;"","")="Self-employed",0,IF(IFERROR(INDEX(Staff!$E$5:$E$44,MATCH(D177,Staff!$A$5:$A$44,0))&amp;"","")="Chair renter",0,ROUND(U177*PayrollBurden,2))))</f>
        <v>0</v>
      </c>
      <c r="Y177" s="26">
        <f>IF(B177="","",ROUND(U177+X177,2))</f>
        <v>0</v>
      </c>
      <c r="Z177" s="26">
        <f>IF(B177="","",ROUND(SUMIFS(Commissions!$X$5:$X$244,Commissions!$C$5:$C$244,D177,Commissions!$B$5:$B$244,Q177),2))</f>
        <v>0</v>
      </c>
      <c r="AA177" s="26">
        <f>IF(B177="","",ROUND(SUMIFS($H$5:$H$364,$D$5:$D$364,D177,$Q$5:$Q$364,Q177),2))</f>
        <v>0</v>
      </c>
      <c r="AB177" s="26">
        <f>IF(B177="","",ROUND(Z177-AA177,2))</f>
        <v>0</v>
      </c>
      <c r="AC177" s="26">
        <f>IF(B177="","",IF(IF(F177="",0,F177)=0,"",ROUND(Y177/F177,2)))</f>
        <v>0</v>
      </c>
      <c r="AD177" s="39">
        <f>IF(B177="","",IF(D177="","Add - who is this run for?",IF(IF(F177="",H177="",FALSE),"Add - no hours and no commission",IF(AB177&lt;-0.004,"Check - more commission paid than earned",IF(M177&lt;&gt;"Yes","Due - not paid yet",IF(N177="","Check - marked paid, no date","OK"))))))</f>
        <v>0</v>
      </c>
    </row>
    <row r="178" spans="1:30">
      <c r="A178" s="28">
        <f>IF(B178="","",PayrollPrefix&amp;TEXT(ROW()-4,"0000"))</f>
        <v>0</v>
      </c>
      <c r="E178" s="15">
        <f>IF(D178="","",IFERROR(INDEX(Staff!$B$5:$B$44,MATCH(D178,Staff!$A$5:$A$44,0)),"Not in Staff"))</f>
        <v>0</v>
      </c>
      <c r="Q178" s="15">
        <f>IF(B178="","",TEXT(B178,"yyyy-mm"))</f>
        <v>0</v>
      </c>
      <c r="R178" s="25">
        <f>IF(B178="","",WEEKNUM(B178,2))</f>
        <v>0</v>
      </c>
      <c r="S178" s="26">
        <f>IF(B178="","",IF(G178&lt;&gt;"",G178,IFERROR(IF(INDEX(Staff!$P$5:$P$44,MATCH(D178,Staff!$A$5:$A$44,0))="",DefaultHourly,INDEX(Staff!$P$5:$P$44,MATCH(D178,Staff!$A$5:$A$44,0))),DefaultHourly)))</f>
        <v>0</v>
      </c>
      <c r="T178" s="26">
        <f>IF(B178="","",ROUND(IF(F178="",0,F178)*S178,2))</f>
        <v>0</v>
      </c>
      <c r="U178" s="26">
        <f>IF(B178="","",ROUND(T178+IF(H178="",0,H178)+IF(J178="",0,J178)+IF(K178="",0,K178),2))</f>
        <v>0</v>
      </c>
      <c r="V178" s="26">
        <f>IF(B178="","",ROUND(U178-IF(L178="",0,L178),2))</f>
        <v>0</v>
      </c>
      <c r="W178" s="26">
        <f>IF(B178="","",ROUND(V178+IF(I178="",0,I178),2))</f>
        <v>0</v>
      </c>
      <c r="X178" s="26">
        <f>IF(B178="","",IF(IFERROR(INDEX(Staff!$E$5:$E$44,MATCH(D178,Staff!$A$5:$A$44,0))&amp;"","")="Self-employed",0,IF(IFERROR(INDEX(Staff!$E$5:$E$44,MATCH(D178,Staff!$A$5:$A$44,0))&amp;"","")="Chair renter",0,ROUND(U178*PayrollBurden,2))))</f>
        <v>0</v>
      </c>
      <c r="Y178" s="26">
        <f>IF(B178="","",ROUND(U178+X178,2))</f>
        <v>0</v>
      </c>
      <c r="Z178" s="26">
        <f>IF(B178="","",ROUND(SUMIFS(Commissions!$X$5:$X$244,Commissions!$C$5:$C$244,D178,Commissions!$B$5:$B$244,Q178),2))</f>
        <v>0</v>
      </c>
      <c r="AA178" s="26">
        <f>IF(B178="","",ROUND(SUMIFS($H$5:$H$364,$D$5:$D$364,D178,$Q$5:$Q$364,Q178),2))</f>
        <v>0</v>
      </c>
      <c r="AB178" s="26">
        <f>IF(B178="","",ROUND(Z178-AA178,2))</f>
        <v>0</v>
      </c>
      <c r="AC178" s="26">
        <f>IF(B178="","",IF(IF(F178="",0,F178)=0,"",ROUND(Y178/F178,2)))</f>
        <v>0</v>
      </c>
      <c r="AD178" s="39">
        <f>IF(B178="","",IF(D178="","Add - who is this run for?",IF(IF(F178="",H178="",FALSE),"Add - no hours and no commission",IF(AB178&lt;-0.004,"Check - more commission paid than earned",IF(M178&lt;&gt;"Yes","Due - not paid yet",IF(N178="","Check - marked paid, no date","OK"))))))</f>
        <v>0</v>
      </c>
    </row>
    <row r="179" spans="1:30">
      <c r="A179" s="28">
        <f>IF(B179="","",PayrollPrefix&amp;TEXT(ROW()-4,"0000"))</f>
        <v>0</v>
      </c>
      <c r="E179" s="15">
        <f>IF(D179="","",IFERROR(INDEX(Staff!$B$5:$B$44,MATCH(D179,Staff!$A$5:$A$44,0)),"Not in Staff"))</f>
        <v>0</v>
      </c>
      <c r="Q179" s="15">
        <f>IF(B179="","",TEXT(B179,"yyyy-mm"))</f>
        <v>0</v>
      </c>
      <c r="R179" s="25">
        <f>IF(B179="","",WEEKNUM(B179,2))</f>
        <v>0</v>
      </c>
      <c r="S179" s="26">
        <f>IF(B179="","",IF(G179&lt;&gt;"",G179,IFERROR(IF(INDEX(Staff!$P$5:$P$44,MATCH(D179,Staff!$A$5:$A$44,0))="",DefaultHourly,INDEX(Staff!$P$5:$P$44,MATCH(D179,Staff!$A$5:$A$44,0))),DefaultHourly)))</f>
        <v>0</v>
      </c>
      <c r="T179" s="26">
        <f>IF(B179="","",ROUND(IF(F179="",0,F179)*S179,2))</f>
        <v>0</v>
      </c>
      <c r="U179" s="26">
        <f>IF(B179="","",ROUND(T179+IF(H179="",0,H179)+IF(J179="",0,J179)+IF(K179="",0,K179),2))</f>
        <v>0</v>
      </c>
      <c r="V179" s="26">
        <f>IF(B179="","",ROUND(U179-IF(L179="",0,L179),2))</f>
        <v>0</v>
      </c>
      <c r="W179" s="26">
        <f>IF(B179="","",ROUND(V179+IF(I179="",0,I179),2))</f>
        <v>0</v>
      </c>
      <c r="X179" s="26">
        <f>IF(B179="","",IF(IFERROR(INDEX(Staff!$E$5:$E$44,MATCH(D179,Staff!$A$5:$A$44,0))&amp;"","")="Self-employed",0,IF(IFERROR(INDEX(Staff!$E$5:$E$44,MATCH(D179,Staff!$A$5:$A$44,0))&amp;"","")="Chair renter",0,ROUND(U179*PayrollBurden,2))))</f>
        <v>0</v>
      </c>
      <c r="Y179" s="26">
        <f>IF(B179="","",ROUND(U179+X179,2))</f>
        <v>0</v>
      </c>
      <c r="Z179" s="26">
        <f>IF(B179="","",ROUND(SUMIFS(Commissions!$X$5:$X$244,Commissions!$C$5:$C$244,D179,Commissions!$B$5:$B$244,Q179),2))</f>
        <v>0</v>
      </c>
      <c r="AA179" s="26">
        <f>IF(B179="","",ROUND(SUMIFS($H$5:$H$364,$D$5:$D$364,D179,$Q$5:$Q$364,Q179),2))</f>
        <v>0</v>
      </c>
      <c r="AB179" s="26">
        <f>IF(B179="","",ROUND(Z179-AA179,2))</f>
        <v>0</v>
      </c>
      <c r="AC179" s="26">
        <f>IF(B179="","",IF(IF(F179="",0,F179)=0,"",ROUND(Y179/F179,2)))</f>
        <v>0</v>
      </c>
      <c r="AD179" s="39">
        <f>IF(B179="","",IF(D179="","Add - who is this run for?",IF(IF(F179="",H179="",FALSE),"Add - no hours and no commission",IF(AB179&lt;-0.004,"Check - more commission paid than earned",IF(M179&lt;&gt;"Yes","Due - not paid yet",IF(N179="","Check - marked paid, no date","OK"))))))</f>
        <v>0</v>
      </c>
    </row>
    <row r="180" spans="1:30">
      <c r="A180" s="28">
        <f>IF(B180="","",PayrollPrefix&amp;TEXT(ROW()-4,"0000"))</f>
        <v>0</v>
      </c>
      <c r="E180" s="15">
        <f>IF(D180="","",IFERROR(INDEX(Staff!$B$5:$B$44,MATCH(D180,Staff!$A$5:$A$44,0)),"Not in Staff"))</f>
        <v>0</v>
      </c>
      <c r="Q180" s="15">
        <f>IF(B180="","",TEXT(B180,"yyyy-mm"))</f>
        <v>0</v>
      </c>
      <c r="R180" s="25">
        <f>IF(B180="","",WEEKNUM(B180,2))</f>
        <v>0</v>
      </c>
      <c r="S180" s="26">
        <f>IF(B180="","",IF(G180&lt;&gt;"",G180,IFERROR(IF(INDEX(Staff!$P$5:$P$44,MATCH(D180,Staff!$A$5:$A$44,0))="",DefaultHourly,INDEX(Staff!$P$5:$P$44,MATCH(D180,Staff!$A$5:$A$44,0))),DefaultHourly)))</f>
        <v>0</v>
      </c>
      <c r="T180" s="26">
        <f>IF(B180="","",ROUND(IF(F180="",0,F180)*S180,2))</f>
        <v>0</v>
      </c>
      <c r="U180" s="26">
        <f>IF(B180="","",ROUND(T180+IF(H180="",0,H180)+IF(J180="",0,J180)+IF(K180="",0,K180),2))</f>
        <v>0</v>
      </c>
      <c r="V180" s="26">
        <f>IF(B180="","",ROUND(U180-IF(L180="",0,L180),2))</f>
        <v>0</v>
      </c>
      <c r="W180" s="26">
        <f>IF(B180="","",ROUND(V180+IF(I180="",0,I180),2))</f>
        <v>0</v>
      </c>
      <c r="X180" s="26">
        <f>IF(B180="","",IF(IFERROR(INDEX(Staff!$E$5:$E$44,MATCH(D180,Staff!$A$5:$A$44,0))&amp;"","")="Self-employed",0,IF(IFERROR(INDEX(Staff!$E$5:$E$44,MATCH(D180,Staff!$A$5:$A$44,0))&amp;"","")="Chair renter",0,ROUND(U180*PayrollBurden,2))))</f>
        <v>0</v>
      </c>
      <c r="Y180" s="26">
        <f>IF(B180="","",ROUND(U180+X180,2))</f>
        <v>0</v>
      </c>
      <c r="Z180" s="26">
        <f>IF(B180="","",ROUND(SUMIFS(Commissions!$X$5:$X$244,Commissions!$C$5:$C$244,D180,Commissions!$B$5:$B$244,Q180),2))</f>
        <v>0</v>
      </c>
      <c r="AA180" s="26">
        <f>IF(B180="","",ROUND(SUMIFS($H$5:$H$364,$D$5:$D$364,D180,$Q$5:$Q$364,Q180),2))</f>
        <v>0</v>
      </c>
      <c r="AB180" s="26">
        <f>IF(B180="","",ROUND(Z180-AA180,2))</f>
        <v>0</v>
      </c>
      <c r="AC180" s="26">
        <f>IF(B180="","",IF(IF(F180="",0,F180)=0,"",ROUND(Y180/F180,2)))</f>
        <v>0</v>
      </c>
      <c r="AD180" s="39">
        <f>IF(B180="","",IF(D180="","Add - who is this run for?",IF(IF(F180="",H180="",FALSE),"Add - no hours and no commission",IF(AB180&lt;-0.004,"Check - more commission paid than earned",IF(M180&lt;&gt;"Yes","Due - not paid yet",IF(N180="","Check - marked paid, no date","OK"))))))</f>
        <v>0</v>
      </c>
    </row>
    <row r="181" spans="1:30">
      <c r="A181" s="28">
        <f>IF(B181="","",PayrollPrefix&amp;TEXT(ROW()-4,"0000"))</f>
        <v>0</v>
      </c>
      <c r="E181" s="15">
        <f>IF(D181="","",IFERROR(INDEX(Staff!$B$5:$B$44,MATCH(D181,Staff!$A$5:$A$44,0)),"Not in Staff"))</f>
        <v>0</v>
      </c>
      <c r="Q181" s="15">
        <f>IF(B181="","",TEXT(B181,"yyyy-mm"))</f>
        <v>0</v>
      </c>
      <c r="R181" s="25">
        <f>IF(B181="","",WEEKNUM(B181,2))</f>
        <v>0</v>
      </c>
      <c r="S181" s="26">
        <f>IF(B181="","",IF(G181&lt;&gt;"",G181,IFERROR(IF(INDEX(Staff!$P$5:$P$44,MATCH(D181,Staff!$A$5:$A$44,0))="",DefaultHourly,INDEX(Staff!$P$5:$P$44,MATCH(D181,Staff!$A$5:$A$44,0))),DefaultHourly)))</f>
        <v>0</v>
      </c>
      <c r="T181" s="26">
        <f>IF(B181="","",ROUND(IF(F181="",0,F181)*S181,2))</f>
        <v>0</v>
      </c>
      <c r="U181" s="26">
        <f>IF(B181="","",ROUND(T181+IF(H181="",0,H181)+IF(J181="",0,J181)+IF(K181="",0,K181),2))</f>
        <v>0</v>
      </c>
      <c r="V181" s="26">
        <f>IF(B181="","",ROUND(U181-IF(L181="",0,L181),2))</f>
        <v>0</v>
      </c>
      <c r="W181" s="26">
        <f>IF(B181="","",ROUND(V181+IF(I181="",0,I181),2))</f>
        <v>0</v>
      </c>
      <c r="X181" s="26">
        <f>IF(B181="","",IF(IFERROR(INDEX(Staff!$E$5:$E$44,MATCH(D181,Staff!$A$5:$A$44,0))&amp;"","")="Self-employed",0,IF(IFERROR(INDEX(Staff!$E$5:$E$44,MATCH(D181,Staff!$A$5:$A$44,0))&amp;"","")="Chair renter",0,ROUND(U181*PayrollBurden,2))))</f>
        <v>0</v>
      </c>
      <c r="Y181" s="26">
        <f>IF(B181="","",ROUND(U181+X181,2))</f>
        <v>0</v>
      </c>
      <c r="Z181" s="26">
        <f>IF(B181="","",ROUND(SUMIFS(Commissions!$X$5:$X$244,Commissions!$C$5:$C$244,D181,Commissions!$B$5:$B$244,Q181),2))</f>
        <v>0</v>
      </c>
      <c r="AA181" s="26">
        <f>IF(B181="","",ROUND(SUMIFS($H$5:$H$364,$D$5:$D$364,D181,$Q$5:$Q$364,Q181),2))</f>
        <v>0</v>
      </c>
      <c r="AB181" s="26">
        <f>IF(B181="","",ROUND(Z181-AA181,2))</f>
        <v>0</v>
      </c>
      <c r="AC181" s="26">
        <f>IF(B181="","",IF(IF(F181="",0,F181)=0,"",ROUND(Y181/F181,2)))</f>
        <v>0</v>
      </c>
      <c r="AD181" s="39">
        <f>IF(B181="","",IF(D181="","Add - who is this run for?",IF(IF(F181="",H181="",FALSE),"Add - no hours and no commission",IF(AB181&lt;-0.004,"Check - more commission paid than earned",IF(M181&lt;&gt;"Yes","Due - not paid yet",IF(N181="","Check - marked paid, no date","OK"))))))</f>
        <v>0</v>
      </c>
    </row>
    <row r="182" spans="1:30">
      <c r="A182" s="28">
        <f>IF(B182="","",PayrollPrefix&amp;TEXT(ROW()-4,"0000"))</f>
        <v>0</v>
      </c>
      <c r="E182" s="15">
        <f>IF(D182="","",IFERROR(INDEX(Staff!$B$5:$B$44,MATCH(D182,Staff!$A$5:$A$44,0)),"Not in Staff"))</f>
        <v>0</v>
      </c>
      <c r="Q182" s="15">
        <f>IF(B182="","",TEXT(B182,"yyyy-mm"))</f>
        <v>0</v>
      </c>
      <c r="R182" s="25">
        <f>IF(B182="","",WEEKNUM(B182,2))</f>
        <v>0</v>
      </c>
      <c r="S182" s="26">
        <f>IF(B182="","",IF(G182&lt;&gt;"",G182,IFERROR(IF(INDEX(Staff!$P$5:$P$44,MATCH(D182,Staff!$A$5:$A$44,0))="",DefaultHourly,INDEX(Staff!$P$5:$P$44,MATCH(D182,Staff!$A$5:$A$44,0))),DefaultHourly)))</f>
        <v>0</v>
      </c>
      <c r="T182" s="26">
        <f>IF(B182="","",ROUND(IF(F182="",0,F182)*S182,2))</f>
        <v>0</v>
      </c>
      <c r="U182" s="26">
        <f>IF(B182="","",ROUND(T182+IF(H182="",0,H182)+IF(J182="",0,J182)+IF(K182="",0,K182),2))</f>
        <v>0</v>
      </c>
      <c r="V182" s="26">
        <f>IF(B182="","",ROUND(U182-IF(L182="",0,L182),2))</f>
        <v>0</v>
      </c>
      <c r="W182" s="26">
        <f>IF(B182="","",ROUND(V182+IF(I182="",0,I182),2))</f>
        <v>0</v>
      </c>
      <c r="X182" s="26">
        <f>IF(B182="","",IF(IFERROR(INDEX(Staff!$E$5:$E$44,MATCH(D182,Staff!$A$5:$A$44,0))&amp;"","")="Self-employed",0,IF(IFERROR(INDEX(Staff!$E$5:$E$44,MATCH(D182,Staff!$A$5:$A$44,0))&amp;"","")="Chair renter",0,ROUND(U182*PayrollBurden,2))))</f>
        <v>0</v>
      </c>
      <c r="Y182" s="26">
        <f>IF(B182="","",ROUND(U182+X182,2))</f>
        <v>0</v>
      </c>
      <c r="Z182" s="26">
        <f>IF(B182="","",ROUND(SUMIFS(Commissions!$X$5:$X$244,Commissions!$C$5:$C$244,D182,Commissions!$B$5:$B$244,Q182),2))</f>
        <v>0</v>
      </c>
      <c r="AA182" s="26">
        <f>IF(B182="","",ROUND(SUMIFS($H$5:$H$364,$D$5:$D$364,D182,$Q$5:$Q$364,Q182),2))</f>
        <v>0</v>
      </c>
      <c r="AB182" s="26">
        <f>IF(B182="","",ROUND(Z182-AA182,2))</f>
        <v>0</v>
      </c>
      <c r="AC182" s="26">
        <f>IF(B182="","",IF(IF(F182="",0,F182)=0,"",ROUND(Y182/F182,2)))</f>
        <v>0</v>
      </c>
      <c r="AD182" s="39">
        <f>IF(B182="","",IF(D182="","Add - who is this run for?",IF(IF(F182="",H182="",FALSE),"Add - no hours and no commission",IF(AB182&lt;-0.004,"Check - more commission paid than earned",IF(M182&lt;&gt;"Yes","Due - not paid yet",IF(N182="","Check - marked paid, no date","OK"))))))</f>
        <v>0</v>
      </c>
    </row>
    <row r="183" spans="1:30">
      <c r="A183" s="28">
        <f>IF(B183="","",PayrollPrefix&amp;TEXT(ROW()-4,"0000"))</f>
        <v>0</v>
      </c>
      <c r="E183" s="15">
        <f>IF(D183="","",IFERROR(INDEX(Staff!$B$5:$B$44,MATCH(D183,Staff!$A$5:$A$44,0)),"Not in Staff"))</f>
        <v>0</v>
      </c>
      <c r="Q183" s="15">
        <f>IF(B183="","",TEXT(B183,"yyyy-mm"))</f>
        <v>0</v>
      </c>
      <c r="R183" s="25">
        <f>IF(B183="","",WEEKNUM(B183,2))</f>
        <v>0</v>
      </c>
      <c r="S183" s="26">
        <f>IF(B183="","",IF(G183&lt;&gt;"",G183,IFERROR(IF(INDEX(Staff!$P$5:$P$44,MATCH(D183,Staff!$A$5:$A$44,0))="",DefaultHourly,INDEX(Staff!$P$5:$P$44,MATCH(D183,Staff!$A$5:$A$44,0))),DefaultHourly)))</f>
        <v>0</v>
      </c>
      <c r="T183" s="26">
        <f>IF(B183="","",ROUND(IF(F183="",0,F183)*S183,2))</f>
        <v>0</v>
      </c>
      <c r="U183" s="26">
        <f>IF(B183="","",ROUND(T183+IF(H183="",0,H183)+IF(J183="",0,J183)+IF(K183="",0,K183),2))</f>
        <v>0</v>
      </c>
      <c r="V183" s="26">
        <f>IF(B183="","",ROUND(U183-IF(L183="",0,L183),2))</f>
        <v>0</v>
      </c>
      <c r="W183" s="26">
        <f>IF(B183="","",ROUND(V183+IF(I183="",0,I183),2))</f>
        <v>0</v>
      </c>
      <c r="X183" s="26">
        <f>IF(B183="","",IF(IFERROR(INDEX(Staff!$E$5:$E$44,MATCH(D183,Staff!$A$5:$A$44,0))&amp;"","")="Self-employed",0,IF(IFERROR(INDEX(Staff!$E$5:$E$44,MATCH(D183,Staff!$A$5:$A$44,0))&amp;"","")="Chair renter",0,ROUND(U183*PayrollBurden,2))))</f>
        <v>0</v>
      </c>
      <c r="Y183" s="26">
        <f>IF(B183="","",ROUND(U183+X183,2))</f>
        <v>0</v>
      </c>
      <c r="Z183" s="26">
        <f>IF(B183="","",ROUND(SUMIFS(Commissions!$X$5:$X$244,Commissions!$C$5:$C$244,D183,Commissions!$B$5:$B$244,Q183),2))</f>
        <v>0</v>
      </c>
      <c r="AA183" s="26">
        <f>IF(B183="","",ROUND(SUMIFS($H$5:$H$364,$D$5:$D$364,D183,$Q$5:$Q$364,Q183),2))</f>
        <v>0</v>
      </c>
      <c r="AB183" s="26">
        <f>IF(B183="","",ROUND(Z183-AA183,2))</f>
        <v>0</v>
      </c>
      <c r="AC183" s="26">
        <f>IF(B183="","",IF(IF(F183="",0,F183)=0,"",ROUND(Y183/F183,2)))</f>
        <v>0</v>
      </c>
      <c r="AD183" s="39">
        <f>IF(B183="","",IF(D183="","Add - who is this run for?",IF(IF(F183="",H183="",FALSE),"Add - no hours and no commission",IF(AB183&lt;-0.004,"Check - more commission paid than earned",IF(M183&lt;&gt;"Yes","Due - not paid yet",IF(N183="","Check - marked paid, no date","OK"))))))</f>
        <v>0</v>
      </c>
    </row>
    <row r="184" spans="1:30">
      <c r="A184" s="28">
        <f>IF(B184="","",PayrollPrefix&amp;TEXT(ROW()-4,"0000"))</f>
        <v>0</v>
      </c>
      <c r="E184" s="15">
        <f>IF(D184="","",IFERROR(INDEX(Staff!$B$5:$B$44,MATCH(D184,Staff!$A$5:$A$44,0)),"Not in Staff"))</f>
        <v>0</v>
      </c>
      <c r="Q184" s="15">
        <f>IF(B184="","",TEXT(B184,"yyyy-mm"))</f>
        <v>0</v>
      </c>
      <c r="R184" s="25">
        <f>IF(B184="","",WEEKNUM(B184,2))</f>
        <v>0</v>
      </c>
      <c r="S184" s="26">
        <f>IF(B184="","",IF(G184&lt;&gt;"",G184,IFERROR(IF(INDEX(Staff!$P$5:$P$44,MATCH(D184,Staff!$A$5:$A$44,0))="",DefaultHourly,INDEX(Staff!$P$5:$P$44,MATCH(D184,Staff!$A$5:$A$44,0))),DefaultHourly)))</f>
        <v>0</v>
      </c>
      <c r="T184" s="26">
        <f>IF(B184="","",ROUND(IF(F184="",0,F184)*S184,2))</f>
        <v>0</v>
      </c>
      <c r="U184" s="26">
        <f>IF(B184="","",ROUND(T184+IF(H184="",0,H184)+IF(J184="",0,J184)+IF(K184="",0,K184),2))</f>
        <v>0</v>
      </c>
      <c r="V184" s="26">
        <f>IF(B184="","",ROUND(U184-IF(L184="",0,L184),2))</f>
        <v>0</v>
      </c>
      <c r="W184" s="26">
        <f>IF(B184="","",ROUND(V184+IF(I184="",0,I184),2))</f>
        <v>0</v>
      </c>
      <c r="X184" s="26">
        <f>IF(B184="","",IF(IFERROR(INDEX(Staff!$E$5:$E$44,MATCH(D184,Staff!$A$5:$A$44,0))&amp;"","")="Self-employed",0,IF(IFERROR(INDEX(Staff!$E$5:$E$44,MATCH(D184,Staff!$A$5:$A$44,0))&amp;"","")="Chair renter",0,ROUND(U184*PayrollBurden,2))))</f>
        <v>0</v>
      </c>
      <c r="Y184" s="26">
        <f>IF(B184="","",ROUND(U184+X184,2))</f>
        <v>0</v>
      </c>
      <c r="Z184" s="26">
        <f>IF(B184="","",ROUND(SUMIFS(Commissions!$X$5:$X$244,Commissions!$C$5:$C$244,D184,Commissions!$B$5:$B$244,Q184),2))</f>
        <v>0</v>
      </c>
      <c r="AA184" s="26">
        <f>IF(B184="","",ROUND(SUMIFS($H$5:$H$364,$D$5:$D$364,D184,$Q$5:$Q$364,Q184),2))</f>
        <v>0</v>
      </c>
      <c r="AB184" s="26">
        <f>IF(B184="","",ROUND(Z184-AA184,2))</f>
        <v>0</v>
      </c>
      <c r="AC184" s="26">
        <f>IF(B184="","",IF(IF(F184="",0,F184)=0,"",ROUND(Y184/F184,2)))</f>
        <v>0</v>
      </c>
      <c r="AD184" s="39">
        <f>IF(B184="","",IF(D184="","Add - who is this run for?",IF(IF(F184="",H184="",FALSE),"Add - no hours and no commission",IF(AB184&lt;-0.004,"Check - more commission paid than earned",IF(M184&lt;&gt;"Yes","Due - not paid yet",IF(N184="","Check - marked paid, no date","OK"))))))</f>
        <v>0</v>
      </c>
    </row>
    <row r="185" spans="1:30">
      <c r="A185" s="28">
        <f>IF(B185="","",PayrollPrefix&amp;TEXT(ROW()-4,"0000"))</f>
        <v>0</v>
      </c>
      <c r="E185" s="15">
        <f>IF(D185="","",IFERROR(INDEX(Staff!$B$5:$B$44,MATCH(D185,Staff!$A$5:$A$44,0)),"Not in Staff"))</f>
        <v>0</v>
      </c>
      <c r="Q185" s="15">
        <f>IF(B185="","",TEXT(B185,"yyyy-mm"))</f>
        <v>0</v>
      </c>
      <c r="R185" s="25">
        <f>IF(B185="","",WEEKNUM(B185,2))</f>
        <v>0</v>
      </c>
      <c r="S185" s="26">
        <f>IF(B185="","",IF(G185&lt;&gt;"",G185,IFERROR(IF(INDEX(Staff!$P$5:$P$44,MATCH(D185,Staff!$A$5:$A$44,0))="",DefaultHourly,INDEX(Staff!$P$5:$P$44,MATCH(D185,Staff!$A$5:$A$44,0))),DefaultHourly)))</f>
        <v>0</v>
      </c>
      <c r="T185" s="26">
        <f>IF(B185="","",ROUND(IF(F185="",0,F185)*S185,2))</f>
        <v>0</v>
      </c>
      <c r="U185" s="26">
        <f>IF(B185="","",ROUND(T185+IF(H185="",0,H185)+IF(J185="",0,J185)+IF(K185="",0,K185),2))</f>
        <v>0</v>
      </c>
      <c r="V185" s="26">
        <f>IF(B185="","",ROUND(U185-IF(L185="",0,L185),2))</f>
        <v>0</v>
      </c>
      <c r="W185" s="26">
        <f>IF(B185="","",ROUND(V185+IF(I185="",0,I185),2))</f>
        <v>0</v>
      </c>
      <c r="X185" s="26">
        <f>IF(B185="","",IF(IFERROR(INDEX(Staff!$E$5:$E$44,MATCH(D185,Staff!$A$5:$A$44,0))&amp;"","")="Self-employed",0,IF(IFERROR(INDEX(Staff!$E$5:$E$44,MATCH(D185,Staff!$A$5:$A$44,0))&amp;"","")="Chair renter",0,ROUND(U185*PayrollBurden,2))))</f>
        <v>0</v>
      </c>
      <c r="Y185" s="26">
        <f>IF(B185="","",ROUND(U185+X185,2))</f>
        <v>0</v>
      </c>
      <c r="Z185" s="26">
        <f>IF(B185="","",ROUND(SUMIFS(Commissions!$X$5:$X$244,Commissions!$C$5:$C$244,D185,Commissions!$B$5:$B$244,Q185),2))</f>
        <v>0</v>
      </c>
      <c r="AA185" s="26">
        <f>IF(B185="","",ROUND(SUMIFS($H$5:$H$364,$D$5:$D$364,D185,$Q$5:$Q$364,Q185),2))</f>
        <v>0</v>
      </c>
      <c r="AB185" s="26">
        <f>IF(B185="","",ROUND(Z185-AA185,2))</f>
        <v>0</v>
      </c>
      <c r="AC185" s="26">
        <f>IF(B185="","",IF(IF(F185="",0,F185)=0,"",ROUND(Y185/F185,2)))</f>
        <v>0</v>
      </c>
      <c r="AD185" s="39">
        <f>IF(B185="","",IF(D185="","Add - who is this run for?",IF(IF(F185="",H185="",FALSE),"Add - no hours and no commission",IF(AB185&lt;-0.004,"Check - more commission paid than earned",IF(M185&lt;&gt;"Yes","Due - not paid yet",IF(N185="","Check - marked paid, no date","OK"))))))</f>
        <v>0</v>
      </c>
    </row>
    <row r="186" spans="1:30">
      <c r="A186" s="28">
        <f>IF(B186="","",PayrollPrefix&amp;TEXT(ROW()-4,"0000"))</f>
        <v>0</v>
      </c>
      <c r="E186" s="15">
        <f>IF(D186="","",IFERROR(INDEX(Staff!$B$5:$B$44,MATCH(D186,Staff!$A$5:$A$44,0)),"Not in Staff"))</f>
        <v>0</v>
      </c>
      <c r="Q186" s="15">
        <f>IF(B186="","",TEXT(B186,"yyyy-mm"))</f>
        <v>0</v>
      </c>
      <c r="R186" s="25">
        <f>IF(B186="","",WEEKNUM(B186,2))</f>
        <v>0</v>
      </c>
      <c r="S186" s="26">
        <f>IF(B186="","",IF(G186&lt;&gt;"",G186,IFERROR(IF(INDEX(Staff!$P$5:$P$44,MATCH(D186,Staff!$A$5:$A$44,0))="",DefaultHourly,INDEX(Staff!$P$5:$P$44,MATCH(D186,Staff!$A$5:$A$44,0))),DefaultHourly)))</f>
        <v>0</v>
      </c>
      <c r="T186" s="26">
        <f>IF(B186="","",ROUND(IF(F186="",0,F186)*S186,2))</f>
        <v>0</v>
      </c>
      <c r="U186" s="26">
        <f>IF(B186="","",ROUND(T186+IF(H186="",0,H186)+IF(J186="",0,J186)+IF(K186="",0,K186),2))</f>
        <v>0</v>
      </c>
      <c r="V186" s="26">
        <f>IF(B186="","",ROUND(U186-IF(L186="",0,L186),2))</f>
        <v>0</v>
      </c>
      <c r="W186" s="26">
        <f>IF(B186="","",ROUND(V186+IF(I186="",0,I186),2))</f>
        <v>0</v>
      </c>
      <c r="X186" s="26">
        <f>IF(B186="","",IF(IFERROR(INDEX(Staff!$E$5:$E$44,MATCH(D186,Staff!$A$5:$A$44,0))&amp;"","")="Self-employed",0,IF(IFERROR(INDEX(Staff!$E$5:$E$44,MATCH(D186,Staff!$A$5:$A$44,0))&amp;"","")="Chair renter",0,ROUND(U186*PayrollBurden,2))))</f>
        <v>0</v>
      </c>
      <c r="Y186" s="26">
        <f>IF(B186="","",ROUND(U186+X186,2))</f>
        <v>0</v>
      </c>
      <c r="Z186" s="26">
        <f>IF(B186="","",ROUND(SUMIFS(Commissions!$X$5:$X$244,Commissions!$C$5:$C$244,D186,Commissions!$B$5:$B$244,Q186),2))</f>
        <v>0</v>
      </c>
      <c r="AA186" s="26">
        <f>IF(B186="","",ROUND(SUMIFS($H$5:$H$364,$D$5:$D$364,D186,$Q$5:$Q$364,Q186),2))</f>
        <v>0</v>
      </c>
      <c r="AB186" s="26">
        <f>IF(B186="","",ROUND(Z186-AA186,2))</f>
        <v>0</v>
      </c>
      <c r="AC186" s="26">
        <f>IF(B186="","",IF(IF(F186="",0,F186)=0,"",ROUND(Y186/F186,2)))</f>
        <v>0</v>
      </c>
      <c r="AD186" s="39">
        <f>IF(B186="","",IF(D186="","Add - who is this run for?",IF(IF(F186="",H186="",FALSE),"Add - no hours and no commission",IF(AB186&lt;-0.004,"Check - more commission paid than earned",IF(M186&lt;&gt;"Yes","Due - not paid yet",IF(N186="","Check - marked paid, no date","OK"))))))</f>
        <v>0</v>
      </c>
    </row>
    <row r="187" spans="1:30">
      <c r="A187" s="28">
        <f>IF(B187="","",PayrollPrefix&amp;TEXT(ROW()-4,"0000"))</f>
        <v>0</v>
      </c>
      <c r="E187" s="15">
        <f>IF(D187="","",IFERROR(INDEX(Staff!$B$5:$B$44,MATCH(D187,Staff!$A$5:$A$44,0)),"Not in Staff"))</f>
        <v>0</v>
      </c>
      <c r="Q187" s="15">
        <f>IF(B187="","",TEXT(B187,"yyyy-mm"))</f>
        <v>0</v>
      </c>
      <c r="R187" s="25">
        <f>IF(B187="","",WEEKNUM(B187,2))</f>
        <v>0</v>
      </c>
      <c r="S187" s="26">
        <f>IF(B187="","",IF(G187&lt;&gt;"",G187,IFERROR(IF(INDEX(Staff!$P$5:$P$44,MATCH(D187,Staff!$A$5:$A$44,0))="",DefaultHourly,INDEX(Staff!$P$5:$P$44,MATCH(D187,Staff!$A$5:$A$44,0))),DefaultHourly)))</f>
        <v>0</v>
      </c>
      <c r="T187" s="26">
        <f>IF(B187="","",ROUND(IF(F187="",0,F187)*S187,2))</f>
        <v>0</v>
      </c>
      <c r="U187" s="26">
        <f>IF(B187="","",ROUND(T187+IF(H187="",0,H187)+IF(J187="",0,J187)+IF(K187="",0,K187),2))</f>
        <v>0</v>
      </c>
      <c r="V187" s="26">
        <f>IF(B187="","",ROUND(U187-IF(L187="",0,L187),2))</f>
        <v>0</v>
      </c>
      <c r="W187" s="26">
        <f>IF(B187="","",ROUND(V187+IF(I187="",0,I187),2))</f>
        <v>0</v>
      </c>
      <c r="X187" s="26">
        <f>IF(B187="","",IF(IFERROR(INDEX(Staff!$E$5:$E$44,MATCH(D187,Staff!$A$5:$A$44,0))&amp;"","")="Self-employed",0,IF(IFERROR(INDEX(Staff!$E$5:$E$44,MATCH(D187,Staff!$A$5:$A$44,0))&amp;"","")="Chair renter",0,ROUND(U187*PayrollBurden,2))))</f>
        <v>0</v>
      </c>
      <c r="Y187" s="26">
        <f>IF(B187="","",ROUND(U187+X187,2))</f>
        <v>0</v>
      </c>
      <c r="Z187" s="26">
        <f>IF(B187="","",ROUND(SUMIFS(Commissions!$X$5:$X$244,Commissions!$C$5:$C$244,D187,Commissions!$B$5:$B$244,Q187),2))</f>
        <v>0</v>
      </c>
      <c r="AA187" s="26">
        <f>IF(B187="","",ROUND(SUMIFS($H$5:$H$364,$D$5:$D$364,D187,$Q$5:$Q$364,Q187),2))</f>
        <v>0</v>
      </c>
      <c r="AB187" s="26">
        <f>IF(B187="","",ROUND(Z187-AA187,2))</f>
        <v>0</v>
      </c>
      <c r="AC187" s="26">
        <f>IF(B187="","",IF(IF(F187="",0,F187)=0,"",ROUND(Y187/F187,2)))</f>
        <v>0</v>
      </c>
      <c r="AD187" s="39">
        <f>IF(B187="","",IF(D187="","Add - who is this run for?",IF(IF(F187="",H187="",FALSE),"Add - no hours and no commission",IF(AB187&lt;-0.004,"Check - more commission paid than earned",IF(M187&lt;&gt;"Yes","Due - not paid yet",IF(N187="","Check - marked paid, no date","OK"))))))</f>
        <v>0</v>
      </c>
    </row>
    <row r="188" spans="1:30">
      <c r="A188" s="28">
        <f>IF(B188="","",PayrollPrefix&amp;TEXT(ROW()-4,"0000"))</f>
        <v>0</v>
      </c>
      <c r="E188" s="15">
        <f>IF(D188="","",IFERROR(INDEX(Staff!$B$5:$B$44,MATCH(D188,Staff!$A$5:$A$44,0)),"Not in Staff"))</f>
        <v>0</v>
      </c>
      <c r="Q188" s="15">
        <f>IF(B188="","",TEXT(B188,"yyyy-mm"))</f>
        <v>0</v>
      </c>
      <c r="R188" s="25">
        <f>IF(B188="","",WEEKNUM(B188,2))</f>
        <v>0</v>
      </c>
      <c r="S188" s="26">
        <f>IF(B188="","",IF(G188&lt;&gt;"",G188,IFERROR(IF(INDEX(Staff!$P$5:$P$44,MATCH(D188,Staff!$A$5:$A$44,0))="",DefaultHourly,INDEX(Staff!$P$5:$P$44,MATCH(D188,Staff!$A$5:$A$44,0))),DefaultHourly)))</f>
        <v>0</v>
      </c>
      <c r="T188" s="26">
        <f>IF(B188="","",ROUND(IF(F188="",0,F188)*S188,2))</f>
        <v>0</v>
      </c>
      <c r="U188" s="26">
        <f>IF(B188="","",ROUND(T188+IF(H188="",0,H188)+IF(J188="",0,J188)+IF(K188="",0,K188),2))</f>
        <v>0</v>
      </c>
      <c r="V188" s="26">
        <f>IF(B188="","",ROUND(U188-IF(L188="",0,L188),2))</f>
        <v>0</v>
      </c>
      <c r="W188" s="26">
        <f>IF(B188="","",ROUND(V188+IF(I188="",0,I188),2))</f>
        <v>0</v>
      </c>
      <c r="X188" s="26">
        <f>IF(B188="","",IF(IFERROR(INDEX(Staff!$E$5:$E$44,MATCH(D188,Staff!$A$5:$A$44,0))&amp;"","")="Self-employed",0,IF(IFERROR(INDEX(Staff!$E$5:$E$44,MATCH(D188,Staff!$A$5:$A$44,0))&amp;"","")="Chair renter",0,ROUND(U188*PayrollBurden,2))))</f>
        <v>0</v>
      </c>
      <c r="Y188" s="26">
        <f>IF(B188="","",ROUND(U188+X188,2))</f>
        <v>0</v>
      </c>
      <c r="Z188" s="26">
        <f>IF(B188="","",ROUND(SUMIFS(Commissions!$X$5:$X$244,Commissions!$C$5:$C$244,D188,Commissions!$B$5:$B$244,Q188),2))</f>
        <v>0</v>
      </c>
      <c r="AA188" s="26">
        <f>IF(B188="","",ROUND(SUMIFS($H$5:$H$364,$D$5:$D$364,D188,$Q$5:$Q$364,Q188),2))</f>
        <v>0</v>
      </c>
      <c r="AB188" s="26">
        <f>IF(B188="","",ROUND(Z188-AA188,2))</f>
        <v>0</v>
      </c>
      <c r="AC188" s="26">
        <f>IF(B188="","",IF(IF(F188="",0,F188)=0,"",ROUND(Y188/F188,2)))</f>
        <v>0</v>
      </c>
      <c r="AD188" s="39">
        <f>IF(B188="","",IF(D188="","Add - who is this run for?",IF(IF(F188="",H188="",FALSE),"Add - no hours and no commission",IF(AB188&lt;-0.004,"Check - more commission paid than earned",IF(M188&lt;&gt;"Yes","Due - not paid yet",IF(N188="","Check - marked paid, no date","OK"))))))</f>
        <v>0</v>
      </c>
    </row>
    <row r="189" spans="1:30">
      <c r="A189" s="28">
        <f>IF(B189="","",PayrollPrefix&amp;TEXT(ROW()-4,"0000"))</f>
        <v>0</v>
      </c>
      <c r="E189" s="15">
        <f>IF(D189="","",IFERROR(INDEX(Staff!$B$5:$B$44,MATCH(D189,Staff!$A$5:$A$44,0)),"Not in Staff"))</f>
        <v>0</v>
      </c>
      <c r="Q189" s="15">
        <f>IF(B189="","",TEXT(B189,"yyyy-mm"))</f>
        <v>0</v>
      </c>
      <c r="R189" s="25">
        <f>IF(B189="","",WEEKNUM(B189,2))</f>
        <v>0</v>
      </c>
      <c r="S189" s="26">
        <f>IF(B189="","",IF(G189&lt;&gt;"",G189,IFERROR(IF(INDEX(Staff!$P$5:$P$44,MATCH(D189,Staff!$A$5:$A$44,0))="",DefaultHourly,INDEX(Staff!$P$5:$P$44,MATCH(D189,Staff!$A$5:$A$44,0))),DefaultHourly)))</f>
        <v>0</v>
      </c>
      <c r="T189" s="26">
        <f>IF(B189="","",ROUND(IF(F189="",0,F189)*S189,2))</f>
        <v>0</v>
      </c>
      <c r="U189" s="26">
        <f>IF(B189="","",ROUND(T189+IF(H189="",0,H189)+IF(J189="",0,J189)+IF(K189="",0,K189),2))</f>
        <v>0</v>
      </c>
      <c r="V189" s="26">
        <f>IF(B189="","",ROUND(U189-IF(L189="",0,L189),2))</f>
        <v>0</v>
      </c>
      <c r="W189" s="26">
        <f>IF(B189="","",ROUND(V189+IF(I189="",0,I189),2))</f>
        <v>0</v>
      </c>
      <c r="X189" s="26">
        <f>IF(B189="","",IF(IFERROR(INDEX(Staff!$E$5:$E$44,MATCH(D189,Staff!$A$5:$A$44,0))&amp;"","")="Self-employed",0,IF(IFERROR(INDEX(Staff!$E$5:$E$44,MATCH(D189,Staff!$A$5:$A$44,0))&amp;"","")="Chair renter",0,ROUND(U189*PayrollBurden,2))))</f>
        <v>0</v>
      </c>
      <c r="Y189" s="26">
        <f>IF(B189="","",ROUND(U189+X189,2))</f>
        <v>0</v>
      </c>
      <c r="Z189" s="26">
        <f>IF(B189="","",ROUND(SUMIFS(Commissions!$X$5:$X$244,Commissions!$C$5:$C$244,D189,Commissions!$B$5:$B$244,Q189),2))</f>
        <v>0</v>
      </c>
      <c r="AA189" s="26">
        <f>IF(B189="","",ROUND(SUMIFS($H$5:$H$364,$D$5:$D$364,D189,$Q$5:$Q$364,Q189),2))</f>
        <v>0</v>
      </c>
      <c r="AB189" s="26">
        <f>IF(B189="","",ROUND(Z189-AA189,2))</f>
        <v>0</v>
      </c>
      <c r="AC189" s="26">
        <f>IF(B189="","",IF(IF(F189="",0,F189)=0,"",ROUND(Y189/F189,2)))</f>
        <v>0</v>
      </c>
      <c r="AD189" s="39">
        <f>IF(B189="","",IF(D189="","Add - who is this run for?",IF(IF(F189="",H189="",FALSE),"Add - no hours and no commission",IF(AB189&lt;-0.004,"Check - more commission paid than earned",IF(M189&lt;&gt;"Yes","Due - not paid yet",IF(N189="","Check - marked paid, no date","OK"))))))</f>
        <v>0</v>
      </c>
    </row>
    <row r="190" spans="1:30">
      <c r="A190" s="28">
        <f>IF(B190="","",PayrollPrefix&amp;TEXT(ROW()-4,"0000"))</f>
        <v>0</v>
      </c>
      <c r="E190" s="15">
        <f>IF(D190="","",IFERROR(INDEX(Staff!$B$5:$B$44,MATCH(D190,Staff!$A$5:$A$44,0)),"Not in Staff"))</f>
        <v>0</v>
      </c>
      <c r="Q190" s="15">
        <f>IF(B190="","",TEXT(B190,"yyyy-mm"))</f>
        <v>0</v>
      </c>
      <c r="R190" s="25">
        <f>IF(B190="","",WEEKNUM(B190,2))</f>
        <v>0</v>
      </c>
      <c r="S190" s="26">
        <f>IF(B190="","",IF(G190&lt;&gt;"",G190,IFERROR(IF(INDEX(Staff!$P$5:$P$44,MATCH(D190,Staff!$A$5:$A$44,0))="",DefaultHourly,INDEX(Staff!$P$5:$P$44,MATCH(D190,Staff!$A$5:$A$44,0))),DefaultHourly)))</f>
        <v>0</v>
      </c>
      <c r="T190" s="26">
        <f>IF(B190="","",ROUND(IF(F190="",0,F190)*S190,2))</f>
        <v>0</v>
      </c>
      <c r="U190" s="26">
        <f>IF(B190="","",ROUND(T190+IF(H190="",0,H190)+IF(J190="",0,J190)+IF(K190="",0,K190),2))</f>
        <v>0</v>
      </c>
      <c r="V190" s="26">
        <f>IF(B190="","",ROUND(U190-IF(L190="",0,L190),2))</f>
        <v>0</v>
      </c>
      <c r="W190" s="26">
        <f>IF(B190="","",ROUND(V190+IF(I190="",0,I190),2))</f>
        <v>0</v>
      </c>
      <c r="X190" s="26">
        <f>IF(B190="","",IF(IFERROR(INDEX(Staff!$E$5:$E$44,MATCH(D190,Staff!$A$5:$A$44,0))&amp;"","")="Self-employed",0,IF(IFERROR(INDEX(Staff!$E$5:$E$44,MATCH(D190,Staff!$A$5:$A$44,0))&amp;"","")="Chair renter",0,ROUND(U190*PayrollBurden,2))))</f>
        <v>0</v>
      </c>
      <c r="Y190" s="26">
        <f>IF(B190="","",ROUND(U190+X190,2))</f>
        <v>0</v>
      </c>
      <c r="Z190" s="26">
        <f>IF(B190="","",ROUND(SUMIFS(Commissions!$X$5:$X$244,Commissions!$C$5:$C$244,D190,Commissions!$B$5:$B$244,Q190),2))</f>
        <v>0</v>
      </c>
      <c r="AA190" s="26">
        <f>IF(B190="","",ROUND(SUMIFS($H$5:$H$364,$D$5:$D$364,D190,$Q$5:$Q$364,Q190),2))</f>
        <v>0</v>
      </c>
      <c r="AB190" s="26">
        <f>IF(B190="","",ROUND(Z190-AA190,2))</f>
        <v>0</v>
      </c>
      <c r="AC190" s="26">
        <f>IF(B190="","",IF(IF(F190="",0,F190)=0,"",ROUND(Y190/F190,2)))</f>
        <v>0</v>
      </c>
      <c r="AD190" s="39">
        <f>IF(B190="","",IF(D190="","Add - who is this run for?",IF(IF(F190="",H190="",FALSE),"Add - no hours and no commission",IF(AB190&lt;-0.004,"Check - more commission paid than earned",IF(M190&lt;&gt;"Yes","Due - not paid yet",IF(N190="","Check - marked paid, no date","OK"))))))</f>
        <v>0</v>
      </c>
    </row>
    <row r="191" spans="1:30">
      <c r="A191" s="28">
        <f>IF(B191="","",PayrollPrefix&amp;TEXT(ROW()-4,"0000"))</f>
        <v>0</v>
      </c>
      <c r="E191" s="15">
        <f>IF(D191="","",IFERROR(INDEX(Staff!$B$5:$B$44,MATCH(D191,Staff!$A$5:$A$44,0)),"Not in Staff"))</f>
        <v>0</v>
      </c>
      <c r="Q191" s="15">
        <f>IF(B191="","",TEXT(B191,"yyyy-mm"))</f>
        <v>0</v>
      </c>
      <c r="R191" s="25">
        <f>IF(B191="","",WEEKNUM(B191,2))</f>
        <v>0</v>
      </c>
      <c r="S191" s="26">
        <f>IF(B191="","",IF(G191&lt;&gt;"",G191,IFERROR(IF(INDEX(Staff!$P$5:$P$44,MATCH(D191,Staff!$A$5:$A$44,0))="",DefaultHourly,INDEX(Staff!$P$5:$P$44,MATCH(D191,Staff!$A$5:$A$44,0))),DefaultHourly)))</f>
        <v>0</v>
      </c>
      <c r="T191" s="26">
        <f>IF(B191="","",ROUND(IF(F191="",0,F191)*S191,2))</f>
        <v>0</v>
      </c>
      <c r="U191" s="26">
        <f>IF(B191="","",ROUND(T191+IF(H191="",0,H191)+IF(J191="",0,J191)+IF(K191="",0,K191),2))</f>
        <v>0</v>
      </c>
      <c r="V191" s="26">
        <f>IF(B191="","",ROUND(U191-IF(L191="",0,L191),2))</f>
        <v>0</v>
      </c>
      <c r="W191" s="26">
        <f>IF(B191="","",ROUND(V191+IF(I191="",0,I191),2))</f>
        <v>0</v>
      </c>
      <c r="X191" s="26">
        <f>IF(B191="","",IF(IFERROR(INDEX(Staff!$E$5:$E$44,MATCH(D191,Staff!$A$5:$A$44,0))&amp;"","")="Self-employed",0,IF(IFERROR(INDEX(Staff!$E$5:$E$44,MATCH(D191,Staff!$A$5:$A$44,0))&amp;"","")="Chair renter",0,ROUND(U191*PayrollBurden,2))))</f>
        <v>0</v>
      </c>
      <c r="Y191" s="26">
        <f>IF(B191="","",ROUND(U191+X191,2))</f>
        <v>0</v>
      </c>
      <c r="Z191" s="26">
        <f>IF(B191="","",ROUND(SUMIFS(Commissions!$X$5:$X$244,Commissions!$C$5:$C$244,D191,Commissions!$B$5:$B$244,Q191),2))</f>
        <v>0</v>
      </c>
      <c r="AA191" s="26">
        <f>IF(B191="","",ROUND(SUMIFS($H$5:$H$364,$D$5:$D$364,D191,$Q$5:$Q$364,Q191),2))</f>
        <v>0</v>
      </c>
      <c r="AB191" s="26">
        <f>IF(B191="","",ROUND(Z191-AA191,2))</f>
        <v>0</v>
      </c>
      <c r="AC191" s="26">
        <f>IF(B191="","",IF(IF(F191="",0,F191)=0,"",ROUND(Y191/F191,2)))</f>
        <v>0</v>
      </c>
      <c r="AD191" s="39">
        <f>IF(B191="","",IF(D191="","Add - who is this run for?",IF(IF(F191="",H191="",FALSE),"Add - no hours and no commission",IF(AB191&lt;-0.004,"Check - more commission paid than earned",IF(M191&lt;&gt;"Yes","Due - not paid yet",IF(N191="","Check - marked paid, no date","OK"))))))</f>
        <v>0</v>
      </c>
    </row>
    <row r="192" spans="1:30">
      <c r="A192" s="28">
        <f>IF(B192="","",PayrollPrefix&amp;TEXT(ROW()-4,"0000"))</f>
        <v>0</v>
      </c>
      <c r="E192" s="15">
        <f>IF(D192="","",IFERROR(INDEX(Staff!$B$5:$B$44,MATCH(D192,Staff!$A$5:$A$44,0)),"Not in Staff"))</f>
        <v>0</v>
      </c>
      <c r="Q192" s="15">
        <f>IF(B192="","",TEXT(B192,"yyyy-mm"))</f>
        <v>0</v>
      </c>
      <c r="R192" s="25">
        <f>IF(B192="","",WEEKNUM(B192,2))</f>
        <v>0</v>
      </c>
      <c r="S192" s="26">
        <f>IF(B192="","",IF(G192&lt;&gt;"",G192,IFERROR(IF(INDEX(Staff!$P$5:$P$44,MATCH(D192,Staff!$A$5:$A$44,0))="",DefaultHourly,INDEX(Staff!$P$5:$P$44,MATCH(D192,Staff!$A$5:$A$44,0))),DefaultHourly)))</f>
        <v>0</v>
      </c>
      <c r="T192" s="26">
        <f>IF(B192="","",ROUND(IF(F192="",0,F192)*S192,2))</f>
        <v>0</v>
      </c>
      <c r="U192" s="26">
        <f>IF(B192="","",ROUND(T192+IF(H192="",0,H192)+IF(J192="",0,J192)+IF(K192="",0,K192),2))</f>
        <v>0</v>
      </c>
      <c r="V192" s="26">
        <f>IF(B192="","",ROUND(U192-IF(L192="",0,L192),2))</f>
        <v>0</v>
      </c>
      <c r="W192" s="26">
        <f>IF(B192="","",ROUND(V192+IF(I192="",0,I192),2))</f>
        <v>0</v>
      </c>
      <c r="X192" s="26">
        <f>IF(B192="","",IF(IFERROR(INDEX(Staff!$E$5:$E$44,MATCH(D192,Staff!$A$5:$A$44,0))&amp;"","")="Self-employed",0,IF(IFERROR(INDEX(Staff!$E$5:$E$44,MATCH(D192,Staff!$A$5:$A$44,0))&amp;"","")="Chair renter",0,ROUND(U192*PayrollBurden,2))))</f>
        <v>0</v>
      </c>
      <c r="Y192" s="26">
        <f>IF(B192="","",ROUND(U192+X192,2))</f>
        <v>0</v>
      </c>
      <c r="Z192" s="26">
        <f>IF(B192="","",ROUND(SUMIFS(Commissions!$X$5:$X$244,Commissions!$C$5:$C$244,D192,Commissions!$B$5:$B$244,Q192),2))</f>
        <v>0</v>
      </c>
      <c r="AA192" s="26">
        <f>IF(B192="","",ROUND(SUMIFS($H$5:$H$364,$D$5:$D$364,D192,$Q$5:$Q$364,Q192),2))</f>
        <v>0</v>
      </c>
      <c r="AB192" s="26">
        <f>IF(B192="","",ROUND(Z192-AA192,2))</f>
        <v>0</v>
      </c>
      <c r="AC192" s="26">
        <f>IF(B192="","",IF(IF(F192="",0,F192)=0,"",ROUND(Y192/F192,2)))</f>
        <v>0</v>
      </c>
      <c r="AD192" s="39">
        <f>IF(B192="","",IF(D192="","Add - who is this run for?",IF(IF(F192="",H192="",FALSE),"Add - no hours and no commission",IF(AB192&lt;-0.004,"Check - more commission paid than earned",IF(M192&lt;&gt;"Yes","Due - not paid yet",IF(N192="","Check - marked paid, no date","OK"))))))</f>
        <v>0</v>
      </c>
    </row>
    <row r="193" spans="1:30">
      <c r="A193" s="28">
        <f>IF(B193="","",PayrollPrefix&amp;TEXT(ROW()-4,"0000"))</f>
        <v>0</v>
      </c>
      <c r="E193" s="15">
        <f>IF(D193="","",IFERROR(INDEX(Staff!$B$5:$B$44,MATCH(D193,Staff!$A$5:$A$44,0)),"Not in Staff"))</f>
        <v>0</v>
      </c>
      <c r="Q193" s="15">
        <f>IF(B193="","",TEXT(B193,"yyyy-mm"))</f>
        <v>0</v>
      </c>
      <c r="R193" s="25">
        <f>IF(B193="","",WEEKNUM(B193,2))</f>
        <v>0</v>
      </c>
      <c r="S193" s="26">
        <f>IF(B193="","",IF(G193&lt;&gt;"",G193,IFERROR(IF(INDEX(Staff!$P$5:$P$44,MATCH(D193,Staff!$A$5:$A$44,0))="",DefaultHourly,INDEX(Staff!$P$5:$P$44,MATCH(D193,Staff!$A$5:$A$44,0))),DefaultHourly)))</f>
        <v>0</v>
      </c>
      <c r="T193" s="26">
        <f>IF(B193="","",ROUND(IF(F193="",0,F193)*S193,2))</f>
        <v>0</v>
      </c>
      <c r="U193" s="26">
        <f>IF(B193="","",ROUND(T193+IF(H193="",0,H193)+IF(J193="",0,J193)+IF(K193="",0,K193),2))</f>
        <v>0</v>
      </c>
      <c r="V193" s="26">
        <f>IF(B193="","",ROUND(U193-IF(L193="",0,L193),2))</f>
        <v>0</v>
      </c>
      <c r="W193" s="26">
        <f>IF(B193="","",ROUND(V193+IF(I193="",0,I193),2))</f>
        <v>0</v>
      </c>
      <c r="X193" s="26">
        <f>IF(B193="","",IF(IFERROR(INDEX(Staff!$E$5:$E$44,MATCH(D193,Staff!$A$5:$A$44,0))&amp;"","")="Self-employed",0,IF(IFERROR(INDEX(Staff!$E$5:$E$44,MATCH(D193,Staff!$A$5:$A$44,0))&amp;"","")="Chair renter",0,ROUND(U193*PayrollBurden,2))))</f>
        <v>0</v>
      </c>
      <c r="Y193" s="26">
        <f>IF(B193="","",ROUND(U193+X193,2))</f>
        <v>0</v>
      </c>
      <c r="Z193" s="26">
        <f>IF(B193="","",ROUND(SUMIFS(Commissions!$X$5:$X$244,Commissions!$C$5:$C$244,D193,Commissions!$B$5:$B$244,Q193),2))</f>
        <v>0</v>
      </c>
      <c r="AA193" s="26">
        <f>IF(B193="","",ROUND(SUMIFS($H$5:$H$364,$D$5:$D$364,D193,$Q$5:$Q$364,Q193),2))</f>
        <v>0</v>
      </c>
      <c r="AB193" s="26">
        <f>IF(B193="","",ROUND(Z193-AA193,2))</f>
        <v>0</v>
      </c>
      <c r="AC193" s="26">
        <f>IF(B193="","",IF(IF(F193="",0,F193)=0,"",ROUND(Y193/F193,2)))</f>
        <v>0</v>
      </c>
      <c r="AD193" s="39">
        <f>IF(B193="","",IF(D193="","Add - who is this run for?",IF(IF(F193="",H193="",FALSE),"Add - no hours and no commission",IF(AB193&lt;-0.004,"Check - more commission paid than earned",IF(M193&lt;&gt;"Yes","Due - not paid yet",IF(N193="","Check - marked paid, no date","OK"))))))</f>
        <v>0</v>
      </c>
    </row>
    <row r="194" spans="1:30">
      <c r="A194" s="28">
        <f>IF(B194="","",PayrollPrefix&amp;TEXT(ROW()-4,"0000"))</f>
        <v>0</v>
      </c>
      <c r="E194" s="15">
        <f>IF(D194="","",IFERROR(INDEX(Staff!$B$5:$B$44,MATCH(D194,Staff!$A$5:$A$44,0)),"Not in Staff"))</f>
        <v>0</v>
      </c>
      <c r="Q194" s="15">
        <f>IF(B194="","",TEXT(B194,"yyyy-mm"))</f>
        <v>0</v>
      </c>
      <c r="R194" s="25">
        <f>IF(B194="","",WEEKNUM(B194,2))</f>
        <v>0</v>
      </c>
      <c r="S194" s="26">
        <f>IF(B194="","",IF(G194&lt;&gt;"",G194,IFERROR(IF(INDEX(Staff!$P$5:$P$44,MATCH(D194,Staff!$A$5:$A$44,0))="",DefaultHourly,INDEX(Staff!$P$5:$P$44,MATCH(D194,Staff!$A$5:$A$44,0))),DefaultHourly)))</f>
        <v>0</v>
      </c>
      <c r="T194" s="26">
        <f>IF(B194="","",ROUND(IF(F194="",0,F194)*S194,2))</f>
        <v>0</v>
      </c>
      <c r="U194" s="26">
        <f>IF(B194="","",ROUND(T194+IF(H194="",0,H194)+IF(J194="",0,J194)+IF(K194="",0,K194),2))</f>
        <v>0</v>
      </c>
      <c r="V194" s="26">
        <f>IF(B194="","",ROUND(U194-IF(L194="",0,L194),2))</f>
        <v>0</v>
      </c>
      <c r="W194" s="26">
        <f>IF(B194="","",ROUND(V194+IF(I194="",0,I194),2))</f>
        <v>0</v>
      </c>
      <c r="X194" s="26">
        <f>IF(B194="","",IF(IFERROR(INDEX(Staff!$E$5:$E$44,MATCH(D194,Staff!$A$5:$A$44,0))&amp;"","")="Self-employed",0,IF(IFERROR(INDEX(Staff!$E$5:$E$44,MATCH(D194,Staff!$A$5:$A$44,0))&amp;"","")="Chair renter",0,ROUND(U194*PayrollBurden,2))))</f>
        <v>0</v>
      </c>
      <c r="Y194" s="26">
        <f>IF(B194="","",ROUND(U194+X194,2))</f>
        <v>0</v>
      </c>
      <c r="Z194" s="26">
        <f>IF(B194="","",ROUND(SUMIFS(Commissions!$X$5:$X$244,Commissions!$C$5:$C$244,D194,Commissions!$B$5:$B$244,Q194),2))</f>
        <v>0</v>
      </c>
      <c r="AA194" s="26">
        <f>IF(B194="","",ROUND(SUMIFS($H$5:$H$364,$D$5:$D$364,D194,$Q$5:$Q$364,Q194),2))</f>
        <v>0</v>
      </c>
      <c r="AB194" s="26">
        <f>IF(B194="","",ROUND(Z194-AA194,2))</f>
        <v>0</v>
      </c>
      <c r="AC194" s="26">
        <f>IF(B194="","",IF(IF(F194="",0,F194)=0,"",ROUND(Y194/F194,2)))</f>
        <v>0</v>
      </c>
      <c r="AD194" s="39">
        <f>IF(B194="","",IF(D194="","Add - who is this run for?",IF(IF(F194="",H194="",FALSE),"Add - no hours and no commission",IF(AB194&lt;-0.004,"Check - more commission paid than earned",IF(M194&lt;&gt;"Yes","Due - not paid yet",IF(N194="","Check - marked paid, no date","OK"))))))</f>
        <v>0</v>
      </c>
    </row>
    <row r="195" spans="1:30">
      <c r="A195" s="28">
        <f>IF(B195="","",PayrollPrefix&amp;TEXT(ROW()-4,"0000"))</f>
        <v>0</v>
      </c>
      <c r="E195" s="15">
        <f>IF(D195="","",IFERROR(INDEX(Staff!$B$5:$B$44,MATCH(D195,Staff!$A$5:$A$44,0)),"Not in Staff"))</f>
        <v>0</v>
      </c>
      <c r="Q195" s="15">
        <f>IF(B195="","",TEXT(B195,"yyyy-mm"))</f>
        <v>0</v>
      </c>
      <c r="R195" s="25">
        <f>IF(B195="","",WEEKNUM(B195,2))</f>
        <v>0</v>
      </c>
      <c r="S195" s="26">
        <f>IF(B195="","",IF(G195&lt;&gt;"",G195,IFERROR(IF(INDEX(Staff!$P$5:$P$44,MATCH(D195,Staff!$A$5:$A$44,0))="",DefaultHourly,INDEX(Staff!$P$5:$P$44,MATCH(D195,Staff!$A$5:$A$44,0))),DefaultHourly)))</f>
        <v>0</v>
      </c>
      <c r="T195" s="26">
        <f>IF(B195="","",ROUND(IF(F195="",0,F195)*S195,2))</f>
        <v>0</v>
      </c>
      <c r="U195" s="26">
        <f>IF(B195="","",ROUND(T195+IF(H195="",0,H195)+IF(J195="",0,J195)+IF(K195="",0,K195),2))</f>
        <v>0</v>
      </c>
      <c r="V195" s="26">
        <f>IF(B195="","",ROUND(U195-IF(L195="",0,L195),2))</f>
        <v>0</v>
      </c>
      <c r="W195" s="26">
        <f>IF(B195="","",ROUND(V195+IF(I195="",0,I195),2))</f>
        <v>0</v>
      </c>
      <c r="X195" s="26">
        <f>IF(B195="","",IF(IFERROR(INDEX(Staff!$E$5:$E$44,MATCH(D195,Staff!$A$5:$A$44,0))&amp;"","")="Self-employed",0,IF(IFERROR(INDEX(Staff!$E$5:$E$44,MATCH(D195,Staff!$A$5:$A$44,0))&amp;"","")="Chair renter",0,ROUND(U195*PayrollBurden,2))))</f>
        <v>0</v>
      </c>
      <c r="Y195" s="26">
        <f>IF(B195="","",ROUND(U195+X195,2))</f>
        <v>0</v>
      </c>
      <c r="Z195" s="26">
        <f>IF(B195="","",ROUND(SUMIFS(Commissions!$X$5:$X$244,Commissions!$C$5:$C$244,D195,Commissions!$B$5:$B$244,Q195),2))</f>
        <v>0</v>
      </c>
      <c r="AA195" s="26">
        <f>IF(B195="","",ROUND(SUMIFS($H$5:$H$364,$D$5:$D$364,D195,$Q$5:$Q$364,Q195),2))</f>
        <v>0</v>
      </c>
      <c r="AB195" s="26">
        <f>IF(B195="","",ROUND(Z195-AA195,2))</f>
        <v>0</v>
      </c>
      <c r="AC195" s="26">
        <f>IF(B195="","",IF(IF(F195="",0,F195)=0,"",ROUND(Y195/F195,2)))</f>
        <v>0</v>
      </c>
      <c r="AD195" s="39">
        <f>IF(B195="","",IF(D195="","Add - who is this run for?",IF(IF(F195="",H195="",FALSE),"Add - no hours and no commission",IF(AB195&lt;-0.004,"Check - more commission paid than earned",IF(M195&lt;&gt;"Yes","Due - not paid yet",IF(N195="","Check - marked paid, no date","OK"))))))</f>
        <v>0</v>
      </c>
    </row>
    <row r="196" spans="1:30">
      <c r="A196" s="28">
        <f>IF(B196="","",PayrollPrefix&amp;TEXT(ROW()-4,"0000"))</f>
        <v>0</v>
      </c>
      <c r="E196" s="15">
        <f>IF(D196="","",IFERROR(INDEX(Staff!$B$5:$B$44,MATCH(D196,Staff!$A$5:$A$44,0)),"Not in Staff"))</f>
        <v>0</v>
      </c>
      <c r="Q196" s="15">
        <f>IF(B196="","",TEXT(B196,"yyyy-mm"))</f>
        <v>0</v>
      </c>
      <c r="R196" s="25">
        <f>IF(B196="","",WEEKNUM(B196,2))</f>
        <v>0</v>
      </c>
      <c r="S196" s="26">
        <f>IF(B196="","",IF(G196&lt;&gt;"",G196,IFERROR(IF(INDEX(Staff!$P$5:$P$44,MATCH(D196,Staff!$A$5:$A$44,0))="",DefaultHourly,INDEX(Staff!$P$5:$P$44,MATCH(D196,Staff!$A$5:$A$44,0))),DefaultHourly)))</f>
        <v>0</v>
      </c>
      <c r="T196" s="26">
        <f>IF(B196="","",ROUND(IF(F196="",0,F196)*S196,2))</f>
        <v>0</v>
      </c>
      <c r="U196" s="26">
        <f>IF(B196="","",ROUND(T196+IF(H196="",0,H196)+IF(J196="",0,J196)+IF(K196="",0,K196),2))</f>
        <v>0</v>
      </c>
      <c r="V196" s="26">
        <f>IF(B196="","",ROUND(U196-IF(L196="",0,L196),2))</f>
        <v>0</v>
      </c>
      <c r="W196" s="26">
        <f>IF(B196="","",ROUND(V196+IF(I196="",0,I196),2))</f>
        <v>0</v>
      </c>
      <c r="X196" s="26">
        <f>IF(B196="","",IF(IFERROR(INDEX(Staff!$E$5:$E$44,MATCH(D196,Staff!$A$5:$A$44,0))&amp;"","")="Self-employed",0,IF(IFERROR(INDEX(Staff!$E$5:$E$44,MATCH(D196,Staff!$A$5:$A$44,0))&amp;"","")="Chair renter",0,ROUND(U196*PayrollBurden,2))))</f>
        <v>0</v>
      </c>
      <c r="Y196" s="26">
        <f>IF(B196="","",ROUND(U196+X196,2))</f>
        <v>0</v>
      </c>
      <c r="Z196" s="26">
        <f>IF(B196="","",ROUND(SUMIFS(Commissions!$X$5:$X$244,Commissions!$C$5:$C$244,D196,Commissions!$B$5:$B$244,Q196),2))</f>
        <v>0</v>
      </c>
      <c r="AA196" s="26">
        <f>IF(B196="","",ROUND(SUMIFS($H$5:$H$364,$D$5:$D$364,D196,$Q$5:$Q$364,Q196),2))</f>
        <v>0</v>
      </c>
      <c r="AB196" s="26">
        <f>IF(B196="","",ROUND(Z196-AA196,2))</f>
        <v>0</v>
      </c>
      <c r="AC196" s="26">
        <f>IF(B196="","",IF(IF(F196="",0,F196)=0,"",ROUND(Y196/F196,2)))</f>
        <v>0</v>
      </c>
      <c r="AD196" s="39">
        <f>IF(B196="","",IF(D196="","Add - who is this run for?",IF(IF(F196="",H196="",FALSE),"Add - no hours and no commission",IF(AB196&lt;-0.004,"Check - more commission paid than earned",IF(M196&lt;&gt;"Yes","Due - not paid yet",IF(N196="","Check - marked paid, no date","OK"))))))</f>
        <v>0</v>
      </c>
    </row>
    <row r="197" spans="1:30">
      <c r="A197" s="28">
        <f>IF(B197="","",PayrollPrefix&amp;TEXT(ROW()-4,"0000"))</f>
        <v>0</v>
      </c>
      <c r="E197" s="15">
        <f>IF(D197="","",IFERROR(INDEX(Staff!$B$5:$B$44,MATCH(D197,Staff!$A$5:$A$44,0)),"Not in Staff"))</f>
        <v>0</v>
      </c>
      <c r="Q197" s="15">
        <f>IF(B197="","",TEXT(B197,"yyyy-mm"))</f>
        <v>0</v>
      </c>
      <c r="R197" s="25">
        <f>IF(B197="","",WEEKNUM(B197,2))</f>
        <v>0</v>
      </c>
      <c r="S197" s="26">
        <f>IF(B197="","",IF(G197&lt;&gt;"",G197,IFERROR(IF(INDEX(Staff!$P$5:$P$44,MATCH(D197,Staff!$A$5:$A$44,0))="",DefaultHourly,INDEX(Staff!$P$5:$P$44,MATCH(D197,Staff!$A$5:$A$44,0))),DefaultHourly)))</f>
        <v>0</v>
      </c>
      <c r="T197" s="26">
        <f>IF(B197="","",ROUND(IF(F197="",0,F197)*S197,2))</f>
        <v>0</v>
      </c>
      <c r="U197" s="26">
        <f>IF(B197="","",ROUND(T197+IF(H197="",0,H197)+IF(J197="",0,J197)+IF(K197="",0,K197),2))</f>
        <v>0</v>
      </c>
      <c r="V197" s="26">
        <f>IF(B197="","",ROUND(U197-IF(L197="",0,L197),2))</f>
        <v>0</v>
      </c>
      <c r="W197" s="26">
        <f>IF(B197="","",ROUND(V197+IF(I197="",0,I197),2))</f>
        <v>0</v>
      </c>
      <c r="X197" s="26">
        <f>IF(B197="","",IF(IFERROR(INDEX(Staff!$E$5:$E$44,MATCH(D197,Staff!$A$5:$A$44,0))&amp;"","")="Self-employed",0,IF(IFERROR(INDEX(Staff!$E$5:$E$44,MATCH(D197,Staff!$A$5:$A$44,0))&amp;"","")="Chair renter",0,ROUND(U197*PayrollBurden,2))))</f>
        <v>0</v>
      </c>
      <c r="Y197" s="26">
        <f>IF(B197="","",ROUND(U197+X197,2))</f>
        <v>0</v>
      </c>
      <c r="Z197" s="26">
        <f>IF(B197="","",ROUND(SUMIFS(Commissions!$X$5:$X$244,Commissions!$C$5:$C$244,D197,Commissions!$B$5:$B$244,Q197),2))</f>
        <v>0</v>
      </c>
      <c r="AA197" s="26">
        <f>IF(B197="","",ROUND(SUMIFS($H$5:$H$364,$D$5:$D$364,D197,$Q$5:$Q$364,Q197),2))</f>
        <v>0</v>
      </c>
      <c r="AB197" s="26">
        <f>IF(B197="","",ROUND(Z197-AA197,2))</f>
        <v>0</v>
      </c>
      <c r="AC197" s="26">
        <f>IF(B197="","",IF(IF(F197="",0,F197)=0,"",ROUND(Y197/F197,2)))</f>
        <v>0</v>
      </c>
      <c r="AD197" s="39">
        <f>IF(B197="","",IF(D197="","Add - who is this run for?",IF(IF(F197="",H197="",FALSE),"Add - no hours and no commission",IF(AB197&lt;-0.004,"Check - more commission paid than earned",IF(M197&lt;&gt;"Yes","Due - not paid yet",IF(N197="","Check - marked paid, no date","OK"))))))</f>
        <v>0</v>
      </c>
    </row>
    <row r="198" spans="1:30">
      <c r="A198" s="28">
        <f>IF(B198="","",PayrollPrefix&amp;TEXT(ROW()-4,"0000"))</f>
        <v>0</v>
      </c>
      <c r="E198" s="15">
        <f>IF(D198="","",IFERROR(INDEX(Staff!$B$5:$B$44,MATCH(D198,Staff!$A$5:$A$44,0)),"Not in Staff"))</f>
        <v>0</v>
      </c>
      <c r="Q198" s="15">
        <f>IF(B198="","",TEXT(B198,"yyyy-mm"))</f>
        <v>0</v>
      </c>
      <c r="R198" s="25">
        <f>IF(B198="","",WEEKNUM(B198,2))</f>
        <v>0</v>
      </c>
      <c r="S198" s="26">
        <f>IF(B198="","",IF(G198&lt;&gt;"",G198,IFERROR(IF(INDEX(Staff!$P$5:$P$44,MATCH(D198,Staff!$A$5:$A$44,0))="",DefaultHourly,INDEX(Staff!$P$5:$P$44,MATCH(D198,Staff!$A$5:$A$44,0))),DefaultHourly)))</f>
        <v>0</v>
      </c>
      <c r="T198" s="26">
        <f>IF(B198="","",ROUND(IF(F198="",0,F198)*S198,2))</f>
        <v>0</v>
      </c>
      <c r="U198" s="26">
        <f>IF(B198="","",ROUND(T198+IF(H198="",0,H198)+IF(J198="",0,J198)+IF(K198="",0,K198),2))</f>
        <v>0</v>
      </c>
      <c r="V198" s="26">
        <f>IF(B198="","",ROUND(U198-IF(L198="",0,L198),2))</f>
        <v>0</v>
      </c>
      <c r="W198" s="26">
        <f>IF(B198="","",ROUND(V198+IF(I198="",0,I198),2))</f>
        <v>0</v>
      </c>
      <c r="X198" s="26">
        <f>IF(B198="","",IF(IFERROR(INDEX(Staff!$E$5:$E$44,MATCH(D198,Staff!$A$5:$A$44,0))&amp;"","")="Self-employed",0,IF(IFERROR(INDEX(Staff!$E$5:$E$44,MATCH(D198,Staff!$A$5:$A$44,0))&amp;"","")="Chair renter",0,ROUND(U198*PayrollBurden,2))))</f>
        <v>0</v>
      </c>
      <c r="Y198" s="26">
        <f>IF(B198="","",ROUND(U198+X198,2))</f>
        <v>0</v>
      </c>
      <c r="Z198" s="26">
        <f>IF(B198="","",ROUND(SUMIFS(Commissions!$X$5:$X$244,Commissions!$C$5:$C$244,D198,Commissions!$B$5:$B$244,Q198),2))</f>
        <v>0</v>
      </c>
      <c r="AA198" s="26">
        <f>IF(B198="","",ROUND(SUMIFS($H$5:$H$364,$D$5:$D$364,D198,$Q$5:$Q$364,Q198),2))</f>
        <v>0</v>
      </c>
      <c r="AB198" s="26">
        <f>IF(B198="","",ROUND(Z198-AA198,2))</f>
        <v>0</v>
      </c>
      <c r="AC198" s="26">
        <f>IF(B198="","",IF(IF(F198="",0,F198)=0,"",ROUND(Y198/F198,2)))</f>
        <v>0</v>
      </c>
      <c r="AD198" s="39">
        <f>IF(B198="","",IF(D198="","Add - who is this run for?",IF(IF(F198="",H198="",FALSE),"Add - no hours and no commission",IF(AB198&lt;-0.004,"Check - more commission paid than earned",IF(M198&lt;&gt;"Yes","Due - not paid yet",IF(N198="","Check - marked paid, no date","OK"))))))</f>
        <v>0</v>
      </c>
    </row>
    <row r="199" spans="1:30">
      <c r="A199" s="28">
        <f>IF(B199="","",PayrollPrefix&amp;TEXT(ROW()-4,"0000"))</f>
        <v>0</v>
      </c>
      <c r="E199" s="15">
        <f>IF(D199="","",IFERROR(INDEX(Staff!$B$5:$B$44,MATCH(D199,Staff!$A$5:$A$44,0)),"Not in Staff"))</f>
        <v>0</v>
      </c>
      <c r="Q199" s="15">
        <f>IF(B199="","",TEXT(B199,"yyyy-mm"))</f>
        <v>0</v>
      </c>
      <c r="R199" s="25">
        <f>IF(B199="","",WEEKNUM(B199,2))</f>
        <v>0</v>
      </c>
      <c r="S199" s="26">
        <f>IF(B199="","",IF(G199&lt;&gt;"",G199,IFERROR(IF(INDEX(Staff!$P$5:$P$44,MATCH(D199,Staff!$A$5:$A$44,0))="",DefaultHourly,INDEX(Staff!$P$5:$P$44,MATCH(D199,Staff!$A$5:$A$44,0))),DefaultHourly)))</f>
        <v>0</v>
      </c>
      <c r="T199" s="26">
        <f>IF(B199="","",ROUND(IF(F199="",0,F199)*S199,2))</f>
        <v>0</v>
      </c>
      <c r="U199" s="26">
        <f>IF(B199="","",ROUND(T199+IF(H199="",0,H199)+IF(J199="",0,J199)+IF(K199="",0,K199),2))</f>
        <v>0</v>
      </c>
      <c r="V199" s="26">
        <f>IF(B199="","",ROUND(U199-IF(L199="",0,L199),2))</f>
        <v>0</v>
      </c>
      <c r="W199" s="26">
        <f>IF(B199="","",ROUND(V199+IF(I199="",0,I199),2))</f>
        <v>0</v>
      </c>
      <c r="X199" s="26">
        <f>IF(B199="","",IF(IFERROR(INDEX(Staff!$E$5:$E$44,MATCH(D199,Staff!$A$5:$A$44,0))&amp;"","")="Self-employed",0,IF(IFERROR(INDEX(Staff!$E$5:$E$44,MATCH(D199,Staff!$A$5:$A$44,0))&amp;"","")="Chair renter",0,ROUND(U199*PayrollBurden,2))))</f>
        <v>0</v>
      </c>
      <c r="Y199" s="26">
        <f>IF(B199="","",ROUND(U199+X199,2))</f>
        <v>0</v>
      </c>
      <c r="Z199" s="26">
        <f>IF(B199="","",ROUND(SUMIFS(Commissions!$X$5:$X$244,Commissions!$C$5:$C$244,D199,Commissions!$B$5:$B$244,Q199),2))</f>
        <v>0</v>
      </c>
      <c r="AA199" s="26">
        <f>IF(B199="","",ROUND(SUMIFS($H$5:$H$364,$D$5:$D$364,D199,$Q$5:$Q$364,Q199),2))</f>
        <v>0</v>
      </c>
      <c r="AB199" s="26">
        <f>IF(B199="","",ROUND(Z199-AA199,2))</f>
        <v>0</v>
      </c>
      <c r="AC199" s="26">
        <f>IF(B199="","",IF(IF(F199="",0,F199)=0,"",ROUND(Y199/F199,2)))</f>
        <v>0</v>
      </c>
      <c r="AD199" s="39">
        <f>IF(B199="","",IF(D199="","Add - who is this run for?",IF(IF(F199="",H199="",FALSE),"Add - no hours and no commission",IF(AB199&lt;-0.004,"Check - more commission paid than earned",IF(M199&lt;&gt;"Yes","Due - not paid yet",IF(N199="","Check - marked paid, no date","OK"))))))</f>
        <v>0</v>
      </c>
    </row>
    <row r="200" spans="1:30">
      <c r="A200" s="28">
        <f>IF(B200="","",PayrollPrefix&amp;TEXT(ROW()-4,"0000"))</f>
        <v>0</v>
      </c>
      <c r="E200" s="15">
        <f>IF(D200="","",IFERROR(INDEX(Staff!$B$5:$B$44,MATCH(D200,Staff!$A$5:$A$44,0)),"Not in Staff"))</f>
        <v>0</v>
      </c>
      <c r="Q200" s="15">
        <f>IF(B200="","",TEXT(B200,"yyyy-mm"))</f>
        <v>0</v>
      </c>
      <c r="R200" s="25">
        <f>IF(B200="","",WEEKNUM(B200,2))</f>
        <v>0</v>
      </c>
      <c r="S200" s="26">
        <f>IF(B200="","",IF(G200&lt;&gt;"",G200,IFERROR(IF(INDEX(Staff!$P$5:$P$44,MATCH(D200,Staff!$A$5:$A$44,0))="",DefaultHourly,INDEX(Staff!$P$5:$P$44,MATCH(D200,Staff!$A$5:$A$44,0))),DefaultHourly)))</f>
        <v>0</v>
      </c>
      <c r="T200" s="26">
        <f>IF(B200="","",ROUND(IF(F200="",0,F200)*S200,2))</f>
        <v>0</v>
      </c>
      <c r="U200" s="26">
        <f>IF(B200="","",ROUND(T200+IF(H200="",0,H200)+IF(J200="",0,J200)+IF(K200="",0,K200),2))</f>
        <v>0</v>
      </c>
      <c r="V200" s="26">
        <f>IF(B200="","",ROUND(U200-IF(L200="",0,L200),2))</f>
        <v>0</v>
      </c>
      <c r="W200" s="26">
        <f>IF(B200="","",ROUND(V200+IF(I200="",0,I200),2))</f>
        <v>0</v>
      </c>
      <c r="X200" s="26">
        <f>IF(B200="","",IF(IFERROR(INDEX(Staff!$E$5:$E$44,MATCH(D200,Staff!$A$5:$A$44,0))&amp;"","")="Self-employed",0,IF(IFERROR(INDEX(Staff!$E$5:$E$44,MATCH(D200,Staff!$A$5:$A$44,0))&amp;"","")="Chair renter",0,ROUND(U200*PayrollBurden,2))))</f>
        <v>0</v>
      </c>
      <c r="Y200" s="26">
        <f>IF(B200="","",ROUND(U200+X200,2))</f>
        <v>0</v>
      </c>
      <c r="Z200" s="26">
        <f>IF(B200="","",ROUND(SUMIFS(Commissions!$X$5:$X$244,Commissions!$C$5:$C$244,D200,Commissions!$B$5:$B$244,Q200),2))</f>
        <v>0</v>
      </c>
      <c r="AA200" s="26">
        <f>IF(B200="","",ROUND(SUMIFS($H$5:$H$364,$D$5:$D$364,D200,$Q$5:$Q$364,Q200),2))</f>
        <v>0</v>
      </c>
      <c r="AB200" s="26">
        <f>IF(B200="","",ROUND(Z200-AA200,2))</f>
        <v>0</v>
      </c>
      <c r="AC200" s="26">
        <f>IF(B200="","",IF(IF(F200="",0,F200)=0,"",ROUND(Y200/F200,2)))</f>
        <v>0</v>
      </c>
      <c r="AD200" s="39">
        <f>IF(B200="","",IF(D200="","Add - who is this run for?",IF(IF(F200="",H200="",FALSE),"Add - no hours and no commission",IF(AB200&lt;-0.004,"Check - more commission paid than earned",IF(M200&lt;&gt;"Yes","Due - not paid yet",IF(N200="","Check - marked paid, no date","OK"))))))</f>
        <v>0</v>
      </c>
    </row>
    <row r="201" spans="1:30">
      <c r="A201" s="28">
        <f>IF(B201="","",PayrollPrefix&amp;TEXT(ROW()-4,"0000"))</f>
        <v>0</v>
      </c>
      <c r="E201" s="15">
        <f>IF(D201="","",IFERROR(INDEX(Staff!$B$5:$B$44,MATCH(D201,Staff!$A$5:$A$44,0)),"Not in Staff"))</f>
        <v>0</v>
      </c>
      <c r="Q201" s="15">
        <f>IF(B201="","",TEXT(B201,"yyyy-mm"))</f>
        <v>0</v>
      </c>
      <c r="R201" s="25">
        <f>IF(B201="","",WEEKNUM(B201,2))</f>
        <v>0</v>
      </c>
      <c r="S201" s="26">
        <f>IF(B201="","",IF(G201&lt;&gt;"",G201,IFERROR(IF(INDEX(Staff!$P$5:$P$44,MATCH(D201,Staff!$A$5:$A$44,0))="",DefaultHourly,INDEX(Staff!$P$5:$P$44,MATCH(D201,Staff!$A$5:$A$44,0))),DefaultHourly)))</f>
        <v>0</v>
      </c>
      <c r="T201" s="26">
        <f>IF(B201="","",ROUND(IF(F201="",0,F201)*S201,2))</f>
        <v>0</v>
      </c>
      <c r="U201" s="26">
        <f>IF(B201="","",ROUND(T201+IF(H201="",0,H201)+IF(J201="",0,J201)+IF(K201="",0,K201),2))</f>
        <v>0</v>
      </c>
      <c r="V201" s="26">
        <f>IF(B201="","",ROUND(U201-IF(L201="",0,L201),2))</f>
        <v>0</v>
      </c>
      <c r="W201" s="26">
        <f>IF(B201="","",ROUND(V201+IF(I201="",0,I201),2))</f>
        <v>0</v>
      </c>
      <c r="X201" s="26">
        <f>IF(B201="","",IF(IFERROR(INDEX(Staff!$E$5:$E$44,MATCH(D201,Staff!$A$5:$A$44,0))&amp;"","")="Self-employed",0,IF(IFERROR(INDEX(Staff!$E$5:$E$44,MATCH(D201,Staff!$A$5:$A$44,0))&amp;"","")="Chair renter",0,ROUND(U201*PayrollBurden,2))))</f>
        <v>0</v>
      </c>
      <c r="Y201" s="26">
        <f>IF(B201="","",ROUND(U201+X201,2))</f>
        <v>0</v>
      </c>
      <c r="Z201" s="26">
        <f>IF(B201="","",ROUND(SUMIFS(Commissions!$X$5:$X$244,Commissions!$C$5:$C$244,D201,Commissions!$B$5:$B$244,Q201),2))</f>
        <v>0</v>
      </c>
      <c r="AA201" s="26">
        <f>IF(B201="","",ROUND(SUMIFS($H$5:$H$364,$D$5:$D$364,D201,$Q$5:$Q$364,Q201),2))</f>
        <v>0</v>
      </c>
      <c r="AB201" s="26">
        <f>IF(B201="","",ROUND(Z201-AA201,2))</f>
        <v>0</v>
      </c>
      <c r="AC201" s="26">
        <f>IF(B201="","",IF(IF(F201="",0,F201)=0,"",ROUND(Y201/F201,2)))</f>
        <v>0</v>
      </c>
      <c r="AD201" s="39">
        <f>IF(B201="","",IF(D201="","Add - who is this run for?",IF(IF(F201="",H201="",FALSE),"Add - no hours and no commission",IF(AB201&lt;-0.004,"Check - more commission paid than earned",IF(M201&lt;&gt;"Yes","Due - not paid yet",IF(N201="","Check - marked paid, no date","OK"))))))</f>
        <v>0</v>
      </c>
    </row>
    <row r="202" spans="1:30">
      <c r="A202" s="28">
        <f>IF(B202="","",PayrollPrefix&amp;TEXT(ROW()-4,"0000"))</f>
        <v>0</v>
      </c>
      <c r="E202" s="15">
        <f>IF(D202="","",IFERROR(INDEX(Staff!$B$5:$B$44,MATCH(D202,Staff!$A$5:$A$44,0)),"Not in Staff"))</f>
        <v>0</v>
      </c>
      <c r="Q202" s="15">
        <f>IF(B202="","",TEXT(B202,"yyyy-mm"))</f>
        <v>0</v>
      </c>
      <c r="R202" s="25">
        <f>IF(B202="","",WEEKNUM(B202,2))</f>
        <v>0</v>
      </c>
      <c r="S202" s="26">
        <f>IF(B202="","",IF(G202&lt;&gt;"",G202,IFERROR(IF(INDEX(Staff!$P$5:$P$44,MATCH(D202,Staff!$A$5:$A$44,0))="",DefaultHourly,INDEX(Staff!$P$5:$P$44,MATCH(D202,Staff!$A$5:$A$44,0))),DefaultHourly)))</f>
        <v>0</v>
      </c>
      <c r="T202" s="26">
        <f>IF(B202="","",ROUND(IF(F202="",0,F202)*S202,2))</f>
        <v>0</v>
      </c>
      <c r="U202" s="26">
        <f>IF(B202="","",ROUND(T202+IF(H202="",0,H202)+IF(J202="",0,J202)+IF(K202="",0,K202),2))</f>
        <v>0</v>
      </c>
      <c r="V202" s="26">
        <f>IF(B202="","",ROUND(U202-IF(L202="",0,L202),2))</f>
        <v>0</v>
      </c>
      <c r="W202" s="26">
        <f>IF(B202="","",ROUND(V202+IF(I202="",0,I202),2))</f>
        <v>0</v>
      </c>
      <c r="X202" s="26">
        <f>IF(B202="","",IF(IFERROR(INDEX(Staff!$E$5:$E$44,MATCH(D202,Staff!$A$5:$A$44,0))&amp;"","")="Self-employed",0,IF(IFERROR(INDEX(Staff!$E$5:$E$44,MATCH(D202,Staff!$A$5:$A$44,0))&amp;"","")="Chair renter",0,ROUND(U202*PayrollBurden,2))))</f>
        <v>0</v>
      </c>
      <c r="Y202" s="26">
        <f>IF(B202="","",ROUND(U202+X202,2))</f>
        <v>0</v>
      </c>
      <c r="Z202" s="26">
        <f>IF(B202="","",ROUND(SUMIFS(Commissions!$X$5:$X$244,Commissions!$C$5:$C$244,D202,Commissions!$B$5:$B$244,Q202),2))</f>
        <v>0</v>
      </c>
      <c r="AA202" s="26">
        <f>IF(B202="","",ROUND(SUMIFS($H$5:$H$364,$D$5:$D$364,D202,$Q$5:$Q$364,Q202),2))</f>
        <v>0</v>
      </c>
      <c r="AB202" s="26">
        <f>IF(B202="","",ROUND(Z202-AA202,2))</f>
        <v>0</v>
      </c>
      <c r="AC202" s="26">
        <f>IF(B202="","",IF(IF(F202="",0,F202)=0,"",ROUND(Y202/F202,2)))</f>
        <v>0</v>
      </c>
      <c r="AD202" s="39">
        <f>IF(B202="","",IF(D202="","Add - who is this run for?",IF(IF(F202="",H202="",FALSE),"Add - no hours and no commission",IF(AB202&lt;-0.004,"Check - more commission paid than earned",IF(M202&lt;&gt;"Yes","Due - not paid yet",IF(N202="","Check - marked paid, no date","OK"))))))</f>
        <v>0</v>
      </c>
    </row>
    <row r="203" spans="1:30">
      <c r="A203" s="28">
        <f>IF(B203="","",PayrollPrefix&amp;TEXT(ROW()-4,"0000"))</f>
        <v>0</v>
      </c>
      <c r="E203" s="15">
        <f>IF(D203="","",IFERROR(INDEX(Staff!$B$5:$B$44,MATCH(D203,Staff!$A$5:$A$44,0)),"Not in Staff"))</f>
        <v>0</v>
      </c>
      <c r="Q203" s="15">
        <f>IF(B203="","",TEXT(B203,"yyyy-mm"))</f>
        <v>0</v>
      </c>
      <c r="R203" s="25">
        <f>IF(B203="","",WEEKNUM(B203,2))</f>
        <v>0</v>
      </c>
      <c r="S203" s="26">
        <f>IF(B203="","",IF(G203&lt;&gt;"",G203,IFERROR(IF(INDEX(Staff!$P$5:$P$44,MATCH(D203,Staff!$A$5:$A$44,0))="",DefaultHourly,INDEX(Staff!$P$5:$P$44,MATCH(D203,Staff!$A$5:$A$44,0))),DefaultHourly)))</f>
        <v>0</v>
      </c>
      <c r="T203" s="26">
        <f>IF(B203="","",ROUND(IF(F203="",0,F203)*S203,2))</f>
        <v>0</v>
      </c>
      <c r="U203" s="26">
        <f>IF(B203="","",ROUND(T203+IF(H203="",0,H203)+IF(J203="",0,J203)+IF(K203="",0,K203),2))</f>
        <v>0</v>
      </c>
      <c r="V203" s="26">
        <f>IF(B203="","",ROUND(U203-IF(L203="",0,L203),2))</f>
        <v>0</v>
      </c>
      <c r="W203" s="26">
        <f>IF(B203="","",ROUND(V203+IF(I203="",0,I203),2))</f>
        <v>0</v>
      </c>
      <c r="X203" s="26">
        <f>IF(B203="","",IF(IFERROR(INDEX(Staff!$E$5:$E$44,MATCH(D203,Staff!$A$5:$A$44,0))&amp;"","")="Self-employed",0,IF(IFERROR(INDEX(Staff!$E$5:$E$44,MATCH(D203,Staff!$A$5:$A$44,0))&amp;"","")="Chair renter",0,ROUND(U203*PayrollBurden,2))))</f>
        <v>0</v>
      </c>
      <c r="Y203" s="26">
        <f>IF(B203="","",ROUND(U203+X203,2))</f>
        <v>0</v>
      </c>
      <c r="Z203" s="26">
        <f>IF(B203="","",ROUND(SUMIFS(Commissions!$X$5:$X$244,Commissions!$C$5:$C$244,D203,Commissions!$B$5:$B$244,Q203),2))</f>
        <v>0</v>
      </c>
      <c r="AA203" s="26">
        <f>IF(B203="","",ROUND(SUMIFS($H$5:$H$364,$D$5:$D$364,D203,$Q$5:$Q$364,Q203),2))</f>
        <v>0</v>
      </c>
      <c r="AB203" s="26">
        <f>IF(B203="","",ROUND(Z203-AA203,2))</f>
        <v>0</v>
      </c>
      <c r="AC203" s="26">
        <f>IF(B203="","",IF(IF(F203="",0,F203)=0,"",ROUND(Y203/F203,2)))</f>
        <v>0</v>
      </c>
      <c r="AD203" s="39">
        <f>IF(B203="","",IF(D203="","Add - who is this run for?",IF(IF(F203="",H203="",FALSE),"Add - no hours and no commission",IF(AB203&lt;-0.004,"Check - more commission paid than earned",IF(M203&lt;&gt;"Yes","Due - not paid yet",IF(N203="","Check - marked paid, no date","OK"))))))</f>
        <v>0</v>
      </c>
    </row>
    <row r="204" spans="1:30">
      <c r="A204" s="28">
        <f>IF(B204="","",PayrollPrefix&amp;TEXT(ROW()-4,"0000"))</f>
        <v>0</v>
      </c>
      <c r="E204" s="15">
        <f>IF(D204="","",IFERROR(INDEX(Staff!$B$5:$B$44,MATCH(D204,Staff!$A$5:$A$44,0)),"Not in Staff"))</f>
        <v>0</v>
      </c>
      <c r="Q204" s="15">
        <f>IF(B204="","",TEXT(B204,"yyyy-mm"))</f>
        <v>0</v>
      </c>
      <c r="R204" s="25">
        <f>IF(B204="","",WEEKNUM(B204,2))</f>
        <v>0</v>
      </c>
      <c r="S204" s="26">
        <f>IF(B204="","",IF(G204&lt;&gt;"",G204,IFERROR(IF(INDEX(Staff!$P$5:$P$44,MATCH(D204,Staff!$A$5:$A$44,0))="",DefaultHourly,INDEX(Staff!$P$5:$P$44,MATCH(D204,Staff!$A$5:$A$44,0))),DefaultHourly)))</f>
        <v>0</v>
      </c>
      <c r="T204" s="26">
        <f>IF(B204="","",ROUND(IF(F204="",0,F204)*S204,2))</f>
        <v>0</v>
      </c>
      <c r="U204" s="26">
        <f>IF(B204="","",ROUND(T204+IF(H204="",0,H204)+IF(J204="",0,J204)+IF(K204="",0,K204),2))</f>
        <v>0</v>
      </c>
      <c r="V204" s="26">
        <f>IF(B204="","",ROUND(U204-IF(L204="",0,L204),2))</f>
        <v>0</v>
      </c>
      <c r="W204" s="26">
        <f>IF(B204="","",ROUND(V204+IF(I204="",0,I204),2))</f>
        <v>0</v>
      </c>
      <c r="X204" s="26">
        <f>IF(B204="","",IF(IFERROR(INDEX(Staff!$E$5:$E$44,MATCH(D204,Staff!$A$5:$A$44,0))&amp;"","")="Self-employed",0,IF(IFERROR(INDEX(Staff!$E$5:$E$44,MATCH(D204,Staff!$A$5:$A$44,0))&amp;"","")="Chair renter",0,ROUND(U204*PayrollBurden,2))))</f>
        <v>0</v>
      </c>
      <c r="Y204" s="26">
        <f>IF(B204="","",ROUND(U204+X204,2))</f>
        <v>0</v>
      </c>
      <c r="Z204" s="26">
        <f>IF(B204="","",ROUND(SUMIFS(Commissions!$X$5:$X$244,Commissions!$C$5:$C$244,D204,Commissions!$B$5:$B$244,Q204),2))</f>
        <v>0</v>
      </c>
      <c r="AA204" s="26">
        <f>IF(B204="","",ROUND(SUMIFS($H$5:$H$364,$D$5:$D$364,D204,$Q$5:$Q$364,Q204),2))</f>
        <v>0</v>
      </c>
      <c r="AB204" s="26">
        <f>IF(B204="","",ROUND(Z204-AA204,2))</f>
        <v>0</v>
      </c>
      <c r="AC204" s="26">
        <f>IF(B204="","",IF(IF(F204="",0,F204)=0,"",ROUND(Y204/F204,2)))</f>
        <v>0</v>
      </c>
      <c r="AD204" s="39">
        <f>IF(B204="","",IF(D204="","Add - who is this run for?",IF(IF(F204="",H204="",FALSE),"Add - no hours and no commission",IF(AB204&lt;-0.004,"Check - more commission paid than earned",IF(M204&lt;&gt;"Yes","Due - not paid yet",IF(N204="","Check - marked paid, no date","OK"))))))</f>
        <v>0</v>
      </c>
    </row>
    <row r="205" spans="1:30">
      <c r="A205" s="28">
        <f>IF(B205="","",PayrollPrefix&amp;TEXT(ROW()-4,"0000"))</f>
        <v>0</v>
      </c>
      <c r="E205" s="15">
        <f>IF(D205="","",IFERROR(INDEX(Staff!$B$5:$B$44,MATCH(D205,Staff!$A$5:$A$44,0)),"Not in Staff"))</f>
        <v>0</v>
      </c>
      <c r="Q205" s="15">
        <f>IF(B205="","",TEXT(B205,"yyyy-mm"))</f>
        <v>0</v>
      </c>
      <c r="R205" s="25">
        <f>IF(B205="","",WEEKNUM(B205,2))</f>
        <v>0</v>
      </c>
      <c r="S205" s="26">
        <f>IF(B205="","",IF(G205&lt;&gt;"",G205,IFERROR(IF(INDEX(Staff!$P$5:$P$44,MATCH(D205,Staff!$A$5:$A$44,0))="",DefaultHourly,INDEX(Staff!$P$5:$P$44,MATCH(D205,Staff!$A$5:$A$44,0))),DefaultHourly)))</f>
        <v>0</v>
      </c>
      <c r="T205" s="26">
        <f>IF(B205="","",ROUND(IF(F205="",0,F205)*S205,2))</f>
        <v>0</v>
      </c>
      <c r="U205" s="26">
        <f>IF(B205="","",ROUND(T205+IF(H205="",0,H205)+IF(J205="",0,J205)+IF(K205="",0,K205),2))</f>
        <v>0</v>
      </c>
      <c r="V205" s="26">
        <f>IF(B205="","",ROUND(U205-IF(L205="",0,L205),2))</f>
        <v>0</v>
      </c>
      <c r="W205" s="26">
        <f>IF(B205="","",ROUND(V205+IF(I205="",0,I205),2))</f>
        <v>0</v>
      </c>
      <c r="X205" s="26">
        <f>IF(B205="","",IF(IFERROR(INDEX(Staff!$E$5:$E$44,MATCH(D205,Staff!$A$5:$A$44,0))&amp;"","")="Self-employed",0,IF(IFERROR(INDEX(Staff!$E$5:$E$44,MATCH(D205,Staff!$A$5:$A$44,0))&amp;"","")="Chair renter",0,ROUND(U205*PayrollBurden,2))))</f>
        <v>0</v>
      </c>
      <c r="Y205" s="26">
        <f>IF(B205="","",ROUND(U205+X205,2))</f>
        <v>0</v>
      </c>
      <c r="Z205" s="26">
        <f>IF(B205="","",ROUND(SUMIFS(Commissions!$X$5:$X$244,Commissions!$C$5:$C$244,D205,Commissions!$B$5:$B$244,Q205),2))</f>
        <v>0</v>
      </c>
      <c r="AA205" s="26">
        <f>IF(B205="","",ROUND(SUMIFS($H$5:$H$364,$D$5:$D$364,D205,$Q$5:$Q$364,Q205),2))</f>
        <v>0</v>
      </c>
      <c r="AB205" s="26">
        <f>IF(B205="","",ROUND(Z205-AA205,2))</f>
        <v>0</v>
      </c>
      <c r="AC205" s="26">
        <f>IF(B205="","",IF(IF(F205="",0,F205)=0,"",ROUND(Y205/F205,2)))</f>
        <v>0</v>
      </c>
      <c r="AD205" s="39">
        <f>IF(B205="","",IF(D205="","Add - who is this run for?",IF(IF(F205="",H205="",FALSE),"Add - no hours and no commission",IF(AB205&lt;-0.004,"Check - more commission paid than earned",IF(M205&lt;&gt;"Yes","Due - not paid yet",IF(N205="","Check - marked paid, no date","OK"))))))</f>
        <v>0</v>
      </c>
    </row>
    <row r="206" spans="1:30">
      <c r="A206" s="28">
        <f>IF(B206="","",PayrollPrefix&amp;TEXT(ROW()-4,"0000"))</f>
        <v>0</v>
      </c>
      <c r="E206" s="15">
        <f>IF(D206="","",IFERROR(INDEX(Staff!$B$5:$B$44,MATCH(D206,Staff!$A$5:$A$44,0)),"Not in Staff"))</f>
        <v>0</v>
      </c>
      <c r="Q206" s="15">
        <f>IF(B206="","",TEXT(B206,"yyyy-mm"))</f>
        <v>0</v>
      </c>
      <c r="R206" s="25">
        <f>IF(B206="","",WEEKNUM(B206,2))</f>
        <v>0</v>
      </c>
      <c r="S206" s="26">
        <f>IF(B206="","",IF(G206&lt;&gt;"",G206,IFERROR(IF(INDEX(Staff!$P$5:$P$44,MATCH(D206,Staff!$A$5:$A$44,0))="",DefaultHourly,INDEX(Staff!$P$5:$P$44,MATCH(D206,Staff!$A$5:$A$44,0))),DefaultHourly)))</f>
        <v>0</v>
      </c>
      <c r="T206" s="26">
        <f>IF(B206="","",ROUND(IF(F206="",0,F206)*S206,2))</f>
        <v>0</v>
      </c>
      <c r="U206" s="26">
        <f>IF(B206="","",ROUND(T206+IF(H206="",0,H206)+IF(J206="",0,J206)+IF(K206="",0,K206),2))</f>
        <v>0</v>
      </c>
      <c r="V206" s="26">
        <f>IF(B206="","",ROUND(U206-IF(L206="",0,L206),2))</f>
        <v>0</v>
      </c>
      <c r="W206" s="26">
        <f>IF(B206="","",ROUND(V206+IF(I206="",0,I206),2))</f>
        <v>0</v>
      </c>
      <c r="X206" s="26">
        <f>IF(B206="","",IF(IFERROR(INDEX(Staff!$E$5:$E$44,MATCH(D206,Staff!$A$5:$A$44,0))&amp;"","")="Self-employed",0,IF(IFERROR(INDEX(Staff!$E$5:$E$44,MATCH(D206,Staff!$A$5:$A$44,0))&amp;"","")="Chair renter",0,ROUND(U206*PayrollBurden,2))))</f>
        <v>0</v>
      </c>
      <c r="Y206" s="26">
        <f>IF(B206="","",ROUND(U206+X206,2))</f>
        <v>0</v>
      </c>
      <c r="Z206" s="26">
        <f>IF(B206="","",ROUND(SUMIFS(Commissions!$X$5:$X$244,Commissions!$C$5:$C$244,D206,Commissions!$B$5:$B$244,Q206),2))</f>
        <v>0</v>
      </c>
      <c r="AA206" s="26">
        <f>IF(B206="","",ROUND(SUMIFS($H$5:$H$364,$D$5:$D$364,D206,$Q$5:$Q$364,Q206),2))</f>
        <v>0</v>
      </c>
      <c r="AB206" s="26">
        <f>IF(B206="","",ROUND(Z206-AA206,2))</f>
        <v>0</v>
      </c>
      <c r="AC206" s="26">
        <f>IF(B206="","",IF(IF(F206="",0,F206)=0,"",ROUND(Y206/F206,2)))</f>
        <v>0</v>
      </c>
      <c r="AD206" s="39">
        <f>IF(B206="","",IF(D206="","Add - who is this run for?",IF(IF(F206="",H206="",FALSE),"Add - no hours and no commission",IF(AB206&lt;-0.004,"Check - more commission paid than earned",IF(M206&lt;&gt;"Yes","Due - not paid yet",IF(N206="","Check - marked paid, no date","OK"))))))</f>
        <v>0</v>
      </c>
    </row>
    <row r="207" spans="1:30">
      <c r="A207" s="28">
        <f>IF(B207="","",PayrollPrefix&amp;TEXT(ROW()-4,"0000"))</f>
        <v>0</v>
      </c>
      <c r="E207" s="15">
        <f>IF(D207="","",IFERROR(INDEX(Staff!$B$5:$B$44,MATCH(D207,Staff!$A$5:$A$44,0)),"Not in Staff"))</f>
        <v>0</v>
      </c>
      <c r="Q207" s="15">
        <f>IF(B207="","",TEXT(B207,"yyyy-mm"))</f>
        <v>0</v>
      </c>
      <c r="R207" s="25">
        <f>IF(B207="","",WEEKNUM(B207,2))</f>
        <v>0</v>
      </c>
      <c r="S207" s="26">
        <f>IF(B207="","",IF(G207&lt;&gt;"",G207,IFERROR(IF(INDEX(Staff!$P$5:$P$44,MATCH(D207,Staff!$A$5:$A$44,0))="",DefaultHourly,INDEX(Staff!$P$5:$P$44,MATCH(D207,Staff!$A$5:$A$44,0))),DefaultHourly)))</f>
        <v>0</v>
      </c>
      <c r="T207" s="26">
        <f>IF(B207="","",ROUND(IF(F207="",0,F207)*S207,2))</f>
        <v>0</v>
      </c>
      <c r="U207" s="26">
        <f>IF(B207="","",ROUND(T207+IF(H207="",0,H207)+IF(J207="",0,J207)+IF(K207="",0,K207),2))</f>
        <v>0</v>
      </c>
      <c r="V207" s="26">
        <f>IF(B207="","",ROUND(U207-IF(L207="",0,L207),2))</f>
        <v>0</v>
      </c>
      <c r="W207" s="26">
        <f>IF(B207="","",ROUND(V207+IF(I207="",0,I207),2))</f>
        <v>0</v>
      </c>
      <c r="X207" s="26">
        <f>IF(B207="","",IF(IFERROR(INDEX(Staff!$E$5:$E$44,MATCH(D207,Staff!$A$5:$A$44,0))&amp;"","")="Self-employed",0,IF(IFERROR(INDEX(Staff!$E$5:$E$44,MATCH(D207,Staff!$A$5:$A$44,0))&amp;"","")="Chair renter",0,ROUND(U207*PayrollBurden,2))))</f>
        <v>0</v>
      </c>
      <c r="Y207" s="26">
        <f>IF(B207="","",ROUND(U207+X207,2))</f>
        <v>0</v>
      </c>
      <c r="Z207" s="26">
        <f>IF(B207="","",ROUND(SUMIFS(Commissions!$X$5:$X$244,Commissions!$C$5:$C$244,D207,Commissions!$B$5:$B$244,Q207),2))</f>
        <v>0</v>
      </c>
      <c r="AA207" s="26">
        <f>IF(B207="","",ROUND(SUMIFS($H$5:$H$364,$D$5:$D$364,D207,$Q$5:$Q$364,Q207),2))</f>
        <v>0</v>
      </c>
      <c r="AB207" s="26">
        <f>IF(B207="","",ROUND(Z207-AA207,2))</f>
        <v>0</v>
      </c>
      <c r="AC207" s="26">
        <f>IF(B207="","",IF(IF(F207="",0,F207)=0,"",ROUND(Y207/F207,2)))</f>
        <v>0</v>
      </c>
      <c r="AD207" s="39">
        <f>IF(B207="","",IF(D207="","Add - who is this run for?",IF(IF(F207="",H207="",FALSE),"Add - no hours and no commission",IF(AB207&lt;-0.004,"Check - more commission paid than earned",IF(M207&lt;&gt;"Yes","Due - not paid yet",IF(N207="","Check - marked paid, no date","OK"))))))</f>
        <v>0</v>
      </c>
    </row>
    <row r="208" spans="1:30">
      <c r="A208" s="28">
        <f>IF(B208="","",PayrollPrefix&amp;TEXT(ROW()-4,"0000"))</f>
        <v>0</v>
      </c>
      <c r="E208" s="15">
        <f>IF(D208="","",IFERROR(INDEX(Staff!$B$5:$B$44,MATCH(D208,Staff!$A$5:$A$44,0)),"Not in Staff"))</f>
        <v>0</v>
      </c>
      <c r="Q208" s="15">
        <f>IF(B208="","",TEXT(B208,"yyyy-mm"))</f>
        <v>0</v>
      </c>
      <c r="R208" s="25">
        <f>IF(B208="","",WEEKNUM(B208,2))</f>
        <v>0</v>
      </c>
      <c r="S208" s="26">
        <f>IF(B208="","",IF(G208&lt;&gt;"",G208,IFERROR(IF(INDEX(Staff!$P$5:$P$44,MATCH(D208,Staff!$A$5:$A$44,0))="",DefaultHourly,INDEX(Staff!$P$5:$P$44,MATCH(D208,Staff!$A$5:$A$44,0))),DefaultHourly)))</f>
        <v>0</v>
      </c>
      <c r="T208" s="26">
        <f>IF(B208="","",ROUND(IF(F208="",0,F208)*S208,2))</f>
        <v>0</v>
      </c>
      <c r="U208" s="26">
        <f>IF(B208="","",ROUND(T208+IF(H208="",0,H208)+IF(J208="",0,J208)+IF(K208="",0,K208),2))</f>
        <v>0</v>
      </c>
      <c r="V208" s="26">
        <f>IF(B208="","",ROUND(U208-IF(L208="",0,L208),2))</f>
        <v>0</v>
      </c>
      <c r="W208" s="26">
        <f>IF(B208="","",ROUND(V208+IF(I208="",0,I208),2))</f>
        <v>0</v>
      </c>
      <c r="X208" s="26">
        <f>IF(B208="","",IF(IFERROR(INDEX(Staff!$E$5:$E$44,MATCH(D208,Staff!$A$5:$A$44,0))&amp;"","")="Self-employed",0,IF(IFERROR(INDEX(Staff!$E$5:$E$44,MATCH(D208,Staff!$A$5:$A$44,0))&amp;"","")="Chair renter",0,ROUND(U208*PayrollBurden,2))))</f>
        <v>0</v>
      </c>
      <c r="Y208" s="26">
        <f>IF(B208="","",ROUND(U208+X208,2))</f>
        <v>0</v>
      </c>
      <c r="Z208" s="26">
        <f>IF(B208="","",ROUND(SUMIFS(Commissions!$X$5:$X$244,Commissions!$C$5:$C$244,D208,Commissions!$B$5:$B$244,Q208),2))</f>
        <v>0</v>
      </c>
      <c r="AA208" s="26">
        <f>IF(B208="","",ROUND(SUMIFS($H$5:$H$364,$D$5:$D$364,D208,$Q$5:$Q$364,Q208),2))</f>
        <v>0</v>
      </c>
      <c r="AB208" s="26">
        <f>IF(B208="","",ROUND(Z208-AA208,2))</f>
        <v>0</v>
      </c>
      <c r="AC208" s="26">
        <f>IF(B208="","",IF(IF(F208="",0,F208)=0,"",ROUND(Y208/F208,2)))</f>
        <v>0</v>
      </c>
      <c r="AD208" s="39">
        <f>IF(B208="","",IF(D208="","Add - who is this run for?",IF(IF(F208="",H208="",FALSE),"Add - no hours and no commission",IF(AB208&lt;-0.004,"Check - more commission paid than earned",IF(M208&lt;&gt;"Yes","Due - not paid yet",IF(N208="","Check - marked paid, no date","OK"))))))</f>
        <v>0</v>
      </c>
    </row>
    <row r="209" spans="1:30">
      <c r="A209" s="28">
        <f>IF(B209="","",PayrollPrefix&amp;TEXT(ROW()-4,"0000"))</f>
        <v>0</v>
      </c>
      <c r="E209" s="15">
        <f>IF(D209="","",IFERROR(INDEX(Staff!$B$5:$B$44,MATCH(D209,Staff!$A$5:$A$44,0)),"Not in Staff"))</f>
        <v>0</v>
      </c>
      <c r="Q209" s="15">
        <f>IF(B209="","",TEXT(B209,"yyyy-mm"))</f>
        <v>0</v>
      </c>
      <c r="R209" s="25">
        <f>IF(B209="","",WEEKNUM(B209,2))</f>
        <v>0</v>
      </c>
      <c r="S209" s="26">
        <f>IF(B209="","",IF(G209&lt;&gt;"",G209,IFERROR(IF(INDEX(Staff!$P$5:$P$44,MATCH(D209,Staff!$A$5:$A$44,0))="",DefaultHourly,INDEX(Staff!$P$5:$P$44,MATCH(D209,Staff!$A$5:$A$44,0))),DefaultHourly)))</f>
        <v>0</v>
      </c>
      <c r="T209" s="26">
        <f>IF(B209="","",ROUND(IF(F209="",0,F209)*S209,2))</f>
        <v>0</v>
      </c>
      <c r="U209" s="26">
        <f>IF(B209="","",ROUND(T209+IF(H209="",0,H209)+IF(J209="",0,J209)+IF(K209="",0,K209),2))</f>
        <v>0</v>
      </c>
      <c r="V209" s="26">
        <f>IF(B209="","",ROUND(U209-IF(L209="",0,L209),2))</f>
        <v>0</v>
      </c>
      <c r="W209" s="26">
        <f>IF(B209="","",ROUND(V209+IF(I209="",0,I209),2))</f>
        <v>0</v>
      </c>
      <c r="X209" s="26">
        <f>IF(B209="","",IF(IFERROR(INDEX(Staff!$E$5:$E$44,MATCH(D209,Staff!$A$5:$A$44,0))&amp;"","")="Self-employed",0,IF(IFERROR(INDEX(Staff!$E$5:$E$44,MATCH(D209,Staff!$A$5:$A$44,0))&amp;"","")="Chair renter",0,ROUND(U209*PayrollBurden,2))))</f>
        <v>0</v>
      </c>
      <c r="Y209" s="26">
        <f>IF(B209="","",ROUND(U209+X209,2))</f>
        <v>0</v>
      </c>
      <c r="Z209" s="26">
        <f>IF(B209="","",ROUND(SUMIFS(Commissions!$X$5:$X$244,Commissions!$C$5:$C$244,D209,Commissions!$B$5:$B$244,Q209),2))</f>
        <v>0</v>
      </c>
      <c r="AA209" s="26">
        <f>IF(B209="","",ROUND(SUMIFS($H$5:$H$364,$D$5:$D$364,D209,$Q$5:$Q$364,Q209),2))</f>
        <v>0</v>
      </c>
      <c r="AB209" s="26">
        <f>IF(B209="","",ROUND(Z209-AA209,2))</f>
        <v>0</v>
      </c>
      <c r="AC209" s="26">
        <f>IF(B209="","",IF(IF(F209="",0,F209)=0,"",ROUND(Y209/F209,2)))</f>
        <v>0</v>
      </c>
      <c r="AD209" s="39">
        <f>IF(B209="","",IF(D209="","Add - who is this run for?",IF(IF(F209="",H209="",FALSE),"Add - no hours and no commission",IF(AB209&lt;-0.004,"Check - more commission paid than earned",IF(M209&lt;&gt;"Yes","Due - not paid yet",IF(N209="","Check - marked paid, no date","OK"))))))</f>
        <v>0</v>
      </c>
    </row>
    <row r="210" spans="1:30">
      <c r="A210" s="28">
        <f>IF(B210="","",PayrollPrefix&amp;TEXT(ROW()-4,"0000"))</f>
        <v>0</v>
      </c>
      <c r="E210" s="15">
        <f>IF(D210="","",IFERROR(INDEX(Staff!$B$5:$B$44,MATCH(D210,Staff!$A$5:$A$44,0)),"Not in Staff"))</f>
        <v>0</v>
      </c>
      <c r="Q210" s="15">
        <f>IF(B210="","",TEXT(B210,"yyyy-mm"))</f>
        <v>0</v>
      </c>
      <c r="R210" s="25">
        <f>IF(B210="","",WEEKNUM(B210,2))</f>
        <v>0</v>
      </c>
      <c r="S210" s="26">
        <f>IF(B210="","",IF(G210&lt;&gt;"",G210,IFERROR(IF(INDEX(Staff!$P$5:$P$44,MATCH(D210,Staff!$A$5:$A$44,0))="",DefaultHourly,INDEX(Staff!$P$5:$P$44,MATCH(D210,Staff!$A$5:$A$44,0))),DefaultHourly)))</f>
        <v>0</v>
      </c>
      <c r="T210" s="26">
        <f>IF(B210="","",ROUND(IF(F210="",0,F210)*S210,2))</f>
        <v>0</v>
      </c>
      <c r="U210" s="26">
        <f>IF(B210="","",ROUND(T210+IF(H210="",0,H210)+IF(J210="",0,J210)+IF(K210="",0,K210),2))</f>
        <v>0</v>
      </c>
      <c r="V210" s="26">
        <f>IF(B210="","",ROUND(U210-IF(L210="",0,L210),2))</f>
        <v>0</v>
      </c>
      <c r="W210" s="26">
        <f>IF(B210="","",ROUND(V210+IF(I210="",0,I210),2))</f>
        <v>0</v>
      </c>
      <c r="X210" s="26">
        <f>IF(B210="","",IF(IFERROR(INDEX(Staff!$E$5:$E$44,MATCH(D210,Staff!$A$5:$A$44,0))&amp;"","")="Self-employed",0,IF(IFERROR(INDEX(Staff!$E$5:$E$44,MATCH(D210,Staff!$A$5:$A$44,0))&amp;"","")="Chair renter",0,ROUND(U210*PayrollBurden,2))))</f>
        <v>0</v>
      </c>
      <c r="Y210" s="26">
        <f>IF(B210="","",ROUND(U210+X210,2))</f>
        <v>0</v>
      </c>
      <c r="Z210" s="26">
        <f>IF(B210="","",ROUND(SUMIFS(Commissions!$X$5:$X$244,Commissions!$C$5:$C$244,D210,Commissions!$B$5:$B$244,Q210),2))</f>
        <v>0</v>
      </c>
      <c r="AA210" s="26">
        <f>IF(B210="","",ROUND(SUMIFS($H$5:$H$364,$D$5:$D$364,D210,$Q$5:$Q$364,Q210),2))</f>
        <v>0</v>
      </c>
      <c r="AB210" s="26">
        <f>IF(B210="","",ROUND(Z210-AA210,2))</f>
        <v>0</v>
      </c>
      <c r="AC210" s="26">
        <f>IF(B210="","",IF(IF(F210="",0,F210)=0,"",ROUND(Y210/F210,2)))</f>
        <v>0</v>
      </c>
      <c r="AD210" s="39">
        <f>IF(B210="","",IF(D210="","Add - who is this run for?",IF(IF(F210="",H210="",FALSE),"Add - no hours and no commission",IF(AB210&lt;-0.004,"Check - more commission paid than earned",IF(M210&lt;&gt;"Yes","Due - not paid yet",IF(N210="","Check - marked paid, no date","OK"))))))</f>
        <v>0</v>
      </c>
    </row>
    <row r="211" spans="1:30">
      <c r="A211" s="28">
        <f>IF(B211="","",PayrollPrefix&amp;TEXT(ROW()-4,"0000"))</f>
        <v>0</v>
      </c>
      <c r="E211" s="15">
        <f>IF(D211="","",IFERROR(INDEX(Staff!$B$5:$B$44,MATCH(D211,Staff!$A$5:$A$44,0)),"Not in Staff"))</f>
        <v>0</v>
      </c>
      <c r="Q211" s="15">
        <f>IF(B211="","",TEXT(B211,"yyyy-mm"))</f>
        <v>0</v>
      </c>
      <c r="R211" s="25">
        <f>IF(B211="","",WEEKNUM(B211,2))</f>
        <v>0</v>
      </c>
      <c r="S211" s="26">
        <f>IF(B211="","",IF(G211&lt;&gt;"",G211,IFERROR(IF(INDEX(Staff!$P$5:$P$44,MATCH(D211,Staff!$A$5:$A$44,0))="",DefaultHourly,INDEX(Staff!$P$5:$P$44,MATCH(D211,Staff!$A$5:$A$44,0))),DefaultHourly)))</f>
        <v>0</v>
      </c>
      <c r="T211" s="26">
        <f>IF(B211="","",ROUND(IF(F211="",0,F211)*S211,2))</f>
        <v>0</v>
      </c>
      <c r="U211" s="26">
        <f>IF(B211="","",ROUND(T211+IF(H211="",0,H211)+IF(J211="",0,J211)+IF(K211="",0,K211),2))</f>
        <v>0</v>
      </c>
      <c r="V211" s="26">
        <f>IF(B211="","",ROUND(U211-IF(L211="",0,L211),2))</f>
        <v>0</v>
      </c>
      <c r="W211" s="26">
        <f>IF(B211="","",ROUND(V211+IF(I211="",0,I211),2))</f>
        <v>0</v>
      </c>
      <c r="X211" s="26">
        <f>IF(B211="","",IF(IFERROR(INDEX(Staff!$E$5:$E$44,MATCH(D211,Staff!$A$5:$A$44,0))&amp;"","")="Self-employed",0,IF(IFERROR(INDEX(Staff!$E$5:$E$44,MATCH(D211,Staff!$A$5:$A$44,0))&amp;"","")="Chair renter",0,ROUND(U211*PayrollBurden,2))))</f>
        <v>0</v>
      </c>
      <c r="Y211" s="26">
        <f>IF(B211="","",ROUND(U211+X211,2))</f>
        <v>0</v>
      </c>
      <c r="Z211" s="26">
        <f>IF(B211="","",ROUND(SUMIFS(Commissions!$X$5:$X$244,Commissions!$C$5:$C$244,D211,Commissions!$B$5:$B$244,Q211),2))</f>
        <v>0</v>
      </c>
      <c r="AA211" s="26">
        <f>IF(B211="","",ROUND(SUMIFS($H$5:$H$364,$D$5:$D$364,D211,$Q$5:$Q$364,Q211),2))</f>
        <v>0</v>
      </c>
      <c r="AB211" s="26">
        <f>IF(B211="","",ROUND(Z211-AA211,2))</f>
        <v>0</v>
      </c>
      <c r="AC211" s="26">
        <f>IF(B211="","",IF(IF(F211="",0,F211)=0,"",ROUND(Y211/F211,2)))</f>
        <v>0</v>
      </c>
      <c r="AD211" s="39">
        <f>IF(B211="","",IF(D211="","Add - who is this run for?",IF(IF(F211="",H211="",FALSE),"Add - no hours and no commission",IF(AB211&lt;-0.004,"Check - more commission paid than earned",IF(M211&lt;&gt;"Yes","Due - not paid yet",IF(N211="","Check - marked paid, no date","OK"))))))</f>
        <v>0</v>
      </c>
    </row>
    <row r="212" spans="1:30">
      <c r="A212" s="28">
        <f>IF(B212="","",PayrollPrefix&amp;TEXT(ROW()-4,"0000"))</f>
        <v>0</v>
      </c>
      <c r="E212" s="15">
        <f>IF(D212="","",IFERROR(INDEX(Staff!$B$5:$B$44,MATCH(D212,Staff!$A$5:$A$44,0)),"Not in Staff"))</f>
        <v>0</v>
      </c>
      <c r="Q212" s="15">
        <f>IF(B212="","",TEXT(B212,"yyyy-mm"))</f>
        <v>0</v>
      </c>
      <c r="R212" s="25">
        <f>IF(B212="","",WEEKNUM(B212,2))</f>
        <v>0</v>
      </c>
      <c r="S212" s="26">
        <f>IF(B212="","",IF(G212&lt;&gt;"",G212,IFERROR(IF(INDEX(Staff!$P$5:$P$44,MATCH(D212,Staff!$A$5:$A$44,0))="",DefaultHourly,INDEX(Staff!$P$5:$P$44,MATCH(D212,Staff!$A$5:$A$44,0))),DefaultHourly)))</f>
        <v>0</v>
      </c>
      <c r="T212" s="26">
        <f>IF(B212="","",ROUND(IF(F212="",0,F212)*S212,2))</f>
        <v>0</v>
      </c>
      <c r="U212" s="26">
        <f>IF(B212="","",ROUND(T212+IF(H212="",0,H212)+IF(J212="",0,J212)+IF(K212="",0,K212),2))</f>
        <v>0</v>
      </c>
      <c r="V212" s="26">
        <f>IF(B212="","",ROUND(U212-IF(L212="",0,L212),2))</f>
        <v>0</v>
      </c>
      <c r="W212" s="26">
        <f>IF(B212="","",ROUND(V212+IF(I212="",0,I212),2))</f>
        <v>0</v>
      </c>
      <c r="X212" s="26">
        <f>IF(B212="","",IF(IFERROR(INDEX(Staff!$E$5:$E$44,MATCH(D212,Staff!$A$5:$A$44,0))&amp;"","")="Self-employed",0,IF(IFERROR(INDEX(Staff!$E$5:$E$44,MATCH(D212,Staff!$A$5:$A$44,0))&amp;"","")="Chair renter",0,ROUND(U212*PayrollBurden,2))))</f>
        <v>0</v>
      </c>
      <c r="Y212" s="26">
        <f>IF(B212="","",ROUND(U212+X212,2))</f>
        <v>0</v>
      </c>
      <c r="Z212" s="26">
        <f>IF(B212="","",ROUND(SUMIFS(Commissions!$X$5:$X$244,Commissions!$C$5:$C$244,D212,Commissions!$B$5:$B$244,Q212),2))</f>
        <v>0</v>
      </c>
      <c r="AA212" s="26">
        <f>IF(B212="","",ROUND(SUMIFS($H$5:$H$364,$D$5:$D$364,D212,$Q$5:$Q$364,Q212),2))</f>
        <v>0</v>
      </c>
      <c r="AB212" s="26">
        <f>IF(B212="","",ROUND(Z212-AA212,2))</f>
        <v>0</v>
      </c>
      <c r="AC212" s="26">
        <f>IF(B212="","",IF(IF(F212="",0,F212)=0,"",ROUND(Y212/F212,2)))</f>
        <v>0</v>
      </c>
      <c r="AD212" s="39">
        <f>IF(B212="","",IF(D212="","Add - who is this run for?",IF(IF(F212="",H212="",FALSE),"Add - no hours and no commission",IF(AB212&lt;-0.004,"Check - more commission paid than earned",IF(M212&lt;&gt;"Yes","Due - not paid yet",IF(N212="","Check - marked paid, no date","OK"))))))</f>
        <v>0</v>
      </c>
    </row>
    <row r="213" spans="1:30">
      <c r="A213" s="28">
        <f>IF(B213="","",PayrollPrefix&amp;TEXT(ROW()-4,"0000"))</f>
        <v>0</v>
      </c>
      <c r="E213" s="15">
        <f>IF(D213="","",IFERROR(INDEX(Staff!$B$5:$B$44,MATCH(D213,Staff!$A$5:$A$44,0)),"Not in Staff"))</f>
        <v>0</v>
      </c>
      <c r="Q213" s="15">
        <f>IF(B213="","",TEXT(B213,"yyyy-mm"))</f>
        <v>0</v>
      </c>
      <c r="R213" s="25">
        <f>IF(B213="","",WEEKNUM(B213,2))</f>
        <v>0</v>
      </c>
      <c r="S213" s="26">
        <f>IF(B213="","",IF(G213&lt;&gt;"",G213,IFERROR(IF(INDEX(Staff!$P$5:$P$44,MATCH(D213,Staff!$A$5:$A$44,0))="",DefaultHourly,INDEX(Staff!$P$5:$P$44,MATCH(D213,Staff!$A$5:$A$44,0))),DefaultHourly)))</f>
        <v>0</v>
      </c>
      <c r="T213" s="26">
        <f>IF(B213="","",ROUND(IF(F213="",0,F213)*S213,2))</f>
        <v>0</v>
      </c>
      <c r="U213" s="26">
        <f>IF(B213="","",ROUND(T213+IF(H213="",0,H213)+IF(J213="",0,J213)+IF(K213="",0,K213),2))</f>
        <v>0</v>
      </c>
      <c r="V213" s="26">
        <f>IF(B213="","",ROUND(U213-IF(L213="",0,L213),2))</f>
        <v>0</v>
      </c>
      <c r="W213" s="26">
        <f>IF(B213="","",ROUND(V213+IF(I213="",0,I213),2))</f>
        <v>0</v>
      </c>
      <c r="X213" s="26">
        <f>IF(B213="","",IF(IFERROR(INDEX(Staff!$E$5:$E$44,MATCH(D213,Staff!$A$5:$A$44,0))&amp;"","")="Self-employed",0,IF(IFERROR(INDEX(Staff!$E$5:$E$44,MATCH(D213,Staff!$A$5:$A$44,0))&amp;"","")="Chair renter",0,ROUND(U213*PayrollBurden,2))))</f>
        <v>0</v>
      </c>
      <c r="Y213" s="26">
        <f>IF(B213="","",ROUND(U213+X213,2))</f>
        <v>0</v>
      </c>
      <c r="Z213" s="26">
        <f>IF(B213="","",ROUND(SUMIFS(Commissions!$X$5:$X$244,Commissions!$C$5:$C$244,D213,Commissions!$B$5:$B$244,Q213),2))</f>
        <v>0</v>
      </c>
      <c r="AA213" s="26">
        <f>IF(B213="","",ROUND(SUMIFS($H$5:$H$364,$D$5:$D$364,D213,$Q$5:$Q$364,Q213),2))</f>
        <v>0</v>
      </c>
      <c r="AB213" s="26">
        <f>IF(B213="","",ROUND(Z213-AA213,2))</f>
        <v>0</v>
      </c>
      <c r="AC213" s="26">
        <f>IF(B213="","",IF(IF(F213="",0,F213)=0,"",ROUND(Y213/F213,2)))</f>
        <v>0</v>
      </c>
      <c r="AD213" s="39">
        <f>IF(B213="","",IF(D213="","Add - who is this run for?",IF(IF(F213="",H213="",FALSE),"Add - no hours and no commission",IF(AB213&lt;-0.004,"Check - more commission paid than earned",IF(M213&lt;&gt;"Yes","Due - not paid yet",IF(N213="","Check - marked paid, no date","OK"))))))</f>
        <v>0</v>
      </c>
    </row>
    <row r="214" spans="1:30">
      <c r="A214" s="28">
        <f>IF(B214="","",PayrollPrefix&amp;TEXT(ROW()-4,"0000"))</f>
        <v>0</v>
      </c>
      <c r="E214" s="15">
        <f>IF(D214="","",IFERROR(INDEX(Staff!$B$5:$B$44,MATCH(D214,Staff!$A$5:$A$44,0)),"Not in Staff"))</f>
        <v>0</v>
      </c>
      <c r="Q214" s="15">
        <f>IF(B214="","",TEXT(B214,"yyyy-mm"))</f>
        <v>0</v>
      </c>
      <c r="R214" s="25">
        <f>IF(B214="","",WEEKNUM(B214,2))</f>
        <v>0</v>
      </c>
      <c r="S214" s="26">
        <f>IF(B214="","",IF(G214&lt;&gt;"",G214,IFERROR(IF(INDEX(Staff!$P$5:$P$44,MATCH(D214,Staff!$A$5:$A$44,0))="",DefaultHourly,INDEX(Staff!$P$5:$P$44,MATCH(D214,Staff!$A$5:$A$44,0))),DefaultHourly)))</f>
        <v>0</v>
      </c>
      <c r="T214" s="26">
        <f>IF(B214="","",ROUND(IF(F214="",0,F214)*S214,2))</f>
        <v>0</v>
      </c>
      <c r="U214" s="26">
        <f>IF(B214="","",ROUND(T214+IF(H214="",0,H214)+IF(J214="",0,J214)+IF(K214="",0,K214),2))</f>
        <v>0</v>
      </c>
      <c r="V214" s="26">
        <f>IF(B214="","",ROUND(U214-IF(L214="",0,L214),2))</f>
        <v>0</v>
      </c>
      <c r="W214" s="26">
        <f>IF(B214="","",ROUND(V214+IF(I214="",0,I214),2))</f>
        <v>0</v>
      </c>
      <c r="X214" s="26">
        <f>IF(B214="","",IF(IFERROR(INDEX(Staff!$E$5:$E$44,MATCH(D214,Staff!$A$5:$A$44,0))&amp;"","")="Self-employed",0,IF(IFERROR(INDEX(Staff!$E$5:$E$44,MATCH(D214,Staff!$A$5:$A$44,0))&amp;"","")="Chair renter",0,ROUND(U214*PayrollBurden,2))))</f>
        <v>0</v>
      </c>
      <c r="Y214" s="26">
        <f>IF(B214="","",ROUND(U214+X214,2))</f>
        <v>0</v>
      </c>
      <c r="Z214" s="26">
        <f>IF(B214="","",ROUND(SUMIFS(Commissions!$X$5:$X$244,Commissions!$C$5:$C$244,D214,Commissions!$B$5:$B$244,Q214),2))</f>
        <v>0</v>
      </c>
      <c r="AA214" s="26">
        <f>IF(B214="","",ROUND(SUMIFS($H$5:$H$364,$D$5:$D$364,D214,$Q$5:$Q$364,Q214),2))</f>
        <v>0</v>
      </c>
      <c r="AB214" s="26">
        <f>IF(B214="","",ROUND(Z214-AA214,2))</f>
        <v>0</v>
      </c>
      <c r="AC214" s="26">
        <f>IF(B214="","",IF(IF(F214="",0,F214)=0,"",ROUND(Y214/F214,2)))</f>
        <v>0</v>
      </c>
      <c r="AD214" s="39">
        <f>IF(B214="","",IF(D214="","Add - who is this run for?",IF(IF(F214="",H214="",FALSE),"Add - no hours and no commission",IF(AB214&lt;-0.004,"Check - more commission paid than earned",IF(M214&lt;&gt;"Yes","Due - not paid yet",IF(N214="","Check - marked paid, no date","OK"))))))</f>
        <v>0</v>
      </c>
    </row>
    <row r="215" spans="1:30">
      <c r="A215" s="28">
        <f>IF(B215="","",PayrollPrefix&amp;TEXT(ROW()-4,"0000"))</f>
        <v>0</v>
      </c>
      <c r="E215" s="15">
        <f>IF(D215="","",IFERROR(INDEX(Staff!$B$5:$B$44,MATCH(D215,Staff!$A$5:$A$44,0)),"Not in Staff"))</f>
        <v>0</v>
      </c>
      <c r="Q215" s="15">
        <f>IF(B215="","",TEXT(B215,"yyyy-mm"))</f>
        <v>0</v>
      </c>
      <c r="R215" s="25">
        <f>IF(B215="","",WEEKNUM(B215,2))</f>
        <v>0</v>
      </c>
      <c r="S215" s="26">
        <f>IF(B215="","",IF(G215&lt;&gt;"",G215,IFERROR(IF(INDEX(Staff!$P$5:$P$44,MATCH(D215,Staff!$A$5:$A$44,0))="",DefaultHourly,INDEX(Staff!$P$5:$P$44,MATCH(D215,Staff!$A$5:$A$44,0))),DefaultHourly)))</f>
        <v>0</v>
      </c>
      <c r="T215" s="26">
        <f>IF(B215="","",ROUND(IF(F215="",0,F215)*S215,2))</f>
        <v>0</v>
      </c>
      <c r="U215" s="26">
        <f>IF(B215="","",ROUND(T215+IF(H215="",0,H215)+IF(J215="",0,J215)+IF(K215="",0,K215),2))</f>
        <v>0</v>
      </c>
      <c r="V215" s="26">
        <f>IF(B215="","",ROUND(U215-IF(L215="",0,L215),2))</f>
        <v>0</v>
      </c>
      <c r="W215" s="26">
        <f>IF(B215="","",ROUND(V215+IF(I215="",0,I215),2))</f>
        <v>0</v>
      </c>
      <c r="X215" s="26">
        <f>IF(B215="","",IF(IFERROR(INDEX(Staff!$E$5:$E$44,MATCH(D215,Staff!$A$5:$A$44,0))&amp;"","")="Self-employed",0,IF(IFERROR(INDEX(Staff!$E$5:$E$44,MATCH(D215,Staff!$A$5:$A$44,0))&amp;"","")="Chair renter",0,ROUND(U215*PayrollBurden,2))))</f>
        <v>0</v>
      </c>
      <c r="Y215" s="26">
        <f>IF(B215="","",ROUND(U215+X215,2))</f>
        <v>0</v>
      </c>
      <c r="Z215" s="26">
        <f>IF(B215="","",ROUND(SUMIFS(Commissions!$X$5:$X$244,Commissions!$C$5:$C$244,D215,Commissions!$B$5:$B$244,Q215),2))</f>
        <v>0</v>
      </c>
      <c r="AA215" s="26">
        <f>IF(B215="","",ROUND(SUMIFS($H$5:$H$364,$D$5:$D$364,D215,$Q$5:$Q$364,Q215),2))</f>
        <v>0</v>
      </c>
      <c r="AB215" s="26">
        <f>IF(B215="","",ROUND(Z215-AA215,2))</f>
        <v>0</v>
      </c>
      <c r="AC215" s="26">
        <f>IF(B215="","",IF(IF(F215="",0,F215)=0,"",ROUND(Y215/F215,2)))</f>
        <v>0</v>
      </c>
      <c r="AD215" s="39">
        <f>IF(B215="","",IF(D215="","Add - who is this run for?",IF(IF(F215="",H215="",FALSE),"Add - no hours and no commission",IF(AB215&lt;-0.004,"Check - more commission paid than earned",IF(M215&lt;&gt;"Yes","Due - not paid yet",IF(N215="","Check - marked paid, no date","OK"))))))</f>
        <v>0</v>
      </c>
    </row>
    <row r="216" spans="1:30">
      <c r="A216" s="28">
        <f>IF(B216="","",PayrollPrefix&amp;TEXT(ROW()-4,"0000"))</f>
        <v>0</v>
      </c>
      <c r="E216" s="15">
        <f>IF(D216="","",IFERROR(INDEX(Staff!$B$5:$B$44,MATCH(D216,Staff!$A$5:$A$44,0)),"Not in Staff"))</f>
        <v>0</v>
      </c>
      <c r="Q216" s="15">
        <f>IF(B216="","",TEXT(B216,"yyyy-mm"))</f>
        <v>0</v>
      </c>
      <c r="R216" s="25">
        <f>IF(B216="","",WEEKNUM(B216,2))</f>
        <v>0</v>
      </c>
      <c r="S216" s="26">
        <f>IF(B216="","",IF(G216&lt;&gt;"",G216,IFERROR(IF(INDEX(Staff!$P$5:$P$44,MATCH(D216,Staff!$A$5:$A$44,0))="",DefaultHourly,INDEX(Staff!$P$5:$P$44,MATCH(D216,Staff!$A$5:$A$44,0))),DefaultHourly)))</f>
        <v>0</v>
      </c>
      <c r="T216" s="26">
        <f>IF(B216="","",ROUND(IF(F216="",0,F216)*S216,2))</f>
        <v>0</v>
      </c>
      <c r="U216" s="26">
        <f>IF(B216="","",ROUND(T216+IF(H216="",0,H216)+IF(J216="",0,J216)+IF(K216="",0,K216),2))</f>
        <v>0</v>
      </c>
      <c r="V216" s="26">
        <f>IF(B216="","",ROUND(U216-IF(L216="",0,L216),2))</f>
        <v>0</v>
      </c>
      <c r="W216" s="26">
        <f>IF(B216="","",ROUND(V216+IF(I216="",0,I216),2))</f>
        <v>0</v>
      </c>
      <c r="X216" s="26">
        <f>IF(B216="","",IF(IFERROR(INDEX(Staff!$E$5:$E$44,MATCH(D216,Staff!$A$5:$A$44,0))&amp;"","")="Self-employed",0,IF(IFERROR(INDEX(Staff!$E$5:$E$44,MATCH(D216,Staff!$A$5:$A$44,0))&amp;"","")="Chair renter",0,ROUND(U216*PayrollBurden,2))))</f>
        <v>0</v>
      </c>
      <c r="Y216" s="26">
        <f>IF(B216="","",ROUND(U216+X216,2))</f>
        <v>0</v>
      </c>
      <c r="Z216" s="26">
        <f>IF(B216="","",ROUND(SUMIFS(Commissions!$X$5:$X$244,Commissions!$C$5:$C$244,D216,Commissions!$B$5:$B$244,Q216),2))</f>
        <v>0</v>
      </c>
      <c r="AA216" s="26">
        <f>IF(B216="","",ROUND(SUMIFS($H$5:$H$364,$D$5:$D$364,D216,$Q$5:$Q$364,Q216),2))</f>
        <v>0</v>
      </c>
      <c r="AB216" s="26">
        <f>IF(B216="","",ROUND(Z216-AA216,2))</f>
        <v>0</v>
      </c>
      <c r="AC216" s="26">
        <f>IF(B216="","",IF(IF(F216="",0,F216)=0,"",ROUND(Y216/F216,2)))</f>
        <v>0</v>
      </c>
      <c r="AD216" s="39">
        <f>IF(B216="","",IF(D216="","Add - who is this run for?",IF(IF(F216="",H216="",FALSE),"Add - no hours and no commission",IF(AB216&lt;-0.004,"Check - more commission paid than earned",IF(M216&lt;&gt;"Yes","Due - not paid yet",IF(N216="","Check - marked paid, no date","OK"))))))</f>
        <v>0</v>
      </c>
    </row>
    <row r="217" spans="1:30">
      <c r="A217" s="28">
        <f>IF(B217="","",PayrollPrefix&amp;TEXT(ROW()-4,"0000"))</f>
        <v>0</v>
      </c>
      <c r="E217" s="15">
        <f>IF(D217="","",IFERROR(INDEX(Staff!$B$5:$B$44,MATCH(D217,Staff!$A$5:$A$44,0)),"Not in Staff"))</f>
        <v>0</v>
      </c>
      <c r="Q217" s="15">
        <f>IF(B217="","",TEXT(B217,"yyyy-mm"))</f>
        <v>0</v>
      </c>
      <c r="R217" s="25">
        <f>IF(B217="","",WEEKNUM(B217,2))</f>
        <v>0</v>
      </c>
      <c r="S217" s="26">
        <f>IF(B217="","",IF(G217&lt;&gt;"",G217,IFERROR(IF(INDEX(Staff!$P$5:$P$44,MATCH(D217,Staff!$A$5:$A$44,0))="",DefaultHourly,INDEX(Staff!$P$5:$P$44,MATCH(D217,Staff!$A$5:$A$44,0))),DefaultHourly)))</f>
        <v>0</v>
      </c>
      <c r="T217" s="26">
        <f>IF(B217="","",ROUND(IF(F217="",0,F217)*S217,2))</f>
        <v>0</v>
      </c>
      <c r="U217" s="26">
        <f>IF(B217="","",ROUND(T217+IF(H217="",0,H217)+IF(J217="",0,J217)+IF(K217="",0,K217),2))</f>
        <v>0</v>
      </c>
      <c r="V217" s="26">
        <f>IF(B217="","",ROUND(U217-IF(L217="",0,L217),2))</f>
        <v>0</v>
      </c>
      <c r="W217" s="26">
        <f>IF(B217="","",ROUND(V217+IF(I217="",0,I217),2))</f>
        <v>0</v>
      </c>
      <c r="X217" s="26">
        <f>IF(B217="","",IF(IFERROR(INDEX(Staff!$E$5:$E$44,MATCH(D217,Staff!$A$5:$A$44,0))&amp;"","")="Self-employed",0,IF(IFERROR(INDEX(Staff!$E$5:$E$44,MATCH(D217,Staff!$A$5:$A$44,0))&amp;"","")="Chair renter",0,ROUND(U217*PayrollBurden,2))))</f>
        <v>0</v>
      </c>
      <c r="Y217" s="26">
        <f>IF(B217="","",ROUND(U217+X217,2))</f>
        <v>0</v>
      </c>
      <c r="Z217" s="26">
        <f>IF(B217="","",ROUND(SUMIFS(Commissions!$X$5:$X$244,Commissions!$C$5:$C$244,D217,Commissions!$B$5:$B$244,Q217),2))</f>
        <v>0</v>
      </c>
      <c r="AA217" s="26">
        <f>IF(B217="","",ROUND(SUMIFS($H$5:$H$364,$D$5:$D$364,D217,$Q$5:$Q$364,Q217),2))</f>
        <v>0</v>
      </c>
      <c r="AB217" s="26">
        <f>IF(B217="","",ROUND(Z217-AA217,2))</f>
        <v>0</v>
      </c>
      <c r="AC217" s="26">
        <f>IF(B217="","",IF(IF(F217="",0,F217)=0,"",ROUND(Y217/F217,2)))</f>
        <v>0</v>
      </c>
      <c r="AD217" s="39">
        <f>IF(B217="","",IF(D217="","Add - who is this run for?",IF(IF(F217="",H217="",FALSE),"Add - no hours and no commission",IF(AB217&lt;-0.004,"Check - more commission paid than earned",IF(M217&lt;&gt;"Yes","Due - not paid yet",IF(N217="","Check - marked paid, no date","OK"))))))</f>
        <v>0</v>
      </c>
    </row>
    <row r="218" spans="1:30">
      <c r="A218" s="28">
        <f>IF(B218="","",PayrollPrefix&amp;TEXT(ROW()-4,"0000"))</f>
        <v>0</v>
      </c>
      <c r="E218" s="15">
        <f>IF(D218="","",IFERROR(INDEX(Staff!$B$5:$B$44,MATCH(D218,Staff!$A$5:$A$44,0)),"Not in Staff"))</f>
        <v>0</v>
      </c>
      <c r="Q218" s="15">
        <f>IF(B218="","",TEXT(B218,"yyyy-mm"))</f>
        <v>0</v>
      </c>
      <c r="R218" s="25">
        <f>IF(B218="","",WEEKNUM(B218,2))</f>
        <v>0</v>
      </c>
      <c r="S218" s="26">
        <f>IF(B218="","",IF(G218&lt;&gt;"",G218,IFERROR(IF(INDEX(Staff!$P$5:$P$44,MATCH(D218,Staff!$A$5:$A$44,0))="",DefaultHourly,INDEX(Staff!$P$5:$P$44,MATCH(D218,Staff!$A$5:$A$44,0))),DefaultHourly)))</f>
        <v>0</v>
      </c>
      <c r="T218" s="26">
        <f>IF(B218="","",ROUND(IF(F218="",0,F218)*S218,2))</f>
        <v>0</v>
      </c>
      <c r="U218" s="26">
        <f>IF(B218="","",ROUND(T218+IF(H218="",0,H218)+IF(J218="",0,J218)+IF(K218="",0,K218),2))</f>
        <v>0</v>
      </c>
      <c r="V218" s="26">
        <f>IF(B218="","",ROUND(U218-IF(L218="",0,L218),2))</f>
        <v>0</v>
      </c>
      <c r="W218" s="26">
        <f>IF(B218="","",ROUND(V218+IF(I218="",0,I218),2))</f>
        <v>0</v>
      </c>
      <c r="X218" s="26">
        <f>IF(B218="","",IF(IFERROR(INDEX(Staff!$E$5:$E$44,MATCH(D218,Staff!$A$5:$A$44,0))&amp;"","")="Self-employed",0,IF(IFERROR(INDEX(Staff!$E$5:$E$44,MATCH(D218,Staff!$A$5:$A$44,0))&amp;"","")="Chair renter",0,ROUND(U218*PayrollBurden,2))))</f>
        <v>0</v>
      </c>
      <c r="Y218" s="26">
        <f>IF(B218="","",ROUND(U218+X218,2))</f>
        <v>0</v>
      </c>
      <c r="Z218" s="26">
        <f>IF(B218="","",ROUND(SUMIFS(Commissions!$X$5:$X$244,Commissions!$C$5:$C$244,D218,Commissions!$B$5:$B$244,Q218),2))</f>
        <v>0</v>
      </c>
      <c r="AA218" s="26">
        <f>IF(B218="","",ROUND(SUMIFS($H$5:$H$364,$D$5:$D$364,D218,$Q$5:$Q$364,Q218),2))</f>
        <v>0</v>
      </c>
      <c r="AB218" s="26">
        <f>IF(B218="","",ROUND(Z218-AA218,2))</f>
        <v>0</v>
      </c>
      <c r="AC218" s="26">
        <f>IF(B218="","",IF(IF(F218="",0,F218)=0,"",ROUND(Y218/F218,2)))</f>
        <v>0</v>
      </c>
      <c r="AD218" s="39">
        <f>IF(B218="","",IF(D218="","Add - who is this run for?",IF(IF(F218="",H218="",FALSE),"Add - no hours and no commission",IF(AB218&lt;-0.004,"Check - more commission paid than earned",IF(M218&lt;&gt;"Yes","Due - not paid yet",IF(N218="","Check - marked paid, no date","OK"))))))</f>
        <v>0</v>
      </c>
    </row>
    <row r="219" spans="1:30">
      <c r="A219" s="28">
        <f>IF(B219="","",PayrollPrefix&amp;TEXT(ROW()-4,"0000"))</f>
        <v>0</v>
      </c>
      <c r="E219" s="15">
        <f>IF(D219="","",IFERROR(INDEX(Staff!$B$5:$B$44,MATCH(D219,Staff!$A$5:$A$44,0)),"Not in Staff"))</f>
        <v>0</v>
      </c>
      <c r="Q219" s="15">
        <f>IF(B219="","",TEXT(B219,"yyyy-mm"))</f>
        <v>0</v>
      </c>
      <c r="R219" s="25">
        <f>IF(B219="","",WEEKNUM(B219,2))</f>
        <v>0</v>
      </c>
      <c r="S219" s="26">
        <f>IF(B219="","",IF(G219&lt;&gt;"",G219,IFERROR(IF(INDEX(Staff!$P$5:$P$44,MATCH(D219,Staff!$A$5:$A$44,0))="",DefaultHourly,INDEX(Staff!$P$5:$P$44,MATCH(D219,Staff!$A$5:$A$44,0))),DefaultHourly)))</f>
        <v>0</v>
      </c>
      <c r="T219" s="26">
        <f>IF(B219="","",ROUND(IF(F219="",0,F219)*S219,2))</f>
        <v>0</v>
      </c>
      <c r="U219" s="26">
        <f>IF(B219="","",ROUND(T219+IF(H219="",0,H219)+IF(J219="",0,J219)+IF(K219="",0,K219),2))</f>
        <v>0</v>
      </c>
      <c r="V219" s="26">
        <f>IF(B219="","",ROUND(U219-IF(L219="",0,L219),2))</f>
        <v>0</v>
      </c>
      <c r="W219" s="26">
        <f>IF(B219="","",ROUND(V219+IF(I219="",0,I219),2))</f>
        <v>0</v>
      </c>
      <c r="X219" s="26">
        <f>IF(B219="","",IF(IFERROR(INDEX(Staff!$E$5:$E$44,MATCH(D219,Staff!$A$5:$A$44,0))&amp;"","")="Self-employed",0,IF(IFERROR(INDEX(Staff!$E$5:$E$44,MATCH(D219,Staff!$A$5:$A$44,0))&amp;"","")="Chair renter",0,ROUND(U219*PayrollBurden,2))))</f>
        <v>0</v>
      </c>
      <c r="Y219" s="26">
        <f>IF(B219="","",ROUND(U219+X219,2))</f>
        <v>0</v>
      </c>
      <c r="Z219" s="26">
        <f>IF(B219="","",ROUND(SUMIFS(Commissions!$X$5:$X$244,Commissions!$C$5:$C$244,D219,Commissions!$B$5:$B$244,Q219),2))</f>
        <v>0</v>
      </c>
      <c r="AA219" s="26">
        <f>IF(B219="","",ROUND(SUMIFS($H$5:$H$364,$D$5:$D$364,D219,$Q$5:$Q$364,Q219),2))</f>
        <v>0</v>
      </c>
      <c r="AB219" s="26">
        <f>IF(B219="","",ROUND(Z219-AA219,2))</f>
        <v>0</v>
      </c>
      <c r="AC219" s="26">
        <f>IF(B219="","",IF(IF(F219="",0,F219)=0,"",ROUND(Y219/F219,2)))</f>
        <v>0</v>
      </c>
      <c r="AD219" s="39">
        <f>IF(B219="","",IF(D219="","Add - who is this run for?",IF(IF(F219="",H219="",FALSE),"Add - no hours and no commission",IF(AB219&lt;-0.004,"Check - more commission paid than earned",IF(M219&lt;&gt;"Yes","Due - not paid yet",IF(N219="","Check - marked paid, no date","OK"))))))</f>
        <v>0</v>
      </c>
    </row>
    <row r="220" spans="1:30">
      <c r="A220" s="28">
        <f>IF(B220="","",PayrollPrefix&amp;TEXT(ROW()-4,"0000"))</f>
        <v>0</v>
      </c>
      <c r="E220" s="15">
        <f>IF(D220="","",IFERROR(INDEX(Staff!$B$5:$B$44,MATCH(D220,Staff!$A$5:$A$44,0)),"Not in Staff"))</f>
        <v>0</v>
      </c>
      <c r="Q220" s="15">
        <f>IF(B220="","",TEXT(B220,"yyyy-mm"))</f>
        <v>0</v>
      </c>
      <c r="R220" s="25">
        <f>IF(B220="","",WEEKNUM(B220,2))</f>
        <v>0</v>
      </c>
      <c r="S220" s="26">
        <f>IF(B220="","",IF(G220&lt;&gt;"",G220,IFERROR(IF(INDEX(Staff!$P$5:$P$44,MATCH(D220,Staff!$A$5:$A$44,0))="",DefaultHourly,INDEX(Staff!$P$5:$P$44,MATCH(D220,Staff!$A$5:$A$44,0))),DefaultHourly)))</f>
        <v>0</v>
      </c>
      <c r="T220" s="26">
        <f>IF(B220="","",ROUND(IF(F220="",0,F220)*S220,2))</f>
        <v>0</v>
      </c>
      <c r="U220" s="26">
        <f>IF(B220="","",ROUND(T220+IF(H220="",0,H220)+IF(J220="",0,J220)+IF(K220="",0,K220),2))</f>
        <v>0</v>
      </c>
      <c r="V220" s="26">
        <f>IF(B220="","",ROUND(U220-IF(L220="",0,L220),2))</f>
        <v>0</v>
      </c>
      <c r="W220" s="26">
        <f>IF(B220="","",ROUND(V220+IF(I220="",0,I220),2))</f>
        <v>0</v>
      </c>
      <c r="X220" s="26">
        <f>IF(B220="","",IF(IFERROR(INDEX(Staff!$E$5:$E$44,MATCH(D220,Staff!$A$5:$A$44,0))&amp;"","")="Self-employed",0,IF(IFERROR(INDEX(Staff!$E$5:$E$44,MATCH(D220,Staff!$A$5:$A$44,0))&amp;"","")="Chair renter",0,ROUND(U220*PayrollBurden,2))))</f>
        <v>0</v>
      </c>
      <c r="Y220" s="26">
        <f>IF(B220="","",ROUND(U220+X220,2))</f>
        <v>0</v>
      </c>
      <c r="Z220" s="26">
        <f>IF(B220="","",ROUND(SUMIFS(Commissions!$X$5:$X$244,Commissions!$C$5:$C$244,D220,Commissions!$B$5:$B$244,Q220),2))</f>
        <v>0</v>
      </c>
      <c r="AA220" s="26">
        <f>IF(B220="","",ROUND(SUMIFS($H$5:$H$364,$D$5:$D$364,D220,$Q$5:$Q$364,Q220),2))</f>
        <v>0</v>
      </c>
      <c r="AB220" s="26">
        <f>IF(B220="","",ROUND(Z220-AA220,2))</f>
        <v>0</v>
      </c>
      <c r="AC220" s="26">
        <f>IF(B220="","",IF(IF(F220="",0,F220)=0,"",ROUND(Y220/F220,2)))</f>
        <v>0</v>
      </c>
      <c r="AD220" s="39">
        <f>IF(B220="","",IF(D220="","Add - who is this run for?",IF(IF(F220="",H220="",FALSE),"Add - no hours and no commission",IF(AB220&lt;-0.004,"Check - more commission paid than earned",IF(M220&lt;&gt;"Yes","Due - not paid yet",IF(N220="","Check - marked paid, no date","OK"))))))</f>
        <v>0</v>
      </c>
    </row>
    <row r="221" spans="1:30">
      <c r="A221" s="28">
        <f>IF(B221="","",PayrollPrefix&amp;TEXT(ROW()-4,"0000"))</f>
        <v>0</v>
      </c>
      <c r="E221" s="15">
        <f>IF(D221="","",IFERROR(INDEX(Staff!$B$5:$B$44,MATCH(D221,Staff!$A$5:$A$44,0)),"Not in Staff"))</f>
        <v>0</v>
      </c>
      <c r="Q221" s="15">
        <f>IF(B221="","",TEXT(B221,"yyyy-mm"))</f>
        <v>0</v>
      </c>
      <c r="R221" s="25">
        <f>IF(B221="","",WEEKNUM(B221,2))</f>
        <v>0</v>
      </c>
      <c r="S221" s="26">
        <f>IF(B221="","",IF(G221&lt;&gt;"",G221,IFERROR(IF(INDEX(Staff!$P$5:$P$44,MATCH(D221,Staff!$A$5:$A$44,0))="",DefaultHourly,INDEX(Staff!$P$5:$P$44,MATCH(D221,Staff!$A$5:$A$44,0))),DefaultHourly)))</f>
        <v>0</v>
      </c>
      <c r="T221" s="26">
        <f>IF(B221="","",ROUND(IF(F221="",0,F221)*S221,2))</f>
        <v>0</v>
      </c>
      <c r="U221" s="26">
        <f>IF(B221="","",ROUND(T221+IF(H221="",0,H221)+IF(J221="",0,J221)+IF(K221="",0,K221),2))</f>
        <v>0</v>
      </c>
      <c r="V221" s="26">
        <f>IF(B221="","",ROUND(U221-IF(L221="",0,L221),2))</f>
        <v>0</v>
      </c>
      <c r="W221" s="26">
        <f>IF(B221="","",ROUND(V221+IF(I221="",0,I221),2))</f>
        <v>0</v>
      </c>
      <c r="X221" s="26">
        <f>IF(B221="","",IF(IFERROR(INDEX(Staff!$E$5:$E$44,MATCH(D221,Staff!$A$5:$A$44,0))&amp;"","")="Self-employed",0,IF(IFERROR(INDEX(Staff!$E$5:$E$44,MATCH(D221,Staff!$A$5:$A$44,0))&amp;"","")="Chair renter",0,ROUND(U221*PayrollBurden,2))))</f>
        <v>0</v>
      </c>
      <c r="Y221" s="26">
        <f>IF(B221="","",ROUND(U221+X221,2))</f>
        <v>0</v>
      </c>
      <c r="Z221" s="26">
        <f>IF(B221="","",ROUND(SUMIFS(Commissions!$X$5:$X$244,Commissions!$C$5:$C$244,D221,Commissions!$B$5:$B$244,Q221),2))</f>
        <v>0</v>
      </c>
      <c r="AA221" s="26">
        <f>IF(B221="","",ROUND(SUMIFS($H$5:$H$364,$D$5:$D$364,D221,$Q$5:$Q$364,Q221),2))</f>
        <v>0</v>
      </c>
      <c r="AB221" s="26">
        <f>IF(B221="","",ROUND(Z221-AA221,2))</f>
        <v>0</v>
      </c>
      <c r="AC221" s="26">
        <f>IF(B221="","",IF(IF(F221="",0,F221)=0,"",ROUND(Y221/F221,2)))</f>
        <v>0</v>
      </c>
      <c r="AD221" s="39">
        <f>IF(B221="","",IF(D221="","Add - who is this run for?",IF(IF(F221="",H221="",FALSE),"Add - no hours and no commission",IF(AB221&lt;-0.004,"Check - more commission paid than earned",IF(M221&lt;&gt;"Yes","Due - not paid yet",IF(N221="","Check - marked paid, no date","OK"))))))</f>
        <v>0</v>
      </c>
    </row>
    <row r="222" spans="1:30">
      <c r="A222" s="28">
        <f>IF(B222="","",PayrollPrefix&amp;TEXT(ROW()-4,"0000"))</f>
        <v>0</v>
      </c>
      <c r="E222" s="15">
        <f>IF(D222="","",IFERROR(INDEX(Staff!$B$5:$B$44,MATCH(D222,Staff!$A$5:$A$44,0)),"Not in Staff"))</f>
        <v>0</v>
      </c>
      <c r="Q222" s="15">
        <f>IF(B222="","",TEXT(B222,"yyyy-mm"))</f>
        <v>0</v>
      </c>
      <c r="R222" s="25">
        <f>IF(B222="","",WEEKNUM(B222,2))</f>
        <v>0</v>
      </c>
      <c r="S222" s="26">
        <f>IF(B222="","",IF(G222&lt;&gt;"",G222,IFERROR(IF(INDEX(Staff!$P$5:$P$44,MATCH(D222,Staff!$A$5:$A$44,0))="",DefaultHourly,INDEX(Staff!$P$5:$P$44,MATCH(D222,Staff!$A$5:$A$44,0))),DefaultHourly)))</f>
        <v>0</v>
      </c>
      <c r="T222" s="26">
        <f>IF(B222="","",ROUND(IF(F222="",0,F222)*S222,2))</f>
        <v>0</v>
      </c>
      <c r="U222" s="26">
        <f>IF(B222="","",ROUND(T222+IF(H222="",0,H222)+IF(J222="",0,J222)+IF(K222="",0,K222),2))</f>
        <v>0</v>
      </c>
      <c r="V222" s="26">
        <f>IF(B222="","",ROUND(U222-IF(L222="",0,L222),2))</f>
        <v>0</v>
      </c>
      <c r="W222" s="26">
        <f>IF(B222="","",ROUND(V222+IF(I222="",0,I222),2))</f>
        <v>0</v>
      </c>
      <c r="X222" s="26">
        <f>IF(B222="","",IF(IFERROR(INDEX(Staff!$E$5:$E$44,MATCH(D222,Staff!$A$5:$A$44,0))&amp;"","")="Self-employed",0,IF(IFERROR(INDEX(Staff!$E$5:$E$44,MATCH(D222,Staff!$A$5:$A$44,0))&amp;"","")="Chair renter",0,ROUND(U222*PayrollBurden,2))))</f>
        <v>0</v>
      </c>
      <c r="Y222" s="26">
        <f>IF(B222="","",ROUND(U222+X222,2))</f>
        <v>0</v>
      </c>
      <c r="Z222" s="26">
        <f>IF(B222="","",ROUND(SUMIFS(Commissions!$X$5:$X$244,Commissions!$C$5:$C$244,D222,Commissions!$B$5:$B$244,Q222),2))</f>
        <v>0</v>
      </c>
      <c r="AA222" s="26">
        <f>IF(B222="","",ROUND(SUMIFS($H$5:$H$364,$D$5:$D$364,D222,$Q$5:$Q$364,Q222),2))</f>
        <v>0</v>
      </c>
      <c r="AB222" s="26">
        <f>IF(B222="","",ROUND(Z222-AA222,2))</f>
        <v>0</v>
      </c>
      <c r="AC222" s="26">
        <f>IF(B222="","",IF(IF(F222="",0,F222)=0,"",ROUND(Y222/F222,2)))</f>
        <v>0</v>
      </c>
      <c r="AD222" s="39">
        <f>IF(B222="","",IF(D222="","Add - who is this run for?",IF(IF(F222="",H222="",FALSE),"Add - no hours and no commission",IF(AB222&lt;-0.004,"Check - more commission paid than earned",IF(M222&lt;&gt;"Yes","Due - not paid yet",IF(N222="","Check - marked paid, no date","OK"))))))</f>
        <v>0</v>
      </c>
    </row>
    <row r="223" spans="1:30">
      <c r="A223" s="28">
        <f>IF(B223="","",PayrollPrefix&amp;TEXT(ROW()-4,"0000"))</f>
        <v>0</v>
      </c>
      <c r="E223" s="15">
        <f>IF(D223="","",IFERROR(INDEX(Staff!$B$5:$B$44,MATCH(D223,Staff!$A$5:$A$44,0)),"Not in Staff"))</f>
        <v>0</v>
      </c>
      <c r="Q223" s="15">
        <f>IF(B223="","",TEXT(B223,"yyyy-mm"))</f>
        <v>0</v>
      </c>
      <c r="R223" s="25">
        <f>IF(B223="","",WEEKNUM(B223,2))</f>
        <v>0</v>
      </c>
      <c r="S223" s="26">
        <f>IF(B223="","",IF(G223&lt;&gt;"",G223,IFERROR(IF(INDEX(Staff!$P$5:$P$44,MATCH(D223,Staff!$A$5:$A$44,0))="",DefaultHourly,INDEX(Staff!$P$5:$P$44,MATCH(D223,Staff!$A$5:$A$44,0))),DefaultHourly)))</f>
        <v>0</v>
      </c>
      <c r="T223" s="26">
        <f>IF(B223="","",ROUND(IF(F223="",0,F223)*S223,2))</f>
        <v>0</v>
      </c>
      <c r="U223" s="26">
        <f>IF(B223="","",ROUND(T223+IF(H223="",0,H223)+IF(J223="",0,J223)+IF(K223="",0,K223),2))</f>
        <v>0</v>
      </c>
      <c r="V223" s="26">
        <f>IF(B223="","",ROUND(U223-IF(L223="",0,L223),2))</f>
        <v>0</v>
      </c>
      <c r="W223" s="26">
        <f>IF(B223="","",ROUND(V223+IF(I223="",0,I223),2))</f>
        <v>0</v>
      </c>
      <c r="X223" s="26">
        <f>IF(B223="","",IF(IFERROR(INDEX(Staff!$E$5:$E$44,MATCH(D223,Staff!$A$5:$A$44,0))&amp;"","")="Self-employed",0,IF(IFERROR(INDEX(Staff!$E$5:$E$44,MATCH(D223,Staff!$A$5:$A$44,0))&amp;"","")="Chair renter",0,ROUND(U223*PayrollBurden,2))))</f>
        <v>0</v>
      </c>
      <c r="Y223" s="26">
        <f>IF(B223="","",ROUND(U223+X223,2))</f>
        <v>0</v>
      </c>
      <c r="Z223" s="26">
        <f>IF(B223="","",ROUND(SUMIFS(Commissions!$X$5:$X$244,Commissions!$C$5:$C$244,D223,Commissions!$B$5:$B$244,Q223),2))</f>
        <v>0</v>
      </c>
      <c r="AA223" s="26">
        <f>IF(B223="","",ROUND(SUMIFS($H$5:$H$364,$D$5:$D$364,D223,$Q$5:$Q$364,Q223),2))</f>
        <v>0</v>
      </c>
      <c r="AB223" s="26">
        <f>IF(B223="","",ROUND(Z223-AA223,2))</f>
        <v>0</v>
      </c>
      <c r="AC223" s="26">
        <f>IF(B223="","",IF(IF(F223="",0,F223)=0,"",ROUND(Y223/F223,2)))</f>
        <v>0</v>
      </c>
      <c r="AD223" s="39">
        <f>IF(B223="","",IF(D223="","Add - who is this run for?",IF(IF(F223="",H223="",FALSE),"Add - no hours and no commission",IF(AB223&lt;-0.004,"Check - more commission paid than earned",IF(M223&lt;&gt;"Yes","Due - not paid yet",IF(N223="","Check - marked paid, no date","OK"))))))</f>
        <v>0</v>
      </c>
    </row>
    <row r="224" spans="1:30">
      <c r="A224" s="28">
        <f>IF(B224="","",PayrollPrefix&amp;TEXT(ROW()-4,"0000"))</f>
        <v>0</v>
      </c>
      <c r="E224" s="15">
        <f>IF(D224="","",IFERROR(INDEX(Staff!$B$5:$B$44,MATCH(D224,Staff!$A$5:$A$44,0)),"Not in Staff"))</f>
        <v>0</v>
      </c>
      <c r="Q224" s="15">
        <f>IF(B224="","",TEXT(B224,"yyyy-mm"))</f>
        <v>0</v>
      </c>
      <c r="R224" s="25">
        <f>IF(B224="","",WEEKNUM(B224,2))</f>
        <v>0</v>
      </c>
      <c r="S224" s="26">
        <f>IF(B224="","",IF(G224&lt;&gt;"",G224,IFERROR(IF(INDEX(Staff!$P$5:$P$44,MATCH(D224,Staff!$A$5:$A$44,0))="",DefaultHourly,INDEX(Staff!$P$5:$P$44,MATCH(D224,Staff!$A$5:$A$44,0))),DefaultHourly)))</f>
        <v>0</v>
      </c>
      <c r="T224" s="26">
        <f>IF(B224="","",ROUND(IF(F224="",0,F224)*S224,2))</f>
        <v>0</v>
      </c>
      <c r="U224" s="26">
        <f>IF(B224="","",ROUND(T224+IF(H224="",0,H224)+IF(J224="",0,J224)+IF(K224="",0,K224),2))</f>
        <v>0</v>
      </c>
      <c r="V224" s="26">
        <f>IF(B224="","",ROUND(U224-IF(L224="",0,L224),2))</f>
        <v>0</v>
      </c>
      <c r="W224" s="26">
        <f>IF(B224="","",ROUND(V224+IF(I224="",0,I224),2))</f>
        <v>0</v>
      </c>
      <c r="X224" s="26">
        <f>IF(B224="","",IF(IFERROR(INDEX(Staff!$E$5:$E$44,MATCH(D224,Staff!$A$5:$A$44,0))&amp;"","")="Self-employed",0,IF(IFERROR(INDEX(Staff!$E$5:$E$44,MATCH(D224,Staff!$A$5:$A$44,0))&amp;"","")="Chair renter",0,ROUND(U224*PayrollBurden,2))))</f>
        <v>0</v>
      </c>
      <c r="Y224" s="26">
        <f>IF(B224="","",ROUND(U224+X224,2))</f>
        <v>0</v>
      </c>
      <c r="Z224" s="26">
        <f>IF(B224="","",ROUND(SUMIFS(Commissions!$X$5:$X$244,Commissions!$C$5:$C$244,D224,Commissions!$B$5:$B$244,Q224),2))</f>
        <v>0</v>
      </c>
      <c r="AA224" s="26">
        <f>IF(B224="","",ROUND(SUMIFS($H$5:$H$364,$D$5:$D$364,D224,$Q$5:$Q$364,Q224),2))</f>
        <v>0</v>
      </c>
      <c r="AB224" s="26">
        <f>IF(B224="","",ROUND(Z224-AA224,2))</f>
        <v>0</v>
      </c>
      <c r="AC224" s="26">
        <f>IF(B224="","",IF(IF(F224="",0,F224)=0,"",ROUND(Y224/F224,2)))</f>
        <v>0</v>
      </c>
      <c r="AD224" s="39">
        <f>IF(B224="","",IF(D224="","Add - who is this run for?",IF(IF(F224="",H224="",FALSE),"Add - no hours and no commission",IF(AB224&lt;-0.004,"Check - more commission paid than earned",IF(M224&lt;&gt;"Yes","Due - not paid yet",IF(N224="","Check - marked paid, no date","OK"))))))</f>
        <v>0</v>
      </c>
    </row>
    <row r="225" spans="1:30">
      <c r="A225" s="28">
        <f>IF(B225="","",PayrollPrefix&amp;TEXT(ROW()-4,"0000"))</f>
        <v>0</v>
      </c>
      <c r="E225" s="15">
        <f>IF(D225="","",IFERROR(INDEX(Staff!$B$5:$B$44,MATCH(D225,Staff!$A$5:$A$44,0)),"Not in Staff"))</f>
        <v>0</v>
      </c>
      <c r="Q225" s="15">
        <f>IF(B225="","",TEXT(B225,"yyyy-mm"))</f>
        <v>0</v>
      </c>
      <c r="R225" s="25">
        <f>IF(B225="","",WEEKNUM(B225,2))</f>
        <v>0</v>
      </c>
      <c r="S225" s="26">
        <f>IF(B225="","",IF(G225&lt;&gt;"",G225,IFERROR(IF(INDEX(Staff!$P$5:$P$44,MATCH(D225,Staff!$A$5:$A$44,0))="",DefaultHourly,INDEX(Staff!$P$5:$P$44,MATCH(D225,Staff!$A$5:$A$44,0))),DefaultHourly)))</f>
        <v>0</v>
      </c>
      <c r="T225" s="26">
        <f>IF(B225="","",ROUND(IF(F225="",0,F225)*S225,2))</f>
        <v>0</v>
      </c>
      <c r="U225" s="26">
        <f>IF(B225="","",ROUND(T225+IF(H225="",0,H225)+IF(J225="",0,J225)+IF(K225="",0,K225),2))</f>
        <v>0</v>
      </c>
      <c r="V225" s="26">
        <f>IF(B225="","",ROUND(U225-IF(L225="",0,L225),2))</f>
        <v>0</v>
      </c>
      <c r="W225" s="26">
        <f>IF(B225="","",ROUND(V225+IF(I225="",0,I225),2))</f>
        <v>0</v>
      </c>
      <c r="X225" s="26">
        <f>IF(B225="","",IF(IFERROR(INDEX(Staff!$E$5:$E$44,MATCH(D225,Staff!$A$5:$A$44,0))&amp;"","")="Self-employed",0,IF(IFERROR(INDEX(Staff!$E$5:$E$44,MATCH(D225,Staff!$A$5:$A$44,0))&amp;"","")="Chair renter",0,ROUND(U225*PayrollBurden,2))))</f>
        <v>0</v>
      </c>
      <c r="Y225" s="26">
        <f>IF(B225="","",ROUND(U225+X225,2))</f>
        <v>0</v>
      </c>
      <c r="Z225" s="26">
        <f>IF(B225="","",ROUND(SUMIFS(Commissions!$X$5:$X$244,Commissions!$C$5:$C$244,D225,Commissions!$B$5:$B$244,Q225),2))</f>
        <v>0</v>
      </c>
      <c r="AA225" s="26">
        <f>IF(B225="","",ROUND(SUMIFS($H$5:$H$364,$D$5:$D$364,D225,$Q$5:$Q$364,Q225),2))</f>
        <v>0</v>
      </c>
      <c r="AB225" s="26">
        <f>IF(B225="","",ROUND(Z225-AA225,2))</f>
        <v>0</v>
      </c>
      <c r="AC225" s="26">
        <f>IF(B225="","",IF(IF(F225="",0,F225)=0,"",ROUND(Y225/F225,2)))</f>
        <v>0</v>
      </c>
      <c r="AD225" s="39">
        <f>IF(B225="","",IF(D225="","Add - who is this run for?",IF(IF(F225="",H225="",FALSE),"Add - no hours and no commission",IF(AB225&lt;-0.004,"Check - more commission paid than earned",IF(M225&lt;&gt;"Yes","Due - not paid yet",IF(N225="","Check - marked paid, no date","OK"))))))</f>
        <v>0</v>
      </c>
    </row>
    <row r="226" spans="1:30">
      <c r="A226" s="28">
        <f>IF(B226="","",PayrollPrefix&amp;TEXT(ROW()-4,"0000"))</f>
        <v>0</v>
      </c>
      <c r="E226" s="15">
        <f>IF(D226="","",IFERROR(INDEX(Staff!$B$5:$B$44,MATCH(D226,Staff!$A$5:$A$44,0)),"Not in Staff"))</f>
        <v>0</v>
      </c>
      <c r="Q226" s="15">
        <f>IF(B226="","",TEXT(B226,"yyyy-mm"))</f>
        <v>0</v>
      </c>
      <c r="R226" s="25">
        <f>IF(B226="","",WEEKNUM(B226,2))</f>
        <v>0</v>
      </c>
      <c r="S226" s="26">
        <f>IF(B226="","",IF(G226&lt;&gt;"",G226,IFERROR(IF(INDEX(Staff!$P$5:$P$44,MATCH(D226,Staff!$A$5:$A$44,0))="",DefaultHourly,INDEX(Staff!$P$5:$P$44,MATCH(D226,Staff!$A$5:$A$44,0))),DefaultHourly)))</f>
        <v>0</v>
      </c>
      <c r="T226" s="26">
        <f>IF(B226="","",ROUND(IF(F226="",0,F226)*S226,2))</f>
        <v>0</v>
      </c>
      <c r="U226" s="26">
        <f>IF(B226="","",ROUND(T226+IF(H226="",0,H226)+IF(J226="",0,J226)+IF(K226="",0,K226),2))</f>
        <v>0</v>
      </c>
      <c r="V226" s="26">
        <f>IF(B226="","",ROUND(U226-IF(L226="",0,L226),2))</f>
        <v>0</v>
      </c>
      <c r="W226" s="26">
        <f>IF(B226="","",ROUND(V226+IF(I226="",0,I226),2))</f>
        <v>0</v>
      </c>
      <c r="X226" s="26">
        <f>IF(B226="","",IF(IFERROR(INDEX(Staff!$E$5:$E$44,MATCH(D226,Staff!$A$5:$A$44,0))&amp;"","")="Self-employed",0,IF(IFERROR(INDEX(Staff!$E$5:$E$44,MATCH(D226,Staff!$A$5:$A$44,0))&amp;"","")="Chair renter",0,ROUND(U226*PayrollBurden,2))))</f>
        <v>0</v>
      </c>
      <c r="Y226" s="26">
        <f>IF(B226="","",ROUND(U226+X226,2))</f>
        <v>0</v>
      </c>
      <c r="Z226" s="26">
        <f>IF(B226="","",ROUND(SUMIFS(Commissions!$X$5:$X$244,Commissions!$C$5:$C$244,D226,Commissions!$B$5:$B$244,Q226),2))</f>
        <v>0</v>
      </c>
      <c r="AA226" s="26">
        <f>IF(B226="","",ROUND(SUMIFS($H$5:$H$364,$D$5:$D$364,D226,$Q$5:$Q$364,Q226),2))</f>
        <v>0</v>
      </c>
      <c r="AB226" s="26">
        <f>IF(B226="","",ROUND(Z226-AA226,2))</f>
        <v>0</v>
      </c>
      <c r="AC226" s="26">
        <f>IF(B226="","",IF(IF(F226="",0,F226)=0,"",ROUND(Y226/F226,2)))</f>
        <v>0</v>
      </c>
      <c r="AD226" s="39">
        <f>IF(B226="","",IF(D226="","Add - who is this run for?",IF(IF(F226="",H226="",FALSE),"Add - no hours and no commission",IF(AB226&lt;-0.004,"Check - more commission paid than earned",IF(M226&lt;&gt;"Yes","Due - not paid yet",IF(N226="","Check - marked paid, no date","OK"))))))</f>
        <v>0</v>
      </c>
    </row>
    <row r="227" spans="1:30">
      <c r="A227" s="28">
        <f>IF(B227="","",PayrollPrefix&amp;TEXT(ROW()-4,"0000"))</f>
        <v>0</v>
      </c>
      <c r="E227" s="15">
        <f>IF(D227="","",IFERROR(INDEX(Staff!$B$5:$B$44,MATCH(D227,Staff!$A$5:$A$44,0)),"Not in Staff"))</f>
        <v>0</v>
      </c>
      <c r="Q227" s="15">
        <f>IF(B227="","",TEXT(B227,"yyyy-mm"))</f>
        <v>0</v>
      </c>
      <c r="R227" s="25">
        <f>IF(B227="","",WEEKNUM(B227,2))</f>
        <v>0</v>
      </c>
      <c r="S227" s="26">
        <f>IF(B227="","",IF(G227&lt;&gt;"",G227,IFERROR(IF(INDEX(Staff!$P$5:$P$44,MATCH(D227,Staff!$A$5:$A$44,0))="",DefaultHourly,INDEX(Staff!$P$5:$P$44,MATCH(D227,Staff!$A$5:$A$44,0))),DefaultHourly)))</f>
        <v>0</v>
      </c>
      <c r="T227" s="26">
        <f>IF(B227="","",ROUND(IF(F227="",0,F227)*S227,2))</f>
        <v>0</v>
      </c>
      <c r="U227" s="26">
        <f>IF(B227="","",ROUND(T227+IF(H227="",0,H227)+IF(J227="",0,J227)+IF(K227="",0,K227),2))</f>
        <v>0</v>
      </c>
      <c r="V227" s="26">
        <f>IF(B227="","",ROUND(U227-IF(L227="",0,L227),2))</f>
        <v>0</v>
      </c>
      <c r="W227" s="26">
        <f>IF(B227="","",ROUND(V227+IF(I227="",0,I227),2))</f>
        <v>0</v>
      </c>
      <c r="X227" s="26">
        <f>IF(B227="","",IF(IFERROR(INDEX(Staff!$E$5:$E$44,MATCH(D227,Staff!$A$5:$A$44,0))&amp;"","")="Self-employed",0,IF(IFERROR(INDEX(Staff!$E$5:$E$44,MATCH(D227,Staff!$A$5:$A$44,0))&amp;"","")="Chair renter",0,ROUND(U227*PayrollBurden,2))))</f>
        <v>0</v>
      </c>
      <c r="Y227" s="26">
        <f>IF(B227="","",ROUND(U227+X227,2))</f>
        <v>0</v>
      </c>
      <c r="Z227" s="26">
        <f>IF(B227="","",ROUND(SUMIFS(Commissions!$X$5:$X$244,Commissions!$C$5:$C$244,D227,Commissions!$B$5:$B$244,Q227),2))</f>
        <v>0</v>
      </c>
      <c r="AA227" s="26">
        <f>IF(B227="","",ROUND(SUMIFS($H$5:$H$364,$D$5:$D$364,D227,$Q$5:$Q$364,Q227),2))</f>
        <v>0</v>
      </c>
      <c r="AB227" s="26">
        <f>IF(B227="","",ROUND(Z227-AA227,2))</f>
        <v>0</v>
      </c>
      <c r="AC227" s="26">
        <f>IF(B227="","",IF(IF(F227="",0,F227)=0,"",ROUND(Y227/F227,2)))</f>
        <v>0</v>
      </c>
      <c r="AD227" s="39">
        <f>IF(B227="","",IF(D227="","Add - who is this run for?",IF(IF(F227="",H227="",FALSE),"Add - no hours and no commission",IF(AB227&lt;-0.004,"Check - more commission paid than earned",IF(M227&lt;&gt;"Yes","Due - not paid yet",IF(N227="","Check - marked paid, no date","OK"))))))</f>
        <v>0</v>
      </c>
    </row>
    <row r="228" spans="1:30">
      <c r="A228" s="28">
        <f>IF(B228="","",PayrollPrefix&amp;TEXT(ROW()-4,"0000"))</f>
        <v>0</v>
      </c>
      <c r="E228" s="15">
        <f>IF(D228="","",IFERROR(INDEX(Staff!$B$5:$B$44,MATCH(D228,Staff!$A$5:$A$44,0)),"Not in Staff"))</f>
        <v>0</v>
      </c>
      <c r="Q228" s="15">
        <f>IF(B228="","",TEXT(B228,"yyyy-mm"))</f>
        <v>0</v>
      </c>
      <c r="R228" s="25">
        <f>IF(B228="","",WEEKNUM(B228,2))</f>
        <v>0</v>
      </c>
      <c r="S228" s="26">
        <f>IF(B228="","",IF(G228&lt;&gt;"",G228,IFERROR(IF(INDEX(Staff!$P$5:$P$44,MATCH(D228,Staff!$A$5:$A$44,0))="",DefaultHourly,INDEX(Staff!$P$5:$P$44,MATCH(D228,Staff!$A$5:$A$44,0))),DefaultHourly)))</f>
        <v>0</v>
      </c>
      <c r="T228" s="26">
        <f>IF(B228="","",ROUND(IF(F228="",0,F228)*S228,2))</f>
        <v>0</v>
      </c>
      <c r="U228" s="26">
        <f>IF(B228="","",ROUND(T228+IF(H228="",0,H228)+IF(J228="",0,J228)+IF(K228="",0,K228),2))</f>
        <v>0</v>
      </c>
      <c r="V228" s="26">
        <f>IF(B228="","",ROUND(U228-IF(L228="",0,L228),2))</f>
        <v>0</v>
      </c>
      <c r="W228" s="26">
        <f>IF(B228="","",ROUND(V228+IF(I228="",0,I228),2))</f>
        <v>0</v>
      </c>
      <c r="X228" s="26">
        <f>IF(B228="","",IF(IFERROR(INDEX(Staff!$E$5:$E$44,MATCH(D228,Staff!$A$5:$A$44,0))&amp;"","")="Self-employed",0,IF(IFERROR(INDEX(Staff!$E$5:$E$44,MATCH(D228,Staff!$A$5:$A$44,0))&amp;"","")="Chair renter",0,ROUND(U228*PayrollBurden,2))))</f>
        <v>0</v>
      </c>
      <c r="Y228" s="26">
        <f>IF(B228="","",ROUND(U228+X228,2))</f>
        <v>0</v>
      </c>
      <c r="Z228" s="26">
        <f>IF(B228="","",ROUND(SUMIFS(Commissions!$X$5:$X$244,Commissions!$C$5:$C$244,D228,Commissions!$B$5:$B$244,Q228),2))</f>
        <v>0</v>
      </c>
      <c r="AA228" s="26">
        <f>IF(B228="","",ROUND(SUMIFS($H$5:$H$364,$D$5:$D$364,D228,$Q$5:$Q$364,Q228),2))</f>
        <v>0</v>
      </c>
      <c r="AB228" s="26">
        <f>IF(B228="","",ROUND(Z228-AA228,2))</f>
        <v>0</v>
      </c>
      <c r="AC228" s="26">
        <f>IF(B228="","",IF(IF(F228="",0,F228)=0,"",ROUND(Y228/F228,2)))</f>
        <v>0</v>
      </c>
      <c r="AD228" s="39">
        <f>IF(B228="","",IF(D228="","Add - who is this run for?",IF(IF(F228="",H228="",FALSE),"Add - no hours and no commission",IF(AB228&lt;-0.004,"Check - more commission paid than earned",IF(M228&lt;&gt;"Yes","Due - not paid yet",IF(N228="","Check - marked paid, no date","OK"))))))</f>
        <v>0</v>
      </c>
    </row>
    <row r="229" spans="1:30">
      <c r="A229" s="28">
        <f>IF(B229="","",PayrollPrefix&amp;TEXT(ROW()-4,"0000"))</f>
        <v>0</v>
      </c>
      <c r="E229" s="15">
        <f>IF(D229="","",IFERROR(INDEX(Staff!$B$5:$B$44,MATCH(D229,Staff!$A$5:$A$44,0)),"Not in Staff"))</f>
        <v>0</v>
      </c>
      <c r="Q229" s="15">
        <f>IF(B229="","",TEXT(B229,"yyyy-mm"))</f>
        <v>0</v>
      </c>
      <c r="R229" s="25">
        <f>IF(B229="","",WEEKNUM(B229,2))</f>
        <v>0</v>
      </c>
      <c r="S229" s="26">
        <f>IF(B229="","",IF(G229&lt;&gt;"",G229,IFERROR(IF(INDEX(Staff!$P$5:$P$44,MATCH(D229,Staff!$A$5:$A$44,0))="",DefaultHourly,INDEX(Staff!$P$5:$P$44,MATCH(D229,Staff!$A$5:$A$44,0))),DefaultHourly)))</f>
        <v>0</v>
      </c>
      <c r="T229" s="26">
        <f>IF(B229="","",ROUND(IF(F229="",0,F229)*S229,2))</f>
        <v>0</v>
      </c>
      <c r="U229" s="26">
        <f>IF(B229="","",ROUND(T229+IF(H229="",0,H229)+IF(J229="",0,J229)+IF(K229="",0,K229),2))</f>
        <v>0</v>
      </c>
      <c r="V229" s="26">
        <f>IF(B229="","",ROUND(U229-IF(L229="",0,L229),2))</f>
        <v>0</v>
      </c>
      <c r="W229" s="26">
        <f>IF(B229="","",ROUND(V229+IF(I229="",0,I229),2))</f>
        <v>0</v>
      </c>
      <c r="X229" s="26">
        <f>IF(B229="","",IF(IFERROR(INDEX(Staff!$E$5:$E$44,MATCH(D229,Staff!$A$5:$A$44,0))&amp;"","")="Self-employed",0,IF(IFERROR(INDEX(Staff!$E$5:$E$44,MATCH(D229,Staff!$A$5:$A$44,0))&amp;"","")="Chair renter",0,ROUND(U229*PayrollBurden,2))))</f>
        <v>0</v>
      </c>
      <c r="Y229" s="26">
        <f>IF(B229="","",ROUND(U229+X229,2))</f>
        <v>0</v>
      </c>
      <c r="Z229" s="26">
        <f>IF(B229="","",ROUND(SUMIFS(Commissions!$X$5:$X$244,Commissions!$C$5:$C$244,D229,Commissions!$B$5:$B$244,Q229),2))</f>
        <v>0</v>
      </c>
      <c r="AA229" s="26">
        <f>IF(B229="","",ROUND(SUMIFS($H$5:$H$364,$D$5:$D$364,D229,$Q$5:$Q$364,Q229),2))</f>
        <v>0</v>
      </c>
      <c r="AB229" s="26">
        <f>IF(B229="","",ROUND(Z229-AA229,2))</f>
        <v>0</v>
      </c>
      <c r="AC229" s="26">
        <f>IF(B229="","",IF(IF(F229="",0,F229)=0,"",ROUND(Y229/F229,2)))</f>
        <v>0</v>
      </c>
      <c r="AD229" s="39">
        <f>IF(B229="","",IF(D229="","Add - who is this run for?",IF(IF(F229="",H229="",FALSE),"Add - no hours and no commission",IF(AB229&lt;-0.004,"Check - more commission paid than earned",IF(M229&lt;&gt;"Yes","Due - not paid yet",IF(N229="","Check - marked paid, no date","OK"))))))</f>
        <v>0</v>
      </c>
    </row>
    <row r="230" spans="1:30">
      <c r="A230" s="28">
        <f>IF(B230="","",PayrollPrefix&amp;TEXT(ROW()-4,"0000"))</f>
        <v>0</v>
      </c>
      <c r="E230" s="15">
        <f>IF(D230="","",IFERROR(INDEX(Staff!$B$5:$B$44,MATCH(D230,Staff!$A$5:$A$44,0)),"Not in Staff"))</f>
        <v>0</v>
      </c>
      <c r="Q230" s="15">
        <f>IF(B230="","",TEXT(B230,"yyyy-mm"))</f>
        <v>0</v>
      </c>
      <c r="R230" s="25">
        <f>IF(B230="","",WEEKNUM(B230,2))</f>
        <v>0</v>
      </c>
      <c r="S230" s="26">
        <f>IF(B230="","",IF(G230&lt;&gt;"",G230,IFERROR(IF(INDEX(Staff!$P$5:$P$44,MATCH(D230,Staff!$A$5:$A$44,0))="",DefaultHourly,INDEX(Staff!$P$5:$P$44,MATCH(D230,Staff!$A$5:$A$44,0))),DefaultHourly)))</f>
        <v>0</v>
      </c>
      <c r="T230" s="26">
        <f>IF(B230="","",ROUND(IF(F230="",0,F230)*S230,2))</f>
        <v>0</v>
      </c>
      <c r="U230" s="26">
        <f>IF(B230="","",ROUND(T230+IF(H230="",0,H230)+IF(J230="",0,J230)+IF(K230="",0,K230),2))</f>
        <v>0</v>
      </c>
      <c r="V230" s="26">
        <f>IF(B230="","",ROUND(U230-IF(L230="",0,L230),2))</f>
        <v>0</v>
      </c>
      <c r="W230" s="26">
        <f>IF(B230="","",ROUND(V230+IF(I230="",0,I230),2))</f>
        <v>0</v>
      </c>
      <c r="X230" s="26">
        <f>IF(B230="","",IF(IFERROR(INDEX(Staff!$E$5:$E$44,MATCH(D230,Staff!$A$5:$A$44,0))&amp;"","")="Self-employed",0,IF(IFERROR(INDEX(Staff!$E$5:$E$44,MATCH(D230,Staff!$A$5:$A$44,0))&amp;"","")="Chair renter",0,ROUND(U230*PayrollBurden,2))))</f>
        <v>0</v>
      </c>
      <c r="Y230" s="26">
        <f>IF(B230="","",ROUND(U230+X230,2))</f>
        <v>0</v>
      </c>
      <c r="Z230" s="26">
        <f>IF(B230="","",ROUND(SUMIFS(Commissions!$X$5:$X$244,Commissions!$C$5:$C$244,D230,Commissions!$B$5:$B$244,Q230),2))</f>
        <v>0</v>
      </c>
      <c r="AA230" s="26">
        <f>IF(B230="","",ROUND(SUMIFS($H$5:$H$364,$D$5:$D$364,D230,$Q$5:$Q$364,Q230),2))</f>
        <v>0</v>
      </c>
      <c r="AB230" s="26">
        <f>IF(B230="","",ROUND(Z230-AA230,2))</f>
        <v>0</v>
      </c>
      <c r="AC230" s="26">
        <f>IF(B230="","",IF(IF(F230="",0,F230)=0,"",ROUND(Y230/F230,2)))</f>
        <v>0</v>
      </c>
      <c r="AD230" s="39">
        <f>IF(B230="","",IF(D230="","Add - who is this run for?",IF(IF(F230="",H230="",FALSE),"Add - no hours and no commission",IF(AB230&lt;-0.004,"Check - more commission paid than earned",IF(M230&lt;&gt;"Yes","Due - not paid yet",IF(N230="","Check - marked paid, no date","OK"))))))</f>
        <v>0</v>
      </c>
    </row>
    <row r="231" spans="1:30">
      <c r="A231" s="28">
        <f>IF(B231="","",PayrollPrefix&amp;TEXT(ROW()-4,"0000"))</f>
        <v>0</v>
      </c>
      <c r="E231" s="15">
        <f>IF(D231="","",IFERROR(INDEX(Staff!$B$5:$B$44,MATCH(D231,Staff!$A$5:$A$44,0)),"Not in Staff"))</f>
        <v>0</v>
      </c>
      <c r="Q231" s="15">
        <f>IF(B231="","",TEXT(B231,"yyyy-mm"))</f>
        <v>0</v>
      </c>
      <c r="R231" s="25">
        <f>IF(B231="","",WEEKNUM(B231,2))</f>
        <v>0</v>
      </c>
      <c r="S231" s="26">
        <f>IF(B231="","",IF(G231&lt;&gt;"",G231,IFERROR(IF(INDEX(Staff!$P$5:$P$44,MATCH(D231,Staff!$A$5:$A$44,0))="",DefaultHourly,INDEX(Staff!$P$5:$P$44,MATCH(D231,Staff!$A$5:$A$44,0))),DefaultHourly)))</f>
        <v>0</v>
      </c>
      <c r="T231" s="26">
        <f>IF(B231="","",ROUND(IF(F231="",0,F231)*S231,2))</f>
        <v>0</v>
      </c>
      <c r="U231" s="26">
        <f>IF(B231="","",ROUND(T231+IF(H231="",0,H231)+IF(J231="",0,J231)+IF(K231="",0,K231),2))</f>
        <v>0</v>
      </c>
      <c r="V231" s="26">
        <f>IF(B231="","",ROUND(U231-IF(L231="",0,L231),2))</f>
        <v>0</v>
      </c>
      <c r="W231" s="26">
        <f>IF(B231="","",ROUND(V231+IF(I231="",0,I231),2))</f>
        <v>0</v>
      </c>
      <c r="X231" s="26">
        <f>IF(B231="","",IF(IFERROR(INDEX(Staff!$E$5:$E$44,MATCH(D231,Staff!$A$5:$A$44,0))&amp;"","")="Self-employed",0,IF(IFERROR(INDEX(Staff!$E$5:$E$44,MATCH(D231,Staff!$A$5:$A$44,0))&amp;"","")="Chair renter",0,ROUND(U231*PayrollBurden,2))))</f>
        <v>0</v>
      </c>
      <c r="Y231" s="26">
        <f>IF(B231="","",ROUND(U231+X231,2))</f>
        <v>0</v>
      </c>
      <c r="Z231" s="26">
        <f>IF(B231="","",ROUND(SUMIFS(Commissions!$X$5:$X$244,Commissions!$C$5:$C$244,D231,Commissions!$B$5:$B$244,Q231),2))</f>
        <v>0</v>
      </c>
      <c r="AA231" s="26">
        <f>IF(B231="","",ROUND(SUMIFS($H$5:$H$364,$D$5:$D$364,D231,$Q$5:$Q$364,Q231),2))</f>
        <v>0</v>
      </c>
      <c r="AB231" s="26">
        <f>IF(B231="","",ROUND(Z231-AA231,2))</f>
        <v>0</v>
      </c>
      <c r="AC231" s="26">
        <f>IF(B231="","",IF(IF(F231="",0,F231)=0,"",ROUND(Y231/F231,2)))</f>
        <v>0</v>
      </c>
      <c r="AD231" s="39">
        <f>IF(B231="","",IF(D231="","Add - who is this run for?",IF(IF(F231="",H231="",FALSE),"Add - no hours and no commission",IF(AB231&lt;-0.004,"Check - more commission paid than earned",IF(M231&lt;&gt;"Yes","Due - not paid yet",IF(N231="","Check - marked paid, no date","OK"))))))</f>
        <v>0</v>
      </c>
    </row>
    <row r="232" spans="1:30">
      <c r="A232" s="28">
        <f>IF(B232="","",PayrollPrefix&amp;TEXT(ROW()-4,"0000"))</f>
        <v>0</v>
      </c>
      <c r="E232" s="15">
        <f>IF(D232="","",IFERROR(INDEX(Staff!$B$5:$B$44,MATCH(D232,Staff!$A$5:$A$44,0)),"Not in Staff"))</f>
        <v>0</v>
      </c>
      <c r="Q232" s="15">
        <f>IF(B232="","",TEXT(B232,"yyyy-mm"))</f>
        <v>0</v>
      </c>
      <c r="R232" s="25">
        <f>IF(B232="","",WEEKNUM(B232,2))</f>
        <v>0</v>
      </c>
      <c r="S232" s="26">
        <f>IF(B232="","",IF(G232&lt;&gt;"",G232,IFERROR(IF(INDEX(Staff!$P$5:$P$44,MATCH(D232,Staff!$A$5:$A$44,0))="",DefaultHourly,INDEX(Staff!$P$5:$P$44,MATCH(D232,Staff!$A$5:$A$44,0))),DefaultHourly)))</f>
        <v>0</v>
      </c>
      <c r="T232" s="26">
        <f>IF(B232="","",ROUND(IF(F232="",0,F232)*S232,2))</f>
        <v>0</v>
      </c>
      <c r="U232" s="26">
        <f>IF(B232="","",ROUND(T232+IF(H232="",0,H232)+IF(J232="",0,J232)+IF(K232="",0,K232),2))</f>
        <v>0</v>
      </c>
      <c r="V232" s="26">
        <f>IF(B232="","",ROUND(U232-IF(L232="",0,L232),2))</f>
        <v>0</v>
      </c>
      <c r="W232" s="26">
        <f>IF(B232="","",ROUND(V232+IF(I232="",0,I232),2))</f>
        <v>0</v>
      </c>
      <c r="X232" s="26">
        <f>IF(B232="","",IF(IFERROR(INDEX(Staff!$E$5:$E$44,MATCH(D232,Staff!$A$5:$A$44,0))&amp;"","")="Self-employed",0,IF(IFERROR(INDEX(Staff!$E$5:$E$44,MATCH(D232,Staff!$A$5:$A$44,0))&amp;"","")="Chair renter",0,ROUND(U232*PayrollBurden,2))))</f>
        <v>0</v>
      </c>
      <c r="Y232" s="26">
        <f>IF(B232="","",ROUND(U232+X232,2))</f>
        <v>0</v>
      </c>
      <c r="Z232" s="26">
        <f>IF(B232="","",ROUND(SUMIFS(Commissions!$X$5:$X$244,Commissions!$C$5:$C$244,D232,Commissions!$B$5:$B$244,Q232),2))</f>
        <v>0</v>
      </c>
      <c r="AA232" s="26">
        <f>IF(B232="","",ROUND(SUMIFS($H$5:$H$364,$D$5:$D$364,D232,$Q$5:$Q$364,Q232),2))</f>
        <v>0</v>
      </c>
      <c r="AB232" s="26">
        <f>IF(B232="","",ROUND(Z232-AA232,2))</f>
        <v>0</v>
      </c>
      <c r="AC232" s="26">
        <f>IF(B232="","",IF(IF(F232="",0,F232)=0,"",ROUND(Y232/F232,2)))</f>
        <v>0</v>
      </c>
      <c r="AD232" s="39">
        <f>IF(B232="","",IF(D232="","Add - who is this run for?",IF(IF(F232="",H232="",FALSE),"Add - no hours and no commission",IF(AB232&lt;-0.004,"Check - more commission paid than earned",IF(M232&lt;&gt;"Yes","Due - not paid yet",IF(N232="","Check - marked paid, no date","OK"))))))</f>
        <v>0</v>
      </c>
    </row>
    <row r="233" spans="1:30">
      <c r="A233" s="28">
        <f>IF(B233="","",PayrollPrefix&amp;TEXT(ROW()-4,"0000"))</f>
        <v>0</v>
      </c>
      <c r="E233" s="15">
        <f>IF(D233="","",IFERROR(INDEX(Staff!$B$5:$B$44,MATCH(D233,Staff!$A$5:$A$44,0)),"Not in Staff"))</f>
        <v>0</v>
      </c>
      <c r="Q233" s="15">
        <f>IF(B233="","",TEXT(B233,"yyyy-mm"))</f>
        <v>0</v>
      </c>
      <c r="R233" s="25">
        <f>IF(B233="","",WEEKNUM(B233,2))</f>
        <v>0</v>
      </c>
      <c r="S233" s="26">
        <f>IF(B233="","",IF(G233&lt;&gt;"",G233,IFERROR(IF(INDEX(Staff!$P$5:$P$44,MATCH(D233,Staff!$A$5:$A$44,0))="",DefaultHourly,INDEX(Staff!$P$5:$P$44,MATCH(D233,Staff!$A$5:$A$44,0))),DefaultHourly)))</f>
        <v>0</v>
      </c>
      <c r="T233" s="26">
        <f>IF(B233="","",ROUND(IF(F233="",0,F233)*S233,2))</f>
        <v>0</v>
      </c>
      <c r="U233" s="26">
        <f>IF(B233="","",ROUND(T233+IF(H233="",0,H233)+IF(J233="",0,J233)+IF(K233="",0,K233),2))</f>
        <v>0</v>
      </c>
      <c r="V233" s="26">
        <f>IF(B233="","",ROUND(U233-IF(L233="",0,L233),2))</f>
        <v>0</v>
      </c>
      <c r="W233" s="26">
        <f>IF(B233="","",ROUND(V233+IF(I233="",0,I233),2))</f>
        <v>0</v>
      </c>
      <c r="X233" s="26">
        <f>IF(B233="","",IF(IFERROR(INDEX(Staff!$E$5:$E$44,MATCH(D233,Staff!$A$5:$A$44,0))&amp;"","")="Self-employed",0,IF(IFERROR(INDEX(Staff!$E$5:$E$44,MATCH(D233,Staff!$A$5:$A$44,0))&amp;"","")="Chair renter",0,ROUND(U233*PayrollBurden,2))))</f>
        <v>0</v>
      </c>
      <c r="Y233" s="26">
        <f>IF(B233="","",ROUND(U233+X233,2))</f>
        <v>0</v>
      </c>
      <c r="Z233" s="26">
        <f>IF(B233="","",ROUND(SUMIFS(Commissions!$X$5:$X$244,Commissions!$C$5:$C$244,D233,Commissions!$B$5:$B$244,Q233),2))</f>
        <v>0</v>
      </c>
      <c r="AA233" s="26">
        <f>IF(B233="","",ROUND(SUMIFS($H$5:$H$364,$D$5:$D$364,D233,$Q$5:$Q$364,Q233),2))</f>
        <v>0</v>
      </c>
      <c r="AB233" s="26">
        <f>IF(B233="","",ROUND(Z233-AA233,2))</f>
        <v>0</v>
      </c>
      <c r="AC233" s="26">
        <f>IF(B233="","",IF(IF(F233="",0,F233)=0,"",ROUND(Y233/F233,2)))</f>
        <v>0</v>
      </c>
      <c r="AD233" s="39">
        <f>IF(B233="","",IF(D233="","Add - who is this run for?",IF(IF(F233="",H233="",FALSE),"Add - no hours and no commission",IF(AB233&lt;-0.004,"Check - more commission paid than earned",IF(M233&lt;&gt;"Yes","Due - not paid yet",IF(N233="","Check - marked paid, no date","OK"))))))</f>
        <v>0</v>
      </c>
    </row>
    <row r="234" spans="1:30">
      <c r="A234" s="28">
        <f>IF(B234="","",PayrollPrefix&amp;TEXT(ROW()-4,"0000"))</f>
        <v>0</v>
      </c>
      <c r="E234" s="15">
        <f>IF(D234="","",IFERROR(INDEX(Staff!$B$5:$B$44,MATCH(D234,Staff!$A$5:$A$44,0)),"Not in Staff"))</f>
        <v>0</v>
      </c>
      <c r="Q234" s="15">
        <f>IF(B234="","",TEXT(B234,"yyyy-mm"))</f>
        <v>0</v>
      </c>
      <c r="R234" s="25">
        <f>IF(B234="","",WEEKNUM(B234,2))</f>
        <v>0</v>
      </c>
      <c r="S234" s="26">
        <f>IF(B234="","",IF(G234&lt;&gt;"",G234,IFERROR(IF(INDEX(Staff!$P$5:$P$44,MATCH(D234,Staff!$A$5:$A$44,0))="",DefaultHourly,INDEX(Staff!$P$5:$P$44,MATCH(D234,Staff!$A$5:$A$44,0))),DefaultHourly)))</f>
        <v>0</v>
      </c>
      <c r="T234" s="26">
        <f>IF(B234="","",ROUND(IF(F234="",0,F234)*S234,2))</f>
        <v>0</v>
      </c>
      <c r="U234" s="26">
        <f>IF(B234="","",ROUND(T234+IF(H234="",0,H234)+IF(J234="",0,J234)+IF(K234="",0,K234),2))</f>
        <v>0</v>
      </c>
      <c r="V234" s="26">
        <f>IF(B234="","",ROUND(U234-IF(L234="",0,L234),2))</f>
        <v>0</v>
      </c>
      <c r="W234" s="26">
        <f>IF(B234="","",ROUND(V234+IF(I234="",0,I234),2))</f>
        <v>0</v>
      </c>
      <c r="X234" s="26">
        <f>IF(B234="","",IF(IFERROR(INDEX(Staff!$E$5:$E$44,MATCH(D234,Staff!$A$5:$A$44,0))&amp;"","")="Self-employed",0,IF(IFERROR(INDEX(Staff!$E$5:$E$44,MATCH(D234,Staff!$A$5:$A$44,0))&amp;"","")="Chair renter",0,ROUND(U234*PayrollBurden,2))))</f>
        <v>0</v>
      </c>
      <c r="Y234" s="26">
        <f>IF(B234="","",ROUND(U234+X234,2))</f>
        <v>0</v>
      </c>
      <c r="Z234" s="26">
        <f>IF(B234="","",ROUND(SUMIFS(Commissions!$X$5:$X$244,Commissions!$C$5:$C$244,D234,Commissions!$B$5:$B$244,Q234),2))</f>
        <v>0</v>
      </c>
      <c r="AA234" s="26">
        <f>IF(B234="","",ROUND(SUMIFS($H$5:$H$364,$D$5:$D$364,D234,$Q$5:$Q$364,Q234),2))</f>
        <v>0</v>
      </c>
      <c r="AB234" s="26">
        <f>IF(B234="","",ROUND(Z234-AA234,2))</f>
        <v>0</v>
      </c>
      <c r="AC234" s="26">
        <f>IF(B234="","",IF(IF(F234="",0,F234)=0,"",ROUND(Y234/F234,2)))</f>
        <v>0</v>
      </c>
      <c r="AD234" s="39">
        <f>IF(B234="","",IF(D234="","Add - who is this run for?",IF(IF(F234="",H234="",FALSE),"Add - no hours and no commission",IF(AB234&lt;-0.004,"Check - more commission paid than earned",IF(M234&lt;&gt;"Yes","Due - not paid yet",IF(N234="","Check - marked paid, no date","OK"))))))</f>
        <v>0</v>
      </c>
    </row>
    <row r="235" spans="1:30">
      <c r="A235" s="28">
        <f>IF(B235="","",PayrollPrefix&amp;TEXT(ROW()-4,"0000"))</f>
        <v>0</v>
      </c>
      <c r="E235" s="15">
        <f>IF(D235="","",IFERROR(INDEX(Staff!$B$5:$B$44,MATCH(D235,Staff!$A$5:$A$44,0)),"Not in Staff"))</f>
        <v>0</v>
      </c>
      <c r="Q235" s="15">
        <f>IF(B235="","",TEXT(B235,"yyyy-mm"))</f>
        <v>0</v>
      </c>
      <c r="R235" s="25">
        <f>IF(B235="","",WEEKNUM(B235,2))</f>
        <v>0</v>
      </c>
      <c r="S235" s="26">
        <f>IF(B235="","",IF(G235&lt;&gt;"",G235,IFERROR(IF(INDEX(Staff!$P$5:$P$44,MATCH(D235,Staff!$A$5:$A$44,0))="",DefaultHourly,INDEX(Staff!$P$5:$P$44,MATCH(D235,Staff!$A$5:$A$44,0))),DefaultHourly)))</f>
        <v>0</v>
      </c>
      <c r="T235" s="26">
        <f>IF(B235="","",ROUND(IF(F235="",0,F235)*S235,2))</f>
        <v>0</v>
      </c>
      <c r="U235" s="26">
        <f>IF(B235="","",ROUND(T235+IF(H235="",0,H235)+IF(J235="",0,J235)+IF(K235="",0,K235),2))</f>
        <v>0</v>
      </c>
      <c r="V235" s="26">
        <f>IF(B235="","",ROUND(U235-IF(L235="",0,L235),2))</f>
        <v>0</v>
      </c>
      <c r="W235" s="26">
        <f>IF(B235="","",ROUND(V235+IF(I235="",0,I235),2))</f>
        <v>0</v>
      </c>
      <c r="X235" s="26">
        <f>IF(B235="","",IF(IFERROR(INDEX(Staff!$E$5:$E$44,MATCH(D235,Staff!$A$5:$A$44,0))&amp;"","")="Self-employed",0,IF(IFERROR(INDEX(Staff!$E$5:$E$44,MATCH(D235,Staff!$A$5:$A$44,0))&amp;"","")="Chair renter",0,ROUND(U235*PayrollBurden,2))))</f>
        <v>0</v>
      </c>
      <c r="Y235" s="26">
        <f>IF(B235="","",ROUND(U235+X235,2))</f>
        <v>0</v>
      </c>
      <c r="Z235" s="26">
        <f>IF(B235="","",ROUND(SUMIFS(Commissions!$X$5:$X$244,Commissions!$C$5:$C$244,D235,Commissions!$B$5:$B$244,Q235),2))</f>
        <v>0</v>
      </c>
      <c r="AA235" s="26">
        <f>IF(B235="","",ROUND(SUMIFS($H$5:$H$364,$D$5:$D$364,D235,$Q$5:$Q$364,Q235),2))</f>
        <v>0</v>
      </c>
      <c r="AB235" s="26">
        <f>IF(B235="","",ROUND(Z235-AA235,2))</f>
        <v>0</v>
      </c>
      <c r="AC235" s="26">
        <f>IF(B235="","",IF(IF(F235="",0,F235)=0,"",ROUND(Y235/F235,2)))</f>
        <v>0</v>
      </c>
      <c r="AD235" s="39">
        <f>IF(B235="","",IF(D235="","Add - who is this run for?",IF(IF(F235="",H235="",FALSE),"Add - no hours and no commission",IF(AB235&lt;-0.004,"Check - more commission paid than earned",IF(M235&lt;&gt;"Yes","Due - not paid yet",IF(N235="","Check - marked paid, no date","OK"))))))</f>
        <v>0</v>
      </c>
    </row>
    <row r="236" spans="1:30">
      <c r="A236" s="28">
        <f>IF(B236="","",PayrollPrefix&amp;TEXT(ROW()-4,"0000"))</f>
        <v>0</v>
      </c>
      <c r="E236" s="15">
        <f>IF(D236="","",IFERROR(INDEX(Staff!$B$5:$B$44,MATCH(D236,Staff!$A$5:$A$44,0)),"Not in Staff"))</f>
        <v>0</v>
      </c>
      <c r="Q236" s="15">
        <f>IF(B236="","",TEXT(B236,"yyyy-mm"))</f>
        <v>0</v>
      </c>
      <c r="R236" s="25">
        <f>IF(B236="","",WEEKNUM(B236,2))</f>
        <v>0</v>
      </c>
      <c r="S236" s="26">
        <f>IF(B236="","",IF(G236&lt;&gt;"",G236,IFERROR(IF(INDEX(Staff!$P$5:$P$44,MATCH(D236,Staff!$A$5:$A$44,0))="",DefaultHourly,INDEX(Staff!$P$5:$P$44,MATCH(D236,Staff!$A$5:$A$44,0))),DefaultHourly)))</f>
        <v>0</v>
      </c>
      <c r="T236" s="26">
        <f>IF(B236="","",ROUND(IF(F236="",0,F236)*S236,2))</f>
        <v>0</v>
      </c>
      <c r="U236" s="26">
        <f>IF(B236="","",ROUND(T236+IF(H236="",0,H236)+IF(J236="",0,J236)+IF(K236="",0,K236),2))</f>
        <v>0</v>
      </c>
      <c r="V236" s="26">
        <f>IF(B236="","",ROUND(U236-IF(L236="",0,L236),2))</f>
        <v>0</v>
      </c>
      <c r="W236" s="26">
        <f>IF(B236="","",ROUND(V236+IF(I236="",0,I236),2))</f>
        <v>0</v>
      </c>
      <c r="X236" s="26">
        <f>IF(B236="","",IF(IFERROR(INDEX(Staff!$E$5:$E$44,MATCH(D236,Staff!$A$5:$A$44,0))&amp;"","")="Self-employed",0,IF(IFERROR(INDEX(Staff!$E$5:$E$44,MATCH(D236,Staff!$A$5:$A$44,0))&amp;"","")="Chair renter",0,ROUND(U236*PayrollBurden,2))))</f>
        <v>0</v>
      </c>
      <c r="Y236" s="26">
        <f>IF(B236="","",ROUND(U236+X236,2))</f>
        <v>0</v>
      </c>
      <c r="Z236" s="26">
        <f>IF(B236="","",ROUND(SUMIFS(Commissions!$X$5:$X$244,Commissions!$C$5:$C$244,D236,Commissions!$B$5:$B$244,Q236),2))</f>
        <v>0</v>
      </c>
      <c r="AA236" s="26">
        <f>IF(B236="","",ROUND(SUMIFS($H$5:$H$364,$D$5:$D$364,D236,$Q$5:$Q$364,Q236),2))</f>
        <v>0</v>
      </c>
      <c r="AB236" s="26">
        <f>IF(B236="","",ROUND(Z236-AA236,2))</f>
        <v>0</v>
      </c>
      <c r="AC236" s="26">
        <f>IF(B236="","",IF(IF(F236="",0,F236)=0,"",ROUND(Y236/F236,2)))</f>
        <v>0</v>
      </c>
      <c r="AD236" s="39">
        <f>IF(B236="","",IF(D236="","Add - who is this run for?",IF(IF(F236="",H236="",FALSE),"Add - no hours and no commission",IF(AB236&lt;-0.004,"Check - more commission paid than earned",IF(M236&lt;&gt;"Yes","Due - not paid yet",IF(N236="","Check - marked paid, no date","OK"))))))</f>
        <v>0</v>
      </c>
    </row>
    <row r="237" spans="1:30">
      <c r="A237" s="28">
        <f>IF(B237="","",PayrollPrefix&amp;TEXT(ROW()-4,"0000"))</f>
        <v>0</v>
      </c>
      <c r="E237" s="15">
        <f>IF(D237="","",IFERROR(INDEX(Staff!$B$5:$B$44,MATCH(D237,Staff!$A$5:$A$44,0)),"Not in Staff"))</f>
        <v>0</v>
      </c>
      <c r="Q237" s="15">
        <f>IF(B237="","",TEXT(B237,"yyyy-mm"))</f>
        <v>0</v>
      </c>
      <c r="R237" s="25">
        <f>IF(B237="","",WEEKNUM(B237,2))</f>
        <v>0</v>
      </c>
      <c r="S237" s="26">
        <f>IF(B237="","",IF(G237&lt;&gt;"",G237,IFERROR(IF(INDEX(Staff!$P$5:$P$44,MATCH(D237,Staff!$A$5:$A$44,0))="",DefaultHourly,INDEX(Staff!$P$5:$P$44,MATCH(D237,Staff!$A$5:$A$44,0))),DefaultHourly)))</f>
        <v>0</v>
      </c>
      <c r="T237" s="26">
        <f>IF(B237="","",ROUND(IF(F237="",0,F237)*S237,2))</f>
        <v>0</v>
      </c>
      <c r="U237" s="26">
        <f>IF(B237="","",ROUND(T237+IF(H237="",0,H237)+IF(J237="",0,J237)+IF(K237="",0,K237),2))</f>
        <v>0</v>
      </c>
      <c r="V237" s="26">
        <f>IF(B237="","",ROUND(U237-IF(L237="",0,L237),2))</f>
        <v>0</v>
      </c>
      <c r="W237" s="26">
        <f>IF(B237="","",ROUND(V237+IF(I237="",0,I237),2))</f>
        <v>0</v>
      </c>
      <c r="X237" s="26">
        <f>IF(B237="","",IF(IFERROR(INDEX(Staff!$E$5:$E$44,MATCH(D237,Staff!$A$5:$A$44,0))&amp;"","")="Self-employed",0,IF(IFERROR(INDEX(Staff!$E$5:$E$44,MATCH(D237,Staff!$A$5:$A$44,0))&amp;"","")="Chair renter",0,ROUND(U237*PayrollBurden,2))))</f>
        <v>0</v>
      </c>
      <c r="Y237" s="26">
        <f>IF(B237="","",ROUND(U237+X237,2))</f>
        <v>0</v>
      </c>
      <c r="Z237" s="26">
        <f>IF(B237="","",ROUND(SUMIFS(Commissions!$X$5:$X$244,Commissions!$C$5:$C$244,D237,Commissions!$B$5:$B$244,Q237),2))</f>
        <v>0</v>
      </c>
      <c r="AA237" s="26">
        <f>IF(B237="","",ROUND(SUMIFS($H$5:$H$364,$D$5:$D$364,D237,$Q$5:$Q$364,Q237),2))</f>
        <v>0</v>
      </c>
      <c r="AB237" s="26">
        <f>IF(B237="","",ROUND(Z237-AA237,2))</f>
        <v>0</v>
      </c>
      <c r="AC237" s="26">
        <f>IF(B237="","",IF(IF(F237="",0,F237)=0,"",ROUND(Y237/F237,2)))</f>
        <v>0</v>
      </c>
      <c r="AD237" s="39">
        <f>IF(B237="","",IF(D237="","Add - who is this run for?",IF(IF(F237="",H237="",FALSE),"Add - no hours and no commission",IF(AB237&lt;-0.004,"Check - more commission paid than earned",IF(M237&lt;&gt;"Yes","Due - not paid yet",IF(N237="","Check - marked paid, no date","OK"))))))</f>
        <v>0</v>
      </c>
    </row>
    <row r="238" spans="1:30">
      <c r="A238" s="28">
        <f>IF(B238="","",PayrollPrefix&amp;TEXT(ROW()-4,"0000"))</f>
        <v>0</v>
      </c>
      <c r="E238" s="15">
        <f>IF(D238="","",IFERROR(INDEX(Staff!$B$5:$B$44,MATCH(D238,Staff!$A$5:$A$44,0)),"Not in Staff"))</f>
        <v>0</v>
      </c>
      <c r="Q238" s="15">
        <f>IF(B238="","",TEXT(B238,"yyyy-mm"))</f>
        <v>0</v>
      </c>
      <c r="R238" s="25">
        <f>IF(B238="","",WEEKNUM(B238,2))</f>
        <v>0</v>
      </c>
      <c r="S238" s="26">
        <f>IF(B238="","",IF(G238&lt;&gt;"",G238,IFERROR(IF(INDEX(Staff!$P$5:$P$44,MATCH(D238,Staff!$A$5:$A$44,0))="",DefaultHourly,INDEX(Staff!$P$5:$P$44,MATCH(D238,Staff!$A$5:$A$44,0))),DefaultHourly)))</f>
        <v>0</v>
      </c>
      <c r="T238" s="26">
        <f>IF(B238="","",ROUND(IF(F238="",0,F238)*S238,2))</f>
        <v>0</v>
      </c>
      <c r="U238" s="26">
        <f>IF(B238="","",ROUND(T238+IF(H238="",0,H238)+IF(J238="",0,J238)+IF(K238="",0,K238),2))</f>
        <v>0</v>
      </c>
      <c r="V238" s="26">
        <f>IF(B238="","",ROUND(U238-IF(L238="",0,L238),2))</f>
        <v>0</v>
      </c>
      <c r="W238" s="26">
        <f>IF(B238="","",ROUND(V238+IF(I238="",0,I238),2))</f>
        <v>0</v>
      </c>
      <c r="X238" s="26">
        <f>IF(B238="","",IF(IFERROR(INDEX(Staff!$E$5:$E$44,MATCH(D238,Staff!$A$5:$A$44,0))&amp;"","")="Self-employed",0,IF(IFERROR(INDEX(Staff!$E$5:$E$44,MATCH(D238,Staff!$A$5:$A$44,0))&amp;"","")="Chair renter",0,ROUND(U238*PayrollBurden,2))))</f>
        <v>0</v>
      </c>
      <c r="Y238" s="26">
        <f>IF(B238="","",ROUND(U238+X238,2))</f>
        <v>0</v>
      </c>
      <c r="Z238" s="26">
        <f>IF(B238="","",ROUND(SUMIFS(Commissions!$X$5:$X$244,Commissions!$C$5:$C$244,D238,Commissions!$B$5:$B$244,Q238),2))</f>
        <v>0</v>
      </c>
      <c r="AA238" s="26">
        <f>IF(B238="","",ROUND(SUMIFS($H$5:$H$364,$D$5:$D$364,D238,$Q$5:$Q$364,Q238),2))</f>
        <v>0</v>
      </c>
      <c r="AB238" s="26">
        <f>IF(B238="","",ROUND(Z238-AA238,2))</f>
        <v>0</v>
      </c>
      <c r="AC238" s="26">
        <f>IF(B238="","",IF(IF(F238="",0,F238)=0,"",ROUND(Y238/F238,2)))</f>
        <v>0</v>
      </c>
      <c r="AD238" s="39">
        <f>IF(B238="","",IF(D238="","Add - who is this run for?",IF(IF(F238="",H238="",FALSE),"Add - no hours and no commission",IF(AB238&lt;-0.004,"Check - more commission paid than earned",IF(M238&lt;&gt;"Yes","Due - not paid yet",IF(N238="","Check - marked paid, no date","OK"))))))</f>
        <v>0</v>
      </c>
    </row>
    <row r="239" spans="1:30">
      <c r="A239" s="28">
        <f>IF(B239="","",PayrollPrefix&amp;TEXT(ROW()-4,"0000"))</f>
        <v>0</v>
      </c>
      <c r="E239" s="15">
        <f>IF(D239="","",IFERROR(INDEX(Staff!$B$5:$B$44,MATCH(D239,Staff!$A$5:$A$44,0)),"Not in Staff"))</f>
        <v>0</v>
      </c>
      <c r="Q239" s="15">
        <f>IF(B239="","",TEXT(B239,"yyyy-mm"))</f>
        <v>0</v>
      </c>
      <c r="R239" s="25">
        <f>IF(B239="","",WEEKNUM(B239,2))</f>
        <v>0</v>
      </c>
      <c r="S239" s="26">
        <f>IF(B239="","",IF(G239&lt;&gt;"",G239,IFERROR(IF(INDEX(Staff!$P$5:$P$44,MATCH(D239,Staff!$A$5:$A$44,0))="",DefaultHourly,INDEX(Staff!$P$5:$P$44,MATCH(D239,Staff!$A$5:$A$44,0))),DefaultHourly)))</f>
        <v>0</v>
      </c>
      <c r="T239" s="26">
        <f>IF(B239="","",ROUND(IF(F239="",0,F239)*S239,2))</f>
        <v>0</v>
      </c>
      <c r="U239" s="26">
        <f>IF(B239="","",ROUND(T239+IF(H239="",0,H239)+IF(J239="",0,J239)+IF(K239="",0,K239),2))</f>
        <v>0</v>
      </c>
      <c r="V239" s="26">
        <f>IF(B239="","",ROUND(U239-IF(L239="",0,L239),2))</f>
        <v>0</v>
      </c>
      <c r="W239" s="26">
        <f>IF(B239="","",ROUND(V239+IF(I239="",0,I239),2))</f>
        <v>0</v>
      </c>
      <c r="X239" s="26">
        <f>IF(B239="","",IF(IFERROR(INDEX(Staff!$E$5:$E$44,MATCH(D239,Staff!$A$5:$A$44,0))&amp;"","")="Self-employed",0,IF(IFERROR(INDEX(Staff!$E$5:$E$44,MATCH(D239,Staff!$A$5:$A$44,0))&amp;"","")="Chair renter",0,ROUND(U239*PayrollBurden,2))))</f>
        <v>0</v>
      </c>
      <c r="Y239" s="26">
        <f>IF(B239="","",ROUND(U239+X239,2))</f>
        <v>0</v>
      </c>
      <c r="Z239" s="26">
        <f>IF(B239="","",ROUND(SUMIFS(Commissions!$X$5:$X$244,Commissions!$C$5:$C$244,D239,Commissions!$B$5:$B$244,Q239),2))</f>
        <v>0</v>
      </c>
      <c r="AA239" s="26">
        <f>IF(B239="","",ROUND(SUMIFS($H$5:$H$364,$D$5:$D$364,D239,$Q$5:$Q$364,Q239),2))</f>
        <v>0</v>
      </c>
      <c r="AB239" s="26">
        <f>IF(B239="","",ROUND(Z239-AA239,2))</f>
        <v>0</v>
      </c>
      <c r="AC239" s="26">
        <f>IF(B239="","",IF(IF(F239="",0,F239)=0,"",ROUND(Y239/F239,2)))</f>
        <v>0</v>
      </c>
      <c r="AD239" s="39">
        <f>IF(B239="","",IF(D239="","Add - who is this run for?",IF(IF(F239="",H239="",FALSE),"Add - no hours and no commission",IF(AB239&lt;-0.004,"Check - more commission paid than earned",IF(M239&lt;&gt;"Yes","Due - not paid yet",IF(N239="","Check - marked paid, no date","OK"))))))</f>
        <v>0</v>
      </c>
    </row>
    <row r="240" spans="1:30">
      <c r="A240" s="28">
        <f>IF(B240="","",PayrollPrefix&amp;TEXT(ROW()-4,"0000"))</f>
        <v>0</v>
      </c>
      <c r="E240" s="15">
        <f>IF(D240="","",IFERROR(INDEX(Staff!$B$5:$B$44,MATCH(D240,Staff!$A$5:$A$44,0)),"Not in Staff"))</f>
        <v>0</v>
      </c>
      <c r="Q240" s="15">
        <f>IF(B240="","",TEXT(B240,"yyyy-mm"))</f>
        <v>0</v>
      </c>
      <c r="R240" s="25">
        <f>IF(B240="","",WEEKNUM(B240,2))</f>
        <v>0</v>
      </c>
      <c r="S240" s="26">
        <f>IF(B240="","",IF(G240&lt;&gt;"",G240,IFERROR(IF(INDEX(Staff!$P$5:$P$44,MATCH(D240,Staff!$A$5:$A$44,0))="",DefaultHourly,INDEX(Staff!$P$5:$P$44,MATCH(D240,Staff!$A$5:$A$44,0))),DefaultHourly)))</f>
        <v>0</v>
      </c>
      <c r="T240" s="26">
        <f>IF(B240="","",ROUND(IF(F240="",0,F240)*S240,2))</f>
        <v>0</v>
      </c>
      <c r="U240" s="26">
        <f>IF(B240="","",ROUND(T240+IF(H240="",0,H240)+IF(J240="",0,J240)+IF(K240="",0,K240),2))</f>
        <v>0</v>
      </c>
      <c r="V240" s="26">
        <f>IF(B240="","",ROUND(U240-IF(L240="",0,L240),2))</f>
        <v>0</v>
      </c>
      <c r="W240" s="26">
        <f>IF(B240="","",ROUND(V240+IF(I240="",0,I240),2))</f>
        <v>0</v>
      </c>
      <c r="X240" s="26">
        <f>IF(B240="","",IF(IFERROR(INDEX(Staff!$E$5:$E$44,MATCH(D240,Staff!$A$5:$A$44,0))&amp;"","")="Self-employed",0,IF(IFERROR(INDEX(Staff!$E$5:$E$44,MATCH(D240,Staff!$A$5:$A$44,0))&amp;"","")="Chair renter",0,ROUND(U240*PayrollBurden,2))))</f>
        <v>0</v>
      </c>
      <c r="Y240" s="26">
        <f>IF(B240="","",ROUND(U240+X240,2))</f>
        <v>0</v>
      </c>
      <c r="Z240" s="26">
        <f>IF(B240="","",ROUND(SUMIFS(Commissions!$X$5:$X$244,Commissions!$C$5:$C$244,D240,Commissions!$B$5:$B$244,Q240),2))</f>
        <v>0</v>
      </c>
      <c r="AA240" s="26">
        <f>IF(B240="","",ROUND(SUMIFS($H$5:$H$364,$D$5:$D$364,D240,$Q$5:$Q$364,Q240),2))</f>
        <v>0</v>
      </c>
      <c r="AB240" s="26">
        <f>IF(B240="","",ROUND(Z240-AA240,2))</f>
        <v>0</v>
      </c>
      <c r="AC240" s="26">
        <f>IF(B240="","",IF(IF(F240="",0,F240)=0,"",ROUND(Y240/F240,2)))</f>
        <v>0</v>
      </c>
      <c r="AD240" s="39">
        <f>IF(B240="","",IF(D240="","Add - who is this run for?",IF(IF(F240="",H240="",FALSE),"Add - no hours and no commission",IF(AB240&lt;-0.004,"Check - more commission paid than earned",IF(M240&lt;&gt;"Yes","Due - not paid yet",IF(N240="","Check - marked paid, no date","OK"))))))</f>
        <v>0</v>
      </c>
    </row>
    <row r="241" spans="1:30">
      <c r="A241" s="28">
        <f>IF(B241="","",PayrollPrefix&amp;TEXT(ROW()-4,"0000"))</f>
        <v>0</v>
      </c>
      <c r="E241" s="15">
        <f>IF(D241="","",IFERROR(INDEX(Staff!$B$5:$B$44,MATCH(D241,Staff!$A$5:$A$44,0)),"Not in Staff"))</f>
        <v>0</v>
      </c>
      <c r="Q241" s="15">
        <f>IF(B241="","",TEXT(B241,"yyyy-mm"))</f>
        <v>0</v>
      </c>
      <c r="R241" s="25">
        <f>IF(B241="","",WEEKNUM(B241,2))</f>
        <v>0</v>
      </c>
      <c r="S241" s="26">
        <f>IF(B241="","",IF(G241&lt;&gt;"",G241,IFERROR(IF(INDEX(Staff!$P$5:$P$44,MATCH(D241,Staff!$A$5:$A$44,0))="",DefaultHourly,INDEX(Staff!$P$5:$P$44,MATCH(D241,Staff!$A$5:$A$44,0))),DefaultHourly)))</f>
        <v>0</v>
      </c>
      <c r="T241" s="26">
        <f>IF(B241="","",ROUND(IF(F241="",0,F241)*S241,2))</f>
        <v>0</v>
      </c>
      <c r="U241" s="26">
        <f>IF(B241="","",ROUND(T241+IF(H241="",0,H241)+IF(J241="",0,J241)+IF(K241="",0,K241),2))</f>
        <v>0</v>
      </c>
      <c r="V241" s="26">
        <f>IF(B241="","",ROUND(U241-IF(L241="",0,L241),2))</f>
        <v>0</v>
      </c>
      <c r="W241" s="26">
        <f>IF(B241="","",ROUND(V241+IF(I241="",0,I241),2))</f>
        <v>0</v>
      </c>
      <c r="X241" s="26">
        <f>IF(B241="","",IF(IFERROR(INDEX(Staff!$E$5:$E$44,MATCH(D241,Staff!$A$5:$A$44,0))&amp;"","")="Self-employed",0,IF(IFERROR(INDEX(Staff!$E$5:$E$44,MATCH(D241,Staff!$A$5:$A$44,0))&amp;"","")="Chair renter",0,ROUND(U241*PayrollBurden,2))))</f>
        <v>0</v>
      </c>
      <c r="Y241" s="26">
        <f>IF(B241="","",ROUND(U241+X241,2))</f>
        <v>0</v>
      </c>
      <c r="Z241" s="26">
        <f>IF(B241="","",ROUND(SUMIFS(Commissions!$X$5:$X$244,Commissions!$C$5:$C$244,D241,Commissions!$B$5:$B$244,Q241),2))</f>
        <v>0</v>
      </c>
      <c r="AA241" s="26">
        <f>IF(B241="","",ROUND(SUMIFS($H$5:$H$364,$D$5:$D$364,D241,$Q$5:$Q$364,Q241),2))</f>
        <v>0</v>
      </c>
      <c r="AB241" s="26">
        <f>IF(B241="","",ROUND(Z241-AA241,2))</f>
        <v>0</v>
      </c>
      <c r="AC241" s="26">
        <f>IF(B241="","",IF(IF(F241="",0,F241)=0,"",ROUND(Y241/F241,2)))</f>
        <v>0</v>
      </c>
      <c r="AD241" s="39">
        <f>IF(B241="","",IF(D241="","Add - who is this run for?",IF(IF(F241="",H241="",FALSE),"Add - no hours and no commission",IF(AB241&lt;-0.004,"Check - more commission paid than earned",IF(M241&lt;&gt;"Yes","Due - not paid yet",IF(N241="","Check - marked paid, no date","OK"))))))</f>
        <v>0</v>
      </c>
    </row>
    <row r="242" spans="1:30">
      <c r="A242" s="28">
        <f>IF(B242="","",PayrollPrefix&amp;TEXT(ROW()-4,"0000"))</f>
        <v>0</v>
      </c>
      <c r="E242" s="15">
        <f>IF(D242="","",IFERROR(INDEX(Staff!$B$5:$B$44,MATCH(D242,Staff!$A$5:$A$44,0)),"Not in Staff"))</f>
        <v>0</v>
      </c>
      <c r="Q242" s="15">
        <f>IF(B242="","",TEXT(B242,"yyyy-mm"))</f>
        <v>0</v>
      </c>
      <c r="R242" s="25">
        <f>IF(B242="","",WEEKNUM(B242,2))</f>
        <v>0</v>
      </c>
      <c r="S242" s="26">
        <f>IF(B242="","",IF(G242&lt;&gt;"",G242,IFERROR(IF(INDEX(Staff!$P$5:$P$44,MATCH(D242,Staff!$A$5:$A$44,0))="",DefaultHourly,INDEX(Staff!$P$5:$P$44,MATCH(D242,Staff!$A$5:$A$44,0))),DefaultHourly)))</f>
        <v>0</v>
      </c>
      <c r="T242" s="26">
        <f>IF(B242="","",ROUND(IF(F242="",0,F242)*S242,2))</f>
        <v>0</v>
      </c>
      <c r="U242" s="26">
        <f>IF(B242="","",ROUND(T242+IF(H242="",0,H242)+IF(J242="",0,J242)+IF(K242="",0,K242),2))</f>
        <v>0</v>
      </c>
      <c r="V242" s="26">
        <f>IF(B242="","",ROUND(U242-IF(L242="",0,L242),2))</f>
        <v>0</v>
      </c>
      <c r="W242" s="26">
        <f>IF(B242="","",ROUND(V242+IF(I242="",0,I242),2))</f>
        <v>0</v>
      </c>
      <c r="X242" s="26">
        <f>IF(B242="","",IF(IFERROR(INDEX(Staff!$E$5:$E$44,MATCH(D242,Staff!$A$5:$A$44,0))&amp;"","")="Self-employed",0,IF(IFERROR(INDEX(Staff!$E$5:$E$44,MATCH(D242,Staff!$A$5:$A$44,0))&amp;"","")="Chair renter",0,ROUND(U242*PayrollBurden,2))))</f>
        <v>0</v>
      </c>
      <c r="Y242" s="26">
        <f>IF(B242="","",ROUND(U242+X242,2))</f>
        <v>0</v>
      </c>
      <c r="Z242" s="26">
        <f>IF(B242="","",ROUND(SUMIFS(Commissions!$X$5:$X$244,Commissions!$C$5:$C$244,D242,Commissions!$B$5:$B$244,Q242),2))</f>
        <v>0</v>
      </c>
      <c r="AA242" s="26">
        <f>IF(B242="","",ROUND(SUMIFS($H$5:$H$364,$D$5:$D$364,D242,$Q$5:$Q$364,Q242),2))</f>
        <v>0</v>
      </c>
      <c r="AB242" s="26">
        <f>IF(B242="","",ROUND(Z242-AA242,2))</f>
        <v>0</v>
      </c>
      <c r="AC242" s="26">
        <f>IF(B242="","",IF(IF(F242="",0,F242)=0,"",ROUND(Y242/F242,2)))</f>
        <v>0</v>
      </c>
      <c r="AD242" s="39">
        <f>IF(B242="","",IF(D242="","Add - who is this run for?",IF(IF(F242="",H242="",FALSE),"Add - no hours and no commission",IF(AB242&lt;-0.004,"Check - more commission paid than earned",IF(M242&lt;&gt;"Yes","Due - not paid yet",IF(N242="","Check - marked paid, no date","OK"))))))</f>
        <v>0</v>
      </c>
    </row>
    <row r="243" spans="1:30">
      <c r="A243" s="28">
        <f>IF(B243="","",PayrollPrefix&amp;TEXT(ROW()-4,"0000"))</f>
        <v>0</v>
      </c>
      <c r="E243" s="15">
        <f>IF(D243="","",IFERROR(INDEX(Staff!$B$5:$B$44,MATCH(D243,Staff!$A$5:$A$44,0)),"Not in Staff"))</f>
        <v>0</v>
      </c>
      <c r="Q243" s="15">
        <f>IF(B243="","",TEXT(B243,"yyyy-mm"))</f>
        <v>0</v>
      </c>
      <c r="R243" s="25">
        <f>IF(B243="","",WEEKNUM(B243,2))</f>
        <v>0</v>
      </c>
      <c r="S243" s="26">
        <f>IF(B243="","",IF(G243&lt;&gt;"",G243,IFERROR(IF(INDEX(Staff!$P$5:$P$44,MATCH(D243,Staff!$A$5:$A$44,0))="",DefaultHourly,INDEX(Staff!$P$5:$P$44,MATCH(D243,Staff!$A$5:$A$44,0))),DefaultHourly)))</f>
        <v>0</v>
      </c>
      <c r="T243" s="26">
        <f>IF(B243="","",ROUND(IF(F243="",0,F243)*S243,2))</f>
        <v>0</v>
      </c>
      <c r="U243" s="26">
        <f>IF(B243="","",ROUND(T243+IF(H243="",0,H243)+IF(J243="",0,J243)+IF(K243="",0,K243),2))</f>
        <v>0</v>
      </c>
      <c r="V243" s="26">
        <f>IF(B243="","",ROUND(U243-IF(L243="",0,L243),2))</f>
        <v>0</v>
      </c>
      <c r="W243" s="26">
        <f>IF(B243="","",ROUND(V243+IF(I243="",0,I243),2))</f>
        <v>0</v>
      </c>
      <c r="X243" s="26">
        <f>IF(B243="","",IF(IFERROR(INDEX(Staff!$E$5:$E$44,MATCH(D243,Staff!$A$5:$A$44,0))&amp;"","")="Self-employed",0,IF(IFERROR(INDEX(Staff!$E$5:$E$44,MATCH(D243,Staff!$A$5:$A$44,0))&amp;"","")="Chair renter",0,ROUND(U243*PayrollBurden,2))))</f>
        <v>0</v>
      </c>
      <c r="Y243" s="26">
        <f>IF(B243="","",ROUND(U243+X243,2))</f>
        <v>0</v>
      </c>
      <c r="Z243" s="26">
        <f>IF(B243="","",ROUND(SUMIFS(Commissions!$X$5:$X$244,Commissions!$C$5:$C$244,D243,Commissions!$B$5:$B$244,Q243),2))</f>
        <v>0</v>
      </c>
      <c r="AA243" s="26">
        <f>IF(B243="","",ROUND(SUMIFS($H$5:$H$364,$D$5:$D$364,D243,$Q$5:$Q$364,Q243),2))</f>
        <v>0</v>
      </c>
      <c r="AB243" s="26">
        <f>IF(B243="","",ROUND(Z243-AA243,2))</f>
        <v>0</v>
      </c>
      <c r="AC243" s="26">
        <f>IF(B243="","",IF(IF(F243="",0,F243)=0,"",ROUND(Y243/F243,2)))</f>
        <v>0</v>
      </c>
      <c r="AD243" s="39">
        <f>IF(B243="","",IF(D243="","Add - who is this run for?",IF(IF(F243="",H243="",FALSE),"Add - no hours and no commission",IF(AB243&lt;-0.004,"Check - more commission paid than earned",IF(M243&lt;&gt;"Yes","Due - not paid yet",IF(N243="","Check - marked paid, no date","OK"))))))</f>
        <v>0</v>
      </c>
    </row>
    <row r="244" spans="1:30">
      <c r="A244" s="28">
        <f>IF(B244="","",PayrollPrefix&amp;TEXT(ROW()-4,"0000"))</f>
        <v>0</v>
      </c>
      <c r="E244" s="15">
        <f>IF(D244="","",IFERROR(INDEX(Staff!$B$5:$B$44,MATCH(D244,Staff!$A$5:$A$44,0)),"Not in Staff"))</f>
        <v>0</v>
      </c>
      <c r="Q244" s="15">
        <f>IF(B244="","",TEXT(B244,"yyyy-mm"))</f>
        <v>0</v>
      </c>
      <c r="R244" s="25">
        <f>IF(B244="","",WEEKNUM(B244,2))</f>
        <v>0</v>
      </c>
      <c r="S244" s="26">
        <f>IF(B244="","",IF(G244&lt;&gt;"",G244,IFERROR(IF(INDEX(Staff!$P$5:$P$44,MATCH(D244,Staff!$A$5:$A$44,0))="",DefaultHourly,INDEX(Staff!$P$5:$P$44,MATCH(D244,Staff!$A$5:$A$44,0))),DefaultHourly)))</f>
        <v>0</v>
      </c>
      <c r="T244" s="26">
        <f>IF(B244="","",ROUND(IF(F244="",0,F244)*S244,2))</f>
        <v>0</v>
      </c>
      <c r="U244" s="26">
        <f>IF(B244="","",ROUND(T244+IF(H244="",0,H244)+IF(J244="",0,J244)+IF(K244="",0,K244),2))</f>
        <v>0</v>
      </c>
      <c r="V244" s="26">
        <f>IF(B244="","",ROUND(U244-IF(L244="",0,L244),2))</f>
        <v>0</v>
      </c>
      <c r="W244" s="26">
        <f>IF(B244="","",ROUND(V244+IF(I244="",0,I244),2))</f>
        <v>0</v>
      </c>
      <c r="X244" s="26">
        <f>IF(B244="","",IF(IFERROR(INDEX(Staff!$E$5:$E$44,MATCH(D244,Staff!$A$5:$A$44,0))&amp;"","")="Self-employed",0,IF(IFERROR(INDEX(Staff!$E$5:$E$44,MATCH(D244,Staff!$A$5:$A$44,0))&amp;"","")="Chair renter",0,ROUND(U244*PayrollBurden,2))))</f>
        <v>0</v>
      </c>
      <c r="Y244" s="26">
        <f>IF(B244="","",ROUND(U244+X244,2))</f>
        <v>0</v>
      </c>
      <c r="Z244" s="26">
        <f>IF(B244="","",ROUND(SUMIFS(Commissions!$X$5:$X$244,Commissions!$C$5:$C$244,D244,Commissions!$B$5:$B$244,Q244),2))</f>
        <v>0</v>
      </c>
      <c r="AA244" s="26">
        <f>IF(B244="","",ROUND(SUMIFS($H$5:$H$364,$D$5:$D$364,D244,$Q$5:$Q$364,Q244),2))</f>
        <v>0</v>
      </c>
      <c r="AB244" s="26">
        <f>IF(B244="","",ROUND(Z244-AA244,2))</f>
        <v>0</v>
      </c>
      <c r="AC244" s="26">
        <f>IF(B244="","",IF(IF(F244="",0,F244)=0,"",ROUND(Y244/F244,2)))</f>
        <v>0</v>
      </c>
      <c r="AD244" s="39">
        <f>IF(B244="","",IF(D244="","Add - who is this run for?",IF(IF(F244="",H244="",FALSE),"Add - no hours and no commission",IF(AB244&lt;-0.004,"Check - more commission paid than earned",IF(M244&lt;&gt;"Yes","Due - not paid yet",IF(N244="","Check - marked paid, no date","OK"))))))</f>
        <v>0</v>
      </c>
    </row>
    <row r="245" spans="1:30">
      <c r="A245" s="28">
        <f>IF(B245="","",PayrollPrefix&amp;TEXT(ROW()-4,"0000"))</f>
        <v>0</v>
      </c>
      <c r="E245" s="15">
        <f>IF(D245="","",IFERROR(INDEX(Staff!$B$5:$B$44,MATCH(D245,Staff!$A$5:$A$44,0)),"Not in Staff"))</f>
        <v>0</v>
      </c>
      <c r="Q245" s="15">
        <f>IF(B245="","",TEXT(B245,"yyyy-mm"))</f>
        <v>0</v>
      </c>
      <c r="R245" s="25">
        <f>IF(B245="","",WEEKNUM(B245,2))</f>
        <v>0</v>
      </c>
      <c r="S245" s="26">
        <f>IF(B245="","",IF(G245&lt;&gt;"",G245,IFERROR(IF(INDEX(Staff!$P$5:$P$44,MATCH(D245,Staff!$A$5:$A$44,0))="",DefaultHourly,INDEX(Staff!$P$5:$P$44,MATCH(D245,Staff!$A$5:$A$44,0))),DefaultHourly)))</f>
        <v>0</v>
      </c>
      <c r="T245" s="26">
        <f>IF(B245="","",ROUND(IF(F245="",0,F245)*S245,2))</f>
        <v>0</v>
      </c>
      <c r="U245" s="26">
        <f>IF(B245="","",ROUND(T245+IF(H245="",0,H245)+IF(J245="",0,J245)+IF(K245="",0,K245),2))</f>
        <v>0</v>
      </c>
      <c r="V245" s="26">
        <f>IF(B245="","",ROUND(U245-IF(L245="",0,L245),2))</f>
        <v>0</v>
      </c>
      <c r="W245" s="26">
        <f>IF(B245="","",ROUND(V245+IF(I245="",0,I245),2))</f>
        <v>0</v>
      </c>
      <c r="X245" s="26">
        <f>IF(B245="","",IF(IFERROR(INDEX(Staff!$E$5:$E$44,MATCH(D245,Staff!$A$5:$A$44,0))&amp;"","")="Self-employed",0,IF(IFERROR(INDEX(Staff!$E$5:$E$44,MATCH(D245,Staff!$A$5:$A$44,0))&amp;"","")="Chair renter",0,ROUND(U245*PayrollBurden,2))))</f>
        <v>0</v>
      </c>
      <c r="Y245" s="26">
        <f>IF(B245="","",ROUND(U245+X245,2))</f>
        <v>0</v>
      </c>
      <c r="Z245" s="26">
        <f>IF(B245="","",ROUND(SUMIFS(Commissions!$X$5:$X$244,Commissions!$C$5:$C$244,D245,Commissions!$B$5:$B$244,Q245),2))</f>
        <v>0</v>
      </c>
      <c r="AA245" s="26">
        <f>IF(B245="","",ROUND(SUMIFS($H$5:$H$364,$D$5:$D$364,D245,$Q$5:$Q$364,Q245),2))</f>
        <v>0</v>
      </c>
      <c r="AB245" s="26">
        <f>IF(B245="","",ROUND(Z245-AA245,2))</f>
        <v>0</v>
      </c>
      <c r="AC245" s="26">
        <f>IF(B245="","",IF(IF(F245="",0,F245)=0,"",ROUND(Y245/F245,2)))</f>
        <v>0</v>
      </c>
      <c r="AD245" s="39">
        <f>IF(B245="","",IF(D245="","Add - who is this run for?",IF(IF(F245="",H245="",FALSE),"Add - no hours and no commission",IF(AB245&lt;-0.004,"Check - more commission paid than earned",IF(M245&lt;&gt;"Yes","Due - not paid yet",IF(N245="","Check - marked paid, no date","OK"))))))</f>
        <v>0</v>
      </c>
    </row>
    <row r="246" spans="1:30">
      <c r="A246" s="28">
        <f>IF(B246="","",PayrollPrefix&amp;TEXT(ROW()-4,"0000"))</f>
        <v>0</v>
      </c>
      <c r="E246" s="15">
        <f>IF(D246="","",IFERROR(INDEX(Staff!$B$5:$B$44,MATCH(D246,Staff!$A$5:$A$44,0)),"Not in Staff"))</f>
        <v>0</v>
      </c>
      <c r="Q246" s="15">
        <f>IF(B246="","",TEXT(B246,"yyyy-mm"))</f>
        <v>0</v>
      </c>
      <c r="R246" s="25">
        <f>IF(B246="","",WEEKNUM(B246,2))</f>
        <v>0</v>
      </c>
      <c r="S246" s="26">
        <f>IF(B246="","",IF(G246&lt;&gt;"",G246,IFERROR(IF(INDEX(Staff!$P$5:$P$44,MATCH(D246,Staff!$A$5:$A$44,0))="",DefaultHourly,INDEX(Staff!$P$5:$P$44,MATCH(D246,Staff!$A$5:$A$44,0))),DefaultHourly)))</f>
        <v>0</v>
      </c>
      <c r="T246" s="26">
        <f>IF(B246="","",ROUND(IF(F246="",0,F246)*S246,2))</f>
        <v>0</v>
      </c>
      <c r="U246" s="26">
        <f>IF(B246="","",ROUND(T246+IF(H246="",0,H246)+IF(J246="",0,J246)+IF(K246="",0,K246),2))</f>
        <v>0</v>
      </c>
      <c r="V246" s="26">
        <f>IF(B246="","",ROUND(U246-IF(L246="",0,L246),2))</f>
        <v>0</v>
      </c>
      <c r="W246" s="26">
        <f>IF(B246="","",ROUND(V246+IF(I246="",0,I246),2))</f>
        <v>0</v>
      </c>
      <c r="X246" s="26">
        <f>IF(B246="","",IF(IFERROR(INDEX(Staff!$E$5:$E$44,MATCH(D246,Staff!$A$5:$A$44,0))&amp;"","")="Self-employed",0,IF(IFERROR(INDEX(Staff!$E$5:$E$44,MATCH(D246,Staff!$A$5:$A$44,0))&amp;"","")="Chair renter",0,ROUND(U246*PayrollBurden,2))))</f>
        <v>0</v>
      </c>
      <c r="Y246" s="26">
        <f>IF(B246="","",ROUND(U246+X246,2))</f>
        <v>0</v>
      </c>
      <c r="Z246" s="26">
        <f>IF(B246="","",ROUND(SUMIFS(Commissions!$X$5:$X$244,Commissions!$C$5:$C$244,D246,Commissions!$B$5:$B$244,Q246),2))</f>
        <v>0</v>
      </c>
      <c r="AA246" s="26">
        <f>IF(B246="","",ROUND(SUMIFS($H$5:$H$364,$D$5:$D$364,D246,$Q$5:$Q$364,Q246),2))</f>
        <v>0</v>
      </c>
      <c r="AB246" s="26">
        <f>IF(B246="","",ROUND(Z246-AA246,2))</f>
        <v>0</v>
      </c>
      <c r="AC246" s="26">
        <f>IF(B246="","",IF(IF(F246="",0,F246)=0,"",ROUND(Y246/F246,2)))</f>
        <v>0</v>
      </c>
      <c r="AD246" s="39">
        <f>IF(B246="","",IF(D246="","Add - who is this run for?",IF(IF(F246="",H246="",FALSE),"Add - no hours and no commission",IF(AB246&lt;-0.004,"Check - more commission paid than earned",IF(M246&lt;&gt;"Yes","Due - not paid yet",IF(N246="","Check - marked paid, no date","OK"))))))</f>
        <v>0</v>
      </c>
    </row>
    <row r="247" spans="1:30">
      <c r="A247" s="28">
        <f>IF(B247="","",PayrollPrefix&amp;TEXT(ROW()-4,"0000"))</f>
        <v>0</v>
      </c>
      <c r="E247" s="15">
        <f>IF(D247="","",IFERROR(INDEX(Staff!$B$5:$B$44,MATCH(D247,Staff!$A$5:$A$44,0)),"Not in Staff"))</f>
        <v>0</v>
      </c>
      <c r="Q247" s="15">
        <f>IF(B247="","",TEXT(B247,"yyyy-mm"))</f>
        <v>0</v>
      </c>
      <c r="R247" s="25">
        <f>IF(B247="","",WEEKNUM(B247,2))</f>
        <v>0</v>
      </c>
      <c r="S247" s="26">
        <f>IF(B247="","",IF(G247&lt;&gt;"",G247,IFERROR(IF(INDEX(Staff!$P$5:$P$44,MATCH(D247,Staff!$A$5:$A$44,0))="",DefaultHourly,INDEX(Staff!$P$5:$P$44,MATCH(D247,Staff!$A$5:$A$44,0))),DefaultHourly)))</f>
        <v>0</v>
      </c>
      <c r="T247" s="26">
        <f>IF(B247="","",ROUND(IF(F247="",0,F247)*S247,2))</f>
        <v>0</v>
      </c>
      <c r="U247" s="26">
        <f>IF(B247="","",ROUND(T247+IF(H247="",0,H247)+IF(J247="",0,J247)+IF(K247="",0,K247),2))</f>
        <v>0</v>
      </c>
      <c r="V247" s="26">
        <f>IF(B247="","",ROUND(U247-IF(L247="",0,L247),2))</f>
        <v>0</v>
      </c>
      <c r="W247" s="26">
        <f>IF(B247="","",ROUND(V247+IF(I247="",0,I247),2))</f>
        <v>0</v>
      </c>
      <c r="X247" s="26">
        <f>IF(B247="","",IF(IFERROR(INDEX(Staff!$E$5:$E$44,MATCH(D247,Staff!$A$5:$A$44,0))&amp;"","")="Self-employed",0,IF(IFERROR(INDEX(Staff!$E$5:$E$44,MATCH(D247,Staff!$A$5:$A$44,0))&amp;"","")="Chair renter",0,ROUND(U247*PayrollBurden,2))))</f>
        <v>0</v>
      </c>
      <c r="Y247" s="26">
        <f>IF(B247="","",ROUND(U247+X247,2))</f>
        <v>0</v>
      </c>
      <c r="Z247" s="26">
        <f>IF(B247="","",ROUND(SUMIFS(Commissions!$X$5:$X$244,Commissions!$C$5:$C$244,D247,Commissions!$B$5:$B$244,Q247),2))</f>
        <v>0</v>
      </c>
      <c r="AA247" s="26">
        <f>IF(B247="","",ROUND(SUMIFS($H$5:$H$364,$D$5:$D$364,D247,$Q$5:$Q$364,Q247),2))</f>
        <v>0</v>
      </c>
      <c r="AB247" s="26">
        <f>IF(B247="","",ROUND(Z247-AA247,2))</f>
        <v>0</v>
      </c>
      <c r="AC247" s="26">
        <f>IF(B247="","",IF(IF(F247="",0,F247)=0,"",ROUND(Y247/F247,2)))</f>
        <v>0</v>
      </c>
      <c r="AD247" s="39">
        <f>IF(B247="","",IF(D247="","Add - who is this run for?",IF(IF(F247="",H247="",FALSE),"Add - no hours and no commission",IF(AB247&lt;-0.004,"Check - more commission paid than earned",IF(M247&lt;&gt;"Yes","Due - not paid yet",IF(N247="","Check - marked paid, no date","OK"))))))</f>
        <v>0</v>
      </c>
    </row>
    <row r="248" spans="1:30">
      <c r="A248" s="28">
        <f>IF(B248="","",PayrollPrefix&amp;TEXT(ROW()-4,"0000"))</f>
        <v>0</v>
      </c>
      <c r="E248" s="15">
        <f>IF(D248="","",IFERROR(INDEX(Staff!$B$5:$B$44,MATCH(D248,Staff!$A$5:$A$44,0)),"Not in Staff"))</f>
        <v>0</v>
      </c>
      <c r="Q248" s="15">
        <f>IF(B248="","",TEXT(B248,"yyyy-mm"))</f>
        <v>0</v>
      </c>
      <c r="R248" s="25">
        <f>IF(B248="","",WEEKNUM(B248,2))</f>
        <v>0</v>
      </c>
      <c r="S248" s="26">
        <f>IF(B248="","",IF(G248&lt;&gt;"",G248,IFERROR(IF(INDEX(Staff!$P$5:$P$44,MATCH(D248,Staff!$A$5:$A$44,0))="",DefaultHourly,INDEX(Staff!$P$5:$P$44,MATCH(D248,Staff!$A$5:$A$44,0))),DefaultHourly)))</f>
        <v>0</v>
      </c>
      <c r="T248" s="26">
        <f>IF(B248="","",ROUND(IF(F248="",0,F248)*S248,2))</f>
        <v>0</v>
      </c>
      <c r="U248" s="26">
        <f>IF(B248="","",ROUND(T248+IF(H248="",0,H248)+IF(J248="",0,J248)+IF(K248="",0,K248),2))</f>
        <v>0</v>
      </c>
      <c r="V248" s="26">
        <f>IF(B248="","",ROUND(U248-IF(L248="",0,L248),2))</f>
        <v>0</v>
      </c>
      <c r="W248" s="26">
        <f>IF(B248="","",ROUND(V248+IF(I248="",0,I248),2))</f>
        <v>0</v>
      </c>
      <c r="X248" s="26">
        <f>IF(B248="","",IF(IFERROR(INDEX(Staff!$E$5:$E$44,MATCH(D248,Staff!$A$5:$A$44,0))&amp;"","")="Self-employed",0,IF(IFERROR(INDEX(Staff!$E$5:$E$44,MATCH(D248,Staff!$A$5:$A$44,0))&amp;"","")="Chair renter",0,ROUND(U248*PayrollBurden,2))))</f>
        <v>0</v>
      </c>
      <c r="Y248" s="26">
        <f>IF(B248="","",ROUND(U248+X248,2))</f>
        <v>0</v>
      </c>
      <c r="Z248" s="26">
        <f>IF(B248="","",ROUND(SUMIFS(Commissions!$X$5:$X$244,Commissions!$C$5:$C$244,D248,Commissions!$B$5:$B$244,Q248),2))</f>
        <v>0</v>
      </c>
      <c r="AA248" s="26">
        <f>IF(B248="","",ROUND(SUMIFS($H$5:$H$364,$D$5:$D$364,D248,$Q$5:$Q$364,Q248),2))</f>
        <v>0</v>
      </c>
      <c r="AB248" s="26">
        <f>IF(B248="","",ROUND(Z248-AA248,2))</f>
        <v>0</v>
      </c>
      <c r="AC248" s="26">
        <f>IF(B248="","",IF(IF(F248="",0,F248)=0,"",ROUND(Y248/F248,2)))</f>
        <v>0</v>
      </c>
      <c r="AD248" s="39">
        <f>IF(B248="","",IF(D248="","Add - who is this run for?",IF(IF(F248="",H248="",FALSE),"Add - no hours and no commission",IF(AB248&lt;-0.004,"Check - more commission paid than earned",IF(M248&lt;&gt;"Yes","Due - not paid yet",IF(N248="","Check - marked paid, no date","OK"))))))</f>
        <v>0</v>
      </c>
    </row>
    <row r="249" spans="1:30">
      <c r="A249" s="28">
        <f>IF(B249="","",PayrollPrefix&amp;TEXT(ROW()-4,"0000"))</f>
        <v>0</v>
      </c>
      <c r="E249" s="15">
        <f>IF(D249="","",IFERROR(INDEX(Staff!$B$5:$B$44,MATCH(D249,Staff!$A$5:$A$44,0)),"Not in Staff"))</f>
        <v>0</v>
      </c>
      <c r="Q249" s="15">
        <f>IF(B249="","",TEXT(B249,"yyyy-mm"))</f>
        <v>0</v>
      </c>
      <c r="R249" s="25">
        <f>IF(B249="","",WEEKNUM(B249,2))</f>
        <v>0</v>
      </c>
      <c r="S249" s="26">
        <f>IF(B249="","",IF(G249&lt;&gt;"",G249,IFERROR(IF(INDEX(Staff!$P$5:$P$44,MATCH(D249,Staff!$A$5:$A$44,0))="",DefaultHourly,INDEX(Staff!$P$5:$P$44,MATCH(D249,Staff!$A$5:$A$44,0))),DefaultHourly)))</f>
        <v>0</v>
      </c>
      <c r="T249" s="26">
        <f>IF(B249="","",ROUND(IF(F249="",0,F249)*S249,2))</f>
        <v>0</v>
      </c>
      <c r="U249" s="26">
        <f>IF(B249="","",ROUND(T249+IF(H249="",0,H249)+IF(J249="",0,J249)+IF(K249="",0,K249),2))</f>
        <v>0</v>
      </c>
      <c r="V249" s="26">
        <f>IF(B249="","",ROUND(U249-IF(L249="",0,L249),2))</f>
        <v>0</v>
      </c>
      <c r="W249" s="26">
        <f>IF(B249="","",ROUND(V249+IF(I249="",0,I249),2))</f>
        <v>0</v>
      </c>
      <c r="X249" s="26">
        <f>IF(B249="","",IF(IFERROR(INDEX(Staff!$E$5:$E$44,MATCH(D249,Staff!$A$5:$A$44,0))&amp;"","")="Self-employed",0,IF(IFERROR(INDEX(Staff!$E$5:$E$44,MATCH(D249,Staff!$A$5:$A$44,0))&amp;"","")="Chair renter",0,ROUND(U249*PayrollBurden,2))))</f>
        <v>0</v>
      </c>
      <c r="Y249" s="26">
        <f>IF(B249="","",ROUND(U249+X249,2))</f>
        <v>0</v>
      </c>
      <c r="Z249" s="26">
        <f>IF(B249="","",ROUND(SUMIFS(Commissions!$X$5:$X$244,Commissions!$C$5:$C$244,D249,Commissions!$B$5:$B$244,Q249),2))</f>
        <v>0</v>
      </c>
      <c r="AA249" s="26">
        <f>IF(B249="","",ROUND(SUMIFS($H$5:$H$364,$D$5:$D$364,D249,$Q$5:$Q$364,Q249),2))</f>
        <v>0</v>
      </c>
      <c r="AB249" s="26">
        <f>IF(B249="","",ROUND(Z249-AA249,2))</f>
        <v>0</v>
      </c>
      <c r="AC249" s="26">
        <f>IF(B249="","",IF(IF(F249="",0,F249)=0,"",ROUND(Y249/F249,2)))</f>
        <v>0</v>
      </c>
      <c r="AD249" s="39">
        <f>IF(B249="","",IF(D249="","Add - who is this run for?",IF(IF(F249="",H249="",FALSE),"Add - no hours and no commission",IF(AB249&lt;-0.004,"Check - more commission paid than earned",IF(M249&lt;&gt;"Yes","Due - not paid yet",IF(N249="","Check - marked paid, no date","OK"))))))</f>
        <v>0</v>
      </c>
    </row>
    <row r="250" spans="1:30">
      <c r="A250" s="28">
        <f>IF(B250="","",PayrollPrefix&amp;TEXT(ROW()-4,"0000"))</f>
        <v>0</v>
      </c>
      <c r="E250" s="15">
        <f>IF(D250="","",IFERROR(INDEX(Staff!$B$5:$B$44,MATCH(D250,Staff!$A$5:$A$44,0)),"Not in Staff"))</f>
        <v>0</v>
      </c>
      <c r="Q250" s="15">
        <f>IF(B250="","",TEXT(B250,"yyyy-mm"))</f>
        <v>0</v>
      </c>
      <c r="R250" s="25">
        <f>IF(B250="","",WEEKNUM(B250,2))</f>
        <v>0</v>
      </c>
      <c r="S250" s="26">
        <f>IF(B250="","",IF(G250&lt;&gt;"",G250,IFERROR(IF(INDEX(Staff!$P$5:$P$44,MATCH(D250,Staff!$A$5:$A$44,0))="",DefaultHourly,INDEX(Staff!$P$5:$P$44,MATCH(D250,Staff!$A$5:$A$44,0))),DefaultHourly)))</f>
        <v>0</v>
      </c>
      <c r="T250" s="26">
        <f>IF(B250="","",ROUND(IF(F250="",0,F250)*S250,2))</f>
        <v>0</v>
      </c>
      <c r="U250" s="26">
        <f>IF(B250="","",ROUND(T250+IF(H250="",0,H250)+IF(J250="",0,J250)+IF(K250="",0,K250),2))</f>
        <v>0</v>
      </c>
      <c r="V250" s="26">
        <f>IF(B250="","",ROUND(U250-IF(L250="",0,L250),2))</f>
        <v>0</v>
      </c>
      <c r="W250" s="26">
        <f>IF(B250="","",ROUND(V250+IF(I250="",0,I250),2))</f>
        <v>0</v>
      </c>
      <c r="X250" s="26">
        <f>IF(B250="","",IF(IFERROR(INDEX(Staff!$E$5:$E$44,MATCH(D250,Staff!$A$5:$A$44,0))&amp;"","")="Self-employed",0,IF(IFERROR(INDEX(Staff!$E$5:$E$44,MATCH(D250,Staff!$A$5:$A$44,0))&amp;"","")="Chair renter",0,ROUND(U250*PayrollBurden,2))))</f>
        <v>0</v>
      </c>
      <c r="Y250" s="26">
        <f>IF(B250="","",ROUND(U250+X250,2))</f>
        <v>0</v>
      </c>
      <c r="Z250" s="26">
        <f>IF(B250="","",ROUND(SUMIFS(Commissions!$X$5:$X$244,Commissions!$C$5:$C$244,D250,Commissions!$B$5:$B$244,Q250),2))</f>
        <v>0</v>
      </c>
      <c r="AA250" s="26">
        <f>IF(B250="","",ROUND(SUMIFS($H$5:$H$364,$D$5:$D$364,D250,$Q$5:$Q$364,Q250),2))</f>
        <v>0</v>
      </c>
      <c r="AB250" s="26">
        <f>IF(B250="","",ROUND(Z250-AA250,2))</f>
        <v>0</v>
      </c>
      <c r="AC250" s="26">
        <f>IF(B250="","",IF(IF(F250="",0,F250)=0,"",ROUND(Y250/F250,2)))</f>
        <v>0</v>
      </c>
      <c r="AD250" s="39">
        <f>IF(B250="","",IF(D250="","Add - who is this run for?",IF(IF(F250="",H250="",FALSE),"Add - no hours and no commission",IF(AB250&lt;-0.004,"Check - more commission paid than earned",IF(M250&lt;&gt;"Yes","Due - not paid yet",IF(N250="","Check - marked paid, no date","OK"))))))</f>
        <v>0</v>
      </c>
    </row>
    <row r="251" spans="1:30">
      <c r="A251" s="28">
        <f>IF(B251="","",PayrollPrefix&amp;TEXT(ROW()-4,"0000"))</f>
        <v>0</v>
      </c>
      <c r="E251" s="15">
        <f>IF(D251="","",IFERROR(INDEX(Staff!$B$5:$B$44,MATCH(D251,Staff!$A$5:$A$44,0)),"Not in Staff"))</f>
        <v>0</v>
      </c>
      <c r="Q251" s="15">
        <f>IF(B251="","",TEXT(B251,"yyyy-mm"))</f>
        <v>0</v>
      </c>
      <c r="R251" s="25">
        <f>IF(B251="","",WEEKNUM(B251,2))</f>
        <v>0</v>
      </c>
      <c r="S251" s="26">
        <f>IF(B251="","",IF(G251&lt;&gt;"",G251,IFERROR(IF(INDEX(Staff!$P$5:$P$44,MATCH(D251,Staff!$A$5:$A$44,0))="",DefaultHourly,INDEX(Staff!$P$5:$P$44,MATCH(D251,Staff!$A$5:$A$44,0))),DefaultHourly)))</f>
        <v>0</v>
      </c>
      <c r="T251" s="26">
        <f>IF(B251="","",ROUND(IF(F251="",0,F251)*S251,2))</f>
        <v>0</v>
      </c>
      <c r="U251" s="26">
        <f>IF(B251="","",ROUND(T251+IF(H251="",0,H251)+IF(J251="",0,J251)+IF(K251="",0,K251),2))</f>
        <v>0</v>
      </c>
      <c r="V251" s="26">
        <f>IF(B251="","",ROUND(U251-IF(L251="",0,L251),2))</f>
        <v>0</v>
      </c>
      <c r="W251" s="26">
        <f>IF(B251="","",ROUND(V251+IF(I251="",0,I251),2))</f>
        <v>0</v>
      </c>
      <c r="X251" s="26">
        <f>IF(B251="","",IF(IFERROR(INDEX(Staff!$E$5:$E$44,MATCH(D251,Staff!$A$5:$A$44,0))&amp;"","")="Self-employed",0,IF(IFERROR(INDEX(Staff!$E$5:$E$44,MATCH(D251,Staff!$A$5:$A$44,0))&amp;"","")="Chair renter",0,ROUND(U251*PayrollBurden,2))))</f>
        <v>0</v>
      </c>
      <c r="Y251" s="26">
        <f>IF(B251="","",ROUND(U251+X251,2))</f>
        <v>0</v>
      </c>
      <c r="Z251" s="26">
        <f>IF(B251="","",ROUND(SUMIFS(Commissions!$X$5:$X$244,Commissions!$C$5:$C$244,D251,Commissions!$B$5:$B$244,Q251),2))</f>
        <v>0</v>
      </c>
      <c r="AA251" s="26">
        <f>IF(B251="","",ROUND(SUMIFS($H$5:$H$364,$D$5:$D$364,D251,$Q$5:$Q$364,Q251),2))</f>
        <v>0</v>
      </c>
      <c r="AB251" s="26">
        <f>IF(B251="","",ROUND(Z251-AA251,2))</f>
        <v>0</v>
      </c>
      <c r="AC251" s="26">
        <f>IF(B251="","",IF(IF(F251="",0,F251)=0,"",ROUND(Y251/F251,2)))</f>
        <v>0</v>
      </c>
      <c r="AD251" s="39">
        <f>IF(B251="","",IF(D251="","Add - who is this run for?",IF(IF(F251="",H251="",FALSE),"Add - no hours and no commission",IF(AB251&lt;-0.004,"Check - more commission paid than earned",IF(M251&lt;&gt;"Yes","Due - not paid yet",IF(N251="","Check - marked paid, no date","OK"))))))</f>
        <v>0</v>
      </c>
    </row>
    <row r="252" spans="1:30">
      <c r="A252" s="28">
        <f>IF(B252="","",PayrollPrefix&amp;TEXT(ROW()-4,"0000"))</f>
        <v>0</v>
      </c>
      <c r="E252" s="15">
        <f>IF(D252="","",IFERROR(INDEX(Staff!$B$5:$B$44,MATCH(D252,Staff!$A$5:$A$44,0)),"Not in Staff"))</f>
        <v>0</v>
      </c>
      <c r="Q252" s="15">
        <f>IF(B252="","",TEXT(B252,"yyyy-mm"))</f>
        <v>0</v>
      </c>
      <c r="R252" s="25">
        <f>IF(B252="","",WEEKNUM(B252,2))</f>
        <v>0</v>
      </c>
      <c r="S252" s="26">
        <f>IF(B252="","",IF(G252&lt;&gt;"",G252,IFERROR(IF(INDEX(Staff!$P$5:$P$44,MATCH(D252,Staff!$A$5:$A$44,0))="",DefaultHourly,INDEX(Staff!$P$5:$P$44,MATCH(D252,Staff!$A$5:$A$44,0))),DefaultHourly)))</f>
        <v>0</v>
      </c>
      <c r="T252" s="26">
        <f>IF(B252="","",ROUND(IF(F252="",0,F252)*S252,2))</f>
        <v>0</v>
      </c>
      <c r="U252" s="26">
        <f>IF(B252="","",ROUND(T252+IF(H252="",0,H252)+IF(J252="",0,J252)+IF(K252="",0,K252),2))</f>
        <v>0</v>
      </c>
      <c r="V252" s="26">
        <f>IF(B252="","",ROUND(U252-IF(L252="",0,L252),2))</f>
        <v>0</v>
      </c>
      <c r="W252" s="26">
        <f>IF(B252="","",ROUND(V252+IF(I252="",0,I252),2))</f>
        <v>0</v>
      </c>
      <c r="X252" s="26">
        <f>IF(B252="","",IF(IFERROR(INDEX(Staff!$E$5:$E$44,MATCH(D252,Staff!$A$5:$A$44,0))&amp;"","")="Self-employed",0,IF(IFERROR(INDEX(Staff!$E$5:$E$44,MATCH(D252,Staff!$A$5:$A$44,0))&amp;"","")="Chair renter",0,ROUND(U252*PayrollBurden,2))))</f>
        <v>0</v>
      </c>
      <c r="Y252" s="26">
        <f>IF(B252="","",ROUND(U252+X252,2))</f>
        <v>0</v>
      </c>
      <c r="Z252" s="26">
        <f>IF(B252="","",ROUND(SUMIFS(Commissions!$X$5:$X$244,Commissions!$C$5:$C$244,D252,Commissions!$B$5:$B$244,Q252),2))</f>
        <v>0</v>
      </c>
      <c r="AA252" s="26">
        <f>IF(B252="","",ROUND(SUMIFS($H$5:$H$364,$D$5:$D$364,D252,$Q$5:$Q$364,Q252),2))</f>
        <v>0</v>
      </c>
      <c r="AB252" s="26">
        <f>IF(B252="","",ROUND(Z252-AA252,2))</f>
        <v>0</v>
      </c>
      <c r="AC252" s="26">
        <f>IF(B252="","",IF(IF(F252="",0,F252)=0,"",ROUND(Y252/F252,2)))</f>
        <v>0</v>
      </c>
      <c r="AD252" s="39">
        <f>IF(B252="","",IF(D252="","Add - who is this run for?",IF(IF(F252="",H252="",FALSE),"Add - no hours and no commission",IF(AB252&lt;-0.004,"Check - more commission paid than earned",IF(M252&lt;&gt;"Yes","Due - not paid yet",IF(N252="","Check - marked paid, no date","OK"))))))</f>
        <v>0</v>
      </c>
    </row>
    <row r="253" spans="1:30">
      <c r="A253" s="28">
        <f>IF(B253="","",PayrollPrefix&amp;TEXT(ROW()-4,"0000"))</f>
        <v>0</v>
      </c>
      <c r="E253" s="15">
        <f>IF(D253="","",IFERROR(INDEX(Staff!$B$5:$B$44,MATCH(D253,Staff!$A$5:$A$44,0)),"Not in Staff"))</f>
        <v>0</v>
      </c>
      <c r="Q253" s="15">
        <f>IF(B253="","",TEXT(B253,"yyyy-mm"))</f>
        <v>0</v>
      </c>
      <c r="R253" s="25">
        <f>IF(B253="","",WEEKNUM(B253,2))</f>
        <v>0</v>
      </c>
      <c r="S253" s="26">
        <f>IF(B253="","",IF(G253&lt;&gt;"",G253,IFERROR(IF(INDEX(Staff!$P$5:$P$44,MATCH(D253,Staff!$A$5:$A$44,0))="",DefaultHourly,INDEX(Staff!$P$5:$P$44,MATCH(D253,Staff!$A$5:$A$44,0))),DefaultHourly)))</f>
        <v>0</v>
      </c>
      <c r="T253" s="26">
        <f>IF(B253="","",ROUND(IF(F253="",0,F253)*S253,2))</f>
        <v>0</v>
      </c>
      <c r="U253" s="26">
        <f>IF(B253="","",ROUND(T253+IF(H253="",0,H253)+IF(J253="",0,J253)+IF(K253="",0,K253),2))</f>
        <v>0</v>
      </c>
      <c r="V253" s="26">
        <f>IF(B253="","",ROUND(U253-IF(L253="",0,L253),2))</f>
        <v>0</v>
      </c>
      <c r="W253" s="26">
        <f>IF(B253="","",ROUND(V253+IF(I253="",0,I253),2))</f>
        <v>0</v>
      </c>
      <c r="X253" s="26">
        <f>IF(B253="","",IF(IFERROR(INDEX(Staff!$E$5:$E$44,MATCH(D253,Staff!$A$5:$A$44,0))&amp;"","")="Self-employed",0,IF(IFERROR(INDEX(Staff!$E$5:$E$44,MATCH(D253,Staff!$A$5:$A$44,0))&amp;"","")="Chair renter",0,ROUND(U253*PayrollBurden,2))))</f>
        <v>0</v>
      </c>
      <c r="Y253" s="26">
        <f>IF(B253="","",ROUND(U253+X253,2))</f>
        <v>0</v>
      </c>
      <c r="Z253" s="26">
        <f>IF(B253="","",ROUND(SUMIFS(Commissions!$X$5:$X$244,Commissions!$C$5:$C$244,D253,Commissions!$B$5:$B$244,Q253),2))</f>
        <v>0</v>
      </c>
      <c r="AA253" s="26">
        <f>IF(B253="","",ROUND(SUMIFS($H$5:$H$364,$D$5:$D$364,D253,$Q$5:$Q$364,Q253),2))</f>
        <v>0</v>
      </c>
      <c r="AB253" s="26">
        <f>IF(B253="","",ROUND(Z253-AA253,2))</f>
        <v>0</v>
      </c>
      <c r="AC253" s="26">
        <f>IF(B253="","",IF(IF(F253="",0,F253)=0,"",ROUND(Y253/F253,2)))</f>
        <v>0</v>
      </c>
      <c r="AD253" s="39">
        <f>IF(B253="","",IF(D253="","Add - who is this run for?",IF(IF(F253="",H253="",FALSE),"Add - no hours and no commission",IF(AB253&lt;-0.004,"Check - more commission paid than earned",IF(M253&lt;&gt;"Yes","Due - not paid yet",IF(N253="","Check - marked paid, no date","OK"))))))</f>
        <v>0</v>
      </c>
    </row>
    <row r="254" spans="1:30">
      <c r="A254" s="28">
        <f>IF(B254="","",PayrollPrefix&amp;TEXT(ROW()-4,"0000"))</f>
        <v>0</v>
      </c>
      <c r="E254" s="15">
        <f>IF(D254="","",IFERROR(INDEX(Staff!$B$5:$B$44,MATCH(D254,Staff!$A$5:$A$44,0)),"Not in Staff"))</f>
        <v>0</v>
      </c>
      <c r="Q254" s="15">
        <f>IF(B254="","",TEXT(B254,"yyyy-mm"))</f>
        <v>0</v>
      </c>
      <c r="R254" s="25">
        <f>IF(B254="","",WEEKNUM(B254,2))</f>
        <v>0</v>
      </c>
      <c r="S254" s="26">
        <f>IF(B254="","",IF(G254&lt;&gt;"",G254,IFERROR(IF(INDEX(Staff!$P$5:$P$44,MATCH(D254,Staff!$A$5:$A$44,0))="",DefaultHourly,INDEX(Staff!$P$5:$P$44,MATCH(D254,Staff!$A$5:$A$44,0))),DefaultHourly)))</f>
        <v>0</v>
      </c>
      <c r="T254" s="26">
        <f>IF(B254="","",ROUND(IF(F254="",0,F254)*S254,2))</f>
        <v>0</v>
      </c>
      <c r="U254" s="26">
        <f>IF(B254="","",ROUND(T254+IF(H254="",0,H254)+IF(J254="",0,J254)+IF(K254="",0,K254),2))</f>
        <v>0</v>
      </c>
      <c r="V254" s="26">
        <f>IF(B254="","",ROUND(U254-IF(L254="",0,L254),2))</f>
        <v>0</v>
      </c>
      <c r="W254" s="26">
        <f>IF(B254="","",ROUND(V254+IF(I254="",0,I254),2))</f>
        <v>0</v>
      </c>
      <c r="X254" s="26">
        <f>IF(B254="","",IF(IFERROR(INDEX(Staff!$E$5:$E$44,MATCH(D254,Staff!$A$5:$A$44,0))&amp;"","")="Self-employed",0,IF(IFERROR(INDEX(Staff!$E$5:$E$44,MATCH(D254,Staff!$A$5:$A$44,0))&amp;"","")="Chair renter",0,ROUND(U254*PayrollBurden,2))))</f>
        <v>0</v>
      </c>
      <c r="Y254" s="26">
        <f>IF(B254="","",ROUND(U254+X254,2))</f>
        <v>0</v>
      </c>
      <c r="Z254" s="26">
        <f>IF(B254="","",ROUND(SUMIFS(Commissions!$X$5:$X$244,Commissions!$C$5:$C$244,D254,Commissions!$B$5:$B$244,Q254),2))</f>
        <v>0</v>
      </c>
      <c r="AA254" s="26">
        <f>IF(B254="","",ROUND(SUMIFS($H$5:$H$364,$D$5:$D$364,D254,$Q$5:$Q$364,Q254),2))</f>
        <v>0</v>
      </c>
      <c r="AB254" s="26">
        <f>IF(B254="","",ROUND(Z254-AA254,2))</f>
        <v>0</v>
      </c>
      <c r="AC254" s="26">
        <f>IF(B254="","",IF(IF(F254="",0,F254)=0,"",ROUND(Y254/F254,2)))</f>
        <v>0</v>
      </c>
      <c r="AD254" s="39">
        <f>IF(B254="","",IF(D254="","Add - who is this run for?",IF(IF(F254="",H254="",FALSE),"Add - no hours and no commission",IF(AB254&lt;-0.004,"Check - more commission paid than earned",IF(M254&lt;&gt;"Yes","Due - not paid yet",IF(N254="","Check - marked paid, no date","OK"))))))</f>
        <v>0</v>
      </c>
    </row>
    <row r="255" spans="1:30">
      <c r="A255" s="28">
        <f>IF(B255="","",PayrollPrefix&amp;TEXT(ROW()-4,"0000"))</f>
        <v>0</v>
      </c>
      <c r="E255" s="15">
        <f>IF(D255="","",IFERROR(INDEX(Staff!$B$5:$B$44,MATCH(D255,Staff!$A$5:$A$44,0)),"Not in Staff"))</f>
        <v>0</v>
      </c>
      <c r="Q255" s="15">
        <f>IF(B255="","",TEXT(B255,"yyyy-mm"))</f>
        <v>0</v>
      </c>
      <c r="R255" s="25">
        <f>IF(B255="","",WEEKNUM(B255,2))</f>
        <v>0</v>
      </c>
      <c r="S255" s="26">
        <f>IF(B255="","",IF(G255&lt;&gt;"",G255,IFERROR(IF(INDEX(Staff!$P$5:$P$44,MATCH(D255,Staff!$A$5:$A$44,0))="",DefaultHourly,INDEX(Staff!$P$5:$P$44,MATCH(D255,Staff!$A$5:$A$44,0))),DefaultHourly)))</f>
        <v>0</v>
      </c>
      <c r="T255" s="26">
        <f>IF(B255="","",ROUND(IF(F255="",0,F255)*S255,2))</f>
        <v>0</v>
      </c>
      <c r="U255" s="26">
        <f>IF(B255="","",ROUND(T255+IF(H255="",0,H255)+IF(J255="",0,J255)+IF(K255="",0,K255),2))</f>
        <v>0</v>
      </c>
      <c r="V255" s="26">
        <f>IF(B255="","",ROUND(U255-IF(L255="",0,L255),2))</f>
        <v>0</v>
      </c>
      <c r="W255" s="26">
        <f>IF(B255="","",ROUND(V255+IF(I255="",0,I255),2))</f>
        <v>0</v>
      </c>
      <c r="X255" s="26">
        <f>IF(B255="","",IF(IFERROR(INDEX(Staff!$E$5:$E$44,MATCH(D255,Staff!$A$5:$A$44,0))&amp;"","")="Self-employed",0,IF(IFERROR(INDEX(Staff!$E$5:$E$44,MATCH(D255,Staff!$A$5:$A$44,0))&amp;"","")="Chair renter",0,ROUND(U255*PayrollBurden,2))))</f>
        <v>0</v>
      </c>
      <c r="Y255" s="26">
        <f>IF(B255="","",ROUND(U255+X255,2))</f>
        <v>0</v>
      </c>
      <c r="Z255" s="26">
        <f>IF(B255="","",ROUND(SUMIFS(Commissions!$X$5:$X$244,Commissions!$C$5:$C$244,D255,Commissions!$B$5:$B$244,Q255),2))</f>
        <v>0</v>
      </c>
      <c r="AA255" s="26">
        <f>IF(B255="","",ROUND(SUMIFS($H$5:$H$364,$D$5:$D$364,D255,$Q$5:$Q$364,Q255),2))</f>
        <v>0</v>
      </c>
      <c r="AB255" s="26">
        <f>IF(B255="","",ROUND(Z255-AA255,2))</f>
        <v>0</v>
      </c>
      <c r="AC255" s="26">
        <f>IF(B255="","",IF(IF(F255="",0,F255)=0,"",ROUND(Y255/F255,2)))</f>
        <v>0</v>
      </c>
      <c r="AD255" s="39">
        <f>IF(B255="","",IF(D255="","Add - who is this run for?",IF(IF(F255="",H255="",FALSE),"Add - no hours and no commission",IF(AB255&lt;-0.004,"Check - more commission paid than earned",IF(M255&lt;&gt;"Yes","Due - not paid yet",IF(N255="","Check - marked paid, no date","OK"))))))</f>
        <v>0</v>
      </c>
    </row>
    <row r="256" spans="1:30">
      <c r="A256" s="28">
        <f>IF(B256="","",PayrollPrefix&amp;TEXT(ROW()-4,"0000"))</f>
        <v>0</v>
      </c>
      <c r="E256" s="15">
        <f>IF(D256="","",IFERROR(INDEX(Staff!$B$5:$B$44,MATCH(D256,Staff!$A$5:$A$44,0)),"Not in Staff"))</f>
        <v>0</v>
      </c>
      <c r="Q256" s="15">
        <f>IF(B256="","",TEXT(B256,"yyyy-mm"))</f>
        <v>0</v>
      </c>
      <c r="R256" s="25">
        <f>IF(B256="","",WEEKNUM(B256,2))</f>
        <v>0</v>
      </c>
      <c r="S256" s="26">
        <f>IF(B256="","",IF(G256&lt;&gt;"",G256,IFERROR(IF(INDEX(Staff!$P$5:$P$44,MATCH(D256,Staff!$A$5:$A$44,0))="",DefaultHourly,INDEX(Staff!$P$5:$P$44,MATCH(D256,Staff!$A$5:$A$44,0))),DefaultHourly)))</f>
        <v>0</v>
      </c>
      <c r="T256" s="26">
        <f>IF(B256="","",ROUND(IF(F256="",0,F256)*S256,2))</f>
        <v>0</v>
      </c>
      <c r="U256" s="26">
        <f>IF(B256="","",ROUND(T256+IF(H256="",0,H256)+IF(J256="",0,J256)+IF(K256="",0,K256),2))</f>
        <v>0</v>
      </c>
      <c r="V256" s="26">
        <f>IF(B256="","",ROUND(U256-IF(L256="",0,L256),2))</f>
        <v>0</v>
      </c>
      <c r="W256" s="26">
        <f>IF(B256="","",ROUND(V256+IF(I256="",0,I256),2))</f>
        <v>0</v>
      </c>
      <c r="X256" s="26">
        <f>IF(B256="","",IF(IFERROR(INDEX(Staff!$E$5:$E$44,MATCH(D256,Staff!$A$5:$A$44,0))&amp;"","")="Self-employed",0,IF(IFERROR(INDEX(Staff!$E$5:$E$44,MATCH(D256,Staff!$A$5:$A$44,0))&amp;"","")="Chair renter",0,ROUND(U256*PayrollBurden,2))))</f>
        <v>0</v>
      </c>
      <c r="Y256" s="26">
        <f>IF(B256="","",ROUND(U256+X256,2))</f>
        <v>0</v>
      </c>
      <c r="Z256" s="26">
        <f>IF(B256="","",ROUND(SUMIFS(Commissions!$X$5:$X$244,Commissions!$C$5:$C$244,D256,Commissions!$B$5:$B$244,Q256),2))</f>
        <v>0</v>
      </c>
      <c r="AA256" s="26">
        <f>IF(B256="","",ROUND(SUMIFS($H$5:$H$364,$D$5:$D$364,D256,$Q$5:$Q$364,Q256),2))</f>
        <v>0</v>
      </c>
      <c r="AB256" s="26">
        <f>IF(B256="","",ROUND(Z256-AA256,2))</f>
        <v>0</v>
      </c>
      <c r="AC256" s="26">
        <f>IF(B256="","",IF(IF(F256="",0,F256)=0,"",ROUND(Y256/F256,2)))</f>
        <v>0</v>
      </c>
      <c r="AD256" s="39">
        <f>IF(B256="","",IF(D256="","Add - who is this run for?",IF(IF(F256="",H256="",FALSE),"Add - no hours and no commission",IF(AB256&lt;-0.004,"Check - more commission paid than earned",IF(M256&lt;&gt;"Yes","Due - not paid yet",IF(N256="","Check - marked paid, no date","OK"))))))</f>
        <v>0</v>
      </c>
    </row>
    <row r="257" spans="1:30">
      <c r="A257" s="28">
        <f>IF(B257="","",PayrollPrefix&amp;TEXT(ROW()-4,"0000"))</f>
        <v>0</v>
      </c>
      <c r="E257" s="15">
        <f>IF(D257="","",IFERROR(INDEX(Staff!$B$5:$B$44,MATCH(D257,Staff!$A$5:$A$44,0)),"Not in Staff"))</f>
        <v>0</v>
      </c>
      <c r="Q257" s="15">
        <f>IF(B257="","",TEXT(B257,"yyyy-mm"))</f>
        <v>0</v>
      </c>
      <c r="R257" s="25">
        <f>IF(B257="","",WEEKNUM(B257,2))</f>
        <v>0</v>
      </c>
      <c r="S257" s="26">
        <f>IF(B257="","",IF(G257&lt;&gt;"",G257,IFERROR(IF(INDEX(Staff!$P$5:$P$44,MATCH(D257,Staff!$A$5:$A$44,0))="",DefaultHourly,INDEX(Staff!$P$5:$P$44,MATCH(D257,Staff!$A$5:$A$44,0))),DefaultHourly)))</f>
        <v>0</v>
      </c>
      <c r="T257" s="26">
        <f>IF(B257="","",ROUND(IF(F257="",0,F257)*S257,2))</f>
        <v>0</v>
      </c>
      <c r="U257" s="26">
        <f>IF(B257="","",ROUND(T257+IF(H257="",0,H257)+IF(J257="",0,J257)+IF(K257="",0,K257),2))</f>
        <v>0</v>
      </c>
      <c r="V257" s="26">
        <f>IF(B257="","",ROUND(U257-IF(L257="",0,L257),2))</f>
        <v>0</v>
      </c>
      <c r="W257" s="26">
        <f>IF(B257="","",ROUND(V257+IF(I257="",0,I257),2))</f>
        <v>0</v>
      </c>
      <c r="X257" s="26">
        <f>IF(B257="","",IF(IFERROR(INDEX(Staff!$E$5:$E$44,MATCH(D257,Staff!$A$5:$A$44,0))&amp;"","")="Self-employed",0,IF(IFERROR(INDEX(Staff!$E$5:$E$44,MATCH(D257,Staff!$A$5:$A$44,0))&amp;"","")="Chair renter",0,ROUND(U257*PayrollBurden,2))))</f>
        <v>0</v>
      </c>
      <c r="Y257" s="26">
        <f>IF(B257="","",ROUND(U257+X257,2))</f>
        <v>0</v>
      </c>
      <c r="Z257" s="26">
        <f>IF(B257="","",ROUND(SUMIFS(Commissions!$X$5:$X$244,Commissions!$C$5:$C$244,D257,Commissions!$B$5:$B$244,Q257),2))</f>
        <v>0</v>
      </c>
      <c r="AA257" s="26">
        <f>IF(B257="","",ROUND(SUMIFS($H$5:$H$364,$D$5:$D$364,D257,$Q$5:$Q$364,Q257),2))</f>
        <v>0</v>
      </c>
      <c r="AB257" s="26">
        <f>IF(B257="","",ROUND(Z257-AA257,2))</f>
        <v>0</v>
      </c>
      <c r="AC257" s="26">
        <f>IF(B257="","",IF(IF(F257="",0,F257)=0,"",ROUND(Y257/F257,2)))</f>
        <v>0</v>
      </c>
      <c r="AD257" s="39">
        <f>IF(B257="","",IF(D257="","Add - who is this run for?",IF(IF(F257="",H257="",FALSE),"Add - no hours and no commission",IF(AB257&lt;-0.004,"Check - more commission paid than earned",IF(M257&lt;&gt;"Yes","Due - not paid yet",IF(N257="","Check - marked paid, no date","OK"))))))</f>
        <v>0</v>
      </c>
    </row>
    <row r="258" spans="1:30">
      <c r="A258" s="28">
        <f>IF(B258="","",PayrollPrefix&amp;TEXT(ROW()-4,"0000"))</f>
        <v>0</v>
      </c>
      <c r="E258" s="15">
        <f>IF(D258="","",IFERROR(INDEX(Staff!$B$5:$B$44,MATCH(D258,Staff!$A$5:$A$44,0)),"Not in Staff"))</f>
        <v>0</v>
      </c>
      <c r="Q258" s="15">
        <f>IF(B258="","",TEXT(B258,"yyyy-mm"))</f>
        <v>0</v>
      </c>
      <c r="R258" s="25">
        <f>IF(B258="","",WEEKNUM(B258,2))</f>
        <v>0</v>
      </c>
      <c r="S258" s="26">
        <f>IF(B258="","",IF(G258&lt;&gt;"",G258,IFERROR(IF(INDEX(Staff!$P$5:$P$44,MATCH(D258,Staff!$A$5:$A$44,0))="",DefaultHourly,INDEX(Staff!$P$5:$P$44,MATCH(D258,Staff!$A$5:$A$44,0))),DefaultHourly)))</f>
        <v>0</v>
      </c>
      <c r="T258" s="26">
        <f>IF(B258="","",ROUND(IF(F258="",0,F258)*S258,2))</f>
        <v>0</v>
      </c>
      <c r="U258" s="26">
        <f>IF(B258="","",ROUND(T258+IF(H258="",0,H258)+IF(J258="",0,J258)+IF(K258="",0,K258),2))</f>
        <v>0</v>
      </c>
      <c r="V258" s="26">
        <f>IF(B258="","",ROUND(U258-IF(L258="",0,L258),2))</f>
        <v>0</v>
      </c>
      <c r="W258" s="26">
        <f>IF(B258="","",ROUND(V258+IF(I258="",0,I258),2))</f>
        <v>0</v>
      </c>
      <c r="X258" s="26">
        <f>IF(B258="","",IF(IFERROR(INDEX(Staff!$E$5:$E$44,MATCH(D258,Staff!$A$5:$A$44,0))&amp;"","")="Self-employed",0,IF(IFERROR(INDEX(Staff!$E$5:$E$44,MATCH(D258,Staff!$A$5:$A$44,0))&amp;"","")="Chair renter",0,ROUND(U258*PayrollBurden,2))))</f>
        <v>0</v>
      </c>
      <c r="Y258" s="26">
        <f>IF(B258="","",ROUND(U258+X258,2))</f>
        <v>0</v>
      </c>
      <c r="Z258" s="26">
        <f>IF(B258="","",ROUND(SUMIFS(Commissions!$X$5:$X$244,Commissions!$C$5:$C$244,D258,Commissions!$B$5:$B$244,Q258),2))</f>
        <v>0</v>
      </c>
      <c r="AA258" s="26">
        <f>IF(B258="","",ROUND(SUMIFS($H$5:$H$364,$D$5:$D$364,D258,$Q$5:$Q$364,Q258),2))</f>
        <v>0</v>
      </c>
      <c r="AB258" s="26">
        <f>IF(B258="","",ROUND(Z258-AA258,2))</f>
        <v>0</v>
      </c>
      <c r="AC258" s="26">
        <f>IF(B258="","",IF(IF(F258="",0,F258)=0,"",ROUND(Y258/F258,2)))</f>
        <v>0</v>
      </c>
      <c r="AD258" s="39">
        <f>IF(B258="","",IF(D258="","Add - who is this run for?",IF(IF(F258="",H258="",FALSE),"Add - no hours and no commission",IF(AB258&lt;-0.004,"Check - more commission paid than earned",IF(M258&lt;&gt;"Yes","Due - not paid yet",IF(N258="","Check - marked paid, no date","OK"))))))</f>
        <v>0</v>
      </c>
    </row>
    <row r="259" spans="1:30">
      <c r="A259" s="28">
        <f>IF(B259="","",PayrollPrefix&amp;TEXT(ROW()-4,"0000"))</f>
        <v>0</v>
      </c>
      <c r="E259" s="15">
        <f>IF(D259="","",IFERROR(INDEX(Staff!$B$5:$B$44,MATCH(D259,Staff!$A$5:$A$44,0)),"Not in Staff"))</f>
        <v>0</v>
      </c>
      <c r="Q259" s="15">
        <f>IF(B259="","",TEXT(B259,"yyyy-mm"))</f>
        <v>0</v>
      </c>
      <c r="R259" s="25">
        <f>IF(B259="","",WEEKNUM(B259,2))</f>
        <v>0</v>
      </c>
      <c r="S259" s="26">
        <f>IF(B259="","",IF(G259&lt;&gt;"",G259,IFERROR(IF(INDEX(Staff!$P$5:$P$44,MATCH(D259,Staff!$A$5:$A$44,0))="",DefaultHourly,INDEX(Staff!$P$5:$P$44,MATCH(D259,Staff!$A$5:$A$44,0))),DefaultHourly)))</f>
        <v>0</v>
      </c>
      <c r="T259" s="26">
        <f>IF(B259="","",ROUND(IF(F259="",0,F259)*S259,2))</f>
        <v>0</v>
      </c>
      <c r="U259" s="26">
        <f>IF(B259="","",ROUND(T259+IF(H259="",0,H259)+IF(J259="",0,J259)+IF(K259="",0,K259),2))</f>
        <v>0</v>
      </c>
      <c r="V259" s="26">
        <f>IF(B259="","",ROUND(U259-IF(L259="",0,L259),2))</f>
        <v>0</v>
      </c>
      <c r="W259" s="26">
        <f>IF(B259="","",ROUND(V259+IF(I259="",0,I259),2))</f>
        <v>0</v>
      </c>
      <c r="X259" s="26">
        <f>IF(B259="","",IF(IFERROR(INDEX(Staff!$E$5:$E$44,MATCH(D259,Staff!$A$5:$A$44,0))&amp;"","")="Self-employed",0,IF(IFERROR(INDEX(Staff!$E$5:$E$44,MATCH(D259,Staff!$A$5:$A$44,0))&amp;"","")="Chair renter",0,ROUND(U259*PayrollBurden,2))))</f>
        <v>0</v>
      </c>
      <c r="Y259" s="26">
        <f>IF(B259="","",ROUND(U259+X259,2))</f>
        <v>0</v>
      </c>
      <c r="Z259" s="26">
        <f>IF(B259="","",ROUND(SUMIFS(Commissions!$X$5:$X$244,Commissions!$C$5:$C$244,D259,Commissions!$B$5:$B$244,Q259),2))</f>
        <v>0</v>
      </c>
      <c r="AA259" s="26">
        <f>IF(B259="","",ROUND(SUMIFS($H$5:$H$364,$D$5:$D$364,D259,$Q$5:$Q$364,Q259),2))</f>
        <v>0</v>
      </c>
      <c r="AB259" s="26">
        <f>IF(B259="","",ROUND(Z259-AA259,2))</f>
        <v>0</v>
      </c>
      <c r="AC259" s="26">
        <f>IF(B259="","",IF(IF(F259="",0,F259)=0,"",ROUND(Y259/F259,2)))</f>
        <v>0</v>
      </c>
      <c r="AD259" s="39">
        <f>IF(B259="","",IF(D259="","Add - who is this run for?",IF(IF(F259="",H259="",FALSE),"Add - no hours and no commission",IF(AB259&lt;-0.004,"Check - more commission paid than earned",IF(M259&lt;&gt;"Yes","Due - not paid yet",IF(N259="","Check - marked paid, no date","OK"))))))</f>
        <v>0</v>
      </c>
    </row>
    <row r="260" spans="1:30">
      <c r="A260" s="28">
        <f>IF(B260="","",PayrollPrefix&amp;TEXT(ROW()-4,"0000"))</f>
        <v>0</v>
      </c>
      <c r="E260" s="15">
        <f>IF(D260="","",IFERROR(INDEX(Staff!$B$5:$B$44,MATCH(D260,Staff!$A$5:$A$44,0)),"Not in Staff"))</f>
        <v>0</v>
      </c>
      <c r="Q260" s="15">
        <f>IF(B260="","",TEXT(B260,"yyyy-mm"))</f>
        <v>0</v>
      </c>
      <c r="R260" s="25">
        <f>IF(B260="","",WEEKNUM(B260,2))</f>
        <v>0</v>
      </c>
      <c r="S260" s="26">
        <f>IF(B260="","",IF(G260&lt;&gt;"",G260,IFERROR(IF(INDEX(Staff!$P$5:$P$44,MATCH(D260,Staff!$A$5:$A$44,0))="",DefaultHourly,INDEX(Staff!$P$5:$P$44,MATCH(D260,Staff!$A$5:$A$44,0))),DefaultHourly)))</f>
        <v>0</v>
      </c>
      <c r="T260" s="26">
        <f>IF(B260="","",ROUND(IF(F260="",0,F260)*S260,2))</f>
        <v>0</v>
      </c>
      <c r="U260" s="26">
        <f>IF(B260="","",ROUND(T260+IF(H260="",0,H260)+IF(J260="",0,J260)+IF(K260="",0,K260),2))</f>
        <v>0</v>
      </c>
      <c r="V260" s="26">
        <f>IF(B260="","",ROUND(U260-IF(L260="",0,L260),2))</f>
        <v>0</v>
      </c>
      <c r="W260" s="26">
        <f>IF(B260="","",ROUND(V260+IF(I260="",0,I260),2))</f>
        <v>0</v>
      </c>
      <c r="X260" s="26">
        <f>IF(B260="","",IF(IFERROR(INDEX(Staff!$E$5:$E$44,MATCH(D260,Staff!$A$5:$A$44,0))&amp;"","")="Self-employed",0,IF(IFERROR(INDEX(Staff!$E$5:$E$44,MATCH(D260,Staff!$A$5:$A$44,0))&amp;"","")="Chair renter",0,ROUND(U260*PayrollBurden,2))))</f>
        <v>0</v>
      </c>
      <c r="Y260" s="26">
        <f>IF(B260="","",ROUND(U260+X260,2))</f>
        <v>0</v>
      </c>
      <c r="Z260" s="26">
        <f>IF(B260="","",ROUND(SUMIFS(Commissions!$X$5:$X$244,Commissions!$C$5:$C$244,D260,Commissions!$B$5:$B$244,Q260),2))</f>
        <v>0</v>
      </c>
      <c r="AA260" s="26">
        <f>IF(B260="","",ROUND(SUMIFS($H$5:$H$364,$D$5:$D$364,D260,$Q$5:$Q$364,Q260),2))</f>
        <v>0</v>
      </c>
      <c r="AB260" s="26">
        <f>IF(B260="","",ROUND(Z260-AA260,2))</f>
        <v>0</v>
      </c>
      <c r="AC260" s="26">
        <f>IF(B260="","",IF(IF(F260="",0,F260)=0,"",ROUND(Y260/F260,2)))</f>
        <v>0</v>
      </c>
      <c r="AD260" s="39">
        <f>IF(B260="","",IF(D260="","Add - who is this run for?",IF(IF(F260="",H260="",FALSE),"Add - no hours and no commission",IF(AB260&lt;-0.004,"Check - more commission paid than earned",IF(M260&lt;&gt;"Yes","Due - not paid yet",IF(N260="","Check - marked paid, no date","OK"))))))</f>
        <v>0</v>
      </c>
    </row>
    <row r="261" spans="1:30">
      <c r="A261" s="28">
        <f>IF(B261="","",PayrollPrefix&amp;TEXT(ROW()-4,"0000"))</f>
        <v>0</v>
      </c>
      <c r="E261" s="15">
        <f>IF(D261="","",IFERROR(INDEX(Staff!$B$5:$B$44,MATCH(D261,Staff!$A$5:$A$44,0)),"Not in Staff"))</f>
        <v>0</v>
      </c>
      <c r="Q261" s="15">
        <f>IF(B261="","",TEXT(B261,"yyyy-mm"))</f>
        <v>0</v>
      </c>
      <c r="R261" s="25">
        <f>IF(B261="","",WEEKNUM(B261,2))</f>
        <v>0</v>
      </c>
      <c r="S261" s="26">
        <f>IF(B261="","",IF(G261&lt;&gt;"",G261,IFERROR(IF(INDEX(Staff!$P$5:$P$44,MATCH(D261,Staff!$A$5:$A$44,0))="",DefaultHourly,INDEX(Staff!$P$5:$P$44,MATCH(D261,Staff!$A$5:$A$44,0))),DefaultHourly)))</f>
        <v>0</v>
      </c>
      <c r="T261" s="26">
        <f>IF(B261="","",ROUND(IF(F261="",0,F261)*S261,2))</f>
        <v>0</v>
      </c>
      <c r="U261" s="26">
        <f>IF(B261="","",ROUND(T261+IF(H261="",0,H261)+IF(J261="",0,J261)+IF(K261="",0,K261),2))</f>
        <v>0</v>
      </c>
      <c r="V261" s="26">
        <f>IF(B261="","",ROUND(U261-IF(L261="",0,L261),2))</f>
        <v>0</v>
      </c>
      <c r="W261" s="26">
        <f>IF(B261="","",ROUND(V261+IF(I261="",0,I261),2))</f>
        <v>0</v>
      </c>
      <c r="X261" s="26">
        <f>IF(B261="","",IF(IFERROR(INDEX(Staff!$E$5:$E$44,MATCH(D261,Staff!$A$5:$A$44,0))&amp;"","")="Self-employed",0,IF(IFERROR(INDEX(Staff!$E$5:$E$44,MATCH(D261,Staff!$A$5:$A$44,0))&amp;"","")="Chair renter",0,ROUND(U261*PayrollBurden,2))))</f>
        <v>0</v>
      </c>
      <c r="Y261" s="26">
        <f>IF(B261="","",ROUND(U261+X261,2))</f>
        <v>0</v>
      </c>
      <c r="Z261" s="26">
        <f>IF(B261="","",ROUND(SUMIFS(Commissions!$X$5:$X$244,Commissions!$C$5:$C$244,D261,Commissions!$B$5:$B$244,Q261),2))</f>
        <v>0</v>
      </c>
      <c r="AA261" s="26">
        <f>IF(B261="","",ROUND(SUMIFS($H$5:$H$364,$D$5:$D$364,D261,$Q$5:$Q$364,Q261),2))</f>
        <v>0</v>
      </c>
      <c r="AB261" s="26">
        <f>IF(B261="","",ROUND(Z261-AA261,2))</f>
        <v>0</v>
      </c>
      <c r="AC261" s="26">
        <f>IF(B261="","",IF(IF(F261="",0,F261)=0,"",ROUND(Y261/F261,2)))</f>
        <v>0</v>
      </c>
      <c r="AD261" s="39">
        <f>IF(B261="","",IF(D261="","Add - who is this run for?",IF(IF(F261="",H261="",FALSE),"Add - no hours and no commission",IF(AB261&lt;-0.004,"Check - more commission paid than earned",IF(M261&lt;&gt;"Yes","Due - not paid yet",IF(N261="","Check - marked paid, no date","OK"))))))</f>
        <v>0</v>
      </c>
    </row>
    <row r="262" spans="1:30">
      <c r="A262" s="28">
        <f>IF(B262="","",PayrollPrefix&amp;TEXT(ROW()-4,"0000"))</f>
        <v>0</v>
      </c>
      <c r="E262" s="15">
        <f>IF(D262="","",IFERROR(INDEX(Staff!$B$5:$B$44,MATCH(D262,Staff!$A$5:$A$44,0)),"Not in Staff"))</f>
        <v>0</v>
      </c>
      <c r="Q262" s="15">
        <f>IF(B262="","",TEXT(B262,"yyyy-mm"))</f>
        <v>0</v>
      </c>
      <c r="R262" s="25">
        <f>IF(B262="","",WEEKNUM(B262,2))</f>
        <v>0</v>
      </c>
      <c r="S262" s="26">
        <f>IF(B262="","",IF(G262&lt;&gt;"",G262,IFERROR(IF(INDEX(Staff!$P$5:$P$44,MATCH(D262,Staff!$A$5:$A$44,0))="",DefaultHourly,INDEX(Staff!$P$5:$P$44,MATCH(D262,Staff!$A$5:$A$44,0))),DefaultHourly)))</f>
        <v>0</v>
      </c>
      <c r="T262" s="26">
        <f>IF(B262="","",ROUND(IF(F262="",0,F262)*S262,2))</f>
        <v>0</v>
      </c>
      <c r="U262" s="26">
        <f>IF(B262="","",ROUND(T262+IF(H262="",0,H262)+IF(J262="",0,J262)+IF(K262="",0,K262),2))</f>
        <v>0</v>
      </c>
      <c r="V262" s="26">
        <f>IF(B262="","",ROUND(U262-IF(L262="",0,L262),2))</f>
        <v>0</v>
      </c>
      <c r="W262" s="26">
        <f>IF(B262="","",ROUND(V262+IF(I262="",0,I262),2))</f>
        <v>0</v>
      </c>
      <c r="X262" s="26">
        <f>IF(B262="","",IF(IFERROR(INDEX(Staff!$E$5:$E$44,MATCH(D262,Staff!$A$5:$A$44,0))&amp;"","")="Self-employed",0,IF(IFERROR(INDEX(Staff!$E$5:$E$44,MATCH(D262,Staff!$A$5:$A$44,0))&amp;"","")="Chair renter",0,ROUND(U262*PayrollBurden,2))))</f>
        <v>0</v>
      </c>
      <c r="Y262" s="26">
        <f>IF(B262="","",ROUND(U262+X262,2))</f>
        <v>0</v>
      </c>
      <c r="Z262" s="26">
        <f>IF(B262="","",ROUND(SUMIFS(Commissions!$X$5:$X$244,Commissions!$C$5:$C$244,D262,Commissions!$B$5:$B$244,Q262),2))</f>
        <v>0</v>
      </c>
      <c r="AA262" s="26">
        <f>IF(B262="","",ROUND(SUMIFS($H$5:$H$364,$D$5:$D$364,D262,$Q$5:$Q$364,Q262),2))</f>
        <v>0</v>
      </c>
      <c r="AB262" s="26">
        <f>IF(B262="","",ROUND(Z262-AA262,2))</f>
        <v>0</v>
      </c>
      <c r="AC262" s="26">
        <f>IF(B262="","",IF(IF(F262="",0,F262)=0,"",ROUND(Y262/F262,2)))</f>
        <v>0</v>
      </c>
      <c r="AD262" s="39">
        <f>IF(B262="","",IF(D262="","Add - who is this run for?",IF(IF(F262="",H262="",FALSE),"Add - no hours and no commission",IF(AB262&lt;-0.004,"Check - more commission paid than earned",IF(M262&lt;&gt;"Yes","Due - not paid yet",IF(N262="","Check - marked paid, no date","OK"))))))</f>
        <v>0</v>
      </c>
    </row>
    <row r="263" spans="1:30">
      <c r="A263" s="28">
        <f>IF(B263="","",PayrollPrefix&amp;TEXT(ROW()-4,"0000"))</f>
        <v>0</v>
      </c>
      <c r="E263" s="15">
        <f>IF(D263="","",IFERROR(INDEX(Staff!$B$5:$B$44,MATCH(D263,Staff!$A$5:$A$44,0)),"Not in Staff"))</f>
        <v>0</v>
      </c>
      <c r="Q263" s="15">
        <f>IF(B263="","",TEXT(B263,"yyyy-mm"))</f>
        <v>0</v>
      </c>
      <c r="R263" s="25">
        <f>IF(B263="","",WEEKNUM(B263,2))</f>
        <v>0</v>
      </c>
      <c r="S263" s="26">
        <f>IF(B263="","",IF(G263&lt;&gt;"",G263,IFERROR(IF(INDEX(Staff!$P$5:$P$44,MATCH(D263,Staff!$A$5:$A$44,0))="",DefaultHourly,INDEX(Staff!$P$5:$P$44,MATCH(D263,Staff!$A$5:$A$44,0))),DefaultHourly)))</f>
        <v>0</v>
      </c>
      <c r="T263" s="26">
        <f>IF(B263="","",ROUND(IF(F263="",0,F263)*S263,2))</f>
        <v>0</v>
      </c>
      <c r="U263" s="26">
        <f>IF(B263="","",ROUND(T263+IF(H263="",0,H263)+IF(J263="",0,J263)+IF(K263="",0,K263),2))</f>
        <v>0</v>
      </c>
      <c r="V263" s="26">
        <f>IF(B263="","",ROUND(U263-IF(L263="",0,L263),2))</f>
        <v>0</v>
      </c>
      <c r="W263" s="26">
        <f>IF(B263="","",ROUND(V263+IF(I263="",0,I263),2))</f>
        <v>0</v>
      </c>
      <c r="X263" s="26">
        <f>IF(B263="","",IF(IFERROR(INDEX(Staff!$E$5:$E$44,MATCH(D263,Staff!$A$5:$A$44,0))&amp;"","")="Self-employed",0,IF(IFERROR(INDEX(Staff!$E$5:$E$44,MATCH(D263,Staff!$A$5:$A$44,0))&amp;"","")="Chair renter",0,ROUND(U263*PayrollBurden,2))))</f>
        <v>0</v>
      </c>
      <c r="Y263" s="26">
        <f>IF(B263="","",ROUND(U263+X263,2))</f>
        <v>0</v>
      </c>
      <c r="Z263" s="26">
        <f>IF(B263="","",ROUND(SUMIFS(Commissions!$X$5:$X$244,Commissions!$C$5:$C$244,D263,Commissions!$B$5:$B$244,Q263),2))</f>
        <v>0</v>
      </c>
      <c r="AA263" s="26">
        <f>IF(B263="","",ROUND(SUMIFS($H$5:$H$364,$D$5:$D$364,D263,$Q$5:$Q$364,Q263),2))</f>
        <v>0</v>
      </c>
      <c r="AB263" s="26">
        <f>IF(B263="","",ROUND(Z263-AA263,2))</f>
        <v>0</v>
      </c>
      <c r="AC263" s="26">
        <f>IF(B263="","",IF(IF(F263="",0,F263)=0,"",ROUND(Y263/F263,2)))</f>
        <v>0</v>
      </c>
      <c r="AD263" s="39">
        <f>IF(B263="","",IF(D263="","Add - who is this run for?",IF(IF(F263="",H263="",FALSE),"Add - no hours and no commission",IF(AB263&lt;-0.004,"Check - more commission paid than earned",IF(M263&lt;&gt;"Yes","Due - not paid yet",IF(N263="","Check - marked paid, no date","OK"))))))</f>
        <v>0</v>
      </c>
    </row>
    <row r="264" spans="1:30">
      <c r="A264" s="28">
        <f>IF(B264="","",PayrollPrefix&amp;TEXT(ROW()-4,"0000"))</f>
        <v>0</v>
      </c>
      <c r="E264" s="15">
        <f>IF(D264="","",IFERROR(INDEX(Staff!$B$5:$B$44,MATCH(D264,Staff!$A$5:$A$44,0)),"Not in Staff"))</f>
        <v>0</v>
      </c>
      <c r="Q264" s="15">
        <f>IF(B264="","",TEXT(B264,"yyyy-mm"))</f>
        <v>0</v>
      </c>
      <c r="R264" s="25">
        <f>IF(B264="","",WEEKNUM(B264,2))</f>
        <v>0</v>
      </c>
      <c r="S264" s="26">
        <f>IF(B264="","",IF(G264&lt;&gt;"",G264,IFERROR(IF(INDEX(Staff!$P$5:$P$44,MATCH(D264,Staff!$A$5:$A$44,0))="",DefaultHourly,INDEX(Staff!$P$5:$P$44,MATCH(D264,Staff!$A$5:$A$44,0))),DefaultHourly)))</f>
        <v>0</v>
      </c>
      <c r="T264" s="26">
        <f>IF(B264="","",ROUND(IF(F264="",0,F264)*S264,2))</f>
        <v>0</v>
      </c>
      <c r="U264" s="26">
        <f>IF(B264="","",ROUND(T264+IF(H264="",0,H264)+IF(J264="",0,J264)+IF(K264="",0,K264),2))</f>
        <v>0</v>
      </c>
      <c r="V264" s="26">
        <f>IF(B264="","",ROUND(U264-IF(L264="",0,L264),2))</f>
        <v>0</v>
      </c>
      <c r="W264" s="26">
        <f>IF(B264="","",ROUND(V264+IF(I264="",0,I264),2))</f>
        <v>0</v>
      </c>
      <c r="X264" s="26">
        <f>IF(B264="","",IF(IFERROR(INDEX(Staff!$E$5:$E$44,MATCH(D264,Staff!$A$5:$A$44,0))&amp;"","")="Self-employed",0,IF(IFERROR(INDEX(Staff!$E$5:$E$44,MATCH(D264,Staff!$A$5:$A$44,0))&amp;"","")="Chair renter",0,ROUND(U264*PayrollBurden,2))))</f>
        <v>0</v>
      </c>
      <c r="Y264" s="26">
        <f>IF(B264="","",ROUND(U264+X264,2))</f>
        <v>0</v>
      </c>
      <c r="Z264" s="26">
        <f>IF(B264="","",ROUND(SUMIFS(Commissions!$X$5:$X$244,Commissions!$C$5:$C$244,D264,Commissions!$B$5:$B$244,Q264),2))</f>
        <v>0</v>
      </c>
      <c r="AA264" s="26">
        <f>IF(B264="","",ROUND(SUMIFS($H$5:$H$364,$D$5:$D$364,D264,$Q$5:$Q$364,Q264),2))</f>
        <v>0</v>
      </c>
      <c r="AB264" s="26">
        <f>IF(B264="","",ROUND(Z264-AA264,2))</f>
        <v>0</v>
      </c>
      <c r="AC264" s="26">
        <f>IF(B264="","",IF(IF(F264="",0,F264)=0,"",ROUND(Y264/F264,2)))</f>
        <v>0</v>
      </c>
      <c r="AD264" s="39">
        <f>IF(B264="","",IF(D264="","Add - who is this run for?",IF(IF(F264="",H264="",FALSE),"Add - no hours and no commission",IF(AB264&lt;-0.004,"Check - more commission paid than earned",IF(M264&lt;&gt;"Yes","Due - not paid yet",IF(N264="","Check - marked paid, no date","OK"))))))</f>
        <v>0</v>
      </c>
    </row>
    <row r="265" spans="1:30">
      <c r="A265" s="28">
        <f>IF(B265="","",PayrollPrefix&amp;TEXT(ROW()-4,"0000"))</f>
        <v>0</v>
      </c>
      <c r="E265" s="15">
        <f>IF(D265="","",IFERROR(INDEX(Staff!$B$5:$B$44,MATCH(D265,Staff!$A$5:$A$44,0)),"Not in Staff"))</f>
        <v>0</v>
      </c>
      <c r="Q265" s="15">
        <f>IF(B265="","",TEXT(B265,"yyyy-mm"))</f>
        <v>0</v>
      </c>
      <c r="R265" s="25">
        <f>IF(B265="","",WEEKNUM(B265,2))</f>
        <v>0</v>
      </c>
      <c r="S265" s="26">
        <f>IF(B265="","",IF(G265&lt;&gt;"",G265,IFERROR(IF(INDEX(Staff!$P$5:$P$44,MATCH(D265,Staff!$A$5:$A$44,0))="",DefaultHourly,INDEX(Staff!$P$5:$P$44,MATCH(D265,Staff!$A$5:$A$44,0))),DefaultHourly)))</f>
        <v>0</v>
      </c>
      <c r="T265" s="26">
        <f>IF(B265="","",ROUND(IF(F265="",0,F265)*S265,2))</f>
        <v>0</v>
      </c>
      <c r="U265" s="26">
        <f>IF(B265="","",ROUND(T265+IF(H265="",0,H265)+IF(J265="",0,J265)+IF(K265="",0,K265),2))</f>
        <v>0</v>
      </c>
      <c r="V265" s="26">
        <f>IF(B265="","",ROUND(U265-IF(L265="",0,L265),2))</f>
        <v>0</v>
      </c>
      <c r="W265" s="26">
        <f>IF(B265="","",ROUND(V265+IF(I265="",0,I265),2))</f>
        <v>0</v>
      </c>
      <c r="X265" s="26">
        <f>IF(B265="","",IF(IFERROR(INDEX(Staff!$E$5:$E$44,MATCH(D265,Staff!$A$5:$A$44,0))&amp;"","")="Self-employed",0,IF(IFERROR(INDEX(Staff!$E$5:$E$44,MATCH(D265,Staff!$A$5:$A$44,0))&amp;"","")="Chair renter",0,ROUND(U265*PayrollBurden,2))))</f>
        <v>0</v>
      </c>
      <c r="Y265" s="26">
        <f>IF(B265="","",ROUND(U265+X265,2))</f>
        <v>0</v>
      </c>
      <c r="Z265" s="26">
        <f>IF(B265="","",ROUND(SUMIFS(Commissions!$X$5:$X$244,Commissions!$C$5:$C$244,D265,Commissions!$B$5:$B$244,Q265),2))</f>
        <v>0</v>
      </c>
      <c r="AA265" s="26">
        <f>IF(B265="","",ROUND(SUMIFS($H$5:$H$364,$D$5:$D$364,D265,$Q$5:$Q$364,Q265),2))</f>
        <v>0</v>
      </c>
      <c r="AB265" s="26">
        <f>IF(B265="","",ROUND(Z265-AA265,2))</f>
        <v>0</v>
      </c>
      <c r="AC265" s="26">
        <f>IF(B265="","",IF(IF(F265="",0,F265)=0,"",ROUND(Y265/F265,2)))</f>
        <v>0</v>
      </c>
      <c r="AD265" s="39">
        <f>IF(B265="","",IF(D265="","Add - who is this run for?",IF(IF(F265="",H265="",FALSE),"Add - no hours and no commission",IF(AB265&lt;-0.004,"Check - more commission paid than earned",IF(M265&lt;&gt;"Yes","Due - not paid yet",IF(N265="","Check - marked paid, no date","OK"))))))</f>
        <v>0</v>
      </c>
    </row>
    <row r="266" spans="1:30">
      <c r="A266" s="28">
        <f>IF(B266="","",PayrollPrefix&amp;TEXT(ROW()-4,"0000"))</f>
        <v>0</v>
      </c>
      <c r="E266" s="15">
        <f>IF(D266="","",IFERROR(INDEX(Staff!$B$5:$B$44,MATCH(D266,Staff!$A$5:$A$44,0)),"Not in Staff"))</f>
        <v>0</v>
      </c>
      <c r="Q266" s="15">
        <f>IF(B266="","",TEXT(B266,"yyyy-mm"))</f>
        <v>0</v>
      </c>
      <c r="R266" s="25">
        <f>IF(B266="","",WEEKNUM(B266,2))</f>
        <v>0</v>
      </c>
      <c r="S266" s="26">
        <f>IF(B266="","",IF(G266&lt;&gt;"",G266,IFERROR(IF(INDEX(Staff!$P$5:$P$44,MATCH(D266,Staff!$A$5:$A$44,0))="",DefaultHourly,INDEX(Staff!$P$5:$P$44,MATCH(D266,Staff!$A$5:$A$44,0))),DefaultHourly)))</f>
        <v>0</v>
      </c>
      <c r="T266" s="26">
        <f>IF(B266="","",ROUND(IF(F266="",0,F266)*S266,2))</f>
        <v>0</v>
      </c>
      <c r="U266" s="26">
        <f>IF(B266="","",ROUND(T266+IF(H266="",0,H266)+IF(J266="",0,J266)+IF(K266="",0,K266),2))</f>
        <v>0</v>
      </c>
      <c r="V266" s="26">
        <f>IF(B266="","",ROUND(U266-IF(L266="",0,L266),2))</f>
        <v>0</v>
      </c>
      <c r="W266" s="26">
        <f>IF(B266="","",ROUND(V266+IF(I266="",0,I266),2))</f>
        <v>0</v>
      </c>
      <c r="X266" s="26">
        <f>IF(B266="","",IF(IFERROR(INDEX(Staff!$E$5:$E$44,MATCH(D266,Staff!$A$5:$A$44,0))&amp;"","")="Self-employed",0,IF(IFERROR(INDEX(Staff!$E$5:$E$44,MATCH(D266,Staff!$A$5:$A$44,0))&amp;"","")="Chair renter",0,ROUND(U266*PayrollBurden,2))))</f>
        <v>0</v>
      </c>
      <c r="Y266" s="26">
        <f>IF(B266="","",ROUND(U266+X266,2))</f>
        <v>0</v>
      </c>
      <c r="Z266" s="26">
        <f>IF(B266="","",ROUND(SUMIFS(Commissions!$X$5:$X$244,Commissions!$C$5:$C$244,D266,Commissions!$B$5:$B$244,Q266),2))</f>
        <v>0</v>
      </c>
      <c r="AA266" s="26">
        <f>IF(B266="","",ROUND(SUMIFS($H$5:$H$364,$D$5:$D$364,D266,$Q$5:$Q$364,Q266),2))</f>
        <v>0</v>
      </c>
      <c r="AB266" s="26">
        <f>IF(B266="","",ROUND(Z266-AA266,2))</f>
        <v>0</v>
      </c>
      <c r="AC266" s="26">
        <f>IF(B266="","",IF(IF(F266="",0,F266)=0,"",ROUND(Y266/F266,2)))</f>
        <v>0</v>
      </c>
      <c r="AD266" s="39">
        <f>IF(B266="","",IF(D266="","Add - who is this run for?",IF(IF(F266="",H266="",FALSE),"Add - no hours and no commission",IF(AB266&lt;-0.004,"Check - more commission paid than earned",IF(M266&lt;&gt;"Yes","Due - not paid yet",IF(N266="","Check - marked paid, no date","OK"))))))</f>
        <v>0</v>
      </c>
    </row>
    <row r="267" spans="1:30">
      <c r="A267" s="28">
        <f>IF(B267="","",PayrollPrefix&amp;TEXT(ROW()-4,"0000"))</f>
        <v>0</v>
      </c>
      <c r="E267" s="15">
        <f>IF(D267="","",IFERROR(INDEX(Staff!$B$5:$B$44,MATCH(D267,Staff!$A$5:$A$44,0)),"Not in Staff"))</f>
        <v>0</v>
      </c>
      <c r="Q267" s="15">
        <f>IF(B267="","",TEXT(B267,"yyyy-mm"))</f>
        <v>0</v>
      </c>
      <c r="R267" s="25">
        <f>IF(B267="","",WEEKNUM(B267,2))</f>
        <v>0</v>
      </c>
      <c r="S267" s="26">
        <f>IF(B267="","",IF(G267&lt;&gt;"",G267,IFERROR(IF(INDEX(Staff!$P$5:$P$44,MATCH(D267,Staff!$A$5:$A$44,0))="",DefaultHourly,INDEX(Staff!$P$5:$P$44,MATCH(D267,Staff!$A$5:$A$44,0))),DefaultHourly)))</f>
        <v>0</v>
      </c>
      <c r="T267" s="26">
        <f>IF(B267="","",ROUND(IF(F267="",0,F267)*S267,2))</f>
        <v>0</v>
      </c>
      <c r="U267" s="26">
        <f>IF(B267="","",ROUND(T267+IF(H267="",0,H267)+IF(J267="",0,J267)+IF(K267="",0,K267),2))</f>
        <v>0</v>
      </c>
      <c r="V267" s="26">
        <f>IF(B267="","",ROUND(U267-IF(L267="",0,L267),2))</f>
        <v>0</v>
      </c>
      <c r="W267" s="26">
        <f>IF(B267="","",ROUND(V267+IF(I267="",0,I267),2))</f>
        <v>0</v>
      </c>
      <c r="X267" s="26">
        <f>IF(B267="","",IF(IFERROR(INDEX(Staff!$E$5:$E$44,MATCH(D267,Staff!$A$5:$A$44,0))&amp;"","")="Self-employed",0,IF(IFERROR(INDEX(Staff!$E$5:$E$44,MATCH(D267,Staff!$A$5:$A$44,0))&amp;"","")="Chair renter",0,ROUND(U267*PayrollBurden,2))))</f>
        <v>0</v>
      </c>
      <c r="Y267" s="26">
        <f>IF(B267="","",ROUND(U267+X267,2))</f>
        <v>0</v>
      </c>
      <c r="Z267" s="26">
        <f>IF(B267="","",ROUND(SUMIFS(Commissions!$X$5:$X$244,Commissions!$C$5:$C$244,D267,Commissions!$B$5:$B$244,Q267),2))</f>
        <v>0</v>
      </c>
      <c r="AA267" s="26">
        <f>IF(B267="","",ROUND(SUMIFS($H$5:$H$364,$D$5:$D$364,D267,$Q$5:$Q$364,Q267),2))</f>
        <v>0</v>
      </c>
      <c r="AB267" s="26">
        <f>IF(B267="","",ROUND(Z267-AA267,2))</f>
        <v>0</v>
      </c>
      <c r="AC267" s="26">
        <f>IF(B267="","",IF(IF(F267="",0,F267)=0,"",ROUND(Y267/F267,2)))</f>
        <v>0</v>
      </c>
      <c r="AD267" s="39">
        <f>IF(B267="","",IF(D267="","Add - who is this run for?",IF(IF(F267="",H267="",FALSE),"Add - no hours and no commission",IF(AB267&lt;-0.004,"Check - more commission paid than earned",IF(M267&lt;&gt;"Yes","Due - not paid yet",IF(N267="","Check - marked paid, no date","OK"))))))</f>
        <v>0</v>
      </c>
    </row>
    <row r="268" spans="1:30">
      <c r="A268" s="28">
        <f>IF(B268="","",PayrollPrefix&amp;TEXT(ROW()-4,"0000"))</f>
        <v>0</v>
      </c>
      <c r="E268" s="15">
        <f>IF(D268="","",IFERROR(INDEX(Staff!$B$5:$B$44,MATCH(D268,Staff!$A$5:$A$44,0)),"Not in Staff"))</f>
        <v>0</v>
      </c>
      <c r="Q268" s="15">
        <f>IF(B268="","",TEXT(B268,"yyyy-mm"))</f>
        <v>0</v>
      </c>
      <c r="R268" s="25">
        <f>IF(B268="","",WEEKNUM(B268,2))</f>
        <v>0</v>
      </c>
      <c r="S268" s="26">
        <f>IF(B268="","",IF(G268&lt;&gt;"",G268,IFERROR(IF(INDEX(Staff!$P$5:$P$44,MATCH(D268,Staff!$A$5:$A$44,0))="",DefaultHourly,INDEX(Staff!$P$5:$P$44,MATCH(D268,Staff!$A$5:$A$44,0))),DefaultHourly)))</f>
        <v>0</v>
      </c>
      <c r="T268" s="26">
        <f>IF(B268="","",ROUND(IF(F268="",0,F268)*S268,2))</f>
        <v>0</v>
      </c>
      <c r="U268" s="26">
        <f>IF(B268="","",ROUND(T268+IF(H268="",0,H268)+IF(J268="",0,J268)+IF(K268="",0,K268),2))</f>
        <v>0</v>
      </c>
      <c r="V268" s="26">
        <f>IF(B268="","",ROUND(U268-IF(L268="",0,L268),2))</f>
        <v>0</v>
      </c>
      <c r="W268" s="26">
        <f>IF(B268="","",ROUND(V268+IF(I268="",0,I268),2))</f>
        <v>0</v>
      </c>
      <c r="X268" s="26">
        <f>IF(B268="","",IF(IFERROR(INDEX(Staff!$E$5:$E$44,MATCH(D268,Staff!$A$5:$A$44,0))&amp;"","")="Self-employed",0,IF(IFERROR(INDEX(Staff!$E$5:$E$44,MATCH(D268,Staff!$A$5:$A$44,0))&amp;"","")="Chair renter",0,ROUND(U268*PayrollBurden,2))))</f>
        <v>0</v>
      </c>
      <c r="Y268" s="26">
        <f>IF(B268="","",ROUND(U268+X268,2))</f>
        <v>0</v>
      </c>
      <c r="Z268" s="26">
        <f>IF(B268="","",ROUND(SUMIFS(Commissions!$X$5:$X$244,Commissions!$C$5:$C$244,D268,Commissions!$B$5:$B$244,Q268),2))</f>
        <v>0</v>
      </c>
      <c r="AA268" s="26">
        <f>IF(B268="","",ROUND(SUMIFS($H$5:$H$364,$D$5:$D$364,D268,$Q$5:$Q$364,Q268),2))</f>
        <v>0</v>
      </c>
      <c r="AB268" s="26">
        <f>IF(B268="","",ROUND(Z268-AA268,2))</f>
        <v>0</v>
      </c>
      <c r="AC268" s="26">
        <f>IF(B268="","",IF(IF(F268="",0,F268)=0,"",ROUND(Y268/F268,2)))</f>
        <v>0</v>
      </c>
      <c r="AD268" s="39">
        <f>IF(B268="","",IF(D268="","Add - who is this run for?",IF(IF(F268="",H268="",FALSE),"Add - no hours and no commission",IF(AB268&lt;-0.004,"Check - more commission paid than earned",IF(M268&lt;&gt;"Yes","Due - not paid yet",IF(N268="","Check - marked paid, no date","OK"))))))</f>
        <v>0</v>
      </c>
    </row>
    <row r="269" spans="1:30">
      <c r="A269" s="28">
        <f>IF(B269="","",PayrollPrefix&amp;TEXT(ROW()-4,"0000"))</f>
        <v>0</v>
      </c>
      <c r="E269" s="15">
        <f>IF(D269="","",IFERROR(INDEX(Staff!$B$5:$B$44,MATCH(D269,Staff!$A$5:$A$44,0)),"Not in Staff"))</f>
        <v>0</v>
      </c>
      <c r="Q269" s="15">
        <f>IF(B269="","",TEXT(B269,"yyyy-mm"))</f>
        <v>0</v>
      </c>
      <c r="R269" s="25">
        <f>IF(B269="","",WEEKNUM(B269,2))</f>
        <v>0</v>
      </c>
      <c r="S269" s="26">
        <f>IF(B269="","",IF(G269&lt;&gt;"",G269,IFERROR(IF(INDEX(Staff!$P$5:$P$44,MATCH(D269,Staff!$A$5:$A$44,0))="",DefaultHourly,INDEX(Staff!$P$5:$P$44,MATCH(D269,Staff!$A$5:$A$44,0))),DefaultHourly)))</f>
        <v>0</v>
      </c>
      <c r="T269" s="26">
        <f>IF(B269="","",ROUND(IF(F269="",0,F269)*S269,2))</f>
        <v>0</v>
      </c>
      <c r="U269" s="26">
        <f>IF(B269="","",ROUND(T269+IF(H269="",0,H269)+IF(J269="",0,J269)+IF(K269="",0,K269),2))</f>
        <v>0</v>
      </c>
      <c r="V269" s="26">
        <f>IF(B269="","",ROUND(U269-IF(L269="",0,L269),2))</f>
        <v>0</v>
      </c>
      <c r="W269" s="26">
        <f>IF(B269="","",ROUND(V269+IF(I269="",0,I269),2))</f>
        <v>0</v>
      </c>
      <c r="X269" s="26">
        <f>IF(B269="","",IF(IFERROR(INDEX(Staff!$E$5:$E$44,MATCH(D269,Staff!$A$5:$A$44,0))&amp;"","")="Self-employed",0,IF(IFERROR(INDEX(Staff!$E$5:$E$44,MATCH(D269,Staff!$A$5:$A$44,0))&amp;"","")="Chair renter",0,ROUND(U269*PayrollBurden,2))))</f>
        <v>0</v>
      </c>
      <c r="Y269" s="26">
        <f>IF(B269="","",ROUND(U269+X269,2))</f>
        <v>0</v>
      </c>
      <c r="Z269" s="26">
        <f>IF(B269="","",ROUND(SUMIFS(Commissions!$X$5:$X$244,Commissions!$C$5:$C$244,D269,Commissions!$B$5:$B$244,Q269),2))</f>
        <v>0</v>
      </c>
      <c r="AA269" s="26">
        <f>IF(B269="","",ROUND(SUMIFS($H$5:$H$364,$D$5:$D$364,D269,$Q$5:$Q$364,Q269),2))</f>
        <v>0</v>
      </c>
      <c r="AB269" s="26">
        <f>IF(B269="","",ROUND(Z269-AA269,2))</f>
        <v>0</v>
      </c>
      <c r="AC269" s="26">
        <f>IF(B269="","",IF(IF(F269="",0,F269)=0,"",ROUND(Y269/F269,2)))</f>
        <v>0</v>
      </c>
      <c r="AD269" s="39">
        <f>IF(B269="","",IF(D269="","Add - who is this run for?",IF(IF(F269="",H269="",FALSE),"Add - no hours and no commission",IF(AB269&lt;-0.004,"Check - more commission paid than earned",IF(M269&lt;&gt;"Yes","Due - not paid yet",IF(N269="","Check - marked paid, no date","OK"))))))</f>
        <v>0</v>
      </c>
    </row>
    <row r="270" spans="1:30">
      <c r="A270" s="28">
        <f>IF(B270="","",PayrollPrefix&amp;TEXT(ROW()-4,"0000"))</f>
        <v>0</v>
      </c>
      <c r="E270" s="15">
        <f>IF(D270="","",IFERROR(INDEX(Staff!$B$5:$B$44,MATCH(D270,Staff!$A$5:$A$44,0)),"Not in Staff"))</f>
        <v>0</v>
      </c>
      <c r="Q270" s="15">
        <f>IF(B270="","",TEXT(B270,"yyyy-mm"))</f>
        <v>0</v>
      </c>
      <c r="R270" s="25">
        <f>IF(B270="","",WEEKNUM(B270,2))</f>
        <v>0</v>
      </c>
      <c r="S270" s="26">
        <f>IF(B270="","",IF(G270&lt;&gt;"",G270,IFERROR(IF(INDEX(Staff!$P$5:$P$44,MATCH(D270,Staff!$A$5:$A$44,0))="",DefaultHourly,INDEX(Staff!$P$5:$P$44,MATCH(D270,Staff!$A$5:$A$44,0))),DefaultHourly)))</f>
        <v>0</v>
      </c>
      <c r="T270" s="26">
        <f>IF(B270="","",ROUND(IF(F270="",0,F270)*S270,2))</f>
        <v>0</v>
      </c>
      <c r="U270" s="26">
        <f>IF(B270="","",ROUND(T270+IF(H270="",0,H270)+IF(J270="",0,J270)+IF(K270="",0,K270),2))</f>
        <v>0</v>
      </c>
      <c r="V270" s="26">
        <f>IF(B270="","",ROUND(U270-IF(L270="",0,L270),2))</f>
        <v>0</v>
      </c>
      <c r="W270" s="26">
        <f>IF(B270="","",ROUND(V270+IF(I270="",0,I270),2))</f>
        <v>0</v>
      </c>
      <c r="X270" s="26">
        <f>IF(B270="","",IF(IFERROR(INDEX(Staff!$E$5:$E$44,MATCH(D270,Staff!$A$5:$A$44,0))&amp;"","")="Self-employed",0,IF(IFERROR(INDEX(Staff!$E$5:$E$44,MATCH(D270,Staff!$A$5:$A$44,0))&amp;"","")="Chair renter",0,ROUND(U270*PayrollBurden,2))))</f>
        <v>0</v>
      </c>
      <c r="Y270" s="26">
        <f>IF(B270="","",ROUND(U270+X270,2))</f>
        <v>0</v>
      </c>
      <c r="Z270" s="26">
        <f>IF(B270="","",ROUND(SUMIFS(Commissions!$X$5:$X$244,Commissions!$C$5:$C$244,D270,Commissions!$B$5:$B$244,Q270),2))</f>
        <v>0</v>
      </c>
      <c r="AA270" s="26">
        <f>IF(B270="","",ROUND(SUMIFS($H$5:$H$364,$D$5:$D$364,D270,$Q$5:$Q$364,Q270),2))</f>
        <v>0</v>
      </c>
      <c r="AB270" s="26">
        <f>IF(B270="","",ROUND(Z270-AA270,2))</f>
        <v>0</v>
      </c>
      <c r="AC270" s="26">
        <f>IF(B270="","",IF(IF(F270="",0,F270)=0,"",ROUND(Y270/F270,2)))</f>
        <v>0</v>
      </c>
      <c r="AD270" s="39">
        <f>IF(B270="","",IF(D270="","Add - who is this run for?",IF(IF(F270="",H270="",FALSE),"Add - no hours and no commission",IF(AB270&lt;-0.004,"Check - more commission paid than earned",IF(M270&lt;&gt;"Yes","Due - not paid yet",IF(N270="","Check - marked paid, no date","OK"))))))</f>
        <v>0</v>
      </c>
    </row>
    <row r="271" spans="1:30">
      <c r="A271" s="28">
        <f>IF(B271="","",PayrollPrefix&amp;TEXT(ROW()-4,"0000"))</f>
        <v>0</v>
      </c>
      <c r="E271" s="15">
        <f>IF(D271="","",IFERROR(INDEX(Staff!$B$5:$B$44,MATCH(D271,Staff!$A$5:$A$44,0)),"Not in Staff"))</f>
        <v>0</v>
      </c>
      <c r="Q271" s="15">
        <f>IF(B271="","",TEXT(B271,"yyyy-mm"))</f>
        <v>0</v>
      </c>
      <c r="R271" s="25">
        <f>IF(B271="","",WEEKNUM(B271,2))</f>
        <v>0</v>
      </c>
      <c r="S271" s="26">
        <f>IF(B271="","",IF(G271&lt;&gt;"",G271,IFERROR(IF(INDEX(Staff!$P$5:$P$44,MATCH(D271,Staff!$A$5:$A$44,0))="",DefaultHourly,INDEX(Staff!$P$5:$P$44,MATCH(D271,Staff!$A$5:$A$44,0))),DefaultHourly)))</f>
        <v>0</v>
      </c>
      <c r="T271" s="26">
        <f>IF(B271="","",ROUND(IF(F271="",0,F271)*S271,2))</f>
        <v>0</v>
      </c>
      <c r="U271" s="26">
        <f>IF(B271="","",ROUND(T271+IF(H271="",0,H271)+IF(J271="",0,J271)+IF(K271="",0,K271),2))</f>
        <v>0</v>
      </c>
      <c r="V271" s="26">
        <f>IF(B271="","",ROUND(U271-IF(L271="",0,L271),2))</f>
        <v>0</v>
      </c>
      <c r="W271" s="26">
        <f>IF(B271="","",ROUND(V271+IF(I271="",0,I271),2))</f>
        <v>0</v>
      </c>
      <c r="X271" s="26">
        <f>IF(B271="","",IF(IFERROR(INDEX(Staff!$E$5:$E$44,MATCH(D271,Staff!$A$5:$A$44,0))&amp;"","")="Self-employed",0,IF(IFERROR(INDEX(Staff!$E$5:$E$44,MATCH(D271,Staff!$A$5:$A$44,0))&amp;"","")="Chair renter",0,ROUND(U271*PayrollBurden,2))))</f>
        <v>0</v>
      </c>
      <c r="Y271" s="26">
        <f>IF(B271="","",ROUND(U271+X271,2))</f>
        <v>0</v>
      </c>
      <c r="Z271" s="26">
        <f>IF(B271="","",ROUND(SUMIFS(Commissions!$X$5:$X$244,Commissions!$C$5:$C$244,D271,Commissions!$B$5:$B$244,Q271),2))</f>
        <v>0</v>
      </c>
      <c r="AA271" s="26">
        <f>IF(B271="","",ROUND(SUMIFS($H$5:$H$364,$D$5:$D$364,D271,$Q$5:$Q$364,Q271),2))</f>
        <v>0</v>
      </c>
      <c r="AB271" s="26">
        <f>IF(B271="","",ROUND(Z271-AA271,2))</f>
        <v>0</v>
      </c>
      <c r="AC271" s="26">
        <f>IF(B271="","",IF(IF(F271="",0,F271)=0,"",ROUND(Y271/F271,2)))</f>
        <v>0</v>
      </c>
      <c r="AD271" s="39">
        <f>IF(B271="","",IF(D271="","Add - who is this run for?",IF(IF(F271="",H271="",FALSE),"Add - no hours and no commission",IF(AB271&lt;-0.004,"Check - more commission paid than earned",IF(M271&lt;&gt;"Yes","Due - not paid yet",IF(N271="","Check - marked paid, no date","OK"))))))</f>
        <v>0</v>
      </c>
    </row>
    <row r="272" spans="1:30">
      <c r="A272" s="28">
        <f>IF(B272="","",PayrollPrefix&amp;TEXT(ROW()-4,"0000"))</f>
        <v>0</v>
      </c>
      <c r="E272" s="15">
        <f>IF(D272="","",IFERROR(INDEX(Staff!$B$5:$B$44,MATCH(D272,Staff!$A$5:$A$44,0)),"Not in Staff"))</f>
        <v>0</v>
      </c>
      <c r="Q272" s="15">
        <f>IF(B272="","",TEXT(B272,"yyyy-mm"))</f>
        <v>0</v>
      </c>
      <c r="R272" s="25">
        <f>IF(B272="","",WEEKNUM(B272,2))</f>
        <v>0</v>
      </c>
      <c r="S272" s="26">
        <f>IF(B272="","",IF(G272&lt;&gt;"",G272,IFERROR(IF(INDEX(Staff!$P$5:$P$44,MATCH(D272,Staff!$A$5:$A$44,0))="",DefaultHourly,INDEX(Staff!$P$5:$P$44,MATCH(D272,Staff!$A$5:$A$44,0))),DefaultHourly)))</f>
        <v>0</v>
      </c>
      <c r="T272" s="26">
        <f>IF(B272="","",ROUND(IF(F272="",0,F272)*S272,2))</f>
        <v>0</v>
      </c>
      <c r="U272" s="26">
        <f>IF(B272="","",ROUND(T272+IF(H272="",0,H272)+IF(J272="",0,J272)+IF(K272="",0,K272),2))</f>
        <v>0</v>
      </c>
      <c r="V272" s="26">
        <f>IF(B272="","",ROUND(U272-IF(L272="",0,L272),2))</f>
        <v>0</v>
      </c>
      <c r="W272" s="26">
        <f>IF(B272="","",ROUND(V272+IF(I272="",0,I272),2))</f>
        <v>0</v>
      </c>
      <c r="X272" s="26">
        <f>IF(B272="","",IF(IFERROR(INDEX(Staff!$E$5:$E$44,MATCH(D272,Staff!$A$5:$A$44,0))&amp;"","")="Self-employed",0,IF(IFERROR(INDEX(Staff!$E$5:$E$44,MATCH(D272,Staff!$A$5:$A$44,0))&amp;"","")="Chair renter",0,ROUND(U272*PayrollBurden,2))))</f>
        <v>0</v>
      </c>
      <c r="Y272" s="26">
        <f>IF(B272="","",ROUND(U272+X272,2))</f>
        <v>0</v>
      </c>
      <c r="Z272" s="26">
        <f>IF(B272="","",ROUND(SUMIFS(Commissions!$X$5:$X$244,Commissions!$C$5:$C$244,D272,Commissions!$B$5:$B$244,Q272),2))</f>
        <v>0</v>
      </c>
      <c r="AA272" s="26">
        <f>IF(B272="","",ROUND(SUMIFS($H$5:$H$364,$D$5:$D$364,D272,$Q$5:$Q$364,Q272),2))</f>
        <v>0</v>
      </c>
      <c r="AB272" s="26">
        <f>IF(B272="","",ROUND(Z272-AA272,2))</f>
        <v>0</v>
      </c>
      <c r="AC272" s="26">
        <f>IF(B272="","",IF(IF(F272="",0,F272)=0,"",ROUND(Y272/F272,2)))</f>
        <v>0</v>
      </c>
      <c r="AD272" s="39">
        <f>IF(B272="","",IF(D272="","Add - who is this run for?",IF(IF(F272="",H272="",FALSE),"Add - no hours and no commission",IF(AB272&lt;-0.004,"Check - more commission paid than earned",IF(M272&lt;&gt;"Yes","Due - not paid yet",IF(N272="","Check - marked paid, no date","OK"))))))</f>
        <v>0</v>
      </c>
    </row>
    <row r="273" spans="1:30">
      <c r="A273" s="28">
        <f>IF(B273="","",PayrollPrefix&amp;TEXT(ROW()-4,"0000"))</f>
        <v>0</v>
      </c>
      <c r="E273" s="15">
        <f>IF(D273="","",IFERROR(INDEX(Staff!$B$5:$B$44,MATCH(D273,Staff!$A$5:$A$44,0)),"Not in Staff"))</f>
        <v>0</v>
      </c>
      <c r="Q273" s="15">
        <f>IF(B273="","",TEXT(B273,"yyyy-mm"))</f>
        <v>0</v>
      </c>
      <c r="R273" s="25">
        <f>IF(B273="","",WEEKNUM(B273,2))</f>
        <v>0</v>
      </c>
      <c r="S273" s="26">
        <f>IF(B273="","",IF(G273&lt;&gt;"",G273,IFERROR(IF(INDEX(Staff!$P$5:$P$44,MATCH(D273,Staff!$A$5:$A$44,0))="",DefaultHourly,INDEX(Staff!$P$5:$P$44,MATCH(D273,Staff!$A$5:$A$44,0))),DefaultHourly)))</f>
        <v>0</v>
      </c>
      <c r="T273" s="26">
        <f>IF(B273="","",ROUND(IF(F273="",0,F273)*S273,2))</f>
        <v>0</v>
      </c>
      <c r="U273" s="26">
        <f>IF(B273="","",ROUND(T273+IF(H273="",0,H273)+IF(J273="",0,J273)+IF(K273="",0,K273),2))</f>
        <v>0</v>
      </c>
      <c r="V273" s="26">
        <f>IF(B273="","",ROUND(U273-IF(L273="",0,L273),2))</f>
        <v>0</v>
      </c>
      <c r="W273" s="26">
        <f>IF(B273="","",ROUND(V273+IF(I273="",0,I273),2))</f>
        <v>0</v>
      </c>
      <c r="X273" s="26">
        <f>IF(B273="","",IF(IFERROR(INDEX(Staff!$E$5:$E$44,MATCH(D273,Staff!$A$5:$A$44,0))&amp;"","")="Self-employed",0,IF(IFERROR(INDEX(Staff!$E$5:$E$44,MATCH(D273,Staff!$A$5:$A$44,0))&amp;"","")="Chair renter",0,ROUND(U273*PayrollBurden,2))))</f>
        <v>0</v>
      </c>
      <c r="Y273" s="26">
        <f>IF(B273="","",ROUND(U273+X273,2))</f>
        <v>0</v>
      </c>
      <c r="Z273" s="26">
        <f>IF(B273="","",ROUND(SUMIFS(Commissions!$X$5:$X$244,Commissions!$C$5:$C$244,D273,Commissions!$B$5:$B$244,Q273),2))</f>
        <v>0</v>
      </c>
      <c r="AA273" s="26">
        <f>IF(B273="","",ROUND(SUMIFS($H$5:$H$364,$D$5:$D$364,D273,$Q$5:$Q$364,Q273),2))</f>
        <v>0</v>
      </c>
      <c r="AB273" s="26">
        <f>IF(B273="","",ROUND(Z273-AA273,2))</f>
        <v>0</v>
      </c>
      <c r="AC273" s="26">
        <f>IF(B273="","",IF(IF(F273="",0,F273)=0,"",ROUND(Y273/F273,2)))</f>
        <v>0</v>
      </c>
      <c r="AD273" s="39">
        <f>IF(B273="","",IF(D273="","Add - who is this run for?",IF(IF(F273="",H273="",FALSE),"Add - no hours and no commission",IF(AB273&lt;-0.004,"Check - more commission paid than earned",IF(M273&lt;&gt;"Yes","Due - not paid yet",IF(N273="","Check - marked paid, no date","OK"))))))</f>
        <v>0</v>
      </c>
    </row>
    <row r="274" spans="1:30">
      <c r="A274" s="28">
        <f>IF(B274="","",PayrollPrefix&amp;TEXT(ROW()-4,"0000"))</f>
        <v>0</v>
      </c>
      <c r="E274" s="15">
        <f>IF(D274="","",IFERROR(INDEX(Staff!$B$5:$B$44,MATCH(D274,Staff!$A$5:$A$44,0)),"Not in Staff"))</f>
        <v>0</v>
      </c>
      <c r="Q274" s="15">
        <f>IF(B274="","",TEXT(B274,"yyyy-mm"))</f>
        <v>0</v>
      </c>
      <c r="R274" s="25">
        <f>IF(B274="","",WEEKNUM(B274,2))</f>
        <v>0</v>
      </c>
      <c r="S274" s="26">
        <f>IF(B274="","",IF(G274&lt;&gt;"",G274,IFERROR(IF(INDEX(Staff!$P$5:$P$44,MATCH(D274,Staff!$A$5:$A$44,0))="",DefaultHourly,INDEX(Staff!$P$5:$P$44,MATCH(D274,Staff!$A$5:$A$44,0))),DefaultHourly)))</f>
        <v>0</v>
      </c>
      <c r="T274" s="26">
        <f>IF(B274="","",ROUND(IF(F274="",0,F274)*S274,2))</f>
        <v>0</v>
      </c>
      <c r="U274" s="26">
        <f>IF(B274="","",ROUND(T274+IF(H274="",0,H274)+IF(J274="",0,J274)+IF(K274="",0,K274),2))</f>
        <v>0</v>
      </c>
      <c r="V274" s="26">
        <f>IF(B274="","",ROUND(U274-IF(L274="",0,L274),2))</f>
        <v>0</v>
      </c>
      <c r="W274" s="26">
        <f>IF(B274="","",ROUND(V274+IF(I274="",0,I274),2))</f>
        <v>0</v>
      </c>
      <c r="X274" s="26">
        <f>IF(B274="","",IF(IFERROR(INDEX(Staff!$E$5:$E$44,MATCH(D274,Staff!$A$5:$A$44,0))&amp;"","")="Self-employed",0,IF(IFERROR(INDEX(Staff!$E$5:$E$44,MATCH(D274,Staff!$A$5:$A$44,0))&amp;"","")="Chair renter",0,ROUND(U274*PayrollBurden,2))))</f>
        <v>0</v>
      </c>
      <c r="Y274" s="26">
        <f>IF(B274="","",ROUND(U274+X274,2))</f>
        <v>0</v>
      </c>
      <c r="Z274" s="26">
        <f>IF(B274="","",ROUND(SUMIFS(Commissions!$X$5:$X$244,Commissions!$C$5:$C$244,D274,Commissions!$B$5:$B$244,Q274),2))</f>
        <v>0</v>
      </c>
      <c r="AA274" s="26">
        <f>IF(B274="","",ROUND(SUMIFS($H$5:$H$364,$D$5:$D$364,D274,$Q$5:$Q$364,Q274),2))</f>
        <v>0</v>
      </c>
      <c r="AB274" s="26">
        <f>IF(B274="","",ROUND(Z274-AA274,2))</f>
        <v>0</v>
      </c>
      <c r="AC274" s="26">
        <f>IF(B274="","",IF(IF(F274="",0,F274)=0,"",ROUND(Y274/F274,2)))</f>
        <v>0</v>
      </c>
      <c r="AD274" s="39">
        <f>IF(B274="","",IF(D274="","Add - who is this run for?",IF(IF(F274="",H274="",FALSE),"Add - no hours and no commission",IF(AB274&lt;-0.004,"Check - more commission paid than earned",IF(M274&lt;&gt;"Yes","Due - not paid yet",IF(N274="","Check - marked paid, no date","OK"))))))</f>
        <v>0</v>
      </c>
    </row>
    <row r="275" spans="1:30">
      <c r="A275" s="28">
        <f>IF(B275="","",PayrollPrefix&amp;TEXT(ROW()-4,"0000"))</f>
        <v>0</v>
      </c>
      <c r="E275" s="15">
        <f>IF(D275="","",IFERROR(INDEX(Staff!$B$5:$B$44,MATCH(D275,Staff!$A$5:$A$44,0)),"Not in Staff"))</f>
        <v>0</v>
      </c>
      <c r="Q275" s="15">
        <f>IF(B275="","",TEXT(B275,"yyyy-mm"))</f>
        <v>0</v>
      </c>
      <c r="R275" s="25">
        <f>IF(B275="","",WEEKNUM(B275,2))</f>
        <v>0</v>
      </c>
      <c r="S275" s="26">
        <f>IF(B275="","",IF(G275&lt;&gt;"",G275,IFERROR(IF(INDEX(Staff!$P$5:$P$44,MATCH(D275,Staff!$A$5:$A$44,0))="",DefaultHourly,INDEX(Staff!$P$5:$P$44,MATCH(D275,Staff!$A$5:$A$44,0))),DefaultHourly)))</f>
        <v>0</v>
      </c>
      <c r="T275" s="26">
        <f>IF(B275="","",ROUND(IF(F275="",0,F275)*S275,2))</f>
        <v>0</v>
      </c>
      <c r="U275" s="26">
        <f>IF(B275="","",ROUND(T275+IF(H275="",0,H275)+IF(J275="",0,J275)+IF(K275="",0,K275),2))</f>
        <v>0</v>
      </c>
      <c r="V275" s="26">
        <f>IF(B275="","",ROUND(U275-IF(L275="",0,L275),2))</f>
        <v>0</v>
      </c>
      <c r="W275" s="26">
        <f>IF(B275="","",ROUND(V275+IF(I275="",0,I275),2))</f>
        <v>0</v>
      </c>
      <c r="X275" s="26">
        <f>IF(B275="","",IF(IFERROR(INDEX(Staff!$E$5:$E$44,MATCH(D275,Staff!$A$5:$A$44,0))&amp;"","")="Self-employed",0,IF(IFERROR(INDEX(Staff!$E$5:$E$44,MATCH(D275,Staff!$A$5:$A$44,0))&amp;"","")="Chair renter",0,ROUND(U275*PayrollBurden,2))))</f>
        <v>0</v>
      </c>
      <c r="Y275" s="26">
        <f>IF(B275="","",ROUND(U275+X275,2))</f>
        <v>0</v>
      </c>
      <c r="Z275" s="26">
        <f>IF(B275="","",ROUND(SUMIFS(Commissions!$X$5:$X$244,Commissions!$C$5:$C$244,D275,Commissions!$B$5:$B$244,Q275),2))</f>
        <v>0</v>
      </c>
      <c r="AA275" s="26">
        <f>IF(B275="","",ROUND(SUMIFS($H$5:$H$364,$D$5:$D$364,D275,$Q$5:$Q$364,Q275),2))</f>
        <v>0</v>
      </c>
      <c r="AB275" s="26">
        <f>IF(B275="","",ROUND(Z275-AA275,2))</f>
        <v>0</v>
      </c>
      <c r="AC275" s="26">
        <f>IF(B275="","",IF(IF(F275="",0,F275)=0,"",ROUND(Y275/F275,2)))</f>
        <v>0</v>
      </c>
      <c r="AD275" s="39">
        <f>IF(B275="","",IF(D275="","Add - who is this run for?",IF(IF(F275="",H275="",FALSE),"Add - no hours and no commission",IF(AB275&lt;-0.004,"Check - more commission paid than earned",IF(M275&lt;&gt;"Yes","Due - not paid yet",IF(N275="","Check - marked paid, no date","OK"))))))</f>
        <v>0</v>
      </c>
    </row>
    <row r="276" spans="1:30">
      <c r="A276" s="28">
        <f>IF(B276="","",PayrollPrefix&amp;TEXT(ROW()-4,"0000"))</f>
        <v>0</v>
      </c>
      <c r="E276" s="15">
        <f>IF(D276="","",IFERROR(INDEX(Staff!$B$5:$B$44,MATCH(D276,Staff!$A$5:$A$44,0)),"Not in Staff"))</f>
        <v>0</v>
      </c>
      <c r="Q276" s="15">
        <f>IF(B276="","",TEXT(B276,"yyyy-mm"))</f>
        <v>0</v>
      </c>
      <c r="R276" s="25">
        <f>IF(B276="","",WEEKNUM(B276,2))</f>
        <v>0</v>
      </c>
      <c r="S276" s="26">
        <f>IF(B276="","",IF(G276&lt;&gt;"",G276,IFERROR(IF(INDEX(Staff!$P$5:$P$44,MATCH(D276,Staff!$A$5:$A$44,0))="",DefaultHourly,INDEX(Staff!$P$5:$P$44,MATCH(D276,Staff!$A$5:$A$44,0))),DefaultHourly)))</f>
        <v>0</v>
      </c>
      <c r="T276" s="26">
        <f>IF(B276="","",ROUND(IF(F276="",0,F276)*S276,2))</f>
        <v>0</v>
      </c>
      <c r="U276" s="26">
        <f>IF(B276="","",ROUND(T276+IF(H276="",0,H276)+IF(J276="",0,J276)+IF(K276="",0,K276),2))</f>
        <v>0</v>
      </c>
      <c r="V276" s="26">
        <f>IF(B276="","",ROUND(U276-IF(L276="",0,L276),2))</f>
        <v>0</v>
      </c>
      <c r="W276" s="26">
        <f>IF(B276="","",ROUND(V276+IF(I276="",0,I276),2))</f>
        <v>0</v>
      </c>
      <c r="X276" s="26">
        <f>IF(B276="","",IF(IFERROR(INDEX(Staff!$E$5:$E$44,MATCH(D276,Staff!$A$5:$A$44,0))&amp;"","")="Self-employed",0,IF(IFERROR(INDEX(Staff!$E$5:$E$44,MATCH(D276,Staff!$A$5:$A$44,0))&amp;"","")="Chair renter",0,ROUND(U276*PayrollBurden,2))))</f>
        <v>0</v>
      </c>
      <c r="Y276" s="26">
        <f>IF(B276="","",ROUND(U276+X276,2))</f>
        <v>0</v>
      </c>
      <c r="Z276" s="26">
        <f>IF(B276="","",ROUND(SUMIFS(Commissions!$X$5:$X$244,Commissions!$C$5:$C$244,D276,Commissions!$B$5:$B$244,Q276),2))</f>
        <v>0</v>
      </c>
      <c r="AA276" s="26">
        <f>IF(B276="","",ROUND(SUMIFS($H$5:$H$364,$D$5:$D$364,D276,$Q$5:$Q$364,Q276),2))</f>
        <v>0</v>
      </c>
      <c r="AB276" s="26">
        <f>IF(B276="","",ROUND(Z276-AA276,2))</f>
        <v>0</v>
      </c>
      <c r="AC276" s="26">
        <f>IF(B276="","",IF(IF(F276="",0,F276)=0,"",ROUND(Y276/F276,2)))</f>
        <v>0</v>
      </c>
      <c r="AD276" s="39">
        <f>IF(B276="","",IF(D276="","Add - who is this run for?",IF(IF(F276="",H276="",FALSE),"Add - no hours and no commission",IF(AB276&lt;-0.004,"Check - more commission paid than earned",IF(M276&lt;&gt;"Yes","Due - not paid yet",IF(N276="","Check - marked paid, no date","OK"))))))</f>
        <v>0</v>
      </c>
    </row>
    <row r="277" spans="1:30">
      <c r="A277" s="28">
        <f>IF(B277="","",PayrollPrefix&amp;TEXT(ROW()-4,"0000"))</f>
        <v>0</v>
      </c>
      <c r="E277" s="15">
        <f>IF(D277="","",IFERROR(INDEX(Staff!$B$5:$B$44,MATCH(D277,Staff!$A$5:$A$44,0)),"Not in Staff"))</f>
        <v>0</v>
      </c>
      <c r="Q277" s="15">
        <f>IF(B277="","",TEXT(B277,"yyyy-mm"))</f>
        <v>0</v>
      </c>
      <c r="R277" s="25">
        <f>IF(B277="","",WEEKNUM(B277,2))</f>
        <v>0</v>
      </c>
      <c r="S277" s="26">
        <f>IF(B277="","",IF(G277&lt;&gt;"",G277,IFERROR(IF(INDEX(Staff!$P$5:$P$44,MATCH(D277,Staff!$A$5:$A$44,0))="",DefaultHourly,INDEX(Staff!$P$5:$P$44,MATCH(D277,Staff!$A$5:$A$44,0))),DefaultHourly)))</f>
        <v>0</v>
      </c>
      <c r="T277" s="26">
        <f>IF(B277="","",ROUND(IF(F277="",0,F277)*S277,2))</f>
        <v>0</v>
      </c>
      <c r="U277" s="26">
        <f>IF(B277="","",ROUND(T277+IF(H277="",0,H277)+IF(J277="",0,J277)+IF(K277="",0,K277),2))</f>
        <v>0</v>
      </c>
      <c r="V277" s="26">
        <f>IF(B277="","",ROUND(U277-IF(L277="",0,L277),2))</f>
        <v>0</v>
      </c>
      <c r="W277" s="26">
        <f>IF(B277="","",ROUND(V277+IF(I277="",0,I277),2))</f>
        <v>0</v>
      </c>
      <c r="X277" s="26">
        <f>IF(B277="","",IF(IFERROR(INDEX(Staff!$E$5:$E$44,MATCH(D277,Staff!$A$5:$A$44,0))&amp;"","")="Self-employed",0,IF(IFERROR(INDEX(Staff!$E$5:$E$44,MATCH(D277,Staff!$A$5:$A$44,0))&amp;"","")="Chair renter",0,ROUND(U277*PayrollBurden,2))))</f>
        <v>0</v>
      </c>
      <c r="Y277" s="26">
        <f>IF(B277="","",ROUND(U277+X277,2))</f>
        <v>0</v>
      </c>
      <c r="Z277" s="26">
        <f>IF(B277="","",ROUND(SUMIFS(Commissions!$X$5:$X$244,Commissions!$C$5:$C$244,D277,Commissions!$B$5:$B$244,Q277),2))</f>
        <v>0</v>
      </c>
      <c r="AA277" s="26">
        <f>IF(B277="","",ROUND(SUMIFS($H$5:$H$364,$D$5:$D$364,D277,$Q$5:$Q$364,Q277),2))</f>
        <v>0</v>
      </c>
      <c r="AB277" s="26">
        <f>IF(B277="","",ROUND(Z277-AA277,2))</f>
        <v>0</v>
      </c>
      <c r="AC277" s="26">
        <f>IF(B277="","",IF(IF(F277="",0,F277)=0,"",ROUND(Y277/F277,2)))</f>
        <v>0</v>
      </c>
      <c r="AD277" s="39">
        <f>IF(B277="","",IF(D277="","Add - who is this run for?",IF(IF(F277="",H277="",FALSE),"Add - no hours and no commission",IF(AB277&lt;-0.004,"Check - more commission paid than earned",IF(M277&lt;&gt;"Yes","Due - not paid yet",IF(N277="","Check - marked paid, no date","OK"))))))</f>
        <v>0</v>
      </c>
    </row>
    <row r="278" spans="1:30">
      <c r="A278" s="28">
        <f>IF(B278="","",PayrollPrefix&amp;TEXT(ROW()-4,"0000"))</f>
        <v>0</v>
      </c>
      <c r="E278" s="15">
        <f>IF(D278="","",IFERROR(INDEX(Staff!$B$5:$B$44,MATCH(D278,Staff!$A$5:$A$44,0)),"Not in Staff"))</f>
        <v>0</v>
      </c>
      <c r="Q278" s="15">
        <f>IF(B278="","",TEXT(B278,"yyyy-mm"))</f>
        <v>0</v>
      </c>
      <c r="R278" s="25">
        <f>IF(B278="","",WEEKNUM(B278,2))</f>
        <v>0</v>
      </c>
      <c r="S278" s="26">
        <f>IF(B278="","",IF(G278&lt;&gt;"",G278,IFERROR(IF(INDEX(Staff!$P$5:$P$44,MATCH(D278,Staff!$A$5:$A$44,0))="",DefaultHourly,INDEX(Staff!$P$5:$P$44,MATCH(D278,Staff!$A$5:$A$44,0))),DefaultHourly)))</f>
        <v>0</v>
      </c>
      <c r="T278" s="26">
        <f>IF(B278="","",ROUND(IF(F278="",0,F278)*S278,2))</f>
        <v>0</v>
      </c>
      <c r="U278" s="26">
        <f>IF(B278="","",ROUND(T278+IF(H278="",0,H278)+IF(J278="",0,J278)+IF(K278="",0,K278),2))</f>
        <v>0</v>
      </c>
      <c r="V278" s="26">
        <f>IF(B278="","",ROUND(U278-IF(L278="",0,L278),2))</f>
        <v>0</v>
      </c>
      <c r="W278" s="26">
        <f>IF(B278="","",ROUND(V278+IF(I278="",0,I278),2))</f>
        <v>0</v>
      </c>
      <c r="X278" s="26">
        <f>IF(B278="","",IF(IFERROR(INDEX(Staff!$E$5:$E$44,MATCH(D278,Staff!$A$5:$A$44,0))&amp;"","")="Self-employed",0,IF(IFERROR(INDEX(Staff!$E$5:$E$44,MATCH(D278,Staff!$A$5:$A$44,0))&amp;"","")="Chair renter",0,ROUND(U278*PayrollBurden,2))))</f>
        <v>0</v>
      </c>
      <c r="Y278" s="26">
        <f>IF(B278="","",ROUND(U278+X278,2))</f>
        <v>0</v>
      </c>
      <c r="Z278" s="26">
        <f>IF(B278="","",ROUND(SUMIFS(Commissions!$X$5:$X$244,Commissions!$C$5:$C$244,D278,Commissions!$B$5:$B$244,Q278),2))</f>
        <v>0</v>
      </c>
      <c r="AA278" s="26">
        <f>IF(B278="","",ROUND(SUMIFS($H$5:$H$364,$D$5:$D$364,D278,$Q$5:$Q$364,Q278),2))</f>
        <v>0</v>
      </c>
      <c r="AB278" s="26">
        <f>IF(B278="","",ROUND(Z278-AA278,2))</f>
        <v>0</v>
      </c>
      <c r="AC278" s="26">
        <f>IF(B278="","",IF(IF(F278="",0,F278)=0,"",ROUND(Y278/F278,2)))</f>
        <v>0</v>
      </c>
      <c r="AD278" s="39">
        <f>IF(B278="","",IF(D278="","Add - who is this run for?",IF(IF(F278="",H278="",FALSE),"Add - no hours and no commission",IF(AB278&lt;-0.004,"Check - more commission paid than earned",IF(M278&lt;&gt;"Yes","Due - not paid yet",IF(N278="","Check - marked paid, no date","OK"))))))</f>
        <v>0</v>
      </c>
    </row>
    <row r="279" spans="1:30">
      <c r="A279" s="28">
        <f>IF(B279="","",PayrollPrefix&amp;TEXT(ROW()-4,"0000"))</f>
        <v>0</v>
      </c>
      <c r="E279" s="15">
        <f>IF(D279="","",IFERROR(INDEX(Staff!$B$5:$B$44,MATCH(D279,Staff!$A$5:$A$44,0)),"Not in Staff"))</f>
        <v>0</v>
      </c>
      <c r="Q279" s="15">
        <f>IF(B279="","",TEXT(B279,"yyyy-mm"))</f>
        <v>0</v>
      </c>
      <c r="R279" s="25">
        <f>IF(B279="","",WEEKNUM(B279,2))</f>
        <v>0</v>
      </c>
      <c r="S279" s="26">
        <f>IF(B279="","",IF(G279&lt;&gt;"",G279,IFERROR(IF(INDEX(Staff!$P$5:$P$44,MATCH(D279,Staff!$A$5:$A$44,0))="",DefaultHourly,INDEX(Staff!$P$5:$P$44,MATCH(D279,Staff!$A$5:$A$44,0))),DefaultHourly)))</f>
        <v>0</v>
      </c>
      <c r="T279" s="26">
        <f>IF(B279="","",ROUND(IF(F279="",0,F279)*S279,2))</f>
        <v>0</v>
      </c>
      <c r="U279" s="26">
        <f>IF(B279="","",ROUND(T279+IF(H279="",0,H279)+IF(J279="",0,J279)+IF(K279="",0,K279),2))</f>
        <v>0</v>
      </c>
      <c r="V279" s="26">
        <f>IF(B279="","",ROUND(U279-IF(L279="",0,L279),2))</f>
        <v>0</v>
      </c>
      <c r="W279" s="26">
        <f>IF(B279="","",ROUND(V279+IF(I279="",0,I279),2))</f>
        <v>0</v>
      </c>
      <c r="X279" s="26">
        <f>IF(B279="","",IF(IFERROR(INDEX(Staff!$E$5:$E$44,MATCH(D279,Staff!$A$5:$A$44,0))&amp;"","")="Self-employed",0,IF(IFERROR(INDEX(Staff!$E$5:$E$44,MATCH(D279,Staff!$A$5:$A$44,0))&amp;"","")="Chair renter",0,ROUND(U279*PayrollBurden,2))))</f>
        <v>0</v>
      </c>
      <c r="Y279" s="26">
        <f>IF(B279="","",ROUND(U279+X279,2))</f>
        <v>0</v>
      </c>
      <c r="Z279" s="26">
        <f>IF(B279="","",ROUND(SUMIFS(Commissions!$X$5:$X$244,Commissions!$C$5:$C$244,D279,Commissions!$B$5:$B$244,Q279),2))</f>
        <v>0</v>
      </c>
      <c r="AA279" s="26">
        <f>IF(B279="","",ROUND(SUMIFS($H$5:$H$364,$D$5:$D$364,D279,$Q$5:$Q$364,Q279),2))</f>
        <v>0</v>
      </c>
      <c r="AB279" s="26">
        <f>IF(B279="","",ROUND(Z279-AA279,2))</f>
        <v>0</v>
      </c>
      <c r="AC279" s="26">
        <f>IF(B279="","",IF(IF(F279="",0,F279)=0,"",ROUND(Y279/F279,2)))</f>
        <v>0</v>
      </c>
      <c r="AD279" s="39">
        <f>IF(B279="","",IF(D279="","Add - who is this run for?",IF(IF(F279="",H279="",FALSE),"Add - no hours and no commission",IF(AB279&lt;-0.004,"Check - more commission paid than earned",IF(M279&lt;&gt;"Yes","Due - not paid yet",IF(N279="","Check - marked paid, no date","OK"))))))</f>
        <v>0</v>
      </c>
    </row>
    <row r="280" spans="1:30">
      <c r="A280" s="28">
        <f>IF(B280="","",PayrollPrefix&amp;TEXT(ROW()-4,"0000"))</f>
        <v>0</v>
      </c>
      <c r="E280" s="15">
        <f>IF(D280="","",IFERROR(INDEX(Staff!$B$5:$B$44,MATCH(D280,Staff!$A$5:$A$44,0)),"Not in Staff"))</f>
        <v>0</v>
      </c>
      <c r="Q280" s="15">
        <f>IF(B280="","",TEXT(B280,"yyyy-mm"))</f>
        <v>0</v>
      </c>
      <c r="R280" s="25">
        <f>IF(B280="","",WEEKNUM(B280,2))</f>
        <v>0</v>
      </c>
      <c r="S280" s="26">
        <f>IF(B280="","",IF(G280&lt;&gt;"",G280,IFERROR(IF(INDEX(Staff!$P$5:$P$44,MATCH(D280,Staff!$A$5:$A$44,0))="",DefaultHourly,INDEX(Staff!$P$5:$P$44,MATCH(D280,Staff!$A$5:$A$44,0))),DefaultHourly)))</f>
        <v>0</v>
      </c>
      <c r="T280" s="26">
        <f>IF(B280="","",ROUND(IF(F280="",0,F280)*S280,2))</f>
        <v>0</v>
      </c>
      <c r="U280" s="26">
        <f>IF(B280="","",ROUND(T280+IF(H280="",0,H280)+IF(J280="",0,J280)+IF(K280="",0,K280),2))</f>
        <v>0</v>
      </c>
      <c r="V280" s="26">
        <f>IF(B280="","",ROUND(U280-IF(L280="",0,L280),2))</f>
        <v>0</v>
      </c>
      <c r="W280" s="26">
        <f>IF(B280="","",ROUND(V280+IF(I280="",0,I280),2))</f>
        <v>0</v>
      </c>
      <c r="X280" s="26">
        <f>IF(B280="","",IF(IFERROR(INDEX(Staff!$E$5:$E$44,MATCH(D280,Staff!$A$5:$A$44,0))&amp;"","")="Self-employed",0,IF(IFERROR(INDEX(Staff!$E$5:$E$44,MATCH(D280,Staff!$A$5:$A$44,0))&amp;"","")="Chair renter",0,ROUND(U280*PayrollBurden,2))))</f>
        <v>0</v>
      </c>
      <c r="Y280" s="26">
        <f>IF(B280="","",ROUND(U280+X280,2))</f>
        <v>0</v>
      </c>
      <c r="Z280" s="26">
        <f>IF(B280="","",ROUND(SUMIFS(Commissions!$X$5:$X$244,Commissions!$C$5:$C$244,D280,Commissions!$B$5:$B$244,Q280),2))</f>
        <v>0</v>
      </c>
      <c r="AA280" s="26">
        <f>IF(B280="","",ROUND(SUMIFS($H$5:$H$364,$D$5:$D$364,D280,$Q$5:$Q$364,Q280),2))</f>
        <v>0</v>
      </c>
      <c r="AB280" s="26">
        <f>IF(B280="","",ROUND(Z280-AA280,2))</f>
        <v>0</v>
      </c>
      <c r="AC280" s="26">
        <f>IF(B280="","",IF(IF(F280="",0,F280)=0,"",ROUND(Y280/F280,2)))</f>
        <v>0</v>
      </c>
      <c r="AD280" s="39">
        <f>IF(B280="","",IF(D280="","Add - who is this run for?",IF(IF(F280="",H280="",FALSE),"Add - no hours and no commission",IF(AB280&lt;-0.004,"Check - more commission paid than earned",IF(M280&lt;&gt;"Yes","Due - not paid yet",IF(N280="","Check - marked paid, no date","OK"))))))</f>
        <v>0</v>
      </c>
    </row>
    <row r="281" spans="1:30">
      <c r="A281" s="28">
        <f>IF(B281="","",PayrollPrefix&amp;TEXT(ROW()-4,"0000"))</f>
        <v>0</v>
      </c>
      <c r="E281" s="15">
        <f>IF(D281="","",IFERROR(INDEX(Staff!$B$5:$B$44,MATCH(D281,Staff!$A$5:$A$44,0)),"Not in Staff"))</f>
        <v>0</v>
      </c>
      <c r="Q281" s="15">
        <f>IF(B281="","",TEXT(B281,"yyyy-mm"))</f>
        <v>0</v>
      </c>
      <c r="R281" s="25">
        <f>IF(B281="","",WEEKNUM(B281,2))</f>
        <v>0</v>
      </c>
      <c r="S281" s="26">
        <f>IF(B281="","",IF(G281&lt;&gt;"",G281,IFERROR(IF(INDEX(Staff!$P$5:$P$44,MATCH(D281,Staff!$A$5:$A$44,0))="",DefaultHourly,INDEX(Staff!$P$5:$P$44,MATCH(D281,Staff!$A$5:$A$44,0))),DefaultHourly)))</f>
        <v>0</v>
      </c>
      <c r="T281" s="26">
        <f>IF(B281="","",ROUND(IF(F281="",0,F281)*S281,2))</f>
        <v>0</v>
      </c>
      <c r="U281" s="26">
        <f>IF(B281="","",ROUND(T281+IF(H281="",0,H281)+IF(J281="",0,J281)+IF(K281="",0,K281),2))</f>
        <v>0</v>
      </c>
      <c r="V281" s="26">
        <f>IF(B281="","",ROUND(U281-IF(L281="",0,L281),2))</f>
        <v>0</v>
      </c>
      <c r="W281" s="26">
        <f>IF(B281="","",ROUND(V281+IF(I281="",0,I281),2))</f>
        <v>0</v>
      </c>
      <c r="X281" s="26">
        <f>IF(B281="","",IF(IFERROR(INDEX(Staff!$E$5:$E$44,MATCH(D281,Staff!$A$5:$A$44,0))&amp;"","")="Self-employed",0,IF(IFERROR(INDEX(Staff!$E$5:$E$44,MATCH(D281,Staff!$A$5:$A$44,0))&amp;"","")="Chair renter",0,ROUND(U281*PayrollBurden,2))))</f>
        <v>0</v>
      </c>
      <c r="Y281" s="26">
        <f>IF(B281="","",ROUND(U281+X281,2))</f>
        <v>0</v>
      </c>
      <c r="Z281" s="26">
        <f>IF(B281="","",ROUND(SUMIFS(Commissions!$X$5:$X$244,Commissions!$C$5:$C$244,D281,Commissions!$B$5:$B$244,Q281),2))</f>
        <v>0</v>
      </c>
      <c r="AA281" s="26">
        <f>IF(B281="","",ROUND(SUMIFS($H$5:$H$364,$D$5:$D$364,D281,$Q$5:$Q$364,Q281),2))</f>
        <v>0</v>
      </c>
      <c r="AB281" s="26">
        <f>IF(B281="","",ROUND(Z281-AA281,2))</f>
        <v>0</v>
      </c>
      <c r="AC281" s="26">
        <f>IF(B281="","",IF(IF(F281="",0,F281)=0,"",ROUND(Y281/F281,2)))</f>
        <v>0</v>
      </c>
      <c r="AD281" s="39">
        <f>IF(B281="","",IF(D281="","Add - who is this run for?",IF(IF(F281="",H281="",FALSE),"Add - no hours and no commission",IF(AB281&lt;-0.004,"Check - more commission paid than earned",IF(M281&lt;&gt;"Yes","Due - not paid yet",IF(N281="","Check - marked paid, no date","OK"))))))</f>
        <v>0</v>
      </c>
    </row>
    <row r="282" spans="1:30">
      <c r="A282" s="28">
        <f>IF(B282="","",PayrollPrefix&amp;TEXT(ROW()-4,"0000"))</f>
        <v>0</v>
      </c>
      <c r="E282" s="15">
        <f>IF(D282="","",IFERROR(INDEX(Staff!$B$5:$B$44,MATCH(D282,Staff!$A$5:$A$44,0)),"Not in Staff"))</f>
        <v>0</v>
      </c>
      <c r="Q282" s="15">
        <f>IF(B282="","",TEXT(B282,"yyyy-mm"))</f>
        <v>0</v>
      </c>
      <c r="R282" s="25">
        <f>IF(B282="","",WEEKNUM(B282,2))</f>
        <v>0</v>
      </c>
      <c r="S282" s="26">
        <f>IF(B282="","",IF(G282&lt;&gt;"",G282,IFERROR(IF(INDEX(Staff!$P$5:$P$44,MATCH(D282,Staff!$A$5:$A$44,0))="",DefaultHourly,INDEX(Staff!$P$5:$P$44,MATCH(D282,Staff!$A$5:$A$44,0))),DefaultHourly)))</f>
        <v>0</v>
      </c>
      <c r="T282" s="26">
        <f>IF(B282="","",ROUND(IF(F282="",0,F282)*S282,2))</f>
        <v>0</v>
      </c>
      <c r="U282" s="26">
        <f>IF(B282="","",ROUND(T282+IF(H282="",0,H282)+IF(J282="",0,J282)+IF(K282="",0,K282),2))</f>
        <v>0</v>
      </c>
      <c r="V282" s="26">
        <f>IF(B282="","",ROUND(U282-IF(L282="",0,L282),2))</f>
        <v>0</v>
      </c>
      <c r="W282" s="26">
        <f>IF(B282="","",ROUND(V282+IF(I282="",0,I282),2))</f>
        <v>0</v>
      </c>
      <c r="X282" s="26">
        <f>IF(B282="","",IF(IFERROR(INDEX(Staff!$E$5:$E$44,MATCH(D282,Staff!$A$5:$A$44,0))&amp;"","")="Self-employed",0,IF(IFERROR(INDEX(Staff!$E$5:$E$44,MATCH(D282,Staff!$A$5:$A$44,0))&amp;"","")="Chair renter",0,ROUND(U282*PayrollBurden,2))))</f>
        <v>0</v>
      </c>
      <c r="Y282" s="26">
        <f>IF(B282="","",ROUND(U282+X282,2))</f>
        <v>0</v>
      </c>
      <c r="Z282" s="26">
        <f>IF(B282="","",ROUND(SUMIFS(Commissions!$X$5:$X$244,Commissions!$C$5:$C$244,D282,Commissions!$B$5:$B$244,Q282),2))</f>
        <v>0</v>
      </c>
      <c r="AA282" s="26">
        <f>IF(B282="","",ROUND(SUMIFS($H$5:$H$364,$D$5:$D$364,D282,$Q$5:$Q$364,Q282),2))</f>
        <v>0</v>
      </c>
      <c r="AB282" s="26">
        <f>IF(B282="","",ROUND(Z282-AA282,2))</f>
        <v>0</v>
      </c>
      <c r="AC282" s="26">
        <f>IF(B282="","",IF(IF(F282="",0,F282)=0,"",ROUND(Y282/F282,2)))</f>
        <v>0</v>
      </c>
      <c r="AD282" s="39">
        <f>IF(B282="","",IF(D282="","Add - who is this run for?",IF(IF(F282="",H282="",FALSE),"Add - no hours and no commission",IF(AB282&lt;-0.004,"Check - more commission paid than earned",IF(M282&lt;&gt;"Yes","Due - not paid yet",IF(N282="","Check - marked paid, no date","OK"))))))</f>
        <v>0</v>
      </c>
    </row>
    <row r="283" spans="1:30">
      <c r="A283" s="28">
        <f>IF(B283="","",PayrollPrefix&amp;TEXT(ROW()-4,"0000"))</f>
        <v>0</v>
      </c>
      <c r="E283" s="15">
        <f>IF(D283="","",IFERROR(INDEX(Staff!$B$5:$B$44,MATCH(D283,Staff!$A$5:$A$44,0)),"Not in Staff"))</f>
        <v>0</v>
      </c>
      <c r="Q283" s="15">
        <f>IF(B283="","",TEXT(B283,"yyyy-mm"))</f>
        <v>0</v>
      </c>
      <c r="R283" s="25">
        <f>IF(B283="","",WEEKNUM(B283,2))</f>
        <v>0</v>
      </c>
      <c r="S283" s="26">
        <f>IF(B283="","",IF(G283&lt;&gt;"",G283,IFERROR(IF(INDEX(Staff!$P$5:$P$44,MATCH(D283,Staff!$A$5:$A$44,0))="",DefaultHourly,INDEX(Staff!$P$5:$P$44,MATCH(D283,Staff!$A$5:$A$44,0))),DefaultHourly)))</f>
        <v>0</v>
      </c>
      <c r="T283" s="26">
        <f>IF(B283="","",ROUND(IF(F283="",0,F283)*S283,2))</f>
        <v>0</v>
      </c>
      <c r="U283" s="26">
        <f>IF(B283="","",ROUND(T283+IF(H283="",0,H283)+IF(J283="",0,J283)+IF(K283="",0,K283),2))</f>
        <v>0</v>
      </c>
      <c r="V283" s="26">
        <f>IF(B283="","",ROUND(U283-IF(L283="",0,L283),2))</f>
        <v>0</v>
      </c>
      <c r="W283" s="26">
        <f>IF(B283="","",ROUND(V283+IF(I283="",0,I283),2))</f>
        <v>0</v>
      </c>
      <c r="X283" s="26">
        <f>IF(B283="","",IF(IFERROR(INDEX(Staff!$E$5:$E$44,MATCH(D283,Staff!$A$5:$A$44,0))&amp;"","")="Self-employed",0,IF(IFERROR(INDEX(Staff!$E$5:$E$44,MATCH(D283,Staff!$A$5:$A$44,0))&amp;"","")="Chair renter",0,ROUND(U283*PayrollBurden,2))))</f>
        <v>0</v>
      </c>
      <c r="Y283" s="26">
        <f>IF(B283="","",ROUND(U283+X283,2))</f>
        <v>0</v>
      </c>
      <c r="Z283" s="26">
        <f>IF(B283="","",ROUND(SUMIFS(Commissions!$X$5:$X$244,Commissions!$C$5:$C$244,D283,Commissions!$B$5:$B$244,Q283),2))</f>
        <v>0</v>
      </c>
      <c r="AA283" s="26">
        <f>IF(B283="","",ROUND(SUMIFS($H$5:$H$364,$D$5:$D$364,D283,$Q$5:$Q$364,Q283),2))</f>
        <v>0</v>
      </c>
      <c r="AB283" s="26">
        <f>IF(B283="","",ROUND(Z283-AA283,2))</f>
        <v>0</v>
      </c>
      <c r="AC283" s="26">
        <f>IF(B283="","",IF(IF(F283="",0,F283)=0,"",ROUND(Y283/F283,2)))</f>
        <v>0</v>
      </c>
      <c r="AD283" s="39">
        <f>IF(B283="","",IF(D283="","Add - who is this run for?",IF(IF(F283="",H283="",FALSE),"Add - no hours and no commission",IF(AB283&lt;-0.004,"Check - more commission paid than earned",IF(M283&lt;&gt;"Yes","Due - not paid yet",IF(N283="","Check - marked paid, no date","OK"))))))</f>
        <v>0</v>
      </c>
    </row>
    <row r="284" spans="1:30">
      <c r="A284" s="28">
        <f>IF(B284="","",PayrollPrefix&amp;TEXT(ROW()-4,"0000"))</f>
        <v>0</v>
      </c>
      <c r="E284" s="15">
        <f>IF(D284="","",IFERROR(INDEX(Staff!$B$5:$B$44,MATCH(D284,Staff!$A$5:$A$44,0)),"Not in Staff"))</f>
        <v>0</v>
      </c>
      <c r="Q284" s="15">
        <f>IF(B284="","",TEXT(B284,"yyyy-mm"))</f>
        <v>0</v>
      </c>
      <c r="R284" s="25">
        <f>IF(B284="","",WEEKNUM(B284,2))</f>
        <v>0</v>
      </c>
      <c r="S284" s="26">
        <f>IF(B284="","",IF(G284&lt;&gt;"",G284,IFERROR(IF(INDEX(Staff!$P$5:$P$44,MATCH(D284,Staff!$A$5:$A$44,0))="",DefaultHourly,INDEX(Staff!$P$5:$P$44,MATCH(D284,Staff!$A$5:$A$44,0))),DefaultHourly)))</f>
        <v>0</v>
      </c>
      <c r="T284" s="26">
        <f>IF(B284="","",ROUND(IF(F284="",0,F284)*S284,2))</f>
        <v>0</v>
      </c>
      <c r="U284" s="26">
        <f>IF(B284="","",ROUND(T284+IF(H284="",0,H284)+IF(J284="",0,J284)+IF(K284="",0,K284),2))</f>
        <v>0</v>
      </c>
      <c r="V284" s="26">
        <f>IF(B284="","",ROUND(U284-IF(L284="",0,L284),2))</f>
        <v>0</v>
      </c>
      <c r="W284" s="26">
        <f>IF(B284="","",ROUND(V284+IF(I284="",0,I284),2))</f>
        <v>0</v>
      </c>
      <c r="X284" s="26">
        <f>IF(B284="","",IF(IFERROR(INDEX(Staff!$E$5:$E$44,MATCH(D284,Staff!$A$5:$A$44,0))&amp;"","")="Self-employed",0,IF(IFERROR(INDEX(Staff!$E$5:$E$44,MATCH(D284,Staff!$A$5:$A$44,0))&amp;"","")="Chair renter",0,ROUND(U284*PayrollBurden,2))))</f>
        <v>0</v>
      </c>
      <c r="Y284" s="26">
        <f>IF(B284="","",ROUND(U284+X284,2))</f>
        <v>0</v>
      </c>
      <c r="Z284" s="26">
        <f>IF(B284="","",ROUND(SUMIFS(Commissions!$X$5:$X$244,Commissions!$C$5:$C$244,D284,Commissions!$B$5:$B$244,Q284),2))</f>
        <v>0</v>
      </c>
      <c r="AA284" s="26">
        <f>IF(B284="","",ROUND(SUMIFS($H$5:$H$364,$D$5:$D$364,D284,$Q$5:$Q$364,Q284),2))</f>
        <v>0</v>
      </c>
      <c r="AB284" s="26">
        <f>IF(B284="","",ROUND(Z284-AA284,2))</f>
        <v>0</v>
      </c>
      <c r="AC284" s="26">
        <f>IF(B284="","",IF(IF(F284="",0,F284)=0,"",ROUND(Y284/F284,2)))</f>
        <v>0</v>
      </c>
      <c r="AD284" s="39">
        <f>IF(B284="","",IF(D284="","Add - who is this run for?",IF(IF(F284="",H284="",FALSE),"Add - no hours and no commission",IF(AB284&lt;-0.004,"Check - more commission paid than earned",IF(M284&lt;&gt;"Yes","Due - not paid yet",IF(N284="","Check - marked paid, no date","OK"))))))</f>
        <v>0</v>
      </c>
    </row>
    <row r="285" spans="1:30">
      <c r="A285" s="28">
        <f>IF(B285="","",PayrollPrefix&amp;TEXT(ROW()-4,"0000"))</f>
        <v>0</v>
      </c>
      <c r="E285" s="15">
        <f>IF(D285="","",IFERROR(INDEX(Staff!$B$5:$B$44,MATCH(D285,Staff!$A$5:$A$44,0)),"Not in Staff"))</f>
        <v>0</v>
      </c>
      <c r="Q285" s="15">
        <f>IF(B285="","",TEXT(B285,"yyyy-mm"))</f>
        <v>0</v>
      </c>
      <c r="R285" s="25">
        <f>IF(B285="","",WEEKNUM(B285,2))</f>
        <v>0</v>
      </c>
      <c r="S285" s="26">
        <f>IF(B285="","",IF(G285&lt;&gt;"",G285,IFERROR(IF(INDEX(Staff!$P$5:$P$44,MATCH(D285,Staff!$A$5:$A$44,0))="",DefaultHourly,INDEX(Staff!$P$5:$P$44,MATCH(D285,Staff!$A$5:$A$44,0))),DefaultHourly)))</f>
        <v>0</v>
      </c>
      <c r="T285" s="26">
        <f>IF(B285="","",ROUND(IF(F285="",0,F285)*S285,2))</f>
        <v>0</v>
      </c>
      <c r="U285" s="26">
        <f>IF(B285="","",ROUND(T285+IF(H285="",0,H285)+IF(J285="",0,J285)+IF(K285="",0,K285),2))</f>
        <v>0</v>
      </c>
      <c r="V285" s="26">
        <f>IF(B285="","",ROUND(U285-IF(L285="",0,L285),2))</f>
        <v>0</v>
      </c>
      <c r="W285" s="26">
        <f>IF(B285="","",ROUND(V285+IF(I285="",0,I285),2))</f>
        <v>0</v>
      </c>
      <c r="X285" s="26">
        <f>IF(B285="","",IF(IFERROR(INDEX(Staff!$E$5:$E$44,MATCH(D285,Staff!$A$5:$A$44,0))&amp;"","")="Self-employed",0,IF(IFERROR(INDEX(Staff!$E$5:$E$44,MATCH(D285,Staff!$A$5:$A$44,0))&amp;"","")="Chair renter",0,ROUND(U285*PayrollBurden,2))))</f>
        <v>0</v>
      </c>
      <c r="Y285" s="26">
        <f>IF(B285="","",ROUND(U285+X285,2))</f>
        <v>0</v>
      </c>
      <c r="Z285" s="26">
        <f>IF(B285="","",ROUND(SUMIFS(Commissions!$X$5:$X$244,Commissions!$C$5:$C$244,D285,Commissions!$B$5:$B$244,Q285),2))</f>
        <v>0</v>
      </c>
      <c r="AA285" s="26">
        <f>IF(B285="","",ROUND(SUMIFS($H$5:$H$364,$D$5:$D$364,D285,$Q$5:$Q$364,Q285),2))</f>
        <v>0</v>
      </c>
      <c r="AB285" s="26">
        <f>IF(B285="","",ROUND(Z285-AA285,2))</f>
        <v>0</v>
      </c>
      <c r="AC285" s="26">
        <f>IF(B285="","",IF(IF(F285="",0,F285)=0,"",ROUND(Y285/F285,2)))</f>
        <v>0</v>
      </c>
      <c r="AD285" s="39">
        <f>IF(B285="","",IF(D285="","Add - who is this run for?",IF(IF(F285="",H285="",FALSE),"Add - no hours and no commission",IF(AB285&lt;-0.004,"Check - more commission paid than earned",IF(M285&lt;&gt;"Yes","Due - not paid yet",IF(N285="","Check - marked paid, no date","OK"))))))</f>
        <v>0</v>
      </c>
    </row>
    <row r="286" spans="1:30">
      <c r="A286" s="28">
        <f>IF(B286="","",PayrollPrefix&amp;TEXT(ROW()-4,"0000"))</f>
        <v>0</v>
      </c>
      <c r="E286" s="15">
        <f>IF(D286="","",IFERROR(INDEX(Staff!$B$5:$B$44,MATCH(D286,Staff!$A$5:$A$44,0)),"Not in Staff"))</f>
        <v>0</v>
      </c>
      <c r="Q286" s="15">
        <f>IF(B286="","",TEXT(B286,"yyyy-mm"))</f>
        <v>0</v>
      </c>
      <c r="R286" s="25">
        <f>IF(B286="","",WEEKNUM(B286,2))</f>
        <v>0</v>
      </c>
      <c r="S286" s="26">
        <f>IF(B286="","",IF(G286&lt;&gt;"",G286,IFERROR(IF(INDEX(Staff!$P$5:$P$44,MATCH(D286,Staff!$A$5:$A$44,0))="",DefaultHourly,INDEX(Staff!$P$5:$P$44,MATCH(D286,Staff!$A$5:$A$44,0))),DefaultHourly)))</f>
        <v>0</v>
      </c>
      <c r="T286" s="26">
        <f>IF(B286="","",ROUND(IF(F286="",0,F286)*S286,2))</f>
        <v>0</v>
      </c>
      <c r="U286" s="26">
        <f>IF(B286="","",ROUND(T286+IF(H286="",0,H286)+IF(J286="",0,J286)+IF(K286="",0,K286),2))</f>
        <v>0</v>
      </c>
      <c r="V286" s="26">
        <f>IF(B286="","",ROUND(U286-IF(L286="",0,L286),2))</f>
        <v>0</v>
      </c>
      <c r="W286" s="26">
        <f>IF(B286="","",ROUND(V286+IF(I286="",0,I286),2))</f>
        <v>0</v>
      </c>
      <c r="X286" s="26">
        <f>IF(B286="","",IF(IFERROR(INDEX(Staff!$E$5:$E$44,MATCH(D286,Staff!$A$5:$A$44,0))&amp;"","")="Self-employed",0,IF(IFERROR(INDEX(Staff!$E$5:$E$44,MATCH(D286,Staff!$A$5:$A$44,0))&amp;"","")="Chair renter",0,ROUND(U286*PayrollBurden,2))))</f>
        <v>0</v>
      </c>
      <c r="Y286" s="26">
        <f>IF(B286="","",ROUND(U286+X286,2))</f>
        <v>0</v>
      </c>
      <c r="Z286" s="26">
        <f>IF(B286="","",ROUND(SUMIFS(Commissions!$X$5:$X$244,Commissions!$C$5:$C$244,D286,Commissions!$B$5:$B$244,Q286),2))</f>
        <v>0</v>
      </c>
      <c r="AA286" s="26">
        <f>IF(B286="","",ROUND(SUMIFS($H$5:$H$364,$D$5:$D$364,D286,$Q$5:$Q$364,Q286),2))</f>
        <v>0</v>
      </c>
      <c r="AB286" s="26">
        <f>IF(B286="","",ROUND(Z286-AA286,2))</f>
        <v>0</v>
      </c>
      <c r="AC286" s="26">
        <f>IF(B286="","",IF(IF(F286="",0,F286)=0,"",ROUND(Y286/F286,2)))</f>
        <v>0</v>
      </c>
      <c r="AD286" s="39">
        <f>IF(B286="","",IF(D286="","Add - who is this run for?",IF(IF(F286="",H286="",FALSE),"Add - no hours and no commission",IF(AB286&lt;-0.004,"Check - more commission paid than earned",IF(M286&lt;&gt;"Yes","Due - not paid yet",IF(N286="","Check - marked paid, no date","OK"))))))</f>
        <v>0</v>
      </c>
    </row>
    <row r="287" spans="1:30">
      <c r="A287" s="28">
        <f>IF(B287="","",PayrollPrefix&amp;TEXT(ROW()-4,"0000"))</f>
        <v>0</v>
      </c>
      <c r="E287" s="15">
        <f>IF(D287="","",IFERROR(INDEX(Staff!$B$5:$B$44,MATCH(D287,Staff!$A$5:$A$44,0)),"Not in Staff"))</f>
        <v>0</v>
      </c>
      <c r="Q287" s="15">
        <f>IF(B287="","",TEXT(B287,"yyyy-mm"))</f>
        <v>0</v>
      </c>
      <c r="R287" s="25">
        <f>IF(B287="","",WEEKNUM(B287,2))</f>
        <v>0</v>
      </c>
      <c r="S287" s="26">
        <f>IF(B287="","",IF(G287&lt;&gt;"",G287,IFERROR(IF(INDEX(Staff!$P$5:$P$44,MATCH(D287,Staff!$A$5:$A$44,0))="",DefaultHourly,INDEX(Staff!$P$5:$P$44,MATCH(D287,Staff!$A$5:$A$44,0))),DefaultHourly)))</f>
        <v>0</v>
      </c>
      <c r="T287" s="26">
        <f>IF(B287="","",ROUND(IF(F287="",0,F287)*S287,2))</f>
        <v>0</v>
      </c>
      <c r="U287" s="26">
        <f>IF(B287="","",ROUND(T287+IF(H287="",0,H287)+IF(J287="",0,J287)+IF(K287="",0,K287),2))</f>
        <v>0</v>
      </c>
      <c r="V287" s="26">
        <f>IF(B287="","",ROUND(U287-IF(L287="",0,L287),2))</f>
        <v>0</v>
      </c>
      <c r="W287" s="26">
        <f>IF(B287="","",ROUND(V287+IF(I287="",0,I287),2))</f>
        <v>0</v>
      </c>
      <c r="X287" s="26">
        <f>IF(B287="","",IF(IFERROR(INDEX(Staff!$E$5:$E$44,MATCH(D287,Staff!$A$5:$A$44,0))&amp;"","")="Self-employed",0,IF(IFERROR(INDEX(Staff!$E$5:$E$44,MATCH(D287,Staff!$A$5:$A$44,0))&amp;"","")="Chair renter",0,ROUND(U287*PayrollBurden,2))))</f>
        <v>0</v>
      </c>
      <c r="Y287" s="26">
        <f>IF(B287="","",ROUND(U287+X287,2))</f>
        <v>0</v>
      </c>
      <c r="Z287" s="26">
        <f>IF(B287="","",ROUND(SUMIFS(Commissions!$X$5:$X$244,Commissions!$C$5:$C$244,D287,Commissions!$B$5:$B$244,Q287),2))</f>
        <v>0</v>
      </c>
      <c r="AA287" s="26">
        <f>IF(B287="","",ROUND(SUMIFS($H$5:$H$364,$D$5:$D$364,D287,$Q$5:$Q$364,Q287),2))</f>
        <v>0</v>
      </c>
      <c r="AB287" s="26">
        <f>IF(B287="","",ROUND(Z287-AA287,2))</f>
        <v>0</v>
      </c>
      <c r="AC287" s="26">
        <f>IF(B287="","",IF(IF(F287="",0,F287)=0,"",ROUND(Y287/F287,2)))</f>
        <v>0</v>
      </c>
      <c r="AD287" s="39">
        <f>IF(B287="","",IF(D287="","Add - who is this run for?",IF(IF(F287="",H287="",FALSE),"Add - no hours and no commission",IF(AB287&lt;-0.004,"Check - more commission paid than earned",IF(M287&lt;&gt;"Yes","Due - not paid yet",IF(N287="","Check - marked paid, no date","OK"))))))</f>
        <v>0</v>
      </c>
    </row>
    <row r="288" spans="1:30">
      <c r="A288" s="28">
        <f>IF(B288="","",PayrollPrefix&amp;TEXT(ROW()-4,"0000"))</f>
        <v>0</v>
      </c>
      <c r="E288" s="15">
        <f>IF(D288="","",IFERROR(INDEX(Staff!$B$5:$B$44,MATCH(D288,Staff!$A$5:$A$44,0)),"Not in Staff"))</f>
        <v>0</v>
      </c>
      <c r="Q288" s="15">
        <f>IF(B288="","",TEXT(B288,"yyyy-mm"))</f>
        <v>0</v>
      </c>
      <c r="R288" s="25">
        <f>IF(B288="","",WEEKNUM(B288,2))</f>
        <v>0</v>
      </c>
      <c r="S288" s="26">
        <f>IF(B288="","",IF(G288&lt;&gt;"",G288,IFERROR(IF(INDEX(Staff!$P$5:$P$44,MATCH(D288,Staff!$A$5:$A$44,0))="",DefaultHourly,INDEX(Staff!$P$5:$P$44,MATCH(D288,Staff!$A$5:$A$44,0))),DefaultHourly)))</f>
        <v>0</v>
      </c>
      <c r="T288" s="26">
        <f>IF(B288="","",ROUND(IF(F288="",0,F288)*S288,2))</f>
        <v>0</v>
      </c>
      <c r="U288" s="26">
        <f>IF(B288="","",ROUND(T288+IF(H288="",0,H288)+IF(J288="",0,J288)+IF(K288="",0,K288),2))</f>
        <v>0</v>
      </c>
      <c r="V288" s="26">
        <f>IF(B288="","",ROUND(U288-IF(L288="",0,L288),2))</f>
        <v>0</v>
      </c>
      <c r="W288" s="26">
        <f>IF(B288="","",ROUND(V288+IF(I288="",0,I288),2))</f>
        <v>0</v>
      </c>
      <c r="X288" s="26">
        <f>IF(B288="","",IF(IFERROR(INDEX(Staff!$E$5:$E$44,MATCH(D288,Staff!$A$5:$A$44,0))&amp;"","")="Self-employed",0,IF(IFERROR(INDEX(Staff!$E$5:$E$44,MATCH(D288,Staff!$A$5:$A$44,0))&amp;"","")="Chair renter",0,ROUND(U288*PayrollBurden,2))))</f>
        <v>0</v>
      </c>
      <c r="Y288" s="26">
        <f>IF(B288="","",ROUND(U288+X288,2))</f>
        <v>0</v>
      </c>
      <c r="Z288" s="26">
        <f>IF(B288="","",ROUND(SUMIFS(Commissions!$X$5:$X$244,Commissions!$C$5:$C$244,D288,Commissions!$B$5:$B$244,Q288),2))</f>
        <v>0</v>
      </c>
      <c r="AA288" s="26">
        <f>IF(B288="","",ROUND(SUMIFS($H$5:$H$364,$D$5:$D$364,D288,$Q$5:$Q$364,Q288),2))</f>
        <v>0</v>
      </c>
      <c r="AB288" s="26">
        <f>IF(B288="","",ROUND(Z288-AA288,2))</f>
        <v>0</v>
      </c>
      <c r="AC288" s="26">
        <f>IF(B288="","",IF(IF(F288="",0,F288)=0,"",ROUND(Y288/F288,2)))</f>
        <v>0</v>
      </c>
      <c r="AD288" s="39">
        <f>IF(B288="","",IF(D288="","Add - who is this run for?",IF(IF(F288="",H288="",FALSE),"Add - no hours and no commission",IF(AB288&lt;-0.004,"Check - more commission paid than earned",IF(M288&lt;&gt;"Yes","Due - not paid yet",IF(N288="","Check - marked paid, no date","OK"))))))</f>
        <v>0</v>
      </c>
    </row>
    <row r="289" spans="1:30">
      <c r="A289" s="28">
        <f>IF(B289="","",PayrollPrefix&amp;TEXT(ROW()-4,"0000"))</f>
        <v>0</v>
      </c>
      <c r="E289" s="15">
        <f>IF(D289="","",IFERROR(INDEX(Staff!$B$5:$B$44,MATCH(D289,Staff!$A$5:$A$44,0)),"Not in Staff"))</f>
        <v>0</v>
      </c>
      <c r="Q289" s="15">
        <f>IF(B289="","",TEXT(B289,"yyyy-mm"))</f>
        <v>0</v>
      </c>
      <c r="R289" s="25">
        <f>IF(B289="","",WEEKNUM(B289,2))</f>
        <v>0</v>
      </c>
      <c r="S289" s="26">
        <f>IF(B289="","",IF(G289&lt;&gt;"",G289,IFERROR(IF(INDEX(Staff!$P$5:$P$44,MATCH(D289,Staff!$A$5:$A$44,0))="",DefaultHourly,INDEX(Staff!$P$5:$P$44,MATCH(D289,Staff!$A$5:$A$44,0))),DefaultHourly)))</f>
        <v>0</v>
      </c>
      <c r="T289" s="26">
        <f>IF(B289="","",ROUND(IF(F289="",0,F289)*S289,2))</f>
        <v>0</v>
      </c>
      <c r="U289" s="26">
        <f>IF(B289="","",ROUND(T289+IF(H289="",0,H289)+IF(J289="",0,J289)+IF(K289="",0,K289),2))</f>
        <v>0</v>
      </c>
      <c r="V289" s="26">
        <f>IF(B289="","",ROUND(U289-IF(L289="",0,L289),2))</f>
        <v>0</v>
      </c>
      <c r="W289" s="26">
        <f>IF(B289="","",ROUND(V289+IF(I289="",0,I289),2))</f>
        <v>0</v>
      </c>
      <c r="X289" s="26">
        <f>IF(B289="","",IF(IFERROR(INDEX(Staff!$E$5:$E$44,MATCH(D289,Staff!$A$5:$A$44,0))&amp;"","")="Self-employed",0,IF(IFERROR(INDEX(Staff!$E$5:$E$44,MATCH(D289,Staff!$A$5:$A$44,0))&amp;"","")="Chair renter",0,ROUND(U289*PayrollBurden,2))))</f>
        <v>0</v>
      </c>
      <c r="Y289" s="26">
        <f>IF(B289="","",ROUND(U289+X289,2))</f>
        <v>0</v>
      </c>
      <c r="Z289" s="26">
        <f>IF(B289="","",ROUND(SUMIFS(Commissions!$X$5:$X$244,Commissions!$C$5:$C$244,D289,Commissions!$B$5:$B$244,Q289),2))</f>
        <v>0</v>
      </c>
      <c r="AA289" s="26">
        <f>IF(B289="","",ROUND(SUMIFS($H$5:$H$364,$D$5:$D$364,D289,$Q$5:$Q$364,Q289),2))</f>
        <v>0</v>
      </c>
      <c r="AB289" s="26">
        <f>IF(B289="","",ROUND(Z289-AA289,2))</f>
        <v>0</v>
      </c>
      <c r="AC289" s="26">
        <f>IF(B289="","",IF(IF(F289="",0,F289)=0,"",ROUND(Y289/F289,2)))</f>
        <v>0</v>
      </c>
      <c r="AD289" s="39">
        <f>IF(B289="","",IF(D289="","Add - who is this run for?",IF(IF(F289="",H289="",FALSE),"Add - no hours and no commission",IF(AB289&lt;-0.004,"Check - more commission paid than earned",IF(M289&lt;&gt;"Yes","Due - not paid yet",IF(N289="","Check - marked paid, no date","OK"))))))</f>
        <v>0</v>
      </c>
    </row>
    <row r="290" spans="1:30">
      <c r="A290" s="28">
        <f>IF(B290="","",PayrollPrefix&amp;TEXT(ROW()-4,"0000"))</f>
        <v>0</v>
      </c>
      <c r="E290" s="15">
        <f>IF(D290="","",IFERROR(INDEX(Staff!$B$5:$B$44,MATCH(D290,Staff!$A$5:$A$44,0)),"Not in Staff"))</f>
        <v>0</v>
      </c>
      <c r="Q290" s="15">
        <f>IF(B290="","",TEXT(B290,"yyyy-mm"))</f>
        <v>0</v>
      </c>
      <c r="R290" s="25">
        <f>IF(B290="","",WEEKNUM(B290,2))</f>
        <v>0</v>
      </c>
      <c r="S290" s="26">
        <f>IF(B290="","",IF(G290&lt;&gt;"",G290,IFERROR(IF(INDEX(Staff!$P$5:$P$44,MATCH(D290,Staff!$A$5:$A$44,0))="",DefaultHourly,INDEX(Staff!$P$5:$P$44,MATCH(D290,Staff!$A$5:$A$44,0))),DefaultHourly)))</f>
        <v>0</v>
      </c>
      <c r="T290" s="26">
        <f>IF(B290="","",ROUND(IF(F290="",0,F290)*S290,2))</f>
        <v>0</v>
      </c>
      <c r="U290" s="26">
        <f>IF(B290="","",ROUND(T290+IF(H290="",0,H290)+IF(J290="",0,J290)+IF(K290="",0,K290),2))</f>
        <v>0</v>
      </c>
      <c r="V290" s="26">
        <f>IF(B290="","",ROUND(U290-IF(L290="",0,L290),2))</f>
        <v>0</v>
      </c>
      <c r="W290" s="26">
        <f>IF(B290="","",ROUND(V290+IF(I290="",0,I290),2))</f>
        <v>0</v>
      </c>
      <c r="X290" s="26">
        <f>IF(B290="","",IF(IFERROR(INDEX(Staff!$E$5:$E$44,MATCH(D290,Staff!$A$5:$A$44,0))&amp;"","")="Self-employed",0,IF(IFERROR(INDEX(Staff!$E$5:$E$44,MATCH(D290,Staff!$A$5:$A$44,0))&amp;"","")="Chair renter",0,ROUND(U290*PayrollBurden,2))))</f>
        <v>0</v>
      </c>
      <c r="Y290" s="26">
        <f>IF(B290="","",ROUND(U290+X290,2))</f>
        <v>0</v>
      </c>
      <c r="Z290" s="26">
        <f>IF(B290="","",ROUND(SUMIFS(Commissions!$X$5:$X$244,Commissions!$C$5:$C$244,D290,Commissions!$B$5:$B$244,Q290),2))</f>
        <v>0</v>
      </c>
      <c r="AA290" s="26">
        <f>IF(B290="","",ROUND(SUMIFS($H$5:$H$364,$D$5:$D$364,D290,$Q$5:$Q$364,Q290),2))</f>
        <v>0</v>
      </c>
      <c r="AB290" s="26">
        <f>IF(B290="","",ROUND(Z290-AA290,2))</f>
        <v>0</v>
      </c>
      <c r="AC290" s="26">
        <f>IF(B290="","",IF(IF(F290="",0,F290)=0,"",ROUND(Y290/F290,2)))</f>
        <v>0</v>
      </c>
      <c r="AD290" s="39">
        <f>IF(B290="","",IF(D290="","Add - who is this run for?",IF(IF(F290="",H290="",FALSE),"Add - no hours and no commission",IF(AB290&lt;-0.004,"Check - more commission paid than earned",IF(M290&lt;&gt;"Yes","Due - not paid yet",IF(N290="","Check - marked paid, no date","OK"))))))</f>
        <v>0</v>
      </c>
    </row>
    <row r="291" spans="1:30">
      <c r="A291" s="28">
        <f>IF(B291="","",PayrollPrefix&amp;TEXT(ROW()-4,"0000"))</f>
        <v>0</v>
      </c>
      <c r="E291" s="15">
        <f>IF(D291="","",IFERROR(INDEX(Staff!$B$5:$B$44,MATCH(D291,Staff!$A$5:$A$44,0)),"Not in Staff"))</f>
        <v>0</v>
      </c>
      <c r="Q291" s="15">
        <f>IF(B291="","",TEXT(B291,"yyyy-mm"))</f>
        <v>0</v>
      </c>
      <c r="R291" s="25">
        <f>IF(B291="","",WEEKNUM(B291,2))</f>
        <v>0</v>
      </c>
      <c r="S291" s="26">
        <f>IF(B291="","",IF(G291&lt;&gt;"",G291,IFERROR(IF(INDEX(Staff!$P$5:$P$44,MATCH(D291,Staff!$A$5:$A$44,0))="",DefaultHourly,INDEX(Staff!$P$5:$P$44,MATCH(D291,Staff!$A$5:$A$44,0))),DefaultHourly)))</f>
        <v>0</v>
      </c>
      <c r="T291" s="26">
        <f>IF(B291="","",ROUND(IF(F291="",0,F291)*S291,2))</f>
        <v>0</v>
      </c>
      <c r="U291" s="26">
        <f>IF(B291="","",ROUND(T291+IF(H291="",0,H291)+IF(J291="",0,J291)+IF(K291="",0,K291),2))</f>
        <v>0</v>
      </c>
      <c r="V291" s="26">
        <f>IF(B291="","",ROUND(U291-IF(L291="",0,L291),2))</f>
        <v>0</v>
      </c>
      <c r="W291" s="26">
        <f>IF(B291="","",ROUND(V291+IF(I291="",0,I291),2))</f>
        <v>0</v>
      </c>
      <c r="X291" s="26">
        <f>IF(B291="","",IF(IFERROR(INDEX(Staff!$E$5:$E$44,MATCH(D291,Staff!$A$5:$A$44,0))&amp;"","")="Self-employed",0,IF(IFERROR(INDEX(Staff!$E$5:$E$44,MATCH(D291,Staff!$A$5:$A$44,0))&amp;"","")="Chair renter",0,ROUND(U291*PayrollBurden,2))))</f>
        <v>0</v>
      </c>
      <c r="Y291" s="26">
        <f>IF(B291="","",ROUND(U291+X291,2))</f>
        <v>0</v>
      </c>
      <c r="Z291" s="26">
        <f>IF(B291="","",ROUND(SUMIFS(Commissions!$X$5:$X$244,Commissions!$C$5:$C$244,D291,Commissions!$B$5:$B$244,Q291),2))</f>
        <v>0</v>
      </c>
      <c r="AA291" s="26">
        <f>IF(B291="","",ROUND(SUMIFS($H$5:$H$364,$D$5:$D$364,D291,$Q$5:$Q$364,Q291),2))</f>
        <v>0</v>
      </c>
      <c r="AB291" s="26">
        <f>IF(B291="","",ROUND(Z291-AA291,2))</f>
        <v>0</v>
      </c>
      <c r="AC291" s="26">
        <f>IF(B291="","",IF(IF(F291="",0,F291)=0,"",ROUND(Y291/F291,2)))</f>
        <v>0</v>
      </c>
      <c r="AD291" s="39">
        <f>IF(B291="","",IF(D291="","Add - who is this run for?",IF(IF(F291="",H291="",FALSE),"Add - no hours and no commission",IF(AB291&lt;-0.004,"Check - more commission paid than earned",IF(M291&lt;&gt;"Yes","Due - not paid yet",IF(N291="","Check - marked paid, no date","OK"))))))</f>
        <v>0</v>
      </c>
    </row>
    <row r="292" spans="1:30">
      <c r="A292" s="28">
        <f>IF(B292="","",PayrollPrefix&amp;TEXT(ROW()-4,"0000"))</f>
        <v>0</v>
      </c>
      <c r="E292" s="15">
        <f>IF(D292="","",IFERROR(INDEX(Staff!$B$5:$B$44,MATCH(D292,Staff!$A$5:$A$44,0)),"Not in Staff"))</f>
        <v>0</v>
      </c>
      <c r="Q292" s="15">
        <f>IF(B292="","",TEXT(B292,"yyyy-mm"))</f>
        <v>0</v>
      </c>
      <c r="R292" s="25">
        <f>IF(B292="","",WEEKNUM(B292,2))</f>
        <v>0</v>
      </c>
      <c r="S292" s="26">
        <f>IF(B292="","",IF(G292&lt;&gt;"",G292,IFERROR(IF(INDEX(Staff!$P$5:$P$44,MATCH(D292,Staff!$A$5:$A$44,0))="",DefaultHourly,INDEX(Staff!$P$5:$P$44,MATCH(D292,Staff!$A$5:$A$44,0))),DefaultHourly)))</f>
        <v>0</v>
      </c>
      <c r="T292" s="26">
        <f>IF(B292="","",ROUND(IF(F292="",0,F292)*S292,2))</f>
        <v>0</v>
      </c>
      <c r="U292" s="26">
        <f>IF(B292="","",ROUND(T292+IF(H292="",0,H292)+IF(J292="",0,J292)+IF(K292="",0,K292),2))</f>
        <v>0</v>
      </c>
      <c r="V292" s="26">
        <f>IF(B292="","",ROUND(U292-IF(L292="",0,L292),2))</f>
        <v>0</v>
      </c>
      <c r="W292" s="26">
        <f>IF(B292="","",ROUND(V292+IF(I292="",0,I292),2))</f>
        <v>0</v>
      </c>
      <c r="X292" s="26">
        <f>IF(B292="","",IF(IFERROR(INDEX(Staff!$E$5:$E$44,MATCH(D292,Staff!$A$5:$A$44,0))&amp;"","")="Self-employed",0,IF(IFERROR(INDEX(Staff!$E$5:$E$44,MATCH(D292,Staff!$A$5:$A$44,0))&amp;"","")="Chair renter",0,ROUND(U292*PayrollBurden,2))))</f>
        <v>0</v>
      </c>
      <c r="Y292" s="26">
        <f>IF(B292="","",ROUND(U292+X292,2))</f>
        <v>0</v>
      </c>
      <c r="Z292" s="26">
        <f>IF(B292="","",ROUND(SUMIFS(Commissions!$X$5:$X$244,Commissions!$C$5:$C$244,D292,Commissions!$B$5:$B$244,Q292),2))</f>
        <v>0</v>
      </c>
      <c r="AA292" s="26">
        <f>IF(B292="","",ROUND(SUMIFS($H$5:$H$364,$D$5:$D$364,D292,$Q$5:$Q$364,Q292),2))</f>
        <v>0</v>
      </c>
      <c r="AB292" s="26">
        <f>IF(B292="","",ROUND(Z292-AA292,2))</f>
        <v>0</v>
      </c>
      <c r="AC292" s="26">
        <f>IF(B292="","",IF(IF(F292="",0,F292)=0,"",ROUND(Y292/F292,2)))</f>
        <v>0</v>
      </c>
      <c r="AD292" s="39">
        <f>IF(B292="","",IF(D292="","Add - who is this run for?",IF(IF(F292="",H292="",FALSE),"Add - no hours and no commission",IF(AB292&lt;-0.004,"Check - more commission paid than earned",IF(M292&lt;&gt;"Yes","Due - not paid yet",IF(N292="","Check - marked paid, no date","OK"))))))</f>
        <v>0</v>
      </c>
    </row>
    <row r="293" spans="1:30">
      <c r="A293" s="28">
        <f>IF(B293="","",PayrollPrefix&amp;TEXT(ROW()-4,"0000"))</f>
        <v>0</v>
      </c>
      <c r="E293" s="15">
        <f>IF(D293="","",IFERROR(INDEX(Staff!$B$5:$B$44,MATCH(D293,Staff!$A$5:$A$44,0)),"Not in Staff"))</f>
        <v>0</v>
      </c>
      <c r="Q293" s="15">
        <f>IF(B293="","",TEXT(B293,"yyyy-mm"))</f>
        <v>0</v>
      </c>
      <c r="R293" s="25">
        <f>IF(B293="","",WEEKNUM(B293,2))</f>
        <v>0</v>
      </c>
      <c r="S293" s="26">
        <f>IF(B293="","",IF(G293&lt;&gt;"",G293,IFERROR(IF(INDEX(Staff!$P$5:$P$44,MATCH(D293,Staff!$A$5:$A$44,0))="",DefaultHourly,INDEX(Staff!$P$5:$P$44,MATCH(D293,Staff!$A$5:$A$44,0))),DefaultHourly)))</f>
        <v>0</v>
      </c>
      <c r="T293" s="26">
        <f>IF(B293="","",ROUND(IF(F293="",0,F293)*S293,2))</f>
        <v>0</v>
      </c>
      <c r="U293" s="26">
        <f>IF(B293="","",ROUND(T293+IF(H293="",0,H293)+IF(J293="",0,J293)+IF(K293="",0,K293),2))</f>
        <v>0</v>
      </c>
      <c r="V293" s="26">
        <f>IF(B293="","",ROUND(U293-IF(L293="",0,L293),2))</f>
        <v>0</v>
      </c>
      <c r="W293" s="26">
        <f>IF(B293="","",ROUND(V293+IF(I293="",0,I293),2))</f>
        <v>0</v>
      </c>
      <c r="X293" s="26">
        <f>IF(B293="","",IF(IFERROR(INDEX(Staff!$E$5:$E$44,MATCH(D293,Staff!$A$5:$A$44,0))&amp;"","")="Self-employed",0,IF(IFERROR(INDEX(Staff!$E$5:$E$44,MATCH(D293,Staff!$A$5:$A$44,0))&amp;"","")="Chair renter",0,ROUND(U293*PayrollBurden,2))))</f>
        <v>0</v>
      </c>
      <c r="Y293" s="26">
        <f>IF(B293="","",ROUND(U293+X293,2))</f>
        <v>0</v>
      </c>
      <c r="Z293" s="26">
        <f>IF(B293="","",ROUND(SUMIFS(Commissions!$X$5:$X$244,Commissions!$C$5:$C$244,D293,Commissions!$B$5:$B$244,Q293),2))</f>
        <v>0</v>
      </c>
      <c r="AA293" s="26">
        <f>IF(B293="","",ROUND(SUMIFS($H$5:$H$364,$D$5:$D$364,D293,$Q$5:$Q$364,Q293),2))</f>
        <v>0</v>
      </c>
      <c r="AB293" s="26">
        <f>IF(B293="","",ROUND(Z293-AA293,2))</f>
        <v>0</v>
      </c>
      <c r="AC293" s="26">
        <f>IF(B293="","",IF(IF(F293="",0,F293)=0,"",ROUND(Y293/F293,2)))</f>
        <v>0</v>
      </c>
      <c r="AD293" s="39">
        <f>IF(B293="","",IF(D293="","Add - who is this run for?",IF(IF(F293="",H293="",FALSE),"Add - no hours and no commission",IF(AB293&lt;-0.004,"Check - more commission paid than earned",IF(M293&lt;&gt;"Yes","Due - not paid yet",IF(N293="","Check - marked paid, no date","OK"))))))</f>
        <v>0</v>
      </c>
    </row>
    <row r="294" spans="1:30">
      <c r="A294" s="28">
        <f>IF(B294="","",PayrollPrefix&amp;TEXT(ROW()-4,"0000"))</f>
        <v>0</v>
      </c>
      <c r="E294" s="15">
        <f>IF(D294="","",IFERROR(INDEX(Staff!$B$5:$B$44,MATCH(D294,Staff!$A$5:$A$44,0)),"Not in Staff"))</f>
        <v>0</v>
      </c>
      <c r="Q294" s="15">
        <f>IF(B294="","",TEXT(B294,"yyyy-mm"))</f>
        <v>0</v>
      </c>
      <c r="R294" s="25">
        <f>IF(B294="","",WEEKNUM(B294,2))</f>
        <v>0</v>
      </c>
      <c r="S294" s="26">
        <f>IF(B294="","",IF(G294&lt;&gt;"",G294,IFERROR(IF(INDEX(Staff!$P$5:$P$44,MATCH(D294,Staff!$A$5:$A$44,0))="",DefaultHourly,INDEX(Staff!$P$5:$P$44,MATCH(D294,Staff!$A$5:$A$44,0))),DefaultHourly)))</f>
        <v>0</v>
      </c>
      <c r="T294" s="26">
        <f>IF(B294="","",ROUND(IF(F294="",0,F294)*S294,2))</f>
        <v>0</v>
      </c>
      <c r="U294" s="26">
        <f>IF(B294="","",ROUND(T294+IF(H294="",0,H294)+IF(J294="",0,J294)+IF(K294="",0,K294),2))</f>
        <v>0</v>
      </c>
      <c r="V294" s="26">
        <f>IF(B294="","",ROUND(U294-IF(L294="",0,L294),2))</f>
        <v>0</v>
      </c>
      <c r="W294" s="26">
        <f>IF(B294="","",ROUND(V294+IF(I294="",0,I294),2))</f>
        <v>0</v>
      </c>
      <c r="X294" s="26">
        <f>IF(B294="","",IF(IFERROR(INDEX(Staff!$E$5:$E$44,MATCH(D294,Staff!$A$5:$A$44,0))&amp;"","")="Self-employed",0,IF(IFERROR(INDEX(Staff!$E$5:$E$44,MATCH(D294,Staff!$A$5:$A$44,0))&amp;"","")="Chair renter",0,ROUND(U294*PayrollBurden,2))))</f>
        <v>0</v>
      </c>
      <c r="Y294" s="26">
        <f>IF(B294="","",ROUND(U294+X294,2))</f>
        <v>0</v>
      </c>
      <c r="Z294" s="26">
        <f>IF(B294="","",ROUND(SUMIFS(Commissions!$X$5:$X$244,Commissions!$C$5:$C$244,D294,Commissions!$B$5:$B$244,Q294),2))</f>
        <v>0</v>
      </c>
      <c r="AA294" s="26">
        <f>IF(B294="","",ROUND(SUMIFS($H$5:$H$364,$D$5:$D$364,D294,$Q$5:$Q$364,Q294),2))</f>
        <v>0</v>
      </c>
      <c r="AB294" s="26">
        <f>IF(B294="","",ROUND(Z294-AA294,2))</f>
        <v>0</v>
      </c>
      <c r="AC294" s="26">
        <f>IF(B294="","",IF(IF(F294="",0,F294)=0,"",ROUND(Y294/F294,2)))</f>
        <v>0</v>
      </c>
      <c r="AD294" s="39">
        <f>IF(B294="","",IF(D294="","Add - who is this run for?",IF(IF(F294="",H294="",FALSE),"Add - no hours and no commission",IF(AB294&lt;-0.004,"Check - more commission paid than earned",IF(M294&lt;&gt;"Yes","Due - not paid yet",IF(N294="","Check - marked paid, no date","OK"))))))</f>
        <v>0</v>
      </c>
    </row>
    <row r="295" spans="1:30">
      <c r="A295" s="28">
        <f>IF(B295="","",PayrollPrefix&amp;TEXT(ROW()-4,"0000"))</f>
        <v>0</v>
      </c>
      <c r="E295" s="15">
        <f>IF(D295="","",IFERROR(INDEX(Staff!$B$5:$B$44,MATCH(D295,Staff!$A$5:$A$44,0)),"Not in Staff"))</f>
        <v>0</v>
      </c>
      <c r="Q295" s="15">
        <f>IF(B295="","",TEXT(B295,"yyyy-mm"))</f>
        <v>0</v>
      </c>
      <c r="R295" s="25">
        <f>IF(B295="","",WEEKNUM(B295,2))</f>
        <v>0</v>
      </c>
      <c r="S295" s="26">
        <f>IF(B295="","",IF(G295&lt;&gt;"",G295,IFERROR(IF(INDEX(Staff!$P$5:$P$44,MATCH(D295,Staff!$A$5:$A$44,0))="",DefaultHourly,INDEX(Staff!$P$5:$P$44,MATCH(D295,Staff!$A$5:$A$44,0))),DefaultHourly)))</f>
        <v>0</v>
      </c>
      <c r="T295" s="26">
        <f>IF(B295="","",ROUND(IF(F295="",0,F295)*S295,2))</f>
        <v>0</v>
      </c>
      <c r="U295" s="26">
        <f>IF(B295="","",ROUND(T295+IF(H295="",0,H295)+IF(J295="",0,J295)+IF(K295="",0,K295),2))</f>
        <v>0</v>
      </c>
      <c r="V295" s="26">
        <f>IF(B295="","",ROUND(U295-IF(L295="",0,L295),2))</f>
        <v>0</v>
      </c>
      <c r="W295" s="26">
        <f>IF(B295="","",ROUND(V295+IF(I295="",0,I295),2))</f>
        <v>0</v>
      </c>
      <c r="X295" s="26">
        <f>IF(B295="","",IF(IFERROR(INDEX(Staff!$E$5:$E$44,MATCH(D295,Staff!$A$5:$A$44,0))&amp;"","")="Self-employed",0,IF(IFERROR(INDEX(Staff!$E$5:$E$44,MATCH(D295,Staff!$A$5:$A$44,0))&amp;"","")="Chair renter",0,ROUND(U295*PayrollBurden,2))))</f>
        <v>0</v>
      </c>
      <c r="Y295" s="26">
        <f>IF(B295="","",ROUND(U295+X295,2))</f>
        <v>0</v>
      </c>
      <c r="Z295" s="26">
        <f>IF(B295="","",ROUND(SUMIFS(Commissions!$X$5:$X$244,Commissions!$C$5:$C$244,D295,Commissions!$B$5:$B$244,Q295),2))</f>
        <v>0</v>
      </c>
      <c r="AA295" s="26">
        <f>IF(B295="","",ROUND(SUMIFS($H$5:$H$364,$D$5:$D$364,D295,$Q$5:$Q$364,Q295),2))</f>
        <v>0</v>
      </c>
      <c r="AB295" s="26">
        <f>IF(B295="","",ROUND(Z295-AA295,2))</f>
        <v>0</v>
      </c>
      <c r="AC295" s="26">
        <f>IF(B295="","",IF(IF(F295="",0,F295)=0,"",ROUND(Y295/F295,2)))</f>
        <v>0</v>
      </c>
      <c r="AD295" s="39">
        <f>IF(B295="","",IF(D295="","Add - who is this run for?",IF(IF(F295="",H295="",FALSE),"Add - no hours and no commission",IF(AB295&lt;-0.004,"Check - more commission paid than earned",IF(M295&lt;&gt;"Yes","Due - not paid yet",IF(N295="","Check - marked paid, no date","OK"))))))</f>
        <v>0</v>
      </c>
    </row>
    <row r="296" spans="1:30">
      <c r="A296" s="28">
        <f>IF(B296="","",PayrollPrefix&amp;TEXT(ROW()-4,"0000"))</f>
        <v>0</v>
      </c>
      <c r="E296" s="15">
        <f>IF(D296="","",IFERROR(INDEX(Staff!$B$5:$B$44,MATCH(D296,Staff!$A$5:$A$44,0)),"Not in Staff"))</f>
        <v>0</v>
      </c>
      <c r="Q296" s="15">
        <f>IF(B296="","",TEXT(B296,"yyyy-mm"))</f>
        <v>0</v>
      </c>
      <c r="R296" s="25">
        <f>IF(B296="","",WEEKNUM(B296,2))</f>
        <v>0</v>
      </c>
      <c r="S296" s="26">
        <f>IF(B296="","",IF(G296&lt;&gt;"",G296,IFERROR(IF(INDEX(Staff!$P$5:$P$44,MATCH(D296,Staff!$A$5:$A$44,0))="",DefaultHourly,INDEX(Staff!$P$5:$P$44,MATCH(D296,Staff!$A$5:$A$44,0))),DefaultHourly)))</f>
        <v>0</v>
      </c>
      <c r="T296" s="26">
        <f>IF(B296="","",ROUND(IF(F296="",0,F296)*S296,2))</f>
        <v>0</v>
      </c>
      <c r="U296" s="26">
        <f>IF(B296="","",ROUND(T296+IF(H296="",0,H296)+IF(J296="",0,J296)+IF(K296="",0,K296),2))</f>
        <v>0</v>
      </c>
      <c r="V296" s="26">
        <f>IF(B296="","",ROUND(U296-IF(L296="",0,L296),2))</f>
        <v>0</v>
      </c>
      <c r="W296" s="26">
        <f>IF(B296="","",ROUND(V296+IF(I296="",0,I296),2))</f>
        <v>0</v>
      </c>
      <c r="X296" s="26">
        <f>IF(B296="","",IF(IFERROR(INDEX(Staff!$E$5:$E$44,MATCH(D296,Staff!$A$5:$A$44,0))&amp;"","")="Self-employed",0,IF(IFERROR(INDEX(Staff!$E$5:$E$44,MATCH(D296,Staff!$A$5:$A$44,0))&amp;"","")="Chair renter",0,ROUND(U296*PayrollBurden,2))))</f>
        <v>0</v>
      </c>
      <c r="Y296" s="26">
        <f>IF(B296="","",ROUND(U296+X296,2))</f>
        <v>0</v>
      </c>
      <c r="Z296" s="26">
        <f>IF(B296="","",ROUND(SUMIFS(Commissions!$X$5:$X$244,Commissions!$C$5:$C$244,D296,Commissions!$B$5:$B$244,Q296),2))</f>
        <v>0</v>
      </c>
      <c r="AA296" s="26">
        <f>IF(B296="","",ROUND(SUMIFS($H$5:$H$364,$D$5:$D$364,D296,$Q$5:$Q$364,Q296),2))</f>
        <v>0</v>
      </c>
      <c r="AB296" s="26">
        <f>IF(B296="","",ROUND(Z296-AA296,2))</f>
        <v>0</v>
      </c>
      <c r="AC296" s="26">
        <f>IF(B296="","",IF(IF(F296="",0,F296)=0,"",ROUND(Y296/F296,2)))</f>
        <v>0</v>
      </c>
      <c r="AD296" s="39">
        <f>IF(B296="","",IF(D296="","Add - who is this run for?",IF(IF(F296="",H296="",FALSE),"Add - no hours and no commission",IF(AB296&lt;-0.004,"Check - more commission paid than earned",IF(M296&lt;&gt;"Yes","Due - not paid yet",IF(N296="","Check - marked paid, no date","OK"))))))</f>
        <v>0</v>
      </c>
    </row>
    <row r="297" spans="1:30">
      <c r="A297" s="28">
        <f>IF(B297="","",PayrollPrefix&amp;TEXT(ROW()-4,"0000"))</f>
        <v>0</v>
      </c>
      <c r="E297" s="15">
        <f>IF(D297="","",IFERROR(INDEX(Staff!$B$5:$B$44,MATCH(D297,Staff!$A$5:$A$44,0)),"Not in Staff"))</f>
        <v>0</v>
      </c>
      <c r="Q297" s="15">
        <f>IF(B297="","",TEXT(B297,"yyyy-mm"))</f>
        <v>0</v>
      </c>
      <c r="R297" s="25">
        <f>IF(B297="","",WEEKNUM(B297,2))</f>
        <v>0</v>
      </c>
      <c r="S297" s="26">
        <f>IF(B297="","",IF(G297&lt;&gt;"",G297,IFERROR(IF(INDEX(Staff!$P$5:$P$44,MATCH(D297,Staff!$A$5:$A$44,0))="",DefaultHourly,INDEX(Staff!$P$5:$P$44,MATCH(D297,Staff!$A$5:$A$44,0))),DefaultHourly)))</f>
        <v>0</v>
      </c>
      <c r="T297" s="26">
        <f>IF(B297="","",ROUND(IF(F297="",0,F297)*S297,2))</f>
        <v>0</v>
      </c>
      <c r="U297" s="26">
        <f>IF(B297="","",ROUND(T297+IF(H297="",0,H297)+IF(J297="",0,J297)+IF(K297="",0,K297),2))</f>
        <v>0</v>
      </c>
      <c r="V297" s="26">
        <f>IF(B297="","",ROUND(U297-IF(L297="",0,L297),2))</f>
        <v>0</v>
      </c>
      <c r="W297" s="26">
        <f>IF(B297="","",ROUND(V297+IF(I297="",0,I297),2))</f>
        <v>0</v>
      </c>
      <c r="X297" s="26">
        <f>IF(B297="","",IF(IFERROR(INDEX(Staff!$E$5:$E$44,MATCH(D297,Staff!$A$5:$A$44,0))&amp;"","")="Self-employed",0,IF(IFERROR(INDEX(Staff!$E$5:$E$44,MATCH(D297,Staff!$A$5:$A$44,0))&amp;"","")="Chair renter",0,ROUND(U297*PayrollBurden,2))))</f>
        <v>0</v>
      </c>
      <c r="Y297" s="26">
        <f>IF(B297="","",ROUND(U297+X297,2))</f>
        <v>0</v>
      </c>
      <c r="Z297" s="26">
        <f>IF(B297="","",ROUND(SUMIFS(Commissions!$X$5:$X$244,Commissions!$C$5:$C$244,D297,Commissions!$B$5:$B$244,Q297),2))</f>
        <v>0</v>
      </c>
      <c r="AA297" s="26">
        <f>IF(B297="","",ROUND(SUMIFS($H$5:$H$364,$D$5:$D$364,D297,$Q$5:$Q$364,Q297),2))</f>
        <v>0</v>
      </c>
      <c r="AB297" s="26">
        <f>IF(B297="","",ROUND(Z297-AA297,2))</f>
        <v>0</v>
      </c>
      <c r="AC297" s="26">
        <f>IF(B297="","",IF(IF(F297="",0,F297)=0,"",ROUND(Y297/F297,2)))</f>
        <v>0</v>
      </c>
      <c r="AD297" s="39">
        <f>IF(B297="","",IF(D297="","Add - who is this run for?",IF(IF(F297="",H297="",FALSE),"Add - no hours and no commission",IF(AB297&lt;-0.004,"Check - more commission paid than earned",IF(M297&lt;&gt;"Yes","Due - not paid yet",IF(N297="","Check - marked paid, no date","OK"))))))</f>
        <v>0</v>
      </c>
    </row>
    <row r="298" spans="1:30">
      <c r="A298" s="28">
        <f>IF(B298="","",PayrollPrefix&amp;TEXT(ROW()-4,"0000"))</f>
        <v>0</v>
      </c>
      <c r="E298" s="15">
        <f>IF(D298="","",IFERROR(INDEX(Staff!$B$5:$B$44,MATCH(D298,Staff!$A$5:$A$44,0)),"Not in Staff"))</f>
        <v>0</v>
      </c>
      <c r="Q298" s="15">
        <f>IF(B298="","",TEXT(B298,"yyyy-mm"))</f>
        <v>0</v>
      </c>
      <c r="R298" s="25">
        <f>IF(B298="","",WEEKNUM(B298,2))</f>
        <v>0</v>
      </c>
      <c r="S298" s="26">
        <f>IF(B298="","",IF(G298&lt;&gt;"",G298,IFERROR(IF(INDEX(Staff!$P$5:$P$44,MATCH(D298,Staff!$A$5:$A$44,0))="",DefaultHourly,INDEX(Staff!$P$5:$P$44,MATCH(D298,Staff!$A$5:$A$44,0))),DefaultHourly)))</f>
        <v>0</v>
      </c>
      <c r="T298" s="26">
        <f>IF(B298="","",ROUND(IF(F298="",0,F298)*S298,2))</f>
        <v>0</v>
      </c>
      <c r="U298" s="26">
        <f>IF(B298="","",ROUND(T298+IF(H298="",0,H298)+IF(J298="",0,J298)+IF(K298="",0,K298),2))</f>
        <v>0</v>
      </c>
      <c r="V298" s="26">
        <f>IF(B298="","",ROUND(U298-IF(L298="",0,L298),2))</f>
        <v>0</v>
      </c>
      <c r="W298" s="26">
        <f>IF(B298="","",ROUND(V298+IF(I298="",0,I298),2))</f>
        <v>0</v>
      </c>
      <c r="X298" s="26">
        <f>IF(B298="","",IF(IFERROR(INDEX(Staff!$E$5:$E$44,MATCH(D298,Staff!$A$5:$A$44,0))&amp;"","")="Self-employed",0,IF(IFERROR(INDEX(Staff!$E$5:$E$44,MATCH(D298,Staff!$A$5:$A$44,0))&amp;"","")="Chair renter",0,ROUND(U298*PayrollBurden,2))))</f>
        <v>0</v>
      </c>
      <c r="Y298" s="26">
        <f>IF(B298="","",ROUND(U298+X298,2))</f>
        <v>0</v>
      </c>
      <c r="Z298" s="26">
        <f>IF(B298="","",ROUND(SUMIFS(Commissions!$X$5:$X$244,Commissions!$C$5:$C$244,D298,Commissions!$B$5:$B$244,Q298),2))</f>
        <v>0</v>
      </c>
      <c r="AA298" s="26">
        <f>IF(B298="","",ROUND(SUMIFS($H$5:$H$364,$D$5:$D$364,D298,$Q$5:$Q$364,Q298),2))</f>
        <v>0</v>
      </c>
      <c r="AB298" s="26">
        <f>IF(B298="","",ROUND(Z298-AA298,2))</f>
        <v>0</v>
      </c>
      <c r="AC298" s="26">
        <f>IF(B298="","",IF(IF(F298="",0,F298)=0,"",ROUND(Y298/F298,2)))</f>
        <v>0</v>
      </c>
      <c r="AD298" s="39">
        <f>IF(B298="","",IF(D298="","Add - who is this run for?",IF(IF(F298="",H298="",FALSE),"Add - no hours and no commission",IF(AB298&lt;-0.004,"Check - more commission paid than earned",IF(M298&lt;&gt;"Yes","Due - not paid yet",IF(N298="","Check - marked paid, no date","OK"))))))</f>
        <v>0</v>
      </c>
    </row>
    <row r="299" spans="1:30">
      <c r="A299" s="28">
        <f>IF(B299="","",PayrollPrefix&amp;TEXT(ROW()-4,"0000"))</f>
        <v>0</v>
      </c>
      <c r="E299" s="15">
        <f>IF(D299="","",IFERROR(INDEX(Staff!$B$5:$B$44,MATCH(D299,Staff!$A$5:$A$44,0)),"Not in Staff"))</f>
        <v>0</v>
      </c>
      <c r="Q299" s="15">
        <f>IF(B299="","",TEXT(B299,"yyyy-mm"))</f>
        <v>0</v>
      </c>
      <c r="R299" s="25">
        <f>IF(B299="","",WEEKNUM(B299,2))</f>
        <v>0</v>
      </c>
      <c r="S299" s="26">
        <f>IF(B299="","",IF(G299&lt;&gt;"",G299,IFERROR(IF(INDEX(Staff!$P$5:$P$44,MATCH(D299,Staff!$A$5:$A$44,0))="",DefaultHourly,INDEX(Staff!$P$5:$P$44,MATCH(D299,Staff!$A$5:$A$44,0))),DefaultHourly)))</f>
        <v>0</v>
      </c>
      <c r="T299" s="26">
        <f>IF(B299="","",ROUND(IF(F299="",0,F299)*S299,2))</f>
        <v>0</v>
      </c>
      <c r="U299" s="26">
        <f>IF(B299="","",ROUND(T299+IF(H299="",0,H299)+IF(J299="",0,J299)+IF(K299="",0,K299),2))</f>
        <v>0</v>
      </c>
      <c r="V299" s="26">
        <f>IF(B299="","",ROUND(U299-IF(L299="",0,L299),2))</f>
        <v>0</v>
      </c>
      <c r="W299" s="26">
        <f>IF(B299="","",ROUND(V299+IF(I299="",0,I299),2))</f>
        <v>0</v>
      </c>
      <c r="X299" s="26">
        <f>IF(B299="","",IF(IFERROR(INDEX(Staff!$E$5:$E$44,MATCH(D299,Staff!$A$5:$A$44,0))&amp;"","")="Self-employed",0,IF(IFERROR(INDEX(Staff!$E$5:$E$44,MATCH(D299,Staff!$A$5:$A$44,0))&amp;"","")="Chair renter",0,ROUND(U299*PayrollBurden,2))))</f>
        <v>0</v>
      </c>
      <c r="Y299" s="26">
        <f>IF(B299="","",ROUND(U299+X299,2))</f>
        <v>0</v>
      </c>
      <c r="Z299" s="26">
        <f>IF(B299="","",ROUND(SUMIFS(Commissions!$X$5:$X$244,Commissions!$C$5:$C$244,D299,Commissions!$B$5:$B$244,Q299),2))</f>
        <v>0</v>
      </c>
      <c r="AA299" s="26">
        <f>IF(B299="","",ROUND(SUMIFS($H$5:$H$364,$D$5:$D$364,D299,$Q$5:$Q$364,Q299),2))</f>
        <v>0</v>
      </c>
      <c r="AB299" s="26">
        <f>IF(B299="","",ROUND(Z299-AA299,2))</f>
        <v>0</v>
      </c>
      <c r="AC299" s="26">
        <f>IF(B299="","",IF(IF(F299="",0,F299)=0,"",ROUND(Y299/F299,2)))</f>
        <v>0</v>
      </c>
      <c r="AD299" s="39">
        <f>IF(B299="","",IF(D299="","Add - who is this run for?",IF(IF(F299="",H299="",FALSE),"Add - no hours and no commission",IF(AB299&lt;-0.004,"Check - more commission paid than earned",IF(M299&lt;&gt;"Yes","Due - not paid yet",IF(N299="","Check - marked paid, no date","OK"))))))</f>
        <v>0</v>
      </c>
    </row>
    <row r="300" spans="1:30">
      <c r="A300" s="28">
        <f>IF(B300="","",PayrollPrefix&amp;TEXT(ROW()-4,"0000"))</f>
        <v>0</v>
      </c>
      <c r="E300" s="15">
        <f>IF(D300="","",IFERROR(INDEX(Staff!$B$5:$B$44,MATCH(D300,Staff!$A$5:$A$44,0)),"Not in Staff"))</f>
        <v>0</v>
      </c>
      <c r="Q300" s="15">
        <f>IF(B300="","",TEXT(B300,"yyyy-mm"))</f>
        <v>0</v>
      </c>
      <c r="R300" s="25">
        <f>IF(B300="","",WEEKNUM(B300,2))</f>
        <v>0</v>
      </c>
      <c r="S300" s="26">
        <f>IF(B300="","",IF(G300&lt;&gt;"",G300,IFERROR(IF(INDEX(Staff!$P$5:$P$44,MATCH(D300,Staff!$A$5:$A$44,0))="",DefaultHourly,INDEX(Staff!$P$5:$P$44,MATCH(D300,Staff!$A$5:$A$44,0))),DefaultHourly)))</f>
        <v>0</v>
      </c>
      <c r="T300" s="26">
        <f>IF(B300="","",ROUND(IF(F300="",0,F300)*S300,2))</f>
        <v>0</v>
      </c>
      <c r="U300" s="26">
        <f>IF(B300="","",ROUND(T300+IF(H300="",0,H300)+IF(J300="",0,J300)+IF(K300="",0,K300),2))</f>
        <v>0</v>
      </c>
      <c r="V300" s="26">
        <f>IF(B300="","",ROUND(U300-IF(L300="",0,L300),2))</f>
        <v>0</v>
      </c>
      <c r="W300" s="26">
        <f>IF(B300="","",ROUND(V300+IF(I300="",0,I300),2))</f>
        <v>0</v>
      </c>
      <c r="X300" s="26">
        <f>IF(B300="","",IF(IFERROR(INDEX(Staff!$E$5:$E$44,MATCH(D300,Staff!$A$5:$A$44,0))&amp;"","")="Self-employed",0,IF(IFERROR(INDEX(Staff!$E$5:$E$44,MATCH(D300,Staff!$A$5:$A$44,0))&amp;"","")="Chair renter",0,ROUND(U300*PayrollBurden,2))))</f>
        <v>0</v>
      </c>
      <c r="Y300" s="26">
        <f>IF(B300="","",ROUND(U300+X300,2))</f>
        <v>0</v>
      </c>
      <c r="Z300" s="26">
        <f>IF(B300="","",ROUND(SUMIFS(Commissions!$X$5:$X$244,Commissions!$C$5:$C$244,D300,Commissions!$B$5:$B$244,Q300),2))</f>
        <v>0</v>
      </c>
      <c r="AA300" s="26">
        <f>IF(B300="","",ROUND(SUMIFS($H$5:$H$364,$D$5:$D$364,D300,$Q$5:$Q$364,Q300),2))</f>
        <v>0</v>
      </c>
      <c r="AB300" s="26">
        <f>IF(B300="","",ROUND(Z300-AA300,2))</f>
        <v>0</v>
      </c>
      <c r="AC300" s="26">
        <f>IF(B300="","",IF(IF(F300="",0,F300)=0,"",ROUND(Y300/F300,2)))</f>
        <v>0</v>
      </c>
      <c r="AD300" s="39">
        <f>IF(B300="","",IF(D300="","Add - who is this run for?",IF(IF(F300="",H300="",FALSE),"Add - no hours and no commission",IF(AB300&lt;-0.004,"Check - more commission paid than earned",IF(M300&lt;&gt;"Yes","Due - not paid yet",IF(N300="","Check - marked paid, no date","OK"))))))</f>
        <v>0</v>
      </c>
    </row>
    <row r="301" spans="1:30">
      <c r="A301" s="28">
        <f>IF(B301="","",PayrollPrefix&amp;TEXT(ROW()-4,"0000"))</f>
        <v>0</v>
      </c>
      <c r="E301" s="15">
        <f>IF(D301="","",IFERROR(INDEX(Staff!$B$5:$B$44,MATCH(D301,Staff!$A$5:$A$44,0)),"Not in Staff"))</f>
        <v>0</v>
      </c>
      <c r="Q301" s="15">
        <f>IF(B301="","",TEXT(B301,"yyyy-mm"))</f>
        <v>0</v>
      </c>
      <c r="R301" s="25">
        <f>IF(B301="","",WEEKNUM(B301,2))</f>
        <v>0</v>
      </c>
      <c r="S301" s="26">
        <f>IF(B301="","",IF(G301&lt;&gt;"",G301,IFERROR(IF(INDEX(Staff!$P$5:$P$44,MATCH(D301,Staff!$A$5:$A$44,0))="",DefaultHourly,INDEX(Staff!$P$5:$P$44,MATCH(D301,Staff!$A$5:$A$44,0))),DefaultHourly)))</f>
        <v>0</v>
      </c>
      <c r="T301" s="26">
        <f>IF(B301="","",ROUND(IF(F301="",0,F301)*S301,2))</f>
        <v>0</v>
      </c>
      <c r="U301" s="26">
        <f>IF(B301="","",ROUND(T301+IF(H301="",0,H301)+IF(J301="",0,J301)+IF(K301="",0,K301),2))</f>
        <v>0</v>
      </c>
      <c r="V301" s="26">
        <f>IF(B301="","",ROUND(U301-IF(L301="",0,L301),2))</f>
        <v>0</v>
      </c>
      <c r="W301" s="26">
        <f>IF(B301="","",ROUND(V301+IF(I301="",0,I301),2))</f>
        <v>0</v>
      </c>
      <c r="X301" s="26">
        <f>IF(B301="","",IF(IFERROR(INDEX(Staff!$E$5:$E$44,MATCH(D301,Staff!$A$5:$A$44,0))&amp;"","")="Self-employed",0,IF(IFERROR(INDEX(Staff!$E$5:$E$44,MATCH(D301,Staff!$A$5:$A$44,0))&amp;"","")="Chair renter",0,ROUND(U301*PayrollBurden,2))))</f>
        <v>0</v>
      </c>
      <c r="Y301" s="26">
        <f>IF(B301="","",ROUND(U301+X301,2))</f>
        <v>0</v>
      </c>
      <c r="Z301" s="26">
        <f>IF(B301="","",ROUND(SUMIFS(Commissions!$X$5:$X$244,Commissions!$C$5:$C$244,D301,Commissions!$B$5:$B$244,Q301),2))</f>
        <v>0</v>
      </c>
      <c r="AA301" s="26">
        <f>IF(B301="","",ROUND(SUMIFS($H$5:$H$364,$D$5:$D$364,D301,$Q$5:$Q$364,Q301),2))</f>
        <v>0</v>
      </c>
      <c r="AB301" s="26">
        <f>IF(B301="","",ROUND(Z301-AA301,2))</f>
        <v>0</v>
      </c>
      <c r="AC301" s="26">
        <f>IF(B301="","",IF(IF(F301="",0,F301)=0,"",ROUND(Y301/F301,2)))</f>
        <v>0</v>
      </c>
      <c r="AD301" s="39">
        <f>IF(B301="","",IF(D301="","Add - who is this run for?",IF(IF(F301="",H301="",FALSE),"Add - no hours and no commission",IF(AB301&lt;-0.004,"Check - more commission paid than earned",IF(M301&lt;&gt;"Yes","Due - not paid yet",IF(N301="","Check - marked paid, no date","OK"))))))</f>
        <v>0</v>
      </c>
    </row>
    <row r="302" spans="1:30">
      <c r="A302" s="28">
        <f>IF(B302="","",PayrollPrefix&amp;TEXT(ROW()-4,"0000"))</f>
        <v>0</v>
      </c>
      <c r="E302" s="15">
        <f>IF(D302="","",IFERROR(INDEX(Staff!$B$5:$B$44,MATCH(D302,Staff!$A$5:$A$44,0)),"Not in Staff"))</f>
        <v>0</v>
      </c>
      <c r="Q302" s="15">
        <f>IF(B302="","",TEXT(B302,"yyyy-mm"))</f>
        <v>0</v>
      </c>
      <c r="R302" s="25">
        <f>IF(B302="","",WEEKNUM(B302,2))</f>
        <v>0</v>
      </c>
      <c r="S302" s="26">
        <f>IF(B302="","",IF(G302&lt;&gt;"",G302,IFERROR(IF(INDEX(Staff!$P$5:$P$44,MATCH(D302,Staff!$A$5:$A$44,0))="",DefaultHourly,INDEX(Staff!$P$5:$P$44,MATCH(D302,Staff!$A$5:$A$44,0))),DefaultHourly)))</f>
        <v>0</v>
      </c>
      <c r="T302" s="26">
        <f>IF(B302="","",ROUND(IF(F302="",0,F302)*S302,2))</f>
        <v>0</v>
      </c>
      <c r="U302" s="26">
        <f>IF(B302="","",ROUND(T302+IF(H302="",0,H302)+IF(J302="",0,J302)+IF(K302="",0,K302),2))</f>
        <v>0</v>
      </c>
      <c r="V302" s="26">
        <f>IF(B302="","",ROUND(U302-IF(L302="",0,L302),2))</f>
        <v>0</v>
      </c>
      <c r="W302" s="26">
        <f>IF(B302="","",ROUND(V302+IF(I302="",0,I302),2))</f>
        <v>0</v>
      </c>
      <c r="X302" s="26">
        <f>IF(B302="","",IF(IFERROR(INDEX(Staff!$E$5:$E$44,MATCH(D302,Staff!$A$5:$A$44,0))&amp;"","")="Self-employed",0,IF(IFERROR(INDEX(Staff!$E$5:$E$44,MATCH(D302,Staff!$A$5:$A$44,0))&amp;"","")="Chair renter",0,ROUND(U302*PayrollBurden,2))))</f>
        <v>0</v>
      </c>
      <c r="Y302" s="26">
        <f>IF(B302="","",ROUND(U302+X302,2))</f>
        <v>0</v>
      </c>
      <c r="Z302" s="26">
        <f>IF(B302="","",ROUND(SUMIFS(Commissions!$X$5:$X$244,Commissions!$C$5:$C$244,D302,Commissions!$B$5:$B$244,Q302),2))</f>
        <v>0</v>
      </c>
      <c r="AA302" s="26">
        <f>IF(B302="","",ROUND(SUMIFS($H$5:$H$364,$D$5:$D$364,D302,$Q$5:$Q$364,Q302),2))</f>
        <v>0</v>
      </c>
      <c r="AB302" s="26">
        <f>IF(B302="","",ROUND(Z302-AA302,2))</f>
        <v>0</v>
      </c>
      <c r="AC302" s="26">
        <f>IF(B302="","",IF(IF(F302="",0,F302)=0,"",ROUND(Y302/F302,2)))</f>
        <v>0</v>
      </c>
      <c r="AD302" s="39">
        <f>IF(B302="","",IF(D302="","Add - who is this run for?",IF(IF(F302="",H302="",FALSE),"Add - no hours and no commission",IF(AB302&lt;-0.004,"Check - more commission paid than earned",IF(M302&lt;&gt;"Yes","Due - not paid yet",IF(N302="","Check - marked paid, no date","OK"))))))</f>
        <v>0</v>
      </c>
    </row>
    <row r="303" spans="1:30">
      <c r="A303" s="28">
        <f>IF(B303="","",PayrollPrefix&amp;TEXT(ROW()-4,"0000"))</f>
        <v>0</v>
      </c>
      <c r="E303" s="15">
        <f>IF(D303="","",IFERROR(INDEX(Staff!$B$5:$B$44,MATCH(D303,Staff!$A$5:$A$44,0)),"Not in Staff"))</f>
        <v>0</v>
      </c>
      <c r="Q303" s="15">
        <f>IF(B303="","",TEXT(B303,"yyyy-mm"))</f>
        <v>0</v>
      </c>
      <c r="R303" s="25">
        <f>IF(B303="","",WEEKNUM(B303,2))</f>
        <v>0</v>
      </c>
      <c r="S303" s="26">
        <f>IF(B303="","",IF(G303&lt;&gt;"",G303,IFERROR(IF(INDEX(Staff!$P$5:$P$44,MATCH(D303,Staff!$A$5:$A$44,0))="",DefaultHourly,INDEX(Staff!$P$5:$P$44,MATCH(D303,Staff!$A$5:$A$44,0))),DefaultHourly)))</f>
        <v>0</v>
      </c>
      <c r="T303" s="26">
        <f>IF(B303="","",ROUND(IF(F303="",0,F303)*S303,2))</f>
        <v>0</v>
      </c>
      <c r="U303" s="26">
        <f>IF(B303="","",ROUND(T303+IF(H303="",0,H303)+IF(J303="",0,J303)+IF(K303="",0,K303),2))</f>
        <v>0</v>
      </c>
      <c r="V303" s="26">
        <f>IF(B303="","",ROUND(U303-IF(L303="",0,L303),2))</f>
        <v>0</v>
      </c>
      <c r="W303" s="26">
        <f>IF(B303="","",ROUND(V303+IF(I303="",0,I303),2))</f>
        <v>0</v>
      </c>
      <c r="X303" s="26">
        <f>IF(B303="","",IF(IFERROR(INDEX(Staff!$E$5:$E$44,MATCH(D303,Staff!$A$5:$A$44,0))&amp;"","")="Self-employed",0,IF(IFERROR(INDEX(Staff!$E$5:$E$44,MATCH(D303,Staff!$A$5:$A$44,0))&amp;"","")="Chair renter",0,ROUND(U303*PayrollBurden,2))))</f>
        <v>0</v>
      </c>
      <c r="Y303" s="26">
        <f>IF(B303="","",ROUND(U303+X303,2))</f>
        <v>0</v>
      </c>
      <c r="Z303" s="26">
        <f>IF(B303="","",ROUND(SUMIFS(Commissions!$X$5:$X$244,Commissions!$C$5:$C$244,D303,Commissions!$B$5:$B$244,Q303),2))</f>
        <v>0</v>
      </c>
      <c r="AA303" s="26">
        <f>IF(B303="","",ROUND(SUMIFS($H$5:$H$364,$D$5:$D$364,D303,$Q$5:$Q$364,Q303),2))</f>
        <v>0</v>
      </c>
      <c r="AB303" s="26">
        <f>IF(B303="","",ROUND(Z303-AA303,2))</f>
        <v>0</v>
      </c>
      <c r="AC303" s="26">
        <f>IF(B303="","",IF(IF(F303="",0,F303)=0,"",ROUND(Y303/F303,2)))</f>
        <v>0</v>
      </c>
      <c r="AD303" s="39">
        <f>IF(B303="","",IF(D303="","Add - who is this run for?",IF(IF(F303="",H303="",FALSE),"Add - no hours and no commission",IF(AB303&lt;-0.004,"Check - more commission paid than earned",IF(M303&lt;&gt;"Yes","Due - not paid yet",IF(N303="","Check - marked paid, no date","OK"))))))</f>
        <v>0</v>
      </c>
    </row>
    <row r="304" spans="1:30">
      <c r="A304" s="28">
        <f>IF(B304="","",PayrollPrefix&amp;TEXT(ROW()-4,"0000"))</f>
        <v>0</v>
      </c>
      <c r="E304" s="15">
        <f>IF(D304="","",IFERROR(INDEX(Staff!$B$5:$B$44,MATCH(D304,Staff!$A$5:$A$44,0)),"Not in Staff"))</f>
        <v>0</v>
      </c>
      <c r="Q304" s="15">
        <f>IF(B304="","",TEXT(B304,"yyyy-mm"))</f>
        <v>0</v>
      </c>
      <c r="R304" s="25">
        <f>IF(B304="","",WEEKNUM(B304,2))</f>
        <v>0</v>
      </c>
      <c r="S304" s="26">
        <f>IF(B304="","",IF(G304&lt;&gt;"",G304,IFERROR(IF(INDEX(Staff!$P$5:$P$44,MATCH(D304,Staff!$A$5:$A$44,0))="",DefaultHourly,INDEX(Staff!$P$5:$P$44,MATCH(D304,Staff!$A$5:$A$44,0))),DefaultHourly)))</f>
        <v>0</v>
      </c>
      <c r="T304" s="26">
        <f>IF(B304="","",ROUND(IF(F304="",0,F304)*S304,2))</f>
        <v>0</v>
      </c>
      <c r="U304" s="26">
        <f>IF(B304="","",ROUND(T304+IF(H304="",0,H304)+IF(J304="",0,J304)+IF(K304="",0,K304),2))</f>
        <v>0</v>
      </c>
      <c r="V304" s="26">
        <f>IF(B304="","",ROUND(U304-IF(L304="",0,L304),2))</f>
        <v>0</v>
      </c>
      <c r="W304" s="26">
        <f>IF(B304="","",ROUND(V304+IF(I304="",0,I304),2))</f>
        <v>0</v>
      </c>
      <c r="X304" s="26">
        <f>IF(B304="","",IF(IFERROR(INDEX(Staff!$E$5:$E$44,MATCH(D304,Staff!$A$5:$A$44,0))&amp;"","")="Self-employed",0,IF(IFERROR(INDEX(Staff!$E$5:$E$44,MATCH(D304,Staff!$A$5:$A$44,0))&amp;"","")="Chair renter",0,ROUND(U304*PayrollBurden,2))))</f>
        <v>0</v>
      </c>
      <c r="Y304" s="26">
        <f>IF(B304="","",ROUND(U304+X304,2))</f>
        <v>0</v>
      </c>
      <c r="Z304" s="26">
        <f>IF(B304="","",ROUND(SUMIFS(Commissions!$X$5:$X$244,Commissions!$C$5:$C$244,D304,Commissions!$B$5:$B$244,Q304),2))</f>
        <v>0</v>
      </c>
      <c r="AA304" s="26">
        <f>IF(B304="","",ROUND(SUMIFS($H$5:$H$364,$D$5:$D$364,D304,$Q$5:$Q$364,Q304),2))</f>
        <v>0</v>
      </c>
      <c r="AB304" s="26">
        <f>IF(B304="","",ROUND(Z304-AA304,2))</f>
        <v>0</v>
      </c>
      <c r="AC304" s="26">
        <f>IF(B304="","",IF(IF(F304="",0,F304)=0,"",ROUND(Y304/F304,2)))</f>
        <v>0</v>
      </c>
      <c r="AD304" s="39">
        <f>IF(B304="","",IF(D304="","Add - who is this run for?",IF(IF(F304="",H304="",FALSE),"Add - no hours and no commission",IF(AB304&lt;-0.004,"Check - more commission paid than earned",IF(M304&lt;&gt;"Yes","Due - not paid yet",IF(N304="","Check - marked paid, no date","OK"))))))</f>
        <v>0</v>
      </c>
    </row>
    <row r="305" spans="1:30">
      <c r="A305" s="28">
        <f>IF(B305="","",PayrollPrefix&amp;TEXT(ROW()-4,"0000"))</f>
        <v>0</v>
      </c>
      <c r="E305" s="15">
        <f>IF(D305="","",IFERROR(INDEX(Staff!$B$5:$B$44,MATCH(D305,Staff!$A$5:$A$44,0)),"Not in Staff"))</f>
        <v>0</v>
      </c>
      <c r="Q305" s="15">
        <f>IF(B305="","",TEXT(B305,"yyyy-mm"))</f>
        <v>0</v>
      </c>
      <c r="R305" s="25">
        <f>IF(B305="","",WEEKNUM(B305,2))</f>
        <v>0</v>
      </c>
      <c r="S305" s="26">
        <f>IF(B305="","",IF(G305&lt;&gt;"",G305,IFERROR(IF(INDEX(Staff!$P$5:$P$44,MATCH(D305,Staff!$A$5:$A$44,0))="",DefaultHourly,INDEX(Staff!$P$5:$P$44,MATCH(D305,Staff!$A$5:$A$44,0))),DefaultHourly)))</f>
        <v>0</v>
      </c>
      <c r="T305" s="26">
        <f>IF(B305="","",ROUND(IF(F305="",0,F305)*S305,2))</f>
        <v>0</v>
      </c>
      <c r="U305" s="26">
        <f>IF(B305="","",ROUND(T305+IF(H305="",0,H305)+IF(J305="",0,J305)+IF(K305="",0,K305),2))</f>
        <v>0</v>
      </c>
      <c r="V305" s="26">
        <f>IF(B305="","",ROUND(U305-IF(L305="",0,L305),2))</f>
        <v>0</v>
      </c>
      <c r="W305" s="26">
        <f>IF(B305="","",ROUND(V305+IF(I305="",0,I305),2))</f>
        <v>0</v>
      </c>
      <c r="X305" s="26">
        <f>IF(B305="","",IF(IFERROR(INDEX(Staff!$E$5:$E$44,MATCH(D305,Staff!$A$5:$A$44,0))&amp;"","")="Self-employed",0,IF(IFERROR(INDEX(Staff!$E$5:$E$44,MATCH(D305,Staff!$A$5:$A$44,0))&amp;"","")="Chair renter",0,ROUND(U305*PayrollBurden,2))))</f>
        <v>0</v>
      </c>
      <c r="Y305" s="26">
        <f>IF(B305="","",ROUND(U305+X305,2))</f>
        <v>0</v>
      </c>
      <c r="Z305" s="26">
        <f>IF(B305="","",ROUND(SUMIFS(Commissions!$X$5:$X$244,Commissions!$C$5:$C$244,D305,Commissions!$B$5:$B$244,Q305),2))</f>
        <v>0</v>
      </c>
      <c r="AA305" s="26">
        <f>IF(B305="","",ROUND(SUMIFS($H$5:$H$364,$D$5:$D$364,D305,$Q$5:$Q$364,Q305),2))</f>
        <v>0</v>
      </c>
      <c r="AB305" s="26">
        <f>IF(B305="","",ROUND(Z305-AA305,2))</f>
        <v>0</v>
      </c>
      <c r="AC305" s="26">
        <f>IF(B305="","",IF(IF(F305="",0,F305)=0,"",ROUND(Y305/F305,2)))</f>
        <v>0</v>
      </c>
      <c r="AD305" s="39">
        <f>IF(B305="","",IF(D305="","Add - who is this run for?",IF(IF(F305="",H305="",FALSE),"Add - no hours and no commission",IF(AB305&lt;-0.004,"Check - more commission paid than earned",IF(M305&lt;&gt;"Yes","Due - not paid yet",IF(N305="","Check - marked paid, no date","OK"))))))</f>
        <v>0</v>
      </c>
    </row>
    <row r="306" spans="1:30">
      <c r="A306" s="28">
        <f>IF(B306="","",PayrollPrefix&amp;TEXT(ROW()-4,"0000"))</f>
        <v>0</v>
      </c>
      <c r="E306" s="15">
        <f>IF(D306="","",IFERROR(INDEX(Staff!$B$5:$B$44,MATCH(D306,Staff!$A$5:$A$44,0)),"Not in Staff"))</f>
        <v>0</v>
      </c>
      <c r="Q306" s="15">
        <f>IF(B306="","",TEXT(B306,"yyyy-mm"))</f>
        <v>0</v>
      </c>
      <c r="R306" s="25">
        <f>IF(B306="","",WEEKNUM(B306,2))</f>
        <v>0</v>
      </c>
      <c r="S306" s="26">
        <f>IF(B306="","",IF(G306&lt;&gt;"",G306,IFERROR(IF(INDEX(Staff!$P$5:$P$44,MATCH(D306,Staff!$A$5:$A$44,0))="",DefaultHourly,INDEX(Staff!$P$5:$P$44,MATCH(D306,Staff!$A$5:$A$44,0))),DefaultHourly)))</f>
        <v>0</v>
      </c>
      <c r="T306" s="26">
        <f>IF(B306="","",ROUND(IF(F306="",0,F306)*S306,2))</f>
        <v>0</v>
      </c>
      <c r="U306" s="26">
        <f>IF(B306="","",ROUND(T306+IF(H306="",0,H306)+IF(J306="",0,J306)+IF(K306="",0,K306),2))</f>
        <v>0</v>
      </c>
      <c r="V306" s="26">
        <f>IF(B306="","",ROUND(U306-IF(L306="",0,L306),2))</f>
        <v>0</v>
      </c>
      <c r="W306" s="26">
        <f>IF(B306="","",ROUND(V306+IF(I306="",0,I306),2))</f>
        <v>0</v>
      </c>
      <c r="X306" s="26">
        <f>IF(B306="","",IF(IFERROR(INDEX(Staff!$E$5:$E$44,MATCH(D306,Staff!$A$5:$A$44,0))&amp;"","")="Self-employed",0,IF(IFERROR(INDEX(Staff!$E$5:$E$44,MATCH(D306,Staff!$A$5:$A$44,0))&amp;"","")="Chair renter",0,ROUND(U306*PayrollBurden,2))))</f>
        <v>0</v>
      </c>
      <c r="Y306" s="26">
        <f>IF(B306="","",ROUND(U306+X306,2))</f>
        <v>0</v>
      </c>
      <c r="Z306" s="26">
        <f>IF(B306="","",ROUND(SUMIFS(Commissions!$X$5:$X$244,Commissions!$C$5:$C$244,D306,Commissions!$B$5:$B$244,Q306),2))</f>
        <v>0</v>
      </c>
      <c r="AA306" s="26">
        <f>IF(B306="","",ROUND(SUMIFS($H$5:$H$364,$D$5:$D$364,D306,$Q$5:$Q$364,Q306),2))</f>
        <v>0</v>
      </c>
      <c r="AB306" s="26">
        <f>IF(B306="","",ROUND(Z306-AA306,2))</f>
        <v>0</v>
      </c>
      <c r="AC306" s="26">
        <f>IF(B306="","",IF(IF(F306="",0,F306)=0,"",ROUND(Y306/F306,2)))</f>
        <v>0</v>
      </c>
      <c r="AD306" s="39">
        <f>IF(B306="","",IF(D306="","Add - who is this run for?",IF(IF(F306="",H306="",FALSE),"Add - no hours and no commission",IF(AB306&lt;-0.004,"Check - more commission paid than earned",IF(M306&lt;&gt;"Yes","Due - not paid yet",IF(N306="","Check - marked paid, no date","OK"))))))</f>
        <v>0</v>
      </c>
    </row>
    <row r="307" spans="1:30">
      <c r="A307" s="28">
        <f>IF(B307="","",PayrollPrefix&amp;TEXT(ROW()-4,"0000"))</f>
        <v>0</v>
      </c>
      <c r="E307" s="15">
        <f>IF(D307="","",IFERROR(INDEX(Staff!$B$5:$B$44,MATCH(D307,Staff!$A$5:$A$44,0)),"Not in Staff"))</f>
        <v>0</v>
      </c>
      <c r="Q307" s="15">
        <f>IF(B307="","",TEXT(B307,"yyyy-mm"))</f>
        <v>0</v>
      </c>
      <c r="R307" s="25">
        <f>IF(B307="","",WEEKNUM(B307,2))</f>
        <v>0</v>
      </c>
      <c r="S307" s="26">
        <f>IF(B307="","",IF(G307&lt;&gt;"",G307,IFERROR(IF(INDEX(Staff!$P$5:$P$44,MATCH(D307,Staff!$A$5:$A$44,0))="",DefaultHourly,INDEX(Staff!$P$5:$P$44,MATCH(D307,Staff!$A$5:$A$44,0))),DefaultHourly)))</f>
        <v>0</v>
      </c>
      <c r="T307" s="26">
        <f>IF(B307="","",ROUND(IF(F307="",0,F307)*S307,2))</f>
        <v>0</v>
      </c>
      <c r="U307" s="26">
        <f>IF(B307="","",ROUND(T307+IF(H307="",0,H307)+IF(J307="",0,J307)+IF(K307="",0,K307),2))</f>
        <v>0</v>
      </c>
      <c r="V307" s="26">
        <f>IF(B307="","",ROUND(U307-IF(L307="",0,L307),2))</f>
        <v>0</v>
      </c>
      <c r="W307" s="26">
        <f>IF(B307="","",ROUND(V307+IF(I307="",0,I307),2))</f>
        <v>0</v>
      </c>
      <c r="X307" s="26">
        <f>IF(B307="","",IF(IFERROR(INDEX(Staff!$E$5:$E$44,MATCH(D307,Staff!$A$5:$A$44,0))&amp;"","")="Self-employed",0,IF(IFERROR(INDEX(Staff!$E$5:$E$44,MATCH(D307,Staff!$A$5:$A$44,0))&amp;"","")="Chair renter",0,ROUND(U307*PayrollBurden,2))))</f>
        <v>0</v>
      </c>
      <c r="Y307" s="26">
        <f>IF(B307="","",ROUND(U307+X307,2))</f>
        <v>0</v>
      </c>
      <c r="Z307" s="26">
        <f>IF(B307="","",ROUND(SUMIFS(Commissions!$X$5:$X$244,Commissions!$C$5:$C$244,D307,Commissions!$B$5:$B$244,Q307),2))</f>
        <v>0</v>
      </c>
      <c r="AA307" s="26">
        <f>IF(B307="","",ROUND(SUMIFS($H$5:$H$364,$D$5:$D$364,D307,$Q$5:$Q$364,Q307),2))</f>
        <v>0</v>
      </c>
      <c r="AB307" s="26">
        <f>IF(B307="","",ROUND(Z307-AA307,2))</f>
        <v>0</v>
      </c>
      <c r="AC307" s="26">
        <f>IF(B307="","",IF(IF(F307="",0,F307)=0,"",ROUND(Y307/F307,2)))</f>
        <v>0</v>
      </c>
      <c r="AD307" s="39">
        <f>IF(B307="","",IF(D307="","Add - who is this run for?",IF(IF(F307="",H307="",FALSE),"Add - no hours and no commission",IF(AB307&lt;-0.004,"Check - more commission paid than earned",IF(M307&lt;&gt;"Yes","Due - not paid yet",IF(N307="","Check - marked paid, no date","OK"))))))</f>
        <v>0</v>
      </c>
    </row>
    <row r="308" spans="1:30">
      <c r="A308" s="28">
        <f>IF(B308="","",PayrollPrefix&amp;TEXT(ROW()-4,"0000"))</f>
        <v>0</v>
      </c>
      <c r="E308" s="15">
        <f>IF(D308="","",IFERROR(INDEX(Staff!$B$5:$B$44,MATCH(D308,Staff!$A$5:$A$44,0)),"Not in Staff"))</f>
        <v>0</v>
      </c>
      <c r="Q308" s="15">
        <f>IF(B308="","",TEXT(B308,"yyyy-mm"))</f>
        <v>0</v>
      </c>
      <c r="R308" s="25">
        <f>IF(B308="","",WEEKNUM(B308,2))</f>
        <v>0</v>
      </c>
      <c r="S308" s="26">
        <f>IF(B308="","",IF(G308&lt;&gt;"",G308,IFERROR(IF(INDEX(Staff!$P$5:$P$44,MATCH(D308,Staff!$A$5:$A$44,0))="",DefaultHourly,INDEX(Staff!$P$5:$P$44,MATCH(D308,Staff!$A$5:$A$44,0))),DefaultHourly)))</f>
        <v>0</v>
      </c>
      <c r="T308" s="26">
        <f>IF(B308="","",ROUND(IF(F308="",0,F308)*S308,2))</f>
        <v>0</v>
      </c>
      <c r="U308" s="26">
        <f>IF(B308="","",ROUND(T308+IF(H308="",0,H308)+IF(J308="",0,J308)+IF(K308="",0,K308),2))</f>
        <v>0</v>
      </c>
      <c r="V308" s="26">
        <f>IF(B308="","",ROUND(U308-IF(L308="",0,L308),2))</f>
        <v>0</v>
      </c>
      <c r="W308" s="26">
        <f>IF(B308="","",ROUND(V308+IF(I308="",0,I308),2))</f>
        <v>0</v>
      </c>
      <c r="X308" s="26">
        <f>IF(B308="","",IF(IFERROR(INDEX(Staff!$E$5:$E$44,MATCH(D308,Staff!$A$5:$A$44,0))&amp;"","")="Self-employed",0,IF(IFERROR(INDEX(Staff!$E$5:$E$44,MATCH(D308,Staff!$A$5:$A$44,0))&amp;"","")="Chair renter",0,ROUND(U308*PayrollBurden,2))))</f>
        <v>0</v>
      </c>
      <c r="Y308" s="26">
        <f>IF(B308="","",ROUND(U308+X308,2))</f>
        <v>0</v>
      </c>
      <c r="Z308" s="26">
        <f>IF(B308="","",ROUND(SUMIFS(Commissions!$X$5:$X$244,Commissions!$C$5:$C$244,D308,Commissions!$B$5:$B$244,Q308),2))</f>
        <v>0</v>
      </c>
      <c r="AA308" s="26">
        <f>IF(B308="","",ROUND(SUMIFS($H$5:$H$364,$D$5:$D$364,D308,$Q$5:$Q$364,Q308),2))</f>
        <v>0</v>
      </c>
      <c r="AB308" s="26">
        <f>IF(B308="","",ROUND(Z308-AA308,2))</f>
        <v>0</v>
      </c>
      <c r="AC308" s="26">
        <f>IF(B308="","",IF(IF(F308="",0,F308)=0,"",ROUND(Y308/F308,2)))</f>
        <v>0</v>
      </c>
      <c r="AD308" s="39">
        <f>IF(B308="","",IF(D308="","Add - who is this run for?",IF(IF(F308="",H308="",FALSE),"Add - no hours and no commission",IF(AB308&lt;-0.004,"Check - more commission paid than earned",IF(M308&lt;&gt;"Yes","Due - not paid yet",IF(N308="","Check - marked paid, no date","OK"))))))</f>
        <v>0</v>
      </c>
    </row>
    <row r="309" spans="1:30">
      <c r="A309" s="28">
        <f>IF(B309="","",PayrollPrefix&amp;TEXT(ROW()-4,"0000"))</f>
        <v>0</v>
      </c>
      <c r="E309" s="15">
        <f>IF(D309="","",IFERROR(INDEX(Staff!$B$5:$B$44,MATCH(D309,Staff!$A$5:$A$44,0)),"Not in Staff"))</f>
        <v>0</v>
      </c>
      <c r="Q309" s="15">
        <f>IF(B309="","",TEXT(B309,"yyyy-mm"))</f>
        <v>0</v>
      </c>
      <c r="R309" s="25">
        <f>IF(B309="","",WEEKNUM(B309,2))</f>
        <v>0</v>
      </c>
      <c r="S309" s="26">
        <f>IF(B309="","",IF(G309&lt;&gt;"",G309,IFERROR(IF(INDEX(Staff!$P$5:$P$44,MATCH(D309,Staff!$A$5:$A$44,0))="",DefaultHourly,INDEX(Staff!$P$5:$P$44,MATCH(D309,Staff!$A$5:$A$44,0))),DefaultHourly)))</f>
        <v>0</v>
      </c>
      <c r="T309" s="26">
        <f>IF(B309="","",ROUND(IF(F309="",0,F309)*S309,2))</f>
        <v>0</v>
      </c>
      <c r="U309" s="26">
        <f>IF(B309="","",ROUND(T309+IF(H309="",0,H309)+IF(J309="",0,J309)+IF(K309="",0,K309),2))</f>
        <v>0</v>
      </c>
      <c r="V309" s="26">
        <f>IF(B309="","",ROUND(U309-IF(L309="",0,L309),2))</f>
        <v>0</v>
      </c>
      <c r="W309" s="26">
        <f>IF(B309="","",ROUND(V309+IF(I309="",0,I309),2))</f>
        <v>0</v>
      </c>
      <c r="X309" s="26">
        <f>IF(B309="","",IF(IFERROR(INDEX(Staff!$E$5:$E$44,MATCH(D309,Staff!$A$5:$A$44,0))&amp;"","")="Self-employed",0,IF(IFERROR(INDEX(Staff!$E$5:$E$44,MATCH(D309,Staff!$A$5:$A$44,0))&amp;"","")="Chair renter",0,ROUND(U309*PayrollBurden,2))))</f>
        <v>0</v>
      </c>
      <c r="Y309" s="26">
        <f>IF(B309="","",ROUND(U309+X309,2))</f>
        <v>0</v>
      </c>
      <c r="Z309" s="26">
        <f>IF(B309="","",ROUND(SUMIFS(Commissions!$X$5:$X$244,Commissions!$C$5:$C$244,D309,Commissions!$B$5:$B$244,Q309),2))</f>
        <v>0</v>
      </c>
      <c r="AA309" s="26">
        <f>IF(B309="","",ROUND(SUMIFS($H$5:$H$364,$D$5:$D$364,D309,$Q$5:$Q$364,Q309),2))</f>
        <v>0</v>
      </c>
      <c r="AB309" s="26">
        <f>IF(B309="","",ROUND(Z309-AA309,2))</f>
        <v>0</v>
      </c>
      <c r="AC309" s="26">
        <f>IF(B309="","",IF(IF(F309="",0,F309)=0,"",ROUND(Y309/F309,2)))</f>
        <v>0</v>
      </c>
      <c r="AD309" s="39">
        <f>IF(B309="","",IF(D309="","Add - who is this run for?",IF(IF(F309="",H309="",FALSE),"Add - no hours and no commission",IF(AB309&lt;-0.004,"Check - more commission paid than earned",IF(M309&lt;&gt;"Yes","Due - not paid yet",IF(N309="","Check - marked paid, no date","OK"))))))</f>
        <v>0</v>
      </c>
    </row>
    <row r="310" spans="1:30">
      <c r="A310" s="28">
        <f>IF(B310="","",PayrollPrefix&amp;TEXT(ROW()-4,"0000"))</f>
        <v>0</v>
      </c>
      <c r="E310" s="15">
        <f>IF(D310="","",IFERROR(INDEX(Staff!$B$5:$B$44,MATCH(D310,Staff!$A$5:$A$44,0)),"Not in Staff"))</f>
        <v>0</v>
      </c>
      <c r="Q310" s="15">
        <f>IF(B310="","",TEXT(B310,"yyyy-mm"))</f>
        <v>0</v>
      </c>
      <c r="R310" s="25">
        <f>IF(B310="","",WEEKNUM(B310,2))</f>
        <v>0</v>
      </c>
      <c r="S310" s="26">
        <f>IF(B310="","",IF(G310&lt;&gt;"",G310,IFERROR(IF(INDEX(Staff!$P$5:$P$44,MATCH(D310,Staff!$A$5:$A$44,0))="",DefaultHourly,INDEX(Staff!$P$5:$P$44,MATCH(D310,Staff!$A$5:$A$44,0))),DefaultHourly)))</f>
        <v>0</v>
      </c>
      <c r="T310" s="26">
        <f>IF(B310="","",ROUND(IF(F310="",0,F310)*S310,2))</f>
        <v>0</v>
      </c>
      <c r="U310" s="26">
        <f>IF(B310="","",ROUND(T310+IF(H310="",0,H310)+IF(J310="",0,J310)+IF(K310="",0,K310),2))</f>
        <v>0</v>
      </c>
      <c r="V310" s="26">
        <f>IF(B310="","",ROUND(U310-IF(L310="",0,L310),2))</f>
        <v>0</v>
      </c>
      <c r="W310" s="26">
        <f>IF(B310="","",ROUND(V310+IF(I310="",0,I310),2))</f>
        <v>0</v>
      </c>
      <c r="X310" s="26">
        <f>IF(B310="","",IF(IFERROR(INDEX(Staff!$E$5:$E$44,MATCH(D310,Staff!$A$5:$A$44,0))&amp;"","")="Self-employed",0,IF(IFERROR(INDEX(Staff!$E$5:$E$44,MATCH(D310,Staff!$A$5:$A$44,0))&amp;"","")="Chair renter",0,ROUND(U310*PayrollBurden,2))))</f>
        <v>0</v>
      </c>
      <c r="Y310" s="26">
        <f>IF(B310="","",ROUND(U310+X310,2))</f>
        <v>0</v>
      </c>
      <c r="Z310" s="26">
        <f>IF(B310="","",ROUND(SUMIFS(Commissions!$X$5:$X$244,Commissions!$C$5:$C$244,D310,Commissions!$B$5:$B$244,Q310),2))</f>
        <v>0</v>
      </c>
      <c r="AA310" s="26">
        <f>IF(B310="","",ROUND(SUMIFS($H$5:$H$364,$D$5:$D$364,D310,$Q$5:$Q$364,Q310),2))</f>
        <v>0</v>
      </c>
      <c r="AB310" s="26">
        <f>IF(B310="","",ROUND(Z310-AA310,2))</f>
        <v>0</v>
      </c>
      <c r="AC310" s="26">
        <f>IF(B310="","",IF(IF(F310="",0,F310)=0,"",ROUND(Y310/F310,2)))</f>
        <v>0</v>
      </c>
      <c r="AD310" s="39">
        <f>IF(B310="","",IF(D310="","Add - who is this run for?",IF(IF(F310="",H310="",FALSE),"Add - no hours and no commission",IF(AB310&lt;-0.004,"Check - more commission paid than earned",IF(M310&lt;&gt;"Yes","Due - not paid yet",IF(N310="","Check - marked paid, no date","OK"))))))</f>
        <v>0</v>
      </c>
    </row>
    <row r="311" spans="1:30">
      <c r="A311" s="28">
        <f>IF(B311="","",PayrollPrefix&amp;TEXT(ROW()-4,"0000"))</f>
        <v>0</v>
      </c>
      <c r="E311" s="15">
        <f>IF(D311="","",IFERROR(INDEX(Staff!$B$5:$B$44,MATCH(D311,Staff!$A$5:$A$44,0)),"Not in Staff"))</f>
        <v>0</v>
      </c>
      <c r="Q311" s="15">
        <f>IF(B311="","",TEXT(B311,"yyyy-mm"))</f>
        <v>0</v>
      </c>
      <c r="R311" s="25">
        <f>IF(B311="","",WEEKNUM(B311,2))</f>
        <v>0</v>
      </c>
      <c r="S311" s="26">
        <f>IF(B311="","",IF(G311&lt;&gt;"",G311,IFERROR(IF(INDEX(Staff!$P$5:$P$44,MATCH(D311,Staff!$A$5:$A$44,0))="",DefaultHourly,INDEX(Staff!$P$5:$P$44,MATCH(D311,Staff!$A$5:$A$44,0))),DefaultHourly)))</f>
        <v>0</v>
      </c>
      <c r="T311" s="26">
        <f>IF(B311="","",ROUND(IF(F311="",0,F311)*S311,2))</f>
        <v>0</v>
      </c>
      <c r="U311" s="26">
        <f>IF(B311="","",ROUND(T311+IF(H311="",0,H311)+IF(J311="",0,J311)+IF(K311="",0,K311),2))</f>
        <v>0</v>
      </c>
      <c r="V311" s="26">
        <f>IF(B311="","",ROUND(U311-IF(L311="",0,L311),2))</f>
        <v>0</v>
      </c>
      <c r="W311" s="26">
        <f>IF(B311="","",ROUND(V311+IF(I311="",0,I311),2))</f>
        <v>0</v>
      </c>
      <c r="X311" s="26">
        <f>IF(B311="","",IF(IFERROR(INDEX(Staff!$E$5:$E$44,MATCH(D311,Staff!$A$5:$A$44,0))&amp;"","")="Self-employed",0,IF(IFERROR(INDEX(Staff!$E$5:$E$44,MATCH(D311,Staff!$A$5:$A$44,0))&amp;"","")="Chair renter",0,ROUND(U311*PayrollBurden,2))))</f>
        <v>0</v>
      </c>
      <c r="Y311" s="26">
        <f>IF(B311="","",ROUND(U311+X311,2))</f>
        <v>0</v>
      </c>
      <c r="Z311" s="26">
        <f>IF(B311="","",ROUND(SUMIFS(Commissions!$X$5:$X$244,Commissions!$C$5:$C$244,D311,Commissions!$B$5:$B$244,Q311),2))</f>
        <v>0</v>
      </c>
      <c r="AA311" s="26">
        <f>IF(B311="","",ROUND(SUMIFS($H$5:$H$364,$D$5:$D$364,D311,$Q$5:$Q$364,Q311),2))</f>
        <v>0</v>
      </c>
      <c r="AB311" s="26">
        <f>IF(B311="","",ROUND(Z311-AA311,2))</f>
        <v>0</v>
      </c>
      <c r="AC311" s="26">
        <f>IF(B311="","",IF(IF(F311="",0,F311)=0,"",ROUND(Y311/F311,2)))</f>
        <v>0</v>
      </c>
      <c r="AD311" s="39">
        <f>IF(B311="","",IF(D311="","Add - who is this run for?",IF(IF(F311="",H311="",FALSE),"Add - no hours and no commission",IF(AB311&lt;-0.004,"Check - more commission paid than earned",IF(M311&lt;&gt;"Yes","Due - not paid yet",IF(N311="","Check - marked paid, no date","OK"))))))</f>
        <v>0</v>
      </c>
    </row>
    <row r="312" spans="1:30">
      <c r="A312" s="28">
        <f>IF(B312="","",PayrollPrefix&amp;TEXT(ROW()-4,"0000"))</f>
        <v>0</v>
      </c>
      <c r="E312" s="15">
        <f>IF(D312="","",IFERROR(INDEX(Staff!$B$5:$B$44,MATCH(D312,Staff!$A$5:$A$44,0)),"Not in Staff"))</f>
        <v>0</v>
      </c>
      <c r="Q312" s="15">
        <f>IF(B312="","",TEXT(B312,"yyyy-mm"))</f>
        <v>0</v>
      </c>
      <c r="R312" s="25">
        <f>IF(B312="","",WEEKNUM(B312,2))</f>
        <v>0</v>
      </c>
      <c r="S312" s="26">
        <f>IF(B312="","",IF(G312&lt;&gt;"",G312,IFERROR(IF(INDEX(Staff!$P$5:$P$44,MATCH(D312,Staff!$A$5:$A$44,0))="",DefaultHourly,INDEX(Staff!$P$5:$P$44,MATCH(D312,Staff!$A$5:$A$44,0))),DefaultHourly)))</f>
        <v>0</v>
      </c>
      <c r="T312" s="26">
        <f>IF(B312="","",ROUND(IF(F312="",0,F312)*S312,2))</f>
        <v>0</v>
      </c>
      <c r="U312" s="26">
        <f>IF(B312="","",ROUND(T312+IF(H312="",0,H312)+IF(J312="",0,J312)+IF(K312="",0,K312),2))</f>
        <v>0</v>
      </c>
      <c r="V312" s="26">
        <f>IF(B312="","",ROUND(U312-IF(L312="",0,L312),2))</f>
        <v>0</v>
      </c>
      <c r="W312" s="26">
        <f>IF(B312="","",ROUND(V312+IF(I312="",0,I312),2))</f>
        <v>0</v>
      </c>
      <c r="X312" s="26">
        <f>IF(B312="","",IF(IFERROR(INDEX(Staff!$E$5:$E$44,MATCH(D312,Staff!$A$5:$A$44,0))&amp;"","")="Self-employed",0,IF(IFERROR(INDEX(Staff!$E$5:$E$44,MATCH(D312,Staff!$A$5:$A$44,0))&amp;"","")="Chair renter",0,ROUND(U312*PayrollBurden,2))))</f>
        <v>0</v>
      </c>
      <c r="Y312" s="26">
        <f>IF(B312="","",ROUND(U312+X312,2))</f>
        <v>0</v>
      </c>
      <c r="Z312" s="26">
        <f>IF(B312="","",ROUND(SUMIFS(Commissions!$X$5:$X$244,Commissions!$C$5:$C$244,D312,Commissions!$B$5:$B$244,Q312),2))</f>
        <v>0</v>
      </c>
      <c r="AA312" s="26">
        <f>IF(B312="","",ROUND(SUMIFS($H$5:$H$364,$D$5:$D$364,D312,$Q$5:$Q$364,Q312),2))</f>
        <v>0</v>
      </c>
      <c r="AB312" s="26">
        <f>IF(B312="","",ROUND(Z312-AA312,2))</f>
        <v>0</v>
      </c>
      <c r="AC312" s="26">
        <f>IF(B312="","",IF(IF(F312="",0,F312)=0,"",ROUND(Y312/F312,2)))</f>
        <v>0</v>
      </c>
      <c r="AD312" s="39">
        <f>IF(B312="","",IF(D312="","Add - who is this run for?",IF(IF(F312="",H312="",FALSE),"Add - no hours and no commission",IF(AB312&lt;-0.004,"Check - more commission paid than earned",IF(M312&lt;&gt;"Yes","Due - not paid yet",IF(N312="","Check - marked paid, no date","OK"))))))</f>
        <v>0</v>
      </c>
    </row>
    <row r="313" spans="1:30">
      <c r="A313" s="28">
        <f>IF(B313="","",PayrollPrefix&amp;TEXT(ROW()-4,"0000"))</f>
        <v>0</v>
      </c>
      <c r="E313" s="15">
        <f>IF(D313="","",IFERROR(INDEX(Staff!$B$5:$B$44,MATCH(D313,Staff!$A$5:$A$44,0)),"Not in Staff"))</f>
        <v>0</v>
      </c>
      <c r="Q313" s="15">
        <f>IF(B313="","",TEXT(B313,"yyyy-mm"))</f>
        <v>0</v>
      </c>
      <c r="R313" s="25">
        <f>IF(B313="","",WEEKNUM(B313,2))</f>
        <v>0</v>
      </c>
      <c r="S313" s="26">
        <f>IF(B313="","",IF(G313&lt;&gt;"",G313,IFERROR(IF(INDEX(Staff!$P$5:$P$44,MATCH(D313,Staff!$A$5:$A$44,0))="",DefaultHourly,INDEX(Staff!$P$5:$P$44,MATCH(D313,Staff!$A$5:$A$44,0))),DefaultHourly)))</f>
        <v>0</v>
      </c>
      <c r="T313" s="26">
        <f>IF(B313="","",ROUND(IF(F313="",0,F313)*S313,2))</f>
        <v>0</v>
      </c>
      <c r="U313" s="26">
        <f>IF(B313="","",ROUND(T313+IF(H313="",0,H313)+IF(J313="",0,J313)+IF(K313="",0,K313),2))</f>
        <v>0</v>
      </c>
      <c r="V313" s="26">
        <f>IF(B313="","",ROUND(U313-IF(L313="",0,L313),2))</f>
        <v>0</v>
      </c>
      <c r="W313" s="26">
        <f>IF(B313="","",ROUND(V313+IF(I313="",0,I313),2))</f>
        <v>0</v>
      </c>
      <c r="X313" s="26">
        <f>IF(B313="","",IF(IFERROR(INDEX(Staff!$E$5:$E$44,MATCH(D313,Staff!$A$5:$A$44,0))&amp;"","")="Self-employed",0,IF(IFERROR(INDEX(Staff!$E$5:$E$44,MATCH(D313,Staff!$A$5:$A$44,0))&amp;"","")="Chair renter",0,ROUND(U313*PayrollBurden,2))))</f>
        <v>0</v>
      </c>
      <c r="Y313" s="26">
        <f>IF(B313="","",ROUND(U313+X313,2))</f>
        <v>0</v>
      </c>
      <c r="Z313" s="26">
        <f>IF(B313="","",ROUND(SUMIFS(Commissions!$X$5:$X$244,Commissions!$C$5:$C$244,D313,Commissions!$B$5:$B$244,Q313),2))</f>
        <v>0</v>
      </c>
      <c r="AA313" s="26">
        <f>IF(B313="","",ROUND(SUMIFS($H$5:$H$364,$D$5:$D$364,D313,$Q$5:$Q$364,Q313),2))</f>
        <v>0</v>
      </c>
      <c r="AB313" s="26">
        <f>IF(B313="","",ROUND(Z313-AA313,2))</f>
        <v>0</v>
      </c>
      <c r="AC313" s="26">
        <f>IF(B313="","",IF(IF(F313="",0,F313)=0,"",ROUND(Y313/F313,2)))</f>
        <v>0</v>
      </c>
      <c r="AD313" s="39">
        <f>IF(B313="","",IF(D313="","Add - who is this run for?",IF(IF(F313="",H313="",FALSE),"Add - no hours and no commission",IF(AB313&lt;-0.004,"Check - more commission paid than earned",IF(M313&lt;&gt;"Yes","Due - not paid yet",IF(N313="","Check - marked paid, no date","OK"))))))</f>
        <v>0</v>
      </c>
    </row>
    <row r="314" spans="1:30">
      <c r="A314" s="28">
        <f>IF(B314="","",PayrollPrefix&amp;TEXT(ROW()-4,"0000"))</f>
        <v>0</v>
      </c>
      <c r="E314" s="15">
        <f>IF(D314="","",IFERROR(INDEX(Staff!$B$5:$B$44,MATCH(D314,Staff!$A$5:$A$44,0)),"Not in Staff"))</f>
        <v>0</v>
      </c>
      <c r="Q314" s="15">
        <f>IF(B314="","",TEXT(B314,"yyyy-mm"))</f>
        <v>0</v>
      </c>
      <c r="R314" s="25">
        <f>IF(B314="","",WEEKNUM(B314,2))</f>
        <v>0</v>
      </c>
      <c r="S314" s="26">
        <f>IF(B314="","",IF(G314&lt;&gt;"",G314,IFERROR(IF(INDEX(Staff!$P$5:$P$44,MATCH(D314,Staff!$A$5:$A$44,0))="",DefaultHourly,INDEX(Staff!$P$5:$P$44,MATCH(D314,Staff!$A$5:$A$44,0))),DefaultHourly)))</f>
        <v>0</v>
      </c>
      <c r="T314" s="26">
        <f>IF(B314="","",ROUND(IF(F314="",0,F314)*S314,2))</f>
        <v>0</v>
      </c>
      <c r="U314" s="26">
        <f>IF(B314="","",ROUND(T314+IF(H314="",0,H314)+IF(J314="",0,J314)+IF(K314="",0,K314),2))</f>
        <v>0</v>
      </c>
      <c r="V314" s="26">
        <f>IF(B314="","",ROUND(U314-IF(L314="",0,L314),2))</f>
        <v>0</v>
      </c>
      <c r="W314" s="26">
        <f>IF(B314="","",ROUND(V314+IF(I314="",0,I314),2))</f>
        <v>0</v>
      </c>
      <c r="X314" s="26">
        <f>IF(B314="","",IF(IFERROR(INDEX(Staff!$E$5:$E$44,MATCH(D314,Staff!$A$5:$A$44,0))&amp;"","")="Self-employed",0,IF(IFERROR(INDEX(Staff!$E$5:$E$44,MATCH(D314,Staff!$A$5:$A$44,0))&amp;"","")="Chair renter",0,ROUND(U314*PayrollBurden,2))))</f>
        <v>0</v>
      </c>
      <c r="Y314" s="26">
        <f>IF(B314="","",ROUND(U314+X314,2))</f>
        <v>0</v>
      </c>
      <c r="Z314" s="26">
        <f>IF(B314="","",ROUND(SUMIFS(Commissions!$X$5:$X$244,Commissions!$C$5:$C$244,D314,Commissions!$B$5:$B$244,Q314),2))</f>
        <v>0</v>
      </c>
      <c r="AA314" s="26">
        <f>IF(B314="","",ROUND(SUMIFS($H$5:$H$364,$D$5:$D$364,D314,$Q$5:$Q$364,Q314),2))</f>
        <v>0</v>
      </c>
      <c r="AB314" s="26">
        <f>IF(B314="","",ROUND(Z314-AA314,2))</f>
        <v>0</v>
      </c>
      <c r="AC314" s="26">
        <f>IF(B314="","",IF(IF(F314="",0,F314)=0,"",ROUND(Y314/F314,2)))</f>
        <v>0</v>
      </c>
      <c r="AD314" s="39">
        <f>IF(B314="","",IF(D314="","Add - who is this run for?",IF(IF(F314="",H314="",FALSE),"Add - no hours and no commission",IF(AB314&lt;-0.004,"Check - more commission paid than earned",IF(M314&lt;&gt;"Yes","Due - not paid yet",IF(N314="","Check - marked paid, no date","OK"))))))</f>
        <v>0</v>
      </c>
    </row>
    <row r="315" spans="1:30">
      <c r="A315" s="28">
        <f>IF(B315="","",PayrollPrefix&amp;TEXT(ROW()-4,"0000"))</f>
        <v>0</v>
      </c>
      <c r="E315" s="15">
        <f>IF(D315="","",IFERROR(INDEX(Staff!$B$5:$B$44,MATCH(D315,Staff!$A$5:$A$44,0)),"Not in Staff"))</f>
        <v>0</v>
      </c>
      <c r="Q315" s="15">
        <f>IF(B315="","",TEXT(B315,"yyyy-mm"))</f>
        <v>0</v>
      </c>
      <c r="R315" s="25">
        <f>IF(B315="","",WEEKNUM(B315,2))</f>
        <v>0</v>
      </c>
      <c r="S315" s="26">
        <f>IF(B315="","",IF(G315&lt;&gt;"",G315,IFERROR(IF(INDEX(Staff!$P$5:$P$44,MATCH(D315,Staff!$A$5:$A$44,0))="",DefaultHourly,INDEX(Staff!$P$5:$P$44,MATCH(D315,Staff!$A$5:$A$44,0))),DefaultHourly)))</f>
        <v>0</v>
      </c>
      <c r="T315" s="26">
        <f>IF(B315="","",ROUND(IF(F315="",0,F315)*S315,2))</f>
        <v>0</v>
      </c>
      <c r="U315" s="26">
        <f>IF(B315="","",ROUND(T315+IF(H315="",0,H315)+IF(J315="",0,J315)+IF(K315="",0,K315),2))</f>
        <v>0</v>
      </c>
      <c r="V315" s="26">
        <f>IF(B315="","",ROUND(U315-IF(L315="",0,L315),2))</f>
        <v>0</v>
      </c>
      <c r="W315" s="26">
        <f>IF(B315="","",ROUND(V315+IF(I315="",0,I315),2))</f>
        <v>0</v>
      </c>
      <c r="X315" s="26">
        <f>IF(B315="","",IF(IFERROR(INDEX(Staff!$E$5:$E$44,MATCH(D315,Staff!$A$5:$A$44,0))&amp;"","")="Self-employed",0,IF(IFERROR(INDEX(Staff!$E$5:$E$44,MATCH(D315,Staff!$A$5:$A$44,0))&amp;"","")="Chair renter",0,ROUND(U315*PayrollBurden,2))))</f>
        <v>0</v>
      </c>
      <c r="Y315" s="26">
        <f>IF(B315="","",ROUND(U315+X315,2))</f>
        <v>0</v>
      </c>
      <c r="Z315" s="26">
        <f>IF(B315="","",ROUND(SUMIFS(Commissions!$X$5:$X$244,Commissions!$C$5:$C$244,D315,Commissions!$B$5:$B$244,Q315),2))</f>
        <v>0</v>
      </c>
      <c r="AA315" s="26">
        <f>IF(B315="","",ROUND(SUMIFS($H$5:$H$364,$D$5:$D$364,D315,$Q$5:$Q$364,Q315),2))</f>
        <v>0</v>
      </c>
      <c r="AB315" s="26">
        <f>IF(B315="","",ROUND(Z315-AA315,2))</f>
        <v>0</v>
      </c>
      <c r="AC315" s="26">
        <f>IF(B315="","",IF(IF(F315="",0,F315)=0,"",ROUND(Y315/F315,2)))</f>
        <v>0</v>
      </c>
      <c r="AD315" s="39">
        <f>IF(B315="","",IF(D315="","Add - who is this run for?",IF(IF(F315="",H315="",FALSE),"Add - no hours and no commission",IF(AB315&lt;-0.004,"Check - more commission paid than earned",IF(M315&lt;&gt;"Yes","Due - not paid yet",IF(N315="","Check - marked paid, no date","OK"))))))</f>
        <v>0</v>
      </c>
    </row>
    <row r="316" spans="1:30">
      <c r="A316" s="28">
        <f>IF(B316="","",PayrollPrefix&amp;TEXT(ROW()-4,"0000"))</f>
        <v>0</v>
      </c>
      <c r="E316" s="15">
        <f>IF(D316="","",IFERROR(INDEX(Staff!$B$5:$B$44,MATCH(D316,Staff!$A$5:$A$44,0)),"Not in Staff"))</f>
        <v>0</v>
      </c>
      <c r="Q316" s="15">
        <f>IF(B316="","",TEXT(B316,"yyyy-mm"))</f>
        <v>0</v>
      </c>
      <c r="R316" s="25">
        <f>IF(B316="","",WEEKNUM(B316,2))</f>
        <v>0</v>
      </c>
      <c r="S316" s="26">
        <f>IF(B316="","",IF(G316&lt;&gt;"",G316,IFERROR(IF(INDEX(Staff!$P$5:$P$44,MATCH(D316,Staff!$A$5:$A$44,0))="",DefaultHourly,INDEX(Staff!$P$5:$P$44,MATCH(D316,Staff!$A$5:$A$44,0))),DefaultHourly)))</f>
        <v>0</v>
      </c>
      <c r="T316" s="26">
        <f>IF(B316="","",ROUND(IF(F316="",0,F316)*S316,2))</f>
        <v>0</v>
      </c>
      <c r="U316" s="26">
        <f>IF(B316="","",ROUND(T316+IF(H316="",0,H316)+IF(J316="",0,J316)+IF(K316="",0,K316),2))</f>
        <v>0</v>
      </c>
      <c r="V316" s="26">
        <f>IF(B316="","",ROUND(U316-IF(L316="",0,L316),2))</f>
        <v>0</v>
      </c>
      <c r="W316" s="26">
        <f>IF(B316="","",ROUND(V316+IF(I316="",0,I316),2))</f>
        <v>0</v>
      </c>
      <c r="X316" s="26">
        <f>IF(B316="","",IF(IFERROR(INDEX(Staff!$E$5:$E$44,MATCH(D316,Staff!$A$5:$A$44,0))&amp;"","")="Self-employed",0,IF(IFERROR(INDEX(Staff!$E$5:$E$44,MATCH(D316,Staff!$A$5:$A$44,0))&amp;"","")="Chair renter",0,ROUND(U316*PayrollBurden,2))))</f>
        <v>0</v>
      </c>
      <c r="Y316" s="26">
        <f>IF(B316="","",ROUND(U316+X316,2))</f>
        <v>0</v>
      </c>
      <c r="Z316" s="26">
        <f>IF(B316="","",ROUND(SUMIFS(Commissions!$X$5:$X$244,Commissions!$C$5:$C$244,D316,Commissions!$B$5:$B$244,Q316),2))</f>
        <v>0</v>
      </c>
      <c r="AA316" s="26">
        <f>IF(B316="","",ROUND(SUMIFS($H$5:$H$364,$D$5:$D$364,D316,$Q$5:$Q$364,Q316),2))</f>
        <v>0</v>
      </c>
      <c r="AB316" s="26">
        <f>IF(B316="","",ROUND(Z316-AA316,2))</f>
        <v>0</v>
      </c>
      <c r="AC316" s="26">
        <f>IF(B316="","",IF(IF(F316="",0,F316)=0,"",ROUND(Y316/F316,2)))</f>
        <v>0</v>
      </c>
      <c r="AD316" s="39">
        <f>IF(B316="","",IF(D316="","Add - who is this run for?",IF(IF(F316="",H316="",FALSE),"Add - no hours and no commission",IF(AB316&lt;-0.004,"Check - more commission paid than earned",IF(M316&lt;&gt;"Yes","Due - not paid yet",IF(N316="","Check - marked paid, no date","OK"))))))</f>
        <v>0</v>
      </c>
    </row>
    <row r="317" spans="1:30">
      <c r="A317" s="28">
        <f>IF(B317="","",PayrollPrefix&amp;TEXT(ROW()-4,"0000"))</f>
        <v>0</v>
      </c>
      <c r="E317" s="15">
        <f>IF(D317="","",IFERROR(INDEX(Staff!$B$5:$B$44,MATCH(D317,Staff!$A$5:$A$44,0)),"Not in Staff"))</f>
        <v>0</v>
      </c>
      <c r="Q317" s="15">
        <f>IF(B317="","",TEXT(B317,"yyyy-mm"))</f>
        <v>0</v>
      </c>
      <c r="R317" s="25">
        <f>IF(B317="","",WEEKNUM(B317,2))</f>
        <v>0</v>
      </c>
      <c r="S317" s="26">
        <f>IF(B317="","",IF(G317&lt;&gt;"",G317,IFERROR(IF(INDEX(Staff!$P$5:$P$44,MATCH(D317,Staff!$A$5:$A$44,0))="",DefaultHourly,INDEX(Staff!$P$5:$P$44,MATCH(D317,Staff!$A$5:$A$44,0))),DefaultHourly)))</f>
        <v>0</v>
      </c>
      <c r="T317" s="26">
        <f>IF(B317="","",ROUND(IF(F317="",0,F317)*S317,2))</f>
        <v>0</v>
      </c>
      <c r="U317" s="26">
        <f>IF(B317="","",ROUND(T317+IF(H317="",0,H317)+IF(J317="",0,J317)+IF(K317="",0,K317),2))</f>
        <v>0</v>
      </c>
      <c r="V317" s="26">
        <f>IF(B317="","",ROUND(U317-IF(L317="",0,L317),2))</f>
        <v>0</v>
      </c>
      <c r="W317" s="26">
        <f>IF(B317="","",ROUND(V317+IF(I317="",0,I317),2))</f>
        <v>0</v>
      </c>
      <c r="X317" s="26">
        <f>IF(B317="","",IF(IFERROR(INDEX(Staff!$E$5:$E$44,MATCH(D317,Staff!$A$5:$A$44,0))&amp;"","")="Self-employed",0,IF(IFERROR(INDEX(Staff!$E$5:$E$44,MATCH(D317,Staff!$A$5:$A$44,0))&amp;"","")="Chair renter",0,ROUND(U317*PayrollBurden,2))))</f>
        <v>0</v>
      </c>
      <c r="Y317" s="26">
        <f>IF(B317="","",ROUND(U317+X317,2))</f>
        <v>0</v>
      </c>
      <c r="Z317" s="26">
        <f>IF(B317="","",ROUND(SUMIFS(Commissions!$X$5:$X$244,Commissions!$C$5:$C$244,D317,Commissions!$B$5:$B$244,Q317),2))</f>
        <v>0</v>
      </c>
      <c r="AA317" s="26">
        <f>IF(B317="","",ROUND(SUMIFS($H$5:$H$364,$D$5:$D$364,D317,$Q$5:$Q$364,Q317),2))</f>
        <v>0</v>
      </c>
      <c r="AB317" s="26">
        <f>IF(B317="","",ROUND(Z317-AA317,2))</f>
        <v>0</v>
      </c>
      <c r="AC317" s="26">
        <f>IF(B317="","",IF(IF(F317="",0,F317)=0,"",ROUND(Y317/F317,2)))</f>
        <v>0</v>
      </c>
      <c r="AD317" s="39">
        <f>IF(B317="","",IF(D317="","Add - who is this run for?",IF(IF(F317="",H317="",FALSE),"Add - no hours and no commission",IF(AB317&lt;-0.004,"Check - more commission paid than earned",IF(M317&lt;&gt;"Yes","Due - not paid yet",IF(N317="","Check - marked paid, no date","OK"))))))</f>
        <v>0</v>
      </c>
    </row>
    <row r="318" spans="1:30">
      <c r="A318" s="28">
        <f>IF(B318="","",PayrollPrefix&amp;TEXT(ROW()-4,"0000"))</f>
        <v>0</v>
      </c>
      <c r="E318" s="15">
        <f>IF(D318="","",IFERROR(INDEX(Staff!$B$5:$B$44,MATCH(D318,Staff!$A$5:$A$44,0)),"Not in Staff"))</f>
        <v>0</v>
      </c>
      <c r="Q318" s="15">
        <f>IF(B318="","",TEXT(B318,"yyyy-mm"))</f>
        <v>0</v>
      </c>
      <c r="R318" s="25">
        <f>IF(B318="","",WEEKNUM(B318,2))</f>
        <v>0</v>
      </c>
      <c r="S318" s="26">
        <f>IF(B318="","",IF(G318&lt;&gt;"",G318,IFERROR(IF(INDEX(Staff!$P$5:$P$44,MATCH(D318,Staff!$A$5:$A$44,0))="",DefaultHourly,INDEX(Staff!$P$5:$P$44,MATCH(D318,Staff!$A$5:$A$44,0))),DefaultHourly)))</f>
        <v>0</v>
      </c>
      <c r="T318" s="26">
        <f>IF(B318="","",ROUND(IF(F318="",0,F318)*S318,2))</f>
        <v>0</v>
      </c>
      <c r="U318" s="26">
        <f>IF(B318="","",ROUND(T318+IF(H318="",0,H318)+IF(J318="",0,J318)+IF(K318="",0,K318),2))</f>
        <v>0</v>
      </c>
      <c r="V318" s="26">
        <f>IF(B318="","",ROUND(U318-IF(L318="",0,L318),2))</f>
        <v>0</v>
      </c>
      <c r="W318" s="26">
        <f>IF(B318="","",ROUND(V318+IF(I318="",0,I318),2))</f>
        <v>0</v>
      </c>
      <c r="X318" s="26">
        <f>IF(B318="","",IF(IFERROR(INDEX(Staff!$E$5:$E$44,MATCH(D318,Staff!$A$5:$A$44,0))&amp;"","")="Self-employed",0,IF(IFERROR(INDEX(Staff!$E$5:$E$44,MATCH(D318,Staff!$A$5:$A$44,0))&amp;"","")="Chair renter",0,ROUND(U318*PayrollBurden,2))))</f>
        <v>0</v>
      </c>
      <c r="Y318" s="26">
        <f>IF(B318="","",ROUND(U318+X318,2))</f>
        <v>0</v>
      </c>
      <c r="Z318" s="26">
        <f>IF(B318="","",ROUND(SUMIFS(Commissions!$X$5:$X$244,Commissions!$C$5:$C$244,D318,Commissions!$B$5:$B$244,Q318),2))</f>
        <v>0</v>
      </c>
      <c r="AA318" s="26">
        <f>IF(B318="","",ROUND(SUMIFS($H$5:$H$364,$D$5:$D$364,D318,$Q$5:$Q$364,Q318),2))</f>
        <v>0</v>
      </c>
      <c r="AB318" s="26">
        <f>IF(B318="","",ROUND(Z318-AA318,2))</f>
        <v>0</v>
      </c>
      <c r="AC318" s="26">
        <f>IF(B318="","",IF(IF(F318="",0,F318)=0,"",ROUND(Y318/F318,2)))</f>
        <v>0</v>
      </c>
      <c r="AD318" s="39">
        <f>IF(B318="","",IF(D318="","Add - who is this run for?",IF(IF(F318="",H318="",FALSE),"Add - no hours and no commission",IF(AB318&lt;-0.004,"Check - more commission paid than earned",IF(M318&lt;&gt;"Yes","Due - not paid yet",IF(N318="","Check - marked paid, no date","OK"))))))</f>
        <v>0</v>
      </c>
    </row>
    <row r="319" spans="1:30">
      <c r="A319" s="28">
        <f>IF(B319="","",PayrollPrefix&amp;TEXT(ROW()-4,"0000"))</f>
        <v>0</v>
      </c>
      <c r="E319" s="15">
        <f>IF(D319="","",IFERROR(INDEX(Staff!$B$5:$B$44,MATCH(D319,Staff!$A$5:$A$44,0)),"Not in Staff"))</f>
        <v>0</v>
      </c>
      <c r="Q319" s="15">
        <f>IF(B319="","",TEXT(B319,"yyyy-mm"))</f>
        <v>0</v>
      </c>
      <c r="R319" s="25">
        <f>IF(B319="","",WEEKNUM(B319,2))</f>
        <v>0</v>
      </c>
      <c r="S319" s="26">
        <f>IF(B319="","",IF(G319&lt;&gt;"",G319,IFERROR(IF(INDEX(Staff!$P$5:$P$44,MATCH(D319,Staff!$A$5:$A$44,0))="",DefaultHourly,INDEX(Staff!$P$5:$P$44,MATCH(D319,Staff!$A$5:$A$44,0))),DefaultHourly)))</f>
        <v>0</v>
      </c>
      <c r="T319" s="26">
        <f>IF(B319="","",ROUND(IF(F319="",0,F319)*S319,2))</f>
        <v>0</v>
      </c>
      <c r="U319" s="26">
        <f>IF(B319="","",ROUND(T319+IF(H319="",0,H319)+IF(J319="",0,J319)+IF(K319="",0,K319),2))</f>
        <v>0</v>
      </c>
      <c r="V319" s="26">
        <f>IF(B319="","",ROUND(U319-IF(L319="",0,L319),2))</f>
        <v>0</v>
      </c>
      <c r="W319" s="26">
        <f>IF(B319="","",ROUND(V319+IF(I319="",0,I319),2))</f>
        <v>0</v>
      </c>
      <c r="X319" s="26">
        <f>IF(B319="","",IF(IFERROR(INDEX(Staff!$E$5:$E$44,MATCH(D319,Staff!$A$5:$A$44,0))&amp;"","")="Self-employed",0,IF(IFERROR(INDEX(Staff!$E$5:$E$44,MATCH(D319,Staff!$A$5:$A$44,0))&amp;"","")="Chair renter",0,ROUND(U319*PayrollBurden,2))))</f>
        <v>0</v>
      </c>
      <c r="Y319" s="26">
        <f>IF(B319="","",ROUND(U319+X319,2))</f>
        <v>0</v>
      </c>
      <c r="Z319" s="26">
        <f>IF(B319="","",ROUND(SUMIFS(Commissions!$X$5:$X$244,Commissions!$C$5:$C$244,D319,Commissions!$B$5:$B$244,Q319),2))</f>
        <v>0</v>
      </c>
      <c r="AA319" s="26">
        <f>IF(B319="","",ROUND(SUMIFS($H$5:$H$364,$D$5:$D$364,D319,$Q$5:$Q$364,Q319),2))</f>
        <v>0</v>
      </c>
      <c r="AB319" s="26">
        <f>IF(B319="","",ROUND(Z319-AA319,2))</f>
        <v>0</v>
      </c>
      <c r="AC319" s="26">
        <f>IF(B319="","",IF(IF(F319="",0,F319)=0,"",ROUND(Y319/F319,2)))</f>
        <v>0</v>
      </c>
      <c r="AD319" s="39">
        <f>IF(B319="","",IF(D319="","Add - who is this run for?",IF(IF(F319="",H319="",FALSE),"Add - no hours and no commission",IF(AB319&lt;-0.004,"Check - more commission paid than earned",IF(M319&lt;&gt;"Yes","Due - not paid yet",IF(N319="","Check - marked paid, no date","OK"))))))</f>
        <v>0</v>
      </c>
    </row>
    <row r="320" spans="1:30">
      <c r="A320" s="28">
        <f>IF(B320="","",PayrollPrefix&amp;TEXT(ROW()-4,"0000"))</f>
        <v>0</v>
      </c>
      <c r="E320" s="15">
        <f>IF(D320="","",IFERROR(INDEX(Staff!$B$5:$B$44,MATCH(D320,Staff!$A$5:$A$44,0)),"Not in Staff"))</f>
        <v>0</v>
      </c>
      <c r="Q320" s="15">
        <f>IF(B320="","",TEXT(B320,"yyyy-mm"))</f>
        <v>0</v>
      </c>
      <c r="R320" s="25">
        <f>IF(B320="","",WEEKNUM(B320,2))</f>
        <v>0</v>
      </c>
      <c r="S320" s="26">
        <f>IF(B320="","",IF(G320&lt;&gt;"",G320,IFERROR(IF(INDEX(Staff!$P$5:$P$44,MATCH(D320,Staff!$A$5:$A$44,0))="",DefaultHourly,INDEX(Staff!$P$5:$P$44,MATCH(D320,Staff!$A$5:$A$44,0))),DefaultHourly)))</f>
        <v>0</v>
      </c>
      <c r="T320" s="26">
        <f>IF(B320="","",ROUND(IF(F320="",0,F320)*S320,2))</f>
        <v>0</v>
      </c>
      <c r="U320" s="26">
        <f>IF(B320="","",ROUND(T320+IF(H320="",0,H320)+IF(J320="",0,J320)+IF(K320="",0,K320),2))</f>
        <v>0</v>
      </c>
      <c r="V320" s="26">
        <f>IF(B320="","",ROUND(U320-IF(L320="",0,L320),2))</f>
        <v>0</v>
      </c>
      <c r="W320" s="26">
        <f>IF(B320="","",ROUND(V320+IF(I320="",0,I320),2))</f>
        <v>0</v>
      </c>
      <c r="X320" s="26">
        <f>IF(B320="","",IF(IFERROR(INDEX(Staff!$E$5:$E$44,MATCH(D320,Staff!$A$5:$A$44,0))&amp;"","")="Self-employed",0,IF(IFERROR(INDEX(Staff!$E$5:$E$44,MATCH(D320,Staff!$A$5:$A$44,0))&amp;"","")="Chair renter",0,ROUND(U320*PayrollBurden,2))))</f>
        <v>0</v>
      </c>
      <c r="Y320" s="26">
        <f>IF(B320="","",ROUND(U320+X320,2))</f>
        <v>0</v>
      </c>
      <c r="Z320" s="26">
        <f>IF(B320="","",ROUND(SUMIFS(Commissions!$X$5:$X$244,Commissions!$C$5:$C$244,D320,Commissions!$B$5:$B$244,Q320),2))</f>
        <v>0</v>
      </c>
      <c r="AA320" s="26">
        <f>IF(B320="","",ROUND(SUMIFS($H$5:$H$364,$D$5:$D$364,D320,$Q$5:$Q$364,Q320),2))</f>
        <v>0</v>
      </c>
      <c r="AB320" s="26">
        <f>IF(B320="","",ROUND(Z320-AA320,2))</f>
        <v>0</v>
      </c>
      <c r="AC320" s="26">
        <f>IF(B320="","",IF(IF(F320="",0,F320)=0,"",ROUND(Y320/F320,2)))</f>
        <v>0</v>
      </c>
      <c r="AD320" s="39">
        <f>IF(B320="","",IF(D320="","Add - who is this run for?",IF(IF(F320="",H320="",FALSE),"Add - no hours and no commission",IF(AB320&lt;-0.004,"Check - more commission paid than earned",IF(M320&lt;&gt;"Yes","Due - not paid yet",IF(N320="","Check - marked paid, no date","OK"))))))</f>
        <v>0</v>
      </c>
    </row>
    <row r="321" spans="1:30">
      <c r="A321" s="28">
        <f>IF(B321="","",PayrollPrefix&amp;TEXT(ROW()-4,"0000"))</f>
        <v>0</v>
      </c>
      <c r="E321" s="15">
        <f>IF(D321="","",IFERROR(INDEX(Staff!$B$5:$B$44,MATCH(D321,Staff!$A$5:$A$44,0)),"Not in Staff"))</f>
        <v>0</v>
      </c>
      <c r="Q321" s="15">
        <f>IF(B321="","",TEXT(B321,"yyyy-mm"))</f>
        <v>0</v>
      </c>
      <c r="R321" s="25">
        <f>IF(B321="","",WEEKNUM(B321,2))</f>
        <v>0</v>
      </c>
      <c r="S321" s="26">
        <f>IF(B321="","",IF(G321&lt;&gt;"",G321,IFERROR(IF(INDEX(Staff!$P$5:$P$44,MATCH(D321,Staff!$A$5:$A$44,0))="",DefaultHourly,INDEX(Staff!$P$5:$P$44,MATCH(D321,Staff!$A$5:$A$44,0))),DefaultHourly)))</f>
        <v>0</v>
      </c>
      <c r="T321" s="26">
        <f>IF(B321="","",ROUND(IF(F321="",0,F321)*S321,2))</f>
        <v>0</v>
      </c>
      <c r="U321" s="26">
        <f>IF(B321="","",ROUND(T321+IF(H321="",0,H321)+IF(J321="",0,J321)+IF(K321="",0,K321),2))</f>
        <v>0</v>
      </c>
      <c r="V321" s="26">
        <f>IF(B321="","",ROUND(U321-IF(L321="",0,L321),2))</f>
        <v>0</v>
      </c>
      <c r="W321" s="26">
        <f>IF(B321="","",ROUND(V321+IF(I321="",0,I321),2))</f>
        <v>0</v>
      </c>
      <c r="X321" s="26">
        <f>IF(B321="","",IF(IFERROR(INDEX(Staff!$E$5:$E$44,MATCH(D321,Staff!$A$5:$A$44,0))&amp;"","")="Self-employed",0,IF(IFERROR(INDEX(Staff!$E$5:$E$44,MATCH(D321,Staff!$A$5:$A$44,0))&amp;"","")="Chair renter",0,ROUND(U321*PayrollBurden,2))))</f>
        <v>0</v>
      </c>
      <c r="Y321" s="26">
        <f>IF(B321="","",ROUND(U321+X321,2))</f>
        <v>0</v>
      </c>
      <c r="Z321" s="26">
        <f>IF(B321="","",ROUND(SUMIFS(Commissions!$X$5:$X$244,Commissions!$C$5:$C$244,D321,Commissions!$B$5:$B$244,Q321),2))</f>
        <v>0</v>
      </c>
      <c r="AA321" s="26">
        <f>IF(B321="","",ROUND(SUMIFS($H$5:$H$364,$D$5:$D$364,D321,$Q$5:$Q$364,Q321),2))</f>
        <v>0</v>
      </c>
      <c r="AB321" s="26">
        <f>IF(B321="","",ROUND(Z321-AA321,2))</f>
        <v>0</v>
      </c>
      <c r="AC321" s="26">
        <f>IF(B321="","",IF(IF(F321="",0,F321)=0,"",ROUND(Y321/F321,2)))</f>
        <v>0</v>
      </c>
      <c r="AD321" s="39">
        <f>IF(B321="","",IF(D321="","Add - who is this run for?",IF(IF(F321="",H321="",FALSE),"Add - no hours and no commission",IF(AB321&lt;-0.004,"Check - more commission paid than earned",IF(M321&lt;&gt;"Yes","Due - not paid yet",IF(N321="","Check - marked paid, no date","OK"))))))</f>
        <v>0</v>
      </c>
    </row>
    <row r="322" spans="1:30">
      <c r="A322" s="28">
        <f>IF(B322="","",PayrollPrefix&amp;TEXT(ROW()-4,"0000"))</f>
        <v>0</v>
      </c>
      <c r="E322" s="15">
        <f>IF(D322="","",IFERROR(INDEX(Staff!$B$5:$B$44,MATCH(D322,Staff!$A$5:$A$44,0)),"Not in Staff"))</f>
        <v>0</v>
      </c>
      <c r="Q322" s="15">
        <f>IF(B322="","",TEXT(B322,"yyyy-mm"))</f>
        <v>0</v>
      </c>
      <c r="R322" s="25">
        <f>IF(B322="","",WEEKNUM(B322,2))</f>
        <v>0</v>
      </c>
      <c r="S322" s="26">
        <f>IF(B322="","",IF(G322&lt;&gt;"",G322,IFERROR(IF(INDEX(Staff!$P$5:$P$44,MATCH(D322,Staff!$A$5:$A$44,0))="",DefaultHourly,INDEX(Staff!$P$5:$P$44,MATCH(D322,Staff!$A$5:$A$44,0))),DefaultHourly)))</f>
        <v>0</v>
      </c>
      <c r="T322" s="26">
        <f>IF(B322="","",ROUND(IF(F322="",0,F322)*S322,2))</f>
        <v>0</v>
      </c>
      <c r="U322" s="26">
        <f>IF(B322="","",ROUND(T322+IF(H322="",0,H322)+IF(J322="",0,J322)+IF(K322="",0,K322),2))</f>
        <v>0</v>
      </c>
      <c r="V322" s="26">
        <f>IF(B322="","",ROUND(U322-IF(L322="",0,L322),2))</f>
        <v>0</v>
      </c>
      <c r="W322" s="26">
        <f>IF(B322="","",ROUND(V322+IF(I322="",0,I322),2))</f>
        <v>0</v>
      </c>
      <c r="X322" s="26">
        <f>IF(B322="","",IF(IFERROR(INDEX(Staff!$E$5:$E$44,MATCH(D322,Staff!$A$5:$A$44,0))&amp;"","")="Self-employed",0,IF(IFERROR(INDEX(Staff!$E$5:$E$44,MATCH(D322,Staff!$A$5:$A$44,0))&amp;"","")="Chair renter",0,ROUND(U322*PayrollBurden,2))))</f>
        <v>0</v>
      </c>
      <c r="Y322" s="26">
        <f>IF(B322="","",ROUND(U322+X322,2))</f>
        <v>0</v>
      </c>
      <c r="Z322" s="26">
        <f>IF(B322="","",ROUND(SUMIFS(Commissions!$X$5:$X$244,Commissions!$C$5:$C$244,D322,Commissions!$B$5:$B$244,Q322),2))</f>
        <v>0</v>
      </c>
      <c r="AA322" s="26">
        <f>IF(B322="","",ROUND(SUMIFS($H$5:$H$364,$D$5:$D$364,D322,$Q$5:$Q$364,Q322),2))</f>
        <v>0</v>
      </c>
      <c r="AB322" s="26">
        <f>IF(B322="","",ROUND(Z322-AA322,2))</f>
        <v>0</v>
      </c>
      <c r="AC322" s="26">
        <f>IF(B322="","",IF(IF(F322="",0,F322)=0,"",ROUND(Y322/F322,2)))</f>
        <v>0</v>
      </c>
      <c r="AD322" s="39">
        <f>IF(B322="","",IF(D322="","Add - who is this run for?",IF(IF(F322="",H322="",FALSE),"Add - no hours and no commission",IF(AB322&lt;-0.004,"Check - more commission paid than earned",IF(M322&lt;&gt;"Yes","Due - not paid yet",IF(N322="","Check - marked paid, no date","OK"))))))</f>
        <v>0</v>
      </c>
    </row>
    <row r="323" spans="1:30">
      <c r="A323" s="28">
        <f>IF(B323="","",PayrollPrefix&amp;TEXT(ROW()-4,"0000"))</f>
        <v>0</v>
      </c>
      <c r="E323" s="15">
        <f>IF(D323="","",IFERROR(INDEX(Staff!$B$5:$B$44,MATCH(D323,Staff!$A$5:$A$44,0)),"Not in Staff"))</f>
        <v>0</v>
      </c>
      <c r="Q323" s="15">
        <f>IF(B323="","",TEXT(B323,"yyyy-mm"))</f>
        <v>0</v>
      </c>
      <c r="R323" s="25">
        <f>IF(B323="","",WEEKNUM(B323,2))</f>
        <v>0</v>
      </c>
      <c r="S323" s="26">
        <f>IF(B323="","",IF(G323&lt;&gt;"",G323,IFERROR(IF(INDEX(Staff!$P$5:$P$44,MATCH(D323,Staff!$A$5:$A$44,0))="",DefaultHourly,INDEX(Staff!$P$5:$P$44,MATCH(D323,Staff!$A$5:$A$44,0))),DefaultHourly)))</f>
        <v>0</v>
      </c>
      <c r="T323" s="26">
        <f>IF(B323="","",ROUND(IF(F323="",0,F323)*S323,2))</f>
        <v>0</v>
      </c>
      <c r="U323" s="26">
        <f>IF(B323="","",ROUND(T323+IF(H323="",0,H323)+IF(J323="",0,J323)+IF(K323="",0,K323),2))</f>
        <v>0</v>
      </c>
      <c r="V323" s="26">
        <f>IF(B323="","",ROUND(U323-IF(L323="",0,L323),2))</f>
        <v>0</v>
      </c>
      <c r="W323" s="26">
        <f>IF(B323="","",ROUND(V323+IF(I323="",0,I323),2))</f>
        <v>0</v>
      </c>
      <c r="X323" s="26">
        <f>IF(B323="","",IF(IFERROR(INDEX(Staff!$E$5:$E$44,MATCH(D323,Staff!$A$5:$A$44,0))&amp;"","")="Self-employed",0,IF(IFERROR(INDEX(Staff!$E$5:$E$44,MATCH(D323,Staff!$A$5:$A$44,0))&amp;"","")="Chair renter",0,ROUND(U323*PayrollBurden,2))))</f>
        <v>0</v>
      </c>
      <c r="Y323" s="26">
        <f>IF(B323="","",ROUND(U323+X323,2))</f>
        <v>0</v>
      </c>
      <c r="Z323" s="26">
        <f>IF(B323="","",ROUND(SUMIFS(Commissions!$X$5:$X$244,Commissions!$C$5:$C$244,D323,Commissions!$B$5:$B$244,Q323),2))</f>
        <v>0</v>
      </c>
      <c r="AA323" s="26">
        <f>IF(B323="","",ROUND(SUMIFS($H$5:$H$364,$D$5:$D$364,D323,$Q$5:$Q$364,Q323),2))</f>
        <v>0</v>
      </c>
      <c r="AB323" s="26">
        <f>IF(B323="","",ROUND(Z323-AA323,2))</f>
        <v>0</v>
      </c>
      <c r="AC323" s="26">
        <f>IF(B323="","",IF(IF(F323="",0,F323)=0,"",ROUND(Y323/F323,2)))</f>
        <v>0</v>
      </c>
      <c r="AD323" s="39">
        <f>IF(B323="","",IF(D323="","Add - who is this run for?",IF(IF(F323="",H323="",FALSE),"Add - no hours and no commission",IF(AB323&lt;-0.004,"Check - more commission paid than earned",IF(M323&lt;&gt;"Yes","Due - not paid yet",IF(N323="","Check - marked paid, no date","OK"))))))</f>
        <v>0</v>
      </c>
    </row>
    <row r="324" spans="1:30">
      <c r="A324" s="28">
        <f>IF(B324="","",PayrollPrefix&amp;TEXT(ROW()-4,"0000"))</f>
        <v>0</v>
      </c>
      <c r="E324" s="15">
        <f>IF(D324="","",IFERROR(INDEX(Staff!$B$5:$B$44,MATCH(D324,Staff!$A$5:$A$44,0)),"Not in Staff"))</f>
        <v>0</v>
      </c>
      <c r="Q324" s="15">
        <f>IF(B324="","",TEXT(B324,"yyyy-mm"))</f>
        <v>0</v>
      </c>
      <c r="R324" s="25">
        <f>IF(B324="","",WEEKNUM(B324,2))</f>
        <v>0</v>
      </c>
      <c r="S324" s="26">
        <f>IF(B324="","",IF(G324&lt;&gt;"",G324,IFERROR(IF(INDEX(Staff!$P$5:$P$44,MATCH(D324,Staff!$A$5:$A$44,0))="",DefaultHourly,INDEX(Staff!$P$5:$P$44,MATCH(D324,Staff!$A$5:$A$44,0))),DefaultHourly)))</f>
        <v>0</v>
      </c>
      <c r="T324" s="26">
        <f>IF(B324="","",ROUND(IF(F324="",0,F324)*S324,2))</f>
        <v>0</v>
      </c>
      <c r="U324" s="26">
        <f>IF(B324="","",ROUND(T324+IF(H324="",0,H324)+IF(J324="",0,J324)+IF(K324="",0,K324),2))</f>
        <v>0</v>
      </c>
      <c r="V324" s="26">
        <f>IF(B324="","",ROUND(U324-IF(L324="",0,L324),2))</f>
        <v>0</v>
      </c>
      <c r="W324" s="26">
        <f>IF(B324="","",ROUND(V324+IF(I324="",0,I324),2))</f>
        <v>0</v>
      </c>
      <c r="X324" s="26">
        <f>IF(B324="","",IF(IFERROR(INDEX(Staff!$E$5:$E$44,MATCH(D324,Staff!$A$5:$A$44,0))&amp;"","")="Self-employed",0,IF(IFERROR(INDEX(Staff!$E$5:$E$44,MATCH(D324,Staff!$A$5:$A$44,0))&amp;"","")="Chair renter",0,ROUND(U324*PayrollBurden,2))))</f>
        <v>0</v>
      </c>
      <c r="Y324" s="26">
        <f>IF(B324="","",ROUND(U324+X324,2))</f>
        <v>0</v>
      </c>
      <c r="Z324" s="26">
        <f>IF(B324="","",ROUND(SUMIFS(Commissions!$X$5:$X$244,Commissions!$C$5:$C$244,D324,Commissions!$B$5:$B$244,Q324),2))</f>
        <v>0</v>
      </c>
      <c r="AA324" s="26">
        <f>IF(B324="","",ROUND(SUMIFS($H$5:$H$364,$D$5:$D$364,D324,$Q$5:$Q$364,Q324),2))</f>
        <v>0</v>
      </c>
      <c r="AB324" s="26">
        <f>IF(B324="","",ROUND(Z324-AA324,2))</f>
        <v>0</v>
      </c>
      <c r="AC324" s="26">
        <f>IF(B324="","",IF(IF(F324="",0,F324)=0,"",ROUND(Y324/F324,2)))</f>
        <v>0</v>
      </c>
      <c r="AD324" s="39">
        <f>IF(B324="","",IF(D324="","Add - who is this run for?",IF(IF(F324="",H324="",FALSE),"Add - no hours and no commission",IF(AB324&lt;-0.004,"Check - more commission paid than earned",IF(M324&lt;&gt;"Yes","Due - not paid yet",IF(N324="","Check - marked paid, no date","OK"))))))</f>
        <v>0</v>
      </c>
    </row>
    <row r="325" spans="1:30">
      <c r="A325" s="28">
        <f>IF(B325="","",PayrollPrefix&amp;TEXT(ROW()-4,"0000"))</f>
        <v>0</v>
      </c>
      <c r="E325" s="15">
        <f>IF(D325="","",IFERROR(INDEX(Staff!$B$5:$B$44,MATCH(D325,Staff!$A$5:$A$44,0)),"Not in Staff"))</f>
        <v>0</v>
      </c>
      <c r="Q325" s="15">
        <f>IF(B325="","",TEXT(B325,"yyyy-mm"))</f>
        <v>0</v>
      </c>
      <c r="R325" s="25">
        <f>IF(B325="","",WEEKNUM(B325,2))</f>
        <v>0</v>
      </c>
      <c r="S325" s="26">
        <f>IF(B325="","",IF(G325&lt;&gt;"",G325,IFERROR(IF(INDEX(Staff!$P$5:$P$44,MATCH(D325,Staff!$A$5:$A$44,0))="",DefaultHourly,INDEX(Staff!$P$5:$P$44,MATCH(D325,Staff!$A$5:$A$44,0))),DefaultHourly)))</f>
        <v>0</v>
      </c>
      <c r="T325" s="26">
        <f>IF(B325="","",ROUND(IF(F325="",0,F325)*S325,2))</f>
        <v>0</v>
      </c>
      <c r="U325" s="26">
        <f>IF(B325="","",ROUND(T325+IF(H325="",0,H325)+IF(J325="",0,J325)+IF(K325="",0,K325),2))</f>
        <v>0</v>
      </c>
      <c r="V325" s="26">
        <f>IF(B325="","",ROUND(U325-IF(L325="",0,L325),2))</f>
        <v>0</v>
      </c>
      <c r="W325" s="26">
        <f>IF(B325="","",ROUND(V325+IF(I325="",0,I325),2))</f>
        <v>0</v>
      </c>
      <c r="X325" s="26">
        <f>IF(B325="","",IF(IFERROR(INDEX(Staff!$E$5:$E$44,MATCH(D325,Staff!$A$5:$A$44,0))&amp;"","")="Self-employed",0,IF(IFERROR(INDEX(Staff!$E$5:$E$44,MATCH(D325,Staff!$A$5:$A$44,0))&amp;"","")="Chair renter",0,ROUND(U325*PayrollBurden,2))))</f>
        <v>0</v>
      </c>
      <c r="Y325" s="26">
        <f>IF(B325="","",ROUND(U325+X325,2))</f>
        <v>0</v>
      </c>
      <c r="Z325" s="26">
        <f>IF(B325="","",ROUND(SUMIFS(Commissions!$X$5:$X$244,Commissions!$C$5:$C$244,D325,Commissions!$B$5:$B$244,Q325),2))</f>
        <v>0</v>
      </c>
      <c r="AA325" s="26">
        <f>IF(B325="","",ROUND(SUMIFS($H$5:$H$364,$D$5:$D$364,D325,$Q$5:$Q$364,Q325),2))</f>
        <v>0</v>
      </c>
      <c r="AB325" s="26">
        <f>IF(B325="","",ROUND(Z325-AA325,2))</f>
        <v>0</v>
      </c>
      <c r="AC325" s="26">
        <f>IF(B325="","",IF(IF(F325="",0,F325)=0,"",ROUND(Y325/F325,2)))</f>
        <v>0</v>
      </c>
      <c r="AD325" s="39">
        <f>IF(B325="","",IF(D325="","Add - who is this run for?",IF(IF(F325="",H325="",FALSE),"Add - no hours and no commission",IF(AB325&lt;-0.004,"Check - more commission paid than earned",IF(M325&lt;&gt;"Yes","Due - not paid yet",IF(N325="","Check - marked paid, no date","OK"))))))</f>
        <v>0</v>
      </c>
    </row>
    <row r="326" spans="1:30">
      <c r="A326" s="28">
        <f>IF(B326="","",PayrollPrefix&amp;TEXT(ROW()-4,"0000"))</f>
        <v>0</v>
      </c>
      <c r="E326" s="15">
        <f>IF(D326="","",IFERROR(INDEX(Staff!$B$5:$B$44,MATCH(D326,Staff!$A$5:$A$44,0)),"Not in Staff"))</f>
        <v>0</v>
      </c>
      <c r="Q326" s="15">
        <f>IF(B326="","",TEXT(B326,"yyyy-mm"))</f>
        <v>0</v>
      </c>
      <c r="R326" s="25">
        <f>IF(B326="","",WEEKNUM(B326,2))</f>
        <v>0</v>
      </c>
      <c r="S326" s="26">
        <f>IF(B326="","",IF(G326&lt;&gt;"",G326,IFERROR(IF(INDEX(Staff!$P$5:$P$44,MATCH(D326,Staff!$A$5:$A$44,0))="",DefaultHourly,INDEX(Staff!$P$5:$P$44,MATCH(D326,Staff!$A$5:$A$44,0))),DefaultHourly)))</f>
        <v>0</v>
      </c>
      <c r="T326" s="26">
        <f>IF(B326="","",ROUND(IF(F326="",0,F326)*S326,2))</f>
        <v>0</v>
      </c>
      <c r="U326" s="26">
        <f>IF(B326="","",ROUND(T326+IF(H326="",0,H326)+IF(J326="",0,J326)+IF(K326="",0,K326),2))</f>
        <v>0</v>
      </c>
      <c r="V326" s="26">
        <f>IF(B326="","",ROUND(U326-IF(L326="",0,L326),2))</f>
        <v>0</v>
      </c>
      <c r="W326" s="26">
        <f>IF(B326="","",ROUND(V326+IF(I326="",0,I326),2))</f>
        <v>0</v>
      </c>
      <c r="X326" s="26">
        <f>IF(B326="","",IF(IFERROR(INDEX(Staff!$E$5:$E$44,MATCH(D326,Staff!$A$5:$A$44,0))&amp;"","")="Self-employed",0,IF(IFERROR(INDEX(Staff!$E$5:$E$44,MATCH(D326,Staff!$A$5:$A$44,0))&amp;"","")="Chair renter",0,ROUND(U326*PayrollBurden,2))))</f>
        <v>0</v>
      </c>
      <c r="Y326" s="26">
        <f>IF(B326="","",ROUND(U326+X326,2))</f>
        <v>0</v>
      </c>
      <c r="Z326" s="26">
        <f>IF(B326="","",ROUND(SUMIFS(Commissions!$X$5:$X$244,Commissions!$C$5:$C$244,D326,Commissions!$B$5:$B$244,Q326),2))</f>
        <v>0</v>
      </c>
      <c r="AA326" s="26">
        <f>IF(B326="","",ROUND(SUMIFS($H$5:$H$364,$D$5:$D$364,D326,$Q$5:$Q$364,Q326),2))</f>
        <v>0</v>
      </c>
      <c r="AB326" s="26">
        <f>IF(B326="","",ROUND(Z326-AA326,2))</f>
        <v>0</v>
      </c>
      <c r="AC326" s="26">
        <f>IF(B326="","",IF(IF(F326="",0,F326)=0,"",ROUND(Y326/F326,2)))</f>
        <v>0</v>
      </c>
      <c r="AD326" s="39">
        <f>IF(B326="","",IF(D326="","Add - who is this run for?",IF(IF(F326="",H326="",FALSE),"Add - no hours and no commission",IF(AB326&lt;-0.004,"Check - more commission paid than earned",IF(M326&lt;&gt;"Yes","Due - not paid yet",IF(N326="","Check - marked paid, no date","OK"))))))</f>
        <v>0</v>
      </c>
    </row>
    <row r="327" spans="1:30">
      <c r="A327" s="28">
        <f>IF(B327="","",PayrollPrefix&amp;TEXT(ROW()-4,"0000"))</f>
        <v>0</v>
      </c>
      <c r="E327" s="15">
        <f>IF(D327="","",IFERROR(INDEX(Staff!$B$5:$B$44,MATCH(D327,Staff!$A$5:$A$44,0)),"Not in Staff"))</f>
        <v>0</v>
      </c>
      <c r="Q327" s="15">
        <f>IF(B327="","",TEXT(B327,"yyyy-mm"))</f>
        <v>0</v>
      </c>
      <c r="R327" s="25">
        <f>IF(B327="","",WEEKNUM(B327,2))</f>
        <v>0</v>
      </c>
      <c r="S327" s="26">
        <f>IF(B327="","",IF(G327&lt;&gt;"",G327,IFERROR(IF(INDEX(Staff!$P$5:$P$44,MATCH(D327,Staff!$A$5:$A$44,0))="",DefaultHourly,INDEX(Staff!$P$5:$P$44,MATCH(D327,Staff!$A$5:$A$44,0))),DefaultHourly)))</f>
        <v>0</v>
      </c>
      <c r="T327" s="26">
        <f>IF(B327="","",ROUND(IF(F327="",0,F327)*S327,2))</f>
        <v>0</v>
      </c>
      <c r="U327" s="26">
        <f>IF(B327="","",ROUND(T327+IF(H327="",0,H327)+IF(J327="",0,J327)+IF(K327="",0,K327),2))</f>
        <v>0</v>
      </c>
      <c r="V327" s="26">
        <f>IF(B327="","",ROUND(U327-IF(L327="",0,L327),2))</f>
        <v>0</v>
      </c>
      <c r="W327" s="26">
        <f>IF(B327="","",ROUND(V327+IF(I327="",0,I327),2))</f>
        <v>0</v>
      </c>
      <c r="X327" s="26">
        <f>IF(B327="","",IF(IFERROR(INDEX(Staff!$E$5:$E$44,MATCH(D327,Staff!$A$5:$A$44,0))&amp;"","")="Self-employed",0,IF(IFERROR(INDEX(Staff!$E$5:$E$44,MATCH(D327,Staff!$A$5:$A$44,0))&amp;"","")="Chair renter",0,ROUND(U327*PayrollBurden,2))))</f>
        <v>0</v>
      </c>
      <c r="Y327" s="26">
        <f>IF(B327="","",ROUND(U327+X327,2))</f>
        <v>0</v>
      </c>
      <c r="Z327" s="26">
        <f>IF(B327="","",ROUND(SUMIFS(Commissions!$X$5:$X$244,Commissions!$C$5:$C$244,D327,Commissions!$B$5:$B$244,Q327),2))</f>
        <v>0</v>
      </c>
      <c r="AA327" s="26">
        <f>IF(B327="","",ROUND(SUMIFS($H$5:$H$364,$D$5:$D$364,D327,$Q$5:$Q$364,Q327),2))</f>
        <v>0</v>
      </c>
      <c r="AB327" s="26">
        <f>IF(B327="","",ROUND(Z327-AA327,2))</f>
        <v>0</v>
      </c>
      <c r="AC327" s="26">
        <f>IF(B327="","",IF(IF(F327="",0,F327)=0,"",ROUND(Y327/F327,2)))</f>
        <v>0</v>
      </c>
      <c r="AD327" s="39">
        <f>IF(B327="","",IF(D327="","Add - who is this run for?",IF(IF(F327="",H327="",FALSE),"Add - no hours and no commission",IF(AB327&lt;-0.004,"Check - more commission paid than earned",IF(M327&lt;&gt;"Yes","Due - not paid yet",IF(N327="","Check - marked paid, no date","OK"))))))</f>
        <v>0</v>
      </c>
    </row>
    <row r="328" spans="1:30">
      <c r="A328" s="28">
        <f>IF(B328="","",PayrollPrefix&amp;TEXT(ROW()-4,"0000"))</f>
        <v>0</v>
      </c>
      <c r="E328" s="15">
        <f>IF(D328="","",IFERROR(INDEX(Staff!$B$5:$B$44,MATCH(D328,Staff!$A$5:$A$44,0)),"Not in Staff"))</f>
        <v>0</v>
      </c>
      <c r="Q328" s="15">
        <f>IF(B328="","",TEXT(B328,"yyyy-mm"))</f>
        <v>0</v>
      </c>
      <c r="R328" s="25">
        <f>IF(B328="","",WEEKNUM(B328,2))</f>
        <v>0</v>
      </c>
      <c r="S328" s="26">
        <f>IF(B328="","",IF(G328&lt;&gt;"",G328,IFERROR(IF(INDEX(Staff!$P$5:$P$44,MATCH(D328,Staff!$A$5:$A$44,0))="",DefaultHourly,INDEX(Staff!$P$5:$P$44,MATCH(D328,Staff!$A$5:$A$44,0))),DefaultHourly)))</f>
        <v>0</v>
      </c>
      <c r="T328" s="26">
        <f>IF(B328="","",ROUND(IF(F328="",0,F328)*S328,2))</f>
        <v>0</v>
      </c>
      <c r="U328" s="26">
        <f>IF(B328="","",ROUND(T328+IF(H328="",0,H328)+IF(J328="",0,J328)+IF(K328="",0,K328),2))</f>
        <v>0</v>
      </c>
      <c r="V328" s="26">
        <f>IF(B328="","",ROUND(U328-IF(L328="",0,L328),2))</f>
        <v>0</v>
      </c>
      <c r="W328" s="26">
        <f>IF(B328="","",ROUND(V328+IF(I328="",0,I328),2))</f>
        <v>0</v>
      </c>
      <c r="X328" s="26">
        <f>IF(B328="","",IF(IFERROR(INDEX(Staff!$E$5:$E$44,MATCH(D328,Staff!$A$5:$A$44,0))&amp;"","")="Self-employed",0,IF(IFERROR(INDEX(Staff!$E$5:$E$44,MATCH(D328,Staff!$A$5:$A$44,0))&amp;"","")="Chair renter",0,ROUND(U328*PayrollBurden,2))))</f>
        <v>0</v>
      </c>
      <c r="Y328" s="26">
        <f>IF(B328="","",ROUND(U328+X328,2))</f>
        <v>0</v>
      </c>
      <c r="Z328" s="26">
        <f>IF(B328="","",ROUND(SUMIFS(Commissions!$X$5:$X$244,Commissions!$C$5:$C$244,D328,Commissions!$B$5:$B$244,Q328),2))</f>
        <v>0</v>
      </c>
      <c r="AA328" s="26">
        <f>IF(B328="","",ROUND(SUMIFS($H$5:$H$364,$D$5:$D$364,D328,$Q$5:$Q$364,Q328),2))</f>
        <v>0</v>
      </c>
      <c r="AB328" s="26">
        <f>IF(B328="","",ROUND(Z328-AA328,2))</f>
        <v>0</v>
      </c>
      <c r="AC328" s="26">
        <f>IF(B328="","",IF(IF(F328="",0,F328)=0,"",ROUND(Y328/F328,2)))</f>
        <v>0</v>
      </c>
      <c r="AD328" s="39">
        <f>IF(B328="","",IF(D328="","Add - who is this run for?",IF(IF(F328="",H328="",FALSE),"Add - no hours and no commission",IF(AB328&lt;-0.004,"Check - more commission paid than earned",IF(M328&lt;&gt;"Yes","Due - not paid yet",IF(N328="","Check - marked paid, no date","OK"))))))</f>
        <v>0</v>
      </c>
    </row>
    <row r="329" spans="1:30">
      <c r="A329" s="28">
        <f>IF(B329="","",PayrollPrefix&amp;TEXT(ROW()-4,"0000"))</f>
        <v>0</v>
      </c>
      <c r="E329" s="15">
        <f>IF(D329="","",IFERROR(INDEX(Staff!$B$5:$B$44,MATCH(D329,Staff!$A$5:$A$44,0)),"Not in Staff"))</f>
        <v>0</v>
      </c>
      <c r="Q329" s="15">
        <f>IF(B329="","",TEXT(B329,"yyyy-mm"))</f>
        <v>0</v>
      </c>
      <c r="R329" s="25">
        <f>IF(B329="","",WEEKNUM(B329,2))</f>
        <v>0</v>
      </c>
      <c r="S329" s="26">
        <f>IF(B329="","",IF(G329&lt;&gt;"",G329,IFERROR(IF(INDEX(Staff!$P$5:$P$44,MATCH(D329,Staff!$A$5:$A$44,0))="",DefaultHourly,INDEX(Staff!$P$5:$P$44,MATCH(D329,Staff!$A$5:$A$44,0))),DefaultHourly)))</f>
        <v>0</v>
      </c>
      <c r="T329" s="26">
        <f>IF(B329="","",ROUND(IF(F329="",0,F329)*S329,2))</f>
        <v>0</v>
      </c>
      <c r="U329" s="26">
        <f>IF(B329="","",ROUND(T329+IF(H329="",0,H329)+IF(J329="",0,J329)+IF(K329="",0,K329),2))</f>
        <v>0</v>
      </c>
      <c r="V329" s="26">
        <f>IF(B329="","",ROUND(U329-IF(L329="",0,L329),2))</f>
        <v>0</v>
      </c>
      <c r="W329" s="26">
        <f>IF(B329="","",ROUND(V329+IF(I329="",0,I329),2))</f>
        <v>0</v>
      </c>
      <c r="X329" s="26">
        <f>IF(B329="","",IF(IFERROR(INDEX(Staff!$E$5:$E$44,MATCH(D329,Staff!$A$5:$A$44,0))&amp;"","")="Self-employed",0,IF(IFERROR(INDEX(Staff!$E$5:$E$44,MATCH(D329,Staff!$A$5:$A$44,0))&amp;"","")="Chair renter",0,ROUND(U329*PayrollBurden,2))))</f>
        <v>0</v>
      </c>
      <c r="Y329" s="26">
        <f>IF(B329="","",ROUND(U329+X329,2))</f>
        <v>0</v>
      </c>
      <c r="Z329" s="26">
        <f>IF(B329="","",ROUND(SUMIFS(Commissions!$X$5:$X$244,Commissions!$C$5:$C$244,D329,Commissions!$B$5:$B$244,Q329),2))</f>
        <v>0</v>
      </c>
      <c r="AA329" s="26">
        <f>IF(B329="","",ROUND(SUMIFS($H$5:$H$364,$D$5:$D$364,D329,$Q$5:$Q$364,Q329),2))</f>
        <v>0</v>
      </c>
      <c r="AB329" s="26">
        <f>IF(B329="","",ROUND(Z329-AA329,2))</f>
        <v>0</v>
      </c>
      <c r="AC329" s="26">
        <f>IF(B329="","",IF(IF(F329="",0,F329)=0,"",ROUND(Y329/F329,2)))</f>
        <v>0</v>
      </c>
      <c r="AD329" s="39">
        <f>IF(B329="","",IF(D329="","Add - who is this run for?",IF(IF(F329="",H329="",FALSE),"Add - no hours and no commission",IF(AB329&lt;-0.004,"Check - more commission paid than earned",IF(M329&lt;&gt;"Yes","Due - not paid yet",IF(N329="","Check - marked paid, no date","OK"))))))</f>
        <v>0</v>
      </c>
    </row>
    <row r="330" spans="1:30">
      <c r="A330" s="28">
        <f>IF(B330="","",PayrollPrefix&amp;TEXT(ROW()-4,"0000"))</f>
        <v>0</v>
      </c>
      <c r="E330" s="15">
        <f>IF(D330="","",IFERROR(INDEX(Staff!$B$5:$B$44,MATCH(D330,Staff!$A$5:$A$44,0)),"Not in Staff"))</f>
        <v>0</v>
      </c>
      <c r="Q330" s="15">
        <f>IF(B330="","",TEXT(B330,"yyyy-mm"))</f>
        <v>0</v>
      </c>
      <c r="R330" s="25">
        <f>IF(B330="","",WEEKNUM(B330,2))</f>
        <v>0</v>
      </c>
      <c r="S330" s="26">
        <f>IF(B330="","",IF(G330&lt;&gt;"",G330,IFERROR(IF(INDEX(Staff!$P$5:$P$44,MATCH(D330,Staff!$A$5:$A$44,0))="",DefaultHourly,INDEX(Staff!$P$5:$P$44,MATCH(D330,Staff!$A$5:$A$44,0))),DefaultHourly)))</f>
        <v>0</v>
      </c>
      <c r="T330" s="26">
        <f>IF(B330="","",ROUND(IF(F330="",0,F330)*S330,2))</f>
        <v>0</v>
      </c>
      <c r="U330" s="26">
        <f>IF(B330="","",ROUND(T330+IF(H330="",0,H330)+IF(J330="",0,J330)+IF(K330="",0,K330),2))</f>
        <v>0</v>
      </c>
      <c r="V330" s="26">
        <f>IF(B330="","",ROUND(U330-IF(L330="",0,L330),2))</f>
        <v>0</v>
      </c>
      <c r="W330" s="26">
        <f>IF(B330="","",ROUND(V330+IF(I330="",0,I330),2))</f>
        <v>0</v>
      </c>
      <c r="X330" s="26">
        <f>IF(B330="","",IF(IFERROR(INDEX(Staff!$E$5:$E$44,MATCH(D330,Staff!$A$5:$A$44,0))&amp;"","")="Self-employed",0,IF(IFERROR(INDEX(Staff!$E$5:$E$44,MATCH(D330,Staff!$A$5:$A$44,0))&amp;"","")="Chair renter",0,ROUND(U330*PayrollBurden,2))))</f>
        <v>0</v>
      </c>
      <c r="Y330" s="26">
        <f>IF(B330="","",ROUND(U330+X330,2))</f>
        <v>0</v>
      </c>
      <c r="Z330" s="26">
        <f>IF(B330="","",ROUND(SUMIFS(Commissions!$X$5:$X$244,Commissions!$C$5:$C$244,D330,Commissions!$B$5:$B$244,Q330),2))</f>
        <v>0</v>
      </c>
      <c r="AA330" s="26">
        <f>IF(B330="","",ROUND(SUMIFS($H$5:$H$364,$D$5:$D$364,D330,$Q$5:$Q$364,Q330),2))</f>
        <v>0</v>
      </c>
      <c r="AB330" s="26">
        <f>IF(B330="","",ROUND(Z330-AA330,2))</f>
        <v>0</v>
      </c>
      <c r="AC330" s="26">
        <f>IF(B330="","",IF(IF(F330="",0,F330)=0,"",ROUND(Y330/F330,2)))</f>
        <v>0</v>
      </c>
      <c r="AD330" s="39">
        <f>IF(B330="","",IF(D330="","Add - who is this run for?",IF(IF(F330="",H330="",FALSE),"Add - no hours and no commission",IF(AB330&lt;-0.004,"Check - more commission paid than earned",IF(M330&lt;&gt;"Yes","Due - not paid yet",IF(N330="","Check - marked paid, no date","OK"))))))</f>
        <v>0</v>
      </c>
    </row>
    <row r="331" spans="1:30">
      <c r="A331" s="28">
        <f>IF(B331="","",PayrollPrefix&amp;TEXT(ROW()-4,"0000"))</f>
        <v>0</v>
      </c>
      <c r="E331" s="15">
        <f>IF(D331="","",IFERROR(INDEX(Staff!$B$5:$B$44,MATCH(D331,Staff!$A$5:$A$44,0)),"Not in Staff"))</f>
        <v>0</v>
      </c>
      <c r="Q331" s="15">
        <f>IF(B331="","",TEXT(B331,"yyyy-mm"))</f>
        <v>0</v>
      </c>
      <c r="R331" s="25">
        <f>IF(B331="","",WEEKNUM(B331,2))</f>
        <v>0</v>
      </c>
      <c r="S331" s="26">
        <f>IF(B331="","",IF(G331&lt;&gt;"",G331,IFERROR(IF(INDEX(Staff!$P$5:$P$44,MATCH(D331,Staff!$A$5:$A$44,0))="",DefaultHourly,INDEX(Staff!$P$5:$P$44,MATCH(D331,Staff!$A$5:$A$44,0))),DefaultHourly)))</f>
        <v>0</v>
      </c>
      <c r="T331" s="26">
        <f>IF(B331="","",ROUND(IF(F331="",0,F331)*S331,2))</f>
        <v>0</v>
      </c>
      <c r="U331" s="26">
        <f>IF(B331="","",ROUND(T331+IF(H331="",0,H331)+IF(J331="",0,J331)+IF(K331="",0,K331),2))</f>
        <v>0</v>
      </c>
      <c r="V331" s="26">
        <f>IF(B331="","",ROUND(U331-IF(L331="",0,L331),2))</f>
        <v>0</v>
      </c>
      <c r="W331" s="26">
        <f>IF(B331="","",ROUND(V331+IF(I331="",0,I331),2))</f>
        <v>0</v>
      </c>
      <c r="X331" s="26">
        <f>IF(B331="","",IF(IFERROR(INDEX(Staff!$E$5:$E$44,MATCH(D331,Staff!$A$5:$A$44,0))&amp;"","")="Self-employed",0,IF(IFERROR(INDEX(Staff!$E$5:$E$44,MATCH(D331,Staff!$A$5:$A$44,0))&amp;"","")="Chair renter",0,ROUND(U331*PayrollBurden,2))))</f>
        <v>0</v>
      </c>
      <c r="Y331" s="26">
        <f>IF(B331="","",ROUND(U331+X331,2))</f>
        <v>0</v>
      </c>
      <c r="Z331" s="26">
        <f>IF(B331="","",ROUND(SUMIFS(Commissions!$X$5:$X$244,Commissions!$C$5:$C$244,D331,Commissions!$B$5:$B$244,Q331),2))</f>
        <v>0</v>
      </c>
      <c r="AA331" s="26">
        <f>IF(B331="","",ROUND(SUMIFS($H$5:$H$364,$D$5:$D$364,D331,$Q$5:$Q$364,Q331),2))</f>
        <v>0</v>
      </c>
      <c r="AB331" s="26">
        <f>IF(B331="","",ROUND(Z331-AA331,2))</f>
        <v>0</v>
      </c>
      <c r="AC331" s="26">
        <f>IF(B331="","",IF(IF(F331="",0,F331)=0,"",ROUND(Y331/F331,2)))</f>
        <v>0</v>
      </c>
      <c r="AD331" s="39">
        <f>IF(B331="","",IF(D331="","Add - who is this run for?",IF(IF(F331="",H331="",FALSE),"Add - no hours and no commission",IF(AB331&lt;-0.004,"Check - more commission paid than earned",IF(M331&lt;&gt;"Yes","Due - not paid yet",IF(N331="","Check - marked paid, no date","OK"))))))</f>
        <v>0</v>
      </c>
    </row>
    <row r="332" spans="1:30">
      <c r="A332" s="28">
        <f>IF(B332="","",PayrollPrefix&amp;TEXT(ROW()-4,"0000"))</f>
        <v>0</v>
      </c>
      <c r="E332" s="15">
        <f>IF(D332="","",IFERROR(INDEX(Staff!$B$5:$B$44,MATCH(D332,Staff!$A$5:$A$44,0)),"Not in Staff"))</f>
        <v>0</v>
      </c>
      <c r="Q332" s="15">
        <f>IF(B332="","",TEXT(B332,"yyyy-mm"))</f>
        <v>0</v>
      </c>
      <c r="R332" s="25">
        <f>IF(B332="","",WEEKNUM(B332,2))</f>
        <v>0</v>
      </c>
      <c r="S332" s="26">
        <f>IF(B332="","",IF(G332&lt;&gt;"",G332,IFERROR(IF(INDEX(Staff!$P$5:$P$44,MATCH(D332,Staff!$A$5:$A$44,0))="",DefaultHourly,INDEX(Staff!$P$5:$P$44,MATCH(D332,Staff!$A$5:$A$44,0))),DefaultHourly)))</f>
        <v>0</v>
      </c>
      <c r="T332" s="26">
        <f>IF(B332="","",ROUND(IF(F332="",0,F332)*S332,2))</f>
        <v>0</v>
      </c>
      <c r="U332" s="26">
        <f>IF(B332="","",ROUND(T332+IF(H332="",0,H332)+IF(J332="",0,J332)+IF(K332="",0,K332),2))</f>
        <v>0</v>
      </c>
      <c r="V332" s="26">
        <f>IF(B332="","",ROUND(U332-IF(L332="",0,L332),2))</f>
        <v>0</v>
      </c>
      <c r="W332" s="26">
        <f>IF(B332="","",ROUND(V332+IF(I332="",0,I332),2))</f>
        <v>0</v>
      </c>
      <c r="X332" s="26">
        <f>IF(B332="","",IF(IFERROR(INDEX(Staff!$E$5:$E$44,MATCH(D332,Staff!$A$5:$A$44,0))&amp;"","")="Self-employed",0,IF(IFERROR(INDEX(Staff!$E$5:$E$44,MATCH(D332,Staff!$A$5:$A$44,0))&amp;"","")="Chair renter",0,ROUND(U332*PayrollBurden,2))))</f>
        <v>0</v>
      </c>
      <c r="Y332" s="26">
        <f>IF(B332="","",ROUND(U332+X332,2))</f>
        <v>0</v>
      </c>
      <c r="Z332" s="26">
        <f>IF(B332="","",ROUND(SUMIFS(Commissions!$X$5:$X$244,Commissions!$C$5:$C$244,D332,Commissions!$B$5:$B$244,Q332),2))</f>
        <v>0</v>
      </c>
      <c r="AA332" s="26">
        <f>IF(B332="","",ROUND(SUMIFS($H$5:$H$364,$D$5:$D$364,D332,$Q$5:$Q$364,Q332),2))</f>
        <v>0</v>
      </c>
      <c r="AB332" s="26">
        <f>IF(B332="","",ROUND(Z332-AA332,2))</f>
        <v>0</v>
      </c>
      <c r="AC332" s="26">
        <f>IF(B332="","",IF(IF(F332="",0,F332)=0,"",ROUND(Y332/F332,2)))</f>
        <v>0</v>
      </c>
      <c r="AD332" s="39">
        <f>IF(B332="","",IF(D332="","Add - who is this run for?",IF(IF(F332="",H332="",FALSE),"Add - no hours and no commission",IF(AB332&lt;-0.004,"Check - more commission paid than earned",IF(M332&lt;&gt;"Yes","Due - not paid yet",IF(N332="","Check - marked paid, no date","OK"))))))</f>
        <v>0</v>
      </c>
    </row>
    <row r="333" spans="1:30">
      <c r="A333" s="28">
        <f>IF(B333="","",PayrollPrefix&amp;TEXT(ROW()-4,"0000"))</f>
        <v>0</v>
      </c>
      <c r="E333" s="15">
        <f>IF(D333="","",IFERROR(INDEX(Staff!$B$5:$B$44,MATCH(D333,Staff!$A$5:$A$44,0)),"Not in Staff"))</f>
        <v>0</v>
      </c>
      <c r="Q333" s="15">
        <f>IF(B333="","",TEXT(B333,"yyyy-mm"))</f>
        <v>0</v>
      </c>
      <c r="R333" s="25">
        <f>IF(B333="","",WEEKNUM(B333,2))</f>
        <v>0</v>
      </c>
      <c r="S333" s="26">
        <f>IF(B333="","",IF(G333&lt;&gt;"",G333,IFERROR(IF(INDEX(Staff!$P$5:$P$44,MATCH(D333,Staff!$A$5:$A$44,0))="",DefaultHourly,INDEX(Staff!$P$5:$P$44,MATCH(D333,Staff!$A$5:$A$44,0))),DefaultHourly)))</f>
        <v>0</v>
      </c>
      <c r="T333" s="26">
        <f>IF(B333="","",ROUND(IF(F333="",0,F333)*S333,2))</f>
        <v>0</v>
      </c>
      <c r="U333" s="26">
        <f>IF(B333="","",ROUND(T333+IF(H333="",0,H333)+IF(J333="",0,J333)+IF(K333="",0,K333),2))</f>
        <v>0</v>
      </c>
      <c r="V333" s="26">
        <f>IF(B333="","",ROUND(U333-IF(L333="",0,L333),2))</f>
        <v>0</v>
      </c>
      <c r="W333" s="26">
        <f>IF(B333="","",ROUND(V333+IF(I333="",0,I333),2))</f>
        <v>0</v>
      </c>
      <c r="X333" s="26">
        <f>IF(B333="","",IF(IFERROR(INDEX(Staff!$E$5:$E$44,MATCH(D333,Staff!$A$5:$A$44,0))&amp;"","")="Self-employed",0,IF(IFERROR(INDEX(Staff!$E$5:$E$44,MATCH(D333,Staff!$A$5:$A$44,0))&amp;"","")="Chair renter",0,ROUND(U333*PayrollBurden,2))))</f>
        <v>0</v>
      </c>
      <c r="Y333" s="26">
        <f>IF(B333="","",ROUND(U333+X333,2))</f>
        <v>0</v>
      </c>
      <c r="Z333" s="26">
        <f>IF(B333="","",ROUND(SUMIFS(Commissions!$X$5:$X$244,Commissions!$C$5:$C$244,D333,Commissions!$B$5:$B$244,Q333),2))</f>
        <v>0</v>
      </c>
      <c r="AA333" s="26">
        <f>IF(B333="","",ROUND(SUMIFS($H$5:$H$364,$D$5:$D$364,D333,$Q$5:$Q$364,Q333),2))</f>
        <v>0</v>
      </c>
      <c r="AB333" s="26">
        <f>IF(B333="","",ROUND(Z333-AA333,2))</f>
        <v>0</v>
      </c>
      <c r="AC333" s="26">
        <f>IF(B333="","",IF(IF(F333="",0,F333)=0,"",ROUND(Y333/F333,2)))</f>
        <v>0</v>
      </c>
      <c r="AD333" s="39">
        <f>IF(B333="","",IF(D333="","Add - who is this run for?",IF(IF(F333="",H333="",FALSE),"Add - no hours and no commission",IF(AB333&lt;-0.004,"Check - more commission paid than earned",IF(M333&lt;&gt;"Yes","Due - not paid yet",IF(N333="","Check - marked paid, no date","OK"))))))</f>
        <v>0</v>
      </c>
    </row>
    <row r="334" spans="1:30">
      <c r="A334" s="28">
        <f>IF(B334="","",PayrollPrefix&amp;TEXT(ROW()-4,"0000"))</f>
        <v>0</v>
      </c>
      <c r="E334" s="15">
        <f>IF(D334="","",IFERROR(INDEX(Staff!$B$5:$B$44,MATCH(D334,Staff!$A$5:$A$44,0)),"Not in Staff"))</f>
        <v>0</v>
      </c>
      <c r="Q334" s="15">
        <f>IF(B334="","",TEXT(B334,"yyyy-mm"))</f>
        <v>0</v>
      </c>
      <c r="R334" s="25">
        <f>IF(B334="","",WEEKNUM(B334,2))</f>
        <v>0</v>
      </c>
      <c r="S334" s="26">
        <f>IF(B334="","",IF(G334&lt;&gt;"",G334,IFERROR(IF(INDEX(Staff!$P$5:$P$44,MATCH(D334,Staff!$A$5:$A$44,0))="",DefaultHourly,INDEX(Staff!$P$5:$P$44,MATCH(D334,Staff!$A$5:$A$44,0))),DefaultHourly)))</f>
        <v>0</v>
      </c>
      <c r="T334" s="26">
        <f>IF(B334="","",ROUND(IF(F334="",0,F334)*S334,2))</f>
        <v>0</v>
      </c>
      <c r="U334" s="26">
        <f>IF(B334="","",ROUND(T334+IF(H334="",0,H334)+IF(J334="",0,J334)+IF(K334="",0,K334),2))</f>
        <v>0</v>
      </c>
      <c r="V334" s="26">
        <f>IF(B334="","",ROUND(U334-IF(L334="",0,L334),2))</f>
        <v>0</v>
      </c>
      <c r="W334" s="26">
        <f>IF(B334="","",ROUND(V334+IF(I334="",0,I334),2))</f>
        <v>0</v>
      </c>
      <c r="X334" s="26">
        <f>IF(B334="","",IF(IFERROR(INDEX(Staff!$E$5:$E$44,MATCH(D334,Staff!$A$5:$A$44,0))&amp;"","")="Self-employed",0,IF(IFERROR(INDEX(Staff!$E$5:$E$44,MATCH(D334,Staff!$A$5:$A$44,0))&amp;"","")="Chair renter",0,ROUND(U334*PayrollBurden,2))))</f>
        <v>0</v>
      </c>
      <c r="Y334" s="26">
        <f>IF(B334="","",ROUND(U334+X334,2))</f>
        <v>0</v>
      </c>
      <c r="Z334" s="26">
        <f>IF(B334="","",ROUND(SUMIFS(Commissions!$X$5:$X$244,Commissions!$C$5:$C$244,D334,Commissions!$B$5:$B$244,Q334),2))</f>
        <v>0</v>
      </c>
      <c r="AA334" s="26">
        <f>IF(B334="","",ROUND(SUMIFS($H$5:$H$364,$D$5:$D$364,D334,$Q$5:$Q$364,Q334),2))</f>
        <v>0</v>
      </c>
      <c r="AB334" s="26">
        <f>IF(B334="","",ROUND(Z334-AA334,2))</f>
        <v>0</v>
      </c>
      <c r="AC334" s="26">
        <f>IF(B334="","",IF(IF(F334="",0,F334)=0,"",ROUND(Y334/F334,2)))</f>
        <v>0</v>
      </c>
      <c r="AD334" s="39">
        <f>IF(B334="","",IF(D334="","Add - who is this run for?",IF(IF(F334="",H334="",FALSE),"Add - no hours and no commission",IF(AB334&lt;-0.004,"Check - more commission paid than earned",IF(M334&lt;&gt;"Yes","Due - not paid yet",IF(N334="","Check - marked paid, no date","OK"))))))</f>
        <v>0</v>
      </c>
    </row>
    <row r="335" spans="1:30">
      <c r="A335" s="28">
        <f>IF(B335="","",PayrollPrefix&amp;TEXT(ROW()-4,"0000"))</f>
        <v>0</v>
      </c>
      <c r="E335" s="15">
        <f>IF(D335="","",IFERROR(INDEX(Staff!$B$5:$B$44,MATCH(D335,Staff!$A$5:$A$44,0)),"Not in Staff"))</f>
        <v>0</v>
      </c>
      <c r="Q335" s="15">
        <f>IF(B335="","",TEXT(B335,"yyyy-mm"))</f>
        <v>0</v>
      </c>
      <c r="R335" s="25">
        <f>IF(B335="","",WEEKNUM(B335,2))</f>
        <v>0</v>
      </c>
      <c r="S335" s="26">
        <f>IF(B335="","",IF(G335&lt;&gt;"",G335,IFERROR(IF(INDEX(Staff!$P$5:$P$44,MATCH(D335,Staff!$A$5:$A$44,0))="",DefaultHourly,INDEX(Staff!$P$5:$P$44,MATCH(D335,Staff!$A$5:$A$44,0))),DefaultHourly)))</f>
        <v>0</v>
      </c>
      <c r="T335" s="26">
        <f>IF(B335="","",ROUND(IF(F335="",0,F335)*S335,2))</f>
        <v>0</v>
      </c>
      <c r="U335" s="26">
        <f>IF(B335="","",ROUND(T335+IF(H335="",0,H335)+IF(J335="",0,J335)+IF(K335="",0,K335),2))</f>
        <v>0</v>
      </c>
      <c r="V335" s="26">
        <f>IF(B335="","",ROUND(U335-IF(L335="",0,L335),2))</f>
        <v>0</v>
      </c>
      <c r="W335" s="26">
        <f>IF(B335="","",ROUND(V335+IF(I335="",0,I335),2))</f>
        <v>0</v>
      </c>
      <c r="X335" s="26">
        <f>IF(B335="","",IF(IFERROR(INDEX(Staff!$E$5:$E$44,MATCH(D335,Staff!$A$5:$A$44,0))&amp;"","")="Self-employed",0,IF(IFERROR(INDEX(Staff!$E$5:$E$44,MATCH(D335,Staff!$A$5:$A$44,0))&amp;"","")="Chair renter",0,ROUND(U335*PayrollBurden,2))))</f>
        <v>0</v>
      </c>
      <c r="Y335" s="26">
        <f>IF(B335="","",ROUND(U335+X335,2))</f>
        <v>0</v>
      </c>
      <c r="Z335" s="26">
        <f>IF(B335="","",ROUND(SUMIFS(Commissions!$X$5:$X$244,Commissions!$C$5:$C$244,D335,Commissions!$B$5:$B$244,Q335),2))</f>
        <v>0</v>
      </c>
      <c r="AA335" s="26">
        <f>IF(B335="","",ROUND(SUMIFS($H$5:$H$364,$D$5:$D$364,D335,$Q$5:$Q$364,Q335),2))</f>
        <v>0</v>
      </c>
      <c r="AB335" s="26">
        <f>IF(B335="","",ROUND(Z335-AA335,2))</f>
        <v>0</v>
      </c>
      <c r="AC335" s="26">
        <f>IF(B335="","",IF(IF(F335="",0,F335)=0,"",ROUND(Y335/F335,2)))</f>
        <v>0</v>
      </c>
      <c r="AD335" s="39">
        <f>IF(B335="","",IF(D335="","Add - who is this run for?",IF(IF(F335="",H335="",FALSE),"Add - no hours and no commission",IF(AB335&lt;-0.004,"Check - more commission paid than earned",IF(M335&lt;&gt;"Yes","Due - not paid yet",IF(N335="","Check - marked paid, no date","OK"))))))</f>
        <v>0</v>
      </c>
    </row>
    <row r="336" spans="1:30">
      <c r="A336" s="28">
        <f>IF(B336="","",PayrollPrefix&amp;TEXT(ROW()-4,"0000"))</f>
        <v>0</v>
      </c>
      <c r="E336" s="15">
        <f>IF(D336="","",IFERROR(INDEX(Staff!$B$5:$B$44,MATCH(D336,Staff!$A$5:$A$44,0)),"Not in Staff"))</f>
        <v>0</v>
      </c>
      <c r="Q336" s="15">
        <f>IF(B336="","",TEXT(B336,"yyyy-mm"))</f>
        <v>0</v>
      </c>
      <c r="R336" s="25">
        <f>IF(B336="","",WEEKNUM(B336,2))</f>
        <v>0</v>
      </c>
      <c r="S336" s="26">
        <f>IF(B336="","",IF(G336&lt;&gt;"",G336,IFERROR(IF(INDEX(Staff!$P$5:$P$44,MATCH(D336,Staff!$A$5:$A$44,0))="",DefaultHourly,INDEX(Staff!$P$5:$P$44,MATCH(D336,Staff!$A$5:$A$44,0))),DefaultHourly)))</f>
        <v>0</v>
      </c>
      <c r="T336" s="26">
        <f>IF(B336="","",ROUND(IF(F336="",0,F336)*S336,2))</f>
        <v>0</v>
      </c>
      <c r="U336" s="26">
        <f>IF(B336="","",ROUND(T336+IF(H336="",0,H336)+IF(J336="",0,J336)+IF(K336="",0,K336),2))</f>
        <v>0</v>
      </c>
      <c r="V336" s="26">
        <f>IF(B336="","",ROUND(U336-IF(L336="",0,L336),2))</f>
        <v>0</v>
      </c>
      <c r="W336" s="26">
        <f>IF(B336="","",ROUND(V336+IF(I336="",0,I336),2))</f>
        <v>0</v>
      </c>
      <c r="X336" s="26">
        <f>IF(B336="","",IF(IFERROR(INDEX(Staff!$E$5:$E$44,MATCH(D336,Staff!$A$5:$A$44,0))&amp;"","")="Self-employed",0,IF(IFERROR(INDEX(Staff!$E$5:$E$44,MATCH(D336,Staff!$A$5:$A$44,0))&amp;"","")="Chair renter",0,ROUND(U336*PayrollBurden,2))))</f>
        <v>0</v>
      </c>
      <c r="Y336" s="26">
        <f>IF(B336="","",ROUND(U336+X336,2))</f>
        <v>0</v>
      </c>
      <c r="Z336" s="26">
        <f>IF(B336="","",ROUND(SUMIFS(Commissions!$X$5:$X$244,Commissions!$C$5:$C$244,D336,Commissions!$B$5:$B$244,Q336),2))</f>
        <v>0</v>
      </c>
      <c r="AA336" s="26">
        <f>IF(B336="","",ROUND(SUMIFS($H$5:$H$364,$D$5:$D$364,D336,$Q$5:$Q$364,Q336),2))</f>
        <v>0</v>
      </c>
      <c r="AB336" s="26">
        <f>IF(B336="","",ROUND(Z336-AA336,2))</f>
        <v>0</v>
      </c>
      <c r="AC336" s="26">
        <f>IF(B336="","",IF(IF(F336="",0,F336)=0,"",ROUND(Y336/F336,2)))</f>
        <v>0</v>
      </c>
      <c r="AD336" s="39">
        <f>IF(B336="","",IF(D336="","Add - who is this run for?",IF(IF(F336="",H336="",FALSE),"Add - no hours and no commission",IF(AB336&lt;-0.004,"Check - more commission paid than earned",IF(M336&lt;&gt;"Yes","Due - not paid yet",IF(N336="","Check - marked paid, no date","OK"))))))</f>
        <v>0</v>
      </c>
    </row>
    <row r="337" spans="1:30">
      <c r="A337" s="28">
        <f>IF(B337="","",PayrollPrefix&amp;TEXT(ROW()-4,"0000"))</f>
        <v>0</v>
      </c>
      <c r="E337" s="15">
        <f>IF(D337="","",IFERROR(INDEX(Staff!$B$5:$B$44,MATCH(D337,Staff!$A$5:$A$44,0)),"Not in Staff"))</f>
        <v>0</v>
      </c>
      <c r="Q337" s="15">
        <f>IF(B337="","",TEXT(B337,"yyyy-mm"))</f>
        <v>0</v>
      </c>
      <c r="R337" s="25">
        <f>IF(B337="","",WEEKNUM(B337,2))</f>
        <v>0</v>
      </c>
      <c r="S337" s="26">
        <f>IF(B337="","",IF(G337&lt;&gt;"",G337,IFERROR(IF(INDEX(Staff!$P$5:$P$44,MATCH(D337,Staff!$A$5:$A$44,0))="",DefaultHourly,INDEX(Staff!$P$5:$P$44,MATCH(D337,Staff!$A$5:$A$44,0))),DefaultHourly)))</f>
        <v>0</v>
      </c>
      <c r="T337" s="26">
        <f>IF(B337="","",ROUND(IF(F337="",0,F337)*S337,2))</f>
        <v>0</v>
      </c>
      <c r="U337" s="26">
        <f>IF(B337="","",ROUND(T337+IF(H337="",0,H337)+IF(J337="",0,J337)+IF(K337="",0,K337),2))</f>
        <v>0</v>
      </c>
      <c r="V337" s="26">
        <f>IF(B337="","",ROUND(U337-IF(L337="",0,L337),2))</f>
        <v>0</v>
      </c>
      <c r="W337" s="26">
        <f>IF(B337="","",ROUND(V337+IF(I337="",0,I337),2))</f>
        <v>0</v>
      </c>
      <c r="X337" s="26">
        <f>IF(B337="","",IF(IFERROR(INDEX(Staff!$E$5:$E$44,MATCH(D337,Staff!$A$5:$A$44,0))&amp;"","")="Self-employed",0,IF(IFERROR(INDEX(Staff!$E$5:$E$44,MATCH(D337,Staff!$A$5:$A$44,0))&amp;"","")="Chair renter",0,ROUND(U337*PayrollBurden,2))))</f>
        <v>0</v>
      </c>
      <c r="Y337" s="26">
        <f>IF(B337="","",ROUND(U337+X337,2))</f>
        <v>0</v>
      </c>
      <c r="Z337" s="26">
        <f>IF(B337="","",ROUND(SUMIFS(Commissions!$X$5:$X$244,Commissions!$C$5:$C$244,D337,Commissions!$B$5:$B$244,Q337),2))</f>
        <v>0</v>
      </c>
      <c r="AA337" s="26">
        <f>IF(B337="","",ROUND(SUMIFS($H$5:$H$364,$D$5:$D$364,D337,$Q$5:$Q$364,Q337),2))</f>
        <v>0</v>
      </c>
      <c r="AB337" s="26">
        <f>IF(B337="","",ROUND(Z337-AA337,2))</f>
        <v>0</v>
      </c>
      <c r="AC337" s="26">
        <f>IF(B337="","",IF(IF(F337="",0,F337)=0,"",ROUND(Y337/F337,2)))</f>
        <v>0</v>
      </c>
      <c r="AD337" s="39">
        <f>IF(B337="","",IF(D337="","Add - who is this run for?",IF(IF(F337="",H337="",FALSE),"Add - no hours and no commission",IF(AB337&lt;-0.004,"Check - more commission paid than earned",IF(M337&lt;&gt;"Yes","Due - not paid yet",IF(N337="","Check - marked paid, no date","OK"))))))</f>
        <v>0</v>
      </c>
    </row>
    <row r="338" spans="1:30">
      <c r="A338" s="28">
        <f>IF(B338="","",PayrollPrefix&amp;TEXT(ROW()-4,"0000"))</f>
        <v>0</v>
      </c>
      <c r="E338" s="15">
        <f>IF(D338="","",IFERROR(INDEX(Staff!$B$5:$B$44,MATCH(D338,Staff!$A$5:$A$44,0)),"Not in Staff"))</f>
        <v>0</v>
      </c>
      <c r="Q338" s="15">
        <f>IF(B338="","",TEXT(B338,"yyyy-mm"))</f>
        <v>0</v>
      </c>
      <c r="R338" s="25">
        <f>IF(B338="","",WEEKNUM(B338,2))</f>
        <v>0</v>
      </c>
      <c r="S338" s="26">
        <f>IF(B338="","",IF(G338&lt;&gt;"",G338,IFERROR(IF(INDEX(Staff!$P$5:$P$44,MATCH(D338,Staff!$A$5:$A$44,0))="",DefaultHourly,INDEX(Staff!$P$5:$P$44,MATCH(D338,Staff!$A$5:$A$44,0))),DefaultHourly)))</f>
        <v>0</v>
      </c>
      <c r="T338" s="26">
        <f>IF(B338="","",ROUND(IF(F338="",0,F338)*S338,2))</f>
        <v>0</v>
      </c>
      <c r="U338" s="26">
        <f>IF(B338="","",ROUND(T338+IF(H338="",0,H338)+IF(J338="",0,J338)+IF(K338="",0,K338),2))</f>
        <v>0</v>
      </c>
      <c r="V338" s="26">
        <f>IF(B338="","",ROUND(U338-IF(L338="",0,L338),2))</f>
        <v>0</v>
      </c>
      <c r="W338" s="26">
        <f>IF(B338="","",ROUND(V338+IF(I338="",0,I338),2))</f>
        <v>0</v>
      </c>
      <c r="X338" s="26">
        <f>IF(B338="","",IF(IFERROR(INDEX(Staff!$E$5:$E$44,MATCH(D338,Staff!$A$5:$A$44,0))&amp;"","")="Self-employed",0,IF(IFERROR(INDEX(Staff!$E$5:$E$44,MATCH(D338,Staff!$A$5:$A$44,0))&amp;"","")="Chair renter",0,ROUND(U338*PayrollBurden,2))))</f>
        <v>0</v>
      </c>
      <c r="Y338" s="26">
        <f>IF(B338="","",ROUND(U338+X338,2))</f>
        <v>0</v>
      </c>
      <c r="Z338" s="26">
        <f>IF(B338="","",ROUND(SUMIFS(Commissions!$X$5:$X$244,Commissions!$C$5:$C$244,D338,Commissions!$B$5:$B$244,Q338),2))</f>
        <v>0</v>
      </c>
      <c r="AA338" s="26">
        <f>IF(B338="","",ROUND(SUMIFS($H$5:$H$364,$D$5:$D$364,D338,$Q$5:$Q$364,Q338),2))</f>
        <v>0</v>
      </c>
      <c r="AB338" s="26">
        <f>IF(B338="","",ROUND(Z338-AA338,2))</f>
        <v>0</v>
      </c>
      <c r="AC338" s="26">
        <f>IF(B338="","",IF(IF(F338="",0,F338)=0,"",ROUND(Y338/F338,2)))</f>
        <v>0</v>
      </c>
      <c r="AD338" s="39">
        <f>IF(B338="","",IF(D338="","Add - who is this run for?",IF(IF(F338="",H338="",FALSE),"Add - no hours and no commission",IF(AB338&lt;-0.004,"Check - more commission paid than earned",IF(M338&lt;&gt;"Yes","Due - not paid yet",IF(N338="","Check - marked paid, no date","OK"))))))</f>
        <v>0</v>
      </c>
    </row>
    <row r="339" spans="1:30">
      <c r="A339" s="28">
        <f>IF(B339="","",PayrollPrefix&amp;TEXT(ROW()-4,"0000"))</f>
        <v>0</v>
      </c>
      <c r="E339" s="15">
        <f>IF(D339="","",IFERROR(INDEX(Staff!$B$5:$B$44,MATCH(D339,Staff!$A$5:$A$44,0)),"Not in Staff"))</f>
        <v>0</v>
      </c>
      <c r="Q339" s="15">
        <f>IF(B339="","",TEXT(B339,"yyyy-mm"))</f>
        <v>0</v>
      </c>
      <c r="R339" s="25">
        <f>IF(B339="","",WEEKNUM(B339,2))</f>
        <v>0</v>
      </c>
      <c r="S339" s="26">
        <f>IF(B339="","",IF(G339&lt;&gt;"",G339,IFERROR(IF(INDEX(Staff!$P$5:$P$44,MATCH(D339,Staff!$A$5:$A$44,0))="",DefaultHourly,INDEX(Staff!$P$5:$P$44,MATCH(D339,Staff!$A$5:$A$44,0))),DefaultHourly)))</f>
        <v>0</v>
      </c>
      <c r="T339" s="26">
        <f>IF(B339="","",ROUND(IF(F339="",0,F339)*S339,2))</f>
        <v>0</v>
      </c>
      <c r="U339" s="26">
        <f>IF(B339="","",ROUND(T339+IF(H339="",0,H339)+IF(J339="",0,J339)+IF(K339="",0,K339),2))</f>
        <v>0</v>
      </c>
      <c r="V339" s="26">
        <f>IF(B339="","",ROUND(U339-IF(L339="",0,L339),2))</f>
        <v>0</v>
      </c>
      <c r="W339" s="26">
        <f>IF(B339="","",ROUND(V339+IF(I339="",0,I339),2))</f>
        <v>0</v>
      </c>
      <c r="X339" s="26">
        <f>IF(B339="","",IF(IFERROR(INDEX(Staff!$E$5:$E$44,MATCH(D339,Staff!$A$5:$A$44,0))&amp;"","")="Self-employed",0,IF(IFERROR(INDEX(Staff!$E$5:$E$44,MATCH(D339,Staff!$A$5:$A$44,0))&amp;"","")="Chair renter",0,ROUND(U339*PayrollBurden,2))))</f>
        <v>0</v>
      </c>
      <c r="Y339" s="26">
        <f>IF(B339="","",ROUND(U339+X339,2))</f>
        <v>0</v>
      </c>
      <c r="Z339" s="26">
        <f>IF(B339="","",ROUND(SUMIFS(Commissions!$X$5:$X$244,Commissions!$C$5:$C$244,D339,Commissions!$B$5:$B$244,Q339),2))</f>
        <v>0</v>
      </c>
      <c r="AA339" s="26">
        <f>IF(B339="","",ROUND(SUMIFS($H$5:$H$364,$D$5:$D$364,D339,$Q$5:$Q$364,Q339),2))</f>
        <v>0</v>
      </c>
      <c r="AB339" s="26">
        <f>IF(B339="","",ROUND(Z339-AA339,2))</f>
        <v>0</v>
      </c>
      <c r="AC339" s="26">
        <f>IF(B339="","",IF(IF(F339="",0,F339)=0,"",ROUND(Y339/F339,2)))</f>
        <v>0</v>
      </c>
      <c r="AD339" s="39">
        <f>IF(B339="","",IF(D339="","Add - who is this run for?",IF(IF(F339="",H339="",FALSE),"Add - no hours and no commission",IF(AB339&lt;-0.004,"Check - more commission paid than earned",IF(M339&lt;&gt;"Yes","Due - not paid yet",IF(N339="","Check - marked paid, no date","OK"))))))</f>
        <v>0</v>
      </c>
    </row>
    <row r="340" spans="1:30">
      <c r="A340" s="28">
        <f>IF(B340="","",PayrollPrefix&amp;TEXT(ROW()-4,"0000"))</f>
        <v>0</v>
      </c>
      <c r="E340" s="15">
        <f>IF(D340="","",IFERROR(INDEX(Staff!$B$5:$B$44,MATCH(D340,Staff!$A$5:$A$44,0)),"Not in Staff"))</f>
        <v>0</v>
      </c>
      <c r="Q340" s="15">
        <f>IF(B340="","",TEXT(B340,"yyyy-mm"))</f>
        <v>0</v>
      </c>
      <c r="R340" s="25">
        <f>IF(B340="","",WEEKNUM(B340,2))</f>
        <v>0</v>
      </c>
      <c r="S340" s="26">
        <f>IF(B340="","",IF(G340&lt;&gt;"",G340,IFERROR(IF(INDEX(Staff!$P$5:$P$44,MATCH(D340,Staff!$A$5:$A$44,0))="",DefaultHourly,INDEX(Staff!$P$5:$P$44,MATCH(D340,Staff!$A$5:$A$44,0))),DefaultHourly)))</f>
        <v>0</v>
      </c>
      <c r="T340" s="26">
        <f>IF(B340="","",ROUND(IF(F340="",0,F340)*S340,2))</f>
        <v>0</v>
      </c>
      <c r="U340" s="26">
        <f>IF(B340="","",ROUND(T340+IF(H340="",0,H340)+IF(J340="",0,J340)+IF(K340="",0,K340),2))</f>
        <v>0</v>
      </c>
      <c r="V340" s="26">
        <f>IF(B340="","",ROUND(U340-IF(L340="",0,L340),2))</f>
        <v>0</v>
      </c>
      <c r="W340" s="26">
        <f>IF(B340="","",ROUND(V340+IF(I340="",0,I340),2))</f>
        <v>0</v>
      </c>
      <c r="X340" s="26">
        <f>IF(B340="","",IF(IFERROR(INDEX(Staff!$E$5:$E$44,MATCH(D340,Staff!$A$5:$A$44,0))&amp;"","")="Self-employed",0,IF(IFERROR(INDEX(Staff!$E$5:$E$44,MATCH(D340,Staff!$A$5:$A$44,0))&amp;"","")="Chair renter",0,ROUND(U340*PayrollBurden,2))))</f>
        <v>0</v>
      </c>
      <c r="Y340" s="26">
        <f>IF(B340="","",ROUND(U340+X340,2))</f>
        <v>0</v>
      </c>
      <c r="Z340" s="26">
        <f>IF(B340="","",ROUND(SUMIFS(Commissions!$X$5:$X$244,Commissions!$C$5:$C$244,D340,Commissions!$B$5:$B$244,Q340),2))</f>
        <v>0</v>
      </c>
      <c r="AA340" s="26">
        <f>IF(B340="","",ROUND(SUMIFS($H$5:$H$364,$D$5:$D$364,D340,$Q$5:$Q$364,Q340),2))</f>
        <v>0</v>
      </c>
      <c r="AB340" s="26">
        <f>IF(B340="","",ROUND(Z340-AA340,2))</f>
        <v>0</v>
      </c>
      <c r="AC340" s="26">
        <f>IF(B340="","",IF(IF(F340="",0,F340)=0,"",ROUND(Y340/F340,2)))</f>
        <v>0</v>
      </c>
      <c r="AD340" s="39">
        <f>IF(B340="","",IF(D340="","Add - who is this run for?",IF(IF(F340="",H340="",FALSE),"Add - no hours and no commission",IF(AB340&lt;-0.004,"Check - more commission paid than earned",IF(M340&lt;&gt;"Yes","Due - not paid yet",IF(N340="","Check - marked paid, no date","OK"))))))</f>
        <v>0</v>
      </c>
    </row>
    <row r="341" spans="1:30">
      <c r="A341" s="28">
        <f>IF(B341="","",PayrollPrefix&amp;TEXT(ROW()-4,"0000"))</f>
        <v>0</v>
      </c>
      <c r="E341" s="15">
        <f>IF(D341="","",IFERROR(INDEX(Staff!$B$5:$B$44,MATCH(D341,Staff!$A$5:$A$44,0)),"Not in Staff"))</f>
        <v>0</v>
      </c>
      <c r="Q341" s="15">
        <f>IF(B341="","",TEXT(B341,"yyyy-mm"))</f>
        <v>0</v>
      </c>
      <c r="R341" s="25">
        <f>IF(B341="","",WEEKNUM(B341,2))</f>
        <v>0</v>
      </c>
      <c r="S341" s="26">
        <f>IF(B341="","",IF(G341&lt;&gt;"",G341,IFERROR(IF(INDEX(Staff!$P$5:$P$44,MATCH(D341,Staff!$A$5:$A$44,0))="",DefaultHourly,INDEX(Staff!$P$5:$P$44,MATCH(D341,Staff!$A$5:$A$44,0))),DefaultHourly)))</f>
        <v>0</v>
      </c>
      <c r="T341" s="26">
        <f>IF(B341="","",ROUND(IF(F341="",0,F341)*S341,2))</f>
        <v>0</v>
      </c>
      <c r="U341" s="26">
        <f>IF(B341="","",ROUND(T341+IF(H341="",0,H341)+IF(J341="",0,J341)+IF(K341="",0,K341),2))</f>
        <v>0</v>
      </c>
      <c r="V341" s="26">
        <f>IF(B341="","",ROUND(U341-IF(L341="",0,L341),2))</f>
        <v>0</v>
      </c>
      <c r="W341" s="26">
        <f>IF(B341="","",ROUND(V341+IF(I341="",0,I341),2))</f>
        <v>0</v>
      </c>
      <c r="X341" s="26">
        <f>IF(B341="","",IF(IFERROR(INDEX(Staff!$E$5:$E$44,MATCH(D341,Staff!$A$5:$A$44,0))&amp;"","")="Self-employed",0,IF(IFERROR(INDEX(Staff!$E$5:$E$44,MATCH(D341,Staff!$A$5:$A$44,0))&amp;"","")="Chair renter",0,ROUND(U341*PayrollBurden,2))))</f>
        <v>0</v>
      </c>
      <c r="Y341" s="26">
        <f>IF(B341="","",ROUND(U341+X341,2))</f>
        <v>0</v>
      </c>
      <c r="Z341" s="26">
        <f>IF(B341="","",ROUND(SUMIFS(Commissions!$X$5:$X$244,Commissions!$C$5:$C$244,D341,Commissions!$B$5:$B$244,Q341),2))</f>
        <v>0</v>
      </c>
      <c r="AA341" s="26">
        <f>IF(B341="","",ROUND(SUMIFS($H$5:$H$364,$D$5:$D$364,D341,$Q$5:$Q$364,Q341),2))</f>
        <v>0</v>
      </c>
      <c r="AB341" s="26">
        <f>IF(B341="","",ROUND(Z341-AA341,2))</f>
        <v>0</v>
      </c>
      <c r="AC341" s="26">
        <f>IF(B341="","",IF(IF(F341="",0,F341)=0,"",ROUND(Y341/F341,2)))</f>
        <v>0</v>
      </c>
      <c r="AD341" s="39">
        <f>IF(B341="","",IF(D341="","Add - who is this run for?",IF(IF(F341="",H341="",FALSE),"Add - no hours and no commission",IF(AB341&lt;-0.004,"Check - more commission paid than earned",IF(M341&lt;&gt;"Yes","Due - not paid yet",IF(N341="","Check - marked paid, no date","OK"))))))</f>
        <v>0</v>
      </c>
    </row>
    <row r="342" spans="1:30">
      <c r="A342" s="28">
        <f>IF(B342="","",PayrollPrefix&amp;TEXT(ROW()-4,"0000"))</f>
        <v>0</v>
      </c>
      <c r="E342" s="15">
        <f>IF(D342="","",IFERROR(INDEX(Staff!$B$5:$B$44,MATCH(D342,Staff!$A$5:$A$44,0)),"Not in Staff"))</f>
        <v>0</v>
      </c>
      <c r="Q342" s="15">
        <f>IF(B342="","",TEXT(B342,"yyyy-mm"))</f>
        <v>0</v>
      </c>
      <c r="R342" s="25">
        <f>IF(B342="","",WEEKNUM(B342,2))</f>
        <v>0</v>
      </c>
      <c r="S342" s="26">
        <f>IF(B342="","",IF(G342&lt;&gt;"",G342,IFERROR(IF(INDEX(Staff!$P$5:$P$44,MATCH(D342,Staff!$A$5:$A$44,0))="",DefaultHourly,INDEX(Staff!$P$5:$P$44,MATCH(D342,Staff!$A$5:$A$44,0))),DefaultHourly)))</f>
        <v>0</v>
      </c>
      <c r="T342" s="26">
        <f>IF(B342="","",ROUND(IF(F342="",0,F342)*S342,2))</f>
        <v>0</v>
      </c>
      <c r="U342" s="26">
        <f>IF(B342="","",ROUND(T342+IF(H342="",0,H342)+IF(J342="",0,J342)+IF(K342="",0,K342),2))</f>
        <v>0</v>
      </c>
      <c r="V342" s="26">
        <f>IF(B342="","",ROUND(U342-IF(L342="",0,L342),2))</f>
        <v>0</v>
      </c>
      <c r="W342" s="26">
        <f>IF(B342="","",ROUND(V342+IF(I342="",0,I342),2))</f>
        <v>0</v>
      </c>
      <c r="X342" s="26">
        <f>IF(B342="","",IF(IFERROR(INDEX(Staff!$E$5:$E$44,MATCH(D342,Staff!$A$5:$A$44,0))&amp;"","")="Self-employed",0,IF(IFERROR(INDEX(Staff!$E$5:$E$44,MATCH(D342,Staff!$A$5:$A$44,0))&amp;"","")="Chair renter",0,ROUND(U342*PayrollBurden,2))))</f>
        <v>0</v>
      </c>
      <c r="Y342" s="26">
        <f>IF(B342="","",ROUND(U342+X342,2))</f>
        <v>0</v>
      </c>
      <c r="Z342" s="26">
        <f>IF(B342="","",ROUND(SUMIFS(Commissions!$X$5:$X$244,Commissions!$C$5:$C$244,D342,Commissions!$B$5:$B$244,Q342),2))</f>
        <v>0</v>
      </c>
      <c r="AA342" s="26">
        <f>IF(B342="","",ROUND(SUMIFS($H$5:$H$364,$D$5:$D$364,D342,$Q$5:$Q$364,Q342),2))</f>
        <v>0</v>
      </c>
      <c r="AB342" s="26">
        <f>IF(B342="","",ROUND(Z342-AA342,2))</f>
        <v>0</v>
      </c>
      <c r="AC342" s="26">
        <f>IF(B342="","",IF(IF(F342="",0,F342)=0,"",ROUND(Y342/F342,2)))</f>
        <v>0</v>
      </c>
      <c r="AD342" s="39">
        <f>IF(B342="","",IF(D342="","Add - who is this run for?",IF(IF(F342="",H342="",FALSE),"Add - no hours and no commission",IF(AB342&lt;-0.004,"Check - more commission paid than earned",IF(M342&lt;&gt;"Yes","Due - not paid yet",IF(N342="","Check - marked paid, no date","OK"))))))</f>
        <v>0</v>
      </c>
    </row>
    <row r="343" spans="1:30">
      <c r="A343" s="28">
        <f>IF(B343="","",PayrollPrefix&amp;TEXT(ROW()-4,"0000"))</f>
        <v>0</v>
      </c>
      <c r="E343" s="15">
        <f>IF(D343="","",IFERROR(INDEX(Staff!$B$5:$B$44,MATCH(D343,Staff!$A$5:$A$44,0)),"Not in Staff"))</f>
        <v>0</v>
      </c>
      <c r="Q343" s="15">
        <f>IF(B343="","",TEXT(B343,"yyyy-mm"))</f>
        <v>0</v>
      </c>
      <c r="R343" s="25">
        <f>IF(B343="","",WEEKNUM(B343,2))</f>
        <v>0</v>
      </c>
      <c r="S343" s="26">
        <f>IF(B343="","",IF(G343&lt;&gt;"",G343,IFERROR(IF(INDEX(Staff!$P$5:$P$44,MATCH(D343,Staff!$A$5:$A$44,0))="",DefaultHourly,INDEX(Staff!$P$5:$P$44,MATCH(D343,Staff!$A$5:$A$44,0))),DefaultHourly)))</f>
        <v>0</v>
      </c>
      <c r="T343" s="26">
        <f>IF(B343="","",ROUND(IF(F343="",0,F343)*S343,2))</f>
        <v>0</v>
      </c>
      <c r="U343" s="26">
        <f>IF(B343="","",ROUND(T343+IF(H343="",0,H343)+IF(J343="",0,J343)+IF(K343="",0,K343),2))</f>
        <v>0</v>
      </c>
      <c r="V343" s="26">
        <f>IF(B343="","",ROUND(U343-IF(L343="",0,L343),2))</f>
        <v>0</v>
      </c>
      <c r="W343" s="26">
        <f>IF(B343="","",ROUND(V343+IF(I343="",0,I343),2))</f>
        <v>0</v>
      </c>
      <c r="X343" s="26">
        <f>IF(B343="","",IF(IFERROR(INDEX(Staff!$E$5:$E$44,MATCH(D343,Staff!$A$5:$A$44,0))&amp;"","")="Self-employed",0,IF(IFERROR(INDEX(Staff!$E$5:$E$44,MATCH(D343,Staff!$A$5:$A$44,0))&amp;"","")="Chair renter",0,ROUND(U343*PayrollBurden,2))))</f>
        <v>0</v>
      </c>
      <c r="Y343" s="26">
        <f>IF(B343="","",ROUND(U343+X343,2))</f>
        <v>0</v>
      </c>
      <c r="Z343" s="26">
        <f>IF(B343="","",ROUND(SUMIFS(Commissions!$X$5:$X$244,Commissions!$C$5:$C$244,D343,Commissions!$B$5:$B$244,Q343),2))</f>
        <v>0</v>
      </c>
      <c r="AA343" s="26">
        <f>IF(B343="","",ROUND(SUMIFS($H$5:$H$364,$D$5:$D$364,D343,$Q$5:$Q$364,Q343),2))</f>
        <v>0</v>
      </c>
      <c r="AB343" s="26">
        <f>IF(B343="","",ROUND(Z343-AA343,2))</f>
        <v>0</v>
      </c>
      <c r="AC343" s="26">
        <f>IF(B343="","",IF(IF(F343="",0,F343)=0,"",ROUND(Y343/F343,2)))</f>
        <v>0</v>
      </c>
      <c r="AD343" s="39">
        <f>IF(B343="","",IF(D343="","Add - who is this run for?",IF(IF(F343="",H343="",FALSE),"Add - no hours and no commission",IF(AB343&lt;-0.004,"Check - more commission paid than earned",IF(M343&lt;&gt;"Yes","Due - not paid yet",IF(N343="","Check - marked paid, no date","OK"))))))</f>
        <v>0</v>
      </c>
    </row>
    <row r="344" spans="1:30">
      <c r="A344" s="28">
        <f>IF(B344="","",PayrollPrefix&amp;TEXT(ROW()-4,"0000"))</f>
        <v>0</v>
      </c>
      <c r="E344" s="15">
        <f>IF(D344="","",IFERROR(INDEX(Staff!$B$5:$B$44,MATCH(D344,Staff!$A$5:$A$44,0)),"Not in Staff"))</f>
        <v>0</v>
      </c>
      <c r="Q344" s="15">
        <f>IF(B344="","",TEXT(B344,"yyyy-mm"))</f>
        <v>0</v>
      </c>
      <c r="R344" s="25">
        <f>IF(B344="","",WEEKNUM(B344,2))</f>
        <v>0</v>
      </c>
      <c r="S344" s="26">
        <f>IF(B344="","",IF(G344&lt;&gt;"",G344,IFERROR(IF(INDEX(Staff!$P$5:$P$44,MATCH(D344,Staff!$A$5:$A$44,0))="",DefaultHourly,INDEX(Staff!$P$5:$P$44,MATCH(D344,Staff!$A$5:$A$44,0))),DefaultHourly)))</f>
        <v>0</v>
      </c>
      <c r="T344" s="26">
        <f>IF(B344="","",ROUND(IF(F344="",0,F344)*S344,2))</f>
        <v>0</v>
      </c>
      <c r="U344" s="26">
        <f>IF(B344="","",ROUND(T344+IF(H344="",0,H344)+IF(J344="",0,J344)+IF(K344="",0,K344),2))</f>
        <v>0</v>
      </c>
      <c r="V344" s="26">
        <f>IF(B344="","",ROUND(U344-IF(L344="",0,L344),2))</f>
        <v>0</v>
      </c>
      <c r="W344" s="26">
        <f>IF(B344="","",ROUND(V344+IF(I344="",0,I344),2))</f>
        <v>0</v>
      </c>
      <c r="X344" s="26">
        <f>IF(B344="","",IF(IFERROR(INDEX(Staff!$E$5:$E$44,MATCH(D344,Staff!$A$5:$A$44,0))&amp;"","")="Self-employed",0,IF(IFERROR(INDEX(Staff!$E$5:$E$44,MATCH(D344,Staff!$A$5:$A$44,0))&amp;"","")="Chair renter",0,ROUND(U344*PayrollBurden,2))))</f>
        <v>0</v>
      </c>
      <c r="Y344" s="26">
        <f>IF(B344="","",ROUND(U344+X344,2))</f>
        <v>0</v>
      </c>
      <c r="Z344" s="26">
        <f>IF(B344="","",ROUND(SUMIFS(Commissions!$X$5:$X$244,Commissions!$C$5:$C$244,D344,Commissions!$B$5:$B$244,Q344),2))</f>
        <v>0</v>
      </c>
      <c r="AA344" s="26">
        <f>IF(B344="","",ROUND(SUMIFS($H$5:$H$364,$D$5:$D$364,D344,$Q$5:$Q$364,Q344),2))</f>
        <v>0</v>
      </c>
      <c r="AB344" s="26">
        <f>IF(B344="","",ROUND(Z344-AA344,2))</f>
        <v>0</v>
      </c>
      <c r="AC344" s="26">
        <f>IF(B344="","",IF(IF(F344="",0,F344)=0,"",ROUND(Y344/F344,2)))</f>
        <v>0</v>
      </c>
      <c r="AD344" s="39">
        <f>IF(B344="","",IF(D344="","Add - who is this run for?",IF(IF(F344="",H344="",FALSE),"Add - no hours and no commission",IF(AB344&lt;-0.004,"Check - more commission paid than earned",IF(M344&lt;&gt;"Yes","Due - not paid yet",IF(N344="","Check - marked paid, no date","OK"))))))</f>
        <v>0</v>
      </c>
    </row>
    <row r="345" spans="1:30">
      <c r="A345" s="28">
        <f>IF(B345="","",PayrollPrefix&amp;TEXT(ROW()-4,"0000"))</f>
        <v>0</v>
      </c>
      <c r="E345" s="15">
        <f>IF(D345="","",IFERROR(INDEX(Staff!$B$5:$B$44,MATCH(D345,Staff!$A$5:$A$44,0)),"Not in Staff"))</f>
        <v>0</v>
      </c>
      <c r="Q345" s="15">
        <f>IF(B345="","",TEXT(B345,"yyyy-mm"))</f>
        <v>0</v>
      </c>
      <c r="R345" s="25">
        <f>IF(B345="","",WEEKNUM(B345,2))</f>
        <v>0</v>
      </c>
      <c r="S345" s="26">
        <f>IF(B345="","",IF(G345&lt;&gt;"",G345,IFERROR(IF(INDEX(Staff!$P$5:$P$44,MATCH(D345,Staff!$A$5:$A$44,0))="",DefaultHourly,INDEX(Staff!$P$5:$P$44,MATCH(D345,Staff!$A$5:$A$44,0))),DefaultHourly)))</f>
        <v>0</v>
      </c>
      <c r="T345" s="26">
        <f>IF(B345="","",ROUND(IF(F345="",0,F345)*S345,2))</f>
        <v>0</v>
      </c>
      <c r="U345" s="26">
        <f>IF(B345="","",ROUND(T345+IF(H345="",0,H345)+IF(J345="",0,J345)+IF(K345="",0,K345),2))</f>
        <v>0</v>
      </c>
      <c r="V345" s="26">
        <f>IF(B345="","",ROUND(U345-IF(L345="",0,L345),2))</f>
        <v>0</v>
      </c>
      <c r="W345" s="26">
        <f>IF(B345="","",ROUND(V345+IF(I345="",0,I345),2))</f>
        <v>0</v>
      </c>
      <c r="X345" s="26">
        <f>IF(B345="","",IF(IFERROR(INDEX(Staff!$E$5:$E$44,MATCH(D345,Staff!$A$5:$A$44,0))&amp;"","")="Self-employed",0,IF(IFERROR(INDEX(Staff!$E$5:$E$44,MATCH(D345,Staff!$A$5:$A$44,0))&amp;"","")="Chair renter",0,ROUND(U345*PayrollBurden,2))))</f>
        <v>0</v>
      </c>
      <c r="Y345" s="26">
        <f>IF(B345="","",ROUND(U345+X345,2))</f>
        <v>0</v>
      </c>
      <c r="Z345" s="26">
        <f>IF(B345="","",ROUND(SUMIFS(Commissions!$X$5:$X$244,Commissions!$C$5:$C$244,D345,Commissions!$B$5:$B$244,Q345),2))</f>
        <v>0</v>
      </c>
      <c r="AA345" s="26">
        <f>IF(B345="","",ROUND(SUMIFS($H$5:$H$364,$D$5:$D$364,D345,$Q$5:$Q$364,Q345),2))</f>
        <v>0</v>
      </c>
      <c r="AB345" s="26">
        <f>IF(B345="","",ROUND(Z345-AA345,2))</f>
        <v>0</v>
      </c>
      <c r="AC345" s="26">
        <f>IF(B345="","",IF(IF(F345="",0,F345)=0,"",ROUND(Y345/F345,2)))</f>
        <v>0</v>
      </c>
      <c r="AD345" s="39">
        <f>IF(B345="","",IF(D345="","Add - who is this run for?",IF(IF(F345="",H345="",FALSE),"Add - no hours and no commission",IF(AB345&lt;-0.004,"Check - more commission paid than earned",IF(M345&lt;&gt;"Yes","Due - not paid yet",IF(N345="","Check - marked paid, no date","OK"))))))</f>
        <v>0</v>
      </c>
    </row>
    <row r="346" spans="1:30">
      <c r="A346" s="28">
        <f>IF(B346="","",PayrollPrefix&amp;TEXT(ROW()-4,"0000"))</f>
        <v>0</v>
      </c>
      <c r="E346" s="15">
        <f>IF(D346="","",IFERROR(INDEX(Staff!$B$5:$B$44,MATCH(D346,Staff!$A$5:$A$44,0)),"Not in Staff"))</f>
        <v>0</v>
      </c>
      <c r="Q346" s="15">
        <f>IF(B346="","",TEXT(B346,"yyyy-mm"))</f>
        <v>0</v>
      </c>
      <c r="R346" s="25">
        <f>IF(B346="","",WEEKNUM(B346,2))</f>
        <v>0</v>
      </c>
      <c r="S346" s="26">
        <f>IF(B346="","",IF(G346&lt;&gt;"",G346,IFERROR(IF(INDEX(Staff!$P$5:$P$44,MATCH(D346,Staff!$A$5:$A$44,0))="",DefaultHourly,INDEX(Staff!$P$5:$P$44,MATCH(D346,Staff!$A$5:$A$44,0))),DefaultHourly)))</f>
        <v>0</v>
      </c>
      <c r="T346" s="26">
        <f>IF(B346="","",ROUND(IF(F346="",0,F346)*S346,2))</f>
        <v>0</v>
      </c>
      <c r="U346" s="26">
        <f>IF(B346="","",ROUND(T346+IF(H346="",0,H346)+IF(J346="",0,J346)+IF(K346="",0,K346),2))</f>
        <v>0</v>
      </c>
      <c r="V346" s="26">
        <f>IF(B346="","",ROUND(U346-IF(L346="",0,L346),2))</f>
        <v>0</v>
      </c>
      <c r="W346" s="26">
        <f>IF(B346="","",ROUND(V346+IF(I346="",0,I346),2))</f>
        <v>0</v>
      </c>
      <c r="X346" s="26">
        <f>IF(B346="","",IF(IFERROR(INDEX(Staff!$E$5:$E$44,MATCH(D346,Staff!$A$5:$A$44,0))&amp;"","")="Self-employed",0,IF(IFERROR(INDEX(Staff!$E$5:$E$44,MATCH(D346,Staff!$A$5:$A$44,0))&amp;"","")="Chair renter",0,ROUND(U346*PayrollBurden,2))))</f>
        <v>0</v>
      </c>
      <c r="Y346" s="26">
        <f>IF(B346="","",ROUND(U346+X346,2))</f>
        <v>0</v>
      </c>
      <c r="Z346" s="26">
        <f>IF(B346="","",ROUND(SUMIFS(Commissions!$X$5:$X$244,Commissions!$C$5:$C$244,D346,Commissions!$B$5:$B$244,Q346),2))</f>
        <v>0</v>
      </c>
      <c r="AA346" s="26">
        <f>IF(B346="","",ROUND(SUMIFS($H$5:$H$364,$D$5:$D$364,D346,$Q$5:$Q$364,Q346),2))</f>
        <v>0</v>
      </c>
      <c r="AB346" s="26">
        <f>IF(B346="","",ROUND(Z346-AA346,2))</f>
        <v>0</v>
      </c>
      <c r="AC346" s="26">
        <f>IF(B346="","",IF(IF(F346="",0,F346)=0,"",ROUND(Y346/F346,2)))</f>
        <v>0</v>
      </c>
      <c r="AD346" s="39">
        <f>IF(B346="","",IF(D346="","Add - who is this run for?",IF(IF(F346="",H346="",FALSE),"Add - no hours and no commission",IF(AB346&lt;-0.004,"Check - more commission paid than earned",IF(M346&lt;&gt;"Yes","Due - not paid yet",IF(N346="","Check - marked paid, no date","OK"))))))</f>
        <v>0</v>
      </c>
    </row>
    <row r="347" spans="1:30">
      <c r="A347" s="28">
        <f>IF(B347="","",PayrollPrefix&amp;TEXT(ROW()-4,"0000"))</f>
        <v>0</v>
      </c>
      <c r="E347" s="15">
        <f>IF(D347="","",IFERROR(INDEX(Staff!$B$5:$B$44,MATCH(D347,Staff!$A$5:$A$44,0)),"Not in Staff"))</f>
        <v>0</v>
      </c>
      <c r="Q347" s="15">
        <f>IF(B347="","",TEXT(B347,"yyyy-mm"))</f>
        <v>0</v>
      </c>
      <c r="R347" s="25">
        <f>IF(B347="","",WEEKNUM(B347,2))</f>
        <v>0</v>
      </c>
      <c r="S347" s="26">
        <f>IF(B347="","",IF(G347&lt;&gt;"",G347,IFERROR(IF(INDEX(Staff!$P$5:$P$44,MATCH(D347,Staff!$A$5:$A$44,0))="",DefaultHourly,INDEX(Staff!$P$5:$P$44,MATCH(D347,Staff!$A$5:$A$44,0))),DefaultHourly)))</f>
        <v>0</v>
      </c>
      <c r="T347" s="26">
        <f>IF(B347="","",ROUND(IF(F347="",0,F347)*S347,2))</f>
        <v>0</v>
      </c>
      <c r="U347" s="26">
        <f>IF(B347="","",ROUND(T347+IF(H347="",0,H347)+IF(J347="",0,J347)+IF(K347="",0,K347),2))</f>
        <v>0</v>
      </c>
      <c r="V347" s="26">
        <f>IF(B347="","",ROUND(U347-IF(L347="",0,L347),2))</f>
        <v>0</v>
      </c>
      <c r="W347" s="26">
        <f>IF(B347="","",ROUND(V347+IF(I347="",0,I347),2))</f>
        <v>0</v>
      </c>
      <c r="X347" s="26">
        <f>IF(B347="","",IF(IFERROR(INDEX(Staff!$E$5:$E$44,MATCH(D347,Staff!$A$5:$A$44,0))&amp;"","")="Self-employed",0,IF(IFERROR(INDEX(Staff!$E$5:$E$44,MATCH(D347,Staff!$A$5:$A$44,0))&amp;"","")="Chair renter",0,ROUND(U347*PayrollBurden,2))))</f>
        <v>0</v>
      </c>
      <c r="Y347" s="26">
        <f>IF(B347="","",ROUND(U347+X347,2))</f>
        <v>0</v>
      </c>
      <c r="Z347" s="26">
        <f>IF(B347="","",ROUND(SUMIFS(Commissions!$X$5:$X$244,Commissions!$C$5:$C$244,D347,Commissions!$B$5:$B$244,Q347),2))</f>
        <v>0</v>
      </c>
      <c r="AA347" s="26">
        <f>IF(B347="","",ROUND(SUMIFS($H$5:$H$364,$D$5:$D$364,D347,$Q$5:$Q$364,Q347),2))</f>
        <v>0</v>
      </c>
      <c r="AB347" s="26">
        <f>IF(B347="","",ROUND(Z347-AA347,2))</f>
        <v>0</v>
      </c>
      <c r="AC347" s="26">
        <f>IF(B347="","",IF(IF(F347="",0,F347)=0,"",ROUND(Y347/F347,2)))</f>
        <v>0</v>
      </c>
      <c r="AD347" s="39">
        <f>IF(B347="","",IF(D347="","Add - who is this run for?",IF(IF(F347="",H347="",FALSE),"Add - no hours and no commission",IF(AB347&lt;-0.004,"Check - more commission paid than earned",IF(M347&lt;&gt;"Yes","Due - not paid yet",IF(N347="","Check - marked paid, no date","OK"))))))</f>
        <v>0</v>
      </c>
    </row>
    <row r="348" spans="1:30">
      <c r="A348" s="28">
        <f>IF(B348="","",PayrollPrefix&amp;TEXT(ROW()-4,"0000"))</f>
        <v>0</v>
      </c>
      <c r="E348" s="15">
        <f>IF(D348="","",IFERROR(INDEX(Staff!$B$5:$B$44,MATCH(D348,Staff!$A$5:$A$44,0)),"Not in Staff"))</f>
        <v>0</v>
      </c>
      <c r="Q348" s="15">
        <f>IF(B348="","",TEXT(B348,"yyyy-mm"))</f>
        <v>0</v>
      </c>
      <c r="R348" s="25">
        <f>IF(B348="","",WEEKNUM(B348,2))</f>
        <v>0</v>
      </c>
      <c r="S348" s="26">
        <f>IF(B348="","",IF(G348&lt;&gt;"",G348,IFERROR(IF(INDEX(Staff!$P$5:$P$44,MATCH(D348,Staff!$A$5:$A$44,0))="",DefaultHourly,INDEX(Staff!$P$5:$P$44,MATCH(D348,Staff!$A$5:$A$44,0))),DefaultHourly)))</f>
        <v>0</v>
      </c>
      <c r="T348" s="26">
        <f>IF(B348="","",ROUND(IF(F348="",0,F348)*S348,2))</f>
        <v>0</v>
      </c>
      <c r="U348" s="26">
        <f>IF(B348="","",ROUND(T348+IF(H348="",0,H348)+IF(J348="",0,J348)+IF(K348="",0,K348),2))</f>
        <v>0</v>
      </c>
      <c r="V348" s="26">
        <f>IF(B348="","",ROUND(U348-IF(L348="",0,L348),2))</f>
        <v>0</v>
      </c>
      <c r="W348" s="26">
        <f>IF(B348="","",ROUND(V348+IF(I348="",0,I348),2))</f>
        <v>0</v>
      </c>
      <c r="X348" s="26">
        <f>IF(B348="","",IF(IFERROR(INDEX(Staff!$E$5:$E$44,MATCH(D348,Staff!$A$5:$A$44,0))&amp;"","")="Self-employed",0,IF(IFERROR(INDEX(Staff!$E$5:$E$44,MATCH(D348,Staff!$A$5:$A$44,0))&amp;"","")="Chair renter",0,ROUND(U348*PayrollBurden,2))))</f>
        <v>0</v>
      </c>
      <c r="Y348" s="26">
        <f>IF(B348="","",ROUND(U348+X348,2))</f>
        <v>0</v>
      </c>
      <c r="Z348" s="26">
        <f>IF(B348="","",ROUND(SUMIFS(Commissions!$X$5:$X$244,Commissions!$C$5:$C$244,D348,Commissions!$B$5:$B$244,Q348),2))</f>
        <v>0</v>
      </c>
      <c r="AA348" s="26">
        <f>IF(B348="","",ROUND(SUMIFS($H$5:$H$364,$D$5:$D$364,D348,$Q$5:$Q$364,Q348),2))</f>
        <v>0</v>
      </c>
      <c r="AB348" s="26">
        <f>IF(B348="","",ROUND(Z348-AA348,2))</f>
        <v>0</v>
      </c>
      <c r="AC348" s="26">
        <f>IF(B348="","",IF(IF(F348="",0,F348)=0,"",ROUND(Y348/F348,2)))</f>
        <v>0</v>
      </c>
      <c r="AD348" s="39">
        <f>IF(B348="","",IF(D348="","Add - who is this run for?",IF(IF(F348="",H348="",FALSE),"Add - no hours and no commission",IF(AB348&lt;-0.004,"Check - more commission paid than earned",IF(M348&lt;&gt;"Yes","Due - not paid yet",IF(N348="","Check - marked paid, no date","OK"))))))</f>
        <v>0</v>
      </c>
    </row>
    <row r="349" spans="1:30">
      <c r="A349" s="28">
        <f>IF(B349="","",PayrollPrefix&amp;TEXT(ROW()-4,"0000"))</f>
        <v>0</v>
      </c>
      <c r="E349" s="15">
        <f>IF(D349="","",IFERROR(INDEX(Staff!$B$5:$B$44,MATCH(D349,Staff!$A$5:$A$44,0)),"Not in Staff"))</f>
        <v>0</v>
      </c>
      <c r="Q349" s="15">
        <f>IF(B349="","",TEXT(B349,"yyyy-mm"))</f>
        <v>0</v>
      </c>
      <c r="R349" s="25">
        <f>IF(B349="","",WEEKNUM(B349,2))</f>
        <v>0</v>
      </c>
      <c r="S349" s="26">
        <f>IF(B349="","",IF(G349&lt;&gt;"",G349,IFERROR(IF(INDEX(Staff!$P$5:$P$44,MATCH(D349,Staff!$A$5:$A$44,0))="",DefaultHourly,INDEX(Staff!$P$5:$P$44,MATCH(D349,Staff!$A$5:$A$44,0))),DefaultHourly)))</f>
        <v>0</v>
      </c>
      <c r="T349" s="26">
        <f>IF(B349="","",ROUND(IF(F349="",0,F349)*S349,2))</f>
        <v>0</v>
      </c>
      <c r="U349" s="26">
        <f>IF(B349="","",ROUND(T349+IF(H349="",0,H349)+IF(J349="",0,J349)+IF(K349="",0,K349),2))</f>
        <v>0</v>
      </c>
      <c r="V349" s="26">
        <f>IF(B349="","",ROUND(U349-IF(L349="",0,L349),2))</f>
        <v>0</v>
      </c>
      <c r="W349" s="26">
        <f>IF(B349="","",ROUND(V349+IF(I349="",0,I349),2))</f>
        <v>0</v>
      </c>
      <c r="X349" s="26">
        <f>IF(B349="","",IF(IFERROR(INDEX(Staff!$E$5:$E$44,MATCH(D349,Staff!$A$5:$A$44,0))&amp;"","")="Self-employed",0,IF(IFERROR(INDEX(Staff!$E$5:$E$44,MATCH(D349,Staff!$A$5:$A$44,0))&amp;"","")="Chair renter",0,ROUND(U349*PayrollBurden,2))))</f>
        <v>0</v>
      </c>
      <c r="Y349" s="26">
        <f>IF(B349="","",ROUND(U349+X349,2))</f>
        <v>0</v>
      </c>
      <c r="Z349" s="26">
        <f>IF(B349="","",ROUND(SUMIFS(Commissions!$X$5:$X$244,Commissions!$C$5:$C$244,D349,Commissions!$B$5:$B$244,Q349),2))</f>
        <v>0</v>
      </c>
      <c r="AA349" s="26">
        <f>IF(B349="","",ROUND(SUMIFS($H$5:$H$364,$D$5:$D$364,D349,$Q$5:$Q$364,Q349),2))</f>
        <v>0</v>
      </c>
      <c r="AB349" s="26">
        <f>IF(B349="","",ROUND(Z349-AA349,2))</f>
        <v>0</v>
      </c>
      <c r="AC349" s="26">
        <f>IF(B349="","",IF(IF(F349="",0,F349)=0,"",ROUND(Y349/F349,2)))</f>
        <v>0</v>
      </c>
      <c r="AD349" s="39">
        <f>IF(B349="","",IF(D349="","Add - who is this run for?",IF(IF(F349="",H349="",FALSE),"Add - no hours and no commission",IF(AB349&lt;-0.004,"Check - more commission paid than earned",IF(M349&lt;&gt;"Yes","Due - not paid yet",IF(N349="","Check - marked paid, no date","OK"))))))</f>
        <v>0</v>
      </c>
    </row>
    <row r="350" spans="1:30">
      <c r="A350" s="28">
        <f>IF(B350="","",PayrollPrefix&amp;TEXT(ROW()-4,"0000"))</f>
        <v>0</v>
      </c>
      <c r="E350" s="15">
        <f>IF(D350="","",IFERROR(INDEX(Staff!$B$5:$B$44,MATCH(D350,Staff!$A$5:$A$44,0)),"Not in Staff"))</f>
        <v>0</v>
      </c>
      <c r="Q350" s="15">
        <f>IF(B350="","",TEXT(B350,"yyyy-mm"))</f>
        <v>0</v>
      </c>
      <c r="R350" s="25">
        <f>IF(B350="","",WEEKNUM(B350,2))</f>
        <v>0</v>
      </c>
      <c r="S350" s="26">
        <f>IF(B350="","",IF(G350&lt;&gt;"",G350,IFERROR(IF(INDEX(Staff!$P$5:$P$44,MATCH(D350,Staff!$A$5:$A$44,0))="",DefaultHourly,INDEX(Staff!$P$5:$P$44,MATCH(D350,Staff!$A$5:$A$44,0))),DefaultHourly)))</f>
        <v>0</v>
      </c>
      <c r="T350" s="26">
        <f>IF(B350="","",ROUND(IF(F350="",0,F350)*S350,2))</f>
        <v>0</v>
      </c>
      <c r="U350" s="26">
        <f>IF(B350="","",ROUND(T350+IF(H350="",0,H350)+IF(J350="",0,J350)+IF(K350="",0,K350),2))</f>
        <v>0</v>
      </c>
      <c r="V350" s="26">
        <f>IF(B350="","",ROUND(U350-IF(L350="",0,L350),2))</f>
        <v>0</v>
      </c>
      <c r="W350" s="26">
        <f>IF(B350="","",ROUND(V350+IF(I350="",0,I350),2))</f>
        <v>0</v>
      </c>
      <c r="X350" s="26">
        <f>IF(B350="","",IF(IFERROR(INDEX(Staff!$E$5:$E$44,MATCH(D350,Staff!$A$5:$A$44,0))&amp;"","")="Self-employed",0,IF(IFERROR(INDEX(Staff!$E$5:$E$44,MATCH(D350,Staff!$A$5:$A$44,0))&amp;"","")="Chair renter",0,ROUND(U350*PayrollBurden,2))))</f>
        <v>0</v>
      </c>
      <c r="Y350" s="26">
        <f>IF(B350="","",ROUND(U350+X350,2))</f>
        <v>0</v>
      </c>
      <c r="Z350" s="26">
        <f>IF(B350="","",ROUND(SUMIFS(Commissions!$X$5:$X$244,Commissions!$C$5:$C$244,D350,Commissions!$B$5:$B$244,Q350),2))</f>
        <v>0</v>
      </c>
      <c r="AA350" s="26">
        <f>IF(B350="","",ROUND(SUMIFS($H$5:$H$364,$D$5:$D$364,D350,$Q$5:$Q$364,Q350),2))</f>
        <v>0</v>
      </c>
      <c r="AB350" s="26">
        <f>IF(B350="","",ROUND(Z350-AA350,2))</f>
        <v>0</v>
      </c>
      <c r="AC350" s="26">
        <f>IF(B350="","",IF(IF(F350="",0,F350)=0,"",ROUND(Y350/F350,2)))</f>
        <v>0</v>
      </c>
      <c r="AD350" s="39">
        <f>IF(B350="","",IF(D350="","Add - who is this run for?",IF(IF(F350="",H350="",FALSE),"Add - no hours and no commission",IF(AB350&lt;-0.004,"Check - more commission paid than earned",IF(M350&lt;&gt;"Yes","Due - not paid yet",IF(N350="","Check - marked paid, no date","OK"))))))</f>
        <v>0</v>
      </c>
    </row>
    <row r="351" spans="1:30">
      <c r="A351" s="28">
        <f>IF(B351="","",PayrollPrefix&amp;TEXT(ROW()-4,"0000"))</f>
        <v>0</v>
      </c>
      <c r="E351" s="15">
        <f>IF(D351="","",IFERROR(INDEX(Staff!$B$5:$B$44,MATCH(D351,Staff!$A$5:$A$44,0)),"Not in Staff"))</f>
        <v>0</v>
      </c>
      <c r="Q351" s="15">
        <f>IF(B351="","",TEXT(B351,"yyyy-mm"))</f>
        <v>0</v>
      </c>
      <c r="R351" s="25">
        <f>IF(B351="","",WEEKNUM(B351,2))</f>
        <v>0</v>
      </c>
      <c r="S351" s="26">
        <f>IF(B351="","",IF(G351&lt;&gt;"",G351,IFERROR(IF(INDEX(Staff!$P$5:$P$44,MATCH(D351,Staff!$A$5:$A$44,0))="",DefaultHourly,INDEX(Staff!$P$5:$P$44,MATCH(D351,Staff!$A$5:$A$44,0))),DefaultHourly)))</f>
        <v>0</v>
      </c>
      <c r="T351" s="26">
        <f>IF(B351="","",ROUND(IF(F351="",0,F351)*S351,2))</f>
        <v>0</v>
      </c>
      <c r="U351" s="26">
        <f>IF(B351="","",ROUND(T351+IF(H351="",0,H351)+IF(J351="",0,J351)+IF(K351="",0,K351),2))</f>
        <v>0</v>
      </c>
      <c r="V351" s="26">
        <f>IF(B351="","",ROUND(U351-IF(L351="",0,L351),2))</f>
        <v>0</v>
      </c>
      <c r="W351" s="26">
        <f>IF(B351="","",ROUND(V351+IF(I351="",0,I351),2))</f>
        <v>0</v>
      </c>
      <c r="X351" s="26">
        <f>IF(B351="","",IF(IFERROR(INDEX(Staff!$E$5:$E$44,MATCH(D351,Staff!$A$5:$A$44,0))&amp;"","")="Self-employed",0,IF(IFERROR(INDEX(Staff!$E$5:$E$44,MATCH(D351,Staff!$A$5:$A$44,0))&amp;"","")="Chair renter",0,ROUND(U351*PayrollBurden,2))))</f>
        <v>0</v>
      </c>
      <c r="Y351" s="26">
        <f>IF(B351="","",ROUND(U351+X351,2))</f>
        <v>0</v>
      </c>
      <c r="Z351" s="26">
        <f>IF(B351="","",ROUND(SUMIFS(Commissions!$X$5:$X$244,Commissions!$C$5:$C$244,D351,Commissions!$B$5:$B$244,Q351),2))</f>
        <v>0</v>
      </c>
      <c r="AA351" s="26">
        <f>IF(B351="","",ROUND(SUMIFS($H$5:$H$364,$D$5:$D$364,D351,$Q$5:$Q$364,Q351),2))</f>
        <v>0</v>
      </c>
      <c r="AB351" s="26">
        <f>IF(B351="","",ROUND(Z351-AA351,2))</f>
        <v>0</v>
      </c>
      <c r="AC351" s="26">
        <f>IF(B351="","",IF(IF(F351="",0,F351)=0,"",ROUND(Y351/F351,2)))</f>
        <v>0</v>
      </c>
      <c r="AD351" s="39">
        <f>IF(B351="","",IF(D351="","Add - who is this run for?",IF(IF(F351="",H351="",FALSE),"Add - no hours and no commission",IF(AB351&lt;-0.004,"Check - more commission paid than earned",IF(M351&lt;&gt;"Yes","Due - not paid yet",IF(N351="","Check - marked paid, no date","OK"))))))</f>
        <v>0</v>
      </c>
    </row>
    <row r="352" spans="1:30">
      <c r="A352" s="28">
        <f>IF(B352="","",PayrollPrefix&amp;TEXT(ROW()-4,"0000"))</f>
        <v>0</v>
      </c>
      <c r="E352" s="15">
        <f>IF(D352="","",IFERROR(INDEX(Staff!$B$5:$B$44,MATCH(D352,Staff!$A$5:$A$44,0)),"Not in Staff"))</f>
        <v>0</v>
      </c>
      <c r="Q352" s="15">
        <f>IF(B352="","",TEXT(B352,"yyyy-mm"))</f>
        <v>0</v>
      </c>
      <c r="R352" s="25">
        <f>IF(B352="","",WEEKNUM(B352,2))</f>
        <v>0</v>
      </c>
      <c r="S352" s="26">
        <f>IF(B352="","",IF(G352&lt;&gt;"",G352,IFERROR(IF(INDEX(Staff!$P$5:$P$44,MATCH(D352,Staff!$A$5:$A$44,0))="",DefaultHourly,INDEX(Staff!$P$5:$P$44,MATCH(D352,Staff!$A$5:$A$44,0))),DefaultHourly)))</f>
        <v>0</v>
      </c>
      <c r="T352" s="26">
        <f>IF(B352="","",ROUND(IF(F352="",0,F352)*S352,2))</f>
        <v>0</v>
      </c>
      <c r="U352" s="26">
        <f>IF(B352="","",ROUND(T352+IF(H352="",0,H352)+IF(J352="",0,J352)+IF(K352="",0,K352),2))</f>
        <v>0</v>
      </c>
      <c r="V352" s="26">
        <f>IF(B352="","",ROUND(U352-IF(L352="",0,L352),2))</f>
        <v>0</v>
      </c>
      <c r="W352" s="26">
        <f>IF(B352="","",ROUND(V352+IF(I352="",0,I352),2))</f>
        <v>0</v>
      </c>
      <c r="X352" s="26">
        <f>IF(B352="","",IF(IFERROR(INDEX(Staff!$E$5:$E$44,MATCH(D352,Staff!$A$5:$A$44,0))&amp;"","")="Self-employed",0,IF(IFERROR(INDEX(Staff!$E$5:$E$44,MATCH(D352,Staff!$A$5:$A$44,0))&amp;"","")="Chair renter",0,ROUND(U352*PayrollBurden,2))))</f>
        <v>0</v>
      </c>
      <c r="Y352" s="26">
        <f>IF(B352="","",ROUND(U352+X352,2))</f>
        <v>0</v>
      </c>
      <c r="Z352" s="26">
        <f>IF(B352="","",ROUND(SUMIFS(Commissions!$X$5:$X$244,Commissions!$C$5:$C$244,D352,Commissions!$B$5:$B$244,Q352),2))</f>
        <v>0</v>
      </c>
      <c r="AA352" s="26">
        <f>IF(B352="","",ROUND(SUMIFS($H$5:$H$364,$D$5:$D$364,D352,$Q$5:$Q$364,Q352),2))</f>
        <v>0</v>
      </c>
      <c r="AB352" s="26">
        <f>IF(B352="","",ROUND(Z352-AA352,2))</f>
        <v>0</v>
      </c>
      <c r="AC352" s="26">
        <f>IF(B352="","",IF(IF(F352="",0,F352)=0,"",ROUND(Y352/F352,2)))</f>
        <v>0</v>
      </c>
      <c r="AD352" s="39">
        <f>IF(B352="","",IF(D352="","Add - who is this run for?",IF(IF(F352="",H352="",FALSE),"Add - no hours and no commission",IF(AB352&lt;-0.004,"Check - more commission paid than earned",IF(M352&lt;&gt;"Yes","Due - not paid yet",IF(N352="","Check - marked paid, no date","OK"))))))</f>
        <v>0</v>
      </c>
    </row>
    <row r="353" spans="1:30">
      <c r="A353" s="28">
        <f>IF(B353="","",PayrollPrefix&amp;TEXT(ROW()-4,"0000"))</f>
        <v>0</v>
      </c>
      <c r="E353" s="15">
        <f>IF(D353="","",IFERROR(INDEX(Staff!$B$5:$B$44,MATCH(D353,Staff!$A$5:$A$44,0)),"Not in Staff"))</f>
        <v>0</v>
      </c>
      <c r="Q353" s="15">
        <f>IF(B353="","",TEXT(B353,"yyyy-mm"))</f>
        <v>0</v>
      </c>
      <c r="R353" s="25">
        <f>IF(B353="","",WEEKNUM(B353,2))</f>
        <v>0</v>
      </c>
      <c r="S353" s="26">
        <f>IF(B353="","",IF(G353&lt;&gt;"",G353,IFERROR(IF(INDEX(Staff!$P$5:$P$44,MATCH(D353,Staff!$A$5:$A$44,0))="",DefaultHourly,INDEX(Staff!$P$5:$P$44,MATCH(D353,Staff!$A$5:$A$44,0))),DefaultHourly)))</f>
        <v>0</v>
      </c>
      <c r="T353" s="26">
        <f>IF(B353="","",ROUND(IF(F353="",0,F353)*S353,2))</f>
        <v>0</v>
      </c>
      <c r="U353" s="26">
        <f>IF(B353="","",ROUND(T353+IF(H353="",0,H353)+IF(J353="",0,J353)+IF(K353="",0,K353),2))</f>
        <v>0</v>
      </c>
      <c r="V353" s="26">
        <f>IF(B353="","",ROUND(U353-IF(L353="",0,L353),2))</f>
        <v>0</v>
      </c>
      <c r="W353" s="26">
        <f>IF(B353="","",ROUND(V353+IF(I353="",0,I353),2))</f>
        <v>0</v>
      </c>
      <c r="X353" s="26">
        <f>IF(B353="","",IF(IFERROR(INDEX(Staff!$E$5:$E$44,MATCH(D353,Staff!$A$5:$A$44,0))&amp;"","")="Self-employed",0,IF(IFERROR(INDEX(Staff!$E$5:$E$44,MATCH(D353,Staff!$A$5:$A$44,0))&amp;"","")="Chair renter",0,ROUND(U353*PayrollBurden,2))))</f>
        <v>0</v>
      </c>
      <c r="Y353" s="26">
        <f>IF(B353="","",ROUND(U353+X353,2))</f>
        <v>0</v>
      </c>
      <c r="Z353" s="26">
        <f>IF(B353="","",ROUND(SUMIFS(Commissions!$X$5:$X$244,Commissions!$C$5:$C$244,D353,Commissions!$B$5:$B$244,Q353),2))</f>
        <v>0</v>
      </c>
      <c r="AA353" s="26">
        <f>IF(B353="","",ROUND(SUMIFS($H$5:$H$364,$D$5:$D$364,D353,$Q$5:$Q$364,Q353),2))</f>
        <v>0</v>
      </c>
      <c r="AB353" s="26">
        <f>IF(B353="","",ROUND(Z353-AA353,2))</f>
        <v>0</v>
      </c>
      <c r="AC353" s="26">
        <f>IF(B353="","",IF(IF(F353="",0,F353)=0,"",ROUND(Y353/F353,2)))</f>
        <v>0</v>
      </c>
      <c r="AD353" s="39">
        <f>IF(B353="","",IF(D353="","Add - who is this run for?",IF(IF(F353="",H353="",FALSE),"Add - no hours and no commission",IF(AB353&lt;-0.004,"Check - more commission paid than earned",IF(M353&lt;&gt;"Yes","Due - not paid yet",IF(N353="","Check - marked paid, no date","OK"))))))</f>
        <v>0</v>
      </c>
    </row>
    <row r="354" spans="1:30">
      <c r="A354" s="28">
        <f>IF(B354="","",PayrollPrefix&amp;TEXT(ROW()-4,"0000"))</f>
        <v>0</v>
      </c>
      <c r="E354" s="15">
        <f>IF(D354="","",IFERROR(INDEX(Staff!$B$5:$B$44,MATCH(D354,Staff!$A$5:$A$44,0)),"Not in Staff"))</f>
        <v>0</v>
      </c>
      <c r="Q354" s="15">
        <f>IF(B354="","",TEXT(B354,"yyyy-mm"))</f>
        <v>0</v>
      </c>
      <c r="R354" s="25">
        <f>IF(B354="","",WEEKNUM(B354,2))</f>
        <v>0</v>
      </c>
      <c r="S354" s="26">
        <f>IF(B354="","",IF(G354&lt;&gt;"",G354,IFERROR(IF(INDEX(Staff!$P$5:$P$44,MATCH(D354,Staff!$A$5:$A$44,0))="",DefaultHourly,INDEX(Staff!$P$5:$P$44,MATCH(D354,Staff!$A$5:$A$44,0))),DefaultHourly)))</f>
        <v>0</v>
      </c>
      <c r="T354" s="26">
        <f>IF(B354="","",ROUND(IF(F354="",0,F354)*S354,2))</f>
        <v>0</v>
      </c>
      <c r="U354" s="26">
        <f>IF(B354="","",ROUND(T354+IF(H354="",0,H354)+IF(J354="",0,J354)+IF(K354="",0,K354),2))</f>
        <v>0</v>
      </c>
      <c r="V354" s="26">
        <f>IF(B354="","",ROUND(U354-IF(L354="",0,L354),2))</f>
        <v>0</v>
      </c>
      <c r="W354" s="26">
        <f>IF(B354="","",ROUND(V354+IF(I354="",0,I354),2))</f>
        <v>0</v>
      </c>
      <c r="X354" s="26">
        <f>IF(B354="","",IF(IFERROR(INDEX(Staff!$E$5:$E$44,MATCH(D354,Staff!$A$5:$A$44,0))&amp;"","")="Self-employed",0,IF(IFERROR(INDEX(Staff!$E$5:$E$44,MATCH(D354,Staff!$A$5:$A$44,0))&amp;"","")="Chair renter",0,ROUND(U354*PayrollBurden,2))))</f>
        <v>0</v>
      </c>
      <c r="Y354" s="26">
        <f>IF(B354="","",ROUND(U354+X354,2))</f>
        <v>0</v>
      </c>
      <c r="Z354" s="26">
        <f>IF(B354="","",ROUND(SUMIFS(Commissions!$X$5:$X$244,Commissions!$C$5:$C$244,D354,Commissions!$B$5:$B$244,Q354),2))</f>
        <v>0</v>
      </c>
      <c r="AA354" s="26">
        <f>IF(B354="","",ROUND(SUMIFS($H$5:$H$364,$D$5:$D$364,D354,$Q$5:$Q$364,Q354),2))</f>
        <v>0</v>
      </c>
      <c r="AB354" s="26">
        <f>IF(B354="","",ROUND(Z354-AA354,2))</f>
        <v>0</v>
      </c>
      <c r="AC354" s="26">
        <f>IF(B354="","",IF(IF(F354="",0,F354)=0,"",ROUND(Y354/F354,2)))</f>
        <v>0</v>
      </c>
      <c r="AD354" s="39">
        <f>IF(B354="","",IF(D354="","Add - who is this run for?",IF(IF(F354="",H354="",FALSE),"Add - no hours and no commission",IF(AB354&lt;-0.004,"Check - more commission paid than earned",IF(M354&lt;&gt;"Yes","Due - not paid yet",IF(N354="","Check - marked paid, no date","OK"))))))</f>
        <v>0</v>
      </c>
    </row>
    <row r="355" spans="1:30">
      <c r="A355" s="28">
        <f>IF(B355="","",PayrollPrefix&amp;TEXT(ROW()-4,"0000"))</f>
        <v>0</v>
      </c>
      <c r="E355" s="15">
        <f>IF(D355="","",IFERROR(INDEX(Staff!$B$5:$B$44,MATCH(D355,Staff!$A$5:$A$44,0)),"Not in Staff"))</f>
        <v>0</v>
      </c>
      <c r="Q355" s="15">
        <f>IF(B355="","",TEXT(B355,"yyyy-mm"))</f>
        <v>0</v>
      </c>
      <c r="R355" s="25">
        <f>IF(B355="","",WEEKNUM(B355,2))</f>
        <v>0</v>
      </c>
      <c r="S355" s="26">
        <f>IF(B355="","",IF(G355&lt;&gt;"",G355,IFERROR(IF(INDEX(Staff!$P$5:$P$44,MATCH(D355,Staff!$A$5:$A$44,0))="",DefaultHourly,INDEX(Staff!$P$5:$P$44,MATCH(D355,Staff!$A$5:$A$44,0))),DefaultHourly)))</f>
        <v>0</v>
      </c>
      <c r="T355" s="26">
        <f>IF(B355="","",ROUND(IF(F355="",0,F355)*S355,2))</f>
        <v>0</v>
      </c>
      <c r="U355" s="26">
        <f>IF(B355="","",ROUND(T355+IF(H355="",0,H355)+IF(J355="",0,J355)+IF(K355="",0,K355),2))</f>
        <v>0</v>
      </c>
      <c r="V355" s="26">
        <f>IF(B355="","",ROUND(U355-IF(L355="",0,L355),2))</f>
        <v>0</v>
      </c>
      <c r="W355" s="26">
        <f>IF(B355="","",ROUND(V355+IF(I355="",0,I355),2))</f>
        <v>0</v>
      </c>
      <c r="X355" s="26">
        <f>IF(B355="","",IF(IFERROR(INDEX(Staff!$E$5:$E$44,MATCH(D355,Staff!$A$5:$A$44,0))&amp;"","")="Self-employed",0,IF(IFERROR(INDEX(Staff!$E$5:$E$44,MATCH(D355,Staff!$A$5:$A$44,0))&amp;"","")="Chair renter",0,ROUND(U355*PayrollBurden,2))))</f>
        <v>0</v>
      </c>
      <c r="Y355" s="26">
        <f>IF(B355="","",ROUND(U355+X355,2))</f>
        <v>0</v>
      </c>
      <c r="Z355" s="26">
        <f>IF(B355="","",ROUND(SUMIFS(Commissions!$X$5:$X$244,Commissions!$C$5:$C$244,D355,Commissions!$B$5:$B$244,Q355),2))</f>
        <v>0</v>
      </c>
      <c r="AA355" s="26">
        <f>IF(B355="","",ROUND(SUMIFS($H$5:$H$364,$D$5:$D$364,D355,$Q$5:$Q$364,Q355),2))</f>
        <v>0</v>
      </c>
      <c r="AB355" s="26">
        <f>IF(B355="","",ROUND(Z355-AA355,2))</f>
        <v>0</v>
      </c>
      <c r="AC355" s="26">
        <f>IF(B355="","",IF(IF(F355="",0,F355)=0,"",ROUND(Y355/F355,2)))</f>
        <v>0</v>
      </c>
      <c r="AD355" s="39">
        <f>IF(B355="","",IF(D355="","Add - who is this run for?",IF(IF(F355="",H355="",FALSE),"Add - no hours and no commission",IF(AB355&lt;-0.004,"Check - more commission paid than earned",IF(M355&lt;&gt;"Yes","Due - not paid yet",IF(N355="","Check - marked paid, no date","OK"))))))</f>
        <v>0</v>
      </c>
    </row>
    <row r="356" spans="1:30">
      <c r="A356" s="28">
        <f>IF(B356="","",PayrollPrefix&amp;TEXT(ROW()-4,"0000"))</f>
        <v>0</v>
      </c>
      <c r="E356" s="15">
        <f>IF(D356="","",IFERROR(INDEX(Staff!$B$5:$B$44,MATCH(D356,Staff!$A$5:$A$44,0)),"Not in Staff"))</f>
        <v>0</v>
      </c>
      <c r="Q356" s="15">
        <f>IF(B356="","",TEXT(B356,"yyyy-mm"))</f>
        <v>0</v>
      </c>
      <c r="R356" s="25">
        <f>IF(B356="","",WEEKNUM(B356,2))</f>
        <v>0</v>
      </c>
      <c r="S356" s="26">
        <f>IF(B356="","",IF(G356&lt;&gt;"",G356,IFERROR(IF(INDEX(Staff!$P$5:$P$44,MATCH(D356,Staff!$A$5:$A$44,0))="",DefaultHourly,INDEX(Staff!$P$5:$P$44,MATCH(D356,Staff!$A$5:$A$44,0))),DefaultHourly)))</f>
        <v>0</v>
      </c>
      <c r="T356" s="26">
        <f>IF(B356="","",ROUND(IF(F356="",0,F356)*S356,2))</f>
        <v>0</v>
      </c>
      <c r="U356" s="26">
        <f>IF(B356="","",ROUND(T356+IF(H356="",0,H356)+IF(J356="",0,J356)+IF(K356="",0,K356),2))</f>
        <v>0</v>
      </c>
      <c r="V356" s="26">
        <f>IF(B356="","",ROUND(U356-IF(L356="",0,L356),2))</f>
        <v>0</v>
      </c>
      <c r="W356" s="26">
        <f>IF(B356="","",ROUND(V356+IF(I356="",0,I356),2))</f>
        <v>0</v>
      </c>
      <c r="X356" s="26">
        <f>IF(B356="","",IF(IFERROR(INDEX(Staff!$E$5:$E$44,MATCH(D356,Staff!$A$5:$A$44,0))&amp;"","")="Self-employed",0,IF(IFERROR(INDEX(Staff!$E$5:$E$44,MATCH(D356,Staff!$A$5:$A$44,0))&amp;"","")="Chair renter",0,ROUND(U356*PayrollBurden,2))))</f>
        <v>0</v>
      </c>
      <c r="Y356" s="26">
        <f>IF(B356="","",ROUND(U356+X356,2))</f>
        <v>0</v>
      </c>
      <c r="Z356" s="26">
        <f>IF(B356="","",ROUND(SUMIFS(Commissions!$X$5:$X$244,Commissions!$C$5:$C$244,D356,Commissions!$B$5:$B$244,Q356),2))</f>
        <v>0</v>
      </c>
      <c r="AA356" s="26">
        <f>IF(B356="","",ROUND(SUMIFS($H$5:$H$364,$D$5:$D$364,D356,$Q$5:$Q$364,Q356),2))</f>
        <v>0</v>
      </c>
      <c r="AB356" s="26">
        <f>IF(B356="","",ROUND(Z356-AA356,2))</f>
        <v>0</v>
      </c>
      <c r="AC356" s="26">
        <f>IF(B356="","",IF(IF(F356="",0,F356)=0,"",ROUND(Y356/F356,2)))</f>
        <v>0</v>
      </c>
      <c r="AD356" s="39">
        <f>IF(B356="","",IF(D356="","Add - who is this run for?",IF(IF(F356="",H356="",FALSE),"Add - no hours and no commission",IF(AB356&lt;-0.004,"Check - more commission paid than earned",IF(M356&lt;&gt;"Yes","Due - not paid yet",IF(N356="","Check - marked paid, no date","OK"))))))</f>
        <v>0</v>
      </c>
    </row>
    <row r="357" spans="1:30">
      <c r="A357" s="28">
        <f>IF(B357="","",PayrollPrefix&amp;TEXT(ROW()-4,"0000"))</f>
        <v>0</v>
      </c>
      <c r="E357" s="15">
        <f>IF(D357="","",IFERROR(INDEX(Staff!$B$5:$B$44,MATCH(D357,Staff!$A$5:$A$44,0)),"Not in Staff"))</f>
        <v>0</v>
      </c>
      <c r="Q357" s="15">
        <f>IF(B357="","",TEXT(B357,"yyyy-mm"))</f>
        <v>0</v>
      </c>
      <c r="R357" s="25">
        <f>IF(B357="","",WEEKNUM(B357,2))</f>
        <v>0</v>
      </c>
      <c r="S357" s="26">
        <f>IF(B357="","",IF(G357&lt;&gt;"",G357,IFERROR(IF(INDEX(Staff!$P$5:$P$44,MATCH(D357,Staff!$A$5:$A$44,0))="",DefaultHourly,INDEX(Staff!$P$5:$P$44,MATCH(D357,Staff!$A$5:$A$44,0))),DefaultHourly)))</f>
        <v>0</v>
      </c>
      <c r="T357" s="26">
        <f>IF(B357="","",ROUND(IF(F357="",0,F357)*S357,2))</f>
        <v>0</v>
      </c>
      <c r="U357" s="26">
        <f>IF(B357="","",ROUND(T357+IF(H357="",0,H357)+IF(J357="",0,J357)+IF(K357="",0,K357),2))</f>
        <v>0</v>
      </c>
      <c r="V357" s="26">
        <f>IF(B357="","",ROUND(U357-IF(L357="",0,L357),2))</f>
        <v>0</v>
      </c>
      <c r="W357" s="26">
        <f>IF(B357="","",ROUND(V357+IF(I357="",0,I357),2))</f>
        <v>0</v>
      </c>
      <c r="X357" s="26">
        <f>IF(B357="","",IF(IFERROR(INDEX(Staff!$E$5:$E$44,MATCH(D357,Staff!$A$5:$A$44,0))&amp;"","")="Self-employed",0,IF(IFERROR(INDEX(Staff!$E$5:$E$44,MATCH(D357,Staff!$A$5:$A$44,0))&amp;"","")="Chair renter",0,ROUND(U357*PayrollBurden,2))))</f>
        <v>0</v>
      </c>
      <c r="Y357" s="26">
        <f>IF(B357="","",ROUND(U357+X357,2))</f>
        <v>0</v>
      </c>
      <c r="Z357" s="26">
        <f>IF(B357="","",ROUND(SUMIFS(Commissions!$X$5:$X$244,Commissions!$C$5:$C$244,D357,Commissions!$B$5:$B$244,Q357),2))</f>
        <v>0</v>
      </c>
      <c r="AA357" s="26">
        <f>IF(B357="","",ROUND(SUMIFS($H$5:$H$364,$D$5:$D$364,D357,$Q$5:$Q$364,Q357),2))</f>
        <v>0</v>
      </c>
      <c r="AB357" s="26">
        <f>IF(B357="","",ROUND(Z357-AA357,2))</f>
        <v>0</v>
      </c>
      <c r="AC357" s="26">
        <f>IF(B357="","",IF(IF(F357="",0,F357)=0,"",ROUND(Y357/F357,2)))</f>
        <v>0</v>
      </c>
      <c r="AD357" s="39">
        <f>IF(B357="","",IF(D357="","Add - who is this run for?",IF(IF(F357="",H357="",FALSE),"Add - no hours and no commission",IF(AB357&lt;-0.004,"Check - more commission paid than earned",IF(M357&lt;&gt;"Yes","Due - not paid yet",IF(N357="","Check - marked paid, no date","OK"))))))</f>
        <v>0</v>
      </c>
    </row>
    <row r="358" spans="1:30">
      <c r="A358" s="28">
        <f>IF(B358="","",PayrollPrefix&amp;TEXT(ROW()-4,"0000"))</f>
        <v>0</v>
      </c>
      <c r="E358" s="15">
        <f>IF(D358="","",IFERROR(INDEX(Staff!$B$5:$B$44,MATCH(D358,Staff!$A$5:$A$44,0)),"Not in Staff"))</f>
        <v>0</v>
      </c>
      <c r="Q358" s="15">
        <f>IF(B358="","",TEXT(B358,"yyyy-mm"))</f>
        <v>0</v>
      </c>
      <c r="R358" s="25">
        <f>IF(B358="","",WEEKNUM(B358,2))</f>
        <v>0</v>
      </c>
      <c r="S358" s="26">
        <f>IF(B358="","",IF(G358&lt;&gt;"",G358,IFERROR(IF(INDEX(Staff!$P$5:$P$44,MATCH(D358,Staff!$A$5:$A$44,0))="",DefaultHourly,INDEX(Staff!$P$5:$P$44,MATCH(D358,Staff!$A$5:$A$44,0))),DefaultHourly)))</f>
        <v>0</v>
      </c>
      <c r="T358" s="26">
        <f>IF(B358="","",ROUND(IF(F358="",0,F358)*S358,2))</f>
        <v>0</v>
      </c>
      <c r="U358" s="26">
        <f>IF(B358="","",ROUND(T358+IF(H358="",0,H358)+IF(J358="",0,J358)+IF(K358="",0,K358),2))</f>
        <v>0</v>
      </c>
      <c r="V358" s="26">
        <f>IF(B358="","",ROUND(U358-IF(L358="",0,L358),2))</f>
        <v>0</v>
      </c>
      <c r="W358" s="26">
        <f>IF(B358="","",ROUND(V358+IF(I358="",0,I358),2))</f>
        <v>0</v>
      </c>
      <c r="X358" s="26">
        <f>IF(B358="","",IF(IFERROR(INDEX(Staff!$E$5:$E$44,MATCH(D358,Staff!$A$5:$A$44,0))&amp;"","")="Self-employed",0,IF(IFERROR(INDEX(Staff!$E$5:$E$44,MATCH(D358,Staff!$A$5:$A$44,0))&amp;"","")="Chair renter",0,ROUND(U358*PayrollBurden,2))))</f>
        <v>0</v>
      </c>
      <c r="Y358" s="26">
        <f>IF(B358="","",ROUND(U358+X358,2))</f>
        <v>0</v>
      </c>
      <c r="Z358" s="26">
        <f>IF(B358="","",ROUND(SUMIFS(Commissions!$X$5:$X$244,Commissions!$C$5:$C$244,D358,Commissions!$B$5:$B$244,Q358),2))</f>
        <v>0</v>
      </c>
      <c r="AA358" s="26">
        <f>IF(B358="","",ROUND(SUMIFS($H$5:$H$364,$D$5:$D$364,D358,$Q$5:$Q$364,Q358),2))</f>
        <v>0</v>
      </c>
      <c r="AB358" s="26">
        <f>IF(B358="","",ROUND(Z358-AA358,2))</f>
        <v>0</v>
      </c>
      <c r="AC358" s="26">
        <f>IF(B358="","",IF(IF(F358="",0,F358)=0,"",ROUND(Y358/F358,2)))</f>
        <v>0</v>
      </c>
      <c r="AD358" s="39">
        <f>IF(B358="","",IF(D358="","Add - who is this run for?",IF(IF(F358="",H358="",FALSE),"Add - no hours and no commission",IF(AB358&lt;-0.004,"Check - more commission paid than earned",IF(M358&lt;&gt;"Yes","Due - not paid yet",IF(N358="","Check - marked paid, no date","OK"))))))</f>
        <v>0</v>
      </c>
    </row>
    <row r="359" spans="1:30">
      <c r="A359" s="28">
        <f>IF(B359="","",PayrollPrefix&amp;TEXT(ROW()-4,"0000"))</f>
        <v>0</v>
      </c>
      <c r="E359" s="15">
        <f>IF(D359="","",IFERROR(INDEX(Staff!$B$5:$B$44,MATCH(D359,Staff!$A$5:$A$44,0)),"Not in Staff"))</f>
        <v>0</v>
      </c>
      <c r="Q359" s="15">
        <f>IF(B359="","",TEXT(B359,"yyyy-mm"))</f>
        <v>0</v>
      </c>
      <c r="R359" s="25">
        <f>IF(B359="","",WEEKNUM(B359,2))</f>
        <v>0</v>
      </c>
      <c r="S359" s="26">
        <f>IF(B359="","",IF(G359&lt;&gt;"",G359,IFERROR(IF(INDEX(Staff!$P$5:$P$44,MATCH(D359,Staff!$A$5:$A$44,0))="",DefaultHourly,INDEX(Staff!$P$5:$P$44,MATCH(D359,Staff!$A$5:$A$44,0))),DefaultHourly)))</f>
        <v>0</v>
      </c>
      <c r="T359" s="26">
        <f>IF(B359="","",ROUND(IF(F359="",0,F359)*S359,2))</f>
        <v>0</v>
      </c>
      <c r="U359" s="26">
        <f>IF(B359="","",ROUND(T359+IF(H359="",0,H359)+IF(J359="",0,J359)+IF(K359="",0,K359),2))</f>
        <v>0</v>
      </c>
      <c r="V359" s="26">
        <f>IF(B359="","",ROUND(U359-IF(L359="",0,L359),2))</f>
        <v>0</v>
      </c>
      <c r="W359" s="26">
        <f>IF(B359="","",ROUND(V359+IF(I359="",0,I359),2))</f>
        <v>0</v>
      </c>
      <c r="X359" s="26">
        <f>IF(B359="","",IF(IFERROR(INDEX(Staff!$E$5:$E$44,MATCH(D359,Staff!$A$5:$A$44,0))&amp;"","")="Self-employed",0,IF(IFERROR(INDEX(Staff!$E$5:$E$44,MATCH(D359,Staff!$A$5:$A$44,0))&amp;"","")="Chair renter",0,ROUND(U359*PayrollBurden,2))))</f>
        <v>0</v>
      </c>
      <c r="Y359" s="26">
        <f>IF(B359="","",ROUND(U359+X359,2))</f>
        <v>0</v>
      </c>
      <c r="Z359" s="26">
        <f>IF(B359="","",ROUND(SUMIFS(Commissions!$X$5:$X$244,Commissions!$C$5:$C$244,D359,Commissions!$B$5:$B$244,Q359),2))</f>
        <v>0</v>
      </c>
      <c r="AA359" s="26">
        <f>IF(B359="","",ROUND(SUMIFS($H$5:$H$364,$D$5:$D$364,D359,$Q$5:$Q$364,Q359),2))</f>
        <v>0</v>
      </c>
      <c r="AB359" s="26">
        <f>IF(B359="","",ROUND(Z359-AA359,2))</f>
        <v>0</v>
      </c>
      <c r="AC359" s="26">
        <f>IF(B359="","",IF(IF(F359="",0,F359)=0,"",ROUND(Y359/F359,2)))</f>
        <v>0</v>
      </c>
      <c r="AD359" s="39">
        <f>IF(B359="","",IF(D359="","Add - who is this run for?",IF(IF(F359="",H359="",FALSE),"Add - no hours and no commission",IF(AB359&lt;-0.004,"Check - more commission paid than earned",IF(M359&lt;&gt;"Yes","Due - not paid yet",IF(N359="","Check - marked paid, no date","OK"))))))</f>
        <v>0</v>
      </c>
    </row>
    <row r="360" spans="1:30">
      <c r="A360" s="28">
        <f>IF(B360="","",PayrollPrefix&amp;TEXT(ROW()-4,"0000"))</f>
        <v>0</v>
      </c>
      <c r="E360" s="15">
        <f>IF(D360="","",IFERROR(INDEX(Staff!$B$5:$B$44,MATCH(D360,Staff!$A$5:$A$44,0)),"Not in Staff"))</f>
        <v>0</v>
      </c>
      <c r="Q360" s="15">
        <f>IF(B360="","",TEXT(B360,"yyyy-mm"))</f>
        <v>0</v>
      </c>
      <c r="R360" s="25">
        <f>IF(B360="","",WEEKNUM(B360,2))</f>
        <v>0</v>
      </c>
      <c r="S360" s="26">
        <f>IF(B360="","",IF(G360&lt;&gt;"",G360,IFERROR(IF(INDEX(Staff!$P$5:$P$44,MATCH(D360,Staff!$A$5:$A$44,0))="",DefaultHourly,INDEX(Staff!$P$5:$P$44,MATCH(D360,Staff!$A$5:$A$44,0))),DefaultHourly)))</f>
        <v>0</v>
      </c>
      <c r="T360" s="26">
        <f>IF(B360="","",ROUND(IF(F360="",0,F360)*S360,2))</f>
        <v>0</v>
      </c>
      <c r="U360" s="26">
        <f>IF(B360="","",ROUND(T360+IF(H360="",0,H360)+IF(J360="",0,J360)+IF(K360="",0,K360),2))</f>
        <v>0</v>
      </c>
      <c r="V360" s="26">
        <f>IF(B360="","",ROUND(U360-IF(L360="",0,L360),2))</f>
        <v>0</v>
      </c>
      <c r="W360" s="26">
        <f>IF(B360="","",ROUND(V360+IF(I360="",0,I360),2))</f>
        <v>0</v>
      </c>
      <c r="X360" s="26">
        <f>IF(B360="","",IF(IFERROR(INDEX(Staff!$E$5:$E$44,MATCH(D360,Staff!$A$5:$A$44,0))&amp;"","")="Self-employed",0,IF(IFERROR(INDEX(Staff!$E$5:$E$44,MATCH(D360,Staff!$A$5:$A$44,0))&amp;"","")="Chair renter",0,ROUND(U360*PayrollBurden,2))))</f>
        <v>0</v>
      </c>
      <c r="Y360" s="26">
        <f>IF(B360="","",ROUND(U360+X360,2))</f>
        <v>0</v>
      </c>
      <c r="Z360" s="26">
        <f>IF(B360="","",ROUND(SUMIFS(Commissions!$X$5:$X$244,Commissions!$C$5:$C$244,D360,Commissions!$B$5:$B$244,Q360),2))</f>
        <v>0</v>
      </c>
      <c r="AA360" s="26">
        <f>IF(B360="","",ROUND(SUMIFS($H$5:$H$364,$D$5:$D$364,D360,$Q$5:$Q$364,Q360),2))</f>
        <v>0</v>
      </c>
      <c r="AB360" s="26">
        <f>IF(B360="","",ROUND(Z360-AA360,2))</f>
        <v>0</v>
      </c>
      <c r="AC360" s="26">
        <f>IF(B360="","",IF(IF(F360="",0,F360)=0,"",ROUND(Y360/F360,2)))</f>
        <v>0</v>
      </c>
      <c r="AD360" s="39">
        <f>IF(B360="","",IF(D360="","Add - who is this run for?",IF(IF(F360="",H360="",FALSE),"Add - no hours and no commission",IF(AB360&lt;-0.004,"Check - more commission paid than earned",IF(M360&lt;&gt;"Yes","Due - not paid yet",IF(N360="","Check - marked paid, no date","OK"))))))</f>
        <v>0</v>
      </c>
    </row>
    <row r="361" spans="1:30">
      <c r="A361" s="28">
        <f>IF(B361="","",PayrollPrefix&amp;TEXT(ROW()-4,"0000"))</f>
        <v>0</v>
      </c>
      <c r="E361" s="15">
        <f>IF(D361="","",IFERROR(INDEX(Staff!$B$5:$B$44,MATCH(D361,Staff!$A$5:$A$44,0)),"Not in Staff"))</f>
        <v>0</v>
      </c>
      <c r="Q361" s="15">
        <f>IF(B361="","",TEXT(B361,"yyyy-mm"))</f>
        <v>0</v>
      </c>
      <c r="R361" s="25">
        <f>IF(B361="","",WEEKNUM(B361,2))</f>
        <v>0</v>
      </c>
      <c r="S361" s="26">
        <f>IF(B361="","",IF(G361&lt;&gt;"",G361,IFERROR(IF(INDEX(Staff!$P$5:$P$44,MATCH(D361,Staff!$A$5:$A$44,0))="",DefaultHourly,INDEX(Staff!$P$5:$P$44,MATCH(D361,Staff!$A$5:$A$44,0))),DefaultHourly)))</f>
        <v>0</v>
      </c>
      <c r="T361" s="26">
        <f>IF(B361="","",ROUND(IF(F361="",0,F361)*S361,2))</f>
        <v>0</v>
      </c>
      <c r="U361" s="26">
        <f>IF(B361="","",ROUND(T361+IF(H361="",0,H361)+IF(J361="",0,J361)+IF(K361="",0,K361),2))</f>
        <v>0</v>
      </c>
      <c r="V361" s="26">
        <f>IF(B361="","",ROUND(U361-IF(L361="",0,L361),2))</f>
        <v>0</v>
      </c>
      <c r="W361" s="26">
        <f>IF(B361="","",ROUND(V361+IF(I361="",0,I361),2))</f>
        <v>0</v>
      </c>
      <c r="X361" s="26">
        <f>IF(B361="","",IF(IFERROR(INDEX(Staff!$E$5:$E$44,MATCH(D361,Staff!$A$5:$A$44,0))&amp;"","")="Self-employed",0,IF(IFERROR(INDEX(Staff!$E$5:$E$44,MATCH(D361,Staff!$A$5:$A$44,0))&amp;"","")="Chair renter",0,ROUND(U361*PayrollBurden,2))))</f>
        <v>0</v>
      </c>
      <c r="Y361" s="26">
        <f>IF(B361="","",ROUND(U361+X361,2))</f>
        <v>0</v>
      </c>
      <c r="Z361" s="26">
        <f>IF(B361="","",ROUND(SUMIFS(Commissions!$X$5:$X$244,Commissions!$C$5:$C$244,D361,Commissions!$B$5:$B$244,Q361),2))</f>
        <v>0</v>
      </c>
      <c r="AA361" s="26">
        <f>IF(B361="","",ROUND(SUMIFS($H$5:$H$364,$D$5:$D$364,D361,$Q$5:$Q$364,Q361),2))</f>
        <v>0</v>
      </c>
      <c r="AB361" s="26">
        <f>IF(B361="","",ROUND(Z361-AA361,2))</f>
        <v>0</v>
      </c>
      <c r="AC361" s="26">
        <f>IF(B361="","",IF(IF(F361="",0,F361)=0,"",ROUND(Y361/F361,2)))</f>
        <v>0</v>
      </c>
      <c r="AD361" s="39">
        <f>IF(B361="","",IF(D361="","Add - who is this run for?",IF(IF(F361="",H361="",FALSE),"Add - no hours and no commission",IF(AB361&lt;-0.004,"Check - more commission paid than earned",IF(M361&lt;&gt;"Yes","Due - not paid yet",IF(N361="","Check - marked paid, no date","OK"))))))</f>
        <v>0</v>
      </c>
    </row>
    <row r="362" spans="1:30">
      <c r="A362" s="28">
        <f>IF(B362="","",PayrollPrefix&amp;TEXT(ROW()-4,"0000"))</f>
        <v>0</v>
      </c>
      <c r="E362" s="15">
        <f>IF(D362="","",IFERROR(INDEX(Staff!$B$5:$B$44,MATCH(D362,Staff!$A$5:$A$44,0)),"Not in Staff"))</f>
        <v>0</v>
      </c>
      <c r="Q362" s="15">
        <f>IF(B362="","",TEXT(B362,"yyyy-mm"))</f>
        <v>0</v>
      </c>
      <c r="R362" s="25">
        <f>IF(B362="","",WEEKNUM(B362,2))</f>
        <v>0</v>
      </c>
      <c r="S362" s="26">
        <f>IF(B362="","",IF(G362&lt;&gt;"",G362,IFERROR(IF(INDEX(Staff!$P$5:$P$44,MATCH(D362,Staff!$A$5:$A$44,0))="",DefaultHourly,INDEX(Staff!$P$5:$P$44,MATCH(D362,Staff!$A$5:$A$44,0))),DefaultHourly)))</f>
        <v>0</v>
      </c>
      <c r="T362" s="26">
        <f>IF(B362="","",ROUND(IF(F362="",0,F362)*S362,2))</f>
        <v>0</v>
      </c>
      <c r="U362" s="26">
        <f>IF(B362="","",ROUND(T362+IF(H362="",0,H362)+IF(J362="",0,J362)+IF(K362="",0,K362),2))</f>
        <v>0</v>
      </c>
      <c r="V362" s="26">
        <f>IF(B362="","",ROUND(U362-IF(L362="",0,L362),2))</f>
        <v>0</v>
      </c>
      <c r="W362" s="26">
        <f>IF(B362="","",ROUND(V362+IF(I362="",0,I362),2))</f>
        <v>0</v>
      </c>
      <c r="X362" s="26">
        <f>IF(B362="","",IF(IFERROR(INDEX(Staff!$E$5:$E$44,MATCH(D362,Staff!$A$5:$A$44,0))&amp;"","")="Self-employed",0,IF(IFERROR(INDEX(Staff!$E$5:$E$44,MATCH(D362,Staff!$A$5:$A$44,0))&amp;"","")="Chair renter",0,ROUND(U362*PayrollBurden,2))))</f>
        <v>0</v>
      </c>
      <c r="Y362" s="26">
        <f>IF(B362="","",ROUND(U362+X362,2))</f>
        <v>0</v>
      </c>
      <c r="Z362" s="26">
        <f>IF(B362="","",ROUND(SUMIFS(Commissions!$X$5:$X$244,Commissions!$C$5:$C$244,D362,Commissions!$B$5:$B$244,Q362),2))</f>
        <v>0</v>
      </c>
      <c r="AA362" s="26">
        <f>IF(B362="","",ROUND(SUMIFS($H$5:$H$364,$D$5:$D$364,D362,$Q$5:$Q$364,Q362),2))</f>
        <v>0</v>
      </c>
      <c r="AB362" s="26">
        <f>IF(B362="","",ROUND(Z362-AA362,2))</f>
        <v>0</v>
      </c>
      <c r="AC362" s="26">
        <f>IF(B362="","",IF(IF(F362="",0,F362)=0,"",ROUND(Y362/F362,2)))</f>
        <v>0</v>
      </c>
      <c r="AD362" s="39">
        <f>IF(B362="","",IF(D362="","Add - who is this run for?",IF(IF(F362="",H362="",FALSE),"Add - no hours and no commission",IF(AB362&lt;-0.004,"Check - more commission paid than earned",IF(M362&lt;&gt;"Yes","Due - not paid yet",IF(N362="","Check - marked paid, no date","OK"))))))</f>
        <v>0</v>
      </c>
    </row>
    <row r="363" spans="1:30">
      <c r="A363" s="28">
        <f>IF(B363="","",PayrollPrefix&amp;TEXT(ROW()-4,"0000"))</f>
        <v>0</v>
      </c>
      <c r="E363" s="15">
        <f>IF(D363="","",IFERROR(INDEX(Staff!$B$5:$B$44,MATCH(D363,Staff!$A$5:$A$44,0)),"Not in Staff"))</f>
        <v>0</v>
      </c>
      <c r="Q363" s="15">
        <f>IF(B363="","",TEXT(B363,"yyyy-mm"))</f>
        <v>0</v>
      </c>
      <c r="R363" s="25">
        <f>IF(B363="","",WEEKNUM(B363,2))</f>
        <v>0</v>
      </c>
      <c r="S363" s="26">
        <f>IF(B363="","",IF(G363&lt;&gt;"",G363,IFERROR(IF(INDEX(Staff!$P$5:$P$44,MATCH(D363,Staff!$A$5:$A$44,0))="",DefaultHourly,INDEX(Staff!$P$5:$P$44,MATCH(D363,Staff!$A$5:$A$44,0))),DefaultHourly)))</f>
        <v>0</v>
      </c>
      <c r="T363" s="26">
        <f>IF(B363="","",ROUND(IF(F363="",0,F363)*S363,2))</f>
        <v>0</v>
      </c>
      <c r="U363" s="26">
        <f>IF(B363="","",ROUND(T363+IF(H363="",0,H363)+IF(J363="",0,J363)+IF(K363="",0,K363),2))</f>
        <v>0</v>
      </c>
      <c r="V363" s="26">
        <f>IF(B363="","",ROUND(U363-IF(L363="",0,L363),2))</f>
        <v>0</v>
      </c>
      <c r="W363" s="26">
        <f>IF(B363="","",ROUND(V363+IF(I363="",0,I363),2))</f>
        <v>0</v>
      </c>
      <c r="X363" s="26">
        <f>IF(B363="","",IF(IFERROR(INDEX(Staff!$E$5:$E$44,MATCH(D363,Staff!$A$5:$A$44,0))&amp;"","")="Self-employed",0,IF(IFERROR(INDEX(Staff!$E$5:$E$44,MATCH(D363,Staff!$A$5:$A$44,0))&amp;"","")="Chair renter",0,ROUND(U363*PayrollBurden,2))))</f>
        <v>0</v>
      </c>
      <c r="Y363" s="26">
        <f>IF(B363="","",ROUND(U363+X363,2))</f>
        <v>0</v>
      </c>
      <c r="Z363" s="26">
        <f>IF(B363="","",ROUND(SUMIFS(Commissions!$X$5:$X$244,Commissions!$C$5:$C$244,D363,Commissions!$B$5:$B$244,Q363),2))</f>
        <v>0</v>
      </c>
      <c r="AA363" s="26">
        <f>IF(B363="","",ROUND(SUMIFS($H$5:$H$364,$D$5:$D$364,D363,$Q$5:$Q$364,Q363),2))</f>
        <v>0</v>
      </c>
      <c r="AB363" s="26">
        <f>IF(B363="","",ROUND(Z363-AA363,2))</f>
        <v>0</v>
      </c>
      <c r="AC363" s="26">
        <f>IF(B363="","",IF(IF(F363="",0,F363)=0,"",ROUND(Y363/F363,2)))</f>
        <v>0</v>
      </c>
      <c r="AD363" s="39">
        <f>IF(B363="","",IF(D363="","Add - who is this run for?",IF(IF(F363="",H363="",FALSE),"Add - no hours and no commission",IF(AB363&lt;-0.004,"Check - more commission paid than earned",IF(M363&lt;&gt;"Yes","Due - not paid yet",IF(N363="","Check - marked paid, no date","OK"))))))</f>
        <v>0</v>
      </c>
    </row>
    <row r="364" spans="1:30">
      <c r="A364" s="28">
        <f>IF(B364="","",PayrollPrefix&amp;TEXT(ROW()-4,"0000"))</f>
        <v>0</v>
      </c>
      <c r="E364" s="15">
        <f>IF(D364="","",IFERROR(INDEX(Staff!$B$5:$B$44,MATCH(D364,Staff!$A$5:$A$44,0)),"Not in Staff"))</f>
        <v>0</v>
      </c>
      <c r="Q364" s="15">
        <f>IF(B364="","",TEXT(B364,"yyyy-mm"))</f>
        <v>0</v>
      </c>
      <c r="R364" s="25">
        <f>IF(B364="","",WEEKNUM(B364,2))</f>
        <v>0</v>
      </c>
      <c r="S364" s="26">
        <f>IF(B364="","",IF(G364&lt;&gt;"",G364,IFERROR(IF(INDEX(Staff!$P$5:$P$44,MATCH(D364,Staff!$A$5:$A$44,0))="",DefaultHourly,INDEX(Staff!$P$5:$P$44,MATCH(D364,Staff!$A$5:$A$44,0))),DefaultHourly)))</f>
        <v>0</v>
      </c>
      <c r="T364" s="26">
        <f>IF(B364="","",ROUND(IF(F364="",0,F364)*S364,2))</f>
        <v>0</v>
      </c>
      <c r="U364" s="26">
        <f>IF(B364="","",ROUND(T364+IF(H364="",0,H364)+IF(J364="",0,J364)+IF(K364="",0,K364),2))</f>
        <v>0</v>
      </c>
      <c r="V364" s="26">
        <f>IF(B364="","",ROUND(U364-IF(L364="",0,L364),2))</f>
        <v>0</v>
      </c>
      <c r="W364" s="26">
        <f>IF(B364="","",ROUND(V364+IF(I364="",0,I364),2))</f>
        <v>0</v>
      </c>
      <c r="X364" s="26">
        <f>IF(B364="","",IF(IFERROR(INDEX(Staff!$E$5:$E$44,MATCH(D364,Staff!$A$5:$A$44,0))&amp;"","")="Self-employed",0,IF(IFERROR(INDEX(Staff!$E$5:$E$44,MATCH(D364,Staff!$A$5:$A$44,0))&amp;"","")="Chair renter",0,ROUND(U364*PayrollBurden,2))))</f>
        <v>0</v>
      </c>
      <c r="Y364" s="26">
        <f>IF(B364="","",ROUND(U364+X364,2))</f>
        <v>0</v>
      </c>
      <c r="Z364" s="26">
        <f>IF(B364="","",ROUND(SUMIFS(Commissions!$X$5:$X$244,Commissions!$C$5:$C$244,D364,Commissions!$B$5:$B$244,Q364),2))</f>
        <v>0</v>
      </c>
      <c r="AA364" s="26">
        <f>IF(B364="","",ROUND(SUMIFS($H$5:$H$364,$D$5:$D$364,D364,$Q$5:$Q$364,Q364),2))</f>
        <v>0</v>
      </c>
      <c r="AB364" s="26">
        <f>IF(B364="","",ROUND(Z364-AA364,2))</f>
        <v>0</v>
      </c>
      <c r="AC364" s="26">
        <f>IF(B364="","",IF(IF(F364="",0,F364)=0,"",ROUND(Y364/F364,2)))</f>
        <v>0</v>
      </c>
      <c r="AD364" s="39">
        <f>IF(B364="","",IF(D364="","Add - who is this run for?",IF(IF(F364="",H364="",FALSE),"Add - no hours and no commission",IF(AB364&lt;-0.004,"Check - more commission paid than earned",IF(M364&lt;&gt;"Yes","Due - not paid yet",IF(N364="","Check - marked paid, no date","OK"))))))</f>
        <v>0</v>
      </c>
    </row>
    <row r="366" spans="1:30" ht="20" customHeight="1">
      <c r="A366" s="7" t="s">
        <v>464</v>
      </c>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spans="1:30" ht="26" customHeight="1">
      <c r="A367" s="10" t="s">
        <v>465</v>
      </c>
      <c r="B367" s="11" t="s">
        <v>449</v>
      </c>
      <c r="C367" s="11" t="s">
        <v>454</v>
      </c>
      <c r="D367" s="11" t="s">
        <v>466</v>
      </c>
      <c r="E367" s="11" t="s">
        <v>441</v>
      </c>
      <c r="F367" s="11" t="s">
        <v>455</v>
      </c>
      <c r="G367" s="11" t="s">
        <v>458</v>
      </c>
      <c r="H367" s="11" t="s">
        <v>459</v>
      </c>
      <c r="I367" s="11" t="s">
        <v>138</v>
      </c>
      <c r="J367" s="11" t="s">
        <v>467</v>
      </c>
    </row>
    <row r="368" spans="1:30">
      <c r="A368" s="25">
        <f>COUNTIF(Payroll!$B$5:$B$364,"&lt;&gt;")</f>
        <v>0</v>
      </c>
      <c r="B368" s="37">
        <f>ROUND(SUM(Payroll!$F$5:$F$364),1)</f>
        <v>0</v>
      </c>
      <c r="C368" s="26">
        <f>ROUND(SUM(Payroll!$T$5:$T$364),2)</f>
        <v>0</v>
      </c>
      <c r="D368" s="26">
        <f>ROUND(SUM(Payroll!$H$5:$H$364),2)</f>
        <v>0</v>
      </c>
      <c r="E368" s="26">
        <f>ROUND(SUM(Payroll!$J$5:$J$364),2)</f>
        <v>0</v>
      </c>
      <c r="F368" s="26">
        <f>ROUND(SUM(Payroll!$U$5:$U$364),2)</f>
        <v>0</v>
      </c>
      <c r="G368" s="26">
        <f>ROUND(SUM(Payroll!$X$5:$X$364),2)</f>
        <v>0</v>
      </c>
      <c r="H368" s="26">
        <f>ROUND(SUM(Payroll!$Y$5:$Y$364),2)</f>
        <v>0</v>
      </c>
      <c r="I368" s="26">
        <f>ROUND(SUM(Payroll!$I$5:$I$364),2)</f>
        <v>0</v>
      </c>
      <c r="J368" s="25">
        <f>COUNTIFS(Payroll!$M$5:$M$364,"&lt;&gt;Yes",Payroll!$B$5:$B$364,"&lt;&gt;")</f>
        <v>0</v>
      </c>
    </row>
  </sheetData>
  <sheetProtection password="EC7C" sheet="1" objects="1" scenarios="1" formatCells="0" formatColumns="0" formatRows="0" insertRows="0" insertHyperlinks="0" deleteRows="0" autoFilter="0"/>
  <autoFilter ref="A4:AD364"/>
  <mergeCells count="14">
    <mergeCell ref="A1:AA1"/>
    <mergeCell ref="AB1:AD1"/>
    <mergeCell ref="A2:AD2"/>
    <mergeCell ref="A3:B3"/>
    <mergeCell ref="C3:D3"/>
    <mergeCell ref="E3:F3"/>
    <mergeCell ref="G3:H3"/>
    <mergeCell ref="I3:J3"/>
    <mergeCell ref="K3:L3"/>
    <mergeCell ref="M3:N3"/>
    <mergeCell ref="O3:P3"/>
    <mergeCell ref="Q3:R3"/>
    <mergeCell ref="S3:AD3"/>
    <mergeCell ref="A366:AD366"/>
  </mergeCells>
  <conditionalFormatting sqref="AB5:AB364">
    <cfRule type="cellIs" dxfId="0" priority="3" operator="greaterThan">
      <formula>0.004</formula>
    </cfRule>
    <cfRule type="cellIs" dxfId="2" priority="4" operator="lessThan">
      <formula>-0.004</formula>
    </cfRule>
  </conditionalFormatting>
  <conditionalFormatting sqref="AD5:AD364">
    <cfRule type="beginsWith" dxfId="1" priority="5" operator="beginsWith" text="OK">
      <formula>LEFT(AD5,2)="OK"</formula>
    </cfRule>
    <cfRule type="containsText" dxfId="2" priority="6" operator="containsText" text="Overdue">
      <formula>NOT(ISERROR(SEARCH("Overdue",AD5)))</formula>
    </cfRule>
    <cfRule type="containsText" dxfId="2" priority="7" operator="containsText" text="Late">
      <formula>NOT(ISERROR(SEARCH("Late",AD5)))</formula>
    </cfRule>
    <cfRule type="containsText" dxfId="2" priority="8" operator="containsText" text="Missing">
      <formula>NOT(ISERROR(SEARCH("Missing",AD5)))</formula>
    </cfRule>
    <cfRule type="containsText" dxfId="2" priority="9" operator="containsText" text="Clash">
      <formula>NOT(ISERROR(SEARCH("Clash",AD5)))</formula>
    </cfRule>
    <cfRule type="containsText" dxfId="2" priority="10" operator="containsText" text="Conflict">
      <formula>NOT(ISERROR(SEARCH("Conflict",AD5)))</formula>
    </cfRule>
    <cfRule type="containsText" dxfId="2" priority="11" operator="containsText" text="Duplicate">
      <formula>NOT(ISERROR(SEARCH("Duplicate",AD5)))</formula>
    </cfRule>
    <cfRule type="containsText" dxfId="2" priority="12" operator="containsText" text="Unpaid">
      <formula>NOT(ISERROR(SEARCH("Unpaid",AD5)))</formula>
    </cfRule>
    <cfRule type="containsText" dxfId="2" priority="13" operator="containsText" text="Loss">
      <formula>NOT(ISERROR(SEARCH("Loss",AD5)))</formula>
    </cfRule>
    <cfRule type="containsText" dxfId="2" priority="14" operator="containsText" text="Below">
      <formula>NOT(ISERROR(SEARCH("Below",AD5)))</formula>
    </cfRule>
    <cfRule type="containsText" dxfId="2" priority="15" operator="containsText" text="Out of stock">
      <formula>NOT(ISERROR(SEARCH("Out of stock",AD5)))</formula>
    </cfRule>
    <cfRule type="containsText" dxfId="2" priority="16" operator="containsText" text="No show">
      <formula>NOT(ISERROR(SEARCH("No show",AD5)))</formula>
    </cfRule>
    <cfRule type="containsText" dxfId="0" priority="17" operator="containsText" text="Action">
      <formula>NOT(ISERROR(SEARCH("Action",AD5)))</formula>
    </cfRule>
    <cfRule type="containsText" dxfId="0" priority="18" operator="containsText" text="Due">
      <formula>NOT(ISERROR(SEARCH("Due",AD5)))</formula>
    </cfRule>
    <cfRule type="containsText" dxfId="0" priority="19" operator="containsText" text="Check">
      <formula>NOT(ISERROR(SEARCH("Check",AD5)))</formula>
    </cfRule>
    <cfRule type="containsText" dxfId="0" priority="20" operator="containsText" text="Chase">
      <formula>NOT(ISERROR(SEARCH("Chase",AD5)))</formula>
    </cfRule>
    <cfRule type="containsText" dxfId="0" priority="21" operator="containsText" text="Assign">
      <formula>NOT(ISERROR(SEARCH("Assign",AD5)))</formula>
    </cfRule>
    <cfRule type="containsText" dxfId="0" priority="22" operator="containsText" text="Confirm">
      <formula>NOT(ISERROR(SEARCH("Confirm",AD5)))</formula>
    </cfRule>
    <cfRule type="containsText" dxfId="0" priority="23" operator="containsText" text="Order">
      <formula>NOT(ISERROR(SEARCH("Order",AD5)))</formula>
    </cfRule>
    <cfRule type="containsText" dxfId="0" priority="24" operator="containsText" text="Rebook">
      <formula>NOT(ISERROR(SEARCH("Rebook",AD5)))</formula>
    </cfRule>
    <cfRule type="containsText" dxfId="0" priority="25" operator="containsText" text="Add">
      <formula>NOT(ISERROR(SEARCH("Add",AD5)))</formula>
    </cfRule>
    <cfRule type="containsText" dxfId="3" priority="26" operator="containsText" text="Today">
      <formula>NOT(ISERROR(SEARCH("Today",AD5)))</formula>
    </cfRule>
    <cfRule type="containsText" dxfId="3" priority="27" operator="containsText" text="Tomorrow">
      <formula>NOT(ISERROR(SEARCH("Tomorrow",AD5)))</formula>
    </cfRule>
    <cfRule type="containsText" dxfId="3" priority="28" operator="containsText" text="Upcoming">
      <formula>NOT(ISERROR(SEARCH("Upcoming",AD5)))</formula>
    </cfRule>
  </conditionalFormatting>
  <conditionalFormatting sqref="U5:U364">
    <cfRule type="dataBar" priority="1">
      <dataBar>
        <cfvo type="min" val="0"/>
        <cfvo type="max" val="0"/>
        <color rgb="FF9A5C86"/>
      </dataBar>
    </cfRule>
  </conditionalFormatting>
  <conditionalFormatting sqref="Y5:Y364">
    <cfRule type="dataBar" priority="2">
      <dataBar>
        <cfvo type="min" val="0"/>
        <cfvo type="max" val="0"/>
        <color rgb="FFC08A5E"/>
      </dataBar>
    </cfRule>
  </conditionalFormatting>
  <dataValidations count="13">
    <dataValidation type="date" allowBlank="1" showInputMessage="1" showErrorMessage="1" errorTitle="Check the date" error="Enter a real date between 2000 and 2100." promptTitle="Period ending" prompt="The last day of the pay period. Everything on this tab is grouped by the month this date falls in." sqref="B5:B364">
      <formula1>36526</formula1>
      <formula2>73415</formula2>
    </dataValidation>
    <dataValidation type="list" allowBlank="1" showInputMessage="1" showErrorMessage="1" promptTitle="Run" prompt="Weekly, fortnightly, monthly, four weekly or one off - label only, so your runs can be whatever shape they really are." sqref="C5:C364">
      <formula1>PayPeriodList</formula1>
    </dataValidation>
    <dataValidation type="list" allowBlank="1" showInputMessage="1" showErrorMessage="1" sqref="D5:D364">
      <formula1>StaffList</formula1>
    </dataValidation>
    <dataValidation type="decimal" allowBlank="1" showInputMessage="1" showErrorMessage="1" errorTitle="Check the value" error="Enter a number between 0 and 400." promptTitle="Hours" prompt="Hours actually worked in this period." sqref="F5:F364">
      <formula1>0</formula1>
      <formula2>400</formula2>
    </dataValidation>
    <dataValidation type="decimal" allowBlank="1" showInputMessage="1" showErrorMessage="1" errorTitle="Check the value" error="Enter a number between 0 and 1000." promptTitle="Hourly rate" prompt="Leave blank to use their rate from the Staff tab, or the salon default if they have none." sqref="G5:G364">
      <formula1>0</formula1>
      <formula2>1000</formula2>
    </dataValidation>
    <dataValidation type="decimal" allowBlank="1" showInputMessage="1" showErrorMessage="1" errorTitle="Check the value" error="Enter a number between -100000 and 100000." promptTitle="Commission paid" prompt="What you are releasing this run. The column beside it shows what the commissions tab calculated for the whole month, so you can see what is left." sqref="H5:H364">
      <formula1>-100000</formula1>
      <formula2>100000</formula2>
    </dataValidation>
    <dataValidation type="decimal" allowBlank="1" showInputMessage="1" showErrorMessage="1" errorTitle="Check the value" error="Enter a number between 0 and 100000." promptTitle="Tips passed on" prompt="Tips handed over with this run. They are the stylist's money passing through, so they are kept out of the salon's wage cost." sqref="I5:I364">
      <formula1>0</formula1>
      <formula2>100000</formula2>
    </dataValidation>
    <dataValidation type="decimal" allowBlank="1" showInputMessage="1" showErrorMessage="1" errorTitle="Check the value" error="Enter a number between 0 and 100000." sqref="J5:J364">
      <formula1>0</formula1>
      <formula2>100000</formula2>
    </dataValidation>
    <dataValidation type="decimal" allowBlank="1" showInputMessage="1" showErrorMessage="1" errorTitle="Check the value" error="Enter a number between 0 and 100000." sqref="K5:K364">
      <formula1>0</formula1>
      <formula2>100000</formula2>
    </dataValidation>
    <dataValidation type="decimal" allowBlank="1" showInputMessage="1" showErrorMessage="1" errorTitle="Check the value" error="Enter a number between 0 and 100000." promptTitle="Deductions" prompt="Anything taken off before it is paid - a product account, a uniform, an advance." sqref="L5:L364">
      <formula1>0</formula1>
      <formula2>100000</formula2>
    </dataValidation>
    <dataValidation type="list" allowBlank="1" showInputMessage="1" showErrorMessage="1" sqref="M5:M364">
      <formula1>"Yes,No"</formula1>
    </dataValidation>
    <dataValidation type="date" allowBlank="1" showInputMessage="1" showErrorMessage="1" errorTitle="Check the date" error="Enter a real date between 2000 and 2100." sqref="N5:N364">
      <formula1>36526</formula1>
      <formula2>73415</formula2>
    </dataValidation>
    <dataValidation type="list" allowBlank="1" showInputMessage="1" showErrorMessage="1" sqref="O5:O364">
      <formula1>PaymentMethodList</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&amp;L&amp;"Calibri,Bold"&amp;12&amp;C&amp;"Calibri,Bold"&amp;11Payroll&amp;R&amp;"Calibri,Italic"&amp;9Salon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9A5C86"/>
    <pageSetUpPr fitToPage="1"/>
  </sheetPr>
  <dimension ref="A1:Y6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29" customWidth="1"/>
    <col min="3" max="3" width="22.7109375" style="34" customWidth="1"/>
    <col min="4" max="4" width="20.7109375" style="34" customWidth="1"/>
    <col min="5" max="5" width="28.7109375" style="34" customWidth="1"/>
    <col min="6" max="6" width="11.7109375" style="33" customWidth="1"/>
    <col min="7" max="7" width="10.7109375" style="33" customWidth="1"/>
    <col min="8" max="8" width="14.7109375" style="34" customWidth="1"/>
    <col min="9" max="9" width="11.7109375" style="41" customWidth="1"/>
    <col min="10" max="10" width="13.7109375" style="34" customWidth="1"/>
    <col min="11" max="11" width="11.7109375" style="29" customWidth="1"/>
    <col min="12" max="12" width="9.7109375" style="41" customWidth="1"/>
    <col min="13" max="13" width="11.7109375" style="29" customWidth="1"/>
    <col min="14" max="14" width="16.7109375" style="34" customWidth="1"/>
    <col min="15" max="15" width="22.7109375" style="35" customWidth="1"/>
    <col min="16" max="16" width="10.7109375" style="15" hidden="1" customWidth="1"/>
    <col min="17" max="17" width="7.7109375" style="25" hidden="1" customWidth="1"/>
    <col min="18" max="18" width="11.7109375" style="26" customWidth="1"/>
    <col min="19" max="19" width="14.7109375" style="26" customWidth="1"/>
    <col min="20" max="20" width="11.7109375" style="38" hidden="1" customWidth="1"/>
    <col min="21" max="21" width="10.7109375" style="25" hidden="1" customWidth="1"/>
    <col min="22" max="22" width="12.7109375" style="39" customWidth="1"/>
    <col min="23" max="23" width="13.7109375" style="26" hidden="1" customWidth="1"/>
    <col min="24" max="24" width="9.7109375" style="25" hidden="1" customWidth="1"/>
    <col min="25" max="25" width="26.7109375" style="39" customWidth="1"/>
  </cols>
  <sheetData>
    <row r="1" spans="1:25" ht="34" customHeight="1">
      <c r="A1" s="2" t="s">
        <v>46</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468</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469</v>
      </c>
      <c r="T3" s="40"/>
      <c r="U3" s="40"/>
      <c r="V3" s="40"/>
      <c r="W3" s="40"/>
      <c r="X3" s="40"/>
      <c r="Y3" s="40"/>
    </row>
    <row r="4" spans="1:25" ht="30" customHeight="1">
      <c r="A4" s="10" t="s">
        <v>211</v>
      </c>
      <c r="B4" s="10" t="s">
        <v>212</v>
      </c>
      <c r="C4" s="11" t="s">
        <v>300</v>
      </c>
      <c r="D4" s="11" t="s">
        <v>470</v>
      </c>
      <c r="E4" s="11" t="s">
        <v>372</v>
      </c>
      <c r="F4" s="11" t="s">
        <v>374</v>
      </c>
      <c r="G4" s="11" t="s">
        <v>352</v>
      </c>
      <c r="H4" s="11" t="s">
        <v>373</v>
      </c>
      <c r="I4" s="11" t="s">
        <v>471</v>
      </c>
      <c r="J4" s="11" t="s">
        <v>472</v>
      </c>
      <c r="K4" s="11" t="s">
        <v>473</v>
      </c>
      <c r="L4" s="11" t="s">
        <v>360</v>
      </c>
      <c r="M4" s="11" t="s">
        <v>428</v>
      </c>
      <c r="N4" s="11" t="s">
        <v>376</v>
      </c>
      <c r="O4" s="11" t="s">
        <v>225</v>
      </c>
      <c r="P4" s="11" t="s">
        <v>121</v>
      </c>
      <c r="Q4" s="11" t="s">
        <v>228</v>
      </c>
      <c r="R4" s="11" t="s">
        <v>474</v>
      </c>
      <c r="S4" s="11" t="s">
        <v>475</v>
      </c>
      <c r="T4" s="11" t="s">
        <v>476</v>
      </c>
      <c r="U4" s="11" t="s">
        <v>477</v>
      </c>
      <c r="V4" s="11" t="s">
        <v>222</v>
      </c>
      <c r="W4" s="11" t="s">
        <v>478</v>
      </c>
      <c r="X4" s="11" t="s">
        <v>479</v>
      </c>
      <c r="Y4" s="11" t="s">
        <v>363</v>
      </c>
    </row>
    <row r="5" spans="1:25">
      <c r="A5" s="28">
        <f>IF(B5="","",ExpensePrefix&amp;TEXT(ROW()-4,"0000"))</f>
        <v>0</v>
      </c>
      <c r="P5" s="15">
        <f>IF(B5="","",TEXT(B5,"yyyy-mm"))</f>
        <v>0</v>
      </c>
      <c r="Q5" s="25">
        <f>IF(B5="","",WEEKNUM(B5,2))</f>
        <v>0</v>
      </c>
      <c r="R5" s="26">
        <f>IF(B5="","",ROUND(IF(F5="",0,F5)+IF(G5="",0,G5),2))</f>
        <v>0</v>
      </c>
      <c r="S5" s="26">
        <f>IF(B5="","",IF(I5&lt;&gt;"Yes",0,ROUND(IF(F5="",0,F5)*IF(J5="Weekly",52/12,IF(J5="Fortnightly",26/12,IF(J5="Four weekly",13/12,IF(J5="Monthly",1,IF(J5="Quarterly",1/3,IF(J5="Twice a year",1/6,IF(J5="Yearly",1/12,0))))))),2)))</f>
        <v>0</v>
      </c>
      <c r="T5" s="38">
        <f>IF(B5="","",IF(I5="Yes","Yes","No"))</f>
        <v>0</v>
      </c>
      <c r="U5" s="25">
        <f>IF(B5="","",IF(L5="Yes","",IF(K5="","",TodayDate-K5)))</f>
        <v>0</v>
      </c>
      <c r="V5" s="39">
        <f>IF(B5="","",IF(L5="Yes","Paid",IF(K5="","Pending",IF(K5&lt;TodayDate,"Overdue",IF(K5&lt;=TodayDate+7,"Due soon","Pending")))))</f>
        <v>0</v>
      </c>
      <c r="W5" s="26">
        <f>IF(B5="","",IFERROR(INDEX(BudgetAmount,MATCH(C5,BudgetCategory,0))*1,0))</f>
        <v>0</v>
      </c>
      <c r="X5" s="25">
        <f>IF(B5="","",COUNTIFS($R$5:$R$604,"&gt;"&amp;R5)+COUNTIFS($R$5:R5,R5))</f>
        <v>0</v>
      </c>
      <c r="Y5" s="39">
        <f>IF(B5="","",IF(F5="","Add - no amount",IF(C5="","Add - no category, it will miss the P&amp;L",IF(V5="Overdue","Overdue - pay it",IF(V5="Due soon","Due - coming up",IF(IF(I5="Yes",J5="",FALSE),"Add - how often does it recur?",IF(L5="Yes","OK","Pending")))))))</f>
        <v>0</v>
      </c>
    </row>
    <row r="6" spans="1:25">
      <c r="A6" s="28">
        <f>IF(B6="","",ExpensePrefix&amp;TEXT(ROW()-4,"0000"))</f>
        <v>0</v>
      </c>
      <c r="P6" s="15">
        <f>IF(B6="","",TEXT(B6,"yyyy-mm"))</f>
        <v>0</v>
      </c>
      <c r="Q6" s="25">
        <f>IF(B6="","",WEEKNUM(B6,2))</f>
        <v>0</v>
      </c>
      <c r="R6" s="26">
        <f>IF(B6="","",ROUND(IF(F6="",0,F6)+IF(G6="",0,G6),2))</f>
        <v>0</v>
      </c>
      <c r="S6" s="26">
        <f>IF(B6="","",IF(I6&lt;&gt;"Yes",0,ROUND(IF(F6="",0,F6)*IF(J6="Weekly",52/12,IF(J6="Fortnightly",26/12,IF(J6="Four weekly",13/12,IF(J6="Monthly",1,IF(J6="Quarterly",1/3,IF(J6="Twice a year",1/6,IF(J6="Yearly",1/12,0))))))),2)))</f>
        <v>0</v>
      </c>
      <c r="T6" s="38">
        <f>IF(B6="","",IF(I6="Yes","Yes","No"))</f>
        <v>0</v>
      </c>
      <c r="U6" s="25">
        <f>IF(B6="","",IF(L6="Yes","",IF(K6="","",TodayDate-K6)))</f>
        <v>0</v>
      </c>
      <c r="V6" s="39">
        <f>IF(B6="","",IF(L6="Yes","Paid",IF(K6="","Pending",IF(K6&lt;TodayDate,"Overdue",IF(K6&lt;=TodayDate+7,"Due soon","Pending")))))</f>
        <v>0</v>
      </c>
      <c r="W6" s="26">
        <f>IF(B6="","",IFERROR(INDEX(BudgetAmount,MATCH(C6,BudgetCategory,0))*1,0))</f>
        <v>0</v>
      </c>
      <c r="X6" s="25">
        <f>IF(B6="","",COUNTIFS($R$5:$R$604,"&gt;"&amp;R6)+COUNTIFS($R$5:R6,R6))</f>
        <v>0</v>
      </c>
      <c r="Y6" s="39">
        <f>IF(B6="","",IF(F6="","Add - no amount",IF(C6="","Add - no category, it will miss the P&amp;L",IF(V6="Overdue","Overdue - pay it",IF(V6="Due soon","Due - coming up",IF(IF(I6="Yes",J6="",FALSE),"Add - how often does it recur?",IF(L6="Yes","OK","Pending")))))))</f>
        <v>0</v>
      </c>
    </row>
    <row r="7" spans="1:25">
      <c r="A7" s="28">
        <f>IF(B7="","",ExpensePrefix&amp;TEXT(ROW()-4,"0000"))</f>
        <v>0</v>
      </c>
      <c r="P7" s="15">
        <f>IF(B7="","",TEXT(B7,"yyyy-mm"))</f>
        <v>0</v>
      </c>
      <c r="Q7" s="25">
        <f>IF(B7="","",WEEKNUM(B7,2))</f>
        <v>0</v>
      </c>
      <c r="R7" s="26">
        <f>IF(B7="","",ROUND(IF(F7="",0,F7)+IF(G7="",0,G7),2))</f>
        <v>0</v>
      </c>
      <c r="S7" s="26">
        <f>IF(B7="","",IF(I7&lt;&gt;"Yes",0,ROUND(IF(F7="",0,F7)*IF(J7="Weekly",52/12,IF(J7="Fortnightly",26/12,IF(J7="Four weekly",13/12,IF(J7="Monthly",1,IF(J7="Quarterly",1/3,IF(J7="Twice a year",1/6,IF(J7="Yearly",1/12,0))))))),2)))</f>
        <v>0</v>
      </c>
      <c r="T7" s="38">
        <f>IF(B7="","",IF(I7="Yes","Yes","No"))</f>
        <v>0</v>
      </c>
      <c r="U7" s="25">
        <f>IF(B7="","",IF(L7="Yes","",IF(K7="","",TodayDate-K7)))</f>
        <v>0</v>
      </c>
      <c r="V7" s="39">
        <f>IF(B7="","",IF(L7="Yes","Paid",IF(K7="","Pending",IF(K7&lt;TodayDate,"Overdue",IF(K7&lt;=TodayDate+7,"Due soon","Pending")))))</f>
        <v>0</v>
      </c>
      <c r="W7" s="26">
        <f>IF(B7="","",IFERROR(INDEX(BudgetAmount,MATCH(C7,BudgetCategory,0))*1,0))</f>
        <v>0</v>
      </c>
      <c r="X7" s="25">
        <f>IF(B7="","",COUNTIFS($R$5:$R$604,"&gt;"&amp;R7)+COUNTIFS($R$5:R7,R7))</f>
        <v>0</v>
      </c>
      <c r="Y7" s="39">
        <f>IF(B7="","",IF(F7="","Add - no amount",IF(C7="","Add - no category, it will miss the P&amp;L",IF(V7="Overdue","Overdue - pay it",IF(V7="Due soon","Due - coming up",IF(IF(I7="Yes",J7="",FALSE),"Add - how often does it recur?",IF(L7="Yes","OK","Pending")))))))</f>
        <v>0</v>
      </c>
    </row>
    <row r="8" spans="1:25">
      <c r="A8" s="28">
        <f>IF(B8="","",ExpensePrefix&amp;TEXT(ROW()-4,"0000"))</f>
        <v>0</v>
      </c>
      <c r="P8" s="15">
        <f>IF(B8="","",TEXT(B8,"yyyy-mm"))</f>
        <v>0</v>
      </c>
      <c r="Q8" s="25">
        <f>IF(B8="","",WEEKNUM(B8,2))</f>
        <v>0</v>
      </c>
      <c r="R8" s="26">
        <f>IF(B8="","",ROUND(IF(F8="",0,F8)+IF(G8="",0,G8),2))</f>
        <v>0</v>
      </c>
      <c r="S8" s="26">
        <f>IF(B8="","",IF(I8&lt;&gt;"Yes",0,ROUND(IF(F8="",0,F8)*IF(J8="Weekly",52/12,IF(J8="Fortnightly",26/12,IF(J8="Four weekly",13/12,IF(J8="Monthly",1,IF(J8="Quarterly",1/3,IF(J8="Twice a year",1/6,IF(J8="Yearly",1/12,0))))))),2)))</f>
        <v>0</v>
      </c>
      <c r="T8" s="38">
        <f>IF(B8="","",IF(I8="Yes","Yes","No"))</f>
        <v>0</v>
      </c>
      <c r="U8" s="25">
        <f>IF(B8="","",IF(L8="Yes","",IF(K8="","",TodayDate-K8)))</f>
        <v>0</v>
      </c>
      <c r="V8" s="39">
        <f>IF(B8="","",IF(L8="Yes","Paid",IF(K8="","Pending",IF(K8&lt;TodayDate,"Overdue",IF(K8&lt;=TodayDate+7,"Due soon","Pending")))))</f>
        <v>0</v>
      </c>
      <c r="W8" s="26">
        <f>IF(B8="","",IFERROR(INDEX(BudgetAmount,MATCH(C8,BudgetCategory,0))*1,0))</f>
        <v>0</v>
      </c>
      <c r="X8" s="25">
        <f>IF(B8="","",COUNTIFS($R$5:$R$604,"&gt;"&amp;R8)+COUNTIFS($R$5:R8,R8))</f>
        <v>0</v>
      </c>
      <c r="Y8" s="39">
        <f>IF(B8="","",IF(F8="","Add - no amount",IF(C8="","Add - no category, it will miss the P&amp;L",IF(V8="Overdue","Overdue - pay it",IF(V8="Due soon","Due - coming up",IF(IF(I8="Yes",J8="",FALSE),"Add - how often does it recur?",IF(L8="Yes","OK","Pending")))))))</f>
        <v>0</v>
      </c>
    </row>
    <row r="9" spans="1:25">
      <c r="A9" s="28">
        <f>IF(B9="","",ExpensePrefix&amp;TEXT(ROW()-4,"0000"))</f>
        <v>0</v>
      </c>
      <c r="P9" s="15">
        <f>IF(B9="","",TEXT(B9,"yyyy-mm"))</f>
        <v>0</v>
      </c>
      <c r="Q9" s="25">
        <f>IF(B9="","",WEEKNUM(B9,2))</f>
        <v>0</v>
      </c>
      <c r="R9" s="26">
        <f>IF(B9="","",ROUND(IF(F9="",0,F9)+IF(G9="",0,G9),2))</f>
        <v>0</v>
      </c>
      <c r="S9" s="26">
        <f>IF(B9="","",IF(I9&lt;&gt;"Yes",0,ROUND(IF(F9="",0,F9)*IF(J9="Weekly",52/12,IF(J9="Fortnightly",26/12,IF(J9="Four weekly",13/12,IF(J9="Monthly",1,IF(J9="Quarterly",1/3,IF(J9="Twice a year",1/6,IF(J9="Yearly",1/12,0))))))),2)))</f>
        <v>0</v>
      </c>
      <c r="T9" s="38">
        <f>IF(B9="","",IF(I9="Yes","Yes","No"))</f>
        <v>0</v>
      </c>
      <c r="U9" s="25">
        <f>IF(B9="","",IF(L9="Yes","",IF(K9="","",TodayDate-K9)))</f>
        <v>0</v>
      </c>
      <c r="V9" s="39">
        <f>IF(B9="","",IF(L9="Yes","Paid",IF(K9="","Pending",IF(K9&lt;TodayDate,"Overdue",IF(K9&lt;=TodayDate+7,"Due soon","Pending")))))</f>
        <v>0</v>
      </c>
      <c r="W9" s="26">
        <f>IF(B9="","",IFERROR(INDEX(BudgetAmount,MATCH(C9,BudgetCategory,0))*1,0))</f>
        <v>0</v>
      </c>
      <c r="X9" s="25">
        <f>IF(B9="","",COUNTIFS($R$5:$R$604,"&gt;"&amp;R9)+COUNTIFS($R$5:R9,R9))</f>
        <v>0</v>
      </c>
      <c r="Y9" s="39">
        <f>IF(B9="","",IF(F9="","Add - no amount",IF(C9="","Add - no category, it will miss the P&amp;L",IF(V9="Overdue","Overdue - pay it",IF(V9="Due soon","Due - coming up",IF(IF(I9="Yes",J9="",FALSE),"Add - how often does it recur?",IF(L9="Yes","OK","Pending")))))))</f>
        <v>0</v>
      </c>
    </row>
    <row r="10" spans="1:25">
      <c r="A10" s="28">
        <f>IF(B10="","",ExpensePrefix&amp;TEXT(ROW()-4,"0000"))</f>
        <v>0</v>
      </c>
      <c r="P10" s="15">
        <f>IF(B10="","",TEXT(B10,"yyyy-mm"))</f>
        <v>0</v>
      </c>
      <c r="Q10" s="25">
        <f>IF(B10="","",WEEKNUM(B10,2))</f>
        <v>0</v>
      </c>
      <c r="R10" s="26">
        <f>IF(B10="","",ROUND(IF(F10="",0,F10)+IF(G10="",0,G10),2))</f>
        <v>0</v>
      </c>
      <c r="S10" s="26">
        <f>IF(B10="","",IF(I10&lt;&gt;"Yes",0,ROUND(IF(F10="",0,F10)*IF(J10="Weekly",52/12,IF(J10="Fortnightly",26/12,IF(J10="Four weekly",13/12,IF(J10="Monthly",1,IF(J10="Quarterly",1/3,IF(J10="Twice a year",1/6,IF(J10="Yearly",1/12,0))))))),2)))</f>
        <v>0</v>
      </c>
      <c r="T10" s="38">
        <f>IF(B10="","",IF(I10="Yes","Yes","No"))</f>
        <v>0</v>
      </c>
      <c r="U10" s="25">
        <f>IF(B10="","",IF(L10="Yes","",IF(K10="","",TodayDate-K10)))</f>
        <v>0</v>
      </c>
      <c r="V10" s="39">
        <f>IF(B10="","",IF(L10="Yes","Paid",IF(K10="","Pending",IF(K10&lt;TodayDate,"Overdue",IF(K10&lt;=TodayDate+7,"Due soon","Pending")))))</f>
        <v>0</v>
      </c>
      <c r="W10" s="26">
        <f>IF(B10="","",IFERROR(INDEX(BudgetAmount,MATCH(C10,BudgetCategory,0))*1,0))</f>
        <v>0</v>
      </c>
      <c r="X10" s="25">
        <f>IF(B10="","",COUNTIFS($R$5:$R$604,"&gt;"&amp;R10)+COUNTIFS($R$5:R10,R10))</f>
        <v>0</v>
      </c>
      <c r="Y10" s="39">
        <f>IF(B10="","",IF(F10="","Add - no amount",IF(C10="","Add - no category, it will miss the P&amp;L",IF(V10="Overdue","Overdue - pay it",IF(V10="Due soon","Due - coming up",IF(IF(I10="Yes",J10="",FALSE),"Add - how often does it recur?",IF(L10="Yes","OK","Pending")))))))</f>
        <v>0</v>
      </c>
    </row>
    <row r="11" spans="1:25">
      <c r="A11" s="28">
        <f>IF(B11="","",ExpensePrefix&amp;TEXT(ROW()-4,"0000"))</f>
        <v>0</v>
      </c>
      <c r="P11" s="15">
        <f>IF(B11="","",TEXT(B11,"yyyy-mm"))</f>
        <v>0</v>
      </c>
      <c r="Q11" s="25">
        <f>IF(B11="","",WEEKNUM(B11,2))</f>
        <v>0</v>
      </c>
      <c r="R11" s="26">
        <f>IF(B11="","",ROUND(IF(F11="",0,F11)+IF(G11="",0,G11),2))</f>
        <v>0</v>
      </c>
      <c r="S11" s="26">
        <f>IF(B11="","",IF(I11&lt;&gt;"Yes",0,ROUND(IF(F11="",0,F11)*IF(J11="Weekly",52/12,IF(J11="Fortnightly",26/12,IF(J11="Four weekly",13/12,IF(J11="Monthly",1,IF(J11="Quarterly",1/3,IF(J11="Twice a year",1/6,IF(J11="Yearly",1/12,0))))))),2)))</f>
        <v>0</v>
      </c>
      <c r="T11" s="38">
        <f>IF(B11="","",IF(I11="Yes","Yes","No"))</f>
        <v>0</v>
      </c>
      <c r="U11" s="25">
        <f>IF(B11="","",IF(L11="Yes","",IF(K11="","",TodayDate-K11)))</f>
        <v>0</v>
      </c>
      <c r="V11" s="39">
        <f>IF(B11="","",IF(L11="Yes","Paid",IF(K11="","Pending",IF(K11&lt;TodayDate,"Overdue",IF(K11&lt;=TodayDate+7,"Due soon","Pending")))))</f>
        <v>0</v>
      </c>
      <c r="W11" s="26">
        <f>IF(B11="","",IFERROR(INDEX(BudgetAmount,MATCH(C11,BudgetCategory,0))*1,0))</f>
        <v>0</v>
      </c>
      <c r="X11" s="25">
        <f>IF(B11="","",COUNTIFS($R$5:$R$604,"&gt;"&amp;R11)+COUNTIFS($R$5:R11,R11))</f>
        <v>0</v>
      </c>
      <c r="Y11" s="39">
        <f>IF(B11="","",IF(F11="","Add - no amount",IF(C11="","Add - no category, it will miss the P&amp;L",IF(V11="Overdue","Overdue - pay it",IF(V11="Due soon","Due - coming up",IF(IF(I11="Yes",J11="",FALSE),"Add - how often does it recur?",IF(L11="Yes","OK","Pending")))))))</f>
        <v>0</v>
      </c>
    </row>
    <row r="12" spans="1:25">
      <c r="A12" s="28">
        <f>IF(B12="","",ExpensePrefix&amp;TEXT(ROW()-4,"0000"))</f>
        <v>0</v>
      </c>
      <c r="P12" s="15">
        <f>IF(B12="","",TEXT(B12,"yyyy-mm"))</f>
        <v>0</v>
      </c>
      <c r="Q12" s="25">
        <f>IF(B12="","",WEEKNUM(B12,2))</f>
        <v>0</v>
      </c>
      <c r="R12" s="26">
        <f>IF(B12="","",ROUND(IF(F12="",0,F12)+IF(G12="",0,G12),2))</f>
        <v>0</v>
      </c>
      <c r="S12" s="26">
        <f>IF(B12="","",IF(I12&lt;&gt;"Yes",0,ROUND(IF(F12="",0,F12)*IF(J12="Weekly",52/12,IF(J12="Fortnightly",26/12,IF(J12="Four weekly",13/12,IF(J12="Monthly",1,IF(J12="Quarterly",1/3,IF(J12="Twice a year",1/6,IF(J12="Yearly",1/12,0))))))),2)))</f>
        <v>0</v>
      </c>
      <c r="T12" s="38">
        <f>IF(B12="","",IF(I12="Yes","Yes","No"))</f>
        <v>0</v>
      </c>
      <c r="U12" s="25">
        <f>IF(B12="","",IF(L12="Yes","",IF(K12="","",TodayDate-K12)))</f>
        <v>0</v>
      </c>
      <c r="V12" s="39">
        <f>IF(B12="","",IF(L12="Yes","Paid",IF(K12="","Pending",IF(K12&lt;TodayDate,"Overdue",IF(K12&lt;=TodayDate+7,"Due soon","Pending")))))</f>
        <v>0</v>
      </c>
      <c r="W12" s="26">
        <f>IF(B12="","",IFERROR(INDEX(BudgetAmount,MATCH(C12,BudgetCategory,0))*1,0))</f>
        <v>0</v>
      </c>
      <c r="X12" s="25">
        <f>IF(B12="","",COUNTIFS($R$5:$R$604,"&gt;"&amp;R12)+COUNTIFS($R$5:R12,R12))</f>
        <v>0</v>
      </c>
      <c r="Y12" s="39">
        <f>IF(B12="","",IF(F12="","Add - no amount",IF(C12="","Add - no category, it will miss the P&amp;L",IF(V12="Overdue","Overdue - pay it",IF(V12="Due soon","Due - coming up",IF(IF(I12="Yes",J12="",FALSE),"Add - how often does it recur?",IF(L12="Yes","OK","Pending")))))))</f>
        <v>0</v>
      </c>
    </row>
    <row r="13" spans="1:25">
      <c r="A13" s="28">
        <f>IF(B13="","",ExpensePrefix&amp;TEXT(ROW()-4,"0000"))</f>
        <v>0</v>
      </c>
      <c r="P13" s="15">
        <f>IF(B13="","",TEXT(B13,"yyyy-mm"))</f>
        <v>0</v>
      </c>
      <c r="Q13" s="25">
        <f>IF(B13="","",WEEKNUM(B13,2))</f>
        <v>0</v>
      </c>
      <c r="R13" s="26">
        <f>IF(B13="","",ROUND(IF(F13="",0,F13)+IF(G13="",0,G13),2))</f>
        <v>0</v>
      </c>
      <c r="S13" s="26">
        <f>IF(B13="","",IF(I13&lt;&gt;"Yes",0,ROUND(IF(F13="",0,F13)*IF(J13="Weekly",52/12,IF(J13="Fortnightly",26/12,IF(J13="Four weekly",13/12,IF(J13="Monthly",1,IF(J13="Quarterly",1/3,IF(J13="Twice a year",1/6,IF(J13="Yearly",1/12,0))))))),2)))</f>
        <v>0</v>
      </c>
      <c r="T13" s="38">
        <f>IF(B13="","",IF(I13="Yes","Yes","No"))</f>
        <v>0</v>
      </c>
      <c r="U13" s="25">
        <f>IF(B13="","",IF(L13="Yes","",IF(K13="","",TodayDate-K13)))</f>
        <v>0</v>
      </c>
      <c r="V13" s="39">
        <f>IF(B13="","",IF(L13="Yes","Paid",IF(K13="","Pending",IF(K13&lt;TodayDate,"Overdue",IF(K13&lt;=TodayDate+7,"Due soon","Pending")))))</f>
        <v>0</v>
      </c>
      <c r="W13" s="26">
        <f>IF(B13="","",IFERROR(INDEX(BudgetAmount,MATCH(C13,BudgetCategory,0))*1,0))</f>
        <v>0</v>
      </c>
      <c r="X13" s="25">
        <f>IF(B13="","",COUNTIFS($R$5:$R$604,"&gt;"&amp;R13)+COUNTIFS($R$5:R13,R13))</f>
        <v>0</v>
      </c>
      <c r="Y13" s="39">
        <f>IF(B13="","",IF(F13="","Add - no amount",IF(C13="","Add - no category, it will miss the P&amp;L",IF(V13="Overdue","Overdue - pay it",IF(V13="Due soon","Due - coming up",IF(IF(I13="Yes",J13="",FALSE),"Add - how often does it recur?",IF(L13="Yes","OK","Pending")))))))</f>
        <v>0</v>
      </c>
    </row>
    <row r="14" spans="1:25">
      <c r="A14" s="28">
        <f>IF(B14="","",ExpensePrefix&amp;TEXT(ROW()-4,"0000"))</f>
        <v>0</v>
      </c>
      <c r="P14" s="15">
        <f>IF(B14="","",TEXT(B14,"yyyy-mm"))</f>
        <v>0</v>
      </c>
      <c r="Q14" s="25">
        <f>IF(B14="","",WEEKNUM(B14,2))</f>
        <v>0</v>
      </c>
      <c r="R14" s="26">
        <f>IF(B14="","",ROUND(IF(F14="",0,F14)+IF(G14="",0,G14),2))</f>
        <v>0</v>
      </c>
      <c r="S14" s="26">
        <f>IF(B14="","",IF(I14&lt;&gt;"Yes",0,ROUND(IF(F14="",0,F14)*IF(J14="Weekly",52/12,IF(J14="Fortnightly",26/12,IF(J14="Four weekly",13/12,IF(J14="Monthly",1,IF(J14="Quarterly",1/3,IF(J14="Twice a year",1/6,IF(J14="Yearly",1/12,0))))))),2)))</f>
        <v>0</v>
      </c>
      <c r="T14" s="38">
        <f>IF(B14="","",IF(I14="Yes","Yes","No"))</f>
        <v>0</v>
      </c>
      <c r="U14" s="25">
        <f>IF(B14="","",IF(L14="Yes","",IF(K14="","",TodayDate-K14)))</f>
        <v>0</v>
      </c>
      <c r="V14" s="39">
        <f>IF(B14="","",IF(L14="Yes","Paid",IF(K14="","Pending",IF(K14&lt;TodayDate,"Overdue",IF(K14&lt;=TodayDate+7,"Due soon","Pending")))))</f>
        <v>0</v>
      </c>
      <c r="W14" s="26">
        <f>IF(B14="","",IFERROR(INDEX(BudgetAmount,MATCH(C14,BudgetCategory,0))*1,0))</f>
        <v>0</v>
      </c>
      <c r="X14" s="25">
        <f>IF(B14="","",COUNTIFS($R$5:$R$604,"&gt;"&amp;R14)+COUNTIFS($R$5:R14,R14))</f>
        <v>0</v>
      </c>
      <c r="Y14" s="39">
        <f>IF(B14="","",IF(F14="","Add - no amount",IF(C14="","Add - no category, it will miss the P&amp;L",IF(V14="Overdue","Overdue - pay it",IF(V14="Due soon","Due - coming up",IF(IF(I14="Yes",J14="",FALSE),"Add - how often does it recur?",IF(L14="Yes","OK","Pending")))))))</f>
        <v>0</v>
      </c>
    </row>
    <row r="15" spans="1:25">
      <c r="A15" s="28">
        <f>IF(B15="","",ExpensePrefix&amp;TEXT(ROW()-4,"0000"))</f>
        <v>0</v>
      </c>
      <c r="P15" s="15">
        <f>IF(B15="","",TEXT(B15,"yyyy-mm"))</f>
        <v>0</v>
      </c>
      <c r="Q15" s="25">
        <f>IF(B15="","",WEEKNUM(B15,2))</f>
        <v>0</v>
      </c>
      <c r="R15" s="26">
        <f>IF(B15="","",ROUND(IF(F15="",0,F15)+IF(G15="",0,G15),2))</f>
        <v>0</v>
      </c>
      <c r="S15" s="26">
        <f>IF(B15="","",IF(I15&lt;&gt;"Yes",0,ROUND(IF(F15="",0,F15)*IF(J15="Weekly",52/12,IF(J15="Fortnightly",26/12,IF(J15="Four weekly",13/12,IF(J15="Monthly",1,IF(J15="Quarterly",1/3,IF(J15="Twice a year",1/6,IF(J15="Yearly",1/12,0))))))),2)))</f>
        <v>0</v>
      </c>
      <c r="T15" s="38">
        <f>IF(B15="","",IF(I15="Yes","Yes","No"))</f>
        <v>0</v>
      </c>
      <c r="U15" s="25">
        <f>IF(B15="","",IF(L15="Yes","",IF(K15="","",TodayDate-K15)))</f>
        <v>0</v>
      </c>
      <c r="V15" s="39">
        <f>IF(B15="","",IF(L15="Yes","Paid",IF(K15="","Pending",IF(K15&lt;TodayDate,"Overdue",IF(K15&lt;=TodayDate+7,"Due soon","Pending")))))</f>
        <v>0</v>
      </c>
      <c r="W15" s="26">
        <f>IF(B15="","",IFERROR(INDEX(BudgetAmount,MATCH(C15,BudgetCategory,0))*1,0))</f>
        <v>0</v>
      </c>
      <c r="X15" s="25">
        <f>IF(B15="","",COUNTIFS($R$5:$R$604,"&gt;"&amp;R15)+COUNTIFS($R$5:R15,R15))</f>
        <v>0</v>
      </c>
      <c r="Y15" s="39">
        <f>IF(B15="","",IF(F15="","Add - no amount",IF(C15="","Add - no category, it will miss the P&amp;L",IF(V15="Overdue","Overdue - pay it",IF(V15="Due soon","Due - coming up",IF(IF(I15="Yes",J15="",FALSE),"Add - how often does it recur?",IF(L15="Yes","OK","Pending")))))))</f>
        <v>0</v>
      </c>
    </row>
    <row r="16" spans="1:25">
      <c r="A16" s="28">
        <f>IF(B16="","",ExpensePrefix&amp;TEXT(ROW()-4,"0000"))</f>
        <v>0</v>
      </c>
      <c r="P16" s="15">
        <f>IF(B16="","",TEXT(B16,"yyyy-mm"))</f>
        <v>0</v>
      </c>
      <c r="Q16" s="25">
        <f>IF(B16="","",WEEKNUM(B16,2))</f>
        <v>0</v>
      </c>
      <c r="R16" s="26">
        <f>IF(B16="","",ROUND(IF(F16="",0,F16)+IF(G16="",0,G16),2))</f>
        <v>0</v>
      </c>
      <c r="S16" s="26">
        <f>IF(B16="","",IF(I16&lt;&gt;"Yes",0,ROUND(IF(F16="",0,F16)*IF(J16="Weekly",52/12,IF(J16="Fortnightly",26/12,IF(J16="Four weekly",13/12,IF(J16="Monthly",1,IF(J16="Quarterly",1/3,IF(J16="Twice a year",1/6,IF(J16="Yearly",1/12,0))))))),2)))</f>
        <v>0</v>
      </c>
      <c r="T16" s="38">
        <f>IF(B16="","",IF(I16="Yes","Yes","No"))</f>
        <v>0</v>
      </c>
      <c r="U16" s="25">
        <f>IF(B16="","",IF(L16="Yes","",IF(K16="","",TodayDate-K16)))</f>
        <v>0</v>
      </c>
      <c r="V16" s="39">
        <f>IF(B16="","",IF(L16="Yes","Paid",IF(K16="","Pending",IF(K16&lt;TodayDate,"Overdue",IF(K16&lt;=TodayDate+7,"Due soon","Pending")))))</f>
        <v>0</v>
      </c>
      <c r="W16" s="26">
        <f>IF(B16="","",IFERROR(INDEX(BudgetAmount,MATCH(C16,BudgetCategory,0))*1,0))</f>
        <v>0</v>
      </c>
      <c r="X16" s="25">
        <f>IF(B16="","",COUNTIFS($R$5:$R$604,"&gt;"&amp;R16)+COUNTIFS($R$5:R16,R16))</f>
        <v>0</v>
      </c>
      <c r="Y16" s="39">
        <f>IF(B16="","",IF(F16="","Add - no amount",IF(C16="","Add - no category, it will miss the P&amp;L",IF(V16="Overdue","Overdue - pay it",IF(V16="Due soon","Due - coming up",IF(IF(I16="Yes",J16="",FALSE),"Add - how often does it recur?",IF(L16="Yes","OK","Pending")))))))</f>
        <v>0</v>
      </c>
    </row>
    <row r="17" spans="1:25">
      <c r="A17" s="28">
        <f>IF(B17="","",ExpensePrefix&amp;TEXT(ROW()-4,"0000"))</f>
        <v>0</v>
      </c>
      <c r="P17" s="15">
        <f>IF(B17="","",TEXT(B17,"yyyy-mm"))</f>
        <v>0</v>
      </c>
      <c r="Q17" s="25">
        <f>IF(B17="","",WEEKNUM(B17,2))</f>
        <v>0</v>
      </c>
      <c r="R17" s="26">
        <f>IF(B17="","",ROUND(IF(F17="",0,F17)+IF(G17="",0,G17),2))</f>
        <v>0</v>
      </c>
      <c r="S17" s="26">
        <f>IF(B17="","",IF(I17&lt;&gt;"Yes",0,ROUND(IF(F17="",0,F17)*IF(J17="Weekly",52/12,IF(J17="Fortnightly",26/12,IF(J17="Four weekly",13/12,IF(J17="Monthly",1,IF(J17="Quarterly",1/3,IF(J17="Twice a year",1/6,IF(J17="Yearly",1/12,0))))))),2)))</f>
        <v>0</v>
      </c>
      <c r="T17" s="38">
        <f>IF(B17="","",IF(I17="Yes","Yes","No"))</f>
        <v>0</v>
      </c>
      <c r="U17" s="25">
        <f>IF(B17="","",IF(L17="Yes","",IF(K17="","",TodayDate-K17)))</f>
        <v>0</v>
      </c>
      <c r="V17" s="39">
        <f>IF(B17="","",IF(L17="Yes","Paid",IF(K17="","Pending",IF(K17&lt;TodayDate,"Overdue",IF(K17&lt;=TodayDate+7,"Due soon","Pending")))))</f>
        <v>0</v>
      </c>
      <c r="W17" s="26">
        <f>IF(B17="","",IFERROR(INDEX(BudgetAmount,MATCH(C17,BudgetCategory,0))*1,0))</f>
        <v>0</v>
      </c>
      <c r="X17" s="25">
        <f>IF(B17="","",COUNTIFS($R$5:$R$604,"&gt;"&amp;R17)+COUNTIFS($R$5:R17,R17))</f>
        <v>0</v>
      </c>
      <c r="Y17" s="39">
        <f>IF(B17="","",IF(F17="","Add - no amount",IF(C17="","Add - no category, it will miss the P&amp;L",IF(V17="Overdue","Overdue - pay it",IF(V17="Due soon","Due - coming up",IF(IF(I17="Yes",J17="",FALSE),"Add - how often does it recur?",IF(L17="Yes","OK","Pending")))))))</f>
        <v>0</v>
      </c>
    </row>
    <row r="18" spans="1:25">
      <c r="A18" s="28">
        <f>IF(B18="","",ExpensePrefix&amp;TEXT(ROW()-4,"0000"))</f>
        <v>0</v>
      </c>
      <c r="P18" s="15">
        <f>IF(B18="","",TEXT(B18,"yyyy-mm"))</f>
        <v>0</v>
      </c>
      <c r="Q18" s="25">
        <f>IF(B18="","",WEEKNUM(B18,2))</f>
        <v>0</v>
      </c>
      <c r="R18" s="26">
        <f>IF(B18="","",ROUND(IF(F18="",0,F18)+IF(G18="",0,G18),2))</f>
        <v>0</v>
      </c>
      <c r="S18" s="26">
        <f>IF(B18="","",IF(I18&lt;&gt;"Yes",0,ROUND(IF(F18="",0,F18)*IF(J18="Weekly",52/12,IF(J18="Fortnightly",26/12,IF(J18="Four weekly",13/12,IF(J18="Monthly",1,IF(J18="Quarterly",1/3,IF(J18="Twice a year",1/6,IF(J18="Yearly",1/12,0))))))),2)))</f>
        <v>0</v>
      </c>
      <c r="T18" s="38">
        <f>IF(B18="","",IF(I18="Yes","Yes","No"))</f>
        <v>0</v>
      </c>
      <c r="U18" s="25">
        <f>IF(B18="","",IF(L18="Yes","",IF(K18="","",TodayDate-K18)))</f>
        <v>0</v>
      </c>
      <c r="V18" s="39">
        <f>IF(B18="","",IF(L18="Yes","Paid",IF(K18="","Pending",IF(K18&lt;TodayDate,"Overdue",IF(K18&lt;=TodayDate+7,"Due soon","Pending")))))</f>
        <v>0</v>
      </c>
      <c r="W18" s="26">
        <f>IF(B18="","",IFERROR(INDEX(BudgetAmount,MATCH(C18,BudgetCategory,0))*1,0))</f>
        <v>0</v>
      </c>
      <c r="X18" s="25">
        <f>IF(B18="","",COUNTIFS($R$5:$R$604,"&gt;"&amp;R18)+COUNTIFS($R$5:R18,R18))</f>
        <v>0</v>
      </c>
      <c r="Y18" s="39">
        <f>IF(B18="","",IF(F18="","Add - no amount",IF(C18="","Add - no category, it will miss the P&amp;L",IF(V18="Overdue","Overdue - pay it",IF(V18="Due soon","Due - coming up",IF(IF(I18="Yes",J18="",FALSE),"Add - how often does it recur?",IF(L18="Yes","OK","Pending")))))))</f>
        <v>0</v>
      </c>
    </row>
    <row r="19" spans="1:25">
      <c r="A19" s="28">
        <f>IF(B19="","",ExpensePrefix&amp;TEXT(ROW()-4,"0000"))</f>
        <v>0</v>
      </c>
      <c r="P19" s="15">
        <f>IF(B19="","",TEXT(B19,"yyyy-mm"))</f>
        <v>0</v>
      </c>
      <c r="Q19" s="25">
        <f>IF(B19="","",WEEKNUM(B19,2))</f>
        <v>0</v>
      </c>
      <c r="R19" s="26">
        <f>IF(B19="","",ROUND(IF(F19="",0,F19)+IF(G19="",0,G19),2))</f>
        <v>0</v>
      </c>
      <c r="S19" s="26">
        <f>IF(B19="","",IF(I19&lt;&gt;"Yes",0,ROUND(IF(F19="",0,F19)*IF(J19="Weekly",52/12,IF(J19="Fortnightly",26/12,IF(J19="Four weekly",13/12,IF(J19="Monthly",1,IF(J19="Quarterly",1/3,IF(J19="Twice a year",1/6,IF(J19="Yearly",1/12,0))))))),2)))</f>
        <v>0</v>
      </c>
      <c r="T19" s="38">
        <f>IF(B19="","",IF(I19="Yes","Yes","No"))</f>
        <v>0</v>
      </c>
      <c r="U19" s="25">
        <f>IF(B19="","",IF(L19="Yes","",IF(K19="","",TodayDate-K19)))</f>
        <v>0</v>
      </c>
      <c r="V19" s="39">
        <f>IF(B19="","",IF(L19="Yes","Paid",IF(K19="","Pending",IF(K19&lt;TodayDate,"Overdue",IF(K19&lt;=TodayDate+7,"Due soon","Pending")))))</f>
        <v>0</v>
      </c>
      <c r="W19" s="26">
        <f>IF(B19="","",IFERROR(INDEX(BudgetAmount,MATCH(C19,BudgetCategory,0))*1,0))</f>
        <v>0</v>
      </c>
      <c r="X19" s="25">
        <f>IF(B19="","",COUNTIFS($R$5:$R$604,"&gt;"&amp;R19)+COUNTIFS($R$5:R19,R19))</f>
        <v>0</v>
      </c>
      <c r="Y19" s="39">
        <f>IF(B19="","",IF(F19="","Add - no amount",IF(C19="","Add - no category, it will miss the P&amp;L",IF(V19="Overdue","Overdue - pay it",IF(V19="Due soon","Due - coming up",IF(IF(I19="Yes",J19="",FALSE),"Add - how often does it recur?",IF(L19="Yes","OK","Pending")))))))</f>
        <v>0</v>
      </c>
    </row>
    <row r="20" spans="1:25">
      <c r="A20" s="28">
        <f>IF(B20="","",ExpensePrefix&amp;TEXT(ROW()-4,"0000"))</f>
        <v>0</v>
      </c>
      <c r="P20" s="15">
        <f>IF(B20="","",TEXT(B20,"yyyy-mm"))</f>
        <v>0</v>
      </c>
      <c r="Q20" s="25">
        <f>IF(B20="","",WEEKNUM(B20,2))</f>
        <v>0</v>
      </c>
      <c r="R20" s="26">
        <f>IF(B20="","",ROUND(IF(F20="",0,F20)+IF(G20="",0,G20),2))</f>
        <v>0</v>
      </c>
      <c r="S20" s="26">
        <f>IF(B20="","",IF(I20&lt;&gt;"Yes",0,ROUND(IF(F20="",0,F20)*IF(J20="Weekly",52/12,IF(J20="Fortnightly",26/12,IF(J20="Four weekly",13/12,IF(J20="Monthly",1,IF(J20="Quarterly",1/3,IF(J20="Twice a year",1/6,IF(J20="Yearly",1/12,0))))))),2)))</f>
        <v>0</v>
      </c>
      <c r="T20" s="38">
        <f>IF(B20="","",IF(I20="Yes","Yes","No"))</f>
        <v>0</v>
      </c>
      <c r="U20" s="25">
        <f>IF(B20="","",IF(L20="Yes","",IF(K20="","",TodayDate-K20)))</f>
        <v>0</v>
      </c>
      <c r="V20" s="39">
        <f>IF(B20="","",IF(L20="Yes","Paid",IF(K20="","Pending",IF(K20&lt;TodayDate,"Overdue",IF(K20&lt;=TodayDate+7,"Due soon","Pending")))))</f>
        <v>0</v>
      </c>
      <c r="W20" s="26">
        <f>IF(B20="","",IFERROR(INDEX(BudgetAmount,MATCH(C20,BudgetCategory,0))*1,0))</f>
        <v>0</v>
      </c>
      <c r="X20" s="25">
        <f>IF(B20="","",COUNTIFS($R$5:$R$604,"&gt;"&amp;R20)+COUNTIFS($R$5:R20,R20))</f>
        <v>0</v>
      </c>
      <c r="Y20" s="39">
        <f>IF(B20="","",IF(F20="","Add - no amount",IF(C20="","Add - no category, it will miss the P&amp;L",IF(V20="Overdue","Overdue - pay it",IF(V20="Due soon","Due - coming up",IF(IF(I20="Yes",J20="",FALSE),"Add - how often does it recur?",IF(L20="Yes","OK","Pending")))))))</f>
        <v>0</v>
      </c>
    </row>
    <row r="21" spans="1:25">
      <c r="A21" s="28">
        <f>IF(B21="","",ExpensePrefix&amp;TEXT(ROW()-4,"0000"))</f>
        <v>0</v>
      </c>
      <c r="P21" s="15">
        <f>IF(B21="","",TEXT(B21,"yyyy-mm"))</f>
        <v>0</v>
      </c>
      <c r="Q21" s="25">
        <f>IF(B21="","",WEEKNUM(B21,2))</f>
        <v>0</v>
      </c>
      <c r="R21" s="26">
        <f>IF(B21="","",ROUND(IF(F21="",0,F21)+IF(G21="",0,G21),2))</f>
        <v>0</v>
      </c>
      <c r="S21" s="26">
        <f>IF(B21="","",IF(I21&lt;&gt;"Yes",0,ROUND(IF(F21="",0,F21)*IF(J21="Weekly",52/12,IF(J21="Fortnightly",26/12,IF(J21="Four weekly",13/12,IF(J21="Monthly",1,IF(J21="Quarterly",1/3,IF(J21="Twice a year",1/6,IF(J21="Yearly",1/12,0))))))),2)))</f>
        <v>0</v>
      </c>
      <c r="T21" s="38">
        <f>IF(B21="","",IF(I21="Yes","Yes","No"))</f>
        <v>0</v>
      </c>
      <c r="U21" s="25">
        <f>IF(B21="","",IF(L21="Yes","",IF(K21="","",TodayDate-K21)))</f>
        <v>0</v>
      </c>
      <c r="V21" s="39">
        <f>IF(B21="","",IF(L21="Yes","Paid",IF(K21="","Pending",IF(K21&lt;TodayDate,"Overdue",IF(K21&lt;=TodayDate+7,"Due soon","Pending")))))</f>
        <v>0</v>
      </c>
      <c r="W21" s="26">
        <f>IF(B21="","",IFERROR(INDEX(BudgetAmount,MATCH(C21,BudgetCategory,0))*1,0))</f>
        <v>0</v>
      </c>
      <c r="X21" s="25">
        <f>IF(B21="","",COUNTIFS($R$5:$R$604,"&gt;"&amp;R21)+COUNTIFS($R$5:R21,R21))</f>
        <v>0</v>
      </c>
      <c r="Y21" s="39">
        <f>IF(B21="","",IF(F21="","Add - no amount",IF(C21="","Add - no category, it will miss the P&amp;L",IF(V21="Overdue","Overdue - pay it",IF(V21="Due soon","Due - coming up",IF(IF(I21="Yes",J21="",FALSE),"Add - how often does it recur?",IF(L21="Yes","OK","Pending")))))))</f>
        <v>0</v>
      </c>
    </row>
    <row r="22" spans="1:25">
      <c r="A22" s="28">
        <f>IF(B22="","",ExpensePrefix&amp;TEXT(ROW()-4,"0000"))</f>
        <v>0</v>
      </c>
      <c r="P22" s="15">
        <f>IF(B22="","",TEXT(B22,"yyyy-mm"))</f>
        <v>0</v>
      </c>
      <c r="Q22" s="25">
        <f>IF(B22="","",WEEKNUM(B22,2))</f>
        <v>0</v>
      </c>
      <c r="R22" s="26">
        <f>IF(B22="","",ROUND(IF(F22="",0,F22)+IF(G22="",0,G22),2))</f>
        <v>0</v>
      </c>
      <c r="S22" s="26">
        <f>IF(B22="","",IF(I22&lt;&gt;"Yes",0,ROUND(IF(F22="",0,F22)*IF(J22="Weekly",52/12,IF(J22="Fortnightly",26/12,IF(J22="Four weekly",13/12,IF(J22="Monthly",1,IF(J22="Quarterly",1/3,IF(J22="Twice a year",1/6,IF(J22="Yearly",1/12,0))))))),2)))</f>
        <v>0</v>
      </c>
      <c r="T22" s="38">
        <f>IF(B22="","",IF(I22="Yes","Yes","No"))</f>
        <v>0</v>
      </c>
      <c r="U22" s="25">
        <f>IF(B22="","",IF(L22="Yes","",IF(K22="","",TodayDate-K22)))</f>
        <v>0</v>
      </c>
      <c r="V22" s="39">
        <f>IF(B22="","",IF(L22="Yes","Paid",IF(K22="","Pending",IF(K22&lt;TodayDate,"Overdue",IF(K22&lt;=TodayDate+7,"Due soon","Pending")))))</f>
        <v>0</v>
      </c>
      <c r="W22" s="26">
        <f>IF(B22="","",IFERROR(INDEX(BudgetAmount,MATCH(C22,BudgetCategory,0))*1,0))</f>
        <v>0</v>
      </c>
      <c r="X22" s="25">
        <f>IF(B22="","",COUNTIFS($R$5:$R$604,"&gt;"&amp;R22)+COUNTIFS($R$5:R22,R22))</f>
        <v>0</v>
      </c>
      <c r="Y22" s="39">
        <f>IF(B22="","",IF(F22="","Add - no amount",IF(C22="","Add - no category, it will miss the P&amp;L",IF(V22="Overdue","Overdue - pay it",IF(V22="Due soon","Due - coming up",IF(IF(I22="Yes",J22="",FALSE),"Add - how often does it recur?",IF(L22="Yes","OK","Pending")))))))</f>
        <v>0</v>
      </c>
    </row>
    <row r="23" spans="1:25">
      <c r="A23" s="28">
        <f>IF(B23="","",ExpensePrefix&amp;TEXT(ROW()-4,"0000"))</f>
        <v>0</v>
      </c>
      <c r="P23" s="15">
        <f>IF(B23="","",TEXT(B23,"yyyy-mm"))</f>
        <v>0</v>
      </c>
      <c r="Q23" s="25">
        <f>IF(B23="","",WEEKNUM(B23,2))</f>
        <v>0</v>
      </c>
      <c r="R23" s="26">
        <f>IF(B23="","",ROUND(IF(F23="",0,F23)+IF(G23="",0,G23),2))</f>
        <v>0</v>
      </c>
      <c r="S23" s="26">
        <f>IF(B23="","",IF(I23&lt;&gt;"Yes",0,ROUND(IF(F23="",0,F23)*IF(J23="Weekly",52/12,IF(J23="Fortnightly",26/12,IF(J23="Four weekly",13/12,IF(J23="Monthly",1,IF(J23="Quarterly",1/3,IF(J23="Twice a year",1/6,IF(J23="Yearly",1/12,0))))))),2)))</f>
        <v>0</v>
      </c>
      <c r="T23" s="38">
        <f>IF(B23="","",IF(I23="Yes","Yes","No"))</f>
        <v>0</v>
      </c>
      <c r="U23" s="25">
        <f>IF(B23="","",IF(L23="Yes","",IF(K23="","",TodayDate-K23)))</f>
        <v>0</v>
      </c>
      <c r="V23" s="39">
        <f>IF(B23="","",IF(L23="Yes","Paid",IF(K23="","Pending",IF(K23&lt;TodayDate,"Overdue",IF(K23&lt;=TodayDate+7,"Due soon","Pending")))))</f>
        <v>0</v>
      </c>
      <c r="W23" s="26">
        <f>IF(B23="","",IFERROR(INDEX(BudgetAmount,MATCH(C23,BudgetCategory,0))*1,0))</f>
        <v>0</v>
      </c>
      <c r="X23" s="25">
        <f>IF(B23="","",COUNTIFS($R$5:$R$604,"&gt;"&amp;R23)+COUNTIFS($R$5:R23,R23))</f>
        <v>0</v>
      </c>
      <c r="Y23" s="39">
        <f>IF(B23="","",IF(F23="","Add - no amount",IF(C23="","Add - no category, it will miss the P&amp;L",IF(V23="Overdue","Overdue - pay it",IF(V23="Due soon","Due - coming up",IF(IF(I23="Yes",J23="",FALSE),"Add - how often does it recur?",IF(L23="Yes","OK","Pending")))))))</f>
        <v>0</v>
      </c>
    </row>
    <row r="24" spans="1:25">
      <c r="A24" s="28">
        <f>IF(B24="","",ExpensePrefix&amp;TEXT(ROW()-4,"0000"))</f>
        <v>0</v>
      </c>
      <c r="P24" s="15">
        <f>IF(B24="","",TEXT(B24,"yyyy-mm"))</f>
        <v>0</v>
      </c>
      <c r="Q24" s="25">
        <f>IF(B24="","",WEEKNUM(B24,2))</f>
        <v>0</v>
      </c>
      <c r="R24" s="26">
        <f>IF(B24="","",ROUND(IF(F24="",0,F24)+IF(G24="",0,G24),2))</f>
        <v>0</v>
      </c>
      <c r="S24" s="26">
        <f>IF(B24="","",IF(I24&lt;&gt;"Yes",0,ROUND(IF(F24="",0,F24)*IF(J24="Weekly",52/12,IF(J24="Fortnightly",26/12,IF(J24="Four weekly",13/12,IF(J24="Monthly",1,IF(J24="Quarterly",1/3,IF(J24="Twice a year",1/6,IF(J24="Yearly",1/12,0))))))),2)))</f>
        <v>0</v>
      </c>
      <c r="T24" s="38">
        <f>IF(B24="","",IF(I24="Yes","Yes","No"))</f>
        <v>0</v>
      </c>
      <c r="U24" s="25">
        <f>IF(B24="","",IF(L24="Yes","",IF(K24="","",TodayDate-K24)))</f>
        <v>0</v>
      </c>
      <c r="V24" s="39">
        <f>IF(B24="","",IF(L24="Yes","Paid",IF(K24="","Pending",IF(K24&lt;TodayDate,"Overdue",IF(K24&lt;=TodayDate+7,"Due soon","Pending")))))</f>
        <v>0</v>
      </c>
      <c r="W24" s="26">
        <f>IF(B24="","",IFERROR(INDEX(BudgetAmount,MATCH(C24,BudgetCategory,0))*1,0))</f>
        <v>0</v>
      </c>
      <c r="X24" s="25">
        <f>IF(B24="","",COUNTIFS($R$5:$R$604,"&gt;"&amp;R24)+COUNTIFS($R$5:R24,R24))</f>
        <v>0</v>
      </c>
      <c r="Y24" s="39">
        <f>IF(B24="","",IF(F24="","Add - no amount",IF(C24="","Add - no category, it will miss the P&amp;L",IF(V24="Overdue","Overdue - pay it",IF(V24="Due soon","Due - coming up",IF(IF(I24="Yes",J24="",FALSE),"Add - how often does it recur?",IF(L24="Yes","OK","Pending")))))))</f>
        <v>0</v>
      </c>
    </row>
    <row r="25" spans="1:25">
      <c r="A25" s="28">
        <f>IF(B25="","",ExpensePrefix&amp;TEXT(ROW()-4,"0000"))</f>
        <v>0</v>
      </c>
      <c r="P25" s="15">
        <f>IF(B25="","",TEXT(B25,"yyyy-mm"))</f>
        <v>0</v>
      </c>
      <c r="Q25" s="25">
        <f>IF(B25="","",WEEKNUM(B25,2))</f>
        <v>0</v>
      </c>
      <c r="R25" s="26">
        <f>IF(B25="","",ROUND(IF(F25="",0,F25)+IF(G25="",0,G25),2))</f>
        <v>0</v>
      </c>
      <c r="S25" s="26">
        <f>IF(B25="","",IF(I25&lt;&gt;"Yes",0,ROUND(IF(F25="",0,F25)*IF(J25="Weekly",52/12,IF(J25="Fortnightly",26/12,IF(J25="Four weekly",13/12,IF(J25="Monthly",1,IF(J25="Quarterly",1/3,IF(J25="Twice a year",1/6,IF(J25="Yearly",1/12,0))))))),2)))</f>
        <v>0</v>
      </c>
      <c r="T25" s="38">
        <f>IF(B25="","",IF(I25="Yes","Yes","No"))</f>
        <v>0</v>
      </c>
      <c r="U25" s="25">
        <f>IF(B25="","",IF(L25="Yes","",IF(K25="","",TodayDate-K25)))</f>
        <v>0</v>
      </c>
      <c r="V25" s="39">
        <f>IF(B25="","",IF(L25="Yes","Paid",IF(K25="","Pending",IF(K25&lt;TodayDate,"Overdue",IF(K25&lt;=TodayDate+7,"Due soon","Pending")))))</f>
        <v>0</v>
      </c>
      <c r="W25" s="26">
        <f>IF(B25="","",IFERROR(INDEX(BudgetAmount,MATCH(C25,BudgetCategory,0))*1,0))</f>
        <v>0</v>
      </c>
      <c r="X25" s="25">
        <f>IF(B25="","",COUNTIFS($R$5:$R$604,"&gt;"&amp;R25)+COUNTIFS($R$5:R25,R25))</f>
        <v>0</v>
      </c>
      <c r="Y25" s="39">
        <f>IF(B25="","",IF(F25="","Add - no amount",IF(C25="","Add - no category, it will miss the P&amp;L",IF(V25="Overdue","Overdue - pay it",IF(V25="Due soon","Due - coming up",IF(IF(I25="Yes",J25="",FALSE),"Add - how often does it recur?",IF(L25="Yes","OK","Pending")))))))</f>
        <v>0</v>
      </c>
    </row>
    <row r="26" spans="1:25">
      <c r="A26" s="28">
        <f>IF(B26="","",ExpensePrefix&amp;TEXT(ROW()-4,"0000"))</f>
        <v>0</v>
      </c>
      <c r="P26" s="15">
        <f>IF(B26="","",TEXT(B26,"yyyy-mm"))</f>
        <v>0</v>
      </c>
      <c r="Q26" s="25">
        <f>IF(B26="","",WEEKNUM(B26,2))</f>
        <v>0</v>
      </c>
      <c r="R26" s="26">
        <f>IF(B26="","",ROUND(IF(F26="",0,F26)+IF(G26="",0,G26),2))</f>
        <v>0</v>
      </c>
      <c r="S26" s="26">
        <f>IF(B26="","",IF(I26&lt;&gt;"Yes",0,ROUND(IF(F26="",0,F26)*IF(J26="Weekly",52/12,IF(J26="Fortnightly",26/12,IF(J26="Four weekly",13/12,IF(J26="Monthly",1,IF(J26="Quarterly",1/3,IF(J26="Twice a year",1/6,IF(J26="Yearly",1/12,0))))))),2)))</f>
        <v>0</v>
      </c>
      <c r="T26" s="38">
        <f>IF(B26="","",IF(I26="Yes","Yes","No"))</f>
        <v>0</v>
      </c>
      <c r="U26" s="25">
        <f>IF(B26="","",IF(L26="Yes","",IF(K26="","",TodayDate-K26)))</f>
        <v>0</v>
      </c>
      <c r="V26" s="39">
        <f>IF(B26="","",IF(L26="Yes","Paid",IF(K26="","Pending",IF(K26&lt;TodayDate,"Overdue",IF(K26&lt;=TodayDate+7,"Due soon","Pending")))))</f>
        <v>0</v>
      </c>
      <c r="W26" s="26">
        <f>IF(B26="","",IFERROR(INDEX(BudgetAmount,MATCH(C26,BudgetCategory,0))*1,0))</f>
        <v>0</v>
      </c>
      <c r="X26" s="25">
        <f>IF(B26="","",COUNTIFS($R$5:$R$604,"&gt;"&amp;R26)+COUNTIFS($R$5:R26,R26))</f>
        <v>0</v>
      </c>
      <c r="Y26" s="39">
        <f>IF(B26="","",IF(F26="","Add - no amount",IF(C26="","Add - no category, it will miss the P&amp;L",IF(V26="Overdue","Overdue - pay it",IF(V26="Due soon","Due - coming up",IF(IF(I26="Yes",J26="",FALSE),"Add - how often does it recur?",IF(L26="Yes","OK","Pending")))))))</f>
        <v>0</v>
      </c>
    </row>
    <row r="27" spans="1:25">
      <c r="A27" s="28">
        <f>IF(B27="","",ExpensePrefix&amp;TEXT(ROW()-4,"0000"))</f>
        <v>0</v>
      </c>
      <c r="P27" s="15">
        <f>IF(B27="","",TEXT(B27,"yyyy-mm"))</f>
        <v>0</v>
      </c>
      <c r="Q27" s="25">
        <f>IF(B27="","",WEEKNUM(B27,2))</f>
        <v>0</v>
      </c>
      <c r="R27" s="26">
        <f>IF(B27="","",ROUND(IF(F27="",0,F27)+IF(G27="",0,G27),2))</f>
        <v>0</v>
      </c>
      <c r="S27" s="26">
        <f>IF(B27="","",IF(I27&lt;&gt;"Yes",0,ROUND(IF(F27="",0,F27)*IF(J27="Weekly",52/12,IF(J27="Fortnightly",26/12,IF(J27="Four weekly",13/12,IF(J27="Monthly",1,IF(J27="Quarterly",1/3,IF(J27="Twice a year",1/6,IF(J27="Yearly",1/12,0))))))),2)))</f>
        <v>0</v>
      </c>
      <c r="T27" s="38">
        <f>IF(B27="","",IF(I27="Yes","Yes","No"))</f>
        <v>0</v>
      </c>
      <c r="U27" s="25">
        <f>IF(B27="","",IF(L27="Yes","",IF(K27="","",TodayDate-K27)))</f>
        <v>0</v>
      </c>
      <c r="V27" s="39">
        <f>IF(B27="","",IF(L27="Yes","Paid",IF(K27="","Pending",IF(K27&lt;TodayDate,"Overdue",IF(K27&lt;=TodayDate+7,"Due soon","Pending")))))</f>
        <v>0</v>
      </c>
      <c r="W27" s="26">
        <f>IF(B27="","",IFERROR(INDEX(BudgetAmount,MATCH(C27,BudgetCategory,0))*1,0))</f>
        <v>0</v>
      </c>
      <c r="X27" s="25">
        <f>IF(B27="","",COUNTIFS($R$5:$R$604,"&gt;"&amp;R27)+COUNTIFS($R$5:R27,R27))</f>
        <v>0</v>
      </c>
      <c r="Y27" s="39">
        <f>IF(B27="","",IF(F27="","Add - no amount",IF(C27="","Add - no category, it will miss the P&amp;L",IF(V27="Overdue","Overdue - pay it",IF(V27="Due soon","Due - coming up",IF(IF(I27="Yes",J27="",FALSE),"Add - how often does it recur?",IF(L27="Yes","OK","Pending")))))))</f>
        <v>0</v>
      </c>
    </row>
    <row r="28" spans="1:25">
      <c r="A28" s="28">
        <f>IF(B28="","",ExpensePrefix&amp;TEXT(ROW()-4,"0000"))</f>
        <v>0</v>
      </c>
      <c r="P28" s="15">
        <f>IF(B28="","",TEXT(B28,"yyyy-mm"))</f>
        <v>0</v>
      </c>
      <c r="Q28" s="25">
        <f>IF(B28="","",WEEKNUM(B28,2))</f>
        <v>0</v>
      </c>
      <c r="R28" s="26">
        <f>IF(B28="","",ROUND(IF(F28="",0,F28)+IF(G28="",0,G28),2))</f>
        <v>0</v>
      </c>
      <c r="S28" s="26">
        <f>IF(B28="","",IF(I28&lt;&gt;"Yes",0,ROUND(IF(F28="",0,F28)*IF(J28="Weekly",52/12,IF(J28="Fortnightly",26/12,IF(J28="Four weekly",13/12,IF(J28="Monthly",1,IF(J28="Quarterly",1/3,IF(J28="Twice a year",1/6,IF(J28="Yearly",1/12,0))))))),2)))</f>
        <v>0</v>
      </c>
      <c r="T28" s="38">
        <f>IF(B28="","",IF(I28="Yes","Yes","No"))</f>
        <v>0</v>
      </c>
      <c r="U28" s="25">
        <f>IF(B28="","",IF(L28="Yes","",IF(K28="","",TodayDate-K28)))</f>
        <v>0</v>
      </c>
      <c r="V28" s="39">
        <f>IF(B28="","",IF(L28="Yes","Paid",IF(K28="","Pending",IF(K28&lt;TodayDate,"Overdue",IF(K28&lt;=TodayDate+7,"Due soon","Pending")))))</f>
        <v>0</v>
      </c>
      <c r="W28" s="26">
        <f>IF(B28="","",IFERROR(INDEX(BudgetAmount,MATCH(C28,BudgetCategory,0))*1,0))</f>
        <v>0</v>
      </c>
      <c r="X28" s="25">
        <f>IF(B28="","",COUNTIFS($R$5:$R$604,"&gt;"&amp;R28)+COUNTIFS($R$5:R28,R28))</f>
        <v>0</v>
      </c>
      <c r="Y28" s="39">
        <f>IF(B28="","",IF(F28="","Add - no amount",IF(C28="","Add - no category, it will miss the P&amp;L",IF(V28="Overdue","Overdue - pay it",IF(V28="Due soon","Due - coming up",IF(IF(I28="Yes",J28="",FALSE),"Add - how often does it recur?",IF(L28="Yes","OK","Pending")))))))</f>
        <v>0</v>
      </c>
    </row>
    <row r="29" spans="1:25">
      <c r="A29" s="28">
        <f>IF(B29="","",ExpensePrefix&amp;TEXT(ROW()-4,"0000"))</f>
        <v>0</v>
      </c>
      <c r="P29" s="15">
        <f>IF(B29="","",TEXT(B29,"yyyy-mm"))</f>
        <v>0</v>
      </c>
      <c r="Q29" s="25">
        <f>IF(B29="","",WEEKNUM(B29,2))</f>
        <v>0</v>
      </c>
      <c r="R29" s="26">
        <f>IF(B29="","",ROUND(IF(F29="",0,F29)+IF(G29="",0,G29),2))</f>
        <v>0</v>
      </c>
      <c r="S29" s="26">
        <f>IF(B29="","",IF(I29&lt;&gt;"Yes",0,ROUND(IF(F29="",0,F29)*IF(J29="Weekly",52/12,IF(J29="Fortnightly",26/12,IF(J29="Four weekly",13/12,IF(J29="Monthly",1,IF(J29="Quarterly",1/3,IF(J29="Twice a year",1/6,IF(J29="Yearly",1/12,0))))))),2)))</f>
        <v>0</v>
      </c>
      <c r="T29" s="38">
        <f>IF(B29="","",IF(I29="Yes","Yes","No"))</f>
        <v>0</v>
      </c>
      <c r="U29" s="25">
        <f>IF(B29="","",IF(L29="Yes","",IF(K29="","",TodayDate-K29)))</f>
        <v>0</v>
      </c>
      <c r="V29" s="39">
        <f>IF(B29="","",IF(L29="Yes","Paid",IF(K29="","Pending",IF(K29&lt;TodayDate,"Overdue",IF(K29&lt;=TodayDate+7,"Due soon","Pending")))))</f>
        <v>0</v>
      </c>
      <c r="W29" s="26">
        <f>IF(B29="","",IFERROR(INDEX(BudgetAmount,MATCH(C29,BudgetCategory,0))*1,0))</f>
        <v>0</v>
      </c>
      <c r="X29" s="25">
        <f>IF(B29="","",COUNTIFS($R$5:$R$604,"&gt;"&amp;R29)+COUNTIFS($R$5:R29,R29))</f>
        <v>0</v>
      </c>
      <c r="Y29" s="39">
        <f>IF(B29="","",IF(F29="","Add - no amount",IF(C29="","Add - no category, it will miss the P&amp;L",IF(V29="Overdue","Overdue - pay it",IF(V29="Due soon","Due - coming up",IF(IF(I29="Yes",J29="",FALSE),"Add - how often does it recur?",IF(L29="Yes","OK","Pending")))))))</f>
        <v>0</v>
      </c>
    </row>
    <row r="30" spans="1:25">
      <c r="A30" s="28">
        <f>IF(B30="","",ExpensePrefix&amp;TEXT(ROW()-4,"0000"))</f>
        <v>0</v>
      </c>
      <c r="P30" s="15">
        <f>IF(B30="","",TEXT(B30,"yyyy-mm"))</f>
        <v>0</v>
      </c>
      <c r="Q30" s="25">
        <f>IF(B30="","",WEEKNUM(B30,2))</f>
        <v>0</v>
      </c>
      <c r="R30" s="26">
        <f>IF(B30="","",ROUND(IF(F30="",0,F30)+IF(G30="",0,G30),2))</f>
        <v>0</v>
      </c>
      <c r="S30" s="26">
        <f>IF(B30="","",IF(I30&lt;&gt;"Yes",0,ROUND(IF(F30="",0,F30)*IF(J30="Weekly",52/12,IF(J30="Fortnightly",26/12,IF(J30="Four weekly",13/12,IF(J30="Monthly",1,IF(J30="Quarterly",1/3,IF(J30="Twice a year",1/6,IF(J30="Yearly",1/12,0))))))),2)))</f>
        <v>0</v>
      </c>
      <c r="T30" s="38">
        <f>IF(B30="","",IF(I30="Yes","Yes","No"))</f>
        <v>0</v>
      </c>
      <c r="U30" s="25">
        <f>IF(B30="","",IF(L30="Yes","",IF(K30="","",TodayDate-K30)))</f>
        <v>0</v>
      </c>
      <c r="V30" s="39">
        <f>IF(B30="","",IF(L30="Yes","Paid",IF(K30="","Pending",IF(K30&lt;TodayDate,"Overdue",IF(K30&lt;=TodayDate+7,"Due soon","Pending")))))</f>
        <v>0</v>
      </c>
      <c r="W30" s="26">
        <f>IF(B30="","",IFERROR(INDEX(BudgetAmount,MATCH(C30,BudgetCategory,0))*1,0))</f>
        <v>0</v>
      </c>
      <c r="X30" s="25">
        <f>IF(B30="","",COUNTIFS($R$5:$R$604,"&gt;"&amp;R30)+COUNTIFS($R$5:R30,R30))</f>
        <v>0</v>
      </c>
      <c r="Y30" s="39">
        <f>IF(B30="","",IF(F30="","Add - no amount",IF(C30="","Add - no category, it will miss the P&amp;L",IF(V30="Overdue","Overdue - pay it",IF(V30="Due soon","Due - coming up",IF(IF(I30="Yes",J30="",FALSE),"Add - how often does it recur?",IF(L30="Yes","OK","Pending")))))))</f>
        <v>0</v>
      </c>
    </row>
    <row r="31" spans="1:25">
      <c r="A31" s="28">
        <f>IF(B31="","",ExpensePrefix&amp;TEXT(ROW()-4,"0000"))</f>
        <v>0</v>
      </c>
      <c r="P31" s="15">
        <f>IF(B31="","",TEXT(B31,"yyyy-mm"))</f>
        <v>0</v>
      </c>
      <c r="Q31" s="25">
        <f>IF(B31="","",WEEKNUM(B31,2))</f>
        <v>0</v>
      </c>
      <c r="R31" s="26">
        <f>IF(B31="","",ROUND(IF(F31="",0,F31)+IF(G31="",0,G31),2))</f>
        <v>0</v>
      </c>
      <c r="S31" s="26">
        <f>IF(B31="","",IF(I31&lt;&gt;"Yes",0,ROUND(IF(F31="",0,F31)*IF(J31="Weekly",52/12,IF(J31="Fortnightly",26/12,IF(J31="Four weekly",13/12,IF(J31="Monthly",1,IF(J31="Quarterly",1/3,IF(J31="Twice a year",1/6,IF(J31="Yearly",1/12,0))))))),2)))</f>
        <v>0</v>
      </c>
      <c r="T31" s="38">
        <f>IF(B31="","",IF(I31="Yes","Yes","No"))</f>
        <v>0</v>
      </c>
      <c r="U31" s="25">
        <f>IF(B31="","",IF(L31="Yes","",IF(K31="","",TodayDate-K31)))</f>
        <v>0</v>
      </c>
      <c r="V31" s="39">
        <f>IF(B31="","",IF(L31="Yes","Paid",IF(K31="","Pending",IF(K31&lt;TodayDate,"Overdue",IF(K31&lt;=TodayDate+7,"Due soon","Pending")))))</f>
        <v>0</v>
      </c>
      <c r="W31" s="26">
        <f>IF(B31="","",IFERROR(INDEX(BudgetAmount,MATCH(C31,BudgetCategory,0))*1,0))</f>
        <v>0</v>
      </c>
      <c r="X31" s="25">
        <f>IF(B31="","",COUNTIFS($R$5:$R$604,"&gt;"&amp;R31)+COUNTIFS($R$5:R31,R31))</f>
        <v>0</v>
      </c>
      <c r="Y31" s="39">
        <f>IF(B31="","",IF(F31="","Add - no amount",IF(C31="","Add - no category, it will miss the P&amp;L",IF(V31="Overdue","Overdue - pay it",IF(V31="Due soon","Due - coming up",IF(IF(I31="Yes",J31="",FALSE),"Add - how often does it recur?",IF(L31="Yes","OK","Pending")))))))</f>
        <v>0</v>
      </c>
    </row>
    <row r="32" spans="1:25">
      <c r="A32" s="28">
        <f>IF(B32="","",ExpensePrefix&amp;TEXT(ROW()-4,"0000"))</f>
        <v>0</v>
      </c>
      <c r="P32" s="15">
        <f>IF(B32="","",TEXT(B32,"yyyy-mm"))</f>
        <v>0</v>
      </c>
      <c r="Q32" s="25">
        <f>IF(B32="","",WEEKNUM(B32,2))</f>
        <v>0</v>
      </c>
      <c r="R32" s="26">
        <f>IF(B32="","",ROUND(IF(F32="",0,F32)+IF(G32="",0,G32),2))</f>
        <v>0</v>
      </c>
      <c r="S32" s="26">
        <f>IF(B32="","",IF(I32&lt;&gt;"Yes",0,ROUND(IF(F32="",0,F32)*IF(J32="Weekly",52/12,IF(J32="Fortnightly",26/12,IF(J32="Four weekly",13/12,IF(J32="Monthly",1,IF(J32="Quarterly",1/3,IF(J32="Twice a year",1/6,IF(J32="Yearly",1/12,0))))))),2)))</f>
        <v>0</v>
      </c>
      <c r="T32" s="38">
        <f>IF(B32="","",IF(I32="Yes","Yes","No"))</f>
        <v>0</v>
      </c>
      <c r="U32" s="25">
        <f>IF(B32="","",IF(L32="Yes","",IF(K32="","",TodayDate-K32)))</f>
        <v>0</v>
      </c>
      <c r="V32" s="39">
        <f>IF(B32="","",IF(L32="Yes","Paid",IF(K32="","Pending",IF(K32&lt;TodayDate,"Overdue",IF(K32&lt;=TodayDate+7,"Due soon","Pending")))))</f>
        <v>0</v>
      </c>
      <c r="W32" s="26">
        <f>IF(B32="","",IFERROR(INDEX(BudgetAmount,MATCH(C32,BudgetCategory,0))*1,0))</f>
        <v>0</v>
      </c>
      <c r="X32" s="25">
        <f>IF(B32="","",COUNTIFS($R$5:$R$604,"&gt;"&amp;R32)+COUNTIFS($R$5:R32,R32))</f>
        <v>0</v>
      </c>
      <c r="Y32" s="39">
        <f>IF(B32="","",IF(F32="","Add - no amount",IF(C32="","Add - no category, it will miss the P&amp;L",IF(V32="Overdue","Overdue - pay it",IF(V32="Due soon","Due - coming up",IF(IF(I32="Yes",J32="",FALSE),"Add - how often does it recur?",IF(L32="Yes","OK","Pending")))))))</f>
        <v>0</v>
      </c>
    </row>
    <row r="33" spans="1:25">
      <c r="A33" s="28">
        <f>IF(B33="","",ExpensePrefix&amp;TEXT(ROW()-4,"0000"))</f>
        <v>0</v>
      </c>
      <c r="P33" s="15">
        <f>IF(B33="","",TEXT(B33,"yyyy-mm"))</f>
        <v>0</v>
      </c>
      <c r="Q33" s="25">
        <f>IF(B33="","",WEEKNUM(B33,2))</f>
        <v>0</v>
      </c>
      <c r="R33" s="26">
        <f>IF(B33="","",ROUND(IF(F33="",0,F33)+IF(G33="",0,G33),2))</f>
        <v>0</v>
      </c>
      <c r="S33" s="26">
        <f>IF(B33="","",IF(I33&lt;&gt;"Yes",0,ROUND(IF(F33="",0,F33)*IF(J33="Weekly",52/12,IF(J33="Fortnightly",26/12,IF(J33="Four weekly",13/12,IF(J33="Monthly",1,IF(J33="Quarterly",1/3,IF(J33="Twice a year",1/6,IF(J33="Yearly",1/12,0))))))),2)))</f>
        <v>0</v>
      </c>
      <c r="T33" s="38">
        <f>IF(B33="","",IF(I33="Yes","Yes","No"))</f>
        <v>0</v>
      </c>
      <c r="U33" s="25">
        <f>IF(B33="","",IF(L33="Yes","",IF(K33="","",TodayDate-K33)))</f>
        <v>0</v>
      </c>
      <c r="V33" s="39">
        <f>IF(B33="","",IF(L33="Yes","Paid",IF(K33="","Pending",IF(K33&lt;TodayDate,"Overdue",IF(K33&lt;=TodayDate+7,"Due soon","Pending")))))</f>
        <v>0</v>
      </c>
      <c r="W33" s="26">
        <f>IF(B33="","",IFERROR(INDEX(BudgetAmount,MATCH(C33,BudgetCategory,0))*1,0))</f>
        <v>0</v>
      </c>
      <c r="X33" s="25">
        <f>IF(B33="","",COUNTIFS($R$5:$R$604,"&gt;"&amp;R33)+COUNTIFS($R$5:R33,R33))</f>
        <v>0</v>
      </c>
      <c r="Y33" s="39">
        <f>IF(B33="","",IF(F33="","Add - no amount",IF(C33="","Add - no category, it will miss the P&amp;L",IF(V33="Overdue","Overdue - pay it",IF(V33="Due soon","Due - coming up",IF(IF(I33="Yes",J33="",FALSE),"Add - how often does it recur?",IF(L33="Yes","OK","Pending")))))))</f>
        <v>0</v>
      </c>
    </row>
    <row r="34" spans="1:25">
      <c r="A34" s="28">
        <f>IF(B34="","",ExpensePrefix&amp;TEXT(ROW()-4,"0000"))</f>
        <v>0</v>
      </c>
      <c r="P34" s="15">
        <f>IF(B34="","",TEXT(B34,"yyyy-mm"))</f>
        <v>0</v>
      </c>
      <c r="Q34" s="25">
        <f>IF(B34="","",WEEKNUM(B34,2))</f>
        <v>0</v>
      </c>
      <c r="R34" s="26">
        <f>IF(B34="","",ROUND(IF(F34="",0,F34)+IF(G34="",0,G34),2))</f>
        <v>0</v>
      </c>
      <c r="S34" s="26">
        <f>IF(B34="","",IF(I34&lt;&gt;"Yes",0,ROUND(IF(F34="",0,F34)*IF(J34="Weekly",52/12,IF(J34="Fortnightly",26/12,IF(J34="Four weekly",13/12,IF(J34="Monthly",1,IF(J34="Quarterly",1/3,IF(J34="Twice a year",1/6,IF(J34="Yearly",1/12,0))))))),2)))</f>
        <v>0</v>
      </c>
      <c r="T34" s="38">
        <f>IF(B34="","",IF(I34="Yes","Yes","No"))</f>
        <v>0</v>
      </c>
      <c r="U34" s="25">
        <f>IF(B34="","",IF(L34="Yes","",IF(K34="","",TodayDate-K34)))</f>
        <v>0</v>
      </c>
      <c r="V34" s="39">
        <f>IF(B34="","",IF(L34="Yes","Paid",IF(K34="","Pending",IF(K34&lt;TodayDate,"Overdue",IF(K34&lt;=TodayDate+7,"Due soon","Pending")))))</f>
        <v>0</v>
      </c>
      <c r="W34" s="26">
        <f>IF(B34="","",IFERROR(INDEX(BudgetAmount,MATCH(C34,BudgetCategory,0))*1,0))</f>
        <v>0</v>
      </c>
      <c r="X34" s="25">
        <f>IF(B34="","",COUNTIFS($R$5:$R$604,"&gt;"&amp;R34)+COUNTIFS($R$5:R34,R34))</f>
        <v>0</v>
      </c>
      <c r="Y34" s="39">
        <f>IF(B34="","",IF(F34="","Add - no amount",IF(C34="","Add - no category, it will miss the P&amp;L",IF(V34="Overdue","Overdue - pay it",IF(V34="Due soon","Due - coming up",IF(IF(I34="Yes",J34="",FALSE),"Add - how often does it recur?",IF(L34="Yes","OK","Pending")))))))</f>
        <v>0</v>
      </c>
    </row>
    <row r="35" spans="1:25">
      <c r="A35" s="28">
        <f>IF(B35="","",ExpensePrefix&amp;TEXT(ROW()-4,"0000"))</f>
        <v>0</v>
      </c>
      <c r="P35" s="15">
        <f>IF(B35="","",TEXT(B35,"yyyy-mm"))</f>
        <v>0</v>
      </c>
      <c r="Q35" s="25">
        <f>IF(B35="","",WEEKNUM(B35,2))</f>
        <v>0</v>
      </c>
      <c r="R35" s="26">
        <f>IF(B35="","",ROUND(IF(F35="",0,F35)+IF(G35="",0,G35),2))</f>
        <v>0</v>
      </c>
      <c r="S35" s="26">
        <f>IF(B35="","",IF(I35&lt;&gt;"Yes",0,ROUND(IF(F35="",0,F35)*IF(J35="Weekly",52/12,IF(J35="Fortnightly",26/12,IF(J35="Four weekly",13/12,IF(J35="Monthly",1,IF(J35="Quarterly",1/3,IF(J35="Twice a year",1/6,IF(J35="Yearly",1/12,0))))))),2)))</f>
        <v>0</v>
      </c>
      <c r="T35" s="38">
        <f>IF(B35="","",IF(I35="Yes","Yes","No"))</f>
        <v>0</v>
      </c>
      <c r="U35" s="25">
        <f>IF(B35="","",IF(L35="Yes","",IF(K35="","",TodayDate-K35)))</f>
        <v>0</v>
      </c>
      <c r="V35" s="39">
        <f>IF(B35="","",IF(L35="Yes","Paid",IF(K35="","Pending",IF(K35&lt;TodayDate,"Overdue",IF(K35&lt;=TodayDate+7,"Due soon","Pending")))))</f>
        <v>0</v>
      </c>
      <c r="W35" s="26">
        <f>IF(B35="","",IFERROR(INDEX(BudgetAmount,MATCH(C35,BudgetCategory,0))*1,0))</f>
        <v>0</v>
      </c>
      <c r="X35" s="25">
        <f>IF(B35="","",COUNTIFS($R$5:$R$604,"&gt;"&amp;R35)+COUNTIFS($R$5:R35,R35))</f>
        <v>0</v>
      </c>
      <c r="Y35" s="39">
        <f>IF(B35="","",IF(F35="","Add - no amount",IF(C35="","Add - no category, it will miss the P&amp;L",IF(V35="Overdue","Overdue - pay it",IF(V35="Due soon","Due - coming up",IF(IF(I35="Yes",J35="",FALSE),"Add - how often does it recur?",IF(L35="Yes","OK","Pending")))))))</f>
        <v>0</v>
      </c>
    </row>
    <row r="36" spans="1:25">
      <c r="A36" s="28">
        <f>IF(B36="","",ExpensePrefix&amp;TEXT(ROW()-4,"0000"))</f>
        <v>0</v>
      </c>
      <c r="P36" s="15">
        <f>IF(B36="","",TEXT(B36,"yyyy-mm"))</f>
        <v>0</v>
      </c>
      <c r="Q36" s="25">
        <f>IF(B36="","",WEEKNUM(B36,2))</f>
        <v>0</v>
      </c>
      <c r="R36" s="26">
        <f>IF(B36="","",ROUND(IF(F36="",0,F36)+IF(G36="",0,G36),2))</f>
        <v>0</v>
      </c>
      <c r="S36" s="26">
        <f>IF(B36="","",IF(I36&lt;&gt;"Yes",0,ROUND(IF(F36="",0,F36)*IF(J36="Weekly",52/12,IF(J36="Fortnightly",26/12,IF(J36="Four weekly",13/12,IF(J36="Monthly",1,IF(J36="Quarterly",1/3,IF(J36="Twice a year",1/6,IF(J36="Yearly",1/12,0))))))),2)))</f>
        <v>0</v>
      </c>
      <c r="T36" s="38">
        <f>IF(B36="","",IF(I36="Yes","Yes","No"))</f>
        <v>0</v>
      </c>
      <c r="U36" s="25">
        <f>IF(B36="","",IF(L36="Yes","",IF(K36="","",TodayDate-K36)))</f>
        <v>0</v>
      </c>
      <c r="V36" s="39">
        <f>IF(B36="","",IF(L36="Yes","Paid",IF(K36="","Pending",IF(K36&lt;TodayDate,"Overdue",IF(K36&lt;=TodayDate+7,"Due soon","Pending")))))</f>
        <v>0</v>
      </c>
      <c r="W36" s="26">
        <f>IF(B36="","",IFERROR(INDEX(BudgetAmount,MATCH(C36,BudgetCategory,0))*1,0))</f>
        <v>0</v>
      </c>
      <c r="X36" s="25">
        <f>IF(B36="","",COUNTIFS($R$5:$R$604,"&gt;"&amp;R36)+COUNTIFS($R$5:R36,R36))</f>
        <v>0</v>
      </c>
      <c r="Y36" s="39">
        <f>IF(B36="","",IF(F36="","Add - no amount",IF(C36="","Add - no category, it will miss the P&amp;L",IF(V36="Overdue","Overdue - pay it",IF(V36="Due soon","Due - coming up",IF(IF(I36="Yes",J36="",FALSE),"Add - how often does it recur?",IF(L36="Yes","OK","Pending")))))))</f>
        <v>0</v>
      </c>
    </row>
    <row r="37" spans="1:25">
      <c r="A37" s="28">
        <f>IF(B37="","",ExpensePrefix&amp;TEXT(ROW()-4,"0000"))</f>
        <v>0</v>
      </c>
      <c r="P37" s="15">
        <f>IF(B37="","",TEXT(B37,"yyyy-mm"))</f>
        <v>0</v>
      </c>
      <c r="Q37" s="25">
        <f>IF(B37="","",WEEKNUM(B37,2))</f>
        <v>0</v>
      </c>
      <c r="R37" s="26">
        <f>IF(B37="","",ROUND(IF(F37="",0,F37)+IF(G37="",0,G37),2))</f>
        <v>0</v>
      </c>
      <c r="S37" s="26">
        <f>IF(B37="","",IF(I37&lt;&gt;"Yes",0,ROUND(IF(F37="",0,F37)*IF(J37="Weekly",52/12,IF(J37="Fortnightly",26/12,IF(J37="Four weekly",13/12,IF(J37="Monthly",1,IF(J37="Quarterly",1/3,IF(J37="Twice a year",1/6,IF(J37="Yearly",1/12,0))))))),2)))</f>
        <v>0</v>
      </c>
      <c r="T37" s="38">
        <f>IF(B37="","",IF(I37="Yes","Yes","No"))</f>
        <v>0</v>
      </c>
      <c r="U37" s="25">
        <f>IF(B37="","",IF(L37="Yes","",IF(K37="","",TodayDate-K37)))</f>
        <v>0</v>
      </c>
      <c r="V37" s="39">
        <f>IF(B37="","",IF(L37="Yes","Paid",IF(K37="","Pending",IF(K37&lt;TodayDate,"Overdue",IF(K37&lt;=TodayDate+7,"Due soon","Pending")))))</f>
        <v>0</v>
      </c>
      <c r="W37" s="26">
        <f>IF(B37="","",IFERROR(INDEX(BudgetAmount,MATCH(C37,BudgetCategory,0))*1,0))</f>
        <v>0</v>
      </c>
      <c r="X37" s="25">
        <f>IF(B37="","",COUNTIFS($R$5:$R$604,"&gt;"&amp;R37)+COUNTIFS($R$5:R37,R37))</f>
        <v>0</v>
      </c>
      <c r="Y37" s="39">
        <f>IF(B37="","",IF(F37="","Add - no amount",IF(C37="","Add - no category, it will miss the P&amp;L",IF(V37="Overdue","Overdue - pay it",IF(V37="Due soon","Due - coming up",IF(IF(I37="Yes",J37="",FALSE),"Add - how often does it recur?",IF(L37="Yes","OK","Pending")))))))</f>
        <v>0</v>
      </c>
    </row>
    <row r="38" spans="1:25">
      <c r="A38" s="28">
        <f>IF(B38="","",ExpensePrefix&amp;TEXT(ROW()-4,"0000"))</f>
        <v>0</v>
      </c>
      <c r="P38" s="15">
        <f>IF(B38="","",TEXT(B38,"yyyy-mm"))</f>
        <v>0</v>
      </c>
      <c r="Q38" s="25">
        <f>IF(B38="","",WEEKNUM(B38,2))</f>
        <v>0</v>
      </c>
      <c r="R38" s="26">
        <f>IF(B38="","",ROUND(IF(F38="",0,F38)+IF(G38="",0,G38),2))</f>
        <v>0</v>
      </c>
      <c r="S38" s="26">
        <f>IF(B38="","",IF(I38&lt;&gt;"Yes",0,ROUND(IF(F38="",0,F38)*IF(J38="Weekly",52/12,IF(J38="Fortnightly",26/12,IF(J38="Four weekly",13/12,IF(J38="Monthly",1,IF(J38="Quarterly",1/3,IF(J38="Twice a year",1/6,IF(J38="Yearly",1/12,0))))))),2)))</f>
        <v>0</v>
      </c>
      <c r="T38" s="38">
        <f>IF(B38="","",IF(I38="Yes","Yes","No"))</f>
        <v>0</v>
      </c>
      <c r="U38" s="25">
        <f>IF(B38="","",IF(L38="Yes","",IF(K38="","",TodayDate-K38)))</f>
        <v>0</v>
      </c>
      <c r="V38" s="39">
        <f>IF(B38="","",IF(L38="Yes","Paid",IF(K38="","Pending",IF(K38&lt;TodayDate,"Overdue",IF(K38&lt;=TodayDate+7,"Due soon","Pending")))))</f>
        <v>0</v>
      </c>
      <c r="W38" s="26">
        <f>IF(B38="","",IFERROR(INDEX(BudgetAmount,MATCH(C38,BudgetCategory,0))*1,0))</f>
        <v>0</v>
      </c>
      <c r="X38" s="25">
        <f>IF(B38="","",COUNTIFS($R$5:$R$604,"&gt;"&amp;R38)+COUNTIFS($R$5:R38,R38))</f>
        <v>0</v>
      </c>
      <c r="Y38" s="39">
        <f>IF(B38="","",IF(F38="","Add - no amount",IF(C38="","Add - no category, it will miss the P&amp;L",IF(V38="Overdue","Overdue - pay it",IF(V38="Due soon","Due - coming up",IF(IF(I38="Yes",J38="",FALSE),"Add - how often does it recur?",IF(L38="Yes","OK","Pending")))))))</f>
        <v>0</v>
      </c>
    </row>
    <row r="39" spans="1:25">
      <c r="A39" s="28">
        <f>IF(B39="","",ExpensePrefix&amp;TEXT(ROW()-4,"0000"))</f>
        <v>0</v>
      </c>
      <c r="P39" s="15">
        <f>IF(B39="","",TEXT(B39,"yyyy-mm"))</f>
        <v>0</v>
      </c>
      <c r="Q39" s="25">
        <f>IF(B39="","",WEEKNUM(B39,2))</f>
        <v>0</v>
      </c>
      <c r="R39" s="26">
        <f>IF(B39="","",ROUND(IF(F39="",0,F39)+IF(G39="",0,G39),2))</f>
        <v>0</v>
      </c>
      <c r="S39" s="26">
        <f>IF(B39="","",IF(I39&lt;&gt;"Yes",0,ROUND(IF(F39="",0,F39)*IF(J39="Weekly",52/12,IF(J39="Fortnightly",26/12,IF(J39="Four weekly",13/12,IF(J39="Monthly",1,IF(J39="Quarterly",1/3,IF(J39="Twice a year",1/6,IF(J39="Yearly",1/12,0))))))),2)))</f>
        <v>0</v>
      </c>
      <c r="T39" s="38">
        <f>IF(B39="","",IF(I39="Yes","Yes","No"))</f>
        <v>0</v>
      </c>
      <c r="U39" s="25">
        <f>IF(B39="","",IF(L39="Yes","",IF(K39="","",TodayDate-K39)))</f>
        <v>0</v>
      </c>
      <c r="V39" s="39">
        <f>IF(B39="","",IF(L39="Yes","Paid",IF(K39="","Pending",IF(K39&lt;TodayDate,"Overdue",IF(K39&lt;=TodayDate+7,"Due soon","Pending")))))</f>
        <v>0</v>
      </c>
      <c r="W39" s="26">
        <f>IF(B39="","",IFERROR(INDEX(BudgetAmount,MATCH(C39,BudgetCategory,0))*1,0))</f>
        <v>0</v>
      </c>
      <c r="X39" s="25">
        <f>IF(B39="","",COUNTIFS($R$5:$R$604,"&gt;"&amp;R39)+COUNTIFS($R$5:R39,R39))</f>
        <v>0</v>
      </c>
      <c r="Y39" s="39">
        <f>IF(B39="","",IF(F39="","Add - no amount",IF(C39="","Add - no category, it will miss the P&amp;L",IF(V39="Overdue","Overdue - pay it",IF(V39="Due soon","Due - coming up",IF(IF(I39="Yes",J39="",FALSE),"Add - how often does it recur?",IF(L39="Yes","OK","Pending")))))))</f>
        <v>0</v>
      </c>
    </row>
    <row r="40" spans="1:25">
      <c r="A40" s="28">
        <f>IF(B40="","",ExpensePrefix&amp;TEXT(ROW()-4,"0000"))</f>
        <v>0</v>
      </c>
      <c r="P40" s="15">
        <f>IF(B40="","",TEXT(B40,"yyyy-mm"))</f>
        <v>0</v>
      </c>
      <c r="Q40" s="25">
        <f>IF(B40="","",WEEKNUM(B40,2))</f>
        <v>0</v>
      </c>
      <c r="R40" s="26">
        <f>IF(B40="","",ROUND(IF(F40="",0,F40)+IF(G40="",0,G40),2))</f>
        <v>0</v>
      </c>
      <c r="S40" s="26">
        <f>IF(B40="","",IF(I40&lt;&gt;"Yes",0,ROUND(IF(F40="",0,F40)*IF(J40="Weekly",52/12,IF(J40="Fortnightly",26/12,IF(J40="Four weekly",13/12,IF(J40="Monthly",1,IF(J40="Quarterly",1/3,IF(J40="Twice a year",1/6,IF(J40="Yearly",1/12,0))))))),2)))</f>
        <v>0</v>
      </c>
      <c r="T40" s="38">
        <f>IF(B40="","",IF(I40="Yes","Yes","No"))</f>
        <v>0</v>
      </c>
      <c r="U40" s="25">
        <f>IF(B40="","",IF(L40="Yes","",IF(K40="","",TodayDate-K40)))</f>
        <v>0</v>
      </c>
      <c r="V40" s="39">
        <f>IF(B40="","",IF(L40="Yes","Paid",IF(K40="","Pending",IF(K40&lt;TodayDate,"Overdue",IF(K40&lt;=TodayDate+7,"Due soon","Pending")))))</f>
        <v>0</v>
      </c>
      <c r="W40" s="26">
        <f>IF(B40="","",IFERROR(INDEX(BudgetAmount,MATCH(C40,BudgetCategory,0))*1,0))</f>
        <v>0</v>
      </c>
      <c r="X40" s="25">
        <f>IF(B40="","",COUNTIFS($R$5:$R$604,"&gt;"&amp;R40)+COUNTIFS($R$5:R40,R40))</f>
        <v>0</v>
      </c>
      <c r="Y40" s="39">
        <f>IF(B40="","",IF(F40="","Add - no amount",IF(C40="","Add - no category, it will miss the P&amp;L",IF(V40="Overdue","Overdue - pay it",IF(V40="Due soon","Due - coming up",IF(IF(I40="Yes",J40="",FALSE),"Add - how often does it recur?",IF(L40="Yes","OK","Pending")))))))</f>
        <v>0</v>
      </c>
    </row>
    <row r="41" spans="1:25">
      <c r="A41" s="28">
        <f>IF(B41="","",ExpensePrefix&amp;TEXT(ROW()-4,"0000"))</f>
        <v>0</v>
      </c>
      <c r="P41" s="15">
        <f>IF(B41="","",TEXT(B41,"yyyy-mm"))</f>
        <v>0</v>
      </c>
      <c r="Q41" s="25">
        <f>IF(B41="","",WEEKNUM(B41,2))</f>
        <v>0</v>
      </c>
      <c r="R41" s="26">
        <f>IF(B41="","",ROUND(IF(F41="",0,F41)+IF(G41="",0,G41),2))</f>
        <v>0</v>
      </c>
      <c r="S41" s="26">
        <f>IF(B41="","",IF(I41&lt;&gt;"Yes",0,ROUND(IF(F41="",0,F41)*IF(J41="Weekly",52/12,IF(J41="Fortnightly",26/12,IF(J41="Four weekly",13/12,IF(J41="Monthly",1,IF(J41="Quarterly",1/3,IF(J41="Twice a year",1/6,IF(J41="Yearly",1/12,0))))))),2)))</f>
        <v>0</v>
      </c>
      <c r="T41" s="38">
        <f>IF(B41="","",IF(I41="Yes","Yes","No"))</f>
        <v>0</v>
      </c>
      <c r="U41" s="25">
        <f>IF(B41="","",IF(L41="Yes","",IF(K41="","",TodayDate-K41)))</f>
        <v>0</v>
      </c>
      <c r="V41" s="39">
        <f>IF(B41="","",IF(L41="Yes","Paid",IF(K41="","Pending",IF(K41&lt;TodayDate,"Overdue",IF(K41&lt;=TodayDate+7,"Due soon","Pending")))))</f>
        <v>0</v>
      </c>
      <c r="W41" s="26">
        <f>IF(B41="","",IFERROR(INDEX(BudgetAmount,MATCH(C41,BudgetCategory,0))*1,0))</f>
        <v>0</v>
      </c>
      <c r="X41" s="25">
        <f>IF(B41="","",COUNTIFS($R$5:$R$604,"&gt;"&amp;R41)+COUNTIFS($R$5:R41,R41))</f>
        <v>0</v>
      </c>
      <c r="Y41" s="39">
        <f>IF(B41="","",IF(F41="","Add - no amount",IF(C41="","Add - no category, it will miss the P&amp;L",IF(V41="Overdue","Overdue - pay it",IF(V41="Due soon","Due - coming up",IF(IF(I41="Yes",J41="",FALSE),"Add - how often does it recur?",IF(L41="Yes","OK","Pending")))))))</f>
        <v>0</v>
      </c>
    </row>
    <row r="42" spans="1:25">
      <c r="A42" s="28">
        <f>IF(B42="","",ExpensePrefix&amp;TEXT(ROW()-4,"0000"))</f>
        <v>0</v>
      </c>
      <c r="P42" s="15">
        <f>IF(B42="","",TEXT(B42,"yyyy-mm"))</f>
        <v>0</v>
      </c>
      <c r="Q42" s="25">
        <f>IF(B42="","",WEEKNUM(B42,2))</f>
        <v>0</v>
      </c>
      <c r="R42" s="26">
        <f>IF(B42="","",ROUND(IF(F42="",0,F42)+IF(G42="",0,G42),2))</f>
        <v>0</v>
      </c>
      <c r="S42" s="26">
        <f>IF(B42="","",IF(I42&lt;&gt;"Yes",0,ROUND(IF(F42="",0,F42)*IF(J42="Weekly",52/12,IF(J42="Fortnightly",26/12,IF(J42="Four weekly",13/12,IF(J42="Monthly",1,IF(J42="Quarterly",1/3,IF(J42="Twice a year",1/6,IF(J42="Yearly",1/12,0))))))),2)))</f>
        <v>0</v>
      </c>
      <c r="T42" s="38">
        <f>IF(B42="","",IF(I42="Yes","Yes","No"))</f>
        <v>0</v>
      </c>
      <c r="U42" s="25">
        <f>IF(B42="","",IF(L42="Yes","",IF(K42="","",TodayDate-K42)))</f>
        <v>0</v>
      </c>
      <c r="V42" s="39">
        <f>IF(B42="","",IF(L42="Yes","Paid",IF(K42="","Pending",IF(K42&lt;TodayDate,"Overdue",IF(K42&lt;=TodayDate+7,"Due soon","Pending")))))</f>
        <v>0</v>
      </c>
      <c r="W42" s="26">
        <f>IF(B42="","",IFERROR(INDEX(BudgetAmount,MATCH(C42,BudgetCategory,0))*1,0))</f>
        <v>0</v>
      </c>
      <c r="X42" s="25">
        <f>IF(B42="","",COUNTIFS($R$5:$R$604,"&gt;"&amp;R42)+COUNTIFS($R$5:R42,R42))</f>
        <v>0</v>
      </c>
      <c r="Y42" s="39">
        <f>IF(B42="","",IF(F42="","Add - no amount",IF(C42="","Add - no category, it will miss the P&amp;L",IF(V42="Overdue","Overdue - pay it",IF(V42="Due soon","Due - coming up",IF(IF(I42="Yes",J42="",FALSE),"Add - how often does it recur?",IF(L42="Yes","OK","Pending")))))))</f>
        <v>0</v>
      </c>
    </row>
    <row r="43" spans="1:25">
      <c r="A43" s="28">
        <f>IF(B43="","",ExpensePrefix&amp;TEXT(ROW()-4,"0000"))</f>
        <v>0</v>
      </c>
      <c r="P43" s="15">
        <f>IF(B43="","",TEXT(B43,"yyyy-mm"))</f>
        <v>0</v>
      </c>
      <c r="Q43" s="25">
        <f>IF(B43="","",WEEKNUM(B43,2))</f>
        <v>0</v>
      </c>
      <c r="R43" s="26">
        <f>IF(B43="","",ROUND(IF(F43="",0,F43)+IF(G43="",0,G43),2))</f>
        <v>0</v>
      </c>
      <c r="S43" s="26">
        <f>IF(B43="","",IF(I43&lt;&gt;"Yes",0,ROUND(IF(F43="",0,F43)*IF(J43="Weekly",52/12,IF(J43="Fortnightly",26/12,IF(J43="Four weekly",13/12,IF(J43="Monthly",1,IF(J43="Quarterly",1/3,IF(J43="Twice a year",1/6,IF(J43="Yearly",1/12,0))))))),2)))</f>
        <v>0</v>
      </c>
      <c r="T43" s="38">
        <f>IF(B43="","",IF(I43="Yes","Yes","No"))</f>
        <v>0</v>
      </c>
      <c r="U43" s="25">
        <f>IF(B43="","",IF(L43="Yes","",IF(K43="","",TodayDate-K43)))</f>
        <v>0</v>
      </c>
      <c r="V43" s="39">
        <f>IF(B43="","",IF(L43="Yes","Paid",IF(K43="","Pending",IF(K43&lt;TodayDate,"Overdue",IF(K43&lt;=TodayDate+7,"Due soon","Pending")))))</f>
        <v>0</v>
      </c>
      <c r="W43" s="26">
        <f>IF(B43="","",IFERROR(INDEX(BudgetAmount,MATCH(C43,BudgetCategory,0))*1,0))</f>
        <v>0</v>
      </c>
      <c r="X43" s="25">
        <f>IF(B43="","",COUNTIFS($R$5:$R$604,"&gt;"&amp;R43)+COUNTIFS($R$5:R43,R43))</f>
        <v>0</v>
      </c>
      <c r="Y43" s="39">
        <f>IF(B43="","",IF(F43="","Add - no amount",IF(C43="","Add - no category, it will miss the P&amp;L",IF(V43="Overdue","Overdue - pay it",IF(V43="Due soon","Due - coming up",IF(IF(I43="Yes",J43="",FALSE),"Add - how often does it recur?",IF(L43="Yes","OK","Pending")))))))</f>
        <v>0</v>
      </c>
    </row>
    <row r="44" spans="1:25">
      <c r="A44" s="28">
        <f>IF(B44="","",ExpensePrefix&amp;TEXT(ROW()-4,"0000"))</f>
        <v>0</v>
      </c>
      <c r="P44" s="15">
        <f>IF(B44="","",TEXT(B44,"yyyy-mm"))</f>
        <v>0</v>
      </c>
      <c r="Q44" s="25">
        <f>IF(B44="","",WEEKNUM(B44,2))</f>
        <v>0</v>
      </c>
      <c r="R44" s="26">
        <f>IF(B44="","",ROUND(IF(F44="",0,F44)+IF(G44="",0,G44),2))</f>
        <v>0</v>
      </c>
      <c r="S44" s="26">
        <f>IF(B44="","",IF(I44&lt;&gt;"Yes",0,ROUND(IF(F44="",0,F44)*IF(J44="Weekly",52/12,IF(J44="Fortnightly",26/12,IF(J44="Four weekly",13/12,IF(J44="Monthly",1,IF(J44="Quarterly",1/3,IF(J44="Twice a year",1/6,IF(J44="Yearly",1/12,0))))))),2)))</f>
        <v>0</v>
      </c>
      <c r="T44" s="38">
        <f>IF(B44="","",IF(I44="Yes","Yes","No"))</f>
        <v>0</v>
      </c>
      <c r="U44" s="25">
        <f>IF(B44="","",IF(L44="Yes","",IF(K44="","",TodayDate-K44)))</f>
        <v>0</v>
      </c>
      <c r="V44" s="39">
        <f>IF(B44="","",IF(L44="Yes","Paid",IF(K44="","Pending",IF(K44&lt;TodayDate,"Overdue",IF(K44&lt;=TodayDate+7,"Due soon","Pending")))))</f>
        <v>0</v>
      </c>
      <c r="W44" s="26">
        <f>IF(B44="","",IFERROR(INDEX(BudgetAmount,MATCH(C44,BudgetCategory,0))*1,0))</f>
        <v>0</v>
      </c>
      <c r="X44" s="25">
        <f>IF(B44="","",COUNTIFS($R$5:$R$604,"&gt;"&amp;R44)+COUNTIFS($R$5:R44,R44))</f>
        <v>0</v>
      </c>
      <c r="Y44" s="39">
        <f>IF(B44="","",IF(F44="","Add - no amount",IF(C44="","Add - no category, it will miss the P&amp;L",IF(V44="Overdue","Overdue - pay it",IF(V44="Due soon","Due - coming up",IF(IF(I44="Yes",J44="",FALSE),"Add - how often does it recur?",IF(L44="Yes","OK","Pending")))))))</f>
        <v>0</v>
      </c>
    </row>
    <row r="45" spans="1:25">
      <c r="A45" s="28">
        <f>IF(B45="","",ExpensePrefix&amp;TEXT(ROW()-4,"0000"))</f>
        <v>0</v>
      </c>
      <c r="P45" s="15">
        <f>IF(B45="","",TEXT(B45,"yyyy-mm"))</f>
        <v>0</v>
      </c>
      <c r="Q45" s="25">
        <f>IF(B45="","",WEEKNUM(B45,2))</f>
        <v>0</v>
      </c>
      <c r="R45" s="26">
        <f>IF(B45="","",ROUND(IF(F45="",0,F45)+IF(G45="",0,G45),2))</f>
        <v>0</v>
      </c>
      <c r="S45" s="26">
        <f>IF(B45="","",IF(I45&lt;&gt;"Yes",0,ROUND(IF(F45="",0,F45)*IF(J45="Weekly",52/12,IF(J45="Fortnightly",26/12,IF(J45="Four weekly",13/12,IF(J45="Monthly",1,IF(J45="Quarterly",1/3,IF(J45="Twice a year",1/6,IF(J45="Yearly",1/12,0))))))),2)))</f>
        <v>0</v>
      </c>
      <c r="T45" s="38">
        <f>IF(B45="","",IF(I45="Yes","Yes","No"))</f>
        <v>0</v>
      </c>
      <c r="U45" s="25">
        <f>IF(B45="","",IF(L45="Yes","",IF(K45="","",TodayDate-K45)))</f>
        <v>0</v>
      </c>
      <c r="V45" s="39">
        <f>IF(B45="","",IF(L45="Yes","Paid",IF(K45="","Pending",IF(K45&lt;TodayDate,"Overdue",IF(K45&lt;=TodayDate+7,"Due soon","Pending")))))</f>
        <v>0</v>
      </c>
      <c r="W45" s="26">
        <f>IF(B45="","",IFERROR(INDEX(BudgetAmount,MATCH(C45,BudgetCategory,0))*1,0))</f>
        <v>0</v>
      </c>
      <c r="X45" s="25">
        <f>IF(B45="","",COUNTIFS($R$5:$R$604,"&gt;"&amp;R45)+COUNTIFS($R$5:R45,R45))</f>
        <v>0</v>
      </c>
      <c r="Y45" s="39">
        <f>IF(B45="","",IF(F45="","Add - no amount",IF(C45="","Add - no category, it will miss the P&amp;L",IF(V45="Overdue","Overdue - pay it",IF(V45="Due soon","Due - coming up",IF(IF(I45="Yes",J45="",FALSE),"Add - how often does it recur?",IF(L45="Yes","OK","Pending")))))))</f>
        <v>0</v>
      </c>
    </row>
    <row r="46" spans="1:25">
      <c r="A46" s="28">
        <f>IF(B46="","",ExpensePrefix&amp;TEXT(ROW()-4,"0000"))</f>
        <v>0</v>
      </c>
      <c r="P46" s="15">
        <f>IF(B46="","",TEXT(B46,"yyyy-mm"))</f>
        <v>0</v>
      </c>
      <c r="Q46" s="25">
        <f>IF(B46="","",WEEKNUM(B46,2))</f>
        <v>0</v>
      </c>
      <c r="R46" s="26">
        <f>IF(B46="","",ROUND(IF(F46="",0,F46)+IF(G46="",0,G46),2))</f>
        <v>0</v>
      </c>
      <c r="S46" s="26">
        <f>IF(B46="","",IF(I46&lt;&gt;"Yes",0,ROUND(IF(F46="",0,F46)*IF(J46="Weekly",52/12,IF(J46="Fortnightly",26/12,IF(J46="Four weekly",13/12,IF(J46="Monthly",1,IF(J46="Quarterly",1/3,IF(J46="Twice a year",1/6,IF(J46="Yearly",1/12,0))))))),2)))</f>
        <v>0</v>
      </c>
      <c r="T46" s="38">
        <f>IF(B46="","",IF(I46="Yes","Yes","No"))</f>
        <v>0</v>
      </c>
      <c r="U46" s="25">
        <f>IF(B46="","",IF(L46="Yes","",IF(K46="","",TodayDate-K46)))</f>
        <v>0</v>
      </c>
      <c r="V46" s="39">
        <f>IF(B46="","",IF(L46="Yes","Paid",IF(K46="","Pending",IF(K46&lt;TodayDate,"Overdue",IF(K46&lt;=TodayDate+7,"Due soon","Pending")))))</f>
        <v>0</v>
      </c>
      <c r="W46" s="26">
        <f>IF(B46="","",IFERROR(INDEX(BudgetAmount,MATCH(C46,BudgetCategory,0))*1,0))</f>
        <v>0</v>
      </c>
      <c r="X46" s="25">
        <f>IF(B46="","",COUNTIFS($R$5:$R$604,"&gt;"&amp;R46)+COUNTIFS($R$5:R46,R46))</f>
        <v>0</v>
      </c>
      <c r="Y46" s="39">
        <f>IF(B46="","",IF(F46="","Add - no amount",IF(C46="","Add - no category, it will miss the P&amp;L",IF(V46="Overdue","Overdue - pay it",IF(V46="Due soon","Due - coming up",IF(IF(I46="Yes",J46="",FALSE),"Add - how often does it recur?",IF(L46="Yes","OK","Pending")))))))</f>
        <v>0</v>
      </c>
    </row>
    <row r="47" spans="1:25">
      <c r="A47" s="28">
        <f>IF(B47="","",ExpensePrefix&amp;TEXT(ROW()-4,"0000"))</f>
        <v>0</v>
      </c>
      <c r="P47" s="15">
        <f>IF(B47="","",TEXT(B47,"yyyy-mm"))</f>
        <v>0</v>
      </c>
      <c r="Q47" s="25">
        <f>IF(B47="","",WEEKNUM(B47,2))</f>
        <v>0</v>
      </c>
      <c r="R47" s="26">
        <f>IF(B47="","",ROUND(IF(F47="",0,F47)+IF(G47="",0,G47),2))</f>
        <v>0</v>
      </c>
      <c r="S47" s="26">
        <f>IF(B47="","",IF(I47&lt;&gt;"Yes",0,ROUND(IF(F47="",0,F47)*IF(J47="Weekly",52/12,IF(J47="Fortnightly",26/12,IF(J47="Four weekly",13/12,IF(J47="Monthly",1,IF(J47="Quarterly",1/3,IF(J47="Twice a year",1/6,IF(J47="Yearly",1/12,0))))))),2)))</f>
        <v>0</v>
      </c>
      <c r="T47" s="38">
        <f>IF(B47="","",IF(I47="Yes","Yes","No"))</f>
        <v>0</v>
      </c>
      <c r="U47" s="25">
        <f>IF(B47="","",IF(L47="Yes","",IF(K47="","",TodayDate-K47)))</f>
        <v>0</v>
      </c>
      <c r="V47" s="39">
        <f>IF(B47="","",IF(L47="Yes","Paid",IF(K47="","Pending",IF(K47&lt;TodayDate,"Overdue",IF(K47&lt;=TodayDate+7,"Due soon","Pending")))))</f>
        <v>0</v>
      </c>
      <c r="W47" s="26">
        <f>IF(B47="","",IFERROR(INDEX(BudgetAmount,MATCH(C47,BudgetCategory,0))*1,0))</f>
        <v>0</v>
      </c>
      <c r="X47" s="25">
        <f>IF(B47="","",COUNTIFS($R$5:$R$604,"&gt;"&amp;R47)+COUNTIFS($R$5:R47,R47))</f>
        <v>0</v>
      </c>
      <c r="Y47" s="39">
        <f>IF(B47="","",IF(F47="","Add - no amount",IF(C47="","Add - no category, it will miss the P&amp;L",IF(V47="Overdue","Overdue - pay it",IF(V47="Due soon","Due - coming up",IF(IF(I47="Yes",J47="",FALSE),"Add - how often does it recur?",IF(L47="Yes","OK","Pending")))))))</f>
        <v>0</v>
      </c>
    </row>
    <row r="48" spans="1:25">
      <c r="A48" s="28">
        <f>IF(B48="","",ExpensePrefix&amp;TEXT(ROW()-4,"0000"))</f>
        <v>0</v>
      </c>
      <c r="P48" s="15">
        <f>IF(B48="","",TEXT(B48,"yyyy-mm"))</f>
        <v>0</v>
      </c>
      <c r="Q48" s="25">
        <f>IF(B48="","",WEEKNUM(B48,2))</f>
        <v>0</v>
      </c>
      <c r="R48" s="26">
        <f>IF(B48="","",ROUND(IF(F48="",0,F48)+IF(G48="",0,G48),2))</f>
        <v>0</v>
      </c>
      <c r="S48" s="26">
        <f>IF(B48="","",IF(I48&lt;&gt;"Yes",0,ROUND(IF(F48="",0,F48)*IF(J48="Weekly",52/12,IF(J48="Fortnightly",26/12,IF(J48="Four weekly",13/12,IF(J48="Monthly",1,IF(J48="Quarterly",1/3,IF(J48="Twice a year",1/6,IF(J48="Yearly",1/12,0))))))),2)))</f>
        <v>0</v>
      </c>
      <c r="T48" s="38">
        <f>IF(B48="","",IF(I48="Yes","Yes","No"))</f>
        <v>0</v>
      </c>
      <c r="U48" s="25">
        <f>IF(B48="","",IF(L48="Yes","",IF(K48="","",TodayDate-K48)))</f>
        <v>0</v>
      </c>
      <c r="V48" s="39">
        <f>IF(B48="","",IF(L48="Yes","Paid",IF(K48="","Pending",IF(K48&lt;TodayDate,"Overdue",IF(K48&lt;=TodayDate+7,"Due soon","Pending")))))</f>
        <v>0</v>
      </c>
      <c r="W48" s="26">
        <f>IF(B48="","",IFERROR(INDEX(BudgetAmount,MATCH(C48,BudgetCategory,0))*1,0))</f>
        <v>0</v>
      </c>
      <c r="X48" s="25">
        <f>IF(B48="","",COUNTIFS($R$5:$R$604,"&gt;"&amp;R48)+COUNTIFS($R$5:R48,R48))</f>
        <v>0</v>
      </c>
      <c r="Y48" s="39">
        <f>IF(B48="","",IF(F48="","Add - no amount",IF(C48="","Add - no category, it will miss the P&amp;L",IF(V48="Overdue","Overdue - pay it",IF(V48="Due soon","Due - coming up",IF(IF(I48="Yes",J48="",FALSE),"Add - how often does it recur?",IF(L48="Yes","OK","Pending")))))))</f>
        <v>0</v>
      </c>
    </row>
    <row r="49" spans="1:25">
      <c r="A49" s="28">
        <f>IF(B49="","",ExpensePrefix&amp;TEXT(ROW()-4,"0000"))</f>
        <v>0</v>
      </c>
      <c r="P49" s="15">
        <f>IF(B49="","",TEXT(B49,"yyyy-mm"))</f>
        <v>0</v>
      </c>
      <c r="Q49" s="25">
        <f>IF(B49="","",WEEKNUM(B49,2))</f>
        <v>0</v>
      </c>
      <c r="R49" s="26">
        <f>IF(B49="","",ROUND(IF(F49="",0,F49)+IF(G49="",0,G49),2))</f>
        <v>0</v>
      </c>
      <c r="S49" s="26">
        <f>IF(B49="","",IF(I49&lt;&gt;"Yes",0,ROUND(IF(F49="",0,F49)*IF(J49="Weekly",52/12,IF(J49="Fortnightly",26/12,IF(J49="Four weekly",13/12,IF(J49="Monthly",1,IF(J49="Quarterly",1/3,IF(J49="Twice a year",1/6,IF(J49="Yearly",1/12,0))))))),2)))</f>
        <v>0</v>
      </c>
      <c r="T49" s="38">
        <f>IF(B49="","",IF(I49="Yes","Yes","No"))</f>
        <v>0</v>
      </c>
      <c r="U49" s="25">
        <f>IF(B49="","",IF(L49="Yes","",IF(K49="","",TodayDate-K49)))</f>
        <v>0</v>
      </c>
      <c r="V49" s="39">
        <f>IF(B49="","",IF(L49="Yes","Paid",IF(K49="","Pending",IF(K49&lt;TodayDate,"Overdue",IF(K49&lt;=TodayDate+7,"Due soon","Pending")))))</f>
        <v>0</v>
      </c>
      <c r="W49" s="26">
        <f>IF(B49="","",IFERROR(INDEX(BudgetAmount,MATCH(C49,BudgetCategory,0))*1,0))</f>
        <v>0</v>
      </c>
      <c r="X49" s="25">
        <f>IF(B49="","",COUNTIFS($R$5:$R$604,"&gt;"&amp;R49)+COUNTIFS($R$5:R49,R49))</f>
        <v>0</v>
      </c>
      <c r="Y49" s="39">
        <f>IF(B49="","",IF(F49="","Add - no amount",IF(C49="","Add - no category, it will miss the P&amp;L",IF(V49="Overdue","Overdue - pay it",IF(V49="Due soon","Due - coming up",IF(IF(I49="Yes",J49="",FALSE),"Add - how often does it recur?",IF(L49="Yes","OK","Pending")))))))</f>
        <v>0</v>
      </c>
    </row>
    <row r="50" spans="1:25">
      <c r="A50" s="28">
        <f>IF(B50="","",ExpensePrefix&amp;TEXT(ROW()-4,"0000"))</f>
        <v>0</v>
      </c>
      <c r="P50" s="15">
        <f>IF(B50="","",TEXT(B50,"yyyy-mm"))</f>
        <v>0</v>
      </c>
      <c r="Q50" s="25">
        <f>IF(B50="","",WEEKNUM(B50,2))</f>
        <v>0</v>
      </c>
      <c r="R50" s="26">
        <f>IF(B50="","",ROUND(IF(F50="",0,F50)+IF(G50="",0,G50),2))</f>
        <v>0</v>
      </c>
      <c r="S50" s="26">
        <f>IF(B50="","",IF(I50&lt;&gt;"Yes",0,ROUND(IF(F50="",0,F50)*IF(J50="Weekly",52/12,IF(J50="Fortnightly",26/12,IF(J50="Four weekly",13/12,IF(J50="Monthly",1,IF(J50="Quarterly",1/3,IF(J50="Twice a year",1/6,IF(J50="Yearly",1/12,0))))))),2)))</f>
        <v>0</v>
      </c>
      <c r="T50" s="38">
        <f>IF(B50="","",IF(I50="Yes","Yes","No"))</f>
        <v>0</v>
      </c>
      <c r="U50" s="25">
        <f>IF(B50="","",IF(L50="Yes","",IF(K50="","",TodayDate-K50)))</f>
        <v>0</v>
      </c>
      <c r="V50" s="39">
        <f>IF(B50="","",IF(L50="Yes","Paid",IF(K50="","Pending",IF(K50&lt;TodayDate,"Overdue",IF(K50&lt;=TodayDate+7,"Due soon","Pending")))))</f>
        <v>0</v>
      </c>
      <c r="W50" s="26">
        <f>IF(B50="","",IFERROR(INDEX(BudgetAmount,MATCH(C50,BudgetCategory,0))*1,0))</f>
        <v>0</v>
      </c>
      <c r="X50" s="25">
        <f>IF(B50="","",COUNTIFS($R$5:$R$604,"&gt;"&amp;R50)+COUNTIFS($R$5:R50,R50))</f>
        <v>0</v>
      </c>
      <c r="Y50" s="39">
        <f>IF(B50="","",IF(F50="","Add - no amount",IF(C50="","Add - no category, it will miss the P&amp;L",IF(V50="Overdue","Overdue - pay it",IF(V50="Due soon","Due - coming up",IF(IF(I50="Yes",J50="",FALSE),"Add - how often does it recur?",IF(L50="Yes","OK","Pending")))))))</f>
        <v>0</v>
      </c>
    </row>
    <row r="51" spans="1:25">
      <c r="A51" s="28">
        <f>IF(B51="","",ExpensePrefix&amp;TEXT(ROW()-4,"0000"))</f>
        <v>0</v>
      </c>
      <c r="P51" s="15">
        <f>IF(B51="","",TEXT(B51,"yyyy-mm"))</f>
        <v>0</v>
      </c>
      <c r="Q51" s="25">
        <f>IF(B51="","",WEEKNUM(B51,2))</f>
        <v>0</v>
      </c>
      <c r="R51" s="26">
        <f>IF(B51="","",ROUND(IF(F51="",0,F51)+IF(G51="",0,G51),2))</f>
        <v>0</v>
      </c>
      <c r="S51" s="26">
        <f>IF(B51="","",IF(I51&lt;&gt;"Yes",0,ROUND(IF(F51="",0,F51)*IF(J51="Weekly",52/12,IF(J51="Fortnightly",26/12,IF(J51="Four weekly",13/12,IF(J51="Monthly",1,IF(J51="Quarterly",1/3,IF(J51="Twice a year",1/6,IF(J51="Yearly",1/12,0))))))),2)))</f>
        <v>0</v>
      </c>
      <c r="T51" s="38">
        <f>IF(B51="","",IF(I51="Yes","Yes","No"))</f>
        <v>0</v>
      </c>
      <c r="U51" s="25">
        <f>IF(B51="","",IF(L51="Yes","",IF(K51="","",TodayDate-K51)))</f>
        <v>0</v>
      </c>
      <c r="V51" s="39">
        <f>IF(B51="","",IF(L51="Yes","Paid",IF(K51="","Pending",IF(K51&lt;TodayDate,"Overdue",IF(K51&lt;=TodayDate+7,"Due soon","Pending")))))</f>
        <v>0</v>
      </c>
      <c r="W51" s="26">
        <f>IF(B51="","",IFERROR(INDEX(BudgetAmount,MATCH(C51,BudgetCategory,0))*1,0))</f>
        <v>0</v>
      </c>
      <c r="X51" s="25">
        <f>IF(B51="","",COUNTIFS($R$5:$R$604,"&gt;"&amp;R51)+COUNTIFS($R$5:R51,R51))</f>
        <v>0</v>
      </c>
      <c r="Y51" s="39">
        <f>IF(B51="","",IF(F51="","Add - no amount",IF(C51="","Add - no category, it will miss the P&amp;L",IF(V51="Overdue","Overdue - pay it",IF(V51="Due soon","Due - coming up",IF(IF(I51="Yes",J51="",FALSE),"Add - how often does it recur?",IF(L51="Yes","OK","Pending")))))))</f>
        <v>0</v>
      </c>
    </row>
    <row r="52" spans="1:25">
      <c r="A52" s="28">
        <f>IF(B52="","",ExpensePrefix&amp;TEXT(ROW()-4,"0000"))</f>
        <v>0</v>
      </c>
      <c r="P52" s="15">
        <f>IF(B52="","",TEXT(B52,"yyyy-mm"))</f>
        <v>0</v>
      </c>
      <c r="Q52" s="25">
        <f>IF(B52="","",WEEKNUM(B52,2))</f>
        <v>0</v>
      </c>
      <c r="R52" s="26">
        <f>IF(B52="","",ROUND(IF(F52="",0,F52)+IF(G52="",0,G52),2))</f>
        <v>0</v>
      </c>
      <c r="S52" s="26">
        <f>IF(B52="","",IF(I52&lt;&gt;"Yes",0,ROUND(IF(F52="",0,F52)*IF(J52="Weekly",52/12,IF(J52="Fortnightly",26/12,IF(J52="Four weekly",13/12,IF(J52="Monthly",1,IF(J52="Quarterly",1/3,IF(J52="Twice a year",1/6,IF(J52="Yearly",1/12,0))))))),2)))</f>
        <v>0</v>
      </c>
      <c r="T52" s="38">
        <f>IF(B52="","",IF(I52="Yes","Yes","No"))</f>
        <v>0</v>
      </c>
      <c r="U52" s="25">
        <f>IF(B52="","",IF(L52="Yes","",IF(K52="","",TodayDate-K52)))</f>
        <v>0</v>
      </c>
      <c r="V52" s="39">
        <f>IF(B52="","",IF(L52="Yes","Paid",IF(K52="","Pending",IF(K52&lt;TodayDate,"Overdue",IF(K52&lt;=TodayDate+7,"Due soon","Pending")))))</f>
        <v>0</v>
      </c>
      <c r="W52" s="26">
        <f>IF(B52="","",IFERROR(INDEX(BudgetAmount,MATCH(C52,BudgetCategory,0))*1,0))</f>
        <v>0</v>
      </c>
      <c r="X52" s="25">
        <f>IF(B52="","",COUNTIFS($R$5:$R$604,"&gt;"&amp;R52)+COUNTIFS($R$5:R52,R52))</f>
        <v>0</v>
      </c>
      <c r="Y52" s="39">
        <f>IF(B52="","",IF(F52="","Add - no amount",IF(C52="","Add - no category, it will miss the P&amp;L",IF(V52="Overdue","Overdue - pay it",IF(V52="Due soon","Due - coming up",IF(IF(I52="Yes",J52="",FALSE),"Add - how often does it recur?",IF(L52="Yes","OK","Pending")))))))</f>
        <v>0</v>
      </c>
    </row>
    <row r="53" spans="1:25">
      <c r="A53" s="28">
        <f>IF(B53="","",ExpensePrefix&amp;TEXT(ROW()-4,"0000"))</f>
        <v>0</v>
      </c>
      <c r="P53" s="15">
        <f>IF(B53="","",TEXT(B53,"yyyy-mm"))</f>
        <v>0</v>
      </c>
      <c r="Q53" s="25">
        <f>IF(B53="","",WEEKNUM(B53,2))</f>
        <v>0</v>
      </c>
      <c r="R53" s="26">
        <f>IF(B53="","",ROUND(IF(F53="",0,F53)+IF(G53="",0,G53),2))</f>
        <v>0</v>
      </c>
      <c r="S53" s="26">
        <f>IF(B53="","",IF(I53&lt;&gt;"Yes",0,ROUND(IF(F53="",0,F53)*IF(J53="Weekly",52/12,IF(J53="Fortnightly",26/12,IF(J53="Four weekly",13/12,IF(J53="Monthly",1,IF(J53="Quarterly",1/3,IF(J53="Twice a year",1/6,IF(J53="Yearly",1/12,0))))))),2)))</f>
        <v>0</v>
      </c>
      <c r="T53" s="38">
        <f>IF(B53="","",IF(I53="Yes","Yes","No"))</f>
        <v>0</v>
      </c>
      <c r="U53" s="25">
        <f>IF(B53="","",IF(L53="Yes","",IF(K53="","",TodayDate-K53)))</f>
        <v>0</v>
      </c>
      <c r="V53" s="39">
        <f>IF(B53="","",IF(L53="Yes","Paid",IF(K53="","Pending",IF(K53&lt;TodayDate,"Overdue",IF(K53&lt;=TodayDate+7,"Due soon","Pending")))))</f>
        <v>0</v>
      </c>
      <c r="W53" s="26">
        <f>IF(B53="","",IFERROR(INDEX(BudgetAmount,MATCH(C53,BudgetCategory,0))*1,0))</f>
        <v>0</v>
      </c>
      <c r="X53" s="25">
        <f>IF(B53="","",COUNTIFS($R$5:$R$604,"&gt;"&amp;R53)+COUNTIFS($R$5:R53,R53))</f>
        <v>0</v>
      </c>
      <c r="Y53" s="39">
        <f>IF(B53="","",IF(F53="","Add - no amount",IF(C53="","Add - no category, it will miss the P&amp;L",IF(V53="Overdue","Overdue - pay it",IF(V53="Due soon","Due - coming up",IF(IF(I53="Yes",J53="",FALSE),"Add - how often does it recur?",IF(L53="Yes","OK","Pending")))))))</f>
        <v>0</v>
      </c>
    </row>
    <row r="54" spans="1:25">
      <c r="A54" s="28">
        <f>IF(B54="","",ExpensePrefix&amp;TEXT(ROW()-4,"0000"))</f>
        <v>0</v>
      </c>
      <c r="P54" s="15">
        <f>IF(B54="","",TEXT(B54,"yyyy-mm"))</f>
        <v>0</v>
      </c>
      <c r="Q54" s="25">
        <f>IF(B54="","",WEEKNUM(B54,2))</f>
        <v>0</v>
      </c>
      <c r="R54" s="26">
        <f>IF(B54="","",ROUND(IF(F54="",0,F54)+IF(G54="",0,G54),2))</f>
        <v>0</v>
      </c>
      <c r="S54" s="26">
        <f>IF(B54="","",IF(I54&lt;&gt;"Yes",0,ROUND(IF(F54="",0,F54)*IF(J54="Weekly",52/12,IF(J54="Fortnightly",26/12,IF(J54="Four weekly",13/12,IF(J54="Monthly",1,IF(J54="Quarterly",1/3,IF(J54="Twice a year",1/6,IF(J54="Yearly",1/12,0))))))),2)))</f>
        <v>0</v>
      </c>
      <c r="T54" s="38">
        <f>IF(B54="","",IF(I54="Yes","Yes","No"))</f>
        <v>0</v>
      </c>
      <c r="U54" s="25">
        <f>IF(B54="","",IF(L54="Yes","",IF(K54="","",TodayDate-K54)))</f>
        <v>0</v>
      </c>
      <c r="V54" s="39">
        <f>IF(B54="","",IF(L54="Yes","Paid",IF(K54="","Pending",IF(K54&lt;TodayDate,"Overdue",IF(K54&lt;=TodayDate+7,"Due soon","Pending")))))</f>
        <v>0</v>
      </c>
      <c r="W54" s="26">
        <f>IF(B54="","",IFERROR(INDEX(BudgetAmount,MATCH(C54,BudgetCategory,0))*1,0))</f>
        <v>0</v>
      </c>
      <c r="X54" s="25">
        <f>IF(B54="","",COUNTIFS($R$5:$R$604,"&gt;"&amp;R54)+COUNTIFS($R$5:R54,R54))</f>
        <v>0</v>
      </c>
      <c r="Y54" s="39">
        <f>IF(B54="","",IF(F54="","Add - no amount",IF(C54="","Add - no category, it will miss the P&amp;L",IF(V54="Overdue","Overdue - pay it",IF(V54="Due soon","Due - coming up",IF(IF(I54="Yes",J54="",FALSE),"Add - how often does it recur?",IF(L54="Yes","OK","Pending")))))))</f>
        <v>0</v>
      </c>
    </row>
    <row r="55" spans="1:25">
      <c r="A55" s="28">
        <f>IF(B55="","",ExpensePrefix&amp;TEXT(ROW()-4,"0000"))</f>
        <v>0</v>
      </c>
      <c r="P55" s="15">
        <f>IF(B55="","",TEXT(B55,"yyyy-mm"))</f>
        <v>0</v>
      </c>
      <c r="Q55" s="25">
        <f>IF(B55="","",WEEKNUM(B55,2))</f>
        <v>0</v>
      </c>
      <c r="R55" s="26">
        <f>IF(B55="","",ROUND(IF(F55="",0,F55)+IF(G55="",0,G55),2))</f>
        <v>0</v>
      </c>
      <c r="S55" s="26">
        <f>IF(B55="","",IF(I55&lt;&gt;"Yes",0,ROUND(IF(F55="",0,F55)*IF(J55="Weekly",52/12,IF(J55="Fortnightly",26/12,IF(J55="Four weekly",13/12,IF(J55="Monthly",1,IF(J55="Quarterly",1/3,IF(J55="Twice a year",1/6,IF(J55="Yearly",1/12,0))))))),2)))</f>
        <v>0</v>
      </c>
      <c r="T55" s="38">
        <f>IF(B55="","",IF(I55="Yes","Yes","No"))</f>
        <v>0</v>
      </c>
      <c r="U55" s="25">
        <f>IF(B55="","",IF(L55="Yes","",IF(K55="","",TodayDate-K55)))</f>
        <v>0</v>
      </c>
      <c r="V55" s="39">
        <f>IF(B55="","",IF(L55="Yes","Paid",IF(K55="","Pending",IF(K55&lt;TodayDate,"Overdue",IF(K55&lt;=TodayDate+7,"Due soon","Pending")))))</f>
        <v>0</v>
      </c>
      <c r="W55" s="26">
        <f>IF(B55="","",IFERROR(INDEX(BudgetAmount,MATCH(C55,BudgetCategory,0))*1,0))</f>
        <v>0</v>
      </c>
      <c r="X55" s="25">
        <f>IF(B55="","",COUNTIFS($R$5:$R$604,"&gt;"&amp;R55)+COUNTIFS($R$5:R55,R55))</f>
        <v>0</v>
      </c>
      <c r="Y55" s="39">
        <f>IF(B55="","",IF(F55="","Add - no amount",IF(C55="","Add - no category, it will miss the P&amp;L",IF(V55="Overdue","Overdue - pay it",IF(V55="Due soon","Due - coming up",IF(IF(I55="Yes",J55="",FALSE),"Add - how often does it recur?",IF(L55="Yes","OK","Pending")))))))</f>
        <v>0</v>
      </c>
    </row>
    <row r="56" spans="1:25">
      <c r="A56" s="28">
        <f>IF(B56="","",ExpensePrefix&amp;TEXT(ROW()-4,"0000"))</f>
        <v>0</v>
      </c>
      <c r="P56" s="15">
        <f>IF(B56="","",TEXT(B56,"yyyy-mm"))</f>
        <v>0</v>
      </c>
      <c r="Q56" s="25">
        <f>IF(B56="","",WEEKNUM(B56,2))</f>
        <v>0</v>
      </c>
      <c r="R56" s="26">
        <f>IF(B56="","",ROUND(IF(F56="",0,F56)+IF(G56="",0,G56),2))</f>
        <v>0</v>
      </c>
      <c r="S56" s="26">
        <f>IF(B56="","",IF(I56&lt;&gt;"Yes",0,ROUND(IF(F56="",0,F56)*IF(J56="Weekly",52/12,IF(J56="Fortnightly",26/12,IF(J56="Four weekly",13/12,IF(J56="Monthly",1,IF(J56="Quarterly",1/3,IF(J56="Twice a year",1/6,IF(J56="Yearly",1/12,0))))))),2)))</f>
        <v>0</v>
      </c>
      <c r="T56" s="38">
        <f>IF(B56="","",IF(I56="Yes","Yes","No"))</f>
        <v>0</v>
      </c>
      <c r="U56" s="25">
        <f>IF(B56="","",IF(L56="Yes","",IF(K56="","",TodayDate-K56)))</f>
        <v>0</v>
      </c>
      <c r="V56" s="39">
        <f>IF(B56="","",IF(L56="Yes","Paid",IF(K56="","Pending",IF(K56&lt;TodayDate,"Overdue",IF(K56&lt;=TodayDate+7,"Due soon","Pending")))))</f>
        <v>0</v>
      </c>
      <c r="W56" s="26">
        <f>IF(B56="","",IFERROR(INDEX(BudgetAmount,MATCH(C56,BudgetCategory,0))*1,0))</f>
        <v>0</v>
      </c>
      <c r="X56" s="25">
        <f>IF(B56="","",COUNTIFS($R$5:$R$604,"&gt;"&amp;R56)+COUNTIFS($R$5:R56,R56))</f>
        <v>0</v>
      </c>
      <c r="Y56" s="39">
        <f>IF(B56="","",IF(F56="","Add - no amount",IF(C56="","Add - no category, it will miss the P&amp;L",IF(V56="Overdue","Overdue - pay it",IF(V56="Due soon","Due - coming up",IF(IF(I56="Yes",J56="",FALSE),"Add - how often does it recur?",IF(L56="Yes","OK","Pending")))))))</f>
        <v>0</v>
      </c>
    </row>
    <row r="57" spans="1:25">
      <c r="A57" s="28">
        <f>IF(B57="","",ExpensePrefix&amp;TEXT(ROW()-4,"0000"))</f>
        <v>0</v>
      </c>
      <c r="P57" s="15">
        <f>IF(B57="","",TEXT(B57,"yyyy-mm"))</f>
        <v>0</v>
      </c>
      <c r="Q57" s="25">
        <f>IF(B57="","",WEEKNUM(B57,2))</f>
        <v>0</v>
      </c>
      <c r="R57" s="26">
        <f>IF(B57="","",ROUND(IF(F57="",0,F57)+IF(G57="",0,G57),2))</f>
        <v>0</v>
      </c>
      <c r="S57" s="26">
        <f>IF(B57="","",IF(I57&lt;&gt;"Yes",0,ROUND(IF(F57="",0,F57)*IF(J57="Weekly",52/12,IF(J57="Fortnightly",26/12,IF(J57="Four weekly",13/12,IF(J57="Monthly",1,IF(J57="Quarterly",1/3,IF(J57="Twice a year",1/6,IF(J57="Yearly",1/12,0))))))),2)))</f>
        <v>0</v>
      </c>
      <c r="T57" s="38">
        <f>IF(B57="","",IF(I57="Yes","Yes","No"))</f>
        <v>0</v>
      </c>
      <c r="U57" s="25">
        <f>IF(B57="","",IF(L57="Yes","",IF(K57="","",TodayDate-K57)))</f>
        <v>0</v>
      </c>
      <c r="V57" s="39">
        <f>IF(B57="","",IF(L57="Yes","Paid",IF(K57="","Pending",IF(K57&lt;TodayDate,"Overdue",IF(K57&lt;=TodayDate+7,"Due soon","Pending")))))</f>
        <v>0</v>
      </c>
      <c r="W57" s="26">
        <f>IF(B57="","",IFERROR(INDEX(BudgetAmount,MATCH(C57,BudgetCategory,0))*1,0))</f>
        <v>0</v>
      </c>
      <c r="X57" s="25">
        <f>IF(B57="","",COUNTIFS($R$5:$R$604,"&gt;"&amp;R57)+COUNTIFS($R$5:R57,R57))</f>
        <v>0</v>
      </c>
      <c r="Y57" s="39">
        <f>IF(B57="","",IF(F57="","Add - no amount",IF(C57="","Add - no category, it will miss the P&amp;L",IF(V57="Overdue","Overdue - pay it",IF(V57="Due soon","Due - coming up",IF(IF(I57="Yes",J57="",FALSE),"Add - how often does it recur?",IF(L57="Yes","OK","Pending")))))))</f>
        <v>0</v>
      </c>
    </row>
    <row r="58" spans="1:25">
      <c r="A58" s="28">
        <f>IF(B58="","",ExpensePrefix&amp;TEXT(ROW()-4,"0000"))</f>
        <v>0</v>
      </c>
      <c r="P58" s="15">
        <f>IF(B58="","",TEXT(B58,"yyyy-mm"))</f>
        <v>0</v>
      </c>
      <c r="Q58" s="25">
        <f>IF(B58="","",WEEKNUM(B58,2))</f>
        <v>0</v>
      </c>
      <c r="R58" s="26">
        <f>IF(B58="","",ROUND(IF(F58="",0,F58)+IF(G58="",0,G58),2))</f>
        <v>0</v>
      </c>
      <c r="S58" s="26">
        <f>IF(B58="","",IF(I58&lt;&gt;"Yes",0,ROUND(IF(F58="",0,F58)*IF(J58="Weekly",52/12,IF(J58="Fortnightly",26/12,IF(J58="Four weekly",13/12,IF(J58="Monthly",1,IF(J58="Quarterly",1/3,IF(J58="Twice a year",1/6,IF(J58="Yearly",1/12,0))))))),2)))</f>
        <v>0</v>
      </c>
      <c r="T58" s="38">
        <f>IF(B58="","",IF(I58="Yes","Yes","No"))</f>
        <v>0</v>
      </c>
      <c r="U58" s="25">
        <f>IF(B58="","",IF(L58="Yes","",IF(K58="","",TodayDate-K58)))</f>
        <v>0</v>
      </c>
      <c r="V58" s="39">
        <f>IF(B58="","",IF(L58="Yes","Paid",IF(K58="","Pending",IF(K58&lt;TodayDate,"Overdue",IF(K58&lt;=TodayDate+7,"Due soon","Pending")))))</f>
        <v>0</v>
      </c>
      <c r="W58" s="26">
        <f>IF(B58="","",IFERROR(INDEX(BudgetAmount,MATCH(C58,BudgetCategory,0))*1,0))</f>
        <v>0</v>
      </c>
      <c r="X58" s="25">
        <f>IF(B58="","",COUNTIFS($R$5:$R$604,"&gt;"&amp;R58)+COUNTIFS($R$5:R58,R58))</f>
        <v>0</v>
      </c>
      <c r="Y58" s="39">
        <f>IF(B58="","",IF(F58="","Add - no amount",IF(C58="","Add - no category, it will miss the P&amp;L",IF(V58="Overdue","Overdue - pay it",IF(V58="Due soon","Due - coming up",IF(IF(I58="Yes",J58="",FALSE),"Add - how often does it recur?",IF(L58="Yes","OK","Pending")))))))</f>
        <v>0</v>
      </c>
    </row>
    <row r="59" spans="1:25">
      <c r="A59" s="28">
        <f>IF(B59="","",ExpensePrefix&amp;TEXT(ROW()-4,"0000"))</f>
        <v>0</v>
      </c>
      <c r="P59" s="15">
        <f>IF(B59="","",TEXT(B59,"yyyy-mm"))</f>
        <v>0</v>
      </c>
      <c r="Q59" s="25">
        <f>IF(B59="","",WEEKNUM(B59,2))</f>
        <v>0</v>
      </c>
      <c r="R59" s="26">
        <f>IF(B59="","",ROUND(IF(F59="",0,F59)+IF(G59="",0,G59),2))</f>
        <v>0</v>
      </c>
      <c r="S59" s="26">
        <f>IF(B59="","",IF(I59&lt;&gt;"Yes",0,ROUND(IF(F59="",0,F59)*IF(J59="Weekly",52/12,IF(J59="Fortnightly",26/12,IF(J59="Four weekly",13/12,IF(J59="Monthly",1,IF(J59="Quarterly",1/3,IF(J59="Twice a year",1/6,IF(J59="Yearly",1/12,0))))))),2)))</f>
        <v>0</v>
      </c>
      <c r="T59" s="38">
        <f>IF(B59="","",IF(I59="Yes","Yes","No"))</f>
        <v>0</v>
      </c>
      <c r="U59" s="25">
        <f>IF(B59="","",IF(L59="Yes","",IF(K59="","",TodayDate-K59)))</f>
        <v>0</v>
      </c>
      <c r="V59" s="39">
        <f>IF(B59="","",IF(L59="Yes","Paid",IF(K59="","Pending",IF(K59&lt;TodayDate,"Overdue",IF(K59&lt;=TodayDate+7,"Due soon","Pending")))))</f>
        <v>0</v>
      </c>
      <c r="W59" s="26">
        <f>IF(B59="","",IFERROR(INDEX(BudgetAmount,MATCH(C59,BudgetCategory,0))*1,0))</f>
        <v>0</v>
      </c>
      <c r="X59" s="25">
        <f>IF(B59="","",COUNTIFS($R$5:$R$604,"&gt;"&amp;R59)+COUNTIFS($R$5:R59,R59))</f>
        <v>0</v>
      </c>
      <c r="Y59" s="39">
        <f>IF(B59="","",IF(F59="","Add - no amount",IF(C59="","Add - no category, it will miss the P&amp;L",IF(V59="Overdue","Overdue - pay it",IF(V59="Due soon","Due - coming up",IF(IF(I59="Yes",J59="",FALSE),"Add - how often does it recur?",IF(L59="Yes","OK","Pending")))))))</f>
        <v>0</v>
      </c>
    </row>
    <row r="60" spans="1:25">
      <c r="A60" s="28">
        <f>IF(B60="","",ExpensePrefix&amp;TEXT(ROW()-4,"0000"))</f>
        <v>0</v>
      </c>
      <c r="P60" s="15">
        <f>IF(B60="","",TEXT(B60,"yyyy-mm"))</f>
        <v>0</v>
      </c>
      <c r="Q60" s="25">
        <f>IF(B60="","",WEEKNUM(B60,2))</f>
        <v>0</v>
      </c>
      <c r="R60" s="26">
        <f>IF(B60="","",ROUND(IF(F60="",0,F60)+IF(G60="",0,G60),2))</f>
        <v>0</v>
      </c>
      <c r="S60" s="26">
        <f>IF(B60="","",IF(I60&lt;&gt;"Yes",0,ROUND(IF(F60="",0,F60)*IF(J60="Weekly",52/12,IF(J60="Fortnightly",26/12,IF(J60="Four weekly",13/12,IF(J60="Monthly",1,IF(J60="Quarterly",1/3,IF(J60="Twice a year",1/6,IF(J60="Yearly",1/12,0))))))),2)))</f>
        <v>0</v>
      </c>
      <c r="T60" s="38">
        <f>IF(B60="","",IF(I60="Yes","Yes","No"))</f>
        <v>0</v>
      </c>
      <c r="U60" s="25">
        <f>IF(B60="","",IF(L60="Yes","",IF(K60="","",TodayDate-K60)))</f>
        <v>0</v>
      </c>
      <c r="V60" s="39">
        <f>IF(B60="","",IF(L60="Yes","Paid",IF(K60="","Pending",IF(K60&lt;TodayDate,"Overdue",IF(K60&lt;=TodayDate+7,"Due soon","Pending")))))</f>
        <v>0</v>
      </c>
      <c r="W60" s="26">
        <f>IF(B60="","",IFERROR(INDEX(BudgetAmount,MATCH(C60,BudgetCategory,0))*1,0))</f>
        <v>0</v>
      </c>
      <c r="X60" s="25">
        <f>IF(B60="","",COUNTIFS($R$5:$R$604,"&gt;"&amp;R60)+COUNTIFS($R$5:R60,R60))</f>
        <v>0</v>
      </c>
      <c r="Y60" s="39">
        <f>IF(B60="","",IF(F60="","Add - no amount",IF(C60="","Add - no category, it will miss the P&amp;L",IF(V60="Overdue","Overdue - pay it",IF(V60="Due soon","Due - coming up",IF(IF(I60="Yes",J60="",FALSE),"Add - how often does it recur?",IF(L60="Yes","OK","Pending")))))))</f>
        <v>0</v>
      </c>
    </row>
    <row r="61" spans="1:25">
      <c r="A61" s="28">
        <f>IF(B61="","",ExpensePrefix&amp;TEXT(ROW()-4,"0000"))</f>
        <v>0</v>
      </c>
      <c r="P61" s="15">
        <f>IF(B61="","",TEXT(B61,"yyyy-mm"))</f>
        <v>0</v>
      </c>
      <c r="Q61" s="25">
        <f>IF(B61="","",WEEKNUM(B61,2))</f>
        <v>0</v>
      </c>
      <c r="R61" s="26">
        <f>IF(B61="","",ROUND(IF(F61="",0,F61)+IF(G61="",0,G61),2))</f>
        <v>0</v>
      </c>
      <c r="S61" s="26">
        <f>IF(B61="","",IF(I61&lt;&gt;"Yes",0,ROUND(IF(F61="",0,F61)*IF(J61="Weekly",52/12,IF(J61="Fortnightly",26/12,IF(J61="Four weekly",13/12,IF(J61="Monthly",1,IF(J61="Quarterly",1/3,IF(J61="Twice a year",1/6,IF(J61="Yearly",1/12,0))))))),2)))</f>
        <v>0</v>
      </c>
      <c r="T61" s="38">
        <f>IF(B61="","",IF(I61="Yes","Yes","No"))</f>
        <v>0</v>
      </c>
      <c r="U61" s="25">
        <f>IF(B61="","",IF(L61="Yes","",IF(K61="","",TodayDate-K61)))</f>
        <v>0</v>
      </c>
      <c r="V61" s="39">
        <f>IF(B61="","",IF(L61="Yes","Paid",IF(K61="","Pending",IF(K61&lt;TodayDate,"Overdue",IF(K61&lt;=TodayDate+7,"Due soon","Pending")))))</f>
        <v>0</v>
      </c>
      <c r="W61" s="26">
        <f>IF(B61="","",IFERROR(INDEX(BudgetAmount,MATCH(C61,BudgetCategory,0))*1,0))</f>
        <v>0</v>
      </c>
      <c r="X61" s="25">
        <f>IF(B61="","",COUNTIFS($R$5:$R$604,"&gt;"&amp;R61)+COUNTIFS($R$5:R61,R61))</f>
        <v>0</v>
      </c>
      <c r="Y61" s="39">
        <f>IF(B61="","",IF(F61="","Add - no amount",IF(C61="","Add - no category, it will miss the P&amp;L",IF(V61="Overdue","Overdue - pay it",IF(V61="Due soon","Due - coming up",IF(IF(I61="Yes",J61="",FALSE),"Add - how often does it recur?",IF(L61="Yes","OK","Pending")))))))</f>
        <v>0</v>
      </c>
    </row>
    <row r="62" spans="1:25">
      <c r="A62" s="28">
        <f>IF(B62="","",ExpensePrefix&amp;TEXT(ROW()-4,"0000"))</f>
        <v>0</v>
      </c>
      <c r="P62" s="15">
        <f>IF(B62="","",TEXT(B62,"yyyy-mm"))</f>
        <v>0</v>
      </c>
      <c r="Q62" s="25">
        <f>IF(B62="","",WEEKNUM(B62,2))</f>
        <v>0</v>
      </c>
      <c r="R62" s="26">
        <f>IF(B62="","",ROUND(IF(F62="",0,F62)+IF(G62="",0,G62),2))</f>
        <v>0</v>
      </c>
      <c r="S62" s="26">
        <f>IF(B62="","",IF(I62&lt;&gt;"Yes",0,ROUND(IF(F62="",0,F62)*IF(J62="Weekly",52/12,IF(J62="Fortnightly",26/12,IF(J62="Four weekly",13/12,IF(J62="Monthly",1,IF(J62="Quarterly",1/3,IF(J62="Twice a year",1/6,IF(J62="Yearly",1/12,0))))))),2)))</f>
        <v>0</v>
      </c>
      <c r="T62" s="38">
        <f>IF(B62="","",IF(I62="Yes","Yes","No"))</f>
        <v>0</v>
      </c>
      <c r="U62" s="25">
        <f>IF(B62="","",IF(L62="Yes","",IF(K62="","",TodayDate-K62)))</f>
        <v>0</v>
      </c>
      <c r="V62" s="39">
        <f>IF(B62="","",IF(L62="Yes","Paid",IF(K62="","Pending",IF(K62&lt;TodayDate,"Overdue",IF(K62&lt;=TodayDate+7,"Due soon","Pending")))))</f>
        <v>0</v>
      </c>
      <c r="W62" s="26">
        <f>IF(B62="","",IFERROR(INDEX(BudgetAmount,MATCH(C62,BudgetCategory,0))*1,0))</f>
        <v>0</v>
      </c>
      <c r="X62" s="25">
        <f>IF(B62="","",COUNTIFS($R$5:$R$604,"&gt;"&amp;R62)+COUNTIFS($R$5:R62,R62))</f>
        <v>0</v>
      </c>
      <c r="Y62" s="39">
        <f>IF(B62="","",IF(F62="","Add - no amount",IF(C62="","Add - no category, it will miss the P&amp;L",IF(V62="Overdue","Overdue - pay it",IF(V62="Due soon","Due - coming up",IF(IF(I62="Yes",J62="",FALSE),"Add - how often does it recur?",IF(L62="Yes","OK","Pending")))))))</f>
        <v>0</v>
      </c>
    </row>
    <row r="63" spans="1:25">
      <c r="A63" s="28">
        <f>IF(B63="","",ExpensePrefix&amp;TEXT(ROW()-4,"0000"))</f>
        <v>0</v>
      </c>
      <c r="P63" s="15">
        <f>IF(B63="","",TEXT(B63,"yyyy-mm"))</f>
        <v>0</v>
      </c>
      <c r="Q63" s="25">
        <f>IF(B63="","",WEEKNUM(B63,2))</f>
        <v>0</v>
      </c>
      <c r="R63" s="26">
        <f>IF(B63="","",ROUND(IF(F63="",0,F63)+IF(G63="",0,G63),2))</f>
        <v>0</v>
      </c>
      <c r="S63" s="26">
        <f>IF(B63="","",IF(I63&lt;&gt;"Yes",0,ROUND(IF(F63="",0,F63)*IF(J63="Weekly",52/12,IF(J63="Fortnightly",26/12,IF(J63="Four weekly",13/12,IF(J63="Monthly",1,IF(J63="Quarterly",1/3,IF(J63="Twice a year",1/6,IF(J63="Yearly",1/12,0))))))),2)))</f>
        <v>0</v>
      </c>
      <c r="T63" s="38">
        <f>IF(B63="","",IF(I63="Yes","Yes","No"))</f>
        <v>0</v>
      </c>
      <c r="U63" s="25">
        <f>IF(B63="","",IF(L63="Yes","",IF(K63="","",TodayDate-K63)))</f>
        <v>0</v>
      </c>
      <c r="V63" s="39">
        <f>IF(B63="","",IF(L63="Yes","Paid",IF(K63="","Pending",IF(K63&lt;TodayDate,"Overdue",IF(K63&lt;=TodayDate+7,"Due soon","Pending")))))</f>
        <v>0</v>
      </c>
      <c r="W63" s="26">
        <f>IF(B63="","",IFERROR(INDEX(BudgetAmount,MATCH(C63,BudgetCategory,0))*1,0))</f>
        <v>0</v>
      </c>
      <c r="X63" s="25">
        <f>IF(B63="","",COUNTIFS($R$5:$R$604,"&gt;"&amp;R63)+COUNTIFS($R$5:R63,R63))</f>
        <v>0</v>
      </c>
      <c r="Y63" s="39">
        <f>IF(B63="","",IF(F63="","Add - no amount",IF(C63="","Add - no category, it will miss the P&amp;L",IF(V63="Overdue","Overdue - pay it",IF(V63="Due soon","Due - coming up",IF(IF(I63="Yes",J63="",FALSE),"Add - how often does it recur?",IF(L63="Yes","OK","Pending")))))))</f>
        <v>0</v>
      </c>
    </row>
    <row r="64" spans="1:25">
      <c r="A64" s="28">
        <f>IF(B64="","",ExpensePrefix&amp;TEXT(ROW()-4,"0000"))</f>
        <v>0</v>
      </c>
      <c r="P64" s="15">
        <f>IF(B64="","",TEXT(B64,"yyyy-mm"))</f>
        <v>0</v>
      </c>
      <c r="Q64" s="25">
        <f>IF(B64="","",WEEKNUM(B64,2))</f>
        <v>0</v>
      </c>
      <c r="R64" s="26">
        <f>IF(B64="","",ROUND(IF(F64="",0,F64)+IF(G64="",0,G64),2))</f>
        <v>0</v>
      </c>
      <c r="S64" s="26">
        <f>IF(B64="","",IF(I64&lt;&gt;"Yes",0,ROUND(IF(F64="",0,F64)*IF(J64="Weekly",52/12,IF(J64="Fortnightly",26/12,IF(J64="Four weekly",13/12,IF(J64="Monthly",1,IF(J64="Quarterly",1/3,IF(J64="Twice a year",1/6,IF(J64="Yearly",1/12,0))))))),2)))</f>
        <v>0</v>
      </c>
      <c r="T64" s="38">
        <f>IF(B64="","",IF(I64="Yes","Yes","No"))</f>
        <v>0</v>
      </c>
      <c r="U64" s="25">
        <f>IF(B64="","",IF(L64="Yes","",IF(K64="","",TodayDate-K64)))</f>
        <v>0</v>
      </c>
      <c r="V64" s="39">
        <f>IF(B64="","",IF(L64="Yes","Paid",IF(K64="","Pending",IF(K64&lt;TodayDate,"Overdue",IF(K64&lt;=TodayDate+7,"Due soon","Pending")))))</f>
        <v>0</v>
      </c>
      <c r="W64" s="26">
        <f>IF(B64="","",IFERROR(INDEX(BudgetAmount,MATCH(C64,BudgetCategory,0))*1,0))</f>
        <v>0</v>
      </c>
      <c r="X64" s="25">
        <f>IF(B64="","",COUNTIFS($R$5:$R$604,"&gt;"&amp;R64)+COUNTIFS($R$5:R64,R64))</f>
        <v>0</v>
      </c>
      <c r="Y64" s="39">
        <f>IF(B64="","",IF(F64="","Add - no amount",IF(C64="","Add - no category, it will miss the P&amp;L",IF(V64="Overdue","Overdue - pay it",IF(V64="Due soon","Due - coming up",IF(IF(I64="Yes",J64="",FALSE),"Add - how often does it recur?",IF(L64="Yes","OK","Pending")))))))</f>
        <v>0</v>
      </c>
    </row>
    <row r="65" spans="1:25">
      <c r="A65" s="28">
        <f>IF(B65="","",ExpensePrefix&amp;TEXT(ROW()-4,"0000"))</f>
        <v>0</v>
      </c>
      <c r="P65" s="15">
        <f>IF(B65="","",TEXT(B65,"yyyy-mm"))</f>
        <v>0</v>
      </c>
      <c r="Q65" s="25">
        <f>IF(B65="","",WEEKNUM(B65,2))</f>
        <v>0</v>
      </c>
      <c r="R65" s="26">
        <f>IF(B65="","",ROUND(IF(F65="",0,F65)+IF(G65="",0,G65),2))</f>
        <v>0</v>
      </c>
      <c r="S65" s="26">
        <f>IF(B65="","",IF(I65&lt;&gt;"Yes",0,ROUND(IF(F65="",0,F65)*IF(J65="Weekly",52/12,IF(J65="Fortnightly",26/12,IF(J65="Four weekly",13/12,IF(J65="Monthly",1,IF(J65="Quarterly",1/3,IF(J65="Twice a year",1/6,IF(J65="Yearly",1/12,0))))))),2)))</f>
        <v>0</v>
      </c>
      <c r="T65" s="38">
        <f>IF(B65="","",IF(I65="Yes","Yes","No"))</f>
        <v>0</v>
      </c>
      <c r="U65" s="25">
        <f>IF(B65="","",IF(L65="Yes","",IF(K65="","",TodayDate-K65)))</f>
        <v>0</v>
      </c>
      <c r="V65" s="39">
        <f>IF(B65="","",IF(L65="Yes","Paid",IF(K65="","Pending",IF(K65&lt;TodayDate,"Overdue",IF(K65&lt;=TodayDate+7,"Due soon","Pending")))))</f>
        <v>0</v>
      </c>
      <c r="W65" s="26">
        <f>IF(B65="","",IFERROR(INDEX(BudgetAmount,MATCH(C65,BudgetCategory,0))*1,0))</f>
        <v>0</v>
      </c>
      <c r="X65" s="25">
        <f>IF(B65="","",COUNTIFS($R$5:$R$604,"&gt;"&amp;R65)+COUNTIFS($R$5:R65,R65))</f>
        <v>0</v>
      </c>
      <c r="Y65" s="39">
        <f>IF(B65="","",IF(F65="","Add - no amount",IF(C65="","Add - no category, it will miss the P&amp;L",IF(V65="Overdue","Overdue - pay it",IF(V65="Due soon","Due - coming up",IF(IF(I65="Yes",J65="",FALSE),"Add - how often does it recur?",IF(L65="Yes","OK","Pending")))))))</f>
        <v>0</v>
      </c>
    </row>
    <row r="66" spans="1:25">
      <c r="A66" s="28">
        <f>IF(B66="","",ExpensePrefix&amp;TEXT(ROW()-4,"0000"))</f>
        <v>0</v>
      </c>
      <c r="P66" s="15">
        <f>IF(B66="","",TEXT(B66,"yyyy-mm"))</f>
        <v>0</v>
      </c>
      <c r="Q66" s="25">
        <f>IF(B66="","",WEEKNUM(B66,2))</f>
        <v>0</v>
      </c>
      <c r="R66" s="26">
        <f>IF(B66="","",ROUND(IF(F66="",0,F66)+IF(G66="",0,G66),2))</f>
        <v>0</v>
      </c>
      <c r="S66" s="26">
        <f>IF(B66="","",IF(I66&lt;&gt;"Yes",0,ROUND(IF(F66="",0,F66)*IF(J66="Weekly",52/12,IF(J66="Fortnightly",26/12,IF(J66="Four weekly",13/12,IF(J66="Monthly",1,IF(J66="Quarterly",1/3,IF(J66="Twice a year",1/6,IF(J66="Yearly",1/12,0))))))),2)))</f>
        <v>0</v>
      </c>
      <c r="T66" s="38">
        <f>IF(B66="","",IF(I66="Yes","Yes","No"))</f>
        <v>0</v>
      </c>
      <c r="U66" s="25">
        <f>IF(B66="","",IF(L66="Yes","",IF(K66="","",TodayDate-K66)))</f>
        <v>0</v>
      </c>
      <c r="V66" s="39">
        <f>IF(B66="","",IF(L66="Yes","Paid",IF(K66="","Pending",IF(K66&lt;TodayDate,"Overdue",IF(K66&lt;=TodayDate+7,"Due soon","Pending")))))</f>
        <v>0</v>
      </c>
      <c r="W66" s="26">
        <f>IF(B66="","",IFERROR(INDEX(BudgetAmount,MATCH(C66,BudgetCategory,0))*1,0))</f>
        <v>0</v>
      </c>
      <c r="X66" s="25">
        <f>IF(B66="","",COUNTIFS($R$5:$R$604,"&gt;"&amp;R66)+COUNTIFS($R$5:R66,R66))</f>
        <v>0</v>
      </c>
      <c r="Y66" s="39">
        <f>IF(B66="","",IF(F66="","Add - no amount",IF(C66="","Add - no category, it will miss the P&amp;L",IF(V66="Overdue","Overdue - pay it",IF(V66="Due soon","Due - coming up",IF(IF(I66="Yes",J66="",FALSE),"Add - how often does it recur?",IF(L66="Yes","OK","Pending")))))))</f>
        <v>0</v>
      </c>
    </row>
    <row r="67" spans="1:25">
      <c r="A67" s="28">
        <f>IF(B67="","",ExpensePrefix&amp;TEXT(ROW()-4,"0000"))</f>
        <v>0</v>
      </c>
      <c r="P67" s="15">
        <f>IF(B67="","",TEXT(B67,"yyyy-mm"))</f>
        <v>0</v>
      </c>
      <c r="Q67" s="25">
        <f>IF(B67="","",WEEKNUM(B67,2))</f>
        <v>0</v>
      </c>
      <c r="R67" s="26">
        <f>IF(B67="","",ROUND(IF(F67="",0,F67)+IF(G67="",0,G67),2))</f>
        <v>0</v>
      </c>
      <c r="S67" s="26">
        <f>IF(B67="","",IF(I67&lt;&gt;"Yes",0,ROUND(IF(F67="",0,F67)*IF(J67="Weekly",52/12,IF(J67="Fortnightly",26/12,IF(J67="Four weekly",13/12,IF(J67="Monthly",1,IF(J67="Quarterly",1/3,IF(J67="Twice a year",1/6,IF(J67="Yearly",1/12,0))))))),2)))</f>
        <v>0</v>
      </c>
      <c r="T67" s="38">
        <f>IF(B67="","",IF(I67="Yes","Yes","No"))</f>
        <v>0</v>
      </c>
      <c r="U67" s="25">
        <f>IF(B67="","",IF(L67="Yes","",IF(K67="","",TodayDate-K67)))</f>
        <v>0</v>
      </c>
      <c r="V67" s="39">
        <f>IF(B67="","",IF(L67="Yes","Paid",IF(K67="","Pending",IF(K67&lt;TodayDate,"Overdue",IF(K67&lt;=TodayDate+7,"Due soon","Pending")))))</f>
        <v>0</v>
      </c>
      <c r="W67" s="26">
        <f>IF(B67="","",IFERROR(INDEX(BudgetAmount,MATCH(C67,BudgetCategory,0))*1,0))</f>
        <v>0</v>
      </c>
      <c r="X67" s="25">
        <f>IF(B67="","",COUNTIFS($R$5:$R$604,"&gt;"&amp;R67)+COUNTIFS($R$5:R67,R67))</f>
        <v>0</v>
      </c>
      <c r="Y67" s="39">
        <f>IF(B67="","",IF(F67="","Add - no amount",IF(C67="","Add - no category, it will miss the P&amp;L",IF(V67="Overdue","Overdue - pay it",IF(V67="Due soon","Due - coming up",IF(IF(I67="Yes",J67="",FALSE),"Add - how often does it recur?",IF(L67="Yes","OK","Pending")))))))</f>
        <v>0</v>
      </c>
    </row>
    <row r="68" spans="1:25">
      <c r="A68" s="28">
        <f>IF(B68="","",ExpensePrefix&amp;TEXT(ROW()-4,"0000"))</f>
        <v>0</v>
      </c>
      <c r="P68" s="15">
        <f>IF(B68="","",TEXT(B68,"yyyy-mm"))</f>
        <v>0</v>
      </c>
      <c r="Q68" s="25">
        <f>IF(B68="","",WEEKNUM(B68,2))</f>
        <v>0</v>
      </c>
      <c r="R68" s="26">
        <f>IF(B68="","",ROUND(IF(F68="",0,F68)+IF(G68="",0,G68),2))</f>
        <v>0</v>
      </c>
      <c r="S68" s="26">
        <f>IF(B68="","",IF(I68&lt;&gt;"Yes",0,ROUND(IF(F68="",0,F68)*IF(J68="Weekly",52/12,IF(J68="Fortnightly",26/12,IF(J68="Four weekly",13/12,IF(J68="Monthly",1,IF(J68="Quarterly",1/3,IF(J68="Twice a year",1/6,IF(J68="Yearly",1/12,0))))))),2)))</f>
        <v>0</v>
      </c>
      <c r="T68" s="38">
        <f>IF(B68="","",IF(I68="Yes","Yes","No"))</f>
        <v>0</v>
      </c>
      <c r="U68" s="25">
        <f>IF(B68="","",IF(L68="Yes","",IF(K68="","",TodayDate-K68)))</f>
        <v>0</v>
      </c>
      <c r="V68" s="39">
        <f>IF(B68="","",IF(L68="Yes","Paid",IF(K68="","Pending",IF(K68&lt;TodayDate,"Overdue",IF(K68&lt;=TodayDate+7,"Due soon","Pending")))))</f>
        <v>0</v>
      </c>
      <c r="W68" s="26">
        <f>IF(B68="","",IFERROR(INDEX(BudgetAmount,MATCH(C68,BudgetCategory,0))*1,0))</f>
        <v>0</v>
      </c>
      <c r="X68" s="25">
        <f>IF(B68="","",COUNTIFS($R$5:$R$604,"&gt;"&amp;R68)+COUNTIFS($R$5:R68,R68))</f>
        <v>0</v>
      </c>
      <c r="Y68" s="39">
        <f>IF(B68="","",IF(F68="","Add - no amount",IF(C68="","Add - no category, it will miss the P&amp;L",IF(V68="Overdue","Overdue - pay it",IF(V68="Due soon","Due - coming up",IF(IF(I68="Yes",J68="",FALSE),"Add - how often does it recur?",IF(L68="Yes","OK","Pending")))))))</f>
        <v>0</v>
      </c>
    </row>
    <row r="69" spans="1:25">
      <c r="A69" s="28">
        <f>IF(B69="","",ExpensePrefix&amp;TEXT(ROW()-4,"0000"))</f>
        <v>0</v>
      </c>
      <c r="P69" s="15">
        <f>IF(B69="","",TEXT(B69,"yyyy-mm"))</f>
        <v>0</v>
      </c>
      <c r="Q69" s="25">
        <f>IF(B69="","",WEEKNUM(B69,2))</f>
        <v>0</v>
      </c>
      <c r="R69" s="26">
        <f>IF(B69="","",ROUND(IF(F69="",0,F69)+IF(G69="",0,G69),2))</f>
        <v>0</v>
      </c>
      <c r="S69" s="26">
        <f>IF(B69="","",IF(I69&lt;&gt;"Yes",0,ROUND(IF(F69="",0,F69)*IF(J69="Weekly",52/12,IF(J69="Fortnightly",26/12,IF(J69="Four weekly",13/12,IF(J69="Monthly",1,IF(J69="Quarterly",1/3,IF(J69="Twice a year",1/6,IF(J69="Yearly",1/12,0))))))),2)))</f>
        <v>0</v>
      </c>
      <c r="T69" s="38">
        <f>IF(B69="","",IF(I69="Yes","Yes","No"))</f>
        <v>0</v>
      </c>
      <c r="U69" s="25">
        <f>IF(B69="","",IF(L69="Yes","",IF(K69="","",TodayDate-K69)))</f>
        <v>0</v>
      </c>
      <c r="V69" s="39">
        <f>IF(B69="","",IF(L69="Yes","Paid",IF(K69="","Pending",IF(K69&lt;TodayDate,"Overdue",IF(K69&lt;=TodayDate+7,"Due soon","Pending")))))</f>
        <v>0</v>
      </c>
      <c r="W69" s="26">
        <f>IF(B69="","",IFERROR(INDEX(BudgetAmount,MATCH(C69,BudgetCategory,0))*1,0))</f>
        <v>0</v>
      </c>
      <c r="X69" s="25">
        <f>IF(B69="","",COUNTIFS($R$5:$R$604,"&gt;"&amp;R69)+COUNTIFS($R$5:R69,R69))</f>
        <v>0</v>
      </c>
      <c r="Y69" s="39">
        <f>IF(B69="","",IF(F69="","Add - no amount",IF(C69="","Add - no category, it will miss the P&amp;L",IF(V69="Overdue","Overdue - pay it",IF(V69="Due soon","Due - coming up",IF(IF(I69="Yes",J69="",FALSE),"Add - how often does it recur?",IF(L69="Yes","OK","Pending")))))))</f>
        <v>0</v>
      </c>
    </row>
    <row r="70" spans="1:25">
      <c r="A70" s="28">
        <f>IF(B70="","",ExpensePrefix&amp;TEXT(ROW()-4,"0000"))</f>
        <v>0</v>
      </c>
      <c r="P70" s="15">
        <f>IF(B70="","",TEXT(B70,"yyyy-mm"))</f>
        <v>0</v>
      </c>
      <c r="Q70" s="25">
        <f>IF(B70="","",WEEKNUM(B70,2))</f>
        <v>0</v>
      </c>
      <c r="R70" s="26">
        <f>IF(B70="","",ROUND(IF(F70="",0,F70)+IF(G70="",0,G70),2))</f>
        <v>0</v>
      </c>
      <c r="S70" s="26">
        <f>IF(B70="","",IF(I70&lt;&gt;"Yes",0,ROUND(IF(F70="",0,F70)*IF(J70="Weekly",52/12,IF(J70="Fortnightly",26/12,IF(J70="Four weekly",13/12,IF(J70="Monthly",1,IF(J70="Quarterly",1/3,IF(J70="Twice a year",1/6,IF(J70="Yearly",1/12,0))))))),2)))</f>
        <v>0</v>
      </c>
      <c r="T70" s="38">
        <f>IF(B70="","",IF(I70="Yes","Yes","No"))</f>
        <v>0</v>
      </c>
      <c r="U70" s="25">
        <f>IF(B70="","",IF(L70="Yes","",IF(K70="","",TodayDate-K70)))</f>
        <v>0</v>
      </c>
      <c r="V70" s="39">
        <f>IF(B70="","",IF(L70="Yes","Paid",IF(K70="","Pending",IF(K70&lt;TodayDate,"Overdue",IF(K70&lt;=TodayDate+7,"Due soon","Pending")))))</f>
        <v>0</v>
      </c>
      <c r="W70" s="26">
        <f>IF(B70="","",IFERROR(INDEX(BudgetAmount,MATCH(C70,BudgetCategory,0))*1,0))</f>
        <v>0</v>
      </c>
      <c r="X70" s="25">
        <f>IF(B70="","",COUNTIFS($R$5:$R$604,"&gt;"&amp;R70)+COUNTIFS($R$5:R70,R70))</f>
        <v>0</v>
      </c>
      <c r="Y70" s="39">
        <f>IF(B70="","",IF(F70="","Add - no amount",IF(C70="","Add - no category, it will miss the P&amp;L",IF(V70="Overdue","Overdue - pay it",IF(V70="Due soon","Due - coming up",IF(IF(I70="Yes",J70="",FALSE),"Add - how often does it recur?",IF(L70="Yes","OK","Pending")))))))</f>
        <v>0</v>
      </c>
    </row>
    <row r="71" spans="1:25">
      <c r="A71" s="28">
        <f>IF(B71="","",ExpensePrefix&amp;TEXT(ROW()-4,"0000"))</f>
        <v>0</v>
      </c>
      <c r="P71" s="15">
        <f>IF(B71="","",TEXT(B71,"yyyy-mm"))</f>
        <v>0</v>
      </c>
      <c r="Q71" s="25">
        <f>IF(B71="","",WEEKNUM(B71,2))</f>
        <v>0</v>
      </c>
      <c r="R71" s="26">
        <f>IF(B71="","",ROUND(IF(F71="",0,F71)+IF(G71="",0,G71),2))</f>
        <v>0</v>
      </c>
      <c r="S71" s="26">
        <f>IF(B71="","",IF(I71&lt;&gt;"Yes",0,ROUND(IF(F71="",0,F71)*IF(J71="Weekly",52/12,IF(J71="Fortnightly",26/12,IF(J71="Four weekly",13/12,IF(J71="Monthly",1,IF(J71="Quarterly",1/3,IF(J71="Twice a year",1/6,IF(J71="Yearly",1/12,0))))))),2)))</f>
        <v>0</v>
      </c>
      <c r="T71" s="38">
        <f>IF(B71="","",IF(I71="Yes","Yes","No"))</f>
        <v>0</v>
      </c>
      <c r="U71" s="25">
        <f>IF(B71="","",IF(L71="Yes","",IF(K71="","",TodayDate-K71)))</f>
        <v>0</v>
      </c>
      <c r="V71" s="39">
        <f>IF(B71="","",IF(L71="Yes","Paid",IF(K71="","Pending",IF(K71&lt;TodayDate,"Overdue",IF(K71&lt;=TodayDate+7,"Due soon","Pending")))))</f>
        <v>0</v>
      </c>
      <c r="W71" s="26">
        <f>IF(B71="","",IFERROR(INDEX(BudgetAmount,MATCH(C71,BudgetCategory,0))*1,0))</f>
        <v>0</v>
      </c>
      <c r="X71" s="25">
        <f>IF(B71="","",COUNTIFS($R$5:$R$604,"&gt;"&amp;R71)+COUNTIFS($R$5:R71,R71))</f>
        <v>0</v>
      </c>
      <c r="Y71" s="39">
        <f>IF(B71="","",IF(F71="","Add - no amount",IF(C71="","Add - no category, it will miss the P&amp;L",IF(V71="Overdue","Overdue - pay it",IF(V71="Due soon","Due - coming up",IF(IF(I71="Yes",J71="",FALSE),"Add - how often does it recur?",IF(L71="Yes","OK","Pending")))))))</f>
        <v>0</v>
      </c>
    </row>
    <row r="72" spans="1:25">
      <c r="A72" s="28">
        <f>IF(B72="","",ExpensePrefix&amp;TEXT(ROW()-4,"0000"))</f>
        <v>0</v>
      </c>
      <c r="P72" s="15">
        <f>IF(B72="","",TEXT(B72,"yyyy-mm"))</f>
        <v>0</v>
      </c>
      <c r="Q72" s="25">
        <f>IF(B72="","",WEEKNUM(B72,2))</f>
        <v>0</v>
      </c>
      <c r="R72" s="26">
        <f>IF(B72="","",ROUND(IF(F72="",0,F72)+IF(G72="",0,G72),2))</f>
        <v>0</v>
      </c>
      <c r="S72" s="26">
        <f>IF(B72="","",IF(I72&lt;&gt;"Yes",0,ROUND(IF(F72="",0,F72)*IF(J72="Weekly",52/12,IF(J72="Fortnightly",26/12,IF(J72="Four weekly",13/12,IF(J72="Monthly",1,IF(J72="Quarterly",1/3,IF(J72="Twice a year",1/6,IF(J72="Yearly",1/12,0))))))),2)))</f>
        <v>0</v>
      </c>
      <c r="T72" s="38">
        <f>IF(B72="","",IF(I72="Yes","Yes","No"))</f>
        <v>0</v>
      </c>
      <c r="U72" s="25">
        <f>IF(B72="","",IF(L72="Yes","",IF(K72="","",TodayDate-K72)))</f>
        <v>0</v>
      </c>
      <c r="V72" s="39">
        <f>IF(B72="","",IF(L72="Yes","Paid",IF(K72="","Pending",IF(K72&lt;TodayDate,"Overdue",IF(K72&lt;=TodayDate+7,"Due soon","Pending")))))</f>
        <v>0</v>
      </c>
      <c r="W72" s="26">
        <f>IF(B72="","",IFERROR(INDEX(BudgetAmount,MATCH(C72,BudgetCategory,0))*1,0))</f>
        <v>0</v>
      </c>
      <c r="X72" s="25">
        <f>IF(B72="","",COUNTIFS($R$5:$R$604,"&gt;"&amp;R72)+COUNTIFS($R$5:R72,R72))</f>
        <v>0</v>
      </c>
      <c r="Y72" s="39">
        <f>IF(B72="","",IF(F72="","Add - no amount",IF(C72="","Add - no category, it will miss the P&amp;L",IF(V72="Overdue","Overdue - pay it",IF(V72="Due soon","Due - coming up",IF(IF(I72="Yes",J72="",FALSE),"Add - how often does it recur?",IF(L72="Yes","OK","Pending")))))))</f>
        <v>0</v>
      </c>
    </row>
    <row r="73" spans="1:25">
      <c r="A73" s="28">
        <f>IF(B73="","",ExpensePrefix&amp;TEXT(ROW()-4,"0000"))</f>
        <v>0</v>
      </c>
      <c r="P73" s="15">
        <f>IF(B73="","",TEXT(B73,"yyyy-mm"))</f>
        <v>0</v>
      </c>
      <c r="Q73" s="25">
        <f>IF(B73="","",WEEKNUM(B73,2))</f>
        <v>0</v>
      </c>
      <c r="R73" s="26">
        <f>IF(B73="","",ROUND(IF(F73="",0,F73)+IF(G73="",0,G73),2))</f>
        <v>0</v>
      </c>
      <c r="S73" s="26">
        <f>IF(B73="","",IF(I73&lt;&gt;"Yes",0,ROUND(IF(F73="",0,F73)*IF(J73="Weekly",52/12,IF(J73="Fortnightly",26/12,IF(J73="Four weekly",13/12,IF(J73="Monthly",1,IF(J73="Quarterly",1/3,IF(J73="Twice a year",1/6,IF(J73="Yearly",1/12,0))))))),2)))</f>
        <v>0</v>
      </c>
      <c r="T73" s="38">
        <f>IF(B73="","",IF(I73="Yes","Yes","No"))</f>
        <v>0</v>
      </c>
      <c r="U73" s="25">
        <f>IF(B73="","",IF(L73="Yes","",IF(K73="","",TodayDate-K73)))</f>
        <v>0</v>
      </c>
      <c r="V73" s="39">
        <f>IF(B73="","",IF(L73="Yes","Paid",IF(K73="","Pending",IF(K73&lt;TodayDate,"Overdue",IF(K73&lt;=TodayDate+7,"Due soon","Pending")))))</f>
        <v>0</v>
      </c>
      <c r="W73" s="26">
        <f>IF(B73="","",IFERROR(INDEX(BudgetAmount,MATCH(C73,BudgetCategory,0))*1,0))</f>
        <v>0</v>
      </c>
      <c r="X73" s="25">
        <f>IF(B73="","",COUNTIFS($R$5:$R$604,"&gt;"&amp;R73)+COUNTIFS($R$5:R73,R73))</f>
        <v>0</v>
      </c>
      <c r="Y73" s="39">
        <f>IF(B73="","",IF(F73="","Add - no amount",IF(C73="","Add - no category, it will miss the P&amp;L",IF(V73="Overdue","Overdue - pay it",IF(V73="Due soon","Due - coming up",IF(IF(I73="Yes",J73="",FALSE),"Add - how often does it recur?",IF(L73="Yes","OK","Pending")))))))</f>
        <v>0</v>
      </c>
    </row>
    <row r="74" spans="1:25">
      <c r="A74" s="28">
        <f>IF(B74="","",ExpensePrefix&amp;TEXT(ROW()-4,"0000"))</f>
        <v>0</v>
      </c>
      <c r="P74" s="15">
        <f>IF(B74="","",TEXT(B74,"yyyy-mm"))</f>
        <v>0</v>
      </c>
      <c r="Q74" s="25">
        <f>IF(B74="","",WEEKNUM(B74,2))</f>
        <v>0</v>
      </c>
      <c r="R74" s="26">
        <f>IF(B74="","",ROUND(IF(F74="",0,F74)+IF(G74="",0,G74),2))</f>
        <v>0</v>
      </c>
      <c r="S74" s="26">
        <f>IF(B74="","",IF(I74&lt;&gt;"Yes",0,ROUND(IF(F74="",0,F74)*IF(J74="Weekly",52/12,IF(J74="Fortnightly",26/12,IF(J74="Four weekly",13/12,IF(J74="Monthly",1,IF(J74="Quarterly",1/3,IF(J74="Twice a year",1/6,IF(J74="Yearly",1/12,0))))))),2)))</f>
        <v>0</v>
      </c>
      <c r="T74" s="38">
        <f>IF(B74="","",IF(I74="Yes","Yes","No"))</f>
        <v>0</v>
      </c>
      <c r="U74" s="25">
        <f>IF(B74="","",IF(L74="Yes","",IF(K74="","",TodayDate-K74)))</f>
        <v>0</v>
      </c>
      <c r="V74" s="39">
        <f>IF(B74="","",IF(L74="Yes","Paid",IF(K74="","Pending",IF(K74&lt;TodayDate,"Overdue",IF(K74&lt;=TodayDate+7,"Due soon","Pending")))))</f>
        <v>0</v>
      </c>
      <c r="W74" s="26">
        <f>IF(B74="","",IFERROR(INDEX(BudgetAmount,MATCH(C74,BudgetCategory,0))*1,0))</f>
        <v>0</v>
      </c>
      <c r="X74" s="25">
        <f>IF(B74="","",COUNTIFS($R$5:$R$604,"&gt;"&amp;R74)+COUNTIFS($R$5:R74,R74))</f>
        <v>0</v>
      </c>
      <c r="Y74" s="39">
        <f>IF(B74="","",IF(F74="","Add - no amount",IF(C74="","Add - no category, it will miss the P&amp;L",IF(V74="Overdue","Overdue - pay it",IF(V74="Due soon","Due - coming up",IF(IF(I74="Yes",J74="",FALSE),"Add - how often does it recur?",IF(L74="Yes","OK","Pending")))))))</f>
        <v>0</v>
      </c>
    </row>
    <row r="75" spans="1:25">
      <c r="A75" s="28">
        <f>IF(B75="","",ExpensePrefix&amp;TEXT(ROW()-4,"0000"))</f>
        <v>0</v>
      </c>
      <c r="P75" s="15">
        <f>IF(B75="","",TEXT(B75,"yyyy-mm"))</f>
        <v>0</v>
      </c>
      <c r="Q75" s="25">
        <f>IF(B75="","",WEEKNUM(B75,2))</f>
        <v>0</v>
      </c>
      <c r="R75" s="26">
        <f>IF(B75="","",ROUND(IF(F75="",0,F75)+IF(G75="",0,G75),2))</f>
        <v>0</v>
      </c>
      <c r="S75" s="26">
        <f>IF(B75="","",IF(I75&lt;&gt;"Yes",0,ROUND(IF(F75="",0,F75)*IF(J75="Weekly",52/12,IF(J75="Fortnightly",26/12,IF(J75="Four weekly",13/12,IF(J75="Monthly",1,IF(J75="Quarterly",1/3,IF(J75="Twice a year",1/6,IF(J75="Yearly",1/12,0))))))),2)))</f>
        <v>0</v>
      </c>
      <c r="T75" s="38">
        <f>IF(B75="","",IF(I75="Yes","Yes","No"))</f>
        <v>0</v>
      </c>
      <c r="U75" s="25">
        <f>IF(B75="","",IF(L75="Yes","",IF(K75="","",TodayDate-K75)))</f>
        <v>0</v>
      </c>
      <c r="V75" s="39">
        <f>IF(B75="","",IF(L75="Yes","Paid",IF(K75="","Pending",IF(K75&lt;TodayDate,"Overdue",IF(K75&lt;=TodayDate+7,"Due soon","Pending")))))</f>
        <v>0</v>
      </c>
      <c r="W75" s="26">
        <f>IF(B75="","",IFERROR(INDEX(BudgetAmount,MATCH(C75,BudgetCategory,0))*1,0))</f>
        <v>0</v>
      </c>
      <c r="X75" s="25">
        <f>IF(B75="","",COUNTIFS($R$5:$R$604,"&gt;"&amp;R75)+COUNTIFS($R$5:R75,R75))</f>
        <v>0</v>
      </c>
      <c r="Y75" s="39">
        <f>IF(B75="","",IF(F75="","Add - no amount",IF(C75="","Add - no category, it will miss the P&amp;L",IF(V75="Overdue","Overdue - pay it",IF(V75="Due soon","Due - coming up",IF(IF(I75="Yes",J75="",FALSE),"Add - how often does it recur?",IF(L75="Yes","OK","Pending")))))))</f>
        <v>0</v>
      </c>
    </row>
    <row r="76" spans="1:25">
      <c r="A76" s="28">
        <f>IF(B76="","",ExpensePrefix&amp;TEXT(ROW()-4,"0000"))</f>
        <v>0</v>
      </c>
      <c r="P76" s="15">
        <f>IF(B76="","",TEXT(B76,"yyyy-mm"))</f>
        <v>0</v>
      </c>
      <c r="Q76" s="25">
        <f>IF(B76="","",WEEKNUM(B76,2))</f>
        <v>0</v>
      </c>
      <c r="R76" s="26">
        <f>IF(B76="","",ROUND(IF(F76="",0,F76)+IF(G76="",0,G76),2))</f>
        <v>0</v>
      </c>
      <c r="S76" s="26">
        <f>IF(B76="","",IF(I76&lt;&gt;"Yes",0,ROUND(IF(F76="",0,F76)*IF(J76="Weekly",52/12,IF(J76="Fortnightly",26/12,IF(J76="Four weekly",13/12,IF(J76="Monthly",1,IF(J76="Quarterly",1/3,IF(J76="Twice a year",1/6,IF(J76="Yearly",1/12,0))))))),2)))</f>
        <v>0</v>
      </c>
      <c r="T76" s="38">
        <f>IF(B76="","",IF(I76="Yes","Yes","No"))</f>
        <v>0</v>
      </c>
      <c r="U76" s="25">
        <f>IF(B76="","",IF(L76="Yes","",IF(K76="","",TodayDate-K76)))</f>
        <v>0</v>
      </c>
      <c r="V76" s="39">
        <f>IF(B76="","",IF(L76="Yes","Paid",IF(K76="","Pending",IF(K76&lt;TodayDate,"Overdue",IF(K76&lt;=TodayDate+7,"Due soon","Pending")))))</f>
        <v>0</v>
      </c>
      <c r="W76" s="26">
        <f>IF(B76="","",IFERROR(INDEX(BudgetAmount,MATCH(C76,BudgetCategory,0))*1,0))</f>
        <v>0</v>
      </c>
      <c r="X76" s="25">
        <f>IF(B76="","",COUNTIFS($R$5:$R$604,"&gt;"&amp;R76)+COUNTIFS($R$5:R76,R76))</f>
        <v>0</v>
      </c>
      <c r="Y76" s="39">
        <f>IF(B76="","",IF(F76="","Add - no amount",IF(C76="","Add - no category, it will miss the P&amp;L",IF(V76="Overdue","Overdue - pay it",IF(V76="Due soon","Due - coming up",IF(IF(I76="Yes",J76="",FALSE),"Add - how often does it recur?",IF(L76="Yes","OK","Pending")))))))</f>
        <v>0</v>
      </c>
    </row>
    <row r="77" spans="1:25">
      <c r="A77" s="28">
        <f>IF(B77="","",ExpensePrefix&amp;TEXT(ROW()-4,"0000"))</f>
        <v>0</v>
      </c>
      <c r="P77" s="15">
        <f>IF(B77="","",TEXT(B77,"yyyy-mm"))</f>
        <v>0</v>
      </c>
      <c r="Q77" s="25">
        <f>IF(B77="","",WEEKNUM(B77,2))</f>
        <v>0</v>
      </c>
      <c r="R77" s="26">
        <f>IF(B77="","",ROUND(IF(F77="",0,F77)+IF(G77="",0,G77),2))</f>
        <v>0</v>
      </c>
      <c r="S77" s="26">
        <f>IF(B77="","",IF(I77&lt;&gt;"Yes",0,ROUND(IF(F77="",0,F77)*IF(J77="Weekly",52/12,IF(J77="Fortnightly",26/12,IF(J77="Four weekly",13/12,IF(J77="Monthly",1,IF(J77="Quarterly",1/3,IF(J77="Twice a year",1/6,IF(J77="Yearly",1/12,0))))))),2)))</f>
        <v>0</v>
      </c>
      <c r="T77" s="38">
        <f>IF(B77="","",IF(I77="Yes","Yes","No"))</f>
        <v>0</v>
      </c>
      <c r="U77" s="25">
        <f>IF(B77="","",IF(L77="Yes","",IF(K77="","",TodayDate-K77)))</f>
        <v>0</v>
      </c>
      <c r="V77" s="39">
        <f>IF(B77="","",IF(L77="Yes","Paid",IF(K77="","Pending",IF(K77&lt;TodayDate,"Overdue",IF(K77&lt;=TodayDate+7,"Due soon","Pending")))))</f>
        <v>0</v>
      </c>
      <c r="W77" s="26">
        <f>IF(B77="","",IFERROR(INDEX(BudgetAmount,MATCH(C77,BudgetCategory,0))*1,0))</f>
        <v>0</v>
      </c>
      <c r="X77" s="25">
        <f>IF(B77="","",COUNTIFS($R$5:$R$604,"&gt;"&amp;R77)+COUNTIFS($R$5:R77,R77))</f>
        <v>0</v>
      </c>
      <c r="Y77" s="39">
        <f>IF(B77="","",IF(F77="","Add - no amount",IF(C77="","Add - no category, it will miss the P&amp;L",IF(V77="Overdue","Overdue - pay it",IF(V77="Due soon","Due - coming up",IF(IF(I77="Yes",J77="",FALSE),"Add - how often does it recur?",IF(L77="Yes","OK","Pending")))))))</f>
        <v>0</v>
      </c>
    </row>
    <row r="78" spans="1:25">
      <c r="A78" s="28">
        <f>IF(B78="","",ExpensePrefix&amp;TEXT(ROW()-4,"0000"))</f>
        <v>0</v>
      </c>
      <c r="P78" s="15">
        <f>IF(B78="","",TEXT(B78,"yyyy-mm"))</f>
        <v>0</v>
      </c>
      <c r="Q78" s="25">
        <f>IF(B78="","",WEEKNUM(B78,2))</f>
        <v>0</v>
      </c>
      <c r="R78" s="26">
        <f>IF(B78="","",ROUND(IF(F78="",0,F78)+IF(G78="",0,G78),2))</f>
        <v>0</v>
      </c>
      <c r="S78" s="26">
        <f>IF(B78="","",IF(I78&lt;&gt;"Yes",0,ROUND(IF(F78="",0,F78)*IF(J78="Weekly",52/12,IF(J78="Fortnightly",26/12,IF(J78="Four weekly",13/12,IF(J78="Monthly",1,IF(J78="Quarterly",1/3,IF(J78="Twice a year",1/6,IF(J78="Yearly",1/12,0))))))),2)))</f>
        <v>0</v>
      </c>
      <c r="T78" s="38">
        <f>IF(B78="","",IF(I78="Yes","Yes","No"))</f>
        <v>0</v>
      </c>
      <c r="U78" s="25">
        <f>IF(B78="","",IF(L78="Yes","",IF(K78="","",TodayDate-K78)))</f>
        <v>0</v>
      </c>
      <c r="V78" s="39">
        <f>IF(B78="","",IF(L78="Yes","Paid",IF(K78="","Pending",IF(K78&lt;TodayDate,"Overdue",IF(K78&lt;=TodayDate+7,"Due soon","Pending")))))</f>
        <v>0</v>
      </c>
      <c r="W78" s="26">
        <f>IF(B78="","",IFERROR(INDEX(BudgetAmount,MATCH(C78,BudgetCategory,0))*1,0))</f>
        <v>0</v>
      </c>
      <c r="X78" s="25">
        <f>IF(B78="","",COUNTIFS($R$5:$R$604,"&gt;"&amp;R78)+COUNTIFS($R$5:R78,R78))</f>
        <v>0</v>
      </c>
      <c r="Y78" s="39">
        <f>IF(B78="","",IF(F78="","Add - no amount",IF(C78="","Add - no category, it will miss the P&amp;L",IF(V78="Overdue","Overdue - pay it",IF(V78="Due soon","Due - coming up",IF(IF(I78="Yes",J78="",FALSE),"Add - how often does it recur?",IF(L78="Yes","OK","Pending")))))))</f>
        <v>0</v>
      </c>
    </row>
    <row r="79" spans="1:25">
      <c r="A79" s="28">
        <f>IF(B79="","",ExpensePrefix&amp;TEXT(ROW()-4,"0000"))</f>
        <v>0</v>
      </c>
      <c r="P79" s="15">
        <f>IF(B79="","",TEXT(B79,"yyyy-mm"))</f>
        <v>0</v>
      </c>
      <c r="Q79" s="25">
        <f>IF(B79="","",WEEKNUM(B79,2))</f>
        <v>0</v>
      </c>
      <c r="R79" s="26">
        <f>IF(B79="","",ROUND(IF(F79="",0,F79)+IF(G79="",0,G79),2))</f>
        <v>0</v>
      </c>
      <c r="S79" s="26">
        <f>IF(B79="","",IF(I79&lt;&gt;"Yes",0,ROUND(IF(F79="",0,F79)*IF(J79="Weekly",52/12,IF(J79="Fortnightly",26/12,IF(J79="Four weekly",13/12,IF(J79="Monthly",1,IF(J79="Quarterly",1/3,IF(J79="Twice a year",1/6,IF(J79="Yearly",1/12,0))))))),2)))</f>
        <v>0</v>
      </c>
      <c r="T79" s="38">
        <f>IF(B79="","",IF(I79="Yes","Yes","No"))</f>
        <v>0</v>
      </c>
      <c r="U79" s="25">
        <f>IF(B79="","",IF(L79="Yes","",IF(K79="","",TodayDate-K79)))</f>
        <v>0</v>
      </c>
      <c r="V79" s="39">
        <f>IF(B79="","",IF(L79="Yes","Paid",IF(K79="","Pending",IF(K79&lt;TodayDate,"Overdue",IF(K79&lt;=TodayDate+7,"Due soon","Pending")))))</f>
        <v>0</v>
      </c>
      <c r="W79" s="26">
        <f>IF(B79="","",IFERROR(INDEX(BudgetAmount,MATCH(C79,BudgetCategory,0))*1,0))</f>
        <v>0</v>
      </c>
      <c r="X79" s="25">
        <f>IF(B79="","",COUNTIFS($R$5:$R$604,"&gt;"&amp;R79)+COUNTIFS($R$5:R79,R79))</f>
        <v>0</v>
      </c>
      <c r="Y79" s="39">
        <f>IF(B79="","",IF(F79="","Add - no amount",IF(C79="","Add - no category, it will miss the P&amp;L",IF(V79="Overdue","Overdue - pay it",IF(V79="Due soon","Due - coming up",IF(IF(I79="Yes",J79="",FALSE),"Add - how often does it recur?",IF(L79="Yes","OK","Pending")))))))</f>
        <v>0</v>
      </c>
    </row>
    <row r="80" spans="1:25">
      <c r="A80" s="28">
        <f>IF(B80="","",ExpensePrefix&amp;TEXT(ROW()-4,"0000"))</f>
        <v>0</v>
      </c>
      <c r="P80" s="15">
        <f>IF(B80="","",TEXT(B80,"yyyy-mm"))</f>
        <v>0</v>
      </c>
      <c r="Q80" s="25">
        <f>IF(B80="","",WEEKNUM(B80,2))</f>
        <v>0</v>
      </c>
      <c r="R80" s="26">
        <f>IF(B80="","",ROUND(IF(F80="",0,F80)+IF(G80="",0,G80),2))</f>
        <v>0</v>
      </c>
      <c r="S80" s="26">
        <f>IF(B80="","",IF(I80&lt;&gt;"Yes",0,ROUND(IF(F80="",0,F80)*IF(J80="Weekly",52/12,IF(J80="Fortnightly",26/12,IF(J80="Four weekly",13/12,IF(J80="Monthly",1,IF(J80="Quarterly",1/3,IF(J80="Twice a year",1/6,IF(J80="Yearly",1/12,0))))))),2)))</f>
        <v>0</v>
      </c>
      <c r="T80" s="38">
        <f>IF(B80="","",IF(I80="Yes","Yes","No"))</f>
        <v>0</v>
      </c>
      <c r="U80" s="25">
        <f>IF(B80="","",IF(L80="Yes","",IF(K80="","",TodayDate-K80)))</f>
        <v>0</v>
      </c>
      <c r="V80" s="39">
        <f>IF(B80="","",IF(L80="Yes","Paid",IF(K80="","Pending",IF(K80&lt;TodayDate,"Overdue",IF(K80&lt;=TodayDate+7,"Due soon","Pending")))))</f>
        <v>0</v>
      </c>
      <c r="W80" s="26">
        <f>IF(B80="","",IFERROR(INDEX(BudgetAmount,MATCH(C80,BudgetCategory,0))*1,0))</f>
        <v>0</v>
      </c>
      <c r="X80" s="25">
        <f>IF(B80="","",COUNTIFS($R$5:$R$604,"&gt;"&amp;R80)+COUNTIFS($R$5:R80,R80))</f>
        <v>0</v>
      </c>
      <c r="Y80" s="39">
        <f>IF(B80="","",IF(F80="","Add - no amount",IF(C80="","Add - no category, it will miss the P&amp;L",IF(V80="Overdue","Overdue - pay it",IF(V80="Due soon","Due - coming up",IF(IF(I80="Yes",J80="",FALSE),"Add - how often does it recur?",IF(L80="Yes","OK","Pending")))))))</f>
        <v>0</v>
      </c>
    </row>
    <row r="81" spans="1:25">
      <c r="A81" s="28">
        <f>IF(B81="","",ExpensePrefix&amp;TEXT(ROW()-4,"0000"))</f>
        <v>0</v>
      </c>
      <c r="P81" s="15">
        <f>IF(B81="","",TEXT(B81,"yyyy-mm"))</f>
        <v>0</v>
      </c>
      <c r="Q81" s="25">
        <f>IF(B81="","",WEEKNUM(B81,2))</f>
        <v>0</v>
      </c>
      <c r="R81" s="26">
        <f>IF(B81="","",ROUND(IF(F81="",0,F81)+IF(G81="",0,G81),2))</f>
        <v>0</v>
      </c>
      <c r="S81" s="26">
        <f>IF(B81="","",IF(I81&lt;&gt;"Yes",0,ROUND(IF(F81="",0,F81)*IF(J81="Weekly",52/12,IF(J81="Fortnightly",26/12,IF(J81="Four weekly",13/12,IF(J81="Monthly",1,IF(J81="Quarterly",1/3,IF(J81="Twice a year",1/6,IF(J81="Yearly",1/12,0))))))),2)))</f>
        <v>0</v>
      </c>
      <c r="T81" s="38">
        <f>IF(B81="","",IF(I81="Yes","Yes","No"))</f>
        <v>0</v>
      </c>
      <c r="U81" s="25">
        <f>IF(B81="","",IF(L81="Yes","",IF(K81="","",TodayDate-K81)))</f>
        <v>0</v>
      </c>
      <c r="V81" s="39">
        <f>IF(B81="","",IF(L81="Yes","Paid",IF(K81="","Pending",IF(K81&lt;TodayDate,"Overdue",IF(K81&lt;=TodayDate+7,"Due soon","Pending")))))</f>
        <v>0</v>
      </c>
      <c r="W81" s="26">
        <f>IF(B81="","",IFERROR(INDEX(BudgetAmount,MATCH(C81,BudgetCategory,0))*1,0))</f>
        <v>0</v>
      </c>
      <c r="X81" s="25">
        <f>IF(B81="","",COUNTIFS($R$5:$R$604,"&gt;"&amp;R81)+COUNTIFS($R$5:R81,R81))</f>
        <v>0</v>
      </c>
      <c r="Y81" s="39">
        <f>IF(B81="","",IF(F81="","Add - no amount",IF(C81="","Add - no category, it will miss the P&amp;L",IF(V81="Overdue","Overdue - pay it",IF(V81="Due soon","Due - coming up",IF(IF(I81="Yes",J81="",FALSE),"Add - how often does it recur?",IF(L81="Yes","OK","Pending")))))))</f>
        <v>0</v>
      </c>
    </row>
    <row r="82" spans="1:25">
      <c r="A82" s="28">
        <f>IF(B82="","",ExpensePrefix&amp;TEXT(ROW()-4,"0000"))</f>
        <v>0</v>
      </c>
      <c r="P82" s="15">
        <f>IF(B82="","",TEXT(B82,"yyyy-mm"))</f>
        <v>0</v>
      </c>
      <c r="Q82" s="25">
        <f>IF(B82="","",WEEKNUM(B82,2))</f>
        <v>0</v>
      </c>
      <c r="R82" s="26">
        <f>IF(B82="","",ROUND(IF(F82="",0,F82)+IF(G82="",0,G82),2))</f>
        <v>0</v>
      </c>
      <c r="S82" s="26">
        <f>IF(B82="","",IF(I82&lt;&gt;"Yes",0,ROUND(IF(F82="",0,F82)*IF(J82="Weekly",52/12,IF(J82="Fortnightly",26/12,IF(J82="Four weekly",13/12,IF(J82="Monthly",1,IF(J82="Quarterly",1/3,IF(J82="Twice a year",1/6,IF(J82="Yearly",1/12,0))))))),2)))</f>
        <v>0</v>
      </c>
      <c r="T82" s="38">
        <f>IF(B82="","",IF(I82="Yes","Yes","No"))</f>
        <v>0</v>
      </c>
      <c r="U82" s="25">
        <f>IF(B82="","",IF(L82="Yes","",IF(K82="","",TodayDate-K82)))</f>
        <v>0</v>
      </c>
      <c r="V82" s="39">
        <f>IF(B82="","",IF(L82="Yes","Paid",IF(K82="","Pending",IF(K82&lt;TodayDate,"Overdue",IF(K82&lt;=TodayDate+7,"Due soon","Pending")))))</f>
        <v>0</v>
      </c>
      <c r="W82" s="26">
        <f>IF(B82="","",IFERROR(INDEX(BudgetAmount,MATCH(C82,BudgetCategory,0))*1,0))</f>
        <v>0</v>
      </c>
      <c r="X82" s="25">
        <f>IF(B82="","",COUNTIFS($R$5:$R$604,"&gt;"&amp;R82)+COUNTIFS($R$5:R82,R82))</f>
        <v>0</v>
      </c>
      <c r="Y82" s="39">
        <f>IF(B82="","",IF(F82="","Add - no amount",IF(C82="","Add - no category, it will miss the P&amp;L",IF(V82="Overdue","Overdue - pay it",IF(V82="Due soon","Due - coming up",IF(IF(I82="Yes",J82="",FALSE),"Add - how often does it recur?",IF(L82="Yes","OK","Pending")))))))</f>
        <v>0</v>
      </c>
    </row>
    <row r="83" spans="1:25">
      <c r="A83" s="28">
        <f>IF(B83="","",ExpensePrefix&amp;TEXT(ROW()-4,"0000"))</f>
        <v>0</v>
      </c>
      <c r="P83" s="15">
        <f>IF(B83="","",TEXT(B83,"yyyy-mm"))</f>
        <v>0</v>
      </c>
      <c r="Q83" s="25">
        <f>IF(B83="","",WEEKNUM(B83,2))</f>
        <v>0</v>
      </c>
      <c r="R83" s="26">
        <f>IF(B83="","",ROUND(IF(F83="",0,F83)+IF(G83="",0,G83),2))</f>
        <v>0</v>
      </c>
      <c r="S83" s="26">
        <f>IF(B83="","",IF(I83&lt;&gt;"Yes",0,ROUND(IF(F83="",0,F83)*IF(J83="Weekly",52/12,IF(J83="Fortnightly",26/12,IF(J83="Four weekly",13/12,IF(J83="Monthly",1,IF(J83="Quarterly",1/3,IF(J83="Twice a year",1/6,IF(J83="Yearly",1/12,0))))))),2)))</f>
        <v>0</v>
      </c>
      <c r="T83" s="38">
        <f>IF(B83="","",IF(I83="Yes","Yes","No"))</f>
        <v>0</v>
      </c>
      <c r="U83" s="25">
        <f>IF(B83="","",IF(L83="Yes","",IF(K83="","",TodayDate-K83)))</f>
        <v>0</v>
      </c>
      <c r="V83" s="39">
        <f>IF(B83="","",IF(L83="Yes","Paid",IF(K83="","Pending",IF(K83&lt;TodayDate,"Overdue",IF(K83&lt;=TodayDate+7,"Due soon","Pending")))))</f>
        <v>0</v>
      </c>
      <c r="W83" s="26">
        <f>IF(B83="","",IFERROR(INDEX(BudgetAmount,MATCH(C83,BudgetCategory,0))*1,0))</f>
        <v>0</v>
      </c>
      <c r="X83" s="25">
        <f>IF(B83="","",COUNTIFS($R$5:$R$604,"&gt;"&amp;R83)+COUNTIFS($R$5:R83,R83))</f>
        <v>0</v>
      </c>
      <c r="Y83" s="39">
        <f>IF(B83="","",IF(F83="","Add - no amount",IF(C83="","Add - no category, it will miss the P&amp;L",IF(V83="Overdue","Overdue - pay it",IF(V83="Due soon","Due - coming up",IF(IF(I83="Yes",J83="",FALSE),"Add - how often does it recur?",IF(L83="Yes","OK","Pending")))))))</f>
        <v>0</v>
      </c>
    </row>
    <row r="84" spans="1:25">
      <c r="A84" s="28">
        <f>IF(B84="","",ExpensePrefix&amp;TEXT(ROW()-4,"0000"))</f>
        <v>0</v>
      </c>
      <c r="P84" s="15">
        <f>IF(B84="","",TEXT(B84,"yyyy-mm"))</f>
        <v>0</v>
      </c>
      <c r="Q84" s="25">
        <f>IF(B84="","",WEEKNUM(B84,2))</f>
        <v>0</v>
      </c>
      <c r="R84" s="26">
        <f>IF(B84="","",ROUND(IF(F84="",0,F84)+IF(G84="",0,G84),2))</f>
        <v>0</v>
      </c>
      <c r="S84" s="26">
        <f>IF(B84="","",IF(I84&lt;&gt;"Yes",0,ROUND(IF(F84="",0,F84)*IF(J84="Weekly",52/12,IF(J84="Fortnightly",26/12,IF(J84="Four weekly",13/12,IF(J84="Monthly",1,IF(J84="Quarterly",1/3,IF(J84="Twice a year",1/6,IF(J84="Yearly",1/12,0))))))),2)))</f>
        <v>0</v>
      </c>
      <c r="T84" s="38">
        <f>IF(B84="","",IF(I84="Yes","Yes","No"))</f>
        <v>0</v>
      </c>
      <c r="U84" s="25">
        <f>IF(B84="","",IF(L84="Yes","",IF(K84="","",TodayDate-K84)))</f>
        <v>0</v>
      </c>
      <c r="V84" s="39">
        <f>IF(B84="","",IF(L84="Yes","Paid",IF(K84="","Pending",IF(K84&lt;TodayDate,"Overdue",IF(K84&lt;=TodayDate+7,"Due soon","Pending")))))</f>
        <v>0</v>
      </c>
      <c r="W84" s="26">
        <f>IF(B84="","",IFERROR(INDEX(BudgetAmount,MATCH(C84,BudgetCategory,0))*1,0))</f>
        <v>0</v>
      </c>
      <c r="X84" s="25">
        <f>IF(B84="","",COUNTIFS($R$5:$R$604,"&gt;"&amp;R84)+COUNTIFS($R$5:R84,R84))</f>
        <v>0</v>
      </c>
      <c r="Y84" s="39">
        <f>IF(B84="","",IF(F84="","Add - no amount",IF(C84="","Add - no category, it will miss the P&amp;L",IF(V84="Overdue","Overdue - pay it",IF(V84="Due soon","Due - coming up",IF(IF(I84="Yes",J84="",FALSE),"Add - how often does it recur?",IF(L84="Yes","OK","Pending")))))))</f>
        <v>0</v>
      </c>
    </row>
    <row r="85" spans="1:25">
      <c r="A85" s="28">
        <f>IF(B85="","",ExpensePrefix&amp;TEXT(ROW()-4,"0000"))</f>
        <v>0</v>
      </c>
      <c r="P85" s="15">
        <f>IF(B85="","",TEXT(B85,"yyyy-mm"))</f>
        <v>0</v>
      </c>
      <c r="Q85" s="25">
        <f>IF(B85="","",WEEKNUM(B85,2))</f>
        <v>0</v>
      </c>
      <c r="R85" s="26">
        <f>IF(B85="","",ROUND(IF(F85="",0,F85)+IF(G85="",0,G85),2))</f>
        <v>0</v>
      </c>
      <c r="S85" s="26">
        <f>IF(B85="","",IF(I85&lt;&gt;"Yes",0,ROUND(IF(F85="",0,F85)*IF(J85="Weekly",52/12,IF(J85="Fortnightly",26/12,IF(J85="Four weekly",13/12,IF(J85="Monthly",1,IF(J85="Quarterly",1/3,IF(J85="Twice a year",1/6,IF(J85="Yearly",1/12,0))))))),2)))</f>
        <v>0</v>
      </c>
      <c r="T85" s="38">
        <f>IF(B85="","",IF(I85="Yes","Yes","No"))</f>
        <v>0</v>
      </c>
      <c r="U85" s="25">
        <f>IF(B85="","",IF(L85="Yes","",IF(K85="","",TodayDate-K85)))</f>
        <v>0</v>
      </c>
      <c r="V85" s="39">
        <f>IF(B85="","",IF(L85="Yes","Paid",IF(K85="","Pending",IF(K85&lt;TodayDate,"Overdue",IF(K85&lt;=TodayDate+7,"Due soon","Pending")))))</f>
        <v>0</v>
      </c>
      <c r="W85" s="26">
        <f>IF(B85="","",IFERROR(INDEX(BudgetAmount,MATCH(C85,BudgetCategory,0))*1,0))</f>
        <v>0</v>
      </c>
      <c r="X85" s="25">
        <f>IF(B85="","",COUNTIFS($R$5:$R$604,"&gt;"&amp;R85)+COUNTIFS($R$5:R85,R85))</f>
        <v>0</v>
      </c>
      <c r="Y85" s="39">
        <f>IF(B85="","",IF(F85="","Add - no amount",IF(C85="","Add - no category, it will miss the P&amp;L",IF(V85="Overdue","Overdue - pay it",IF(V85="Due soon","Due - coming up",IF(IF(I85="Yes",J85="",FALSE),"Add - how often does it recur?",IF(L85="Yes","OK","Pending")))))))</f>
        <v>0</v>
      </c>
    </row>
    <row r="86" spans="1:25">
      <c r="A86" s="28">
        <f>IF(B86="","",ExpensePrefix&amp;TEXT(ROW()-4,"0000"))</f>
        <v>0</v>
      </c>
      <c r="P86" s="15">
        <f>IF(B86="","",TEXT(B86,"yyyy-mm"))</f>
        <v>0</v>
      </c>
      <c r="Q86" s="25">
        <f>IF(B86="","",WEEKNUM(B86,2))</f>
        <v>0</v>
      </c>
      <c r="R86" s="26">
        <f>IF(B86="","",ROUND(IF(F86="",0,F86)+IF(G86="",0,G86),2))</f>
        <v>0</v>
      </c>
      <c r="S86" s="26">
        <f>IF(B86="","",IF(I86&lt;&gt;"Yes",0,ROUND(IF(F86="",0,F86)*IF(J86="Weekly",52/12,IF(J86="Fortnightly",26/12,IF(J86="Four weekly",13/12,IF(J86="Monthly",1,IF(J86="Quarterly",1/3,IF(J86="Twice a year",1/6,IF(J86="Yearly",1/12,0))))))),2)))</f>
        <v>0</v>
      </c>
      <c r="T86" s="38">
        <f>IF(B86="","",IF(I86="Yes","Yes","No"))</f>
        <v>0</v>
      </c>
      <c r="U86" s="25">
        <f>IF(B86="","",IF(L86="Yes","",IF(K86="","",TodayDate-K86)))</f>
        <v>0</v>
      </c>
      <c r="V86" s="39">
        <f>IF(B86="","",IF(L86="Yes","Paid",IF(K86="","Pending",IF(K86&lt;TodayDate,"Overdue",IF(K86&lt;=TodayDate+7,"Due soon","Pending")))))</f>
        <v>0</v>
      </c>
      <c r="W86" s="26">
        <f>IF(B86="","",IFERROR(INDEX(BudgetAmount,MATCH(C86,BudgetCategory,0))*1,0))</f>
        <v>0</v>
      </c>
      <c r="X86" s="25">
        <f>IF(B86="","",COUNTIFS($R$5:$R$604,"&gt;"&amp;R86)+COUNTIFS($R$5:R86,R86))</f>
        <v>0</v>
      </c>
      <c r="Y86" s="39">
        <f>IF(B86="","",IF(F86="","Add - no amount",IF(C86="","Add - no category, it will miss the P&amp;L",IF(V86="Overdue","Overdue - pay it",IF(V86="Due soon","Due - coming up",IF(IF(I86="Yes",J86="",FALSE),"Add - how often does it recur?",IF(L86="Yes","OK","Pending")))))))</f>
        <v>0</v>
      </c>
    </row>
    <row r="87" spans="1:25">
      <c r="A87" s="28">
        <f>IF(B87="","",ExpensePrefix&amp;TEXT(ROW()-4,"0000"))</f>
        <v>0</v>
      </c>
      <c r="P87" s="15">
        <f>IF(B87="","",TEXT(B87,"yyyy-mm"))</f>
        <v>0</v>
      </c>
      <c r="Q87" s="25">
        <f>IF(B87="","",WEEKNUM(B87,2))</f>
        <v>0</v>
      </c>
      <c r="R87" s="26">
        <f>IF(B87="","",ROUND(IF(F87="",0,F87)+IF(G87="",0,G87),2))</f>
        <v>0</v>
      </c>
      <c r="S87" s="26">
        <f>IF(B87="","",IF(I87&lt;&gt;"Yes",0,ROUND(IF(F87="",0,F87)*IF(J87="Weekly",52/12,IF(J87="Fortnightly",26/12,IF(J87="Four weekly",13/12,IF(J87="Monthly",1,IF(J87="Quarterly",1/3,IF(J87="Twice a year",1/6,IF(J87="Yearly",1/12,0))))))),2)))</f>
        <v>0</v>
      </c>
      <c r="T87" s="38">
        <f>IF(B87="","",IF(I87="Yes","Yes","No"))</f>
        <v>0</v>
      </c>
      <c r="U87" s="25">
        <f>IF(B87="","",IF(L87="Yes","",IF(K87="","",TodayDate-K87)))</f>
        <v>0</v>
      </c>
      <c r="V87" s="39">
        <f>IF(B87="","",IF(L87="Yes","Paid",IF(K87="","Pending",IF(K87&lt;TodayDate,"Overdue",IF(K87&lt;=TodayDate+7,"Due soon","Pending")))))</f>
        <v>0</v>
      </c>
      <c r="W87" s="26">
        <f>IF(B87="","",IFERROR(INDEX(BudgetAmount,MATCH(C87,BudgetCategory,0))*1,0))</f>
        <v>0</v>
      </c>
      <c r="X87" s="25">
        <f>IF(B87="","",COUNTIFS($R$5:$R$604,"&gt;"&amp;R87)+COUNTIFS($R$5:R87,R87))</f>
        <v>0</v>
      </c>
      <c r="Y87" s="39">
        <f>IF(B87="","",IF(F87="","Add - no amount",IF(C87="","Add - no category, it will miss the P&amp;L",IF(V87="Overdue","Overdue - pay it",IF(V87="Due soon","Due - coming up",IF(IF(I87="Yes",J87="",FALSE),"Add - how often does it recur?",IF(L87="Yes","OK","Pending")))))))</f>
        <v>0</v>
      </c>
    </row>
    <row r="88" spans="1:25">
      <c r="A88" s="28">
        <f>IF(B88="","",ExpensePrefix&amp;TEXT(ROW()-4,"0000"))</f>
        <v>0</v>
      </c>
      <c r="P88" s="15">
        <f>IF(B88="","",TEXT(B88,"yyyy-mm"))</f>
        <v>0</v>
      </c>
      <c r="Q88" s="25">
        <f>IF(B88="","",WEEKNUM(B88,2))</f>
        <v>0</v>
      </c>
      <c r="R88" s="26">
        <f>IF(B88="","",ROUND(IF(F88="",0,F88)+IF(G88="",0,G88),2))</f>
        <v>0</v>
      </c>
      <c r="S88" s="26">
        <f>IF(B88="","",IF(I88&lt;&gt;"Yes",0,ROUND(IF(F88="",0,F88)*IF(J88="Weekly",52/12,IF(J88="Fortnightly",26/12,IF(J88="Four weekly",13/12,IF(J88="Monthly",1,IF(J88="Quarterly",1/3,IF(J88="Twice a year",1/6,IF(J88="Yearly",1/12,0))))))),2)))</f>
        <v>0</v>
      </c>
      <c r="T88" s="38">
        <f>IF(B88="","",IF(I88="Yes","Yes","No"))</f>
        <v>0</v>
      </c>
      <c r="U88" s="25">
        <f>IF(B88="","",IF(L88="Yes","",IF(K88="","",TodayDate-K88)))</f>
        <v>0</v>
      </c>
      <c r="V88" s="39">
        <f>IF(B88="","",IF(L88="Yes","Paid",IF(K88="","Pending",IF(K88&lt;TodayDate,"Overdue",IF(K88&lt;=TodayDate+7,"Due soon","Pending")))))</f>
        <v>0</v>
      </c>
      <c r="W88" s="26">
        <f>IF(B88="","",IFERROR(INDEX(BudgetAmount,MATCH(C88,BudgetCategory,0))*1,0))</f>
        <v>0</v>
      </c>
      <c r="X88" s="25">
        <f>IF(B88="","",COUNTIFS($R$5:$R$604,"&gt;"&amp;R88)+COUNTIFS($R$5:R88,R88))</f>
        <v>0</v>
      </c>
      <c r="Y88" s="39">
        <f>IF(B88="","",IF(F88="","Add - no amount",IF(C88="","Add - no category, it will miss the P&amp;L",IF(V88="Overdue","Overdue - pay it",IF(V88="Due soon","Due - coming up",IF(IF(I88="Yes",J88="",FALSE),"Add - how often does it recur?",IF(L88="Yes","OK","Pending")))))))</f>
        <v>0</v>
      </c>
    </row>
    <row r="89" spans="1:25">
      <c r="A89" s="28">
        <f>IF(B89="","",ExpensePrefix&amp;TEXT(ROW()-4,"0000"))</f>
        <v>0</v>
      </c>
      <c r="P89" s="15">
        <f>IF(B89="","",TEXT(B89,"yyyy-mm"))</f>
        <v>0</v>
      </c>
      <c r="Q89" s="25">
        <f>IF(B89="","",WEEKNUM(B89,2))</f>
        <v>0</v>
      </c>
      <c r="R89" s="26">
        <f>IF(B89="","",ROUND(IF(F89="",0,F89)+IF(G89="",0,G89),2))</f>
        <v>0</v>
      </c>
      <c r="S89" s="26">
        <f>IF(B89="","",IF(I89&lt;&gt;"Yes",0,ROUND(IF(F89="",0,F89)*IF(J89="Weekly",52/12,IF(J89="Fortnightly",26/12,IF(J89="Four weekly",13/12,IF(J89="Monthly",1,IF(J89="Quarterly",1/3,IF(J89="Twice a year",1/6,IF(J89="Yearly",1/12,0))))))),2)))</f>
        <v>0</v>
      </c>
      <c r="T89" s="38">
        <f>IF(B89="","",IF(I89="Yes","Yes","No"))</f>
        <v>0</v>
      </c>
      <c r="U89" s="25">
        <f>IF(B89="","",IF(L89="Yes","",IF(K89="","",TodayDate-K89)))</f>
        <v>0</v>
      </c>
      <c r="V89" s="39">
        <f>IF(B89="","",IF(L89="Yes","Paid",IF(K89="","Pending",IF(K89&lt;TodayDate,"Overdue",IF(K89&lt;=TodayDate+7,"Due soon","Pending")))))</f>
        <v>0</v>
      </c>
      <c r="W89" s="26">
        <f>IF(B89="","",IFERROR(INDEX(BudgetAmount,MATCH(C89,BudgetCategory,0))*1,0))</f>
        <v>0</v>
      </c>
      <c r="X89" s="25">
        <f>IF(B89="","",COUNTIFS($R$5:$R$604,"&gt;"&amp;R89)+COUNTIFS($R$5:R89,R89))</f>
        <v>0</v>
      </c>
      <c r="Y89" s="39">
        <f>IF(B89="","",IF(F89="","Add - no amount",IF(C89="","Add - no category, it will miss the P&amp;L",IF(V89="Overdue","Overdue - pay it",IF(V89="Due soon","Due - coming up",IF(IF(I89="Yes",J89="",FALSE),"Add - how often does it recur?",IF(L89="Yes","OK","Pending")))))))</f>
        <v>0</v>
      </c>
    </row>
    <row r="90" spans="1:25">
      <c r="A90" s="28">
        <f>IF(B90="","",ExpensePrefix&amp;TEXT(ROW()-4,"0000"))</f>
        <v>0</v>
      </c>
      <c r="P90" s="15">
        <f>IF(B90="","",TEXT(B90,"yyyy-mm"))</f>
        <v>0</v>
      </c>
      <c r="Q90" s="25">
        <f>IF(B90="","",WEEKNUM(B90,2))</f>
        <v>0</v>
      </c>
      <c r="R90" s="26">
        <f>IF(B90="","",ROUND(IF(F90="",0,F90)+IF(G90="",0,G90),2))</f>
        <v>0</v>
      </c>
      <c r="S90" s="26">
        <f>IF(B90="","",IF(I90&lt;&gt;"Yes",0,ROUND(IF(F90="",0,F90)*IF(J90="Weekly",52/12,IF(J90="Fortnightly",26/12,IF(J90="Four weekly",13/12,IF(J90="Monthly",1,IF(J90="Quarterly",1/3,IF(J90="Twice a year",1/6,IF(J90="Yearly",1/12,0))))))),2)))</f>
        <v>0</v>
      </c>
      <c r="T90" s="38">
        <f>IF(B90="","",IF(I90="Yes","Yes","No"))</f>
        <v>0</v>
      </c>
      <c r="U90" s="25">
        <f>IF(B90="","",IF(L90="Yes","",IF(K90="","",TodayDate-K90)))</f>
        <v>0</v>
      </c>
      <c r="V90" s="39">
        <f>IF(B90="","",IF(L90="Yes","Paid",IF(K90="","Pending",IF(K90&lt;TodayDate,"Overdue",IF(K90&lt;=TodayDate+7,"Due soon","Pending")))))</f>
        <v>0</v>
      </c>
      <c r="W90" s="26">
        <f>IF(B90="","",IFERROR(INDEX(BudgetAmount,MATCH(C90,BudgetCategory,0))*1,0))</f>
        <v>0</v>
      </c>
      <c r="X90" s="25">
        <f>IF(B90="","",COUNTIFS($R$5:$R$604,"&gt;"&amp;R90)+COUNTIFS($R$5:R90,R90))</f>
        <v>0</v>
      </c>
      <c r="Y90" s="39">
        <f>IF(B90="","",IF(F90="","Add - no amount",IF(C90="","Add - no category, it will miss the P&amp;L",IF(V90="Overdue","Overdue - pay it",IF(V90="Due soon","Due - coming up",IF(IF(I90="Yes",J90="",FALSE),"Add - how often does it recur?",IF(L90="Yes","OK","Pending")))))))</f>
        <v>0</v>
      </c>
    </row>
    <row r="91" spans="1:25">
      <c r="A91" s="28">
        <f>IF(B91="","",ExpensePrefix&amp;TEXT(ROW()-4,"0000"))</f>
        <v>0</v>
      </c>
      <c r="P91" s="15">
        <f>IF(B91="","",TEXT(B91,"yyyy-mm"))</f>
        <v>0</v>
      </c>
      <c r="Q91" s="25">
        <f>IF(B91="","",WEEKNUM(B91,2))</f>
        <v>0</v>
      </c>
      <c r="R91" s="26">
        <f>IF(B91="","",ROUND(IF(F91="",0,F91)+IF(G91="",0,G91),2))</f>
        <v>0</v>
      </c>
      <c r="S91" s="26">
        <f>IF(B91="","",IF(I91&lt;&gt;"Yes",0,ROUND(IF(F91="",0,F91)*IF(J91="Weekly",52/12,IF(J91="Fortnightly",26/12,IF(J91="Four weekly",13/12,IF(J91="Monthly",1,IF(J91="Quarterly",1/3,IF(J91="Twice a year",1/6,IF(J91="Yearly",1/12,0))))))),2)))</f>
        <v>0</v>
      </c>
      <c r="T91" s="38">
        <f>IF(B91="","",IF(I91="Yes","Yes","No"))</f>
        <v>0</v>
      </c>
      <c r="U91" s="25">
        <f>IF(B91="","",IF(L91="Yes","",IF(K91="","",TodayDate-K91)))</f>
        <v>0</v>
      </c>
      <c r="V91" s="39">
        <f>IF(B91="","",IF(L91="Yes","Paid",IF(K91="","Pending",IF(K91&lt;TodayDate,"Overdue",IF(K91&lt;=TodayDate+7,"Due soon","Pending")))))</f>
        <v>0</v>
      </c>
      <c r="W91" s="26">
        <f>IF(B91="","",IFERROR(INDEX(BudgetAmount,MATCH(C91,BudgetCategory,0))*1,0))</f>
        <v>0</v>
      </c>
      <c r="X91" s="25">
        <f>IF(B91="","",COUNTIFS($R$5:$R$604,"&gt;"&amp;R91)+COUNTIFS($R$5:R91,R91))</f>
        <v>0</v>
      </c>
      <c r="Y91" s="39">
        <f>IF(B91="","",IF(F91="","Add - no amount",IF(C91="","Add - no category, it will miss the P&amp;L",IF(V91="Overdue","Overdue - pay it",IF(V91="Due soon","Due - coming up",IF(IF(I91="Yes",J91="",FALSE),"Add - how often does it recur?",IF(L91="Yes","OK","Pending")))))))</f>
        <v>0</v>
      </c>
    </row>
    <row r="92" spans="1:25">
      <c r="A92" s="28">
        <f>IF(B92="","",ExpensePrefix&amp;TEXT(ROW()-4,"0000"))</f>
        <v>0</v>
      </c>
      <c r="P92" s="15">
        <f>IF(B92="","",TEXT(B92,"yyyy-mm"))</f>
        <v>0</v>
      </c>
      <c r="Q92" s="25">
        <f>IF(B92="","",WEEKNUM(B92,2))</f>
        <v>0</v>
      </c>
      <c r="R92" s="26">
        <f>IF(B92="","",ROUND(IF(F92="",0,F92)+IF(G92="",0,G92),2))</f>
        <v>0</v>
      </c>
      <c r="S92" s="26">
        <f>IF(B92="","",IF(I92&lt;&gt;"Yes",0,ROUND(IF(F92="",0,F92)*IF(J92="Weekly",52/12,IF(J92="Fortnightly",26/12,IF(J92="Four weekly",13/12,IF(J92="Monthly",1,IF(J92="Quarterly",1/3,IF(J92="Twice a year",1/6,IF(J92="Yearly",1/12,0))))))),2)))</f>
        <v>0</v>
      </c>
      <c r="T92" s="38">
        <f>IF(B92="","",IF(I92="Yes","Yes","No"))</f>
        <v>0</v>
      </c>
      <c r="U92" s="25">
        <f>IF(B92="","",IF(L92="Yes","",IF(K92="","",TodayDate-K92)))</f>
        <v>0</v>
      </c>
      <c r="V92" s="39">
        <f>IF(B92="","",IF(L92="Yes","Paid",IF(K92="","Pending",IF(K92&lt;TodayDate,"Overdue",IF(K92&lt;=TodayDate+7,"Due soon","Pending")))))</f>
        <v>0</v>
      </c>
      <c r="W92" s="26">
        <f>IF(B92="","",IFERROR(INDEX(BudgetAmount,MATCH(C92,BudgetCategory,0))*1,0))</f>
        <v>0</v>
      </c>
      <c r="X92" s="25">
        <f>IF(B92="","",COUNTIFS($R$5:$R$604,"&gt;"&amp;R92)+COUNTIFS($R$5:R92,R92))</f>
        <v>0</v>
      </c>
      <c r="Y92" s="39">
        <f>IF(B92="","",IF(F92="","Add - no amount",IF(C92="","Add - no category, it will miss the P&amp;L",IF(V92="Overdue","Overdue - pay it",IF(V92="Due soon","Due - coming up",IF(IF(I92="Yes",J92="",FALSE),"Add - how often does it recur?",IF(L92="Yes","OK","Pending")))))))</f>
        <v>0</v>
      </c>
    </row>
    <row r="93" spans="1:25">
      <c r="A93" s="28">
        <f>IF(B93="","",ExpensePrefix&amp;TEXT(ROW()-4,"0000"))</f>
        <v>0</v>
      </c>
      <c r="P93" s="15">
        <f>IF(B93="","",TEXT(B93,"yyyy-mm"))</f>
        <v>0</v>
      </c>
      <c r="Q93" s="25">
        <f>IF(B93="","",WEEKNUM(B93,2))</f>
        <v>0</v>
      </c>
      <c r="R93" s="26">
        <f>IF(B93="","",ROUND(IF(F93="",0,F93)+IF(G93="",0,G93),2))</f>
        <v>0</v>
      </c>
      <c r="S93" s="26">
        <f>IF(B93="","",IF(I93&lt;&gt;"Yes",0,ROUND(IF(F93="",0,F93)*IF(J93="Weekly",52/12,IF(J93="Fortnightly",26/12,IF(J93="Four weekly",13/12,IF(J93="Monthly",1,IF(J93="Quarterly",1/3,IF(J93="Twice a year",1/6,IF(J93="Yearly",1/12,0))))))),2)))</f>
        <v>0</v>
      </c>
      <c r="T93" s="38">
        <f>IF(B93="","",IF(I93="Yes","Yes","No"))</f>
        <v>0</v>
      </c>
      <c r="U93" s="25">
        <f>IF(B93="","",IF(L93="Yes","",IF(K93="","",TodayDate-K93)))</f>
        <v>0</v>
      </c>
      <c r="V93" s="39">
        <f>IF(B93="","",IF(L93="Yes","Paid",IF(K93="","Pending",IF(K93&lt;TodayDate,"Overdue",IF(K93&lt;=TodayDate+7,"Due soon","Pending")))))</f>
        <v>0</v>
      </c>
      <c r="W93" s="26">
        <f>IF(B93="","",IFERROR(INDEX(BudgetAmount,MATCH(C93,BudgetCategory,0))*1,0))</f>
        <v>0</v>
      </c>
      <c r="X93" s="25">
        <f>IF(B93="","",COUNTIFS($R$5:$R$604,"&gt;"&amp;R93)+COUNTIFS($R$5:R93,R93))</f>
        <v>0</v>
      </c>
      <c r="Y93" s="39">
        <f>IF(B93="","",IF(F93="","Add - no amount",IF(C93="","Add - no category, it will miss the P&amp;L",IF(V93="Overdue","Overdue - pay it",IF(V93="Due soon","Due - coming up",IF(IF(I93="Yes",J93="",FALSE),"Add - how often does it recur?",IF(L93="Yes","OK","Pending")))))))</f>
        <v>0</v>
      </c>
    </row>
    <row r="94" spans="1:25">
      <c r="A94" s="28">
        <f>IF(B94="","",ExpensePrefix&amp;TEXT(ROW()-4,"0000"))</f>
        <v>0</v>
      </c>
      <c r="P94" s="15">
        <f>IF(B94="","",TEXT(B94,"yyyy-mm"))</f>
        <v>0</v>
      </c>
      <c r="Q94" s="25">
        <f>IF(B94="","",WEEKNUM(B94,2))</f>
        <v>0</v>
      </c>
      <c r="R94" s="26">
        <f>IF(B94="","",ROUND(IF(F94="",0,F94)+IF(G94="",0,G94),2))</f>
        <v>0</v>
      </c>
      <c r="S94" s="26">
        <f>IF(B94="","",IF(I94&lt;&gt;"Yes",0,ROUND(IF(F94="",0,F94)*IF(J94="Weekly",52/12,IF(J94="Fortnightly",26/12,IF(J94="Four weekly",13/12,IF(J94="Monthly",1,IF(J94="Quarterly",1/3,IF(J94="Twice a year",1/6,IF(J94="Yearly",1/12,0))))))),2)))</f>
        <v>0</v>
      </c>
      <c r="T94" s="38">
        <f>IF(B94="","",IF(I94="Yes","Yes","No"))</f>
        <v>0</v>
      </c>
      <c r="U94" s="25">
        <f>IF(B94="","",IF(L94="Yes","",IF(K94="","",TodayDate-K94)))</f>
        <v>0</v>
      </c>
      <c r="V94" s="39">
        <f>IF(B94="","",IF(L94="Yes","Paid",IF(K94="","Pending",IF(K94&lt;TodayDate,"Overdue",IF(K94&lt;=TodayDate+7,"Due soon","Pending")))))</f>
        <v>0</v>
      </c>
      <c r="W94" s="26">
        <f>IF(B94="","",IFERROR(INDEX(BudgetAmount,MATCH(C94,BudgetCategory,0))*1,0))</f>
        <v>0</v>
      </c>
      <c r="X94" s="25">
        <f>IF(B94="","",COUNTIFS($R$5:$R$604,"&gt;"&amp;R94)+COUNTIFS($R$5:R94,R94))</f>
        <v>0</v>
      </c>
      <c r="Y94" s="39">
        <f>IF(B94="","",IF(F94="","Add - no amount",IF(C94="","Add - no category, it will miss the P&amp;L",IF(V94="Overdue","Overdue - pay it",IF(V94="Due soon","Due - coming up",IF(IF(I94="Yes",J94="",FALSE),"Add - how often does it recur?",IF(L94="Yes","OK","Pending")))))))</f>
        <v>0</v>
      </c>
    </row>
    <row r="95" spans="1:25">
      <c r="A95" s="28">
        <f>IF(B95="","",ExpensePrefix&amp;TEXT(ROW()-4,"0000"))</f>
        <v>0</v>
      </c>
      <c r="P95" s="15">
        <f>IF(B95="","",TEXT(B95,"yyyy-mm"))</f>
        <v>0</v>
      </c>
      <c r="Q95" s="25">
        <f>IF(B95="","",WEEKNUM(B95,2))</f>
        <v>0</v>
      </c>
      <c r="R95" s="26">
        <f>IF(B95="","",ROUND(IF(F95="",0,F95)+IF(G95="",0,G95),2))</f>
        <v>0</v>
      </c>
      <c r="S95" s="26">
        <f>IF(B95="","",IF(I95&lt;&gt;"Yes",0,ROUND(IF(F95="",0,F95)*IF(J95="Weekly",52/12,IF(J95="Fortnightly",26/12,IF(J95="Four weekly",13/12,IF(J95="Monthly",1,IF(J95="Quarterly",1/3,IF(J95="Twice a year",1/6,IF(J95="Yearly",1/12,0))))))),2)))</f>
        <v>0</v>
      </c>
      <c r="T95" s="38">
        <f>IF(B95="","",IF(I95="Yes","Yes","No"))</f>
        <v>0</v>
      </c>
      <c r="U95" s="25">
        <f>IF(B95="","",IF(L95="Yes","",IF(K95="","",TodayDate-K95)))</f>
        <v>0</v>
      </c>
      <c r="V95" s="39">
        <f>IF(B95="","",IF(L95="Yes","Paid",IF(K95="","Pending",IF(K95&lt;TodayDate,"Overdue",IF(K95&lt;=TodayDate+7,"Due soon","Pending")))))</f>
        <v>0</v>
      </c>
      <c r="W95" s="26">
        <f>IF(B95="","",IFERROR(INDEX(BudgetAmount,MATCH(C95,BudgetCategory,0))*1,0))</f>
        <v>0</v>
      </c>
      <c r="X95" s="25">
        <f>IF(B95="","",COUNTIFS($R$5:$R$604,"&gt;"&amp;R95)+COUNTIFS($R$5:R95,R95))</f>
        <v>0</v>
      </c>
      <c r="Y95" s="39">
        <f>IF(B95="","",IF(F95="","Add - no amount",IF(C95="","Add - no category, it will miss the P&amp;L",IF(V95="Overdue","Overdue - pay it",IF(V95="Due soon","Due - coming up",IF(IF(I95="Yes",J95="",FALSE),"Add - how often does it recur?",IF(L95="Yes","OK","Pending")))))))</f>
        <v>0</v>
      </c>
    </row>
    <row r="96" spans="1:25">
      <c r="A96" s="28">
        <f>IF(B96="","",ExpensePrefix&amp;TEXT(ROW()-4,"0000"))</f>
        <v>0</v>
      </c>
      <c r="P96" s="15">
        <f>IF(B96="","",TEXT(B96,"yyyy-mm"))</f>
        <v>0</v>
      </c>
      <c r="Q96" s="25">
        <f>IF(B96="","",WEEKNUM(B96,2))</f>
        <v>0</v>
      </c>
      <c r="R96" s="26">
        <f>IF(B96="","",ROUND(IF(F96="",0,F96)+IF(G96="",0,G96),2))</f>
        <v>0</v>
      </c>
      <c r="S96" s="26">
        <f>IF(B96="","",IF(I96&lt;&gt;"Yes",0,ROUND(IF(F96="",0,F96)*IF(J96="Weekly",52/12,IF(J96="Fortnightly",26/12,IF(J96="Four weekly",13/12,IF(J96="Monthly",1,IF(J96="Quarterly",1/3,IF(J96="Twice a year",1/6,IF(J96="Yearly",1/12,0))))))),2)))</f>
        <v>0</v>
      </c>
      <c r="T96" s="38">
        <f>IF(B96="","",IF(I96="Yes","Yes","No"))</f>
        <v>0</v>
      </c>
      <c r="U96" s="25">
        <f>IF(B96="","",IF(L96="Yes","",IF(K96="","",TodayDate-K96)))</f>
        <v>0</v>
      </c>
      <c r="V96" s="39">
        <f>IF(B96="","",IF(L96="Yes","Paid",IF(K96="","Pending",IF(K96&lt;TodayDate,"Overdue",IF(K96&lt;=TodayDate+7,"Due soon","Pending")))))</f>
        <v>0</v>
      </c>
      <c r="W96" s="26">
        <f>IF(B96="","",IFERROR(INDEX(BudgetAmount,MATCH(C96,BudgetCategory,0))*1,0))</f>
        <v>0</v>
      </c>
      <c r="X96" s="25">
        <f>IF(B96="","",COUNTIFS($R$5:$R$604,"&gt;"&amp;R96)+COUNTIFS($R$5:R96,R96))</f>
        <v>0</v>
      </c>
      <c r="Y96" s="39">
        <f>IF(B96="","",IF(F96="","Add - no amount",IF(C96="","Add - no category, it will miss the P&amp;L",IF(V96="Overdue","Overdue - pay it",IF(V96="Due soon","Due - coming up",IF(IF(I96="Yes",J96="",FALSE),"Add - how often does it recur?",IF(L96="Yes","OK","Pending")))))))</f>
        <v>0</v>
      </c>
    </row>
    <row r="97" spans="1:25">
      <c r="A97" s="28">
        <f>IF(B97="","",ExpensePrefix&amp;TEXT(ROW()-4,"0000"))</f>
        <v>0</v>
      </c>
      <c r="P97" s="15">
        <f>IF(B97="","",TEXT(B97,"yyyy-mm"))</f>
        <v>0</v>
      </c>
      <c r="Q97" s="25">
        <f>IF(B97="","",WEEKNUM(B97,2))</f>
        <v>0</v>
      </c>
      <c r="R97" s="26">
        <f>IF(B97="","",ROUND(IF(F97="",0,F97)+IF(G97="",0,G97),2))</f>
        <v>0</v>
      </c>
      <c r="S97" s="26">
        <f>IF(B97="","",IF(I97&lt;&gt;"Yes",0,ROUND(IF(F97="",0,F97)*IF(J97="Weekly",52/12,IF(J97="Fortnightly",26/12,IF(J97="Four weekly",13/12,IF(J97="Monthly",1,IF(J97="Quarterly",1/3,IF(J97="Twice a year",1/6,IF(J97="Yearly",1/12,0))))))),2)))</f>
        <v>0</v>
      </c>
      <c r="T97" s="38">
        <f>IF(B97="","",IF(I97="Yes","Yes","No"))</f>
        <v>0</v>
      </c>
      <c r="U97" s="25">
        <f>IF(B97="","",IF(L97="Yes","",IF(K97="","",TodayDate-K97)))</f>
        <v>0</v>
      </c>
      <c r="V97" s="39">
        <f>IF(B97="","",IF(L97="Yes","Paid",IF(K97="","Pending",IF(K97&lt;TodayDate,"Overdue",IF(K97&lt;=TodayDate+7,"Due soon","Pending")))))</f>
        <v>0</v>
      </c>
      <c r="W97" s="26">
        <f>IF(B97="","",IFERROR(INDEX(BudgetAmount,MATCH(C97,BudgetCategory,0))*1,0))</f>
        <v>0</v>
      </c>
      <c r="X97" s="25">
        <f>IF(B97="","",COUNTIFS($R$5:$R$604,"&gt;"&amp;R97)+COUNTIFS($R$5:R97,R97))</f>
        <v>0</v>
      </c>
      <c r="Y97" s="39">
        <f>IF(B97="","",IF(F97="","Add - no amount",IF(C97="","Add - no category, it will miss the P&amp;L",IF(V97="Overdue","Overdue - pay it",IF(V97="Due soon","Due - coming up",IF(IF(I97="Yes",J97="",FALSE),"Add - how often does it recur?",IF(L97="Yes","OK","Pending")))))))</f>
        <v>0</v>
      </c>
    </row>
    <row r="98" spans="1:25">
      <c r="A98" s="28">
        <f>IF(B98="","",ExpensePrefix&amp;TEXT(ROW()-4,"0000"))</f>
        <v>0</v>
      </c>
      <c r="P98" s="15">
        <f>IF(B98="","",TEXT(B98,"yyyy-mm"))</f>
        <v>0</v>
      </c>
      <c r="Q98" s="25">
        <f>IF(B98="","",WEEKNUM(B98,2))</f>
        <v>0</v>
      </c>
      <c r="R98" s="26">
        <f>IF(B98="","",ROUND(IF(F98="",0,F98)+IF(G98="",0,G98),2))</f>
        <v>0</v>
      </c>
      <c r="S98" s="26">
        <f>IF(B98="","",IF(I98&lt;&gt;"Yes",0,ROUND(IF(F98="",0,F98)*IF(J98="Weekly",52/12,IF(J98="Fortnightly",26/12,IF(J98="Four weekly",13/12,IF(J98="Monthly",1,IF(J98="Quarterly",1/3,IF(J98="Twice a year",1/6,IF(J98="Yearly",1/12,0))))))),2)))</f>
        <v>0</v>
      </c>
      <c r="T98" s="38">
        <f>IF(B98="","",IF(I98="Yes","Yes","No"))</f>
        <v>0</v>
      </c>
      <c r="U98" s="25">
        <f>IF(B98="","",IF(L98="Yes","",IF(K98="","",TodayDate-K98)))</f>
        <v>0</v>
      </c>
      <c r="V98" s="39">
        <f>IF(B98="","",IF(L98="Yes","Paid",IF(K98="","Pending",IF(K98&lt;TodayDate,"Overdue",IF(K98&lt;=TodayDate+7,"Due soon","Pending")))))</f>
        <v>0</v>
      </c>
      <c r="W98" s="26">
        <f>IF(B98="","",IFERROR(INDEX(BudgetAmount,MATCH(C98,BudgetCategory,0))*1,0))</f>
        <v>0</v>
      </c>
      <c r="X98" s="25">
        <f>IF(B98="","",COUNTIFS($R$5:$R$604,"&gt;"&amp;R98)+COUNTIFS($R$5:R98,R98))</f>
        <v>0</v>
      </c>
      <c r="Y98" s="39">
        <f>IF(B98="","",IF(F98="","Add - no amount",IF(C98="","Add - no category, it will miss the P&amp;L",IF(V98="Overdue","Overdue - pay it",IF(V98="Due soon","Due - coming up",IF(IF(I98="Yes",J98="",FALSE),"Add - how often does it recur?",IF(L98="Yes","OK","Pending")))))))</f>
        <v>0</v>
      </c>
    </row>
    <row r="99" spans="1:25">
      <c r="A99" s="28">
        <f>IF(B99="","",ExpensePrefix&amp;TEXT(ROW()-4,"0000"))</f>
        <v>0</v>
      </c>
      <c r="P99" s="15">
        <f>IF(B99="","",TEXT(B99,"yyyy-mm"))</f>
        <v>0</v>
      </c>
      <c r="Q99" s="25">
        <f>IF(B99="","",WEEKNUM(B99,2))</f>
        <v>0</v>
      </c>
      <c r="R99" s="26">
        <f>IF(B99="","",ROUND(IF(F99="",0,F99)+IF(G99="",0,G99),2))</f>
        <v>0</v>
      </c>
      <c r="S99" s="26">
        <f>IF(B99="","",IF(I99&lt;&gt;"Yes",0,ROUND(IF(F99="",0,F99)*IF(J99="Weekly",52/12,IF(J99="Fortnightly",26/12,IF(J99="Four weekly",13/12,IF(J99="Monthly",1,IF(J99="Quarterly",1/3,IF(J99="Twice a year",1/6,IF(J99="Yearly",1/12,0))))))),2)))</f>
        <v>0</v>
      </c>
      <c r="T99" s="38">
        <f>IF(B99="","",IF(I99="Yes","Yes","No"))</f>
        <v>0</v>
      </c>
      <c r="U99" s="25">
        <f>IF(B99="","",IF(L99="Yes","",IF(K99="","",TodayDate-K99)))</f>
        <v>0</v>
      </c>
      <c r="V99" s="39">
        <f>IF(B99="","",IF(L99="Yes","Paid",IF(K99="","Pending",IF(K99&lt;TodayDate,"Overdue",IF(K99&lt;=TodayDate+7,"Due soon","Pending")))))</f>
        <v>0</v>
      </c>
      <c r="W99" s="26">
        <f>IF(B99="","",IFERROR(INDEX(BudgetAmount,MATCH(C99,BudgetCategory,0))*1,0))</f>
        <v>0</v>
      </c>
      <c r="X99" s="25">
        <f>IF(B99="","",COUNTIFS($R$5:$R$604,"&gt;"&amp;R99)+COUNTIFS($R$5:R99,R99))</f>
        <v>0</v>
      </c>
      <c r="Y99" s="39">
        <f>IF(B99="","",IF(F99="","Add - no amount",IF(C99="","Add - no category, it will miss the P&amp;L",IF(V99="Overdue","Overdue - pay it",IF(V99="Due soon","Due - coming up",IF(IF(I99="Yes",J99="",FALSE),"Add - how often does it recur?",IF(L99="Yes","OK","Pending")))))))</f>
        <v>0</v>
      </c>
    </row>
    <row r="100" spans="1:25">
      <c r="A100" s="28">
        <f>IF(B100="","",ExpensePrefix&amp;TEXT(ROW()-4,"0000"))</f>
        <v>0</v>
      </c>
      <c r="P100" s="15">
        <f>IF(B100="","",TEXT(B100,"yyyy-mm"))</f>
        <v>0</v>
      </c>
      <c r="Q100" s="25">
        <f>IF(B100="","",WEEKNUM(B100,2))</f>
        <v>0</v>
      </c>
      <c r="R100" s="26">
        <f>IF(B100="","",ROUND(IF(F100="",0,F100)+IF(G100="",0,G100),2))</f>
        <v>0</v>
      </c>
      <c r="S100" s="26">
        <f>IF(B100="","",IF(I100&lt;&gt;"Yes",0,ROUND(IF(F100="",0,F100)*IF(J100="Weekly",52/12,IF(J100="Fortnightly",26/12,IF(J100="Four weekly",13/12,IF(J100="Monthly",1,IF(J100="Quarterly",1/3,IF(J100="Twice a year",1/6,IF(J100="Yearly",1/12,0))))))),2)))</f>
        <v>0</v>
      </c>
      <c r="T100" s="38">
        <f>IF(B100="","",IF(I100="Yes","Yes","No"))</f>
        <v>0</v>
      </c>
      <c r="U100" s="25">
        <f>IF(B100="","",IF(L100="Yes","",IF(K100="","",TodayDate-K100)))</f>
        <v>0</v>
      </c>
      <c r="V100" s="39">
        <f>IF(B100="","",IF(L100="Yes","Paid",IF(K100="","Pending",IF(K100&lt;TodayDate,"Overdue",IF(K100&lt;=TodayDate+7,"Due soon","Pending")))))</f>
        <v>0</v>
      </c>
      <c r="W100" s="26">
        <f>IF(B100="","",IFERROR(INDEX(BudgetAmount,MATCH(C100,BudgetCategory,0))*1,0))</f>
        <v>0</v>
      </c>
      <c r="X100" s="25">
        <f>IF(B100="","",COUNTIFS($R$5:$R$604,"&gt;"&amp;R100)+COUNTIFS($R$5:R100,R100))</f>
        <v>0</v>
      </c>
      <c r="Y100" s="39">
        <f>IF(B100="","",IF(F100="","Add - no amount",IF(C100="","Add - no category, it will miss the P&amp;L",IF(V100="Overdue","Overdue - pay it",IF(V100="Due soon","Due - coming up",IF(IF(I100="Yes",J100="",FALSE),"Add - how often does it recur?",IF(L100="Yes","OK","Pending")))))))</f>
        <v>0</v>
      </c>
    </row>
    <row r="101" spans="1:25">
      <c r="A101" s="28">
        <f>IF(B101="","",ExpensePrefix&amp;TEXT(ROW()-4,"0000"))</f>
        <v>0</v>
      </c>
      <c r="P101" s="15">
        <f>IF(B101="","",TEXT(B101,"yyyy-mm"))</f>
        <v>0</v>
      </c>
      <c r="Q101" s="25">
        <f>IF(B101="","",WEEKNUM(B101,2))</f>
        <v>0</v>
      </c>
      <c r="R101" s="26">
        <f>IF(B101="","",ROUND(IF(F101="",0,F101)+IF(G101="",0,G101),2))</f>
        <v>0</v>
      </c>
      <c r="S101" s="26">
        <f>IF(B101="","",IF(I101&lt;&gt;"Yes",0,ROUND(IF(F101="",0,F101)*IF(J101="Weekly",52/12,IF(J101="Fortnightly",26/12,IF(J101="Four weekly",13/12,IF(J101="Monthly",1,IF(J101="Quarterly",1/3,IF(J101="Twice a year",1/6,IF(J101="Yearly",1/12,0))))))),2)))</f>
        <v>0</v>
      </c>
      <c r="T101" s="38">
        <f>IF(B101="","",IF(I101="Yes","Yes","No"))</f>
        <v>0</v>
      </c>
      <c r="U101" s="25">
        <f>IF(B101="","",IF(L101="Yes","",IF(K101="","",TodayDate-K101)))</f>
        <v>0</v>
      </c>
      <c r="V101" s="39">
        <f>IF(B101="","",IF(L101="Yes","Paid",IF(K101="","Pending",IF(K101&lt;TodayDate,"Overdue",IF(K101&lt;=TodayDate+7,"Due soon","Pending")))))</f>
        <v>0</v>
      </c>
      <c r="W101" s="26">
        <f>IF(B101="","",IFERROR(INDEX(BudgetAmount,MATCH(C101,BudgetCategory,0))*1,0))</f>
        <v>0</v>
      </c>
      <c r="X101" s="25">
        <f>IF(B101="","",COUNTIFS($R$5:$R$604,"&gt;"&amp;R101)+COUNTIFS($R$5:R101,R101))</f>
        <v>0</v>
      </c>
      <c r="Y101" s="39">
        <f>IF(B101="","",IF(F101="","Add - no amount",IF(C101="","Add - no category, it will miss the P&amp;L",IF(V101="Overdue","Overdue - pay it",IF(V101="Due soon","Due - coming up",IF(IF(I101="Yes",J101="",FALSE),"Add - how often does it recur?",IF(L101="Yes","OK","Pending")))))))</f>
        <v>0</v>
      </c>
    </row>
    <row r="102" spans="1:25">
      <c r="A102" s="28">
        <f>IF(B102="","",ExpensePrefix&amp;TEXT(ROW()-4,"0000"))</f>
        <v>0</v>
      </c>
      <c r="P102" s="15">
        <f>IF(B102="","",TEXT(B102,"yyyy-mm"))</f>
        <v>0</v>
      </c>
      <c r="Q102" s="25">
        <f>IF(B102="","",WEEKNUM(B102,2))</f>
        <v>0</v>
      </c>
      <c r="R102" s="26">
        <f>IF(B102="","",ROUND(IF(F102="",0,F102)+IF(G102="",0,G102),2))</f>
        <v>0</v>
      </c>
      <c r="S102" s="26">
        <f>IF(B102="","",IF(I102&lt;&gt;"Yes",0,ROUND(IF(F102="",0,F102)*IF(J102="Weekly",52/12,IF(J102="Fortnightly",26/12,IF(J102="Four weekly",13/12,IF(J102="Monthly",1,IF(J102="Quarterly",1/3,IF(J102="Twice a year",1/6,IF(J102="Yearly",1/12,0))))))),2)))</f>
        <v>0</v>
      </c>
      <c r="T102" s="38">
        <f>IF(B102="","",IF(I102="Yes","Yes","No"))</f>
        <v>0</v>
      </c>
      <c r="U102" s="25">
        <f>IF(B102="","",IF(L102="Yes","",IF(K102="","",TodayDate-K102)))</f>
        <v>0</v>
      </c>
      <c r="V102" s="39">
        <f>IF(B102="","",IF(L102="Yes","Paid",IF(K102="","Pending",IF(K102&lt;TodayDate,"Overdue",IF(K102&lt;=TodayDate+7,"Due soon","Pending")))))</f>
        <v>0</v>
      </c>
      <c r="W102" s="26">
        <f>IF(B102="","",IFERROR(INDEX(BudgetAmount,MATCH(C102,BudgetCategory,0))*1,0))</f>
        <v>0</v>
      </c>
      <c r="X102" s="25">
        <f>IF(B102="","",COUNTIFS($R$5:$R$604,"&gt;"&amp;R102)+COUNTIFS($R$5:R102,R102))</f>
        <v>0</v>
      </c>
      <c r="Y102" s="39">
        <f>IF(B102="","",IF(F102="","Add - no amount",IF(C102="","Add - no category, it will miss the P&amp;L",IF(V102="Overdue","Overdue - pay it",IF(V102="Due soon","Due - coming up",IF(IF(I102="Yes",J102="",FALSE),"Add - how often does it recur?",IF(L102="Yes","OK","Pending")))))))</f>
        <v>0</v>
      </c>
    </row>
    <row r="103" spans="1:25">
      <c r="A103" s="28">
        <f>IF(B103="","",ExpensePrefix&amp;TEXT(ROW()-4,"0000"))</f>
        <v>0</v>
      </c>
      <c r="P103" s="15">
        <f>IF(B103="","",TEXT(B103,"yyyy-mm"))</f>
        <v>0</v>
      </c>
      <c r="Q103" s="25">
        <f>IF(B103="","",WEEKNUM(B103,2))</f>
        <v>0</v>
      </c>
      <c r="R103" s="26">
        <f>IF(B103="","",ROUND(IF(F103="",0,F103)+IF(G103="",0,G103),2))</f>
        <v>0</v>
      </c>
      <c r="S103" s="26">
        <f>IF(B103="","",IF(I103&lt;&gt;"Yes",0,ROUND(IF(F103="",0,F103)*IF(J103="Weekly",52/12,IF(J103="Fortnightly",26/12,IF(J103="Four weekly",13/12,IF(J103="Monthly",1,IF(J103="Quarterly",1/3,IF(J103="Twice a year",1/6,IF(J103="Yearly",1/12,0))))))),2)))</f>
        <v>0</v>
      </c>
      <c r="T103" s="38">
        <f>IF(B103="","",IF(I103="Yes","Yes","No"))</f>
        <v>0</v>
      </c>
      <c r="U103" s="25">
        <f>IF(B103="","",IF(L103="Yes","",IF(K103="","",TodayDate-K103)))</f>
        <v>0</v>
      </c>
      <c r="V103" s="39">
        <f>IF(B103="","",IF(L103="Yes","Paid",IF(K103="","Pending",IF(K103&lt;TodayDate,"Overdue",IF(K103&lt;=TodayDate+7,"Due soon","Pending")))))</f>
        <v>0</v>
      </c>
      <c r="W103" s="26">
        <f>IF(B103="","",IFERROR(INDEX(BudgetAmount,MATCH(C103,BudgetCategory,0))*1,0))</f>
        <v>0</v>
      </c>
      <c r="X103" s="25">
        <f>IF(B103="","",COUNTIFS($R$5:$R$604,"&gt;"&amp;R103)+COUNTIFS($R$5:R103,R103))</f>
        <v>0</v>
      </c>
      <c r="Y103" s="39">
        <f>IF(B103="","",IF(F103="","Add - no amount",IF(C103="","Add - no category, it will miss the P&amp;L",IF(V103="Overdue","Overdue - pay it",IF(V103="Due soon","Due - coming up",IF(IF(I103="Yes",J103="",FALSE),"Add - how often does it recur?",IF(L103="Yes","OK","Pending")))))))</f>
        <v>0</v>
      </c>
    </row>
    <row r="104" spans="1:25">
      <c r="A104" s="28">
        <f>IF(B104="","",ExpensePrefix&amp;TEXT(ROW()-4,"0000"))</f>
        <v>0</v>
      </c>
      <c r="P104" s="15">
        <f>IF(B104="","",TEXT(B104,"yyyy-mm"))</f>
        <v>0</v>
      </c>
      <c r="Q104" s="25">
        <f>IF(B104="","",WEEKNUM(B104,2))</f>
        <v>0</v>
      </c>
      <c r="R104" s="26">
        <f>IF(B104="","",ROUND(IF(F104="",0,F104)+IF(G104="",0,G104),2))</f>
        <v>0</v>
      </c>
      <c r="S104" s="26">
        <f>IF(B104="","",IF(I104&lt;&gt;"Yes",0,ROUND(IF(F104="",0,F104)*IF(J104="Weekly",52/12,IF(J104="Fortnightly",26/12,IF(J104="Four weekly",13/12,IF(J104="Monthly",1,IF(J104="Quarterly",1/3,IF(J104="Twice a year",1/6,IF(J104="Yearly",1/12,0))))))),2)))</f>
        <v>0</v>
      </c>
      <c r="T104" s="38">
        <f>IF(B104="","",IF(I104="Yes","Yes","No"))</f>
        <v>0</v>
      </c>
      <c r="U104" s="25">
        <f>IF(B104="","",IF(L104="Yes","",IF(K104="","",TodayDate-K104)))</f>
        <v>0</v>
      </c>
      <c r="V104" s="39">
        <f>IF(B104="","",IF(L104="Yes","Paid",IF(K104="","Pending",IF(K104&lt;TodayDate,"Overdue",IF(K104&lt;=TodayDate+7,"Due soon","Pending")))))</f>
        <v>0</v>
      </c>
      <c r="W104" s="26">
        <f>IF(B104="","",IFERROR(INDEX(BudgetAmount,MATCH(C104,BudgetCategory,0))*1,0))</f>
        <v>0</v>
      </c>
      <c r="X104" s="25">
        <f>IF(B104="","",COUNTIFS($R$5:$R$604,"&gt;"&amp;R104)+COUNTIFS($R$5:R104,R104))</f>
        <v>0</v>
      </c>
      <c r="Y104" s="39">
        <f>IF(B104="","",IF(F104="","Add - no amount",IF(C104="","Add - no category, it will miss the P&amp;L",IF(V104="Overdue","Overdue - pay it",IF(V104="Due soon","Due - coming up",IF(IF(I104="Yes",J104="",FALSE),"Add - how often does it recur?",IF(L104="Yes","OK","Pending")))))))</f>
        <v>0</v>
      </c>
    </row>
    <row r="105" spans="1:25">
      <c r="A105" s="28">
        <f>IF(B105="","",ExpensePrefix&amp;TEXT(ROW()-4,"0000"))</f>
        <v>0</v>
      </c>
      <c r="P105" s="15">
        <f>IF(B105="","",TEXT(B105,"yyyy-mm"))</f>
        <v>0</v>
      </c>
      <c r="Q105" s="25">
        <f>IF(B105="","",WEEKNUM(B105,2))</f>
        <v>0</v>
      </c>
      <c r="R105" s="26">
        <f>IF(B105="","",ROUND(IF(F105="",0,F105)+IF(G105="",0,G105),2))</f>
        <v>0</v>
      </c>
      <c r="S105" s="26">
        <f>IF(B105="","",IF(I105&lt;&gt;"Yes",0,ROUND(IF(F105="",0,F105)*IF(J105="Weekly",52/12,IF(J105="Fortnightly",26/12,IF(J105="Four weekly",13/12,IF(J105="Monthly",1,IF(J105="Quarterly",1/3,IF(J105="Twice a year",1/6,IF(J105="Yearly",1/12,0))))))),2)))</f>
        <v>0</v>
      </c>
      <c r="T105" s="38">
        <f>IF(B105="","",IF(I105="Yes","Yes","No"))</f>
        <v>0</v>
      </c>
      <c r="U105" s="25">
        <f>IF(B105="","",IF(L105="Yes","",IF(K105="","",TodayDate-K105)))</f>
        <v>0</v>
      </c>
      <c r="V105" s="39">
        <f>IF(B105="","",IF(L105="Yes","Paid",IF(K105="","Pending",IF(K105&lt;TodayDate,"Overdue",IF(K105&lt;=TodayDate+7,"Due soon","Pending")))))</f>
        <v>0</v>
      </c>
      <c r="W105" s="26">
        <f>IF(B105="","",IFERROR(INDEX(BudgetAmount,MATCH(C105,BudgetCategory,0))*1,0))</f>
        <v>0</v>
      </c>
      <c r="X105" s="25">
        <f>IF(B105="","",COUNTIFS($R$5:$R$604,"&gt;"&amp;R105)+COUNTIFS($R$5:R105,R105))</f>
        <v>0</v>
      </c>
      <c r="Y105" s="39">
        <f>IF(B105="","",IF(F105="","Add - no amount",IF(C105="","Add - no category, it will miss the P&amp;L",IF(V105="Overdue","Overdue - pay it",IF(V105="Due soon","Due - coming up",IF(IF(I105="Yes",J105="",FALSE),"Add - how often does it recur?",IF(L105="Yes","OK","Pending")))))))</f>
        <v>0</v>
      </c>
    </row>
    <row r="106" spans="1:25">
      <c r="A106" s="28">
        <f>IF(B106="","",ExpensePrefix&amp;TEXT(ROW()-4,"0000"))</f>
        <v>0</v>
      </c>
      <c r="P106" s="15">
        <f>IF(B106="","",TEXT(B106,"yyyy-mm"))</f>
        <v>0</v>
      </c>
      <c r="Q106" s="25">
        <f>IF(B106="","",WEEKNUM(B106,2))</f>
        <v>0</v>
      </c>
      <c r="R106" s="26">
        <f>IF(B106="","",ROUND(IF(F106="",0,F106)+IF(G106="",0,G106),2))</f>
        <v>0</v>
      </c>
      <c r="S106" s="26">
        <f>IF(B106="","",IF(I106&lt;&gt;"Yes",0,ROUND(IF(F106="",0,F106)*IF(J106="Weekly",52/12,IF(J106="Fortnightly",26/12,IF(J106="Four weekly",13/12,IF(J106="Monthly",1,IF(J106="Quarterly",1/3,IF(J106="Twice a year",1/6,IF(J106="Yearly",1/12,0))))))),2)))</f>
        <v>0</v>
      </c>
      <c r="T106" s="38">
        <f>IF(B106="","",IF(I106="Yes","Yes","No"))</f>
        <v>0</v>
      </c>
      <c r="U106" s="25">
        <f>IF(B106="","",IF(L106="Yes","",IF(K106="","",TodayDate-K106)))</f>
        <v>0</v>
      </c>
      <c r="V106" s="39">
        <f>IF(B106="","",IF(L106="Yes","Paid",IF(K106="","Pending",IF(K106&lt;TodayDate,"Overdue",IF(K106&lt;=TodayDate+7,"Due soon","Pending")))))</f>
        <v>0</v>
      </c>
      <c r="W106" s="26">
        <f>IF(B106="","",IFERROR(INDEX(BudgetAmount,MATCH(C106,BudgetCategory,0))*1,0))</f>
        <v>0</v>
      </c>
      <c r="X106" s="25">
        <f>IF(B106="","",COUNTIFS($R$5:$R$604,"&gt;"&amp;R106)+COUNTIFS($R$5:R106,R106))</f>
        <v>0</v>
      </c>
      <c r="Y106" s="39">
        <f>IF(B106="","",IF(F106="","Add - no amount",IF(C106="","Add - no category, it will miss the P&amp;L",IF(V106="Overdue","Overdue - pay it",IF(V106="Due soon","Due - coming up",IF(IF(I106="Yes",J106="",FALSE),"Add - how often does it recur?",IF(L106="Yes","OK","Pending")))))))</f>
        <v>0</v>
      </c>
    </row>
    <row r="107" spans="1:25">
      <c r="A107" s="28">
        <f>IF(B107="","",ExpensePrefix&amp;TEXT(ROW()-4,"0000"))</f>
        <v>0</v>
      </c>
      <c r="P107" s="15">
        <f>IF(B107="","",TEXT(B107,"yyyy-mm"))</f>
        <v>0</v>
      </c>
      <c r="Q107" s="25">
        <f>IF(B107="","",WEEKNUM(B107,2))</f>
        <v>0</v>
      </c>
      <c r="R107" s="26">
        <f>IF(B107="","",ROUND(IF(F107="",0,F107)+IF(G107="",0,G107),2))</f>
        <v>0</v>
      </c>
      <c r="S107" s="26">
        <f>IF(B107="","",IF(I107&lt;&gt;"Yes",0,ROUND(IF(F107="",0,F107)*IF(J107="Weekly",52/12,IF(J107="Fortnightly",26/12,IF(J107="Four weekly",13/12,IF(J107="Monthly",1,IF(J107="Quarterly",1/3,IF(J107="Twice a year",1/6,IF(J107="Yearly",1/12,0))))))),2)))</f>
        <v>0</v>
      </c>
      <c r="T107" s="38">
        <f>IF(B107="","",IF(I107="Yes","Yes","No"))</f>
        <v>0</v>
      </c>
      <c r="U107" s="25">
        <f>IF(B107="","",IF(L107="Yes","",IF(K107="","",TodayDate-K107)))</f>
        <v>0</v>
      </c>
      <c r="V107" s="39">
        <f>IF(B107="","",IF(L107="Yes","Paid",IF(K107="","Pending",IF(K107&lt;TodayDate,"Overdue",IF(K107&lt;=TodayDate+7,"Due soon","Pending")))))</f>
        <v>0</v>
      </c>
      <c r="W107" s="26">
        <f>IF(B107="","",IFERROR(INDEX(BudgetAmount,MATCH(C107,BudgetCategory,0))*1,0))</f>
        <v>0</v>
      </c>
      <c r="X107" s="25">
        <f>IF(B107="","",COUNTIFS($R$5:$R$604,"&gt;"&amp;R107)+COUNTIFS($R$5:R107,R107))</f>
        <v>0</v>
      </c>
      <c r="Y107" s="39">
        <f>IF(B107="","",IF(F107="","Add - no amount",IF(C107="","Add - no category, it will miss the P&amp;L",IF(V107="Overdue","Overdue - pay it",IF(V107="Due soon","Due - coming up",IF(IF(I107="Yes",J107="",FALSE),"Add - how often does it recur?",IF(L107="Yes","OK","Pending")))))))</f>
        <v>0</v>
      </c>
    </row>
    <row r="108" spans="1:25">
      <c r="A108" s="28">
        <f>IF(B108="","",ExpensePrefix&amp;TEXT(ROW()-4,"0000"))</f>
        <v>0</v>
      </c>
      <c r="P108" s="15">
        <f>IF(B108="","",TEXT(B108,"yyyy-mm"))</f>
        <v>0</v>
      </c>
      <c r="Q108" s="25">
        <f>IF(B108="","",WEEKNUM(B108,2))</f>
        <v>0</v>
      </c>
      <c r="R108" s="26">
        <f>IF(B108="","",ROUND(IF(F108="",0,F108)+IF(G108="",0,G108),2))</f>
        <v>0</v>
      </c>
      <c r="S108" s="26">
        <f>IF(B108="","",IF(I108&lt;&gt;"Yes",0,ROUND(IF(F108="",0,F108)*IF(J108="Weekly",52/12,IF(J108="Fortnightly",26/12,IF(J108="Four weekly",13/12,IF(J108="Monthly",1,IF(J108="Quarterly",1/3,IF(J108="Twice a year",1/6,IF(J108="Yearly",1/12,0))))))),2)))</f>
        <v>0</v>
      </c>
      <c r="T108" s="38">
        <f>IF(B108="","",IF(I108="Yes","Yes","No"))</f>
        <v>0</v>
      </c>
      <c r="U108" s="25">
        <f>IF(B108="","",IF(L108="Yes","",IF(K108="","",TodayDate-K108)))</f>
        <v>0</v>
      </c>
      <c r="V108" s="39">
        <f>IF(B108="","",IF(L108="Yes","Paid",IF(K108="","Pending",IF(K108&lt;TodayDate,"Overdue",IF(K108&lt;=TodayDate+7,"Due soon","Pending")))))</f>
        <v>0</v>
      </c>
      <c r="W108" s="26">
        <f>IF(B108="","",IFERROR(INDEX(BudgetAmount,MATCH(C108,BudgetCategory,0))*1,0))</f>
        <v>0</v>
      </c>
      <c r="X108" s="25">
        <f>IF(B108="","",COUNTIFS($R$5:$R$604,"&gt;"&amp;R108)+COUNTIFS($R$5:R108,R108))</f>
        <v>0</v>
      </c>
      <c r="Y108" s="39">
        <f>IF(B108="","",IF(F108="","Add - no amount",IF(C108="","Add - no category, it will miss the P&amp;L",IF(V108="Overdue","Overdue - pay it",IF(V108="Due soon","Due - coming up",IF(IF(I108="Yes",J108="",FALSE),"Add - how often does it recur?",IF(L108="Yes","OK","Pending")))))))</f>
        <v>0</v>
      </c>
    </row>
    <row r="109" spans="1:25">
      <c r="A109" s="28">
        <f>IF(B109="","",ExpensePrefix&amp;TEXT(ROW()-4,"0000"))</f>
        <v>0</v>
      </c>
      <c r="P109" s="15">
        <f>IF(B109="","",TEXT(B109,"yyyy-mm"))</f>
        <v>0</v>
      </c>
      <c r="Q109" s="25">
        <f>IF(B109="","",WEEKNUM(B109,2))</f>
        <v>0</v>
      </c>
      <c r="R109" s="26">
        <f>IF(B109="","",ROUND(IF(F109="",0,F109)+IF(G109="",0,G109),2))</f>
        <v>0</v>
      </c>
      <c r="S109" s="26">
        <f>IF(B109="","",IF(I109&lt;&gt;"Yes",0,ROUND(IF(F109="",0,F109)*IF(J109="Weekly",52/12,IF(J109="Fortnightly",26/12,IF(J109="Four weekly",13/12,IF(J109="Monthly",1,IF(J109="Quarterly",1/3,IF(J109="Twice a year",1/6,IF(J109="Yearly",1/12,0))))))),2)))</f>
        <v>0</v>
      </c>
      <c r="T109" s="38">
        <f>IF(B109="","",IF(I109="Yes","Yes","No"))</f>
        <v>0</v>
      </c>
      <c r="U109" s="25">
        <f>IF(B109="","",IF(L109="Yes","",IF(K109="","",TodayDate-K109)))</f>
        <v>0</v>
      </c>
      <c r="V109" s="39">
        <f>IF(B109="","",IF(L109="Yes","Paid",IF(K109="","Pending",IF(K109&lt;TodayDate,"Overdue",IF(K109&lt;=TodayDate+7,"Due soon","Pending")))))</f>
        <v>0</v>
      </c>
      <c r="W109" s="26">
        <f>IF(B109="","",IFERROR(INDEX(BudgetAmount,MATCH(C109,BudgetCategory,0))*1,0))</f>
        <v>0</v>
      </c>
      <c r="X109" s="25">
        <f>IF(B109="","",COUNTIFS($R$5:$R$604,"&gt;"&amp;R109)+COUNTIFS($R$5:R109,R109))</f>
        <v>0</v>
      </c>
      <c r="Y109" s="39">
        <f>IF(B109="","",IF(F109="","Add - no amount",IF(C109="","Add - no category, it will miss the P&amp;L",IF(V109="Overdue","Overdue - pay it",IF(V109="Due soon","Due - coming up",IF(IF(I109="Yes",J109="",FALSE),"Add - how often does it recur?",IF(L109="Yes","OK","Pending")))))))</f>
        <v>0</v>
      </c>
    </row>
    <row r="110" spans="1:25">
      <c r="A110" s="28">
        <f>IF(B110="","",ExpensePrefix&amp;TEXT(ROW()-4,"0000"))</f>
        <v>0</v>
      </c>
      <c r="P110" s="15">
        <f>IF(B110="","",TEXT(B110,"yyyy-mm"))</f>
        <v>0</v>
      </c>
      <c r="Q110" s="25">
        <f>IF(B110="","",WEEKNUM(B110,2))</f>
        <v>0</v>
      </c>
      <c r="R110" s="26">
        <f>IF(B110="","",ROUND(IF(F110="",0,F110)+IF(G110="",0,G110),2))</f>
        <v>0</v>
      </c>
      <c r="S110" s="26">
        <f>IF(B110="","",IF(I110&lt;&gt;"Yes",0,ROUND(IF(F110="",0,F110)*IF(J110="Weekly",52/12,IF(J110="Fortnightly",26/12,IF(J110="Four weekly",13/12,IF(J110="Monthly",1,IF(J110="Quarterly",1/3,IF(J110="Twice a year",1/6,IF(J110="Yearly",1/12,0))))))),2)))</f>
        <v>0</v>
      </c>
      <c r="T110" s="38">
        <f>IF(B110="","",IF(I110="Yes","Yes","No"))</f>
        <v>0</v>
      </c>
      <c r="U110" s="25">
        <f>IF(B110="","",IF(L110="Yes","",IF(K110="","",TodayDate-K110)))</f>
        <v>0</v>
      </c>
      <c r="V110" s="39">
        <f>IF(B110="","",IF(L110="Yes","Paid",IF(K110="","Pending",IF(K110&lt;TodayDate,"Overdue",IF(K110&lt;=TodayDate+7,"Due soon","Pending")))))</f>
        <v>0</v>
      </c>
      <c r="W110" s="26">
        <f>IF(B110="","",IFERROR(INDEX(BudgetAmount,MATCH(C110,BudgetCategory,0))*1,0))</f>
        <v>0</v>
      </c>
      <c r="X110" s="25">
        <f>IF(B110="","",COUNTIFS($R$5:$R$604,"&gt;"&amp;R110)+COUNTIFS($R$5:R110,R110))</f>
        <v>0</v>
      </c>
      <c r="Y110" s="39">
        <f>IF(B110="","",IF(F110="","Add - no amount",IF(C110="","Add - no category, it will miss the P&amp;L",IF(V110="Overdue","Overdue - pay it",IF(V110="Due soon","Due - coming up",IF(IF(I110="Yes",J110="",FALSE),"Add - how often does it recur?",IF(L110="Yes","OK","Pending")))))))</f>
        <v>0</v>
      </c>
    </row>
    <row r="111" spans="1:25">
      <c r="A111" s="28">
        <f>IF(B111="","",ExpensePrefix&amp;TEXT(ROW()-4,"0000"))</f>
        <v>0</v>
      </c>
      <c r="P111" s="15">
        <f>IF(B111="","",TEXT(B111,"yyyy-mm"))</f>
        <v>0</v>
      </c>
      <c r="Q111" s="25">
        <f>IF(B111="","",WEEKNUM(B111,2))</f>
        <v>0</v>
      </c>
      <c r="R111" s="26">
        <f>IF(B111="","",ROUND(IF(F111="",0,F111)+IF(G111="",0,G111),2))</f>
        <v>0</v>
      </c>
      <c r="S111" s="26">
        <f>IF(B111="","",IF(I111&lt;&gt;"Yes",0,ROUND(IF(F111="",0,F111)*IF(J111="Weekly",52/12,IF(J111="Fortnightly",26/12,IF(J111="Four weekly",13/12,IF(J111="Monthly",1,IF(J111="Quarterly",1/3,IF(J111="Twice a year",1/6,IF(J111="Yearly",1/12,0))))))),2)))</f>
        <v>0</v>
      </c>
      <c r="T111" s="38">
        <f>IF(B111="","",IF(I111="Yes","Yes","No"))</f>
        <v>0</v>
      </c>
      <c r="U111" s="25">
        <f>IF(B111="","",IF(L111="Yes","",IF(K111="","",TodayDate-K111)))</f>
        <v>0</v>
      </c>
      <c r="V111" s="39">
        <f>IF(B111="","",IF(L111="Yes","Paid",IF(K111="","Pending",IF(K111&lt;TodayDate,"Overdue",IF(K111&lt;=TodayDate+7,"Due soon","Pending")))))</f>
        <v>0</v>
      </c>
      <c r="W111" s="26">
        <f>IF(B111="","",IFERROR(INDEX(BudgetAmount,MATCH(C111,BudgetCategory,0))*1,0))</f>
        <v>0</v>
      </c>
      <c r="X111" s="25">
        <f>IF(B111="","",COUNTIFS($R$5:$R$604,"&gt;"&amp;R111)+COUNTIFS($R$5:R111,R111))</f>
        <v>0</v>
      </c>
      <c r="Y111" s="39">
        <f>IF(B111="","",IF(F111="","Add - no amount",IF(C111="","Add - no category, it will miss the P&amp;L",IF(V111="Overdue","Overdue - pay it",IF(V111="Due soon","Due - coming up",IF(IF(I111="Yes",J111="",FALSE),"Add - how often does it recur?",IF(L111="Yes","OK","Pending")))))))</f>
        <v>0</v>
      </c>
    </row>
    <row r="112" spans="1:25">
      <c r="A112" s="28">
        <f>IF(B112="","",ExpensePrefix&amp;TEXT(ROW()-4,"0000"))</f>
        <v>0</v>
      </c>
      <c r="P112" s="15">
        <f>IF(B112="","",TEXT(B112,"yyyy-mm"))</f>
        <v>0</v>
      </c>
      <c r="Q112" s="25">
        <f>IF(B112="","",WEEKNUM(B112,2))</f>
        <v>0</v>
      </c>
      <c r="R112" s="26">
        <f>IF(B112="","",ROUND(IF(F112="",0,F112)+IF(G112="",0,G112),2))</f>
        <v>0</v>
      </c>
      <c r="S112" s="26">
        <f>IF(B112="","",IF(I112&lt;&gt;"Yes",0,ROUND(IF(F112="",0,F112)*IF(J112="Weekly",52/12,IF(J112="Fortnightly",26/12,IF(J112="Four weekly",13/12,IF(J112="Monthly",1,IF(J112="Quarterly",1/3,IF(J112="Twice a year",1/6,IF(J112="Yearly",1/12,0))))))),2)))</f>
        <v>0</v>
      </c>
      <c r="T112" s="38">
        <f>IF(B112="","",IF(I112="Yes","Yes","No"))</f>
        <v>0</v>
      </c>
      <c r="U112" s="25">
        <f>IF(B112="","",IF(L112="Yes","",IF(K112="","",TodayDate-K112)))</f>
        <v>0</v>
      </c>
      <c r="V112" s="39">
        <f>IF(B112="","",IF(L112="Yes","Paid",IF(K112="","Pending",IF(K112&lt;TodayDate,"Overdue",IF(K112&lt;=TodayDate+7,"Due soon","Pending")))))</f>
        <v>0</v>
      </c>
      <c r="W112" s="26">
        <f>IF(B112="","",IFERROR(INDEX(BudgetAmount,MATCH(C112,BudgetCategory,0))*1,0))</f>
        <v>0</v>
      </c>
      <c r="X112" s="25">
        <f>IF(B112="","",COUNTIFS($R$5:$R$604,"&gt;"&amp;R112)+COUNTIFS($R$5:R112,R112))</f>
        <v>0</v>
      </c>
      <c r="Y112" s="39">
        <f>IF(B112="","",IF(F112="","Add - no amount",IF(C112="","Add - no category, it will miss the P&amp;L",IF(V112="Overdue","Overdue - pay it",IF(V112="Due soon","Due - coming up",IF(IF(I112="Yes",J112="",FALSE),"Add - how often does it recur?",IF(L112="Yes","OK","Pending")))))))</f>
        <v>0</v>
      </c>
    </row>
    <row r="113" spans="1:25">
      <c r="A113" s="28">
        <f>IF(B113="","",ExpensePrefix&amp;TEXT(ROW()-4,"0000"))</f>
        <v>0</v>
      </c>
      <c r="P113" s="15">
        <f>IF(B113="","",TEXT(B113,"yyyy-mm"))</f>
        <v>0</v>
      </c>
      <c r="Q113" s="25">
        <f>IF(B113="","",WEEKNUM(B113,2))</f>
        <v>0</v>
      </c>
      <c r="R113" s="26">
        <f>IF(B113="","",ROUND(IF(F113="",0,F113)+IF(G113="",0,G113),2))</f>
        <v>0</v>
      </c>
      <c r="S113" s="26">
        <f>IF(B113="","",IF(I113&lt;&gt;"Yes",0,ROUND(IF(F113="",0,F113)*IF(J113="Weekly",52/12,IF(J113="Fortnightly",26/12,IF(J113="Four weekly",13/12,IF(J113="Monthly",1,IF(J113="Quarterly",1/3,IF(J113="Twice a year",1/6,IF(J113="Yearly",1/12,0))))))),2)))</f>
        <v>0</v>
      </c>
      <c r="T113" s="38">
        <f>IF(B113="","",IF(I113="Yes","Yes","No"))</f>
        <v>0</v>
      </c>
      <c r="U113" s="25">
        <f>IF(B113="","",IF(L113="Yes","",IF(K113="","",TodayDate-K113)))</f>
        <v>0</v>
      </c>
      <c r="V113" s="39">
        <f>IF(B113="","",IF(L113="Yes","Paid",IF(K113="","Pending",IF(K113&lt;TodayDate,"Overdue",IF(K113&lt;=TodayDate+7,"Due soon","Pending")))))</f>
        <v>0</v>
      </c>
      <c r="W113" s="26">
        <f>IF(B113="","",IFERROR(INDEX(BudgetAmount,MATCH(C113,BudgetCategory,0))*1,0))</f>
        <v>0</v>
      </c>
      <c r="X113" s="25">
        <f>IF(B113="","",COUNTIFS($R$5:$R$604,"&gt;"&amp;R113)+COUNTIFS($R$5:R113,R113))</f>
        <v>0</v>
      </c>
      <c r="Y113" s="39">
        <f>IF(B113="","",IF(F113="","Add - no amount",IF(C113="","Add - no category, it will miss the P&amp;L",IF(V113="Overdue","Overdue - pay it",IF(V113="Due soon","Due - coming up",IF(IF(I113="Yes",J113="",FALSE),"Add - how often does it recur?",IF(L113="Yes","OK","Pending")))))))</f>
        <v>0</v>
      </c>
    </row>
    <row r="114" spans="1:25">
      <c r="A114" s="28">
        <f>IF(B114="","",ExpensePrefix&amp;TEXT(ROW()-4,"0000"))</f>
        <v>0</v>
      </c>
      <c r="P114" s="15">
        <f>IF(B114="","",TEXT(B114,"yyyy-mm"))</f>
        <v>0</v>
      </c>
      <c r="Q114" s="25">
        <f>IF(B114="","",WEEKNUM(B114,2))</f>
        <v>0</v>
      </c>
      <c r="R114" s="26">
        <f>IF(B114="","",ROUND(IF(F114="",0,F114)+IF(G114="",0,G114),2))</f>
        <v>0</v>
      </c>
      <c r="S114" s="26">
        <f>IF(B114="","",IF(I114&lt;&gt;"Yes",0,ROUND(IF(F114="",0,F114)*IF(J114="Weekly",52/12,IF(J114="Fortnightly",26/12,IF(J114="Four weekly",13/12,IF(J114="Monthly",1,IF(J114="Quarterly",1/3,IF(J114="Twice a year",1/6,IF(J114="Yearly",1/12,0))))))),2)))</f>
        <v>0</v>
      </c>
      <c r="T114" s="38">
        <f>IF(B114="","",IF(I114="Yes","Yes","No"))</f>
        <v>0</v>
      </c>
      <c r="U114" s="25">
        <f>IF(B114="","",IF(L114="Yes","",IF(K114="","",TodayDate-K114)))</f>
        <v>0</v>
      </c>
      <c r="V114" s="39">
        <f>IF(B114="","",IF(L114="Yes","Paid",IF(K114="","Pending",IF(K114&lt;TodayDate,"Overdue",IF(K114&lt;=TodayDate+7,"Due soon","Pending")))))</f>
        <v>0</v>
      </c>
      <c r="W114" s="26">
        <f>IF(B114="","",IFERROR(INDEX(BudgetAmount,MATCH(C114,BudgetCategory,0))*1,0))</f>
        <v>0</v>
      </c>
      <c r="X114" s="25">
        <f>IF(B114="","",COUNTIFS($R$5:$R$604,"&gt;"&amp;R114)+COUNTIFS($R$5:R114,R114))</f>
        <v>0</v>
      </c>
      <c r="Y114" s="39">
        <f>IF(B114="","",IF(F114="","Add - no amount",IF(C114="","Add - no category, it will miss the P&amp;L",IF(V114="Overdue","Overdue - pay it",IF(V114="Due soon","Due - coming up",IF(IF(I114="Yes",J114="",FALSE),"Add - how often does it recur?",IF(L114="Yes","OK","Pending")))))))</f>
        <v>0</v>
      </c>
    </row>
    <row r="115" spans="1:25">
      <c r="A115" s="28">
        <f>IF(B115="","",ExpensePrefix&amp;TEXT(ROW()-4,"0000"))</f>
        <v>0</v>
      </c>
      <c r="P115" s="15">
        <f>IF(B115="","",TEXT(B115,"yyyy-mm"))</f>
        <v>0</v>
      </c>
      <c r="Q115" s="25">
        <f>IF(B115="","",WEEKNUM(B115,2))</f>
        <v>0</v>
      </c>
      <c r="R115" s="26">
        <f>IF(B115="","",ROUND(IF(F115="",0,F115)+IF(G115="",0,G115),2))</f>
        <v>0</v>
      </c>
      <c r="S115" s="26">
        <f>IF(B115="","",IF(I115&lt;&gt;"Yes",0,ROUND(IF(F115="",0,F115)*IF(J115="Weekly",52/12,IF(J115="Fortnightly",26/12,IF(J115="Four weekly",13/12,IF(J115="Monthly",1,IF(J115="Quarterly",1/3,IF(J115="Twice a year",1/6,IF(J115="Yearly",1/12,0))))))),2)))</f>
        <v>0</v>
      </c>
      <c r="T115" s="38">
        <f>IF(B115="","",IF(I115="Yes","Yes","No"))</f>
        <v>0</v>
      </c>
      <c r="U115" s="25">
        <f>IF(B115="","",IF(L115="Yes","",IF(K115="","",TodayDate-K115)))</f>
        <v>0</v>
      </c>
      <c r="V115" s="39">
        <f>IF(B115="","",IF(L115="Yes","Paid",IF(K115="","Pending",IF(K115&lt;TodayDate,"Overdue",IF(K115&lt;=TodayDate+7,"Due soon","Pending")))))</f>
        <v>0</v>
      </c>
      <c r="W115" s="26">
        <f>IF(B115="","",IFERROR(INDEX(BudgetAmount,MATCH(C115,BudgetCategory,0))*1,0))</f>
        <v>0</v>
      </c>
      <c r="X115" s="25">
        <f>IF(B115="","",COUNTIFS($R$5:$R$604,"&gt;"&amp;R115)+COUNTIFS($R$5:R115,R115))</f>
        <v>0</v>
      </c>
      <c r="Y115" s="39">
        <f>IF(B115="","",IF(F115="","Add - no amount",IF(C115="","Add - no category, it will miss the P&amp;L",IF(V115="Overdue","Overdue - pay it",IF(V115="Due soon","Due - coming up",IF(IF(I115="Yes",J115="",FALSE),"Add - how often does it recur?",IF(L115="Yes","OK","Pending")))))))</f>
        <v>0</v>
      </c>
    </row>
    <row r="116" spans="1:25">
      <c r="A116" s="28">
        <f>IF(B116="","",ExpensePrefix&amp;TEXT(ROW()-4,"0000"))</f>
        <v>0</v>
      </c>
      <c r="P116" s="15">
        <f>IF(B116="","",TEXT(B116,"yyyy-mm"))</f>
        <v>0</v>
      </c>
      <c r="Q116" s="25">
        <f>IF(B116="","",WEEKNUM(B116,2))</f>
        <v>0</v>
      </c>
      <c r="R116" s="26">
        <f>IF(B116="","",ROUND(IF(F116="",0,F116)+IF(G116="",0,G116),2))</f>
        <v>0</v>
      </c>
      <c r="S116" s="26">
        <f>IF(B116="","",IF(I116&lt;&gt;"Yes",0,ROUND(IF(F116="",0,F116)*IF(J116="Weekly",52/12,IF(J116="Fortnightly",26/12,IF(J116="Four weekly",13/12,IF(J116="Monthly",1,IF(J116="Quarterly",1/3,IF(J116="Twice a year",1/6,IF(J116="Yearly",1/12,0))))))),2)))</f>
        <v>0</v>
      </c>
      <c r="T116" s="38">
        <f>IF(B116="","",IF(I116="Yes","Yes","No"))</f>
        <v>0</v>
      </c>
      <c r="U116" s="25">
        <f>IF(B116="","",IF(L116="Yes","",IF(K116="","",TodayDate-K116)))</f>
        <v>0</v>
      </c>
      <c r="V116" s="39">
        <f>IF(B116="","",IF(L116="Yes","Paid",IF(K116="","Pending",IF(K116&lt;TodayDate,"Overdue",IF(K116&lt;=TodayDate+7,"Due soon","Pending")))))</f>
        <v>0</v>
      </c>
      <c r="W116" s="26">
        <f>IF(B116="","",IFERROR(INDEX(BudgetAmount,MATCH(C116,BudgetCategory,0))*1,0))</f>
        <v>0</v>
      </c>
      <c r="X116" s="25">
        <f>IF(B116="","",COUNTIFS($R$5:$R$604,"&gt;"&amp;R116)+COUNTIFS($R$5:R116,R116))</f>
        <v>0</v>
      </c>
      <c r="Y116" s="39">
        <f>IF(B116="","",IF(F116="","Add - no amount",IF(C116="","Add - no category, it will miss the P&amp;L",IF(V116="Overdue","Overdue - pay it",IF(V116="Due soon","Due - coming up",IF(IF(I116="Yes",J116="",FALSE),"Add - how often does it recur?",IF(L116="Yes","OK","Pending")))))))</f>
        <v>0</v>
      </c>
    </row>
    <row r="117" spans="1:25">
      <c r="A117" s="28">
        <f>IF(B117="","",ExpensePrefix&amp;TEXT(ROW()-4,"0000"))</f>
        <v>0</v>
      </c>
      <c r="P117" s="15">
        <f>IF(B117="","",TEXT(B117,"yyyy-mm"))</f>
        <v>0</v>
      </c>
      <c r="Q117" s="25">
        <f>IF(B117="","",WEEKNUM(B117,2))</f>
        <v>0</v>
      </c>
      <c r="R117" s="26">
        <f>IF(B117="","",ROUND(IF(F117="",0,F117)+IF(G117="",0,G117),2))</f>
        <v>0</v>
      </c>
      <c r="S117" s="26">
        <f>IF(B117="","",IF(I117&lt;&gt;"Yes",0,ROUND(IF(F117="",0,F117)*IF(J117="Weekly",52/12,IF(J117="Fortnightly",26/12,IF(J117="Four weekly",13/12,IF(J117="Monthly",1,IF(J117="Quarterly",1/3,IF(J117="Twice a year",1/6,IF(J117="Yearly",1/12,0))))))),2)))</f>
        <v>0</v>
      </c>
      <c r="T117" s="38">
        <f>IF(B117="","",IF(I117="Yes","Yes","No"))</f>
        <v>0</v>
      </c>
      <c r="U117" s="25">
        <f>IF(B117="","",IF(L117="Yes","",IF(K117="","",TodayDate-K117)))</f>
        <v>0</v>
      </c>
      <c r="V117" s="39">
        <f>IF(B117="","",IF(L117="Yes","Paid",IF(K117="","Pending",IF(K117&lt;TodayDate,"Overdue",IF(K117&lt;=TodayDate+7,"Due soon","Pending")))))</f>
        <v>0</v>
      </c>
      <c r="W117" s="26">
        <f>IF(B117="","",IFERROR(INDEX(BudgetAmount,MATCH(C117,BudgetCategory,0))*1,0))</f>
        <v>0</v>
      </c>
      <c r="X117" s="25">
        <f>IF(B117="","",COUNTIFS($R$5:$R$604,"&gt;"&amp;R117)+COUNTIFS($R$5:R117,R117))</f>
        <v>0</v>
      </c>
      <c r="Y117" s="39">
        <f>IF(B117="","",IF(F117="","Add - no amount",IF(C117="","Add - no category, it will miss the P&amp;L",IF(V117="Overdue","Overdue - pay it",IF(V117="Due soon","Due - coming up",IF(IF(I117="Yes",J117="",FALSE),"Add - how often does it recur?",IF(L117="Yes","OK","Pending")))))))</f>
        <v>0</v>
      </c>
    </row>
    <row r="118" spans="1:25">
      <c r="A118" s="28">
        <f>IF(B118="","",ExpensePrefix&amp;TEXT(ROW()-4,"0000"))</f>
        <v>0</v>
      </c>
      <c r="P118" s="15">
        <f>IF(B118="","",TEXT(B118,"yyyy-mm"))</f>
        <v>0</v>
      </c>
      <c r="Q118" s="25">
        <f>IF(B118="","",WEEKNUM(B118,2))</f>
        <v>0</v>
      </c>
      <c r="R118" s="26">
        <f>IF(B118="","",ROUND(IF(F118="",0,F118)+IF(G118="",0,G118),2))</f>
        <v>0</v>
      </c>
      <c r="S118" s="26">
        <f>IF(B118="","",IF(I118&lt;&gt;"Yes",0,ROUND(IF(F118="",0,F118)*IF(J118="Weekly",52/12,IF(J118="Fortnightly",26/12,IF(J118="Four weekly",13/12,IF(J118="Monthly",1,IF(J118="Quarterly",1/3,IF(J118="Twice a year",1/6,IF(J118="Yearly",1/12,0))))))),2)))</f>
        <v>0</v>
      </c>
      <c r="T118" s="38">
        <f>IF(B118="","",IF(I118="Yes","Yes","No"))</f>
        <v>0</v>
      </c>
      <c r="U118" s="25">
        <f>IF(B118="","",IF(L118="Yes","",IF(K118="","",TodayDate-K118)))</f>
        <v>0</v>
      </c>
      <c r="V118" s="39">
        <f>IF(B118="","",IF(L118="Yes","Paid",IF(K118="","Pending",IF(K118&lt;TodayDate,"Overdue",IF(K118&lt;=TodayDate+7,"Due soon","Pending")))))</f>
        <v>0</v>
      </c>
      <c r="W118" s="26">
        <f>IF(B118="","",IFERROR(INDEX(BudgetAmount,MATCH(C118,BudgetCategory,0))*1,0))</f>
        <v>0</v>
      </c>
      <c r="X118" s="25">
        <f>IF(B118="","",COUNTIFS($R$5:$R$604,"&gt;"&amp;R118)+COUNTIFS($R$5:R118,R118))</f>
        <v>0</v>
      </c>
      <c r="Y118" s="39">
        <f>IF(B118="","",IF(F118="","Add - no amount",IF(C118="","Add - no category, it will miss the P&amp;L",IF(V118="Overdue","Overdue - pay it",IF(V118="Due soon","Due - coming up",IF(IF(I118="Yes",J118="",FALSE),"Add - how often does it recur?",IF(L118="Yes","OK","Pending")))))))</f>
        <v>0</v>
      </c>
    </row>
    <row r="119" spans="1:25">
      <c r="A119" s="28">
        <f>IF(B119="","",ExpensePrefix&amp;TEXT(ROW()-4,"0000"))</f>
        <v>0</v>
      </c>
      <c r="P119" s="15">
        <f>IF(B119="","",TEXT(B119,"yyyy-mm"))</f>
        <v>0</v>
      </c>
      <c r="Q119" s="25">
        <f>IF(B119="","",WEEKNUM(B119,2))</f>
        <v>0</v>
      </c>
      <c r="R119" s="26">
        <f>IF(B119="","",ROUND(IF(F119="",0,F119)+IF(G119="",0,G119),2))</f>
        <v>0</v>
      </c>
      <c r="S119" s="26">
        <f>IF(B119="","",IF(I119&lt;&gt;"Yes",0,ROUND(IF(F119="",0,F119)*IF(J119="Weekly",52/12,IF(J119="Fortnightly",26/12,IF(J119="Four weekly",13/12,IF(J119="Monthly",1,IF(J119="Quarterly",1/3,IF(J119="Twice a year",1/6,IF(J119="Yearly",1/12,0))))))),2)))</f>
        <v>0</v>
      </c>
      <c r="T119" s="38">
        <f>IF(B119="","",IF(I119="Yes","Yes","No"))</f>
        <v>0</v>
      </c>
      <c r="U119" s="25">
        <f>IF(B119="","",IF(L119="Yes","",IF(K119="","",TodayDate-K119)))</f>
        <v>0</v>
      </c>
      <c r="V119" s="39">
        <f>IF(B119="","",IF(L119="Yes","Paid",IF(K119="","Pending",IF(K119&lt;TodayDate,"Overdue",IF(K119&lt;=TodayDate+7,"Due soon","Pending")))))</f>
        <v>0</v>
      </c>
      <c r="W119" s="26">
        <f>IF(B119="","",IFERROR(INDEX(BudgetAmount,MATCH(C119,BudgetCategory,0))*1,0))</f>
        <v>0</v>
      </c>
      <c r="X119" s="25">
        <f>IF(B119="","",COUNTIFS($R$5:$R$604,"&gt;"&amp;R119)+COUNTIFS($R$5:R119,R119))</f>
        <v>0</v>
      </c>
      <c r="Y119" s="39">
        <f>IF(B119="","",IF(F119="","Add - no amount",IF(C119="","Add - no category, it will miss the P&amp;L",IF(V119="Overdue","Overdue - pay it",IF(V119="Due soon","Due - coming up",IF(IF(I119="Yes",J119="",FALSE),"Add - how often does it recur?",IF(L119="Yes","OK","Pending")))))))</f>
        <v>0</v>
      </c>
    </row>
    <row r="120" spans="1:25">
      <c r="A120" s="28">
        <f>IF(B120="","",ExpensePrefix&amp;TEXT(ROW()-4,"0000"))</f>
        <v>0</v>
      </c>
      <c r="P120" s="15">
        <f>IF(B120="","",TEXT(B120,"yyyy-mm"))</f>
        <v>0</v>
      </c>
      <c r="Q120" s="25">
        <f>IF(B120="","",WEEKNUM(B120,2))</f>
        <v>0</v>
      </c>
      <c r="R120" s="26">
        <f>IF(B120="","",ROUND(IF(F120="",0,F120)+IF(G120="",0,G120),2))</f>
        <v>0</v>
      </c>
      <c r="S120" s="26">
        <f>IF(B120="","",IF(I120&lt;&gt;"Yes",0,ROUND(IF(F120="",0,F120)*IF(J120="Weekly",52/12,IF(J120="Fortnightly",26/12,IF(J120="Four weekly",13/12,IF(J120="Monthly",1,IF(J120="Quarterly",1/3,IF(J120="Twice a year",1/6,IF(J120="Yearly",1/12,0))))))),2)))</f>
        <v>0</v>
      </c>
      <c r="T120" s="38">
        <f>IF(B120="","",IF(I120="Yes","Yes","No"))</f>
        <v>0</v>
      </c>
      <c r="U120" s="25">
        <f>IF(B120="","",IF(L120="Yes","",IF(K120="","",TodayDate-K120)))</f>
        <v>0</v>
      </c>
      <c r="V120" s="39">
        <f>IF(B120="","",IF(L120="Yes","Paid",IF(K120="","Pending",IF(K120&lt;TodayDate,"Overdue",IF(K120&lt;=TodayDate+7,"Due soon","Pending")))))</f>
        <v>0</v>
      </c>
      <c r="W120" s="26">
        <f>IF(B120="","",IFERROR(INDEX(BudgetAmount,MATCH(C120,BudgetCategory,0))*1,0))</f>
        <v>0</v>
      </c>
      <c r="X120" s="25">
        <f>IF(B120="","",COUNTIFS($R$5:$R$604,"&gt;"&amp;R120)+COUNTIFS($R$5:R120,R120))</f>
        <v>0</v>
      </c>
      <c r="Y120" s="39">
        <f>IF(B120="","",IF(F120="","Add - no amount",IF(C120="","Add - no category, it will miss the P&amp;L",IF(V120="Overdue","Overdue - pay it",IF(V120="Due soon","Due - coming up",IF(IF(I120="Yes",J120="",FALSE),"Add - how often does it recur?",IF(L120="Yes","OK","Pending")))))))</f>
        <v>0</v>
      </c>
    </row>
    <row r="121" spans="1:25">
      <c r="A121" s="28">
        <f>IF(B121="","",ExpensePrefix&amp;TEXT(ROW()-4,"0000"))</f>
        <v>0</v>
      </c>
      <c r="P121" s="15">
        <f>IF(B121="","",TEXT(B121,"yyyy-mm"))</f>
        <v>0</v>
      </c>
      <c r="Q121" s="25">
        <f>IF(B121="","",WEEKNUM(B121,2))</f>
        <v>0</v>
      </c>
      <c r="R121" s="26">
        <f>IF(B121="","",ROUND(IF(F121="",0,F121)+IF(G121="",0,G121),2))</f>
        <v>0</v>
      </c>
      <c r="S121" s="26">
        <f>IF(B121="","",IF(I121&lt;&gt;"Yes",0,ROUND(IF(F121="",0,F121)*IF(J121="Weekly",52/12,IF(J121="Fortnightly",26/12,IF(J121="Four weekly",13/12,IF(J121="Monthly",1,IF(J121="Quarterly",1/3,IF(J121="Twice a year",1/6,IF(J121="Yearly",1/12,0))))))),2)))</f>
        <v>0</v>
      </c>
      <c r="T121" s="38">
        <f>IF(B121="","",IF(I121="Yes","Yes","No"))</f>
        <v>0</v>
      </c>
      <c r="U121" s="25">
        <f>IF(B121="","",IF(L121="Yes","",IF(K121="","",TodayDate-K121)))</f>
        <v>0</v>
      </c>
      <c r="V121" s="39">
        <f>IF(B121="","",IF(L121="Yes","Paid",IF(K121="","Pending",IF(K121&lt;TodayDate,"Overdue",IF(K121&lt;=TodayDate+7,"Due soon","Pending")))))</f>
        <v>0</v>
      </c>
      <c r="W121" s="26">
        <f>IF(B121="","",IFERROR(INDEX(BudgetAmount,MATCH(C121,BudgetCategory,0))*1,0))</f>
        <v>0</v>
      </c>
      <c r="X121" s="25">
        <f>IF(B121="","",COUNTIFS($R$5:$R$604,"&gt;"&amp;R121)+COUNTIFS($R$5:R121,R121))</f>
        <v>0</v>
      </c>
      <c r="Y121" s="39">
        <f>IF(B121="","",IF(F121="","Add - no amount",IF(C121="","Add - no category, it will miss the P&amp;L",IF(V121="Overdue","Overdue - pay it",IF(V121="Due soon","Due - coming up",IF(IF(I121="Yes",J121="",FALSE),"Add - how often does it recur?",IF(L121="Yes","OK","Pending")))))))</f>
        <v>0</v>
      </c>
    </row>
    <row r="122" spans="1:25">
      <c r="A122" s="28">
        <f>IF(B122="","",ExpensePrefix&amp;TEXT(ROW()-4,"0000"))</f>
        <v>0</v>
      </c>
      <c r="P122" s="15">
        <f>IF(B122="","",TEXT(B122,"yyyy-mm"))</f>
        <v>0</v>
      </c>
      <c r="Q122" s="25">
        <f>IF(B122="","",WEEKNUM(B122,2))</f>
        <v>0</v>
      </c>
      <c r="R122" s="26">
        <f>IF(B122="","",ROUND(IF(F122="",0,F122)+IF(G122="",0,G122),2))</f>
        <v>0</v>
      </c>
      <c r="S122" s="26">
        <f>IF(B122="","",IF(I122&lt;&gt;"Yes",0,ROUND(IF(F122="",0,F122)*IF(J122="Weekly",52/12,IF(J122="Fortnightly",26/12,IF(J122="Four weekly",13/12,IF(J122="Monthly",1,IF(J122="Quarterly",1/3,IF(J122="Twice a year",1/6,IF(J122="Yearly",1/12,0))))))),2)))</f>
        <v>0</v>
      </c>
      <c r="T122" s="38">
        <f>IF(B122="","",IF(I122="Yes","Yes","No"))</f>
        <v>0</v>
      </c>
      <c r="U122" s="25">
        <f>IF(B122="","",IF(L122="Yes","",IF(K122="","",TodayDate-K122)))</f>
        <v>0</v>
      </c>
      <c r="V122" s="39">
        <f>IF(B122="","",IF(L122="Yes","Paid",IF(K122="","Pending",IF(K122&lt;TodayDate,"Overdue",IF(K122&lt;=TodayDate+7,"Due soon","Pending")))))</f>
        <v>0</v>
      </c>
      <c r="W122" s="26">
        <f>IF(B122="","",IFERROR(INDEX(BudgetAmount,MATCH(C122,BudgetCategory,0))*1,0))</f>
        <v>0</v>
      </c>
      <c r="X122" s="25">
        <f>IF(B122="","",COUNTIFS($R$5:$R$604,"&gt;"&amp;R122)+COUNTIFS($R$5:R122,R122))</f>
        <v>0</v>
      </c>
      <c r="Y122" s="39">
        <f>IF(B122="","",IF(F122="","Add - no amount",IF(C122="","Add - no category, it will miss the P&amp;L",IF(V122="Overdue","Overdue - pay it",IF(V122="Due soon","Due - coming up",IF(IF(I122="Yes",J122="",FALSE),"Add - how often does it recur?",IF(L122="Yes","OK","Pending")))))))</f>
        <v>0</v>
      </c>
    </row>
    <row r="123" spans="1:25">
      <c r="A123" s="28">
        <f>IF(B123="","",ExpensePrefix&amp;TEXT(ROW()-4,"0000"))</f>
        <v>0</v>
      </c>
      <c r="P123" s="15">
        <f>IF(B123="","",TEXT(B123,"yyyy-mm"))</f>
        <v>0</v>
      </c>
      <c r="Q123" s="25">
        <f>IF(B123="","",WEEKNUM(B123,2))</f>
        <v>0</v>
      </c>
      <c r="R123" s="26">
        <f>IF(B123="","",ROUND(IF(F123="",0,F123)+IF(G123="",0,G123),2))</f>
        <v>0</v>
      </c>
      <c r="S123" s="26">
        <f>IF(B123="","",IF(I123&lt;&gt;"Yes",0,ROUND(IF(F123="",0,F123)*IF(J123="Weekly",52/12,IF(J123="Fortnightly",26/12,IF(J123="Four weekly",13/12,IF(J123="Monthly",1,IF(J123="Quarterly",1/3,IF(J123="Twice a year",1/6,IF(J123="Yearly",1/12,0))))))),2)))</f>
        <v>0</v>
      </c>
      <c r="T123" s="38">
        <f>IF(B123="","",IF(I123="Yes","Yes","No"))</f>
        <v>0</v>
      </c>
      <c r="U123" s="25">
        <f>IF(B123="","",IF(L123="Yes","",IF(K123="","",TodayDate-K123)))</f>
        <v>0</v>
      </c>
      <c r="V123" s="39">
        <f>IF(B123="","",IF(L123="Yes","Paid",IF(K123="","Pending",IF(K123&lt;TodayDate,"Overdue",IF(K123&lt;=TodayDate+7,"Due soon","Pending")))))</f>
        <v>0</v>
      </c>
      <c r="W123" s="26">
        <f>IF(B123="","",IFERROR(INDEX(BudgetAmount,MATCH(C123,BudgetCategory,0))*1,0))</f>
        <v>0</v>
      </c>
      <c r="X123" s="25">
        <f>IF(B123="","",COUNTIFS($R$5:$R$604,"&gt;"&amp;R123)+COUNTIFS($R$5:R123,R123))</f>
        <v>0</v>
      </c>
      <c r="Y123" s="39">
        <f>IF(B123="","",IF(F123="","Add - no amount",IF(C123="","Add - no category, it will miss the P&amp;L",IF(V123="Overdue","Overdue - pay it",IF(V123="Due soon","Due - coming up",IF(IF(I123="Yes",J123="",FALSE),"Add - how often does it recur?",IF(L123="Yes","OK","Pending")))))))</f>
        <v>0</v>
      </c>
    </row>
    <row r="124" spans="1:25">
      <c r="A124" s="28">
        <f>IF(B124="","",ExpensePrefix&amp;TEXT(ROW()-4,"0000"))</f>
        <v>0</v>
      </c>
      <c r="P124" s="15">
        <f>IF(B124="","",TEXT(B124,"yyyy-mm"))</f>
        <v>0</v>
      </c>
      <c r="Q124" s="25">
        <f>IF(B124="","",WEEKNUM(B124,2))</f>
        <v>0</v>
      </c>
      <c r="R124" s="26">
        <f>IF(B124="","",ROUND(IF(F124="",0,F124)+IF(G124="",0,G124),2))</f>
        <v>0</v>
      </c>
      <c r="S124" s="26">
        <f>IF(B124="","",IF(I124&lt;&gt;"Yes",0,ROUND(IF(F124="",0,F124)*IF(J124="Weekly",52/12,IF(J124="Fortnightly",26/12,IF(J124="Four weekly",13/12,IF(J124="Monthly",1,IF(J124="Quarterly",1/3,IF(J124="Twice a year",1/6,IF(J124="Yearly",1/12,0))))))),2)))</f>
        <v>0</v>
      </c>
      <c r="T124" s="38">
        <f>IF(B124="","",IF(I124="Yes","Yes","No"))</f>
        <v>0</v>
      </c>
      <c r="U124" s="25">
        <f>IF(B124="","",IF(L124="Yes","",IF(K124="","",TodayDate-K124)))</f>
        <v>0</v>
      </c>
      <c r="V124" s="39">
        <f>IF(B124="","",IF(L124="Yes","Paid",IF(K124="","Pending",IF(K124&lt;TodayDate,"Overdue",IF(K124&lt;=TodayDate+7,"Due soon","Pending")))))</f>
        <v>0</v>
      </c>
      <c r="W124" s="26">
        <f>IF(B124="","",IFERROR(INDEX(BudgetAmount,MATCH(C124,BudgetCategory,0))*1,0))</f>
        <v>0</v>
      </c>
      <c r="X124" s="25">
        <f>IF(B124="","",COUNTIFS($R$5:$R$604,"&gt;"&amp;R124)+COUNTIFS($R$5:R124,R124))</f>
        <v>0</v>
      </c>
      <c r="Y124" s="39">
        <f>IF(B124="","",IF(F124="","Add - no amount",IF(C124="","Add - no category, it will miss the P&amp;L",IF(V124="Overdue","Overdue - pay it",IF(V124="Due soon","Due - coming up",IF(IF(I124="Yes",J124="",FALSE),"Add - how often does it recur?",IF(L124="Yes","OK","Pending")))))))</f>
        <v>0</v>
      </c>
    </row>
    <row r="125" spans="1:25">
      <c r="A125" s="28">
        <f>IF(B125="","",ExpensePrefix&amp;TEXT(ROW()-4,"0000"))</f>
        <v>0</v>
      </c>
      <c r="P125" s="15">
        <f>IF(B125="","",TEXT(B125,"yyyy-mm"))</f>
        <v>0</v>
      </c>
      <c r="Q125" s="25">
        <f>IF(B125="","",WEEKNUM(B125,2))</f>
        <v>0</v>
      </c>
      <c r="R125" s="26">
        <f>IF(B125="","",ROUND(IF(F125="",0,F125)+IF(G125="",0,G125),2))</f>
        <v>0</v>
      </c>
      <c r="S125" s="26">
        <f>IF(B125="","",IF(I125&lt;&gt;"Yes",0,ROUND(IF(F125="",0,F125)*IF(J125="Weekly",52/12,IF(J125="Fortnightly",26/12,IF(J125="Four weekly",13/12,IF(J125="Monthly",1,IF(J125="Quarterly",1/3,IF(J125="Twice a year",1/6,IF(J125="Yearly",1/12,0))))))),2)))</f>
        <v>0</v>
      </c>
      <c r="T125" s="38">
        <f>IF(B125="","",IF(I125="Yes","Yes","No"))</f>
        <v>0</v>
      </c>
      <c r="U125" s="25">
        <f>IF(B125="","",IF(L125="Yes","",IF(K125="","",TodayDate-K125)))</f>
        <v>0</v>
      </c>
      <c r="V125" s="39">
        <f>IF(B125="","",IF(L125="Yes","Paid",IF(K125="","Pending",IF(K125&lt;TodayDate,"Overdue",IF(K125&lt;=TodayDate+7,"Due soon","Pending")))))</f>
        <v>0</v>
      </c>
      <c r="W125" s="26">
        <f>IF(B125="","",IFERROR(INDEX(BudgetAmount,MATCH(C125,BudgetCategory,0))*1,0))</f>
        <v>0</v>
      </c>
      <c r="X125" s="25">
        <f>IF(B125="","",COUNTIFS($R$5:$R$604,"&gt;"&amp;R125)+COUNTIFS($R$5:R125,R125))</f>
        <v>0</v>
      </c>
      <c r="Y125" s="39">
        <f>IF(B125="","",IF(F125="","Add - no amount",IF(C125="","Add - no category, it will miss the P&amp;L",IF(V125="Overdue","Overdue - pay it",IF(V125="Due soon","Due - coming up",IF(IF(I125="Yes",J125="",FALSE),"Add - how often does it recur?",IF(L125="Yes","OK","Pending")))))))</f>
        <v>0</v>
      </c>
    </row>
    <row r="126" spans="1:25">
      <c r="A126" s="28">
        <f>IF(B126="","",ExpensePrefix&amp;TEXT(ROW()-4,"0000"))</f>
        <v>0</v>
      </c>
      <c r="P126" s="15">
        <f>IF(B126="","",TEXT(B126,"yyyy-mm"))</f>
        <v>0</v>
      </c>
      <c r="Q126" s="25">
        <f>IF(B126="","",WEEKNUM(B126,2))</f>
        <v>0</v>
      </c>
      <c r="R126" s="26">
        <f>IF(B126="","",ROUND(IF(F126="",0,F126)+IF(G126="",0,G126),2))</f>
        <v>0</v>
      </c>
      <c r="S126" s="26">
        <f>IF(B126="","",IF(I126&lt;&gt;"Yes",0,ROUND(IF(F126="",0,F126)*IF(J126="Weekly",52/12,IF(J126="Fortnightly",26/12,IF(J126="Four weekly",13/12,IF(J126="Monthly",1,IF(J126="Quarterly",1/3,IF(J126="Twice a year",1/6,IF(J126="Yearly",1/12,0))))))),2)))</f>
        <v>0</v>
      </c>
      <c r="T126" s="38">
        <f>IF(B126="","",IF(I126="Yes","Yes","No"))</f>
        <v>0</v>
      </c>
      <c r="U126" s="25">
        <f>IF(B126="","",IF(L126="Yes","",IF(K126="","",TodayDate-K126)))</f>
        <v>0</v>
      </c>
      <c r="V126" s="39">
        <f>IF(B126="","",IF(L126="Yes","Paid",IF(K126="","Pending",IF(K126&lt;TodayDate,"Overdue",IF(K126&lt;=TodayDate+7,"Due soon","Pending")))))</f>
        <v>0</v>
      </c>
      <c r="W126" s="26">
        <f>IF(B126="","",IFERROR(INDEX(BudgetAmount,MATCH(C126,BudgetCategory,0))*1,0))</f>
        <v>0</v>
      </c>
      <c r="X126" s="25">
        <f>IF(B126="","",COUNTIFS($R$5:$R$604,"&gt;"&amp;R126)+COUNTIFS($R$5:R126,R126))</f>
        <v>0</v>
      </c>
      <c r="Y126" s="39">
        <f>IF(B126="","",IF(F126="","Add - no amount",IF(C126="","Add - no category, it will miss the P&amp;L",IF(V126="Overdue","Overdue - pay it",IF(V126="Due soon","Due - coming up",IF(IF(I126="Yes",J126="",FALSE),"Add - how often does it recur?",IF(L126="Yes","OK","Pending")))))))</f>
        <v>0</v>
      </c>
    </row>
    <row r="127" spans="1:25">
      <c r="A127" s="28">
        <f>IF(B127="","",ExpensePrefix&amp;TEXT(ROW()-4,"0000"))</f>
        <v>0</v>
      </c>
      <c r="P127" s="15">
        <f>IF(B127="","",TEXT(B127,"yyyy-mm"))</f>
        <v>0</v>
      </c>
      <c r="Q127" s="25">
        <f>IF(B127="","",WEEKNUM(B127,2))</f>
        <v>0</v>
      </c>
      <c r="R127" s="26">
        <f>IF(B127="","",ROUND(IF(F127="",0,F127)+IF(G127="",0,G127),2))</f>
        <v>0</v>
      </c>
      <c r="S127" s="26">
        <f>IF(B127="","",IF(I127&lt;&gt;"Yes",0,ROUND(IF(F127="",0,F127)*IF(J127="Weekly",52/12,IF(J127="Fortnightly",26/12,IF(J127="Four weekly",13/12,IF(J127="Monthly",1,IF(J127="Quarterly",1/3,IF(J127="Twice a year",1/6,IF(J127="Yearly",1/12,0))))))),2)))</f>
        <v>0</v>
      </c>
      <c r="T127" s="38">
        <f>IF(B127="","",IF(I127="Yes","Yes","No"))</f>
        <v>0</v>
      </c>
      <c r="U127" s="25">
        <f>IF(B127="","",IF(L127="Yes","",IF(K127="","",TodayDate-K127)))</f>
        <v>0</v>
      </c>
      <c r="V127" s="39">
        <f>IF(B127="","",IF(L127="Yes","Paid",IF(K127="","Pending",IF(K127&lt;TodayDate,"Overdue",IF(K127&lt;=TodayDate+7,"Due soon","Pending")))))</f>
        <v>0</v>
      </c>
      <c r="W127" s="26">
        <f>IF(B127="","",IFERROR(INDEX(BudgetAmount,MATCH(C127,BudgetCategory,0))*1,0))</f>
        <v>0</v>
      </c>
      <c r="X127" s="25">
        <f>IF(B127="","",COUNTIFS($R$5:$R$604,"&gt;"&amp;R127)+COUNTIFS($R$5:R127,R127))</f>
        <v>0</v>
      </c>
      <c r="Y127" s="39">
        <f>IF(B127="","",IF(F127="","Add - no amount",IF(C127="","Add - no category, it will miss the P&amp;L",IF(V127="Overdue","Overdue - pay it",IF(V127="Due soon","Due - coming up",IF(IF(I127="Yes",J127="",FALSE),"Add - how often does it recur?",IF(L127="Yes","OK","Pending")))))))</f>
        <v>0</v>
      </c>
    </row>
    <row r="128" spans="1:25">
      <c r="A128" s="28">
        <f>IF(B128="","",ExpensePrefix&amp;TEXT(ROW()-4,"0000"))</f>
        <v>0</v>
      </c>
      <c r="P128" s="15">
        <f>IF(B128="","",TEXT(B128,"yyyy-mm"))</f>
        <v>0</v>
      </c>
      <c r="Q128" s="25">
        <f>IF(B128="","",WEEKNUM(B128,2))</f>
        <v>0</v>
      </c>
      <c r="R128" s="26">
        <f>IF(B128="","",ROUND(IF(F128="",0,F128)+IF(G128="",0,G128),2))</f>
        <v>0</v>
      </c>
      <c r="S128" s="26">
        <f>IF(B128="","",IF(I128&lt;&gt;"Yes",0,ROUND(IF(F128="",0,F128)*IF(J128="Weekly",52/12,IF(J128="Fortnightly",26/12,IF(J128="Four weekly",13/12,IF(J128="Monthly",1,IF(J128="Quarterly",1/3,IF(J128="Twice a year",1/6,IF(J128="Yearly",1/12,0))))))),2)))</f>
        <v>0</v>
      </c>
      <c r="T128" s="38">
        <f>IF(B128="","",IF(I128="Yes","Yes","No"))</f>
        <v>0</v>
      </c>
      <c r="U128" s="25">
        <f>IF(B128="","",IF(L128="Yes","",IF(K128="","",TodayDate-K128)))</f>
        <v>0</v>
      </c>
      <c r="V128" s="39">
        <f>IF(B128="","",IF(L128="Yes","Paid",IF(K128="","Pending",IF(K128&lt;TodayDate,"Overdue",IF(K128&lt;=TodayDate+7,"Due soon","Pending")))))</f>
        <v>0</v>
      </c>
      <c r="W128" s="26">
        <f>IF(B128="","",IFERROR(INDEX(BudgetAmount,MATCH(C128,BudgetCategory,0))*1,0))</f>
        <v>0</v>
      </c>
      <c r="X128" s="25">
        <f>IF(B128="","",COUNTIFS($R$5:$R$604,"&gt;"&amp;R128)+COUNTIFS($R$5:R128,R128))</f>
        <v>0</v>
      </c>
      <c r="Y128" s="39">
        <f>IF(B128="","",IF(F128="","Add - no amount",IF(C128="","Add - no category, it will miss the P&amp;L",IF(V128="Overdue","Overdue - pay it",IF(V128="Due soon","Due - coming up",IF(IF(I128="Yes",J128="",FALSE),"Add - how often does it recur?",IF(L128="Yes","OK","Pending")))))))</f>
        <v>0</v>
      </c>
    </row>
    <row r="129" spans="1:25">
      <c r="A129" s="28">
        <f>IF(B129="","",ExpensePrefix&amp;TEXT(ROW()-4,"0000"))</f>
        <v>0</v>
      </c>
      <c r="P129" s="15">
        <f>IF(B129="","",TEXT(B129,"yyyy-mm"))</f>
        <v>0</v>
      </c>
      <c r="Q129" s="25">
        <f>IF(B129="","",WEEKNUM(B129,2))</f>
        <v>0</v>
      </c>
      <c r="R129" s="26">
        <f>IF(B129="","",ROUND(IF(F129="",0,F129)+IF(G129="",0,G129),2))</f>
        <v>0</v>
      </c>
      <c r="S129" s="26">
        <f>IF(B129="","",IF(I129&lt;&gt;"Yes",0,ROUND(IF(F129="",0,F129)*IF(J129="Weekly",52/12,IF(J129="Fortnightly",26/12,IF(J129="Four weekly",13/12,IF(J129="Monthly",1,IF(J129="Quarterly",1/3,IF(J129="Twice a year",1/6,IF(J129="Yearly",1/12,0))))))),2)))</f>
        <v>0</v>
      </c>
      <c r="T129" s="38">
        <f>IF(B129="","",IF(I129="Yes","Yes","No"))</f>
        <v>0</v>
      </c>
      <c r="U129" s="25">
        <f>IF(B129="","",IF(L129="Yes","",IF(K129="","",TodayDate-K129)))</f>
        <v>0</v>
      </c>
      <c r="V129" s="39">
        <f>IF(B129="","",IF(L129="Yes","Paid",IF(K129="","Pending",IF(K129&lt;TodayDate,"Overdue",IF(K129&lt;=TodayDate+7,"Due soon","Pending")))))</f>
        <v>0</v>
      </c>
      <c r="W129" s="26">
        <f>IF(B129="","",IFERROR(INDEX(BudgetAmount,MATCH(C129,BudgetCategory,0))*1,0))</f>
        <v>0</v>
      </c>
      <c r="X129" s="25">
        <f>IF(B129="","",COUNTIFS($R$5:$R$604,"&gt;"&amp;R129)+COUNTIFS($R$5:R129,R129))</f>
        <v>0</v>
      </c>
      <c r="Y129" s="39">
        <f>IF(B129="","",IF(F129="","Add - no amount",IF(C129="","Add - no category, it will miss the P&amp;L",IF(V129="Overdue","Overdue - pay it",IF(V129="Due soon","Due - coming up",IF(IF(I129="Yes",J129="",FALSE),"Add - how often does it recur?",IF(L129="Yes","OK","Pending")))))))</f>
        <v>0</v>
      </c>
    </row>
    <row r="130" spans="1:25">
      <c r="A130" s="28">
        <f>IF(B130="","",ExpensePrefix&amp;TEXT(ROW()-4,"0000"))</f>
        <v>0</v>
      </c>
      <c r="P130" s="15">
        <f>IF(B130="","",TEXT(B130,"yyyy-mm"))</f>
        <v>0</v>
      </c>
      <c r="Q130" s="25">
        <f>IF(B130="","",WEEKNUM(B130,2))</f>
        <v>0</v>
      </c>
      <c r="R130" s="26">
        <f>IF(B130="","",ROUND(IF(F130="",0,F130)+IF(G130="",0,G130),2))</f>
        <v>0</v>
      </c>
      <c r="S130" s="26">
        <f>IF(B130="","",IF(I130&lt;&gt;"Yes",0,ROUND(IF(F130="",0,F130)*IF(J130="Weekly",52/12,IF(J130="Fortnightly",26/12,IF(J130="Four weekly",13/12,IF(J130="Monthly",1,IF(J130="Quarterly",1/3,IF(J130="Twice a year",1/6,IF(J130="Yearly",1/12,0))))))),2)))</f>
        <v>0</v>
      </c>
      <c r="T130" s="38">
        <f>IF(B130="","",IF(I130="Yes","Yes","No"))</f>
        <v>0</v>
      </c>
      <c r="U130" s="25">
        <f>IF(B130="","",IF(L130="Yes","",IF(K130="","",TodayDate-K130)))</f>
        <v>0</v>
      </c>
      <c r="V130" s="39">
        <f>IF(B130="","",IF(L130="Yes","Paid",IF(K130="","Pending",IF(K130&lt;TodayDate,"Overdue",IF(K130&lt;=TodayDate+7,"Due soon","Pending")))))</f>
        <v>0</v>
      </c>
      <c r="W130" s="26">
        <f>IF(B130="","",IFERROR(INDEX(BudgetAmount,MATCH(C130,BudgetCategory,0))*1,0))</f>
        <v>0</v>
      </c>
      <c r="X130" s="25">
        <f>IF(B130="","",COUNTIFS($R$5:$R$604,"&gt;"&amp;R130)+COUNTIFS($R$5:R130,R130))</f>
        <v>0</v>
      </c>
      <c r="Y130" s="39">
        <f>IF(B130="","",IF(F130="","Add - no amount",IF(C130="","Add - no category, it will miss the P&amp;L",IF(V130="Overdue","Overdue - pay it",IF(V130="Due soon","Due - coming up",IF(IF(I130="Yes",J130="",FALSE),"Add - how often does it recur?",IF(L130="Yes","OK","Pending")))))))</f>
        <v>0</v>
      </c>
    </row>
    <row r="131" spans="1:25">
      <c r="A131" s="28">
        <f>IF(B131="","",ExpensePrefix&amp;TEXT(ROW()-4,"0000"))</f>
        <v>0</v>
      </c>
      <c r="P131" s="15">
        <f>IF(B131="","",TEXT(B131,"yyyy-mm"))</f>
        <v>0</v>
      </c>
      <c r="Q131" s="25">
        <f>IF(B131="","",WEEKNUM(B131,2))</f>
        <v>0</v>
      </c>
      <c r="R131" s="26">
        <f>IF(B131="","",ROUND(IF(F131="",0,F131)+IF(G131="",0,G131),2))</f>
        <v>0</v>
      </c>
      <c r="S131" s="26">
        <f>IF(B131="","",IF(I131&lt;&gt;"Yes",0,ROUND(IF(F131="",0,F131)*IF(J131="Weekly",52/12,IF(J131="Fortnightly",26/12,IF(J131="Four weekly",13/12,IF(J131="Monthly",1,IF(J131="Quarterly",1/3,IF(J131="Twice a year",1/6,IF(J131="Yearly",1/12,0))))))),2)))</f>
        <v>0</v>
      </c>
      <c r="T131" s="38">
        <f>IF(B131="","",IF(I131="Yes","Yes","No"))</f>
        <v>0</v>
      </c>
      <c r="U131" s="25">
        <f>IF(B131="","",IF(L131="Yes","",IF(K131="","",TodayDate-K131)))</f>
        <v>0</v>
      </c>
      <c r="V131" s="39">
        <f>IF(B131="","",IF(L131="Yes","Paid",IF(K131="","Pending",IF(K131&lt;TodayDate,"Overdue",IF(K131&lt;=TodayDate+7,"Due soon","Pending")))))</f>
        <v>0</v>
      </c>
      <c r="W131" s="26">
        <f>IF(B131="","",IFERROR(INDEX(BudgetAmount,MATCH(C131,BudgetCategory,0))*1,0))</f>
        <v>0</v>
      </c>
      <c r="X131" s="25">
        <f>IF(B131="","",COUNTIFS($R$5:$R$604,"&gt;"&amp;R131)+COUNTIFS($R$5:R131,R131))</f>
        <v>0</v>
      </c>
      <c r="Y131" s="39">
        <f>IF(B131="","",IF(F131="","Add - no amount",IF(C131="","Add - no category, it will miss the P&amp;L",IF(V131="Overdue","Overdue - pay it",IF(V131="Due soon","Due - coming up",IF(IF(I131="Yes",J131="",FALSE),"Add - how often does it recur?",IF(L131="Yes","OK","Pending")))))))</f>
        <v>0</v>
      </c>
    </row>
    <row r="132" spans="1:25">
      <c r="A132" s="28">
        <f>IF(B132="","",ExpensePrefix&amp;TEXT(ROW()-4,"0000"))</f>
        <v>0</v>
      </c>
      <c r="P132" s="15">
        <f>IF(B132="","",TEXT(B132,"yyyy-mm"))</f>
        <v>0</v>
      </c>
      <c r="Q132" s="25">
        <f>IF(B132="","",WEEKNUM(B132,2))</f>
        <v>0</v>
      </c>
      <c r="R132" s="26">
        <f>IF(B132="","",ROUND(IF(F132="",0,F132)+IF(G132="",0,G132),2))</f>
        <v>0</v>
      </c>
      <c r="S132" s="26">
        <f>IF(B132="","",IF(I132&lt;&gt;"Yes",0,ROUND(IF(F132="",0,F132)*IF(J132="Weekly",52/12,IF(J132="Fortnightly",26/12,IF(J132="Four weekly",13/12,IF(J132="Monthly",1,IF(J132="Quarterly",1/3,IF(J132="Twice a year",1/6,IF(J132="Yearly",1/12,0))))))),2)))</f>
        <v>0</v>
      </c>
      <c r="T132" s="38">
        <f>IF(B132="","",IF(I132="Yes","Yes","No"))</f>
        <v>0</v>
      </c>
      <c r="U132" s="25">
        <f>IF(B132="","",IF(L132="Yes","",IF(K132="","",TodayDate-K132)))</f>
        <v>0</v>
      </c>
      <c r="V132" s="39">
        <f>IF(B132="","",IF(L132="Yes","Paid",IF(K132="","Pending",IF(K132&lt;TodayDate,"Overdue",IF(K132&lt;=TodayDate+7,"Due soon","Pending")))))</f>
        <v>0</v>
      </c>
      <c r="W132" s="26">
        <f>IF(B132="","",IFERROR(INDEX(BudgetAmount,MATCH(C132,BudgetCategory,0))*1,0))</f>
        <v>0</v>
      </c>
      <c r="X132" s="25">
        <f>IF(B132="","",COUNTIFS($R$5:$R$604,"&gt;"&amp;R132)+COUNTIFS($R$5:R132,R132))</f>
        <v>0</v>
      </c>
      <c r="Y132" s="39">
        <f>IF(B132="","",IF(F132="","Add - no amount",IF(C132="","Add - no category, it will miss the P&amp;L",IF(V132="Overdue","Overdue - pay it",IF(V132="Due soon","Due - coming up",IF(IF(I132="Yes",J132="",FALSE),"Add - how often does it recur?",IF(L132="Yes","OK","Pending")))))))</f>
        <v>0</v>
      </c>
    </row>
    <row r="133" spans="1:25">
      <c r="A133" s="28">
        <f>IF(B133="","",ExpensePrefix&amp;TEXT(ROW()-4,"0000"))</f>
        <v>0</v>
      </c>
      <c r="P133" s="15">
        <f>IF(B133="","",TEXT(B133,"yyyy-mm"))</f>
        <v>0</v>
      </c>
      <c r="Q133" s="25">
        <f>IF(B133="","",WEEKNUM(B133,2))</f>
        <v>0</v>
      </c>
      <c r="R133" s="26">
        <f>IF(B133="","",ROUND(IF(F133="",0,F133)+IF(G133="",0,G133),2))</f>
        <v>0</v>
      </c>
      <c r="S133" s="26">
        <f>IF(B133="","",IF(I133&lt;&gt;"Yes",0,ROUND(IF(F133="",0,F133)*IF(J133="Weekly",52/12,IF(J133="Fortnightly",26/12,IF(J133="Four weekly",13/12,IF(J133="Monthly",1,IF(J133="Quarterly",1/3,IF(J133="Twice a year",1/6,IF(J133="Yearly",1/12,0))))))),2)))</f>
        <v>0</v>
      </c>
      <c r="T133" s="38">
        <f>IF(B133="","",IF(I133="Yes","Yes","No"))</f>
        <v>0</v>
      </c>
      <c r="U133" s="25">
        <f>IF(B133="","",IF(L133="Yes","",IF(K133="","",TodayDate-K133)))</f>
        <v>0</v>
      </c>
      <c r="V133" s="39">
        <f>IF(B133="","",IF(L133="Yes","Paid",IF(K133="","Pending",IF(K133&lt;TodayDate,"Overdue",IF(K133&lt;=TodayDate+7,"Due soon","Pending")))))</f>
        <v>0</v>
      </c>
      <c r="W133" s="26">
        <f>IF(B133="","",IFERROR(INDEX(BudgetAmount,MATCH(C133,BudgetCategory,0))*1,0))</f>
        <v>0</v>
      </c>
      <c r="X133" s="25">
        <f>IF(B133="","",COUNTIFS($R$5:$R$604,"&gt;"&amp;R133)+COUNTIFS($R$5:R133,R133))</f>
        <v>0</v>
      </c>
      <c r="Y133" s="39">
        <f>IF(B133="","",IF(F133="","Add - no amount",IF(C133="","Add - no category, it will miss the P&amp;L",IF(V133="Overdue","Overdue - pay it",IF(V133="Due soon","Due - coming up",IF(IF(I133="Yes",J133="",FALSE),"Add - how often does it recur?",IF(L133="Yes","OK","Pending")))))))</f>
        <v>0</v>
      </c>
    </row>
    <row r="134" spans="1:25">
      <c r="A134" s="28">
        <f>IF(B134="","",ExpensePrefix&amp;TEXT(ROW()-4,"0000"))</f>
        <v>0</v>
      </c>
      <c r="P134" s="15">
        <f>IF(B134="","",TEXT(B134,"yyyy-mm"))</f>
        <v>0</v>
      </c>
      <c r="Q134" s="25">
        <f>IF(B134="","",WEEKNUM(B134,2))</f>
        <v>0</v>
      </c>
      <c r="R134" s="26">
        <f>IF(B134="","",ROUND(IF(F134="",0,F134)+IF(G134="",0,G134),2))</f>
        <v>0</v>
      </c>
      <c r="S134" s="26">
        <f>IF(B134="","",IF(I134&lt;&gt;"Yes",0,ROUND(IF(F134="",0,F134)*IF(J134="Weekly",52/12,IF(J134="Fortnightly",26/12,IF(J134="Four weekly",13/12,IF(J134="Monthly",1,IF(J134="Quarterly",1/3,IF(J134="Twice a year",1/6,IF(J134="Yearly",1/12,0))))))),2)))</f>
        <v>0</v>
      </c>
      <c r="T134" s="38">
        <f>IF(B134="","",IF(I134="Yes","Yes","No"))</f>
        <v>0</v>
      </c>
      <c r="U134" s="25">
        <f>IF(B134="","",IF(L134="Yes","",IF(K134="","",TodayDate-K134)))</f>
        <v>0</v>
      </c>
      <c r="V134" s="39">
        <f>IF(B134="","",IF(L134="Yes","Paid",IF(K134="","Pending",IF(K134&lt;TodayDate,"Overdue",IF(K134&lt;=TodayDate+7,"Due soon","Pending")))))</f>
        <v>0</v>
      </c>
      <c r="W134" s="26">
        <f>IF(B134="","",IFERROR(INDEX(BudgetAmount,MATCH(C134,BudgetCategory,0))*1,0))</f>
        <v>0</v>
      </c>
      <c r="X134" s="25">
        <f>IF(B134="","",COUNTIFS($R$5:$R$604,"&gt;"&amp;R134)+COUNTIFS($R$5:R134,R134))</f>
        <v>0</v>
      </c>
      <c r="Y134" s="39">
        <f>IF(B134="","",IF(F134="","Add - no amount",IF(C134="","Add - no category, it will miss the P&amp;L",IF(V134="Overdue","Overdue - pay it",IF(V134="Due soon","Due - coming up",IF(IF(I134="Yes",J134="",FALSE),"Add - how often does it recur?",IF(L134="Yes","OK","Pending")))))))</f>
        <v>0</v>
      </c>
    </row>
    <row r="135" spans="1:25">
      <c r="A135" s="28">
        <f>IF(B135="","",ExpensePrefix&amp;TEXT(ROW()-4,"0000"))</f>
        <v>0</v>
      </c>
      <c r="P135" s="15">
        <f>IF(B135="","",TEXT(B135,"yyyy-mm"))</f>
        <v>0</v>
      </c>
      <c r="Q135" s="25">
        <f>IF(B135="","",WEEKNUM(B135,2))</f>
        <v>0</v>
      </c>
      <c r="R135" s="26">
        <f>IF(B135="","",ROUND(IF(F135="",0,F135)+IF(G135="",0,G135),2))</f>
        <v>0</v>
      </c>
      <c r="S135" s="26">
        <f>IF(B135="","",IF(I135&lt;&gt;"Yes",0,ROUND(IF(F135="",0,F135)*IF(J135="Weekly",52/12,IF(J135="Fortnightly",26/12,IF(J135="Four weekly",13/12,IF(J135="Monthly",1,IF(J135="Quarterly",1/3,IF(J135="Twice a year",1/6,IF(J135="Yearly",1/12,0))))))),2)))</f>
        <v>0</v>
      </c>
      <c r="T135" s="38">
        <f>IF(B135="","",IF(I135="Yes","Yes","No"))</f>
        <v>0</v>
      </c>
      <c r="U135" s="25">
        <f>IF(B135="","",IF(L135="Yes","",IF(K135="","",TodayDate-K135)))</f>
        <v>0</v>
      </c>
      <c r="V135" s="39">
        <f>IF(B135="","",IF(L135="Yes","Paid",IF(K135="","Pending",IF(K135&lt;TodayDate,"Overdue",IF(K135&lt;=TodayDate+7,"Due soon","Pending")))))</f>
        <v>0</v>
      </c>
      <c r="W135" s="26">
        <f>IF(B135="","",IFERROR(INDEX(BudgetAmount,MATCH(C135,BudgetCategory,0))*1,0))</f>
        <v>0</v>
      </c>
      <c r="X135" s="25">
        <f>IF(B135="","",COUNTIFS($R$5:$R$604,"&gt;"&amp;R135)+COUNTIFS($R$5:R135,R135))</f>
        <v>0</v>
      </c>
      <c r="Y135" s="39">
        <f>IF(B135="","",IF(F135="","Add - no amount",IF(C135="","Add - no category, it will miss the P&amp;L",IF(V135="Overdue","Overdue - pay it",IF(V135="Due soon","Due - coming up",IF(IF(I135="Yes",J135="",FALSE),"Add - how often does it recur?",IF(L135="Yes","OK","Pending")))))))</f>
        <v>0</v>
      </c>
    </row>
    <row r="136" spans="1:25">
      <c r="A136" s="28">
        <f>IF(B136="","",ExpensePrefix&amp;TEXT(ROW()-4,"0000"))</f>
        <v>0</v>
      </c>
      <c r="P136" s="15">
        <f>IF(B136="","",TEXT(B136,"yyyy-mm"))</f>
        <v>0</v>
      </c>
      <c r="Q136" s="25">
        <f>IF(B136="","",WEEKNUM(B136,2))</f>
        <v>0</v>
      </c>
      <c r="R136" s="26">
        <f>IF(B136="","",ROUND(IF(F136="",0,F136)+IF(G136="",0,G136),2))</f>
        <v>0</v>
      </c>
      <c r="S136" s="26">
        <f>IF(B136="","",IF(I136&lt;&gt;"Yes",0,ROUND(IF(F136="",0,F136)*IF(J136="Weekly",52/12,IF(J136="Fortnightly",26/12,IF(J136="Four weekly",13/12,IF(J136="Monthly",1,IF(J136="Quarterly",1/3,IF(J136="Twice a year",1/6,IF(J136="Yearly",1/12,0))))))),2)))</f>
        <v>0</v>
      </c>
      <c r="T136" s="38">
        <f>IF(B136="","",IF(I136="Yes","Yes","No"))</f>
        <v>0</v>
      </c>
      <c r="U136" s="25">
        <f>IF(B136="","",IF(L136="Yes","",IF(K136="","",TodayDate-K136)))</f>
        <v>0</v>
      </c>
      <c r="V136" s="39">
        <f>IF(B136="","",IF(L136="Yes","Paid",IF(K136="","Pending",IF(K136&lt;TodayDate,"Overdue",IF(K136&lt;=TodayDate+7,"Due soon","Pending")))))</f>
        <v>0</v>
      </c>
      <c r="W136" s="26">
        <f>IF(B136="","",IFERROR(INDEX(BudgetAmount,MATCH(C136,BudgetCategory,0))*1,0))</f>
        <v>0</v>
      </c>
      <c r="X136" s="25">
        <f>IF(B136="","",COUNTIFS($R$5:$R$604,"&gt;"&amp;R136)+COUNTIFS($R$5:R136,R136))</f>
        <v>0</v>
      </c>
      <c r="Y136" s="39">
        <f>IF(B136="","",IF(F136="","Add - no amount",IF(C136="","Add - no category, it will miss the P&amp;L",IF(V136="Overdue","Overdue - pay it",IF(V136="Due soon","Due - coming up",IF(IF(I136="Yes",J136="",FALSE),"Add - how often does it recur?",IF(L136="Yes","OK","Pending")))))))</f>
        <v>0</v>
      </c>
    </row>
    <row r="137" spans="1:25">
      <c r="A137" s="28">
        <f>IF(B137="","",ExpensePrefix&amp;TEXT(ROW()-4,"0000"))</f>
        <v>0</v>
      </c>
      <c r="P137" s="15">
        <f>IF(B137="","",TEXT(B137,"yyyy-mm"))</f>
        <v>0</v>
      </c>
      <c r="Q137" s="25">
        <f>IF(B137="","",WEEKNUM(B137,2))</f>
        <v>0</v>
      </c>
      <c r="R137" s="26">
        <f>IF(B137="","",ROUND(IF(F137="",0,F137)+IF(G137="",0,G137),2))</f>
        <v>0</v>
      </c>
      <c r="S137" s="26">
        <f>IF(B137="","",IF(I137&lt;&gt;"Yes",0,ROUND(IF(F137="",0,F137)*IF(J137="Weekly",52/12,IF(J137="Fortnightly",26/12,IF(J137="Four weekly",13/12,IF(J137="Monthly",1,IF(J137="Quarterly",1/3,IF(J137="Twice a year",1/6,IF(J137="Yearly",1/12,0))))))),2)))</f>
        <v>0</v>
      </c>
      <c r="T137" s="38">
        <f>IF(B137="","",IF(I137="Yes","Yes","No"))</f>
        <v>0</v>
      </c>
      <c r="U137" s="25">
        <f>IF(B137="","",IF(L137="Yes","",IF(K137="","",TodayDate-K137)))</f>
        <v>0</v>
      </c>
      <c r="V137" s="39">
        <f>IF(B137="","",IF(L137="Yes","Paid",IF(K137="","Pending",IF(K137&lt;TodayDate,"Overdue",IF(K137&lt;=TodayDate+7,"Due soon","Pending")))))</f>
        <v>0</v>
      </c>
      <c r="W137" s="26">
        <f>IF(B137="","",IFERROR(INDEX(BudgetAmount,MATCH(C137,BudgetCategory,0))*1,0))</f>
        <v>0</v>
      </c>
      <c r="X137" s="25">
        <f>IF(B137="","",COUNTIFS($R$5:$R$604,"&gt;"&amp;R137)+COUNTIFS($R$5:R137,R137))</f>
        <v>0</v>
      </c>
      <c r="Y137" s="39">
        <f>IF(B137="","",IF(F137="","Add - no amount",IF(C137="","Add - no category, it will miss the P&amp;L",IF(V137="Overdue","Overdue - pay it",IF(V137="Due soon","Due - coming up",IF(IF(I137="Yes",J137="",FALSE),"Add - how often does it recur?",IF(L137="Yes","OK","Pending")))))))</f>
        <v>0</v>
      </c>
    </row>
    <row r="138" spans="1:25">
      <c r="A138" s="28">
        <f>IF(B138="","",ExpensePrefix&amp;TEXT(ROW()-4,"0000"))</f>
        <v>0</v>
      </c>
      <c r="P138" s="15">
        <f>IF(B138="","",TEXT(B138,"yyyy-mm"))</f>
        <v>0</v>
      </c>
      <c r="Q138" s="25">
        <f>IF(B138="","",WEEKNUM(B138,2))</f>
        <v>0</v>
      </c>
      <c r="R138" s="26">
        <f>IF(B138="","",ROUND(IF(F138="",0,F138)+IF(G138="",0,G138),2))</f>
        <v>0</v>
      </c>
      <c r="S138" s="26">
        <f>IF(B138="","",IF(I138&lt;&gt;"Yes",0,ROUND(IF(F138="",0,F138)*IF(J138="Weekly",52/12,IF(J138="Fortnightly",26/12,IF(J138="Four weekly",13/12,IF(J138="Monthly",1,IF(J138="Quarterly",1/3,IF(J138="Twice a year",1/6,IF(J138="Yearly",1/12,0))))))),2)))</f>
        <v>0</v>
      </c>
      <c r="T138" s="38">
        <f>IF(B138="","",IF(I138="Yes","Yes","No"))</f>
        <v>0</v>
      </c>
      <c r="U138" s="25">
        <f>IF(B138="","",IF(L138="Yes","",IF(K138="","",TodayDate-K138)))</f>
        <v>0</v>
      </c>
      <c r="V138" s="39">
        <f>IF(B138="","",IF(L138="Yes","Paid",IF(K138="","Pending",IF(K138&lt;TodayDate,"Overdue",IF(K138&lt;=TodayDate+7,"Due soon","Pending")))))</f>
        <v>0</v>
      </c>
      <c r="W138" s="26">
        <f>IF(B138="","",IFERROR(INDEX(BudgetAmount,MATCH(C138,BudgetCategory,0))*1,0))</f>
        <v>0</v>
      </c>
      <c r="X138" s="25">
        <f>IF(B138="","",COUNTIFS($R$5:$R$604,"&gt;"&amp;R138)+COUNTIFS($R$5:R138,R138))</f>
        <v>0</v>
      </c>
      <c r="Y138" s="39">
        <f>IF(B138="","",IF(F138="","Add - no amount",IF(C138="","Add - no category, it will miss the P&amp;L",IF(V138="Overdue","Overdue - pay it",IF(V138="Due soon","Due - coming up",IF(IF(I138="Yes",J138="",FALSE),"Add - how often does it recur?",IF(L138="Yes","OK","Pending")))))))</f>
        <v>0</v>
      </c>
    </row>
    <row r="139" spans="1:25">
      <c r="A139" s="28">
        <f>IF(B139="","",ExpensePrefix&amp;TEXT(ROW()-4,"0000"))</f>
        <v>0</v>
      </c>
      <c r="P139" s="15">
        <f>IF(B139="","",TEXT(B139,"yyyy-mm"))</f>
        <v>0</v>
      </c>
      <c r="Q139" s="25">
        <f>IF(B139="","",WEEKNUM(B139,2))</f>
        <v>0</v>
      </c>
      <c r="R139" s="26">
        <f>IF(B139="","",ROUND(IF(F139="",0,F139)+IF(G139="",0,G139),2))</f>
        <v>0</v>
      </c>
      <c r="S139" s="26">
        <f>IF(B139="","",IF(I139&lt;&gt;"Yes",0,ROUND(IF(F139="",0,F139)*IF(J139="Weekly",52/12,IF(J139="Fortnightly",26/12,IF(J139="Four weekly",13/12,IF(J139="Monthly",1,IF(J139="Quarterly",1/3,IF(J139="Twice a year",1/6,IF(J139="Yearly",1/12,0))))))),2)))</f>
        <v>0</v>
      </c>
      <c r="T139" s="38">
        <f>IF(B139="","",IF(I139="Yes","Yes","No"))</f>
        <v>0</v>
      </c>
      <c r="U139" s="25">
        <f>IF(B139="","",IF(L139="Yes","",IF(K139="","",TodayDate-K139)))</f>
        <v>0</v>
      </c>
      <c r="V139" s="39">
        <f>IF(B139="","",IF(L139="Yes","Paid",IF(K139="","Pending",IF(K139&lt;TodayDate,"Overdue",IF(K139&lt;=TodayDate+7,"Due soon","Pending")))))</f>
        <v>0</v>
      </c>
      <c r="W139" s="26">
        <f>IF(B139="","",IFERROR(INDEX(BudgetAmount,MATCH(C139,BudgetCategory,0))*1,0))</f>
        <v>0</v>
      </c>
      <c r="X139" s="25">
        <f>IF(B139="","",COUNTIFS($R$5:$R$604,"&gt;"&amp;R139)+COUNTIFS($R$5:R139,R139))</f>
        <v>0</v>
      </c>
      <c r="Y139" s="39">
        <f>IF(B139="","",IF(F139="","Add - no amount",IF(C139="","Add - no category, it will miss the P&amp;L",IF(V139="Overdue","Overdue - pay it",IF(V139="Due soon","Due - coming up",IF(IF(I139="Yes",J139="",FALSE),"Add - how often does it recur?",IF(L139="Yes","OK","Pending")))))))</f>
        <v>0</v>
      </c>
    </row>
    <row r="140" spans="1:25">
      <c r="A140" s="28">
        <f>IF(B140="","",ExpensePrefix&amp;TEXT(ROW()-4,"0000"))</f>
        <v>0</v>
      </c>
      <c r="P140" s="15">
        <f>IF(B140="","",TEXT(B140,"yyyy-mm"))</f>
        <v>0</v>
      </c>
      <c r="Q140" s="25">
        <f>IF(B140="","",WEEKNUM(B140,2))</f>
        <v>0</v>
      </c>
      <c r="R140" s="26">
        <f>IF(B140="","",ROUND(IF(F140="",0,F140)+IF(G140="",0,G140),2))</f>
        <v>0</v>
      </c>
      <c r="S140" s="26">
        <f>IF(B140="","",IF(I140&lt;&gt;"Yes",0,ROUND(IF(F140="",0,F140)*IF(J140="Weekly",52/12,IF(J140="Fortnightly",26/12,IF(J140="Four weekly",13/12,IF(J140="Monthly",1,IF(J140="Quarterly",1/3,IF(J140="Twice a year",1/6,IF(J140="Yearly",1/12,0))))))),2)))</f>
        <v>0</v>
      </c>
      <c r="T140" s="38">
        <f>IF(B140="","",IF(I140="Yes","Yes","No"))</f>
        <v>0</v>
      </c>
      <c r="U140" s="25">
        <f>IF(B140="","",IF(L140="Yes","",IF(K140="","",TodayDate-K140)))</f>
        <v>0</v>
      </c>
      <c r="V140" s="39">
        <f>IF(B140="","",IF(L140="Yes","Paid",IF(K140="","Pending",IF(K140&lt;TodayDate,"Overdue",IF(K140&lt;=TodayDate+7,"Due soon","Pending")))))</f>
        <v>0</v>
      </c>
      <c r="W140" s="26">
        <f>IF(B140="","",IFERROR(INDEX(BudgetAmount,MATCH(C140,BudgetCategory,0))*1,0))</f>
        <v>0</v>
      </c>
      <c r="X140" s="25">
        <f>IF(B140="","",COUNTIFS($R$5:$R$604,"&gt;"&amp;R140)+COUNTIFS($R$5:R140,R140))</f>
        <v>0</v>
      </c>
      <c r="Y140" s="39">
        <f>IF(B140="","",IF(F140="","Add - no amount",IF(C140="","Add - no category, it will miss the P&amp;L",IF(V140="Overdue","Overdue - pay it",IF(V140="Due soon","Due - coming up",IF(IF(I140="Yes",J140="",FALSE),"Add - how often does it recur?",IF(L140="Yes","OK","Pending")))))))</f>
        <v>0</v>
      </c>
    </row>
    <row r="141" spans="1:25">
      <c r="A141" s="28">
        <f>IF(B141="","",ExpensePrefix&amp;TEXT(ROW()-4,"0000"))</f>
        <v>0</v>
      </c>
      <c r="P141" s="15">
        <f>IF(B141="","",TEXT(B141,"yyyy-mm"))</f>
        <v>0</v>
      </c>
      <c r="Q141" s="25">
        <f>IF(B141="","",WEEKNUM(B141,2))</f>
        <v>0</v>
      </c>
      <c r="R141" s="26">
        <f>IF(B141="","",ROUND(IF(F141="",0,F141)+IF(G141="",0,G141),2))</f>
        <v>0</v>
      </c>
      <c r="S141" s="26">
        <f>IF(B141="","",IF(I141&lt;&gt;"Yes",0,ROUND(IF(F141="",0,F141)*IF(J141="Weekly",52/12,IF(J141="Fortnightly",26/12,IF(J141="Four weekly",13/12,IF(J141="Monthly",1,IF(J141="Quarterly",1/3,IF(J141="Twice a year",1/6,IF(J141="Yearly",1/12,0))))))),2)))</f>
        <v>0</v>
      </c>
      <c r="T141" s="38">
        <f>IF(B141="","",IF(I141="Yes","Yes","No"))</f>
        <v>0</v>
      </c>
      <c r="U141" s="25">
        <f>IF(B141="","",IF(L141="Yes","",IF(K141="","",TodayDate-K141)))</f>
        <v>0</v>
      </c>
      <c r="V141" s="39">
        <f>IF(B141="","",IF(L141="Yes","Paid",IF(K141="","Pending",IF(K141&lt;TodayDate,"Overdue",IF(K141&lt;=TodayDate+7,"Due soon","Pending")))))</f>
        <v>0</v>
      </c>
      <c r="W141" s="26">
        <f>IF(B141="","",IFERROR(INDEX(BudgetAmount,MATCH(C141,BudgetCategory,0))*1,0))</f>
        <v>0</v>
      </c>
      <c r="X141" s="25">
        <f>IF(B141="","",COUNTIFS($R$5:$R$604,"&gt;"&amp;R141)+COUNTIFS($R$5:R141,R141))</f>
        <v>0</v>
      </c>
      <c r="Y141" s="39">
        <f>IF(B141="","",IF(F141="","Add - no amount",IF(C141="","Add - no category, it will miss the P&amp;L",IF(V141="Overdue","Overdue - pay it",IF(V141="Due soon","Due - coming up",IF(IF(I141="Yes",J141="",FALSE),"Add - how often does it recur?",IF(L141="Yes","OK","Pending")))))))</f>
        <v>0</v>
      </c>
    </row>
    <row r="142" spans="1:25">
      <c r="A142" s="28">
        <f>IF(B142="","",ExpensePrefix&amp;TEXT(ROW()-4,"0000"))</f>
        <v>0</v>
      </c>
      <c r="P142" s="15">
        <f>IF(B142="","",TEXT(B142,"yyyy-mm"))</f>
        <v>0</v>
      </c>
      <c r="Q142" s="25">
        <f>IF(B142="","",WEEKNUM(B142,2))</f>
        <v>0</v>
      </c>
      <c r="R142" s="26">
        <f>IF(B142="","",ROUND(IF(F142="",0,F142)+IF(G142="",0,G142),2))</f>
        <v>0</v>
      </c>
      <c r="S142" s="26">
        <f>IF(B142="","",IF(I142&lt;&gt;"Yes",0,ROUND(IF(F142="",0,F142)*IF(J142="Weekly",52/12,IF(J142="Fortnightly",26/12,IF(J142="Four weekly",13/12,IF(J142="Monthly",1,IF(J142="Quarterly",1/3,IF(J142="Twice a year",1/6,IF(J142="Yearly",1/12,0))))))),2)))</f>
        <v>0</v>
      </c>
      <c r="T142" s="38">
        <f>IF(B142="","",IF(I142="Yes","Yes","No"))</f>
        <v>0</v>
      </c>
      <c r="U142" s="25">
        <f>IF(B142="","",IF(L142="Yes","",IF(K142="","",TodayDate-K142)))</f>
        <v>0</v>
      </c>
      <c r="V142" s="39">
        <f>IF(B142="","",IF(L142="Yes","Paid",IF(K142="","Pending",IF(K142&lt;TodayDate,"Overdue",IF(K142&lt;=TodayDate+7,"Due soon","Pending")))))</f>
        <v>0</v>
      </c>
      <c r="W142" s="26">
        <f>IF(B142="","",IFERROR(INDEX(BudgetAmount,MATCH(C142,BudgetCategory,0))*1,0))</f>
        <v>0</v>
      </c>
      <c r="X142" s="25">
        <f>IF(B142="","",COUNTIFS($R$5:$R$604,"&gt;"&amp;R142)+COUNTIFS($R$5:R142,R142))</f>
        <v>0</v>
      </c>
      <c r="Y142" s="39">
        <f>IF(B142="","",IF(F142="","Add - no amount",IF(C142="","Add - no category, it will miss the P&amp;L",IF(V142="Overdue","Overdue - pay it",IF(V142="Due soon","Due - coming up",IF(IF(I142="Yes",J142="",FALSE),"Add - how often does it recur?",IF(L142="Yes","OK","Pending")))))))</f>
        <v>0</v>
      </c>
    </row>
    <row r="143" spans="1:25">
      <c r="A143" s="28">
        <f>IF(B143="","",ExpensePrefix&amp;TEXT(ROW()-4,"0000"))</f>
        <v>0</v>
      </c>
      <c r="P143" s="15">
        <f>IF(B143="","",TEXT(B143,"yyyy-mm"))</f>
        <v>0</v>
      </c>
      <c r="Q143" s="25">
        <f>IF(B143="","",WEEKNUM(B143,2))</f>
        <v>0</v>
      </c>
      <c r="R143" s="26">
        <f>IF(B143="","",ROUND(IF(F143="",0,F143)+IF(G143="",0,G143),2))</f>
        <v>0</v>
      </c>
      <c r="S143" s="26">
        <f>IF(B143="","",IF(I143&lt;&gt;"Yes",0,ROUND(IF(F143="",0,F143)*IF(J143="Weekly",52/12,IF(J143="Fortnightly",26/12,IF(J143="Four weekly",13/12,IF(J143="Monthly",1,IF(J143="Quarterly",1/3,IF(J143="Twice a year",1/6,IF(J143="Yearly",1/12,0))))))),2)))</f>
        <v>0</v>
      </c>
      <c r="T143" s="38">
        <f>IF(B143="","",IF(I143="Yes","Yes","No"))</f>
        <v>0</v>
      </c>
      <c r="U143" s="25">
        <f>IF(B143="","",IF(L143="Yes","",IF(K143="","",TodayDate-K143)))</f>
        <v>0</v>
      </c>
      <c r="V143" s="39">
        <f>IF(B143="","",IF(L143="Yes","Paid",IF(K143="","Pending",IF(K143&lt;TodayDate,"Overdue",IF(K143&lt;=TodayDate+7,"Due soon","Pending")))))</f>
        <v>0</v>
      </c>
      <c r="W143" s="26">
        <f>IF(B143="","",IFERROR(INDEX(BudgetAmount,MATCH(C143,BudgetCategory,0))*1,0))</f>
        <v>0</v>
      </c>
      <c r="X143" s="25">
        <f>IF(B143="","",COUNTIFS($R$5:$R$604,"&gt;"&amp;R143)+COUNTIFS($R$5:R143,R143))</f>
        <v>0</v>
      </c>
      <c r="Y143" s="39">
        <f>IF(B143="","",IF(F143="","Add - no amount",IF(C143="","Add - no category, it will miss the P&amp;L",IF(V143="Overdue","Overdue - pay it",IF(V143="Due soon","Due - coming up",IF(IF(I143="Yes",J143="",FALSE),"Add - how often does it recur?",IF(L143="Yes","OK","Pending")))))))</f>
        <v>0</v>
      </c>
    </row>
    <row r="144" spans="1:25">
      <c r="A144" s="28">
        <f>IF(B144="","",ExpensePrefix&amp;TEXT(ROW()-4,"0000"))</f>
        <v>0</v>
      </c>
      <c r="P144" s="15">
        <f>IF(B144="","",TEXT(B144,"yyyy-mm"))</f>
        <v>0</v>
      </c>
      <c r="Q144" s="25">
        <f>IF(B144="","",WEEKNUM(B144,2))</f>
        <v>0</v>
      </c>
      <c r="R144" s="26">
        <f>IF(B144="","",ROUND(IF(F144="",0,F144)+IF(G144="",0,G144),2))</f>
        <v>0</v>
      </c>
      <c r="S144" s="26">
        <f>IF(B144="","",IF(I144&lt;&gt;"Yes",0,ROUND(IF(F144="",0,F144)*IF(J144="Weekly",52/12,IF(J144="Fortnightly",26/12,IF(J144="Four weekly",13/12,IF(J144="Monthly",1,IF(J144="Quarterly",1/3,IF(J144="Twice a year",1/6,IF(J144="Yearly",1/12,0))))))),2)))</f>
        <v>0</v>
      </c>
      <c r="T144" s="38">
        <f>IF(B144="","",IF(I144="Yes","Yes","No"))</f>
        <v>0</v>
      </c>
      <c r="U144" s="25">
        <f>IF(B144="","",IF(L144="Yes","",IF(K144="","",TodayDate-K144)))</f>
        <v>0</v>
      </c>
      <c r="V144" s="39">
        <f>IF(B144="","",IF(L144="Yes","Paid",IF(K144="","Pending",IF(K144&lt;TodayDate,"Overdue",IF(K144&lt;=TodayDate+7,"Due soon","Pending")))))</f>
        <v>0</v>
      </c>
      <c r="W144" s="26">
        <f>IF(B144="","",IFERROR(INDEX(BudgetAmount,MATCH(C144,BudgetCategory,0))*1,0))</f>
        <v>0</v>
      </c>
      <c r="X144" s="25">
        <f>IF(B144="","",COUNTIFS($R$5:$R$604,"&gt;"&amp;R144)+COUNTIFS($R$5:R144,R144))</f>
        <v>0</v>
      </c>
      <c r="Y144" s="39">
        <f>IF(B144="","",IF(F144="","Add - no amount",IF(C144="","Add - no category, it will miss the P&amp;L",IF(V144="Overdue","Overdue - pay it",IF(V144="Due soon","Due - coming up",IF(IF(I144="Yes",J144="",FALSE),"Add - how often does it recur?",IF(L144="Yes","OK","Pending")))))))</f>
        <v>0</v>
      </c>
    </row>
    <row r="145" spans="1:25">
      <c r="A145" s="28">
        <f>IF(B145="","",ExpensePrefix&amp;TEXT(ROW()-4,"0000"))</f>
        <v>0</v>
      </c>
      <c r="P145" s="15">
        <f>IF(B145="","",TEXT(B145,"yyyy-mm"))</f>
        <v>0</v>
      </c>
      <c r="Q145" s="25">
        <f>IF(B145="","",WEEKNUM(B145,2))</f>
        <v>0</v>
      </c>
      <c r="R145" s="26">
        <f>IF(B145="","",ROUND(IF(F145="",0,F145)+IF(G145="",0,G145),2))</f>
        <v>0</v>
      </c>
      <c r="S145" s="26">
        <f>IF(B145="","",IF(I145&lt;&gt;"Yes",0,ROUND(IF(F145="",0,F145)*IF(J145="Weekly",52/12,IF(J145="Fortnightly",26/12,IF(J145="Four weekly",13/12,IF(J145="Monthly",1,IF(J145="Quarterly",1/3,IF(J145="Twice a year",1/6,IF(J145="Yearly",1/12,0))))))),2)))</f>
        <v>0</v>
      </c>
      <c r="T145" s="38">
        <f>IF(B145="","",IF(I145="Yes","Yes","No"))</f>
        <v>0</v>
      </c>
      <c r="U145" s="25">
        <f>IF(B145="","",IF(L145="Yes","",IF(K145="","",TodayDate-K145)))</f>
        <v>0</v>
      </c>
      <c r="V145" s="39">
        <f>IF(B145="","",IF(L145="Yes","Paid",IF(K145="","Pending",IF(K145&lt;TodayDate,"Overdue",IF(K145&lt;=TodayDate+7,"Due soon","Pending")))))</f>
        <v>0</v>
      </c>
      <c r="W145" s="26">
        <f>IF(B145="","",IFERROR(INDEX(BudgetAmount,MATCH(C145,BudgetCategory,0))*1,0))</f>
        <v>0</v>
      </c>
      <c r="X145" s="25">
        <f>IF(B145="","",COUNTIFS($R$5:$R$604,"&gt;"&amp;R145)+COUNTIFS($R$5:R145,R145))</f>
        <v>0</v>
      </c>
      <c r="Y145" s="39">
        <f>IF(B145="","",IF(F145="","Add - no amount",IF(C145="","Add - no category, it will miss the P&amp;L",IF(V145="Overdue","Overdue - pay it",IF(V145="Due soon","Due - coming up",IF(IF(I145="Yes",J145="",FALSE),"Add - how often does it recur?",IF(L145="Yes","OK","Pending")))))))</f>
        <v>0</v>
      </c>
    </row>
    <row r="146" spans="1:25">
      <c r="A146" s="28">
        <f>IF(B146="","",ExpensePrefix&amp;TEXT(ROW()-4,"0000"))</f>
        <v>0</v>
      </c>
      <c r="P146" s="15">
        <f>IF(B146="","",TEXT(B146,"yyyy-mm"))</f>
        <v>0</v>
      </c>
      <c r="Q146" s="25">
        <f>IF(B146="","",WEEKNUM(B146,2))</f>
        <v>0</v>
      </c>
      <c r="R146" s="26">
        <f>IF(B146="","",ROUND(IF(F146="",0,F146)+IF(G146="",0,G146),2))</f>
        <v>0</v>
      </c>
      <c r="S146" s="26">
        <f>IF(B146="","",IF(I146&lt;&gt;"Yes",0,ROUND(IF(F146="",0,F146)*IF(J146="Weekly",52/12,IF(J146="Fortnightly",26/12,IF(J146="Four weekly",13/12,IF(J146="Monthly",1,IF(J146="Quarterly",1/3,IF(J146="Twice a year",1/6,IF(J146="Yearly",1/12,0))))))),2)))</f>
        <v>0</v>
      </c>
      <c r="T146" s="38">
        <f>IF(B146="","",IF(I146="Yes","Yes","No"))</f>
        <v>0</v>
      </c>
      <c r="U146" s="25">
        <f>IF(B146="","",IF(L146="Yes","",IF(K146="","",TodayDate-K146)))</f>
        <v>0</v>
      </c>
      <c r="V146" s="39">
        <f>IF(B146="","",IF(L146="Yes","Paid",IF(K146="","Pending",IF(K146&lt;TodayDate,"Overdue",IF(K146&lt;=TodayDate+7,"Due soon","Pending")))))</f>
        <v>0</v>
      </c>
      <c r="W146" s="26">
        <f>IF(B146="","",IFERROR(INDEX(BudgetAmount,MATCH(C146,BudgetCategory,0))*1,0))</f>
        <v>0</v>
      </c>
      <c r="X146" s="25">
        <f>IF(B146="","",COUNTIFS($R$5:$R$604,"&gt;"&amp;R146)+COUNTIFS($R$5:R146,R146))</f>
        <v>0</v>
      </c>
      <c r="Y146" s="39">
        <f>IF(B146="","",IF(F146="","Add - no amount",IF(C146="","Add - no category, it will miss the P&amp;L",IF(V146="Overdue","Overdue - pay it",IF(V146="Due soon","Due - coming up",IF(IF(I146="Yes",J146="",FALSE),"Add - how often does it recur?",IF(L146="Yes","OK","Pending")))))))</f>
        <v>0</v>
      </c>
    </row>
    <row r="147" spans="1:25">
      <c r="A147" s="28">
        <f>IF(B147="","",ExpensePrefix&amp;TEXT(ROW()-4,"0000"))</f>
        <v>0</v>
      </c>
      <c r="P147" s="15">
        <f>IF(B147="","",TEXT(B147,"yyyy-mm"))</f>
        <v>0</v>
      </c>
      <c r="Q147" s="25">
        <f>IF(B147="","",WEEKNUM(B147,2))</f>
        <v>0</v>
      </c>
      <c r="R147" s="26">
        <f>IF(B147="","",ROUND(IF(F147="",0,F147)+IF(G147="",0,G147),2))</f>
        <v>0</v>
      </c>
      <c r="S147" s="26">
        <f>IF(B147="","",IF(I147&lt;&gt;"Yes",0,ROUND(IF(F147="",0,F147)*IF(J147="Weekly",52/12,IF(J147="Fortnightly",26/12,IF(J147="Four weekly",13/12,IF(J147="Monthly",1,IF(J147="Quarterly",1/3,IF(J147="Twice a year",1/6,IF(J147="Yearly",1/12,0))))))),2)))</f>
        <v>0</v>
      </c>
      <c r="T147" s="38">
        <f>IF(B147="","",IF(I147="Yes","Yes","No"))</f>
        <v>0</v>
      </c>
      <c r="U147" s="25">
        <f>IF(B147="","",IF(L147="Yes","",IF(K147="","",TodayDate-K147)))</f>
        <v>0</v>
      </c>
      <c r="V147" s="39">
        <f>IF(B147="","",IF(L147="Yes","Paid",IF(K147="","Pending",IF(K147&lt;TodayDate,"Overdue",IF(K147&lt;=TodayDate+7,"Due soon","Pending")))))</f>
        <v>0</v>
      </c>
      <c r="W147" s="26">
        <f>IF(B147="","",IFERROR(INDEX(BudgetAmount,MATCH(C147,BudgetCategory,0))*1,0))</f>
        <v>0</v>
      </c>
      <c r="X147" s="25">
        <f>IF(B147="","",COUNTIFS($R$5:$R$604,"&gt;"&amp;R147)+COUNTIFS($R$5:R147,R147))</f>
        <v>0</v>
      </c>
      <c r="Y147" s="39">
        <f>IF(B147="","",IF(F147="","Add - no amount",IF(C147="","Add - no category, it will miss the P&amp;L",IF(V147="Overdue","Overdue - pay it",IF(V147="Due soon","Due - coming up",IF(IF(I147="Yes",J147="",FALSE),"Add - how often does it recur?",IF(L147="Yes","OK","Pending")))))))</f>
        <v>0</v>
      </c>
    </row>
    <row r="148" spans="1:25">
      <c r="A148" s="28">
        <f>IF(B148="","",ExpensePrefix&amp;TEXT(ROW()-4,"0000"))</f>
        <v>0</v>
      </c>
      <c r="P148" s="15">
        <f>IF(B148="","",TEXT(B148,"yyyy-mm"))</f>
        <v>0</v>
      </c>
      <c r="Q148" s="25">
        <f>IF(B148="","",WEEKNUM(B148,2))</f>
        <v>0</v>
      </c>
      <c r="R148" s="26">
        <f>IF(B148="","",ROUND(IF(F148="",0,F148)+IF(G148="",0,G148),2))</f>
        <v>0</v>
      </c>
      <c r="S148" s="26">
        <f>IF(B148="","",IF(I148&lt;&gt;"Yes",0,ROUND(IF(F148="",0,F148)*IF(J148="Weekly",52/12,IF(J148="Fortnightly",26/12,IF(J148="Four weekly",13/12,IF(J148="Monthly",1,IF(J148="Quarterly",1/3,IF(J148="Twice a year",1/6,IF(J148="Yearly",1/12,0))))))),2)))</f>
        <v>0</v>
      </c>
      <c r="T148" s="38">
        <f>IF(B148="","",IF(I148="Yes","Yes","No"))</f>
        <v>0</v>
      </c>
      <c r="U148" s="25">
        <f>IF(B148="","",IF(L148="Yes","",IF(K148="","",TodayDate-K148)))</f>
        <v>0</v>
      </c>
      <c r="V148" s="39">
        <f>IF(B148="","",IF(L148="Yes","Paid",IF(K148="","Pending",IF(K148&lt;TodayDate,"Overdue",IF(K148&lt;=TodayDate+7,"Due soon","Pending")))))</f>
        <v>0</v>
      </c>
      <c r="W148" s="26">
        <f>IF(B148="","",IFERROR(INDEX(BudgetAmount,MATCH(C148,BudgetCategory,0))*1,0))</f>
        <v>0</v>
      </c>
      <c r="X148" s="25">
        <f>IF(B148="","",COUNTIFS($R$5:$R$604,"&gt;"&amp;R148)+COUNTIFS($R$5:R148,R148))</f>
        <v>0</v>
      </c>
      <c r="Y148" s="39">
        <f>IF(B148="","",IF(F148="","Add - no amount",IF(C148="","Add - no category, it will miss the P&amp;L",IF(V148="Overdue","Overdue - pay it",IF(V148="Due soon","Due - coming up",IF(IF(I148="Yes",J148="",FALSE),"Add - how often does it recur?",IF(L148="Yes","OK","Pending")))))))</f>
        <v>0</v>
      </c>
    </row>
    <row r="149" spans="1:25">
      <c r="A149" s="28">
        <f>IF(B149="","",ExpensePrefix&amp;TEXT(ROW()-4,"0000"))</f>
        <v>0</v>
      </c>
      <c r="P149" s="15">
        <f>IF(B149="","",TEXT(B149,"yyyy-mm"))</f>
        <v>0</v>
      </c>
      <c r="Q149" s="25">
        <f>IF(B149="","",WEEKNUM(B149,2))</f>
        <v>0</v>
      </c>
      <c r="R149" s="26">
        <f>IF(B149="","",ROUND(IF(F149="",0,F149)+IF(G149="",0,G149),2))</f>
        <v>0</v>
      </c>
      <c r="S149" s="26">
        <f>IF(B149="","",IF(I149&lt;&gt;"Yes",0,ROUND(IF(F149="",0,F149)*IF(J149="Weekly",52/12,IF(J149="Fortnightly",26/12,IF(J149="Four weekly",13/12,IF(J149="Monthly",1,IF(J149="Quarterly",1/3,IF(J149="Twice a year",1/6,IF(J149="Yearly",1/12,0))))))),2)))</f>
        <v>0</v>
      </c>
      <c r="T149" s="38">
        <f>IF(B149="","",IF(I149="Yes","Yes","No"))</f>
        <v>0</v>
      </c>
      <c r="U149" s="25">
        <f>IF(B149="","",IF(L149="Yes","",IF(K149="","",TodayDate-K149)))</f>
        <v>0</v>
      </c>
      <c r="V149" s="39">
        <f>IF(B149="","",IF(L149="Yes","Paid",IF(K149="","Pending",IF(K149&lt;TodayDate,"Overdue",IF(K149&lt;=TodayDate+7,"Due soon","Pending")))))</f>
        <v>0</v>
      </c>
      <c r="W149" s="26">
        <f>IF(B149="","",IFERROR(INDEX(BudgetAmount,MATCH(C149,BudgetCategory,0))*1,0))</f>
        <v>0</v>
      </c>
      <c r="X149" s="25">
        <f>IF(B149="","",COUNTIFS($R$5:$R$604,"&gt;"&amp;R149)+COUNTIFS($R$5:R149,R149))</f>
        <v>0</v>
      </c>
      <c r="Y149" s="39">
        <f>IF(B149="","",IF(F149="","Add - no amount",IF(C149="","Add - no category, it will miss the P&amp;L",IF(V149="Overdue","Overdue - pay it",IF(V149="Due soon","Due - coming up",IF(IF(I149="Yes",J149="",FALSE),"Add - how often does it recur?",IF(L149="Yes","OK","Pending")))))))</f>
        <v>0</v>
      </c>
    </row>
    <row r="150" spans="1:25">
      <c r="A150" s="28">
        <f>IF(B150="","",ExpensePrefix&amp;TEXT(ROW()-4,"0000"))</f>
        <v>0</v>
      </c>
      <c r="P150" s="15">
        <f>IF(B150="","",TEXT(B150,"yyyy-mm"))</f>
        <v>0</v>
      </c>
      <c r="Q150" s="25">
        <f>IF(B150="","",WEEKNUM(B150,2))</f>
        <v>0</v>
      </c>
      <c r="R150" s="26">
        <f>IF(B150="","",ROUND(IF(F150="",0,F150)+IF(G150="",0,G150),2))</f>
        <v>0</v>
      </c>
      <c r="S150" s="26">
        <f>IF(B150="","",IF(I150&lt;&gt;"Yes",0,ROUND(IF(F150="",0,F150)*IF(J150="Weekly",52/12,IF(J150="Fortnightly",26/12,IF(J150="Four weekly",13/12,IF(J150="Monthly",1,IF(J150="Quarterly",1/3,IF(J150="Twice a year",1/6,IF(J150="Yearly",1/12,0))))))),2)))</f>
        <v>0</v>
      </c>
      <c r="T150" s="38">
        <f>IF(B150="","",IF(I150="Yes","Yes","No"))</f>
        <v>0</v>
      </c>
      <c r="U150" s="25">
        <f>IF(B150="","",IF(L150="Yes","",IF(K150="","",TodayDate-K150)))</f>
        <v>0</v>
      </c>
      <c r="V150" s="39">
        <f>IF(B150="","",IF(L150="Yes","Paid",IF(K150="","Pending",IF(K150&lt;TodayDate,"Overdue",IF(K150&lt;=TodayDate+7,"Due soon","Pending")))))</f>
        <v>0</v>
      </c>
      <c r="W150" s="26">
        <f>IF(B150="","",IFERROR(INDEX(BudgetAmount,MATCH(C150,BudgetCategory,0))*1,0))</f>
        <v>0</v>
      </c>
      <c r="X150" s="25">
        <f>IF(B150="","",COUNTIFS($R$5:$R$604,"&gt;"&amp;R150)+COUNTIFS($R$5:R150,R150))</f>
        <v>0</v>
      </c>
      <c r="Y150" s="39">
        <f>IF(B150="","",IF(F150="","Add - no amount",IF(C150="","Add - no category, it will miss the P&amp;L",IF(V150="Overdue","Overdue - pay it",IF(V150="Due soon","Due - coming up",IF(IF(I150="Yes",J150="",FALSE),"Add - how often does it recur?",IF(L150="Yes","OK","Pending")))))))</f>
        <v>0</v>
      </c>
    </row>
    <row r="151" spans="1:25">
      <c r="A151" s="28">
        <f>IF(B151="","",ExpensePrefix&amp;TEXT(ROW()-4,"0000"))</f>
        <v>0</v>
      </c>
      <c r="P151" s="15">
        <f>IF(B151="","",TEXT(B151,"yyyy-mm"))</f>
        <v>0</v>
      </c>
      <c r="Q151" s="25">
        <f>IF(B151="","",WEEKNUM(B151,2))</f>
        <v>0</v>
      </c>
      <c r="R151" s="26">
        <f>IF(B151="","",ROUND(IF(F151="",0,F151)+IF(G151="",0,G151),2))</f>
        <v>0</v>
      </c>
      <c r="S151" s="26">
        <f>IF(B151="","",IF(I151&lt;&gt;"Yes",0,ROUND(IF(F151="",0,F151)*IF(J151="Weekly",52/12,IF(J151="Fortnightly",26/12,IF(J151="Four weekly",13/12,IF(J151="Monthly",1,IF(J151="Quarterly",1/3,IF(J151="Twice a year",1/6,IF(J151="Yearly",1/12,0))))))),2)))</f>
        <v>0</v>
      </c>
      <c r="T151" s="38">
        <f>IF(B151="","",IF(I151="Yes","Yes","No"))</f>
        <v>0</v>
      </c>
      <c r="U151" s="25">
        <f>IF(B151="","",IF(L151="Yes","",IF(K151="","",TodayDate-K151)))</f>
        <v>0</v>
      </c>
      <c r="V151" s="39">
        <f>IF(B151="","",IF(L151="Yes","Paid",IF(K151="","Pending",IF(K151&lt;TodayDate,"Overdue",IF(K151&lt;=TodayDate+7,"Due soon","Pending")))))</f>
        <v>0</v>
      </c>
      <c r="W151" s="26">
        <f>IF(B151="","",IFERROR(INDEX(BudgetAmount,MATCH(C151,BudgetCategory,0))*1,0))</f>
        <v>0</v>
      </c>
      <c r="X151" s="25">
        <f>IF(B151="","",COUNTIFS($R$5:$R$604,"&gt;"&amp;R151)+COUNTIFS($R$5:R151,R151))</f>
        <v>0</v>
      </c>
      <c r="Y151" s="39">
        <f>IF(B151="","",IF(F151="","Add - no amount",IF(C151="","Add - no category, it will miss the P&amp;L",IF(V151="Overdue","Overdue - pay it",IF(V151="Due soon","Due - coming up",IF(IF(I151="Yes",J151="",FALSE),"Add - how often does it recur?",IF(L151="Yes","OK","Pending")))))))</f>
        <v>0</v>
      </c>
    </row>
    <row r="152" spans="1:25">
      <c r="A152" s="28">
        <f>IF(B152="","",ExpensePrefix&amp;TEXT(ROW()-4,"0000"))</f>
        <v>0</v>
      </c>
      <c r="P152" s="15">
        <f>IF(B152="","",TEXT(B152,"yyyy-mm"))</f>
        <v>0</v>
      </c>
      <c r="Q152" s="25">
        <f>IF(B152="","",WEEKNUM(B152,2))</f>
        <v>0</v>
      </c>
      <c r="R152" s="26">
        <f>IF(B152="","",ROUND(IF(F152="",0,F152)+IF(G152="",0,G152),2))</f>
        <v>0</v>
      </c>
      <c r="S152" s="26">
        <f>IF(B152="","",IF(I152&lt;&gt;"Yes",0,ROUND(IF(F152="",0,F152)*IF(J152="Weekly",52/12,IF(J152="Fortnightly",26/12,IF(J152="Four weekly",13/12,IF(J152="Monthly",1,IF(J152="Quarterly",1/3,IF(J152="Twice a year",1/6,IF(J152="Yearly",1/12,0))))))),2)))</f>
        <v>0</v>
      </c>
      <c r="T152" s="38">
        <f>IF(B152="","",IF(I152="Yes","Yes","No"))</f>
        <v>0</v>
      </c>
      <c r="U152" s="25">
        <f>IF(B152="","",IF(L152="Yes","",IF(K152="","",TodayDate-K152)))</f>
        <v>0</v>
      </c>
      <c r="V152" s="39">
        <f>IF(B152="","",IF(L152="Yes","Paid",IF(K152="","Pending",IF(K152&lt;TodayDate,"Overdue",IF(K152&lt;=TodayDate+7,"Due soon","Pending")))))</f>
        <v>0</v>
      </c>
      <c r="W152" s="26">
        <f>IF(B152="","",IFERROR(INDEX(BudgetAmount,MATCH(C152,BudgetCategory,0))*1,0))</f>
        <v>0</v>
      </c>
      <c r="X152" s="25">
        <f>IF(B152="","",COUNTIFS($R$5:$R$604,"&gt;"&amp;R152)+COUNTIFS($R$5:R152,R152))</f>
        <v>0</v>
      </c>
      <c r="Y152" s="39">
        <f>IF(B152="","",IF(F152="","Add - no amount",IF(C152="","Add - no category, it will miss the P&amp;L",IF(V152="Overdue","Overdue - pay it",IF(V152="Due soon","Due - coming up",IF(IF(I152="Yes",J152="",FALSE),"Add - how often does it recur?",IF(L152="Yes","OK","Pending")))))))</f>
        <v>0</v>
      </c>
    </row>
    <row r="153" spans="1:25">
      <c r="A153" s="28">
        <f>IF(B153="","",ExpensePrefix&amp;TEXT(ROW()-4,"0000"))</f>
        <v>0</v>
      </c>
      <c r="P153" s="15">
        <f>IF(B153="","",TEXT(B153,"yyyy-mm"))</f>
        <v>0</v>
      </c>
      <c r="Q153" s="25">
        <f>IF(B153="","",WEEKNUM(B153,2))</f>
        <v>0</v>
      </c>
      <c r="R153" s="26">
        <f>IF(B153="","",ROUND(IF(F153="",0,F153)+IF(G153="",0,G153),2))</f>
        <v>0</v>
      </c>
      <c r="S153" s="26">
        <f>IF(B153="","",IF(I153&lt;&gt;"Yes",0,ROUND(IF(F153="",0,F153)*IF(J153="Weekly",52/12,IF(J153="Fortnightly",26/12,IF(J153="Four weekly",13/12,IF(J153="Monthly",1,IF(J153="Quarterly",1/3,IF(J153="Twice a year",1/6,IF(J153="Yearly",1/12,0))))))),2)))</f>
        <v>0</v>
      </c>
      <c r="T153" s="38">
        <f>IF(B153="","",IF(I153="Yes","Yes","No"))</f>
        <v>0</v>
      </c>
      <c r="U153" s="25">
        <f>IF(B153="","",IF(L153="Yes","",IF(K153="","",TodayDate-K153)))</f>
        <v>0</v>
      </c>
      <c r="V153" s="39">
        <f>IF(B153="","",IF(L153="Yes","Paid",IF(K153="","Pending",IF(K153&lt;TodayDate,"Overdue",IF(K153&lt;=TodayDate+7,"Due soon","Pending")))))</f>
        <v>0</v>
      </c>
      <c r="W153" s="26">
        <f>IF(B153="","",IFERROR(INDEX(BudgetAmount,MATCH(C153,BudgetCategory,0))*1,0))</f>
        <v>0</v>
      </c>
      <c r="X153" s="25">
        <f>IF(B153="","",COUNTIFS($R$5:$R$604,"&gt;"&amp;R153)+COUNTIFS($R$5:R153,R153))</f>
        <v>0</v>
      </c>
      <c r="Y153" s="39">
        <f>IF(B153="","",IF(F153="","Add - no amount",IF(C153="","Add - no category, it will miss the P&amp;L",IF(V153="Overdue","Overdue - pay it",IF(V153="Due soon","Due - coming up",IF(IF(I153="Yes",J153="",FALSE),"Add - how often does it recur?",IF(L153="Yes","OK","Pending")))))))</f>
        <v>0</v>
      </c>
    </row>
    <row r="154" spans="1:25">
      <c r="A154" s="28">
        <f>IF(B154="","",ExpensePrefix&amp;TEXT(ROW()-4,"0000"))</f>
        <v>0</v>
      </c>
      <c r="P154" s="15">
        <f>IF(B154="","",TEXT(B154,"yyyy-mm"))</f>
        <v>0</v>
      </c>
      <c r="Q154" s="25">
        <f>IF(B154="","",WEEKNUM(B154,2))</f>
        <v>0</v>
      </c>
      <c r="R154" s="26">
        <f>IF(B154="","",ROUND(IF(F154="",0,F154)+IF(G154="",0,G154),2))</f>
        <v>0</v>
      </c>
      <c r="S154" s="26">
        <f>IF(B154="","",IF(I154&lt;&gt;"Yes",0,ROUND(IF(F154="",0,F154)*IF(J154="Weekly",52/12,IF(J154="Fortnightly",26/12,IF(J154="Four weekly",13/12,IF(J154="Monthly",1,IF(J154="Quarterly",1/3,IF(J154="Twice a year",1/6,IF(J154="Yearly",1/12,0))))))),2)))</f>
        <v>0</v>
      </c>
      <c r="T154" s="38">
        <f>IF(B154="","",IF(I154="Yes","Yes","No"))</f>
        <v>0</v>
      </c>
      <c r="U154" s="25">
        <f>IF(B154="","",IF(L154="Yes","",IF(K154="","",TodayDate-K154)))</f>
        <v>0</v>
      </c>
      <c r="V154" s="39">
        <f>IF(B154="","",IF(L154="Yes","Paid",IF(K154="","Pending",IF(K154&lt;TodayDate,"Overdue",IF(K154&lt;=TodayDate+7,"Due soon","Pending")))))</f>
        <v>0</v>
      </c>
      <c r="W154" s="26">
        <f>IF(B154="","",IFERROR(INDEX(BudgetAmount,MATCH(C154,BudgetCategory,0))*1,0))</f>
        <v>0</v>
      </c>
      <c r="X154" s="25">
        <f>IF(B154="","",COUNTIFS($R$5:$R$604,"&gt;"&amp;R154)+COUNTIFS($R$5:R154,R154))</f>
        <v>0</v>
      </c>
      <c r="Y154" s="39">
        <f>IF(B154="","",IF(F154="","Add - no amount",IF(C154="","Add - no category, it will miss the P&amp;L",IF(V154="Overdue","Overdue - pay it",IF(V154="Due soon","Due - coming up",IF(IF(I154="Yes",J154="",FALSE),"Add - how often does it recur?",IF(L154="Yes","OK","Pending")))))))</f>
        <v>0</v>
      </c>
    </row>
    <row r="155" spans="1:25">
      <c r="A155" s="28">
        <f>IF(B155="","",ExpensePrefix&amp;TEXT(ROW()-4,"0000"))</f>
        <v>0</v>
      </c>
      <c r="P155" s="15">
        <f>IF(B155="","",TEXT(B155,"yyyy-mm"))</f>
        <v>0</v>
      </c>
      <c r="Q155" s="25">
        <f>IF(B155="","",WEEKNUM(B155,2))</f>
        <v>0</v>
      </c>
      <c r="R155" s="26">
        <f>IF(B155="","",ROUND(IF(F155="",0,F155)+IF(G155="",0,G155),2))</f>
        <v>0</v>
      </c>
      <c r="S155" s="26">
        <f>IF(B155="","",IF(I155&lt;&gt;"Yes",0,ROUND(IF(F155="",0,F155)*IF(J155="Weekly",52/12,IF(J155="Fortnightly",26/12,IF(J155="Four weekly",13/12,IF(J155="Monthly",1,IF(J155="Quarterly",1/3,IF(J155="Twice a year",1/6,IF(J155="Yearly",1/12,0))))))),2)))</f>
        <v>0</v>
      </c>
      <c r="T155" s="38">
        <f>IF(B155="","",IF(I155="Yes","Yes","No"))</f>
        <v>0</v>
      </c>
      <c r="U155" s="25">
        <f>IF(B155="","",IF(L155="Yes","",IF(K155="","",TodayDate-K155)))</f>
        <v>0</v>
      </c>
      <c r="V155" s="39">
        <f>IF(B155="","",IF(L155="Yes","Paid",IF(K155="","Pending",IF(K155&lt;TodayDate,"Overdue",IF(K155&lt;=TodayDate+7,"Due soon","Pending")))))</f>
        <v>0</v>
      </c>
      <c r="W155" s="26">
        <f>IF(B155="","",IFERROR(INDEX(BudgetAmount,MATCH(C155,BudgetCategory,0))*1,0))</f>
        <v>0</v>
      </c>
      <c r="X155" s="25">
        <f>IF(B155="","",COUNTIFS($R$5:$R$604,"&gt;"&amp;R155)+COUNTIFS($R$5:R155,R155))</f>
        <v>0</v>
      </c>
      <c r="Y155" s="39">
        <f>IF(B155="","",IF(F155="","Add - no amount",IF(C155="","Add - no category, it will miss the P&amp;L",IF(V155="Overdue","Overdue - pay it",IF(V155="Due soon","Due - coming up",IF(IF(I155="Yes",J155="",FALSE),"Add - how often does it recur?",IF(L155="Yes","OK","Pending")))))))</f>
        <v>0</v>
      </c>
    </row>
    <row r="156" spans="1:25">
      <c r="A156" s="28">
        <f>IF(B156="","",ExpensePrefix&amp;TEXT(ROW()-4,"0000"))</f>
        <v>0</v>
      </c>
      <c r="P156" s="15">
        <f>IF(B156="","",TEXT(B156,"yyyy-mm"))</f>
        <v>0</v>
      </c>
      <c r="Q156" s="25">
        <f>IF(B156="","",WEEKNUM(B156,2))</f>
        <v>0</v>
      </c>
      <c r="R156" s="26">
        <f>IF(B156="","",ROUND(IF(F156="",0,F156)+IF(G156="",0,G156),2))</f>
        <v>0</v>
      </c>
      <c r="S156" s="26">
        <f>IF(B156="","",IF(I156&lt;&gt;"Yes",0,ROUND(IF(F156="",0,F156)*IF(J156="Weekly",52/12,IF(J156="Fortnightly",26/12,IF(J156="Four weekly",13/12,IF(J156="Monthly",1,IF(J156="Quarterly",1/3,IF(J156="Twice a year",1/6,IF(J156="Yearly",1/12,0))))))),2)))</f>
        <v>0</v>
      </c>
      <c r="T156" s="38">
        <f>IF(B156="","",IF(I156="Yes","Yes","No"))</f>
        <v>0</v>
      </c>
      <c r="U156" s="25">
        <f>IF(B156="","",IF(L156="Yes","",IF(K156="","",TodayDate-K156)))</f>
        <v>0</v>
      </c>
      <c r="V156" s="39">
        <f>IF(B156="","",IF(L156="Yes","Paid",IF(K156="","Pending",IF(K156&lt;TodayDate,"Overdue",IF(K156&lt;=TodayDate+7,"Due soon","Pending")))))</f>
        <v>0</v>
      </c>
      <c r="W156" s="26">
        <f>IF(B156="","",IFERROR(INDEX(BudgetAmount,MATCH(C156,BudgetCategory,0))*1,0))</f>
        <v>0</v>
      </c>
      <c r="X156" s="25">
        <f>IF(B156="","",COUNTIFS($R$5:$R$604,"&gt;"&amp;R156)+COUNTIFS($R$5:R156,R156))</f>
        <v>0</v>
      </c>
      <c r="Y156" s="39">
        <f>IF(B156="","",IF(F156="","Add - no amount",IF(C156="","Add - no category, it will miss the P&amp;L",IF(V156="Overdue","Overdue - pay it",IF(V156="Due soon","Due - coming up",IF(IF(I156="Yes",J156="",FALSE),"Add - how often does it recur?",IF(L156="Yes","OK","Pending")))))))</f>
        <v>0</v>
      </c>
    </row>
    <row r="157" spans="1:25">
      <c r="A157" s="28">
        <f>IF(B157="","",ExpensePrefix&amp;TEXT(ROW()-4,"0000"))</f>
        <v>0</v>
      </c>
      <c r="P157" s="15">
        <f>IF(B157="","",TEXT(B157,"yyyy-mm"))</f>
        <v>0</v>
      </c>
      <c r="Q157" s="25">
        <f>IF(B157="","",WEEKNUM(B157,2))</f>
        <v>0</v>
      </c>
      <c r="R157" s="26">
        <f>IF(B157="","",ROUND(IF(F157="",0,F157)+IF(G157="",0,G157),2))</f>
        <v>0</v>
      </c>
      <c r="S157" s="26">
        <f>IF(B157="","",IF(I157&lt;&gt;"Yes",0,ROUND(IF(F157="",0,F157)*IF(J157="Weekly",52/12,IF(J157="Fortnightly",26/12,IF(J157="Four weekly",13/12,IF(J157="Monthly",1,IF(J157="Quarterly",1/3,IF(J157="Twice a year",1/6,IF(J157="Yearly",1/12,0))))))),2)))</f>
        <v>0</v>
      </c>
      <c r="T157" s="38">
        <f>IF(B157="","",IF(I157="Yes","Yes","No"))</f>
        <v>0</v>
      </c>
      <c r="U157" s="25">
        <f>IF(B157="","",IF(L157="Yes","",IF(K157="","",TodayDate-K157)))</f>
        <v>0</v>
      </c>
      <c r="V157" s="39">
        <f>IF(B157="","",IF(L157="Yes","Paid",IF(K157="","Pending",IF(K157&lt;TodayDate,"Overdue",IF(K157&lt;=TodayDate+7,"Due soon","Pending")))))</f>
        <v>0</v>
      </c>
      <c r="W157" s="26">
        <f>IF(B157="","",IFERROR(INDEX(BudgetAmount,MATCH(C157,BudgetCategory,0))*1,0))</f>
        <v>0</v>
      </c>
      <c r="X157" s="25">
        <f>IF(B157="","",COUNTIFS($R$5:$R$604,"&gt;"&amp;R157)+COUNTIFS($R$5:R157,R157))</f>
        <v>0</v>
      </c>
      <c r="Y157" s="39">
        <f>IF(B157="","",IF(F157="","Add - no amount",IF(C157="","Add - no category, it will miss the P&amp;L",IF(V157="Overdue","Overdue - pay it",IF(V157="Due soon","Due - coming up",IF(IF(I157="Yes",J157="",FALSE),"Add - how often does it recur?",IF(L157="Yes","OK","Pending")))))))</f>
        <v>0</v>
      </c>
    </row>
    <row r="158" spans="1:25">
      <c r="A158" s="28">
        <f>IF(B158="","",ExpensePrefix&amp;TEXT(ROW()-4,"0000"))</f>
        <v>0</v>
      </c>
      <c r="P158" s="15">
        <f>IF(B158="","",TEXT(B158,"yyyy-mm"))</f>
        <v>0</v>
      </c>
      <c r="Q158" s="25">
        <f>IF(B158="","",WEEKNUM(B158,2))</f>
        <v>0</v>
      </c>
      <c r="R158" s="26">
        <f>IF(B158="","",ROUND(IF(F158="",0,F158)+IF(G158="",0,G158),2))</f>
        <v>0</v>
      </c>
      <c r="S158" s="26">
        <f>IF(B158="","",IF(I158&lt;&gt;"Yes",0,ROUND(IF(F158="",0,F158)*IF(J158="Weekly",52/12,IF(J158="Fortnightly",26/12,IF(J158="Four weekly",13/12,IF(J158="Monthly",1,IF(J158="Quarterly",1/3,IF(J158="Twice a year",1/6,IF(J158="Yearly",1/12,0))))))),2)))</f>
        <v>0</v>
      </c>
      <c r="T158" s="38">
        <f>IF(B158="","",IF(I158="Yes","Yes","No"))</f>
        <v>0</v>
      </c>
      <c r="U158" s="25">
        <f>IF(B158="","",IF(L158="Yes","",IF(K158="","",TodayDate-K158)))</f>
        <v>0</v>
      </c>
      <c r="V158" s="39">
        <f>IF(B158="","",IF(L158="Yes","Paid",IF(K158="","Pending",IF(K158&lt;TodayDate,"Overdue",IF(K158&lt;=TodayDate+7,"Due soon","Pending")))))</f>
        <v>0</v>
      </c>
      <c r="W158" s="26">
        <f>IF(B158="","",IFERROR(INDEX(BudgetAmount,MATCH(C158,BudgetCategory,0))*1,0))</f>
        <v>0</v>
      </c>
      <c r="X158" s="25">
        <f>IF(B158="","",COUNTIFS($R$5:$R$604,"&gt;"&amp;R158)+COUNTIFS($R$5:R158,R158))</f>
        <v>0</v>
      </c>
      <c r="Y158" s="39">
        <f>IF(B158="","",IF(F158="","Add - no amount",IF(C158="","Add - no category, it will miss the P&amp;L",IF(V158="Overdue","Overdue - pay it",IF(V158="Due soon","Due - coming up",IF(IF(I158="Yes",J158="",FALSE),"Add - how often does it recur?",IF(L158="Yes","OK","Pending")))))))</f>
        <v>0</v>
      </c>
    </row>
    <row r="159" spans="1:25">
      <c r="A159" s="28">
        <f>IF(B159="","",ExpensePrefix&amp;TEXT(ROW()-4,"0000"))</f>
        <v>0</v>
      </c>
      <c r="P159" s="15">
        <f>IF(B159="","",TEXT(B159,"yyyy-mm"))</f>
        <v>0</v>
      </c>
      <c r="Q159" s="25">
        <f>IF(B159="","",WEEKNUM(B159,2))</f>
        <v>0</v>
      </c>
      <c r="R159" s="26">
        <f>IF(B159="","",ROUND(IF(F159="",0,F159)+IF(G159="",0,G159),2))</f>
        <v>0</v>
      </c>
      <c r="S159" s="26">
        <f>IF(B159="","",IF(I159&lt;&gt;"Yes",0,ROUND(IF(F159="",0,F159)*IF(J159="Weekly",52/12,IF(J159="Fortnightly",26/12,IF(J159="Four weekly",13/12,IF(J159="Monthly",1,IF(J159="Quarterly",1/3,IF(J159="Twice a year",1/6,IF(J159="Yearly",1/12,0))))))),2)))</f>
        <v>0</v>
      </c>
      <c r="T159" s="38">
        <f>IF(B159="","",IF(I159="Yes","Yes","No"))</f>
        <v>0</v>
      </c>
      <c r="U159" s="25">
        <f>IF(B159="","",IF(L159="Yes","",IF(K159="","",TodayDate-K159)))</f>
        <v>0</v>
      </c>
      <c r="V159" s="39">
        <f>IF(B159="","",IF(L159="Yes","Paid",IF(K159="","Pending",IF(K159&lt;TodayDate,"Overdue",IF(K159&lt;=TodayDate+7,"Due soon","Pending")))))</f>
        <v>0</v>
      </c>
      <c r="W159" s="26">
        <f>IF(B159="","",IFERROR(INDEX(BudgetAmount,MATCH(C159,BudgetCategory,0))*1,0))</f>
        <v>0</v>
      </c>
      <c r="X159" s="25">
        <f>IF(B159="","",COUNTIFS($R$5:$R$604,"&gt;"&amp;R159)+COUNTIFS($R$5:R159,R159))</f>
        <v>0</v>
      </c>
      <c r="Y159" s="39">
        <f>IF(B159="","",IF(F159="","Add - no amount",IF(C159="","Add - no category, it will miss the P&amp;L",IF(V159="Overdue","Overdue - pay it",IF(V159="Due soon","Due - coming up",IF(IF(I159="Yes",J159="",FALSE),"Add - how often does it recur?",IF(L159="Yes","OK","Pending")))))))</f>
        <v>0</v>
      </c>
    </row>
    <row r="160" spans="1:25">
      <c r="A160" s="28">
        <f>IF(B160="","",ExpensePrefix&amp;TEXT(ROW()-4,"0000"))</f>
        <v>0</v>
      </c>
      <c r="P160" s="15">
        <f>IF(B160="","",TEXT(B160,"yyyy-mm"))</f>
        <v>0</v>
      </c>
      <c r="Q160" s="25">
        <f>IF(B160="","",WEEKNUM(B160,2))</f>
        <v>0</v>
      </c>
      <c r="R160" s="26">
        <f>IF(B160="","",ROUND(IF(F160="",0,F160)+IF(G160="",0,G160),2))</f>
        <v>0</v>
      </c>
      <c r="S160" s="26">
        <f>IF(B160="","",IF(I160&lt;&gt;"Yes",0,ROUND(IF(F160="",0,F160)*IF(J160="Weekly",52/12,IF(J160="Fortnightly",26/12,IF(J160="Four weekly",13/12,IF(J160="Monthly",1,IF(J160="Quarterly",1/3,IF(J160="Twice a year",1/6,IF(J160="Yearly",1/12,0))))))),2)))</f>
        <v>0</v>
      </c>
      <c r="T160" s="38">
        <f>IF(B160="","",IF(I160="Yes","Yes","No"))</f>
        <v>0</v>
      </c>
      <c r="U160" s="25">
        <f>IF(B160="","",IF(L160="Yes","",IF(K160="","",TodayDate-K160)))</f>
        <v>0</v>
      </c>
      <c r="V160" s="39">
        <f>IF(B160="","",IF(L160="Yes","Paid",IF(K160="","Pending",IF(K160&lt;TodayDate,"Overdue",IF(K160&lt;=TodayDate+7,"Due soon","Pending")))))</f>
        <v>0</v>
      </c>
      <c r="W160" s="26">
        <f>IF(B160="","",IFERROR(INDEX(BudgetAmount,MATCH(C160,BudgetCategory,0))*1,0))</f>
        <v>0</v>
      </c>
      <c r="X160" s="25">
        <f>IF(B160="","",COUNTIFS($R$5:$R$604,"&gt;"&amp;R160)+COUNTIFS($R$5:R160,R160))</f>
        <v>0</v>
      </c>
      <c r="Y160" s="39">
        <f>IF(B160="","",IF(F160="","Add - no amount",IF(C160="","Add - no category, it will miss the P&amp;L",IF(V160="Overdue","Overdue - pay it",IF(V160="Due soon","Due - coming up",IF(IF(I160="Yes",J160="",FALSE),"Add - how often does it recur?",IF(L160="Yes","OK","Pending")))))))</f>
        <v>0</v>
      </c>
    </row>
    <row r="161" spans="1:25">
      <c r="A161" s="28">
        <f>IF(B161="","",ExpensePrefix&amp;TEXT(ROW()-4,"0000"))</f>
        <v>0</v>
      </c>
      <c r="P161" s="15">
        <f>IF(B161="","",TEXT(B161,"yyyy-mm"))</f>
        <v>0</v>
      </c>
      <c r="Q161" s="25">
        <f>IF(B161="","",WEEKNUM(B161,2))</f>
        <v>0</v>
      </c>
      <c r="R161" s="26">
        <f>IF(B161="","",ROUND(IF(F161="",0,F161)+IF(G161="",0,G161),2))</f>
        <v>0</v>
      </c>
      <c r="S161" s="26">
        <f>IF(B161="","",IF(I161&lt;&gt;"Yes",0,ROUND(IF(F161="",0,F161)*IF(J161="Weekly",52/12,IF(J161="Fortnightly",26/12,IF(J161="Four weekly",13/12,IF(J161="Monthly",1,IF(J161="Quarterly",1/3,IF(J161="Twice a year",1/6,IF(J161="Yearly",1/12,0))))))),2)))</f>
        <v>0</v>
      </c>
      <c r="T161" s="38">
        <f>IF(B161="","",IF(I161="Yes","Yes","No"))</f>
        <v>0</v>
      </c>
      <c r="U161" s="25">
        <f>IF(B161="","",IF(L161="Yes","",IF(K161="","",TodayDate-K161)))</f>
        <v>0</v>
      </c>
      <c r="V161" s="39">
        <f>IF(B161="","",IF(L161="Yes","Paid",IF(K161="","Pending",IF(K161&lt;TodayDate,"Overdue",IF(K161&lt;=TodayDate+7,"Due soon","Pending")))))</f>
        <v>0</v>
      </c>
      <c r="W161" s="26">
        <f>IF(B161="","",IFERROR(INDEX(BudgetAmount,MATCH(C161,BudgetCategory,0))*1,0))</f>
        <v>0</v>
      </c>
      <c r="X161" s="25">
        <f>IF(B161="","",COUNTIFS($R$5:$R$604,"&gt;"&amp;R161)+COUNTIFS($R$5:R161,R161))</f>
        <v>0</v>
      </c>
      <c r="Y161" s="39">
        <f>IF(B161="","",IF(F161="","Add - no amount",IF(C161="","Add - no category, it will miss the P&amp;L",IF(V161="Overdue","Overdue - pay it",IF(V161="Due soon","Due - coming up",IF(IF(I161="Yes",J161="",FALSE),"Add - how often does it recur?",IF(L161="Yes","OK","Pending")))))))</f>
        <v>0</v>
      </c>
    </row>
    <row r="162" spans="1:25">
      <c r="A162" s="28">
        <f>IF(B162="","",ExpensePrefix&amp;TEXT(ROW()-4,"0000"))</f>
        <v>0</v>
      </c>
      <c r="P162" s="15">
        <f>IF(B162="","",TEXT(B162,"yyyy-mm"))</f>
        <v>0</v>
      </c>
      <c r="Q162" s="25">
        <f>IF(B162="","",WEEKNUM(B162,2))</f>
        <v>0</v>
      </c>
      <c r="R162" s="26">
        <f>IF(B162="","",ROUND(IF(F162="",0,F162)+IF(G162="",0,G162),2))</f>
        <v>0</v>
      </c>
      <c r="S162" s="26">
        <f>IF(B162="","",IF(I162&lt;&gt;"Yes",0,ROUND(IF(F162="",0,F162)*IF(J162="Weekly",52/12,IF(J162="Fortnightly",26/12,IF(J162="Four weekly",13/12,IF(J162="Monthly",1,IF(J162="Quarterly",1/3,IF(J162="Twice a year",1/6,IF(J162="Yearly",1/12,0))))))),2)))</f>
        <v>0</v>
      </c>
      <c r="T162" s="38">
        <f>IF(B162="","",IF(I162="Yes","Yes","No"))</f>
        <v>0</v>
      </c>
      <c r="U162" s="25">
        <f>IF(B162="","",IF(L162="Yes","",IF(K162="","",TodayDate-K162)))</f>
        <v>0</v>
      </c>
      <c r="V162" s="39">
        <f>IF(B162="","",IF(L162="Yes","Paid",IF(K162="","Pending",IF(K162&lt;TodayDate,"Overdue",IF(K162&lt;=TodayDate+7,"Due soon","Pending")))))</f>
        <v>0</v>
      </c>
      <c r="W162" s="26">
        <f>IF(B162="","",IFERROR(INDEX(BudgetAmount,MATCH(C162,BudgetCategory,0))*1,0))</f>
        <v>0</v>
      </c>
      <c r="X162" s="25">
        <f>IF(B162="","",COUNTIFS($R$5:$R$604,"&gt;"&amp;R162)+COUNTIFS($R$5:R162,R162))</f>
        <v>0</v>
      </c>
      <c r="Y162" s="39">
        <f>IF(B162="","",IF(F162="","Add - no amount",IF(C162="","Add - no category, it will miss the P&amp;L",IF(V162="Overdue","Overdue - pay it",IF(V162="Due soon","Due - coming up",IF(IF(I162="Yes",J162="",FALSE),"Add - how often does it recur?",IF(L162="Yes","OK","Pending")))))))</f>
        <v>0</v>
      </c>
    </row>
    <row r="163" spans="1:25">
      <c r="A163" s="28">
        <f>IF(B163="","",ExpensePrefix&amp;TEXT(ROW()-4,"0000"))</f>
        <v>0</v>
      </c>
      <c r="P163" s="15">
        <f>IF(B163="","",TEXT(B163,"yyyy-mm"))</f>
        <v>0</v>
      </c>
      <c r="Q163" s="25">
        <f>IF(B163="","",WEEKNUM(B163,2))</f>
        <v>0</v>
      </c>
      <c r="R163" s="26">
        <f>IF(B163="","",ROUND(IF(F163="",0,F163)+IF(G163="",0,G163),2))</f>
        <v>0</v>
      </c>
      <c r="S163" s="26">
        <f>IF(B163="","",IF(I163&lt;&gt;"Yes",0,ROUND(IF(F163="",0,F163)*IF(J163="Weekly",52/12,IF(J163="Fortnightly",26/12,IF(J163="Four weekly",13/12,IF(J163="Monthly",1,IF(J163="Quarterly",1/3,IF(J163="Twice a year",1/6,IF(J163="Yearly",1/12,0))))))),2)))</f>
        <v>0</v>
      </c>
      <c r="T163" s="38">
        <f>IF(B163="","",IF(I163="Yes","Yes","No"))</f>
        <v>0</v>
      </c>
      <c r="U163" s="25">
        <f>IF(B163="","",IF(L163="Yes","",IF(K163="","",TodayDate-K163)))</f>
        <v>0</v>
      </c>
      <c r="V163" s="39">
        <f>IF(B163="","",IF(L163="Yes","Paid",IF(K163="","Pending",IF(K163&lt;TodayDate,"Overdue",IF(K163&lt;=TodayDate+7,"Due soon","Pending")))))</f>
        <v>0</v>
      </c>
      <c r="W163" s="26">
        <f>IF(B163="","",IFERROR(INDEX(BudgetAmount,MATCH(C163,BudgetCategory,0))*1,0))</f>
        <v>0</v>
      </c>
      <c r="X163" s="25">
        <f>IF(B163="","",COUNTIFS($R$5:$R$604,"&gt;"&amp;R163)+COUNTIFS($R$5:R163,R163))</f>
        <v>0</v>
      </c>
      <c r="Y163" s="39">
        <f>IF(B163="","",IF(F163="","Add - no amount",IF(C163="","Add - no category, it will miss the P&amp;L",IF(V163="Overdue","Overdue - pay it",IF(V163="Due soon","Due - coming up",IF(IF(I163="Yes",J163="",FALSE),"Add - how often does it recur?",IF(L163="Yes","OK","Pending")))))))</f>
        <v>0</v>
      </c>
    </row>
    <row r="164" spans="1:25">
      <c r="A164" s="28">
        <f>IF(B164="","",ExpensePrefix&amp;TEXT(ROW()-4,"0000"))</f>
        <v>0</v>
      </c>
      <c r="P164" s="15">
        <f>IF(B164="","",TEXT(B164,"yyyy-mm"))</f>
        <v>0</v>
      </c>
      <c r="Q164" s="25">
        <f>IF(B164="","",WEEKNUM(B164,2))</f>
        <v>0</v>
      </c>
      <c r="R164" s="26">
        <f>IF(B164="","",ROUND(IF(F164="",0,F164)+IF(G164="",0,G164),2))</f>
        <v>0</v>
      </c>
      <c r="S164" s="26">
        <f>IF(B164="","",IF(I164&lt;&gt;"Yes",0,ROUND(IF(F164="",0,F164)*IF(J164="Weekly",52/12,IF(J164="Fortnightly",26/12,IF(J164="Four weekly",13/12,IF(J164="Monthly",1,IF(J164="Quarterly",1/3,IF(J164="Twice a year",1/6,IF(J164="Yearly",1/12,0))))))),2)))</f>
        <v>0</v>
      </c>
      <c r="T164" s="38">
        <f>IF(B164="","",IF(I164="Yes","Yes","No"))</f>
        <v>0</v>
      </c>
      <c r="U164" s="25">
        <f>IF(B164="","",IF(L164="Yes","",IF(K164="","",TodayDate-K164)))</f>
        <v>0</v>
      </c>
      <c r="V164" s="39">
        <f>IF(B164="","",IF(L164="Yes","Paid",IF(K164="","Pending",IF(K164&lt;TodayDate,"Overdue",IF(K164&lt;=TodayDate+7,"Due soon","Pending")))))</f>
        <v>0</v>
      </c>
      <c r="W164" s="26">
        <f>IF(B164="","",IFERROR(INDEX(BudgetAmount,MATCH(C164,BudgetCategory,0))*1,0))</f>
        <v>0</v>
      </c>
      <c r="X164" s="25">
        <f>IF(B164="","",COUNTIFS($R$5:$R$604,"&gt;"&amp;R164)+COUNTIFS($R$5:R164,R164))</f>
        <v>0</v>
      </c>
      <c r="Y164" s="39">
        <f>IF(B164="","",IF(F164="","Add - no amount",IF(C164="","Add - no category, it will miss the P&amp;L",IF(V164="Overdue","Overdue - pay it",IF(V164="Due soon","Due - coming up",IF(IF(I164="Yes",J164="",FALSE),"Add - how often does it recur?",IF(L164="Yes","OK","Pending")))))))</f>
        <v>0</v>
      </c>
    </row>
    <row r="165" spans="1:25">
      <c r="A165" s="28">
        <f>IF(B165="","",ExpensePrefix&amp;TEXT(ROW()-4,"0000"))</f>
        <v>0</v>
      </c>
      <c r="P165" s="15">
        <f>IF(B165="","",TEXT(B165,"yyyy-mm"))</f>
        <v>0</v>
      </c>
      <c r="Q165" s="25">
        <f>IF(B165="","",WEEKNUM(B165,2))</f>
        <v>0</v>
      </c>
      <c r="R165" s="26">
        <f>IF(B165="","",ROUND(IF(F165="",0,F165)+IF(G165="",0,G165),2))</f>
        <v>0</v>
      </c>
      <c r="S165" s="26">
        <f>IF(B165="","",IF(I165&lt;&gt;"Yes",0,ROUND(IF(F165="",0,F165)*IF(J165="Weekly",52/12,IF(J165="Fortnightly",26/12,IF(J165="Four weekly",13/12,IF(J165="Monthly",1,IF(J165="Quarterly",1/3,IF(J165="Twice a year",1/6,IF(J165="Yearly",1/12,0))))))),2)))</f>
        <v>0</v>
      </c>
      <c r="T165" s="38">
        <f>IF(B165="","",IF(I165="Yes","Yes","No"))</f>
        <v>0</v>
      </c>
      <c r="U165" s="25">
        <f>IF(B165="","",IF(L165="Yes","",IF(K165="","",TodayDate-K165)))</f>
        <v>0</v>
      </c>
      <c r="V165" s="39">
        <f>IF(B165="","",IF(L165="Yes","Paid",IF(K165="","Pending",IF(K165&lt;TodayDate,"Overdue",IF(K165&lt;=TodayDate+7,"Due soon","Pending")))))</f>
        <v>0</v>
      </c>
      <c r="W165" s="26">
        <f>IF(B165="","",IFERROR(INDEX(BudgetAmount,MATCH(C165,BudgetCategory,0))*1,0))</f>
        <v>0</v>
      </c>
      <c r="X165" s="25">
        <f>IF(B165="","",COUNTIFS($R$5:$R$604,"&gt;"&amp;R165)+COUNTIFS($R$5:R165,R165))</f>
        <v>0</v>
      </c>
      <c r="Y165" s="39">
        <f>IF(B165="","",IF(F165="","Add - no amount",IF(C165="","Add - no category, it will miss the P&amp;L",IF(V165="Overdue","Overdue - pay it",IF(V165="Due soon","Due - coming up",IF(IF(I165="Yes",J165="",FALSE),"Add - how often does it recur?",IF(L165="Yes","OK","Pending")))))))</f>
        <v>0</v>
      </c>
    </row>
    <row r="166" spans="1:25">
      <c r="A166" s="28">
        <f>IF(B166="","",ExpensePrefix&amp;TEXT(ROW()-4,"0000"))</f>
        <v>0</v>
      </c>
      <c r="P166" s="15">
        <f>IF(B166="","",TEXT(B166,"yyyy-mm"))</f>
        <v>0</v>
      </c>
      <c r="Q166" s="25">
        <f>IF(B166="","",WEEKNUM(B166,2))</f>
        <v>0</v>
      </c>
      <c r="R166" s="26">
        <f>IF(B166="","",ROUND(IF(F166="",0,F166)+IF(G166="",0,G166),2))</f>
        <v>0</v>
      </c>
      <c r="S166" s="26">
        <f>IF(B166="","",IF(I166&lt;&gt;"Yes",0,ROUND(IF(F166="",0,F166)*IF(J166="Weekly",52/12,IF(J166="Fortnightly",26/12,IF(J166="Four weekly",13/12,IF(J166="Monthly",1,IF(J166="Quarterly",1/3,IF(J166="Twice a year",1/6,IF(J166="Yearly",1/12,0))))))),2)))</f>
        <v>0</v>
      </c>
      <c r="T166" s="38">
        <f>IF(B166="","",IF(I166="Yes","Yes","No"))</f>
        <v>0</v>
      </c>
      <c r="U166" s="25">
        <f>IF(B166="","",IF(L166="Yes","",IF(K166="","",TodayDate-K166)))</f>
        <v>0</v>
      </c>
      <c r="V166" s="39">
        <f>IF(B166="","",IF(L166="Yes","Paid",IF(K166="","Pending",IF(K166&lt;TodayDate,"Overdue",IF(K166&lt;=TodayDate+7,"Due soon","Pending")))))</f>
        <v>0</v>
      </c>
      <c r="W166" s="26">
        <f>IF(B166="","",IFERROR(INDEX(BudgetAmount,MATCH(C166,BudgetCategory,0))*1,0))</f>
        <v>0</v>
      </c>
      <c r="X166" s="25">
        <f>IF(B166="","",COUNTIFS($R$5:$R$604,"&gt;"&amp;R166)+COUNTIFS($R$5:R166,R166))</f>
        <v>0</v>
      </c>
      <c r="Y166" s="39">
        <f>IF(B166="","",IF(F166="","Add - no amount",IF(C166="","Add - no category, it will miss the P&amp;L",IF(V166="Overdue","Overdue - pay it",IF(V166="Due soon","Due - coming up",IF(IF(I166="Yes",J166="",FALSE),"Add - how often does it recur?",IF(L166="Yes","OK","Pending")))))))</f>
        <v>0</v>
      </c>
    </row>
    <row r="167" spans="1:25">
      <c r="A167" s="28">
        <f>IF(B167="","",ExpensePrefix&amp;TEXT(ROW()-4,"0000"))</f>
        <v>0</v>
      </c>
      <c r="P167" s="15">
        <f>IF(B167="","",TEXT(B167,"yyyy-mm"))</f>
        <v>0</v>
      </c>
      <c r="Q167" s="25">
        <f>IF(B167="","",WEEKNUM(B167,2))</f>
        <v>0</v>
      </c>
      <c r="R167" s="26">
        <f>IF(B167="","",ROUND(IF(F167="",0,F167)+IF(G167="",0,G167),2))</f>
        <v>0</v>
      </c>
      <c r="S167" s="26">
        <f>IF(B167="","",IF(I167&lt;&gt;"Yes",0,ROUND(IF(F167="",0,F167)*IF(J167="Weekly",52/12,IF(J167="Fortnightly",26/12,IF(J167="Four weekly",13/12,IF(J167="Monthly",1,IF(J167="Quarterly",1/3,IF(J167="Twice a year",1/6,IF(J167="Yearly",1/12,0))))))),2)))</f>
        <v>0</v>
      </c>
      <c r="T167" s="38">
        <f>IF(B167="","",IF(I167="Yes","Yes","No"))</f>
        <v>0</v>
      </c>
      <c r="U167" s="25">
        <f>IF(B167="","",IF(L167="Yes","",IF(K167="","",TodayDate-K167)))</f>
        <v>0</v>
      </c>
      <c r="V167" s="39">
        <f>IF(B167="","",IF(L167="Yes","Paid",IF(K167="","Pending",IF(K167&lt;TodayDate,"Overdue",IF(K167&lt;=TodayDate+7,"Due soon","Pending")))))</f>
        <v>0</v>
      </c>
      <c r="W167" s="26">
        <f>IF(B167="","",IFERROR(INDEX(BudgetAmount,MATCH(C167,BudgetCategory,0))*1,0))</f>
        <v>0</v>
      </c>
      <c r="X167" s="25">
        <f>IF(B167="","",COUNTIFS($R$5:$R$604,"&gt;"&amp;R167)+COUNTIFS($R$5:R167,R167))</f>
        <v>0</v>
      </c>
      <c r="Y167" s="39">
        <f>IF(B167="","",IF(F167="","Add - no amount",IF(C167="","Add - no category, it will miss the P&amp;L",IF(V167="Overdue","Overdue - pay it",IF(V167="Due soon","Due - coming up",IF(IF(I167="Yes",J167="",FALSE),"Add - how often does it recur?",IF(L167="Yes","OK","Pending")))))))</f>
        <v>0</v>
      </c>
    </row>
    <row r="168" spans="1:25">
      <c r="A168" s="28">
        <f>IF(B168="","",ExpensePrefix&amp;TEXT(ROW()-4,"0000"))</f>
        <v>0</v>
      </c>
      <c r="P168" s="15">
        <f>IF(B168="","",TEXT(B168,"yyyy-mm"))</f>
        <v>0</v>
      </c>
      <c r="Q168" s="25">
        <f>IF(B168="","",WEEKNUM(B168,2))</f>
        <v>0</v>
      </c>
      <c r="R168" s="26">
        <f>IF(B168="","",ROUND(IF(F168="",0,F168)+IF(G168="",0,G168),2))</f>
        <v>0</v>
      </c>
      <c r="S168" s="26">
        <f>IF(B168="","",IF(I168&lt;&gt;"Yes",0,ROUND(IF(F168="",0,F168)*IF(J168="Weekly",52/12,IF(J168="Fortnightly",26/12,IF(J168="Four weekly",13/12,IF(J168="Monthly",1,IF(J168="Quarterly",1/3,IF(J168="Twice a year",1/6,IF(J168="Yearly",1/12,0))))))),2)))</f>
        <v>0</v>
      </c>
      <c r="T168" s="38">
        <f>IF(B168="","",IF(I168="Yes","Yes","No"))</f>
        <v>0</v>
      </c>
      <c r="U168" s="25">
        <f>IF(B168="","",IF(L168="Yes","",IF(K168="","",TodayDate-K168)))</f>
        <v>0</v>
      </c>
      <c r="V168" s="39">
        <f>IF(B168="","",IF(L168="Yes","Paid",IF(K168="","Pending",IF(K168&lt;TodayDate,"Overdue",IF(K168&lt;=TodayDate+7,"Due soon","Pending")))))</f>
        <v>0</v>
      </c>
      <c r="W168" s="26">
        <f>IF(B168="","",IFERROR(INDEX(BudgetAmount,MATCH(C168,BudgetCategory,0))*1,0))</f>
        <v>0</v>
      </c>
      <c r="X168" s="25">
        <f>IF(B168="","",COUNTIFS($R$5:$R$604,"&gt;"&amp;R168)+COUNTIFS($R$5:R168,R168))</f>
        <v>0</v>
      </c>
      <c r="Y168" s="39">
        <f>IF(B168="","",IF(F168="","Add - no amount",IF(C168="","Add - no category, it will miss the P&amp;L",IF(V168="Overdue","Overdue - pay it",IF(V168="Due soon","Due - coming up",IF(IF(I168="Yes",J168="",FALSE),"Add - how often does it recur?",IF(L168="Yes","OK","Pending")))))))</f>
        <v>0</v>
      </c>
    </row>
    <row r="169" spans="1:25">
      <c r="A169" s="28">
        <f>IF(B169="","",ExpensePrefix&amp;TEXT(ROW()-4,"0000"))</f>
        <v>0</v>
      </c>
      <c r="P169" s="15">
        <f>IF(B169="","",TEXT(B169,"yyyy-mm"))</f>
        <v>0</v>
      </c>
      <c r="Q169" s="25">
        <f>IF(B169="","",WEEKNUM(B169,2))</f>
        <v>0</v>
      </c>
      <c r="R169" s="26">
        <f>IF(B169="","",ROUND(IF(F169="",0,F169)+IF(G169="",0,G169),2))</f>
        <v>0</v>
      </c>
      <c r="S169" s="26">
        <f>IF(B169="","",IF(I169&lt;&gt;"Yes",0,ROUND(IF(F169="",0,F169)*IF(J169="Weekly",52/12,IF(J169="Fortnightly",26/12,IF(J169="Four weekly",13/12,IF(J169="Monthly",1,IF(J169="Quarterly",1/3,IF(J169="Twice a year",1/6,IF(J169="Yearly",1/12,0))))))),2)))</f>
        <v>0</v>
      </c>
      <c r="T169" s="38">
        <f>IF(B169="","",IF(I169="Yes","Yes","No"))</f>
        <v>0</v>
      </c>
      <c r="U169" s="25">
        <f>IF(B169="","",IF(L169="Yes","",IF(K169="","",TodayDate-K169)))</f>
        <v>0</v>
      </c>
      <c r="V169" s="39">
        <f>IF(B169="","",IF(L169="Yes","Paid",IF(K169="","Pending",IF(K169&lt;TodayDate,"Overdue",IF(K169&lt;=TodayDate+7,"Due soon","Pending")))))</f>
        <v>0</v>
      </c>
      <c r="W169" s="26">
        <f>IF(B169="","",IFERROR(INDEX(BudgetAmount,MATCH(C169,BudgetCategory,0))*1,0))</f>
        <v>0</v>
      </c>
      <c r="X169" s="25">
        <f>IF(B169="","",COUNTIFS($R$5:$R$604,"&gt;"&amp;R169)+COUNTIFS($R$5:R169,R169))</f>
        <v>0</v>
      </c>
      <c r="Y169" s="39">
        <f>IF(B169="","",IF(F169="","Add - no amount",IF(C169="","Add - no category, it will miss the P&amp;L",IF(V169="Overdue","Overdue - pay it",IF(V169="Due soon","Due - coming up",IF(IF(I169="Yes",J169="",FALSE),"Add - how often does it recur?",IF(L169="Yes","OK","Pending")))))))</f>
        <v>0</v>
      </c>
    </row>
    <row r="170" spans="1:25">
      <c r="A170" s="28">
        <f>IF(B170="","",ExpensePrefix&amp;TEXT(ROW()-4,"0000"))</f>
        <v>0</v>
      </c>
      <c r="P170" s="15">
        <f>IF(B170="","",TEXT(B170,"yyyy-mm"))</f>
        <v>0</v>
      </c>
      <c r="Q170" s="25">
        <f>IF(B170="","",WEEKNUM(B170,2))</f>
        <v>0</v>
      </c>
      <c r="R170" s="26">
        <f>IF(B170="","",ROUND(IF(F170="",0,F170)+IF(G170="",0,G170),2))</f>
        <v>0</v>
      </c>
      <c r="S170" s="26">
        <f>IF(B170="","",IF(I170&lt;&gt;"Yes",0,ROUND(IF(F170="",0,F170)*IF(J170="Weekly",52/12,IF(J170="Fortnightly",26/12,IF(J170="Four weekly",13/12,IF(J170="Monthly",1,IF(J170="Quarterly",1/3,IF(J170="Twice a year",1/6,IF(J170="Yearly",1/12,0))))))),2)))</f>
        <v>0</v>
      </c>
      <c r="T170" s="38">
        <f>IF(B170="","",IF(I170="Yes","Yes","No"))</f>
        <v>0</v>
      </c>
      <c r="U170" s="25">
        <f>IF(B170="","",IF(L170="Yes","",IF(K170="","",TodayDate-K170)))</f>
        <v>0</v>
      </c>
      <c r="V170" s="39">
        <f>IF(B170="","",IF(L170="Yes","Paid",IF(K170="","Pending",IF(K170&lt;TodayDate,"Overdue",IF(K170&lt;=TodayDate+7,"Due soon","Pending")))))</f>
        <v>0</v>
      </c>
      <c r="W170" s="26">
        <f>IF(B170="","",IFERROR(INDEX(BudgetAmount,MATCH(C170,BudgetCategory,0))*1,0))</f>
        <v>0</v>
      </c>
      <c r="X170" s="25">
        <f>IF(B170="","",COUNTIFS($R$5:$R$604,"&gt;"&amp;R170)+COUNTIFS($R$5:R170,R170))</f>
        <v>0</v>
      </c>
      <c r="Y170" s="39">
        <f>IF(B170="","",IF(F170="","Add - no amount",IF(C170="","Add - no category, it will miss the P&amp;L",IF(V170="Overdue","Overdue - pay it",IF(V170="Due soon","Due - coming up",IF(IF(I170="Yes",J170="",FALSE),"Add - how often does it recur?",IF(L170="Yes","OK","Pending")))))))</f>
        <v>0</v>
      </c>
    </row>
    <row r="171" spans="1:25">
      <c r="A171" s="28">
        <f>IF(B171="","",ExpensePrefix&amp;TEXT(ROW()-4,"0000"))</f>
        <v>0</v>
      </c>
      <c r="P171" s="15">
        <f>IF(B171="","",TEXT(B171,"yyyy-mm"))</f>
        <v>0</v>
      </c>
      <c r="Q171" s="25">
        <f>IF(B171="","",WEEKNUM(B171,2))</f>
        <v>0</v>
      </c>
      <c r="R171" s="26">
        <f>IF(B171="","",ROUND(IF(F171="",0,F171)+IF(G171="",0,G171),2))</f>
        <v>0</v>
      </c>
      <c r="S171" s="26">
        <f>IF(B171="","",IF(I171&lt;&gt;"Yes",0,ROUND(IF(F171="",0,F171)*IF(J171="Weekly",52/12,IF(J171="Fortnightly",26/12,IF(J171="Four weekly",13/12,IF(J171="Monthly",1,IF(J171="Quarterly",1/3,IF(J171="Twice a year",1/6,IF(J171="Yearly",1/12,0))))))),2)))</f>
        <v>0</v>
      </c>
      <c r="T171" s="38">
        <f>IF(B171="","",IF(I171="Yes","Yes","No"))</f>
        <v>0</v>
      </c>
      <c r="U171" s="25">
        <f>IF(B171="","",IF(L171="Yes","",IF(K171="","",TodayDate-K171)))</f>
        <v>0</v>
      </c>
      <c r="V171" s="39">
        <f>IF(B171="","",IF(L171="Yes","Paid",IF(K171="","Pending",IF(K171&lt;TodayDate,"Overdue",IF(K171&lt;=TodayDate+7,"Due soon","Pending")))))</f>
        <v>0</v>
      </c>
      <c r="W171" s="26">
        <f>IF(B171="","",IFERROR(INDEX(BudgetAmount,MATCH(C171,BudgetCategory,0))*1,0))</f>
        <v>0</v>
      </c>
      <c r="X171" s="25">
        <f>IF(B171="","",COUNTIFS($R$5:$R$604,"&gt;"&amp;R171)+COUNTIFS($R$5:R171,R171))</f>
        <v>0</v>
      </c>
      <c r="Y171" s="39">
        <f>IF(B171="","",IF(F171="","Add - no amount",IF(C171="","Add - no category, it will miss the P&amp;L",IF(V171="Overdue","Overdue - pay it",IF(V171="Due soon","Due - coming up",IF(IF(I171="Yes",J171="",FALSE),"Add - how often does it recur?",IF(L171="Yes","OK","Pending")))))))</f>
        <v>0</v>
      </c>
    </row>
    <row r="172" spans="1:25">
      <c r="A172" s="28">
        <f>IF(B172="","",ExpensePrefix&amp;TEXT(ROW()-4,"0000"))</f>
        <v>0</v>
      </c>
      <c r="P172" s="15">
        <f>IF(B172="","",TEXT(B172,"yyyy-mm"))</f>
        <v>0</v>
      </c>
      <c r="Q172" s="25">
        <f>IF(B172="","",WEEKNUM(B172,2))</f>
        <v>0</v>
      </c>
      <c r="R172" s="26">
        <f>IF(B172="","",ROUND(IF(F172="",0,F172)+IF(G172="",0,G172),2))</f>
        <v>0</v>
      </c>
      <c r="S172" s="26">
        <f>IF(B172="","",IF(I172&lt;&gt;"Yes",0,ROUND(IF(F172="",0,F172)*IF(J172="Weekly",52/12,IF(J172="Fortnightly",26/12,IF(J172="Four weekly",13/12,IF(J172="Monthly",1,IF(J172="Quarterly",1/3,IF(J172="Twice a year",1/6,IF(J172="Yearly",1/12,0))))))),2)))</f>
        <v>0</v>
      </c>
      <c r="T172" s="38">
        <f>IF(B172="","",IF(I172="Yes","Yes","No"))</f>
        <v>0</v>
      </c>
      <c r="U172" s="25">
        <f>IF(B172="","",IF(L172="Yes","",IF(K172="","",TodayDate-K172)))</f>
        <v>0</v>
      </c>
      <c r="V172" s="39">
        <f>IF(B172="","",IF(L172="Yes","Paid",IF(K172="","Pending",IF(K172&lt;TodayDate,"Overdue",IF(K172&lt;=TodayDate+7,"Due soon","Pending")))))</f>
        <v>0</v>
      </c>
      <c r="W172" s="26">
        <f>IF(B172="","",IFERROR(INDEX(BudgetAmount,MATCH(C172,BudgetCategory,0))*1,0))</f>
        <v>0</v>
      </c>
      <c r="X172" s="25">
        <f>IF(B172="","",COUNTIFS($R$5:$R$604,"&gt;"&amp;R172)+COUNTIFS($R$5:R172,R172))</f>
        <v>0</v>
      </c>
      <c r="Y172" s="39">
        <f>IF(B172="","",IF(F172="","Add - no amount",IF(C172="","Add - no category, it will miss the P&amp;L",IF(V172="Overdue","Overdue - pay it",IF(V172="Due soon","Due - coming up",IF(IF(I172="Yes",J172="",FALSE),"Add - how often does it recur?",IF(L172="Yes","OK","Pending")))))))</f>
        <v>0</v>
      </c>
    </row>
    <row r="173" spans="1:25">
      <c r="A173" s="28">
        <f>IF(B173="","",ExpensePrefix&amp;TEXT(ROW()-4,"0000"))</f>
        <v>0</v>
      </c>
      <c r="P173" s="15">
        <f>IF(B173="","",TEXT(B173,"yyyy-mm"))</f>
        <v>0</v>
      </c>
      <c r="Q173" s="25">
        <f>IF(B173="","",WEEKNUM(B173,2))</f>
        <v>0</v>
      </c>
      <c r="R173" s="26">
        <f>IF(B173="","",ROUND(IF(F173="",0,F173)+IF(G173="",0,G173),2))</f>
        <v>0</v>
      </c>
      <c r="S173" s="26">
        <f>IF(B173="","",IF(I173&lt;&gt;"Yes",0,ROUND(IF(F173="",0,F173)*IF(J173="Weekly",52/12,IF(J173="Fortnightly",26/12,IF(J173="Four weekly",13/12,IF(J173="Monthly",1,IF(J173="Quarterly",1/3,IF(J173="Twice a year",1/6,IF(J173="Yearly",1/12,0))))))),2)))</f>
        <v>0</v>
      </c>
      <c r="T173" s="38">
        <f>IF(B173="","",IF(I173="Yes","Yes","No"))</f>
        <v>0</v>
      </c>
      <c r="U173" s="25">
        <f>IF(B173="","",IF(L173="Yes","",IF(K173="","",TodayDate-K173)))</f>
        <v>0</v>
      </c>
      <c r="V173" s="39">
        <f>IF(B173="","",IF(L173="Yes","Paid",IF(K173="","Pending",IF(K173&lt;TodayDate,"Overdue",IF(K173&lt;=TodayDate+7,"Due soon","Pending")))))</f>
        <v>0</v>
      </c>
      <c r="W173" s="26">
        <f>IF(B173="","",IFERROR(INDEX(BudgetAmount,MATCH(C173,BudgetCategory,0))*1,0))</f>
        <v>0</v>
      </c>
      <c r="X173" s="25">
        <f>IF(B173="","",COUNTIFS($R$5:$R$604,"&gt;"&amp;R173)+COUNTIFS($R$5:R173,R173))</f>
        <v>0</v>
      </c>
      <c r="Y173" s="39">
        <f>IF(B173="","",IF(F173="","Add - no amount",IF(C173="","Add - no category, it will miss the P&amp;L",IF(V173="Overdue","Overdue - pay it",IF(V173="Due soon","Due - coming up",IF(IF(I173="Yes",J173="",FALSE),"Add - how often does it recur?",IF(L173="Yes","OK","Pending")))))))</f>
        <v>0</v>
      </c>
    </row>
    <row r="174" spans="1:25">
      <c r="A174" s="28">
        <f>IF(B174="","",ExpensePrefix&amp;TEXT(ROW()-4,"0000"))</f>
        <v>0</v>
      </c>
      <c r="P174" s="15">
        <f>IF(B174="","",TEXT(B174,"yyyy-mm"))</f>
        <v>0</v>
      </c>
      <c r="Q174" s="25">
        <f>IF(B174="","",WEEKNUM(B174,2))</f>
        <v>0</v>
      </c>
      <c r="R174" s="26">
        <f>IF(B174="","",ROUND(IF(F174="",0,F174)+IF(G174="",0,G174),2))</f>
        <v>0</v>
      </c>
      <c r="S174" s="26">
        <f>IF(B174="","",IF(I174&lt;&gt;"Yes",0,ROUND(IF(F174="",0,F174)*IF(J174="Weekly",52/12,IF(J174="Fortnightly",26/12,IF(J174="Four weekly",13/12,IF(J174="Monthly",1,IF(J174="Quarterly",1/3,IF(J174="Twice a year",1/6,IF(J174="Yearly",1/12,0))))))),2)))</f>
        <v>0</v>
      </c>
      <c r="T174" s="38">
        <f>IF(B174="","",IF(I174="Yes","Yes","No"))</f>
        <v>0</v>
      </c>
      <c r="U174" s="25">
        <f>IF(B174="","",IF(L174="Yes","",IF(K174="","",TodayDate-K174)))</f>
        <v>0</v>
      </c>
      <c r="V174" s="39">
        <f>IF(B174="","",IF(L174="Yes","Paid",IF(K174="","Pending",IF(K174&lt;TodayDate,"Overdue",IF(K174&lt;=TodayDate+7,"Due soon","Pending")))))</f>
        <v>0</v>
      </c>
      <c r="W174" s="26">
        <f>IF(B174="","",IFERROR(INDEX(BudgetAmount,MATCH(C174,BudgetCategory,0))*1,0))</f>
        <v>0</v>
      </c>
      <c r="X174" s="25">
        <f>IF(B174="","",COUNTIFS($R$5:$R$604,"&gt;"&amp;R174)+COUNTIFS($R$5:R174,R174))</f>
        <v>0</v>
      </c>
      <c r="Y174" s="39">
        <f>IF(B174="","",IF(F174="","Add - no amount",IF(C174="","Add - no category, it will miss the P&amp;L",IF(V174="Overdue","Overdue - pay it",IF(V174="Due soon","Due - coming up",IF(IF(I174="Yes",J174="",FALSE),"Add - how often does it recur?",IF(L174="Yes","OK","Pending")))))))</f>
        <v>0</v>
      </c>
    </row>
    <row r="175" spans="1:25">
      <c r="A175" s="28">
        <f>IF(B175="","",ExpensePrefix&amp;TEXT(ROW()-4,"0000"))</f>
        <v>0</v>
      </c>
      <c r="P175" s="15">
        <f>IF(B175="","",TEXT(B175,"yyyy-mm"))</f>
        <v>0</v>
      </c>
      <c r="Q175" s="25">
        <f>IF(B175="","",WEEKNUM(B175,2))</f>
        <v>0</v>
      </c>
      <c r="R175" s="26">
        <f>IF(B175="","",ROUND(IF(F175="",0,F175)+IF(G175="",0,G175),2))</f>
        <v>0</v>
      </c>
      <c r="S175" s="26">
        <f>IF(B175="","",IF(I175&lt;&gt;"Yes",0,ROUND(IF(F175="",0,F175)*IF(J175="Weekly",52/12,IF(J175="Fortnightly",26/12,IF(J175="Four weekly",13/12,IF(J175="Monthly",1,IF(J175="Quarterly",1/3,IF(J175="Twice a year",1/6,IF(J175="Yearly",1/12,0))))))),2)))</f>
        <v>0</v>
      </c>
      <c r="T175" s="38">
        <f>IF(B175="","",IF(I175="Yes","Yes","No"))</f>
        <v>0</v>
      </c>
      <c r="U175" s="25">
        <f>IF(B175="","",IF(L175="Yes","",IF(K175="","",TodayDate-K175)))</f>
        <v>0</v>
      </c>
      <c r="V175" s="39">
        <f>IF(B175="","",IF(L175="Yes","Paid",IF(K175="","Pending",IF(K175&lt;TodayDate,"Overdue",IF(K175&lt;=TodayDate+7,"Due soon","Pending")))))</f>
        <v>0</v>
      </c>
      <c r="W175" s="26">
        <f>IF(B175="","",IFERROR(INDEX(BudgetAmount,MATCH(C175,BudgetCategory,0))*1,0))</f>
        <v>0</v>
      </c>
      <c r="X175" s="25">
        <f>IF(B175="","",COUNTIFS($R$5:$R$604,"&gt;"&amp;R175)+COUNTIFS($R$5:R175,R175))</f>
        <v>0</v>
      </c>
      <c r="Y175" s="39">
        <f>IF(B175="","",IF(F175="","Add - no amount",IF(C175="","Add - no category, it will miss the P&amp;L",IF(V175="Overdue","Overdue - pay it",IF(V175="Due soon","Due - coming up",IF(IF(I175="Yes",J175="",FALSE),"Add - how often does it recur?",IF(L175="Yes","OK","Pending")))))))</f>
        <v>0</v>
      </c>
    </row>
    <row r="176" spans="1:25">
      <c r="A176" s="28">
        <f>IF(B176="","",ExpensePrefix&amp;TEXT(ROW()-4,"0000"))</f>
        <v>0</v>
      </c>
      <c r="P176" s="15">
        <f>IF(B176="","",TEXT(B176,"yyyy-mm"))</f>
        <v>0</v>
      </c>
      <c r="Q176" s="25">
        <f>IF(B176="","",WEEKNUM(B176,2))</f>
        <v>0</v>
      </c>
      <c r="R176" s="26">
        <f>IF(B176="","",ROUND(IF(F176="",0,F176)+IF(G176="",0,G176),2))</f>
        <v>0</v>
      </c>
      <c r="S176" s="26">
        <f>IF(B176="","",IF(I176&lt;&gt;"Yes",0,ROUND(IF(F176="",0,F176)*IF(J176="Weekly",52/12,IF(J176="Fortnightly",26/12,IF(J176="Four weekly",13/12,IF(J176="Monthly",1,IF(J176="Quarterly",1/3,IF(J176="Twice a year",1/6,IF(J176="Yearly",1/12,0))))))),2)))</f>
        <v>0</v>
      </c>
      <c r="T176" s="38">
        <f>IF(B176="","",IF(I176="Yes","Yes","No"))</f>
        <v>0</v>
      </c>
      <c r="U176" s="25">
        <f>IF(B176="","",IF(L176="Yes","",IF(K176="","",TodayDate-K176)))</f>
        <v>0</v>
      </c>
      <c r="V176" s="39">
        <f>IF(B176="","",IF(L176="Yes","Paid",IF(K176="","Pending",IF(K176&lt;TodayDate,"Overdue",IF(K176&lt;=TodayDate+7,"Due soon","Pending")))))</f>
        <v>0</v>
      </c>
      <c r="W176" s="26">
        <f>IF(B176="","",IFERROR(INDEX(BudgetAmount,MATCH(C176,BudgetCategory,0))*1,0))</f>
        <v>0</v>
      </c>
      <c r="X176" s="25">
        <f>IF(B176="","",COUNTIFS($R$5:$R$604,"&gt;"&amp;R176)+COUNTIFS($R$5:R176,R176))</f>
        <v>0</v>
      </c>
      <c r="Y176" s="39">
        <f>IF(B176="","",IF(F176="","Add - no amount",IF(C176="","Add - no category, it will miss the P&amp;L",IF(V176="Overdue","Overdue - pay it",IF(V176="Due soon","Due - coming up",IF(IF(I176="Yes",J176="",FALSE),"Add - how often does it recur?",IF(L176="Yes","OK","Pending")))))))</f>
        <v>0</v>
      </c>
    </row>
    <row r="177" spans="1:25">
      <c r="A177" s="28">
        <f>IF(B177="","",ExpensePrefix&amp;TEXT(ROW()-4,"0000"))</f>
        <v>0</v>
      </c>
      <c r="P177" s="15">
        <f>IF(B177="","",TEXT(B177,"yyyy-mm"))</f>
        <v>0</v>
      </c>
      <c r="Q177" s="25">
        <f>IF(B177="","",WEEKNUM(B177,2))</f>
        <v>0</v>
      </c>
      <c r="R177" s="26">
        <f>IF(B177="","",ROUND(IF(F177="",0,F177)+IF(G177="",0,G177),2))</f>
        <v>0</v>
      </c>
      <c r="S177" s="26">
        <f>IF(B177="","",IF(I177&lt;&gt;"Yes",0,ROUND(IF(F177="",0,F177)*IF(J177="Weekly",52/12,IF(J177="Fortnightly",26/12,IF(J177="Four weekly",13/12,IF(J177="Monthly",1,IF(J177="Quarterly",1/3,IF(J177="Twice a year",1/6,IF(J177="Yearly",1/12,0))))))),2)))</f>
        <v>0</v>
      </c>
      <c r="T177" s="38">
        <f>IF(B177="","",IF(I177="Yes","Yes","No"))</f>
        <v>0</v>
      </c>
      <c r="U177" s="25">
        <f>IF(B177="","",IF(L177="Yes","",IF(K177="","",TodayDate-K177)))</f>
        <v>0</v>
      </c>
      <c r="V177" s="39">
        <f>IF(B177="","",IF(L177="Yes","Paid",IF(K177="","Pending",IF(K177&lt;TodayDate,"Overdue",IF(K177&lt;=TodayDate+7,"Due soon","Pending")))))</f>
        <v>0</v>
      </c>
      <c r="W177" s="26">
        <f>IF(B177="","",IFERROR(INDEX(BudgetAmount,MATCH(C177,BudgetCategory,0))*1,0))</f>
        <v>0</v>
      </c>
      <c r="X177" s="25">
        <f>IF(B177="","",COUNTIFS($R$5:$R$604,"&gt;"&amp;R177)+COUNTIFS($R$5:R177,R177))</f>
        <v>0</v>
      </c>
      <c r="Y177" s="39">
        <f>IF(B177="","",IF(F177="","Add - no amount",IF(C177="","Add - no category, it will miss the P&amp;L",IF(V177="Overdue","Overdue - pay it",IF(V177="Due soon","Due - coming up",IF(IF(I177="Yes",J177="",FALSE),"Add - how often does it recur?",IF(L177="Yes","OK","Pending")))))))</f>
        <v>0</v>
      </c>
    </row>
    <row r="178" spans="1:25">
      <c r="A178" s="28">
        <f>IF(B178="","",ExpensePrefix&amp;TEXT(ROW()-4,"0000"))</f>
        <v>0</v>
      </c>
      <c r="P178" s="15">
        <f>IF(B178="","",TEXT(B178,"yyyy-mm"))</f>
        <v>0</v>
      </c>
      <c r="Q178" s="25">
        <f>IF(B178="","",WEEKNUM(B178,2))</f>
        <v>0</v>
      </c>
      <c r="R178" s="26">
        <f>IF(B178="","",ROUND(IF(F178="",0,F178)+IF(G178="",0,G178),2))</f>
        <v>0</v>
      </c>
      <c r="S178" s="26">
        <f>IF(B178="","",IF(I178&lt;&gt;"Yes",0,ROUND(IF(F178="",0,F178)*IF(J178="Weekly",52/12,IF(J178="Fortnightly",26/12,IF(J178="Four weekly",13/12,IF(J178="Monthly",1,IF(J178="Quarterly",1/3,IF(J178="Twice a year",1/6,IF(J178="Yearly",1/12,0))))))),2)))</f>
        <v>0</v>
      </c>
      <c r="T178" s="38">
        <f>IF(B178="","",IF(I178="Yes","Yes","No"))</f>
        <v>0</v>
      </c>
      <c r="U178" s="25">
        <f>IF(B178="","",IF(L178="Yes","",IF(K178="","",TodayDate-K178)))</f>
        <v>0</v>
      </c>
      <c r="V178" s="39">
        <f>IF(B178="","",IF(L178="Yes","Paid",IF(K178="","Pending",IF(K178&lt;TodayDate,"Overdue",IF(K178&lt;=TodayDate+7,"Due soon","Pending")))))</f>
        <v>0</v>
      </c>
      <c r="W178" s="26">
        <f>IF(B178="","",IFERROR(INDEX(BudgetAmount,MATCH(C178,BudgetCategory,0))*1,0))</f>
        <v>0</v>
      </c>
      <c r="X178" s="25">
        <f>IF(B178="","",COUNTIFS($R$5:$R$604,"&gt;"&amp;R178)+COUNTIFS($R$5:R178,R178))</f>
        <v>0</v>
      </c>
      <c r="Y178" s="39">
        <f>IF(B178="","",IF(F178="","Add - no amount",IF(C178="","Add - no category, it will miss the P&amp;L",IF(V178="Overdue","Overdue - pay it",IF(V178="Due soon","Due - coming up",IF(IF(I178="Yes",J178="",FALSE),"Add - how often does it recur?",IF(L178="Yes","OK","Pending")))))))</f>
        <v>0</v>
      </c>
    </row>
    <row r="179" spans="1:25">
      <c r="A179" s="28">
        <f>IF(B179="","",ExpensePrefix&amp;TEXT(ROW()-4,"0000"))</f>
        <v>0</v>
      </c>
      <c r="P179" s="15">
        <f>IF(B179="","",TEXT(B179,"yyyy-mm"))</f>
        <v>0</v>
      </c>
      <c r="Q179" s="25">
        <f>IF(B179="","",WEEKNUM(B179,2))</f>
        <v>0</v>
      </c>
      <c r="R179" s="26">
        <f>IF(B179="","",ROUND(IF(F179="",0,F179)+IF(G179="",0,G179),2))</f>
        <v>0</v>
      </c>
      <c r="S179" s="26">
        <f>IF(B179="","",IF(I179&lt;&gt;"Yes",0,ROUND(IF(F179="",0,F179)*IF(J179="Weekly",52/12,IF(J179="Fortnightly",26/12,IF(J179="Four weekly",13/12,IF(J179="Monthly",1,IF(J179="Quarterly",1/3,IF(J179="Twice a year",1/6,IF(J179="Yearly",1/12,0))))))),2)))</f>
        <v>0</v>
      </c>
      <c r="T179" s="38">
        <f>IF(B179="","",IF(I179="Yes","Yes","No"))</f>
        <v>0</v>
      </c>
      <c r="U179" s="25">
        <f>IF(B179="","",IF(L179="Yes","",IF(K179="","",TodayDate-K179)))</f>
        <v>0</v>
      </c>
      <c r="V179" s="39">
        <f>IF(B179="","",IF(L179="Yes","Paid",IF(K179="","Pending",IF(K179&lt;TodayDate,"Overdue",IF(K179&lt;=TodayDate+7,"Due soon","Pending")))))</f>
        <v>0</v>
      </c>
      <c r="W179" s="26">
        <f>IF(B179="","",IFERROR(INDEX(BudgetAmount,MATCH(C179,BudgetCategory,0))*1,0))</f>
        <v>0</v>
      </c>
      <c r="X179" s="25">
        <f>IF(B179="","",COUNTIFS($R$5:$R$604,"&gt;"&amp;R179)+COUNTIFS($R$5:R179,R179))</f>
        <v>0</v>
      </c>
      <c r="Y179" s="39">
        <f>IF(B179="","",IF(F179="","Add - no amount",IF(C179="","Add - no category, it will miss the P&amp;L",IF(V179="Overdue","Overdue - pay it",IF(V179="Due soon","Due - coming up",IF(IF(I179="Yes",J179="",FALSE),"Add - how often does it recur?",IF(L179="Yes","OK","Pending")))))))</f>
        <v>0</v>
      </c>
    </row>
    <row r="180" spans="1:25">
      <c r="A180" s="28">
        <f>IF(B180="","",ExpensePrefix&amp;TEXT(ROW()-4,"0000"))</f>
        <v>0</v>
      </c>
      <c r="P180" s="15">
        <f>IF(B180="","",TEXT(B180,"yyyy-mm"))</f>
        <v>0</v>
      </c>
      <c r="Q180" s="25">
        <f>IF(B180="","",WEEKNUM(B180,2))</f>
        <v>0</v>
      </c>
      <c r="R180" s="26">
        <f>IF(B180="","",ROUND(IF(F180="",0,F180)+IF(G180="",0,G180),2))</f>
        <v>0</v>
      </c>
      <c r="S180" s="26">
        <f>IF(B180="","",IF(I180&lt;&gt;"Yes",0,ROUND(IF(F180="",0,F180)*IF(J180="Weekly",52/12,IF(J180="Fortnightly",26/12,IF(J180="Four weekly",13/12,IF(J180="Monthly",1,IF(J180="Quarterly",1/3,IF(J180="Twice a year",1/6,IF(J180="Yearly",1/12,0))))))),2)))</f>
        <v>0</v>
      </c>
      <c r="T180" s="38">
        <f>IF(B180="","",IF(I180="Yes","Yes","No"))</f>
        <v>0</v>
      </c>
      <c r="U180" s="25">
        <f>IF(B180="","",IF(L180="Yes","",IF(K180="","",TodayDate-K180)))</f>
        <v>0</v>
      </c>
      <c r="V180" s="39">
        <f>IF(B180="","",IF(L180="Yes","Paid",IF(K180="","Pending",IF(K180&lt;TodayDate,"Overdue",IF(K180&lt;=TodayDate+7,"Due soon","Pending")))))</f>
        <v>0</v>
      </c>
      <c r="W180" s="26">
        <f>IF(B180="","",IFERROR(INDEX(BudgetAmount,MATCH(C180,BudgetCategory,0))*1,0))</f>
        <v>0</v>
      </c>
      <c r="X180" s="25">
        <f>IF(B180="","",COUNTIFS($R$5:$R$604,"&gt;"&amp;R180)+COUNTIFS($R$5:R180,R180))</f>
        <v>0</v>
      </c>
      <c r="Y180" s="39">
        <f>IF(B180="","",IF(F180="","Add - no amount",IF(C180="","Add - no category, it will miss the P&amp;L",IF(V180="Overdue","Overdue - pay it",IF(V180="Due soon","Due - coming up",IF(IF(I180="Yes",J180="",FALSE),"Add - how often does it recur?",IF(L180="Yes","OK","Pending")))))))</f>
        <v>0</v>
      </c>
    </row>
    <row r="181" spans="1:25">
      <c r="A181" s="28">
        <f>IF(B181="","",ExpensePrefix&amp;TEXT(ROW()-4,"0000"))</f>
        <v>0</v>
      </c>
      <c r="P181" s="15">
        <f>IF(B181="","",TEXT(B181,"yyyy-mm"))</f>
        <v>0</v>
      </c>
      <c r="Q181" s="25">
        <f>IF(B181="","",WEEKNUM(B181,2))</f>
        <v>0</v>
      </c>
      <c r="R181" s="26">
        <f>IF(B181="","",ROUND(IF(F181="",0,F181)+IF(G181="",0,G181),2))</f>
        <v>0</v>
      </c>
      <c r="S181" s="26">
        <f>IF(B181="","",IF(I181&lt;&gt;"Yes",0,ROUND(IF(F181="",0,F181)*IF(J181="Weekly",52/12,IF(J181="Fortnightly",26/12,IF(J181="Four weekly",13/12,IF(J181="Monthly",1,IF(J181="Quarterly",1/3,IF(J181="Twice a year",1/6,IF(J181="Yearly",1/12,0))))))),2)))</f>
        <v>0</v>
      </c>
      <c r="T181" s="38">
        <f>IF(B181="","",IF(I181="Yes","Yes","No"))</f>
        <v>0</v>
      </c>
      <c r="U181" s="25">
        <f>IF(B181="","",IF(L181="Yes","",IF(K181="","",TodayDate-K181)))</f>
        <v>0</v>
      </c>
      <c r="V181" s="39">
        <f>IF(B181="","",IF(L181="Yes","Paid",IF(K181="","Pending",IF(K181&lt;TodayDate,"Overdue",IF(K181&lt;=TodayDate+7,"Due soon","Pending")))))</f>
        <v>0</v>
      </c>
      <c r="W181" s="26">
        <f>IF(B181="","",IFERROR(INDEX(BudgetAmount,MATCH(C181,BudgetCategory,0))*1,0))</f>
        <v>0</v>
      </c>
      <c r="X181" s="25">
        <f>IF(B181="","",COUNTIFS($R$5:$R$604,"&gt;"&amp;R181)+COUNTIFS($R$5:R181,R181))</f>
        <v>0</v>
      </c>
      <c r="Y181" s="39">
        <f>IF(B181="","",IF(F181="","Add - no amount",IF(C181="","Add - no category, it will miss the P&amp;L",IF(V181="Overdue","Overdue - pay it",IF(V181="Due soon","Due - coming up",IF(IF(I181="Yes",J181="",FALSE),"Add - how often does it recur?",IF(L181="Yes","OK","Pending")))))))</f>
        <v>0</v>
      </c>
    </row>
    <row r="182" spans="1:25">
      <c r="A182" s="28">
        <f>IF(B182="","",ExpensePrefix&amp;TEXT(ROW()-4,"0000"))</f>
        <v>0</v>
      </c>
      <c r="P182" s="15">
        <f>IF(B182="","",TEXT(B182,"yyyy-mm"))</f>
        <v>0</v>
      </c>
      <c r="Q182" s="25">
        <f>IF(B182="","",WEEKNUM(B182,2))</f>
        <v>0</v>
      </c>
      <c r="R182" s="26">
        <f>IF(B182="","",ROUND(IF(F182="",0,F182)+IF(G182="",0,G182),2))</f>
        <v>0</v>
      </c>
      <c r="S182" s="26">
        <f>IF(B182="","",IF(I182&lt;&gt;"Yes",0,ROUND(IF(F182="",0,F182)*IF(J182="Weekly",52/12,IF(J182="Fortnightly",26/12,IF(J182="Four weekly",13/12,IF(J182="Monthly",1,IF(J182="Quarterly",1/3,IF(J182="Twice a year",1/6,IF(J182="Yearly",1/12,0))))))),2)))</f>
        <v>0</v>
      </c>
      <c r="T182" s="38">
        <f>IF(B182="","",IF(I182="Yes","Yes","No"))</f>
        <v>0</v>
      </c>
      <c r="U182" s="25">
        <f>IF(B182="","",IF(L182="Yes","",IF(K182="","",TodayDate-K182)))</f>
        <v>0</v>
      </c>
      <c r="V182" s="39">
        <f>IF(B182="","",IF(L182="Yes","Paid",IF(K182="","Pending",IF(K182&lt;TodayDate,"Overdue",IF(K182&lt;=TodayDate+7,"Due soon","Pending")))))</f>
        <v>0</v>
      </c>
      <c r="W182" s="26">
        <f>IF(B182="","",IFERROR(INDEX(BudgetAmount,MATCH(C182,BudgetCategory,0))*1,0))</f>
        <v>0</v>
      </c>
      <c r="X182" s="25">
        <f>IF(B182="","",COUNTIFS($R$5:$R$604,"&gt;"&amp;R182)+COUNTIFS($R$5:R182,R182))</f>
        <v>0</v>
      </c>
      <c r="Y182" s="39">
        <f>IF(B182="","",IF(F182="","Add - no amount",IF(C182="","Add - no category, it will miss the P&amp;L",IF(V182="Overdue","Overdue - pay it",IF(V182="Due soon","Due - coming up",IF(IF(I182="Yes",J182="",FALSE),"Add - how often does it recur?",IF(L182="Yes","OK","Pending")))))))</f>
        <v>0</v>
      </c>
    </row>
    <row r="183" spans="1:25">
      <c r="A183" s="28">
        <f>IF(B183="","",ExpensePrefix&amp;TEXT(ROW()-4,"0000"))</f>
        <v>0</v>
      </c>
      <c r="P183" s="15">
        <f>IF(B183="","",TEXT(B183,"yyyy-mm"))</f>
        <v>0</v>
      </c>
      <c r="Q183" s="25">
        <f>IF(B183="","",WEEKNUM(B183,2))</f>
        <v>0</v>
      </c>
      <c r="R183" s="26">
        <f>IF(B183="","",ROUND(IF(F183="",0,F183)+IF(G183="",0,G183),2))</f>
        <v>0</v>
      </c>
      <c r="S183" s="26">
        <f>IF(B183="","",IF(I183&lt;&gt;"Yes",0,ROUND(IF(F183="",0,F183)*IF(J183="Weekly",52/12,IF(J183="Fortnightly",26/12,IF(J183="Four weekly",13/12,IF(J183="Monthly",1,IF(J183="Quarterly",1/3,IF(J183="Twice a year",1/6,IF(J183="Yearly",1/12,0))))))),2)))</f>
        <v>0</v>
      </c>
      <c r="T183" s="38">
        <f>IF(B183="","",IF(I183="Yes","Yes","No"))</f>
        <v>0</v>
      </c>
      <c r="U183" s="25">
        <f>IF(B183="","",IF(L183="Yes","",IF(K183="","",TodayDate-K183)))</f>
        <v>0</v>
      </c>
      <c r="V183" s="39">
        <f>IF(B183="","",IF(L183="Yes","Paid",IF(K183="","Pending",IF(K183&lt;TodayDate,"Overdue",IF(K183&lt;=TodayDate+7,"Due soon","Pending")))))</f>
        <v>0</v>
      </c>
      <c r="W183" s="26">
        <f>IF(B183="","",IFERROR(INDEX(BudgetAmount,MATCH(C183,BudgetCategory,0))*1,0))</f>
        <v>0</v>
      </c>
      <c r="X183" s="25">
        <f>IF(B183="","",COUNTIFS($R$5:$R$604,"&gt;"&amp;R183)+COUNTIFS($R$5:R183,R183))</f>
        <v>0</v>
      </c>
      <c r="Y183" s="39">
        <f>IF(B183="","",IF(F183="","Add - no amount",IF(C183="","Add - no category, it will miss the P&amp;L",IF(V183="Overdue","Overdue - pay it",IF(V183="Due soon","Due - coming up",IF(IF(I183="Yes",J183="",FALSE),"Add - how often does it recur?",IF(L183="Yes","OK","Pending")))))))</f>
        <v>0</v>
      </c>
    </row>
    <row r="184" spans="1:25">
      <c r="A184" s="28">
        <f>IF(B184="","",ExpensePrefix&amp;TEXT(ROW()-4,"0000"))</f>
        <v>0</v>
      </c>
      <c r="P184" s="15">
        <f>IF(B184="","",TEXT(B184,"yyyy-mm"))</f>
        <v>0</v>
      </c>
      <c r="Q184" s="25">
        <f>IF(B184="","",WEEKNUM(B184,2))</f>
        <v>0</v>
      </c>
      <c r="R184" s="26">
        <f>IF(B184="","",ROUND(IF(F184="",0,F184)+IF(G184="",0,G184),2))</f>
        <v>0</v>
      </c>
      <c r="S184" s="26">
        <f>IF(B184="","",IF(I184&lt;&gt;"Yes",0,ROUND(IF(F184="",0,F184)*IF(J184="Weekly",52/12,IF(J184="Fortnightly",26/12,IF(J184="Four weekly",13/12,IF(J184="Monthly",1,IF(J184="Quarterly",1/3,IF(J184="Twice a year",1/6,IF(J184="Yearly",1/12,0))))))),2)))</f>
        <v>0</v>
      </c>
      <c r="T184" s="38">
        <f>IF(B184="","",IF(I184="Yes","Yes","No"))</f>
        <v>0</v>
      </c>
      <c r="U184" s="25">
        <f>IF(B184="","",IF(L184="Yes","",IF(K184="","",TodayDate-K184)))</f>
        <v>0</v>
      </c>
      <c r="V184" s="39">
        <f>IF(B184="","",IF(L184="Yes","Paid",IF(K184="","Pending",IF(K184&lt;TodayDate,"Overdue",IF(K184&lt;=TodayDate+7,"Due soon","Pending")))))</f>
        <v>0</v>
      </c>
      <c r="W184" s="26">
        <f>IF(B184="","",IFERROR(INDEX(BudgetAmount,MATCH(C184,BudgetCategory,0))*1,0))</f>
        <v>0</v>
      </c>
      <c r="X184" s="25">
        <f>IF(B184="","",COUNTIFS($R$5:$R$604,"&gt;"&amp;R184)+COUNTIFS($R$5:R184,R184))</f>
        <v>0</v>
      </c>
      <c r="Y184" s="39">
        <f>IF(B184="","",IF(F184="","Add - no amount",IF(C184="","Add - no category, it will miss the P&amp;L",IF(V184="Overdue","Overdue - pay it",IF(V184="Due soon","Due - coming up",IF(IF(I184="Yes",J184="",FALSE),"Add - how often does it recur?",IF(L184="Yes","OK","Pending")))))))</f>
        <v>0</v>
      </c>
    </row>
    <row r="185" spans="1:25">
      <c r="A185" s="28">
        <f>IF(B185="","",ExpensePrefix&amp;TEXT(ROW()-4,"0000"))</f>
        <v>0</v>
      </c>
      <c r="P185" s="15">
        <f>IF(B185="","",TEXT(B185,"yyyy-mm"))</f>
        <v>0</v>
      </c>
      <c r="Q185" s="25">
        <f>IF(B185="","",WEEKNUM(B185,2))</f>
        <v>0</v>
      </c>
      <c r="R185" s="26">
        <f>IF(B185="","",ROUND(IF(F185="",0,F185)+IF(G185="",0,G185),2))</f>
        <v>0</v>
      </c>
      <c r="S185" s="26">
        <f>IF(B185="","",IF(I185&lt;&gt;"Yes",0,ROUND(IF(F185="",0,F185)*IF(J185="Weekly",52/12,IF(J185="Fortnightly",26/12,IF(J185="Four weekly",13/12,IF(J185="Monthly",1,IF(J185="Quarterly",1/3,IF(J185="Twice a year",1/6,IF(J185="Yearly",1/12,0))))))),2)))</f>
        <v>0</v>
      </c>
      <c r="T185" s="38">
        <f>IF(B185="","",IF(I185="Yes","Yes","No"))</f>
        <v>0</v>
      </c>
      <c r="U185" s="25">
        <f>IF(B185="","",IF(L185="Yes","",IF(K185="","",TodayDate-K185)))</f>
        <v>0</v>
      </c>
      <c r="V185" s="39">
        <f>IF(B185="","",IF(L185="Yes","Paid",IF(K185="","Pending",IF(K185&lt;TodayDate,"Overdue",IF(K185&lt;=TodayDate+7,"Due soon","Pending")))))</f>
        <v>0</v>
      </c>
      <c r="W185" s="26">
        <f>IF(B185="","",IFERROR(INDEX(BudgetAmount,MATCH(C185,BudgetCategory,0))*1,0))</f>
        <v>0</v>
      </c>
      <c r="X185" s="25">
        <f>IF(B185="","",COUNTIFS($R$5:$R$604,"&gt;"&amp;R185)+COUNTIFS($R$5:R185,R185))</f>
        <v>0</v>
      </c>
      <c r="Y185" s="39">
        <f>IF(B185="","",IF(F185="","Add - no amount",IF(C185="","Add - no category, it will miss the P&amp;L",IF(V185="Overdue","Overdue - pay it",IF(V185="Due soon","Due - coming up",IF(IF(I185="Yes",J185="",FALSE),"Add - how often does it recur?",IF(L185="Yes","OK","Pending")))))))</f>
        <v>0</v>
      </c>
    </row>
    <row r="186" spans="1:25">
      <c r="A186" s="28">
        <f>IF(B186="","",ExpensePrefix&amp;TEXT(ROW()-4,"0000"))</f>
        <v>0</v>
      </c>
      <c r="P186" s="15">
        <f>IF(B186="","",TEXT(B186,"yyyy-mm"))</f>
        <v>0</v>
      </c>
      <c r="Q186" s="25">
        <f>IF(B186="","",WEEKNUM(B186,2))</f>
        <v>0</v>
      </c>
      <c r="R186" s="26">
        <f>IF(B186="","",ROUND(IF(F186="",0,F186)+IF(G186="",0,G186),2))</f>
        <v>0</v>
      </c>
      <c r="S186" s="26">
        <f>IF(B186="","",IF(I186&lt;&gt;"Yes",0,ROUND(IF(F186="",0,F186)*IF(J186="Weekly",52/12,IF(J186="Fortnightly",26/12,IF(J186="Four weekly",13/12,IF(J186="Monthly",1,IF(J186="Quarterly",1/3,IF(J186="Twice a year",1/6,IF(J186="Yearly",1/12,0))))))),2)))</f>
        <v>0</v>
      </c>
      <c r="T186" s="38">
        <f>IF(B186="","",IF(I186="Yes","Yes","No"))</f>
        <v>0</v>
      </c>
      <c r="U186" s="25">
        <f>IF(B186="","",IF(L186="Yes","",IF(K186="","",TodayDate-K186)))</f>
        <v>0</v>
      </c>
      <c r="V186" s="39">
        <f>IF(B186="","",IF(L186="Yes","Paid",IF(K186="","Pending",IF(K186&lt;TodayDate,"Overdue",IF(K186&lt;=TodayDate+7,"Due soon","Pending")))))</f>
        <v>0</v>
      </c>
      <c r="W186" s="26">
        <f>IF(B186="","",IFERROR(INDEX(BudgetAmount,MATCH(C186,BudgetCategory,0))*1,0))</f>
        <v>0</v>
      </c>
      <c r="X186" s="25">
        <f>IF(B186="","",COUNTIFS($R$5:$R$604,"&gt;"&amp;R186)+COUNTIFS($R$5:R186,R186))</f>
        <v>0</v>
      </c>
      <c r="Y186" s="39">
        <f>IF(B186="","",IF(F186="","Add - no amount",IF(C186="","Add - no category, it will miss the P&amp;L",IF(V186="Overdue","Overdue - pay it",IF(V186="Due soon","Due - coming up",IF(IF(I186="Yes",J186="",FALSE),"Add - how often does it recur?",IF(L186="Yes","OK","Pending")))))))</f>
        <v>0</v>
      </c>
    </row>
    <row r="187" spans="1:25">
      <c r="A187" s="28">
        <f>IF(B187="","",ExpensePrefix&amp;TEXT(ROW()-4,"0000"))</f>
        <v>0</v>
      </c>
      <c r="P187" s="15">
        <f>IF(B187="","",TEXT(B187,"yyyy-mm"))</f>
        <v>0</v>
      </c>
      <c r="Q187" s="25">
        <f>IF(B187="","",WEEKNUM(B187,2))</f>
        <v>0</v>
      </c>
      <c r="R187" s="26">
        <f>IF(B187="","",ROUND(IF(F187="",0,F187)+IF(G187="",0,G187),2))</f>
        <v>0</v>
      </c>
      <c r="S187" s="26">
        <f>IF(B187="","",IF(I187&lt;&gt;"Yes",0,ROUND(IF(F187="",0,F187)*IF(J187="Weekly",52/12,IF(J187="Fortnightly",26/12,IF(J187="Four weekly",13/12,IF(J187="Monthly",1,IF(J187="Quarterly",1/3,IF(J187="Twice a year",1/6,IF(J187="Yearly",1/12,0))))))),2)))</f>
        <v>0</v>
      </c>
      <c r="T187" s="38">
        <f>IF(B187="","",IF(I187="Yes","Yes","No"))</f>
        <v>0</v>
      </c>
      <c r="U187" s="25">
        <f>IF(B187="","",IF(L187="Yes","",IF(K187="","",TodayDate-K187)))</f>
        <v>0</v>
      </c>
      <c r="V187" s="39">
        <f>IF(B187="","",IF(L187="Yes","Paid",IF(K187="","Pending",IF(K187&lt;TodayDate,"Overdue",IF(K187&lt;=TodayDate+7,"Due soon","Pending")))))</f>
        <v>0</v>
      </c>
      <c r="W187" s="26">
        <f>IF(B187="","",IFERROR(INDEX(BudgetAmount,MATCH(C187,BudgetCategory,0))*1,0))</f>
        <v>0</v>
      </c>
      <c r="X187" s="25">
        <f>IF(B187="","",COUNTIFS($R$5:$R$604,"&gt;"&amp;R187)+COUNTIFS($R$5:R187,R187))</f>
        <v>0</v>
      </c>
      <c r="Y187" s="39">
        <f>IF(B187="","",IF(F187="","Add - no amount",IF(C187="","Add - no category, it will miss the P&amp;L",IF(V187="Overdue","Overdue - pay it",IF(V187="Due soon","Due - coming up",IF(IF(I187="Yes",J187="",FALSE),"Add - how often does it recur?",IF(L187="Yes","OK","Pending")))))))</f>
        <v>0</v>
      </c>
    </row>
    <row r="188" spans="1:25">
      <c r="A188" s="28">
        <f>IF(B188="","",ExpensePrefix&amp;TEXT(ROW()-4,"0000"))</f>
        <v>0</v>
      </c>
      <c r="P188" s="15">
        <f>IF(B188="","",TEXT(B188,"yyyy-mm"))</f>
        <v>0</v>
      </c>
      <c r="Q188" s="25">
        <f>IF(B188="","",WEEKNUM(B188,2))</f>
        <v>0</v>
      </c>
      <c r="R188" s="26">
        <f>IF(B188="","",ROUND(IF(F188="",0,F188)+IF(G188="",0,G188),2))</f>
        <v>0</v>
      </c>
      <c r="S188" s="26">
        <f>IF(B188="","",IF(I188&lt;&gt;"Yes",0,ROUND(IF(F188="",0,F188)*IF(J188="Weekly",52/12,IF(J188="Fortnightly",26/12,IF(J188="Four weekly",13/12,IF(J188="Monthly",1,IF(J188="Quarterly",1/3,IF(J188="Twice a year",1/6,IF(J188="Yearly",1/12,0))))))),2)))</f>
        <v>0</v>
      </c>
      <c r="T188" s="38">
        <f>IF(B188="","",IF(I188="Yes","Yes","No"))</f>
        <v>0</v>
      </c>
      <c r="U188" s="25">
        <f>IF(B188="","",IF(L188="Yes","",IF(K188="","",TodayDate-K188)))</f>
        <v>0</v>
      </c>
      <c r="V188" s="39">
        <f>IF(B188="","",IF(L188="Yes","Paid",IF(K188="","Pending",IF(K188&lt;TodayDate,"Overdue",IF(K188&lt;=TodayDate+7,"Due soon","Pending")))))</f>
        <v>0</v>
      </c>
      <c r="W188" s="26">
        <f>IF(B188="","",IFERROR(INDEX(BudgetAmount,MATCH(C188,BudgetCategory,0))*1,0))</f>
        <v>0</v>
      </c>
      <c r="X188" s="25">
        <f>IF(B188="","",COUNTIFS($R$5:$R$604,"&gt;"&amp;R188)+COUNTIFS($R$5:R188,R188))</f>
        <v>0</v>
      </c>
      <c r="Y188" s="39">
        <f>IF(B188="","",IF(F188="","Add - no amount",IF(C188="","Add - no category, it will miss the P&amp;L",IF(V188="Overdue","Overdue - pay it",IF(V188="Due soon","Due - coming up",IF(IF(I188="Yes",J188="",FALSE),"Add - how often does it recur?",IF(L188="Yes","OK","Pending")))))))</f>
        <v>0</v>
      </c>
    </row>
    <row r="189" spans="1:25">
      <c r="A189" s="28">
        <f>IF(B189="","",ExpensePrefix&amp;TEXT(ROW()-4,"0000"))</f>
        <v>0</v>
      </c>
      <c r="P189" s="15">
        <f>IF(B189="","",TEXT(B189,"yyyy-mm"))</f>
        <v>0</v>
      </c>
      <c r="Q189" s="25">
        <f>IF(B189="","",WEEKNUM(B189,2))</f>
        <v>0</v>
      </c>
      <c r="R189" s="26">
        <f>IF(B189="","",ROUND(IF(F189="",0,F189)+IF(G189="",0,G189),2))</f>
        <v>0</v>
      </c>
      <c r="S189" s="26">
        <f>IF(B189="","",IF(I189&lt;&gt;"Yes",0,ROUND(IF(F189="",0,F189)*IF(J189="Weekly",52/12,IF(J189="Fortnightly",26/12,IF(J189="Four weekly",13/12,IF(J189="Monthly",1,IF(J189="Quarterly",1/3,IF(J189="Twice a year",1/6,IF(J189="Yearly",1/12,0))))))),2)))</f>
        <v>0</v>
      </c>
      <c r="T189" s="38">
        <f>IF(B189="","",IF(I189="Yes","Yes","No"))</f>
        <v>0</v>
      </c>
      <c r="U189" s="25">
        <f>IF(B189="","",IF(L189="Yes","",IF(K189="","",TodayDate-K189)))</f>
        <v>0</v>
      </c>
      <c r="V189" s="39">
        <f>IF(B189="","",IF(L189="Yes","Paid",IF(K189="","Pending",IF(K189&lt;TodayDate,"Overdue",IF(K189&lt;=TodayDate+7,"Due soon","Pending")))))</f>
        <v>0</v>
      </c>
      <c r="W189" s="26">
        <f>IF(B189="","",IFERROR(INDEX(BudgetAmount,MATCH(C189,BudgetCategory,0))*1,0))</f>
        <v>0</v>
      </c>
      <c r="X189" s="25">
        <f>IF(B189="","",COUNTIFS($R$5:$R$604,"&gt;"&amp;R189)+COUNTIFS($R$5:R189,R189))</f>
        <v>0</v>
      </c>
      <c r="Y189" s="39">
        <f>IF(B189="","",IF(F189="","Add - no amount",IF(C189="","Add - no category, it will miss the P&amp;L",IF(V189="Overdue","Overdue - pay it",IF(V189="Due soon","Due - coming up",IF(IF(I189="Yes",J189="",FALSE),"Add - how often does it recur?",IF(L189="Yes","OK","Pending")))))))</f>
        <v>0</v>
      </c>
    </row>
    <row r="190" spans="1:25">
      <c r="A190" s="28">
        <f>IF(B190="","",ExpensePrefix&amp;TEXT(ROW()-4,"0000"))</f>
        <v>0</v>
      </c>
      <c r="P190" s="15">
        <f>IF(B190="","",TEXT(B190,"yyyy-mm"))</f>
        <v>0</v>
      </c>
      <c r="Q190" s="25">
        <f>IF(B190="","",WEEKNUM(B190,2))</f>
        <v>0</v>
      </c>
      <c r="R190" s="26">
        <f>IF(B190="","",ROUND(IF(F190="",0,F190)+IF(G190="",0,G190),2))</f>
        <v>0</v>
      </c>
      <c r="S190" s="26">
        <f>IF(B190="","",IF(I190&lt;&gt;"Yes",0,ROUND(IF(F190="",0,F190)*IF(J190="Weekly",52/12,IF(J190="Fortnightly",26/12,IF(J190="Four weekly",13/12,IF(J190="Monthly",1,IF(J190="Quarterly",1/3,IF(J190="Twice a year",1/6,IF(J190="Yearly",1/12,0))))))),2)))</f>
        <v>0</v>
      </c>
      <c r="T190" s="38">
        <f>IF(B190="","",IF(I190="Yes","Yes","No"))</f>
        <v>0</v>
      </c>
      <c r="U190" s="25">
        <f>IF(B190="","",IF(L190="Yes","",IF(K190="","",TodayDate-K190)))</f>
        <v>0</v>
      </c>
      <c r="V190" s="39">
        <f>IF(B190="","",IF(L190="Yes","Paid",IF(K190="","Pending",IF(K190&lt;TodayDate,"Overdue",IF(K190&lt;=TodayDate+7,"Due soon","Pending")))))</f>
        <v>0</v>
      </c>
      <c r="W190" s="26">
        <f>IF(B190="","",IFERROR(INDEX(BudgetAmount,MATCH(C190,BudgetCategory,0))*1,0))</f>
        <v>0</v>
      </c>
      <c r="X190" s="25">
        <f>IF(B190="","",COUNTIFS($R$5:$R$604,"&gt;"&amp;R190)+COUNTIFS($R$5:R190,R190))</f>
        <v>0</v>
      </c>
      <c r="Y190" s="39">
        <f>IF(B190="","",IF(F190="","Add - no amount",IF(C190="","Add - no category, it will miss the P&amp;L",IF(V190="Overdue","Overdue - pay it",IF(V190="Due soon","Due - coming up",IF(IF(I190="Yes",J190="",FALSE),"Add - how often does it recur?",IF(L190="Yes","OK","Pending")))))))</f>
        <v>0</v>
      </c>
    </row>
    <row r="191" spans="1:25">
      <c r="A191" s="28">
        <f>IF(B191="","",ExpensePrefix&amp;TEXT(ROW()-4,"0000"))</f>
        <v>0</v>
      </c>
      <c r="P191" s="15">
        <f>IF(B191="","",TEXT(B191,"yyyy-mm"))</f>
        <v>0</v>
      </c>
      <c r="Q191" s="25">
        <f>IF(B191="","",WEEKNUM(B191,2))</f>
        <v>0</v>
      </c>
      <c r="R191" s="26">
        <f>IF(B191="","",ROUND(IF(F191="",0,F191)+IF(G191="",0,G191),2))</f>
        <v>0</v>
      </c>
      <c r="S191" s="26">
        <f>IF(B191="","",IF(I191&lt;&gt;"Yes",0,ROUND(IF(F191="",0,F191)*IF(J191="Weekly",52/12,IF(J191="Fortnightly",26/12,IF(J191="Four weekly",13/12,IF(J191="Monthly",1,IF(J191="Quarterly",1/3,IF(J191="Twice a year",1/6,IF(J191="Yearly",1/12,0))))))),2)))</f>
        <v>0</v>
      </c>
      <c r="T191" s="38">
        <f>IF(B191="","",IF(I191="Yes","Yes","No"))</f>
        <v>0</v>
      </c>
      <c r="U191" s="25">
        <f>IF(B191="","",IF(L191="Yes","",IF(K191="","",TodayDate-K191)))</f>
        <v>0</v>
      </c>
      <c r="V191" s="39">
        <f>IF(B191="","",IF(L191="Yes","Paid",IF(K191="","Pending",IF(K191&lt;TodayDate,"Overdue",IF(K191&lt;=TodayDate+7,"Due soon","Pending")))))</f>
        <v>0</v>
      </c>
      <c r="W191" s="26">
        <f>IF(B191="","",IFERROR(INDEX(BudgetAmount,MATCH(C191,BudgetCategory,0))*1,0))</f>
        <v>0</v>
      </c>
      <c r="X191" s="25">
        <f>IF(B191="","",COUNTIFS($R$5:$R$604,"&gt;"&amp;R191)+COUNTIFS($R$5:R191,R191))</f>
        <v>0</v>
      </c>
      <c r="Y191" s="39">
        <f>IF(B191="","",IF(F191="","Add - no amount",IF(C191="","Add - no category, it will miss the P&amp;L",IF(V191="Overdue","Overdue - pay it",IF(V191="Due soon","Due - coming up",IF(IF(I191="Yes",J191="",FALSE),"Add - how often does it recur?",IF(L191="Yes","OK","Pending")))))))</f>
        <v>0</v>
      </c>
    </row>
    <row r="192" spans="1:25">
      <c r="A192" s="28">
        <f>IF(B192="","",ExpensePrefix&amp;TEXT(ROW()-4,"0000"))</f>
        <v>0</v>
      </c>
      <c r="P192" s="15">
        <f>IF(B192="","",TEXT(B192,"yyyy-mm"))</f>
        <v>0</v>
      </c>
      <c r="Q192" s="25">
        <f>IF(B192="","",WEEKNUM(B192,2))</f>
        <v>0</v>
      </c>
      <c r="R192" s="26">
        <f>IF(B192="","",ROUND(IF(F192="",0,F192)+IF(G192="",0,G192),2))</f>
        <v>0</v>
      </c>
      <c r="S192" s="26">
        <f>IF(B192="","",IF(I192&lt;&gt;"Yes",0,ROUND(IF(F192="",0,F192)*IF(J192="Weekly",52/12,IF(J192="Fortnightly",26/12,IF(J192="Four weekly",13/12,IF(J192="Monthly",1,IF(J192="Quarterly",1/3,IF(J192="Twice a year",1/6,IF(J192="Yearly",1/12,0))))))),2)))</f>
        <v>0</v>
      </c>
      <c r="T192" s="38">
        <f>IF(B192="","",IF(I192="Yes","Yes","No"))</f>
        <v>0</v>
      </c>
      <c r="U192" s="25">
        <f>IF(B192="","",IF(L192="Yes","",IF(K192="","",TodayDate-K192)))</f>
        <v>0</v>
      </c>
      <c r="V192" s="39">
        <f>IF(B192="","",IF(L192="Yes","Paid",IF(K192="","Pending",IF(K192&lt;TodayDate,"Overdue",IF(K192&lt;=TodayDate+7,"Due soon","Pending")))))</f>
        <v>0</v>
      </c>
      <c r="W192" s="26">
        <f>IF(B192="","",IFERROR(INDEX(BudgetAmount,MATCH(C192,BudgetCategory,0))*1,0))</f>
        <v>0</v>
      </c>
      <c r="X192" s="25">
        <f>IF(B192="","",COUNTIFS($R$5:$R$604,"&gt;"&amp;R192)+COUNTIFS($R$5:R192,R192))</f>
        <v>0</v>
      </c>
      <c r="Y192" s="39">
        <f>IF(B192="","",IF(F192="","Add - no amount",IF(C192="","Add - no category, it will miss the P&amp;L",IF(V192="Overdue","Overdue - pay it",IF(V192="Due soon","Due - coming up",IF(IF(I192="Yes",J192="",FALSE),"Add - how often does it recur?",IF(L192="Yes","OK","Pending")))))))</f>
        <v>0</v>
      </c>
    </row>
    <row r="193" spans="1:25">
      <c r="A193" s="28">
        <f>IF(B193="","",ExpensePrefix&amp;TEXT(ROW()-4,"0000"))</f>
        <v>0</v>
      </c>
      <c r="P193" s="15">
        <f>IF(B193="","",TEXT(B193,"yyyy-mm"))</f>
        <v>0</v>
      </c>
      <c r="Q193" s="25">
        <f>IF(B193="","",WEEKNUM(B193,2))</f>
        <v>0</v>
      </c>
      <c r="R193" s="26">
        <f>IF(B193="","",ROUND(IF(F193="",0,F193)+IF(G193="",0,G193),2))</f>
        <v>0</v>
      </c>
      <c r="S193" s="26">
        <f>IF(B193="","",IF(I193&lt;&gt;"Yes",0,ROUND(IF(F193="",0,F193)*IF(J193="Weekly",52/12,IF(J193="Fortnightly",26/12,IF(J193="Four weekly",13/12,IF(J193="Monthly",1,IF(J193="Quarterly",1/3,IF(J193="Twice a year",1/6,IF(J193="Yearly",1/12,0))))))),2)))</f>
        <v>0</v>
      </c>
      <c r="T193" s="38">
        <f>IF(B193="","",IF(I193="Yes","Yes","No"))</f>
        <v>0</v>
      </c>
      <c r="U193" s="25">
        <f>IF(B193="","",IF(L193="Yes","",IF(K193="","",TodayDate-K193)))</f>
        <v>0</v>
      </c>
      <c r="V193" s="39">
        <f>IF(B193="","",IF(L193="Yes","Paid",IF(K193="","Pending",IF(K193&lt;TodayDate,"Overdue",IF(K193&lt;=TodayDate+7,"Due soon","Pending")))))</f>
        <v>0</v>
      </c>
      <c r="W193" s="26">
        <f>IF(B193="","",IFERROR(INDEX(BudgetAmount,MATCH(C193,BudgetCategory,0))*1,0))</f>
        <v>0</v>
      </c>
      <c r="X193" s="25">
        <f>IF(B193="","",COUNTIFS($R$5:$R$604,"&gt;"&amp;R193)+COUNTIFS($R$5:R193,R193))</f>
        <v>0</v>
      </c>
      <c r="Y193" s="39">
        <f>IF(B193="","",IF(F193="","Add - no amount",IF(C193="","Add - no category, it will miss the P&amp;L",IF(V193="Overdue","Overdue - pay it",IF(V193="Due soon","Due - coming up",IF(IF(I193="Yes",J193="",FALSE),"Add - how often does it recur?",IF(L193="Yes","OK","Pending")))))))</f>
        <v>0</v>
      </c>
    </row>
    <row r="194" spans="1:25">
      <c r="A194" s="28">
        <f>IF(B194="","",ExpensePrefix&amp;TEXT(ROW()-4,"0000"))</f>
        <v>0</v>
      </c>
      <c r="P194" s="15">
        <f>IF(B194="","",TEXT(B194,"yyyy-mm"))</f>
        <v>0</v>
      </c>
      <c r="Q194" s="25">
        <f>IF(B194="","",WEEKNUM(B194,2))</f>
        <v>0</v>
      </c>
      <c r="R194" s="26">
        <f>IF(B194="","",ROUND(IF(F194="",0,F194)+IF(G194="",0,G194),2))</f>
        <v>0</v>
      </c>
      <c r="S194" s="26">
        <f>IF(B194="","",IF(I194&lt;&gt;"Yes",0,ROUND(IF(F194="",0,F194)*IF(J194="Weekly",52/12,IF(J194="Fortnightly",26/12,IF(J194="Four weekly",13/12,IF(J194="Monthly",1,IF(J194="Quarterly",1/3,IF(J194="Twice a year",1/6,IF(J194="Yearly",1/12,0))))))),2)))</f>
        <v>0</v>
      </c>
      <c r="T194" s="38">
        <f>IF(B194="","",IF(I194="Yes","Yes","No"))</f>
        <v>0</v>
      </c>
      <c r="U194" s="25">
        <f>IF(B194="","",IF(L194="Yes","",IF(K194="","",TodayDate-K194)))</f>
        <v>0</v>
      </c>
      <c r="V194" s="39">
        <f>IF(B194="","",IF(L194="Yes","Paid",IF(K194="","Pending",IF(K194&lt;TodayDate,"Overdue",IF(K194&lt;=TodayDate+7,"Due soon","Pending")))))</f>
        <v>0</v>
      </c>
      <c r="W194" s="26">
        <f>IF(B194="","",IFERROR(INDEX(BudgetAmount,MATCH(C194,BudgetCategory,0))*1,0))</f>
        <v>0</v>
      </c>
      <c r="X194" s="25">
        <f>IF(B194="","",COUNTIFS($R$5:$R$604,"&gt;"&amp;R194)+COUNTIFS($R$5:R194,R194))</f>
        <v>0</v>
      </c>
      <c r="Y194" s="39">
        <f>IF(B194="","",IF(F194="","Add - no amount",IF(C194="","Add - no category, it will miss the P&amp;L",IF(V194="Overdue","Overdue - pay it",IF(V194="Due soon","Due - coming up",IF(IF(I194="Yes",J194="",FALSE),"Add - how often does it recur?",IF(L194="Yes","OK","Pending")))))))</f>
        <v>0</v>
      </c>
    </row>
    <row r="195" spans="1:25">
      <c r="A195" s="28">
        <f>IF(B195="","",ExpensePrefix&amp;TEXT(ROW()-4,"0000"))</f>
        <v>0</v>
      </c>
      <c r="P195" s="15">
        <f>IF(B195="","",TEXT(B195,"yyyy-mm"))</f>
        <v>0</v>
      </c>
      <c r="Q195" s="25">
        <f>IF(B195="","",WEEKNUM(B195,2))</f>
        <v>0</v>
      </c>
      <c r="R195" s="26">
        <f>IF(B195="","",ROUND(IF(F195="",0,F195)+IF(G195="",0,G195),2))</f>
        <v>0</v>
      </c>
      <c r="S195" s="26">
        <f>IF(B195="","",IF(I195&lt;&gt;"Yes",0,ROUND(IF(F195="",0,F195)*IF(J195="Weekly",52/12,IF(J195="Fortnightly",26/12,IF(J195="Four weekly",13/12,IF(J195="Monthly",1,IF(J195="Quarterly",1/3,IF(J195="Twice a year",1/6,IF(J195="Yearly",1/12,0))))))),2)))</f>
        <v>0</v>
      </c>
      <c r="T195" s="38">
        <f>IF(B195="","",IF(I195="Yes","Yes","No"))</f>
        <v>0</v>
      </c>
      <c r="U195" s="25">
        <f>IF(B195="","",IF(L195="Yes","",IF(K195="","",TodayDate-K195)))</f>
        <v>0</v>
      </c>
      <c r="V195" s="39">
        <f>IF(B195="","",IF(L195="Yes","Paid",IF(K195="","Pending",IF(K195&lt;TodayDate,"Overdue",IF(K195&lt;=TodayDate+7,"Due soon","Pending")))))</f>
        <v>0</v>
      </c>
      <c r="W195" s="26">
        <f>IF(B195="","",IFERROR(INDEX(BudgetAmount,MATCH(C195,BudgetCategory,0))*1,0))</f>
        <v>0</v>
      </c>
      <c r="X195" s="25">
        <f>IF(B195="","",COUNTIFS($R$5:$R$604,"&gt;"&amp;R195)+COUNTIFS($R$5:R195,R195))</f>
        <v>0</v>
      </c>
      <c r="Y195" s="39">
        <f>IF(B195="","",IF(F195="","Add - no amount",IF(C195="","Add - no category, it will miss the P&amp;L",IF(V195="Overdue","Overdue - pay it",IF(V195="Due soon","Due - coming up",IF(IF(I195="Yes",J195="",FALSE),"Add - how often does it recur?",IF(L195="Yes","OK","Pending")))))))</f>
        <v>0</v>
      </c>
    </row>
    <row r="196" spans="1:25">
      <c r="A196" s="28">
        <f>IF(B196="","",ExpensePrefix&amp;TEXT(ROW()-4,"0000"))</f>
        <v>0</v>
      </c>
      <c r="P196" s="15">
        <f>IF(B196="","",TEXT(B196,"yyyy-mm"))</f>
        <v>0</v>
      </c>
      <c r="Q196" s="25">
        <f>IF(B196="","",WEEKNUM(B196,2))</f>
        <v>0</v>
      </c>
      <c r="R196" s="26">
        <f>IF(B196="","",ROUND(IF(F196="",0,F196)+IF(G196="",0,G196),2))</f>
        <v>0</v>
      </c>
      <c r="S196" s="26">
        <f>IF(B196="","",IF(I196&lt;&gt;"Yes",0,ROUND(IF(F196="",0,F196)*IF(J196="Weekly",52/12,IF(J196="Fortnightly",26/12,IF(J196="Four weekly",13/12,IF(J196="Monthly",1,IF(J196="Quarterly",1/3,IF(J196="Twice a year",1/6,IF(J196="Yearly",1/12,0))))))),2)))</f>
        <v>0</v>
      </c>
      <c r="T196" s="38">
        <f>IF(B196="","",IF(I196="Yes","Yes","No"))</f>
        <v>0</v>
      </c>
      <c r="U196" s="25">
        <f>IF(B196="","",IF(L196="Yes","",IF(K196="","",TodayDate-K196)))</f>
        <v>0</v>
      </c>
      <c r="V196" s="39">
        <f>IF(B196="","",IF(L196="Yes","Paid",IF(K196="","Pending",IF(K196&lt;TodayDate,"Overdue",IF(K196&lt;=TodayDate+7,"Due soon","Pending")))))</f>
        <v>0</v>
      </c>
      <c r="W196" s="26">
        <f>IF(B196="","",IFERROR(INDEX(BudgetAmount,MATCH(C196,BudgetCategory,0))*1,0))</f>
        <v>0</v>
      </c>
      <c r="X196" s="25">
        <f>IF(B196="","",COUNTIFS($R$5:$R$604,"&gt;"&amp;R196)+COUNTIFS($R$5:R196,R196))</f>
        <v>0</v>
      </c>
      <c r="Y196" s="39">
        <f>IF(B196="","",IF(F196="","Add - no amount",IF(C196="","Add - no category, it will miss the P&amp;L",IF(V196="Overdue","Overdue - pay it",IF(V196="Due soon","Due - coming up",IF(IF(I196="Yes",J196="",FALSE),"Add - how often does it recur?",IF(L196="Yes","OK","Pending")))))))</f>
        <v>0</v>
      </c>
    </row>
    <row r="197" spans="1:25">
      <c r="A197" s="28">
        <f>IF(B197="","",ExpensePrefix&amp;TEXT(ROW()-4,"0000"))</f>
        <v>0</v>
      </c>
      <c r="P197" s="15">
        <f>IF(B197="","",TEXT(B197,"yyyy-mm"))</f>
        <v>0</v>
      </c>
      <c r="Q197" s="25">
        <f>IF(B197="","",WEEKNUM(B197,2))</f>
        <v>0</v>
      </c>
      <c r="R197" s="26">
        <f>IF(B197="","",ROUND(IF(F197="",0,F197)+IF(G197="",0,G197),2))</f>
        <v>0</v>
      </c>
      <c r="S197" s="26">
        <f>IF(B197="","",IF(I197&lt;&gt;"Yes",0,ROUND(IF(F197="",0,F197)*IF(J197="Weekly",52/12,IF(J197="Fortnightly",26/12,IF(J197="Four weekly",13/12,IF(J197="Monthly",1,IF(J197="Quarterly",1/3,IF(J197="Twice a year",1/6,IF(J197="Yearly",1/12,0))))))),2)))</f>
        <v>0</v>
      </c>
      <c r="T197" s="38">
        <f>IF(B197="","",IF(I197="Yes","Yes","No"))</f>
        <v>0</v>
      </c>
      <c r="U197" s="25">
        <f>IF(B197="","",IF(L197="Yes","",IF(K197="","",TodayDate-K197)))</f>
        <v>0</v>
      </c>
      <c r="V197" s="39">
        <f>IF(B197="","",IF(L197="Yes","Paid",IF(K197="","Pending",IF(K197&lt;TodayDate,"Overdue",IF(K197&lt;=TodayDate+7,"Due soon","Pending")))))</f>
        <v>0</v>
      </c>
      <c r="W197" s="26">
        <f>IF(B197="","",IFERROR(INDEX(BudgetAmount,MATCH(C197,BudgetCategory,0))*1,0))</f>
        <v>0</v>
      </c>
      <c r="X197" s="25">
        <f>IF(B197="","",COUNTIFS($R$5:$R$604,"&gt;"&amp;R197)+COUNTIFS($R$5:R197,R197))</f>
        <v>0</v>
      </c>
      <c r="Y197" s="39">
        <f>IF(B197="","",IF(F197="","Add - no amount",IF(C197="","Add - no category, it will miss the P&amp;L",IF(V197="Overdue","Overdue - pay it",IF(V197="Due soon","Due - coming up",IF(IF(I197="Yes",J197="",FALSE),"Add - how often does it recur?",IF(L197="Yes","OK","Pending")))))))</f>
        <v>0</v>
      </c>
    </row>
    <row r="198" spans="1:25">
      <c r="A198" s="28">
        <f>IF(B198="","",ExpensePrefix&amp;TEXT(ROW()-4,"0000"))</f>
        <v>0</v>
      </c>
      <c r="P198" s="15">
        <f>IF(B198="","",TEXT(B198,"yyyy-mm"))</f>
        <v>0</v>
      </c>
      <c r="Q198" s="25">
        <f>IF(B198="","",WEEKNUM(B198,2))</f>
        <v>0</v>
      </c>
      <c r="R198" s="26">
        <f>IF(B198="","",ROUND(IF(F198="",0,F198)+IF(G198="",0,G198),2))</f>
        <v>0</v>
      </c>
      <c r="S198" s="26">
        <f>IF(B198="","",IF(I198&lt;&gt;"Yes",0,ROUND(IF(F198="",0,F198)*IF(J198="Weekly",52/12,IF(J198="Fortnightly",26/12,IF(J198="Four weekly",13/12,IF(J198="Monthly",1,IF(J198="Quarterly",1/3,IF(J198="Twice a year",1/6,IF(J198="Yearly",1/12,0))))))),2)))</f>
        <v>0</v>
      </c>
      <c r="T198" s="38">
        <f>IF(B198="","",IF(I198="Yes","Yes","No"))</f>
        <v>0</v>
      </c>
      <c r="U198" s="25">
        <f>IF(B198="","",IF(L198="Yes","",IF(K198="","",TodayDate-K198)))</f>
        <v>0</v>
      </c>
      <c r="V198" s="39">
        <f>IF(B198="","",IF(L198="Yes","Paid",IF(K198="","Pending",IF(K198&lt;TodayDate,"Overdue",IF(K198&lt;=TodayDate+7,"Due soon","Pending")))))</f>
        <v>0</v>
      </c>
      <c r="W198" s="26">
        <f>IF(B198="","",IFERROR(INDEX(BudgetAmount,MATCH(C198,BudgetCategory,0))*1,0))</f>
        <v>0</v>
      </c>
      <c r="X198" s="25">
        <f>IF(B198="","",COUNTIFS($R$5:$R$604,"&gt;"&amp;R198)+COUNTIFS($R$5:R198,R198))</f>
        <v>0</v>
      </c>
      <c r="Y198" s="39">
        <f>IF(B198="","",IF(F198="","Add - no amount",IF(C198="","Add - no category, it will miss the P&amp;L",IF(V198="Overdue","Overdue - pay it",IF(V198="Due soon","Due - coming up",IF(IF(I198="Yes",J198="",FALSE),"Add - how often does it recur?",IF(L198="Yes","OK","Pending")))))))</f>
        <v>0</v>
      </c>
    </row>
    <row r="199" spans="1:25">
      <c r="A199" s="28">
        <f>IF(B199="","",ExpensePrefix&amp;TEXT(ROW()-4,"0000"))</f>
        <v>0</v>
      </c>
      <c r="P199" s="15">
        <f>IF(B199="","",TEXT(B199,"yyyy-mm"))</f>
        <v>0</v>
      </c>
      <c r="Q199" s="25">
        <f>IF(B199="","",WEEKNUM(B199,2))</f>
        <v>0</v>
      </c>
      <c r="R199" s="26">
        <f>IF(B199="","",ROUND(IF(F199="",0,F199)+IF(G199="",0,G199),2))</f>
        <v>0</v>
      </c>
      <c r="S199" s="26">
        <f>IF(B199="","",IF(I199&lt;&gt;"Yes",0,ROUND(IF(F199="",0,F199)*IF(J199="Weekly",52/12,IF(J199="Fortnightly",26/12,IF(J199="Four weekly",13/12,IF(J199="Monthly",1,IF(J199="Quarterly",1/3,IF(J199="Twice a year",1/6,IF(J199="Yearly",1/12,0))))))),2)))</f>
        <v>0</v>
      </c>
      <c r="T199" s="38">
        <f>IF(B199="","",IF(I199="Yes","Yes","No"))</f>
        <v>0</v>
      </c>
      <c r="U199" s="25">
        <f>IF(B199="","",IF(L199="Yes","",IF(K199="","",TodayDate-K199)))</f>
        <v>0</v>
      </c>
      <c r="V199" s="39">
        <f>IF(B199="","",IF(L199="Yes","Paid",IF(K199="","Pending",IF(K199&lt;TodayDate,"Overdue",IF(K199&lt;=TodayDate+7,"Due soon","Pending")))))</f>
        <v>0</v>
      </c>
      <c r="W199" s="26">
        <f>IF(B199="","",IFERROR(INDEX(BudgetAmount,MATCH(C199,BudgetCategory,0))*1,0))</f>
        <v>0</v>
      </c>
      <c r="X199" s="25">
        <f>IF(B199="","",COUNTIFS($R$5:$R$604,"&gt;"&amp;R199)+COUNTIFS($R$5:R199,R199))</f>
        <v>0</v>
      </c>
      <c r="Y199" s="39">
        <f>IF(B199="","",IF(F199="","Add - no amount",IF(C199="","Add - no category, it will miss the P&amp;L",IF(V199="Overdue","Overdue - pay it",IF(V199="Due soon","Due - coming up",IF(IF(I199="Yes",J199="",FALSE),"Add - how often does it recur?",IF(L199="Yes","OK","Pending")))))))</f>
        <v>0</v>
      </c>
    </row>
    <row r="200" spans="1:25">
      <c r="A200" s="28">
        <f>IF(B200="","",ExpensePrefix&amp;TEXT(ROW()-4,"0000"))</f>
        <v>0</v>
      </c>
      <c r="P200" s="15">
        <f>IF(B200="","",TEXT(B200,"yyyy-mm"))</f>
        <v>0</v>
      </c>
      <c r="Q200" s="25">
        <f>IF(B200="","",WEEKNUM(B200,2))</f>
        <v>0</v>
      </c>
      <c r="R200" s="26">
        <f>IF(B200="","",ROUND(IF(F200="",0,F200)+IF(G200="",0,G200),2))</f>
        <v>0</v>
      </c>
      <c r="S200" s="26">
        <f>IF(B200="","",IF(I200&lt;&gt;"Yes",0,ROUND(IF(F200="",0,F200)*IF(J200="Weekly",52/12,IF(J200="Fortnightly",26/12,IF(J200="Four weekly",13/12,IF(J200="Monthly",1,IF(J200="Quarterly",1/3,IF(J200="Twice a year",1/6,IF(J200="Yearly",1/12,0))))))),2)))</f>
        <v>0</v>
      </c>
      <c r="T200" s="38">
        <f>IF(B200="","",IF(I200="Yes","Yes","No"))</f>
        <v>0</v>
      </c>
      <c r="U200" s="25">
        <f>IF(B200="","",IF(L200="Yes","",IF(K200="","",TodayDate-K200)))</f>
        <v>0</v>
      </c>
      <c r="V200" s="39">
        <f>IF(B200="","",IF(L200="Yes","Paid",IF(K200="","Pending",IF(K200&lt;TodayDate,"Overdue",IF(K200&lt;=TodayDate+7,"Due soon","Pending")))))</f>
        <v>0</v>
      </c>
      <c r="W200" s="26">
        <f>IF(B200="","",IFERROR(INDEX(BudgetAmount,MATCH(C200,BudgetCategory,0))*1,0))</f>
        <v>0</v>
      </c>
      <c r="X200" s="25">
        <f>IF(B200="","",COUNTIFS($R$5:$R$604,"&gt;"&amp;R200)+COUNTIFS($R$5:R200,R200))</f>
        <v>0</v>
      </c>
      <c r="Y200" s="39">
        <f>IF(B200="","",IF(F200="","Add - no amount",IF(C200="","Add - no category, it will miss the P&amp;L",IF(V200="Overdue","Overdue - pay it",IF(V200="Due soon","Due - coming up",IF(IF(I200="Yes",J200="",FALSE),"Add - how often does it recur?",IF(L200="Yes","OK","Pending")))))))</f>
        <v>0</v>
      </c>
    </row>
    <row r="201" spans="1:25">
      <c r="A201" s="28">
        <f>IF(B201="","",ExpensePrefix&amp;TEXT(ROW()-4,"0000"))</f>
        <v>0</v>
      </c>
      <c r="P201" s="15">
        <f>IF(B201="","",TEXT(B201,"yyyy-mm"))</f>
        <v>0</v>
      </c>
      <c r="Q201" s="25">
        <f>IF(B201="","",WEEKNUM(B201,2))</f>
        <v>0</v>
      </c>
      <c r="R201" s="26">
        <f>IF(B201="","",ROUND(IF(F201="",0,F201)+IF(G201="",0,G201),2))</f>
        <v>0</v>
      </c>
      <c r="S201" s="26">
        <f>IF(B201="","",IF(I201&lt;&gt;"Yes",0,ROUND(IF(F201="",0,F201)*IF(J201="Weekly",52/12,IF(J201="Fortnightly",26/12,IF(J201="Four weekly",13/12,IF(J201="Monthly",1,IF(J201="Quarterly",1/3,IF(J201="Twice a year",1/6,IF(J201="Yearly",1/12,0))))))),2)))</f>
        <v>0</v>
      </c>
      <c r="T201" s="38">
        <f>IF(B201="","",IF(I201="Yes","Yes","No"))</f>
        <v>0</v>
      </c>
      <c r="U201" s="25">
        <f>IF(B201="","",IF(L201="Yes","",IF(K201="","",TodayDate-K201)))</f>
        <v>0</v>
      </c>
      <c r="V201" s="39">
        <f>IF(B201="","",IF(L201="Yes","Paid",IF(K201="","Pending",IF(K201&lt;TodayDate,"Overdue",IF(K201&lt;=TodayDate+7,"Due soon","Pending")))))</f>
        <v>0</v>
      </c>
      <c r="W201" s="26">
        <f>IF(B201="","",IFERROR(INDEX(BudgetAmount,MATCH(C201,BudgetCategory,0))*1,0))</f>
        <v>0</v>
      </c>
      <c r="X201" s="25">
        <f>IF(B201="","",COUNTIFS($R$5:$R$604,"&gt;"&amp;R201)+COUNTIFS($R$5:R201,R201))</f>
        <v>0</v>
      </c>
      <c r="Y201" s="39">
        <f>IF(B201="","",IF(F201="","Add - no amount",IF(C201="","Add - no category, it will miss the P&amp;L",IF(V201="Overdue","Overdue - pay it",IF(V201="Due soon","Due - coming up",IF(IF(I201="Yes",J201="",FALSE),"Add - how often does it recur?",IF(L201="Yes","OK","Pending")))))))</f>
        <v>0</v>
      </c>
    </row>
    <row r="202" spans="1:25">
      <c r="A202" s="28">
        <f>IF(B202="","",ExpensePrefix&amp;TEXT(ROW()-4,"0000"))</f>
        <v>0</v>
      </c>
      <c r="P202" s="15">
        <f>IF(B202="","",TEXT(B202,"yyyy-mm"))</f>
        <v>0</v>
      </c>
      <c r="Q202" s="25">
        <f>IF(B202="","",WEEKNUM(B202,2))</f>
        <v>0</v>
      </c>
      <c r="R202" s="26">
        <f>IF(B202="","",ROUND(IF(F202="",0,F202)+IF(G202="",0,G202),2))</f>
        <v>0</v>
      </c>
      <c r="S202" s="26">
        <f>IF(B202="","",IF(I202&lt;&gt;"Yes",0,ROUND(IF(F202="",0,F202)*IF(J202="Weekly",52/12,IF(J202="Fortnightly",26/12,IF(J202="Four weekly",13/12,IF(J202="Monthly",1,IF(J202="Quarterly",1/3,IF(J202="Twice a year",1/6,IF(J202="Yearly",1/12,0))))))),2)))</f>
        <v>0</v>
      </c>
      <c r="T202" s="38">
        <f>IF(B202="","",IF(I202="Yes","Yes","No"))</f>
        <v>0</v>
      </c>
      <c r="U202" s="25">
        <f>IF(B202="","",IF(L202="Yes","",IF(K202="","",TodayDate-K202)))</f>
        <v>0</v>
      </c>
      <c r="V202" s="39">
        <f>IF(B202="","",IF(L202="Yes","Paid",IF(K202="","Pending",IF(K202&lt;TodayDate,"Overdue",IF(K202&lt;=TodayDate+7,"Due soon","Pending")))))</f>
        <v>0</v>
      </c>
      <c r="W202" s="26">
        <f>IF(B202="","",IFERROR(INDEX(BudgetAmount,MATCH(C202,BudgetCategory,0))*1,0))</f>
        <v>0</v>
      </c>
      <c r="X202" s="25">
        <f>IF(B202="","",COUNTIFS($R$5:$R$604,"&gt;"&amp;R202)+COUNTIFS($R$5:R202,R202))</f>
        <v>0</v>
      </c>
      <c r="Y202" s="39">
        <f>IF(B202="","",IF(F202="","Add - no amount",IF(C202="","Add - no category, it will miss the P&amp;L",IF(V202="Overdue","Overdue - pay it",IF(V202="Due soon","Due - coming up",IF(IF(I202="Yes",J202="",FALSE),"Add - how often does it recur?",IF(L202="Yes","OK","Pending")))))))</f>
        <v>0</v>
      </c>
    </row>
    <row r="203" spans="1:25">
      <c r="A203" s="28">
        <f>IF(B203="","",ExpensePrefix&amp;TEXT(ROW()-4,"0000"))</f>
        <v>0</v>
      </c>
      <c r="P203" s="15">
        <f>IF(B203="","",TEXT(B203,"yyyy-mm"))</f>
        <v>0</v>
      </c>
      <c r="Q203" s="25">
        <f>IF(B203="","",WEEKNUM(B203,2))</f>
        <v>0</v>
      </c>
      <c r="R203" s="26">
        <f>IF(B203="","",ROUND(IF(F203="",0,F203)+IF(G203="",0,G203),2))</f>
        <v>0</v>
      </c>
      <c r="S203" s="26">
        <f>IF(B203="","",IF(I203&lt;&gt;"Yes",0,ROUND(IF(F203="",0,F203)*IF(J203="Weekly",52/12,IF(J203="Fortnightly",26/12,IF(J203="Four weekly",13/12,IF(J203="Monthly",1,IF(J203="Quarterly",1/3,IF(J203="Twice a year",1/6,IF(J203="Yearly",1/12,0))))))),2)))</f>
        <v>0</v>
      </c>
      <c r="T203" s="38">
        <f>IF(B203="","",IF(I203="Yes","Yes","No"))</f>
        <v>0</v>
      </c>
      <c r="U203" s="25">
        <f>IF(B203="","",IF(L203="Yes","",IF(K203="","",TodayDate-K203)))</f>
        <v>0</v>
      </c>
      <c r="V203" s="39">
        <f>IF(B203="","",IF(L203="Yes","Paid",IF(K203="","Pending",IF(K203&lt;TodayDate,"Overdue",IF(K203&lt;=TodayDate+7,"Due soon","Pending")))))</f>
        <v>0</v>
      </c>
      <c r="W203" s="26">
        <f>IF(B203="","",IFERROR(INDEX(BudgetAmount,MATCH(C203,BudgetCategory,0))*1,0))</f>
        <v>0</v>
      </c>
      <c r="X203" s="25">
        <f>IF(B203="","",COUNTIFS($R$5:$R$604,"&gt;"&amp;R203)+COUNTIFS($R$5:R203,R203))</f>
        <v>0</v>
      </c>
      <c r="Y203" s="39">
        <f>IF(B203="","",IF(F203="","Add - no amount",IF(C203="","Add - no category, it will miss the P&amp;L",IF(V203="Overdue","Overdue - pay it",IF(V203="Due soon","Due - coming up",IF(IF(I203="Yes",J203="",FALSE),"Add - how often does it recur?",IF(L203="Yes","OK","Pending")))))))</f>
        <v>0</v>
      </c>
    </row>
    <row r="204" spans="1:25">
      <c r="A204" s="28">
        <f>IF(B204="","",ExpensePrefix&amp;TEXT(ROW()-4,"0000"))</f>
        <v>0</v>
      </c>
      <c r="P204" s="15">
        <f>IF(B204="","",TEXT(B204,"yyyy-mm"))</f>
        <v>0</v>
      </c>
      <c r="Q204" s="25">
        <f>IF(B204="","",WEEKNUM(B204,2))</f>
        <v>0</v>
      </c>
      <c r="R204" s="26">
        <f>IF(B204="","",ROUND(IF(F204="",0,F204)+IF(G204="",0,G204),2))</f>
        <v>0</v>
      </c>
      <c r="S204" s="26">
        <f>IF(B204="","",IF(I204&lt;&gt;"Yes",0,ROUND(IF(F204="",0,F204)*IF(J204="Weekly",52/12,IF(J204="Fortnightly",26/12,IF(J204="Four weekly",13/12,IF(J204="Monthly",1,IF(J204="Quarterly",1/3,IF(J204="Twice a year",1/6,IF(J204="Yearly",1/12,0))))))),2)))</f>
        <v>0</v>
      </c>
      <c r="T204" s="38">
        <f>IF(B204="","",IF(I204="Yes","Yes","No"))</f>
        <v>0</v>
      </c>
      <c r="U204" s="25">
        <f>IF(B204="","",IF(L204="Yes","",IF(K204="","",TodayDate-K204)))</f>
        <v>0</v>
      </c>
      <c r="V204" s="39">
        <f>IF(B204="","",IF(L204="Yes","Paid",IF(K204="","Pending",IF(K204&lt;TodayDate,"Overdue",IF(K204&lt;=TodayDate+7,"Due soon","Pending")))))</f>
        <v>0</v>
      </c>
      <c r="W204" s="26">
        <f>IF(B204="","",IFERROR(INDEX(BudgetAmount,MATCH(C204,BudgetCategory,0))*1,0))</f>
        <v>0</v>
      </c>
      <c r="X204" s="25">
        <f>IF(B204="","",COUNTIFS($R$5:$R$604,"&gt;"&amp;R204)+COUNTIFS($R$5:R204,R204))</f>
        <v>0</v>
      </c>
      <c r="Y204" s="39">
        <f>IF(B204="","",IF(F204="","Add - no amount",IF(C204="","Add - no category, it will miss the P&amp;L",IF(V204="Overdue","Overdue - pay it",IF(V204="Due soon","Due - coming up",IF(IF(I204="Yes",J204="",FALSE),"Add - how often does it recur?",IF(L204="Yes","OK","Pending")))))))</f>
        <v>0</v>
      </c>
    </row>
    <row r="205" spans="1:25">
      <c r="A205" s="28">
        <f>IF(B205="","",ExpensePrefix&amp;TEXT(ROW()-4,"0000"))</f>
        <v>0</v>
      </c>
      <c r="P205" s="15">
        <f>IF(B205="","",TEXT(B205,"yyyy-mm"))</f>
        <v>0</v>
      </c>
      <c r="Q205" s="25">
        <f>IF(B205="","",WEEKNUM(B205,2))</f>
        <v>0</v>
      </c>
      <c r="R205" s="26">
        <f>IF(B205="","",ROUND(IF(F205="",0,F205)+IF(G205="",0,G205),2))</f>
        <v>0</v>
      </c>
      <c r="S205" s="26">
        <f>IF(B205="","",IF(I205&lt;&gt;"Yes",0,ROUND(IF(F205="",0,F205)*IF(J205="Weekly",52/12,IF(J205="Fortnightly",26/12,IF(J205="Four weekly",13/12,IF(J205="Monthly",1,IF(J205="Quarterly",1/3,IF(J205="Twice a year",1/6,IF(J205="Yearly",1/12,0))))))),2)))</f>
        <v>0</v>
      </c>
      <c r="T205" s="38">
        <f>IF(B205="","",IF(I205="Yes","Yes","No"))</f>
        <v>0</v>
      </c>
      <c r="U205" s="25">
        <f>IF(B205="","",IF(L205="Yes","",IF(K205="","",TodayDate-K205)))</f>
        <v>0</v>
      </c>
      <c r="V205" s="39">
        <f>IF(B205="","",IF(L205="Yes","Paid",IF(K205="","Pending",IF(K205&lt;TodayDate,"Overdue",IF(K205&lt;=TodayDate+7,"Due soon","Pending")))))</f>
        <v>0</v>
      </c>
      <c r="W205" s="26">
        <f>IF(B205="","",IFERROR(INDEX(BudgetAmount,MATCH(C205,BudgetCategory,0))*1,0))</f>
        <v>0</v>
      </c>
      <c r="X205" s="25">
        <f>IF(B205="","",COUNTIFS($R$5:$R$604,"&gt;"&amp;R205)+COUNTIFS($R$5:R205,R205))</f>
        <v>0</v>
      </c>
      <c r="Y205" s="39">
        <f>IF(B205="","",IF(F205="","Add - no amount",IF(C205="","Add - no category, it will miss the P&amp;L",IF(V205="Overdue","Overdue - pay it",IF(V205="Due soon","Due - coming up",IF(IF(I205="Yes",J205="",FALSE),"Add - how often does it recur?",IF(L205="Yes","OK","Pending")))))))</f>
        <v>0</v>
      </c>
    </row>
    <row r="206" spans="1:25">
      <c r="A206" s="28">
        <f>IF(B206="","",ExpensePrefix&amp;TEXT(ROW()-4,"0000"))</f>
        <v>0</v>
      </c>
      <c r="P206" s="15">
        <f>IF(B206="","",TEXT(B206,"yyyy-mm"))</f>
        <v>0</v>
      </c>
      <c r="Q206" s="25">
        <f>IF(B206="","",WEEKNUM(B206,2))</f>
        <v>0</v>
      </c>
      <c r="R206" s="26">
        <f>IF(B206="","",ROUND(IF(F206="",0,F206)+IF(G206="",0,G206),2))</f>
        <v>0</v>
      </c>
      <c r="S206" s="26">
        <f>IF(B206="","",IF(I206&lt;&gt;"Yes",0,ROUND(IF(F206="",0,F206)*IF(J206="Weekly",52/12,IF(J206="Fortnightly",26/12,IF(J206="Four weekly",13/12,IF(J206="Monthly",1,IF(J206="Quarterly",1/3,IF(J206="Twice a year",1/6,IF(J206="Yearly",1/12,0))))))),2)))</f>
        <v>0</v>
      </c>
      <c r="T206" s="38">
        <f>IF(B206="","",IF(I206="Yes","Yes","No"))</f>
        <v>0</v>
      </c>
      <c r="U206" s="25">
        <f>IF(B206="","",IF(L206="Yes","",IF(K206="","",TodayDate-K206)))</f>
        <v>0</v>
      </c>
      <c r="V206" s="39">
        <f>IF(B206="","",IF(L206="Yes","Paid",IF(K206="","Pending",IF(K206&lt;TodayDate,"Overdue",IF(K206&lt;=TodayDate+7,"Due soon","Pending")))))</f>
        <v>0</v>
      </c>
      <c r="W206" s="26">
        <f>IF(B206="","",IFERROR(INDEX(BudgetAmount,MATCH(C206,BudgetCategory,0))*1,0))</f>
        <v>0</v>
      </c>
      <c r="X206" s="25">
        <f>IF(B206="","",COUNTIFS($R$5:$R$604,"&gt;"&amp;R206)+COUNTIFS($R$5:R206,R206))</f>
        <v>0</v>
      </c>
      <c r="Y206" s="39">
        <f>IF(B206="","",IF(F206="","Add - no amount",IF(C206="","Add - no category, it will miss the P&amp;L",IF(V206="Overdue","Overdue - pay it",IF(V206="Due soon","Due - coming up",IF(IF(I206="Yes",J206="",FALSE),"Add - how often does it recur?",IF(L206="Yes","OK","Pending")))))))</f>
        <v>0</v>
      </c>
    </row>
    <row r="207" spans="1:25">
      <c r="A207" s="28">
        <f>IF(B207="","",ExpensePrefix&amp;TEXT(ROW()-4,"0000"))</f>
        <v>0</v>
      </c>
      <c r="P207" s="15">
        <f>IF(B207="","",TEXT(B207,"yyyy-mm"))</f>
        <v>0</v>
      </c>
      <c r="Q207" s="25">
        <f>IF(B207="","",WEEKNUM(B207,2))</f>
        <v>0</v>
      </c>
      <c r="R207" s="26">
        <f>IF(B207="","",ROUND(IF(F207="",0,F207)+IF(G207="",0,G207),2))</f>
        <v>0</v>
      </c>
      <c r="S207" s="26">
        <f>IF(B207="","",IF(I207&lt;&gt;"Yes",0,ROUND(IF(F207="",0,F207)*IF(J207="Weekly",52/12,IF(J207="Fortnightly",26/12,IF(J207="Four weekly",13/12,IF(J207="Monthly",1,IF(J207="Quarterly",1/3,IF(J207="Twice a year",1/6,IF(J207="Yearly",1/12,0))))))),2)))</f>
        <v>0</v>
      </c>
      <c r="T207" s="38">
        <f>IF(B207="","",IF(I207="Yes","Yes","No"))</f>
        <v>0</v>
      </c>
      <c r="U207" s="25">
        <f>IF(B207="","",IF(L207="Yes","",IF(K207="","",TodayDate-K207)))</f>
        <v>0</v>
      </c>
      <c r="V207" s="39">
        <f>IF(B207="","",IF(L207="Yes","Paid",IF(K207="","Pending",IF(K207&lt;TodayDate,"Overdue",IF(K207&lt;=TodayDate+7,"Due soon","Pending")))))</f>
        <v>0</v>
      </c>
      <c r="W207" s="26">
        <f>IF(B207="","",IFERROR(INDEX(BudgetAmount,MATCH(C207,BudgetCategory,0))*1,0))</f>
        <v>0</v>
      </c>
      <c r="X207" s="25">
        <f>IF(B207="","",COUNTIFS($R$5:$R$604,"&gt;"&amp;R207)+COUNTIFS($R$5:R207,R207))</f>
        <v>0</v>
      </c>
      <c r="Y207" s="39">
        <f>IF(B207="","",IF(F207="","Add - no amount",IF(C207="","Add - no category, it will miss the P&amp;L",IF(V207="Overdue","Overdue - pay it",IF(V207="Due soon","Due - coming up",IF(IF(I207="Yes",J207="",FALSE),"Add - how often does it recur?",IF(L207="Yes","OK","Pending")))))))</f>
        <v>0</v>
      </c>
    </row>
    <row r="208" spans="1:25">
      <c r="A208" s="28">
        <f>IF(B208="","",ExpensePrefix&amp;TEXT(ROW()-4,"0000"))</f>
        <v>0</v>
      </c>
      <c r="P208" s="15">
        <f>IF(B208="","",TEXT(B208,"yyyy-mm"))</f>
        <v>0</v>
      </c>
      <c r="Q208" s="25">
        <f>IF(B208="","",WEEKNUM(B208,2))</f>
        <v>0</v>
      </c>
      <c r="R208" s="26">
        <f>IF(B208="","",ROUND(IF(F208="",0,F208)+IF(G208="",0,G208),2))</f>
        <v>0</v>
      </c>
      <c r="S208" s="26">
        <f>IF(B208="","",IF(I208&lt;&gt;"Yes",0,ROUND(IF(F208="",0,F208)*IF(J208="Weekly",52/12,IF(J208="Fortnightly",26/12,IF(J208="Four weekly",13/12,IF(J208="Monthly",1,IF(J208="Quarterly",1/3,IF(J208="Twice a year",1/6,IF(J208="Yearly",1/12,0))))))),2)))</f>
        <v>0</v>
      </c>
      <c r="T208" s="38">
        <f>IF(B208="","",IF(I208="Yes","Yes","No"))</f>
        <v>0</v>
      </c>
      <c r="U208" s="25">
        <f>IF(B208="","",IF(L208="Yes","",IF(K208="","",TodayDate-K208)))</f>
        <v>0</v>
      </c>
      <c r="V208" s="39">
        <f>IF(B208="","",IF(L208="Yes","Paid",IF(K208="","Pending",IF(K208&lt;TodayDate,"Overdue",IF(K208&lt;=TodayDate+7,"Due soon","Pending")))))</f>
        <v>0</v>
      </c>
      <c r="W208" s="26">
        <f>IF(B208="","",IFERROR(INDEX(BudgetAmount,MATCH(C208,BudgetCategory,0))*1,0))</f>
        <v>0</v>
      </c>
      <c r="X208" s="25">
        <f>IF(B208="","",COUNTIFS($R$5:$R$604,"&gt;"&amp;R208)+COUNTIFS($R$5:R208,R208))</f>
        <v>0</v>
      </c>
      <c r="Y208" s="39">
        <f>IF(B208="","",IF(F208="","Add - no amount",IF(C208="","Add - no category, it will miss the P&amp;L",IF(V208="Overdue","Overdue - pay it",IF(V208="Due soon","Due - coming up",IF(IF(I208="Yes",J208="",FALSE),"Add - how often does it recur?",IF(L208="Yes","OK","Pending")))))))</f>
        <v>0</v>
      </c>
    </row>
    <row r="209" spans="1:25">
      <c r="A209" s="28">
        <f>IF(B209="","",ExpensePrefix&amp;TEXT(ROW()-4,"0000"))</f>
        <v>0</v>
      </c>
      <c r="P209" s="15">
        <f>IF(B209="","",TEXT(B209,"yyyy-mm"))</f>
        <v>0</v>
      </c>
      <c r="Q209" s="25">
        <f>IF(B209="","",WEEKNUM(B209,2))</f>
        <v>0</v>
      </c>
      <c r="R209" s="26">
        <f>IF(B209="","",ROUND(IF(F209="",0,F209)+IF(G209="",0,G209),2))</f>
        <v>0</v>
      </c>
      <c r="S209" s="26">
        <f>IF(B209="","",IF(I209&lt;&gt;"Yes",0,ROUND(IF(F209="",0,F209)*IF(J209="Weekly",52/12,IF(J209="Fortnightly",26/12,IF(J209="Four weekly",13/12,IF(J209="Monthly",1,IF(J209="Quarterly",1/3,IF(J209="Twice a year",1/6,IF(J209="Yearly",1/12,0))))))),2)))</f>
        <v>0</v>
      </c>
      <c r="T209" s="38">
        <f>IF(B209="","",IF(I209="Yes","Yes","No"))</f>
        <v>0</v>
      </c>
      <c r="U209" s="25">
        <f>IF(B209="","",IF(L209="Yes","",IF(K209="","",TodayDate-K209)))</f>
        <v>0</v>
      </c>
      <c r="V209" s="39">
        <f>IF(B209="","",IF(L209="Yes","Paid",IF(K209="","Pending",IF(K209&lt;TodayDate,"Overdue",IF(K209&lt;=TodayDate+7,"Due soon","Pending")))))</f>
        <v>0</v>
      </c>
      <c r="W209" s="26">
        <f>IF(B209="","",IFERROR(INDEX(BudgetAmount,MATCH(C209,BudgetCategory,0))*1,0))</f>
        <v>0</v>
      </c>
      <c r="X209" s="25">
        <f>IF(B209="","",COUNTIFS($R$5:$R$604,"&gt;"&amp;R209)+COUNTIFS($R$5:R209,R209))</f>
        <v>0</v>
      </c>
      <c r="Y209" s="39">
        <f>IF(B209="","",IF(F209="","Add - no amount",IF(C209="","Add - no category, it will miss the P&amp;L",IF(V209="Overdue","Overdue - pay it",IF(V209="Due soon","Due - coming up",IF(IF(I209="Yes",J209="",FALSE),"Add - how often does it recur?",IF(L209="Yes","OK","Pending")))))))</f>
        <v>0</v>
      </c>
    </row>
    <row r="210" spans="1:25">
      <c r="A210" s="28">
        <f>IF(B210="","",ExpensePrefix&amp;TEXT(ROW()-4,"0000"))</f>
        <v>0</v>
      </c>
      <c r="P210" s="15">
        <f>IF(B210="","",TEXT(B210,"yyyy-mm"))</f>
        <v>0</v>
      </c>
      <c r="Q210" s="25">
        <f>IF(B210="","",WEEKNUM(B210,2))</f>
        <v>0</v>
      </c>
      <c r="R210" s="26">
        <f>IF(B210="","",ROUND(IF(F210="",0,F210)+IF(G210="",0,G210),2))</f>
        <v>0</v>
      </c>
      <c r="S210" s="26">
        <f>IF(B210="","",IF(I210&lt;&gt;"Yes",0,ROUND(IF(F210="",0,F210)*IF(J210="Weekly",52/12,IF(J210="Fortnightly",26/12,IF(J210="Four weekly",13/12,IF(J210="Monthly",1,IF(J210="Quarterly",1/3,IF(J210="Twice a year",1/6,IF(J210="Yearly",1/12,0))))))),2)))</f>
        <v>0</v>
      </c>
      <c r="T210" s="38">
        <f>IF(B210="","",IF(I210="Yes","Yes","No"))</f>
        <v>0</v>
      </c>
      <c r="U210" s="25">
        <f>IF(B210="","",IF(L210="Yes","",IF(K210="","",TodayDate-K210)))</f>
        <v>0</v>
      </c>
      <c r="V210" s="39">
        <f>IF(B210="","",IF(L210="Yes","Paid",IF(K210="","Pending",IF(K210&lt;TodayDate,"Overdue",IF(K210&lt;=TodayDate+7,"Due soon","Pending")))))</f>
        <v>0</v>
      </c>
      <c r="W210" s="26">
        <f>IF(B210="","",IFERROR(INDEX(BudgetAmount,MATCH(C210,BudgetCategory,0))*1,0))</f>
        <v>0</v>
      </c>
      <c r="X210" s="25">
        <f>IF(B210="","",COUNTIFS($R$5:$R$604,"&gt;"&amp;R210)+COUNTIFS($R$5:R210,R210))</f>
        <v>0</v>
      </c>
      <c r="Y210" s="39">
        <f>IF(B210="","",IF(F210="","Add - no amount",IF(C210="","Add - no category, it will miss the P&amp;L",IF(V210="Overdue","Overdue - pay it",IF(V210="Due soon","Due - coming up",IF(IF(I210="Yes",J210="",FALSE),"Add - how often does it recur?",IF(L210="Yes","OK","Pending")))))))</f>
        <v>0</v>
      </c>
    </row>
    <row r="211" spans="1:25">
      <c r="A211" s="28">
        <f>IF(B211="","",ExpensePrefix&amp;TEXT(ROW()-4,"0000"))</f>
        <v>0</v>
      </c>
      <c r="P211" s="15">
        <f>IF(B211="","",TEXT(B211,"yyyy-mm"))</f>
        <v>0</v>
      </c>
      <c r="Q211" s="25">
        <f>IF(B211="","",WEEKNUM(B211,2))</f>
        <v>0</v>
      </c>
      <c r="R211" s="26">
        <f>IF(B211="","",ROUND(IF(F211="",0,F211)+IF(G211="",0,G211),2))</f>
        <v>0</v>
      </c>
      <c r="S211" s="26">
        <f>IF(B211="","",IF(I211&lt;&gt;"Yes",0,ROUND(IF(F211="",0,F211)*IF(J211="Weekly",52/12,IF(J211="Fortnightly",26/12,IF(J211="Four weekly",13/12,IF(J211="Monthly",1,IF(J211="Quarterly",1/3,IF(J211="Twice a year",1/6,IF(J211="Yearly",1/12,0))))))),2)))</f>
        <v>0</v>
      </c>
      <c r="T211" s="38">
        <f>IF(B211="","",IF(I211="Yes","Yes","No"))</f>
        <v>0</v>
      </c>
      <c r="U211" s="25">
        <f>IF(B211="","",IF(L211="Yes","",IF(K211="","",TodayDate-K211)))</f>
        <v>0</v>
      </c>
      <c r="V211" s="39">
        <f>IF(B211="","",IF(L211="Yes","Paid",IF(K211="","Pending",IF(K211&lt;TodayDate,"Overdue",IF(K211&lt;=TodayDate+7,"Due soon","Pending")))))</f>
        <v>0</v>
      </c>
      <c r="W211" s="26">
        <f>IF(B211="","",IFERROR(INDEX(BudgetAmount,MATCH(C211,BudgetCategory,0))*1,0))</f>
        <v>0</v>
      </c>
      <c r="X211" s="25">
        <f>IF(B211="","",COUNTIFS($R$5:$R$604,"&gt;"&amp;R211)+COUNTIFS($R$5:R211,R211))</f>
        <v>0</v>
      </c>
      <c r="Y211" s="39">
        <f>IF(B211="","",IF(F211="","Add - no amount",IF(C211="","Add - no category, it will miss the P&amp;L",IF(V211="Overdue","Overdue - pay it",IF(V211="Due soon","Due - coming up",IF(IF(I211="Yes",J211="",FALSE),"Add - how often does it recur?",IF(L211="Yes","OK","Pending")))))))</f>
        <v>0</v>
      </c>
    </row>
    <row r="212" spans="1:25">
      <c r="A212" s="28">
        <f>IF(B212="","",ExpensePrefix&amp;TEXT(ROW()-4,"0000"))</f>
        <v>0</v>
      </c>
      <c r="P212" s="15">
        <f>IF(B212="","",TEXT(B212,"yyyy-mm"))</f>
        <v>0</v>
      </c>
      <c r="Q212" s="25">
        <f>IF(B212="","",WEEKNUM(B212,2))</f>
        <v>0</v>
      </c>
      <c r="R212" s="26">
        <f>IF(B212="","",ROUND(IF(F212="",0,F212)+IF(G212="",0,G212),2))</f>
        <v>0</v>
      </c>
      <c r="S212" s="26">
        <f>IF(B212="","",IF(I212&lt;&gt;"Yes",0,ROUND(IF(F212="",0,F212)*IF(J212="Weekly",52/12,IF(J212="Fortnightly",26/12,IF(J212="Four weekly",13/12,IF(J212="Monthly",1,IF(J212="Quarterly",1/3,IF(J212="Twice a year",1/6,IF(J212="Yearly",1/12,0))))))),2)))</f>
        <v>0</v>
      </c>
      <c r="T212" s="38">
        <f>IF(B212="","",IF(I212="Yes","Yes","No"))</f>
        <v>0</v>
      </c>
      <c r="U212" s="25">
        <f>IF(B212="","",IF(L212="Yes","",IF(K212="","",TodayDate-K212)))</f>
        <v>0</v>
      </c>
      <c r="V212" s="39">
        <f>IF(B212="","",IF(L212="Yes","Paid",IF(K212="","Pending",IF(K212&lt;TodayDate,"Overdue",IF(K212&lt;=TodayDate+7,"Due soon","Pending")))))</f>
        <v>0</v>
      </c>
      <c r="W212" s="26">
        <f>IF(B212="","",IFERROR(INDEX(BudgetAmount,MATCH(C212,BudgetCategory,0))*1,0))</f>
        <v>0</v>
      </c>
      <c r="X212" s="25">
        <f>IF(B212="","",COUNTIFS($R$5:$R$604,"&gt;"&amp;R212)+COUNTIFS($R$5:R212,R212))</f>
        <v>0</v>
      </c>
      <c r="Y212" s="39">
        <f>IF(B212="","",IF(F212="","Add - no amount",IF(C212="","Add - no category, it will miss the P&amp;L",IF(V212="Overdue","Overdue - pay it",IF(V212="Due soon","Due - coming up",IF(IF(I212="Yes",J212="",FALSE),"Add - how often does it recur?",IF(L212="Yes","OK","Pending")))))))</f>
        <v>0</v>
      </c>
    </row>
    <row r="213" spans="1:25">
      <c r="A213" s="28">
        <f>IF(B213="","",ExpensePrefix&amp;TEXT(ROW()-4,"0000"))</f>
        <v>0</v>
      </c>
      <c r="P213" s="15">
        <f>IF(B213="","",TEXT(B213,"yyyy-mm"))</f>
        <v>0</v>
      </c>
      <c r="Q213" s="25">
        <f>IF(B213="","",WEEKNUM(B213,2))</f>
        <v>0</v>
      </c>
      <c r="R213" s="26">
        <f>IF(B213="","",ROUND(IF(F213="",0,F213)+IF(G213="",0,G213),2))</f>
        <v>0</v>
      </c>
      <c r="S213" s="26">
        <f>IF(B213="","",IF(I213&lt;&gt;"Yes",0,ROUND(IF(F213="",0,F213)*IF(J213="Weekly",52/12,IF(J213="Fortnightly",26/12,IF(J213="Four weekly",13/12,IF(J213="Monthly",1,IF(J213="Quarterly",1/3,IF(J213="Twice a year",1/6,IF(J213="Yearly",1/12,0))))))),2)))</f>
        <v>0</v>
      </c>
      <c r="T213" s="38">
        <f>IF(B213="","",IF(I213="Yes","Yes","No"))</f>
        <v>0</v>
      </c>
      <c r="U213" s="25">
        <f>IF(B213="","",IF(L213="Yes","",IF(K213="","",TodayDate-K213)))</f>
        <v>0</v>
      </c>
      <c r="V213" s="39">
        <f>IF(B213="","",IF(L213="Yes","Paid",IF(K213="","Pending",IF(K213&lt;TodayDate,"Overdue",IF(K213&lt;=TodayDate+7,"Due soon","Pending")))))</f>
        <v>0</v>
      </c>
      <c r="W213" s="26">
        <f>IF(B213="","",IFERROR(INDEX(BudgetAmount,MATCH(C213,BudgetCategory,0))*1,0))</f>
        <v>0</v>
      </c>
      <c r="X213" s="25">
        <f>IF(B213="","",COUNTIFS($R$5:$R$604,"&gt;"&amp;R213)+COUNTIFS($R$5:R213,R213))</f>
        <v>0</v>
      </c>
      <c r="Y213" s="39">
        <f>IF(B213="","",IF(F213="","Add - no amount",IF(C213="","Add - no category, it will miss the P&amp;L",IF(V213="Overdue","Overdue - pay it",IF(V213="Due soon","Due - coming up",IF(IF(I213="Yes",J213="",FALSE),"Add - how often does it recur?",IF(L213="Yes","OK","Pending")))))))</f>
        <v>0</v>
      </c>
    </row>
    <row r="214" spans="1:25">
      <c r="A214" s="28">
        <f>IF(B214="","",ExpensePrefix&amp;TEXT(ROW()-4,"0000"))</f>
        <v>0</v>
      </c>
      <c r="P214" s="15">
        <f>IF(B214="","",TEXT(B214,"yyyy-mm"))</f>
        <v>0</v>
      </c>
      <c r="Q214" s="25">
        <f>IF(B214="","",WEEKNUM(B214,2))</f>
        <v>0</v>
      </c>
      <c r="R214" s="26">
        <f>IF(B214="","",ROUND(IF(F214="",0,F214)+IF(G214="",0,G214),2))</f>
        <v>0</v>
      </c>
      <c r="S214" s="26">
        <f>IF(B214="","",IF(I214&lt;&gt;"Yes",0,ROUND(IF(F214="",0,F214)*IF(J214="Weekly",52/12,IF(J214="Fortnightly",26/12,IF(J214="Four weekly",13/12,IF(J214="Monthly",1,IF(J214="Quarterly",1/3,IF(J214="Twice a year",1/6,IF(J214="Yearly",1/12,0))))))),2)))</f>
        <v>0</v>
      </c>
      <c r="T214" s="38">
        <f>IF(B214="","",IF(I214="Yes","Yes","No"))</f>
        <v>0</v>
      </c>
      <c r="U214" s="25">
        <f>IF(B214="","",IF(L214="Yes","",IF(K214="","",TodayDate-K214)))</f>
        <v>0</v>
      </c>
      <c r="V214" s="39">
        <f>IF(B214="","",IF(L214="Yes","Paid",IF(K214="","Pending",IF(K214&lt;TodayDate,"Overdue",IF(K214&lt;=TodayDate+7,"Due soon","Pending")))))</f>
        <v>0</v>
      </c>
      <c r="W214" s="26">
        <f>IF(B214="","",IFERROR(INDEX(BudgetAmount,MATCH(C214,BudgetCategory,0))*1,0))</f>
        <v>0</v>
      </c>
      <c r="X214" s="25">
        <f>IF(B214="","",COUNTIFS($R$5:$R$604,"&gt;"&amp;R214)+COUNTIFS($R$5:R214,R214))</f>
        <v>0</v>
      </c>
      <c r="Y214" s="39">
        <f>IF(B214="","",IF(F214="","Add - no amount",IF(C214="","Add - no category, it will miss the P&amp;L",IF(V214="Overdue","Overdue - pay it",IF(V214="Due soon","Due - coming up",IF(IF(I214="Yes",J214="",FALSE),"Add - how often does it recur?",IF(L214="Yes","OK","Pending")))))))</f>
        <v>0</v>
      </c>
    </row>
    <row r="215" spans="1:25">
      <c r="A215" s="28">
        <f>IF(B215="","",ExpensePrefix&amp;TEXT(ROW()-4,"0000"))</f>
        <v>0</v>
      </c>
      <c r="P215" s="15">
        <f>IF(B215="","",TEXT(B215,"yyyy-mm"))</f>
        <v>0</v>
      </c>
      <c r="Q215" s="25">
        <f>IF(B215="","",WEEKNUM(B215,2))</f>
        <v>0</v>
      </c>
      <c r="R215" s="26">
        <f>IF(B215="","",ROUND(IF(F215="",0,F215)+IF(G215="",0,G215),2))</f>
        <v>0</v>
      </c>
      <c r="S215" s="26">
        <f>IF(B215="","",IF(I215&lt;&gt;"Yes",0,ROUND(IF(F215="",0,F215)*IF(J215="Weekly",52/12,IF(J215="Fortnightly",26/12,IF(J215="Four weekly",13/12,IF(J215="Monthly",1,IF(J215="Quarterly",1/3,IF(J215="Twice a year",1/6,IF(J215="Yearly",1/12,0))))))),2)))</f>
        <v>0</v>
      </c>
      <c r="T215" s="38">
        <f>IF(B215="","",IF(I215="Yes","Yes","No"))</f>
        <v>0</v>
      </c>
      <c r="U215" s="25">
        <f>IF(B215="","",IF(L215="Yes","",IF(K215="","",TodayDate-K215)))</f>
        <v>0</v>
      </c>
      <c r="V215" s="39">
        <f>IF(B215="","",IF(L215="Yes","Paid",IF(K215="","Pending",IF(K215&lt;TodayDate,"Overdue",IF(K215&lt;=TodayDate+7,"Due soon","Pending")))))</f>
        <v>0</v>
      </c>
      <c r="W215" s="26">
        <f>IF(B215="","",IFERROR(INDEX(BudgetAmount,MATCH(C215,BudgetCategory,0))*1,0))</f>
        <v>0</v>
      </c>
      <c r="X215" s="25">
        <f>IF(B215="","",COUNTIFS($R$5:$R$604,"&gt;"&amp;R215)+COUNTIFS($R$5:R215,R215))</f>
        <v>0</v>
      </c>
      <c r="Y215" s="39">
        <f>IF(B215="","",IF(F215="","Add - no amount",IF(C215="","Add - no category, it will miss the P&amp;L",IF(V215="Overdue","Overdue - pay it",IF(V215="Due soon","Due - coming up",IF(IF(I215="Yes",J215="",FALSE),"Add - how often does it recur?",IF(L215="Yes","OK","Pending")))))))</f>
        <v>0</v>
      </c>
    </row>
    <row r="216" spans="1:25">
      <c r="A216" s="28">
        <f>IF(B216="","",ExpensePrefix&amp;TEXT(ROW()-4,"0000"))</f>
        <v>0</v>
      </c>
      <c r="P216" s="15">
        <f>IF(B216="","",TEXT(B216,"yyyy-mm"))</f>
        <v>0</v>
      </c>
      <c r="Q216" s="25">
        <f>IF(B216="","",WEEKNUM(B216,2))</f>
        <v>0</v>
      </c>
      <c r="R216" s="26">
        <f>IF(B216="","",ROUND(IF(F216="",0,F216)+IF(G216="",0,G216),2))</f>
        <v>0</v>
      </c>
      <c r="S216" s="26">
        <f>IF(B216="","",IF(I216&lt;&gt;"Yes",0,ROUND(IF(F216="",0,F216)*IF(J216="Weekly",52/12,IF(J216="Fortnightly",26/12,IF(J216="Four weekly",13/12,IF(J216="Monthly",1,IF(J216="Quarterly",1/3,IF(J216="Twice a year",1/6,IF(J216="Yearly",1/12,0))))))),2)))</f>
        <v>0</v>
      </c>
      <c r="T216" s="38">
        <f>IF(B216="","",IF(I216="Yes","Yes","No"))</f>
        <v>0</v>
      </c>
      <c r="U216" s="25">
        <f>IF(B216="","",IF(L216="Yes","",IF(K216="","",TodayDate-K216)))</f>
        <v>0</v>
      </c>
      <c r="V216" s="39">
        <f>IF(B216="","",IF(L216="Yes","Paid",IF(K216="","Pending",IF(K216&lt;TodayDate,"Overdue",IF(K216&lt;=TodayDate+7,"Due soon","Pending")))))</f>
        <v>0</v>
      </c>
      <c r="W216" s="26">
        <f>IF(B216="","",IFERROR(INDEX(BudgetAmount,MATCH(C216,BudgetCategory,0))*1,0))</f>
        <v>0</v>
      </c>
      <c r="X216" s="25">
        <f>IF(B216="","",COUNTIFS($R$5:$R$604,"&gt;"&amp;R216)+COUNTIFS($R$5:R216,R216))</f>
        <v>0</v>
      </c>
      <c r="Y216" s="39">
        <f>IF(B216="","",IF(F216="","Add - no amount",IF(C216="","Add - no category, it will miss the P&amp;L",IF(V216="Overdue","Overdue - pay it",IF(V216="Due soon","Due - coming up",IF(IF(I216="Yes",J216="",FALSE),"Add - how often does it recur?",IF(L216="Yes","OK","Pending")))))))</f>
        <v>0</v>
      </c>
    </row>
    <row r="217" spans="1:25">
      <c r="A217" s="28">
        <f>IF(B217="","",ExpensePrefix&amp;TEXT(ROW()-4,"0000"))</f>
        <v>0</v>
      </c>
      <c r="P217" s="15">
        <f>IF(B217="","",TEXT(B217,"yyyy-mm"))</f>
        <v>0</v>
      </c>
      <c r="Q217" s="25">
        <f>IF(B217="","",WEEKNUM(B217,2))</f>
        <v>0</v>
      </c>
      <c r="R217" s="26">
        <f>IF(B217="","",ROUND(IF(F217="",0,F217)+IF(G217="",0,G217),2))</f>
        <v>0</v>
      </c>
      <c r="S217" s="26">
        <f>IF(B217="","",IF(I217&lt;&gt;"Yes",0,ROUND(IF(F217="",0,F217)*IF(J217="Weekly",52/12,IF(J217="Fortnightly",26/12,IF(J217="Four weekly",13/12,IF(J217="Monthly",1,IF(J217="Quarterly",1/3,IF(J217="Twice a year",1/6,IF(J217="Yearly",1/12,0))))))),2)))</f>
        <v>0</v>
      </c>
      <c r="T217" s="38">
        <f>IF(B217="","",IF(I217="Yes","Yes","No"))</f>
        <v>0</v>
      </c>
      <c r="U217" s="25">
        <f>IF(B217="","",IF(L217="Yes","",IF(K217="","",TodayDate-K217)))</f>
        <v>0</v>
      </c>
      <c r="V217" s="39">
        <f>IF(B217="","",IF(L217="Yes","Paid",IF(K217="","Pending",IF(K217&lt;TodayDate,"Overdue",IF(K217&lt;=TodayDate+7,"Due soon","Pending")))))</f>
        <v>0</v>
      </c>
      <c r="W217" s="26">
        <f>IF(B217="","",IFERROR(INDEX(BudgetAmount,MATCH(C217,BudgetCategory,0))*1,0))</f>
        <v>0</v>
      </c>
      <c r="X217" s="25">
        <f>IF(B217="","",COUNTIFS($R$5:$R$604,"&gt;"&amp;R217)+COUNTIFS($R$5:R217,R217))</f>
        <v>0</v>
      </c>
      <c r="Y217" s="39">
        <f>IF(B217="","",IF(F217="","Add - no amount",IF(C217="","Add - no category, it will miss the P&amp;L",IF(V217="Overdue","Overdue - pay it",IF(V217="Due soon","Due - coming up",IF(IF(I217="Yes",J217="",FALSE),"Add - how often does it recur?",IF(L217="Yes","OK","Pending")))))))</f>
        <v>0</v>
      </c>
    </row>
    <row r="218" spans="1:25">
      <c r="A218" s="28">
        <f>IF(B218="","",ExpensePrefix&amp;TEXT(ROW()-4,"0000"))</f>
        <v>0</v>
      </c>
      <c r="P218" s="15">
        <f>IF(B218="","",TEXT(B218,"yyyy-mm"))</f>
        <v>0</v>
      </c>
      <c r="Q218" s="25">
        <f>IF(B218="","",WEEKNUM(B218,2))</f>
        <v>0</v>
      </c>
      <c r="R218" s="26">
        <f>IF(B218="","",ROUND(IF(F218="",0,F218)+IF(G218="",0,G218),2))</f>
        <v>0</v>
      </c>
      <c r="S218" s="26">
        <f>IF(B218="","",IF(I218&lt;&gt;"Yes",0,ROUND(IF(F218="",0,F218)*IF(J218="Weekly",52/12,IF(J218="Fortnightly",26/12,IF(J218="Four weekly",13/12,IF(J218="Monthly",1,IF(J218="Quarterly",1/3,IF(J218="Twice a year",1/6,IF(J218="Yearly",1/12,0))))))),2)))</f>
        <v>0</v>
      </c>
      <c r="T218" s="38">
        <f>IF(B218="","",IF(I218="Yes","Yes","No"))</f>
        <v>0</v>
      </c>
      <c r="U218" s="25">
        <f>IF(B218="","",IF(L218="Yes","",IF(K218="","",TodayDate-K218)))</f>
        <v>0</v>
      </c>
      <c r="V218" s="39">
        <f>IF(B218="","",IF(L218="Yes","Paid",IF(K218="","Pending",IF(K218&lt;TodayDate,"Overdue",IF(K218&lt;=TodayDate+7,"Due soon","Pending")))))</f>
        <v>0</v>
      </c>
      <c r="W218" s="26">
        <f>IF(B218="","",IFERROR(INDEX(BudgetAmount,MATCH(C218,BudgetCategory,0))*1,0))</f>
        <v>0</v>
      </c>
      <c r="X218" s="25">
        <f>IF(B218="","",COUNTIFS($R$5:$R$604,"&gt;"&amp;R218)+COUNTIFS($R$5:R218,R218))</f>
        <v>0</v>
      </c>
      <c r="Y218" s="39">
        <f>IF(B218="","",IF(F218="","Add - no amount",IF(C218="","Add - no category, it will miss the P&amp;L",IF(V218="Overdue","Overdue - pay it",IF(V218="Due soon","Due - coming up",IF(IF(I218="Yes",J218="",FALSE),"Add - how often does it recur?",IF(L218="Yes","OK","Pending")))))))</f>
        <v>0</v>
      </c>
    </row>
    <row r="219" spans="1:25">
      <c r="A219" s="28">
        <f>IF(B219="","",ExpensePrefix&amp;TEXT(ROW()-4,"0000"))</f>
        <v>0</v>
      </c>
      <c r="P219" s="15">
        <f>IF(B219="","",TEXT(B219,"yyyy-mm"))</f>
        <v>0</v>
      </c>
      <c r="Q219" s="25">
        <f>IF(B219="","",WEEKNUM(B219,2))</f>
        <v>0</v>
      </c>
      <c r="R219" s="26">
        <f>IF(B219="","",ROUND(IF(F219="",0,F219)+IF(G219="",0,G219),2))</f>
        <v>0</v>
      </c>
      <c r="S219" s="26">
        <f>IF(B219="","",IF(I219&lt;&gt;"Yes",0,ROUND(IF(F219="",0,F219)*IF(J219="Weekly",52/12,IF(J219="Fortnightly",26/12,IF(J219="Four weekly",13/12,IF(J219="Monthly",1,IF(J219="Quarterly",1/3,IF(J219="Twice a year",1/6,IF(J219="Yearly",1/12,0))))))),2)))</f>
        <v>0</v>
      </c>
      <c r="T219" s="38">
        <f>IF(B219="","",IF(I219="Yes","Yes","No"))</f>
        <v>0</v>
      </c>
      <c r="U219" s="25">
        <f>IF(B219="","",IF(L219="Yes","",IF(K219="","",TodayDate-K219)))</f>
        <v>0</v>
      </c>
      <c r="V219" s="39">
        <f>IF(B219="","",IF(L219="Yes","Paid",IF(K219="","Pending",IF(K219&lt;TodayDate,"Overdue",IF(K219&lt;=TodayDate+7,"Due soon","Pending")))))</f>
        <v>0</v>
      </c>
      <c r="W219" s="26">
        <f>IF(B219="","",IFERROR(INDEX(BudgetAmount,MATCH(C219,BudgetCategory,0))*1,0))</f>
        <v>0</v>
      </c>
      <c r="X219" s="25">
        <f>IF(B219="","",COUNTIFS($R$5:$R$604,"&gt;"&amp;R219)+COUNTIFS($R$5:R219,R219))</f>
        <v>0</v>
      </c>
      <c r="Y219" s="39">
        <f>IF(B219="","",IF(F219="","Add - no amount",IF(C219="","Add - no category, it will miss the P&amp;L",IF(V219="Overdue","Overdue - pay it",IF(V219="Due soon","Due - coming up",IF(IF(I219="Yes",J219="",FALSE),"Add - how often does it recur?",IF(L219="Yes","OK","Pending")))))))</f>
        <v>0</v>
      </c>
    </row>
    <row r="220" spans="1:25">
      <c r="A220" s="28">
        <f>IF(B220="","",ExpensePrefix&amp;TEXT(ROW()-4,"0000"))</f>
        <v>0</v>
      </c>
      <c r="P220" s="15">
        <f>IF(B220="","",TEXT(B220,"yyyy-mm"))</f>
        <v>0</v>
      </c>
      <c r="Q220" s="25">
        <f>IF(B220="","",WEEKNUM(B220,2))</f>
        <v>0</v>
      </c>
      <c r="R220" s="26">
        <f>IF(B220="","",ROUND(IF(F220="",0,F220)+IF(G220="",0,G220),2))</f>
        <v>0</v>
      </c>
      <c r="S220" s="26">
        <f>IF(B220="","",IF(I220&lt;&gt;"Yes",0,ROUND(IF(F220="",0,F220)*IF(J220="Weekly",52/12,IF(J220="Fortnightly",26/12,IF(J220="Four weekly",13/12,IF(J220="Monthly",1,IF(J220="Quarterly",1/3,IF(J220="Twice a year",1/6,IF(J220="Yearly",1/12,0))))))),2)))</f>
        <v>0</v>
      </c>
      <c r="T220" s="38">
        <f>IF(B220="","",IF(I220="Yes","Yes","No"))</f>
        <v>0</v>
      </c>
      <c r="U220" s="25">
        <f>IF(B220="","",IF(L220="Yes","",IF(K220="","",TodayDate-K220)))</f>
        <v>0</v>
      </c>
      <c r="V220" s="39">
        <f>IF(B220="","",IF(L220="Yes","Paid",IF(K220="","Pending",IF(K220&lt;TodayDate,"Overdue",IF(K220&lt;=TodayDate+7,"Due soon","Pending")))))</f>
        <v>0</v>
      </c>
      <c r="W220" s="26">
        <f>IF(B220="","",IFERROR(INDEX(BudgetAmount,MATCH(C220,BudgetCategory,0))*1,0))</f>
        <v>0</v>
      </c>
      <c r="X220" s="25">
        <f>IF(B220="","",COUNTIFS($R$5:$R$604,"&gt;"&amp;R220)+COUNTIFS($R$5:R220,R220))</f>
        <v>0</v>
      </c>
      <c r="Y220" s="39">
        <f>IF(B220="","",IF(F220="","Add - no amount",IF(C220="","Add - no category, it will miss the P&amp;L",IF(V220="Overdue","Overdue - pay it",IF(V220="Due soon","Due - coming up",IF(IF(I220="Yes",J220="",FALSE),"Add - how often does it recur?",IF(L220="Yes","OK","Pending")))))))</f>
        <v>0</v>
      </c>
    </row>
    <row r="221" spans="1:25">
      <c r="A221" s="28">
        <f>IF(B221="","",ExpensePrefix&amp;TEXT(ROW()-4,"0000"))</f>
        <v>0</v>
      </c>
      <c r="P221" s="15">
        <f>IF(B221="","",TEXT(B221,"yyyy-mm"))</f>
        <v>0</v>
      </c>
      <c r="Q221" s="25">
        <f>IF(B221="","",WEEKNUM(B221,2))</f>
        <v>0</v>
      </c>
      <c r="R221" s="26">
        <f>IF(B221="","",ROUND(IF(F221="",0,F221)+IF(G221="",0,G221),2))</f>
        <v>0</v>
      </c>
      <c r="S221" s="26">
        <f>IF(B221="","",IF(I221&lt;&gt;"Yes",0,ROUND(IF(F221="",0,F221)*IF(J221="Weekly",52/12,IF(J221="Fortnightly",26/12,IF(J221="Four weekly",13/12,IF(J221="Monthly",1,IF(J221="Quarterly",1/3,IF(J221="Twice a year",1/6,IF(J221="Yearly",1/12,0))))))),2)))</f>
        <v>0</v>
      </c>
      <c r="T221" s="38">
        <f>IF(B221="","",IF(I221="Yes","Yes","No"))</f>
        <v>0</v>
      </c>
      <c r="U221" s="25">
        <f>IF(B221="","",IF(L221="Yes","",IF(K221="","",TodayDate-K221)))</f>
        <v>0</v>
      </c>
      <c r="V221" s="39">
        <f>IF(B221="","",IF(L221="Yes","Paid",IF(K221="","Pending",IF(K221&lt;TodayDate,"Overdue",IF(K221&lt;=TodayDate+7,"Due soon","Pending")))))</f>
        <v>0</v>
      </c>
      <c r="W221" s="26">
        <f>IF(B221="","",IFERROR(INDEX(BudgetAmount,MATCH(C221,BudgetCategory,0))*1,0))</f>
        <v>0</v>
      </c>
      <c r="X221" s="25">
        <f>IF(B221="","",COUNTIFS($R$5:$R$604,"&gt;"&amp;R221)+COUNTIFS($R$5:R221,R221))</f>
        <v>0</v>
      </c>
      <c r="Y221" s="39">
        <f>IF(B221="","",IF(F221="","Add - no amount",IF(C221="","Add - no category, it will miss the P&amp;L",IF(V221="Overdue","Overdue - pay it",IF(V221="Due soon","Due - coming up",IF(IF(I221="Yes",J221="",FALSE),"Add - how often does it recur?",IF(L221="Yes","OK","Pending")))))))</f>
        <v>0</v>
      </c>
    </row>
    <row r="222" spans="1:25">
      <c r="A222" s="28">
        <f>IF(B222="","",ExpensePrefix&amp;TEXT(ROW()-4,"0000"))</f>
        <v>0</v>
      </c>
      <c r="P222" s="15">
        <f>IF(B222="","",TEXT(B222,"yyyy-mm"))</f>
        <v>0</v>
      </c>
      <c r="Q222" s="25">
        <f>IF(B222="","",WEEKNUM(B222,2))</f>
        <v>0</v>
      </c>
      <c r="R222" s="26">
        <f>IF(B222="","",ROUND(IF(F222="",0,F222)+IF(G222="",0,G222),2))</f>
        <v>0</v>
      </c>
      <c r="S222" s="26">
        <f>IF(B222="","",IF(I222&lt;&gt;"Yes",0,ROUND(IF(F222="",0,F222)*IF(J222="Weekly",52/12,IF(J222="Fortnightly",26/12,IF(J222="Four weekly",13/12,IF(J222="Monthly",1,IF(J222="Quarterly",1/3,IF(J222="Twice a year",1/6,IF(J222="Yearly",1/12,0))))))),2)))</f>
        <v>0</v>
      </c>
      <c r="T222" s="38">
        <f>IF(B222="","",IF(I222="Yes","Yes","No"))</f>
        <v>0</v>
      </c>
      <c r="U222" s="25">
        <f>IF(B222="","",IF(L222="Yes","",IF(K222="","",TodayDate-K222)))</f>
        <v>0</v>
      </c>
      <c r="V222" s="39">
        <f>IF(B222="","",IF(L222="Yes","Paid",IF(K222="","Pending",IF(K222&lt;TodayDate,"Overdue",IF(K222&lt;=TodayDate+7,"Due soon","Pending")))))</f>
        <v>0</v>
      </c>
      <c r="W222" s="26">
        <f>IF(B222="","",IFERROR(INDEX(BudgetAmount,MATCH(C222,BudgetCategory,0))*1,0))</f>
        <v>0</v>
      </c>
      <c r="X222" s="25">
        <f>IF(B222="","",COUNTIFS($R$5:$R$604,"&gt;"&amp;R222)+COUNTIFS($R$5:R222,R222))</f>
        <v>0</v>
      </c>
      <c r="Y222" s="39">
        <f>IF(B222="","",IF(F222="","Add - no amount",IF(C222="","Add - no category, it will miss the P&amp;L",IF(V222="Overdue","Overdue - pay it",IF(V222="Due soon","Due - coming up",IF(IF(I222="Yes",J222="",FALSE),"Add - how often does it recur?",IF(L222="Yes","OK","Pending")))))))</f>
        <v>0</v>
      </c>
    </row>
    <row r="223" spans="1:25">
      <c r="A223" s="28">
        <f>IF(B223="","",ExpensePrefix&amp;TEXT(ROW()-4,"0000"))</f>
        <v>0</v>
      </c>
      <c r="P223" s="15">
        <f>IF(B223="","",TEXT(B223,"yyyy-mm"))</f>
        <v>0</v>
      </c>
      <c r="Q223" s="25">
        <f>IF(B223="","",WEEKNUM(B223,2))</f>
        <v>0</v>
      </c>
      <c r="R223" s="26">
        <f>IF(B223="","",ROUND(IF(F223="",0,F223)+IF(G223="",0,G223),2))</f>
        <v>0</v>
      </c>
      <c r="S223" s="26">
        <f>IF(B223="","",IF(I223&lt;&gt;"Yes",0,ROUND(IF(F223="",0,F223)*IF(J223="Weekly",52/12,IF(J223="Fortnightly",26/12,IF(J223="Four weekly",13/12,IF(J223="Monthly",1,IF(J223="Quarterly",1/3,IF(J223="Twice a year",1/6,IF(J223="Yearly",1/12,0))))))),2)))</f>
        <v>0</v>
      </c>
      <c r="T223" s="38">
        <f>IF(B223="","",IF(I223="Yes","Yes","No"))</f>
        <v>0</v>
      </c>
      <c r="U223" s="25">
        <f>IF(B223="","",IF(L223="Yes","",IF(K223="","",TodayDate-K223)))</f>
        <v>0</v>
      </c>
      <c r="V223" s="39">
        <f>IF(B223="","",IF(L223="Yes","Paid",IF(K223="","Pending",IF(K223&lt;TodayDate,"Overdue",IF(K223&lt;=TodayDate+7,"Due soon","Pending")))))</f>
        <v>0</v>
      </c>
      <c r="W223" s="26">
        <f>IF(B223="","",IFERROR(INDEX(BudgetAmount,MATCH(C223,BudgetCategory,0))*1,0))</f>
        <v>0</v>
      </c>
      <c r="X223" s="25">
        <f>IF(B223="","",COUNTIFS($R$5:$R$604,"&gt;"&amp;R223)+COUNTIFS($R$5:R223,R223))</f>
        <v>0</v>
      </c>
      <c r="Y223" s="39">
        <f>IF(B223="","",IF(F223="","Add - no amount",IF(C223="","Add - no category, it will miss the P&amp;L",IF(V223="Overdue","Overdue - pay it",IF(V223="Due soon","Due - coming up",IF(IF(I223="Yes",J223="",FALSE),"Add - how often does it recur?",IF(L223="Yes","OK","Pending")))))))</f>
        <v>0</v>
      </c>
    </row>
    <row r="224" spans="1:25">
      <c r="A224" s="28">
        <f>IF(B224="","",ExpensePrefix&amp;TEXT(ROW()-4,"0000"))</f>
        <v>0</v>
      </c>
      <c r="P224" s="15">
        <f>IF(B224="","",TEXT(B224,"yyyy-mm"))</f>
        <v>0</v>
      </c>
      <c r="Q224" s="25">
        <f>IF(B224="","",WEEKNUM(B224,2))</f>
        <v>0</v>
      </c>
      <c r="R224" s="26">
        <f>IF(B224="","",ROUND(IF(F224="",0,F224)+IF(G224="",0,G224),2))</f>
        <v>0</v>
      </c>
      <c r="S224" s="26">
        <f>IF(B224="","",IF(I224&lt;&gt;"Yes",0,ROUND(IF(F224="",0,F224)*IF(J224="Weekly",52/12,IF(J224="Fortnightly",26/12,IF(J224="Four weekly",13/12,IF(J224="Monthly",1,IF(J224="Quarterly",1/3,IF(J224="Twice a year",1/6,IF(J224="Yearly",1/12,0))))))),2)))</f>
        <v>0</v>
      </c>
      <c r="T224" s="38">
        <f>IF(B224="","",IF(I224="Yes","Yes","No"))</f>
        <v>0</v>
      </c>
      <c r="U224" s="25">
        <f>IF(B224="","",IF(L224="Yes","",IF(K224="","",TodayDate-K224)))</f>
        <v>0</v>
      </c>
      <c r="V224" s="39">
        <f>IF(B224="","",IF(L224="Yes","Paid",IF(K224="","Pending",IF(K224&lt;TodayDate,"Overdue",IF(K224&lt;=TodayDate+7,"Due soon","Pending")))))</f>
        <v>0</v>
      </c>
      <c r="W224" s="26">
        <f>IF(B224="","",IFERROR(INDEX(BudgetAmount,MATCH(C224,BudgetCategory,0))*1,0))</f>
        <v>0</v>
      </c>
      <c r="X224" s="25">
        <f>IF(B224="","",COUNTIFS($R$5:$R$604,"&gt;"&amp;R224)+COUNTIFS($R$5:R224,R224))</f>
        <v>0</v>
      </c>
      <c r="Y224" s="39">
        <f>IF(B224="","",IF(F224="","Add - no amount",IF(C224="","Add - no category, it will miss the P&amp;L",IF(V224="Overdue","Overdue - pay it",IF(V224="Due soon","Due - coming up",IF(IF(I224="Yes",J224="",FALSE),"Add - how often does it recur?",IF(L224="Yes","OK","Pending")))))))</f>
        <v>0</v>
      </c>
    </row>
    <row r="225" spans="1:25">
      <c r="A225" s="28">
        <f>IF(B225="","",ExpensePrefix&amp;TEXT(ROW()-4,"0000"))</f>
        <v>0</v>
      </c>
      <c r="P225" s="15">
        <f>IF(B225="","",TEXT(B225,"yyyy-mm"))</f>
        <v>0</v>
      </c>
      <c r="Q225" s="25">
        <f>IF(B225="","",WEEKNUM(B225,2))</f>
        <v>0</v>
      </c>
      <c r="R225" s="26">
        <f>IF(B225="","",ROUND(IF(F225="",0,F225)+IF(G225="",0,G225),2))</f>
        <v>0</v>
      </c>
      <c r="S225" s="26">
        <f>IF(B225="","",IF(I225&lt;&gt;"Yes",0,ROUND(IF(F225="",0,F225)*IF(J225="Weekly",52/12,IF(J225="Fortnightly",26/12,IF(J225="Four weekly",13/12,IF(J225="Monthly",1,IF(J225="Quarterly",1/3,IF(J225="Twice a year",1/6,IF(J225="Yearly",1/12,0))))))),2)))</f>
        <v>0</v>
      </c>
      <c r="T225" s="38">
        <f>IF(B225="","",IF(I225="Yes","Yes","No"))</f>
        <v>0</v>
      </c>
      <c r="U225" s="25">
        <f>IF(B225="","",IF(L225="Yes","",IF(K225="","",TodayDate-K225)))</f>
        <v>0</v>
      </c>
      <c r="V225" s="39">
        <f>IF(B225="","",IF(L225="Yes","Paid",IF(K225="","Pending",IF(K225&lt;TodayDate,"Overdue",IF(K225&lt;=TodayDate+7,"Due soon","Pending")))))</f>
        <v>0</v>
      </c>
      <c r="W225" s="26">
        <f>IF(B225="","",IFERROR(INDEX(BudgetAmount,MATCH(C225,BudgetCategory,0))*1,0))</f>
        <v>0</v>
      </c>
      <c r="X225" s="25">
        <f>IF(B225="","",COUNTIFS($R$5:$R$604,"&gt;"&amp;R225)+COUNTIFS($R$5:R225,R225))</f>
        <v>0</v>
      </c>
      <c r="Y225" s="39">
        <f>IF(B225="","",IF(F225="","Add - no amount",IF(C225="","Add - no category, it will miss the P&amp;L",IF(V225="Overdue","Overdue - pay it",IF(V225="Due soon","Due - coming up",IF(IF(I225="Yes",J225="",FALSE),"Add - how often does it recur?",IF(L225="Yes","OK","Pending")))))))</f>
        <v>0</v>
      </c>
    </row>
    <row r="226" spans="1:25">
      <c r="A226" s="28">
        <f>IF(B226="","",ExpensePrefix&amp;TEXT(ROW()-4,"0000"))</f>
        <v>0</v>
      </c>
      <c r="P226" s="15">
        <f>IF(B226="","",TEXT(B226,"yyyy-mm"))</f>
        <v>0</v>
      </c>
      <c r="Q226" s="25">
        <f>IF(B226="","",WEEKNUM(B226,2))</f>
        <v>0</v>
      </c>
      <c r="R226" s="26">
        <f>IF(B226="","",ROUND(IF(F226="",0,F226)+IF(G226="",0,G226),2))</f>
        <v>0</v>
      </c>
      <c r="S226" s="26">
        <f>IF(B226="","",IF(I226&lt;&gt;"Yes",0,ROUND(IF(F226="",0,F226)*IF(J226="Weekly",52/12,IF(J226="Fortnightly",26/12,IF(J226="Four weekly",13/12,IF(J226="Monthly",1,IF(J226="Quarterly",1/3,IF(J226="Twice a year",1/6,IF(J226="Yearly",1/12,0))))))),2)))</f>
        <v>0</v>
      </c>
      <c r="T226" s="38">
        <f>IF(B226="","",IF(I226="Yes","Yes","No"))</f>
        <v>0</v>
      </c>
      <c r="U226" s="25">
        <f>IF(B226="","",IF(L226="Yes","",IF(K226="","",TodayDate-K226)))</f>
        <v>0</v>
      </c>
      <c r="V226" s="39">
        <f>IF(B226="","",IF(L226="Yes","Paid",IF(K226="","Pending",IF(K226&lt;TodayDate,"Overdue",IF(K226&lt;=TodayDate+7,"Due soon","Pending")))))</f>
        <v>0</v>
      </c>
      <c r="W226" s="26">
        <f>IF(B226="","",IFERROR(INDEX(BudgetAmount,MATCH(C226,BudgetCategory,0))*1,0))</f>
        <v>0</v>
      </c>
      <c r="X226" s="25">
        <f>IF(B226="","",COUNTIFS($R$5:$R$604,"&gt;"&amp;R226)+COUNTIFS($R$5:R226,R226))</f>
        <v>0</v>
      </c>
      <c r="Y226" s="39">
        <f>IF(B226="","",IF(F226="","Add - no amount",IF(C226="","Add - no category, it will miss the P&amp;L",IF(V226="Overdue","Overdue - pay it",IF(V226="Due soon","Due - coming up",IF(IF(I226="Yes",J226="",FALSE),"Add - how often does it recur?",IF(L226="Yes","OK","Pending")))))))</f>
        <v>0</v>
      </c>
    </row>
    <row r="227" spans="1:25">
      <c r="A227" s="28">
        <f>IF(B227="","",ExpensePrefix&amp;TEXT(ROW()-4,"0000"))</f>
        <v>0</v>
      </c>
      <c r="P227" s="15">
        <f>IF(B227="","",TEXT(B227,"yyyy-mm"))</f>
        <v>0</v>
      </c>
      <c r="Q227" s="25">
        <f>IF(B227="","",WEEKNUM(B227,2))</f>
        <v>0</v>
      </c>
      <c r="R227" s="26">
        <f>IF(B227="","",ROUND(IF(F227="",0,F227)+IF(G227="",0,G227),2))</f>
        <v>0</v>
      </c>
      <c r="S227" s="26">
        <f>IF(B227="","",IF(I227&lt;&gt;"Yes",0,ROUND(IF(F227="",0,F227)*IF(J227="Weekly",52/12,IF(J227="Fortnightly",26/12,IF(J227="Four weekly",13/12,IF(J227="Monthly",1,IF(J227="Quarterly",1/3,IF(J227="Twice a year",1/6,IF(J227="Yearly",1/12,0))))))),2)))</f>
        <v>0</v>
      </c>
      <c r="T227" s="38">
        <f>IF(B227="","",IF(I227="Yes","Yes","No"))</f>
        <v>0</v>
      </c>
      <c r="U227" s="25">
        <f>IF(B227="","",IF(L227="Yes","",IF(K227="","",TodayDate-K227)))</f>
        <v>0</v>
      </c>
      <c r="V227" s="39">
        <f>IF(B227="","",IF(L227="Yes","Paid",IF(K227="","Pending",IF(K227&lt;TodayDate,"Overdue",IF(K227&lt;=TodayDate+7,"Due soon","Pending")))))</f>
        <v>0</v>
      </c>
      <c r="W227" s="26">
        <f>IF(B227="","",IFERROR(INDEX(BudgetAmount,MATCH(C227,BudgetCategory,0))*1,0))</f>
        <v>0</v>
      </c>
      <c r="X227" s="25">
        <f>IF(B227="","",COUNTIFS($R$5:$R$604,"&gt;"&amp;R227)+COUNTIFS($R$5:R227,R227))</f>
        <v>0</v>
      </c>
      <c r="Y227" s="39">
        <f>IF(B227="","",IF(F227="","Add - no amount",IF(C227="","Add - no category, it will miss the P&amp;L",IF(V227="Overdue","Overdue - pay it",IF(V227="Due soon","Due - coming up",IF(IF(I227="Yes",J227="",FALSE),"Add - how often does it recur?",IF(L227="Yes","OK","Pending")))))))</f>
        <v>0</v>
      </c>
    </row>
    <row r="228" spans="1:25">
      <c r="A228" s="28">
        <f>IF(B228="","",ExpensePrefix&amp;TEXT(ROW()-4,"0000"))</f>
        <v>0</v>
      </c>
      <c r="P228" s="15">
        <f>IF(B228="","",TEXT(B228,"yyyy-mm"))</f>
        <v>0</v>
      </c>
      <c r="Q228" s="25">
        <f>IF(B228="","",WEEKNUM(B228,2))</f>
        <v>0</v>
      </c>
      <c r="R228" s="26">
        <f>IF(B228="","",ROUND(IF(F228="",0,F228)+IF(G228="",0,G228),2))</f>
        <v>0</v>
      </c>
      <c r="S228" s="26">
        <f>IF(B228="","",IF(I228&lt;&gt;"Yes",0,ROUND(IF(F228="",0,F228)*IF(J228="Weekly",52/12,IF(J228="Fortnightly",26/12,IF(J228="Four weekly",13/12,IF(J228="Monthly",1,IF(J228="Quarterly",1/3,IF(J228="Twice a year",1/6,IF(J228="Yearly",1/12,0))))))),2)))</f>
        <v>0</v>
      </c>
      <c r="T228" s="38">
        <f>IF(B228="","",IF(I228="Yes","Yes","No"))</f>
        <v>0</v>
      </c>
      <c r="U228" s="25">
        <f>IF(B228="","",IF(L228="Yes","",IF(K228="","",TodayDate-K228)))</f>
        <v>0</v>
      </c>
      <c r="V228" s="39">
        <f>IF(B228="","",IF(L228="Yes","Paid",IF(K228="","Pending",IF(K228&lt;TodayDate,"Overdue",IF(K228&lt;=TodayDate+7,"Due soon","Pending")))))</f>
        <v>0</v>
      </c>
      <c r="W228" s="26">
        <f>IF(B228="","",IFERROR(INDEX(BudgetAmount,MATCH(C228,BudgetCategory,0))*1,0))</f>
        <v>0</v>
      </c>
      <c r="X228" s="25">
        <f>IF(B228="","",COUNTIFS($R$5:$R$604,"&gt;"&amp;R228)+COUNTIFS($R$5:R228,R228))</f>
        <v>0</v>
      </c>
      <c r="Y228" s="39">
        <f>IF(B228="","",IF(F228="","Add - no amount",IF(C228="","Add - no category, it will miss the P&amp;L",IF(V228="Overdue","Overdue - pay it",IF(V228="Due soon","Due - coming up",IF(IF(I228="Yes",J228="",FALSE),"Add - how often does it recur?",IF(L228="Yes","OK","Pending")))))))</f>
        <v>0</v>
      </c>
    </row>
    <row r="229" spans="1:25">
      <c r="A229" s="28">
        <f>IF(B229="","",ExpensePrefix&amp;TEXT(ROW()-4,"0000"))</f>
        <v>0</v>
      </c>
      <c r="P229" s="15">
        <f>IF(B229="","",TEXT(B229,"yyyy-mm"))</f>
        <v>0</v>
      </c>
      <c r="Q229" s="25">
        <f>IF(B229="","",WEEKNUM(B229,2))</f>
        <v>0</v>
      </c>
      <c r="R229" s="26">
        <f>IF(B229="","",ROUND(IF(F229="",0,F229)+IF(G229="",0,G229),2))</f>
        <v>0</v>
      </c>
      <c r="S229" s="26">
        <f>IF(B229="","",IF(I229&lt;&gt;"Yes",0,ROUND(IF(F229="",0,F229)*IF(J229="Weekly",52/12,IF(J229="Fortnightly",26/12,IF(J229="Four weekly",13/12,IF(J229="Monthly",1,IF(J229="Quarterly",1/3,IF(J229="Twice a year",1/6,IF(J229="Yearly",1/12,0))))))),2)))</f>
        <v>0</v>
      </c>
      <c r="T229" s="38">
        <f>IF(B229="","",IF(I229="Yes","Yes","No"))</f>
        <v>0</v>
      </c>
      <c r="U229" s="25">
        <f>IF(B229="","",IF(L229="Yes","",IF(K229="","",TodayDate-K229)))</f>
        <v>0</v>
      </c>
      <c r="V229" s="39">
        <f>IF(B229="","",IF(L229="Yes","Paid",IF(K229="","Pending",IF(K229&lt;TodayDate,"Overdue",IF(K229&lt;=TodayDate+7,"Due soon","Pending")))))</f>
        <v>0</v>
      </c>
      <c r="W229" s="26">
        <f>IF(B229="","",IFERROR(INDEX(BudgetAmount,MATCH(C229,BudgetCategory,0))*1,0))</f>
        <v>0</v>
      </c>
      <c r="X229" s="25">
        <f>IF(B229="","",COUNTIFS($R$5:$R$604,"&gt;"&amp;R229)+COUNTIFS($R$5:R229,R229))</f>
        <v>0</v>
      </c>
      <c r="Y229" s="39">
        <f>IF(B229="","",IF(F229="","Add - no amount",IF(C229="","Add - no category, it will miss the P&amp;L",IF(V229="Overdue","Overdue - pay it",IF(V229="Due soon","Due - coming up",IF(IF(I229="Yes",J229="",FALSE),"Add - how often does it recur?",IF(L229="Yes","OK","Pending")))))))</f>
        <v>0</v>
      </c>
    </row>
    <row r="230" spans="1:25">
      <c r="A230" s="28">
        <f>IF(B230="","",ExpensePrefix&amp;TEXT(ROW()-4,"0000"))</f>
        <v>0</v>
      </c>
      <c r="P230" s="15">
        <f>IF(B230="","",TEXT(B230,"yyyy-mm"))</f>
        <v>0</v>
      </c>
      <c r="Q230" s="25">
        <f>IF(B230="","",WEEKNUM(B230,2))</f>
        <v>0</v>
      </c>
      <c r="R230" s="26">
        <f>IF(B230="","",ROUND(IF(F230="",0,F230)+IF(G230="",0,G230),2))</f>
        <v>0</v>
      </c>
      <c r="S230" s="26">
        <f>IF(B230="","",IF(I230&lt;&gt;"Yes",0,ROUND(IF(F230="",0,F230)*IF(J230="Weekly",52/12,IF(J230="Fortnightly",26/12,IF(J230="Four weekly",13/12,IF(J230="Monthly",1,IF(J230="Quarterly",1/3,IF(J230="Twice a year",1/6,IF(J230="Yearly",1/12,0))))))),2)))</f>
        <v>0</v>
      </c>
      <c r="T230" s="38">
        <f>IF(B230="","",IF(I230="Yes","Yes","No"))</f>
        <v>0</v>
      </c>
      <c r="U230" s="25">
        <f>IF(B230="","",IF(L230="Yes","",IF(K230="","",TodayDate-K230)))</f>
        <v>0</v>
      </c>
      <c r="V230" s="39">
        <f>IF(B230="","",IF(L230="Yes","Paid",IF(K230="","Pending",IF(K230&lt;TodayDate,"Overdue",IF(K230&lt;=TodayDate+7,"Due soon","Pending")))))</f>
        <v>0</v>
      </c>
      <c r="W230" s="26">
        <f>IF(B230="","",IFERROR(INDEX(BudgetAmount,MATCH(C230,BudgetCategory,0))*1,0))</f>
        <v>0</v>
      </c>
      <c r="X230" s="25">
        <f>IF(B230="","",COUNTIFS($R$5:$R$604,"&gt;"&amp;R230)+COUNTIFS($R$5:R230,R230))</f>
        <v>0</v>
      </c>
      <c r="Y230" s="39">
        <f>IF(B230="","",IF(F230="","Add - no amount",IF(C230="","Add - no category, it will miss the P&amp;L",IF(V230="Overdue","Overdue - pay it",IF(V230="Due soon","Due - coming up",IF(IF(I230="Yes",J230="",FALSE),"Add - how often does it recur?",IF(L230="Yes","OK","Pending")))))))</f>
        <v>0</v>
      </c>
    </row>
    <row r="231" spans="1:25">
      <c r="A231" s="28">
        <f>IF(B231="","",ExpensePrefix&amp;TEXT(ROW()-4,"0000"))</f>
        <v>0</v>
      </c>
      <c r="P231" s="15">
        <f>IF(B231="","",TEXT(B231,"yyyy-mm"))</f>
        <v>0</v>
      </c>
      <c r="Q231" s="25">
        <f>IF(B231="","",WEEKNUM(B231,2))</f>
        <v>0</v>
      </c>
      <c r="R231" s="26">
        <f>IF(B231="","",ROUND(IF(F231="",0,F231)+IF(G231="",0,G231),2))</f>
        <v>0</v>
      </c>
      <c r="S231" s="26">
        <f>IF(B231="","",IF(I231&lt;&gt;"Yes",0,ROUND(IF(F231="",0,F231)*IF(J231="Weekly",52/12,IF(J231="Fortnightly",26/12,IF(J231="Four weekly",13/12,IF(J231="Monthly",1,IF(J231="Quarterly",1/3,IF(J231="Twice a year",1/6,IF(J231="Yearly",1/12,0))))))),2)))</f>
        <v>0</v>
      </c>
      <c r="T231" s="38">
        <f>IF(B231="","",IF(I231="Yes","Yes","No"))</f>
        <v>0</v>
      </c>
      <c r="U231" s="25">
        <f>IF(B231="","",IF(L231="Yes","",IF(K231="","",TodayDate-K231)))</f>
        <v>0</v>
      </c>
      <c r="V231" s="39">
        <f>IF(B231="","",IF(L231="Yes","Paid",IF(K231="","Pending",IF(K231&lt;TodayDate,"Overdue",IF(K231&lt;=TodayDate+7,"Due soon","Pending")))))</f>
        <v>0</v>
      </c>
      <c r="W231" s="26">
        <f>IF(B231="","",IFERROR(INDEX(BudgetAmount,MATCH(C231,BudgetCategory,0))*1,0))</f>
        <v>0</v>
      </c>
      <c r="X231" s="25">
        <f>IF(B231="","",COUNTIFS($R$5:$R$604,"&gt;"&amp;R231)+COUNTIFS($R$5:R231,R231))</f>
        <v>0</v>
      </c>
      <c r="Y231" s="39">
        <f>IF(B231="","",IF(F231="","Add - no amount",IF(C231="","Add - no category, it will miss the P&amp;L",IF(V231="Overdue","Overdue - pay it",IF(V231="Due soon","Due - coming up",IF(IF(I231="Yes",J231="",FALSE),"Add - how often does it recur?",IF(L231="Yes","OK","Pending")))))))</f>
        <v>0</v>
      </c>
    </row>
    <row r="232" spans="1:25">
      <c r="A232" s="28">
        <f>IF(B232="","",ExpensePrefix&amp;TEXT(ROW()-4,"0000"))</f>
        <v>0</v>
      </c>
      <c r="P232" s="15">
        <f>IF(B232="","",TEXT(B232,"yyyy-mm"))</f>
        <v>0</v>
      </c>
      <c r="Q232" s="25">
        <f>IF(B232="","",WEEKNUM(B232,2))</f>
        <v>0</v>
      </c>
      <c r="R232" s="26">
        <f>IF(B232="","",ROUND(IF(F232="",0,F232)+IF(G232="",0,G232),2))</f>
        <v>0</v>
      </c>
      <c r="S232" s="26">
        <f>IF(B232="","",IF(I232&lt;&gt;"Yes",0,ROUND(IF(F232="",0,F232)*IF(J232="Weekly",52/12,IF(J232="Fortnightly",26/12,IF(J232="Four weekly",13/12,IF(J232="Monthly",1,IF(J232="Quarterly",1/3,IF(J232="Twice a year",1/6,IF(J232="Yearly",1/12,0))))))),2)))</f>
        <v>0</v>
      </c>
      <c r="T232" s="38">
        <f>IF(B232="","",IF(I232="Yes","Yes","No"))</f>
        <v>0</v>
      </c>
      <c r="U232" s="25">
        <f>IF(B232="","",IF(L232="Yes","",IF(K232="","",TodayDate-K232)))</f>
        <v>0</v>
      </c>
      <c r="V232" s="39">
        <f>IF(B232="","",IF(L232="Yes","Paid",IF(K232="","Pending",IF(K232&lt;TodayDate,"Overdue",IF(K232&lt;=TodayDate+7,"Due soon","Pending")))))</f>
        <v>0</v>
      </c>
      <c r="W232" s="26">
        <f>IF(B232="","",IFERROR(INDEX(BudgetAmount,MATCH(C232,BudgetCategory,0))*1,0))</f>
        <v>0</v>
      </c>
      <c r="X232" s="25">
        <f>IF(B232="","",COUNTIFS($R$5:$R$604,"&gt;"&amp;R232)+COUNTIFS($R$5:R232,R232))</f>
        <v>0</v>
      </c>
      <c r="Y232" s="39">
        <f>IF(B232="","",IF(F232="","Add - no amount",IF(C232="","Add - no category, it will miss the P&amp;L",IF(V232="Overdue","Overdue - pay it",IF(V232="Due soon","Due - coming up",IF(IF(I232="Yes",J232="",FALSE),"Add - how often does it recur?",IF(L232="Yes","OK","Pending")))))))</f>
        <v>0</v>
      </c>
    </row>
    <row r="233" spans="1:25">
      <c r="A233" s="28">
        <f>IF(B233="","",ExpensePrefix&amp;TEXT(ROW()-4,"0000"))</f>
        <v>0</v>
      </c>
      <c r="P233" s="15">
        <f>IF(B233="","",TEXT(B233,"yyyy-mm"))</f>
        <v>0</v>
      </c>
      <c r="Q233" s="25">
        <f>IF(B233="","",WEEKNUM(B233,2))</f>
        <v>0</v>
      </c>
      <c r="R233" s="26">
        <f>IF(B233="","",ROUND(IF(F233="",0,F233)+IF(G233="",0,G233),2))</f>
        <v>0</v>
      </c>
      <c r="S233" s="26">
        <f>IF(B233="","",IF(I233&lt;&gt;"Yes",0,ROUND(IF(F233="",0,F233)*IF(J233="Weekly",52/12,IF(J233="Fortnightly",26/12,IF(J233="Four weekly",13/12,IF(J233="Monthly",1,IF(J233="Quarterly",1/3,IF(J233="Twice a year",1/6,IF(J233="Yearly",1/12,0))))))),2)))</f>
        <v>0</v>
      </c>
      <c r="T233" s="38">
        <f>IF(B233="","",IF(I233="Yes","Yes","No"))</f>
        <v>0</v>
      </c>
      <c r="U233" s="25">
        <f>IF(B233="","",IF(L233="Yes","",IF(K233="","",TodayDate-K233)))</f>
        <v>0</v>
      </c>
      <c r="V233" s="39">
        <f>IF(B233="","",IF(L233="Yes","Paid",IF(K233="","Pending",IF(K233&lt;TodayDate,"Overdue",IF(K233&lt;=TodayDate+7,"Due soon","Pending")))))</f>
        <v>0</v>
      </c>
      <c r="W233" s="26">
        <f>IF(B233="","",IFERROR(INDEX(BudgetAmount,MATCH(C233,BudgetCategory,0))*1,0))</f>
        <v>0</v>
      </c>
      <c r="X233" s="25">
        <f>IF(B233="","",COUNTIFS($R$5:$R$604,"&gt;"&amp;R233)+COUNTIFS($R$5:R233,R233))</f>
        <v>0</v>
      </c>
      <c r="Y233" s="39">
        <f>IF(B233="","",IF(F233="","Add - no amount",IF(C233="","Add - no category, it will miss the P&amp;L",IF(V233="Overdue","Overdue - pay it",IF(V233="Due soon","Due - coming up",IF(IF(I233="Yes",J233="",FALSE),"Add - how often does it recur?",IF(L233="Yes","OK","Pending")))))))</f>
        <v>0</v>
      </c>
    </row>
    <row r="234" spans="1:25">
      <c r="A234" s="28">
        <f>IF(B234="","",ExpensePrefix&amp;TEXT(ROW()-4,"0000"))</f>
        <v>0</v>
      </c>
      <c r="P234" s="15">
        <f>IF(B234="","",TEXT(B234,"yyyy-mm"))</f>
        <v>0</v>
      </c>
      <c r="Q234" s="25">
        <f>IF(B234="","",WEEKNUM(B234,2))</f>
        <v>0</v>
      </c>
      <c r="R234" s="26">
        <f>IF(B234="","",ROUND(IF(F234="",0,F234)+IF(G234="",0,G234),2))</f>
        <v>0</v>
      </c>
      <c r="S234" s="26">
        <f>IF(B234="","",IF(I234&lt;&gt;"Yes",0,ROUND(IF(F234="",0,F234)*IF(J234="Weekly",52/12,IF(J234="Fortnightly",26/12,IF(J234="Four weekly",13/12,IF(J234="Monthly",1,IF(J234="Quarterly",1/3,IF(J234="Twice a year",1/6,IF(J234="Yearly",1/12,0))))))),2)))</f>
        <v>0</v>
      </c>
      <c r="T234" s="38">
        <f>IF(B234="","",IF(I234="Yes","Yes","No"))</f>
        <v>0</v>
      </c>
      <c r="U234" s="25">
        <f>IF(B234="","",IF(L234="Yes","",IF(K234="","",TodayDate-K234)))</f>
        <v>0</v>
      </c>
      <c r="V234" s="39">
        <f>IF(B234="","",IF(L234="Yes","Paid",IF(K234="","Pending",IF(K234&lt;TodayDate,"Overdue",IF(K234&lt;=TodayDate+7,"Due soon","Pending")))))</f>
        <v>0</v>
      </c>
      <c r="W234" s="26">
        <f>IF(B234="","",IFERROR(INDEX(BudgetAmount,MATCH(C234,BudgetCategory,0))*1,0))</f>
        <v>0</v>
      </c>
      <c r="X234" s="25">
        <f>IF(B234="","",COUNTIFS($R$5:$R$604,"&gt;"&amp;R234)+COUNTIFS($R$5:R234,R234))</f>
        <v>0</v>
      </c>
      <c r="Y234" s="39">
        <f>IF(B234="","",IF(F234="","Add - no amount",IF(C234="","Add - no category, it will miss the P&amp;L",IF(V234="Overdue","Overdue - pay it",IF(V234="Due soon","Due - coming up",IF(IF(I234="Yes",J234="",FALSE),"Add - how often does it recur?",IF(L234="Yes","OK","Pending")))))))</f>
        <v>0</v>
      </c>
    </row>
    <row r="235" spans="1:25">
      <c r="A235" s="28">
        <f>IF(B235="","",ExpensePrefix&amp;TEXT(ROW()-4,"0000"))</f>
        <v>0</v>
      </c>
      <c r="P235" s="15">
        <f>IF(B235="","",TEXT(B235,"yyyy-mm"))</f>
        <v>0</v>
      </c>
      <c r="Q235" s="25">
        <f>IF(B235="","",WEEKNUM(B235,2))</f>
        <v>0</v>
      </c>
      <c r="R235" s="26">
        <f>IF(B235="","",ROUND(IF(F235="",0,F235)+IF(G235="",0,G235),2))</f>
        <v>0</v>
      </c>
      <c r="S235" s="26">
        <f>IF(B235="","",IF(I235&lt;&gt;"Yes",0,ROUND(IF(F235="",0,F235)*IF(J235="Weekly",52/12,IF(J235="Fortnightly",26/12,IF(J235="Four weekly",13/12,IF(J235="Monthly",1,IF(J235="Quarterly",1/3,IF(J235="Twice a year",1/6,IF(J235="Yearly",1/12,0))))))),2)))</f>
        <v>0</v>
      </c>
      <c r="T235" s="38">
        <f>IF(B235="","",IF(I235="Yes","Yes","No"))</f>
        <v>0</v>
      </c>
      <c r="U235" s="25">
        <f>IF(B235="","",IF(L235="Yes","",IF(K235="","",TodayDate-K235)))</f>
        <v>0</v>
      </c>
      <c r="V235" s="39">
        <f>IF(B235="","",IF(L235="Yes","Paid",IF(K235="","Pending",IF(K235&lt;TodayDate,"Overdue",IF(K235&lt;=TodayDate+7,"Due soon","Pending")))))</f>
        <v>0</v>
      </c>
      <c r="W235" s="26">
        <f>IF(B235="","",IFERROR(INDEX(BudgetAmount,MATCH(C235,BudgetCategory,0))*1,0))</f>
        <v>0</v>
      </c>
      <c r="X235" s="25">
        <f>IF(B235="","",COUNTIFS($R$5:$R$604,"&gt;"&amp;R235)+COUNTIFS($R$5:R235,R235))</f>
        <v>0</v>
      </c>
      <c r="Y235" s="39">
        <f>IF(B235="","",IF(F235="","Add - no amount",IF(C235="","Add - no category, it will miss the P&amp;L",IF(V235="Overdue","Overdue - pay it",IF(V235="Due soon","Due - coming up",IF(IF(I235="Yes",J235="",FALSE),"Add - how often does it recur?",IF(L235="Yes","OK","Pending")))))))</f>
        <v>0</v>
      </c>
    </row>
    <row r="236" spans="1:25">
      <c r="A236" s="28">
        <f>IF(B236="","",ExpensePrefix&amp;TEXT(ROW()-4,"0000"))</f>
        <v>0</v>
      </c>
      <c r="P236" s="15">
        <f>IF(B236="","",TEXT(B236,"yyyy-mm"))</f>
        <v>0</v>
      </c>
      <c r="Q236" s="25">
        <f>IF(B236="","",WEEKNUM(B236,2))</f>
        <v>0</v>
      </c>
      <c r="R236" s="26">
        <f>IF(B236="","",ROUND(IF(F236="",0,F236)+IF(G236="",0,G236),2))</f>
        <v>0</v>
      </c>
      <c r="S236" s="26">
        <f>IF(B236="","",IF(I236&lt;&gt;"Yes",0,ROUND(IF(F236="",0,F236)*IF(J236="Weekly",52/12,IF(J236="Fortnightly",26/12,IF(J236="Four weekly",13/12,IF(J236="Monthly",1,IF(J236="Quarterly",1/3,IF(J236="Twice a year",1/6,IF(J236="Yearly",1/12,0))))))),2)))</f>
        <v>0</v>
      </c>
      <c r="T236" s="38">
        <f>IF(B236="","",IF(I236="Yes","Yes","No"))</f>
        <v>0</v>
      </c>
      <c r="U236" s="25">
        <f>IF(B236="","",IF(L236="Yes","",IF(K236="","",TodayDate-K236)))</f>
        <v>0</v>
      </c>
      <c r="V236" s="39">
        <f>IF(B236="","",IF(L236="Yes","Paid",IF(K236="","Pending",IF(K236&lt;TodayDate,"Overdue",IF(K236&lt;=TodayDate+7,"Due soon","Pending")))))</f>
        <v>0</v>
      </c>
      <c r="W236" s="26">
        <f>IF(B236="","",IFERROR(INDEX(BudgetAmount,MATCH(C236,BudgetCategory,0))*1,0))</f>
        <v>0</v>
      </c>
      <c r="X236" s="25">
        <f>IF(B236="","",COUNTIFS($R$5:$R$604,"&gt;"&amp;R236)+COUNTIFS($R$5:R236,R236))</f>
        <v>0</v>
      </c>
      <c r="Y236" s="39">
        <f>IF(B236="","",IF(F236="","Add - no amount",IF(C236="","Add - no category, it will miss the P&amp;L",IF(V236="Overdue","Overdue - pay it",IF(V236="Due soon","Due - coming up",IF(IF(I236="Yes",J236="",FALSE),"Add - how often does it recur?",IF(L236="Yes","OK","Pending")))))))</f>
        <v>0</v>
      </c>
    </row>
    <row r="237" spans="1:25">
      <c r="A237" s="28">
        <f>IF(B237="","",ExpensePrefix&amp;TEXT(ROW()-4,"0000"))</f>
        <v>0</v>
      </c>
      <c r="P237" s="15">
        <f>IF(B237="","",TEXT(B237,"yyyy-mm"))</f>
        <v>0</v>
      </c>
      <c r="Q237" s="25">
        <f>IF(B237="","",WEEKNUM(B237,2))</f>
        <v>0</v>
      </c>
      <c r="R237" s="26">
        <f>IF(B237="","",ROUND(IF(F237="",0,F237)+IF(G237="",0,G237),2))</f>
        <v>0</v>
      </c>
      <c r="S237" s="26">
        <f>IF(B237="","",IF(I237&lt;&gt;"Yes",0,ROUND(IF(F237="",0,F237)*IF(J237="Weekly",52/12,IF(J237="Fortnightly",26/12,IF(J237="Four weekly",13/12,IF(J237="Monthly",1,IF(J237="Quarterly",1/3,IF(J237="Twice a year",1/6,IF(J237="Yearly",1/12,0))))))),2)))</f>
        <v>0</v>
      </c>
      <c r="T237" s="38">
        <f>IF(B237="","",IF(I237="Yes","Yes","No"))</f>
        <v>0</v>
      </c>
      <c r="U237" s="25">
        <f>IF(B237="","",IF(L237="Yes","",IF(K237="","",TodayDate-K237)))</f>
        <v>0</v>
      </c>
      <c r="V237" s="39">
        <f>IF(B237="","",IF(L237="Yes","Paid",IF(K237="","Pending",IF(K237&lt;TodayDate,"Overdue",IF(K237&lt;=TodayDate+7,"Due soon","Pending")))))</f>
        <v>0</v>
      </c>
      <c r="W237" s="26">
        <f>IF(B237="","",IFERROR(INDEX(BudgetAmount,MATCH(C237,BudgetCategory,0))*1,0))</f>
        <v>0</v>
      </c>
      <c r="X237" s="25">
        <f>IF(B237="","",COUNTIFS($R$5:$R$604,"&gt;"&amp;R237)+COUNTIFS($R$5:R237,R237))</f>
        <v>0</v>
      </c>
      <c r="Y237" s="39">
        <f>IF(B237="","",IF(F237="","Add - no amount",IF(C237="","Add - no category, it will miss the P&amp;L",IF(V237="Overdue","Overdue - pay it",IF(V237="Due soon","Due - coming up",IF(IF(I237="Yes",J237="",FALSE),"Add - how often does it recur?",IF(L237="Yes","OK","Pending")))))))</f>
        <v>0</v>
      </c>
    </row>
    <row r="238" spans="1:25">
      <c r="A238" s="28">
        <f>IF(B238="","",ExpensePrefix&amp;TEXT(ROW()-4,"0000"))</f>
        <v>0</v>
      </c>
      <c r="P238" s="15">
        <f>IF(B238="","",TEXT(B238,"yyyy-mm"))</f>
        <v>0</v>
      </c>
      <c r="Q238" s="25">
        <f>IF(B238="","",WEEKNUM(B238,2))</f>
        <v>0</v>
      </c>
      <c r="R238" s="26">
        <f>IF(B238="","",ROUND(IF(F238="",0,F238)+IF(G238="",0,G238),2))</f>
        <v>0</v>
      </c>
      <c r="S238" s="26">
        <f>IF(B238="","",IF(I238&lt;&gt;"Yes",0,ROUND(IF(F238="",0,F238)*IF(J238="Weekly",52/12,IF(J238="Fortnightly",26/12,IF(J238="Four weekly",13/12,IF(J238="Monthly",1,IF(J238="Quarterly",1/3,IF(J238="Twice a year",1/6,IF(J238="Yearly",1/12,0))))))),2)))</f>
        <v>0</v>
      </c>
      <c r="T238" s="38">
        <f>IF(B238="","",IF(I238="Yes","Yes","No"))</f>
        <v>0</v>
      </c>
      <c r="U238" s="25">
        <f>IF(B238="","",IF(L238="Yes","",IF(K238="","",TodayDate-K238)))</f>
        <v>0</v>
      </c>
      <c r="V238" s="39">
        <f>IF(B238="","",IF(L238="Yes","Paid",IF(K238="","Pending",IF(K238&lt;TodayDate,"Overdue",IF(K238&lt;=TodayDate+7,"Due soon","Pending")))))</f>
        <v>0</v>
      </c>
      <c r="W238" s="26">
        <f>IF(B238="","",IFERROR(INDEX(BudgetAmount,MATCH(C238,BudgetCategory,0))*1,0))</f>
        <v>0</v>
      </c>
      <c r="X238" s="25">
        <f>IF(B238="","",COUNTIFS($R$5:$R$604,"&gt;"&amp;R238)+COUNTIFS($R$5:R238,R238))</f>
        <v>0</v>
      </c>
      <c r="Y238" s="39">
        <f>IF(B238="","",IF(F238="","Add - no amount",IF(C238="","Add - no category, it will miss the P&amp;L",IF(V238="Overdue","Overdue - pay it",IF(V238="Due soon","Due - coming up",IF(IF(I238="Yes",J238="",FALSE),"Add - how often does it recur?",IF(L238="Yes","OK","Pending")))))))</f>
        <v>0</v>
      </c>
    </row>
    <row r="239" spans="1:25">
      <c r="A239" s="28">
        <f>IF(B239="","",ExpensePrefix&amp;TEXT(ROW()-4,"0000"))</f>
        <v>0</v>
      </c>
      <c r="P239" s="15">
        <f>IF(B239="","",TEXT(B239,"yyyy-mm"))</f>
        <v>0</v>
      </c>
      <c r="Q239" s="25">
        <f>IF(B239="","",WEEKNUM(B239,2))</f>
        <v>0</v>
      </c>
      <c r="R239" s="26">
        <f>IF(B239="","",ROUND(IF(F239="",0,F239)+IF(G239="",0,G239),2))</f>
        <v>0</v>
      </c>
      <c r="S239" s="26">
        <f>IF(B239="","",IF(I239&lt;&gt;"Yes",0,ROUND(IF(F239="",0,F239)*IF(J239="Weekly",52/12,IF(J239="Fortnightly",26/12,IF(J239="Four weekly",13/12,IF(J239="Monthly",1,IF(J239="Quarterly",1/3,IF(J239="Twice a year",1/6,IF(J239="Yearly",1/12,0))))))),2)))</f>
        <v>0</v>
      </c>
      <c r="T239" s="38">
        <f>IF(B239="","",IF(I239="Yes","Yes","No"))</f>
        <v>0</v>
      </c>
      <c r="U239" s="25">
        <f>IF(B239="","",IF(L239="Yes","",IF(K239="","",TodayDate-K239)))</f>
        <v>0</v>
      </c>
      <c r="V239" s="39">
        <f>IF(B239="","",IF(L239="Yes","Paid",IF(K239="","Pending",IF(K239&lt;TodayDate,"Overdue",IF(K239&lt;=TodayDate+7,"Due soon","Pending")))))</f>
        <v>0</v>
      </c>
      <c r="W239" s="26">
        <f>IF(B239="","",IFERROR(INDEX(BudgetAmount,MATCH(C239,BudgetCategory,0))*1,0))</f>
        <v>0</v>
      </c>
      <c r="X239" s="25">
        <f>IF(B239="","",COUNTIFS($R$5:$R$604,"&gt;"&amp;R239)+COUNTIFS($R$5:R239,R239))</f>
        <v>0</v>
      </c>
      <c r="Y239" s="39">
        <f>IF(B239="","",IF(F239="","Add - no amount",IF(C239="","Add - no category, it will miss the P&amp;L",IF(V239="Overdue","Overdue - pay it",IF(V239="Due soon","Due - coming up",IF(IF(I239="Yes",J239="",FALSE),"Add - how often does it recur?",IF(L239="Yes","OK","Pending")))))))</f>
        <v>0</v>
      </c>
    </row>
    <row r="240" spans="1:25">
      <c r="A240" s="28">
        <f>IF(B240="","",ExpensePrefix&amp;TEXT(ROW()-4,"0000"))</f>
        <v>0</v>
      </c>
      <c r="P240" s="15">
        <f>IF(B240="","",TEXT(B240,"yyyy-mm"))</f>
        <v>0</v>
      </c>
      <c r="Q240" s="25">
        <f>IF(B240="","",WEEKNUM(B240,2))</f>
        <v>0</v>
      </c>
      <c r="R240" s="26">
        <f>IF(B240="","",ROUND(IF(F240="",0,F240)+IF(G240="",0,G240),2))</f>
        <v>0</v>
      </c>
      <c r="S240" s="26">
        <f>IF(B240="","",IF(I240&lt;&gt;"Yes",0,ROUND(IF(F240="",0,F240)*IF(J240="Weekly",52/12,IF(J240="Fortnightly",26/12,IF(J240="Four weekly",13/12,IF(J240="Monthly",1,IF(J240="Quarterly",1/3,IF(J240="Twice a year",1/6,IF(J240="Yearly",1/12,0))))))),2)))</f>
        <v>0</v>
      </c>
      <c r="T240" s="38">
        <f>IF(B240="","",IF(I240="Yes","Yes","No"))</f>
        <v>0</v>
      </c>
      <c r="U240" s="25">
        <f>IF(B240="","",IF(L240="Yes","",IF(K240="","",TodayDate-K240)))</f>
        <v>0</v>
      </c>
      <c r="V240" s="39">
        <f>IF(B240="","",IF(L240="Yes","Paid",IF(K240="","Pending",IF(K240&lt;TodayDate,"Overdue",IF(K240&lt;=TodayDate+7,"Due soon","Pending")))))</f>
        <v>0</v>
      </c>
      <c r="W240" s="26">
        <f>IF(B240="","",IFERROR(INDEX(BudgetAmount,MATCH(C240,BudgetCategory,0))*1,0))</f>
        <v>0</v>
      </c>
      <c r="X240" s="25">
        <f>IF(B240="","",COUNTIFS($R$5:$R$604,"&gt;"&amp;R240)+COUNTIFS($R$5:R240,R240))</f>
        <v>0</v>
      </c>
      <c r="Y240" s="39">
        <f>IF(B240="","",IF(F240="","Add - no amount",IF(C240="","Add - no category, it will miss the P&amp;L",IF(V240="Overdue","Overdue - pay it",IF(V240="Due soon","Due - coming up",IF(IF(I240="Yes",J240="",FALSE),"Add - how often does it recur?",IF(L240="Yes","OK","Pending")))))))</f>
        <v>0</v>
      </c>
    </row>
    <row r="241" spans="1:25">
      <c r="A241" s="28">
        <f>IF(B241="","",ExpensePrefix&amp;TEXT(ROW()-4,"0000"))</f>
        <v>0</v>
      </c>
      <c r="P241" s="15">
        <f>IF(B241="","",TEXT(B241,"yyyy-mm"))</f>
        <v>0</v>
      </c>
      <c r="Q241" s="25">
        <f>IF(B241="","",WEEKNUM(B241,2))</f>
        <v>0</v>
      </c>
      <c r="R241" s="26">
        <f>IF(B241="","",ROUND(IF(F241="",0,F241)+IF(G241="",0,G241),2))</f>
        <v>0</v>
      </c>
      <c r="S241" s="26">
        <f>IF(B241="","",IF(I241&lt;&gt;"Yes",0,ROUND(IF(F241="",0,F241)*IF(J241="Weekly",52/12,IF(J241="Fortnightly",26/12,IF(J241="Four weekly",13/12,IF(J241="Monthly",1,IF(J241="Quarterly",1/3,IF(J241="Twice a year",1/6,IF(J241="Yearly",1/12,0))))))),2)))</f>
        <v>0</v>
      </c>
      <c r="T241" s="38">
        <f>IF(B241="","",IF(I241="Yes","Yes","No"))</f>
        <v>0</v>
      </c>
      <c r="U241" s="25">
        <f>IF(B241="","",IF(L241="Yes","",IF(K241="","",TodayDate-K241)))</f>
        <v>0</v>
      </c>
      <c r="V241" s="39">
        <f>IF(B241="","",IF(L241="Yes","Paid",IF(K241="","Pending",IF(K241&lt;TodayDate,"Overdue",IF(K241&lt;=TodayDate+7,"Due soon","Pending")))))</f>
        <v>0</v>
      </c>
      <c r="W241" s="26">
        <f>IF(B241="","",IFERROR(INDEX(BudgetAmount,MATCH(C241,BudgetCategory,0))*1,0))</f>
        <v>0</v>
      </c>
      <c r="X241" s="25">
        <f>IF(B241="","",COUNTIFS($R$5:$R$604,"&gt;"&amp;R241)+COUNTIFS($R$5:R241,R241))</f>
        <v>0</v>
      </c>
      <c r="Y241" s="39">
        <f>IF(B241="","",IF(F241="","Add - no amount",IF(C241="","Add - no category, it will miss the P&amp;L",IF(V241="Overdue","Overdue - pay it",IF(V241="Due soon","Due - coming up",IF(IF(I241="Yes",J241="",FALSE),"Add - how often does it recur?",IF(L241="Yes","OK","Pending")))))))</f>
        <v>0</v>
      </c>
    </row>
    <row r="242" spans="1:25">
      <c r="A242" s="28">
        <f>IF(B242="","",ExpensePrefix&amp;TEXT(ROW()-4,"0000"))</f>
        <v>0</v>
      </c>
      <c r="P242" s="15">
        <f>IF(B242="","",TEXT(B242,"yyyy-mm"))</f>
        <v>0</v>
      </c>
      <c r="Q242" s="25">
        <f>IF(B242="","",WEEKNUM(B242,2))</f>
        <v>0</v>
      </c>
      <c r="R242" s="26">
        <f>IF(B242="","",ROUND(IF(F242="",0,F242)+IF(G242="",0,G242),2))</f>
        <v>0</v>
      </c>
      <c r="S242" s="26">
        <f>IF(B242="","",IF(I242&lt;&gt;"Yes",0,ROUND(IF(F242="",0,F242)*IF(J242="Weekly",52/12,IF(J242="Fortnightly",26/12,IF(J242="Four weekly",13/12,IF(J242="Monthly",1,IF(J242="Quarterly",1/3,IF(J242="Twice a year",1/6,IF(J242="Yearly",1/12,0))))))),2)))</f>
        <v>0</v>
      </c>
      <c r="T242" s="38">
        <f>IF(B242="","",IF(I242="Yes","Yes","No"))</f>
        <v>0</v>
      </c>
      <c r="U242" s="25">
        <f>IF(B242="","",IF(L242="Yes","",IF(K242="","",TodayDate-K242)))</f>
        <v>0</v>
      </c>
      <c r="V242" s="39">
        <f>IF(B242="","",IF(L242="Yes","Paid",IF(K242="","Pending",IF(K242&lt;TodayDate,"Overdue",IF(K242&lt;=TodayDate+7,"Due soon","Pending")))))</f>
        <v>0</v>
      </c>
      <c r="W242" s="26">
        <f>IF(B242="","",IFERROR(INDEX(BudgetAmount,MATCH(C242,BudgetCategory,0))*1,0))</f>
        <v>0</v>
      </c>
      <c r="X242" s="25">
        <f>IF(B242="","",COUNTIFS($R$5:$R$604,"&gt;"&amp;R242)+COUNTIFS($R$5:R242,R242))</f>
        <v>0</v>
      </c>
      <c r="Y242" s="39">
        <f>IF(B242="","",IF(F242="","Add - no amount",IF(C242="","Add - no category, it will miss the P&amp;L",IF(V242="Overdue","Overdue - pay it",IF(V242="Due soon","Due - coming up",IF(IF(I242="Yes",J242="",FALSE),"Add - how often does it recur?",IF(L242="Yes","OK","Pending")))))))</f>
        <v>0</v>
      </c>
    </row>
    <row r="243" spans="1:25">
      <c r="A243" s="28">
        <f>IF(B243="","",ExpensePrefix&amp;TEXT(ROW()-4,"0000"))</f>
        <v>0</v>
      </c>
      <c r="P243" s="15">
        <f>IF(B243="","",TEXT(B243,"yyyy-mm"))</f>
        <v>0</v>
      </c>
      <c r="Q243" s="25">
        <f>IF(B243="","",WEEKNUM(B243,2))</f>
        <v>0</v>
      </c>
      <c r="R243" s="26">
        <f>IF(B243="","",ROUND(IF(F243="",0,F243)+IF(G243="",0,G243),2))</f>
        <v>0</v>
      </c>
      <c r="S243" s="26">
        <f>IF(B243="","",IF(I243&lt;&gt;"Yes",0,ROUND(IF(F243="",0,F243)*IF(J243="Weekly",52/12,IF(J243="Fortnightly",26/12,IF(J243="Four weekly",13/12,IF(J243="Monthly",1,IF(J243="Quarterly",1/3,IF(J243="Twice a year",1/6,IF(J243="Yearly",1/12,0))))))),2)))</f>
        <v>0</v>
      </c>
      <c r="T243" s="38">
        <f>IF(B243="","",IF(I243="Yes","Yes","No"))</f>
        <v>0</v>
      </c>
      <c r="U243" s="25">
        <f>IF(B243="","",IF(L243="Yes","",IF(K243="","",TodayDate-K243)))</f>
        <v>0</v>
      </c>
      <c r="V243" s="39">
        <f>IF(B243="","",IF(L243="Yes","Paid",IF(K243="","Pending",IF(K243&lt;TodayDate,"Overdue",IF(K243&lt;=TodayDate+7,"Due soon","Pending")))))</f>
        <v>0</v>
      </c>
      <c r="W243" s="26">
        <f>IF(B243="","",IFERROR(INDEX(BudgetAmount,MATCH(C243,BudgetCategory,0))*1,0))</f>
        <v>0</v>
      </c>
      <c r="X243" s="25">
        <f>IF(B243="","",COUNTIFS($R$5:$R$604,"&gt;"&amp;R243)+COUNTIFS($R$5:R243,R243))</f>
        <v>0</v>
      </c>
      <c r="Y243" s="39">
        <f>IF(B243="","",IF(F243="","Add - no amount",IF(C243="","Add - no category, it will miss the P&amp;L",IF(V243="Overdue","Overdue - pay it",IF(V243="Due soon","Due - coming up",IF(IF(I243="Yes",J243="",FALSE),"Add - how often does it recur?",IF(L243="Yes","OK","Pending")))))))</f>
        <v>0</v>
      </c>
    </row>
    <row r="244" spans="1:25">
      <c r="A244" s="28">
        <f>IF(B244="","",ExpensePrefix&amp;TEXT(ROW()-4,"0000"))</f>
        <v>0</v>
      </c>
      <c r="P244" s="15">
        <f>IF(B244="","",TEXT(B244,"yyyy-mm"))</f>
        <v>0</v>
      </c>
      <c r="Q244" s="25">
        <f>IF(B244="","",WEEKNUM(B244,2))</f>
        <v>0</v>
      </c>
      <c r="R244" s="26">
        <f>IF(B244="","",ROUND(IF(F244="",0,F244)+IF(G244="",0,G244),2))</f>
        <v>0</v>
      </c>
      <c r="S244" s="26">
        <f>IF(B244="","",IF(I244&lt;&gt;"Yes",0,ROUND(IF(F244="",0,F244)*IF(J244="Weekly",52/12,IF(J244="Fortnightly",26/12,IF(J244="Four weekly",13/12,IF(J244="Monthly",1,IF(J244="Quarterly",1/3,IF(J244="Twice a year",1/6,IF(J244="Yearly",1/12,0))))))),2)))</f>
        <v>0</v>
      </c>
      <c r="T244" s="38">
        <f>IF(B244="","",IF(I244="Yes","Yes","No"))</f>
        <v>0</v>
      </c>
      <c r="U244" s="25">
        <f>IF(B244="","",IF(L244="Yes","",IF(K244="","",TodayDate-K244)))</f>
        <v>0</v>
      </c>
      <c r="V244" s="39">
        <f>IF(B244="","",IF(L244="Yes","Paid",IF(K244="","Pending",IF(K244&lt;TodayDate,"Overdue",IF(K244&lt;=TodayDate+7,"Due soon","Pending")))))</f>
        <v>0</v>
      </c>
      <c r="W244" s="26">
        <f>IF(B244="","",IFERROR(INDEX(BudgetAmount,MATCH(C244,BudgetCategory,0))*1,0))</f>
        <v>0</v>
      </c>
      <c r="X244" s="25">
        <f>IF(B244="","",COUNTIFS($R$5:$R$604,"&gt;"&amp;R244)+COUNTIFS($R$5:R244,R244))</f>
        <v>0</v>
      </c>
      <c r="Y244" s="39">
        <f>IF(B244="","",IF(F244="","Add - no amount",IF(C244="","Add - no category, it will miss the P&amp;L",IF(V244="Overdue","Overdue - pay it",IF(V244="Due soon","Due - coming up",IF(IF(I244="Yes",J244="",FALSE),"Add - how often does it recur?",IF(L244="Yes","OK","Pending")))))))</f>
        <v>0</v>
      </c>
    </row>
    <row r="245" spans="1:25">
      <c r="A245" s="28">
        <f>IF(B245="","",ExpensePrefix&amp;TEXT(ROW()-4,"0000"))</f>
        <v>0</v>
      </c>
      <c r="P245" s="15">
        <f>IF(B245="","",TEXT(B245,"yyyy-mm"))</f>
        <v>0</v>
      </c>
      <c r="Q245" s="25">
        <f>IF(B245="","",WEEKNUM(B245,2))</f>
        <v>0</v>
      </c>
      <c r="R245" s="26">
        <f>IF(B245="","",ROUND(IF(F245="",0,F245)+IF(G245="",0,G245),2))</f>
        <v>0</v>
      </c>
      <c r="S245" s="26">
        <f>IF(B245="","",IF(I245&lt;&gt;"Yes",0,ROUND(IF(F245="",0,F245)*IF(J245="Weekly",52/12,IF(J245="Fortnightly",26/12,IF(J245="Four weekly",13/12,IF(J245="Monthly",1,IF(J245="Quarterly",1/3,IF(J245="Twice a year",1/6,IF(J245="Yearly",1/12,0))))))),2)))</f>
        <v>0</v>
      </c>
      <c r="T245" s="38">
        <f>IF(B245="","",IF(I245="Yes","Yes","No"))</f>
        <v>0</v>
      </c>
      <c r="U245" s="25">
        <f>IF(B245="","",IF(L245="Yes","",IF(K245="","",TodayDate-K245)))</f>
        <v>0</v>
      </c>
      <c r="V245" s="39">
        <f>IF(B245="","",IF(L245="Yes","Paid",IF(K245="","Pending",IF(K245&lt;TodayDate,"Overdue",IF(K245&lt;=TodayDate+7,"Due soon","Pending")))))</f>
        <v>0</v>
      </c>
      <c r="W245" s="26">
        <f>IF(B245="","",IFERROR(INDEX(BudgetAmount,MATCH(C245,BudgetCategory,0))*1,0))</f>
        <v>0</v>
      </c>
      <c r="X245" s="25">
        <f>IF(B245="","",COUNTIFS($R$5:$R$604,"&gt;"&amp;R245)+COUNTIFS($R$5:R245,R245))</f>
        <v>0</v>
      </c>
      <c r="Y245" s="39">
        <f>IF(B245="","",IF(F245="","Add - no amount",IF(C245="","Add - no category, it will miss the P&amp;L",IF(V245="Overdue","Overdue - pay it",IF(V245="Due soon","Due - coming up",IF(IF(I245="Yes",J245="",FALSE),"Add - how often does it recur?",IF(L245="Yes","OK","Pending")))))))</f>
        <v>0</v>
      </c>
    </row>
    <row r="246" spans="1:25">
      <c r="A246" s="28">
        <f>IF(B246="","",ExpensePrefix&amp;TEXT(ROW()-4,"0000"))</f>
        <v>0</v>
      </c>
      <c r="P246" s="15">
        <f>IF(B246="","",TEXT(B246,"yyyy-mm"))</f>
        <v>0</v>
      </c>
      <c r="Q246" s="25">
        <f>IF(B246="","",WEEKNUM(B246,2))</f>
        <v>0</v>
      </c>
      <c r="R246" s="26">
        <f>IF(B246="","",ROUND(IF(F246="",0,F246)+IF(G246="",0,G246),2))</f>
        <v>0</v>
      </c>
      <c r="S246" s="26">
        <f>IF(B246="","",IF(I246&lt;&gt;"Yes",0,ROUND(IF(F246="",0,F246)*IF(J246="Weekly",52/12,IF(J246="Fortnightly",26/12,IF(J246="Four weekly",13/12,IF(J246="Monthly",1,IF(J246="Quarterly",1/3,IF(J246="Twice a year",1/6,IF(J246="Yearly",1/12,0))))))),2)))</f>
        <v>0</v>
      </c>
      <c r="T246" s="38">
        <f>IF(B246="","",IF(I246="Yes","Yes","No"))</f>
        <v>0</v>
      </c>
      <c r="U246" s="25">
        <f>IF(B246="","",IF(L246="Yes","",IF(K246="","",TodayDate-K246)))</f>
        <v>0</v>
      </c>
      <c r="V246" s="39">
        <f>IF(B246="","",IF(L246="Yes","Paid",IF(K246="","Pending",IF(K246&lt;TodayDate,"Overdue",IF(K246&lt;=TodayDate+7,"Due soon","Pending")))))</f>
        <v>0</v>
      </c>
      <c r="W246" s="26">
        <f>IF(B246="","",IFERROR(INDEX(BudgetAmount,MATCH(C246,BudgetCategory,0))*1,0))</f>
        <v>0</v>
      </c>
      <c r="X246" s="25">
        <f>IF(B246="","",COUNTIFS($R$5:$R$604,"&gt;"&amp;R246)+COUNTIFS($R$5:R246,R246))</f>
        <v>0</v>
      </c>
      <c r="Y246" s="39">
        <f>IF(B246="","",IF(F246="","Add - no amount",IF(C246="","Add - no category, it will miss the P&amp;L",IF(V246="Overdue","Overdue - pay it",IF(V246="Due soon","Due - coming up",IF(IF(I246="Yes",J246="",FALSE),"Add - how often does it recur?",IF(L246="Yes","OK","Pending")))))))</f>
        <v>0</v>
      </c>
    </row>
    <row r="247" spans="1:25">
      <c r="A247" s="28">
        <f>IF(B247="","",ExpensePrefix&amp;TEXT(ROW()-4,"0000"))</f>
        <v>0</v>
      </c>
      <c r="P247" s="15">
        <f>IF(B247="","",TEXT(B247,"yyyy-mm"))</f>
        <v>0</v>
      </c>
      <c r="Q247" s="25">
        <f>IF(B247="","",WEEKNUM(B247,2))</f>
        <v>0</v>
      </c>
      <c r="R247" s="26">
        <f>IF(B247="","",ROUND(IF(F247="",0,F247)+IF(G247="",0,G247),2))</f>
        <v>0</v>
      </c>
      <c r="S247" s="26">
        <f>IF(B247="","",IF(I247&lt;&gt;"Yes",0,ROUND(IF(F247="",0,F247)*IF(J247="Weekly",52/12,IF(J247="Fortnightly",26/12,IF(J247="Four weekly",13/12,IF(J247="Monthly",1,IF(J247="Quarterly",1/3,IF(J247="Twice a year",1/6,IF(J247="Yearly",1/12,0))))))),2)))</f>
        <v>0</v>
      </c>
      <c r="T247" s="38">
        <f>IF(B247="","",IF(I247="Yes","Yes","No"))</f>
        <v>0</v>
      </c>
      <c r="U247" s="25">
        <f>IF(B247="","",IF(L247="Yes","",IF(K247="","",TodayDate-K247)))</f>
        <v>0</v>
      </c>
      <c r="V247" s="39">
        <f>IF(B247="","",IF(L247="Yes","Paid",IF(K247="","Pending",IF(K247&lt;TodayDate,"Overdue",IF(K247&lt;=TodayDate+7,"Due soon","Pending")))))</f>
        <v>0</v>
      </c>
      <c r="W247" s="26">
        <f>IF(B247="","",IFERROR(INDEX(BudgetAmount,MATCH(C247,BudgetCategory,0))*1,0))</f>
        <v>0</v>
      </c>
      <c r="X247" s="25">
        <f>IF(B247="","",COUNTIFS($R$5:$R$604,"&gt;"&amp;R247)+COUNTIFS($R$5:R247,R247))</f>
        <v>0</v>
      </c>
      <c r="Y247" s="39">
        <f>IF(B247="","",IF(F247="","Add - no amount",IF(C247="","Add - no category, it will miss the P&amp;L",IF(V247="Overdue","Overdue - pay it",IF(V247="Due soon","Due - coming up",IF(IF(I247="Yes",J247="",FALSE),"Add - how often does it recur?",IF(L247="Yes","OK","Pending")))))))</f>
        <v>0</v>
      </c>
    </row>
    <row r="248" spans="1:25">
      <c r="A248" s="28">
        <f>IF(B248="","",ExpensePrefix&amp;TEXT(ROW()-4,"0000"))</f>
        <v>0</v>
      </c>
      <c r="P248" s="15">
        <f>IF(B248="","",TEXT(B248,"yyyy-mm"))</f>
        <v>0</v>
      </c>
      <c r="Q248" s="25">
        <f>IF(B248="","",WEEKNUM(B248,2))</f>
        <v>0</v>
      </c>
      <c r="R248" s="26">
        <f>IF(B248="","",ROUND(IF(F248="",0,F248)+IF(G248="",0,G248),2))</f>
        <v>0</v>
      </c>
      <c r="S248" s="26">
        <f>IF(B248="","",IF(I248&lt;&gt;"Yes",0,ROUND(IF(F248="",0,F248)*IF(J248="Weekly",52/12,IF(J248="Fortnightly",26/12,IF(J248="Four weekly",13/12,IF(J248="Monthly",1,IF(J248="Quarterly",1/3,IF(J248="Twice a year",1/6,IF(J248="Yearly",1/12,0))))))),2)))</f>
        <v>0</v>
      </c>
      <c r="T248" s="38">
        <f>IF(B248="","",IF(I248="Yes","Yes","No"))</f>
        <v>0</v>
      </c>
      <c r="U248" s="25">
        <f>IF(B248="","",IF(L248="Yes","",IF(K248="","",TodayDate-K248)))</f>
        <v>0</v>
      </c>
      <c r="V248" s="39">
        <f>IF(B248="","",IF(L248="Yes","Paid",IF(K248="","Pending",IF(K248&lt;TodayDate,"Overdue",IF(K248&lt;=TodayDate+7,"Due soon","Pending")))))</f>
        <v>0</v>
      </c>
      <c r="W248" s="26">
        <f>IF(B248="","",IFERROR(INDEX(BudgetAmount,MATCH(C248,BudgetCategory,0))*1,0))</f>
        <v>0</v>
      </c>
      <c r="X248" s="25">
        <f>IF(B248="","",COUNTIFS($R$5:$R$604,"&gt;"&amp;R248)+COUNTIFS($R$5:R248,R248))</f>
        <v>0</v>
      </c>
      <c r="Y248" s="39">
        <f>IF(B248="","",IF(F248="","Add - no amount",IF(C248="","Add - no category, it will miss the P&amp;L",IF(V248="Overdue","Overdue - pay it",IF(V248="Due soon","Due - coming up",IF(IF(I248="Yes",J248="",FALSE),"Add - how often does it recur?",IF(L248="Yes","OK","Pending")))))))</f>
        <v>0</v>
      </c>
    </row>
    <row r="249" spans="1:25">
      <c r="A249" s="28">
        <f>IF(B249="","",ExpensePrefix&amp;TEXT(ROW()-4,"0000"))</f>
        <v>0</v>
      </c>
      <c r="P249" s="15">
        <f>IF(B249="","",TEXT(B249,"yyyy-mm"))</f>
        <v>0</v>
      </c>
      <c r="Q249" s="25">
        <f>IF(B249="","",WEEKNUM(B249,2))</f>
        <v>0</v>
      </c>
      <c r="R249" s="26">
        <f>IF(B249="","",ROUND(IF(F249="",0,F249)+IF(G249="",0,G249),2))</f>
        <v>0</v>
      </c>
      <c r="S249" s="26">
        <f>IF(B249="","",IF(I249&lt;&gt;"Yes",0,ROUND(IF(F249="",0,F249)*IF(J249="Weekly",52/12,IF(J249="Fortnightly",26/12,IF(J249="Four weekly",13/12,IF(J249="Monthly",1,IF(J249="Quarterly",1/3,IF(J249="Twice a year",1/6,IF(J249="Yearly",1/12,0))))))),2)))</f>
        <v>0</v>
      </c>
      <c r="T249" s="38">
        <f>IF(B249="","",IF(I249="Yes","Yes","No"))</f>
        <v>0</v>
      </c>
      <c r="U249" s="25">
        <f>IF(B249="","",IF(L249="Yes","",IF(K249="","",TodayDate-K249)))</f>
        <v>0</v>
      </c>
      <c r="V249" s="39">
        <f>IF(B249="","",IF(L249="Yes","Paid",IF(K249="","Pending",IF(K249&lt;TodayDate,"Overdue",IF(K249&lt;=TodayDate+7,"Due soon","Pending")))))</f>
        <v>0</v>
      </c>
      <c r="W249" s="26">
        <f>IF(B249="","",IFERROR(INDEX(BudgetAmount,MATCH(C249,BudgetCategory,0))*1,0))</f>
        <v>0</v>
      </c>
      <c r="X249" s="25">
        <f>IF(B249="","",COUNTIFS($R$5:$R$604,"&gt;"&amp;R249)+COUNTIFS($R$5:R249,R249))</f>
        <v>0</v>
      </c>
      <c r="Y249" s="39">
        <f>IF(B249="","",IF(F249="","Add - no amount",IF(C249="","Add - no category, it will miss the P&amp;L",IF(V249="Overdue","Overdue - pay it",IF(V249="Due soon","Due - coming up",IF(IF(I249="Yes",J249="",FALSE),"Add - how often does it recur?",IF(L249="Yes","OK","Pending")))))))</f>
        <v>0</v>
      </c>
    </row>
    <row r="250" spans="1:25">
      <c r="A250" s="28">
        <f>IF(B250="","",ExpensePrefix&amp;TEXT(ROW()-4,"0000"))</f>
        <v>0</v>
      </c>
      <c r="P250" s="15">
        <f>IF(B250="","",TEXT(B250,"yyyy-mm"))</f>
        <v>0</v>
      </c>
      <c r="Q250" s="25">
        <f>IF(B250="","",WEEKNUM(B250,2))</f>
        <v>0</v>
      </c>
      <c r="R250" s="26">
        <f>IF(B250="","",ROUND(IF(F250="",0,F250)+IF(G250="",0,G250),2))</f>
        <v>0</v>
      </c>
      <c r="S250" s="26">
        <f>IF(B250="","",IF(I250&lt;&gt;"Yes",0,ROUND(IF(F250="",0,F250)*IF(J250="Weekly",52/12,IF(J250="Fortnightly",26/12,IF(J250="Four weekly",13/12,IF(J250="Monthly",1,IF(J250="Quarterly",1/3,IF(J250="Twice a year",1/6,IF(J250="Yearly",1/12,0))))))),2)))</f>
        <v>0</v>
      </c>
      <c r="T250" s="38">
        <f>IF(B250="","",IF(I250="Yes","Yes","No"))</f>
        <v>0</v>
      </c>
      <c r="U250" s="25">
        <f>IF(B250="","",IF(L250="Yes","",IF(K250="","",TodayDate-K250)))</f>
        <v>0</v>
      </c>
      <c r="V250" s="39">
        <f>IF(B250="","",IF(L250="Yes","Paid",IF(K250="","Pending",IF(K250&lt;TodayDate,"Overdue",IF(K250&lt;=TodayDate+7,"Due soon","Pending")))))</f>
        <v>0</v>
      </c>
      <c r="W250" s="26">
        <f>IF(B250="","",IFERROR(INDEX(BudgetAmount,MATCH(C250,BudgetCategory,0))*1,0))</f>
        <v>0</v>
      </c>
      <c r="X250" s="25">
        <f>IF(B250="","",COUNTIFS($R$5:$R$604,"&gt;"&amp;R250)+COUNTIFS($R$5:R250,R250))</f>
        <v>0</v>
      </c>
      <c r="Y250" s="39">
        <f>IF(B250="","",IF(F250="","Add - no amount",IF(C250="","Add - no category, it will miss the P&amp;L",IF(V250="Overdue","Overdue - pay it",IF(V250="Due soon","Due - coming up",IF(IF(I250="Yes",J250="",FALSE),"Add - how often does it recur?",IF(L250="Yes","OK","Pending")))))))</f>
        <v>0</v>
      </c>
    </row>
    <row r="251" spans="1:25">
      <c r="A251" s="28">
        <f>IF(B251="","",ExpensePrefix&amp;TEXT(ROW()-4,"0000"))</f>
        <v>0</v>
      </c>
      <c r="P251" s="15">
        <f>IF(B251="","",TEXT(B251,"yyyy-mm"))</f>
        <v>0</v>
      </c>
      <c r="Q251" s="25">
        <f>IF(B251="","",WEEKNUM(B251,2))</f>
        <v>0</v>
      </c>
      <c r="R251" s="26">
        <f>IF(B251="","",ROUND(IF(F251="",0,F251)+IF(G251="",0,G251),2))</f>
        <v>0</v>
      </c>
      <c r="S251" s="26">
        <f>IF(B251="","",IF(I251&lt;&gt;"Yes",0,ROUND(IF(F251="",0,F251)*IF(J251="Weekly",52/12,IF(J251="Fortnightly",26/12,IF(J251="Four weekly",13/12,IF(J251="Monthly",1,IF(J251="Quarterly",1/3,IF(J251="Twice a year",1/6,IF(J251="Yearly",1/12,0))))))),2)))</f>
        <v>0</v>
      </c>
      <c r="T251" s="38">
        <f>IF(B251="","",IF(I251="Yes","Yes","No"))</f>
        <v>0</v>
      </c>
      <c r="U251" s="25">
        <f>IF(B251="","",IF(L251="Yes","",IF(K251="","",TodayDate-K251)))</f>
        <v>0</v>
      </c>
      <c r="V251" s="39">
        <f>IF(B251="","",IF(L251="Yes","Paid",IF(K251="","Pending",IF(K251&lt;TodayDate,"Overdue",IF(K251&lt;=TodayDate+7,"Due soon","Pending")))))</f>
        <v>0</v>
      </c>
      <c r="W251" s="26">
        <f>IF(B251="","",IFERROR(INDEX(BudgetAmount,MATCH(C251,BudgetCategory,0))*1,0))</f>
        <v>0</v>
      </c>
      <c r="X251" s="25">
        <f>IF(B251="","",COUNTIFS($R$5:$R$604,"&gt;"&amp;R251)+COUNTIFS($R$5:R251,R251))</f>
        <v>0</v>
      </c>
      <c r="Y251" s="39">
        <f>IF(B251="","",IF(F251="","Add - no amount",IF(C251="","Add - no category, it will miss the P&amp;L",IF(V251="Overdue","Overdue - pay it",IF(V251="Due soon","Due - coming up",IF(IF(I251="Yes",J251="",FALSE),"Add - how often does it recur?",IF(L251="Yes","OK","Pending")))))))</f>
        <v>0</v>
      </c>
    </row>
    <row r="252" spans="1:25">
      <c r="A252" s="28">
        <f>IF(B252="","",ExpensePrefix&amp;TEXT(ROW()-4,"0000"))</f>
        <v>0</v>
      </c>
      <c r="P252" s="15">
        <f>IF(B252="","",TEXT(B252,"yyyy-mm"))</f>
        <v>0</v>
      </c>
      <c r="Q252" s="25">
        <f>IF(B252="","",WEEKNUM(B252,2))</f>
        <v>0</v>
      </c>
      <c r="R252" s="26">
        <f>IF(B252="","",ROUND(IF(F252="",0,F252)+IF(G252="",0,G252),2))</f>
        <v>0</v>
      </c>
      <c r="S252" s="26">
        <f>IF(B252="","",IF(I252&lt;&gt;"Yes",0,ROUND(IF(F252="",0,F252)*IF(J252="Weekly",52/12,IF(J252="Fortnightly",26/12,IF(J252="Four weekly",13/12,IF(J252="Monthly",1,IF(J252="Quarterly",1/3,IF(J252="Twice a year",1/6,IF(J252="Yearly",1/12,0))))))),2)))</f>
        <v>0</v>
      </c>
      <c r="T252" s="38">
        <f>IF(B252="","",IF(I252="Yes","Yes","No"))</f>
        <v>0</v>
      </c>
      <c r="U252" s="25">
        <f>IF(B252="","",IF(L252="Yes","",IF(K252="","",TodayDate-K252)))</f>
        <v>0</v>
      </c>
      <c r="V252" s="39">
        <f>IF(B252="","",IF(L252="Yes","Paid",IF(K252="","Pending",IF(K252&lt;TodayDate,"Overdue",IF(K252&lt;=TodayDate+7,"Due soon","Pending")))))</f>
        <v>0</v>
      </c>
      <c r="W252" s="26">
        <f>IF(B252="","",IFERROR(INDEX(BudgetAmount,MATCH(C252,BudgetCategory,0))*1,0))</f>
        <v>0</v>
      </c>
      <c r="X252" s="25">
        <f>IF(B252="","",COUNTIFS($R$5:$R$604,"&gt;"&amp;R252)+COUNTIFS($R$5:R252,R252))</f>
        <v>0</v>
      </c>
      <c r="Y252" s="39">
        <f>IF(B252="","",IF(F252="","Add - no amount",IF(C252="","Add - no category, it will miss the P&amp;L",IF(V252="Overdue","Overdue - pay it",IF(V252="Due soon","Due - coming up",IF(IF(I252="Yes",J252="",FALSE),"Add - how often does it recur?",IF(L252="Yes","OK","Pending")))))))</f>
        <v>0</v>
      </c>
    </row>
    <row r="253" spans="1:25">
      <c r="A253" s="28">
        <f>IF(B253="","",ExpensePrefix&amp;TEXT(ROW()-4,"0000"))</f>
        <v>0</v>
      </c>
      <c r="P253" s="15">
        <f>IF(B253="","",TEXT(B253,"yyyy-mm"))</f>
        <v>0</v>
      </c>
      <c r="Q253" s="25">
        <f>IF(B253="","",WEEKNUM(B253,2))</f>
        <v>0</v>
      </c>
      <c r="R253" s="26">
        <f>IF(B253="","",ROUND(IF(F253="",0,F253)+IF(G253="",0,G253),2))</f>
        <v>0</v>
      </c>
      <c r="S253" s="26">
        <f>IF(B253="","",IF(I253&lt;&gt;"Yes",0,ROUND(IF(F253="",0,F253)*IF(J253="Weekly",52/12,IF(J253="Fortnightly",26/12,IF(J253="Four weekly",13/12,IF(J253="Monthly",1,IF(J253="Quarterly",1/3,IF(J253="Twice a year",1/6,IF(J253="Yearly",1/12,0))))))),2)))</f>
        <v>0</v>
      </c>
      <c r="T253" s="38">
        <f>IF(B253="","",IF(I253="Yes","Yes","No"))</f>
        <v>0</v>
      </c>
      <c r="U253" s="25">
        <f>IF(B253="","",IF(L253="Yes","",IF(K253="","",TodayDate-K253)))</f>
        <v>0</v>
      </c>
      <c r="V253" s="39">
        <f>IF(B253="","",IF(L253="Yes","Paid",IF(K253="","Pending",IF(K253&lt;TodayDate,"Overdue",IF(K253&lt;=TodayDate+7,"Due soon","Pending")))))</f>
        <v>0</v>
      </c>
      <c r="W253" s="26">
        <f>IF(B253="","",IFERROR(INDEX(BudgetAmount,MATCH(C253,BudgetCategory,0))*1,0))</f>
        <v>0</v>
      </c>
      <c r="X253" s="25">
        <f>IF(B253="","",COUNTIFS($R$5:$R$604,"&gt;"&amp;R253)+COUNTIFS($R$5:R253,R253))</f>
        <v>0</v>
      </c>
      <c r="Y253" s="39">
        <f>IF(B253="","",IF(F253="","Add - no amount",IF(C253="","Add - no category, it will miss the P&amp;L",IF(V253="Overdue","Overdue - pay it",IF(V253="Due soon","Due - coming up",IF(IF(I253="Yes",J253="",FALSE),"Add - how often does it recur?",IF(L253="Yes","OK","Pending")))))))</f>
        <v>0</v>
      </c>
    </row>
    <row r="254" spans="1:25">
      <c r="A254" s="28">
        <f>IF(B254="","",ExpensePrefix&amp;TEXT(ROW()-4,"0000"))</f>
        <v>0</v>
      </c>
      <c r="P254" s="15">
        <f>IF(B254="","",TEXT(B254,"yyyy-mm"))</f>
        <v>0</v>
      </c>
      <c r="Q254" s="25">
        <f>IF(B254="","",WEEKNUM(B254,2))</f>
        <v>0</v>
      </c>
      <c r="R254" s="26">
        <f>IF(B254="","",ROUND(IF(F254="",0,F254)+IF(G254="",0,G254),2))</f>
        <v>0</v>
      </c>
      <c r="S254" s="26">
        <f>IF(B254="","",IF(I254&lt;&gt;"Yes",0,ROUND(IF(F254="",0,F254)*IF(J254="Weekly",52/12,IF(J254="Fortnightly",26/12,IF(J254="Four weekly",13/12,IF(J254="Monthly",1,IF(J254="Quarterly",1/3,IF(J254="Twice a year",1/6,IF(J254="Yearly",1/12,0))))))),2)))</f>
        <v>0</v>
      </c>
      <c r="T254" s="38">
        <f>IF(B254="","",IF(I254="Yes","Yes","No"))</f>
        <v>0</v>
      </c>
      <c r="U254" s="25">
        <f>IF(B254="","",IF(L254="Yes","",IF(K254="","",TodayDate-K254)))</f>
        <v>0</v>
      </c>
      <c r="V254" s="39">
        <f>IF(B254="","",IF(L254="Yes","Paid",IF(K254="","Pending",IF(K254&lt;TodayDate,"Overdue",IF(K254&lt;=TodayDate+7,"Due soon","Pending")))))</f>
        <v>0</v>
      </c>
      <c r="W254" s="26">
        <f>IF(B254="","",IFERROR(INDEX(BudgetAmount,MATCH(C254,BudgetCategory,0))*1,0))</f>
        <v>0</v>
      </c>
      <c r="X254" s="25">
        <f>IF(B254="","",COUNTIFS($R$5:$R$604,"&gt;"&amp;R254)+COUNTIFS($R$5:R254,R254))</f>
        <v>0</v>
      </c>
      <c r="Y254" s="39">
        <f>IF(B254="","",IF(F254="","Add - no amount",IF(C254="","Add - no category, it will miss the P&amp;L",IF(V254="Overdue","Overdue - pay it",IF(V254="Due soon","Due - coming up",IF(IF(I254="Yes",J254="",FALSE),"Add - how often does it recur?",IF(L254="Yes","OK","Pending")))))))</f>
        <v>0</v>
      </c>
    </row>
    <row r="255" spans="1:25">
      <c r="A255" s="28">
        <f>IF(B255="","",ExpensePrefix&amp;TEXT(ROW()-4,"0000"))</f>
        <v>0</v>
      </c>
      <c r="P255" s="15">
        <f>IF(B255="","",TEXT(B255,"yyyy-mm"))</f>
        <v>0</v>
      </c>
      <c r="Q255" s="25">
        <f>IF(B255="","",WEEKNUM(B255,2))</f>
        <v>0</v>
      </c>
      <c r="R255" s="26">
        <f>IF(B255="","",ROUND(IF(F255="",0,F255)+IF(G255="",0,G255),2))</f>
        <v>0</v>
      </c>
      <c r="S255" s="26">
        <f>IF(B255="","",IF(I255&lt;&gt;"Yes",0,ROUND(IF(F255="",0,F255)*IF(J255="Weekly",52/12,IF(J255="Fortnightly",26/12,IF(J255="Four weekly",13/12,IF(J255="Monthly",1,IF(J255="Quarterly",1/3,IF(J255="Twice a year",1/6,IF(J255="Yearly",1/12,0))))))),2)))</f>
        <v>0</v>
      </c>
      <c r="T255" s="38">
        <f>IF(B255="","",IF(I255="Yes","Yes","No"))</f>
        <v>0</v>
      </c>
      <c r="U255" s="25">
        <f>IF(B255="","",IF(L255="Yes","",IF(K255="","",TodayDate-K255)))</f>
        <v>0</v>
      </c>
      <c r="V255" s="39">
        <f>IF(B255="","",IF(L255="Yes","Paid",IF(K255="","Pending",IF(K255&lt;TodayDate,"Overdue",IF(K255&lt;=TodayDate+7,"Due soon","Pending")))))</f>
        <v>0</v>
      </c>
      <c r="W255" s="26">
        <f>IF(B255="","",IFERROR(INDEX(BudgetAmount,MATCH(C255,BudgetCategory,0))*1,0))</f>
        <v>0</v>
      </c>
      <c r="X255" s="25">
        <f>IF(B255="","",COUNTIFS($R$5:$R$604,"&gt;"&amp;R255)+COUNTIFS($R$5:R255,R255))</f>
        <v>0</v>
      </c>
      <c r="Y255" s="39">
        <f>IF(B255="","",IF(F255="","Add - no amount",IF(C255="","Add - no category, it will miss the P&amp;L",IF(V255="Overdue","Overdue - pay it",IF(V255="Due soon","Due - coming up",IF(IF(I255="Yes",J255="",FALSE),"Add - how often does it recur?",IF(L255="Yes","OK","Pending")))))))</f>
        <v>0</v>
      </c>
    </row>
    <row r="256" spans="1:25">
      <c r="A256" s="28">
        <f>IF(B256="","",ExpensePrefix&amp;TEXT(ROW()-4,"0000"))</f>
        <v>0</v>
      </c>
      <c r="P256" s="15">
        <f>IF(B256="","",TEXT(B256,"yyyy-mm"))</f>
        <v>0</v>
      </c>
      <c r="Q256" s="25">
        <f>IF(B256="","",WEEKNUM(B256,2))</f>
        <v>0</v>
      </c>
      <c r="R256" s="26">
        <f>IF(B256="","",ROUND(IF(F256="",0,F256)+IF(G256="",0,G256),2))</f>
        <v>0</v>
      </c>
      <c r="S256" s="26">
        <f>IF(B256="","",IF(I256&lt;&gt;"Yes",0,ROUND(IF(F256="",0,F256)*IF(J256="Weekly",52/12,IF(J256="Fortnightly",26/12,IF(J256="Four weekly",13/12,IF(J256="Monthly",1,IF(J256="Quarterly",1/3,IF(J256="Twice a year",1/6,IF(J256="Yearly",1/12,0))))))),2)))</f>
        <v>0</v>
      </c>
      <c r="T256" s="38">
        <f>IF(B256="","",IF(I256="Yes","Yes","No"))</f>
        <v>0</v>
      </c>
      <c r="U256" s="25">
        <f>IF(B256="","",IF(L256="Yes","",IF(K256="","",TodayDate-K256)))</f>
        <v>0</v>
      </c>
      <c r="V256" s="39">
        <f>IF(B256="","",IF(L256="Yes","Paid",IF(K256="","Pending",IF(K256&lt;TodayDate,"Overdue",IF(K256&lt;=TodayDate+7,"Due soon","Pending")))))</f>
        <v>0</v>
      </c>
      <c r="W256" s="26">
        <f>IF(B256="","",IFERROR(INDEX(BudgetAmount,MATCH(C256,BudgetCategory,0))*1,0))</f>
        <v>0</v>
      </c>
      <c r="X256" s="25">
        <f>IF(B256="","",COUNTIFS($R$5:$R$604,"&gt;"&amp;R256)+COUNTIFS($R$5:R256,R256))</f>
        <v>0</v>
      </c>
      <c r="Y256" s="39">
        <f>IF(B256="","",IF(F256="","Add - no amount",IF(C256="","Add - no category, it will miss the P&amp;L",IF(V256="Overdue","Overdue - pay it",IF(V256="Due soon","Due - coming up",IF(IF(I256="Yes",J256="",FALSE),"Add - how often does it recur?",IF(L256="Yes","OK","Pending")))))))</f>
        <v>0</v>
      </c>
    </row>
    <row r="257" spans="1:25">
      <c r="A257" s="28">
        <f>IF(B257="","",ExpensePrefix&amp;TEXT(ROW()-4,"0000"))</f>
        <v>0</v>
      </c>
      <c r="P257" s="15">
        <f>IF(B257="","",TEXT(B257,"yyyy-mm"))</f>
        <v>0</v>
      </c>
      <c r="Q257" s="25">
        <f>IF(B257="","",WEEKNUM(B257,2))</f>
        <v>0</v>
      </c>
      <c r="R257" s="26">
        <f>IF(B257="","",ROUND(IF(F257="",0,F257)+IF(G257="",0,G257),2))</f>
        <v>0</v>
      </c>
      <c r="S257" s="26">
        <f>IF(B257="","",IF(I257&lt;&gt;"Yes",0,ROUND(IF(F257="",0,F257)*IF(J257="Weekly",52/12,IF(J257="Fortnightly",26/12,IF(J257="Four weekly",13/12,IF(J257="Monthly",1,IF(J257="Quarterly",1/3,IF(J257="Twice a year",1/6,IF(J257="Yearly",1/12,0))))))),2)))</f>
        <v>0</v>
      </c>
      <c r="T257" s="38">
        <f>IF(B257="","",IF(I257="Yes","Yes","No"))</f>
        <v>0</v>
      </c>
      <c r="U257" s="25">
        <f>IF(B257="","",IF(L257="Yes","",IF(K257="","",TodayDate-K257)))</f>
        <v>0</v>
      </c>
      <c r="V257" s="39">
        <f>IF(B257="","",IF(L257="Yes","Paid",IF(K257="","Pending",IF(K257&lt;TodayDate,"Overdue",IF(K257&lt;=TodayDate+7,"Due soon","Pending")))))</f>
        <v>0</v>
      </c>
      <c r="W257" s="26">
        <f>IF(B257="","",IFERROR(INDEX(BudgetAmount,MATCH(C257,BudgetCategory,0))*1,0))</f>
        <v>0</v>
      </c>
      <c r="X257" s="25">
        <f>IF(B257="","",COUNTIFS($R$5:$R$604,"&gt;"&amp;R257)+COUNTIFS($R$5:R257,R257))</f>
        <v>0</v>
      </c>
      <c r="Y257" s="39">
        <f>IF(B257="","",IF(F257="","Add - no amount",IF(C257="","Add - no category, it will miss the P&amp;L",IF(V257="Overdue","Overdue - pay it",IF(V257="Due soon","Due - coming up",IF(IF(I257="Yes",J257="",FALSE),"Add - how often does it recur?",IF(L257="Yes","OK","Pending")))))))</f>
        <v>0</v>
      </c>
    </row>
    <row r="258" spans="1:25">
      <c r="A258" s="28">
        <f>IF(B258="","",ExpensePrefix&amp;TEXT(ROW()-4,"0000"))</f>
        <v>0</v>
      </c>
      <c r="P258" s="15">
        <f>IF(B258="","",TEXT(B258,"yyyy-mm"))</f>
        <v>0</v>
      </c>
      <c r="Q258" s="25">
        <f>IF(B258="","",WEEKNUM(B258,2))</f>
        <v>0</v>
      </c>
      <c r="R258" s="26">
        <f>IF(B258="","",ROUND(IF(F258="",0,F258)+IF(G258="",0,G258),2))</f>
        <v>0</v>
      </c>
      <c r="S258" s="26">
        <f>IF(B258="","",IF(I258&lt;&gt;"Yes",0,ROUND(IF(F258="",0,F258)*IF(J258="Weekly",52/12,IF(J258="Fortnightly",26/12,IF(J258="Four weekly",13/12,IF(J258="Monthly",1,IF(J258="Quarterly",1/3,IF(J258="Twice a year",1/6,IF(J258="Yearly",1/12,0))))))),2)))</f>
        <v>0</v>
      </c>
      <c r="T258" s="38">
        <f>IF(B258="","",IF(I258="Yes","Yes","No"))</f>
        <v>0</v>
      </c>
      <c r="U258" s="25">
        <f>IF(B258="","",IF(L258="Yes","",IF(K258="","",TodayDate-K258)))</f>
        <v>0</v>
      </c>
      <c r="V258" s="39">
        <f>IF(B258="","",IF(L258="Yes","Paid",IF(K258="","Pending",IF(K258&lt;TodayDate,"Overdue",IF(K258&lt;=TodayDate+7,"Due soon","Pending")))))</f>
        <v>0</v>
      </c>
      <c r="W258" s="26">
        <f>IF(B258="","",IFERROR(INDEX(BudgetAmount,MATCH(C258,BudgetCategory,0))*1,0))</f>
        <v>0</v>
      </c>
      <c r="X258" s="25">
        <f>IF(B258="","",COUNTIFS($R$5:$R$604,"&gt;"&amp;R258)+COUNTIFS($R$5:R258,R258))</f>
        <v>0</v>
      </c>
      <c r="Y258" s="39">
        <f>IF(B258="","",IF(F258="","Add - no amount",IF(C258="","Add - no category, it will miss the P&amp;L",IF(V258="Overdue","Overdue - pay it",IF(V258="Due soon","Due - coming up",IF(IF(I258="Yes",J258="",FALSE),"Add - how often does it recur?",IF(L258="Yes","OK","Pending")))))))</f>
        <v>0</v>
      </c>
    </row>
    <row r="259" spans="1:25">
      <c r="A259" s="28">
        <f>IF(B259="","",ExpensePrefix&amp;TEXT(ROW()-4,"0000"))</f>
        <v>0</v>
      </c>
      <c r="P259" s="15">
        <f>IF(B259="","",TEXT(B259,"yyyy-mm"))</f>
        <v>0</v>
      </c>
      <c r="Q259" s="25">
        <f>IF(B259="","",WEEKNUM(B259,2))</f>
        <v>0</v>
      </c>
      <c r="R259" s="26">
        <f>IF(B259="","",ROUND(IF(F259="",0,F259)+IF(G259="",0,G259),2))</f>
        <v>0</v>
      </c>
      <c r="S259" s="26">
        <f>IF(B259="","",IF(I259&lt;&gt;"Yes",0,ROUND(IF(F259="",0,F259)*IF(J259="Weekly",52/12,IF(J259="Fortnightly",26/12,IF(J259="Four weekly",13/12,IF(J259="Monthly",1,IF(J259="Quarterly",1/3,IF(J259="Twice a year",1/6,IF(J259="Yearly",1/12,0))))))),2)))</f>
        <v>0</v>
      </c>
      <c r="T259" s="38">
        <f>IF(B259="","",IF(I259="Yes","Yes","No"))</f>
        <v>0</v>
      </c>
      <c r="U259" s="25">
        <f>IF(B259="","",IF(L259="Yes","",IF(K259="","",TodayDate-K259)))</f>
        <v>0</v>
      </c>
      <c r="V259" s="39">
        <f>IF(B259="","",IF(L259="Yes","Paid",IF(K259="","Pending",IF(K259&lt;TodayDate,"Overdue",IF(K259&lt;=TodayDate+7,"Due soon","Pending")))))</f>
        <v>0</v>
      </c>
      <c r="W259" s="26">
        <f>IF(B259="","",IFERROR(INDEX(BudgetAmount,MATCH(C259,BudgetCategory,0))*1,0))</f>
        <v>0</v>
      </c>
      <c r="X259" s="25">
        <f>IF(B259="","",COUNTIFS($R$5:$R$604,"&gt;"&amp;R259)+COUNTIFS($R$5:R259,R259))</f>
        <v>0</v>
      </c>
      <c r="Y259" s="39">
        <f>IF(B259="","",IF(F259="","Add - no amount",IF(C259="","Add - no category, it will miss the P&amp;L",IF(V259="Overdue","Overdue - pay it",IF(V259="Due soon","Due - coming up",IF(IF(I259="Yes",J259="",FALSE),"Add - how often does it recur?",IF(L259="Yes","OK","Pending")))))))</f>
        <v>0</v>
      </c>
    </row>
    <row r="260" spans="1:25">
      <c r="A260" s="28">
        <f>IF(B260="","",ExpensePrefix&amp;TEXT(ROW()-4,"0000"))</f>
        <v>0</v>
      </c>
      <c r="P260" s="15">
        <f>IF(B260="","",TEXT(B260,"yyyy-mm"))</f>
        <v>0</v>
      </c>
      <c r="Q260" s="25">
        <f>IF(B260="","",WEEKNUM(B260,2))</f>
        <v>0</v>
      </c>
      <c r="R260" s="26">
        <f>IF(B260="","",ROUND(IF(F260="",0,F260)+IF(G260="",0,G260),2))</f>
        <v>0</v>
      </c>
      <c r="S260" s="26">
        <f>IF(B260="","",IF(I260&lt;&gt;"Yes",0,ROUND(IF(F260="",0,F260)*IF(J260="Weekly",52/12,IF(J260="Fortnightly",26/12,IF(J260="Four weekly",13/12,IF(J260="Monthly",1,IF(J260="Quarterly",1/3,IF(J260="Twice a year",1/6,IF(J260="Yearly",1/12,0))))))),2)))</f>
        <v>0</v>
      </c>
      <c r="T260" s="38">
        <f>IF(B260="","",IF(I260="Yes","Yes","No"))</f>
        <v>0</v>
      </c>
      <c r="U260" s="25">
        <f>IF(B260="","",IF(L260="Yes","",IF(K260="","",TodayDate-K260)))</f>
        <v>0</v>
      </c>
      <c r="V260" s="39">
        <f>IF(B260="","",IF(L260="Yes","Paid",IF(K260="","Pending",IF(K260&lt;TodayDate,"Overdue",IF(K260&lt;=TodayDate+7,"Due soon","Pending")))))</f>
        <v>0</v>
      </c>
      <c r="W260" s="26">
        <f>IF(B260="","",IFERROR(INDEX(BudgetAmount,MATCH(C260,BudgetCategory,0))*1,0))</f>
        <v>0</v>
      </c>
      <c r="X260" s="25">
        <f>IF(B260="","",COUNTIFS($R$5:$R$604,"&gt;"&amp;R260)+COUNTIFS($R$5:R260,R260))</f>
        <v>0</v>
      </c>
      <c r="Y260" s="39">
        <f>IF(B260="","",IF(F260="","Add - no amount",IF(C260="","Add - no category, it will miss the P&amp;L",IF(V260="Overdue","Overdue - pay it",IF(V260="Due soon","Due - coming up",IF(IF(I260="Yes",J260="",FALSE),"Add - how often does it recur?",IF(L260="Yes","OK","Pending")))))))</f>
        <v>0</v>
      </c>
    </row>
    <row r="261" spans="1:25">
      <c r="A261" s="28">
        <f>IF(B261="","",ExpensePrefix&amp;TEXT(ROW()-4,"0000"))</f>
        <v>0</v>
      </c>
      <c r="P261" s="15">
        <f>IF(B261="","",TEXT(B261,"yyyy-mm"))</f>
        <v>0</v>
      </c>
      <c r="Q261" s="25">
        <f>IF(B261="","",WEEKNUM(B261,2))</f>
        <v>0</v>
      </c>
      <c r="R261" s="26">
        <f>IF(B261="","",ROUND(IF(F261="",0,F261)+IF(G261="",0,G261),2))</f>
        <v>0</v>
      </c>
      <c r="S261" s="26">
        <f>IF(B261="","",IF(I261&lt;&gt;"Yes",0,ROUND(IF(F261="",0,F261)*IF(J261="Weekly",52/12,IF(J261="Fortnightly",26/12,IF(J261="Four weekly",13/12,IF(J261="Monthly",1,IF(J261="Quarterly",1/3,IF(J261="Twice a year",1/6,IF(J261="Yearly",1/12,0))))))),2)))</f>
        <v>0</v>
      </c>
      <c r="T261" s="38">
        <f>IF(B261="","",IF(I261="Yes","Yes","No"))</f>
        <v>0</v>
      </c>
      <c r="U261" s="25">
        <f>IF(B261="","",IF(L261="Yes","",IF(K261="","",TodayDate-K261)))</f>
        <v>0</v>
      </c>
      <c r="V261" s="39">
        <f>IF(B261="","",IF(L261="Yes","Paid",IF(K261="","Pending",IF(K261&lt;TodayDate,"Overdue",IF(K261&lt;=TodayDate+7,"Due soon","Pending")))))</f>
        <v>0</v>
      </c>
      <c r="W261" s="26">
        <f>IF(B261="","",IFERROR(INDEX(BudgetAmount,MATCH(C261,BudgetCategory,0))*1,0))</f>
        <v>0</v>
      </c>
      <c r="X261" s="25">
        <f>IF(B261="","",COUNTIFS($R$5:$R$604,"&gt;"&amp;R261)+COUNTIFS($R$5:R261,R261))</f>
        <v>0</v>
      </c>
      <c r="Y261" s="39">
        <f>IF(B261="","",IF(F261="","Add - no amount",IF(C261="","Add - no category, it will miss the P&amp;L",IF(V261="Overdue","Overdue - pay it",IF(V261="Due soon","Due - coming up",IF(IF(I261="Yes",J261="",FALSE),"Add - how often does it recur?",IF(L261="Yes","OK","Pending")))))))</f>
        <v>0</v>
      </c>
    </row>
    <row r="262" spans="1:25">
      <c r="A262" s="28">
        <f>IF(B262="","",ExpensePrefix&amp;TEXT(ROW()-4,"0000"))</f>
        <v>0</v>
      </c>
      <c r="P262" s="15">
        <f>IF(B262="","",TEXT(B262,"yyyy-mm"))</f>
        <v>0</v>
      </c>
      <c r="Q262" s="25">
        <f>IF(B262="","",WEEKNUM(B262,2))</f>
        <v>0</v>
      </c>
      <c r="R262" s="26">
        <f>IF(B262="","",ROUND(IF(F262="",0,F262)+IF(G262="",0,G262),2))</f>
        <v>0</v>
      </c>
      <c r="S262" s="26">
        <f>IF(B262="","",IF(I262&lt;&gt;"Yes",0,ROUND(IF(F262="",0,F262)*IF(J262="Weekly",52/12,IF(J262="Fortnightly",26/12,IF(J262="Four weekly",13/12,IF(J262="Monthly",1,IF(J262="Quarterly",1/3,IF(J262="Twice a year",1/6,IF(J262="Yearly",1/12,0))))))),2)))</f>
        <v>0</v>
      </c>
      <c r="T262" s="38">
        <f>IF(B262="","",IF(I262="Yes","Yes","No"))</f>
        <v>0</v>
      </c>
      <c r="U262" s="25">
        <f>IF(B262="","",IF(L262="Yes","",IF(K262="","",TodayDate-K262)))</f>
        <v>0</v>
      </c>
      <c r="V262" s="39">
        <f>IF(B262="","",IF(L262="Yes","Paid",IF(K262="","Pending",IF(K262&lt;TodayDate,"Overdue",IF(K262&lt;=TodayDate+7,"Due soon","Pending")))))</f>
        <v>0</v>
      </c>
      <c r="W262" s="26">
        <f>IF(B262="","",IFERROR(INDEX(BudgetAmount,MATCH(C262,BudgetCategory,0))*1,0))</f>
        <v>0</v>
      </c>
      <c r="X262" s="25">
        <f>IF(B262="","",COUNTIFS($R$5:$R$604,"&gt;"&amp;R262)+COUNTIFS($R$5:R262,R262))</f>
        <v>0</v>
      </c>
      <c r="Y262" s="39">
        <f>IF(B262="","",IF(F262="","Add - no amount",IF(C262="","Add - no category, it will miss the P&amp;L",IF(V262="Overdue","Overdue - pay it",IF(V262="Due soon","Due - coming up",IF(IF(I262="Yes",J262="",FALSE),"Add - how often does it recur?",IF(L262="Yes","OK","Pending")))))))</f>
        <v>0</v>
      </c>
    </row>
    <row r="263" spans="1:25">
      <c r="A263" s="28">
        <f>IF(B263="","",ExpensePrefix&amp;TEXT(ROW()-4,"0000"))</f>
        <v>0</v>
      </c>
      <c r="P263" s="15">
        <f>IF(B263="","",TEXT(B263,"yyyy-mm"))</f>
        <v>0</v>
      </c>
      <c r="Q263" s="25">
        <f>IF(B263="","",WEEKNUM(B263,2))</f>
        <v>0</v>
      </c>
      <c r="R263" s="26">
        <f>IF(B263="","",ROUND(IF(F263="",0,F263)+IF(G263="",0,G263),2))</f>
        <v>0</v>
      </c>
      <c r="S263" s="26">
        <f>IF(B263="","",IF(I263&lt;&gt;"Yes",0,ROUND(IF(F263="",0,F263)*IF(J263="Weekly",52/12,IF(J263="Fortnightly",26/12,IF(J263="Four weekly",13/12,IF(J263="Monthly",1,IF(J263="Quarterly",1/3,IF(J263="Twice a year",1/6,IF(J263="Yearly",1/12,0))))))),2)))</f>
        <v>0</v>
      </c>
      <c r="T263" s="38">
        <f>IF(B263="","",IF(I263="Yes","Yes","No"))</f>
        <v>0</v>
      </c>
      <c r="U263" s="25">
        <f>IF(B263="","",IF(L263="Yes","",IF(K263="","",TodayDate-K263)))</f>
        <v>0</v>
      </c>
      <c r="V263" s="39">
        <f>IF(B263="","",IF(L263="Yes","Paid",IF(K263="","Pending",IF(K263&lt;TodayDate,"Overdue",IF(K263&lt;=TodayDate+7,"Due soon","Pending")))))</f>
        <v>0</v>
      </c>
      <c r="W263" s="26">
        <f>IF(B263="","",IFERROR(INDEX(BudgetAmount,MATCH(C263,BudgetCategory,0))*1,0))</f>
        <v>0</v>
      </c>
      <c r="X263" s="25">
        <f>IF(B263="","",COUNTIFS($R$5:$R$604,"&gt;"&amp;R263)+COUNTIFS($R$5:R263,R263))</f>
        <v>0</v>
      </c>
      <c r="Y263" s="39">
        <f>IF(B263="","",IF(F263="","Add - no amount",IF(C263="","Add - no category, it will miss the P&amp;L",IF(V263="Overdue","Overdue - pay it",IF(V263="Due soon","Due - coming up",IF(IF(I263="Yes",J263="",FALSE),"Add - how often does it recur?",IF(L263="Yes","OK","Pending")))))))</f>
        <v>0</v>
      </c>
    </row>
    <row r="264" spans="1:25">
      <c r="A264" s="28">
        <f>IF(B264="","",ExpensePrefix&amp;TEXT(ROW()-4,"0000"))</f>
        <v>0</v>
      </c>
      <c r="P264" s="15">
        <f>IF(B264="","",TEXT(B264,"yyyy-mm"))</f>
        <v>0</v>
      </c>
      <c r="Q264" s="25">
        <f>IF(B264="","",WEEKNUM(B264,2))</f>
        <v>0</v>
      </c>
      <c r="R264" s="26">
        <f>IF(B264="","",ROUND(IF(F264="",0,F264)+IF(G264="",0,G264),2))</f>
        <v>0</v>
      </c>
      <c r="S264" s="26">
        <f>IF(B264="","",IF(I264&lt;&gt;"Yes",0,ROUND(IF(F264="",0,F264)*IF(J264="Weekly",52/12,IF(J264="Fortnightly",26/12,IF(J264="Four weekly",13/12,IF(J264="Monthly",1,IF(J264="Quarterly",1/3,IF(J264="Twice a year",1/6,IF(J264="Yearly",1/12,0))))))),2)))</f>
        <v>0</v>
      </c>
      <c r="T264" s="38">
        <f>IF(B264="","",IF(I264="Yes","Yes","No"))</f>
        <v>0</v>
      </c>
      <c r="U264" s="25">
        <f>IF(B264="","",IF(L264="Yes","",IF(K264="","",TodayDate-K264)))</f>
        <v>0</v>
      </c>
      <c r="V264" s="39">
        <f>IF(B264="","",IF(L264="Yes","Paid",IF(K264="","Pending",IF(K264&lt;TodayDate,"Overdue",IF(K264&lt;=TodayDate+7,"Due soon","Pending")))))</f>
        <v>0</v>
      </c>
      <c r="W264" s="26">
        <f>IF(B264="","",IFERROR(INDEX(BudgetAmount,MATCH(C264,BudgetCategory,0))*1,0))</f>
        <v>0</v>
      </c>
      <c r="X264" s="25">
        <f>IF(B264="","",COUNTIFS($R$5:$R$604,"&gt;"&amp;R264)+COUNTIFS($R$5:R264,R264))</f>
        <v>0</v>
      </c>
      <c r="Y264" s="39">
        <f>IF(B264="","",IF(F264="","Add - no amount",IF(C264="","Add - no category, it will miss the P&amp;L",IF(V264="Overdue","Overdue - pay it",IF(V264="Due soon","Due - coming up",IF(IF(I264="Yes",J264="",FALSE),"Add - how often does it recur?",IF(L264="Yes","OK","Pending")))))))</f>
        <v>0</v>
      </c>
    </row>
    <row r="265" spans="1:25">
      <c r="A265" s="28">
        <f>IF(B265="","",ExpensePrefix&amp;TEXT(ROW()-4,"0000"))</f>
        <v>0</v>
      </c>
      <c r="P265" s="15">
        <f>IF(B265="","",TEXT(B265,"yyyy-mm"))</f>
        <v>0</v>
      </c>
      <c r="Q265" s="25">
        <f>IF(B265="","",WEEKNUM(B265,2))</f>
        <v>0</v>
      </c>
      <c r="R265" s="26">
        <f>IF(B265="","",ROUND(IF(F265="",0,F265)+IF(G265="",0,G265),2))</f>
        <v>0</v>
      </c>
      <c r="S265" s="26">
        <f>IF(B265="","",IF(I265&lt;&gt;"Yes",0,ROUND(IF(F265="",0,F265)*IF(J265="Weekly",52/12,IF(J265="Fortnightly",26/12,IF(J265="Four weekly",13/12,IF(J265="Monthly",1,IF(J265="Quarterly",1/3,IF(J265="Twice a year",1/6,IF(J265="Yearly",1/12,0))))))),2)))</f>
        <v>0</v>
      </c>
      <c r="T265" s="38">
        <f>IF(B265="","",IF(I265="Yes","Yes","No"))</f>
        <v>0</v>
      </c>
      <c r="U265" s="25">
        <f>IF(B265="","",IF(L265="Yes","",IF(K265="","",TodayDate-K265)))</f>
        <v>0</v>
      </c>
      <c r="V265" s="39">
        <f>IF(B265="","",IF(L265="Yes","Paid",IF(K265="","Pending",IF(K265&lt;TodayDate,"Overdue",IF(K265&lt;=TodayDate+7,"Due soon","Pending")))))</f>
        <v>0</v>
      </c>
      <c r="W265" s="26">
        <f>IF(B265="","",IFERROR(INDEX(BudgetAmount,MATCH(C265,BudgetCategory,0))*1,0))</f>
        <v>0</v>
      </c>
      <c r="X265" s="25">
        <f>IF(B265="","",COUNTIFS($R$5:$R$604,"&gt;"&amp;R265)+COUNTIFS($R$5:R265,R265))</f>
        <v>0</v>
      </c>
      <c r="Y265" s="39">
        <f>IF(B265="","",IF(F265="","Add - no amount",IF(C265="","Add - no category, it will miss the P&amp;L",IF(V265="Overdue","Overdue - pay it",IF(V265="Due soon","Due - coming up",IF(IF(I265="Yes",J265="",FALSE),"Add - how often does it recur?",IF(L265="Yes","OK","Pending")))))))</f>
        <v>0</v>
      </c>
    </row>
    <row r="266" spans="1:25">
      <c r="A266" s="28">
        <f>IF(B266="","",ExpensePrefix&amp;TEXT(ROW()-4,"0000"))</f>
        <v>0</v>
      </c>
      <c r="P266" s="15">
        <f>IF(B266="","",TEXT(B266,"yyyy-mm"))</f>
        <v>0</v>
      </c>
      <c r="Q266" s="25">
        <f>IF(B266="","",WEEKNUM(B266,2))</f>
        <v>0</v>
      </c>
      <c r="R266" s="26">
        <f>IF(B266="","",ROUND(IF(F266="",0,F266)+IF(G266="",0,G266),2))</f>
        <v>0</v>
      </c>
      <c r="S266" s="26">
        <f>IF(B266="","",IF(I266&lt;&gt;"Yes",0,ROUND(IF(F266="",0,F266)*IF(J266="Weekly",52/12,IF(J266="Fortnightly",26/12,IF(J266="Four weekly",13/12,IF(J266="Monthly",1,IF(J266="Quarterly",1/3,IF(J266="Twice a year",1/6,IF(J266="Yearly",1/12,0))))))),2)))</f>
        <v>0</v>
      </c>
      <c r="T266" s="38">
        <f>IF(B266="","",IF(I266="Yes","Yes","No"))</f>
        <v>0</v>
      </c>
      <c r="U266" s="25">
        <f>IF(B266="","",IF(L266="Yes","",IF(K266="","",TodayDate-K266)))</f>
        <v>0</v>
      </c>
      <c r="V266" s="39">
        <f>IF(B266="","",IF(L266="Yes","Paid",IF(K266="","Pending",IF(K266&lt;TodayDate,"Overdue",IF(K266&lt;=TodayDate+7,"Due soon","Pending")))))</f>
        <v>0</v>
      </c>
      <c r="W266" s="26">
        <f>IF(B266="","",IFERROR(INDEX(BudgetAmount,MATCH(C266,BudgetCategory,0))*1,0))</f>
        <v>0</v>
      </c>
      <c r="X266" s="25">
        <f>IF(B266="","",COUNTIFS($R$5:$R$604,"&gt;"&amp;R266)+COUNTIFS($R$5:R266,R266))</f>
        <v>0</v>
      </c>
      <c r="Y266" s="39">
        <f>IF(B266="","",IF(F266="","Add - no amount",IF(C266="","Add - no category, it will miss the P&amp;L",IF(V266="Overdue","Overdue - pay it",IF(V266="Due soon","Due - coming up",IF(IF(I266="Yes",J266="",FALSE),"Add - how often does it recur?",IF(L266="Yes","OK","Pending")))))))</f>
        <v>0</v>
      </c>
    </row>
    <row r="267" spans="1:25">
      <c r="A267" s="28">
        <f>IF(B267="","",ExpensePrefix&amp;TEXT(ROW()-4,"0000"))</f>
        <v>0</v>
      </c>
      <c r="P267" s="15">
        <f>IF(B267="","",TEXT(B267,"yyyy-mm"))</f>
        <v>0</v>
      </c>
      <c r="Q267" s="25">
        <f>IF(B267="","",WEEKNUM(B267,2))</f>
        <v>0</v>
      </c>
      <c r="R267" s="26">
        <f>IF(B267="","",ROUND(IF(F267="",0,F267)+IF(G267="",0,G267),2))</f>
        <v>0</v>
      </c>
      <c r="S267" s="26">
        <f>IF(B267="","",IF(I267&lt;&gt;"Yes",0,ROUND(IF(F267="",0,F267)*IF(J267="Weekly",52/12,IF(J267="Fortnightly",26/12,IF(J267="Four weekly",13/12,IF(J267="Monthly",1,IF(J267="Quarterly",1/3,IF(J267="Twice a year",1/6,IF(J267="Yearly",1/12,0))))))),2)))</f>
        <v>0</v>
      </c>
      <c r="T267" s="38">
        <f>IF(B267="","",IF(I267="Yes","Yes","No"))</f>
        <v>0</v>
      </c>
      <c r="U267" s="25">
        <f>IF(B267="","",IF(L267="Yes","",IF(K267="","",TodayDate-K267)))</f>
        <v>0</v>
      </c>
      <c r="V267" s="39">
        <f>IF(B267="","",IF(L267="Yes","Paid",IF(K267="","Pending",IF(K267&lt;TodayDate,"Overdue",IF(K267&lt;=TodayDate+7,"Due soon","Pending")))))</f>
        <v>0</v>
      </c>
      <c r="W267" s="26">
        <f>IF(B267="","",IFERROR(INDEX(BudgetAmount,MATCH(C267,BudgetCategory,0))*1,0))</f>
        <v>0</v>
      </c>
      <c r="X267" s="25">
        <f>IF(B267="","",COUNTIFS($R$5:$R$604,"&gt;"&amp;R267)+COUNTIFS($R$5:R267,R267))</f>
        <v>0</v>
      </c>
      <c r="Y267" s="39">
        <f>IF(B267="","",IF(F267="","Add - no amount",IF(C267="","Add - no category, it will miss the P&amp;L",IF(V267="Overdue","Overdue - pay it",IF(V267="Due soon","Due - coming up",IF(IF(I267="Yes",J267="",FALSE),"Add - how often does it recur?",IF(L267="Yes","OK","Pending")))))))</f>
        <v>0</v>
      </c>
    </row>
    <row r="268" spans="1:25">
      <c r="A268" s="28">
        <f>IF(B268="","",ExpensePrefix&amp;TEXT(ROW()-4,"0000"))</f>
        <v>0</v>
      </c>
      <c r="P268" s="15">
        <f>IF(B268="","",TEXT(B268,"yyyy-mm"))</f>
        <v>0</v>
      </c>
      <c r="Q268" s="25">
        <f>IF(B268="","",WEEKNUM(B268,2))</f>
        <v>0</v>
      </c>
      <c r="R268" s="26">
        <f>IF(B268="","",ROUND(IF(F268="",0,F268)+IF(G268="",0,G268),2))</f>
        <v>0</v>
      </c>
      <c r="S268" s="26">
        <f>IF(B268="","",IF(I268&lt;&gt;"Yes",0,ROUND(IF(F268="",0,F268)*IF(J268="Weekly",52/12,IF(J268="Fortnightly",26/12,IF(J268="Four weekly",13/12,IF(J268="Monthly",1,IF(J268="Quarterly",1/3,IF(J268="Twice a year",1/6,IF(J268="Yearly",1/12,0))))))),2)))</f>
        <v>0</v>
      </c>
      <c r="T268" s="38">
        <f>IF(B268="","",IF(I268="Yes","Yes","No"))</f>
        <v>0</v>
      </c>
      <c r="U268" s="25">
        <f>IF(B268="","",IF(L268="Yes","",IF(K268="","",TodayDate-K268)))</f>
        <v>0</v>
      </c>
      <c r="V268" s="39">
        <f>IF(B268="","",IF(L268="Yes","Paid",IF(K268="","Pending",IF(K268&lt;TodayDate,"Overdue",IF(K268&lt;=TodayDate+7,"Due soon","Pending")))))</f>
        <v>0</v>
      </c>
      <c r="W268" s="26">
        <f>IF(B268="","",IFERROR(INDEX(BudgetAmount,MATCH(C268,BudgetCategory,0))*1,0))</f>
        <v>0</v>
      </c>
      <c r="X268" s="25">
        <f>IF(B268="","",COUNTIFS($R$5:$R$604,"&gt;"&amp;R268)+COUNTIFS($R$5:R268,R268))</f>
        <v>0</v>
      </c>
      <c r="Y268" s="39">
        <f>IF(B268="","",IF(F268="","Add - no amount",IF(C268="","Add - no category, it will miss the P&amp;L",IF(V268="Overdue","Overdue - pay it",IF(V268="Due soon","Due - coming up",IF(IF(I268="Yes",J268="",FALSE),"Add - how often does it recur?",IF(L268="Yes","OK","Pending")))))))</f>
        <v>0</v>
      </c>
    </row>
    <row r="269" spans="1:25">
      <c r="A269" s="28">
        <f>IF(B269="","",ExpensePrefix&amp;TEXT(ROW()-4,"0000"))</f>
        <v>0</v>
      </c>
      <c r="P269" s="15">
        <f>IF(B269="","",TEXT(B269,"yyyy-mm"))</f>
        <v>0</v>
      </c>
      <c r="Q269" s="25">
        <f>IF(B269="","",WEEKNUM(B269,2))</f>
        <v>0</v>
      </c>
      <c r="R269" s="26">
        <f>IF(B269="","",ROUND(IF(F269="",0,F269)+IF(G269="",0,G269),2))</f>
        <v>0</v>
      </c>
      <c r="S269" s="26">
        <f>IF(B269="","",IF(I269&lt;&gt;"Yes",0,ROUND(IF(F269="",0,F269)*IF(J269="Weekly",52/12,IF(J269="Fortnightly",26/12,IF(J269="Four weekly",13/12,IF(J269="Monthly",1,IF(J269="Quarterly",1/3,IF(J269="Twice a year",1/6,IF(J269="Yearly",1/12,0))))))),2)))</f>
        <v>0</v>
      </c>
      <c r="T269" s="38">
        <f>IF(B269="","",IF(I269="Yes","Yes","No"))</f>
        <v>0</v>
      </c>
      <c r="U269" s="25">
        <f>IF(B269="","",IF(L269="Yes","",IF(K269="","",TodayDate-K269)))</f>
        <v>0</v>
      </c>
      <c r="V269" s="39">
        <f>IF(B269="","",IF(L269="Yes","Paid",IF(K269="","Pending",IF(K269&lt;TodayDate,"Overdue",IF(K269&lt;=TodayDate+7,"Due soon","Pending")))))</f>
        <v>0</v>
      </c>
      <c r="W269" s="26">
        <f>IF(B269="","",IFERROR(INDEX(BudgetAmount,MATCH(C269,BudgetCategory,0))*1,0))</f>
        <v>0</v>
      </c>
      <c r="X269" s="25">
        <f>IF(B269="","",COUNTIFS($R$5:$R$604,"&gt;"&amp;R269)+COUNTIFS($R$5:R269,R269))</f>
        <v>0</v>
      </c>
      <c r="Y269" s="39">
        <f>IF(B269="","",IF(F269="","Add - no amount",IF(C269="","Add - no category, it will miss the P&amp;L",IF(V269="Overdue","Overdue - pay it",IF(V269="Due soon","Due - coming up",IF(IF(I269="Yes",J269="",FALSE),"Add - how often does it recur?",IF(L269="Yes","OK","Pending")))))))</f>
        <v>0</v>
      </c>
    </row>
    <row r="270" spans="1:25">
      <c r="A270" s="28">
        <f>IF(B270="","",ExpensePrefix&amp;TEXT(ROW()-4,"0000"))</f>
        <v>0</v>
      </c>
      <c r="P270" s="15">
        <f>IF(B270="","",TEXT(B270,"yyyy-mm"))</f>
        <v>0</v>
      </c>
      <c r="Q270" s="25">
        <f>IF(B270="","",WEEKNUM(B270,2))</f>
        <v>0</v>
      </c>
      <c r="R270" s="26">
        <f>IF(B270="","",ROUND(IF(F270="",0,F270)+IF(G270="",0,G270),2))</f>
        <v>0</v>
      </c>
      <c r="S270" s="26">
        <f>IF(B270="","",IF(I270&lt;&gt;"Yes",0,ROUND(IF(F270="",0,F270)*IF(J270="Weekly",52/12,IF(J270="Fortnightly",26/12,IF(J270="Four weekly",13/12,IF(J270="Monthly",1,IF(J270="Quarterly",1/3,IF(J270="Twice a year",1/6,IF(J270="Yearly",1/12,0))))))),2)))</f>
        <v>0</v>
      </c>
      <c r="T270" s="38">
        <f>IF(B270="","",IF(I270="Yes","Yes","No"))</f>
        <v>0</v>
      </c>
      <c r="U270" s="25">
        <f>IF(B270="","",IF(L270="Yes","",IF(K270="","",TodayDate-K270)))</f>
        <v>0</v>
      </c>
      <c r="V270" s="39">
        <f>IF(B270="","",IF(L270="Yes","Paid",IF(K270="","Pending",IF(K270&lt;TodayDate,"Overdue",IF(K270&lt;=TodayDate+7,"Due soon","Pending")))))</f>
        <v>0</v>
      </c>
      <c r="W270" s="26">
        <f>IF(B270="","",IFERROR(INDEX(BudgetAmount,MATCH(C270,BudgetCategory,0))*1,0))</f>
        <v>0</v>
      </c>
      <c r="X270" s="25">
        <f>IF(B270="","",COUNTIFS($R$5:$R$604,"&gt;"&amp;R270)+COUNTIFS($R$5:R270,R270))</f>
        <v>0</v>
      </c>
      <c r="Y270" s="39">
        <f>IF(B270="","",IF(F270="","Add - no amount",IF(C270="","Add - no category, it will miss the P&amp;L",IF(V270="Overdue","Overdue - pay it",IF(V270="Due soon","Due - coming up",IF(IF(I270="Yes",J270="",FALSE),"Add - how often does it recur?",IF(L270="Yes","OK","Pending")))))))</f>
        <v>0</v>
      </c>
    </row>
    <row r="271" spans="1:25">
      <c r="A271" s="28">
        <f>IF(B271="","",ExpensePrefix&amp;TEXT(ROW()-4,"0000"))</f>
        <v>0</v>
      </c>
      <c r="P271" s="15">
        <f>IF(B271="","",TEXT(B271,"yyyy-mm"))</f>
        <v>0</v>
      </c>
      <c r="Q271" s="25">
        <f>IF(B271="","",WEEKNUM(B271,2))</f>
        <v>0</v>
      </c>
      <c r="R271" s="26">
        <f>IF(B271="","",ROUND(IF(F271="",0,F271)+IF(G271="",0,G271),2))</f>
        <v>0</v>
      </c>
      <c r="S271" s="26">
        <f>IF(B271="","",IF(I271&lt;&gt;"Yes",0,ROUND(IF(F271="",0,F271)*IF(J271="Weekly",52/12,IF(J271="Fortnightly",26/12,IF(J271="Four weekly",13/12,IF(J271="Monthly",1,IF(J271="Quarterly",1/3,IF(J271="Twice a year",1/6,IF(J271="Yearly",1/12,0))))))),2)))</f>
        <v>0</v>
      </c>
      <c r="T271" s="38">
        <f>IF(B271="","",IF(I271="Yes","Yes","No"))</f>
        <v>0</v>
      </c>
      <c r="U271" s="25">
        <f>IF(B271="","",IF(L271="Yes","",IF(K271="","",TodayDate-K271)))</f>
        <v>0</v>
      </c>
      <c r="V271" s="39">
        <f>IF(B271="","",IF(L271="Yes","Paid",IF(K271="","Pending",IF(K271&lt;TodayDate,"Overdue",IF(K271&lt;=TodayDate+7,"Due soon","Pending")))))</f>
        <v>0</v>
      </c>
      <c r="W271" s="26">
        <f>IF(B271="","",IFERROR(INDEX(BudgetAmount,MATCH(C271,BudgetCategory,0))*1,0))</f>
        <v>0</v>
      </c>
      <c r="X271" s="25">
        <f>IF(B271="","",COUNTIFS($R$5:$R$604,"&gt;"&amp;R271)+COUNTIFS($R$5:R271,R271))</f>
        <v>0</v>
      </c>
      <c r="Y271" s="39">
        <f>IF(B271="","",IF(F271="","Add - no amount",IF(C271="","Add - no category, it will miss the P&amp;L",IF(V271="Overdue","Overdue - pay it",IF(V271="Due soon","Due - coming up",IF(IF(I271="Yes",J271="",FALSE),"Add - how often does it recur?",IF(L271="Yes","OK","Pending")))))))</f>
        <v>0</v>
      </c>
    </row>
    <row r="272" spans="1:25">
      <c r="A272" s="28">
        <f>IF(B272="","",ExpensePrefix&amp;TEXT(ROW()-4,"0000"))</f>
        <v>0</v>
      </c>
      <c r="P272" s="15">
        <f>IF(B272="","",TEXT(B272,"yyyy-mm"))</f>
        <v>0</v>
      </c>
      <c r="Q272" s="25">
        <f>IF(B272="","",WEEKNUM(B272,2))</f>
        <v>0</v>
      </c>
      <c r="R272" s="26">
        <f>IF(B272="","",ROUND(IF(F272="",0,F272)+IF(G272="",0,G272),2))</f>
        <v>0</v>
      </c>
      <c r="S272" s="26">
        <f>IF(B272="","",IF(I272&lt;&gt;"Yes",0,ROUND(IF(F272="",0,F272)*IF(J272="Weekly",52/12,IF(J272="Fortnightly",26/12,IF(J272="Four weekly",13/12,IF(J272="Monthly",1,IF(J272="Quarterly",1/3,IF(J272="Twice a year",1/6,IF(J272="Yearly",1/12,0))))))),2)))</f>
        <v>0</v>
      </c>
      <c r="T272" s="38">
        <f>IF(B272="","",IF(I272="Yes","Yes","No"))</f>
        <v>0</v>
      </c>
      <c r="U272" s="25">
        <f>IF(B272="","",IF(L272="Yes","",IF(K272="","",TodayDate-K272)))</f>
        <v>0</v>
      </c>
      <c r="V272" s="39">
        <f>IF(B272="","",IF(L272="Yes","Paid",IF(K272="","Pending",IF(K272&lt;TodayDate,"Overdue",IF(K272&lt;=TodayDate+7,"Due soon","Pending")))))</f>
        <v>0</v>
      </c>
      <c r="W272" s="26">
        <f>IF(B272="","",IFERROR(INDEX(BudgetAmount,MATCH(C272,BudgetCategory,0))*1,0))</f>
        <v>0</v>
      </c>
      <c r="X272" s="25">
        <f>IF(B272="","",COUNTIFS($R$5:$R$604,"&gt;"&amp;R272)+COUNTIFS($R$5:R272,R272))</f>
        <v>0</v>
      </c>
      <c r="Y272" s="39">
        <f>IF(B272="","",IF(F272="","Add - no amount",IF(C272="","Add - no category, it will miss the P&amp;L",IF(V272="Overdue","Overdue - pay it",IF(V272="Due soon","Due - coming up",IF(IF(I272="Yes",J272="",FALSE),"Add - how often does it recur?",IF(L272="Yes","OK","Pending")))))))</f>
        <v>0</v>
      </c>
    </row>
    <row r="273" spans="1:25">
      <c r="A273" s="28">
        <f>IF(B273="","",ExpensePrefix&amp;TEXT(ROW()-4,"0000"))</f>
        <v>0</v>
      </c>
      <c r="P273" s="15">
        <f>IF(B273="","",TEXT(B273,"yyyy-mm"))</f>
        <v>0</v>
      </c>
      <c r="Q273" s="25">
        <f>IF(B273="","",WEEKNUM(B273,2))</f>
        <v>0</v>
      </c>
      <c r="R273" s="26">
        <f>IF(B273="","",ROUND(IF(F273="",0,F273)+IF(G273="",0,G273),2))</f>
        <v>0</v>
      </c>
      <c r="S273" s="26">
        <f>IF(B273="","",IF(I273&lt;&gt;"Yes",0,ROUND(IF(F273="",0,F273)*IF(J273="Weekly",52/12,IF(J273="Fortnightly",26/12,IF(J273="Four weekly",13/12,IF(J273="Monthly",1,IF(J273="Quarterly",1/3,IF(J273="Twice a year",1/6,IF(J273="Yearly",1/12,0))))))),2)))</f>
        <v>0</v>
      </c>
      <c r="T273" s="38">
        <f>IF(B273="","",IF(I273="Yes","Yes","No"))</f>
        <v>0</v>
      </c>
      <c r="U273" s="25">
        <f>IF(B273="","",IF(L273="Yes","",IF(K273="","",TodayDate-K273)))</f>
        <v>0</v>
      </c>
      <c r="V273" s="39">
        <f>IF(B273="","",IF(L273="Yes","Paid",IF(K273="","Pending",IF(K273&lt;TodayDate,"Overdue",IF(K273&lt;=TodayDate+7,"Due soon","Pending")))))</f>
        <v>0</v>
      </c>
      <c r="W273" s="26">
        <f>IF(B273="","",IFERROR(INDEX(BudgetAmount,MATCH(C273,BudgetCategory,0))*1,0))</f>
        <v>0</v>
      </c>
      <c r="X273" s="25">
        <f>IF(B273="","",COUNTIFS($R$5:$R$604,"&gt;"&amp;R273)+COUNTIFS($R$5:R273,R273))</f>
        <v>0</v>
      </c>
      <c r="Y273" s="39">
        <f>IF(B273="","",IF(F273="","Add - no amount",IF(C273="","Add - no category, it will miss the P&amp;L",IF(V273="Overdue","Overdue - pay it",IF(V273="Due soon","Due - coming up",IF(IF(I273="Yes",J273="",FALSE),"Add - how often does it recur?",IF(L273="Yes","OK","Pending")))))))</f>
        <v>0</v>
      </c>
    </row>
    <row r="274" spans="1:25">
      <c r="A274" s="28">
        <f>IF(B274="","",ExpensePrefix&amp;TEXT(ROW()-4,"0000"))</f>
        <v>0</v>
      </c>
      <c r="P274" s="15">
        <f>IF(B274="","",TEXT(B274,"yyyy-mm"))</f>
        <v>0</v>
      </c>
      <c r="Q274" s="25">
        <f>IF(B274="","",WEEKNUM(B274,2))</f>
        <v>0</v>
      </c>
      <c r="R274" s="26">
        <f>IF(B274="","",ROUND(IF(F274="",0,F274)+IF(G274="",0,G274),2))</f>
        <v>0</v>
      </c>
      <c r="S274" s="26">
        <f>IF(B274="","",IF(I274&lt;&gt;"Yes",0,ROUND(IF(F274="",0,F274)*IF(J274="Weekly",52/12,IF(J274="Fortnightly",26/12,IF(J274="Four weekly",13/12,IF(J274="Monthly",1,IF(J274="Quarterly",1/3,IF(J274="Twice a year",1/6,IF(J274="Yearly",1/12,0))))))),2)))</f>
        <v>0</v>
      </c>
      <c r="T274" s="38">
        <f>IF(B274="","",IF(I274="Yes","Yes","No"))</f>
        <v>0</v>
      </c>
      <c r="U274" s="25">
        <f>IF(B274="","",IF(L274="Yes","",IF(K274="","",TodayDate-K274)))</f>
        <v>0</v>
      </c>
      <c r="V274" s="39">
        <f>IF(B274="","",IF(L274="Yes","Paid",IF(K274="","Pending",IF(K274&lt;TodayDate,"Overdue",IF(K274&lt;=TodayDate+7,"Due soon","Pending")))))</f>
        <v>0</v>
      </c>
      <c r="W274" s="26">
        <f>IF(B274="","",IFERROR(INDEX(BudgetAmount,MATCH(C274,BudgetCategory,0))*1,0))</f>
        <v>0</v>
      </c>
      <c r="X274" s="25">
        <f>IF(B274="","",COUNTIFS($R$5:$R$604,"&gt;"&amp;R274)+COUNTIFS($R$5:R274,R274))</f>
        <v>0</v>
      </c>
      <c r="Y274" s="39">
        <f>IF(B274="","",IF(F274="","Add - no amount",IF(C274="","Add - no category, it will miss the P&amp;L",IF(V274="Overdue","Overdue - pay it",IF(V274="Due soon","Due - coming up",IF(IF(I274="Yes",J274="",FALSE),"Add - how often does it recur?",IF(L274="Yes","OK","Pending")))))))</f>
        <v>0</v>
      </c>
    </row>
    <row r="275" spans="1:25">
      <c r="A275" s="28">
        <f>IF(B275="","",ExpensePrefix&amp;TEXT(ROW()-4,"0000"))</f>
        <v>0</v>
      </c>
      <c r="P275" s="15">
        <f>IF(B275="","",TEXT(B275,"yyyy-mm"))</f>
        <v>0</v>
      </c>
      <c r="Q275" s="25">
        <f>IF(B275="","",WEEKNUM(B275,2))</f>
        <v>0</v>
      </c>
      <c r="R275" s="26">
        <f>IF(B275="","",ROUND(IF(F275="",0,F275)+IF(G275="",0,G275),2))</f>
        <v>0</v>
      </c>
      <c r="S275" s="26">
        <f>IF(B275="","",IF(I275&lt;&gt;"Yes",0,ROUND(IF(F275="",0,F275)*IF(J275="Weekly",52/12,IF(J275="Fortnightly",26/12,IF(J275="Four weekly",13/12,IF(J275="Monthly",1,IF(J275="Quarterly",1/3,IF(J275="Twice a year",1/6,IF(J275="Yearly",1/12,0))))))),2)))</f>
        <v>0</v>
      </c>
      <c r="T275" s="38">
        <f>IF(B275="","",IF(I275="Yes","Yes","No"))</f>
        <v>0</v>
      </c>
      <c r="U275" s="25">
        <f>IF(B275="","",IF(L275="Yes","",IF(K275="","",TodayDate-K275)))</f>
        <v>0</v>
      </c>
      <c r="V275" s="39">
        <f>IF(B275="","",IF(L275="Yes","Paid",IF(K275="","Pending",IF(K275&lt;TodayDate,"Overdue",IF(K275&lt;=TodayDate+7,"Due soon","Pending")))))</f>
        <v>0</v>
      </c>
      <c r="W275" s="26">
        <f>IF(B275="","",IFERROR(INDEX(BudgetAmount,MATCH(C275,BudgetCategory,0))*1,0))</f>
        <v>0</v>
      </c>
      <c r="X275" s="25">
        <f>IF(B275="","",COUNTIFS($R$5:$R$604,"&gt;"&amp;R275)+COUNTIFS($R$5:R275,R275))</f>
        <v>0</v>
      </c>
      <c r="Y275" s="39">
        <f>IF(B275="","",IF(F275="","Add - no amount",IF(C275="","Add - no category, it will miss the P&amp;L",IF(V275="Overdue","Overdue - pay it",IF(V275="Due soon","Due - coming up",IF(IF(I275="Yes",J275="",FALSE),"Add - how often does it recur?",IF(L275="Yes","OK","Pending")))))))</f>
        <v>0</v>
      </c>
    </row>
    <row r="276" spans="1:25">
      <c r="A276" s="28">
        <f>IF(B276="","",ExpensePrefix&amp;TEXT(ROW()-4,"0000"))</f>
        <v>0</v>
      </c>
      <c r="P276" s="15">
        <f>IF(B276="","",TEXT(B276,"yyyy-mm"))</f>
        <v>0</v>
      </c>
      <c r="Q276" s="25">
        <f>IF(B276="","",WEEKNUM(B276,2))</f>
        <v>0</v>
      </c>
      <c r="R276" s="26">
        <f>IF(B276="","",ROUND(IF(F276="",0,F276)+IF(G276="",0,G276),2))</f>
        <v>0</v>
      </c>
      <c r="S276" s="26">
        <f>IF(B276="","",IF(I276&lt;&gt;"Yes",0,ROUND(IF(F276="",0,F276)*IF(J276="Weekly",52/12,IF(J276="Fortnightly",26/12,IF(J276="Four weekly",13/12,IF(J276="Monthly",1,IF(J276="Quarterly",1/3,IF(J276="Twice a year",1/6,IF(J276="Yearly",1/12,0))))))),2)))</f>
        <v>0</v>
      </c>
      <c r="T276" s="38">
        <f>IF(B276="","",IF(I276="Yes","Yes","No"))</f>
        <v>0</v>
      </c>
      <c r="U276" s="25">
        <f>IF(B276="","",IF(L276="Yes","",IF(K276="","",TodayDate-K276)))</f>
        <v>0</v>
      </c>
      <c r="V276" s="39">
        <f>IF(B276="","",IF(L276="Yes","Paid",IF(K276="","Pending",IF(K276&lt;TodayDate,"Overdue",IF(K276&lt;=TodayDate+7,"Due soon","Pending")))))</f>
        <v>0</v>
      </c>
      <c r="W276" s="26">
        <f>IF(B276="","",IFERROR(INDEX(BudgetAmount,MATCH(C276,BudgetCategory,0))*1,0))</f>
        <v>0</v>
      </c>
      <c r="X276" s="25">
        <f>IF(B276="","",COUNTIFS($R$5:$R$604,"&gt;"&amp;R276)+COUNTIFS($R$5:R276,R276))</f>
        <v>0</v>
      </c>
      <c r="Y276" s="39">
        <f>IF(B276="","",IF(F276="","Add - no amount",IF(C276="","Add - no category, it will miss the P&amp;L",IF(V276="Overdue","Overdue - pay it",IF(V276="Due soon","Due - coming up",IF(IF(I276="Yes",J276="",FALSE),"Add - how often does it recur?",IF(L276="Yes","OK","Pending")))))))</f>
        <v>0</v>
      </c>
    </row>
    <row r="277" spans="1:25">
      <c r="A277" s="28">
        <f>IF(B277="","",ExpensePrefix&amp;TEXT(ROW()-4,"0000"))</f>
        <v>0</v>
      </c>
      <c r="P277" s="15">
        <f>IF(B277="","",TEXT(B277,"yyyy-mm"))</f>
        <v>0</v>
      </c>
      <c r="Q277" s="25">
        <f>IF(B277="","",WEEKNUM(B277,2))</f>
        <v>0</v>
      </c>
      <c r="R277" s="26">
        <f>IF(B277="","",ROUND(IF(F277="",0,F277)+IF(G277="",0,G277),2))</f>
        <v>0</v>
      </c>
      <c r="S277" s="26">
        <f>IF(B277="","",IF(I277&lt;&gt;"Yes",0,ROUND(IF(F277="",0,F277)*IF(J277="Weekly",52/12,IF(J277="Fortnightly",26/12,IF(J277="Four weekly",13/12,IF(J277="Monthly",1,IF(J277="Quarterly",1/3,IF(J277="Twice a year",1/6,IF(J277="Yearly",1/12,0))))))),2)))</f>
        <v>0</v>
      </c>
      <c r="T277" s="38">
        <f>IF(B277="","",IF(I277="Yes","Yes","No"))</f>
        <v>0</v>
      </c>
      <c r="U277" s="25">
        <f>IF(B277="","",IF(L277="Yes","",IF(K277="","",TodayDate-K277)))</f>
        <v>0</v>
      </c>
      <c r="V277" s="39">
        <f>IF(B277="","",IF(L277="Yes","Paid",IF(K277="","Pending",IF(K277&lt;TodayDate,"Overdue",IF(K277&lt;=TodayDate+7,"Due soon","Pending")))))</f>
        <v>0</v>
      </c>
      <c r="W277" s="26">
        <f>IF(B277="","",IFERROR(INDEX(BudgetAmount,MATCH(C277,BudgetCategory,0))*1,0))</f>
        <v>0</v>
      </c>
      <c r="X277" s="25">
        <f>IF(B277="","",COUNTIFS($R$5:$R$604,"&gt;"&amp;R277)+COUNTIFS($R$5:R277,R277))</f>
        <v>0</v>
      </c>
      <c r="Y277" s="39">
        <f>IF(B277="","",IF(F277="","Add - no amount",IF(C277="","Add - no category, it will miss the P&amp;L",IF(V277="Overdue","Overdue - pay it",IF(V277="Due soon","Due - coming up",IF(IF(I277="Yes",J277="",FALSE),"Add - how often does it recur?",IF(L277="Yes","OK","Pending")))))))</f>
        <v>0</v>
      </c>
    </row>
    <row r="278" spans="1:25">
      <c r="A278" s="28">
        <f>IF(B278="","",ExpensePrefix&amp;TEXT(ROW()-4,"0000"))</f>
        <v>0</v>
      </c>
      <c r="P278" s="15">
        <f>IF(B278="","",TEXT(B278,"yyyy-mm"))</f>
        <v>0</v>
      </c>
      <c r="Q278" s="25">
        <f>IF(B278="","",WEEKNUM(B278,2))</f>
        <v>0</v>
      </c>
      <c r="R278" s="26">
        <f>IF(B278="","",ROUND(IF(F278="",0,F278)+IF(G278="",0,G278),2))</f>
        <v>0</v>
      </c>
      <c r="S278" s="26">
        <f>IF(B278="","",IF(I278&lt;&gt;"Yes",0,ROUND(IF(F278="",0,F278)*IF(J278="Weekly",52/12,IF(J278="Fortnightly",26/12,IF(J278="Four weekly",13/12,IF(J278="Monthly",1,IF(J278="Quarterly",1/3,IF(J278="Twice a year",1/6,IF(J278="Yearly",1/12,0))))))),2)))</f>
        <v>0</v>
      </c>
      <c r="T278" s="38">
        <f>IF(B278="","",IF(I278="Yes","Yes","No"))</f>
        <v>0</v>
      </c>
      <c r="U278" s="25">
        <f>IF(B278="","",IF(L278="Yes","",IF(K278="","",TodayDate-K278)))</f>
        <v>0</v>
      </c>
      <c r="V278" s="39">
        <f>IF(B278="","",IF(L278="Yes","Paid",IF(K278="","Pending",IF(K278&lt;TodayDate,"Overdue",IF(K278&lt;=TodayDate+7,"Due soon","Pending")))))</f>
        <v>0</v>
      </c>
      <c r="W278" s="26">
        <f>IF(B278="","",IFERROR(INDEX(BudgetAmount,MATCH(C278,BudgetCategory,0))*1,0))</f>
        <v>0</v>
      </c>
      <c r="X278" s="25">
        <f>IF(B278="","",COUNTIFS($R$5:$R$604,"&gt;"&amp;R278)+COUNTIFS($R$5:R278,R278))</f>
        <v>0</v>
      </c>
      <c r="Y278" s="39">
        <f>IF(B278="","",IF(F278="","Add - no amount",IF(C278="","Add - no category, it will miss the P&amp;L",IF(V278="Overdue","Overdue - pay it",IF(V278="Due soon","Due - coming up",IF(IF(I278="Yes",J278="",FALSE),"Add - how often does it recur?",IF(L278="Yes","OK","Pending")))))))</f>
        <v>0</v>
      </c>
    </row>
    <row r="279" spans="1:25">
      <c r="A279" s="28">
        <f>IF(B279="","",ExpensePrefix&amp;TEXT(ROW()-4,"0000"))</f>
        <v>0</v>
      </c>
      <c r="P279" s="15">
        <f>IF(B279="","",TEXT(B279,"yyyy-mm"))</f>
        <v>0</v>
      </c>
      <c r="Q279" s="25">
        <f>IF(B279="","",WEEKNUM(B279,2))</f>
        <v>0</v>
      </c>
      <c r="R279" s="26">
        <f>IF(B279="","",ROUND(IF(F279="",0,F279)+IF(G279="",0,G279),2))</f>
        <v>0</v>
      </c>
      <c r="S279" s="26">
        <f>IF(B279="","",IF(I279&lt;&gt;"Yes",0,ROUND(IF(F279="",0,F279)*IF(J279="Weekly",52/12,IF(J279="Fortnightly",26/12,IF(J279="Four weekly",13/12,IF(J279="Monthly",1,IF(J279="Quarterly",1/3,IF(J279="Twice a year",1/6,IF(J279="Yearly",1/12,0))))))),2)))</f>
        <v>0</v>
      </c>
      <c r="T279" s="38">
        <f>IF(B279="","",IF(I279="Yes","Yes","No"))</f>
        <v>0</v>
      </c>
      <c r="U279" s="25">
        <f>IF(B279="","",IF(L279="Yes","",IF(K279="","",TodayDate-K279)))</f>
        <v>0</v>
      </c>
      <c r="V279" s="39">
        <f>IF(B279="","",IF(L279="Yes","Paid",IF(K279="","Pending",IF(K279&lt;TodayDate,"Overdue",IF(K279&lt;=TodayDate+7,"Due soon","Pending")))))</f>
        <v>0</v>
      </c>
      <c r="W279" s="26">
        <f>IF(B279="","",IFERROR(INDEX(BudgetAmount,MATCH(C279,BudgetCategory,0))*1,0))</f>
        <v>0</v>
      </c>
      <c r="X279" s="25">
        <f>IF(B279="","",COUNTIFS($R$5:$R$604,"&gt;"&amp;R279)+COUNTIFS($R$5:R279,R279))</f>
        <v>0</v>
      </c>
      <c r="Y279" s="39">
        <f>IF(B279="","",IF(F279="","Add - no amount",IF(C279="","Add - no category, it will miss the P&amp;L",IF(V279="Overdue","Overdue - pay it",IF(V279="Due soon","Due - coming up",IF(IF(I279="Yes",J279="",FALSE),"Add - how often does it recur?",IF(L279="Yes","OK","Pending")))))))</f>
        <v>0</v>
      </c>
    </row>
    <row r="280" spans="1:25">
      <c r="A280" s="28">
        <f>IF(B280="","",ExpensePrefix&amp;TEXT(ROW()-4,"0000"))</f>
        <v>0</v>
      </c>
      <c r="P280" s="15">
        <f>IF(B280="","",TEXT(B280,"yyyy-mm"))</f>
        <v>0</v>
      </c>
      <c r="Q280" s="25">
        <f>IF(B280="","",WEEKNUM(B280,2))</f>
        <v>0</v>
      </c>
      <c r="R280" s="26">
        <f>IF(B280="","",ROUND(IF(F280="",0,F280)+IF(G280="",0,G280),2))</f>
        <v>0</v>
      </c>
      <c r="S280" s="26">
        <f>IF(B280="","",IF(I280&lt;&gt;"Yes",0,ROUND(IF(F280="",0,F280)*IF(J280="Weekly",52/12,IF(J280="Fortnightly",26/12,IF(J280="Four weekly",13/12,IF(J280="Monthly",1,IF(J280="Quarterly",1/3,IF(J280="Twice a year",1/6,IF(J280="Yearly",1/12,0))))))),2)))</f>
        <v>0</v>
      </c>
      <c r="T280" s="38">
        <f>IF(B280="","",IF(I280="Yes","Yes","No"))</f>
        <v>0</v>
      </c>
      <c r="U280" s="25">
        <f>IF(B280="","",IF(L280="Yes","",IF(K280="","",TodayDate-K280)))</f>
        <v>0</v>
      </c>
      <c r="V280" s="39">
        <f>IF(B280="","",IF(L280="Yes","Paid",IF(K280="","Pending",IF(K280&lt;TodayDate,"Overdue",IF(K280&lt;=TodayDate+7,"Due soon","Pending")))))</f>
        <v>0</v>
      </c>
      <c r="W280" s="26">
        <f>IF(B280="","",IFERROR(INDEX(BudgetAmount,MATCH(C280,BudgetCategory,0))*1,0))</f>
        <v>0</v>
      </c>
      <c r="X280" s="25">
        <f>IF(B280="","",COUNTIFS($R$5:$R$604,"&gt;"&amp;R280)+COUNTIFS($R$5:R280,R280))</f>
        <v>0</v>
      </c>
      <c r="Y280" s="39">
        <f>IF(B280="","",IF(F280="","Add - no amount",IF(C280="","Add - no category, it will miss the P&amp;L",IF(V280="Overdue","Overdue - pay it",IF(V280="Due soon","Due - coming up",IF(IF(I280="Yes",J280="",FALSE),"Add - how often does it recur?",IF(L280="Yes","OK","Pending")))))))</f>
        <v>0</v>
      </c>
    </row>
    <row r="281" spans="1:25">
      <c r="A281" s="28">
        <f>IF(B281="","",ExpensePrefix&amp;TEXT(ROW()-4,"0000"))</f>
        <v>0</v>
      </c>
      <c r="P281" s="15">
        <f>IF(B281="","",TEXT(B281,"yyyy-mm"))</f>
        <v>0</v>
      </c>
      <c r="Q281" s="25">
        <f>IF(B281="","",WEEKNUM(B281,2))</f>
        <v>0</v>
      </c>
      <c r="R281" s="26">
        <f>IF(B281="","",ROUND(IF(F281="",0,F281)+IF(G281="",0,G281),2))</f>
        <v>0</v>
      </c>
      <c r="S281" s="26">
        <f>IF(B281="","",IF(I281&lt;&gt;"Yes",0,ROUND(IF(F281="",0,F281)*IF(J281="Weekly",52/12,IF(J281="Fortnightly",26/12,IF(J281="Four weekly",13/12,IF(J281="Monthly",1,IF(J281="Quarterly",1/3,IF(J281="Twice a year",1/6,IF(J281="Yearly",1/12,0))))))),2)))</f>
        <v>0</v>
      </c>
      <c r="T281" s="38">
        <f>IF(B281="","",IF(I281="Yes","Yes","No"))</f>
        <v>0</v>
      </c>
      <c r="U281" s="25">
        <f>IF(B281="","",IF(L281="Yes","",IF(K281="","",TodayDate-K281)))</f>
        <v>0</v>
      </c>
      <c r="V281" s="39">
        <f>IF(B281="","",IF(L281="Yes","Paid",IF(K281="","Pending",IF(K281&lt;TodayDate,"Overdue",IF(K281&lt;=TodayDate+7,"Due soon","Pending")))))</f>
        <v>0</v>
      </c>
      <c r="W281" s="26">
        <f>IF(B281="","",IFERROR(INDEX(BudgetAmount,MATCH(C281,BudgetCategory,0))*1,0))</f>
        <v>0</v>
      </c>
      <c r="X281" s="25">
        <f>IF(B281="","",COUNTIFS($R$5:$R$604,"&gt;"&amp;R281)+COUNTIFS($R$5:R281,R281))</f>
        <v>0</v>
      </c>
      <c r="Y281" s="39">
        <f>IF(B281="","",IF(F281="","Add - no amount",IF(C281="","Add - no category, it will miss the P&amp;L",IF(V281="Overdue","Overdue - pay it",IF(V281="Due soon","Due - coming up",IF(IF(I281="Yes",J281="",FALSE),"Add - how often does it recur?",IF(L281="Yes","OK","Pending")))))))</f>
        <v>0</v>
      </c>
    </row>
    <row r="282" spans="1:25">
      <c r="A282" s="28">
        <f>IF(B282="","",ExpensePrefix&amp;TEXT(ROW()-4,"0000"))</f>
        <v>0</v>
      </c>
      <c r="P282" s="15">
        <f>IF(B282="","",TEXT(B282,"yyyy-mm"))</f>
        <v>0</v>
      </c>
      <c r="Q282" s="25">
        <f>IF(B282="","",WEEKNUM(B282,2))</f>
        <v>0</v>
      </c>
      <c r="R282" s="26">
        <f>IF(B282="","",ROUND(IF(F282="",0,F282)+IF(G282="",0,G282),2))</f>
        <v>0</v>
      </c>
      <c r="S282" s="26">
        <f>IF(B282="","",IF(I282&lt;&gt;"Yes",0,ROUND(IF(F282="",0,F282)*IF(J282="Weekly",52/12,IF(J282="Fortnightly",26/12,IF(J282="Four weekly",13/12,IF(J282="Monthly",1,IF(J282="Quarterly",1/3,IF(J282="Twice a year",1/6,IF(J282="Yearly",1/12,0))))))),2)))</f>
        <v>0</v>
      </c>
      <c r="T282" s="38">
        <f>IF(B282="","",IF(I282="Yes","Yes","No"))</f>
        <v>0</v>
      </c>
      <c r="U282" s="25">
        <f>IF(B282="","",IF(L282="Yes","",IF(K282="","",TodayDate-K282)))</f>
        <v>0</v>
      </c>
      <c r="V282" s="39">
        <f>IF(B282="","",IF(L282="Yes","Paid",IF(K282="","Pending",IF(K282&lt;TodayDate,"Overdue",IF(K282&lt;=TodayDate+7,"Due soon","Pending")))))</f>
        <v>0</v>
      </c>
      <c r="W282" s="26">
        <f>IF(B282="","",IFERROR(INDEX(BudgetAmount,MATCH(C282,BudgetCategory,0))*1,0))</f>
        <v>0</v>
      </c>
      <c r="X282" s="25">
        <f>IF(B282="","",COUNTIFS($R$5:$R$604,"&gt;"&amp;R282)+COUNTIFS($R$5:R282,R282))</f>
        <v>0</v>
      </c>
      <c r="Y282" s="39">
        <f>IF(B282="","",IF(F282="","Add - no amount",IF(C282="","Add - no category, it will miss the P&amp;L",IF(V282="Overdue","Overdue - pay it",IF(V282="Due soon","Due - coming up",IF(IF(I282="Yes",J282="",FALSE),"Add - how often does it recur?",IF(L282="Yes","OK","Pending")))))))</f>
        <v>0</v>
      </c>
    </row>
    <row r="283" spans="1:25">
      <c r="A283" s="28">
        <f>IF(B283="","",ExpensePrefix&amp;TEXT(ROW()-4,"0000"))</f>
        <v>0</v>
      </c>
      <c r="P283" s="15">
        <f>IF(B283="","",TEXT(B283,"yyyy-mm"))</f>
        <v>0</v>
      </c>
      <c r="Q283" s="25">
        <f>IF(B283="","",WEEKNUM(B283,2))</f>
        <v>0</v>
      </c>
      <c r="R283" s="26">
        <f>IF(B283="","",ROUND(IF(F283="",0,F283)+IF(G283="",0,G283),2))</f>
        <v>0</v>
      </c>
      <c r="S283" s="26">
        <f>IF(B283="","",IF(I283&lt;&gt;"Yes",0,ROUND(IF(F283="",0,F283)*IF(J283="Weekly",52/12,IF(J283="Fortnightly",26/12,IF(J283="Four weekly",13/12,IF(J283="Monthly",1,IF(J283="Quarterly",1/3,IF(J283="Twice a year",1/6,IF(J283="Yearly",1/12,0))))))),2)))</f>
        <v>0</v>
      </c>
      <c r="T283" s="38">
        <f>IF(B283="","",IF(I283="Yes","Yes","No"))</f>
        <v>0</v>
      </c>
      <c r="U283" s="25">
        <f>IF(B283="","",IF(L283="Yes","",IF(K283="","",TodayDate-K283)))</f>
        <v>0</v>
      </c>
      <c r="V283" s="39">
        <f>IF(B283="","",IF(L283="Yes","Paid",IF(K283="","Pending",IF(K283&lt;TodayDate,"Overdue",IF(K283&lt;=TodayDate+7,"Due soon","Pending")))))</f>
        <v>0</v>
      </c>
      <c r="W283" s="26">
        <f>IF(B283="","",IFERROR(INDEX(BudgetAmount,MATCH(C283,BudgetCategory,0))*1,0))</f>
        <v>0</v>
      </c>
      <c r="X283" s="25">
        <f>IF(B283="","",COUNTIFS($R$5:$R$604,"&gt;"&amp;R283)+COUNTIFS($R$5:R283,R283))</f>
        <v>0</v>
      </c>
      <c r="Y283" s="39">
        <f>IF(B283="","",IF(F283="","Add - no amount",IF(C283="","Add - no category, it will miss the P&amp;L",IF(V283="Overdue","Overdue - pay it",IF(V283="Due soon","Due - coming up",IF(IF(I283="Yes",J283="",FALSE),"Add - how often does it recur?",IF(L283="Yes","OK","Pending")))))))</f>
        <v>0</v>
      </c>
    </row>
    <row r="284" spans="1:25">
      <c r="A284" s="28">
        <f>IF(B284="","",ExpensePrefix&amp;TEXT(ROW()-4,"0000"))</f>
        <v>0</v>
      </c>
      <c r="P284" s="15">
        <f>IF(B284="","",TEXT(B284,"yyyy-mm"))</f>
        <v>0</v>
      </c>
      <c r="Q284" s="25">
        <f>IF(B284="","",WEEKNUM(B284,2))</f>
        <v>0</v>
      </c>
      <c r="R284" s="26">
        <f>IF(B284="","",ROUND(IF(F284="",0,F284)+IF(G284="",0,G284),2))</f>
        <v>0</v>
      </c>
      <c r="S284" s="26">
        <f>IF(B284="","",IF(I284&lt;&gt;"Yes",0,ROUND(IF(F284="",0,F284)*IF(J284="Weekly",52/12,IF(J284="Fortnightly",26/12,IF(J284="Four weekly",13/12,IF(J284="Monthly",1,IF(J284="Quarterly",1/3,IF(J284="Twice a year",1/6,IF(J284="Yearly",1/12,0))))))),2)))</f>
        <v>0</v>
      </c>
      <c r="T284" s="38">
        <f>IF(B284="","",IF(I284="Yes","Yes","No"))</f>
        <v>0</v>
      </c>
      <c r="U284" s="25">
        <f>IF(B284="","",IF(L284="Yes","",IF(K284="","",TodayDate-K284)))</f>
        <v>0</v>
      </c>
      <c r="V284" s="39">
        <f>IF(B284="","",IF(L284="Yes","Paid",IF(K284="","Pending",IF(K284&lt;TodayDate,"Overdue",IF(K284&lt;=TodayDate+7,"Due soon","Pending")))))</f>
        <v>0</v>
      </c>
      <c r="W284" s="26">
        <f>IF(B284="","",IFERROR(INDEX(BudgetAmount,MATCH(C284,BudgetCategory,0))*1,0))</f>
        <v>0</v>
      </c>
      <c r="X284" s="25">
        <f>IF(B284="","",COUNTIFS($R$5:$R$604,"&gt;"&amp;R284)+COUNTIFS($R$5:R284,R284))</f>
        <v>0</v>
      </c>
      <c r="Y284" s="39">
        <f>IF(B284="","",IF(F284="","Add - no amount",IF(C284="","Add - no category, it will miss the P&amp;L",IF(V284="Overdue","Overdue - pay it",IF(V284="Due soon","Due - coming up",IF(IF(I284="Yes",J284="",FALSE),"Add - how often does it recur?",IF(L284="Yes","OK","Pending")))))))</f>
        <v>0</v>
      </c>
    </row>
    <row r="285" spans="1:25">
      <c r="A285" s="28">
        <f>IF(B285="","",ExpensePrefix&amp;TEXT(ROW()-4,"0000"))</f>
        <v>0</v>
      </c>
      <c r="P285" s="15">
        <f>IF(B285="","",TEXT(B285,"yyyy-mm"))</f>
        <v>0</v>
      </c>
      <c r="Q285" s="25">
        <f>IF(B285="","",WEEKNUM(B285,2))</f>
        <v>0</v>
      </c>
      <c r="R285" s="26">
        <f>IF(B285="","",ROUND(IF(F285="",0,F285)+IF(G285="",0,G285),2))</f>
        <v>0</v>
      </c>
      <c r="S285" s="26">
        <f>IF(B285="","",IF(I285&lt;&gt;"Yes",0,ROUND(IF(F285="",0,F285)*IF(J285="Weekly",52/12,IF(J285="Fortnightly",26/12,IF(J285="Four weekly",13/12,IF(J285="Monthly",1,IF(J285="Quarterly",1/3,IF(J285="Twice a year",1/6,IF(J285="Yearly",1/12,0))))))),2)))</f>
        <v>0</v>
      </c>
      <c r="T285" s="38">
        <f>IF(B285="","",IF(I285="Yes","Yes","No"))</f>
        <v>0</v>
      </c>
      <c r="U285" s="25">
        <f>IF(B285="","",IF(L285="Yes","",IF(K285="","",TodayDate-K285)))</f>
        <v>0</v>
      </c>
      <c r="V285" s="39">
        <f>IF(B285="","",IF(L285="Yes","Paid",IF(K285="","Pending",IF(K285&lt;TodayDate,"Overdue",IF(K285&lt;=TodayDate+7,"Due soon","Pending")))))</f>
        <v>0</v>
      </c>
      <c r="W285" s="26">
        <f>IF(B285="","",IFERROR(INDEX(BudgetAmount,MATCH(C285,BudgetCategory,0))*1,0))</f>
        <v>0</v>
      </c>
      <c r="X285" s="25">
        <f>IF(B285="","",COUNTIFS($R$5:$R$604,"&gt;"&amp;R285)+COUNTIFS($R$5:R285,R285))</f>
        <v>0</v>
      </c>
      <c r="Y285" s="39">
        <f>IF(B285="","",IF(F285="","Add - no amount",IF(C285="","Add - no category, it will miss the P&amp;L",IF(V285="Overdue","Overdue - pay it",IF(V285="Due soon","Due - coming up",IF(IF(I285="Yes",J285="",FALSE),"Add - how often does it recur?",IF(L285="Yes","OK","Pending")))))))</f>
        <v>0</v>
      </c>
    </row>
    <row r="286" spans="1:25">
      <c r="A286" s="28">
        <f>IF(B286="","",ExpensePrefix&amp;TEXT(ROW()-4,"0000"))</f>
        <v>0</v>
      </c>
      <c r="P286" s="15">
        <f>IF(B286="","",TEXT(B286,"yyyy-mm"))</f>
        <v>0</v>
      </c>
      <c r="Q286" s="25">
        <f>IF(B286="","",WEEKNUM(B286,2))</f>
        <v>0</v>
      </c>
      <c r="R286" s="26">
        <f>IF(B286="","",ROUND(IF(F286="",0,F286)+IF(G286="",0,G286),2))</f>
        <v>0</v>
      </c>
      <c r="S286" s="26">
        <f>IF(B286="","",IF(I286&lt;&gt;"Yes",0,ROUND(IF(F286="",0,F286)*IF(J286="Weekly",52/12,IF(J286="Fortnightly",26/12,IF(J286="Four weekly",13/12,IF(J286="Monthly",1,IF(J286="Quarterly",1/3,IF(J286="Twice a year",1/6,IF(J286="Yearly",1/12,0))))))),2)))</f>
        <v>0</v>
      </c>
      <c r="T286" s="38">
        <f>IF(B286="","",IF(I286="Yes","Yes","No"))</f>
        <v>0</v>
      </c>
      <c r="U286" s="25">
        <f>IF(B286="","",IF(L286="Yes","",IF(K286="","",TodayDate-K286)))</f>
        <v>0</v>
      </c>
      <c r="V286" s="39">
        <f>IF(B286="","",IF(L286="Yes","Paid",IF(K286="","Pending",IF(K286&lt;TodayDate,"Overdue",IF(K286&lt;=TodayDate+7,"Due soon","Pending")))))</f>
        <v>0</v>
      </c>
      <c r="W286" s="26">
        <f>IF(B286="","",IFERROR(INDEX(BudgetAmount,MATCH(C286,BudgetCategory,0))*1,0))</f>
        <v>0</v>
      </c>
      <c r="X286" s="25">
        <f>IF(B286="","",COUNTIFS($R$5:$R$604,"&gt;"&amp;R286)+COUNTIFS($R$5:R286,R286))</f>
        <v>0</v>
      </c>
      <c r="Y286" s="39">
        <f>IF(B286="","",IF(F286="","Add - no amount",IF(C286="","Add - no category, it will miss the P&amp;L",IF(V286="Overdue","Overdue - pay it",IF(V286="Due soon","Due - coming up",IF(IF(I286="Yes",J286="",FALSE),"Add - how often does it recur?",IF(L286="Yes","OK","Pending")))))))</f>
        <v>0</v>
      </c>
    </row>
    <row r="287" spans="1:25">
      <c r="A287" s="28">
        <f>IF(B287="","",ExpensePrefix&amp;TEXT(ROW()-4,"0000"))</f>
        <v>0</v>
      </c>
      <c r="P287" s="15">
        <f>IF(B287="","",TEXT(B287,"yyyy-mm"))</f>
        <v>0</v>
      </c>
      <c r="Q287" s="25">
        <f>IF(B287="","",WEEKNUM(B287,2))</f>
        <v>0</v>
      </c>
      <c r="R287" s="26">
        <f>IF(B287="","",ROUND(IF(F287="",0,F287)+IF(G287="",0,G287),2))</f>
        <v>0</v>
      </c>
      <c r="S287" s="26">
        <f>IF(B287="","",IF(I287&lt;&gt;"Yes",0,ROUND(IF(F287="",0,F287)*IF(J287="Weekly",52/12,IF(J287="Fortnightly",26/12,IF(J287="Four weekly",13/12,IF(J287="Monthly",1,IF(J287="Quarterly",1/3,IF(J287="Twice a year",1/6,IF(J287="Yearly",1/12,0))))))),2)))</f>
        <v>0</v>
      </c>
      <c r="T287" s="38">
        <f>IF(B287="","",IF(I287="Yes","Yes","No"))</f>
        <v>0</v>
      </c>
      <c r="U287" s="25">
        <f>IF(B287="","",IF(L287="Yes","",IF(K287="","",TodayDate-K287)))</f>
        <v>0</v>
      </c>
      <c r="V287" s="39">
        <f>IF(B287="","",IF(L287="Yes","Paid",IF(K287="","Pending",IF(K287&lt;TodayDate,"Overdue",IF(K287&lt;=TodayDate+7,"Due soon","Pending")))))</f>
        <v>0</v>
      </c>
      <c r="W287" s="26">
        <f>IF(B287="","",IFERROR(INDEX(BudgetAmount,MATCH(C287,BudgetCategory,0))*1,0))</f>
        <v>0</v>
      </c>
      <c r="X287" s="25">
        <f>IF(B287="","",COUNTIFS($R$5:$R$604,"&gt;"&amp;R287)+COUNTIFS($R$5:R287,R287))</f>
        <v>0</v>
      </c>
      <c r="Y287" s="39">
        <f>IF(B287="","",IF(F287="","Add - no amount",IF(C287="","Add - no category, it will miss the P&amp;L",IF(V287="Overdue","Overdue - pay it",IF(V287="Due soon","Due - coming up",IF(IF(I287="Yes",J287="",FALSE),"Add - how often does it recur?",IF(L287="Yes","OK","Pending")))))))</f>
        <v>0</v>
      </c>
    </row>
    <row r="288" spans="1:25">
      <c r="A288" s="28">
        <f>IF(B288="","",ExpensePrefix&amp;TEXT(ROW()-4,"0000"))</f>
        <v>0</v>
      </c>
      <c r="P288" s="15">
        <f>IF(B288="","",TEXT(B288,"yyyy-mm"))</f>
        <v>0</v>
      </c>
      <c r="Q288" s="25">
        <f>IF(B288="","",WEEKNUM(B288,2))</f>
        <v>0</v>
      </c>
      <c r="R288" s="26">
        <f>IF(B288="","",ROUND(IF(F288="",0,F288)+IF(G288="",0,G288),2))</f>
        <v>0</v>
      </c>
      <c r="S288" s="26">
        <f>IF(B288="","",IF(I288&lt;&gt;"Yes",0,ROUND(IF(F288="",0,F288)*IF(J288="Weekly",52/12,IF(J288="Fortnightly",26/12,IF(J288="Four weekly",13/12,IF(J288="Monthly",1,IF(J288="Quarterly",1/3,IF(J288="Twice a year",1/6,IF(J288="Yearly",1/12,0))))))),2)))</f>
        <v>0</v>
      </c>
      <c r="T288" s="38">
        <f>IF(B288="","",IF(I288="Yes","Yes","No"))</f>
        <v>0</v>
      </c>
      <c r="U288" s="25">
        <f>IF(B288="","",IF(L288="Yes","",IF(K288="","",TodayDate-K288)))</f>
        <v>0</v>
      </c>
      <c r="V288" s="39">
        <f>IF(B288="","",IF(L288="Yes","Paid",IF(K288="","Pending",IF(K288&lt;TodayDate,"Overdue",IF(K288&lt;=TodayDate+7,"Due soon","Pending")))))</f>
        <v>0</v>
      </c>
      <c r="W288" s="26">
        <f>IF(B288="","",IFERROR(INDEX(BudgetAmount,MATCH(C288,BudgetCategory,0))*1,0))</f>
        <v>0</v>
      </c>
      <c r="X288" s="25">
        <f>IF(B288="","",COUNTIFS($R$5:$R$604,"&gt;"&amp;R288)+COUNTIFS($R$5:R288,R288))</f>
        <v>0</v>
      </c>
      <c r="Y288" s="39">
        <f>IF(B288="","",IF(F288="","Add - no amount",IF(C288="","Add - no category, it will miss the P&amp;L",IF(V288="Overdue","Overdue - pay it",IF(V288="Due soon","Due - coming up",IF(IF(I288="Yes",J288="",FALSE),"Add - how often does it recur?",IF(L288="Yes","OK","Pending")))))))</f>
        <v>0</v>
      </c>
    </row>
    <row r="289" spans="1:25">
      <c r="A289" s="28">
        <f>IF(B289="","",ExpensePrefix&amp;TEXT(ROW()-4,"0000"))</f>
        <v>0</v>
      </c>
      <c r="P289" s="15">
        <f>IF(B289="","",TEXT(B289,"yyyy-mm"))</f>
        <v>0</v>
      </c>
      <c r="Q289" s="25">
        <f>IF(B289="","",WEEKNUM(B289,2))</f>
        <v>0</v>
      </c>
      <c r="R289" s="26">
        <f>IF(B289="","",ROUND(IF(F289="",0,F289)+IF(G289="",0,G289),2))</f>
        <v>0</v>
      </c>
      <c r="S289" s="26">
        <f>IF(B289="","",IF(I289&lt;&gt;"Yes",0,ROUND(IF(F289="",0,F289)*IF(J289="Weekly",52/12,IF(J289="Fortnightly",26/12,IF(J289="Four weekly",13/12,IF(J289="Monthly",1,IF(J289="Quarterly",1/3,IF(J289="Twice a year",1/6,IF(J289="Yearly",1/12,0))))))),2)))</f>
        <v>0</v>
      </c>
      <c r="T289" s="38">
        <f>IF(B289="","",IF(I289="Yes","Yes","No"))</f>
        <v>0</v>
      </c>
      <c r="U289" s="25">
        <f>IF(B289="","",IF(L289="Yes","",IF(K289="","",TodayDate-K289)))</f>
        <v>0</v>
      </c>
      <c r="V289" s="39">
        <f>IF(B289="","",IF(L289="Yes","Paid",IF(K289="","Pending",IF(K289&lt;TodayDate,"Overdue",IF(K289&lt;=TodayDate+7,"Due soon","Pending")))))</f>
        <v>0</v>
      </c>
      <c r="W289" s="26">
        <f>IF(B289="","",IFERROR(INDEX(BudgetAmount,MATCH(C289,BudgetCategory,0))*1,0))</f>
        <v>0</v>
      </c>
      <c r="X289" s="25">
        <f>IF(B289="","",COUNTIFS($R$5:$R$604,"&gt;"&amp;R289)+COUNTIFS($R$5:R289,R289))</f>
        <v>0</v>
      </c>
      <c r="Y289" s="39">
        <f>IF(B289="","",IF(F289="","Add - no amount",IF(C289="","Add - no category, it will miss the P&amp;L",IF(V289="Overdue","Overdue - pay it",IF(V289="Due soon","Due - coming up",IF(IF(I289="Yes",J289="",FALSE),"Add - how often does it recur?",IF(L289="Yes","OK","Pending")))))))</f>
        <v>0</v>
      </c>
    </row>
    <row r="290" spans="1:25">
      <c r="A290" s="28">
        <f>IF(B290="","",ExpensePrefix&amp;TEXT(ROW()-4,"0000"))</f>
        <v>0</v>
      </c>
      <c r="P290" s="15">
        <f>IF(B290="","",TEXT(B290,"yyyy-mm"))</f>
        <v>0</v>
      </c>
      <c r="Q290" s="25">
        <f>IF(B290="","",WEEKNUM(B290,2))</f>
        <v>0</v>
      </c>
      <c r="R290" s="26">
        <f>IF(B290="","",ROUND(IF(F290="",0,F290)+IF(G290="",0,G290),2))</f>
        <v>0</v>
      </c>
      <c r="S290" s="26">
        <f>IF(B290="","",IF(I290&lt;&gt;"Yes",0,ROUND(IF(F290="",0,F290)*IF(J290="Weekly",52/12,IF(J290="Fortnightly",26/12,IF(J290="Four weekly",13/12,IF(J290="Monthly",1,IF(J290="Quarterly",1/3,IF(J290="Twice a year",1/6,IF(J290="Yearly",1/12,0))))))),2)))</f>
        <v>0</v>
      </c>
      <c r="T290" s="38">
        <f>IF(B290="","",IF(I290="Yes","Yes","No"))</f>
        <v>0</v>
      </c>
      <c r="U290" s="25">
        <f>IF(B290="","",IF(L290="Yes","",IF(K290="","",TodayDate-K290)))</f>
        <v>0</v>
      </c>
      <c r="V290" s="39">
        <f>IF(B290="","",IF(L290="Yes","Paid",IF(K290="","Pending",IF(K290&lt;TodayDate,"Overdue",IF(K290&lt;=TodayDate+7,"Due soon","Pending")))))</f>
        <v>0</v>
      </c>
      <c r="W290" s="26">
        <f>IF(B290="","",IFERROR(INDEX(BudgetAmount,MATCH(C290,BudgetCategory,0))*1,0))</f>
        <v>0</v>
      </c>
      <c r="X290" s="25">
        <f>IF(B290="","",COUNTIFS($R$5:$R$604,"&gt;"&amp;R290)+COUNTIFS($R$5:R290,R290))</f>
        <v>0</v>
      </c>
      <c r="Y290" s="39">
        <f>IF(B290="","",IF(F290="","Add - no amount",IF(C290="","Add - no category, it will miss the P&amp;L",IF(V290="Overdue","Overdue - pay it",IF(V290="Due soon","Due - coming up",IF(IF(I290="Yes",J290="",FALSE),"Add - how often does it recur?",IF(L290="Yes","OK","Pending")))))))</f>
        <v>0</v>
      </c>
    </row>
    <row r="291" spans="1:25">
      <c r="A291" s="28">
        <f>IF(B291="","",ExpensePrefix&amp;TEXT(ROW()-4,"0000"))</f>
        <v>0</v>
      </c>
      <c r="P291" s="15">
        <f>IF(B291="","",TEXT(B291,"yyyy-mm"))</f>
        <v>0</v>
      </c>
      <c r="Q291" s="25">
        <f>IF(B291="","",WEEKNUM(B291,2))</f>
        <v>0</v>
      </c>
      <c r="R291" s="26">
        <f>IF(B291="","",ROUND(IF(F291="",0,F291)+IF(G291="",0,G291),2))</f>
        <v>0</v>
      </c>
      <c r="S291" s="26">
        <f>IF(B291="","",IF(I291&lt;&gt;"Yes",0,ROUND(IF(F291="",0,F291)*IF(J291="Weekly",52/12,IF(J291="Fortnightly",26/12,IF(J291="Four weekly",13/12,IF(J291="Monthly",1,IF(J291="Quarterly",1/3,IF(J291="Twice a year",1/6,IF(J291="Yearly",1/12,0))))))),2)))</f>
        <v>0</v>
      </c>
      <c r="T291" s="38">
        <f>IF(B291="","",IF(I291="Yes","Yes","No"))</f>
        <v>0</v>
      </c>
      <c r="U291" s="25">
        <f>IF(B291="","",IF(L291="Yes","",IF(K291="","",TodayDate-K291)))</f>
        <v>0</v>
      </c>
      <c r="V291" s="39">
        <f>IF(B291="","",IF(L291="Yes","Paid",IF(K291="","Pending",IF(K291&lt;TodayDate,"Overdue",IF(K291&lt;=TodayDate+7,"Due soon","Pending")))))</f>
        <v>0</v>
      </c>
      <c r="W291" s="26">
        <f>IF(B291="","",IFERROR(INDEX(BudgetAmount,MATCH(C291,BudgetCategory,0))*1,0))</f>
        <v>0</v>
      </c>
      <c r="X291" s="25">
        <f>IF(B291="","",COUNTIFS($R$5:$R$604,"&gt;"&amp;R291)+COUNTIFS($R$5:R291,R291))</f>
        <v>0</v>
      </c>
      <c r="Y291" s="39">
        <f>IF(B291="","",IF(F291="","Add - no amount",IF(C291="","Add - no category, it will miss the P&amp;L",IF(V291="Overdue","Overdue - pay it",IF(V291="Due soon","Due - coming up",IF(IF(I291="Yes",J291="",FALSE),"Add - how often does it recur?",IF(L291="Yes","OK","Pending")))))))</f>
        <v>0</v>
      </c>
    </row>
    <row r="292" spans="1:25">
      <c r="A292" s="28">
        <f>IF(B292="","",ExpensePrefix&amp;TEXT(ROW()-4,"0000"))</f>
        <v>0</v>
      </c>
      <c r="P292" s="15">
        <f>IF(B292="","",TEXT(B292,"yyyy-mm"))</f>
        <v>0</v>
      </c>
      <c r="Q292" s="25">
        <f>IF(B292="","",WEEKNUM(B292,2))</f>
        <v>0</v>
      </c>
      <c r="R292" s="26">
        <f>IF(B292="","",ROUND(IF(F292="",0,F292)+IF(G292="",0,G292),2))</f>
        <v>0</v>
      </c>
      <c r="S292" s="26">
        <f>IF(B292="","",IF(I292&lt;&gt;"Yes",0,ROUND(IF(F292="",0,F292)*IF(J292="Weekly",52/12,IF(J292="Fortnightly",26/12,IF(J292="Four weekly",13/12,IF(J292="Monthly",1,IF(J292="Quarterly",1/3,IF(J292="Twice a year",1/6,IF(J292="Yearly",1/12,0))))))),2)))</f>
        <v>0</v>
      </c>
      <c r="T292" s="38">
        <f>IF(B292="","",IF(I292="Yes","Yes","No"))</f>
        <v>0</v>
      </c>
      <c r="U292" s="25">
        <f>IF(B292="","",IF(L292="Yes","",IF(K292="","",TodayDate-K292)))</f>
        <v>0</v>
      </c>
      <c r="V292" s="39">
        <f>IF(B292="","",IF(L292="Yes","Paid",IF(K292="","Pending",IF(K292&lt;TodayDate,"Overdue",IF(K292&lt;=TodayDate+7,"Due soon","Pending")))))</f>
        <v>0</v>
      </c>
      <c r="W292" s="26">
        <f>IF(B292="","",IFERROR(INDEX(BudgetAmount,MATCH(C292,BudgetCategory,0))*1,0))</f>
        <v>0</v>
      </c>
      <c r="X292" s="25">
        <f>IF(B292="","",COUNTIFS($R$5:$R$604,"&gt;"&amp;R292)+COUNTIFS($R$5:R292,R292))</f>
        <v>0</v>
      </c>
      <c r="Y292" s="39">
        <f>IF(B292="","",IF(F292="","Add - no amount",IF(C292="","Add - no category, it will miss the P&amp;L",IF(V292="Overdue","Overdue - pay it",IF(V292="Due soon","Due - coming up",IF(IF(I292="Yes",J292="",FALSE),"Add - how often does it recur?",IF(L292="Yes","OK","Pending")))))))</f>
        <v>0</v>
      </c>
    </row>
    <row r="293" spans="1:25">
      <c r="A293" s="28">
        <f>IF(B293="","",ExpensePrefix&amp;TEXT(ROW()-4,"0000"))</f>
        <v>0</v>
      </c>
      <c r="P293" s="15">
        <f>IF(B293="","",TEXT(B293,"yyyy-mm"))</f>
        <v>0</v>
      </c>
      <c r="Q293" s="25">
        <f>IF(B293="","",WEEKNUM(B293,2))</f>
        <v>0</v>
      </c>
      <c r="R293" s="26">
        <f>IF(B293="","",ROUND(IF(F293="",0,F293)+IF(G293="",0,G293),2))</f>
        <v>0</v>
      </c>
      <c r="S293" s="26">
        <f>IF(B293="","",IF(I293&lt;&gt;"Yes",0,ROUND(IF(F293="",0,F293)*IF(J293="Weekly",52/12,IF(J293="Fortnightly",26/12,IF(J293="Four weekly",13/12,IF(J293="Monthly",1,IF(J293="Quarterly",1/3,IF(J293="Twice a year",1/6,IF(J293="Yearly",1/12,0))))))),2)))</f>
        <v>0</v>
      </c>
      <c r="T293" s="38">
        <f>IF(B293="","",IF(I293="Yes","Yes","No"))</f>
        <v>0</v>
      </c>
      <c r="U293" s="25">
        <f>IF(B293="","",IF(L293="Yes","",IF(K293="","",TodayDate-K293)))</f>
        <v>0</v>
      </c>
      <c r="V293" s="39">
        <f>IF(B293="","",IF(L293="Yes","Paid",IF(K293="","Pending",IF(K293&lt;TodayDate,"Overdue",IF(K293&lt;=TodayDate+7,"Due soon","Pending")))))</f>
        <v>0</v>
      </c>
      <c r="W293" s="26">
        <f>IF(B293="","",IFERROR(INDEX(BudgetAmount,MATCH(C293,BudgetCategory,0))*1,0))</f>
        <v>0</v>
      </c>
      <c r="X293" s="25">
        <f>IF(B293="","",COUNTIFS($R$5:$R$604,"&gt;"&amp;R293)+COUNTIFS($R$5:R293,R293))</f>
        <v>0</v>
      </c>
      <c r="Y293" s="39">
        <f>IF(B293="","",IF(F293="","Add - no amount",IF(C293="","Add - no category, it will miss the P&amp;L",IF(V293="Overdue","Overdue - pay it",IF(V293="Due soon","Due - coming up",IF(IF(I293="Yes",J293="",FALSE),"Add - how often does it recur?",IF(L293="Yes","OK","Pending")))))))</f>
        <v>0</v>
      </c>
    </row>
    <row r="294" spans="1:25">
      <c r="A294" s="28">
        <f>IF(B294="","",ExpensePrefix&amp;TEXT(ROW()-4,"0000"))</f>
        <v>0</v>
      </c>
      <c r="P294" s="15">
        <f>IF(B294="","",TEXT(B294,"yyyy-mm"))</f>
        <v>0</v>
      </c>
      <c r="Q294" s="25">
        <f>IF(B294="","",WEEKNUM(B294,2))</f>
        <v>0</v>
      </c>
      <c r="R294" s="26">
        <f>IF(B294="","",ROUND(IF(F294="",0,F294)+IF(G294="",0,G294),2))</f>
        <v>0</v>
      </c>
      <c r="S294" s="26">
        <f>IF(B294="","",IF(I294&lt;&gt;"Yes",0,ROUND(IF(F294="",0,F294)*IF(J294="Weekly",52/12,IF(J294="Fortnightly",26/12,IF(J294="Four weekly",13/12,IF(J294="Monthly",1,IF(J294="Quarterly",1/3,IF(J294="Twice a year",1/6,IF(J294="Yearly",1/12,0))))))),2)))</f>
        <v>0</v>
      </c>
      <c r="T294" s="38">
        <f>IF(B294="","",IF(I294="Yes","Yes","No"))</f>
        <v>0</v>
      </c>
      <c r="U294" s="25">
        <f>IF(B294="","",IF(L294="Yes","",IF(K294="","",TodayDate-K294)))</f>
        <v>0</v>
      </c>
      <c r="V294" s="39">
        <f>IF(B294="","",IF(L294="Yes","Paid",IF(K294="","Pending",IF(K294&lt;TodayDate,"Overdue",IF(K294&lt;=TodayDate+7,"Due soon","Pending")))))</f>
        <v>0</v>
      </c>
      <c r="W294" s="26">
        <f>IF(B294="","",IFERROR(INDEX(BudgetAmount,MATCH(C294,BudgetCategory,0))*1,0))</f>
        <v>0</v>
      </c>
      <c r="X294" s="25">
        <f>IF(B294="","",COUNTIFS($R$5:$R$604,"&gt;"&amp;R294)+COUNTIFS($R$5:R294,R294))</f>
        <v>0</v>
      </c>
      <c r="Y294" s="39">
        <f>IF(B294="","",IF(F294="","Add - no amount",IF(C294="","Add - no category, it will miss the P&amp;L",IF(V294="Overdue","Overdue - pay it",IF(V294="Due soon","Due - coming up",IF(IF(I294="Yes",J294="",FALSE),"Add - how often does it recur?",IF(L294="Yes","OK","Pending")))))))</f>
        <v>0</v>
      </c>
    </row>
    <row r="295" spans="1:25">
      <c r="A295" s="28">
        <f>IF(B295="","",ExpensePrefix&amp;TEXT(ROW()-4,"0000"))</f>
        <v>0</v>
      </c>
      <c r="P295" s="15">
        <f>IF(B295="","",TEXT(B295,"yyyy-mm"))</f>
        <v>0</v>
      </c>
      <c r="Q295" s="25">
        <f>IF(B295="","",WEEKNUM(B295,2))</f>
        <v>0</v>
      </c>
      <c r="R295" s="26">
        <f>IF(B295="","",ROUND(IF(F295="",0,F295)+IF(G295="",0,G295),2))</f>
        <v>0</v>
      </c>
      <c r="S295" s="26">
        <f>IF(B295="","",IF(I295&lt;&gt;"Yes",0,ROUND(IF(F295="",0,F295)*IF(J295="Weekly",52/12,IF(J295="Fortnightly",26/12,IF(J295="Four weekly",13/12,IF(J295="Monthly",1,IF(J295="Quarterly",1/3,IF(J295="Twice a year",1/6,IF(J295="Yearly",1/12,0))))))),2)))</f>
        <v>0</v>
      </c>
      <c r="T295" s="38">
        <f>IF(B295="","",IF(I295="Yes","Yes","No"))</f>
        <v>0</v>
      </c>
      <c r="U295" s="25">
        <f>IF(B295="","",IF(L295="Yes","",IF(K295="","",TodayDate-K295)))</f>
        <v>0</v>
      </c>
      <c r="V295" s="39">
        <f>IF(B295="","",IF(L295="Yes","Paid",IF(K295="","Pending",IF(K295&lt;TodayDate,"Overdue",IF(K295&lt;=TodayDate+7,"Due soon","Pending")))))</f>
        <v>0</v>
      </c>
      <c r="W295" s="26">
        <f>IF(B295="","",IFERROR(INDEX(BudgetAmount,MATCH(C295,BudgetCategory,0))*1,0))</f>
        <v>0</v>
      </c>
      <c r="X295" s="25">
        <f>IF(B295="","",COUNTIFS($R$5:$R$604,"&gt;"&amp;R295)+COUNTIFS($R$5:R295,R295))</f>
        <v>0</v>
      </c>
      <c r="Y295" s="39">
        <f>IF(B295="","",IF(F295="","Add - no amount",IF(C295="","Add - no category, it will miss the P&amp;L",IF(V295="Overdue","Overdue - pay it",IF(V295="Due soon","Due - coming up",IF(IF(I295="Yes",J295="",FALSE),"Add - how often does it recur?",IF(L295="Yes","OK","Pending")))))))</f>
        <v>0</v>
      </c>
    </row>
    <row r="296" spans="1:25">
      <c r="A296" s="28">
        <f>IF(B296="","",ExpensePrefix&amp;TEXT(ROW()-4,"0000"))</f>
        <v>0</v>
      </c>
      <c r="P296" s="15">
        <f>IF(B296="","",TEXT(B296,"yyyy-mm"))</f>
        <v>0</v>
      </c>
      <c r="Q296" s="25">
        <f>IF(B296="","",WEEKNUM(B296,2))</f>
        <v>0</v>
      </c>
      <c r="R296" s="26">
        <f>IF(B296="","",ROUND(IF(F296="",0,F296)+IF(G296="",0,G296),2))</f>
        <v>0</v>
      </c>
      <c r="S296" s="26">
        <f>IF(B296="","",IF(I296&lt;&gt;"Yes",0,ROUND(IF(F296="",0,F296)*IF(J296="Weekly",52/12,IF(J296="Fortnightly",26/12,IF(J296="Four weekly",13/12,IF(J296="Monthly",1,IF(J296="Quarterly",1/3,IF(J296="Twice a year",1/6,IF(J296="Yearly",1/12,0))))))),2)))</f>
        <v>0</v>
      </c>
      <c r="T296" s="38">
        <f>IF(B296="","",IF(I296="Yes","Yes","No"))</f>
        <v>0</v>
      </c>
      <c r="U296" s="25">
        <f>IF(B296="","",IF(L296="Yes","",IF(K296="","",TodayDate-K296)))</f>
        <v>0</v>
      </c>
      <c r="V296" s="39">
        <f>IF(B296="","",IF(L296="Yes","Paid",IF(K296="","Pending",IF(K296&lt;TodayDate,"Overdue",IF(K296&lt;=TodayDate+7,"Due soon","Pending")))))</f>
        <v>0</v>
      </c>
      <c r="W296" s="26">
        <f>IF(B296="","",IFERROR(INDEX(BudgetAmount,MATCH(C296,BudgetCategory,0))*1,0))</f>
        <v>0</v>
      </c>
      <c r="X296" s="25">
        <f>IF(B296="","",COUNTIFS($R$5:$R$604,"&gt;"&amp;R296)+COUNTIFS($R$5:R296,R296))</f>
        <v>0</v>
      </c>
      <c r="Y296" s="39">
        <f>IF(B296="","",IF(F296="","Add - no amount",IF(C296="","Add - no category, it will miss the P&amp;L",IF(V296="Overdue","Overdue - pay it",IF(V296="Due soon","Due - coming up",IF(IF(I296="Yes",J296="",FALSE),"Add - how often does it recur?",IF(L296="Yes","OK","Pending")))))))</f>
        <v>0</v>
      </c>
    </row>
    <row r="297" spans="1:25">
      <c r="A297" s="28">
        <f>IF(B297="","",ExpensePrefix&amp;TEXT(ROW()-4,"0000"))</f>
        <v>0</v>
      </c>
      <c r="P297" s="15">
        <f>IF(B297="","",TEXT(B297,"yyyy-mm"))</f>
        <v>0</v>
      </c>
      <c r="Q297" s="25">
        <f>IF(B297="","",WEEKNUM(B297,2))</f>
        <v>0</v>
      </c>
      <c r="R297" s="26">
        <f>IF(B297="","",ROUND(IF(F297="",0,F297)+IF(G297="",0,G297),2))</f>
        <v>0</v>
      </c>
      <c r="S297" s="26">
        <f>IF(B297="","",IF(I297&lt;&gt;"Yes",0,ROUND(IF(F297="",0,F297)*IF(J297="Weekly",52/12,IF(J297="Fortnightly",26/12,IF(J297="Four weekly",13/12,IF(J297="Monthly",1,IF(J297="Quarterly",1/3,IF(J297="Twice a year",1/6,IF(J297="Yearly",1/12,0))))))),2)))</f>
        <v>0</v>
      </c>
      <c r="T297" s="38">
        <f>IF(B297="","",IF(I297="Yes","Yes","No"))</f>
        <v>0</v>
      </c>
      <c r="U297" s="25">
        <f>IF(B297="","",IF(L297="Yes","",IF(K297="","",TodayDate-K297)))</f>
        <v>0</v>
      </c>
      <c r="V297" s="39">
        <f>IF(B297="","",IF(L297="Yes","Paid",IF(K297="","Pending",IF(K297&lt;TodayDate,"Overdue",IF(K297&lt;=TodayDate+7,"Due soon","Pending")))))</f>
        <v>0</v>
      </c>
      <c r="W297" s="26">
        <f>IF(B297="","",IFERROR(INDEX(BudgetAmount,MATCH(C297,BudgetCategory,0))*1,0))</f>
        <v>0</v>
      </c>
      <c r="X297" s="25">
        <f>IF(B297="","",COUNTIFS($R$5:$R$604,"&gt;"&amp;R297)+COUNTIFS($R$5:R297,R297))</f>
        <v>0</v>
      </c>
      <c r="Y297" s="39">
        <f>IF(B297="","",IF(F297="","Add - no amount",IF(C297="","Add - no category, it will miss the P&amp;L",IF(V297="Overdue","Overdue - pay it",IF(V297="Due soon","Due - coming up",IF(IF(I297="Yes",J297="",FALSE),"Add - how often does it recur?",IF(L297="Yes","OK","Pending")))))))</f>
        <v>0</v>
      </c>
    </row>
    <row r="298" spans="1:25">
      <c r="A298" s="28">
        <f>IF(B298="","",ExpensePrefix&amp;TEXT(ROW()-4,"0000"))</f>
        <v>0</v>
      </c>
      <c r="P298" s="15">
        <f>IF(B298="","",TEXT(B298,"yyyy-mm"))</f>
        <v>0</v>
      </c>
      <c r="Q298" s="25">
        <f>IF(B298="","",WEEKNUM(B298,2))</f>
        <v>0</v>
      </c>
      <c r="R298" s="26">
        <f>IF(B298="","",ROUND(IF(F298="",0,F298)+IF(G298="",0,G298),2))</f>
        <v>0</v>
      </c>
      <c r="S298" s="26">
        <f>IF(B298="","",IF(I298&lt;&gt;"Yes",0,ROUND(IF(F298="",0,F298)*IF(J298="Weekly",52/12,IF(J298="Fortnightly",26/12,IF(J298="Four weekly",13/12,IF(J298="Monthly",1,IF(J298="Quarterly",1/3,IF(J298="Twice a year",1/6,IF(J298="Yearly",1/12,0))))))),2)))</f>
        <v>0</v>
      </c>
      <c r="T298" s="38">
        <f>IF(B298="","",IF(I298="Yes","Yes","No"))</f>
        <v>0</v>
      </c>
      <c r="U298" s="25">
        <f>IF(B298="","",IF(L298="Yes","",IF(K298="","",TodayDate-K298)))</f>
        <v>0</v>
      </c>
      <c r="V298" s="39">
        <f>IF(B298="","",IF(L298="Yes","Paid",IF(K298="","Pending",IF(K298&lt;TodayDate,"Overdue",IF(K298&lt;=TodayDate+7,"Due soon","Pending")))))</f>
        <v>0</v>
      </c>
      <c r="W298" s="26">
        <f>IF(B298="","",IFERROR(INDEX(BudgetAmount,MATCH(C298,BudgetCategory,0))*1,0))</f>
        <v>0</v>
      </c>
      <c r="X298" s="25">
        <f>IF(B298="","",COUNTIFS($R$5:$R$604,"&gt;"&amp;R298)+COUNTIFS($R$5:R298,R298))</f>
        <v>0</v>
      </c>
      <c r="Y298" s="39">
        <f>IF(B298="","",IF(F298="","Add - no amount",IF(C298="","Add - no category, it will miss the P&amp;L",IF(V298="Overdue","Overdue - pay it",IF(V298="Due soon","Due - coming up",IF(IF(I298="Yes",J298="",FALSE),"Add - how often does it recur?",IF(L298="Yes","OK","Pending")))))))</f>
        <v>0</v>
      </c>
    </row>
    <row r="299" spans="1:25">
      <c r="A299" s="28">
        <f>IF(B299="","",ExpensePrefix&amp;TEXT(ROW()-4,"0000"))</f>
        <v>0</v>
      </c>
      <c r="P299" s="15">
        <f>IF(B299="","",TEXT(B299,"yyyy-mm"))</f>
        <v>0</v>
      </c>
      <c r="Q299" s="25">
        <f>IF(B299="","",WEEKNUM(B299,2))</f>
        <v>0</v>
      </c>
      <c r="R299" s="26">
        <f>IF(B299="","",ROUND(IF(F299="",0,F299)+IF(G299="",0,G299),2))</f>
        <v>0</v>
      </c>
      <c r="S299" s="26">
        <f>IF(B299="","",IF(I299&lt;&gt;"Yes",0,ROUND(IF(F299="",0,F299)*IF(J299="Weekly",52/12,IF(J299="Fortnightly",26/12,IF(J299="Four weekly",13/12,IF(J299="Monthly",1,IF(J299="Quarterly",1/3,IF(J299="Twice a year",1/6,IF(J299="Yearly",1/12,0))))))),2)))</f>
        <v>0</v>
      </c>
      <c r="T299" s="38">
        <f>IF(B299="","",IF(I299="Yes","Yes","No"))</f>
        <v>0</v>
      </c>
      <c r="U299" s="25">
        <f>IF(B299="","",IF(L299="Yes","",IF(K299="","",TodayDate-K299)))</f>
        <v>0</v>
      </c>
      <c r="V299" s="39">
        <f>IF(B299="","",IF(L299="Yes","Paid",IF(K299="","Pending",IF(K299&lt;TodayDate,"Overdue",IF(K299&lt;=TodayDate+7,"Due soon","Pending")))))</f>
        <v>0</v>
      </c>
      <c r="W299" s="26">
        <f>IF(B299="","",IFERROR(INDEX(BudgetAmount,MATCH(C299,BudgetCategory,0))*1,0))</f>
        <v>0</v>
      </c>
      <c r="X299" s="25">
        <f>IF(B299="","",COUNTIFS($R$5:$R$604,"&gt;"&amp;R299)+COUNTIFS($R$5:R299,R299))</f>
        <v>0</v>
      </c>
      <c r="Y299" s="39">
        <f>IF(B299="","",IF(F299="","Add - no amount",IF(C299="","Add - no category, it will miss the P&amp;L",IF(V299="Overdue","Overdue - pay it",IF(V299="Due soon","Due - coming up",IF(IF(I299="Yes",J299="",FALSE),"Add - how often does it recur?",IF(L299="Yes","OK","Pending")))))))</f>
        <v>0</v>
      </c>
    </row>
    <row r="300" spans="1:25">
      <c r="A300" s="28">
        <f>IF(B300="","",ExpensePrefix&amp;TEXT(ROW()-4,"0000"))</f>
        <v>0</v>
      </c>
      <c r="P300" s="15">
        <f>IF(B300="","",TEXT(B300,"yyyy-mm"))</f>
        <v>0</v>
      </c>
      <c r="Q300" s="25">
        <f>IF(B300="","",WEEKNUM(B300,2))</f>
        <v>0</v>
      </c>
      <c r="R300" s="26">
        <f>IF(B300="","",ROUND(IF(F300="",0,F300)+IF(G300="",0,G300),2))</f>
        <v>0</v>
      </c>
      <c r="S300" s="26">
        <f>IF(B300="","",IF(I300&lt;&gt;"Yes",0,ROUND(IF(F300="",0,F300)*IF(J300="Weekly",52/12,IF(J300="Fortnightly",26/12,IF(J300="Four weekly",13/12,IF(J300="Monthly",1,IF(J300="Quarterly",1/3,IF(J300="Twice a year",1/6,IF(J300="Yearly",1/12,0))))))),2)))</f>
        <v>0</v>
      </c>
      <c r="T300" s="38">
        <f>IF(B300="","",IF(I300="Yes","Yes","No"))</f>
        <v>0</v>
      </c>
      <c r="U300" s="25">
        <f>IF(B300="","",IF(L300="Yes","",IF(K300="","",TodayDate-K300)))</f>
        <v>0</v>
      </c>
      <c r="V300" s="39">
        <f>IF(B300="","",IF(L300="Yes","Paid",IF(K300="","Pending",IF(K300&lt;TodayDate,"Overdue",IF(K300&lt;=TodayDate+7,"Due soon","Pending")))))</f>
        <v>0</v>
      </c>
      <c r="W300" s="26">
        <f>IF(B300="","",IFERROR(INDEX(BudgetAmount,MATCH(C300,BudgetCategory,0))*1,0))</f>
        <v>0</v>
      </c>
      <c r="X300" s="25">
        <f>IF(B300="","",COUNTIFS($R$5:$R$604,"&gt;"&amp;R300)+COUNTIFS($R$5:R300,R300))</f>
        <v>0</v>
      </c>
      <c r="Y300" s="39">
        <f>IF(B300="","",IF(F300="","Add - no amount",IF(C300="","Add - no category, it will miss the P&amp;L",IF(V300="Overdue","Overdue - pay it",IF(V300="Due soon","Due - coming up",IF(IF(I300="Yes",J300="",FALSE),"Add - how often does it recur?",IF(L300="Yes","OK","Pending")))))))</f>
        <v>0</v>
      </c>
    </row>
    <row r="301" spans="1:25">
      <c r="A301" s="28">
        <f>IF(B301="","",ExpensePrefix&amp;TEXT(ROW()-4,"0000"))</f>
        <v>0</v>
      </c>
      <c r="P301" s="15">
        <f>IF(B301="","",TEXT(B301,"yyyy-mm"))</f>
        <v>0</v>
      </c>
      <c r="Q301" s="25">
        <f>IF(B301="","",WEEKNUM(B301,2))</f>
        <v>0</v>
      </c>
      <c r="R301" s="26">
        <f>IF(B301="","",ROUND(IF(F301="",0,F301)+IF(G301="",0,G301),2))</f>
        <v>0</v>
      </c>
      <c r="S301" s="26">
        <f>IF(B301="","",IF(I301&lt;&gt;"Yes",0,ROUND(IF(F301="",0,F301)*IF(J301="Weekly",52/12,IF(J301="Fortnightly",26/12,IF(J301="Four weekly",13/12,IF(J301="Monthly",1,IF(J301="Quarterly",1/3,IF(J301="Twice a year",1/6,IF(J301="Yearly",1/12,0))))))),2)))</f>
        <v>0</v>
      </c>
      <c r="T301" s="38">
        <f>IF(B301="","",IF(I301="Yes","Yes","No"))</f>
        <v>0</v>
      </c>
      <c r="U301" s="25">
        <f>IF(B301="","",IF(L301="Yes","",IF(K301="","",TodayDate-K301)))</f>
        <v>0</v>
      </c>
      <c r="V301" s="39">
        <f>IF(B301="","",IF(L301="Yes","Paid",IF(K301="","Pending",IF(K301&lt;TodayDate,"Overdue",IF(K301&lt;=TodayDate+7,"Due soon","Pending")))))</f>
        <v>0</v>
      </c>
      <c r="W301" s="26">
        <f>IF(B301="","",IFERROR(INDEX(BudgetAmount,MATCH(C301,BudgetCategory,0))*1,0))</f>
        <v>0</v>
      </c>
      <c r="X301" s="25">
        <f>IF(B301="","",COUNTIFS($R$5:$R$604,"&gt;"&amp;R301)+COUNTIFS($R$5:R301,R301))</f>
        <v>0</v>
      </c>
      <c r="Y301" s="39">
        <f>IF(B301="","",IF(F301="","Add - no amount",IF(C301="","Add - no category, it will miss the P&amp;L",IF(V301="Overdue","Overdue - pay it",IF(V301="Due soon","Due - coming up",IF(IF(I301="Yes",J301="",FALSE),"Add - how often does it recur?",IF(L301="Yes","OK","Pending")))))))</f>
        <v>0</v>
      </c>
    </row>
    <row r="302" spans="1:25">
      <c r="A302" s="28">
        <f>IF(B302="","",ExpensePrefix&amp;TEXT(ROW()-4,"0000"))</f>
        <v>0</v>
      </c>
      <c r="P302" s="15">
        <f>IF(B302="","",TEXT(B302,"yyyy-mm"))</f>
        <v>0</v>
      </c>
      <c r="Q302" s="25">
        <f>IF(B302="","",WEEKNUM(B302,2))</f>
        <v>0</v>
      </c>
      <c r="R302" s="26">
        <f>IF(B302="","",ROUND(IF(F302="",0,F302)+IF(G302="",0,G302),2))</f>
        <v>0</v>
      </c>
      <c r="S302" s="26">
        <f>IF(B302="","",IF(I302&lt;&gt;"Yes",0,ROUND(IF(F302="",0,F302)*IF(J302="Weekly",52/12,IF(J302="Fortnightly",26/12,IF(J302="Four weekly",13/12,IF(J302="Monthly",1,IF(J302="Quarterly",1/3,IF(J302="Twice a year",1/6,IF(J302="Yearly",1/12,0))))))),2)))</f>
        <v>0</v>
      </c>
      <c r="T302" s="38">
        <f>IF(B302="","",IF(I302="Yes","Yes","No"))</f>
        <v>0</v>
      </c>
      <c r="U302" s="25">
        <f>IF(B302="","",IF(L302="Yes","",IF(K302="","",TodayDate-K302)))</f>
        <v>0</v>
      </c>
      <c r="V302" s="39">
        <f>IF(B302="","",IF(L302="Yes","Paid",IF(K302="","Pending",IF(K302&lt;TodayDate,"Overdue",IF(K302&lt;=TodayDate+7,"Due soon","Pending")))))</f>
        <v>0</v>
      </c>
      <c r="W302" s="26">
        <f>IF(B302="","",IFERROR(INDEX(BudgetAmount,MATCH(C302,BudgetCategory,0))*1,0))</f>
        <v>0</v>
      </c>
      <c r="X302" s="25">
        <f>IF(B302="","",COUNTIFS($R$5:$R$604,"&gt;"&amp;R302)+COUNTIFS($R$5:R302,R302))</f>
        <v>0</v>
      </c>
      <c r="Y302" s="39">
        <f>IF(B302="","",IF(F302="","Add - no amount",IF(C302="","Add - no category, it will miss the P&amp;L",IF(V302="Overdue","Overdue - pay it",IF(V302="Due soon","Due - coming up",IF(IF(I302="Yes",J302="",FALSE),"Add - how often does it recur?",IF(L302="Yes","OK","Pending")))))))</f>
        <v>0</v>
      </c>
    </row>
    <row r="303" spans="1:25">
      <c r="A303" s="28">
        <f>IF(B303="","",ExpensePrefix&amp;TEXT(ROW()-4,"0000"))</f>
        <v>0</v>
      </c>
      <c r="P303" s="15">
        <f>IF(B303="","",TEXT(B303,"yyyy-mm"))</f>
        <v>0</v>
      </c>
      <c r="Q303" s="25">
        <f>IF(B303="","",WEEKNUM(B303,2))</f>
        <v>0</v>
      </c>
      <c r="R303" s="26">
        <f>IF(B303="","",ROUND(IF(F303="",0,F303)+IF(G303="",0,G303),2))</f>
        <v>0</v>
      </c>
      <c r="S303" s="26">
        <f>IF(B303="","",IF(I303&lt;&gt;"Yes",0,ROUND(IF(F303="",0,F303)*IF(J303="Weekly",52/12,IF(J303="Fortnightly",26/12,IF(J303="Four weekly",13/12,IF(J303="Monthly",1,IF(J303="Quarterly",1/3,IF(J303="Twice a year",1/6,IF(J303="Yearly",1/12,0))))))),2)))</f>
        <v>0</v>
      </c>
      <c r="T303" s="38">
        <f>IF(B303="","",IF(I303="Yes","Yes","No"))</f>
        <v>0</v>
      </c>
      <c r="U303" s="25">
        <f>IF(B303="","",IF(L303="Yes","",IF(K303="","",TodayDate-K303)))</f>
        <v>0</v>
      </c>
      <c r="V303" s="39">
        <f>IF(B303="","",IF(L303="Yes","Paid",IF(K303="","Pending",IF(K303&lt;TodayDate,"Overdue",IF(K303&lt;=TodayDate+7,"Due soon","Pending")))))</f>
        <v>0</v>
      </c>
      <c r="W303" s="26">
        <f>IF(B303="","",IFERROR(INDEX(BudgetAmount,MATCH(C303,BudgetCategory,0))*1,0))</f>
        <v>0</v>
      </c>
      <c r="X303" s="25">
        <f>IF(B303="","",COUNTIFS($R$5:$R$604,"&gt;"&amp;R303)+COUNTIFS($R$5:R303,R303))</f>
        <v>0</v>
      </c>
      <c r="Y303" s="39">
        <f>IF(B303="","",IF(F303="","Add - no amount",IF(C303="","Add - no category, it will miss the P&amp;L",IF(V303="Overdue","Overdue - pay it",IF(V303="Due soon","Due - coming up",IF(IF(I303="Yes",J303="",FALSE),"Add - how often does it recur?",IF(L303="Yes","OK","Pending")))))))</f>
        <v>0</v>
      </c>
    </row>
    <row r="304" spans="1:25">
      <c r="A304" s="28">
        <f>IF(B304="","",ExpensePrefix&amp;TEXT(ROW()-4,"0000"))</f>
        <v>0</v>
      </c>
      <c r="P304" s="15">
        <f>IF(B304="","",TEXT(B304,"yyyy-mm"))</f>
        <v>0</v>
      </c>
      <c r="Q304" s="25">
        <f>IF(B304="","",WEEKNUM(B304,2))</f>
        <v>0</v>
      </c>
      <c r="R304" s="26">
        <f>IF(B304="","",ROUND(IF(F304="",0,F304)+IF(G304="",0,G304),2))</f>
        <v>0</v>
      </c>
      <c r="S304" s="26">
        <f>IF(B304="","",IF(I304&lt;&gt;"Yes",0,ROUND(IF(F304="",0,F304)*IF(J304="Weekly",52/12,IF(J304="Fortnightly",26/12,IF(J304="Four weekly",13/12,IF(J304="Monthly",1,IF(J304="Quarterly",1/3,IF(J304="Twice a year",1/6,IF(J304="Yearly",1/12,0))))))),2)))</f>
        <v>0</v>
      </c>
      <c r="T304" s="38">
        <f>IF(B304="","",IF(I304="Yes","Yes","No"))</f>
        <v>0</v>
      </c>
      <c r="U304" s="25">
        <f>IF(B304="","",IF(L304="Yes","",IF(K304="","",TodayDate-K304)))</f>
        <v>0</v>
      </c>
      <c r="V304" s="39">
        <f>IF(B304="","",IF(L304="Yes","Paid",IF(K304="","Pending",IF(K304&lt;TodayDate,"Overdue",IF(K304&lt;=TodayDate+7,"Due soon","Pending")))))</f>
        <v>0</v>
      </c>
      <c r="W304" s="26">
        <f>IF(B304="","",IFERROR(INDEX(BudgetAmount,MATCH(C304,BudgetCategory,0))*1,0))</f>
        <v>0</v>
      </c>
      <c r="X304" s="25">
        <f>IF(B304="","",COUNTIFS($R$5:$R$604,"&gt;"&amp;R304)+COUNTIFS($R$5:R304,R304))</f>
        <v>0</v>
      </c>
      <c r="Y304" s="39">
        <f>IF(B304="","",IF(F304="","Add - no amount",IF(C304="","Add - no category, it will miss the P&amp;L",IF(V304="Overdue","Overdue - pay it",IF(V304="Due soon","Due - coming up",IF(IF(I304="Yes",J304="",FALSE),"Add - how often does it recur?",IF(L304="Yes","OK","Pending")))))))</f>
        <v>0</v>
      </c>
    </row>
    <row r="305" spans="1:25">
      <c r="A305" s="28">
        <f>IF(B305="","",ExpensePrefix&amp;TEXT(ROW()-4,"0000"))</f>
        <v>0</v>
      </c>
      <c r="P305" s="15">
        <f>IF(B305="","",TEXT(B305,"yyyy-mm"))</f>
        <v>0</v>
      </c>
      <c r="Q305" s="25">
        <f>IF(B305="","",WEEKNUM(B305,2))</f>
        <v>0</v>
      </c>
      <c r="R305" s="26">
        <f>IF(B305="","",ROUND(IF(F305="",0,F305)+IF(G305="",0,G305),2))</f>
        <v>0</v>
      </c>
      <c r="S305" s="26">
        <f>IF(B305="","",IF(I305&lt;&gt;"Yes",0,ROUND(IF(F305="",0,F305)*IF(J305="Weekly",52/12,IF(J305="Fortnightly",26/12,IF(J305="Four weekly",13/12,IF(J305="Monthly",1,IF(J305="Quarterly",1/3,IF(J305="Twice a year",1/6,IF(J305="Yearly",1/12,0))))))),2)))</f>
        <v>0</v>
      </c>
      <c r="T305" s="38">
        <f>IF(B305="","",IF(I305="Yes","Yes","No"))</f>
        <v>0</v>
      </c>
      <c r="U305" s="25">
        <f>IF(B305="","",IF(L305="Yes","",IF(K305="","",TodayDate-K305)))</f>
        <v>0</v>
      </c>
      <c r="V305" s="39">
        <f>IF(B305="","",IF(L305="Yes","Paid",IF(K305="","Pending",IF(K305&lt;TodayDate,"Overdue",IF(K305&lt;=TodayDate+7,"Due soon","Pending")))))</f>
        <v>0</v>
      </c>
      <c r="W305" s="26">
        <f>IF(B305="","",IFERROR(INDEX(BudgetAmount,MATCH(C305,BudgetCategory,0))*1,0))</f>
        <v>0</v>
      </c>
      <c r="X305" s="25">
        <f>IF(B305="","",COUNTIFS($R$5:$R$604,"&gt;"&amp;R305)+COUNTIFS($R$5:R305,R305))</f>
        <v>0</v>
      </c>
      <c r="Y305" s="39">
        <f>IF(B305="","",IF(F305="","Add - no amount",IF(C305="","Add - no category, it will miss the P&amp;L",IF(V305="Overdue","Overdue - pay it",IF(V305="Due soon","Due - coming up",IF(IF(I305="Yes",J305="",FALSE),"Add - how often does it recur?",IF(L305="Yes","OK","Pending")))))))</f>
        <v>0</v>
      </c>
    </row>
    <row r="306" spans="1:25">
      <c r="A306" s="28">
        <f>IF(B306="","",ExpensePrefix&amp;TEXT(ROW()-4,"0000"))</f>
        <v>0</v>
      </c>
      <c r="P306" s="15">
        <f>IF(B306="","",TEXT(B306,"yyyy-mm"))</f>
        <v>0</v>
      </c>
      <c r="Q306" s="25">
        <f>IF(B306="","",WEEKNUM(B306,2))</f>
        <v>0</v>
      </c>
      <c r="R306" s="26">
        <f>IF(B306="","",ROUND(IF(F306="",0,F306)+IF(G306="",0,G306),2))</f>
        <v>0</v>
      </c>
      <c r="S306" s="26">
        <f>IF(B306="","",IF(I306&lt;&gt;"Yes",0,ROUND(IF(F306="",0,F306)*IF(J306="Weekly",52/12,IF(J306="Fortnightly",26/12,IF(J306="Four weekly",13/12,IF(J306="Monthly",1,IF(J306="Quarterly",1/3,IF(J306="Twice a year",1/6,IF(J306="Yearly",1/12,0))))))),2)))</f>
        <v>0</v>
      </c>
      <c r="T306" s="38">
        <f>IF(B306="","",IF(I306="Yes","Yes","No"))</f>
        <v>0</v>
      </c>
      <c r="U306" s="25">
        <f>IF(B306="","",IF(L306="Yes","",IF(K306="","",TodayDate-K306)))</f>
        <v>0</v>
      </c>
      <c r="V306" s="39">
        <f>IF(B306="","",IF(L306="Yes","Paid",IF(K306="","Pending",IF(K306&lt;TodayDate,"Overdue",IF(K306&lt;=TodayDate+7,"Due soon","Pending")))))</f>
        <v>0</v>
      </c>
      <c r="W306" s="26">
        <f>IF(B306="","",IFERROR(INDEX(BudgetAmount,MATCH(C306,BudgetCategory,0))*1,0))</f>
        <v>0</v>
      </c>
      <c r="X306" s="25">
        <f>IF(B306="","",COUNTIFS($R$5:$R$604,"&gt;"&amp;R306)+COUNTIFS($R$5:R306,R306))</f>
        <v>0</v>
      </c>
      <c r="Y306" s="39">
        <f>IF(B306="","",IF(F306="","Add - no amount",IF(C306="","Add - no category, it will miss the P&amp;L",IF(V306="Overdue","Overdue - pay it",IF(V306="Due soon","Due - coming up",IF(IF(I306="Yes",J306="",FALSE),"Add - how often does it recur?",IF(L306="Yes","OK","Pending")))))))</f>
        <v>0</v>
      </c>
    </row>
    <row r="307" spans="1:25">
      <c r="A307" s="28">
        <f>IF(B307="","",ExpensePrefix&amp;TEXT(ROW()-4,"0000"))</f>
        <v>0</v>
      </c>
      <c r="P307" s="15">
        <f>IF(B307="","",TEXT(B307,"yyyy-mm"))</f>
        <v>0</v>
      </c>
      <c r="Q307" s="25">
        <f>IF(B307="","",WEEKNUM(B307,2))</f>
        <v>0</v>
      </c>
      <c r="R307" s="26">
        <f>IF(B307="","",ROUND(IF(F307="",0,F307)+IF(G307="",0,G307),2))</f>
        <v>0</v>
      </c>
      <c r="S307" s="26">
        <f>IF(B307="","",IF(I307&lt;&gt;"Yes",0,ROUND(IF(F307="",0,F307)*IF(J307="Weekly",52/12,IF(J307="Fortnightly",26/12,IF(J307="Four weekly",13/12,IF(J307="Monthly",1,IF(J307="Quarterly",1/3,IF(J307="Twice a year",1/6,IF(J307="Yearly",1/12,0))))))),2)))</f>
        <v>0</v>
      </c>
      <c r="T307" s="38">
        <f>IF(B307="","",IF(I307="Yes","Yes","No"))</f>
        <v>0</v>
      </c>
      <c r="U307" s="25">
        <f>IF(B307="","",IF(L307="Yes","",IF(K307="","",TodayDate-K307)))</f>
        <v>0</v>
      </c>
      <c r="V307" s="39">
        <f>IF(B307="","",IF(L307="Yes","Paid",IF(K307="","Pending",IF(K307&lt;TodayDate,"Overdue",IF(K307&lt;=TodayDate+7,"Due soon","Pending")))))</f>
        <v>0</v>
      </c>
      <c r="W307" s="26">
        <f>IF(B307="","",IFERROR(INDEX(BudgetAmount,MATCH(C307,BudgetCategory,0))*1,0))</f>
        <v>0</v>
      </c>
      <c r="X307" s="25">
        <f>IF(B307="","",COUNTIFS($R$5:$R$604,"&gt;"&amp;R307)+COUNTIFS($R$5:R307,R307))</f>
        <v>0</v>
      </c>
      <c r="Y307" s="39">
        <f>IF(B307="","",IF(F307="","Add - no amount",IF(C307="","Add - no category, it will miss the P&amp;L",IF(V307="Overdue","Overdue - pay it",IF(V307="Due soon","Due - coming up",IF(IF(I307="Yes",J307="",FALSE),"Add - how often does it recur?",IF(L307="Yes","OK","Pending")))))))</f>
        <v>0</v>
      </c>
    </row>
    <row r="308" spans="1:25">
      <c r="A308" s="28">
        <f>IF(B308="","",ExpensePrefix&amp;TEXT(ROW()-4,"0000"))</f>
        <v>0</v>
      </c>
      <c r="P308" s="15">
        <f>IF(B308="","",TEXT(B308,"yyyy-mm"))</f>
        <v>0</v>
      </c>
      <c r="Q308" s="25">
        <f>IF(B308="","",WEEKNUM(B308,2))</f>
        <v>0</v>
      </c>
      <c r="R308" s="26">
        <f>IF(B308="","",ROUND(IF(F308="",0,F308)+IF(G308="",0,G308),2))</f>
        <v>0</v>
      </c>
      <c r="S308" s="26">
        <f>IF(B308="","",IF(I308&lt;&gt;"Yes",0,ROUND(IF(F308="",0,F308)*IF(J308="Weekly",52/12,IF(J308="Fortnightly",26/12,IF(J308="Four weekly",13/12,IF(J308="Monthly",1,IF(J308="Quarterly",1/3,IF(J308="Twice a year",1/6,IF(J308="Yearly",1/12,0))))))),2)))</f>
        <v>0</v>
      </c>
      <c r="T308" s="38">
        <f>IF(B308="","",IF(I308="Yes","Yes","No"))</f>
        <v>0</v>
      </c>
      <c r="U308" s="25">
        <f>IF(B308="","",IF(L308="Yes","",IF(K308="","",TodayDate-K308)))</f>
        <v>0</v>
      </c>
      <c r="V308" s="39">
        <f>IF(B308="","",IF(L308="Yes","Paid",IF(K308="","Pending",IF(K308&lt;TodayDate,"Overdue",IF(K308&lt;=TodayDate+7,"Due soon","Pending")))))</f>
        <v>0</v>
      </c>
      <c r="W308" s="26">
        <f>IF(B308="","",IFERROR(INDEX(BudgetAmount,MATCH(C308,BudgetCategory,0))*1,0))</f>
        <v>0</v>
      </c>
      <c r="X308" s="25">
        <f>IF(B308="","",COUNTIFS($R$5:$R$604,"&gt;"&amp;R308)+COUNTIFS($R$5:R308,R308))</f>
        <v>0</v>
      </c>
      <c r="Y308" s="39">
        <f>IF(B308="","",IF(F308="","Add - no amount",IF(C308="","Add - no category, it will miss the P&amp;L",IF(V308="Overdue","Overdue - pay it",IF(V308="Due soon","Due - coming up",IF(IF(I308="Yes",J308="",FALSE),"Add - how often does it recur?",IF(L308="Yes","OK","Pending")))))))</f>
        <v>0</v>
      </c>
    </row>
    <row r="309" spans="1:25">
      <c r="A309" s="28">
        <f>IF(B309="","",ExpensePrefix&amp;TEXT(ROW()-4,"0000"))</f>
        <v>0</v>
      </c>
      <c r="P309" s="15">
        <f>IF(B309="","",TEXT(B309,"yyyy-mm"))</f>
        <v>0</v>
      </c>
      <c r="Q309" s="25">
        <f>IF(B309="","",WEEKNUM(B309,2))</f>
        <v>0</v>
      </c>
      <c r="R309" s="26">
        <f>IF(B309="","",ROUND(IF(F309="",0,F309)+IF(G309="",0,G309),2))</f>
        <v>0</v>
      </c>
      <c r="S309" s="26">
        <f>IF(B309="","",IF(I309&lt;&gt;"Yes",0,ROUND(IF(F309="",0,F309)*IF(J309="Weekly",52/12,IF(J309="Fortnightly",26/12,IF(J309="Four weekly",13/12,IF(J309="Monthly",1,IF(J309="Quarterly",1/3,IF(J309="Twice a year",1/6,IF(J309="Yearly",1/12,0))))))),2)))</f>
        <v>0</v>
      </c>
      <c r="T309" s="38">
        <f>IF(B309="","",IF(I309="Yes","Yes","No"))</f>
        <v>0</v>
      </c>
      <c r="U309" s="25">
        <f>IF(B309="","",IF(L309="Yes","",IF(K309="","",TodayDate-K309)))</f>
        <v>0</v>
      </c>
      <c r="V309" s="39">
        <f>IF(B309="","",IF(L309="Yes","Paid",IF(K309="","Pending",IF(K309&lt;TodayDate,"Overdue",IF(K309&lt;=TodayDate+7,"Due soon","Pending")))))</f>
        <v>0</v>
      </c>
      <c r="W309" s="26">
        <f>IF(B309="","",IFERROR(INDEX(BudgetAmount,MATCH(C309,BudgetCategory,0))*1,0))</f>
        <v>0</v>
      </c>
      <c r="X309" s="25">
        <f>IF(B309="","",COUNTIFS($R$5:$R$604,"&gt;"&amp;R309)+COUNTIFS($R$5:R309,R309))</f>
        <v>0</v>
      </c>
      <c r="Y309" s="39">
        <f>IF(B309="","",IF(F309="","Add - no amount",IF(C309="","Add - no category, it will miss the P&amp;L",IF(V309="Overdue","Overdue - pay it",IF(V309="Due soon","Due - coming up",IF(IF(I309="Yes",J309="",FALSE),"Add - how often does it recur?",IF(L309="Yes","OK","Pending")))))))</f>
        <v>0</v>
      </c>
    </row>
    <row r="310" spans="1:25">
      <c r="A310" s="28">
        <f>IF(B310="","",ExpensePrefix&amp;TEXT(ROW()-4,"0000"))</f>
        <v>0</v>
      </c>
      <c r="P310" s="15">
        <f>IF(B310="","",TEXT(B310,"yyyy-mm"))</f>
        <v>0</v>
      </c>
      <c r="Q310" s="25">
        <f>IF(B310="","",WEEKNUM(B310,2))</f>
        <v>0</v>
      </c>
      <c r="R310" s="26">
        <f>IF(B310="","",ROUND(IF(F310="",0,F310)+IF(G310="",0,G310),2))</f>
        <v>0</v>
      </c>
      <c r="S310" s="26">
        <f>IF(B310="","",IF(I310&lt;&gt;"Yes",0,ROUND(IF(F310="",0,F310)*IF(J310="Weekly",52/12,IF(J310="Fortnightly",26/12,IF(J310="Four weekly",13/12,IF(J310="Monthly",1,IF(J310="Quarterly",1/3,IF(J310="Twice a year",1/6,IF(J310="Yearly",1/12,0))))))),2)))</f>
        <v>0</v>
      </c>
      <c r="T310" s="38">
        <f>IF(B310="","",IF(I310="Yes","Yes","No"))</f>
        <v>0</v>
      </c>
      <c r="U310" s="25">
        <f>IF(B310="","",IF(L310="Yes","",IF(K310="","",TodayDate-K310)))</f>
        <v>0</v>
      </c>
      <c r="V310" s="39">
        <f>IF(B310="","",IF(L310="Yes","Paid",IF(K310="","Pending",IF(K310&lt;TodayDate,"Overdue",IF(K310&lt;=TodayDate+7,"Due soon","Pending")))))</f>
        <v>0</v>
      </c>
      <c r="W310" s="26">
        <f>IF(B310="","",IFERROR(INDEX(BudgetAmount,MATCH(C310,BudgetCategory,0))*1,0))</f>
        <v>0</v>
      </c>
      <c r="X310" s="25">
        <f>IF(B310="","",COUNTIFS($R$5:$R$604,"&gt;"&amp;R310)+COUNTIFS($R$5:R310,R310))</f>
        <v>0</v>
      </c>
      <c r="Y310" s="39">
        <f>IF(B310="","",IF(F310="","Add - no amount",IF(C310="","Add - no category, it will miss the P&amp;L",IF(V310="Overdue","Overdue - pay it",IF(V310="Due soon","Due - coming up",IF(IF(I310="Yes",J310="",FALSE),"Add - how often does it recur?",IF(L310="Yes","OK","Pending")))))))</f>
        <v>0</v>
      </c>
    </row>
    <row r="311" spans="1:25">
      <c r="A311" s="28">
        <f>IF(B311="","",ExpensePrefix&amp;TEXT(ROW()-4,"0000"))</f>
        <v>0</v>
      </c>
      <c r="P311" s="15">
        <f>IF(B311="","",TEXT(B311,"yyyy-mm"))</f>
        <v>0</v>
      </c>
      <c r="Q311" s="25">
        <f>IF(B311="","",WEEKNUM(B311,2))</f>
        <v>0</v>
      </c>
      <c r="R311" s="26">
        <f>IF(B311="","",ROUND(IF(F311="",0,F311)+IF(G311="",0,G311),2))</f>
        <v>0</v>
      </c>
      <c r="S311" s="26">
        <f>IF(B311="","",IF(I311&lt;&gt;"Yes",0,ROUND(IF(F311="",0,F311)*IF(J311="Weekly",52/12,IF(J311="Fortnightly",26/12,IF(J311="Four weekly",13/12,IF(J311="Monthly",1,IF(J311="Quarterly",1/3,IF(J311="Twice a year",1/6,IF(J311="Yearly",1/12,0))))))),2)))</f>
        <v>0</v>
      </c>
      <c r="T311" s="38">
        <f>IF(B311="","",IF(I311="Yes","Yes","No"))</f>
        <v>0</v>
      </c>
      <c r="U311" s="25">
        <f>IF(B311="","",IF(L311="Yes","",IF(K311="","",TodayDate-K311)))</f>
        <v>0</v>
      </c>
      <c r="V311" s="39">
        <f>IF(B311="","",IF(L311="Yes","Paid",IF(K311="","Pending",IF(K311&lt;TodayDate,"Overdue",IF(K311&lt;=TodayDate+7,"Due soon","Pending")))))</f>
        <v>0</v>
      </c>
      <c r="W311" s="26">
        <f>IF(B311="","",IFERROR(INDEX(BudgetAmount,MATCH(C311,BudgetCategory,0))*1,0))</f>
        <v>0</v>
      </c>
      <c r="X311" s="25">
        <f>IF(B311="","",COUNTIFS($R$5:$R$604,"&gt;"&amp;R311)+COUNTIFS($R$5:R311,R311))</f>
        <v>0</v>
      </c>
      <c r="Y311" s="39">
        <f>IF(B311="","",IF(F311="","Add - no amount",IF(C311="","Add - no category, it will miss the P&amp;L",IF(V311="Overdue","Overdue - pay it",IF(V311="Due soon","Due - coming up",IF(IF(I311="Yes",J311="",FALSE),"Add - how often does it recur?",IF(L311="Yes","OK","Pending")))))))</f>
        <v>0</v>
      </c>
    </row>
    <row r="312" spans="1:25">
      <c r="A312" s="28">
        <f>IF(B312="","",ExpensePrefix&amp;TEXT(ROW()-4,"0000"))</f>
        <v>0</v>
      </c>
      <c r="P312" s="15">
        <f>IF(B312="","",TEXT(B312,"yyyy-mm"))</f>
        <v>0</v>
      </c>
      <c r="Q312" s="25">
        <f>IF(B312="","",WEEKNUM(B312,2))</f>
        <v>0</v>
      </c>
      <c r="R312" s="26">
        <f>IF(B312="","",ROUND(IF(F312="",0,F312)+IF(G312="",0,G312),2))</f>
        <v>0</v>
      </c>
      <c r="S312" s="26">
        <f>IF(B312="","",IF(I312&lt;&gt;"Yes",0,ROUND(IF(F312="",0,F312)*IF(J312="Weekly",52/12,IF(J312="Fortnightly",26/12,IF(J312="Four weekly",13/12,IF(J312="Monthly",1,IF(J312="Quarterly",1/3,IF(J312="Twice a year",1/6,IF(J312="Yearly",1/12,0))))))),2)))</f>
        <v>0</v>
      </c>
      <c r="T312" s="38">
        <f>IF(B312="","",IF(I312="Yes","Yes","No"))</f>
        <v>0</v>
      </c>
      <c r="U312" s="25">
        <f>IF(B312="","",IF(L312="Yes","",IF(K312="","",TodayDate-K312)))</f>
        <v>0</v>
      </c>
      <c r="V312" s="39">
        <f>IF(B312="","",IF(L312="Yes","Paid",IF(K312="","Pending",IF(K312&lt;TodayDate,"Overdue",IF(K312&lt;=TodayDate+7,"Due soon","Pending")))))</f>
        <v>0</v>
      </c>
      <c r="W312" s="26">
        <f>IF(B312="","",IFERROR(INDEX(BudgetAmount,MATCH(C312,BudgetCategory,0))*1,0))</f>
        <v>0</v>
      </c>
      <c r="X312" s="25">
        <f>IF(B312="","",COUNTIFS($R$5:$R$604,"&gt;"&amp;R312)+COUNTIFS($R$5:R312,R312))</f>
        <v>0</v>
      </c>
      <c r="Y312" s="39">
        <f>IF(B312="","",IF(F312="","Add - no amount",IF(C312="","Add - no category, it will miss the P&amp;L",IF(V312="Overdue","Overdue - pay it",IF(V312="Due soon","Due - coming up",IF(IF(I312="Yes",J312="",FALSE),"Add - how often does it recur?",IF(L312="Yes","OK","Pending")))))))</f>
        <v>0</v>
      </c>
    </row>
    <row r="313" spans="1:25">
      <c r="A313" s="28">
        <f>IF(B313="","",ExpensePrefix&amp;TEXT(ROW()-4,"0000"))</f>
        <v>0</v>
      </c>
      <c r="P313" s="15">
        <f>IF(B313="","",TEXT(B313,"yyyy-mm"))</f>
        <v>0</v>
      </c>
      <c r="Q313" s="25">
        <f>IF(B313="","",WEEKNUM(B313,2))</f>
        <v>0</v>
      </c>
      <c r="R313" s="26">
        <f>IF(B313="","",ROUND(IF(F313="",0,F313)+IF(G313="",0,G313),2))</f>
        <v>0</v>
      </c>
      <c r="S313" s="26">
        <f>IF(B313="","",IF(I313&lt;&gt;"Yes",0,ROUND(IF(F313="",0,F313)*IF(J313="Weekly",52/12,IF(J313="Fortnightly",26/12,IF(J313="Four weekly",13/12,IF(J313="Monthly",1,IF(J313="Quarterly",1/3,IF(J313="Twice a year",1/6,IF(J313="Yearly",1/12,0))))))),2)))</f>
        <v>0</v>
      </c>
      <c r="T313" s="38">
        <f>IF(B313="","",IF(I313="Yes","Yes","No"))</f>
        <v>0</v>
      </c>
      <c r="U313" s="25">
        <f>IF(B313="","",IF(L313="Yes","",IF(K313="","",TodayDate-K313)))</f>
        <v>0</v>
      </c>
      <c r="V313" s="39">
        <f>IF(B313="","",IF(L313="Yes","Paid",IF(K313="","Pending",IF(K313&lt;TodayDate,"Overdue",IF(K313&lt;=TodayDate+7,"Due soon","Pending")))))</f>
        <v>0</v>
      </c>
      <c r="W313" s="26">
        <f>IF(B313="","",IFERROR(INDEX(BudgetAmount,MATCH(C313,BudgetCategory,0))*1,0))</f>
        <v>0</v>
      </c>
      <c r="X313" s="25">
        <f>IF(B313="","",COUNTIFS($R$5:$R$604,"&gt;"&amp;R313)+COUNTIFS($R$5:R313,R313))</f>
        <v>0</v>
      </c>
      <c r="Y313" s="39">
        <f>IF(B313="","",IF(F313="","Add - no amount",IF(C313="","Add - no category, it will miss the P&amp;L",IF(V313="Overdue","Overdue - pay it",IF(V313="Due soon","Due - coming up",IF(IF(I313="Yes",J313="",FALSE),"Add - how often does it recur?",IF(L313="Yes","OK","Pending")))))))</f>
        <v>0</v>
      </c>
    </row>
    <row r="314" spans="1:25">
      <c r="A314" s="28">
        <f>IF(B314="","",ExpensePrefix&amp;TEXT(ROW()-4,"0000"))</f>
        <v>0</v>
      </c>
      <c r="P314" s="15">
        <f>IF(B314="","",TEXT(B314,"yyyy-mm"))</f>
        <v>0</v>
      </c>
      <c r="Q314" s="25">
        <f>IF(B314="","",WEEKNUM(B314,2))</f>
        <v>0</v>
      </c>
      <c r="R314" s="26">
        <f>IF(B314="","",ROUND(IF(F314="",0,F314)+IF(G314="",0,G314),2))</f>
        <v>0</v>
      </c>
      <c r="S314" s="26">
        <f>IF(B314="","",IF(I314&lt;&gt;"Yes",0,ROUND(IF(F314="",0,F314)*IF(J314="Weekly",52/12,IF(J314="Fortnightly",26/12,IF(J314="Four weekly",13/12,IF(J314="Monthly",1,IF(J314="Quarterly",1/3,IF(J314="Twice a year",1/6,IF(J314="Yearly",1/12,0))))))),2)))</f>
        <v>0</v>
      </c>
      <c r="T314" s="38">
        <f>IF(B314="","",IF(I314="Yes","Yes","No"))</f>
        <v>0</v>
      </c>
      <c r="U314" s="25">
        <f>IF(B314="","",IF(L314="Yes","",IF(K314="","",TodayDate-K314)))</f>
        <v>0</v>
      </c>
      <c r="V314" s="39">
        <f>IF(B314="","",IF(L314="Yes","Paid",IF(K314="","Pending",IF(K314&lt;TodayDate,"Overdue",IF(K314&lt;=TodayDate+7,"Due soon","Pending")))))</f>
        <v>0</v>
      </c>
      <c r="W314" s="26">
        <f>IF(B314="","",IFERROR(INDEX(BudgetAmount,MATCH(C314,BudgetCategory,0))*1,0))</f>
        <v>0</v>
      </c>
      <c r="X314" s="25">
        <f>IF(B314="","",COUNTIFS($R$5:$R$604,"&gt;"&amp;R314)+COUNTIFS($R$5:R314,R314))</f>
        <v>0</v>
      </c>
      <c r="Y314" s="39">
        <f>IF(B314="","",IF(F314="","Add - no amount",IF(C314="","Add - no category, it will miss the P&amp;L",IF(V314="Overdue","Overdue - pay it",IF(V314="Due soon","Due - coming up",IF(IF(I314="Yes",J314="",FALSE),"Add - how often does it recur?",IF(L314="Yes","OK","Pending")))))))</f>
        <v>0</v>
      </c>
    </row>
    <row r="315" spans="1:25">
      <c r="A315" s="28">
        <f>IF(B315="","",ExpensePrefix&amp;TEXT(ROW()-4,"0000"))</f>
        <v>0</v>
      </c>
      <c r="P315" s="15">
        <f>IF(B315="","",TEXT(B315,"yyyy-mm"))</f>
        <v>0</v>
      </c>
      <c r="Q315" s="25">
        <f>IF(B315="","",WEEKNUM(B315,2))</f>
        <v>0</v>
      </c>
      <c r="R315" s="26">
        <f>IF(B315="","",ROUND(IF(F315="",0,F315)+IF(G315="",0,G315),2))</f>
        <v>0</v>
      </c>
      <c r="S315" s="26">
        <f>IF(B315="","",IF(I315&lt;&gt;"Yes",0,ROUND(IF(F315="",0,F315)*IF(J315="Weekly",52/12,IF(J315="Fortnightly",26/12,IF(J315="Four weekly",13/12,IF(J315="Monthly",1,IF(J315="Quarterly",1/3,IF(J315="Twice a year",1/6,IF(J315="Yearly",1/12,0))))))),2)))</f>
        <v>0</v>
      </c>
      <c r="T315" s="38">
        <f>IF(B315="","",IF(I315="Yes","Yes","No"))</f>
        <v>0</v>
      </c>
      <c r="U315" s="25">
        <f>IF(B315="","",IF(L315="Yes","",IF(K315="","",TodayDate-K315)))</f>
        <v>0</v>
      </c>
      <c r="V315" s="39">
        <f>IF(B315="","",IF(L315="Yes","Paid",IF(K315="","Pending",IF(K315&lt;TodayDate,"Overdue",IF(K315&lt;=TodayDate+7,"Due soon","Pending")))))</f>
        <v>0</v>
      </c>
      <c r="W315" s="26">
        <f>IF(B315="","",IFERROR(INDEX(BudgetAmount,MATCH(C315,BudgetCategory,0))*1,0))</f>
        <v>0</v>
      </c>
      <c r="X315" s="25">
        <f>IF(B315="","",COUNTIFS($R$5:$R$604,"&gt;"&amp;R315)+COUNTIFS($R$5:R315,R315))</f>
        <v>0</v>
      </c>
      <c r="Y315" s="39">
        <f>IF(B315="","",IF(F315="","Add - no amount",IF(C315="","Add - no category, it will miss the P&amp;L",IF(V315="Overdue","Overdue - pay it",IF(V315="Due soon","Due - coming up",IF(IF(I315="Yes",J315="",FALSE),"Add - how often does it recur?",IF(L315="Yes","OK","Pending")))))))</f>
        <v>0</v>
      </c>
    </row>
    <row r="316" spans="1:25">
      <c r="A316" s="28">
        <f>IF(B316="","",ExpensePrefix&amp;TEXT(ROW()-4,"0000"))</f>
        <v>0</v>
      </c>
      <c r="P316" s="15">
        <f>IF(B316="","",TEXT(B316,"yyyy-mm"))</f>
        <v>0</v>
      </c>
      <c r="Q316" s="25">
        <f>IF(B316="","",WEEKNUM(B316,2))</f>
        <v>0</v>
      </c>
      <c r="R316" s="26">
        <f>IF(B316="","",ROUND(IF(F316="",0,F316)+IF(G316="",0,G316),2))</f>
        <v>0</v>
      </c>
      <c r="S316" s="26">
        <f>IF(B316="","",IF(I316&lt;&gt;"Yes",0,ROUND(IF(F316="",0,F316)*IF(J316="Weekly",52/12,IF(J316="Fortnightly",26/12,IF(J316="Four weekly",13/12,IF(J316="Monthly",1,IF(J316="Quarterly",1/3,IF(J316="Twice a year",1/6,IF(J316="Yearly",1/12,0))))))),2)))</f>
        <v>0</v>
      </c>
      <c r="T316" s="38">
        <f>IF(B316="","",IF(I316="Yes","Yes","No"))</f>
        <v>0</v>
      </c>
      <c r="U316" s="25">
        <f>IF(B316="","",IF(L316="Yes","",IF(K316="","",TodayDate-K316)))</f>
        <v>0</v>
      </c>
      <c r="V316" s="39">
        <f>IF(B316="","",IF(L316="Yes","Paid",IF(K316="","Pending",IF(K316&lt;TodayDate,"Overdue",IF(K316&lt;=TodayDate+7,"Due soon","Pending")))))</f>
        <v>0</v>
      </c>
      <c r="W316" s="26">
        <f>IF(B316="","",IFERROR(INDEX(BudgetAmount,MATCH(C316,BudgetCategory,0))*1,0))</f>
        <v>0</v>
      </c>
      <c r="X316" s="25">
        <f>IF(B316="","",COUNTIFS($R$5:$R$604,"&gt;"&amp;R316)+COUNTIFS($R$5:R316,R316))</f>
        <v>0</v>
      </c>
      <c r="Y316" s="39">
        <f>IF(B316="","",IF(F316="","Add - no amount",IF(C316="","Add - no category, it will miss the P&amp;L",IF(V316="Overdue","Overdue - pay it",IF(V316="Due soon","Due - coming up",IF(IF(I316="Yes",J316="",FALSE),"Add - how often does it recur?",IF(L316="Yes","OK","Pending")))))))</f>
        <v>0</v>
      </c>
    </row>
    <row r="317" spans="1:25">
      <c r="A317" s="28">
        <f>IF(B317="","",ExpensePrefix&amp;TEXT(ROW()-4,"0000"))</f>
        <v>0</v>
      </c>
      <c r="P317" s="15">
        <f>IF(B317="","",TEXT(B317,"yyyy-mm"))</f>
        <v>0</v>
      </c>
      <c r="Q317" s="25">
        <f>IF(B317="","",WEEKNUM(B317,2))</f>
        <v>0</v>
      </c>
      <c r="R317" s="26">
        <f>IF(B317="","",ROUND(IF(F317="",0,F317)+IF(G317="",0,G317),2))</f>
        <v>0</v>
      </c>
      <c r="S317" s="26">
        <f>IF(B317="","",IF(I317&lt;&gt;"Yes",0,ROUND(IF(F317="",0,F317)*IF(J317="Weekly",52/12,IF(J317="Fortnightly",26/12,IF(J317="Four weekly",13/12,IF(J317="Monthly",1,IF(J317="Quarterly",1/3,IF(J317="Twice a year",1/6,IF(J317="Yearly",1/12,0))))))),2)))</f>
        <v>0</v>
      </c>
      <c r="T317" s="38">
        <f>IF(B317="","",IF(I317="Yes","Yes","No"))</f>
        <v>0</v>
      </c>
      <c r="U317" s="25">
        <f>IF(B317="","",IF(L317="Yes","",IF(K317="","",TodayDate-K317)))</f>
        <v>0</v>
      </c>
      <c r="V317" s="39">
        <f>IF(B317="","",IF(L317="Yes","Paid",IF(K317="","Pending",IF(K317&lt;TodayDate,"Overdue",IF(K317&lt;=TodayDate+7,"Due soon","Pending")))))</f>
        <v>0</v>
      </c>
      <c r="W317" s="26">
        <f>IF(B317="","",IFERROR(INDEX(BudgetAmount,MATCH(C317,BudgetCategory,0))*1,0))</f>
        <v>0</v>
      </c>
      <c r="X317" s="25">
        <f>IF(B317="","",COUNTIFS($R$5:$R$604,"&gt;"&amp;R317)+COUNTIFS($R$5:R317,R317))</f>
        <v>0</v>
      </c>
      <c r="Y317" s="39">
        <f>IF(B317="","",IF(F317="","Add - no amount",IF(C317="","Add - no category, it will miss the P&amp;L",IF(V317="Overdue","Overdue - pay it",IF(V317="Due soon","Due - coming up",IF(IF(I317="Yes",J317="",FALSE),"Add - how often does it recur?",IF(L317="Yes","OK","Pending")))))))</f>
        <v>0</v>
      </c>
    </row>
    <row r="318" spans="1:25">
      <c r="A318" s="28">
        <f>IF(B318="","",ExpensePrefix&amp;TEXT(ROW()-4,"0000"))</f>
        <v>0</v>
      </c>
      <c r="P318" s="15">
        <f>IF(B318="","",TEXT(B318,"yyyy-mm"))</f>
        <v>0</v>
      </c>
      <c r="Q318" s="25">
        <f>IF(B318="","",WEEKNUM(B318,2))</f>
        <v>0</v>
      </c>
      <c r="R318" s="26">
        <f>IF(B318="","",ROUND(IF(F318="",0,F318)+IF(G318="",0,G318),2))</f>
        <v>0</v>
      </c>
      <c r="S318" s="26">
        <f>IF(B318="","",IF(I318&lt;&gt;"Yes",0,ROUND(IF(F318="",0,F318)*IF(J318="Weekly",52/12,IF(J318="Fortnightly",26/12,IF(J318="Four weekly",13/12,IF(J318="Monthly",1,IF(J318="Quarterly",1/3,IF(J318="Twice a year",1/6,IF(J318="Yearly",1/12,0))))))),2)))</f>
        <v>0</v>
      </c>
      <c r="T318" s="38">
        <f>IF(B318="","",IF(I318="Yes","Yes","No"))</f>
        <v>0</v>
      </c>
      <c r="U318" s="25">
        <f>IF(B318="","",IF(L318="Yes","",IF(K318="","",TodayDate-K318)))</f>
        <v>0</v>
      </c>
      <c r="V318" s="39">
        <f>IF(B318="","",IF(L318="Yes","Paid",IF(K318="","Pending",IF(K318&lt;TodayDate,"Overdue",IF(K318&lt;=TodayDate+7,"Due soon","Pending")))))</f>
        <v>0</v>
      </c>
      <c r="W318" s="26">
        <f>IF(B318="","",IFERROR(INDEX(BudgetAmount,MATCH(C318,BudgetCategory,0))*1,0))</f>
        <v>0</v>
      </c>
      <c r="X318" s="25">
        <f>IF(B318="","",COUNTIFS($R$5:$R$604,"&gt;"&amp;R318)+COUNTIFS($R$5:R318,R318))</f>
        <v>0</v>
      </c>
      <c r="Y318" s="39">
        <f>IF(B318="","",IF(F318="","Add - no amount",IF(C318="","Add - no category, it will miss the P&amp;L",IF(V318="Overdue","Overdue - pay it",IF(V318="Due soon","Due - coming up",IF(IF(I318="Yes",J318="",FALSE),"Add - how often does it recur?",IF(L318="Yes","OK","Pending")))))))</f>
        <v>0</v>
      </c>
    </row>
    <row r="319" spans="1:25">
      <c r="A319" s="28">
        <f>IF(B319="","",ExpensePrefix&amp;TEXT(ROW()-4,"0000"))</f>
        <v>0</v>
      </c>
      <c r="P319" s="15">
        <f>IF(B319="","",TEXT(B319,"yyyy-mm"))</f>
        <v>0</v>
      </c>
      <c r="Q319" s="25">
        <f>IF(B319="","",WEEKNUM(B319,2))</f>
        <v>0</v>
      </c>
      <c r="R319" s="26">
        <f>IF(B319="","",ROUND(IF(F319="",0,F319)+IF(G319="",0,G319),2))</f>
        <v>0</v>
      </c>
      <c r="S319" s="26">
        <f>IF(B319="","",IF(I319&lt;&gt;"Yes",0,ROUND(IF(F319="",0,F319)*IF(J319="Weekly",52/12,IF(J319="Fortnightly",26/12,IF(J319="Four weekly",13/12,IF(J319="Monthly",1,IF(J319="Quarterly",1/3,IF(J319="Twice a year",1/6,IF(J319="Yearly",1/12,0))))))),2)))</f>
        <v>0</v>
      </c>
      <c r="T319" s="38">
        <f>IF(B319="","",IF(I319="Yes","Yes","No"))</f>
        <v>0</v>
      </c>
      <c r="U319" s="25">
        <f>IF(B319="","",IF(L319="Yes","",IF(K319="","",TodayDate-K319)))</f>
        <v>0</v>
      </c>
      <c r="V319" s="39">
        <f>IF(B319="","",IF(L319="Yes","Paid",IF(K319="","Pending",IF(K319&lt;TodayDate,"Overdue",IF(K319&lt;=TodayDate+7,"Due soon","Pending")))))</f>
        <v>0</v>
      </c>
      <c r="W319" s="26">
        <f>IF(B319="","",IFERROR(INDEX(BudgetAmount,MATCH(C319,BudgetCategory,0))*1,0))</f>
        <v>0</v>
      </c>
      <c r="X319" s="25">
        <f>IF(B319="","",COUNTIFS($R$5:$R$604,"&gt;"&amp;R319)+COUNTIFS($R$5:R319,R319))</f>
        <v>0</v>
      </c>
      <c r="Y319" s="39">
        <f>IF(B319="","",IF(F319="","Add - no amount",IF(C319="","Add - no category, it will miss the P&amp;L",IF(V319="Overdue","Overdue - pay it",IF(V319="Due soon","Due - coming up",IF(IF(I319="Yes",J319="",FALSE),"Add - how often does it recur?",IF(L319="Yes","OK","Pending")))))))</f>
        <v>0</v>
      </c>
    </row>
    <row r="320" spans="1:25">
      <c r="A320" s="28">
        <f>IF(B320="","",ExpensePrefix&amp;TEXT(ROW()-4,"0000"))</f>
        <v>0</v>
      </c>
      <c r="P320" s="15">
        <f>IF(B320="","",TEXT(B320,"yyyy-mm"))</f>
        <v>0</v>
      </c>
      <c r="Q320" s="25">
        <f>IF(B320="","",WEEKNUM(B320,2))</f>
        <v>0</v>
      </c>
      <c r="R320" s="26">
        <f>IF(B320="","",ROUND(IF(F320="",0,F320)+IF(G320="",0,G320),2))</f>
        <v>0</v>
      </c>
      <c r="S320" s="26">
        <f>IF(B320="","",IF(I320&lt;&gt;"Yes",0,ROUND(IF(F320="",0,F320)*IF(J320="Weekly",52/12,IF(J320="Fortnightly",26/12,IF(J320="Four weekly",13/12,IF(J320="Monthly",1,IF(J320="Quarterly",1/3,IF(J320="Twice a year",1/6,IF(J320="Yearly",1/12,0))))))),2)))</f>
        <v>0</v>
      </c>
      <c r="T320" s="38">
        <f>IF(B320="","",IF(I320="Yes","Yes","No"))</f>
        <v>0</v>
      </c>
      <c r="U320" s="25">
        <f>IF(B320="","",IF(L320="Yes","",IF(K320="","",TodayDate-K320)))</f>
        <v>0</v>
      </c>
      <c r="V320" s="39">
        <f>IF(B320="","",IF(L320="Yes","Paid",IF(K320="","Pending",IF(K320&lt;TodayDate,"Overdue",IF(K320&lt;=TodayDate+7,"Due soon","Pending")))))</f>
        <v>0</v>
      </c>
      <c r="W320" s="26">
        <f>IF(B320="","",IFERROR(INDEX(BudgetAmount,MATCH(C320,BudgetCategory,0))*1,0))</f>
        <v>0</v>
      </c>
      <c r="X320" s="25">
        <f>IF(B320="","",COUNTIFS($R$5:$R$604,"&gt;"&amp;R320)+COUNTIFS($R$5:R320,R320))</f>
        <v>0</v>
      </c>
      <c r="Y320" s="39">
        <f>IF(B320="","",IF(F320="","Add - no amount",IF(C320="","Add - no category, it will miss the P&amp;L",IF(V320="Overdue","Overdue - pay it",IF(V320="Due soon","Due - coming up",IF(IF(I320="Yes",J320="",FALSE),"Add - how often does it recur?",IF(L320="Yes","OK","Pending")))))))</f>
        <v>0</v>
      </c>
    </row>
    <row r="321" spans="1:25">
      <c r="A321" s="28">
        <f>IF(B321="","",ExpensePrefix&amp;TEXT(ROW()-4,"0000"))</f>
        <v>0</v>
      </c>
      <c r="P321" s="15">
        <f>IF(B321="","",TEXT(B321,"yyyy-mm"))</f>
        <v>0</v>
      </c>
      <c r="Q321" s="25">
        <f>IF(B321="","",WEEKNUM(B321,2))</f>
        <v>0</v>
      </c>
      <c r="R321" s="26">
        <f>IF(B321="","",ROUND(IF(F321="",0,F321)+IF(G321="",0,G321),2))</f>
        <v>0</v>
      </c>
      <c r="S321" s="26">
        <f>IF(B321="","",IF(I321&lt;&gt;"Yes",0,ROUND(IF(F321="",0,F321)*IF(J321="Weekly",52/12,IF(J321="Fortnightly",26/12,IF(J321="Four weekly",13/12,IF(J321="Monthly",1,IF(J321="Quarterly",1/3,IF(J321="Twice a year",1/6,IF(J321="Yearly",1/12,0))))))),2)))</f>
        <v>0</v>
      </c>
      <c r="T321" s="38">
        <f>IF(B321="","",IF(I321="Yes","Yes","No"))</f>
        <v>0</v>
      </c>
      <c r="U321" s="25">
        <f>IF(B321="","",IF(L321="Yes","",IF(K321="","",TodayDate-K321)))</f>
        <v>0</v>
      </c>
      <c r="V321" s="39">
        <f>IF(B321="","",IF(L321="Yes","Paid",IF(K321="","Pending",IF(K321&lt;TodayDate,"Overdue",IF(K321&lt;=TodayDate+7,"Due soon","Pending")))))</f>
        <v>0</v>
      </c>
      <c r="W321" s="26">
        <f>IF(B321="","",IFERROR(INDEX(BudgetAmount,MATCH(C321,BudgetCategory,0))*1,0))</f>
        <v>0</v>
      </c>
      <c r="X321" s="25">
        <f>IF(B321="","",COUNTIFS($R$5:$R$604,"&gt;"&amp;R321)+COUNTIFS($R$5:R321,R321))</f>
        <v>0</v>
      </c>
      <c r="Y321" s="39">
        <f>IF(B321="","",IF(F321="","Add - no amount",IF(C321="","Add - no category, it will miss the P&amp;L",IF(V321="Overdue","Overdue - pay it",IF(V321="Due soon","Due - coming up",IF(IF(I321="Yes",J321="",FALSE),"Add - how often does it recur?",IF(L321="Yes","OK","Pending")))))))</f>
        <v>0</v>
      </c>
    </row>
    <row r="322" spans="1:25">
      <c r="A322" s="28">
        <f>IF(B322="","",ExpensePrefix&amp;TEXT(ROW()-4,"0000"))</f>
        <v>0</v>
      </c>
      <c r="P322" s="15">
        <f>IF(B322="","",TEXT(B322,"yyyy-mm"))</f>
        <v>0</v>
      </c>
      <c r="Q322" s="25">
        <f>IF(B322="","",WEEKNUM(B322,2))</f>
        <v>0</v>
      </c>
      <c r="R322" s="26">
        <f>IF(B322="","",ROUND(IF(F322="",0,F322)+IF(G322="",0,G322),2))</f>
        <v>0</v>
      </c>
      <c r="S322" s="26">
        <f>IF(B322="","",IF(I322&lt;&gt;"Yes",0,ROUND(IF(F322="",0,F322)*IF(J322="Weekly",52/12,IF(J322="Fortnightly",26/12,IF(J322="Four weekly",13/12,IF(J322="Monthly",1,IF(J322="Quarterly",1/3,IF(J322="Twice a year",1/6,IF(J322="Yearly",1/12,0))))))),2)))</f>
        <v>0</v>
      </c>
      <c r="T322" s="38">
        <f>IF(B322="","",IF(I322="Yes","Yes","No"))</f>
        <v>0</v>
      </c>
      <c r="U322" s="25">
        <f>IF(B322="","",IF(L322="Yes","",IF(K322="","",TodayDate-K322)))</f>
        <v>0</v>
      </c>
      <c r="V322" s="39">
        <f>IF(B322="","",IF(L322="Yes","Paid",IF(K322="","Pending",IF(K322&lt;TodayDate,"Overdue",IF(K322&lt;=TodayDate+7,"Due soon","Pending")))))</f>
        <v>0</v>
      </c>
      <c r="W322" s="26">
        <f>IF(B322="","",IFERROR(INDEX(BudgetAmount,MATCH(C322,BudgetCategory,0))*1,0))</f>
        <v>0</v>
      </c>
      <c r="X322" s="25">
        <f>IF(B322="","",COUNTIFS($R$5:$R$604,"&gt;"&amp;R322)+COUNTIFS($R$5:R322,R322))</f>
        <v>0</v>
      </c>
      <c r="Y322" s="39">
        <f>IF(B322="","",IF(F322="","Add - no amount",IF(C322="","Add - no category, it will miss the P&amp;L",IF(V322="Overdue","Overdue - pay it",IF(V322="Due soon","Due - coming up",IF(IF(I322="Yes",J322="",FALSE),"Add - how often does it recur?",IF(L322="Yes","OK","Pending")))))))</f>
        <v>0</v>
      </c>
    </row>
    <row r="323" spans="1:25">
      <c r="A323" s="28">
        <f>IF(B323="","",ExpensePrefix&amp;TEXT(ROW()-4,"0000"))</f>
        <v>0</v>
      </c>
      <c r="P323" s="15">
        <f>IF(B323="","",TEXT(B323,"yyyy-mm"))</f>
        <v>0</v>
      </c>
      <c r="Q323" s="25">
        <f>IF(B323="","",WEEKNUM(B323,2))</f>
        <v>0</v>
      </c>
      <c r="R323" s="26">
        <f>IF(B323="","",ROUND(IF(F323="",0,F323)+IF(G323="",0,G323),2))</f>
        <v>0</v>
      </c>
      <c r="S323" s="26">
        <f>IF(B323="","",IF(I323&lt;&gt;"Yes",0,ROUND(IF(F323="",0,F323)*IF(J323="Weekly",52/12,IF(J323="Fortnightly",26/12,IF(J323="Four weekly",13/12,IF(J323="Monthly",1,IF(J323="Quarterly",1/3,IF(J323="Twice a year",1/6,IF(J323="Yearly",1/12,0))))))),2)))</f>
        <v>0</v>
      </c>
      <c r="T323" s="38">
        <f>IF(B323="","",IF(I323="Yes","Yes","No"))</f>
        <v>0</v>
      </c>
      <c r="U323" s="25">
        <f>IF(B323="","",IF(L323="Yes","",IF(K323="","",TodayDate-K323)))</f>
        <v>0</v>
      </c>
      <c r="V323" s="39">
        <f>IF(B323="","",IF(L323="Yes","Paid",IF(K323="","Pending",IF(K323&lt;TodayDate,"Overdue",IF(K323&lt;=TodayDate+7,"Due soon","Pending")))))</f>
        <v>0</v>
      </c>
      <c r="W323" s="26">
        <f>IF(B323="","",IFERROR(INDEX(BudgetAmount,MATCH(C323,BudgetCategory,0))*1,0))</f>
        <v>0</v>
      </c>
      <c r="X323" s="25">
        <f>IF(B323="","",COUNTIFS($R$5:$R$604,"&gt;"&amp;R323)+COUNTIFS($R$5:R323,R323))</f>
        <v>0</v>
      </c>
      <c r="Y323" s="39">
        <f>IF(B323="","",IF(F323="","Add - no amount",IF(C323="","Add - no category, it will miss the P&amp;L",IF(V323="Overdue","Overdue - pay it",IF(V323="Due soon","Due - coming up",IF(IF(I323="Yes",J323="",FALSE),"Add - how often does it recur?",IF(L323="Yes","OK","Pending")))))))</f>
        <v>0</v>
      </c>
    </row>
    <row r="324" spans="1:25">
      <c r="A324" s="28">
        <f>IF(B324="","",ExpensePrefix&amp;TEXT(ROW()-4,"0000"))</f>
        <v>0</v>
      </c>
      <c r="P324" s="15">
        <f>IF(B324="","",TEXT(B324,"yyyy-mm"))</f>
        <v>0</v>
      </c>
      <c r="Q324" s="25">
        <f>IF(B324="","",WEEKNUM(B324,2))</f>
        <v>0</v>
      </c>
      <c r="R324" s="26">
        <f>IF(B324="","",ROUND(IF(F324="",0,F324)+IF(G324="",0,G324),2))</f>
        <v>0</v>
      </c>
      <c r="S324" s="26">
        <f>IF(B324="","",IF(I324&lt;&gt;"Yes",0,ROUND(IF(F324="",0,F324)*IF(J324="Weekly",52/12,IF(J324="Fortnightly",26/12,IF(J324="Four weekly",13/12,IF(J324="Monthly",1,IF(J324="Quarterly",1/3,IF(J324="Twice a year",1/6,IF(J324="Yearly",1/12,0))))))),2)))</f>
        <v>0</v>
      </c>
      <c r="T324" s="38">
        <f>IF(B324="","",IF(I324="Yes","Yes","No"))</f>
        <v>0</v>
      </c>
      <c r="U324" s="25">
        <f>IF(B324="","",IF(L324="Yes","",IF(K324="","",TodayDate-K324)))</f>
        <v>0</v>
      </c>
      <c r="V324" s="39">
        <f>IF(B324="","",IF(L324="Yes","Paid",IF(K324="","Pending",IF(K324&lt;TodayDate,"Overdue",IF(K324&lt;=TodayDate+7,"Due soon","Pending")))))</f>
        <v>0</v>
      </c>
      <c r="W324" s="26">
        <f>IF(B324="","",IFERROR(INDEX(BudgetAmount,MATCH(C324,BudgetCategory,0))*1,0))</f>
        <v>0</v>
      </c>
      <c r="X324" s="25">
        <f>IF(B324="","",COUNTIFS($R$5:$R$604,"&gt;"&amp;R324)+COUNTIFS($R$5:R324,R324))</f>
        <v>0</v>
      </c>
      <c r="Y324" s="39">
        <f>IF(B324="","",IF(F324="","Add - no amount",IF(C324="","Add - no category, it will miss the P&amp;L",IF(V324="Overdue","Overdue - pay it",IF(V324="Due soon","Due - coming up",IF(IF(I324="Yes",J324="",FALSE),"Add - how often does it recur?",IF(L324="Yes","OK","Pending")))))))</f>
        <v>0</v>
      </c>
    </row>
    <row r="325" spans="1:25">
      <c r="A325" s="28">
        <f>IF(B325="","",ExpensePrefix&amp;TEXT(ROW()-4,"0000"))</f>
        <v>0</v>
      </c>
      <c r="P325" s="15">
        <f>IF(B325="","",TEXT(B325,"yyyy-mm"))</f>
        <v>0</v>
      </c>
      <c r="Q325" s="25">
        <f>IF(B325="","",WEEKNUM(B325,2))</f>
        <v>0</v>
      </c>
      <c r="R325" s="26">
        <f>IF(B325="","",ROUND(IF(F325="",0,F325)+IF(G325="",0,G325),2))</f>
        <v>0</v>
      </c>
      <c r="S325" s="26">
        <f>IF(B325="","",IF(I325&lt;&gt;"Yes",0,ROUND(IF(F325="",0,F325)*IF(J325="Weekly",52/12,IF(J325="Fortnightly",26/12,IF(J325="Four weekly",13/12,IF(J325="Monthly",1,IF(J325="Quarterly",1/3,IF(J325="Twice a year",1/6,IF(J325="Yearly",1/12,0))))))),2)))</f>
        <v>0</v>
      </c>
      <c r="T325" s="38">
        <f>IF(B325="","",IF(I325="Yes","Yes","No"))</f>
        <v>0</v>
      </c>
      <c r="U325" s="25">
        <f>IF(B325="","",IF(L325="Yes","",IF(K325="","",TodayDate-K325)))</f>
        <v>0</v>
      </c>
      <c r="V325" s="39">
        <f>IF(B325="","",IF(L325="Yes","Paid",IF(K325="","Pending",IF(K325&lt;TodayDate,"Overdue",IF(K325&lt;=TodayDate+7,"Due soon","Pending")))))</f>
        <v>0</v>
      </c>
      <c r="W325" s="26">
        <f>IF(B325="","",IFERROR(INDEX(BudgetAmount,MATCH(C325,BudgetCategory,0))*1,0))</f>
        <v>0</v>
      </c>
      <c r="X325" s="25">
        <f>IF(B325="","",COUNTIFS($R$5:$R$604,"&gt;"&amp;R325)+COUNTIFS($R$5:R325,R325))</f>
        <v>0</v>
      </c>
      <c r="Y325" s="39">
        <f>IF(B325="","",IF(F325="","Add - no amount",IF(C325="","Add - no category, it will miss the P&amp;L",IF(V325="Overdue","Overdue - pay it",IF(V325="Due soon","Due - coming up",IF(IF(I325="Yes",J325="",FALSE),"Add - how often does it recur?",IF(L325="Yes","OK","Pending")))))))</f>
        <v>0</v>
      </c>
    </row>
    <row r="326" spans="1:25">
      <c r="A326" s="28">
        <f>IF(B326="","",ExpensePrefix&amp;TEXT(ROW()-4,"0000"))</f>
        <v>0</v>
      </c>
      <c r="P326" s="15">
        <f>IF(B326="","",TEXT(B326,"yyyy-mm"))</f>
        <v>0</v>
      </c>
      <c r="Q326" s="25">
        <f>IF(B326="","",WEEKNUM(B326,2))</f>
        <v>0</v>
      </c>
      <c r="R326" s="26">
        <f>IF(B326="","",ROUND(IF(F326="",0,F326)+IF(G326="",0,G326),2))</f>
        <v>0</v>
      </c>
      <c r="S326" s="26">
        <f>IF(B326="","",IF(I326&lt;&gt;"Yes",0,ROUND(IF(F326="",0,F326)*IF(J326="Weekly",52/12,IF(J326="Fortnightly",26/12,IF(J326="Four weekly",13/12,IF(J326="Monthly",1,IF(J326="Quarterly",1/3,IF(J326="Twice a year",1/6,IF(J326="Yearly",1/12,0))))))),2)))</f>
        <v>0</v>
      </c>
      <c r="T326" s="38">
        <f>IF(B326="","",IF(I326="Yes","Yes","No"))</f>
        <v>0</v>
      </c>
      <c r="U326" s="25">
        <f>IF(B326="","",IF(L326="Yes","",IF(K326="","",TodayDate-K326)))</f>
        <v>0</v>
      </c>
      <c r="V326" s="39">
        <f>IF(B326="","",IF(L326="Yes","Paid",IF(K326="","Pending",IF(K326&lt;TodayDate,"Overdue",IF(K326&lt;=TodayDate+7,"Due soon","Pending")))))</f>
        <v>0</v>
      </c>
      <c r="W326" s="26">
        <f>IF(B326="","",IFERROR(INDEX(BudgetAmount,MATCH(C326,BudgetCategory,0))*1,0))</f>
        <v>0</v>
      </c>
      <c r="X326" s="25">
        <f>IF(B326="","",COUNTIFS($R$5:$R$604,"&gt;"&amp;R326)+COUNTIFS($R$5:R326,R326))</f>
        <v>0</v>
      </c>
      <c r="Y326" s="39">
        <f>IF(B326="","",IF(F326="","Add - no amount",IF(C326="","Add - no category, it will miss the P&amp;L",IF(V326="Overdue","Overdue - pay it",IF(V326="Due soon","Due - coming up",IF(IF(I326="Yes",J326="",FALSE),"Add - how often does it recur?",IF(L326="Yes","OK","Pending")))))))</f>
        <v>0</v>
      </c>
    </row>
    <row r="327" spans="1:25">
      <c r="A327" s="28">
        <f>IF(B327="","",ExpensePrefix&amp;TEXT(ROW()-4,"0000"))</f>
        <v>0</v>
      </c>
      <c r="P327" s="15">
        <f>IF(B327="","",TEXT(B327,"yyyy-mm"))</f>
        <v>0</v>
      </c>
      <c r="Q327" s="25">
        <f>IF(B327="","",WEEKNUM(B327,2))</f>
        <v>0</v>
      </c>
      <c r="R327" s="26">
        <f>IF(B327="","",ROUND(IF(F327="",0,F327)+IF(G327="",0,G327),2))</f>
        <v>0</v>
      </c>
      <c r="S327" s="26">
        <f>IF(B327="","",IF(I327&lt;&gt;"Yes",0,ROUND(IF(F327="",0,F327)*IF(J327="Weekly",52/12,IF(J327="Fortnightly",26/12,IF(J327="Four weekly",13/12,IF(J327="Monthly",1,IF(J327="Quarterly",1/3,IF(J327="Twice a year",1/6,IF(J327="Yearly",1/12,0))))))),2)))</f>
        <v>0</v>
      </c>
      <c r="T327" s="38">
        <f>IF(B327="","",IF(I327="Yes","Yes","No"))</f>
        <v>0</v>
      </c>
      <c r="U327" s="25">
        <f>IF(B327="","",IF(L327="Yes","",IF(K327="","",TodayDate-K327)))</f>
        <v>0</v>
      </c>
      <c r="V327" s="39">
        <f>IF(B327="","",IF(L327="Yes","Paid",IF(K327="","Pending",IF(K327&lt;TodayDate,"Overdue",IF(K327&lt;=TodayDate+7,"Due soon","Pending")))))</f>
        <v>0</v>
      </c>
      <c r="W327" s="26">
        <f>IF(B327="","",IFERROR(INDEX(BudgetAmount,MATCH(C327,BudgetCategory,0))*1,0))</f>
        <v>0</v>
      </c>
      <c r="X327" s="25">
        <f>IF(B327="","",COUNTIFS($R$5:$R$604,"&gt;"&amp;R327)+COUNTIFS($R$5:R327,R327))</f>
        <v>0</v>
      </c>
      <c r="Y327" s="39">
        <f>IF(B327="","",IF(F327="","Add - no amount",IF(C327="","Add - no category, it will miss the P&amp;L",IF(V327="Overdue","Overdue - pay it",IF(V327="Due soon","Due - coming up",IF(IF(I327="Yes",J327="",FALSE),"Add - how often does it recur?",IF(L327="Yes","OK","Pending")))))))</f>
        <v>0</v>
      </c>
    </row>
    <row r="328" spans="1:25">
      <c r="A328" s="28">
        <f>IF(B328="","",ExpensePrefix&amp;TEXT(ROW()-4,"0000"))</f>
        <v>0</v>
      </c>
      <c r="P328" s="15">
        <f>IF(B328="","",TEXT(B328,"yyyy-mm"))</f>
        <v>0</v>
      </c>
      <c r="Q328" s="25">
        <f>IF(B328="","",WEEKNUM(B328,2))</f>
        <v>0</v>
      </c>
      <c r="R328" s="26">
        <f>IF(B328="","",ROUND(IF(F328="",0,F328)+IF(G328="",0,G328),2))</f>
        <v>0</v>
      </c>
      <c r="S328" s="26">
        <f>IF(B328="","",IF(I328&lt;&gt;"Yes",0,ROUND(IF(F328="",0,F328)*IF(J328="Weekly",52/12,IF(J328="Fortnightly",26/12,IF(J328="Four weekly",13/12,IF(J328="Monthly",1,IF(J328="Quarterly",1/3,IF(J328="Twice a year",1/6,IF(J328="Yearly",1/12,0))))))),2)))</f>
        <v>0</v>
      </c>
      <c r="T328" s="38">
        <f>IF(B328="","",IF(I328="Yes","Yes","No"))</f>
        <v>0</v>
      </c>
      <c r="U328" s="25">
        <f>IF(B328="","",IF(L328="Yes","",IF(K328="","",TodayDate-K328)))</f>
        <v>0</v>
      </c>
      <c r="V328" s="39">
        <f>IF(B328="","",IF(L328="Yes","Paid",IF(K328="","Pending",IF(K328&lt;TodayDate,"Overdue",IF(K328&lt;=TodayDate+7,"Due soon","Pending")))))</f>
        <v>0</v>
      </c>
      <c r="W328" s="26">
        <f>IF(B328="","",IFERROR(INDEX(BudgetAmount,MATCH(C328,BudgetCategory,0))*1,0))</f>
        <v>0</v>
      </c>
      <c r="X328" s="25">
        <f>IF(B328="","",COUNTIFS($R$5:$R$604,"&gt;"&amp;R328)+COUNTIFS($R$5:R328,R328))</f>
        <v>0</v>
      </c>
      <c r="Y328" s="39">
        <f>IF(B328="","",IF(F328="","Add - no amount",IF(C328="","Add - no category, it will miss the P&amp;L",IF(V328="Overdue","Overdue - pay it",IF(V328="Due soon","Due - coming up",IF(IF(I328="Yes",J328="",FALSE),"Add - how often does it recur?",IF(L328="Yes","OK","Pending")))))))</f>
        <v>0</v>
      </c>
    </row>
    <row r="329" spans="1:25">
      <c r="A329" s="28">
        <f>IF(B329="","",ExpensePrefix&amp;TEXT(ROW()-4,"0000"))</f>
        <v>0</v>
      </c>
      <c r="P329" s="15">
        <f>IF(B329="","",TEXT(B329,"yyyy-mm"))</f>
        <v>0</v>
      </c>
      <c r="Q329" s="25">
        <f>IF(B329="","",WEEKNUM(B329,2))</f>
        <v>0</v>
      </c>
      <c r="R329" s="26">
        <f>IF(B329="","",ROUND(IF(F329="",0,F329)+IF(G329="",0,G329),2))</f>
        <v>0</v>
      </c>
      <c r="S329" s="26">
        <f>IF(B329="","",IF(I329&lt;&gt;"Yes",0,ROUND(IF(F329="",0,F329)*IF(J329="Weekly",52/12,IF(J329="Fortnightly",26/12,IF(J329="Four weekly",13/12,IF(J329="Monthly",1,IF(J329="Quarterly",1/3,IF(J329="Twice a year",1/6,IF(J329="Yearly",1/12,0))))))),2)))</f>
        <v>0</v>
      </c>
      <c r="T329" s="38">
        <f>IF(B329="","",IF(I329="Yes","Yes","No"))</f>
        <v>0</v>
      </c>
      <c r="U329" s="25">
        <f>IF(B329="","",IF(L329="Yes","",IF(K329="","",TodayDate-K329)))</f>
        <v>0</v>
      </c>
      <c r="V329" s="39">
        <f>IF(B329="","",IF(L329="Yes","Paid",IF(K329="","Pending",IF(K329&lt;TodayDate,"Overdue",IF(K329&lt;=TodayDate+7,"Due soon","Pending")))))</f>
        <v>0</v>
      </c>
      <c r="W329" s="26">
        <f>IF(B329="","",IFERROR(INDEX(BudgetAmount,MATCH(C329,BudgetCategory,0))*1,0))</f>
        <v>0</v>
      </c>
      <c r="X329" s="25">
        <f>IF(B329="","",COUNTIFS($R$5:$R$604,"&gt;"&amp;R329)+COUNTIFS($R$5:R329,R329))</f>
        <v>0</v>
      </c>
      <c r="Y329" s="39">
        <f>IF(B329="","",IF(F329="","Add - no amount",IF(C329="","Add - no category, it will miss the P&amp;L",IF(V329="Overdue","Overdue - pay it",IF(V329="Due soon","Due - coming up",IF(IF(I329="Yes",J329="",FALSE),"Add - how often does it recur?",IF(L329="Yes","OK","Pending")))))))</f>
        <v>0</v>
      </c>
    </row>
    <row r="330" spans="1:25">
      <c r="A330" s="28">
        <f>IF(B330="","",ExpensePrefix&amp;TEXT(ROW()-4,"0000"))</f>
        <v>0</v>
      </c>
      <c r="P330" s="15">
        <f>IF(B330="","",TEXT(B330,"yyyy-mm"))</f>
        <v>0</v>
      </c>
      <c r="Q330" s="25">
        <f>IF(B330="","",WEEKNUM(B330,2))</f>
        <v>0</v>
      </c>
      <c r="R330" s="26">
        <f>IF(B330="","",ROUND(IF(F330="",0,F330)+IF(G330="",0,G330),2))</f>
        <v>0</v>
      </c>
      <c r="S330" s="26">
        <f>IF(B330="","",IF(I330&lt;&gt;"Yes",0,ROUND(IF(F330="",0,F330)*IF(J330="Weekly",52/12,IF(J330="Fortnightly",26/12,IF(J330="Four weekly",13/12,IF(J330="Monthly",1,IF(J330="Quarterly",1/3,IF(J330="Twice a year",1/6,IF(J330="Yearly",1/12,0))))))),2)))</f>
        <v>0</v>
      </c>
      <c r="T330" s="38">
        <f>IF(B330="","",IF(I330="Yes","Yes","No"))</f>
        <v>0</v>
      </c>
      <c r="U330" s="25">
        <f>IF(B330="","",IF(L330="Yes","",IF(K330="","",TodayDate-K330)))</f>
        <v>0</v>
      </c>
      <c r="V330" s="39">
        <f>IF(B330="","",IF(L330="Yes","Paid",IF(K330="","Pending",IF(K330&lt;TodayDate,"Overdue",IF(K330&lt;=TodayDate+7,"Due soon","Pending")))))</f>
        <v>0</v>
      </c>
      <c r="W330" s="26">
        <f>IF(B330="","",IFERROR(INDEX(BudgetAmount,MATCH(C330,BudgetCategory,0))*1,0))</f>
        <v>0</v>
      </c>
      <c r="X330" s="25">
        <f>IF(B330="","",COUNTIFS($R$5:$R$604,"&gt;"&amp;R330)+COUNTIFS($R$5:R330,R330))</f>
        <v>0</v>
      </c>
      <c r="Y330" s="39">
        <f>IF(B330="","",IF(F330="","Add - no amount",IF(C330="","Add - no category, it will miss the P&amp;L",IF(V330="Overdue","Overdue - pay it",IF(V330="Due soon","Due - coming up",IF(IF(I330="Yes",J330="",FALSE),"Add - how often does it recur?",IF(L330="Yes","OK","Pending")))))))</f>
        <v>0</v>
      </c>
    </row>
    <row r="331" spans="1:25">
      <c r="A331" s="28">
        <f>IF(B331="","",ExpensePrefix&amp;TEXT(ROW()-4,"0000"))</f>
        <v>0</v>
      </c>
      <c r="P331" s="15">
        <f>IF(B331="","",TEXT(B331,"yyyy-mm"))</f>
        <v>0</v>
      </c>
      <c r="Q331" s="25">
        <f>IF(B331="","",WEEKNUM(B331,2))</f>
        <v>0</v>
      </c>
      <c r="R331" s="26">
        <f>IF(B331="","",ROUND(IF(F331="",0,F331)+IF(G331="",0,G331),2))</f>
        <v>0</v>
      </c>
      <c r="S331" s="26">
        <f>IF(B331="","",IF(I331&lt;&gt;"Yes",0,ROUND(IF(F331="",0,F331)*IF(J331="Weekly",52/12,IF(J331="Fortnightly",26/12,IF(J331="Four weekly",13/12,IF(J331="Monthly",1,IF(J331="Quarterly",1/3,IF(J331="Twice a year",1/6,IF(J331="Yearly",1/12,0))))))),2)))</f>
        <v>0</v>
      </c>
      <c r="T331" s="38">
        <f>IF(B331="","",IF(I331="Yes","Yes","No"))</f>
        <v>0</v>
      </c>
      <c r="U331" s="25">
        <f>IF(B331="","",IF(L331="Yes","",IF(K331="","",TodayDate-K331)))</f>
        <v>0</v>
      </c>
      <c r="V331" s="39">
        <f>IF(B331="","",IF(L331="Yes","Paid",IF(K331="","Pending",IF(K331&lt;TodayDate,"Overdue",IF(K331&lt;=TodayDate+7,"Due soon","Pending")))))</f>
        <v>0</v>
      </c>
      <c r="W331" s="26">
        <f>IF(B331="","",IFERROR(INDEX(BudgetAmount,MATCH(C331,BudgetCategory,0))*1,0))</f>
        <v>0</v>
      </c>
      <c r="X331" s="25">
        <f>IF(B331="","",COUNTIFS($R$5:$R$604,"&gt;"&amp;R331)+COUNTIFS($R$5:R331,R331))</f>
        <v>0</v>
      </c>
      <c r="Y331" s="39">
        <f>IF(B331="","",IF(F331="","Add - no amount",IF(C331="","Add - no category, it will miss the P&amp;L",IF(V331="Overdue","Overdue - pay it",IF(V331="Due soon","Due - coming up",IF(IF(I331="Yes",J331="",FALSE),"Add - how often does it recur?",IF(L331="Yes","OK","Pending")))))))</f>
        <v>0</v>
      </c>
    </row>
    <row r="332" spans="1:25">
      <c r="A332" s="28">
        <f>IF(B332="","",ExpensePrefix&amp;TEXT(ROW()-4,"0000"))</f>
        <v>0</v>
      </c>
      <c r="P332" s="15">
        <f>IF(B332="","",TEXT(B332,"yyyy-mm"))</f>
        <v>0</v>
      </c>
      <c r="Q332" s="25">
        <f>IF(B332="","",WEEKNUM(B332,2))</f>
        <v>0</v>
      </c>
      <c r="R332" s="26">
        <f>IF(B332="","",ROUND(IF(F332="",0,F332)+IF(G332="",0,G332),2))</f>
        <v>0</v>
      </c>
      <c r="S332" s="26">
        <f>IF(B332="","",IF(I332&lt;&gt;"Yes",0,ROUND(IF(F332="",0,F332)*IF(J332="Weekly",52/12,IF(J332="Fortnightly",26/12,IF(J332="Four weekly",13/12,IF(J332="Monthly",1,IF(J332="Quarterly",1/3,IF(J332="Twice a year",1/6,IF(J332="Yearly",1/12,0))))))),2)))</f>
        <v>0</v>
      </c>
      <c r="T332" s="38">
        <f>IF(B332="","",IF(I332="Yes","Yes","No"))</f>
        <v>0</v>
      </c>
      <c r="U332" s="25">
        <f>IF(B332="","",IF(L332="Yes","",IF(K332="","",TodayDate-K332)))</f>
        <v>0</v>
      </c>
      <c r="V332" s="39">
        <f>IF(B332="","",IF(L332="Yes","Paid",IF(K332="","Pending",IF(K332&lt;TodayDate,"Overdue",IF(K332&lt;=TodayDate+7,"Due soon","Pending")))))</f>
        <v>0</v>
      </c>
      <c r="W332" s="26">
        <f>IF(B332="","",IFERROR(INDEX(BudgetAmount,MATCH(C332,BudgetCategory,0))*1,0))</f>
        <v>0</v>
      </c>
      <c r="X332" s="25">
        <f>IF(B332="","",COUNTIFS($R$5:$R$604,"&gt;"&amp;R332)+COUNTIFS($R$5:R332,R332))</f>
        <v>0</v>
      </c>
      <c r="Y332" s="39">
        <f>IF(B332="","",IF(F332="","Add - no amount",IF(C332="","Add - no category, it will miss the P&amp;L",IF(V332="Overdue","Overdue - pay it",IF(V332="Due soon","Due - coming up",IF(IF(I332="Yes",J332="",FALSE),"Add - how often does it recur?",IF(L332="Yes","OK","Pending")))))))</f>
        <v>0</v>
      </c>
    </row>
    <row r="333" spans="1:25">
      <c r="A333" s="28">
        <f>IF(B333="","",ExpensePrefix&amp;TEXT(ROW()-4,"0000"))</f>
        <v>0</v>
      </c>
      <c r="P333" s="15">
        <f>IF(B333="","",TEXT(B333,"yyyy-mm"))</f>
        <v>0</v>
      </c>
      <c r="Q333" s="25">
        <f>IF(B333="","",WEEKNUM(B333,2))</f>
        <v>0</v>
      </c>
      <c r="R333" s="26">
        <f>IF(B333="","",ROUND(IF(F333="",0,F333)+IF(G333="",0,G333),2))</f>
        <v>0</v>
      </c>
      <c r="S333" s="26">
        <f>IF(B333="","",IF(I333&lt;&gt;"Yes",0,ROUND(IF(F333="",0,F333)*IF(J333="Weekly",52/12,IF(J333="Fortnightly",26/12,IF(J333="Four weekly",13/12,IF(J333="Monthly",1,IF(J333="Quarterly",1/3,IF(J333="Twice a year",1/6,IF(J333="Yearly",1/12,0))))))),2)))</f>
        <v>0</v>
      </c>
      <c r="T333" s="38">
        <f>IF(B333="","",IF(I333="Yes","Yes","No"))</f>
        <v>0</v>
      </c>
      <c r="U333" s="25">
        <f>IF(B333="","",IF(L333="Yes","",IF(K333="","",TodayDate-K333)))</f>
        <v>0</v>
      </c>
      <c r="V333" s="39">
        <f>IF(B333="","",IF(L333="Yes","Paid",IF(K333="","Pending",IF(K333&lt;TodayDate,"Overdue",IF(K333&lt;=TodayDate+7,"Due soon","Pending")))))</f>
        <v>0</v>
      </c>
      <c r="W333" s="26">
        <f>IF(B333="","",IFERROR(INDEX(BudgetAmount,MATCH(C333,BudgetCategory,0))*1,0))</f>
        <v>0</v>
      </c>
      <c r="X333" s="25">
        <f>IF(B333="","",COUNTIFS($R$5:$R$604,"&gt;"&amp;R333)+COUNTIFS($R$5:R333,R333))</f>
        <v>0</v>
      </c>
      <c r="Y333" s="39">
        <f>IF(B333="","",IF(F333="","Add - no amount",IF(C333="","Add - no category, it will miss the P&amp;L",IF(V333="Overdue","Overdue - pay it",IF(V333="Due soon","Due - coming up",IF(IF(I333="Yes",J333="",FALSE),"Add - how often does it recur?",IF(L333="Yes","OK","Pending")))))))</f>
        <v>0</v>
      </c>
    </row>
    <row r="334" spans="1:25">
      <c r="A334" s="28">
        <f>IF(B334="","",ExpensePrefix&amp;TEXT(ROW()-4,"0000"))</f>
        <v>0</v>
      </c>
      <c r="P334" s="15">
        <f>IF(B334="","",TEXT(B334,"yyyy-mm"))</f>
        <v>0</v>
      </c>
      <c r="Q334" s="25">
        <f>IF(B334="","",WEEKNUM(B334,2))</f>
        <v>0</v>
      </c>
      <c r="R334" s="26">
        <f>IF(B334="","",ROUND(IF(F334="",0,F334)+IF(G334="",0,G334),2))</f>
        <v>0</v>
      </c>
      <c r="S334" s="26">
        <f>IF(B334="","",IF(I334&lt;&gt;"Yes",0,ROUND(IF(F334="",0,F334)*IF(J334="Weekly",52/12,IF(J334="Fortnightly",26/12,IF(J334="Four weekly",13/12,IF(J334="Monthly",1,IF(J334="Quarterly",1/3,IF(J334="Twice a year",1/6,IF(J334="Yearly",1/12,0))))))),2)))</f>
        <v>0</v>
      </c>
      <c r="T334" s="38">
        <f>IF(B334="","",IF(I334="Yes","Yes","No"))</f>
        <v>0</v>
      </c>
      <c r="U334" s="25">
        <f>IF(B334="","",IF(L334="Yes","",IF(K334="","",TodayDate-K334)))</f>
        <v>0</v>
      </c>
      <c r="V334" s="39">
        <f>IF(B334="","",IF(L334="Yes","Paid",IF(K334="","Pending",IF(K334&lt;TodayDate,"Overdue",IF(K334&lt;=TodayDate+7,"Due soon","Pending")))))</f>
        <v>0</v>
      </c>
      <c r="W334" s="26">
        <f>IF(B334="","",IFERROR(INDEX(BudgetAmount,MATCH(C334,BudgetCategory,0))*1,0))</f>
        <v>0</v>
      </c>
      <c r="X334" s="25">
        <f>IF(B334="","",COUNTIFS($R$5:$R$604,"&gt;"&amp;R334)+COUNTIFS($R$5:R334,R334))</f>
        <v>0</v>
      </c>
      <c r="Y334" s="39">
        <f>IF(B334="","",IF(F334="","Add - no amount",IF(C334="","Add - no category, it will miss the P&amp;L",IF(V334="Overdue","Overdue - pay it",IF(V334="Due soon","Due - coming up",IF(IF(I334="Yes",J334="",FALSE),"Add - how often does it recur?",IF(L334="Yes","OK","Pending")))))))</f>
        <v>0</v>
      </c>
    </row>
    <row r="335" spans="1:25">
      <c r="A335" s="28">
        <f>IF(B335="","",ExpensePrefix&amp;TEXT(ROW()-4,"0000"))</f>
        <v>0</v>
      </c>
      <c r="P335" s="15">
        <f>IF(B335="","",TEXT(B335,"yyyy-mm"))</f>
        <v>0</v>
      </c>
      <c r="Q335" s="25">
        <f>IF(B335="","",WEEKNUM(B335,2))</f>
        <v>0</v>
      </c>
      <c r="R335" s="26">
        <f>IF(B335="","",ROUND(IF(F335="",0,F335)+IF(G335="",0,G335),2))</f>
        <v>0</v>
      </c>
      <c r="S335" s="26">
        <f>IF(B335="","",IF(I335&lt;&gt;"Yes",0,ROUND(IF(F335="",0,F335)*IF(J335="Weekly",52/12,IF(J335="Fortnightly",26/12,IF(J335="Four weekly",13/12,IF(J335="Monthly",1,IF(J335="Quarterly",1/3,IF(J335="Twice a year",1/6,IF(J335="Yearly",1/12,0))))))),2)))</f>
        <v>0</v>
      </c>
      <c r="T335" s="38">
        <f>IF(B335="","",IF(I335="Yes","Yes","No"))</f>
        <v>0</v>
      </c>
      <c r="U335" s="25">
        <f>IF(B335="","",IF(L335="Yes","",IF(K335="","",TodayDate-K335)))</f>
        <v>0</v>
      </c>
      <c r="V335" s="39">
        <f>IF(B335="","",IF(L335="Yes","Paid",IF(K335="","Pending",IF(K335&lt;TodayDate,"Overdue",IF(K335&lt;=TodayDate+7,"Due soon","Pending")))))</f>
        <v>0</v>
      </c>
      <c r="W335" s="26">
        <f>IF(B335="","",IFERROR(INDEX(BudgetAmount,MATCH(C335,BudgetCategory,0))*1,0))</f>
        <v>0</v>
      </c>
      <c r="X335" s="25">
        <f>IF(B335="","",COUNTIFS($R$5:$R$604,"&gt;"&amp;R335)+COUNTIFS($R$5:R335,R335))</f>
        <v>0</v>
      </c>
      <c r="Y335" s="39">
        <f>IF(B335="","",IF(F335="","Add - no amount",IF(C335="","Add - no category, it will miss the P&amp;L",IF(V335="Overdue","Overdue - pay it",IF(V335="Due soon","Due - coming up",IF(IF(I335="Yes",J335="",FALSE),"Add - how often does it recur?",IF(L335="Yes","OK","Pending")))))))</f>
        <v>0</v>
      </c>
    </row>
    <row r="336" spans="1:25">
      <c r="A336" s="28">
        <f>IF(B336="","",ExpensePrefix&amp;TEXT(ROW()-4,"0000"))</f>
        <v>0</v>
      </c>
      <c r="P336" s="15">
        <f>IF(B336="","",TEXT(B336,"yyyy-mm"))</f>
        <v>0</v>
      </c>
      <c r="Q336" s="25">
        <f>IF(B336="","",WEEKNUM(B336,2))</f>
        <v>0</v>
      </c>
      <c r="R336" s="26">
        <f>IF(B336="","",ROUND(IF(F336="",0,F336)+IF(G336="",0,G336),2))</f>
        <v>0</v>
      </c>
      <c r="S336" s="26">
        <f>IF(B336="","",IF(I336&lt;&gt;"Yes",0,ROUND(IF(F336="",0,F336)*IF(J336="Weekly",52/12,IF(J336="Fortnightly",26/12,IF(J336="Four weekly",13/12,IF(J336="Monthly",1,IF(J336="Quarterly",1/3,IF(J336="Twice a year",1/6,IF(J336="Yearly",1/12,0))))))),2)))</f>
        <v>0</v>
      </c>
      <c r="T336" s="38">
        <f>IF(B336="","",IF(I336="Yes","Yes","No"))</f>
        <v>0</v>
      </c>
      <c r="U336" s="25">
        <f>IF(B336="","",IF(L336="Yes","",IF(K336="","",TodayDate-K336)))</f>
        <v>0</v>
      </c>
      <c r="V336" s="39">
        <f>IF(B336="","",IF(L336="Yes","Paid",IF(K336="","Pending",IF(K336&lt;TodayDate,"Overdue",IF(K336&lt;=TodayDate+7,"Due soon","Pending")))))</f>
        <v>0</v>
      </c>
      <c r="W336" s="26">
        <f>IF(B336="","",IFERROR(INDEX(BudgetAmount,MATCH(C336,BudgetCategory,0))*1,0))</f>
        <v>0</v>
      </c>
      <c r="X336" s="25">
        <f>IF(B336="","",COUNTIFS($R$5:$R$604,"&gt;"&amp;R336)+COUNTIFS($R$5:R336,R336))</f>
        <v>0</v>
      </c>
      <c r="Y336" s="39">
        <f>IF(B336="","",IF(F336="","Add - no amount",IF(C336="","Add - no category, it will miss the P&amp;L",IF(V336="Overdue","Overdue - pay it",IF(V336="Due soon","Due - coming up",IF(IF(I336="Yes",J336="",FALSE),"Add - how often does it recur?",IF(L336="Yes","OK","Pending")))))))</f>
        <v>0</v>
      </c>
    </row>
    <row r="337" spans="1:25">
      <c r="A337" s="28">
        <f>IF(B337="","",ExpensePrefix&amp;TEXT(ROW()-4,"0000"))</f>
        <v>0</v>
      </c>
      <c r="P337" s="15">
        <f>IF(B337="","",TEXT(B337,"yyyy-mm"))</f>
        <v>0</v>
      </c>
      <c r="Q337" s="25">
        <f>IF(B337="","",WEEKNUM(B337,2))</f>
        <v>0</v>
      </c>
      <c r="R337" s="26">
        <f>IF(B337="","",ROUND(IF(F337="",0,F337)+IF(G337="",0,G337),2))</f>
        <v>0</v>
      </c>
      <c r="S337" s="26">
        <f>IF(B337="","",IF(I337&lt;&gt;"Yes",0,ROUND(IF(F337="",0,F337)*IF(J337="Weekly",52/12,IF(J337="Fortnightly",26/12,IF(J337="Four weekly",13/12,IF(J337="Monthly",1,IF(J337="Quarterly",1/3,IF(J337="Twice a year",1/6,IF(J337="Yearly",1/12,0))))))),2)))</f>
        <v>0</v>
      </c>
      <c r="T337" s="38">
        <f>IF(B337="","",IF(I337="Yes","Yes","No"))</f>
        <v>0</v>
      </c>
      <c r="U337" s="25">
        <f>IF(B337="","",IF(L337="Yes","",IF(K337="","",TodayDate-K337)))</f>
        <v>0</v>
      </c>
      <c r="V337" s="39">
        <f>IF(B337="","",IF(L337="Yes","Paid",IF(K337="","Pending",IF(K337&lt;TodayDate,"Overdue",IF(K337&lt;=TodayDate+7,"Due soon","Pending")))))</f>
        <v>0</v>
      </c>
      <c r="W337" s="26">
        <f>IF(B337="","",IFERROR(INDEX(BudgetAmount,MATCH(C337,BudgetCategory,0))*1,0))</f>
        <v>0</v>
      </c>
      <c r="X337" s="25">
        <f>IF(B337="","",COUNTIFS($R$5:$R$604,"&gt;"&amp;R337)+COUNTIFS($R$5:R337,R337))</f>
        <v>0</v>
      </c>
      <c r="Y337" s="39">
        <f>IF(B337="","",IF(F337="","Add - no amount",IF(C337="","Add - no category, it will miss the P&amp;L",IF(V337="Overdue","Overdue - pay it",IF(V337="Due soon","Due - coming up",IF(IF(I337="Yes",J337="",FALSE),"Add - how often does it recur?",IF(L337="Yes","OK","Pending")))))))</f>
        <v>0</v>
      </c>
    </row>
    <row r="338" spans="1:25">
      <c r="A338" s="28">
        <f>IF(B338="","",ExpensePrefix&amp;TEXT(ROW()-4,"0000"))</f>
        <v>0</v>
      </c>
      <c r="P338" s="15">
        <f>IF(B338="","",TEXT(B338,"yyyy-mm"))</f>
        <v>0</v>
      </c>
      <c r="Q338" s="25">
        <f>IF(B338="","",WEEKNUM(B338,2))</f>
        <v>0</v>
      </c>
      <c r="R338" s="26">
        <f>IF(B338="","",ROUND(IF(F338="",0,F338)+IF(G338="",0,G338),2))</f>
        <v>0</v>
      </c>
      <c r="S338" s="26">
        <f>IF(B338="","",IF(I338&lt;&gt;"Yes",0,ROUND(IF(F338="",0,F338)*IF(J338="Weekly",52/12,IF(J338="Fortnightly",26/12,IF(J338="Four weekly",13/12,IF(J338="Monthly",1,IF(J338="Quarterly",1/3,IF(J338="Twice a year",1/6,IF(J338="Yearly",1/12,0))))))),2)))</f>
        <v>0</v>
      </c>
      <c r="T338" s="38">
        <f>IF(B338="","",IF(I338="Yes","Yes","No"))</f>
        <v>0</v>
      </c>
      <c r="U338" s="25">
        <f>IF(B338="","",IF(L338="Yes","",IF(K338="","",TodayDate-K338)))</f>
        <v>0</v>
      </c>
      <c r="V338" s="39">
        <f>IF(B338="","",IF(L338="Yes","Paid",IF(K338="","Pending",IF(K338&lt;TodayDate,"Overdue",IF(K338&lt;=TodayDate+7,"Due soon","Pending")))))</f>
        <v>0</v>
      </c>
      <c r="W338" s="26">
        <f>IF(B338="","",IFERROR(INDEX(BudgetAmount,MATCH(C338,BudgetCategory,0))*1,0))</f>
        <v>0</v>
      </c>
      <c r="X338" s="25">
        <f>IF(B338="","",COUNTIFS($R$5:$R$604,"&gt;"&amp;R338)+COUNTIFS($R$5:R338,R338))</f>
        <v>0</v>
      </c>
      <c r="Y338" s="39">
        <f>IF(B338="","",IF(F338="","Add - no amount",IF(C338="","Add - no category, it will miss the P&amp;L",IF(V338="Overdue","Overdue - pay it",IF(V338="Due soon","Due - coming up",IF(IF(I338="Yes",J338="",FALSE),"Add - how often does it recur?",IF(L338="Yes","OK","Pending")))))))</f>
        <v>0</v>
      </c>
    </row>
    <row r="339" spans="1:25">
      <c r="A339" s="28">
        <f>IF(B339="","",ExpensePrefix&amp;TEXT(ROW()-4,"0000"))</f>
        <v>0</v>
      </c>
      <c r="P339" s="15">
        <f>IF(B339="","",TEXT(B339,"yyyy-mm"))</f>
        <v>0</v>
      </c>
      <c r="Q339" s="25">
        <f>IF(B339="","",WEEKNUM(B339,2))</f>
        <v>0</v>
      </c>
      <c r="R339" s="26">
        <f>IF(B339="","",ROUND(IF(F339="",0,F339)+IF(G339="",0,G339),2))</f>
        <v>0</v>
      </c>
      <c r="S339" s="26">
        <f>IF(B339="","",IF(I339&lt;&gt;"Yes",0,ROUND(IF(F339="",0,F339)*IF(J339="Weekly",52/12,IF(J339="Fortnightly",26/12,IF(J339="Four weekly",13/12,IF(J339="Monthly",1,IF(J339="Quarterly",1/3,IF(J339="Twice a year",1/6,IF(J339="Yearly",1/12,0))))))),2)))</f>
        <v>0</v>
      </c>
      <c r="T339" s="38">
        <f>IF(B339="","",IF(I339="Yes","Yes","No"))</f>
        <v>0</v>
      </c>
      <c r="U339" s="25">
        <f>IF(B339="","",IF(L339="Yes","",IF(K339="","",TodayDate-K339)))</f>
        <v>0</v>
      </c>
      <c r="V339" s="39">
        <f>IF(B339="","",IF(L339="Yes","Paid",IF(K339="","Pending",IF(K339&lt;TodayDate,"Overdue",IF(K339&lt;=TodayDate+7,"Due soon","Pending")))))</f>
        <v>0</v>
      </c>
      <c r="W339" s="26">
        <f>IF(B339="","",IFERROR(INDEX(BudgetAmount,MATCH(C339,BudgetCategory,0))*1,0))</f>
        <v>0</v>
      </c>
      <c r="X339" s="25">
        <f>IF(B339="","",COUNTIFS($R$5:$R$604,"&gt;"&amp;R339)+COUNTIFS($R$5:R339,R339))</f>
        <v>0</v>
      </c>
      <c r="Y339" s="39">
        <f>IF(B339="","",IF(F339="","Add - no amount",IF(C339="","Add - no category, it will miss the P&amp;L",IF(V339="Overdue","Overdue - pay it",IF(V339="Due soon","Due - coming up",IF(IF(I339="Yes",J339="",FALSE),"Add - how often does it recur?",IF(L339="Yes","OK","Pending")))))))</f>
        <v>0</v>
      </c>
    </row>
    <row r="340" spans="1:25">
      <c r="A340" s="28">
        <f>IF(B340="","",ExpensePrefix&amp;TEXT(ROW()-4,"0000"))</f>
        <v>0</v>
      </c>
      <c r="P340" s="15">
        <f>IF(B340="","",TEXT(B340,"yyyy-mm"))</f>
        <v>0</v>
      </c>
      <c r="Q340" s="25">
        <f>IF(B340="","",WEEKNUM(B340,2))</f>
        <v>0</v>
      </c>
      <c r="R340" s="26">
        <f>IF(B340="","",ROUND(IF(F340="",0,F340)+IF(G340="",0,G340),2))</f>
        <v>0</v>
      </c>
      <c r="S340" s="26">
        <f>IF(B340="","",IF(I340&lt;&gt;"Yes",0,ROUND(IF(F340="",0,F340)*IF(J340="Weekly",52/12,IF(J340="Fortnightly",26/12,IF(J340="Four weekly",13/12,IF(J340="Monthly",1,IF(J340="Quarterly",1/3,IF(J340="Twice a year",1/6,IF(J340="Yearly",1/12,0))))))),2)))</f>
        <v>0</v>
      </c>
      <c r="T340" s="38">
        <f>IF(B340="","",IF(I340="Yes","Yes","No"))</f>
        <v>0</v>
      </c>
      <c r="U340" s="25">
        <f>IF(B340="","",IF(L340="Yes","",IF(K340="","",TodayDate-K340)))</f>
        <v>0</v>
      </c>
      <c r="V340" s="39">
        <f>IF(B340="","",IF(L340="Yes","Paid",IF(K340="","Pending",IF(K340&lt;TodayDate,"Overdue",IF(K340&lt;=TodayDate+7,"Due soon","Pending")))))</f>
        <v>0</v>
      </c>
      <c r="W340" s="26">
        <f>IF(B340="","",IFERROR(INDEX(BudgetAmount,MATCH(C340,BudgetCategory,0))*1,0))</f>
        <v>0</v>
      </c>
      <c r="X340" s="25">
        <f>IF(B340="","",COUNTIFS($R$5:$R$604,"&gt;"&amp;R340)+COUNTIFS($R$5:R340,R340))</f>
        <v>0</v>
      </c>
      <c r="Y340" s="39">
        <f>IF(B340="","",IF(F340="","Add - no amount",IF(C340="","Add - no category, it will miss the P&amp;L",IF(V340="Overdue","Overdue - pay it",IF(V340="Due soon","Due - coming up",IF(IF(I340="Yes",J340="",FALSE),"Add - how often does it recur?",IF(L340="Yes","OK","Pending")))))))</f>
        <v>0</v>
      </c>
    </row>
    <row r="341" spans="1:25">
      <c r="A341" s="28">
        <f>IF(B341="","",ExpensePrefix&amp;TEXT(ROW()-4,"0000"))</f>
        <v>0</v>
      </c>
      <c r="P341" s="15">
        <f>IF(B341="","",TEXT(B341,"yyyy-mm"))</f>
        <v>0</v>
      </c>
      <c r="Q341" s="25">
        <f>IF(B341="","",WEEKNUM(B341,2))</f>
        <v>0</v>
      </c>
      <c r="R341" s="26">
        <f>IF(B341="","",ROUND(IF(F341="",0,F341)+IF(G341="",0,G341),2))</f>
        <v>0</v>
      </c>
      <c r="S341" s="26">
        <f>IF(B341="","",IF(I341&lt;&gt;"Yes",0,ROUND(IF(F341="",0,F341)*IF(J341="Weekly",52/12,IF(J341="Fortnightly",26/12,IF(J341="Four weekly",13/12,IF(J341="Monthly",1,IF(J341="Quarterly",1/3,IF(J341="Twice a year",1/6,IF(J341="Yearly",1/12,0))))))),2)))</f>
        <v>0</v>
      </c>
      <c r="T341" s="38">
        <f>IF(B341="","",IF(I341="Yes","Yes","No"))</f>
        <v>0</v>
      </c>
      <c r="U341" s="25">
        <f>IF(B341="","",IF(L341="Yes","",IF(K341="","",TodayDate-K341)))</f>
        <v>0</v>
      </c>
      <c r="V341" s="39">
        <f>IF(B341="","",IF(L341="Yes","Paid",IF(K341="","Pending",IF(K341&lt;TodayDate,"Overdue",IF(K341&lt;=TodayDate+7,"Due soon","Pending")))))</f>
        <v>0</v>
      </c>
      <c r="W341" s="26">
        <f>IF(B341="","",IFERROR(INDEX(BudgetAmount,MATCH(C341,BudgetCategory,0))*1,0))</f>
        <v>0</v>
      </c>
      <c r="X341" s="25">
        <f>IF(B341="","",COUNTIFS($R$5:$R$604,"&gt;"&amp;R341)+COUNTIFS($R$5:R341,R341))</f>
        <v>0</v>
      </c>
      <c r="Y341" s="39">
        <f>IF(B341="","",IF(F341="","Add - no amount",IF(C341="","Add - no category, it will miss the P&amp;L",IF(V341="Overdue","Overdue - pay it",IF(V341="Due soon","Due - coming up",IF(IF(I341="Yes",J341="",FALSE),"Add - how often does it recur?",IF(L341="Yes","OK","Pending")))))))</f>
        <v>0</v>
      </c>
    </row>
    <row r="342" spans="1:25">
      <c r="A342" s="28">
        <f>IF(B342="","",ExpensePrefix&amp;TEXT(ROW()-4,"0000"))</f>
        <v>0</v>
      </c>
      <c r="P342" s="15">
        <f>IF(B342="","",TEXT(B342,"yyyy-mm"))</f>
        <v>0</v>
      </c>
      <c r="Q342" s="25">
        <f>IF(B342="","",WEEKNUM(B342,2))</f>
        <v>0</v>
      </c>
      <c r="R342" s="26">
        <f>IF(B342="","",ROUND(IF(F342="",0,F342)+IF(G342="",0,G342),2))</f>
        <v>0</v>
      </c>
      <c r="S342" s="26">
        <f>IF(B342="","",IF(I342&lt;&gt;"Yes",0,ROUND(IF(F342="",0,F342)*IF(J342="Weekly",52/12,IF(J342="Fortnightly",26/12,IF(J342="Four weekly",13/12,IF(J342="Monthly",1,IF(J342="Quarterly",1/3,IF(J342="Twice a year",1/6,IF(J342="Yearly",1/12,0))))))),2)))</f>
        <v>0</v>
      </c>
      <c r="T342" s="38">
        <f>IF(B342="","",IF(I342="Yes","Yes","No"))</f>
        <v>0</v>
      </c>
      <c r="U342" s="25">
        <f>IF(B342="","",IF(L342="Yes","",IF(K342="","",TodayDate-K342)))</f>
        <v>0</v>
      </c>
      <c r="V342" s="39">
        <f>IF(B342="","",IF(L342="Yes","Paid",IF(K342="","Pending",IF(K342&lt;TodayDate,"Overdue",IF(K342&lt;=TodayDate+7,"Due soon","Pending")))))</f>
        <v>0</v>
      </c>
      <c r="W342" s="26">
        <f>IF(B342="","",IFERROR(INDEX(BudgetAmount,MATCH(C342,BudgetCategory,0))*1,0))</f>
        <v>0</v>
      </c>
      <c r="X342" s="25">
        <f>IF(B342="","",COUNTIFS($R$5:$R$604,"&gt;"&amp;R342)+COUNTIFS($R$5:R342,R342))</f>
        <v>0</v>
      </c>
      <c r="Y342" s="39">
        <f>IF(B342="","",IF(F342="","Add - no amount",IF(C342="","Add - no category, it will miss the P&amp;L",IF(V342="Overdue","Overdue - pay it",IF(V342="Due soon","Due - coming up",IF(IF(I342="Yes",J342="",FALSE),"Add - how often does it recur?",IF(L342="Yes","OK","Pending")))))))</f>
        <v>0</v>
      </c>
    </row>
    <row r="343" spans="1:25">
      <c r="A343" s="28">
        <f>IF(B343="","",ExpensePrefix&amp;TEXT(ROW()-4,"0000"))</f>
        <v>0</v>
      </c>
      <c r="P343" s="15">
        <f>IF(B343="","",TEXT(B343,"yyyy-mm"))</f>
        <v>0</v>
      </c>
      <c r="Q343" s="25">
        <f>IF(B343="","",WEEKNUM(B343,2))</f>
        <v>0</v>
      </c>
      <c r="R343" s="26">
        <f>IF(B343="","",ROUND(IF(F343="",0,F343)+IF(G343="",0,G343),2))</f>
        <v>0</v>
      </c>
      <c r="S343" s="26">
        <f>IF(B343="","",IF(I343&lt;&gt;"Yes",0,ROUND(IF(F343="",0,F343)*IF(J343="Weekly",52/12,IF(J343="Fortnightly",26/12,IF(J343="Four weekly",13/12,IF(J343="Monthly",1,IF(J343="Quarterly",1/3,IF(J343="Twice a year",1/6,IF(J343="Yearly",1/12,0))))))),2)))</f>
        <v>0</v>
      </c>
      <c r="T343" s="38">
        <f>IF(B343="","",IF(I343="Yes","Yes","No"))</f>
        <v>0</v>
      </c>
      <c r="U343" s="25">
        <f>IF(B343="","",IF(L343="Yes","",IF(K343="","",TodayDate-K343)))</f>
        <v>0</v>
      </c>
      <c r="V343" s="39">
        <f>IF(B343="","",IF(L343="Yes","Paid",IF(K343="","Pending",IF(K343&lt;TodayDate,"Overdue",IF(K343&lt;=TodayDate+7,"Due soon","Pending")))))</f>
        <v>0</v>
      </c>
      <c r="W343" s="26">
        <f>IF(B343="","",IFERROR(INDEX(BudgetAmount,MATCH(C343,BudgetCategory,0))*1,0))</f>
        <v>0</v>
      </c>
      <c r="X343" s="25">
        <f>IF(B343="","",COUNTIFS($R$5:$R$604,"&gt;"&amp;R343)+COUNTIFS($R$5:R343,R343))</f>
        <v>0</v>
      </c>
      <c r="Y343" s="39">
        <f>IF(B343="","",IF(F343="","Add - no amount",IF(C343="","Add - no category, it will miss the P&amp;L",IF(V343="Overdue","Overdue - pay it",IF(V343="Due soon","Due - coming up",IF(IF(I343="Yes",J343="",FALSE),"Add - how often does it recur?",IF(L343="Yes","OK","Pending")))))))</f>
        <v>0</v>
      </c>
    </row>
    <row r="344" spans="1:25">
      <c r="A344" s="28">
        <f>IF(B344="","",ExpensePrefix&amp;TEXT(ROW()-4,"0000"))</f>
        <v>0</v>
      </c>
      <c r="P344" s="15">
        <f>IF(B344="","",TEXT(B344,"yyyy-mm"))</f>
        <v>0</v>
      </c>
      <c r="Q344" s="25">
        <f>IF(B344="","",WEEKNUM(B344,2))</f>
        <v>0</v>
      </c>
      <c r="R344" s="26">
        <f>IF(B344="","",ROUND(IF(F344="",0,F344)+IF(G344="",0,G344),2))</f>
        <v>0</v>
      </c>
      <c r="S344" s="26">
        <f>IF(B344="","",IF(I344&lt;&gt;"Yes",0,ROUND(IF(F344="",0,F344)*IF(J344="Weekly",52/12,IF(J344="Fortnightly",26/12,IF(J344="Four weekly",13/12,IF(J344="Monthly",1,IF(J344="Quarterly",1/3,IF(J344="Twice a year",1/6,IF(J344="Yearly",1/12,0))))))),2)))</f>
        <v>0</v>
      </c>
      <c r="T344" s="38">
        <f>IF(B344="","",IF(I344="Yes","Yes","No"))</f>
        <v>0</v>
      </c>
      <c r="U344" s="25">
        <f>IF(B344="","",IF(L344="Yes","",IF(K344="","",TodayDate-K344)))</f>
        <v>0</v>
      </c>
      <c r="V344" s="39">
        <f>IF(B344="","",IF(L344="Yes","Paid",IF(K344="","Pending",IF(K344&lt;TodayDate,"Overdue",IF(K344&lt;=TodayDate+7,"Due soon","Pending")))))</f>
        <v>0</v>
      </c>
      <c r="W344" s="26">
        <f>IF(B344="","",IFERROR(INDEX(BudgetAmount,MATCH(C344,BudgetCategory,0))*1,0))</f>
        <v>0</v>
      </c>
      <c r="X344" s="25">
        <f>IF(B344="","",COUNTIFS($R$5:$R$604,"&gt;"&amp;R344)+COUNTIFS($R$5:R344,R344))</f>
        <v>0</v>
      </c>
      <c r="Y344" s="39">
        <f>IF(B344="","",IF(F344="","Add - no amount",IF(C344="","Add - no category, it will miss the P&amp;L",IF(V344="Overdue","Overdue - pay it",IF(V344="Due soon","Due - coming up",IF(IF(I344="Yes",J344="",FALSE),"Add - how often does it recur?",IF(L344="Yes","OK","Pending")))))))</f>
        <v>0</v>
      </c>
    </row>
    <row r="345" spans="1:25">
      <c r="A345" s="28">
        <f>IF(B345="","",ExpensePrefix&amp;TEXT(ROW()-4,"0000"))</f>
        <v>0</v>
      </c>
      <c r="P345" s="15">
        <f>IF(B345="","",TEXT(B345,"yyyy-mm"))</f>
        <v>0</v>
      </c>
      <c r="Q345" s="25">
        <f>IF(B345="","",WEEKNUM(B345,2))</f>
        <v>0</v>
      </c>
      <c r="R345" s="26">
        <f>IF(B345="","",ROUND(IF(F345="",0,F345)+IF(G345="",0,G345),2))</f>
        <v>0</v>
      </c>
      <c r="S345" s="26">
        <f>IF(B345="","",IF(I345&lt;&gt;"Yes",0,ROUND(IF(F345="",0,F345)*IF(J345="Weekly",52/12,IF(J345="Fortnightly",26/12,IF(J345="Four weekly",13/12,IF(J345="Monthly",1,IF(J345="Quarterly",1/3,IF(J345="Twice a year",1/6,IF(J345="Yearly",1/12,0))))))),2)))</f>
        <v>0</v>
      </c>
      <c r="T345" s="38">
        <f>IF(B345="","",IF(I345="Yes","Yes","No"))</f>
        <v>0</v>
      </c>
      <c r="U345" s="25">
        <f>IF(B345="","",IF(L345="Yes","",IF(K345="","",TodayDate-K345)))</f>
        <v>0</v>
      </c>
      <c r="V345" s="39">
        <f>IF(B345="","",IF(L345="Yes","Paid",IF(K345="","Pending",IF(K345&lt;TodayDate,"Overdue",IF(K345&lt;=TodayDate+7,"Due soon","Pending")))))</f>
        <v>0</v>
      </c>
      <c r="W345" s="26">
        <f>IF(B345="","",IFERROR(INDEX(BudgetAmount,MATCH(C345,BudgetCategory,0))*1,0))</f>
        <v>0</v>
      </c>
      <c r="X345" s="25">
        <f>IF(B345="","",COUNTIFS($R$5:$R$604,"&gt;"&amp;R345)+COUNTIFS($R$5:R345,R345))</f>
        <v>0</v>
      </c>
      <c r="Y345" s="39">
        <f>IF(B345="","",IF(F345="","Add - no amount",IF(C345="","Add - no category, it will miss the P&amp;L",IF(V345="Overdue","Overdue - pay it",IF(V345="Due soon","Due - coming up",IF(IF(I345="Yes",J345="",FALSE),"Add - how often does it recur?",IF(L345="Yes","OK","Pending")))))))</f>
        <v>0</v>
      </c>
    </row>
    <row r="346" spans="1:25">
      <c r="A346" s="28">
        <f>IF(B346="","",ExpensePrefix&amp;TEXT(ROW()-4,"0000"))</f>
        <v>0</v>
      </c>
      <c r="P346" s="15">
        <f>IF(B346="","",TEXT(B346,"yyyy-mm"))</f>
        <v>0</v>
      </c>
      <c r="Q346" s="25">
        <f>IF(B346="","",WEEKNUM(B346,2))</f>
        <v>0</v>
      </c>
      <c r="R346" s="26">
        <f>IF(B346="","",ROUND(IF(F346="",0,F346)+IF(G346="",0,G346),2))</f>
        <v>0</v>
      </c>
      <c r="S346" s="26">
        <f>IF(B346="","",IF(I346&lt;&gt;"Yes",0,ROUND(IF(F346="",0,F346)*IF(J346="Weekly",52/12,IF(J346="Fortnightly",26/12,IF(J346="Four weekly",13/12,IF(J346="Monthly",1,IF(J346="Quarterly",1/3,IF(J346="Twice a year",1/6,IF(J346="Yearly",1/12,0))))))),2)))</f>
        <v>0</v>
      </c>
      <c r="T346" s="38">
        <f>IF(B346="","",IF(I346="Yes","Yes","No"))</f>
        <v>0</v>
      </c>
      <c r="U346" s="25">
        <f>IF(B346="","",IF(L346="Yes","",IF(K346="","",TodayDate-K346)))</f>
        <v>0</v>
      </c>
      <c r="V346" s="39">
        <f>IF(B346="","",IF(L346="Yes","Paid",IF(K346="","Pending",IF(K346&lt;TodayDate,"Overdue",IF(K346&lt;=TodayDate+7,"Due soon","Pending")))))</f>
        <v>0</v>
      </c>
      <c r="W346" s="26">
        <f>IF(B346="","",IFERROR(INDEX(BudgetAmount,MATCH(C346,BudgetCategory,0))*1,0))</f>
        <v>0</v>
      </c>
      <c r="X346" s="25">
        <f>IF(B346="","",COUNTIFS($R$5:$R$604,"&gt;"&amp;R346)+COUNTIFS($R$5:R346,R346))</f>
        <v>0</v>
      </c>
      <c r="Y346" s="39">
        <f>IF(B346="","",IF(F346="","Add - no amount",IF(C346="","Add - no category, it will miss the P&amp;L",IF(V346="Overdue","Overdue - pay it",IF(V346="Due soon","Due - coming up",IF(IF(I346="Yes",J346="",FALSE),"Add - how often does it recur?",IF(L346="Yes","OK","Pending")))))))</f>
        <v>0</v>
      </c>
    </row>
    <row r="347" spans="1:25">
      <c r="A347" s="28">
        <f>IF(B347="","",ExpensePrefix&amp;TEXT(ROW()-4,"0000"))</f>
        <v>0</v>
      </c>
      <c r="P347" s="15">
        <f>IF(B347="","",TEXT(B347,"yyyy-mm"))</f>
        <v>0</v>
      </c>
      <c r="Q347" s="25">
        <f>IF(B347="","",WEEKNUM(B347,2))</f>
        <v>0</v>
      </c>
      <c r="R347" s="26">
        <f>IF(B347="","",ROUND(IF(F347="",0,F347)+IF(G347="",0,G347),2))</f>
        <v>0</v>
      </c>
      <c r="S347" s="26">
        <f>IF(B347="","",IF(I347&lt;&gt;"Yes",0,ROUND(IF(F347="",0,F347)*IF(J347="Weekly",52/12,IF(J347="Fortnightly",26/12,IF(J347="Four weekly",13/12,IF(J347="Monthly",1,IF(J347="Quarterly",1/3,IF(J347="Twice a year",1/6,IF(J347="Yearly",1/12,0))))))),2)))</f>
        <v>0</v>
      </c>
      <c r="T347" s="38">
        <f>IF(B347="","",IF(I347="Yes","Yes","No"))</f>
        <v>0</v>
      </c>
      <c r="U347" s="25">
        <f>IF(B347="","",IF(L347="Yes","",IF(K347="","",TodayDate-K347)))</f>
        <v>0</v>
      </c>
      <c r="V347" s="39">
        <f>IF(B347="","",IF(L347="Yes","Paid",IF(K347="","Pending",IF(K347&lt;TodayDate,"Overdue",IF(K347&lt;=TodayDate+7,"Due soon","Pending")))))</f>
        <v>0</v>
      </c>
      <c r="W347" s="26">
        <f>IF(B347="","",IFERROR(INDEX(BudgetAmount,MATCH(C347,BudgetCategory,0))*1,0))</f>
        <v>0</v>
      </c>
      <c r="X347" s="25">
        <f>IF(B347="","",COUNTIFS($R$5:$R$604,"&gt;"&amp;R347)+COUNTIFS($R$5:R347,R347))</f>
        <v>0</v>
      </c>
      <c r="Y347" s="39">
        <f>IF(B347="","",IF(F347="","Add - no amount",IF(C347="","Add - no category, it will miss the P&amp;L",IF(V347="Overdue","Overdue - pay it",IF(V347="Due soon","Due - coming up",IF(IF(I347="Yes",J347="",FALSE),"Add - how often does it recur?",IF(L347="Yes","OK","Pending")))))))</f>
        <v>0</v>
      </c>
    </row>
    <row r="348" spans="1:25">
      <c r="A348" s="28">
        <f>IF(B348="","",ExpensePrefix&amp;TEXT(ROW()-4,"0000"))</f>
        <v>0</v>
      </c>
      <c r="P348" s="15">
        <f>IF(B348="","",TEXT(B348,"yyyy-mm"))</f>
        <v>0</v>
      </c>
      <c r="Q348" s="25">
        <f>IF(B348="","",WEEKNUM(B348,2))</f>
        <v>0</v>
      </c>
      <c r="R348" s="26">
        <f>IF(B348="","",ROUND(IF(F348="",0,F348)+IF(G348="",0,G348),2))</f>
        <v>0</v>
      </c>
      <c r="S348" s="26">
        <f>IF(B348="","",IF(I348&lt;&gt;"Yes",0,ROUND(IF(F348="",0,F348)*IF(J348="Weekly",52/12,IF(J348="Fortnightly",26/12,IF(J348="Four weekly",13/12,IF(J348="Monthly",1,IF(J348="Quarterly",1/3,IF(J348="Twice a year",1/6,IF(J348="Yearly",1/12,0))))))),2)))</f>
        <v>0</v>
      </c>
      <c r="T348" s="38">
        <f>IF(B348="","",IF(I348="Yes","Yes","No"))</f>
        <v>0</v>
      </c>
      <c r="U348" s="25">
        <f>IF(B348="","",IF(L348="Yes","",IF(K348="","",TodayDate-K348)))</f>
        <v>0</v>
      </c>
      <c r="V348" s="39">
        <f>IF(B348="","",IF(L348="Yes","Paid",IF(K348="","Pending",IF(K348&lt;TodayDate,"Overdue",IF(K348&lt;=TodayDate+7,"Due soon","Pending")))))</f>
        <v>0</v>
      </c>
      <c r="W348" s="26">
        <f>IF(B348="","",IFERROR(INDEX(BudgetAmount,MATCH(C348,BudgetCategory,0))*1,0))</f>
        <v>0</v>
      </c>
      <c r="X348" s="25">
        <f>IF(B348="","",COUNTIFS($R$5:$R$604,"&gt;"&amp;R348)+COUNTIFS($R$5:R348,R348))</f>
        <v>0</v>
      </c>
      <c r="Y348" s="39">
        <f>IF(B348="","",IF(F348="","Add - no amount",IF(C348="","Add - no category, it will miss the P&amp;L",IF(V348="Overdue","Overdue - pay it",IF(V348="Due soon","Due - coming up",IF(IF(I348="Yes",J348="",FALSE),"Add - how often does it recur?",IF(L348="Yes","OK","Pending")))))))</f>
        <v>0</v>
      </c>
    </row>
    <row r="349" spans="1:25">
      <c r="A349" s="28">
        <f>IF(B349="","",ExpensePrefix&amp;TEXT(ROW()-4,"0000"))</f>
        <v>0</v>
      </c>
      <c r="P349" s="15">
        <f>IF(B349="","",TEXT(B349,"yyyy-mm"))</f>
        <v>0</v>
      </c>
      <c r="Q349" s="25">
        <f>IF(B349="","",WEEKNUM(B349,2))</f>
        <v>0</v>
      </c>
      <c r="R349" s="26">
        <f>IF(B349="","",ROUND(IF(F349="",0,F349)+IF(G349="",0,G349),2))</f>
        <v>0</v>
      </c>
      <c r="S349" s="26">
        <f>IF(B349="","",IF(I349&lt;&gt;"Yes",0,ROUND(IF(F349="",0,F349)*IF(J349="Weekly",52/12,IF(J349="Fortnightly",26/12,IF(J349="Four weekly",13/12,IF(J349="Monthly",1,IF(J349="Quarterly",1/3,IF(J349="Twice a year",1/6,IF(J349="Yearly",1/12,0))))))),2)))</f>
        <v>0</v>
      </c>
      <c r="T349" s="38">
        <f>IF(B349="","",IF(I349="Yes","Yes","No"))</f>
        <v>0</v>
      </c>
      <c r="U349" s="25">
        <f>IF(B349="","",IF(L349="Yes","",IF(K349="","",TodayDate-K349)))</f>
        <v>0</v>
      </c>
      <c r="V349" s="39">
        <f>IF(B349="","",IF(L349="Yes","Paid",IF(K349="","Pending",IF(K349&lt;TodayDate,"Overdue",IF(K349&lt;=TodayDate+7,"Due soon","Pending")))))</f>
        <v>0</v>
      </c>
      <c r="W349" s="26">
        <f>IF(B349="","",IFERROR(INDEX(BudgetAmount,MATCH(C349,BudgetCategory,0))*1,0))</f>
        <v>0</v>
      </c>
      <c r="X349" s="25">
        <f>IF(B349="","",COUNTIFS($R$5:$R$604,"&gt;"&amp;R349)+COUNTIFS($R$5:R349,R349))</f>
        <v>0</v>
      </c>
      <c r="Y349" s="39">
        <f>IF(B349="","",IF(F349="","Add - no amount",IF(C349="","Add - no category, it will miss the P&amp;L",IF(V349="Overdue","Overdue - pay it",IF(V349="Due soon","Due - coming up",IF(IF(I349="Yes",J349="",FALSE),"Add - how often does it recur?",IF(L349="Yes","OK","Pending")))))))</f>
        <v>0</v>
      </c>
    </row>
    <row r="350" spans="1:25">
      <c r="A350" s="28">
        <f>IF(B350="","",ExpensePrefix&amp;TEXT(ROW()-4,"0000"))</f>
        <v>0</v>
      </c>
      <c r="P350" s="15">
        <f>IF(B350="","",TEXT(B350,"yyyy-mm"))</f>
        <v>0</v>
      </c>
      <c r="Q350" s="25">
        <f>IF(B350="","",WEEKNUM(B350,2))</f>
        <v>0</v>
      </c>
      <c r="R350" s="26">
        <f>IF(B350="","",ROUND(IF(F350="",0,F350)+IF(G350="",0,G350),2))</f>
        <v>0</v>
      </c>
      <c r="S350" s="26">
        <f>IF(B350="","",IF(I350&lt;&gt;"Yes",0,ROUND(IF(F350="",0,F350)*IF(J350="Weekly",52/12,IF(J350="Fortnightly",26/12,IF(J350="Four weekly",13/12,IF(J350="Monthly",1,IF(J350="Quarterly",1/3,IF(J350="Twice a year",1/6,IF(J350="Yearly",1/12,0))))))),2)))</f>
        <v>0</v>
      </c>
      <c r="T350" s="38">
        <f>IF(B350="","",IF(I350="Yes","Yes","No"))</f>
        <v>0</v>
      </c>
      <c r="U350" s="25">
        <f>IF(B350="","",IF(L350="Yes","",IF(K350="","",TodayDate-K350)))</f>
        <v>0</v>
      </c>
      <c r="V350" s="39">
        <f>IF(B350="","",IF(L350="Yes","Paid",IF(K350="","Pending",IF(K350&lt;TodayDate,"Overdue",IF(K350&lt;=TodayDate+7,"Due soon","Pending")))))</f>
        <v>0</v>
      </c>
      <c r="W350" s="26">
        <f>IF(B350="","",IFERROR(INDEX(BudgetAmount,MATCH(C350,BudgetCategory,0))*1,0))</f>
        <v>0</v>
      </c>
      <c r="X350" s="25">
        <f>IF(B350="","",COUNTIFS($R$5:$R$604,"&gt;"&amp;R350)+COUNTIFS($R$5:R350,R350))</f>
        <v>0</v>
      </c>
      <c r="Y350" s="39">
        <f>IF(B350="","",IF(F350="","Add - no amount",IF(C350="","Add - no category, it will miss the P&amp;L",IF(V350="Overdue","Overdue - pay it",IF(V350="Due soon","Due - coming up",IF(IF(I350="Yes",J350="",FALSE),"Add - how often does it recur?",IF(L350="Yes","OK","Pending")))))))</f>
        <v>0</v>
      </c>
    </row>
    <row r="351" spans="1:25">
      <c r="A351" s="28">
        <f>IF(B351="","",ExpensePrefix&amp;TEXT(ROW()-4,"0000"))</f>
        <v>0</v>
      </c>
      <c r="P351" s="15">
        <f>IF(B351="","",TEXT(B351,"yyyy-mm"))</f>
        <v>0</v>
      </c>
      <c r="Q351" s="25">
        <f>IF(B351="","",WEEKNUM(B351,2))</f>
        <v>0</v>
      </c>
      <c r="R351" s="26">
        <f>IF(B351="","",ROUND(IF(F351="",0,F351)+IF(G351="",0,G351),2))</f>
        <v>0</v>
      </c>
      <c r="S351" s="26">
        <f>IF(B351="","",IF(I351&lt;&gt;"Yes",0,ROUND(IF(F351="",0,F351)*IF(J351="Weekly",52/12,IF(J351="Fortnightly",26/12,IF(J351="Four weekly",13/12,IF(J351="Monthly",1,IF(J351="Quarterly",1/3,IF(J351="Twice a year",1/6,IF(J351="Yearly",1/12,0))))))),2)))</f>
        <v>0</v>
      </c>
      <c r="T351" s="38">
        <f>IF(B351="","",IF(I351="Yes","Yes","No"))</f>
        <v>0</v>
      </c>
      <c r="U351" s="25">
        <f>IF(B351="","",IF(L351="Yes","",IF(K351="","",TodayDate-K351)))</f>
        <v>0</v>
      </c>
      <c r="V351" s="39">
        <f>IF(B351="","",IF(L351="Yes","Paid",IF(K351="","Pending",IF(K351&lt;TodayDate,"Overdue",IF(K351&lt;=TodayDate+7,"Due soon","Pending")))))</f>
        <v>0</v>
      </c>
      <c r="W351" s="26">
        <f>IF(B351="","",IFERROR(INDEX(BudgetAmount,MATCH(C351,BudgetCategory,0))*1,0))</f>
        <v>0</v>
      </c>
      <c r="X351" s="25">
        <f>IF(B351="","",COUNTIFS($R$5:$R$604,"&gt;"&amp;R351)+COUNTIFS($R$5:R351,R351))</f>
        <v>0</v>
      </c>
      <c r="Y351" s="39">
        <f>IF(B351="","",IF(F351="","Add - no amount",IF(C351="","Add - no category, it will miss the P&amp;L",IF(V351="Overdue","Overdue - pay it",IF(V351="Due soon","Due - coming up",IF(IF(I351="Yes",J351="",FALSE),"Add - how often does it recur?",IF(L351="Yes","OK","Pending")))))))</f>
        <v>0</v>
      </c>
    </row>
    <row r="352" spans="1:25">
      <c r="A352" s="28">
        <f>IF(B352="","",ExpensePrefix&amp;TEXT(ROW()-4,"0000"))</f>
        <v>0</v>
      </c>
      <c r="P352" s="15">
        <f>IF(B352="","",TEXT(B352,"yyyy-mm"))</f>
        <v>0</v>
      </c>
      <c r="Q352" s="25">
        <f>IF(B352="","",WEEKNUM(B352,2))</f>
        <v>0</v>
      </c>
      <c r="R352" s="26">
        <f>IF(B352="","",ROUND(IF(F352="",0,F352)+IF(G352="",0,G352),2))</f>
        <v>0</v>
      </c>
      <c r="S352" s="26">
        <f>IF(B352="","",IF(I352&lt;&gt;"Yes",0,ROUND(IF(F352="",0,F352)*IF(J352="Weekly",52/12,IF(J352="Fortnightly",26/12,IF(J352="Four weekly",13/12,IF(J352="Monthly",1,IF(J352="Quarterly",1/3,IF(J352="Twice a year",1/6,IF(J352="Yearly",1/12,0))))))),2)))</f>
        <v>0</v>
      </c>
      <c r="T352" s="38">
        <f>IF(B352="","",IF(I352="Yes","Yes","No"))</f>
        <v>0</v>
      </c>
      <c r="U352" s="25">
        <f>IF(B352="","",IF(L352="Yes","",IF(K352="","",TodayDate-K352)))</f>
        <v>0</v>
      </c>
      <c r="V352" s="39">
        <f>IF(B352="","",IF(L352="Yes","Paid",IF(K352="","Pending",IF(K352&lt;TodayDate,"Overdue",IF(K352&lt;=TodayDate+7,"Due soon","Pending")))))</f>
        <v>0</v>
      </c>
      <c r="W352" s="26">
        <f>IF(B352="","",IFERROR(INDEX(BudgetAmount,MATCH(C352,BudgetCategory,0))*1,0))</f>
        <v>0</v>
      </c>
      <c r="X352" s="25">
        <f>IF(B352="","",COUNTIFS($R$5:$R$604,"&gt;"&amp;R352)+COUNTIFS($R$5:R352,R352))</f>
        <v>0</v>
      </c>
      <c r="Y352" s="39">
        <f>IF(B352="","",IF(F352="","Add - no amount",IF(C352="","Add - no category, it will miss the P&amp;L",IF(V352="Overdue","Overdue - pay it",IF(V352="Due soon","Due - coming up",IF(IF(I352="Yes",J352="",FALSE),"Add - how often does it recur?",IF(L352="Yes","OK","Pending")))))))</f>
        <v>0</v>
      </c>
    </row>
    <row r="353" spans="1:25">
      <c r="A353" s="28">
        <f>IF(B353="","",ExpensePrefix&amp;TEXT(ROW()-4,"0000"))</f>
        <v>0</v>
      </c>
      <c r="P353" s="15">
        <f>IF(B353="","",TEXT(B353,"yyyy-mm"))</f>
        <v>0</v>
      </c>
      <c r="Q353" s="25">
        <f>IF(B353="","",WEEKNUM(B353,2))</f>
        <v>0</v>
      </c>
      <c r="R353" s="26">
        <f>IF(B353="","",ROUND(IF(F353="",0,F353)+IF(G353="",0,G353),2))</f>
        <v>0</v>
      </c>
      <c r="S353" s="26">
        <f>IF(B353="","",IF(I353&lt;&gt;"Yes",0,ROUND(IF(F353="",0,F353)*IF(J353="Weekly",52/12,IF(J353="Fortnightly",26/12,IF(J353="Four weekly",13/12,IF(J353="Monthly",1,IF(J353="Quarterly",1/3,IF(J353="Twice a year",1/6,IF(J353="Yearly",1/12,0))))))),2)))</f>
        <v>0</v>
      </c>
      <c r="T353" s="38">
        <f>IF(B353="","",IF(I353="Yes","Yes","No"))</f>
        <v>0</v>
      </c>
      <c r="U353" s="25">
        <f>IF(B353="","",IF(L353="Yes","",IF(K353="","",TodayDate-K353)))</f>
        <v>0</v>
      </c>
      <c r="V353" s="39">
        <f>IF(B353="","",IF(L353="Yes","Paid",IF(K353="","Pending",IF(K353&lt;TodayDate,"Overdue",IF(K353&lt;=TodayDate+7,"Due soon","Pending")))))</f>
        <v>0</v>
      </c>
      <c r="W353" s="26">
        <f>IF(B353="","",IFERROR(INDEX(BudgetAmount,MATCH(C353,BudgetCategory,0))*1,0))</f>
        <v>0</v>
      </c>
      <c r="X353" s="25">
        <f>IF(B353="","",COUNTIFS($R$5:$R$604,"&gt;"&amp;R353)+COUNTIFS($R$5:R353,R353))</f>
        <v>0</v>
      </c>
      <c r="Y353" s="39">
        <f>IF(B353="","",IF(F353="","Add - no amount",IF(C353="","Add - no category, it will miss the P&amp;L",IF(V353="Overdue","Overdue - pay it",IF(V353="Due soon","Due - coming up",IF(IF(I353="Yes",J353="",FALSE),"Add - how often does it recur?",IF(L353="Yes","OK","Pending")))))))</f>
        <v>0</v>
      </c>
    </row>
    <row r="354" spans="1:25">
      <c r="A354" s="28">
        <f>IF(B354="","",ExpensePrefix&amp;TEXT(ROW()-4,"0000"))</f>
        <v>0</v>
      </c>
      <c r="P354" s="15">
        <f>IF(B354="","",TEXT(B354,"yyyy-mm"))</f>
        <v>0</v>
      </c>
      <c r="Q354" s="25">
        <f>IF(B354="","",WEEKNUM(B354,2))</f>
        <v>0</v>
      </c>
      <c r="R354" s="26">
        <f>IF(B354="","",ROUND(IF(F354="",0,F354)+IF(G354="",0,G354),2))</f>
        <v>0</v>
      </c>
      <c r="S354" s="26">
        <f>IF(B354="","",IF(I354&lt;&gt;"Yes",0,ROUND(IF(F354="",0,F354)*IF(J354="Weekly",52/12,IF(J354="Fortnightly",26/12,IF(J354="Four weekly",13/12,IF(J354="Monthly",1,IF(J354="Quarterly",1/3,IF(J354="Twice a year",1/6,IF(J354="Yearly",1/12,0))))))),2)))</f>
        <v>0</v>
      </c>
      <c r="T354" s="38">
        <f>IF(B354="","",IF(I354="Yes","Yes","No"))</f>
        <v>0</v>
      </c>
      <c r="U354" s="25">
        <f>IF(B354="","",IF(L354="Yes","",IF(K354="","",TodayDate-K354)))</f>
        <v>0</v>
      </c>
      <c r="V354" s="39">
        <f>IF(B354="","",IF(L354="Yes","Paid",IF(K354="","Pending",IF(K354&lt;TodayDate,"Overdue",IF(K354&lt;=TodayDate+7,"Due soon","Pending")))))</f>
        <v>0</v>
      </c>
      <c r="W354" s="26">
        <f>IF(B354="","",IFERROR(INDEX(BudgetAmount,MATCH(C354,BudgetCategory,0))*1,0))</f>
        <v>0</v>
      </c>
      <c r="X354" s="25">
        <f>IF(B354="","",COUNTIFS($R$5:$R$604,"&gt;"&amp;R354)+COUNTIFS($R$5:R354,R354))</f>
        <v>0</v>
      </c>
      <c r="Y354" s="39">
        <f>IF(B354="","",IF(F354="","Add - no amount",IF(C354="","Add - no category, it will miss the P&amp;L",IF(V354="Overdue","Overdue - pay it",IF(V354="Due soon","Due - coming up",IF(IF(I354="Yes",J354="",FALSE),"Add - how often does it recur?",IF(L354="Yes","OK","Pending")))))))</f>
        <v>0</v>
      </c>
    </row>
    <row r="355" spans="1:25">
      <c r="A355" s="28">
        <f>IF(B355="","",ExpensePrefix&amp;TEXT(ROW()-4,"0000"))</f>
        <v>0</v>
      </c>
      <c r="P355" s="15">
        <f>IF(B355="","",TEXT(B355,"yyyy-mm"))</f>
        <v>0</v>
      </c>
      <c r="Q355" s="25">
        <f>IF(B355="","",WEEKNUM(B355,2))</f>
        <v>0</v>
      </c>
      <c r="R355" s="26">
        <f>IF(B355="","",ROUND(IF(F355="",0,F355)+IF(G355="",0,G355),2))</f>
        <v>0</v>
      </c>
      <c r="S355" s="26">
        <f>IF(B355="","",IF(I355&lt;&gt;"Yes",0,ROUND(IF(F355="",0,F355)*IF(J355="Weekly",52/12,IF(J355="Fortnightly",26/12,IF(J355="Four weekly",13/12,IF(J355="Monthly",1,IF(J355="Quarterly",1/3,IF(J355="Twice a year",1/6,IF(J355="Yearly",1/12,0))))))),2)))</f>
        <v>0</v>
      </c>
      <c r="T355" s="38">
        <f>IF(B355="","",IF(I355="Yes","Yes","No"))</f>
        <v>0</v>
      </c>
      <c r="U355" s="25">
        <f>IF(B355="","",IF(L355="Yes","",IF(K355="","",TodayDate-K355)))</f>
        <v>0</v>
      </c>
      <c r="V355" s="39">
        <f>IF(B355="","",IF(L355="Yes","Paid",IF(K355="","Pending",IF(K355&lt;TodayDate,"Overdue",IF(K355&lt;=TodayDate+7,"Due soon","Pending")))))</f>
        <v>0</v>
      </c>
      <c r="W355" s="26">
        <f>IF(B355="","",IFERROR(INDEX(BudgetAmount,MATCH(C355,BudgetCategory,0))*1,0))</f>
        <v>0</v>
      </c>
      <c r="X355" s="25">
        <f>IF(B355="","",COUNTIFS($R$5:$R$604,"&gt;"&amp;R355)+COUNTIFS($R$5:R355,R355))</f>
        <v>0</v>
      </c>
      <c r="Y355" s="39">
        <f>IF(B355="","",IF(F355="","Add - no amount",IF(C355="","Add - no category, it will miss the P&amp;L",IF(V355="Overdue","Overdue - pay it",IF(V355="Due soon","Due - coming up",IF(IF(I355="Yes",J355="",FALSE),"Add - how often does it recur?",IF(L355="Yes","OK","Pending")))))))</f>
        <v>0</v>
      </c>
    </row>
    <row r="356" spans="1:25">
      <c r="A356" s="28">
        <f>IF(B356="","",ExpensePrefix&amp;TEXT(ROW()-4,"0000"))</f>
        <v>0</v>
      </c>
      <c r="P356" s="15">
        <f>IF(B356="","",TEXT(B356,"yyyy-mm"))</f>
        <v>0</v>
      </c>
      <c r="Q356" s="25">
        <f>IF(B356="","",WEEKNUM(B356,2))</f>
        <v>0</v>
      </c>
      <c r="R356" s="26">
        <f>IF(B356="","",ROUND(IF(F356="",0,F356)+IF(G356="",0,G356),2))</f>
        <v>0</v>
      </c>
      <c r="S356" s="26">
        <f>IF(B356="","",IF(I356&lt;&gt;"Yes",0,ROUND(IF(F356="",0,F356)*IF(J356="Weekly",52/12,IF(J356="Fortnightly",26/12,IF(J356="Four weekly",13/12,IF(J356="Monthly",1,IF(J356="Quarterly",1/3,IF(J356="Twice a year",1/6,IF(J356="Yearly",1/12,0))))))),2)))</f>
        <v>0</v>
      </c>
      <c r="T356" s="38">
        <f>IF(B356="","",IF(I356="Yes","Yes","No"))</f>
        <v>0</v>
      </c>
      <c r="U356" s="25">
        <f>IF(B356="","",IF(L356="Yes","",IF(K356="","",TodayDate-K356)))</f>
        <v>0</v>
      </c>
      <c r="V356" s="39">
        <f>IF(B356="","",IF(L356="Yes","Paid",IF(K356="","Pending",IF(K356&lt;TodayDate,"Overdue",IF(K356&lt;=TodayDate+7,"Due soon","Pending")))))</f>
        <v>0</v>
      </c>
      <c r="W356" s="26">
        <f>IF(B356="","",IFERROR(INDEX(BudgetAmount,MATCH(C356,BudgetCategory,0))*1,0))</f>
        <v>0</v>
      </c>
      <c r="X356" s="25">
        <f>IF(B356="","",COUNTIFS($R$5:$R$604,"&gt;"&amp;R356)+COUNTIFS($R$5:R356,R356))</f>
        <v>0</v>
      </c>
      <c r="Y356" s="39">
        <f>IF(B356="","",IF(F356="","Add - no amount",IF(C356="","Add - no category, it will miss the P&amp;L",IF(V356="Overdue","Overdue - pay it",IF(V356="Due soon","Due - coming up",IF(IF(I356="Yes",J356="",FALSE),"Add - how often does it recur?",IF(L356="Yes","OK","Pending")))))))</f>
        <v>0</v>
      </c>
    </row>
    <row r="357" spans="1:25">
      <c r="A357" s="28">
        <f>IF(B357="","",ExpensePrefix&amp;TEXT(ROW()-4,"0000"))</f>
        <v>0</v>
      </c>
      <c r="P357" s="15">
        <f>IF(B357="","",TEXT(B357,"yyyy-mm"))</f>
        <v>0</v>
      </c>
      <c r="Q357" s="25">
        <f>IF(B357="","",WEEKNUM(B357,2))</f>
        <v>0</v>
      </c>
      <c r="R357" s="26">
        <f>IF(B357="","",ROUND(IF(F357="",0,F357)+IF(G357="",0,G357),2))</f>
        <v>0</v>
      </c>
      <c r="S357" s="26">
        <f>IF(B357="","",IF(I357&lt;&gt;"Yes",0,ROUND(IF(F357="",0,F357)*IF(J357="Weekly",52/12,IF(J357="Fortnightly",26/12,IF(J357="Four weekly",13/12,IF(J357="Monthly",1,IF(J357="Quarterly",1/3,IF(J357="Twice a year",1/6,IF(J357="Yearly",1/12,0))))))),2)))</f>
        <v>0</v>
      </c>
      <c r="T357" s="38">
        <f>IF(B357="","",IF(I357="Yes","Yes","No"))</f>
        <v>0</v>
      </c>
      <c r="U357" s="25">
        <f>IF(B357="","",IF(L357="Yes","",IF(K357="","",TodayDate-K357)))</f>
        <v>0</v>
      </c>
      <c r="V357" s="39">
        <f>IF(B357="","",IF(L357="Yes","Paid",IF(K357="","Pending",IF(K357&lt;TodayDate,"Overdue",IF(K357&lt;=TodayDate+7,"Due soon","Pending")))))</f>
        <v>0</v>
      </c>
      <c r="W357" s="26">
        <f>IF(B357="","",IFERROR(INDEX(BudgetAmount,MATCH(C357,BudgetCategory,0))*1,0))</f>
        <v>0</v>
      </c>
      <c r="X357" s="25">
        <f>IF(B357="","",COUNTIFS($R$5:$R$604,"&gt;"&amp;R357)+COUNTIFS($R$5:R357,R357))</f>
        <v>0</v>
      </c>
      <c r="Y357" s="39">
        <f>IF(B357="","",IF(F357="","Add - no amount",IF(C357="","Add - no category, it will miss the P&amp;L",IF(V357="Overdue","Overdue - pay it",IF(V357="Due soon","Due - coming up",IF(IF(I357="Yes",J357="",FALSE),"Add - how often does it recur?",IF(L357="Yes","OK","Pending")))))))</f>
        <v>0</v>
      </c>
    </row>
    <row r="358" spans="1:25">
      <c r="A358" s="28">
        <f>IF(B358="","",ExpensePrefix&amp;TEXT(ROW()-4,"0000"))</f>
        <v>0</v>
      </c>
      <c r="P358" s="15">
        <f>IF(B358="","",TEXT(B358,"yyyy-mm"))</f>
        <v>0</v>
      </c>
      <c r="Q358" s="25">
        <f>IF(B358="","",WEEKNUM(B358,2))</f>
        <v>0</v>
      </c>
      <c r="R358" s="26">
        <f>IF(B358="","",ROUND(IF(F358="",0,F358)+IF(G358="",0,G358),2))</f>
        <v>0</v>
      </c>
      <c r="S358" s="26">
        <f>IF(B358="","",IF(I358&lt;&gt;"Yes",0,ROUND(IF(F358="",0,F358)*IF(J358="Weekly",52/12,IF(J358="Fortnightly",26/12,IF(J358="Four weekly",13/12,IF(J358="Monthly",1,IF(J358="Quarterly",1/3,IF(J358="Twice a year",1/6,IF(J358="Yearly",1/12,0))))))),2)))</f>
        <v>0</v>
      </c>
      <c r="T358" s="38">
        <f>IF(B358="","",IF(I358="Yes","Yes","No"))</f>
        <v>0</v>
      </c>
      <c r="U358" s="25">
        <f>IF(B358="","",IF(L358="Yes","",IF(K358="","",TodayDate-K358)))</f>
        <v>0</v>
      </c>
      <c r="V358" s="39">
        <f>IF(B358="","",IF(L358="Yes","Paid",IF(K358="","Pending",IF(K358&lt;TodayDate,"Overdue",IF(K358&lt;=TodayDate+7,"Due soon","Pending")))))</f>
        <v>0</v>
      </c>
      <c r="W358" s="26">
        <f>IF(B358="","",IFERROR(INDEX(BudgetAmount,MATCH(C358,BudgetCategory,0))*1,0))</f>
        <v>0</v>
      </c>
      <c r="X358" s="25">
        <f>IF(B358="","",COUNTIFS($R$5:$R$604,"&gt;"&amp;R358)+COUNTIFS($R$5:R358,R358))</f>
        <v>0</v>
      </c>
      <c r="Y358" s="39">
        <f>IF(B358="","",IF(F358="","Add - no amount",IF(C358="","Add - no category, it will miss the P&amp;L",IF(V358="Overdue","Overdue - pay it",IF(V358="Due soon","Due - coming up",IF(IF(I358="Yes",J358="",FALSE),"Add - how often does it recur?",IF(L358="Yes","OK","Pending")))))))</f>
        <v>0</v>
      </c>
    </row>
    <row r="359" spans="1:25">
      <c r="A359" s="28">
        <f>IF(B359="","",ExpensePrefix&amp;TEXT(ROW()-4,"0000"))</f>
        <v>0</v>
      </c>
      <c r="P359" s="15">
        <f>IF(B359="","",TEXT(B359,"yyyy-mm"))</f>
        <v>0</v>
      </c>
      <c r="Q359" s="25">
        <f>IF(B359="","",WEEKNUM(B359,2))</f>
        <v>0</v>
      </c>
      <c r="R359" s="26">
        <f>IF(B359="","",ROUND(IF(F359="",0,F359)+IF(G359="",0,G359),2))</f>
        <v>0</v>
      </c>
      <c r="S359" s="26">
        <f>IF(B359="","",IF(I359&lt;&gt;"Yes",0,ROUND(IF(F359="",0,F359)*IF(J359="Weekly",52/12,IF(J359="Fortnightly",26/12,IF(J359="Four weekly",13/12,IF(J359="Monthly",1,IF(J359="Quarterly",1/3,IF(J359="Twice a year",1/6,IF(J359="Yearly",1/12,0))))))),2)))</f>
        <v>0</v>
      </c>
      <c r="T359" s="38">
        <f>IF(B359="","",IF(I359="Yes","Yes","No"))</f>
        <v>0</v>
      </c>
      <c r="U359" s="25">
        <f>IF(B359="","",IF(L359="Yes","",IF(K359="","",TodayDate-K359)))</f>
        <v>0</v>
      </c>
      <c r="V359" s="39">
        <f>IF(B359="","",IF(L359="Yes","Paid",IF(K359="","Pending",IF(K359&lt;TodayDate,"Overdue",IF(K359&lt;=TodayDate+7,"Due soon","Pending")))))</f>
        <v>0</v>
      </c>
      <c r="W359" s="26">
        <f>IF(B359="","",IFERROR(INDEX(BudgetAmount,MATCH(C359,BudgetCategory,0))*1,0))</f>
        <v>0</v>
      </c>
      <c r="X359" s="25">
        <f>IF(B359="","",COUNTIFS($R$5:$R$604,"&gt;"&amp;R359)+COUNTIFS($R$5:R359,R359))</f>
        <v>0</v>
      </c>
      <c r="Y359" s="39">
        <f>IF(B359="","",IF(F359="","Add - no amount",IF(C359="","Add - no category, it will miss the P&amp;L",IF(V359="Overdue","Overdue - pay it",IF(V359="Due soon","Due - coming up",IF(IF(I359="Yes",J359="",FALSE),"Add - how often does it recur?",IF(L359="Yes","OK","Pending")))))))</f>
        <v>0</v>
      </c>
    </row>
    <row r="360" spans="1:25">
      <c r="A360" s="28">
        <f>IF(B360="","",ExpensePrefix&amp;TEXT(ROW()-4,"0000"))</f>
        <v>0</v>
      </c>
      <c r="P360" s="15">
        <f>IF(B360="","",TEXT(B360,"yyyy-mm"))</f>
        <v>0</v>
      </c>
      <c r="Q360" s="25">
        <f>IF(B360="","",WEEKNUM(B360,2))</f>
        <v>0</v>
      </c>
      <c r="R360" s="26">
        <f>IF(B360="","",ROUND(IF(F360="",0,F360)+IF(G360="",0,G360),2))</f>
        <v>0</v>
      </c>
      <c r="S360" s="26">
        <f>IF(B360="","",IF(I360&lt;&gt;"Yes",0,ROUND(IF(F360="",0,F360)*IF(J360="Weekly",52/12,IF(J360="Fortnightly",26/12,IF(J360="Four weekly",13/12,IF(J360="Monthly",1,IF(J360="Quarterly",1/3,IF(J360="Twice a year",1/6,IF(J360="Yearly",1/12,0))))))),2)))</f>
        <v>0</v>
      </c>
      <c r="T360" s="38">
        <f>IF(B360="","",IF(I360="Yes","Yes","No"))</f>
        <v>0</v>
      </c>
      <c r="U360" s="25">
        <f>IF(B360="","",IF(L360="Yes","",IF(K360="","",TodayDate-K360)))</f>
        <v>0</v>
      </c>
      <c r="V360" s="39">
        <f>IF(B360="","",IF(L360="Yes","Paid",IF(K360="","Pending",IF(K360&lt;TodayDate,"Overdue",IF(K360&lt;=TodayDate+7,"Due soon","Pending")))))</f>
        <v>0</v>
      </c>
      <c r="W360" s="26">
        <f>IF(B360="","",IFERROR(INDEX(BudgetAmount,MATCH(C360,BudgetCategory,0))*1,0))</f>
        <v>0</v>
      </c>
      <c r="X360" s="25">
        <f>IF(B360="","",COUNTIFS($R$5:$R$604,"&gt;"&amp;R360)+COUNTIFS($R$5:R360,R360))</f>
        <v>0</v>
      </c>
      <c r="Y360" s="39">
        <f>IF(B360="","",IF(F360="","Add - no amount",IF(C360="","Add - no category, it will miss the P&amp;L",IF(V360="Overdue","Overdue - pay it",IF(V360="Due soon","Due - coming up",IF(IF(I360="Yes",J360="",FALSE),"Add - how often does it recur?",IF(L360="Yes","OK","Pending")))))))</f>
        <v>0</v>
      </c>
    </row>
    <row r="361" spans="1:25">
      <c r="A361" s="28">
        <f>IF(B361="","",ExpensePrefix&amp;TEXT(ROW()-4,"0000"))</f>
        <v>0</v>
      </c>
      <c r="P361" s="15">
        <f>IF(B361="","",TEXT(B361,"yyyy-mm"))</f>
        <v>0</v>
      </c>
      <c r="Q361" s="25">
        <f>IF(B361="","",WEEKNUM(B361,2))</f>
        <v>0</v>
      </c>
      <c r="R361" s="26">
        <f>IF(B361="","",ROUND(IF(F361="",0,F361)+IF(G361="",0,G361),2))</f>
        <v>0</v>
      </c>
      <c r="S361" s="26">
        <f>IF(B361="","",IF(I361&lt;&gt;"Yes",0,ROUND(IF(F361="",0,F361)*IF(J361="Weekly",52/12,IF(J361="Fortnightly",26/12,IF(J361="Four weekly",13/12,IF(J361="Monthly",1,IF(J361="Quarterly",1/3,IF(J361="Twice a year",1/6,IF(J361="Yearly",1/12,0))))))),2)))</f>
        <v>0</v>
      </c>
      <c r="T361" s="38">
        <f>IF(B361="","",IF(I361="Yes","Yes","No"))</f>
        <v>0</v>
      </c>
      <c r="U361" s="25">
        <f>IF(B361="","",IF(L361="Yes","",IF(K361="","",TodayDate-K361)))</f>
        <v>0</v>
      </c>
      <c r="V361" s="39">
        <f>IF(B361="","",IF(L361="Yes","Paid",IF(K361="","Pending",IF(K361&lt;TodayDate,"Overdue",IF(K361&lt;=TodayDate+7,"Due soon","Pending")))))</f>
        <v>0</v>
      </c>
      <c r="W361" s="26">
        <f>IF(B361="","",IFERROR(INDEX(BudgetAmount,MATCH(C361,BudgetCategory,0))*1,0))</f>
        <v>0</v>
      </c>
      <c r="X361" s="25">
        <f>IF(B361="","",COUNTIFS($R$5:$R$604,"&gt;"&amp;R361)+COUNTIFS($R$5:R361,R361))</f>
        <v>0</v>
      </c>
      <c r="Y361" s="39">
        <f>IF(B361="","",IF(F361="","Add - no amount",IF(C361="","Add - no category, it will miss the P&amp;L",IF(V361="Overdue","Overdue - pay it",IF(V361="Due soon","Due - coming up",IF(IF(I361="Yes",J361="",FALSE),"Add - how often does it recur?",IF(L361="Yes","OK","Pending")))))))</f>
        <v>0</v>
      </c>
    </row>
    <row r="362" spans="1:25">
      <c r="A362" s="28">
        <f>IF(B362="","",ExpensePrefix&amp;TEXT(ROW()-4,"0000"))</f>
        <v>0</v>
      </c>
      <c r="P362" s="15">
        <f>IF(B362="","",TEXT(B362,"yyyy-mm"))</f>
        <v>0</v>
      </c>
      <c r="Q362" s="25">
        <f>IF(B362="","",WEEKNUM(B362,2))</f>
        <v>0</v>
      </c>
      <c r="R362" s="26">
        <f>IF(B362="","",ROUND(IF(F362="",0,F362)+IF(G362="",0,G362),2))</f>
        <v>0</v>
      </c>
      <c r="S362" s="26">
        <f>IF(B362="","",IF(I362&lt;&gt;"Yes",0,ROUND(IF(F362="",0,F362)*IF(J362="Weekly",52/12,IF(J362="Fortnightly",26/12,IF(J362="Four weekly",13/12,IF(J362="Monthly",1,IF(J362="Quarterly",1/3,IF(J362="Twice a year",1/6,IF(J362="Yearly",1/12,0))))))),2)))</f>
        <v>0</v>
      </c>
      <c r="T362" s="38">
        <f>IF(B362="","",IF(I362="Yes","Yes","No"))</f>
        <v>0</v>
      </c>
      <c r="U362" s="25">
        <f>IF(B362="","",IF(L362="Yes","",IF(K362="","",TodayDate-K362)))</f>
        <v>0</v>
      </c>
      <c r="V362" s="39">
        <f>IF(B362="","",IF(L362="Yes","Paid",IF(K362="","Pending",IF(K362&lt;TodayDate,"Overdue",IF(K362&lt;=TodayDate+7,"Due soon","Pending")))))</f>
        <v>0</v>
      </c>
      <c r="W362" s="26">
        <f>IF(B362="","",IFERROR(INDEX(BudgetAmount,MATCH(C362,BudgetCategory,0))*1,0))</f>
        <v>0</v>
      </c>
      <c r="X362" s="25">
        <f>IF(B362="","",COUNTIFS($R$5:$R$604,"&gt;"&amp;R362)+COUNTIFS($R$5:R362,R362))</f>
        <v>0</v>
      </c>
      <c r="Y362" s="39">
        <f>IF(B362="","",IF(F362="","Add - no amount",IF(C362="","Add - no category, it will miss the P&amp;L",IF(V362="Overdue","Overdue - pay it",IF(V362="Due soon","Due - coming up",IF(IF(I362="Yes",J362="",FALSE),"Add - how often does it recur?",IF(L362="Yes","OK","Pending")))))))</f>
        <v>0</v>
      </c>
    </row>
    <row r="363" spans="1:25">
      <c r="A363" s="28">
        <f>IF(B363="","",ExpensePrefix&amp;TEXT(ROW()-4,"0000"))</f>
        <v>0</v>
      </c>
      <c r="P363" s="15">
        <f>IF(B363="","",TEXT(B363,"yyyy-mm"))</f>
        <v>0</v>
      </c>
      <c r="Q363" s="25">
        <f>IF(B363="","",WEEKNUM(B363,2))</f>
        <v>0</v>
      </c>
      <c r="R363" s="26">
        <f>IF(B363="","",ROUND(IF(F363="",0,F363)+IF(G363="",0,G363),2))</f>
        <v>0</v>
      </c>
      <c r="S363" s="26">
        <f>IF(B363="","",IF(I363&lt;&gt;"Yes",0,ROUND(IF(F363="",0,F363)*IF(J363="Weekly",52/12,IF(J363="Fortnightly",26/12,IF(J363="Four weekly",13/12,IF(J363="Monthly",1,IF(J363="Quarterly",1/3,IF(J363="Twice a year",1/6,IF(J363="Yearly",1/12,0))))))),2)))</f>
        <v>0</v>
      </c>
      <c r="T363" s="38">
        <f>IF(B363="","",IF(I363="Yes","Yes","No"))</f>
        <v>0</v>
      </c>
      <c r="U363" s="25">
        <f>IF(B363="","",IF(L363="Yes","",IF(K363="","",TodayDate-K363)))</f>
        <v>0</v>
      </c>
      <c r="V363" s="39">
        <f>IF(B363="","",IF(L363="Yes","Paid",IF(K363="","Pending",IF(K363&lt;TodayDate,"Overdue",IF(K363&lt;=TodayDate+7,"Due soon","Pending")))))</f>
        <v>0</v>
      </c>
      <c r="W363" s="26">
        <f>IF(B363="","",IFERROR(INDEX(BudgetAmount,MATCH(C363,BudgetCategory,0))*1,0))</f>
        <v>0</v>
      </c>
      <c r="X363" s="25">
        <f>IF(B363="","",COUNTIFS($R$5:$R$604,"&gt;"&amp;R363)+COUNTIFS($R$5:R363,R363))</f>
        <v>0</v>
      </c>
      <c r="Y363" s="39">
        <f>IF(B363="","",IF(F363="","Add - no amount",IF(C363="","Add - no category, it will miss the P&amp;L",IF(V363="Overdue","Overdue - pay it",IF(V363="Due soon","Due - coming up",IF(IF(I363="Yes",J363="",FALSE),"Add - how often does it recur?",IF(L363="Yes","OK","Pending")))))))</f>
        <v>0</v>
      </c>
    </row>
    <row r="364" spans="1:25">
      <c r="A364" s="28">
        <f>IF(B364="","",ExpensePrefix&amp;TEXT(ROW()-4,"0000"))</f>
        <v>0</v>
      </c>
      <c r="P364" s="15">
        <f>IF(B364="","",TEXT(B364,"yyyy-mm"))</f>
        <v>0</v>
      </c>
      <c r="Q364" s="25">
        <f>IF(B364="","",WEEKNUM(B364,2))</f>
        <v>0</v>
      </c>
      <c r="R364" s="26">
        <f>IF(B364="","",ROUND(IF(F364="",0,F364)+IF(G364="",0,G364),2))</f>
        <v>0</v>
      </c>
      <c r="S364" s="26">
        <f>IF(B364="","",IF(I364&lt;&gt;"Yes",0,ROUND(IF(F364="",0,F364)*IF(J364="Weekly",52/12,IF(J364="Fortnightly",26/12,IF(J364="Four weekly",13/12,IF(J364="Monthly",1,IF(J364="Quarterly",1/3,IF(J364="Twice a year",1/6,IF(J364="Yearly",1/12,0))))))),2)))</f>
        <v>0</v>
      </c>
      <c r="T364" s="38">
        <f>IF(B364="","",IF(I364="Yes","Yes","No"))</f>
        <v>0</v>
      </c>
      <c r="U364" s="25">
        <f>IF(B364="","",IF(L364="Yes","",IF(K364="","",TodayDate-K364)))</f>
        <v>0</v>
      </c>
      <c r="V364" s="39">
        <f>IF(B364="","",IF(L364="Yes","Paid",IF(K364="","Pending",IF(K364&lt;TodayDate,"Overdue",IF(K364&lt;=TodayDate+7,"Due soon","Pending")))))</f>
        <v>0</v>
      </c>
      <c r="W364" s="26">
        <f>IF(B364="","",IFERROR(INDEX(BudgetAmount,MATCH(C364,BudgetCategory,0))*1,0))</f>
        <v>0</v>
      </c>
      <c r="X364" s="25">
        <f>IF(B364="","",COUNTIFS($R$5:$R$604,"&gt;"&amp;R364)+COUNTIFS($R$5:R364,R364))</f>
        <v>0</v>
      </c>
      <c r="Y364" s="39">
        <f>IF(B364="","",IF(F364="","Add - no amount",IF(C364="","Add - no category, it will miss the P&amp;L",IF(V364="Overdue","Overdue - pay it",IF(V364="Due soon","Due - coming up",IF(IF(I364="Yes",J364="",FALSE),"Add - how often does it recur?",IF(L364="Yes","OK","Pending")))))))</f>
        <v>0</v>
      </c>
    </row>
    <row r="365" spans="1:25">
      <c r="A365" s="28">
        <f>IF(B365="","",ExpensePrefix&amp;TEXT(ROW()-4,"0000"))</f>
        <v>0</v>
      </c>
      <c r="P365" s="15">
        <f>IF(B365="","",TEXT(B365,"yyyy-mm"))</f>
        <v>0</v>
      </c>
      <c r="Q365" s="25">
        <f>IF(B365="","",WEEKNUM(B365,2))</f>
        <v>0</v>
      </c>
      <c r="R365" s="26">
        <f>IF(B365="","",ROUND(IF(F365="",0,F365)+IF(G365="",0,G365),2))</f>
        <v>0</v>
      </c>
      <c r="S365" s="26">
        <f>IF(B365="","",IF(I365&lt;&gt;"Yes",0,ROUND(IF(F365="",0,F365)*IF(J365="Weekly",52/12,IF(J365="Fortnightly",26/12,IF(J365="Four weekly",13/12,IF(J365="Monthly",1,IF(J365="Quarterly",1/3,IF(J365="Twice a year",1/6,IF(J365="Yearly",1/12,0))))))),2)))</f>
        <v>0</v>
      </c>
      <c r="T365" s="38">
        <f>IF(B365="","",IF(I365="Yes","Yes","No"))</f>
        <v>0</v>
      </c>
      <c r="U365" s="25">
        <f>IF(B365="","",IF(L365="Yes","",IF(K365="","",TodayDate-K365)))</f>
        <v>0</v>
      </c>
      <c r="V365" s="39">
        <f>IF(B365="","",IF(L365="Yes","Paid",IF(K365="","Pending",IF(K365&lt;TodayDate,"Overdue",IF(K365&lt;=TodayDate+7,"Due soon","Pending")))))</f>
        <v>0</v>
      </c>
      <c r="W365" s="26">
        <f>IF(B365="","",IFERROR(INDEX(BudgetAmount,MATCH(C365,BudgetCategory,0))*1,0))</f>
        <v>0</v>
      </c>
      <c r="X365" s="25">
        <f>IF(B365="","",COUNTIFS($R$5:$R$604,"&gt;"&amp;R365)+COUNTIFS($R$5:R365,R365))</f>
        <v>0</v>
      </c>
      <c r="Y365" s="39">
        <f>IF(B365="","",IF(F365="","Add - no amount",IF(C365="","Add - no category, it will miss the P&amp;L",IF(V365="Overdue","Overdue - pay it",IF(V365="Due soon","Due - coming up",IF(IF(I365="Yes",J365="",FALSE),"Add - how often does it recur?",IF(L365="Yes","OK","Pending")))))))</f>
        <v>0</v>
      </c>
    </row>
    <row r="366" spans="1:25">
      <c r="A366" s="28">
        <f>IF(B366="","",ExpensePrefix&amp;TEXT(ROW()-4,"0000"))</f>
        <v>0</v>
      </c>
      <c r="P366" s="15">
        <f>IF(B366="","",TEXT(B366,"yyyy-mm"))</f>
        <v>0</v>
      </c>
      <c r="Q366" s="25">
        <f>IF(B366="","",WEEKNUM(B366,2))</f>
        <v>0</v>
      </c>
      <c r="R366" s="26">
        <f>IF(B366="","",ROUND(IF(F366="",0,F366)+IF(G366="",0,G366),2))</f>
        <v>0</v>
      </c>
      <c r="S366" s="26">
        <f>IF(B366="","",IF(I366&lt;&gt;"Yes",0,ROUND(IF(F366="",0,F366)*IF(J366="Weekly",52/12,IF(J366="Fortnightly",26/12,IF(J366="Four weekly",13/12,IF(J366="Monthly",1,IF(J366="Quarterly",1/3,IF(J366="Twice a year",1/6,IF(J366="Yearly",1/12,0))))))),2)))</f>
        <v>0</v>
      </c>
      <c r="T366" s="38">
        <f>IF(B366="","",IF(I366="Yes","Yes","No"))</f>
        <v>0</v>
      </c>
      <c r="U366" s="25">
        <f>IF(B366="","",IF(L366="Yes","",IF(K366="","",TodayDate-K366)))</f>
        <v>0</v>
      </c>
      <c r="V366" s="39">
        <f>IF(B366="","",IF(L366="Yes","Paid",IF(K366="","Pending",IF(K366&lt;TodayDate,"Overdue",IF(K366&lt;=TodayDate+7,"Due soon","Pending")))))</f>
        <v>0</v>
      </c>
      <c r="W366" s="26">
        <f>IF(B366="","",IFERROR(INDEX(BudgetAmount,MATCH(C366,BudgetCategory,0))*1,0))</f>
        <v>0</v>
      </c>
      <c r="X366" s="25">
        <f>IF(B366="","",COUNTIFS($R$5:$R$604,"&gt;"&amp;R366)+COUNTIFS($R$5:R366,R366))</f>
        <v>0</v>
      </c>
      <c r="Y366" s="39">
        <f>IF(B366="","",IF(F366="","Add - no amount",IF(C366="","Add - no category, it will miss the P&amp;L",IF(V366="Overdue","Overdue - pay it",IF(V366="Due soon","Due - coming up",IF(IF(I366="Yes",J366="",FALSE),"Add - how often does it recur?",IF(L366="Yes","OK","Pending")))))))</f>
        <v>0</v>
      </c>
    </row>
    <row r="367" spans="1:25">
      <c r="A367" s="28">
        <f>IF(B367="","",ExpensePrefix&amp;TEXT(ROW()-4,"0000"))</f>
        <v>0</v>
      </c>
      <c r="P367" s="15">
        <f>IF(B367="","",TEXT(B367,"yyyy-mm"))</f>
        <v>0</v>
      </c>
      <c r="Q367" s="25">
        <f>IF(B367="","",WEEKNUM(B367,2))</f>
        <v>0</v>
      </c>
      <c r="R367" s="26">
        <f>IF(B367="","",ROUND(IF(F367="",0,F367)+IF(G367="",0,G367),2))</f>
        <v>0</v>
      </c>
      <c r="S367" s="26">
        <f>IF(B367="","",IF(I367&lt;&gt;"Yes",0,ROUND(IF(F367="",0,F367)*IF(J367="Weekly",52/12,IF(J367="Fortnightly",26/12,IF(J367="Four weekly",13/12,IF(J367="Monthly",1,IF(J367="Quarterly",1/3,IF(J367="Twice a year",1/6,IF(J367="Yearly",1/12,0))))))),2)))</f>
        <v>0</v>
      </c>
      <c r="T367" s="38">
        <f>IF(B367="","",IF(I367="Yes","Yes","No"))</f>
        <v>0</v>
      </c>
      <c r="U367" s="25">
        <f>IF(B367="","",IF(L367="Yes","",IF(K367="","",TodayDate-K367)))</f>
        <v>0</v>
      </c>
      <c r="V367" s="39">
        <f>IF(B367="","",IF(L367="Yes","Paid",IF(K367="","Pending",IF(K367&lt;TodayDate,"Overdue",IF(K367&lt;=TodayDate+7,"Due soon","Pending")))))</f>
        <v>0</v>
      </c>
      <c r="W367" s="26">
        <f>IF(B367="","",IFERROR(INDEX(BudgetAmount,MATCH(C367,BudgetCategory,0))*1,0))</f>
        <v>0</v>
      </c>
      <c r="X367" s="25">
        <f>IF(B367="","",COUNTIFS($R$5:$R$604,"&gt;"&amp;R367)+COUNTIFS($R$5:R367,R367))</f>
        <v>0</v>
      </c>
      <c r="Y367" s="39">
        <f>IF(B367="","",IF(F367="","Add - no amount",IF(C367="","Add - no category, it will miss the P&amp;L",IF(V367="Overdue","Overdue - pay it",IF(V367="Due soon","Due - coming up",IF(IF(I367="Yes",J367="",FALSE),"Add - how often does it recur?",IF(L367="Yes","OK","Pending")))))))</f>
        <v>0</v>
      </c>
    </row>
    <row r="368" spans="1:25">
      <c r="A368" s="28">
        <f>IF(B368="","",ExpensePrefix&amp;TEXT(ROW()-4,"0000"))</f>
        <v>0</v>
      </c>
      <c r="P368" s="15">
        <f>IF(B368="","",TEXT(B368,"yyyy-mm"))</f>
        <v>0</v>
      </c>
      <c r="Q368" s="25">
        <f>IF(B368="","",WEEKNUM(B368,2))</f>
        <v>0</v>
      </c>
      <c r="R368" s="26">
        <f>IF(B368="","",ROUND(IF(F368="",0,F368)+IF(G368="",0,G368),2))</f>
        <v>0</v>
      </c>
      <c r="S368" s="26">
        <f>IF(B368="","",IF(I368&lt;&gt;"Yes",0,ROUND(IF(F368="",0,F368)*IF(J368="Weekly",52/12,IF(J368="Fortnightly",26/12,IF(J368="Four weekly",13/12,IF(J368="Monthly",1,IF(J368="Quarterly",1/3,IF(J368="Twice a year",1/6,IF(J368="Yearly",1/12,0))))))),2)))</f>
        <v>0</v>
      </c>
      <c r="T368" s="38">
        <f>IF(B368="","",IF(I368="Yes","Yes","No"))</f>
        <v>0</v>
      </c>
      <c r="U368" s="25">
        <f>IF(B368="","",IF(L368="Yes","",IF(K368="","",TodayDate-K368)))</f>
        <v>0</v>
      </c>
      <c r="V368" s="39">
        <f>IF(B368="","",IF(L368="Yes","Paid",IF(K368="","Pending",IF(K368&lt;TodayDate,"Overdue",IF(K368&lt;=TodayDate+7,"Due soon","Pending")))))</f>
        <v>0</v>
      </c>
      <c r="W368" s="26">
        <f>IF(B368="","",IFERROR(INDEX(BudgetAmount,MATCH(C368,BudgetCategory,0))*1,0))</f>
        <v>0</v>
      </c>
      <c r="X368" s="25">
        <f>IF(B368="","",COUNTIFS($R$5:$R$604,"&gt;"&amp;R368)+COUNTIFS($R$5:R368,R368))</f>
        <v>0</v>
      </c>
      <c r="Y368" s="39">
        <f>IF(B368="","",IF(F368="","Add - no amount",IF(C368="","Add - no category, it will miss the P&amp;L",IF(V368="Overdue","Overdue - pay it",IF(V368="Due soon","Due - coming up",IF(IF(I368="Yes",J368="",FALSE),"Add - how often does it recur?",IF(L368="Yes","OK","Pending")))))))</f>
        <v>0</v>
      </c>
    </row>
    <row r="369" spans="1:25">
      <c r="A369" s="28">
        <f>IF(B369="","",ExpensePrefix&amp;TEXT(ROW()-4,"0000"))</f>
        <v>0</v>
      </c>
      <c r="P369" s="15">
        <f>IF(B369="","",TEXT(B369,"yyyy-mm"))</f>
        <v>0</v>
      </c>
      <c r="Q369" s="25">
        <f>IF(B369="","",WEEKNUM(B369,2))</f>
        <v>0</v>
      </c>
      <c r="R369" s="26">
        <f>IF(B369="","",ROUND(IF(F369="",0,F369)+IF(G369="",0,G369),2))</f>
        <v>0</v>
      </c>
      <c r="S369" s="26">
        <f>IF(B369="","",IF(I369&lt;&gt;"Yes",0,ROUND(IF(F369="",0,F369)*IF(J369="Weekly",52/12,IF(J369="Fortnightly",26/12,IF(J369="Four weekly",13/12,IF(J369="Monthly",1,IF(J369="Quarterly",1/3,IF(J369="Twice a year",1/6,IF(J369="Yearly",1/12,0))))))),2)))</f>
        <v>0</v>
      </c>
      <c r="T369" s="38">
        <f>IF(B369="","",IF(I369="Yes","Yes","No"))</f>
        <v>0</v>
      </c>
      <c r="U369" s="25">
        <f>IF(B369="","",IF(L369="Yes","",IF(K369="","",TodayDate-K369)))</f>
        <v>0</v>
      </c>
      <c r="V369" s="39">
        <f>IF(B369="","",IF(L369="Yes","Paid",IF(K369="","Pending",IF(K369&lt;TodayDate,"Overdue",IF(K369&lt;=TodayDate+7,"Due soon","Pending")))))</f>
        <v>0</v>
      </c>
      <c r="W369" s="26">
        <f>IF(B369="","",IFERROR(INDEX(BudgetAmount,MATCH(C369,BudgetCategory,0))*1,0))</f>
        <v>0</v>
      </c>
      <c r="X369" s="25">
        <f>IF(B369="","",COUNTIFS($R$5:$R$604,"&gt;"&amp;R369)+COUNTIFS($R$5:R369,R369))</f>
        <v>0</v>
      </c>
      <c r="Y369" s="39">
        <f>IF(B369="","",IF(F369="","Add - no amount",IF(C369="","Add - no category, it will miss the P&amp;L",IF(V369="Overdue","Overdue - pay it",IF(V369="Due soon","Due - coming up",IF(IF(I369="Yes",J369="",FALSE),"Add - how often does it recur?",IF(L369="Yes","OK","Pending")))))))</f>
        <v>0</v>
      </c>
    </row>
    <row r="370" spans="1:25">
      <c r="A370" s="28">
        <f>IF(B370="","",ExpensePrefix&amp;TEXT(ROW()-4,"0000"))</f>
        <v>0</v>
      </c>
      <c r="P370" s="15">
        <f>IF(B370="","",TEXT(B370,"yyyy-mm"))</f>
        <v>0</v>
      </c>
      <c r="Q370" s="25">
        <f>IF(B370="","",WEEKNUM(B370,2))</f>
        <v>0</v>
      </c>
      <c r="R370" s="26">
        <f>IF(B370="","",ROUND(IF(F370="",0,F370)+IF(G370="",0,G370),2))</f>
        <v>0</v>
      </c>
      <c r="S370" s="26">
        <f>IF(B370="","",IF(I370&lt;&gt;"Yes",0,ROUND(IF(F370="",0,F370)*IF(J370="Weekly",52/12,IF(J370="Fortnightly",26/12,IF(J370="Four weekly",13/12,IF(J370="Monthly",1,IF(J370="Quarterly",1/3,IF(J370="Twice a year",1/6,IF(J370="Yearly",1/12,0))))))),2)))</f>
        <v>0</v>
      </c>
      <c r="T370" s="38">
        <f>IF(B370="","",IF(I370="Yes","Yes","No"))</f>
        <v>0</v>
      </c>
      <c r="U370" s="25">
        <f>IF(B370="","",IF(L370="Yes","",IF(K370="","",TodayDate-K370)))</f>
        <v>0</v>
      </c>
      <c r="V370" s="39">
        <f>IF(B370="","",IF(L370="Yes","Paid",IF(K370="","Pending",IF(K370&lt;TodayDate,"Overdue",IF(K370&lt;=TodayDate+7,"Due soon","Pending")))))</f>
        <v>0</v>
      </c>
      <c r="W370" s="26">
        <f>IF(B370="","",IFERROR(INDEX(BudgetAmount,MATCH(C370,BudgetCategory,0))*1,0))</f>
        <v>0</v>
      </c>
      <c r="X370" s="25">
        <f>IF(B370="","",COUNTIFS($R$5:$R$604,"&gt;"&amp;R370)+COUNTIFS($R$5:R370,R370))</f>
        <v>0</v>
      </c>
      <c r="Y370" s="39">
        <f>IF(B370="","",IF(F370="","Add - no amount",IF(C370="","Add - no category, it will miss the P&amp;L",IF(V370="Overdue","Overdue - pay it",IF(V370="Due soon","Due - coming up",IF(IF(I370="Yes",J370="",FALSE),"Add - how often does it recur?",IF(L370="Yes","OK","Pending")))))))</f>
        <v>0</v>
      </c>
    </row>
    <row r="371" spans="1:25">
      <c r="A371" s="28">
        <f>IF(B371="","",ExpensePrefix&amp;TEXT(ROW()-4,"0000"))</f>
        <v>0</v>
      </c>
      <c r="P371" s="15">
        <f>IF(B371="","",TEXT(B371,"yyyy-mm"))</f>
        <v>0</v>
      </c>
      <c r="Q371" s="25">
        <f>IF(B371="","",WEEKNUM(B371,2))</f>
        <v>0</v>
      </c>
      <c r="R371" s="26">
        <f>IF(B371="","",ROUND(IF(F371="",0,F371)+IF(G371="",0,G371),2))</f>
        <v>0</v>
      </c>
      <c r="S371" s="26">
        <f>IF(B371="","",IF(I371&lt;&gt;"Yes",0,ROUND(IF(F371="",0,F371)*IF(J371="Weekly",52/12,IF(J371="Fortnightly",26/12,IF(J371="Four weekly",13/12,IF(J371="Monthly",1,IF(J371="Quarterly",1/3,IF(J371="Twice a year",1/6,IF(J371="Yearly",1/12,0))))))),2)))</f>
        <v>0</v>
      </c>
      <c r="T371" s="38">
        <f>IF(B371="","",IF(I371="Yes","Yes","No"))</f>
        <v>0</v>
      </c>
      <c r="U371" s="25">
        <f>IF(B371="","",IF(L371="Yes","",IF(K371="","",TodayDate-K371)))</f>
        <v>0</v>
      </c>
      <c r="V371" s="39">
        <f>IF(B371="","",IF(L371="Yes","Paid",IF(K371="","Pending",IF(K371&lt;TodayDate,"Overdue",IF(K371&lt;=TodayDate+7,"Due soon","Pending")))))</f>
        <v>0</v>
      </c>
      <c r="W371" s="26">
        <f>IF(B371="","",IFERROR(INDEX(BudgetAmount,MATCH(C371,BudgetCategory,0))*1,0))</f>
        <v>0</v>
      </c>
      <c r="X371" s="25">
        <f>IF(B371="","",COUNTIFS($R$5:$R$604,"&gt;"&amp;R371)+COUNTIFS($R$5:R371,R371))</f>
        <v>0</v>
      </c>
      <c r="Y371" s="39">
        <f>IF(B371="","",IF(F371="","Add - no amount",IF(C371="","Add - no category, it will miss the P&amp;L",IF(V371="Overdue","Overdue - pay it",IF(V371="Due soon","Due - coming up",IF(IF(I371="Yes",J371="",FALSE),"Add - how often does it recur?",IF(L371="Yes","OK","Pending")))))))</f>
        <v>0</v>
      </c>
    </row>
    <row r="372" spans="1:25">
      <c r="A372" s="28">
        <f>IF(B372="","",ExpensePrefix&amp;TEXT(ROW()-4,"0000"))</f>
        <v>0</v>
      </c>
      <c r="P372" s="15">
        <f>IF(B372="","",TEXT(B372,"yyyy-mm"))</f>
        <v>0</v>
      </c>
      <c r="Q372" s="25">
        <f>IF(B372="","",WEEKNUM(B372,2))</f>
        <v>0</v>
      </c>
      <c r="R372" s="26">
        <f>IF(B372="","",ROUND(IF(F372="",0,F372)+IF(G372="",0,G372),2))</f>
        <v>0</v>
      </c>
      <c r="S372" s="26">
        <f>IF(B372="","",IF(I372&lt;&gt;"Yes",0,ROUND(IF(F372="",0,F372)*IF(J372="Weekly",52/12,IF(J372="Fortnightly",26/12,IF(J372="Four weekly",13/12,IF(J372="Monthly",1,IF(J372="Quarterly",1/3,IF(J372="Twice a year",1/6,IF(J372="Yearly",1/12,0))))))),2)))</f>
        <v>0</v>
      </c>
      <c r="T372" s="38">
        <f>IF(B372="","",IF(I372="Yes","Yes","No"))</f>
        <v>0</v>
      </c>
      <c r="U372" s="25">
        <f>IF(B372="","",IF(L372="Yes","",IF(K372="","",TodayDate-K372)))</f>
        <v>0</v>
      </c>
      <c r="V372" s="39">
        <f>IF(B372="","",IF(L372="Yes","Paid",IF(K372="","Pending",IF(K372&lt;TodayDate,"Overdue",IF(K372&lt;=TodayDate+7,"Due soon","Pending")))))</f>
        <v>0</v>
      </c>
      <c r="W372" s="26">
        <f>IF(B372="","",IFERROR(INDEX(BudgetAmount,MATCH(C372,BudgetCategory,0))*1,0))</f>
        <v>0</v>
      </c>
      <c r="X372" s="25">
        <f>IF(B372="","",COUNTIFS($R$5:$R$604,"&gt;"&amp;R372)+COUNTIFS($R$5:R372,R372))</f>
        <v>0</v>
      </c>
      <c r="Y372" s="39">
        <f>IF(B372="","",IF(F372="","Add - no amount",IF(C372="","Add - no category, it will miss the P&amp;L",IF(V372="Overdue","Overdue - pay it",IF(V372="Due soon","Due - coming up",IF(IF(I372="Yes",J372="",FALSE),"Add - how often does it recur?",IF(L372="Yes","OK","Pending")))))))</f>
        <v>0</v>
      </c>
    </row>
    <row r="373" spans="1:25">
      <c r="A373" s="28">
        <f>IF(B373="","",ExpensePrefix&amp;TEXT(ROW()-4,"0000"))</f>
        <v>0</v>
      </c>
      <c r="P373" s="15">
        <f>IF(B373="","",TEXT(B373,"yyyy-mm"))</f>
        <v>0</v>
      </c>
      <c r="Q373" s="25">
        <f>IF(B373="","",WEEKNUM(B373,2))</f>
        <v>0</v>
      </c>
      <c r="R373" s="26">
        <f>IF(B373="","",ROUND(IF(F373="",0,F373)+IF(G373="",0,G373),2))</f>
        <v>0</v>
      </c>
      <c r="S373" s="26">
        <f>IF(B373="","",IF(I373&lt;&gt;"Yes",0,ROUND(IF(F373="",0,F373)*IF(J373="Weekly",52/12,IF(J373="Fortnightly",26/12,IF(J373="Four weekly",13/12,IF(J373="Monthly",1,IF(J373="Quarterly",1/3,IF(J373="Twice a year",1/6,IF(J373="Yearly",1/12,0))))))),2)))</f>
        <v>0</v>
      </c>
      <c r="T373" s="38">
        <f>IF(B373="","",IF(I373="Yes","Yes","No"))</f>
        <v>0</v>
      </c>
      <c r="U373" s="25">
        <f>IF(B373="","",IF(L373="Yes","",IF(K373="","",TodayDate-K373)))</f>
        <v>0</v>
      </c>
      <c r="V373" s="39">
        <f>IF(B373="","",IF(L373="Yes","Paid",IF(K373="","Pending",IF(K373&lt;TodayDate,"Overdue",IF(K373&lt;=TodayDate+7,"Due soon","Pending")))))</f>
        <v>0</v>
      </c>
      <c r="W373" s="26">
        <f>IF(B373="","",IFERROR(INDEX(BudgetAmount,MATCH(C373,BudgetCategory,0))*1,0))</f>
        <v>0</v>
      </c>
      <c r="X373" s="25">
        <f>IF(B373="","",COUNTIFS($R$5:$R$604,"&gt;"&amp;R373)+COUNTIFS($R$5:R373,R373))</f>
        <v>0</v>
      </c>
      <c r="Y373" s="39">
        <f>IF(B373="","",IF(F373="","Add - no amount",IF(C373="","Add - no category, it will miss the P&amp;L",IF(V373="Overdue","Overdue - pay it",IF(V373="Due soon","Due - coming up",IF(IF(I373="Yes",J373="",FALSE),"Add - how often does it recur?",IF(L373="Yes","OK","Pending")))))))</f>
        <v>0</v>
      </c>
    </row>
    <row r="374" spans="1:25">
      <c r="A374" s="28">
        <f>IF(B374="","",ExpensePrefix&amp;TEXT(ROW()-4,"0000"))</f>
        <v>0</v>
      </c>
      <c r="P374" s="15">
        <f>IF(B374="","",TEXT(B374,"yyyy-mm"))</f>
        <v>0</v>
      </c>
      <c r="Q374" s="25">
        <f>IF(B374="","",WEEKNUM(B374,2))</f>
        <v>0</v>
      </c>
      <c r="R374" s="26">
        <f>IF(B374="","",ROUND(IF(F374="",0,F374)+IF(G374="",0,G374),2))</f>
        <v>0</v>
      </c>
      <c r="S374" s="26">
        <f>IF(B374="","",IF(I374&lt;&gt;"Yes",0,ROUND(IF(F374="",0,F374)*IF(J374="Weekly",52/12,IF(J374="Fortnightly",26/12,IF(J374="Four weekly",13/12,IF(J374="Monthly",1,IF(J374="Quarterly",1/3,IF(J374="Twice a year",1/6,IF(J374="Yearly",1/12,0))))))),2)))</f>
        <v>0</v>
      </c>
      <c r="T374" s="38">
        <f>IF(B374="","",IF(I374="Yes","Yes","No"))</f>
        <v>0</v>
      </c>
      <c r="U374" s="25">
        <f>IF(B374="","",IF(L374="Yes","",IF(K374="","",TodayDate-K374)))</f>
        <v>0</v>
      </c>
      <c r="V374" s="39">
        <f>IF(B374="","",IF(L374="Yes","Paid",IF(K374="","Pending",IF(K374&lt;TodayDate,"Overdue",IF(K374&lt;=TodayDate+7,"Due soon","Pending")))))</f>
        <v>0</v>
      </c>
      <c r="W374" s="26">
        <f>IF(B374="","",IFERROR(INDEX(BudgetAmount,MATCH(C374,BudgetCategory,0))*1,0))</f>
        <v>0</v>
      </c>
      <c r="X374" s="25">
        <f>IF(B374="","",COUNTIFS($R$5:$R$604,"&gt;"&amp;R374)+COUNTIFS($R$5:R374,R374))</f>
        <v>0</v>
      </c>
      <c r="Y374" s="39">
        <f>IF(B374="","",IF(F374="","Add - no amount",IF(C374="","Add - no category, it will miss the P&amp;L",IF(V374="Overdue","Overdue - pay it",IF(V374="Due soon","Due - coming up",IF(IF(I374="Yes",J374="",FALSE),"Add - how often does it recur?",IF(L374="Yes","OK","Pending")))))))</f>
        <v>0</v>
      </c>
    </row>
    <row r="375" spans="1:25">
      <c r="A375" s="28">
        <f>IF(B375="","",ExpensePrefix&amp;TEXT(ROW()-4,"0000"))</f>
        <v>0</v>
      </c>
      <c r="P375" s="15">
        <f>IF(B375="","",TEXT(B375,"yyyy-mm"))</f>
        <v>0</v>
      </c>
      <c r="Q375" s="25">
        <f>IF(B375="","",WEEKNUM(B375,2))</f>
        <v>0</v>
      </c>
      <c r="R375" s="26">
        <f>IF(B375="","",ROUND(IF(F375="",0,F375)+IF(G375="",0,G375),2))</f>
        <v>0</v>
      </c>
      <c r="S375" s="26">
        <f>IF(B375="","",IF(I375&lt;&gt;"Yes",0,ROUND(IF(F375="",0,F375)*IF(J375="Weekly",52/12,IF(J375="Fortnightly",26/12,IF(J375="Four weekly",13/12,IF(J375="Monthly",1,IF(J375="Quarterly",1/3,IF(J375="Twice a year",1/6,IF(J375="Yearly",1/12,0))))))),2)))</f>
        <v>0</v>
      </c>
      <c r="T375" s="38">
        <f>IF(B375="","",IF(I375="Yes","Yes","No"))</f>
        <v>0</v>
      </c>
      <c r="U375" s="25">
        <f>IF(B375="","",IF(L375="Yes","",IF(K375="","",TodayDate-K375)))</f>
        <v>0</v>
      </c>
      <c r="V375" s="39">
        <f>IF(B375="","",IF(L375="Yes","Paid",IF(K375="","Pending",IF(K375&lt;TodayDate,"Overdue",IF(K375&lt;=TodayDate+7,"Due soon","Pending")))))</f>
        <v>0</v>
      </c>
      <c r="W375" s="26">
        <f>IF(B375="","",IFERROR(INDEX(BudgetAmount,MATCH(C375,BudgetCategory,0))*1,0))</f>
        <v>0</v>
      </c>
      <c r="X375" s="25">
        <f>IF(B375="","",COUNTIFS($R$5:$R$604,"&gt;"&amp;R375)+COUNTIFS($R$5:R375,R375))</f>
        <v>0</v>
      </c>
      <c r="Y375" s="39">
        <f>IF(B375="","",IF(F375="","Add - no amount",IF(C375="","Add - no category, it will miss the P&amp;L",IF(V375="Overdue","Overdue - pay it",IF(V375="Due soon","Due - coming up",IF(IF(I375="Yes",J375="",FALSE),"Add - how often does it recur?",IF(L375="Yes","OK","Pending")))))))</f>
        <v>0</v>
      </c>
    </row>
    <row r="376" spans="1:25">
      <c r="A376" s="28">
        <f>IF(B376="","",ExpensePrefix&amp;TEXT(ROW()-4,"0000"))</f>
        <v>0</v>
      </c>
      <c r="P376" s="15">
        <f>IF(B376="","",TEXT(B376,"yyyy-mm"))</f>
        <v>0</v>
      </c>
      <c r="Q376" s="25">
        <f>IF(B376="","",WEEKNUM(B376,2))</f>
        <v>0</v>
      </c>
      <c r="R376" s="26">
        <f>IF(B376="","",ROUND(IF(F376="",0,F376)+IF(G376="",0,G376),2))</f>
        <v>0</v>
      </c>
      <c r="S376" s="26">
        <f>IF(B376="","",IF(I376&lt;&gt;"Yes",0,ROUND(IF(F376="",0,F376)*IF(J376="Weekly",52/12,IF(J376="Fortnightly",26/12,IF(J376="Four weekly",13/12,IF(J376="Monthly",1,IF(J376="Quarterly",1/3,IF(J376="Twice a year",1/6,IF(J376="Yearly",1/12,0))))))),2)))</f>
        <v>0</v>
      </c>
      <c r="T376" s="38">
        <f>IF(B376="","",IF(I376="Yes","Yes","No"))</f>
        <v>0</v>
      </c>
      <c r="U376" s="25">
        <f>IF(B376="","",IF(L376="Yes","",IF(K376="","",TodayDate-K376)))</f>
        <v>0</v>
      </c>
      <c r="V376" s="39">
        <f>IF(B376="","",IF(L376="Yes","Paid",IF(K376="","Pending",IF(K376&lt;TodayDate,"Overdue",IF(K376&lt;=TodayDate+7,"Due soon","Pending")))))</f>
        <v>0</v>
      </c>
      <c r="W376" s="26">
        <f>IF(B376="","",IFERROR(INDEX(BudgetAmount,MATCH(C376,BudgetCategory,0))*1,0))</f>
        <v>0</v>
      </c>
      <c r="X376" s="25">
        <f>IF(B376="","",COUNTIFS($R$5:$R$604,"&gt;"&amp;R376)+COUNTIFS($R$5:R376,R376))</f>
        <v>0</v>
      </c>
      <c r="Y376" s="39">
        <f>IF(B376="","",IF(F376="","Add - no amount",IF(C376="","Add - no category, it will miss the P&amp;L",IF(V376="Overdue","Overdue - pay it",IF(V376="Due soon","Due - coming up",IF(IF(I376="Yes",J376="",FALSE),"Add - how often does it recur?",IF(L376="Yes","OK","Pending")))))))</f>
        <v>0</v>
      </c>
    </row>
    <row r="377" spans="1:25">
      <c r="A377" s="28">
        <f>IF(B377="","",ExpensePrefix&amp;TEXT(ROW()-4,"0000"))</f>
        <v>0</v>
      </c>
      <c r="P377" s="15">
        <f>IF(B377="","",TEXT(B377,"yyyy-mm"))</f>
        <v>0</v>
      </c>
      <c r="Q377" s="25">
        <f>IF(B377="","",WEEKNUM(B377,2))</f>
        <v>0</v>
      </c>
      <c r="R377" s="26">
        <f>IF(B377="","",ROUND(IF(F377="",0,F377)+IF(G377="",0,G377),2))</f>
        <v>0</v>
      </c>
      <c r="S377" s="26">
        <f>IF(B377="","",IF(I377&lt;&gt;"Yes",0,ROUND(IF(F377="",0,F377)*IF(J377="Weekly",52/12,IF(J377="Fortnightly",26/12,IF(J377="Four weekly",13/12,IF(J377="Monthly",1,IF(J377="Quarterly",1/3,IF(J377="Twice a year",1/6,IF(J377="Yearly",1/12,0))))))),2)))</f>
        <v>0</v>
      </c>
      <c r="T377" s="38">
        <f>IF(B377="","",IF(I377="Yes","Yes","No"))</f>
        <v>0</v>
      </c>
      <c r="U377" s="25">
        <f>IF(B377="","",IF(L377="Yes","",IF(K377="","",TodayDate-K377)))</f>
        <v>0</v>
      </c>
      <c r="V377" s="39">
        <f>IF(B377="","",IF(L377="Yes","Paid",IF(K377="","Pending",IF(K377&lt;TodayDate,"Overdue",IF(K377&lt;=TodayDate+7,"Due soon","Pending")))))</f>
        <v>0</v>
      </c>
      <c r="W377" s="26">
        <f>IF(B377="","",IFERROR(INDEX(BudgetAmount,MATCH(C377,BudgetCategory,0))*1,0))</f>
        <v>0</v>
      </c>
      <c r="X377" s="25">
        <f>IF(B377="","",COUNTIFS($R$5:$R$604,"&gt;"&amp;R377)+COUNTIFS($R$5:R377,R377))</f>
        <v>0</v>
      </c>
      <c r="Y377" s="39">
        <f>IF(B377="","",IF(F377="","Add - no amount",IF(C377="","Add - no category, it will miss the P&amp;L",IF(V377="Overdue","Overdue - pay it",IF(V377="Due soon","Due - coming up",IF(IF(I377="Yes",J377="",FALSE),"Add - how often does it recur?",IF(L377="Yes","OK","Pending")))))))</f>
        <v>0</v>
      </c>
    </row>
    <row r="378" spans="1:25">
      <c r="A378" s="28">
        <f>IF(B378="","",ExpensePrefix&amp;TEXT(ROW()-4,"0000"))</f>
        <v>0</v>
      </c>
      <c r="P378" s="15">
        <f>IF(B378="","",TEXT(B378,"yyyy-mm"))</f>
        <v>0</v>
      </c>
      <c r="Q378" s="25">
        <f>IF(B378="","",WEEKNUM(B378,2))</f>
        <v>0</v>
      </c>
      <c r="R378" s="26">
        <f>IF(B378="","",ROUND(IF(F378="",0,F378)+IF(G378="",0,G378),2))</f>
        <v>0</v>
      </c>
      <c r="S378" s="26">
        <f>IF(B378="","",IF(I378&lt;&gt;"Yes",0,ROUND(IF(F378="",0,F378)*IF(J378="Weekly",52/12,IF(J378="Fortnightly",26/12,IF(J378="Four weekly",13/12,IF(J378="Monthly",1,IF(J378="Quarterly",1/3,IF(J378="Twice a year",1/6,IF(J378="Yearly",1/12,0))))))),2)))</f>
        <v>0</v>
      </c>
      <c r="T378" s="38">
        <f>IF(B378="","",IF(I378="Yes","Yes","No"))</f>
        <v>0</v>
      </c>
      <c r="U378" s="25">
        <f>IF(B378="","",IF(L378="Yes","",IF(K378="","",TodayDate-K378)))</f>
        <v>0</v>
      </c>
      <c r="V378" s="39">
        <f>IF(B378="","",IF(L378="Yes","Paid",IF(K378="","Pending",IF(K378&lt;TodayDate,"Overdue",IF(K378&lt;=TodayDate+7,"Due soon","Pending")))))</f>
        <v>0</v>
      </c>
      <c r="W378" s="26">
        <f>IF(B378="","",IFERROR(INDEX(BudgetAmount,MATCH(C378,BudgetCategory,0))*1,0))</f>
        <v>0</v>
      </c>
      <c r="X378" s="25">
        <f>IF(B378="","",COUNTIFS($R$5:$R$604,"&gt;"&amp;R378)+COUNTIFS($R$5:R378,R378))</f>
        <v>0</v>
      </c>
      <c r="Y378" s="39">
        <f>IF(B378="","",IF(F378="","Add - no amount",IF(C378="","Add - no category, it will miss the P&amp;L",IF(V378="Overdue","Overdue - pay it",IF(V378="Due soon","Due - coming up",IF(IF(I378="Yes",J378="",FALSE),"Add - how often does it recur?",IF(L378="Yes","OK","Pending")))))))</f>
        <v>0</v>
      </c>
    </row>
    <row r="379" spans="1:25">
      <c r="A379" s="28">
        <f>IF(B379="","",ExpensePrefix&amp;TEXT(ROW()-4,"0000"))</f>
        <v>0</v>
      </c>
      <c r="P379" s="15">
        <f>IF(B379="","",TEXT(B379,"yyyy-mm"))</f>
        <v>0</v>
      </c>
      <c r="Q379" s="25">
        <f>IF(B379="","",WEEKNUM(B379,2))</f>
        <v>0</v>
      </c>
      <c r="R379" s="26">
        <f>IF(B379="","",ROUND(IF(F379="",0,F379)+IF(G379="",0,G379),2))</f>
        <v>0</v>
      </c>
      <c r="S379" s="26">
        <f>IF(B379="","",IF(I379&lt;&gt;"Yes",0,ROUND(IF(F379="",0,F379)*IF(J379="Weekly",52/12,IF(J379="Fortnightly",26/12,IF(J379="Four weekly",13/12,IF(J379="Monthly",1,IF(J379="Quarterly",1/3,IF(J379="Twice a year",1/6,IF(J379="Yearly",1/12,0))))))),2)))</f>
        <v>0</v>
      </c>
      <c r="T379" s="38">
        <f>IF(B379="","",IF(I379="Yes","Yes","No"))</f>
        <v>0</v>
      </c>
      <c r="U379" s="25">
        <f>IF(B379="","",IF(L379="Yes","",IF(K379="","",TodayDate-K379)))</f>
        <v>0</v>
      </c>
      <c r="V379" s="39">
        <f>IF(B379="","",IF(L379="Yes","Paid",IF(K379="","Pending",IF(K379&lt;TodayDate,"Overdue",IF(K379&lt;=TodayDate+7,"Due soon","Pending")))))</f>
        <v>0</v>
      </c>
      <c r="W379" s="26">
        <f>IF(B379="","",IFERROR(INDEX(BudgetAmount,MATCH(C379,BudgetCategory,0))*1,0))</f>
        <v>0</v>
      </c>
      <c r="X379" s="25">
        <f>IF(B379="","",COUNTIFS($R$5:$R$604,"&gt;"&amp;R379)+COUNTIFS($R$5:R379,R379))</f>
        <v>0</v>
      </c>
      <c r="Y379" s="39">
        <f>IF(B379="","",IF(F379="","Add - no amount",IF(C379="","Add - no category, it will miss the P&amp;L",IF(V379="Overdue","Overdue - pay it",IF(V379="Due soon","Due - coming up",IF(IF(I379="Yes",J379="",FALSE),"Add - how often does it recur?",IF(L379="Yes","OK","Pending")))))))</f>
        <v>0</v>
      </c>
    </row>
    <row r="380" spans="1:25">
      <c r="A380" s="28">
        <f>IF(B380="","",ExpensePrefix&amp;TEXT(ROW()-4,"0000"))</f>
        <v>0</v>
      </c>
      <c r="P380" s="15">
        <f>IF(B380="","",TEXT(B380,"yyyy-mm"))</f>
        <v>0</v>
      </c>
      <c r="Q380" s="25">
        <f>IF(B380="","",WEEKNUM(B380,2))</f>
        <v>0</v>
      </c>
      <c r="R380" s="26">
        <f>IF(B380="","",ROUND(IF(F380="",0,F380)+IF(G380="",0,G380),2))</f>
        <v>0</v>
      </c>
      <c r="S380" s="26">
        <f>IF(B380="","",IF(I380&lt;&gt;"Yes",0,ROUND(IF(F380="",0,F380)*IF(J380="Weekly",52/12,IF(J380="Fortnightly",26/12,IF(J380="Four weekly",13/12,IF(J380="Monthly",1,IF(J380="Quarterly",1/3,IF(J380="Twice a year",1/6,IF(J380="Yearly",1/12,0))))))),2)))</f>
        <v>0</v>
      </c>
      <c r="T380" s="38">
        <f>IF(B380="","",IF(I380="Yes","Yes","No"))</f>
        <v>0</v>
      </c>
      <c r="U380" s="25">
        <f>IF(B380="","",IF(L380="Yes","",IF(K380="","",TodayDate-K380)))</f>
        <v>0</v>
      </c>
      <c r="V380" s="39">
        <f>IF(B380="","",IF(L380="Yes","Paid",IF(K380="","Pending",IF(K380&lt;TodayDate,"Overdue",IF(K380&lt;=TodayDate+7,"Due soon","Pending")))))</f>
        <v>0</v>
      </c>
      <c r="W380" s="26">
        <f>IF(B380="","",IFERROR(INDEX(BudgetAmount,MATCH(C380,BudgetCategory,0))*1,0))</f>
        <v>0</v>
      </c>
      <c r="X380" s="25">
        <f>IF(B380="","",COUNTIFS($R$5:$R$604,"&gt;"&amp;R380)+COUNTIFS($R$5:R380,R380))</f>
        <v>0</v>
      </c>
      <c r="Y380" s="39">
        <f>IF(B380="","",IF(F380="","Add - no amount",IF(C380="","Add - no category, it will miss the P&amp;L",IF(V380="Overdue","Overdue - pay it",IF(V380="Due soon","Due - coming up",IF(IF(I380="Yes",J380="",FALSE),"Add - how often does it recur?",IF(L380="Yes","OK","Pending")))))))</f>
        <v>0</v>
      </c>
    </row>
    <row r="381" spans="1:25">
      <c r="A381" s="28">
        <f>IF(B381="","",ExpensePrefix&amp;TEXT(ROW()-4,"0000"))</f>
        <v>0</v>
      </c>
      <c r="P381" s="15">
        <f>IF(B381="","",TEXT(B381,"yyyy-mm"))</f>
        <v>0</v>
      </c>
      <c r="Q381" s="25">
        <f>IF(B381="","",WEEKNUM(B381,2))</f>
        <v>0</v>
      </c>
      <c r="R381" s="26">
        <f>IF(B381="","",ROUND(IF(F381="",0,F381)+IF(G381="",0,G381),2))</f>
        <v>0</v>
      </c>
      <c r="S381" s="26">
        <f>IF(B381="","",IF(I381&lt;&gt;"Yes",0,ROUND(IF(F381="",0,F381)*IF(J381="Weekly",52/12,IF(J381="Fortnightly",26/12,IF(J381="Four weekly",13/12,IF(J381="Monthly",1,IF(J381="Quarterly",1/3,IF(J381="Twice a year",1/6,IF(J381="Yearly",1/12,0))))))),2)))</f>
        <v>0</v>
      </c>
      <c r="T381" s="38">
        <f>IF(B381="","",IF(I381="Yes","Yes","No"))</f>
        <v>0</v>
      </c>
      <c r="U381" s="25">
        <f>IF(B381="","",IF(L381="Yes","",IF(K381="","",TodayDate-K381)))</f>
        <v>0</v>
      </c>
      <c r="V381" s="39">
        <f>IF(B381="","",IF(L381="Yes","Paid",IF(K381="","Pending",IF(K381&lt;TodayDate,"Overdue",IF(K381&lt;=TodayDate+7,"Due soon","Pending")))))</f>
        <v>0</v>
      </c>
      <c r="W381" s="26">
        <f>IF(B381="","",IFERROR(INDEX(BudgetAmount,MATCH(C381,BudgetCategory,0))*1,0))</f>
        <v>0</v>
      </c>
      <c r="X381" s="25">
        <f>IF(B381="","",COUNTIFS($R$5:$R$604,"&gt;"&amp;R381)+COUNTIFS($R$5:R381,R381))</f>
        <v>0</v>
      </c>
      <c r="Y381" s="39">
        <f>IF(B381="","",IF(F381="","Add - no amount",IF(C381="","Add - no category, it will miss the P&amp;L",IF(V381="Overdue","Overdue - pay it",IF(V381="Due soon","Due - coming up",IF(IF(I381="Yes",J381="",FALSE),"Add - how often does it recur?",IF(L381="Yes","OK","Pending")))))))</f>
        <v>0</v>
      </c>
    </row>
    <row r="382" spans="1:25">
      <c r="A382" s="28">
        <f>IF(B382="","",ExpensePrefix&amp;TEXT(ROW()-4,"0000"))</f>
        <v>0</v>
      </c>
      <c r="P382" s="15">
        <f>IF(B382="","",TEXT(B382,"yyyy-mm"))</f>
        <v>0</v>
      </c>
      <c r="Q382" s="25">
        <f>IF(B382="","",WEEKNUM(B382,2))</f>
        <v>0</v>
      </c>
      <c r="R382" s="26">
        <f>IF(B382="","",ROUND(IF(F382="",0,F382)+IF(G382="",0,G382),2))</f>
        <v>0</v>
      </c>
      <c r="S382" s="26">
        <f>IF(B382="","",IF(I382&lt;&gt;"Yes",0,ROUND(IF(F382="",0,F382)*IF(J382="Weekly",52/12,IF(J382="Fortnightly",26/12,IF(J382="Four weekly",13/12,IF(J382="Monthly",1,IF(J382="Quarterly",1/3,IF(J382="Twice a year",1/6,IF(J382="Yearly",1/12,0))))))),2)))</f>
        <v>0</v>
      </c>
      <c r="T382" s="38">
        <f>IF(B382="","",IF(I382="Yes","Yes","No"))</f>
        <v>0</v>
      </c>
      <c r="U382" s="25">
        <f>IF(B382="","",IF(L382="Yes","",IF(K382="","",TodayDate-K382)))</f>
        <v>0</v>
      </c>
      <c r="V382" s="39">
        <f>IF(B382="","",IF(L382="Yes","Paid",IF(K382="","Pending",IF(K382&lt;TodayDate,"Overdue",IF(K382&lt;=TodayDate+7,"Due soon","Pending")))))</f>
        <v>0</v>
      </c>
      <c r="W382" s="26">
        <f>IF(B382="","",IFERROR(INDEX(BudgetAmount,MATCH(C382,BudgetCategory,0))*1,0))</f>
        <v>0</v>
      </c>
      <c r="X382" s="25">
        <f>IF(B382="","",COUNTIFS($R$5:$R$604,"&gt;"&amp;R382)+COUNTIFS($R$5:R382,R382))</f>
        <v>0</v>
      </c>
      <c r="Y382" s="39">
        <f>IF(B382="","",IF(F382="","Add - no amount",IF(C382="","Add - no category, it will miss the P&amp;L",IF(V382="Overdue","Overdue - pay it",IF(V382="Due soon","Due - coming up",IF(IF(I382="Yes",J382="",FALSE),"Add - how often does it recur?",IF(L382="Yes","OK","Pending")))))))</f>
        <v>0</v>
      </c>
    </row>
    <row r="383" spans="1:25">
      <c r="A383" s="28">
        <f>IF(B383="","",ExpensePrefix&amp;TEXT(ROW()-4,"0000"))</f>
        <v>0</v>
      </c>
      <c r="P383" s="15">
        <f>IF(B383="","",TEXT(B383,"yyyy-mm"))</f>
        <v>0</v>
      </c>
      <c r="Q383" s="25">
        <f>IF(B383="","",WEEKNUM(B383,2))</f>
        <v>0</v>
      </c>
      <c r="R383" s="26">
        <f>IF(B383="","",ROUND(IF(F383="",0,F383)+IF(G383="",0,G383),2))</f>
        <v>0</v>
      </c>
      <c r="S383" s="26">
        <f>IF(B383="","",IF(I383&lt;&gt;"Yes",0,ROUND(IF(F383="",0,F383)*IF(J383="Weekly",52/12,IF(J383="Fortnightly",26/12,IF(J383="Four weekly",13/12,IF(J383="Monthly",1,IF(J383="Quarterly",1/3,IF(J383="Twice a year",1/6,IF(J383="Yearly",1/12,0))))))),2)))</f>
        <v>0</v>
      </c>
      <c r="T383" s="38">
        <f>IF(B383="","",IF(I383="Yes","Yes","No"))</f>
        <v>0</v>
      </c>
      <c r="U383" s="25">
        <f>IF(B383="","",IF(L383="Yes","",IF(K383="","",TodayDate-K383)))</f>
        <v>0</v>
      </c>
      <c r="V383" s="39">
        <f>IF(B383="","",IF(L383="Yes","Paid",IF(K383="","Pending",IF(K383&lt;TodayDate,"Overdue",IF(K383&lt;=TodayDate+7,"Due soon","Pending")))))</f>
        <v>0</v>
      </c>
      <c r="W383" s="26">
        <f>IF(B383="","",IFERROR(INDEX(BudgetAmount,MATCH(C383,BudgetCategory,0))*1,0))</f>
        <v>0</v>
      </c>
      <c r="X383" s="25">
        <f>IF(B383="","",COUNTIFS($R$5:$R$604,"&gt;"&amp;R383)+COUNTIFS($R$5:R383,R383))</f>
        <v>0</v>
      </c>
      <c r="Y383" s="39">
        <f>IF(B383="","",IF(F383="","Add - no amount",IF(C383="","Add - no category, it will miss the P&amp;L",IF(V383="Overdue","Overdue - pay it",IF(V383="Due soon","Due - coming up",IF(IF(I383="Yes",J383="",FALSE),"Add - how often does it recur?",IF(L383="Yes","OK","Pending")))))))</f>
        <v>0</v>
      </c>
    </row>
    <row r="384" spans="1:25">
      <c r="A384" s="28">
        <f>IF(B384="","",ExpensePrefix&amp;TEXT(ROW()-4,"0000"))</f>
        <v>0</v>
      </c>
      <c r="P384" s="15">
        <f>IF(B384="","",TEXT(B384,"yyyy-mm"))</f>
        <v>0</v>
      </c>
      <c r="Q384" s="25">
        <f>IF(B384="","",WEEKNUM(B384,2))</f>
        <v>0</v>
      </c>
      <c r="R384" s="26">
        <f>IF(B384="","",ROUND(IF(F384="",0,F384)+IF(G384="",0,G384),2))</f>
        <v>0</v>
      </c>
      <c r="S384" s="26">
        <f>IF(B384="","",IF(I384&lt;&gt;"Yes",0,ROUND(IF(F384="",0,F384)*IF(J384="Weekly",52/12,IF(J384="Fortnightly",26/12,IF(J384="Four weekly",13/12,IF(J384="Monthly",1,IF(J384="Quarterly",1/3,IF(J384="Twice a year",1/6,IF(J384="Yearly",1/12,0))))))),2)))</f>
        <v>0</v>
      </c>
      <c r="T384" s="38">
        <f>IF(B384="","",IF(I384="Yes","Yes","No"))</f>
        <v>0</v>
      </c>
      <c r="U384" s="25">
        <f>IF(B384="","",IF(L384="Yes","",IF(K384="","",TodayDate-K384)))</f>
        <v>0</v>
      </c>
      <c r="V384" s="39">
        <f>IF(B384="","",IF(L384="Yes","Paid",IF(K384="","Pending",IF(K384&lt;TodayDate,"Overdue",IF(K384&lt;=TodayDate+7,"Due soon","Pending")))))</f>
        <v>0</v>
      </c>
      <c r="W384" s="26">
        <f>IF(B384="","",IFERROR(INDEX(BudgetAmount,MATCH(C384,BudgetCategory,0))*1,0))</f>
        <v>0</v>
      </c>
      <c r="X384" s="25">
        <f>IF(B384="","",COUNTIFS($R$5:$R$604,"&gt;"&amp;R384)+COUNTIFS($R$5:R384,R384))</f>
        <v>0</v>
      </c>
      <c r="Y384" s="39">
        <f>IF(B384="","",IF(F384="","Add - no amount",IF(C384="","Add - no category, it will miss the P&amp;L",IF(V384="Overdue","Overdue - pay it",IF(V384="Due soon","Due - coming up",IF(IF(I384="Yes",J384="",FALSE),"Add - how often does it recur?",IF(L384="Yes","OK","Pending")))))))</f>
        <v>0</v>
      </c>
    </row>
    <row r="385" spans="1:25">
      <c r="A385" s="28">
        <f>IF(B385="","",ExpensePrefix&amp;TEXT(ROW()-4,"0000"))</f>
        <v>0</v>
      </c>
      <c r="P385" s="15">
        <f>IF(B385="","",TEXT(B385,"yyyy-mm"))</f>
        <v>0</v>
      </c>
      <c r="Q385" s="25">
        <f>IF(B385="","",WEEKNUM(B385,2))</f>
        <v>0</v>
      </c>
      <c r="R385" s="26">
        <f>IF(B385="","",ROUND(IF(F385="",0,F385)+IF(G385="",0,G385),2))</f>
        <v>0</v>
      </c>
      <c r="S385" s="26">
        <f>IF(B385="","",IF(I385&lt;&gt;"Yes",0,ROUND(IF(F385="",0,F385)*IF(J385="Weekly",52/12,IF(J385="Fortnightly",26/12,IF(J385="Four weekly",13/12,IF(J385="Monthly",1,IF(J385="Quarterly",1/3,IF(J385="Twice a year",1/6,IF(J385="Yearly",1/12,0))))))),2)))</f>
        <v>0</v>
      </c>
      <c r="T385" s="38">
        <f>IF(B385="","",IF(I385="Yes","Yes","No"))</f>
        <v>0</v>
      </c>
      <c r="U385" s="25">
        <f>IF(B385="","",IF(L385="Yes","",IF(K385="","",TodayDate-K385)))</f>
        <v>0</v>
      </c>
      <c r="V385" s="39">
        <f>IF(B385="","",IF(L385="Yes","Paid",IF(K385="","Pending",IF(K385&lt;TodayDate,"Overdue",IF(K385&lt;=TodayDate+7,"Due soon","Pending")))))</f>
        <v>0</v>
      </c>
      <c r="W385" s="26">
        <f>IF(B385="","",IFERROR(INDEX(BudgetAmount,MATCH(C385,BudgetCategory,0))*1,0))</f>
        <v>0</v>
      </c>
      <c r="X385" s="25">
        <f>IF(B385="","",COUNTIFS($R$5:$R$604,"&gt;"&amp;R385)+COUNTIFS($R$5:R385,R385))</f>
        <v>0</v>
      </c>
      <c r="Y385" s="39">
        <f>IF(B385="","",IF(F385="","Add - no amount",IF(C385="","Add - no category, it will miss the P&amp;L",IF(V385="Overdue","Overdue - pay it",IF(V385="Due soon","Due - coming up",IF(IF(I385="Yes",J385="",FALSE),"Add - how often does it recur?",IF(L385="Yes","OK","Pending")))))))</f>
        <v>0</v>
      </c>
    </row>
    <row r="386" spans="1:25">
      <c r="A386" s="28">
        <f>IF(B386="","",ExpensePrefix&amp;TEXT(ROW()-4,"0000"))</f>
        <v>0</v>
      </c>
      <c r="P386" s="15">
        <f>IF(B386="","",TEXT(B386,"yyyy-mm"))</f>
        <v>0</v>
      </c>
      <c r="Q386" s="25">
        <f>IF(B386="","",WEEKNUM(B386,2))</f>
        <v>0</v>
      </c>
      <c r="R386" s="26">
        <f>IF(B386="","",ROUND(IF(F386="",0,F386)+IF(G386="",0,G386),2))</f>
        <v>0</v>
      </c>
      <c r="S386" s="26">
        <f>IF(B386="","",IF(I386&lt;&gt;"Yes",0,ROUND(IF(F386="",0,F386)*IF(J386="Weekly",52/12,IF(J386="Fortnightly",26/12,IF(J386="Four weekly",13/12,IF(J386="Monthly",1,IF(J386="Quarterly",1/3,IF(J386="Twice a year",1/6,IF(J386="Yearly",1/12,0))))))),2)))</f>
        <v>0</v>
      </c>
      <c r="T386" s="38">
        <f>IF(B386="","",IF(I386="Yes","Yes","No"))</f>
        <v>0</v>
      </c>
      <c r="U386" s="25">
        <f>IF(B386="","",IF(L386="Yes","",IF(K386="","",TodayDate-K386)))</f>
        <v>0</v>
      </c>
      <c r="V386" s="39">
        <f>IF(B386="","",IF(L386="Yes","Paid",IF(K386="","Pending",IF(K386&lt;TodayDate,"Overdue",IF(K386&lt;=TodayDate+7,"Due soon","Pending")))))</f>
        <v>0</v>
      </c>
      <c r="W386" s="26">
        <f>IF(B386="","",IFERROR(INDEX(BudgetAmount,MATCH(C386,BudgetCategory,0))*1,0))</f>
        <v>0</v>
      </c>
      <c r="X386" s="25">
        <f>IF(B386="","",COUNTIFS($R$5:$R$604,"&gt;"&amp;R386)+COUNTIFS($R$5:R386,R386))</f>
        <v>0</v>
      </c>
      <c r="Y386" s="39">
        <f>IF(B386="","",IF(F386="","Add - no amount",IF(C386="","Add - no category, it will miss the P&amp;L",IF(V386="Overdue","Overdue - pay it",IF(V386="Due soon","Due - coming up",IF(IF(I386="Yes",J386="",FALSE),"Add - how often does it recur?",IF(L386="Yes","OK","Pending")))))))</f>
        <v>0</v>
      </c>
    </row>
    <row r="387" spans="1:25">
      <c r="A387" s="28">
        <f>IF(B387="","",ExpensePrefix&amp;TEXT(ROW()-4,"0000"))</f>
        <v>0</v>
      </c>
      <c r="P387" s="15">
        <f>IF(B387="","",TEXT(B387,"yyyy-mm"))</f>
        <v>0</v>
      </c>
      <c r="Q387" s="25">
        <f>IF(B387="","",WEEKNUM(B387,2))</f>
        <v>0</v>
      </c>
      <c r="R387" s="26">
        <f>IF(B387="","",ROUND(IF(F387="",0,F387)+IF(G387="",0,G387),2))</f>
        <v>0</v>
      </c>
      <c r="S387" s="26">
        <f>IF(B387="","",IF(I387&lt;&gt;"Yes",0,ROUND(IF(F387="",0,F387)*IF(J387="Weekly",52/12,IF(J387="Fortnightly",26/12,IF(J387="Four weekly",13/12,IF(J387="Monthly",1,IF(J387="Quarterly",1/3,IF(J387="Twice a year",1/6,IF(J387="Yearly",1/12,0))))))),2)))</f>
        <v>0</v>
      </c>
      <c r="T387" s="38">
        <f>IF(B387="","",IF(I387="Yes","Yes","No"))</f>
        <v>0</v>
      </c>
      <c r="U387" s="25">
        <f>IF(B387="","",IF(L387="Yes","",IF(K387="","",TodayDate-K387)))</f>
        <v>0</v>
      </c>
      <c r="V387" s="39">
        <f>IF(B387="","",IF(L387="Yes","Paid",IF(K387="","Pending",IF(K387&lt;TodayDate,"Overdue",IF(K387&lt;=TodayDate+7,"Due soon","Pending")))))</f>
        <v>0</v>
      </c>
      <c r="W387" s="26">
        <f>IF(B387="","",IFERROR(INDEX(BudgetAmount,MATCH(C387,BudgetCategory,0))*1,0))</f>
        <v>0</v>
      </c>
      <c r="X387" s="25">
        <f>IF(B387="","",COUNTIFS($R$5:$R$604,"&gt;"&amp;R387)+COUNTIFS($R$5:R387,R387))</f>
        <v>0</v>
      </c>
      <c r="Y387" s="39">
        <f>IF(B387="","",IF(F387="","Add - no amount",IF(C387="","Add - no category, it will miss the P&amp;L",IF(V387="Overdue","Overdue - pay it",IF(V387="Due soon","Due - coming up",IF(IF(I387="Yes",J387="",FALSE),"Add - how often does it recur?",IF(L387="Yes","OK","Pending")))))))</f>
        <v>0</v>
      </c>
    </row>
    <row r="388" spans="1:25">
      <c r="A388" s="28">
        <f>IF(B388="","",ExpensePrefix&amp;TEXT(ROW()-4,"0000"))</f>
        <v>0</v>
      </c>
      <c r="P388" s="15">
        <f>IF(B388="","",TEXT(B388,"yyyy-mm"))</f>
        <v>0</v>
      </c>
      <c r="Q388" s="25">
        <f>IF(B388="","",WEEKNUM(B388,2))</f>
        <v>0</v>
      </c>
      <c r="R388" s="26">
        <f>IF(B388="","",ROUND(IF(F388="",0,F388)+IF(G388="",0,G388),2))</f>
        <v>0</v>
      </c>
      <c r="S388" s="26">
        <f>IF(B388="","",IF(I388&lt;&gt;"Yes",0,ROUND(IF(F388="",0,F388)*IF(J388="Weekly",52/12,IF(J388="Fortnightly",26/12,IF(J388="Four weekly",13/12,IF(J388="Monthly",1,IF(J388="Quarterly",1/3,IF(J388="Twice a year",1/6,IF(J388="Yearly",1/12,0))))))),2)))</f>
        <v>0</v>
      </c>
      <c r="T388" s="38">
        <f>IF(B388="","",IF(I388="Yes","Yes","No"))</f>
        <v>0</v>
      </c>
      <c r="U388" s="25">
        <f>IF(B388="","",IF(L388="Yes","",IF(K388="","",TodayDate-K388)))</f>
        <v>0</v>
      </c>
      <c r="V388" s="39">
        <f>IF(B388="","",IF(L388="Yes","Paid",IF(K388="","Pending",IF(K388&lt;TodayDate,"Overdue",IF(K388&lt;=TodayDate+7,"Due soon","Pending")))))</f>
        <v>0</v>
      </c>
      <c r="W388" s="26">
        <f>IF(B388="","",IFERROR(INDEX(BudgetAmount,MATCH(C388,BudgetCategory,0))*1,0))</f>
        <v>0</v>
      </c>
      <c r="X388" s="25">
        <f>IF(B388="","",COUNTIFS($R$5:$R$604,"&gt;"&amp;R388)+COUNTIFS($R$5:R388,R388))</f>
        <v>0</v>
      </c>
      <c r="Y388" s="39">
        <f>IF(B388="","",IF(F388="","Add - no amount",IF(C388="","Add - no category, it will miss the P&amp;L",IF(V388="Overdue","Overdue - pay it",IF(V388="Due soon","Due - coming up",IF(IF(I388="Yes",J388="",FALSE),"Add - how often does it recur?",IF(L388="Yes","OK","Pending")))))))</f>
        <v>0</v>
      </c>
    </row>
    <row r="389" spans="1:25">
      <c r="A389" s="28">
        <f>IF(B389="","",ExpensePrefix&amp;TEXT(ROW()-4,"0000"))</f>
        <v>0</v>
      </c>
      <c r="P389" s="15">
        <f>IF(B389="","",TEXT(B389,"yyyy-mm"))</f>
        <v>0</v>
      </c>
      <c r="Q389" s="25">
        <f>IF(B389="","",WEEKNUM(B389,2))</f>
        <v>0</v>
      </c>
      <c r="R389" s="26">
        <f>IF(B389="","",ROUND(IF(F389="",0,F389)+IF(G389="",0,G389),2))</f>
        <v>0</v>
      </c>
      <c r="S389" s="26">
        <f>IF(B389="","",IF(I389&lt;&gt;"Yes",0,ROUND(IF(F389="",0,F389)*IF(J389="Weekly",52/12,IF(J389="Fortnightly",26/12,IF(J389="Four weekly",13/12,IF(J389="Monthly",1,IF(J389="Quarterly",1/3,IF(J389="Twice a year",1/6,IF(J389="Yearly",1/12,0))))))),2)))</f>
        <v>0</v>
      </c>
      <c r="T389" s="38">
        <f>IF(B389="","",IF(I389="Yes","Yes","No"))</f>
        <v>0</v>
      </c>
      <c r="U389" s="25">
        <f>IF(B389="","",IF(L389="Yes","",IF(K389="","",TodayDate-K389)))</f>
        <v>0</v>
      </c>
      <c r="V389" s="39">
        <f>IF(B389="","",IF(L389="Yes","Paid",IF(K389="","Pending",IF(K389&lt;TodayDate,"Overdue",IF(K389&lt;=TodayDate+7,"Due soon","Pending")))))</f>
        <v>0</v>
      </c>
      <c r="W389" s="26">
        <f>IF(B389="","",IFERROR(INDEX(BudgetAmount,MATCH(C389,BudgetCategory,0))*1,0))</f>
        <v>0</v>
      </c>
      <c r="X389" s="25">
        <f>IF(B389="","",COUNTIFS($R$5:$R$604,"&gt;"&amp;R389)+COUNTIFS($R$5:R389,R389))</f>
        <v>0</v>
      </c>
      <c r="Y389" s="39">
        <f>IF(B389="","",IF(F389="","Add - no amount",IF(C389="","Add - no category, it will miss the P&amp;L",IF(V389="Overdue","Overdue - pay it",IF(V389="Due soon","Due - coming up",IF(IF(I389="Yes",J389="",FALSE),"Add - how often does it recur?",IF(L389="Yes","OK","Pending")))))))</f>
        <v>0</v>
      </c>
    </row>
    <row r="390" spans="1:25">
      <c r="A390" s="28">
        <f>IF(B390="","",ExpensePrefix&amp;TEXT(ROW()-4,"0000"))</f>
        <v>0</v>
      </c>
      <c r="P390" s="15">
        <f>IF(B390="","",TEXT(B390,"yyyy-mm"))</f>
        <v>0</v>
      </c>
      <c r="Q390" s="25">
        <f>IF(B390="","",WEEKNUM(B390,2))</f>
        <v>0</v>
      </c>
      <c r="R390" s="26">
        <f>IF(B390="","",ROUND(IF(F390="",0,F390)+IF(G390="",0,G390),2))</f>
        <v>0</v>
      </c>
      <c r="S390" s="26">
        <f>IF(B390="","",IF(I390&lt;&gt;"Yes",0,ROUND(IF(F390="",0,F390)*IF(J390="Weekly",52/12,IF(J390="Fortnightly",26/12,IF(J390="Four weekly",13/12,IF(J390="Monthly",1,IF(J390="Quarterly",1/3,IF(J390="Twice a year",1/6,IF(J390="Yearly",1/12,0))))))),2)))</f>
        <v>0</v>
      </c>
      <c r="T390" s="38">
        <f>IF(B390="","",IF(I390="Yes","Yes","No"))</f>
        <v>0</v>
      </c>
      <c r="U390" s="25">
        <f>IF(B390="","",IF(L390="Yes","",IF(K390="","",TodayDate-K390)))</f>
        <v>0</v>
      </c>
      <c r="V390" s="39">
        <f>IF(B390="","",IF(L390="Yes","Paid",IF(K390="","Pending",IF(K390&lt;TodayDate,"Overdue",IF(K390&lt;=TodayDate+7,"Due soon","Pending")))))</f>
        <v>0</v>
      </c>
      <c r="W390" s="26">
        <f>IF(B390="","",IFERROR(INDEX(BudgetAmount,MATCH(C390,BudgetCategory,0))*1,0))</f>
        <v>0</v>
      </c>
      <c r="X390" s="25">
        <f>IF(B390="","",COUNTIFS($R$5:$R$604,"&gt;"&amp;R390)+COUNTIFS($R$5:R390,R390))</f>
        <v>0</v>
      </c>
      <c r="Y390" s="39">
        <f>IF(B390="","",IF(F390="","Add - no amount",IF(C390="","Add - no category, it will miss the P&amp;L",IF(V390="Overdue","Overdue - pay it",IF(V390="Due soon","Due - coming up",IF(IF(I390="Yes",J390="",FALSE),"Add - how often does it recur?",IF(L390="Yes","OK","Pending")))))))</f>
        <v>0</v>
      </c>
    </row>
    <row r="391" spans="1:25">
      <c r="A391" s="28">
        <f>IF(B391="","",ExpensePrefix&amp;TEXT(ROW()-4,"0000"))</f>
        <v>0</v>
      </c>
      <c r="P391" s="15">
        <f>IF(B391="","",TEXT(B391,"yyyy-mm"))</f>
        <v>0</v>
      </c>
      <c r="Q391" s="25">
        <f>IF(B391="","",WEEKNUM(B391,2))</f>
        <v>0</v>
      </c>
      <c r="R391" s="26">
        <f>IF(B391="","",ROUND(IF(F391="",0,F391)+IF(G391="",0,G391),2))</f>
        <v>0</v>
      </c>
      <c r="S391" s="26">
        <f>IF(B391="","",IF(I391&lt;&gt;"Yes",0,ROUND(IF(F391="",0,F391)*IF(J391="Weekly",52/12,IF(J391="Fortnightly",26/12,IF(J391="Four weekly",13/12,IF(J391="Monthly",1,IF(J391="Quarterly",1/3,IF(J391="Twice a year",1/6,IF(J391="Yearly",1/12,0))))))),2)))</f>
        <v>0</v>
      </c>
      <c r="T391" s="38">
        <f>IF(B391="","",IF(I391="Yes","Yes","No"))</f>
        <v>0</v>
      </c>
      <c r="U391" s="25">
        <f>IF(B391="","",IF(L391="Yes","",IF(K391="","",TodayDate-K391)))</f>
        <v>0</v>
      </c>
      <c r="V391" s="39">
        <f>IF(B391="","",IF(L391="Yes","Paid",IF(K391="","Pending",IF(K391&lt;TodayDate,"Overdue",IF(K391&lt;=TodayDate+7,"Due soon","Pending")))))</f>
        <v>0</v>
      </c>
      <c r="W391" s="26">
        <f>IF(B391="","",IFERROR(INDEX(BudgetAmount,MATCH(C391,BudgetCategory,0))*1,0))</f>
        <v>0</v>
      </c>
      <c r="X391" s="25">
        <f>IF(B391="","",COUNTIFS($R$5:$R$604,"&gt;"&amp;R391)+COUNTIFS($R$5:R391,R391))</f>
        <v>0</v>
      </c>
      <c r="Y391" s="39">
        <f>IF(B391="","",IF(F391="","Add - no amount",IF(C391="","Add - no category, it will miss the P&amp;L",IF(V391="Overdue","Overdue - pay it",IF(V391="Due soon","Due - coming up",IF(IF(I391="Yes",J391="",FALSE),"Add - how often does it recur?",IF(L391="Yes","OK","Pending")))))))</f>
        <v>0</v>
      </c>
    </row>
    <row r="392" spans="1:25">
      <c r="A392" s="28">
        <f>IF(B392="","",ExpensePrefix&amp;TEXT(ROW()-4,"0000"))</f>
        <v>0</v>
      </c>
      <c r="P392" s="15">
        <f>IF(B392="","",TEXT(B392,"yyyy-mm"))</f>
        <v>0</v>
      </c>
      <c r="Q392" s="25">
        <f>IF(B392="","",WEEKNUM(B392,2))</f>
        <v>0</v>
      </c>
      <c r="R392" s="26">
        <f>IF(B392="","",ROUND(IF(F392="",0,F392)+IF(G392="",0,G392),2))</f>
        <v>0</v>
      </c>
      <c r="S392" s="26">
        <f>IF(B392="","",IF(I392&lt;&gt;"Yes",0,ROUND(IF(F392="",0,F392)*IF(J392="Weekly",52/12,IF(J392="Fortnightly",26/12,IF(J392="Four weekly",13/12,IF(J392="Monthly",1,IF(J392="Quarterly",1/3,IF(J392="Twice a year",1/6,IF(J392="Yearly",1/12,0))))))),2)))</f>
        <v>0</v>
      </c>
      <c r="T392" s="38">
        <f>IF(B392="","",IF(I392="Yes","Yes","No"))</f>
        <v>0</v>
      </c>
      <c r="U392" s="25">
        <f>IF(B392="","",IF(L392="Yes","",IF(K392="","",TodayDate-K392)))</f>
        <v>0</v>
      </c>
      <c r="V392" s="39">
        <f>IF(B392="","",IF(L392="Yes","Paid",IF(K392="","Pending",IF(K392&lt;TodayDate,"Overdue",IF(K392&lt;=TodayDate+7,"Due soon","Pending")))))</f>
        <v>0</v>
      </c>
      <c r="W392" s="26">
        <f>IF(B392="","",IFERROR(INDEX(BudgetAmount,MATCH(C392,BudgetCategory,0))*1,0))</f>
        <v>0</v>
      </c>
      <c r="X392" s="25">
        <f>IF(B392="","",COUNTIFS($R$5:$R$604,"&gt;"&amp;R392)+COUNTIFS($R$5:R392,R392))</f>
        <v>0</v>
      </c>
      <c r="Y392" s="39">
        <f>IF(B392="","",IF(F392="","Add - no amount",IF(C392="","Add - no category, it will miss the P&amp;L",IF(V392="Overdue","Overdue - pay it",IF(V392="Due soon","Due - coming up",IF(IF(I392="Yes",J392="",FALSE),"Add - how often does it recur?",IF(L392="Yes","OK","Pending")))))))</f>
        <v>0</v>
      </c>
    </row>
    <row r="393" spans="1:25">
      <c r="A393" s="28">
        <f>IF(B393="","",ExpensePrefix&amp;TEXT(ROW()-4,"0000"))</f>
        <v>0</v>
      </c>
      <c r="P393" s="15">
        <f>IF(B393="","",TEXT(B393,"yyyy-mm"))</f>
        <v>0</v>
      </c>
      <c r="Q393" s="25">
        <f>IF(B393="","",WEEKNUM(B393,2))</f>
        <v>0</v>
      </c>
      <c r="R393" s="26">
        <f>IF(B393="","",ROUND(IF(F393="",0,F393)+IF(G393="",0,G393),2))</f>
        <v>0</v>
      </c>
      <c r="S393" s="26">
        <f>IF(B393="","",IF(I393&lt;&gt;"Yes",0,ROUND(IF(F393="",0,F393)*IF(J393="Weekly",52/12,IF(J393="Fortnightly",26/12,IF(J393="Four weekly",13/12,IF(J393="Monthly",1,IF(J393="Quarterly",1/3,IF(J393="Twice a year",1/6,IF(J393="Yearly",1/12,0))))))),2)))</f>
        <v>0</v>
      </c>
      <c r="T393" s="38">
        <f>IF(B393="","",IF(I393="Yes","Yes","No"))</f>
        <v>0</v>
      </c>
      <c r="U393" s="25">
        <f>IF(B393="","",IF(L393="Yes","",IF(K393="","",TodayDate-K393)))</f>
        <v>0</v>
      </c>
      <c r="V393" s="39">
        <f>IF(B393="","",IF(L393="Yes","Paid",IF(K393="","Pending",IF(K393&lt;TodayDate,"Overdue",IF(K393&lt;=TodayDate+7,"Due soon","Pending")))))</f>
        <v>0</v>
      </c>
      <c r="W393" s="26">
        <f>IF(B393="","",IFERROR(INDEX(BudgetAmount,MATCH(C393,BudgetCategory,0))*1,0))</f>
        <v>0</v>
      </c>
      <c r="X393" s="25">
        <f>IF(B393="","",COUNTIFS($R$5:$R$604,"&gt;"&amp;R393)+COUNTIFS($R$5:R393,R393))</f>
        <v>0</v>
      </c>
      <c r="Y393" s="39">
        <f>IF(B393="","",IF(F393="","Add - no amount",IF(C393="","Add - no category, it will miss the P&amp;L",IF(V393="Overdue","Overdue - pay it",IF(V393="Due soon","Due - coming up",IF(IF(I393="Yes",J393="",FALSE),"Add - how often does it recur?",IF(L393="Yes","OK","Pending")))))))</f>
        <v>0</v>
      </c>
    </row>
    <row r="394" spans="1:25">
      <c r="A394" s="28">
        <f>IF(B394="","",ExpensePrefix&amp;TEXT(ROW()-4,"0000"))</f>
        <v>0</v>
      </c>
      <c r="P394" s="15">
        <f>IF(B394="","",TEXT(B394,"yyyy-mm"))</f>
        <v>0</v>
      </c>
      <c r="Q394" s="25">
        <f>IF(B394="","",WEEKNUM(B394,2))</f>
        <v>0</v>
      </c>
      <c r="R394" s="26">
        <f>IF(B394="","",ROUND(IF(F394="",0,F394)+IF(G394="",0,G394),2))</f>
        <v>0</v>
      </c>
      <c r="S394" s="26">
        <f>IF(B394="","",IF(I394&lt;&gt;"Yes",0,ROUND(IF(F394="",0,F394)*IF(J394="Weekly",52/12,IF(J394="Fortnightly",26/12,IF(J394="Four weekly",13/12,IF(J394="Monthly",1,IF(J394="Quarterly",1/3,IF(J394="Twice a year",1/6,IF(J394="Yearly",1/12,0))))))),2)))</f>
        <v>0</v>
      </c>
      <c r="T394" s="38">
        <f>IF(B394="","",IF(I394="Yes","Yes","No"))</f>
        <v>0</v>
      </c>
      <c r="U394" s="25">
        <f>IF(B394="","",IF(L394="Yes","",IF(K394="","",TodayDate-K394)))</f>
        <v>0</v>
      </c>
      <c r="V394" s="39">
        <f>IF(B394="","",IF(L394="Yes","Paid",IF(K394="","Pending",IF(K394&lt;TodayDate,"Overdue",IF(K394&lt;=TodayDate+7,"Due soon","Pending")))))</f>
        <v>0</v>
      </c>
      <c r="W394" s="26">
        <f>IF(B394="","",IFERROR(INDEX(BudgetAmount,MATCH(C394,BudgetCategory,0))*1,0))</f>
        <v>0</v>
      </c>
      <c r="X394" s="25">
        <f>IF(B394="","",COUNTIFS($R$5:$R$604,"&gt;"&amp;R394)+COUNTIFS($R$5:R394,R394))</f>
        <v>0</v>
      </c>
      <c r="Y394" s="39">
        <f>IF(B394="","",IF(F394="","Add - no amount",IF(C394="","Add - no category, it will miss the P&amp;L",IF(V394="Overdue","Overdue - pay it",IF(V394="Due soon","Due - coming up",IF(IF(I394="Yes",J394="",FALSE),"Add - how often does it recur?",IF(L394="Yes","OK","Pending")))))))</f>
        <v>0</v>
      </c>
    </row>
    <row r="395" spans="1:25">
      <c r="A395" s="28">
        <f>IF(B395="","",ExpensePrefix&amp;TEXT(ROW()-4,"0000"))</f>
        <v>0</v>
      </c>
      <c r="P395" s="15">
        <f>IF(B395="","",TEXT(B395,"yyyy-mm"))</f>
        <v>0</v>
      </c>
      <c r="Q395" s="25">
        <f>IF(B395="","",WEEKNUM(B395,2))</f>
        <v>0</v>
      </c>
      <c r="R395" s="26">
        <f>IF(B395="","",ROUND(IF(F395="",0,F395)+IF(G395="",0,G395),2))</f>
        <v>0</v>
      </c>
      <c r="S395" s="26">
        <f>IF(B395="","",IF(I395&lt;&gt;"Yes",0,ROUND(IF(F395="",0,F395)*IF(J395="Weekly",52/12,IF(J395="Fortnightly",26/12,IF(J395="Four weekly",13/12,IF(J395="Monthly",1,IF(J395="Quarterly",1/3,IF(J395="Twice a year",1/6,IF(J395="Yearly",1/12,0))))))),2)))</f>
        <v>0</v>
      </c>
      <c r="T395" s="38">
        <f>IF(B395="","",IF(I395="Yes","Yes","No"))</f>
        <v>0</v>
      </c>
      <c r="U395" s="25">
        <f>IF(B395="","",IF(L395="Yes","",IF(K395="","",TodayDate-K395)))</f>
        <v>0</v>
      </c>
      <c r="V395" s="39">
        <f>IF(B395="","",IF(L395="Yes","Paid",IF(K395="","Pending",IF(K395&lt;TodayDate,"Overdue",IF(K395&lt;=TodayDate+7,"Due soon","Pending")))))</f>
        <v>0</v>
      </c>
      <c r="W395" s="26">
        <f>IF(B395="","",IFERROR(INDEX(BudgetAmount,MATCH(C395,BudgetCategory,0))*1,0))</f>
        <v>0</v>
      </c>
      <c r="X395" s="25">
        <f>IF(B395="","",COUNTIFS($R$5:$R$604,"&gt;"&amp;R395)+COUNTIFS($R$5:R395,R395))</f>
        <v>0</v>
      </c>
      <c r="Y395" s="39">
        <f>IF(B395="","",IF(F395="","Add - no amount",IF(C395="","Add - no category, it will miss the P&amp;L",IF(V395="Overdue","Overdue - pay it",IF(V395="Due soon","Due - coming up",IF(IF(I395="Yes",J395="",FALSE),"Add - how often does it recur?",IF(L395="Yes","OK","Pending")))))))</f>
        <v>0</v>
      </c>
    </row>
    <row r="396" spans="1:25">
      <c r="A396" s="28">
        <f>IF(B396="","",ExpensePrefix&amp;TEXT(ROW()-4,"0000"))</f>
        <v>0</v>
      </c>
      <c r="P396" s="15">
        <f>IF(B396="","",TEXT(B396,"yyyy-mm"))</f>
        <v>0</v>
      </c>
      <c r="Q396" s="25">
        <f>IF(B396="","",WEEKNUM(B396,2))</f>
        <v>0</v>
      </c>
      <c r="R396" s="26">
        <f>IF(B396="","",ROUND(IF(F396="",0,F396)+IF(G396="",0,G396),2))</f>
        <v>0</v>
      </c>
      <c r="S396" s="26">
        <f>IF(B396="","",IF(I396&lt;&gt;"Yes",0,ROUND(IF(F396="",0,F396)*IF(J396="Weekly",52/12,IF(J396="Fortnightly",26/12,IF(J396="Four weekly",13/12,IF(J396="Monthly",1,IF(J396="Quarterly",1/3,IF(J396="Twice a year",1/6,IF(J396="Yearly",1/12,0))))))),2)))</f>
        <v>0</v>
      </c>
      <c r="T396" s="38">
        <f>IF(B396="","",IF(I396="Yes","Yes","No"))</f>
        <v>0</v>
      </c>
      <c r="U396" s="25">
        <f>IF(B396="","",IF(L396="Yes","",IF(K396="","",TodayDate-K396)))</f>
        <v>0</v>
      </c>
      <c r="V396" s="39">
        <f>IF(B396="","",IF(L396="Yes","Paid",IF(K396="","Pending",IF(K396&lt;TodayDate,"Overdue",IF(K396&lt;=TodayDate+7,"Due soon","Pending")))))</f>
        <v>0</v>
      </c>
      <c r="W396" s="26">
        <f>IF(B396="","",IFERROR(INDEX(BudgetAmount,MATCH(C396,BudgetCategory,0))*1,0))</f>
        <v>0</v>
      </c>
      <c r="X396" s="25">
        <f>IF(B396="","",COUNTIFS($R$5:$R$604,"&gt;"&amp;R396)+COUNTIFS($R$5:R396,R396))</f>
        <v>0</v>
      </c>
      <c r="Y396" s="39">
        <f>IF(B396="","",IF(F396="","Add - no amount",IF(C396="","Add - no category, it will miss the P&amp;L",IF(V396="Overdue","Overdue - pay it",IF(V396="Due soon","Due - coming up",IF(IF(I396="Yes",J396="",FALSE),"Add - how often does it recur?",IF(L396="Yes","OK","Pending")))))))</f>
        <v>0</v>
      </c>
    </row>
    <row r="397" spans="1:25">
      <c r="A397" s="28">
        <f>IF(B397="","",ExpensePrefix&amp;TEXT(ROW()-4,"0000"))</f>
        <v>0</v>
      </c>
      <c r="P397" s="15">
        <f>IF(B397="","",TEXT(B397,"yyyy-mm"))</f>
        <v>0</v>
      </c>
      <c r="Q397" s="25">
        <f>IF(B397="","",WEEKNUM(B397,2))</f>
        <v>0</v>
      </c>
      <c r="R397" s="26">
        <f>IF(B397="","",ROUND(IF(F397="",0,F397)+IF(G397="",0,G397),2))</f>
        <v>0</v>
      </c>
      <c r="S397" s="26">
        <f>IF(B397="","",IF(I397&lt;&gt;"Yes",0,ROUND(IF(F397="",0,F397)*IF(J397="Weekly",52/12,IF(J397="Fortnightly",26/12,IF(J397="Four weekly",13/12,IF(J397="Monthly",1,IF(J397="Quarterly",1/3,IF(J397="Twice a year",1/6,IF(J397="Yearly",1/12,0))))))),2)))</f>
        <v>0</v>
      </c>
      <c r="T397" s="38">
        <f>IF(B397="","",IF(I397="Yes","Yes","No"))</f>
        <v>0</v>
      </c>
      <c r="U397" s="25">
        <f>IF(B397="","",IF(L397="Yes","",IF(K397="","",TodayDate-K397)))</f>
        <v>0</v>
      </c>
      <c r="V397" s="39">
        <f>IF(B397="","",IF(L397="Yes","Paid",IF(K397="","Pending",IF(K397&lt;TodayDate,"Overdue",IF(K397&lt;=TodayDate+7,"Due soon","Pending")))))</f>
        <v>0</v>
      </c>
      <c r="W397" s="26">
        <f>IF(B397="","",IFERROR(INDEX(BudgetAmount,MATCH(C397,BudgetCategory,0))*1,0))</f>
        <v>0</v>
      </c>
      <c r="X397" s="25">
        <f>IF(B397="","",COUNTIFS($R$5:$R$604,"&gt;"&amp;R397)+COUNTIFS($R$5:R397,R397))</f>
        <v>0</v>
      </c>
      <c r="Y397" s="39">
        <f>IF(B397="","",IF(F397="","Add - no amount",IF(C397="","Add - no category, it will miss the P&amp;L",IF(V397="Overdue","Overdue - pay it",IF(V397="Due soon","Due - coming up",IF(IF(I397="Yes",J397="",FALSE),"Add - how often does it recur?",IF(L397="Yes","OK","Pending")))))))</f>
        <v>0</v>
      </c>
    </row>
    <row r="398" spans="1:25">
      <c r="A398" s="28">
        <f>IF(B398="","",ExpensePrefix&amp;TEXT(ROW()-4,"0000"))</f>
        <v>0</v>
      </c>
      <c r="P398" s="15">
        <f>IF(B398="","",TEXT(B398,"yyyy-mm"))</f>
        <v>0</v>
      </c>
      <c r="Q398" s="25">
        <f>IF(B398="","",WEEKNUM(B398,2))</f>
        <v>0</v>
      </c>
      <c r="R398" s="26">
        <f>IF(B398="","",ROUND(IF(F398="",0,F398)+IF(G398="",0,G398),2))</f>
        <v>0</v>
      </c>
      <c r="S398" s="26">
        <f>IF(B398="","",IF(I398&lt;&gt;"Yes",0,ROUND(IF(F398="",0,F398)*IF(J398="Weekly",52/12,IF(J398="Fortnightly",26/12,IF(J398="Four weekly",13/12,IF(J398="Monthly",1,IF(J398="Quarterly",1/3,IF(J398="Twice a year",1/6,IF(J398="Yearly",1/12,0))))))),2)))</f>
        <v>0</v>
      </c>
      <c r="T398" s="38">
        <f>IF(B398="","",IF(I398="Yes","Yes","No"))</f>
        <v>0</v>
      </c>
      <c r="U398" s="25">
        <f>IF(B398="","",IF(L398="Yes","",IF(K398="","",TodayDate-K398)))</f>
        <v>0</v>
      </c>
      <c r="V398" s="39">
        <f>IF(B398="","",IF(L398="Yes","Paid",IF(K398="","Pending",IF(K398&lt;TodayDate,"Overdue",IF(K398&lt;=TodayDate+7,"Due soon","Pending")))))</f>
        <v>0</v>
      </c>
      <c r="W398" s="26">
        <f>IF(B398="","",IFERROR(INDEX(BudgetAmount,MATCH(C398,BudgetCategory,0))*1,0))</f>
        <v>0</v>
      </c>
      <c r="X398" s="25">
        <f>IF(B398="","",COUNTIFS($R$5:$R$604,"&gt;"&amp;R398)+COUNTIFS($R$5:R398,R398))</f>
        <v>0</v>
      </c>
      <c r="Y398" s="39">
        <f>IF(B398="","",IF(F398="","Add - no amount",IF(C398="","Add - no category, it will miss the P&amp;L",IF(V398="Overdue","Overdue - pay it",IF(V398="Due soon","Due - coming up",IF(IF(I398="Yes",J398="",FALSE),"Add - how often does it recur?",IF(L398="Yes","OK","Pending")))))))</f>
        <v>0</v>
      </c>
    </row>
    <row r="399" spans="1:25">
      <c r="A399" s="28">
        <f>IF(B399="","",ExpensePrefix&amp;TEXT(ROW()-4,"0000"))</f>
        <v>0</v>
      </c>
      <c r="P399" s="15">
        <f>IF(B399="","",TEXT(B399,"yyyy-mm"))</f>
        <v>0</v>
      </c>
      <c r="Q399" s="25">
        <f>IF(B399="","",WEEKNUM(B399,2))</f>
        <v>0</v>
      </c>
      <c r="R399" s="26">
        <f>IF(B399="","",ROUND(IF(F399="",0,F399)+IF(G399="",0,G399),2))</f>
        <v>0</v>
      </c>
      <c r="S399" s="26">
        <f>IF(B399="","",IF(I399&lt;&gt;"Yes",0,ROUND(IF(F399="",0,F399)*IF(J399="Weekly",52/12,IF(J399="Fortnightly",26/12,IF(J399="Four weekly",13/12,IF(J399="Monthly",1,IF(J399="Quarterly",1/3,IF(J399="Twice a year",1/6,IF(J399="Yearly",1/12,0))))))),2)))</f>
        <v>0</v>
      </c>
      <c r="T399" s="38">
        <f>IF(B399="","",IF(I399="Yes","Yes","No"))</f>
        <v>0</v>
      </c>
      <c r="U399" s="25">
        <f>IF(B399="","",IF(L399="Yes","",IF(K399="","",TodayDate-K399)))</f>
        <v>0</v>
      </c>
      <c r="V399" s="39">
        <f>IF(B399="","",IF(L399="Yes","Paid",IF(K399="","Pending",IF(K399&lt;TodayDate,"Overdue",IF(K399&lt;=TodayDate+7,"Due soon","Pending")))))</f>
        <v>0</v>
      </c>
      <c r="W399" s="26">
        <f>IF(B399="","",IFERROR(INDEX(BudgetAmount,MATCH(C399,BudgetCategory,0))*1,0))</f>
        <v>0</v>
      </c>
      <c r="X399" s="25">
        <f>IF(B399="","",COUNTIFS($R$5:$R$604,"&gt;"&amp;R399)+COUNTIFS($R$5:R399,R399))</f>
        <v>0</v>
      </c>
      <c r="Y399" s="39">
        <f>IF(B399="","",IF(F399="","Add - no amount",IF(C399="","Add - no category, it will miss the P&amp;L",IF(V399="Overdue","Overdue - pay it",IF(V399="Due soon","Due - coming up",IF(IF(I399="Yes",J399="",FALSE),"Add - how often does it recur?",IF(L399="Yes","OK","Pending")))))))</f>
        <v>0</v>
      </c>
    </row>
    <row r="400" spans="1:25">
      <c r="A400" s="28">
        <f>IF(B400="","",ExpensePrefix&amp;TEXT(ROW()-4,"0000"))</f>
        <v>0</v>
      </c>
      <c r="P400" s="15">
        <f>IF(B400="","",TEXT(B400,"yyyy-mm"))</f>
        <v>0</v>
      </c>
      <c r="Q400" s="25">
        <f>IF(B400="","",WEEKNUM(B400,2))</f>
        <v>0</v>
      </c>
      <c r="R400" s="26">
        <f>IF(B400="","",ROUND(IF(F400="",0,F400)+IF(G400="",0,G400),2))</f>
        <v>0</v>
      </c>
      <c r="S400" s="26">
        <f>IF(B400="","",IF(I400&lt;&gt;"Yes",0,ROUND(IF(F400="",0,F400)*IF(J400="Weekly",52/12,IF(J400="Fortnightly",26/12,IF(J400="Four weekly",13/12,IF(J400="Monthly",1,IF(J400="Quarterly",1/3,IF(J400="Twice a year",1/6,IF(J400="Yearly",1/12,0))))))),2)))</f>
        <v>0</v>
      </c>
      <c r="T400" s="38">
        <f>IF(B400="","",IF(I400="Yes","Yes","No"))</f>
        <v>0</v>
      </c>
      <c r="U400" s="25">
        <f>IF(B400="","",IF(L400="Yes","",IF(K400="","",TodayDate-K400)))</f>
        <v>0</v>
      </c>
      <c r="V400" s="39">
        <f>IF(B400="","",IF(L400="Yes","Paid",IF(K400="","Pending",IF(K400&lt;TodayDate,"Overdue",IF(K400&lt;=TodayDate+7,"Due soon","Pending")))))</f>
        <v>0</v>
      </c>
      <c r="W400" s="26">
        <f>IF(B400="","",IFERROR(INDEX(BudgetAmount,MATCH(C400,BudgetCategory,0))*1,0))</f>
        <v>0</v>
      </c>
      <c r="X400" s="25">
        <f>IF(B400="","",COUNTIFS($R$5:$R$604,"&gt;"&amp;R400)+COUNTIFS($R$5:R400,R400))</f>
        <v>0</v>
      </c>
      <c r="Y400" s="39">
        <f>IF(B400="","",IF(F400="","Add - no amount",IF(C400="","Add - no category, it will miss the P&amp;L",IF(V400="Overdue","Overdue - pay it",IF(V400="Due soon","Due - coming up",IF(IF(I400="Yes",J400="",FALSE),"Add - how often does it recur?",IF(L400="Yes","OK","Pending")))))))</f>
        <v>0</v>
      </c>
    </row>
    <row r="401" spans="1:25">
      <c r="A401" s="28">
        <f>IF(B401="","",ExpensePrefix&amp;TEXT(ROW()-4,"0000"))</f>
        <v>0</v>
      </c>
      <c r="P401" s="15">
        <f>IF(B401="","",TEXT(B401,"yyyy-mm"))</f>
        <v>0</v>
      </c>
      <c r="Q401" s="25">
        <f>IF(B401="","",WEEKNUM(B401,2))</f>
        <v>0</v>
      </c>
      <c r="R401" s="26">
        <f>IF(B401="","",ROUND(IF(F401="",0,F401)+IF(G401="",0,G401),2))</f>
        <v>0</v>
      </c>
      <c r="S401" s="26">
        <f>IF(B401="","",IF(I401&lt;&gt;"Yes",0,ROUND(IF(F401="",0,F401)*IF(J401="Weekly",52/12,IF(J401="Fortnightly",26/12,IF(J401="Four weekly",13/12,IF(J401="Monthly",1,IF(J401="Quarterly",1/3,IF(J401="Twice a year",1/6,IF(J401="Yearly",1/12,0))))))),2)))</f>
        <v>0</v>
      </c>
      <c r="T401" s="38">
        <f>IF(B401="","",IF(I401="Yes","Yes","No"))</f>
        <v>0</v>
      </c>
      <c r="U401" s="25">
        <f>IF(B401="","",IF(L401="Yes","",IF(K401="","",TodayDate-K401)))</f>
        <v>0</v>
      </c>
      <c r="V401" s="39">
        <f>IF(B401="","",IF(L401="Yes","Paid",IF(K401="","Pending",IF(K401&lt;TodayDate,"Overdue",IF(K401&lt;=TodayDate+7,"Due soon","Pending")))))</f>
        <v>0</v>
      </c>
      <c r="W401" s="26">
        <f>IF(B401="","",IFERROR(INDEX(BudgetAmount,MATCH(C401,BudgetCategory,0))*1,0))</f>
        <v>0</v>
      </c>
      <c r="X401" s="25">
        <f>IF(B401="","",COUNTIFS($R$5:$R$604,"&gt;"&amp;R401)+COUNTIFS($R$5:R401,R401))</f>
        <v>0</v>
      </c>
      <c r="Y401" s="39">
        <f>IF(B401="","",IF(F401="","Add - no amount",IF(C401="","Add - no category, it will miss the P&amp;L",IF(V401="Overdue","Overdue - pay it",IF(V401="Due soon","Due - coming up",IF(IF(I401="Yes",J401="",FALSE),"Add - how often does it recur?",IF(L401="Yes","OK","Pending")))))))</f>
        <v>0</v>
      </c>
    </row>
    <row r="402" spans="1:25">
      <c r="A402" s="28">
        <f>IF(B402="","",ExpensePrefix&amp;TEXT(ROW()-4,"0000"))</f>
        <v>0</v>
      </c>
      <c r="P402" s="15">
        <f>IF(B402="","",TEXT(B402,"yyyy-mm"))</f>
        <v>0</v>
      </c>
      <c r="Q402" s="25">
        <f>IF(B402="","",WEEKNUM(B402,2))</f>
        <v>0</v>
      </c>
      <c r="R402" s="26">
        <f>IF(B402="","",ROUND(IF(F402="",0,F402)+IF(G402="",0,G402),2))</f>
        <v>0</v>
      </c>
      <c r="S402" s="26">
        <f>IF(B402="","",IF(I402&lt;&gt;"Yes",0,ROUND(IF(F402="",0,F402)*IF(J402="Weekly",52/12,IF(J402="Fortnightly",26/12,IF(J402="Four weekly",13/12,IF(J402="Monthly",1,IF(J402="Quarterly",1/3,IF(J402="Twice a year",1/6,IF(J402="Yearly",1/12,0))))))),2)))</f>
        <v>0</v>
      </c>
      <c r="T402" s="38">
        <f>IF(B402="","",IF(I402="Yes","Yes","No"))</f>
        <v>0</v>
      </c>
      <c r="U402" s="25">
        <f>IF(B402="","",IF(L402="Yes","",IF(K402="","",TodayDate-K402)))</f>
        <v>0</v>
      </c>
      <c r="V402" s="39">
        <f>IF(B402="","",IF(L402="Yes","Paid",IF(K402="","Pending",IF(K402&lt;TodayDate,"Overdue",IF(K402&lt;=TodayDate+7,"Due soon","Pending")))))</f>
        <v>0</v>
      </c>
      <c r="W402" s="26">
        <f>IF(B402="","",IFERROR(INDEX(BudgetAmount,MATCH(C402,BudgetCategory,0))*1,0))</f>
        <v>0</v>
      </c>
      <c r="X402" s="25">
        <f>IF(B402="","",COUNTIFS($R$5:$R$604,"&gt;"&amp;R402)+COUNTIFS($R$5:R402,R402))</f>
        <v>0</v>
      </c>
      <c r="Y402" s="39">
        <f>IF(B402="","",IF(F402="","Add - no amount",IF(C402="","Add - no category, it will miss the P&amp;L",IF(V402="Overdue","Overdue - pay it",IF(V402="Due soon","Due - coming up",IF(IF(I402="Yes",J402="",FALSE),"Add - how often does it recur?",IF(L402="Yes","OK","Pending")))))))</f>
        <v>0</v>
      </c>
    </row>
    <row r="403" spans="1:25">
      <c r="A403" s="28">
        <f>IF(B403="","",ExpensePrefix&amp;TEXT(ROW()-4,"0000"))</f>
        <v>0</v>
      </c>
      <c r="P403" s="15">
        <f>IF(B403="","",TEXT(B403,"yyyy-mm"))</f>
        <v>0</v>
      </c>
      <c r="Q403" s="25">
        <f>IF(B403="","",WEEKNUM(B403,2))</f>
        <v>0</v>
      </c>
      <c r="R403" s="26">
        <f>IF(B403="","",ROUND(IF(F403="",0,F403)+IF(G403="",0,G403),2))</f>
        <v>0</v>
      </c>
      <c r="S403" s="26">
        <f>IF(B403="","",IF(I403&lt;&gt;"Yes",0,ROUND(IF(F403="",0,F403)*IF(J403="Weekly",52/12,IF(J403="Fortnightly",26/12,IF(J403="Four weekly",13/12,IF(J403="Monthly",1,IF(J403="Quarterly",1/3,IF(J403="Twice a year",1/6,IF(J403="Yearly",1/12,0))))))),2)))</f>
        <v>0</v>
      </c>
      <c r="T403" s="38">
        <f>IF(B403="","",IF(I403="Yes","Yes","No"))</f>
        <v>0</v>
      </c>
      <c r="U403" s="25">
        <f>IF(B403="","",IF(L403="Yes","",IF(K403="","",TodayDate-K403)))</f>
        <v>0</v>
      </c>
      <c r="V403" s="39">
        <f>IF(B403="","",IF(L403="Yes","Paid",IF(K403="","Pending",IF(K403&lt;TodayDate,"Overdue",IF(K403&lt;=TodayDate+7,"Due soon","Pending")))))</f>
        <v>0</v>
      </c>
      <c r="W403" s="26">
        <f>IF(B403="","",IFERROR(INDEX(BudgetAmount,MATCH(C403,BudgetCategory,0))*1,0))</f>
        <v>0</v>
      </c>
      <c r="X403" s="25">
        <f>IF(B403="","",COUNTIFS($R$5:$R$604,"&gt;"&amp;R403)+COUNTIFS($R$5:R403,R403))</f>
        <v>0</v>
      </c>
      <c r="Y403" s="39">
        <f>IF(B403="","",IF(F403="","Add - no amount",IF(C403="","Add - no category, it will miss the P&amp;L",IF(V403="Overdue","Overdue - pay it",IF(V403="Due soon","Due - coming up",IF(IF(I403="Yes",J403="",FALSE),"Add - how often does it recur?",IF(L403="Yes","OK","Pending")))))))</f>
        <v>0</v>
      </c>
    </row>
    <row r="404" spans="1:25">
      <c r="A404" s="28">
        <f>IF(B404="","",ExpensePrefix&amp;TEXT(ROW()-4,"0000"))</f>
        <v>0</v>
      </c>
      <c r="P404" s="15">
        <f>IF(B404="","",TEXT(B404,"yyyy-mm"))</f>
        <v>0</v>
      </c>
      <c r="Q404" s="25">
        <f>IF(B404="","",WEEKNUM(B404,2))</f>
        <v>0</v>
      </c>
      <c r="R404" s="26">
        <f>IF(B404="","",ROUND(IF(F404="",0,F404)+IF(G404="",0,G404),2))</f>
        <v>0</v>
      </c>
      <c r="S404" s="26">
        <f>IF(B404="","",IF(I404&lt;&gt;"Yes",0,ROUND(IF(F404="",0,F404)*IF(J404="Weekly",52/12,IF(J404="Fortnightly",26/12,IF(J404="Four weekly",13/12,IF(J404="Monthly",1,IF(J404="Quarterly",1/3,IF(J404="Twice a year",1/6,IF(J404="Yearly",1/12,0))))))),2)))</f>
        <v>0</v>
      </c>
      <c r="T404" s="38">
        <f>IF(B404="","",IF(I404="Yes","Yes","No"))</f>
        <v>0</v>
      </c>
      <c r="U404" s="25">
        <f>IF(B404="","",IF(L404="Yes","",IF(K404="","",TodayDate-K404)))</f>
        <v>0</v>
      </c>
      <c r="V404" s="39">
        <f>IF(B404="","",IF(L404="Yes","Paid",IF(K404="","Pending",IF(K404&lt;TodayDate,"Overdue",IF(K404&lt;=TodayDate+7,"Due soon","Pending")))))</f>
        <v>0</v>
      </c>
      <c r="W404" s="26">
        <f>IF(B404="","",IFERROR(INDEX(BudgetAmount,MATCH(C404,BudgetCategory,0))*1,0))</f>
        <v>0</v>
      </c>
      <c r="X404" s="25">
        <f>IF(B404="","",COUNTIFS($R$5:$R$604,"&gt;"&amp;R404)+COUNTIFS($R$5:R404,R404))</f>
        <v>0</v>
      </c>
      <c r="Y404" s="39">
        <f>IF(B404="","",IF(F404="","Add - no amount",IF(C404="","Add - no category, it will miss the P&amp;L",IF(V404="Overdue","Overdue - pay it",IF(V404="Due soon","Due - coming up",IF(IF(I404="Yes",J404="",FALSE),"Add - how often does it recur?",IF(L404="Yes","OK","Pending")))))))</f>
        <v>0</v>
      </c>
    </row>
    <row r="405" spans="1:25">
      <c r="A405" s="28">
        <f>IF(B405="","",ExpensePrefix&amp;TEXT(ROW()-4,"0000"))</f>
        <v>0</v>
      </c>
      <c r="P405" s="15">
        <f>IF(B405="","",TEXT(B405,"yyyy-mm"))</f>
        <v>0</v>
      </c>
      <c r="Q405" s="25">
        <f>IF(B405="","",WEEKNUM(B405,2))</f>
        <v>0</v>
      </c>
      <c r="R405" s="26">
        <f>IF(B405="","",ROUND(IF(F405="",0,F405)+IF(G405="",0,G405),2))</f>
        <v>0</v>
      </c>
      <c r="S405" s="26">
        <f>IF(B405="","",IF(I405&lt;&gt;"Yes",0,ROUND(IF(F405="",0,F405)*IF(J405="Weekly",52/12,IF(J405="Fortnightly",26/12,IF(J405="Four weekly",13/12,IF(J405="Monthly",1,IF(J405="Quarterly",1/3,IF(J405="Twice a year",1/6,IF(J405="Yearly",1/12,0))))))),2)))</f>
        <v>0</v>
      </c>
      <c r="T405" s="38">
        <f>IF(B405="","",IF(I405="Yes","Yes","No"))</f>
        <v>0</v>
      </c>
      <c r="U405" s="25">
        <f>IF(B405="","",IF(L405="Yes","",IF(K405="","",TodayDate-K405)))</f>
        <v>0</v>
      </c>
      <c r="V405" s="39">
        <f>IF(B405="","",IF(L405="Yes","Paid",IF(K405="","Pending",IF(K405&lt;TodayDate,"Overdue",IF(K405&lt;=TodayDate+7,"Due soon","Pending")))))</f>
        <v>0</v>
      </c>
      <c r="W405" s="26">
        <f>IF(B405="","",IFERROR(INDEX(BudgetAmount,MATCH(C405,BudgetCategory,0))*1,0))</f>
        <v>0</v>
      </c>
      <c r="X405" s="25">
        <f>IF(B405="","",COUNTIFS($R$5:$R$604,"&gt;"&amp;R405)+COUNTIFS($R$5:R405,R405))</f>
        <v>0</v>
      </c>
      <c r="Y405" s="39">
        <f>IF(B405="","",IF(F405="","Add - no amount",IF(C405="","Add - no category, it will miss the P&amp;L",IF(V405="Overdue","Overdue - pay it",IF(V405="Due soon","Due - coming up",IF(IF(I405="Yes",J405="",FALSE),"Add - how often does it recur?",IF(L405="Yes","OK","Pending")))))))</f>
        <v>0</v>
      </c>
    </row>
    <row r="406" spans="1:25">
      <c r="A406" s="28">
        <f>IF(B406="","",ExpensePrefix&amp;TEXT(ROW()-4,"0000"))</f>
        <v>0</v>
      </c>
      <c r="P406" s="15">
        <f>IF(B406="","",TEXT(B406,"yyyy-mm"))</f>
        <v>0</v>
      </c>
      <c r="Q406" s="25">
        <f>IF(B406="","",WEEKNUM(B406,2))</f>
        <v>0</v>
      </c>
      <c r="R406" s="26">
        <f>IF(B406="","",ROUND(IF(F406="",0,F406)+IF(G406="",0,G406),2))</f>
        <v>0</v>
      </c>
      <c r="S406" s="26">
        <f>IF(B406="","",IF(I406&lt;&gt;"Yes",0,ROUND(IF(F406="",0,F406)*IF(J406="Weekly",52/12,IF(J406="Fortnightly",26/12,IF(J406="Four weekly",13/12,IF(J406="Monthly",1,IF(J406="Quarterly",1/3,IF(J406="Twice a year",1/6,IF(J406="Yearly",1/12,0))))))),2)))</f>
        <v>0</v>
      </c>
      <c r="T406" s="38">
        <f>IF(B406="","",IF(I406="Yes","Yes","No"))</f>
        <v>0</v>
      </c>
      <c r="U406" s="25">
        <f>IF(B406="","",IF(L406="Yes","",IF(K406="","",TodayDate-K406)))</f>
        <v>0</v>
      </c>
      <c r="V406" s="39">
        <f>IF(B406="","",IF(L406="Yes","Paid",IF(K406="","Pending",IF(K406&lt;TodayDate,"Overdue",IF(K406&lt;=TodayDate+7,"Due soon","Pending")))))</f>
        <v>0</v>
      </c>
      <c r="W406" s="26">
        <f>IF(B406="","",IFERROR(INDEX(BudgetAmount,MATCH(C406,BudgetCategory,0))*1,0))</f>
        <v>0</v>
      </c>
      <c r="X406" s="25">
        <f>IF(B406="","",COUNTIFS($R$5:$R$604,"&gt;"&amp;R406)+COUNTIFS($R$5:R406,R406))</f>
        <v>0</v>
      </c>
      <c r="Y406" s="39">
        <f>IF(B406="","",IF(F406="","Add - no amount",IF(C406="","Add - no category, it will miss the P&amp;L",IF(V406="Overdue","Overdue - pay it",IF(V406="Due soon","Due - coming up",IF(IF(I406="Yes",J406="",FALSE),"Add - how often does it recur?",IF(L406="Yes","OK","Pending")))))))</f>
        <v>0</v>
      </c>
    </row>
    <row r="407" spans="1:25">
      <c r="A407" s="28">
        <f>IF(B407="","",ExpensePrefix&amp;TEXT(ROW()-4,"0000"))</f>
        <v>0</v>
      </c>
      <c r="P407" s="15">
        <f>IF(B407="","",TEXT(B407,"yyyy-mm"))</f>
        <v>0</v>
      </c>
      <c r="Q407" s="25">
        <f>IF(B407="","",WEEKNUM(B407,2))</f>
        <v>0</v>
      </c>
      <c r="R407" s="26">
        <f>IF(B407="","",ROUND(IF(F407="",0,F407)+IF(G407="",0,G407),2))</f>
        <v>0</v>
      </c>
      <c r="S407" s="26">
        <f>IF(B407="","",IF(I407&lt;&gt;"Yes",0,ROUND(IF(F407="",0,F407)*IF(J407="Weekly",52/12,IF(J407="Fortnightly",26/12,IF(J407="Four weekly",13/12,IF(J407="Monthly",1,IF(J407="Quarterly",1/3,IF(J407="Twice a year",1/6,IF(J407="Yearly",1/12,0))))))),2)))</f>
        <v>0</v>
      </c>
      <c r="T407" s="38">
        <f>IF(B407="","",IF(I407="Yes","Yes","No"))</f>
        <v>0</v>
      </c>
      <c r="U407" s="25">
        <f>IF(B407="","",IF(L407="Yes","",IF(K407="","",TodayDate-K407)))</f>
        <v>0</v>
      </c>
      <c r="V407" s="39">
        <f>IF(B407="","",IF(L407="Yes","Paid",IF(K407="","Pending",IF(K407&lt;TodayDate,"Overdue",IF(K407&lt;=TodayDate+7,"Due soon","Pending")))))</f>
        <v>0</v>
      </c>
      <c r="W407" s="26">
        <f>IF(B407="","",IFERROR(INDEX(BudgetAmount,MATCH(C407,BudgetCategory,0))*1,0))</f>
        <v>0</v>
      </c>
      <c r="X407" s="25">
        <f>IF(B407="","",COUNTIFS($R$5:$R$604,"&gt;"&amp;R407)+COUNTIFS($R$5:R407,R407))</f>
        <v>0</v>
      </c>
      <c r="Y407" s="39">
        <f>IF(B407="","",IF(F407="","Add - no amount",IF(C407="","Add - no category, it will miss the P&amp;L",IF(V407="Overdue","Overdue - pay it",IF(V407="Due soon","Due - coming up",IF(IF(I407="Yes",J407="",FALSE),"Add - how often does it recur?",IF(L407="Yes","OK","Pending")))))))</f>
        <v>0</v>
      </c>
    </row>
    <row r="408" spans="1:25">
      <c r="A408" s="28">
        <f>IF(B408="","",ExpensePrefix&amp;TEXT(ROW()-4,"0000"))</f>
        <v>0</v>
      </c>
      <c r="P408" s="15">
        <f>IF(B408="","",TEXT(B408,"yyyy-mm"))</f>
        <v>0</v>
      </c>
      <c r="Q408" s="25">
        <f>IF(B408="","",WEEKNUM(B408,2))</f>
        <v>0</v>
      </c>
      <c r="R408" s="26">
        <f>IF(B408="","",ROUND(IF(F408="",0,F408)+IF(G408="",0,G408),2))</f>
        <v>0</v>
      </c>
      <c r="S408" s="26">
        <f>IF(B408="","",IF(I408&lt;&gt;"Yes",0,ROUND(IF(F408="",0,F408)*IF(J408="Weekly",52/12,IF(J408="Fortnightly",26/12,IF(J408="Four weekly",13/12,IF(J408="Monthly",1,IF(J408="Quarterly",1/3,IF(J408="Twice a year",1/6,IF(J408="Yearly",1/12,0))))))),2)))</f>
        <v>0</v>
      </c>
      <c r="T408" s="38">
        <f>IF(B408="","",IF(I408="Yes","Yes","No"))</f>
        <v>0</v>
      </c>
      <c r="U408" s="25">
        <f>IF(B408="","",IF(L408="Yes","",IF(K408="","",TodayDate-K408)))</f>
        <v>0</v>
      </c>
      <c r="V408" s="39">
        <f>IF(B408="","",IF(L408="Yes","Paid",IF(K408="","Pending",IF(K408&lt;TodayDate,"Overdue",IF(K408&lt;=TodayDate+7,"Due soon","Pending")))))</f>
        <v>0</v>
      </c>
      <c r="W408" s="26">
        <f>IF(B408="","",IFERROR(INDEX(BudgetAmount,MATCH(C408,BudgetCategory,0))*1,0))</f>
        <v>0</v>
      </c>
      <c r="X408" s="25">
        <f>IF(B408="","",COUNTIFS($R$5:$R$604,"&gt;"&amp;R408)+COUNTIFS($R$5:R408,R408))</f>
        <v>0</v>
      </c>
      <c r="Y408" s="39">
        <f>IF(B408="","",IF(F408="","Add - no amount",IF(C408="","Add - no category, it will miss the P&amp;L",IF(V408="Overdue","Overdue - pay it",IF(V408="Due soon","Due - coming up",IF(IF(I408="Yes",J408="",FALSE),"Add - how often does it recur?",IF(L408="Yes","OK","Pending")))))))</f>
        <v>0</v>
      </c>
    </row>
    <row r="409" spans="1:25">
      <c r="A409" s="28">
        <f>IF(B409="","",ExpensePrefix&amp;TEXT(ROW()-4,"0000"))</f>
        <v>0</v>
      </c>
      <c r="P409" s="15">
        <f>IF(B409="","",TEXT(B409,"yyyy-mm"))</f>
        <v>0</v>
      </c>
      <c r="Q409" s="25">
        <f>IF(B409="","",WEEKNUM(B409,2))</f>
        <v>0</v>
      </c>
      <c r="R409" s="26">
        <f>IF(B409="","",ROUND(IF(F409="",0,F409)+IF(G409="",0,G409),2))</f>
        <v>0</v>
      </c>
      <c r="S409" s="26">
        <f>IF(B409="","",IF(I409&lt;&gt;"Yes",0,ROUND(IF(F409="",0,F409)*IF(J409="Weekly",52/12,IF(J409="Fortnightly",26/12,IF(J409="Four weekly",13/12,IF(J409="Monthly",1,IF(J409="Quarterly",1/3,IF(J409="Twice a year",1/6,IF(J409="Yearly",1/12,0))))))),2)))</f>
        <v>0</v>
      </c>
      <c r="T409" s="38">
        <f>IF(B409="","",IF(I409="Yes","Yes","No"))</f>
        <v>0</v>
      </c>
      <c r="U409" s="25">
        <f>IF(B409="","",IF(L409="Yes","",IF(K409="","",TodayDate-K409)))</f>
        <v>0</v>
      </c>
      <c r="V409" s="39">
        <f>IF(B409="","",IF(L409="Yes","Paid",IF(K409="","Pending",IF(K409&lt;TodayDate,"Overdue",IF(K409&lt;=TodayDate+7,"Due soon","Pending")))))</f>
        <v>0</v>
      </c>
      <c r="W409" s="26">
        <f>IF(B409="","",IFERROR(INDEX(BudgetAmount,MATCH(C409,BudgetCategory,0))*1,0))</f>
        <v>0</v>
      </c>
      <c r="X409" s="25">
        <f>IF(B409="","",COUNTIFS($R$5:$R$604,"&gt;"&amp;R409)+COUNTIFS($R$5:R409,R409))</f>
        <v>0</v>
      </c>
      <c r="Y409" s="39">
        <f>IF(B409="","",IF(F409="","Add - no amount",IF(C409="","Add - no category, it will miss the P&amp;L",IF(V409="Overdue","Overdue - pay it",IF(V409="Due soon","Due - coming up",IF(IF(I409="Yes",J409="",FALSE),"Add - how often does it recur?",IF(L409="Yes","OK","Pending")))))))</f>
        <v>0</v>
      </c>
    </row>
    <row r="410" spans="1:25">
      <c r="A410" s="28">
        <f>IF(B410="","",ExpensePrefix&amp;TEXT(ROW()-4,"0000"))</f>
        <v>0</v>
      </c>
      <c r="P410" s="15">
        <f>IF(B410="","",TEXT(B410,"yyyy-mm"))</f>
        <v>0</v>
      </c>
      <c r="Q410" s="25">
        <f>IF(B410="","",WEEKNUM(B410,2))</f>
        <v>0</v>
      </c>
      <c r="R410" s="26">
        <f>IF(B410="","",ROUND(IF(F410="",0,F410)+IF(G410="",0,G410),2))</f>
        <v>0</v>
      </c>
      <c r="S410" s="26">
        <f>IF(B410="","",IF(I410&lt;&gt;"Yes",0,ROUND(IF(F410="",0,F410)*IF(J410="Weekly",52/12,IF(J410="Fortnightly",26/12,IF(J410="Four weekly",13/12,IF(J410="Monthly",1,IF(J410="Quarterly",1/3,IF(J410="Twice a year",1/6,IF(J410="Yearly",1/12,0))))))),2)))</f>
        <v>0</v>
      </c>
      <c r="T410" s="38">
        <f>IF(B410="","",IF(I410="Yes","Yes","No"))</f>
        <v>0</v>
      </c>
      <c r="U410" s="25">
        <f>IF(B410="","",IF(L410="Yes","",IF(K410="","",TodayDate-K410)))</f>
        <v>0</v>
      </c>
      <c r="V410" s="39">
        <f>IF(B410="","",IF(L410="Yes","Paid",IF(K410="","Pending",IF(K410&lt;TodayDate,"Overdue",IF(K410&lt;=TodayDate+7,"Due soon","Pending")))))</f>
        <v>0</v>
      </c>
      <c r="W410" s="26">
        <f>IF(B410="","",IFERROR(INDEX(BudgetAmount,MATCH(C410,BudgetCategory,0))*1,0))</f>
        <v>0</v>
      </c>
      <c r="X410" s="25">
        <f>IF(B410="","",COUNTIFS($R$5:$R$604,"&gt;"&amp;R410)+COUNTIFS($R$5:R410,R410))</f>
        <v>0</v>
      </c>
      <c r="Y410" s="39">
        <f>IF(B410="","",IF(F410="","Add - no amount",IF(C410="","Add - no category, it will miss the P&amp;L",IF(V410="Overdue","Overdue - pay it",IF(V410="Due soon","Due - coming up",IF(IF(I410="Yes",J410="",FALSE),"Add - how often does it recur?",IF(L410="Yes","OK","Pending")))))))</f>
        <v>0</v>
      </c>
    </row>
    <row r="411" spans="1:25">
      <c r="A411" s="28">
        <f>IF(B411="","",ExpensePrefix&amp;TEXT(ROW()-4,"0000"))</f>
        <v>0</v>
      </c>
      <c r="P411" s="15">
        <f>IF(B411="","",TEXT(B411,"yyyy-mm"))</f>
        <v>0</v>
      </c>
      <c r="Q411" s="25">
        <f>IF(B411="","",WEEKNUM(B411,2))</f>
        <v>0</v>
      </c>
      <c r="R411" s="26">
        <f>IF(B411="","",ROUND(IF(F411="",0,F411)+IF(G411="",0,G411),2))</f>
        <v>0</v>
      </c>
      <c r="S411" s="26">
        <f>IF(B411="","",IF(I411&lt;&gt;"Yes",0,ROUND(IF(F411="",0,F411)*IF(J411="Weekly",52/12,IF(J411="Fortnightly",26/12,IF(J411="Four weekly",13/12,IF(J411="Monthly",1,IF(J411="Quarterly",1/3,IF(J411="Twice a year",1/6,IF(J411="Yearly",1/12,0))))))),2)))</f>
        <v>0</v>
      </c>
      <c r="T411" s="38">
        <f>IF(B411="","",IF(I411="Yes","Yes","No"))</f>
        <v>0</v>
      </c>
      <c r="U411" s="25">
        <f>IF(B411="","",IF(L411="Yes","",IF(K411="","",TodayDate-K411)))</f>
        <v>0</v>
      </c>
      <c r="V411" s="39">
        <f>IF(B411="","",IF(L411="Yes","Paid",IF(K411="","Pending",IF(K411&lt;TodayDate,"Overdue",IF(K411&lt;=TodayDate+7,"Due soon","Pending")))))</f>
        <v>0</v>
      </c>
      <c r="W411" s="26">
        <f>IF(B411="","",IFERROR(INDEX(BudgetAmount,MATCH(C411,BudgetCategory,0))*1,0))</f>
        <v>0</v>
      </c>
      <c r="X411" s="25">
        <f>IF(B411="","",COUNTIFS($R$5:$R$604,"&gt;"&amp;R411)+COUNTIFS($R$5:R411,R411))</f>
        <v>0</v>
      </c>
      <c r="Y411" s="39">
        <f>IF(B411="","",IF(F411="","Add - no amount",IF(C411="","Add - no category, it will miss the P&amp;L",IF(V411="Overdue","Overdue - pay it",IF(V411="Due soon","Due - coming up",IF(IF(I411="Yes",J411="",FALSE),"Add - how often does it recur?",IF(L411="Yes","OK","Pending")))))))</f>
        <v>0</v>
      </c>
    </row>
    <row r="412" spans="1:25">
      <c r="A412" s="28">
        <f>IF(B412="","",ExpensePrefix&amp;TEXT(ROW()-4,"0000"))</f>
        <v>0</v>
      </c>
      <c r="P412" s="15">
        <f>IF(B412="","",TEXT(B412,"yyyy-mm"))</f>
        <v>0</v>
      </c>
      <c r="Q412" s="25">
        <f>IF(B412="","",WEEKNUM(B412,2))</f>
        <v>0</v>
      </c>
      <c r="R412" s="26">
        <f>IF(B412="","",ROUND(IF(F412="",0,F412)+IF(G412="",0,G412),2))</f>
        <v>0</v>
      </c>
      <c r="S412" s="26">
        <f>IF(B412="","",IF(I412&lt;&gt;"Yes",0,ROUND(IF(F412="",0,F412)*IF(J412="Weekly",52/12,IF(J412="Fortnightly",26/12,IF(J412="Four weekly",13/12,IF(J412="Monthly",1,IF(J412="Quarterly",1/3,IF(J412="Twice a year",1/6,IF(J412="Yearly",1/12,0))))))),2)))</f>
        <v>0</v>
      </c>
      <c r="T412" s="38">
        <f>IF(B412="","",IF(I412="Yes","Yes","No"))</f>
        <v>0</v>
      </c>
      <c r="U412" s="25">
        <f>IF(B412="","",IF(L412="Yes","",IF(K412="","",TodayDate-K412)))</f>
        <v>0</v>
      </c>
      <c r="V412" s="39">
        <f>IF(B412="","",IF(L412="Yes","Paid",IF(K412="","Pending",IF(K412&lt;TodayDate,"Overdue",IF(K412&lt;=TodayDate+7,"Due soon","Pending")))))</f>
        <v>0</v>
      </c>
      <c r="W412" s="26">
        <f>IF(B412="","",IFERROR(INDEX(BudgetAmount,MATCH(C412,BudgetCategory,0))*1,0))</f>
        <v>0</v>
      </c>
      <c r="X412" s="25">
        <f>IF(B412="","",COUNTIFS($R$5:$R$604,"&gt;"&amp;R412)+COUNTIFS($R$5:R412,R412))</f>
        <v>0</v>
      </c>
      <c r="Y412" s="39">
        <f>IF(B412="","",IF(F412="","Add - no amount",IF(C412="","Add - no category, it will miss the P&amp;L",IF(V412="Overdue","Overdue - pay it",IF(V412="Due soon","Due - coming up",IF(IF(I412="Yes",J412="",FALSE),"Add - how often does it recur?",IF(L412="Yes","OK","Pending")))))))</f>
        <v>0</v>
      </c>
    </row>
    <row r="413" spans="1:25">
      <c r="A413" s="28">
        <f>IF(B413="","",ExpensePrefix&amp;TEXT(ROW()-4,"0000"))</f>
        <v>0</v>
      </c>
      <c r="P413" s="15">
        <f>IF(B413="","",TEXT(B413,"yyyy-mm"))</f>
        <v>0</v>
      </c>
      <c r="Q413" s="25">
        <f>IF(B413="","",WEEKNUM(B413,2))</f>
        <v>0</v>
      </c>
      <c r="R413" s="26">
        <f>IF(B413="","",ROUND(IF(F413="",0,F413)+IF(G413="",0,G413),2))</f>
        <v>0</v>
      </c>
      <c r="S413" s="26">
        <f>IF(B413="","",IF(I413&lt;&gt;"Yes",0,ROUND(IF(F413="",0,F413)*IF(J413="Weekly",52/12,IF(J413="Fortnightly",26/12,IF(J413="Four weekly",13/12,IF(J413="Monthly",1,IF(J413="Quarterly",1/3,IF(J413="Twice a year",1/6,IF(J413="Yearly",1/12,0))))))),2)))</f>
        <v>0</v>
      </c>
      <c r="T413" s="38">
        <f>IF(B413="","",IF(I413="Yes","Yes","No"))</f>
        <v>0</v>
      </c>
      <c r="U413" s="25">
        <f>IF(B413="","",IF(L413="Yes","",IF(K413="","",TodayDate-K413)))</f>
        <v>0</v>
      </c>
      <c r="V413" s="39">
        <f>IF(B413="","",IF(L413="Yes","Paid",IF(K413="","Pending",IF(K413&lt;TodayDate,"Overdue",IF(K413&lt;=TodayDate+7,"Due soon","Pending")))))</f>
        <v>0</v>
      </c>
      <c r="W413" s="26">
        <f>IF(B413="","",IFERROR(INDEX(BudgetAmount,MATCH(C413,BudgetCategory,0))*1,0))</f>
        <v>0</v>
      </c>
      <c r="X413" s="25">
        <f>IF(B413="","",COUNTIFS($R$5:$R$604,"&gt;"&amp;R413)+COUNTIFS($R$5:R413,R413))</f>
        <v>0</v>
      </c>
      <c r="Y413" s="39">
        <f>IF(B413="","",IF(F413="","Add - no amount",IF(C413="","Add - no category, it will miss the P&amp;L",IF(V413="Overdue","Overdue - pay it",IF(V413="Due soon","Due - coming up",IF(IF(I413="Yes",J413="",FALSE),"Add - how often does it recur?",IF(L413="Yes","OK","Pending")))))))</f>
        <v>0</v>
      </c>
    </row>
    <row r="414" spans="1:25">
      <c r="A414" s="28">
        <f>IF(B414="","",ExpensePrefix&amp;TEXT(ROW()-4,"0000"))</f>
        <v>0</v>
      </c>
      <c r="P414" s="15">
        <f>IF(B414="","",TEXT(B414,"yyyy-mm"))</f>
        <v>0</v>
      </c>
      <c r="Q414" s="25">
        <f>IF(B414="","",WEEKNUM(B414,2))</f>
        <v>0</v>
      </c>
      <c r="R414" s="26">
        <f>IF(B414="","",ROUND(IF(F414="",0,F414)+IF(G414="",0,G414),2))</f>
        <v>0</v>
      </c>
      <c r="S414" s="26">
        <f>IF(B414="","",IF(I414&lt;&gt;"Yes",0,ROUND(IF(F414="",0,F414)*IF(J414="Weekly",52/12,IF(J414="Fortnightly",26/12,IF(J414="Four weekly",13/12,IF(J414="Monthly",1,IF(J414="Quarterly",1/3,IF(J414="Twice a year",1/6,IF(J414="Yearly",1/12,0))))))),2)))</f>
        <v>0</v>
      </c>
      <c r="T414" s="38">
        <f>IF(B414="","",IF(I414="Yes","Yes","No"))</f>
        <v>0</v>
      </c>
      <c r="U414" s="25">
        <f>IF(B414="","",IF(L414="Yes","",IF(K414="","",TodayDate-K414)))</f>
        <v>0</v>
      </c>
      <c r="V414" s="39">
        <f>IF(B414="","",IF(L414="Yes","Paid",IF(K414="","Pending",IF(K414&lt;TodayDate,"Overdue",IF(K414&lt;=TodayDate+7,"Due soon","Pending")))))</f>
        <v>0</v>
      </c>
      <c r="W414" s="26">
        <f>IF(B414="","",IFERROR(INDEX(BudgetAmount,MATCH(C414,BudgetCategory,0))*1,0))</f>
        <v>0</v>
      </c>
      <c r="X414" s="25">
        <f>IF(B414="","",COUNTIFS($R$5:$R$604,"&gt;"&amp;R414)+COUNTIFS($R$5:R414,R414))</f>
        <v>0</v>
      </c>
      <c r="Y414" s="39">
        <f>IF(B414="","",IF(F414="","Add - no amount",IF(C414="","Add - no category, it will miss the P&amp;L",IF(V414="Overdue","Overdue - pay it",IF(V414="Due soon","Due - coming up",IF(IF(I414="Yes",J414="",FALSE),"Add - how often does it recur?",IF(L414="Yes","OK","Pending")))))))</f>
        <v>0</v>
      </c>
    </row>
    <row r="415" spans="1:25">
      <c r="A415" s="28">
        <f>IF(B415="","",ExpensePrefix&amp;TEXT(ROW()-4,"0000"))</f>
        <v>0</v>
      </c>
      <c r="P415" s="15">
        <f>IF(B415="","",TEXT(B415,"yyyy-mm"))</f>
        <v>0</v>
      </c>
      <c r="Q415" s="25">
        <f>IF(B415="","",WEEKNUM(B415,2))</f>
        <v>0</v>
      </c>
      <c r="R415" s="26">
        <f>IF(B415="","",ROUND(IF(F415="",0,F415)+IF(G415="",0,G415),2))</f>
        <v>0</v>
      </c>
      <c r="S415" s="26">
        <f>IF(B415="","",IF(I415&lt;&gt;"Yes",0,ROUND(IF(F415="",0,F415)*IF(J415="Weekly",52/12,IF(J415="Fortnightly",26/12,IF(J415="Four weekly",13/12,IF(J415="Monthly",1,IF(J415="Quarterly",1/3,IF(J415="Twice a year",1/6,IF(J415="Yearly",1/12,0))))))),2)))</f>
        <v>0</v>
      </c>
      <c r="T415" s="38">
        <f>IF(B415="","",IF(I415="Yes","Yes","No"))</f>
        <v>0</v>
      </c>
      <c r="U415" s="25">
        <f>IF(B415="","",IF(L415="Yes","",IF(K415="","",TodayDate-K415)))</f>
        <v>0</v>
      </c>
      <c r="V415" s="39">
        <f>IF(B415="","",IF(L415="Yes","Paid",IF(K415="","Pending",IF(K415&lt;TodayDate,"Overdue",IF(K415&lt;=TodayDate+7,"Due soon","Pending")))))</f>
        <v>0</v>
      </c>
      <c r="W415" s="26">
        <f>IF(B415="","",IFERROR(INDEX(BudgetAmount,MATCH(C415,BudgetCategory,0))*1,0))</f>
        <v>0</v>
      </c>
      <c r="X415" s="25">
        <f>IF(B415="","",COUNTIFS($R$5:$R$604,"&gt;"&amp;R415)+COUNTIFS($R$5:R415,R415))</f>
        <v>0</v>
      </c>
      <c r="Y415" s="39">
        <f>IF(B415="","",IF(F415="","Add - no amount",IF(C415="","Add - no category, it will miss the P&amp;L",IF(V415="Overdue","Overdue - pay it",IF(V415="Due soon","Due - coming up",IF(IF(I415="Yes",J415="",FALSE),"Add - how often does it recur?",IF(L415="Yes","OK","Pending")))))))</f>
        <v>0</v>
      </c>
    </row>
    <row r="416" spans="1:25">
      <c r="A416" s="28">
        <f>IF(B416="","",ExpensePrefix&amp;TEXT(ROW()-4,"0000"))</f>
        <v>0</v>
      </c>
      <c r="P416" s="15">
        <f>IF(B416="","",TEXT(B416,"yyyy-mm"))</f>
        <v>0</v>
      </c>
      <c r="Q416" s="25">
        <f>IF(B416="","",WEEKNUM(B416,2))</f>
        <v>0</v>
      </c>
      <c r="R416" s="26">
        <f>IF(B416="","",ROUND(IF(F416="",0,F416)+IF(G416="",0,G416),2))</f>
        <v>0</v>
      </c>
      <c r="S416" s="26">
        <f>IF(B416="","",IF(I416&lt;&gt;"Yes",0,ROUND(IF(F416="",0,F416)*IF(J416="Weekly",52/12,IF(J416="Fortnightly",26/12,IF(J416="Four weekly",13/12,IF(J416="Monthly",1,IF(J416="Quarterly",1/3,IF(J416="Twice a year",1/6,IF(J416="Yearly",1/12,0))))))),2)))</f>
        <v>0</v>
      </c>
      <c r="T416" s="38">
        <f>IF(B416="","",IF(I416="Yes","Yes","No"))</f>
        <v>0</v>
      </c>
      <c r="U416" s="25">
        <f>IF(B416="","",IF(L416="Yes","",IF(K416="","",TodayDate-K416)))</f>
        <v>0</v>
      </c>
      <c r="V416" s="39">
        <f>IF(B416="","",IF(L416="Yes","Paid",IF(K416="","Pending",IF(K416&lt;TodayDate,"Overdue",IF(K416&lt;=TodayDate+7,"Due soon","Pending")))))</f>
        <v>0</v>
      </c>
      <c r="W416" s="26">
        <f>IF(B416="","",IFERROR(INDEX(BudgetAmount,MATCH(C416,BudgetCategory,0))*1,0))</f>
        <v>0</v>
      </c>
      <c r="X416" s="25">
        <f>IF(B416="","",COUNTIFS($R$5:$R$604,"&gt;"&amp;R416)+COUNTIFS($R$5:R416,R416))</f>
        <v>0</v>
      </c>
      <c r="Y416" s="39">
        <f>IF(B416="","",IF(F416="","Add - no amount",IF(C416="","Add - no category, it will miss the P&amp;L",IF(V416="Overdue","Overdue - pay it",IF(V416="Due soon","Due - coming up",IF(IF(I416="Yes",J416="",FALSE),"Add - how often does it recur?",IF(L416="Yes","OK","Pending")))))))</f>
        <v>0</v>
      </c>
    </row>
    <row r="417" spans="1:25">
      <c r="A417" s="28">
        <f>IF(B417="","",ExpensePrefix&amp;TEXT(ROW()-4,"0000"))</f>
        <v>0</v>
      </c>
      <c r="P417" s="15">
        <f>IF(B417="","",TEXT(B417,"yyyy-mm"))</f>
        <v>0</v>
      </c>
      <c r="Q417" s="25">
        <f>IF(B417="","",WEEKNUM(B417,2))</f>
        <v>0</v>
      </c>
      <c r="R417" s="26">
        <f>IF(B417="","",ROUND(IF(F417="",0,F417)+IF(G417="",0,G417),2))</f>
        <v>0</v>
      </c>
      <c r="S417" s="26">
        <f>IF(B417="","",IF(I417&lt;&gt;"Yes",0,ROUND(IF(F417="",0,F417)*IF(J417="Weekly",52/12,IF(J417="Fortnightly",26/12,IF(J417="Four weekly",13/12,IF(J417="Monthly",1,IF(J417="Quarterly",1/3,IF(J417="Twice a year",1/6,IF(J417="Yearly",1/12,0))))))),2)))</f>
        <v>0</v>
      </c>
      <c r="T417" s="38">
        <f>IF(B417="","",IF(I417="Yes","Yes","No"))</f>
        <v>0</v>
      </c>
      <c r="U417" s="25">
        <f>IF(B417="","",IF(L417="Yes","",IF(K417="","",TodayDate-K417)))</f>
        <v>0</v>
      </c>
      <c r="V417" s="39">
        <f>IF(B417="","",IF(L417="Yes","Paid",IF(K417="","Pending",IF(K417&lt;TodayDate,"Overdue",IF(K417&lt;=TodayDate+7,"Due soon","Pending")))))</f>
        <v>0</v>
      </c>
      <c r="W417" s="26">
        <f>IF(B417="","",IFERROR(INDEX(BudgetAmount,MATCH(C417,BudgetCategory,0))*1,0))</f>
        <v>0</v>
      </c>
      <c r="X417" s="25">
        <f>IF(B417="","",COUNTIFS($R$5:$R$604,"&gt;"&amp;R417)+COUNTIFS($R$5:R417,R417))</f>
        <v>0</v>
      </c>
      <c r="Y417" s="39">
        <f>IF(B417="","",IF(F417="","Add - no amount",IF(C417="","Add - no category, it will miss the P&amp;L",IF(V417="Overdue","Overdue - pay it",IF(V417="Due soon","Due - coming up",IF(IF(I417="Yes",J417="",FALSE),"Add - how often does it recur?",IF(L417="Yes","OK","Pending")))))))</f>
        <v>0</v>
      </c>
    </row>
    <row r="418" spans="1:25">
      <c r="A418" s="28">
        <f>IF(B418="","",ExpensePrefix&amp;TEXT(ROW()-4,"0000"))</f>
        <v>0</v>
      </c>
      <c r="P418" s="15">
        <f>IF(B418="","",TEXT(B418,"yyyy-mm"))</f>
        <v>0</v>
      </c>
      <c r="Q418" s="25">
        <f>IF(B418="","",WEEKNUM(B418,2))</f>
        <v>0</v>
      </c>
      <c r="R418" s="26">
        <f>IF(B418="","",ROUND(IF(F418="",0,F418)+IF(G418="",0,G418),2))</f>
        <v>0</v>
      </c>
      <c r="S418" s="26">
        <f>IF(B418="","",IF(I418&lt;&gt;"Yes",0,ROUND(IF(F418="",0,F418)*IF(J418="Weekly",52/12,IF(J418="Fortnightly",26/12,IF(J418="Four weekly",13/12,IF(J418="Monthly",1,IF(J418="Quarterly",1/3,IF(J418="Twice a year",1/6,IF(J418="Yearly",1/12,0))))))),2)))</f>
        <v>0</v>
      </c>
      <c r="T418" s="38">
        <f>IF(B418="","",IF(I418="Yes","Yes","No"))</f>
        <v>0</v>
      </c>
      <c r="U418" s="25">
        <f>IF(B418="","",IF(L418="Yes","",IF(K418="","",TodayDate-K418)))</f>
        <v>0</v>
      </c>
      <c r="V418" s="39">
        <f>IF(B418="","",IF(L418="Yes","Paid",IF(K418="","Pending",IF(K418&lt;TodayDate,"Overdue",IF(K418&lt;=TodayDate+7,"Due soon","Pending")))))</f>
        <v>0</v>
      </c>
      <c r="W418" s="26">
        <f>IF(B418="","",IFERROR(INDEX(BudgetAmount,MATCH(C418,BudgetCategory,0))*1,0))</f>
        <v>0</v>
      </c>
      <c r="X418" s="25">
        <f>IF(B418="","",COUNTIFS($R$5:$R$604,"&gt;"&amp;R418)+COUNTIFS($R$5:R418,R418))</f>
        <v>0</v>
      </c>
      <c r="Y418" s="39">
        <f>IF(B418="","",IF(F418="","Add - no amount",IF(C418="","Add - no category, it will miss the P&amp;L",IF(V418="Overdue","Overdue - pay it",IF(V418="Due soon","Due - coming up",IF(IF(I418="Yes",J418="",FALSE),"Add - how often does it recur?",IF(L418="Yes","OK","Pending")))))))</f>
        <v>0</v>
      </c>
    </row>
    <row r="419" spans="1:25">
      <c r="A419" s="28">
        <f>IF(B419="","",ExpensePrefix&amp;TEXT(ROW()-4,"0000"))</f>
        <v>0</v>
      </c>
      <c r="P419" s="15">
        <f>IF(B419="","",TEXT(B419,"yyyy-mm"))</f>
        <v>0</v>
      </c>
      <c r="Q419" s="25">
        <f>IF(B419="","",WEEKNUM(B419,2))</f>
        <v>0</v>
      </c>
      <c r="R419" s="26">
        <f>IF(B419="","",ROUND(IF(F419="",0,F419)+IF(G419="",0,G419),2))</f>
        <v>0</v>
      </c>
      <c r="S419" s="26">
        <f>IF(B419="","",IF(I419&lt;&gt;"Yes",0,ROUND(IF(F419="",0,F419)*IF(J419="Weekly",52/12,IF(J419="Fortnightly",26/12,IF(J419="Four weekly",13/12,IF(J419="Monthly",1,IF(J419="Quarterly",1/3,IF(J419="Twice a year",1/6,IF(J419="Yearly",1/12,0))))))),2)))</f>
        <v>0</v>
      </c>
      <c r="T419" s="38">
        <f>IF(B419="","",IF(I419="Yes","Yes","No"))</f>
        <v>0</v>
      </c>
      <c r="U419" s="25">
        <f>IF(B419="","",IF(L419="Yes","",IF(K419="","",TodayDate-K419)))</f>
        <v>0</v>
      </c>
      <c r="V419" s="39">
        <f>IF(B419="","",IF(L419="Yes","Paid",IF(K419="","Pending",IF(K419&lt;TodayDate,"Overdue",IF(K419&lt;=TodayDate+7,"Due soon","Pending")))))</f>
        <v>0</v>
      </c>
      <c r="W419" s="26">
        <f>IF(B419="","",IFERROR(INDEX(BudgetAmount,MATCH(C419,BudgetCategory,0))*1,0))</f>
        <v>0</v>
      </c>
      <c r="X419" s="25">
        <f>IF(B419="","",COUNTIFS($R$5:$R$604,"&gt;"&amp;R419)+COUNTIFS($R$5:R419,R419))</f>
        <v>0</v>
      </c>
      <c r="Y419" s="39">
        <f>IF(B419="","",IF(F419="","Add - no amount",IF(C419="","Add - no category, it will miss the P&amp;L",IF(V419="Overdue","Overdue - pay it",IF(V419="Due soon","Due - coming up",IF(IF(I419="Yes",J419="",FALSE),"Add - how often does it recur?",IF(L419="Yes","OK","Pending")))))))</f>
        <v>0</v>
      </c>
    </row>
    <row r="420" spans="1:25">
      <c r="A420" s="28">
        <f>IF(B420="","",ExpensePrefix&amp;TEXT(ROW()-4,"0000"))</f>
        <v>0</v>
      </c>
      <c r="P420" s="15">
        <f>IF(B420="","",TEXT(B420,"yyyy-mm"))</f>
        <v>0</v>
      </c>
      <c r="Q420" s="25">
        <f>IF(B420="","",WEEKNUM(B420,2))</f>
        <v>0</v>
      </c>
      <c r="R420" s="26">
        <f>IF(B420="","",ROUND(IF(F420="",0,F420)+IF(G420="",0,G420),2))</f>
        <v>0</v>
      </c>
      <c r="S420" s="26">
        <f>IF(B420="","",IF(I420&lt;&gt;"Yes",0,ROUND(IF(F420="",0,F420)*IF(J420="Weekly",52/12,IF(J420="Fortnightly",26/12,IF(J420="Four weekly",13/12,IF(J420="Monthly",1,IF(J420="Quarterly",1/3,IF(J420="Twice a year",1/6,IF(J420="Yearly",1/12,0))))))),2)))</f>
        <v>0</v>
      </c>
      <c r="T420" s="38">
        <f>IF(B420="","",IF(I420="Yes","Yes","No"))</f>
        <v>0</v>
      </c>
      <c r="U420" s="25">
        <f>IF(B420="","",IF(L420="Yes","",IF(K420="","",TodayDate-K420)))</f>
        <v>0</v>
      </c>
      <c r="V420" s="39">
        <f>IF(B420="","",IF(L420="Yes","Paid",IF(K420="","Pending",IF(K420&lt;TodayDate,"Overdue",IF(K420&lt;=TodayDate+7,"Due soon","Pending")))))</f>
        <v>0</v>
      </c>
      <c r="W420" s="26">
        <f>IF(B420="","",IFERROR(INDEX(BudgetAmount,MATCH(C420,BudgetCategory,0))*1,0))</f>
        <v>0</v>
      </c>
      <c r="X420" s="25">
        <f>IF(B420="","",COUNTIFS($R$5:$R$604,"&gt;"&amp;R420)+COUNTIFS($R$5:R420,R420))</f>
        <v>0</v>
      </c>
      <c r="Y420" s="39">
        <f>IF(B420="","",IF(F420="","Add - no amount",IF(C420="","Add - no category, it will miss the P&amp;L",IF(V420="Overdue","Overdue - pay it",IF(V420="Due soon","Due - coming up",IF(IF(I420="Yes",J420="",FALSE),"Add - how often does it recur?",IF(L420="Yes","OK","Pending")))))))</f>
        <v>0</v>
      </c>
    </row>
    <row r="421" spans="1:25">
      <c r="A421" s="28">
        <f>IF(B421="","",ExpensePrefix&amp;TEXT(ROW()-4,"0000"))</f>
        <v>0</v>
      </c>
      <c r="P421" s="15">
        <f>IF(B421="","",TEXT(B421,"yyyy-mm"))</f>
        <v>0</v>
      </c>
      <c r="Q421" s="25">
        <f>IF(B421="","",WEEKNUM(B421,2))</f>
        <v>0</v>
      </c>
      <c r="R421" s="26">
        <f>IF(B421="","",ROUND(IF(F421="",0,F421)+IF(G421="",0,G421),2))</f>
        <v>0</v>
      </c>
      <c r="S421" s="26">
        <f>IF(B421="","",IF(I421&lt;&gt;"Yes",0,ROUND(IF(F421="",0,F421)*IF(J421="Weekly",52/12,IF(J421="Fortnightly",26/12,IF(J421="Four weekly",13/12,IF(J421="Monthly",1,IF(J421="Quarterly",1/3,IF(J421="Twice a year",1/6,IF(J421="Yearly",1/12,0))))))),2)))</f>
        <v>0</v>
      </c>
      <c r="T421" s="38">
        <f>IF(B421="","",IF(I421="Yes","Yes","No"))</f>
        <v>0</v>
      </c>
      <c r="U421" s="25">
        <f>IF(B421="","",IF(L421="Yes","",IF(K421="","",TodayDate-K421)))</f>
        <v>0</v>
      </c>
      <c r="V421" s="39">
        <f>IF(B421="","",IF(L421="Yes","Paid",IF(K421="","Pending",IF(K421&lt;TodayDate,"Overdue",IF(K421&lt;=TodayDate+7,"Due soon","Pending")))))</f>
        <v>0</v>
      </c>
      <c r="W421" s="26">
        <f>IF(B421="","",IFERROR(INDEX(BudgetAmount,MATCH(C421,BudgetCategory,0))*1,0))</f>
        <v>0</v>
      </c>
      <c r="X421" s="25">
        <f>IF(B421="","",COUNTIFS($R$5:$R$604,"&gt;"&amp;R421)+COUNTIFS($R$5:R421,R421))</f>
        <v>0</v>
      </c>
      <c r="Y421" s="39">
        <f>IF(B421="","",IF(F421="","Add - no amount",IF(C421="","Add - no category, it will miss the P&amp;L",IF(V421="Overdue","Overdue - pay it",IF(V421="Due soon","Due - coming up",IF(IF(I421="Yes",J421="",FALSE),"Add - how often does it recur?",IF(L421="Yes","OK","Pending")))))))</f>
        <v>0</v>
      </c>
    </row>
    <row r="422" spans="1:25">
      <c r="A422" s="28">
        <f>IF(B422="","",ExpensePrefix&amp;TEXT(ROW()-4,"0000"))</f>
        <v>0</v>
      </c>
      <c r="P422" s="15">
        <f>IF(B422="","",TEXT(B422,"yyyy-mm"))</f>
        <v>0</v>
      </c>
      <c r="Q422" s="25">
        <f>IF(B422="","",WEEKNUM(B422,2))</f>
        <v>0</v>
      </c>
      <c r="R422" s="26">
        <f>IF(B422="","",ROUND(IF(F422="",0,F422)+IF(G422="",0,G422),2))</f>
        <v>0</v>
      </c>
      <c r="S422" s="26">
        <f>IF(B422="","",IF(I422&lt;&gt;"Yes",0,ROUND(IF(F422="",0,F422)*IF(J422="Weekly",52/12,IF(J422="Fortnightly",26/12,IF(J422="Four weekly",13/12,IF(J422="Monthly",1,IF(J422="Quarterly",1/3,IF(J422="Twice a year",1/6,IF(J422="Yearly",1/12,0))))))),2)))</f>
        <v>0</v>
      </c>
      <c r="T422" s="38">
        <f>IF(B422="","",IF(I422="Yes","Yes","No"))</f>
        <v>0</v>
      </c>
      <c r="U422" s="25">
        <f>IF(B422="","",IF(L422="Yes","",IF(K422="","",TodayDate-K422)))</f>
        <v>0</v>
      </c>
      <c r="V422" s="39">
        <f>IF(B422="","",IF(L422="Yes","Paid",IF(K422="","Pending",IF(K422&lt;TodayDate,"Overdue",IF(K422&lt;=TodayDate+7,"Due soon","Pending")))))</f>
        <v>0</v>
      </c>
      <c r="W422" s="26">
        <f>IF(B422="","",IFERROR(INDEX(BudgetAmount,MATCH(C422,BudgetCategory,0))*1,0))</f>
        <v>0</v>
      </c>
      <c r="X422" s="25">
        <f>IF(B422="","",COUNTIFS($R$5:$R$604,"&gt;"&amp;R422)+COUNTIFS($R$5:R422,R422))</f>
        <v>0</v>
      </c>
      <c r="Y422" s="39">
        <f>IF(B422="","",IF(F422="","Add - no amount",IF(C422="","Add - no category, it will miss the P&amp;L",IF(V422="Overdue","Overdue - pay it",IF(V422="Due soon","Due - coming up",IF(IF(I422="Yes",J422="",FALSE),"Add - how often does it recur?",IF(L422="Yes","OK","Pending")))))))</f>
        <v>0</v>
      </c>
    </row>
    <row r="423" spans="1:25">
      <c r="A423" s="28">
        <f>IF(B423="","",ExpensePrefix&amp;TEXT(ROW()-4,"0000"))</f>
        <v>0</v>
      </c>
      <c r="P423" s="15">
        <f>IF(B423="","",TEXT(B423,"yyyy-mm"))</f>
        <v>0</v>
      </c>
      <c r="Q423" s="25">
        <f>IF(B423="","",WEEKNUM(B423,2))</f>
        <v>0</v>
      </c>
      <c r="R423" s="26">
        <f>IF(B423="","",ROUND(IF(F423="",0,F423)+IF(G423="",0,G423),2))</f>
        <v>0</v>
      </c>
      <c r="S423" s="26">
        <f>IF(B423="","",IF(I423&lt;&gt;"Yes",0,ROUND(IF(F423="",0,F423)*IF(J423="Weekly",52/12,IF(J423="Fortnightly",26/12,IF(J423="Four weekly",13/12,IF(J423="Monthly",1,IF(J423="Quarterly",1/3,IF(J423="Twice a year",1/6,IF(J423="Yearly",1/12,0))))))),2)))</f>
        <v>0</v>
      </c>
      <c r="T423" s="38">
        <f>IF(B423="","",IF(I423="Yes","Yes","No"))</f>
        <v>0</v>
      </c>
      <c r="U423" s="25">
        <f>IF(B423="","",IF(L423="Yes","",IF(K423="","",TodayDate-K423)))</f>
        <v>0</v>
      </c>
      <c r="V423" s="39">
        <f>IF(B423="","",IF(L423="Yes","Paid",IF(K423="","Pending",IF(K423&lt;TodayDate,"Overdue",IF(K423&lt;=TodayDate+7,"Due soon","Pending")))))</f>
        <v>0</v>
      </c>
      <c r="W423" s="26">
        <f>IF(B423="","",IFERROR(INDEX(BudgetAmount,MATCH(C423,BudgetCategory,0))*1,0))</f>
        <v>0</v>
      </c>
      <c r="X423" s="25">
        <f>IF(B423="","",COUNTIFS($R$5:$R$604,"&gt;"&amp;R423)+COUNTIFS($R$5:R423,R423))</f>
        <v>0</v>
      </c>
      <c r="Y423" s="39">
        <f>IF(B423="","",IF(F423="","Add - no amount",IF(C423="","Add - no category, it will miss the P&amp;L",IF(V423="Overdue","Overdue - pay it",IF(V423="Due soon","Due - coming up",IF(IF(I423="Yes",J423="",FALSE),"Add - how often does it recur?",IF(L423="Yes","OK","Pending")))))))</f>
        <v>0</v>
      </c>
    </row>
    <row r="424" spans="1:25">
      <c r="A424" s="28">
        <f>IF(B424="","",ExpensePrefix&amp;TEXT(ROW()-4,"0000"))</f>
        <v>0</v>
      </c>
      <c r="P424" s="15">
        <f>IF(B424="","",TEXT(B424,"yyyy-mm"))</f>
        <v>0</v>
      </c>
      <c r="Q424" s="25">
        <f>IF(B424="","",WEEKNUM(B424,2))</f>
        <v>0</v>
      </c>
      <c r="R424" s="26">
        <f>IF(B424="","",ROUND(IF(F424="",0,F424)+IF(G424="",0,G424),2))</f>
        <v>0</v>
      </c>
      <c r="S424" s="26">
        <f>IF(B424="","",IF(I424&lt;&gt;"Yes",0,ROUND(IF(F424="",0,F424)*IF(J424="Weekly",52/12,IF(J424="Fortnightly",26/12,IF(J424="Four weekly",13/12,IF(J424="Monthly",1,IF(J424="Quarterly",1/3,IF(J424="Twice a year",1/6,IF(J424="Yearly",1/12,0))))))),2)))</f>
        <v>0</v>
      </c>
      <c r="T424" s="38">
        <f>IF(B424="","",IF(I424="Yes","Yes","No"))</f>
        <v>0</v>
      </c>
      <c r="U424" s="25">
        <f>IF(B424="","",IF(L424="Yes","",IF(K424="","",TodayDate-K424)))</f>
        <v>0</v>
      </c>
      <c r="V424" s="39">
        <f>IF(B424="","",IF(L424="Yes","Paid",IF(K424="","Pending",IF(K424&lt;TodayDate,"Overdue",IF(K424&lt;=TodayDate+7,"Due soon","Pending")))))</f>
        <v>0</v>
      </c>
      <c r="W424" s="26">
        <f>IF(B424="","",IFERROR(INDEX(BudgetAmount,MATCH(C424,BudgetCategory,0))*1,0))</f>
        <v>0</v>
      </c>
      <c r="X424" s="25">
        <f>IF(B424="","",COUNTIFS($R$5:$R$604,"&gt;"&amp;R424)+COUNTIFS($R$5:R424,R424))</f>
        <v>0</v>
      </c>
      <c r="Y424" s="39">
        <f>IF(B424="","",IF(F424="","Add - no amount",IF(C424="","Add - no category, it will miss the P&amp;L",IF(V424="Overdue","Overdue - pay it",IF(V424="Due soon","Due - coming up",IF(IF(I424="Yes",J424="",FALSE),"Add - how often does it recur?",IF(L424="Yes","OK","Pending")))))))</f>
        <v>0</v>
      </c>
    </row>
    <row r="425" spans="1:25">
      <c r="A425" s="28">
        <f>IF(B425="","",ExpensePrefix&amp;TEXT(ROW()-4,"0000"))</f>
        <v>0</v>
      </c>
      <c r="P425" s="15">
        <f>IF(B425="","",TEXT(B425,"yyyy-mm"))</f>
        <v>0</v>
      </c>
      <c r="Q425" s="25">
        <f>IF(B425="","",WEEKNUM(B425,2))</f>
        <v>0</v>
      </c>
      <c r="R425" s="26">
        <f>IF(B425="","",ROUND(IF(F425="",0,F425)+IF(G425="",0,G425),2))</f>
        <v>0</v>
      </c>
      <c r="S425" s="26">
        <f>IF(B425="","",IF(I425&lt;&gt;"Yes",0,ROUND(IF(F425="",0,F425)*IF(J425="Weekly",52/12,IF(J425="Fortnightly",26/12,IF(J425="Four weekly",13/12,IF(J425="Monthly",1,IF(J425="Quarterly",1/3,IF(J425="Twice a year",1/6,IF(J425="Yearly",1/12,0))))))),2)))</f>
        <v>0</v>
      </c>
      <c r="T425" s="38">
        <f>IF(B425="","",IF(I425="Yes","Yes","No"))</f>
        <v>0</v>
      </c>
      <c r="U425" s="25">
        <f>IF(B425="","",IF(L425="Yes","",IF(K425="","",TodayDate-K425)))</f>
        <v>0</v>
      </c>
      <c r="V425" s="39">
        <f>IF(B425="","",IF(L425="Yes","Paid",IF(K425="","Pending",IF(K425&lt;TodayDate,"Overdue",IF(K425&lt;=TodayDate+7,"Due soon","Pending")))))</f>
        <v>0</v>
      </c>
      <c r="W425" s="26">
        <f>IF(B425="","",IFERROR(INDEX(BudgetAmount,MATCH(C425,BudgetCategory,0))*1,0))</f>
        <v>0</v>
      </c>
      <c r="X425" s="25">
        <f>IF(B425="","",COUNTIFS($R$5:$R$604,"&gt;"&amp;R425)+COUNTIFS($R$5:R425,R425))</f>
        <v>0</v>
      </c>
      <c r="Y425" s="39">
        <f>IF(B425="","",IF(F425="","Add - no amount",IF(C425="","Add - no category, it will miss the P&amp;L",IF(V425="Overdue","Overdue - pay it",IF(V425="Due soon","Due - coming up",IF(IF(I425="Yes",J425="",FALSE),"Add - how often does it recur?",IF(L425="Yes","OK","Pending")))))))</f>
        <v>0</v>
      </c>
    </row>
    <row r="426" spans="1:25">
      <c r="A426" s="28">
        <f>IF(B426="","",ExpensePrefix&amp;TEXT(ROW()-4,"0000"))</f>
        <v>0</v>
      </c>
      <c r="P426" s="15">
        <f>IF(B426="","",TEXT(B426,"yyyy-mm"))</f>
        <v>0</v>
      </c>
      <c r="Q426" s="25">
        <f>IF(B426="","",WEEKNUM(B426,2))</f>
        <v>0</v>
      </c>
      <c r="R426" s="26">
        <f>IF(B426="","",ROUND(IF(F426="",0,F426)+IF(G426="",0,G426),2))</f>
        <v>0</v>
      </c>
      <c r="S426" s="26">
        <f>IF(B426="","",IF(I426&lt;&gt;"Yes",0,ROUND(IF(F426="",0,F426)*IF(J426="Weekly",52/12,IF(J426="Fortnightly",26/12,IF(J426="Four weekly",13/12,IF(J426="Monthly",1,IF(J426="Quarterly",1/3,IF(J426="Twice a year",1/6,IF(J426="Yearly",1/12,0))))))),2)))</f>
        <v>0</v>
      </c>
      <c r="T426" s="38">
        <f>IF(B426="","",IF(I426="Yes","Yes","No"))</f>
        <v>0</v>
      </c>
      <c r="U426" s="25">
        <f>IF(B426="","",IF(L426="Yes","",IF(K426="","",TodayDate-K426)))</f>
        <v>0</v>
      </c>
      <c r="V426" s="39">
        <f>IF(B426="","",IF(L426="Yes","Paid",IF(K426="","Pending",IF(K426&lt;TodayDate,"Overdue",IF(K426&lt;=TodayDate+7,"Due soon","Pending")))))</f>
        <v>0</v>
      </c>
      <c r="W426" s="26">
        <f>IF(B426="","",IFERROR(INDEX(BudgetAmount,MATCH(C426,BudgetCategory,0))*1,0))</f>
        <v>0</v>
      </c>
      <c r="X426" s="25">
        <f>IF(B426="","",COUNTIFS($R$5:$R$604,"&gt;"&amp;R426)+COUNTIFS($R$5:R426,R426))</f>
        <v>0</v>
      </c>
      <c r="Y426" s="39">
        <f>IF(B426="","",IF(F426="","Add - no amount",IF(C426="","Add - no category, it will miss the P&amp;L",IF(V426="Overdue","Overdue - pay it",IF(V426="Due soon","Due - coming up",IF(IF(I426="Yes",J426="",FALSE),"Add - how often does it recur?",IF(L426="Yes","OK","Pending")))))))</f>
        <v>0</v>
      </c>
    </row>
    <row r="427" spans="1:25">
      <c r="A427" s="28">
        <f>IF(B427="","",ExpensePrefix&amp;TEXT(ROW()-4,"0000"))</f>
        <v>0</v>
      </c>
      <c r="P427" s="15">
        <f>IF(B427="","",TEXT(B427,"yyyy-mm"))</f>
        <v>0</v>
      </c>
      <c r="Q427" s="25">
        <f>IF(B427="","",WEEKNUM(B427,2))</f>
        <v>0</v>
      </c>
      <c r="R427" s="26">
        <f>IF(B427="","",ROUND(IF(F427="",0,F427)+IF(G427="",0,G427),2))</f>
        <v>0</v>
      </c>
      <c r="S427" s="26">
        <f>IF(B427="","",IF(I427&lt;&gt;"Yes",0,ROUND(IF(F427="",0,F427)*IF(J427="Weekly",52/12,IF(J427="Fortnightly",26/12,IF(J427="Four weekly",13/12,IF(J427="Monthly",1,IF(J427="Quarterly",1/3,IF(J427="Twice a year",1/6,IF(J427="Yearly",1/12,0))))))),2)))</f>
        <v>0</v>
      </c>
      <c r="T427" s="38">
        <f>IF(B427="","",IF(I427="Yes","Yes","No"))</f>
        <v>0</v>
      </c>
      <c r="U427" s="25">
        <f>IF(B427="","",IF(L427="Yes","",IF(K427="","",TodayDate-K427)))</f>
        <v>0</v>
      </c>
      <c r="V427" s="39">
        <f>IF(B427="","",IF(L427="Yes","Paid",IF(K427="","Pending",IF(K427&lt;TodayDate,"Overdue",IF(K427&lt;=TodayDate+7,"Due soon","Pending")))))</f>
        <v>0</v>
      </c>
      <c r="W427" s="26">
        <f>IF(B427="","",IFERROR(INDEX(BudgetAmount,MATCH(C427,BudgetCategory,0))*1,0))</f>
        <v>0</v>
      </c>
      <c r="X427" s="25">
        <f>IF(B427="","",COUNTIFS($R$5:$R$604,"&gt;"&amp;R427)+COUNTIFS($R$5:R427,R427))</f>
        <v>0</v>
      </c>
      <c r="Y427" s="39">
        <f>IF(B427="","",IF(F427="","Add - no amount",IF(C427="","Add - no category, it will miss the P&amp;L",IF(V427="Overdue","Overdue - pay it",IF(V427="Due soon","Due - coming up",IF(IF(I427="Yes",J427="",FALSE),"Add - how often does it recur?",IF(L427="Yes","OK","Pending")))))))</f>
        <v>0</v>
      </c>
    </row>
    <row r="428" spans="1:25">
      <c r="A428" s="28">
        <f>IF(B428="","",ExpensePrefix&amp;TEXT(ROW()-4,"0000"))</f>
        <v>0</v>
      </c>
      <c r="P428" s="15">
        <f>IF(B428="","",TEXT(B428,"yyyy-mm"))</f>
        <v>0</v>
      </c>
      <c r="Q428" s="25">
        <f>IF(B428="","",WEEKNUM(B428,2))</f>
        <v>0</v>
      </c>
      <c r="R428" s="26">
        <f>IF(B428="","",ROUND(IF(F428="",0,F428)+IF(G428="",0,G428),2))</f>
        <v>0</v>
      </c>
      <c r="S428" s="26">
        <f>IF(B428="","",IF(I428&lt;&gt;"Yes",0,ROUND(IF(F428="",0,F428)*IF(J428="Weekly",52/12,IF(J428="Fortnightly",26/12,IF(J428="Four weekly",13/12,IF(J428="Monthly",1,IF(J428="Quarterly",1/3,IF(J428="Twice a year",1/6,IF(J428="Yearly",1/12,0))))))),2)))</f>
        <v>0</v>
      </c>
      <c r="T428" s="38">
        <f>IF(B428="","",IF(I428="Yes","Yes","No"))</f>
        <v>0</v>
      </c>
      <c r="U428" s="25">
        <f>IF(B428="","",IF(L428="Yes","",IF(K428="","",TodayDate-K428)))</f>
        <v>0</v>
      </c>
      <c r="V428" s="39">
        <f>IF(B428="","",IF(L428="Yes","Paid",IF(K428="","Pending",IF(K428&lt;TodayDate,"Overdue",IF(K428&lt;=TodayDate+7,"Due soon","Pending")))))</f>
        <v>0</v>
      </c>
      <c r="W428" s="26">
        <f>IF(B428="","",IFERROR(INDEX(BudgetAmount,MATCH(C428,BudgetCategory,0))*1,0))</f>
        <v>0</v>
      </c>
      <c r="X428" s="25">
        <f>IF(B428="","",COUNTIFS($R$5:$R$604,"&gt;"&amp;R428)+COUNTIFS($R$5:R428,R428))</f>
        <v>0</v>
      </c>
      <c r="Y428" s="39">
        <f>IF(B428="","",IF(F428="","Add - no amount",IF(C428="","Add - no category, it will miss the P&amp;L",IF(V428="Overdue","Overdue - pay it",IF(V428="Due soon","Due - coming up",IF(IF(I428="Yes",J428="",FALSE),"Add - how often does it recur?",IF(L428="Yes","OK","Pending")))))))</f>
        <v>0</v>
      </c>
    </row>
    <row r="429" spans="1:25">
      <c r="A429" s="28">
        <f>IF(B429="","",ExpensePrefix&amp;TEXT(ROW()-4,"0000"))</f>
        <v>0</v>
      </c>
      <c r="P429" s="15">
        <f>IF(B429="","",TEXT(B429,"yyyy-mm"))</f>
        <v>0</v>
      </c>
      <c r="Q429" s="25">
        <f>IF(B429="","",WEEKNUM(B429,2))</f>
        <v>0</v>
      </c>
      <c r="R429" s="26">
        <f>IF(B429="","",ROUND(IF(F429="",0,F429)+IF(G429="",0,G429),2))</f>
        <v>0</v>
      </c>
      <c r="S429" s="26">
        <f>IF(B429="","",IF(I429&lt;&gt;"Yes",0,ROUND(IF(F429="",0,F429)*IF(J429="Weekly",52/12,IF(J429="Fortnightly",26/12,IF(J429="Four weekly",13/12,IF(J429="Monthly",1,IF(J429="Quarterly",1/3,IF(J429="Twice a year",1/6,IF(J429="Yearly",1/12,0))))))),2)))</f>
        <v>0</v>
      </c>
      <c r="T429" s="38">
        <f>IF(B429="","",IF(I429="Yes","Yes","No"))</f>
        <v>0</v>
      </c>
      <c r="U429" s="25">
        <f>IF(B429="","",IF(L429="Yes","",IF(K429="","",TodayDate-K429)))</f>
        <v>0</v>
      </c>
      <c r="V429" s="39">
        <f>IF(B429="","",IF(L429="Yes","Paid",IF(K429="","Pending",IF(K429&lt;TodayDate,"Overdue",IF(K429&lt;=TodayDate+7,"Due soon","Pending")))))</f>
        <v>0</v>
      </c>
      <c r="W429" s="26">
        <f>IF(B429="","",IFERROR(INDEX(BudgetAmount,MATCH(C429,BudgetCategory,0))*1,0))</f>
        <v>0</v>
      </c>
      <c r="X429" s="25">
        <f>IF(B429="","",COUNTIFS($R$5:$R$604,"&gt;"&amp;R429)+COUNTIFS($R$5:R429,R429))</f>
        <v>0</v>
      </c>
      <c r="Y429" s="39">
        <f>IF(B429="","",IF(F429="","Add - no amount",IF(C429="","Add - no category, it will miss the P&amp;L",IF(V429="Overdue","Overdue - pay it",IF(V429="Due soon","Due - coming up",IF(IF(I429="Yes",J429="",FALSE),"Add - how often does it recur?",IF(L429="Yes","OK","Pending")))))))</f>
        <v>0</v>
      </c>
    </row>
    <row r="430" spans="1:25">
      <c r="A430" s="28">
        <f>IF(B430="","",ExpensePrefix&amp;TEXT(ROW()-4,"0000"))</f>
        <v>0</v>
      </c>
      <c r="P430" s="15">
        <f>IF(B430="","",TEXT(B430,"yyyy-mm"))</f>
        <v>0</v>
      </c>
      <c r="Q430" s="25">
        <f>IF(B430="","",WEEKNUM(B430,2))</f>
        <v>0</v>
      </c>
      <c r="R430" s="26">
        <f>IF(B430="","",ROUND(IF(F430="",0,F430)+IF(G430="",0,G430),2))</f>
        <v>0</v>
      </c>
      <c r="S430" s="26">
        <f>IF(B430="","",IF(I430&lt;&gt;"Yes",0,ROUND(IF(F430="",0,F430)*IF(J430="Weekly",52/12,IF(J430="Fortnightly",26/12,IF(J430="Four weekly",13/12,IF(J430="Monthly",1,IF(J430="Quarterly",1/3,IF(J430="Twice a year",1/6,IF(J430="Yearly",1/12,0))))))),2)))</f>
        <v>0</v>
      </c>
      <c r="T430" s="38">
        <f>IF(B430="","",IF(I430="Yes","Yes","No"))</f>
        <v>0</v>
      </c>
      <c r="U430" s="25">
        <f>IF(B430="","",IF(L430="Yes","",IF(K430="","",TodayDate-K430)))</f>
        <v>0</v>
      </c>
      <c r="V430" s="39">
        <f>IF(B430="","",IF(L430="Yes","Paid",IF(K430="","Pending",IF(K430&lt;TodayDate,"Overdue",IF(K430&lt;=TodayDate+7,"Due soon","Pending")))))</f>
        <v>0</v>
      </c>
      <c r="W430" s="26">
        <f>IF(B430="","",IFERROR(INDEX(BudgetAmount,MATCH(C430,BudgetCategory,0))*1,0))</f>
        <v>0</v>
      </c>
      <c r="X430" s="25">
        <f>IF(B430="","",COUNTIFS($R$5:$R$604,"&gt;"&amp;R430)+COUNTIFS($R$5:R430,R430))</f>
        <v>0</v>
      </c>
      <c r="Y430" s="39">
        <f>IF(B430="","",IF(F430="","Add - no amount",IF(C430="","Add - no category, it will miss the P&amp;L",IF(V430="Overdue","Overdue - pay it",IF(V430="Due soon","Due - coming up",IF(IF(I430="Yes",J430="",FALSE),"Add - how often does it recur?",IF(L430="Yes","OK","Pending")))))))</f>
        <v>0</v>
      </c>
    </row>
    <row r="431" spans="1:25">
      <c r="A431" s="28">
        <f>IF(B431="","",ExpensePrefix&amp;TEXT(ROW()-4,"0000"))</f>
        <v>0</v>
      </c>
      <c r="P431" s="15">
        <f>IF(B431="","",TEXT(B431,"yyyy-mm"))</f>
        <v>0</v>
      </c>
      <c r="Q431" s="25">
        <f>IF(B431="","",WEEKNUM(B431,2))</f>
        <v>0</v>
      </c>
      <c r="R431" s="26">
        <f>IF(B431="","",ROUND(IF(F431="",0,F431)+IF(G431="",0,G431),2))</f>
        <v>0</v>
      </c>
      <c r="S431" s="26">
        <f>IF(B431="","",IF(I431&lt;&gt;"Yes",0,ROUND(IF(F431="",0,F431)*IF(J431="Weekly",52/12,IF(J431="Fortnightly",26/12,IF(J431="Four weekly",13/12,IF(J431="Monthly",1,IF(J431="Quarterly",1/3,IF(J431="Twice a year",1/6,IF(J431="Yearly",1/12,0))))))),2)))</f>
        <v>0</v>
      </c>
      <c r="T431" s="38">
        <f>IF(B431="","",IF(I431="Yes","Yes","No"))</f>
        <v>0</v>
      </c>
      <c r="U431" s="25">
        <f>IF(B431="","",IF(L431="Yes","",IF(K431="","",TodayDate-K431)))</f>
        <v>0</v>
      </c>
      <c r="V431" s="39">
        <f>IF(B431="","",IF(L431="Yes","Paid",IF(K431="","Pending",IF(K431&lt;TodayDate,"Overdue",IF(K431&lt;=TodayDate+7,"Due soon","Pending")))))</f>
        <v>0</v>
      </c>
      <c r="W431" s="26">
        <f>IF(B431="","",IFERROR(INDEX(BudgetAmount,MATCH(C431,BudgetCategory,0))*1,0))</f>
        <v>0</v>
      </c>
      <c r="X431" s="25">
        <f>IF(B431="","",COUNTIFS($R$5:$R$604,"&gt;"&amp;R431)+COUNTIFS($R$5:R431,R431))</f>
        <v>0</v>
      </c>
      <c r="Y431" s="39">
        <f>IF(B431="","",IF(F431="","Add - no amount",IF(C431="","Add - no category, it will miss the P&amp;L",IF(V431="Overdue","Overdue - pay it",IF(V431="Due soon","Due - coming up",IF(IF(I431="Yes",J431="",FALSE),"Add - how often does it recur?",IF(L431="Yes","OK","Pending")))))))</f>
        <v>0</v>
      </c>
    </row>
    <row r="432" spans="1:25">
      <c r="A432" s="28">
        <f>IF(B432="","",ExpensePrefix&amp;TEXT(ROW()-4,"0000"))</f>
        <v>0</v>
      </c>
      <c r="P432" s="15">
        <f>IF(B432="","",TEXT(B432,"yyyy-mm"))</f>
        <v>0</v>
      </c>
      <c r="Q432" s="25">
        <f>IF(B432="","",WEEKNUM(B432,2))</f>
        <v>0</v>
      </c>
      <c r="R432" s="26">
        <f>IF(B432="","",ROUND(IF(F432="",0,F432)+IF(G432="",0,G432),2))</f>
        <v>0</v>
      </c>
      <c r="S432" s="26">
        <f>IF(B432="","",IF(I432&lt;&gt;"Yes",0,ROUND(IF(F432="",0,F432)*IF(J432="Weekly",52/12,IF(J432="Fortnightly",26/12,IF(J432="Four weekly",13/12,IF(J432="Monthly",1,IF(J432="Quarterly",1/3,IF(J432="Twice a year",1/6,IF(J432="Yearly",1/12,0))))))),2)))</f>
        <v>0</v>
      </c>
      <c r="T432" s="38">
        <f>IF(B432="","",IF(I432="Yes","Yes","No"))</f>
        <v>0</v>
      </c>
      <c r="U432" s="25">
        <f>IF(B432="","",IF(L432="Yes","",IF(K432="","",TodayDate-K432)))</f>
        <v>0</v>
      </c>
      <c r="V432" s="39">
        <f>IF(B432="","",IF(L432="Yes","Paid",IF(K432="","Pending",IF(K432&lt;TodayDate,"Overdue",IF(K432&lt;=TodayDate+7,"Due soon","Pending")))))</f>
        <v>0</v>
      </c>
      <c r="W432" s="26">
        <f>IF(B432="","",IFERROR(INDEX(BudgetAmount,MATCH(C432,BudgetCategory,0))*1,0))</f>
        <v>0</v>
      </c>
      <c r="X432" s="25">
        <f>IF(B432="","",COUNTIFS($R$5:$R$604,"&gt;"&amp;R432)+COUNTIFS($R$5:R432,R432))</f>
        <v>0</v>
      </c>
      <c r="Y432" s="39">
        <f>IF(B432="","",IF(F432="","Add - no amount",IF(C432="","Add - no category, it will miss the P&amp;L",IF(V432="Overdue","Overdue - pay it",IF(V432="Due soon","Due - coming up",IF(IF(I432="Yes",J432="",FALSE),"Add - how often does it recur?",IF(L432="Yes","OK","Pending")))))))</f>
        <v>0</v>
      </c>
    </row>
    <row r="433" spans="1:25">
      <c r="A433" s="28">
        <f>IF(B433="","",ExpensePrefix&amp;TEXT(ROW()-4,"0000"))</f>
        <v>0</v>
      </c>
      <c r="P433" s="15">
        <f>IF(B433="","",TEXT(B433,"yyyy-mm"))</f>
        <v>0</v>
      </c>
      <c r="Q433" s="25">
        <f>IF(B433="","",WEEKNUM(B433,2))</f>
        <v>0</v>
      </c>
      <c r="R433" s="26">
        <f>IF(B433="","",ROUND(IF(F433="",0,F433)+IF(G433="",0,G433),2))</f>
        <v>0</v>
      </c>
      <c r="S433" s="26">
        <f>IF(B433="","",IF(I433&lt;&gt;"Yes",0,ROUND(IF(F433="",0,F433)*IF(J433="Weekly",52/12,IF(J433="Fortnightly",26/12,IF(J433="Four weekly",13/12,IF(J433="Monthly",1,IF(J433="Quarterly",1/3,IF(J433="Twice a year",1/6,IF(J433="Yearly",1/12,0))))))),2)))</f>
        <v>0</v>
      </c>
      <c r="T433" s="38">
        <f>IF(B433="","",IF(I433="Yes","Yes","No"))</f>
        <v>0</v>
      </c>
      <c r="U433" s="25">
        <f>IF(B433="","",IF(L433="Yes","",IF(K433="","",TodayDate-K433)))</f>
        <v>0</v>
      </c>
      <c r="V433" s="39">
        <f>IF(B433="","",IF(L433="Yes","Paid",IF(K433="","Pending",IF(K433&lt;TodayDate,"Overdue",IF(K433&lt;=TodayDate+7,"Due soon","Pending")))))</f>
        <v>0</v>
      </c>
      <c r="W433" s="26">
        <f>IF(B433="","",IFERROR(INDEX(BudgetAmount,MATCH(C433,BudgetCategory,0))*1,0))</f>
        <v>0</v>
      </c>
      <c r="X433" s="25">
        <f>IF(B433="","",COUNTIFS($R$5:$R$604,"&gt;"&amp;R433)+COUNTIFS($R$5:R433,R433))</f>
        <v>0</v>
      </c>
      <c r="Y433" s="39">
        <f>IF(B433="","",IF(F433="","Add - no amount",IF(C433="","Add - no category, it will miss the P&amp;L",IF(V433="Overdue","Overdue - pay it",IF(V433="Due soon","Due - coming up",IF(IF(I433="Yes",J433="",FALSE),"Add - how often does it recur?",IF(L433="Yes","OK","Pending")))))))</f>
        <v>0</v>
      </c>
    </row>
    <row r="434" spans="1:25">
      <c r="A434" s="28">
        <f>IF(B434="","",ExpensePrefix&amp;TEXT(ROW()-4,"0000"))</f>
        <v>0</v>
      </c>
      <c r="P434" s="15">
        <f>IF(B434="","",TEXT(B434,"yyyy-mm"))</f>
        <v>0</v>
      </c>
      <c r="Q434" s="25">
        <f>IF(B434="","",WEEKNUM(B434,2))</f>
        <v>0</v>
      </c>
      <c r="R434" s="26">
        <f>IF(B434="","",ROUND(IF(F434="",0,F434)+IF(G434="",0,G434),2))</f>
        <v>0</v>
      </c>
      <c r="S434" s="26">
        <f>IF(B434="","",IF(I434&lt;&gt;"Yes",0,ROUND(IF(F434="",0,F434)*IF(J434="Weekly",52/12,IF(J434="Fortnightly",26/12,IF(J434="Four weekly",13/12,IF(J434="Monthly",1,IF(J434="Quarterly",1/3,IF(J434="Twice a year",1/6,IF(J434="Yearly",1/12,0))))))),2)))</f>
        <v>0</v>
      </c>
      <c r="T434" s="38">
        <f>IF(B434="","",IF(I434="Yes","Yes","No"))</f>
        <v>0</v>
      </c>
      <c r="U434" s="25">
        <f>IF(B434="","",IF(L434="Yes","",IF(K434="","",TodayDate-K434)))</f>
        <v>0</v>
      </c>
      <c r="V434" s="39">
        <f>IF(B434="","",IF(L434="Yes","Paid",IF(K434="","Pending",IF(K434&lt;TodayDate,"Overdue",IF(K434&lt;=TodayDate+7,"Due soon","Pending")))))</f>
        <v>0</v>
      </c>
      <c r="W434" s="26">
        <f>IF(B434="","",IFERROR(INDEX(BudgetAmount,MATCH(C434,BudgetCategory,0))*1,0))</f>
        <v>0</v>
      </c>
      <c r="X434" s="25">
        <f>IF(B434="","",COUNTIFS($R$5:$R$604,"&gt;"&amp;R434)+COUNTIFS($R$5:R434,R434))</f>
        <v>0</v>
      </c>
      <c r="Y434" s="39">
        <f>IF(B434="","",IF(F434="","Add - no amount",IF(C434="","Add - no category, it will miss the P&amp;L",IF(V434="Overdue","Overdue - pay it",IF(V434="Due soon","Due - coming up",IF(IF(I434="Yes",J434="",FALSE),"Add - how often does it recur?",IF(L434="Yes","OK","Pending")))))))</f>
        <v>0</v>
      </c>
    </row>
    <row r="435" spans="1:25">
      <c r="A435" s="28">
        <f>IF(B435="","",ExpensePrefix&amp;TEXT(ROW()-4,"0000"))</f>
        <v>0</v>
      </c>
      <c r="P435" s="15">
        <f>IF(B435="","",TEXT(B435,"yyyy-mm"))</f>
        <v>0</v>
      </c>
      <c r="Q435" s="25">
        <f>IF(B435="","",WEEKNUM(B435,2))</f>
        <v>0</v>
      </c>
      <c r="R435" s="26">
        <f>IF(B435="","",ROUND(IF(F435="",0,F435)+IF(G435="",0,G435),2))</f>
        <v>0</v>
      </c>
      <c r="S435" s="26">
        <f>IF(B435="","",IF(I435&lt;&gt;"Yes",0,ROUND(IF(F435="",0,F435)*IF(J435="Weekly",52/12,IF(J435="Fortnightly",26/12,IF(J435="Four weekly",13/12,IF(J435="Monthly",1,IF(J435="Quarterly",1/3,IF(J435="Twice a year",1/6,IF(J435="Yearly",1/12,0))))))),2)))</f>
        <v>0</v>
      </c>
      <c r="T435" s="38">
        <f>IF(B435="","",IF(I435="Yes","Yes","No"))</f>
        <v>0</v>
      </c>
      <c r="U435" s="25">
        <f>IF(B435="","",IF(L435="Yes","",IF(K435="","",TodayDate-K435)))</f>
        <v>0</v>
      </c>
      <c r="V435" s="39">
        <f>IF(B435="","",IF(L435="Yes","Paid",IF(K435="","Pending",IF(K435&lt;TodayDate,"Overdue",IF(K435&lt;=TodayDate+7,"Due soon","Pending")))))</f>
        <v>0</v>
      </c>
      <c r="W435" s="26">
        <f>IF(B435="","",IFERROR(INDEX(BudgetAmount,MATCH(C435,BudgetCategory,0))*1,0))</f>
        <v>0</v>
      </c>
      <c r="X435" s="25">
        <f>IF(B435="","",COUNTIFS($R$5:$R$604,"&gt;"&amp;R435)+COUNTIFS($R$5:R435,R435))</f>
        <v>0</v>
      </c>
      <c r="Y435" s="39">
        <f>IF(B435="","",IF(F435="","Add - no amount",IF(C435="","Add - no category, it will miss the P&amp;L",IF(V435="Overdue","Overdue - pay it",IF(V435="Due soon","Due - coming up",IF(IF(I435="Yes",J435="",FALSE),"Add - how often does it recur?",IF(L435="Yes","OK","Pending")))))))</f>
        <v>0</v>
      </c>
    </row>
    <row r="436" spans="1:25">
      <c r="A436" s="28">
        <f>IF(B436="","",ExpensePrefix&amp;TEXT(ROW()-4,"0000"))</f>
        <v>0</v>
      </c>
      <c r="P436" s="15">
        <f>IF(B436="","",TEXT(B436,"yyyy-mm"))</f>
        <v>0</v>
      </c>
      <c r="Q436" s="25">
        <f>IF(B436="","",WEEKNUM(B436,2))</f>
        <v>0</v>
      </c>
      <c r="R436" s="26">
        <f>IF(B436="","",ROUND(IF(F436="",0,F436)+IF(G436="",0,G436),2))</f>
        <v>0</v>
      </c>
      <c r="S436" s="26">
        <f>IF(B436="","",IF(I436&lt;&gt;"Yes",0,ROUND(IF(F436="",0,F436)*IF(J436="Weekly",52/12,IF(J436="Fortnightly",26/12,IF(J436="Four weekly",13/12,IF(J436="Monthly",1,IF(J436="Quarterly",1/3,IF(J436="Twice a year",1/6,IF(J436="Yearly",1/12,0))))))),2)))</f>
        <v>0</v>
      </c>
      <c r="T436" s="38">
        <f>IF(B436="","",IF(I436="Yes","Yes","No"))</f>
        <v>0</v>
      </c>
      <c r="U436" s="25">
        <f>IF(B436="","",IF(L436="Yes","",IF(K436="","",TodayDate-K436)))</f>
        <v>0</v>
      </c>
      <c r="V436" s="39">
        <f>IF(B436="","",IF(L436="Yes","Paid",IF(K436="","Pending",IF(K436&lt;TodayDate,"Overdue",IF(K436&lt;=TodayDate+7,"Due soon","Pending")))))</f>
        <v>0</v>
      </c>
      <c r="W436" s="26">
        <f>IF(B436="","",IFERROR(INDEX(BudgetAmount,MATCH(C436,BudgetCategory,0))*1,0))</f>
        <v>0</v>
      </c>
      <c r="X436" s="25">
        <f>IF(B436="","",COUNTIFS($R$5:$R$604,"&gt;"&amp;R436)+COUNTIFS($R$5:R436,R436))</f>
        <v>0</v>
      </c>
      <c r="Y436" s="39">
        <f>IF(B436="","",IF(F436="","Add - no amount",IF(C436="","Add - no category, it will miss the P&amp;L",IF(V436="Overdue","Overdue - pay it",IF(V436="Due soon","Due - coming up",IF(IF(I436="Yes",J436="",FALSE),"Add - how often does it recur?",IF(L436="Yes","OK","Pending")))))))</f>
        <v>0</v>
      </c>
    </row>
    <row r="437" spans="1:25">
      <c r="A437" s="28">
        <f>IF(B437="","",ExpensePrefix&amp;TEXT(ROW()-4,"0000"))</f>
        <v>0</v>
      </c>
      <c r="P437" s="15">
        <f>IF(B437="","",TEXT(B437,"yyyy-mm"))</f>
        <v>0</v>
      </c>
      <c r="Q437" s="25">
        <f>IF(B437="","",WEEKNUM(B437,2))</f>
        <v>0</v>
      </c>
      <c r="R437" s="26">
        <f>IF(B437="","",ROUND(IF(F437="",0,F437)+IF(G437="",0,G437),2))</f>
        <v>0</v>
      </c>
      <c r="S437" s="26">
        <f>IF(B437="","",IF(I437&lt;&gt;"Yes",0,ROUND(IF(F437="",0,F437)*IF(J437="Weekly",52/12,IF(J437="Fortnightly",26/12,IF(J437="Four weekly",13/12,IF(J437="Monthly",1,IF(J437="Quarterly",1/3,IF(J437="Twice a year",1/6,IF(J437="Yearly",1/12,0))))))),2)))</f>
        <v>0</v>
      </c>
      <c r="T437" s="38">
        <f>IF(B437="","",IF(I437="Yes","Yes","No"))</f>
        <v>0</v>
      </c>
      <c r="U437" s="25">
        <f>IF(B437="","",IF(L437="Yes","",IF(K437="","",TodayDate-K437)))</f>
        <v>0</v>
      </c>
      <c r="V437" s="39">
        <f>IF(B437="","",IF(L437="Yes","Paid",IF(K437="","Pending",IF(K437&lt;TodayDate,"Overdue",IF(K437&lt;=TodayDate+7,"Due soon","Pending")))))</f>
        <v>0</v>
      </c>
      <c r="W437" s="26">
        <f>IF(B437="","",IFERROR(INDEX(BudgetAmount,MATCH(C437,BudgetCategory,0))*1,0))</f>
        <v>0</v>
      </c>
      <c r="X437" s="25">
        <f>IF(B437="","",COUNTIFS($R$5:$R$604,"&gt;"&amp;R437)+COUNTIFS($R$5:R437,R437))</f>
        <v>0</v>
      </c>
      <c r="Y437" s="39">
        <f>IF(B437="","",IF(F437="","Add - no amount",IF(C437="","Add - no category, it will miss the P&amp;L",IF(V437="Overdue","Overdue - pay it",IF(V437="Due soon","Due - coming up",IF(IF(I437="Yes",J437="",FALSE),"Add - how often does it recur?",IF(L437="Yes","OK","Pending")))))))</f>
        <v>0</v>
      </c>
    </row>
    <row r="438" spans="1:25">
      <c r="A438" s="28">
        <f>IF(B438="","",ExpensePrefix&amp;TEXT(ROW()-4,"0000"))</f>
        <v>0</v>
      </c>
      <c r="P438" s="15">
        <f>IF(B438="","",TEXT(B438,"yyyy-mm"))</f>
        <v>0</v>
      </c>
      <c r="Q438" s="25">
        <f>IF(B438="","",WEEKNUM(B438,2))</f>
        <v>0</v>
      </c>
      <c r="R438" s="26">
        <f>IF(B438="","",ROUND(IF(F438="",0,F438)+IF(G438="",0,G438),2))</f>
        <v>0</v>
      </c>
      <c r="S438" s="26">
        <f>IF(B438="","",IF(I438&lt;&gt;"Yes",0,ROUND(IF(F438="",0,F438)*IF(J438="Weekly",52/12,IF(J438="Fortnightly",26/12,IF(J438="Four weekly",13/12,IF(J438="Monthly",1,IF(J438="Quarterly",1/3,IF(J438="Twice a year",1/6,IF(J438="Yearly",1/12,0))))))),2)))</f>
        <v>0</v>
      </c>
      <c r="T438" s="38">
        <f>IF(B438="","",IF(I438="Yes","Yes","No"))</f>
        <v>0</v>
      </c>
      <c r="U438" s="25">
        <f>IF(B438="","",IF(L438="Yes","",IF(K438="","",TodayDate-K438)))</f>
        <v>0</v>
      </c>
      <c r="V438" s="39">
        <f>IF(B438="","",IF(L438="Yes","Paid",IF(K438="","Pending",IF(K438&lt;TodayDate,"Overdue",IF(K438&lt;=TodayDate+7,"Due soon","Pending")))))</f>
        <v>0</v>
      </c>
      <c r="W438" s="26">
        <f>IF(B438="","",IFERROR(INDEX(BudgetAmount,MATCH(C438,BudgetCategory,0))*1,0))</f>
        <v>0</v>
      </c>
      <c r="X438" s="25">
        <f>IF(B438="","",COUNTIFS($R$5:$R$604,"&gt;"&amp;R438)+COUNTIFS($R$5:R438,R438))</f>
        <v>0</v>
      </c>
      <c r="Y438" s="39">
        <f>IF(B438="","",IF(F438="","Add - no amount",IF(C438="","Add - no category, it will miss the P&amp;L",IF(V438="Overdue","Overdue - pay it",IF(V438="Due soon","Due - coming up",IF(IF(I438="Yes",J438="",FALSE),"Add - how often does it recur?",IF(L438="Yes","OK","Pending")))))))</f>
        <v>0</v>
      </c>
    </row>
    <row r="439" spans="1:25">
      <c r="A439" s="28">
        <f>IF(B439="","",ExpensePrefix&amp;TEXT(ROW()-4,"0000"))</f>
        <v>0</v>
      </c>
      <c r="P439" s="15">
        <f>IF(B439="","",TEXT(B439,"yyyy-mm"))</f>
        <v>0</v>
      </c>
      <c r="Q439" s="25">
        <f>IF(B439="","",WEEKNUM(B439,2))</f>
        <v>0</v>
      </c>
      <c r="R439" s="26">
        <f>IF(B439="","",ROUND(IF(F439="",0,F439)+IF(G439="",0,G439),2))</f>
        <v>0</v>
      </c>
      <c r="S439" s="26">
        <f>IF(B439="","",IF(I439&lt;&gt;"Yes",0,ROUND(IF(F439="",0,F439)*IF(J439="Weekly",52/12,IF(J439="Fortnightly",26/12,IF(J439="Four weekly",13/12,IF(J439="Monthly",1,IF(J439="Quarterly",1/3,IF(J439="Twice a year",1/6,IF(J439="Yearly",1/12,0))))))),2)))</f>
        <v>0</v>
      </c>
      <c r="T439" s="38">
        <f>IF(B439="","",IF(I439="Yes","Yes","No"))</f>
        <v>0</v>
      </c>
      <c r="U439" s="25">
        <f>IF(B439="","",IF(L439="Yes","",IF(K439="","",TodayDate-K439)))</f>
        <v>0</v>
      </c>
      <c r="V439" s="39">
        <f>IF(B439="","",IF(L439="Yes","Paid",IF(K439="","Pending",IF(K439&lt;TodayDate,"Overdue",IF(K439&lt;=TodayDate+7,"Due soon","Pending")))))</f>
        <v>0</v>
      </c>
      <c r="W439" s="26">
        <f>IF(B439="","",IFERROR(INDEX(BudgetAmount,MATCH(C439,BudgetCategory,0))*1,0))</f>
        <v>0</v>
      </c>
      <c r="X439" s="25">
        <f>IF(B439="","",COUNTIFS($R$5:$R$604,"&gt;"&amp;R439)+COUNTIFS($R$5:R439,R439))</f>
        <v>0</v>
      </c>
      <c r="Y439" s="39">
        <f>IF(B439="","",IF(F439="","Add - no amount",IF(C439="","Add - no category, it will miss the P&amp;L",IF(V439="Overdue","Overdue - pay it",IF(V439="Due soon","Due - coming up",IF(IF(I439="Yes",J439="",FALSE),"Add - how often does it recur?",IF(L439="Yes","OK","Pending")))))))</f>
        <v>0</v>
      </c>
    </row>
    <row r="440" spans="1:25">
      <c r="A440" s="28">
        <f>IF(B440="","",ExpensePrefix&amp;TEXT(ROW()-4,"0000"))</f>
        <v>0</v>
      </c>
      <c r="P440" s="15">
        <f>IF(B440="","",TEXT(B440,"yyyy-mm"))</f>
        <v>0</v>
      </c>
      <c r="Q440" s="25">
        <f>IF(B440="","",WEEKNUM(B440,2))</f>
        <v>0</v>
      </c>
      <c r="R440" s="26">
        <f>IF(B440="","",ROUND(IF(F440="",0,F440)+IF(G440="",0,G440),2))</f>
        <v>0</v>
      </c>
      <c r="S440" s="26">
        <f>IF(B440="","",IF(I440&lt;&gt;"Yes",0,ROUND(IF(F440="",0,F440)*IF(J440="Weekly",52/12,IF(J440="Fortnightly",26/12,IF(J440="Four weekly",13/12,IF(J440="Monthly",1,IF(J440="Quarterly",1/3,IF(J440="Twice a year",1/6,IF(J440="Yearly",1/12,0))))))),2)))</f>
        <v>0</v>
      </c>
      <c r="T440" s="38">
        <f>IF(B440="","",IF(I440="Yes","Yes","No"))</f>
        <v>0</v>
      </c>
      <c r="U440" s="25">
        <f>IF(B440="","",IF(L440="Yes","",IF(K440="","",TodayDate-K440)))</f>
        <v>0</v>
      </c>
      <c r="V440" s="39">
        <f>IF(B440="","",IF(L440="Yes","Paid",IF(K440="","Pending",IF(K440&lt;TodayDate,"Overdue",IF(K440&lt;=TodayDate+7,"Due soon","Pending")))))</f>
        <v>0</v>
      </c>
      <c r="W440" s="26">
        <f>IF(B440="","",IFERROR(INDEX(BudgetAmount,MATCH(C440,BudgetCategory,0))*1,0))</f>
        <v>0</v>
      </c>
      <c r="X440" s="25">
        <f>IF(B440="","",COUNTIFS($R$5:$R$604,"&gt;"&amp;R440)+COUNTIFS($R$5:R440,R440))</f>
        <v>0</v>
      </c>
      <c r="Y440" s="39">
        <f>IF(B440="","",IF(F440="","Add - no amount",IF(C440="","Add - no category, it will miss the P&amp;L",IF(V440="Overdue","Overdue - pay it",IF(V440="Due soon","Due - coming up",IF(IF(I440="Yes",J440="",FALSE),"Add - how often does it recur?",IF(L440="Yes","OK","Pending")))))))</f>
        <v>0</v>
      </c>
    </row>
    <row r="441" spans="1:25">
      <c r="A441" s="28">
        <f>IF(B441="","",ExpensePrefix&amp;TEXT(ROW()-4,"0000"))</f>
        <v>0</v>
      </c>
      <c r="P441" s="15">
        <f>IF(B441="","",TEXT(B441,"yyyy-mm"))</f>
        <v>0</v>
      </c>
      <c r="Q441" s="25">
        <f>IF(B441="","",WEEKNUM(B441,2))</f>
        <v>0</v>
      </c>
      <c r="R441" s="26">
        <f>IF(B441="","",ROUND(IF(F441="",0,F441)+IF(G441="",0,G441),2))</f>
        <v>0</v>
      </c>
      <c r="S441" s="26">
        <f>IF(B441="","",IF(I441&lt;&gt;"Yes",0,ROUND(IF(F441="",0,F441)*IF(J441="Weekly",52/12,IF(J441="Fortnightly",26/12,IF(J441="Four weekly",13/12,IF(J441="Monthly",1,IF(J441="Quarterly",1/3,IF(J441="Twice a year",1/6,IF(J441="Yearly",1/12,0))))))),2)))</f>
        <v>0</v>
      </c>
      <c r="T441" s="38">
        <f>IF(B441="","",IF(I441="Yes","Yes","No"))</f>
        <v>0</v>
      </c>
      <c r="U441" s="25">
        <f>IF(B441="","",IF(L441="Yes","",IF(K441="","",TodayDate-K441)))</f>
        <v>0</v>
      </c>
      <c r="V441" s="39">
        <f>IF(B441="","",IF(L441="Yes","Paid",IF(K441="","Pending",IF(K441&lt;TodayDate,"Overdue",IF(K441&lt;=TodayDate+7,"Due soon","Pending")))))</f>
        <v>0</v>
      </c>
      <c r="W441" s="26">
        <f>IF(B441="","",IFERROR(INDEX(BudgetAmount,MATCH(C441,BudgetCategory,0))*1,0))</f>
        <v>0</v>
      </c>
      <c r="X441" s="25">
        <f>IF(B441="","",COUNTIFS($R$5:$R$604,"&gt;"&amp;R441)+COUNTIFS($R$5:R441,R441))</f>
        <v>0</v>
      </c>
      <c r="Y441" s="39">
        <f>IF(B441="","",IF(F441="","Add - no amount",IF(C441="","Add - no category, it will miss the P&amp;L",IF(V441="Overdue","Overdue - pay it",IF(V441="Due soon","Due - coming up",IF(IF(I441="Yes",J441="",FALSE),"Add - how often does it recur?",IF(L441="Yes","OK","Pending")))))))</f>
        <v>0</v>
      </c>
    </row>
    <row r="442" spans="1:25">
      <c r="A442" s="28">
        <f>IF(B442="","",ExpensePrefix&amp;TEXT(ROW()-4,"0000"))</f>
        <v>0</v>
      </c>
      <c r="P442" s="15">
        <f>IF(B442="","",TEXT(B442,"yyyy-mm"))</f>
        <v>0</v>
      </c>
      <c r="Q442" s="25">
        <f>IF(B442="","",WEEKNUM(B442,2))</f>
        <v>0</v>
      </c>
      <c r="R442" s="26">
        <f>IF(B442="","",ROUND(IF(F442="",0,F442)+IF(G442="",0,G442),2))</f>
        <v>0</v>
      </c>
      <c r="S442" s="26">
        <f>IF(B442="","",IF(I442&lt;&gt;"Yes",0,ROUND(IF(F442="",0,F442)*IF(J442="Weekly",52/12,IF(J442="Fortnightly",26/12,IF(J442="Four weekly",13/12,IF(J442="Monthly",1,IF(J442="Quarterly",1/3,IF(J442="Twice a year",1/6,IF(J442="Yearly",1/12,0))))))),2)))</f>
        <v>0</v>
      </c>
      <c r="T442" s="38">
        <f>IF(B442="","",IF(I442="Yes","Yes","No"))</f>
        <v>0</v>
      </c>
      <c r="U442" s="25">
        <f>IF(B442="","",IF(L442="Yes","",IF(K442="","",TodayDate-K442)))</f>
        <v>0</v>
      </c>
      <c r="V442" s="39">
        <f>IF(B442="","",IF(L442="Yes","Paid",IF(K442="","Pending",IF(K442&lt;TodayDate,"Overdue",IF(K442&lt;=TodayDate+7,"Due soon","Pending")))))</f>
        <v>0</v>
      </c>
      <c r="W442" s="26">
        <f>IF(B442="","",IFERROR(INDEX(BudgetAmount,MATCH(C442,BudgetCategory,0))*1,0))</f>
        <v>0</v>
      </c>
      <c r="X442" s="25">
        <f>IF(B442="","",COUNTIFS($R$5:$R$604,"&gt;"&amp;R442)+COUNTIFS($R$5:R442,R442))</f>
        <v>0</v>
      </c>
      <c r="Y442" s="39">
        <f>IF(B442="","",IF(F442="","Add - no amount",IF(C442="","Add - no category, it will miss the P&amp;L",IF(V442="Overdue","Overdue - pay it",IF(V442="Due soon","Due - coming up",IF(IF(I442="Yes",J442="",FALSE),"Add - how often does it recur?",IF(L442="Yes","OK","Pending")))))))</f>
        <v>0</v>
      </c>
    </row>
    <row r="443" spans="1:25">
      <c r="A443" s="28">
        <f>IF(B443="","",ExpensePrefix&amp;TEXT(ROW()-4,"0000"))</f>
        <v>0</v>
      </c>
      <c r="P443" s="15">
        <f>IF(B443="","",TEXT(B443,"yyyy-mm"))</f>
        <v>0</v>
      </c>
      <c r="Q443" s="25">
        <f>IF(B443="","",WEEKNUM(B443,2))</f>
        <v>0</v>
      </c>
      <c r="R443" s="26">
        <f>IF(B443="","",ROUND(IF(F443="",0,F443)+IF(G443="",0,G443),2))</f>
        <v>0</v>
      </c>
      <c r="S443" s="26">
        <f>IF(B443="","",IF(I443&lt;&gt;"Yes",0,ROUND(IF(F443="",0,F443)*IF(J443="Weekly",52/12,IF(J443="Fortnightly",26/12,IF(J443="Four weekly",13/12,IF(J443="Monthly",1,IF(J443="Quarterly",1/3,IF(J443="Twice a year",1/6,IF(J443="Yearly",1/12,0))))))),2)))</f>
        <v>0</v>
      </c>
      <c r="T443" s="38">
        <f>IF(B443="","",IF(I443="Yes","Yes","No"))</f>
        <v>0</v>
      </c>
      <c r="U443" s="25">
        <f>IF(B443="","",IF(L443="Yes","",IF(K443="","",TodayDate-K443)))</f>
        <v>0</v>
      </c>
      <c r="V443" s="39">
        <f>IF(B443="","",IF(L443="Yes","Paid",IF(K443="","Pending",IF(K443&lt;TodayDate,"Overdue",IF(K443&lt;=TodayDate+7,"Due soon","Pending")))))</f>
        <v>0</v>
      </c>
      <c r="W443" s="26">
        <f>IF(B443="","",IFERROR(INDEX(BudgetAmount,MATCH(C443,BudgetCategory,0))*1,0))</f>
        <v>0</v>
      </c>
      <c r="X443" s="25">
        <f>IF(B443="","",COUNTIFS($R$5:$R$604,"&gt;"&amp;R443)+COUNTIFS($R$5:R443,R443))</f>
        <v>0</v>
      </c>
      <c r="Y443" s="39">
        <f>IF(B443="","",IF(F443="","Add - no amount",IF(C443="","Add - no category, it will miss the P&amp;L",IF(V443="Overdue","Overdue - pay it",IF(V443="Due soon","Due - coming up",IF(IF(I443="Yes",J443="",FALSE),"Add - how often does it recur?",IF(L443="Yes","OK","Pending")))))))</f>
        <v>0</v>
      </c>
    </row>
    <row r="444" spans="1:25">
      <c r="A444" s="28">
        <f>IF(B444="","",ExpensePrefix&amp;TEXT(ROW()-4,"0000"))</f>
        <v>0</v>
      </c>
      <c r="P444" s="15">
        <f>IF(B444="","",TEXT(B444,"yyyy-mm"))</f>
        <v>0</v>
      </c>
      <c r="Q444" s="25">
        <f>IF(B444="","",WEEKNUM(B444,2))</f>
        <v>0</v>
      </c>
      <c r="R444" s="26">
        <f>IF(B444="","",ROUND(IF(F444="",0,F444)+IF(G444="",0,G444),2))</f>
        <v>0</v>
      </c>
      <c r="S444" s="26">
        <f>IF(B444="","",IF(I444&lt;&gt;"Yes",0,ROUND(IF(F444="",0,F444)*IF(J444="Weekly",52/12,IF(J444="Fortnightly",26/12,IF(J444="Four weekly",13/12,IF(J444="Monthly",1,IF(J444="Quarterly",1/3,IF(J444="Twice a year",1/6,IF(J444="Yearly",1/12,0))))))),2)))</f>
        <v>0</v>
      </c>
      <c r="T444" s="38">
        <f>IF(B444="","",IF(I444="Yes","Yes","No"))</f>
        <v>0</v>
      </c>
      <c r="U444" s="25">
        <f>IF(B444="","",IF(L444="Yes","",IF(K444="","",TodayDate-K444)))</f>
        <v>0</v>
      </c>
      <c r="V444" s="39">
        <f>IF(B444="","",IF(L444="Yes","Paid",IF(K444="","Pending",IF(K444&lt;TodayDate,"Overdue",IF(K444&lt;=TodayDate+7,"Due soon","Pending")))))</f>
        <v>0</v>
      </c>
      <c r="W444" s="26">
        <f>IF(B444="","",IFERROR(INDEX(BudgetAmount,MATCH(C444,BudgetCategory,0))*1,0))</f>
        <v>0</v>
      </c>
      <c r="X444" s="25">
        <f>IF(B444="","",COUNTIFS($R$5:$R$604,"&gt;"&amp;R444)+COUNTIFS($R$5:R444,R444))</f>
        <v>0</v>
      </c>
      <c r="Y444" s="39">
        <f>IF(B444="","",IF(F444="","Add - no amount",IF(C444="","Add - no category, it will miss the P&amp;L",IF(V444="Overdue","Overdue - pay it",IF(V444="Due soon","Due - coming up",IF(IF(I444="Yes",J444="",FALSE),"Add - how often does it recur?",IF(L444="Yes","OK","Pending")))))))</f>
        <v>0</v>
      </c>
    </row>
    <row r="445" spans="1:25">
      <c r="A445" s="28">
        <f>IF(B445="","",ExpensePrefix&amp;TEXT(ROW()-4,"0000"))</f>
        <v>0</v>
      </c>
      <c r="P445" s="15">
        <f>IF(B445="","",TEXT(B445,"yyyy-mm"))</f>
        <v>0</v>
      </c>
      <c r="Q445" s="25">
        <f>IF(B445="","",WEEKNUM(B445,2))</f>
        <v>0</v>
      </c>
      <c r="R445" s="26">
        <f>IF(B445="","",ROUND(IF(F445="",0,F445)+IF(G445="",0,G445),2))</f>
        <v>0</v>
      </c>
      <c r="S445" s="26">
        <f>IF(B445="","",IF(I445&lt;&gt;"Yes",0,ROUND(IF(F445="",0,F445)*IF(J445="Weekly",52/12,IF(J445="Fortnightly",26/12,IF(J445="Four weekly",13/12,IF(J445="Monthly",1,IF(J445="Quarterly",1/3,IF(J445="Twice a year",1/6,IF(J445="Yearly",1/12,0))))))),2)))</f>
        <v>0</v>
      </c>
      <c r="T445" s="38">
        <f>IF(B445="","",IF(I445="Yes","Yes","No"))</f>
        <v>0</v>
      </c>
      <c r="U445" s="25">
        <f>IF(B445="","",IF(L445="Yes","",IF(K445="","",TodayDate-K445)))</f>
        <v>0</v>
      </c>
      <c r="V445" s="39">
        <f>IF(B445="","",IF(L445="Yes","Paid",IF(K445="","Pending",IF(K445&lt;TodayDate,"Overdue",IF(K445&lt;=TodayDate+7,"Due soon","Pending")))))</f>
        <v>0</v>
      </c>
      <c r="W445" s="26">
        <f>IF(B445="","",IFERROR(INDEX(BudgetAmount,MATCH(C445,BudgetCategory,0))*1,0))</f>
        <v>0</v>
      </c>
      <c r="X445" s="25">
        <f>IF(B445="","",COUNTIFS($R$5:$R$604,"&gt;"&amp;R445)+COUNTIFS($R$5:R445,R445))</f>
        <v>0</v>
      </c>
      <c r="Y445" s="39">
        <f>IF(B445="","",IF(F445="","Add - no amount",IF(C445="","Add - no category, it will miss the P&amp;L",IF(V445="Overdue","Overdue - pay it",IF(V445="Due soon","Due - coming up",IF(IF(I445="Yes",J445="",FALSE),"Add - how often does it recur?",IF(L445="Yes","OK","Pending")))))))</f>
        <v>0</v>
      </c>
    </row>
    <row r="446" spans="1:25">
      <c r="A446" s="28">
        <f>IF(B446="","",ExpensePrefix&amp;TEXT(ROW()-4,"0000"))</f>
        <v>0</v>
      </c>
      <c r="P446" s="15">
        <f>IF(B446="","",TEXT(B446,"yyyy-mm"))</f>
        <v>0</v>
      </c>
      <c r="Q446" s="25">
        <f>IF(B446="","",WEEKNUM(B446,2))</f>
        <v>0</v>
      </c>
      <c r="R446" s="26">
        <f>IF(B446="","",ROUND(IF(F446="",0,F446)+IF(G446="",0,G446),2))</f>
        <v>0</v>
      </c>
      <c r="S446" s="26">
        <f>IF(B446="","",IF(I446&lt;&gt;"Yes",0,ROUND(IF(F446="",0,F446)*IF(J446="Weekly",52/12,IF(J446="Fortnightly",26/12,IF(J446="Four weekly",13/12,IF(J446="Monthly",1,IF(J446="Quarterly",1/3,IF(J446="Twice a year",1/6,IF(J446="Yearly",1/12,0))))))),2)))</f>
        <v>0</v>
      </c>
      <c r="T446" s="38">
        <f>IF(B446="","",IF(I446="Yes","Yes","No"))</f>
        <v>0</v>
      </c>
      <c r="U446" s="25">
        <f>IF(B446="","",IF(L446="Yes","",IF(K446="","",TodayDate-K446)))</f>
        <v>0</v>
      </c>
      <c r="V446" s="39">
        <f>IF(B446="","",IF(L446="Yes","Paid",IF(K446="","Pending",IF(K446&lt;TodayDate,"Overdue",IF(K446&lt;=TodayDate+7,"Due soon","Pending")))))</f>
        <v>0</v>
      </c>
      <c r="W446" s="26">
        <f>IF(B446="","",IFERROR(INDEX(BudgetAmount,MATCH(C446,BudgetCategory,0))*1,0))</f>
        <v>0</v>
      </c>
      <c r="X446" s="25">
        <f>IF(B446="","",COUNTIFS($R$5:$R$604,"&gt;"&amp;R446)+COUNTIFS($R$5:R446,R446))</f>
        <v>0</v>
      </c>
      <c r="Y446" s="39">
        <f>IF(B446="","",IF(F446="","Add - no amount",IF(C446="","Add - no category, it will miss the P&amp;L",IF(V446="Overdue","Overdue - pay it",IF(V446="Due soon","Due - coming up",IF(IF(I446="Yes",J446="",FALSE),"Add - how often does it recur?",IF(L446="Yes","OK","Pending")))))))</f>
        <v>0</v>
      </c>
    </row>
    <row r="447" spans="1:25">
      <c r="A447" s="28">
        <f>IF(B447="","",ExpensePrefix&amp;TEXT(ROW()-4,"0000"))</f>
        <v>0</v>
      </c>
      <c r="P447" s="15">
        <f>IF(B447="","",TEXT(B447,"yyyy-mm"))</f>
        <v>0</v>
      </c>
      <c r="Q447" s="25">
        <f>IF(B447="","",WEEKNUM(B447,2))</f>
        <v>0</v>
      </c>
      <c r="R447" s="26">
        <f>IF(B447="","",ROUND(IF(F447="",0,F447)+IF(G447="",0,G447),2))</f>
        <v>0</v>
      </c>
      <c r="S447" s="26">
        <f>IF(B447="","",IF(I447&lt;&gt;"Yes",0,ROUND(IF(F447="",0,F447)*IF(J447="Weekly",52/12,IF(J447="Fortnightly",26/12,IF(J447="Four weekly",13/12,IF(J447="Monthly",1,IF(J447="Quarterly",1/3,IF(J447="Twice a year",1/6,IF(J447="Yearly",1/12,0))))))),2)))</f>
        <v>0</v>
      </c>
      <c r="T447" s="38">
        <f>IF(B447="","",IF(I447="Yes","Yes","No"))</f>
        <v>0</v>
      </c>
      <c r="U447" s="25">
        <f>IF(B447="","",IF(L447="Yes","",IF(K447="","",TodayDate-K447)))</f>
        <v>0</v>
      </c>
      <c r="V447" s="39">
        <f>IF(B447="","",IF(L447="Yes","Paid",IF(K447="","Pending",IF(K447&lt;TodayDate,"Overdue",IF(K447&lt;=TodayDate+7,"Due soon","Pending")))))</f>
        <v>0</v>
      </c>
      <c r="W447" s="26">
        <f>IF(B447="","",IFERROR(INDEX(BudgetAmount,MATCH(C447,BudgetCategory,0))*1,0))</f>
        <v>0</v>
      </c>
      <c r="X447" s="25">
        <f>IF(B447="","",COUNTIFS($R$5:$R$604,"&gt;"&amp;R447)+COUNTIFS($R$5:R447,R447))</f>
        <v>0</v>
      </c>
      <c r="Y447" s="39">
        <f>IF(B447="","",IF(F447="","Add - no amount",IF(C447="","Add - no category, it will miss the P&amp;L",IF(V447="Overdue","Overdue - pay it",IF(V447="Due soon","Due - coming up",IF(IF(I447="Yes",J447="",FALSE),"Add - how often does it recur?",IF(L447="Yes","OK","Pending")))))))</f>
        <v>0</v>
      </c>
    </row>
    <row r="448" spans="1:25">
      <c r="A448" s="28">
        <f>IF(B448="","",ExpensePrefix&amp;TEXT(ROW()-4,"0000"))</f>
        <v>0</v>
      </c>
      <c r="P448" s="15">
        <f>IF(B448="","",TEXT(B448,"yyyy-mm"))</f>
        <v>0</v>
      </c>
      <c r="Q448" s="25">
        <f>IF(B448="","",WEEKNUM(B448,2))</f>
        <v>0</v>
      </c>
      <c r="R448" s="26">
        <f>IF(B448="","",ROUND(IF(F448="",0,F448)+IF(G448="",0,G448),2))</f>
        <v>0</v>
      </c>
      <c r="S448" s="26">
        <f>IF(B448="","",IF(I448&lt;&gt;"Yes",0,ROUND(IF(F448="",0,F448)*IF(J448="Weekly",52/12,IF(J448="Fortnightly",26/12,IF(J448="Four weekly",13/12,IF(J448="Monthly",1,IF(J448="Quarterly",1/3,IF(J448="Twice a year",1/6,IF(J448="Yearly",1/12,0))))))),2)))</f>
        <v>0</v>
      </c>
      <c r="T448" s="38">
        <f>IF(B448="","",IF(I448="Yes","Yes","No"))</f>
        <v>0</v>
      </c>
      <c r="U448" s="25">
        <f>IF(B448="","",IF(L448="Yes","",IF(K448="","",TodayDate-K448)))</f>
        <v>0</v>
      </c>
      <c r="V448" s="39">
        <f>IF(B448="","",IF(L448="Yes","Paid",IF(K448="","Pending",IF(K448&lt;TodayDate,"Overdue",IF(K448&lt;=TodayDate+7,"Due soon","Pending")))))</f>
        <v>0</v>
      </c>
      <c r="W448" s="26">
        <f>IF(B448="","",IFERROR(INDEX(BudgetAmount,MATCH(C448,BudgetCategory,0))*1,0))</f>
        <v>0</v>
      </c>
      <c r="X448" s="25">
        <f>IF(B448="","",COUNTIFS($R$5:$R$604,"&gt;"&amp;R448)+COUNTIFS($R$5:R448,R448))</f>
        <v>0</v>
      </c>
      <c r="Y448" s="39">
        <f>IF(B448="","",IF(F448="","Add - no amount",IF(C448="","Add - no category, it will miss the P&amp;L",IF(V448="Overdue","Overdue - pay it",IF(V448="Due soon","Due - coming up",IF(IF(I448="Yes",J448="",FALSE),"Add - how often does it recur?",IF(L448="Yes","OK","Pending")))))))</f>
        <v>0</v>
      </c>
    </row>
    <row r="449" spans="1:25">
      <c r="A449" s="28">
        <f>IF(B449="","",ExpensePrefix&amp;TEXT(ROW()-4,"0000"))</f>
        <v>0</v>
      </c>
      <c r="P449" s="15">
        <f>IF(B449="","",TEXT(B449,"yyyy-mm"))</f>
        <v>0</v>
      </c>
      <c r="Q449" s="25">
        <f>IF(B449="","",WEEKNUM(B449,2))</f>
        <v>0</v>
      </c>
      <c r="R449" s="26">
        <f>IF(B449="","",ROUND(IF(F449="",0,F449)+IF(G449="",0,G449),2))</f>
        <v>0</v>
      </c>
      <c r="S449" s="26">
        <f>IF(B449="","",IF(I449&lt;&gt;"Yes",0,ROUND(IF(F449="",0,F449)*IF(J449="Weekly",52/12,IF(J449="Fortnightly",26/12,IF(J449="Four weekly",13/12,IF(J449="Monthly",1,IF(J449="Quarterly",1/3,IF(J449="Twice a year",1/6,IF(J449="Yearly",1/12,0))))))),2)))</f>
        <v>0</v>
      </c>
      <c r="T449" s="38">
        <f>IF(B449="","",IF(I449="Yes","Yes","No"))</f>
        <v>0</v>
      </c>
      <c r="U449" s="25">
        <f>IF(B449="","",IF(L449="Yes","",IF(K449="","",TodayDate-K449)))</f>
        <v>0</v>
      </c>
      <c r="V449" s="39">
        <f>IF(B449="","",IF(L449="Yes","Paid",IF(K449="","Pending",IF(K449&lt;TodayDate,"Overdue",IF(K449&lt;=TodayDate+7,"Due soon","Pending")))))</f>
        <v>0</v>
      </c>
      <c r="W449" s="26">
        <f>IF(B449="","",IFERROR(INDEX(BudgetAmount,MATCH(C449,BudgetCategory,0))*1,0))</f>
        <v>0</v>
      </c>
      <c r="X449" s="25">
        <f>IF(B449="","",COUNTIFS($R$5:$R$604,"&gt;"&amp;R449)+COUNTIFS($R$5:R449,R449))</f>
        <v>0</v>
      </c>
      <c r="Y449" s="39">
        <f>IF(B449="","",IF(F449="","Add - no amount",IF(C449="","Add - no category, it will miss the P&amp;L",IF(V449="Overdue","Overdue - pay it",IF(V449="Due soon","Due - coming up",IF(IF(I449="Yes",J449="",FALSE),"Add - how often does it recur?",IF(L449="Yes","OK","Pending")))))))</f>
        <v>0</v>
      </c>
    </row>
    <row r="450" spans="1:25">
      <c r="A450" s="28">
        <f>IF(B450="","",ExpensePrefix&amp;TEXT(ROW()-4,"0000"))</f>
        <v>0</v>
      </c>
      <c r="P450" s="15">
        <f>IF(B450="","",TEXT(B450,"yyyy-mm"))</f>
        <v>0</v>
      </c>
      <c r="Q450" s="25">
        <f>IF(B450="","",WEEKNUM(B450,2))</f>
        <v>0</v>
      </c>
      <c r="R450" s="26">
        <f>IF(B450="","",ROUND(IF(F450="",0,F450)+IF(G450="",0,G450),2))</f>
        <v>0</v>
      </c>
      <c r="S450" s="26">
        <f>IF(B450="","",IF(I450&lt;&gt;"Yes",0,ROUND(IF(F450="",0,F450)*IF(J450="Weekly",52/12,IF(J450="Fortnightly",26/12,IF(J450="Four weekly",13/12,IF(J450="Monthly",1,IF(J450="Quarterly",1/3,IF(J450="Twice a year",1/6,IF(J450="Yearly",1/12,0))))))),2)))</f>
        <v>0</v>
      </c>
      <c r="T450" s="38">
        <f>IF(B450="","",IF(I450="Yes","Yes","No"))</f>
        <v>0</v>
      </c>
      <c r="U450" s="25">
        <f>IF(B450="","",IF(L450="Yes","",IF(K450="","",TodayDate-K450)))</f>
        <v>0</v>
      </c>
      <c r="V450" s="39">
        <f>IF(B450="","",IF(L450="Yes","Paid",IF(K450="","Pending",IF(K450&lt;TodayDate,"Overdue",IF(K450&lt;=TodayDate+7,"Due soon","Pending")))))</f>
        <v>0</v>
      </c>
      <c r="W450" s="26">
        <f>IF(B450="","",IFERROR(INDEX(BudgetAmount,MATCH(C450,BudgetCategory,0))*1,0))</f>
        <v>0</v>
      </c>
      <c r="X450" s="25">
        <f>IF(B450="","",COUNTIFS($R$5:$R$604,"&gt;"&amp;R450)+COUNTIFS($R$5:R450,R450))</f>
        <v>0</v>
      </c>
      <c r="Y450" s="39">
        <f>IF(B450="","",IF(F450="","Add - no amount",IF(C450="","Add - no category, it will miss the P&amp;L",IF(V450="Overdue","Overdue - pay it",IF(V450="Due soon","Due - coming up",IF(IF(I450="Yes",J450="",FALSE),"Add - how often does it recur?",IF(L450="Yes","OK","Pending")))))))</f>
        <v>0</v>
      </c>
    </row>
    <row r="451" spans="1:25">
      <c r="A451" s="28">
        <f>IF(B451="","",ExpensePrefix&amp;TEXT(ROW()-4,"0000"))</f>
        <v>0</v>
      </c>
      <c r="P451" s="15">
        <f>IF(B451="","",TEXT(B451,"yyyy-mm"))</f>
        <v>0</v>
      </c>
      <c r="Q451" s="25">
        <f>IF(B451="","",WEEKNUM(B451,2))</f>
        <v>0</v>
      </c>
      <c r="R451" s="26">
        <f>IF(B451="","",ROUND(IF(F451="",0,F451)+IF(G451="",0,G451),2))</f>
        <v>0</v>
      </c>
      <c r="S451" s="26">
        <f>IF(B451="","",IF(I451&lt;&gt;"Yes",0,ROUND(IF(F451="",0,F451)*IF(J451="Weekly",52/12,IF(J451="Fortnightly",26/12,IF(J451="Four weekly",13/12,IF(J451="Monthly",1,IF(J451="Quarterly",1/3,IF(J451="Twice a year",1/6,IF(J451="Yearly",1/12,0))))))),2)))</f>
        <v>0</v>
      </c>
      <c r="T451" s="38">
        <f>IF(B451="","",IF(I451="Yes","Yes","No"))</f>
        <v>0</v>
      </c>
      <c r="U451" s="25">
        <f>IF(B451="","",IF(L451="Yes","",IF(K451="","",TodayDate-K451)))</f>
        <v>0</v>
      </c>
      <c r="V451" s="39">
        <f>IF(B451="","",IF(L451="Yes","Paid",IF(K451="","Pending",IF(K451&lt;TodayDate,"Overdue",IF(K451&lt;=TodayDate+7,"Due soon","Pending")))))</f>
        <v>0</v>
      </c>
      <c r="W451" s="26">
        <f>IF(B451="","",IFERROR(INDEX(BudgetAmount,MATCH(C451,BudgetCategory,0))*1,0))</f>
        <v>0</v>
      </c>
      <c r="X451" s="25">
        <f>IF(B451="","",COUNTIFS($R$5:$R$604,"&gt;"&amp;R451)+COUNTIFS($R$5:R451,R451))</f>
        <v>0</v>
      </c>
      <c r="Y451" s="39">
        <f>IF(B451="","",IF(F451="","Add - no amount",IF(C451="","Add - no category, it will miss the P&amp;L",IF(V451="Overdue","Overdue - pay it",IF(V451="Due soon","Due - coming up",IF(IF(I451="Yes",J451="",FALSE),"Add - how often does it recur?",IF(L451="Yes","OK","Pending")))))))</f>
        <v>0</v>
      </c>
    </row>
    <row r="452" spans="1:25">
      <c r="A452" s="28">
        <f>IF(B452="","",ExpensePrefix&amp;TEXT(ROW()-4,"0000"))</f>
        <v>0</v>
      </c>
      <c r="P452" s="15">
        <f>IF(B452="","",TEXT(B452,"yyyy-mm"))</f>
        <v>0</v>
      </c>
      <c r="Q452" s="25">
        <f>IF(B452="","",WEEKNUM(B452,2))</f>
        <v>0</v>
      </c>
      <c r="R452" s="26">
        <f>IF(B452="","",ROUND(IF(F452="",0,F452)+IF(G452="",0,G452),2))</f>
        <v>0</v>
      </c>
      <c r="S452" s="26">
        <f>IF(B452="","",IF(I452&lt;&gt;"Yes",0,ROUND(IF(F452="",0,F452)*IF(J452="Weekly",52/12,IF(J452="Fortnightly",26/12,IF(J452="Four weekly",13/12,IF(J452="Monthly",1,IF(J452="Quarterly",1/3,IF(J452="Twice a year",1/6,IF(J452="Yearly",1/12,0))))))),2)))</f>
        <v>0</v>
      </c>
      <c r="T452" s="38">
        <f>IF(B452="","",IF(I452="Yes","Yes","No"))</f>
        <v>0</v>
      </c>
      <c r="U452" s="25">
        <f>IF(B452="","",IF(L452="Yes","",IF(K452="","",TodayDate-K452)))</f>
        <v>0</v>
      </c>
      <c r="V452" s="39">
        <f>IF(B452="","",IF(L452="Yes","Paid",IF(K452="","Pending",IF(K452&lt;TodayDate,"Overdue",IF(K452&lt;=TodayDate+7,"Due soon","Pending")))))</f>
        <v>0</v>
      </c>
      <c r="W452" s="26">
        <f>IF(B452="","",IFERROR(INDEX(BudgetAmount,MATCH(C452,BudgetCategory,0))*1,0))</f>
        <v>0</v>
      </c>
      <c r="X452" s="25">
        <f>IF(B452="","",COUNTIFS($R$5:$R$604,"&gt;"&amp;R452)+COUNTIFS($R$5:R452,R452))</f>
        <v>0</v>
      </c>
      <c r="Y452" s="39">
        <f>IF(B452="","",IF(F452="","Add - no amount",IF(C452="","Add - no category, it will miss the P&amp;L",IF(V452="Overdue","Overdue - pay it",IF(V452="Due soon","Due - coming up",IF(IF(I452="Yes",J452="",FALSE),"Add - how often does it recur?",IF(L452="Yes","OK","Pending")))))))</f>
        <v>0</v>
      </c>
    </row>
    <row r="453" spans="1:25">
      <c r="A453" s="28">
        <f>IF(B453="","",ExpensePrefix&amp;TEXT(ROW()-4,"0000"))</f>
        <v>0</v>
      </c>
      <c r="P453" s="15">
        <f>IF(B453="","",TEXT(B453,"yyyy-mm"))</f>
        <v>0</v>
      </c>
      <c r="Q453" s="25">
        <f>IF(B453="","",WEEKNUM(B453,2))</f>
        <v>0</v>
      </c>
      <c r="R453" s="26">
        <f>IF(B453="","",ROUND(IF(F453="",0,F453)+IF(G453="",0,G453),2))</f>
        <v>0</v>
      </c>
      <c r="S453" s="26">
        <f>IF(B453="","",IF(I453&lt;&gt;"Yes",0,ROUND(IF(F453="",0,F453)*IF(J453="Weekly",52/12,IF(J453="Fortnightly",26/12,IF(J453="Four weekly",13/12,IF(J453="Monthly",1,IF(J453="Quarterly",1/3,IF(J453="Twice a year",1/6,IF(J453="Yearly",1/12,0))))))),2)))</f>
        <v>0</v>
      </c>
      <c r="T453" s="38">
        <f>IF(B453="","",IF(I453="Yes","Yes","No"))</f>
        <v>0</v>
      </c>
      <c r="U453" s="25">
        <f>IF(B453="","",IF(L453="Yes","",IF(K453="","",TodayDate-K453)))</f>
        <v>0</v>
      </c>
      <c r="V453" s="39">
        <f>IF(B453="","",IF(L453="Yes","Paid",IF(K453="","Pending",IF(K453&lt;TodayDate,"Overdue",IF(K453&lt;=TodayDate+7,"Due soon","Pending")))))</f>
        <v>0</v>
      </c>
      <c r="W453" s="26">
        <f>IF(B453="","",IFERROR(INDEX(BudgetAmount,MATCH(C453,BudgetCategory,0))*1,0))</f>
        <v>0</v>
      </c>
      <c r="X453" s="25">
        <f>IF(B453="","",COUNTIFS($R$5:$R$604,"&gt;"&amp;R453)+COUNTIFS($R$5:R453,R453))</f>
        <v>0</v>
      </c>
      <c r="Y453" s="39">
        <f>IF(B453="","",IF(F453="","Add - no amount",IF(C453="","Add - no category, it will miss the P&amp;L",IF(V453="Overdue","Overdue - pay it",IF(V453="Due soon","Due - coming up",IF(IF(I453="Yes",J453="",FALSE),"Add - how often does it recur?",IF(L453="Yes","OK","Pending")))))))</f>
        <v>0</v>
      </c>
    </row>
    <row r="454" spans="1:25">
      <c r="A454" s="28">
        <f>IF(B454="","",ExpensePrefix&amp;TEXT(ROW()-4,"0000"))</f>
        <v>0</v>
      </c>
      <c r="P454" s="15">
        <f>IF(B454="","",TEXT(B454,"yyyy-mm"))</f>
        <v>0</v>
      </c>
      <c r="Q454" s="25">
        <f>IF(B454="","",WEEKNUM(B454,2))</f>
        <v>0</v>
      </c>
      <c r="R454" s="26">
        <f>IF(B454="","",ROUND(IF(F454="",0,F454)+IF(G454="",0,G454),2))</f>
        <v>0</v>
      </c>
      <c r="S454" s="26">
        <f>IF(B454="","",IF(I454&lt;&gt;"Yes",0,ROUND(IF(F454="",0,F454)*IF(J454="Weekly",52/12,IF(J454="Fortnightly",26/12,IF(J454="Four weekly",13/12,IF(J454="Monthly",1,IF(J454="Quarterly",1/3,IF(J454="Twice a year",1/6,IF(J454="Yearly",1/12,0))))))),2)))</f>
        <v>0</v>
      </c>
      <c r="T454" s="38">
        <f>IF(B454="","",IF(I454="Yes","Yes","No"))</f>
        <v>0</v>
      </c>
      <c r="U454" s="25">
        <f>IF(B454="","",IF(L454="Yes","",IF(K454="","",TodayDate-K454)))</f>
        <v>0</v>
      </c>
      <c r="V454" s="39">
        <f>IF(B454="","",IF(L454="Yes","Paid",IF(K454="","Pending",IF(K454&lt;TodayDate,"Overdue",IF(K454&lt;=TodayDate+7,"Due soon","Pending")))))</f>
        <v>0</v>
      </c>
      <c r="W454" s="26">
        <f>IF(B454="","",IFERROR(INDEX(BudgetAmount,MATCH(C454,BudgetCategory,0))*1,0))</f>
        <v>0</v>
      </c>
      <c r="X454" s="25">
        <f>IF(B454="","",COUNTIFS($R$5:$R$604,"&gt;"&amp;R454)+COUNTIFS($R$5:R454,R454))</f>
        <v>0</v>
      </c>
      <c r="Y454" s="39">
        <f>IF(B454="","",IF(F454="","Add - no amount",IF(C454="","Add - no category, it will miss the P&amp;L",IF(V454="Overdue","Overdue - pay it",IF(V454="Due soon","Due - coming up",IF(IF(I454="Yes",J454="",FALSE),"Add - how often does it recur?",IF(L454="Yes","OK","Pending")))))))</f>
        <v>0</v>
      </c>
    </row>
    <row r="455" spans="1:25">
      <c r="A455" s="28">
        <f>IF(B455="","",ExpensePrefix&amp;TEXT(ROW()-4,"0000"))</f>
        <v>0</v>
      </c>
      <c r="P455" s="15">
        <f>IF(B455="","",TEXT(B455,"yyyy-mm"))</f>
        <v>0</v>
      </c>
      <c r="Q455" s="25">
        <f>IF(B455="","",WEEKNUM(B455,2))</f>
        <v>0</v>
      </c>
      <c r="R455" s="26">
        <f>IF(B455="","",ROUND(IF(F455="",0,F455)+IF(G455="",0,G455),2))</f>
        <v>0</v>
      </c>
      <c r="S455" s="26">
        <f>IF(B455="","",IF(I455&lt;&gt;"Yes",0,ROUND(IF(F455="",0,F455)*IF(J455="Weekly",52/12,IF(J455="Fortnightly",26/12,IF(J455="Four weekly",13/12,IF(J455="Monthly",1,IF(J455="Quarterly",1/3,IF(J455="Twice a year",1/6,IF(J455="Yearly",1/12,0))))))),2)))</f>
        <v>0</v>
      </c>
      <c r="T455" s="38">
        <f>IF(B455="","",IF(I455="Yes","Yes","No"))</f>
        <v>0</v>
      </c>
      <c r="U455" s="25">
        <f>IF(B455="","",IF(L455="Yes","",IF(K455="","",TodayDate-K455)))</f>
        <v>0</v>
      </c>
      <c r="V455" s="39">
        <f>IF(B455="","",IF(L455="Yes","Paid",IF(K455="","Pending",IF(K455&lt;TodayDate,"Overdue",IF(K455&lt;=TodayDate+7,"Due soon","Pending")))))</f>
        <v>0</v>
      </c>
      <c r="W455" s="26">
        <f>IF(B455="","",IFERROR(INDEX(BudgetAmount,MATCH(C455,BudgetCategory,0))*1,0))</f>
        <v>0</v>
      </c>
      <c r="X455" s="25">
        <f>IF(B455="","",COUNTIFS($R$5:$R$604,"&gt;"&amp;R455)+COUNTIFS($R$5:R455,R455))</f>
        <v>0</v>
      </c>
      <c r="Y455" s="39">
        <f>IF(B455="","",IF(F455="","Add - no amount",IF(C455="","Add - no category, it will miss the P&amp;L",IF(V455="Overdue","Overdue - pay it",IF(V455="Due soon","Due - coming up",IF(IF(I455="Yes",J455="",FALSE),"Add - how often does it recur?",IF(L455="Yes","OK","Pending")))))))</f>
        <v>0</v>
      </c>
    </row>
    <row r="456" spans="1:25">
      <c r="A456" s="28">
        <f>IF(B456="","",ExpensePrefix&amp;TEXT(ROW()-4,"0000"))</f>
        <v>0</v>
      </c>
      <c r="P456" s="15">
        <f>IF(B456="","",TEXT(B456,"yyyy-mm"))</f>
        <v>0</v>
      </c>
      <c r="Q456" s="25">
        <f>IF(B456="","",WEEKNUM(B456,2))</f>
        <v>0</v>
      </c>
      <c r="R456" s="26">
        <f>IF(B456="","",ROUND(IF(F456="",0,F456)+IF(G456="",0,G456),2))</f>
        <v>0</v>
      </c>
      <c r="S456" s="26">
        <f>IF(B456="","",IF(I456&lt;&gt;"Yes",0,ROUND(IF(F456="",0,F456)*IF(J456="Weekly",52/12,IF(J456="Fortnightly",26/12,IF(J456="Four weekly",13/12,IF(J456="Monthly",1,IF(J456="Quarterly",1/3,IF(J456="Twice a year",1/6,IF(J456="Yearly",1/12,0))))))),2)))</f>
        <v>0</v>
      </c>
      <c r="T456" s="38">
        <f>IF(B456="","",IF(I456="Yes","Yes","No"))</f>
        <v>0</v>
      </c>
      <c r="U456" s="25">
        <f>IF(B456="","",IF(L456="Yes","",IF(K456="","",TodayDate-K456)))</f>
        <v>0</v>
      </c>
      <c r="V456" s="39">
        <f>IF(B456="","",IF(L456="Yes","Paid",IF(K456="","Pending",IF(K456&lt;TodayDate,"Overdue",IF(K456&lt;=TodayDate+7,"Due soon","Pending")))))</f>
        <v>0</v>
      </c>
      <c r="W456" s="26">
        <f>IF(B456="","",IFERROR(INDEX(BudgetAmount,MATCH(C456,BudgetCategory,0))*1,0))</f>
        <v>0</v>
      </c>
      <c r="X456" s="25">
        <f>IF(B456="","",COUNTIFS($R$5:$R$604,"&gt;"&amp;R456)+COUNTIFS($R$5:R456,R456))</f>
        <v>0</v>
      </c>
      <c r="Y456" s="39">
        <f>IF(B456="","",IF(F456="","Add - no amount",IF(C456="","Add - no category, it will miss the P&amp;L",IF(V456="Overdue","Overdue - pay it",IF(V456="Due soon","Due - coming up",IF(IF(I456="Yes",J456="",FALSE),"Add - how often does it recur?",IF(L456="Yes","OK","Pending")))))))</f>
        <v>0</v>
      </c>
    </row>
    <row r="457" spans="1:25">
      <c r="A457" s="28">
        <f>IF(B457="","",ExpensePrefix&amp;TEXT(ROW()-4,"0000"))</f>
        <v>0</v>
      </c>
      <c r="P457" s="15">
        <f>IF(B457="","",TEXT(B457,"yyyy-mm"))</f>
        <v>0</v>
      </c>
      <c r="Q457" s="25">
        <f>IF(B457="","",WEEKNUM(B457,2))</f>
        <v>0</v>
      </c>
      <c r="R457" s="26">
        <f>IF(B457="","",ROUND(IF(F457="",0,F457)+IF(G457="",0,G457),2))</f>
        <v>0</v>
      </c>
      <c r="S457" s="26">
        <f>IF(B457="","",IF(I457&lt;&gt;"Yes",0,ROUND(IF(F457="",0,F457)*IF(J457="Weekly",52/12,IF(J457="Fortnightly",26/12,IF(J457="Four weekly",13/12,IF(J457="Monthly",1,IF(J457="Quarterly",1/3,IF(J457="Twice a year",1/6,IF(J457="Yearly",1/12,0))))))),2)))</f>
        <v>0</v>
      </c>
      <c r="T457" s="38">
        <f>IF(B457="","",IF(I457="Yes","Yes","No"))</f>
        <v>0</v>
      </c>
      <c r="U457" s="25">
        <f>IF(B457="","",IF(L457="Yes","",IF(K457="","",TodayDate-K457)))</f>
        <v>0</v>
      </c>
      <c r="V457" s="39">
        <f>IF(B457="","",IF(L457="Yes","Paid",IF(K457="","Pending",IF(K457&lt;TodayDate,"Overdue",IF(K457&lt;=TodayDate+7,"Due soon","Pending")))))</f>
        <v>0</v>
      </c>
      <c r="W457" s="26">
        <f>IF(B457="","",IFERROR(INDEX(BudgetAmount,MATCH(C457,BudgetCategory,0))*1,0))</f>
        <v>0</v>
      </c>
      <c r="X457" s="25">
        <f>IF(B457="","",COUNTIFS($R$5:$R$604,"&gt;"&amp;R457)+COUNTIFS($R$5:R457,R457))</f>
        <v>0</v>
      </c>
      <c r="Y457" s="39">
        <f>IF(B457="","",IF(F457="","Add - no amount",IF(C457="","Add - no category, it will miss the P&amp;L",IF(V457="Overdue","Overdue - pay it",IF(V457="Due soon","Due - coming up",IF(IF(I457="Yes",J457="",FALSE),"Add - how often does it recur?",IF(L457="Yes","OK","Pending")))))))</f>
        <v>0</v>
      </c>
    </row>
    <row r="458" spans="1:25">
      <c r="A458" s="28">
        <f>IF(B458="","",ExpensePrefix&amp;TEXT(ROW()-4,"0000"))</f>
        <v>0</v>
      </c>
      <c r="P458" s="15">
        <f>IF(B458="","",TEXT(B458,"yyyy-mm"))</f>
        <v>0</v>
      </c>
      <c r="Q458" s="25">
        <f>IF(B458="","",WEEKNUM(B458,2))</f>
        <v>0</v>
      </c>
      <c r="R458" s="26">
        <f>IF(B458="","",ROUND(IF(F458="",0,F458)+IF(G458="",0,G458),2))</f>
        <v>0</v>
      </c>
      <c r="S458" s="26">
        <f>IF(B458="","",IF(I458&lt;&gt;"Yes",0,ROUND(IF(F458="",0,F458)*IF(J458="Weekly",52/12,IF(J458="Fortnightly",26/12,IF(J458="Four weekly",13/12,IF(J458="Monthly",1,IF(J458="Quarterly",1/3,IF(J458="Twice a year",1/6,IF(J458="Yearly",1/12,0))))))),2)))</f>
        <v>0</v>
      </c>
      <c r="T458" s="38">
        <f>IF(B458="","",IF(I458="Yes","Yes","No"))</f>
        <v>0</v>
      </c>
      <c r="U458" s="25">
        <f>IF(B458="","",IF(L458="Yes","",IF(K458="","",TodayDate-K458)))</f>
        <v>0</v>
      </c>
      <c r="V458" s="39">
        <f>IF(B458="","",IF(L458="Yes","Paid",IF(K458="","Pending",IF(K458&lt;TodayDate,"Overdue",IF(K458&lt;=TodayDate+7,"Due soon","Pending")))))</f>
        <v>0</v>
      </c>
      <c r="W458" s="26">
        <f>IF(B458="","",IFERROR(INDEX(BudgetAmount,MATCH(C458,BudgetCategory,0))*1,0))</f>
        <v>0</v>
      </c>
      <c r="X458" s="25">
        <f>IF(B458="","",COUNTIFS($R$5:$R$604,"&gt;"&amp;R458)+COUNTIFS($R$5:R458,R458))</f>
        <v>0</v>
      </c>
      <c r="Y458" s="39">
        <f>IF(B458="","",IF(F458="","Add - no amount",IF(C458="","Add - no category, it will miss the P&amp;L",IF(V458="Overdue","Overdue - pay it",IF(V458="Due soon","Due - coming up",IF(IF(I458="Yes",J458="",FALSE),"Add - how often does it recur?",IF(L458="Yes","OK","Pending")))))))</f>
        <v>0</v>
      </c>
    </row>
    <row r="459" spans="1:25">
      <c r="A459" s="28">
        <f>IF(B459="","",ExpensePrefix&amp;TEXT(ROW()-4,"0000"))</f>
        <v>0</v>
      </c>
      <c r="P459" s="15">
        <f>IF(B459="","",TEXT(B459,"yyyy-mm"))</f>
        <v>0</v>
      </c>
      <c r="Q459" s="25">
        <f>IF(B459="","",WEEKNUM(B459,2))</f>
        <v>0</v>
      </c>
      <c r="R459" s="26">
        <f>IF(B459="","",ROUND(IF(F459="",0,F459)+IF(G459="",0,G459),2))</f>
        <v>0</v>
      </c>
      <c r="S459" s="26">
        <f>IF(B459="","",IF(I459&lt;&gt;"Yes",0,ROUND(IF(F459="",0,F459)*IF(J459="Weekly",52/12,IF(J459="Fortnightly",26/12,IF(J459="Four weekly",13/12,IF(J459="Monthly",1,IF(J459="Quarterly",1/3,IF(J459="Twice a year",1/6,IF(J459="Yearly",1/12,0))))))),2)))</f>
        <v>0</v>
      </c>
      <c r="T459" s="38">
        <f>IF(B459="","",IF(I459="Yes","Yes","No"))</f>
        <v>0</v>
      </c>
      <c r="U459" s="25">
        <f>IF(B459="","",IF(L459="Yes","",IF(K459="","",TodayDate-K459)))</f>
        <v>0</v>
      </c>
      <c r="V459" s="39">
        <f>IF(B459="","",IF(L459="Yes","Paid",IF(K459="","Pending",IF(K459&lt;TodayDate,"Overdue",IF(K459&lt;=TodayDate+7,"Due soon","Pending")))))</f>
        <v>0</v>
      </c>
      <c r="W459" s="26">
        <f>IF(B459="","",IFERROR(INDEX(BudgetAmount,MATCH(C459,BudgetCategory,0))*1,0))</f>
        <v>0</v>
      </c>
      <c r="X459" s="25">
        <f>IF(B459="","",COUNTIFS($R$5:$R$604,"&gt;"&amp;R459)+COUNTIFS($R$5:R459,R459))</f>
        <v>0</v>
      </c>
      <c r="Y459" s="39">
        <f>IF(B459="","",IF(F459="","Add - no amount",IF(C459="","Add - no category, it will miss the P&amp;L",IF(V459="Overdue","Overdue - pay it",IF(V459="Due soon","Due - coming up",IF(IF(I459="Yes",J459="",FALSE),"Add - how often does it recur?",IF(L459="Yes","OK","Pending")))))))</f>
        <v>0</v>
      </c>
    </row>
    <row r="460" spans="1:25">
      <c r="A460" s="28">
        <f>IF(B460="","",ExpensePrefix&amp;TEXT(ROW()-4,"0000"))</f>
        <v>0</v>
      </c>
      <c r="P460" s="15">
        <f>IF(B460="","",TEXT(B460,"yyyy-mm"))</f>
        <v>0</v>
      </c>
      <c r="Q460" s="25">
        <f>IF(B460="","",WEEKNUM(B460,2))</f>
        <v>0</v>
      </c>
      <c r="R460" s="26">
        <f>IF(B460="","",ROUND(IF(F460="",0,F460)+IF(G460="",0,G460),2))</f>
        <v>0</v>
      </c>
      <c r="S460" s="26">
        <f>IF(B460="","",IF(I460&lt;&gt;"Yes",0,ROUND(IF(F460="",0,F460)*IF(J460="Weekly",52/12,IF(J460="Fortnightly",26/12,IF(J460="Four weekly",13/12,IF(J460="Monthly",1,IF(J460="Quarterly",1/3,IF(J460="Twice a year",1/6,IF(J460="Yearly",1/12,0))))))),2)))</f>
        <v>0</v>
      </c>
      <c r="T460" s="38">
        <f>IF(B460="","",IF(I460="Yes","Yes","No"))</f>
        <v>0</v>
      </c>
      <c r="U460" s="25">
        <f>IF(B460="","",IF(L460="Yes","",IF(K460="","",TodayDate-K460)))</f>
        <v>0</v>
      </c>
      <c r="V460" s="39">
        <f>IF(B460="","",IF(L460="Yes","Paid",IF(K460="","Pending",IF(K460&lt;TodayDate,"Overdue",IF(K460&lt;=TodayDate+7,"Due soon","Pending")))))</f>
        <v>0</v>
      </c>
      <c r="W460" s="26">
        <f>IF(B460="","",IFERROR(INDEX(BudgetAmount,MATCH(C460,BudgetCategory,0))*1,0))</f>
        <v>0</v>
      </c>
      <c r="X460" s="25">
        <f>IF(B460="","",COUNTIFS($R$5:$R$604,"&gt;"&amp;R460)+COUNTIFS($R$5:R460,R460))</f>
        <v>0</v>
      </c>
      <c r="Y460" s="39">
        <f>IF(B460="","",IF(F460="","Add - no amount",IF(C460="","Add - no category, it will miss the P&amp;L",IF(V460="Overdue","Overdue - pay it",IF(V460="Due soon","Due - coming up",IF(IF(I460="Yes",J460="",FALSE),"Add - how often does it recur?",IF(L460="Yes","OK","Pending")))))))</f>
        <v>0</v>
      </c>
    </row>
    <row r="461" spans="1:25">
      <c r="A461" s="28">
        <f>IF(B461="","",ExpensePrefix&amp;TEXT(ROW()-4,"0000"))</f>
        <v>0</v>
      </c>
      <c r="P461" s="15">
        <f>IF(B461="","",TEXT(B461,"yyyy-mm"))</f>
        <v>0</v>
      </c>
      <c r="Q461" s="25">
        <f>IF(B461="","",WEEKNUM(B461,2))</f>
        <v>0</v>
      </c>
      <c r="R461" s="26">
        <f>IF(B461="","",ROUND(IF(F461="",0,F461)+IF(G461="",0,G461),2))</f>
        <v>0</v>
      </c>
      <c r="S461" s="26">
        <f>IF(B461="","",IF(I461&lt;&gt;"Yes",0,ROUND(IF(F461="",0,F461)*IF(J461="Weekly",52/12,IF(J461="Fortnightly",26/12,IF(J461="Four weekly",13/12,IF(J461="Monthly",1,IF(J461="Quarterly",1/3,IF(J461="Twice a year",1/6,IF(J461="Yearly",1/12,0))))))),2)))</f>
        <v>0</v>
      </c>
      <c r="T461" s="38">
        <f>IF(B461="","",IF(I461="Yes","Yes","No"))</f>
        <v>0</v>
      </c>
      <c r="U461" s="25">
        <f>IF(B461="","",IF(L461="Yes","",IF(K461="","",TodayDate-K461)))</f>
        <v>0</v>
      </c>
      <c r="V461" s="39">
        <f>IF(B461="","",IF(L461="Yes","Paid",IF(K461="","Pending",IF(K461&lt;TodayDate,"Overdue",IF(K461&lt;=TodayDate+7,"Due soon","Pending")))))</f>
        <v>0</v>
      </c>
      <c r="W461" s="26">
        <f>IF(B461="","",IFERROR(INDEX(BudgetAmount,MATCH(C461,BudgetCategory,0))*1,0))</f>
        <v>0</v>
      </c>
      <c r="X461" s="25">
        <f>IF(B461="","",COUNTIFS($R$5:$R$604,"&gt;"&amp;R461)+COUNTIFS($R$5:R461,R461))</f>
        <v>0</v>
      </c>
      <c r="Y461" s="39">
        <f>IF(B461="","",IF(F461="","Add - no amount",IF(C461="","Add - no category, it will miss the P&amp;L",IF(V461="Overdue","Overdue - pay it",IF(V461="Due soon","Due - coming up",IF(IF(I461="Yes",J461="",FALSE),"Add - how often does it recur?",IF(L461="Yes","OK","Pending")))))))</f>
        <v>0</v>
      </c>
    </row>
    <row r="462" spans="1:25">
      <c r="A462" s="28">
        <f>IF(B462="","",ExpensePrefix&amp;TEXT(ROW()-4,"0000"))</f>
        <v>0</v>
      </c>
      <c r="P462" s="15">
        <f>IF(B462="","",TEXT(B462,"yyyy-mm"))</f>
        <v>0</v>
      </c>
      <c r="Q462" s="25">
        <f>IF(B462="","",WEEKNUM(B462,2))</f>
        <v>0</v>
      </c>
      <c r="R462" s="26">
        <f>IF(B462="","",ROUND(IF(F462="",0,F462)+IF(G462="",0,G462),2))</f>
        <v>0</v>
      </c>
      <c r="S462" s="26">
        <f>IF(B462="","",IF(I462&lt;&gt;"Yes",0,ROUND(IF(F462="",0,F462)*IF(J462="Weekly",52/12,IF(J462="Fortnightly",26/12,IF(J462="Four weekly",13/12,IF(J462="Monthly",1,IF(J462="Quarterly",1/3,IF(J462="Twice a year",1/6,IF(J462="Yearly",1/12,0))))))),2)))</f>
        <v>0</v>
      </c>
      <c r="T462" s="38">
        <f>IF(B462="","",IF(I462="Yes","Yes","No"))</f>
        <v>0</v>
      </c>
      <c r="U462" s="25">
        <f>IF(B462="","",IF(L462="Yes","",IF(K462="","",TodayDate-K462)))</f>
        <v>0</v>
      </c>
      <c r="V462" s="39">
        <f>IF(B462="","",IF(L462="Yes","Paid",IF(K462="","Pending",IF(K462&lt;TodayDate,"Overdue",IF(K462&lt;=TodayDate+7,"Due soon","Pending")))))</f>
        <v>0</v>
      </c>
      <c r="W462" s="26">
        <f>IF(B462="","",IFERROR(INDEX(BudgetAmount,MATCH(C462,BudgetCategory,0))*1,0))</f>
        <v>0</v>
      </c>
      <c r="X462" s="25">
        <f>IF(B462="","",COUNTIFS($R$5:$R$604,"&gt;"&amp;R462)+COUNTIFS($R$5:R462,R462))</f>
        <v>0</v>
      </c>
      <c r="Y462" s="39">
        <f>IF(B462="","",IF(F462="","Add - no amount",IF(C462="","Add - no category, it will miss the P&amp;L",IF(V462="Overdue","Overdue - pay it",IF(V462="Due soon","Due - coming up",IF(IF(I462="Yes",J462="",FALSE),"Add - how often does it recur?",IF(L462="Yes","OK","Pending")))))))</f>
        <v>0</v>
      </c>
    </row>
    <row r="463" spans="1:25">
      <c r="A463" s="28">
        <f>IF(B463="","",ExpensePrefix&amp;TEXT(ROW()-4,"0000"))</f>
        <v>0</v>
      </c>
      <c r="P463" s="15">
        <f>IF(B463="","",TEXT(B463,"yyyy-mm"))</f>
        <v>0</v>
      </c>
      <c r="Q463" s="25">
        <f>IF(B463="","",WEEKNUM(B463,2))</f>
        <v>0</v>
      </c>
      <c r="R463" s="26">
        <f>IF(B463="","",ROUND(IF(F463="",0,F463)+IF(G463="",0,G463),2))</f>
        <v>0</v>
      </c>
      <c r="S463" s="26">
        <f>IF(B463="","",IF(I463&lt;&gt;"Yes",0,ROUND(IF(F463="",0,F463)*IF(J463="Weekly",52/12,IF(J463="Fortnightly",26/12,IF(J463="Four weekly",13/12,IF(J463="Monthly",1,IF(J463="Quarterly",1/3,IF(J463="Twice a year",1/6,IF(J463="Yearly",1/12,0))))))),2)))</f>
        <v>0</v>
      </c>
      <c r="T463" s="38">
        <f>IF(B463="","",IF(I463="Yes","Yes","No"))</f>
        <v>0</v>
      </c>
      <c r="U463" s="25">
        <f>IF(B463="","",IF(L463="Yes","",IF(K463="","",TodayDate-K463)))</f>
        <v>0</v>
      </c>
      <c r="V463" s="39">
        <f>IF(B463="","",IF(L463="Yes","Paid",IF(K463="","Pending",IF(K463&lt;TodayDate,"Overdue",IF(K463&lt;=TodayDate+7,"Due soon","Pending")))))</f>
        <v>0</v>
      </c>
      <c r="W463" s="26">
        <f>IF(B463="","",IFERROR(INDEX(BudgetAmount,MATCH(C463,BudgetCategory,0))*1,0))</f>
        <v>0</v>
      </c>
      <c r="X463" s="25">
        <f>IF(B463="","",COUNTIFS($R$5:$R$604,"&gt;"&amp;R463)+COUNTIFS($R$5:R463,R463))</f>
        <v>0</v>
      </c>
      <c r="Y463" s="39">
        <f>IF(B463="","",IF(F463="","Add - no amount",IF(C463="","Add - no category, it will miss the P&amp;L",IF(V463="Overdue","Overdue - pay it",IF(V463="Due soon","Due - coming up",IF(IF(I463="Yes",J463="",FALSE),"Add - how often does it recur?",IF(L463="Yes","OK","Pending")))))))</f>
        <v>0</v>
      </c>
    </row>
    <row r="464" spans="1:25">
      <c r="A464" s="28">
        <f>IF(B464="","",ExpensePrefix&amp;TEXT(ROW()-4,"0000"))</f>
        <v>0</v>
      </c>
      <c r="P464" s="15">
        <f>IF(B464="","",TEXT(B464,"yyyy-mm"))</f>
        <v>0</v>
      </c>
      <c r="Q464" s="25">
        <f>IF(B464="","",WEEKNUM(B464,2))</f>
        <v>0</v>
      </c>
      <c r="R464" s="26">
        <f>IF(B464="","",ROUND(IF(F464="",0,F464)+IF(G464="",0,G464),2))</f>
        <v>0</v>
      </c>
      <c r="S464" s="26">
        <f>IF(B464="","",IF(I464&lt;&gt;"Yes",0,ROUND(IF(F464="",0,F464)*IF(J464="Weekly",52/12,IF(J464="Fortnightly",26/12,IF(J464="Four weekly",13/12,IF(J464="Monthly",1,IF(J464="Quarterly",1/3,IF(J464="Twice a year",1/6,IF(J464="Yearly",1/12,0))))))),2)))</f>
        <v>0</v>
      </c>
      <c r="T464" s="38">
        <f>IF(B464="","",IF(I464="Yes","Yes","No"))</f>
        <v>0</v>
      </c>
      <c r="U464" s="25">
        <f>IF(B464="","",IF(L464="Yes","",IF(K464="","",TodayDate-K464)))</f>
        <v>0</v>
      </c>
      <c r="V464" s="39">
        <f>IF(B464="","",IF(L464="Yes","Paid",IF(K464="","Pending",IF(K464&lt;TodayDate,"Overdue",IF(K464&lt;=TodayDate+7,"Due soon","Pending")))))</f>
        <v>0</v>
      </c>
      <c r="W464" s="26">
        <f>IF(B464="","",IFERROR(INDEX(BudgetAmount,MATCH(C464,BudgetCategory,0))*1,0))</f>
        <v>0</v>
      </c>
      <c r="X464" s="25">
        <f>IF(B464="","",COUNTIFS($R$5:$R$604,"&gt;"&amp;R464)+COUNTIFS($R$5:R464,R464))</f>
        <v>0</v>
      </c>
      <c r="Y464" s="39">
        <f>IF(B464="","",IF(F464="","Add - no amount",IF(C464="","Add - no category, it will miss the P&amp;L",IF(V464="Overdue","Overdue - pay it",IF(V464="Due soon","Due - coming up",IF(IF(I464="Yes",J464="",FALSE),"Add - how often does it recur?",IF(L464="Yes","OK","Pending")))))))</f>
        <v>0</v>
      </c>
    </row>
    <row r="465" spans="1:25">
      <c r="A465" s="28">
        <f>IF(B465="","",ExpensePrefix&amp;TEXT(ROW()-4,"0000"))</f>
        <v>0</v>
      </c>
      <c r="P465" s="15">
        <f>IF(B465="","",TEXT(B465,"yyyy-mm"))</f>
        <v>0</v>
      </c>
      <c r="Q465" s="25">
        <f>IF(B465="","",WEEKNUM(B465,2))</f>
        <v>0</v>
      </c>
      <c r="R465" s="26">
        <f>IF(B465="","",ROUND(IF(F465="",0,F465)+IF(G465="",0,G465),2))</f>
        <v>0</v>
      </c>
      <c r="S465" s="26">
        <f>IF(B465="","",IF(I465&lt;&gt;"Yes",0,ROUND(IF(F465="",0,F465)*IF(J465="Weekly",52/12,IF(J465="Fortnightly",26/12,IF(J465="Four weekly",13/12,IF(J465="Monthly",1,IF(J465="Quarterly",1/3,IF(J465="Twice a year",1/6,IF(J465="Yearly",1/12,0))))))),2)))</f>
        <v>0</v>
      </c>
      <c r="T465" s="38">
        <f>IF(B465="","",IF(I465="Yes","Yes","No"))</f>
        <v>0</v>
      </c>
      <c r="U465" s="25">
        <f>IF(B465="","",IF(L465="Yes","",IF(K465="","",TodayDate-K465)))</f>
        <v>0</v>
      </c>
      <c r="V465" s="39">
        <f>IF(B465="","",IF(L465="Yes","Paid",IF(K465="","Pending",IF(K465&lt;TodayDate,"Overdue",IF(K465&lt;=TodayDate+7,"Due soon","Pending")))))</f>
        <v>0</v>
      </c>
      <c r="W465" s="26">
        <f>IF(B465="","",IFERROR(INDEX(BudgetAmount,MATCH(C465,BudgetCategory,0))*1,0))</f>
        <v>0</v>
      </c>
      <c r="X465" s="25">
        <f>IF(B465="","",COUNTIFS($R$5:$R$604,"&gt;"&amp;R465)+COUNTIFS($R$5:R465,R465))</f>
        <v>0</v>
      </c>
      <c r="Y465" s="39">
        <f>IF(B465="","",IF(F465="","Add - no amount",IF(C465="","Add - no category, it will miss the P&amp;L",IF(V465="Overdue","Overdue - pay it",IF(V465="Due soon","Due - coming up",IF(IF(I465="Yes",J465="",FALSE),"Add - how often does it recur?",IF(L465="Yes","OK","Pending")))))))</f>
        <v>0</v>
      </c>
    </row>
    <row r="466" spans="1:25">
      <c r="A466" s="28">
        <f>IF(B466="","",ExpensePrefix&amp;TEXT(ROW()-4,"0000"))</f>
        <v>0</v>
      </c>
      <c r="P466" s="15">
        <f>IF(B466="","",TEXT(B466,"yyyy-mm"))</f>
        <v>0</v>
      </c>
      <c r="Q466" s="25">
        <f>IF(B466="","",WEEKNUM(B466,2))</f>
        <v>0</v>
      </c>
      <c r="R466" s="26">
        <f>IF(B466="","",ROUND(IF(F466="",0,F466)+IF(G466="",0,G466),2))</f>
        <v>0</v>
      </c>
      <c r="S466" s="26">
        <f>IF(B466="","",IF(I466&lt;&gt;"Yes",0,ROUND(IF(F466="",0,F466)*IF(J466="Weekly",52/12,IF(J466="Fortnightly",26/12,IF(J466="Four weekly",13/12,IF(J466="Monthly",1,IF(J466="Quarterly",1/3,IF(J466="Twice a year",1/6,IF(J466="Yearly",1/12,0))))))),2)))</f>
        <v>0</v>
      </c>
      <c r="T466" s="38">
        <f>IF(B466="","",IF(I466="Yes","Yes","No"))</f>
        <v>0</v>
      </c>
      <c r="U466" s="25">
        <f>IF(B466="","",IF(L466="Yes","",IF(K466="","",TodayDate-K466)))</f>
        <v>0</v>
      </c>
      <c r="V466" s="39">
        <f>IF(B466="","",IF(L466="Yes","Paid",IF(K466="","Pending",IF(K466&lt;TodayDate,"Overdue",IF(K466&lt;=TodayDate+7,"Due soon","Pending")))))</f>
        <v>0</v>
      </c>
      <c r="W466" s="26">
        <f>IF(B466="","",IFERROR(INDEX(BudgetAmount,MATCH(C466,BudgetCategory,0))*1,0))</f>
        <v>0</v>
      </c>
      <c r="X466" s="25">
        <f>IF(B466="","",COUNTIFS($R$5:$R$604,"&gt;"&amp;R466)+COUNTIFS($R$5:R466,R466))</f>
        <v>0</v>
      </c>
      <c r="Y466" s="39">
        <f>IF(B466="","",IF(F466="","Add - no amount",IF(C466="","Add - no category, it will miss the P&amp;L",IF(V466="Overdue","Overdue - pay it",IF(V466="Due soon","Due - coming up",IF(IF(I466="Yes",J466="",FALSE),"Add - how often does it recur?",IF(L466="Yes","OK","Pending")))))))</f>
        <v>0</v>
      </c>
    </row>
    <row r="467" spans="1:25">
      <c r="A467" s="28">
        <f>IF(B467="","",ExpensePrefix&amp;TEXT(ROW()-4,"0000"))</f>
        <v>0</v>
      </c>
      <c r="P467" s="15">
        <f>IF(B467="","",TEXT(B467,"yyyy-mm"))</f>
        <v>0</v>
      </c>
      <c r="Q467" s="25">
        <f>IF(B467="","",WEEKNUM(B467,2))</f>
        <v>0</v>
      </c>
      <c r="R467" s="26">
        <f>IF(B467="","",ROUND(IF(F467="",0,F467)+IF(G467="",0,G467),2))</f>
        <v>0</v>
      </c>
      <c r="S467" s="26">
        <f>IF(B467="","",IF(I467&lt;&gt;"Yes",0,ROUND(IF(F467="",0,F467)*IF(J467="Weekly",52/12,IF(J467="Fortnightly",26/12,IF(J467="Four weekly",13/12,IF(J467="Monthly",1,IF(J467="Quarterly",1/3,IF(J467="Twice a year",1/6,IF(J467="Yearly",1/12,0))))))),2)))</f>
        <v>0</v>
      </c>
      <c r="T467" s="38">
        <f>IF(B467="","",IF(I467="Yes","Yes","No"))</f>
        <v>0</v>
      </c>
      <c r="U467" s="25">
        <f>IF(B467="","",IF(L467="Yes","",IF(K467="","",TodayDate-K467)))</f>
        <v>0</v>
      </c>
      <c r="V467" s="39">
        <f>IF(B467="","",IF(L467="Yes","Paid",IF(K467="","Pending",IF(K467&lt;TodayDate,"Overdue",IF(K467&lt;=TodayDate+7,"Due soon","Pending")))))</f>
        <v>0</v>
      </c>
      <c r="W467" s="26">
        <f>IF(B467="","",IFERROR(INDEX(BudgetAmount,MATCH(C467,BudgetCategory,0))*1,0))</f>
        <v>0</v>
      </c>
      <c r="X467" s="25">
        <f>IF(B467="","",COUNTIFS($R$5:$R$604,"&gt;"&amp;R467)+COUNTIFS($R$5:R467,R467))</f>
        <v>0</v>
      </c>
      <c r="Y467" s="39">
        <f>IF(B467="","",IF(F467="","Add - no amount",IF(C467="","Add - no category, it will miss the P&amp;L",IF(V467="Overdue","Overdue - pay it",IF(V467="Due soon","Due - coming up",IF(IF(I467="Yes",J467="",FALSE),"Add - how often does it recur?",IF(L467="Yes","OK","Pending")))))))</f>
        <v>0</v>
      </c>
    </row>
    <row r="468" spans="1:25">
      <c r="A468" s="28">
        <f>IF(B468="","",ExpensePrefix&amp;TEXT(ROW()-4,"0000"))</f>
        <v>0</v>
      </c>
      <c r="P468" s="15">
        <f>IF(B468="","",TEXT(B468,"yyyy-mm"))</f>
        <v>0</v>
      </c>
      <c r="Q468" s="25">
        <f>IF(B468="","",WEEKNUM(B468,2))</f>
        <v>0</v>
      </c>
      <c r="R468" s="26">
        <f>IF(B468="","",ROUND(IF(F468="",0,F468)+IF(G468="",0,G468),2))</f>
        <v>0</v>
      </c>
      <c r="S468" s="26">
        <f>IF(B468="","",IF(I468&lt;&gt;"Yes",0,ROUND(IF(F468="",0,F468)*IF(J468="Weekly",52/12,IF(J468="Fortnightly",26/12,IF(J468="Four weekly",13/12,IF(J468="Monthly",1,IF(J468="Quarterly",1/3,IF(J468="Twice a year",1/6,IF(J468="Yearly",1/12,0))))))),2)))</f>
        <v>0</v>
      </c>
      <c r="T468" s="38">
        <f>IF(B468="","",IF(I468="Yes","Yes","No"))</f>
        <v>0</v>
      </c>
      <c r="U468" s="25">
        <f>IF(B468="","",IF(L468="Yes","",IF(K468="","",TodayDate-K468)))</f>
        <v>0</v>
      </c>
      <c r="V468" s="39">
        <f>IF(B468="","",IF(L468="Yes","Paid",IF(K468="","Pending",IF(K468&lt;TodayDate,"Overdue",IF(K468&lt;=TodayDate+7,"Due soon","Pending")))))</f>
        <v>0</v>
      </c>
      <c r="W468" s="26">
        <f>IF(B468="","",IFERROR(INDEX(BudgetAmount,MATCH(C468,BudgetCategory,0))*1,0))</f>
        <v>0</v>
      </c>
      <c r="X468" s="25">
        <f>IF(B468="","",COUNTIFS($R$5:$R$604,"&gt;"&amp;R468)+COUNTIFS($R$5:R468,R468))</f>
        <v>0</v>
      </c>
      <c r="Y468" s="39">
        <f>IF(B468="","",IF(F468="","Add - no amount",IF(C468="","Add - no category, it will miss the P&amp;L",IF(V468="Overdue","Overdue - pay it",IF(V468="Due soon","Due - coming up",IF(IF(I468="Yes",J468="",FALSE),"Add - how often does it recur?",IF(L468="Yes","OK","Pending")))))))</f>
        <v>0</v>
      </c>
    </row>
    <row r="469" spans="1:25">
      <c r="A469" s="28">
        <f>IF(B469="","",ExpensePrefix&amp;TEXT(ROW()-4,"0000"))</f>
        <v>0</v>
      </c>
      <c r="P469" s="15">
        <f>IF(B469="","",TEXT(B469,"yyyy-mm"))</f>
        <v>0</v>
      </c>
      <c r="Q469" s="25">
        <f>IF(B469="","",WEEKNUM(B469,2))</f>
        <v>0</v>
      </c>
      <c r="R469" s="26">
        <f>IF(B469="","",ROUND(IF(F469="",0,F469)+IF(G469="",0,G469),2))</f>
        <v>0</v>
      </c>
      <c r="S469" s="26">
        <f>IF(B469="","",IF(I469&lt;&gt;"Yes",0,ROUND(IF(F469="",0,F469)*IF(J469="Weekly",52/12,IF(J469="Fortnightly",26/12,IF(J469="Four weekly",13/12,IF(J469="Monthly",1,IF(J469="Quarterly",1/3,IF(J469="Twice a year",1/6,IF(J469="Yearly",1/12,0))))))),2)))</f>
        <v>0</v>
      </c>
      <c r="T469" s="38">
        <f>IF(B469="","",IF(I469="Yes","Yes","No"))</f>
        <v>0</v>
      </c>
      <c r="U469" s="25">
        <f>IF(B469="","",IF(L469="Yes","",IF(K469="","",TodayDate-K469)))</f>
        <v>0</v>
      </c>
      <c r="V469" s="39">
        <f>IF(B469="","",IF(L469="Yes","Paid",IF(K469="","Pending",IF(K469&lt;TodayDate,"Overdue",IF(K469&lt;=TodayDate+7,"Due soon","Pending")))))</f>
        <v>0</v>
      </c>
      <c r="W469" s="26">
        <f>IF(B469="","",IFERROR(INDEX(BudgetAmount,MATCH(C469,BudgetCategory,0))*1,0))</f>
        <v>0</v>
      </c>
      <c r="X469" s="25">
        <f>IF(B469="","",COUNTIFS($R$5:$R$604,"&gt;"&amp;R469)+COUNTIFS($R$5:R469,R469))</f>
        <v>0</v>
      </c>
      <c r="Y469" s="39">
        <f>IF(B469="","",IF(F469="","Add - no amount",IF(C469="","Add - no category, it will miss the P&amp;L",IF(V469="Overdue","Overdue - pay it",IF(V469="Due soon","Due - coming up",IF(IF(I469="Yes",J469="",FALSE),"Add - how often does it recur?",IF(L469="Yes","OK","Pending")))))))</f>
        <v>0</v>
      </c>
    </row>
    <row r="470" spans="1:25">
      <c r="A470" s="28">
        <f>IF(B470="","",ExpensePrefix&amp;TEXT(ROW()-4,"0000"))</f>
        <v>0</v>
      </c>
      <c r="P470" s="15">
        <f>IF(B470="","",TEXT(B470,"yyyy-mm"))</f>
        <v>0</v>
      </c>
      <c r="Q470" s="25">
        <f>IF(B470="","",WEEKNUM(B470,2))</f>
        <v>0</v>
      </c>
      <c r="R470" s="26">
        <f>IF(B470="","",ROUND(IF(F470="",0,F470)+IF(G470="",0,G470),2))</f>
        <v>0</v>
      </c>
      <c r="S470" s="26">
        <f>IF(B470="","",IF(I470&lt;&gt;"Yes",0,ROUND(IF(F470="",0,F470)*IF(J470="Weekly",52/12,IF(J470="Fortnightly",26/12,IF(J470="Four weekly",13/12,IF(J470="Monthly",1,IF(J470="Quarterly",1/3,IF(J470="Twice a year",1/6,IF(J470="Yearly",1/12,0))))))),2)))</f>
        <v>0</v>
      </c>
      <c r="T470" s="38">
        <f>IF(B470="","",IF(I470="Yes","Yes","No"))</f>
        <v>0</v>
      </c>
      <c r="U470" s="25">
        <f>IF(B470="","",IF(L470="Yes","",IF(K470="","",TodayDate-K470)))</f>
        <v>0</v>
      </c>
      <c r="V470" s="39">
        <f>IF(B470="","",IF(L470="Yes","Paid",IF(K470="","Pending",IF(K470&lt;TodayDate,"Overdue",IF(K470&lt;=TodayDate+7,"Due soon","Pending")))))</f>
        <v>0</v>
      </c>
      <c r="W470" s="26">
        <f>IF(B470="","",IFERROR(INDEX(BudgetAmount,MATCH(C470,BudgetCategory,0))*1,0))</f>
        <v>0</v>
      </c>
      <c r="X470" s="25">
        <f>IF(B470="","",COUNTIFS($R$5:$R$604,"&gt;"&amp;R470)+COUNTIFS($R$5:R470,R470))</f>
        <v>0</v>
      </c>
      <c r="Y470" s="39">
        <f>IF(B470="","",IF(F470="","Add - no amount",IF(C470="","Add - no category, it will miss the P&amp;L",IF(V470="Overdue","Overdue - pay it",IF(V470="Due soon","Due - coming up",IF(IF(I470="Yes",J470="",FALSE),"Add - how often does it recur?",IF(L470="Yes","OK","Pending")))))))</f>
        <v>0</v>
      </c>
    </row>
    <row r="471" spans="1:25">
      <c r="A471" s="28">
        <f>IF(B471="","",ExpensePrefix&amp;TEXT(ROW()-4,"0000"))</f>
        <v>0</v>
      </c>
      <c r="P471" s="15">
        <f>IF(B471="","",TEXT(B471,"yyyy-mm"))</f>
        <v>0</v>
      </c>
      <c r="Q471" s="25">
        <f>IF(B471="","",WEEKNUM(B471,2))</f>
        <v>0</v>
      </c>
      <c r="R471" s="26">
        <f>IF(B471="","",ROUND(IF(F471="",0,F471)+IF(G471="",0,G471),2))</f>
        <v>0</v>
      </c>
      <c r="S471" s="26">
        <f>IF(B471="","",IF(I471&lt;&gt;"Yes",0,ROUND(IF(F471="",0,F471)*IF(J471="Weekly",52/12,IF(J471="Fortnightly",26/12,IF(J471="Four weekly",13/12,IF(J471="Monthly",1,IF(J471="Quarterly",1/3,IF(J471="Twice a year",1/6,IF(J471="Yearly",1/12,0))))))),2)))</f>
        <v>0</v>
      </c>
      <c r="T471" s="38">
        <f>IF(B471="","",IF(I471="Yes","Yes","No"))</f>
        <v>0</v>
      </c>
      <c r="U471" s="25">
        <f>IF(B471="","",IF(L471="Yes","",IF(K471="","",TodayDate-K471)))</f>
        <v>0</v>
      </c>
      <c r="V471" s="39">
        <f>IF(B471="","",IF(L471="Yes","Paid",IF(K471="","Pending",IF(K471&lt;TodayDate,"Overdue",IF(K471&lt;=TodayDate+7,"Due soon","Pending")))))</f>
        <v>0</v>
      </c>
      <c r="W471" s="26">
        <f>IF(B471="","",IFERROR(INDEX(BudgetAmount,MATCH(C471,BudgetCategory,0))*1,0))</f>
        <v>0</v>
      </c>
      <c r="X471" s="25">
        <f>IF(B471="","",COUNTIFS($R$5:$R$604,"&gt;"&amp;R471)+COUNTIFS($R$5:R471,R471))</f>
        <v>0</v>
      </c>
      <c r="Y471" s="39">
        <f>IF(B471="","",IF(F471="","Add - no amount",IF(C471="","Add - no category, it will miss the P&amp;L",IF(V471="Overdue","Overdue - pay it",IF(V471="Due soon","Due - coming up",IF(IF(I471="Yes",J471="",FALSE),"Add - how often does it recur?",IF(L471="Yes","OK","Pending")))))))</f>
        <v>0</v>
      </c>
    </row>
    <row r="472" spans="1:25">
      <c r="A472" s="28">
        <f>IF(B472="","",ExpensePrefix&amp;TEXT(ROW()-4,"0000"))</f>
        <v>0</v>
      </c>
      <c r="P472" s="15">
        <f>IF(B472="","",TEXT(B472,"yyyy-mm"))</f>
        <v>0</v>
      </c>
      <c r="Q472" s="25">
        <f>IF(B472="","",WEEKNUM(B472,2))</f>
        <v>0</v>
      </c>
      <c r="R472" s="26">
        <f>IF(B472="","",ROUND(IF(F472="",0,F472)+IF(G472="",0,G472),2))</f>
        <v>0</v>
      </c>
      <c r="S472" s="26">
        <f>IF(B472="","",IF(I472&lt;&gt;"Yes",0,ROUND(IF(F472="",0,F472)*IF(J472="Weekly",52/12,IF(J472="Fortnightly",26/12,IF(J472="Four weekly",13/12,IF(J472="Monthly",1,IF(J472="Quarterly",1/3,IF(J472="Twice a year",1/6,IF(J472="Yearly",1/12,0))))))),2)))</f>
        <v>0</v>
      </c>
      <c r="T472" s="38">
        <f>IF(B472="","",IF(I472="Yes","Yes","No"))</f>
        <v>0</v>
      </c>
      <c r="U472" s="25">
        <f>IF(B472="","",IF(L472="Yes","",IF(K472="","",TodayDate-K472)))</f>
        <v>0</v>
      </c>
      <c r="V472" s="39">
        <f>IF(B472="","",IF(L472="Yes","Paid",IF(K472="","Pending",IF(K472&lt;TodayDate,"Overdue",IF(K472&lt;=TodayDate+7,"Due soon","Pending")))))</f>
        <v>0</v>
      </c>
      <c r="W472" s="26">
        <f>IF(B472="","",IFERROR(INDEX(BudgetAmount,MATCH(C472,BudgetCategory,0))*1,0))</f>
        <v>0</v>
      </c>
      <c r="X472" s="25">
        <f>IF(B472="","",COUNTIFS($R$5:$R$604,"&gt;"&amp;R472)+COUNTIFS($R$5:R472,R472))</f>
        <v>0</v>
      </c>
      <c r="Y472" s="39">
        <f>IF(B472="","",IF(F472="","Add - no amount",IF(C472="","Add - no category, it will miss the P&amp;L",IF(V472="Overdue","Overdue - pay it",IF(V472="Due soon","Due - coming up",IF(IF(I472="Yes",J472="",FALSE),"Add - how often does it recur?",IF(L472="Yes","OK","Pending")))))))</f>
        <v>0</v>
      </c>
    </row>
    <row r="473" spans="1:25">
      <c r="A473" s="28">
        <f>IF(B473="","",ExpensePrefix&amp;TEXT(ROW()-4,"0000"))</f>
        <v>0</v>
      </c>
      <c r="P473" s="15">
        <f>IF(B473="","",TEXT(B473,"yyyy-mm"))</f>
        <v>0</v>
      </c>
      <c r="Q473" s="25">
        <f>IF(B473="","",WEEKNUM(B473,2))</f>
        <v>0</v>
      </c>
      <c r="R473" s="26">
        <f>IF(B473="","",ROUND(IF(F473="",0,F473)+IF(G473="",0,G473),2))</f>
        <v>0</v>
      </c>
      <c r="S473" s="26">
        <f>IF(B473="","",IF(I473&lt;&gt;"Yes",0,ROUND(IF(F473="",0,F473)*IF(J473="Weekly",52/12,IF(J473="Fortnightly",26/12,IF(J473="Four weekly",13/12,IF(J473="Monthly",1,IF(J473="Quarterly",1/3,IF(J473="Twice a year",1/6,IF(J473="Yearly",1/12,0))))))),2)))</f>
        <v>0</v>
      </c>
      <c r="T473" s="38">
        <f>IF(B473="","",IF(I473="Yes","Yes","No"))</f>
        <v>0</v>
      </c>
      <c r="U473" s="25">
        <f>IF(B473="","",IF(L473="Yes","",IF(K473="","",TodayDate-K473)))</f>
        <v>0</v>
      </c>
      <c r="V473" s="39">
        <f>IF(B473="","",IF(L473="Yes","Paid",IF(K473="","Pending",IF(K473&lt;TodayDate,"Overdue",IF(K473&lt;=TodayDate+7,"Due soon","Pending")))))</f>
        <v>0</v>
      </c>
      <c r="W473" s="26">
        <f>IF(B473="","",IFERROR(INDEX(BudgetAmount,MATCH(C473,BudgetCategory,0))*1,0))</f>
        <v>0</v>
      </c>
      <c r="X473" s="25">
        <f>IF(B473="","",COUNTIFS($R$5:$R$604,"&gt;"&amp;R473)+COUNTIFS($R$5:R473,R473))</f>
        <v>0</v>
      </c>
      <c r="Y473" s="39">
        <f>IF(B473="","",IF(F473="","Add - no amount",IF(C473="","Add - no category, it will miss the P&amp;L",IF(V473="Overdue","Overdue - pay it",IF(V473="Due soon","Due - coming up",IF(IF(I473="Yes",J473="",FALSE),"Add - how often does it recur?",IF(L473="Yes","OK","Pending")))))))</f>
        <v>0</v>
      </c>
    </row>
    <row r="474" spans="1:25">
      <c r="A474" s="28">
        <f>IF(B474="","",ExpensePrefix&amp;TEXT(ROW()-4,"0000"))</f>
        <v>0</v>
      </c>
      <c r="P474" s="15">
        <f>IF(B474="","",TEXT(B474,"yyyy-mm"))</f>
        <v>0</v>
      </c>
      <c r="Q474" s="25">
        <f>IF(B474="","",WEEKNUM(B474,2))</f>
        <v>0</v>
      </c>
      <c r="R474" s="26">
        <f>IF(B474="","",ROUND(IF(F474="",0,F474)+IF(G474="",0,G474),2))</f>
        <v>0</v>
      </c>
      <c r="S474" s="26">
        <f>IF(B474="","",IF(I474&lt;&gt;"Yes",0,ROUND(IF(F474="",0,F474)*IF(J474="Weekly",52/12,IF(J474="Fortnightly",26/12,IF(J474="Four weekly",13/12,IF(J474="Monthly",1,IF(J474="Quarterly",1/3,IF(J474="Twice a year",1/6,IF(J474="Yearly",1/12,0))))))),2)))</f>
        <v>0</v>
      </c>
      <c r="T474" s="38">
        <f>IF(B474="","",IF(I474="Yes","Yes","No"))</f>
        <v>0</v>
      </c>
      <c r="U474" s="25">
        <f>IF(B474="","",IF(L474="Yes","",IF(K474="","",TodayDate-K474)))</f>
        <v>0</v>
      </c>
      <c r="V474" s="39">
        <f>IF(B474="","",IF(L474="Yes","Paid",IF(K474="","Pending",IF(K474&lt;TodayDate,"Overdue",IF(K474&lt;=TodayDate+7,"Due soon","Pending")))))</f>
        <v>0</v>
      </c>
      <c r="W474" s="26">
        <f>IF(B474="","",IFERROR(INDEX(BudgetAmount,MATCH(C474,BudgetCategory,0))*1,0))</f>
        <v>0</v>
      </c>
      <c r="X474" s="25">
        <f>IF(B474="","",COUNTIFS($R$5:$R$604,"&gt;"&amp;R474)+COUNTIFS($R$5:R474,R474))</f>
        <v>0</v>
      </c>
      <c r="Y474" s="39">
        <f>IF(B474="","",IF(F474="","Add - no amount",IF(C474="","Add - no category, it will miss the P&amp;L",IF(V474="Overdue","Overdue - pay it",IF(V474="Due soon","Due - coming up",IF(IF(I474="Yes",J474="",FALSE),"Add - how often does it recur?",IF(L474="Yes","OK","Pending")))))))</f>
        <v>0</v>
      </c>
    </row>
    <row r="475" spans="1:25">
      <c r="A475" s="28">
        <f>IF(B475="","",ExpensePrefix&amp;TEXT(ROW()-4,"0000"))</f>
        <v>0</v>
      </c>
      <c r="P475" s="15">
        <f>IF(B475="","",TEXT(B475,"yyyy-mm"))</f>
        <v>0</v>
      </c>
      <c r="Q475" s="25">
        <f>IF(B475="","",WEEKNUM(B475,2))</f>
        <v>0</v>
      </c>
      <c r="R475" s="26">
        <f>IF(B475="","",ROUND(IF(F475="",0,F475)+IF(G475="",0,G475),2))</f>
        <v>0</v>
      </c>
      <c r="S475" s="26">
        <f>IF(B475="","",IF(I475&lt;&gt;"Yes",0,ROUND(IF(F475="",0,F475)*IF(J475="Weekly",52/12,IF(J475="Fortnightly",26/12,IF(J475="Four weekly",13/12,IF(J475="Monthly",1,IF(J475="Quarterly",1/3,IF(J475="Twice a year",1/6,IF(J475="Yearly",1/12,0))))))),2)))</f>
        <v>0</v>
      </c>
      <c r="T475" s="38">
        <f>IF(B475="","",IF(I475="Yes","Yes","No"))</f>
        <v>0</v>
      </c>
      <c r="U475" s="25">
        <f>IF(B475="","",IF(L475="Yes","",IF(K475="","",TodayDate-K475)))</f>
        <v>0</v>
      </c>
      <c r="V475" s="39">
        <f>IF(B475="","",IF(L475="Yes","Paid",IF(K475="","Pending",IF(K475&lt;TodayDate,"Overdue",IF(K475&lt;=TodayDate+7,"Due soon","Pending")))))</f>
        <v>0</v>
      </c>
      <c r="W475" s="26">
        <f>IF(B475="","",IFERROR(INDEX(BudgetAmount,MATCH(C475,BudgetCategory,0))*1,0))</f>
        <v>0</v>
      </c>
      <c r="X475" s="25">
        <f>IF(B475="","",COUNTIFS($R$5:$R$604,"&gt;"&amp;R475)+COUNTIFS($R$5:R475,R475))</f>
        <v>0</v>
      </c>
      <c r="Y475" s="39">
        <f>IF(B475="","",IF(F475="","Add - no amount",IF(C475="","Add - no category, it will miss the P&amp;L",IF(V475="Overdue","Overdue - pay it",IF(V475="Due soon","Due - coming up",IF(IF(I475="Yes",J475="",FALSE),"Add - how often does it recur?",IF(L475="Yes","OK","Pending")))))))</f>
        <v>0</v>
      </c>
    </row>
    <row r="476" spans="1:25">
      <c r="A476" s="28">
        <f>IF(B476="","",ExpensePrefix&amp;TEXT(ROW()-4,"0000"))</f>
        <v>0</v>
      </c>
      <c r="P476" s="15">
        <f>IF(B476="","",TEXT(B476,"yyyy-mm"))</f>
        <v>0</v>
      </c>
      <c r="Q476" s="25">
        <f>IF(B476="","",WEEKNUM(B476,2))</f>
        <v>0</v>
      </c>
      <c r="R476" s="26">
        <f>IF(B476="","",ROUND(IF(F476="",0,F476)+IF(G476="",0,G476),2))</f>
        <v>0</v>
      </c>
      <c r="S476" s="26">
        <f>IF(B476="","",IF(I476&lt;&gt;"Yes",0,ROUND(IF(F476="",0,F476)*IF(J476="Weekly",52/12,IF(J476="Fortnightly",26/12,IF(J476="Four weekly",13/12,IF(J476="Monthly",1,IF(J476="Quarterly",1/3,IF(J476="Twice a year",1/6,IF(J476="Yearly",1/12,0))))))),2)))</f>
        <v>0</v>
      </c>
      <c r="T476" s="38">
        <f>IF(B476="","",IF(I476="Yes","Yes","No"))</f>
        <v>0</v>
      </c>
      <c r="U476" s="25">
        <f>IF(B476="","",IF(L476="Yes","",IF(K476="","",TodayDate-K476)))</f>
        <v>0</v>
      </c>
      <c r="V476" s="39">
        <f>IF(B476="","",IF(L476="Yes","Paid",IF(K476="","Pending",IF(K476&lt;TodayDate,"Overdue",IF(K476&lt;=TodayDate+7,"Due soon","Pending")))))</f>
        <v>0</v>
      </c>
      <c r="W476" s="26">
        <f>IF(B476="","",IFERROR(INDEX(BudgetAmount,MATCH(C476,BudgetCategory,0))*1,0))</f>
        <v>0</v>
      </c>
      <c r="X476" s="25">
        <f>IF(B476="","",COUNTIFS($R$5:$R$604,"&gt;"&amp;R476)+COUNTIFS($R$5:R476,R476))</f>
        <v>0</v>
      </c>
      <c r="Y476" s="39">
        <f>IF(B476="","",IF(F476="","Add - no amount",IF(C476="","Add - no category, it will miss the P&amp;L",IF(V476="Overdue","Overdue - pay it",IF(V476="Due soon","Due - coming up",IF(IF(I476="Yes",J476="",FALSE),"Add - how often does it recur?",IF(L476="Yes","OK","Pending")))))))</f>
        <v>0</v>
      </c>
    </row>
    <row r="477" spans="1:25">
      <c r="A477" s="28">
        <f>IF(B477="","",ExpensePrefix&amp;TEXT(ROW()-4,"0000"))</f>
        <v>0</v>
      </c>
      <c r="P477" s="15">
        <f>IF(B477="","",TEXT(B477,"yyyy-mm"))</f>
        <v>0</v>
      </c>
      <c r="Q477" s="25">
        <f>IF(B477="","",WEEKNUM(B477,2))</f>
        <v>0</v>
      </c>
      <c r="R477" s="26">
        <f>IF(B477="","",ROUND(IF(F477="",0,F477)+IF(G477="",0,G477),2))</f>
        <v>0</v>
      </c>
      <c r="S477" s="26">
        <f>IF(B477="","",IF(I477&lt;&gt;"Yes",0,ROUND(IF(F477="",0,F477)*IF(J477="Weekly",52/12,IF(J477="Fortnightly",26/12,IF(J477="Four weekly",13/12,IF(J477="Monthly",1,IF(J477="Quarterly",1/3,IF(J477="Twice a year",1/6,IF(J477="Yearly",1/12,0))))))),2)))</f>
        <v>0</v>
      </c>
      <c r="T477" s="38">
        <f>IF(B477="","",IF(I477="Yes","Yes","No"))</f>
        <v>0</v>
      </c>
      <c r="U477" s="25">
        <f>IF(B477="","",IF(L477="Yes","",IF(K477="","",TodayDate-K477)))</f>
        <v>0</v>
      </c>
      <c r="V477" s="39">
        <f>IF(B477="","",IF(L477="Yes","Paid",IF(K477="","Pending",IF(K477&lt;TodayDate,"Overdue",IF(K477&lt;=TodayDate+7,"Due soon","Pending")))))</f>
        <v>0</v>
      </c>
      <c r="W477" s="26">
        <f>IF(B477="","",IFERROR(INDEX(BudgetAmount,MATCH(C477,BudgetCategory,0))*1,0))</f>
        <v>0</v>
      </c>
      <c r="X477" s="25">
        <f>IF(B477="","",COUNTIFS($R$5:$R$604,"&gt;"&amp;R477)+COUNTIFS($R$5:R477,R477))</f>
        <v>0</v>
      </c>
      <c r="Y477" s="39">
        <f>IF(B477="","",IF(F477="","Add - no amount",IF(C477="","Add - no category, it will miss the P&amp;L",IF(V477="Overdue","Overdue - pay it",IF(V477="Due soon","Due - coming up",IF(IF(I477="Yes",J477="",FALSE),"Add - how often does it recur?",IF(L477="Yes","OK","Pending")))))))</f>
        <v>0</v>
      </c>
    </row>
    <row r="478" spans="1:25">
      <c r="A478" s="28">
        <f>IF(B478="","",ExpensePrefix&amp;TEXT(ROW()-4,"0000"))</f>
        <v>0</v>
      </c>
      <c r="P478" s="15">
        <f>IF(B478="","",TEXT(B478,"yyyy-mm"))</f>
        <v>0</v>
      </c>
      <c r="Q478" s="25">
        <f>IF(B478="","",WEEKNUM(B478,2))</f>
        <v>0</v>
      </c>
      <c r="R478" s="26">
        <f>IF(B478="","",ROUND(IF(F478="",0,F478)+IF(G478="",0,G478),2))</f>
        <v>0</v>
      </c>
      <c r="S478" s="26">
        <f>IF(B478="","",IF(I478&lt;&gt;"Yes",0,ROUND(IF(F478="",0,F478)*IF(J478="Weekly",52/12,IF(J478="Fortnightly",26/12,IF(J478="Four weekly",13/12,IF(J478="Monthly",1,IF(J478="Quarterly",1/3,IF(J478="Twice a year",1/6,IF(J478="Yearly",1/12,0))))))),2)))</f>
        <v>0</v>
      </c>
      <c r="T478" s="38">
        <f>IF(B478="","",IF(I478="Yes","Yes","No"))</f>
        <v>0</v>
      </c>
      <c r="U478" s="25">
        <f>IF(B478="","",IF(L478="Yes","",IF(K478="","",TodayDate-K478)))</f>
        <v>0</v>
      </c>
      <c r="V478" s="39">
        <f>IF(B478="","",IF(L478="Yes","Paid",IF(K478="","Pending",IF(K478&lt;TodayDate,"Overdue",IF(K478&lt;=TodayDate+7,"Due soon","Pending")))))</f>
        <v>0</v>
      </c>
      <c r="W478" s="26">
        <f>IF(B478="","",IFERROR(INDEX(BudgetAmount,MATCH(C478,BudgetCategory,0))*1,0))</f>
        <v>0</v>
      </c>
      <c r="X478" s="25">
        <f>IF(B478="","",COUNTIFS($R$5:$R$604,"&gt;"&amp;R478)+COUNTIFS($R$5:R478,R478))</f>
        <v>0</v>
      </c>
      <c r="Y478" s="39">
        <f>IF(B478="","",IF(F478="","Add - no amount",IF(C478="","Add - no category, it will miss the P&amp;L",IF(V478="Overdue","Overdue - pay it",IF(V478="Due soon","Due - coming up",IF(IF(I478="Yes",J478="",FALSE),"Add - how often does it recur?",IF(L478="Yes","OK","Pending")))))))</f>
        <v>0</v>
      </c>
    </row>
    <row r="479" spans="1:25">
      <c r="A479" s="28">
        <f>IF(B479="","",ExpensePrefix&amp;TEXT(ROW()-4,"0000"))</f>
        <v>0</v>
      </c>
      <c r="P479" s="15">
        <f>IF(B479="","",TEXT(B479,"yyyy-mm"))</f>
        <v>0</v>
      </c>
      <c r="Q479" s="25">
        <f>IF(B479="","",WEEKNUM(B479,2))</f>
        <v>0</v>
      </c>
      <c r="R479" s="26">
        <f>IF(B479="","",ROUND(IF(F479="",0,F479)+IF(G479="",0,G479),2))</f>
        <v>0</v>
      </c>
      <c r="S479" s="26">
        <f>IF(B479="","",IF(I479&lt;&gt;"Yes",0,ROUND(IF(F479="",0,F479)*IF(J479="Weekly",52/12,IF(J479="Fortnightly",26/12,IF(J479="Four weekly",13/12,IF(J479="Monthly",1,IF(J479="Quarterly",1/3,IF(J479="Twice a year",1/6,IF(J479="Yearly",1/12,0))))))),2)))</f>
        <v>0</v>
      </c>
      <c r="T479" s="38">
        <f>IF(B479="","",IF(I479="Yes","Yes","No"))</f>
        <v>0</v>
      </c>
      <c r="U479" s="25">
        <f>IF(B479="","",IF(L479="Yes","",IF(K479="","",TodayDate-K479)))</f>
        <v>0</v>
      </c>
      <c r="V479" s="39">
        <f>IF(B479="","",IF(L479="Yes","Paid",IF(K479="","Pending",IF(K479&lt;TodayDate,"Overdue",IF(K479&lt;=TodayDate+7,"Due soon","Pending")))))</f>
        <v>0</v>
      </c>
      <c r="W479" s="26">
        <f>IF(B479="","",IFERROR(INDEX(BudgetAmount,MATCH(C479,BudgetCategory,0))*1,0))</f>
        <v>0</v>
      </c>
      <c r="X479" s="25">
        <f>IF(B479="","",COUNTIFS($R$5:$R$604,"&gt;"&amp;R479)+COUNTIFS($R$5:R479,R479))</f>
        <v>0</v>
      </c>
      <c r="Y479" s="39">
        <f>IF(B479="","",IF(F479="","Add - no amount",IF(C479="","Add - no category, it will miss the P&amp;L",IF(V479="Overdue","Overdue - pay it",IF(V479="Due soon","Due - coming up",IF(IF(I479="Yes",J479="",FALSE),"Add - how often does it recur?",IF(L479="Yes","OK","Pending")))))))</f>
        <v>0</v>
      </c>
    </row>
    <row r="480" spans="1:25">
      <c r="A480" s="28">
        <f>IF(B480="","",ExpensePrefix&amp;TEXT(ROW()-4,"0000"))</f>
        <v>0</v>
      </c>
      <c r="P480" s="15">
        <f>IF(B480="","",TEXT(B480,"yyyy-mm"))</f>
        <v>0</v>
      </c>
      <c r="Q480" s="25">
        <f>IF(B480="","",WEEKNUM(B480,2))</f>
        <v>0</v>
      </c>
      <c r="R480" s="26">
        <f>IF(B480="","",ROUND(IF(F480="",0,F480)+IF(G480="",0,G480),2))</f>
        <v>0</v>
      </c>
      <c r="S480" s="26">
        <f>IF(B480="","",IF(I480&lt;&gt;"Yes",0,ROUND(IF(F480="",0,F480)*IF(J480="Weekly",52/12,IF(J480="Fortnightly",26/12,IF(J480="Four weekly",13/12,IF(J480="Monthly",1,IF(J480="Quarterly",1/3,IF(J480="Twice a year",1/6,IF(J480="Yearly",1/12,0))))))),2)))</f>
        <v>0</v>
      </c>
      <c r="T480" s="38">
        <f>IF(B480="","",IF(I480="Yes","Yes","No"))</f>
        <v>0</v>
      </c>
      <c r="U480" s="25">
        <f>IF(B480="","",IF(L480="Yes","",IF(K480="","",TodayDate-K480)))</f>
        <v>0</v>
      </c>
      <c r="V480" s="39">
        <f>IF(B480="","",IF(L480="Yes","Paid",IF(K480="","Pending",IF(K480&lt;TodayDate,"Overdue",IF(K480&lt;=TodayDate+7,"Due soon","Pending")))))</f>
        <v>0</v>
      </c>
      <c r="W480" s="26">
        <f>IF(B480="","",IFERROR(INDEX(BudgetAmount,MATCH(C480,BudgetCategory,0))*1,0))</f>
        <v>0</v>
      </c>
      <c r="X480" s="25">
        <f>IF(B480="","",COUNTIFS($R$5:$R$604,"&gt;"&amp;R480)+COUNTIFS($R$5:R480,R480))</f>
        <v>0</v>
      </c>
      <c r="Y480" s="39">
        <f>IF(B480="","",IF(F480="","Add - no amount",IF(C480="","Add - no category, it will miss the P&amp;L",IF(V480="Overdue","Overdue - pay it",IF(V480="Due soon","Due - coming up",IF(IF(I480="Yes",J480="",FALSE),"Add - how often does it recur?",IF(L480="Yes","OK","Pending")))))))</f>
        <v>0</v>
      </c>
    </row>
    <row r="481" spans="1:25">
      <c r="A481" s="28">
        <f>IF(B481="","",ExpensePrefix&amp;TEXT(ROW()-4,"0000"))</f>
        <v>0</v>
      </c>
      <c r="P481" s="15">
        <f>IF(B481="","",TEXT(B481,"yyyy-mm"))</f>
        <v>0</v>
      </c>
      <c r="Q481" s="25">
        <f>IF(B481="","",WEEKNUM(B481,2))</f>
        <v>0</v>
      </c>
      <c r="R481" s="26">
        <f>IF(B481="","",ROUND(IF(F481="",0,F481)+IF(G481="",0,G481),2))</f>
        <v>0</v>
      </c>
      <c r="S481" s="26">
        <f>IF(B481="","",IF(I481&lt;&gt;"Yes",0,ROUND(IF(F481="",0,F481)*IF(J481="Weekly",52/12,IF(J481="Fortnightly",26/12,IF(J481="Four weekly",13/12,IF(J481="Monthly",1,IF(J481="Quarterly",1/3,IF(J481="Twice a year",1/6,IF(J481="Yearly",1/12,0))))))),2)))</f>
        <v>0</v>
      </c>
      <c r="T481" s="38">
        <f>IF(B481="","",IF(I481="Yes","Yes","No"))</f>
        <v>0</v>
      </c>
      <c r="U481" s="25">
        <f>IF(B481="","",IF(L481="Yes","",IF(K481="","",TodayDate-K481)))</f>
        <v>0</v>
      </c>
      <c r="V481" s="39">
        <f>IF(B481="","",IF(L481="Yes","Paid",IF(K481="","Pending",IF(K481&lt;TodayDate,"Overdue",IF(K481&lt;=TodayDate+7,"Due soon","Pending")))))</f>
        <v>0</v>
      </c>
      <c r="W481" s="26">
        <f>IF(B481="","",IFERROR(INDEX(BudgetAmount,MATCH(C481,BudgetCategory,0))*1,0))</f>
        <v>0</v>
      </c>
      <c r="X481" s="25">
        <f>IF(B481="","",COUNTIFS($R$5:$R$604,"&gt;"&amp;R481)+COUNTIFS($R$5:R481,R481))</f>
        <v>0</v>
      </c>
      <c r="Y481" s="39">
        <f>IF(B481="","",IF(F481="","Add - no amount",IF(C481="","Add - no category, it will miss the P&amp;L",IF(V481="Overdue","Overdue - pay it",IF(V481="Due soon","Due - coming up",IF(IF(I481="Yes",J481="",FALSE),"Add - how often does it recur?",IF(L481="Yes","OK","Pending")))))))</f>
        <v>0</v>
      </c>
    </row>
    <row r="482" spans="1:25">
      <c r="A482" s="28">
        <f>IF(B482="","",ExpensePrefix&amp;TEXT(ROW()-4,"0000"))</f>
        <v>0</v>
      </c>
      <c r="P482" s="15">
        <f>IF(B482="","",TEXT(B482,"yyyy-mm"))</f>
        <v>0</v>
      </c>
      <c r="Q482" s="25">
        <f>IF(B482="","",WEEKNUM(B482,2))</f>
        <v>0</v>
      </c>
      <c r="R482" s="26">
        <f>IF(B482="","",ROUND(IF(F482="",0,F482)+IF(G482="",0,G482),2))</f>
        <v>0</v>
      </c>
      <c r="S482" s="26">
        <f>IF(B482="","",IF(I482&lt;&gt;"Yes",0,ROUND(IF(F482="",0,F482)*IF(J482="Weekly",52/12,IF(J482="Fortnightly",26/12,IF(J482="Four weekly",13/12,IF(J482="Monthly",1,IF(J482="Quarterly",1/3,IF(J482="Twice a year",1/6,IF(J482="Yearly",1/12,0))))))),2)))</f>
        <v>0</v>
      </c>
      <c r="T482" s="38">
        <f>IF(B482="","",IF(I482="Yes","Yes","No"))</f>
        <v>0</v>
      </c>
      <c r="U482" s="25">
        <f>IF(B482="","",IF(L482="Yes","",IF(K482="","",TodayDate-K482)))</f>
        <v>0</v>
      </c>
      <c r="V482" s="39">
        <f>IF(B482="","",IF(L482="Yes","Paid",IF(K482="","Pending",IF(K482&lt;TodayDate,"Overdue",IF(K482&lt;=TodayDate+7,"Due soon","Pending")))))</f>
        <v>0</v>
      </c>
      <c r="W482" s="26">
        <f>IF(B482="","",IFERROR(INDEX(BudgetAmount,MATCH(C482,BudgetCategory,0))*1,0))</f>
        <v>0</v>
      </c>
      <c r="X482" s="25">
        <f>IF(B482="","",COUNTIFS($R$5:$R$604,"&gt;"&amp;R482)+COUNTIFS($R$5:R482,R482))</f>
        <v>0</v>
      </c>
      <c r="Y482" s="39">
        <f>IF(B482="","",IF(F482="","Add - no amount",IF(C482="","Add - no category, it will miss the P&amp;L",IF(V482="Overdue","Overdue - pay it",IF(V482="Due soon","Due - coming up",IF(IF(I482="Yes",J482="",FALSE),"Add - how often does it recur?",IF(L482="Yes","OK","Pending")))))))</f>
        <v>0</v>
      </c>
    </row>
    <row r="483" spans="1:25">
      <c r="A483" s="28">
        <f>IF(B483="","",ExpensePrefix&amp;TEXT(ROW()-4,"0000"))</f>
        <v>0</v>
      </c>
      <c r="P483" s="15">
        <f>IF(B483="","",TEXT(B483,"yyyy-mm"))</f>
        <v>0</v>
      </c>
      <c r="Q483" s="25">
        <f>IF(B483="","",WEEKNUM(B483,2))</f>
        <v>0</v>
      </c>
      <c r="R483" s="26">
        <f>IF(B483="","",ROUND(IF(F483="",0,F483)+IF(G483="",0,G483),2))</f>
        <v>0</v>
      </c>
      <c r="S483" s="26">
        <f>IF(B483="","",IF(I483&lt;&gt;"Yes",0,ROUND(IF(F483="",0,F483)*IF(J483="Weekly",52/12,IF(J483="Fortnightly",26/12,IF(J483="Four weekly",13/12,IF(J483="Monthly",1,IF(J483="Quarterly",1/3,IF(J483="Twice a year",1/6,IF(J483="Yearly",1/12,0))))))),2)))</f>
        <v>0</v>
      </c>
      <c r="T483" s="38">
        <f>IF(B483="","",IF(I483="Yes","Yes","No"))</f>
        <v>0</v>
      </c>
      <c r="U483" s="25">
        <f>IF(B483="","",IF(L483="Yes","",IF(K483="","",TodayDate-K483)))</f>
        <v>0</v>
      </c>
      <c r="V483" s="39">
        <f>IF(B483="","",IF(L483="Yes","Paid",IF(K483="","Pending",IF(K483&lt;TodayDate,"Overdue",IF(K483&lt;=TodayDate+7,"Due soon","Pending")))))</f>
        <v>0</v>
      </c>
      <c r="W483" s="26">
        <f>IF(B483="","",IFERROR(INDEX(BudgetAmount,MATCH(C483,BudgetCategory,0))*1,0))</f>
        <v>0</v>
      </c>
      <c r="X483" s="25">
        <f>IF(B483="","",COUNTIFS($R$5:$R$604,"&gt;"&amp;R483)+COUNTIFS($R$5:R483,R483))</f>
        <v>0</v>
      </c>
      <c r="Y483" s="39">
        <f>IF(B483="","",IF(F483="","Add - no amount",IF(C483="","Add - no category, it will miss the P&amp;L",IF(V483="Overdue","Overdue - pay it",IF(V483="Due soon","Due - coming up",IF(IF(I483="Yes",J483="",FALSE),"Add - how often does it recur?",IF(L483="Yes","OK","Pending")))))))</f>
        <v>0</v>
      </c>
    </row>
    <row r="484" spans="1:25">
      <c r="A484" s="28">
        <f>IF(B484="","",ExpensePrefix&amp;TEXT(ROW()-4,"0000"))</f>
        <v>0</v>
      </c>
      <c r="P484" s="15">
        <f>IF(B484="","",TEXT(B484,"yyyy-mm"))</f>
        <v>0</v>
      </c>
      <c r="Q484" s="25">
        <f>IF(B484="","",WEEKNUM(B484,2))</f>
        <v>0</v>
      </c>
      <c r="R484" s="26">
        <f>IF(B484="","",ROUND(IF(F484="",0,F484)+IF(G484="",0,G484),2))</f>
        <v>0</v>
      </c>
      <c r="S484" s="26">
        <f>IF(B484="","",IF(I484&lt;&gt;"Yes",0,ROUND(IF(F484="",0,F484)*IF(J484="Weekly",52/12,IF(J484="Fortnightly",26/12,IF(J484="Four weekly",13/12,IF(J484="Monthly",1,IF(J484="Quarterly",1/3,IF(J484="Twice a year",1/6,IF(J484="Yearly",1/12,0))))))),2)))</f>
        <v>0</v>
      </c>
      <c r="T484" s="38">
        <f>IF(B484="","",IF(I484="Yes","Yes","No"))</f>
        <v>0</v>
      </c>
      <c r="U484" s="25">
        <f>IF(B484="","",IF(L484="Yes","",IF(K484="","",TodayDate-K484)))</f>
        <v>0</v>
      </c>
      <c r="V484" s="39">
        <f>IF(B484="","",IF(L484="Yes","Paid",IF(K484="","Pending",IF(K484&lt;TodayDate,"Overdue",IF(K484&lt;=TodayDate+7,"Due soon","Pending")))))</f>
        <v>0</v>
      </c>
      <c r="W484" s="26">
        <f>IF(B484="","",IFERROR(INDEX(BudgetAmount,MATCH(C484,BudgetCategory,0))*1,0))</f>
        <v>0</v>
      </c>
      <c r="X484" s="25">
        <f>IF(B484="","",COUNTIFS($R$5:$R$604,"&gt;"&amp;R484)+COUNTIFS($R$5:R484,R484))</f>
        <v>0</v>
      </c>
      <c r="Y484" s="39">
        <f>IF(B484="","",IF(F484="","Add - no amount",IF(C484="","Add - no category, it will miss the P&amp;L",IF(V484="Overdue","Overdue - pay it",IF(V484="Due soon","Due - coming up",IF(IF(I484="Yes",J484="",FALSE),"Add - how often does it recur?",IF(L484="Yes","OK","Pending")))))))</f>
        <v>0</v>
      </c>
    </row>
    <row r="485" spans="1:25">
      <c r="A485" s="28">
        <f>IF(B485="","",ExpensePrefix&amp;TEXT(ROW()-4,"0000"))</f>
        <v>0</v>
      </c>
      <c r="P485" s="15">
        <f>IF(B485="","",TEXT(B485,"yyyy-mm"))</f>
        <v>0</v>
      </c>
      <c r="Q485" s="25">
        <f>IF(B485="","",WEEKNUM(B485,2))</f>
        <v>0</v>
      </c>
      <c r="R485" s="26">
        <f>IF(B485="","",ROUND(IF(F485="",0,F485)+IF(G485="",0,G485),2))</f>
        <v>0</v>
      </c>
      <c r="S485" s="26">
        <f>IF(B485="","",IF(I485&lt;&gt;"Yes",0,ROUND(IF(F485="",0,F485)*IF(J485="Weekly",52/12,IF(J485="Fortnightly",26/12,IF(J485="Four weekly",13/12,IF(J485="Monthly",1,IF(J485="Quarterly",1/3,IF(J485="Twice a year",1/6,IF(J485="Yearly",1/12,0))))))),2)))</f>
        <v>0</v>
      </c>
      <c r="T485" s="38">
        <f>IF(B485="","",IF(I485="Yes","Yes","No"))</f>
        <v>0</v>
      </c>
      <c r="U485" s="25">
        <f>IF(B485="","",IF(L485="Yes","",IF(K485="","",TodayDate-K485)))</f>
        <v>0</v>
      </c>
      <c r="V485" s="39">
        <f>IF(B485="","",IF(L485="Yes","Paid",IF(K485="","Pending",IF(K485&lt;TodayDate,"Overdue",IF(K485&lt;=TodayDate+7,"Due soon","Pending")))))</f>
        <v>0</v>
      </c>
      <c r="W485" s="26">
        <f>IF(B485="","",IFERROR(INDEX(BudgetAmount,MATCH(C485,BudgetCategory,0))*1,0))</f>
        <v>0</v>
      </c>
      <c r="X485" s="25">
        <f>IF(B485="","",COUNTIFS($R$5:$R$604,"&gt;"&amp;R485)+COUNTIFS($R$5:R485,R485))</f>
        <v>0</v>
      </c>
      <c r="Y485" s="39">
        <f>IF(B485="","",IF(F485="","Add - no amount",IF(C485="","Add - no category, it will miss the P&amp;L",IF(V485="Overdue","Overdue - pay it",IF(V485="Due soon","Due - coming up",IF(IF(I485="Yes",J485="",FALSE),"Add - how often does it recur?",IF(L485="Yes","OK","Pending")))))))</f>
        <v>0</v>
      </c>
    </row>
    <row r="486" spans="1:25">
      <c r="A486" s="28">
        <f>IF(B486="","",ExpensePrefix&amp;TEXT(ROW()-4,"0000"))</f>
        <v>0</v>
      </c>
      <c r="P486" s="15">
        <f>IF(B486="","",TEXT(B486,"yyyy-mm"))</f>
        <v>0</v>
      </c>
      <c r="Q486" s="25">
        <f>IF(B486="","",WEEKNUM(B486,2))</f>
        <v>0</v>
      </c>
      <c r="R486" s="26">
        <f>IF(B486="","",ROUND(IF(F486="",0,F486)+IF(G486="",0,G486),2))</f>
        <v>0</v>
      </c>
      <c r="S486" s="26">
        <f>IF(B486="","",IF(I486&lt;&gt;"Yes",0,ROUND(IF(F486="",0,F486)*IF(J486="Weekly",52/12,IF(J486="Fortnightly",26/12,IF(J486="Four weekly",13/12,IF(J486="Monthly",1,IF(J486="Quarterly",1/3,IF(J486="Twice a year",1/6,IF(J486="Yearly",1/12,0))))))),2)))</f>
        <v>0</v>
      </c>
      <c r="T486" s="38">
        <f>IF(B486="","",IF(I486="Yes","Yes","No"))</f>
        <v>0</v>
      </c>
      <c r="U486" s="25">
        <f>IF(B486="","",IF(L486="Yes","",IF(K486="","",TodayDate-K486)))</f>
        <v>0</v>
      </c>
      <c r="V486" s="39">
        <f>IF(B486="","",IF(L486="Yes","Paid",IF(K486="","Pending",IF(K486&lt;TodayDate,"Overdue",IF(K486&lt;=TodayDate+7,"Due soon","Pending")))))</f>
        <v>0</v>
      </c>
      <c r="W486" s="26">
        <f>IF(B486="","",IFERROR(INDEX(BudgetAmount,MATCH(C486,BudgetCategory,0))*1,0))</f>
        <v>0</v>
      </c>
      <c r="X486" s="25">
        <f>IF(B486="","",COUNTIFS($R$5:$R$604,"&gt;"&amp;R486)+COUNTIFS($R$5:R486,R486))</f>
        <v>0</v>
      </c>
      <c r="Y486" s="39">
        <f>IF(B486="","",IF(F486="","Add - no amount",IF(C486="","Add - no category, it will miss the P&amp;L",IF(V486="Overdue","Overdue - pay it",IF(V486="Due soon","Due - coming up",IF(IF(I486="Yes",J486="",FALSE),"Add - how often does it recur?",IF(L486="Yes","OK","Pending")))))))</f>
        <v>0</v>
      </c>
    </row>
    <row r="487" spans="1:25">
      <c r="A487" s="28">
        <f>IF(B487="","",ExpensePrefix&amp;TEXT(ROW()-4,"0000"))</f>
        <v>0</v>
      </c>
      <c r="P487" s="15">
        <f>IF(B487="","",TEXT(B487,"yyyy-mm"))</f>
        <v>0</v>
      </c>
      <c r="Q487" s="25">
        <f>IF(B487="","",WEEKNUM(B487,2))</f>
        <v>0</v>
      </c>
      <c r="R487" s="26">
        <f>IF(B487="","",ROUND(IF(F487="",0,F487)+IF(G487="",0,G487),2))</f>
        <v>0</v>
      </c>
      <c r="S487" s="26">
        <f>IF(B487="","",IF(I487&lt;&gt;"Yes",0,ROUND(IF(F487="",0,F487)*IF(J487="Weekly",52/12,IF(J487="Fortnightly",26/12,IF(J487="Four weekly",13/12,IF(J487="Monthly",1,IF(J487="Quarterly",1/3,IF(J487="Twice a year",1/6,IF(J487="Yearly",1/12,0))))))),2)))</f>
        <v>0</v>
      </c>
      <c r="T487" s="38">
        <f>IF(B487="","",IF(I487="Yes","Yes","No"))</f>
        <v>0</v>
      </c>
      <c r="U487" s="25">
        <f>IF(B487="","",IF(L487="Yes","",IF(K487="","",TodayDate-K487)))</f>
        <v>0</v>
      </c>
      <c r="V487" s="39">
        <f>IF(B487="","",IF(L487="Yes","Paid",IF(K487="","Pending",IF(K487&lt;TodayDate,"Overdue",IF(K487&lt;=TodayDate+7,"Due soon","Pending")))))</f>
        <v>0</v>
      </c>
      <c r="W487" s="26">
        <f>IF(B487="","",IFERROR(INDEX(BudgetAmount,MATCH(C487,BudgetCategory,0))*1,0))</f>
        <v>0</v>
      </c>
      <c r="X487" s="25">
        <f>IF(B487="","",COUNTIFS($R$5:$R$604,"&gt;"&amp;R487)+COUNTIFS($R$5:R487,R487))</f>
        <v>0</v>
      </c>
      <c r="Y487" s="39">
        <f>IF(B487="","",IF(F487="","Add - no amount",IF(C487="","Add - no category, it will miss the P&amp;L",IF(V487="Overdue","Overdue - pay it",IF(V487="Due soon","Due - coming up",IF(IF(I487="Yes",J487="",FALSE),"Add - how often does it recur?",IF(L487="Yes","OK","Pending")))))))</f>
        <v>0</v>
      </c>
    </row>
    <row r="488" spans="1:25">
      <c r="A488" s="28">
        <f>IF(B488="","",ExpensePrefix&amp;TEXT(ROW()-4,"0000"))</f>
        <v>0</v>
      </c>
      <c r="P488" s="15">
        <f>IF(B488="","",TEXT(B488,"yyyy-mm"))</f>
        <v>0</v>
      </c>
      <c r="Q488" s="25">
        <f>IF(B488="","",WEEKNUM(B488,2))</f>
        <v>0</v>
      </c>
      <c r="R488" s="26">
        <f>IF(B488="","",ROUND(IF(F488="",0,F488)+IF(G488="",0,G488),2))</f>
        <v>0</v>
      </c>
      <c r="S488" s="26">
        <f>IF(B488="","",IF(I488&lt;&gt;"Yes",0,ROUND(IF(F488="",0,F488)*IF(J488="Weekly",52/12,IF(J488="Fortnightly",26/12,IF(J488="Four weekly",13/12,IF(J488="Monthly",1,IF(J488="Quarterly",1/3,IF(J488="Twice a year",1/6,IF(J488="Yearly",1/12,0))))))),2)))</f>
        <v>0</v>
      </c>
      <c r="T488" s="38">
        <f>IF(B488="","",IF(I488="Yes","Yes","No"))</f>
        <v>0</v>
      </c>
      <c r="U488" s="25">
        <f>IF(B488="","",IF(L488="Yes","",IF(K488="","",TodayDate-K488)))</f>
        <v>0</v>
      </c>
      <c r="V488" s="39">
        <f>IF(B488="","",IF(L488="Yes","Paid",IF(K488="","Pending",IF(K488&lt;TodayDate,"Overdue",IF(K488&lt;=TodayDate+7,"Due soon","Pending")))))</f>
        <v>0</v>
      </c>
      <c r="W488" s="26">
        <f>IF(B488="","",IFERROR(INDEX(BudgetAmount,MATCH(C488,BudgetCategory,0))*1,0))</f>
        <v>0</v>
      </c>
      <c r="X488" s="25">
        <f>IF(B488="","",COUNTIFS($R$5:$R$604,"&gt;"&amp;R488)+COUNTIFS($R$5:R488,R488))</f>
        <v>0</v>
      </c>
      <c r="Y488" s="39">
        <f>IF(B488="","",IF(F488="","Add - no amount",IF(C488="","Add - no category, it will miss the P&amp;L",IF(V488="Overdue","Overdue - pay it",IF(V488="Due soon","Due - coming up",IF(IF(I488="Yes",J488="",FALSE),"Add - how often does it recur?",IF(L488="Yes","OK","Pending")))))))</f>
        <v>0</v>
      </c>
    </row>
    <row r="489" spans="1:25">
      <c r="A489" s="28">
        <f>IF(B489="","",ExpensePrefix&amp;TEXT(ROW()-4,"0000"))</f>
        <v>0</v>
      </c>
      <c r="P489" s="15">
        <f>IF(B489="","",TEXT(B489,"yyyy-mm"))</f>
        <v>0</v>
      </c>
      <c r="Q489" s="25">
        <f>IF(B489="","",WEEKNUM(B489,2))</f>
        <v>0</v>
      </c>
      <c r="R489" s="26">
        <f>IF(B489="","",ROUND(IF(F489="",0,F489)+IF(G489="",0,G489),2))</f>
        <v>0</v>
      </c>
      <c r="S489" s="26">
        <f>IF(B489="","",IF(I489&lt;&gt;"Yes",0,ROUND(IF(F489="",0,F489)*IF(J489="Weekly",52/12,IF(J489="Fortnightly",26/12,IF(J489="Four weekly",13/12,IF(J489="Monthly",1,IF(J489="Quarterly",1/3,IF(J489="Twice a year",1/6,IF(J489="Yearly",1/12,0))))))),2)))</f>
        <v>0</v>
      </c>
      <c r="T489" s="38">
        <f>IF(B489="","",IF(I489="Yes","Yes","No"))</f>
        <v>0</v>
      </c>
      <c r="U489" s="25">
        <f>IF(B489="","",IF(L489="Yes","",IF(K489="","",TodayDate-K489)))</f>
        <v>0</v>
      </c>
      <c r="V489" s="39">
        <f>IF(B489="","",IF(L489="Yes","Paid",IF(K489="","Pending",IF(K489&lt;TodayDate,"Overdue",IF(K489&lt;=TodayDate+7,"Due soon","Pending")))))</f>
        <v>0</v>
      </c>
      <c r="W489" s="26">
        <f>IF(B489="","",IFERROR(INDEX(BudgetAmount,MATCH(C489,BudgetCategory,0))*1,0))</f>
        <v>0</v>
      </c>
      <c r="X489" s="25">
        <f>IF(B489="","",COUNTIFS($R$5:$R$604,"&gt;"&amp;R489)+COUNTIFS($R$5:R489,R489))</f>
        <v>0</v>
      </c>
      <c r="Y489" s="39">
        <f>IF(B489="","",IF(F489="","Add - no amount",IF(C489="","Add - no category, it will miss the P&amp;L",IF(V489="Overdue","Overdue - pay it",IF(V489="Due soon","Due - coming up",IF(IF(I489="Yes",J489="",FALSE),"Add - how often does it recur?",IF(L489="Yes","OK","Pending")))))))</f>
        <v>0</v>
      </c>
    </row>
    <row r="490" spans="1:25">
      <c r="A490" s="28">
        <f>IF(B490="","",ExpensePrefix&amp;TEXT(ROW()-4,"0000"))</f>
        <v>0</v>
      </c>
      <c r="P490" s="15">
        <f>IF(B490="","",TEXT(B490,"yyyy-mm"))</f>
        <v>0</v>
      </c>
      <c r="Q490" s="25">
        <f>IF(B490="","",WEEKNUM(B490,2))</f>
        <v>0</v>
      </c>
      <c r="R490" s="26">
        <f>IF(B490="","",ROUND(IF(F490="",0,F490)+IF(G490="",0,G490),2))</f>
        <v>0</v>
      </c>
      <c r="S490" s="26">
        <f>IF(B490="","",IF(I490&lt;&gt;"Yes",0,ROUND(IF(F490="",0,F490)*IF(J490="Weekly",52/12,IF(J490="Fortnightly",26/12,IF(J490="Four weekly",13/12,IF(J490="Monthly",1,IF(J490="Quarterly",1/3,IF(J490="Twice a year",1/6,IF(J490="Yearly",1/12,0))))))),2)))</f>
        <v>0</v>
      </c>
      <c r="T490" s="38">
        <f>IF(B490="","",IF(I490="Yes","Yes","No"))</f>
        <v>0</v>
      </c>
      <c r="U490" s="25">
        <f>IF(B490="","",IF(L490="Yes","",IF(K490="","",TodayDate-K490)))</f>
        <v>0</v>
      </c>
      <c r="V490" s="39">
        <f>IF(B490="","",IF(L490="Yes","Paid",IF(K490="","Pending",IF(K490&lt;TodayDate,"Overdue",IF(K490&lt;=TodayDate+7,"Due soon","Pending")))))</f>
        <v>0</v>
      </c>
      <c r="W490" s="26">
        <f>IF(B490="","",IFERROR(INDEX(BudgetAmount,MATCH(C490,BudgetCategory,0))*1,0))</f>
        <v>0</v>
      </c>
      <c r="X490" s="25">
        <f>IF(B490="","",COUNTIFS($R$5:$R$604,"&gt;"&amp;R490)+COUNTIFS($R$5:R490,R490))</f>
        <v>0</v>
      </c>
      <c r="Y490" s="39">
        <f>IF(B490="","",IF(F490="","Add - no amount",IF(C490="","Add - no category, it will miss the P&amp;L",IF(V490="Overdue","Overdue - pay it",IF(V490="Due soon","Due - coming up",IF(IF(I490="Yes",J490="",FALSE),"Add - how often does it recur?",IF(L490="Yes","OK","Pending")))))))</f>
        <v>0</v>
      </c>
    </row>
    <row r="491" spans="1:25">
      <c r="A491" s="28">
        <f>IF(B491="","",ExpensePrefix&amp;TEXT(ROW()-4,"0000"))</f>
        <v>0</v>
      </c>
      <c r="P491" s="15">
        <f>IF(B491="","",TEXT(B491,"yyyy-mm"))</f>
        <v>0</v>
      </c>
      <c r="Q491" s="25">
        <f>IF(B491="","",WEEKNUM(B491,2))</f>
        <v>0</v>
      </c>
      <c r="R491" s="26">
        <f>IF(B491="","",ROUND(IF(F491="",0,F491)+IF(G491="",0,G491),2))</f>
        <v>0</v>
      </c>
      <c r="S491" s="26">
        <f>IF(B491="","",IF(I491&lt;&gt;"Yes",0,ROUND(IF(F491="",0,F491)*IF(J491="Weekly",52/12,IF(J491="Fortnightly",26/12,IF(J491="Four weekly",13/12,IF(J491="Monthly",1,IF(J491="Quarterly",1/3,IF(J491="Twice a year",1/6,IF(J491="Yearly",1/12,0))))))),2)))</f>
        <v>0</v>
      </c>
      <c r="T491" s="38">
        <f>IF(B491="","",IF(I491="Yes","Yes","No"))</f>
        <v>0</v>
      </c>
      <c r="U491" s="25">
        <f>IF(B491="","",IF(L491="Yes","",IF(K491="","",TodayDate-K491)))</f>
        <v>0</v>
      </c>
      <c r="V491" s="39">
        <f>IF(B491="","",IF(L491="Yes","Paid",IF(K491="","Pending",IF(K491&lt;TodayDate,"Overdue",IF(K491&lt;=TodayDate+7,"Due soon","Pending")))))</f>
        <v>0</v>
      </c>
      <c r="W491" s="26">
        <f>IF(B491="","",IFERROR(INDEX(BudgetAmount,MATCH(C491,BudgetCategory,0))*1,0))</f>
        <v>0</v>
      </c>
      <c r="X491" s="25">
        <f>IF(B491="","",COUNTIFS($R$5:$R$604,"&gt;"&amp;R491)+COUNTIFS($R$5:R491,R491))</f>
        <v>0</v>
      </c>
      <c r="Y491" s="39">
        <f>IF(B491="","",IF(F491="","Add - no amount",IF(C491="","Add - no category, it will miss the P&amp;L",IF(V491="Overdue","Overdue - pay it",IF(V491="Due soon","Due - coming up",IF(IF(I491="Yes",J491="",FALSE),"Add - how often does it recur?",IF(L491="Yes","OK","Pending")))))))</f>
        <v>0</v>
      </c>
    </row>
    <row r="492" spans="1:25">
      <c r="A492" s="28">
        <f>IF(B492="","",ExpensePrefix&amp;TEXT(ROW()-4,"0000"))</f>
        <v>0</v>
      </c>
      <c r="P492" s="15">
        <f>IF(B492="","",TEXT(B492,"yyyy-mm"))</f>
        <v>0</v>
      </c>
      <c r="Q492" s="25">
        <f>IF(B492="","",WEEKNUM(B492,2))</f>
        <v>0</v>
      </c>
      <c r="R492" s="26">
        <f>IF(B492="","",ROUND(IF(F492="",0,F492)+IF(G492="",0,G492),2))</f>
        <v>0</v>
      </c>
      <c r="S492" s="26">
        <f>IF(B492="","",IF(I492&lt;&gt;"Yes",0,ROUND(IF(F492="",0,F492)*IF(J492="Weekly",52/12,IF(J492="Fortnightly",26/12,IF(J492="Four weekly",13/12,IF(J492="Monthly",1,IF(J492="Quarterly",1/3,IF(J492="Twice a year",1/6,IF(J492="Yearly",1/12,0))))))),2)))</f>
        <v>0</v>
      </c>
      <c r="T492" s="38">
        <f>IF(B492="","",IF(I492="Yes","Yes","No"))</f>
        <v>0</v>
      </c>
      <c r="U492" s="25">
        <f>IF(B492="","",IF(L492="Yes","",IF(K492="","",TodayDate-K492)))</f>
        <v>0</v>
      </c>
      <c r="V492" s="39">
        <f>IF(B492="","",IF(L492="Yes","Paid",IF(K492="","Pending",IF(K492&lt;TodayDate,"Overdue",IF(K492&lt;=TodayDate+7,"Due soon","Pending")))))</f>
        <v>0</v>
      </c>
      <c r="W492" s="26">
        <f>IF(B492="","",IFERROR(INDEX(BudgetAmount,MATCH(C492,BudgetCategory,0))*1,0))</f>
        <v>0</v>
      </c>
      <c r="X492" s="25">
        <f>IF(B492="","",COUNTIFS($R$5:$R$604,"&gt;"&amp;R492)+COUNTIFS($R$5:R492,R492))</f>
        <v>0</v>
      </c>
      <c r="Y492" s="39">
        <f>IF(B492="","",IF(F492="","Add - no amount",IF(C492="","Add - no category, it will miss the P&amp;L",IF(V492="Overdue","Overdue - pay it",IF(V492="Due soon","Due - coming up",IF(IF(I492="Yes",J492="",FALSE),"Add - how often does it recur?",IF(L492="Yes","OK","Pending")))))))</f>
        <v>0</v>
      </c>
    </row>
    <row r="493" spans="1:25">
      <c r="A493" s="28">
        <f>IF(B493="","",ExpensePrefix&amp;TEXT(ROW()-4,"0000"))</f>
        <v>0</v>
      </c>
      <c r="P493" s="15">
        <f>IF(B493="","",TEXT(B493,"yyyy-mm"))</f>
        <v>0</v>
      </c>
      <c r="Q493" s="25">
        <f>IF(B493="","",WEEKNUM(B493,2))</f>
        <v>0</v>
      </c>
      <c r="R493" s="26">
        <f>IF(B493="","",ROUND(IF(F493="",0,F493)+IF(G493="",0,G493),2))</f>
        <v>0</v>
      </c>
      <c r="S493" s="26">
        <f>IF(B493="","",IF(I493&lt;&gt;"Yes",0,ROUND(IF(F493="",0,F493)*IF(J493="Weekly",52/12,IF(J493="Fortnightly",26/12,IF(J493="Four weekly",13/12,IF(J493="Monthly",1,IF(J493="Quarterly",1/3,IF(J493="Twice a year",1/6,IF(J493="Yearly",1/12,0))))))),2)))</f>
        <v>0</v>
      </c>
      <c r="T493" s="38">
        <f>IF(B493="","",IF(I493="Yes","Yes","No"))</f>
        <v>0</v>
      </c>
      <c r="U493" s="25">
        <f>IF(B493="","",IF(L493="Yes","",IF(K493="","",TodayDate-K493)))</f>
        <v>0</v>
      </c>
      <c r="V493" s="39">
        <f>IF(B493="","",IF(L493="Yes","Paid",IF(K493="","Pending",IF(K493&lt;TodayDate,"Overdue",IF(K493&lt;=TodayDate+7,"Due soon","Pending")))))</f>
        <v>0</v>
      </c>
      <c r="W493" s="26">
        <f>IF(B493="","",IFERROR(INDEX(BudgetAmount,MATCH(C493,BudgetCategory,0))*1,0))</f>
        <v>0</v>
      </c>
      <c r="X493" s="25">
        <f>IF(B493="","",COUNTIFS($R$5:$R$604,"&gt;"&amp;R493)+COUNTIFS($R$5:R493,R493))</f>
        <v>0</v>
      </c>
      <c r="Y493" s="39">
        <f>IF(B493="","",IF(F493="","Add - no amount",IF(C493="","Add - no category, it will miss the P&amp;L",IF(V493="Overdue","Overdue - pay it",IF(V493="Due soon","Due - coming up",IF(IF(I493="Yes",J493="",FALSE),"Add - how often does it recur?",IF(L493="Yes","OK","Pending")))))))</f>
        <v>0</v>
      </c>
    </row>
    <row r="494" spans="1:25">
      <c r="A494" s="28">
        <f>IF(B494="","",ExpensePrefix&amp;TEXT(ROW()-4,"0000"))</f>
        <v>0</v>
      </c>
      <c r="P494" s="15">
        <f>IF(B494="","",TEXT(B494,"yyyy-mm"))</f>
        <v>0</v>
      </c>
      <c r="Q494" s="25">
        <f>IF(B494="","",WEEKNUM(B494,2))</f>
        <v>0</v>
      </c>
      <c r="R494" s="26">
        <f>IF(B494="","",ROUND(IF(F494="",0,F494)+IF(G494="",0,G494),2))</f>
        <v>0</v>
      </c>
      <c r="S494" s="26">
        <f>IF(B494="","",IF(I494&lt;&gt;"Yes",0,ROUND(IF(F494="",0,F494)*IF(J494="Weekly",52/12,IF(J494="Fortnightly",26/12,IF(J494="Four weekly",13/12,IF(J494="Monthly",1,IF(J494="Quarterly",1/3,IF(J494="Twice a year",1/6,IF(J494="Yearly",1/12,0))))))),2)))</f>
        <v>0</v>
      </c>
      <c r="T494" s="38">
        <f>IF(B494="","",IF(I494="Yes","Yes","No"))</f>
        <v>0</v>
      </c>
      <c r="U494" s="25">
        <f>IF(B494="","",IF(L494="Yes","",IF(K494="","",TodayDate-K494)))</f>
        <v>0</v>
      </c>
      <c r="V494" s="39">
        <f>IF(B494="","",IF(L494="Yes","Paid",IF(K494="","Pending",IF(K494&lt;TodayDate,"Overdue",IF(K494&lt;=TodayDate+7,"Due soon","Pending")))))</f>
        <v>0</v>
      </c>
      <c r="W494" s="26">
        <f>IF(B494="","",IFERROR(INDEX(BudgetAmount,MATCH(C494,BudgetCategory,0))*1,0))</f>
        <v>0</v>
      </c>
      <c r="X494" s="25">
        <f>IF(B494="","",COUNTIFS($R$5:$R$604,"&gt;"&amp;R494)+COUNTIFS($R$5:R494,R494))</f>
        <v>0</v>
      </c>
      <c r="Y494" s="39">
        <f>IF(B494="","",IF(F494="","Add - no amount",IF(C494="","Add - no category, it will miss the P&amp;L",IF(V494="Overdue","Overdue - pay it",IF(V494="Due soon","Due - coming up",IF(IF(I494="Yes",J494="",FALSE),"Add - how often does it recur?",IF(L494="Yes","OK","Pending")))))))</f>
        <v>0</v>
      </c>
    </row>
    <row r="495" spans="1:25">
      <c r="A495" s="28">
        <f>IF(B495="","",ExpensePrefix&amp;TEXT(ROW()-4,"0000"))</f>
        <v>0</v>
      </c>
      <c r="P495" s="15">
        <f>IF(B495="","",TEXT(B495,"yyyy-mm"))</f>
        <v>0</v>
      </c>
      <c r="Q495" s="25">
        <f>IF(B495="","",WEEKNUM(B495,2))</f>
        <v>0</v>
      </c>
      <c r="R495" s="26">
        <f>IF(B495="","",ROUND(IF(F495="",0,F495)+IF(G495="",0,G495),2))</f>
        <v>0</v>
      </c>
      <c r="S495" s="26">
        <f>IF(B495="","",IF(I495&lt;&gt;"Yes",0,ROUND(IF(F495="",0,F495)*IF(J495="Weekly",52/12,IF(J495="Fortnightly",26/12,IF(J495="Four weekly",13/12,IF(J495="Monthly",1,IF(J495="Quarterly",1/3,IF(J495="Twice a year",1/6,IF(J495="Yearly",1/12,0))))))),2)))</f>
        <v>0</v>
      </c>
      <c r="T495" s="38">
        <f>IF(B495="","",IF(I495="Yes","Yes","No"))</f>
        <v>0</v>
      </c>
      <c r="U495" s="25">
        <f>IF(B495="","",IF(L495="Yes","",IF(K495="","",TodayDate-K495)))</f>
        <v>0</v>
      </c>
      <c r="V495" s="39">
        <f>IF(B495="","",IF(L495="Yes","Paid",IF(K495="","Pending",IF(K495&lt;TodayDate,"Overdue",IF(K495&lt;=TodayDate+7,"Due soon","Pending")))))</f>
        <v>0</v>
      </c>
      <c r="W495" s="26">
        <f>IF(B495="","",IFERROR(INDEX(BudgetAmount,MATCH(C495,BudgetCategory,0))*1,0))</f>
        <v>0</v>
      </c>
      <c r="X495" s="25">
        <f>IF(B495="","",COUNTIFS($R$5:$R$604,"&gt;"&amp;R495)+COUNTIFS($R$5:R495,R495))</f>
        <v>0</v>
      </c>
      <c r="Y495" s="39">
        <f>IF(B495="","",IF(F495="","Add - no amount",IF(C495="","Add - no category, it will miss the P&amp;L",IF(V495="Overdue","Overdue - pay it",IF(V495="Due soon","Due - coming up",IF(IF(I495="Yes",J495="",FALSE),"Add - how often does it recur?",IF(L495="Yes","OK","Pending")))))))</f>
        <v>0</v>
      </c>
    </row>
    <row r="496" spans="1:25">
      <c r="A496" s="28">
        <f>IF(B496="","",ExpensePrefix&amp;TEXT(ROW()-4,"0000"))</f>
        <v>0</v>
      </c>
      <c r="P496" s="15">
        <f>IF(B496="","",TEXT(B496,"yyyy-mm"))</f>
        <v>0</v>
      </c>
      <c r="Q496" s="25">
        <f>IF(B496="","",WEEKNUM(B496,2))</f>
        <v>0</v>
      </c>
      <c r="R496" s="26">
        <f>IF(B496="","",ROUND(IF(F496="",0,F496)+IF(G496="",0,G496),2))</f>
        <v>0</v>
      </c>
      <c r="S496" s="26">
        <f>IF(B496="","",IF(I496&lt;&gt;"Yes",0,ROUND(IF(F496="",0,F496)*IF(J496="Weekly",52/12,IF(J496="Fortnightly",26/12,IF(J496="Four weekly",13/12,IF(J496="Monthly",1,IF(J496="Quarterly",1/3,IF(J496="Twice a year",1/6,IF(J496="Yearly",1/12,0))))))),2)))</f>
        <v>0</v>
      </c>
      <c r="T496" s="38">
        <f>IF(B496="","",IF(I496="Yes","Yes","No"))</f>
        <v>0</v>
      </c>
      <c r="U496" s="25">
        <f>IF(B496="","",IF(L496="Yes","",IF(K496="","",TodayDate-K496)))</f>
        <v>0</v>
      </c>
      <c r="V496" s="39">
        <f>IF(B496="","",IF(L496="Yes","Paid",IF(K496="","Pending",IF(K496&lt;TodayDate,"Overdue",IF(K496&lt;=TodayDate+7,"Due soon","Pending")))))</f>
        <v>0</v>
      </c>
      <c r="W496" s="26">
        <f>IF(B496="","",IFERROR(INDEX(BudgetAmount,MATCH(C496,BudgetCategory,0))*1,0))</f>
        <v>0</v>
      </c>
      <c r="X496" s="25">
        <f>IF(B496="","",COUNTIFS($R$5:$R$604,"&gt;"&amp;R496)+COUNTIFS($R$5:R496,R496))</f>
        <v>0</v>
      </c>
      <c r="Y496" s="39">
        <f>IF(B496="","",IF(F496="","Add - no amount",IF(C496="","Add - no category, it will miss the P&amp;L",IF(V496="Overdue","Overdue - pay it",IF(V496="Due soon","Due - coming up",IF(IF(I496="Yes",J496="",FALSE),"Add - how often does it recur?",IF(L496="Yes","OK","Pending")))))))</f>
        <v>0</v>
      </c>
    </row>
    <row r="497" spans="1:25">
      <c r="A497" s="28">
        <f>IF(B497="","",ExpensePrefix&amp;TEXT(ROW()-4,"0000"))</f>
        <v>0</v>
      </c>
      <c r="P497" s="15">
        <f>IF(B497="","",TEXT(B497,"yyyy-mm"))</f>
        <v>0</v>
      </c>
      <c r="Q497" s="25">
        <f>IF(B497="","",WEEKNUM(B497,2))</f>
        <v>0</v>
      </c>
      <c r="R497" s="26">
        <f>IF(B497="","",ROUND(IF(F497="",0,F497)+IF(G497="",0,G497),2))</f>
        <v>0</v>
      </c>
      <c r="S497" s="26">
        <f>IF(B497="","",IF(I497&lt;&gt;"Yes",0,ROUND(IF(F497="",0,F497)*IF(J497="Weekly",52/12,IF(J497="Fortnightly",26/12,IF(J497="Four weekly",13/12,IF(J497="Monthly",1,IF(J497="Quarterly",1/3,IF(J497="Twice a year",1/6,IF(J497="Yearly",1/12,0))))))),2)))</f>
        <v>0</v>
      </c>
      <c r="T497" s="38">
        <f>IF(B497="","",IF(I497="Yes","Yes","No"))</f>
        <v>0</v>
      </c>
      <c r="U497" s="25">
        <f>IF(B497="","",IF(L497="Yes","",IF(K497="","",TodayDate-K497)))</f>
        <v>0</v>
      </c>
      <c r="V497" s="39">
        <f>IF(B497="","",IF(L497="Yes","Paid",IF(K497="","Pending",IF(K497&lt;TodayDate,"Overdue",IF(K497&lt;=TodayDate+7,"Due soon","Pending")))))</f>
        <v>0</v>
      </c>
      <c r="W497" s="26">
        <f>IF(B497="","",IFERROR(INDEX(BudgetAmount,MATCH(C497,BudgetCategory,0))*1,0))</f>
        <v>0</v>
      </c>
      <c r="X497" s="25">
        <f>IF(B497="","",COUNTIFS($R$5:$R$604,"&gt;"&amp;R497)+COUNTIFS($R$5:R497,R497))</f>
        <v>0</v>
      </c>
      <c r="Y497" s="39">
        <f>IF(B497="","",IF(F497="","Add - no amount",IF(C497="","Add - no category, it will miss the P&amp;L",IF(V497="Overdue","Overdue - pay it",IF(V497="Due soon","Due - coming up",IF(IF(I497="Yes",J497="",FALSE),"Add - how often does it recur?",IF(L497="Yes","OK","Pending")))))))</f>
        <v>0</v>
      </c>
    </row>
    <row r="498" spans="1:25">
      <c r="A498" s="28">
        <f>IF(B498="","",ExpensePrefix&amp;TEXT(ROW()-4,"0000"))</f>
        <v>0</v>
      </c>
      <c r="P498" s="15">
        <f>IF(B498="","",TEXT(B498,"yyyy-mm"))</f>
        <v>0</v>
      </c>
      <c r="Q498" s="25">
        <f>IF(B498="","",WEEKNUM(B498,2))</f>
        <v>0</v>
      </c>
      <c r="R498" s="26">
        <f>IF(B498="","",ROUND(IF(F498="",0,F498)+IF(G498="",0,G498),2))</f>
        <v>0</v>
      </c>
      <c r="S498" s="26">
        <f>IF(B498="","",IF(I498&lt;&gt;"Yes",0,ROUND(IF(F498="",0,F498)*IF(J498="Weekly",52/12,IF(J498="Fortnightly",26/12,IF(J498="Four weekly",13/12,IF(J498="Monthly",1,IF(J498="Quarterly",1/3,IF(J498="Twice a year",1/6,IF(J498="Yearly",1/12,0))))))),2)))</f>
        <v>0</v>
      </c>
      <c r="T498" s="38">
        <f>IF(B498="","",IF(I498="Yes","Yes","No"))</f>
        <v>0</v>
      </c>
      <c r="U498" s="25">
        <f>IF(B498="","",IF(L498="Yes","",IF(K498="","",TodayDate-K498)))</f>
        <v>0</v>
      </c>
      <c r="V498" s="39">
        <f>IF(B498="","",IF(L498="Yes","Paid",IF(K498="","Pending",IF(K498&lt;TodayDate,"Overdue",IF(K498&lt;=TodayDate+7,"Due soon","Pending")))))</f>
        <v>0</v>
      </c>
      <c r="W498" s="26">
        <f>IF(B498="","",IFERROR(INDEX(BudgetAmount,MATCH(C498,BudgetCategory,0))*1,0))</f>
        <v>0</v>
      </c>
      <c r="X498" s="25">
        <f>IF(B498="","",COUNTIFS($R$5:$R$604,"&gt;"&amp;R498)+COUNTIFS($R$5:R498,R498))</f>
        <v>0</v>
      </c>
      <c r="Y498" s="39">
        <f>IF(B498="","",IF(F498="","Add - no amount",IF(C498="","Add - no category, it will miss the P&amp;L",IF(V498="Overdue","Overdue - pay it",IF(V498="Due soon","Due - coming up",IF(IF(I498="Yes",J498="",FALSE),"Add - how often does it recur?",IF(L498="Yes","OK","Pending")))))))</f>
        <v>0</v>
      </c>
    </row>
    <row r="499" spans="1:25">
      <c r="A499" s="28">
        <f>IF(B499="","",ExpensePrefix&amp;TEXT(ROW()-4,"0000"))</f>
        <v>0</v>
      </c>
      <c r="P499" s="15">
        <f>IF(B499="","",TEXT(B499,"yyyy-mm"))</f>
        <v>0</v>
      </c>
      <c r="Q499" s="25">
        <f>IF(B499="","",WEEKNUM(B499,2))</f>
        <v>0</v>
      </c>
      <c r="R499" s="26">
        <f>IF(B499="","",ROUND(IF(F499="",0,F499)+IF(G499="",0,G499),2))</f>
        <v>0</v>
      </c>
      <c r="S499" s="26">
        <f>IF(B499="","",IF(I499&lt;&gt;"Yes",0,ROUND(IF(F499="",0,F499)*IF(J499="Weekly",52/12,IF(J499="Fortnightly",26/12,IF(J499="Four weekly",13/12,IF(J499="Monthly",1,IF(J499="Quarterly",1/3,IF(J499="Twice a year",1/6,IF(J499="Yearly",1/12,0))))))),2)))</f>
        <v>0</v>
      </c>
      <c r="T499" s="38">
        <f>IF(B499="","",IF(I499="Yes","Yes","No"))</f>
        <v>0</v>
      </c>
      <c r="U499" s="25">
        <f>IF(B499="","",IF(L499="Yes","",IF(K499="","",TodayDate-K499)))</f>
        <v>0</v>
      </c>
      <c r="V499" s="39">
        <f>IF(B499="","",IF(L499="Yes","Paid",IF(K499="","Pending",IF(K499&lt;TodayDate,"Overdue",IF(K499&lt;=TodayDate+7,"Due soon","Pending")))))</f>
        <v>0</v>
      </c>
      <c r="W499" s="26">
        <f>IF(B499="","",IFERROR(INDEX(BudgetAmount,MATCH(C499,BudgetCategory,0))*1,0))</f>
        <v>0</v>
      </c>
      <c r="X499" s="25">
        <f>IF(B499="","",COUNTIFS($R$5:$R$604,"&gt;"&amp;R499)+COUNTIFS($R$5:R499,R499))</f>
        <v>0</v>
      </c>
      <c r="Y499" s="39">
        <f>IF(B499="","",IF(F499="","Add - no amount",IF(C499="","Add - no category, it will miss the P&amp;L",IF(V499="Overdue","Overdue - pay it",IF(V499="Due soon","Due - coming up",IF(IF(I499="Yes",J499="",FALSE),"Add - how often does it recur?",IF(L499="Yes","OK","Pending")))))))</f>
        <v>0</v>
      </c>
    </row>
    <row r="500" spans="1:25">
      <c r="A500" s="28">
        <f>IF(B500="","",ExpensePrefix&amp;TEXT(ROW()-4,"0000"))</f>
        <v>0</v>
      </c>
      <c r="P500" s="15">
        <f>IF(B500="","",TEXT(B500,"yyyy-mm"))</f>
        <v>0</v>
      </c>
      <c r="Q500" s="25">
        <f>IF(B500="","",WEEKNUM(B500,2))</f>
        <v>0</v>
      </c>
      <c r="R500" s="26">
        <f>IF(B500="","",ROUND(IF(F500="",0,F500)+IF(G500="",0,G500),2))</f>
        <v>0</v>
      </c>
      <c r="S500" s="26">
        <f>IF(B500="","",IF(I500&lt;&gt;"Yes",0,ROUND(IF(F500="",0,F500)*IF(J500="Weekly",52/12,IF(J500="Fortnightly",26/12,IF(J500="Four weekly",13/12,IF(J500="Monthly",1,IF(J500="Quarterly",1/3,IF(J500="Twice a year",1/6,IF(J500="Yearly",1/12,0))))))),2)))</f>
        <v>0</v>
      </c>
      <c r="T500" s="38">
        <f>IF(B500="","",IF(I500="Yes","Yes","No"))</f>
        <v>0</v>
      </c>
      <c r="U500" s="25">
        <f>IF(B500="","",IF(L500="Yes","",IF(K500="","",TodayDate-K500)))</f>
        <v>0</v>
      </c>
      <c r="V500" s="39">
        <f>IF(B500="","",IF(L500="Yes","Paid",IF(K500="","Pending",IF(K500&lt;TodayDate,"Overdue",IF(K500&lt;=TodayDate+7,"Due soon","Pending")))))</f>
        <v>0</v>
      </c>
      <c r="W500" s="26">
        <f>IF(B500="","",IFERROR(INDEX(BudgetAmount,MATCH(C500,BudgetCategory,0))*1,0))</f>
        <v>0</v>
      </c>
      <c r="X500" s="25">
        <f>IF(B500="","",COUNTIFS($R$5:$R$604,"&gt;"&amp;R500)+COUNTIFS($R$5:R500,R500))</f>
        <v>0</v>
      </c>
      <c r="Y500" s="39">
        <f>IF(B500="","",IF(F500="","Add - no amount",IF(C500="","Add - no category, it will miss the P&amp;L",IF(V500="Overdue","Overdue - pay it",IF(V500="Due soon","Due - coming up",IF(IF(I500="Yes",J500="",FALSE),"Add - how often does it recur?",IF(L500="Yes","OK","Pending")))))))</f>
        <v>0</v>
      </c>
    </row>
    <row r="501" spans="1:25">
      <c r="A501" s="28">
        <f>IF(B501="","",ExpensePrefix&amp;TEXT(ROW()-4,"0000"))</f>
        <v>0</v>
      </c>
      <c r="P501" s="15">
        <f>IF(B501="","",TEXT(B501,"yyyy-mm"))</f>
        <v>0</v>
      </c>
      <c r="Q501" s="25">
        <f>IF(B501="","",WEEKNUM(B501,2))</f>
        <v>0</v>
      </c>
      <c r="R501" s="26">
        <f>IF(B501="","",ROUND(IF(F501="",0,F501)+IF(G501="",0,G501),2))</f>
        <v>0</v>
      </c>
      <c r="S501" s="26">
        <f>IF(B501="","",IF(I501&lt;&gt;"Yes",0,ROUND(IF(F501="",0,F501)*IF(J501="Weekly",52/12,IF(J501="Fortnightly",26/12,IF(J501="Four weekly",13/12,IF(J501="Monthly",1,IF(J501="Quarterly",1/3,IF(J501="Twice a year",1/6,IF(J501="Yearly",1/12,0))))))),2)))</f>
        <v>0</v>
      </c>
      <c r="T501" s="38">
        <f>IF(B501="","",IF(I501="Yes","Yes","No"))</f>
        <v>0</v>
      </c>
      <c r="U501" s="25">
        <f>IF(B501="","",IF(L501="Yes","",IF(K501="","",TodayDate-K501)))</f>
        <v>0</v>
      </c>
      <c r="V501" s="39">
        <f>IF(B501="","",IF(L501="Yes","Paid",IF(K501="","Pending",IF(K501&lt;TodayDate,"Overdue",IF(K501&lt;=TodayDate+7,"Due soon","Pending")))))</f>
        <v>0</v>
      </c>
      <c r="W501" s="26">
        <f>IF(B501="","",IFERROR(INDEX(BudgetAmount,MATCH(C501,BudgetCategory,0))*1,0))</f>
        <v>0</v>
      </c>
      <c r="X501" s="25">
        <f>IF(B501="","",COUNTIFS($R$5:$R$604,"&gt;"&amp;R501)+COUNTIFS($R$5:R501,R501))</f>
        <v>0</v>
      </c>
      <c r="Y501" s="39">
        <f>IF(B501="","",IF(F501="","Add - no amount",IF(C501="","Add - no category, it will miss the P&amp;L",IF(V501="Overdue","Overdue - pay it",IF(V501="Due soon","Due - coming up",IF(IF(I501="Yes",J501="",FALSE),"Add - how often does it recur?",IF(L501="Yes","OK","Pending")))))))</f>
        <v>0</v>
      </c>
    </row>
    <row r="502" spans="1:25">
      <c r="A502" s="28">
        <f>IF(B502="","",ExpensePrefix&amp;TEXT(ROW()-4,"0000"))</f>
        <v>0</v>
      </c>
      <c r="P502" s="15">
        <f>IF(B502="","",TEXT(B502,"yyyy-mm"))</f>
        <v>0</v>
      </c>
      <c r="Q502" s="25">
        <f>IF(B502="","",WEEKNUM(B502,2))</f>
        <v>0</v>
      </c>
      <c r="R502" s="26">
        <f>IF(B502="","",ROUND(IF(F502="",0,F502)+IF(G502="",0,G502),2))</f>
        <v>0</v>
      </c>
      <c r="S502" s="26">
        <f>IF(B502="","",IF(I502&lt;&gt;"Yes",0,ROUND(IF(F502="",0,F502)*IF(J502="Weekly",52/12,IF(J502="Fortnightly",26/12,IF(J502="Four weekly",13/12,IF(J502="Monthly",1,IF(J502="Quarterly",1/3,IF(J502="Twice a year",1/6,IF(J502="Yearly",1/12,0))))))),2)))</f>
        <v>0</v>
      </c>
      <c r="T502" s="38">
        <f>IF(B502="","",IF(I502="Yes","Yes","No"))</f>
        <v>0</v>
      </c>
      <c r="U502" s="25">
        <f>IF(B502="","",IF(L502="Yes","",IF(K502="","",TodayDate-K502)))</f>
        <v>0</v>
      </c>
      <c r="V502" s="39">
        <f>IF(B502="","",IF(L502="Yes","Paid",IF(K502="","Pending",IF(K502&lt;TodayDate,"Overdue",IF(K502&lt;=TodayDate+7,"Due soon","Pending")))))</f>
        <v>0</v>
      </c>
      <c r="W502" s="26">
        <f>IF(B502="","",IFERROR(INDEX(BudgetAmount,MATCH(C502,BudgetCategory,0))*1,0))</f>
        <v>0</v>
      </c>
      <c r="X502" s="25">
        <f>IF(B502="","",COUNTIFS($R$5:$R$604,"&gt;"&amp;R502)+COUNTIFS($R$5:R502,R502))</f>
        <v>0</v>
      </c>
      <c r="Y502" s="39">
        <f>IF(B502="","",IF(F502="","Add - no amount",IF(C502="","Add - no category, it will miss the P&amp;L",IF(V502="Overdue","Overdue - pay it",IF(V502="Due soon","Due - coming up",IF(IF(I502="Yes",J502="",FALSE),"Add - how often does it recur?",IF(L502="Yes","OK","Pending")))))))</f>
        <v>0</v>
      </c>
    </row>
    <row r="503" spans="1:25">
      <c r="A503" s="28">
        <f>IF(B503="","",ExpensePrefix&amp;TEXT(ROW()-4,"0000"))</f>
        <v>0</v>
      </c>
      <c r="P503" s="15">
        <f>IF(B503="","",TEXT(B503,"yyyy-mm"))</f>
        <v>0</v>
      </c>
      <c r="Q503" s="25">
        <f>IF(B503="","",WEEKNUM(B503,2))</f>
        <v>0</v>
      </c>
      <c r="R503" s="26">
        <f>IF(B503="","",ROUND(IF(F503="",0,F503)+IF(G503="",0,G503),2))</f>
        <v>0</v>
      </c>
      <c r="S503" s="26">
        <f>IF(B503="","",IF(I503&lt;&gt;"Yes",0,ROUND(IF(F503="",0,F503)*IF(J503="Weekly",52/12,IF(J503="Fortnightly",26/12,IF(J503="Four weekly",13/12,IF(J503="Monthly",1,IF(J503="Quarterly",1/3,IF(J503="Twice a year",1/6,IF(J503="Yearly",1/12,0))))))),2)))</f>
        <v>0</v>
      </c>
      <c r="T503" s="38">
        <f>IF(B503="","",IF(I503="Yes","Yes","No"))</f>
        <v>0</v>
      </c>
      <c r="U503" s="25">
        <f>IF(B503="","",IF(L503="Yes","",IF(K503="","",TodayDate-K503)))</f>
        <v>0</v>
      </c>
      <c r="V503" s="39">
        <f>IF(B503="","",IF(L503="Yes","Paid",IF(K503="","Pending",IF(K503&lt;TodayDate,"Overdue",IF(K503&lt;=TodayDate+7,"Due soon","Pending")))))</f>
        <v>0</v>
      </c>
      <c r="W503" s="26">
        <f>IF(B503="","",IFERROR(INDEX(BudgetAmount,MATCH(C503,BudgetCategory,0))*1,0))</f>
        <v>0</v>
      </c>
      <c r="X503" s="25">
        <f>IF(B503="","",COUNTIFS($R$5:$R$604,"&gt;"&amp;R503)+COUNTIFS($R$5:R503,R503))</f>
        <v>0</v>
      </c>
      <c r="Y503" s="39">
        <f>IF(B503="","",IF(F503="","Add - no amount",IF(C503="","Add - no category, it will miss the P&amp;L",IF(V503="Overdue","Overdue - pay it",IF(V503="Due soon","Due - coming up",IF(IF(I503="Yes",J503="",FALSE),"Add - how often does it recur?",IF(L503="Yes","OK","Pending")))))))</f>
        <v>0</v>
      </c>
    </row>
    <row r="504" spans="1:25">
      <c r="A504" s="28">
        <f>IF(B504="","",ExpensePrefix&amp;TEXT(ROW()-4,"0000"))</f>
        <v>0</v>
      </c>
      <c r="P504" s="15">
        <f>IF(B504="","",TEXT(B504,"yyyy-mm"))</f>
        <v>0</v>
      </c>
      <c r="Q504" s="25">
        <f>IF(B504="","",WEEKNUM(B504,2))</f>
        <v>0</v>
      </c>
      <c r="R504" s="26">
        <f>IF(B504="","",ROUND(IF(F504="",0,F504)+IF(G504="",0,G504),2))</f>
        <v>0</v>
      </c>
      <c r="S504" s="26">
        <f>IF(B504="","",IF(I504&lt;&gt;"Yes",0,ROUND(IF(F504="",0,F504)*IF(J504="Weekly",52/12,IF(J504="Fortnightly",26/12,IF(J504="Four weekly",13/12,IF(J504="Monthly",1,IF(J504="Quarterly",1/3,IF(J504="Twice a year",1/6,IF(J504="Yearly",1/12,0))))))),2)))</f>
        <v>0</v>
      </c>
      <c r="T504" s="38">
        <f>IF(B504="","",IF(I504="Yes","Yes","No"))</f>
        <v>0</v>
      </c>
      <c r="U504" s="25">
        <f>IF(B504="","",IF(L504="Yes","",IF(K504="","",TodayDate-K504)))</f>
        <v>0</v>
      </c>
      <c r="V504" s="39">
        <f>IF(B504="","",IF(L504="Yes","Paid",IF(K504="","Pending",IF(K504&lt;TodayDate,"Overdue",IF(K504&lt;=TodayDate+7,"Due soon","Pending")))))</f>
        <v>0</v>
      </c>
      <c r="W504" s="26">
        <f>IF(B504="","",IFERROR(INDEX(BudgetAmount,MATCH(C504,BudgetCategory,0))*1,0))</f>
        <v>0</v>
      </c>
      <c r="X504" s="25">
        <f>IF(B504="","",COUNTIFS($R$5:$R$604,"&gt;"&amp;R504)+COUNTIFS($R$5:R504,R504))</f>
        <v>0</v>
      </c>
      <c r="Y504" s="39">
        <f>IF(B504="","",IF(F504="","Add - no amount",IF(C504="","Add - no category, it will miss the P&amp;L",IF(V504="Overdue","Overdue - pay it",IF(V504="Due soon","Due - coming up",IF(IF(I504="Yes",J504="",FALSE),"Add - how often does it recur?",IF(L504="Yes","OK","Pending")))))))</f>
        <v>0</v>
      </c>
    </row>
    <row r="505" spans="1:25">
      <c r="A505" s="28">
        <f>IF(B505="","",ExpensePrefix&amp;TEXT(ROW()-4,"0000"))</f>
        <v>0</v>
      </c>
      <c r="P505" s="15">
        <f>IF(B505="","",TEXT(B505,"yyyy-mm"))</f>
        <v>0</v>
      </c>
      <c r="Q505" s="25">
        <f>IF(B505="","",WEEKNUM(B505,2))</f>
        <v>0</v>
      </c>
      <c r="R505" s="26">
        <f>IF(B505="","",ROUND(IF(F505="",0,F505)+IF(G505="",0,G505),2))</f>
        <v>0</v>
      </c>
      <c r="S505" s="26">
        <f>IF(B505="","",IF(I505&lt;&gt;"Yes",0,ROUND(IF(F505="",0,F505)*IF(J505="Weekly",52/12,IF(J505="Fortnightly",26/12,IF(J505="Four weekly",13/12,IF(J505="Monthly",1,IF(J505="Quarterly",1/3,IF(J505="Twice a year",1/6,IF(J505="Yearly",1/12,0))))))),2)))</f>
        <v>0</v>
      </c>
      <c r="T505" s="38">
        <f>IF(B505="","",IF(I505="Yes","Yes","No"))</f>
        <v>0</v>
      </c>
      <c r="U505" s="25">
        <f>IF(B505="","",IF(L505="Yes","",IF(K505="","",TodayDate-K505)))</f>
        <v>0</v>
      </c>
      <c r="V505" s="39">
        <f>IF(B505="","",IF(L505="Yes","Paid",IF(K505="","Pending",IF(K505&lt;TodayDate,"Overdue",IF(K505&lt;=TodayDate+7,"Due soon","Pending")))))</f>
        <v>0</v>
      </c>
      <c r="W505" s="26">
        <f>IF(B505="","",IFERROR(INDEX(BudgetAmount,MATCH(C505,BudgetCategory,0))*1,0))</f>
        <v>0</v>
      </c>
      <c r="X505" s="25">
        <f>IF(B505="","",COUNTIFS($R$5:$R$604,"&gt;"&amp;R505)+COUNTIFS($R$5:R505,R505))</f>
        <v>0</v>
      </c>
      <c r="Y505" s="39">
        <f>IF(B505="","",IF(F505="","Add - no amount",IF(C505="","Add - no category, it will miss the P&amp;L",IF(V505="Overdue","Overdue - pay it",IF(V505="Due soon","Due - coming up",IF(IF(I505="Yes",J505="",FALSE),"Add - how often does it recur?",IF(L505="Yes","OK","Pending")))))))</f>
        <v>0</v>
      </c>
    </row>
    <row r="506" spans="1:25">
      <c r="A506" s="28">
        <f>IF(B506="","",ExpensePrefix&amp;TEXT(ROW()-4,"0000"))</f>
        <v>0</v>
      </c>
      <c r="P506" s="15">
        <f>IF(B506="","",TEXT(B506,"yyyy-mm"))</f>
        <v>0</v>
      </c>
      <c r="Q506" s="25">
        <f>IF(B506="","",WEEKNUM(B506,2))</f>
        <v>0</v>
      </c>
      <c r="R506" s="26">
        <f>IF(B506="","",ROUND(IF(F506="",0,F506)+IF(G506="",0,G506),2))</f>
        <v>0</v>
      </c>
      <c r="S506" s="26">
        <f>IF(B506="","",IF(I506&lt;&gt;"Yes",0,ROUND(IF(F506="",0,F506)*IF(J506="Weekly",52/12,IF(J506="Fortnightly",26/12,IF(J506="Four weekly",13/12,IF(J506="Monthly",1,IF(J506="Quarterly",1/3,IF(J506="Twice a year",1/6,IF(J506="Yearly",1/12,0))))))),2)))</f>
        <v>0</v>
      </c>
      <c r="T506" s="38">
        <f>IF(B506="","",IF(I506="Yes","Yes","No"))</f>
        <v>0</v>
      </c>
      <c r="U506" s="25">
        <f>IF(B506="","",IF(L506="Yes","",IF(K506="","",TodayDate-K506)))</f>
        <v>0</v>
      </c>
      <c r="V506" s="39">
        <f>IF(B506="","",IF(L506="Yes","Paid",IF(K506="","Pending",IF(K506&lt;TodayDate,"Overdue",IF(K506&lt;=TodayDate+7,"Due soon","Pending")))))</f>
        <v>0</v>
      </c>
      <c r="W506" s="26">
        <f>IF(B506="","",IFERROR(INDEX(BudgetAmount,MATCH(C506,BudgetCategory,0))*1,0))</f>
        <v>0</v>
      </c>
      <c r="X506" s="25">
        <f>IF(B506="","",COUNTIFS($R$5:$R$604,"&gt;"&amp;R506)+COUNTIFS($R$5:R506,R506))</f>
        <v>0</v>
      </c>
      <c r="Y506" s="39">
        <f>IF(B506="","",IF(F506="","Add - no amount",IF(C506="","Add - no category, it will miss the P&amp;L",IF(V506="Overdue","Overdue - pay it",IF(V506="Due soon","Due - coming up",IF(IF(I506="Yes",J506="",FALSE),"Add - how often does it recur?",IF(L506="Yes","OK","Pending")))))))</f>
        <v>0</v>
      </c>
    </row>
    <row r="507" spans="1:25">
      <c r="A507" s="28">
        <f>IF(B507="","",ExpensePrefix&amp;TEXT(ROW()-4,"0000"))</f>
        <v>0</v>
      </c>
      <c r="P507" s="15">
        <f>IF(B507="","",TEXT(B507,"yyyy-mm"))</f>
        <v>0</v>
      </c>
      <c r="Q507" s="25">
        <f>IF(B507="","",WEEKNUM(B507,2))</f>
        <v>0</v>
      </c>
      <c r="R507" s="26">
        <f>IF(B507="","",ROUND(IF(F507="",0,F507)+IF(G507="",0,G507),2))</f>
        <v>0</v>
      </c>
      <c r="S507" s="26">
        <f>IF(B507="","",IF(I507&lt;&gt;"Yes",0,ROUND(IF(F507="",0,F507)*IF(J507="Weekly",52/12,IF(J507="Fortnightly",26/12,IF(J507="Four weekly",13/12,IF(J507="Monthly",1,IF(J507="Quarterly",1/3,IF(J507="Twice a year",1/6,IF(J507="Yearly",1/12,0))))))),2)))</f>
        <v>0</v>
      </c>
      <c r="T507" s="38">
        <f>IF(B507="","",IF(I507="Yes","Yes","No"))</f>
        <v>0</v>
      </c>
      <c r="U507" s="25">
        <f>IF(B507="","",IF(L507="Yes","",IF(K507="","",TodayDate-K507)))</f>
        <v>0</v>
      </c>
      <c r="V507" s="39">
        <f>IF(B507="","",IF(L507="Yes","Paid",IF(K507="","Pending",IF(K507&lt;TodayDate,"Overdue",IF(K507&lt;=TodayDate+7,"Due soon","Pending")))))</f>
        <v>0</v>
      </c>
      <c r="W507" s="26">
        <f>IF(B507="","",IFERROR(INDEX(BudgetAmount,MATCH(C507,BudgetCategory,0))*1,0))</f>
        <v>0</v>
      </c>
      <c r="X507" s="25">
        <f>IF(B507="","",COUNTIFS($R$5:$R$604,"&gt;"&amp;R507)+COUNTIFS($R$5:R507,R507))</f>
        <v>0</v>
      </c>
      <c r="Y507" s="39">
        <f>IF(B507="","",IF(F507="","Add - no amount",IF(C507="","Add - no category, it will miss the P&amp;L",IF(V507="Overdue","Overdue - pay it",IF(V507="Due soon","Due - coming up",IF(IF(I507="Yes",J507="",FALSE),"Add - how often does it recur?",IF(L507="Yes","OK","Pending")))))))</f>
        <v>0</v>
      </c>
    </row>
    <row r="508" spans="1:25">
      <c r="A508" s="28">
        <f>IF(B508="","",ExpensePrefix&amp;TEXT(ROW()-4,"0000"))</f>
        <v>0</v>
      </c>
      <c r="P508" s="15">
        <f>IF(B508="","",TEXT(B508,"yyyy-mm"))</f>
        <v>0</v>
      </c>
      <c r="Q508" s="25">
        <f>IF(B508="","",WEEKNUM(B508,2))</f>
        <v>0</v>
      </c>
      <c r="R508" s="26">
        <f>IF(B508="","",ROUND(IF(F508="",0,F508)+IF(G508="",0,G508),2))</f>
        <v>0</v>
      </c>
      <c r="S508" s="26">
        <f>IF(B508="","",IF(I508&lt;&gt;"Yes",0,ROUND(IF(F508="",0,F508)*IF(J508="Weekly",52/12,IF(J508="Fortnightly",26/12,IF(J508="Four weekly",13/12,IF(J508="Monthly",1,IF(J508="Quarterly",1/3,IF(J508="Twice a year",1/6,IF(J508="Yearly",1/12,0))))))),2)))</f>
        <v>0</v>
      </c>
      <c r="T508" s="38">
        <f>IF(B508="","",IF(I508="Yes","Yes","No"))</f>
        <v>0</v>
      </c>
      <c r="U508" s="25">
        <f>IF(B508="","",IF(L508="Yes","",IF(K508="","",TodayDate-K508)))</f>
        <v>0</v>
      </c>
      <c r="V508" s="39">
        <f>IF(B508="","",IF(L508="Yes","Paid",IF(K508="","Pending",IF(K508&lt;TodayDate,"Overdue",IF(K508&lt;=TodayDate+7,"Due soon","Pending")))))</f>
        <v>0</v>
      </c>
      <c r="W508" s="26">
        <f>IF(B508="","",IFERROR(INDEX(BudgetAmount,MATCH(C508,BudgetCategory,0))*1,0))</f>
        <v>0</v>
      </c>
      <c r="X508" s="25">
        <f>IF(B508="","",COUNTIFS($R$5:$R$604,"&gt;"&amp;R508)+COUNTIFS($R$5:R508,R508))</f>
        <v>0</v>
      </c>
      <c r="Y508" s="39">
        <f>IF(B508="","",IF(F508="","Add - no amount",IF(C508="","Add - no category, it will miss the P&amp;L",IF(V508="Overdue","Overdue - pay it",IF(V508="Due soon","Due - coming up",IF(IF(I508="Yes",J508="",FALSE),"Add - how often does it recur?",IF(L508="Yes","OK","Pending")))))))</f>
        <v>0</v>
      </c>
    </row>
    <row r="509" spans="1:25">
      <c r="A509" s="28">
        <f>IF(B509="","",ExpensePrefix&amp;TEXT(ROW()-4,"0000"))</f>
        <v>0</v>
      </c>
      <c r="P509" s="15">
        <f>IF(B509="","",TEXT(B509,"yyyy-mm"))</f>
        <v>0</v>
      </c>
      <c r="Q509" s="25">
        <f>IF(B509="","",WEEKNUM(B509,2))</f>
        <v>0</v>
      </c>
      <c r="R509" s="26">
        <f>IF(B509="","",ROUND(IF(F509="",0,F509)+IF(G509="",0,G509),2))</f>
        <v>0</v>
      </c>
      <c r="S509" s="26">
        <f>IF(B509="","",IF(I509&lt;&gt;"Yes",0,ROUND(IF(F509="",0,F509)*IF(J509="Weekly",52/12,IF(J509="Fortnightly",26/12,IF(J509="Four weekly",13/12,IF(J509="Monthly",1,IF(J509="Quarterly",1/3,IF(J509="Twice a year",1/6,IF(J509="Yearly",1/12,0))))))),2)))</f>
        <v>0</v>
      </c>
      <c r="T509" s="38">
        <f>IF(B509="","",IF(I509="Yes","Yes","No"))</f>
        <v>0</v>
      </c>
      <c r="U509" s="25">
        <f>IF(B509="","",IF(L509="Yes","",IF(K509="","",TodayDate-K509)))</f>
        <v>0</v>
      </c>
      <c r="V509" s="39">
        <f>IF(B509="","",IF(L509="Yes","Paid",IF(K509="","Pending",IF(K509&lt;TodayDate,"Overdue",IF(K509&lt;=TodayDate+7,"Due soon","Pending")))))</f>
        <v>0</v>
      </c>
      <c r="W509" s="26">
        <f>IF(B509="","",IFERROR(INDEX(BudgetAmount,MATCH(C509,BudgetCategory,0))*1,0))</f>
        <v>0</v>
      </c>
      <c r="X509" s="25">
        <f>IF(B509="","",COUNTIFS($R$5:$R$604,"&gt;"&amp;R509)+COUNTIFS($R$5:R509,R509))</f>
        <v>0</v>
      </c>
      <c r="Y509" s="39">
        <f>IF(B509="","",IF(F509="","Add - no amount",IF(C509="","Add - no category, it will miss the P&amp;L",IF(V509="Overdue","Overdue - pay it",IF(V509="Due soon","Due - coming up",IF(IF(I509="Yes",J509="",FALSE),"Add - how often does it recur?",IF(L509="Yes","OK","Pending")))))))</f>
        <v>0</v>
      </c>
    </row>
    <row r="510" spans="1:25">
      <c r="A510" s="28">
        <f>IF(B510="","",ExpensePrefix&amp;TEXT(ROW()-4,"0000"))</f>
        <v>0</v>
      </c>
      <c r="P510" s="15">
        <f>IF(B510="","",TEXT(B510,"yyyy-mm"))</f>
        <v>0</v>
      </c>
      <c r="Q510" s="25">
        <f>IF(B510="","",WEEKNUM(B510,2))</f>
        <v>0</v>
      </c>
      <c r="R510" s="26">
        <f>IF(B510="","",ROUND(IF(F510="",0,F510)+IF(G510="",0,G510),2))</f>
        <v>0</v>
      </c>
      <c r="S510" s="26">
        <f>IF(B510="","",IF(I510&lt;&gt;"Yes",0,ROUND(IF(F510="",0,F510)*IF(J510="Weekly",52/12,IF(J510="Fortnightly",26/12,IF(J510="Four weekly",13/12,IF(J510="Monthly",1,IF(J510="Quarterly",1/3,IF(J510="Twice a year",1/6,IF(J510="Yearly",1/12,0))))))),2)))</f>
        <v>0</v>
      </c>
      <c r="T510" s="38">
        <f>IF(B510="","",IF(I510="Yes","Yes","No"))</f>
        <v>0</v>
      </c>
      <c r="U510" s="25">
        <f>IF(B510="","",IF(L510="Yes","",IF(K510="","",TodayDate-K510)))</f>
        <v>0</v>
      </c>
      <c r="V510" s="39">
        <f>IF(B510="","",IF(L510="Yes","Paid",IF(K510="","Pending",IF(K510&lt;TodayDate,"Overdue",IF(K510&lt;=TodayDate+7,"Due soon","Pending")))))</f>
        <v>0</v>
      </c>
      <c r="W510" s="26">
        <f>IF(B510="","",IFERROR(INDEX(BudgetAmount,MATCH(C510,BudgetCategory,0))*1,0))</f>
        <v>0</v>
      </c>
      <c r="X510" s="25">
        <f>IF(B510="","",COUNTIFS($R$5:$R$604,"&gt;"&amp;R510)+COUNTIFS($R$5:R510,R510))</f>
        <v>0</v>
      </c>
      <c r="Y510" s="39">
        <f>IF(B510="","",IF(F510="","Add - no amount",IF(C510="","Add - no category, it will miss the P&amp;L",IF(V510="Overdue","Overdue - pay it",IF(V510="Due soon","Due - coming up",IF(IF(I510="Yes",J510="",FALSE),"Add - how often does it recur?",IF(L510="Yes","OK","Pending")))))))</f>
        <v>0</v>
      </c>
    </row>
    <row r="511" spans="1:25">
      <c r="A511" s="28">
        <f>IF(B511="","",ExpensePrefix&amp;TEXT(ROW()-4,"0000"))</f>
        <v>0</v>
      </c>
      <c r="P511" s="15">
        <f>IF(B511="","",TEXT(B511,"yyyy-mm"))</f>
        <v>0</v>
      </c>
      <c r="Q511" s="25">
        <f>IF(B511="","",WEEKNUM(B511,2))</f>
        <v>0</v>
      </c>
      <c r="R511" s="26">
        <f>IF(B511="","",ROUND(IF(F511="",0,F511)+IF(G511="",0,G511),2))</f>
        <v>0</v>
      </c>
      <c r="S511" s="26">
        <f>IF(B511="","",IF(I511&lt;&gt;"Yes",0,ROUND(IF(F511="",0,F511)*IF(J511="Weekly",52/12,IF(J511="Fortnightly",26/12,IF(J511="Four weekly",13/12,IF(J511="Monthly",1,IF(J511="Quarterly",1/3,IF(J511="Twice a year",1/6,IF(J511="Yearly",1/12,0))))))),2)))</f>
        <v>0</v>
      </c>
      <c r="T511" s="38">
        <f>IF(B511="","",IF(I511="Yes","Yes","No"))</f>
        <v>0</v>
      </c>
      <c r="U511" s="25">
        <f>IF(B511="","",IF(L511="Yes","",IF(K511="","",TodayDate-K511)))</f>
        <v>0</v>
      </c>
      <c r="V511" s="39">
        <f>IF(B511="","",IF(L511="Yes","Paid",IF(K511="","Pending",IF(K511&lt;TodayDate,"Overdue",IF(K511&lt;=TodayDate+7,"Due soon","Pending")))))</f>
        <v>0</v>
      </c>
      <c r="W511" s="26">
        <f>IF(B511="","",IFERROR(INDEX(BudgetAmount,MATCH(C511,BudgetCategory,0))*1,0))</f>
        <v>0</v>
      </c>
      <c r="X511" s="25">
        <f>IF(B511="","",COUNTIFS($R$5:$R$604,"&gt;"&amp;R511)+COUNTIFS($R$5:R511,R511))</f>
        <v>0</v>
      </c>
      <c r="Y511" s="39">
        <f>IF(B511="","",IF(F511="","Add - no amount",IF(C511="","Add - no category, it will miss the P&amp;L",IF(V511="Overdue","Overdue - pay it",IF(V511="Due soon","Due - coming up",IF(IF(I511="Yes",J511="",FALSE),"Add - how often does it recur?",IF(L511="Yes","OK","Pending")))))))</f>
        <v>0</v>
      </c>
    </row>
    <row r="512" spans="1:25">
      <c r="A512" s="28">
        <f>IF(B512="","",ExpensePrefix&amp;TEXT(ROW()-4,"0000"))</f>
        <v>0</v>
      </c>
      <c r="P512" s="15">
        <f>IF(B512="","",TEXT(B512,"yyyy-mm"))</f>
        <v>0</v>
      </c>
      <c r="Q512" s="25">
        <f>IF(B512="","",WEEKNUM(B512,2))</f>
        <v>0</v>
      </c>
      <c r="R512" s="26">
        <f>IF(B512="","",ROUND(IF(F512="",0,F512)+IF(G512="",0,G512),2))</f>
        <v>0</v>
      </c>
      <c r="S512" s="26">
        <f>IF(B512="","",IF(I512&lt;&gt;"Yes",0,ROUND(IF(F512="",0,F512)*IF(J512="Weekly",52/12,IF(J512="Fortnightly",26/12,IF(J512="Four weekly",13/12,IF(J512="Monthly",1,IF(J512="Quarterly",1/3,IF(J512="Twice a year",1/6,IF(J512="Yearly",1/12,0))))))),2)))</f>
        <v>0</v>
      </c>
      <c r="T512" s="38">
        <f>IF(B512="","",IF(I512="Yes","Yes","No"))</f>
        <v>0</v>
      </c>
      <c r="U512" s="25">
        <f>IF(B512="","",IF(L512="Yes","",IF(K512="","",TodayDate-K512)))</f>
        <v>0</v>
      </c>
      <c r="V512" s="39">
        <f>IF(B512="","",IF(L512="Yes","Paid",IF(K512="","Pending",IF(K512&lt;TodayDate,"Overdue",IF(K512&lt;=TodayDate+7,"Due soon","Pending")))))</f>
        <v>0</v>
      </c>
      <c r="W512" s="26">
        <f>IF(B512="","",IFERROR(INDEX(BudgetAmount,MATCH(C512,BudgetCategory,0))*1,0))</f>
        <v>0</v>
      </c>
      <c r="X512" s="25">
        <f>IF(B512="","",COUNTIFS($R$5:$R$604,"&gt;"&amp;R512)+COUNTIFS($R$5:R512,R512))</f>
        <v>0</v>
      </c>
      <c r="Y512" s="39">
        <f>IF(B512="","",IF(F512="","Add - no amount",IF(C512="","Add - no category, it will miss the P&amp;L",IF(V512="Overdue","Overdue - pay it",IF(V512="Due soon","Due - coming up",IF(IF(I512="Yes",J512="",FALSE),"Add - how often does it recur?",IF(L512="Yes","OK","Pending")))))))</f>
        <v>0</v>
      </c>
    </row>
    <row r="513" spans="1:25">
      <c r="A513" s="28">
        <f>IF(B513="","",ExpensePrefix&amp;TEXT(ROW()-4,"0000"))</f>
        <v>0</v>
      </c>
      <c r="P513" s="15">
        <f>IF(B513="","",TEXT(B513,"yyyy-mm"))</f>
        <v>0</v>
      </c>
      <c r="Q513" s="25">
        <f>IF(B513="","",WEEKNUM(B513,2))</f>
        <v>0</v>
      </c>
      <c r="R513" s="26">
        <f>IF(B513="","",ROUND(IF(F513="",0,F513)+IF(G513="",0,G513),2))</f>
        <v>0</v>
      </c>
      <c r="S513" s="26">
        <f>IF(B513="","",IF(I513&lt;&gt;"Yes",0,ROUND(IF(F513="",0,F513)*IF(J513="Weekly",52/12,IF(J513="Fortnightly",26/12,IF(J513="Four weekly",13/12,IF(J513="Monthly",1,IF(J513="Quarterly",1/3,IF(J513="Twice a year",1/6,IF(J513="Yearly",1/12,0))))))),2)))</f>
        <v>0</v>
      </c>
      <c r="T513" s="38">
        <f>IF(B513="","",IF(I513="Yes","Yes","No"))</f>
        <v>0</v>
      </c>
      <c r="U513" s="25">
        <f>IF(B513="","",IF(L513="Yes","",IF(K513="","",TodayDate-K513)))</f>
        <v>0</v>
      </c>
      <c r="V513" s="39">
        <f>IF(B513="","",IF(L513="Yes","Paid",IF(K513="","Pending",IF(K513&lt;TodayDate,"Overdue",IF(K513&lt;=TodayDate+7,"Due soon","Pending")))))</f>
        <v>0</v>
      </c>
      <c r="W513" s="26">
        <f>IF(B513="","",IFERROR(INDEX(BudgetAmount,MATCH(C513,BudgetCategory,0))*1,0))</f>
        <v>0</v>
      </c>
      <c r="X513" s="25">
        <f>IF(B513="","",COUNTIFS($R$5:$R$604,"&gt;"&amp;R513)+COUNTIFS($R$5:R513,R513))</f>
        <v>0</v>
      </c>
      <c r="Y513" s="39">
        <f>IF(B513="","",IF(F513="","Add - no amount",IF(C513="","Add - no category, it will miss the P&amp;L",IF(V513="Overdue","Overdue - pay it",IF(V513="Due soon","Due - coming up",IF(IF(I513="Yes",J513="",FALSE),"Add - how often does it recur?",IF(L513="Yes","OK","Pending")))))))</f>
        <v>0</v>
      </c>
    </row>
    <row r="514" spans="1:25">
      <c r="A514" s="28">
        <f>IF(B514="","",ExpensePrefix&amp;TEXT(ROW()-4,"0000"))</f>
        <v>0</v>
      </c>
      <c r="P514" s="15">
        <f>IF(B514="","",TEXT(B514,"yyyy-mm"))</f>
        <v>0</v>
      </c>
      <c r="Q514" s="25">
        <f>IF(B514="","",WEEKNUM(B514,2))</f>
        <v>0</v>
      </c>
      <c r="R514" s="26">
        <f>IF(B514="","",ROUND(IF(F514="",0,F514)+IF(G514="",0,G514),2))</f>
        <v>0</v>
      </c>
      <c r="S514" s="26">
        <f>IF(B514="","",IF(I514&lt;&gt;"Yes",0,ROUND(IF(F514="",0,F514)*IF(J514="Weekly",52/12,IF(J514="Fortnightly",26/12,IF(J514="Four weekly",13/12,IF(J514="Monthly",1,IF(J514="Quarterly",1/3,IF(J514="Twice a year",1/6,IF(J514="Yearly",1/12,0))))))),2)))</f>
        <v>0</v>
      </c>
      <c r="T514" s="38">
        <f>IF(B514="","",IF(I514="Yes","Yes","No"))</f>
        <v>0</v>
      </c>
      <c r="U514" s="25">
        <f>IF(B514="","",IF(L514="Yes","",IF(K514="","",TodayDate-K514)))</f>
        <v>0</v>
      </c>
      <c r="V514" s="39">
        <f>IF(B514="","",IF(L514="Yes","Paid",IF(K514="","Pending",IF(K514&lt;TodayDate,"Overdue",IF(K514&lt;=TodayDate+7,"Due soon","Pending")))))</f>
        <v>0</v>
      </c>
      <c r="W514" s="26">
        <f>IF(B514="","",IFERROR(INDEX(BudgetAmount,MATCH(C514,BudgetCategory,0))*1,0))</f>
        <v>0</v>
      </c>
      <c r="X514" s="25">
        <f>IF(B514="","",COUNTIFS($R$5:$R$604,"&gt;"&amp;R514)+COUNTIFS($R$5:R514,R514))</f>
        <v>0</v>
      </c>
      <c r="Y514" s="39">
        <f>IF(B514="","",IF(F514="","Add - no amount",IF(C514="","Add - no category, it will miss the P&amp;L",IF(V514="Overdue","Overdue - pay it",IF(V514="Due soon","Due - coming up",IF(IF(I514="Yes",J514="",FALSE),"Add - how often does it recur?",IF(L514="Yes","OK","Pending")))))))</f>
        <v>0</v>
      </c>
    </row>
    <row r="515" spans="1:25">
      <c r="A515" s="28">
        <f>IF(B515="","",ExpensePrefix&amp;TEXT(ROW()-4,"0000"))</f>
        <v>0</v>
      </c>
      <c r="P515" s="15">
        <f>IF(B515="","",TEXT(B515,"yyyy-mm"))</f>
        <v>0</v>
      </c>
      <c r="Q515" s="25">
        <f>IF(B515="","",WEEKNUM(B515,2))</f>
        <v>0</v>
      </c>
      <c r="R515" s="26">
        <f>IF(B515="","",ROUND(IF(F515="",0,F515)+IF(G515="",0,G515),2))</f>
        <v>0</v>
      </c>
      <c r="S515" s="26">
        <f>IF(B515="","",IF(I515&lt;&gt;"Yes",0,ROUND(IF(F515="",0,F515)*IF(J515="Weekly",52/12,IF(J515="Fortnightly",26/12,IF(J515="Four weekly",13/12,IF(J515="Monthly",1,IF(J515="Quarterly",1/3,IF(J515="Twice a year",1/6,IF(J515="Yearly",1/12,0))))))),2)))</f>
        <v>0</v>
      </c>
      <c r="T515" s="38">
        <f>IF(B515="","",IF(I515="Yes","Yes","No"))</f>
        <v>0</v>
      </c>
      <c r="U515" s="25">
        <f>IF(B515="","",IF(L515="Yes","",IF(K515="","",TodayDate-K515)))</f>
        <v>0</v>
      </c>
      <c r="V515" s="39">
        <f>IF(B515="","",IF(L515="Yes","Paid",IF(K515="","Pending",IF(K515&lt;TodayDate,"Overdue",IF(K515&lt;=TodayDate+7,"Due soon","Pending")))))</f>
        <v>0</v>
      </c>
      <c r="W515" s="26">
        <f>IF(B515="","",IFERROR(INDEX(BudgetAmount,MATCH(C515,BudgetCategory,0))*1,0))</f>
        <v>0</v>
      </c>
      <c r="X515" s="25">
        <f>IF(B515="","",COUNTIFS($R$5:$R$604,"&gt;"&amp;R515)+COUNTIFS($R$5:R515,R515))</f>
        <v>0</v>
      </c>
      <c r="Y515" s="39">
        <f>IF(B515="","",IF(F515="","Add - no amount",IF(C515="","Add - no category, it will miss the P&amp;L",IF(V515="Overdue","Overdue - pay it",IF(V515="Due soon","Due - coming up",IF(IF(I515="Yes",J515="",FALSE),"Add - how often does it recur?",IF(L515="Yes","OK","Pending")))))))</f>
        <v>0</v>
      </c>
    </row>
    <row r="516" spans="1:25">
      <c r="A516" s="28">
        <f>IF(B516="","",ExpensePrefix&amp;TEXT(ROW()-4,"0000"))</f>
        <v>0</v>
      </c>
      <c r="P516" s="15">
        <f>IF(B516="","",TEXT(B516,"yyyy-mm"))</f>
        <v>0</v>
      </c>
      <c r="Q516" s="25">
        <f>IF(B516="","",WEEKNUM(B516,2))</f>
        <v>0</v>
      </c>
      <c r="R516" s="26">
        <f>IF(B516="","",ROUND(IF(F516="",0,F516)+IF(G516="",0,G516),2))</f>
        <v>0</v>
      </c>
      <c r="S516" s="26">
        <f>IF(B516="","",IF(I516&lt;&gt;"Yes",0,ROUND(IF(F516="",0,F516)*IF(J516="Weekly",52/12,IF(J516="Fortnightly",26/12,IF(J516="Four weekly",13/12,IF(J516="Monthly",1,IF(J516="Quarterly",1/3,IF(J516="Twice a year",1/6,IF(J516="Yearly",1/12,0))))))),2)))</f>
        <v>0</v>
      </c>
      <c r="T516" s="38">
        <f>IF(B516="","",IF(I516="Yes","Yes","No"))</f>
        <v>0</v>
      </c>
      <c r="U516" s="25">
        <f>IF(B516="","",IF(L516="Yes","",IF(K516="","",TodayDate-K516)))</f>
        <v>0</v>
      </c>
      <c r="V516" s="39">
        <f>IF(B516="","",IF(L516="Yes","Paid",IF(K516="","Pending",IF(K516&lt;TodayDate,"Overdue",IF(K516&lt;=TodayDate+7,"Due soon","Pending")))))</f>
        <v>0</v>
      </c>
      <c r="W516" s="26">
        <f>IF(B516="","",IFERROR(INDEX(BudgetAmount,MATCH(C516,BudgetCategory,0))*1,0))</f>
        <v>0</v>
      </c>
      <c r="X516" s="25">
        <f>IF(B516="","",COUNTIFS($R$5:$R$604,"&gt;"&amp;R516)+COUNTIFS($R$5:R516,R516))</f>
        <v>0</v>
      </c>
      <c r="Y516" s="39">
        <f>IF(B516="","",IF(F516="","Add - no amount",IF(C516="","Add - no category, it will miss the P&amp;L",IF(V516="Overdue","Overdue - pay it",IF(V516="Due soon","Due - coming up",IF(IF(I516="Yes",J516="",FALSE),"Add - how often does it recur?",IF(L516="Yes","OK","Pending")))))))</f>
        <v>0</v>
      </c>
    </row>
    <row r="517" spans="1:25">
      <c r="A517" s="28">
        <f>IF(B517="","",ExpensePrefix&amp;TEXT(ROW()-4,"0000"))</f>
        <v>0</v>
      </c>
      <c r="P517" s="15">
        <f>IF(B517="","",TEXT(B517,"yyyy-mm"))</f>
        <v>0</v>
      </c>
      <c r="Q517" s="25">
        <f>IF(B517="","",WEEKNUM(B517,2))</f>
        <v>0</v>
      </c>
      <c r="R517" s="26">
        <f>IF(B517="","",ROUND(IF(F517="",0,F517)+IF(G517="",0,G517),2))</f>
        <v>0</v>
      </c>
      <c r="S517" s="26">
        <f>IF(B517="","",IF(I517&lt;&gt;"Yes",0,ROUND(IF(F517="",0,F517)*IF(J517="Weekly",52/12,IF(J517="Fortnightly",26/12,IF(J517="Four weekly",13/12,IF(J517="Monthly",1,IF(J517="Quarterly",1/3,IF(J517="Twice a year",1/6,IF(J517="Yearly",1/12,0))))))),2)))</f>
        <v>0</v>
      </c>
      <c r="T517" s="38">
        <f>IF(B517="","",IF(I517="Yes","Yes","No"))</f>
        <v>0</v>
      </c>
      <c r="U517" s="25">
        <f>IF(B517="","",IF(L517="Yes","",IF(K517="","",TodayDate-K517)))</f>
        <v>0</v>
      </c>
      <c r="V517" s="39">
        <f>IF(B517="","",IF(L517="Yes","Paid",IF(K517="","Pending",IF(K517&lt;TodayDate,"Overdue",IF(K517&lt;=TodayDate+7,"Due soon","Pending")))))</f>
        <v>0</v>
      </c>
      <c r="W517" s="26">
        <f>IF(B517="","",IFERROR(INDEX(BudgetAmount,MATCH(C517,BudgetCategory,0))*1,0))</f>
        <v>0</v>
      </c>
      <c r="X517" s="25">
        <f>IF(B517="","",COUNTIFS($R$5:$R$604,"&gt;"&amp;R517)+COUNTIFS($R$5:R517,R517))</f>
        <v>0</v>
      </c>
      <c r="Y517" s="39">
        <f>IF(B517="","",IF(F517="","Add - no amount",IF(C517="","Add - no category, it will miss the P&amp;L",IF(V517="Overdue","Overdue - pay it",IF(V517="Due soon","Due - coming up",IF(IF(I517="Yes",J517="",FALSE),"Add - how often does it recur?",IF(L517="Yes","OK","Pending")))))))</f>
        <v>0</v>
      </c>
    </row>
    <row r="518" spans="1:25">
      <c r="A518" s="28">
        <f>IF(B518="","",ExpensePrefix&amp;TEXT(ROW()-4,"0000"))</f>
        <v>0</v>
      </c>
      <c r="P518" s="15">
        <f>IF(B518="","",TEXT(B518,"yyyy-mm"))</f>
        <v>0</v>
      </c>
      <c r="Q518" s="25">
        <f>IF(B518="","",WEEKNUM(B518,2))</f>
        <v>0</v>
      </c>
      <c r="R518" s="26">
        <f>IF(B518="","",ROUND(IF(F518="",0,F518)+IF(G518="",0,G518),2))</f>
        <v>0</v>
      </c>
      <c r="S518" s="26">
        <f>IF(B518="","",IF(I518&lt;&gt;"Yes",0,ROUND(IF(F518="",0,F518)*IF(J518="Weekly",52/12,IF(J518="Fortnightly",26/12,IF(J518="Four weekly",13/12,IF(J518="Monthly",1,IF(J518="Quarterly",1/3,IF(J518="Twice a year",1/6,IF(J518="Yearly",1/12,0))))))),2)))</f>
        <v>0</v>
      </c>
      <c r="T518" s="38">
        <f>IF(B518="","",IF(I518="Yes","Yes","No"))</f>
        <v>0</v>
      </c>
      <c r="U518" s="25">
        <f>IF(B518="","",IF(L518="Yes","",IF(K518="","",TodayDate-K518)))</f>
        <v>0</v>
      </c>
      <c r="V518" s="39">
        <f>IF(B518="","",IF(L518="Yes","Paid",IF(K518="","Pending",IF(K518&lt;TodayDate,"Overdue",IF(K518&lt;=TodayDate+7,"Due soon","Pending")))))</f>
        <v>0</v>
      </c>
      <c r="W518" s="26">
        <f>IF(B518="","",IFERROR(INDEX(BudgetAmount,MATCH(C518,BudgetCategory,0))*1,0))</f>
        <v>0</v>
      </c>
      <c r="X518" s="25">
        <f>IF(B518="","",COUNTIFS($R$5:$R$604,"&gt;"&amp;R518)+COUNTIFS($R$5:R518,R518))</f>
        <v>0</v>
      </c>
      <c r="Y518" s="39">
        <f>IF(B518="","",IF(F518="","Add - no amount",IF(C518="","Add - no category, it will miss the P&amp;L",IF(V518="Overdue","Overdue - pay it",IF(V518="Due soon","Due - coming up",IF(IF(I518="Yes",J518="",FALSE),"Add - how often does it recur?",IF(L518="Yes","OK","Pending")))))))</f>
        <v>0</v>
      </c>
    </row>
    <row r="519" spans="1:25">
      <c r="A519" s="28">
        <f>IF(B519="","",ExpensePrefix&amp;TEXT(ROW()-4,"0000"))</f>
        <v>0</v>
      </c>
      <c r="P519" s="15">
        <f>IF(B519="","",TEXT(B519,"yyyy-mm"))</f>
        <v>0</v>
      </c>
      <c r="Q519" s="25">
        <f>IF(B519="","",WEEKNUM(B519,2))</f>
        <v>0</v>
      </c>
      <c r="R519" s="26">
        <f>IF(B519="","",ROUND(IF(F519="",0,F519)+IF(G519="",0,G519),2))</f>
        <v>0</v>
      </c>
      <c r="S519" s="26">
        <f>IF(B519="","",IF(I519&lt;&gt;"Yes",0,ROUND(IF(F519="",0,F519)*IF(J519="Weekly",52/12,IF(J519="Fortnightly",26/12,IF(J519="Four weekly",13/12,IF(J519="Monthly",1,IF(J519="Quarterly",1/3,IF(J519="Twice a year",1/6,IF(J519="Yearly",1/12,0))))))),2)))</f>
        <v>0</v>
      </c>
      <c r="T519" s="38">
        <f>IF(B519="","",IF(I519="Yes","Yes","No"))</f>
        <v>0</v>
      </c>
      <c r="U519" s="25">
        <f>IF(B519="","",IF(L519="Yes","",IF(K519="","",TodayDate-K519)))</f>
        <v>0</v>
      </c>
      <c r="V519" s="39">
        <f>IF(B519="","",IF(L519="Yes","Paid",IF(K519="","Pending",IF(K519&lt;TodayDate,"Overdue",IF(K519&lt;=TodayDate+7,"Due soon","Pending")))))</f>
        <v>0</v>
      </c>
      <c r="W519" s="26">
        <f>IF(B519="","",IFERROR(INDEX(BudgetAmount,MATCH(C519,BudgetCategory,0))*1,0))</f>
        <v>0</v>
      </c>
      <c r="X519" s="25">
        <f>IF(B519="","",COUNTIFS($R$5:$R$604,"&gt;"&amp;R519)+COUNTIFS($R$5:R519,R519))</f>
        <v>0</v>
      </c>
      <c r="Y519" s="39">
        <f>IF(B519="","",IF(F519="","Add - no amount",IF(C519="","Add - no category, it will miss the P&amp;L",IF(V519="Overdue","Overdue - pay it",IF(V519="Due soon","Due - coming up",IF(IF(I519="Yes",J519="",FALSE),"Add - how often does it recur?",IF(L519="Yes","OK","Pending")))))))</f>
        <v>0</v>
      </c>
    </row>
    <row r="520" spans="1:25">
      <c r="A520" s="28">
        <f>IF(B520="","",ExpensePrefix&amp;TEXT(ROW()-4,"0000"))</f>
        <v>0</v>
      </c>
      <c r="P520" s="15">
        <f>IF(B520="","",TEXT(B520,"yyyy-mm"))</f>
        <v>0</v>
      </c>
      <c r="Q520" s="25">
        <f>IF(B520="","",WEEKNUM(B520,2))</f>
        <v>0</v>
      </c>
      <c r="R520" s="26">
        <f>IF(B520="","",ROUND(IF(F520="",0,F520)+IF(G520="",0,G520),2))</f>
        <v>0</v>
      </c>
      <c r="S520" s="26">
        <f>IF(B520="","",IF(I520&lt;&gt;"Yes",0,ROUND(IF(F520="",0,F520)*IF(J520="Weekly",52/12,IF(J520="Fortnightly",26/12,IF(J520="Four weekly",13/12,IF(J520="Monthly",1,IF(J520="Quarterly",1/3,IF(J520="Twice a year",1/6,IF(J520="Yearly",1/12,0))))))),2)))</f>
        <v>0</v>
      </c>
      <c r="T520" s="38">
        <f>IF(B520="","",IF(I520="Yes","Yes","No"))</f>
        <v>0</v>
      </c>
      <c r="U520" s="25">
        <f>IF(B520="","",IF(L520="Yes","",IF(K520="","",TodayDate-K520)))</f>
        <v>0</v>
      </c>
      <c r="V520" s="39">
        <f>IF(B520="","",IF(L520="Yes","Paid",IF(K520="","Pending",IF(K520&lt;TodayDate,"Overdue",IF(K520&lt;=TodayDate+7,"Due soon","Pending")))))</f>
        <v>0</v>
      </c>
      <c r="W520" s="26">
        <f>IF(B520="","",IFERROR(INDEX(BudgetAmount,MATCH(C520,BudgetCategory,0))*1,0))</f>
        <v>0</v>
      </c>
      <c r="X520" s="25">
        <f>IF(B520="","",COUNTIFS($R$5:$R$604,"&gt;"&amp;R520)+COUNTIFS($R$5:R520,R520))</f>
        <v>0</v>
      </c>
      <c r="Y520" s="39">
        <f>IF(B520="","",IF(F520="","Add - no amount",IF(C520="","Add - no category, it will miss the P&amp;L",IF(V520="Overdue","Overdue - pay it",IF(V520="Due soon","Due - coming up",IF(IF(I520="Yes",J520="",FALSE),"Add - how often does it recur?",IF(L520="Yes","OK","Pending")))))))</f>
        <v>0</v>
      </c>
    </row>
    <row r="521" spans="1:25">
      <c r="A521" s="28">
        <f>IF(B521="","",ExpensePrefix&amp;TEXT(ROW()-4,"0000"))</f>
        <v>0</v>
      </c>
      <c r="P521" s="15">
        <f>IF(B521="","",TEXT(B521,"yyyy-mm"))</f>
        <v>0</v>
      </c>
      <c r="Q521" s="25">
        <f>IF(B521="","",WEEKNUM(B521,2))</f>
        <v>0</v>
      </c>
      <c r="R521" s="26">
        <f>IF(B521="","",ROUND(IF(F521="",0,F521)+IF(G521="",0,G521),2))</f>
        <v>0</v>
      </c>
      <c r="S521" s="26">
        <f>IF(B521="","",IF(I521&lt;&gt;"Yes",0,ROUND(IF(F521="",0,F521)*IF(J521="Weekly",52/12,IF(J521="Fortnightly",26/12,IF(J521="Four weekly",13/12,IF(J521="Monthly",1,IF(J521="Quarterly",1/3,IF(J521="Twice a year",1/6,IF(J521="Yearly",1/12,0))))))),2)))</f>
        <v>0</v>
      </c>
      <c r="T521" s="38">
        <f>IF(B521="","",IF(I521="Yes","Yes","No"))</f>
        <v>0</v>
      </c>
      <c r="U521" s="25">
        <f>IF(B521="","",IF(L521="Yes","",IF(K521="","",TodayDate-K521)))</f>
        <v>0</v>
      </c>
      <c r="V521" s="39">
        <f>IF(B521="","",IF(L521="Yes","Paid",IF(K521="","Pending",IF(K521&lt;TodayDate,"Overdue",IF(K521&lt;=TodayDate+7,"Due soon","Pending")))))</f>
        <v>0</v>
      </c>
      <c r="W521" s="26">
        <f>IF(B521="","",IFERROR(INDEX(BudgetAmount,MATCH(C521,BudgetCategory,0))*1,0))</f>
        <v>0</v>
      </c>
      <c r="X521" s="25">
        <f>IF(B521="","",COUNTIFS($R$5:$R$604,"&gt;"&amp;R521)+COUNTIFS($R$5:R521,R521))</f>
        <v>0</v>
      </c>
      <c r="Y521" s="39">
        <f>IF(B521="","",IF(F521="","Add - no amount",IF(C521="","Add - no category, it will miss the P&amp;L",IF(V521="Overdue","Overdue - pay it",IF(V521="Due soon","Due - coming up",IF(IF(I521="Yes",J521="",FALSE),"Add - how often does it recur?",IF(L521="Yes","OK","Pending")))))))</f>
        <v>0</v>
      </c>
    </row>
    <row r="522" spans="1:25">
      <c r="A522" s="28">
        <f>IF(B522="","",ExpensePrefix&amp;TEXT(ROW()-4,"0000"))</f>
        <v>0</v>
      </c>
      <c r="P522" s="15">
        <f>IF(B522="","",TEXT(B522,"yyyy-mm"))</f>
        <v>0</v>
      </c>
      <c r="Q522" s="25">
        <f>IF(B522="","",WEEKNUM(B522,2))</f>
        <v>0</v>
      </c>
      <c r="R522" s="26">
        <f>IF(B522="","",ROUND(IF(F522="",0,F522)+IF(G522="",0,G522),2))</f>
        <v>0</v>
      </c>
      <c r="S522" s="26">
        <f>IF(B522="","",IF(I522&lt;&gt;"Yes",0,ROUND(IF(F522="",0,F522)*IF(J522="Weekly",52/12,IF(J522="Fortnightly",26/12,IF(J522="Four weekly",13/12,IF(J522="Monthly",1,IF(J522="Quarterly",1/3,IF(J522="Twice a year",1/6,IF(J522="Yearly",1/12,0))))))),2)))</f>
        <v>0</v>
      </c>
      <c r="T522" s="38">
        <f>IF(B522="","",IF(I522="Yes","Yes","No"))</f>
        <v>0</v>
      </c>
      <c r="U522" s="25">
        <f>IF(B522="","",IF(L522="Yes","",IF(K522="","",TodayDate-K522)))</f>
        <v>0</v>
      </c>
      <c r="V522" s="39">
        <f>IF(B522="","",IF(L522="Yes","Paid",IF(K522="","Pending",IF(K522&lt;TodayDate,"Overdue",IF(K522&lt;=TodayDate+7,"Due soon","Pending")))))</f>
        <v>0</v>
      </c>
      <c r="W522" s="26">
        <f>IF(B522="","",IFERROR(INDEX(BudgetAmount,MATCH(C522,BudgetCategory,0))*1,0))</f>
        <v>0</v>
      </c>
      <c r="X522" s="25">
        <f>IF(B522="","",COUNTIFS($R$5:$R$604,"&gt;"&amp;R522)+COUNTIFS($R$5:R522,R522))</f>
        <v>0</v>
      </c>
      <c r="Y522" s="39">
        <f>IF(B522="","",IF(F522="","Add - no amount",IF(C522="","Add - no category, it will miss the P&amp;L",IF(V522="Overdue","Overdue - pay it",IF(V522="Due soon","Due - coming up",IF(IF(I522="Yes",J522="",FALSE),"Add - how often does it recur?",IF(L522="Yes","OK","Pending")))))))</f>
        <v>0</v>
      </c>
    </row>
    <row r="523" spans="1:25">
      <c r="A523" s="28">
        <f>IF(B523="","",ExpensePrefix&amp;TEXT(ROW()-4,"0000"))</f>
        <v>0</v>
      </c>
      <c r="P523" s="15">
        <f>IF(B523="","",TEXT(B523,"yyyy-mm"))</f>
        <v>0</v>
      </c>
      <c r="Q523" s="25">
        <f>IF(B523="","",WEEKNUM(B523,2))</f>
        <v>0</v>
      </c>
      <c r="R523" s="26">
        <f>IF(B523="","",ROUND(IF(F523="",0,F523)+IF(G523="",0,G523),2))</f>
        <v>0</v>
      </c>
      <c r="S523" s="26">
        <f>IF(B523="","",IF(I523&lt;&gt;"Yes",0,ROUND(IF(F523="",0,F523)*IF(J523="Weekly",52/12,IF(J523="Fortnightly",26/12,IF(J523="Four weekly",13/12,IF(J523="Monthly",1,IF(J523="Quarterly",1/3,IF(J523="Twice a year",1/6,IF(J523="Yearly",1/12,0))))))),2)))</f>
        <v>0</v>
      </c>
      <c r="T523" s="38">
        <f>IF(B523="","",IF(I523="Yes","Yes","No"))</f>
        <v>0</v>
      </c>
      <c r="U523" s="25">
        <f>IF(B523="","",IF(L523="Yes","",IF(K523="","",TodayDate-K523)))</f>
        <v>0</v>
      </c>
      <c r="V523" s="39">
        <f>IF(B523="","",IF(L523="Yes","Paid",IF(K523="","Pending",IF(K523&lt;TodayDate,"Overdue",IF(K523&lt;=TodayDate+7,"Due soon","Pending")))))</f>
        <v>0</v>
      </c>
      <c r="W523" s="26">
        <f>IF(B523="","",IFERROR(INDEX(BudgetAmount,MATCH(C523,BudgetCategory,0))*1,0))</f>
        <v>0</v>
      </c>
      <c r="X523" s="25">
        <f>IF(B523="","",COUNTIFS($R$5:$R$604,"&gt;"&amp;R523)+COUNTIFS($R$5:R523,R523))</f>
        <v>0</v>
      </c>
      <c r="Y523" s="39">
        <f>IF(B523="","",IF(F523="","Add - no amount",IF(C523="","Add - no category, it will miss the P&amp;L",IF(V523="Overdue","Overdue - pay it",IF(V523="Due soon","Due - coming up",IF(IF(I523="Yes",J523="",FALSE),"Add - how often does it recur?",IF(L523="Yes","OK","Pending")))))))</f>
        <v>0</v>
      </c>
    </row>
    <row r="524" spans="1:25">
      <c r="A524" s="28">
        <f>IF(B524="","",ExpensePrefix&amp;TEXT(ROW()-4,"0000"))</f>
        <v>0</v>
      </c>
      <c r="P524" s="15">
        <f>IF(B524="","",TEXT(B524,"yyyy-mm"))</f>
        <v>0</v>
      </c>
      <c r="Q524" s="25">
        <f>IF(B524="","",WEEKNUM(B524,2))</f>
        <v>0</v>
      </c>
      <c r="R524" s="26">
        <f>IF(B524="","",ROUND(IF(F524="",0,F524)+IF(G524="",0,G524),2))</f>
        <v>0</v>
      </c>
      <c r="S524" s="26">
        <f>IF(B524="","",IF(I524&lt;&gt;"Yes",0,ROUND(IF(F524="",0,F524)*IF(J524="Weekly",52/12,IF(J524="Fortnightly",26/12,IF(J524="Four weekly",13/12,IF(J524="Monthly",1,IF(J524="Quarterly",1/3,IF(J524="Twice a year",1/6,IF(J524="Yearly",1/12,0))))))),2)))</f>
        <v>0</v>
      </c>
      <c r="T524" s="38">
        <f>IF(B524="","",IF(I524="Yes","Yes","No"))</f>
        <v>0</v>
      </c>
      <c r="U524" s="25">
        <f>IF(B524="","",IF(L524="Yes","",IF(K524="","",TodayDate-K524)))</f>
        <v>0</v>
      </c>
      <c r="V524" s="39">
        <f>IF(B524="","",IF(L524="Yes","Paid",IF(K524="","Pending",IF(K524&lt;TodayDate,"Overdue",IF(K524&lt;=TodayDate+7,"Due soon","Pending")))))</f>
        <v>0</v>
      </c>
      <c r="W524" s="26">
        <f>IF(B524="","",IFERROR(INDEX(BudgetAmount,MATCH(C524,BudgetCategory,0))*1,0))</f>
        <v>0</v>
      </c>
      <c r="X524" s="25">
        <f>IF(B524="","",COUNTIFS($R$5:$R$604,"&gt;"&amp;R524)+COUNTIFS($R$5:R524,R524))</f>
        <v>0</v>
      </c>
      <c r="Y524" s="39">
        <f>IF(B524="","",IF(F524="","Add - no amount",IF(C524="","Add - no category, it will miss the P&amp;L",IF(V524="Overdue","Overdue - pay it",IF(V524="Due soon","Due - coming up",IF(IF(I524="Yes",J524="",FALSE),"Add - how often does it recur?",IF(L524="Yes","OK","Pending")))))))</f>
        <v>0</v>
      </c>
    </row>
    <row r="525" spans="1:25">
      <c r="A525" s="28">
        <f>IF(B525="","",ExpensePrefix&amp;TEXT(ROW()-4,"0000"))</f>
        <v>0</v>
      </c>
      <c r="P525" s="15">
        <f>IF(B525="","",TEXT(B525,"yyyy-mm"))</f>
        <v>0</v>
      </c>
      <c r="Q525" s="25">
        <f>IF(B525="","",WEEKNUM(B525,2))</f>
        <v>0</v>
      </c>
      <c r="R525" s="26">
        <f>IF(B525="","",ROUND(IF(F525="",0,F525)+IF(G525="",0,G525),2))</f>
        <v>0</v>
      </c>
      <c r="S525" s="26">
        <f>IF(B525="","",IF(I525&lt;&gt;"Yes",0,ROUND(IF(F525="",0,F525)*IF(J525="Weekly",52/12,IF(J525="Fortnightly",26/12,IF(J525="Four weekly",13/12,IF(J525="Monthly",1,IF(J525="Quarterly",1/3,IF(J525="Twice a year",1/6,IF(J525="Yearly",1/12,0))))))),2)))</f>
        <v>0</v>
      </c>
      <c r="T525" s="38">
        <f>IF(B525="","",IF(I525="Yes","Yes","No"))</f>
        <v>0</v>
      </c>
      <c r="U525" s="25">
        <f>IF(B525="","",IF(L525="Yes","",IF(K525="","",TodayDate-K525)))</f>
        <v>0</v>
      </c>
      <c r="V525" s="39">
        <f>IF(B525="","",IF(L525="Yes","Paid",IF(K525="","Pending",IF(K525&lt;TodayDate,"Overdue",IF(K525&lt;=TodayDate+7,"Due soon","Pending")))))</f>
        <v>0</v>
      </c>
      <c r="W525" s="26">
        <f>IF(B525="","",IFERROR(INDEX(BudgetAmount,MATCH(C525,BudgetCategory,0))*1,0))</f>
        <v>0</v>
      </c>
      <c r="X525" s="25">
        <f>IF(B525="","",COUNTIFS($R$5:$R$604,"&gt;"&amp;R525)+COUNTIFS($R$5:R525,R525))</f>
        <v>0</v>
      </c>
      <c r="Y525" s="39">
        <f>IF(B525="","",IF(F525="","Add - no amount",IF(C525="","Add - no category, it will miss the P&amp;L",IF(V525="Overdue","Overdue - pay it",IF(V525="Due soon","Due - coming up",IF(IF(I525="Yes",J525="",FALSE),"Add - how often does it recur?",IF(L525="Yes","OK","Pending")))))))</f>
        <v>0</v>
      </c>
    </row>
    <row r="526" spans="1:25">
      <c r="A526" s="28">
        <f>IF(B526="","",ExpensePrefix&amp;TEXT(ROW()-4,"0000"))</f>
        <v>0</v>
      </c>
      <c r="P526" s="15">
        <f>IF(B526="","",TEXT(B526,"yyyy-mm"))</f>
        <v>0</v>
      </c>
      <c r="Q526" s="25">
        <f>IF(B526="","",WEEKNUM(B526,2))</f>
        <v>0</v>
      </c>
      <c r="R526" s="26">
        <f>IF(B526="","",ROUND(IF(F526="",0,F526)+IF(G526="",0,G526),2))</f>
        <v>0</v>
      </c>
      <c r="S526" s="26">
        <f>IF(B526="","",IF(I526&lt;&gt;"Yes",0,ROUND(IF(F526="",0,F526)*IF(J526="Weekly",52/12,IF(J526="Fortnightly",26/12,IF(J526="Four weekly",13/12,IF(J526="Monthly",1,IF(J526="Quarterly",1/3,IF(J526="Twice a year",1/6,IF(J526="Yearly",1/12,0))))))),2)))</f>
        <v>0</v>
      </c>
      <c r="T526" s="38">
        <f>IF(B526="","",IF(I526="Yes","Yes","No"))</f>
        <v>0</v>
      </c>
      <c r="U526" s="25">
        <f>IF(B526="","",IF(L526="Yes","",IF(K526="","",TodayDate-K526)))</f>
        <v>0</v>
      </c>
      <c r="V526" s="39">
        <f>IF(B526="","",IF(L526="Yes","Paid",IF(K526="","Pending",IF(K526&lt;TodayDate,"Overdue",IF(K526&lt;=TodayDate+7,"Due soon","Pending")))))</f>
        <v>0</v>
      </c>
      <c r="W526" s="26">
        <f>IF(B526="","",IFERROR(INDEX(BudgetAmount,MATCH(C526,BudgetCategory,0))*1,0))</f>
        <v>0</v>
      </c>
      <c r="X526" s="25">
        <f>IF(B526="","",COUNTIFS($R$5:$R$604,"&gt;"&amp;R526)+COUNTIFS($R$5:R526,R526))</f>
        <v>0</v>
      </c>
      <c r="Y526" s="39">
        <f>IF(B526="","",IF(F526="","Add - no amount",IF(C526="","Add - no category, it will miss the P&amp;L",IF(V526="Overdue","Overdue - pay it",IF(V526="Due soon","Due - coming up",IF(IF(I526="Yes",J526="",FALSE),"Add - how often does it recur?",IF(L526="Yes","OK","Pending")))))))</f>
        <v>0</v>
      </c>
    </row>
    <row r="527" spans="1:25">
      <c r="A527" s="28">
        <f>IF(B527="","",ExpensePrefix&amp;TEXT(ROW()-4,"0000"))</f>
        <v>0</v>
      </c>
      <c r="P527" s="15">
        <f>IF(B527="","",TEXT(B527,"yyyy-mm"))</f>
        <v>0</v>
      </c>
      <c r="Q527" s="25">
        <f>IF(B527="","",WEEKNUM(B527,2))</f>
        <v>0</v>
      </c>
      <c r="R527" s="26">
        <f>IF(B527="","",ROUND(IF(F527="",0,F527)+IF(G527="",0,G527),2))</f>
        <v>0</v>
      </c>
      <c r="S527" s="26">
        <f>IF(B527="","",IF(I527&lt;&gt;"Yes",0,ROUND(IF(F527="",0,F527)*IF(J527="Weekly",52/12,IF(J527="Fortnightly",26/12,IF(J527="Four weekly",13/12,IF(J527="Monthly",1,IF(J527="Quarterly",1/3,IF(J527="Twice a year",1/6,IF(J527="Yearly",1/12,0))))))),2)))</f>
        <v>0</v>
      </c>
      <c r="T527" s="38">
        <f>IF(B527="","",IF(I527="Yes","Yes","No"))</f>
        <v>0</v>
      </c>
      <c r="U527" s="25">
        <f>IF(B527="","",IF(L527="Yes","",IF(K527="","",TodayDate-K527)))</f>
        <v>0</v>
      </c>
      <c r="V527" s="39">
        <f>IF(B527="","",IF(L527="Yes","Paid",IF(K527="","Pending",IF(K527&lt;TodayDate,"Overdue",IF(K527&lt;=TodayDate+7,"Due soon","Pending")))))</f>
        <v>0</v>
      </c>
      <c r="W527" s="26">
        <f>IF(B527="","",IFERROR(INDEX(BudgetAmount,MATCH(C527,BudgetCategory,0))*1,0))</f>
        <v>0</v>
      </c>
      <c r="X527" s="25">
        <f>IF(B527="","",COUNTIFS($R$5:$R$604,"&gt;"&amp;R527)+COUNTIFS($R$5:R527,R527))</f>
        <v>0</v>
      </c>
      <c r="Y527" s="39">
        <f>IF(B527="","",IF(F527="","Add - no amount",IF(C527="","Add - no category, it will miss the P&amp;L",IF(V527="Overdue","Overdue - pay it",IF(V527="Due soon","Due - coming up",IF(IF(I527="Yes",J527="",FALSE),"Add - how often does it recur?",IF(L527="Yes","OK","Pending")))))))</f>
        <v>0</v>
      </c>
    </row>
    <row r="528" spans="1:25">
      <c r="A528" s="28">
        <f>IF(B528="","",ExpensePrefix&amp;TEXT(ROW()-4,"0000"))</f>
        <v>0</v>
      </c>
      <c r="P528" s="15">
        <f>IF(B528="","",TEXT(B528,"yyyy-mm"))</f>
        <v>0</v>
      </c>
      <c r="Q528" s="25">
        <f>IF(B528="","",WEEKNUM(B528,2))</f>
        <v>0</v>
      </c>
      <c r="R528" s="26">
        <f>IF(B528="","",ROUND(IF(F528="",0,F528)+IF(G528="",0,G528),2))</f>
        <v>0</v>
      </c>
      <c r="S528" s="26">
        <f>IF(B528="","",IF(I528&lt;&gt;"Yes",0,ROUND(IF(F528="",0,F528)*IF(J528="Weekly",52/12,IF(J528="Fortnightly",26/12,IF(J528="Four weekly",13/12,IF(J528="Monthly",1,IF(J528="Quarterly",1/3,IF(J528="Twice a year",1/6,IF(J528="Yearly",1/12,0))))))),2)))</f>
        <v>0</v>
      </c>
      <c r="T528" s="38">
        <f>IF(B528="","",IF(I528="Yes","Yes","No"))</f>
        <v>0</v>
      </c>
      <c r="U528" s="25">
        <f>IF(B528="","",IF(L528="Yes","",IF(K528="","",TodayDate-K528)))</f>
        <v>0</v>
      </c>
      <c r="V528" s="39">
        <f>IF(B528="","",IF(L528="Yes","Paid",IF(K528="","Pending",IF(K528&lt;TodayDate,"Overdue",IF(K528&lt;=TodayDate+7,"Due soon","Pending")))))</f>
        <v>0</v>
      </c>
      <c r="W528" s="26">
        <f>IF(B528="","",IFERROR(INDEX(BudgetAmount,MATCH(C528,BudgetCategory,0))*1,0))</f>
        <v>0</v>
      </c>
      <c r="X528" s="25">
        <f>IF(B528="","",COUNTIFS($R$5:$R$604,"&gt;"&amp;R528)+COUNTIFS($R$5:R528,R528))</f>
        <v>0</v>
      </c>
      <c r="Y528" s="39">
        <f>IF(B528="","",IF(F528="","Add - no amount",IF(C528="","Add - no category, it will miss the P&amp;L",IF(V528="Overdue","Overdue - pay it",IF(V528="Due soon","Due - coming up",IF(IF(I528="Yes",J528="",FALSE),"Add - how often does it recur?",IF(L528="Yes","OK","Pending")))))))</f>
        <v>0</v>
      </c>
    </row>
    <row r="529" spans="1:25">
      <c r="A529" s="28">
        <f>IF(B529="","",ExpensePrefix&amp;TEXT(ROW()-4,"0000"))</f>
        <v>0</v>
      </c>
      <c r="P529" s="15">
        <f>IF(B529="","",TEXT(B529,"yyyy-mm"))</f>
        <v>0</v>
      </c>
      <c r="Q529" s="25">
        <f>IF(B529="","",WEEKNUM(B529,2))</f>
        <v>0</v>
      </c>
      <c r="R529" s="26">
        <f>IF(B529="","",ROUND(IF(F529="",0,F529)+IF(G529="",0,G529),2))</f>
        <v>0</v>
      </c>
      <c r="S529" s="26">
        <f>IF(B529="","",IF(I529&lt;&gt;"Yes",0,ROUND(IF(F529="",0,F529)*IF(J529="Weekly",52/12,IF(J529="Fortnightly",26/12,IF(J529="Four weekly",13/12,IF(J529="Monthly",1,IF(J529="Quarterly",1/3,IF(J529="Twice a year",1/6,IF(J529="Yearly",1/12,0))))))),2)))</f>
        <v>0</v>
      </c>
      <c r="T529" s="38">
        <f>IF(B529="","",IF(I529="Yes","Yes","No"))</f>
        <v>0</v>
      </c>
      <c r="U529" s="25">
        <f>IF(B529="","",IF(L529="Yes","",IF(K529="","",TodayDate-K529)))</f>
        <v>0</v>
      </c>
      <c r="V529" s="39">
        <f>IF(B529="","",IF(L529="Yes","Paid",IF(K529="","Pending",IF(K529&lt;TodayDate,"Overdue",IF(K529&lt;=TodayDate+7,"Due soon","Pending")))))</f>
        <v>0</v>
      </c>
      <c r="W529" s="26">
        <f>IF(B529="","",IFERROR(INDEX(BudgetAmount,MATCH(C529,BudgetCategory,0))*1,0))</f>
        <v>0</v>
      </c>
      <c r="X529" s="25">
        <f>IF(B529="","",COUNTIFS($R$5:$R$604,"&gt;"&amp;R529)+COUNTIFS($R$5:R529,R529))</f>
        <v>0</v>
      </c>
      <c r="Y529" s="39">
        <f>IF(B529="","",IF(F529="","Add - no amount",IF(C529="","Add - no category, it will miss the P&amp;L",IF(V529="Overdue","Overdue - pay it",IF(V529="Due soon","Due - coming up",IF(IF(I529="Yes",J529="",FALSE),"Add - how often does it recur?",IF(L529="Yes","OK","Pending")))))))</f>
        <v>0</v>
      </c>
    </row>
    <row r="530" spans="1:25">
      <c r="A530" s="28">
        <f>IF(B530="","",ExpensePrefix&amp;TEXT(ROW()-4,"0000"))</f>
        <v>0</v>
      </c>
      <c r="P530" s="15">
        <f>IF(B530="","",TEXT(B530,"yyyy-mm"))</f>
        <v>0</v>
      </c>
      <c r="Q530" s="25">
        <f>IF(B530="","",WEEKNUM(B530,2))</f>
        <v>0</v>
      </c>
      <c r="R530" s="26">
        <f>IF(B530="","",ROUND(IF(F530="",0,F530)+IF(G530="",0,G530),2))</f>
        <v>0</v>
      </c>
      <c r="S530" s="26">
        <f>IF(B530="","",IF(I530&lt;&gt;"Yes",0,ROUND(IF(F530="",0,F530)*IF(J530="Weekly",52/12,IF(J530="Fortnightly",26/12,IF(J530="Four weekly",13/12,IF(J530="Monthly",1,IF(J530="Quarterly",1/3,IF(J530="Twice a year",1/6,IF(J530="Yearly",1/12,0))))))),2)))</f>
        <v>0</v>
      </c>
      <c r="T530" s="38">
        <f>IF(B530="","",IF(I530="Yes","Yes","No"))</f>
        <v>0</v>
      </c>
      <c r="U530" s="25">
        <f>IF(B530="","",IF(L530="Yes","",IF(K530="","",TodayDate-K530)))</f>
        <v>0</v>
      </c>
      <c r="V530" s="39">
        <f>IF(B530="","",IF(L530="Yes","Paid",IF(K530="","Pending",IF(K530&lt;TodayDate,"Overdue",IF(K530&lt;=TodayDate+7,"Due soon","Pending")))))</f>
        <v>0</v>
      </c>
      <c r="W530" s="26">
        <f>IF(B530="","",IFERROR(INDEX(BudgetAmount,MATCH(C530,BudgetCategory,0))*1,0))</f>
        <v>0</v>
      </c>
      <c r="X530" s="25">
        <f>IF(B530="","",COUNTIFS($R$5:$R$604,"&gt;"&amp;R530)+COUNTIFS($R$5:R530,R530))</f>
        <v>0</v>
      </c>
      <c r="Y530" s="39">
        <f>IF(B530="","",IF(F530="","Add - no amount",IF(C530="","Add - no category, it will miss the P&amp;L",IF(V530="Overdue","Overdue - pay it",IF(V530="Due soon","Due - coming up",IF(IF(I530="Yes",J530="",FALSE),"Add - how often does it recur?",IF(L530="Yes","OK","Pending")))))))</f>
        <v>0</v>
      </c>
    </row>
    <row r="531" spans="1:25">
      <c r="A531" s="28">
        <f>IF(B531="","",ExpensePrefix&amp;TEXT(ROW()-4,"0000"))</f>
        <v>0</v>
      </c>
      <c r="P531" s="15">
        <f>IF(B531="","",TEXT(B531,"yyyy-mm"))</f>
        <v>0</v>
      </c>
      <c r="Q531" s="25">
        <f>IF(B531="","",WEEKNUM(B531,2))</f>
        <v>0</v>
      </c>
      <c r="R531" s="26">
        <f>IF(B531="","",ROUND(IF(F531="",0,F531)+IF(G531="",0,G531),2))</f>
        <v>0</v>
      </c>
      <c r="S531" s="26">
        <f>IF(B531="","",IF(I531&lt;&gt;"Yes",0,ROUND(IF(F531="",0,F531)*IF(J531="Weekly",52/12,IF(J531="Fortnightly",26/12,IF(J531="Four weekly",13/12,IF(J531="Monthly",1,IF(J531="Quarterly",1/3,IF(J531="Twice a year",1/6,IF(J531="Yearly",1/12,0))))))),2)))</f>
        <v>0</v>
      </c>
      <c r="T531" s="38">
        <f>IF(B531="","",IF(I531="Yes","Yes","No"))</f>
        <v>0</v>
      </c>
      <c r="U531" s="25">
        <f>IF(B531="","",IF(L531="Yes","",IF(K531="","",TodayDate-K531)))</f>
        <v>0</v>
      </c>
      <c r="V531" s="39">
        <f>IF(B531="","",IF(L531="Yes","Paid",IF(K531="","Pending",IF(K531&lt;TodayDate,"Overdue",IF(K531&lt;=TodayDate+7,"Due soon","Pending")))))</f>
        <v>0</v>
      </c>
      <c r="W531" s="26">
        <f>IF(B531="","",IFERROR(INDEX(BudgetAmount,MATCH(C531,BudgetCategory,0))*1,0))</f>
        <v>0</v>
      </c>
      <c r="X531" s="25">
        <f>IF(B531="","",COUNTIFS($R$5:$R$604,"&gt;"&amp;R531)+COUNTIFS($R$5:R531,R531))</f>
        <v>0</v>
      </c>
      <c r="Y531" s="39">
        <f>IF(B531="","",IF(F531="","Add - no amount",IF(C531="","Add - no category, it will miss the P&amp;L",IF(V531="Overdue","Overdue - pay it",IF(V531="Due soon","Due - coming up",IF(IF(I531="Yes",J531="",FALSE),"Add - how often does it recur?",IF(L531="Yes","OK","Pending")))))))</f>
        <v>0</v>
      </c>
    </row>
    <row r="532" spans="1:25">
      <c r="A532" s="28">
        <f>IF(B532="","",ExpensePrefix&amp;TEXT(ROW()-4,"0000"))</f>
        <v>0</v>
      </c>
      <c r="P532" s="15">
        <f>IF(B532="","",TEXT(B532,"yyyy-mm"))</f>
        <v>0</v>
      </c>
      <c r="Q532" s="25">
        <f>IF(B532="","",WEEKNUM(B532,2))</f>
        <v>0</v>
      </c>
      <c r="R532" s="26">
        <f>IF(B532="","",ROUND(IF(F532="",0,F532)+IF(G532="",0,G532),2))</f>
        <v>0</v>
      </c>
      <c r="S532" s="26">
        <f>IF(B532="","",IF(I532&lt;&gt;"Yes",0,ROUND(IF(F532="",0,F532)*IF(J532="Weekly",52/12,IF(J532="Fortnightly",26/12,IF(J532="Four weekly",13/12,IF(J532="Monthly",1,IF(J532="Quarterly",1/3,IF(J532="Twice a year",1/6,IF(J532="Yearly",1/12,0))))))),2)))</f>
        <v>0</v>
      </c>
      <c r="T532" s="38">
        <f>IF(B532="","",IF(I532="Yes","Yes","No"))</f>
        <v>0</v>
      </c>
      <c r="U532" s="25">
        <f>IF(B532="","",IF(L532="Yes","",IF(K532="","",TodayDate-K532)))</f>
        <v>0</v>
      </c>
      <c r="V532" s="39">
        <f>IF(B532="","",IF(L532="Yes","Paid",IF(K532="","Pending",IF(K532&lt;TodayDate,"Overdue",IF(K532&lt;=TodayDate+7,"Due soon","Pending")))))</f>
        <v>0</v>
      </c>
      <c r="W532" s="26">
        <f>IF(B532="","",IFERROR(INDEX(BudgetAmount,MATCH(C532,BudgetCategory,0))*1,0))</f>
        <v>0</v>
      </c>
      <c r="X532" s="25">
        <f>IF(B532="","",COUNTIFS($R$5:$R$604,"&gt;"&amp;R532)+COUNTIFS($R$5:R532,R532))</f>
        <v>0</v>
      </c>
      <c r="Y532" s="39">
        <f>IF(B532="","",IF(F532="","Add - no amount",IF(C532="","Add - no category, it will miss the P&amp;L",IF(V532="Overdue","Overdue - pay it",IF(V532="Due soon","Due - coming up",IF(IF(I532="Yes",J532="",FALSE),"Add - how often does it recur?",IF(L532="Yes","OK","Pending")))))))</f>
        <v>0</v>
      </c>
    </row>
    <row r="533" spans="1:25">
      <c r="A533" s="28">
        <f>IF(B533="","",ExpensePrefix&amp;TEXT(ROW()-4,"0000"))</f>
        <v>0</v>
      </c>
      <c r="P533" s="15">
        <f>IF(B533="","",TEXT(B533,"yyyy-mm"))</f>
        <v>0</v>
      </c>
      <c r="Q533" s="25">
        <f>IF(B533="","",WEEKNUM(B533,2))</f>
        <v>0</v>
      </c>
      <c r="R533" s="26">
        <f>IF(B533="","",ROUND(IF(F533="",0,F533)+IF(G533="",0,G533),2))</f>
        <v>0</v>
      </c>
      <c r="S533" s="26">
        <f>IF(B533="","",IF(I533&lt;&gt;"Yes",0,ROUND(IF(F533="",0,F533)*IF(J533="Weekly",52/12,IF(J533="Fortnightly",26/12,IF(J533="Four weekly",13/12,IF(J533="Monthly",1,IF(J533="Quarterly",1/3,IF(J533="Twice a year",1/6,IF(J533="Yearly",1/12,0))))))),2)))</f>
        <v>0</v>
      </c>
      <c r="T533" s="38">
        <f>IF(B533="","",IF(I533="Yes","Yes","No"))</f>
        <v>0</v>
      </c>
      <c r="U533" s="25">
        <f>IF(B533="","",IF(L533="Yes","",IF(K533="","",TodayDate-K533)))</f>
        <v>0</v>
      </c>
      <c r="V533" s="39">
        <f>IF(B533="","",IF(L533="Yes","Paid",IF(K533="","Pending",IF(K533&lt;TodayDate,"Overdue",IF(K533&lt;=TodayDate+7,"Due soon","Pending")))))</f>
        <v>0</v>
      </c>
      <c r="W533" s="26">
        <f>IF(B533="","",IFERROR(INDEX(BudgetAmount,MATCH(C533,BudgetCategory,0))*1,0))</f>
        <v>0</v>
      </c>
      <c r="X533" s="25">
        <f>IF(B533="","",COUNTIFS($R$5:$R$604,"&gt;"&amp;R533)+COUNTIFS($R$5:R533,R533))</f>
        <v>0</v>
      </c>
      <c r="Y533" s="39">
        <f>IF(B533="","",IF(F533="","Add - no amount",IF(C533="","Add - no category, it will miss the P&amp;L",IF(V533="Overdue","Overdue - pay it",IF(V533="Due soon","Due - coming up",IF(IF(I533="Yes",J533="",FALSE),"Add - how often does it recur?",IF(L533="Yes","OK","Pending")))))))</f>
        <v>0</v>
      </c>
    </row>
    <row r="534" spans="1:25">
      <c r="A534" s="28">
        <f>IF(B534="","",ExpensePrefix&amp;TEXT(ROW()-4,"0000"))</f>
        <v>0</v>
      </c>
      <c r="P534" s="15">
        <f>IF(B534="","",TEXT(B534,"yyyy-mm"))</f>
        <v>0</v>
      </c>
      <c r="Q534" s="25">
        <f>IF(B534="","",WEEKNUM(B534,2))</f>
        <v>0</v>
      </c>
      <c r="R534" s="26">
        <f>IF(B534="","",ROUND(IF(F534="",0,F534)+IF(G534="",0,G534),2))</f>
        <v>0</v>
      </c>
      <c r="S534" s="26">
        <f>IF(B534="","",IF(I534&lt;&gt;"Yes",0,ROUND(IF(F534="",0,F534)*IF(J534="Weekly",52/12,IF(J534="Fortnightly",26/12,IF(J534="Four weekly",13/12,IF(J534="Monthly",1,IF(J534="Quarterly",1/3,IF(J534="Twice a year",1/6,IF(J534="Yearly",1/12,0))))))),2)))</f>
        <v>0</v>
      </c>
      <c r="T534" s="38">
        <f>IF(B534="","",IF(I534="Yes","Yes","No"))</f>
        <v>0</v>
      </c>
      <c r="U534" s="25">
        <f>IF(B534="","",IF(L534="Yes","",IF(K534="","",TodayDate-K534)))</f>
        <v>0</v>
      </c>
      <c r="V534" s="39">
        <f>IF(B534="","",IF(L534="Yes","Paid",IF(K534="","Pending",IF(K534&lt;TodayDate,"Overdue",IF(K534&lt;=TodayDate+7,"Due soon","Pending")))))</f>
        <v>0</v>
      </c>
      <c r="W534" s="26">
        <f>IF(B534="","",IFERROR(INDEX(BudgetAmount,MATCH(C534,BudgetCategory,0))*1,0))</f>
        <v>0</v>
      </c>
      <c r="X534" s="25">
        <f>IF(B534="","",COUNTIFS($R$5:$R$604,"&gt;"&amp;R534)+COUNTIFS($R$5:R534,R534))</f>
        <v>0</v>
      </c>
      <c r="Y534" s="39">
        <f>IF(B534="","",IF(F534="","Add - no amount",IF(C534="","Add - no category, it will miss the P&amp;L",IF(V534="Overdue","Overdue - pay it",IF(V534="Due soon","Due - coming up",IF(IF(I534="Yes",J534="",FALSE),"Add - how often does it recur?",IF(L534="Yes","OK","Pending")))))))</f>
        <v>0</v>
      </c>
    </row>
    <row r="535" spans="1:25">
      <c r="A535" s="28">
        <f>IF(B535="","",ExpensePrefix&amp;TEXT(ROW()-4,"0000"))</f>
        <v>0</v>
      </c>
      <c r="P535" s="15">
        <f>IF(B535="","",TEXT(B535,"yyyy-mm"))</f>
        <v>0</v>
      </c>
      <c r="Q535" s="25">
        <f>IF(B535="","",WEEKNUM(B535,2))</f>
        <v>0</v>
      </c>
      <c r="R535" s="26">
        <f>IF(B535="","",ROUND(IF(F535="",0,F535)+IF(G535="",0,G535),2))</f>
        <v>0</v>
      </c>
      <c r="S535" s="26">
        <f>IF(B535="","",IF(I535&lt;&gt;"Yes",0,ROUND(IF(F535="",0,F535)*IF(J535="Weekly",52/12,IF(J535="Fortnightly",26/12,IF(J535="Four weekly",13/12,IF(J535="Monthly",1,IF(J535="Quarterly",1/3,IF(J535="Twice a year",1/6,IF(J535="Yearly",1/12,0))))))),2)))</f>
        <v>0</v>
      </c>
      <c r="T535" s="38">
        <f>IF(B535="","",IF(I535="Yes","Yes","No"))</f>
        <v>0</v>
      </c>
      <c r="U535" s="25">
        <f>IF(B535="","",IF(L535="Yes","",IF(K535="","",TodayDate-K535)))</f>
        <v>0</v>
      </c>
      <c r="V535" s="39">
        <f>IF(B535="","",IF(L535="Yes","Paid",IF(K535="","Pending",IF(K535&lt;TodayDate,"Overdue",IF(K535&lt;=TodayDate+7,"Due soon","Pending")))))</f>
        <v>0</v>
      </c>
      <c r="W535" s="26">
        <f>IF(B535="","",IFERROR(INDEX(BudgetAmount,MATCH(C535,BudgetCategory,0))*1,0))</f>
        <v>0</v>
      </c>
      <c r="X535" s="25">
        <f>IF(B535="","",COUNTIFS($R$5:$R$604,"&gt;"&amp;R535)+COUNTIFS($R$5:R535,R535))</f>
        <v>0</v>
      </c>
      <c r="Y535" s="39">
        <f>IF(B535="","",IF(F535="","Add - no amount",IF(C535="","Add - no category, it will miss the P&amp;L",IF(V535="Overdue","Overdue - pay it",IF(V535="Due soon","Due - coming up",IF(IF(I535="Yes",J535="",FALSE),"Add - how often does it recur?",IF(L535="Yes","OK","Pending")))))))</f>
        <v>0</v>
      </c>
    </row>
    <row r="536" spans="1:25">
      <c r="A536" s="28">
        <f>IF(B536="","",ExpensePrefix&amp;TEXT(ROW()-4,"0000"))</f>
        <v>0</v>
      </c>
      <c r="P536" s="15">
        <f>IF(B536="","",TEXT(B536,"yyyy-mm"))</f>
        <v>0</v>
      </c>
      <c r="Q536" s="25">
        <f>IF(B536="","",WEEKNUM(B536,2))</f>
        <v>0</v>
      </c>
      <c r="R536" s="26">
        <f>IF(B536="","",ROUND(IF(F536="",0,F536)+IF(G536="",0,G536),2))</f>
        <v>0</v>
      </c>
      <c r="S536" s="26">
        <f>IF(B536="","",IF(I536&lt;&gt;"Yes",0,ROUND(IF(F536="",0,F536)*IF(J536="Weekly",52/12,IF(J536="Fortnightly",26/12,IF(J536="Four weekly",13/12,IF(J536="Monthly",1,IF(J536="Quarterly",1/3,IF(J536="Twice a year",1/6,IF(J536="Yearly",1/12,0))))))),2)))</f>
        <v>0</v>
      </c>
      <c r="T536" s="38">
        <f>IF(B536="","",IF(I536="Yes","Yes","No"))</f>
        <v>0</v>
      </c>
      <c r="U536" s="25">
        <f>IF(B536="","",IF(L536="Yes","",IF(K536="","",TodayDate-K536)))</f>
        <v>0</v>
      </c>
      <c r="V536" s="39">
        <f>IF(B536="","",IF(L536="Yes","Paid",IF(K536="","Pending",IF(K536&lt;TodayDate,"Overdue",IF(K536&lt;=TodayDate+7,"Due soon","Pending")))))</f>
        <v>0</v>
      </c>
      <c r="W536" s="26">
        <f>IF(B536="","",IFERROR(INDEX(BudgetAmount,MATCH(C536,BudgetCategory,0))*1,0))</f>
        <v>0</v>
      </c>
      <c r="X536" s="25">
        <f>IF(B536="","",COUNTIFS($R$5:$R$604,"&gt;"&amp;R536)+COUNTIFS($R$5:R536,R536))</f>
        <v>0</v>
      </c>
      <c r="Y536" s="39">
        <f>IF(B536="","",IF(F536="","Add - no amount",IF(C536="","Add - no category, it will miss the P&amp;L",IF(V536="Overdue","Overdue - pay it",IF(V536="Due soon","Due - coming up",IF(IF(I536="Yes",J536="",FALSE),"Add - how often does it recur?",IF(L536="Yes","OK","Pending")))))))</f>
        <v>0</v>
      </c>
    </row>
    <row r="537" spans="1:25">
      <c r="A537" s="28">
        <f>IF(B537="","",ExpensePrefix&amp;TEXT(ROW()-4,"0000"))</f>
        <v>0</v>
      </c>
      <c r="P537" s="15">
        <f>IF(B537="","",TEXT(B537,"yyyy-mm"))</f>
        <v>0</v>
      </c>
      <c r="Q537" s="25">
        <f>IF(B537="","",WEEKNUM(B537,2))</f>
        <v>0</v>
      </c>
      <c r="R537" s="26">
        <f>IF(B537="","",ROUND(IF(F537="",0,F537)+IF(G537="",0,G537),2))</f>
        <v>0</v>
      </c>
      <c r="S537" s="26">
        <f>IF(B537="","",IF(I537&lt;&gt;"Yes",0,ROUND(IF(F537="",0,F537)*IF(J537="Weekly",52/12,IF(J537="Fortnightly",26/12,IF(J537="Four weekly",13/12,IF(J537="Monthly",1,IF(J537="Quarterly",1/3,IF(J537="Twice a year",1/6,IF(J537="Yearly",1/12,0))))))),2)))</f>
        <v>0</v>
      </c>
      <c r="T537" s="38">
        <f>IF(B537="","",IF(I537="Yes","Yes","No"))</f>
        <v>0</v>
      </c>
      <c r="U537" s="25">
        <f>IF(B537="","",IF(L537="Yes","",IF(K537="","",TodayDate-K537)))</f>
        <v>0</v>
      </c>
      <c r="V537" s="39">
        <f>IF(B537="","",IF(L537="Yes","Paid",IF(K537="","Pending",IF(K537&lt;TodayDate,"Overdue",IF(K537&lt;=TodayDate+7,"Due soon","Pending")))))</f>
        <v>0</v>
      </c>
      <c r="W537" s="26">
        <f>IF(B537="","",IFERROR(INDEX(BudgetAmount,MATCH(C537,BudgetCategory,0))*1,0))</f>
        <v>0</v>
      </c>
      <c r="X537" s="25">
        <f>IF(B537="","",COUNTIFS($R$5:$R$604,"&gt;"&amp;R537)+COUNTIFS($R$5:R537,R537))</f>
        <v>0</v>
      </c>
      <c r="Y537" s="39">
        <f>IF(B537="","",IF(F537="","Add - no amount",IF(C537="","Add - no category, it will miss the P&amp;L",IF(V537="Overdue","Overdue - pay it",IF(V537="Due soon","Due - coming up",IF(IF(I537="Yes",J537="",FALSE),"Add - how often does it recur?",IF(L537="Yes","OK","Pending")))))))</f>
        <v>0</v>
      </c>
    </row>
    <row r="538" spans="1:25">
      <c r="A538" s="28">
        <f>IF(B538="","",ExpensePrefix&amp;TEXT(ROW()-4,"0000"))</f>
        <v>0</v>
      </c>
      <c r="P538" s="15">
        <f>IF(B538="","",TEXT(B538,"yyyy-mm"))</f>
        <v>0</v>
      </c>
      <c r="Q538" s="25">
        <f>IF(B538="","",WEEKNUM(B538,2))</f>
        <v>0</v>
      </c>
      <c r="R538" s="26">
        <f>IF(B538="","",ROUND(IF(F538="",0,F538)+IF(G538="",0,G538),2))</f>
        <v>0</v>
      </c>
      <c r="S538" s="26">
        <f>IF(B538="","",IF(I538&lt;&gt;"Yes",0,ROUND(IF(F538="",0,F538)*IF(J538="Weekly",52/12,IF(J538="Fortnightly",26/12,IF(J538="Four weekly",13/12,IF(J538="Monthly",1,IF(J538="Quarterly",1/3,IF(J538="Twice a year",1/6,IF(J538="Yearly",1/12,0))))))),2)))</f>
        <v>0</v>
      </c>
      <c r="T538" s="38">
        <f>IF(B538="","",IF(I538="Yes","Yes","No"))</f>
        <v>0</v>
      </c>
      <c r="U538" s="25">
        <f>IF(B538="","",IF(L538="Yes","",IF(K538="","",TodayDate-K538)))</f>
        <v>0</v>
      </c>
      <c r="V538" s="39">
        <f>IF(B538="","",IF(L538="Yes","Paid",IF(K538="","Pending",IF(K538&lt;TodayDate,"Overdue",IF(K538&lt;=TodayDate+7,"Due soon","Pending")))))</f>
        <v>0</v>
      </c>
      <c r="W538" s="26">
        <f>IF(B538="","",IFERROR(INDEX(BudgetAmount,MATCH(C538,BudgetCategory,0))*1,0))</f>
        <v>0</v>
      </c>
      <c r="X538" s="25">
        <f>IF(B538="","",COUNTIFS($R$5:$R$604,"&gt;"&amp;R538)+COUNTIFS($R$5:R538,R538))</f>
        <v>0</v>
      </c>
      <c r="Y538" s="39">
        <f>IF(B538="","",IF(F538="","Add - no amount",IF(C538="","Add - no category, it will miss the P&amp;L",IF(V538="Overdue","Overdue - pay it",IF(V538="Due soon","Due - coming up",IF(IF(I538="Yes",J538="",FALSE),"Add - how often does it recur?",IF(L538="Yes","OK","Pending")))))))</f>
        <v>0</v>
      </c>
    </row>
    <row r="539" spans="1:25">
      <c r="A539" s="28">
        <f>IF(B539="","",ExpensePrefix&amp;TEXT(ROW()-4,"0000"))</f>
        <v>0</v>
      </c>
      <c r="P539" s="15">
        <f>IF(B539="","",TEXT(B539,"yyyy-mm"))</f>
        <v>0</v>
      </c>
      <c r="Q539" s="25">
        <f>IF(B539="","",WEEKNUM(B539,2))</f>
        <v>0</v>
      </c>
      <c r="R539" s="26">
        <f>IF(B539="","",ROUND(IF(F539="",0,F539)+IF(G539="",0,G539),2))</f>
        <v>0</v>
      </c>
      <c r="S539" s="26">
        <f>IF(B539="","",IF(I539&lt;&gt;"Yes",0,ROUND(IF(F539="",0,F539)*IF(J539="Weekly",52/12,IF(J539="Fortnightly",26/12,IF(J539="Four weekly",13/12,IF(J539="Monthly",1,IF(J539="Quarterly",1/3,IF(J539="Twice a year",1/6,IF(J539="Yearly",1/12,0))))))),2)))</f>
        <v>0</v>
      </c>
      <c r="T539" s="38">
        <f>IF(B539="","",IF(I539="Yes","Yes","No"))</f>
        <v>0</v>
      </c>
      <c r="U539" s="25">
        <f>IF(B539="","",IF(L539="Yes","",IF(K539="","",TodayDate-K539)))</f>
        <v>0</v>
      </c>
      <c r="V539" s="39">
        <f>IF(B539="","",IF(L539="Yes","Paid",IF(K539="","Pending",IF(K539&lt;TodayDate,"Overdue",IF(K539&lt;=TodayDate+7,"Due soon","Pending")))))</f>
        <v>0</v>
      </c>
      <c r="W539" s="26">
        <f>IF(B539="","",IFERROR(INDEX(BudgetAmount,MATCH(C539,BudgetCategory,0))*1,0))</f>
        <v>0</v>
      </c>
      <c r="X539" s="25">
        <f>IF(B539="","",COUNTIFS($R$5:$R$604,"&gt;"&amp;R539)+COUNTIFS($R$5:R539,R539))</f>
        <v>0</v>
      </c>
      <c r="Y539" s="39">
        <f>IF(B539="","",IF(F539="","Add - no amount",IF(C539="","Add - no category, it will miss the P&amp;L",IF(V539="Overdue","Overdue - pay it",IF(V539="Due soon","Due - coming up",IF(IF(I539="Yes",J539="",FALSE),"Add - how often does it recur?",IF(L539="Yes","OK","Pending")))))))</f>
        <v>0</v>
      </c>
    </row>
    <row r="540" spans="1:25">
      <c r="A540" s="28">
        <f>IF(B540="","",ExpensePrefix&amp;TEXT(ROW()-4,"0000"))</f>
        <v>0</v>
      </c>
      <c r="P540" s="15">
        <f>IF(B540="","",TEXT(B540,"yyyy-mm"))</f>
        <v>0</v>
      </c>
      <c r="Q540" s="25">
        <f>IF(B540="","",WEEKNUM(B540,2))</f>
        <v>0</v>
      </c>
      <c r="R540" s="26">
        <f>IF(B540="","",ROUND(IF(F540="",0,F540)+IF(G540="",0,G540),2))</f>
        <v>0</v>
      </c>
      <c r="S540" s="26">
        <f>IF(B540="","",IF(I540&lt;&gt;"Yes",0,ROUND(IF(F540="",0,F540)*IF(J540="Weekly",52/12,IF(J540="Fortnightly",26/12,IF(J540="Four weekly",13/12,IF(J540="Monthly",1,IF(J540="Quarterly",1/3,IF(J540="Twice a year",1/6,IF(J540="Yearly",1/12,0))))))),2)))</f>
        <v>0</v>
      </c>
      <c r="T540" s="38">
        <f>IF(B540="","",IF(I540="Yes","Yes","No"))</f>
        <v>0</v>
      </c>
      <c r="U540" s="25">
        <f>IF(B540="","",IF(L540="Yes","",IF(K540="","",TodayDate-K540)))</f>
        <v>0</v>
      </c>
      <c r="V540" s="39">
        <f>IF(B540="","",IF(L540="Yes","Paid",IF(K540="","Pending",IF(K540&lt;TodayDate,"Overdue",IF(K540&lt;=TodayDate+7,"Due soon","Pending")))))</f>
        <v>0</v>
      </c>
      <c r="W540" s="26">
        <f>IF(B540="","",IFERROR(INDEX(BudgetAmount,MATCH(C540,BudgetCategory,0))*1,0))</f>
        <v>0</v>
      </c>
      <c r="X540" s="25">
        <f>IF(B540="","",COUNTIFS($R$5:$R$604,"&gt;"&amp;R540)+COUNTIFS($R$5:R540,R540))</f>
        <v>0</v>
      </c>
      <c r="Y540" s="39">
        <f>IF(B540="","",IF(F540="","Add - no amount",IF(C540="","Add - no category, it will miss the P&amp;L",IF(V540="Overdue","Overdue - pay it",IF(V540="Due soon","Due - coming up",IF(IF(I540="Yes",J540="",FALSE),"Add - how often does it recur?",IF(L540="Yes","OK","Pending")))))))</f>
        <v>0</v>
      </c>
    </row>
    <row r="541" spans="1:25">
      <c r="A541" s="28">
        <f>IF(B541="","",ExpensePrefix&amp;TEXT(ROW()-4,"0000"))</f>
        <v>0</v>
      </c>
      <c r="P541" s="15">
        <f>IF(B541="","",TEXT(B541,"yyyy-mm"))</f>
        <v>0</v>
      </c>
      <c r="Q541" s="25">
        <f>IF(B541="","",WEEKNUM(B541,2))</f>
        <v>0</v>
      </c>
      <c r="R541" s="26">
        <f>IF(B541="","",ROUND(IF(F541="",0,F541)+IF(G541="",0,G541),2))</f>
        <v>0</v>
      </c>
      <c r="S541" s="26">
        <f>IF(B541="","",IF(I541&lt;&gt;"Yes",0,ROUND(IF(F541="",0,F541)*IF(J541="Weekly",52/12,IF(J541="Fortnightly",26/12,IF(J541="Four weekly",13/12,IF(J541="Monthly",1,IF(J541="Quarterly",1/3,IF(J541="Twice a year",1/6,IF(J541="Yearly",1/12,0))))))),2)))</f>
        <v>0</v>
      </c>
      <c r="T541" s="38">
        <f>IF(B541="","",IF(I541="Yes","Yes","No"))</f>
        <v>0</v>
      </c>
      <c r="U541" s="25">
        <f>IF(B541="","",IF(L541="Yes","",IF(K541="","",TodayDate-K541)))</f>
        <v>0</v>
      </c>
      <c r="V541" s="39">
        <f>IF(B541="","",IF(L541="Yes","Paid",IF(K541="","Pending",IF(K541&lt;TodayDate,"Overdue",IF(K541&lt;=TodayDate+7,"Due soon","Pending")))))</f>
        <v>0</v>
      </c>
      <c r="W541" s="26">
        <f>IF(B541="","",IFERROR(INDEX(BudgetAmount,MATCH(C541,BudgetCategory,0))*1,0))</f>
        <v>0</v>
      </c>
      <c r="X541" s="25">
        <f>IF(B541="","",COUNTIFS($R$5:$R$604,"&gt;"&amp;R541)+COUNTIFS($R$5:R541,R541))</f>
        <v>0</v>
      </c>
      <c r="Y541" s="39">
        <f>IF(B541="","",IF(F541="","Add - no amount",IF(C541="","Add - no category, it will miss the P&amp;L",IF(V541="Overdue","Overdue - pay it",IF(V541="Due soon","Due - coming up",IF(IF(I541="Yes",J541="",FALSE),"Add - how often does it recur?",IF(L541="Yes","OK","Pending")))))))</f>
        <v>0</v>
      </c>
    </row>
    <row r="542" spans="1:25">
      <c r="A542" s="28">
        <f>IF(B542="","",ExpensePrefix&amp;TEXT(ROW()-4,"0000"))</f>
        <v>0</v>
      </c>
      <c r="P542" s="15">
        <f>IF(B542="","",TEXT(B542,"yyyy-mm"))</f>
        <v>0</v>
      </c>
      <c r="Q542" s="25">
        <f>IF(B542="","",WEEKNUM(B542,2))</f>
        <v>0</v>
      </c>
      <c r="R542" s="26">
        <f>IF(B542="","",ROUND(IF(F542="",0,F542)+IF(G542="",0,G542),2))</f>
        <v>0</v>
      </c>
      <c r="S542" s="26">
        <f>IF(B542="","",IF(I542&lt;&gt;"Yes",0,ROUND(IF(F542="",0,F542)*IF(J542="Weekly",52/12,IF(J542="Fortnightly",26/12,IF(J542="Four weekly",13/12,IF(J542="Monthly",1,IF(J542="Quarterly",1/3,IF(J542="Twice a year",1/6,IF(J542="Yearly",1/12,0))))))),2)))</f>
        <v>0</v>
      </c>
      <c r="T542" s="38">
        <f>IF(B542="","",IF(I542="Yes","Yes","No"))</f>
        <v>0</v>
      </c>
      <c r="U542" s="25">
        <f>IF(B542="","",IF(L542="Yes","",IF(K542="","",TodayDate-K542)))</f>
        <v>0</v>
      </c>
      <c r="V542" s="39">
        <f>IF(B542="","",IF(L542="Yes","Paid",IF(K542="","Pending",IF(K542&lt;TodayDate,"Overdue",IF(K542&lt;=TodayDate+7,"Due soon","Pending")))))</f>
        <v>0</v>
      </c>
      <c r="W542" s="26">
        <f>IF(B542="","",IFERROR(INDEX(BudgetAmount,MATCH(C542,BudgetCategory,0))*1,0))</f>
        <v>0</v>
      </c>
      <c r="X542" s="25">
        <f>IF(B542="","",COUNTIFS($R$5:$R$604,"&gt;"&amp;R542)+COUNTIFS($R$5:R542,R542))</f>
        <v>0</v>
      </c>
      <c r="Y542" s="39">
        <f>IF(B542="","",IF(F542="","Add - no amount",IF(C542="","Add - no category, it will miss the P&amp;L",IF(V542="Overdue","Overdue - pay it",IF(V542="Due soon","Due - coming up",IF(IF(I542="Yes",J542="",FALSE),"Add - how often does it recur?",IF(L542="Yes","OK","Pending")))))))</f>
        <v>0</v>
      </c>
    </row>
    <row r="543" spans="1:25">
      <c r="A543" s="28">
        <f>IF(B543="","",ExpensePrefix&amp;TEXT(ROW()-4,"0000"))</f>
        <v>0</v>
      </c>
      <c r="P543" s="15">
        <f>IF(B543="","",TEXT(B543,"yyyy-mm"))</f>
        <v>0</v>
      </c>
      <c r="Q543" s="25">
        <f>IF(B543="","",WEEKNUM(B543,2))</f>
        <v>0</v>
      </c>
      <c r="R543" s="26">
        <f>IF(B543="","",ROUND(IF(F543="",0,F543)+IF(G543="",0,G543),2))</f>
        <v>0</v>
      </c>
      <c r="S543" s="26">
        <f>IF(B543="","",IF(I543&lt;&gt;"Yes",0,ROUND(IF(F543="",0,F543)*IF(J543="Weekly",52/12,IF(J543="Fortnightly",26/12,IF(J543="Four weekly",13/12,IF(J543="Monthly",1,IF(J543="Quarterly",1/3,IF(J543="Twice a year",1/6,IF(J543="Yearly",1/12,0))))))),2)))</f>
        <v>0</v>
      </c>
      <c r="T543" s="38">
        <f>IF(B543="","",IF(I543="Yes","Yes","No"))</f>
        <v>0</v>
      </c>
      <c r="U543" s="25">
        <f>IF(B543="","",IF(L543="Yes","",IF(K543="","",TodayDate-K543)))</f>
        <v>0</v>
      </c>
      <c r="V543" s="39">
        <f>IF(B543="","",IF(L543="Yes","Paid",IF(K543="","Pending",IF(K543&lt;TodayDate,"Overdue",IF(K543&lt;=TodayDate+7,"Due soon","Pending")))))</f>
        <v>0</v>
      </c>
      <c r="W543" s="26">
        <f>IF(B543="","",IFERROR(INDEX(BudgetAmount,MATCH(C543,BudgetCategory,0))*1,0))</f>
        <v>0</v>
      </c>
      <c r="X543" s="25">
        <f>IF(B543="","",COUNTIFS($R$5:$R$604,"&gt;"&amp;R543)+COUNTIFS($R$5:R543,R543))</f>
        <v>0</v>
      </c>
      <c r="Y543" s="39">
        <f>IF(B543="","",IF(F543="","Add - no amount",IF(C543="","Add - no category, it will miss the P&amp;L",IF(V543="Overdue","Overdue - pay it",IF(V543="Due soon","Due - coming up",IF(IF(I543="Yes",J543="",FALSE),"Add - how often does it recur?",IF(L543="Yes","OK","Pending")))))))</f>
        <v>0</v>
      </c>
    </row>
    <row r="544" spans="1:25">
      <c r="A544" s="28">
        <f>IF(B544="","",ExpensePrefix&amp;TEXT(ROW()-4,"0000"))</f>
        <v>0</v>
      </c>
      <c r="P544" s="15">
        <f>IF(B544="","",TEXT(B544,"yyyy-mm"))</f>
        <v>0</v>
      </c>
      <c r="Q544" s="25">
        <f>IF(B544="","",WEEKNUM(B544,2))</f>
        <v>0</v>
      </c>
      <c r="R544" s="26">
        <f>IF(B544="","",ROUND(IF(F544="",0,F544)+IF(G544="",0,G544),2))</f>
        <v>0</v>
      </c>
      <c r="S544" s="26">
        <f>IF(B544="","",IF(I544&lt;&gt;"Yes",0,ROUND(IF(F544="",0,F544)*IF(J544="Weekly",52/12,IF(J544="Fortnightly",26/12,IF(J544="Four weekly",13/12,IF(J544="Monthly",1,IF(J544="Quarterly",1/3,IF(J544="Twice a year",1/6,IF(J544="Yearly",1/12,0))))))),2)))</f>
        <v>0</v>
      </c>
      <c r="T544" s="38">
        <f>IF(B544="","",IF(I544="Yes","Yes","No"))</f>
        <v>0</v>
      </c>
      <c r="U544" s="25">
        <f>IF(B544="","",IF(L544="Yes","",IF(K544="","",TodayDate-K544)))</f>
        <v>0</v>
      </c>
      <c r="V544" s="39">
        <f>IF(B544="","",IF(L544="Yes","Paid",IF(K544="","Pending",IF(K544&lt;TodayDate,"Overdue",IF(K544&lt;=TodayDate+7,"Due soon","Pending")))))</f>
        <v>0</v>
      </c>
      <c r="W544" s="26">
        <f>IF(B544="","",IFERROR(INDEX(BudgetAmount,MATCH(C544,BudgetCategory,0))*1,0))</f>
        <v>0</v>
      </c>
      <c r="X544" s="25">
        <f>IF(B544="","",COUNTIFS($R$5:$R$604,"&gt;"&amp;R544)+COUNTIFS($R$5:R544,R544))</f>
        <v>0</v>
      </c>
      <c r="Y544" s="39">
        <f>IF(B544="","",IF(F544="","Add - no amount",IF(C544="","Add - no category, it will miss the P&amp;L",IF(V544="Overdue","Overdue - pay it",IF(V544="Due soon","Due - coming up",IF(IF(I544="Yes",J544="",FALSE),"Add - how often does it recur?",IF(L544="Yes","OK","Pending")))))))</f>
        <v>0</v>
      </c>
    </row>
    <row r="545" spans="1:25">
      <c r="A545" s="28">
        <f>IF(B545="","",ExpensePrefix&amp;TEXT(ROW()-4,"0000"))</f>
        <v>0</v>
      </c>
      <c r="P545" s="15">
        <f>IF(B545="","",TEXT(B545,"yyyy-mm"))</f>
        <v>0</v>
      </c>
      <c r="Q545" s="25">
        <f>IF(B545="","",WEEKNUM(B545,2))</f>
        <v>0</v>
      </c>
      <c r="R545" s="26">
        <f>IF(B545="","",ROUND(IF(F545="",0,F545)+IF(G545="",0,G545),2))</f>
        <v>0</v>
      </c>
      <c r="S545" s="26">
        <f>IF(B545="","",IF(I545&lt;&gt;"Yes",0,ROUND(IF(F545="",0,F545)*IF(J545="Weekly",52/12,IF(J545="Fortnightly",26/12,IF(J545="Four weekly",13/12,IF(J545="Monthly",1,IF(J545="Quarterly",1/3,IF(J545="Twice a year",1/6,IF(J545="Yearly",1/12,0))))))),2)))</f>
        <v>0</v>
      </c>
      <c r="T545" s="38">
        <f>IF(B545="","",IF(I545="Yes","Yes","No"))</f>
        <v>0</v>
      </c>
      <c r="U545" s="25">
        <f>IF(B545="","",IF(L545="Yes","",IF(K545="","",TodayDate-K545)))</f>
        <v>0</v>
      </c>
      <c r="V545" s="39">
        <f>IF(B545="","",IF(L545="Yes","Paid",IF(K545="","Pending",IF(K545&lt;TodayDate,"Overdue",IF(K545&lt;=TodayDate+7,"Due soon","Pending")))))</f>
        <v>0</v>
      </c>
      <c r="W545" s="26">
        <f>IF(B545="","",IFERROR(INDEX(BudgetAmount,MATCH(C545,BudgetCategory,0))*1,0))</f>
        <v>0</v>
      </c>
      <c r="X545" s="25">
        <f>IF(B545="","",COUNTIFS($R$5:$R$604,"&gt;"&amp;R545)+COUNTIFS($R$5:R545,R545))</f>
        <v>0</v>
      </c>
      <c r="Y545" s="39">
        <f>IF(B545="","",IF(F545="","Add - no amount",IF(C545="","Add - no category, it will miss the P&amp;L",IF(V545="Overdue","Overdue - pay it",IF(V545="Due soon","Due - coming up",IF(IF(I545="Yes",J545="",FALSE),"Add - how often does it recur?",IF(L545="Yes","OK","Pending")))))))</f>
        <v>0</v>
      </c>
    </row>
    <row r="546" spans="1:25">
      <c r="A546" s="28">
        <f>IF(B546="","",ExpensePrefix&amp;TEXT(ROW()-4,"0000"))</f>
        <v>0</v>
      </c>
      <c r="P546" s="15">
        <f>IF(B546="","",TEXT(B546,"yyyy-mm"))</f>
        <v>0</v>
      </c>
      <c r="Q546" s="25">
        <f>IF(B546="","",WEEKNUM(B546,2))</f>
        <v>0</v>
      </c>
      <c r="R546" s="26">
        <f>IF(B546="","",ROUND(IF(F546="",0,F546)+IF(G546="",0,G546),2))</f>
        <v>0</v>
      </c>
      <c r="S546" s="26">
        <f>IF(B546="","",IF(I546&lt;&gt;"Yes",0,ROUND(IF(F546="",0,F546)*IF(J546="Weekly",52/12,IF(J546="Fortnightly",26/12,IF(J546="Four weekly",13/12,IF(J546="Monthly",1,IF(J546="Quarterly",1/3,IF(J546="Twice a year",1/6,IF(J546="Yearly",1/12,0))))))),2)))</f>
        <v>0</v>
      </c>
      <c r="T546" s="38">
        <f>IF(B546="","",IF(I546="Yes","Yes","No"))</f>
        <v>0</v>
      </c>
      <c r="U546" s="25">
        <f>IF(B546="","",IF(L546="Yes","",IF(K546="","",TodayDate-K546)))</f>
        <v>0</v>
      </c>
      <c r="V546" s="39">
        <f>IF(B546="","",IF(L546="Yes","Paid",IF(K546="","Pending",IF(K546&lt;TodayDate,"Overdue",IF(K546&lt;=TodayDate+7,"Due soon","Pending")))))</f>
        <v>0</v>
      </c>
      <c r="W546" s="26">
        <f>IF(B546="","",IFERROR(INDEX(BudgetAmount,MATCH(C546,BudgetCategory,0))*1,0))</f>
        <v>0</v>
      </c>
      <c r="X546" s="25">
        <f>IF(B546="","",COUNTIFS($R$5:$R$604,"&gt;"&amp;R546)+COUNTIFS($R$5:R546,R546))</f>
        <v>0</v>
      </c>
      <c r="Y546" s="39">
        <f>IF(B546="","",IF(F546="","Add - no amount",IF(C546="","Add - no category, it will miss the P&amp;L",IF(V546="Overdue","Overdue - pay it",IF(V546="Due soon","Due - coming up",IF(IF(I546="Yes",J546="",FALSE),"Add - how often does it recur?",IF(L546="Yes","OK","Pending")))))))</f>
        <v>0</v>
      </c>
    </row>
    <row r="547" spans="1:25">
      <c r="A547" s="28">
        <f>IF(B547="","",ExpensePrefix&amp;TEXT(ROW()-4,"0000"))</f>
        <v>0</v>
      </c>
      <c r="P547" s="15">
        <f>IF(B547="","",TEXT(B547,"yyyy-mm"))</f>
        <v>0</v>
      </c>
      <c r="Q547" s="25">
        <f>IF(B547="","",WEEKNUM(B547,2))</f>
        <v>0</v>
      </c>
      <c r="R547" s="26">
        <f>IF(B547="","",ROUND(IF(F547="",0,F547)+IF(G547="",0,G547),2))</f>
        <v>0</v>
      </c>
      <c r="S547" s="26">
        <f>IF(B547="","",IF(I547&lt;&gt;"Yes",0,ROUND(IF(F547="",0,F547)*IF(J547="Weekly",52/12,IF(J547="Fortnightly",26/12,IF(J547="Four weekly",13/12,IF(J547="Monthly",1,IF(J547="Quarterly",1/3,IF(J547="Twice a year",1/6,IF(J547="Yearly",1/12,0))))))),2)))</f>
        <v>0</v>
      </c>
      <c r="T547" s="38">
        <f>IF(B547="","",IF(I547="Yes","Yes","No"))</f>
        <v>0</v>
      </c>
      <c r="U547" s="25">
        <f>IF(B547="","",IF(L547="Yes","",IF(K547="","",TodayDate-K547)))</f>
        <v>0</v>
      </c>
      <c r="V547" s="39">
        <f>IF(B547="","",IF(L547="Yes","Paid",IF(K547="","Pending",IF(K547&lt;TodayDate,"Overdue",IF(K547&lt;=TodayDate+7,"Due soon","Pending")))))</f>
        <v>0</v>
      </c>
      <c r="W547" s="26">
        <f>IF(B547="","",IFERROR(INDEX(BudgetAmount,MATCH(C547,BudgetCategory,0))*1,0))</f>
        <v>0</v>
      </c>
      <c r="X547" s="25">
        <f>IF(B547="","",COUNTIFS($R$5:$R$604,"&gt;"&amp;R547)+COUNTIFS($R$5:R547,R547))</f>
        <v>0</v>
      </c>
      <c r="Y547" s="39">
        <f>IF(B547="","",IF(F547="","Add - no amount",IF(C547="","Add - no category, it will miss the P&amp;L",IF(V547="Overdue","Overdue - pay it",IF(V547="Due soon","Due - coming up",IF(IF(I547="Yes",J547="",FALSE),"Add - how often does it recur?",IF(L547="Yes","OK","Pending")))))))</f>
        <v>0</v>
      </c>
    </row>
    <row r="548" spans="1:25">
      <c r="A548" s="28">
        <f>IF(B548="","",ExpensePrefix&amp;TEXT(ROW()-4,"0000"))</f>
        <v>0</v>
      </c>
      <c r="P548" s="15">
        <f>IF(B548="","",TEXT(B548,"yyyy-mm"))</f>
        <v>0</v>
      </c>
      <c r="Q548" s="25">
        <f>IF(B548="","",WEEKNUM(B548,2))</f>
        <v>0</v>
      </c>
      <c r="R548" s="26">
        <f>IF(B548="","",ROUND(IF(F548="",0,F548)+IF(G548="",0,G548),2))</f>
        <v>0</v>
      </c>
      <c r="S548" s="26">
        <f>IF(B548="","",IF(I548&lt;&gt;"Yes",0,ROUND(IF(F548="",0,F548)*IF(J548="Weekly",52/12,IF(J548="Fortnightly",26/12,IF(J548="Four weekly",13/12,IF(J548="Monthly",1,IF(J548="Quarterly",1/3,IF(J548="Twice a year",1/6,IF(J548="Yearly",1/12,0))))))),2)))</f>
        <v>0</v>
      </c>
      <c r="T548" s="38">
        <f>IF(B548="","",IF(I548="Yes","Yes","No"))</f>
        <v>0</v>
      </c>
      <c r="U548" s="25">
        <f>IF(B548="","",IF(L548="Yes","",IF(K548="","",TodayDate-K548)))</f>
        <v>0</v>
      </c>
      <c r="V548" s="39">
        <f>IF(B548="","",IF(L548="Yes","Paid",IF(K548="","Pending",IF(K548&lt;TodayDate,"Overdue",IF(K548&lt;=TodayDate+7,"Due soon","Pending")))))</f>
        <v>0</v>
      </c>
      <c r="W548" s="26">
        <f>IF(B548="","",IFERROR(INDEX(BudgetAmount,MATCH(C548,BudgetCategory,0))*1,0))</f>
        <v>0</v>
      </c>
      <c r="X548" s="25">
        <f>IF(B548="","",COUNTIFS($R$5:$R$604,"&gt;"&amp;R548)+COUNTIFS($R$5:R548,R548))</f>
        <v>0</v>
      </c>
      <c r="Y548" s="39">
        <f>IF(B548="","",IF(F548="","Add - no amount",IF(C548="","Add - no category, it will miss the P&amp;L",IF(V548="Overdue","Overdue - pay it",IF(V548="Due soon","Due - coming up",IF(IF(I548="Yes",J548="",FALSE),"Add - how often does it recur?",IF(L548="Yes","OK","Pending")))))))</f>
        <v>0</v>
      </c>
    </row>
    <row r="549" spans="1:25">
      <c r="A549" s="28">
        <f>IF(B549="","",ExpensePrefix&amp;TEXT(ROW()-4,"0000"))</f>
        <v>0</v>
      </c>
      <c r="P549" s="15">
        <f>IF(B549="","",TEXT(B549,"yyyy-mm"))</f>
        <v>0</v>
      </c>
      <c r="Q549" s="25">
        <f>IF(B549="","",WEEKNUM(B549,2))</f>
        <v>0</v>
      </c>
      <c r="R549" s="26">
        <f>IF(B549="","",ROUND(IF(F549="",0,F549)+IF(G549="",0,G549),2))</f>
        <v>0</v>
      </c>
      <c r="S549" s="26">
        <f>IF(B549="","",IF(I549&lt;&gt;"Yes",0,ROUND(IF(F549="",0,F549)*IF(J549="Weekly",52/12,IF(J549="Fortnightly",26/12,IF(J549="Four weekly",13/12,IF(J549="Monthly",1,IF(J549="Quarterly",1/3,IF(J549="Twice a year",1/6,IF(J549="Yearly",1/12,0))))))),2)))</f>
        <v>0</v>
      </c>
      <c r="T549" s="38">
        <f>IF(B549="","",IF(I549="Yes","Yes","No"))</f>
        <v>0</v>
      </c>
      <c r="U549" s="25">
        <f>IF(B549="","",IF(L549="Yes","",IF(K549="","",TodayDate-K549)))</f>
        <v>0</v>
      </c>
      <c r="V549" s="39">
        <f>IF(B549="","",IF(L549="Yes","Paid",IF(K549="","Pending",IF(K549&lt;TodayDate,"Overdue",IF(K549&lt;=TodayDate+7,"Due soon","Pending")))))</f>
        <v>0</v>
      </c>
      <c r="W549" s="26">
        <f>IF(B549="","",IFERROR(INDEX(BudgetAmount,MATCH(C549,BudgetCategory,0))*1,0))</f>
        <v>0</v>
      </c>
      <c r="X549" s="25">
        <f>IF(B549="","",COUNTIFS($R$5:$R$604,"&gt;"&amp;R549)+COUNTIFS($R$5:R549,R549))</f>
        <v>0</v>
      </c>
      <c r="Y549" s="39">
        <f>IF(B549="","",IF(F549="","Add - no amount",IF(C549="","Add - no category, it will miss the P&amp;L",IF(V549="Overdue","Overdue - pay it",IF(V549="Due soon","Due - coming up",IF(IF(I549="Yes",J549="",FALSE),"Add - how often does it recur?",IF(L549="Yes","OK","Pending")))))))</f>
        <v>0</v>
      </c>
    </row>
    <row r="550" spans="1:25">
      <c r="A550" s="28">
        <f>IF(B550="","",ExpensePrefix&amp;TEXT(ROW()-4,"0000"))</f>
        <v>0</v>
      </c>
      <c r="P550" s="15">
        <f>IF(B550="","",TEXT(B550,"yyyy-mm"))</f>
        <v>0</v>
      </c>
      <c r="Q550" s="25">
        <f>IF(B550="","",WEEKNUM(B550,2))</f>
        <v>0</v>
      </c>
      <c r="R550" s="26">
        <f>IF(B550="","",ROUND(IF(F550="",0,F550)+IF(G550="",0,G550),2))</f>
        <v>0</v>
      </c>
      <c r="S550" s="26">
        <f>IF(B550="","",IF(I550&lt;&gt;"Yes",0,ROUND(IF(F550="",0,F550)*IF(J550="Weekly",52/12,IF(J550="Fortnightly",26/12,IF(J550="Four weekly",13/12,IF(J550="Monthly",1,IF(J550="Quarterly",1/3,IF(J550="Twice a year",1/6,IF(J550="Yearly",1/12,0))))))),2)))</f>
        <v>0</v>
      </c>
      <c r="T550" s="38">
        <f>IF(B550="","",IF(I550="Yes","Yes","No"))</f>
        <v>0</v>
      </c>
      <c r="U550" s="25">
        <f>IF(B550="","",IF(L550="Yes","",IF(K550="","",TodayDate-K550)))</f>
        <v>0</v>
      </c>
      <c r="V550" s="39">
        <f>IF(B550="","",IF(L550="Yes","Paid",IF(K550="","Pending",IF(K550&lt;TodayDate,"Overdue",IF(K550&lt;=TodayDate+7,"Due soon","Pending")))))</f>
        <v>0</v>
      </c>
      <c r="W550" s="26">
        <f>IF(B550="","",IFERROR(INDEX(BudgetAmount,MATCH(C550,BudgetCategory,0))*1,0))</f>
        <v>0</v>
      </c>
      <c r="X550" s="25">
        <f>IF(B550="","",COUNTIFS($R$5:$R$604,"&gt;"&amp;R550)+COUNTIFS($R$5:R550,R550))</f>
        <v>0</v>
      </c>
      <c r="Y550" s="39">
        <f>IF(B550="","",IF(F550="","Add - no amount",IF(C550="","Add - no category, it will miss the P&amp;L",IF(V550="Overdue","Overdue - pay it",IF(V550="Due soon","Due - coming up",IF(IF(I550="Yes",J550="",FALSE),"Add - how often does it recur?",IF(L550="Yes","OK","Pending")))))))</f>
        <v>0</v>
      </c>
    </row>
    <row r="551" spans="1:25">
      <c r="A551" s="28">
        <f>IF(B551="","",ExpensePrefix&amp;TEXT(ROW()-4,"0000"))</f>
        <v>0</v>
      </c>
      <c r="P551" s="15">
        <f>IF(B551="","",TEXT(B551,"yyyy-mm"))</f>
        <v>0</v>
      </c>
      <c r="Q551" s="25">
        <f>IF(B551="","",WEEKNUM(B551,2))</f>
        <v>0</v>
      </c>
      <c r="R551" s="26">
        <f>IF(B551="","",ROUND(IF(F551="",0,F551)+IF(G551="",0,G551),2))</f>
        <v>0</v>
      </c>
      <c r="S551" s="26">
        <f>IF(B551="","",IF(I551&lt;&gt;"Yes",0,ROUND(IF(F551="",0,F551)*IF(J551="Weekly",52/12,IF(J551="Fortnightly",26/12,IF(J551="Four weekly",13/12,IF(J551="Monthly",1,IF(J551="Quarterly",1/3,IF(J551="Twice a year",1/6,IF(J551="Yearly",1/12,0))))))),2)))</f>
        <v>0</v>
      </c>
      <c r="T551" s="38">
        <f>IF(B551="","",IF(I551="Yes","Yes","No"))</f>
        <v>0</v>
      </c>
      <c r="U551" s="25">
        <f>IF(B551="","",IF(L551="Yes","",IF(K551="","",TodayDate-K551)))</f>
        <v>0</v>
      </c>
      <c r="V551" s="39">
        <f>IF(B551="","",IF(L551="Yes","Paid",IF(K551="","Pending",IF(K551&lt;TodayDate,"Overdue",IF(K551&lt;=TodayDate+7,"Due soon","Pending")))))</f>
        <v>0</v>
      </c>
      <c r="W551" s="26">
        <f>IF(B551="","",IFERROR(INDEX(BudgetAmount,MATCH(C551,BudgetCategory,0))*1,0))</f>
        <v>0</v>
      </c>
      <c r="X551" s="25">
        <f>IF(B551="","",COUNTIFS($R$5:$R$604,"&gt;"&amp;R551)+COUNTIFS($R$5:R551,R551))</f>
        <v>0</v>
      </c>
      <c r="Y551" s="39">
        <f>IF(B551="","",IF(F551="","Add - no amount",IF(C551="","Add - no category, it will miss the P&amp;L",IF(V551="Overdue","Overdue - pay it",IF(V551="Due soon","Due - coming up",IF(IF(I551="Yes",J551="",FALSE),"Add - how often does it recur?",IF(L551="Yes","OK","Pending")))))))</f>
        <v>0</v>
      </c>
    </row>
    <row r="552" spans="1:25">
      <c r="A552" s="28">
        <f>IF(B552="","",ExpensePrefix&amp;TEXT(ROW()-4,"0000"))</f>
        <v>0</v>
      </c>
      <c r="P552" s="15">
        <f>IF(B552="","",TEXT(B552,"yyyy-mm"))</f>
        <v>0</v>
      </c>
      <c r="Q552" s="25">
        <f>IF(B552="","",WEEKNUM(B552,2))</f>
        <v>0</v>
      </c>
      <c r="R552" s="26">
        <f>IF(B552="","",ROUND(IF(F552="",0,F552)+IF(G552="",0,G552),2))</f>
        <v>0</v>
      </c>
      <c r="S552" s="26">
        <f>IF(B552="","",IF(I552&lt;&gt;"Yes",0,ROUND(IF(F552="",0,F552)*IF(J552="Weekly",52/12,IF(J552="Fortnightly",26/12,IF(J552="Four weekly",13/12,IF(J552="Monthly",1,IF(J552="Quarterly",1/3,IF(J552="Twice a year",1/6,IF(J552="Yearly",1/12,0))))))),2)))</f>
        <v>0</v>
      </c>
      <c r="T552" s="38">
        <f>IF(B552="","",IF(I552="Yes","Yes","No"))</f>
        <v>0</v>
      </c>
      <c r="U552" s="25">
        <f>IF(B552="","",IF(L552="Yes","",IF(K552="","",TodayDate-K552)))</f>
        <v>0</v>
      </c>
      <c r="V552" s="39">
        <f>IF(B552="","",IF(L552="Yes","Paid",IF(K552="","Pending",IF(K552&lt;TodayDate,"Overdue",IF(K552&lt;=TodayDate+7,"Due soon","Pending")))))</f>
        <v>0</v>
      </c>
      <c r="W552" s="26">
        <f>IF(B552="","",IFERROR(INDEX(BudgetAmount,MATCH(C552,BudgetCategory,0))*1,0))</f>
        <v>0</v>
      </c>
      <c r="X552" s="25">
        <f>IF(B552="","",COUNTIFS($R$5:$R$604,"&gt;"&amp;R552)+COUNTIFS($R$5:R552,R552))</f>
        <v>0</v>
      </c>
      <c r="Y552" s="39">
        <f>IF(B552="","",IF(F552="","Add - no amount",IF(C552="","Add - no category, it will miss the P&amp;L",IF(V552="Overdue","Overdue - pay it",IF(V552="Due soon","Due - coming up",IF(IF(I552="Yes",J552="",FALSE),"Add - how often does it recur?",IF(L552="Yes","OK","Pending")))))))</f>
        <v>0</v>
      </c>
    </row>
    <row r="553" spans="1:25">
      <c r="A553" s="28">
        <f>IF(B553="","",ExpensePrefix&amp;TEXT(ROW()-4,"0000"))</f>
        <v>0</v>
      </c>
      <c r="P553" s="15">
        <f>IF(B553="","",TEXT(B553,"yyyy-mm"))</f>
        <v>0</v>
      </c>
      <c r="Q553" s="25">
        <f>IF(B553="","",WEEKNUM(B553,2))</f>
        <v>0</v>
      </c>
      <c r="R553" s="26">
        <f>IF(B553="","",ROUND(IF(F553="",0,F553)+IF(G553="",0,G553),2))</f>
        <v>0</v>
      </c>
      <c r="S553" s="26">
        <f>IF(B553="","",IF(I553&lt;&gt;"Yes",0,ROUND(IF(F553="",0,F553)*IF(J553="Weekly",52/12,IF(J553="Fortnightly",26/12,IF(J553="Four weekly",13/12,IF(J553="Monthly",1,IF(J553="Quarterly",1/3,IF(J553="Twice a year",1/6,IF(J553="Yearly",1/12,0))))))),2)))</f>
        <v>0</v>
      </c>
      <c r="T553" s="38">
        <f>IF(B553="","",IF(I553="Yes","Yes","No"))</f>
        <v>0</v>
      </c>
      <c r="U553" s="25">
        <f>IF(B553="","",IF(L553="Yes","",IF(K553="","",TodayDate-K553)))</f>
        <v>0</v>
      </c>
      <c r="V553" s="39">
        <f>IF(B553="","",IF(L553="Yes","Paid",IF(K553="","Pending",IF(K553&lt;TodayDate,"Overdue",IF(K553&lt;=TodayDate+7,"Due soon","Pending")))))</f>
        <v>0</v>
      </c>
      <c r="W553" s="26">
        <f>IF(B553="","",IFERROR(INDEX(BudgetAmount,MATCH(C553,BudgetCategory,0))*1,0))</f>
        <v>0</v>
      </c>
      <c r="X553" s="25">
        <f>IF(B553="","",COUNTIFS($R$5:$R$604,"&gt;"&amp;R553)+COUNTIFS($R$5:R553,R553))</f>
        <v>0</v>
      </c>
      <c r="Y553" s="39">
        <f>IF(B553="","",IF(F553="","Add - no amount",IF(C553="","Add - no category, it will miss the P&amp;L",IF(V553="Overdue","Overdue - pay it",IF(V553="Due soon","Due - coming up",IF(IF(I553="Yes",J553="",FALSE),"Add - how often does it recur?",IF(L553="Yes","OK","Pending")))))))</f>
        <v>0</v>
      </c>
    </row>
    <row r="554" spans="1:25">
      <c r="A554" s="28">
        <f>IF(B554="","",ExpensePrefix&amp;TEXT(ROW()-4,"0000"))</f>
        <v>0</v>
      </c>
      <c r="P554" s="15">
        <f>IF(B554="","",TEXT(B554,"yyyy-mm"))</f>
        <v>0</v>
      </c>
      <c r="Q554" s="25">
        <f>IF(B554="","",WEEKNUM(B554,2))</f>
        <v>0</v>
      </c>
      <c r="R554" s="26">
        <f>IF(B554="","",ROUND(IF(F554="",0,F554)+IF(G554="",0,G554),2))</f>
        <v>0</v>
      </c>
      <c r="S554" s="26">
        <f>IF(B554="","",IF(I554&lt;&gt;"Yes",0,ROUND(IF(F554="",0,F554)*IF(J554="Weekly",52/12,IF(J554="Fortnightly",26/12,IF(J554="Four weekly",13/12,IF(J554="Monthly",1,IF(J554="Quarterly",1/3,IF(J554="Twice a year",1/6,IF(J554="Yearly",1/12,0))))))),2)))</f>
        <v>0</v>
      </c>
      <c r="T554" s="38">
        <f>IF(B554="","",IF(I554="Yes","Yes","No"))</f>
        <v>0</v>
      </c>
      <c r="U554" s="25">
        <f>IF(B554="","",IF(L554="Yes","",IF(K554="","",TodayDate-K554)))</f>
        <v>0</v>
      </c>
      <c r="V554" s="39">
        <f>IF(B554="","",IF(L554="Yes","Paid",IF(K554="","Pending",IF(K554&lt;TodayDate,"Overdue",IF(K554&lt;=TodayDate+7,"Due soon","Pending")))))</f>
        <v>0</v>
      </c>
      <c r="W554" s="26">
        <f>IF(B554="","",IFERROR(INDEX(BudgetAmount,MATCH(C554,BudgetCategory,0))*1,0))</f>
        <v>0</v>
      </c>
      <c r="X554" s="25">
        <f>IF(B554="","",COUNTIFS($R$5:$R$604,"&gt;"&amp;R554)+COUNTIFS($R$5:R554,R554))</f>
        <v>0</v>
      </c>
      <c r="Y554" s="39">
        <f>IF(B554="","",IF(F554="","Add - no amount",IF(C554="","Add - no category, it will miss the P&amp;L",IF(V554="Overdue","Overdue - pay it",IF(V554="Due soon","Due - coming up",IF(IF(I554="Yes",J554="",FALSE),"Add - how often does it recur?",IF(L554="Yes","OK","Pending")))))))</f>
        <v>0</v>
      </c>
    </row>
    <row r="555" spans="1:25">
      <c r="A555" s="28">
        <f>IF(B555="","",ExpensePrefix&amp;TEXT(ROW()-4,"0000"))</f>
        <v>0</v>
      </c>
      <c r="P555" s="15">
        <f>IF(B555="","",TEXT(B555,"yyyy-mm"))</f>
        <v>0</v>
      </c>
      <c r="Q555" s="25">
        <f>IF(B555="","",WEEKNUM(B555,2))</f>
        <v>0</v>
      </c>
      <c r="R555" s="26">
        <f>IF(B555="","",ROUND(IF(F555="",0,F555)+IF(G555="",0,G555),2))</f>
        <v>0</v>
      </c>
      <c r="S555" s="26">
        <f>IF(B555="","",IF(I555&lt;&gt;"Yes",0,ROUND(IF(F555="",0,F555)*IF(J555="Weekly",52/12,IF(J555="Fortnightly",26/12,IF(J555="Four weekly",13/12,IF(J555="Monthly",1,IF(J555="Quarterly",1/3,IF(J555="Twice a year",1/6,IF(J555="Yearly",1/12,0))))))),2)))</f>
        <v>0</v>
      </c>
      <c r="T555" s="38">
        <f>IF(B555="","",IF(I555="Yes","Yes","No"))</f>
        <v>0</v>
      </c>
      <c r="U555" s="25">
        <f>IF(B555="","",IF(L555="Yes","",IF(K555="","",TodayDate-K555)))</f>
        <v>0</v>
      </c>
      <c r="V555" s="39">
        <f>IF(B555="","",IF(L555="Yes","Paid",IF(K555="","Pending",IF(K555&lt;TodayDate,"Overdue",IF(K555&lt;=TodayDate+7,"Due soon","Pending")))))</f>
        <v>0</v>
      </c>
      <c r="W555" s="26">
        <f>IF(B555="","",IFERROR(INDEX(BudgetAmount,MATCH(C555,BudgetCategory,0))*1,0))</f>
        <v>0</v>
      </c>
      <c r="X555" s="25">
        <f>IF(B555="","",COUNTIFS($R$5:$R$604,"&gt;"&amp;R555)+COUNTIFS($R$5:R555,R555))</f>
        <v>0</v>
      </c>
      <c r="Y555" s="39">
        <f>IF(B555="","",IF(F555="","Add - no amount",IF(C555="","Add - no category, it will miss the P&amp;L",IF(V555="Overdue","Overdue - pay it",IF(V555="Due soon","Due - coming up",IF(IF(I555="Yes",J555="",FALSE),"Add - how often does it recur?",IF(L555="Yes","OK","Pending")))))))</f>
        <v>0</v>
      </c>
    </row>
    <row r="556" spans="1:25">
      <c r="A556" s="28">
        <f>IF(B556="","",ExpensePrefix&amp;TEXT(ROW()-4,"0000"))</f>
        <v>0</v>
      </c>
      <c r="P556" s="15">
        <f>IF(B556="","",TEXT(B556,"yyyy-mm"))</f>
        <v>0</v>
      </c>
      <c r="Q556" s="25">
        <f>IF(B556="","",WEEKNUM(B556,2))</f>
        <v>0</v>
      </c>
      <c r="R556" s="26">
        <f>IF(B556="","",ROUND(IF(F556="",0,F556)+IF(G556="",0,G556),2))</f>
        <v>0</v>
      </c>
      <c r="S556" s="26">
        <f>IF(B556="","",IF(I556&lt;&gt;"Yes",0,ROUND(IF(F556="",0,F556)*IF(J556="Weekly",52/12,IF(J556="Fortnightly",26/12,IF(J556="Four weekly",13/12,IF(J556="Monthly",1,IF(J556="Quarterly",1/3,IF(J556="Twice a year",1/6,IF(J556="Yearly",1/12,0))))))),2)))</f>
        <v>0</v>
      </c>
      <c r="T556" s="38">
        <f>IF(B556="","",IF(I556="Yes","Yes","No"))</f>
        <v>0</v>
      </c>
      <c r="U556" s="25">
        <f>IF(B556="","",IF(L556="Yes","",IF(K556="","",TodayDate-K556)))</f>
        <v>0</v>
      </c>
      <c r="V556" s="39">
        <f>IF(B556="","",IF(L556="Yes","Paid",IF(K556="","Pending",IF(K556&lt;TodayDate,"Overdue",IF(K556&lt;=TodayDate+7,"Due soon","Pending")))))</f>
        <v>0</v>
      </c>
      <c r="W556" s="26">
        <f>IF(B556="","",IFERROR(INDEX(BudgetAmount,MATCH(C556,BudgetCategory,0))*1,0))</f>
        <v>0</v>
      </c>
      <c r="X556" s="25">
        <f>IF(B556="","",COUNTIFS($R$5:$R$604,"&gt;"&amp;R556)+COUNTIFS($R$5:R556,R556))</f>
        <v>0</v>
      </c>
      <c r="Y556" s="39">
        <f>IF(B556="","",IF(F556="","Add - no amount",IF(C556="","Add - no category, it will miss the P&amp;L",IF(V556="Overdue","Overdue - pay it",IF(V556="Due soon","Due - coming up",IF(IF(I556="Yes",J556="",FALSE),"Add - how often does it recur?",IF(L556="Yes","OK","Pending")))))))</f>
        <v>0</v>
      </c>
    </row>
    <row r="557" spans="1:25">
      <c r="A557" s="28">
        <f>IF(B557="","",ExpensePrefix&amp;TEXT(ROW()-4,"0000"))</f>
        <v>0</v>
      </c>
      <c r="P557" s="15">
        <f>IF(B557="","",TEXT(B557,"yyyy-mm"))</f>
        <v>0</v>
      </c>
      <c r="Q557" s="25">
        <f>IF(B557="","",WEEKNUM(B557,2))</f>
        <v>0</v>
      </c>
      <c r="R557" s="26">
        <f>IF(B557="","",ROUND(IF(F557="",0,F557)+IF(G557="",0,G557),2))</f>
        <v>0</v>
      </c>
      <c r="S557" s="26">
        <f>IF(B557="","",IF(I557&lt;&gt;"Yes",0,ROUND(IF(F557="",0,F557)*IF(J557="Weekly",52/12,IF(J557="Fortnightly",26/12,IF(J557="Four weekly",13/12,IF(J557="Monthly",1,IF(J557="Quarterly",1/3,IF(J557="Twice a year",1/6,IF(J557="Yearly",1/12,0))))))),2)))</f>
        <v>0</v>
      </c>
      <c r="T557" s="38">
        <f>IF(B557="","",IF(I557="Yes","Yes","No"))</f>
        <v>0</v>
      </c>
      <c r="U557" s="25">
        <f>IF(B557="","",IF(L557="Yes","",IF(K557="","",TodayDate-K557)))</f>
        <v>0</v>
      </c>
      <c r="V557" s="39">
        <f>IF(B557="","",IF(L557="Yes","Paid",IF(K557="","Pending",IF(K557&lt;TodayDate,"Overdue",IF(K557&lt;=TodayDate+7,"Due soon","Pending")))))</f>
        <v>0</v>
      </c>
      <c r="W557" s="26">
        <f>IF(B557="","",IFERROR(INDEX(BudgetAmount,MATCH(C557,BudgetCategory,0))*1,0))</f>
        <v>0</v>
      </c>
      <c r="X557" s="25">
        <f>IF(B557="","",COUNTIFS($R$5:$R$604,"&gt;"&amp;R557)+COUNTIFS($R$5:R557,R557))</f>
        <v>0</v>
      </c>
      <c r="Y557" s="39">
        <f>IF(B557="","",IF(F557="","Add - no amount",IF(C557="","Add - no category, it will miss the P&amp;L",IF(V557="Overdue","Overdue - pay it",IF(V557="Due soon","Due - coming up",IF(IF(I557="Yes",J557="",FALSE),"Add - how often does it recur?",IF(L557="Yes","OK","Pending")))))))</f>
        <v>0</v>
      </c>
    </row>
    <row r="558" spans="1:25">
      <c r="A558" s="28">
        <f>IF(B558="","",ExpensePrefix&amp;TEXT(ROW()-4,"0000"))</f>
        <v>0</v>
      </c>
      <c r="P558" s="15">
        <f>IF(B558="","",TEXT(B558,"yyyy-mm"))</f>
        <v>0</v>
      </c>
      <c r="Q558" s="25">
        <f>IF(B558="","",WEEKNUM(B558,2))</f>
        <v>0</v>
      </c>
      <c r="R558" s="26">
        <f>IF(B558="","",ROUND(IF(F558="",0,F558)+IF(G558="",0,G558),2))</f>
        <v>0</v>
      </c>
      <c r="S558" s="26">
        <f>IF(B558="","",IF(I558&lt;&gt;"Yes",0,ROUND(IF(F558="",0,F558)*IF(J558="Weekly",52/12,IF(J558="Fortnightly",26/12,IF(J558="Four weekly",13/12,IF(J558="Monthly",1,IF(J558="Quarterly",1/3,IF(J558="Twice a year",1/6,IF(J558="Yearly",1/12,0))))))),2)))</f>
        <v>0</v>
      </c>
      <c r="T558" s="38">
        <f>IF(B558="","",IF(I558="Yes","Yes","No"))</f>
        <v>0</v>
      </c>
      <c r="U558" s="25">
        <f>IF(B558="","",IF(L558="Yes","",IF(K558="","",TodayDate-K558)))</f>
        <v>0</v>
      </c>
      <c r="V558" s="39">
        <f>IF(B558="","",IF(L558="Yes","Paid",IF(K558="","Pending",IF(K558&lt;TodayDate,"Overdue",IF(K558&lt;=TodayDate+7,"Due soon","Pending")))))</f>
        <v>0</v>
      </c>
      <c r="W558" s="26">
        <f>IF(B558="","",IFERROR(INDEX(BudgetAmount,MATCH(C558,BudgetCategory,0))*1,0))</f>
        <v>0</v>
      </c>
      <c r="X558" s="25">
        <f>IF(B558="","",COUNTIFS($R$5:$R$604,"&gt;"&amp;R558)+COUNTIFS($R$5:R558,R558))</f>
        <v>0</v>
      </c>
      <c r="Y558" s="39">
        <f>IF(B558="","",IF(F558="","Add - no amount",IF(C558="","Add - no category, it will miss the P&amp;L",IF(V558="Overdue","Overdue - pay it",IF(V558="Due soon","Due - coming up",IF(IF(I558="Yes",J558="",FALSE),"Add - how often does it recur?",IF(L558="Yes","OK","Pending")))))))</f>
        <v>0</v>
      </c>
    </row>
    <row r="559" spans="1:25">
      <c r="A559" s="28">
        <f>IF(B559="","",ExpensePrefix&amp;TEXT(ROW()-4,"0000"))</f>
        <v>0</v>
      </c>
      <c r="P559" s="15">
        <f>IF(B559="","",TEXT(B559,"yyyy-mm"))</f>
        <v>0</v>
      </c>
      <c r="Q559" s="25">
        <f>IF(B559="","",WEEKNUM(B559,2))</f>
        <v>0</v>
      </c>
      <c r="R559" s="26">
        <f>IF(B559="","",ROUND(IF(F559="",0,F559)+IF(G559="",0,G559),2))</f>
        <v>0</v>
      </c>
      <c r="S559" s="26">
        <f>IF(B559="","",IF(I559&lt;&gt;"Yes",0,ROUND(IF(F559="",0,F559)*IF(J559="Weekly",52/12,IF(J559="Fortnightly",26/12,IF(J559="Four weekly",13/12,IF(J559="Monthly",1,IF(J559="Quarterly",1/3,IF(J559="Twice a year",1/6,IF(J559="Yearly",1/12,0))))))),2)))</f>
        <v>0</v>
      </c>
      <c r="T559" s="38">
        <f>IF(B559="","",IF(I559="Yes","Yes","No"))</f>
        <v>0</v>
      </c>
      <c r="U559" s="25">
        <f>IF(B559="","",IF(L559="Yes","",IF(K559="","",TodayDate-K559)))</f>
        <v>0</v>
      </c>
      <c r="V559" s="39">
        <f>IF(B559="","",IF(L559="Yes","Paid",IF(K559="","Pending",IF(K559&lt;TodayDate,"Overdue",IF(K559&lt;=TodayDate+7,"Due soon","Pending")))))</f>
        <v>0</v>
      </c>
      <c r="W559" s="26">
        <f>IF(B559="","",IFERROR(INDEX(BudgetAmount,MATCH(C559,BudgetCategory,0))*1,0))</f>
        <v>0</v>
      </c>
      <c r="X559" s="25">
        <f>IF(B559="","",COUNTIFS($R$5:$R$604,"&gt;"&amp;R559)+COUNTIFS($R$5:R559,R559))</f>
        <v>0</v>
      </c>
      <c r="Y559" s="39">
        <f>IF(B559="","",IF(F559="","Add - no amount",IF(C559="","Add - no category, it will miss the P&amp;L",IF(V559="Overdue","Overdue - pay it",IF(V559="Due soon","Due - coming up",IF(IF(I559="Yes",J559="",FALSE),"Add - how often does it recur?",IF(L559="Yes","OK","Pending")))))))</f>
        <v>0</v>
      </c>
    </row>
    <row r="560" spans="1:25">
      <c r="A560" s="28">
        <f>IF(B560="","",ExpensePrefix&amp;TEXT(ROW()-4,"0000"))</f>
        <v>0</v>
      </c>
      <c r="P560" s="15">
        <f>IF(B560="","",TEXT(B560,"yyyy-mm"))</f>
        <v>0</v>
      </c>
      <c r="Q560" s="25">
        <f>IF(B560="","",WEEKNUM(B560,2))</f>
        <v>0</v>
      </c>
      <c r="R560" s="26">
        <f>IF(B560="","",ROUND(IF(F560="",0,F560)+IF(G560="",0,G560),2))</f>
        <v>0</v>
      </c>
      <c r="S560" s="26">
        <f>IF(B560="","",IF(I560&lt;&gt;"Yes",0,ROUND(IF(F560="",0,F560)*IF(J560="Weekly",52/12,IF(J560="Fortnightly",26/12,IF(J560="Four weekly",13/12,IF(J560="Monthly",1,IF(J560="Quarterly",1/3,IF(J560="Twice a year",1/6,IF(J560="Yearly",1/12,0))))))),2)))</f>
        <v>0</v>
      </c>
      <c r="T560" s="38">
        <f>IF(B560="","",IF(I560="Yes","Yes","No"))</f>
        <v>0</v>
      </c>
      <c r="U560" s="25">
        <f>IF(B560="","",IF(L560="Yes","",IF(K560="","",TodayDate-K560)))</f>
        <v>0</v>
      </c>
      <c r="V560" s="39">
        <f>IF(B560="","",IF(L560="Yes","Paid",IF(K560="","Pending",IF(K560&lt;TodayDate,"Overdue",IF(K560&lt;=TodayDate+7,"Due soon","Pending")))))</f>
        <v>0</v>
      </c>
      <c r="W560" s="26">
        <f>IF(B560="","",IFERROR(INDEX(BudgetAmount,MATCH(C560,BudgetCategory,0))*1,0))</f>
        <v>0</v>
      </c>
      <c r="X560" s="25">
        <f>IF(B560="","",COUNTIFS($R$5:$R$604,"&gt;"&amp;R560)+COUNTIFS($R$5:R560,R560))</f>
        <v>0</v>
      </c>
      <c r="Y560" s="39">
        <f>IF(B560="","",IF(F560="","Add - no amount",IF(C560="","Add - no category, it will miss the P&amp;L",IF(V560="Overdue","Overdue - pay it",IF(V560="Due soon","Due - coming up",IF(IF(I560="Yes",J560="",FALSE),"Add - how often does it recur?",IF(L560="Yes","OK","Pending")))))))</f>
        <v>0</v>
      </c>
    </row>
    <row r="561" spans="1:25">
      <c r="A561" s="28">
        <f>IF(B561="","",ExpensePrefix&amp;TEXT(ROW()-4,"0000"))</f>
        <v>0</v>
      </c>
      <c r="P561" s="15">
        <f>IF(B561="","",TEXT(B561,"yyyy-mm"))</f>
        <v>0</v>
      </c>
      <c r="Q561" s="25">
        <f>IF(B561="","",WEEKNUM(B561,2))</f>
        <v>0</v>
      </c>
      <c r="R561" s="26">
        <f>IF(B561="","",ROUND(IF(F561="",0,F561)+IF(G561="",0,G561),2))</f>
        <v>0</v>
      </c>
      <c r="S561" s="26">
        <f>IF(B561="","",IF(I561&lt;&gt;"Yes",0,ROUND(IF(F561="",0,F561)*IF(J561="Weekly",52/12,IF(J561="Fortnightly",26/12,IF(J561="Four weekly",13/12,IF(J561="Monthly",1,IF(J561="Quarterly",1/3,IF(J561="Twice a year",1/6,IF(J561="Yearly",1/12,0))))))),2)))</f>
        <v>0</v>
      </c>
      <c r="T561" s="38">
        <f>IF(B561="","",IF(I561="Yes","Yes","No"))</f>
        <v>0</v>
      </c>
      <c r="U561" s="25">
        <f>IF(B561="","",IF(L561="Yes","",IF(K561="","",TodayDate-K561)))</f>
        <v>0</v>
      </c>
      <c r="V561" s="39">
        <f>IF(B561="","",IF(L561="Yes","Paid",IF(K561="","Pending",IF(K561&lt;TodayDate,"Overdue",IF(K561&lt;=TodayDate+7,"Due soon","Pending")))))</f>
        <v>0</v>
      </c>
      <c r="W561" s="26">
        <f>IF(B561="","",IFERROR(INDEX(BudgetAmount,MATCH(C561,BudgetCategory,0))*1,0))</f>
        <v>0</v>
      </c>
      <c r="X561" s="25">
        <f>IF(B561="","",COUNTIFS($R$5:$R$604,"&gt;"&amp;R561)+COUNTIFS($R$5:R561,R561))</f>
        <v>0</v>
      </c>
      <c r="Y561" s="39">
        <f>IF(B561="","",IF(F561="","Add - no amount",IF(C561="","Add - no category, it will miss the P&amp;L",IF(V561="Overdue","Overdue - pay it",IF(V561="Due soon","Due - coming up",IF(IF(I561="Yes",J561="",FALSE),"Add - how often does it recur?",IF(L561="Yes","OK","Pending")))))))</f>
        <v>0</v>
      </c>
    </row>
    <row r="562" spans="1:25">
      <c r="A562" s="28">
        <f>IF(B562="","",ExpensePrefix&amp;TEXT(ROW()-4,"0000"))</f>
        <v>0</v>
      </c>
      <c r="P562" s="15">
        <f>IF(B562="","",TEXT(B562,"yyyy-mm"))</f>
        <v>0</v>
      </c>
      <c r="Q562" s="25">
        <f>IF(B562="","",WEEKNUM(B562,2))</f>
        <v>0</v>
      </c>
      <c r="R562" s="26">
        <f>IF(B562="","",ROUND(IF(F562="",0,F562)+IF(G562="",0,G562),2))</f>
        <v>0</v>
      </c>
      <c r="S562" s="26">
        <f>IF(B562="","",IF(I562&lt;&gt;"Yes",0,ROUND(IF(F562="",0,F562)*IF(J562="Weekly",52/12,IF(J562="Fortnightly",26/12,IF(J562="Four weekly",13/12,IF(J562="Monthly",1,IF(J562="Quarterly",1/3,IF(J562="Twice a year",1/6,IF(J562="Yearly",1/12,0))))))),2)))</f>
        <v>0</v>
      </c>
      <c r="T562" s="38">
        <f>IF(B562="","",IF(I562="Yes","Yes","No"))</f>
        <v>0</v>
      </c>
      <c r="U562" s="25">
        <f>IF(B562="","",IF(L562="Yes","",IF(K562="","",TodayDate-K562)))</f>
        <v>0</v>
      </c>
      <c r="V562" s="39">
        <f>IF(B562="","",IF(L562="Yes","Paid",IF(K562="","Pending",IF(K562&lt;TodayDate,"Overdue",IF(K562&lt;=TodayDate+7,"Due soon","Pending")))))</f>
        <v>0</v>
      </c>
      <c r="W562" s="26">
        <f>IF(B562="","",IFERROR(INDEX(BudgetAmount,MATCH(C562,BudgetCategory,0))*1,0))</f>
        <v>0</v>
      </c>
      <c r="X562" s="25">
        <f>IF(B562="","",COUNTIFS($R$5:$R$604,"&gt;"&amp;R562)+COUNTIFS($R$5:R562,R562))</f>
        <v>0</v>
      </c>
      <c r="Y562" s="39">
        <f>IF(B562="","",IF(F562="","Add - no amount",IF(C562="","Add - no category, it will miss the P&amp;L",IF(V562="Overdue","Overdue - pay it",IF(V562="Due soon","Due - coming up",IF(IF(I562="Yes",J562="",FALSE),"Add - how often does it recur?",IF(L562="Yes","OK","Pending")))))))</f>
        <v>0</v>
      </c>
    </row>
    <row r="563" spans="1:25">
      <c r="A563" s="28">
        <f>IF(B563="","",ExpensePrefix&amp;TEXT(ROW()-4,"0000"))</f>
        <v>0</v>
      </c>
      <c r="P563" s="15">
        <f>IF(B563="","",TEXT(B563,"yyyy-mm"))</f>
        <v>0</v>
      </c>
      <c r="Q563" s="25">
        <f>IF(B563="","",WEEKNUM(B563,2))</f>
        <v>0</v>
      </c>
      <c r="R563" s="26">
        <f>IF(B563="","",ROUND(IF(F563="",0,F563)+IF(G563="",0,G563),2))</f>
        <v>0</v>
      </c>
      <c r="S563" s="26">
        <f>IF(B563="","",IF(I563&lt;&gt;"Yes",0,ROUND(IF(F563="",0,F563)*IF(J563="Weekly",52/12,IF(J563="Fortnightly",26/12,IF(J563="Four weekly",13/12,IF(J563="Monthly",1,IF(J563="Quarterly",1/3,IF(J563="Twice a year",1/6,IF(J563="Yearly",1/12,0))))))),2)))</f>
        <v>0</v>
      </c>
      <c r="T563" s="38">
        <f>IF(B563="","",IF(I563="Yes","Yes","No"))</f>
        <v>0</v>
      </c>
      <c r="U563" s="25">
        <f>IF(B563="","",IF(L563="Yes","",IF(K563="","",TodayDate-K563)))</f>
        <v>0</v>
      </c>
      <c r="V563" s="39">
        <f>IF(B563="","",IF(L563="Yes","Paid",IF(K563="","Pending",IF(K563&lt;TodayDate,"Overdue",IF(K563&lt;=TodayDate+7,"Due soon","Pending")))))</f>
        <v>0</v>
      </c>
      <c r="W563" s="26">
        <f>IF(B563="","",IFERROR(INDEX(BudgetAmount,MATCH(C563,BudgetCategory,0))*1,0))</f>
        <v>0</v>
      </c>
      <c r="X563" s="25">
        <f>IF(B563="","",COUNTIFS($R$5:$R$604,"&gt;"&amp;R563)+COUNTIFS($R$5:R563,R563))</f>
        <v>0</v>
      </c>
      <c r="Y563" s="39">
        <f>IF(B563="","",IF(F563="","Add - no amount",IF(C563="","Add - no category, it will miss the P&amp;L",IF(V563="Overdue","Overdue - pay it",IF(V563="Due soon","Due - coming up",IF(IF(I563="Yes",J563="",FALSE),"Add - how often does it recur?",IF(L563="Yes","OK","Pending")))))))</f>
        <v>0</v>
      </c>
    </row>
    <row r="564" spans="1:25">
      <c r="A564" s="28">
        <f>IF(B564="","",ExpensePrefix&amp;TEXT(ROW()-4,"0000"))</f>
        <v>0</v>
      </c>
      <c r="P564" s="15">
        <f>IF(B564="","",TEXT(B564,"yyyy-mm"))</f>
        <v>0</v>
      </c>
      <c r="Q564" s="25">
        <f>IF(B564="","",WEEKNUM(B564,2))</f>
        <v>0</v>
      </c>
      <c r="R564" s="26">
        <f>IF(B564="","",ROUND(IF(F564="",0,F564)+IF(G564="",0,G564),2))</f>
        <v>0</v>
      </c>
      <c r="S564" s="26">
        <f>IF(B564="","",IF(I564&lt;&gt;"Yes",0,ROUND(IF(F564="",0,F564)*IF(J564="Weekly",52/12,IF(J564="Fortnightly",26/12,IF(J564="Four weekly",13/12,IF(J564="Monthly",1,IF(J564="Quarterly",1/3,IF(J564="Twice a year",1/6,IF(J564="Yearly",1/12,0))))))),2)))</f>
        <v>0</v>
      </c>
      <c r="T564" s="38">
        <f>IF(B564="","",IF(I564="Yes","Yes","No"))</f>
        <v>0</v>
      </c>
      <c r="U564" s="25">
        <f>IF(B564="","",IF(L564="Yes","",IF(K564="","",TodayDate-K564)))</f>
        <v>0</v>
      </c>
      <c r="V564" s="39">
        <f>IF(B564="","",IF(L564="Yes","Paid",IF(K564="","Pending",IF(K564&lt;TodayDate,"Overdue",IF(K564&lt;=TodayDate+7,"Due soon","Pending")))))</f>
        <v>0</v>
      </c>
      <c r="W564" s="26">
        <f>IF(B564="","",IFERROR(INDEX(BudgetAmount,MATCH(C564,BudgetCategory,0))*1,0))</f>
        <v>0</v>
      </c>
      <c r="X564" s="25">
        <f>IF(B564="","",COUNTIFS($R$5:$R$604,"&gt;"&amp;R564)+COUNTIFS($R$5:R564,R564))</f>
        <v>0</v>
      </c>
      <c r="Y564" s="39">
        <f>IF(B564="","",IF(F564="","Add - no amount",IF(C564="","Add - no category, it will miss the P&amp;L",IF(V564="Overdue","Overdue - pay it",IF(V564="Due soon","Due - coming up",IF(IF(I564="Yes",J564="",FALSE),"Add - how often does it recur?",IF(L564="Yes","OK","Pending")))))))</f>
        <v>0</v>
      </c>
    </row>
    <row r="565" spans="1:25">
      <c r="A565" s="28">
        <f>IF(B565="","",ExpensePrefix&amp;TEXT(ROW()-4,"0000"))</f>
        <v>0</v>
      </c>
      <c r="P565" s="15">
        <f>IF(B565="","",TEXT(B565,"yyyy-mm"))</f>
        <v>0</v>
      </c>
      <c r="Q565" s="25">
        <f>IF(B565="","",WEEKNUM(B565,2))</f>
        <v>0</v>
      </c>
      <c r="R565" s="26">
        <f>IF(B565="","",ROUND(IF(F565="",0,F565)+IF(G565="",0,G565),2))</f>
        <v>0</v>
      </c>
      <c r="S565" s="26">
        <f>IF(B565="","",IF(I565&lt;&gt;"Yes",0,ROUND(IF(F565="",0,F565)*IF(J565="Weekly",52/12,IF(J565="Fortnightly",26/12,IF(J565="Four weekly",13/12,IF(J565="Monthly",1,IF(J565="Quarterly",1/3,IF(J565="Twice a year",1/6,IF(J565="Yearly",1/12,0))))))),2)))</f>
        <v>0</v>
      </c>
      <c r="T565" s="38">
        <f>IF(B565="","",IF(I565="Yes","Yes","No"))</f>
        <v>0</v>
      </c>
      <c r="U565" s="25">
        <f>IF(B565="","",IF(L565="Yes","",IF(K565="","",TodayDate-K565)))</f>
        <v>0</v>
      </c>
      <c r="V565" s="39">
        <f>IF(B565="","",IF(L565="Yes","Paid",IF(K565="","Pending",IF(K565&lt;TodayDate,"Overdue",IF(K565&lt;=TodayDate+7,"Due soon","Pending")))))</f>
        <v>0</v>
      </c>
      <c r="W565" s="26">
        <f>IF(B565="","",IFERROR(INDEX(BudgetAmount,MATCH(C565,BudgetCategory,0))*1,0))</f>
        <v>0</v>
      </c>
      <c r="X565" s="25">
        <f>IF(B565="","",COUNTIFS($R$5:$R$604,"&gt;"&amp;R565)+COUNTIFS($R$5:R565,R565))</f>
        <v>0</v>
      </c>
      <c r="Y565" s="39">
        <f>IF(B565="","",IF(F565="","Add - no amount",IF(C565="","Add - no category, it will miss the P&amp;L",IF(V565="Overdue","Overdue - pay it",IF(V565="Due soon","Due - coming up",IF(IF(I565="Yes",J565="",FALSE),"Add - how often does it recur?",IF(L565="Yes","OK","Pending")))))))</f>
        <v>0</v>
      </c>
    </row>
    <row r="566" spans="1:25">
      <c r="A566" s="28">
        <f>IF(B566="","",ExpensePrefix&amp;TEXT(ROW()-4,"0000"))</f>
        <v>0</v>
      </c>
      <c r="P566" s="15">
        <f>IF(B566="","",TEXT(B566,"yyyy-mm"))</f>
        <v>0</v>
      </c>
      <c r="Q566" s="25">
        <f>IF(B566="","",WEEKNUM(B566,2))</f>
        <v>0</v>
      </c>
      <c r="R566" s="26">
        <f>IF(B566="","",ROUND(IF(F566="",0,F566)+IF(G566="",0,G566),2))</f>
        <v>0</v>
      </c>
      <c r="S566" s="26">
        <f>IF(B566="","",IF(I566&lt;&gt;"Yes",0,ROUND(IF(F566="",0,F566)*IF(J566="Weekly",52/12,IF(J566="Fortnightly",26/12,IF(J566="Four weekly",13/12,IF(J566="Monthly",1,IF(J566="Quarterly",1/3,IF(J566="Twice a year",1/6,IF(J566="Yearly",1/12,0))))))),2)))</f>
        <v>0</v>
      </c>
      <c r="T566" s="38">
        <f>IF(B566="","",IF(I566="Yes","Yes","No"))</f>
        <v>0</v>
      </c>
      <c r="U566" s="25">
        <f>IF(B566="","",IF(L566="Yes","",IF(K566="","",TodayDate-K566)))</f>
        <v>0</v>
      </c>
      <c r="V566" s="39">
        <f>IF(B566="","",IF(L566="Yes","Paid",IF(K566="","Pending",IF(K566&lt;TodayDate,"Overdue",IF(K566&lt;=TodayDate+7,"Due soon","Pending")))))</f>
        <v>0</v>
      </c>
      <c r="W566" s="26">
        <f>IF(B566="","",IFERROR(INDEX(BudgetAmount,MATCH(C566,BudgetCategory,0))*1,0))</f>
        <v>0</v>
      </c>
      <c r="X566" s="25">
        <f>IF(B566="","",COUNTIFS($R$5:$R$604,"&gt;"&amp;R566)+COUNTIFS($R$5:R566,R566))</f>
        <v>0</v>
      </c>
      <c r="Y566" s="39">
        <f>IF(B566="","",IF(F566="","Add - no amount",IF(C566="","Add - no category, it will miss the P&amp;L",IF(V566="Overdue","Overdue - pay it",IF(V566="Due soon","Due - coming up",IF(IF(I566="Yes",J566="",FALSE),"Add - how often does it recur?",IF(L566="Yes","OK","Pending")))))))</f>
        <v>0</v>
      </c>
    </row>
    <row r="567" spans="1:25">
      <c r="A567" s="28">
        <f>IF(B567="","",ExpensePrefix&amp;TEXT(ROW()-4,"0000"))</f>
        <v>0</v>
      </c>
      <c r="P567" s="15">
        <f>IF(B567="","",TEXT(B567,"yyyy-mm"))</f>
        <v>0</v>
      </c>
      <c r="Q567" s="25">
        <f>IF(B567="","",WEEKNUM(B567,2))</f>
        <v>0</v>
      </c>
      <c r="R567" s="26">
        <f>IF(B567="","",ROUND(IF(F567="",0,F567)+IF(G567="",0,G567),2))</f>
        <v>0</v>
      </c>
      <c r="S567" s="26">
        <f>IF(B567="","",IF(I567&lt;&gt;"Yes",0,ROUND(IF(F567="",0,F567)*IF(J567="Weekly",52/12,IF(J567="Fortnightly",26/12,IF(J567="Four weekly",13/12,IF(J567="Monthly",1,IF(J567="Quarterly",1/3,IF(J567="Twice a year",1/6,IF(J567="Yearly",1/12,0))))))),2)))</f>
        <v>0</v>
      </c>
      <c r="T567" s="38">
        <f>IF(B567="","",IF(I567="Yes","Yes","No"))</f>
        <v>0</v>
      </c>
      <c r="U567" s="25">
        <f>IF(B567="","",IF(L567="Yes","",IF(K567="","",TodayDate-K567)))</f>
        <v>0</v>
      </c>
      <c r="V567" s="39">
        <f>IF(B567="","",IF(L567="Yes","Paid",IF(K567="","Pending",IF(K567&lt;TodayDate,"Overdue",IF(K567&lt;=TodayDate+7,"Due soon","Pending")))))</f>
        <v>0</v>
      </c>
      <c r="W567" s="26">
        <f>IF(B567="","",IFERROR(INDEX(BudgetAmount,MATCH(C567,BudgetCategory,0))*1,0))</f>
        <v>0</v>
      </c>
      <c r="X567" s="25">
        <f>IF(B567="","",COUNTIFS($R$5:$R$604,"&gt;"&amp;R567)+COUNTIFS($R$5:R567,R567))</f>
        <v>0</v>
      </c>
      <c r="Y567" s="39">
        <f>IF(B567="","",IF(F567="","Add - no amount",IF(C567="","Add - no category, it will miss the P&amp;L",IF(V567="Overdue","Overdue - pay it",IF(V567="Due soon","Due - coming up",IF(IF(I567="Yes",J567="",FALSE),"Add - how often does it recur?",IF(L567="Yes","OK","Pending")))))))</f>
        <v>0</v>
      </c>
    </row>
    <row r="568" spans="1:25">
      <c r="A568" s="28">
        <f>IF(B568="","",ExpensePrefix&amp;TEXT(ROW()-4,"0000"))</f>
        <v>0</v>
      </c>
      <c r="P568" s="15">
        <f>IF(B568="","",TEXT(B568,"yyyy-mm"))</f>
        <v>0</v>
      </c>
      <c r="Q568" s="25">
        <f>IF(B568="","",WEEKNUM(B568,2))</f>
        <v>0</v>
      </c>
      <c r="R568" s="26">
        <f>IF(B568="","",ROUND(IF(F568="",0,F568)+IF(G568="",0,G568),2))</f>
        <v>0</v>
      </c>
      <c r="S568" s="26">
        <f>IF(B568="","",IF(I568&lt;&gt;"Yes",0,ROUND(IF(F568="",0,F568)*IF(J568="Weekly",52/12,IF(J568="Fortnightly",26/12,IF(J568="Four weekly",13/12,IF(J568="Monthly",1,IF(J568="Quarterly",1/3,IF(J568="Twice a year",1/6,IF(J568="Yearly",1/12,0))))))),2)))</f>
        <v>0</v>
      </c>
      <c r="T568" s="38">
        <f>IF(B568="","",IF(I568="Yes","Yes","No"))</f>
        <v>0</v>
      </c>
      <c r="U568" s="25">
        <f>IF(B568="","",IF(L568="Yes","",IF(K568="","",TodayDate-K568)))</f>
        <v>0</v>
      </c>
      <c r="V568" s="39">
        <f>IF(B568="","",IF(L568="Yes","Paid",IF(K568="","Pending",IF(K568&lt;TodayDate,"Overdue",IF(K568&lt;=TodayDate+7,"Due soon","Pending")))))</f>
        <v>0</v>
      </c>
      <c r="W568" s="26">
        <f>IF(B568="","",IFERROR(INDEX(BudgetAmount,MATCH(C568,BudgetCategory,0))*1,0))</f>
        <v>0</v>
      </c>
      <c r="X568" s="25">
        <f>IF(B568="","",COUNTIFS($R$5:$R$604,"&gt;"&amp;R568)+COUNTIFS($R$5:R568,R568))</f>
        <v>0</v>
      </c>
      <c r="Y568" s="39">
        <f>IF(B568="","",IF(F568="","Add - no amount",IF(C568="","Add - no category, it will miss the P&amp;L",IF(V568="Overdue","Overdue - pay it",IF(V568="Due soon","Due - coming up",IF(IF(I568="Yes",J568="",FALSE),"Add - how often does it recur?",IF(L568="Yes","OK","Pending")))))))</f>
        <v>0</v>
      </c>
    </row>
    <row r="569" spans="1:25">
      <c r="A569" s="28">
        <f>IF(B569="","",ExpensePrefix&amp;TEXT(ROW()-4,"0000"))</f>
        <v>0</v>
      </c>
      <c r="P569" s="15">
        <f>IF(B569="","",TEXT(B569,"yyyy-mm"))</f>
        <v>0</v>
      </c>
      <c r="Q569" s="25">
        <f>IF(B569="","",WEEKNUM(B569,2))</f>
        <v>0</v>
      </c>
      <c r="R569" s="26">
        <f>IF(B569="","",ROUND(IF(F569="",0,F569)+IF(G569="",0,G569),2))</f>
        <v>0</v>
      </c>
      <c r="S569" s="26">
        <f>IF(B569="","",IF(I569&lt;&gt;"Yes",0,ROUND(IF(F569="",0,F569)*IF(J569="Weekly",52/12,IF(J569="Fortnightly",26/12,IF(J569="Four weekly",13/12,IF(J569="Monthly",1,IF(J569="Quarterly",1/3,IF(J569="Twice a year",1/6,IF(J569="Yearly",1/12,0))))))),2)))</f>
        <v>0</v>
      </c>
      <c r="T569" s="38">
        <f>IF(B569="","",IF(I569="Yes","Yes","No"))</f>
        <v>0</v>
      </c>
      <c r="U569" s="25">
        <f>IF(B569="","",IF(L569="Yes","",IF(K569="","",TodayDate-K569)))</f>
        <v>0</v>
      </c>
      <c r="V569" s="39">
        <f>IF(B569="","",IF(L569="Yes","Paid",IF(K569="","Pending",IF(K569&lt;TodayDate,"Overdue",IF(K569&lt;=TodayDate+7,"Due soon","Pending")))))</f>
        <v>0</v>
      </c>
      <c r="W569" s="26">
        <f>IF(B569="","",IFERROR(INDEX(BudgetAmount,MATCH(C569,BudgetCategory,0))*1,0))</f>
        <v>0</v>
      </c>
      <c r="X569" s="25">
        <f>IF(B569="","",COUNTIFS($R$5:$R$604,"&gt;"&amp;R569)+COUNTIFS($R$5:R569,R569))</f>
        <v>0</v>
      </c>
      <c r="Y569" s="39">
        <f>IF(B569="","",IF(F569="","Add - no amount",IF(C569="","Add - no category, it will miss the P&amp;L",IF(V569="Overdue","Overdue - pay it",IF(V569="Due soon","Due - coming up",IF(IF(I569="Yes",J569="",FALSE),"Add - how often does it recur?",IF(L569="Yes","OK","Pending")))))))</f>
        <v>0</v>
      </c>
    </row>
    <row r="570" spans="1:25">
      <c r="A570" s="28">
        <f>IF(B570="","",ExpensePrefix&amp;TEXT(ROW()-4,"0000"))</f>
        <v>0</v>
      </c>
      <c r="P570" s="15">
        <f>IF(B570="","",TEXT(B570,"yyyy-mm"))</f>
        <v>0</v>
      </c>
      <c r="Q570" s="25">
        <f>IF(B570="","",WEEKNUM(B570,2))</f>
        <v>0</v>
      </c>
      <c r="R570" s="26">
        <f>IF(B570="","",ROUND(IF(F570="",0,F570)+IF(G570="",0,G570),2))</f>
        <v>0</v>
      </c>
      <c r="S570" s="26">
        <f>IF(B570="","",IF(I570&lt;&gt;"Yes",0,ROUND(IF(F570="",0,F570)*IF(J570="Weekly",52/12,IF(J570="Fortnightly",26/12,IF(J570="Four weekly",13/12,IF(J570="Monthly",1,IF(J570="Quarterly",1/3,IF(J570="Twice a year",1/6,IF(J570="Yearly",1/12,0))))))),2)))</f>
        <v>0</v>
      </c>
      <c r="T570" s="38">
        <f>IF(B570="","",IF(I570="Yes","Yes","No"))</f>
        <v>0</v>
      </c>
      <c r="U570" s="25">
        <f>IF(B570="","",IF(L570="Yes","",IF(K570="","",TodayDate-K570)))</f>
        <v>0</v>
      </c>
      <c r="V570" s="39">
        <f>IF(B570="","",IF(L570="Yes","Paid",IF(K570="","Pending",IF(K570&lt;TodayDate,"Overdue",IF(K570&lt;=TodayDate+7,"Due soon","Pending")))))</f>
        <v>0</v>
      </c>
      <c r="W570" s="26">
        <f>IF(B570="","",IFERROR(INDEX(BudgetAmount,MATCH(C570,BudgetCategory,0))*1,0))</f>
        <v>0</v>
      </c>
      <c r="X570" s="25">
        <f>IF(B570="","",COUNTIFS($R$5:$R$604,"&gt;"&amp;R570)+COUNTIFS($R$5:R570,R570))</f>
        <v>0</v>
      </c>
      <c r="Y570" s="39">
        <f>IF(B570="","",IF(F570="","Add - no amount",IF(C570="","Add - no category, it will miss the P&amp;L",IF(V570="Overdue","Overdue - pay it",IF(V570="Due soon","Due - coming up",IF(IF(I570="Yes",J570="",FALSE),"Add - how often does it recur?",IF(L570="Yes","OK","Pending")))))))</f>
        <v>0</v>
      </c>
    </row>
    <row r="571" spans="1:25">
      <c r="A571" s="28">
        <f>IF(B571="","",ExpensePrefix&amp;TEXT(ROW()-4,"0000"))</f>
        <v>0</v>
      </c>
      <c r="P571" s="15">
        <f>IF(B571="","",TEXT(B571,"yyyy-mm"))</f>
        <v>0</v>
      </c>
      <c r="Q571" s="25">
        <f>IF(B571="","",WEEKNUM(B571,2))</f>
        <v>0</v>
      </c>
      <c r="R571" s="26">
        <f>IF(B571="","",ROUND(IF(F571="",0,F571)+IF(G571="",0,G571),2))</f>
        <v>0</v>
      </c>
      <c r="S571" s="26">
        <f>IF(B571="","",IF(I571&lt;&gt;"Yes",0,ROUND(IF(F571="",0,F571)*IF(J571="Weekly",52/12,IF(J571="Fortnightly",26/12,IF(J571="Four weekly",13/12,IF(J571="Monthly",1,IF(J571="Quarterly",1/3,IF(J571="Twice a year",1/6,IF(J571="Yearly",1/12,0))))))),2)))</f>
        <v>0</v>
      </c>
      <c r="T571" s="38">
        <f>IF(B571="","",IF(I571="Yes","Yes","No"))</f>
        <v>0</v>
      </c>
      <c r="U571" s="25">
        <f>IF(B571="","",IF(L571="Yes","",IF(K571="","",TodayDate-K571)))</f>
        <v>0</v>
      </c>
      <c r="V571" s="39">
        <f>IF(B571="","",IF(L571="Yes","Paid",IF(K571="","Pending",IF(K571&lt;TodayDate,"Overdue",IF(K571&lt;=TodayDate+7,"Due soon","Pending")))))</f>
        <v>0</v>
      </c>
      <c r="W571" s="26">
        <f>IF(B571="","",IFERROR(INDEX(BudgetAmount,MATCH(C571,BudgetCategory,0))*1,0))</f>
        <v>0</v>
      </c>
      <c r="X571" s="25">
        <f>IF(B571="","",COUNTIFS($R$5:$R$604,"&gt;"&amp;R571)+COUNTIFS($R$5:R571,R571))</f>
        <v>0</v>
      </c>
      <c r="Y571" s="39">
        <f>IF(B571="","",IF(F571="","Add - no amount",IF(C571="","Add - no category, it will miss the P&amp;L",IF(V571="Overdue","Overdue - pay it",IF(V571="Due soon","Due - coming up",IF(IF(I571="Yes",J571="",FALSE),"Add - how often does it recur?",IF(L571="Yes","OK","Pending")))))))</f>
        <v>0</v>
      </c>
    </row>
    <row r="572" spans="1:25">
      <c r="A572" s="28">
        <f>IF(B572="","",ExpensePrefix&amp;TEXT(ROW()-4,"0000"))</f>
        <v>0</v>
      </c>
      <c r="P572" s="15">
        <f>IF(B572="","",TEXT(B572,"yyyy-mm"))</f>
        <v>0</v>
      </c>
      <c r="Q572" s="25">
        <f>IF(B572="","",WEEKNUM(B572,2))</f>
        <v>0</v>
      </c>
      <c r="R572" s="26">
        <f>IF(B572="","",ROUND(IF(F572="",0,F572)+IF(G572="",0,G572),2))</f>
        <v>0</v>
      </c>
      <c r="S572" s="26">
        <f>IF(B572="","",IF(I572&lt;&gt;"Yes",0,ROUND(IF(F572="",0,F572)*IF(J572="Weekly",52/12,IF(J572="Fortnightly",26/12,IF(J572="Four weekly",13/12,IF(J572="Monthly",1,IF(J572="Quarterly",1/3,IF(J572="Twice a year",1/6,IF(J572="Yearly",1/12,0))))))),2)))</f>
        <v>0</v>
      </c>
      <c r="T572" s="38">
        <f>IF(B572="","",IF(I572="Yes","Yes","No"))</f>
        <v>0</v>
      </c>
      <c r="U572" s="25">
        <f>IF(B572="","",IF(L572="Yes","",IF(K572="","",TodayDate-K572)))</f>
        <v>0</v>
      </c>
      <c r="V572" s="39">
        <f>IF(B572="","",IF(L572="Yes","Paid",IF(K572="","Pending",IF(K572&lt;TodayDate,"Overdue",IF(K572&lt;=TodayDate+7,"Due soon","Pending")))))</f>
        <v>0</v>
      </c>
      <c r="W572" s="26">
        <f>IF(B572="","",IFERROR(INDEX(BudgetAmount,MATCH(C572,BudgetCategory,0))*1,0))</f>
        <v>0</v>
      </c>
      <c r="X572" s="25">
        <f>IF(B572="","",COUNTIFS($R$5:$R$604,"&gt;"&amp;R572)+COUNTIFS($R$5:R572,R572))</f>
        <v>0</v>
      </c>
      <c r="Y572" s="39">
        <f>IF(B572="","",IF(F572="","Add - no amount",IF(C572="","Add - no category, it will miss the P&amp;L",IF(V572="Overdue","Overdue - pay it",IF(V572="Due soon","Due - coming up",IF(IF(I572="Yes",J572="",FALSE),"Add - how often does it recur?",IF(L572="Yes","OK","Pending")))))))</f>
        <v>0</v>
      </c>
    </row>
    <row r="573" spans="1:25">
      <c r="A573" s="28">
        <f>IF(B573="","",ExpensePrefix&amp;TEXT(ROW()-4,"0000"))</f>
        <v>0</v>
      </c>
      <c r="P573" s="15">
        <f>IF(B573="","",TEXT(B573,"yyyy-mm"))</f>
        <v>0</v>
      </c>
      <c r="Q573" s="25">
        <f>IF(B573="","",WEEKNUM(B573,2))</f>
        <v>0</v>
      </c>
      <c r="R573" s="26">
        <f>IF(B573="","",ROUND(IF(F573="",0,F573)+IF(G573="",0,G573),2))</f>
        <v>0</v>
      </c>
      <c r="S573" s="26">
        <f>IF(B573="","",IF(I573&lt;&gt;"Yes",0,ROUND(IF(F573="",0,F573)*IF(J573="Weekly",52/12,IF(J573="Fortnightly",26/12,IF(J573="Four weekly",13/12,IF(J573="Monthly",1,IF(J573="Quarterly",1/3,IF(J573="Twice a year",1/6,IF(J573="Yearly",1/12,0))))))),2)))</f>
        <v>0</v>
      </c>
      <c r="T573" s="38">
        <f>IF(B573="","",IF(I573="Yes","Yes","No"))</f>
        <v>0</v>
      </c>
      <c r="U573" s="25">
        <f>IF(B573="","",IF(L573="Yes","",IF(K573="","",TodayDate-K573)))</f>
        <v>0</v>
      </c>
      <c r="V573" s="39">
        <f>IF(B573="","",IF(L573="Yes","Paid",IF(K573="","Pending",IF(K573&lt;TodayDate,"Overdue",IF(K573&lt;=TodayDate+7,"Due soon","Pending")))))</f>
        <v>0</v>
      </c>
      <c r="W573" s="26">
        <f>IF(B573="","",IFERROR(INDEX(BudgetAmount,MATCH(C573,BudgetCategory,0))*1,0))</f>
        <v>0</v>
      </c>
      <c r="X573" s="25">
        <f>IF(B573="","",COUNTIFS($R$5:$R$604,"&gt;"&amp;R573)+COUNTIFS($R$5:R573,R573))</f>
        <v>0</v>
      </c>
      <c r="Y573" s="39">
        <f>IF(B573="","",IF(F573="","Add - no amount",IF(C573="","Add - no category, it will miss the P&amp;L",IF(V573="Overdue","Overdue - pay it",IF(V573="Due soon","Due - coming up",IF(IF(I573="Yes",J573="",FALSE),"Add - how often does it recur?",IF(L573="Yes","OK","Pending")))))))</f>
        <v>0</v>
      </c>
    </row>
    <row r="574" spans="1:25">
      <c r="A574" s="28">
        <f>IF(B574="","",ExpensePrefix&amp;TEXT(ROW()-4,"0000"))</f>
        <v>0</v>
      </c>
      <c r="P574" s="15">
        <f>IF(B574="","",TEXT(B574,"yyyy-mm"))</f>
        <v>0</v>
      </c>
      <c r="Q574" s="25">
        <f>IF(B574="","",WEEKNUM(B574,2))</f>
        <v>0</v>
      </c>
      <c r="R574" s="26">
        <f>IF(B574="","",ROUND(IF(F574="",0,F574)+IF(G574="",0,G574),2))</f>
        <v>0</v>
      </c>
      <c r="S574" s="26">
        <f>IF(B574="","",IF(I574&lt;&gt;"Yes",0,ROUND(IF(F574="",0,F574)*IF(J574="Weekly",52/12,IF(J574="Fortnightly",26/12,IF(J574="Four weekly",13/12,IF(J574="Monthly",1,IF(J574="Quarterly",1/3,IF(J574="Twice a year",1/6,IF(J574="Yearly",1/12,0))))))),2)))</f>
        <v>0</v>
      </c>
      <c r="T574" s="38">
        <f>IF(B574="","",IF(I574="Yes","Yes","No"))</f>
        <v>0</v>
      </c>
      <c r="U574" s="25">
        <f>IF(B574="","",IF(L574="Yes","",IF(K574="","",TodayDate-K574)))</f>
        <v>0</v>
      </c>
      <c r="V574" s="39">
        <f>IF(B574="","",IF(L574="Yes","Paid",IF(K574="","Pending",IF(K574&lt;TodayDate,"Overdue",IF(K574&lt;=TodayDate+7,"Due soon","Pending")))))</f>
        <v>0</v>
      </c>
      <c r="W574" s="26">
        <f>IF(B574="","",IFERROR(INDEX(BudgetAmount,MATCH(C574,BudgetCategory,0))*1,0))</f>
        <v>0</v>
      </c>
      <c r="X574" s="25">
        <f>IF(B574="","",COUNTIFS($R$5:$R$604,"&gt;"&amp;R574)+COUNTIFS($R$5:R574,R574))</f>
        <v>0</v>
      </c>
      <c r="Y574" s="39">
        <f>IF(B574="","",IF(F574="","Add - no amount",IF(C574="","Add - no category, it will miss the P&amp;L",IF(V574="Overdue","Overdue - pay it",IF(V574="Due soon","Due - coming up",IF(IF(I574="Yes",J574="",FALSE),"Add - how often does it recur?",IF(L574="Yes","OK","Pending")))))))</f>
        <v>0</v>
      </c>
    </row>
    <row r="575" spans="1:25">
      <c r="A575" s="28">
        <f>IF(B575="","",ExpensePrefix&amp;TEXT(ROW()-4,"0000"))</f>
        <v>0</v>
      </c>
      <c r="P575" s="15">
        <f>IF(B575="","",TEXT(B575,"yyyy-mm"))</f>
        <v>0</v>
      </c>
      <c r="Q575" s="25">
        <f>IF(B575="","",WEEKNUM(B575,2))</f>
        <v>0</v>
      </c>
      <c r="R575" s="26">
        <f>IF(B575="","",ROUND(IF(F575="",0,F575)+IF(G575="",0,G575),2))</f>
        <v>0</v>
      </c>
      <c r="S575" s="26">
        <f>IF(B575="","",IF(I575&lt;&gt;"Yes",0,ROUND(IF(F575="",0,F575)*IF(J575="Weekly",52/12,IF(J575="Fortnightly",26/12,IF(J575="Four weekly",13/12,IF(J575="Monthly",1,IF(J575="Quarterly",1/3,IF(J575="Twice a year",1/6,IF(J575="Yearly",1/12,0))))))),2)))</f>
        <v>0</v>
      </c>
      <c r="T575" s="38">
        <f>IF(B575="","",IF(I575="Yes","Yes","No"))</f>
        <v>0</v>
      </c>
      <c r="U575" s="25">
        <f>IF(B575="","",IF(L575="Yes","",IF(K575="","",TodayDate-K575)))</f>
        <v>0</v>
      </c>
      <c r="V575" s="39">
        <f>IF(B575="","",IF(L575="Yes","Paid",IF(K575="","Pending",IF(K575&lt;TodayDate,"Overdue",IF(K575&lt;=TodayDate+7,"Due soon","Pending")))))</f>
        <v>0</v>
      </c>
      <c r="W575" s="26">
        <f>IF(B575="","",IFERROR(INDEX(BudgetAmount,MATCH(C575,BudgetCategory,0))*1,0))</f>
        <v>0</v>
      </c>
      <c r="X575" s="25">
        <f>IF(B575="","",COUNTIFS($R$5:$R$604,"&gt;"&amp;R575)+COUNTIFS($R$5:R575,R575))</f>
        <v>0</v>
      </c>
      <c r="Y575" s="39">
        <f>IF(B575="","",IF(F575="","Add - no amount",IF(C575="","Add - no category, it will miss the P&amp;L",IF(V575="Overdue","Overdue - pay it",IF(V575="Due soon","Due - coming up",IF(IF(I575="Yes",J575="",FALSE),"Add - how often does it recur?",IF(L575="Yes","OK","Pending")))))))</f>
        <v>0</v>
      </c>
    </row>
    <row r="576" spans="1:25">
      <c r="A576" s="28">
        <f>IF(B576="","",ExpensePrefix&amp;TEXT(ROW()-4,"0000"))</f>
        <v>0</v>
      </c>
      <c r="P576" s="15">
        <f>IF(B576="","",TEXT(B576,"yyyy-mm"))</f>
        <v>0</v>
      </c>
      <c r="Q576" s="25">
        <f>IF(B576="","",WEEKNUM(B576,2))</f>
        <v>0</v>
      </c>
      <c r="R576" s="26">
        <f>IF(B576="","",ROUND(IF(F576="",0,F576)+IF(G576="",0,G576),2))</f>
        <v>0</v>
      </c>
      <c r="S576" s="26">
        <f>IF(B576="","",IF(I576&lt;&gt;"Yes",0,ROUND(IF(F576="",0,F576)*IF(J576="Weekly",52/12,IF(J576="Fortnightly",26/12,IF(J576="Four weekly",13/12,IF(J576="Monthly",1,IF(J576="Quarterly",1/3,IF(J576="Twice a year",1/6,IF(J576="Yearly",1/12,0))))))),2)))</f>
        <v>0</v>
      </c>
      <c r="T576" s="38">
        <f>IF(B576="","",IF(I576="Yes","Yes","No"))</f>
        <v>0</v>
      </c>
      <c r="U576" s="25">
        <f>IF(B576="","",IF(L576="Yes","",IF(K576="","",TodayDate-K576)))</f>
        <v>0</v>
      </c>
      <c r="V576" s="39">
        <f>IF(B576="","",IF(L576="Yes","Paid",IF(K576="","Pending",IF(K576&lt;TodayDate,"Overdue",IF(K576&lt;=TodayDate+7,"Due soon","Pending")))))</f>
        <v>0</v>
      </c>
      <c r="W576" s="26">
        <f>IF(B576="","",IFERROR(INDEX(BudgetAmount,MATCH(C576,BudgetCategory,0))*1,0))</f>
        <v>0</v>
      </c>
      <c r="X576" s="25">
        <f>IF(B576="","",COUNTIFS($R$5:$R$604,"&gt;"&amp;R576)+COUNTIFS($R$5:R576,R576))</f>
        <v>0</v>
      </c>
      <c r="Y576" s="39">
        <f>IF(B576="","",IF(F576="","Add - no amount",IF(C576="","Add - no category, it will miss the P&amp;L",IF(V576="Overdue","Overdue - pay it",IF(V576="Due soon","Due - coming up",IF(IF(I576="Yes",J576="",FALSE),"Add - how often does it recur?",IF(L576="Yes","OK","Pending")))))))</f>
        <v>0</v>
      </c>
    </row>
    <row r="577" spans="1:25">
      <c r="A577" s="28">
        <f>IF(B577="","",ExpensePrefix&amp;TEXT(ROW()-4,"0000"))</f>
        <v>0</v>
      </c>
      <c r="P577" s="15">
        <f>IF(B577="","",TEXT(B577,"yyyy-mm"))</f>
        <v>0</v>
      </c>
      <c r="Q577" s="25">
        <f>IF(B577="","",WEEKNUM(B577,2))</f>
        <v>0</v>
      </c>
      <c r="R577" s="26">
        <f>IF(B577="","",ROUND(IF(F577="",0,F577)+IF(G577="",0,G577),2))</f>
        <v>0</v>
      </c>
      <c r="S577" s="26">
        <f>IF(B577="","",IF(I577&lt;&gt;"Yes",0,ROUND(IF(F577="",0,F577)*IF(J577="Weekly",52/12,IF(J577="Fortnightly",26/12,IF(J577="Four weekly",13/12,IF(J577="Monthly",1,IF(J577="Quarterly",1/3,IF(J577="Twice a year",1/6,IF(J577="Yearly",1/12,0))))))),2)))</f>
        <v>0</v>
      </c>
      <c r="T577" s="38">
        <f>IF(B577="","",IF(I577="Yes","Yes","No"))</f>
        <v>0</v>
      </c>
      <c r="U577" s="25">
        <f>IF(B577="","",IF(L577="Yes","",IF(K577="","",TodayDate-K577)))</f>
        <v>0</v>
      </c>
      <c r="V577" s="39">
        <f>IF(B577="","",IF(L577="Yes","Paid",IF(K577="","Pending",IF(K577&lt;TodayDate,"Overdue",IF(K577&lt;=TodayDate+7,"Due soon","Pending")))))</f>
        <v>0</v>
      </c>
      <c r="W577" s="26">
        <f>IF(B577="","",IFERROR(INDEX(BudgetAmount,MATCH(C577,BudgetCategory,0))*1,0))</f>
        <v>0</v>
      </c>
      <c r="X577" s="25">
        <f>IF(B577="","",COUNTIFS($R$5:$R$604,"&gt;"&amp;R577)+COUNTIFS($R$5:R577,R577))</f>
        <v>0</v>
      </c>
      <c r="Y577" s="39">
        <f>IF(B577="","",IF(F577="","Add - no amount",IF(C577="","Add - no category, it will miss the P&amp;L",IF(V577="Overdue","Overdue - pay it",IF(V577="Due soon","Due - coming up",IF(IF(I577="Yes",J577="",FALSE),"Add - how often does it recur?",IF(L577="Yes","OK","Pending")))))))</f>
        <v>0</v>
      </c>
    </row>
    <row r="578" spans="1:25">
      <c r="A578" s="28">
        <f>IF(B578="","",ExpensePrefix&amp;TEXT(ROW()-4,"0000"))</f>
        <v>0</v>
      </c>
      <c r="P578" s="15">
        <f>IF(B578="","",TEXT(B578,"yyyy-mm"))</f>
        <v>0</v>
      </c>
      <c r="Q578" s="25">
        <f>IF(B578="","",WEEKNUM(B578,2))</f>
        <v>0</v>
      </c>
      <c r="R578" s="26">
        <f>IF(B578="","",ROUND(IF(F578="",0,F578)+IF(G578="",0,G578),2))</f>
        <v>0</v>
      </c>
      <c r="S578" s="26">
        <f>IF(B578="","",IF(I578&lt;&gt;"Yes",0,ROUND(IF(F578="",0,F578)*IF(J578="Weekly",52/12,IF(J578="Fortnightly",26/12,IF(J578="Four weekly",13/12,IF(J578="Monthly",1,IF(J578="Quarterly",1/3,IF(J578="Twice a year",1/6,IF(J578="Yearly",1/12,0))))))),2)))</f>
        <v>0</v>
      </c>
      <c r="T578" s="38">
        <f>IF(B578="","",IF(I578="Yes","Yes","No"))</f>
        <v>0</v>
      </c>
      <c r="U578" s="25">
        <f>IF(B578="","",IF(L578="Yes","",IF(K578="","",TodayDate-K578)))</f>
        <v>0</v>
      </c>
      <c r="V578" s="39">
        <f>IF(B578="","",IF(L578="Yes","Paid",IF(K578="","Pending",IF(K578&lt;TodayDate,"Overdue",IF(K578&lt;=TodayDate+7,"Due soon","Pending")))))</f>
        <v>0</v>
      </c>
      <c r="W578" s="26">
        <f>IF(B578="","",IFERROR(INDEX(BudgetAmount,MATCH(C578,BudgetCategory,0))*1,0))</f>
        <v>0</v>
      </c>
      <c r="X578" s="25">
        <f>IF(B578="","",COUNTIFS($R$5:$R$604,"&gt;"&amp;R578)+COUNTIFS($R$5:R578,R578))</f>
        <v>0</v>
      </c>
      <c r="Y578" s="39">
        <f>IF(B578="","",IF(F578="","Add - no amount",IF(C578="","Add - no category, it will miss the P&amp;L",IF(V578="Overdue","Overdue - pay it",IF(V578="Due soon","Due - coming up",IF(IF(I578="Yes",J578="",FALSE),"Add - how often does it recur?",IF(L578="Yes","OK","Pending")))))))</f>
        <v>0</v>
      </c>
    </row>
    <row r="579" spans="1:25">
      <c r="A579" s="28">
        <f>IF(B579="","",ExpensePrefix&amp;TEXT(ROW()-4,"0000"))</f>
        <v>0</v>
      </c>
      <c r="P579" s="15">
        <f>IF(B579="","",TEXT(B579,"yyyy-mm"))</f>
        <v>0</v>
      </c>
      <c r="Q579" s="25">
        <f>IF(B579="","",WEEKNUM(B579,2))</f>
        <v>0</v>
      </c>
      <c r="R579" s="26">
        <f>IF(B579="","",ROUND(IF(F579="",0,F579)+IF(G579="",0,G579),2))</f>
        <v>0</v>
      </c>
      <c r="S579" s="26">
        <f>IF(B579="","",IF(I579&lt;&gt;"Yes",0,ROUND(IF(F579="",0,F579)*IF(J579="Weekly",52/12,IF(J579="Fortnightly",26/12,IF(J579="Four weekly",13/12,IF(J579="Monthly",1,IF(J579="Quarterly",1/3,IF(J579="Twice a year",1/6,IF(J579="Yearly",1/12,0))))))),2)))</f>
        <v>0</v>
      </c>
      <c r="T579" s="38">
        <f>IF(B579="","",IF(I579="Yes","Yes","No"))</f>
        <v>0</v>
      </c>
      <c r="U579" s="25">
        <f>IF(B579="","",IF(L579="Yes","",IF(K579="","",TodayDate-K579)))</f>
        <v>0</v>
      </c>
      <c r="V579" s="39">
        <f>IF(B579="","",IF(L579="Yes","Paid",IF(K579="","Pending",IF(K579&lt;TodayDate,"Overdue",IF(K579&lt;=TodayDate+7,"Due soon","Pending")))))</f>
        <v>0</v>
      </c>
      <c r="W579" s="26">
        <f>IF(B579="","",IFERROR(INDEX(BudgetAmount,MATCH(C579,BudgetCategory,0))*1,0))</f>
        <v>0</v>
      </c>
      <c r="X579" s="25">
        <f>IF(B579="","",COUNTIFS($R$5:$R$604,"&gt;"&amp;R579)+COUNTIFS($R$5:R579,R579))</f>
        <v>0</v>
      </c>
      <c r="Y579" s="39">
        <f>IF(B579="","",IF(F579="","Add - no amount",IF(C579="","Add - no category, it will miss the P&amp;L",IF(V579="Overdue","Overdue - pay it",IF(V579="Due soon","Due - coming up",IF(IF(I579="Yes",J579="",FALSE),"Add - how often does it recur?",IF(L579="Yes","OK","Pending")))))))</f>
        <v>0</v>
      </c>
    </row>
    <row r="580" spans="1:25">
      <c r="A580" s="28">
        <f>IF(B580="","",ExpensePrefix&amp;TEXT(ROW()-4,"0000"))</f>
        <v>0</v>
      </c>
      <c r="P580" s="15">
        <f>IF(B580="","",TEXT(B580,"yyyy-mm"))</f>
        <v>0</v>
      </c>
      <c r="Q580" s="25">
        <f>IF(B580="","",WEEKNUM(B580,2))</f>
        <v>0</v>
      </c>
      <c r="R580" s="26">
        <f>IF(B580="","",ROUND(IF(F580="",0,F580)+IF(G580="",0,G580),2))</f>
        <v>0</v>
      </c>
      <c r="S580" s="26">
        <f>IF(B580="","",IF(I580&lt;&gt;"Yes",0,ROUND(IF(F580="",0,F580)*IF(J580="Weekly",52/12,IF(J580="Fortnightly",26/12,IF(J580="Four weekly",13/12,IF(J580="Monthly",1,IF(J580="Quarterly",1/3,IF(J580="Twice a year",1/6,IF(J580="Yearly",1/12,0))))))),2)))</f>
        <v>0</v>
      </c>
      <c r="T580" s="38">
        <f>IF(B580="","",IF(I580="Yes","Yes","No"))</f>
        <v>0</v>
      </c>
      <c r="U580" s="25">
        <f>IF(B580="","",IF(L580="Yes","",IF(K580="","",TodayDate-K580)))</f>
        <v>0</v>
      </c>
      <c r="V580" s="39">
        <f>IF(B580="","",IF(L580="Yes","Paid",IF(K580="","Pending",IF(K580&lt;TodayDate,"Overdue",IF(K580&lt;=TodayDate+7,"Due soon","Pending")))))</f>
        <v>0</v>
      </c>
      <c r="W580" s="26">
        <f>IF(B580="","",IFERROR(INDEX(BudgetAmount,MATCH(C580,BudgetCategory,0))*1,0))</f>
        <v>0</v>
      </c>
      <c r="X580" s="25">
        <f>IF(B580="","",COUNTIFS($R$5:$R$604,"&gt;"&amp;R580)+COUNTIFS($R$5:R580,R580))</f>
        <v>0</v>
      </c>
      <c r="Y580" s="39">
        <f>IF(B580="","",IF(F580="","Add - no amount",IF(C580="","Add - no category, it will miss the P&amp;L",IF(V580="Overdue","Overdue - pay it",IF(V580="Due soon","Due - coming up",IF(IF(I580="Yes",J580="",FALSE),"Add - how often does it recur?",IF(L580="Yes","OK","Pending")))))))</f>
        <v>0</v>
      </c>
    </row>
    <row r="581" spans="1:25">
      <c r="A581" s="28">
        <f>IF(B581="","",ExpensePrefix&amp;TEXT(ROW()-4,"0000"))</f>
        <v>0</v>
      </c>
      <c r="P581" s="15">
        <f>IF(B581="","",TEXT(B581,"yyyy-mm"))</f>
        <v>0</v>
      </c>
      <c r="Q581" s="25">
        <f>IF(B581="","",WEEKNUM(B581,2))</f>
        <v>0</v>
      </c>
      <c r="R581" s="26">
        <f>IF(B581="","",ROUND(IF(F581="",0,F581)+IF(G581="",0,G581),2))</f>
        <v>0</v>
      </c>
      <c r="S581" s="26">
        <f>IF(B581="","",IF(I581&lt;&gt;"Yes",0,ROUND(IF(F581="",0,F581)*IF(J581="Weekly",52/12,IF(J581="Fortnightly",26/12,IF(J581="Four weekly",13/12,IF(J581="Monthly",1,IF(J581="Quarterly",1/3,IF(J581="Twice a year",1/6,IF(J581="Yearly",1/12,0))))))),2)))</f>
        <v>0</v>
      </c>
      <c r="T581" s="38">
        <f>IF(B581="","",IF(I581="Yes","Yes","No"))</f>
        <v>0</v>
      </c>
      <c r="U581" s="25">
        <f>IF(B581="","",IF(L581="Yes","",IF(K581="","",TodayDate-K581)))</f>
        <v>0</v>
      </c>
      <c r="V581" s="39">
        <f>IF(B581="","",IF(L581="Yes","Paid",IF(K581="","Pending",IF(K581&lt;TodayDate,"Overdue",IF(K581&lt;=TodayDate+7,"Due soon","Pending")))))</f>
        <v>0</v>
      </c>
      <c r="W581" s="26">
        <f>IF(B581="","",IFERROR(INDEX(BudgetAmount,MATCH(C581,BudgetCategory,0))*1,0))</f>
        <v>0</v>
      </c>
      <c r="X581" s="25">
        <f>IF(B581="","",COUNTIFS($R$5:$R$604,"&gt;"&amp;R581)+COUNTIFS($R$5:R581,R581))</f>
        <v>0</v>
      </c>
      <c r="Y581" s="39">
        <f>IF(B581="","",IF(F581="","Add - no amount",IF(C581="","Add - no category, it will miss the P&amp;L",IF(V581="Overdue","Overdue - pay it",IF(V581="Due soon","Due - coming up",IF(IF(I581="Yes",J581="",FALSE),"Add - how often does it recur?",IF(L581="Yes","OK","Pending")))))))</f>
        <v>0</v>
      </c>
    </row>
    <row r="582" spans="1:25">
      <c r="A582" s="28">
        <f>IF(B582="","",ExpensePrefix&amp;TEXT(ROW()-4,"0000"))</f>
        <v>0</v>
      </c>
      <c r="P582" s="15">
        <f>IF(B582="","",TEXT(B582,"yyyy-mm"))</f>
        <v>0</v>
      </c>
      <c r="Q582" s="25">
        <f>IF(B582="","",WEEKNUM(B582,2))</f>
        <v>0</v>
      </c>
      <c r="R582" s="26">
        <f>IF(B582="","",ROUND(IF(F582="",0,F582)+IF(G582="",0,G582),2))</f>
        <v>0</v>
      </c>
      <c r="S582" s="26">
        <f>IF(B582="","",IF(I582&lt;&gt;"Yes",0,ROUND(IF(F582="",0,F582)*IF(J582="Weekly",52/12,IF(J582="Fortnightly",26/12,IF(J582="Four weekly",13/12,IF(J582="Monthly",1,IF(J582="Quarterly",1/3,IF(J582="Twice a year",1/6,IF(J582="Yearly",1/12,0))))))),2)))</f>
        <v>0</v>
      </c>
      <c r="T582" s="38">
        <f>IF(B582="","",IF(I582="Yes","Yes","No"))</f>
        <v>0</v>
      </c>
      <c r="U582" s="25">
        <f>IF(B582="","",IF(L582="Yes","",IF(K582="","",TodayDate-K582)))</f>
        <v>0</v>
      </c>
      <c r="V582" s="39">
        <f>IF(B582="","",IF(L582="Yes","Paid",IF(K582="","Pending",IF(K582&lt;TodayDate,"Overdue",IF(K582&lt;=TodayDate+7,"Due soon","Pending")))))</f>
        <v>0</v>
      </c>
      <c r="W582" s="26">
        <f>IF(B582="","",IFERROR(INDEX(BudgetAmount,MATCH(C582,BudgetCategory,0))*1,0))</f>
        <v>0</v>
      </c>
      <c r="X582" s="25">
        <f>IF(B582="","",COUNTIFS($R$5:$R$604,"&gt;"&amp;R582)+COUNTIFS($R$5:R582,R582))</f>
        <v>0</v>
      </c>
      <c r="Y582" s="39">
        <f>IF(B582="","",IF(F582="","Add - no amount",IF(C582="","Add - no category, it will miss the P&amp;L",IF(V582="Overdue","Overdue - pay it",IF(V582="Due soon","Due - coming up",IF(IF(I582="Yes",J582="",FALSE),"Add - how often does it recur?",IF(L582="Yes","OK","Pending")))))))</f>
        <v>0</v>
      </c>
    </row>
    <row r="583" spans="1:25">
      <c r="A583" s="28">
        <f>IF(B583="","",ExpensePrefix&amp;TEXT(ROW()-4,"0000"))</f>
        <v>0</v>
      </c>
      <c r="P583" s="15">
        <f>IF(B583="","",TEXT(B583,"yyyy-mm"))</f>
        <v>0</v>
      </c>
      <c r="Q583" s="25">
        <f>IF(B583="","",WEEKNUM(B583,2))</f>
        <v>0</v>
      </c>
      <c r="R583" s="26">
        <f>IF(B583="","",ROUND(IF(F583="",0,F583)+IF(G583="",0,G583),2))</f>
        <v>0</v>
      </c>
      <c r="S583" s="26">
        <f>IF(B583="","",IF(I583&lt;&gt;"Yes",0,ROUND(IF(F583="",0,F583)*IF(J583="Weekly",52/12,IF(J583="Fortnightly",26/12,IF(J583="Four weekly",13/12,IF(J583="Monthly",1,IF(J583="Quarterly",1/3,IF(J583="Twice a year",1/6,IF(J583="Yearly",1/12,0))))))),2)))</f>
        <v>0</v>
      </c>
      <c r="T583" s="38">
        <f>IF(B583="","",IF(I583="Yes","Yes","No"))</f>
        <v>0</v>
      </c>
      <c r="U583" s="25">
        <f>IF(B583="","",IF(L583="Yes","",IF(K583="","",TodayDate-K583)))</f>
        <v>0</v>
      </c>
      <c r="V583" s="39">
        <f>IF(B583="","",IF(L583="Yes","Paid",IF(K583="","Pending",IF(K583&lt;TodayDate,"Overdue",IF(K583&lt;=TodayDate+7,"Due soon","Pending")))))</f>
        <v>0</v>
      </c>
      <c r="W583" s="26">
        <f>IF(B583="","",IFERROR(INDEX(BudgetAmount,MATCH(C583,BudgetCategory,0))*1,0))</f>
        <v>0</v>
      </c>
      <c r="X583" s="25">
        <f>IF(B583="","",COUNTIFS($R$5:$R$604,"&gt;"&amp;R583)+COUNTIFS($R$5:R583,R583))</f>
        <v>0</v>
      </c>
      <c r="Y583" s="39">
        <f>IF(B583="","",IF(F583="","Add - no amount",IF(C583="","Add - no category, it will miss the P&amp;L",IF(V583="Overdue","Overdue - pay it",IF(V583="Due soon","Due - coming up",IF(IF(I583="Yes",J583="",FALSE),"Add - how often does it recur?",IF(L583="Yes","OK","Pending")))))))</f>
        <v>0</v>
      </c>
    </row>
    <row r="584" spans="1:25">
      <c r="A584" s="28">
        <f>IF(B584="","",ExpensePrefix&amp;TEXT(ROW()-4,"0000"))</f>
        <v>0</v>
      </c>
      <c r="P584" s="15">
        <f>IF(B584="","",TEXT(B584,"yyyy-mm"))</f>
        <v>0</v>
      </c>
      <c r="Q584" s="25">
        <f>IF(B584="","",WEEKNUM(B584,2))</f>
        <v>0</v>
      </c>
      <c r="R584" s="26">
        <f>IF(B584="","",ROUND(IF(F584="",0,F584)+IF(G584="",0,G584),2))</f>
        <v>0</v>
      </c>
      <c r="S584" s="26">
        <f>IF(B584="","",IF(I584&lt;&gt;"Yes",0,ROUND(IF(F584="",0,F584)*IF(J584="Weekly",52/12,IF(J584="Fortnightly",26/12,IF(J584="Four weekly",13/12,IF(J584="Monthly",1,IF(J584="Quarterly",1/3,IF(J584="Twice a year",1/6,IF(J584="Yearly",1/12,0))))))),2)))</f>
        <v>0</v>
      </c>
      <c r="T584" s="38">
        <f>IF(B584="","",IF(I584="Yes","Yes","No"))</f>
        <v>0</v>
      </c>
      <c r="U584" s="25">
        <f>IF(B584="","",IF(L584="Yes","",IF(K584="","",TodayDate-K584)))</f>
        <v>0</v>
      </c>
      <c r="V584" s="39">
        <f>IF(B584="","",IF(L584="Yes","Paid",IF(K584="","Pending",IF(K584&lt;TodayDate,"Overdue",IF(K584&lt;=TodayDate+7,"Due soon","Pending")))))</f>
        <v>0</v>
      </c>
      <c r="W584" s="26">
        <f>IF(B584="","",IFERROR(INDEX(BudgetAmount,MATCH(C584,BudgetCategory,0))*1,0))</f>
        <v>0</v>
      </c>
      <c r="X584" s="25">
        <f>IF(B584="","",COUNTIFS($R$5:$R$604,"&gt;"&amp;R584)+COUNTIFS($R$5:R584,R584))</f>
        <v>0</v>
      </c>
      <c r="Y584" s="39">
        <f>IF(B584="","",IF(F584="","Add - no amount",IF(C584="","Add - no category, it will miss the P&amp;L",IF(V584="Overdue","Overdue - pay it",IF(V584="Due soon","Due - coming up",IF(IF(I584="Yes",J584="",FALSE),"Add - how often does it recur?",IF(L584="Yes","OK","Pending")))))))</f>
        <v>0</v>
      </c>
    </row>
    <row r="585" spans="1:25">
      <c r="A585" s="28">
        <f>IF(B585="","",ExpensePrefix&amp;TEXT(ROW()-4,"0000"))</f>
        <v>0</v>
      </c>
      <c r="P585" s="15">
        <f>IF(B585="","",TEXT(B585,"yyyy-mm"))</f>
        <v>0</v>
      </c>
      <c r="Q585" s="25">
        <f>IF(B585="","",WEEKNUM(B585,2))</f>
        <v>0</v>
      </c>
      <c r="R585" s="26">
        <f>IF(B585="","",ROUND(IF(F585="",0,F585)+IF(G585="",0,G585),2))</f>
        <v>0</v>
      </c>
      <c r="S585" s="26">
        <f>IF(B585="","",IF(I585&lt;&gt;"Yes",0,ROUND(IF(F585="",0,F585)*IF(J585="Weekly",52/12,IF(J585="Fortnightly",26/12,IF(J585="Four weekly",13/12,IF(J585="Monthly",1,IF(J585="Quarterly",1/3,IF(J585="Twice a year",1/6,IF(J585="Yearly",1/12,0))))))),2)))</f>
        <v>0</v>
      </c>
      <c r="T585" s="38">
        <f>IF(B585="","",IF(I585="Yes","Yes","No"))</f>
        <v>0</v>
      </c>
      <c r="U585" s="25">
        <f>IF(B585="","",IF(L585="Yes","",IF(K585="","",TodayDate-K585)))</f>
        <v>0</v>
      </c>
      <c r="V585" s="39">
        <f>IF(B585="","",IF(L585="Yes","Paid",IF(K585="","Pending",IF(K585&lt;TodayDate,"Overdue",IF(K585&lt;=TodayDate+7,"Due soon","Pending")))))</f>
        <v>0</v>
      </c>
      <c r="W585" s="26">
        <f>IF(B585="","",IFERROR(INDEX(BudgetAmount,MATCH(C585,BudgetCategory,0))*1,0))</f>
        <v>0</v>
      </c>
      <c r="X585" s="25">
        <f>IF(B585="","",COUNTIFS($R$5:$R$604,"&gt;"&amp;R585)+COUNTIFS($R$5:R585,R585))</f>
        <v>0</v>
      </c>
      <c r="Y585" s="39">
        <f>IF(B585="","",IF(F585="","Add - no amount",IF(C585="","Add - no category, it will miss the P&amp;L",IF(V585="Overdue","Overdue - pay it",IF(V585="Due soon","Due - coming up",IF(IF(I585="Yes",J585="",FALSE),"Add - how often does it recur?",IF(L585="Yes","OK","Pending")))))))</f>
        <v>0</v>
      </c>
    </row>
    <row r="586" spans="1:25">
      <c r="A586" s="28">
        <f>IF(B586="","",ExpensePrefix&amp;TEXT(ROW()-4,"0000"))</f>
        <v>0</v>
      </c>
      <c r="P586" s="15">
        <f>IF(B586="","",TEXT(B586,"yyyy-mm"))</f>
        <v>0</v>
      </c>
      <c r="Q586" s="25">
        <f>IF(B586="","",WEEKNUM(B586,2))</f>
        <v>0</v>
      </c>
      <c r="R586" s="26">
        <f>IF(B586="","",ROUND(IF(F586="",0,F586)+IF(G586="",0,G586),2))</f>
        <v>0</v>
      </c>
      <c r="S586" s="26">
        <f>IF(B586="","",IF(I586&lt;&gt;"Yes",0,ROUND(IF(F586="",0,F586)*IF(J586="Weekly",52/12,IF(J586="Fortnightly",26/12,IF(J586="Four weekly",13/12,IF(J586="Monthly",1,IF(J586="Quarterly",1/3,IF(J586="Twice a year",1/6,IF(J586="Yearly",1/12,0))))))),2)))</f>
        <v>0</v>
      </c>
      <c r="T586" s="38">
        <f>IF(B586="","",IF(I586="Yes","Yes","No"))</f>
        <v>0</v>
      </c>
      <c r="U586" s="25">
        <f>IF(B586="","",IF(L586="Yes","",IF(K586="","",TodayDate-K586)))</f>
        <v>0</v>
      </c>
      <c r="V586" s="39">
        <f>IF(B586="","",IF(L586="Yes","Paid",IF(K586="","Pending",IF(K586&lt;TodayDate,"Overdue",IF(K586&lt;=TodayDate+7,"Due soon","Pending")))))</f>
        <v>0</v>
      </c>
      <c r="W586" s="26">
        <f>IF(B586="","",IFERROR(INDEX(BudgetAmount,MATCH(C586,BudgetCategory,0))*1,0))</f>
        <v>0</v>
      </c>
      <c r="X586" s="25">
        <f>IF(B586="","",COUNTIFS($R$5:$R$604,"&gt;"&amp;R586)+COUNTIFS($R$5:R586,R586))</f>
        <v>0</v>
      </c>
      <c r="Y586" s="39">
        <f>IF(B586="","",IF(F586="","Add - no amount",IF(C586="","Add - no category, it will miss the P&amp;L",IF(V586="Overdue","Overdue - pay it",IF(V586="Due soon","Due - coming up",IF(IF(I586="Yes",J586="",FALSE),"Add - how often does it recur?",IF(L586="Yes","OK","Pending")))))))</f>
        <v>0</v>
      </c>
    </row>
    <row r="587" spans="1:25">
      <c r="A587" s="28">
        <f>IF(B587="","",ExpensePrefix&amp;TEXT(ROW()-4,"0000"))</f>
        <v>0</v>
      </c>
      <c r="P587" s="15">
        <f>IF(B587="","",TEXT(B587,"yyyy-mm"))</f>
        <v>0</v>
      </c>
      <c r="Q587" s="25">
        <f>IF(B587="","",WEEKNUM(B587,2))</f>
        <v>0</v>
      </c>
      <c r="R587" s="26">
        <f>IF(B587="","",ROUND(IF(F587="",0,F587)+IF(G587="",0,G587),2))</f>
        <v>0</v>
      </c>
      <c r="S587" s="26">
        <f>IF(B587="","",IF(I587&lt;&gt;"Yes",0,ROUND(IF(F587="",0,F587)*IF(J587="Weekly",52/12,IF(J587="Fortnightly",26/12,IF(J587="Four weekly",13/12,IF(J587="Monthly",1,IF(J587="Quarterly",1/3,IF(J587="Twice a year",1/6,IF(J587="Yearly",1/12,0))))))),2)))</f>
        <v>0</v>
      </c>
      <c r="T587" s="38">
        <f>IF(B587="","",IF(I587="Yes","Yes","No"))</f>
        <v>0</v>
      </c>
      <c r="U587" s="25">
        <f>IF(B587="","",IF(L587="Yes","",IF(K587="","",TodayDate-K587)))</f>
        <v>0</v>
      </c>
      <c r="V587" s="39">
        <f>IF(B587="","",IF(L587="Yes","Paid",IF(K587="","Pending",IF(K587&lt;TodayDate,"Overdue",IF(K587&lt;=TodayDate+7,"Due soon","Pending")))))</f>
        <v>0</v>
      </c>
      <c r="W587" s="26">
        <f>IF(B587="","",IFERROR(INDEX(BudgetAmount,MATCH(C587,BudgetCategory,0))*1,0))</f>
        <v>0</v>
      </c>
      <c r="X587" s="25">
        <f>IF(B587="","",COUNTIFS($R$5:$R$604,"&gt;"&amp;R587)+COUNTIFS($R$5:R587,R587))</f>
        <v>0</v>
      </c>
      <c r="Y587" s="39">
        <f>IF(B587="","",IF(F587="","Add - no amount",IF(C587="","Add - no category, it will miss the P&amp;L",IF(V587="Overdue","Overdue - pay it",IF(V587="Due soon","Due - coming up",IF(IF(I587="Yes",J587="",FALSE),"Add - how often does it recur?",IF(L587="Yes","OK","Pending")))))))</f>
        <v>0</v>
      </c>
    </row>
    <row r="588" spans="1:25">
      <c r="A588" s="28">
        <f>IF(B588="","",ExpensePrefix&amp;TEXT(ROW()-4,"0000"))</f>
        <v>0</v>
      </c>
      <c r="P588" s="15">
        <f>IF(B588="","",TEXT(B588,"yyyy-mm"))</f>
        <v>0</v>
      </c>
      <c r="Q588" s="25">
        <f>IF(B588="","",WEEKNUM(B588,2))</f>
        <v>0</v>
      </c>
      <c r="R588" s="26">
        <f>IF(B588="","",ROUND(IF(F588="",0,F588)+IF(G588="",0,G588),2))</f>
        <v>0</v>
      </c>
      <c r="S588" s="26">
        <f>IF(B588="","",IF(I588&lt;&gt;"Yes",0,ROUND(IF(F588="",0,F588)*IF(J588="Weekly",52/12,IF(J588="Fortnightly",26/12,IF(J588="Four weekly",13/12,IF(J588="Monthly",1,IF(J588="Quarterly",1/3,IF(J588="Twice a year",1/6,IF(J588="Yearly",1/12,0))))))),2)))</f>
        <v>0</v>
      </c>
      <c r="T588" s="38">
        <f>IF(B588="","",IF(I588="Yes","Yes","No"))</f>
        <v>0</v>
      </c>
      <c r="U588" s="25">
        <f>IF(B588="","",IF(L588="Yes","",IF(K588="","",TodayDate-K588)))</f>
        <v>0</v>
      </c>
      <c r="V588" s="39">
        <f>IF(B588="","",IF(L588="Yes","Paid",IF(K588="","Pending",IF(K588&lt;TodayDate,"Overdue",IF(K588&lt;=TodayDate+7,"Due soon","Pending")))))</f>
        <v>0</v>
      </c>
      <c r="W588" s="26">
        <f>IF(B588="","",IFERROR(INDEX(BudgetAmount,MATCH(C588,BudgetCategory,0))*1,0))</f>
        <v>0</v>
      </c>
      <c r="X588" s="25">
        <f>IF(B588="","",COUNTIFS($R$5:$R$604,"&gt;"&amp;R588)+COUNTIFS($R$5:R588,R588))</f>
        <v>0</v>
      </c>
      <c r="Y588" s="39">
        <f>IF(B588="","",IF(F588="","Add - no amount",IF(C588="","Add - no category, it will miss the P&amp;L",IF(V588="Overdue","Overdue - pay it",IF(V588="Due soon","Due - coming up",IF(IF(I588="Yes",J588="",FALSE),"Add - how often does it recur?",IF(L588="Yes","OK","Pending")))))))</f>
        <v>0</v>
      </c>
    </row>
    <row r="589" spans="1:25">
      <c r="A589" s="28">
        <f>IF(B589="","",ExpensePrefix&amp;TEXT(ROW()-4,"0000"))</f>
        <v>0</v>
      </c>
      <c r="P589" s="15">
        <f>IF(B589="","",TEXT(B589,"yyyy-mm"))</f>
        <v>0</v>
      </c>
      <c r="Q589" s="25">
        <f>IF(B589="","",WEEKNUM(B589,2))</f>
        <v>0</v>
      </c>
      <c r="R589" s="26">
        <f>IF(B589="","",ROUND(IF(F589="",0,F589)+IF(G589="",0,G589),2))</f>
        <v>0</v>
      </c>
      <c r="S589" s="26">
        <f>IF(B589="","",IF(I589&lt;&gt;"Yes",0,ROUND(IF(F589="",0,F589)*IF(J589="Weekly",52/12,IF(J589="Fortnightly",26/12,IF(J589="Four weekly",13/12,IF(J589="Monthly",1,IF(J589="Quarterly",1/3,IF(J589="Twice a year",1/6,IF(J589="Yearly",1/12,0))))))),2)))</f>
        <v>0</v>
      </c>
      <c r="T589" s="38">
        <f>IF(B589="","",IF(I589="Yes","Yes","No"))</f>
        <v>0</v>
      </c>
      <c r="U589" s="25">
        <f>IF(B589="","",IF(L589="Yes","",IF(K589="","",TodayDate-K589)))</f>
        <v>0</v>
      </c>
      <c r="V589" s="39">
        <f>IF(B589="","",IF(L589="Yes","Paid",IF(K589="","Pending",IF(K589&lt;TodayDate,"Overdue",IF(K589&lt;=TodayDate+7,"Due soon","Pending")))))</f>
        <v>0</v>
      </c>
      <c r="W589" s="26">
        <f>IF(B589="","",IFERROR(INDEX(BudgetAmount,MATCH(C589,BudgetCategory,0))*1,0))</f>
        <v>0</v>
      </c>
      <c r="X589" s="25">
        <f>IF(B589="","",COUNTIFS($R$5:$R$604,"&gt;"&amp;R589)+COUNTIFS($R$5:R589,R589))</f>
        <v>0</v>
      </c>
      <c r="Y589" s="39">
        <f>IF(B589="","",IF(F589="","Add - no amount",IF(C589="","Add - no category, it will miss the P&amp;L",IF(V589="Overdue","Overdue - pay it",IF(V589="Due soon","Due - coming up",IF(IF(I589="Yes",J589="",FALSE),"Add - how often does it recur?",IF(L589="Yes","OK","Pending")))))))</f>
        <v>0</v>
      </c>
    </row>
    <row r="590" spans="1:25">
      <c r="A590" s="28">
        <f>IF(B590="","",ExpensePrefix&amp;TEXT(ROW()-4,"0000"))</f>
        <v>0</v>
      </c>
      <c r="P590" s="15">
        <f>IF(B590="","",TEXT(B590,"yyyy-mm"))</f>
        <v>0</v>
      </c>
      <c r="Q590" s="25">
        <f>IF(B590="","",WEEKNUM(B590,2))</f>
        <v>0</v>
      </c>
      <c r="R590" s="26">
        <f>IF(B590="","",ROUND(IF(F590="",0,F590)+IF(G590="",0,G590),2))</f>
        <v>0</v>
      </c>
      <c r="S590" s="26">
        <f>IF(B590="","",IF(I590&lt;&gt;"Yes",0,ROUND(IF(F590="",0,F590)*IF(J590="Weekly",52/12,IF(J590="Fortnightly",26/12,IF(J590="Four weekly",13/12,IF(J590="Monthly",1,IF(J590="Quarterly",1/3,IF(J590="Twice a year",1/6,IF(J590="Yearly",1/12,0))))))),2)))</f>
        <v>0</v>
      </c>
      <c r="T590" s="38">
        <f>IF(B590="","",IF(I590="Yes","Yes","No"))</f>
        <v>0</v>
      </c>
      <c r="U590" s="25">
        <f>IF(B590="","",IF(L590="Yes","",IF(K590="","",TodayDate-K590)))</f>
        <v>0</v>
      </c>
      <c r="V590" s="39">
        <f>IF(B590="","",IF(L590="Yes","Paid",IF(K590="","Pending",IF(K590&lt;TodayDate,"Overdue",IF(K590&lt;=TodayDate+7,"Due soon","Pending")))))</f>
        <v>0</v>
      </c>
      <c r="W590" s="26">
        <f>IF(B590="","",IFERROR(INDEX(BudgetAmount,MATCH(C590,BudgetCategory,0))*1,0))</f>
        <v>0</v>
      </c>
      <c r="X590" s="25">
        <f>IF(B590="","",COUNTIFS($R$5:$R$604,"&gt;"&amp;R590)+COUNTIFS($R$5:R590,R590))</f>
        <v>0</v>
      </c>
      <c r="Y590" s="39">
        <f>IF(B590="","",IF(F590="","Add - no amount",IF(C590="","Add - no category, it will miss the P&amp;L",IF(V590="Overdue","Overdue - pay it",IF(V590="Due soon","Due - coming up",IF(IF(I590="Yes",J590="",FALSE),"Add - how often does it recur?",IF(L590="Yes","OK","Pending")))))))</f>
        <v>0</v>
      </c>
    </row>
    <row r="591" spans="1:25">
      <c r="A591" s="28">
        <f>IF(B591="","",ExpensePrefix&amp;TEXT(ROW()-4,"0000"))</f>
        <v>0</v>
      </c>
      <c r="P591" s="15">
        <f>IF(B591="","",TEXT(B591,"yyyy-mm"))</f>
        <v>0</v>
      </c>
      <c r="Q591" s="25">
        <f>IF(B591="","",WEEKNUM(B591,2))</f>
        <v>0</v>
      </c>
      <c r="R591" s="26">
        <f>IF(B591="","",ROUND(IF(F591="",0,F591)+IF(G591="",0,G591),2))</f>
        <v>0</v>
      </c>
      <c r="S591" s="26">
        <f>IF(B591="","",IF(I591&lt;&gt;"Yes",0,ROUND(IF(F591="",0,F591)*IF(J591="Weekly",52/12,IF(J591="Fortnightly",26/12,IF(J591="Four weekly",13/12,IF(J591="Monthly",1,IF(J591="Quarterly",1/3,IF(J591="Twice a year",1/6,IF(J591="Yearly",1/12,0))))))),2)))</f>
        <v>0</v>
      </c>
      <c r="T591" s="38">
        <f>IF(B591="","",IF(I591="Yes","Yes","No"))</f>
        <v>0</v>
      </c>
      <c r="U591" s="25">
        <f>IF(B591="","",IF(L591="Yes","",IF(K591="","",TodayDate-K591)))</f>
        <v>0</v>
      </c>
      <c r="V591" s="39">
        <f>IF(B591="","",IF(L591="Yes","Paid",IF(K591="","Pending",IF(K591&lt;TodayDate,"Overdue",IF(K591&lt;=TodayDate+7,"Due soon","Pending")))))</f>
        <v>0</v>
      </c>
      <c r="W591" s="26">
        <f>IF(B591="","",IFERROR(INDEX(BudgetAmount,MATCH(C591,BudgetCategory,0))*1,0))</f>
        <v>0</v>
      </c>
      <c r="X591" s="25">
        <f>IF(B591="","",COUNTIFS($R$5:$R$604,"&gt;"&amp;R591)+COUNTIFS($R$5:R591,R591))</f>
        <v>0</v>
      </c>
      <c r="Y591" s="39">
        <f>IF(B591="","",IF(F591="","Add - no amount",IF(C591="","Add - no category, it will miss the P&amp;L",IF(V591="Overdue","Overdue - pay it",IF(V591="Due soon","Due - coming up",IF(IF(I591="Yes",J591="",FALSE),"Add - how often does it recur?",IF(L591="Yes","OK","Pending")))))))</f>
        <v>0</v>
      </c>
    </row>
    <row r="592" spans="1:25">
      <c r="A592" s="28">
        <f>IF(B592="","",ExpensePrefix&amp;TEXT(ROW()-4,"0000"))</f>
        <v>0</v>
      </c>
      <c r="P592" s="15">
        <f>IF(B592="","",TEXT(B592,"yyyy-mm"))</f>
        <v>0</v>
      </c>
      <c r="Q592" s="25">
        <f>IF(B592="","",WEEKNUM(B592,2))</f>
        <v>0</v>
      </c>
      <c r="R592" s="26">
        <f>IF(B592="","",ROUND(IF(F592="",0,F592)+IF(G592="",0,G592),2))</f>
        <v>0</v>
      </c>
      <c r="S592" s="26">
        <f>IF(B592="","",IF(I592&lt;&gt;"Yes",0,ROUND(IF(F592="",0,F592)*IF(J592="Weekly",52/12,IF(J592="Fortnightly",26/12,IF(J592="Four weekly",13/12,IF(J592="Monthly",1,IF(J592="Quarterly",1/3,IF(J592="Twice a year",1/6,IF(J592="Yearly",1/12,0))))))),2)))</f>
        <v>0</v>
      </c>
      <c r="T592" s="38">
        <f>IF(B592="","",IF(I592="Yes","Yes","No"))</f>
        <v>0</v>
      </c>
      <c r="U592" s="25">
        <f>IF(B592="","",IF(L592="Yes","",IF(K592="","",TodayDate-K592)))</f>
        <v>0</v>
      </c>
      <c r="V592" s="39">
        <f>IF(B592="","",IF(L592="Yes","Paid",IF(K592="","Pending",IF(K592&lt;TodayDate,"Overdue",IF(K592&lt;=TodayDate+7,"Due soon","Pending")))))</f>
        <v>0</v>
      </c>
      <c r="W592" s="26">
        <f>IF(B592="","",IFERROR(INDEX(BudgetAmount,MATCH(C592,BudgetCategory,0))*1,0))</f>
        <v>0</v>
      </c>
      <c r="X592" s="25">
        <f>IF(B592="","",COUNTIFS($R$5:$R$604,"&gt;"&amp;R592)+COUNTIFS($R$5:R592,R592))</f>
        <v>0</v>
      </c>
      <c r="Y592" s="39">
        <f>IF(B592="","",IF(F592="","Add - no amount",IF(C592="","Add - no category, it will miss the P&amp;L",IF(V592="Overdue","Overdue - pay it",IF(V592="Due soon","Due - coming up",IF(IF(I592="Yes",J592="",FALSE),"Add - how often does it recur?",IF(L592="Yes","OK","Pending")))))))</f>
        <v>0</v>
      </c>
    </row>
    <row r="593" spans="1:25">
      <c r="A593" s="28">
        <f>IF(B593="","",ExpensePrefix&amp;TEXT(ROW()-4,"0000"))</f>
        <v>0</v>
      </c>
      <c r="P593" s="15">
        <f>IF(B593="","",TEXT(B593,"yyyy-mm"))</f>
        <v>0</v>
      </c>
      <c r="Q593" s="25">
        <f>IF(B593="","",WEEKNUM(B593,2))</f>
        <v>0</v>
      </c>
      <c r="R593" s="26">
        <f>IF(B593="","",ROUND(IF(F593="",0,F593)+IF(G593="",0,G593),2))</f>
        <v>0</v>
      </c>
      <c r="S593" s="26">
        <f>IF(B593="","",IF(I593&lt;&gt;"Yes",0,ROUND(IF(F593="",0,F593)*IF(J593="Weekly",52/12,IF(J593="Fortnightly",26/12,IF(J593="Four weekly",13/12,IF(J593="Monthly",1,IF(J593="Quarterly",1/3,IF(J593="Twice a year",1/6,IF(J593="Yearly",1/12,0))))))),2)))</f>
        <v>0</v>
      </c>
      <c r="T593" s="38">
        <f>IF(B593="","",IF(I593="Yes","Yes","No"))</f>
        <v>0</v>
      </c>
      <c r="U593" s="25">
        <f>IF(B593="","",IF(L593="Yes","",IF(K593="","",TodayDate-K593)))</f>
        <v>0</v>
      </c>
      <c r="V593" s="39">
        <f>IF(B593="","",IF(L593="Yes","Paid",IF(K593="","Pending",IF(K593&lt;TodayDate,"Overdue",IF(K593&lt;=TodayDate+7,"Due soon","Pending")))))</f>
        <v>0</v>
      </c>
      <c r="W593" s="26">
        <f>IF(B593="","",IFERROR(INDEX(BudgetAmount,MATCH(C593,BudgetCategory,0))*1,0))</f>
        <v>0</v>
      </c>
      <c r="X593" s="25">
        <f>IF(B593="","",COUNTIFS($R$5:$R$604,"&gt;"&amp;R593)+COUNTIFS($R$5:R593,R593))</f>
        <v>0</v>
      </c>
      <c r="Y593" s="39">
        <f>IF(B593="","",IF(F593="","Add - no amount",IF(C593="","Add - no category, it will miss the P&amp;L",IF(V593="Overdue","Overdue - pay it",IF(V593="Due soon","Due - coming up",IF(IF(I593="Yes",J593="",FALSE),"Add - how often does it recur?",IF(L593="Yes","OK","Pending")))))))</f>
        <v>0</v>
      </c>
    </row>
    <row r="594" spans="1:25">
      <c r="A594" s="28">
        <f>IF(B594="","",ExpensePrefix&amp;TEXT(ROW()-4,"0000"))</f>
        <v>0</v>
      </c>
      <c r="P594" s="15">
        <f>IF(B594="","",TEXT(B594,"yyyy-mm"))</f>
        <v>0</v>
      </c>
      <c r="Q594" s="25">
        <f>IF(B594="","",WEEKNUM(B594,2))</f>
        <v>0</v>
      </c>
      <c r="R594" s="26">
        <f>IF(B594="","",ROUND(IF(F594="",0,F594)+IF(G594="",0,G594),2))</f>
        <v>0</v>
      </c>
      <c r="S594" s="26">
        <f>IF(B594="","",IF(I594&lt;&gt;"Yes",0,ROUND(IF(F594="",0,F594)*IF(J594="Weekly",52/12,IF(J594="Fortnightly",26/12,IF(J594="Four weekly",13/12,IF(J594="Monthly",1,IF(J594="Quarterly",1/3,IF(J594="Twice a year",1/6,IF(J594="Yearly",1/12,0))))))),2)))</f>
        <v>0</v>
      </c>
      <c r="T594" s="38">
        <f>IF(B594="","",IF(I594="Yes","Yes","No"))</f>
        <v>0</v>
      </c>
      <c r="U594" s="25">
        <f>IF(B594="","",IF(L594="Yes","",IF(K594="","",TodayDate-K594)))</f>
        <v>0</v>
      </c>
      <c r="V594" s="39">
        <f>IF(B594="","",IF(L594="Yes","Paid",IF(K594="","Pending",IF(K594&lt;TodayDate,"Overdue",IF(K594&lt;=TodayDate+7,"Due soon","Pending")))))</f>
        <v>0</v>
      </c>
      <c r="W594" s="26">
        <f>IF(B594="","",IFERROR(INDEX(BudgetAmount,MATCH(C594,BudgetCategory,0))*1,0))</f>
        <v>0</v>
      </c>
      <c r="X594" s="25">
        <f>IF(B594="","",COUNTIFS($R$5:$R$604,"&gt;"&amp;R594)+COUNTIFS($R$5:R594,R594))</f>
        <v>0</v>
      </c>
      <c r="Y594" s="39">
        <f>IF(B594="","",IF(F594="","Add - no amount",IF(C594="","Add - no category, it will miss the P&amp;L",IF(V594="Overdue","Overdue - pay it",IF(V594="Due soon","Due - coming up",IF(IF(I594="Yes",J594="",FALSE),"Add - how often does it recur?",IF(L594="Yes","OK","Pending")))))))</f>
        <v>0</v>
      </c>
    </row>
    <row r="595" spans="1:25">
      <c r="A595" s="28">
        <f>IF(B595="","",ExpensePrefix&amp;TEXT(ROW()-4,"0000"))</f>
        <v>0</v>
      </c>
      <c r="P595" s="15">
        <f>IF(B595="","",TEXT(B595,"yyyy-mm"))</f>
        <v>0</v>
      </c>
      <c r="Q595" s="25">
        <f>IF(B595="","",WEEKNUM(B595,2))</f>
        <v>0</v>
      </c>
      <c r="R595" s="26">
        <f>IF(B595="","",ROUND(IF(F595="",0,F595)+IF(G595="",0,G595),2))</f>
        <v>0</v>
      </c>
      <c r="S595" s="26">
        <f>IF(B595="","",IF(I595&lt;&gt;"Yes",0,ROUND(IF(F595="",0,F595)*IF(J595="Weekly",52/12,IF(J595="Fortnightly",26/12,IF(J595="Four weekly",13/12,IF(J595="Monthly",1,IF(J595="Quarterly",1/3,IF(J595="Twice a year",1/6,IF(J595="Yearly",1/12,0))))))),2)))</f>
        <v>0</v>
      </c>
      <c r="T595" s="38">
        <f>IF(B595="","",IF(I595="Yes","Yes","No"))</f>
        <v>0</v>
      </c>
      <c r="U595" s="25">
        <f>IF(B595="","",IF(L595="Yes","",IF(K595="","",TodayDate-K595)))</f>
        <v>0</v>
      </c>
      <c r="V595" s="39">
        <f>IF(B595="","",IF(L595="Yes","Paid",IF(K595="","Pending",IF(K595&lt;TodayDate,"Overdue",IF(K595&lt;=TodayDate+7,"Due soon","Pending")))))</f>
        <v>0</v>
      </c>
      <c r="W595" s="26">
        <f>IF(B595="","",IFERROR(INDEX(BudgetAmount,MATCH(C595,BudgetCategory,0))*1,0))</f>
        <v>0</v>
      </c>
      <c r="X595" s="25">
        <f>IF(B595="","",COUNTIFS($R$5:$R$604,"&gt;"&amp;R595)+COUNTIFS($R$5:R595,R595))</f>
        <v>0</v>
      </c>
      <c r="Y595" s="39">
        <f>IF(B595="","",IF(F595="","Add - no amount",IF(C595="","Add - no category, it will miss the P&amp;L",IF(V595="Overdue","Overdue - pay it",IF(V595="Due soon","Due - coming up",IF(IF(I595="Yes",J595="",FALSE),"Add - how often does it recur?",IF(L595="Yes","OK","Pending")))))))</f>
        <v>0</v>
      </c>
    </row>
    <row r="596" spans="1:25">
      <c r="A596" s="28">
        <f>IF(B596="","",ExpensePrefix&amp;TEXT(ROW()-4,"0000"))</f>
        <v>0</v>
      </c>
      <c r="P596" s="15">
        <f>IF(B596="","",TEXT(B596,"yyyy-mm"))</f>
        <v>0</v>
      </c>
      <c r="Q596" s="25">
        <f>IF(B596="","",WEEKNUM(B596,2))</f>
        <v>0</v>
      </c>
      <c r="R596" s="26">
        <f>IF(B596="","",ROUND(IF(F596="",0,F596)+IF(G596="",0,G596),2))</f>
        <v>0</v>
      </c>
      <c r="S596" s="26">
        <f>IF(B596="","",IF(I596&lt;&gt;"Yes",0,ROUND(IF(F596="",0,F596)*IF(J596="Weekly",52/12,IF(J596="Fortnightly",26/12,IF(J596="Four weekly",13/12,IF(J596="Monthly",1,IF(J596="Quarterly",1/3,IF(J596="Twice a year",1/6,IF(J596="Yearly",1/12,0))))))),2)))</f>
        <v>0</v>
      </c>
      <c r="T596" s="38">
        <f>IF(B596="","",IF(I596="Yes","Yes","No"))</f>
        <v>0</v>
      </c>
      <c r="U596" s="25">
        <f>IF(B596="","",IF(L596="Yes","",IF(K596="","",TodayDate-K596)))</f>
        <v>0</v>
      </c>
      <c r="V596" s="39">
        <f>IF(B596="","",IF(L596="Yes","Paid",IF(K596="","Pending",IF(K596&lt;TodayDate,"Overdue",IF(K596&lt;=TodayDate+7,"Due soon","Pending")))))</f>
        <v>0</v>
      </c>
      <c r="W596" s="26">
        <f>IF(B596="","",IFERROR(INDEX(BudgetAmount,MATCH(C596,BudgetCategory,0))*1,0))</f>
        <v>0</v>
      </c>
      <c r="X596" s="25">
        <f>IF(B596="","",COUNTIFS($R$5:$R$604,"&gt;"&amp;R596)+COUNTIFS($R$5:R596,R596))</f>
        <v>0</v>
      </c>
      <c r="Y596" s="39">
        <f>IF(B596="","",IF(F596="","Add - no amount",IF(C596="","Add - no category, it will miss the P&amp;L",IF(V596="Overdue","Overdue - pay it",IF(V596="Due soon","Due - coming up",IF(IF(I596="Yes",J596="",FALSE),"Add - how often does it recur?",IF(L596="Yes","OK","Pending")))))))</f>
        <v>0</v>
      </c>
    </row>
    <row r="597" spans="1:25">
      <c r="A597" s="28">
        <f>IF(B597="","",ExpensePrefix&amp;TEXT(ROW()-4,"0000"))</f>
        <v>0</v>
      </c>
      <c r="P597" s="15">
        <f>IF(B597="","",TEXT(B597,"yyyy-mm"))</f>
        <v>0</v>
      </c>
      <c r="Q597" s="25">
        <f>IF(B597="","",WEEKNUM(B597,2))</f>
        <v>0</v>
      </c>
      <c r="R597" s="26">
        <f>IF(B597="","",ROUND(IF(F597="",0,F597)+IF(G597="",0,G597),2))</f>
        <v>0</v>
      </c>
      <c r="S597" s="26">
        <f>IF(B597="","",IF(I597&lt;&gt;"Yes",0,ROUND(IF(F597="",0,F597)*IF(J597="Weekly",52/12,IF(J597="Fortnightly",26/12,IF(J597="Four weekly",13/12,IF(J597="Monthly",1,IF(J597="Quarterly",1/3,IF(J597="Twice a year",1/6,IF(J597="Yearly",1/12,0))))))),2)))</f>
        <v>0</v>
      </c>
      <c r="T597" s="38">
        <f>IF(B597="","",IF(I597="Yes","Yes","No"))</f>
        <v>0</v>
      </c>
      <c r="U597" s="25">
        <f>IF(B597="","",IF(L597="Yes","",IF(K597="","",TodayDate-K597)))</f>
        <v>0</v>
      </c>
      <c r="V597" s="39">
        <f>IF(B597="","",IF(L597="Yes","Paid",IF(K597="","Pending",IF(K597&lt;TodayDate,"Overdue",IF(K597&lt;=TodayDate+7,"Due soon","Pending")))))</f>
        <v>0</v>
      </c>
      <c r="W597" s="26">
        <f>IF(B597="","",IFERROR(INDEX(BudgetAmount,MATCH(C597,BudgetCategory,0))*1,0))</f>
        <v>0</v>
      </c>
      <c r="X597" s="25">
        <f>IF(B597="","",COUNTIFS($R$5:$R$604,"&gt;"&amp;R597)+COUNTIFS($R$5:R597,R597))</f>
        <v>0</v>
      </c>
      <c r="Y597" s="39">
        <f>IF(B597="","",IF(F597="","Add - no amount",IF(C597="","Add - no category, it will miss the P&amp;L",IF(V597="Overdue","Overdue - pay it",IF(V597="Due soon","Due - coming up",IF(IF(I597="Yes",J597="",FALSE),"Add - how often does it recur?",IF(L597="Yes","OK","Pending")))))))</f>
        <v>0</v>
      </c>
    </row>
    <row r="598" spans="1:25">
      <c r="A598" s="28">
        <f>IF(B598="","",ExpensePrefix&amp;TEXT(ROW()-4,"0000"))</f>
        <v>0</v>
      </c>
      <c r="P598" s="15">
        <f>IF(B598="","",TEXT(B598,"yyyy-mm"))</f>
        <v>0</v>
      </c>
      <c r="Q598" s="25">
        <f>IF(B598="","",WEEKNUM(B598,2))</f>
        <v>0</v>
      </c>
      <c r="R598" s="26">
        <f>IF(B598="","",ROUND(IF(F598="",0,F598)+IF(G598="",0,G598),2))</f>
        <v>0</v>
      </c>
      <c r="S598" s="26">
        <f>IF(B598="","",IF(I598&lt;&gt;"Yes",0,ROUND(IF(F598="",0,F598)*IF(J598="Weekly",52/12,IF(J598="Fortnightly",26/12,IF(J598="Four weekly",13/12,IF(J598="Monthly",1,IF(J598="Quarterly",1/3,IF(J598="Twice a year",1/6,IF(J598="Yearly",1/12,0))))))),2)))</f>
        <v>0</v>
      </c>
      <c r="T598" s="38">
        <f>IF(B598="","",IF(I598="Yes","Yes","No"))</f>
        <v>0</v>
      </c>
      <c r="U598" s="25">
        <f>IF(B598="","",IF(L598="Yes","",IF(K598="","",TodayDate-K598)))</f>
        <v>0</v>
      </c>
      <c r="V598" s="39">
        <f>IF(B598="","",IF(L598="Yes","Paid",IF(K598="","Pending",IF(K598&lt;TodayDate,"Overdue",IF(K598&lt;=TodayDate+7,"Due soon","Pending")))))</f>
        <v>0</v>
      </c>
      <c r="W598" s="26">
        <f>IF(B598="","",IFERROR(INDEX(BudgetAmount,MATCH(C598,BudgetCategory,0))*1,0))</f>
        <v>0</v>
      </c>
      <c r="X598" s="25">
        <f>IF(B598="","",COUNTIFS($R$5:$R$604,"&gt;"&amp;R598)+COUNTIFS($R$5:R598,R598))</f>
        <v>0</v>
      </c>
      <c r="Y598" s="39">
        <f>IF(B598="","",IF(F598="","Add - no amount",IF(C598="","Add - no category, it will miss the P&amp;L",IF(V598="Overdue","Overdue - pay it",IF(V598="Due soon","Due - coming up",IF(IF(I598="Yes",J598="",FALSE),"Add - how often does it recur?",IF(L598="Yes","OK","Pending")))))))</f>
        <v>0</v>
      </c>
    </row>
    <row r="599" spans="1:25">
      <c r="A599" s="28">
        <f>IF(B599="","",ExpensePrefix&amp;TEXT(ROW()-4,"0000"))</f>
        <v>0</v>
      </c>
      <c r="P599" s="15">
        <f>IF(B599="","",TEXT(B599,"yyyy-mm"))</f>
        <v>0</v>
      </c>
      <c r="Q599" s="25">
        <f>IF(B599="","",WEEKNUM(B599,2))</f>
        <v>0</v>
      </c>
      <c r="R599" s="26">
        <f>IF(B599="","",ROUND(IF(F599="",0,F599)+IF(G599="",0,G599),2))</f>
        <v>0</v>
      </c>
      <c r="S599" s="26">
        <f>IF(B599="","",IF(I599&lt;&gt;"Yes",0,ROUND(IF(F599="",0,F599)*IF(J599="Weekly",52/12,IF(J599="Fortnightly",26/12,IF(J599="Four weekly",13/12,IF(J599="Monthly",1,IF(J599="Quarterly",1/3,IF(J599="Twice a year",1/6,IF(J599="Yearly",1/12,0))))))),2)))</f>
        <v>0</v>
      </c>
      <c r="T599" s="38">
        <f>IF(B599="","",IF(I599="Yes","Yes","No"))</f>
        <v>0</v>
      </c>
      <c r="U599" s="25">
        <f>IF(B599="","",IF(L599="Yes","",IF(K599="","",TodayDate-K599)))</f>
        <v>0</v>
      </c>
      <c r="V599" s="39">
        <f>IF(B599="","",IF(L599="Yes","Paid",IF(K599="","Pending",IF(K599&lt;TodayDate,"Overdue",IF(K599&lt;=TodayDate+7,"Due soon","Pending")))))</f>
        <v>0</v>
      </c>
      <c r="W599" s="26">
        <f>IF(B599="","",IFERROR(INDEX(BudgetAmount,MATCH(C599,BudgetCategory,0))*1,0))</f>
        <v>0</v>
      </c>
      <c r="X599" s="25">
        <f>IF(B599="","",COUNTIFS($R$5:$R$604,"&gt;"&amp;R599)+COUNTIFS($R$5:R599,R599))</f>
        <v>0</v>
      </c>
      <c r="Y599" s="39">
        <f>IF(B599="","",IF(F599="","Add - no amount",IF(C599="","Add - no category, it will miss the P&amp;L",IF(V599="Overdue","Overdue - pay it",IF(V599="Due soon","Due - coming up",IF(IF(I599="Yes",J599="",FALSE),"Add - how often does it recur?",IF(L599="Yes","OK","Pending")))))))</f>
        <v>0</v>
      </c>
    </row>
    <row r="600" spans="1:25">
      <c r="A600" s="28">
        <f>IF(B600="","",ExpensePrefix&amp;TEXT(ROW()-4,"0000"))</f>
        <v>0</v>
      </c>
      <c r="P600" s="15">
        <f>IF(B600="","",TEXT(B600,"yyyy-mm"))</f>
        <v>0</v>
      </c>
      <c r="Q600" s="25">
        <f>IF(B600="","",WEEKNUM(B600,2))</f>
        <v>0</v>
      </c>
      <c r="R600" s="26">
        <f>IF(B600="","",ROUND(IF(F600="",0,F600)+IF(G600="",0,G600),2))</f>
        <v>0</v>
      </c>
      <c r="S600" s="26">
        <f>IF(B600="","",IF(I600&lt;&gt;"Yes",0,ROUND(IF(F600="",0,F600)*IF(J600="Weekly",52/12,IF(J600="Fortnightly",26/12,IF(J600="Four weekly",13/12,IF(J600="Monthly",1,IF(J600="Quarterly",1/3,IF(J600="Twice a year",1/6,IF(J600="Yearly",1/12,0))))))),2)))</f>
        <v>0</v>
      </c>
      <c r="T600" s="38">
        <f>IF(B600="","",IF(I600="Yes","Yes","No"))</f>
        <v>0</v>
      </c>
      <c r="U600" s="25">
        <f>IF(B600="","",IF(L600="Yes","",IF(K600="","",TodayDate-K600)))</f>
        <v>0</v>
      </c>
      <c r="V600" s="39">
        <f>IF(B600="","",IF(L600="Yes","Paid",IF(K600="","Pending",IF(K600&lt;TodayDate,"Overdue",IF(K600&lt;=TodayDate+7,"Due soon","Pending")))))</f>
        <v>0</v>
      </c>
      <c r="W600" s="26">
        <f>IF(B600="","",IFERROR(INDEX(BudgetAmount,MATCH(C600,BudgetCategory,0))*1,0))</f>
        <v>0</v>
      </c>
      <c r="X600" s="25">
        <f>IF(B600="","",COUNTIFS($R$5:$R$604,"&gt;"&amp;R600)+COUNTIFS($R$5:R600,R600))</f>
        <v>0</v>
      </c>
      <c r="Y600" s="39">
        <f>IF(B600="","",IF(F600="","Add - no amount",IF(C600="","Add - no category, it will miss the P&amp;L",IF(V600="Overdue","Overdue - pay it",IF(V600="Due soon","Due - coming up",IF(IF(I600="Yes",J600="",FALSE),"Add - how often does it recur?",IF(L600="Yes","OK","Pending")))))))</f>
        <v>0</v>
      </c>
    </row>
    <row r="601" spans="1:25">
      <c r="A601" s="28">
        <f>IF(B601="","",ExpensePrefix&amp;TEXT(ROW()-4,"0000"))</f>
        <v>0</v>
      </c>
      <c r="P601" s="15">
        <f>IF(B601="","",TEXT(B601,"yyyy-mm"))</f>
        <v>0</v>
      </c>
      <c r="Q601" s="25">
        <f>IF(B601="","",WEEKNUM(B601,2))</f>
        <v>0</v>
      </c>
      <c r="R601" s="26">
        <f>IF(B601="","",ROUND(IF(F601="",0,F601)+IF(G601="",0,G601),2))</f>
        <v>0</v>
      </c>
      <c r="S601" s="26">
        <f>IF(B601="","",IF(I601&lt;&gt;"Yes",0,ROUND(IF(F601="",0,F601)*IF(J601="Weekly",52/12,IF(J601="Fortnightly",26/12,IF(J601="Four weekly",13/12,IF(J601="Monthly",1,IF(J601="Quarterly",1/3,IF(J601="Twice a year",1/6,IF(J601="Yearly",1/12,0))))))),2)))</f>
        <v>0</v>
      </c>
      <c r="T601" s="38">
        <f>IF(B601="","",IF(I601="Yes","Yes","No"))</f>
        <v>0</v>
      </c>
      <c r="U601" s="25">
        <f>IF(B601="","",IF(L601="Yes","",IF(K601="","",TodayDate-K601)))</f>
        <v>0</v>
      </c>
      <c r="V601" s="39">
        <f>IF(B601="","",IF(L601="Yes","Paid",IF(K601="","Pending",IF(K601&lt;TodayDate,"Overdue",IF(K601&lt;=TodayDate+7,"Due soon","Pending")))))</f>
        <v>0</v>
      </c>
      <c r="W601" s="26">
        <f>IF(B601="","",IFERROR(INDEX(BudgetAmount,MATCH(C601,BudgetCategory,0))*1,0))</f>
        <v>0</v>
      </c>
      <c r="X601" s="25">
        <f>IF(B601="","",COUNTIFS($R$5:$R$604,"&gt;"&amp;R601)+COUNTIFS($R$5:R601,R601))</f>
        <v>0</v>
      </c>
      <c r="Y601" s="39">
        <f>IF(B601="","",IF(F601="","Add - no amount",IF(C601="","Add - no category, it will miss the P&amp;L",IF(V601="Overdue","Overdue - pay it",IF(V601="Due soon","Due - coming up",IF(IF(I601="Yes",J601="",FALSE),"Add - how often does it recur?",IF(L601="Yes","OK","Pending")))))))</f>
        <v>0</v>
      </c>
    </row>
    <row r="602" spans="1:25">
      <c r="A602" s="28">
        <f>IF(B602="","",ExpensePrefix&amp;TEXT(ROW()-4,"0000"))</f>
        <v>0</v>
      </c>
      <c r="P602" s="15">
        <f>IF(B602="","",TEXT(B602,"yyyy-mm"))</f>
        <v>0</v>
      </c>
      <c r="Q602" s="25">
        <f>IF(B602="","",WEEKNUM(B602,2))</f>
        <v>0</v>
      </c>
      <c r="R602" s="26">
        <f>IF(B602="","",ROUND(IF(F602="",0,F602)+IF(G602="",0,G602),2))</f>
        <v>0</v>
      </c>
      <c r="S602" s="26">
        <f>IF(B602="","",IF(I602&lt;&gt;"Yes",0,ROUND(IF(F602="",0,F602)*IF(J602="Weekly",52/12,IF(J602="Fortnightly",26/12,IF(J602="Four weekly",13/12,IF(J602="Monthly",1,IF(J602="Quarterly",1/3,IF(J602="Twice a year",1/6,IF(J602="Yearly",1/12,0))))))),2)))</f>
        <v>0</v>
      </c>
      <c r="T602" s="38">
        <f>IF(B602="","",IF(I602="Yes","Yes","No"))</f>
        <v>0</v>
      </c>
      <c r="U602" s="25">
        <f>IF(B602="","",IF(L602="Yes","",IF(K602="","",TodayDate-K602)))</f>
        <v>0</v>
      </c>
      <c r="V602" s="39">
        <f>IF(B602="","",IF(L602="Yes","Paid",IF(K602="","Pending",IF(K602&lt;TodayDate,"Overdue",IF(K602&lt;=TodayDate+7,"Due soon","Pending")))))</f>
        <v>0</v>
      </c>
      <c r="W602" s="26">
        <f>IF(B602="","",IFERROR(INDEX(BudgetAmount,MATCH(C602,BudgetCategory,0))*1,0))</f>
        <v>0</v>
      </c>
      <c r="X602" s="25">
        <f>IF(B602="","",COUNTIFS($R$5:$R$604,"&gt;"&amp;R602)+COUNTIFS($R$5:R602,R602))</f>
        <v>0</v>
      </c>
      <c r="Y602" s="39">
        <f>IF(B602="","",IF(F602="","Add - no amount",IF(C602="","Add - no category, it will miss the P&amp;L",IF(V602="Overdue","Overdue - pay it",IF(V602="Due soon","Due - coming up",IF(IF(I602="Yes",J602="",FALSE),"Add - how often does it recur?",IF(L602="Yes","OK","Pending")))))))</f>
        <v>0</v>
      </c>
    </row>
    <row r="603" spans="1:25">
      <c r="A603" s="28">
        <f>IF(B603="","",ExpensePrefix&amp;TEXT(ROW()-4,"0000"))</f>
        <v>0</v>
      </c>
      <c r="P603" s="15">
        <f>IF(B603="","",TEXT(B603,"yyyy-mm"))</f>
        <v>0</v>
      </c>
      <c r="Q603" s="25">
        <f>IF(B603="","",WEEKNUM(B603,2))</f>
        <v>0</v>
      </c>
      <c r="R603" s="26">
        <f>IF(B603="","",ROUND(IF(F603="",0,F603)+IF(G603="",0,G603),2))</f>
        <v>0</v>
      </c>
      <c r="S603" s="26">
        <f>IF(B603="","",IF(I603&lt;&gt;"Yes",0,ROUND(IF(F603="",0,F603)*IF(J603="Weekly",52/12,IF(J603="Fortnightly",26/12,IF(J603="Four weekly",13/12,IF(J603="Monthly",1,IF(J603="Quarterly",1/3,IF(J603="Twice a year",1/6,IF(J603="Yearly",1/12,0))))))),2)))</f>
        <v>0</v>
      </c>
      <c r="T603" s="38">
        <f>IF(B603="","",IF(I603="Yes","Yes","No"))</f>
        <v>0</v>
      </c>
      <c r="U603" s="25">
        <f>IF(B603="","",IF(L603="Yes","",IF(K603="","",TodayDate-K603)))</f>
        <v>0</v>
      </c>
      <c r="V603" s="39">
        <f>IF(B603="","",IF(L603="Yes","Paid",IF(K603="","Pending",IF(K603&lt;TodayDate,"Overdue",IF(K603&lt;=TodayDate+7,"Due soon","Pending")))))</f>
        <v>0</v>
      </c>
      <c r="W603" s="26">
        <f>IF(B603="","",IFERROR(INDEX(BudgetAmount,MATCH(C603,BudgetCategory,0))*1,0))</f>
        <v>0</v>
      </c>
      <c r="X603" s="25">
        <f>IF(B603="","",COUNTIFS($R$5:$R$604,"&gt;"&amp;R603)+COUNTIFS($R$5:R603,R603))</f>
        <v>0</v>
      </c>
      <c r="Y603" s="39">
        <f>IF(B603="","",IF(F603="","Add - no amount",IF(C603="","Add - no category, it will miss the P&amp;L",IF(V603="Overdue","Overdue - pay it",IF(V603="Due soon","Due - coming up",IF(IF(I603="Yes",J603="",FALSE),"Add - how often does it recur?",IF(L603="Yes","OK","Pending")))))))</f>
        <v>0</v>
      </c>
    </row>
    <row r="604" spans="1:25">
      <c r="A604" s="28">
        <f>IF(B604="","",ExpensePrefix&amp;TEXT(ROW()-4,"0000"))</f>
        <v>0</v>
      </c>
      <c r="P604" s="15">
        <f>IF(B604="","",TEXT(B604,"yyyy-mm"))</f>
        <v>0</v>
      </c>
      <c r="Q604" s="25">
        <f>IF(B604="","",WEEKNUM(B604,2))</f>
        <v>0</v>
      </c>
      <c r="R604" s="26">
        <f>IF(B604="","",ROUND(IF(F604="",0,F604)+IF(G604="",0,G604),2))</f>
        <v>0</v>
      </c>
      <c r="S604" s="26">
        <f>IF(B604="","",IF(I604&lt;&gt;"Yes",0,ROUND(IF(F604="",0,F604)*IF(J604="Weekly",52/12,IF(J604="Fortnightly",26/12,IF(J604="Four weekly",13/12,IF(J604="Monthly",1,IF(J604="Quarterly",1/3,IF(J604="Twice a year",1/6,IF(J604="Yearly",1/12,0))))))),2)))</f>
        <v>0</v>
      </c>
      <c r="T604" s="38">
        <f>IF(B604="","",IF(I604="Yes","Yes","No"))</f>
        <v>0</v>
      </c>
      <c r="U604" s="25">
        <f>IF(B604="","",IF(L604="Yes","",IF(K604="","",TodayDate-K604)))</f>
        <v>0</v>
      </c>
      <c r="V604" s="39">
        <f>IF(B604="","",IF(L604="Yes","Paid",IF(K604="","Pending",IF(K604&lt;TodayDate,"Overdue",IF(K604&lt;=TodayDate+7,"Due soon","Pending")))))</f>
        <v>0</v>
      </c>
      <c r="W604" s="26">
        <f>IF(B604="","",IFERROR(INDEX(BudgetAmount,MATCH(C604,BudgetCategory,0))*1,0))</f>
        <v>0</v>
      </c>
      <c r="X604" s="25">
        <f>IF(B604="","",COUNTIFS($R$5:$R$604,"&gt;"&amp;R604)+COUNTIFS($R$5:R604,R604))</f>
        <v>0</v>
      </c>
      <c r="Y604" s="39">
        <f>IF(B604="","",IF(F604="","Add - no amount",IF(C604="","Add - no category, it will miss the P&amp;L",IF(V604="Overdue","Overdue - pay it",IF(V604="Due soon","Due - coming up",IF(IF(I604="Yes",J604="",FALSE),"Add - how often does it recur?",IF(L604="Yes","OK","Pending")))))))</f>
        <v>0</v>
      </c>
    </row>
    <row r="606" spans="1:25" ht="20" customHeight="1">
      <c r="A606" s="7" t="s">
        <v>480</v>
      </c>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26" customHeight="1">
      <c r="A607" s="10" t="s">
        <v>481</v>
      </c>
      <c r="B607" s="11" t="s">
        <v>474</v>
      </c>
      <c r="C607" s="11" t="s">
        <v>482</v>
      </c>
      <c r="D607" s="11" t="s">
        <v>483</v>
      </c>
      <c r="E607" s="11" t="s">
        <v>484</v>
      </c>
      <c r="F607" s="11" t="s">
        <v>485</v>
      </c>
      <c r="G607" s="11" t="s">
        <v>486</v>
      </c>
      <c r="H607" s="11" t="s">
        <v>487</v>
      </c>
    </row>
    <row r="608" spans="1:25">
      <c r="A608" s="25">
        <f>COUNTIF(Expenses!$B$5:$B$604,"&lt;&gt;")</f>
        <v>0</v>
      </c>
      <c r="B608" s="26">
        <f>ROUND(SUM(Expenses!$F$5:$F$604),2)</f>
        <v>0</v>
      </c>
      <c r="C608" s="26">
        <f>ROUND(SUMIFS(Expenses!$F$5:$F$604,Expenses!$P$5:$P$604,ThisMonthKey),2)</f>
        <v>0</v>
      </c>
      <c r="D608" s="26">
        <f>ROUND(SUM(Expenses!$S$5:$S$604),2)</f>
        <v>0</v>
      </c>
      <c r="E608" s="26">
        <f>ROUND(SUMIFS(Expenses!$R$5:$R$604,Expenses!$L$5:$L$604,"&lt;&gt;Yes"),2)</f>
        <v>0</v>
      </c>
      <c r="F608" s="25">
        <f>COUNTIFS(Expenses!$V$5:$V$604,"Overdue")</f>
        <v>0</v>
      </c>
      <c r="G608" s="26">
        <f>ROUND(MAX(Expenses!$F$5:$F$604),2)</f>
        <v>0</v>
      </c>
      <c r="H608" s="15">
        <f>IFERROR(INDEX(Expenses!$C$5:$C$604,MATCH(MAX(Expenses!$R$5:$R$604),Expenses!$R$5:$R$604,0)),"")</f>
        <v>0</v>
      </c>
    </row>
  </sheetData>
  <sheetProtection password="EC7C" sheet="1" objects="1" scenarios="1" formatCells="0" formatColumns="0" formatRows="0" insertRows="0" insertHyperlinks="0" deleteRows="0" autoFilter="0"/>
  <autoFilter ref="A4:Y604"/>
  <mergeCells count="14">
    <mergeCell ref="A1:V1"/>
    <mergeCell ref="W1:Y1"/>
    <mergeCell ref="A2:Y2"/>
    <mergeCell ref="A3:B3"/>
    <mergeCell ref="C3:D3"/>
    <mergeCell ref="E3:F3"/>
    <mergeCell ref="G3:H3"/>
    <mergeCell ref="I3:J3"/>
    <mergeCell ref="K3:L3"/>
    <mergeCell ref="M3:N3"/>
    <mergeCell ref="O3:P3"/>
    <mergeCell ref="Q3:R3"/>
    <mergeCell ref="S3:Y3"/>
    <mergeCell ref="A606:Y606"/>
  </mergeCells>
  <conditionalFormatting sqref="R5:R604">
    <cfRule type="dataBar" priority="1">
      <dataBar>
        <cfvo type="min" val="0"/>
        <cfvo type="max" val="0"/>
        <color rgb="FF9A5C86"/>
      </dataBar>
    </cfRule>
  </conditionalFormatting>
  <conditionalFormatting sqref="U5:U604">
    <cfRule type="cellIs" dxfId="2" priority="2" operator="greaterThan">
      <formula>0</formula>
    </cfRule>
  </conditionalFormatting>
  <conditionalFormatting sqref="V5:V604">
    <cfRule type="containsText" dxfId="1" priority="3" operator="containsText" text="Completed">
      <formula>NOT(ISERROR(SEARCH("Completed",V5)))</formula>
    </cfRule>
    <cfRule type="containsText" dxfId="1" priority="4" operator="containsText" text="Complete">
      <formula>NOT(ISERROR(SEARCH("Complete",V5)))</formula>
    </cfRule>
    <cfRule type="containsText" dxfId="1" priority="5" operator="containsText" text="Paid">
      <formula>NOT(ISERROR(SEARCH("Paid",V5)))</formula>
    </cfRule>
    <cfRule type="containsText" dxfId="1" priority="6" operator="containsText" text="Settled">
      <formula>NOT(ISERROR(SEARCH("Settled",V5)))</formula>
    </cfRule>
    <cfRule type="containsText" dxfId="1" priority="7" operator="containsText" text="Arrived">
      <formula>NOT(ISERROR(SEARCH("Arrived",V5)))</formula>
    </cfRule>
    <cfRule type="containsText" dxfId="1" priority="8" operator="containsText" text="Active">
      <formula>NOT(ISERROR(SEARCH("Active",V5)))</formula>
    </cfRule>
    <cfRule type="containsText" dxfId="1" priority="9" operator="containsText" text="Regular">
      <formula>NOT(ISERROR(SEARCH("Regular",V5)))</formula>
    </cfRule>
    <cfRule type="containsText" dxfId="1" priority="10" operator="containsText" text="VIP">
      <formula>NOT(ISERROR(SEARCH("VIP",V5)))</formula>
    </cfRule>
    <cfRule type="containsText" dxfId="1" priority="11" operator="containsText" text="In stock">
      <formula>NOT(ISERROR(SEARCH("In stock",V5)))</formula>
    </cfRule>
    <cfRule type="containsText" dxfId="1" priority="12" operator="containsText" text="Received">
      <formula>NOT(ISERROR(SEARCH("Received",V5)))</formula>
    </cfRule>
    <cfRule type="containsText" dxfId="1" priority="13" operator="containsText" text="Approved">
      <formula>NOT(ISERROR(SEARCH("Approved",V5)))</formula>
    </cfRule>
    <cfRule type="containsText" dxfId="1" priority="14" operator="containsText" text="Yes">
      <formula>NOT(ISERROR(SEARCH("Yes",V5)))</formula>
    </cfRule>
    <cfRule type="containsText" dxfId="3" priority="15" operator="containsText" text="Booked">
      <formula>NOT(ISERROR(SEARCH("Booked",V5)))</formula>
    </cfRule>
    <cfRule type="containsText" dxfId="3" priority="16" operator="containsText" text="Confirmed">
      <formula>NOT(ISERROR(SEARCH("Confirmed",V5)))</formula>
    </cfRule>
    <cfRule type="containsText" dxfId="3" priority="17" operator="containsText" text="Scheduled">
      <formula>NOT(ISERROR(SEARCH("Scheduled",V5)))</formula>
    </cfRule>
    <cfRule type="containsText" dxfId="3" priority="18" operator="containsText" text="New">
      <formula>NOT(ISERROR(SEARCH("New",V5)))</formula>
    </cfRule>
    <cfRule type="containsText" dxfId="3" priority="19" operator="containsText" text="Ordered">
      <formula>NOT(ISERROR(SEARCH("Ordered",V5)))</formula>
    </cfRule>
    <cfRule type="containsText" dxfId="3" priority="20" operator="containsText" text="Running">
      <formula>NOT(ISERROR(SEARCH("Running",V5)))</formula>
    </cfRule>
    <cfRule type="containsText" dxfId="0" priority="21" operator="containsText" text="Part paid">
      <formula>NOT(ISERROR(SEARCH("Part paid",V5)))</formula>
    </cfRule>
    <cfRule type="containsText" dxfId="0" priority="22" operator="containsText" text="Pending">
      <formula>NOT(ISERROR(SEARCH("Pending",V5)))</formula>
    </cfRule>
    <cfRule type="containsText" dxfId="0" priority="23" operator="containsText" text="Enquiry">
      <formula>NOT(ISERROR(SEARCH("Enquiry",V5)))</formula>
    </cfRule>
    <cfRule type="containsText" dxfId="0" priority="24" operator="containsText" text="Rescheduled">
      <formula>NOT(ISERROR(SEARCH("Rescheduled",V5)))</formula>
    </cfRule>
    <cfRule type="containsText" dxfId="0" priority="25" operator="containsText" text="Low stock">
      <formula>NOT(ISERROR(SEARCH("Low stock",V5)))</formula>
    </cfRule>
    <cfRule type="containsText" dxfId="0" priority="26" operator="containsText" text="Lapsing">
      <formula>NOT(ISERROR(SEARCH("Lapsing",V5)))</formula>
    </cfRule>
    <cfRule type="containsText" dxfId="0" priority="27" operator="containsText" text="Planned">
      <formula>NOT(ISERROR(SEARCH("Planned",V5)))</formula>
    </cfRule>
    <cfRule type="containsText" dxfId="0" priority="28" operator="containsText" text="On hold">
      <formula>NOT(ISERROR(SEARCH("On hold",V5)))</formula>
    </cfRule>
    <cfRule type="containsText" dxfId="0" priority="29" operator="containsText" text="Draft">
      <formula>NOT(ISERROR(SEARCH("Draft",V5)))</formula>
    </cfRule>
    <cfRule type="containsText" dxfId="2" priority="30" operator="containsText" text="Cancelled">
      <formula>NOT(ISERROR(SEARCH("Cancelled",V5)))</formula>
    </cfRule>
    <cfRule type="containsText" dxfId="2" priority="31" operator="containsText" text="No show">
      <formula>NOT(ISERROR(SEARCH("No show",V5)))</formula>
    </cfRule>
    <cfRule type="containsText" dxfId="2" priority="32" operator="containsText" text="Refunded">
      <formula>NOT(ISERROR(SEARCH("Refunded",V5)))</formula>
    </cfRule>
    <cfRule type="containsText" dxfId="2" priority="33" operator="containsText" text="Out of stock">
      <formula>NOT(ISERROR(SEARCH("Out of stock",V5)))</formula>
    </cfRule>
    <cfRule type="containsText" dxfId="2" priority="34" operator="containsText" text="Overdue">
      <formula>NOT(ISERROR(SEARCH("Overdue",V5)))</formula>
    </cfRule>
    <cfRule type="containsText" dxfId="2" priority="35" operator="containsText" text="Written off">
      <formula>NOT(ISERROR(SEARCH("Written off",V5)))</formula>
    </cfRule>
    <cfRule type="containsText" dxfId="4" priority="36" operator="containsText" text="Inactive">
      <formula>NOT(ISERROR(SEARCH("Inactive",V5)))</formula>
    </cfRule>
    <cfRule type="containsText" dxfId="4" priority="37" operator="containsText" text="Archived">
      <formula>NOT(ISERROR(SEARCH("Archived",V5)))</formula>
    </cfRule>
    <cfRule type="containsText" dxfId="4" priority="38" operator="containsText" text="Finished">
      <formula>NOT(ISERROR(SEARCH("Finished",V5)))</formula>
    </cfRule>
    <cfRule type="containsText" dxfId="4" priority="39" operator="containsText" text="Discontinued">
      <formula>NOT(ISERROR(SEARCH("Discontinued",V5)))</formula>
    </cfRule>
  </conditionalFormatting>
  <conditionalFormatting sqref="Y5:Y604">
    <cfRule type="beginsWith" dxfId="1" priority="40" operator="beginsWith" text="OK">
      <formula>LEFT(Y5,2)="OK"</formula>
    </cfRule>
    <cfRule type="containsText" dxfId="2" priority="41" operator="containsText" text="Overdue">
      <formula>NOT(ISERROR(SEARCH("Overdue",Y5)))</formula>
    </cfRule>
    <cfRule type="containsText" dxfId="2" priority="42" operator="containsText" text="Late">
      <formula>NOT(ISERROR(SEARCH("Late",Y5)))</formula>
    </cfRule>
    <cfRule type="containsText" dxfId="2" priority="43" operator="containsText" text="Missing">
      <formula>NOT(ISERROR(SEARCH("Missing",Y5)))</formula>
    </cfRule>
    <cfRule type="containsText" dxfId="2" priority="44" operator="containsText" text="Clash">
      <formula>NOT(ISERROR(SEARCH("Clash",Y5)))</formula>
    </cfRule>
    <cfRule type="containsText" dxfId="2" priority="45" operator="containsText" text="Conflict">
      <formula>NOT(ISERROR(SEARCH("Conflict",Y5)))</formula>
    </cfRule>
    <cfRule type="containsText" dxfId="2" priority="46" operator="containsText" text="Duplicate">
      <formula>NOT(ISERROR(SEARCH("Duplicate",Y5)))</formula>
    </cfRule>
    <cfRule type="containsText" dxfId="2" priority="47" operator="containsText" text="Unpaid">
      <formula>NOT(ISERROR(SEARCH("Unpaid",Y5)))</formula>
    </cfRule>
    <cfRule type="containsText" dxfId="2" priority="48" operator="containsText" text="Loss">
      <formula>NOT(ISERROR(SEARCH("Loss",Y5)))</formula>
    </cfRule>
    <cfRule type="containsText" dxfId="2" priority="49" operator="containsText" text="Below">
      <formula>NOT(ISERROR(SEARCH("Below",Y5)))</formula>
    </cfRule>
    <cfRule type="containsText" dxfId="2" priority="50" operator="containsText" text="Out of stock">
      <formula>NOT(ISERROR(SEARCH("Out of stock",Y5)))</formula>
    </cfRule>
    <cfRule type="containsText" dxfId="2" priority="51" operator="containsText" text="No show">
      <formula>NOT(ISERROR(SEARCH("No show",Y5)))</formula>
    </cfRule>
    <cfRule type="containsText" dxfId="0" priority="52" operator="containsText" text="Action">
      <formula>NOT(ISERROR(SEARCH("Action",Y5)))</formula>
    </cfRule>
    <cfRule type="containsText" dxfId="0" priority="53" operator="containsText" text="Due">
      <formula>NOT(ISERROR(SEARCH("Due",Y5)))</formula>
    </cfRule>
    <cfRule type="containsText" dxfId="0" priority="54" operator="containsText" text="Check">
      <formula>NOT(ISERROR(SEARCH("Check",Y5)))</formula>
    </cfRule>
    <cfRule type="containsText" dxfId="0" priority="55" operator="containsText" text="Chase">
      <formula>NOT(ISERROR(SEARCH("Chase",Y5)))</formula>
    </cfRule>
    <cfRule type="containsText" dxfId="0" priority="56" operator="containsText" text="Assign">
      <formula>NOT(ISERROR(SEARCH("Assign",Y5)))</formula>
    </cfRule>
    <cfRule type="containsText" dxfId="0" priority="57" operator="containsText" text="Confirm">
      <formula>NOT(ISERROR(SEARCH("Confirm",Y5)))</formula>
    </cfRule>
    <cfRule type="containsText" dxfId="0" priority="58" operator="containsText" text="Order">
      <formula>NOT(ISERROR(SEARCH("Order",Y5)))</formula>
    </cfRule>
    <cfRule type="containsText" dxfId="0" priority="59" operator="containsText" text="Rebook">
      <formula>NOT(ISERROR(SEARCH("Rebook",Y5)))</formula>
    </cfRule>
    <cfRule type="containsText" dxfId="0" priority="60" operator="containsText" text="Add">
      <formula>NOT(ISERROR(SEARCH("Add",Y5)))</formula>
    </cfRule>
    <cfRule type="containsText" dxfId="3" priority="61" operator="containsText" text="Today">
      <formula>NOT(ISERROR(SEARCH("Today",Y5)))</formula>
    </cfRule>
    <cfRule type="containsText" dxfId="3" priority="62" operator="containsText" text="Tomorrow">
      <formula>NOT(ISERROR(SEARCH("Tomorrow",Y5)))</formula>
    </cfRule>
    <cfRule type="containsText" dxfId="3" priority="63" operator="containsText" text="Upcoming">
      <formula>NOT(ISERROR(SEARCH("Upcoming",Y5)))</formula>
    </cfRule>
  </conditionalFormatting>
  <dataValidations count="10">
    <dataValidation type="date" allowBlank="1" showInputMessage="1" showErrorMessage="1" errorTitle="Check the date" error="Enter a real date between 2000 and 2100." promptTitle="Date" prompt="The day the cost belongs to, not necessarily the day it leaves the bank." sqref="B5:B604">
      <formula1>36526</formula1>
      <formula2>73415</formula2>
    </dataValidation>
    <dataValidation type="list" allowBlank="1" showInputMessage="1" showErrorMessage="1" promptTitle="Category" prompt="These are the lines of your profit and loss and the rows of your budget. Keep to the list." sqref="C5:C604">
      <formula1>ExpenseCategoryList</formula1>
    </dataValidation>
    <dataValidation type="decimal" allowBlank="1" showInputMessage="1" showErrorMessage="1" errorTitle="Check the value" error="Enter a number between 0 and 1000000." promptTitle="Amount" prompt="Before tax, if you can reclaim it. Including tax if you cannot - just be consistent." sqref="F5:F604">
      <formula1>0</formula1>
      <formula2>1000000</formula2>
    </dataValidation>
    <dataValidation type="decimal" allowBlank="1" showInputMessage="1" showErrorMessage="1" errorTitle="Check the value" error="Enter a number between 0 and 1000000." promptTitle="Tax" prompt="Sales tax or VAT on the bill, if you track it separately." sqref="G5:G604">
      <formula1>0</formula1>
      <formula2>1000000</formula2>
    </dataValidation>
    <dataValidation type="list" allowBlank="1" showInputMessage="1" showErrorMessage="1" sqref="H5:H604">
      <formula1>PaymentMethodList</formula1>
    </dataValidation>
    <dataValidation type="list" allowBlank="1" showInputMessage="1" showErrorMessage="1" promptTitle="Recurring?" prompt="Yes for anything that comes round again - rent, insurance, software, the music licence." sqref="I5:I604">
      <formula1>"Yes,No"</formula1>
    </dataValidation>
    <dataValidation type="list" allowBlank="1" showInputMessage="1" showErrorMessage="1" promptTitle="How often" prompt="Only used when recurring is Yes. It is what turns a yearly insurance bill into a monthly overhead." sqref="J5:J604">
      <formula1>FrequencyList</formula1>
    </dataValidation>
    <dataValidation type="date" allowBlank="1" showInputMessage="1" showErrorMessage="1" errorTitle="Check the date" error="Enter a real date between 2000 and 2100." promptTitle="Due" prompt="When it has to be paid by. Leave blank for anything already settled." sqref="K5:K604">
      <formula1>36526</formula1>
      <formula2>73415</formula2>
    </dataValidation>
    <dataValidation type="list" allowBlank="1" showInputMessage="1" showErrorMessage="1" sqref="L5:L604">
      <formula1>"Yes,No"</formula1>
    </dataValidation>
    <dataValidation type="date" allowBlank="1" showInputMessage="1" showErrorMessage="1" errorTitle="Check the date" error="Enter a real date between 2000 and 2100." sqref="M5:M604">
      <formula1>36526</formula1>
      <formula2>73415</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&amp;L&amp;"Calibri,Bold"&amp;12&amp;C&amp;"Calibri,Bold"&amp;11Expenses&amp;R&amp;"Calibri,Italic"&amp;9Salon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6D3B5E"/>
    <pageSetUpPr fitToPage="1"/>
  </sheetPr>
  <dimension ref="A1:O66"/>
  <sheetViews>
    <sheetView showGridLines="0"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30.7109375" customWidth="1"/>
    <col min="2" max="2" width="12.7109375" customWidth="1"/>
    <col min="3" max="3" width="12.7109375" customWidth="1"/>
    <col min="4" max="4" width="12.7109375" customWidth="1"/>
    <col min="5" max="5" width="12.7109375" customWidth="1"/>
    <col min="6" max="6" width="12.7109375" customWidth="1"/>
    <col min="7" max="7" width="12.7109375" customWidth="1"/>
    <col min="8" max="8" width="12.7109375" customWidth="1"/>
    <col min="9" max="9" width="12.7109375" customWidth="1"/>
    <col min="10" max="10" width="12.7109375" customWidth="1"/>
    <col min="11" max="11" width="12.7109375" customWidth="1"/>
    <col min="12" max="12" width="12.7109375" customWidth="1"/>
    <col min="13" max="13" width="12.7109375" customWidth="1"/>
    <col min="14" max="14" width="12.7109375" customWidth="1"/>
    <col min="15" max="15" width="12.7109375" customWidth="1"/>
  </cols>
  <sheetData>
    <row r="1" spans="1:15" ht="34" customHeight="1">
      <c r="A1" s="2" t="s">
        <v>48</v>
      </c>
      <c r="B1" s="2"/>
      <c r="C1" s="2"/>
      <c r="D1" s="2"/>
      <c r="E1" s="2"/>
      <c r="F1" s="2"/>
      <c r="G1" s="2"/>
      <c r="H1" s="2"/>
      <c r="I1" s="2"/>
      <c r="J1" s="2"/>
      <c r="K1" s="2"/>
      <c r="L1" s="2"/>
      <c r="M1" s="3" t="s">
        <v>1</v>
      </c>
      <c r="N1" s="3"/>
      <c r="O1" s="3"/>
    </row>
    <row r="2" spans="1:15" ht="18" customHeight="1">
      <c r="A2" s="4" t="s">
        <v>488</v>
      </c>
      <c r="B2" s="4"/>
      <c r="C2" s="4"/>
      <c r="D2" s="4"/>
      <c r="E2" s="4"/>
      <c r="F2" s="4"/>
      <c r="G2" s="4"/>
      <c r="H2" s="4"/>
      <c r="I2" s="4"/>
      <c r="J2" s="4"/>
      <c r="K2" s="4"/>
      <c r="L2" s="4"/>
      <c r="M2" s="4"/>
      <c r="N2" s="4"/>
      <c r="O2" s="4"/>
    </row>
    <row r="3" spans="1:15" ht="16" customHeight="1">
      <c r="A3" s="5" t="s">
        <v>3</v>
      </c>
      <c r="B3" s="5"/>
      <c r="C3" s="5" t="s">
        <v>4</v>
      </c>
      <c r="D3" s="5"/>
      <c r="E3" s="5" t="s">
        <v>5</v>
      </c>
      <c r="F3" s="5"/>
      <c r="G3" s="5" t="s">
        <v>6</v>
      </c>
      <c r="H3" s="5"/>
      <c r="I3" s="5" t="s">
        <v>7</v>
      </c>
      <c r="J3" s="5"/>
      <c r="K3" s="5" t="s">
        <v>118</v>
      </c>
      <c r="L3" s="5"/>
      <c r="M3" s="5" t="s">
        <v>207</v>
      </c>
      <c r="N3" s="5"/>
      <c r="O3" s="14" t="s">
        <v>119</v>
      </c>
    </row>
    <row r="5" spans="1:15" ht="32" customHeight="1">
      <c r="A5" s="6" t="s">
        <v>489</v>
      </c>
      <c r="B5" s="6"/>
      <c r="C5" s="6"/>
      <c r="D5" s="6"/>
      <c r="E5" s="6"/>
      <c r="F5" s="6"/>
      <c r="G5" s="6"/>
      <c r="H5" s="6"/>
      <c r="I5" s="6"/>
      <c r="J5" s="6"/>
      <c r="K5" s="6"/>
      <c r="L5" s="6"/>
      <c r="M5" s="6"/>
      <c r="N5" s="6"/>
      <c r="O5" s="6"/>
    </row>
    <row r="7" spans="1:15" ht="24" customHeight="1">
      <c r="A7" s="10" t="s">
        <v>490</v>
      </c>
      <c r="B7" s="11">
        <f>TEXT(DATE(YEAR(TodayDate),MONTH(TodayDate)-11,1),"mmm yy")</f>
        <v>0</v>
      </c>
      <c r="C7" s="11">
        <f>TEXT(DATE(YEAR(TodayDate),MONTH(TodayDate)-10,1),"mmm yy")</f>
        <v>0</v>
      </c>
      <c r="D7" s="11">
        <f>TEXT(DATE(YEAR(TodayDate),MONTH(TodayDate)-9,1),"mmm yy")</f>
        <v>0</v>
      </c>
      <c r="E7" s="11">
        <f>TEXT(DATE(YEAR(TodayDate),MONTH(TodayDate)-8,1),"mmm yy")</f>
        <v>0</v>
      </c>
      <c r="F7" s="11">
        <f>TEXT(DATE(YEAR(TodayDate),MONTH(TodayDate)-7,1),"mmm yy")</f>
        <v>0</v>
      </c>
      <c r="G7" s="11">
        <f>TEXT(DATE(YEAR(TodayDate),MONTH(TodayDate)-6,1),"mmm yy")</f>
        <v>0</v>
      </c>
      <c r="H7" s="11">
        <f>TEXT(DATE(YEAR(TodayDate),MONTH(TodayDate)-5,1),"mmm yy")</f>
        <v>0</v>
      </c>
      <c r="I7" s="11">
        <f>TEXT(DATE(YEAR(TodayDate),MONTH(TodayDate)-4,1),"mmm yy")</f>
        <v>0</v>
      </c>
      <c r="J7" s="11">
        <f>TEXT(DATE(YEAR(TodayDate),MONTH(TodayDate)-3,1),"mmm yy")</f>
        <v>0</v>
      </c>
      <c r="K7" s="11">
        <f>TEXT(DATE(YEAR(TodayDate),MONTH(TodayDate)-2,1),"mmm yy")</f>
        <v>0</v>
      </c>
      <c r="L7" s="11">
        <f>TEXT(DATE(YEAR(TodayDate),MONTH(TodayDate)-1,1),"mmm yy")</f>
        <v>0</v>
      </c>
      <c r="M7" s="11">
        <f>TEXT(DATE(YEAR(TodayDate),MONTH(TodayDate)-0,1),"mmm yy")</f>
        <v>0</v>
      </c>
      <c r="N7" s="11" t="s">
        <v>491</v>
      </c>
      <c r="O7" s="11" t="s">
        <v>492</v>
      </c>
    </row>
    <row r="8" spans="1:15" ht="20" customHeight="1">
      <c r="A8" s="7" t="s">
        <v>493</v>
      </c>
      <c r="B8" s="7"/>
      <c r="C8" s="7"/>
      <c r="D8" s="7"/>
      <c r="E8" s="7"/>
      <c r="F8" s="7"/>
      <c r="G8" s="7"/>
      <c r="H8" s="7"/>
      <c r="I8" s="7"/>
      <c r="J8" s="7"/>
      <c r="K8" s="7"/>
      <c r="L8" s="7"/>
      <c r="M8" s="7"/>
      <c r="N8" s="7"/>
      <c r="O8" s="7"/>
    </row>
    <row r="9" spans="1:15">
      <c r="A9" s="13" t="s">
        <v>411</v>
      </c>
      <c r="B9" s="26">
        <f>ROUND(SUMIFS(Sales!$Y$5:$Y$1204,Sales!$R$5:$R$1204,TEXT(DATE(YEAR(TodayDate),MONTH(TodayDate)-11,1),"yyyy-mm"),Sales!$H$5:$H$1204,"Service"),2)</f>
        <v>0</v>
      </c>
      <c r="C9" s="26">
        <f>ROUND(SUMIFS(Sales!$Y$5:$Y$1204,Sales!$R$5:$R$1204,TEXT(DATE(YEAR(TodayDate),MONTH(TodayDate)-10,1),"yyyy-mm"),Sales!$H$5:$H$1204,"Service"),2)</f>
        <v>0</v>
      </c>
      <c r="D9" s="26">
        <f>ROUND(SUMIFS(Sales!$Y$5:$Y$1204,Sales!$R$5:$R$1204,TEXT(DATE(YEAR(TodayDate),MONTH(TodayDate)-9,1),"yyyy-mm"),Sales!$H$5:$H$1204,"Service"),2)</f>
        <v>0</v>
      </c>
      <c r="E9" s="26">
        <f>ROUND(SUMIFS(Sales!$Y$5:$Y$1204,Sales!$R$5:$R$1204,TEXT(DATE(YEAR(TodayDate),MONTH(TodayDate)-8,1),"yyyy-mm"),Sales!$H$5:$H$1204,"Service"),2)</f>
        <v>0</v>
      </c>
      <c r="F9" s="26">
        <f>ROUND(SUMIFS(Sales!$Y$5:$Y$1204,Sales!$R$5:$R$1204,TEXT(DATE(YEAR(TodayDate),MONTH(TodayDate)-7,1),"yyyy-mm"),Sales!$H$5:$H$1204,"Service"),2)</f>
        <v>0</v>
      </c>
      <c r="G9" s="26">
        <f>ROUND(SUMIFS(Sales!$Y$5:$Y$1204,Sales!$R$5:$R$1204,TEXT(DATE(YEAR(TodayDate),MONTH(TodayDate)-6,1),"yyyy-mm"),Sales!$H$5:$H$1204,"Service"),2)</f>
        <v>0</v>
      </c>
      <c r="H9" s="26">
        <f>ROUND(SUMIFS(Sales!$Y$5:$Y$1204,Sales!$R$5:$R$1204,TEXT(DATE(YEAR(TodayDate),MONTH(TodayDate)-5,1),"yyyy-mm"),Sales!$H$5:$H$1204,"Service"),2)</f>
        <v>0</v>
      </c>
      <c r="I9" s="26">
        <f>ROUND(SUMIFS(Sales!$Y$5:$Y$1204,Sales!$R$5:$R$1204,TEXT(DATE(YEAR(TodayDate),MONTH(TodayDate)-4,1),"yyyy-mm"),Sales!$H$5:$H$1204,"Service"),2)</f>
        <v>0</v>
      </c>
      <c r="J9" s="26">
        <f>ROUND(SUMIFS(Sales!$Y$5:$Y$1204,Sales!$R$5:$R$1204,TEXT(DATE(YEAR(TodayDate),MONTH(TodayDate)-3,1),"yyyy-mm"),Sales!$H$5:$H$1204,"Service"),2)</f>
        <v>0</v>
      </c>
      <c r="K9" s="26">
        <f>ROUND(SUMIFS(Sales!$Y$5:$Y$1204,Sales!$R$5:$R$1204,TEXT(DATE(YEAR(TodayDate),MONTH(TodayDate)-2,1),"yyyy-mm"),Sales!$H$5:$H$1204,"Service"),2)</f>
        <v>0</v>
      </c>
      <c r="L9" s="26">
        <f>ROUND(SUMIFS(Sales!$Y$5:$Y$1204,Sales!$R$5:$R$1204,TEXT(DATE(YEAR(TodayDate),MONTH(TodayDate)-1,1),"yyyy-mm"),Sales!$H$5:$H$1204,"Service"),2)</f>
        <v>0</v>
      </c>
      <c r="M9" s="26">
        <f>ROUND(SUMIFS(Sales!$Y$5:$Y$1204,Sales!$R$5:$R$1204,TEXT(DATE(YEAR(TodayDate),MONTH(TodayDate)-0,1),"yyyy-mm"),Sales!$H$5:$H$1204,"Service"),2)</f>
        <v>0</v>
      </c>
      <c r="N9" s="26">
        <f>ROUND(B9+C9+D9+E9+F9+G9+H9+I9+J9+K9+L9+M9,2)</f>
        <v>0</v>
      </c>
      <c r="O9" s="27"/>
    </row>
    <row r="10" spans="1:15">
      <c r="A10" s="13" t="s">
        <v>412</v>
      </c>
      <c r="B10" s="26">
        <f>ROUND(SUMIFS(Sales!$Y$5:$Y$1204,Sales!$R$5:$R$1204,TEXT(DATE(YEAR(TodayDate),MONTH(TodayDate)-11,1),"yyyy-mm"),Sales!$H$5:$H$1204,"Retail"),2)</f>
        <v>0</v>
      </c>
      <c r="C10" s="26">
        <f>ROUND(SUMIFS(Sales!$Y$5:$Y$1204,Sales!$R$5:$R$1204,TEXT(DATE(YEAR(TodayDate),MONTH(TodayDate)-10,1),"yyyy-mm"),Sales!$H$5:$H$1204,"Retail"),2)</f>
        <v>0</v>
      </c>
      <c r="D10" s="26">
        <f>ROUND(SUMIFS(Sales!$Y$5:$Y$1204,Sales!$R$5:$R$1204,TEXT(DATE(YEAR(TodayDate),MONTH(TodayDate)-9,1),"yyyy-mm"),Sales!$H$5:$H$1204,"Retail"),2)</f>
        <v>0</v>
      </c>
      <c r="E10" s="26">
        <f>ROUND(SUMIFS(Sales!$Y$5:$Y$1204,Sales!$R$5:$R$1204,TEXT(DATE(YEAR(TodayDate),MONTH(TodayDate)-8,1),"yyyy-mm"),Sales!$H$5:$H$1204,"Retail"),2)</f>
        <v>0</v>
      </c>
      <c r="F10" s="26">
        <f>ROUND(SUMIFS(Sales!$Y$5:$Y$1204,Sales!$R$5:$R$1204,TEXT(DATE(YEAR(TodayDate),MONTH(TodayDate)-7,1),"yyyy-mm"),Sales!$H$5:$H$1204,"Retail"),2)</f>
        <v>0</v>
      </c>
      <c r="G10" s="26">
        <f>ROUND(SUMIFS(Sales!$Y$5:$Y$1204,Sales!$R$5:$R$1204,TEXT(DATE(YEAR(TodayDate),MONTH(TodayDate)-6,1),"yyyy-mm"),Sales!$H$5:$H$1204,"Retail"),2)</f>
        <v>0</v>
      </c>
      <c r="H10" s="26">
        <f>ROUND(SUMIFS(Sales!$Y$5:$Y$1204,Sales!$R$5:$R$1204,TEXT(DATE(YEAR(TodayDate),MONTH(TodayDate)-5,1),"yyyy-mm"),Sales!$H$5:$H$1204,"Retail"),2)</f>
        <v>0</v>
      </c>
      <c r="I10" s="26">
        <f>ROUND(SUMIFS(Sales!$Y$5:$Y$1204,Sales!$R$5:$R$1204,TEXT(DATE(YEAR(TodayDate),MONTH(TodayDate)-4,1),"yyyy-mm"),Sales!$H$5:$H$1204,"Retail"),2)</f>
        <v>0</v>
      </c>
      <c r="J10" s="26">
        <f>ROUND(SUMIFS(Sales!$Y$5:$Y$1204,Sales!$R$5:$R$1204,TEXT(DATE(YEAR(TodayDate),MONTH(TodayDate)-3,1),"yyyy-mm"),Sales!$H$5:$H$1204,"Retail"),2)</f>
        <v>0</v>
      </c>
      <c r="K10" s="26">
        <f>ROUND(SUMIFS(Sales!$Y$5:$Y$1204,Sales!$R$5:$R$1204,TEXT(DATE(YEAR(TodayDate),MONTH(TodayDate)-2,1),"yyyy-mm"),Sales!$H$5:$H$1204,"Retail"),2)</f>
        <v>0</v>
      </c>
      <c r="L10" s="26">
        <f>ROUND(SUMIFS(Sales!$Y$5:$Y$1204,Sales!$R$5:$R$1204,TEXT(DATE(YEAR(TodayDate),MONTH(TodayDate)-1,1),"yyyy-mm"),Sales!$H$5:$H$1204,"Retail"),2)</f>
        <v>0</v>
      </c>
      <c r="M10" s="26">
        <f>ROUND(SUMIFS(Sales!$Y$5:$Y$1204,Sales!$R$5:$R$1204,TEXT(DATE(YEAR(TodayDate),MONTH(TodayDate)-0,1),"yyyy-mm"),Sales!$H$5:$H$1204,"Retail"),2)</f>
        <v>0</v>
      </c>
      <c r="N10" s="26">
        <f>ROUND(B10+C10+D10+E10+F10+G10+H10+I10+J10+K10+L10+M10,2)</f>
        <v>0</v>
      </c>
      <c r="O10" s="27"/>
    </row>
    <row r="11" spans="1:15">
      <c r="A11" s="13" t="s">
        <v>494</v>
      </c>
      <c r="B11" s="26">
        <f>ROUND(SUMIFS(Sales!$Y$5:$Y$1204,Sales!$R$5:$R$1204,TEXT(DATE(YEAR(TodayDate),MONTH(TodayDate)-11,1),"yyyy-mm"),Sales!$H$5:$H$1204,"Package")+SUMIFS(Sales!$Y$5:$Y$1204,Sales!$R$5:$R$1204,TEXT(DATE(YEAR(TodayDate),MONTH(TodayDate)-11,1),"yyyy-mm"),Sales!$H$5:$H$1204,"Gift certificate")+SUMIFS(Sales!$Y$5:$Y$1204,Sales!$R$5:$R$1204,TEXT(DATE(YEAR(TodayDate),MONTH(TodayDate)-11,1),"yyyy-mm"),Sales!$H$5:$H$1204,"Course"),2)</f>
        <v>0</v>
      </c>
      <c r="C11" s="26">
        <f>ROUND(SUMIFS(Sales!$Y$5:$Y$1204,Sales!$R$5:$R$1204,TEXT(DATE(YEAR(TodayDate),MONTH(TodayDate)-10,1),"yyyy-mm"),Sales!$H$5:$H$1204,"Package")+SUMIFS(Sales!$Y$5:$Y$1204,Sales!$R$5:$R$1204,TEXT(DATE(YEAR(TodayDate),MONTH(TodayDate)-10,1),"yyyy-mm"),Sales!$H$5:$H$1204,"Gift certificate")+SUMIFS(Sales!$Y$5:$Y$1204,Sales!$R$5:$R$1204,TEXT(DATE(YEAR(TodayDate),MONTH(TodayDate)-10,1),"yyyy-mm"),Sales!$H$5:$H$1204,"Course"),2)</f>
        <v>0</v>
      </c>
      <c r="D11" s="26">
        <f>ROUND(SUMIFS(Sales!$Y$5:$Y$1204,Sales!$R$5:$R$1204,TEXT(DATE(YEAR(TodayDate),MONTH(TodayDate)-9,1),"yyyy-mm"),Sales!$H$5:$H$1204,"Package")+SUMIFS(Sales!$Y$5:$Y$1204,Sales!$R$5:$R$1204,TEXT(DATE(YEAR(TodayDate),MONTH(TodayDate)-9,1),"yyyy-mm"),Sales!$H$5:$H$1204,"Gift certificate")+SUMIFS(Sales!$Y$5:$Y$1204,Sales!$R$5:$R$1204,TEXT(DATE(YEAR(TodayDate),MONTH(TodayDate)-9,1),"yyyy-mm"),Sales!$H$5:$H$1204,"Course"),2)</f>
        <v>0</v>
      </c>
      <c r="E11" s="26">
        <f>ROUND(SUMIFS(Sales!$Y$5:$Y$1204,Sales!$R$5:$R$1204,TEXT(DATE(YEAR(TodayDate),MONTH(TodayDate)-8,1),"yyyy-mm"),Sales!$H$5:$H$1204,"Package")+SUMIFS(Sales!$Y$5:$Y$1204,Sales!$R$5:$R$1204,TEXT(DATE(YEAR(TodayDate),MONTH(TodayDate)-8,1),"yyyy-mm"),Sales!$H$5:$H$1204,"Gift certificate")+SUMIFS(Sales!$Y$5:$Y$1204,Sales!$R$5:$R$1204,TEXT(DATE(YEAR(TodayDate),MONTH(TodayDate)-8,1),"yyyy-mm"),Sales!$H$5:$H$1204,"Course"),2)</f>
        <v>0</v>
      </c>
      <c r="F11" s="26">
        <f>ROUND(SUMIFS(Sales!$Y$5:$Y$1204,Sales!$R$5:$R$1204,TEXT(DATE(YEAR(TodayDate),MONTH(TodayDate)-7,1),"yyyy-mm"),Sales!$H$5:$H$1204,"Package")+SUMIFS(Sales!$Y$5:$Y$1204,Sales!$R$5:$R$1204,TEXT(DATE(YEAR(TodayDate),MONTH(TodayDate)-7,1),"yyyy-mm"),Sales!$H$5:$H$1204,"Gift certificate")+SUMIFS(Sales!$Y$5:$Y$1204,Sales!$R$5:$R$1204,TEXT(DATE(YEAR(TodayDate),MONTH(TodayDate)-7,1),"yyyy-mm"),Sales!$H$5:$H$1204,"Course"),2)</f>
        <v>0</v>
      </c>
      <c r="G11" s="26">
        <f>ROUND(SUMIFS(Sales!$Y$5:$Y$1204,Sales!$R$5:$R$1204,TEXT(DATE(YEAR(TodayDate),MONTH(TodayDate)-6,1),"yyyy-mm"),Sales!$H$5:$H$1204,"Package")+SUMIFS(Sales!$Y$5:$Y$1204,Sales!$R$5:$R$1204,TEXT(DATE(YEAR(TodayDate),MONTH(TodayDate)-6,1),"yyyy-mm"),Sales!$H$5:$H$1204,"Gift certificate")+SUMIFS(Sales!$Y$5:$Y$1204,Sales!$R$5:$R$1204,TEXT(DATE(YEAR(TodayDate),MONTH(TodayDate)-6,1),"yyyy-mm"),Sales!$H$5:$H$1204,"Course"),2)</f>
        <v>0</v>
      </c>
      <c r="H11" s="26">
        <f>ROUND(SUMIFS(Sales!$Y$5:$Y$1204,Sales!$R$5:$R$1204,TEXT(DATE(YEAR(TodayDate),MONTH(TodayDate)-5,1),"yyyy-mm"),Sales!$H$5:$H$1204,"Package")+SUMIFS(Sales!$Y$5:$Y$1204,Sales!$R$5:$R$1204,TEXT(DATE(YEAR(TodayDate),MONTH(TodayDate)-5,1),"yyyy-mm"),Sales!$H$5:$H$1204,"Gift certificate")+SUMIFS(Sales!$Y$5:$Y$1204,Sales!$R$5:$R$1204,TEXT(DATE(YEAR(TodayDate),MONTH(TodayDate)-5,1),"yyyy-mm"),Sales!$H$5:$H$1204,"Course"),2)</f>
        <v>0</v>
      </c>
      <c r="I11" s="26">
        <f>ROUND(SUMIFS(Sales!$Y$5:$Y$1204,Sales!$R$5:$R$1204,TEXT(DATE(YEAR(TodayDate),MONTH(TodayDate)-4,1),"yyyy-mm"),Sales!$H$5:$H$1204,"Package")+SUMIFS(Sales!$Y$5:$Y$1204,Sales!$R$5:$R$1204,TEXT(DATE(YEAR(TodayDate),MONTH(TodayDate)-4,1),"yyyy-mm"),Sales!$H$5:$H$1204,"Gift certificate")+SUMIFS(Sales!$Y$5:$Y$1204,Sales!$R$5:$R$1204,TEXT(DATE(YEAR(TodayDate),MONTH(TodayDate)-4,1),"yyyy-mm"),Sales!$H$5:$H$1204,"Course"),2)</f>
        <v>0</v>
      </c>
      <c r="J11" s="26">
        <f>ROUND(SUMIFS(Sales!$Y$5:$Y$1204,Sales!$R$5:$R$1204,TEXT(DATE(YEAR(TodayDate),MONTH(TodayDate)-3,1),"yyyy-mm"),Sales!$H$5:$H$1204,"Package")+SUMIFS(Sales!$Y$5:$Y$1204,Sales!$R$5:$R$1204,TEXT(DATE(YEAR(TodayDate),MONTH(TodayDate)-3,1),"yyyy-mm"),Sales!$H$5:$H$1204,"Gift certificate")+SUMIFS(Sales!$Y$5:$Y$1204,Sales!$R$5:$R$1204,TEXT(DATE(YEAR(TodayDate),MONTH(TodayDate)-3,1),"yyyy-mm"),Sales!$H$5:$H$1204,"Course"),2)</f>
        <v>0</v>
      </c>
      <c r="K11" s="26">
        <f>ROUND(SUMIFS(Sales!$Y$5:$Y$1204,Sales!$R$5:$R$1204,TEXT(DATE(YEAR(TodayDate),MONTH(TodayDate)-2,1),"yyyy-mm"),Sales!$H$5:$H$1204,"Package")+SUMIFS(Sales!$Y$5:$Y$1204,Sales!$R$5:$R$1204,TEXT(DATE(YEAR(TodayDate),MONTH(TodayDate)-2,1),"yyyy-mm"),Sales!$H$5:$H$1204,"Gift certificate")+SUMIFS(Sales!$Y$5:$Y$1204,Sales!$R$5:$R$1204,TEXT(DATE(YEAR(TodayDate),MONTH(TodayDate)-2,1),"yyyy-mm"),Sales!$H$5:$H$1204,"Course"),2)</f>
        <v>0</v>
      </c>
      <c r="L11" s="26">
        <f>ROUND(SUMIFS(Sales!$Y$5:$Y$1204,Sales!$R$5:$R$1204,TEXT(DATE(YEAR(TodayDate),MONTH(TodayDate)-1,1),"yyyy-mm"),Sales!$H$5:$H$1204,"Package")+SUMIFS(Sales!$Y$5:$Y$1204,Sales!$R$5:$R$1204,TEXT(DATE(YEAR(TodayDate),MONTH(TodayDate)-1,1),"yyyy-mm"),Sales!$H$5:$H$1204,"Gift certificate")+SUMIFS(Sales!$Y$5:$Y$1204,Sales!$R$5:$R$1204,TEXT(DATE(YEAR(TodayDate),MONTH(TodayDate)-1,1),"yyyy-mm"),Sales!$H$5:$H$1204,"Course"),2)</f>
        <v>0</v>
      </c>
      <c r="M11" s="26">
        <f>ROUND(SUMIFS(Sales!$Y$5:$Y$1204,Sales!$R$5:$R$1204,TEXT(DATE(YEAR(TodayDate),MONTH(TodayDate)-0,1),"yyyy-mm"),Sales!$H$5:$H$1204,"Package")+SUMIFS(Sales!$Y$5:$Y$1204,Sales!$R$5:$R$1204,TEXT(DATE(YEAR(TodayDate),MONTH(TodayDate)-0,1),"yyyy-mm"),Sales!$H$5:$H$1204,"Gift certificate")+SUMIFS(Sales!$Y$5:$Y$1204,Sales!$R$5:$R$1204,TEXT(DATE(YEAR(TodayDate),MONTH(TodayDate)-0,1),"yyyy-mm"),Sales!$H$5:$H$1204,"Course"),2)</f>
        <v>0</v>
      </c>
      <c r="N11" s="26">
        <f>ROUND(B11+C11+D11+E11+F11+G11+H11+I11+J11+K11+L11+M11,2)</f>
        <v>0</v>
      </c>
      <c r="O11" s="27"/>
    </row>
    <row r="12" spans="1:15">
      <c r="A12" s="13" t="s">
        <v>495</v>
      </c>
      <c r="B12" s="26">
        <f>ROUND(SUMIFS(Sales!$Y$5:$Y$1204,Sales!$R$5:$R$1204,TEXT(DATE(YEAR(TodayDate),MONTH(TodayDate)-11,1),"yyyy-mm"),Sales!$H$5:$H$1204,"Other")+SUMIFS(Appointments!$R$5:$R$1204,Appointments!$S$5:$S$1204,TEXT(DATE(YEAR(TodayDate),MONTH(TodayDate)-11,1),"yyyy-mm")),2)</f>
        <v>0</v>
      </c>
      <c r="C12" s="26">
        <f>ROUND(SUMIFS(Sales!$Y$5:$Y$1204,Sales!$R$5:$R$1204,TEXT(DATE(YEAR(TodayDate),MONTH(TodayDate)-10,1),"yyyy-mm"),Sales!$H$5:$H$1204,"Other")+SUMIFS(Appointments!$R$5:$R$1204,Appointments!$S$5:$S$1204,TEXT(DATE(YEAR(TodayDate),MONTH(TodayDate)-10,1),"yyyy-mm")),2)</f>
        <v>0</v>
      </c>
      <c r="D12" s="26">
        <f>ROUND(SUMIFS(Sales!$Y$5:$Y$1204,Sales!$R$5:$R$1204,TEXT(DATE(YEAR(TodayDate),MONTH(TodayDate)-9,1),"yyyy-mm"),Sales!$H$5:$H$1204,"Other")+SUMIFS(Appointments!$R$5:$R$1204,Appointments!$S$5:$S$1204,TEXT(DATE(YEAR(TodayDate),MONTH(TodayDate)-9,1),"yyyy-mm")),2)</f>
        <v>0</v>
      </c>
      <c r="E12" s="26">
        <f>ROUND(SUMIFS(Sales!$Y$5:$Y$1204,Sales!$R$5:$R$1204,TEXT(DATE(YEAR(TodayDate),MONTH(TodayDate)-8,1),"yyyy-mm"),Sales!$H$5:$H$1204,"Other")+SUMIFS(Appointments!$R$5:$R$1204,Appointments!$S$5:$S$1204,TEXT(DATE(YEAR(TodayDate),MONTH(TodayDate)-8,1),"yyyy-mm")),2)</f>
        <v>0</v>
      </c>
      <c r="F12" s="26">
        <f>ROUND(SUMIFS(Sales!$Y$5:$Y$1204,Sales!$R$5:$R$1204,TEXT(DATE(YEAR(TodayDate),MONTH(TodayDate)-7,1),"yyyy-mm"),Sales!$H$5:$H$1204,"Other")+SUMIFS(Appointments!$R$5:$R$1204,Appointments!$S$5:$S$1204,TEXT(DATE(YEAR(TodayDate),MONTH(TodayDate)-7,1),"yyyy-mm")),2)</f>
        <v>0</v>
      </c>
      <c r="G12" s="26">
        <f>ROUND(SUMIFS(Sales!$Y$5:$Y$1204,Sales!$R$5:$R$1204,TEXT(DATE(YEAR(TodayDate),MONTH(TodayDate)-6,1),"yyyy-mm"),Sales!$H$5:$H$1204,"Other")+SUMIFS(Appointments!$R$5:$R$1204,Appointments!$S$5:$S$1204,TEXT(DATE(YEAR(TodayDate),MONTH(TodayDate)-6,1),"yyyy-mm")),2)</f>
        <v>0</v>
      </c>
      <c r="H12" s="26">
        <f>ROUND(SUMIFS(Sales!$Y$5:$Y$1204,Sales!$R$5:$R$1204,TEXT(DATE(YEAR(TodayDate),MONTH(TodayDate)-5,1),"yyyy-mm"),Sales!$H$5:$H$1204,"Other")+SUMIFS(Appointments!$R$5:$R$1204,Appointments!$S$5:$S$1204,TEXT(DATE(YEAR(TodayDate),MONTH(TodayDate)-5,1),"yyyy-mm")),2)</f>
        <v>0</v>
      </c>
      <c r="I12" s="26">
        <f>ROUND(SUMIFS(Sales!$Y$5:$Y$1204,Sales!$R$5:$R$1204,TEXT(DATE(YEAR(TodayDate),MONTH(TodayDate)-4,1),"yyyy-mm"),Sales!$H$5:$H$1204,"Other")+SUMIFS(Appointments!$R$5:$R$1204,Appointments!$S$5:$S$1204,TEXT(DATE(YEAR(TodayDate),MONTH(TodayDate)-4,1),"yyyy-mm")),2)</f>
        <v>0</v>
      </c>
      <c r="J12" s="26">
        <f>ROUND(SUMIFS(Sales!$Y$5:$Y$1204,Sales!$R$5:$R$1204,TEXT(DATE(YEAR(TodayDate),MONTH(TodayDate)-3,1),"yyyy-mm"),Sales!$H$5:$H$1204,"Other")+SUMIFS(Appointments!$R$5:$R$1204,Appointments!$S$5:$S$1204,TEXT(DATE(YEAR(TodayDate),MONTH(TodayDate)-3,1),"yyyy-mm")),2)</f>
        <v>0</v>
      </c>
      <c r="K12" s="26">
        <f>ROUND(SUMIFS(Sales!$Y$5:$Y$1204,Sales!$R$5:$R$1204,TEXT(DATE(YEAR(TodayDate),MONTH(TodayDate)-2,1),"yyyy-mm"),Sales!$H$5:$H$1204,"Other")+SUMIFS(Appointments!$R$5:$R$1204,Appointments!$S$5:$S$1204,TEXT(DATE(YEAR(TodayDate),MONTH(TodayDate)-2,1),"yyyy-mm")),2)</f>
        <v>0</v>
      </c>
      <c r="L12" s="26">
        <f>ROUND(SUMIFS(Sales!$Y$5:$Y$1204,Sales!$R$5:$R$1204,TEXT(DATE(YEAR(TodayDate),MONTH(TodayDate)-1,1),"yyyy-mm"),Sales!$H$5:$H$1204,"Other")+SUMIFS(Appointments!$R$5:$R$1204,Appointments!$S$5:$S$1204,TEXT(DATE(YEAR(TodayDate),MONTH(TodayDate)-1,1),"yyyy-mm")),2)</f>
        <v>0</v>
      </c>
      <c r="M12" s="26">
        <f>ROUND(SUMIFS(Sales!$Y$5:$Y$1204,Sales!$R$5:$R$1204,TEXT(DATE(YEAR(TodayDate),MONTH(TodayDate)-0,1),"yyyy-mm"),Sales!$H$5:$H$1204,"Other")+SUMIFS(Appointments!$R$5:$R$1204,Appointments!$S$5:$S$1204,TEXT(DATE(YEAR(TodayDate),MONTH(TodayDate)-0,1),"yyyy-mm")),2)</f>
        <v>0</v>
      </c>
      <c r="N12" s="26">
        <f>ROUND(B12+C12+D12+E12+F12+G12+H12+I12+J12+K12+L12+M12,2)</f>
        <v>0</v>
      </c>
      <c r="O12" s="27"/>
    </row>
    <row r="13" spans="1:15">
      <c r="A13" s="8" t="s">
        <v>84</v>
      </c>
      <c r="B13" s="26">
        <f>ROUND(B9+B10+B11+B12,2)</f>
        <v>0</v>
      </c>
      <c r="C13" s="26">
        <f>ROUND(C9+C10+C11+C12,2)</f>
        <v>0</v>
      </c>
      <c r="D13" s="26">
        <f>ROUND(D9+D10+D11+D12,2)</f>
        <v>0</v>
      </c>
      <c r="E13" s="26">
        <f>ROUND(E9+E10+E11+E12,2)</f>
        <v>0</v>
      </c>
      <c r="F13" s="26">
        <f>ROUND(F9+F10+F11+F12,2)</f>
        <v>0</v>
      </c>
      <c r="G13" s="26">
        <f>ROUND(G9+G10+G11+G12,2)</f>
        <v>0</v>
      </c>
      <c r="H13" s="26">
        <f>ROUND(H9+H10+H11+H12,2)</f>
        <v>0</v>
      </c>
      <c r="I13" s="26">
        <f>ROUND(I9+I10+I11+I12,2)</f>
        <v>0</v>
      </c>
      <c r="J13" s="26">
        <f>ROUND(J9+J10+J11+J12,2)</f>
        <v>0</v>
      </c>
      <c r="K13" s="26">
        <f>ROUND(K9+K10+K11+K12,2)</f>
        <v>0</v>
      </c>
      <c r="L13" s="26">
        <f>ROUND(L9+L10+L11+L12,2)</f>
        <v>0</v>
      </c>
      <c r="M13" s="26">
        <f>ROUND(M9+M10+M11+M12,2)</f>
        <v>0</v>
      </c>
      <c r="N13" s="26">
        <f>ROUND(B13+C13+D13+E13+F13+G13+H13+I13+J13+K13+L13+M13,2)</f>
        <v>0</v>
      </c>
      <c r="O13" s="27">
        <f>1</f>
        <v>0</v>
      </c>
    </row>
    <row r="14" spans="1:15" ht="17" customHeight="1">
      <c r="A14" s="45" t="s">
        <v>496</v>
      </c>
      <c r="B14" s="45"/>
      <c r="C14" s="45"/>
      <c r="D14" s="45"/>
      <c r="E14" s="45"/>
      <c r="F14" s="45"/>
      <c r="G14" s="45"/>
      <c r="H14" s="45"/>
      <c r="I14" s="45"/>
      <c r="J14" s="45"/>
      <c r="K14" s="45"/>
      <c r="L14" s="45"/>
      <c r="M14" s="45"/>
      <c r="N14" s="45"/>
      <c r="O14" s="45"/>
    </row>
    <row r="15" spans="1:15">
      <c r="A15" s="13" t="s">
        <v>497</v>
      </c>
      <c r="B15" s="26">
        <f>ROUND(SUMIFS(Sales!$X$5:$X$1204,Sales!$R$5:$R$1204,TEXT(DATE(YEAR(TodayDate),MONTH(TodayDate)-11,1),"yyyy-mm")),2)</f>
        <v>0</v>
      </c>
      <c r="C15" s="26">
        <f>ROUND(SUMIFS(Sales!$X$5:$X$1204,Sales!$R$5:$R$1204,TEXT(DATE(YEAR(TodayDate),MONTH(TodayDate)-10,1),"yyyy-mm")),2)</f>
        <v>0</v>
      </c>
      <c r="D15" s="26">
        <f>ROUND(SUMIFS(Sales!$X$5:$X$1204,Sales!$R$5:$R$1204,TEXT(DATE(YEAR(TodayDate),MONTH(TodayDate)-9,1),"yyyy-mm")),2)</f>
        <v>0</v>
      </c>
      <c r="E15" s="26">
        <f>ROUND(SUMIFS(Sales!$X$5:$X$1204,Sales!$R$5:$R$1204,TEXT(DATE(YEAR(TodayDate),MONTH(TodayDate)-8,1),"yyyy-mm")),2)</f>
        <v>0</v>
      </c>
      <c r="F15" s="26">
        <f>ROUND(SUMIFS(Sales!$X$5:$X$1204,Sales!$R$5:$R$1204,TEXT(DATE(YEAR(TodayDate),MONTH(TodayDate)-7,1),"yyyy-mm")),2)</f>
        <v>0</v>
      </c>
      <c r="G15" s="26">
        <f>ROUND(SUMIFS(Sales!$X$5:$X$1204,Sales!$R$5:$R$1204,TEXT(DATE(YEAR(TodayDate),MONTH(TodayDate)-6,1),"yyyy-mm")),2)</f>
        <v>0</v>
      </c>
      <c r="H15" s="26">
        <f>ROUND(SUMIFS(Sales!$X$5:$X$1204,Sales!$R$5:$R$1204,TEXT(DATE(YEAR(TodayDate),MONTH(TodayDate)-5,1),"yyyy-mm")),2)</f>
        <v>0</v>
      </c>
      <c r="I15" s="26">
        <f>ROUND(SUMIFS(Sales!$X$5:$X$1204,Sales!$R$5:$R$1204,TEXT(DATE(YEAR(TodayDate),MONTH(TodayDate)-4,1),"yyyy-mm")),2)</f>
        <v>0</v>
      </c>
      <c r="J15" s="26">
        <f>ROUND(SUMIFS(Sales!$X$5:$X$1204,Sales!$R$5:$R$1204,TEXT(DATE(YEAR(TodayDate),MONTH(TodayDate)-3,1),"yyyy-mm")),2)</f>
        <v>0</v>
      </c>
      <c r="K15" s="26">
        <f>ROUND(SUMIFS(Sales!$X$5:$X$1204,Sales!$R$5:$R$1204,TEXT(DATE(YEAR(TodayDate),MONTH(TodayDate)-2,1),"yyyy-mm")),2)</f>
        <v>0</v>
      </c>
      <c r="L15" s="26">
        <f>ROUND(SUMIFS(Sales!$X$5:$X$1204,Sales!$R$5:$R$1204,TEXT(DATE(YEAR(TodayDate),MONTH(TodayDate)-1,1),"yyyy-mm")),2)</f>
        <v>0</v>
      </c>
      <c r="M15" s="26">
        <f>ROUND(SUMIFS(Sales!$X$5:$X$1204,Sales!$R$5:$R$1204,TEXT(DATE(YEAR(TodayDate),MONTH(TodayDate)-0,1),"yyyy-mm")),2)</f>
        <v>0</v>
      </c>
      <c r="N15" s="26">
        <f>ROUND(B15+C15+D15+E15+F15+G15+H15+I15+J15+K15+L15+M15,2)</f>
        <v>0</v>
      </c>
      <c r="O15" s="27">
        <f>IF($N$13=0,"",N15/$N$13)</f>
        <v>0</v>
      </c>
    </row>
    <row r="16" spans="1:15">
      <c r="A16" s="13" t="s">
        <v>498</v>
      </c>
      <c r="B16" s="26">
        <f>ROUND(SUMIFS(Sales!$P$5:$P$1204,Sales!$R$5:$R$1204,TEXT(DATE(YEAR(TodayDate),MONTH(TodayDate)-11,1),"yyyy-mm")),2)</f>
        <v>0</v>
      </c>
      <c r="C16" s="26">
        <f>ROUND(SUMIFS(Sales!$P$5:$P$1204,Sales!$R$5:$R$1204,TEXT(DATE(YEAR(TodayDate),MONTH(TodayDate)-10,1),"yyyy-mm")),2)</f>
        <v>0</v>
      </c>
      <c r="D16" s="26">
        <f>ROUND(SUMIFS(Sales!$P$5:$P$1204,Sales!$R$5:$R$1204,TEXT(DATE(YEAR(TodayDate),MONTH(TodayDate)-9,1),"yyyy-mm")),2)</f>
        <v>0</v>
      </c>
      <c r="E16" s="26">
        <f>ROUND(SUMIFS(Sales!$P$5:$P$1204,Sales!$R$5:$R$1204,TEXT(DATE(YEAR(TodayDate),MONTH(TodayDate)-8,1),"yyyy-mm")),2)</f>
        <v>0</v>
      </c>
      <c r="F16" s="26">
        <f>ROUND(SUMIFS(Sales!$P$5:$P$1204,Sales!$R$5:$R$1204,TEXT(DATE(YEAR(TodayDate),MONTH(TodayDate)-7,1),"yyyy-mm")),2)</f>
        <v>0</v>
      </c>
      <c r="G16" s="26">
        <f>ROUND(SUMIFS(Sales!$P$5:$P$1204,Sales!$R$5:$R$1204,TEXT(DATE(YEAR(TodayDate),MONTH(TodayDate)-6,1),"yyyy-mm")),2)</f>
        <v>0</v>
      </c>
      <c r="H16" s="26">
        <f>ROUND(SUMIFS(Sales!$P$5:$P$1204,Sales!$R$5:$R$1204,TEXT(DATE(YEAR(TodayDate),MONTH(TodayDate)-5,1),"yyyy-mm")),2)</f>
        <v>0</v>
      </c>
      <c r="I16" s="26">
        <f>ROUND(SUMIFS(Sales!$P$5:$P$1204,Sales!$R$5:$R$1204,TEXT(DATE(YEAR(TodayDate),MONTH(TodayDate)-4,1),"yyyy-mm")),2)</f>
        <v>0</v>
      </c>
      <c r="J16" s="26">
        <f>ROUND(SUMIFS(Sales!$P$5:$P$1204,Sales!$R$5:$R$1204,TEXT(DATE(YEAR(TodayDate),MONTH(TodayDate)-3,1),"yyyy-mm")),2)</f>
        <v>0</v>
      </c>
      <c r="K16" s="26">
        <f>ROUND(SUMIFS(Sales!$P$5:$P$1204,Sales!$R$5:$R$1204,TEXT(DATE(YEAR(TodayDate),MONTH(TodayDate)-2,1),"yyyy-mm")),2)</f>
        <v>0</v>
      </c>
      <c r="L16" s="26">
        <f>ROUND(SUMIFS(Sales!$P$5:$P$1204,Sales!$R$5:$R$1204,TEXT(DATE(YEAR(TodayDate),MONTH(TodayDate)-1,1),"yyyy-mm")),2)</f>
        <v>0</v>
      </c>
      <c r="M16" s="26">
        <f>ROUND(SUMIFS(Sales!$P$5:$P$1204,Sales!$R$5:$R$1204,TEXT(DATE(YEAR(TodayDate),MONTH(TodayDate)-0,1),"yyyy-mm")),2)</f>
        <v>0</v>
      </c>
      <c r="N16" s="26">
        <f>ROUND(B16+C16+D16+E16+F16+G16+H16+I16+J16+K16+L16+M16,2)</f>
        <v>0</v>
      </c>
      <c r="O16" s="27">
        <f>IF($N$13=0,"",N16/$N$13)</f>
        <v>0</v>
      </c>
    </row>
    <row r="17" spans="1:15">
      <c r="A17" s="13" t="s">
        <v>499</v>
      </c>
      <c r="B17" s="26">
        <f>ROUND(SUMIFS(Sales!$Z$5:$Z$1204,Sales!$R$5:$R$1204,TEXT(DATE(YEAR(TodayDate),MONTH(TodayDate)-11,1),"yyyy-mm")),2)</f>
        <v>0</v>
      </c>
      <c r="C17" s="26">
        <f>ROUND(SUMIFS(Sales!$Z$5:$Z$1204,Sales!$R$5:$R$1204,TEXT(DATE(YEAR(TodayDate),MONTH(TodayDate)-10,1),"yyyy-mm")),2)</f>
        <v>0</v>
      </c>
      <c r="D17" s="26">
        <f>ROUND(SUMIFS(Sales!$Z$5:$Z$1204,Sales!$R$5:$R$1204,TEXT(DATE(YEAR(TodayDate),MONTH(TodayDate)-9,1),"yyyy-mm")),2)</f>
        <v>0</v>
      </c>
      <c r="E17" s="26">
        <f>ROUND(SUMIFS(Sales!$Z$5:$Z$1204,Sales!$R$5:$R$1204,TEXT(DATE(YEAR(TodayDate),MONTH(TodayDate)-8,1),"yyyy-mm")),2)</f>
        <v>0</v>
      </c>
      <c r="F17" s="26">
        <f>ROUND(SUMIFS(Sales!$Z$5:$Z$1204,Sales!$R$5:$R$1204,TEXT(DATE(YEAR(TodayDate),MONTH(TodayDate)-7,1),"yyyy-mm")),2)</f>
        <v>0</v>
      </c>
      <c r="G17" s="26">
        <f>ROUND(SUMIFS(Sales!$Z$5:$Z$1204,Sales!$R$5:$R$1204,TEXT(DATE(YEAR(TodayDate),MONTH(TodayDate)-6,1),"yyyy-mm")),2)</f>
        <v>0</v>
      </c>
      <c r="H17" s="26">
        <f>ROUND(SUMIFS(Sales!$Z$5:$Z$1204,Sales!$R$5:$R$1204,TEXT(DATE(YEAR(TodayDate),MONTH(TodayDate)-5,1),"yyyy-mm")),2)</f>
        <v>0</v>
      </c>
      <c r="I17" s="26">
        <f>ROUND(SUMIFS(Sales!$Z$5:$Z$1204,Sales!$R$5:$R$1204,TEXT(DATE(YEAR(TodayDate),MONTH(TodayDate)-4,1),"yyyy-mm")),2)</f>
        <v>0</v>
      </c>
      <c r="J17" s="26">
        <f>ROUND(SUMIFS(Sales!$Z$5:$Z$1204,Sales!$R$5:$R$1204,TEXT(DATE(YEAR(TodayDate),MONTH(TodayDate)-3,1),"yyyy-mm")),2)</f>
        <v>0</v>
      </c>
      <c r="K17" s="26">
        <f>ROUND(SUMIFS(Sales!$Z$5:$Z$1204,Sales!$R$5:$R$1204,TEXT(DATE(YEAR(TodayDate),MONTH(TodayDate)-2,1),"yyyy-mm")),2)</f>
        <v>0</v>
      </c>
      <c r="L17" s="26">
        <f>ROUND(SUMIFS(Sales!$Z$5:$Z$1204,Sales!$R$5:$R$1204,TEXT(DATE(YEAR(TodayDate),MONTH(TodayDate)-1,1),"yyyy-mm")),2)</f>
        <v>0</v>
      </c>
      <c r="M17" s="26">
        <f>ROUND(SUMIFS(Sales!$Z$5:$Z$1204,Sales!$R$5:$R$1204,TEXT(DATE(YEAR(TodayDate),MONTH(TodayDate)-0,1),"yyyy-mm")),2)</f>
        <v>0</v>
      </c>
      <c r="N17" s="26">
        <f>ROUND(B17+C17+D17+E17+F17+G17+H17+I17+J17+K17+L17+M17,2)</f>
        <v>0</v>
      </c>
      <c r="O17" s="27">
        <f>IF($N$13=0,"",N17/$N$13)</f>
        <v>0</v>
      </c>
    </row>
    <row r="18" spans="1:15">
      <c r="A18" s="13" t="s">
        <v>500</v>
      </c>
      <c r="B18" s="26">
        <f>ROUND(SUMIFS(Payments!$G$5:$G$1204,Payments!$O$5:$O$1204,TEXT(DATE(YEAR(TodayDate),MONTH(TodayDate)-11,1),"yyyy-mm"),Payments!$E$5:$E$1204,"Tip"),2)</f>
        <v>0</v>
      </c>
      <c r="C18" s="26">
        <f>ROUND(SUMIFS(Payments!$G$5:$G$1204,Payments!$O$5:$O$1204,TEXT(DATE(YEAR(TodayDate),MONTH(TodayDate)-10,1),"yyyy-mm"),Payments!$E$5:$E$1204,"Tip"),2)</f>
        <v>0</v>
      </c>
      <c r="D18" s="26">
        <f>ROUND(SUMIFS(Payments!$G$5:$G$1204,Payments!$O$5:$O$1204,TEXT(DATE(YEAR(TodayDate),MONTH(TodayDate)-9,1),"yyyy-mm"),Payments!$E$5:$E$1204,"Tip"),2)</f>
        <v>0</v>
      </c>
      <c r="E18" s="26">
        <f>ROUND(SUMIFS(Payments!$G$5:$G$1204,Payments!$O$5:$O$1204,TEXT(DATE(YEAR(TodayDate),MONTH(TodayDate)-8,1),"yyyy-mm"),Payments!$E$5:$E$1204,"Tip"),2)</f>
        <v>0</v>
      </c>
      <c r="F18" s="26">
        <f>ROUND(SUMIFS(Payments!$G$5:$G$1204,Payments!$O$5:$O$1204,TEXT(DATE(YEAR(TodayDate),MONTH(TodayDate)-7,1),"yyyy-mm"),Payments!$E$5:$E$1204,"Tip"),2)</f>
        <v>0</v>
      </c>
      <c r="G18" s="26">
        <f>ROUND(SUMIFS(Payments!$G$5:$G$1204,Payments!$O$5:$O$1204,TEXT(DATE(YEAR(TodayDate),MONTH(TodayDate)-6,1),"yyyy-mm"),Payments!$E$5:$E$1204,"Tip"),2)</f>
        <v>0</v>
      </c>
      <c r="H18" s="26">
        <f>ROUND(SUMIFS(Payments!$G$5:$G$1204,Payments!$O$5:$O$1204,TEXT(DATE(YEAR(TodayDate),MONTH(TodayDate)-5,1),"yyyy-mm"),Payments!$E$5:$E$1204,"Tip"),2)</f>
        <v>0</v>
      </c>
      <c r="I18" s="26">
        <f>ROUND(SUMIFS(Payments!$G$5:$G$1204,Payments!$O$5:$O$1204,TEXT(DATE(YEAR(TodayDate),MONTH(TodayDate)-4,1),"yyyy-mm"),Payments!$E$5:$E$1204,"Tip"),2)</f>
        <v>0</v>
      </c>
      <c r="J18" s="26">
        <f>ROUND(SUMIFS(Payments!$G$5:$G$1204,Payments!$O$5:$O$1204,TEXT(DATE(YEAR(TodayDate),MONTH(TodayDate)-3,1),"yyyy-mm"),Payments!$E$5:$E$1204,"Tip"),2)</f>
        <v>0</v>
      </c>
      <c r="K18" s="26">
        <f>ROUND(SUMIFS(Payments!$G$5:$G$1204,Payments!$O$5:$O$1204,TEXT(DATE(YEAR(TodayDate),MONTH(TodayDate)-2,1),"yyyy-mm"),Payments!$E$5:$E$1204,"Tip"),2)</f>
        <v>0</v>
      </c>
      <c r="L18" s="26">
        <f>ROUND(SUMIFS(Payments!$G$5:$G$1204,Payments!$O$5:$O$1204,TEXT(DATE(YEAR(TodayDate),MONTH(TodayDate)-1,1),"yyyy-mm"),Payments!$E$5:$E$1204,"Tip"),2)</f>
        <v>0</v>
      </c>
      <c r="M18" s="26">
        <f>ROUND(SUMIFS(Payments!$G$5:$G$1204,Payments!$O$5:$O$1204,TEXT(DATE(YEAR(TodayDate),MONTH(TodayDate)-0,1),"yyyy-mm"),Payments!$E$5:$E$1204,"Tip"),2)</f>
        <v>0</v>
      </c>
      <c r="N18" s="26">
        <f>ROUND(B18+C18+D18+E18+F18+G18+H18+I18+J18+K18+L18+M18,2)</f>
        <v>0</v>
      </c>
      <c r="O18" s="27">
        <f>IF($N$13=0,"",N18/$N$13)</f>
        <v>0</v>
      </c>
    </row>
    <row r="20" spans="1:15" ht="20" customHeight="1">
      <c r="A20" s="7" t="s">
        <v>194</v>
      </c>
      <c r="B20" s="7"/>
      <c r="C20" s="7"/>
      <c r="D20" s="7"/>
      <c r="E20" s="7"/>
      <c r="F20" s="7"/>
      <c r="G20" s="7"/>
      <c r="H20" s="7"/>
      <c r="I20" s="7"/>
      <c r="J20" s="7"/>
      <c r="K20" s="7"/>
      <c r="L20" s="7"/>
      <c r="M20" s="7"/>
      <c r="N20" s="7"/>
      <c r="O20" s="7"/>
    </row>
    <row r="21" spans="1:15">
      <c r="A21" s="13" t="s">
        <v>501</v>
      </c>
      <c r="B21" s="26">
        <f>ROUND(SUMIFS(Sales!$AB$5:$AB$1204,Sales!$R$5:$R$1204,TEXT(DATE(YEAR(TodayDate),MONTH(TodayDate)-11,1),"yyyy-mm"),Sales!$H$5:$H$1204,"Service"),2)</f>
        <v>0</v>
      </c>
      <c r="C21" s="26">
        <f>ROUND(SUMIFS(Sales!$AB$5:$AB$1204,Sales!$R$5:$R$1204,TEXT(DATE(YEAR(TodayDate),MONTH(TodayDate)-10,1),"yyyy-mm"),Sales!$H$5:$H$1204,"Service"),2)</f>
        <v>0</v>
      </c>
      <c r="D21" s="26">
        <f>ROUND(SUMIFS(Sales!$AB$5:$AB$1204,Sales!$R$5:$R$1204,TEXT(DATE(YEAR(TodayDate),MONTH(TodayDate)-9,1),"yyyy-mm"),Sales!$H$5:$H$1204,"Service"),2)</f>
        <v>0</v>
      </c>
      <c r="E21" s="26">
        <f>ROUND(SUMIFS(Sales!$AB$5:$AB$1204,Sales!$R$5:$R$1204,TEXT(DATE(YEAR(TodayDate),MONTH(TodayDate)-8,1),"yyyy-mm"),Sales!$H$5:$H$1204,"Service"),2)</f>
        <v>0</v>
      </c>
      <c r="F21" s="26">
        <f>ROUND(SUMIFS(Sales!$AB$5:$AB$1204,Sales!$R$5:$R$1204,TEXT(DATE(YEAR(TodayDate),MONTH(TodayDate)-7,1),"yyyy-mm"),Sales!$H$5:$H$1204,"Service"),2)</f>
        <v>0</v>
      </c>
      <c r="G21" s="26">
        <f>ROUND(SUMIFS(Sales!$AB$5:$AB$1204,Sales!$R$5:$R$1204,TEXT(DATE(YEAR(TodayDate),MONTH(TodayDate)-6,1),"yyyy-mm"),Sales!$H$5:$H$1204,"Service"),2)</f>
        <v>0</v>
      </c>
      <c r="H21" s="26">
        <f>ROUND(SUMIFS(Sales!$AB$5:$AB$1204,Sales!$R$5:$R$1204,TEXT(DATE(YEAR(TodayDate),MONTH(TodayDate)-5,1),"yyyy-mm"),Sales!$H$5:$H$1204,"Service"),2)</f>
        <v>0</v>
      </c>
      <c r="I21" s="26">
        <f>ROUND(SUMIFS(Sales!$AB$5:$AB$1204,Sales!$R$5:$R$1204,TEXT(DATE(YEAR(TodayDate),MONTH(TodayDate)-4,1),"yyyy-mm"),Sales!$H$5:$H$1204,"Service"),2)</f>
        <v>0</v>
      </c>
      <c r="J21" s="26">
        <f>ROUND(SUMIFS(Sales!$AB$5:$AB$1204,Sales!$R$5:$R$1204,TEXT(DATE(YEAR(TodayDate),MONTH(TodayDate)-3,1),"yyyy-mm"),Sales!$H$5:$H$1204,"Service"),2)</f>
        <v>0</v>
      </c>
      <c r="K21" s="26">
        <f>ROUND(SUMIFS(Sales!$AB$5:$AB$1204,Sales!$R$5:$R$1204,TEXT(DATE(YEAR(TodayDate),MONTH(TodayDate)-2,1),"yyyy-mm"),Sales!$H$5:$H$1204,"Service"),2)</f>
        <v>0</v>
      </c>
      <c r="L21" s="26">
        <f>ROUND(SUMIFS(Sales!$AB$5:$AB$1204,Sales!$R$5:$R$1204,TEXT(DATE(YEAR(TodayDate),MONTH(TodayDate)-1,1),"yyyy-mm"),Sales!$H$5:$H$1204,"Service"),2)</f>
        <v>0</v>
      </c>
      <c r="M21" s="26">
        <f>ROUND(SUMIFS(Sales!$AB$5:$AB$1204,Sales!$R$5:$R$1204,TEXT(DATE(YEAR(TodayDate),MONTH(TodayDate)-0,1),"yyyy-mm"),Sales!$H$5:$H$1204,"Service"),2)</f>
        <v>0</v>
      </c>
      <c r="N21" s="26">
        <f>ROUND(B21+C21+D21+E21+F21+G21+H21+I21+J21+K21+L21+M21,2)</f>
        <v>0</v>
      </c>
      <c r="O21" s="27">
        <f>IF($N$13=0,"",N21/$N$13)</f>
        <v>0</v>
      </c>
    </row>
    <row r="22" spans="1:15">
      <c r="A22" s="13" t="s">
        <v>502</v>
      </c>
      <c r="B22" s="26">
        <f>ROUND(SUMIFS(Sales!$AB$5:$AB$1204,Sales!$R$5:$R$1204,TEXT(DATE(YEAR(TodayDate),MONTH(TodayDate)-11,1),"yyyy-mm"),Sales!$H$5:$H$1204,"Retail"),2)</f>
        <v>0</v>
      </c>
      <c r="C22" s="26">
        <f>ROUND(SUMIFS(Sales!$AB$5:$AB$1204,Sales!$R$5:$R$1204,TEXT(DATE(YEAR(TodayDate),MONTH(TodayDate)-10,1),"yyyy-mm"),Sales!$H$5:$H$1204,"Retail"),2)</f>
        <v>0</v>
      </c>
      <c r="D22" s="26">
        <f>ROUND(SUMIFS(Sales!$AB$5:$AB$1204,Sales!$R$5:$R$1204,TEXT(DATE(YEAR(TodayDate),MONTH(TodayDate)-9,1),"yyyy-mm"),Sales!$H$5:$H$1204,"Retail"),2)</f>
        <v>0</v>
      </c>
      <c r="E22" s="26">
        <f>ROUND(SUMIFS(Sales!$AB$5:$AB$1204,Sales!$R$5:$R$1204,TEXT(DATE(YEAR(TodayDate),MONTH(TodayDate)-8,1),"yyyy-mm"),Sales!$H$5:$H$1204,"Retail"),2)</f>
        <v>0</v>
      </c>
      <c r="F22" s="26">
        <f>ROUND(SUMIFS(Sales!$AB$5:$AB$1204,Sales!$R$5:$R$1204,TEXT(DATE(YEAR(TodayDate),MONTH(TodayDate)-7,1),"yyyy-mm"),Sales!$H$5:$H$1204,"Retail"),2)</f>
        <v>0</v>
      </c>
      <c r="G22" s="26">
        <f>ROUND(SUMIFS(Sales!$AB$5:$AB$1204,Sales!$R$5:$R$1204,TEXT(DATE(YEAR(TodayDate),MONTH(TodayDate)-6,1),"yyyy-mm"),Sales!$H$5:$H$1204,"Retail"),2)</f>
        <v>0</v>
      </c>
      <c r="H22" s="26">
        <f>ROUND(SUMIFS(Sales!$AB$5:$AB$1204,Sales!$R$5:$R$1204,TEXT(DATE(YEAR(TodayDate),MONTH(TodayDate)-5,1),"yyyy-mm"),Sales!$H$5:$H$1204,"Retail"),2)</f>
        <v>0</v>
      </c>
      <c r="I22" s="26">
        <f>ROUND(SUMIFS(Sales!$AB$5:$AB$1204,Sales!$R$5:$R$1204,TEXT(DATE(YEAR(TodayDate),MONTH(TodayDate)-4,1),"yyyy-mm"),Sales!$H$5:$H$1204,"Retail"),2)</f>
        <v>0</v>
      </c>
      <c r="J22" s="26">
        <f>ROUND(SUMIFS(Sales!$AB$5:$AB$1204,Sales!$R$5:$R$1204,TEXT(DATE(YEAR(TodayDate),MONTH(TodayDate)-3,1),"yyyy-mm"),Sales!$H$5:$H$1204,"Retail"),2)</f>
        <v>0</v>
      </c>
      <c r="K22" s="26">
        <f>ROUND(SUMIFS(Sales!$AB$5:$AB$1204,Sales!$R$5:$R$1204,TEXT(DATE(YEAR(TodayDate),MONTH(TodayDate)-2,1),"yyyy-mm"),Sales!$H$5:$H$1204,"Retail"),2)</f>
        <v>0</v>
      </c>
      <c r="L22" s="26">
        <f>ROUND(SUMIFS(Sales!$AB$5:$AB$1204,Sales!$R$5:$R$1204,TEXT(DATE(YEAR(TodayDate),MONTH(TodayDate)-1,1),"yyyy-mm"),Sales!$H$5:$H$1204,"Retail"),2)</f>
        <v>0</v>
      </c>
      <c r="M22" s="26">
        <f>ROUND(SUMIFS(Sales!$AB$5:$AB$1204,Sales!$R$5:$R$1204,TEXT(DATE(YEAR(TodayDate),MONTH(TodayDate)-0,1),"yyyy-mm"),Sales!$H$5:$H$1204,"Retail"),2)</f>
        <v>0</v>
      </c>
      <c r="N22" s="26">
        <f>ROUND(B22+C22+D22+E22+F22+G22+H22+I22+J22+K22+L22+M22,2)</f>
        <v>0</v>
      </c>
      <c r="O22" s="27">
        <f>IF($N$13=0,"",N22/$N$13)</f>
        <v>0</v>
      </c>
    </row>
    <row r="23" spans="1:15">
      <c r="A23" s="8" t="s">
        <v>503</v>
      </c>
      <c r="B23" s="26">
        <f>ROUND(B21+B22,2)</f>
        <v>0</v>
      </c>
      <c r="C23" s="26">
        <f>ROUND(C21+C22,2)</f>
        <v>0</v>
      </c>
      <c r="D23" s="26">
        <f>ROUND(D21+D22,2)</f>
        <v>0</v>
      </c>
      <c r="E23" s="26">
        <f>ROUND(E21+E22,2)</f>
        <v>0</v>
      </c>
      <c r="F23" s="26">
        <f>ROUND(F21+F22,2)</f>
        <v>0</v>
      </c>
      <c r="G23" s="26">
        <f>ROUND(G21+G22,2)</f>
        <v>0</v>
      </c>
      <c r="H23" s="26">
        <f>ROUND(H21+H22,2)</f>
        <v>0</v>
      </c>
      <c r="I23" s="26">
        <f>ROUND(I21+I22,2)</f>
        <v>0</v>
      </c>
      <c r="J23" s="26">
        <f>ROUND(J21+J22,2)</f>
        <v>0</v>
      </c>
      <c r="K23" s="26">
        <f>ROUND(K21+K22,2)</f>
        <v>0</v>
      </c>
      <c r="L23" s="26">
        <f>ROUND(L21+L22,2)</f>
        <v>0</v>
      </c>
      <c r="M23" s="26">
        <f>ROUND(M21+M22,2)</f>
        <v>0</v>
      </c>
      <c r="N23" s="26">
        <f>ROUND(B23+C23+D23+E23+F23+G23+H23+I23+J23+K23+L23+M23,2)</f>
        <v>0</v>
      </c>
      <c r="O23" s="27">
        <f>IF($N$13=0,"",N23/$N$13)</f>
        <v>0</v>
      </c>
    </row>
    <row r="24" spans="1:15">
      <c r="A24" s="8" t="s">
        <v>201</v>
      </c>
      <c r="B24" s="26">
        <f>ROUND(B13-B23,2)</f>
        <v>0</v>
      </c>
      <c r="C24" s="26">
        <f>ROUND(C13-C23,2)</f>
        <v>0</v>
      </c>
      <c r="D24" s="26">
        <f>ROUND(D13-D23,2)</f>
        <v>0</v>
      </c>
      <c r="E24" s="26">
        <f>ROUND(E13-E23,2)</f>
        <v>0</v>
      </c>
      <c r="F24" s="26">
        <f>ROUND(F13-F23,2)</f>
        <v>0</v>
      </c>
      <c r="G24" s="26">
        <f>ROUND(G13-G23,2)</f>
        <v>0</v>
      </c>
      <c r="H24" s="26">
        <f>ROUND(H13-H23,2)</f>
        <v>0</v>
      </c>
      <c r="I24" s="26">
        <f>ROUND(I13-I23,2)</f>
        <v>0</v>
      </c>
      <c r="J24" s="26">
        <f>ROUND(J13-J23,2)</f>
        <v>0</v>
      </c>
      <c r="K24" s="26">
        <f>ROUND(K13-K23,2)</f>
        <v>0</v>
      </c>
      <c r="L24" s="26">
        <f>ROUND(L13-L23,2)</f>
        <v>0</v>
      </c>
      <c r="M24" s="26">
        <f>ROUND(M13-M23,2)</f>
        <v>0</v>
      </c>
      <c r="N24" s="26">
        <f>ROUND(B24+C24+D24+E24+F24+G24+H24+I24+J24+K24+L24+M24,2)</f>
        <v>0</v>
      </c>
      <c r="O24" s="27">
        <f>IF($N$13=0,"",N24/$N$13)</f>
        <v>0</v>
      </c>
    </row>
    <row r="25" spans="1:15">
      <c r="A25" s="8" t="s">
        <v>504</v>
      </c>
      <c r="B25" s="27">
        <f>IF(B13=0,"",B24/B13)</f>
        <v>0</v>
      </c>
      <c r="C25" s="27">
        <f>IF(C13=0,"",C24/C13)</f>
        <v>0</v>
      </c>
      <c r="D25" s="27">
        <f>IF(D13=0,"",D24/D13)</f>
        <v>0</v>
      </c>
      <c r="E25" s="27">
        <f>IF(E13=0,"",E24/E13)</f>
        <v>0</v>
      </c>
      <c r="F25" s="27">
        <f>IF(F13=0,"",F24/F13)</f>
        <v>0</v>
      </c>
      <c r="G25" s="27">
        <f>IF(G13=0,"",G24/G13)</f>
        <v>0</v>
      </c>
      <c r="H25" s="27">
        <f>IF(H13=0,"",H24/H13)</f>
        <v>0</v>
      </c>
      <c r="I25" s="27">
        <f>IF(I13=0,"",I24/I13)</f>
        <v>0</v>
      </c>
      <c r="J25" s="27">
        <f>IF(J13=0,"",J24/J13)</f>
        <v>0</v>
      </c>
      <c r="K25" s="27">
        <f>IF(K13=0,"",K24/K13)</f>
        <v>0</v>
      </c>
      <c r="L25" s="27">
        <f>IF(L13=0,"",L24/L13)</f>
        <v>0</v>
      </c>
      <c r="M25" s="27">
        <f>IF(M13=0,"",M24/M13)</f>
        <v>0</v>
      </c>
      <c r="N25" s="27">
        <f>IF($N$13=0,"",$N$24/$N$13)</f>
        <v>0</v>
      </c>
      <c r="O25" s="27"/>
    </row>
    <row r="27" spans="1:15" ht="20" customHeight="1">
      <c r="A27" s="7" t="s">
        <v>505</v>
      </c>
      <c r="B27" s="7"/>
      <c r="C27" s="7"/>
      <c r="D27" s="7"/>
      <c r="E27" s="7"/>
      <c r="F27" s="7"/>
      <c r="G27" s="7"/>
      <c r="H27" s="7"/>
      <c r="I27" s="7"/>
      <c r="J27" s="7"/>
      <c r="K27" s="7"/>
      <c r="L27" s="7"/>
      <c r="M27" s="7"/>
      <c r="N27" s="7"/>
      <c r="O27" s="7"/>
    </row>
    <row r="28" spans="1:15">
      <c r="A28" s="13" t="s">
        <v>454</v>
      </c>
      <c r="B28" s="26">
        <f>ROUND(SUMIFS(Payroll!$T$5:$T$364,Payroll!$Q$5:$Q$364,TEXT(DATE(YEAR(TodayDate),MONTH(TodayDate)-11,1),"yyyy-mm")),2)</f>
        <v>0</v>
      </c>
      <c r="C28" s="26">
        <f>ROUND(SUMIFS(Payroll!$T$5:$T$364,Payroll!$Q$5:$Q$364,TEXT(DATE(YEAR(TodayDate),MONTH(TodayDate)-10,1),"yyyy-mm")),2)</f>
        <v>0</v>
      </c>
      <c r="D28" s="26">
        <f>ROUND(SUMIFS(Payroll!$T$5:$T$364,Payroll!$Q$5:$Q$364,TEXT(DATE(YEAR(TodayDate),MONTH(TodayDate)-9,1),"yyyy-mm")),2)</f>
        <v>0</v>
      </c>
      <c r="E28" s="26">
        <f>ROUND(SUMIFS(Payroll!$T$5:$T$364,Payroll!$Q$5:$Q$364,TEXT(DATE(YEAR(TodayDate),MONTH(TodayDate)-8,1),"yyyy-mm")),2)</f>
        <v>0</v>
      </c>
      <c r="F28" s="26">
        <f>ROUND(SUMIFS(Payroll!$T$5:$T$364,Payroll!$Q$5:$Q$364,TEXT(DATE(YEAR(TodayDate),MONTH(TodayDate)-7,1),"yyyy-mm")),2)</f>
        <v>0</v>
      </c>
      <c r="G28" s="26">
        <f>ROUND(SUMIFS(Payroll!$T$5:$T$364,Payroll!$Q$5:$Q$364,TEXT(DATE(YEAR(TodayDate),MONTH(TodayDate)-6,1),"yyyy-mm")),2)</f>
        <v>0</v>
      </c>
      <c r="H28" s="26">
        <f>ROUND(SUMIFS(Payroll!$T$5:$T$364,Payroll!$Q$5:$Q$364,TEXT(DATE(YEAR(TodayDate),MONTH(TodayDate)-5,1),"yyyy-mm")),2)</f>
        <v>0</v>
      </c>
      <c r="I28" s="26">
        <f>ROUND(SUMIFS(Payroll!$T$5:$T$364,Payroll!$Q$5:$Q$364,TEXT(DATE(YEAR(TodayDate),MONTH(TodayDate)-4,1),"yyyy-mm")),2)</f>
        <v>0</v>
      </c>
      <c r="J28" s="26">
        <f>ROUND(SUMIFS(Payroll!$T$5:$T$364,Payroll!$Q$5:$Q$364,TEXT(DATE(YEAR(TodayDate),MONTH(TodayDate)-3,1),"yyyy-mm")),2)</f>
        <v>0</v>
      </c>
      <c r="K28" s="26">
        <f>ROUND(SUMIFS(Payroll!$T$5:$T$364,Payroll!$Q$5:$Q$364,TEXT(DATE(YEAR(TodayDate),MONTH(TodayDate)-2,1),"yyyy-mm")),2)</f>
        <v>0</v>
      </c>
      <c r="L28" s="26">
        <f>ROUND(SUMIFS(Payroll!$T$5:$T$364,Payroll!$Q$5:$Q$364,TEXT(DATE(YEAR(TodayDate),MONTH(TodayDate)-1,1),"yyyy-mm")),2)</f>
        <v>0</v>
      </c>
      <c r="M28" s="26">
        <f>ROUND(SUMIFS(Payroll!$T$5:$T$364,Payroll!$Q$5:$Q$364,TEXT(DATE(YEAR(TodayDate),MONTH(TodayDate)-0,1),"yyyy-mm")),2)</f>
        <v>0</v>
      </c>
      <c r="N28" s="26">
        <f>ROUND(B28+C28+D28+E28+F28+G28+H28+I28+J28+K28+L28+M28,2)</f>
        <v>0</v>
      </c>
      <c r="O28" s="27">
        <f>IF($N$13=0,"",N28/$N$13)</f>
        <v>0</v>
      </c>
    </row>
    <row r="29" spans="1:15">
      <c r="A29" s="13" t="s">
        <v>466</v>
      </c>
      <c r="B29" s="26">
        <f>ROUND(SUMIFS(Payroll!$H$5:$H$364,Payroll!$Q$5:$Q$364,TEXT(DATE(YEAR(TodayDate),MONTH(TodayDate)-11,1),"yyyy-mm")),2)</f>
        <v>0</v>
      </c>
      <c r="C29" s="26">
        <f>ROUND(SUMIFS(Payroll!$H$5:$H$364,Payroll!$Q$5:$Q$364,TEXT(DATE(YEAR(TodayDate),MONTH(TodayDate)-10,1),"yyyy-mm")),2)</f>
        <v>0</v>
      </c>
      <c r="D29" s="26">
        <f>ROUND(SUMIFS(Payroll!$H$5:$H$364,Payroll!$Q$5:$Q$364,TEXT(DATE(YEAR(TodayDate),MONTH(TodayDate)-9,1),"yyyy-mm")),2)</f>
        <v>0</v>
      </c>
      <c r="E29" s="26">
        <f>ROUND(SUMIFS(Payroll!$H$5:$H$364,Payroll!$Q$5:$Q$364,TEXT(DATE(YEAR(TodayDate),MONTH(TodayDate)-8,1),"yyyy-mm")),2)</f>
        <v>0</v>
      </c>
      <c r="F29" s="26">
        <f>ROUND(SUMIFS(Payroll!$H$5:$H$364,Payroll!$Q$5:$Q$364,TEXT(DATE(YEAR(TodayDate),MONTH(TodayDate)-7,1),"yyyy-mm")),2)</f>
        <v>0</v>
      </c>
      <c r="G29" s="26">
        <f>ROUND(SUMIFS(Payroll!$H$5:$H$364,Payroll!$Q$5:$Q$364,TEXT(DATE(YEAR(TodayDate),MONTH(TodayDate)-6,1),"yyyy-mm")),2)</f>
        <v>0</v>
      </c>
      <c r="H29" s="26">
        <f>ROUND(SUMIFS(Payroll!$H$5:$H$364,Payroll!$Q$5:$Q$364,TEXT(DATE(YEAR(TodayDate),MONTH(TodayDate)-5,1),"yyyy-mm")),2)</f>
        <v>0</v>
      </c>
      <c r="I29" s="26">
        <f>ROUND(SUMIFS(Payroll!$H$5:$H$364,Payroll!$Q$5:$Q$364,TEXT(DATE(YEAR(TodayDate),MONTH(TodayDate)-4,1),"yyyy-mm")),2)</f>
        <v>0</v>
      </c>
      <c r="J29" s="26">
        <f>ROUND(SUMIFS(Payroll!$H$5:$H$364,Payroll!$Q$5:$Q$364,TEXT(DATE(YEAR(TodayDate),MONTH(TodayDate)-3,1),"yyyy-mm")),2)</f>
        <v>0</v>
      </c>
      <c r="K29" s="26">
        <f>ROUND(SUMIFS(Payroll!$H$5:$H$364,Payroll!$Q$5:$Q$364,TEXT(DATE(YEAR(TodayDate),MONTH(TodayDate)-2,1),"yyyy-mm")),2)</f>
        <v>0</v>
      </c>
      <c r="L29" s="26">
        <f>ROUND(SUMIFS(Payroll!$H$5:$H$364,Payroll!$Q$5:$Q$364,TEXT(DATE(YEAR(TodayDate),MONTH(TodayDate)-1,1),"yyyy-mm")),2)</f>
        <v>0</v>
      </c>
      <c r="M29" s="26">
        <f>ROUND(SUMIFS(Payroll!$H$5:$H$364,Payroll!$Q$5:$Q$364,TEXT(DATE(YEAR(TodayDate),MONTH(TodayDate)-0,1),"yyyy-mm")),2)</f>
        <v>0</v>
      </c>
      <c r="N29" s="26">
        <f>ROUND(B29+C29+D29+E29+F29+G29+H29+I29+J29+K29+L29+M29,2)</f>
        <v>0</v>
      </c>
      <c r="O29" s="27">
        <f>IF($N$13=0,"",N29/$N$13)</f>
        <v>0</v>
      </c>
    </row>
    <row r="30" spans="1:15">
      <c r="A30" s="13" t="s">
        <v>506</v>
      </c>
      <c r="B30" s="26">
        <f>ROUND(SUMIFS(Payroll!$J$5:$J$364,Payroll!$Q$5:$Q$364,TEXT(DATE(YEAR(TodayDate),MONTH(TodayDate)-11,1),"yyyy-mm"))+SUMIFS(Payroll!$K$5:$K$364,Payroll!$Q$5:$Q$364,TEXT(DATE(YEAR(TodayDate),MONTH(TodayDate)-11,1),"yyyy-mm")),2)</f>
        <v>0</v>
      </c>
      <c r="C30" s="26">
        <f>ROUND(SUMIFS(Payroll!$J$5:$J$364,Payroll!$Q$5:$Q$364,TEXT(DATE(YEAR(TodayDate),MONTH(TodayDate)-10,1),"yyyy-mm"))+SUMIFS(Payroll!$K$5:$K$364,Payroll!$Q$5:$Q$364,TEXT(DATE(YEAR(TodayDate),MONTH(TodayDate)-10,1),"yyyy-mm")),2)</f>
        <v>0</v>
      </c>
      <c r="D30" s="26">
        <f>ROUND(SUMIFS(Payroll!$J$5:$J$364,Payroll!$Q$5:$Q$364,TEXT(DATE(YEAR(TodayDate),MONTH(TodayDate)-9,1),"yyyy-mm"))+SUMIFS(Payroll!$K$5:$K$364,Payroll!$Q$5:$Q$364,TEXT(DATE(YEAR(TodayDate),MONTH(TodayDate)-9,1),"yyyy-mm")),2)</f>
        <v>0</v>
      </c>
      <c r="E30" s="26">
        <f>ROUND(SUMIFS(Payroll!$J$5:$J$364,Payroll!$Q$5:$Q$364,TEXT(DATE(YEAR(TodayDate),MONTH(TodayDate)-8,1),"yyyy-mm"))+SUMIFS(Payroll!$K$5:$K$364,Payroll!$Q$5:$Q$364,TEXT(DATE(YEAR(TodayDate),MONTH(TodayDate)-8,1),"yyyy-mm")),2)</f>
        <v>0</v>
      </c>
      <c r="F30" s="26">
        <f>ROUND(SUMIFS(Payroll!$J$5:$J$364,Payroll!$Q$5:$Q$364,TEXT(DATE(YEAR(TodayDate),MONTH(TodayDate)-7,1),"yyyy-mm"))+SUMIFS(Payroll!$K$5:$K$364,Payroll!$Q$5:$Q$364,TEXT(DATE(YEAR(TodayDate),MONTH(TodayDate)-7,1),"yyyy-mm")),2)</f>
        <v>0</v>
      </c>
      <c r="G30" s="26">
        <f>ROUND(SUMIFS(Payroll!$J$5:$J$364,Payroll!$Q$5:$Q$364,TEXT(DATE(YEAR(TodayDate),MONTH(TodayDate)-6,1),"yyyy-mm"))+SUMIFS(Payroll!$K$5:$K$364,Payroll!$Q$5:$Q$364,TEXT(DATE(YEAR(TodayDate),MONTH(TodayDate)-6,1),"yyyy-mm")),2)</f>
        <v>0</v>
      </c>
      <c r="H30" s="26">
        <f>ROUND(SUMIFS(Payroll!$J$5:$J$364,Payroll!$Q$5:$Q$364,TEXT(DATE(YEAR(TodayDate),MONTH(TodayDate)-5,1),"yyyy-mm"))+SUMIFS(Payroll!$K$5:$K$364,Payroll!$Q$5:$Q$364,TEXT(DATE(YEAR(TodayDate),MONTH(TodayDate)-5,1),"yyyy-mm")),2)</f>
        <v>0</v>
      </c>
      <c r="I30" s="26">
        <f>ROUND(SUMIFS(Payroll!$J$5:$J$364,Payroll!$Q$5:$Q$364,TEXT(DATE(YEAR(TodayDate),MONTH(TodayDate)-4,1),"yyyy-mm"))+SUMIFS(Payroll!$K$5:$K$364,Payroll!$Q$5:$Q$364,TEXT(DATE(YEAR(TodayDate),MONTH(TodayDate)-4,1),"yyyy-mm")),2)</f>
        <v>0</v>
      </c>
      <c r="J30" s="26">
        <f>ROUND(SUMIFS(Payroll!$J$5:$J$364,Payroll!$Q$5:$Q$364,TEXT(DATE(YEAR(TodayDate),MONTH(TodayDate)-3,1),"yyyy-mm"))+SUMIFS(Payroll!$K$5:$K$364,Payroll!$Q$5:$Q$364,TEXT(DATE(YEAR(TodayDate),MONTH(TodayDate)-3,1),"yyyy-mm")),2)</f>
        <v>0</v>
      </c>
      <c r="K30" s="26">
        <f>ROUND(SUMIFS(Payroll!$J$5:$J$364,Payroll!$Q$5:$Q$364,TEXT(DATE(YEAR(TodayDate),MONTH(TodayDate)-2,1),"yyyy-mm"))+SUMIFS(Payroll!$K$5:$K$364,Payroll!$Q$5:$Q$364,TEXT(DATE(YEAR(TodayDate),MONTH(TodayDate)-2,1),"yyyy-mm")),2)</f>
        <v>0</v>
      </c>
      <c r="L30" s="26">
        <f>ROUND(SUMIFS(Payroll!$J$5:$J$364,Payroll!$Q$5:$Q$364,TEXT(DATE(YEAR(TodayDate),MONTH(TodayDate)-1,1),"yyyy-mm"))+SUMIFS(Payroll!$K$5:$K$364,Payroll!$Q$5:$Q$364,TEXT(DATE(YEAR(TodayDate),MONTH(TodayDate)-1,1),"yyyy-mm")),2)</f>
        <v>0</v>
      </c>
      <c r="M30" s="26">
        <f>ROUND(SUMIFS(Payroll!$J$5:$J$364,Payroll!$Q$5:$Q$364,TEXT(DATE(YEAR(TodayDate),MONTH(TodayDate)-0,1),"yyyy-mm"))+SUMIFS(Payroll!$K$5:$K$364,Payroll!$Q$5:$Q$364,TEXT(DATE(YEAR(TodayDate),MONTH(TodayDate)-0,1),"yyyy-mm")),2)</f>
        <v>0</v>
      </c>
      <c r="N30" s="26">
        <f>ROUND(B30+C30+D30+E30+F30+G30+H30+I30+J30+K30+L30+M30,2)</f>
        <v>0</v>
      </c>
      <c r="O30" s="27">
        <f>IF($N$13=0,"",N30/$N$13)</f>
        <v>0</v>
      </c>
    </row>
    <row r="31" spans="1:15">
      <c r="A31" s="13" t="s">
        <v>507</v>
      </c>
      <c r="B31" s="26">
        <f>ROUND(SUMIFS(Payroll!$X$5:$X$364,Payroll!$Q$5:$Q$364,TEXT(DATE(YEAR(TodayDate),MONTH(TodayDate)-11,1),"yyyy-mm")),2)</f>
        <v>0</v>
      </c>
      <c r="C31" s="26">
        <f>ROUND(SUMIFS(Payroll!$X$5:$X$364,Payroll!$Q$5:$Q$364,TEXT(DATE(YEAR(TodayDate),MONTH(TodayDate)-10,1),"yyyy-mm")),2)</f>
        <v>0</v>
      </c>
      <c r="D31" s="26">
        <f>ROUND(SUMIFS(Payroll!$X$5:$X$364,Payroll!$Q$5:$Q$364,TEXT(DATE(YEAR(TodayDate),MONTH(TodayDate)-9,1),"yyyy-mm")),2)</f>
        <v>0</v>
      </c>
      <c r="E31" s="26">
        <f>ROUND(SUMIFS(Payroll!$X$5:$X$364,Payroll!$Q$5:$Q$364,TEXT(DATE(YEAR(TodayDate),MONTH(TodayDate)-8,1),"yyyy-mm")),2)</f>
        <v>0</v>
      </c>
      <c r="F31" s="26">
        <f>ROUND(SUMIFS(Payroll!$X$5:$X$364,Payroll!$Q$5:$Q$364,TEXT(DATE(YEAR(TodayDate),MONTH(TodayDate)-7,1),"yyyy-mm")),2)</f>
        <v>0</v>
      </c>
      <c r="G31" s="26">
        <f>ROUND(SUMIFS(Payroll!$X$5:$X$364,Payroll!$Q$5:$Q$364,TEXT(DATE(YEAR(TodayDate),MONTH(TodayDate)-6,1),"yyyy-mm")),2)</f>
        <v>0</v>
      </c>
      <c r="H31" s="26">
        <f>ROUND(SUMIFS(Payroll!$X$5:$X$364,Payroll!$Q$5:$Q$364,TEXT(DATE(YEAR(TodayDate),MONTH(TodayDate)-5,1),"yyyy-mm")),2)</f>
        <v>0</v>
      </c>
      <c r="I31" s="26">
        <f>ROUND(SUMIFS(Payroll!$X$5:$X$364,Payroll!$Q$5:$Q$364,TEXT(DATE(YEAR(TodayDate),MONTH(TodayDate)-4,1),"yyyy-mm")),2)</f>
        <v>0</v>
      </c>
      <c r="J31" s="26">
        <f>ROUND(SUMIFS(Payroll!$X$5:$X$364,Payroll!$Q$5:$Q$364,TEXT(DATE(YEAR(TodayDate),MONTH(TodayDate)-3,1),"yyyy-mm")),2)</f>
        <v>0</v>
      </c>
      <c r="K31" s="26">
        <f>ROUND(SUMIFS(Payroll!$X$5:$X$364,Payroll!$Q$5:$Q$364,TEXT(DATE(YEAR(TodayDate),MONTH(TodayDate)-2,1),"yyyy-mm")),2)</f>
        <v>0</v>
      </c>
      <c r="L31" s="26">
        <f>ROUND(SUMIFS(Payroll!$X$5:$X$364,Payroll!$Q$5:$Q$364,TEXT(DATE(YEAR(TodayDate),MONTH(TodayDate)-1,1),"yyyy-mm")),2)</f>
        <v>0</v>
      </c>
      <c r="M31" s="26">
        <f>ROUND(SUMIFS(Payroll!$X$5:$X$364,Payroll!$Q$5:$Q$364,TEXT(DATE(YEAR(TodayDate),MONTH(TodayDate)-0,1),"yyyy-mm")),2)</f>
        <v>0</v>
      </c>
      <c r="N31" s="26">
        <f>ROUND(B31+C31+D31+E31+F31+G31+H31+I31+J31+K31+L31+M31,2)</f>
        <v>0</v>
      </c>
      <c r="O31" s="27">
        <f>IF($N$13=0,"",N31/$N$13)</f>
        <v>0</v>
      </c>
    </row>
    <row r="32" spans="1:15">
      <c r="A32" s="8" t="s">
        <v>508</v>
      </c>
      <c r="B32" s="26">
        <f>ROUND(B28+B29+B30+B31,2)</f>
        <v>0</v>
      </c>
      <c r="C32" s="26">
        <f>ROUND(C28+C29+C30+C31,2)</f>
        <v>0</v>
      </c>
      <c r="D32" s="26">
        <f>ROUND(D28+D29+D30+D31,2)</f>
        <v>0</v>
      </c>
      <c r="E32" s="26">
        <f>ROUND(E28+E29+E30+E31,2)</f>
        <v>0</v>
      </c>
      <c r="F32" s="26">
        <f>ROUND(F28+F29+F30+F31,2)</f>
        <v>0</v>
      </c>
      <c r="G32" s="26">
        <f>ROUND(G28+G29+G30+G31,2)</f>
        <v>0</v>
      </c>
      <c r="H32" s="26">
        <f>ROUND(H28+H29+H30+H31,2)</f>
        <v>0</v>
      </c>
      <c r="I32" s="26">
        <f>ROUND(I28+I29+I30+I31,2)</f>
        <v>0</v>
      </c>
      <c r="J32" s="26">
        <f>ROUND(J28+J29+J30+J31,2)</f>
        <v>0</v>
      </c>
      <c r="K32" s="26">
        <f>ROUND(K28+K29+K30+K31,2)</f>
        <v>0</v>
      </c>
      <c r="L32" s="26">
        <f>ROUND(L28+L29+L30+L31,2)</f>
        <v>0</v>
      </c>
      <c r="M32" s="26">
        <f>ROUND(M28+M29+M30+M31,2)</f>
        <v>0</v>
      </c>
      <c r="N32" s="26">
        <f>ROUND(B32+C32+D32+E32+F32+G32+H32+I32+J32+K32+L32+M32,2)</f>
        <v>0</v>
      </c>
      <c r="O32" s="27">
        <f>IF($N$13=0,"",N32/$N$13)</f>
        <v>0</v>
      </c>
    </row>
    <row r="33" spans="1:15">
      <c r="A33" s="13" t="s">
        <v>509</v>
      </c>
      <c r="B33" s="27">
        <f>IF(B9=0,"",B32/B9)</f>
        <v>0</v>
      </c>
      <c r="C33" s="27">
        <f>IF(C9=0,"",C32/C9)</f>
        <v>0</v>
      </c>
      <c r="D33" s="27">
        <f>IF(D9=0,"",D32/D9)</f>
        <v>0</v>
      </c>
      <c r="E33" s="27">
        <f>IF(E9=0,"",E32/E9)</f>
        <v>0</v>
      </c>
      <c r="F33" s="27">
        <f>IF(F9=0,"",F32/F9)</f>
        <v>0</v>
      </c>
      <c r="G33" s="27">
        <f>IF(G9=0,"",G32/G9)</f>
        <v>0</v>
      </c>
      <c r="H33" s="27">
        <f>IF(H9=0,"",H32/H9)</f>
        <v>0</v>
      </c>
      <c r="I33" s="27">
        <f>IF(I9=0,"",I32/I9)</f>
        <v>0</v>
      </c>
      <c r="J33" s="27">
        <f>IF(J9=0,"",J32/J9)</f>
        <v>0</v>
      </c>
      <c r="K33" s="27">
        <f>IF(K9=0,"",K32/K9)</f>
        <v>0</v>
      </c>
      <c r="L33" s="27">
        <f>IF(L9=0,"",L32/L9)</f>
        <v>0</v>
      </c>
      <c r="M33" s="27">
        <f>IF(M9=0,"",M32/M9)</f>
        <v>0</v>
      </c>
      <c r="N33" s="27">
        <f>IF($N$9=0,"",$N$32/$N$9)</f>
        <v>0</v>
      </c>
      <c r="O33" s="27"/>
    </row>
    <row r="35" spans="1:15" ht="20" customHeight="1">
      <c r="A35" s="7" t="s">
        <v>510</v>
      </c>
      <c r="B35" s="7"/>
      <c r="C35" s="7"/>
      <c r="D35" s="7"/>
      <c r="E35" s="7"/>
      <c r="F35" s="7"/>
      <c r="G35" s="7"/>
      <c r="H35" s="7"/>
      <c r="I35" s="7"/>
      <c r="J35" s="7"/>
      <c r="K35" s="7"/>
      <c r="L35" s="7"/>
      <c r="M35" s="7"/>
      <c r="N35" s="7"/>
      <c r="O35" s="7"/>
    </row>
    <row r="36" spans="1:15">
      <c r="A36" s="13" t="s">
        <v>511</v>
      </c>
      <c r="B36" s="26">
        <f>ROUND(SUMIFS(Expenses!$F$5:$F$604,Expenses!$P$5:$P$604,TEXT(DATE(YEAR(TodayDate),MONTH(TodayDate)-11,1),"yyyy-mm"),Expenses!$C$5:$C$604,"Rent"),2)</f>
        <v>0</v>
      </c>
      <c r="C36" s="26">
        <f>ROUND(SUMIFS(Expenses!$F$5:$F$604,Expenses!$P$5:$P$604,TEXT(DATE(YEAR(TodayDate),MONTH(TodayDate)-10,1),"yyyy-mm"),Expenses!$C$5:$C$604,"Rent"),2)</f>
        <v>0</v>
      </c>
      <c r="D36" s="26">
        <f>ROUND(SUMIFS(Expenses!$F$5:$F$604,Expenses!$P$5:$P$604,TEXT(DATE(YEAR(TodayDate),MONTH(TodayDate)-9,1),"yyyy-mm"),Expenses!$C$5:$C$604,"Rent"),2)</f>
        <v>0</v>
      </c>
      <c r="E36" s="26">
        <f>ROUND(SUMIFS(Expenses!$F$5:$F$604,Expenses!$P$5:$P$604,TEXT(DATE(YEAR(TodayDate),MONTH(TodayDate)-8,1),"yyyy-mm"),Expenses!$C$5:$C$604,"Rent"),2)</f>
        <v>0</v>
      </c>
      <c r="F36" s="26">
        <f>ROUND(SUMIFS(Expenses!$F$5:$F$604,Expenses!$P$5:$P$604,TEXT(DATE(YEAR(TodayDate),MONTH(TodayDate)-7,1),"yyyy-mm"),Expenses!$C$5:$C$604,"Rent"),2)</f>
        <v>0</v>
      </c>
      <c r="G36" s="26">
        <f>ROUND(SUMIFS(Expenses!$F$5:$F$604,Expenses!$P$5:$P$604,TEXT(DATE(YEAR(TodayDate),MONTH(TodayDate)-6,1),"yyyy-mm"),Expenses!$C$5:$C$604,"Rent"),2)</f>
        <v>0</v>
      </c>
      <c r="H36" s="26">
        <f>ROUND(SUMIFS(Expenses!$F$5:$F$604,Expenses!$P$5:$P$604,TEXT(DATE(YEAR(TodayDate),MONTH(TodayDate)-5,1),"yyyy-mm"),Expenses!$C$5:$C$604,"Rent"),2)</f>
        <v>0</v>
      </c>
      <c r="I36" s="26">
        <f>ROUND(SUMIFS(Expenses!$F$5:$F$604,Expenses!$P$5:$P$604,TEXT(DATE(YEAR(TodayDate),MONTH(TodayDate)-4,1),"yyyy-mm"),Expenses!$C$5:$C$604,"Rent"),2)</f>
        <v>0</v>
      </c>
      <c r="J36" s="26">
        <f>ROUND(SUMIFS(Expenses!$F$5:$F$604,Expenses!$P$5:$P$604,TEXT(DATE(YEAR(TodayDate),MONTH(TodayDate)-3,1),"yyyy-mm"),Expenses!$C$5:$C$604,"Rent"),2)</f>
        <v>0</v>
      </c>
      <c r="K36" s="26">
        <f>ROUND(SUMIFS(Expenses!$F$5:$F$604,Expenses!$P$5:$P$604,TEXT(DATE(YEAR(TodayDate),MONTH(TodayDate)-2,1),"yyyy-mm"),Expenses!$C$5:$C$604,"Rent"),2)</f>
        <v>0</v>
      </c>
      <c r="L36" s="26">
        <f>ROUND(SUMIFS(Expenses!$F$5:$F$604,Expenses!$P$5:$P$604,TEXT(DATE(YEAR(TodayDate),MONTH(TodayDate)-1,1),"yyyy-mm"),Expenses!$C$5:$C$604,"Rent"),2)</f>
        <v>0</v>
      </c>
      <c r="M36" s="26">
        <f>ROUND(SUMIFS(Expenses!$F$5:$F$604,Expenses!$P$5:$P$604,TEXT(DATE(YEAR(TodayDate),MONTH(TodayDate)-0,1),"yyyy-mm"),Expenses!$C$5:$C$604,"Rent"),2)</f>
        <v>0</v>
      </c>
      <c r="N36" s="26">
        <f>ROUND(B36+C36+D36+E36+F36+G36+H36+I36+J36+K36+L36+M36,2)</f>
        <v>0</v>
      </c>
      <c r="O36" s="27">
        <f>IF($N$13=0,"",N36/$N$13)</f>
        <v>0</v>
      </c>
    </row>
    <row r="37" spans="1:15">
      <c r="A37" s="13" t="s">
        <v>512</v>
      </c>
      <c r="B37" s="26">
        <f>ROUND(SUMIFS(Expenses!$F$5:$F$604,Expenses!$P$5:$P$604,TEXT(DATE(YEAR(TodayDate),MONTH(TodayDate)-11,1),"yyyy-mm"),Expenses!$C$5:$C$604,"Utilities"),2)</f>
        <v>0</v>
      </c>
      <c r="C37" s="26">
        <f>ROUND(SUMIFS(Expenses!$F$5:$F$604,Expenses!$P$5:$P$604,TEXT(DATE(YEAR(TodayDate),MONTH(TodayDate)-10,1),"yyyy-mm"),Expenses!$C$5:$C$604,"Utilities"),2)</f>
        <v>0</v>
      </c>
      <c r="D37" s="26">
        <f>ROUND(SUMIFS(Expenses!$F$5:$F$604,Expenses!$P$5:$P$604,TEXT(DATE(YEAR(TodayDate),MONTH(TodayDate)-9,1),"yyyy-mm"),Expenses!$C$5:$C$604,"Utilities"),2)</f>
        <v>0</v>
      </c>
      <c r="E37" s="26">
        <f>ROUND(SUMIFS(Expenses!$F$5:$F$604,Expenses!$P$5:$P$604,TEXT(DATE(YEAR(TodayDate),MONTH(TodayDate)-8,1),"yyyy-mm"),Expenses!$C$5:$C$604,"Utilities"),2)</f>
        <v>0</v>
      </c>
      <c r="F37" s="26">
        <f>ROUND(SUMIFS(Expenses!$F$5:$F$604,Expenses!$P$5:$P$604,TEXT(DATE(YEAR(TodayDate),MONTH(TodayDate)-7,1),"yyyy-mm"),Expenses!$C$5:$C$604,"Utilities"),2)</f>
        <v>0</v>
      </c>
      <c r="G37" s="26">
        <f>ROUND(SUMIFS(Expenses!$F$5:$F$604,Expenses!$P$5:$P$604,TEXT(DATE(YEAR(TodayDate),MONTH(TodayDate)-6,1),"yyyy-mm"),Expenses!$C$5:$C$604,"Utilities"),2)</f>
        <v>0</v>
      </c>
      <c r="H37" s="26">
        <f>ROUND(SUMIFS(Expenses!$F$5:$F$604,Expenses!$P$5:$P$604,TEXT(DATE(YEAR(TodayDate),MONTH(TodayDate)-5,1),"yyyy-mm"),Expenses!$C$5:$C$604,"Utilities"),2)</f>
        <v>0</v>
      </c>
      <c r="I37" s="26">
        <f>ROUND(SUMIFS(Expenses!$F$5:$F$604,Expenses!$P$5:$P$604,TEXT(DATE(YEAR(TodayDate),MONTH(TodayDate)-4,1),"yyyy-mm"),Expenses!$C$5:$C$604,"Utilities"),2)</f>
        <v>0</v>
      </c>
      <c r="J37" s="26">
        <f>ROUND(SUMIFS(Expenses!$F$5:$F$604,Expenses!$P$5:$P$604,TEXT(DATE(YEAR(TodayDate),MONTH(TodayDate)-3,1),"yyyy-mm"),Expenses!$C$5:$C$604,"Utilities"),2)</f>
        <v>0</v>
      </c>
      <c r="K37" s="26">
        <f>ROUND(SUMIFS(Expenses!$F$5:$F$604,Expenses!$P$5:$P$604,TEXT(DATE(YEAR(TodayDate),MONTH(TodayDate)-2,1),"yyyy-mm"),Expenses!$C$5:$C$604,"Utilities"),2)</f>
        <v>0</v>
      </c>
      <c r="L37" s="26">
        <f>ROUND(SUMIFS(Expenses!$F$5:$F$604,Expenses!$P$5:$P$604,TEXT(DATE(YEAR(TodayDate),MONTH(TodayDate)-1,1),"yyyy-mm"),Expenses!$C$5:$C$604,"Utilities"),2)</f>
        <v>0</v>
      </c>
      <c r="M37" s="26">
        <f>ROUND(SUMIFS(Expenses!$F$5:$F$604,Expenses!$P$5:$P$604,TEXT(DATE(YEAR(TodayDate),MONTH(TodayDate)-0,1),"yyyy-mm"),Expenses!$C$5:$C$604,"Utilities"),2)</f>
        <v>0</v>
      </c>
      <c r="N37" s="26">
        <f>ROUND(B37+C37+D37+E37+F37+G37+H37+I37+J37+K37+L37+M37,2)</f>
        <v>0</v>
      </c>
      <c r="O37" s="27">
        <f>IF($N$13=0,"",N37/$N$13)</f>
        <v>0</v>
      </c>
    </row>
    <row r="38" spans="1:15">
      <c r="A38" s="13" t="s">
        <v>513</v>
      </c>
      <c r="B38" s="26">
        <f>ROUND(SUMIFS(Expenses!$F$5:$F$604,Expenses!$P$5:$P$604,TEXT(DATE(YEAR(TodayDate),MONTH(TodayDate)-11,1),"yyyy-mm"),Expenses!$C$5:$C$604,"Product &amp; stock"),2)</f>
        <v>0</v>
      </c>
      <c r="C38" s="26">
        <f>ROUND(SUMIFS(Expenses!$F$5:$F$604,Expenses!$P$5:$P$604,TEXT(DATE(YEAR(TodayDate),MONTH(TodayDate)-10,1),"yyyy-mm"),Expenses!$C$5:$C$604,"Product &amp; stock"),2)</f>
        <v>0</v>
      </c>
      <c r="D38" s="26">
        <f>ROUND(SUMIFS(Expenses!$F$5:$F$604,Expenses!$P$5:$P$604,TEXT(DATE(YEAR(TodayDate),MONTH(TodayDate)-9,1),"yyyy-mm"),Expenses!$C$5:$C$604,"Product &amp; stock"),2)</f>
        <v>0</v>
      </c>
      <c r="E38" s="26">
        <f>ROUND(SUMIFS(Expenses!$F$5:$F$604,Expenses!$P$5:$P$604,TEXT(DATE(YEAR(TodayDate),MONTH(TodayDate)-8,1),"yyyy-mm"),Expenses!$C$5:$C$604,"Product &amp; stock"),2)</f>
        <v>0</v>
      </c>
      <c r="F38" s="26">
        <f>ROUND(SUMIFS(Expenses!$F$5:$F$604,Expenses!$P$5:$P$604,TEXT(DATE(YEAR(TodayDate),MONTH(TodayDate)-7,1),"yyyy-mm"),Expenses!$C$5:$C$604,"Product &amp; stock"),2)</f>
        <v>0</v>
      </c>
      <c r="G38" s="26">
        <f>ROUND(SUMIFS(Expenses!$F$5:$F$604,Expenses!$P$5:$P$604,TEXT(DATE(YEAR(TodayDate),MONTH(TodayDate)-6,1),"yyyy-mm"),Expenses!$C$5:$C$604,"Product &amp; stock"),2)</f>
        <v>0</v>
      </c>
      <c r="H38" s="26">
        <f>ROUND(SUMIFS(Expenses!$F$5:$F$604,Expenses!$P$5:$P$604,TEXT(DATE(YEAR(TodayDate),MONTH(TodayDate)-5,1),"yyyy-mm"),Expenses!$C$5:$C$604,"Product &amp; stock"),2)</f>
        <v>0</v>
      </c>
      <c r="I38" s="26">
        <f>ROUND(SUMIFS(Expenses!$F$5:$F$604,Expenses!$P$5:$P$604,TEXT(DATE(YEAR(TodayDate),MONTH(TodayDate)-4,1),"yyyy-mm"),Expenses!$C$5:$C$604,"Product &amp; stock"),2)</f>
        <v>0</v>
      </c>
      <c r="J38" s="26">
        <f>ROUND(SUMIFS(Expenses!$F$5:$F$604,Expenses!$P$5:$P$604,TEXT(DATE(YEAR(TodayDate),MONTH(TodayDate)-3,1),"yyyy-mm"),Expenses!$C$5:$C$604,"Product &amp; stock"),2)</f>
        <v>0</v>
      </c>
      <c r="K38" s="26">
        <f>ROUND(SUMIFS(Expenses!$F$5:$F$604,Expenses!$P$5:$P$604,TEXT(DATE(YEAR(TodayDate),MONTH(TodayDate)-2,1),"yyyy-mm"),Expenses!$C$5:$C$604,"Product &amp; stock"),2)</f>
        <v>0</v>
      </c>
      <c r="L38" s="26">
        <f>ROUND(SUMIFS(Expenses!$F$5:$F$604,Expenses!$P$5:$P$604,TEXT(DATE(YEAR(TodayDate),MONTH(TodayDate)-1,1),"yyyy-mm"),Expenses!$C$5:$C$604,"Product &amp; stock"),2)</f>
        <v>0</v>
      </c>
      <c r="M38" s="26">
        <f>ROUND(SUMIFS(Expenses!$F$5:$F$604,Expenses!$P$5:$P$604,TEXT(DATE(YEAR(TodayDate),MONTH(TodayDate)-0,1),"yyyy-mm"),Expenses!$C$5:$C$604,"Product &amp; stock"),2)</f>
        <v>0</v>
      </c>
      <c r="N38" s="26">
        <f>ROUND(B38+C38+D38+E38+F38+G38+H38+I38+J38+K38+L38+M38,2)</f>
        <v>0</v>
      </c>
      <c r="O38" s="27">
        <f>IF($N$13=0,"",N38/$N$13)</f>
        <v>0</v>
      </c>
    </row>
    <row r="39" spans="1:15">
      <c r="A39" s="13" t="s">
        <v>514</v>
      </c>
      <c r="B39" s="26">
        <f>ROUND(SUMIFS(Expenses!$F$5:$F$604,Expenses!$P$5:$P$604,TEXT(DATE(YEAR(TodayDate),MONTH(TodayDate)-11,1),"yyyy-mm"),Expenses!$C$5:$C$604,"Backbar supplies"),2)</f>
        <v>0</v>
      </c>
      <c r="C39" s="26">
        <f>ROUND(SUMIFS(Expenses!$F$5:$F$604,Expenses!$P$5:$P$604,TEXT(DATE(YEAR(TodayDate),MONTH(TodayDate)-10,1),"yyyy-mm"),Expenses!$C$5:$C$604,"Backbar supplies"),2)</f>
        <v>0</v>
      </c>
      <c r="D39" s="26">
        <f>ROUND(SUMIFS(Expenses!$F$5:$F$604,Expenses!$P$5:$P$604,TEXT(DATE(YEAR(TodayDate),MONTH(TodayDate)-9,1),"yyyy-mm"),Expenses!$C$5:$C$604,"Backbar supplies"),2)</f>
        <v>0</v>
      </c>
      <c r="E39" s="26">
        <f>ROUND(SUMIFS(Expenses!$F$5:$F$604,Expenses!$P$5:$P$604,TEXT(DATE(YEAR(TodayDate),MONTH(TodayDate)-8,1),"yyyy-mm"),Expenses!$C$5:$C$604,"Backbar supplies"),2)</f>
        <v>0</v>
      </c>
      <c r="F39" s="26">
        <f>ROUND(SUMIFS(Expenses!$F$5:$F$604,Expenses!$P$5:$P$604,TEXT(DATE(YEAR(TodayDate),MONTH(TodayDate)-7,1),"yyyy-mm"),Expenses!$C$5:$C$604,"Backbar supplies"),2)</f>
        <v>0</v>
      </c>
      <c r="G39" s="26">
        <f>ROUND(SUMIFS(Expenses!$F$5:$F$604,Expenses!$P$5:$P$604,TEXT(DATE(YEAR(TodayDate),MONTH(TodayDate)-6,1),"yyyy-mm"),Expenses!$C$5:$C$604,"Backbar supplies"),2)</f>
        <v>0</v>
      </c>
      <c r="H39" s="26">
        <f>ROUND(SUMIFS(Expenses!$F$5:$F$604,Expenses!$P$5:$P$604,TEXT(DATE(YEAR(TodayDate),MONTH(TodayDate)-5,1),"yyyy-mm"),Expenses!$C$5:$C$604,"Backbar supplies"),2)</f>
        <v>0</v>
      </c>
      <c r="I39" s="26">
        <f>ROUND(SUMIFS(Expenses!$F$5:$F$604,Expenses!$P$5:$P$604,TEXT(DATE(YEAR(TodayDate),MONTH(TodayDate)-4,1),"yyyy-mm"),Expenses!$C$5:$C$604,"Backbar supplies"),2)</f>
        <v>0</v>
      </c>
      <c r="J39" s="26">
        <f>ROUND(SUMIFS(Expenses!$F$5:$F$604,Expenses!$P$5:$P$604,TEXT(DATE(YEAR(TodayDate),MONTH(TodayDate)-3,1),"yyyy-mm"),Expenses!$C$5:$C$604,"Backbar supplies"),2)</f>
        <v>0</v>
      </c>
      <c r="K39" s="26">
        <f>ROUND(SUMIFS(Expenses!$F$5:$F$604,Expenses!$P$5:$P$604,TEXT(DATE(YEAR(TodayDate),MONTH(TodayDate)-2,1),"yyyy-mm"),Expenses!$C$5:$C$604,"Backbar supplies"),2)</f>
        <v>0</v>
      </c>
      <c r="L39" s="26">
        <f>ROUND(SUMIFS(Expenses!$F$5:$F$604,Expenses!$P$5:$P$604,TEXT(DATE(YEAR(TodayDate),MONTH(TodayDate)-1,1),"yyyy-mm"),Expenses!$C$5:$C$604,"Backbar supplies"),2)</f>
        <v>0</v>
      </c>
      <c r="M39" s="26">
        <f>ROUND(SUMIFS(Expenses!$F$5:$F$604,Expenses!$P$5:$P$604,TEXT(DATE(YEAR(TodayDate),MONTH(TodayDate)-0,1),"yyyy-mm"),Expenses!$C$5:$C$604,"Backbar supplies"),2)</f>
        <v>0</v>
      </c>
      <c r="N39" s="26">
        <f>ROUND(B39+C39+D39+E39+F39+G39+H39+I39+J39+K39+L39+M39,2)</f>
        <v>0</v>
      </c>
      <c r="O39" s="27">
        <f>IF($N$13=0,"",N39/$N$13)</f>
        <v>0</v>
      </c>
    </row>
    <row r="40" spans="1:15">
      <c r="A40" s="13" t="s">
        <v>515</v>
      </c>
      <c r="B40" s="26">
        <f>ROUND(SUMIFS(Expenses!$F$5:$F$604,Expenses!$P$5:$P$604,TEXT(DATE(YEAR(TodayDate),MONTH(TodayDate)-11,1),"yyyy-mm"),Expenses!$C$5:$C$604,"Insurance"),2)</f>
        <v>0</v>
      </c>
      <c r="C40" s="26">
        <f>ROUND(SUMIFS(Expenses!$F$5:$F$604,Expenses!$P$5:$P$604,TEXT(DATE(YEAR(TodayDate),MONTH(TodayDate)-10,1),"yyyy-mm"),Expenses!$C$5:$C$604,"Insurance"),2)</f>
        <v>0</v>
      </c>
      <c r="D40" s="26">
        <f>ROUND(SUMIFS(Expenses!$F$5:$F$604,Expenses!$P$5:$P$604,TEXT(DATE(YEAR(TodayDate),MONTH(TodayDate)-9,1),"yyyy-mm"),Expenses!$C$5:$C$604,"Insurance"),2)</f>
        <v>0</v>
      </c>
      <c r="E40" s="26">
        <f>ROUND(SUMIFS(Expenses!$F$5:$F$604,Expenses!$P$5:$P$604,TEXT(DATE(YEAR(TodayDate),MONTH(TodayDate)-8,1),"yyyy-mm"),Expenses!$C$5:$C$604,"Insurance"),2)</f>
        <v>0</v>
      </c>
      <c r="F40" s="26">
        <f>ROUND(SUMIFS(Expenses!$F$5:$F$604,Expenses!$P$5:$P$604,TEXT(DATE(YEAR(TodayDate),MONTH(TodayDate)-7,1),"yyyy-mm"),Expenses!$C$5:$C$604,"Insurance"),2)</f>
        <v>0</v>
      </c>
      <c r="G40" s="26">
        <f>ROUND(SUMIFS(Expenses!$F$5:$F$604,Expenses!$P$5:$P$604,TEXT(DATE(YEAR(TodayDate),MONTH(TodayDate)-6,1),"yyyy-mm"),Expenses!$C$5:$C$604,"Insurance"),2)</f>
        <v>0</v>
      </c>
      <c r="H40" s="26">
        <f>ROUND(SUMIFS(Expenses!$F$5:$F$604,Expenses!$P$5:$P$604,TEXT(DATE(YEAR(TodayDate),MONTH(TodayDate)-5,1),"yyyy-mm"),Expenses!$C$5:$C$604,"Insurance"),2)</f>
        <v>0</v>
      </c>
      <c r="I40" s="26">
        <f>ROUND(SUMIFS(Expenses!$F$5:$F$604,Expenses!$P$5:$P$604,TEXT(DATE(YEAR(TodayDate),MONTH(TodayDate)-4,1),"yyyy-mm"),Expenses!$C$5:$C$604,"Insurance"),2)</f>
        <v>0</v>
      </c>
      <c r="J40" s="26">
        <f>ROUND(SUMIFS(Expenses!$F$5:$F$604,Expenses!$P$5:$P$604,TEXT(DATE(YEAR(TodayDate),MONTH(TodayDate)-3,1),"yyyy-mm"),Expenses!$C$5:$C$604,"Insurance"),2)</f>
        <v>0</v>
      </c>
      <c r="K40" s="26">
        <f>ROUND(SUMIFS(Expenses!$F$5:$F$604,Expenses!$P$5:$P$604,TEXT(DATE(YEAR(TodayDate),MONTH(TodayDate)-2,1),"yyyy-mm"),Expenses!$C$5:$C$604,"Insurance"),2)</f>
        <v>0</v>
      </c>
      <c r="L40" s="26">
        <f>ROUND(SUMIFS(Expenses!$F$5:$F$604,Expenses!$P$5:$P$604,TEXT(DATE(YEAR(TodayDate),MONTH(TodayDate)-1,1),"yyyy-mm"),Expenses!$C$5:$C$604,"Insurance"),2)</f>
        <v>0</v>
      </c>
      <c r="M40" s="26">
        <f>ROUND(SUMIFS(Expenses!$F$5:$F$604,Expenses!$P$5:$P$604,TEXT(DATE(YEAR(TodayDate),MONTH(TodayDate)-0,1),"yyyy-mm"),Expenses!$C$5:$C$604,"Insurance"),2)</f>
        <v>0</v>
      </c>
      <c r="N40" s="26">
        <f>ROUND(B40+C40+D40+E40+F40+G40+H40+I40+J40+K40+L40+M40,2)</f>
        <v>0</v>
      </c>
      <c r="O40" s="27">
        <f>IF($N$13=0,"",N40/$N$13)</f>
        <v>0</v>
      </c>
    </row>
    <row r="41" spans="1:15">
      <c r="A41" s="13" t="s">
        <v>516</v>
      </c>
      <c r="B41" s="26">
        <f>ROUND(SUMIFS(Expenses!$F$5:$F$604,Expenses!$P$5:$P$604,TEXT(DATE(YEAR(TodayDate),MONTH(TodayDate)-11,1),"yyyy-mm"),Expenses!$C$5:$C$604,"Equipment"),2)</f>
        <v>0</v>
      </c>
      <c r="C41" s="26">
        <f>ROUND(SUMIFS(Expenses!$F$5:$F$604,Expenses!$P$5:$P$604,TEXT(DATE(YEAR(TodayDate),MONTH(TodayDate)-10,1),"yyyy-mm"),Expenses!$C$5:$C$604,"Equipment"),2)</f>
        <v>0</v>
      </c>
      <c r="D41" s="26">
        <f>ROUND(SUMIFS(Expenses!$F$5:$F$604,Expenses!$P$5:$P$604,TEXT(DATE(YEAR(TodayDate),MONTH(TodayDate)-9,1),"yyyy-mm"),Expenses!$C$5:$C$604,"Equipment"),2)</f>
        <v>0</v>
      </c>
      <c r="E41" s="26">
        <f>ROUND(SUMIFS(Expenses!$F$5:$F$604,Expenses!$P$5:$P$604,TEXT(DATE(YEAR(TodayDate),MONTH(TodayDate)-8,1),"yyyy-mm"),Expenses!$C$5:$C$604,"Equipment"),2)</f>
        <v>0</v>
      </c>
      <c r="F41" s="26">
        <f>ROUND(SUMIFS(Expenses!$F$5:$F$604,Expenses!$P$5:$P$604,TEXT(DATE(YEAR(TodayDate),MONTH(TodayDate)-7,1),"yyyy-mm"),Expenses!$C$5:$C$604,"Equipment"),2)</f>
        <v>0</v>
      </c>
      <c r="G41" s="26">
        <f>ROUND(SUMIFS(Expenses!$F$5:$F$604,Expenses!$P$5:$P$604,TEXT(DATE(YEAR(TodayDate),MONTH(TodayDate)-6,1),"yyyy-mm"),Expenses!$C$5:$C$604,"Equipment"),2)</f>
        <v>0</v>
      </c>
      <c r="H41" s="26">
        <f>ROUND(SUMIFS(Expenses!$F$5:$F$604,Expenses!$P$5:$P$604,TEXT(DATE(YEAR(TodayDate),MONTH(TodayDate)-5,1),"yyyy-mm"),Expenses!$C$5:$C$604,"Equipment"),2)</f>
        <v>0</v>
      </c>
      <c r="I41" s="26">
        <f>ROUND(SUMIFS(Expenses!$F$5:$F$604,Expenses!$P$5:$P$604,TEXT(DATE(YEAR(TodayDate),MONTH(TodayDate)-4,1),"yyyy-mm"),Expenses!$C$5:$C$604,"Equipment"),2)</f>
        <v>0</v>
      </c>
      <c r="J41" s="26">
        <f>ROUND(SUMIFS(Expenses!$F$5:$F$604,Expenses!$P$5:$P$604,TEXT(DATE(YEAR(TodayDate),MONTH(TodayDate)-3,1),"yyyy-mm"),Expenses!$C$5:$C$604,"Equipment"),2)</f>
        <v>0</v>
      </c>
      <c r="K41" s="26">
        <f>ROUND(SUMIFS(Expenses!$F$5:$F$604,Expenses!$P$5:$P$604,TEXT(DATE(YEAR(TodayDate),MONTH(TodayDate)-2,1),"yyyy-mm"),Expenses!$C$5:$C$604,"Equipment"),2)</f>
        <v>0</v>
      </c>
      <c r="L41" s="26">
        <f>ROUND(SUMIFS(Expenses!$F$5:$F$604,Expenses!$P$5:$P$604,TEXT(DATE(YEAR(TodayDate),MONTH(TodayDate)-1,1),"yyyy-mm"),Expenses!$C$5:$C$604,"Equipment"),2)</f>
        <v>0</v>
      </c>
      <c r="M41" s="26">
        <f>ROUND(SUMIFS(Expenses!$F$5:$F$604,Expenses!$P$5:$P$604,TEXT(DATE(YEAR(TodayDate),MONTH(TodayDate)-0,1),"yyyy-mm"),Expenses!$C$5:$C$604,"Equipment"),2)</f>
        <v>0</v>
      </c>
      <c r="N41" s="26">
        <f>ROUND(B41+C41+D41+E41+F41+G41+H41+I41+J41+K41+L41+M41,2)</f>
        <v>0</v>
      </c>
      <c r="O41" s="27">
        <f>IF($N$13=0,"",N41/$N$13)</f>
        <v>0</v>
      </c>
    </row>
    <row r="42" spans="1:15">
      <c r="A42" s="13" t="s">
        <v>517</v>
      </c>
      <c r="B42" s="26">
        <f>ROUND(SUMIFS(Expenses!$F$5:$F$604,Expenses!$P$5:$P$604,TEXT(DATE(YEAR(TodayDate),MONTH(TodayDate)-11,1),"yyyy-mm"),Expenses!$C$5:$C$604,"Repairs &amp; maintenance"),2)</f>
        <v>0</v>
      </c>
      <c r="C42" s="26">
        <f>ROUND(SUMIFS(Expenses!$F$5:$F$604,Expenses!$P$5:$P$604,TEXT(DATE(YEAR(TodayDate),MONTH(TodayDate)-10,1),"yyyy-mm"),Expenses!$C$5:$C$604,"Repairs &amp; maintenance"),2)</f>
        <v>0</v>
      </c>
      <c r="D42" s="26">
        <f>ROUND(SUMIFS(Expenses!$F$5:$F$604,Expenses!$P$5:$P$604,TEXT(DATE(YEAR(TodayDate),MONTH(TodayDate)-9,1),"yyyy-mm"),Expenses!$C$5:$C$604,"Repairs &amp; maintenance"),2)</f>
        <v>0</v>
      </c>
      <c r="E42" s="26">
        <f>ROUND(SUMIFS(Expenses!$F$5:$F$604,Expenses!$P$5:$P$604,TEXT(DATE(YEAR(TodayDate),MONTH(TodayDate)-8,1),"yyyy-mm"),Expenses!$C$5:$C$604,"Repairs &amp; maintenance"),2)</f>
        <v>0</v>
      </c>
      <c r="F42" s="26">
        <f>ROUND(SUMIFS(Expenses!$F$5:$F$604,Expenses!$P$5:$P$604,TEXT(DATE(YEAR(TodayDate),MONTH(TodayDate)-7,1),"yyyy-mm"),Expenses!$C$5:$C$604,"Repairs &amp; maintenance"),2)</f>
        <v>0</v>
      </c>
      <c r="G42" s="26">
        <f>ROUND(SUMIFS(Expenses!$F$5:$F$604,Expenses!$P$5:$P$604,TEXT(DATE(YEAR(TodayDate),MONTH(TodayDate)-6,1),"yyyy-mm"),Expenses!$C$5:$C$604,"Repairs &amp; maintenance"),2)</f>
        <v>0</v>
      </c>
      <c r="H42" s="26">
        <f>ROUND(SUMIFS(Expenses!$F$5:$F$604,Expenses!$P$5:$P$604,TEXT(DATE(YEAR(TodayDate),MONTH(TodayDate)-5,1),"yyyy-mm"),Expenses!$C$5:$C$604,"Repairs &amp; maintenance"),2)</f>
        <v>0</v>
      </c>
      <c r="I42" s="26">
        <f>ROUND(SUMIFS(Expenses!$F$5:$F$604,Expenses!$P$5:$P$604,TEXT(DATE(YEAR(TodayDate),MONTH(TodayDate)-4,1),"yyyy-mm"),Expenses!$C$5:$C$604,"Repairs &amp; maintenance"),2)</f>
        <v>0</v>
      </c>
      <c r="J42" s="26">
        <f>ROUND(SUMIFS(Expenses!$F$5:$F$604,Expenses!$P$5:$P$604,TEXT(DATE(YEAR(TodayDate),MONTH(TodayDate)-3,1),"yyyy-mm"),Expenses!$C$5:$C$604,"Repairs &amp; maintenance"),2)</f>
        <v>0</v>
      </c>
      <c r="K42" s="26">
        <f>ROUND(SUMIFS(Expenses!$F$5:$F$604,Expenses!$P$5:$P$604,TEXT(DATE(YEAR(TodayDate),MONTH(TodayDate)-2,1),"yyyy-mm"),Expenses!$C$5:$C$604,"Repairs &amp; maintenance"),2)</f>
        <v>0</v>
      </c>
      <c r="L42" s="26">
        <f>ROUND(SUMIFS(Expenses!$F$5:$F$604,Expenses!$P$5:$P$604,TEXT(DATE(YEAR(TodayDate),MONTH(TodayDate)-1,1),"yyyy-mm"),Expenses!$C$5:$C$604,"Repairs &amp; maintenance"),2)</f>
        <v>0</v>
      </c>
      <c r="M42" s="26">
        <f>ROUND(SUMIFS(Expenses!$F$5:$F$604,Expenses!$P$5:$P$604,TEXT(DATE(YEAR(TodayDate),MONTH(TodayDate)-0,1),"yyyy-mm"),Expenses!$C$5:$C$604,"Repairs &amp; maintenance"),2)</f>
        <v>0</v>
      </c>
      <c r="N42" s="26">
        <f>ROUND(B42+C42+D42+E42+F42+G42+H42+I42+J42+K42+L42+M42,2)</f>
        <v>0</v>
      </c>
      <c r="O42" s="27">
        <f>IF($N$13=0,"",N42/$N$13)</f>
        <v>0</v>
      </c>
    </row>
    <row r="43" spans="1:15">
      <c r="A43" s="13" t="s">
        <v>518</v>
      </c>
      <c r="B43" s="26">
        <f>ROUND(SUMIFS(Expenses!$F$5:$F$604,Expenses!$P$5:$P$604,TEXT(DATE(YEAR(TodayDate),MONTH(TodayDate)-11,1),"yyyy-mm"),Expenses!$C$5:$C$604,"Marketing &amp; advertising"),2)</f>
        <v>0</v>
      </c>
      <c r="C43" s="26">
        <f>ROUND(SUMIFS(Expenses!$F$5:$F$604,Expenses!$P$5:$P$604,TEXT(DATE(YEAR(TodayDate),MONTH(TodayDate)-10,1),"yyyy-mm"),Expenses!$C$5:$C$604,"Marketing &amp; advertising"),2)</f>
        <v>0</v>
      </c>
      <c r="D43" s="26">
        <f>ROUND(SUMIFS(Expenses!$F$5:$F$604,Expenses!$P$5:$P$604,TEXT(DATE(YEAR(TodayDate),MONTH(TodayDate)-9,1),"yyyy-mm"),Expenses!$C$5:$C$604,"Marketing &amp; advertising"),2)</f>
        <v>0</v>
      </c>
      <c r="E43" s="26">
        <f>ROUND(SUMIFS(Expenses!$F$5:$F$604,Expenses!$P$5:$P$604,TEXT(DATE(YEAR(TodayDate),MONTH(TodayDate)-8,1),"yyyy-mm"),Expenses!$C$5:$C$604,"Marketing &amp; advertising"),2)</f>
        <v>0</v>
      </c>
      <c r="F43" s="26">
        <f>ROUND(SUMIFS(Expenses!$F$5:$F$604,Expenses!$P$5:$P$604,TEXT(DATE(YEAR(TodayDate),MONTH(TodayDate)-7,1),"yyyy-mm"),Expenses!$C$5:$C$604,"Marketing &amp; advertising"),2)</f>
        <v>0</v>
      </c>
      <c r="G43" s="26">
        <f>ROUND(SUMIFS(Expenses!$F$5:$F$604,Expenses!$P$5:$P$604,TEXT(DATE(YEAR(TodayDate),MONTH(TodayDate)-6,1),"yyyy-mm"),Expenses!$C$5:$C$604,"Marketing &amp; advertising"),2)</f>
        <v>0</v>
      </c>
      <c r="H43" s="26">
        <f>ROUND(SUMIFS(Expenses!$F$5:$F$604,Expenses!$P$5:$P$604,TEXT(DATE(YEAR(TodayDate),MONTH(TodayDate)-5,1),"yyyy-mm"),Expenses!$C$5:$C$604,"Marketing &amp; advertising"),2)</f>
        <v>0</v>
      </c>
      <c r="I43" s="26">
        <f>ROUND(SUMIFS(Expenses!$F$5:$F$604,Expenses!$P$5:$P$604,TEXT(DATE(YEAR(TodayDate),MONTH(TodayDate)-4,1),"yyyy-mm"),Expenses!$C$5:$C$604,"Marketing &amp; advertising"),2)</f>
        <v>0</v>
      </c>
      <c r="J43" s="26">
        <f>ROUND(SUMIFS(Expenses!$F$5:$F$604,Expenses!$P$5:$P$604,TEXT(DATE(YEAR(TodayDate),MONTH(TodayDate)-3,1),"yyyy-mm"),Expenses!$C$5:$C$604,"Marketing &amp; advertising"),2)</f>
        <v>0</v>
      </c>
      <c r="K43" s="26">
        <f>ROUND(SUMIFS(Expenses!$F$5:$F$604,Expenses!$P$5:$P$604,TEXT(DATE(YEAR(TodayDate),MONTH(TodayDate)-2,1),"yyyy-mm"),Expenses!$C$5:$C$604,"Marketing &amp; advertising"),2)</f>
        <v>0</v>
      </c>
      <c r="L43" s="26">
        <f>ROUND(SUMIFS(Expenses!$F$5:$F$604,Expenses!$P$5:$P$604,TEXT(DATE(YEAR(TodayDate),MONTH(TodayDate)-1,1),"yyyy-mm"),Expenses!$C$5:$C$604,"Marketing &amp; advertising"),2)</f>
        <v>0</v>
      </c>
      <c r="M43" s="26">
        <f>ROUND(SUMIFS(Expenses!$F$5:$F$604,Expenses!$P$5:$P$604,TEXT(DATE(YEAR(TodayDate),MONTH(TodayDate)-0,1),"yyyy-mm"),Expenses!$C$5:$C$604,"Marketing &amp; advertising"),2)</f>
        <v>0</v>
      </c>
      <c r="N43" s="26">
        <f>ROUND(B43+C43+D43+E43+F43+G43+H43+I43+J43+K43+L43+M43,2)</f>
        <v>0</v>
      </c>
      <c r="O43" s="27">
        <f>IF($N$13=0,"",N43/$N$13)</f>
        <v>0</v>
      </c>
    </row>
    <row r="44" spans="1:15">
      <c r="A44" s="13" t="s">
        <v>519</v>
      </c>
      <c r="B44" s="26">
        <f>ROUND(SUMIFS(Expenses!$F$5:$F$604,Expenses!$P$5:$P$604,TEXT(DATE(YEAR(TodayDate),MONTH(TodayDate)-11,1),"yyyy-mm"),Expenses!$C$5:$C$604,"Software &amp; subscriptions"),2)</f>
        <v>0</v>
      </c>
      <c r="C44" s="26">
        <f>ROUND(SUMIFS(Expenses!$F$5:$F$604,Expenses!$P$5:$P$604,TEXT(DATE(YEAR(TodayDate),MONTH(TodayDate)-10,1),"yyyy-mm"),Expenses!$C$5:$C$604,"Software &amp; subscriptions"),2)</f>
        <v>0</v>
      </c>
      <c r="D44" s="26">
        <f>ROUND(SUMIFS(Expenses!$F$5:$F$604,Expenses!$P$5:$P$604,TEXT(DATE(YEAR(TodayDate),MONTH(TodayDate)-9,1),"yyyy-mm"),Expenses!$C$5:$C$604,"Software &amp; subscriptions"),2)</f>
        <v>0</v>
      </c>
      <c r="E44" s="26">
        <f>ROUND(SUMIFS(Expenses!$F$5:$F$604,Expenses!$P$5:$P$604,TEXT(DATE(YEAR(TodayDate),MONTH(TodayDate)-8,1),"yyyy-mm"),Expenses!$C$5:$C$604,"Software &amp; subscriptions"),2)</f>
        <v>0</v>
      </c>
      <c r="F44" s="26">
        <f>ROUND(SUMIFS(Expenses!$F$5:$F$604,Expenses!$P$5:$P$604,TEXT(DATE(YEAR(TodayDate),MONTH(TodayDate)-7,1),"yyyy-mm"),Expenses!$C$5:$C$604,"Software &amp; subscriptions"),2)</f>
        <v>0</v>
      </c>
      <c r="G44" s="26">
        <f>ROUND(SUMIFS(Expenses!$F$5:$F$604,Expenses!$P$5:$P$604,TEXT(DATE(YEAR(TodayDate),MONTH(TodayDate)-6,1),"yyyy-mm"),Expenses!$C$5:$C$604,"Software &amp; subscriptions"),2)</f>
        <v>0</v>
      </c>
      <c r="H44" s="26">
        <f>ROUND(SUMIFS(Expenses!$F$5:$F$604,Expenses!$P$5:$P$604,TEXT(DATE(YEAR(TodayDate),MONTH(TodayDate)-5,1),"yyyy-mm"),Expenses!$C$5:$C$604,"Software &amp; subscriptions"),2)</f>
        <v>0</v>
      </c>
      <c r="I44" s="26">
        <f>ROUND(SUMIFS(Expenses!$F$5:$F$604,Expenses!$P$5:$P$604,TEXT(DATE(YEAR(TodayDate),MONTH(TodayDate)-4,1),"yyyy-mm"),Expenses!$C$5:$C$604,"Software &amp; subscriptions"),2)</f>
        <v>0</v>
      </c>
      <c r="J44" s="26">
        <f>ROUND(SUMIFS(Expenses!$F$5:$F$604,Expenses!$P$5:$P$604,TEXT(DATE(YEAR(TodayDate),MONTH(TodayDate)-3,1),"yyyy-mm"),Expenses!$C$5:$C$604,"Software &amp; subscriptions"),2)</f>
        <v>0</v>
      </c>
      <c r="K44" s="26">
        <f>ROUND(SUMIFS(Expenses!$F$5:$F$604,Expenses!$P$5:$P$604,TEXT(DATE(YEAR(TodayDate),MONTH(TodayDate)-2,1),"yyyy-mm"),Expenses!$C$5:$C$604,"Software &amp; subscriptions"),2)</f>
        <v>0</v>
      </c>
      <c r="L44" s="26">
        <f>ROUND(SUMIFS(Expenses!$F$5:$F$604,Expenses!$P$5:$P$604,TEXT(DATE(YEAR(TodayDate),MONTH(TodayDate)-1,1),"yyyy-mm"),Expenses!$C$5:$C$604,"Software &amp; subscriptions"),2)</f>
        <v>0</v>
      </c>
      <c r="M44" s="26">
        <f>ROUND(SUMIFS(Expenses!$F$5:$F$604,Expenses!$P$5:$P$604,TEXT(DATE(YEAR(TodayDate),MONTH(TodayDate)-0,1),"yyyy-mm"),Expenses!$C$5:$C$604,"Software &amp; subscriptions"),2)</f>
        <v>0</v>
      </c>
      <c r="N44" s="26">
        <f>ROUND(B44+C44+D44+E44+F44+G44+H44+I44+J44+K44+L44+M44,2)</f>
        <v>0</v>
      </c>
      <c r="O44" s="27">
        <f>IF($N$13=0,"",N44/$N$13)</f>
        <v>0</v>
      </c>
    </row>
    <row r="45" spans="1:15">
      <c r="A45" s="13" t="s">
        <v>520</v>
      </c>
      <c r="B45" s="26">
        <f>ROUND(SUMIFS(Expenses!$F$5:$F$604,Expenses!$P$5:$P$604,TEXT(DATE(YEAR(TodayDate),MONTH(TodayDate)-11,1),"yyyy-mm"),Expenses!$C$5:$C$604,"Card processing fees"),2)</f>
        <v>0</v>
      </c>
      <c r="C45" s="26">
        <f>ROUND(SUMIFS(Expenses!$F$5:$F$604,Expenses!$P$5:$P$604,TEXT(DATE(YEAR(TodayDate),MONTH(TodayDate)-10,1),"yyyy-mm"),Expenses!$C$5:$C$604,"Card processing fees"),2)</f>
        <v>0</v>
      </c>
      <c r="D45" s="26">
        <f>ROUND(SUMIFS(Expenses!$F$5:$F$604,Expenses!$P$5:$P$604,TEXT(DATE(YEAR(TodayDate),MONTH(TodayDate)-9,1),"yyyy-mm"),Expenses!$C$5:$C$604,"Card processing fees"),2)</f>
        <v>0</v>
      </c>
      <c r="E45" s="26">
        <f>ROUND(SUMIFS(Expenses!$F$5:$F$604,Expenses!$P$5:$P$604,TEXT(DATE(YEAR(TodayDate),MONTH(TodayDate)-8,1),"yyyy-mm"),Expenses!$C$5:$C$604,"Card processing fees"),2)</f>
        <v>0</v>
      </c>
      <c r="F45" s="26">
        <f>ROUND(SUMIFS(Expenses!$F$5:$F$604,Expenses!$P$5:$P$604,TEXT(DATE(YEAR(TodayDate),MONTH(TodayDate)-7,1),"yyyy-mm"),Expenses!$C$5:$C$604,"Card processing fees"),2)</f>
        <v>0</v>
      </c>
      <c r="G45" s="26">
        <f>ROUND(SUMIFS(Expenses!$F$5:$F$604,Expenses!$P$5:$P$604,TEXT(DATE(YEAR(TodayDate),MONTH(TodayDate)-6,1),"yyyy-mm"),Expenses!$C$5:$C$604,"Card processing fees"),2)</f>
        <v>0</v>
      </c>
      <c r="H45" s="26">
        <f>ROUND(SUMIFS(Expenses!$F$5:$F$604,Expenses!$P$5:$P$604,TEXT(DATE(YEAR(TodayDate),MONTH(TodayDate)-5,1),"yyyy-mm"),Expenses!$C$5:$C$604,"Card processing fees"),2)</f>
        <v>0</v>
      </c>
      <c r="I45" s="26">
        <f>ROUND(SUMIFS(Expenses!$F$5:$F$604,Expenses!$P$5:$P$604,TEXT(DATE(YEAR(TodayDate),MONTH(TodayDate)-4,1),"yyyy-mm"),Expenses!$C$5:$C$604,"Card processing fees"),2)</f>
        <v>0</v>
      </c>
      <c r="J45" s="26">
        <f>ROUND(SUMIFS(Expenses!$F$5:$F$604,Expenses!$P$5:$P$604,TEXT(DATE(YEAR(TodayDate),MONTH(TodayDate)-3,1),"yyyy-mm"),Expenses!$C$5:$C$604,"Card processing fees"),2)</f>
        <v>0</v>
      </c>
      <c r="K45" s="26">
        <f>ROUND(SUMIFS(Expenses!$F$5:$F$604,Expenses!$P$5:$P$604,TEXT(DATE(YEAR(TodayDate),MONTH(TodayDate)-2,1),"yyyy-mm"),Expenses!$C$5:$C$604,"Card processing fees"),2)</f>
        <v>0</v>
      </c>
      <c r="L45" s="26">
        <f>ROUND(SUMIFS(Expenses!$F$5:$F$604,Expenses!$P$5:$P$604,TEXT(DATE(YEAR(TodayDate),MONTH(TodayDate)-1,1),"yyyy-mm"),Expenses!$C$5:$C$604,"Card processing fees"),2)</f>
        <v>0</v>
      </c>
      <c r="M45" s="26">
        <f>ROUND(SUMIFS(Expenses!$F$5:$F$604,Expenses!$P$5:$P$604,TEXT(DATE(YEAR(TodayDate),MONTH(TodayDate)-0,1),"yyyy-mm"),Expenses!$C$5:$C$604,"Card processing fees"),2)</f>
        <v>0</v>
      </c>
      <c r="N45" s="26">
        <f>ROUND(B45+C45+D45+E45+F45+G45+H45+I45+J45+K45+L45+M45,2)</f>
        <v>0</v>
      </c>
      <c r="O45" s="27">
        <f>IF($N$13=0,"",N45/$N$13)</f>
        <v>0</v>
      </c>
    </row>
    <row r="46" spans="1:15">
      <c r="A46" s="13" t="s">
        <v>521</v>
      </c>
      <c r="B46" s="26">
        <f>ROUND(SUMIFS(Expenses!$F$5:$F$604,Expenses!$P$5:$P$604,TEXT(DATE(YEAR(TodayDate),MONTH(TodayDate)-11,1),"yyyy-mm"),Expenses!$C$5:$C$604,"Laundry"),2)</f>
        <v>0</v>
      </c>
      <c r="C46" s="26">
        <f>ROUND(SUMIFS(Expenses!$F$5:$F$604,Expenses!$P$5:$P$604,TEXT(DATE(YEAR(TodayDate),MONTH(TodayDate)-10,1),"yyyy-mm"),Expenses!$C$5:$C$604,"Laundry"),2)</f>
        <v>0</v>
      </c>
      <c r="D46" s="26">
        <f>ROUND(SUMIFS(Expenses!$F$5:$F$604,Expenses!$P$5:$P$604,TEXT(DATE(YEAR(TodayDate),MONTH(TodayDate)-9,1),"yyyy-mm"),Expenses!$C$5:$C$604,"Laundry"),2)</f>
        <v>0</v>
      </c>
      <c r="E46" s="26">
        <f>ROUND(SUMIFS(Expenses!$F$5:$F$604,Expenses!$P$5:$P$604,TEXT(DATE(YEAR(TodayDate),MONTH(TodayDate)-8,1),"yyyy-mm"),Expenses!$C$5:$C$604,"Laundry"),2)</f>
        <v>0</v>
      </c>
      <c r="F46" s="26">
        <f>ROUND(SUMIFS(Expenses!$F$5:$F$604,Expenses!$P$5:$P$604,TEXT(DATE(YEAR(TodayDate),MONTH(TodayDate)-7,1),"yyyy-mm"),Expenses!$C$5:$C$604,"Laundry"),2)</f>
        <v>0</v>
      </c>
      <c r="G46" s="26">
        <f>ROUND(SUMIFS(Expenses!$F$5:$F$604,Expenses!$P$5:$P$604,TEXT(DATE(YEAR(TodayDate),MONTH(TodayDate)-6,1),"yyyy-mm"),Expenses!$C$5:$C$604,"Laundry"),2)</f>
        <v>0</v>
      </c>
      <c r="H46" s="26">
        <f>ROUND(SUMIFS(Expenses!$F$5:$F$604,Expenses!$P$5:$P$604,TEXT(DATE(YEAR(TodayDate),MONTH(TodayDate)-5,1),"yyyy-mm"),Expenses!$C$5:$C$604,"Laundry"),2)</f>
        <v>0</v>
      </c>
      <c r="I46" s="26">
        <f>ROUND(SUMIFS(Expenses!$F$5:$F$604,Expenses!$P$5:$P$604,TEXT(DATE(YEAR(TodayDate),MONTH(TodayDate)-4,1),"yyyy-mm"),Expenses!$C$5:$C$604,"Laundry"),2)</f>
        <v>0</v>
      </c>
      <c r="J46" s="26">
        <f>ROUND(SUMIFS(Expenses!$F$5:$F$604,Expenses!$P$5:$P$604,TEXT(DATE(YEAR(TodayDate),MONTH(TodayDate)-3,1),"yyyy-mm"),Expenses!$C$5:$C$604,"Laundry"),2)</f>
        <v>0</v>
      </c>
      <c r="K46" s="26">
        <f>ROUND(SUMIFS(Expenses!$F$5:$F$604,Expenses!$P$5:$P$604,TEXT(DATE(YEAR(TodayDate),MONTH(TodayDate)-2,1),"yyyy-mm"),Expenses!$C$5:$C$604,"Laundry"),2)</f>
        <v>0</v>
      </c>
      <c r="L46" s="26">
        <f>ROUND(SUMIFS(Expenses!$F$5:$F$604,Expenses!$P$5:$P$604,TEXT(DATE(YEAR(TodayDate),MONTH(TodayDate)-1,1),"yyyy-mm"),Expenses!$C$5:$C$604,"Laundry"),2)</f>
        <v>0</v>
      </c>
      <c r="M46" s="26">
        <f>ROUND(SUMIFS(Expenses!$F$5:$F$604,Expenses!$P$5:$P$604,TEXT(DATE(YEAR(TodayDate),MONTH(TodayDate)-0,1),"yyyy-mm"),Expenses!$C$5:$C$604,"Laundry"),2)</f>
        <v>0</v>
      </c>
      <c r="N46" s="26">
        <f>ROUND(B46+C46+D46+E46+F46+G46+H46+I46+J46+K46+L46+M46,2)</f>
        <v>0</v>
      </c>
      <c r="O46" s="27">
        <f>IF($N$13=0,"",N46/$N$13)</f>
        <v>0</v>
      </c>
    </row>
    <row r="47" spans="1:15">
      <c r="A47" s="13" t="s">
        <v>522</v>
      </c>
      <c r="B47" s="26">
        <f>ROUND(SUMIFS(Expenses!$F$5:$F$604,Expenses!$P$5:$P$604,TEXT(DATE(YEAR(TodayDate),MONTH(TodayDate)-11,1),"yyyy-mm"),Expenses!$C$5:$C$604,"Cleaning"),2)</f>
        <v>0</v>
      </c>
      <c r="C47" s="26">
        <f>ROUND(SUMIFS(Expenses!$F$5:$F$604,Expenses!$P$5:$P$604,TEXT(DATE(YEAR(TodayDate),MONTH(TodayDate)-10,1),"yyyy-mm"),Expenses!$C$5:$C$604,"Cleaning"),2)</f>
        <v>0</v>
      </c>
      <c r="D47" s="26">
        <f>ROUND(SUMIFS(Expenses!$F$5:$F$604,Expenses!$P$5:$P$604,TEXT(DATE(YEAR(TodayDate),MONTH(TodayDate)-9,1),"yyyy-mm"),Expenses!$C$5:$C$604,"Cleaning"),2)</f>
        <v>0</v>
      </c>
      <c r="E47" s="26">
        <f>ROUND(SUMIFS(Expenses!$F$5:$F$604,Expenses!$P$5:$P$604,TEXT(DATE(YEAR(TodayDate),MONTH(TodayDate)-8,1),"yyyy-mm"),Expenses!$C$5:$C$604,"Cleaning"),2)</f>
        <v>0</v>
      </c>
      <c r="F47" s="26">
        <f>ROUND(SUMIFS(Expenses!$F$5:$F$604,Expenses!$P$5:$P$604,TEXT(DATE(YEAR(TodayDate),MONTH(TodayDate)-7,1),"yyyy-mm"),Expenses!$C$5:$C$604,"Cleaning"),2)</f>
        <v>0</v>
      </c>
      <c r="G47" s="26">
        <f>ROUND(SUMIFS(Expenses!$F$5:$F$604,Expenses!$P$5:$P$604,TEXT(DATE(YEAR(TodayDate),MONTH(TodayDate)-6,1),"yyyy-mm"),Expenses!$C$5:$C$604,"Cleaning"),2)</f>
        <v>0</v>
      </c>
      <c r="H47" s="26">
        <f>ROUND(SUMIFS(Expenses!$F$5:$F$604,Expenses!$P$5:$P$604,TEXT(DATE(YEAR(TodayDate),MONTH(TodayDate)-5,1),"yyyy-mm"),Expenses!$C$5:$C$604,"Cleaning"),2)</f>
        <v>0</v>
      </c>
      <c r="I47" s="26">
        <f>ROUND(SUMIFS(Expenses!$F$5:$F$604,Expenses!$P$5:$P$604,TEXT(DATE(YEAR(TodayDate),MONTH(TodayDate)-4,1),"yyyy-mm"),Expenses!$C$5:$C$604,"Cleaning"),2)</f>
        <v>0</v>
      </c>
      <c r="J47" s="26">
        <f>ROUND(SUMIFS(Expenses!$F$5:$F$604,Expenses!$P$5:$P$604,TEXT(DATE(YEAR(TodayDate),MONTH(TodayDate)-3,1),"yyyy-mm"),Expenses!$C$5:$C$604,"Cleaning"),2)</f>
        <v>0</v>
      </c>
      <c r="K47" s="26">
        <f>ROUND(SUMIFS(Expenses!$F$5:$F$604,Expenses!$P$5:$P$604,TEXT(DATE(YEAR(TodayDate),MONTH(TodayDate)-2,1),"yyyy-mm"),Expenses!$C$5:$C$604,"Cleaning"),2)</f>
        <v>0</v>
      </c>
      <c r="L47" s="26">
        <f>ROUND(SUMIFS(Expenses!$F$5:$F$604,Expenses!$P$5:$P$604,TEXT(DATE(YEAR(TodayDate),MONTH(TodayDate)-1,1),"yyyy-mm"),Expenses!$C$5:$C$604,"Cleaning"),2)</f>
        <v>0</v>
      </c>
      <c r="M47" s="26">
        <f>ROUND(SUMIFS(Expenses!$F$5:$F$604,Expenses!$P$5:$P$604,TEXT(DATE(YEAR(TodayDate),MONTH(TodayDate)-0,1),"yyyy-mm"),Expenses!$C$5:$C$604,"Cleaning"),2)</f>
        <v>0</v>
      </c>
      <c r="N47" s="26">
        <f>ROUND(B47+C47+D47+E47+F47+G47+H47+I47+J47+K47+L47+M47,2)</f>
        <v>0</v>
      </c>
      <c r="O47" s="27">
        <f>IF($N$13=0,"",N47/$N$13)</f>
        <v>0</v>
      </c>
    </row>
    <row r="48" spans="1:15">
      <c r="A48" s="13" t="s">
        <v>523</v>
      </c>
      <c r="B48" s="26">
        <f>ROUND(SUMIFS(Expenses!$F$5:$F$604,Expenses!$P$5:$P$604,TEXT(DATE(YEAR(TodayDate),MONTH(TodayDate)-11,1),"yyyy-mm"),Expenses!$C$5:$C$604,"Training &amp; education"),2)</f>
        <v>0</v>
      </c>
      <c r="C48" s="26">
        <f>ROUND(SUMIFS(Expenses!$F$5:$F$604,Expenses!$P$5:$P$604,TEXT(DATE(YEAR(TodayDate),MONTH(TodayDate)-10,1),"yyyy-mm"),Expenses!$C$5:$C$604,"Training &amp; education"),2)</f>
        <v>0</v>
      </c>
      <c r="D48" s="26">
        <f>ROUND(SUMIFS(Expenses!$F$5:$F$604,Expenses!$P$5:$P$604,TEXT(DATE(YEAR(TodayDate),MONTH(TodayDate)-9,1),"yyyy-mm"),Expenses!$C$5:$C$604,"Training &amp; education"),2)</f>
        <v>0</v>
      </c>
      <c r="E48" s="26">
        <f>ROUND(SUMIFS(Expenses!$F$5:$F$604,Expenses!$P$5:$P$604,TEXT(DATE(YEAR(TodayDate),MONTH(TodayDate)-8,1),"yyyy-mm"),Expenses!$C$5:$C$604,"Training &amp; education"),2)</f>
        <v>0</v>
      </c>
      <c r="F48" s="26">
        <f>ROUND(SUMIFS(Expenses!$F$5:$F$604,Expenses!$P$5:$P$604,TEXT(DATE(YEAR(TodayDate),MONTH(TodayDate)-7,1),"yyyy-mm"),Expenses!$C$5:$C$604,"Training &amp; education"),2)</f>
        <v>0</v>
      </c>
      <c r="G48" s="26">
        <f>ROUND(SUMIFS(Expenses!$F$5:$F$604,Expenses!$P$5:$P$604,TEXT(DATE(YEAR(TodayDate),MONTH(TodayDate)-6,1),"yyyy-mm"),Expenses!$C$5:$C$604,"Training &amp; education"),2)</f>
        <v>0</v>
      </c>
      <c r="H48" s="26">
        <f>ROUND(SUMIFS(Expenses!$F$5:$F$604,Expenses!$P$5:$P$604,TEXT(DATE(YEAR(TodayDate),MONTH(TodayDate)-5,1),"yyyy-mm"),Expenses!$C$5:$C$604,"Training &amp; education"),2)</f>
        <v>0</v>
      </c>
      <c r="I48" s="26">
        <f>ROUND(SUMIFS(Expenses!$F$5:$F$604,Expenses!$P$5:$P$604,TEXT(DATE(YEAR(TodayDate),MONTH(TodayDate)-4,1),"yyyy-mm"),Expenses!$C$5:$C$604,"Training &amp; education"),2)</f>
        <v>0</v>
      </c>
      <c r="J48" s="26">
        <f>ROUND(SUMIFS(Expenses!$F$5:$F$604,Expenses!$P$5:$P$604,TEXT(DATE(YEAR(TodayDate),MONTH(TodayDate)-3,1),"yyyy-mm"),Expenses!$C$5:$C$604,"Training &amp; education"),2)</f>
        <v>0</v>
      </c>
      <c r="K48" s="26">
        <f>ROUND(SUMIFS(Expenses!$F$5:$F$604,Expenses!$P$5:$P$604,TEXT(DATE(YEAR(TodayDate),MONTH(TodayDate)-2,1),"yyyy-mm"),Expenses!$C$5:$C$604,"Training &amp; education"),2)</f>
        <v>0</v>
      </c>
      <c r="L48" s="26">
        <f>ROUND(SUMIFS(Expenses!$F$5:$F$604,Expenses!$P$5:$P$604,TEXT(DATE(YEAR(TodayDate),MONTH(TodayDate)-1,1),"yyyy-mm"),Expenses!$C$5:$C$604,"Training &amp; education"),2)</f>
        <v>0</v>
      </c>
      <c r="M48" s="26">
        <f>ROUND(SUMIFS(Expenses!$F$5:$F$604,Expenses!$P$5:$P$604,TEXT(DATE(YEAR(TodayDate),MONTH(TodayDate)-0,1),"yyyy-mm"),Expenses!$C$5:$C$604,"Training &amp; education"),2)</f>
        <v>0</v>
      </c>
      <c r="N48" s="26">
        <f>ROUND(B48+C48+D48+E48+F48+G48+H48+I48+J48+K48+L48+M48,2)</f>
        <v>0</v>
      </c>
      <c r="O48" s="27">
        <f>IF($N$13=0,"",N48/$N$13)</f>
        <v>0</v>
      </c>
    </row>
    <row r="49" spans="1:15">
      <c r="A49" s="13" t="s">
        <v>524</v>
      </c>
      <c r="B49" s="26">
        <f>ROUND(SUMIFS(Expenses!$F$5:$F$604,Expenses!$P$5:$P$604,TEXT(DATE(YEAR(TodayDate),MONTH(TodayDate)-11,1),"yyyy-mm"),Expenses!$C$5:$C$604,"Licences &amp; memberships"),2)</f>
        <v>0</v>
      </c>
      <c r="C49" s="26">
        <f>ROUND(SUMIFS(Expenses!$F$5:$F$604,Expenses!$P$5:$P$604,TEXT(DATE(YEAR(TodayDate),MONTH(TodayDate)-10,1),"yyyy-mm"),Expenses!$C$5:$C$604,"Licences &amp; memberships"),2)</f>
        <v>0</v>
      </c>
      <c r="D49" s="26">
        <f>ROUND(SUMIFS(Expenses!$F$5:$F$604,Expenses!$P$5:$P$604,TEXT(DATE(YEAR(TodayDate),MONTH(TodayDate)-9,1),"yyyy-mm"),Expenses!$C$5:$C$604,"Licences &amp; memberships"),2)</f>
        <v>0</v>
      </c>
      <c r="E49" s="26">
        <f>ROUND(SUMIFS(Expenses!$F$5:$F$604,Expenses!$P$5:$P$604,TEXT(DATE(YEAR(TodayDate),MONTH(TodayDate)-8,1),"yyyy-mm"),Expenses!$C$5:$C$604,"Licences &amp; memberships"),2)</f>
        <v>0</v>
      </c>
      <c r="F49" s="26">
        <f>ROUND(SUMIFS(Expenses!$F$5:$F$604,Expenses!$P$5:$P$604,TEXT(DATE(YEAR(TodayDate),MONTH(TodayDate)-7,1),"yyyy-mm"),Expenses!$C$5:$C$604,"Licences &amp; memberships"),2)</f>
        <v>0</v>
      </c>
      <c r="G49" s="26">
        <f>ROUND(SUMIFS(Expenses!$F$5:$F$604,Expenses!$P$5:$P$604,TEXT(DATE(YEAR(TodayDate),MONTH(TodayDate)-6,1),"yyyy-mm"),Expenses!$C$5:$C$604,"Licences &amp; memberships"),2)</f>
        <v>0</v>
      </c>
      <c r="H49" s="26">
        <f>ROUND(SUMIFS(Expenses!$F$5:$F$604,Expenses!$P$5:$P$604,TEXT(DATE(YEAR(TodayDate),MONTH(TodayDate)-5,1),"yyyy-mm"),Expenses!$C$5:$C$604,"Licences &amp; memberships"),2)</f>
        <v>0</v>
      </c>
      <c r="I49" s="26">
        <f>ROUND(SUMIFS(Expenses!$F$5:$F$604,Expenses!$P$5:$P$604,TEXT(DATE(YEAR(TodayDate),MONTH(TodayDate)-4,1),"yyyy-mm"),Expenses!$C$5:$C$604,"Licences &amp; memberships"),2)</f>
        <v>0</v>
      </c>
      <c r="J49" s="26">
        <f>ROUND(SUMIFS(Expenses!$F$5:$F$604,Expenses!$P$5:$P$604,TEXT(DATE(YEAR(TodayDate),MONTH(TodayDate)-3,1),"yyyy-mm"),Expenses!$C$5:$C$604,"Licences &amp; memberships"),2)</f>
        <v>0</v>
      </c>
      <c r="K49" s="26">
        <f>ROUND(SUMIFS(Expenses!$F$5:$F$604,Expenses!$P$5:$P$604,TEXT(DATE(YEAR(TodayDate),MONTH(TodayDate)-2,1),"yyyy-mm"),Expenses!$C$5:$C$604,"Licences &amp; memberships"),2)</f>
        <v>0</v>
      </c>
      <c r="L49" s="26">
        <f>ROUND(SUMIFS(Expenses!$F$5:$F$604,Expenses!$P$5:$P$604,TEXT(DATE(YEAR(TodayDate),MONTH(TodayDate)-1,1),"yyyy-mm"),Expenses!$C$5:$C$604,"Licences &amp; memberships"),2)</f>
        <v>0</v>
      </c>
      <c r="M49" s="26">
        <f>ROUND(SUMIFS(Expenses!$F$5:$F$604,Expenses!$P$5:$P$604,TEXT(DATE(YEAR(TodayDate),MONTH(TodayDate)-0,1),"yyyy-mm"),Expenses!$C$5:$C$604,"Licences &amp; memberships"),2)</f>
        <v>0</v>
      </c>
      <c r="N49" s="26">
        <f>ROUND(B49+C49+D49+E49+F49+G49+H49+I49+J49+K49+L49+M49,2)</f>
        <v>0</v>
      </c>
      <c r="O49" s="27">
        <f>IF($N$13=0,"",N49/$N$13)</f>
        <v>0</v>
      </c>
    </row>
    <row r="50" spans="1:15">
      <c r="A50" s="13" t="s">
        <v>525</v>
      </c>
      <c r="B50" s="26">
        <f>ROUND(SUMIFS(Expenses!$F$5:$F$604,Expenses!$P$5:$P$604,TEXT(DATE(YEAR(TodayDate),MONTH(TodayDate)-11,1),"yyyy-mm"),Expenses!$C$5:$C$604,"Accounting &amp; legal"),2)</f>
        <v>0</v>
      </c>
      <c r="C50" s="26">
        <f>ROUND(SUMIFS(Expenses!$F$5:$F$604,Expenses!$P$5:$P$604,TEXT(DATE(YEAR(TodayDate),MONTH(TodayDate)-10,1),"yyyy-mm"),Expenses!$C$5:$C$604,"Accounting &amp; legal"),2)</f>
        <v>0</v>
      </c>
      <c r="D50" s="26">
        <f>ROUND(SUMIFS(Expenses!$F$5:$F$604,Expenses!$P$5:$P$604,TEXT(DATE(YEAR(TodayDate),MONTH(TodayDate)-9,1),"yyyy-mm"),Expenses!$C$5:$C$604,"Accounting &amp; legal"),2)</f>
        <v>0</v>
      </c>
      <c r="E50" s="26">
        <f>ROUND(SUMIFS(Expenses!$F$5:$F$604,Expenses!$P$5:$P$604,TEXT(DATE(YEAR(TodayDate),MONTH(TodayDate)-8,1),"yyyy-mm"),Expenses!$C$5:$C$604,"Accounting &amp; legal"),2)</f>
        <v>0</v>
      </c>
      <c r="F50" s="26">
        <f>ROUND(SUMIFS(Expenses!$F$5:$F$604,Expenses!$P$5:$P$604,TEXT(DATE(YEAR(TodayDate),MONTH(TodayDate)-7,1),"yyyy-mm"),Expenses!$C$5:$C$604,"Accounting &amp; legal"),2)</f>
        <v>0</v>
      </c>
      <c r="G50" s="26">
        <f>ROUND(SUMIFS(Expenses!$F$5:$F$604,Expenses!$P$5:$P$604,TEXT(DATE(YEAR(TodayDate),MONTH(TodayDate)-6,1),"yyyy-mm"),Expenses!$C$5:$C$604,"Accounting &amp; legal"),2)</f>
        <v>0</v>
      </c>
      <c r="H50" s="26">
        <f>ROUND(SUMIFS(Expenses!$F$5:$F$604,Expenses!$P$5:$P$604,TEXT(DATE(YEAR(TodayDate),MONTH(TodayDate)-5,1),"yyyy-mm"),Expenses!$C$5:$C$604,"Accounting &amp; legal"),2)</f>
        <v>0</v>
      </c>
      <c r="I50" s="26">
        <f>ROUND(SUMIFS(Expenses!$F$5:$F$604,Expenses!$P$5:$P$604,TEXT(DATE(YEAR(TodayDate),MONTH(TodayDate)-4,1),"yyyy-mm"),Expenses!$C$5:$C$604,"Accounting &amp; legal"),2)</f>
        <v>0</v>
      </c>
      <c r="J50" s="26">
        <f>ROUND(SUMIFS(Expenses!$F$5:$F$604,Expenses!$P$5:$P$604,TEXT(DATE(YEAR(TodayDate),MONTH(TodayDate)-3,1),"yyyy-mm"),Expenses!$C$5:$C$604,"Accounting &amp; legal"),2)</f>
        <v>0</v>
      </c>
      <c r="K50" s="26">
        <f>ROUND(SUMIFS(Expenses!$F$5:$F$604,Expenses!$P$5:$P$604,TEXT(DATE(YEAR(TodayDate),MONTH(TodayDate)-2,1),"yyyy-mm"),Expenses!$C$5:$C$604,"Accounting &amp; legal"),2)</f>
        <v>0</v>
      </c>
      <c r="L50" s="26">
        <f>ROUND(SUMIFS(Expenses!$F$5:$F$604,Expenses!$P$5:$P$604,TEXT(DATE(YEAR(TodayDate),MONTH(TodayDate)-1,1),"yyyy-mm"),Expenses!$C$5:$C$604,"Accounting &amp; legal"),2)</f>
        <v>0</v>
      </c>
      <c r="M50" s="26">
        <f>ROUND(SUMIFS(Expenses!$F$5:$F$604,Expenses!$P$5:$P$604,TEXT(DATE(YEAR(TodayDate),MONTH(TodayDate)-0,1),"yyyy-mm"),Expenses!$C$5:$C$604,"Accounting &amp; legal"),2)</f>
        <v>0</v>
      </c>
      <c r="N50" s="26">
        <f>ROUND(B50+C50+D50+E50+F50+G50+H50+I50+J50+K50+L50+M50,2)</f>
        <v>0</v>
      </c>
      <c r="O50" s="27">
        <f>IF($N$13=0,"",N50/$N$13)</f>
        <v>0</v>
      </c>
    </row>
    <row r="51" spans="1:15">
      <c r="A51" s="13" t="s">
        <v>526</v>
      </c>
      <c r="B51" s="26">
        <f>ROUND(SUMIFS(Expenses!$F$5:$F$604,Expenses!$P$5:$P$604,TEXT(DATE(YEAR(TodayDate),MONTH(TodayDate)-11,1),"yyyy-mm"),Expenses!$C$5:$C$604,"Telephone &amp; internet"),2)</f>
        <v>0</v>
      </c>
      <c r="C51" s="26">
        <f>ROUND(SUMIFS(Expenses!$F$5:$F$604,Expenses!$P$5:$P$604,TEXT(DATE(YEAR(TodayDate),MONTH(TodayDate)-10,1),"yyyy-mm"),Expenses!$C$5:$C$604,"Telephone &amp; internet"),2)</f>
        <v>0</v>
      </c>
      <c r="D51" s="26">
        <f>ROUND(SUMIFS(Expenses!$F$5:$F$604,Expenses!$P$5:$P$604,TEXT(DATE(YEAR(TodayDate),MONTH(TodayDate)-9,1),"yyyy-mm"),Expenses!$C$5:$C$604,"Telephone &amp; internet"),2)</f>
        <v>0</v>
      </c>
      <c r="E51" s="26">
        <f>ROUND(SUMIFS(Expenses!$F$5:$F$604,Expenses!$P$5:$P$604,TEXT(DATE(YEAR(TodayDate),MONTH(TodayDate)-8,1),"yyyy-mm"),Expenses!$C$5:$C$604,"Telephone &amp; internet"),2)</f>
        <v>0</v>
      </c>
      <c r="F51" s="26">
        <f>ROUND(SUMIFS(Expenses!$F$5:$F$604,Expenses!$P$5:$P$604,TEXT(DATE(YEAR(TodayDate),MONTH(TodayDate)-7,1),"yyyy-mm"),Expenses!$C$5:$C$604,"Telephone &amp; internet"),2)</f>
        <v>0</v>
      </c>
      <c r="G51" s="26">
        <f>ROUND(SUMIFS(Expenses!$F$5:$F$604,Expenses!$P$5:$P$604,TEXT(DATE(YEAR(TodayDate),MONTH(TodayDate)-6,1),"yyyy-mm"),Expenses!$C$5:$C$604,"Telephone &amp; internet"),2)</f>
        <v>0</v>
      </c>
      <c r="H51" s="26">
        <f>ROUND(SUMIFS(Expenses!$F$5:$F$604,Expenses!$P$5:$P$604,TEXT(DATE(YEAR(TodayDate),MONTH(TodayDate)-5,1),"yyyy-mm"),Expenses!$C$5:$C$604,"Telephone &amp; internet"),2)</f>
        <v>0</v>
      </c>
      <c r="I51" s="26">
        <f>ROUND(SUMIFS(Expenses!$F$5:$F$604,Expenses!$P$5:$P$604,TEXT(DATE(YEAR(TodayDate),MONTH(TodayDate)-4,1),"yyyy-mm"),Expenses!$C$5:$C$604,"Telephone &amp; internet"),2)</f>
        <v>0</v>
      </c>
      <c r="J51" s="26">
        <f>ROUND(SUMIFS(Expenses!$F$5:$F$604,Expenses!$P$5:$P$604,TEXT(DATE(YEAR(TodayDate),MONTH(TodayDate)-3,1),"yyyy-mm"),Expenses!$C$5:$C$604,"Telephone &amp; internet"),2)</f>
        <v>0</v>
      </c>
      <c r="K51" s="26">
        <f>ROUND(SUMIFS(Expenses!$F$5:$F$604,Expenses!$P$5:$P$604,TEXT(DATE(YEAR(TodayDate),MONTH(TodayDate)-2,1),"yyyy-mm"),Expenses!$C$5:$C$604,"Telephone &amp; internet"),2)</f>
        <v>0</v>
      </c>
      <c r="L51" s="26">
        <f>ROUND(SUMIFS(Expenses!$F$5:$F$604,Expenses!$P$5:$P$604,TEXT(DATE(YEAR(TodayDate),MONTH(TodayDate)-1,1),"yyyy-mm"),Expenses!$C$5:$C$604,"Telephone &amp; internet"),2)</f>
        <v>0</v>
      </c>
      <c r="M51" s="26">
        <f>ROUND(SUMIFS(Expenses!$F$5:$F$604,Expenses!$P$5:$P$604,TEXT(DATE(YEAR(TodayDate),MONTH(TodayDate)-0,1),"yyyy-mm"),Expenses!$C$5:$C$604,"Telephone &amp; internet"),2)</f>
        <v>0</v>
      </c>
      <c r="N51" s="26">
        <f>ROUND(B51+C51+D51+E51+F51+G51+H51+I51+J51+K51+L51+M51,2)</f>
        <v>0</v>
      </c>
      <c r="O51" s="27">
        <f>IF($N$13=0,"",N51/$N$13)</f>
        <v>0</v>
      </c>
    </row>
    <row r="52" spans="1:15">
      <c r="A52" s="13" t="s">
        <v>527</v>
      </c>
      <c r="B52" s="26">
        <f>ROUND(SUMIFS(Expenses!$F$5:$F$604,Expenses!$P$5:$P$604,TEXT(DATE(YEAR(TodayDate),MONTH(TodayDate)-11,1),"yyyy-mm"),Expenses!$C$5:$C$604,"Travel &amp; parking"),2)</f>
        <v>0</v>
      </c>
      <c r="C52" s="26">
        <f>ROUND(SUMIFS(Expenses!$F$5:$F$604,Expenses!$P$5:$P$604,TEXT(DATE(YEAR(TodayDate),MONTH(TodayDate)-10,1),"yyyy-mm"),Expenses!$C$5:$C$604,"Travel &amp; parking"),2)</f>
        <v>0</v>
      </c>
      <c r="D52" s="26">
        <f>ROUND(SUMIFS(Expenses!$F$5:$F$604,Expenses!$P$5:$P$604,TEXT(DATE(YEAR(TodayDate),MONTH(TodayDate)-9,1),"yyyy-mm"),Expenses!$C$5:$C$604,"Travel &amp; parking"),2)</f>
        <v>0</v>
      </c>
      <c r="E52" s="26">
        <f>ROUND(SUMIFS(Expenses!$F$5:$F$604,Expenses!$P$5:$P$604,TEXT(DATE(YEAR(TodayDate),MONTH(TodayDate)-8,1),"yyyy-mm"),Expenses!$C$5:$C$604,"Travel &amp; parking"),2)</f>
        <v>0</v>
      </c>
      <c r="F52" s="26">
        <f>ROUND(SUMIFS(Expenses!$F$5:$F$604,Expenses!$P$5:$P$604,TEXT(DATE(YEAR(TodayDate),MONTH(TodayDate)-7,1),"yyyy-mm"),Expenses!$C$5:$C$604,"Travel &amp; parking"),2)</f>
        <v>0</v>
      </c>
      <c r="G52" s="26">
        <f>ROUND(SUMIFS(Expenses!$F$5:$F$604,Expenses!$P$5:$P$604,TEXT(DATE(YEAR(TodayDate),MONTH(TodayDate)-6,1),"yyyy-mm"),Expenses!$C$5:$C$604,"Travel &amp; parking"),2)</f>
        <v>0</v>
      </c>
      <c r="H52" s="26">
        <f>ROUND(SUMIFS(Expenses!$F$5:$F$604,Expenses!$P$5:$P$604,TEXT(DATE(YEAR(TodayDate),MONTH(TodayDate)-5,1),"yyyy-mm"),Expenses!$C$5:$C$604,"Travel &amp; parking"),2)</f>
        <v>0</v>
      </c>
      <c r="I52" s="26">
        <f>ROUND(SUMIFS(Expenses!$F$5:$F$604,Expenses!$P$5:$P$604,TEXT(DATE(YEAR(TodayDate),MONTH(TodayDate)-4,1),"yyyy-mm"),Expenses!$C$5:$C$604,"Travel &amp; parking"),2)</f>
        <v>0</v>
      </c>
      <c r="J52" s="26">
        <f>ROUND(SUMIFS(Expenses!$F$5:$F$604,Expenses!$P$5:$P$604,TEXT(DATE(YEAR(TodayDate),MONTH(TodayDate)-3,1),"yyyy-mm"),Expenses!$C$5:$C$604,"Travel &amp; parking"),2)</f>
        <v>0</v>
      </c>
      <c r="K52" s="26">
        <f>ROUND(SUMIFS(Expenses!$F$5:$F$604,Expenses!$P$5:$P$604,TEXT(DATE(YEAR(TodayDate),MONTH(TodayDate)-2,1),"yyyy-mm"),Expenses!$C$5:$C$604,"Travel &amp; parking"),2)</f>
        <v>0</v>
      </c>
      <c r="L52" s="26">
        <f>ROUND(SUMIFS(Expenses!$F$5:$F$604,Expenses!$P$5:$P$604,TEXT(DATE(YEAR(TodayDate),MONTH(TodayDate)-1,1),"yyyy-mm"),Expenses!$C$5:$C$604,"Travel &amp; parking"),2)</f>
        <v>0</v>
      </c>
      <c r="M52" s="26">
        <f>ROUND(SUMIFS(Expenses!$F$5:$F$604,Expenses!$P$5:$P$604,TEXT(DATE(YEAR(TodayDate),MONTH(TodayDate)-0,1),"yyyy-mm"),Expenses!$C$5:$C$604,"Travel &amp; parking"),2)</f>
        <v>0</v>
      </c>
      <c r="N52" s="26">
        <f>ROUND(B52+C52+D52+E52+F52+G52+H52+I52+J52+K52+L52+M52,2)</f>
        <v>0</v>
      </c>
      <c r="O52" s="27">
        <f>IF($N$13=0,"",N52/$N$13)</f>
        <v>0</v>
      </c>
    </row>
    <row r="53" spans="1:15">
      <c r="A53" s="13" t="s">
        <v>528</v>
      </c>
      <c r="B53" s="26">
        <f>ROUND(SUMIFS(Expenses!$F$5:$F$604,Expenses!$P$5:$P$604,TEXT(DATE(YEAR(TodayDate),MONTH(TodayDate)-11,1),"yyyy-mm"),Expenses!$C$5:$C$604,"Bank charges"),2)</f>
        <v>0</v>
      </c>
      <c r="C53" s="26">
        <f>ROUND(SUMIFS(Expenses!$F$5:$F$604,Expenses!$P$5:$P$604,TEXT(DATE(YEAR(TodayDate),MONTH(TodayDate)-10,1),"yyyy-mm"),Expenses!$C$5:$C$604,"Bank charges"),2)</f>
        <v>0</v>
      </c>
      <c r="D53" s="26">
        <f>ROUND(SUMIFS(Expenses!$F$5:$F$604,Expenses!$P$5:$P$604,TEXT(DATE(YEAR(TodayDate),MONTH(TodayDate)-9,1),"yyyy-mm"),Expenses!$C$5:$C$604,"Bank charges"),2)</f>
        <v>0</v>
      </c>
      <c r="E53" s="26">
        <f>ROUND(SUMIFS(Expenses!$F$5:$F$604,Expenses!$P$5:$P$604,TEXT(DATE(YEAR(TodayDate),MONTH(TodayDate)-8,1),"yyyy-mm"),Expenses!$C$5:$C$604,"Bank charges"),2)</f>
        <v>0</v>
      </c>
      <c r="F53" s="26">
        <f>ROUND(SUMIFS(Expenses!$F$5:$F$604,Expenses!$P$5:$P$604,TEXT(DATE(YEAR(TodayDate),MONTH(TodayDate)-7,1),"yyyy-mm"),Expenses!$C$5:$C$604,"Bank charges"),2)</f>
        <v>0</v>
      </c>
      <c r="G53" s="26">
        <f>ROUND(SUMIFS(Expenses!$F$5:$F$604,Expenses!$P$5:$P$604,TEXT(DATE(YEAR(TodayDate),MONTH(TodayDate)-6,1),"yyyy-mm"),Expenses!$C$5:$C$604,"Bank charges"),2)</f>
        <v>0</v>
      </c>
      <c r="H53" s="26">
        <f>ROUND(SUMIFS(Expenses!$F$5:$F$604,Expenses!$P$5:$P$604,TEXT(DATE(YEAR(TodayDate),MONTH(TodayDate)-5,1),"yyyy-mm"),Expenses!$C$5:$C$604,"Bank charges"),2)</f>
        <v>0</v>
      </c>
      <c r="I53" s="26">
        <f>ROUND(SUMIFS(Expenses!$F$5:$F$604,Expenses!$P$5:$P$604,TEXT(DATE(YEAR(TodayDate),MONTH(TodayDate)-4,1),"yyyy-mm"),Expenses!$C$5:$C$604,"Bank charges"),2)</f>
        <v>0</v>
      </c>
      <c r="J53" s="26">
        <f>ROUND(SUMIFS(Expenses!$F$5:$F$604,Expenses!$P$5:$P$604,TEXT(DATE(YEAR(TodayDate),MONTH(TodayDate)-3,1),"yyyy-mm"),Expenses!$C$5:$C$604,"Bank charges"),2)</f>
        <v>0</v>
      </c>
      <c r="K53" s="26">
        <f>ROUND(SUMIFS(Expenses!$F$5:$F$604,Expenses!$P$5:$P$604,TEXT(DATE(YEAR(TodayDate),MONTH(TodayDate)-2,1),"yyyy-mm"),Expenses!$C$5:$C$604,"Bank charges"),2)</f>
        <v>0</v>
      </c>
      <c r="L53" s="26">
        <f>ROUND(SUMIFS(Expenses!$F$5:$F$604,Expenses!$P$5:$P$604,TEXT(DATE(YEAR(TodayDate),MONTH(TodayDate)-1,1),"yyyy-mm"),Expenses!$C$5:$C$604,"Bank charges"),2)</f>
        <v>0</v>
      </c>
      <c r="M53" s="26">
        <f>ROUND(SUMIFS(Expenses!$F$5:$F$604,Expenses!$P$5:$P$604,TEXT(DATE(YEAR(TodayDate),MONTH(TodayDate)-0,1),"yyyy-mm"),Expenses!$C$5:$C$604,"Bank charges"),2)</f>
        <v>0</v>
      </c>
      <c r="N53" s="26">
        <f>ROUND(B53+C53+D53+E53+F53+G53+H53+I53+J53+K53+L53+M53,2)</f>
        <v>0</v>
      </c>
      <c r="O53" s="27">
        <f>IF($N$13=0,"",N53/$N$13)</f>
        <v>0</v>
      </c>
    </row>
    <row r="54" spans="1:15">
      <c r="A54" s="13" t="s">
        <v>529</v>
      </c>
      <c r="B54" s="26">
        <f>ROUND(SUMIFS(Expenses!$F$5:$F$604,Expenses!$P$5:$P$604,TEXT(DATE(YEAR(TodayDate),MONTH(TodayDate)-11,1),"yyyy-mm"),Expenses!$C$5:$C$604,"Loan repayment"),2)</f>
        <v>0</v>
      </c>
      <c r="C54" s="26">
        <f>ROUND(SUMIFS(Expenses!$F$5:$F$604,Expenses!$P$5:$P$604,TEXT(DATE(YEAR(TodayDate),MONTH(TodayDate)-10,1),"yyyy-mm"),Expenses!$C$5:$C$604,"Loan repayment"),2)</f>
        <v>0</v>
      </c>
      <c r="D54" s="26">
        <f>ROUND(SUMIFS(Expenses!$F$5:$F$604,Expenses!$P$5:$P$604,TEXT(DATE(YEAR(TodayDate),MONTH(TodayDate)-9,1),"yyyy-mm"),Expenses!$C$5:$C$604,"Loan repayment"),2)</f>
        <v>0</v>
      </c>
      <c r="E54" s="26">
        <f>ROUND(SUMIFS(Expenses!$F$5:$F$604,Expenses!$P$5:$P$604,TEXT(DATE(YEAR(TodayDate),MONTH(TodayDate)-8,1),"yyyy-mm"),Expenses!$C$5:$C$604,"Loan repayment"),2)</f>
        <v>0</v>
      </c>
      <c r="F54" s="26">
        <f>ROUND(SUMIFS(Expenses!$F$5:$F$604,Expenses!$P$5:$P$604,TEXT(DATE(YEAR(TodayDate),MONTH(TodayDate)-7,1),"yyyy-mm"),Expenses!$C$5:$C$604,"Loan repayment"),2)</f>
        <v>0</v>
      </c>
      <c r="G54" s="26">
        <f>ROUND(SUMIFS(Expenses!$F$5:$F$604,Expenses!$P$5:$P$604,TEXT(DATE(YEAR(TodayDate),MONTH(TodayDate)-6,1),"yyyy-mm"),Expenses!$C$5:$C$604,"Loan repayment"),2)</f>
        <v>0</v>
      </c>
      <c r="H54" s="26">
        <f>ROUND(SUMIFS(Expenses!$F$5:$F$604,Expenses!$P$5:$P$604,TEXT(DATE(YEAR(TodayDate),MONTH(TodayDate)-5,1),"yyyy-mm"),Expenses!$C$5:$C$604,"Loan repayment"),2)</f>
        <v>0</v>
      </c>
      <c r="I54" s="26">
        <f>ROUND(SUMIFS(Expenses!$F$5:$F$604,Expenses!$P$5:$P$604,TEXT(DATE(YEAR(TodayDate),MONTH(TodayDate)-4,1),"yyyy-mm"),Expenses!$C$5:$C$604,"Loan repayment"),2)</f>
        <v>0</v>
      </c>
      <c r="J54" s="26">
        <f>ROUND(SUMIFS(Expenses!$F$5:$F$604,Expenses!$P$5:$P$604,TEXT(DATE(YEAR(TodayDate),MONTH(TodayDate)-3,1),"yyyy-mm"),Expenses!$C$5:$C$604,"Loan repayment"),2)</f>
        <v>0</v>
      </c>
      <c r="K54" s="26">
        <f>ROUND(SUMIFS(Expenses!$F$5:$F$604,Expenses!$P$5:$P$604,TEXT(DATE(YEAR(TodayDate),MONTH(TodayDate)-2,1),"yyyy-mm"),Expenses!$C$5:$C$604,"Loan repayment"),2)</f>
        <v>0</v>
      </c>
      <c r="L54" s="26">
        <f>ROUND(SUMIFS(Expenses!$F$5:$F$604,Expenses!$P$5:$P$604,TEXT(DATE(YEAR(TodayDate),MONTH(TodayDate)-1,1),"yyyy-mm"),Expenses!$C$5:$C$604,"Loan repayment"),2)</f>
        <v>0</v>
      </c>
      <c r="M54" s="26">
        <f>ROUND(SUMIFS(Expenses!$F$5:$F$604,Expenses!$P$5:$P$604,TEXT(DATE(YEAR(TodayDate),MONTH(TodayDate)-0,1),"yyyy-mm"),Expenses!$C$5:$C$604,"Loan repayment"),2)</f>
        <v>0</v>
      </c>
      <c r="N54" s="26">
        <f>ROUND(B54+C54+D54+E54+F54+G54+H54+I54+J54+K54+L54+M54,2)</f>
        <v>0</v>
      </c>
      <c r="O54" s="27">
        <f>IF($N$13=0,"",N54/$N$13)</f>
        <v>0</v>
      </c>
    </row>
    <row r="55" spans="1:15">
      <c r="A55" s="13" t="s">
        <v>530</v>
      </c>
      <c r="B55" s="26">
        <f>ROUND(SUMIFS(Expenses!$F$5:$F$604,Expenses!$P$5:$P$604,TEXT(DATE(YEAR(TodayDate),MONTH(TodayDate)-11,1),"yyyy-mm"),Expenses!$C$5:$C$604,"Other"),2)</f>
        <v>0</v>
      </c>
      <c r="C55" s="26">
        <f>ROUND(SUMIFS(Expenses!$F$5:$F$604,Expenses!$P$5:$P$604,TEXT(DATE(YEAR(TodayDate),MONTH(TodayDate)-10,1),"yyyy-mm"),Expenses!$C$5:$C$604,"Other"),2)</f>
        <v>0</v>
      </c>
      <c r="D55" s="26">
        <f>ROUND(SUMIFS(Expenses!$F$5:$F$604,Expenses!$P$5:$P$604,TEXT(DATE(YEAR(TodayDate),MONTH(TodayDate)-9,1),"yyyy-mm"),Expenses!$C$5:$C$604,"Other"),2)</f>
        <v>0</v>
      </c>
      <c r="E55" s="26">
        <f>ROUND(SUMIFS(Expenses!$F$5:$F$604,Expenses!$P$5:$P$604,TEXT(DATE(YEAR(TodayDate),MONTH(TodayDate)-8,1),"yyyy-mm"),Expenses!$C$5:$C$604,"Other"),2)</f>
        <v>0</v>
      </c>
      <c r="F55" s="26">
        <f>ROUND(SUMIFS(Expenses!$F$5:$F$604,Expenses!$P$5:$P$604,TEXT(DATE(YEAR(TodayDate),MONTH(TodayDate)-7,1),"yyyy-mm"),Expenses!$C$5:$C$604,"Other"),2)</f>
        <v>0</v>
      </c>
      <c r="G55" s="26">
        <f>ROUND(SUMIFS(Expenses!$F$5:$F$604,Expenses!$P$5:$P$604,TEXT(DATE(YEAR(TodayDate),MONTH(TodayDate)-6,1),"yyyy-mm"),Expenses!$C$5:$C$604,"Other"),2)</f>
        <v>0</v>
      </c>
      <c r="H55" s="26">
        <f>ROUND(SUMIFS(Expenses!$F$5:$F$604,Expenses!$P$5:$P$604,TEXT(DATE(YEAR(TodayDate),MONTH(TodayDate)-5,1),"yyyy-mm"),Expenses!$C$5:$C$604,"Other"),2)</f>
        <v>0</v>
      </c>
      <c r="I55" s="26">
        <f>ROUND(SUMIFS(Expenses!$F$5:$F$604,Expenses!$P$5:$P$604,TEXT(DATE(YEAR(TodayDate),MONTH(TodayDate)-4,1),"yyyy-mm"),Expenses!$C$5:$C$604,"Other"),2)</f>
        <v>0</v>
      </c>
      <c r="J55" s="26">
        <f>ROUND(SUMIFS(Expenses!$F$5:$F$604,Expenses!$P$5:$P$604,TEXT(DATE(YEAR(TodayDate),MONTH(TodayDate)-3,1),"yyyy-mm"),Expenses!$C$5:$C$604,"Other"),2)</f>
        <v>0</v>
      </c>
      <c r="K55" s="26">
        <f>ROUND(SUMIFS(Expenses!$F$5:$F$604,Expenses!$P$5:$P$604,TEXT(DATE(YEAR(TodayDate),MONTH(TodayDate)-2,1),"yyyy-mm"),Expenses!$C$5:$C$604,"Other"),2)</f>
        <v>0</v>
      </c>
      <c r="L55" s="26">
        <f>ROUND(SUMIFS(Expenses!$F$5:$F$604,Expenses!$P$5:$P$604,TEXT(DATE(YEAR(TodayDate),MONTH(TodayDate)-1,1),"yyyy-mm"),Expenses!$C$5:$C$604,"Other"),2)</f>
        <v>0</v>
      </c>
      <c r="M55" s="26">
        <f>ROUND(SUMIFS(Expenses!$F$5:$F$604,Expenses!$P$5:$P$604,TEXT(DATE(YEAR(TodayDate),MONTH(TodayDate)-0,1),"yyyy-mm"),Expenses!$C$5:$C$604,"Other"),2)</f>
        <v>0</v>
      </c>
      <c r="N55" s="26">
        <f>ROUND(B55+C55+D55+E55+F55+G55+H55+I55+J55+K55+L55+M55,2)</f>
        <v>0</v>
      </c>
      <c r="O55" s="27">
        <f>IF($N$13=0,"",N55/$N$13)</f>
        <v>0</v>
      </c>
    </row>
    <row r="56" spans="1:15">
      <c r="A56" s="8" t="s">
        <v>531</v>
      </c>
      <c r="B56" s="26">
        <f>ROUND(SUM(B36:B55),2)</f>
        <v>0</v>
      </c>
      <c r="C56" s="26">
        <f>ROUND(SUM(C36:C55),2)</f>
        <v>0</v>
      </c>
      <c r="D56" s="26">
        <f>ROUND(SUM(D36:D55),2)</f>
        <v>0</v>
      </c>
      <c r="E56" s="26">
        <f>ROUND(SUM(E36:E55),2)</f>
        <v>0</v>
      </c>
      <c r="F56" s="26">
        <f>ROUND(SUM(F36:F55),2)</f>
        <v>0</v>
      </c>
      <c r="G56" s="26">
        <f>ROUND(SUM(G36:G55),2)</f>
        <v>0</v>
      </c>
      <c r="H56" s="26">
        <f>ROUND(SUM(H36:H55),2)</f>
        <v>0</v>
      </c>
      <c r="I56" s="26">
        <f>ROUND(SUM(I36:I55),2)</f>
        <v>0</v>
      </c>
      <c r="J56" s="26">
        <f>ROUND(SUM(J36:J55),2)</f>
        <v>0</v>
      </c>
      <c r="K56" s="26">
        <f>ROUND(SUM(K36:K55),2)</f>
        <v>0</v>
      </c>
      <c r="L56" s="26">
        <f>ROUND(SUM(L36:L55),2)</f>
        <v>0</v>
      </c>
      <c r="M56" s="26">
        <f>ROUND(SUM(M36:M55),2)</f>
        <v>0</v>
      </c>
      <c r="N56" s="26">
        <f>ROUND(B56+C56+D56+E56+F56+G56+H56+I56+J56+K56+L56+M56,2)</f>
        <v>0</v>
      </c>
      <c r="O56" s="27">
        <f>IF($N$13=0,"",N56/$N$13)</f>
        <v>0</v>
      </c>
    </row>
    <row r="58" spans="1:15" ht="20" customHeight="1">
      <c r="A58" s="7" t="s">
        <v>532</v>
      </c>
      <c r="B58" s="7"/>
      <c r="C58" s="7"/>
      <c r="D58" s="7"/>
      <c r="E58" s="7"/>
      <c r="F58" s="7"/>
      <c r="G58" s="7"/>
      <c r="H58" s="7"/>
      <c r="I58" s="7"/>
      <c r="J58" s="7"/>
      <c r="K58" s="7"/>
      <c r="L58" s="7"/>
      <c r="M58" s="7"/>
      <c r="N58" s="7"/>
      <c r="O58" s="7"/>
    </row>
    <row r="59" spans="1:15">
      <c r="A59" s="8" t="s">
        <v>86</v>
      </c>
      <c r="B59" s="26">
        <f>ROUND(B24-B32-B56,2)</f>
        <v>0</v>
      </c>
      <c r="C59" s="26">
        <f>ROUND(C24-C32-C56,2)</f>
        <v>0</v>
      </c>
      <c r="D59" s="26">
        <f>ROUND(D24-D32-D56,2)</f>
        <v>0</v>
      </c>
      <c r="E59" s="26">
        <f>ROUND(E24-E32-E56,2)</f>
        <v>0</v>
      </c>
      <c r="F59" s="26">
        <f>ROUND(F24-F32-F56,2)</f>
        <v>0</v>
      </c>
      <c r="G59" s="26">
        <f>ROUND(G24-G32-G56,2)</f>
        <v>0</v>
      </c>
      <c r="H59" s="26">
        <f>ROUND(H24-H32-H56,2)</f>
        <v>0</v>
      </c>
      <c r="I59" s="26">
        <f>ROUND(I24-I32-I56,2)</f>
        <v>0</v>
      </c>
      <c r="J59" s="26">
        <f>ROUND(J24-J32-J56,2)</f>
        <v>0</v>
      </c>
      <c r="K59" s="26">
        <f>ROUND(K24-K32-K56,2)</f>
        <v>0</v>
      </c>
      <c r="L59" s="26">
        <f>ROUND(L24-L32-L56,2)</f>
        <v>0</v>
      </c>
      <c r="M59" s="26">
        <f>ROUND(M24-M32-M56,2)</f>
        <v>0</v>
      </c>
      <c r="N59" s="26">
        <f>ROUND(B59+C59+D59+E59+F59+G59+H59+I59+J59+K59+L59+M59,2)</f>
        <v>0</v>
      </c>
      <c r="O59" s="27">
        <f>IF($N$13=0,"",N59/$N$13)</f>
        <v>0</v>
      </c>
    </row>
    <row r="60" spans="1:15">
      <c r="A60" s="8" t="s">
        <v>533</v>
      </c>
      <c r="B60" s="27">
        <f>IF(B13=0,"",B59/B13)</f>
        <v>0</v>
      </c>
      <c r="C60" s="27">
        <f>IF(C13=0,"",C59/C13)</f>
        <v>0</v>
      </c>
      <c r="D60" s="27">
        <f>IF(D13=0,"",D59/D13)</f>
        <v>0</v>
      </c>
      <c r="E60" s="27">
        <f>IF(E13=0,"",E59/E13)</f>
        <v>0</v>
      </c>
      <c r="F60" s="27">
        <f>IF(F13=0,"",F59/F13)</f>
        <v>0</v>
      </c>
      <c r="G60" s="27">
        <f>IF(G13=0,"",G59/G13)</f>
        <v>0</v>
      </c>
      <c r="H60" s="27">
        <f>IF(H13=0,"",H59/H13)</f>
        <v>0</v>
      </c>
      <c r="I60" s="27">
        <f>IF(I13=0,"",I59/I13)</f>
        <v>0</v>
      </c>
      <c r="J60" s="27">
        <f>IF(J13=0,"",J59/J13)</f>
        <v>0</v>
      </c>
      <c r="K60" s="27">
        <f>IF(K13=0,"",K59/K13)</f>
        <v>0</v>
      </c>
      <c r="L60" s="27">
        <f>IF(L13=0,"",L59/L13)</f>
        <v>0</v>
      </c>
      <c r="M60" s="27">
        <f>IF(M13=0,"",M59/M13)</f>
        <v>0</v>
      </c>
      <c r="N60" s="27">
        <f>IF($N$13=0,"",$N$59/$N$13)</f>
        <v>0</v>
      </c>
      <c r="O60" s="27"/>
    </row>
    <row r="61" spans="1:15">
      <c r="A61" s="13" t="s">
        <v>534</v>
      </c>
      <c r="B61" s="26">
        <f>ROUND(ProfitTargetMonth,2)</f>
        <v>0</v>
      </c>
      <c r="C61" s="26">
        <f>ROUND(ProfitTargetMonth,2)</f>
        <v>0</v>
      </c>
      <c r="D61" s="26">
        <f>ROUND(ProfitTargetMonth,2)</f>
        <v>0</v>
      </c>
      <c r="E61" s="26">
        <f>ROUND(ProfitTargetMonth,2)</f>
        <v>0</v>
      </c>
      <c r="F61" s="26">
        <f>ROUND(ProfitTargetMonth,2)</f>
        <v>0</v>
      </c>
      <c r="G61" s="26">
        <f>ROUND(ProfitTargetMonth,2)</f>
        <v>0</v>
      </c>
      <c r="H61" s="26">
        <f>ROUND(ProfitTargetMonth,2)</f>
        <v>0</v>
      </c>
      <c r="I61" s="26">
        <f>ROUND(ProfitTargetMonth,2)</f>
        <v>0</v>
      </c>
      <c r="J61" s="26">
        <f>ROUND(ProfitTargetMonth,2)</f>
        <v>0</v>
      </c>
      <c r="K61" s="26">
        <f>ROUND(ProfitTargetMonth,2)</f>
        <v>0</v>
      </c>
      <c r="L61" s="26">
        <f>ROUND(ProfitTargetMonth,2)</f>
        <v>0</v>
      </c>
      <c r="M61" s="26">
        <f>ROUND(ProfitTargetMonth,2)</f>
        <v>0</v>
      </c>
      <c r="N61" s="26">
        <f>ROUND(B61+C61+D61+E61+F61+G61+H61+I61+J61+K61+L61+M61,2)</f>
        <v>0</v>
      </c>
      <c r="O61" s="27"/>
    </row>
    <row r="62" spans="1:15">
      <c r="A62" s="8" t="s">
        <v>127</v>
      </c>
      <c r="B62" s="26">
        <f>ROUND(B59-B61,2)</f>
        <v>0</v>
      </c>
      <c r="C62" s="26">
        <f>ROUND(C59-C61,2)</f>
        <v>0</v>
      </c>
      <c r="D62" s="26">
        <f>ROUND(D59-D61,2)</f>
        <v>0</v>
      </c>
      <c r="E62" s="26">
        <f>ROUND(E59-E61,2)</f>
        <v>0</v>
      </c>
      <c r="F62" s="26">
        <f>ROUND(F59-F61,2)</f>
        <v>0</v>
      </c>
      <c r="G62" s="26">
        <f>ROUND(G59-G61,2)</f>
        <v>0</v>
      </c>
      <c r="H62" s="26">
        <f>ROUND(H59-H61,2)</f>
        <v>0</v>
      </c>
      <c r="I62" s="26">
        <f>ROUND(I59-I61,2)</f>
        <v>0</v>
      </c>
      <c r="J62" s="26">
        <f>ROUND(J59-J61,2)</f>
        <v>0</v>
      </c>
      <c r="K62" s="26">
        <f>ROUND(K59-K61,2)</f>
        <v>0</v>
      </c>
      <c r="L62" s="26">
        <f>ROUND(L59-L61,2)</f>
        <v>0</v>
      </c>
      <c r="M62" s="26">
        <f>ROUND(M59-M61,2)</f>
        <v>0</v>
      </c>
      <c r="N62" s="26">
        <f>ROUND(B62+C62+D62+E62+F62+G62+H62+I62+J62+K62+L62+M62,2)</f>
        <v>0</v>
      </c>
      <c r="O62" s="27"/>
    </row>
    <row r="64" spans="1:15">
      <c r="C64" s="9" t="s">
        <v>535</v>
      </c>
      <c r="D64" s="9"/>
      <c r="E64" s="9"/>
      <c r="F64" s="9"/>
    </row>
    <row r="66" spans="1:15" ht="36" customHeight="1">
      <c r="A66" s="6" t="s">
        <v>536</v>
      </c>
      <c r="B66" s="6"/>
      <c r="C66" s="6"/>
      <c r="D66" s="6"/>
      <c r="E66" s="6"/>
      <c r="F66" s="6"/>
      <c r="G66" s="6"/>
      <c r="H66" s="6"/>
      <c r="I66" s="6"/>
      <c r="J66" s="6"/>
      <c r="K66" s="6"/>
      <c r="L66" s="6"/>
      <c r="M66" s="6"/>
      <c r="N66" s="6"/>
      <c r="O66" s="6"/>
    </row>
  </sheetData>
  <sheetProtection password="EC7C" sheet="1" objects="1" scenarios="1" formatCells="0" formatColumns="0" formatRows="0" insertRows="0" insertHyperlinks="0" deleteRows="0" autoFilter="0"/>
  <mergeCells count="19">
    <mergeCell ref="A1:L1"/>
    <mergeCell ref="M1:O1"/>
    <mergeCell ref="A2:O2"/>
    <mergeCell ref="A3:B3"/>
    <mergeCell ref="C3:D3"/>
    <mergeCell ref="E3:F3"/>
    <mergeCell ref="G3:H3"/>
    <mergeCell ref="I3:J3"/>
    <mergeCell ref="K3:L3"/>
    <mergeCell ref="M3:N3"/>
    <mergeCell ref="A5:O5"/>
    <mergeCell ref="A8:O8"/>
    <mergeCell ref="A14:O14"/>
    <mergeCell ref="A20:O20"/>
    <mergeCell ref="A27:O27"/>
    <mergeCell ref="A35:O35"/>
    <mergeCell ref="A58:O58"/>
    <mergeCell ref="C64:F64"/>
    <mergeCell ref="A66:O66"/>
  </mergeCells>
  <conditionalFormatting sqref="B13:M13">
    <cfRule type="dataBar" priority="4">
      <dataBar>
        <cfvo type="min" val="0"/>
        <cfvo type="max" val="0"/>
        <color rgb="FF9A5C86"/>
      </dataBar>
    </cfRule>
  </conditionalFormatting>
  <conditionalFormatting sqref="B59:N59">
    <cfRule type="cellIs" dxfId="2" priority="3" operator="lessThan">
      <formula>0</formula>
    </cfRule>
  </conditionalFormatting>
  <conditionalFormatting sqref="B62:N62">
    <cfRule type="cellIs" dxfId="2" priority="1" operator="lessThan">
      <formula>0</formula>
    </cfRule>
    <cfRule type="cellIs" dxfId="1" priority="2" operator="greaterThanOrEqual">
      <formula>0</formula>
    </cfRule>
  </conditionalFormatting>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s>
  <pageMargins left="0.4" right="0.4" top="0.6" bottom="0.5" header="0.3" footer="0.3"/>
  <pageSetup paperSize="9" fitToHeight="0" orientation="landscape"/>
  <headerFooter>
    <oddHeader>&amp;L&amp;"Calibri,Bold"&amp;12&amp;C&amp;"Calibri,Bold"&amp;11Profit &amp; Loss&amp;R&amp;"Calibri,Italic"&amp;9Salon Business Management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negative="1">
          <x14:colorSeries rgb="FFC08A5E"/>
          <x14:colorNegative theme="5"/>
          <x14:colorAxis rgb="FF000000"/>
          <x14:colorMarkers theme="4" tint="-0.499984740745262"/>
          <x14:colorFirst theme="4" tint="0.39997558519241921"/>
          <x14:colorLast theme="4" tint="0.39997558519241921"/>
          <x14:colorHigh theme="4"/>
          <x14:colorLow theme="4"/>
          <x14:sparklines>
            <x14:sparkline>
              <xm:f>'Profit &amp; Loss'!B59:M59</xm:f>
              <xm:sqref>B64</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sheetPr>
    <tabColor rgb="FFC08A5E"/>
    <pageSetUpPr fitToPage="1"/>
  </sheetPr>
  <dimension ref="A1:AJ3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28" customWidth="1"/>
    <col min="2" max="2" width="28.7109375" style="34" customWidth="1"/>
    <col min="3" max="3" width="16.7109375" style="34" customWidth="1"/>
    <col min="4" max="4" width="24.7109375" style="34" customWidth="1"/>
    <col min="5" max="5" width="10.7109375" style="34" customWidth="1"/>
    <col min="6" max="6" width="15.7109375" style="34" customWidth="1"/>
    <col min="7" max="7" width="20.7109375" style="34" customWidth="1"/>
    <col min="8" max="8" width="11.7109375" style="33" customWidth="1"/>
    <col min="9" max="9" width="11.7109375" style="33" customWidth="1"/>
    <col min="10" max="10" width="12.7109375" style="43" customWidth="1"/>
    <col min="11" max="11" width="13.7109375" style="43" customWidth="1"/>
    <col min="12" max="12" width="9.7109375" style="43" customWidth="1"/>
    <col min="13" max="13" width="11.7109375" style="43" customWidth="1"/>
    <col min="14" max="14" width="11.7109375" style="43" customWidth="1"/>
    <col min="15" max="15" width="12.7109375" style="43" customWidth="1"/>
    <col min="16" max="16" width="12.7109375" style="29" customWidth="1"/>
    <col min="17" max="17" width="11.7109375" style="29" customWidth="1"/>
    <col min="18" max="18" width="13.7109375" style="41" customWidth="1"/>
    <col min="19" max="19" width="22.7109375" style="35" customWidth="1"/>
    <col min="20" max="20" width="10.7109375" style="37" customWidth="1"/>
    <col min="21" max="21" width="9.7109375" style="37" customWidth="1"/>
    <col min="22" max="22" width="12.7109375" style="37" customWidth="1"/>
    <col min="23" max="23" width="11.7109375" style="37" hidden="1" customWidth="1"/>
    <col min="24" max="24" width="10.7109375" style="37" customWidth="1"/>
    <col min="25" max="25" width="11.7109375" style="37" hidden="1" customWidth="1"/>
    <col min="26" max="26" width="12.7109375" style="39" customWidth="1"/>
    <col min="27" max="27" width="12.7109375" style="37" customWidth="1"/>
    <col min="28" max="28" width="12.7109375" style="26" customWidth="1"/>
    <col min="29" max="29" width="12.7109375" style="26" hidden="1" customWidth="1"/>
    <col min="30" max="30" width="9.7109375" style="27" customWidth="1"/>
    <col min="31" max="31" width="11.7109375" style="26" hidden="1" customWidth="1"/>
    <col min="32" max="32" width="12.7109375" style="26" customWidth="1"/>
    <col min="33" max="33" width="12.7109375" style="26" customWidth="1"/>
    <col min="34" max="34" width="11.7109375" style="26" hidden="1" customWidth="1"/>
    <col min="35" max="35" width="9.7109375" style="25" hidden="1" customWidth="1"/>
    <col min="36" max="36" width="28.7109375" style="39" customWidth="1"/>
  </cols>
  <sheetData>
    <row r="1" spans="1:36" ht="34" customHeight="1">
      <c r="A1" s="2" t="s">
        <v>537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t="s">
        <v>1</v>
      </c>
      <c r="AI1" s="3"/>
      <c r="AJ1" s="3"/>
    </row>
    <row r="2" spans="1:36" ht="18" customHeight="1">
      <c r="A2" s="4" t="s">
        <v>538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row>
    <row r="3" spans="1:36"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539</v>
      </c>
      <c r="T3" s="40"/>
      <c r="U3" s="40"/>
      <c r="V3" s="40"/>
      <c r="W3" s="40"/>
      <c r="X3" s="40"/>
      <c r="Y3" s="40"/>
      <c r="Z3" s="40"/>
      <c r="AA3" s="40"/>
      <c r="AB3" s="40"/>
      <c r="AC3" s="40"/>
      <c r="AD3" s="40"/>
      <c r="AE3" s="40"/>
      <c r="AF3" s="40"/>
      <c r="AG3" s="40"/>
      <c r="AH3" s="40"/>
      <c r="AI3" s="40"/>
      <c r="AJ3" s="40"/>
    </row>
    <row r="4" spans="1:36" ht="30" customHeight="1">
      <c r="A4" s="10" t="s">
        <v>211</v>
      </c>
      <c r="B4" s="10" t="s">
        <v>540</v>
      </c>
      <c r="C4" s="11" t="s">
        <v>541</v>
      </c>
      <c r="D4" s="11" t="s">
        <v>300</v>
      </c>
      <c r="E4" s="11" t="s">
        <v>542</v>
      </c>
      <c r="F4" s="11" t="s">
        <v>543</v>
      </c>
      <c r="G4" s="11" t="s">
        <v>544</v>
      </c>
      <c r="H4" s="11" t="s">
        <v>545</v>
      </c>
      <c r="I4" s="11" t="s">
        <v>546</v>
      </c>
      <c r="J4" s="11" t="s">
        <v>547</v>
      </c>
      <c r="K4" s="11" t="s">
        <v>548</v>
      </c>
      <c r="L4" s="11" t="s">
        <v>549</v>
      </c>
      <c r="M4" s="11" t="s">
        <v>425</v>
      </c>
      <c r="N4" s="11" t="s">
        <v>550</v>
      </c>
      <c r="O4" s="11" t="s">
        <v>551</v>
      </c>
      <c r="P4" s="11" t="s">
        <v>552</v>
      </c>
      <c r="Q4" s="11" t="s">
        <v>553</v>
      </c>
      <c r="R4" s="11" t="s">
        <v>554</v>
      </c>
      <c r="S4" s="11" t="s">
        <v>225</v>
      </c>
      <c r="T4" s="11" t="s">
        <v>555</v>
      </c>
      <c r="U4" s="11" t="s">
        <v>317</v>
      </c>
      <c r="V4" s="11" t="s">
        <v>100</v>
      </c>
      <c r="W4" s="11" t="s">
        <v>556</v>
      </c>
      <c r="X4" s="11" t="s">
        <v>557</v>
      </c>
      <c r="Y4" s="11" t="s">
        <v>558</v>
      </c>
      <c r="Z4" s="11" t="s">
        <v>559</v>
      </c>
      <c r="AA4" s="11" t="s">
        <v>560</v>
      </c>
      <c r="AB4" s="11" t="s">
        <v>561</v>
      </c>
      <c r="AC4" s="11" t="s">
        <v>562</v>
      </c>
      <c r="AD4" s="11" t="s">
        <v>196</v>
      </c>
      <c r="AE4" s="11" t="s">
        <v>563</v>
      </c>
      <c r="AF4" s="11" t="s">
        <v>314</v>
      </c>
      <c r="AG4" s="11" t="s">
        <v>564</v>
      </c>
      <c r="AH4" s="11" t="s">
        <v>565</v>
      </c>
      <c r="AI4" s="11" t="s">
        <v>566</v>
      </c>
      <c r="AJ4" s="11" t="s">
        <v>242</v>
      </c>
    </row>
    <row r="5" spans="1:36">
      <c r="A5" s="28">
        <f>IF(B5="","",ProductPrefix&amp;TEXT(ROW()-4,"000"))</f>
        <v>0</v>
      </c>
      <c r="T5" s="37">
        <f>IF(B5="","",ROUND(SUMIFS(Purchases!$U$5:$U$304,Purchases!$D$5:$D$304,A5),2))</f>
        <v>0</v>
      </c>
      <c r="U5" s="37">
        <f>IF(B5="","",ROUND(SUMIFS(Sales!$T$5:$T$1204,Sales!$I$5:$I$1204,A5,Sales!$H$5:$H$1204,"Retail"),2))</f>
        <v>0</v>
      </c>
      <c r="V5" s="37">
        <f>IF(B5="","",ROUND(IF(J5="",0,J5)+T5-IF(K5="",0,K5)-U5-IF(L5="",0,L5)+IF(M5="",0,M5),2))</f>
        <v>0</v>
      </c>
      <c r="W5" s="37">
        <f>IF(B5="","",ROUND((U5+IF(K5="",0,K5))/MAX(4,TrackingWeeks),2))</f>
        <v>0</v>
      </c>
      <c r="X5" s="37">
        <f>IF(B5="","",IF(W5&lt;=0,"",ROUND(V5/W5,1)))</f>
        <v>0</v>
      </c>
      <c r="Y5" s="37">
        <f>IF(B5="","",IF(N5&lt;&gt;"",N5,ROUND(W5*StockWarningWeeks,1)))</f>
        <v>0</v>
      </c>
      <c r="Z5" s="39">
        <f>IF(B5="","",IF(V5&lt;=0,"Out of stock",IF(V5&lt;=Y5,"Low stock",IF(R5="No","Backbar","In stock"))))</f>
        <v>0</v>
      </c>
      <c r="AA5" s="37">
        <f>IF(B5="","",IF(Z5="In stock","",IF(Z5="Backbar",IF(V5&lt;=Y5,MAX(1,IF(O5="",ROUND(W5*ReorderWeeks,0),O5)),""),MAX(1,IF(O5="",ROUND(W5*ReorderWeeks,0),O5)))))</f>
        <v>0</v>
      </c>
      <c r="AB5" s="26">
        <f>IF(B5="","",ROUND(V5*IF(H5="",0,H5),2))</f>
        <v>0</v>
      </c>
      <c r="AC5" s="26">
        <f>IF(B5="","",ROUND(V5*IF(I5="",0,I5),2))</f>
        <v>0</v>
      </c>
      <c r="AD5" s="27">
        <f>IF(B5="","",IF(IF(I5="",0,I5)=0,"",(I5-IF(H5="",0,H5))/I5))</f>
        <v>0</v>
      </c>
      <c r="AE5" s="26">
        <f>IF(B5="","",IF(H5="","",H5*RetailMarkup))</f>
        <v>0</v>
      </c>
      <c r="AF5" s="26">
        <f>IF(B5="","",IF(AE5="","",ROUND(IF(RoundingRule="None",AE5,IF(RoundingRule="Nearest 0.99",MAX(0.99,CEILING(AE5,1)-0.01),IF(RoundingRule="Nearest 0.95",MAX(0.95,CEILING(AE5,1)-0.05),IF(RoundingRule="Nearest 0.50",CEILING(AE5,0.5),IF(RoundingRule="Nearest 1",CEILING(AE5,1),IF(RoundingRule="Nearest 5",CEILING(AE5,5),IF(RoundingRule="Up to whole 1",CEILING(AE5,1),IF(RoundingRule="Up to whole 5",CEILING(AE5,5),ROUND(AE5,2))))))))),2)))</f>
        <v>0</v>
      </c>
      <c r="AG5" s="26">
        <f>IF(B5="","",ROUND(SUMIFS(Sales!$Y$5:$Y$1204,Sales!$I$5:$I$1204,A5,Sales!$H$5:$H$1204,"Retail"),2))</f>
        <v>0</v>
      </c>
      <c r="AH5" s="26">
        <f>IF(B5="","",ROUND(AG5-U5*IF(H5="",0,H5),2))</f>
        <v>0</v>
      </c>
      <c r="AI5" s="25">
        <f>IF(B5="","",COUNTIFS($AG$5:$AG$304,"&gt;"&amp;AG5)+COUNTIFS($AG$5:AG5,AG5))</f>
        <v>0</v>
      </c>
      <c r="AJ5" s="39">
        <f>IF(B5="","",IF(H5="","Add - no cost, no stock value",IF(Z5="Out of stock","Out of stock - order today",IF(Z5="Low stock","Order - running low",IF(IF(Q5="",FALSE,Q5&lt;=TodayDate+30),"Check - expiring within a month",IF(IF(R5="Yes",AD5&lt;0.25,FALSE),"Below - thin margin for a retail line",IF(IF(P5="",TRUE,TodayDate-P5&gt;90),"Due - not counted in three months","OK")))))))</f>
        <v>0</v>
      </c>
    </row>
    <row r="6" spans="1:36">
      <c r="A6" s="28">
        <f>IF(B6="","",ProductPrefix&amp;TEXT(ROW()-4,"000"))</f>
        <v>0</v>
      </c>
      <c r="T6" s="37">
        <f>IF(B6="","",ROUND(SUMIFS(Purchases!$U$5:$U$304,Purchases!$D$5:$D$304,A6),2))</f>
        <v>0</v>
      </c>
      <c r="U6" s="37">
        <f>IF(B6="","",ROUND(SUMIFS(Sales!$T$5:$T$1204,Sales!$I$5:$I$1204,A6,Sales!$H$5:$H$1204,"Retail"),2))</f>
        <v>0</v>
      </c>
      <c r="V6" s="37">
        <f>IF(B6="","",ROUND(IF(J6="",0,J6)+T6-IF(K6="",0,K6)-U6-IF(L6="",0,L6)+IF(M6="",0,M6),2))</f>
        <v>0</v>
      </c>
      <c r="W6" s="37">
        <f>IF(B6="","",ROUND((U6+IF(K6="",0,K6))/MAX(4,TrackingWeeks),2))</f>
        <v>0</v>
      </c>
      <c r="X6" s="37">
        <f>IF(B6="","",IF(W6&lt;=0,"",ROUND(V6/W6,1)))</f>
        <v>0</v>
      </c>
      <c r="Y6" s="37">
        <f>IF(B6="","",IF(N6&lt;&gt;"",N6,ROUND(W6*StockWarningWeeks,1)))</f>
        <v>0</v>
      </c>
      <c r="Z6" s="39">
        <f>IF(B6="","",IF(V6&lt;=0,"Out of stock",IF(V6&lt;=Y6,"Low stock",IF(R6="No","Backbar","In stock"))))</f>
        <v>0</v>
      </c>
      <c r="AA6" s="37">
        <f>IF(B6="","",IF(Z6="In stock","",IF(Z6="Backbar",IF(V6&lt;=Y6,MAX(1,IF(O6="",ROUND(W6*ReorderWeeks,0),O6)),""),MAX(1,IF(O6="",ROUND(W6*ReorderWeeks,0),O6)))))</f>
        <v>0</v>
      </c>
      <c r="AB6" s="26">
        <f>IF(B6="","",ROUND(V6*IF(H6="",0,H6),2))</f>
        <v>0</v>
      </c>
      <c r="AC6" s="26">
        <f>IF(B6="","",ROUND(V6*IF(I6="",0,I6),2))</f>
        <v>0</v>
      </c>
      <c r="AD6" s="27">
        <f>IF(B6="","",IF(IF(I6="",0,I6)=0,"",(I6-IF(H6="",0,H6))/I6))</f>
        <v>0</v>
      </c>
      <c r="AE6" s="26">
        <f>IF(B6="","",IF(H6="","",H6*RetailMarkup))</f>
        <v>0</v>
      </c>
      <c r="AF6" s="26">
        <f>IF(B6="","",IF(AE6="","",ROUND(IF(RoundingRule="None",AE6,IF(RoundingRule="Nearest 0.99",MAX(0.99,CEILING(AE6,1)-0.01),IF(RoundingRule="Nearest 0.95",MAX(0.95,CEILING(AE6,1)-0.05),IF(RoundingRule="Nearest 0.50",CEILING(AE6,0.5),IF(RoundingRule="Nearest 1",CEILING(AE6,1),IF(RoundingRule="Nearest 5",CEILING(AE6,5),IF(RoundingRule="Up to whole 1",CEILING(AE6,1),IF(RoundingRule="Up to whole 5",CEILING(AE6,5),ROUND(AE6,2))))))))),2)))</f>
        <v>0</v>
      </c>
      <c r="AG6" s="26">
        <f>IF(B6="","",ROUND(SUMIFS(Sales!$Y$5:$Y$1204,Sales!$I$5:$I$1204,A6,Sales!$H$5:$H$1204,"Retail"),2))</f>
        <v>0</v>
      </c>
      <c r="AH6" s="26">
        <f>IF(B6="","",ROUND(AG6-U6*IF(H6="",0,H6),2))</f>
        <v>0</v>
      </c>
      <c r="AI6" s="25">
        <f>IF(B6="","",COUNTIFS($AG$5:$AG$304,"&gt;"&amp;AG6)+COUNTIFS($AG$5:AG6,AG6))</f>
        <v>0</v>
      </c>
      <c r="AJ6" s="39">
        <f>IF(B6="","",IF(H6="","Add - no cost, no stock value",IF(Z6="Out of stock","Out of stock - order today",IF(Z6="Low stock","Order - running low",IF(IF(Q6="",FALSE,Q6&lt;=TodayDate+30),"Check - expiring within a month",IF(IF(R6="Yes",AD6&lt;0.25,FALSE),"Below - thin margin for a retail line",IF(IF(P6="",TRUE,TodayDate-P6&gt;90),"Due - not counted in three months","OK")))))))</f>
        <v>0</v>
      </c>
    </row>
    <row r="7" spans="1:36">
      <c r="A7" s="28">
        <f>IF(B7="","",ProductPrefix&amp;TEXT(ROW()-4,"000"))</f>
        <v>0</v>
      </c>
      <c r="T7" s="37">
        <f>IF(B7="","",ROUND(SUMIFS(Purchases!$U$5:$U$304,Purchases!$D$5:$D$304,A7),2))</f>
        <v>0</v>
      </c>
      <c r="U7" s="37">
        <f>IF(B7="","",ROUND(SUMIFS(Sales!$T$5:$T$1204,Sales!$I$5:$I$1204,A7,Sales!$H$5:$H$1204,"Retail"),2))</f>
        <v>0</v>
      </c>
      <c r="V7" s="37">
        <f>IF(B7="","",ROUND(IF(J7="",0,J7)+T7-IF(K7="",0,K7)-U7-IF(L7="",0,L7)+IF(M7="",0,M7),2))</f>
        <v>0</v>
      </c>
      <c r="W7" s="37">
        <f>IF(B7="","",ROUND((U7+IF(K7="",0,K7))/MAX(4,TrackingWeeks),2))</f>
        <v>0</v>
      </c>
      <c r="X7" s="37">
        <f>IF(B7="","",IF(W7&lt;=0,"",ROUND(V7/W7,1)))</f>
        <v>0</v>
      </c>
      <c r="Y7" s="37">
        <f>IF(B7="","",IF(N7&lt;&gt;"",N7,ROUND(W7*StockWarningWeeks,1)))</f>
        <v>0</v>
      </c>
      <c r="Z7" s="39">
        <f>IF(B7="","",IF(V7&lt;=0,"Out of stock",IF(V7&lt;=Y7,"Low stock",IF(R7="No","Backbar","In stock"))))</f>
        <v>0</v>
      </c>
      <c r="AA7" s="37">
        <f>IF(B7="","",IF(Z7="In stock","",IF(Z7="Backbar",IF(V7&lt;=Y7,MAX(1,IF(O7="",ROUND(W7*ReorderWeeks,0),O7)),""),MAX(1,IF(O7="",ROUND(W7*ReorderWeeks,0),O7)))))</f>
        <v>0</v>
      </c>
      <c r="AB7" s="26">
        <f>IF(B7="","",ROUND(V7*IF(H7="",0,H7),2))</f>
        <v>0</v>
      </c>
      <c r="AC7" s="26">
        <f>IF(B7="","",ROUND(V7*IF(I7="",0,I7),2))</f>
        <v>0</v>
      </c>
      <c r="AD7" s="27">
        <f>IF(B7="","",IF(IF(I7="",0,I7)=0,"",(I7-IF(H7="",0,H7))/I7))</f>
        <v>0</v>
      </c>
      <c r="AE7" s="26">
        <f>IF(B7="","",IF(H7="","",H7*RetailMarkup))</f>
        <v>0</v>
      </c>
      <c r="AF7" s="26">
        <f>IF(B7="","",IF(AE7="","",ROUND(IF(RoundingRule="None",AE7,IF(RoundingRule="Nearest 0.99",MAX(0.99,CEILING(AE7,1)-0.01),IF(RoundingRule="Nearest 0.95",MAX(0.95,CEILING(AE7,1)-0.05),IF(RoundingRule="Nearest 0.50",CEILING(AE7,0.5),IF(RoundingRule="Nearest 1",CEILING(AE7,1),IF(RoundingRule="Nearest 5",CEILING(AE7,5),IF(RoundingRule="Up to whole 1",CEILING(AE7,1),IF(RoundingRule="Up to whole 5",CEILING(AE7,5),ROUND(AE7,2))))))))),2)))</f>
        <v>0</v>
      </c>
      <c r="AG7" s="26">
        <f>IF(B7="","",ROUND(SUMIFS(Sales!$Y$5:$Y$1204,Sales!$I$5:$I$1204,A7,Sales!$H$5:$H$1204,"Retail"),2))</f>
        <v>0</v>
      </c>
      <c r="AH7" s="26">
        <f>IF(B7="","",ROUND(AG7-U7*IF(H7="",0,H7),2))</f>
        <v>0</v>
      </c>
      <c r="AI7" s="25">
        <f>IF(B7="","",COUNTIFS($AG$5:$AG$304,"&gt;"&amp;AG7)+COUNTIFS($AG$5:AG7,AG7))</f>
        <v>0</v>
      </c>
      <c r="AJ7" s="39">
        <f>IF(B7="","",IF(H7="","Add - no cost, no stock value",IF(Z7="Out of stock","Out of stock - order today",IF(Z7="Low stock","Order - running low",IF(IF(Q7="",FALSE,Q7&lt;=TodayDate+30),"Check - expiring within a month",IF(IF(R7="Yes",AD7&lt;0.25,FALSE),"Below - thin margin for a retail line",IF(IF(P7="",TRUE,TodayDate-P7&gt;90),"Due - not counted in three months","OK")))))))</f>
        <v>0</v>
      </c>
    </row>
    <row r="8" spans="1:36">
      <c r="A8" s="28">
        <f>IF(B8="","",ProductPrefix&amp;TEXT(ROW()-4,"000"))</f>
        <v>0</v>
      </c>
      <c r="T8" s="37">
        <f>IF(B8="","",ROUND(SUMIFS(Purchases!$U$5:$U$304,Purchases!$D$5:$D$304,A8),2))</f>
        <v>0</v>
      </c>
      <c r="U8" s="37">
        <f>IF(B8="","",ROUND(SUMIFS(Sales!$T$5:$T$1204,Sales!$I$5:$I$1204,A8,Sales!$H$5:$H$1204,"Retail"),2))</f>
        <v>0</v>
      </c>
      <c r="V8" s="37">
        <f>IF(B8="","",ROUND(IF(J8="",0,J8)+T8-IF(K8="",0,K8)-U8-IF(L8="",0,L8)+IF(M8="",0,M8),2))</f>
        <v>0</v>
      </c>
      <c r="W8" s="37">
        <f>IF(B8="","",ROUND((U8+IF(K8="",0,K8))/MAX(4,TrackingWeeks),2))</f>
        <v>0</v>
      </c>
      <c r="X8" s="37">
        <f>IF(B8="","",IF(W8&lt;=0,"",ROUND(V8/W8,1)))</f>
        <v>0</v>
      </c>
      <c r="Y8" s="37">
        <f>IF(B8="","",IF(N8&lt;&gt;"",N8,ROUND(W8*StockWarningWeeks,1)))</f>
        <v>0</v>
      </c>
      <c r="Z8" s="39">
        <f>IF(B8="","",IF(V8&lt;=0,"Out of stock",IF(V8&lt;=Y8,"Low stock",IF(R8="No","Backbar","In stock"))))</f>
        <v>0</v>
      </c>
      <c r="AA8" s="37">
        <f>IF(B8="","",IF(Z8="In stock","",IF(Z8="Backbar",IF(V8&lt;=Y8,MAX(1,IF(O8="",ROUND(W8*ReorderWeeks,0),O8)),""),MAX(1,IF(O8="",ROUND(W8*ReorderWeeks,0),O8)))))</f>
        <v>0</v>
      </c>
      <c r="AB8" s="26">
        <f>IF(B8="","",ROUND(V8*IF(H8="",0,H8),2))</f>
        <v>0</v>
      </c>
      <c r="AC8" s="26">
        <f>IF(B8="","",ROUND(V8*IF(I8="",0,I8),2))</f>
        <v>0</v>
      </c>
      <c r="AD8" s="27">
        <f>IF(B8="","",IF(IF(I8="",0,I8)=0,"",(I8-IF(H8="",0,H8))/I8))</f>
        <v>0</v>
      </c>
      <c r="AE8" s="26">
        <f>IF(B8="","",IF(H8="","",H8*RetailMarkup))</f>
        <v>0</v>
      </c>
      <c r="AF8" s="26">
        <f>IF(B8="","",IF(AE8="","",ROUND(IF(RoundingRule="None",AE8,IF(RoundingRule="Nearest 0.99",MAX(0.99,CEILING(AE8,1)-0.01),IF(RoundingRule="Nearest 0.95",MAX(0.95,CEILING(AE8,1)-0.05),IF(RoundingRule="Nearest 0.50",CEILING(AE8,0.5),IF(RoundingRule="Nearest 1",CEILING(AE8,1),IF(RoundingRule="Nearest 5",CEILING(AE8,5),IF(RoundingRule="Up to whole 1",CEILING(AE8,1),IF(RoundingRule="Up to whole 5",CEILING(AE8,5),ROUND(AE8,2))))))))),2)))</f>
        <v>0</v>
      </c>
      <c r="AG8" s="26">
        <f>IF(B8="","",ROUND(SUMIFS(Sales!$Y$5:$Y$1204,Sales!$I$5:$I$1204,A8,Sales!$H$5:$H$1204,"Retail"),2))</f>
        <v>0</v>
      </c>
      <c r="AH8" s="26">
        <f>IF(B8="","",ROUND(AG8-U8*IF(H8="",0,H8),2))</f>
        <v>0</v>
      </c>
      <c r="AI8" s="25">
        <f>IF(B8="","",COUNTIFS($AG$5:$AG$304,"&gt;"&amp;AG8)+COUNTIFS($AG$5:AG8,AG8))</f>
        <v>0</v>
      </c>
      <c r="AJ8" s="39">
        <f>IF(B8="","",IF(H8="","Add - no cost, no stock value",IF(Z8="Out of stock","Out of stock - order today",IF(Z8="Low stock","Order - running low",IF(IF(Q8="",FALSE,Q8&lt;=TodayDate+30),"Check - expiring within a month",IF(IF(R8="Yes",AD8&lt;0.25,FALSE),"Below - thin margin for a retail line",IF(IF(P8="",TRUE,TodayDate-P8&gt;90),"Due - not counted in three months","OK")))))))</f>
        <v>0</v>
      </c>
    </row>
    <row r="9" spans="1:36">
      <c r="A9" s="28">
        <f>IF(B9="","",ProductPrefix&amp;TEXT(ROW()-4,"000"))</f>
        <v>0</v>
      </c>
      <c r="T9" s="37">
        <f>IF(B9="","",ROUND(SUMIFS(Purchases!$U$5:$U$304,Purchases!$D$5:$D$304,A9),2))</f>
        <v>0</v>
      </c>
      <c r="U9" s="37">
        <f>IF(B9="","",ROUND(SUMIFS(Sales!$T$5:$T$1204,Sales!$I$5:$I$1204,A9,Sales!$H$5:$H$1204,"Retail"),2))</f>
        <v>0</v>
      </c>
      <c r="V9" s="37">
        <f>IF(B9="","",ROUND(IF(J9="",0,J9)+T9-IF(K9="",0,K9)-U9-IF(L9="",0,L9)+IF(M9="",0,M9),2))</f>
        <v>0</v>
      </c>
      <c r="W9" s="37">
        <f>IF(B9="","",ROUND((U9+IF(K9="",0,K9))/MAX(4,TrackingWeeks),2))</f>
        <v>0</v>
      </c>
      <c r="X9" s="37">
        <f>IF(B9="","",IF(W9&lt;=0,"",ROUND(V9/W9,1)))</f>
        <v>0</v>
      </c>
      <c r="Y9" s="37">
        <f>IF(B9="","",IF(N9&lt;&gt;"",N9,ROUND(W9*StockWarningWeeks,1)))</f>
        <v>0</v>
      </c>
      <c r="Z9" s="39">
        <f>IF(B9="","",IF(V9&lt;=0,"Out of stock",IF(V9&lt;=Y9,"Low stock",IF(R9="No","Backbar","In stock"))))</f>
        <v>0</v>
      </c>
      <c r="AA9" s="37">
        <f>IF(B9="","",IF(Z9="In stock","",IF(Z9="Backbar",IF(V9&lt;=Y9,MAX(1,IF(O9="",ROUND(W9*ReorderWeeks,0),O9)),""),MAX(1,IF(O9="",ROUND(W9*ReorderWeeks,0),O9)))))</f>
        <v>0</v>
      </c>
      <c r="AB9" s="26">
        <f>IF(B9="","",ROUND(V9*IF(H9="",0,H9),2))</f>
        <v>0</v>
      </c>
      <c r="AC9" s="26">
        <f>IF(B9="","",ROUND(V9*IF(I9="",0,I9),2))</f>
        <v>0</v>
      </c>
      <c r="AD9" s="27">
        <f>IF(B9="","",IF(IF(I9="",0,I9)=0,"",(I9-IF(H9="",0,H9))/I9))</f>
        <v>0</v>
      </c>
      <c r="AE9" s="26">
        <f>IF(B9="","",IF(H9="","",H9*RetailMarkup))</f>
        <v>0</v>
      </c>
      <c r="AF9" s="26">
        <f>IF(B9="","",IF(AE9="","",ROUND(IF(RoundingRule="None",AE9,IF(RoundingRule="Nearest 0.99",MAX(0.99,CEILING(AE9,1)-0.01),IF(RoundingRule="Nearest 0.95",MAX(0.95,CEILING(AE9,1)-0.05),IF(RoundingRule="Nearest 0.50",CEILING(AE9,0.5),IF(RoundingRule="Nearest 1",CEILING(AE9,1),IF(RoundingRule="Nearest 5",CEILING(AE9,5),IF(RoundingRule="Up to whole 1",CEILING(AE9,1),IF(RoundingRule="Up to whole 5",CEILING(AE9,5),ROUND(AE9,2))))))))),2)))</f>
        <v>0</v>
      </c>
      <c r="AG9" s="26">
        <f>IF(B9="","",ROUND(SUMIFS(Sales!$Y$5:$Y$1204,Sales!$I$5:$I$1204,A9,Sales!$H$5:$H$1204,"Retail"),2))</f>
        <v>0</v>
      </c>
      <c r="AH9" s="26">
        <f>IF(B9="","",ROUND(AG9-U9*IF(H9="",0,H9),2))</f>
        <v>0</v>
      </c>
      <c r="AI9" s="25">
        <f>IF(B9="","",COUNTIFS($AG$5:$AG$304,"&gt;"&amp;AG9)+COUNTIFS($AG$5:AG9,AG9))</f>
        <v>0</v>
      </c>
      <c r="AJ9" s="39">
        <f>IF(B9="","",IF(H9="","Add - no cost, no stock value",IF(Z9="Out of stock","Out of stock - order today",IF(Z9="Low stock","Order - running low",IF(IF(Q9="",FALSE,Q9&lt;=TodayDate+30),"Check - expiring within a month",IF(IF(R9="Yes",AD9&lt;0.25,FALSE),"Below - thin margin for a retail line",IF(IF(P9="",TRUE,TodayDate-P9&gt;90),"Due - not counted in three months","OK")))))))</f>
        <v>0</v>
      </c>
    </row>
    <row r="10" spans="1:36">
      <c r="A10" s="28">
        <f>IF(B10="","",ProductPrefix&amp;TEXT(ROW()-4,"000"))</f>
        <v>0</v>
      </c>
      <c r="T10" s="37">
        <f>IF(B10="","",ROUND(SUMIFS(Purchases!$U$5:$U$304,Purchases!$D$5:$D$304,A10),2))</f>
        <v>0</v>
      </c>
      <c r="U10" s="37">
        <f>IF(B10="","",ROUND(SUMIFS(Sales!$T$5:$T$1204,Sales!$I$5:$I$1204,A10,Sales!$H$5:$H$1204,"Retail"),2))</f>
        <v>0</v>
      </c>
      <c r="V10" s="37">
        <f>IF(B10="","",ROUND(IF(J10="",0,J10)+T10-IF(K10="",0,K10)-U10-IF(L10="",0,L10)+IF(M10="",0,M10),2))</f>
        <v>0</v>
      </c>
      <c r="W10" s="37">
        <f>IF(B10="","",ROUND((U10+IF(K10="",0,K10))/MAX(4,TrackingWeeks),2))</f>
        <v>0</v>
      </c>
      <c r="X10" s="37">
        <f>IF(B10="","",IF(W10&lt;=0,"",ROUND(V10/W10,1)))</f>
        <v>0</v>
      </c>
      <c r="Y10" s="37">
        <f>IF(B10="","",IF(N10&lt;&gt;"",N10,ROUND(W10*StockWarningWeeks,1)))</f>
        <v>0</v>
      </c>
      <c r="Z10" s="39">
        <f>IF(B10="","",IF(V10&lt;=0,"Out of stock",IF(V10&lt;=Y10,"Low stock",IF(R10="No","Backbar","In stock"))))</f>
        <v>0</v>
      </c>
      <c r="AA10" s="37">
        <f>IF(B10="","",IF(Z10="In stock","",IF(Z10="Backbar",IF(V10&lt;=Y10,MAX(1,IF(O10="",ROUND(W10*ReorderWeeks,0),O10)),""),MAX(1,IF(O10="",ROUND(W10*ReorderWeeks,0),O10)))))</f>
        <v>0</v>
      </c>
      <c r="AB10" s="26">
        <f>IF(B10="","",ROUND(V10*IF(H10="",0,H10),2))</f>
        <v>0</v>
      </c>
      <c r="AC10" s="26">
        <f>IF(B10="","",ROUND(V10*IF(I10="",0,I10),2))</f>
        <v>0</v>
      </c>
      <c r="AD10" s="27">
        <f>IF(B10="","",IF(IF(I10="",0,I10)=0,"",(I10-IF(H10="",0,H10))/I10))</f>
        <v>0</v>
      </c>
      <c r="AE10" s="26">
        <f>IF(B10="","",IF(H10="","",H10*RetailMarkup))</f>
        <v>0</v>
      </c>
      <c r="AF10" s="26">
        <f>IF(B10="","",IF(AE10="","",ROUND(IF(RoundingRule="None",AE10,IF(RoundingRule="Nearest 0.99",MAX(0.99,CEILING(AE10,1)-0.01),IF(RoundingRule="Nearest 0.95",MAX(0.95,CEILING(AE10,1)-0.05),IF(RoundingRule="Nearest 0.50",CEILING(AE10,0.5),IF(RoundingRule="Nearest 1",CEILING(AE10,1),IF(RoundingRule="Nearest 5",CEILING(AE10,5),IF(RoundingRule="Up to whole 1",CEILING(AE10,1),IF(RoundingRule="Up to whole 5",CEILING(AE10,5),ROUND(AE10,2))))))))),2)))</f>
        <v>0</v>
      </c>
      <c r="AG10" s="26">
        <f>IF(B10="","",ROUND(SUMIFS(Sales!$Y$5:$Y$1204,Sales!$I$5:$I$1204,A10,Sales!$H$5:$H$1204,"Retail"),2))</f>
        <v>0</v>
      </c>
      <c r="AH10" s="26">
        <f>IF(B10="","",ROUND(AG10-U10*IF(H10="",0,H10),2))</f>
        <v>0</v>
      </c>
      <c r="AI10" s="25">
        <f>IF(B10="","",COUNTIFS($AG$5:$AG$304,"&gt;"&amp;AG10)+COUNTIFS($AG$5:AG10,AG10))</f>
        <v>0</v>
      </c>
      <c r="AJ10" s="39">
        <f>IF(B10="","",IF(H10="","Add - no cost, no stock value",IF(Z10="Out of stock","Out of stock - order today",IF(Z10="Low stock","Order - running low",IF(IF(Q10="",FALSE,Q10&lt;=TodayDate+30),"Check - expiring within a month",IF(IF(R10="Yes",AD10&lt;0.25,FALSE),"Below - thin margin for a retail line",IF(IF(P10="",TRUE,TodayDate-P10&gt;90),"Due - not counted in three months","OK")))))))</f>
        <v>0</v>
      </c>
    </row>
    <row r="11" spans="1:36">
      <c r="A11" s="28">
        <f>IF(B11="","",ProductPrefix&amp;TEXT(ROW()-4,"000"))</f>
        <v>0</v>
      </c>
      <c r="T11" s="37">
        <f>IF(B11="","",ROUND(SUMIFS(Purchases!$U$5:$U$304,Purchases!$D$5:$D$304,A11),2))</f>
        <v>0</v>
      </c>
      <c r="U11" s="37">
        <f>IF(B11="","",ROUND(SUMIFS(Sales!$T$5:$T$1204,Sales!$I$5:$I$1204,A11,Sales!$H$5:$H$1204,"Retail"),2))</f>
        <v>0</v>
      </c>
      <c r="V11" s="37">
        <f>IF(B11="","",ROUND(IF(J11="",0,J11)+T11-IF(K11="",0,K11)-U11-IF(L11="",0,L11)+IF(M11="",0,M11),2))</f>
        <v>0</v>
      </c>
      <c r="W11" s="37">
        <f>IF(B11="","",ROUND((U11+IF(K11="",0,K11))/MAX(4,TrackingWeeks),2))</f>
        <v>0</v>
      </c>
      <c r="X11" s="37">
        <f>IF(B11="","",IF(W11&lt;=0,"",ROUND(V11/W11,1)))</f>
        <v>0</v>
      </c>
      <c r="Y11" s="37">
        <f>IF(B11="","",IF(N11&lt;&gt;"",N11,ROUND(W11*StockWarningWeeks,1)))</f>
        <v>0</v>
      </c>
      <c r="Z11" s="39">
        <f>IF(B11="","",IF(V11&lt;=0,"Out of stock",IF(V11&lt;=Y11,"Low stock",IF(R11="No","Backbar","In stock"))))</f>
        <v>0</v>
      </c>
      <c r="AA11" s="37">
        <f>IF(B11="","",IF(Z11="In stock","",IF(Z11="Backbar",IF(V11&lt;=Y11,MAX(1,IF(O11="",ROUND(W11*ReorderWeeks,0),O11)),""),MAX(1,IF(O11="",ROUND(W11*ReorderWeeks,0),O11)))))</f>
        <v>0</v>
      </c>
      <c r="AB11" s="26">
        <f>IF(B11="","",ROUND(V11*IF(H11="",0,H11),2))</f>
        <v>0</v>
      </c>
      <c r="AC11" s="26">
        <f>IF(B11="","",ROUND(V11*IF(I11="",0,I11),2))</f>
        <v>0</v>
      </c>
      <c r="AD11" s="27">
        <f>IF(B11="","",IF(IF(I11="",0,I11)=0,"",(I11-IF(H11="",0,H11))/I11))</f>
        <v>0</v>
      </c>
      <c r="AE11" s="26">
        <f>IF(B11="","",IF(H11="","",H11*RetailMarkup))</f>
        <v>0</v>
      </c>
      <c r="AF11" s="26">
        <f>IF(B11="","",IF(AE11="","",ROUND(IF(RoundingRule="None",AE11,IF(RoundingRule="Nearest 0.99",MAX(0.99,CEILING(AE11,1)-0.01),IF(RoundingRule="Nearest 0.95",MAX(0.95,CEILING(AE11,1)-0.05),IF(RoundingRule="Nearest 0.50",CEILING(AE11,0.5),IF(RoundingRule="Nearest 1",CEILING(AE11,1),IF(RoundingRule="Nearest 5",CEILING(AE11,5),IF(RoundingRule="Up to whole 1",CEILING(AE11,1),IF(RoundingRule="Up to whole 5",CEILING(AE11,5),ROUND(AE11,2))))))))),2)))</f>
        <v>0</v>
      </c>
      <c r="AG11" s="26">
        <f>IF(B11="","",ROUND(SUMIFS(Sales!$Y$5:$Y$1204,Sales!$I$5:$I$1204,A11,Sales!$H$5:$H$1204,"Retail"),2))</f>
        <v>0</v>
      </c>
      <c r="AH11" s="26">
        <f>IF(B11="","",ROUND(AG11-U11*IF(H11="",0,H11),2))</f>
        <v>0</v>
      </c>
      <c r="AI11" s="25">
        <f>IF(B11="","",COUNTIFS($AG$5:$AG$304,"&gt;"&amp;AG11)+COUNTIFS($AG$5:AG11,AG11))</f>
        <v>0</v>
      </c>
      <c r="AJ11" s="39">
        <f>IF(B11="","",IF(H11="","Add - no cost, no stock value",IF(Z11="Out of stock","Out of stock - order today",IF(Z11="Low stock","Order - running low",IF(IF(Q11="",FALSE,Q11&lt;=TodayDate+30),"Check - expiring within a month",IF(IF(R11="Yes",AD11&lt;0.25,FALSE),"Below - thin margin for a retail line",IF(IF(P11="",TRUE,TodayDate-P11&gt;90),"Due - not counted in three months","OK")))))))</f>
        <v>0</v>
      </c>
    </row>
    <row r="12" spans="1:36">
      <c r="A12" s="28">
        <f>IF(B12="","",ProductPrefix&amp;TEXT(ROW()-4,"000"))</f>
        <v>0</v>
      </c>
      <c r="T12" s="37">
        <f>IF(B12="","",ROUND(SUMIFS(Purchases!$U$5:$U$304,Purchases!$D$5:$D$304,A12),2))</f>
        <v>0</v>
      </c>
      <c r="U12" s="37">
        <f>IF(B12="","",ROUND(SUMIFS(Sales!$T$5:$T$1204,Sales!$I$5:$I$1204,A12,Sales!$H$5:$H$1204,"Retail"),2))</f>
        <v>0</v>
      </c>
      <c r="V12" s="37">
        <f>IF(B12="","",ROUND(IF(J12="",0,J12)+T12-IF(K12="",0,K12)-U12-IF(L12="",0,L12)+IF(M12="",0,M12),2))</f>
        <v>0</v>
      </c>
      <c r="W12" s="37">
        <f>IF(B12="","",ROUND((U12+IF(K12="",0,K12))/MAX(4,TrackingWeeks),2))</f>
        <v>0</v>
      </c>
      <c r="X12" s="37">
        <f>IF(B12="","",IF(W12&lt;=0,"",ROUND(V12/W12,1)))</f>
        <v>0</v>
      </c>
      <c r="Y12" s="37">
        <f>IF(B12="","",IF(N12&lt;&gt;"",N12,ROUND(W12*StockWarningWeeks,1)))</f>
        <v>0</v>
      </c>
      <c r="Z12" s="39">
        <f>IF(B12="","",IF(V12&lt;=0,"Out of stock",IF(V12&lt;=Y12,"Low stock",IF(R12="No","Backbar","In stock"))))</f>
        <v>0</v>
      </c>
      <c r="AA12" s="37">
        <f>IF(B12="","",IF(Z12="In stock","",IF(Z12="Backbar",IF(V12&lt;=Y12,MAX(1,IF(O12="",ROUND(W12*ReorderWeeks,0),O12)),""),MAX(1,IF(O12="",ROUND(W12*ReorderWeeks,0),O12)))))</f>
        <v>0</v>
      </c>
      <c r="AB12" s="26">
        <f>IF(B12="","",ROUND(V12*IF(H12="",0,H12),2))</f>
        <v>0</v>
      </c>
      <c r="AC12" s="26">
        <f>IF(B12="","",ROUND(V12*IF(I12="",0,I12),2))</f>
        <v>0</v>
      </c>
      <c r="AD12" s="27">
        <f>IF(B12="","",IF(IF(I12="",0,I12)=0,"",(I12-IF(H12="",0,H12))/I12))</f>
        <v>0</v>
      </c>
      <c r="AE12" s="26">
        <f>IF(B12="","",IF(H12="","",H12*RetailMarkup))</f>
        <v>0</v>
      </c>
      <c r="AF12" s="26">
        <f>IF(B12="","",IF(AE12="","",ROUND(IF(RoundingRule="None",AE12,IF(RoundingRule="Nearest 0.99",MAX(0.99,CEILING(AE12,1)-0.01),IF(RoundingRule="Nearest 0.95",MAX(0.95,CEILING(AE12,1)-0.05),IF(RoundingRule="Nearest 0.50",CEILING(AE12,0.5),IF(RoundingRule="Nearest 1",CEILING(AE12,1),IF(RoundingRule="Nearest 5",CEILING(AE12,5),IF(RoundingRule="Up to whole 1",CEILING(AE12,1),IF(RoundingRule="Up to whole 5",CEILING(AE12,5),ROUND(AE12,2))))))))),2)))</f>
        <v>0</v>
      </c>
      <c r="AG12" s="26">
        <f>IF(B12="","",ROUND(SUMIFS(Sales!$Y$5:$Y$1204,Sales!$I$5:$I$1204,A12,Sales!$H$5:$H$1204,"Retail"),2))</f>
        <v>0</v>
      </c>
      <c r="AH12" s="26">
        <f>IF(B12="","",ROUND(AG12-U12*IF(H12="",0,H12),2))</f>
        <v>0</v>
      </c>
      <c r="AI12" s="25">
        <f>IF(B12="","",COUNTIFS($AG$5:$AG$304,"&gt;"&amp;AG12)+COUNTIFS($AG$5:AG12,AG12))</f>
        <v>0</v>
      </c>
      <c r="AJ12" s="39">
        <f>IF(B12="","",IF(H12="","Add - no cost, no stock value",IF(Z12="Out of stock","Out of stock - order today",IF(Z12="Low stock","Order - running low",IF(IF(Q12="",FALSE,Q12&lt;=TodayDate+30),"Check - expiring within a month",IF(IF(R12="Yes",AD12&lt;0.25,FALSE),"Below - thin margin for a retail line",IF(IF(P12="",TRUE,TodayDate-P12&gt;90),"Due - not counted in three months","OK")))))))</f>
        <v>0</v>
      </c>
    </row>
    <row r="13" spans="1:36">
      <c r="A13" s="28">
        <f>IF(B13="","",ProductPrefix&amp;TEXT(ROW()-4,"000"))</f>
        <v>0</v>
      </c>
      <c r="T13" s="37">
        <f>IF(B13="","",ROUND(SUMIFS(Purchases!$U$5:$U$304,Purchases!$D$5:$D$304,A13),2))</f>
        <v>0</v>
      </c>
      <c r="U13" s="37">
        <f>IF(B13="","",ROUND(SUMIFS(Sales!$T$5:$T$1204,Sales!$I$5:$I$1204,A13,Sales!$H$5:$H$1204,"Retail"),2))</f>
        <v>0</v>
      </c>
      <c r="V13" s="37">
        <f>IF(B13="","",ROUND(IF(J13="",0,J13)+T13-IF(K13="",0,K13)-U13-IF(L13="",0,L13)+IF(M13="",0,M13),2))</f>
        <v>0</v>
      </c>
      <c r="W13" s="37">
        <f>IF(B13="","",ROUND((U13+IF(K13="",0,K13))/MAX(4,TrackingWeeks),2))</f>
        <v>0</v>
      </c>
      <c r="X13" s="37">
        <f>IF(B13="","",IF(W13&lt;=0,"",ROUND(V13/W13,1)))</f>
        <v>0</v>
      </c>
      <c r="Y13" s="37">
        <f>IF(B13="","",IF(N13&lt;&gt;"",N13,ROUND(W13*StockWarningWeeks,1)))</f>
        <v>0</v>
      </c>
      <c r="Z13" s="39">
        <f>IF(B13="","",IF(V13&lt;=0,"Out of stock",IF(V13&lt;=Y13,"Low stock",IF(R13="No","Backbar","In stock"))))</f>
        <v>0</v>
      </c>
      <c r="AA13" s="37">
        <f>IF(B13="","",IF(Z13="In stock","",IF(Z13="Backbar",IF(V13&lt;=Y13,MAX(1,IF(O13="",ROUND(W13*ReorderWeeks,0),O13)),""),MAX(1,IF(O13="",ROUND(W13*ReorderWeeks,0),O13)))))</f>
        <v>0</v>
      </c>
      <c r="AB13" s="26">
        <f>IF(B13="","",ROUND(V13*IF(H13="",0,H13),2))</f>
        <v>0</v>
      </c>
      <c r="AC13" s="26">
        <f>IF(B13="","",ROUND(V13*IF(I13="",0,I13),2))</f>
        <v>0</v>
      </c>
      <c r="AD13" s="27">
        <f>IF(B13="","",IF(IF(I13="",0,I13)=0,"",(I13-IF(H13="",0,H13))/I13))</f>
        <v>0</v>
      </c>
      <c r="AE13" s="26">
        <f>IF(B13="","",IF(H13="","",H13*RetailMarkup))</f>
        <v>0</v>
      </c>
      <c r="AF13" s="26">
        <f>IF(B13="","",IF(AE13="","",ROUND(IF(RoundingRule="None",AE13,IF(RoundingRule="Nearest 0.99",MAX(0.99,CEILING(AE13,1)-0.01),IF(RoundingRule="Nearest 0.95",MAX(0.95,CEILING(AE13,1)-0.05),IF(RoundingRule="Nearest 0.50",CEILING(AE13,0.5),IF(RoundingRule="Nearest 1",CEILING(AE13,1),IF(RoundingRule="Nearest 5",CEILING(AE13,5),IF(RoundingRule="Up to whole 1",CEILING(AE13,1),IF(RoundingRule="Up to whole 5",CEILING(AE13,5),ROUND(AE13,2))))))))),2)))</f>
        <v>0</v>
      </c>
      <c r="AG13" s="26">
        <f>IF(B13="","",ROUND(SUMIFS(Sales!$Y$5:$Y$1204,Sales!$I$5:$I$1204,A13,Sales!$H$5:$H$1204,"Retail"),2))</f>
        <v>0</v>
      </c>
      <c r="AH13" s="26">
        <f>IF(B13="","",ROUND(AG13-U13*IF(H13="",0,H13),2))</f>
        <v>0</v>
      </c>
      <c r="AI13" s="25">
        <f>IF(B13="","",COUNTIFS($AG$5:$AG$304,"&gt;"&amp;AG13)+COUNTIFS($AG$5:AG13,AG13))</f>
        <v>0</v>
      </c>
      <c r="AJ13" s="39">
        <f>IF(B13="","",IF(H13="","Add - no cost, no stock value",IF(Z13="Out of stock","Out of stock - order today",IF(Z13="Low stock","Order - running low",IF(IF(Q13="",FALSE,Q13&lt;=TodayDate+30),"Check - expiring within a month",IF(IF(R13="Yes",AD13&lt;0.25,FALSE),"Below - thin margin for a retail line",IF(IF(P13="",TRUE,TodayDate-P13&gt;90),"Due - not counted in three months","OK")))))))</f>
        <v>0</v>
      </c>
    </row>
    <row r="14" spans="1:36">
      <c r="A14" s="28">
        <f>IF(B14="","",ProductPrefix&amp;TEXT(ROW()-4,"000"))</f>
        <v>0</v>
      </c>
      <c r="T14" s="37">
        <f>IF(B14="","",ROUND(SUMIFS(Purchases!$U$5:$U$304,Purchases!$D$5:$D$304,A14),2))</f>
        <v>0</v>
      </c>
      <c r="U14" s="37">
        <f>IF(B14="","",ROUND(SUMIFS(Sales!$T$5:$T$1204,Sales!$I$5:$I$1204,A14,Sales!$H$5:$H$1204,"Retail"),2))</f>
        <v>0</v>
      </c>
      <c r="V14" s="37">
        <f>IF(B14="","",ROUND(IF(J14="",0,J14)+T14-IF(K14="",0,K14)-U14-IF(L14="",0,L14)+IF(M14="",0,M14),2))</f>
        <v>0</v>
      </c>
      <c r="W14" s="37">
        <f>IF(B14="","",ROUND((U14+IF(K14="",0,K14))/MAX(4,TrackingWeeks),2))</f>
        <v>0</v>
      </c>
      <c r="X14" s="37">
        <f>IF(B14="","",IF(W14&lt;=0,"",ROUND(V14/W14,1)))</f>
        <v>0</v>
      </c>
      <c r="Y14" s="37">
        <f>IF(B14="","",IF(N14&lt;&gt;"",N14,ROUND(W14*StockWarningWeeks,1)))</f>
        <v>0</v>
      </c>
      <c r="Z14" s="39">
        <f>IF(B14="","",IF(V14&lt;=0,"Out of stock",IF(V14&lt;=Y14,"Low stock",IF(R14="No","Backbar","In stock"))))</f>
        <v>0</v>
      </c>
      <c r="AA14" s="37">
        <f>IF(B14="","",IF(Z14="In stock","",IF(Z14="Backbar",IF(V14&lt;=Y14,MAX(1,IF(O14="",ROUND(W14*ReorderWeeks,0),O14)),""),MAX(1,IF(O14="",ROUND(W14*ReorderWeeks,0),O14)))))</f>
        <v>0</v>
      </c>
      <c r="AB14" s="26">
        <f>IF(B14="","",ROUND(V14*IF(H14="",0,H14),2))</f>
        <v>0</v>
      </c>
      <c r="AC14" s="26">
        <f>IF(B14="","",ROUND(V14*IF(I14="",0,I14),2))</f>
        <v>0</v>
      </c>
      <c r="AD14" s="27">
        <f>IF(B14="","",IF(IF(I14="",0,I14)=0,"",(I14-IF(H14="",0,H14))/I14))</f>
        <v>0</v>
      </c>
      <c r="AE14" s="26">
        <f>IF(B14="","",IF(H14="","",H14*RetailMarkup))</f>
        <v>0</v>
      </c>
      <c r="AF14" s="26">
        <f>IF(B14="","",IF(AE14="","",ROUND(IF(RoundingRule="None",AE14,IF(RoundingRule="Nearest 0.99",MAX(0.99,CEILING(AE14,1)-0.01),IF(RoundingRule="Nearest 0.95",MAX(0.95,CEILING(AE14,1)-0.05),IF(RoundingRule="Nearest 0.50",CEILING(AE14,0.5),IF(RoundingRule="Nearest 1",CEILING(AE14,1),IF(RoundingRule="Nearest 5",CEILING(AE14,5),IF(RoundingRule="Up to whole 1",CEILING(AE14,1),IF(RoundingRule="Up to whole 5",CEILING(AE14,5),ROUND(AE14,2))))))))),2)))</f>
        <v>0</v>
      </c>
      <c r="AG14" s="26">
        <f>IF(B14="","",ROUND(SUMIFS(Sales!$Y$5:$Y$1204,Sales!$I$5:$I$1204,A14,Sales!$H$5:$H$1204,"Retail"),2))</f>
        <v>0</v>
      </c>
      <c r="AH14" s="26">
        <f>IF(B14="","",ROUND(AG14-U14*IF(H14="",0,H14),2))</f>
        <v>0</v>
      </c>
      <c r="AI14" s="25">
        <f>IF(B14="","",COUNTIFS($AG$5:$AG$304,"&gt;"&amp;AG14)+COUNTIFS($AG$5:AG14,AG14))</f>
        <v>0</v>
      </c>
      <c r="AJ14" s="39">
        <f>IF(B14="","",IF(H14="","Add - no cost, no stock value",IF(Z14="Out of stock","Out of stock - order today",IF(Z14="Low stock","Order - running low",IF(IF(Q14="",FALSE,Q14&lt;=TodayDate+30),"Check - expiring within a month",IF(IF(R14="Yes",AD14&lt;0.25,FALSE),"Below - thin margin for a retail line",IF(IF(P14="",TRUE,TodayDate-P14&gt;90),"Due - not counted in three months","OK")))))))</f>
        <v>0</v>
      </c>
    </row>
    <row r="15" spans="1:36">
      <c r="A15" s="28">
        <f>IF(B15="","",ProductPrefix&amp;TEXT(ROW()-4,"000"))</f>
        <v>0</v>
      </c>
      <c r="T15" s="37">
        <f>IF(B15="","",ROUND(SUMIFS(Purchases!$U$5:$U$304,Purchases!$D$5:$D$304,A15),2))</f>
        <v>0</v>
      </c>
      <c r="U15" s="37">
        <f>IF(B15="","",ROUND(SUMIFS(Sales!$T$5:$T$1204,Sales!$I$5:$I$1204,A15,Sales!$H$5:$H$1204,"Retail"),2))</f>
        <v>0</v>
      </c>
      <c r="V15" s="37">
        <f>IF(B15="","",ROUND(IF(J15="",0,J15)+T15-IF(K15="",0,K15)-U15-IF(L15="",0,L15)+IF(M15="",0,M15),2))</f>
        <v>0</v>
      </c>
      <c r="W15" s="37">
        <f>IF(B15="","",ROUND((U15+IF(K15="",0,K15))/MAX(4,TrackingWeeks),2))</f>
        <v>0</v>
      </c>
      <c r="X15" s="37">
        <f>IF(B15="","",IF(W15&lt;=0,"",ROUND(V15/W15,1)))</f>
        <v>0</v>
      </c>
      <c r="Y15" s="37">
        <f>IF(B15="","",IF(N15&lt;&gt;"",N15,ROUND(W15*StockWarningWeeks,1)))</f>
        <v>0</v>
      </c>
      <c r="Z15" s="39">
        <f>IF(B15="","",IF(V15&lt;=0,"Out of stock",IF(V15&lt;=Y15,"Low stock",IF(R15="No","Backbar","In stock"))))</f>
        <v>0</v>
      </c>
      <c r="AA15" s="37">
        <f>IF(B15="","",IF(Z15="In stock","",IF(Z15="Backbar",IF(V15&lt;=Y15,MAX(1,IF(O15="",ROUND(W15*ReorderWeeks,0),O15)),""),MAX(1,IF(O15="",ROUND(W15*ReorderWeeks,0),O15)))))</f>
        <v>0</v>
      </c>
      <c r="AB15" s="26">
        <f>IF(B15="","",ROUND(V15*IF(H15="",0,H15),2))</f>
        <v>0</v>
      </c>
      <c r="AC15" s="26">
        <f>IF(B15="","",ROUND(V15*IF(I15="",0,I15),2))</f>
        <v>0</v>
      </c>
      <c r="AD15" s="27">
        <f>IF(B15="","",IF(IF(I15="",0,I15)=0,"",(I15-IF(H15="",0,H15))/I15))</f>
        <v>0</v>
      </c>
      <c r="AE15" s="26">
        <f>IF(B15="","",IF(H15="","",H15*RetailMarkup))</f>
        <v>0</v>
      </c>
      <c r="AF15" s="26">
        <f>IF(B15="","",IF(AE15="","",ROUND(IF(RoundingRule="None",AE15,IF(RoundingRule="Nearest 0.99",MAX(0.99,CEILING(AE15,1)-0.01),IF(RoundingRule="Nearest 0.95",MAX(0.95,CEILING(AE15,1)-0.05),IF(RoundingRule="Nearest 0.50",CEILING(AE15,0.5),IF(RoundingRule="Nearest 1",CEILING(AE15,1),IF(RoundingRule="Nearest 5",CEILING(AE15,5),IF(RoundingRule="Up to whole 1",CEILING(AE15,1),IF(RoundingRule="Up to whole 5",CEILING(AE15,5),ROUND(AE15,2))))))))),2)))</f>
        <v>0</v>
      </c>
      <c r="AG15" s="26">
        <f>IF(B15="","",ROUND(SUMIFS(Sales!$Y$5:$Y$1204,Sales!$I$5:$I$1204,A15,Sales!$H$5:$H$1204,"Retail"),2))</f>
        <v>0</v>
      </c>
      <c r="AH15" s="26">
        <f>IF(B15="","",ROUND(AG15-U15*IF(H15="",0,H15),2))</f>
        <v>0</v>
      </c>
      <c r="AI15" s="25">
        <f>IF(B15="","",COUNTIFS($AG$5:$AG$304,"&gt;"&amp;AG15)+COUNTIFS($AG$5:AG15,AG15))</f>
        <v>0</v>
      </c>
      <c r="AJ15" s="39">
        <f>IF(B15="","",IF(H15="","Add - no cost, no stock value",IF(Z15="Out of stock","Out of stock - order today",IF(Z15="Low stock","Order - running low",IF(IF(Q15="",FALSE,Q15&lt;=TodayDate+30),"Check - expiring within a month",IF(IF(R15="Yes",AD15&lt;0.25,FALSE),"Below - thin margin for a retail line",IF(IF(P15="",TRUE,TodayDate-P15&gt;90),"Due - not counted in three months","OK")))))))</f>
        <v>0</v>
      </c>
    </row>
    <row r="16" spans="1:36">
      <c r="A16" s="28">
        <f>IF(B16="","",ProductPrefix&amp;TEXT(ROW()-4,"000"))</f>
        <v>0</v>
      </c>
      <c r="T16" s="37">
        <f>IF(B16="","",ROUND(SUMIFS(Purchases!$U$5:$U$304,Purchases!$D$5:$D$304,A16),2))</f>
        <v>0</v>
      </c>
      <c r="U16" s="37">
        <f>IF(B16="","",ROUND(SUMIFS(Sales!$T$5:$T$1204,Sales!$I$5:$I$1204,A16,Sales!$H$5:$H$1204,"Retail"),2))</f>
        <v>0</v>
      </c>
      <c r="V16" s="37">
        <f>IF(B16="","",ROUND(IF(J16="",0,J16)+T16-IF(K16="",0,K16)-U16-IF(L16="",0,L16)+IF(M16="",0,M16),2))</f>
        <v>0</v>
      </c>
      <c r="W16" s="37">
        <f>IF(B16="","",ROUND((U16+IF(K16="",0,K16))/MAX(4,TrackingWeeks),2))</f>
        <v>0</v>
      </c>
      <c r="X16" s="37">
        <f>IF(B16="","",IF(W16&lt;=0,"",ROUND(V16/W16,1)))</f>
        <v>0</v>
      </c>
      <c r="Y16" s="37">
        <f>IF(B16="","",IF(N16&lt;&gt;"",N16,ROUND(W16*StockWarningWeeks,1)))</f>
        <v>0</v>
      </c>
      <c r="Z16" s="39">
        <f>IF(B16="","",IF(V16&lt;=0,"Out of stock",IF(V16&lt;=Y16,"Low stock",IF(R16="No","Backbar","In stock"))))</f>
        <v>0</v>
      </c>
      <c r="AA16" s="37">
        <f>IF(B16="","",IF(Z16="In stock","",IF(Z16="Backbar",IF(V16&lt;=Y16,MAX(1,IF(O16="",ROUND(W16*ReorderWeeks,0),O16)),""),MAX(1,IF(O16="",ROUND(W16*ReorderWeeks,0),O16)))))</f>
        <v>0</v>
      </c>
      <c r="AB16" s="26">
        <f>IF(B16="","",ROUND(V16*IF(H16="",0,H16),2))</f>
        <v>0</v>
      </c>
      <c r="AC16" s="26">
        <f>IF(B16="","",ROUND(V16*IF(I16="",0,I16),2))</f>
        <v>0</v>
      </c>
      <c r="AD16" s="27">
        <f>IF(B16="","",IF(IF(I16="",0,I16)=0,"",(I16-IF(H16="",0,H16))/I16))</f>
        <v>0</v>
      </c>
      <c r="AE16" s="26">
        <f>IF(B16="","",IF(H16="","",H16*RetailMarkup))</f>
        <v>0</v>
      </c>
      <c r="AF16" s="26">
        <f>IF(B16="","",IF(AE16="","",ROUND(IF(RoundingRule="None",AE16,IF(RoundingRule="Nearest 0.99",MAX(0.99,CEILING(AE16,1)-0.01),IF(RoundingRule="Nearest 0.95",MAX(0.95,CEILING(AE16,1)-0.05),IF(RoundingRule="Nearest 0.50",CEILING(AE16,0.5),IF(RoundingRule="Nearest 1",CEILING(AE16,1),IF(RoundingRule="Nearest 5",CEILING(AE16,5),IF(RoundingRule="Up to whole 1",CEILING(AE16,1),IF(RoundingRule="Up to whole 5",CEILING(AE16,5),ROUND(AE16,2))))))))),2)))</f>
        <v>0</v>
      </c>
      <c r="AG16" s="26">
        <f>IF(B16="","",ROUND(SUMIFS(Sales!$Y$5:$Y$1204,Sales!$I$5:$I$1204,A16,Sales!$H$5:$H$1204,"Retail"),2))</f>
        <v>0</v>
      </c>
      <c r="AH16" s="26">
        <f>IF(B16="","",ROUND(AG16-U16*IF(H16="",0,H16),2))</f>
        <v>0</v>
      </c>
      <c r="AI16" s="25">
        <f>IF(B16="","",COUNTIFS($AG$5:$AG$304,"&gt;"&amp;AG16)+COUNTIFS($AG$5:AG16,AG16))</f>
        <v>0</v>
      </c>
      <c r="AJ16" s="39">
        <f>IF(B16="","",IF(H16="","Add - no cost, no stock value",IF(Z16="Out of stock","Out of stock - order today",IF(Z16="Low stock","Order - running low",IF(IF(Q16="",FALSE,Q16&lt;=TodayDate+30),"Check - expiring within a month",IF(IF(R16="Yes",AD16&lt;0.25,FALSE),"Below - thin margin for a retail line",IF(IF(P16="",TRUE,TodayDate-P16&gt;90),"Due - not counted in three months","OK")))))))</f>
        <v>0</v>
      </c>
    </row>
    <row r="17" spans="1:36">
      <c r="A17" s="28">
        <f>IF(B17="","",ProductPrefix&amp;TEXT(ROW()-4,"000"))</f>
        <v>0</v>
      </c>
      <c r="T17" s="37">
        <f>IF(B17="","",ROUND(SUMIFS(Purchases!$U$5:$U$304,Purchases!$D$5:$D$304,A17),2))</f>
        <v>0</v>
      </c>
      <c r="U17" s="37">
        <f>IF(B17="","",ROUND(SUMIFS(Sales!$T$5:$T$1204,Sales!$I$5:$I$1204,A17,Sales!$H$5:$H$1204,"Retail"),2))</f>
        <v>0</v>
      </c>
      <c r="V17" s="37">
        <f>IF(B17="","",ROUND(IF(J17="",0,J17)+T17-IF(K17="",0,K17)-U17-IF(L17="",0,L17)+IF(M17="",0,M17),2))</f>
        <v>0</v>
      </c>
      <c r="W17" s="37">
        <f>IF(B17="","",ROUND((U17+IF(K17="",0,K17))/MAX(4,TrackingWeeks),2))</f>
        <v>0</v>
      </c>
      <c r="X17" s="37">
        <f>IF(B17="","",IF(W17&lt;=0,"",ROUND(V17/W17,1)))</f>
        <v>0</v>
      </c>
      <c r="Y17" s="37">
        <f>IF(B17="","",IF(N17&lt;&gt;"",N17,ROUND(W17*StockWarningWeeks,1)))</f>
        <v>0</v>
      </c>
      <c r="Z17" s="39">
        <f>IF(B17="","",IF(V17&lt;=0,"Out of stock",IF(V17&lt;=Y17,"Low stock",IF(R17="No","Backbar","In stock"))))</f>
        <v>0</v>
      </c>
      <c r="AA17" s="37">
        <f>IF(B17="","",IF(Z17="In stock","",IF(Z17="Backbar",IF(V17&lt;=Y17,MAX(1,IF(O17="",ROUND(W17*ReorderWeeks,0),O17)),""),MAX(1,IF(O17="",ROUND(W17*ReorderWeeks,0),O17)))))</f>
        <v>0</v>
      </c>
      <c r="AB17" s="26">
        <f>IF(B17="","",ROUND(V17*IF(H17="",0,H17),2))</f>
        <v>0</v>
      </c>
      <c r="AC17" s="26">
        <f>IF(B17="","",ROUND(V17*IF(I17="",0,I17),2))</f>
        <v>0</v>
      </c>
      <c r="AD17" s="27">
        <f>IF(B17="","",IF(IF(I17="",0,I17)=0,"",(I17-IF(H17="",0,H17))/I17))</f>
        <v>0</v>
      </c>
      <c r="AE17" s="26">
        <f>IF(B17="","",IF(H17="","",H17*RetailMarkup))</f>
        <v>0</v>
      </c>
      <c r="AF17" s="26">
        <f>IF(B17="","",IF(AE17="","",ROUND(IF(RoundingRule="None",AE17,IF(RoundingRule="Nearest 0.99",MAX(0.99,CEILING(AE17,1)-0.01),IF(RoundingRule="Nearest 0.95",MAX(0.95,CEILING(AE17,1)-0.05),IF(RoundingRule="Nearest 0.50",CEILING(AE17,0.5),IF(RoundingRule="Nearest 1",CEILING(AE17,1),IF(RoundingRule="Nearest 5",CEILING(AE17,5),IF(RoundingRule="Up to whole 1",CEILING(AE17,1),IF(RoundingRule="Up to whole 5",CEILING(AE17,5),ROUND(AE17,2))))))))),2)))</f>
        <v>0</v>
      </c>
      <c r="AG17" s="26">
        <f>IF(B17="","",ROUND(SUMIFS(Sales!$Y$5:$Y$1204,Sales!$I$5:$I$1204,A17,Sales!$H$5:$H$1204,"Retail"),2))</f>
        <v>0</v>
      </c>
      <c r="AH17" s="26">
        <f>IF(B17="","",ROUND(AG17-U17*IF(H17="",0,H17),2))</f>
        <v>0</v>
      </c>
      <c r="AI17" s="25">
        <f>IF(B17="","",COUNTIFS($AG$5:$AG$304,"&gt;"&amp;AG17)+COUNTIFS($AG$5:AG17,AG17))</f>
        <v>0</v>
      </c>
      <c r="AJ17" s="39">
        <f>IF(B17="","",IF(H17="","Add - no cost, no stock value",IF(Z17="Out of stock","Out of stock - order today",IF(Z17="Low stock","Order - running low",IF(IF(Q17="",FALSE,Q17&lt;=TodayDate+30),"Check - expiring within a month",IF(IF(R17="Yes",AD17&lt;0.25,FALSE),"Below - thin margin for a retail line",IF(IF(P17="",TRUE,TodayDate-P17&gt;90),"Due - not counted in three months","OK")))))))</f>
        <v>0</v>
      </c>
    </row>
    <row r="18" spans="1:36">
      <c r="A18" s="28">
        <f>IF(B18="","",ProductPrefix&amp;TEXT(ROW()-4,"000"))</f>
        <v>0</v>
      </c>
      <c r="T18" s="37">
        <f>IF(B18="","",ROUND(SUMIFS(Purchases!$U$5:$U$304,Purchases!$D$5:$D$304,A18),2))</f>
        <v>0</v>
      </c>
      <c r="U18" s="37">
        <f>IF(B18="","",ROUND(SUMIFS(Sales!$T$5:$T$1204,Sales!$I$5:$I$1204,A18,Sales!$H$5:$H$1204,"Retail"),2))</f>
        <v>0</v>
      </c>
      <c r="V18" s="37">
        <f>IF(B18="","",ROUND(IF(J18="",0,J18)+T18-IF(K18="",0,K18)-U18-IF(L18="",0,L18)+IF(M18="",0,M18),2))</f>
        <v>0</v>
      </c>
      <c r="W18" s="37">
        <f>IF(B18="","",ROUND((U18+IF(K18="",0,K18))/MAX(4,TrackingWeeks),2))</f>
        <v>0</v>
      </c>
      <c r="X18" s="37">
        <f>IF(B18="","",IF(W18&lt;=0,"",ROUND(V18/W18,1)))</f>
        <v>0</v>
      </c>
      <c r="Y18" s="37">
        <f>IF(B18="","",IF(N18&lt;&gt;"",N18,ROUND(W18*StockWarningWeeks,1)))</f>
        <v>0</v>
      </c>
      <c r="Z18" s="39">
        <f>IF(B18="","",IF(V18&lt;=0,"Out of stock",IF(V18&lt;=Y18,"Low stock",IF(R18="No","Backbar","In stock"))))</f>
        <v>0</v>
      </c>
      <c r="AA18" s="37">
        <f>IF(B18="","",IF(Z18="In stock","",IF(Z18="Backbar",IF(V18&lt;=Y18,MAX(1,IF(O18="",ROUND(W18*ReorderWeeks,0),O18)),""),MAX(1,IF(O18="",ROUND(W18*ReorderWeeks,0),O18)))))</f>
        <v>0</v>
      </c>
      <c r="AB18" s="26">
        <f>IF(B18="","",ROUND(V18*IF(H18="",0,H18),2))</f>
        <v>0</v>
      </c>
      <c r="AC18" s="26">
        <f>IF(B18="","",ROUND(V18*IF(I18="",0,I18),2))</f>
        <v>0</v>
      </c>
      <c r="AD18" s="27">
        <f>IF(B18="","",IF(IF(I18="",0,I18)=0,"",(I18-IF(H18="",0,H18))/I18))</f>
        <v>0</v>
      </c>
      <c r="AE18" s="26">
        <f>IF(B18="","",IF(H18="","",H18*RetailMarkup))</f>
        <v>0</v>
      </c>
      <c r="AF18" s="26">
        <f>IF(B18="","",IF(AE18="","",ROUND(IF(RoundingRule="None",AE18,IF(RoundingRule="Nearest 0.99",MAX(0.99,CEILING(AE18,1)-0.01),IF(RoundingRule="Nearest 0.95",MAX(0.95,CEILING(AE18,1)-0.05),IF(RoundingRule="Nearest 0.50",CEILING(AE18,0.5),IF(RoundingRule="Nearest 1",CEILING(AE18,1),IF(RoundingRule="Nearest 5",CEILING(AE18,5),IF(RoundingRule="Up to whole 1",CEILING(AE18,1),IF(RoundingRule="Up to whole 5",CEILING(AE18,5),ROUND(AE18,2))))))))),2)))</f>
        <v>0</v>
      </c>
      <c r="AG18" s="26">
        <f>IF(B18="","",ROUND(SUMIFS(Sales!$Y$5:$Y$1204,Sales!$I$5:$I$1204,A18,Sales!$H$5:$H$1204,"Retail"),2))</f>
        <v>0</v>
      </c>
      <c r="AH18" s="26">
        <f>IF(B18="","",ROUND(AG18-U18*IF(H18="",0,H18),2))</f>
        <v>0</v>
      </c>
      <c r="AI18" s="25">
        <f>IF(B18="","",COUNTIFS($AG$5:$AG$304,"&gt;"&amp;AG18)+COUNTIFS($AG$5:AG18,AG18))</f>
        <v>0</v>
      </c>
      <c r="AJ18" s="39">
        <f>IF(B18="","",IF(H18="","Add - no cost, no stock value",IF(Z18="Out of stock","Out of stock - order today",IF(Z18="Low stock","Order - running low",IF(IF(Q18="",FALSE,Q18&lt;=TodayDate+30),"Check - expiring within a month",IF(IF(R18="Yes",AD18&lt;0.25,FALSE),"Below - thin margin for a retail line",IF(IF(P18="",TRUE,TodayDate-P18&gt;90),"Due - not counted in three months","OK")))))))</f>
        <v>0</v>
      </c>
    </row>
    <row r="19" spans="1:36">
      <c r="A19" s="28">
        <f>IF(B19="","",ProductPrefix&amp;TEXT(ROW()-4,"000"))</f>
        <v>0</v>
      </c>
      <c r="T19" s="37">
        <f>IF(B19="","",ROUND(SUMIFS(Purchases!$U$5:$U$304,Purchases!$D$5:$D$304,A19),2))</f>
        <v>0</v>
      </c>
      <c r="U19" s="37">
        <f>IF(B19="","",ROUND(SUMIFS(Sales!$T$5:$T$1204,Sales!$I$5:$I$1204,A19,Sales!$H$5:$H$1204,"Retail"),2))</f>
        <v>0</v>
      </c>
      <c r="V19" s="37">
        <f>IF(B19="","",ROUND(IF(J19="",0,J19)+T19-IF(K19="",0,K19)-U19-IF(L19="",0,L19)+IF(M19="",0,M19),2))</f>
        <v>0</v>
      </c>
      <c r="W19" s="37">
        <f>IF(B19="","",ROUND((U19+IF(K19="",0,K19))/MAX(4,TrackingWeeks),2))</f>
        <v>0</v>
      </c>
      <c r="X19" s="37">
        <f>IF(B19="","",IF(W19&lt;=0,"",ROUND(V19/W19,1)))</f>
        <v>0</v>
      </c>
      <c r="Y19" s="37">
        <f>IF(B19="","",IF(N19&lt;&gt;"",N19,ROUND(W19*StockWarningWeeks,1)))</f>
        <v>0</v>
      </c>
      <c r="Z19" s="39">
        <f>IF(B19="","",IF(V19&lt;=0,"Out of stock",IF(V19&lt;=Y19,"Low stock",IF(R19="No","Backbar","In stock"))))</f>
        <v>0</v>
      </c>
      <c r="AA19" s="37">
        <f>IF(B19="","",IF(Z19="In stock","",IF(Z19="Backbar",IF(V19&lt;=Y19,MAX(1,IF(O19="",ROUND(W19*ReorderWeeks,0),O19)),""),MAX(1,IF(O19="",ROUND(W19*ReorderWeeks,0),O19)))))</f>
        <v>0</v>
      </c>
      <c r="AB19" s="26">
        <f>IF(B19="","",ROUND(V19*IF(H19="",0,H19),2))</f>
        <v>0</v>
      </c>
      <c r="AC19" s="26">
        <f>IF(B19="","",ROUND(V19*IF(I19="",0,I19),2))</f>
        <v>0</v>
      </c>
      <c r="AD19" s="27">
        <f>IF(B19="","",IF(IF(I19="",0,I19)=0,"",(I19-IF(H19="",0,H19))/I19))</f>
        <v>0</v>
      </c>
      <c r="AE19" s="26">
        <f>IF(B19="","",IF(H19="","",H19*RetailMarkup))</f>
        <v>0</v>
      </c>
      <c r="AF19" s="26">
        <f>IF(B19="","",IF(AE19="","",ROUND(IF(RoundingRule="None",AE19,IF(RoundingRule="Nearest 0.99",MAX(0.99,CEILING(AE19,1)-0.01),IF(RoundingRule="Nearest 0.95",MAX(0.95,CEILING(AE19,1)-0.05),IF(RoundingRule="Nearest 0.50",CEILING(AE19,0.5),IF(RoundingRule="Nearest 1",CEILING(AE19,1),IF(RoundingRule="Nearest 5",CEILING(AE19,5),IF(RoundingRule="Up to whole 1",CEILING(AE19,1),IF(RoundingRule="Up to whole 5",CEILING(AE19,5),ROUND(AE19,2))))))))),2)))</f>
        <v>0</v>
      </c>
      <c r="AG19" s="26">
        <f>IF(B19="","",ROUND(SUMIFS(Sales!$Y$5:$Y$1204,Sales!$I$5:$I$1204,A19,Sales!$H$5:$H$1204,"Retail"),2))</f>
        <v>0</v>
      </c>
      <c r="AH19" s="26">
        <f>IF(B19="","",ROUND(AG19-U19*IF(H19="",0,H19),2))</f>
        <v>0</v>
      </c>
      <c r="AI19" s="25">
        <f>IF(B19="","",COUNTIFS($AG$5:$AG$304,"&gt;"&amp;AG19)+COUNTIFS($AG$5:AG19,AG19))</f>
        <v>0</v>
      </c>
      <c r="AJ19" s="39">
        <f>IF(B19="","",IF(H19="","Add - no cost, no stock value",IF(Z19="Out of stock","Out of stock - order today",IF(Z19="Low stock","Order - running low",IF(IF(Q19="",FALSE,Q19&lt;=TodayDate+30),"Check - expiring within a month",IF(IF(R19="Yes",AD19&lt;0.25,FALSE),"Below - thin margin for a retail line",IF(IF(P19="",TRUE,TodayDate-P19&gt;90),"Due - not counted in three months","OK")))))))</f>
        <v>0</v>
      </c>
    </row>
    <row r="20" spans="1:36">
      <c r="A20" s="28">
        <f>IF(B20="","",ProductPrefix&amp;TEXT(ROW()-4,"000"))</f>
        <v>0</v>
      </c>
      <c r="T20" s="37">
        <f>IF(B20="","",ROUND(SUMIFS(Purchases!$U$5:$U$304,Purchases!$D$5:$D$304,A20),2))</f>
        <v>0</v>
      </c>
      <c r="U20" s="37">
        <f>IF(B20="","",ROUND(SUMIFS(Sales!$T$5:$T$1204,Sales!$I$5:$I$1204,A20,Sales!$H$5:$H$1204,"Retail"),2))</f>
        <v>0</v>
      </c>
      <c r="V20" s="37">
        <f>IF(B20="","",ROUND(IF(J20="",0,J20)+T20-IF(K20="",0,K20)-U20-IF(L20="",0,L20)+IF(M20="",0,M20),2))</f>
        <v>0</v>
      </c>
      <c r="W20" s="37">
        <f>IF(B20="","",ROUND((U20+IF(K20="",0,K20))/MAX(4,TrackingWeeks),2))</f>
        <v>0</v>
      </c>
      <c r="X20" s="37">
        <f>IF(B20="","",IF(W20&lt;=0,"",ROUND(V20/W20,1)))</f>
        <v>0</v>
      </c>
      <c r="Y20" s="37">
        <f>IF(B20="","",IF(N20&lt;&gt;"",N20,ROUND(W20*StockWarningWeeks,1)))</f>
        <v>0</v>
      </c>
      <c r="Z20" s="39">
        <f>IF(B20="","",IF(V20&lt;=0,"Out of stock",IF(V20&lt;=Y20,"Low stock",IF(R20="No","Backbar","In stock"))))</f>
        <v>0</v>
      </c>
      <c r="AA20" s="37">
        <f>IF(B20="","",IF(Z20="In stock","",IF(Z20="Backbar",IF(V20&lt;=Y20,MAX(1,IF(O20="",ROUND(W20*ReorderWeeks,0),O20)),""),MAX(1,IF(O20="",ROUND(W20*ReorderWeeks,0),O20)))))</f>
        <v>0</v>
      </c>
      <c r="AB20" s="26">
        <f>IF(B20="","",ROUND(V20*IF(H20="",0,H20),2))</f>
        <v>0</v>
      </c>
      <c r="AC20" s="26">
        <f>IF(B20="","",ROUND(V20*IF(I20="",0,I20),2))</f>
        <v>0</v>
      </c>
      <c r="AD20" s="27">
        <f>IF(B20="","",IF(IF(I20="",0,I20)=0,"",(I20-IF(H20="",0,H20))/I20))</f>
        <v>0</v>
      </c>
      <c r="AE20" s="26">
        <f>IF(B20="","",IF(H20="","",H20*RetailMarkup))</f>
        <v>0</v>
      </c>
      <c r="AF20" s="26">
        <f>IF(B20="","",IF(AE20="","",ROUND(IF(RoundingRule="None",AE20,IF(RoundingRule="Nearest 0.99",MAX(0.99,CEILING(AE20,1)-0.01),IF(RoundingRule="Nearest 0.95",MAX(0.95,CEILING(AE20,1)-0.05),IF(RoundingRule="Nearest 0.50",CEILING(AE20,0.5),IF(RoundingRule="Nearest 1",CEILING(AE20,1),IF(RoundingRule="Nearest 5",CEILING(AE20,5),IF(RoundingRule="Up to whole 1",CEILING(AE20,1),IF(RoundingRule="Up to whole 5",CEILING(AE20,5),ROUND(AE20,2))))))))),2)))</f>
        <v>0</v>
      </c>
      <c r="AG20" s="26">
        <f>IF(B20="","",ROUND(SUMIFS(Sales!$Y$5:$Y$1204,Sales!$I$5:$I$1204,A20,Sales!$H$5:$H$1204,"Retail"),2))</f>
        <v>0</v>
      </c>
      <c r="AH20" s="26">
        <f>IF(B20="","",ROUND(AG20-U20*IF(H20="",0,H20),2))</f>
        <v>0</v>
      </c>
      <c r="AI20" s="25">
        <f>IF(B20="","",COUNTIFS($AG$5:$AG$304,"&gt;"&amp;AG20)+COUNTIFS($AG$5:AG20,AG20))</f>
        <v>0</v>
      </c>
      <c r="AJ20" s="39">
        <f>IF(B20="","",IF(H20="","Add - no cost, no stock value",IF(Z20="Out of stock","Out of stock - order today",IF(Z20="Low stock","Order - running low",IF(IF(Q20="",FALSE,Q20&lt;=TodayDate+30),"Check - expiring within a month",IF(IF(R20="Yes",AD20&lt;0.25,FALSE),"Below - thin margin for a retail line",IF(IF(P20="",TRUE,TodayDate-P20&gt;90),"Due - not counted in three months","OK")))))))</f>
        <v>0</v>
      </c>
    </row>
    <row r="21" spans="1:36">
      <c r="A21" s="28">
        <f>IF(B21="","",ProductPrefix&amp;TEXT(ROW()-4,"000"))</f>
        <v>0</v>
      </c>
      <c r="T21" s="37">
        <f>IF(B21="","",ROUND(SUMIFS(Purchases!$U$5:$U$304,Purchases!$D$5:$D$304,A21),2))</f>
        <v>0</v>
      </c>
      <c r="U21" s="37">
        <f>IF(B21="","",ROUND(SUMIFS(Sales!$T$5:$T$1204,Sales!$I$5:$I$1204,A21,Sales!$H$5:$H$1204,"Retail"),2))</f>
        <v>0</v>
      </c>
      <c r="V21" s="37">
        <f>IF(B21="","",ROUND(IF(J21="",0,J21)+T21-IF(K21="",0,K21)-U21-IF(L21="",0,L21)+IF(M21="",0,M21),2))</f>
        <v>0</v>
      </c>
      <c r="W21" s="37">
        <f>IF(B21="","",ROUND((U21+IF(K21="",0,K21))/MAX(4,TrackingWeeks),2))</f>
        <v>0</v>
      </c>
      <c r="X21" s="37">
        <f>IF(B21="","",IF(W21&lt;=0,"",ROUND(V21/W21,1)))</f>
        <v>0</v>
      </c>
      <c r="Y21" s="37">
        <f>IF(B21="","",IF(N21&lt;&gt;"",N21,ROUND(W21*StockWarningWeeks,1)))</f>
        <v>0</v>
      </c>
      <c r="Z21" s="39">
        <f>IF(B21="","",IF(V21&lt;=0,"Out of stock",IF(V21&lt;=Y21,"Low stock",IF(R21="No","Backbar","In stock"))))</f>
        <v>0</v>
      </c>
      <c r="AA21" s="37">
        <f>IF(B21="","",IF(Z21="In stock","",IF(Z21="Backbar",IF(V21&lt;=Y21,MAX(1,IF(O21="",ROUND(W21*ReorderWeeks,0),O21)),""),MAX(1,IF(O21="",ROUND(W21*ReorderWeeks,0),O21)))))</f>
        <v>0</v>
      </c>
      <c r="AB21" s="26">
        <f>IF(B21="","",ROUND(V21*IF(H21="",0,H21),2))</f>
        <v>0</v>
      </c>
      <c r="AC21" s="26">
        <f>IF(B21="","",ROUND(V21*IF(I21="",0,I21),2))</f>
        <v>0</v>
      </c>
      <c r="AD21" s="27">
        <f>IF(B21="","",IF(IF(I21="",0,I21)=0,"",(I21-IF(H21="",0,H21))/I21))</f>
        <v>0</v>
      </c>
      <c r="AE21" s="26">
        <f>IF(B21="","",IF(H21="","",H21*RetailMarkup))</f>
        <v>0</v>
      </c>
      <c r="AF21" s="26">
        <f>IF(B21="","",IF(AE21="","",ROUND(IF(RoundingRule="None",AE21,IF(RoundingRule="Nearest 0.99",MAX(0.99,CEILING(AE21,1)-0.01),IF(RoundingRule="Nearest 0.95",MAX(0.95,CEILING(AE21,1)-0.05),IF(RoundingRule="Nearest 0.50",CEILING(AE21,0.5),IF(RoundingRule="Nearest 1",CEILING(AE21,1),IF(RoundingRule="Nearest 5",CEILING(AE21,5),IF(RoundingRule="Up to whole 1",CEILING(AE21,1),IF(RoundingRule="Up to whole 5",CEILING(AE21,5),ROUND(AE21,2))))))))),2)))</f>
        <v>0</v>
      </c>
      <c r="AG21" s="26">
        <f>IF(B21="","",ROUND(SUMIFS(Sales!$Y$5:$Y$1204,Sales!$I$5:$I$1204,A21,Sales!$H$5:$H$1204,"Retail"),2))</f>
        <v>0</v>
      </c>
      <c r="AH21" s="26">
        <f>IF(B21="","",ROUND(AG21-U21*IF(H21="",0,H21),2))</f>
        <v>0</v>
      </c>
      <c r="AI21" s="25">
        <f>IF(B21="","",COUNTIFS($AG$5:$AG$304,"&gt;"&amp;AG21)+COUNTIFS($AG$5:AG21,AG21))</f>
        <v>0</v>
      </c>
      <c r="AJ21" s="39">
        <f>IF(B21="","",IF(H21="","Add - no cost, no stock value",IF(Z21="Out of stock","Out of stock - order today",IF(Z21="Low stock","Order - running low",IF(IF(Q21="",FALSE,Q21&lt;=TodayDate+30),"Check - expiring within a month",IF(IF(R21="Yes",AD21&lt;0.25,FALSE),"Below - thin margin for a retail line",IF(IF(P21="",TRUE,TodayDate-P21&gt;90),"Due - not counted in three months","OK")))))))</f>
        <v>0</v>
      </c>
    </row>
    <row r="22" spans="1:36">
      <c r="A22" s="28">
        <f>IF(B22="","",ProductPrefix&amp;TEXT(ROW()-4,"000"))</f>
        <v>0</v>
      </c>
      <c r="T22" s="37">
        <f>IF(B22="","",ROUND(SUMIFS(Purchases!$U$5:$U$304,Purchases!$D$5:$D$304,A22),2))</f>
        <v>0</v>
      </c>
      <c r="U22" s="37">
        <f>IF(B22="","",ROUND(SUMIFS(Sales!$T$5:$T$1204,Sales!$I$5:$I$1204,A22,Sales!$H$5:$H$1204,"Retail"),2))</f>
        <v>0</v>
      </c>
      <c r="V22" s="37">
        <f>IF(B22="","",ROUND(IF(J22="",0,J22)+T22-IF(K22="",0,K22)-U22-IF(L22="",0,L22)+IF(M22="",0,M22),2))</f>
        <v>0</v>
      </c>
      <c r="W22" s="37">
        <f>IF(B22="","",ROUND((U22+IF(K22="",0,K22))/MAX(4,TrackingWeeks),2))</f>
        <v>0</v>
      </c>
      <c r="X22" s="37">
        <f>IF(B22="","",IF(W22&lt;=0,"",ROUND(V22/W22,1)))</f>
        <v>0</v>
      </c>
      <c r="Y22" s="37">
        <f>IF(B22="","",IF(N22&lt;&gt;"",N22,ROUND(W22*StockWarningWeeks,1)))</f>
        <v>0</v>
      </c>
      <c r="Z22" s="39">
        <f>IF(B22="","",IF(V22&lt;=0,"Out of stock",IF(V22&lt;=Y22,"Low stock",IF(R22="No","Backbar","In stock"))))</f>
        <v>0</v>
      </c>
      <c r="AA22" s="37">
        <f>IF(B22="","",IF(Z22="In stock","",IF(Z22="Backbar",IF(V22&lt;=Y22,MAX(1,IF(O22="",ROUND(W22*ReorderWeeks,0),O22)),""),MAX(1,IF(O22="",ROUND(W22*ReorderWeeks,0),O22)))))</f>
        <v>0</v>
      </c>
      <c r="AB22" s="26">
        <f>IF(B22="","",ROUND(V22*IF(H22="",0,H22),2))</f>
        <v>0</v>
      </c>
      <c r="AC22" s="26">
        <f>IF(B22="","",ROUND(V22*IF(I22="",0,I22),2))</f>
        <v>0</v>
      </c>
      <c r="AD22" s="27">
        <f>IF(B22="","",IF(IF(I22="",0,I22)=0,"",(I22-IF(H22="",0,H22))/I22))</f>
        <v>0</v>
      </c>
      <c r="AE22" s="26">
        <f>IF(B22="","",IF(H22="","",H22*RetailMarkup))</f>
        <v>0</v>
      </c>
      <c r="AF22" s="26">
        <f>IF(B22="","",IF(AE22="","",ROUND(IF(RoundingRule="None",AE22,IF(RoundingRule="Nearest 0.99",MAX(0.99,CEILING(AE22,1)-0.01),IF(RoundingRule="Nearest 0.95",MAX(0.95,CEILING(AE22,1)-0.05),IF(RoundingRule="Nearest 0.50",CEILING(AE22,0.5),IF(RoundingRule="Nearest 1",CEILING(AE22,1),IF(RoundingRule="Nearest 5",CEILING(AE22,5),IF(RoundingRule="Up to whole 1",CEILING(AE22,1),IF(RoundingRule="Up to whole 5",CEILING(AE22,5),ROUND(AE22,2))))))))),2)))</f>
        <v>0</v>
      </c>
      <c r="AG22" s="26">
        <f>IF(B22="","",ROUND(SUMIFS(Sales!$Y$5:$Y$1204,Sales!$I$5:$I$1204,A22,Sales!$H$5:$H$1204,"Retail"),2))</f>
        <v>0</v>
      </c>
      <c r="AH22" s="26">
        <f>IF(B22="","",ROUND(AG22-U22*IF(H22="",0,H22),2))</f>
        <v>0</v>
      </c>
      <c r="AI22" s="25">
        <f>IF(B22="","",COUNTIFS($AG$5:$AG$304,"&gt;"&amp;AG22)+COUNTIFS($AG$5:AG22,AG22))</f>
        <v>0</v>
      </c>
      <c r="AJ22" s="39">
        <f>IF(B22="","",IF(H22="","Add - no cost, no stock value",IF(Z22="Out of stock","Out of stock - order today",IF(Z22="Low stock","Order - running low",IF(IF(Q22="",FALSE,Q22&lt;=TodayDate+30),"Check - expiring within a month",IF(IF(R22="Yes",AD22&lt;0.25,FALSE),"Below - thin margin for a retail line",IF(IF(P22="",TRUE,TodayDate-P22&gt;90),"Due - not counted in three months","OK")))))))</f>
        <v>0</v>
      </c>
    </row>
    <row r="23" spans="1:36">
      <c r="A23" s="28">
        <f>IF(B23="","",ProductPrefix&amp;TEXT(ROW()-4,"000"))</f>
        <v>0</v>
      </c>
      <c r="T23" s="37">
        <f>IF(B23="","",ROUND(SUMIFS(Purchases!$U$5:$U$304,Purchases!$D$5:$D$304,A23),2))</f>
        <v>0</v>
      </c>
      <c r="U23" s="37">
        <f>IF(B23="","",ROUND(SUMIFS(Sales!$T$5:$T$1204,Sales!$I$5:$I$1204,A23,Sales!$H$5:$H$1204,"Retail"),2))</f>
        <v>0</v>
      </c>
      <c r="V23" s="37">
        <f>IF(B23="","",ROUND(IF(J23="",0,J23)+T23-IF(K23="",0,K23)-U23-IF(L23="",0,L23)+IF(M23="",0,M23),2))</f>
        <v>0</v>
      </c>
      <c r="W23" s="37">
        <f>IF(B23="","",ROUND((U23+IF(K23="",0,K23))/MAX(4,TrackingWeeks),2))</f>
        <v>0</v>
      </c>
      <c r="X23" s="37">
        <f>IF(B23="","",IF(W23&lt;=0,"",ROUND(V23/W23,1)))</f>
        <v>0</v>
      </c>
      <c r="Y23" s="37">
        <f>IF(B23="","",IF(N23&lt;&gt;"",N23,ROUND(W23*StockWarningWeeks,1)))</f>
        <v>0</v>
      </c>
      <c r="Z23" s="39">
        <f>IF(B23="","",IF(V23&lt;=0,"Out of stock",IF(V23&lt;=Y23,"Low stock",IF(R23="No","Backbar","In stock"))))</f>
        <v>0</v>
      </c>
      <c r="AA23" s="37">
        <f>IF(B23="","",IF(Z23="In stock","",IF(Z23="Backbar",IF(V23&lt;=Y23,MAX(1,IF(O23="",ROUND(W23*ReorderWeeks,0),O23)),""),MAX(1,IF(O23="",ROUND(W23*ReorderWeeks,0),O23)))))</f>
        <v>0</v>
      </c>
      <c r="AB23" s="26">
        <f>IF(B23="","",ROUND(V23*IF(H23="",0,H23),2))</f>
        <v>0</v>
      </c>
      <c r="AC23" s="26">
        <f>IF(B23="","",ROUND(V23*IF(I23="",0,I23),2))</f>
        <v>0</v>
      </c>
      <c r="AD23" s="27">
        <f>IF(B23="","",IF(IF(I23="",0,I23)=0,"",(I23-IF(H23="",0,H23))/I23))</f>
        <v>0</v>
      </c>
      <c r="AE23" s="26">
        <f>IF(B23="","",IF(H23="","",H23*RetailMarkup))</f>
        <v>0</v>
      </c>
      <c r="AF23" s="26">
        <f>IF(B23="","",IF(AE23="","",ROUND(IF(RoundingRule="None",AE23,IF(RoundingRule="Nearest 0.99",MAX(0.99,CEILING(AE23,1)-0.01),IF(RoundingRule="Nearest 0.95",MAX(0.95,CEILING(AE23,1)-0.05),IF(RoundingRule="Nearest 0.50",CEILING(AE23,0.5),IF(RoundingRule="Nearest 1",CEILING(AE23,1),IF(RoundingRule="Nearest 5",CEILING(AE23,5),IF(RoundingRule="Up to whole 1",CEILING(AE23,1),IF(RoundingRule="Up to whole 5",CEILING(AE23,5),ROUND(AE23,2))))))))),2)))</f>
        <v>0</v>
      </c>
      <c r="AG23" s="26">
        <f>IF(B23="","",ROUND(SUMIFS(Sales!$Y$5:$Y$1204,Sales!$I$5:$I$1204,A23,Sales!$H$5:$H$1204,"Retail"),2))</f>
        <v>0</v>
      </c>
      <c r="AH23" s="26">
        <f>IF(B23="","",ROUND(AG23-U23*IF(H23="",0,H23),2))</f>
        <v>0</v>
      </c>
      <c r="AI23" s="25">
        <f>IF(B23="","",COUNTIFS($AG$5:$AG$304,"&gt;"&amp;AG23)+COUNTIFS($AG$5:AG23,AG23))</f>
        <v>0</v>
      </c>
      <c r="AJ23" s="39">
        <f>IF(B23="","",IF(H23="","Add - no cost, no stock value",IF(Z23="Out of stock","Out of stock - order today",IF(Z23="Low stock","Order - running low",IF(IF(Q23="",FALSE,Q23&lt;=TodayDate+30),"Check - expiring within a month",IF(IF(R23="Yes",AD23&lt;0.25,FALSE),"Below - thin margin for a retail line",IF(IF(P23="",TRUE,TodayDate-P23&gt;90),"Due - not counted in three months","OK")))))))</f>
        <v>0</v>
      </c>
    </row>
    <row r="24" spans="1:36">
      <c r="A24" s="28">
        <f>IF(B24="","",ProductPrefix&amp;TEXT(ROW()-4,"000"))</f>
        <v>0</v>
      </c>
      <c r="T24" s="37">
        <f>IF(B24="","",ROUND(SUMIFS(Purchases!$U$5:$U$304,Purchases!$D$5:$D$304,A24),2))</f>
        <v>0</v>
      </c>
      <c r="U24" s="37">
        <f>IF(B24="","",ROUND(SUMIFS(Sales!$T$5:$T$1204,Sales!$I$5:$I$1204,A24,Sales!$H$5:$H$1204,"Retail"),2))</f>
        <v>0</v>
      </c>
      <c r="V24" s="37">
        <f>IF(B24="","",ROUND(IF(J24="",0,J24)+T24-IF(K24="",0,K24)-U24-IF(L24="",0,L24)+IF(M24="",0,M24),2))</f>
        <v>0</v>
      </c>
      <c r="W24" s="37">
        <f>IF(B24="","",ROUND((U24+IF(K24="",0,K24))/MAX(4,TrackingWeeks),2))</f>
        <v>0</v>
      </c>
      <c r="X24" s="37">
        <f>IF(B24="","",IF(W24&lt;=0,"",ROUND(V24/W24,1)))</f>
        <v>0</v>
      </c>
      <c r="Y24" s="37">
        <f>IF(B24="","",IF(N24&lt;&gt;"",N24,ROUND(W24*StockWarningWeeks,1)))</f>
        <v>0</v>
      </c>
      <c r="Z24" s="39">
        <f>IF(B24="","",IF(V24&lt;=0,"Out of stock",IF(V24&lt;=Y24,"Low stock",IF(R24="No","Backbar","In stock"))))</f>
        <v>0</v>
      </c>
      <c r="AA24" s="37">
        <f>IF(B24="","",IF(Z24="In stock","",IF(Z24="Backbar",IF(V24&lt;=Y24,MAX(1,IF(O24="",ROUND(W24*ReorderWeeks,0),O24)),""),MAX(1,IF(O24="",ROUND(W24*ReorderWeeks,0),O24)))))</f>
        <v>0</v>
      </c>
      <c r="AB24" s="26">
        <f>IF(B24="","",ROUND(V24*IF(H24="",0,H24),2))</f>
        <v>0</v>
      </c>
      <c r="AC24" s="26">
        <f>IF(B24="","",ROUND(V24*IF(I24="",0,I24),2))</f>
        <v>0</v>
      </c>
      <c r="AD24" s="27">
        <f>IF(B24="","",IF(IF(I24="",0,I24)=0,"",(I24-IF(H24="",0,H24))/I24))</f>
        <v>0</v>
      </c>
      <c r="AE24" s="26">
        <f>IF(B24="","",IF(H24="","",H24*RetailMarkup))</f>
        <v>0</v>
      </c>
      <c r="AF24" s="26">
        <f>IF(B24="","",IF(AE24="","",ROUND(IF(RoundingRule="None",AE24,IF(RoundingRule="Nearest 0.99",MAX(0.99,CEILING(AE24,1)-0.01),IF(RoundingRule="Nearest 0.95",MAX(0.95,CEILING(AE24,1)-0.05),IF(RoundingRule="Nearest 0.50",CEILING(AE24,0.5),IF(RoundingRule="Nearest 1",CEILING(AE24,1),IF(RoundingRule="Nearest 5",CEILING(AE24,5),IF(RoundingRule="Up to whole 1",CEILING(AE24,1),IF(RoundingRule="Up to whole 5",CEILING(AE24,5),ROUND(AE24,2))))))))),2)))</f>
        <v>0</v>
      </c>
      <c r="AG24" s="26">
        <f>IF(B24="","",ROUND(SUMIFS(Sales!$Y$5:$Y$1204,Sales!$I$5:$I$1204,A24,Sales!$H$5:$H$1204,"Retail"),2))</f>
        <v>0</v>
      </c>
      <c r="AH24" s="26">
        <f>IF(B24="","",ROUND(AG24-U24*IF(H24="",0,H24),2))</f>
        <v>0</v>
      </c>
      <c r="AI24" s="25">
        <f>IF(B24="","",COUNTIFS($AG$5:$AG$304,"&gt;"&amp;AG24)+COUNTIFS($AG$5:AG24,AG24))</f>
        <v>0</v>
      </c>
      <c r="AJ24" s="39">
        <f>IF(B24="","",IF(H24="","Add - no cost, no stock value",IF(Z24="Out of stock","Out of stock - order today",IF(Z24="Low stock","Order - running low",IF(IF(Q24="",FALSE,Q24&lt;=TodayDate+30),"Check - expiring within a month",IF(IF(R24="Yes",AD24&lt;0.25,FALSE),"Below - thin margin for a retail line",IF(IF(P24="",TRUE,TodayDate-P24&gt;90),"Due - not counted in three months","OK")))))))</f>
        <v>0</v>
      </c>
    </row>
    <row r="25" spans="1:36">
      <c r="A25" s="28">
        <f>IF(B25="","",ProductPrefix&amp;TEXT(ROW()-4,"000"))</f>
        <v>0</v>
      </c>
      <c r="T25" s="37">
        <f>IF(B25="","",ROUND(SUMIFS(Purchases!$U$5:$U$304,Purchases!$D$5:$D$304,A25),2))</f>
        <v>0</v>
      </c>
      <c r="U25" s="37">
        <f>IF(B25="","",ROUND(SUMIFS(Sales!$T$5:$T$1204,Sales!$I$5:$I$1204,A25,Sales!$H$5:$H$1204,"Retail"),2))</f>
        <v>0</v>
      </c>
      <c r="V25" s="37">
        <f>IF(B25="","",ROUND(IF(J25="",0,J25)+T25-IF(K25="",0,K25)-U25-IF(L25="",0,L25)+IF(M25="",0,M25),2))</f>
        <v>0</v>
      </c>
      <c r="W25" s="37">
        <f>IF(B25="","",ROUND((U25+IF(K25="",0,K25))/MAX(4,TrackingWeeks),2))</f>
        <v>0</v>
      </c>
      <c r="X25" s="37">
        <f>IF(B25="","",IF(W25&lt;=0,"",ROUND(V25/W25,1)))</f>
        <v>0</v>
      </c>
      <c r="Y25" s="37">
        <f>IF(B25="","",IF(N25&lt;&gt;"",N25,ROUND(W25*StockWarningWeeks,1)))</f>
        <v>0</v>
      </c>
      <c r="Z25" s="39">
        <f>IF(B25="","",IF(V25&lt;=0,"Out of stock",IF(V25&lt;=Y25,"Low stock",IF(R25="No","Backbar","In stock"))))</f>
        <v>0</v>
      </c>
      <c r="AA25" s="37">
        <f>IF(B25="","",IF(Z25="In stock","",IF(Z25="Backbar",IF(V25&lt;=Y25,MAX(1,IF(O25="",ROUND(W25*ReorderWeeks,0),O25)),""),MAX(1,IF(O25="",ROUND(W25*ReorderWeeks,0),O25)))))</f>
        <v>0</v>
      </c>
      <c r="AB25" s="26">
        <f>IF(B25="","",ROUND(V25*IF(H25="",0,H25),2))</f>
        <v>0</v>
      </c>
      <c r="AC25" s="26">
        <f>IF(B25="","",ROUND(V25*IF(I25="",0,I25),2))</f>
        <v>0</v>
      </c>
      <c r="AD25" s="27">
        <f>IF(B25="","",IF(IF(I25="",0,I25)=0,"",(I25-IF(H25="",0,H25))/I25))</f>
        <v>0</v>
      </c>
      <c r="AE25" s="26">
        <f>IF(B25="","",IF(H25="","",H25*RetailMarkup))</f>
        <v>0</v>
      </c>
      <c r="AF25" s="26">
        <f>IF(B25="","",IF(AE25="","",ROUND(IF(RoundingRule="None",AE25,IF(RoundingRule="Nearest 0.99",MAX(0.99,CEILING(AE25,1)-0.01),IF(RoundingRule="Nearest 0.95",MAX(0.95,CEILING(AE25,1)-0.05),IF(RoundingRule="Nearest 0.50",CEILING(AE25,0.5),IF(RoundingRule="Nearest 1",CEILING(AE25,1),IF(RoundingRule="Nearest 5",CEILING(AE25,5),IF(RoundingRule="Up to whole 1",CEILING(AE25,1),IF(RoundingRule="Up to whole 5",CEILING(AE25,5),ROUND(AE25,2))))))))),2)))</f>
        <v>0</v>
      </c>
      <c r="AG25" s="26">
        <f>IF(B25="","",ROUND(SUMIFS(Sales!$Y$5:$Y$1204,Sales!$I$5:$I$1204,A25,Sales!$H$5:$H$1204,"Retail"),2))</f>
        <v>0</v>
      </c>
      <c r="AH25" s="26">
        <f>IF(B25="","",ROUND(AG25-U25*IF(H25="",0,H25),2))</f>
        <v>0</v>
      </c>
      <c r="AI25" s="25">
        <f>IF(B25="","",COUNTIFS($AG$5:$AG$304,"&gt;"&amp;AG25)+COUNTIFS($AG$5:AG25,AG25))</f>
        <v>0</v>
      </c>
      <c r="AJ25" s="39">
        <f>IF(B25="","",IF(H25="","Add - no cost, no stock value",IF(Z25="Out of stock","Out of stock - order today",IF(Z25="Low stock","Order - running low",IF(IF(Q25="",FALSE,Q25&lt;=TodayDate+30),"Check - expiring within a month",IF(IF(R25="Yes",AD25&lt;0.25,FALSE),"Below - thin margin for a retail line",IF(IF(P25="",TRUE,TodayDate-P25&gt;90),"Due - not counted in three months","OK")))))))</f>
        <v>0</v>
      </c>
    </row>
    <row r="26" spans="1:36">
      <c r="A26" s="28">
        <f>IF(B26="","",ProductPrefix&amp;TEXT(ROW()-4,"000"))</f>
        <v>0</v>
      </c>
      <c r="T26" s="37">
        <f>IF(B26="","",ROUND(SUMIFS(Purchases!$U$5:$U$304,Purchases!$D$5:$D$304,A26),2))</f>
        <v>0</v>
      </c>
      <c r="U26" s="37">
        <f>IF(B26="","",ROUND(SUMIFS(Sales!$T$5:$T$1204,Sales!$I$5:$I$1204,A26,Sales!$H$5:$H$1204,"Retail"),2))</f>
        <v>0</v>
      </c>
      <c r="V26" s="37">
        <f>IF(B26="","",ROUND(IF(J26="",0,J26)+T26-IF(K26="",0,K26)-U26-IF(L26="",0,L26)+IF(M26="",0,M26),2))</f>
        <v>0</v>
      </c>
      <c r="W26" s="37">
        <f>IF(B26="","",ROUND((U26+IF(K26="",0,K26))/MAX(4,TrackingWeeks),2))</f>
        <v>0</v>
      </c>
      <c r="X26" s="37">
        <f>IF(B26="","",IF(W26&lt;=0,"",ROUND(V26/W26,1)))</f>
        <v>0</v>
      </c>
      <c r="Y26" s="37">
        <f>IF(B26="","",IF(N26&lt;&gt;"",N26,ROUND(W26*StockWarningWeeks,1)))</f>
        <v>0</v>
      </c>
      <c r="Z26" s="39">
        <f>IF(B26="","",IF(V26&lt;=0,"Out of stock",IF(V26&lt;=Y26,"Low stock",IF(R26="No","Backbar","In stock"))))</f>
        <v>0</v>
      </c>
      <c r="AA26" s="37">
        <f>IF(B26="","",IF(Z26="In stock","",IF(Z26="Backbar",IF(V26&lt;=Y26,MAX(1,IF(O26="",ROUND(W26*ReorderWeeks,0),O26)),""),MAX(1,IF(O26="",ROUND(W26*ReorderWeeks,0),O26)))))</f>
        <v>0</v>
      </c>
      <c r="AB26" s="26">
        <f>IF(B26="","",ROUND(V26*IF(H26="",0,H26),2))</f>
        <v>0</v>
      </c>
      <c r="AC26" s="26">
        <f>IF(B26="","",ROUND(V26*IF(I26="",0,I26),2))</f>
        <v>0</v>
      </c>
      <c r="AD26" s="27">
        <f>IF(B26="","",IF(IF(I26="",0,I26)=0,"",(I26-IF(H26="",0,H26))/I26))</f>
        <v>0</v>
      </c>
      <c r="AE26" s="26">
        <f>IF(B26="","",IF(H26="","",H26*RetailMarkup))</f>
        <v>0</v>
      </c>
      <c r="AF26" s="26">
        <f>IF(B26="","",IF(AE26="","",ROUND(IF(RoundingRule="None",AE26,IF(RoundingRule="Nearest 0.99",MAX(0.99,CEILING(AE26,1)-0.01),IF(RoundingRule="Nearest 0.95",MAX(0.95,CEILING(AE26,1)-0.05),IF(RoundingRule="Nearest 0.50",CEILING(AE26,0.5),IF(RoundingRule="Nearest 1",CEILING(AE26,1),IF(RoundingRule="Nearest 5",CEILING(AE26,5),IF(RoundingRule="Up to whole 1",CEILING(AE26,1),IF(RoundingRule="Up to whole 5",CEILING(AE26,5),ROUND(AE26,2))))))))),2)))</f>
        <v>0</v>
      </c>
      <c r="AG26" s="26">
        <f>IF(B26="","",ROUND(SUMIFS(Sales!$Y$5:$Y$1204,Sales!$I$5:$I$1204,A26,Sales!$H$5:$H$1204,"Retail"),2))</f>
        <v>0</v>
      </c>
      <c r="AH26" s="26">
        <f>IF(B26="","",ROUND(AG26-U26*IF(H26="",0,H26),2))</f>
        <v>0</v>
      </c>
      <c r="AI26" s="25">
        <f>IF(B26="","",COUNTIFS($AG$5:$AG$304,"&gt;"&amp;AG26)+COUNTIFS($AG$5:AG26,AG26))</f>
        <v>0</v>
      </c>
      <c r="AJ26" s="39">
        <f>IF(B26="","",IF(H26="","Add - no cost, no stock value",IF(Z26="Out of stock","Out of stock - order today",IF(Z26="Low stock","Order - running low",IF(IF(Q26="",FALSE,Q26&lt;=TodayDate+30),"Check - expiring within a month",IF(IF(R26="Yes",AD26&lt;0.25,FALSE),"Below - thin margin for a retail line",IF(IF(P26="",TRUE,TodayDate-P26&gt;90),"Due - not counted in three months","OK")))))))</f>
        <v>0</v>
      </c>
    </row>
    <row r="27" spans="1:36">
      <c r="A27" s="28">
        <f>IF(B27="","",ProductPrefix&amp;TEXT(ROW()-4,"000"))</f>
        <v>0</v>
      </c>
      <c r="T27" s="37">
        <f>IF(B27="","",ROUND(SUMIFS(Purchases!$U$5:$U$304,Purchases!$D$5:$D$304,A27),2))</f>
        <v>0</v>
      </c>
      <c r="U27" s="37">
        <f>IF(B27="","",ROUND(SUMIFS(Sales!$T$5:$T$1204,Sales!$I$5:$I$1204,A27,Sales!$H$5:$H$1204,"Retail"),2))</f>
        <v>0</v>
      </c>
      <c r="V27" s="37">
        <f>IF(B27="","",ROUND(IF(J27="",0,J27)+T27-IF(K27="",0,K27)-U27-IF(L27="",0,L27)+IF(M27="",0,M27),2))</f>
        <v>0</v>
      </c>
      <c r="W27" s="37">
        <f>IF(B27="","",ROUND((U27+IF(K27="",0,K27))/MAX(4,TrackingWeeks),2))</f>
        <v>0</v>
      </c>
      <c r="X27" s="37">
        <f>IF(B27="","",IF(W27&lt;=0,"",ROUND(V27/W27,1)))</f>
        <v>0</v>
      </c>
      <c r="Y27" s="37">
        <f>IF(B27="","",IF(N27&lt;&gt;"",N27,ROUND(W27*StockWarningWeeks,1)))</f>
        <v>0</v>
      </c>
      <c r="Z27" s="39">
        <f>IF(B27="","",IF(V27&lt;=0,"Out of stock",IF(V27&lt;=Y27,"Low stock",IF(R27="No","Backbar","In stock"))))</f>
        <v>0</v>
      </c>
      <c r="AA27" s="37">
        <f>IF(B27="","",IF(Z27="In stock","",IF(Z27="Backbar",IF(V27&lt;=Y27,MAX(1,IF(O27="",ROUND(W27*ReorderWeeks,0),O27)),""),MAX(1,IF(O27="",ROUND(W27*ReorderWeeks,0),O27)))))</f>
        <v>0</v>
      </c>
      <c r="AB27" s="26">
        <f>IF(B27="","",ROUND(V27*IF(H27="",0,H27),2))</f>
        <v>0</v>
      </c>
      <c r="AC27" s="26">
        <f>IF(B27="","",ROUND(V27*IF(I27="",0,I27),2))</f>
        <v>0</v>
      </c>
      <c r="AD27" s="27">
        <f>IF(B27="","",IF(IF(I27="",0,I27)=0,"",(I27-IF(H27="",0,H27))/I27))</f>
        <v>0</v>
      </c>
      <c r="AE27" s="26">
        <f>IF(B27="","",IF(H27="","",H27*RetailMarkup))</f>
        <v>0</v>
      </c>
      <c r="AF27" s="26">
        <f>IF(B27="","",IF(AE27="","",ROUND(IF(RoundingRule="None",AE27,IF(RoundingRule="Nearest 0.99",MAX(0.99,CEILING(AE27,1)-0.01),IF(RoundingRule="Nearest 0.95",MAX(0.95,CEILING(AE27,1)-0.05),IF(RoundingRule="Nearest 0.50",CEILING(AE27,0.5),IF(RoundingRule="Nearest 1",CEILING(AE27,1),IF(RoundingRule="Nearest 5",CEILING(AE27,5),IF(RoundingRule="Up to whole 1",CEILING(AE27,1),IF(RoundingRule="Up to whole 5",CEILING(AE27,5),ROUND(AE27,2))))))))),2)))</f>
        <v>0</v>
      </c>
      <c r="AG27" s="26">
        <f>IF(B27="","",ROUND(SUMIFS(Sales!$Y$5:$Y$1204,Sales!$I$5:$I$1204,A27,Sales!$H$5:$H$1204,"Retail"),2))</f>
        <v>0</v>
      </c>
      <c r="AH27" s="26">
        <f>IF(B27="","",ROUND(AG27-U27*IF(H27="",0,H27),2))</f>
        <v>0</v>
      </c>
      <c r="AI27" s="25">
        <f>IF(B27="","",COUNTIFS($AG$5:$AG$304,"&gt;"&amp;AG27)+COUNTIFS($AG$5:AG27,AG27))</f>
        <v>0</v>
      </c>
      <c r="AJ27" s="39">
        <f>IF(B27="","",IF(H27="","Add - no cost, no stock value",IF(Z27="Out of stock","Out of stock - order today",IF(Z27="Low stock","Order - running low",IF(IF(Q27="",FALSE,Q27&lt;=TodayDate+30),"Check - expiring within a month",IF(IF(R27="Yes",AD27&lt;0.25,FALSE),"Below - thin margin for a retail line",IF(IF(P27="",TRUE,TodayDate-P27&gt;90),"Due - not counted in three months","OK")))))))</f>
        <v>0</v>
      </c>
    </row>
    <row r="28" spans="1:36">
      <c r="A28" s="28">
        <f>IF(B28="","",ProductPrefix&amp;TEXT(ROW()-4,"000"))</f>
        <v>0</v>
      </c>
      <c r="T28" s="37">
        <f>IF(B28="","",ROUND(SUMIFS(Purchases!$U$5:$U$304,Purchases!$D$5:$D$304,A28),2))</f>
        <v>0</v>
      </c>
      <c r="U28" s="37">
        <f>IF(B28="","",ROUND(SUMIFS(Sales!$T$5:$T$1204,Sales!$I$5:$I$1204,A28,Sales!$H$5:$H$1204,"Retail"),2))</f>
        <v>0</v>
      </c>
      <c r="V28" s="37">
        <f>IF(B28="","",ROUND(IF(J28="",0,J28)+T28-IF(K28="",0,K28)-U28-IF(L28="",0,L28)+IF(M28="",0,M28),2))</f>
        <v>0</v>
      </c>
      <c r="W28" s="37">
        <f>IF(B28="","",ROUND((U28+IF(K28="",0,K28))/MAX(4,TrackingWeeks),2))</f>
        <v>0</v>
      </c>
      <c r="X28" s="37">
        <f>IF(B28="","",IF(W28&lt;=0,"",ROUND(V28/W28,1)))</f>
        <v>0</v>
      </c>
      <c r="Y28" s="37">
        <f>IF(B28="","",IF(N28&lt;&gt;"",N28,ROUND(W28*StockWarningWeeks,1)))</f>
        <v>0</v>
      </c>
      <c r="Z28" s="39">
        <f>IF(B28="","",IF(V28&lt;=0,"Out of stock",IF(V28&lt;=Y28,"Low stock",IF(R28="No","Backbar","In stock"))))</f>
        <v>0</v>
      </c>
      <c r="AA28" s="37">
        <f>IF(B28="","",IF(Z28="In stock","",IF(Z28="Backbar",IF(V28&lt;=Y28,MAX(1,IF(O28="",ROUND(W28*ReorderWeeks,0),O28)),""),MAX(1,IF(O28="",ROUND(W28*ReorderWeeks,0),O28)))))</f>
        <v>0</v>
      </c>
      <c r="AB28" s="26">
        <f>IF(B28="","",ROUND(V28*IF(H28="",0,H28),2))</f>
        <v>0</v>
      </c>
      <c r="AC28" s="26">
        <f>IF(B28="","",ROUND(V28*IF(I28="",0,I28),2))</f>
        <v>0</v>
      </c>
      <c r="AD28" s="27">
        <f>IF(B28="","",IF(IF(I28="",0,I28)=0,"",(I28-IF(H28="",0,H28))/I28))</f>
        <v>0</v>
      </c>
      <c r="AE28" s="26">
        <f>IF(B28="","",IF(H28="","",H28*RetailMarkup))</f>
        <v>0</v>
      </c>
      <c r="AF28" s="26">
        <f>IF(B28="","",IF(AE28="","",ROUND(IF(RoundingRule="None",AE28,IF(RoundingRule="Nearest 0.99",MAX(0.99,CEILING(AE28,1)-0.01),IF(RoundingRule="Nearest 0.95",MAX(0.95,CEILING(AE28,1)-0.05),IF(RoundingRule="Nearest 0.50",CEILING(AE28,0.5),IF(RoundingRule="Nearest 1",CEILING(AE28,1),IF(RoundingRule="Nearest 5",CEILING(AE28,5),IF(RoundingRule="Up to whole 1",CEILING(AE28,1),IF(RoundingRule="Up to whole 5",CEILING(AE28,5),ROUND(AE28,2))))))))),2)))</f>
        <v>0</v>
      </c>
      <c r="AG28" s="26">
        <f>IF(B28="","",ROUND(SUMIFS(Sales!$Y$5:$Y$1204,Sales!$I$5:$I$1204,A28,Sales!$H$5:$H$1204,"Retail"),2))</f>
        <v>0</v>
      </c>
      <c r="AH28" s="26">
        <f>IF(B28="","",ROUND(AG28-U28*IF(H28="",0,H28),2))</f>
        <v>0</v>
      </c>
      <c r="AI28" s="25">
        <f>IF(B28="","",COUNTIFS($AG$5:$AG$304,"&gt;"&amp;AG28)+COUNTIFS($AG$5:AG28,AG28))</f>
        <v>0</v>
      </c>
      <c r="AJ28" s="39">
        <f>IF(B28="","",IF(H28="","Add - no cost, no stock value",IF(Z28="Out of stock","Out of stock - order today",IF(Z28="Low stock","Order - running low",IF(IF(Q28="",FALSE,Q28&lt;=TodayDate+30),"Check - expiring within a month",IF(IF(R28="Yes",AD28&lt;0.25,FALSE),"Below - thin margin for a retail line",IF(IF(P28="",TRUE,TodayDate-P28&gt;90),"Due - not counted in three months","OK")))))))</f>
        <v>0</v>
      </c>
    </row>
    <row r="29" spans="1:36">
      <c r="A29" s="28">
        <f>IF(B29="","",ProductPrefix&amp;TEXT(ROW()-4,"000"))</f>
        <v>0</v>
      </c>
      <c r="T29" s="37">
        <f>IF(B29="","",ROUND(SUMIFS(Purchases!$U$5:$U$304,Purchases!$D$5:$D$304,A29),2))</f>
        <v>0</v>
      </c>
      <c r="U29" s="37">
        <f>IF(B29="","",ROUND(SUMIFS(Sales!$T$5:$T$1204,Sales!$I$5:$I$1204,A29,Sales!$H$5:$H$1204,"Retail"),2))</f>
        <v>0</v>
      </c>
      <c r="V29" s="37">
        <f>IF(B29="","",ROUND(IF(J29="",0,J29)+T29-IF(K29="",0,K29)-U29-IF(L29="",0,L29)+IF(M29="",0,M29),2))</f>
        <v>0</v>
      </c>
      <c r="W29" s="37">
        <f>IF(B29="","",ROUND((U29+IF(K29="",0,K29))/MAX(4,TrackingWeeks),2))</f>
        <v>0</v>
      </c>
      <c r="X29" s="37">
        <f>IF(B29="","",IF(W29&lt;=0,"",ROUND(V29/W29,1)))</f>
        <v>0</v>
      </c>
      <c r="Y29" s="37">
        <f>IF(B29="","",IF(N29&lt;&gt;"",N29,ROUND(W29*StockWarningWeeks,1)))</f>
        <v>0</v>
      </c>
      <c r="Z29" s="39">
        <f>IF(B29="","",IF(V29&lt;=0,"Out of stock",IF(V29&lt;=Y29,"Low stock",IF(R29="No","Backbar","In stock"))))</f>
        <v>0</v>
      </c>
      <c r="AA29" s="37">
        <f>IF(B29="","",IF(Z29="In stock","",IF(Z29="Backbar",IF(V29&lt;=Y29,MAX(1,IF(O29="",ROUND(W29*ReorderWeeks,0),O29)),""),MAX(1,IF(O29="",ROUND(W29*ReorderWeeks,0),O29)))))</f>
        <v>0</v>
      </c>
      <c r="AB29" s="26">
        <f>IF(B29="","",ROUND(V29*IF(H29="",0,H29),2))</f>
        <v>0</v>
      </c>
      <c r="AC29" s="26">
        <f>IF(B29="","",ROUND(V29*IF(I29="",0,I29),2))</f>
        <v>0</v>
      </c>
      <c r="AD29" s="27">
        <f>IF(B29="","",IF(IF(I29="",0,I29)=0,"",(I29-IF(H29="",0,H29))/I29))</f>
        <v>0</v>
      </c>
      <c r="AE29" s="26">
        <f>IF(B29="","",IF(H29="","",H29*RetailMarkup))</f>
        <v>0</v>
      </c>
      <c r="AF29" s="26">
        <f>IF(B29="","",IF(AE29="","",ROUND(IF(RoundingRule="None",AE29,IF(RoundingRule="Nearest 0.99",MAX(0.99,CEILING(AE29,1)-0.01),IF(RoundingRule="Nearest 0.95",MAX(0.95,CEILING(AE29,1)-0.05),IF(RoundingRule="Nearest 0.50",CEILING(AE29,0.5),IF(RoundingRule="Nearest 1",CEILING(AE29,1),IF(RoundingRule="Nearest 5",CEILING(AE29,5),IF(RoundingRule="Up to whole 1",CEILING(AE29,1),IF(RoundingRule="Up to whole 5",CEILING(AE29,5),ROUND(AE29,2))))))))),2)))</f>
        <v>0</v>
      </c>
      <c r="AG29" s="26">
        <f>IF(B29="","",ROUND(SUMIFS(Sales!$Y$5:$Y$1204,Sales!$I$5:$I$1204,A29,Sales!$H$5:$H$1204,"Retail"),2))</f>
        <v>0</v>
      </c>
      <c r="AH29" s="26">
        <f>IF(B29="","",ROUND(AG29-U29*IF(H29="",0,H29),2))</f>
        <v>0</v>
      </c>
      <c r="AI29" s="25">
        <f>IF(B29="","",COUNTIFS($AG$5:$AG$304,"&gt;"&amp;AG29)+COUNTIFS($AG$5:AG29,AG29))</f>
        <v>0</v>
      </c>
      <c r="AJ29" s="39">
        <f>IF(B29="","",IF(H29="","Add - no cost, no stock value",IF(Z29="Out of stock","Out of stock - order today",IF(Z29="Low stock","Order - running low",IF(IF(Q29="",FALSE,Q29&lt;=TodayDate+30),"Check - expiring within a month",IF(IF(R29="Yes",AD29&lt;0.25,FALSE),"Below - thin margin for a retail line",IF(IF(P29="",TRUE,TodayDate-P29&gt;90),"Due - not counted in three months","OK")))))))</f>
        <v>0</v>
      </c>
    </row>
    <row r="30" spans="1:36">
      <c r="A30" s="28">
        <f>IF(B30="","",ProductPrefix&amp;TEXT(ROW()-4,"000"))</f>
        <v>0</v>
      </c>
      <c r="T30" s="37">
        <f>IF(B30="","",ROUND(SUMIFS(Purchases!$U$5:$U$304,Purchases!$D$5:$D$304,A30),2))</f>
        <v>0</v>
      </c>
      <c r="U30" s="37">
        <f>IF(B30="","",ROUND(SUMIFS(Sales!$T$5:$T$1204,Sales!$I$5:$I$1204,A30,Sales!$H$5:$H$1204,"Retail"),2))</f>
        <v>0</v>
      </c>
      <c r="V30" s="37">
        <f>IF(B30="","",ROUND(IF(J30="",0,J30)+T30-IF(K30="",0,K30)-U30-IF(L30="",0,L30)+IF(M30="",0,M30),2))</f>
        <v>0</v>
      </c>
      <c r="W30" s="37">
        <f>IF(B30="","",ROUND((U30+IF(K30="",0,K30))/MAX(4,TrackingWeeks),2))</f>
        <v>0</v>
      </c>
      <c r="X30" s="37">
        <f>IF(B30="","",IF(W30&lt;=0,"",ROUND(V30/W30,1)))</f>
        <v>0</v>
      </c>
      <c r="Y30" s="37">
        <f>IF(B30="","",IF(N30&lt;&gt;"",N30,ROUND(W30*StockWarningWeeks,1)))</f>
        <v>0</v>
      </c>
      <c r="Z30" s="39">
        <f>IF(B30="","",IF(V30&lt;=0,"Out of stock",IF(V30&lt;=Y30,"Low stock",IF(R30="No","Backbar","In stock"))))</f>
        <v>0</v>
      </c>
      <c r="AA30" s="37">
        <f>IF(B30="","",IF(Z30="In stock","",IF(Z30="Backbar",IF(V30&lt;=Y30,MAX(1,IF(O30="",ROUND(W30*ReorderWeeks,0),O30)),""),MAX(1,IF(O30="",ROUND(W30*ReorderWeeks,0),O30)))))</f>
        <v>0</v>
      </c>
      <c r="AB30" s="26">
        <f>IF(B30="","",ROUND(V30*IF(H30="",0,H30),2))</f>
        <v>0</v>
      </c>
      <c r="AC30" s="26">
        <f>IF(B30="","",ROUND(V30*IF(I30="",0,I30),2))</f>
        <v>0</v>
      </c>
      <c r="AD30" s="27">
        <f>IF(B30="","",IF(IF(I30="",0,I30)=0,"",(I30-IF(H30="",0,H30))/I30))</f>
        <v>0</v>
      </c>
      <c r="AE30" s="26">
        <f>IF(B30="","",IF(H30="","",H30*RetailMarkup))</f>
        <v>0</v>
      </c>
      <c r="AF30" s="26">
        <f>IF(B30="","",IF(AE30="","",ROUND(IF(RoundingRule="None",AE30,IF(RoundingRule="Nearest 0.99",MAX(0.99,CEILING(AE30,1)-0.01),IF(RoundingRule="Nearest 0.95",MAX(0.95,CEILING(AE30,1)-0.05),IF(RoundingRule="Nearest 0.50",CEILING(AE30,0.5),IF(RoundingRule="Nearest 1",CEILING(AE30,1),IF(RoundingRule="Nearest 5",CEILING(AE30,5),IF(RoundingRule="Up to whole 1",CEILING(AE30,1),IF(RoundingRule="Up to whole 5",CEILING(AE30,5),ROUND(AE30,2))))))))),2)))</f>
        <v>0</v>
      </c>
      <c r="AG30" s="26">
        <f>IF(B30="","",ROUND(SUMIFS(Sales!$Y$5:$Y$1204,Sales!$I$5:$I$1204,A30,Sales!$H$5:$H$1204,"Retail"),2))</f>
        <v>0</v>
      </c>
      <c r="AH30" s="26">
        <f>IF(B30="","",ROUND(AG30-U30*IF(H30="",0,H30),2))</f>
        <v>0</v>
      </c>
      <c r="AI30" s="25">
        <f>IF(B30="","",COUNTIFS($AG$5:$AG$304,"&gt;"&amp;AG30)+COUNTIFS($AG$5:AG30,AG30))</f>
        <v>0</v>
      </c>
      <c r="AJ30" s="39">
        <f>IF(B30="","",IF(H30="","Add - no cost, no stock value",IF(Z30="Out of stock","Out of stock - order today",IF(Z30="Low stock","Order - running low",IF(IF(Q30="",FALSE,Q30&lt;=TodayDate+30),"Check - expiring within a month",IF(IF(R30="Yes",AD30&lt;0.25,FALSE),"Below - thin margin for a retail line",IF(IF(P30="",TRUE,TodayDate-P30&gt;90),"Due - not counted in three months","OK")))))))</f>
        <v>0</v>
      </c>
    </row>
    <row r="31" spans="1:36">
      <c r="A31" s="28">
        <f>IF(B31="","",ProductPrefix&amp;TEXT(ROW()-4,"000"))</f>
        <v>0</v>
      </c>
      <c r="T31" s="37">
        <f>IF(B31="","",ROUND(SUMIFS(Purchases!$U$5:$U$304,Purchases!$D$5:$D$304,A31),2))</f>
        <v>0</v>
      </c>
      <c r="U31" s="37">
        <f>IF(B31="","",ROUND(SUMIFS(Sales!$T$5:$T$1204,Sales!$I$5:$I$1204,A31,Sales!$H$5:$H$1204,"Retail"),2))</f>
        <v>0</v>
      </c>
      <c r="V31" s="37">
        <f>IF(B31="","",ROUND(IF(J31="",0,J31)+T31-IF(K31="",0,K31)-U31-IF(L31="",0,L31)+IF(M31="",0,M31),2))</f>
        <v>0</v>
      </c>
      <c r="W31" s="37">
        <f>IF(B31="","",ROUND((U31+IF(K31="",0,K31))/MAX(4,TrackingWeeks),2))</f>
        <v>0</v>
      </c>
      <c r="X31" s="37">
        <f>IF(B31="","",IF(W31&lt;=0,"",ROUND(V31/W31,1)))</f>
        <v>0</v>
      </c>
      <c r="Y31" s="37">
        <f>IF(B31="","",IF(N31&lt;&gt;"",N31,ROUND(W31*StockWarningWeeks,1)))</f>
        <v>0</v>
      </c>
      <c r="Z31" s="39">
        <f>IF(B31="","",IF(V31&lt;=0,"Out of stock",IF(V31&lt;=Y31,"Low stock",IF(R31="No","Backbar","In stock"))))</f>
        <v>0</v>
      </c>
      <c r="AA31" s="37">
        <f>IF(B31="","",IF(Z31="In stock","",IF(Z31="Backbar",IF(V31&lt;=Y31,MAX(1,IF(O31="",ROUND(W31*ReorderWeeks,0),O31)),""),MAX(1,IF(O31="",ROUND(W31*ReorderWeeks,0),O31)))))</f>
        <v>0</v>
      </c>
      <c r="AB31" s="26">
        <f>IF(B31="","",ROUND(V31*IF(H31="",0,H31),2))</f>
        <v>0</v>
      </c>
      <c r="AC31" s="26">
        <f>IF(B31="","",ROUND(V31*IF(I31="",0,I31),2))</f>
        <v>0</v>
      </c>
      <c r="AD31" s="27">
        <f>IF(B31="","",IF(IF(I31="",0,I31)=0,"",(I31-IF(H31="",0,H31))/I31))</f>
        <v>0</v>
      </c>
      <c r="AE31" s="26">
        <f>IF(B31="","",IF(H31="","",H31*RetailMarkup))</f>
        <v>0</v>
      </c>
      <c r="AF31" s="26">
        <f>IF(B31="","",IF(AE31="","",ROUND(IF(RoundingRule="None",AE31,IF(RoundingRule="Nearest 0.99",MAX(0.99,CEILING(AE31,1)-0.01),IF(RoundingRule="Nearest 0.95",MAX(0.95,CEILING(AE31,1)-0.05),IF(RoundingRule="Nearest 0.50",CEILING(AE31,0.5),IF(RoundingRule="Nearest 1",CEILING(AE31,1),IF(RoundingRule="Nearest 5",CEILING(AE31,5),IF(RoundingRule="Up to whole 1",CEILING(AE31,1),IF(RoundingRule="Up to whole 5",CEILING(AE31,5),ROUND(AE31,2))))))))),2)))</f>
        <v>0</v>
      </c>
      <c r="AG31" s="26">
        <f>IF(B31="","",ROUND(SUMIFS(Sales!$Y$5:$Y$1204,Sales!$I$5:$I$1204,A31,Sales!$H$5:$H$1204,"Retail"),2))</f>
        <v>0</v>
      </c>
      <c r="AH31" s="26">
        <f>IF(B31="","",ROUND(AG31-U31*IF(H31="",0,H31),2))</f>
        <v>0</v>
      </c>
      <c r="AI31" s="25">
        <f>IF(B31="","",COUNTIFS($AG$5:$AG$304,"&gt;"&amp;AG31)+COUNTIFS($AG$5:AG31,AG31))</f>
        <v>0</v>
      </c>
      <c r="AJ31" s="39">
        <f>IF(B31="","",IF(H31="","Add - no cost, no stock value",IF(Z31="Out of stock","Out of stock - order today",IF(Z31="Low stock","Order - running low",IF(IF(Q31="",FALSE,Q31&lt;=TodayDate+30),"Check - expiring within a month",IF(IF(R31="Yes",AD31&lt;0.25,FALSE),"Below - thin margin for a retail line",IF(IF(P31="",TRUE,TodayDate-P31&gt;90),"Due - not counted in three months","OK")))))))</f>
        <v>0</v>
      </c>
    </row>
    <row r="32" spans="1:36">
      <c r="A32" s="28">
        <f>IF(B32="","",ProductPrefix&amp;TEXT(ROW()-4,"000"))</f>
        <v>0</v>
      </c>
      <c r="T32" s="37">
        <f>IF(B32="","",ROUND(SUMIFS(Purchases!$U$5:$U$304,Purchases!$D$5:$D$304,A32),2))</f>
        <v>0</v>
      </c>
      <c r="U32" s="37">
        <f>IF(B32="","",ROUND(SUMIFS(Sales!$T$5:$T$1204,Sales!$I$5:$I$1204,A32,Sales!$H$5:$H$1204,"Retail"),2))</f>
        <v>0</v>
      </c>
      <c r="V32" s="37">
        <f>IF(B32="","",ROUND(IF(J32="",0,J32)+T32-IF(K32="",0,K32)-U32-IF(L32="",0,L32)+IF(M32="",0,M32),2))</f>
        <v>0</v>
      </c>
      <c r="W32" s="37">
        <f>IF(B32="","",ROUND((U32+IF(K32="",0,K32))/MAX(4,TrackingWeeks),2))</f>
        <v>0</v>
      </c>
      <c r="X32" s="37">
        <f>IF(B32="","",IF(W32&lt;=0,"",ROUND(V32/W32,1)))</f>
        <v>0</v>
      </c>
      <c r="Y32" s="37">
        <f>IF(B32="","",IF(N32&lt;&gt;"",N32,ROUND(W32*StockWarningWeeks,1)))</f>
        <v>0</v>
      </c>
      <c r="Z32" s="39">
        <f>IF(B32="","",IF(V32&lt;=0,"Out of stock",IF(V32&lt;=Y32,"Low stock",IF(R32="No","Backbar","In stock"))))</f>
        <v>0</v>
      </c>
      <c r="AA32" s="37">
        <f>IF(B32="","",IF(Z32="In stock","",IF(Z32="Backbar",IF(V32&lt;=Y32,MAX(1,IF(O32="",ROUND(W32*ReorderWeeks,0),O32)),""),MAX(1,IF(O32="",ROUND(W32*ReorderWeeks,0),O32)))))</f>
        <v>0</v>
      </c>
      <c r="AB32" s="26">
        <f>IF(B32="","",ROUND(V32*IF(H32="",0,H32),2))</f>
        <v>0</v>
      </c>
      <c r="AC32" s="26">
        <f>IF(B32="","",ROUND(V32*IF(I32="",0,I32),2))</f>
        <v>0</v>
      </c>
      <c r="AD32" s="27">
        <f>IF(B32="","",IF(IF(I32="",0,I32)=0,"",(I32-IF(H32="",0,H32))/I32))</f>
        <v>0</v>
      </c>
      <c r="AE32" s="26">
        <f>IF(B32="","",IF(H32="","",H32*RetailMarkup))</f>
        <v>0</v>
      </c>
      <c r="AF32" s="26">
        <f>IF(B32="","",IF(AE32="","",ROUND(IF(RoundingRule="None",AE32,IF(RoundingRule="Nearest 0.99",MAX(0.99,CEILING(AE32,1)-0.01),IF(RoundingRule="Nearest 0.95",MAX(0.95,CEILING(AE32,1)-0.05),IF(RoundingRule="Nearest 0.50",CEILING(AE32,0.5),IF(RoundingRule="Nearest 1",CEILING(AE32,1),IF(RoundingRule="Nearest 5",CEILING(AE32,5),IF(RoundingRule="Up to whole 1",CEILING(AE32,1),IF(RoundingRule="Up to whole 5",CEILING(AE32,5),ROUND(AE32,2))))))))),2)))</f>
        <v>0</v>
      </c>
      <c r="AG32" s="26">
        <f>IF(B32="","",ROUND(SUMIFS(Sales!$Y$5:$Y$1204,Sales!$I$5:$I$1204,A32,Sales!$H$5:$H$1204,"Retail"),2))</f>
        <v>0</v>
      </c>
      <c r="AH32" s="26">
        <f>IF(B32="","",ROUND(AG32-U32*IF(H32="",0,H32),2))</f>
        <v>0</v>
      </c>
      <c r="AI32" s="25">
        <f>IF(B32="","",COUNTIFS($AG$5:$AG$304,"&gt;"&amp;AG32)+COUNTIFS($AG$5:AG32,AG32))</f>
        <v>0</v>
      </c>
      <c r="AJ32" s="39">
        <f>IF(B32="","",IF(H32="","Add - no cost, no stock value",IF(Z32="Out of stock","Out of stock - order today",IF(Z32="Low stock","Order - running low",IF(IF(Q32="",FALSE,Q32&lt;=TodayDate+30),"Check - expiring within a month",IF(IF(R32="Yes",AD32&lt;0.25,FALSE),"Below - thin margin for a retail line",IF(IF(P32="",TRUE,TodayDate-P32&gt;90),"Due - not counted in three months","OK")))))))</f>
        <v>0</v>
      </c>
    </row>
    <row r="33" spans="1:36">
      <c r="A33" s="28">
        <f>IF(B33="","",ProductPrefix&amp;TEXT(ROW()-4,"000"))</f>
        <v>0</v>
      </c>
      <c r="T33" s="37">
        <f>IF(B33="","",ROUND(SUMIFS(Purchases!$U$5:$U$304,Purchases!$D$5:$D$304,A33),2))</f>
        <v>0</v>
      </c>
      <c r="U33" s="37">
        <f>IF(B33="","",ROUND(SUMIFS(Sales!$T$5:$T$1204,Sales!$I$5:$I$1204,A33,Sales!$H$5:$H$1204,"Retail"),2))</f>
        <v>0</v>
      </c>
      <c r="V33" s="37">
        <f>IF(B33="","",ROUND(IF(J33="",0,J33)+T33-IF(K33="",0,K33)-U33-IF(L33="",0,L33)+IF(M33="",0,M33),2))</f>
        <v>0</v>
      </c>
      <c r="W33" s="37">
        <f>IF(B33="","",ROUND((U33+IF(K33="",0,K33))/MAX(4,TrackingWeeks),2))</f>
        <v>0</v>
      </c>
      <c r="X33" s="37">
        <f>IF(B33="","",IF(W33&lt;=0,"",ROUND(V33/W33,1)))</f>
        <v>0</v>
      </c>
      <c r="Y33" s="37">
        <f>IF(B33="","",IF(N33&lt;&gt;"",N33,ROUND(W33*StockWarningWeeks,1)))</f>
        <v>0</v>
      </c>
      <c r="Z33" s="39">
        <f>IF(B33="","",IF(V33&lt;=0,"Out of stock",IF(V33&lt;=Y33,"Low stock",IF(R33="No","Backbar","In stock"))))</f>
        <v>0</v>
      </c>
      <c r="AA33" s="37">
        <f>IF(B33="","",IF(Z33="In stock","",IF(Z33="Backbar",IF(V33&lt;=Y33,MAX(1,IF(O33="",ROUND(W33*ReorderWeeks,0),O33)),""),MAX(1,IF(O33="",ROUND(W33*ReorderWeeks,0),O33)))))</f>
        <v>0</v>
      </c>
      <c r="AB33" s="26">
        <f>IF(B33="","",ROUND(V33*IF(H33="",0,H33),2))</f>
        <v>0</v>
      </c>
      <c r="AC33" s="26">
        <f>IF(B33="","",ROUND(V33*IF(I33="",0,I33),2))</f>
        <v>0</v>
      </c>
      <c r="AD33" s="27">
        <f>IF(B33="","",IF(IF(I33="",0,I33)=0,"",(I33-IF(H33="",0,H33))/I33))</f>
        <v>0</v>
      </c>
      <c r="AE33" s="26">
        <f>IF(B33="","",IF(H33="","",H33*RetailMarkup))</f>
        <v>0</v>
      </c>
      <c r="AF33" s="26">
        <f>IF(B33="","",IF(AE33="","",ROUND(IF(RoundingRule="None",AE33,IF(RoundingRule="Nearest 0.99",MAX(0.99,CEILING(AE33,1)-0.01),IF(RoundingRule="Nearest 0.95",MAX(0.95,CEILING(AE33,1)-0.05),IF(RoundingRule="Nearest 0.50",CEILING(AE33,0.5),IF(RoundingRule="Nearest 1",CEILING(AE33,1),IF(RoundingRule="Nearest 5",CEILING(AE33,5),IF(RoundingRule="Up to whole 1",CEILING(AE33,1),IF(RoundingRule="Up to whole 5",CEILING(AE33,5),ROUND(AE33,2))))))))),2)))</f>
        <v>0</v>
      </c>
      <c r="AG33" s="26">
        <f>IF(B33="","",ROUND(SUMIFS(Sales!$Y$5:$Y$1204,Sales!$I$5:$I$1204,A33,Sales!$H$5:$H$1204,"Retail"),2))</f>
        <v>0</v>
      </c>
      <c r="AH33" s="26">
        <f>IF(B33="","",ROUND(AG33-U33*IF(H33="",0,H33),2))</f>
        <v>0</v>
      </c>
      <c r="AI33" s="25">
        <f>IF(B33="","",COUNTIFS($AG$5:$AG$304,"&gt;"&amp;AG33)+COUNTIFS($AG$5:AG33,AG33))</f>
        <v>0</v>
      </c>
      <c r="AJ33" s="39">
        <f>IF(B33="","",IF(H33="","Add - no cost, no stock value",IF(Z33="Out of stock","Out of stock - order today",IF(Z33="Low stock","Order - running low",IF(IF(Q33="",FALSE,Q33&lt;=TodayDate+30),"Check - expiring within a month",IF(IF(R33="Yes",AD33&lt;0.25,FALSE),"Below - thin margin for a retail line",IF(IF(P33="",TRUE,TodayDate-P33&gt;90),"Due - not counted in three months","OK")))))))</f>
        <v>0</v>
      </c>
    </row>
    <row r="34" spans="1:36">
      <c r="A34" s="28">
        <f>IF(B34="","",ProductPrefix&amp;TEXT(ROW()-4,"000"))</f>
        <v>0</v>
      </c>
      <c r="T34" s="37">
        <f>IF(B34="","",ROUND(SUMIFS(Purchases!$U$5:$U$304,Purchases!$D$5:$D$304,A34),2))</f>
        <v>0</v>
      </c>
      <c r="U34" s="37">
        <f>IF(B34="","",ROUND(SUMIFS(Sales!$T$5:$T$1204,Sales!$I$5:$I$1204,A34,Sales!$H$5:$H$1204,"Retail"),2))</f>
        <v>0</v>
      </c>
      <c r="V34" s="37">
        <f>IF(B34="","",ROUND(IF(J34="",0,J34)+T34-IF(K34="",0,K34)-U34-IF(L34="",0,L34)+IF(M34="",0,M34),2))</f>
        <v>0</v>
      </c>
      <c r="W34" s="37">
        <f>IF(B34="","",ROUND((U34+IF(K34="",0,K34))/MAX(4,TrackingWeeks),2))</f>
        <v>0</v>
      </c>
      <c r="X34" s="37">
        <f>IF(B34="","",IF(W34&lt;=0,"",ROUND(V34/W34,1)))</f>
        <v>0</v>
      </c>
      <c r="Y34" s="37">
        <f>IF(B34="","",IF(N34&lt;&gt;"",N34,ROUND(W34*StockWarningWeeks,1)))</f>
        <v>0</v>
      </c>
      <c r="Z34" s="39">
        <f>IF(B34="","",IF(V34&lt;=0,"Out of stock",IF(V34&lt;=Y34,"Low stock",IF(R34="No","Backbar","In stock"))))</f>
        <v>0</v>
      </c>
      <c r="AA34" s="37">
        <f>IF(B34="","",IF(Z34="In stock","",IF(Z34="Backbar",IF(V34&lt;=Y34,MAX(1,IF(O34="",ROUND(W34*ReorderWeeks,0),O34)),""),MAX(1,IF(O34="",ROUND(W34*ReorderWeeks,0),O34)))))</f>
        <v>0</v>
      </c>
      <c r="AB34" s="26">
        <f>IF(B34="","",ROUND(V34*IF(H34="",0,H34),2))</f>
        <v>0</v>
      </c>
      <c r="AC34" s="26">
        <f>IF(B34="","",ROUND(V34*IF(I34="",0,I34),2))</f>
        <v>0</v>
      </c>
      <c r="AD34" s="27">
        <f>IF(B34="","",IF(IF(I34="",0,I34)=0,"",(I34-IF(H34="",0,H34))/I34))</f>
        <v>0</v>
      </c>
      <c r="AE34" s="26">
        <f>IF(B34="","",IF(H34="","",H34*RetailMarkup))</f>
        <v>0</v>
      </c>
      <c r="AF34" s="26">
        <f>IF(B34="","",IF(AE34="","",ROUND(IF(RoundingRule="None",AE34,IF(RoundingRule="Nearest 0.99",MAX(0.99,CEILING(AE34,1)-0.01),IF(RoundingRule="Nearest 0.95",MAX(0.95,CEILING(AE34,1)-0.05),IF(RoundingRule="Nearest 0.50",CEILING(AE34,0.5),IF(RoundingRule="Nearest 1",CEILING(AE34,1),IF(RoundingRule="Nearest 5",CEILING(AE34,5),IF(RoundingRule="Up to whole 1",CEILING(AE34,1),IF(RoundingRule="Up to whole 5",CEILING(AE34,5),ROUND(AE34,2))))))))),2)))</f>
        <v>0</v>
      </c>
      <c r="AG34" s="26">
        <f>IF(B34="","",ROUND(SUMIFS(Sales!$Y$5:$Y$1204,Sales!$I$5:$I$1204,A34,Sales!$H$5:$H$1204,"Retail"),2))</f>
        <v>0</v>
      </c>
      <c r="AH34" s="26">
        <f>IF(B34="","",ROUND(AG34-U34*IF(H34="",0,H34),2))</f>
        <v>0</v>
      </c>
      <c r="AI34" s="25">
        <f>IF(B34="","",COUNTIFS($AG$5:$AG$304,"&gt;"&amp;AG34)+COUNTIFS($AG$5:AG34,AG34))</f>
        <v>0</v>
      </c>
      <c r="AJ34" s="39">
        <f>IF(B34="","",IF(H34="","Add - no cost, no stock value",IF(Z34="Out of stock","Out of stock - order today",IF(Z34="Low stock","Order - running low",IF(IF(Q34="",FALSE,Q34&lt;=TodayDate+30),"Check - expiring within a month",IF(IF(R34="Yes",AD34&lt;0.25,FALSE),"Below - thin margin for a retail line",IF(IF(P34="",TRUE,TodayDate-P34&gt;90),"Due - not counted in three months","OK")))))))</f>
        <v>0</v>
      </c>
    </row>
    <row r="35" spans="1:36">
      <c r="A35" s="28">
        <f>IF(B35="","",ProductPrefix&amp;TEXT(ROW()-4,"000"))</f>
        <v>0</v>
      </c>
      <c r="T35" s="37">
        <f>IF(B35="","",ROUND(SUMIFS(Purchases!$U$5:$U$304,Purchases!$D$5:$D$304,A35),2))</f>
        <v>0</v>
      </c>
      <c r="U35" s="37">
        <f>IF(B35="","",ROUND(SUMIFS(Sales!$T$5:$T$1204,Sales!$I$5:$I$1204,A35,Sales!$H$5:$H$1204,"Retail"),2))</f>
        <v>0</v>
      </c>
      <c r="V35" s="37">
        <f>IF(B35="","",ROUND(IF(J35="",0,J35)+T35-IF(K35="",0,K35)-U35-IF(L35="",0,L35)+IF(M35="",0,M35),2))</f>
        <v>0</v>
      </c>
      <c r="W35" s="37">
        <f>IF(B35="","",ROUND((U35+IF(K35="",0,K35))/MAX(4,TrackingWeeks),2))</f>
        <v>0</v>
      </c>
      <c r="X35" s="37">
        <f>IF(B35="","",IF(W35&lt;=0,"",ROUND(V35/W35,1)))</f>
        <v>0</v>
      </c>
      <c r="Y35" s="37">
        <f>IF(B35="","",IF(N35&lt;&gt;"",N35,ROUND(W35*StockWarningWeeks,1)))</f>
        <v>0</v>
      </c>
      <c r="Z35" s="39">
        <f>IF(B35="","",IF(V35&lt;=0,"Out of stock",IF(V35&lt;=Y35,"Low stock",IF(R35="No","Backbar","In stock"))))</f>
        <v>0</v>
      </c>
      <c r="AA35" s="37">
        <f>IF(B35="","",IF(Z35="In stock","",IF(Z35="Backbar",IF(V35&lt;=Y35,MAX(1,IF(O35="",ROUND(W35*ReorderWeeks,0),O35)),""),MAX(1,IF(O35="",ROUND(W35*ReorderWeeks,0),O35)))))</f>
        <v>0</v>
      </c>
      <c r="AB35" s="26">
        <f>IF(B35="","",ROUND(V35*IF(H35="",0,H35),2))</f>
        <v>0</v>
      </c>
      <c r="AC35" s="26">
        <f>IF(B35="","",ROUND(V35*IF(I35="",0,I35),2))</f>
        <v>0</v>
      </c>
      <c r="AD35" s="27">
        <f>IF(B35="","",IF(IF(I35="",0,I35)=0,"",(I35-IF(H35="",0,H35))/I35))</f>
        <v>0</v>
      </c>
      <c r="AE35" s="26">
        <f>IF(B35="","",IF(H35="","",H35*RetailMarkup))</f>
        <v>0</v>
      </c>
      <c r="AF35" s="26">
        <f>IF(B35="","",IF(AE35="","",ROUND(IF(RoundingRule="None",AE35,IF(RoundingRule="Nearest 0.99",MAX(0.99,CEILING(AE35,1)-0.01),IF(RoundingRule="Nearest 0.95",MAX(0.95,CEILING(AE35,1)-0.05),IF(RoundingRule="Nearest 0.50",CEILING(AE35,0.5),IF(RoundingRule="Nearest 1",CEILING(AE35,1),IF(RoundingRule="Nearest 5",CEILING(AE35,5),IF(RoundingRule="Up to whole 1",CEILING(AE35,1),IF(RoundingRule="Up to whole 5",CEILING(AE35,5),ROUND(AE35,2))))))))),2)))</f>
        <v>0</v>
      </c>
      <c r="AG35" s="26">
        <f>IF(B35="","",ROUND(SUMIFS(Sales!$Y$5:$Y$1204,Sales!$I$5:$I$1204,A35,Sales!$H$5:$H$1204,"Retail"),2))</f>
        <v>0</v>
      </c>
      <c r="AH35" s="26">
        <f>IF(B35="","",ROUND(AG35-U35*IF(H35="",0,H35),2))</f>
        <v>0</v>
      </c>
      <c r="AI35" s="25">
        <f>IF(B35="","",COUNTIFS($AG$5:$AG$304,"&gt;"&amp;AG35)+COUNTIFS($AG$5:AG35,AG35))</f>
        <v>0</v>
      </c>
      <c r="AJ35" s="39">
        <f>IF(B35="","",IF(H35="","Add - no cost, no stock value",IF(Z35="Out of stock","Out of stock - order today",IF(Z35="Low stock","Order - running low",IF(IF(Q35="",FALSE,Q35&lt;=TodayDate+30),"Check - expiring within a month",IF(IF(R35="Yes",AD35&lt;0.25,FALSE),"Below - thin margin for a retail line",IF(IF(P35="",TRUE,TodayDate-P35&gt;90),"Due - not counted in three months","OK")))))))</f>
        <v>0</v>
      </c>
    </row>
    <row r="36" spans="1:36">
      <c r="A36" s="28">
        <f>IF(B36="","",ProductPrefix&amp;TEXT(ROW()-4,"000"))</f>
        <v>0</v>
      </c>
      <c r="T36" s="37">
        <f>IF(B36="","",ROUND(SUMIFS(Purchases!$U$5:$U$304,Purchases!$D$5:$D$304,A36),2))</f>
        <v>0</v>
      </c>
      <c r="U36" s="37">
        <f>IF(B36="","",ROUND(SUMIFS(Sales!$T$5:$T$1204,Sales!$I$5:$I$1204,A36,Sales!$H$5:$H$1204,"Retail"),2))</f>
        <v>0</v>
      </c>
      <c r="V36" s="37">
        <f>IF(B36="","",ROUND(IF(J36="",0,J36)+T36-IF(K36="",0,K36)-U36-IF(L36="",0,L36)+IF(M36="",0,M36),2))</f>
        <v>0</v>
      </c>
      <c r="W36" s="37">
        <f>IF(B36="","",ROUND((U36+IF(K36="",0,K36))/MAX(4,TrackingWeeks),2))</f>
        <v>0</v>
      </c>
      <c r="X36" s="37">
        <f>IF(B36="","",IF(W36&lt;=0,"",ROUND(V36/W36,1)))</f>
        <v>0</v>
      </c>
      <c r="Y36" s="37">
        <f>IF(B36="","",IF(N36&lt;&gt;"",N36,ROUND(W36*StockWarningWeeks,1)))</f>
        <v>0</v>
      </c>
      <c r="Z36" s="39">
        <f>IF(B36="","",IF(V36&lt;=0,"Out of stock",IF(V36&lt;=Y36,"Low stock",IF(R36="No","Backbar","In stock"))))</f>
        <v>0</v>
      </c>
      <c r="AA36" s="37">
        <f>IF(B36="","",IF(Z36="In stock","",IF(Z36="Backbar",IF(V36&lt;=Y36,MAX(1,IF(O36="",ROUND(W36*ReorderWeeks,0),O36)),""),MAX(1,IF(O36="",ROUND(W36*ReorderWeeks,0),O36)))))</f>
        <v>0</v>
      </c>
      <c r="AB36" s="26">
        <f>IF(B36="","",ROUND(V36*IF(H36="",0,H36),2))</f>
        <v>0</v>
      </c>
      <c r="AC36" s="26">
        <f>IF(B36="","",ROUND(V36*IF(I36="",0,I36),2))</f>
        <v>0</v>
      </c>
      <c r="AD36" s="27">
        <f>IF(B36="","",IF(IF(I36="",0,I36)=0,"",(I36-IF(H36="",0,H36))/I36))</f>
        <v>0</v>
      </c>
      <c r="AE36" s="26">
        <f>IF(B36="","",IF(H36="","",H36*RetailMarkup))</f>
        <v>0</v>
      </c>
      <c r="AF36" s="26">
        <f>IF(B36="","",IF(AE36="","",ROUND(IF(RoundingRule="None",AE36,IF(RoundingRule="Nearest 0.99",MAX(0.99,CEILING(AE36,1)-0.01),IF(RoundingRule="Nearest 0.95",MAX(0.95,CEILING(AE36,1)-0.05),IF(RoundingRule="Nearest 0.50",CEILING(AE36,0.5),IF(RoundingRule="Nearest 1",CEILING(AE36,1),IF(RoundingRule="Nearest 5",CEILING(AE36,5),IF(RoundingRule="Up to whole 1",CEILING(AE36,1),IF(RoundingRule="Up to whole 5",CEILING(AE36,5),ROUND(AE36,2))))))))),2)))</f>
        <v>0</v>
      </c>
      <c r="AG36" s="26">
        <f>IF(B36="","",ROUND(SUMIFS(Sales!$Y$5:$Y$1204,Sales!$I$5:$I$1204,A36,Sales!$H$5:$H$1204,"Retail"),2))</f>
        <v>0</v>
      </c>
      <c r="AH36" s="26">
        <f>IF(B36="","",ROUND(AG36-U36*IF(H36="",0,H36),2))</f>
        <v>0</v>
      </c>
      <c r="AI36" s="25">
        <f>IF(B36="","",COUNTIFS($AG$5:$AG$304,"&gt;"&amp;AG36)+COUNTIFS($AG$5:AG36,AG36))</f>
        <v>0</v>
      </c>
      <c r="AJ36" s="39">
        <f>IF(B36="","",IF(H36="","Add - no cost, no stock value",IF(Z36="Out of stock","Out of stock - order today",IF(Z36="Low stock","Order - running low",IF(IF(Q36="",FALSE,Q36&lt;=TodayDate+30),"Check - expiring within a month",IF(IF(R36="Yes",AD36&lt;0.25,FALSE),"Below - thin margin for a retail line",IF(IF(P36="",TRUE,TodayDate-P36&gt;90),"Due - not counted in three months","OK")))))))</f>
        <v>0</v>
      </c>
    </row>
    <row r="37" spans="1:36">
      <c r="A37" s="28">
        <f>IF(B37="","",ProductPrefix&amp;TEXT(ROW()-4,"000"))</f>
        <v>0</v>
      </c>
      <c r="T37" s="37">
        <f>IF(B37="","",ROUND(SUMIFS(Purchases!$U$5:$U$304,Purchases!$D$5:$D$304,A37),2))</f>
        <v>0</v>
      </c>
      <c r="U37" s="37">
        <f>IF(B37="","",ROUND(SUMIFS(Sales!$T$5:$T$1204,Sales!$I$5:$I$1204,A37,Sales!$H$5:$H$1204,"Retail"),2))</f>
        <v>0</v>
      </c>
      <c r="V37" s="37">
        <f>IF(B37="","",ROUND(IF(J37="",0,J37)+T37-IF(K37="",0,K37)-U37-IF(L37="",0,L37)+IF(M37="",0,M37),2))</f>
        <v>0</v>
      </c>
      <c r="W37" s="37">
        <f>IF(B37="","",ROUND((U37+IF(K37="",0,K37))/MAX(4,TrackingWeeks),2))</f>
        <v>0</v>
      </c>
      <c r="X37" s="37">
        <f>IF(B37="","",IF(W37&lt;=0,"",ROUND(V37/W37,1)))</f>
        <v>0</v>
      </c>
      <c r="Y37" s="37">
        <f>IF(B37="","",IF(N37&lt;&gt;"",N37,ROUND(W37*StockWarningWeeks,1)))</f>
        <v>0</v>
      </c>
      <c r="Z37" s="39">
        <f>IF(B37="","",IF(V37&lt;=0,"Out of stock",IF(V37&lt;=Y37,"Low stock",IF(R37="No","Backbar","In stock"))))</f>
        <v>0</v>
      </c>
      <c r="AA37" s="37">
        <f>IF(B37="","",IF(Z37="In stock","",IF(Z37="Backbar",IF(V37&lt;=Y37,MAX(1,IF(O37="",ROUND(W37*ReorderWeeks,0),O37)),""),MAX(1,IF(O37="",ROUND(W37*ReorderWeeks,0),O37)))))</f>
        <v>0</v>
      </c>
      <c r="AB37" s="26">
        <f>IF(B37="","",ROUND(V37*IF(H37="",0,H37),2))</f>
        <v>0</v>
      </c>
      <c r="AC37" s="26">
        <f>IF(B37="","",ROUND(V37*IF(I37="",0,I37),2))</f>
        <v>0</v>
      </c>
      <c r="AD37" s="27">
        <f>IF(B37="","",IF(IF(I37="",0,I37)=0,"",(I37-IF(H37="",0,H37))/I37))</f>
        <v>0</v>
      </c>
      <c r="AE37" s="26">
        <f>IF(B37="","",IF(H37="","",H37*RetailMarkup))</f>
        <v>0</v>
      </c>
      <c r="AF37" s="26">
        <f>IF(B37="","",IF(AE37="","",ROUND(IF(RoundingRule="None",AE37,IF(RoundingRule="Nearest 0.99",MAX(0.99,CEILING(AE37,1)-0.01),IF(RoundingRule="Nearest 0.95",MAX(0.95,CEILING(AE37,1)-0.05),IF(RoundingRule="Nearest 0.50",CEILING(AE37,0.5),IF(RoundingRule="Nearest 1",CEILING(AE37,1),IF(RoundingRule="Nearest 5",CEILING(AE37,5),IF(RoundingRule="Up to whole 1",CEILING(AE37,1),IF(RoundingRule="Up to whole 5",CEILING(AE37,5),ROUND(AE37,2))))))))),2)))</f>
        <v>0</v>
      </c>
      <c r="AG37" s="26">
        <f>IF(B37="","",ROUND(SUMIFS(Sales!$Y$5:$Y$1204,Sales!$I$5:$I$1204,A37,Sales!$H$5:$H$1204,"Retail"),2))</f>
        <v>0</v>
      </c>
      <c r="AH37" s="26">
        <f>IF(B37="","",ROUND(AG37-U37*IF(H37="",0,H37),2))</f>
        <v>0</v>
      </c>
      <c r="AI37" s="25">
        <f>IF(B37="","",COUNTIFS($AG$5:$AG$304,"&gt;"&amp;AG37)+COUNTIFS($AG$5:AG37,AG37))</f>
        <v>0</v>
      </c>
      <c r="AJ37" s="39">
        <f>IF(B37="","",IF(H37="","Add - no cost, no stock value",IF(Z37="Out of stock","Out of stock - order today",IF(Z37="Low stock","Order - running low",IF(IF(Q37="",FALSE,Q37&lt;=TodayDate+30),"Check - expiring within a month",IF(IF(R37="Yes",AD37&lt;0.25,FALSE),"Below - thin margin for a retail line",IF(IF(P37="",TRUE,TodayDate-P37&gt;90),"Due - not counted in three months","OK")))))))</f>
        <v>0</v>
      </c>
    </row>
    <row r="38" spans="1:36">
      <c r="A38" s="28">
        <f>IF(B38="","",ProductPrefix&amp;TEXT(ROW()-4,"000"))</f>
        <v>0</v>
      </c>
      <c r="T38" s="37">
        <f>IF(B38="","",ROUND(SUMIFS(Purchases!$U$5:$U$304,Purchases!$D$5:$D$304,A38),2))</f>
        <v>0</v>
      </c>
      <c r="U38" s="37">
        <f>IF(B38="","",ROUND(SUMIFS(Sales!$T$5:$T$1204,Sales!$I$5:$I$1204,A38,Sales!$H$5:$H$1204,"Retail"),2))</f>
        <v>0</v>
      </c>
      <c r="V38" s="37">
        <f>IF(B38="","",ROUND(IF(J38="",0,J38)+T38-IF(K38="",0,K38)-U38-IF(L38="",0,L38)+IF(M38="",0,M38),2))</f>
        <v>0</v>
      </c>
      <c r="W38" s="37">
        <f>IF(B38="","",ROUND((U38+IF(K38="",0,K38))/MAX(4,TrackingWeeks),2))</f>
        <v>0</v>
      </c>
      <c r="X38" s="37">
        <f>IF(B38="","",IF(W38&lt;=0,"",ROUND(V38/W38,1)))</f>
        <v>0</v>
      </c>
      <c r="Y38" s="37">
        <f>IF(B38="","",IF(N38&lt;&gt;"",N38,ROUND(W38*StockWarningWeeks,1)))</f>
        <v>0</v>
      </c>
      <c r="Z38" s="39">
        <f>IF(B38="","",IF(V38&lt;=0,"Out of stock",IF(V38&lt;=Y38,"Low stock",IF(R38="No","Backbar","In stock"))))</f>
        <v>0</v>
      </c>
      <c r="AA38" s="37">
        <f>IF(B38="","",IF(Z38="In stock","",IF(Z38="Backbar",IF(V38&lt;=Y38,MAX(1,IF(O38="",ROUND(W38*ReorderWeeks,0),O38)),""),MAX(1,IF(O38="",ROUND(W38*ReorderWeeks,0),O38)))))</f>
        <v>0</v>
      </c>
      <c r="AB38" s="26">
        <f>IF(B38="","",ROUND(V38*IF(H38="",0,H38),2))</f>
        <v>0</v>
      </c>
      <c r="AC38" s="26">
        <f>IF(B38="","",ROUND(V38*IF(I38="",0,I38),2))</f>
        <v>0</v>
      </c>
      <c r="AD38" s="27">
        <f>IF(B38="","",IF(IF(I38="",0,I38)=0,"",(I38-IF(H38="",0,H38))/I38))</f>
        <v>0</v>
      </c>
      <c r="AE38" s="26">
        <f>IF(B38="","",IF(H38="","",H38*RetailMarkup))</f>
        <v>0</v>
      </c>
      <c r="AF38" s="26">
        <f>IF(B38="","",IF(AE38="","",ROUND(IF(RoundingRule="None",AE38,IF(RoundingRule="Nearest 0.99",MAX(0.99,CEILING(AE38,1)-0.01),IF(RoundingRule="Nearest 0.95",MAX(0.95,CEILING(AE38,1)-0.05),IF(RoundingRule="Nearest 0.50",CEILING(AE38,0.5),IF(RoundingRule="Nearest 1",CEILING(AE38,1),IF(RoundingRule="Nearest 5",CEILING(AE38,5),IF(RoundingRule="Up to whole 1",CEILING(AE38,1),IF(RoundingRule="Up to whole 5",CEILING(AE38,5),ROUND(AE38,2))))))))),2)))</f>
        <v>0</v>
      </c>
      <c r="AG38" s="26">
        <f>IF(B38="","",ROUND(SUMIFS(Sales!$Y$5:$Y$1204,Sales!$I$5:$I$1204,A38,Sales!$H$5:$H$1204,"Retail"),2))</f>
        <v>0</v>
      </c>
      <c r="AH38" s="26">
        <f>IF(B38="","",ROUND(AG38-U38*IF(H38="",0,H38),2))</f>
        <v>0</v>
      </c>
      <c r="AI38" s="25">
        <f>IF(B38="","",COUNTIFS($AG$5:$AG$304,"&gt;"&amp;AG38)+COUNTIFS($AG$5:AG38,AG38))</f>
        <v>0</v>
      </c>
      <c r="AJ38" s="39">
        <f>IF(B38="","",IF(H38="","Add - no cost, no stock value",IF(Z38="Out of stock","Out of stock - order today",IF(Z38="Low stock","Order - running low",IF(IF(Q38="",FALSE,Q38&lt;=TodayDate+30),"Check - expiring within a month",IF(IF(R38="Yes",AD38&lt;0.25,FALSE),"Below - thin margin for a retail line",IF(IF(P38="",TRUE,TodayDate-P38&gt;90),"Due - not counted in three months","OK")))))))</f>
        <v>0</v>
      </c>
    </row>
    <row r="39" spans="1:36">
      <c r="A39" s="28">
        <f>IF(B39="","",ProductPrefix&amp;TEXT(ROW()-4,"000"))</f>
        <v>0</v>
      </c>
      <c r="T39" s="37">
        <f>IF(B39="","",ROUND(SUMIFS(Purchases!$U$5:$U$304,Purchases!$D$5:$D$304,A39),2))</f>
        <v>0</v>
      </c>
      <c r="U39" s="37">
        <f>IF(B39="","",ROUND(SUMIFS(Sales!$T$5:$T$1204,Sales!$I$5:$I$1204,A39,Sales!$H$5:$H$1204,"Retail"),2))</f>
        <v>0</v>
      </c>
      <c r="V39" s="37">
        <f>IF(B39="","",ROUND(IF(J39="",0,J39)+T39-IF(K39="",0,K39)-U39-IF(L39="",0,L39)+IF(M39="",0,M39),2))</f>
        <v>0</v>
      </c>
      <c r="W39" s="37">
        <f>IF(B39="","",ROUND((U39+IF(K39="",0,K39))/MAX(4,TrackingWeeks),2))</f>
        <v>0</v>
      </c>
      <c r="X39" s="37">
        <f>IF(B39="","",IF(W39&lt;=0,"",ROUND(V39/W39,1)))</f>
        <v>0</v>
      </c>
      <c r="Y39" s="37">
        <f>IF(B39="","",IF(N39&lt;&gt;"",N39,ROUND(W39*StockWarningWeeks,1)))</f>
        <v>0</v>
      </c>
      <c r="Z39" s="39">
        <f>IF(B39="","",IF(V39&lt;=0,"Out of stock",IF(V39&lt;=Y39,"Low stock",IF(R39="No","Backbar","In stock"))))</f>
        <v>0</v>
      </c>
      <c r="AA39" s="37">
        <f>IF(B39="","",IF(Z39="In stock","",IF(Z39="Backbar",IF(V39&lt;=Y39,MAX(1,IF(O39="",ROUND(W39*ReorderWeeks,0),O39)),""),MAX(1,IF(O39="",ROUND(W39*ReorderWeeks,0),O39)))))</f>
        <v>0</v>
      </c>
      <c r="AB39" s="26">
        <f>IF(B39="","",ROUND(V39*IF(H39="",0,H39),2))</f>
        <v>0</v>
      </c>
      <c r="AC39" s="26">
        <f>IF(B39="","",ROUND(V39*IF(I39="",0,I39),2))</f>
        <v>0</v>
      </c>
      <c r="AD39" s="27">
        <f>IF(B39="","",IF(IF(I39="",0,I39)=0,"",(I39-IF(H39="",0,H39))/I39))</f>
        <v>0</v>
      </c>
      <c r="AE39" s="26">
        <f>IF(B39="","",IF(H39="","",H39*RetailMarkup))</f>
        <v>0</v>
      </c>
      <c r="AF39" s="26">
        <f>IF(B39="","",IF(AE39="","",ROUND(IF(RoundingRule="None",AE39,IF(RoundingRule="Nearest 0.99",MAX(0.99,CEILING(AE39,1)-0.01),IF(RoundingRule="Nearest 0.95",MAX(0.95,CEILING(AE39,1)-0.05),IF(RoundingRule="Nearest 0.50",CEILING(AE39,0.5),IF(RoundingRule="Nearest 1",CEILING(AE39,1),IF(RoundingRule="Nearest 5",CEILING(AE39,5),IF(RoundingRule="Up to whole 1",CEILING(AE39,1),IF(RoundingRule="Up to whole 5",CEILING(AE39,5),ROUND(AE39,2))))))))),2)))</f>
        <v>0</v>
      </c>
      <c r="AG39" s="26">
        <f>IF(B39="","",ROUND(SUMIFS(Sales!$Y$5:$Y$1204,Sales!$I$5:$I$1204,A39,Sales!$H$5:$H$1204,"Retail"),2))</f>
        <v>0</v>
      </c>
      <c r="AH39" s="26">
        <f>IF(B39="","",ROUND(AG39-U39*IF(H39="",0,H39),2))</f>
        <v>0</v>
      </c>
      <c r="AI39" s="25">
        <f>IF(B39="","",COUNTIFS($AG$5:$AG$304,"&gt;"&amp;AG39)+COUNTIFS($AG$5:AG39,AG39))</f>
        <v>0</v>
      </c>
      <c r="AJ39" s="39">
        <f>IF(B39="","",IF(H39="","Add - no cost, no stock value",IF(Z39="Out of stock","Out of stock - order today",IF(Z39="Low stock","Order - running low",IF(IF(Q39="",FALSE,Q39&lt;=TodayDate+30),"Check - expiring within a month",IF(IF(R39="Yes",AD39&lt;0.25,FALSE),"Below - thin margin for a retail line",IF(IF(P39="",TRUE,TodayDate-P39&gt;90),"Due - not counted in three months","OK")))))))</f>
        <v>0</v>
      </c>
    </row>
    <row r="40" spans="1:36">
      <c r="A40" s="28">
        <f>IF(B40="","",ProductPrefix&amp;TEXT(ROW()-4,"000"))</f>
        <v>0</v>
      </c>
      <c r="T40" s="37">
        <f>IF(B40="","",ROUND(SUMIFS(Purchases!$U$5:$U$304,Purchases!$D$5:$D$304,A40),2))</f>
        <v>0</v>
      </c>
      <c r="U40" s="37">
        <f>IF(B40="","",ROUND(SUMIFS(Sales!$T$5:$T$1204,Sales!$I$5:$I$1204,A40,Sales!$H$5:$H$1204,"Retail"),2))</f>
        <v>0</v>
      </c>
      <c r="V40" s="37">
        <f>IF(B40="","",ROUND(IF(J40="",0,J40)+T40-IF(K40="",0,K40)-U40-IF(L40="",0,L40)+IF(M40="",0,M40),2))</f>
        <v>0</v>
      </c>
      <c r="W40" s="37">
        <f>IF(B40="","",ROUND((U40+IF(K40="",0,K40))/MAX(4,TrackingWeeks),2))</f>
        <v>0</v>
      </c>
      <c r="X40" s="37">
        <f>IF(B40="","",IF(W40&lt;=0,"",ROUND(V40/W40,1)))</f>
        <v>0</v>
      </c>
      <c r="Y40" s="37">
        <f>IF(B40="","",IF(N40&lt;&gt;"",N40,ROUND(W40*StockWarningWeeks,1)))</f>
        <v>0</v>
      </c>
      <c r="Z40" s="39">
        <f>IF(B40="","",IF(V40&lt;=0,"Out of stock",IF(V40&lt;=Y40,"Low stock",IF(R40="No","Backbar","In stock"))))</f>
        <v>0</v>
      </c>
      <c r="AA40" s="37">
        <f>IF(B40="","",IF(Z40="In stock","",IF(Z40="Backbar",IF(V40&lt;=Y40,MAX(1,IF(O40="",ROUND(W40*ReorderWeeks,0),O40)),""),MAX(1,IF(O40="",ROUND(W40*ReorderWeeks,0),O40)))))</f>
        <v>0</v>
      </c>
      <c r="AB40" s="26">
        <f>IF(B40="","",ROUND(V40*IF(H40="",0,H40),2))</f>
        <v>0</v>
      </c>
      <c r="AC40" s="26">
        <f>IF(B40="","",ROUND(V40*IF(I40="",0,I40),2))</f>
        <v>0</v>
      </c>
      <c r="AD40" s="27">
        <f>IF(B40="","",IF(IF(I40="",0,I40)=0,"",(I40-IF(H40="",0,H40))/I40))</f>
        <v>0</v>
      </c>
      <c r="AE40" s="26">
        <f>IF(B40="","",IF(H40="","",H40*RetailMarkup))</f>
        <v>0</v>
      </c>
      <c r="AF40" s="26">
        <f>IF(B40="","",IF(AE40="","",ROUND(IF(RoundingRule="None",AE40,IF(RoundingRule="Nearest 0.99",MAX(0.99,CEILING(AE40,1)-0.01),IF(RoundingRule="Nearest 0.95",MAX(0.95,CEILING(AE40,1)-0.05),IF(RoundingRule="Nearest 0.50",CEILING(AE40,0.5),IF(RoundingRule="Nearest 1",CEILING(AE40,1),IF(RoundingRule="Nearest 5",CEILING(AE40,5),IF(RoundingRule="Up to whole 1",CEILING(AE40,1),IF(RoundingRule="Up to whole 5",CEILING(AE40,5),ROUND(AE40,2))))))))),2)))</f>
        <v>0</v>
      </c>
      <c r="AG40" s="26">
        <f>IF(B40="","",ROUND(SUMIFS(Sales!$Y$5:$Y$1204,Sales!$I$5:$I$1204,A40,Sales!$H$5:$H$1204,"Retail"),2))</f>
        <v>0</v>
      </c>
      <c r="AH40" s="26">
        <f>IF(B40="","",ROUND(AG40-U40*IF(H40="",0,H40),2))</f>
        <v>0</v>
      </c>
      <c r="AI40" s="25">
        <f>IF(B40="","",COUNTIFS($AG$5:$AG$304,"&gt;"&amp;AG40)+COUNTIFS($AG$5:AG40,AG40))</f>
        <v>0</v>
      </c>
      <c r="AJ40" s="39">
        <f>IF(B40="","",IF(H40="","Add - no cost, no stock value",IF(Z40="Out of stock","Out of stock - order today",IF(Z40="Low stock","Order - running low",IF(IF(Q40="",FALSE,Q40&lt;=TodayDate+30),"Check - expiring within a month",IF(IF(R40="Yes",AD40&lt;0.25,FALSE),"Below - thin margin for a retail line",IF(IF(P40="",TRUE,TodayDate-P40&gt;90),"Due - not counted in three months","OK")))))))</f>
        <v>0</v>
      </c>
    </row>
    <row r="41" spans="1:36">
      <c r="A41" s="28">
        <f>IF(B41="","",ProductPrefix&amp;TEXT(ROW()-4,"000"))</f>
        <v>0</v>
      </c>
      <c r="T41" s="37">
        <f>IF(B41="","",ROUND(SUMIFS(Purchases!$U$5:$U$304,Purchases!$D$5:$D$304,A41),2))</f>
        <v>0</v>
      </c>
      <c r="U41" s="37">
        <f>IF(B41="","",ROUND(SUMIFS(Sales!$T$5:$T$1204,Sales!$I$5:$I$1204,A41,Sales!$H$5:$H$1204,"Retail"),2))</f>
        <v>0</v>
      </c>
      <c r="V41" s="37">
        <f>IF(B41="","",ROUND(IF(J41="",0,J41)+T41-IF(K41="",0,K41)-U41-IF(L41="",0,L41)+IF(M41="",0,M41),2))</f>
        <v>0</v>
      </c>
      <c r="W41" s="37">
        <f>IF(B41="","",ROUND((U41+IF(K41="",0,K41))/MAX(4,TrackingWeeks),2))</f>
        <v>0</v>
      </c>
      <c r="X41" s="37">
        <f>IF(B41="","",IF(W41&lt;=0,"",ROUND(V41/W41,1)))</f>
        <v>0</v>
      </c>
      <c r="Y41" s="37">
        <f>IF(B41="","",IF(N41&lt;&gt;"",N41,ROUND(W41*StockWarningWeeks,1)))</f>
        <v>0</v>
      </c>
      <c r="Z41" s="39">
        <f>IF(B41="","",IF(V41&lt;=0,"Out of stock",IF(V41&lt;=Y41,"Low stock",IF(R41="No","Backbar","In stock"))))</f>
        <v>0</v>
      </c>
      <c r="AA41" s="37">
        <f>IF(B41="","",IF(Z41="In stock","",IF(Z41="Backbar",IF(V41&lt;=Y41,MAX(1,IF(O41="",ROUND(W41*ReorderWeeks,0),O41)),""),MAX(1,IF(O41="",ROUND(W41*ReorderWeeks,0),O41)))))</f>
        <v>0</v>
      </c>
      <c r="AB41" s="26">
        <f>IF(B41="","",ROUND(V41*IF(H41="",0,H41),2))</f>
        <v>0</v>
      </c>
      <c r="AC41" s="26">
        <f>IF(B41="","",ROUND(V41*IF(I41="",0,I41),2))</f>
        <v>0</v>
      </c>
      <c r="AD41" s="27">
        <f>IF(B41="","",IF(IF(I41="",0,I41)=0,"",(I41-IF(H41="",0,H41))/I41))</f>
        <v>0</v>
      </c>
      <c r="AE41" s="26">
        <f>IF(B41="","",IF(H41="","",H41*RetailMarkup))</f>
        <v>0</v>
      </c>
      <c r="AF41" s="26">
        <f>IF(B41="","",IF(AE41="","",ROUND(IF(RoundingRule="None",AE41,IF(RoundingRule="Nearest 0.99",MAX(0.99,CEILING(AE41,1)-0.01),IF(RoundingRule="Nearest 0.95",MAX(0.95,CEILING(AE41,1)-0.05),IF(RoundingRule="Nearest 0.50",CEILING(AE41,0.5),IF(RoundingRule="Nearest 1",CEILING(AE41,1),IF(RoundingRule="Nearest 5",CEILING(AE41,5),IF(RoundingRule="Up to whole 1",CEILING(AE41,1),IF(RoundingRule="Up to whole 5",CEILING(AE41,5),ROUND(AE41,2))))))))),2)))</f>
        <v>0</v>
      </c>
      <c r="AG41" s="26">
        <f>IF(B41="","",ROUND(SUMIFS(Sales!$Y$5:$Y$1204,Sales!$I$5:$I$1204,A41,Sales!$H$5:$H$1204,"Retail"),2))</f>
        <v>0</v>
      </c>
      <c r="AH41" s="26">
        <f>IF(B41="","",ROUND(AG41-U41*IF(H41="",0,H41),2))</f>
        <v>0</v>
      </c>
      <c r="AI41" s="25">
        <f>IF(B41="","",COUNTIFS($AG$5:$AG$304,"&gt;"&amp;AG41)+COUNTIFS($AG$5:AG41,AG41))</f>
        <v>0</v>
      </c>
      <c r="AJ41" s="39">
        <f>IF(B41="","",IF(H41="","Add - no cost, no stock value",IF(Z41="Out of stock","Out of stock - order today",IF(Z41="Low stock","Order - running low",IF(IF(Q41="",FALSE,Q41&lt;=TodayDate+30),"Check - expiring within a month",IF(IF(R41="Yes",AD41&lt;0.25,FALSE),"Below - thin margin for a retail line",IF(IF(P41="",TRUE,TodayDate-P41&gt;90),"Due - not counted in three months","OK")))))))</f>
        <v>0</v>
      </c>
    </row>
    <row r="42" spans="1:36">
      <c r="A42" s="28">
        <f>IF(B42="","",ProductPrefix&amp;TEXT(ROW()-4,"000"))</f>
        <v>0</v>
      </c>
      <c r="T42" s="37">
        <f>IF(B42="","",ROUND(SUMIFS(Purchases!$U$5:$U$304,Purchases!$D$5:$D$304,A42),2))</f>
        <v>0</v>
      </c>
      <c r="U42" s="37">
        <f>IF(B42="","",ROUND(SUMIFS(Sales!$T$5:$T$1204,Sales!$I$5:$I$1204,A42,Sales!$H$5:$H$1204,"Retail"),2))</f>
        <v>0</v>
      </c>
      <c r="V42" s="37">
        <f>IF(B42="","",ROUND(IF(J42="",0,J42)+T42-IF(K42="",0,K42)-U42-IF(L42="",0,L42)+IF(M42="",0,M42),2))</f>
        <v>0</v>
      </c>
      <c r="W42" s="37">
        <f>IF(B42="","",ROUND((U42+IF(K42="",0,K42))/MAX(4,TrackingWeeks),2))</f>
        <v>0</v>
      </c>
      <c r="X42" s="37">
        <f>IF(B42="","",IF(W42&lt;=0,"",ROUND(V42/W42,1)))</f>
        <v>0</v>
      </c>
      <c r="Y42" s="37">
        <f>IF(B42="","",IF(N42&lt;&gt;"",N42,ROUND(W42*StockWarningWeeks,1)))</f>
        <v>0</v>
      </c>
      <c r="Z42" s="39">
        <f>IF(B42="","",IF(V42&lt;=0,"Out of stock",IF(V42&lt;=Y42,"Low stock",IF(R42="No","Backbar","In stock"))))</f>
        <v>0</v>
      </c>
      <c r="AA42" s="37">
        <f>IF(B42="","",IF(Z42="In stock","",IF(Z42="Backbar",IF(V42&lt;=Y42,MAX(1,IF(O42="",ROUND(W42*ReorderWeeks,0),O42)),""),MAX(1,IF(O42="",ROUND(W42*ReorderWeeks,0),O42)))))</f>
        <v>0</v>
      </c>
      <c r="AB42" s="26">
        <f>IF(B42="","",ROUND(V42*IF(H42="",0,H42),2))</f>
        <v>0</v>
      </c>
      <c r="AC42" s="26">
        <f>IF(B42="","",ROUND(V42*IF(I42="",0,I42),2))</f>
        <v>0</v>
      </c>
      <c r="AD42" s="27">
        <f>IF(B42="","",IF(IF(I42="",0,I42)=0,"",(I42-IF(H42="",0,H42))/I42))</f>
        <v>0</v>
      </c>
      <c r="AE42" s="26">
        <f>IF(B42="","",IF(H42="","",H42*RetailMarkup))</f>
        <v>0</v>
      </c>
      <c r="AF42" s="26">
        <f>IF(B42="","",IF(AE42="","",ROUND(IF(RoundingRule="None",AE42,IF(RoundingRule="Nearest 0.99",MAX(0.99,CEILING(AE42,1)-0.01),IF(RoundingRule="Nearest 0.95",MAX(0.95,CEILING(AE42,1)-0.05),IF(RoundingRule="Nearest 0.50",CEILING(AE42,0.5),IF(RoundingRule="Nearest 1",CEILING(AE42,1),IF(RoundingRule="Nearest 5",CEILING(AE42,5),IF(RoundingRule="Up to whole 1",CEILING(AE42,1),IF(RoundingRule="Up to whole 5",CEILING(AE42,5),ROUND(AE42,2))))))))),2)))</f>
        <v>0</v>
      </c>
      <c r="AG42" s="26">
        <f>IF(B42="","",ROUND(SUMIFS(Sales!$Y$5:$Y$1204,Sales!$I$5:$I$1204,A42,Sales!$H$5:$H$1204,"Retail"),2))</f>
        <v>0</v>
      </c>
      <c r="AH42" s="26">
        <f>IF(B42="","",ROUND(AG42-U42*IF(H42="",0,H42),2))</f>
        <v>0</v>
      </c>
      <c r="AI42" s="25">
        <f>IF(B42="","",COUNTIFS($AG$5:$AG$304,"&gt;"&amp;AG42)+COUNTIFS($AG$5:AG42,AG42))</f>
        <v>0</v>
      </c>
      <c r="AJ42" s="39">
        <f>IF(B42="","",IF(H42="","Add - no cost, no stock value",IF(Z42="Out of stock","Out of stock - order today",IF(Z42="Low stock","Order - running low",IF(IF(Q42="",FALSE,Q42&lt;=TodayDate+30),"Check - expiring within a month",IF(IF(R42="Yes",AD42&lt;0.25,FALSE),"Below - thin margin for a retail line",IF(IF(P42="",TRUE,TodayDate-P42&gt;90),"Due - not counted in three months","OK")))))))</f>
        <v>0</v>
      </c>
    </row>
    <row r="43" spans="1:36">
      <c r="A43" s="28">
        <f>IF(B43="","",ProductPrefix&amp;TEXT(ROW()-4,"000"))</f>
        <v>0</v>
      </c>
      <c r="T43" s="37">
        <f>IF(B43="","",ROUND(SUMIFS(Purchases!$U$5:$U$304,Purchases!$D$5:$D$304,A43),2))</f>
        <v>0</v>
      </c>
      <c r="U43" s="37">
        <f>IF(B43="","",ROUND(SUMIFS(Sales!$T$5:$T$1204,Sales!$I$5:$I$1204,A43,Sales!$H$5:$H$1204,"Retail"),2))</f>
        <v>0</v>
      </c>
      <c r="V43" s="37">
        <f>IF(B43="","",ROUND(IF(J43="",0,J43)+T43-IF(K43="",0,K43)-U43-IF(L43="",0,L43)+IF(M43="",0,M43),2))</f>
        <v>0</v>
      </c>
      <c r="W43" s="37">
        <f>IF(B43="","",ROUND((U43+IF(K43="",0,K43))/MAX(4,TrackingWeeks),2))</f>
        <v>0</v>
      </c>
      <c r="X43" s="37">
        <f>IF(B43="","",IF(W43&lt;=0,"",ROUND(V43/W43,1)))</f>
        <v>0</v>
      </c>
      <c r="Y43" s="37">
        <f>IF(B43="","",IF(N43&lt;&gt;"",N43,ROUND(W43*StockWarningWeeks,1)))</f>
        <v>0</v>
      </c>
      <c r="Z43" s="39">
        <f>IF(B43="","",IF(V43&lt;=0,"Out of stock",IF(V43&lt;=Y43,"Low stock",IF(R43="No","Backbar","In stock"))))</f>
        <v>0</v>
      </c>
      <c r="AA43" s="37">
        <f>IF(B43="","",IF(Z43="In stock","",IF(Z43="Backbar",IF(V43&lt;=Y43,MAX(1,IF(O43="",ROUND(W43*ReorderWeeks,0),O43)),""),MAX(1,IF(O43="",ROUND(W43*ReorderWeeks,0),O43)))))</f>
        <v>0</v>
      </c>
      <c r="AB43" s="26">
        <f>IF(B43="","",ROUND(V43*IF(H43="",0,H43),2))</f>
        <v>0</v>
      </c>
      <c r="AC43" s="26">
        <f>IF(B43="","",ROUND(V43*IF(I43="",0,I43),2))</f>
        <v>0</v>
      </c>
      <c r="AD43" s="27">
        <f>IF(B43="","",IF(IF(I43="",0,I43)=0,"",(I43-IF(H43="",0,H43))/I43))</f>
        <v>0</v>
      </c>
      <c r="AE43" s="26">
        <f>IF(B43="","",IF(H43="","",H43*RetailMarkup))</f>
        <v>0</v>
      </c>
      <c r="AF43" s="26">
        <f>IF(B43="","",IF(AE43="","",ROUND(IF(RoundingRule="None",AE43,IF(RoundingRule="Nearest 0.99",MAX(0.99,CEILING(AE43,1)-0.01),IF(RoundingRule="Nearest 0.95",MAX(0.95,CEILING(AE43,1)-0.05),IF(RoundingRule="Nearest 0.50",CEILING(AE43,0.5),IF(RoundingRule="Nearest 1",CEILING(AE43,1),IF(RoundingRule="Nearest 5",CEILING(AE43,5),IF(RoundingRule="Up to whole 1",CEILING(AE43,1),IF(RoundingRule="Up to whole 5",CEILING(AE43,5),ROUND(AE43,2))))))))),2)))</f>
        <v>0</v>
      </c>
      <c r="AG43" s="26">
        <f>IF(B43="","",ROUND(SUMIFS(Sales!$Y$5:$Y$1204,Sales!$I$5:$I$1204,A43,Sales!$H$5:$H$1204,"Retail"),2))</f>
        <v>0</v>
      </c>
      <c r="AH43" s="26">
        <f>IF(B43="","",ROUND(AG43-U43*IF(H43="",0,H43),2))</f>
        <v>0</v>
      </c>
      <c r="AI43" s="25">
        <f>IF(B43="","",COUNTIFS($AG$5:$AG$304,"&gt;"&amp;AG43)+COUNTIFS($AG$5:AG43,AG43))</f>
        <v>0</v>
      </c>
      <c r="AJ43" s="39">
        <f>IF(B43="","",IF(H43="","Add - no cost, no stock value",IF(Z43="Out of stock","Out of stock - order today",IF(Z43="Low stock","Order - running low",IF(IF(Q43="",FALSE,Q43&lt;=TodayDate+30),"Check - expiring within a month",IF(IF(R43="Yes",AD43&lt;0.25,FALSE),"Below - thin margin for a retail line",IF(IF(P43="",TRUE,TodayDate-P43&gt;90),"Due - not counted in three months","OK")))))))</f>
        <v>0</v>
      </c>
    </row>
    <row r="44" spans="1:36">
      <c r="A44" s="28">
        <f>IF(B44="","",ProductPrefix&amp;TEXT(ROW()-4,"000"))</f>
        <v>0</v>
      </c>
      <c r="T44" s="37">
        <f>IF(B44="","",ROUND(SUMIFS(Purchases!$U$5:$U$304,Purchases!$D$5:$D$304,A44),2))</f>
        <v>0</v>
      </c>
      <c r="U44" s="37">
        <f>IF(B44="","",ROUND(SUMIFS(Sales!$T$5:$T$1204,Sales!$I$5:$I$1204,A44,Sales!$H$5:$H$1204,"Retail"),2))</f>
        <v>0</v>
      </c>
      <c r="V44" s="37">
        <f>IF(B44="","",ROUND(IF(J44="",0,J44)+T44-IF(K44="",0,K44)-U44-IF(L44="",0,L44)+IF(M44="",0,M44),2))</f>
        <v>0</v>
      </c>
      <c r="W44" s="37">
        <f>IF(B44="","",ROUND((U44+IF(K44="",0,K44))/MAX(4,TrackingWeeks),2))</f>
        <v>0</v>
      </c>
      <c r="X44" s="37">
        <f>IF(B44="","",IF(W44&lt;=0,"",ROUND(V44/W44,1)))</f>
        <v>0</v>
      </c>
      <c r="Y44" s="37">
        <f>IF(B44="","",IF(N44&lt;&gt;"",N44,ROUND(W44*StockWarningWeeks,1)))</f>
        <v>0</v>
      </c>
      <c r="Z44" s="39">
        <f>IF(B44="","",IF(V44&lt;=0,"Out of stock",IF(V44&lt;=Y44,"Low stock",IF(R44="No","Backbar","In stock"))))</f>
        <v>0</v>
      </c>
      <c r="AA44" s="37">
        <f>IF(B44="","",IF(Z44="In stock","",IF(Z44="Backbar",IF(V44&lt;=Y44,MAX(1,IF(O44="",ROUND(W44*ReorderWeeks,0),O44)),""),MAX(1,IF(O44="",ROUND(W44*ReorderWeeks,0),O44)))))</f>
        <v>0</v>
      </c>
      <c r="AB44" s="26">
        <f>IF(B44="","",ROUND(V44*IF(H44="",0,H44),2))</f>
        <v>0</v>
      </c>
      <c r="AC44" s="26">
        <f>IF(B44="","",ROUND(V44*IF(I44="",0,I44),2))</f>
        <v>0</v>
      </c>
      <c r="AD44" s="27">
        <f>IF(B44="","",IF(IF(I44="",0,I44)=0,"",(I44-IF(H44="",0,H44))/I44))</f>
        <v>0</v>
      </c>
      <c r="AE44" s="26">
        <f>IF(B44="","",IF(H44="","",H44*RetailMarkup))</f>
        <v>0</v>
      </c>
      <c r="AF44" s="26">
        <f>IF(B44="","",IF(AE44="","",ROUND(IF(RoundingRule="None",AE44,IF(RoundingRule="Nearest 0.99",MAX(0.99,CEILING(AE44,1)-0.01),IF(RoundingRule="Nearest 0.95",MAX(0.95,CEILING(AE44,1)-0.05),IF(RoundingRule="Nearest 0.50",CEILING(AE44,0.5),IF(RoundingRule="Nearest 1",CEILING(AE44,1),IF(RoundingRule="Nearest 5",CEILING(AE44,5),IF(RoundingRule="Up to whole 1",CEILING(AE44,1),IF(RoundingRule="Up to whole 5",CEILING(AE44,5),ROUND(AE44,2))))))))),2)))</f>
        <v>0</v>
      </c>
      <c r="AG44" s="26">
        <f>IF(B44="","",ROUND(SUMIFS(Sales!$Y$5:$Y$1204,Sales!$I$5:$I$1204,A44,Sales!$H$5:$H$1204,"Retail"),2))</f>
        <v>0</v>
      </c>
      <c r="AH44" s="26">
        <f>IF(B44="","",ROUND(AG44-U44*IF(H44="",0,H44),2))</f>
        <v>0</v>
      </c>
      <c r="AI44" s="25">
        <f>IF(B44="","",COUNTIFS($AG$5:$AG$304,"&gt;"&amp;AG44)+COUNTIFS($AG$5:AG44,AG44))</f>
        <v>0</v>
      </c>
      <c r="AJ44" s="39">
        <f>IF(B44="","",IF(H44="","Add - no cost, no stock value",IF(Z44="Out of stock","Out of stock - order today",IF(Z44="Low stock","Order - running low",IF(IF(Q44="",FALSE,Q44&lt;=TodayDate+30),"Check - expiring within a month",IF(IF(R44="Yes",AD44&lt;0.25,FALSE),"Below - thin margin for a retail line",IF(IF(P44="",TRUE,TodayDate-P44&gt;90),"Due - not counted in three months","OK")))))))</f>
        <v>0</v>
      </c>
    </row>
    <row r="45" spans="1:36">
      <c r="A45" s="28">
        <f>IF(B45="","",ProductPrefix&amp;TEXT(ROW()-4,"000"))</f>
        <v>0</v>
      </c>
      <c r="T45" s="37">
        <f>IF(B45="","",ROUND(SUMIFS(Purchases!$U$5:$U$304,Purchases!$D$5:$D$304,A45),2))</f>
        <v>0</v>
      </c>
      <c r="U45" s="37">
        <f>IF(B45="","",ROUND(SUMIFS(Sales!$T$5:$T$1204,Sales!$I$5:$I$1204,A45,Sales!$H$5:$H$1204,"Retail"),2))</f>
        <v>0</v>
      </c>
      <c r="V45" s="37">
        <f>IF(B45="","",ROUND(IF(J45="",0,J45)+T45-IF(K45="",0,K45)-U45-IF(L45="",0,L45)+IF(M45="",0,M45),2))</f>
        <v>0</v>
      </c>
      <c r="W45" s="37">
        <f>IF(B45="","",ROUND((U45+IF(K45="",0,K45))/MAX(4,TrackingWeeks),2))</f>
        <v>0</v>
      </c>
      <c r="X45" s="37">
        <f>IF(B45="","",IF(W45&lt;=0,"",ROUND(V45/W45,1)))</f>
        <v>0</v>
      </c>
      <c r="Y45" s="37">
        <f>IF(B45="","",IF(N45&lt;&gt;"",N45,ROUND(W45*StockWarningWeeks,1)))</f>
        <v>0</v>
      </c>
      <c r="Z45" s="39">
        <f>IF(B45="","",IF(V45&lt;=0,"Out of stock",IF(V45&lt;=Y45,"Low stock",IF(R45="No","Backbar","In stock"))))</f>
        <v>0</v>
      </c>
      <c r="AA45" s="37">
        <f>IF(B45="","",IF(Z45="In stock","",IF(Z45="Backbar",IF(V45&lt;=Y45,MAX(1,IF(O45="",ROUND(W45*ReorderWeeks,0),O45)),""),MAX(1,IF(O45="",ROUND(W45*ReorderWeeks,0),O45)))))</f>
        <v>0</v>
      </c>
      <c r="AB45" s="26">
        <f>IF(B45="","",ROUND(V45*IF(H45="",0,H45),2))</f>
        <v>0</v>
      </c>
      <c r="AC45" s="26">
        <f>IF(B45="","",ROUND(V45*IF(I45="",0,I45),2))</f>
        <v>0</v>
      </c>
      <c r="AD45" s="27">
        <f>IF(B45="","",IF(IF(I45="",0,I45)=0,"",(I45-IF(H45="",0,H45))/I45))</f>
        <v>0</v>
      </c>
      <c r="AE45" s="26">
        <f>IF(B45="","",IF(H45="","",H45*RetailMarkup))</f>
        <v>0</v>
      </c>
      <c r="AF45" s="26">
        <f>IF(B45="","",IF(AE45="","",ROUND(IF(RoundingRule="None",AE45,IF(RoundingRule="Nearest 0.99",MAX(0.99,CEILING(AE45,1)-0.01),IF(RoundingRule="Nearest 0.95",MAX(0.95,CEILING(AE45,1)-0.05),IF(RoundingRule="Nearest 0.50",CEILING(AE45,0.5),IF(RoundingRule="Nearest 1",CEILING(AE45,1),IF(RoundingRule="Nearest 5",CEILING(AE45,5),IF(RoundingRule="Up to whole 1",CEILING(AE45,1),IF(RoundingRule="Up to whole 5",CEILING(AE45,5),ROUND(AE45,2))))))))),2)))</f>
        <v>0</v>
      </c>
      <c r="AG45" s="26">
        <f>IF(B45="","",ROUND(SUMIFS(Sales!$Y$5:$Y$1204,Sales!$I$5:$I$1204,A45,Sales!$H$5:$H$1204,"Retail"),2))</f>
        <v>0</v>
      </c>
      <c r="AH45" s="26">
        <f>IF(B45="","",ROUND(AG45-U45*IF(H45="",0,H45),2))</f>
        <v>0</v>
      </c>
      <c r="AI45" s="25">
        <f>IF(B45="","",COUNTIFS($AG$5:$AG$304,"&gt;"&amp;AG45)+COUNTIFS($AG$5:AG45,AG45))</f>
        <v>0</v>
      </c>
      <c r="AJ45" s="39">
        <f>IF(B45="","",IF(H45="","Add - no cost, no stock value",IF(Z45="Out of stock","Out of stock - order today",IF(Z45="Low stock","Order - running low",IF(IF(Q45="",FALSE,Q45&lt;=TodayDate+30),"Check - expiring within a month",IF(IF(R45="Yes",AD45&lt;0.25,FALSE),"Below - thin margin for a retail line",IF(IF(P45="",TRUE,TodayDate-P45&gt;90),"Due - not counted in three months","OK")))))))</f>
        <v>0</v>
      </c>
    </row>
    <row r="46" spans="1:36">
      <c r="A46" s="28">
        <f>IF(B46="","",ProductPrefix&amp;TEXT(ROW()-4,"000"))</f>
        <v>0</v>
      </c>
      <c r="T46" s="37">
        <f>IF(B46="","",ROUND(SUMIFS(Purchases!$U$5:$U$304,Purchases!$D$5:$D$304,A46),2))</f>
        <v>0</v>
      </c>
      <c r="U46" s="37">
        <f>IF(B46="","",ROUND(SUMIFS(Sales!$T$5:$T$1204,Sales!$I$5:$I$1204,A46,Sales!$H$5:$H$1204,"Retail"),2))</f>
        <v>0</v>
      </c>
      <c r="V46" s="37">
        <f>IF(B46="","",ROUND(IF(J46="",0,J46)+T46-IF(K46="",0,K46)-U46-IF(L46="",0,L46)+IF(M46="",0,M46),2))</f>
        <v>0</v>
      </c>
      <c r="W46" s="37">
        <f>IF(B46="","",ROUND((U46+IF(K46="",0,K46))/MAX(4,TrackingWeeks),2))</f>
        <v>0</v>
      </c>
      <c r="X46" s="37">
        <f>IF(B46="","",IF(W46&lt;=0,"",ROUND(V46/W46,1)))</f>
        <v>0</v>
      </c>
      <c r="Y46" s="37">
        <f>IF(B46="","",IF(N46&lt;&gt;"",N46,ROUND(W46*StockWarningWeeks,1)))</f>
        <v>0</v>
      </c>
      <c r="Z46" s="39">
        <f>IF(B46="","",IF(V46&lt;=0,"Out of stock",IF(V46&lt;=Y46,"Low stock",IF(R46="No","Backbar","In stock"))))</f>
        <v>0</v>
      </c>
      <c r="AA46" s="37">
        <f>IF(B46="","",IF(Z46="In stock","",IF(Z46="Backbar",IF(V46&lt;=Y46,MAX(1,IF(O46="",ROUND(W46*ReorderWeeks,0),O46)),""),MAX(1,IF(O46="",ROUND(W46*ReorderWeeks,0),O46)))))</f>
        <v>0</v>
      </c>
      <c r="AB46" s="26">
        <f>IF(B46="","",ROUND(V46*IF(H46="",0,H46),2))</f>
        <v>0</v>
      </c>
      <c r="AC46" s="26">
        <f>IF(B46="","",ROUND(V46*IF(I46="",0,I46),2))</f>
        <v>0</v>
      </c>
      <c r="AD46" s="27">
        <f>IF(B46="","",IF(IF(I46="",0,I46)=0,"",(I46-IF(H46="",0,H46))/I46))</f>
        <v>0</v>
      </c>
      <c r="AE46" s="26">
        <f>IF(B46="","",IF(H46="","",H46*RetailMarkup))</f>
        <v>0</v>
      </c>
      <c r="AF46" s="26">
        <f>IF(B46="","",IF(AE46="","",ROUND(IF(RoundingRule="None",AE46,IF(RoundingRule="Nearest 0.99",MAX(0.99,CEILING(AE46,1)-0.01),IF(RoundingRule="Nearest 0.95",MAX(0.95,CEILING(AE46,1)-0.05),IF(RoundingRule="Nearest 0.50",CEILING(AE46,0.5),IF(RoundingRule="Nearest 1",CEILING(AE46,1),IF(RoundingRule="Nearest 5",CEILING(AE46,5),IF(RoundingRule="Up to whole 1",CEILING(AE46,1),IF(RoundingRule="Up to whole 5",CEILING(AE46,5),ROUND(AE46,2))))))))),2)))</f>
        <v>0</v>
      </c>
      <c r="AG46" s="26">
        <f>IF(B46="","",ROUND(SUMIFS(Sales!$Y$5:$Y$1204,Sales!$I$5:$I$1204,A46,Sales!$H$5:$H$1204,"Retail"),2))</f>
        <v>0</v>
      </c>
      <c r="AH46" s="26">
        <f>IF(B46="","",ROUND(AG46-U46*IF(H46="",0,H46),2))</f>
        <v>0</v>
      </c>
      <c r="AI46" s="25">
        <f>IF(B46="","",COUNTIFS($AG$5:$AG$304,"&gt;"&amp;AG46)+COUNTIFS($AG$5:AG46,AG46))</f>
        <v>0</v>
      </c>
      <c r="AJ46" s="39">
        <f>IF(B46="","",IF(H46="","Add - no cost, no stock value",IF(Z46="Out of stock","Out of stock - order today",IF(Z46="Low stock","Order - running low",IF(IF(Q46="",FALSE,Q46&lt;=TodayDate+30),"Check - expiring within a month",IF(IF(R46="Yes",AD46&lt;0.25,FALSE),"Below - thin margin for a retail line",IF(IF(P46="",TRUE,TodayDate-P46&gt;90),"Due - not counted in three months","OK")))))))</f>
        <v>0</v>
      </c>
    </row>
    <row r="47" spans="1:36">
      <c r="A47" s="28">
        <f>IF(B47="","",ProductPrefix&amp;TEXT(ROW()-4,"000"))</f>
        <v>0</v>
      </c>
      <c r="T47" s="37">
        <f>IF(B47="","",ROUND(SUMIFS(Purchases!$U$5:$U$304,Purchases!$D$5:$D$304,A47),2))</f>
        <v>0</v>
      </c>
      <c r="U47" s="37">
        <f>IF(B47="","",ROUND(SUMIFS(Sales!$T$5:$T$1204,Sales!$I$5:$I$1204,A47,Sales!$H$5:$H$1204,"Retail"),2))</f>
        <v>0</v>
      </c>
      <c r="V47" s="37">
        <f>IF(B47="","",ROUND(IF(J47="",0,J47)+T47-IF(K47="",0,K47)-U47-IF(L47="",0,L47)+IF(M47="",0,M47),2))</f>
        <v>0</v>
      </c>
      <c r="W47" s="37">
        <f>IF(B47="","",ROUND((U47+IF(K47="",0,K47))/MAX(4,TrackingWeeks),2))</f>
        <v>0</v>
      </c>
      <c r="X47" s="37">
        <f>IF(B47="","",IF(W47&lt;=0,"",ROUND(V47/W47,1)))</f>
        <v>0</v>
      </c>
      <c r="Y47" s="37">
        <f>IF(B47="","",IF(N47&lt;&gt;"",N47,ROUND(W47*StockWarningWeeks,1)))</f>
        <v>0</v>
      </c>
      <c r="Z47" s="39">
        <f>IF(B47="","",IF(V47&lt;=0,"Out of stock",IF(V47&lt;=Y47,"Low stock",IF(R47="No","Backbar","In stock"))))</f>
        <v>0</v>
      </c>
      <c r="AA47" s="37">
        <f>IF(B47="","",IF(Z47="In stock","",IF(Z47="Backbar",IF(V47&lt;=Y47,MAX(1,IF(O47="",ROUND(W47*ReorderWeeks,0),O47)),""),MAX(1,IF(O47="",ROUND(W47*ReorderWeeks,0),O47)))))</f>
        <v>0</v>
      </c>
      <c r="AB47" s="26">
        <f>IF(B47="","",ROUND(V47*IF(H47="",0,H47),2))</f>
        <v>0</v>
      </c>
      <c r="AC47" s="26">
        <f>IF(B47="","",ROUND(V47*IF(I47="",0,I47),2))</f>
        <v>0</v>
      </c>
      <c r="AD47" s="27">
        <f>IF(B47="","",IF(IF(I47="",0,I47)=0,"",(I47-IF(H47="",0,H47))/I47))</f>
        <v>0</v>
      </c>
      <c r="AE47" s="26">
        <f>IF(B47="","",IF(H47="","",H47*RetailMarkup))</f>
        <v>0</v>
      </c>
      <c r="AF47" s="26">
        <f>IF(B47="","",IF(AE47="","",ROUND(IF(RoundingRule="None",AE47,IF(RoundingRule="Nearest 0.99",MAX(0.99,CEILING(AE47,1)-0.01),IF(RoundingRule="Nearest 0.95",MAX(0.95,CEILING(AE47,1)-0.05),IF(RoundingRule="Nearest 0.50",CEILING(AE47,0.5),IF(RoundingRule="Nearest 1",CEILING(AE47,1),IF(RoundingRule="Nearest 5",CEILING(AE47,5),IF(RoundingRule="Up to whole 1",CEILING(AE47,1),IF(RoundingRule="Up to whole 5",CEILING(AE47,5),ROUND(AE47,2))))))))),2)))</f>
        <v>0</v>
      </c>
      <c r="AG47" s="26">
        <f>IF(B47="","",ROUND(SUMIFS(Sales!$Y$5:$Y$1204,Sales!$I$5:$I$1204,A47,Sales!$H$5:$H$1204,"Retail"),2))</f>
        <v>0</v>
      </c>
      <c r="AH47" s="26">
        <f>IF(B47="","",ROUND(AG47-U47*IF(H47="",0,H47),2))</f>
        <v>0</v>
      </c>
      <c r="AI47" s="25">
        <f>IF(B47="","",COUNTIFS($AG$5:$AG$304,"&gt;"&amp;AG47)+COUNTIFS($AG$5:AG47,AG47))</f>
        <v>0</v>
      </c>
      <c r="AJ47" s="39">
        <f>IF(B47="","",IF(H47="","Add - no cost, no stock value",IF(Z47="Out of stock","Out of stock - order today",IF(Z47="Low stock","Order - running low",IF(IF(Q47="",FALSE,Q47&lt;=TodayDate+30),"Check - expiring within a month",IF(IF(R47="Yes",AD47&lt;0.25,FALSE),"Below - thin margin for a retail line",IF(IF(P47="",TRUE,TodayDate-P47&gt;90),"Due - not counted in three months","OK")))))))</f>
        <v>0</v>
      </c>
    </row>
    <row r="48" spans="1:36">
      <c r="A48" s="28">
        <f>IF(B48="","",ProductPrefix&amp;TEXT(ROW()-4,"000"))</f>
        <v>0</v>
      </c>
      <c r="T48" s="37">
        <f>IF(B48="","",ROUND(SUMIFS(Purchases!$U$5:$U$304,Purchases!$D$5:$D$304,A48),2))</f>
        <v>0</v>
      </c>
      <c r="U48" s="37">
        <f>IF(B48="","",ROUND(SUMIFS(Sales!$T$5:$T$1204,Sales!$I$5:$I$1204,A48,Sales!$H$5:$H$1204,"Retail"),2))</f>
        <v>0</v>
      </c>
      <c r="V48" s="37">
        <f>IF(B48="","",ROUND(IF(J48="",0,J48)+T48-IF(K48="",0,K48)-U48-IF(L48="",0,L48)+IF(M48="",0,M48),2))</f>
        <v>0</v>
      </c>
      <c r="W48" s="37">
        <f>IF(B48="","",ROUND((U48+IF(K48="",0,K48))/MAX(4,TrackingWeeks),2))</f>
        <v>0</v>
      </c>
      <c r="X48" s="37">
        <f>IF(B48="","",IF(W48&lt;=0,"",ROUND(V48/W48,1)))</f>
        <v>0</v>
      </c>
      <c r="Y48" s="37">
        <f>IF(B48="","",IF(N48&lt;&gt;"",N48,ROUND(W48*StockWarningWeeks,1)))</f>
        <v>0</v>
      </c>
      <c r="Z48" s="39">
        <f>IF(B48="","",IF(V48&lt;=0,"Out of stock",IF(V48&lt;=Y48,"Low stock",IF(R48="No","Backbar","In stock"))))</f>
        <v>0</v>
      </c>
      <c r="AA48" s="37">
        <f>IF(B48="","",IF(Z48="In stock","",IF(Z48="Backbar",IF(V48&lt;=Y48,MAX(1,IF(O48="",ROUND(W48*ReorderWeeks,0),O48)),""),MAX(1,IF(O48="",ROUND(W48*ReorderWeeks,0),O48)))))</f>
        <v>0</v>
      </c>
      <c r="AB48" s="26">
        <f>IF(B48="","",ROUND(V48*IF(H48="",0,H48),2))</f>
        <v>0</v>
      </c>
      <c r="AC48" s="26">
        <f>IF(B48="","",ROUND(V48*IF(I48="",0,I48),2))</f>
        <v>0</v>
      </c>
      <c r="AD48" s="27">
        <f>IF(B48="","",IF(IF(I48="",0,I48)=0,"",(I48-IF(H48="",0,H48))/I48))</f>
        <v>0</v>
      </c>
      <c r="AE48" s="26">
        <f>IF(B48="","",IF(H48="","",H48*RetailMarkup))</f>
        <v>0</v>
      </c>
      <c r="AF48" s="26">
        <f>IF(B48="","",IF(AE48="","",ROUND(IF(RoundingRule="None",AE48,IF(RoundingRule="Nearest 0.99",MAX(0.99,CEILING(AE48,1)-0.01),IF(RoundingRule="Nearest 0.95",MAX(0.95,CEILING(AE48,1)-0.05),IF(RoundingRule="Nearest 0.50",CEILING(AE48,0.5),IF(RoundingRule="Nearest 1",CEILING(AE48,1),IF(RoundingRule="Nearest 5",CEILING(AE48,5),IF(RoundingRule="Up to whole 1",CEILING(AE48,1),IF(RoundingRule="Up to whole 5",CEILING(AE48,5),ROUND(AE48,2))))))))),2)))</f>
        <v>0</v>
      </c>
      <c r="AG48" s="26">
        <f>IF(B48="","",ROUND(SUMIFS(Sales!$Y$5:$Y$1204,Sales!$I$5:$I$1204,A48,Sales!$H$5:$H$1204,"Retail"),2))</f>
        <v>0</v>
      </c>
      <c r="AH48" s="26">
        <f>IF(B48="","",ROUND(AG48-U48*IF(H48="",0,H48),2))</f>
        <v>0</v>
      </c>
      <c r="AI48" s="25">
        <f>IF(B48="","",COUNTIFS($AG$5:$AG$304,"&gt;"&amp;AG48)+COUNTIFS($AG$5:AG48,AG48))</f>
        <v>0</v>
      </c>
      <c r="AJ48" s="39">
        <f>IF(B48="","",IF(H48="","Add - no cost, no stock value",IF(Z48="Out of stock","Out of stock - order today",IF(Z48="Low stock","Order - running low",IF(IF(Q48="",FALSE,Q48&lt;=TodayDate+30),"Check - expiring within a month",IF(IF(R48="Yes",AD48&lt;0.25,FALSE),"Below - thin margin for a retail line",IF(IF(P48="",TRUE,TodayDate-P48&gt;90),"Due - not counted in three months","OK")))))))</f>
        <v>0</v>
      </c>
    </row>
    <row r="49" spans="1:36">
      <c r="A49" s="28">
        <f>IF(B49="","",ProductPrefix&amp;TEXT(ROW()-4,"000"))</f>
        <v>0</v>
      </c>
      <c r="T49" s="37">
        <f>IF(B49="","",ROUND(SUMIFS(Purchases!$U$5:$U$304,Purchases!$D$5:$D$304,A49),2))</f>
        <v>0</v>
      </c>
      <c r="U49" s="37">
        <f>IF(B49="","",ROUND(SUMIFS(Sales!$T$5:$T$1204,Sales!$I$5:$I$1204,A49,Sales!$H$5:$H$1204,"Retail"),2))</f>
        <v>0</v>
      </c>
      <c r="V49" s="37">
        <f>IF(B49="","",ROUND(IF(J49="",0,J49)+T49-IF(K49="",0,K49)-U49-IF(L49="",0,L49)+IF(M49="",0,M49),2))</f>
        <v>0</v>
      </c>
      <c r="W49" s="37">
        <f>IF(B49="","",ROUND((U49+IF(K49="",0,K49))/MAX(4,TrackingWeeks),2))</f>
        <v>0</v>
      </c>
      <c r="X49" s="37">
        <f>IF(B49="","",IF(W49&lt;=0,"",ROUND(V49/W49,1)))</f>
        <v>0</v>
      </c>
      <c r="Y49" s="37">
        <f>IF(B49="","",IF(N49&lt;&gt;"",N49,ROUND(W49*StockWarningWeeks,1)))</f>
        <v>0</v>
      </c>
      <c r="Z49" s="39">
        <f>IF(B49="","",IF(V49&lt;=0,"Out of stock",IF(V49&lt;=Y49,"Low stock",IF(R49="No","Backbar","In stock"))))</f>
        <v>0</v>
      </c>
      <c r="AA49" s="37">
        <f>IF(B49="","",IF(Z49="In stock","",IF(Z49="Backbar",IF(V49&lt;=Y49,MAX(1,IF(O49="",ROUND(W49*ReorderWeeks,0),O49)),""),MAX(1,IF(O49="",ROUND(W49*ReorderWeeks,0),O49)))))</f>
        <v>0</v>
      </c>
      <c r="AB49" s="26">
        <f>IF(B49="","",ROUND(V49*IF(H49="",0,H49),2))</f>
        <v>0</v>
      </c>
      <c r="AC49" s="26">
        <f>IF(B49="","",ROUND(V49*IF(I49="",0,I49),2))</f>
        <v>0</v>
      </c>
      <c r="AD49" s="27">
        <f>IF(B49="","",IF(IF(I49="",0,I49)=0,"",(I49-IF(H49="",0,H49))/I49))</f>
        <v>0</v>
      </c>
      <c r="AE49" s="26">
        <f>IF(B49="","",IF(H49="","",H49*RetailMarkup))</f>
        <v>0</v>
      </c>
      <c r="AF49" s="26">
        <f>IF(B49="","",IF(AE49="","",ROUND(IF(RoundingRule="None",AE49,IF(RoundingRule="Nearest 0.99",MAX(0.99,CEILING(AE49,1)-0.01),IF(RoundingRule="Nearest 0.95",MAX(0.95,CEILING(AE49,1)-0.05),IF(RoundingRule="Nearest 0.50",CEILING(AE49,0.5),IF(RoundingRule="Nearest 1",CEILING(AE49,1),IF(RoundingRule="Nearest 5",CEILING(AE49,5),IF(RoundingRule="Up to whole 1",CEILING(AE49,1),IF(RoundingRule="Up to whole 5",CEILING(AE49,5),ROUND(AE49,2))))))))),2)))</f>
        <v>0</v>
      </c>
      <c r="AG49" s="26">
        <f>IF(B49="","",ROUND(SUMIFS(Sales!$Y$5:$Y$1204,Sales!$I$5:$I$1204,A49,Sales!$H$5:$H$1204,"Retail"),2))</f>
        <v>0</v>
      </c>
      <c r="AH49" s="26">
        <f>IF(B49="","",ROUND(AG49-U49*IF(H49="",0,H49),2))</f>
        <v>0</v>
      </c>
      <c r="AI49" s="25">
        <f>IF(B49="","",COUNTIFS($AG$5:$AG$304,"&gt;"&amp;AG49)+COUNTIFS($AG$5:AG49,AG49))</f>
        <v>0</v>
      </c>
      <c r="AJ49" s="39">
        <f>IF(B49="","",IF(H49="","Add - no cost, no stock value",IF(Z49="Out of stock","Out of stock - order today",IF(Z49="Low stock","Order - running low",IF(IF(Q49="",FALSE,Q49&lt;=TodayDate+30),"Check - expiring within a month",IF(IF(R49="Yes",AD49&lt;0.25,FALSE),"Below - thin margin for a retail line",IF(IF(P49="",TRUE,TodayDate-P49&gt;90),"Due - not counted in three months","OK")))))))</f>
        <v>0</v>
      </c>
    </row>
    <row r="50" spans="1:36">
      <c r="A50" s="28">
        <f>IF(B50="","",ProductPrefix&amp;TEXT(ROW()-4,"000"))</f>
        <v>0</v>
      </c>
      <c r="T50" s="37">
        <f>IF(B50="","",ROUND(SUMIFS(Purchases!$U$5:$U$304,Purchases!$D$5:$D$304,A50),2))</f>
        <v>0</v>
      </c>
      <c r="U50" s="37">
        <f>IF(B50="","",ROUND(SUMIFS(Sales!$T$5:$T$1204,Sales!$I$5:$I$1204,A50,Sales!$H$5:$H$1204,"Retail"),2))</f>
        <v>0</v>
      </c>
      <c r="V50" s="37">
        <f>IF(B50="","",ROUND(IF(J50="",0,J50)+T50-IF(K50="",0,K50)-U50-IF(L50="",0,L50)+IF(M50="",0,M50),2))</f>
        <v>0</v>
      </c>
      <c r="W50" s="37">
        <f>IF(B50="","",ROUND((U50+IF(K50="",0,K50))/MAX(4,TrackingWeeks),2))</f>
        <v>0</v>
      </c>
      <c r="X50" s="37">
        <f>IF(B50="","",IF(W50&lt;=0,"",ROUND(V50/W50,1)))</f>
        <v>0</v>
      </c>
      <c r="Y50" s="37">
        <f>IF(B50="","",IF(N50&lt;&gt;"",N50,ROUND(W50*StockWarningWeeks,1)))</f>
        <v>0</v>
      </c>
      <c r="Z50" s="39">
        <f>IF(B50="","",IF(V50&lt;=0,"Out of stock",IF(V50&lt;=Y50,"Low stock",IF(R50="No","Backbar","In stock"))))</f>
        <v>0</v>
      </c>
      <c r="AA50" s="37">
        <f>IF(B50="","",IF(Z50="In stock","",IF(Z50="Backbar",IF(V50&lt;=Y50,MAX(1,IF(O50="",ROUND(W50*ReorderWeeks,0),O50)),""),MAX(1,IF(O50="",ROUND(W50*ReorderWeeks,0),O50)))))</f>
        <v>0</v>
      </c>
      <c r="AB50" s="26">
        <f>IF(B50="","",ROUND(V50*IF(H50="",0,H50),2))</f>
        <v>0</v>
      </c>
      <c r="AC50" s="26">
        <f>IF(B50="","",ROUND(V50*IF(I50="",0,I50),2))</f>
        <v>0</v>
      </c>
      <c r="AD50" s="27">
        <f>IF(B50="","",IF(IF(I50="",0,I50)=0,"",(I50-IF(H50="",0,H50))/I50))</f>
        <v>0</v>
      </c>
      <c r="AE50" s="26">
        <f>IF(B50="","",IF(H50="","",H50*RetailMarkup))</f>
        <v>0</v>
      </c>
      <c r="AF50" s="26">
        <f>IF(B50="","",IF(AE50="","",ROUND(IF(RoundingRule="None",AE50,IF(RoundingRule="Nearest 0.99",MAX(0.99,CEILING(AE50,1)-0.01),IF(RoundingRule="Nearest 0.95",MAX(0.95,CEILING(AE50,1)-0.05),IF(RoundingRule="Nearest 0.50",CEILING(AE50,0.5),IF(RoundingRule="Nearest 1",CEILING(AE50,1),IF(RoundingRule="Nearest 5",CEILING(AE50,5),IF(RoundingRule="Up to whole 1",CEILING(AE50,1),IF(RoundingRule="Up to whole 5",CEILING(AE50,5),ROUND(AE50,2))))))))),2)))</f>
        <v>0</v>
      </c>
      <c r="AG50" s="26">
        <f>IF(B50="","",ROUND(SUMIFS(Sales!$Y$5:$Y$1204,Sales!$I$5:$I$1204,A50,Sales!$H$5:$H$1204,"Retail"),2))</f>
        <v>0</v>
      </c>
      <c r="AH50" s="26">
        <f>IF(B50="","",ROUND(AG50-U50*IF(H50="",0,H50),2))</f>
        <v>0</v>
      </c>
      <c r="AI50" s="25">
        <f>IF(B50="","",COUNTIFS($AG$5:$AG$304,"&gt;"&amp;AG50)+COUNTIFS($AG$5:AG50,AG50))</f>
        <v>0</v>
      </c>
      <c r="AJ50" s="39">
        <f>IF(B50="","",IF(H50="","Add - no cost, no stock value",IF(Z50="Out of stock","Out of stock - order today",IF(Z50="Low stock","Order - running low",IF(IF(Q50="",FALSE,Q50&lt;=TodayDate+30),"Check - expiring within a month",IF(IF(R50="Yes",AD50&lt;0.25,FALSE),"Below - thin margin for a retail line",IF(IF(P50="",TRUE,TodayDate-P50&gt;90),"Due - not counted in three months","OK")))))))</f>
        <v>0</v>
      </c>
    </row>
    <row r="51" spans="1:36">
      <c r="A51" s="28">
        <f>IF(B51="","",ProductPrefix&amp;TEXT(ROW()-4,"000"))</f>
        <v>0</v>
      </c>
      <c r="T51" s="37">
        <f>IF(B51="","",ROUND(SUMIFS(Purchases!$U$5:$U$304,Purchases!$D$5:$D$304,A51),2))</f>
        <v>0</v>
      </c>
      <c r="U51" s="37">
        <f>IF(B51="","",ROUND(SUMIFS(Sales!$T$5:$T$1204,Sales!$I$5:$I$1204,A51,Sales!$H$5:$H$1204,"Retail"),2))</f>
        <v>0</v>
      </c>
      <c r="V51" s="37">
        <f>IF(B51="","",ROUND(IF(J51="",0,J51)+T51-IF(K51="",0,K51)-U51-IF(L51="",0,L51)+IF(M51="",0,M51),2))</f>
        <v>0</v>
      </c>
      <c r="W51" s="37">
        <f>IF(B51="","",ROUND((U51+IF(K51="",0,K51))/MAX(4,TrackingWeeks),2))</f>
        <v>0</v>
      </c>
      <c r="X51" s="37">
        <f>IF(B51="","",IF(W51&lt;=0,"",ROUND(V51/W51,1)))</f>
        <v>0</v>
      </c>
      <c r="Y51" s="37">
        <f>IF(B51="","",IF(N51&lt;&gt;"",N51,ROUND(W51*StockWarningWeeks,1)))</f>
        <v>0</v>
      </c>
      <c r="Z51" s="39">
        <f>IF(B51="","",IF(V51&lt;=0,"Out of stock",IF(V51&lt;=Y51,"Low stock",IF(R51="No","Backbar","In stock"))))</f>
        <v>0</v>
      </c>
      <c r="AA51" s="37">
        <f>IF(B51="","",IF(Z51="In stock","",IF(Z51="Backbar",IF(V51&lt;=Y51,MAX(1,IF(O51="",ROUND(W51*ReorderWeeks,0),O51)),""),MAX(1,IF(O51="",ROUND(W51*ReorderWeeks,0),O51)))))</f>
        <v>0</v>
      </c>
      <c r="AB51" s="26">
        <f>IF(B51="","",ROUND(V51*IF(H51="",0,H51),2))</f>
        <v>0</v>
      </c>
      <c r="AC51" s="26">
        <f>IF(B51="","",ROUND(V51*IF(I51="",0,I51),2))</f>
        <v>0</v>
      </c>
      <c r="AD51" s="27">
        <f>IF(B51="","",IF(IF(I51="",0,I51)=0,"",(I51-IF(H51="",0,H51))/I51))</f>
        <v>0</v>
      </c>
      <c r="AE51" s="26">
        <f>IF(B51="","",IF(H51="","",H51*RetailMarkup))</f>
        <v>0</v>
      </c>
      <c r="AF51" s="26">
        <f>IF(B51="","",IF(AE51="","",ROUND(IF(RoundingRule="None",AE51,IF(RoundingRule="Nearest 0.99",MAX(0.99,CEILING(AE51,1)-0.01),IF(RoundingRule="Nearest 0.95",MAX(0.95,CEILING(AE51,1)-0.05),IF(RoundingRule="Nearest 0.50",CEILING(AE51,0.5),IF(RoundingRule="Nearest 1",CEILING(AE51,1),IF(RoundingRule="Nearest 5",CEILING(AE51,5),IF(RoundingRule="Up to whole 1",CEILING(AE51,1),IF(RoundingRule="Up to whole 5",CEILING(AE51,5),ROUND(AE51,2))))))))),2)))</f>
        <v>0</v>
      </c>
      <c r="AG51" s="26">
        <f>IF(B51="","",ROUND(SUMIFS(Sales!$Y$5:$Y$1204,Sales!$I$5:$I$1204,A51,Sales!$H$5:$H$1204,"Retail"),2))</f>
        <v>0</v>
      </c>
      <c r="AH51" s="26">
        <f>IF(B51="","",ROUND(AG51-U51*IF(H51="",0,H51),2))</f>
        <v>0</v>
      </c>
      <c r="AI51" s="25">
        <f>IF(B51="","",COUNTIFS($AG$5:$AG$304,"&gt;"&amp;AG51)+COUNTIFS($AG$5:AG51,AG51))</f>
        <v>0</v>
      </c>
      <c r="AJ51" s="39">
        <f>IF(B51="","",IF(H51="","Add - no cost, no stock value",IF(Z51="Out of stock","Out of stock - order today",IF(Z51="Low stock","Order - running low",IF(IF(Q51="",FALSE,Q51&lt;=TodayDate+30),"Check - expiring within a month",IF(IF(R51="Yes",AD51&lt;0.25,FALSE),"Below - thin margin for a retail line",IF(IF(P51="",TRUE,TodayDate-P51&gt;90),"Due - not counted in three months","OK")))))))</f>
        <v>0</v>
      </c>
    </row>
    <row r="52" spans="1:36">
      <c r="A52" s="28">
        <f>IF(B52="","",ProductPrefix&amp;TEXT(ROW()-4,"000"))</f>
        <v>0</v>
      </c>
      <c r="T52" s="37">
        <f>IF(B52="","",ROUND(SUMIFS(Purchases!$U$5:$U$304,Purchases!$D$5:$D$304,A52),2))</f>
        <v>0</v>
      </c>
      <c r="U52" s="37">
        <f>IF(B52="","",ROUND(SUMIFS(Sales!$T$5:$T$1204,Sales!$I$5:$I$1204,A52,Sales!$H$5:$H$1204,"Retail"),2))</f>
        <v>0</v>
      </c>
      <c r="V52" s="37">
        <f>IF(B52="","",ROUND(IF(J52="",0,J52)+T52-IF(K52="",0,K52)-U52-IF(L52="",0,L52)+IF(M52="",0,M52),2))</f>
        <v>0</v>
      </c>
      <c r="W52" s="37">
        <f>IF(B52="","",ROUND((U52+IF(K52="",0,K52))/MAX(4,TrackingWeeks),2))</f>
        <v>0</v>
      </c>
      <c r="X52" s="37">
        <f>IF(B52="","",IF(W52&lt;=0,"",ROUND(V52/W52,1)))</f>
        <v>0</v>
      </c>
      <c r="Y52" s="37">
        <f>IF(B52="","",IF(N52&lt;&gt;"",N52,ROUND(W52*StockWarningWeeks,1)))</f>
        <v>0</v>
      </c>
      <c r="Z52" s="39">
        <f>IF(B52="","",IF(V52&lt;=0,"Out of stock",IF(V52&lt;=Y52,"Low stock",IF(R52="No","Backbar","In stock"))))</f>
        <v>0</v>
      </c>
      <c r="AA52" s="37">
        <f>IF(B52="","",IF(Z52="In stock","",IF(Z52="Backbar",IF(V52&lt;=Y52,MAX(1,IF(O52="",ROUND(W52*ReorderWeeks,0),O52)),""),MAX(1,IF(O52="",ROUND(W52*ReorderWeeks,0),O52)))))</f>
        <v>0</v>
      </c>
      <c r="AB52" s="26">
        <f>IF(B52="","",ROUND(V52*IF(H52="",0,H52),2))</f>
        <v>0</v>
      </c>
      <c r="AC52" s="26">
        <f>IF(B52="","",ROUND(V52*IF(I52="",0,I52),2))</f>
        <v>0</v>
      </c>
      <c r="AD52" s="27">
        <f>IF(B52="","",IF(IF(I52="",0,I52)=0,"",(I52-IF(H52="",0,H52))/I52))</f>
        <v>0</v>
      </c>
      <c r="AE52" s="26">
        <f>IF(B52="","",IF(H52="","",H52*RetailMarkup))</f>
        <v>0</v>
      </c>
      <c r="AF52" s="26">
        <f>IF(B52="","",IF(AE52="","",ROUND(IF(RoundingRule="None",AE52,IF(RoundingRule="Nearest 0.99",MAX(0.99,CEILING(AE52,1)-0.01),IF(RoundingRule="Nearest 0.95",MAX(0.95,CEILING(AE52,1)-0.05),IF(RoundingRule="Nearest 0.50",CEILING(AE52,0.5),IF(RoundingRule="Nearest 1",CEILING(AE52,1),IF(RoundingRule="Nearest 5",CEILING(AE52,5),IF(RoundingRule="Up to whole 1",CEILING(AE52,1),IF(RoundingRule="Up to whole 5",CEILING(AE52,5),ROUND(AE52,2))))))))),2)))</f>
        <v>0</v>
      </c>
      <c r="AG52" s="26">
        <f>IF(B52="","",ROUND(SUMIFS(Sales!$Y$5:$Y$1204,Sales!$I$5:$I$1204,A52,Sales!$H$5:$H$1204,"Retail"),2))</f>
        <v>0</v>
      </c>
      <c r="AH52" s="26">
        <f>IF(B52="","",ROUND(AG52-U52*IF(H52="",0,H52),2))</f>
        <v>0</v>
      </c>
      <c r="AI52" s="25">
        <f>IF(B52="","",COUNTIFS($AG$5:$AG$304,"&gt;"&amp;AG52)+COUNTIFS($AG$5:AG52,AG52))</f>
        <v>0</v>
      </c>
      <c r="AJ52" s="39">
        <f>IF(B52="","",IF(H52="","Add - no cost, no stock value",IF(Z52="Out of stock","Out of stock - order today",IF(Z52="Low stock","Order - running low",IF(IF(Q52="",FALSE,Q52&lt;=TodayDate+30),"Check - expiring within a month",IF(IF(R52="Yes",AD52&lt;0.25,FALSE),"Below - thin margin for a retail line",IF(IF(P52="",TRUE,TodayDate-P52&gt;90),"Due - not counted in three months","OK")))))))</f>
        <v>0</v>
      </c>
    </row>
    <row r="53" spans="1:36">
      <c r="A53" s="28">
        <f>IF(B53="","",ProductPrefix&amp;TEXT(ROW()-4,"000"))</f>
        <v>0</v>
      </c>
      <c r="T53" s="37">
        <f>IF(B53="","",ROUND(SUMIFS(Purchases!$U$5:$U$304,Purchases!$D$5:$D$304,A53),2))</f>
        <v>0</v>
      </c>
      <c r="U53" s="37">
        <f>IF(B53="","",ROUND(SUMIFS(Sales!$T$5:$T$1204,Sales!$I$5:$I$1204,A53,Sales!$H$5:$H$1204,"Retail"),2))</f>
        <v>0</v>
      </c>
      <c r="V53" s="37">
        <f>IF(B53="","",ROUND(IF(J53="",0,J53)+T53-IF(K53="",0,K53)-U53-IF(L53="",0,L53)+IF(M53="",0,M53),2))</f>
        <v>0</v>
      </c>
      <c r="W53" s="37">
        <f>IF(B53="","",ROUND((U53+IF(K53="",0,K53))/MAX(4,TrackingWeeks),2))</f>
        <v>0</v>
      </c>
      <c r="X53" s="37">
        <f>IF(B53="","",IF(W53&lt;=0,"",ROUND(V53/W53,1)))</f>
        <v>0</v>
      </c>
      <c r="Y53" s="37">
        <f>IF(B53="","",IF(N53&lt;&gt;"",N53,ROUND(W53*StockWarningWeeks,1)))</f>
        <v>0</v>
      </c>
      <c r="Z53" s="39">
        <f>IF(B53="","",IF(V53&lt;=0,"Out of stock",IF(V53&lt;=Y53,"Low stock",IF(R53="No","Backbar","In stock"))))</f>
        <v>0</v>
      </c>
      <c r="AA53" s="37">
        <f>IF(B53="","",IF(Z53="In stock","",IF(Z53="Backbar",IF(V53&lt;=Y53,MAX(1,IF(O53="",ROUND(W53*ReorderWeeks,0),O53)),""),MAX(1,IF(O53="",ROUND(W53*ReorderWeeks,0),O53)))))</f>
        <v>0</v>
      </c>
      <c r="AB53" s="26">
        <f>IF(B53="","",ROUND(V53*IF(H53="",0,H53),2))</f>
        <v>0</v>
      </c>
      <c r="AC53" s="26">
        <f>IF(B53="","",ROUND(V53*IF(I53="",0,I53),2))</f>
        <v>0</v>
      </c>
      <c r="AD53" s="27">
        <f>IF(B53="","",IF(IF(I53="",0,I53)=0,"",(I53-IF(H53="",0,H53))/I53))</f>
        <v>0</v>
      </c>
      <c r="AE53" s="26">
        <f>IF(B53="","",IF(H53="","",H53*RetailMarkup))</f>
        <v>0</v>
      </c>
      <c r="AF53" s="26">
        <f>IF(B53="","",IF(AE53="","",ROUND(IF(RoundingRule="None",AE53,IF(RoundingRule="Nearest 0.99",MAX(0.99,CEILING(AE53,1)-0.01),IF(RoundingRule="Nearest 0.95",MAX(0.95,CEILING(AE53,1)-0.05),IF(RoundingRule="Nearest 0.50",CEILING(AE53,0.5),IF(RoundingRule="Nearest 1",CEILING(AE53,1),IF(RoundingRule="Nearest 5",CEILING(AE53,5),IF(RoundingRule="Up to whole 1",CEILING(AE53,1),IF(RoundingRule="Up to whole 5",CEILING(AE53,5),ROUND(AE53,2))))))))),2)))</f>
        <v>0</v>
      </c>
      <c r="AG53" s="26">
        <f>IF(B53="","",ROUND(SUMIFS(Sales!$Y$5:$Y$1204,Sales!$I$5:$I$1204,A53,Sales!$H$5:$H$1204,"Retail"),2))</f>
        <v>0</v>
      </c>
      <c r="AH53" s="26">
        <f>IF(B53="","",ROUND(AG53-U53*IF(H53="",0,H53),2))</f>
        <v>0</v>
      </c>
      <c r="AI53" s="25">
        <f>IF(B53="","",COUNTIFS($AG$5:$AG$304,"&gt;"&amp;AG53)+COUNTIFS($AG$5:AG53,AG53))</f>
        <v>0</v>
      </c>
      <c r="AJ53" s="39">
        <f>IF(B53="","",IF(H53="","Add - no cost, no stock value",IF(Z53="Out of stock","Out of stock - order today",IF(Z53="Low stock","Order - running low",IF(IF(Q53="",FALSE,Q53&lt;=TodayDate+30),"Check - expiring within a month",IF(IF(R53="Yes",AD53&lt;0.25,FALSE),"Below - thin margin for a retail line",IF(IF(P53="",TRUE,TodayDate-P53&gt;90),"Due - not counted in three months","OK")))))))</f>
        <v>0</v>
      </c>
    </row>
    <row r="54" spans="1:36">
      <c r="A54" s="28">
        <f>IF(B54="","",ProductPrefix&amp;TEXT(ROW()-4,"000"))</f>
        <v>0</v>
      </c>
      <c r="T54" s="37">
        <f>IF(B54="","",ROUND(SUMIFS(Purchases!$U$5:$U$304,Purchases!$D$5:$D$304,A54),2))</f>
        <v>0</v>
      </c>
      <c r="U54" s="37">
        <f>IF(B54="","",ROUND(SUMIFS(Sales!$T$5:$T$1204,Sales!$I$5:$I$1204,A54,Sales!$H$5:$H$1204,"Retail"),2))</f>
        <v>0</v>
      </c>
      <c r="V54" s="37">
        <f>IF(B54="","",ROUND(IF(J54="",0,J54)+T54-IF(K54="",0,K54)-U54-IF(L54="",0,L54)+IF(M54="",0,M54),2))</f>
        <v>0</v>
      </c>
      <c r="W54" s="37">
        <f>IF(B54="","",ROUND((U54+IF(K54="",0,K54))/MAX(4,TrackingWeeks),2))</f>
        <v>0</v>
      </c>
      <c r="X54" s="37">
        <f>IF(B54="","",IF(W54&lt;=0,"",ROUND(V54/W54,1)))</f>
        <v>0</v>
      </c>
      <c r="Y54" s="37">
        <f>IF(B54="","",IF(N54&lt;&gt;"",N54,ROUND(W54*StockWarningWeeks,1)))</f>
        <v>0</v>
      </c>
      <c r="Z54" s="39">
        <f>IF(B54="","",IF(V54&lt;=0,"Out of stock",IF(V54&lt;=Y54,"Low stock",IF(R54="No","Backbar","In stock"))))</f>
        <v>0</v>
      </c>
      <c r="AA54" s="37">
        <f>IF(B54="","",IF(Z54="In stock","",IF(Z54="Backbar",IF(V54&lt;=Y54,MAX(1,IF(O54="",ROUND(W54*ReorderWeeks,0),O54)),""),MAX(1,IF(O54="",ROUND(W54*ReorderWeeks,0),O54)))))</f>
        <v>0</v>
      </c>
      <c r="AB54" s="26">
        <f>IF(B54="","",ROUND(V54*IF(H54="",0,H54),2))</f>
        <v>0</v>
      </c>
      <c r="AC54" s="26">
        <f>IF(B54="","",ROUND(V54*IF(I54="",0,I54),2))</f>
        <v>0</v>
      </c>
      <c r="AD54" s="27">
        <f>IF(B54="","",IF(IF(I54="",0,I54)=0,"",(I54-IF(H54="",0,H54))/I54))</f>
        <v>0</v>
      </c>
      <c r="AE54" s="26">
        <f>IF(B54="","",IF(H54="","",H54*RetailMarkup))</f>
        <v>0</v>
      </c>
      <c r="AF54" s="26">
        <f>IF(B54="","",IF(AE54="","",ROUND(IF(RoundingRule="None",AE54,IF(RoundingRule="Nearest 0.99",MAX(0.99,CEILING(AE54,1)-0.01),IF(RoundingRule="Nearest 0.95",MAX(0.95,CEILING(AE54,1)-0.05),IF(RoundingRule="Nearest 0.50",CEILING(AE54,0.5),IF(RoundingRule="Nearest 1",CEILING(AE54,1),IF(RoundingRule="Nearest 5",CEILING(AE54,5),IF(RoundingRule="Up to whole 1",CEILING(AE54,1),IF(RoundingRule="Up to whole 5",CEILING(AE54,5),ROUND(AE54,2))))))))),2)))</f>
        <v>0</v>
      </c>
      <c r="AG54" s="26">
        <f>IF(B54="","",ROUND(SUMIFS(Sales!$Y$5:$Y$1204,Sales!$I$5:$I$1204,A54,Sales!$H$5:$H$1204,"Retail"),2))</f>
        <v>0</v>
      </c>
      <c r="AH54" s="26">
        <f>IF(B54="","",ROUND(AG54-U54*IF(H54="",0,H54),2))</f>
        <v>0</v>
      </c>
      <c r="AI54" s="25">
        <f>IF(B54="","",COUNTIFS($AG$5:$AG$304,"&gt;"&amp;AG54)+COUNTIFS($AG$5:AG54,AG54))</f>
        <v>0</v>
      </c>
      <c r="AJ54" s="39">
        <f>IF(B54="","",IF(H54="","Add - no cost, no stock value",IF(Z54="Out of stock","Out of stock - order today",IF(Z54="Low stock","Order - running low",IF(IF(Q54="",FALSE,Q54&lt;=TodayDate+30),"Check - expiring within a month",IF(IF(R54="Yes",AD54&lt;0.25,FALSE),"Below - thin margin for a retail line",IF(IF(P54="",TRUE,TodayDate-P54&gt;90),"Due - not counted in three months","OK")))))))</f>
        <v>0</v>
      </c>
    </row>
    <row r="55" spans="1:36">
      <c r="A55" s="28">
        <f>IF(B55="","",ProductPrefix&amp;TEXT(ROW()-4,"000"))</f>
        <v>0</v>
      </c>
      <c r="T55" s="37">
        <f>IF(B55="","",ROUND(SUMIFS(Purchases!$U$5:$U$304,Purchases!$D$5:$D$304,A55),2))</f>
        <v>0</v>
      </c>
      <c r="U55" s="37">
        <f>IF(B55="","",ROUND(SUMIFS(Sales!$T$5:$T$1204,Sales!$I$5:$I$1204,A55,Sales!$H$5:$H$1204,"Retail"),2))</f>
        <v>0</v>
      </c>
      <c r="V55" s="37">
        <f>IF(B55="","",ROUND(IF(J55="",0,J55)+T55-IF(K55="",0,K55)-U55-IF(L55="",0,L55)+IF(M55="",0,M55),2))</f>
        <v>0</v>
      </c>
      <c r="W55" s="37">
        <f>IF(B55="","",ROUND((U55+IF(K55="",0,K55))/MAX(4,TrackingWeeks),2))</f>
        <v>0</v>
      </c>
      <c r="X55" s="37">
        <f>IF(B55="","",IF(W55&lt;=0,"",ROUND(V55/W55,1)))</f>
        <v>0</v>
      </c>
      <c r="Y55" s="37">
        <f>IF(B55="","",IF(N55&lt;&gt;"",N55,ROUND(W55*StockWarningWeeks,1)))</f>
        <v>0</v>
      </c>
      <c r="Z55" s="39">
        <f>IF(B55="","",IF(V55&lt;=0,"Out of stock",IF(V55&lt;=Y55,"Low stock",IF(R55="No","Backbar","In stock"))))</f>
        <v>0</v>
      </c>
      <c r="AA55" s="37">
        <f>IF(B55="","",IF(Z55="In stock","",IF(Z55="Backbar",IF(V55&lt;=Y55,MAX(1,IF(O55="",ROUND(W55*ReorderWeeks,0),O55)),""),MAX(1,IF(O55="",ROUND(W55*ReorderWeeks,0),O55)))))</f>
        <v>0</v>
      </c>
      <c r="AB55" s="26">
        <f>IF(B55="","",ROUND(V55*IF(H55="",0,H55),2))</f>
        <v>0</v>
      </c>
      <c r="AC55" s="26">
        <f>IF(B55="","",ROUND(V55*IF(I55="",0,I55),2))</f>
        <v>0</v>
      </c>
      <c r="AD55" s="27">
        <f>IF(B55="","",IF(IF(I55="",0,I55)=0,"",(I55-IF(H55="",0,H55))/I55))</f>
        <v>0</v>
      </c>
      <c r="AE55" s="26">
        <f>IF(B55="","",IF(H55="","",H55*RetailMarkup))</f>
        <v>0</v>
      </c>
      <c r="AF55" s="26">
        <f>IF(B55="","",IF(AE55="","",ROUND(IF(RoundingRule="None",AE55,IF(RoundingRule="Nearest 0.99",MAX(0.99,CEILING(AE55,1)-0.01),IF(RoundingRule="Nearest 0.95",MAX(0.95,CEILING(AE55,1)-0.05),IF(RoundingRule="Nearest 0.50",CEILING(AE55,0.5),IF(RoundingRule="Nearest 1",CEILING(AE55,1),IF(RoundingRule="Nearest 5",CEILING(AE55,5),IF(RoundingRule="Up to whole 1",CEILING(AE55,1),IF(RoundingRule="Up to whole 5",CEILING(AE55,5),ROUND(AE55,2))))))))),2)))</f>
        <v>0</v>
      </c>
      <c r="AG55" s="26">
        <f>IF(B55="","",ROUND(SUMIFS(Sales!$Y$5:$Y$1204,Sales!$I$5:$I$1204,A55,Sales!$H$5:$H$1204,"Retail"),2))</f>
        <v>0</v>
      </c>
      <c r="AH55" s="26">
        <f>IF(B55="","",ROUND(AG55-U55*IF(H55="",0,H55),2))</f>
        <v>0</v>
      </c>
      <c r="AI55" s="25">
        <f>IF(B55="","",COUNTIFS($AG$5:$AG$304,"&gt;"&amp;AG55)+COUNTIFS($AG$5:AG55,AG55))</f>
        <v>0</v>
      </c>
      <c r="AJ55" s="39">
        <f>IF(B55="","",IF(H55="","Add - no cost, no stock value",IF(Z55="Out of stock","Out of stock - order today",IF(Z55="Low stock","Order - running low",IF(IF(Q55="",FALSE,Q55&lt;=TodayDate+30),"Check - expiring within a month",IF(IF(R55="Yes",AD55&lt;0.25,FALSE),"Below - thin margin for a retail line",IF(IF(P55="",TRUE,TodayDate-P55&gt;90),"Due - not counted in three months","OK")))))))</f>
        <v>0</v>
      </c>
    </row>
    <row r="56" spans="1:36">
      <c r="A56" s="28">
        <f>IF(B56="","",ProductPrefix&amp;TEXT(ROW()-4,"000"))</f>
        <v>0</v>
      </c>
      <c r="T56" s="37">
        <f>IF(B56="","",ROUND(SUMIFS(Purchases!$U$5:$U$304,Purchases!$D$5:$D$304,A56),2))</f>
        <v>0</v>
      </c>
      <c r="U56" s="37">
        <f>IF(B56="","",ROUND(SUMIFS(Sales!$T$5:$T$1204,Sales!$I$5:$I$1204,A56,Sales!$H$5:$H$1204,"Retail"),2))</f>
        <v>0</v>
      </c>
      <c r="V56" s="37">
        <f>IF(B56="","",ROUND(IF(J56="",0,J56)+T56-IF(K56="",0,K56)-U56-IF(L56="",0,L56)+IF(M56="",0,M56),2))</f>
        <v>0</v>
      </c>
      <c r="W56" s="37">
        <f>IF(B56="","",ROUND((U56+IF(K56="",0,K56))/MAX(4,TrackingWeeks),2))</f>
        <v>0</v>
      </c>
      <c r="X56" s="37">
        <f>IF(B56="","",IF(W56&lt;=0,"",ROUND(V56/W56,1)))</f>
        <v>0</v>
      </c>
      <c r="Y56" s="37">
        <f>IF(B56="","",IF(N56&lt;&gt;"",N56,ROUND(W56*StockWarningWeeks,1)))</f>
        <v>0</v>
      </c>
      <c r="Z56" s="39">
        <f>IF(B56="","",IF(V56&lt;=0,"Out of stock",IF(V56&lt;=Y56,"Low stock",IF(R56="No","Backbar","In stock"))))</f>
        <v>0</v>
      </c>
      <c r="AA56" s="37">
        <f>IF(B56="","",IF(Z56="In stock","",IF(Z56="Backbar",IF(V56&lt;=Y56,MAX(1,IF(O56="",ROUND(W56*ReorderWeeks,0),O56)),""),MAX(1,IF(O56="",ROUND(W56*ReorderWeeks,0),O56)))))</f>
        <v>0</v>
      </c>
      <c r="AB56" s="26">
        <f>IF(B56="","",ROUND(V56*IF(H56="",0,H56),2))</f>
        <v>0</v>
      </c>
      <c r="AC56" s="26">
        <f>IF(B56="","",ROUND(V56*IF(I56="",0,I56),2))</f>
        <v>0</v>
      </c>
      <c r="AD56" s="27">
        <f>IF(B56="","",IF(IF(I56="",0,I56)=0,"",(I56-IF(H56="",0,H56))/I56))</f>
        <v>0</v>
      </c>
      <c r="AE56" s="26">
        <f>IF(B56="","",IF(H56="","",H56*RetailMarkup))</f>
        <v>0</v>
      </c>
      <c r="AF56" s="26">
        <f>IF(B56="","",IF(AE56="","",ROUND(IF(RoundingRule="None",AE56,IF(RoundingRule="Nearest 0.99",MAX(0.99,CEILING(AE56,1)-0.01),IF(RoundingRule="Nearest 0.95",MAX(0.95,CEILING(AE56,1)-0.05),IF(RoundingRule="Nearest 0.50",CEILING(AE56,0.5),IF(RoundingRule="Nearest 1",CEILING(AE56,1),IF(RoundingRule="Nearest 5",CEILING(AE56,5),IF(RoundingRule="Up to whole 1",CEILING(AE56,1),IF(RoundingRule="Up to whole 5",CEILING(AE56,5),ROUND(AE56,2))))))))),2)))</f>
        <v>0</v>
      </c>
      <c r="AG56" s="26">
        <f>IF(B56="","",ROUND(SUMIFS(Sales!$Y$5:$Y$1204,Sales!$I$5:$I$1204,A56,Sales!$H$5:$H$1204,"Retail"),2))</f>
        <v>0</v>
      </c>
      <c r="AH56" s="26">
        <f>IF(B56="","",ROUND(AG56-U56*IF(H56="",0,H56),2))</f>
        <v>0</v>
      </c>
      <c r="AI56" s="25">
        <f>IF(B56="","",COUNTIFS($AG$5:$AG$304,"&gt;"&amp;AG56)+COUNTIFS($AG$5:AG56,AG56))</f>
        <v>0</v>
      </c>
      <c r="AJ56" s="39">
        <f>IF(B56="","",IF(H56="","Add - no cost, no stock value",IF(Z56="Out of stock","Out of stock - order today",IF(Z56="Low stock","Order - running low",IF(IF(Q56="",FALSE,Q56&lt;=TodayDate+30),"Check - expiring within a month",IF(IF(R56="Yes",AD56&lt;0.25,FALSE),"Below - thin margin for a retail line",IF(IF(P56="",TRUE,TodayDate-P56&gt;90),"Due - not counted in three months","OK")))))))</f>
        <v>0</v>
      </c>
    </row>
    <row r="57" spans="1:36">
      <c r="A57" s="28">
        <f>IF(B57="","",ProductPrefix&amp;TEXT(ROW()-4,"000"))</f>
        <v>0</v>
      </c>
      <c r="T57" s="37">
        <f>IF(B57="","",ROUND(SUMIFS(Purchases!$U$5:$U$304,Purchases!$D$5:$D$304,A57),2))</f>
        <v>0</v>
      </c>
      <c r="U57" s="37">
        <f>IF(B57="","",ROUND(SUMIFS(Sales!$T$5:$T$1204,Sales!$I$5:$I$1204,A57,Sales!$H$5:$H$1204,"Retail"),2))</f>
        <v>0</v>
      </c>
      <c r="V57" s="37">
        <f>IF(B57="","",ROUND(IF(J57="",0,J57)+T57-IF(K57="",0,K57)-U57-IF(L57="",0,L57)+IF(M57="",0,M57),2))</f>
        <v>0</v>
      </c>
      <c r="W57" s="37">
        <f>IF(B57="","",ROUND((U57+IF(K57="",0,K57))/MAX(4,TrackingWeeks),2))</f>
        <v>0</v>
      </c>
      <c r="X57" s="37">
        <f>IF(B57="","",IF(W57&lt;=0,"",ROUND(V57/W57,1)))</f>
        <v>0</v>
      </c>
      <c r="Y57" s="37">
        <f>IF(B57="","",IF(N57&lt;&gt;"",N57,ROUND(W57*StockWarningWeeks,1)))</f>
        <v>0</v>
      </c>
      <c r="Z57" s="39">
        <f>IF(B57="","",IF(V57&lt;=0,"Out of stock",IF(V57&lt;=Y57,"Low stock",IF(R57="No","Backbar","In stock"))))</f>
        <v>0</v>
      </c>
      <c r="AA57" s="37">
        <f>IF(B57="","",IF(Z57="In stock","",IF(Z57="Backbar",IF(V57&lt;=Y57,MAX(1,IF(O57="",ROUND(W57*ReorderWeeks,0),O57)),""),MAX(1,IF(O57="",ROUND(W57*ReorderWeeks,0),O57)))))</f>
        <v>0</v>
      </c>
      <c r="AB57" s="26">
        <f>IF(B57="","",ROUND(V57*IF(H57="",0,H57),2))</f>
        <v>0</v>
      </c>
      <c r="AC57" s="26">
        <f>IF(B57="","",ROUND(V57*IF(I57="",0,I57),2))</f>
        <v>0</v>
      </c>
      <c r="AD57" s="27">
        <f>IF(B57="","",IF(IF(I57="",0,I57)=0,"",(I57-IF(H57="",0,H57))/I57))</f>
        <v>0</v>
      </c>
      <c r="AE57" s="26">
        <f>IF(B57="","",IF(H57="","",H57*RetailMarkup))</f>
        <v>0</v>
      </c>
      <c r="AF57" s="26">
        <f>IF(B57="","",IF(AE57="","",ROUND(IF(RoundingRule="None",AE57,IF(RoundingRule="Nearest 0.99",MAX(0.99,CEILING(AE57,1)-0.01),IF(RoundingRule="Nearest 0.95",MAX(0.95,CEILING(AE57,1)-0.05),IF(RoundingRule="Nearest 0.50",CEILING(AE57,0.5),IF(RoundingRule="Nearest 1",CEILING(AE57,1),IF(RoundingRule="Nearest 5",CEILING(AE57,5),IF(RoundingRule="Up to whole 1",CEILING(AE57,1),IF(RoundingRule="Up to whole 5",CEILING(AE57,5),ROUND(AE57,2))))))))),2)))</f>
        <v>0</v>
      </c>
      <c r="AG57" s="26">
        <f>IF(B57="","",ROUND(SUMIFS(Sales!$Y$5:$Y$1204,Sales!$I$5:$I$1204,A57,Sales!$H$5:$H$1204,"Retail"),2))</f>
        <v>0</v>
      </c>
      <c r="AH57" s="26">
        <f>IF(B57="","",ROUND(AG57-U57*IF(H57="",0,H57),2))</f>
        <v>0</v>
      </c>
      <c r="AI57" s="25">
        <f>IF(B57="","",COUNTIFS($AG$5:$AG$304,"&gt;"&amp;AG57)+COUNTIFS($AG$5:AG57,AG57))</f>
        <v>0</v>
      </c>
      <c r="AJ57" s="39">
        <f>IF(B57="","",IF(H57="","Add - no cost, no stock value",IF(Z57="Out of stock","Out of stock - order today",IF(Z57="Low stock","Order - running low",IF(IF(Q57="",FALSE,Q57&lt;=TodayDate+30),"Check - expiring within a month",IF(IF(R57="Yes",AD57&lt;0.25,FALSE),"Below - thin margin for a retail line",IF(IF(P57="",TRUE,TodayDate-P57&gt;90),"Due - not counted in three months","OK")))))))</f>
        <v>0</v>
      </c>
    </row>
    <row r="58" spans="1:36">
      <c r="A58" s="28">
        <f>IF(B58="","",ProductPrefix&amp;TEXT(ROW()-4,"000"))</f>
        <v>0</v>
      </c>
      <c r="T58" s="37">
        <f>IF(B58="","",ROUND(SUMIFS(Purchases!$U$5:$U$304,Purchases!$D$5:$D$304,A58),2))</f>
        <v>0</v>
      </c>
      <c r="U58" s="37">
        <f>IF(B58="","",ROUND(SUMIFS(Sales!$T$5:$T$1204,Sales!$I$5:$I$1204,A58,Sales!$H$5:$H$1204,"Retail"),2))</f>
        <v>0</v>
      </c>
      <c r="V58" s="37">
        <f>IF(B58="","",ROUND(IF(J58="",0,J58)+T58-IF(K58="",0,K58)-U58-IF(L58="",0,L58)+IF(M58="",0,M58),2))</f>
        <v>0</v>
      </c>
      <c r="W58" s="37">
        <f>IF(B58="","",ROUND((U58+IF(K58="",0,K58))/MAX(4,TrackingWeeks),2))</f>
        <v>0</v>
      </c>
      <c r="X58" s="37">
        <f>IF(B58="","",IF(W58&lt;=0,"",ROUND(V58/W58,1)))</f>
        <v>0</v>
      </c>
      <c r="Y58" s="37">
        <f>IF(B58="","",IF(N58&lt;&gt;"",N58,ROUND(W58*StockWarningWeeks,1)))</f>
        <v>0</v>
      </c>
      <c r="Z58" s="39">
        <f>IF(B58="","",IF(V58&lt;=0,"Out of stock",IF(V58&lt;=Y58,"Low stock",IF(R58="No","Backbar","In stock"))))</f>
        <v>0</v>
      </c>
      <c r="AA58" s="37">
        <f>IF(B58="","",IF(Z58="In stock","",IF(Z58="Backbar",IF(V58&lt;=Y58,MAX(1,IF(O58="",ROUND(W58*ReorderWeeks,0),O58)),""),MAX(1,IF(O58="",ROUND(W58*ReorderWeeks,0),O58)))))</f>
        <v>0</v>
      </c>
      <c r="AB58" s="26">
        <f>IF(B58="","",ROUND(V58*IF(H58="",0,H58),2))</f>
        <v>0</v>
      </c>
      <c r="AC58" s="26">
        <f>IF(B58="","",ROUND(V58*IF(I58="",0,I58),2))</f>
        <v>0</v>
      </c>
      <c r="AD58" s="27">
        <f>IF(B58="","",IF(IF(I58="",0,I58)=0,"",(I58-IF(H58="",0,H58))/I58))</f>
        <v>0</v>
      </c>
      <c r="AE58" s="26">
        <f>IF(B58="","",IF(H58="","",H58*RetailMarkup))</f>
        <v>0</v>
      </c>
      <c r="AF58" s="26">
        <f>IF(B58="","",IF(AE58="","",ROUND(IF(RoundingRule="None",AE58,IF(RoundingRule="Nearest 0.99",MAX(0.99,CEILING(AE58,1)-0.01),IF(RoundingRule="Nearest 0.95",MAX(0.95,CEILING(AE58,1)-0.05),IF(RoundingRule="Nearest 0.50",CEILING(AE58,0.5),IF(RoundingRule="Nearest 1",CEILING(AE58,1),IF(RoundingRule="Nearest 5",CEILING(AE58,5),IF(RoundingRule="Up to whole 1",CEILING(AE58,1),IF(RoundingRule="Up to whole 5",CEILING(AE58,5),ROUND(AE58,2))))))))),2)))</f>
        <v>0</v>
      </c>
      <c r="AG58" s="26">
        <f>IF(B58="","",ROUND(SUMIFS(Sales!$Y$5:$Y$1204,Sales!$I$5:$I$1204,A58,Sales!$H$5:$H$1204,"Retail"),2))</f>
        <v>0</v>
      </c>
      <c r="AH58" s="26">
        <f>IF(B58="","",ROUND(AG58-U58*IF(H58="",0,H58),2))</f>
        <v>0</v>
      </c>
      <c r="AI58" s="25">
        <f>IF(B58="","",COUNTIFS($AG$5:$AG$304,"&gt;"&amp;AG58)+COUNTIFS($AG$5:AG58,AG58))</f>
        <v>0</v>
      </c>
      <c r="AJ58" s="39">
        <f>IF(B58="","",IF(H58="","Add - no cost, no stock value",IF(Z58="Out of stock","Out of stock - order today",IF(Z58="Low stock","Order - running low",IF(IF(Q58="",FALSE,Q58&lt;=TodayDate+30),"Check - expiring within a month",IF(IF(R58="Yes",AD58&lt;0.25,FALSE),"Below - thin margin for a retail line",IF(IF(P58="",TRUE,TodayDate-P58&gt;90),"Due - not counted in three months","OK")))))))</f>
        <v>0</v>
      </c>
    </row>
    <row r="59" spans="1:36">
      <c r="A59" s="28">
        <f>IF(B59="","",ProductPrefix&amp;TEXT(ROW()-4,"000"))</f>
        <v>0</v>
      </c>
      <c r="T59" s="37">
        <f>IF(B59="","",ROUND(SUMIFS(Purchases!$U$5:$U$304,Purchases!$D$5:$D$304,A59),2))</f>
        <v>0</v>
      </c>
      <c r="U59" s="37">
        <f>IF(B59="","",ROUND(SUMIFS(Sales!$T$5:$T$1204,Sales!$I$5:$I$1204,A59,Sales!$H$5:$H$1204,"Retail"),2))</f>
        <v>0</v>
      </c>
      <c r="V59" s="37">
        <f>IF(B59="","",ROUND(IF(J59="",0,J59)+T59-IF(K59="",0,K59)-U59-IF(L59="",0,L59)+IF(M59="",0,M59),2))</f>
        <v>0</v>
      </c>
      <c r="W59" s="37">
        <f>IF(B59="","",ROUND((U59+IF(K59="",0,K59))/MAX(4,TrackingWeeks),2))</f>
        <v>0</v>
      </c>
      <c r="X59" s="37">
        <f>IF(B59="","",IF(W59&lt;=0,"",ROUND(V59/W59,1)))</f>
        <v>0</v>
      </c>
      <c r="Y59" s="37">
        <f>IF(B59="","",IF(N59&lt;&gt;"",N59,ROUND(W59*StockWarningWeeks,1)))</f>
        <v>0</v>
      </c>
      <c r="Z59" s="39">
        <f>IF(B59="","",IF(V59&lt;=0,"Out of stock",IF(V59&lt;=Y59,"Low stock",IF(R59="No","Backbar","In stock"))))</f>
        <v>0</v>
      </c>
      <c r="AA59" s="37">
        <f>IF(B59="","",IF(Z59="In stock","",IF(Z59="Backbar",IF(V59&lt;=Y59,MAX(1,IF(O59="",ROUND(W59*ReorderWeeks,0),O59)),""),MAX(1,IF(O59="",ROUND(W59*ReorderWeeks,0),O59)))))</f>
        <v>0</v>
      </c>
      <c r="AB59" s="26">
        <f>IF(B59="","",ROUND(V59*IF(H59="",0,H59),2))</f>
        <v>0</v>
      </c>
      <c r="AC59" s="26">
        <f>IF(B59="","",ROUND(V59*IF(I59="",0,I59),2))</f>
        <v>0</v>
      </c>
      <c r="AD59" s="27">
        <f>IF(B59="","",IF(IF(I59="",0,I59)=0,"",(I59-IF(H59="",0,H59))/I59))</f>
        <v>0</v>
      </c>
      <c r="AE59" s="26">
        <f>IF(B59="","",IF(H59="","",H59*RetailMarkup))</f>
        <v>0</v>
      </c>
      <c r="AF59" s="26">
        <f>IF(B59="","",IF(AE59="","",ROUND(IF(RoundingRule="None",AE59,IF(RoundingRule="Nearest 0.99",MAX(0.99,CEILING(AE59,1)-0.01),IF(RoundingRule="Nearest 0.95",MAX(0.95,CEILING(AE59,1)-0.05),IF(RoundingRule="Nearest 0.50",CEILING(AE59,0.5),IF(RoundingRule="Nearest 1",CEILING(AE59,1),IF(RoundingRule="Nearest 5",CEILING(AE59,5),IF(RoundingRule="Up to whole 1",CEILING(AE59,1),IF(RoundingRule="Up to whole 5",CEILING(AE59,5),ROUND(AE59,2))))))))),2)))</f>
        <v>0</v>
      </c>
      <c r="AG59" s="26">
        <f>IF(B59="","",ROUND(SUMIFS(Sales!$Y$5:$Y$1204,Sales!$I$5:$I$1204,A59,Sales!$H$5:$H$1204,"Retail"),2))</f>
        <v>0</v>
      </c>
      <c r="AH59" s="26">
        <f>IF(B59="","",ROUND(AG59-U59*IF(H59="",0,H59),2))</f>
        <v>0</v>
      </c>
      <c r="AI59" s="25">
        <f>IF(B59="","",COUNTIFS($AG$5:$AG$304,"&gt;"&amp;AG59)+COUNTIFS($AG$5:AG59,AG59))</f>
        <v>0</v>
      </c>
      <c r="AJ59" s="39">
        <f>IF(B59="","",IF(H59="","Add - no cost, no stock value",IF(Z59="Out of stock","Out of stock - order today",IF(Z59="Low stock","Order - running low",IF(IF(Q59="",FALSE,Q59&lt;=TodayDate+30),"Check - expiring within a month",IF(IF(R59="Yes",AD59&lt;0.25,FALSE),"Below - thin margin for a retail line",IF(IF(P59="",TRUE,TodayDate-P59&gt;90),"Due - not counted in three months","OK")))))))</f>
        <v>0</v>
      </c>
    </row>
    <row r="60" spans="1:36">
      <c r="A60" s="28">
        <f>IF(B60="","",ProductPrefix&amp;TEXT(ROW()-4,"000"))</f>
        <v>0</v>
      </c>
      <c r="T60" s="37">
        <f>IF(B60="","",ROUND(SUMIFS(Purchases!$U$5:$U$304,Purchases!$D$5:$D$304,A60),2))</f>
        <v>0</v>
      </c>
      <c r="U60" s="37">
        <f>IF(B60="","",ROUND(SUMIFS(Sales!$T$5:$T$1204,Sales!$I$5:$I$1204,A60,Sales!$H$5:$H$1204,"Retail"),2))</f>
        <v>0</v>
      </c>
      <c r="V60" s="37">
        <f>IF(B60="","",ROUND(IF(J60="",0,J60)+T60-IF(K60="",0,K60)-U60-IF(L60="",0,L60)+IF(M60="",0,M60),2))</f>
        <v>0</v>
      </c>
      <c r="W60" s="37">
        <f>IF(B60="","",ROUND((U60+IF(K60="",0,K60))/MAX(4,TrackingWeeks),2))</f>
        <v>0</v>
      </c>
      <c r="X60" s="37">
        <f>IF(B60="","",IF(W60&lt;=0,"",ROUND(V60/W60,1)))</f>
        <v>0</v>
      </c>
      <c r="Y60" s="37">
        <f>IF(B60="","",IF(N60&lt;&gt;"",N60,ROUND(W60*StockWarningWeeks,1)))</f>
        <v>0</v>
      </c>
      <c r="Z60" s="39">
        <f>IF(B60="","",IF(V60&lt;=0,"Out of stock",IF(V60&lt;=Y60,"Low stock",IF(R60="No","Backbar","In stock"))))</f>
        <v>0</v>
      </c>
      <c r="AA60" s="37">
        <f>IF(B60="","",IF(Z60="In stock","",IF(Z60="Backbar",IF(V60&lt;=Y60,MAX(1,IF(O60="",ROUND(W60*ReorderWeeks,0),O60)),""),MAX(1,IF(O60="",ROUND(W60*ReorderWeeks,0),O60)))))</f>
        <v>0</v>
      </c>
      <c r="AB60" s="26">
        <f>IF(B60="","",ROUND(V60*IF(H60="",0,H60),2))</f>
        <v>0</v>
      </c>
      <c r="AC60" s="26">
        <f>IF(B60="","",ROUND(V60*IF(I60="",0,I60),2))</f>
        <v>0</v>
      </c>
      <c r="AD60" s="27">
        <f>IF(B60="","",IF(IF(I60="",0,I60)=0,"",(I60-IF(H60="",0,H60))/I60))</f>
        <v>0</v>
      </c>
      <c r="AE60" s="26">
        <f>IF(B60="","",IF(H60="","",H60*RetailMarkup))</f>
        <v>0</v>
      </c>
      <c r="AF60" s="26">
        <f>IF(B60="","",IF(AE60="","",ROUND(IF(RoundingRule="None",AE60,IF(RoundingRule="Nearest 0.99",MAX(0.99,CEILING(AE60,1)-0.01),IF(RoundingRule="Nearest 0.95",MAX(0.95,CEILING(AE60,1)-0.05),IF(RoundingRule="Nearest 0.50",CEILING(AE60,0.5),IF(RoundingRule="Nearest 1",CEILING(AE60,1),IF(RoundingRule="Nearest 5",CEILING(AE60,5),IF(RoundingRule="Up to whole 1",CEILING(AE60,1),IF(RoundingRule="Up to whole 5",CEILING(AE60,5),ROUND(AE60,2))))))))),2)))</f>
        <v>0</v>
      </c>
      <c r="AG60" s="26">
        <f>IF(B60="","",ROUND(SUMIFS(Sales!$Y$5:$Y$1204,Sales!$I$5:$I$1204,A60,Sales!$H$5:$H$1204,"Retail"),2))</f>
        <v>0</v>
      </c>
      <c r="AH60" s="26">
        <f>IF(B60="","",ROUND(AG60-U60*IF(H60="",0,H60),2))</f>
        <v>0</v>
      </c>
      <c r="AI60" s="25">
        <f>IF(B60="","",COUNTIFS($AG$5:$AG$304,"&gt;"&amp;AG60)+COUNTIFS($AG$5:AG60,AG60))</f>
        <v>0</v>
      </c>
      <c r="AJ60" s="39">
        <f>IF(B60="","",IF(H60="","Add - no cost, no stock value",IF(Z60="Out of stock","Out of stock - order today",IF(Z60="Low stock","Order - running low",IF(IF(Q60="",FALSE,Q60&lt;=TodayDate+30),"Check - expiring within a month",IF(IF(R60="Yes",AD60&lt;0.25,FALSE),"Below - thin margin for a retail line",IF(IF(P60="",TRUE,TodayDate-P60&gt;90),"Due - not counted in three months","OK")))))))</f>
        <v>0</v>
      </c>
    </row>
    <row r="61" spans="1:36">
      <c r="A61" s="28">
        <f>IF(B61="","",ProductPrefix&amp;TEXT(ROW()-4,"000"))</f>
        <v>0</v>
      </c>
      <c r="T61" s="37">
        <f>IF(B61="","",ROUND(SUMIFS(Purchases!$U$5:$U$304,Purchases!$D$5:$D$304,A61),2))</f>
        <v>0</v>
      </c>
      <c r="U61" s="37">
        <f>IF(B61="","",ROUND(SUMIFS(Sales!$T$5:$T$1204,Sales!$I$5:$I$1204,A61,Sales!$H$5:$H$1204,"Retail"),2))</f>
        <v>0</v>
      </c>
      <c r="V61" s="37">
        <f>IF(B61="","",ROUND(IF(J61="",0,J61)+T61-IF(K61="",0,K61)-U61-IF(L61="",0,L61)+IF(M61="",0,M61),2))</f>
        <v>0</v>
      </c>
      <c r="W61" s="37">
        <f>IF(B61="","",ROUND((U61+IF(K61="",0,K61))/MAX(4,TrackingWeeks),2))</f>
        <v>0</v>
      </c>
      <c r="X61" s="37">
        <f>IF(B61="","",IF(W61&lt;=0,"",ROUND(V61/W61,1)))</f>
        <v>0</v>
      </c>
      <c r="Y61" s="37">
        <f>IF(B61="","",IF(N61&lt;&gt;"",N61,ROUND(W61*StockWarningWeeks,1)))</f>
        <v>0</v>
      </c>
      <c r="Z61" s="39">
        <f>IF(B61="","",IF(V61&lt;=0,"Out of stock",IF(V61&lt;=Y61,"Low stock",IF(R61="No","Backbar","In stock"))))</f>
        <v>0</v>
      </c>
      <c r="AA61" s="37">
        <f>IF(B61="","",IF(Z61="In stock","",IF(Z61="Backbar",IF(V61&lt;=Y61,MAX(1,IF(O61="",ROUND(W61*ReorderWeeks,0),O61)),""),MAX(1,IF(O61="",ROUND(W61*ReorderWeeks,0),O61)))))</f>
        <v>0</v>
      </c>
      <c r="AB61" s="26">
        <f>IF(B61="","",ROUND(V61*IF(H61="",0,H61),2))</f>
        <v>0</v>
      </c>
      <c r="AC61" s="26">
        <f>IF(B61="","",ROUND(V61*IF(I61="",0,I61),2))</f>
        <v>0</v>
      </c>
      <c r="AD61" s="27">
        <f>IF(B61="","",IF(IF(I61="",0,I61)=0,"",(I61-IF(H61="",0,H61))/I61))</f>
        <v>0</v>
      </c>
      <c r="AE61" s="26">
        <f>IF(B61="","",IF(H61="","",H61*RetailMarkup))</f>
        <v>0</v>
      </c>
      <c r="AF61" s="26">
        <f>IF(B61="","",IF(AE61="","",ROUND(IF(RoundingRule="None",AE61,IF(RoundingRule="Nearest 0.99",MAX(0.99,CEILING(AE61,1)-0.01),IF(RoundingRule="Nearest 0.95",MAX(0.95,CEILING(AE61,1)-0.05),IF(RoundingRule="Nearest 0.50",CEILING(AE61,0.5),IF(RoundingRule="Nearest 1",CEILING(AE61,1),IF(RoundingRule="Nearest 5",CEILING(AE61,5),IF(RoundingRule="Up to whole 1",CEILING(AE61,1),IF(RoundingRule="Up to whole 5",CEILING(AE61,5),ROUND(AE61,2))))))))),2)))</f>
        <v>0</v>
      </c>
      <c r="AG61" s="26">
        <f>IF(B61="","",ROUND(SUMIFS(Sales!$Y$5:$Y$1204,Sales!$I$5:$I$1204,A61,Sales!$H$5:$H$1204,"Retail"),2))</f>
        <v>0</v>
      </c>
      <c r="AH61" s="26">
        <f>IF(B61="","",ROUND(AG61-U61*IF(H61="",0,H61),2))</f>
        <v>0</v>
      </c>
      <c r="AI61" s="25">
        <f>IF(B61="","",COUNTIFS($AG$5:$AG$304,"&gt;"&amp;AG61)+COUNTIFS($AG$5:AG61,AG61))</f>
        <v>0</v>
      </c>
      <c r="AJ61" s="39">
        <f>IF(B61="","",IF(H61="","Add - no cost, no stock value",IF(Z61="Out of stock","Out of stock - order today",IF(Z61="Low stock","Order - running low",IF(IF(Q61="",FALSE,Q61&lt;=TodayDate+30),"Check - expiring within a month",IF(IF(R61="Yes",AD61&lt;0.25,FALSE),"Below - thin margin for a retail line",IF(IF(P61="",TRUE,TodayDate-P61&gt;90),"Due - not counted in three months","OK")))))))</f>
        <v>0</v>
      </c>
    </row>
    <row r="62" spans="1:36">
      <c r="A62" s="28">
        <f>IF(B62="","",ProductPrefix&amp;TEXT(ROW()-4,"000"))</f>
        <v>0</v>
      </c>
      <c r="T62" s="37">
        <f>IF(B62="","",ROUND(SUMIFS(Purchases!$U$5:$U$304,Purchases!$D$5:$D$304,A62),2))</f>
        <v>0</v>
      </c>
      <c r="U62" s="37">
        <f>IF(B62="","",ROUND(SUMIFS(Sales!$T$5:$T$1204,Sales!$I$5:$I$1204,A62,Sales!$H$5:$H$1204,"Retail"),2))</f>
        <v>0</v>
      </c>
      <c r="V62" s="37">
        <f>IF(B62="","",ROUND(IF(J62="",0,J62)+T62-IF(K62="",0,K62)-U62-IF(L62="",0,L62)+IF(M62="",0,M62),2))</f>
        <v>0</v>
      </c>
      <c r="W62" s="37">
        <f>IF(B62="","",ROUND((U62+IF(K62="",0,K62))/MAX(4,TrackingWeeks),2))</f>
        <v>0</v>
      </c>
      <c r="X62" s="37">
        <f>IF(B62="","",IF(W62&lt;=0,"",ROUND(V62/W62,1)))</f>
        <v>0</v>
      </c>
      <c r="Y62" s="37">
        <f>IF(B62="","",IF(N62&lt;&gt;"",N62,ROUND(W62*StockWarningWeeks,1)))</f>
        <v>0</v>
      </c>
      <c r="Z62" s="39">
        <f>IF(B62="","",IF(V62&lt;=0,"Out of stock",IF(V62&lt;=Y62,"Low stock",IF(R62="No","Backbar","In stock"))))</f>
        <v>0</v>
      </c>
      <c r="AA62" s="37">
        <f>IF(B62="","",IF(Z62="In stock","",IF(Z62="Backbar",IF(V62&lt;=Y62,MAX(1,IF(O62="",ROUND(W62*ReorderWeeks,0),O62)),""),MAX(1,IF(O62="",ROUND(W62*ReorderWeeks,0),O62)))))</f>
        <v>0</v>
      </c>
      <c r="AB62" s="26">
        <f>IF(B62="","",ROUND(V62*IF(H62="",0,H62),2))</f>
        <v>0</v>
      </c>
      <c r="AC62" s="26">
        <f>IF(B62="","",ROUND(V62*IF(I62="",0,I62),2))</f>
        <v>0</v>
      </c>
      <c r="AD62" s="27">
        <f>IF(B62="","",IF(IF(I62="",0,I62)=0,"",(I62-IF(H62="",0,H62))/I62))</f>
        <v>0</v>
      </c>
      <c r="AE62" s="26">
        <f>IF(B62="","",IF(H62="","",H62*RetailMarkup))</f>
        <v>0</v>
      </c>
      <c r="AF62" s="26">
        <f>IF(B62="","",IF(AE62="","",ROUND(IF(RoundingRule="None",AE62,IF(RoundingRule="Nearest 0.99",MAX(0.99,CEILING(AE62,1)-0.01),IF(RoundingRule="Nearest 0.95",MAX(0.95,CEILING(AE62,1)-0.05),IF(RoundingRule="Nearest 0.50",CEILING(AE62,0.5),IF(RoundingRule="Nearest 1",CEILING(AE62,1),IF(RoundingRule="Nearest 5",CEILING(AE62,5),IF(RoundingRule="Up to whole 1",CEILING(AE62,1),IF(RoundingRule="Up to whole 5",CEILING(AE62,5),ROUND(AE62,2))))))))),2)))</f>
        <v>0</v>
      </c>
      <c r="AG62" s="26">
        <f>IF(B62="","",ROUND(SUMIFS(Sales!$Y$5:$Y$1204,Sales!$I$5:$I$1204,A62,Sales!$H$5:$H$1204,"Retail"),2))</f>
        <v>0</v>
      </c>
      <c r="AH62" s="26">
        <f>IF(B62="","",ROUND(AG62-U62*IF(H62="",0,H62),2))</f>
        <v>0</v>
      </c>
      <c r="AI62" s="25">
        <f>IF(B62="","",COUNTIFS($AG$5:$AG$304,"&gt;"&amp;AG62)+COUNTIFS($AG$5:AG62,AG62))</f>
        <v>0</v>
      </c>
      <c r="AJ62" s="39">
        <f>IF(B62="","",IF(H62="","Add - no cost, no stock value",IF(Z62="Out of stock","Out of stock - order today",IF(Z62="Low stock","Order - running low",IF(IF(Q62="",FALSE,Q62&lt;=TodayDate+30),"Check - expiring within a month",IF(IF(R62="Yes",AD62&lt;0.25,FALSE),"Below - thin margin for a retail line",IF(IF(P62="",TRUE,TodayDate-P62&gt;90),"Due - not counted in three months","OK")))))))</f>
        <v>0</v>
      </c>
    </row>
    <row r="63" spans="1:36">
      <c r="A63" s="28">
        <f>IF(B63="","",ProductPrefix&amp;TEXT(ROW()-4,"000"))</f>
        <v>0</v>
      </c>
      <c r="T63" s="37">
        <f>IF(B63="","",ROUND(SUMIFS(Purchases!$U$5:$U$304,Purchases!$D$5:$D$304,A63),2))</f>
        <v>0</v>
      </c>
      <c r="U63" s="37">
        <f>IF(B63="","",ROUND(SUMIFS(Sales!$T$5:$T$1204,Sales!$I$5:$I$1204,A63,Sales!$H$5:$H$1204,"Retail"),2))</f>
        <v>0</v>
      </c>
      <c r="V63" s="37">
        <f>IF(B63="","",ROUND(IF(J63="",0,J63)+T63-IF(K63="",0,K63)-U63-IF(L63="",0,L63)+IF(M63="",0,M63),2))</f>
        <v>0</v>
      </c>
      <c r="W63" s="37">
        <f>IF(B63="","",ROUND((U63+IF(K63="",0,K63))/MAX(4,TrackingWeeks),2))</f>
        <v>0</v>
      </c>
      <c r="X63" s="37">
        <f>IF(B63="","",IF(W63&lt;=0,"",ROUND(V63/W63,1)))</f>
        <v>0</v>
      </c>
      <c r="Y63" s="37">
        <f>IF(B63="","",IF(N63&lt;&gt;"",N63,ROUND(W63*StockWarningWeeks,1)))</f>
        <v>0</v>
      </c>
      <c r="Z63" s="39">
        <f>IF(B63="","",IF(V63&lt;=0,"Out of stock",IF(V63&lt;=Y63,"Low stock",IF(R63="No","Backbar","In stock"))))</f>
        <v>0</v>
      </c>
      <c r="AA63" s="37">
        <f>IF(B63="","",IF(Z63="In stock","",IF(Z63="Backbar",IF(V63&lt;=Y63,MAX(1,IF(O63="",ROUND(W63*ReorderWeeks,0),O63)),""),MAX(1,IF(O63="",ROUND(W63*ReorderWeeks,0),O63)))))</f>
        <v>0</v>
      </c>
      <c r="AB63" s="26">
        <f>IF(B63="","",ROUND(V63*IF(H63="",0,H63),2))</f>
        <v>0</v>
      </c>
      <c r="AC63" s="26">
        <f>IF(B63="","",ROUND(V63*IF(I63="",0,I63),2))</f>
        <v>0</v>
      </c>
      <c r="AD63" s="27">
        <f>IF(B63="","",IF(IF(I63="",0,I63)=0,"",(I63-IF(H63="",0,H63))/I63))</f>
        <v>0</v>
      </c>
      <c r="AE63" s="26">
        <f>IF(B63="","",IF(H63="","",H63*RetailMarkup))</f>
        <v>0</v>
      </c>
      <c r="AF63" s="26">
        <f>IF(B63="","",IF(AE63="","",ROUND(IF(RoundingRule="None",AE63,IF(RoundingRule="Nearest 0.99",MAX(0.99,CEILING(AE63,1)-0.01),IF(RoundingRule="Nearest 0.95",MAX(0.95,CEILING(AE63,1)-0.05),IF(RoundingRule="Nearest 0.50",CEILING(AE63,0.5),IF(RoundingRule="Nearest 1",CEILING(AE63,1),IF(RoundingRule="Nearest 5",CEILING(AE63,5),IF(RoundingRule="Up to whole 1",CEILING(AE63,1),IF(RoundingRule="Up to whole 5",CEILING(AE63,5),ROUND(AE63,2))))))))),2)))</f>
        <v>0</v>
      </c>
      <c r="AG63" s="26">
        <f>IF(B63="","",ROUND(SUMIFS(Sales!$Y$5:$Y$1204,Sales!$I$5:$I$1204,A63,Sales!$H$5:$H$1204,"Retail"),2))</f>
        <v>0</v>
      </c>
      <c r="AH63" s="26">
        <f>IF(B63="","",ROUND(AG63-U63*IF(H63="",0,H63),2))</f>
        <v>0</v>
      </c>
      <c r="AI63" s="25">
        <f>IF(B63="","",COUNTIFS($AG$5:$AG$304,"&gt;"&amp;AG63)+COUNTIFS($AG$5:AG63,AG63))</f>
        <v>0</v>
      </c>
      <c r="AJ63" s="39">
        <f>IF(B63="","",IF(H63="","Add - no cost, no stock value",IF(Z63="Out of stock","Out of stock - order today",IF(Z63="Low stock","Order - running low",IF(IF(Q63="",FALSE,Q63&lt;=TodayDate+30),"Check - expiring within a month",IF(IF(R63="Yes",AD63&lt;0.25,FALSE),"Below - thin margin for a retail line",IF(IF(P63="",TRUE,TodayDate-P63&gt;90),"Due - not counted in three months","OK")))))))</f>
        <v>0</v>
      </c>
    </row>
    <row r="64" spans="1:36">
      <c r="A64" s="28">
        <f>IF(B64="","",ProductPrefix&amp;TEXT(ROW()-4,"000"))</f>
        <v>0</v>
      </c>
      <c r="T64" s="37">
        <f>IF(B64="","",ROUND(SUMIFS(Purchases!$U$5:$U$304,Purchases!$D$5:$D$304,A64),2))</f>
        <v>0</v>
      </c>
      <c r="U64" s="37">
        <f>IF(B64="","",ROUND(SUMIFS(Sales!$T$5:$T$1204,Sales!$I$5:$I$1204,A64,Sales!$H$5:$H$1204,"Retail"),2))</f>
        <v>0</v>
      </c>
      <c r="V64" s="37">
        <f>IF(B64="","",ROUND(IF(J64="",0,J64)+T64-IF(K64="",0,K64)-U64-IF(L64="",0,L64)+IF(M64="",0,M64),2))</f>
        <v>0</v>
      </c>
      <c r="W64" s="37">
        <f>IF(B64="","",ROUND((U64+IF(K64="",0,K64))/MAX(4,TrackingWeeks),2))</f>
        <v>0</v>
      </c>
      <c r="X64" s="37">
        <f>IF(B64="","",IF(W64&lt;=0,"",ROUND(V64/W64,1)))</f>
        <v>0</v>
      </c>
      <c r="Y64" s="37">
        <f>IF(B64="","",IF(N64&lt;&gt;"",N64,ROUND(W64*StockWarningWeeks,1)))</f>
        <v>0</v>
      </c>
      <c r="Z64" s="39">
        <f>IF(B64="","",IF(V64&lt;=0,"Out of stock",IF(V64&lt;=Y64,"Low stock",IF(R64="No","Backbar","In stock"))))</f>
        <v>0</v>
      </c>
      <c r="AA64" s="37">
        <f>IF(B64="","",IF(Z64="In stock","",IF(Z64="Backbar",IF(V64&lt;=Y64,MAX(1,IF(O64="",ROUND(W64*ReorderWeeks,0),O64)),""),MAX(1,IF(O64="",ROUND(W64*ReorderWeeks,0),O64)))))</f>
        <v>0</v>
      </c>
      <c r="AB64" s="26">
        <f>IF(B64="","",ROUND(V64*IF(H64="",0,H64),2))</f>
        <v>0</v>
      </c>
      <c r="AC64" s="26">
        <f>IF(B64="","",ROUND(V64*IF(I64="",0,I64),2))</f>
        <v>0</v>
      </c>
      <c r="AD64" s="27">
        <f>IF(B64="","",IF(IF(I64="",0,I64)=0,"",(I64-IF(H64="",0,H64))/I64))</f>
        <v>0</v>
      </c>
      <c r="AE64" s="26">
        <f>IF(B64="","",IF(H64="","",H64*RetailMarkup))</f>
        <v>0</v>
      </c>
      <c r="AF64" s="26">
        <f>IF(B64="","",IF(AE64="","",ROUND(IF(RoundingRule="None",AE64,IF(RoundingRule="Nearest 0.99",MAX(0.99,CEILING(AE64,1)-0.01),IF(RoundingRule="Nearest 0.95",MAX(0.95,CEILING(AE64,1)-0.05),IF(RoundingRule="Nearest 0.50",CEILING(AE64,0.5),IF(RoundingRule="Nearest 1",CEILING(AE64,1),IF(RoundingRule="Nearest 5",CEILING(AE64,5),IF(RoundingRule="Up to whole 1",CEILING(AE64,1),IF(RoundingRule="Up to whole 5",CEILING(AE64,5),ROUND(AE64,2))))))))),2)))</f>
        <v>0</v>
      </c>
      <c r="AG64" s="26">
        <f>IF(B64="","",ROUND(SUMIFS(Sales!$Y$5:$Y$1204,Sales!$I$5:$I$1204,A64,Sales!$H$5:$H$1204,"Retail"),2))</f>
        <v>0</v>
      </c>
      <c r="AH64" s="26">
        <f>IF(B64="","",ROUND(AG64-U64*IF(H64="",0,H64),2))</f>
        <v>0</v>
      </c>
      <c r="AI64" s="25">
        <f>IF(B64="","",COUNTIFS($AG$5:$AG$304,"&gt;"&amp;AG64)+COUNTIFS($AG$5:AG64,AG64))</f>
        <v>0</v>
      </c>
      <c r="AJ64" s="39">
        <f>IF(B64="","",IF(H64="","Add - no cost, no stock value",IF(Z64="Out of stock","Out of stock - order today",IF(Z64="Low stock","Order - running low",IF(IF(Q64="",FALSE,Q64&lt;=TodayDate+30),"Check - expiring within a month",IF(IF(R64="Yes",AD64&lt;0.25,FALSE),"Below - thin margin for a retail line",IF(IF(P64="",TRUE,TodayDate-P64&gt;90),"Due - not counted in three months","OK")))))))</f>
        <v>0</v>
      </c>
    </row>
    <row r="65" spans="1:36">
      <c r="A65" s="28">
        <f>IF(B65="","",ProductPrefix&amp;TEXT(ROW()-4,"000"))</f>
        <v>0</v>
      </c>
      <c r="T65" s="37">
        <f>IF(B65="","",ROUND(SUMIFS(Purchases!$U$5:$U$304,Purchases!$D$5:$D$304,A65),2))</f>
        <v>0</v>
      </c>
      <c r="U65" s="37">
        <f>IF(B65="","",ROUND(SUMIFS(Sales!$T$5:$T$1204,Sales!$I$5:$I$1204,A65,Sales!$H$5:$H$1204,"Retail"),2))</f>
        <v>0</v>
      </c>
      <c r="V65" s="37">
        <f>IF(B65="","",ROUND(IF(J65="",0,J65)+T65-IF(K65="",0,K65)-U65-IF(L65="",0,L65)+IF(M65="",0,M65),2))</f>
        <v>0</v>
      </c>
      <c r="W65" s="37">
        <f>IF(B65="","",ROUND((U65+IF(K65="",0,K65))/MAX(4,TrackingWeeks),2))</f>
        <v>0</v>
      </c>
      <c r="X65" s="37">
        <f>IF(B65="","",IF(W65&lt;=0,"",ROUND(V65/W65,1)))</f>
        <v>0</v>
      </c>
      <c r="Y65" s="37">
        <f>IF(B65="","",IF(N65&lt;&gt;"",N65,ROUND(W65*StockWarningWeeks,1)))</f>
        <v>0</v>
      </c>
      <c r="Z65" s="39">
        <f>IF(B65="","",IF(V65&lt;=0,"Out of stock",IF(V65&lt;=Y65,"Low stock",IF(R65="No","Backbar","In stock"))))</f>
        <v>0</v>
      </c>
      <c r="AA65" s="37">
        <f>IF(B65="","",IF(Z65="In stock","",IF(Z65="Backbar",IF(V65&lt;=Y65,MAX(1,IF(O65="",ROUND(W65*ReorderWeeks,0),O65)),""),MAX(1,IF(O65="",ROUND(W65*ReorderWeeks,0),O65)))))</f>
        <v>0</v>
      </c>
      <c r="AB65" s="26">
        <f>IF(B65="","",ROUND(V65*IF(H65="",0,H65),2))</f>
        <v>0</v>
      </c>
      <c r="AC65" s="26">
        <f>IF(B65="","",ROUND(V65*IF(I65="",0,I65),2))</f>
        <v>0</v>
      </c>
      <c r="AD65" s="27">
        <f>IF(B65="","",IF(IF(I65="",0,I65)=0,"",(I65-IF(H65="",0,H65))/I65))</f>
        <v>0</v>
      </c>
      <c r="AE65" s="26">
        <f>IF(B65="","",IF(H65="","",H65*RetailMarkup))</f>
        <v>0</v>
      </c>
      <c r="AF65" s="26">
        <f>IF(B65="","",IF(AE65="","",ROUND(IF(RoundingRule="None",AE65,IF(RoundingRule="Nearest 0.99",MAX(0.99,CEILING(AE65,1)-0.01),IF(RoundingRule="Nearest 0.95",MAX(0.95,CEILING(AE65,1)-0.05),IF(RoundingRule="Nearest 0.50",CEILING(AE65,0.5),IF(RoundingRule="Nearest 1",CEILING(AE65,1),IF(RoundingRule="Nearest 5",CEILING(AE65,5),IF(RoundingRule="Up to whole 1",CEILING(AE65,1),IF(RoundingRule="Up to whole 5",CEILING(AE65,5),ROUND(AE65,2))))))))),2)))</f>
        <v>0</v>
      </c>
      <c r="AG65" s="26">
        <f>IF(B65="","",ROUND(SUMIFS(Sales!$Y$5:$Y$1204,Sales!$I$5:$I$1204,A65,Sales!$H$5:$H$1204,"Retail"),2))</f>
        <v>0</v>
      </c>
      <c r="AH65" s="26">
        <f>IF(B65="","",ROUND(AG65-U65*IF(H65="",0,H65),2))</f>
        <v>0</v>
      </c>
      <c r="AI65" s="25">
        <f>IF(B65="","",COUNTIFS($AG$5:$AG$304,"&gt;"&amp;AG65)+COUNTIFS($AG$5:AG65,AG65))</f>
        <v>0</v>
      </c>
      <c r="AJ65" s="39">
        <f>IF(B65="","",IF(H65="","Add - no cost, no stock value",IF(Z65="Out of stock","Out of stock - order today",IF(Z65="Low stock","Order - running low",IF(IF(Q65="",FALSE,Q65&lt;=TodayDate+30),"Check - expiring within a month",IF(IF(R65="Yes",AD65&lt;0.25,FALSE),"Below - thin margin for a retail line",IF(IF(P65="",TRUE,TodayDate-P65&gt;90),"Due - not counted in three months","OK")))))))</f>
        <v>0</v>
      </c>
    </row>
    <row r="66" spans="1:36">
      <c r="A66" s="28">
        <f>IF(B66="","",ProductPrefix&amp;TEXT(ROW()-4,"000"))</f>
        <v>0</v>
      </c>
      <c r="T66" s="37">
        <f>IF(B66="","",ROUND(SUMIFS(Purchases!$U$5:$U$304,Purchases!$D$5:$D$304,A66),2))</f>
        <v>0</v>
      </c>
      <c r="U66" s="37">
        <f>IF(B66="","",ROUND(SUMIFS(Sales!$T$5:$T$1204,Sales!$I$5:$I$1204,A66,Sales!$H$5:$H$1204,"Retail"),2))</f>
        <v>0</v>
      </c>
      <c r="V66" s="37">
        <f>IF(B66="","",ROUND(IF(J66="",0,J66)+T66-IF(K66="",0,K66)-U66-IF(L66="",0,L66)+IF(M66="",0,M66),2))</f>
        <v>0</v>
      </c>
      <c r="W66" s="37">
        <f>IF(B66="","",ROUND((U66+IF(K66="",0,K66))/MAX(4,TrackingWeeks),2))</f>
        <v>0</v>
      </c>
      <c r="X66" s="37">
        <f>IF(B66="","",IF(W66&lt;=0,"",ROUND(V66/W66,1)))</f>
        <v>0</v>
      </c>
      <c r="Y66" s="37">
        <f>IF(B66="","",IF(N66&lt;&gt;"",N66,ROUND(W66*StockWarningWeeks,1)))</f>
        <v>0</v>
      </c>
      <c r="Z66" s="39">
        <f>IF(B66="","",IF(V66&lt;=0,"Out of stock",IF(V66&lt;=Y66,"Low stock",IF(R66="No","Backbar","In stock"))))</f>
        <v>0</v>
      </c>
      <c r="AA66" s="37">
        <f>IF(B66="","",IF(Z66="In stock","",IF(Z66="Backbar",IF(V66&lt;=Y66,MAX(1,IF(O66="",ROUND(W66*ReorderWeeks,0),O66)),""),MAX(1,IF(O66="",ROUND(W66*ReorderWeeks,0),O66)))))</f>
        <v>0</v>
      </c>
      <c r="AB66" s="26">
        <f>IF(B66="","",ROUND(V66*IF(H66="",0,H66),2))</f>
        <v>0</v>
      </c>
      <c r="AC66" s="26">
        <f>IF(B66="","",ROUND(V66*IF(I66="",0,I66),2))</f>
        <v>0</v>
      </c>
      <c r="AD66" s="27">
        <f>IF(B66="","",IF(IF(I66="",0,I66)=0,"",(I66-IF(H66="",0,H66))/I66))</f>
        <v>0</v>
      </c>
      <c r="AE66" s="26">
        <f>IF(B66="","",IF(H66="","",H66*RetailMarkup))</f>
        <v>0</v>
      </c>
      <c r="AF66" s="26">
        <f>IF(B66="","",IF(AE66="","",ROUND(IF(RoundingRule="None",AE66,IF(RoundingRule="Nearest 0.99",MAX(0.99,CEILING(AE66,1)-0.01),IF(RoundingRule="Nearest 0.95",MAX(0.95,CEILING(AE66,1)-0.05),IF(RoundingRule="Nearest 0.50",CEILING(AE66,0.5),IF(RoundingRule="Nearest 1",CEILING(AE66,1),IF(RoundingRule="Nearest 5",CEILING(AE66,5),IF(RoundingRule="Up to whole 1",CEILING(AE66,1),IF(RoundingRule="Up to whole 5",CEILING(AE66,5),ROUND(AE66,2))))))))),2)))</f>
        <v>0</v>
      </c>
      <c r="AG66" s="26">
        <f>IF(B66="","",ROUND(SUMIFS(Sales!$Y$5:$Y$1204,Sales!$I$5:$I$1204,A66,Sales!$H$5:$H$1204,"Retail"),2))</f>
        <v>0</v>
      </c>
      <c r="AH66" s="26">
        <f>IF(B66="","",ROUND(AG66-U66*IF(H66="",0,H66),2))</f>
        <v>0</v>
      </c>
      <c r="AI66" s="25">
        <f>IF(B66="","",COUNTIFS($AG$5:$AG$304,"&gt;"&amp;AG66)+COUNTIFS($AG$5:AG66,AG66))</f>
        <v>0</v>
      </c>
      <c r="AJ66" s="39">
        <f>IF(B66="","",IF(H66="","Add - no cost, no stock value",IF(Z66="Out of stock","Out of stock - order today",IF(Z66="Low stock","Order - running low",IF(IF(Q66="",FALSE,Q66&lt;=TodayDate+30),"Check - expiring within a month",IF(IF(R66="Yes",AD66&lt;0.25,FALSE),"Below - thin margin for a retail line",IF(IF(P66="",TRUE,TodayDate-P66&gt;90),"Due - not counted in three months","OK")))))))</f>
        <v>0</v>
      </c>
    </row>
    <row r="67" spans="1:36">
      <c r="A67" s="28">
        <f>IF(B67="","",ProductPrefix&amp;TEXT(ROW()-4,"000"))</f>
        <v>0</v>
      </c>
      <c r="T67" s="37">
        <f>IF(B67="","",ROUND(SUMIFS(Purchases!$U$5:$U$304,Purchases!$D$5:$D$304,A67),2))</f>
        <v>0</v>
      </c>
      <c r="U67" s="37">
        <f>IF(B67="","",ROUND(SUMIFS(Sales!$T$5:$T$1204,Sales!$I$5:$I$1204,A67,Sales!$H$5:$H$1204,"Retail"),2))</f>
        <v>0</v>
      </c>
      <c r="V67" s="37">
        <f>IF(B67="","",ROUND(IF(J67="",0,J67)+T67-IF(K67="",0,K67)-U67-IF(L67="",0,L67)+IF(M67="",0,M67),2))</f>
        <v>0</v>
      </c>
      <c r="W67" s="37">
        <f>IF(B67="","",ROUND((U67+IF(K67="",0,K67))/MAX(4,TrackingWeeks),2))</f>
        <v>0</v>
      </c>
      <c r="X67" s="37">
        <f>IF(B67="","",IF(W67&lt;=0,"",ROUND(V67/W67,1)))</f>
        <v>0</v>
      </c>
      <c r="Y67" s="37">
        <f>IF(B67="","",IF(N67&lt;&gt;"",N67,ROUND(W67*StockWarningWeeks,1)))</f>
        <v>0</v>
      </c>
      <c r="Z67" s="39">
        <f>IF(B67="","",IF(V67&lt;=0,"Out of stock",IF(V67&lt;=Y67,"Low stock",IF(R67="No","Backbar","In stock"))))</f>
        <v>0</v>
      </c>
      <c r="AA67" s="37">
        <f>IF(B67="","",IF(Z67="In stock","",IF(Z67="Backbar",IF(V67&lt;=Y67,MAX(1,IF(O67="",ROUND(W67*ReorderWeeks,0),O67)),""),MAX(1,IF(O67="",ROUND(W67*ReorderWeeks,0),O67)))))</f>
        <v>0</v>
      </c>
      <c r="AB67" s="26">
        <f>IF(B67="","",ROUND(V67*IF(H67="",0,H67),2))</f>
        <v>0</v>
      </c>
      <c r="AC67" s="26">
        <f>IF(B67="","",ROUND(V67*IF(I67="",0,I67),2))</f>
        <v>0</v>
      </c>
      <c r="AD67" s="27">
        <f>IF(B67="","",IF(IF(I67="",0,I67)=0,"",(I67-IF(H67="",0,H67))/I67))</f>
        <v>0</v>
      </c>
      <c r="AE67" s="26">
        <f>IF(B67="","",IF(H67="","",H67*RetailMarkup))</f>
        <v>0</v>
      </c>
      <c r="AF67" s="26">
        <f>IF(B67="","",IF(AE67="","",ROUND(IF(RoundingRule="None",AE67,IF(RoundingRule="Nearest 0.99",MAX(0.99,CEILING(AE67,1)-0.01),IF(RoundingRule="Nearest 0.95",MAX(0.95,CEILING(AE67,1)-0.05),IF(RoundingRule="Nearest 0.50",CEILING(AE67,0.5),IF(RoundingRule="Nearest 1",CEILING(AE67,1),IF(RoundingRule="Nearest 5",CEILING(AE67,5),IF(RoundingRule="Up to whole 1",CEILING(AE67,1),IF(RoundingRule="Up to whole 5",CEILING(AE67,5),ROUND(AE67,2))))))))),2)))</f>
        <v>0</v>
      </c>
      <c r="AG67" s="26">
        <f>IF(B67="","",ROUND(SUMIFS(Sales!$Y$5:$Y$1204,Sales!$I$5:$I$1204,A67,Sales!$H$5:$H$1204,"Retail"),2))</f>
        <v>0</v>
      </c>
      <c r="AH67" s="26">
        <f>IF(B67="","",ROUND(AG67-U67*IF(H67="",0,H67),2))</f>
        <v>0</v>
      </c>
      <c r="AI67" s="25">
        <f>IF(B67="","",COUNTIFS($AG$5:$AG$304,"&gt;"&amp;AG67)+COUNTIFS($AG$5:AG67,AG67))</f>
        <v>0</v>
      </c>
      <c r="AJ67" s="39">
        <f>IF(B67="","",IF(H67="","Add - no cost, no stock value",IF(Z67="Out of stock","Out of stock - order today",IF(Z67="Low stock","Order - running low",IF(IF(Q67="",FALSE,Q67&lt;=TodayDate+30),"Check - expiring within a month",IF(IF(R67="Yes",AD67&lt;0.25,FALSE),"Below - thin margin for a retail line",IF(IF(P67="",TRUE,TodayDate-P67&gt;90),"Due - not counted in three months","OK")))))))</f>
        <v>0</v>
      </c>
    </row>
    <row r="68" spans="1:36">
      <c r="A68" s="28">
        <f>IF(B68="","",ProductPrefix&amp;TEXT(ROW()-4,"000"))</f>
        <v>0</v>
      </c>
      <c r="T68" s="37">
        <f>IF(B68="","",ROUND(SUMIFS(Purchases!$U$5:$U$304,Purchases!$D$5:$D$304,A68),2))</f>
        <v>0</v>
      </c>
      <c r="U68" s="37">
        <f>IF(B68="","",ROUND(SUMIFS(Sales!$T$5:$T$1204,Sales!$I$5:$I$1204,A68,Sales!$H$5:$H$1204,"Retail"),2))</f>
        <v>0</v>
      </c>
      <c r="V68" s="37">
        <f>IF(B68="","",ROUND(IF(J68="",0,J68)+T68-IF(K68="",0,K68)-U68-IF(L68="",0,L68)+IF(M68="",0,M68),2))</f>
        <v>0</v>
      </c>
      <c r="W68" s="37">
        <f>IF(B68="","",ROUND((U68+IF(K68="",0,K68))/MAX(4,TrackingWeeks),2))</f>
        <v>0</v>
      </c>
      <c r="X68" s="37">
        <f>IF(B68="","",IF(W68&lt;=0,"",ROUND(V68/W68,1)))</f>
        <v>0</v>
      </c>
      <c r="Y68" s="37">
        <f>IF(B68="","",IF(N68&lt;&gt;"",N68,ROUND(W68*StockWarningWeeks,1)))</f>
        <v>0</v>
      </c>
      <c r="Z68" s="39">
        <f>IF(B68="","",IF(V68&lt;=0,"Out of stock",IF(V68&lt;=Y68,"Low stock",IF(R68="No","Backbar","In stock"))))</f>
        <v>0</v>
      </c>
      <c r="AA68" s="37">
        <f>IF(B68="","",IF(Z68="In stock","",IF(Z68="Backbar",IF(V68&lt;=Y68,MAX(1,IF(O68="",ROUND(W68*ReorderWeeks,0),O68)),""),MAX(1,IF(O68="",ROUND(W68*ReorderWeeks,0),O68)))))</f>
        <v>0</v>
      </c>
      <c r="AB68" s="26">
        <f>IF(B68="","",ROUND(V68*IF(H68="",0,H68),2))</f>
        <v>0</v>
      </c>
      <c r="AC68" s="26">
        <f>IF(B68="","",ROUND(V68*IF(I68="",0,I68),2))</f>
        <v>0</v>
      </c>
      <c r="AD68" s="27">
        <f>IF(B68="","",IF(IF(I68="",0,I68)=0,"",(I68-IF(H68="",0,H68))/I68))</f>
        <v>0</v>
      </c>
      <c r="AE68" s="26">
        <f>IF(B68="","",IF(H68="","",H68*RetailMarkup))</f>
        <v>0</v>
      </c>
      <c r="AF68" s="26">
        <f>IF(B68="","",IF(AE68="","",ROUND(IF(RoundingRule="None",AE68,IF(RoundingRule="Nearest 0.99",MAX(0.99,CEILING(AE68,1)-0.01),IF(RoundingRule="Nearest 0.95",MAX(0.95,CEILING(AE68,1)-0.05),IF(RoundingRule="Nearest 0.50",CEILING(AE68,0.5),IF(RoundingRule="Nearest 1",CEILING(AE68,1),IF(RoundingRule="Nearest 5",CEILING(AE68,5),IF(RoundingRule="Up to whole 1",CEILING(AE68,1),IF(RoundingRule="Up to whole 5",CEILING(AE68,5),ROUND(AE68,2))))))))),2)))</f>
        <v>0</v>
      </c>
      <c r="AG68" s="26">
        <f>IF(B68="","",ROUND(SUMIFS(Sales!$Y$5:$Y$1204,Sales!$I$5:$I$1204,A68,Sales!$H$5:$H$1204,"Retail"),2))</f>
        <v>0</v>
      </c>
      <c r="AH68" s="26">
        <f>IF(B68="","",ROUND(AG68-U68*IF(H68="",0,H68),2))</f>
        <v>0</v>
      </c>
      <c r="AI68" s="25">
        <f>IF(B68="","",COUNTIFS($AG$5:$AG$304,"&gt;"&amp;AG68)+COUNTIFS($AG$5:AG68,AG68))</f>
        <v>0</v>
      </c>
      <c r="AJ68" s="39">
        <f>IF(B68="","",IF(H68="","Add - no cost, no stock value",IF(Z68="Out of stock","Out of stock - order today",IF(Z68="Low stock","Order - running low",IF(IF(Q68="",FALSE,Q68&lt;=TodayDate+30),"Check - expiring within a month",IF(IF(R68="Yes",AD68&lt;0.25,FALSE),"Below - thin margin for a retail line",IF(IF(P68="",TRUE,TodayDate-P68&gt;90),"Due - not counted in three months","OK")))))))</f>
        <v>0</v>
      </c>
    </row>
    <row r="69" spans="1:36">
      <c r="A69" s="28">
        <f>IF(B69="","",ProductPrefix&amp;TEXT(ROW()-4,"000"))</f>
        <v>0</v>
      </c>
      <c r="T69" s="37">
        <f>IF(B69="","",ROUND(SUMIFS(Purchases!$U$5:$U$304,Purchases!$D$5:$D$304,A69),2))</f>
        <v>0</v>
      </c>
      <c r="U69" s="37">
        <f>IF(B69="","",ROUND(SUMIFS(Sales!$T$5:$T$1204,Sales!$I$5:$I$1204,A69,Sales!$H$5:$H$1204,"Retail"),2))</f>
        <v>0</v>
      </c>
      <c r="V69" s="37">
        <f>IF(B69="","",ROUND(IF(J69="",0,J69)+T69-IF(K69="",0,K69)-U69-IF(L69="",0,L69)+IF(M69="",0,M69),2))</f>
        <v>0</v>
      </c>
      <c r="W69" s="37">
        <f>IF(B69="","",ROUND((U69+IF(K69="",0,K69))/MAX(4,TrackingWeeks),2))</f>
        <v>0</v>
      </c>
      <c r="X69" s="37">
        <f>IF(B69="","",IF(W69&lt;=0,"",ROUND(V69/W69,1)))</f>
        <v>0</v>
      </c>
      <c r="Y69" s="37">
        <f>IF(B69="","",IF(N69&lt;&gt;"",N69,ROUND(W69*StockWarningWeeks,1)))</f>
        <v>0</v>
      </c>
      <c r="Z69" s="39">
        <f>IF(B69="","",IF(V69&lt;=0,"Out of stock",IF(V69&lt;=Y69,"Low stock",IF(R69="No","Backbar","In stock"))))</f>
        <v>0</v>
      </c>
      <c r="AA69" s="37">
        <f>IF(B69="","",IF(Z69="In stock","",IF(Z69="Backbar",IF(V69&lt;=Y69,MAX(1,IF(O69="",ROUND(W69*ReorderWeeks,0),O69)),""),MAX(1,IF(O69="",ROUND(W69*ReorderWeeks,0),O69)))))</f>
        <v>0</v>
      </c>
      <c r="AB69" s="26">
        <f>IF(B69="","",ROUND(V69*IF(H69="",0,H69),2))</f>
        <v>0</v>
      </c>
      <c r="AC69" s="26">
        <f>IF(B69="","",ROUND(V69*IF(I69="",0,I69),2))</f>
        <v>0</v>
      </c>
      <c r="AD69" s="27">
        <f>IF(B69="","",IF(IF(I69="",0,I69)=0,"",(I69-IF(H69="",0,H69))/I69))</f>
        <v>0</v>
      </c>
      <c r="AE69" s="26">
        <f>IF(B69="","",IF(H69="","",H69*RetailMarkup))</f>
        <v>0</v>
      </c>
      <c r="AF69" s="26">
        <f>IF(B69="","",IF(AE69="","",ROUND(IF(RoundingRule="None",AE69,IF(RoundingRule="Nearest 0.99",MAX(0.99,CEILING(AE69,1)-0.01),IF(RoundingRule="Nearest 0.95",MAX(0.95,CEILING(AE69,1)-0.05),IF(RoundingRule="Nearest 0.50",CEILING(AE69,0.5),IF(RoundingRule="Nearest 1",CEILING(AE69,1),IF(RoundingRule="Nearest 5",CEILING(AE69,5),IF(RoundingRule="Up to whole 1",CEILING(AE69,1),IF(RoundingRule="Up to whole 5",CEILING(AE69,5),ROUND(AE69,2))))))))),2)))</f>
        <v>0</v>
      </c>
      <c r="AG69" s="26">
        <f>IF(B69="","",ROUND(SUMIFS(Sales!$Y$5:$Y$1204,Sales!$I$5:$I$1204,A69,Sales!$H$5:$H$1204,"Retail"),2))</f>
        <v>0</v>
      </c>
      <c r="AH69" s="26">
        <f>IF(B69="","",ROUND(AG69-U69*IF(H69="",0,H69),2))</f>
        <v>0</v>
      </c>
      <c r="AI69" s="25">
        <f>IF(B69="","",COUNTIFS($AG$5:$AG$304,"&gt;"&amp;AG69)+COUNTIFS($AG$5:AG69,AG69))</f>
        <v>0</v>
      </c>
      <c r="AJ69" s="39">
        <f>IF(B69="","",IF(H69="","Add - no cost, no stock value",IF(Z69="Out of stock","Out of stock - order today",IF(Z69="Low stock","Order - running low",IF(IF(Q69="",FALSE,Q69&lt;=TodayDate+30),"Check - expiring within a month",IF(IF(R69="Yes",AD69&lt;0.25,FALSE),"Below - thin margin for a retail line",IF(IF(P69="",TRUE,TodayDate-P69&gt;90),"Due - not counted in three months","OK")))))))</f>
        <v>0</v>
      </c>
    </row>
    <row r="70" spans="1:36">
      <c r="A70" s="28">
        <f>IF(B70="","",ProductPrefix&amp;TEXT(ROW()-4,"000"))</f>
        <v>0</v>
      </c>
      <c r="T70" s="37">
        <f>IF(B70="","",ROUND(SUMIFS(Purchases!$U$5:$U$304,Purchases!$D$5:$D$304,A70),2))</f>
        <v>0</v>
      </c>
      <c r="U70" s="37">
        <f>IF(B70="","",ROUND(SUMIFS(Sales!$T$5:$T$1204,Sales!$I$5:$I$1204,A70,Sales!$H$5:$H$1204,"Retail"),2))</f>
        <v>0</v>
      </c>
      <c r="V70" s="37">
        <f>IF(B70="","",ROUND(IF(J70="",0,J70)+T70-IF(K70="",0,K70)-U70-IF(L70="",0,L70)+IF(M70="",0,M70),2))</f>
        <v>0</v>
      </c>
      <c r="W70" s="37">
        <f>IF(B70="","",ROUND((U70+IF(K70="",0,K70))/MAX(4,TrackingWeeks),2))</f>
        <v>0</v>
      </c>
      <c r="X70" s="37">
        <f>IF(B70="","",IF(W70&lt;=0,"",ROUND(V70/W70,1)))</f>
        <v>0</v>
      </c>
      <c r="Y70" s="37">
        <f>IF(B70="","",IF(N70&lt;&gt;"",N70,ROUND(W70*StockWarningWeeks,1)))</f>
        <v>0</v>
      </c>
      <c r="Z70" s="39">
        <f>IF(B70="","",IF(V70&lt;=0,"Out of stock",IF(V70&lt;=Y70,"Low stock",IF(R70="No","Backbar","In stock"))))</f>
        <v>0</v>
      </c>
      <c r="AA70" s="37">
        <f>IF(B70="","",IF(Z70="In stock","",IF(Z70="Backbar",IF(V70&lt;=Y70,MAX(1,IF(O70="",ROUND(W70*ReorderWeeks,0),O70)),""),MAX(1,IF(O70="",ROUND(W70*ReorderWeeks,0),O70)))))</f>
        <v>0</v>
      </c>
      <c r="AB70" s="26">
        <f>IF(B70="","",ROUND(V70*IF(H70="",0,H70),2))</f>
        <v>0</v>
      </c>
      <c r="AC70" s="26">
        <f>IF(B70="","",ROUND(V70*IF(I70="",0,I70),2))</f>
        <v>0</v>
      </c>
      <c r="AD70" s="27">
        <f>IF(B70="","",IF(IF(I70="",0,I70)=0,"",(I70-IF(H70="",0,H70))/I70))</f>
        <v>0</v>
      </c>
      <c r="AE70" s="26">
        <f>IF(B70="","",IF(H70="","",H70*RetailMarkup))</f>
        <v>0</v>
      </c>
      <c r="AF70" s="26">
        <f>IF(B70="","",IF(AE70="","",ROUND(IF(RoundingRule="None",AE70,IF(RoundingRule="Nearest 0.99",MAX(0.99,CEILING(AE70,1)-0.01),IF(RoundingRule="Nearest 0.95",MAX(0.95,CEILING(AE70,1)-0.05),IF(RoundingRule="Nearest 0.50",CEILING(AE70,0.5),IF(RoundingRule="Nearest 1",CEILING(AE70,1),IF(RoundingRule="Nearest 5",CEILING(AE70,5),IF(RoundingRule="Up to whole 1",CEILING(AE70,1),IF(RoundingRule="Up to whole 5",CEILING(AE70,5),ROUND(AE70,2))))))))),2)))</f>
        <v>0</v>
      </c>
      <c r="AG70" s="26">
        <f>IF(B70="","",ROUND(SUMIFS(Sales!$Y$5:$Y$1204,Sales!$I$5:$I$1204,A70,Sales!$H$5:$H$1204,"Retail"),2))</f>
        <v>0</v>
      </c>
      <c r="AH70" s="26">
        <f>IF(B70="","",ROUND(AG70-U70*IF(H70="",0,H70),2))</f>
        <v>0</v>
      </c>
      <c r="AI70" s="25">
        <f>IF(B70="","",COUNTIFS($AG$5:$AG$304,"&gt;"&amp;AG70)+COUNTIFS($AG$5:AG70,AG70))</f>
        <v>0</v>
      </c>
      <c r="AJ70" s="39">
        <f>IF(B70="","",IF(H70="","Add - no cost, no stock value",IF(Z70="Out of stock","Out of stock - order today",IF(Z70="Low stock","Order - running low",IF(IF(Q70="",FALSE,Q70&lt;=TodayDate+30),"Check - expiring within a month",IF(IF(R70="Yes",AD70&lt;0.25,FALSE),"Below - thin margin for a retail line",IF(IF(P70="",TRUE,TodayDate-P70&gt;90),"Due - not counted in three months","OK")))))))</f>
        <v>0</v>
      </c>
    </row>
    <row r="71" spans="1:36">
      <c r="A71" s="28">
        <f>IF(B71="","",ProductPrefix&amp;TEXT(ROW()-4,"000"))</f>
        <v>0</v>
      </c>
      <c r="T71" s="37">
        <f>IF(B71="","",ROUND(SUMIFS(Purchases!$U$5:$U$304,Purchases!$D$5:$D$304,A71),2))</f>
        <v>0</v>
      </c>
      <c r="U71" s="37">
        <f>IF(B71="","",ROUND(SUMIFS(Sales!$T$5:$T$1204,Sales!$I$5:$I$1204,A71,Sales!$H$5:$H$1204,"Retail"),2))</f>
        <v>0</v>
      </c>
      <c r="V71" s="37">
        <f>IF(B71="","",ROUND(IF(J71="",0,J71)+T71-IF(K71="",0,K71)-U71-IF(L71="",0,L71)+IF(M71="",0,M71),2))</f>
        <v>0</v>
      </c>
      <c r="W71" s="37">
        <f>IF(B71="","",ROUND((U71+IF(K71="",0,K71))/MAX(4,TrackingWeeks),2))</f>
        <v>0</v>
      </c>
      <c r="X71" s="37">
        <f>IF(B71="","",IF(W71&lt;=0,"",ROUND(V71/W71,1)))</f>
        <v>0</v>
      </c>
      <c r="Y71" s="37">
        <f>IF(B71="","",IF(N71&lt;&gt;"",N71,ROUND(W71*StockWarningWeeks,1)))</f>
        <v>0</v>
      </c>
      <c r="Z71" s="39">
        <f>IF(B71="","",IF(V71&lt;=0,"Out of stock",IF(V71&lt;=Y71,"Low stock",IF(R71="No","Backbar","In stock"))))</f>
        <v>0</v>
      </c>
      <c r="AA71" s="37">
        <f>IF(B71="","",IF(Z71="In stock","",IF(Z71="Backbar",IF(V71&lt;=Y71,MAX(1,IF(O71="",ROUND(W71*ReorderWeeks,0),O71)),""),MAX(1,IF(O71="",ROUND(W71*ReorderWeeks,0),O71)))))</f>
        <v>0</v>
      </c>
      <c r="AB71" s="26">
        <f>IF(B71="","",ROUND(V71*IF(H71="",0,H71),2))</f>
        <v>0</v>
      </c>
      <c r="AC71" s="26">
        <f>IF(B71="","",ROUND(V71*IF(I71="",0,I71),2))</f>
        <v>0</v>
      </c>
      <c r="AD71" s="27">
        <f>IF(B71="","",IF(IF(I71="",0,I71)=0,"",(I71-IF(H71="",0,H71))/I71))</f>
        <v>0</v>
      </c>
      <c r="AE71" s="26">
        <f>IF(B71="","",IF(H71="","",H71*RetailMarkup))</f>
        <v>0</v>
      </c>
      <c r="AF71" s="26">
        <f>IF(B71="","",IF(AE71="","",ROUND(IF(RoundingRule="None",AE71,IF(RoundingRule="Nearest 0.99",MAX(0.99,CEILING(AE71,1)-0.01),IF(RoundingRule="Nearest 0.95",MAX(0.95,CEILING(AE71,1)-0.05),IF(RoundingRule="Nearest 0.50",CEILING(AE71,0.5),IF(RoundingRule="Nearest 1",CEILING(AE71,1),IF(RoundingRule="Nearest 5",CEILING(AE71,5),IF(RoundingRule="Up to whole 1",CEILING(AE71,1),IF(RoundingRule="Up to whole 5",CEILING(AE71,5),ROUND(AE71,2))))))))),2)))</f>
        <v>0</v>
      </c>
      <c r="AG71" s="26">
        <f>IF(B71="","",ROUND(SUMIFS(Sales!$Y$5:$Y$1204,Sales!$I$5:$I$1204,A71,Sales!$H$5:$H$1204,"Retail"),2))</f>
        <v>0</v>
      </c>
      <c r="AH71" s="26">
        <f>IF(B71="","",ROUND(AG71-U71*IF(H71="",0,H71),2))</f>
        <v>0</v>
      </c>
      <c r="AI71" s="25">
        <f>IF(B71="","",COUNTIFS($AG$5:$AG$304,"&gt;"&amp;AG71)+COUNTIFS($AG$5:AG71,AG71))</f>
        <v>0</v>
      </c>
      <c r="AJ71" s="39">
        <f>IF(B71="","",IF(H71="","Add - no cost, no stock value",IF(Z71="Out of stock","Out of stock - order today",IF(Z71="Low stock","Order - running low",IF(IF(Q71="",FALSE,Q71&lt;=TodayDate+30),"Check - expiring within a month",IF(IF(R71="Yes",AD71&lt;0.25,FALSE),"Below - thin margin for a retail line",IF(IF(P71="",TRUE,TodayDate-P71&gt;90),"Due - not counted in three months","OK")))))))</f>
        <v>0</v>
      </c>
    </row>
    <row r="72" spans="1:36">
      <c r="A72" s="28">
        <f>IF(B72="","",ProductPrefix&amp;TEXT(ROW()-4,"000"))</f>
        <v>0</v>
      </c>
      <c r="T72" s="37">
        <f>IF(B72="","",ROUND(SUMIFS(Purchases!$U$5:$U$304,Purchases!$D$5:$D$304,A72),2))</f>
        <v>0</v>
      </c>
      <c r="U72" s="37">
        <f>IF(B72="","",ROUND(SUMIFS(Sales!$T$5:$T$1204,Sales!$I$5:$I$1204,A72,Sales!$H$5:$H$1204,"Retail"),2))</f>
        <v>0</v>
      </c>
      <c r="V72" s="37">
        <f>IF(B72="","",ROUND(IF(J72="",0,J72)+T72-IF(K72="",0,K72)-U72-IF(L72="",0,L72)+IF(M72="",0,M72),2))</f>
        <v>0</v>
      </c>
      <c r="W72" s="37">
        <f>IF(B72="","",ROUND((U72+IF(K72="",0,K72))/MAX(4,TrackingWeeks),2))</f>
        <v>0</v>
      </c>
      <c r="X72" s="37">
        <f>IF(B72="","",IF(W72&lt;=0,"",ROUND(V72/W72,1)))</f>
        <v>0</v>
      </c>
      <c r="Y72" s="37">
        <f>IF(B72="","",IF(N72&lt;&gt;"",N72,ROUND(W72*StockWarningWeeks,1)))</f>
        <v>0</v>
      </c>
      <c r="Z72" s="39">
        <f>IF(B72="","",IF(V72&lt;=0,"Out of stock",IF(V72&lt;=Y72,"Low stock",IF(R72="No","Backbar","In stock"))))</f>
        <v>0</v>
      </c>
      <c r="AA72" s="37">
        <f>IF(B72="","",IF(Z72="In stock","",IF(Z72="Backbar",IF(V72&lt;=Y72,MAX(1,IF(O72="",ROUND(W72*ReorderWeeks,0),O72)),""),MAX(1,IF(O72="",ROUND(W72*ReorderWeeks,0),O72)))))</f>
        <v>0</v>
      </c>
      <c r="AB72" s="26">
        <f>IF(B72="","",ROUND(V72*IF(H72="",0,H72),2))</f>
        <v>0</v>
      </c>
      <c r="AC72" s="26">
        <f>IF(B72="","",ROUND(V72*IF(I72="",0,I72),2))</f>
        <v>0</v>
      </c>
      <c r="AD72" s="27">
        <f>IF(B72="","",IF(IF(I72="",0,I72)=0,"",(I72-IF(H72="",0,H72))/I72))</f>
        <v>0</v>
      </c>
      <c r="AE72" s="26">
        <f>IF(B72="","",IF(H72="","",H72*RetailMarkup))</f>
        <v>0</v>
      </c>
      <c r="AF72" s="26">
        <f>IF(B72="","",IF(AE72="","",ROUND(IF(RoundingRule="None",AE72,IF(RoundingRule="Nearest 0.99",MAX(0.99,CEILING(AE72,1)-0.01),IF(RoundingRule="Nearest 0.95",MAX(0.95,CEILING(AE72,1)-0.05),IF(RoundingRule="Nearest 0.50",CEILING(AE72,0.5),IF(RoundingRule="Nearest 1",CEILING(AE72,1),IF(RoundingRule="Nearest 5",CEILING(AE72,5),IF(RoundingRule="Up to whole 1",CEILING(AE72,1),IF(RoundingRule="Up to whole 5",CEILING(AE72,5),ROUND(AE72,2))))))))),2)))</f>
        <v>0</v>
      </c>
      <c r="AG72" s="26">
        <f>IF(B72="","",ROUND(SUMIFS(Sales!$Y$5:$Y$1204,Sales!$I$5:$I$1204,A72,Sales!$H$5:$H$1204,"Retail"),2))</f>
        <v>0</v>
      </c>
      <c r="AH72" s="26">
        <f>IF(B72="","",ROUND(AG72-U72*IF(H72="",0,H72),2))</f>
        <v>0</v>
      </c>
      <c r="AI72" s="25">
        <f>IF(B72="","",COUNTIFS($AG$5:$AG$304,"&gt;"&amp;AG72)+COUNTIFS($AG$5:AG72,AG72))</f>
        <v>0</v>
      </c>
      <c r="AJ72" s="39">
        <f>IF(B72="","",IF(H72="","Add - no cost, no stock value",IF(Z72="Out of stock","Out of stock - order today",IF(Z72="Low stock","Order - running low",IF(IF(Q72="",FALSE,Q72&lt;=TodayDate+30),"Check - expiring within a month",IF(IF(R72="Yes",AD72&lt;0.25,FALSE),"Below - thin margin for a retail line",IF(IF(P72="",TRUE,TodayDate-P72&gt;90),"Due - not counted in three months","OK")))))))</f>
        <v>0</v>
      </c>
    </row>
    <row r="73" spans="1:36">
      <c r="A73" s="28">
        <f>IF(B73="","",ProductPrefix&amp;TEXT(ROW()-4,"000"))</f>
        <v>0</v>
      </c>
      <c r="T73" s="37">
        <f>IF(B73="","",ROUND(SUMIFS(Purchases!$U$5:$U$304,Purchases!$D$5:$D$304,A73),2))</f>
        <v>0</v>
      </c>
      <c r="U73" s="37">
        <f>IF(B73="","",ROUND(SUMIFS(Sales!$T$5:$T$1204,Sales!$I$5:$I$1204,A73,Sales!$H$5:$H$1204,"Retail"),2))</f>
        <v>0</v>
      </c>
      <c r="V73" s="37">
        <f>IF(B73="","",ROUND(IF(J73="",0,J73)+T73-IF(K73="",0,K73)-U73-IF(L73="",0,L73)+IF(M73="",0,M73),2))</f>
        <v>0</v>
      </c>
      <c r="W73" s="37">
        <f>IF(B73="","",ROUND((U73+IF(K73="",0,K73))/MAX(4,TrackingWeeks),2))</f>
        <v>0</v>
      </c>
      <c r="X73" s="37">
        <f>IF(B73="","",IF(W73&lt;=0,"",ROUND(V73/W73,1)))</f>
        <v>0</v>
      </c>
      <c r="Y73" s="37">
        <f>IF(B73="","",IF(N73&lt;&gt;"",N73,ROUND(W73*StockWarningWeeks,1)))</f>
        <v>0</v>
      </c>
      <c r="Z73" s="39">
        <f>IF(B73="","",IF(V73&lt;=0,"Out of stock",IF(V73&lt;=Y73,"Low stock",IF(R73="No","Backbar","In stock"))))</f>
        <v>0</v>
      </c>
      <c r="AA73" s="37">
        <f>IF(B73="","",IF(Z73="In stock","",IF(Z73="Backbar",IF(V73&lt;=Y73,MAX(1,IF(O73="",ROUND(W73*ReorderWeeks,0),O73)),""),MAX(1,IF(O73="",ROUND(W73*ReorderWeeks,0),O73)))))</f>
        <v>0</v>
      </c>
      <c r="AB73" s="26">
        <f>IF(B73="","",ROUND(V73*IF(H73="",0,H73),2))</f>
        <v>0</v>
      </c>
      <c r="AC73" s="26">
        <f>IF(B73="","",ROUND(V73*IF(I73="",0,I73),2))</f>
        <v>0</v>
      </c>
      <c r="AD73" s="27">
        <f>IF(B73="","",IF(IF(I73="",0,I73)=0,"",(I73-IF(H73="",0,H73))/I73))</f>
        <v>0</v>
      </c>
      <c r="AE73" s="26">
        <f>IF(B73="","",IF(H73="","",H73*RetailMarkup))</f>
        <v>0</v>
      </c>
      <c r="AF73" s="26">
        <f>IF(B73="","",IF(AE73="","",ROUND(IF(RoundingRule="None",AE73,IF(RoundingRule="Nearest 0.99",MAX(0.99,CEILING(AE73,1)-0.01),IF(RoundingRule="Nearest 0.95",MAX(0.95,CEILING(AE73,1)-0.05),IF(RoundingRule="Nearest 0.50",CEILING(AE73,0.5),IF(RoundingRule="Nearest 1",CEILING(AE73,1),IF(RoundingRule="Nearest 5",CEILING(AE73,5),IF(RoundingRule="Up to whole 1",CEILING(AE73,1),IF(RoundingRule="Up to whole 5",CEILING(AE73,5),ROUND(AE73,2))))))))),2)))</f>
        <v>0</v>
      </c>
      <c r="AG73" s="26">
        <f>IF(B73="","",ROUND(SUMIFS(Sales!$Y$5:$Y$1204,Sales!$I$5:$I$1204,A73,Sales!$H$5:$H$1204,"Retail"),2))</f>
        <v>0</v>
      </c>
      <c r="AH73" s="26">
        <f>IF(B73="","",ROUND(AG73-U73*IF(H73="",0,H73),2))</f>
        <v>0</v>
      </c>
      <c r="AI73" s="25">
        <f>IF(B73="","",COUNTIFS($AG$5:$AG$304,"&gt;"&amp;AG73)+COUNTIFS($AG$5:AG73,AG73))</f>
        <v>0</v>
      </c>
      <c r="AJ73" s="39">
        <f>IF(B73="","",IF(H73="","Add - no cost, no stock value",IF(Z73="Out of stock","Out of stock - order today",IF(Z73="Low stock","Order - running low",IF(IF(Q73="",FALSE,Q73&lt;=TodayDate+30),"Check - expiring within a month",IF(IF(R73="Yes",AD73&lt;0.25,FALSE),"Below - thin margin for a retail line",IF(IF(P73="",TRUE,TodayDate-P73&gt;90),"Due - not counted in three months","OK")))))))</f>
        <v>0</v>
      </c>
    </row>
    <row r="74" spans="1:36">
      <c r="A74" s="28">
        <f>IF(B74="","",ProductPrefix&amp;TEXT(ROW()-4,"000"))</f>
        <v>0</v>
      </c>
      <c r="T74" s="37">
        <f>IF(B74="","",ROUND(SUMIFS(Purchases!$U$5:$U$304,Purchases!$D$5:$D$304,A74),2))</f>
        <v>0</v>
      </c>
      <c r="U74" s="37">
        <f>IF(B74="","",ROUND(SUMIFS(Sales!$T$5:$T$1204,Sales!$I$5:$I$1204,A74,Sales!$H$5:$H$1204,"Retail"),2))</f>
        <v>0</v>
      </c>
      <c r="V74" s="37">
        <f>IF(B74="","",ROUND(IF(J74="",0,J74)+T74-IF(K74="",0,K74)-U74-IF(L74="",0,L74)+IF(M74="",0,M74),2))</f>
        <v>0</v>
      </c>
      <c r="W74" s="37">
        <f>IF(B74="","",ROUND((U74+IF(K74="",0,K74))/MAX(4,TrackingWeeks),2))</f>
        <v>0</v>
      </c>
      <c r="X74" s="37">
        <f>IF(B74="","",IF(W74&lt;=0,"",ROUND(V74/W74,1)))</f>
        <v>0</v>
      </c>
      <c r="Y74" s="37">
        <f>IF(B74="","",IF(N74&lt;&gt;"",N74,ROUND(W74*StockWarningWeeks,1)))</f>
        <v>0</v>
      </c>
      <c r="Z74" s="39">
        <f>IF(B74="","",IF(V74&lt;=0,"Out of stock",IF(V74&lt;=Y74,"Low stock",IF(R74="No","Backbar","In stock"))))</f>
        <v>0</v>
      </c>
      <c r="AA74" s="37">
        <f>IF(B74="","",IF(Z74="In stock","",IF(Z74="Backbar",IF(V74&lt;=Y74,MAX(1,IF(O74="",ROUND(W74*ReorderWeeks,0),O74)),""),MAX(1,IF(O74="",ROUND(W74*ReorderWeeks,0),O74)))))</f>
        <v>0</v>
      </c>
      <c r="AB74" s="26">
        <f>IF(B74="","",ROUND(V74*IF(H74="",0,H74),2))</f>
        <v>0</v>
      </c>
      <c r="AC74" s="26">
        <f>IF(B74="","",ROUND(V74*IF(I74="",0,I74),2))</f>
        <v>0</v>
      </c>
      <c r="AD74" s="27">
        <f>IF(B74="","",IF(IF(I74="",0,I74)=0,"",(I74-IF(H74="",0,H74))/I74))</f>
        <v>0</v>
      </c>
      <c r="AE74" s="26">
        <f>IF(B74="","",IF(H74="","",H74*RetailMarkup))</f>
        <v>0</v>
      </c>
      <c r="AF74" s="26">
        <f>IF(B74="","",IF(AE74="","",ROUND(IF(RoundingRule="None",AE74,IF(RoundingRule="Nearest 0.99",MAX(0.99,CEILING(AE74,1)-0.01),IF(RoundingRule="Nearest 0.95",MAX(0.95,CEILING(AE74,1)-0.05),IF(RoundingRule="Nearest 0.50",CEILING(AE74,0.5),IF(RoundingRule="Nearest 1",CEILING(AE74,1),IF(RoundingRule="Nearest 5",CEILING(AE74,5),IF(RoundingRule="Up to whole 1",CEILING(AE74,1),IF(RoundingRule="Up to whole 5",CEILING(AE74,5),ROUND(AE74,2))))))))),2)))</f>
        <v>0</v>
      </c>
      <c r="AG74" s="26">
        <f>IF(B74="","",ROUND(SUMIFS(Sales!$Y$5:$Y$1204,Sales!$I$5:$I$1204,A74,Sales!$H$5:$H$1204,"Retail"),2))</f>
        <v>0</v>
      </c>
      <c r="AH74" s="26">
        <f>IF(B74="","",ROUND(AG74-U74*IF(H74="",0,H74),2))</f>
        <v>0</v>
      </c>
      <c r="AI74" s="25">
        <f>IF(B74="","",COUNTIFS($AG$5:$AG$304,"&gt;"&amp;AG74)+COUNTIFS($AG$5:AG74,AG74))</f>
        <v>0</v>
      </c>
      <c r="AJ74" s="39">
        <f>IF(B74="","",IF(H74="","Add - no cost, no stock value",IF(Z74="Out of stock","Out of stock - order today",IF(Z74="Low stock","Order - running low",IF(IF(Q74="",FALSE,Q74&lt;=TodayDate+30),"Check - expiring within a month",IF(IF(R74="Yes",AD74&lt;0.25,FALSE),"Below - thin margin for a retail line",IF(IF(P74="",TRUE,TodayDate-P74&gt;90),"Due - not counted in three months","OK")))))))</f>
        <v>0</v>
      </c>
    </row>
    <row r="75" spans="1:36">
      <c r="A75" s="28">
        <f>IF(B75="","",ProductPrefix&amp;TEXT(ROW()-4,"000"))</f>
        <v>0</v>
      </c>
      <c r="T75" s="37">
        <f>IF(B75="","",ROUND(SUMIFS(Purchases!$U$5:$U$304,Purchases!$D$5:$D$304,A75),2))</f>
        <v>0</v>
      </c>
      <c r="U75" s="37">
        <f>IF(B75="","",ROUND(SUMIFS(Sales!$T$5:$T$1204,Sales!$I$5:$I$1204,A75,Sales!$H$5:$H$1204,"Retail"),2))</f>
        <v>0</v>
      </c>
      <c r="V75" s="37">
        <f>IF(B75="","",ROUND(IF(J75="",0,J75)+T75-IF(K75="",0,K75)-U75-IF(L75="",0,L75)+IF(M75="",0,M75),2))</f>
        <v>0</v>
      </c>
      <c r="W75" s="37">
        <f>IF(B75="","",ROUND((U75+IF(K75="",0,K75))/MAX(4,TrackingWeeks),2))</f>
        <v>0</v>
      </c>
      <c r="X75" s="37">
        <f>IF(B75="","",IF(W75&lt;=0,"",ROUND(V75/W75,1)))</f>
        <v>0</v>
      </c>
      <c r="Y75" s="37">
        <f>IF(B75="","",IF(N75&lt;&gt;"",N75,ROUND(W75*StockWarningWeeks,1)))</f>
        <v>0</v>
      </c>
      <c r="Z75" s="39">
        <f>IF(B75="","",IF(V75&lt;=0,"Out of stock",IF(V75&lt;=Y75,"Low stock",IF(R75="No","Backbar","In stock"))))</f>
        <v>0</v>
      </c>
      <c r="AA75" s="37">
        <f>IF(B75="","",IF(Z75="In stock","",IF(Z75="Backbar",IF(V75&lt;=Y75,MAX(1,IF(O75="",ROUND(W75*ReorderWeeks,0),O75)),""),MAX(1,IF(O75="",ROUND(W75*ReorderWeeks,0),O75)))))</f>
        <v>0</v>
      </c>
      <c r="AB75" s="26">
        <f>IF(B75="","",ROUND(V75*IF(H75="",0,H75),2))</f>
        <v>0</v>
      </c>
      <c r="AC75" s="26">
        <f>IF(B75="","",ROUND(V75*IF(I75="",0,I75),2))</f>
        <v>0</v>
      </c>
      <c r="AD75" s="27">
        <f>IF(B75="","",IF(IF(I75="",0,I75)=0,"",(I75-IF(H75="",0,H75))/I75))</f>
        <v>0</v>
      </c>
      <c r="AE75" s="26">
        <f>IF(B75="","",IF(H75="","",H75*RetailMarkup))</f>
        <v>0</v>
      </c>
      <c r="AF75" s="26">
        <f>IF(B75="","",IF(AE75="","",ROUND(IF(RoundingRule="None",AE75,IF(RoundingRule="Nearest 0.99",MAX(0.99,CEILING(AE75,1)-0.01),IF(RoundingRule="Nearest 0.95",MAX(0.95,CEILING(AE75,1)-0.05),IF(RoundingRule="Nearest 0.50",CEILING(AE75,0.5),IF(RoundingRule="Nearest 1",CEILING(AE75,1),IF(RoundingRule="Nearest 5",CEILING(AE75,5),IF(RoundingRule="Up to whole 1",CEILING(AE75,1),IF(RoundingRule="Up to whole 5",CEILING(AE75,5),ROUND(AE75,2))))))))),2)))</f>
        <v>0</v>
      </c>
      <c r="AG75" s="26">
        <f>IF(B75="","",ROUND(SUMIFS(Sales!$Y$5:$Y$1204,Sales!$I$5:$I$1204,A75,Sales!$H$5:$H$1204,"Retail"),2))</f>
        <v>0</v>
      </c>
      <c r="AH75" s="26">
        <f>IF(B75="","",ROUND(AG75-U75*IF(H75="",0,H75),2))</f>
        <v>0</v>
      </c>
      <c r="AI75" s="25">
        <f>IF(B75="","",COUNTIFS($AG$5:$AG$304,"&gt;"&amp;AG75)+COUNTIFS($AG$5:AG75,AG75))</f>
        <v>0</v>
      </c>
      <c r="AJ75" s="39">
        <f>IF(B75="","",IF(H75="","Add - no cost, no stock value",IF(Z75="Out of stock","Out of stock - order today",IF(Z75="Low stock","Order - running low",IF(IF(Q75="",FALSE,Q75&lt;=TodayDate+30),"Check - expiring within a month",IF(IF(R75="Yes",AD75&lt;0.25,FALSE),"Below - thin margin for a retail line",IF(IF(P75="",TRUE,TodayDate-P75&gt;90),"Due - not counted in three months","OK")))))))</f>
        <v>0</v>
      </c>
    </row>
    <row r="76" spans="1:36">
      <c r="A76" s="28">
        <f>IF(B76="","",ProductPrefix&amp;TEXT(ROW()-4,"000"))</f>
        <v>0</v>
      </c>
      <c r="T76" s="37">
        <f>IF(B76="","",ROUND(SUMIFS(Purchases!$U$5:$U$304,Purchases!$D$5:$D$304,A76),2))</f>
        <v>0</v>
      </c>
      <c r="U76" s="37">
        <f>IF(B76="","",ROUND(SUMIFS(Sales!$T$5:$T$1204,Sales!$I$5:$I$1204,A76,Sales!$H$5:$H$1204,"Retail"),2))</f>
        <v>0</v>
      </c>
      <c r="V76" s="37">
        <f>IF(B76="","",ROUND(IF(J76="",0,J76)+T76-IF(K76="",0,K76)-U76-IF(L76="",0,L76)+IF(M76="",0,M76),2))</f>
        <v>0</v>
      </c>
      <c r="W76" s="37">
        <f>IF(B76="","",ROUND((U76+IF(K76="",0,K76))/MAX(4,TrackingWeeks),2))</f>
        <v>0</v>
      </c>
      <c r="X76" s="37">
        <f>IF(B76="","",IF(W76&lt;=0,"",ROUND(V76/W76,1)))</f>
        <v>0</v>
      </c>
      <c r="Y76" s="37">
        <f>IF(B76="","",IF(N76&lt;&gt;"",N76,ROUND(W76*StockWarningWeeks,1)))</f>
        <v>0</v>
      </c>
      <c r="Z76" s="39">
        <f>IF(B76="","",IF(V76&lt;=0,"Out of stock",IF(V76&lt;=Y76,"Low stock",IF(R76="No","Backbar","In stock"))))</f>
        <v>0</v>
      </c>
      <c r="AA76" s="37">
        <f>IF(B76="","",IF(Z76="In stock","",IF(Z76="Backbar",IF(V76&lt;=Y76,MAX(1,IF(O76="",ROUND(W76*ReorderWeeks,0),O76)),""),MAX(1,IF(O76="",ROUND(W76*ReorderWeeks,0),O76)))))</f>
        <v>0</v>
      </c>
      <c r="AB76" s="26">
        <f>IF(B76="","",ROUND(V76*IF(H76="",0,H76),2))</f>
        <v>0</v>
      </c>
      <c r="AC76" s="26">
        <f>IF(B76="","",ROUND(V76*IF(I76="",0,I76),2))</f>
        <v>0</v>
      </c>
      <c r="AD76" s="27">
        <f>IF(B76="","",IF(IF(I76="",0,I76)=0,"",(I76-IF(H76="",0,H76))/I76))</f>
        <v>0</v>
      </c>
      <c r="AE76" s="26">
        <f>IF(B76="","",IF(H76="","",H76*RetailMarkup))</f>
        <v>0</v>
      </c>
      <c r="AF76" s="26">
        <f>IF(B76="","",IF(AE76="","",ROUND(IF(RoundingRule="None",AE76,IF(RoundingRule="Nearest 0.99",MAX(0.99,CEILING(AE76,1)-0.01),IF(RoundingRule="Nearest 0.95",MAX(0.95,CEILING(AE76,1)-0.05),IF(RoundingRule="Nearest 0.50",CEILING(AE76,0.5),IF(RoundingRule="Nearest 1",CEILING(AE76,1),IF(RoundingRule="Nearest 5",CEILING(AE76,5),IF(RoundingRule="Up to whole 1",CEILING(AE76,1),IF(RoundingRule="Up to whole 5",CEILING(AE76,5),ROUND(AE76,2))))))))),2)))</f>
        <v>0</v>
      </c>
      <c r="AG76" s="26">
        <f>IF(B76="","",ROUND(SUMIFS(Sales!$Y$5:$Y$1204,Sales!$I$5:$I$1204,A76,Sales!$H$5:$H$1204,"Retail"),2))</f>
        <v>0</v>
      </c>
      <c r="AH76" s="26">
        <f>IF(B76="","",ROUND(AG76-U76*IF(H76="",0,H76),2))</f>
        <v>0</v>
      </c>
      <c r="AI76" s="25">
        <f>IF(B76="","",COUNTIFS($AG$5:$AG$304,"&gt;"&amp;AG76)+COUNTIFS($AG$5:AG76,AG76))</f>
        <v>0</v>
      </c>
      <c r="AJ76" s="39">
        <f>IF(B76="","",IF(H76="","Add - no cost, no stock value",IF(Z76="Out of stock","Out of stock - order today",IF(Z76="Low stock","Order - running low",IF(IF(Q76="",FALSE,Q76&lt;=TodayDate+30),"Check - expiring within a month",IF(IF(R76="Yes",AD76&lt;0.25,FALSE),"Below - thin margin for a retail line",IF(IF(P76="",TRUE,TodayDate-P76&gt;90),"Due - not counted in three months","OK")))))))</f>
        <v>0</v>
      </c>
    </row>
    <row r="77" spans="1:36">
      <c r="A77" s="28">
        <f>IF(B77="","",ProductPrefix&amp;TEXT(ROW()-4,"000"))</f>
        <v>0</v>
      </c>
      <c r="T77" s="37">
        <f>IF(B77="","",ROUND(SUMIFS(Purchases!$U$5:$U$304,Purchases!$D$5:$D$304,A77),2))</f>
        <v>0</v>
      </c>
      <c r="U77" s="37">
        <f>IF(B77="","",ROUND(SUMIFS(Sales!$T$5:$T$1204,Sales!$I$5:$I$1204,A77,Sales!$H$5:$H$1204,"Retail"),2))</f>
        <v>0</v>
      </c>
      <c r="V77" s="37">
        <f>IF(B77="","",ROUND(IF(J77="",0,J77)+T77-IF(K77="",0,K77)-U77-IF(L77="",0,L77)+IF(M77="",0,M77),2))</f>
        <v>0</v>
      </c>
      <c r="W77" s="37">
        <f>IF(B77="","",ROUND((U77+IF(K77="",0,K77))/MAX(4,TrackingWeeks),2))</f>
        <v>0</v>
      </c>
      <c r="X77" s="37">
        <f>IF(B77="","",IF(W77&lt;=0,"",ROUND(V77/W77,1)))</f>
        <v>0</v>
      </c>
      <c r="Y77" s="37">
        <f>IF(B77="","",IF(N77&lt;&gt;"",N77,ROUND(W77*StockWarningWeeks,1)))</f>
        <v>0</v>
      </c>
      <c r="Z77" s="39">
        <f>IF(B77="","",IF(V77&lt;=0,"Out of stock",IF(V77&lt;=Y77,"Low stock",IF(R77="No","Backbar","In stock"))))</f>
        <v>0</v>
      </c>
      <c r="AA77" s="37">
        <f>IF(B77="","",IF(Z77="In stock","",IF(Z77="Backbar",IF(V77&lt;=Y77,MAX(1,IF(O77="",ROUND(W77*ReorderWeeks,0),O77)),""),MAX(1,IF(O77="",ROUND(W77*ReorderWeeks,0),O77)))))</f>
        <v>0</v>
      </c>
      <c r="AB77" s="26">
        <f>IF(B77="","",ROUND(V77*IF(H77="",0,H77),2))</f>
        <v>0</v>
      </c>
      <c r="AC77" s="26">
        <f>IF(B77="","",ROUND(V77*IF(I77="",0,I77),2))</f>
        <v>0</v>
      </c>
      <c r="AD77" s="27">
        <f>IF(B77="","",IF(IF(I77="",0,I77)=0,"",(I77-IF(H77="",0,H77))/I77))</f>
        <v>0</v>
      </c>
      <c r="AE77" s="26">
        <f>IF(B77="","",IF(H77="","",H77*RetailMarkup))</f>
        <v>0</v>
      </c>
      <c r="AF77" s="26">
        <f>IF(B77="","",IF(AE77="","",ROUND(IF(RoundingRule="None",AE77,IF(RoundingRule="Nearest 0.99",MAX(0.99,CEILING(AE77,1)-0.01),IF(RoundingRule="Nearest 0.95",MAX(0.95,CEILING(AE77,1)-0.05),IF(RoundingRule="Nearest 0.50",CEILING(AE77,0.5),IF(RoundingRule="Nearest 1",CEILING(AE77,1),IF(RoundingRule="Nearest 5",CEILING(AE77,5),IF(RoundingRule="Up to whole 1",CEILING(AE77,1),IF(RoundingRule="Up to whole 5",CEILING(AE77,5),ROUND(AE77,2))))))))),2)))</f>
        <v>0</v>
      </c>
      <c r="AG77" s="26">
        <f>IF(B77="","",ROUND(SUMIFS(Sales!$Y$5:$Y$1204,Sales!$I$5:$I$1204,A77,Sales!$H$5:$H$1204,"Retail"),2))</f>
        <v>0</v>
      </c>
      <c r="AH77" s="26">
        <f>IF(B77="","",ROUND(AG77-U77*IF(H77="",0,H77),2))</f>
        <v>0</v>
      </c>
      <c r="AI77" s="25">
        <f>IF(B77="","",COUNTIFS($AG$5:$AG$304,"&gt;"&amp;AG77)+COUNTIFS($AG$5:AG77,AG77))</f>
        <v>0</v>
      </c>
      <c r="AJ77" s="39">
        <f>IF(B77="","",IF(H77="","Add - no cost, no stock value",IF(Z77="Out of stock","Out of stock - order today",IF(Z77="Low stock","Order - running low",IF(IF(Q77="",FALSE,Q77&lt;=TodayDate+30),"Check - expiring within a month",IF(IF(R77="Yes",AD77&lt;0.25,FALSE),"Below - thin margin for a retail line",IF(IF(P77="",TRUE,TodayDate-P77&gt;90),"Due - not counted in three months","OK")))))))</f>
        <v>0</v>
      </c>
    </row>
    <row r="78" spans="1:36">
      <c r="A78" s="28">
        <f>IF(B78="","",ProductPrefix&amp;TEXT(ROW()-4,"000"))</f>
        <v>0</v>
      </c>
      <c r="T78" s="37">
        <f>IF(B78="","",ROUND(SUMIFS(Purchases!$U$5:$U$304,Purchases!$D$5:$D$304,A78),2))</f>
        <v>0</v>
      </c>
      <c r="U78" s="37">
        <f>IF(B78="","",ROUND(SUMIFS(Sales!$T$5:$T$1204,Sales!$I$5:$I$1204,A78,Sales!$H$5:$H$1204,"Retail"),2))</f>
        <v>0</v>
      </c>
      <c r="V78" s="37">
        <f>IF(B78="","",ROUND(IF(J78="",0,J78)+T78-IF(K78="",0,K78)-U78-IF(L78="",0,L78)+IF(M78="",0,M78),2))</f>
        <v>0</v>
      </c>
      <c r="W78" s="37">
        <f>IF(B78="","",ROUND((U78+IF(K78="",0,K78))/MAX(4,TrackingWeeks),2))</f>
        <v>0</v>
      </c>
      <c r="X78" s="37">
        <f>IF(B78="","",IF(W78&lt;=0,"",ROUND(V78/W78,1)))</f>
        <v>0</v>
      </c>
      <c r="Y78" s="37">
        <f>IF(B78="","",IF(N78&lt;&gt;"",N78,ROUND(W78*StockWarningWeeks,1)))</f>
        <v>0</v>
      </c>
      <c r="Z78" s="39">
        <f>IF(B78="","",IF(V78&lt;=0,"Out of stock",IF(V78&lt;=Y78,"Low stock",IF(R78="No","Backbar","In stock"))))</f>
        <v>0</v>
      </c>
      <c r="AA78" s="37">
        <f>IF(B78="","",IF(Z78="In stock","",IF(Z78="Backbar",IF(V78&lt;=Y78,MAX(1,IF(O78="",ROUND(W78*ReorderWeeks,0),O78)),""),MAX(1,IF(O78="",ROUND(W78*ReorderWeeks,0),O78)))))</f>
        <v>0</v>
      </c>
      <c r="AB78" s="26">
        <f>IF(B78="","",ROUND(V78*IF(H78="",0,H78),2))</f>
        <v>0</v>
      </c>
      <c r="AC78" s="26">
        <f>IF(B78="","",ROUND(V78*IF(I78="",0,I78),2))</f>
        <v>0</v>
      </c>
      <c r="AD78" s="27">
        <f>IF(B78="","",IF(IF(I78="",0,I78)=0,"",(I78-IF(H78="",0,H78))/I78))</f>
        <v>0</v>
      </c>
      <c r="AE78" s="26">
        <f>IF(B78="","",IF(H78="","",H78*RetailMarkup))</f>
        <v>0</v>
      </c>
      <c r="AF78" s="26">
        <f>IF(B78="","",IF(AE78="","",ROUND(IF(RoundingRule="None",AE78,IF(RoundingRule="Nearest 0.99",MAX(0.99,CEILING(AE78,1)-0.01),IF(RoundingRule="Nearest 0.95",MAX(0.95,CEILING(AE78,1)-0.05),IF(RoundingRule="Nearest 0.50",CEILING(AE78,0.5),IF(RoundingRule="Nearest 1",CEILING(AE78,1),IF(RoundingRule="Nearest 5",CEILING(AE78,5),IF(RoundingRule="Up to whole 1",CEILING(AE78,1),IF(RoundingRule="Up to whole 5",CEILING(AE78,5),ROUND(AE78,2))))))))),2)))</f>
        <v>0</v>
      </c>
      <c r="AG78" s="26">
        <f>IF(B78="","",ROUND(SUMIFS(Sales!$Y$5:$Y$1204,Sales!$I$5:$I$1204,A78,Sales!$H$5:$H$1204,"Retail"),2))</f>
        <v>0</v>
      </c>
      <c r="AH78" s="26">
        <f>IF(B78="","",ROUND(AG78-U78*IF(H78="",0,H78),2))</f>
        <v>0</v>
      </c>
      <c r="AI78" s="25">
        <f>IF(B78="","",COUNTIFS($AG$5:$AG$304,"&gt;"&amp;AG78)+COUNTIFS($AG$5:AG78,AG78))</f>
        <v>0</v>
      </c>
      <c r="AJ78" s="39">
        <f>IF(B78="","",IF(H78="","Add - no cost, no stock value",IF(Z78="Out of stock","Out of stock - order today",IF(Z78="Low stock","Order - running low",IF(IF(Q78="",FALSE,Q78&lt;=TodayDate+30),"Check - expiring within a month",IF(IF(R78="Yes",AD78&lt;0.25,FALSE),"Below - thin margin for a retail line",IF(IF(P78="",TRUE,TodayDate-P78&gt;90),"Due - not counted in three months","OK")))))))</f>
        <v>0</v>
      </c>
    </row>
    <row r="79" spans="1:36">
      <c r="A79" s="28">
        <f>IF(B79="","",ProductPrefix&amp;TEXT(ROW()-4,"000"))</f>
        <v>0</v>
      </c>
      <c r="T79" s="37">
        <f>IF(B79="","",ROUND(SUMIFS(Purchases!$U$5:$U$304,Purchases!$D$5:$D$304,A79),2))</f>
        <v>0</v>
      </c>
      <c r="U79" s="37">
        <f>IF(B79="","",ROUND(SUMIFS(Sales!$T$5:$T$1204,Sales!$I$5:$I$1204,A79,Sales!$H$5:$H$1204,"Retail"),2))</f>
        <v>0</v>
      </c>
      <c r="V79" s="37">
        <f>IF(B79="","",ROUND(IF(J79="",0,J79)+T79-IF(K79="",0,K79)-U79-IF(L79="",0,L79)+IF(M79="",0,M79),2))</f>
        <v>0</v>
      </c>
      <c r="W79" s="37">
        <f>IF(B79="","",ROUND((U79+IF(K79="",0,K79))/MAX(4,TrackingWeeks),2))</f>
        <v>0</v>
      </c>
      <c r="X79" s="37">
        <f>IF(B79="","",IF(W79&lt;=0,"",ROUND(V79/W79,1)))</f>
        <v>0</v>
      </c>
      <c r="Y79" s="37">
        <f>IF(B79="","",IF(N79&lt;&gt;"",N79,ROUND(W79*StockWarningWeeks,1)))</f>
        <v>0</v>
      </c>
      <c r="Z79" s="39">
        <f>IF(B79="","",IF(V79&lt;=0,"Out of stock",IF(V79&lt;=Y79,"Low stock",IF(R79="No","Backbar","In stock"))))</f>
        <v>0</v>
      </c>
      <c r="AA79" s="37">
        <f>IF(B79="","",IF(Z79="In stock","",IF(Z79="Backbar",IF(V79&lt;=Y79,MAX(1,IF(O79="",ROUND(W79*ReorderWeeks,0),O79)),""),MAX(1,IF(O79="",ROUND(W79*ReorderWeeks,0),O79)))))</f>
        <v>0</v>
      </c>
      <c r="AB79" s="26">
        <f>IF(B79="","",ROUND(V79*IF(H79="",0,H79),2))</f>
        <v>0</v>
      </c>
      <c r="AC79" s="26">
        <f>IF(B79="","",ROUND(V79*IF(I79="",0,I79),2))</f>
        <v>0</v>
      </c>
      <c r="AD79" s="27">
        <f>IF(B79="","",IF(IF(I79="",0,I79)=0,"",(I79-IF(H79="",0,H79))/I79))</f>
        <v>0</v>
      </c>
      <c r="AE79" s="26">
        <f>IF(B79="","",IF(H79="","",H79*RetailMarkup))</f>
        <v>0</v>
      </c>
      <c r="AF79" s="26">
        <f>IF(B79="","",IF(AE79="","",ROUND(IF(RoundingRule="None",AE79,IF(RoundingRule="Nearest 0.99",MAX(0.99,CEILING(AE79,1)-0.01),IF(RoundingRule="Nearest 0.95",MAX(0.95,CEILING(AE79,1)-0.05),IF(RoundingRule="Nearest 0.50",CEILING(AE79,0.5),IF(RoundingRule="Nearest 1",CEILING(AE79,1),IF(RoundingRule="Nearest 5",CEILING(AE79,5),IF(RoundingRule="Up to whole 1",CEILING(AE79,1),IF(RoundingRule="Up to whole 5",CEILING(AE79,5),ROUND(AE79,2))))))))),2)))</f>
        <v>0</v>
      </c>
      <c r="AG79" s="26">
        <f>IF(B79="","",ROUND(SUMIFS(Sales!$Y$5:$Y$1204,Sales!$I$5:$I$1204,A79,Sales!$H$5:$H$1204,"Retail"),2))</f>
        <v>0</v>
      </c>
      <c r="AH79" s="26">
        <f>IF(B79="","",ROUND(AG79-U79*IF(H79="",0,H79),2))</f>
        <v>0</v>
      </c>
      <c r="AI79" s="25">
        <f>IF(B79="","",COUNTIFS($AG$5:$AG$304,"&gt;"&amp;AG79)+COUNTIFS($AG$5:AG79,AG79))</f>
        <v>0</v>
      </c>
      <c r="AJ79" s="39">
        <f>IF(B79="","",IF(H79="","Add - no cost, no stock value",IF(Z79="Out of stock","Out of stock - order today",IF(Z79="Low stock","Order - running low",IF(IF(Q79="",FALSE,Q79&lt;=TodayDate+30),"Check - expiring within a month",IF(IF(R79="Yes",AD79&lt;0.25,FALSE),"Below - thin margin for a retail line",IF(IF(P79="",TRUE,TodayDate-P79&gt;90),"Due - not counted in three months","OK")))))))</f>
        <v>0</v>
      </c>
    </row>
    <row r="80" spans="1:36">
      <c r="A80" s="28">
        <f>IF(B80="","",ProductPrefix&amp;TEXT(ROW()-4,"000"))</f>
        <v>0</v>
      </c>
      <c r="T80" s="37">
        <f>IF(B80="","",ROUND(SUMIFS(Purchases!$U$5:$U$304,Purchases!$D$5:$D$304,A80),2))</f>
        <v>0</v>
      </c>
      <c r="U80" s="37">
        <f>IF(B80="","",ROUND(SUMIFS(Sales!$T$5:$T$1204,Sales!$I$5:$I$1204,A80,Sales!$H$5:$H$1204,"Retail"),2))</f>
        <v>0</v>
      </c>
      <c r="V80" s="37">
        <f>IF(B80="","",ROUND(IF(J80="",0,J80)+T80-IF(K80="",0,K80)-U80-IF(L80="",0,L80)+IF(M80="",0,M80),2))</f>
        <v>0</v>
      </c>
      <c r="W80" s="37">
        <f>IF(B80="","",ROUND((U80+IF(K80="",0,K80))/MAX(4,TrackingWeeks),2))</f>
        <v>0</v>
      </c>
      <c r="X80" s="37">
        <f>IF(B80="","",IF(W80&lt;=0,"",ROUND(V80/W80,1)))</f>
        <v>0</v>
      </c>
      <c r="Y80" s="37">
        <f>IF(B80="","",IF(N80&lt;&gt;"",N80,ROUND(W80*StockWarningWeeks,1)))</f>
        <v>0</v>
      </c>
      <c r="Z80" s="39">
        <f>IF(B80="","",IF(V80&lt;=0,"Out of stock",IF(V80&lt;=Y80,"Low stock",IF(R80="No","Backbar","In stock"))))</f>
        <v>0</v>
      </c>
      <c r="AA80" s="37">
        <f>IF(B80="","",IF(Z80="In stock","",IF(Z80="Backbar",IF(V80&lt;=Y80,MAX(1,IF(O80="",ROUND(W80*ReorderWeeks,0),O80)),""),MAX(1,IF(O80="",ROUND(W80*ReorderWeeks,0),O80)))))</f>
        <v>0</v>
      </c>
      <c r="AB80" s="26">
        <f>IF(B80="","",ROUND(V80*IF(H80="",0,H80),2))</f>
        <v>0</v>
      </c>
      <c r="AC80" s="26">
        <f>IF(B80="","",ROUND(V80*IF(I80="",0,I80),2))</f>
        <v>0</v>
      </c>
      <c r="AD80" s="27">
        <f>IF(B80="","",IF(IF(I80="",0,I80)=0,"",(I80-IF(H80="",0,H80))/I80))</f>
        <v>0</v>
      </c>
      <c r="AE80" s="26">
        <f>IF(B80="","",IF(H80="","",H80*RetailMarkup))</f>
        <v>0</v>
      </c>
      <c r="AF80" s="26">
        <f>IF(B80="","",IF(AE80="","",ROUND(IF(RoundingRule="None",AE80,IF(RoundingRule="Nearest 0.99",MAX(0.99,CEILING(AE80,1)-0.01),IF(RoundingRule="Nearest 0.95",MAX(0.95,CEILING(AE80,1)-0.05),IF(RoundingRule="Nearest 0.50",CEILING(AE80,0.5),IF(RoundingRule="Nearest 1",CEILING(AE80,1),IF(RoundingRule="Nearest 5",CEILING(AE80,5),IF(RoundingRule="Up to whole 1",CEILING(AE80,1),IF(RoundingRule="Up to whole 5",CEILING(AE80,5),ROUND(AE80,2))))))))),2)))</f>
        <v>0</v>
      </c>
      <c r="AG80" s="26">
        <f>IF(B80="","",ROUND(SUMIFS(Sales!$Y$5:$Y$1204,Sales!$I$5:$I$1204,A80,Sales!$H$5:$H$1204,"Retail"),2))</f>
        <v>0</v>
      </c>
      <c r="AH80" s="26">
        <f>IF(B80="","",ROUND(AG80-U80*IF(H80="",0,H80),2))</f>
        <v>0</v>
      </c>
      <c r="AI80" s="25">
        <f>IF(B80="","",COUNTIFS($AG$5:$AG$304,"&gt;"&amp;AG80)+COUNTIFS($AG$5:AG80,AG80))</f>
        <v>0</v>
      </c>
      <c r="AJ80" s="39">
        <f>IF(B80="","",IF(H80="","Add - no cost, no stock value",IF(Z80="Out of stock","Out of stock - order today",IF(Z80="Low stock","Order - running low",IF(IF(Q80="",FALSE,Q80&lt;=TodayDate+30),"Check - expiring within a month",IF(IF(R80="Yes",AD80&lt;0.25,FALSE),"Below - thin margin for a retail line",IF(IF(P80="",TRUE,TodayDate-P80&gt;90),"Due - not counted in three months","OK")))))))</f>
        <v>0</v>
      </c>
    </row>
    <row r="81" spans="1:36">
      <c r="A81" s="28">
        <f>IF(B81="","",ProductPrefix&amp;TEXT(ROW()-4,"000"))</f>
        <v>0</v>
      </c>
      <c r="T81" s="37">
        <f>IF(B81="","",ROUND(SUMIFS(Purchases!$U$5:$U$304,Purchases!$D$5:$D$304,A81),2))</f>
        <v>0</v>
      </c>
      <c r="U81" s="37">
        <f>IF(B81="","",ROUND(SUMIFS(Sales!$T$5:$T$1204,Sales!$I$5:$I$1204,A81,Sales!$H$5:$H$1204,"Retail"),2))</f>
        <v>0</v>
      </c>
      <c r="V81" s="37">
        <f>IF(B81="","",ROUND(IF(J81="",0,J81)+T81-IF(K81="",0,K81)-U81-IF(L81="",0,L81)+IF(M81="",0,M81),2))</f>
        <v>0</v>
      </c>
      <c r="W81" s="37">
        <f>IF(B81="","",ROUND((U81+IF(K81="",0,K81))/MAX(4,TrackingWeeks),2))</f>
        <v>0</v>
      </c>
      <c r="X81" s="37">
        <f>IF(B81="","",IF(W81&lt;=0,"",ROUND(V81/W81,1)))</f>
        <v>0</v>
      </c>
      <c r="Y81" s="37">
        <f>IF(B81="","",IF(N81&lt;&gt;"",N81,ROUND(W81*StockWarningWeeks,1)))</f>
        <v>0</v>
      </c>
      <c r="Z81" s="39">
        <f>IF(B81="","",IF(V81&lt;=0,"Out of stock",IF(V81&lt;=Y81,"Low stock",IF(R81="No","Backbar","In stock"))))</f>
        <v>0</v>
      </c>
      <c r="AA81" s="37">
        <f>IF(B81="","",IF(Z81="In stock","",IF(Z81="Backbar",IF(V81&lt;=Y81,MAX(1,IF(O81="",ROUND(W81*ReorderWeeks,0),O81)),""),MAX(1,IF(O81="",ROUND(W81*ReorderWeeks,0),O81)))))</f>
        <v>0</v>
      </c>
      <c r="AB81" s="26">
        <f>IF(B81="","",ROUND(V81*IF(H81="",0,H81),2))</f>
        <v>0</v>
      </c>
      <c r="AC81" s="26">
        <f>IF(B81="","",ROUND(V81*IF(I81="",0,I81),2))</f>
        <v>0</v>
      </c>
      <c r="AD81" s="27">
        <f>IF(B81="","",IF(IF(I81="",0,I81)=0,"",(I81-IF(H81="",0,H81))/I81))</f>
        <v>0</v>
      </c>
      <c r="AE81" s="26">
        <f>IF(B81="","",IF(H81="","",H81*RetailMarkup))</f>
        <v>0</v>
      </c>
      <c r="AF81" s="26">
        <f>IF(B81="","",IF(AE81="","",ROUND(IF(RoundingRule="None",AE81,IF(RoundingRule="Nearest 0.99",MAX(0.99,CEILING(AE81,1)-0.01),IF(RoundingRule="Nearest 0.95",MAX(0.95,CEILING(AE81,1)-0.05),IF(RoundingRule="Nearest 0.50",CEILING(AE81,0.5),IF(RoundingRule="Nearest 1",CEILING(AE81,1),IF(RoundingRule="Nearest 5",CEILING(AE81,5),IF(RoundingRule="Up to whole 1",CEILING(AE81,1),IF(RoundingRule="Up to whole 5",CEILING(AE81,5),ROUND(AE81,2))))))))),2)))</f>
        <v>0</v>
      </c>
      <c r="AG81" s="26">
        <f>IF(B81="","",ROUND(SUMIFS(Sales!$Y$5:$Y$1204,Sales!$I$5:$I$1204,A81,Sales!$H$5:$H$1204,"Retail"),2))</f>
        <v>0</v>
      </c>
      <c r="AH81" s="26">
        <f>IF(B81="","",ROUND(AG81-U81*IF(H81="",0,H81),2))</f>
        <v>0</v>
      </c>
      <c r="AI81" s="25">
        <f>IF(B81="","",COUNTIFS($AG$5:$AG$304,"&gt;"&amp;AG81)+COUNTIFS($AG$5:AG81,AG81))</f>
        <v>0</v>
      </c>
      <c r="AJ81" s="39">
        <f>IF(B81="","",IF(H81="","Add - no cost, no stock value",IF(Z81="Out of stock","Out of stock - order today",IF(Z81="Low stock","Order - running low",IF(IF(Q81="",FALSE,Q81&lt;=TodayDate+30),"Check - expiring within a month",IF(IF(R81="Yes",AD81&lt;0.25,FALSE),"Below - thin margin for a retail line",IF(IF(P81="",TRUE,TodayDate-P81&gt;90),"Due - not counted in three months","OK")))))))</f>
        <v>0</v>
      </c>
    </row>
    <row r="82" spans="1:36">
      <c r="A82" s="28">
        <f>IF(B82="","",ProductPrefix&amp;TEXT(ROW()-4,"000"))</f>
        <v>0</v>
      </c>
      <c r="T82" s="37">
        <f>IF(B82="","",ROUND(SUMIFS(Purchases!$U$5:$U$304,Purchases!$D$5:$D$304,A82),2))</f>
        <v>0</v>
      </c>
      <c r="U82" s="37">
        <f>IF(B82="","",ROUND(SUMIFS(Sales!$T$5:$T$1204,Sales!$I$5:$I$1204,A82,Sales!$H$5:$H$1204,"Retail"),2))</f>
        <v>0</v>
      </c>
      <c r="V82" s="37">
        <f>IF(B82="","",ROUND(IF(J82="",0,J82)+T82-IF(K82="",0,K82)-U82-IF(L82="",0,L82)+IF(M82="",0,M82),2))</f>
        <v>0</v>
      </c>
      <c r="W82" s="37">
        <f>IF(B82="","",ROUND((U82+IF(K82="",0,K82))/MAX(4,TrackingWeeks),2))</f>
        <v>0</v>
      </c>
      <c r="X82" s="37">
        <f>IF(B82="","",IF(W82&lt;=0,"",ROUND(V82/W82,1)))</f>
        <v>0</v>
      </c>
      <c r="Y82" s="37">
        <f>IF(B82="","",IF(N82&lt;&gt;"",N82,ROUND(W82*StockWarningWeeks,1)))</f>
        <v>0</v>
      </c>
      <c r="Z82" s="39">
        <f>IF(B82="","",IF(V82&lt;=0,"Out of stock",IF(V82&lt;=Y82,"Low stock",IF(R82="No","Backbar","In stock"))))</f>
        <v>0</v>
      </c>
      <c r="AA82" s="37">
        <f>IF(B82="","",IF(Z82="In stock","",IF(Z82="Backbar",IF(V82&lt;=Y82,MAX(1,IF(O82="",ROUND(W82*ReorderWeeks,0),O82)),""),MAX(1,IF(O82="",ROUND(W82*ReorderWeeks,0),O82)))))</f>
        <v>0</v>
      </c>
      <c r="AB82" s="26">
        <f>IF(B82="","",ROUND(V82*IF(H82="",0,H82),2))</f>
        <v>0</v>
      </c>
      <c r="AC82" s="26">
        <f>IF(B82="","",ROUND(V82*IF(I82="",0,I82),2))</f>
        <v>0</v>
      </c>
      <c r="AD82" s="27">
        <f>IF(B82="","",IF(IF(I82="",0,I82)=0,"",(I82-IF(H82="",0,H82))/I82))</f>
        <v>0</v>
      </c>
      <c r="AE82" s="26">
        <f>IF(B82="","",IF(H82="","",H82*RetailMarkup))</f>
        <v>0</v>
      </c>
      <c r="AF82" s="26">
        <f>IF(B82="","",IF(AE82="","",ROUND(IF(RoundingRule="None",AE82,IF(RoundingRule="Nearest 0.99",MAX(0.99,CEILING(AE82,1)-0.01),IF(RoundingRule="Nearest 0.95",MAX(0.95,CEILING(AE82,1)-0.05),IF(RoundingRule="Nearest 0.50",CEILING(AE82,0.5),IF(RoundingRule="Nearest 1",CEILING(AE82,1),IF(RoundingRule="Nearest 5",CEILING(AE82,5),IF(RoundingRule="Up to whole 1",CEILING(AE82,1),IF(RoundingRule="Up to whole 5",CEILING(AE82,5),ROUND(AE82,2))))))))),2)))</f>
        <v>0</v>
      </c>
      <c r="AG82" s="26">
        <f>IF(B82="","",ROUND(SUMIFS(Sales!$Y$5:$Y$1204,Sales!$I$5:$I$1204,A82,Sales!$H$5:$H$1204,"Retail"),2))</f>
        <v>0</v>
      </c>
      <c r="AH82" s="26">
        <f>IF(B82="","",ROUND(AG82-U82*IF(H82="",0,H82),2))</f>
        <v>0</v>
      </c>
      <c r="AI82" s="25">
        <f>IF(B82="","",COUNTIFS($AG$5:$AG$304,"&gt;"&amp;AG82)+COUNTIFS($AG$5:AG82,AG82))</f>
        <v>0</v>
      </c>
      <c r="AJ82" s="39">
        <f>IF(B82="","",IF(H82="","Add - no cost, no stock value",IF(Z82="Out of stock","Out of stock - order today",IF(Z82="Low stock","Order - running low",IF(IF(Q82="",FALSE,Q82&lt;=TodayDate+30),"Check - expiring within a month",IF(IF(R82="Yes",AD82&lt;0.25,FALSE),"Below - thin margin for a retail line",IF(IF(P82="",TRUE,TodayDate-P82&gt;90),"Due - not counted in three months","OK")))))))</f>
        <v>0</v>
      </c>
    </row>
    <row r="83" spans="1:36">
      <c r="A83" s="28">
        <f>IF(B83="","",ProductPrefix&amp;TEXT(ROW()-4,"000"))</f>
        <v>0</v>
      </c>
      <c r="T83" s="37">
        <f>IF(B83="","",ROUND(SUMIFS(Purchases!$U$5:$U$304,Purchases!$D$5:$D$304,A83),2))</f>
        <v>0</v>
      </c>
      <c r="U83" s="37">
        <f>IF(B83="","",ROUND(SUMIFS(Sales!$T$5:$T$1204,Sales!$I$5:$I$1204,A83,Sales!$H$5:$H$1204,"Retail"),2))</f>
        <v>0</v>
      </c>
      <c r="V83" s="37">
        <f>IF(B83="","",ROUND(IF(J83="",0,J83)+T83-IF(K83="",0,K83)-U83-IF(L83="",0,L83)+IF(M83="",0,M83),2))</f>
        <v>0</v>
      </c>
      <c r="W83" s="37">
        <f>IF(B83="","",ROUND((U83+IF(K83="",0,K83))/MAX(4,TrackingWeeks),2))</f>
        <v>0</v>
      </c>
      <c r="X83" s="37">
        <f>IF(B83="","",IF(W83&lt;=0,"",ROUND(V83/W83,1)))</f>
        <v>0</v>
      </c>
      <c r="Y83" s="37">
        <f>IF(B83="","",IF(N83&lt;&gt;"",N83,ROUND(W83*StockWarningWeeks,1)))</f>
        <v>0</v>
      </c>
      <c r="Z83" s="39">
        <f>IF(B83="","",IF(V83&lt;=0,"Out of stock",IF(V83&lt;=Y83,"Low stock",IF(R83="No","Backbar","In stock"))))</f>
        <v>0</v>
      </c>
      <c r="AA83" s="37">
        <f>IF(B83="","",IF(Z83="In stock","",IF(Z83="Backbar",IF(V83&lt;=Y83,MAX(1,IF(O83="",ROUND(W83*ReorderWeeks,0),O83)),""),MAX(1,IF(O83="",ROUND(W83*ReorderWeeks,0),O83)))))</f>
        <v>0</v>
      </c>
      <c r="AB83" s="26">
        <f>IF(B83="","",ROUND(V83*IF(H83="",0,H83),2))</f>
        <v>0</v>
      </c>
      <c r="AC83" s="26">
        <f>IF(B83="","",ROUND(V83*IF(I83="",0,I83),2))</f>
        <v>0</v>
      </c>
      <c r="AD83" s="27">
        <f>IF(B83="","",IF(IF(I83="",0,I83)=0,"",(I83-IF(H83="",0,H83))/I83))</f>
        <v>0</v>
      </c>
      <c r="AE83" s="26">
        <f>IF(B83="","",IF(H83="","",H83*RetailMarkup))</f>
        <v>0</v>
      </c>
      <c r="AF83" s="26">
        <f>IF(B83="","",IF(AE83="","",ROUND(IF(RoundingRule="None",AE83,IF(RoundingRule="Nearest 0.99",MAX(0.99,CEILING(AE83,1)-0.01),IF(RoundingRule="Nearest 0.95",MAX(0.95,CEILING(AE83,1)-0.05),IF(RoundingRule="Nearest 0.50",CEILING(AE83,0.5),IF(RoundingRule="Nearest 1",CEILING(AE83,1),IF(RoundingRule="Nearest 5",CEILING(AE83,5),IF(RoundingRule="Up to whole 1",CEILING(AE83,1),IF(RoundingRule="Up to whole 5",CEILING(AE83,5),ROUND(AE83,2))))))))),2)))</f>
        <v>0</v>
      </c>
      <c r="AG83" s="26">
        <f>IF(B83="","",ROUND(SUMIFS(Sales!$Y$5:$Y$1204,Sales!$I$5:$I$1204,A83,Sales!$H$5:$H$1204,"Retail"),2))</f>
        <v>0</v>
      </c>
      <c r="AH83" s="26">
        <f>IF(B83="","",ROUND(AG83-U83*IF(H83="",0,H83),2))</f>
        <v>0</v>
      </c>
      <c r="AI83" s="25">
        <f>IF(B83="","",COUNTIFS($AG$5:$AG$304,"&gt;"&amp;AG83)+COUNTIFS($AG$5:AG83,AG83))</f>
        <v>0</v>
      </c>
      <c r="AJ83" s="39">
        <f>IF(B83="","",IF(H83="","Add - no cost, no stock value",IF(Z83="Out of stock","Out of stock - order today",IF(Z83="Low stock","Order - running low",IF(IF(Q83="",FALSE,Q83&lt;=TodayDate+30),"Check - expiring within a month",IF(IF(R83="Yes",AD83&lt;0.25,FALSE),"Below - thin margin for a retail line",IF(IF(P83="",TRUE,TodayDate-P83&gt;90),"Due - not counted in three months","OK")))))))</f>
        <v>0</v>
      </c>
    </row>
    <row r="84" spans="1:36">
      <c r="A84" s="28">
        <f>IF(B84="","",ProductPrefix&amp;TEXT(ROW()-4,"000"))</f>
        <v>0</v>
      </c>
      <c r="T84" s="37">
        <f>IF(B84="","",ROUND(SUMIFS(Purchases!$U$5:$U$304,Purchases!$D$5:$D$304,A84),2))</f>
        <v>0</v>
      </c>
      <c r="U84" s="37">
        <f>IF(B84="","",ROUND(SUMIFS(Sales!$T$5:$T$1204,Sales!$I$5:$I$1204,A84,Sales!$H$5:$H$1204,"Retail"),2))</f>
        <v>0</v>
      </c>
      <c r="V84" s="37">
        <f>IF(B84="","",ROUND(IF(J84="",0,J84)+T84-IF(K84="",0,K84)-U84-IF(L84="",0,L84)+IF(M84="",0,M84),2))</f>
        <v>0</v>
      </c>
      <c r="W84" s="37">
        <f>IF(B84="","",ROUND((U84+IF(K84="",0,K84))/MAX(4,TrackingWeeks),2))</f>
        <v>0</v>
      </c>
      <c r="X84" s="37">
        <f>IF(B84="","",IF(W84&lt;=0,"",ROUND(V84/W84,1)))</f>
        <v>0</v>
      </c>
      <c r="Y84" s="37">
        <f>IF(B84="","",IF(N84&lt;&gt;"",N84,ROUND(W84*StockWarningWeeks,1)))</f>
        <v>0</v>
      </c>
      <c r="Z84" s="39">
        <f>IF(B84="","",IF(V84&lt;=0,"Out of stock",IF(V84&lt;=Y84,"Low stock",IF(R84="No","Backbar","In stock"))))</f>
        <v>0</v>
      </c>
      <c r="AA84" s="37">
        <f>IF(B84="","",IF(Z84="In stock","",IF(Z84="Backbar",IF(V84&lt;=Y84,MAX(1,IF(O84="",ROUND(W84*ReorderWeeks,0),O84)),""),MAX(1,IF(O84="",ROUND(W84*ReorderWeeks,0),O84)))))</f>
        <v>0</v>
      </c>
      <c r="AB84" s="26">
        <f>IF(B84="","",ROUND(V84*IF(H84="",0,H84),2))</f>
        <v>0</v>
      </c>
      <c r="AC84" s="26">
        <f>IF(B84="","",ROUND(V84*IF(I84="",0,I84),2))</f>
        <v>0</v>
      </c>
      <c r="AD84" s="27">
        <f>IF(B84="","",IF(IF(I84="",0,I84)=0,"",(I84-IF(H84="",0,H84))/I84))</f>
        <v>0</v>
      </c>
      <c r="AE84" s="26">
        <f>IF(B84="","",IF(H84="","",H84*RetailMarkup))</f>
        <v>0</v>
      </c>
      <c r="AF84" s="26">
        <f>IF(B84="","",IF(AE84="","",ROUND(IF(RoundingRule="None",AE84,IF(RoundingRule="Nearest 0.99",MAX(0.99,CEILING(AE84,1)-0.01),IF(RoundingRule="Nearest 0.95",MAX(0.95,CEILING(AE84,1)-0.05),IF(RoundingRule="Nearest 0.50",CEILING(AE84,0.5),IF(RoundingRule="Nearest 1",CEILING(AE84,1),IF(RoundingRule="Nearest 5",CEILING(AE84,5),IF(RoundingRule="Up to whole 1",CEILING(AE84,1),IF(RoundingRule="Up to whole 5",CEILING(AE84,5),ROUND(AE84,2))))))))),2)))</f>
        <v>0</v>
      </c>
      <c r="AG84" s="26">
        <f>IF(B84="","",ROUND(SUMIFS(Sales!$Y$5:$Y$1204,Sales!$I$5:$I$1204,A84,Sales!$H$5:$H$1204,"Retail"),2))</f>
        <v>0</v>
      </c>
      <c r="AH84" s="26">
        <f>IF(B84="","",ROUND(AG84-U84*IF(H84="",0,H84),2))</f>
        <v>0</v>
      </c>
      <c r="AI84" s="25">
        <f>IF(B84="","",COUNTIFS($AG$5:$AG$304,"&gt;"&amp;AG84)+COUNTIFS($AG$5:AG84,AG84))</f>
        <v>0</v>
      </c>
      <c r="AJ84" s="39">
        <f>IF(B84="","",IF(H84="","Add - no cost, no stock value",IF(Z84="Out of stock","Out of stock - order today",IF(Z84="Low stock","Order - running low",IF(IF(Q84="",FALSE,Q84&lt;=TodayDate+30),"Check - expiring within a month",IF(IF(R84="Yes",AD84&lt;0.25,FALSE),"Below - thin margin for a retail line",IF(IF(P84="",TRUE,TodayDate-P84&gt;90),"Due - not counted in three months","OK")))))))</f>
        <v>0</v>
      </c>
    </row>
    <row r="85" spans="1:36">
      <c r="A85" s="28">
        <f>IF(B85="","",ProductPrefix&amp;TEXT(ROW()-4,"000"))</f>
        <v>0</v>
      </c>
      <c r="T85" s="37">
        <f>IF(B85="","",ROUND(SUMIFS(Purchases!$U$5:$U$304,Purchases!$D$5:$D$304,A85),2))</f>
        <v>0</v>
      </c>
      <c r="U85" s="37">
        <f>IF(B85="","",ROUND(SUMIFS(Sales!$T$5:$T$1204,Sales!$I$5:$I$1204,A85,Sales!$H$5:$H$1204,"Retail"),2))</f>
        <v>0</v>
      </c>
      <c r="V85" s="37">
        <f>IF(B85="","",ROUND(IF(J85="",0,J85)+T85-IF(K85="",0,K85)-U85-IF(L85="",0,L85)+IF(M85="",0,M85),2))</f>
        <v>0</v>
      </c>
      <c r="W85" s="37">
        <f>IF(B85="","",ROUND((U85+IF(K85="",0,K85))/MAX(4,TrackingWeeks),2))</f>
        <v>0</v>
      </c>
      <c r="X85" s="37">
        <f>IF(B85="","",IF(W85&lt;=0,"",ROUND(V85/W85,1)))</f>
        <v>0</v>
      </c>
      <c r="Y85" s="37">
        <f>IF(B85="","",IF(N85&lt;&gt;"",N85,ROUND(W85*StockWarningWeeks,1)))</f>
        <v>0</v>
      </c>
      <c r="Z85" s="39">
        <f>IF(B85="","",IF(V85&lt;=0,"Out of stock",IF(V85&lt;=Y85,"Low stock",IF(R85="No","Backbar","In stock"))))</f>
        <v>0</v>
      </c>
      <c r="AA85" s="37">
        <f>IF(B85="","",IF(Z85="In stock","",IF(Z85="Backbar",IF(V85&lt;=Y85,MAX(1,IF(O85="",ROUND(W85*ReorderWeeks,0),O85)),""),MAX(1,IF(O85="",ROUND(W85*ReorderWeeks,0),O85)))))</f>
        <v>0</v>
      </c>
      <c r="AB85" s="26">
        <f>IF(B85="","",ROUND(V85*IF(H85="",0,H85),2))</f>
        <v>0</v>
      </c>
      <c r="AC85" s="26">
        <f>IF(B85="","",ROUND(V85*IF(I85="",0,I85),2))</f>
        <v>0</v>
      </c>
      <c r="AD85" s="27">
        <f>IF(B85="","",IF(IF(I85="",0,I85)=0,"",(I85-IF(H85="",0,H85))/I85))</f>
        <v>0</v>
      </c>
      <c r="AE85" s="26">
        <f>IF(B85="","",IF(H85="","",H85*RetailMarkup))</f>
        <v>0</v>
      </c>
      <c r="AF85" s="26">
        <f>IF(B85="","",IF(AE85="","",ROUND(IF(RoundingRule="None",AE85,IF(RoundingRule="Nearest 0.99",MAX(0.99,CEILING(AE85,1)-0.01),IF(RoundingRule="Nearest 0.95",MAX(0.95,CEILING(AE85,1)-0.05),IF(RoundingRule="Nearest 0.50",CEILING(AE85,0.5),IF(RoundingRule="Nearest 1",CEILING(AE85,1),IF(RoundingRule="Nearest 5",CEILING(AE85,5),IF(RoundingRule="Up to whole 1",CEILING(AE85,1),IF(RoundingRule="Up to whole 5",CEILING(AE85,5),ROUND(AE85,2))))))))),2)))</f>
        <v>0</v>
      </c>
      <c r="AG85" s="26">
        <f>IF(B85="","",ROUND(SUMIFS(Sales!$Y$5:$Y$1204,Sales!$I$5:$I$1204,A85,Sales!$H$5:$H$1204,"Retail"),2))</f>
        <v>0</v>
      </c>
      <c r="AH85" s="26">
        <f>IF(B85="","",ROUND(AG85-U85*IF(H85="",0,H85),2))</f>
        <v>0</v>
      </c>
      <c r="AI85" s="25">
        <f>IF(B85="","",COUNTIFS($AG$5:$AG$304,"&gt;"&amp;AG85)+COUNTIFS($AG$5:AG85,AG85))</f>
        <v>0</v>
      </c>
      <c r="AJ85" s="39">
        <f>IF(B85="","",IF(H85="","Add - no cost, no stock value",IF(Z85="Out of stock","Out of stock - order today",IF(Z85="Low stock","Order - running low",IF(IF(Q85="",FALSE,Q85&lt;=TodayDate+30),"Check - expiring within a month",IF(IF(R85="Yes",AD85&lt;0.25,FALSE),"Below - thin margin for a retail line",IF(IF(P85="",TRUE,TodayDate-P85&gt;90),"Due - not counted in three months","OK")))))))</f>
        <v>0</v>
      </c>
    </row>
    <row r="86" spans="1:36">
      <c r="A86" s="28">
        <f>IF(B86="","",ProductPrefix&amp;TEXT(ROW()-4,"000"))</f>
        <v>0</v>
      </c>
      <c r="T86" s="37">
        <f>IF(B86="","",ROUND(SUMIFS(Purchases!$U$5:$U$304,Purchases!$D$5:$D$304,A86),2))</f>
        <v>0</v>
      </c>
      <c r="U86" s="37">
        <f>IF(B86="","",ROUND(SUMIFS(Sales!$T$5:$T$1204,Sales!$I$5:$I$1204,A86,Sales!$H$5:$H$1204,"Retail"),2))</f>
        <v>0</v>
      </c>
      <c r="V86" s="37">
        <f>IF(B86="","",ROUND(IF(J86="",0,J86)+T86-IF(K86="",0,K86)-U86-IF(L86="",0,L86)+IF(M86="",0,M86),2))</f>
        <v>0</v>
      </c>
      <c r="W86" s="37">
        <f>IF(B86="","",ROUND((U86+IF(K86="",0,K86))/MAX(4,TrackingWeeks),2))</f>
        <v>0</v>
      </c>
      <c r="X86" s="37">
        <f>IF(B86="","",IF(W86&lt;=0,"",ROUND(V86/W86,1)))</f>
        <v>0</v>
      </c>
      <c r="Y86" s="37">
        <f>IF(B86="","",IF(N86&lt;&gt;"",N86,ROUND(W86*StockWarningWeeks,1)))</f>
        <v>0</v>
      </c>
      <c r="Z86" s="39">
        <f>IF(B86="","",IF(V86&lt;=0,"Out of stock",IF(V86&lt;=Y86,"Low stock",IF(R86="No","Backbar","In stock"))))</f>
        <v>0</v>
      </c>
      <c r="AA86" s="37">
        <f>IF(B86="","",IF(Z86="In stock","",IF(Z86="Backbar",IF(V86&lt;=Y86,MAX(1,IF(O86="",ROUND(W86*ReorderWeeks,0),O86)),""),MAX(1,IF(O86="",ROUND(W86*ReorderWeeks,0),O86)))))</f>
        <v>0</v>
      </c>
      <c r="AB86" s="26">
        <f>IF(B86="","",ROUND(V86*IF(H86="",0,H86),2))</f>
        <v>0</v>
      </c>
      <c r="AC86" s="26">
        <f>IF(B86="","",ROUND(V86*IF(I86="",0,I86),2))</f>
        <v>0</v>
      </c>
      <c r="AD86" s="27">
        <f>IF(B86="","",IF(IF(I86="",0,I86)=0,"",(I86-IF(H86="",0,H86))/I86))</f>
        <v>0</v>
      </c>
      <c r="AE86" s="26">
        <f>IF(B86="","",IF(H86="","",H86*RetailMarkup))</f>
        <v>0</v>
      </c>
      <c r="AF86" s="26">
        <f>IF(B86="","",IF(AE86="","",ROUND(IF(RoundingRule="None",AE86,IF(RoundingRule="Nearest 0.99",MAX(0.99,CEILING(AE86,1)-0.01),IF(RoundingRule="Nearest 0.95",MAX(0.95,CEILING(AE86,1)-0.05),IF(RoundingRule="Nearest 0.50",CEILING(AE86,0.5),IF(RoundingRule="Nearest 1",CEILING(AE86,1),IF(RoundingRule="Nearest 5",CEILING(AE86,5),IF(RoundingRule="Up to whole 1",CEILING(AE86,1),IF(RoundingRule="Up to whole 5",CEILING(AE86,5),ROUND(AE86,2))))))))),2)))</f>
        <v>0</v>
      </c>
      <c r="AG86" s="26">
        <f>IF(B86="","",ROUND(SUMIFS(Sales!$Y$5:$Y$1204,Sales!$I$5:$I$1204,A86,Sales!$H$5:$H$1204,"Retail"),2))</f>
        <v>0</v>
      </c>
      <c r="AH86" s="26">
        <f>IF(B86="","",ROUND(AG86-U86*IF(H86="",0,H86),2))</f>
        <v>0</v>
      </c>
      <c r="AI86" s="25">
        <f>IF(B86="","",COUNTIFS($AG$5:$AG$304,"&gt;"&amp;AG86)+COUNTIFS($AG$5:AG86,AG86))</f>
        <v>0</v>
      </c>
      <c r="AJ86" s="39">
        <f>IF(B86="","",IF(H86="","Add - no cost, no stock value",IF(Z86="Out of stock","Out of stock - order today",IF(Z86="Low stock","Order - running low",IF(IF(Q86="",FALSE,Q86&lt;=TodayDate+30),"Check - expiring within a month",IF(IF(R86="Yes",AD86&lt;0.25,FALSE),"Below - thin margin for a retail line",IF(IF(P86="",TRUE,TodayDate-P86&gt;90),"Due - not counted in three months","OK")))))))</f>
        <v>0</v>
      </c>
    </row>
    <row r="87" spans="1:36">
      <c r="A87" s="28">
        <f>IF(B87="","",ProductPrefix&amp;TEXT(ROW()-4,"000"))</f>
        <v>0</v>
      </c>
      <c r="T87" s="37">
        <f>IF(B87="","",ROUND(SUMIFS(Purchases!$U$5:$U$304,Purchases!$D$5:$D$304,A87),2))</f>
        <v>0</v>
      </c>
      <c r="U87" s="37">
        <f>IF(B87="","",ROUND(SUMIFS(Sales!$T$5:$T$1204,Sales!$I$5:$I$1204,A87,Sales!$H$5:$H$1204,"Retail"),2))</f>
        <v>0</v>
      </c>
      <c r="V87" s="37">
        <f>IF(B87="","",ROUND(IF(J87="",0,J87)+T87-IF(K87="",0,K87)-U87-IF(L87="",0,L87)+IF(M87="",0,M87),2))</f>
        <v>0</v>
      </c>
      <c r="W87" s="37">
        <f>IF(B87="","",ROUND((U87+IF(K87="",0,K87))/MAX(4,TrackingWeeks),2))</f>
        <v>0</v>
      </c>
      <c r="X87" s="37">
        <f>IF(B87="","",IF(W87&lt;=0,"",ROUND(V87/W87,1)))</f>
        <v>0</v>
      </c>
      <c r="Y87" s="37">
        <f>IF(B87="","",IF(N87&lt;&gt;"",N87,ROUND(W87*StockWarningWeeks,1)))</f>
        <v>0</v>
      </c>
      <c r="Z87" s="39">
        <f>IF(B87="","",IF(V87&lt;=0,"Out of stock",IF(V87&lt;=Y87,"Low stock",IF(R87="No","Backbar","In stock"))))</f>
        <v>0</v>
      </c>
      <c r="AA87" s="37">
        <f>IF(B87="","",IF(Z87="In stock","",IF(Z87="Backbar",IF(V87&lt;=Y87,MAX(1,IF(O87="",ROUND(W87*ReorderWeeks,0),O87)),""),MAX(1,IF(O87="",ROUND(W87*ReorderWeeks,0),O87)))))</f>
        <v>0</v>
      </c>
      <c r="AB87" s="26">
        <f>IF(B87="","",ROUND(V87*IF(H87="",0,H87),2))</f>
        <v>0</v>
      </c>
      <c r="AC87" s="26">
        <f>IF(B87="","",ROUND(V87*IF(I87="",0,I87),2))</f>
        <v>0</v>
      </c>
      <c r="AD87" s="27">
        <f>IF(B87="","",IF(IF(I87="",0,I87)=0,"",(I87-IF(H87="",0,H87))/I87))</f>
        <v>0</v>
      </c>
      <c r="AE87" s="26">
        <f>IF(B87="","",IF(H87="","",H87*RetailMarkup))</f>
        <v>0</v>
      </c>
      <c r="AF87" s="26">
        <f>IF(B87="","",IF(AE87="","",ROUND(IF(RoundingRule="None",AE87,IF(RoundingRule="Nearest 0.99",MAX(0.99,CEILING(AE87,1)-0.01),IF(RoundingRule="Nearest 0.95",MAX(0.95,CEILING(AE87,1)-0.05),IF(RoundingRule="Nearest 0.50",CEILING(AE87,0.5),IF(RoundingRule="Nearest 1",CEILING(AE87,1),IF(RoundingRule="Nearest 5",CEILING(AE87,5),IF(RoundingRule="Up to whole 1",CEILING(AE87,1),IF(RoundingRule="Up to whole 5",CEILING(AE87,5),ROUND(AE87,2))))))))),2)))</f>
        <v>0</v>
      </c>
      <c r="AG87" s="26">
        <f>IF(B87="","",ROUND(SUMIFS(Sales!$Y$5:$Y$1204,Sales!$I$5:$I$1204,A87,Sales!$H$5:$H$1204,"Retail"),2))</f>
        <v>0</v>
      </c>
      <c r="AH87" s="26">
        <f>IF(B87="","",ROUND(AG87-U87*IF(H87="",0,H87),2))</f>
        <v>0</v>
      </c>
      <c r="AI87" s="25">
        <f>IF(B87="","",COUNTIFS($AG$5:$AG$304,"&gt;"&amp;AG87)+COUNTIFS($AG$5:AG87,AG87))</f>
        <v>0</v>
      </c>
      <c r="AJ87" s="39">
        <f>IF(B87="","",IF(H87="","Add - no cost, no stock value",IF(Z87="Out of stock","Out of stock - order today",IF(Z87="Low stock","Order - running low",IF(IF(Q87="",FALSE,Q87&lt;=TodayDate+30),"Check - expiring within a month",IF(IF(R87="Yes",AD87&lt;0.25,FALSE),"Below - thin margin for a retail line",IF(IF(P87="",TRUE,TodayDate-P87&gt;90),"Due - not counted in three months","OK")))))))</f>
        <v>0</v>
      </c>
    </row>
    <row r="88" spans="1:36">
      <c r="A88" s="28">
        <f>IF(B88="","",ProductPrefix&amp;TEXT(ROW()-4,"000"))</f>
        <v>0</v>
      </c>
      <c r="T88" s="37">
        <f>IF(B88="","",ROUND(SUMIFS(Purchases!$U$5:$U$304,Purchases!$D$5:$D$304,A88),2))</f>
        <v>0</v>
      </c>
      <c r="U88" s="37">
        <f>IF(B88="","",ROUND(SUMIFS(Sales!$T$5:$T$1204,Sales!$I$5:$I$1204,A88,Sales!$H$5:$H$1204,"Retail"),2))</f>
        <v>0</v>
      </c>
      <c r="V88" s="37">
        <f>IF(B88="","",ROUND(IF(J88="",0,J88)+T88-IF(K88="",0,K88)-U88-IF(L88="",0,L88)+IF(M88="",0,M88),2))</f>
        <v>0</v>
      </c>
      <c r="W88" s="37">
        <f>IF(B88="","",ROUND((U88+IF(K88="",0,K88))/MAX(4,TrackingWeeks),2))</f>
        <v>0</v>
      </c>
      <c r="X88" s="37">
        <f>IF(B88="","",IF(W88&lt;=0,"",ROUND(V88/W88,1)))</f>
        <v>0</v>
      </c>
      <c r="Y88" s="37">
        <f>IF(B88="","",IF(N88&lt;&gt;"",N88,ROUND(W88*StockWarningWeeks,1)))</f>
        <v>0</v>
      </c>
      <c r="Z88" s="39">
        <f>IF(B88="","",IF(V88&lt;=0,"Out of stock",IF(V88&lt;=Y88,"Low stock",IF(R88="No","Backbar","In stock"))))</f>
        <v>0</v>
      </c>
      <c r="AA88" s="37">
        <f>IF(B88="","",IF(Z88="In stock","",IF(Z88="Backbar",IF(V88&lt;=Y88,MAX(1,IF(O88="",ROUND(W88*ReorderWeeks,0),O88)),""),MAX(1,IF(O88="",ROUND(W88*ReorderWeeks,0),O88)))))</f>
        <v>0</v>
      </c>
      <c r="AB88" s="26">
        <f>IF(B88="","",ROUND(V88*IF(H88="",0,H88),2))</f>
        <v>0</v>
      </c>
      <c r="AC88" s="26">
        <f>IF(B88="","",ROUND(V88*IF(I88="",0,I88),2))</f>
        <v>0</v>
      </c>
      <c r="AD88" s="27">
        <f>IF(B88="","",IF(IF(I88="",0,I88)=0,"",(I88-IF(H88="",0,H88))/I88))</f>
        <v>0</v>
      </c>
      <c r="AE88" s="26">
        <f>IF(B88="","",IF(H88="","",H88*RetailMarkup))</f>
        <v>0</v>
      </c>
      <c r="AF88" s="26">
        <f>IF(B88="","",IF(AE88="","",ROUND(IF(RoundingRule="None",AE88,IF(RoundingRule="Nearest 0.99",MAX(0.99,CEILING(AE88,1)-0.01),IF(RoundingRule="Nearest 0.95",MAX(0.95,CEILING(AE88,1)-0.05),IF(RoundingRule="Nearest 0.50",CEILING(AE88,0.5),IF(RoundingRule="Nearest 1",CEILING(AE88,1),IF(RoundingRule="Nearest 5",CEILING(AE88,5),IF(RoundingRule="Up to whole 1",CEILING(AE88,1),IF(RoundingRule="Up to whole 5",CEILING(AE88,5),ROUND(AE88,2))))))))),2)))</f>
        <v>0</v>
      </c>
      <c r="AG88" s="26">
        <f>IF(B88="","",ROUND(SUMIFS(Sales!$Y$5:$Y$1204,Sales!$I$5:$I$1204,A88,Sales!$H$5:$H$1204,"Retail"),2))</f>
        <v>0</v>
      </c>
      <c r="AH88" s="26">
        <f>IF(B88="","",ROUND(AG88-U88*IF(H88="",0,H88),2))</f>
        <v>0</v>
      </c>
      <c r="AI88" s="25">
        <f>IF(B88="","",COUNTIFS($AG$5:$AG$304,"&gt;"&amp;AG88)+COUNTIFS($AG$5:AG88,AG88))</f>
        <v>0</v>
      </c>
      <c r="AJ88" s="39">
        <f>IF(B88="","",IF(H88="","Add - no cost, no stock value",IF(Z88="Out of stock","Out of stock - order today",IF(Z88="Low stock","Order - running low",IF(IF(Q88="",FALSE,Q88&lt;=TodayDate+30),"Check - expiring within a month",IF(IF(R88="Yes",AD88&lt;0.25,FALSE),"Below - thin margin for a retail line",IF(IF(P88="",TRUE,TodayDate-P88&gt;90),"Due - not counted in three months","OK")))))))</f>
        <v>0</v>
      </c>
    </row>
    <row r="89" spans="1:36">
      <c r="A89" s="28">
        <f>IF(B89="","",ProductPrefix&amp;TEXT(ROW()-4,"000"))</f>
        <v>0</v>
      </c>
      <c r="T89" s="37">
        <f>IF(B89="","",ROUND(SUMIFS(Purchases!$U$5:$U$304,Purchases!$D$5:$D$304,A89),2))</f>
        <v>0</v>
      </c>
      <c r="U89" s="37">
        <f>IF(B89="","",ROUND(SUMIFS(Sales!$T$5:$T$1204,Sales!$I$5:$I$1204,A89,Sales!$H$5:$H$1204,"Retail"),2))</f>
        <v>0</v>
      </c>
      <c r="V89" s="37">
        <f>IF(B89="","",ROUND(IF(J89="",0,J89)+T89-IF(K89="",0,K89)-U89-IF(L89="",0,L89)+IF(M89="",0,M89),2))</f>
        <v>0</v>
      </c>
      <c r="W89" s="37">
        <f>IF(B89="","",ROUND((U89+IF(K89="",0,K89))/MAX(4,TrackingWeeks),2))</f>
        <v>0</v>
      </c>
      <c r="X89" s="37">
        <f>IF(B89="","",IF(W89&lt;=0,"",ROUND(V89/W89,1)))</f>
        <v>0</v>
      </c>
      <c r="Y89" s="37">
        <f>IF(B89="","",IF(N89&lt;&gt;"",N89,ROUND(W89*StockWarningWeeks,1)))</f>
        <v>0</v>
      </c>
      <c r="Z89" s="39">
        <f>IF(B89="","",IF(V89&lt;=0,"Out of stock",IF(V89&lt;=Y89,"Low stock",IF(R89="No","Backbar","In stock"))))</f>
        <v>0</v>
      </c>
      <c r="AA89" s="37">
        <f>IF(B89="","",IF(Z89="In stock","",IF(Z89="Backbar",IF(V89&lt;=Y89,MAX(1,IF(O89="",ROUND(W89*ReorderWeeks,0),O89)),""),MAX(1,IF(O89="",ROUND(W89*ReorderWeeks,0),O89)))))</f>
        <v>0</v>
      </c>
      <c r="AB89" s="26">
        <f>IF(B89="","",ROUND(V89*IF(H89="",0,H89),2))</f>
        <v>0</v>
      </c>
      <c r="AC89" s="26">
        <f>IF(B89="","",ROUND(V89*IF(I89="",0,I89),2))</f>
        <v>0</v>
      </c>
      <c r="AD89" s="27">
        <f>IF(B89="","",IF(IF(I89="",0,I89)=0,"",(I89-IF(H89="",0,H89))/I89))</f>
        <v>0</v>
      </c>
      <c r="AE89" s="26">
        <f>IF(B89="","",IF(H89="","",H89*RetailMarkup))</f>
        <v>0</v>
      </c>
      <c r="AF89" s="26">
        <f>IF(B89="","",IF(AE89="","",ROUND(IF(RoundingRule="None",AE89,IF(RoundingRule="Nearest 0.99",MAX(0.99,CEILING(AE89,1)-0.01),IF(RoundingRule="Nearest 0.95",MAX(0.95,CEILING(AE89,1)-0.05),IF(RoundingRule="Nearest 0.50",CEILING(AE89,0.5),IF(RoundingRule="Nearest 1",CEILING(AE89,1),IF(RoundingRule="Nearest 5",CEILING(AE89,5),IF(RoundingRule="Up to whole 1",CEILING(AE89,1),IF(RoundingRule="Up to whole 5",CEILING(AE89,5),ROUND(AE89,2))))))))),2)))</f>
        <v>0</v>
      </c>
      <c r="AG89" s="26">
        <f>IF(B89="","",ROUND(SUMIFS(Sales!$Y$5:$Y$1204,Sales!$I$5:$I$1204,A89,Sales!$H$5:$H$1204,"Retail"),2))</f>
        <v>0</v>
      </c>
      <c r="AH89" s="26">
        <f>IF(B89="","",ROUND(AG89-U89*IF(H89="",0,H89),2))</f>
        <v>0</v>
      </c>
      <c r="AI89" s="25">
        <f>IF(B89="","",COUNTIFS($AG$5:$AG$304,"&gt;"&amp;AG89)+COUNTIFS($AG$5:AG89,AG89))</f>
        <v>0</v>
      </c>
      <c r="AJ89" s="39">
        <f>IF(B89="","",IF(H89="","Add - no cost, no stock value",IF(Z89="Out of stock","Out of stock - order today",IF(Z89="Low stock","Order - running low",IF(IF(Q89="",FALSE,Q89&lt;=TodayDate+30),"Check - expiring within a month",IF(IF(R89="Yes",AD89&lt;0.25,FALSE),"Below - thin margin for a retail line",IF(IF(P89="",TRUE,TodayDate-P89&gt;90),"Due - not counted in three months","OK")))))))</f>
        <v>0</v>
      </c>
    </row>
    <row r="90" spans="1:36">
      <c r="A90" s="28">
        <f>IF(B90="","",ProductPrefix&amp;TEXT(ROW()-4,"000"))</f>
        <v>0</v>
      </c>
      <c r="T90" s="37">
        <f>IF(B90="","",ROUND(SUMIFS(Purchases!$U$5:$U$304,Purchases!$D$5:$D$304,A90),2))</f>
        <v>0</v>
      </c>
      <c r="U90" s="37">
        <f>IF(B90="","",ROUND(SUMIFS(Sales!$T$5:$T$1204,Sales!$I$5:$I$1204,A90,Sales!$H$5:$H$1204,"Retail"),2))</f>
        <v>0</v>
      </c>
      <c r="V90" s="37">
        <f>IF(B90="","",ROUND(IF(J90="",0,J90)+T90-IF(K90="",0,K90)-U90-IF(L90="",0,L90)+IF(M90="",0,M90),2))</f>
        <v>0</v>
      </c>
      <c r="W90" s="37">
        <f>IF(B90="","",ROUND((U90+IF(K90="",0,K90))/MAX(4,TrackingWeeks),2))</f>
        <v>0</v>
      </c>
      <c r="X90" s="37">
        <f>IF(B90="","",IF(W90&lt;=0,"",ROUND(V90/W90,1)))</f>
        <v>0</v>
      </c>
      <c r="Y90" s="37">
        <f>IF(B90="","",IF(N90&lt;&gt;"",N90,ROUND(W90*StockWarningWeeks,1)))</f>
        <v>0</v>
      </c>
      <c r="Z90" s="39">
        <f>IF(B90="","",IF(V90&lt;=0,"Out of stock",IF(V90&lt;=Y90,"Low stock",IF(R90="No","Backbar","In stock"))))</f>
        <v>0</v>
      </c>
      <c r="AA90" s="37">
        <f>IF(B90="","",IF(Z90="In stock","",IF(Z90="Backbar",IF(V90&lt;=Y90,MAX(1,IF(O90="",ROUND(W90*ReorderWeeks,0),O90)),""),MAX(1,IF(O90="",ROUND(W90*ReorderWeeks,0),O90)))))</f>
        <v>0</v>
      </c>
      <c r="AB90" s="26">
        <f>IF(B90="","",ROUND(V90*IF(H90="",0,H90),2))</f>
        <v>0</v>
      </c>
      <c r="AC90" s="26">
        <f>IF(B90="","",ROUND(V90*IF(I90="",0,I90),2))</f>
        <v>0</v>
      </c>
      <c r="AD90" s="27">
        <f>IF(B90="","",IF(IF(I90="",0,I90)=0,"",(I90-IF(H90="",0,H90))/I90))</f>
        <v>0</v>
      </c>
      <c r="AE90" s="26">
        <f>IF(B90="","",IF(H90="","",H90*RetailMarkup))</f>
        <v>0</v>
      </c>
      <c r="AF90" s="26">
        <f>IF(B90="","",IF(AE90="","",ROUND(IF(RoundingRule="None",AE90,IF(RoundingRule="Nearest 0.99",MAX(0.99,CEILING(AE90,1)-0.01),IF(RoundingRule="Nearest 0.95",MAX(0.95,CEILING(AE90,1)-0.05),IF(RoundingRule="Nearest 0.50",CEILING(AE90,0.5),IF(RoundingRule="Nearest 1",CEILING(AE90,1),IF(RoundingRule="Nearest 5",CEILING(AE90,5),IF(RoundingRule="Up to whole 1",CEILING(AE90,1),IF(RoundingRule="Up to whole 5",CEILING(AE90,5),ROUND(AE90,2))))))))),2)))</f>
        <v>0</v>
      </c>
      <c r="AG90" s="26">
        <f>IF(B90="","",ROUND(SUMIFS(Sales!$Y$5:$Y$1204,Sales!$I$5:$I$1204,A90,Sales!$H$5:$H$1204,"Retail"),2))</f>
        <v>0</v>
      </c>
      <c r="AH90" s="26">
        <f>IF(B90="","",ROUND(AG90-U90*IF(H90="",0,H90),2))</f>
        <v>0</v>
      </c>
      <c r="AI90" s="25">
        <f>IF(B90="","",COUNTIFS($AG$5:$AG$304,"&gt;"&amp;AG90)+COUNTIFS($AG$5:AG90,AG90))</f>
        <v>0</v>
      </c>
      <c r="AJ90" s="39">
        <f>IF(B90="","",IF(H90="","Add - no cost, no stock value",IF(Z90="Out of stock","Out of stock - order today",IF(Z90="Low stock","Order - running low",IF(IF(Q90="",FALSE,Q90&lt;=TodayDate+30),"Check - expiring within a month",IF(IF(R90="Yes",AD90&lt;0.25,FALSE),"Below - thin margin for a retail line",IF(IF(P90="",TRUE,TodayDate-P90&gt;90),"Due - not counted in three months","OK")))))))</f>
        <v>0</v>
      </c>
    </row>
    <row r="91" spans="1:36">
      <c r="A91" s="28">
        <f>IF(B91="","",ProductPrefix&amp;TEXT(ROW()-4,"000"))</f>
        <v>0</v>
      </c>
      <c r="T91" s="37">
        <f>IF(B91="","",ROUND(SUMIFS(Purchases!$U$5:$U$304,Purchases!$D$5:$D$304,A91),2))</f>
        <v>0</v>
      </c>
      <c r="U91" s="37">
        <f>IF(B91="","",ROUND(SUMIFS(Sales!$T$5:$T$1204,Sales!$I$5:$I$1204,A91,Sales!$H$5:$H$1204,"Retail"),2))</f>
        <v>0</v>
      </c>
      <c r="V91" s="37">
        <f>IF(B91="","",ROUND(IF(J91="",0,J91)+T91-IF(K91="",0,K91)-U91-IF(L91="",0,L91)+IF(M91="",0,M91),2))</f>
        <v>0</v>
      </c>
      <c r="W91" s="37">
        <f>IF(B91="","",ROUND((U91+IF(K91="",0,K91))/MAX(4,TrackingWeeks),2))</f>
        <v>0</v>
      </c>
      <c r="X91" s="37">
        <f>IF(B91="","",IF(W91&lt;=0,"",ROUND(V91/W91,1)))</f>
        <v>0</v>
      </c>
      <c r="Y91" s="37">
        <f>IF(B91="","",IF(N91&lt;&gt;"",N91,ROUND(W91*StockWarningWeeks,1)))</f>
        <v>0</v>
      </c>
      <c r="Z91" s="39">
        <f>IF(B91="","",IF(V91&lt;=0,"Out of stock",IF(V91&lt;=Y91,"Low stock",IF(R91="No","Backbar","In stock"))))</f>
        <v>0</v>
      </c>
      <c r="AA91" s="37">
        <f>IF(B91="","",IF(Z91="In stock","",IF(Z91="Backbar",IF(V91&lt;=Y91,MAX(1,IF(O91="",ROUND(W91*ReorderWeeks,0),O91)),""),MAX(1,IF(O91="",ROUND(W91*ReorderWeeks,0),O91)))))</f>
        <v>0</v>
      </c>
      <c r="AB91" s="26">
        <f>IF(B91="","",ROUND(V91*IF(H91="",0,H91),2))</f>
        <v>0</v>
      </c>
      <c r="AC91" s="26">
        <f>IF(B91="","",ROUND(V91*IF(I91="",0,I91),2))</f>
        <v>0</v>
      </c>
      <c r="AD91" s="27">
        <f>IF(B91="","",IF(IF(I91="",0,I91)=0,"",(I91-IF(H91="",0,H91))/I91))</f>
        <v>0</v>
      </c>
      <c r="AE91" s="26">
        <f>IF(B91="","",IF(H91="","",H91*RetailMarkup))</f>
        <v>0</v>
      </c>
      <c r="AF91" s="26">
        <f>IF(B91="","",IF(AE91="","",ROUND(IF(RoundingRule="None",AE91,IF(RoundingRule="Nearest 0.99",MAX(0.99,CEILING(AE91,1)-0.01),IF(RoundingRule="Nearest 0.95",MAX(0.95,CEILING(AE91,1)-0.05),IF(RoundingRule="Nearest 0.50",CEILING(AE91,0.5),IF(RoundingRule="Nearest 1",CEILING(AE91,1),IF(RoundingRule="Nearest 5",CEILING(AE91,5),IF(RoundingRule="Up to whole 1",CEILING(AE91,1),IF(RoundingRule="Up to whole 5",CEILING(AE91,5),ROUND(AE91,2))))))))),2)))</f>
        <v>0</v>
      </c>
      <c r="AG91" s="26">
        <f>IF(B91="","",ROUND(SUMIFS(Sales!$Y$5:$Y$1204,Sales!$I$5:$I$1204,A91,Sales!$H$5:$H$1204,"Retail"),2))</f>
        <v>0</v>
      </c>
      <c r="AH91" s="26">
        <f>IF(B91="","",ROUND(AG91-U91*IF(H91="",0,H91),2))</f>
        <v>0</v>
      </c>
      <c r="AI91" s="25">
        <f>IF(B91="","",COUNTIFS($AG$5:$AG$304,"&gt;"&amp;AG91)+COUNTIFS($AG$5:AG91,AG91))</f>
        <v>0</v>
      </c>
      <c r="AJ91" s="39">
        <f>IF(B91="","",IF(H91="","Add - no cost, no stock value",IF(Z91="Out of stock","Out of stock - order today",IF(Z91="Low stock","Order - running low",IF(IF(Q91="",FALSE,Q91&lt;=TodayDate+30),"Check - expiring within a month",IF(IF(R91="Yes",AD91&lt;0.25,FALSE),"Below - thin margin for a retail line",IF(IF(P91="",TRUE,TodayDate-P91&gt;90),"Due - not counted in three months","OK")))))))</f>
        <v>0</v>
      </c>
    </row>
    <row r="92" spans="1:36">
      <c r="A92" s="28">
        <f>IF(B92="","",ProductPrefix&amp;TEXT(ROW()-4,"000"))</f>
        <v>0</v>
      </c>
      <c r="T92" s="37">
        <f>IF(B92="","",ROUND(SUMIFS(Purchases!$U$5:$U$304,Purchases!$D$5:$D$304,A92),2))</f>
        <v>0</v>
      </c>
      <c r="U92" s="37">
        <f>IF(B92="","",ROUND(SUMIFS(Sales!$T$5:$T$1204,Sales!$I$5:$I$1204,A92,Sales!$H$5:$H$1204,"Retail"),2))</f>
        <v>0</v>
      </c>
      <c r="V92" s="37">
        <f>IF(B92="","",ROUND(IF(J92="",0,J92)+T92-IF(K92="",0,K92)-U92-IF(L92="",0,L92)+IF(M92="",0,M92),2))</f>
        <v>0</v>
      </c>
      <c r="W92" s="37">
        <f>IF(B92="","",ROUND((U92+IF(K92="",0,K92))/MAX(4,TrackingWeeks),2))</f>
        <v>0</v>
      </c>
      <c r="X92" s="37">
        <f>IF(B92="","",IF(W92&lt;=0,"",ROUND(V92/W92,1)))</f>
        <v>0</v>
      </c>
      <c r="Y92" s="37">
        <f>IF(B92="","",IF(N92&lt;&gt;"",N92,ROUND(W92*StockWarningWeeks,1)))</f>
        <v>0</v>
      </c>
      <c r="Z92" s="39">
        <f>IF(B92="","",IF(V92&lt;=0,"Out of stock",IF(V92&lt;=Y92,"Low stock",IF(R92="No","Backbar","In stock"))))</f>
        <v>0</v>
      </c>
      <c r="AA92" s="37">
        <f>IF(B92="","",IF(Z92="In stock","",IF(Z92="Backbar",IF(V92&lt;=Y92,MAX(1,IF(O92="",ROUND(W92*ReorderWeeks,0),O92)),""),MAX(1,IF(O92="",ROUND(W92*ReorderWeeks,0),O92)))))</f>
        <v>0</v>
      </c>
      <c r="AB92" s="26">
        <f>IF(B92="","",ROUND(V92*IF(H92="",0,H92),2))</f>
        <v>0</v>
      </c>
      <c r="AC92" s="26">
        <f>IF(B92="","",ROUND(V92*IF(I92="",0,I92),2))</f>
        <v>0</v>
      </c>
      <c r="AD92" s="27">
        <f>IF(B92="","",IF(IF(I92="",0,I92)=0,"",(I92-IF(H92="",0,H92))/I92))</f>
        <v>0</v>
      </c>
      <c r="AE92" s="26">
        <f>IF(B92="","",IF(H92="","",H92*RetailMarkup))</f>
        <v>0</v>
      </c>
      <c r="AF92" s="26">
        <f>IF(B92="","",IF(AE92="","",ROUND(IF(RoundingRule="None",AE92,IF(RoundingRule="Nearest 0.99",MAX(0.99,CEILING(AE92,1)-0.01),IF(RoundingRule="Nearest 0.95",MAX(0.95,CEILING(AE92,1)-0.05),IF(RoundingRule="Nearest 0.50",CEILING(AE92,0.5),IF(RoundingRule="Nearest 1",CEILING(AE92,1),IF(RoundingRule="Nearest 5",CEILING(AE92,5),IF(RoundingRule="Up to whole 1",CEILING(AE92,1),IF(RoundingRule="Up to whole 5",CEILING(AE92,5),ROUND(AE92,2))))))))),2)))</f>
        <v>0</v>
      </c>
      <c r="AG92" s="26">
        <f>IF(B92="","",ROUND(SUMIFS(Sales!$Y$5:$Y$1204,Sales!$I$5:$I$1204,A92,Sales!$H$5:$H$1204,"Retail"),2))</f>
        <v>0</v>
      </c>
      <c r="AH92" s="26">
        <f>IF(B92="","",ROUND(AG92-U92*IF(H92="",0,H92),2))</f>
        <v>0</v>
      </c>
      <c r="AI92" s="25">
        <f>IF(B92="","",COUNTIFS($AG$5:$AG$304,"&gt;"&amp;AG92)+COUNTIFS($AG$5:AG92,AG92))</f>
        <v>0</v>
      </c>
      <c r="AJ92" s="39">
        <f>IF(B92="","",IF(H92="","Add - no cost, no stock value",IF(Z92="Out of stock","Out of stock - order today",IF(Z92="Low stock","Order - running low",IF(IF(Q92="",FALSE,Q92&lt;=TodayDate+30),"Check - expiring within a month",IF(IF(R92="Yes",AD92&lt;0.25,FALSE),"Below - thin margin for a retail line",IF(IF(P92="",TRUE,TodayDate-P92&gt;90),"Due - not counted in three months","OK")))))))</f>
        <v>0</v>
      </c>
    </row>
    <row r="93" spans="1:36">
      <c r="A93" s="28">
        <f>IF(B93="","",ProductPrefix&amp;TEXT(ROW()-4,"000"))</f>
        <v>0</v>
      </c>
      <c r="T93" s="37">
        <f>IF(B93="","",ROUND(SUMIFS(Purchases!$U$5:$U$304,Purchases!$D$5:$D$304,A93),2))</f>
        <v>0</v>
      </c>
      <c r="U93" s="37">
        <f>IF(B93="","",ROUND(SUMIFS(Sales!$T$5:$T$1204,Sales!$I$5:$I$1204,A93,Sales!$H$5:$H$1204,"Retail"),2))</f>
        <v>0</v>
      </c>
      <c r="V93" s="37">
        <f>IF(B93="","",ROUND(IF(J93="",0,J93)+T93-IF(K93="",0,K93)-U93-IF(L93="",0,L93)+IF(M93="",0,M93),2))</f>
        <v>0</v>
      </c>
      <c r="W93" s="37">
        <f>IF(B93="","",ROUND((U93+IF(K93="",0,K93))/MAX(4,TrackingWeeks),2))</f>
        <v>0</v>
      </c>
      <c r="X93" s="37">
        <f>IF(B93="","",IF(W93&lt;=0,"",ROUND(V93/W93,1)))</f>
        <v>0</v>
      </c>
      <c r="Y93" s="37">
        <f>IF(B93="","",IF(N93&lt;&gt;"",N93,ROUND(W93*StockWarningWeeks,1)))</f>
        <v>0</v>
      </c>
      <c r="Z93" s="39">
        <f>IF(B93="","",IF(V93&lt;=0,"Out of stock",IF(V93&lt;=Y93,"Low stock",IF(R93="No","Backbar","In stock"))))</f>
        <v>0</v>
      </c>
      <c r="AA93" s="37">
        <f>IF(B93="","",IF(Z93="In stock","",IF(Z93="Backbar",IF(V93&lt;=Y93,MAX(1,IF(O93="",ROUND(W93*ReorderWeeks,0),O93)),""),MAX(1,IF(O93="",ROUND(W93*ReorderWeeks,0),O93)))))</f>
        <v>0</v>
      </c>
      <c r="AB93" s="26">
        <f>IF(B93="","",ROUND(V93*IF(H93="",0,H93),2))</f>
        <v>0</v>
      </c>
      <c r="AC93" s="26">
        <f>IF(B93="","",ROUND(V93*IF(I93="",0,I93),2))</f>
        <v>0</v>
      </c>
      <c r="AD93" s="27">
        <f>IF(B93="","",IF(IF(I93="",0,I93)=0,"",(I93-IF(H93="",0,H93))/I93))</f>
        <v>0</v>
      </c>
      <c r="AE93" s="26">
        <f>IF(B93="","",IF(H93="","",H93*RetailMarkup))</f>
        <v>0</v>
      </c>
      <c r="AF93" s="26">
        <f>IF(B93="","",IF(AE93="","",ROUND(IF(RoundingRule="None",AE93,IF(RoundingRule="Nearest 0.99",MAX(0.99,CEILING(AE93,1)-0.01),IF(RoundingRule="Nearest 0.95",MAX(0.95,CEILING(AE93,1)-0.05),IF(RoundingRule="Nearest 0.50",CEILING(AE93,0.5),IF(RoundingRule="Nearest 1",CEILING(AE93,1),IF(RoundingRule="Nearest 5",CEILING(AE93,5),IF(RoundingRule="Up to whole 1",CEILING(AE93,1),IF(RoundingRule="Up to whole 5",CEILING(AE93,5),ROUND(AE93,2))))))))),2)))</f>
        <v>0</v>
      </c>
      <c r="AG93" s="26">
        <f>IF(B93="","",ROUND(SUMIFS(Sales!$Y$5:$Y$1204,Sales!$I$5:$I$1204,A93,Sales!$H$5:$H$1204,"Retail"),2))</f>
        <v>0</v>
      </c>
      <c r="AH93" s="26">
        <f>IF(B93="","",ROUND(AG93-U93*IF(H93="",0,H93),2))</f>
        <v>0</v>
      </c>
      <c r="AI93" s="25">
        <f>IF(B93="","",COUNTIFS($AG$5:$AG$304,"&gt;"&amp;AG93)+COUNTIFS($AG$5:AG93,AG93))</f>
        <v>0</v>
      </c>
      <c r="AJ93" s="39">
        <f>IF(B93="","",IF(H93="","Add - no cost, no stock value",IF(Z93="Out of stock","Out of stock - order today",IF(Z93="Low stock","Order - running low",IF(IF(Q93="",FALSE,Q93&lt;=TodayDate+30),"Check - expiring within a month",IF(IF(R93="Yes",AD93&lt;0.25,FALSE),"Below - thin margin for a retail line",IF(IF(P93="",TRUE,TodayDate-P93&gt;90),"Due - not counted in three months","OK")))))))</f>
        <v>0</v>
      </c>
    </row>
    <row r="94" spans="1:36">
      <c r="A94" s="28">
        <f>IF(B94="","",ProductPrefix&amp;TEXT(ROW()-4,"000"))</f>
        <v>0</v>
      </c>
      <c r="T94" s="37">
        <f>IF(B94="","",ROUND(SUMIFS(Purchases!$U$5:$U$304,Purchases!$D$5:$D$304,A94),2))</f>
        <v>0</v>
      </c>
      <c r="U94" s="37">
        <f>IF(B94="","",ROUND(SUMIFS(Sales!$T$5:$T$1204,Sales!$I$5:$I$1204,A94,Sales!$H$5:$H$1204,"Retail"),2))</f>
        <v>0</v>
      </c>
      <c r="V94" s="37">
        <f>IF(B94="","",ROUND(IF(J94="",0,J94)+T94-IF(K94="",0,K94)-U94-IF(L94="",0,L94)+IF(M94="",0,M94),2))</f>
        <v>0</v>
      </c>
      <c r="W94" s="37">
        <f>IF(B94="","",ROUND((U94+IF(K94="",0,K94))/MAX(4,TrackingWeeks),2))</f>
        <v>0</v>
      </c>
      <c r="X94" s="37">
        <f>IF(B94="","",IF(W94&lt;=0,"",ROUND(V94/W94,1)))</f>
        <v>0</v>
      </c>
      <c r="Y94" s="37">
        <f>IF(B94="","",IF(N94&lt;&gt;"",N94,ROUND(W94*StockWarningWeeks,1)))</f>
        <v>0</v>
      </c>
      <c r="Z94" s="39">
        <f>IF(B94="","",IF(V94&lt;=0,"Out of stock",IF(V94&lt;=Y94,"Low stock",IF(R94="No","Backbar","In stock"))))</f>
        <v>0</v>
      </c>
      <c r="AA94" s="37">
        <f>IF(B94="","",IF(Z94="In stock","",IF(Z94="Backbar",IF(V94&lt;=Y94,MAX(1,IF(O94="",ROUND(W94*ReorderWeeks,0),O94)),""),MAX(1,IF(O94="",ROUND(W94*ReorderWeeks,0),O94)))))</f>
        <v>0</v>
      </c>
      <c r="AB94" s="26">
        <f>IF(B94="","",ROUND(V94*IF(H94="",0,H94),2))</f>
        <v>0</v>
      </c>
      <c r="AC94" s="26">
        <f>IF(B94="","",ROUND(V94*IF(I94="",0,I94),2))</f>
        <v>0</v>
      </c>
      <c r="AD94" s="27">
        <f>IF(B94="","",IF(IF(I94="",0,I94)=0,"",(I94-IF(H94="",0,H94))/I94))</f>
        <v>0</v>
      </c>
      <c r="AE94" s="26">
        <f>IF(B94="","",IF(H94="","",H94*RetailMarkup))</f>
        <v>0</v>
      </c>
      <c r="AF94" s="26">
        <f>IF(B94="","",IF(AE94="","",ROUND(IF(RoundingRule="None",AE94,IF(RoundingRule="Nearest 0.99",MAX(0.99,CEILING(AE94,1)-0.01),IF(RoundingRule="Nearest 0.95",MAX(0.95,CEILING(AE94,1)-0.05),IF(RoundingRule="Nearest 0.50",CEILING(AE94,0.5),IF(RoundingRule="Nearest 1",CEILING(AE94,1),IF(RoundingRule="Nearest 5",CEILING(AE94,5),IF(RoundingRule="Up to whole 1",CEILING(AE94,1),IF(RoundingRule="Up to whole 5",CEILING(AE94,5),ROUND(AE94,2))))))))),2)))</f>
        <v>0</v>
      </c>
      <c r="AG94" s="26">
        <f>IF(B94="","",ROUND(SUMIFS(Sales!$Y$5:$Y$1204,Sales!$I$5:$I$1204,A94,Sales!$H$5:$H$1204,"Retail"),2))</f>
        <v>0</v>
      </c>
      <c r="AH94" s="26">
        <f>IF(B94="","",ROUND(AG94-U94*IF(H94="",0,H94),2))</f>
        <v>0</v>
      </c>
      <c r="AI94" s="25">
        <f>IF(B94="","",COUNTIFS($AG$5:$AG$304,"&gt;"&amp;AG94)+COUNTIFS($AG$5:AG94,AG94))</f>
        <v>0</v>
      </c>
      <c r="AJ94" s="39">
        <f>IF(B94="","",IF(H94="","Add - no cost, no stock value",IF(Z94="Out of stock","Out of stock - order today",IF(Z94="Low stock","Order - running low",IF(IF(Q94="",FALSE,Q94&lt;=TodayDate+30),"Check - expiring within a month",IF(IF(R94="Yes",AD94&lt;0.25,FALSE),"Below - thin margin for a retail line",IF(IF(P94="",TRUE,TodayDate-P94&gt;90),"Due - not counted in three months","OK")))))))</f>
        <v>0</v>
      </c>
    </row>
    <row r="95" spans="1:36">
      <c r="A95" s="28">
        <f>IF(B95="","",ProductPrefix&amp;TEXT(ROW()-4,"000"))</f>
        <v>0</v>
      </c>
      <c r="T95" s="37">
        <f>IF(B95="","",ROUND(SUMIFS(Purchases!$U$5:$U$304,Purchases!$D$5:$D$304,A95),2))</f>
        <v>0</v>
      </c>
      <c r="U95" s="37">
        <f>IF(B95="","",ROUND(SUMIFS(Sales!$T$5:$T$1204,Sales!$I$5:$I$1204,A95,Sales!$H$5:$H$1204,"Retail"),2))</f>
        <v>0</v>
      </c>
      <c r="V95" s="37">
        <f>IF(B95="","",ROUND(IF(J95="",0,J95)+T95-IF(K95="",0,K95)-U95-IF(L95="",0,L95)+IF(M95="",0,M95),2))</f>
        <v>0</v>
      </c>
      <c r="W95" s="37">
        <f>IF(B95="","",ROUND((U95+IF(K95="",0,K95))/MAX(4,TrackingWeeks),2))</f>
        <v>0</v>
      </c>
      <c r="X95" s="37">
        <f>IF(B95="","",IF(W95&lt;=0,"",ROUND(V95/W95,1)))</f>
        <v>0</v>
      </c>
      <c r="Y95" s="37">
        <f>IF(B95="","",IF(N95&lt;&gt;"",N95,ROUND(W95*StockWarningWeeks,1)))</f>
        <v>0</v>
      </c>
      <c r="Z95" s="39">
        <f>IF(B95="","",IF(V95&lt;=0,"Out of stock",IF(V95&lt;=Y95,"Low stock",IF(R95="No","Backbar","In stock"))))</f>
        <v>0</v>
      </c>
      <c r="AA95" s="37">
        <f>IF(B95="","",IF(Z95="In stock","",IF(Z95="Backbar",IF(V95&lt;=Y95,MAX(1,IF(O95="",ROUND(W95*ReorderWeeks,0),O95)),""),MAX(1,IF(O95="",ROUND(W95*ReorderWeeks,0),O95)))))</f>
        <v>0</v>
      </c>
      <c r="AB95" s="26">
        <f>IF(B95="","",ROUND(V95*IF(H95="",0,H95),2))</f>
        <v>0</v>
      </c>
      <c r="AC95" s="26">
        <f>IF(B95="","",ROUND(V95*IF(I95="",0,I95),2))</f>
        <v>0</v>
      </c>
      <c r="AD95" s="27">
        <f>IF(B95="","",IF(IF(I95="",0,I95)=0,"",(I95-IF(H95="",0,H95))/I95))</f>
        <v>0</v>
      </c>
      <c r="AE95" s="26">
        <f>IF(B95="","",IF(H95="","",H95*RetailMarkup))</f>
        <v>0</v>
      </c>
      <c r="AF95" s="26">
        <f>IF(B95="","",IF(AE95="","",ROUND(IF(RoundingRule="None",AE95,IF(RoundingRule="Nearest 0.99",MAX(0.99,CEILING(AE95,1)-0.01),IF(RoundingRule="Nearest 0.95",MAX(0.95,CEILING(AE95,1)-0.05),IF(RoundingRule="Nearest 0.50",CEILING(AE95,0.5),IF(RoundingRule="Nearest 1",CEILING(AE95,1),IF(RoundingRule="Nearest 5",CEILING(AE95,5),IF(RoundingRule="Up to whole 1",CEILING(AE95,1),IF(RoundingRule="Up to whole 5",CEILING(AE95,5),ROUND(AE95,2))))))))),2)))</f>
        <v>0</v>
      </c>
      <c r="AG95" s="26">
        <f>IF(B95="","",ROUND(SUMIFS(Sales!$Y$5:$Y$1204,Sales!$I$5:$I$1204,A95,Sales!$H$5:$H$1204,"Retail"),2))</f>
        <v>0</v>
      </c>
      <c r="AH95" s="26">
        <f>IF(B95="","",ROUND(AG95-U95*IF(H95="",0,H95),2))</f>
        <v>0</v>
      </c>
      <c r="AI95" s="25">
        <f>IF(B95="","",COUNTIFS($AG$5:$AG$304,"&gt;"&amp;AG95)+COUNTIFS($AG$5:AG95,AG95))</f>
        <v>0</v>
      </c>
      <c r="AJ95" s="39">
        <f>IF(B95="","",IF(H95="","Add - no cost, no stock value",IF(Z95="Out of stock","Out of stock - order today",IF(Z95="Low stock","Order - running low",IF(IF(Q95="",FALSE,Q95&lt;=TodayDate+30),"Check - expiring within a month",IF(IF(R95="Yes",AD95&lt;0.25,FALSE),"Below - thin margin for a retail line",IF(IF(P95="",TRUE,TodayDate-P95&gt;90),"Due - not counted in three months","OK")))))))</f>
        <v>0</v>
      </c>
    </row>
    <row r="96" spans="1:36">
      <c r="A96" s="28">
        <f>IF(B96="","",ProductPrefix&amp;TEXT(ROW()-4,"000"))</f>
        <v>0</v>
      </c>
      <c r="T96" s="37">
        <f>IF(B96="","",ROUND(SUMIFS(Purchases!$U$5:$U$304,Purchases!$D$5:$D$304,A96),2))</f>
        <v>0</v>
      </c>
      <c r="U96" s="37">
        <f>IF(B96="","",ROUND(SUMIFS(Sales!$T$5:$T$1204,Sales!$I$5:$I$1204,A96,Sales!$H$5:$H$1204,"Retail"),2))</f>
        <v>0</v>
      </c>
      <c r="V96" s="37">
        <f>IF(B96="","",ROUND(IF(J96="",0,J96)+T96-IF(K96="",0,K96)-U96-IF(L96="",0,L96)+IF(M96="",0,M96),2))</f>
        <v>0</v>
      </c>
      <c r="W96" s="37">
        <f>IF(B96="","",ROUND((U96+IF(K96="",0,K96))/MAX(4,TrackingWeeks),2))</f>
        <v>0</v>
      </c>
      <c r="X96" s="37">
        <f>IF(B96="","",IF(W96&lt;=0,"",ROUND(V96/W96,1)))</f>
        <v>0</v>
      </c>
      <c r="Y96" s="37">
        <f>IF(B96="","",IF(N96&lt;&gt;"",N96,ROUND(W96*StockWarningWeeks,1)))</f>
        <v>0</v>
      </c>
      <c r="Z96" s="39">
        <f>IF(B96="","",IF(V96&lt;=0,"Out of stock",IF(V96&lt;=Y96,"Low stock",IF(R96="No","Backbar","In stock"))))</f>
        <v>0</v>
      </c>
      <c r="AA96" s="37">
        <f>IF(B96="","",IF(Z96="In stock","",IF(Z96="Backbar",IF(V96&lt;=Y96,MAX(1,IF(O96="",ROUND(W96*ReorderWeeks,0),O96)),""),MAX(1,IF(O96="",ROUND(W96*ReorderWeeks,0),O96)))))</f>
        <v>0</v>
      </c>
      <c r="AB96" s="26">
        <f>IF(B96="","",ROUND(V96*IF(H96="",0,H96),2))</f>
        <v>0</v>
      </c>
      <c r="AC96" s="26">
        <f>IF(B96="","",ROUND(V96*IF(I96="",0,I96),2))</f>
        <v>0</v>
      </c>
      <c r="AD96" s="27">
        <f>IF(B96="","",IF(IF(I96="",0,I96)=0,"",(I96-IF(H96="",0,H96))/I96))</f>
        <v>0</v>
      </c>
      <c r="AE96" s="26">
        <f>IF(B96="","",IF(H96="","",H96*RetailMarkup))</f>
        <v>0</v>
      </c>
      <c r="AF96" s="26">
        <f>IF(B96="","",IF(AE96="","",ROUND(IF(RoundingRule="None",AE96,IF(RoundingRule="Nearest 0.99",MAX(0.99,CEILING(AE96,1)-0.01),IF(RoundingRule="Nearest 0.95",MAX(0.95,CEILING(AE96,1)-0.05),IF(RoundingRule="Nearest 0.50",CEILING(AE96,0.5),IF(RoundingRule="Nearest 1",CEILING(AE96,1),IF(RoundingRule="Nearest 5",CEILING(AE96,5),IF(RoundingRule="Up to whole 1",CEILING(AE96,1),IF(RoundingRule="Up to whole 5",CEILING(AE96,5),ROUND(AE96,2))))))))),2)))</f>
        <v>0</v>
      </c>
      <c r="AG96" s="26">
        <f>IF(B96="","",ROUND(SUMIFS(Sales!$Y$5:$Y$1204,Sales!$I$5:$I$1204,A96,Sales!$H$5:$H$1204,"Retail"),2))</f>
        <v>0</v>
      </c>
      <c r="AH96" s="26">
        <f>IF(B96="","",ROUND(AG96-U96*IF(H96="",0,H96),2))</f>
        <v>0</v>
      </c>
      <c r="AI96" s="25">
        <f>IF(B96="","",COUNTIFS($AG$5:$AG$304,"&gt;"&amp;AG96)+COUNTIFS($AG$5:AG96,AG96))</f>
        <v>0</v>
      </c>
      <c r="AJ96" s="39">
        <f>IF(B96="","",IF(H96="","Add - no cost, no stock value",IF(Z96="Out of stock","Out of stock - order today",IF(Z96="Low stock","Order - running low",IF(IF(Q96="",FALSE,Q96&lt;=TodayDate+30),"Check - expiring within a month",IF(IF(R96="Yes",AD96&lt;0.25,FALSE),"Below - thin margin for a retail line",IF(IF(P96="",TRUE,TodayDate-P96&gt;90),"Due - not counted in three months","OK")))))))</f>
        <v>0</v>
      </c>
    </row>
    <row r="97" spans="1:36">
      <c r="A97" s="28">
        <f>IF(B97="","",ProductPrefix&amp;TEXT(ROW()-4,"000"))</f>
        <v>0</v>
      </c>
      <c r="T97" s="37">
        <f>IF(B97="","",ROUND(SUMIFS(Purchases!$U$5:$U$304,Purchases!$D$5:$D$304,A97),2))</f>
        <v>0</v>
      </c>
      <c r="U97" s="37">
        <f>IF(B97="","",ROUND(SUMIFS(Sales!$T$5:$T$1204,Sales!$I$5:$I$1204,A97,Sales!$H$5:$H$1204,"Retail"),2))</f>
        <v>0</v>
      </c>
      <c r="V97" s="37">
        <f>IF(B97="","",ROUND(IF(J97="",0,J97)+T97-IF(K97="",0,K97)-U97-IF(L97="",0,L97)+IF(M97="",0,M97),2))</f>
        <v>0</v>
      </c>
      <c r="W97" s="37">
        <f>IF(B97="","",ROUND((U97+IF(K97="",0,K97))/MAX(4,TrackingWeeks),2))</f>
        <v>0</v>
      </c>
      <c r="X97" s="37">
        <f>IF(B97="","",IF(W97&lt;=0,"",ROUND(V97/W97,1)))</f>
        <v>0</v>
      </c>
      <c r="Y97" s="37">
        <f>IF(B97="","",IF(N97&lt;&gt;"",N97,ROUND(W97*StockWarningWeeks,1)))</f>
        <v>0</v>
      </c>
      <c r="Z97" s="39">
        <f>IF(B97="","",IF(V97&lt;=0,"Out of stock",IF(V97&lt;=Y97,"Low stock",IF(R97="No","Backbar","In stock"))))</f>
        <v>0</v>
      </c>
      <c r="AA97" s="37">
        <f>IF(B97="","",IF(Z97="In stock","",IF(Z97="Backbar",IF(V97&lt;=Y97,MAX(1,IF(O97="",ROUND(W97*ReorderWeeks,0),O97)),""),MAX(1,IF(O97="",ROUND(W97*ReorderWeeks,0),O97)))))</f>
        <v>0</v>
      </c>
      <c r="AB97" s="26">
        <f>IF(B97="","",ROUND(V97*IF(H97="",0,H97),2))</f>
        <v>0</v>
      </c>
      <c r="AC97" s="26">
        <f>IF(B97="","",ROUND(V97*IF(I97="",0,I97),2))</f>
        <v>0</v>
      </c>
      <c r="AD97" s="27">
        <f>IF(B97="","",IF(IF(I97="",0,I97)=0,"",(I97-IF(H97="",0,H97))/I97))</f>
        <v>0</v>
      </c>
      <c r="AE97" s="26">
        <f>IF(B97="","",IF(H97="","",H97*RetailMarkup))</f>
        <v>0</v>
      </c>
      <c r="AF97" s="26">
        <f>IF(B97="","",IF(AE97="","",ROUND(IF(RoundingRule="None",AE97,IF(RoundingRule="Nearest 0.99",MAX(0.99,CEILING(AE97,1)-0.01),IF(RoundingRule="Nearest 0.95",MAX(0.95,CEILING(AE97,1)-0.05),IF(RoundingRule="Nearest 0.50",CEILING(AE97,0.5),IF(RoundingRule="Nearest 1",CEILING(AE97,1),IF(RoundingRule="Nearest 5",CEILING(AE97,5),IF(RoundingRule="Up to whole 1",CEILING(AE97,1),IF(RoundingRule="Up to whole 5",CEILING(AE97,5),ROUND(AE97,2))))))))),2)))</f>
        <v>0</v>
      </c>
      <c r="AG97" s="26">
        <f>IF(B97="","",ROUND(SUMIFS(Sales!$Y$5:$Y$1204,Sales!$I$5:$I$1204,A97,Sales!$H$5:$H$1204,"Retail"),2))</f>
        <v>0</v>
      </c>
      <c r="AH97" s="26">
        <f>IF(B97="","",ROUND(AG97-U97*IF(H97="",0,H97),2))</f>
        <v>0</v>
      </c>
      <c r="AI97" s="25">
        <f>IF(B97="","",COUNTIFS($AG$5:$AG$304,"&gt;"&amp;AG97)+COUNTIFS($AG$5:AG97,AG97))</f>
        <v>0</v>
      </c>
      <c r="AJ97" s="39">
        <f>IF(B97="","",IF(H97="","Add - no cost, no stock value",IF(Z97="Out of stock","Out of stock - order today",IF(Z97="Low stock","Order - running low",IF(IF(Q97="",FALSE,Q97&lt;=TodayDate+30),"Check - expiring within a month",IF(IF(R97="Yes",AD97&lt;0.25,FALSE),"Below - thin margin for a retail line",IF(IF(P97="",TRUE,TodayDate-P97&gt;90),"Due - not counted in three months","OK")))))))</f>
        <v>0</v>
      </c>
    </row>
    <row r="98" spans="1:36">
      <c r="A98" s="28">
        <f>IF(B98="","",ProductPrefix&amp;TEXT(ROW()-4,"000"))</f>
        <v>0</v>
      </c>
      <c r="T98" s="37">
        <f>IF(B98="","",ROUND(SUMIFS(Purchases!$U$5:$U$304,Purchases!$D$5:$D$304,A98),2))</f>
        <v>0</v>
      </c>
      <c r="U98" s="37">
        <f>IF(B98="","",ROUND(SUMIFS(Sales!$T$5:$T$1204,Sales!$I$5:$I$1204,A98,Sales!$H$5:$H$1204,"Retail"),2))</f>
        <v>0</v>
      </c>
      <c r="V98" s="37">
        <f>IF(B98="","",ROUND(IF(J98="",0,J98)+T98-IF(K98="",0,K98)-U98-IF(L98="",0,L98)+IF(M98="",0,M98),2))</f>
        <v>0</v>
      </c>
      <c r="W98" s="37">
        <f>IF(B98="","",ROUND((U98+IF(K98="",0,K98))/MAX(4,TrackingWeeks),2))</f>
        <v>0</v>
      </c>
      <c r="X98" s="37">
        <f>IF(B98="","",IF(W98&lt;=0,"",ROUND(V98/W98,1)))</f>
        <v>0</v>
      </c>
      <c r="Y98" s="37">
        <f>IF(B98="","",IF(N98&lt;&gt;"",N98,ROUND(W98*StockWarningWeeks,1)))</f>
        <v>0</v>
      </c>
      <c r="Z98" s="39">
        <f>IF(B98="","",IF(V98&lt;=0,"Out of stock",IF(V98&lt;=Y98,"Low stock",IF(R98="No","Backbar","In stock"))))</f>
        <v>0</v>
      </c>
      <c r="AA98" s="37">
        <f>IF(B98="","",IF(Z98="In stock","",IF(Z98="Backbar",IF(V98&lt;=Y98,MAX(1,IF(O98="",ROUND(W98*ReorderWeeks,0),O98)),""),MAX(1,IF(O98="",ROUND(W98*ReorderWeeks,0),O98)))))</f>
        <v>0</v>
      </c>
      <c r="AB98" s="26">
        <f>IF(B98="","",ROUND(V98*IF(H98="",0,H98),2))</f>
        <v>0</v>
      </c>
      <c r="AC98" s="26">
        <f>IF(B98="","",ROUND(V98*IF(I98="",0,I98),2))</f>
        <v>0</v>
      </c>
      <c r="AD98" s="27">
        <f>IF(B98="","",IF(IF(I98="",0,I98)=0,"",(I98-IF(H98="",0,H98))/I98))</f>
        <v>0</v>
      </c>
      <c r="AE98" s="26">
        <f>IF(B98="","",IF(H98="","",H98*RetailMarkup))</f>
        <v>0</v>
      </c>
      <c r="AF98" s="26">
        <f>IF(B98="","",IF(AE98="","",ROUND(IF(RoundingRule="None",AE98,IF(RoundingRule="Nearest 0.99",MAX(0.99,CEILING(AE98,1)-0.01),IF(RoundingRule="Nearest 0.95",MAX(0.95,CEILING(AE98,1)-0.05),IF(RoundingRule="Nearest 0.50",CEILING(AE98,0.5),IF(RoundingRule="Nearest 1",CEILING(AE98,1),IF(RoundingRule="Nearest 5",CEILING(AE98,5),IF(RoundingRule="Up to whole 1",CEILING(AE98,1),IF(RoundingRule="Up to whole 5",CEILING(AE98,5),ROUND(AE98,2))))))))),2)))</f>
        <v>0</v>
      </c>
      <c r="AG98" s="26">
        <f>IF(B98="","",ROUND(SUMIFS(Sales!$Y$5:$Y$1204,Sales!$I$5:$I$1204,A98,Sales!$H$5:$H$1204,"Retail"),2))</f>
        <v>0</v>
      </c>
      <c r="AH98" s="26">
        <f>IF(B98="","",ROUND(AG98-U98*IF(H98="",0,H98),2))</f>
        <v>0</v>
      </c>
      <c r="AI98" s="25">
        <f>IF(B98="","",COUNTIFS($AG$5:$AG$304,"&gt;"&amp;AG98)+COUNTIFS($AG$5:AG98,AG98))</f>
        <v>0</v>
      </c>
      <c r="AJ98" s="39">
        <f>IF(B98="","",IF(H98="","Add - no cost, no stock value",IF(Z98="Out of stock","Out of stock - order today",IF(Z98="Low stock","Order - running low",IF(IF(Q98="",FALSE,Q98&lt;=TodayDate+30),"Check - expiring within a month",IF(IF(R98="Yes",AD98&lt;0.25,FALSE),"Below - thin margin for a retail line",IF(IF(P98="",TRUE,TodayDate-P98&gt;90),"Due - not counted in three months","OK")))))))</f>
        <v>0</v>
      </c>
    </row>
    <row r="99" spans="1:36">
      <c r="A99" s="28">
        <f>IF(B99="","",ProductPrefix&amp;TEXT(ROW()-4,"000"))</f>
        <v>0</v>
      </c>
      <c r="T99" s="37">
        <f>IF(B99="","",ROUND(SUMIFS(Purchases!$U$5:$U$304,Purchases!$D$5:$D$304,A99),2))</f>
        <v>0</v>
      </c>
      <c r="U99" s="37">
        <f>IF(B99="","",ROUND(SUMIFS(Sales!$T$5:$T$1204,Sales!$I$5:$I$1204,A99,Sales!$H$5:$H$1204,"Retail"),2))</f>
        <v>0</v>
      </c>
      <c r="V99" s="37">
        <f>IF(B99="","",ROUND(IF(J99="",0,J99)+T99-IF(K99="",0,K99)-U99-IF(L99="",0,L99)+IF(M99="",0,M99),2))</f>
        <v>0</v>
      </c>
      <c r="W99" s="37">
        <f>IF(B99="","",ROUND((U99+IF(K99="",0,K99))/MAX(4,TrackingWeeks),2))</f>
        <v>0</v>
      </c>
      <c r="X99" s="37">
        <f>IF(B99="","",IF(W99&lt;=0,"",ROUND(V99/W99,1)))</f>
        <v>0</v>
      </c>
      <c r="Y99" s="37">
        <f>IF(B99="","",IF(N99&lt;&gt;"",N99,ROUND(W99*StockWarningWeeks,1)))</f>
        <v>0</v>
      </c>
      <c r="Z99" s="39">
        <f>IF(B99="","",IF(V99&lt;=0,"Out of stock",IF(V99&lt;=Y99,"Low stock",IF(R99="No","Backbar","In stock"))))</f>
        <v>0</v>
      </c>
      <c r="AA99" s="37">
        <f>IF(B99="","",IF(Z99="In stock","",IF(Z99="Backbar",IF(V99&lt;=Y99,MAX(1,IF(O99="",ROUND(W99*ReorderWeeks,0),O99)),""),MAX(1,IF(O99="",ROUND(W99*ReorderWeeks,0),O99)))))</f>
        <v>0</v>
      </c>
      <c r="AB99" s="26">
        <f>IF(B99="","",ROUND(V99*IF(H99="",0,H99),2))</f>
        <v>0</v>
      </c>
      <c r="AC99" s="26">
        <f>IF(B99="","",ROUND(V99*IF(I99="",0,I99),2))</f>
        <v>0</v>
      </c>
      <c r="AD99" s="27">
        <f>IF(B99="","",IF(IF(I99="",0,I99)=0,"",(I99-IF(H99="",0,H99))/I99))</f>
        <v>0</v>
      </c>
      <c r="AE99" s="26">
        <f>IF(B99="","",IF(H99="","",H99*RetailMarkup))</f>
        <v>0</v>
      </c>
      <c r="AF99" s="26">
        <f>IF(B99="","",IF(AE99="","",ROUND(IF(RoundingRule="None",AE99,IF(RoundingRule="Nearest 0.99",MAX(0.99,CEILING(AE99,1)-0.01),IF(RoundingRule="Nearest 0.95",MAX(0.95,CEILING(AE99,1)-0.05),IF(RoundingRule="Nearest 0.50",CEILING(AE99,0.5),IF(RoundingRule="Nearest 1",CEILING(AE99,1),IF(RoundingRule="Nearest 5",CEILING(AE99,5),IF(RoundingRule="Up to whole 1",CEILING(AE99,1),IF(RoundingRule="Up to whole 5",CEILING(AE99,5),ROUND(AE99,2))))))))),2)))</f>
        <v>0</v>
      </c>
      <c r="AG99" s="26">
        <f>IF(B99="","",ROUND(SUMIFS(Sales!$Y$5:$Y$1204,Sales!$I$5:$I$1204,A99,Sales!$H$5:$H$1204,"Retail"),2))</f>
        <v>0</v>
      </c>
      <c r="AH99" s="26">
        <f>IF(B99="","",ROUND(AG99-U99*IF(H99="",0,H99),2))</f>
        <v>0</v>
      </c>
      <c r="AI99" s="25">
        <f>IF(B99="","",COUNTIFS($AG$5:$AG$304,"&gt;"&amp;AG99)+COUNTIFS($AG$5:AG99,AG99))</f>
        <v>0</v>
      </c>
      <c r="AJ99" s="39">
        <f>IF(B99="","",IF(H99="","Add - no cost, no stock value",IF(Z99="Out of stock","Out of stock - order today",IF(Z99="Low stock","Order - running low",IF(IF(Q99="",FALSE,Q99&lt;=TodayDate+30),"Check - expiring within a month",IF(IF(R99="Yes",AD99&lt;0.25,FALSE),"Below - thin margin for a retail line",IF(IF(P99="",TRUE,TodayDate-P99&gt;90),"Due - not counted in three months","OK")))))))</f>
        <v>0</v>
      </c>
    </row>
    <row r="100" spans="1:36">
      <c r="A100" s="28">
        <f>IF(B100="","",ProductPrefix&amp;TEXT(ROW()-4,"000"))</f>
        <v>0</v>
      </c>
      <c r="T100" s="37">
        <f>IF(B100="","",ROUND(SUMIFS(Purchases!$U$5:$U$304,Purchases!$D$5:$D$304,A100),2))</f>
        <v>0</v>
      </c>
      <c r="U100" s="37">
        <f>IF(B100="","",ROUND(SUMIFS(Sales!$T$5:$T$1204,Sales!$I$5:$I$1204,A100,Sales!$H$5:$H$1204,"Retail"),2))</f>
        <v>0</v>
      </c>
      <c r="V100" s="37">
        <f>IF(B100="","",ROUND(IF(J100="",0,J100)+T100-IF(K100="",0,K100)-U100-IF(L100="",0,L100)+IF(M100="",0,M100),2))</f>
        <v>0</v>
      </c>
      <c r="W100" s="37">
        <f>IF(B100="","",ROUND((U100+IF(K100="",0,K100))/MAX(4,TrackingWeeks),2))</f>
        <v>0</v>
      </c>
      <c r="X100" s="37">
        <f>IF(B100="","",IF(W100&lt;=0,"",ROUND(V100/W100,1)))</f>
        <v>0</v>
      </c>
      <c r="Y100" s="37">
        <f>IF(B100="","",IF(N100&lt;&gt;"",N100,ROUND(W100*StockWarningWeeks,1)))</f>
        <v>0</v>
      </c>
      <c r="Z100" s="39">
        <f>IF(B100="","",IF(V100&lt;=0,"Out of stock",IF(V100&lt;=Y100,"Low stock",IF(R100="No","Backbar","In stock"))))</f>
        <v>0</v>
      </c>
      <c r="AA100" s="37">
        <f>IF(B100="","",IF(Z100="In stock","",IF(Z100="Backbar",IF(V100&lt;=Y100,MAX(1,IF(O100="",ROUND(W100*ReorderWeeks,0),O100)),""),MAX(1,IF(O100="",ROUND(W100*ReorderWeeks,0),O100)))))</f>
        <v>0</v>
      </c>
      <c r="AB100" s="26">
        <f>IF(B100="","",ROUND(V100*IF(H100="",0,H100),2))</f>
        <v>0</v>
      </c>
      <c r="AC100" s="26">
        <f>IF(B100="","",ROUND(V100*IF(I100="",0,I100),2))</f>
        <v>0</v>
      </c>
      <c r="AD100" s="27">
        <f>IF(B100="","",IF(IF(I100="",0,I100)=0,"",(I100-IF(H100="",0,H100))/I100))</f>
        <v>0</v>
      </c>
      <c r="AE100" s="26">
        <f>IF(B100="","",IF(H100="","",H100*RetailMarkup))</f>
        <v>0</v>
      </c>
      <c r="AF100" s="26">
        <f>IF(B100="","",IF(AE100="","",ROUND(IF(RoundingRule="None",AE100,IF(RoundingRule="Nearest 0.99",MAX(0.99,CEILING(AE100,1)-0.01),IF(RoundingRule="Nearest 0.95",MAX(0.95,CEILING(AE100,1)-0.05),IF(RoundingRule="Nearest 0.50",CEILING(AE100,0.5),IF(RoundingRule="Nearest 1",CEILING(AE100,1),IF(RoundingRule="Nearest 5",CEILING(AE100,5),IF(RoundingRule="Up to whole 1",CEILING(AE100,1),IF(RoundingRule="Up to whole 5",CEILING(AE100,5),ROUND(AE100,2))))))))),2)))</f>
        <v>0</v>
      </c>
      <c r="AG100" s="26">
        <f>IF(B100="","",ROUND(SUMIFS(Sales!$Y$5:$Y$1204,Sales!$I$5:$I$1204,A100,Sales!$H$5:$H$1204,"Retail"),2))</f>
        <v>0</v>
      </c>
      <c r="AH100" s="26">
        <f>IF(B100="","",ROUND(AG100-U100*IF(H100="",0,H100),2))</f>
        <v>0</v>
      </c>
      <c r="AI100" s="25">
        <f>IF(B100="","",COUNTIFS($AG$5:$AG$304,"&gt;"&amp;AG100)+COUNTIFS($AG$5:AG100,AG100))</f>
        <v>0</v>
      </c>
      <c r="AJ100" s="39">
        <f>IF(B100="","",IF(H100="","Add - no cost, no stock value",IF(Z100="Out of stock","Out of stock - order today",IF(Z100="Low stock","Order - running low",IF(IF(Q100="",FALSE,Q100&lt;=TodayDate+30),"Check - expiring within a month",IF(IF(R100="Yes",AD100&lt;0.25,FALSE),"Below - thin margin for a retail line",IF(IF(P100="",TRUE,TodayDate-P100&gt;90),"Due - not counted in three months","OK")))))))</f>
        <v>0</v>
      </c>
    </row>
    <row r="101" spans="1:36">
      <c r="A101" s="28">
        <f>IF(B101="","",ProductPrefix&amp;TEXT(ROW()-4,"000"))</f>
        <v>0</v>
      </c>
      <c r="T101" s="37">
        <f>IF(B101="","",ROUND(SUMIFS(Purchases!$U$5:$U$304,Purchases!$D$5:$D$304,A101),2))</f>
        <v>0</v>
      </c>
      <c r="U101" s="37">
        <f>IF(B101="","",ROUND(SUMIFS(Sales!$T$5:$T$1204,Sales!$I$5:$I$1204,A101,Sales!$H$5:$H$1204,"Retail"),2))</f>
        <v>0</v>
      </c>
      <c r="V101" s="37">
        <f>IF(B101="","",ROUND(IF(J101="",0,J101)+T101-IF(K101="",0,K101)-U101-IF(L101="",0,L101)+IF(M101="",0,M101),2))</f>
        <v>0</v>
      </c>
      <c r="W101" s="37">
        <f>IF(B101="","",ROUND((U101+IF(K101="",0,K101))/MAX(4,TrackingWeeks),2))</f>
        <v>0</v>
      </c>
      <c r="X101" s="37">
        <f>IF(B101="","",IF(W101&lt;=0,"",ROUND(V101/W101,1)))</f>
        <v>0</v>
      </c>
      <c r="Y101" s="37">
        <f>IF(B101="","",IF(N101&lt;&gt;"",N101,ROUND(W101*StockWarningWeeks,1)))</f>
        <v>0</v>
      </c>
      <c r="Z101" s="39">
        <f>IF(B101="","",IF(V101&lt;=0,"Out of stock",IF(V101&lt;=Y101,"Low stock",IF(R101="No","Backbar","In stock"))))</f>
        <v>0</v>
      </c>
      <c r="AA101" s="37">
        <f>IF(B101="","",IF(Z101="In stock","",IF(Z101="Backbar",IF(V101&lt;=Y101,MAX(1,IF(O101="",ROUND(W101*ReorderWeeks,0),O101)),""),MAX(1,IF(O101="",ROUND(W101*ReorderWeeks,0),O101)))))</f>
        <v>0</v>
      </c>
      <c r="AB101" s="26">
        <f>IF(B101="","",ROUND(V101*IF(H101="",0,H101),2))</f>
        <v>0</v>
      </c>
      <c r="AC101" s="26">
        <f>IF(B101="","",ROUND(V101*IF(I101="",0,I101),2))</f>
        <v>0</v>
      </c>
      <c r="AD101" s="27">
        <f>IF(B101="","",IF(IF(I101="",0,I101)=0,"",(I101-IF(H101="",0,H101))/I101))</f>
        <v>0</v>
      </c>
      <c r="AE101" s="26">
        <f>IF(B101="","",IF(H101="","",H101*RetailMarkup))</f>
        <v>0</v>
      </c>
      <c r="AF101" s="26">
        <f>IF(B101="","",IF(AE101="","",ROUND(IF(RoundingRule="None",AE101,IF(RoundingRule="Nearest 0.99",MAX(0.99,CEILING(AE101,1)-0.01),IF(RoundingRule="Nearest 0.95",MAX(0.95,CEILING(AE101,1)-0.05),IF(RoundingRule="Nearest 0.50",CEILING(AE101,0.5),IF(RoundingRule="Nearest 1",CEILING(AE101,1),IF(RoundingRule="Nearest 5",CEILING(AE101,5),IF(RoundingRule="Up to whole 1",CEILING(AE101,1),IF(RoundingRule="Up to whole 5",CEILING(AE101,5),ROUND(AE101,2))))))))),2)))</f>
        <v>0</v>
      </c>
      <c r="AG101" s="26">
        <f>IF(B101="","",ROUND(SUMIFS(Sales!$Y$5:$Y$1204,Sales!$I$5:$I$1204,A101,Sales!$H$5:$H$1204,"Retail"),2))</f>
        <v>0</v>
      </c>
      <c r="AH101" s="26">
        <f>IF(B101="","",ROUND(AG101-U101*IF(H101="",0,H101),2))</f>
        <v>0</v>
      </c>
      <c r="AI101" s="25">
        <f>IF(B101="","",COUNTIFS($AG$5:$AG$304,"&gt;"&amp;AG101)+COUNTIFS($AG$5:AG101,AG101))</f>
        <v>0</v>
      </c>
      <c r="AJ101" s="39">
        <f>IF(B101="","",IF(H101="","Add - no cost, no stock value",IF(Z101="Out of stock","Out of stock - order today",IF(Z101="Low stock","Order - running low",IF(IF(Q101="",FALSE,Q101&lt;=TodayDate+30),"Check - expiring within a month",IF(IF(R101="Yes",AD101&lt;0.25,FALSE),"Below - thin margin for a retail line",IF(IF(P101="",TRUE,TodayDate-P101&gt;90),"Due - not counted in three months","OK")))))))</f>
        <v>0</v>
      </c>
    </row>
    <row r="102" spans="1:36">
      <c r="A102" s="28">
        <f>IF(B102="","",ProductPrefix&amp;TEXT(ROW()-4,"000"))</f>
        <v>0</v>
      </c>
      <c r="T102" s="37">
        <f>IF(B102="","",ROUND(SUMIFS(Purchases!$U$5:$U$304,Purchases!$D$5:$D$304,A102),2))</f>
        <v>0</v>
      </c>
      <c r="U102" s="37">
        <f>IF(B102="","",ROUND(SUMIFS(Sales!$T$5:$T$1204,Sales!$I$5:$I$1204,A102,Sales!$H$5:$H$1204,"Retail"),2))</f>
        <v>0</v>
      </c>
      <c r="V102" s="37">
        <f>IF(B102="","",ROUND(IF(J102="",0,J102)+T102-IF(K102="",0,K102)-U102-IF(L102="",0,L102)+IF(M102="",0,M102),2))</f>
        <v>0</v>
      </c>
      <c r="W102" s="37">
        <f>IF(B102="","",ROUND((U102+IF(K102="",0,K102))/MAX(4,TrackingWeeks),2))</f>
        <v>0</v>
      </c>
      <c r="X102" s="37">
        <f>IF(B102="","",IF(W102&lt;=0,"",ROUND(V102/W102,1)))</f>
        <v>0</v>
      </c>
      <c r="Y102" s="37">
        <f>IF(B102="","",IF(N102&lt;&gt;"",N102,ROUND(W102*StockWarningWeeks,1)))</f>
        <v>0</v>
      </c>
      <c r="Z102" s="39">
        <f>IF(B102="","",IF(V102&lt;=0,"Out of stock",IF(V102&lt;=Y102,"Low stock",IF(R102="No","Backbar","In stock"))))</f>
        <v>0</v>
      </c>
      <c r="AA102" s="37">
        <f>IF(B102="","",IF(Z102="In stock","",IF(Z102="Backbar",IF(V102&lt;=Y102,MAX(1,IF(O102="",ROUND(W102*ReorderWeeks,0),O102)),""),MAX(1,IF(O102="",ROUND(W102*ReorderWeeks,0),O102)))))</f>
        <v>0</v>
      </c>
      <c r="AB102" s="26">
        <f>IF(B102="","",ROUND(V102*IF(H102="",0,H102),2))</f>
        <v>0</v>
      </c>
      <c r="AC102" s="26">
        <f>IF(B102="","",ROUND(V102*IF(I102="",0,I102),2))</f>
        <v>0</v>
      </c>
      <c r="AD102" s="27">
        <f>IF(B102="","",IF(IF(I102="",0,I102)=0,"",(I102-IF(H102="",0,H102))/I102))</f>
        <v>0</v>
      </c>
      <c r="AE102" s="26">
        <f>IF(B102="","",IF(H102="","",H102*RetailMarkup))</f>
        <v>0</v>
      </c>
      <c r="AF102" s="26">
        <f>IF(B102="","",IF(AE102="","",ROUND(IF(RoundingRule="None",AE102,IF(RoundingRule="Nearest 0.99",MAX(0.99,CEILING(AE102,1)-0.01),IF(RoundingRule="Nearest 0.95",MAX(0.95,CEILING(AE102,1)-0.05),IF(RoundingRule="Nearest 0.50",CEILING(AE102,0.5),IF(RoundingRule="Nearest 1",CEILING(AE102,1),IF(RoundingRule="Nearest 5",CEILING(AE102,5),IF(RoundingRule="Up to whole 1",CEILING(AE102,1),IF(RoundingRule="Up to whole 5",CEILING(AE102,5),ROUND(AE102,2))))))))),2)))</f>
        <v>0</v>
      </c>
      <c r="AG102" s="26">
        <f>IF(B102="","",ROUND(SUMIFS(Sales!$Y$5:$Y$1204,Sales!$I$5:$I$1204,A102,Sales!$H$5:$H$1204,"Retail"),2))</f>
        <v>0</v>
      </c>
      <c r="AH102" s="26">
        <f>IF(B102="","",ROUND(AG102-U102*IF(H102="",0,H102),2))</f>
        <v>0</v>
      </c>
      <c r="AI102" s="25">
        <f>IF(B102="","",COUNTIFS($AG$5:$AG$304,"&gt;"&amp;AG102)+COUNTIFS($AG$5:AG102,AG102))</f>
        <v>0</v>
      </c>
      <c r="AJ102" s="39">
        <f>IF(B102="","",IF(H102="","Add - no cost, no stock value",IF(Z102="Out of stock","Out of stock - order today",IF(Z102="Low stock","Order - running low",IF(IF(Q102="",FALSE,Q102&lt;=TodayDate+30),"Check - expiring within a month",IF(IF(R102="Yes",AD102&lt;0.25,FALSE),"Below - thin margin for a retail line",IF(IF(P102="",TRUE,TodayDate-P102&gt;90),"Due - not counted in three months","OK")))))))</f>
        <v>0</v>
      </c>
    </row>
    <row r="103" spans="1:36">
      <c r="A103" s="28">
        <f>IF(B103="","",ProductPrefix&amp;TEXT(ROW()-4,"000"))</f>
        <v>0</v>
      </c>
      <c r="T103" s="37">
        <f>IF(B103="","",ROUND(SUMIFS(Purchases!$U$5:$U$304,Purchases!$D$5:$D$304,A103),2))</f>
        <v>0</v>
      </c>
      <c r="U103" s="37">
        <f>IF(B103="","",ROUND(SUMIFS(Sales!$T$5:$T$1204,Sales!$I$5:$I$1204,A103,Sales!$H$5:$H$1204,"Retail"),2))</f>
        <v>0</v>
      </c>
      <c r="V103" s="37">
        <f>IF(B103="","",ROUND(IF(J103="",0,J103)+T103-IF(K103="",0,K103)-U103-IF(L103="",0,L103)+IF(M103="",0,M103),2))</f>
        <v>0</v>
      </c>
      <c r="W103" s="37">
        <f>IF(B103="","",ROUND((U103+IF(K103="",0,K103))/MAX(4,TrackingWeeks),2))</f>
        <v>0</v>
      </c>
      <c r="X103" s="37">
        <f>IF(B103="","",IF(W103&lt;=0,"",ROUND(V103/W103,1)))</f>
        <v>0</v>
      </c>
      <c r="Y103" s="37">
        <f>IF(B103="","",IF(N103&lt;&gt;"",N103,ROUND(W103*StockWarningWeeks,1)))</f>
        <v>0</v>
      </c>
      <c r="Z103" s="39">
        <f>IF(B103="","",IF(V103&lt;=0,"Out of stock",IF(V103&lt;=Y103,"Low stock",IF(R103="No","Backbar","In stock"))))</f>
        <v>0</v>
      </c>
      <c r="AA103" s="37">
        <f>IF(B103="","",IF(Z103="In stock","",IF(Z103="Backbar",IF(V103&lt;=Y103,MAX(1,IF(O103="",ROUND(W103*ReorderWeeks,0),O103)),""),MAX(1,IF(O103="",ROUND(W103*ReorderWeeks,0),O103)))))</f>
        <v>0</v>
      </c>
      <c r="AB103" s="26">
        <f>IF(B103="","",ROUND(V103*IF(H103="",0,H103),2))</f>
        <v>0</v>
      </c>
      <c r="AC103" s="26">
        <f>IF(B103="","",ROUND(V103*IF(I103="",0,I103),2))</f>
        <v>0</v>
      </c>
      <c r="AD103" s="27">
        <f>IF(B103="","",IF(IF(I103="",0,I103)=0,"",(I103-IF(H103="",0,H103))/I103))</f>
        <v>0</v>
      </c>
      <c r="AE103" s="26">
        <f>IF(B103="","",IF(H103="","",H103*RetailMarkup))</f>
        <v>0</v>
      </c>
      <c r="AF103" s="26">
        <f>IF(B103="","",IF(AE103="","",ROUND(IF(RoundingRule="None",AE103,IF(RoundingRule="Nearest 0.99",MAX(0.99,CEILING(AE103,1)-0.01),IF(RoundingRule="Nearest 0.95",MAX(0.95,CEILING(AE103,1)-0.05),IF(RoundingRule="Nearest 0.50",CEILING(AE103,0.5),IF(RoundingRule="Nearest 1",CEILING(AE103,1),IF(RoundingRule="Nearest 5",CEILING(AE103,5),IF(RoundingRule="Up to whole 1",CEILING(AE103,1),IF(RoundingRule="Up to whole 5",CEILING(AE103,5),ROUND(AE103,2))))))))),2)))</f>
        <v>0</v>
      </c>
      <c r="AG103" s="26">
        <f>IF(B103="","",ROUND(SUMIFS(Sales!$Y$5:$Y$1204,Sales!$I$5:$I$1204,A103,Sales!$H$5:$H$1204,"Retail"),2))</f>
        <v>0</v>
      </c>
      <c r="AH103" s="26">
        <f>IF(B103="","",ROUND(AG103-U103*IF(H103="",0,H103),2))</f>
        <v>0</v>
      </c>
      <c r="AI103" s="25">
        <f>IF(B103="","",COUNTIFS($AG$5:$AG$304,"&gt;"&amp;AG103)+COUNTIFS($AG$5:AG103,AG103))</f>
        <v>0</v>
      </c>
      <c r="AJ103" s="39">
        <f>IF(B103="","",IF(H103="","Add - no cost, no stock value",IF(Z103="Out of stock","Out of stock - order today",IF(Z103="Low stock","Order - running low",IF(IF(Q103="",FALSE,Q103&lt;=TodayDate+30),"Check - expiring within a month",IF(IF(R103="Yes",AD103&lt;0.25,FALSE),"Below - thin margin for a retail line",IF(IF(P103="",TRUE,TodayDate-P103&gt;90),"Due - not counted in three months","OK")))))))</f>
        <v>0</v>
      </c>
    </row>
    <row r="104" spans="1:36">
      <c r="A104" s="28">
        <f>IF(B104="","",ProductPrefix&amp;TEXT(ROW()-4,"000"))</f>
        <v>0</v>
      </c>
      <c r="T104" s="37">
        <f>IF(B104="","",ROUND(SUMIFS(Purchases!$U$5:$U$304,Purchases!$D$5:$D$304,A104),2))</f>
        <v>0</v>
      </c>
      <c r="U104" s="37">
        <f>IF(B104="","",ROUND(SUMIFS(Sales!$T$5:$T$1204,Sales!$I$5:$I$1204,A104,Sales!$H$5:$H$1204,"Retail"),2))</f>
        <v>0</v>
      </c>
      <c r="V104" s="37">
        <f>IF(B104="","",ROUND(IF(J104="",0,J104)+T104-IF(K104="",0,K104)-U104-IF(L104="",0,L104)+IF(M104="",0,M104),2))</f>
        <v>0</v>
      </c>
      <c r="W104" s="37">
        <f>IF(B104="","",ROUND((U104+IF(K104="",0,K104))/MAX(4,TrackingWeeks),2))</f>
        <v>0</v>
      </c>
      <c r="X104" s="37">
        <f>IF(B104="","",IF(W104&lt;=0,"",ROUND(V104/W104,1)))</f>
        <v>0</v>
      </c>
      <c r="Y104" s="37">
        <f>IF(B104="","",IF(N104&lt;&gt;"",N104,ROUND(W104*StockWarningWeeks,1)))</f>
        <v>0</v>
      </c>
      <c r="Z104" s="39">
        <f>IF(B104="","",IF(V104&lt;=0,"Out of stock",IF(V104&lt;=Y104,"Low stock",IF(R104="No","Backbar","In stock"))))</f>
        <v>0</v>
      </c>
      <c r="AA104" s="37">
        <f>IF(B104="","",IF(Z104="In stock","",IF(Z104="Backbar",IF(V104&lt;=Y104,MAX(1,IF(O104="",ROUND(W104*ReorderWeeks,0),O104)),""),MAX(1,IF(O104="",ROUND(W104*ReorderWeeks,0),O104)))))</f>
        <v>0</v>
      </c>
      <c r="AB104" s="26">
        <f>IF(B104="","",ROUND(V104*IF(H104="",0,H104),2))</f>
        <v>0</v>
      </c>
      <c r="AC104" s="26">
        <f>IF(B104="","",ROUND(V104*IF(I104="",0,I104),2))</f>
        <v>0</v>
      </c>
      <c r="AD104" s="27">
        <f>IF(B104="","",IF(IF(I104="",0,I104)=0,"",(I104-IF(H104="",0,H104))/I104))</f>
        <v>0</v>
      </c>
      <c r="AE104" s="26">
        <f>IF(B104="","",IF(H104="","",H104*RetailMarkup))</f>
        <v>0</v>
      </c>
      <c r="AF104" s="26">
        <f>IF(B104="","",IF(AE104="","",ROUND(IF(RoundingRule="None",AE104,IF(RoundingRule="Nearest 0.99",MAX(0.99,CEILING(AE104,1)-0.01),IF(RoundingRule="Nearest 0.95",MAX(0.95,CEILING(AE104,1)-0.05),IF(RoundingRule="Nearest 0.50",CEILING(AE104,0.5),IF(RoundingRule="Nearest 1",CEILING(AE104,1),IF(RoundingRule="Nearest 5",CEILING(AE104,5),IF(RoundingRule="Up to whole 1",CEILING(AE104,1),IF(RoundingRule="Up to whole 5",CEILING(AE104,5),ROUND(AE104,2))))))))),2)))</f>
        <v>0</v>
      </c>
      <c r="AG104" s="26">
        <f>IF(B104="","",ROUND(SUMIFS(Sales!$Y$5:$Y$1204,Sales!$I$5:$I$1204,A104,Sales!$H$5:$H$1204,"Retail"),2))</f>
        <v>0</v>
      </c>
      <c r="AH104" s="26">
        <f>IF(B104="","",ROUND(AG104-U104*IF(H104="",0,H104),2))</f>
        <v>0</v>
      </c>
      <c r="AI104" s="25">
        <f>IF(B104="","",COUNTIFS($AG$5:$AG$304,"&gt;"&amp;AG104)+COUNTIFS($AG$5:AG104,AG104))</f>
        <v>0</v>
      </c>
      <c r="AJ104" s="39">
        <f>IF(B104="","",IF(H104="","Add - no cost, no stock value",IF(Z104="Out of stock","Out of stock - order today",IF(Z104="Low stock","Order - running low",IF(IF(Q104="",FALSE,Q104&lt;=TodayDate+30),"Check - expiring within a month",IF(IF(R104="Yes",AD104&lt;0.25,FALSE),"Below - thin margin for a retail line",IF(IF(P104="",TRUE,TodayDate-P104&gt;90),"Due - not counted in three months","OK")))))))</f>
        <v>0</v>
      </c>
    </row>
    <row r="105" spans="1:36">
      <c r="A105" s="28">
        <f>IF(B105="","",ProductPrefix&amp;TEXT(ROW()-4,"000"))</f>
        <v>0</v>
      </c>
      <c r="T105" s="37">
        <f>IF(B105="","",ROUND(SUMIFS(Purchases!$U$5:$U$304,Purchases!$D$5:$D$304,A105),2))</f>
        <v>0</v>
      </c>
      <c r="U105" s="37">
        <f>IF(B105="","",ROUND(SUMIFS(Sales!$T$5:$T$1204,Sales!$I$5:$I$1204,A105,Sales!$H$5:$H$1204,"Retail"),2))</f>
        <v>0</v>
      </c>
      <c r="V105" s="37">
        <f>IF(B105="","",ROUND(IF(J105="",0,J105)+T105-IF(K105="",0,K105)-U105-IF(L105="",0,L105)+IF(M105="",0,M105),2))</f>
        <v>0</v>
      </c>
      <c r="W105" s="37">
        <f>IF(B105="","",ROUND((U105+IF(K105="",0,K105))/MAX(4,TrackingWeeks),2))</f>
        <v>0</v>
      </c>
      <c r="X105" s="37">
        <f>IF(B105="","",IF(W105&lt;=0,"",ROUND(V105/W105,1)))</f>
        <v>0</v>
      </c>
      <c r="Y105" s="37">
        <f>IF(B105="","",IF(N105&lt;&gt;"",N105,ROUND(W105*StockWarningWeeks,1)))</f>
        <v>0</v>
      </c>
      <c r="Z105" s="39">
        <f>IF(B105="","",IF(V105&lt;=0,"Out of stock",IF(V105&lt;=Y105,"Low stock",IF(R105="No","Backbar","In stock"))))</f>
        <v>0</v>
      </c>
      <c r="AA105" s="37">
        <f>IF(B105="","",IF(Z105="In stock","",IF(Z105="Backbar",IF(V105&lt;=Y105,MAX(1,IF(O105="",ROUND(W105*ReorderWeeks,0),O105)),""),MAX(1,IF(O105="",ROUND(W105*ReorderWeeks,0),O105)))))</f>
        <v>0</v>
      </c>
      <c r="AB105" s="26">
        <f>IF(B105="","",ROUND(V105*IF(H105="",0,H105),2))</f>
        <v>0</v>
      </c>
      <c r="AC105" s="26">
        <f>IF(B105="","",ROUND(V105*IF(I105="",0,I105),2))</f>
        <v>0</v>
      </c>
      <c r="AD105" s="27">
        <f>IF(B105="","",IF(IF(I105="",0,I105)=0,"",(I105-IF(H105="",0,H105))/I105))</f>
        <v>0</v>
      </c>
      <c r="AE105" s="26">
        <f>IF(B105="","",IF(H105="","",H105*RetailMarkup))</f>
        <v>0</v>
      </c>
      <c r="AF105" s="26">
        <f>IF(B105="","",IF(AE105="","",ROUND(IF(RoundingRule="None",AE105,IF(RoundingRule="Nearest 0.99",MAX(0.99,CEILING(AE105,1)-0.01),IF(RoundingRule="Nearest 0.95",MAX(0.95,CEILING(AE105,1)-0.05),IF(RoundingRule="Nearest 0.50",CEILING(AE105,0.5),IF(RoundingRule="Nearest 1",CEILING(AE105,1),IF(RoundingRule="Nearest 5",CEILING(AE105,5),IF(RoundingRule="Up to whole 1",CEILING(AE105,1),IF(RoundingRule="Up to whole 5",CEILING(AE105,5),ROUND(AE105,2))))))))),2)))</f>
        <v>0</v>
      </c>
      <c r="AG105" s="26">
        <f>IF(B105="","",ROUND(SUMIFS(Sales!$Y$5:$Y$1204,Sales!$I$5:$I$1204,A105,Sales!$H$5:$H$1204,"Retail"),2))</f>
        <v>0</v>
      </c>
      <c r="AH105" s="26">
        <f>IF(B105="","",ROUND(AG105-U105*IF(H105="",0,H105),2))</f>
        <v>0</v>
      </c>
      <c r="AI105" s="25">
        <f>IF(B105="","",COUNTIFS($AG$5:$AG$304,"&gt;"&amp;AG105)+COUNTIFS($AG$5:AG105,AG105))</f>
        <v>0</v>
      </c>
      <c r="AJ105" s="39">
        <f>IF(B105="","",IF(H105="","Add - no cost, no stock value",IF(Z105="Out of stock","Out of stock - order today",IF(Z105="Low stock","Order - running low",IF(IF(Q105="",FALSE,Q105&lt;=TodayDate+30),"Check - expiring within a month",IF(IF(R105="Yes",AD105&lt;0.25,FALSE),"Below - thin margin for a retail line",IF(IF(P105="",TRUE,TodayDate-P105&gt;90),"Due - not counted in three months","OK")))))))</f>
        <v>0</v>
      </c>
    </row>
    <row r="106" spans="1:36">
      <c r="A106" s="28">
        <f>IF(B106="","",ProductPrefix&amp;TEXT(ROW()-4,"000"))</f>
        <v>0</v>
      </c>
      <c r="T106" s="37">
        <f>IF(B106="","",ROUND(SUMIFS(Purchases!$U$5:$U$304,Purchases!$D$5:$D$304,A106),2))</f>
        <v>0</v>
      </c>
      <c r="U106" s="37">
        <f>IF(B106="","",ROUND(SUMIFS(Sales!$T$5:$T$1204,Sales!$I$5:$I$1204,A106,Sales!$H$5:$H$1204,"Retail"),2))</f>
        <v>0</v>
      </c>
      <c r="V106" s="37">
        <f>IF(B106="","",ROUND(IF(J106="",0,J106)+T106-IF(K106="",0,K106)-U106-IF(L106="",0,L106)+IF(M106="",0,M106),2))</f>
        <v>0</v>
      </c>
      <c r="W106" s="37">
        <f>IF(B106="","",ROUND((U106+IF(K106="",0,K106))/MAX(4,TrackingWeeks),2))</f>
        <v>0</v>
      </c>
      <c r="X106" s="37">
        <f>IF(B106="","",IF(W106&lt;=0,"",ROUND(V106/W106,1)))</f>
        <v>0</v>
      </c>
      <c r="Y106" s="37">
        <f>IF(B106="","",IF(N106&lt;&gt;"",N106,ROUND(W106*StockWarningWeeks,1)))</f>
        <v>0</v>
      </c>
      <c r="Z106" s="39">
        <f>IF(B106="","",IF(V106&lt;=0,"Out of stock",IF(V106&lt;=Y106,"Low stock",IF(R106="No","Backbar","In stock"))))</f>
        <v>0</v>
      </c>
      <c r="AA106" s="37">
        <f>IF(B106="","",IF(Z106="In stock","",IF(Z106="Backbar",IF(V106&lt;=Y106,MAX(1,IF(O106="",ROUND(W106*ReorderWeeks,0),O106)),""),MAX(1,IF(O106="",ROUND(W106*ReorderWeeks,0),O106)))))</f>
        <v>0</v>
      </c>
      <c r="AB106" s="26">
        <f>IF(B106="","",ROUND(V106*IF(H106="",0,H106),2))</f>
        <v>0</v>
      </c>
      <c r="AC106" s="26">
        <f>IF(B106="","",ROUND(V106*IF(I106="",0,I106),2))</f>
        <v>0</v>
      </c>
      <c r="AD106" s="27">
        <f>IF(B106="","",IF(IF(I106="",0,I106)=0,"",(I106-IF(H106="",0,H106))/I106))</f>
        <v>0</v>
      </c>
      <c r="AE106" s="26">
        <f>IF(B106="","",IF(H106="","",H106*RetailMarkup))</f>
        <v>0</v>
      </c>
      <c r="AF106" s="26">
        <f>IF(B106="","",IF(AE106="","",ROUND(IF(RoundingRule="None",AE106,IF(RoundingRule="Nearest 0.99",MAX(0.99,CEILING(AE106,1)-0.01),IF(RoundingRule="Nearest 0.95",MAX(0.95,CEILING(AE106,1)-0.05),IF(RoundingRule="Nearest 0.50",CEILING(AE106,0.5),IF(RoundingRule="Nearest 1",CEILING(AE106,1),IF(RoundingRule="Nearest 5",CEILING(AE106,5),IF(RoundingRule="Up to whole 1",CEILING(AE106,1),IF(RoundingRule="Up to whole 5",CEILING(AE106,5),ROUND(AE106,2))))))))),2)))</f>
        <v>0</v>
      </c>
      <c r="AG106" s="26">
        <f>IF(B106="","",ROUND(SUMIFS(Sales!$Y$5:$Y$1204,Sales!$I$5:$I$1204,A106,Sales!$H$5:$H$1204,"Retail"),2))</f>
        <v>0</v>
      </c>
      <c r="AH106" s="26">
        <f>IF(B106="","",ROUND(AG106-U106*IF(H106="",0,H106),2))</f>
        <v>0</v>
      </c>
      <c r="AI106" s="25">
        <f>IF(B106="","",COUNTIFS($AG$5:$AG$304,"&gt;"&amp;AG106)+COUNTIFS($AG$5:AG106,AG106))</f>
        <v>0</v>
      </c>
      <c r="AJ106" s="39">
        <f>IF(B106="","",IF(H106="","Add - no cost, no stock value",IF(Z106="Out of stock","Out of stock - order today",IF(Z106="Low stock","Order - running low",IF(IF(Q106="",FALSE,Q106&lt;=TodayDate+30),"Check - expiring within a month",IF(IF(R106="Yes",AD106&lt;0.25,FALSE),"Below - thin margin for a retail line",IF(IF(P106="",TRUE,TodayDate-P106&gt;90),"Due - not counted in three months","OK")))))))</f>
        <v>0</v>
      </c>
    </row>
    <row r="107" spans="1:36">
      <c r="A107" s="28">
        <f>IF(B107="","",ProductPrefix&amp;TEXT(ROW()-4,"000"))</f>
        <v>0</v>
      </c>
      <c r="T107" s="37">
        <f>IF(B107="","",ROUND(SUMIFS(Purchases!$U$5:$U$304,Purchases!$D$5:$D$304,A107),2))</f>
        <v>0</v>
      </c>
      <c r="U107" s="37">
        <f>IF(B107="","",ROUND(SUMIFS(Sales!$T$5:$T$1204,Sales!$I$5:$I$1204,A107,Sales!$H$5:$H$1204,"Retail"),2))</f>
        <v>0</v>
      </c>
      <c r="V107" s="37">
        <f>IF(B107="","",ROUND(IF(J107="",0,J107)+T107-IF(K107="",0,K107)-U107-IF(L107="",0,L107)+IF(M107="",0,M107),2))</f>
        <v>0</v>
      </c>
      <c r="W107" s="37">
        <f>IF(B107="","",ROUND((U107+IF(K107="",0,K107))/MAX(4,TrackingWeeks),2))</f>
        <v>0</v>
      </c>
      <c r="X107" s="37">
        <f>IF(B107="","",IF(W107&lt;=0,"",ROUND(V107/W107,1)))</f>
        <v>0</v>
      </c>
      <c r="Y107" s="37">
        <f>IF(B107="","",IF(N107&lt;&gt;"",N107,ROUND(W107*StockWarningWeeks,1)))</f>
        <v>0</v>
      </c>
      <c r="Z107" s="39">
        <f>IF(B107="","",IF(V107&lt;=0,"Out of stock",IF(V107&lt;=Y107,"Low stock",IF(R107="No","Backbar","In stock"))))</f>
        <v>0</v>
      </c>
      <c r="AA107" s="37">
        <f>IF(B107="","",IF(Z107="In stock","",IF(Z107="Backbar",IF(V107&lt;=Y107,MAX(1,IF(O107="",ROUND(W107*ReorderWeeks,0),O107)),""),MAX(1,IF(O107="",ROUND(W107*ReorderWeeks,0),O107)))))</f>
        <v>0</v>
      </c>
      <c r="AB107" s="26">
        <f>IF(B107="","",ROUND(V107*IF(H107="",0,H107),2))</f>
        <v>0</v>
      </c>
      <c r="AC107" s="26">
        <f>IF(B107="","",ROUND(V107*IF(I107="",0,I107),2))</f>
        <v>0</v>
      </c>
      <c r="AD107" s="27">
        <f>IF(B107="","",IF(IF(I107="",0,I107)=0,"",(I107-IF(H107="",0,H107))/I107))</f>
        <v>0</v>
      </c>
      <c r="AE107" s="26">
        <f>IF(B107="","",IF(H107="","",H107*RetailMarkup))</f>
        <v>0</v>
      </c>
      <c r="AF107" s="26">
        <f>IF(B107="","",IF(AE107="","",ROUND(IF(RoundingRule="None",AE107,IF(RoundingRule="Nearest 0.99",MAX(0.99,CEILING(AE107,1)-0.01),IF(RoundingRule="Nearest 0.95",MAX(0.95,CEILING(AE107,1)-0.05),IF(RoundingRule="Nearest 0.50",CEILING(AE107,0.5),IF(RoundingRule="Nearest 1",CEILING(AE107,1),IF(RoundingRule="Nearest 5",CEILING(AE107,5),IF(RoundingRule="Up to whole 1",CEILING(AE107,1),IF(RoundingRule="Up to whole 5",CEILING(AE107,5),ROUND(AE107,2))))))))),2)))</f>
        <v>0</v>
      </c>
      <c r="AG107" s="26">
        <f>IF(B107="","",ROUND(SUMIFS(Sales!$Y$5:$Y$1204,Sales!$I$5:$I$1204,A107,Sales!$H$5:$H$1204,"Retail"),2))</f>
        <v>0</v>
      </c>
      <c r="AH107" s="26">
        <f>IF(B107="","",ROUND(AG107-U107*IF(H107="",0,H107),2))</f>
        <v>0</v>
      </c>
      <c r="AI107" s="25">
        <f>IF(B107="","",COUNTIFS($AG$5:$AG$304,"&gt;"&amp;AG107)+COUNTIFS($AG$5:AG107,AG107))</f>
        <v>0</v>
      </c>
      <c r="AJ107" s="39">
        <f>IF(B107="","",IF(H107="","Add - no cost, no stock value",IF(Z107="Out of stock","Out of stock - order today",IF(Z107="Low stock","Order - running low",IF(IF(Q107="",FALSE,Q107&lt;=TodayDate+30),"Check - expiring within a month",IF(IF(R107="Yes",AD107&lt;0.25,FALSE),"Below - thin margin for a retail line",IF(IF(P107="",TRUE,TodayDate-P107&gt;90),"Due - not counted in three months","OK")))))))</f>
        <v>0</v>
      </c>
    </row>
    <row r="108" spans="1:36">
      <c r="A108" s="28">
        <f>IF(B108="","",ProductPrefix&amp;TEXT(ROW()-4,"000"))</f>
        <v>0</v>
      </c>
      <c r="T108" s="37">
        <f>IF(B108="","",ROUND(SUMIFS(Purchases!$U$5:$U$304,Purchases!$D$5:$D$304,A108),2))</f>
        <v>0</v>
      </c>
      <c r="U108" s="37">
        <f>IF(B108="","",ROUND(SUMIFS(Sales!$T$5:$T$1204,Sales!$I$5:$I$1204,A108,Sales!$H$5:$H$1204,"Retail"),2))</f>
        <v>0</v>
      </c>
      <c r="V108" s="37">
        <f>IF(B108="","",ROUND(IF(J108="",0,J108)+T108-IF(K108="",0,K108)-U108-IF(L108="",0,L108)+IF(M108="",0,M108),2))</f>
        <v>0</v>
      </c>
      <c r="W108" s="37">
        <f>IF(B108="","",ROUND((U108+IF(K108="",0,K108))/MAX(4,TrackingWeeks),2))</f>
        <v>0</v>
      </c>
      <c r="X108" s="37">
        <f>IF(B108="","",IF(W108&lt;=0,"",ROUND(V108/W108,1)))</f>
        <v>0</v>
      </c>
      <c r="Y108" s="37">
        <f>IF(B108="","",IF(N108&lt;&gt;"",N108,ROUND(W108*StockWarningWeeks,1)))</f>
        <v>0</v>
      </c>
      <c r="Z108" s="39">
        <f>IF(B108="","",IF(V108&lt;=0,"Out of stock",IF(V108&lt;=Y108,"Low stock",IF(R108="No","Backbar","In stock"))))</f>
        <v>0</v>
      </c>
      <c r="AA108" s="37">
        <f>IF(B108="","",IF(Z108="In stock","",IF(Z108="Backbar",IF(V108&lt;=Y108,MAX(1,IF(O108="",ROUND(W108*ReorderWeeks,0),O108)),""),MAX(1,IF(O108="",ROUND(W108*ReorderWeeks,0),O108)))))</f>
        <v>0</v>
      </c>
      <c r="AB108" s="26">
        <f>IF(B108="","",ROUND(V108*IF(H108="",0,H108),2))</f>
        <v>0</v>
      </c>
      <c r="AC108" s="26">
        <f>IF(B108="","",ROUND(V108*IF(I108="",0,I108),2))</f>
        <v>0</v>
      </c>
      <c r="AD108" s="27">
        <f>IF(B108="","",IF(IF(I108="",0,I108)=0,"",(I108-IF(H108="",0,H108))/I108))</f>
        <v>0</v>
      </c>
      <c r="AE108" s="26">
        <f>IF(B108="","",IF(H108="","",H108*RetailMarkup))</f>
        <v>0</v>
      </c>
      <c r="AF108" s="26">
        <f>IF(B108="","",IF(AE108="","",ROUND(IF(RoundingRule="None",AE108,IF(RoundingRule="Nearest 0.99",MAX(0.99,CEILING(AE108,1)-0.01),IF(RoundingRule="Nearest 0.95",MAX(0.95,CEILING(AE108,1)-0.05),IF(RoundingRule="Nearest 0.50",CEILING(AE108,0.5),IF(RoundingRule="Nearest 1",CEILING(AE108,1),IF(RoundingRule="Nearest 5",CEILING(AE108,5),IF(RoundingRule="Up to whole 1",CEILING(AE108,1),IF(RoundingRule="Up to whole 5",CEILING(AE108,5),ROUND(AE108,2))))))))),2)))</f>
        <v>0</v>
      </c>
      <c r="AG108" s="26">
        <f>IF(B108="","",ROUND(SUMIFS(Sales!$Y$5:$Y$1204,Sales!$I$5:$I$1204,A108,Sales!$H$5:$H$1204,"Retail"),2))</f>
        <v>0</v>
      </c>
      <c r="AH108" s="26">
        <f>IF(B108="","",ROUND(AG108-U108*IF(H108="",0,H108),2))</f>
        <v>0</v>
      </c>
      <c r="AI108" s="25">
        <f>IF(B108="","",COUNTIFS($AG$5:$AG$304,"&gt;"&amp;AG108)+COUNTIFS($AG$5:AG108,AG108))</f>
        <v>0</v>
      </c>
      <c r="AJ108" s="39">
        <f>IF(B108="","",IF(H108="","Add - no cost, no stock value",IF(Z108="Out of stock","Out of stock - order today",IF(Z108="Low stock","Order - running low",IF(IF(Q108="",FALSE,Q108&lt;=TodayDate+30),"Check - expiring within a month",IF(IF(R108="Yes",AD108&lt;0.25,FALSE),"Below - thin margin for a retail line",IF(IF(P108="",TRUE,TodayDate-P108&gt;90),"Due - not counted in three months","OK")))))))</f>
        <v>0</v>
      </c>
    </row>
    <row r="109" spans="1:36">
      <c r="A109" s="28">
        <f>IF(B109="","",ProductPrefix&amp;TEXT(ROW()-4,"000"))</f>
        <v>0</v>
      </c>
      <c r="T109" s="37">
        <f>IF(B109="","",ROUND(SUMIFS(Purchases!$U$5:$U$304,Purchases!$D$5:$D$304,A109),2))</f>
        <v>0</v>
      </c>
      <c r="U109" s="37">
        <f>IF(B109="","",ROUND(SUMIFS(Sales!$T$5:$T$1204,Sales!$I$5:$I$1204,A109,Sales!$H$5:$H$1204,"Retail"),2))</f>
        <v>0</v>
      </c>
      <c r="V109" s="37">
        <f>IF(B109="","",ROUND(IF(J109="",0,J109)+T109-IF(K109="",0,K109)-U109-IF(L109="",0,L109)+IF(M109="",0,M109),2))</f>
        <v>0</v>
      </c>
      <c r="W109" s="37">
        <f>IF(B109="","",ROUND((U109+IF(K109="",0,K109))/MAX(4,TrackingWeeks),2))</f>
        <v>0</v>
      </c>
      <c r="X109" s="37">
        <f>IF(B109="","",IF(W109&lt;=0,"",ROUND(V109/W109,1)))</f>
        <v>0</v>
      </c>
      <c r="Y109" s="37">
        <f>IF(B109="","",IF(N109&lt;&gt;"",N109,ROUND(W109*StockWarningWeeks,1)))</f>
        <v>0</v>
      </c>
      <c r="Z109" s="39">
        <f>IF(B109="","",IF(V109&lt;=0,"Out of stock",IF(V109&lt;=Y109,"Low stock",IF(R109="No","Backbar","In stock"))))</f>
        <v>0</v>
      </c>
      <c r="AA109" s="37">
        <f>IF(B109="","",IF(Z109="In stock","",IF(Z109="Backbar",IF(V109&lt;=Y109,MAX(1,IF(O109="",ROUND(W109*ReorderWeeks,0),O109)),""),MAX(1,IF(O109="",ROUND(W109*ReorderWeeks,0),O109)))))</f>
        <v>0</v>
      </c>
      <c r="AB109" s="26">
        <f>IF(B109="","",ROUND(V109*IF(H109="",0,H109),2))</f>
        <v>0</v>
      </c>
      <c r="AC109" s="26">
        <f>IF(B109="","",ROUND(V109*IF(I109="",0,I109),2))</f>
        <v>0</v>
      </c>
      <c r="AD109" s="27">
        <f>IF(B109="","",IF(IF(I109="",0,I109)=0,"",(I109-IF(H109="",0,H109))/I109))</f>
        <v>0</v>
      </c>
      <c r="AE109" s="26">
        <f>IF(B109="","",IF(H109="","",H109*RetailMarkup))</f>
        <v>0</v>
      </c>
      <c r="AF109" s="26">
        <f>IF(B109="","",IF(AE109="","",ROUND(IF(RoundingRule="None",AE109,IF(RoundingRule="Nearest 0.99",MAX(0.99,CEILING(AE109,1)-0.01),IF(RoundingRule="Nearest 0.95",MAX(0.95,CEILING(AE109,1)-0.05),IF(RoundingRule="Nearest 0.50",CEILING(AE109,0.5),IF(RoundingRule="Nearest 1",CEILING(AE109,1),IF(RoundingRule="Nearest 5",CEILING(AE109,5),IF(RoundingRule="Up to whole 1",CEILING(AE109,1),IF(RoundingRule="Up to whole 5",CEILING(AE109,5),ROUND(AE109,2))))))))),2)))</f>
        <v>0</v>
      </c>
      <c r="AG109" s="26">
        <f>IF(B109="","",ROUND(SUMIFS(Sales!$Y$5:$Y$1204,Sales!$I$5:$I$1204,A109,Sales!$H$5:$H$1204,"Retail"),2))</f>
        <v>0</v>
      </c>
      <c r="AH109" s="26">
        <f>IF(B109="","",ROUND(AG109-U109*IF(H109="",0,H109),2))</f>
        <v>0</v>
      </c>
      <c r="AI109" s="25">
        <f>IF(B109="","",COUNTIFS($AG$5:$AG$304,"&gt;"&amp;AG109)+COUNTIFS($AG$5:AG109,AG109))</f>
        <v>0</v>
      </c>
      <c r="AJ109" s="39">
        <f>IF(B109="","",IF(H109="","Add - no cost, no stock value",IF(Z109="Out of stock","Out of stock - order today",IF(Z109="Low stock","Order - running low",IF(IF(Q109="",FALSE,Q109&lt;=TodayDate+30),"Check - expiring within a month",IF(IF(R109="Yes",AD109&lt;0.25,FALSE),"Below - thin margin for a retail line",IF(IF(P109="",TRUE,TodayDate-P109&gt;90),"Due - not counted in three months","OK")))))))</f>
        <v>0</v>
      </c>
    </row>
    <row r="110" spans="1:36">
      <c r="A110" s="28">
        <f>IF(B110="","",ProductPrefix&amp;TEXT(ROW()-4,"000"))</f>
        <v>0</v>
      </c>
      <c r="T110" s="37">
        <f>IF(B110="","",ROUND(SUMIFS(Purchases!$U$5:$U$304,Purchases!$D$5:$D$304,A110),2))</f>
        <v>0</v>
      </c>
      <c r="U110" s="37">
        <f>IF(B110="","",ROUND(SUMIFS(Sales!$T$5:$T$1204,Sales!$I$5:$I$1204,A110,Sales!$H$5:$H$1204,"Retail"),2))</f>
        <v>0</v>
      </c>
      <c r="V110" s="37">
        <f>IF(B110="","",ROUND(IF(J110="",0,J110)+T110-IF(K110="",0,K110)-U110-IF(L110="",0,L110)+IF(M110="",0,M110),2))</f>
        <v>0</v>
      </c>
      <c r="W110" s="37">
        <f>IF(B110="","",ROUND((U110+IF(K110="",0,K110))/MAX(4,TrackingWeeks),2))</f>
        <v>0</v>
      </c>
      <c r="X110" s="37">
        <f>IF(B110="","",IF(W110&lt;=0,"",ROUND(V110/W110,1)))</f>
        <v>0</v>
      </c>
      <c r="Y110" s="37">
        <f>IF(B110="","",IF(N110&lt;&gt;"",N110,ROUND(W110*StockWarningWeeks,1)))</f>
        <v>0</v>
      </c>
      <c r="Z110" s="39">
        <f>IF(B110="","",IF(V110&lt;=0,"Out of stock",IF(V110&lt;=Y110,"Low stock",IF(R110="No","Backbar","In stock"))))</f>
        <v>0</v>
      </c>
      <c r="AA110" s="37">
        <f>IF(B110="","",IF(Z110="In stock","",IF(Z110="Backbar",IF(V110&lt;=Y110,MAX(1,IF(O110="",ROUND(W110*ReorderWeeks,0),O110)),""),MAX(1,IF(O110="",ROUND(W110*ReorderWeeks,0),O110)))))</f>
        <v>0</v>
      </c>
      <c r="AB110" s="26">
        <f>IF(B110="","",ROUND(V110*IF(H110="",0,H110),2))</f>
        <v>0</v>
      </c>
      <c r="AC110" s="26">
        <f>IF(B110="","",ROUND(V110*IF(I110="",0,I110),2))</f>
        <v>0</v>
      </c>
      <c r="AD110" s="27">
        <f>IF(B110="","",IF(IF(I110="",0,I110)=0,"",(I110-IF(H110="",0,H110))/I110))</f>
        <v>0</v>
      </c>
      <c r="AE110" s="26">
        <f>IF(B110="","",IF(H110="","",H110*RetailMarkup))</f>
        <v>0</v>
      </c>
      <c r="AF110" s="26">
        <f>IF(B110="","",IF(AE110="","",ROUND(IF(RoundingRule="None",AE110,IF(RoundingRule="Nearest 0.99",MAX(0.99,CEILING(AE110,1)-0.01),IF(RoundingRule="Nearest 0.95",MAX(0.95,CEILING(AE110,1)-0.05),IF(RoundingRule="Nearest 0.50",CEILING(AE110,0.5),IF(RoundingRule="Nearest 1",CEILING(AE110,1),IF(RoundingRule="Nearest 5",CEILING(AE110,5),IF(RoundingRule="Up to whole 1",CEILING(AE110,1),IF(RoundingRule="Up to whole 5",CEILING(AE110,5),ROUND(AE110,2))))))))),2)))</f>
        <v>0</v>
      </c>
      <c r="AG110" s="26">
        <f>IF(B110="","",ROUND(SUMIFS(Sales!$Y$5:$Y$1204,Sales!$I$5:$I$1204,A110,Sales!$H$5:$H$1204,"Retail"),2))</f>
        <v>0</v>
      </c>
      <c r="AH110" s="26">
        <f>IF(B110="","",ROUND(AG110-U110*IF(H110="",0,H110),2))</f>
        <v>0</v>
      </c>
      <c r="AI110" s="25">
        <f>IF(B110="","",COUNTIFS($AG$5:$AG$304,"&gt;"&amp;AG110)+COUNTIFS($AG$5:AG110,AG110))</f>
        <v>0</v>
      </c>
      <c r="AJ110" s="39">
        <f>IF(B110="","",IF(H110="","Add - no cost, no stock value",IF(Z110="Out of stock","Out of stock - order today",IF(Z110="Low stock","Order - running low",IF(IF(Q110="",FALSE,Q110&lt;=TodayDate+30),"Check - expiring within a month",IF(IF(R110="Yes",AD110&lt;0.25,FALSE),"Below - thin margin for a retail line",IF(IF(P110="",TRUE,TodayDate-P110&gt;90),"Due - not counted in three months","OK")))))))</f>
        <v>0</v>
      </c>
    </row>
    <row r="111" spans="1:36">
      <c r="A111" s="28">
        <f>IF(B111="","",ProductPrefix&amp;TEXT(ROW()-4,"000"))</f>
        <v>0</v>
      </c>
      <c r="T111" s="37">
        <f>IF(B111="","",ROUND(SUMIFS(Purchases!$U$5:$U$304,Purchases!$D$5:$D$304,A111),2))</f>
        <v>0</v>
      </c>
      <c r="U111" s="37">
        <f>IF(B111="","",ROUND(SUMIFS(Sales!$T$5:$T$1204,Sales!$I$5:$I$1204,A111,Sales!$H$5:$H$1204,"Retail"),2))</f>
        <v>0</v>
      </c>
      <c r="V111" s="37">
        <f>IF(B111="","",ROUND(IF(J111="",0,J111)+T111-IF(K111="",0,K111)-U111-IF(L111="",0,L111)+IF(M111="",0,M111),2))</f>
        <v>0</v>
      </c>
      <c r="W111" s="37">
        <f>IF(B111="","",ROUND((U111+IF(K111="",0,K111))/MAX(4,TrackingWeeks),2))</f>
        <v>0</v>
      </c>
      <c r="X111" s="37">
        <f>IF(B111="","",IF(W111&lt;=0,"",ROUND(V111/W111,1)))</f>
        <v>0</v>
      </c>
      <c r="Y111" s="37">
        <f>IF(B111="","",IF(N111&lt;&gt;"",N111,ROUND(W111*StockWarningWeeks,1)))</f>
        <v>0</v>
      </c>
      <c r="Z111" s="39">
        <f>IF(B111="","",IF(V111&lt;=0,"Out of stock",IF(V111&lt;=Y111,"Low stock",IF(R111="No","Backbar","In stock"))))</f>
        <v>0</v>
      </c>
      <c r="AA111" s="37">
        <f>IF(B111="","",IF(Z111="In stock","",IF(Z111="Backbar",IF(V111&lt;=Y111,MAX(1,IF(O111="",ROUND(W111*ReorderWeeks,0),O111)),""),MAX(1,IF(O111="",ROUND(W111*ReorderWeeks,0),O111)))))</f>
        <v>0</v>
      </c>
      <c r="AB111" s="26">
        <f>IF(B111="","",ROUND(V111*IF(H111="",0,H111),2))</f>
        <v>0</v>
      </c>
      <c r="AC111" s="26">
        <f>IF(B111="","",ROUND(V111*IF(I111="",0,I111),2))</f>
        <v>0</v>
      </c>
      <c r="AD111" s="27">
        <f>IF(B111="","",IF(IF(I111="",0,I111)=0,"",(I111-IF(H111="",0,H111))/I111))</f>
        <v>0</v>
      </c>
      <c r="AE111" s="26">
        <f>IF(B111="","",IF(H111="","",H111*RetailMarkup))</f>
        <v>0</v>
      </c>
      <c r="AF111" s="26">
        <f>IF(B111="","",IF(AE111="","",ROUND(IF(RoundingRule="None",AE111,IF(RoundingRule="Nearest 0.99",MAX(0.99,CEILING(AE111,1)-0.01),IF(RoundingRule="Nearest 0.95",MAX(0.95,CEILING(AE111,1)-0.05),IF(RoundingRule="Nearest 0.50",CEILING(AE111,0.5),IF(RoundingRule="Nearest 1",CEILING(AE111,1),IF(RoundingRule="Nearest 5",CEILING(AE111,5),IF(RoundingRule="Up to whole 1",CEILING(AE111,1),IF(RoundingRule="Up to whole 5",CEILING(AE111,5),ROUND(AE111,2))))))))),2)))</f>
        <v>0</v>
      </c>
      <c r="AG111" s="26">
        <f>IF(B111="","",ROUND(SUMIFS(Sales!$Y$5:$Y$1204,Sales!$I$5:$I$1204,A111,Sales!$H$5:$H$1204,"Retail"),2))</f>
        <v>0</v>
      </c>
      <c r="AH111" s="26">
        <f>IF(B111="","",ROUND(AG111-U111*IF(H111="",0,H111),2))</f>
        <v>0</v>
      </c>
      <c r="AI111" s="25">
        <f>IF(B111="","",COUNTIFS($AG$5:$AG$304,"&gt;"&amp;AG111)+COUNTIFS($AG$5:AG111,AG111))</f>
        <v>0</v>
      </c>
      <c r="AJ111" s="39">
        <f>IF(B111="","",IF(H111="","Add - no cost, no stock value",IF(Z111="Out of stock","Out of stock - order today",IF(Z111="Low stock","Order - running low",IF(IF(Q111="",FALSE,Q111&lt;=TodayDate+30),"Check - expiring within a month",IF(IF(R111="Yes",AD111&lt;0.25,FALSE),"Below - thin margin for a retail line",IF(IF(P111="",TRUE,TodayDate-P111&gt;90),"Due - not counted in three months","OK")))))))</f>
        <v>0</v>
      </c>
    </row>
    <row r="112" spans="1:36">
      <c r="A112" s="28">
        <f>IF(B112="","",ProductPrefix&amp;TEXT(ROW()-4,"000"))</f>
        <v>0</v>
      </c>
      <c r="T112" s="37">
        <f>IF(B112="","",ROUND(SUMIFS(Purchases!$U$5:$U$304,Purchases!$D$5:$D$304,A112),2))</f>
        <v>0</v>
      </c>
      <c r="U112" s="37">
        <f>IF(B112="","",ROUND(SUMIFS(Sales!$T$5:$T$1204,Sales!$I$5:$I$1204,A112,Sales!$H$5:$H$1204,"Retail"),2))</f>
        <v>0</v>
      </c>
      <c r="V112" s="37">
        <f>IF(B112="","",ROUND(IF(J112="",0,J112)+T112-IF(K112="",0,K112)-U112-IF(L112="",0,L112)+IF(M112="",0,M112),2))</f>
        <v>0</v>
      </c>
      <c r="W112" s="37">
        <f>IF(B112="","",ROUND((U112+IF(K112="",0,K112))/MAX(4,TrackingWeeks),2))</f>
        <v>0</v>
      </c>
      <c r="X112" s="37">
        <f>IF(B112="","",IF(W112&lt;=0,"",ROUND(V112/W112,1)))</f>
        <v>0</v>
      </c>
      <c r="Y112" s="37">
        <f>IF(B112="","",IF(N112&lt;&gt;"",N112,ROUND(W112*StockWarningWeeks,1)))</f>
        <v>0</v>
      </c>
      <c r="Z112" s="39">
        <f>IF(B112="","",IF(V112&lt;=0,"Out of stock",IF(V112&lt;=Y112,"Low stock",IF(R112="No","Backbar","In stock"))))</f>
        <v>0</v>
      </c>
      <c r="AA112" s="37">
        <f>IF(B112="","",IF(Z112="In stock","",IF(Z112="Backbar",IF(V112&lt;=Y112,MAX(1,IF(O112="",ROUND(W112*ReorderWeeks,0),O112)),""),MAX(1,IF(O112="",ROUND(W112*ReorderWeeks,0),O112)))))</f>
        <v>0</v>
      </c>
      <c r="AB112" s="26">
        <f>IF(B112="","",ROUND(V112*IF(H112="",0,H112),2))</f>
        <v>0</v>
      </c>
      <c r="AC112" s="26">
        <f>IF(B112="","",ROUND(V112*IF(I112="",0,I112),2))</f>
        <v>0</v>
      </c>
      <c r="AD112" s="27">
        <f>IF(B112="","",IF(IF(I112="",0,I112)=0,"",(I112-IF(H112="",0,H112))/I112))</f>
        <v>0</v>
      </c>
      <c r="AE112" s="26">
        <f>IF(B112="","",IF(H112="","",H112*RetailMarkup))</f>
        <v>0</v>
      </c>
      <c r="AF112" s="26">
        <f>IF(B112="","",IF(AE112="","",ROUND(IF(RoundingRule="None",AE112,IF(RoundingRule="Nearest 0.99",MAX(0.99,CEILING(AE112,1)-0.01),IF(RoundingRule="Nearest 0.95",MAX(0.95,CEILING(AE112,1)-0.05),IF(RoundingRule="Nearest 0.50",CEILING(AE112,0.5),IF(RoundingRule="Nearest 1",CEILING(AE112,1),IF(RoundingRule="Nearest 5",CEILING(AE112,5),IF(RoundingRule="Up to whole 1",CEILING(AE112,1),IF(RoundingRule="Up to whole 5",CEILING(AE112,5),ROUND(AE112,2))))))))),2)))</f>
        <v>0</v>
      </c>
      <c r="AG112" s="26">
        <f>IF(B112="","",ROUND(SUMIFS(Sales!$Y$5:$Y$1204,Sales!$I$5:$I$1204,A112,Sales!$H$5:$H$1204,"Retail"),2))</f>
        <v>0</v>
      </c>
      <c r="AH112" s="26">
        <f>IF(B112="","",ROUND(AG112-U112*IF(H112="",0,H112),2))</f>
        <v>0</v>
      </c>
      <c r="AI112" s="25">
        <f>IF(B112="","",COUNTIFS($AG$5:$AG$304,"&gt;"&amp;AG112)+COUNTIFS($AG$5:AG112,AG112))</f>
        <v>0</v>
      </c>
      <c r="AJ112" s="39">
        <f>IF(B112="","",IF(H112="","Add - no cost, no stock value",IF(Z112="Out of stock","Out of stock - order today",IF(Z112="Low stock","Order - running low",IF(IF(Q112="",FALSE,Q112&lt;=TodayDate+30),"Check - expiring within a month",IF(IF(R112="Yes",AD112&lt;0.25,FALSE),"Below - thin margin for a retail line",IF(IF(P112="",TRUE,TodayDate-P112&gt;90),"Due - not counted in three months","OK")))))))</f>
        <v>0</v>
      </c>
    </row>
    <row r="113" spans="1:36">
      <c r="A113" s="28">
        <f>IF(B113="","",ProductPrefix&amp;TEXT(ROW()-4,"000"))</f>
        <v>0</v>
      </c>
      <c r="T113" s="37">
        <f>IF(B113="","",ROUND(SUMIFS(Purchases!$U$5:$U$304,Purchases!$D$5:$D$304,A113),2))</f>
        <v>0</v>
      </c>
      <c r="U113" s="37">
        <f>IF(B113="","",ROUND(SUMIFS(Sales!$T$5:$T$1204,Sales!$I$5:$I$1204,A113,Sales!$H$5:$H$1204,"Retail"),2))</f>
        <v>0</v>
      </c>
      <c r="V113" s="37">
        <f>IF(B113="","",ROUND(IF(J113="",0,J113)+T113-IF(K113="",0,K113)-U113-IF(L113="",0,L113)+IF(M113="",0,M113),2))</f>
        <v>0</v>
      </c>
      <c r="W113" s="37">
        <f>IF(B113="","",ROUND((U113+IF(K113="",0,K113))/MAX(4,TrackingWeeks),2))</f>
        <v>0</v>
      </c>
      <c r="X113" s="37">
        <f>IF(B113="","",IF(W113&lt;=0,"",ROUND(V113/W113,1)))</f>
        <v>0</v>
      </c>
      <c r="Y113" s="37">
        <f>IF(B113="","",IF(N113&lt;&gt;"",N113,ROUND(W113*StockWarningWeeks,1)))</f>
        <v>0</v>
      </c>
      <c r="Z113" s="39">
        <f>IF(B113="","",IF(V113&lt;=0,"Out of stock",IF(V113&lt;=Y113,"Low stock",IF(R113="No","Backbar","In stock"))))</f>
        <v>0</v>
      </c>
      <c r="AA113" s="37">
        <f>IF(B113="","",IF(Z113="In stock","",IF(Z113="Backbar",IF(V113&lt;=Y113,MAX(1,IF(O113="",ROUND(W113*ReorderWeeks,0),O113)),""),MAX(1,IF(O113="",ROUND(W113*ReorderWeeks,0),O113)))))</f>
        <v>0</v>
      </c>
      <c r="AB113" s="26">
        <f>IF(B113="","",ROUND(V113*IF(H113="",0,H113),2))</f>
        <v>0</v>
      </c>
      <c r="AC113" s="26">
        <f>IF(B113="","",ROUND(V113*IF(I113="",0,I113),2))</f>
        <v>0</v>
      </c>
      <c r="AD113" s="27">
        <f>IF(B113="","",IF(IF(I113="",0,I113)=0,"",(I113-IF(H113="",0,H113))/I113))</f>
        <v>0</v>
      </c>
      <c r="AE113" s="26">
        <f>IF(B113="","",IF(H113="","",H113*RetailMarkup))</f>
        <v>0</v>
      </c>
      <c r="AF113" s="26">
        <f>IF(B113="","",IF(AE113="","",ROUND(IF(RoundingRule="None",AE113,IF(RoundingRule="Nearest 0.99",MAX(0.99,CEILING(AE113,1)-0.01),IF(RoundingRule="Nearest 0.95",MAX(0.95,CEILING(AE113,1)-0.05),IF(RoundingRule="Nearest 0.50",CEILING(AE113,0.5),IF(RoundingRule="Nearest 1",CEILING(AE113,1),IF(RoundingRule="Nearest 5",CEILING(AE113,5),IF(RoundingRule="Up to whole 1",CEILING(AE113,1),IF(RoundingRule="Up to whole 5",CEILING(AE113,5),ROUND(AE113,2))))))))),2)))</f>
        <v>0</v>
      </c>
      <c r="AG113" s="26">
        <f>IF(B113="","",ROUND(SUMIFS(Sales!$Y$5:$Y$1204,Sales!$I$5:$I$1204,A113,Sales!$H$5:$H$1204,"Retail"),2))</f>
        <v>0</v>
      </c>
      <c r="AH113" s="26">
        <f>IF(B113="","",ROUND(AG113-U113*IF(H113="",0,H113),2))</f>
        <v>0</v>
      </c>
      <c r="AI113" s="25">
        <f>IF(B113="","",COUNTIFS($AG$5:$AG$304,"&gt;"&amp;AG113)+COUNTIFS($AG$5:AG113,AG113))</f>
        <v>0</v>
      </c>
      <c r="AJ113" s="39">
        <f>IF(B113="","",IF(H113="","Add - no cost, no stock value",IF(Z113="Out of stock","Out of stock - order today",IF(Z113="Low stock","Order - running low",IF(IF(Q113="",FALSE,Q113&lt;=TodayDate+30),"Check - expiring within a month",IF(IF(R113="Yes",AD113&lt;0.25,FALSE),"Below - thin margin for a retail line",IF(IF(P113="",TRUE,TodayDate-P113&gt;90),"Due - not counted in three months","OK")))))))</f>
        <v>0</v>
      </c>
    </row>
    <row r="114" spans="1:36">
      <c r="A114" s="28">
        <f>IF(B114="","",ProductPrefix&amp;TEXT(ROW()-4,"000"))</f>
        <v>0</v>
      </c>
      <c r="T114" s="37">
        <f>IF(B114="","",ROUND(SUMIFS(Purchases!$U$5:$U$304,Purchases!$D$5:$D$304,A114),2))</f>
        <v>0</v>
      </c>
      <c r="U114" s="37">
        <f>IF(B114="","",ROUND(SUMIFS(Sales!$T$5:$T$1204,Sales!$I$5:$I$1204,A114,Sales!$H$5:$H$1204,"Retail"),2))</f>
        <v>0</v>
      </c>
      <c r="V114" s="37">
        <f>IF(B114="","",ROUND(IF(J114="",0,J114)+T114-IF(K114="",0,K114)-U114-IF(L114="",0,L114)+IF(M114="",0,M114),2))</f>
        <v>0</v>
      </c>
      <c r="W114" s="37">
        <f>IF(B114="","",ROUND((U114+IF(K114="",0,K114))/MAX(4,TrackingWeeks),2))</f>
        <v>0</v>
      </c>
      <c r="X114" s="37">
        <f>IF(B114="","",IF(W114&lt;=0,"",ROUND(V114/W114,1)))</f>
        <v>0</v>
      </c>
      <c r="Y114" s="37">
        <f>IF(B114="","",IF(N114&lt;&gt;"",N114,ROUND(W114*StockWarningWeeks,1)))</f>
        <v>0</v>
      </c>
      <c r="Z114" s="39">
        <f>IF(B114="","",IF(V114&lt;=0,"Out of stock",IF(V114&lt;=Y114,"Low stock",IF(R114="No","Backbar","In stock"))))</f>
        <v>0</v>
      </c>
      <c r="AA114" s="37">
        <f>IF(B114="","",IF(Z114="In stock","",IF(Z114="Backbar",IF(V114&lt;=Y114,MAX(1,IF(O114="",ROUND(W114*ReorderWeeks,0),O114)),""),MAX(1,IF(O114="",ROUND(W114*ReorderWeeks,0),O114)))))</f>
        <v>0</v>
      </c>
      <c r="AB114" s="26">
        <f>IF(B114="","",ROUND(V114*IF(H114="",0,H114),2))</f>
        <v>0</v>
      </c>
      <c r="AC114" s="26">
        <f>IF(B114="","",ROUND(V114*IF(I114="",0,I114),2))</f>
        <v>0</v>
      </c>
      <c r="AD114" s="27">
        <f>IF(B114="","",IF(IF(I114="",0,I114)=0,"",(I114-IF(H114="",0,H114))/I114))</f>
        <v>0</v>
      </c>
      <c r="AE114" s="26">
        <f>IF(B114="","",IF(H114="","",H114*RetailMarkup))</f>
        <v>0</v>
      </c>
      <c r="AF114" s="26">
        <f>IF(B114="","",IF(AE114="","",ROUND(IF(RoundingRule="None",AE114,IF(RoundingRule="Nearest 0.99",MAX(0.99,CEILING(AE114,1)-0.01),IF(RoundingRule="Nearest 0.95",MAX(0.95,CEILING(AE114,1)-0.05),IF(RoundingRule="Nearest 0.50",CEILING(AE114,0.5),IF(RoundingRule="Nearest 1",CEILING(AE114,1),IF(RoundingRule="Nearest 5",CEILING(AE114,5),IF(RoundingRule="Up to whole 1",CEILING(AE114,1),IF(RoundingRule="Up to whole 5",CEILING(AE114,5),ROUND(AE114,2))))))))),2)))</f>
        <v>0</v>
      </c>
      <c r="AG114" s="26">
        <f>IF(B114="","",ROUND(SUMIFS(Sales!$Y$5:$Y$1204,Sales!$I$5:$I$1204,A114,Sales!$H$5:$H$1204,"Retail"),2))</f>
        <v>0</v>
      </c>
      <c r="AH114" s="26">
        <f>IF(B114="","",ROUND(AG114-U114*IF(H114="",0,H114),2))</f>
        <v>0</v>
      </c>
      <c r="AI114" s="25">
        <f>IF(B114="","",COUNTIFS($AG$5:$AG$304,"&gt;"&amp;AG114)+COUNTIFS($AG$5:AG114,AG114))</f>
        <v>0</v>
      </c>
      <c r="AJ114" s="39">
        <f>IF(B114="","",IF(H114="","Add - no cost, no stock value",IF(Z114="Out of stock","Out of stock - order today",IF(Z114="Low stock","Order - running low",IF(IF(Q114="",FALSE,Q114&lt;=TodayDate+30),"Check - expiring within a month",IF(IF(R114="Yes",AD114&lt;0.25,FALSE),"Below - thin margin for a retail line",IF(IF(P114="",TRUE,TodayDate-P114&gt;90),"Due - not counted in three months","OK")))))))</f>
        <v>0</v>
      </c>
    </row>
    <row r="115" spans="1:36">
      <c r="A115" s="28">
        <f>IF(B115="","",ProductPrefix&amp;TEXT(ROW()-4,"000"))</f>
        <v>0</v>
      </c>
      <c r="T115" s="37">
        <f>IF(B115="","",ROUND(SUMIFS(Purchases!$U$5:$U$304,Purchases!$D$5:$D$304,A115),2))</f>
        <v>0</v>
      </c>
      <c r="U115" s="37">
        <f>IF(B115="","",ROUND(SUMIFS(Sales!$T$5:$T$1204,Sales!$I$5:$I$1204,A115,Sales!$H$5:$H$1204,"Retail"),2))</f>
        <v>0</v>
      </c>
      <c r="V115" s="37">
        <f>IF(B115="","",ROUND(IF(J115="",0,J115)+T115-IF(K115="",0,K115)-U115-IF(L115="",0,L115)+IF(M115="",0,M115),2))</f>
        <v>0</v>
      </c>
      <c r="W115" s="37">
        <f>IF(B115="","",ROUND((U115+IF(K115="",0,K115))/MAX(4,TrackingWeeks),2))</f>
        <v>0</v>
      </c>
      <c r="X115" s="37">
        <f>IF(B115="","",IF(W115&lt;=0,"",ROUND(V115/W115,1)))</f>
        <v>0</v>
      </c>
      <c r="Y115" s="37">
        <f>IF(B115="","",IF(N115&lt;&gt;"",N115,ROUND(W115*StockWarningWeeks,1)))</f>
        <v>0</v>
      </c>
      <c r="Z115" s="39">
        <f>IF(B115="","",IF(V115&lt;=0,"Out of stock",IF(V115&lt;=Y115,"Low stock",IF(R115="No","Backbar","In stock"))))</f>
        <v>0</v>
      </c>
      <c r="AA115" s="37">
        <f>IF(B115="","",IF(Z115="In stock","",IF(Z115="Backbar",IF(V115&lt;=Y115,MAX(1,IF(O115="",ROUND(W115*ReorderWeeks,0),O115)),""),MAX(1,IF(O115="",ROUND(W115*ReorderWeeks,0),O115)))))</f>
        <v>0</v>
      </c>
      <c r="AB115" s="26">
        <f>IF(B115="","",ROUND(V115*IF(H115="",0,H115),2))</f>
        <v>0</v>
      </c>
      <c r="AC115" s="26">
        <f>IF(B115="","",ROUND(V115*IF(I115="",0,I115),2))</f>
        <v>0</v>
      </c>
      <c r="AD115" s="27">
        <f>IF(B115="","",IF(IF(I115="",0,I115)=0,"",(I115-IF(H115="",0,H115))/I115))</f>
        <v>0</v>
      </c>
      <c r="AE115" s="26">
        <f>IF(B115="","",IF(H115="","",H115*RetailMarkup))</f>
        <v>0</v>
      </c>
      <c r="AF115" s="26">
        <f>IF(B115="","",IF(AE115="","",ROUND(IF(RoundingRule="None",AE115,IF(RoundingRule="Nearest 0.99",MAX(0.99,CEILING(AE115,1)-0.01),IF(RoundingRule="Nearest 0.95",MAX(0.95,CEILING(AE115,1)-0.05),IF(RoundingRule="Nearest 0.50",CEILING(AE115,0.5),IF(RoundingRule="Nearest 1",CEILING(AE115,1),IF(RoundingRule="Nearest 5",CEILING(AE115,5),IF(RoundingRule="Up to whole 1",CEILING(AE115,1),IF(RoundingRule="Up to whole 5",CEILING(AE115,5),ROUND(AE115,2))))))))),2)))</f>
        <v>0</v>
      </c>
      <c r="AG115" s="26">
        <f>IF(B115="","",ROUND(SUMIFS(Sales!$Y$5:$Y$1204,Sales!$I$5:$I$1204,A115,Sales!$H$5:$H$1204,"Retail"),2))</f>
        <v>0</v>
      </c>
      <c r="AH115" s="26">
        <f>IF(B115="","",ROUND(AG115-U115*IF(H115="",0,H115),2))</f>
        <v>0</v>
      </c>
      <c r="AI115" s="25">
        <f>IF(B115="","",COUNTIFS($AG$5:$AG$304,"&gt;"&amp;AG115)+COUNTIFS($AG$5:AG115,AG115))</f>
        <v>0</v>
      </c>
      <c r="AJ115" s="39">
        <f>IF(B115="","",IF(H115="","Add - no cost, no stock value",IF(Z115="Out of stock","Out of stock - order today",IF(Z115="Low stock","Order - running low",IF(IF(Q115="",FALSE,Q115&lt;=TodayDate+30),"Check - expiring within a month",IF(IF(R115="Yes",AD115&lt;0.25,FALSE),"Below - thin margin for a retail line",IF(IF(P115="",TRUE,TodayDate-P115&gt;90),"Due - not counted in three months","OK")))))))</f>
        <v>0</v>
      </c>
    </row>
    <row r="116" spans="1:36">
      <c r="A116" s="28">
        <f>IF(B116="","",ProductPrefix&amp;TEXT(ROW()-4,"000"))</f>
        <v>0</v>
      </c>
      <c r="T116" s="37">
        <f>IF(B116="","",ROUND(SUMIFS(Purchases!$U$5:$U$304,Purchases!$D$5:$D$304,A116),2))</f>
        <v>0</v>
      </c>
      <c r="U116" s="37">
        <f>IF(B116="","",ROUND(SUMIFS(Sales!$T$5:$T$1204,Sales!$I$5:$I$1204,A116,Sales!$H$5:$H$1204,"Retail"),2))</f>
        <v>0</v>
      </c>
      <c r="V116" s="37">
        <f>IF(B116="","",ROUND(IF(J116="",0,J116)+T116-IF(K116="",0,K116)-U116-IF(L116="",0,L116)+IF(M116="",0,M116),2))</f>
        <v>0</v>
      </c>
      <c r="W116" s="37">
        <f>IF(B116="","",ROUND((U116+IF(K116="",0,K116))/MAX(4,TrackingWeeks),2))</f>
        <v>0</v>
      </c>
      <c r="X116" s="37">
        <f>IF(B116="","",IF(W116&lt;=0,"",ROUND(V116/W116,1)))</f>
        <v>0</v>
      </c>
      <c r="Y116" s="37">
        <f>IF(B116="","",IF(N116&lt;&gt;"",N116,ROUND(W116*StockWarningWeeks,1)))</f>
        <v>0</v>
      </c>
      <c r="Z116" s="39">
        <f>IF(B116="","",IF(V116&lt;=0,"Out of stock",IF(V116&lt;=Y116,"Low stock",IF(R116="No","Backbar","In stock"))))</f>
        <v>0</v>
      </c>
      <c r="AA116" s="37">
        <f>IF(B116="","",IF(Z116="In stock","",IF(Z116="Backbar",IF(V116&lt;=Y116,MAX(1,IF(O116="",ROUND(W116*ReorderWeeks,0),O116)),""),MAX(1,IF(O116="",ROUND(W116*ReorderWeeks,0),O116)))))</f>
        <v>0</v>
      </c>
      <c r="AB116" s="26">
        <f>IF(B116="","",ROUND(V116*IF(H116="",0,H116),2))</f>
        <v>0</v>
      </c>
      <c r="AC116" s="26">
        <f>IF(B116="","",ROUND(V116*IF(I116="",0,I116),2))</f>
        <v>0</v>
      </c>
      <c r="AD116" s="27">
        <f>IF(B116="","",IF(IF(I116="",0,I116)=0,"",(I116-IF(H116="",0,H116))/I116))</f>
        <v>0</v>
      </c>
      <c r="AE116" s="26">
        <f>IF(B116="","",IF(H116="","",H116*RetailMarkup))</f>
        <v>0</v>
      </c>
      <c r="AF116" s="26">
        <f>IF(B116="","",IF(AE116="","",ROUND(IF(RoundingRule="None",AE116,IF(RoundingRule="Nearest 0.99",MAX(0.99,CEILING(AE116,1)-0.01),IF(RoundingRule="Nearest 0.95",MAX(0.95,CEILING(AE116,1)-0.05),IF(RoundingRule="Nearest 0.50",CEILING(AE116,0.5),IF(RoundingRule="Nearest 1",CEILING(AE116,1),IF(RoundingRule="Nearest 5",CEILING(AE116,5),IF(RoundingRule="Up to whole 1",CEILING(AE116,1),IF(RoundingRule="Up to whole 5",CEILING(AE116,5),ROUND(AE116,2))))))))),2)))</f>
        <v>0</v>
      </c>
      <c r="AG116" s="26">
        <f>IF(B116="","",ROUND(SUMIFS(Sales!$Y$5:$Y$1204,Sales!$I$5:$I$1204,A116,Sales!$H$5:$H$1204,"Retail"),2))</f>
        <v>0</v>
      </c>
      <c r="AH116" s="26">
        <f>IF(B116="","",ROUND(AG116-U116*IF(H116="",0,H116),2))</f>
        <v>0</v>
      </c>
      <c r="AI116" s="25">
        <f>IF(B116="","",COUNTIFS($AG$5:$AG$304,"&gt;"&amp;AG116)+COUNTIFS($AG$5:AG116,AG116))</f>
        <v>0</v>
      </c>
      <c r="AJ116" s="39">
        <f>IF(B116="","",IF(H116="","Add - no cost, no stock value",IF(Z116="Out of stock","Out of stock - order today",IF(Z116="Low stock","Order - running low",IF(IF(Q116="",FALSE,Q116&lt;=TodayDate+30),"Check - expiring within a month",IF(IF(R116="Yes",AD116&lt;0.25,FALSE),"Below - thin margin for a retail line",IF(IF(P116="",TRUE,TodayDate-P116&gt;90),"Due - not counted in three months","OK")))))))</f>
        <v>0</v>
      </c>
    </row>
    <row r="117" spans="1:36">
      <c r="A117" s="28">
        <f>IF(B117="","",ProductPrefix&amp;TEXT(ROW()-4,"000"))</f>
        <v>0</v>
      </c>
      <c r="T117" s="37">
        <f>IF(B117="","",ROUND(SUMIFS(Purchases!$U$5:$U$304,Purchases!$D$5:$D$304,A117),2))</f>
        <v>0</v>
      </c>
      <c r="U117" s="37">
        <f>IF(B117="","",ROUND(SUMIFS(Sales!$T$5:$T$1204,Sales!$I$5:$I$1204,A117,Sales!$H$5:$H$1204,"Retail"),2))</f>
        <v>0</v>
      </c>
      <c r="V117" s="37">
        <f>IF(B117="","",ROUND(IF(J117="",0,J117)+T117-IF(K117="",0,K117)-U117-IF(L117="",0,L117)+IF(M117="",0,M117),2))</f>
        <v>0</v>
      </c>
      <c r="W117" s="37">
        <f>IF(B117="","",ROUND((U117+IF(K117="",0,K117))/MAX(4,TrackingWeeks),2))</f>
        <v>0</v>
      </c>
      <c r="X117" s="37">
        <f>IF(B117="","",IF(W117&lt;=0,"",ROUND(V117/W117,1)))</f>
        <v>0</v>
      </c>
      <c r="Y117" s="37">
        <f>IF(B117="","",IF(N117&lt;&gt;"",N117,ROUND(W117*StockWarningWeeks,1)))</f>
        <v>0</v>
      </c>
      <c r="Z117" s="39">
        <f>IF(B117="","",IF(V117&lt;=0,"Out of stock",IF(V117&lt;=Y117,"Low stock",IF(R117="No","Backbar","In stock"))))</f>
        <v>0</v>
      </c>
      <c r="AA117" s="37">
        <f>IF(B117="","",IF(Z117="In stock","",IF(Z117="Backbar",IF(V117&lt;=Y117,MAX(1,IF(O117="",ROUND(W117*ReorderWeeks,0),O117)),""),MAX(1,IF(O117="",ROUND(W117*ReorderWeeks,0),O117)))))</f>
        <v>0</v>
      </c>
      <c r="AB117" s="26">
        <f>IF(B117="","",ROUND(V117*IF(H117="",0,H117),2))</f>
        <v>0</v>
      </c>
      <c r="AC117" s="26">
        <f>IF(B117="","",ROUND(V117*IF(I117="",0,I117),2))</f>
        <v>0</v>
      </c>
      <c r="AD117" s="27">
        <f>IF(B117="","",IF(IF(I117="",0,I117)=0,"",(I117-IF(H117="",0,H117))/I117))</f>
        <v>0</v>
      </c>
      <c r="AE117" s="26">
        <f>IF(B117="","",IF(H117="","",H117*RetailMarkup))</f>
        <v>0</v>
      </c>
      <c r="AF117" s="26">
        <f>IF(B117="","",IF(AE117="","",ROUND(IF(RoundingRule="None",AE117,IF(RoundingRule="Nearest 0.99",MAX(0.99,CEILING(AE117,1)-0.01),IF(RoundingRule="Nearest 0.95",MAX(0.95,CEILING(AE117,1)-0.05),IF(RoundingRule="Nearest 0.50",CEILING(AE117,0.5),IF(RoundingRule="Nearest 1",CEILING(AE117,1),IF(RoundingRule="Nearest 5",CEILING(AE117,5),IF(RoundingRule="Up to whole 1",CEILING(AE117,1),IF(RoundingRule="Up to whole 5",CEILING(AE117,5),ROUND(AE117,2))))))))),2)))</f>
        <v>0</v>
      </c>
      <c r="AG117" s="26">
        <f>IF(B117="","",ROUND(SUMIFS(Sales!$Y$5:$Y$1204,Sales!$I$5:$I$1204,A117,Sales!$H$5:$H$1204,"Retail"),2))</f>
        <v>0</v>
      </c>
      <c r="AH117" s="26">
        <f>IF(B117="","",ROUND(AG117-U117*IF(H117="",0,H117),2))</f>
        <v>0</v>
      </c>
      <c r="AI117" s="25">
        <f>IF(B117="","",COUNTIFS($AG$5:$AG$304,"&gt;"&amp;AG117)+COUNTIFS($AG$5:AG117,AG117))</f>
        <v>0</v>
      </c>
      <c r="AJ117" s="39">
        <f>IF(B117="","",IF(H117="","Add - no cost, no stock value",IF(Z117="Out of stock","Out of stock - order today",IF(Z117="Low stock","Order - running low",IF(IF(Q117="",FALSE,Q117&lt;=TodayDate+30),"Check - expiring within a month",IF(IF(R117="Yes",AD117&lt;0.25,FALSE),"Below - thin margin for a retail line",IF(IF(P117="",TRUE,TodayDate-P117&gt;90),"Due - not counted in three months","OK")))))))</f>
        <v>0</v>
      </c>
    </row>
    <row r="118" spans="1:36">
      <c r="A118" s="28">
        <f>IF(B118="","",ProductPrefix&amp;TEXT(ROW()-4,"000"))</f>
        <v>0</v>
      </c>
      <c r="T118" s="37">
        <f>IF(B118="","",ROUND(SUMIFS(Purchases!$U$5:$U$304,Purchases!$D$5:$D$304,A118),2))</f>
        <v>0</v>
      </c>
      <c r="U118" s="37">
        <f>IF(B118="","",ROUND(SUMIFS(Sales!$T$5:$T$1204,Sales!$I$5:$I$1204,A118,Sales!$H$5:$H$1204,"Retail"),2))</f>
        <v>0</v>
      </c>
      <c r="V118" s="37">
        <f>IF(B118="","",ROUND(IF(J118="",0,J118)+T118-IF(K118="",0,K118)-U118-IF(L118="",0,L118)+IF(M118="",0,M118),2))</f>
        <v>0</v>
      </c>
      <c r="W118" s="37">
        <f>IF(B118="","",ROUND((U118+IF(K118="",0,K118))/MAX(4,TrackingWeeks),2))</f>
        <v>0</v>
      </c>
      <c r="X118" s="37">
        <f>IF(B118="","",IF(W118&lt;=0,"",ROUND(V118/W118,1)))</f>
        <v>0</v>
      </c>
      <c r="Y118" s="37">
        <f>IF(B118="","",IF(N118&lt;&gt;"",N118,ROUND(W118*StockWarningWeeks,1)))</f>
        <v>0</v>
      </c>
      <c r="Z118" s="39">
        <f>IF(B118="","",IF(V118&lt;=0,"Out of stock",IF(V118&lt;=Y118,"Low stock",IF(R118="No","Backbar","In stock"))))</f>
        <v>0</v>
      </c>
      <c r="AA118" s="37">
        <f>IF(B118="","",IF(Z118="In stock","",IF(Z118="Backbar",IF(V118&lt;=Y118,MAX(1,IF(O118="",ROUND(W118*ReorderWeeks,0),O118)),""),MAX(1,IF(O118="",ROUND(W118*ReorderWeeks,0),O118)))))</f>
        <v>0</v>
      </c>
      <c r="AB118" s="26">
        <f>IF(B118="","",ROUND(V118*IF(H118="",0,H118),2))</f>
        <v>0</v>
      </c>
      <c r="AC118" s="26">
        <f>IF(B118="","",ROUND(V118*IF(I118="",0,I118),2))</f>
        <v>0</v>
      </c>
      <c r="AD118" s="27">
        <f>IF(B118="","",IF(IF(I118="",0,I118)=0,"",(I118-IF(H118="",0,H118))/I118))</f>
        <v>0</v>
      </c>
      <c r="AE118" s="26">
        <f>IF(B118="","",IF(H118="","",H118*RetailMarkup))</f>
        <v>0</v>
      </c>
      <c r="AF118" s="26">
        <f>IF(B118="","",IF(AE118="","",ROUND(IF(RoundingRule="None",AE118,IF(RoundingRule="Nearest 0.99",MAX(0.99,CEILING(AE118,1)-0.01),IF(RoundingRule="Nearest 0.95",MAX(0.95,CEILING(AE118,1)-0.05),IF(RoundingRule="Nearest 0.50",CEILING(AE118,0.5),IF(RoundingRule="Nearest 1",CEILING(AE118,1),IF(RoundingRule="Nearest 5",CEILING(AE118,5),IF(RoundingRule="Up to whole 1",CEILING(AE118,1),IF(RoundingRule="Up to whole 5",CEILING(AE118,5),ROUND(AE118,2))))))))),2)))</f>
        <v>0</v>
      </c>
      <c r="AG118" s="26">
        <f>IF(B118="","",ROUND(SUMIFS(Sales!$Y$5:$Y$1204,Sales!$I$5:$I$1204,A118,Sales!$H$5:$H$1204,"Retail"),2))</f>
        <v>0</v>
      </c>
      <c r="AH118" s="26">
        <f>IF(B118="","",ROUND(AG118-U118*IF(H118="",0,H118),2))</f>
        <v>0</v>
      </c>
      <c r="AI118" s="25">
        <f>IF(B118="","",COUNTIFS($AG$5:$AG$304,"&gt;"&amp;AG118)+COUNTIFS($AG$5:AG118,AG118))</f>
        <v>0</v>
      </c>
      <c r="AJ118" s="39">
        <f>IF(B118="","",IF(H118="","Add - no cost, no stock value",IF(Z118="Out of stock","Out of stock - order today",IF(Z118="Low stock","Order - running low",IF(IF(Q118="",FALSE,Q118&lt;=TodayDate+30),"Check - expiring within a month",IF(IF(R118="Yes",AD118&lt;0.25,FALSE),"Below - thin margin for a retail line",IF(IF(P118="",TRUE,TodayDate-P118&gt;90),"Due - not counted in three months","OK")))))))</f>
        <v>0</v>
      </c>
    </row>
    <row r="119" spans="1:36">
      <c r="A119" s="28">
        <f>IF(B119="","",ProductPrefix&amp;TEXT(ROW()-4,"000"))</f>
        <v>0</v>
      </c>
      <c r="T119" s="37">
        <f>IF(B119="","",ROUND(SUMIFS(Purchases!$U$5:$U$304,Purchases!$D$5:$D$304,A119),2))</f>
        <v>0</v>
      </c>
      <c r="U119" s="37">
        <f>IF(B119="","",ROUND(SUMIFS(Sales!$T$5:$T$1204,Sales!$I$5:$I$1204,A119,Sales!$H$5:$H$1204,"Retail"),2))</f>
        <v>0</v>
      </c>
      <c r="V119" s="37">
        <f>IF(B119="","",ROUND(IF(J119="",0,J119)+T119-IF(K119="",0,K119)-U119-IF(L119="",0,L119)+IF(M119="",0,M119),2))</f>
        <v>0</v>
      </c>
      <c r="W119" s="37">
        <f>IF(B119="","",ROUND((U119+IF(K119="",0,K119))/MAX(4,TrackingWeeks),2))</f>
        <v>0</v>
      </c>
      <c r="X119" s="37">
        <f>IF(B119="","",IF(W119&lt;=0,"",ROUND(V119/W119,1)))</f>
        <v>0</v>
      </c>
      <c r="Y119" s="37">
        <f>IF(B119="","",IF(N119&lt;&gt;"",N119,ROUND(W119*StockWarningWeeks,1)))</f>
        <v>0</v>
      </c>
      <c r="Z119" s="39">
        <f>IF(B119="","",IF(V119&lt;=0,"Out of stock",IF(V119&lt;=Y119,"Low stock",IF(R119="No","Backbar","In stock"))))</f>
        <v>0</v>
      </c>
      <c r="AA119" s="37">
        <f>IF(B119="","",IF(Z119="In stock","",IF(Z119="Backbar",IF(V119&lt;=Y119,MAX(1,IF(O119="",ROUND(W119*ReorderWeeks,0),O119)),""),MAX(1,IF(O119="",ROUND(W119*ReorderWeeks,0),O119)))))</f>
        <v>0</v>
      </c>
      <c r="AB119" s="26">
        <f>IF(B119="","",ROUND(V119*IF(H119="",0,H119),2))</f>
        <v>0</v>
      </c>
      <c r="AC119" s="26">
        <f>IF(B119="","",ROUND(V119*IF(I119="",0,I119),2))</f>
        <v>0</v>
      </c>
      <c r="AD119" s="27">
        <f>IF(B119="","",IF(IF(I119="",0,I119)=0,"",(I119-IF(H119="",0,H119))/I119))</f>
        <v>0</v>
      </c>
      <c r="AE119" s="26">
        <f>IF(B119="","",IF(H119="","",H119*RetailMarkup))</f>
        <v>0</v>
      </c>
      <c r="AF119" s="26">
        <f>IF(B119="","",IF(AE119="","",ROUND(IF(RoundingRule="None",AE119,IF(RoundingRule="Nearest 0.99",MAX(0.99,CEILING(AE119,1)-0.01),IF(RoundingRule="Nearest 0.95",MAX(0.95,CEILING(AE119,1)-0.05),IF(RoundingRule="Nearest 0.50",CEILING(AE119,0.5),IF(RoundingRule="Nearest 1",CEILING(AE119,1),IF(RoundingRule="Nearest 5",CEILING(AE119,5),IF(RoundingRule="Up to whole 1",CEILING(AE119,1),IF(RoundingRule="Up to whole 5",CEILING(AE119,5),ROUND(AE119,2))))))))),2)))</f>
        <v>0</v>
      </c>
      <c r="AG119" s="26">
        <f>IF(B119="","",ROUND(SUMIFS(Sales!$Y$5:$Y$1204,Sales!$I$5:$I$1204,A119,Sales!$H$5:$H$1204,"Retail"),2))</f>
        <v>0</v>
      </c>
      <c r="AH119" s="26">
        <f>IF(B119="","",ROUND(AG119-U119*IF(H119="",0,H119),2))</f>
        <v>0</v>
      </c>
      <c r="AI119" s="25">
        <f>IF(B119="","",COUNTIFS($AG$5:$AG$304,"&gt;"&amp;AG119)+COUNTIFS($AG$5:AG119,AG119))</f>
        <v>0</v>
      </c>
      <c r="AJ119" s="39">
        <f>IF(B119="","",IF(H119="","Add - no cost, no stock value",IF(Z119="Out of stock","Out of stock - order today",IF(Z119="Low stock","Order - running low",IF(IF(Q119="",FALSE,Q119&lt;=TodayDate+30),"Check - expiring within a month",IF(IF(R119="Yes",AD119&lt;0.25,FALSE),"Below - thin margin for a retail line",IF(IF(P119="",TRUE,TodayDate-P119&gt;90),"Due - not counted in three months","OK")))))))</f>
        <v>0</v>
      </c>
    </row>
    <row r="120" spans="1:36">
      <c r="A120" s="28">
        <f>IF(B120="","",ProductPrefix&amp;TEXT(ROW()-4,"000"))</f>
        <v>0</v>
      </c>
      <c r="T120" s="37">
        <f>IF(B120="","",ROUND(SUMIFS(Purchases!$U$5:$U$304,Purchases!$D$5:$D$304,A120),2))</f>
        <v>0</v>
      </c>
      <c r="U120" s="37">
        <f>IF(B120="","",ROUND(SUMIFS(Sales!$T$5:$T$1204,Sales!$I$5:$I$1204,A120,Sales!$H$5:$H$1204,"Retail"),2))</f>
        <v>0</v>
      </c>
      <c r="V120" s="37">
        <f>IF(B120="","",ROUND(IF(J120="",0,J120)+T120-IF(K120="",0,K120)-U120-IF(L120="",0,L120)+IF(M120="",0,M120),2))</f>
        <v>0</v>
      </c>
      <c r="W120" s="37">
        <f>IF(B120="","",ROUND((U120+IF(K120="",0,K120))/MAX(4,TrackingWeeks),2))</f>
        <v>0</v>
      </c>
      <c r="X120" s="37">
        <f>IF(B120="","",IF(W120&lt;=0,"",ROUND(V120/W120,1)))</f>
        <v>0</v>
      </c>
      <c r="Y120" s="37">
        <f>IF(B120="","",IF(N120&lt;&gt;"",N120,ROUND(W120*StockWarningWeeks,1)))</f>
        <v>0</v>
      </c>
      <c r="Z120" s="39">
        <f>IF(B120="","",IF(V120&lt;=0,"Out of stock",IF(V120&lt;=Y120,"Low stock",IF(R120="No","Backbar","In stock"))))</f>
        <v>0</v>
      </c>
      <c r="AA120" s="37">
        <f>IF(B120="","",IF(Z120="In stock","",IF(Z120="Backbar",IF(V120&lt;=Y120,MAX(1,IF(O120="",ROUND(W120*ReorderWeeks,0),O120)),""),MAX(1,IF(O120="",ROUND(W120*ReorderWeeks,0),O120)))))</f>
        <v>0</v>
      </c>
      <c r="AB120" s="26">
        <f>IF(B120="","",ROUND(V120*IF(H120="",0,H120),2))</f>
        <v>0</v>
      </c>
      <c r="AC120" s="26">
        <f>IF(B120="","",ROUND(V120*IF(I120="",0,I120),2))</f>
        <v>0</v>
      </c>
      <c r="AD120" s="27">
        <f>IF(B120="","",IF(IF(I120="",0,I120)=0,"",(I120-IF(H120="",0,H120))/I120))</f>
        <v>0</v>
      </c>
      <c r="AE120" s="26">
        <f>IF(B120="","",IF(H120="","",H120*RetailMarkup))</f>
        <v>0</v>
      </c>
      <c r="AF120" s="26">
        <f>IF(B120="","",IF(AE120="","",ROUND(IF(RoundingRule="None",AE120,IF(RoundingRule="Nearest 0.99",MAX(0.99,CEILING(AE120,1)-0.01),IF(RoundingRule="Nearest 0.95",MAX(0.95,CEILING(AE120,1)-0.05),IF(RoundingRule="Nearest 0.50",CEILING(AE120,0.5),IF(RoundingRule="Nearest 1",CEILING(AE120,1),IF(RoundingRule="Nearest 5",CEILING(AE120,5),IF(RoundingRule="Up to whole 1",CEILING(AE120,1),IF(RoundingRule="Up to whole 5",CEILING(AE120,5),ROUND(AE120,2))))))))),2)))</f>
        <v>0</v>
      </c>
      <c r="AG120" s="26">
        <f>IF(B120="","",ROUND(SUMIFS(Sales!$Y$5:$Y$1204,Sales!$I$5:$I$1204,A120,Sales!$H$5:$H$1204,"Retail"),2))</f>
        <v>0</v>
      </c>
      <c r="AH120" s="26">
        <f>IF(B120="","",ROUND(AG120-U120*IF(H120="",0,H120),2))</f>
        <v>0</v>
      </c>
      <c r="AI120" s="25">
        <f>IF(B120="","",COUNTIFS($AG$5:$AG$304,"&gt;"&amp;AG120)+COUNTIFS($AG$5:AG120,AG120))</f>
        <v>0</v>
      </c>
      <c r="AJ120" s="39">
        <f>IF(B120="","",IF(H120="","Add - no cost, no stock value",IF(Z120="Out of stock","Out of stock - order today",IF(Z120="Low stock","Order - running low",IF(IF(Q120="",FALSE,Q120&lt;=TodayDate+30),"Check - expiring within a month",IF(IF(R120="Yes",AD120&lt;0.25,FALSE),"Below - thin margin for a retail line",IF(IF(P120="",TRUE,TodayDate-P120&gt;90),"Due - not counted in three months","OK")))))))</f>
        <v>0</v>
      </c>
    </row>
    <row r="121" spans="1:36">
      <c r="A121" s="28">
        <f>IF(B121="","",ProductPrefix&amp;TEXT(ROW()-4,"000"))</f>
        <v>0</v>
      </c>
      <c r="T121" s="37">
        <f>IF(B121="","",ROUND(SUMIFS(Purchases!$U$5:$U$304,Purchases!$D$5:$D$304,A121),2))</f>
        <v>0</v>
      </c>
      <c r="U121" s="37">
        <f>IF(B121="","",ROUND(SUMIFS(Sales!$T$5:$T$1204,Sales!$I$5:$I$1204,A121,Sales!$H$5:$H$1204,"Retail"),2))</f>
        <v>0</v>
      </c>
      <c r="V121" s="37">
        <f>IF(B121="","",ROUND(IF(J121="",0,J121)+T121-IF(K121="",0,K121)-U121-IF(L121="",0,L121)+IF(M121="",0,M121),2))</f>
        <v>0</v>
      </c>
      <c r="W121" s="37">
        <f>IF(B121="","",ROUND((U121+IF(K121="",0,K121))/MAX(4,TrackingWeeks),2))</f>
        <v>0</v>
      </c>
      <c r="X121" s="37">
        <f>IF(B121="","",IF(W121&lt;=0,"",ROUND(V121/W121,1)))</f>
        <v>0</v>
      </c>
      <c r="Y121" s="37">
        <f>IF(B121="","",IF(N121&lt;&gt;"",N121,ROUND(W121*StockWarningWeeks,1)))</f>
        <v>0</v>
      </c>
      <c r="Z121" s="39">
        <f>IF(B121="","",IF(V121&lt;=0,"Out of stock",IF(V121&lt;=Y121,"Low stock",IF(R121="No","Backbar","In stock"))))</f>
        <v>0</v>
      </c>
      <c r="AA121" s="37">
        <f>IF(B121="","",IF(Z121="In stock","",IF(Z121="Backbar",IF(V121&lt;=Y121,MAX(1,IF(O121="",ROUND(W121*ReorderWeeks,0),O121)),""),MAX(1,IF(O121="",ROUND(W121*ReorderWeeks,0),O121)))))</f>
        <v>0</v>
      </c>
      <c r="AB121" s="26">
        <f>IF(B121="","",ROUND(V121*IF(H121="",0,H121),2))</f>
        <v>0</v>
      </c>
      <c r="AC121" s="26">
        <f>IF(B121="","",ROUND(V121*IF(I121="",0,I121),2))</f>
        <v>0</v>
      </c>
      <c r="AD121" s="27">
        <f>IF(B121="","",IF(IF(I121="",0,I121)=0,"",(I121-IF(H121="",0,H121))/I121))</f>
        <v>0</v>
      </c>
      <c r="AE121" s="26">
        <f>IF(B121="","",IF(H121="","",H121*RetailMarkup))</f>
        <v>0</v>
      </c>
      <c r="AF121" s="26">
        <f>IF(B121="","",IF(AE121="","",ROUND(IF(RoundingRule="None",AE121,IF(RoundingRule="Nearest 0.99",MAX(0.99,CEILING(AE121,1)-0.01),IF(RoundingRule="Nearest 0.95",MAX(0.95,CEILING(AE121,1)-0.05),IF(RoundingRule="Nearest 0.50",CEILING(AE121,0.5),IF(RoundingRule="Nearest 1",CEILING(AE121,1),IF(RoundingRule="Nearest 5",CEILING(AE121,5),IF(RoundingRule="Up to whole 1",CEILING(AE121,1),IF(RoundingRule="Up to whole 5",CEILING(AE121,5),ROUND(AE121,2))))))))),2)))</f>
        <v>0</v>
      </c>
      <c r="AG121" s="26">
        <f>IF(B121="","",ROUND(SUMIFS(Sales!$Y$5:$Y$1204,Sales!$I$5:$I$1204,A121,Sales!$H$5:$H$1204,"Retail"),2))</f>
        <v>0</v>
      </c>
      <c r="AH121" s="26">
        <f>IF(B121="","",ROUND(AG121-U121*IF(H121="",0,H121),2))</f>
        <v>0</v>
      </c>
      <c r="AI121" s="25">
        <f>IF(B121="","",COUNTIFS($AG$5:$AG$304,"&gt;"&amp;AG121)+COUNTIFS($AG$5:AG121,AG121))</f>
        <v>0</v>
      </c>
      <c r="AJ121" s="39">
        <f>IF(B121="","",IF(H121="","Add - no cost, no stock value",IF(Z121="Out of stock","Out of stock - order today",IF(Z121="Low stock","Order - running low",IF(IF(Q121="",FALSE,Q121&lt;=TodayDate+30),"Check - expiring within a month",IF(IF(R121="Yes",AD121&lt;0.25,FALSE),"Below - thin margin for a retail line",IF(IF(P121="",TRUE,TodayDate-P121&gt;90),"Due - not counted in three months","OK")))))))</f>
        <v>0</v>
      </c>
    </row>
    <row r="122" spans="1:36">
      <c r="A122" s="28">
        <f>IF(B122="","",ProductPrefix&amp;TEXT(ROW()-4,"000"))</f>
        <v>0</v>
      </c>
      <c r="T122" s="37">
        <f>IF(B122="","",ROUND(SUMIFS(Purchases!$U$5:$U$304,Purchases!$D$5:$D$304,A122),2))</f>
        <v>0</v>
      </c>
      <c r="U122" s="37">
        <f>IF(B122="","",ROUND(SUMIFS(Sales!$T$5:$T$1204,Sales!$I$5:$I$1204,A122,Sales!$H$5:$H$1204,"Retail"),2))</f>
        <v>0</v>
      </c>
      <c r="V122" s="37">
        <f>IF(B122="","",ROUND(IF(J122="",0,J122)+T122-IF(K122="",0,K122)-U122-IF(L122="",0,L122)+IF(M122="",0,M122),2))</f>
        <v>0</v>
      </c>
      <c r="W122" s="37">
        <f>IF(B122="","",ROUND((U122+IF(K122="",0,K122))/MAX(4,TrackingWeeks),2))</f>
        <v>0</v>
      </c>
      <c r="X122" s="37">
        <f>IF(B122="","",IF(W122&lt;=0,"",ROUND(V122/W122,1)))</f>
        <v>0</v>
      </c>
      <c r="Y122" s="37">
        <f>IF(B122="","",IF(N122&lt;&gt;"",N122,ROUND(W122*StockWarningWeeks,1)))</f>
        <v>0</v>
      </c>
      <c r="Z122" s="39">
        <f>IF(B122="","",IF(V122&lt;=0,"Out of stock",IF(V122&lt;=Y122,"Low stock",IF(R122="No","Backbar","In stock"))))</f>
        <v>0</v>
      </c>
      <c r="AA122" s="37">
        <f>IF(B122="","",IF(Z122="In stock","",IF(Z122="Backbar",IF(V122&lt;=Y122,MAX(1,IF(O122="",ROUND(W122*ReorderWeeks,0),O122)),""),MAX(1,IF(O122="",ROUND(W122*ReorderWeeks,0),O122)))))</f>
        <v>0</v>
      </c>
      <c r="AB122" s="26">
        <f>IF(B122="","",ROUND(V122*IF(H122="",0,H122),2))</f>
        <v>0</v>
      </c>
      <c r="AC122" s="26">
        <f>IF(B122="","",ROUND(V122*IF(I122="",0,I122),2))</f>
        <v>0</v>
      </c>
      <c r="AD122" s="27">
        <f>IF(B122="","",IF(IF(I122="",0,I122)=0,"",(I122-IF(H122="",0,H122))/I122))</f>
        <v>0</v>
      </c>
      <c r="AE122" s="26">
        <f>IF(B122="","",IF(H122="","",H122*RetailMarkup))</f>
        <v>0</v>
      </c>
      <c r="AF122" s="26">
        <f>IF(B122="","",IF(AE122="","",ROUND(IF(RoundingRule="None",AE122,IF(RoundingRule="Nearest 0.99",MAX(0.99,CEILING(AE122,1)-0.01),IF(RoundingRule="Nearest 0.95",MAX(0.95,CEILING(AE122,1)-0.05),IF(RoundingRule="Nearest 0.50",CEILING(AE122,0.5),IF(RoundingRule="Nearest 1",CEILING(AE122,1),IF(RoundingRule="Nearest 5",CEILING(AE122,5),IF(RoundingRule="Up to whole 1",CEILING(AE122,1),IF(RoundingRule="Up to whole 5",CEILING(AE122,5),ROUND(AE122,2))))))))),2)))</f>
        <v>0</v>
      </c>
      <c r="AG122" s="26">
        <f>IF(B122="","",ROUND(SUMIFS(Sales!$Y$5:$Y$1204,Sales!$I$5:$I$1204,A122,Sales!$H$5:$H$1204,"Retail"),2))</f>
        <v>0</v>
      </c>
      <c r="AH122" s="26">
        <f>IF(B122="","",ROUND(AG122-U122*IF(H122="",0,H122),2))</f>
        <v>0</v>
      </c>
      <c r="AI122" s="25">
        <f>IF(B122="","",COUNTIFS($AG$5:$AG$304,"&gt;"&amp;AG122)+COUNTIFS($AG$5:AG122,AG122))</f>
        <v>0</v>
      </c>
      <c r="AJ122" s="39">
        <f>IF(B122="","",IF(H122="","Add - no cost, no stock value",IF(Z122="Out of stock","Out of stock - order today",IF(Z122="Low stock","Order - running low",IF(IF(Q122="",FALSE,Q122&lt;=TodayDate+30),"Check - expiring within a month",IF(IF(R122="Yes",AD122&lt;0.25,FALSE),"Below - thin margin for a retail line",IF(IF(P122="",TRUE,TodayDate-P122&gt;90),"Due - not counted in three months","OK")))))))</f>
        <v>0</v>
      </c>
    </row>
    <row r="123" spans="1:36">
      <c r="A123" s="28">
        <f>IF(B123="","",ProductPrefix&amp;TEXT(ROW()-4,"000"))</f>
        <v>0</v>
      </c>
      <c r="T123" s="37">
        <f>IF(B123="","",ROUND(SUMIFS(Purchases!$U$5:$U$304,Purchases!$D$5:$D$304,A123),2))</f>
        <v>0</v>
      </c>
      <c r="U123" s="37">
        <f>IF(B123="","",ROUND(SUMIFS(Sales!$T$5:$T$1204,Sales!$I$5:$I$1204,A123,Sales!$H$5:$H$1204,"Retail"),2))</f>
        <v>0</v>
      </c>
      <c r="V123" s="37">
        <f>IF(B123="","",ROUND(IF(J123="",0,J123)+T123-IF(K123="",0,K123)-U123-IF(L123="",0,L123)+IF(M123="",0,M123),2))</f>
        <v>0</v>
      </c>
      <c r="W123" s="37">
        <f>IF(B123="","",ROUND((U123+IF(K123="",0,K123))/MAX(4,TrackingWeeks),2))</f>
        <v>0</v>
      </c>
      <c r="X123" s="37">
        <f>IF(B123="","",IF(W123&lt;=0,"",ROUND(V123/W123,1)))</f>
        <v>0</v>
      </c>
      <c r="Y123" s="37">
        <f>IF(B123="","",IF(N123&lt;&gt;"",N123,ROUND(W123*StockWarningWeeks,1)))</f>
        <v>0</v>
      </c>
      <c r="Z123" s="39">
        <f>IF(B123="","",IF(V123&lt;=0,"Out of stock",IF(V123&lt;=Y123,"Low stock",IF(R123="No","Backbar","In stock"))))</f>
        <v>0</v>
      </c>
      <c r="AA123" s="37">
        <f>IF(B123="","",IF(Z123="In stock","",IF(Z123="Backbar",IF(V123&lt;=Y123,MAX(1,IF(O123="",ROUND(W123*ReorderWeeks,0),O123)),""),MAX(1,IF(O123="",ROUND(W123*ReorderWeeks,0),O123)))))</f>
        <v>0</v>
      </c>
      <c r="AB123" s="26">
        <f>IF(B123="","",ROUND(V123*IF(H123="",0,H123),2))</f>
        <v>0</v>
      </c>
      <c r="AC123" s="26">
        <f>IF(B123="","",ROUND(V123*IF(I123="",0,I123),2))</f>
        <v>0</v>
      </c>
      <c r="AD123" s="27">
        <f>IF(B123="","",IF(IF(I123="",0,I123)=0,"",(I123-IF(H123="",0,H123))/I123))</f>
        <v>0</v>
      </c>
      <c r="AE123" s="26">
        <f>IF(B123="","",IF(H123="","",H123*RetailMarkup))</f>
        <v>0</v>
      </c>
      <c r="AF123" s="26">
        <f>IF(B123="","",IF(AE123="","",ROUND(IF(RoundingRule="None",AE123,IF(RoundingRule="Nearest 0.99",MAX(0.99,CEILING(AE123,1)-0.01),IF(RoundingRule="Nearest 0.95",MAX(0.95,CEILING(AE123,1)-0.05),IF(RoundingRule="Nearest 0.50",CEILING(AE123,0.5),IF(RoundingRule="Nearest 1",CEILING(AE123,1),IF(RoundingRule="Nearest 5",CEILING(AE123,5),IF(RoundingRule="Up to whole 1",CEILING(AE123,1),IF(RoundingRule="Up to whole 5",CEILING(AE123,5),ROUND(AE123,2))))))))),2)))</f>
        <v>0</v>
      </c>
      <c r="AG123" s="26">
        <f>IF(B123="","",ROUND(SUMIFS(Sales!$Y$5:$Y$1204,Sales!$I$5:$I$1204,A123,Sales!$H$5:$H$1204,"Retail"),2))</f>
        <v>0</v>
      </c>
      <c r="AH123" s="26">
        <f>IF(B123="","",ROUND(AG123-U123*IF(H123="",0,H123),2))</f>
        <v>0</v>
      </c>
      <c r="AI123" s="25">
        <f>IF(B123="","",COUNTIFS($AG$5:$AG$304,"&gt;"&amp;AG123)+COUNTIFS($AG$5:AG123,AG123))</f>
        <v>0</v>
      </c>
      <c r="AJ123" s="39">
        <f>IF(B123="","",IF(H123="","Add - no cost, no stock value",IF(Z123="Out of stock","Out of stock - order today",IF(Z123="Low stock","Order - running low",IF(IF(Q123="",FALSE,Q123&lt;=TodayDate+30),"Check - expiring within a month",IF(IF(R123="Yes",AD123&lt;0.25,FALSE),"Below - thin margin for a retail line",IF(IF(P123="",TRUE,TodayDate-P123&gt;90),"Due - not counted in three months","OK")))))))</f>
        <v>0</v>
      </c>
    </row>
    <row r="124" spans="1:36">
      <c r="A124" s="28">
        <f>IF(B124="","",ProductPrefix&amp;TEXT(ROW()-4,"000"))</f>
        <v>0</v>
      </c>
      <c r="T124" s="37">
        <f>IF(B124="","",ROUND(SUMIFS(Purchases!$U$5:$U$304,Purchases!$D$5:$D$304,A124),2))</f>
        <v>0</v>
      </c>
      <c r="U124" s="37">
        <f>IF(B124="","",ROUND(SUMIFS(Sales!$T$5:$T$1204,Sales!$I$5:$I$1204,A124,Sales!$H$5:$H$1204,"Retail"),2))</f>
        <v>0</v>
      </c>
      <c r="V124" s="37">
        <f>IF(B124="","",ROUND(IF(J124="",0,J124)+T124-IF(K124="",0,K124)-U124-IF(L124="",0,L124)+IF(M124="",0,M124),2))</f>
        <v>0</v>
      </c>
      <c r="W124" s="37">
        <f>IF(B124="","",ROUND((U124+IF(K124="",0,K124))/MAX(4,TrackingWeeks),2))</f>
        <v>0</v>
      </c>
      <c r="X124" s="37">
        <f>IF(B124="","",IF(W124&lt;=0,"",ROUND(V124/W124,1)))</f>
        <v>0</v>
      </c>
      <c r="Y124" s="37">
        <f>IF(B124="","",IF(N124&lt;&gt;"",N124,ROUND(W124*StockWarningWeeks,1)))</f>
        <v>0</v>
      </c>
      <c r="Z124" s="39">
        <f>IF(B124="","",IF(V124&lt;=0,"Out of stock",IF(V124&lt;=Y124,"Low stock",IF(R124="No","Backbar","In stock"))))</f>
        <v>0</v>
      </c>
      <c r="AA124" s="37">
        <f>IF(B124="","",IF(Z124="In stock","",IF(Z124="Backbar",IF(V124&lt;=Y124,MAX(1,IF(O124="",ROUND(W124*ReorderWeeks,0),O124)),""),MAX(1,IF(O124="",ROUND(W124*ReorderWeeks,0),O124)))))</f>
        <v>0</v>
      </c>
      <c r="AB124" s="26">
        <f>IF(B124="","",ROUND(V124*IF(H124="",0,H124),2))</f>
        <v>0</v>
      </c>
      <c r="AC124" s="26">
        <f>IF(B124="","",ROUND(V124*IF(I124="",0,I124),2))</f>
        <v>0</v>
      </c>
      <c r="AD124" s="27">
        <f>IF(B124="","",IF(IF(I124="",0,I124)=0,"",(I124-IF(H124="",0,H124))/I124))</f>
        <v>0</v>
      </c>
      <c r="AE124" s="26">
        <f>IF(B124="","",IF(H124="","",H124*RetailMarkup))</f>
        <v>0</v>
      </c>
      <c r="AF124" s="26">
        <f>IF(B124="","",IF(AE124="","",ROUND(IF(RoundingRule="None",AE124,IF(RoundingRule="Nearest 0.99",MAX(0.99,CEILING(AE124,1)-0.01),IF(RoundingRule="Nearest 0.95",MAX(0.95,CEILING(AE124,1)-0.05),IF(RoundingRule="Nearest 0.50",CEILING(AE124,0.5),IF(RoundingRule="Nearest 1",CEILING(AE124,1),IF(RoundingRule="Nearest 5",CEILING(AE124,5),IF(RoundingRule="Up to whole 1",CEILING(AE124,1),IF(RoundingRule="Up to whole 5",CEILING(AE124,5),ROUND(AE124,2))))))))),2)))</f>
        <v>0</v>
      </c>
      <c r="AG124" s="26">
        <f>IF(B124="","",ROUND(SUMIFS(Sales!$Y$5:$Y$1204,Sales!$I$5:$I$1204,A124,Sales!$H$5:$H$1204,"Retail"),2))</f>
        <v>0</v>
      </c>
      <c r="AH124" s="26">
        <f>IF(B124="","",ROUND(AG124-U124*IF(H124="",0,H124),2))</f>
        <v>0</v>
      </c>
      <c r="AI124" s="25">
        <f>IF(B124="","",COUNTIFS($AG$5:$AG$304,"&gt;"&amp;AG124)+COUNTIFS($AG$5:AG124,AG124))</f>
        <v>0</v>
      </c>
      <c r="AJ124" s="39">
        <f>IF(B124="","",IF(H124="","Add - no cost, no stock value",IF(Z124="Out of stock","Out of stock - order today",IF(Z124="Low stock","Order - running low",IF(IF(Q124="",FALSE,Q124&lt;=TodayDate+30),"Check - expiring within a month",IF(IF(R124="Yes",AD124&lt;0.25,FALSE),"Below - thin margin for a retail line",IF(IF(P124="",TRUE,TodayDate-P124&gt;90),"Due - not counted in three months","OK")))))))</f>
        <v>0</v>
      </c>
    </row>
    <row r="125" spans="1:36">
      <c r="A125" s="28">
        <f>IF(B125="","",ProductPrefix&amp;TEXT(ROW()-4,"000"))</f>
        <v>0</v>
      </c>
      <c r="T125" s="37">
        <f>IF(B125="","",ROUND(SUMIFS(Purchases!$U$5:$U$304,Purchases!$D$5:$D$304,A125),2))</f>
        <v>0</v>
      </c>
      <c r="U125" s="37">
        <f>IF(B125="","",ROUND(SUMIFS(Sales!$T$5:$T$1204,Sales!$I$5:$I$1204,A125,Sales!$H$5:$H$1204,"Retail"),2))</f>
        <v>0</v>
      </c>
      <c r="V125" s="37">
        <f>IF(B125="","",ROUND(IF(J125="",0,J125)+T125-IF(K125="",0,K125)-U125-IF(L125="",0,L125)+IF(M125="",0,M125),2))</f>
        <v>0</v>
      </c>
      <c r="W125" s="37">
        <f>IF(B125="","",ROUND((U125+IF(K125="",0,K125))/MAX(4,TrackingWeeks),2))</f>
        <v>0</v>
      </c>
      <c r="X125" s="37">
        <f>IF(B125="","",IF(W125&lt;=0,"",ROUND(V125/W125,1)))</f>
        <v>0</v>
      </c>
      <c r="Y125" s="37">
        <f>IF(B125="","",IF(N125&lt;&gt;"",N125,ROUND(W125*StockWarningWeeks,1)))</f>
        <v>0</v>
      </c>
      <c r="Z125" s="39">
        <f>IF(B125="","",IF(V125&lt;=0,"Out of stock",IF(V125&lt;=Y125,"Low stock",IF(R125="No","Backbar","In stock"))))</f>
        <v>0</v>
      </c>
      <c r="AA125" s="37">
        <f>IF(B125="","",IF(Z125="In stock","",IF(Z125="Backbar",IF(V125&lt;=Y125,MAX(1,IF(O125="",ROUND(W125*ReorderWeeks,0),O125)),""),MAX(1,IF(O125="",ROUND(W125*ReorderWeeks,0),O125)))))</f>
        <v>0</v>
      </c>
      <c r="AB125" s="26">
        <f>IF(B125="","",ROUND(V125*IF(H125="",0,H125),2))</f>
        <v>0</v>
      </c>
      <c r="AC125" s="26">
        <f>IF(B125="","",ROUND(V125*IF(I125="",0,I125),2))</f>
        <v>0</v>
      </c>
      <c r="AD125" s="27">
        <f>IF(B125="","",IF(IF(I125="",0,I125)=0,"",(I125-IF(H125="",0,H125))/I125))</f>
        <v>0</v>
      </c>
      <c r="AE125" s="26">
        <f>IF(B125="","",IF(H125="","",H125*RetailMarkup))</f>
        <v>0</v>
      </c>
      <c r="AF125" s="26">
        <f>IF(B125="","",IF(AE125="","",ROUND(IF(RoundingRule="None",AE125,IF(RoundingRule="Nearest 0.99",MAX(0.99,CEILING(AE125,1)-0.01),IF(RoundingRule="Nearest 0.95",MAX(0.95,CEILING(AE125,1)-0.05),IF(RoundingRule="Nearest 0.50",CEILING(AE125,0.5),IF(RoundingRule="Nearest 1",CEILING(AE125,1),IF(RoundingRule="Nearest 5",CEILING(AE125,5),IF(RoundingRule="Up to whole 1",CEILING(AE125,1),IF(RoundingRule="Up to whole 5",CEILING(AE125,5),ROUND(AE125,2))))))))),2)))</f>
        <v>0</v>
      </c>
      <c r="AG125" s="26">
        <f>IF(B125="","",ROUND(SUMIFS(Sales!$Y$5:$Y$1204,Sales!$I$5:$I$1204,A125,Sales!$H$5:$H$1204,"Retail"),2))</f>
        <v>0</v>
      </c>
      <c r="AH125" s="26">
        <f>IF(B125="","",ROUND(AG125-U125*IF(H125="",0,H125),2))</f>
        <v>0</v>
      </c>
      <c r="AI125" s="25">
        <f>IF(B125="","",COUNTIFS($AG$5:$AG$304,"&gt;"&amp;AG125)+COUNTIFS($AG$5:AG125,AG125))</f>
        <v>0</v>
      </c>
      <c r="AJ125" s="39">
        <f>IF(B125="","",IF(H125="","Add - no cost, no stock value",IF(Z125="Out of stock","Out of stock - order today",IF(Z125="Low stock","Order - running low",IF(IF(Q125="",FALSE,Q125&lt;=TodayDate+30),"Check - expiring within a month",IF(IF(R125="Yes",AD125&lt;0.25,FALSE),"Below - thin margin for a retail line",IF(IF(P125="",TRUE,TodayDate-P125&gt;90),"Due - not counted in three months","OK")))))))</f>
        <v>0</v>
      </c>
    </row>
    <row r="126" spans="1:36">
      <c r="A126" s="28">
        <f>IF(B126="","",ProductPrefix&amp;TEXT(ROW()-4,"000"))</f>
        <v>0</v>
      </c>
      <c r="T126" s="37">
        <f>IF(B126="","",ROUND(SUMIFS(Purchases!$U$5:$U$304,Purchases!$D$5:$D$304,A126),2))</f>
        <v>0</v>
      </c>
      <c r="U126" s="37">
        <f>IF(B126="","",ROUND(SUMIFS(Sales!$T$5:$T$1204,Sales!$I$5:$I$1204,A126,Sales!$H$5:$H$1204,"Retail"),2))</f>
        <v>0</v>
      </c>
      <c r="V126" s="37">
        <f>IF(B126="","",ROUND(IF(J126="",0,J126)+T126-IF(K126="",0,K126)-U126-IF(L126="",0,L126)+IF(M126="",0,M126),2))</f>
        <v>0</v>
      </c>
      <c r="W126" s="37">
        <f>IF(B126="","",ROUND((U126+IF(K126="",0,K126))/MAX(4,TrackingWeeks),2))</f>
        <v>0</v>
      </c>
      <c r="X126" s="37">
        <f>IF(B126="","",IF(W126&lt;=0,"",ROUND(V126/W126,1)))</f>
        <v>0</v>
      </c>
      <c r="Y126" s="37">
        <f>IF(B126="","",IF(N126&lt;&gt;"",N126,ROUND(W126*StockWarningWeeks,1)))</f>
        <v>0</v>
      </c>
      <c r="Z126" s="39">
        <f>IF(B126="","",IF(V126&lt;=0,"Out of stock",IF(V126&lt;=Y126,"Low stock",IF(R126="No","Backbar","In stock"))))</f>
        <v>0</v>
      </c>
      <c r="AA126" s="37">
        <f>IF(B126="","",IF(Z126="In stock","",IF(Z126="Backbar",IF(V126&lt;=Y126,MAX(1,IF(O126="",ROUND(W126*ReorderWeeks,0),O126)),""),MAX(1,IF(O126="",ROUND(W126*ReorderWeeks,0),O126)))))</f>
        <v>0</v>
      </c>
      <c r="AB126" s="26">
        <f>IF(B126="","",ROUND(V126*IF(H126="",0,H126),2))</f>
        <v>0</v>
      </c>
      <c r="AC126" s="26">
        <f>IF(B126="","",ROUND(V126*IF(I126="",0,I126),2))</f>
        <v>0</v>
      </c>
      <c r="AD126" s="27">
        <f>IF(B126="","",IF(IF(I126="",0,I126)=0,"",(I126-IF(H126="",0,H126))/I126))</f>
        <v>0</v>
      </c>
      <c r="AE126" s="26">
        <f>IF(B126="","",IF(H126="","",H126*RetailMarkup))</f>
        <v>0</v>
      </c>
      <c r="AF126" s="26">
        <f>IF(B126="","",IF(AE126="","",ROUND(IF(RoundingRule="None",AE126,IF(RoundingRule="Nearest 0.99",MAX(0.99,CEILING(AE126,1)-0.01),IF(RoundingRule="Nearest 0.95",MAX(0.95,CEILING(AE126,1)-0.05),IF(RoundingRule="Nearest 0.50",CEILING(AE126,0.5),IF(RoundingRule="Nearest 1",CEILING(AE126,1),IF(RoundingRule="Nearest 5",CEILING(AE126,5),IF(RoundingRule="Up to whole 1",CEILING(AE126,1),IF(RoundingRule="Up to whole 5",CEILING(AE126,5),ROUND(AE126,2))))))))),2)))</f>
        <v>0</v>
      </c>
      <c r="AG126" s="26">
        <f>IF(B126="","",ROUND(SUMIFS(Sales!$Y$5:$Y$1204,Sales!$I$5:$I$1204,A126,Sales!$H$5:$H$1204,"Retail"),2))</f>
        <v>0</v>
      </c>
      <c r="AH126" s="26">
        <f>IF(B126="","",ROUND(AG126-U126*IF(H126="",0,H126),2))</f>
        <v>0</v>
      </c>
      <c r="AI126" s="25">
        <f>IF(B126="","",COUNTIFS($AG$5:$AG$304,"&gt;"&amp;AG126)+COUNTIFS($AG$5:AG126,AG126))</f>
        <v>0</v>
      </c>
      <c r="AJ126" s="39">
        <f>IF(B126="","",IF(H126="","Add - no cost, no stock value",IF(Z126="Out of stock","Out of stock - order today",IF(Z126="Low stock","Order - running low",IF(IF(Q126="",FALSE,Q126&lt;=TodayDate+30),"Check - expiring within a month",IF(IF(R126="Yes",AD126&lt;0.25,FALSE),"Below - thin margin for a retail line",IF(IF(P126="",TRUE,TodayDate-P126&gt;90),"Due - not counted in three months","OK")))))))</f>
        <v>0</v>
      </c>
    </row>
    <row r="127" spans="1:36">
      <c r="A127" s="28">
        <f>IF(B127="","",ProductPrefix&amp;TEXT(ROW()-4,"000"))</f>
        <v>0</v>
      </c>
      <c r="T127" s="37">
        <f>IF(B127="","",ROUND(SUMIFS(Purchases!$U$5:$U$304,Purchases!$D$5:$D$304,A127),2))</f>
        <v>0</v>
      </c>
      <c r="U127" s="37">
        <f>IF(B127="","",ROUND(SUMIFS(Sales!$T$5:$T$1204,Sales!$I$5:$I$1204,A127,Sales!$H$5:$H$1204,"Retail"),2))</f>
        <v>0</v>
      </c>
      <c r="V127" s="37">
        <f>IF(B127="","",ROUND(IF(J127="",0,J127)+T127-IF(K127="",0,K127)-U127-IF(L127="",0,L127)+IF(M127="",0,M127),2))</f>
        <v>0</v>
      </c>
      <c r="W127" s="37">
        <f>IF(B127="","",ROUND((U127+IF(K127="",0,K127))/MAX(4,TrackingWeeks),2))</f>
        <v>0</v>
      </c>
      <c r="X127" s="37">
        <f>IF(B127="","",IF(W127&lt;=0,"",ROUND(V127/W127,1)))</f>
        <v>0</v>
      </c>
      <c r="Y127" s="37">
        <f>IF(B127="","",IF(N127&lt;&gt;"",N127,ROUND(W127*StockWarningWeeks,1)))</f>
        <v>0</v>
      </c>
      <c r="Z127" s="39">
        <f>IF(B127="","",IF(V127&lt;=0,"Out of stock",IF(V127&lt;=Y127,"Low stock",IF(R127="No","Backbar","In stock"))))</f>
        <v>0</v>
      </c>
      <c r="AA127" s="37">
        <f>IF(B127="","",IF(Z127="In stock","",IF(Z127="Backbar",IF(V127&lt;=Y127,MAX(1,IF(O127="",ROUND(W127*ReorderWeeks,0),O127)),""),MAX(1,IF(O127="",ROUND(W127*ReorderWeeks,0),O127)))))</f>
        <v>0</v>
      </c>
      <c r="AB127" s="26">
        <f>IF(B127="","",ROUND(V127*IF(H127="",0,H127),2))</f>
        <v>0</v>
      </c>
      <c r="AC127" s="26">
        <f>IF(B127="","",ROUND(V127*IF(I127="",0,I127),2))</f>
        <v>0</v>
      </c>
      <c r="AD127" s="27">
        <f>IF(B127="","",IF(IF(I127="",0,I127)=0,"",(I127-IF(H127="",0,H127))/I127))</f>
        <v>0</v>
      </c>
      <c r="AE127" s="26">
        <f>IF(B127="","",IF(H127="","",H127*RetailMarkup))</f>
        <v>0</v>
      </c>
      <c r="AF127" s="26">
        <f>IF(B127="","",IF(AE127="","",ROUND(IF(RoundingRule="None",AE127,IF(RoundingRule="Nearest 0.99",MAX(0.99,CEILING(AE127,1)-0.01),IF(RoundingRule="Nearest 0.95",MAX(0.95,CEILING(AE127,1)-0.05),IF(RoundingRule="Nearest 0.50",CEILING(AE127,0.5),IF(RoundingRule="Nearest 1",CEILING(AE127,1),IF(RoundingRule="Nearest 5",CEILING(AE127,5),IF(RoundingRule="Up to whole 1",CEILING(AE127,1),IF(RoundingRule="Up to whole 5",CEILING(AE127,5),ROUND(AE127,2))))))))),2)))</f>
        <v>0</v>
      </c>
      <c r="AG127" s="26">
        <f>IF(B127="","",ROUND(SUMIFS(Sales!$Y$5:$Y$1204,Sales!$I$5:$I$1204,A127,Sales!$H$5:$H$1204,"Retail"),2))</f>
        <v>0</v>
      </c>
      <c r="AH127" s="26">
        <f>IF(B127="","",ROUND(AG127-U127*IF(H127="",0,H127),2))</f>
        <v>0</v>
      </c>
      <c r="AI127" s="25">
        <f>IF(B127="","",COUNTIFS($AG$5:$AG$304,"&gt;"&amp;AG127)+COUNTIFS($AG$5:AG127,AG127))</f>
        <v>0</v>
      </c>
      <c r="AJ127" s="39">
        <f>IF(B127="","",IF(H127="","Add - no cost, no stock value",IF(Z127="Out of stock","Out of stock - order today",IF(Z127="Low stock","Order - running low",IF(IF(Q127="",FALSE,Q127&lt;=TodayDate+30),"Check - expiring within a month",IF(IF(R127="Yes",AD127&lt;0.25,FALSE),"Below - thin margin for a retail line",IF(IF(P127="",TRUE,TodayDate-P127&gt;90),"Due - not counted in three months","OK")))))))</f>
        <v>0</v>
      </c>
    </row>
    <row r="128" spans="1:36">
      <c r="A128" s="28">
        <f>IF(B128="","",ProductPrefix&amp;TEXT(ROW()-4,"000"))</f>
        <v>0</v>
      </c>
      <c r="T128" s="37">
        <f>IF(B128="","",ROUND(SUMIFS(Purchases!$U$5:$U$304,Purchases!$D$5:$D$304,A128),2))</f>
        <v>0</v>
      </c>
      <c r="U128" s="37">
        <f>IF(B128="","",ROUND(SUMIFS(Sales!$T$5:$T$1204,Sales!$I$5:$I$1204,A128,Sales!$H$5:$H$1204,"Retail"),2))</f>
        <v>0</v>
      </c>
      <c r="V128" s="37">
        <f>IF(B128="","",ROUND(IF(J128="",0,J128)+T128-IF(K128="",0,K128)-U128-IF(L128="",0,L128)+IF(M128="",0,M128),2))</f>
        <v>0</v>
      </c>
      <c r="W128" s="37">
        <f>IF(B128="","",ROUND((U128+IF(K128="",0,K128))/MAX(4,TrackingWeeks),2))</f>
        <v>0</v>
      </c>
      <c r="X128" s="37">
        <f>IF(B128="","",IF(W128&lt;=0,"",ROUND(V128/W128,1)))</f>
        <v>0</v>
      </c>
      <c r="Y128" s="37">
        <f>IF(B128="","",IF(N128&lt;&gt;"",N128,ROUND(W128*StockWarningWeeks,1)))</f>
        <v>0</v>
      </c>
      <c r="Z128" s="39">
        <f>IF(B128="","",IF(V128&lt;=0,"Out of stock",IF(V128&lt;=Y128,"Low stock",IF(R128="No","Backbar","In stock"))))</f>
        <v>0</v>
      </c>
      <c r="AA128" s="37">
        <f>IF(B128="","",IF(Z128="In stock","",IF(Z128="Backbar",IF(V128&lt;=Y128,MAX(1,IF(O128="",ROUND(W128*ReorderWeeks,0),O128)),""),MAX(1,IF(O128="",ROUND(W128*ReorderWeeks,0),O128)))))</f>
        <v>0</v>
      </c>
      <c r="AB128" s="26">
        <f>IF(B128="","",ROUND(V128*IF(H128="",0,H128),2))</f>
        <v>0</v>
      </c>
      <c r="AC128" s="26">
        <f>IF(B128="","",ROUND(V128*IF(I128="",0,I128),2))</f>
        <v>0</v>
      </c>
      <c r="AD128" s="27">
        <f>IF(B128="","",IF(IF(I128="",0,I128)=0,"",(I128-IF(H128="",0,H128))/I128))</f>
        <v>0</v>
      </c>
      <c r="AE128" s="26">
        <f>IF(B128="","",IF(H128="","",H128*RetailMarkup))</f>
        <v>0</v>
      </c>
      <c r="AF128" s="26">
        <f>IF(B128="","",IF(AE128="","",ROUND(IF(RoundingRule="None",AE128,IF(RoundingRule="Nearest 0.99",MAX(0.99,CEILING(AE128,1)-0.01),IF(RoundingRule="Nearest 0.95",MAX(0.95,CEILING(AE128,1)-0.05),IF(RoundingRule="Nearest 0.50",CEILING(AE128,0.5),IF(RoundingRule="Nearest 1",CEILING(AE128,1),IF(RoundingRule="Nearest 5",CEILING(AE128,5),IF(RoundingRule="Up to whole 1",CEILING(AE128,1),IF(RoundingRule="Up to whole 5",CEILING(AE128,5),ROUND(AE128,2))))))))),2)))</f>
        <v>0</v>
      </c>
      <c r="AG128" s="26">
        <f>IF(B128="","",ROUND(SUMIFS(Sales!$Y$5:$Y$1204,Sales!$I$5:$I$1204,A128,Sales!$H$5:$H$1204,"Retail"),2))</f>
        <v>0</v>
      </c>
      <c r="AH128" s="26">
        <f>IF(B128="","",ROUND(AG128-U128*IF(H128="",0,H128),2))</f>
        <v>0</v>
      </c>
      <c r="AI128" s="25">
        <f>IF(B128="","",COUNTIFS($AG$5:$AG$304,"&gt;"&amp;AG128)+COUNTIFS($AG$5:AG128,AG128))</f>
        <v>0</v>
      </c>
      <c r="AJ128" s="39">
        <f>IF(B128="","",IF(H128="","Add - no cost, no stock value",IF(Z128="Out of stock","Out of stock - order today",IF(Z128="Low stock","Order - running low",IF(IF(Q128="",FALSE,Q128&lt;=TodayDate+30),"Check - expiring within a month",IF(IF(R128="Yes",AD128&lt;0.25,FALSE),"Below - thin margin for a retail line",IF(IF(P128="",TRUE,TodayDate-P128&gt;90),"Due - not counted in three months","OK")))))))</f>
        <v>0</v>
      </c>
    </row>
    <row r="129" spans="1:36">
      <c r="A129" s="28">
        <f>IF(B129="","",ProductPrefix&amp;TEXT(ROW()-4,"000"))</f>
        <v>0</v>
      </c>
      <c r="T129" s="37">
        <f>IF(B129="","",ROUND(SUMIFS(Purchases!$U$5:$U$304,Purchases!$D$5:$D$304,A129),2))</f>
        <v>0</v>
      </c>
      <c r="U129" s="37">
        <f>IF(B129="","",ROUND(SUMIFS(Sales!$T$5:$T$1204,Sales!$I$5:$I$1204,A129,Sales!$H$5:$H$1204,"Retail"),2))</f>
        <v>0</v>
      </c>
      <c r="V129" s="37">
        <f>IF(B129="","",ROUND(IF(J129="",0,J129)+T129-IF(K129="",0,K129)-U129-IF(L129="",0,L129)+IF(M129="",0,M129),2))</f>
        <v>0</v>
      </c>
      <c r="W129" s="37">
        <f>IF(B129="","",ROUND((U129+IF(K129="",0,K129))/MAX(4,TrackingWeeks),2))</f>
        <v>0</v>
      </c>
      <c r="X129" s="37">
        <f>IF(B129="","",IF(W129&lt;=0,"",ROUND(V129/W129,1)))</f>
        <v>0</v>
      </c>
      <c r="Y129" s="37">
        <f>IF(B129="","",IF(N129&lt;&gt;"",N129,ROUND(W129*StockWarningWeeks,1)))</f>
        <v>0</v>
      </c>
      <c r="Z129" s="39">
        <f>IF(B129="","",IF(V129&lt;=0,"Out of stock",IF(V129&lt;=Y129,"Low stock",IF(R129="No","Backbar","In stock"))))</f>
        <v>0</v>
      </c>
      <c r="AA129" s="37">
        <f>IF(B129="","",IF(Z129="In stock","",IF(Z129="Backbar",IF(V129&lt;=Y129,MAX(1,IF(O129="",ROUND(W129*ReorderWeeks,0),O129)),""),MAX(1,IF(O129="",ROUND(W129*ReorderWeeks,0),O129)))))</f>
        <v>0</v>
      </c>
      <c r="AB129" s="26">
        <f>IF(B129="","",ROUND(V129*IF(H129="",0,H129),2))</f>
        <v>0</v>
      </c>
      <c r="AC129" s="26">
        <f>IF(B129="","",ROUND(V129*IF(I129="",0,I129),2))</f>
        <v>0</v>
      </c>
      <c r="AD129" s="27">
        <f>IF(B129="","",IF(IF(I129="",0,I129)=0,"",(I129-IF(H129="",0,H129))/I129))</f>
        <v>0</v>
      </c>
      <c r="AE129" s="26">
        <f>IF(B129="","",IF(H129="","",H129*RetailMarkup))</f>
        <v>0</v>
      </c>
      <c r="AF129" s="26">
        <f>IF(B129="","",IF(AE129="","",ROUND(IF(RoundingRule="None",AE129,IF(RoundingRule="Nearest 0.99",MAX(0.99,CEILING(AE129,1)-0.01),IF(RoundingRule="Nearest 0.95",MAX(0.95,CEILING(AE129,1)-0.05),IF(RoundingRule="Nearest 0.50",CEILING(AE129,0.5),IF(RoundingRule="Nearest 1",CEILING(AE129,1),IF(RoundingRule="Nearest 5",CEILING(AE129,5),IF(RoundingRule="Up to whole 1",CEILING(AE129,1),IF(RoundingRule="Up to whole 5",CEILING(AE129,5),ROUND(AE129,2))))))))),2)))</f>
        <v>0</v>
      </c>
      <c r="AG129" s="26">
        <f>IF(B129="","",ROUND(SUMIFS(Sales!$Y$5:$Y$1204,Sales!$I$5:$I$1204,A129,Sales!$H$5:$H$1204,"Retail"),2))</f>
        <v>0</v>
      </c>
      <c r="AH129" s="26">
        <f>IF(B129="","",ROUND(AG129-U129*IF(H129="",0,H129),2))</f>
        <v>0</v>
      </c>
      <c r="AI129" s="25">
        <f>IF(B129="","",COUNTIFS($AG$5:$AG$304,"&gt;"&amp;AG129)+COUNTIFS($AG$5:AG129,AG129))</f>
        <v>0</v>
      </c>
      <c r="AJ129" s="39">
        <f>IF(B129="","",IF(H129="","Add - no cost, no stock value",IF(Z129="Out of stock","Out of stock - order today",IF(Z129="Low stock","Order - running low",IF(IF(Q129="",FALSE,Q129&lt;=TodayDate+30),"Check - expiring within a month",IF(IF(R129="Yes",AD129&lt;0.25,FALSE),"Below - thin margin for a retail line",IF(IF(P129="",TRUE,TodayDate-P129&gt;90),"Due - not counted in three months","OK")))))))</f>
        <v>0</v>
      </c>
    </row>
    <row r="130" spans="1:36">
      <c r="A130" s="28">
        <f>IF(B130="","",ProductPrefix&amp;TEXT(ROW()-4,"000"))</f>
        <v>0</v>
      </c>
      <c r="T130" s="37">
        <f>IF(B130="","",ROUND(SUMIFS(Purchases!$U$5:$U$304,Purchases!$D$5:$D$304,A130),2))</f>
        <v>0</v>
      </c>
      <c r="U130" s="37">
        <f>IF(B130="","",ROUND(SUMIFS(Sales!$T$5:$T$1204,Sales!$I$5:$I$1204,A130,Sales!$H$5:$H$1204,"Retail"),2))</f>
        <v>0</v>
      </c>
      <c r="V130" s="37">
        <f>IF(B130="","",ROUND(IF(J130="",0,J130)+T130-IF(K130="",0,K130)-U130-IF(L130="",0,L130)+IF(M130="",0,M130),2))</f>
        <v>0</v>
      </c>
      <c r="W130" s="37">
        <f>IF(B130="","",ROUND((U130+IF(K130="",0,K130))/MAX(4,TrackingWeeks),2))</f>
        <v>0</v>
      </c>
      <c r="X130" s="37">
        <f>IF(B130="","",IF(W130&lt;=0,"",ROUND(V130/W130,1)))</f>
        <v>0</v>
      </c>
      <c r="Y130" s="37">
        <f>IF(B130="","",IF(N130&lt;&gt;"",N130,ROUND(W130*StockWarningWeeks,1)))</f>
        <v>0</v>
      </c>
      <c r="Z130" s="39">
        <f>IF(B130="","",IF(V130&lt;=0,"Out of stock",IF(V130&lt;=Y130,"Low stock",IF(R130="No","Backbar","In stock"))))</f>
        <v>0</v>
      </c>
      <c r="AA130" s="37">
        <f>IF(B130="","",IF(Z130="In stock","",IF(Z130="Backbar",IF(V130&lt;=Y130,MAX(1,IF(O130="",ROUND(W130*ReorderWeeks,0),O130)),""),MAX(1,IF(O130="",ROUND(W130*ReorderWeeks,0),O130)))))</f>
        <v>0</v>
      </c>
      <c r="AB130" s="26">
        <f>IF(B130="","",ROUND(V130*IF(H130="",0,H130),2))</f>
        <v>0</v>
      </c>
      <c r="AC130" s="26">
        <f>IF(B130="","",ROUND(V130*IF(I130="",0,I130),2))</f>
        <v>0</v>
      </c>
      <c r="AD130" s="27">
        <f>IF(B130="","",IF(IF(I130="",0,I130)=0,"",(I130-IF(H130="",0,H130))/I130))</f>
        <v>0</v>
      </c>
      <c r="AE130" s="26">
        <f>IF(B130="","",IF(H130="","",H130*RetailMarkup))</f>
        <v>0</v>
      </c>
      <c r="AF130" s="26">
        <f>IF(B130="","",IF(AE130="","",ROUND(IF(RoundingRule="None",AE130,IF(RoundingRule="Nearest 0.99",MAX(0.99,CEILING(AE130,1)-0.01),IF(RoundingRule="Nearest 0.95",MAX(0.95,CEILING(AE130,1)-0.05),IF(RoundingRule="Nearest 0.50",CEILING(AE130,0.5),IF(RoundingRule="Nearest 1",CEILING(AE130,1),IF(RoundingRule="Nearest 5",CEILING(AE130,5),IF(RoundingRule="Up to whole 1",CEILING(AE130,1),IF(RoundingRule="Up to whole 5",CEILING(AE130,5),ROUND(AE130,2))))))))),2)))</f>
        <v>0</v>
      </c>
      <c r="AG130" s="26">
        <f>IF(B130="","",ROUND(SUMIFS(Sales!$Y$5:$Y$1204,Sales!$I$5:$I$1204,A130,Sales!$H$5:$H$1204,"Retail"),2))</f>
        <v>0</v>
      </c>
      <c r="AH130" s="26">
        <f>IF(B130="","",ROUND(AG130-U130*IF(H130="",0,H130),2))</f>
        <v>0</v>
      </c>
      <c r="AI130" s="25">
        <f>IF(B130="","",COUNTIFS($AG$5:$AG$304,"&gt;"&amp;AG130)+COUNTIFS($AG$5:AG130,AG130))</f>
        <v>0</v>
      </c>
      <c r="AJ130" s="39">
        <f>IF(B130="","",IF(H130="","Add - no cost, no stock value",IF(Z130="Out of stock","Out of stock - order today",IF(Z130="Low stock","Order - running low",IF(IF(Q130="",FALSE,Q130&lt;=TodayDate+30),"Check - expiring within a month",IF(IF(R130="Yes",AD130&lt;0.25,FALSE),"Below - thin margin for a retail line",IF(IF(P130="",TRUE,TodayDate-P130&gt;90),"Due - not counted in three months","OK")))))))</f>
        <v>0</v>
      </c>
    </row>
    <row r="131" spans="1:36">
      <c r="A131" s="28">
        <f>IF(B131="","",ProductPrefix&amp;TEXT(ROW()-4,"000"))</f>
        <v>0</v>
      </c>
      <c r="T131" s="37">
        <f>IF(B131="","",ROUND(SUMIFS(Purchases!$U$5:$U$304,Purchases!$D$5:$D$304,A131),2))</f>
        <v>0</v>
      </c>
      <c r="U131" s="37">
        <f>IF(B131="","",ROUND(SUMIFS(Sales!$T$5:$T$1204,Sales!$I$5:$I$1204,A131,Sales!$H$5:$H$1204,"Retail"),2))</f>
        <v>0</v>
      </c>
      <c r="V131" s="37">
        <f>IF(B131="","",ROUND(IF(J131="",0,J131)+T131-IF(K131="",0,K131)-U131-IF(L131="",0,L131)+IF(M131="",0,M131),2))</f>
        <v>0</v>
      </c>
      <c r="W131" s="37">
        <f>IF(B131="","",ROUND((U131+IF(K131="",0,K131))/MAX(4,TrackingWeeks),2))</f>
        <v>0</v>
      </c>
      <c r="X131" s="37">
        <f>IF(B131="","",IF(W131&lt;=0,"",ROUND(V131/W131,1)))</f>
        <v>0</v>
      </c>
      <c r="Y131" s="37">
        <f>IF(B131="","",IF(N131&lt;&gt;"",N131,ROUND(W131*StockWarningWeeks,1)))</f>
        <v>0</v>
      </c>
      <c r="Z131" s="39">
        <f>IF(B131="","",IF(V131&lt;=0,"Out of stock",IF(V131&lt;=Y131,"Low stock",IF(R131="No","Backbar","In stock"))))</f>
        <v>0</v>
      </c>
      <c r="AA131" s="37">
        <f>IF(B131="","",IF(Z131="In stock","",IF(Z131="Backbar",IF(V131&lt;=Y131,MAX(1,IF(O131="",ROUND(W131*ReorderWeeks,0),O131)),""),MAX(1,IF(O131="",ROUND(W131*ReorderWeeks,0),O131)))))</f>
        <v>0</v>
      </c>
      <c r="AB131" s="26">
        <f>IF(B131="","",ROUND(V131*IF(H131="",0,H131),2))</f>
        <v>0</v>
      </c>
      <c r="AC131" s="26">
        <f>IF(B131="","",ROUND(V131*IF(I131="",0,I131),2))</f>
        <v>0</v>
      </c>
      <c r="AD131" s="27">
        <f>IF(B131="","",IF(IF(I131="",0,I131)=0,"",(I131-IF(H131="",0,H131))/I131))</f>
        <v>0</v>
      </c>
      <c r="AE131" s="26">
        <f>IF(B131="","",IF(H131="","",H131*RetailMarkup))</f>
        <v>0</v>
      </c>
      <c r="AF131" s="26">
        <f>IF(B131="","",IF(AE131="","",ROUND(IF(RoundingRule="None",AE131,IF(RoundingRule="Nearest 0.99",MAX(0.99,CEILING(AE131,1)-0.01),IF(RoundingRule="Nearest 0.95",MAX(0.95,CEILING(AE131,1)-0.05),IF(RoundingRule="Nearest 0.50",CEILING(AE131,0.5),IF(RoundingRule="Nearest 1",CEILING(AE131,1),IF(RoundingRule="Nearest 5",CEILING(AE131,5),IF(RoundingRule="Up to whole 1",CEILING(AE131,1),IF(RoundingRule="Up to whole 5",CEILING(AE131,5),ROUND(AE131,2))))))))),2)))</f>
        <v>0</v>
      </c>
      <c r="AG131" s="26">
        <f>IF(B131="","",ROUND(SUMIFS(Sales!$Y$5:$Y$1204,Sales!$I$5:$I$1204,A131,Sales!$H$5:$H$1204,"Retail"),2))</f>
        <v>0</v>
      </c>
      <c r="AH131" s="26">
        <f>IF(B131="","",ROUND(AG131-U131*IF(H131="",0,H131),2))</f>
        <v>0</v>
      </c>
      <c r="AI131" s="25">
        <f>IF(B131="","",COUNTIFS($AG$5:$AG$304,"&gt;"&amp;AG131)+COUNTIFS($AG$5:AG131,AG131))</f>
        <v>0</v>
      </c>
      <c r="AJ131" s="39">
        <f>IF(B131="","",IF(H131="","Add - no cost, no stock value",IF(Z131="Out of stock","Out of stock - order today",IF(Z131="Low stock","Order - running low",IF(IF(Q131="",FALSE,Q131&lt;=TodayDate+30),"Check - expiring within a month",IF(IF(R131="Yes",AD131&lt;0.25,FALSE),"Below - thin margin for a retail line",IF(IF(P131="",TRUE,TodayDate-P131&gt;90),"Due - not counted in three months","OK")))))))</f>
        <v>0</v>
      </c>
    </row>
    <row r="132" spans="1:36">
      <c r="A132" s="28">
        <f>IF(B132="","",ProductPrefix&amp;TEXT(ROW()-4,"000"))</f>
        <v>0</v>
      </c>
      <c r="T132" s="37">
        <f>IF(B132="","",ROUND(SUMIFS(Purchases!$U$5:$U$304,Purchases!$D$5:$D$304,A132),2))</f>
        <v>0</v>
      </c>
      <c r="U132" s="37">
        <f>IF(B132="","",ROUND(SUMIFS(Sales!$T$5:$T$1204,Sales!$I$5:$I$1204,A132,Sales!$H$5:$H$1204,"Retail"),2))</f>
        <v>0</v>
      </c>
      <c r="V132" s="37">
        <f>IF(B132="","",ROUND(IF(J132="",0,J132)+T132-IF(K132="",0,K132)-U132-IF(L132="",0,L132)+IF(M132="",0,M132),2))</f>
        <v>0</v>
      </c>
      <c r="W132" s="37">
        <f>IF(B132="","",ROUND((U132+IF(K132="",0,K132))/MAX(4,TrackingWeeks),2))</f>
        <v>0</v>
      </c>
      <c r="X132" s="37">
        <f>IF(B132="","",IF(W132&lt;=0,"",ROUND(V132/W132,1)))</f>
        <v>0</v>
      </c>
      <c r="Y132" s="37">
        <f>IF(B132="","",IF(N132&lt;&gt;"",N132,ROUND(W132*StockWarningWeeks,1)))</f>
        <v>0</v>
      </c>
      <c r="Z132" s="39">
        <f>IF(B132="","",IF(V132&lt;=0,"Out of stock",IF(V132&lt;=Y132,"Low stock",IF(R132="No","Backbar","In stock"))))</f>
        <v>0</v>
      </c>
      <c r="AA132" s="37">
        <f>IF(B132="","",IF(Z132="In stock","",IF(Z132="Backbar",IF(V132&lt;=Y132,MAX(1,IF(O132="",ROUND(W132*ReorderWeeks,0),O132)),""),MAX(1,IF(O132="",ROUND(W132*ReorderWeeks,0),O132)))))</f>
        <v>0</v>
      </c>
      <c r="AB132" s="26">
        <f>IF(B132="","",ROUND(V132*IF(H132="",0,H132),2))</f>
        <v>0</v>
      </c>
      <c r="AC132" s="26">
        <f>IF(B132="","",ROUND(V132*IF(I132="",0,I132),2))</f>
        <v>0</v>
      </c>
      <c r="AD132" s="27">
        <f>IF(B132="","",IF(IF(I132="",0,I132)=0,"",(I132-IF(H132="",0,H132))/I132))</f>
        <v>0</v>
      </c>
      <c r="AE132" s="26">
        <f>IF(B132="","",IF(H132="","",H132*RetailMarkup))</f>
        <v>0</v>
      </c>
      <c r="AF132" s="26">
        <f>IF(B132="","",IF(AE132="","",ROUND(IF(RoundingRule="None",AE132,IF(RoundingRule="Nearest 0.99",MAX(0.99,CEILING(AE132,1)-0.01),IF(RoundingRule="Nearest 0.95",MAX(0.95,CEILING(AE132,1)-0.05),IF(RoundingRule="Nearest 0.50",CEILING(AE132,0.5),IF(RoundingRule="Nearest 1",CEILING(AE132,1),IF(RoundingRule="Nearest 5",CEILING(AE132,5),IF(RoundingRule="Up to whole 1",CEILING(AE132,1),IF(RoundingRule="Up to whole 5",CEILING(AE132,5),ROUND(AE132,2))))))))),2)))</f>
        <v>0</v>
      </c>
      <c r="AG132" s="26">
        <f>IF(B132="","",ROUND(SUMIFS(Sales!$Y$5:$Y$1204,Sales!$I$5:$I$1204,A132,Sales!$H$5:$H$1204,"Retail"),2))</f>
        <v>0</v>
      </c>
      <c r="AH132" s="26">
        <f>IF(B132="","",ROUND(AG132-U132*IF(H132="",0,H132),2))</f>
        <v>0</v>
      </c>
      <c r="AI132" s="25">
        <f>IF(B132="","",COUNTIFS($AG$5:$AG$304,"&gt;"&amp;AG132)+COUNTIFS($AG$5:AG132,AG132))</f>
        <v>0</v>
      </c>
      <c r="AJ132" s="39">
        <f>IF(B132="","",IF(H132="","Add - no cost, no stock value",IF(Z132="Out of stock","Out of stock - order today",IF(Z132="Low stock","Order - running low",IF(IF(Q132="",FALSE,Q132&lt;=TodayDate+30),"Check - expiring within a month",IF(IF(R132="Yes",AD132&lt;0.25,FALSE),"Below - thin margin for a retail line",IF(IF(P132="",TRUE,TodayDate-P132&gt;90),"Due - not counted in three months","OK")))))))</f>
        <v>0</v>
      </c>
    </row>
    <row r="133" spans="1:36">
      <c r="A133" s="28">
        <f>IF(B133="","",ProductPrefix&amp;TEXT(ROW()-4,"000"))</f>
        <v>0</v>
      </c>
      <c r="T133" s="37">
        <f>IF(B133="","",ROUND(SUMIFS(Purchases!$U$5:$U$304,Purchases!$D$5:$D$304,A133),2))</f>
        <v>0</v>
      </c>
      <c r="U133" s="37">
        <f>IF(B133="","",ROUND(SUMIFS(Sales!$T$5:$T$1204,Sales!$I$5:$I$1204,A133,Sales!$H$5:$H$1204,"Retail"),2))</f>
        <v>0</v>
      </c>
      <c r="V133" s="37">
        <f>IF(B133="","",ROUND(IF(J133="",0,J133)+T133-IF(K133="",0,K133)-U133-IF(L133="",0,L133)+IF(M133="",0,M133),2))</f>
        <v>0</v>
      </c>
      <c r="W133" s="37">
        <f>IF(B133="","",ROUND((U133+IF(K133="",0,K133))/MAX(4,TrackingWeeks),2))</f>
        <v>0</v>
      </c>
      <c r="X133" s="37">
        <f>IF(B133="","",IF(W133&lt;=0,"",ROUND(V133/W133,1)))</f>
        <v>0</v>
      </c>
      <c r="Y133" s="37">
        <f>IF(B133="","",IF(N133&lt;&gt;"",N133,ROUND(W133*StockWarningWeeks,1)))</f>
        <v>0</v>
      </c>
      <c r="Z133" s="39">
        <f>IF(B133="","",IF(V133&lt;=0,"Out of stock",IF(V133&lt;=Y133,"Low stock",IF(R133="No","Backbar","In stock"))))</f>
        <v>0</v>
      </c>
      <c r="AA133" s="37">
        <f>IF(B133="","",IF(Z133="In stock","",IF(Z133="Backbar",IF(V133&lt;=Y133,MAX(1,IF(O133="",ROUND(W133*ReorderWeeks,0),O133)),""),MAX(1,IF(O133="",ROUND(W133*ReorderWeeks,0),O133)))))</f>
        <v>0</v>
      </c>
      <c r="AB133" s="26">
        <f>IF(B133="","",ROUND(V133*IF(H133="",0,H133),2))</f>
        <v>0</v>
      </c>
      <c r="AC133" s="26">
        <f>IF(B133="","",ROUND(V133*IF(I133="",0,I133),2))</f>
        <v>0</v>
      </c>
      <c r="AD133" s="27">
        <f>IF(B133="","",IF(IF(I133="",0,I133)=0,"",(I133-IF(H133="",0,H133))/I133))</f>
        <v>0</v>
      </c>
      <c r="AE133" s="26">
        <f>IF(B133="","",IF(H133="","",H133*RetailMarkup))</f>
        <v>0</v>
      </c>
      <c r="AF133" s="26">
        <f>IF(B133="","",IF(AE133="","",ROUND(IF(RoundingRule="None",AE133,IF(RoundingRule="Nearest 0.99",MAX(0.99,CEILING(AE133,1)-0.01),IF(RoundingRule="Nearest 0.95",MAX(0.95,CEILING(AE133,1)-0.05),IF(RoundingRule="Nearest 0.50",CEILING(AE133,0.5),IF(RoundingRule="Nearest 1",CEILING(AE133,1),IF(RoundingRule="Nearest 5",CEILING(AE133,5),IF(RoundingRule="Up to whole 1",CEILING(AE133,1),IF(RoundingRule="Up to whole 5",CEILING(AE133,5),ROUND(AE133,2))))))))),2)))</f>
        <v>0</v>
      </c>
      <c r="AG133" s="26">
        <f>IF(B133="","",ROUND(SUMIFS(Sales!$Y$5:$Y$1204,Sales!$I$5:$I$1204,A133,Sales!$H$5:$H$1204,"Retail"),2))</f>
        <v>0</v>
      </c>
      <c r="AH133" s="26">
        <f>IF(B133="","",ROUND(AG133-U133*IF(H133="",0,H133),2))</f>
        <v>0</v>
      </c>
      <c r="AI133" s="25">
        <f>IF(B133="","",COUNTIFS($AG$5:$AG$304,"&gt;"&amp;AG133)+COUNTIFS($AG$5:AG133,AG133))</f>
        <v>0</v>
      </c>
      <c r="AJ133" s="39">
        <f>IF(B133="","",IF(H133="","Add - no cost, no stock value",IF(Z133="Out of stock","Out of stock - order today",IF(Z133="Low stock","Order - running low",IF(IF(Q133="",FALSE,Q133&lt;=TodayDate+30),"Check - expiring within a month",IF(IF(R133="Yes",AD133&lt;0.25,FALSE),"Below - thin margin for a retail line",IF(IF(P133="",TRUE,TodayDate-P133&gt;90),"Due - not counted in three months","OK")))))))</f>
        <v>0</v>
      </c>
    </row>
    <row r="134" spans="1:36">
      <c r="A134" s="28">
        <f>IF(B134="","",ProductPrefix&amp;TEXT(ROW()-4,"000"))</f>
        <v>0</v>
      </c>
      <c r="T134" s="37">
        <f>IF(B134="","",ROUND(SUMIFS(Purchases!$U$5:$U$304,Purchases!$D$5:$D$304,A134),2))</f>
        <v>0</v>
      </c>
      <c r="U134" s="37">
        <f>IF(B134="","",ROUND(SUMIFS(Sales!$T$5:$T$1204,Sales!$I$5:$I$1204,A134,Sales!$H$5:$H$1204,"Retail"),2))</f>
        <v>0</v>
      </c>
      <c r="V134" s="37">
        <f>IF(B134="","",ROUND(IF(J134="",0,J134)+T134-IF(K134="",0,K134)-U134-IF(L134="",0,L134)+IF(M134="",0,M134),2))</f>
        <v>0</v>
      </c>
      <c r="W134" s="37">
        <f>IF(B134="","",ROUND((U134+IF(K134="",0,K134))/MAX(4,TrackingWeeks),2))</f>
        <v>0</v>
      </c>
      <c r="X134" s="37">
        <f>IF(B134="","",IF(W134&lt;=0,"",ROUND(V134/W134,1)))</f>
        <v>0</v>
      </c>
      <c r="Y134" s="37">
        <f>IF(B134="","",IF(N134&lt;&gt;"",N134,ROUND(W134*StockWarningWeeks,1)))</f>
        <v>0</v>
      </c>
      <c r="Z134" s="39">
        <f>IF(B134="","",IF(V134&lt;=0,"Out of stock",IF(V134&lt;=Y134,"Low stock",IF(R134="No","Backbar","In stock"))))</f>
        <v>0</v>
      </c>
      <c r="AA134" s="37">
        <f>IF(B134="","",IF(Z134="In stock","",IF(Z134="Backbar",IF(V134&lt;=Y134,MAX(1,IF(O134="",ROUND(W134*ReorderWeeks,0),O134)),""),MAX(1,IF(O134="",ROUND(W134*ReorderWeeks,0),O134)))))</f>
        <v>0</v>
      </c>
      <c r="AB134" s="26">
        <f>IF(B134="","",ROUND(V134*IF(H134="",0,H134),2))</f>
        <v>0</v>
      </c>
      <c r="AC134" s="26">
        <f>IF(B134="","",ROUND(V134*IF(I134="",0,I134),2))</f>
        <v>0</v>
      </c>
      <c r="AD134" s="27">
        <f>IF(B134="","",IF(IF(I134="",0,I134)=0,"",(I134-IF(H134="",0,H134))/I134))</f>
        <v>0</v>
      </c>
      <c r="AE134" s="26">
        <f>IF(B134="","",IF(H134="","",H134*RetailMarkup))</f>
        <v>0</v>
      </c>
      <c r="AF134" s="26">
        <f>IF(B134="","",IF(AE134="","",ROUND(IF(RoundingRule="None",AE134,IF(RoundingRule="Nearest 0.99",MAX(0.99,CEILING(AE134,1)-0.01),IF(RoundingRule="Nearest 0.95",MAX(0.95,CEILING(AE134,1)-0.05),IF(RoundingRule="Nearest 0.50",CEILING(AE134,0.5),IF(RoundingRule="Nearest 1",CEILING(AE134,1),IF(RoundingRule="Nearest 5",CEILING(AE134,5),IF(RoundingRule="Up to whole 1",CEILING(AE134,1),IF(RoundingRule="Up to whole 5",CEILING(AE134,5),ROUND(AE134,2))))))))),2)))</f>
        <v>0</v>
      </c>
      <c r="AG134" s="26">
        <f>IF(B134="","",ROUND(SUMIFS(Sales!$Y$5:$Y$1204,Sales!$I$5:$I$1204,A134,Sales!$H$5:$H$1204,"Retail"),2))</f>
        <v>0</v>
      </c>
      <c r="AH134" s="26">
        <f>IF(B134="","",ROUND(AG134-U134*IF(H134="",0,H134),2))</f>
        <v>0</v>
      </c>
      <c r="AI134" s="25">
        <f>IF(B134="","",COUNTIFS($AG$5:$AG$304,"&gt;"&amp;AG134)+COUNTIFS($AG$5:AG134,AG134))</f>
        <v>0</v>
      </c>
      <c r="AJ134" s="39">
        <f>IF(B134="","",IF(H134="","Add - no cost, no stock value",IF(Z134="Out of stock","Out of stock - order today",IF(Z134="Low stock","Order - running low",IF(IF(Q134="",FALSE,Q134&lt;=TodayDate+30),"Check - expiring within a month",IF(IF(R134="Yes",AD134&lt;0.25,FALSE),"Below - thin margin for a retail line",IF(IF(P134="",TRUE,TodayDate-P134&gt;90),"Due - not counted in three months","OK")))))))</f>
        <v>0</v>
      </c>
    </row>
    <row r="135" spans="1:36">
      <c r="A135" s="28">
        <f>IF(B135="","",ProductPrefix&amp;TEXT(ROW()-4,"000"))</f>
        <v>0</v>
      </c>
      <c r="T135" s="37">
        <f>IF(B135="","",ROUND(SUMIFS(Purchases!$U$5:$U$304,Purchases!$D$5:$D$304,A135),2))</f>
        <v>0</v>
      </c>
      <c r="U135" s="37">
        <f>IF(B135="","",ROUND(SUMIFS(Sales!$T$5:$T$1204,Sales!$I$5:$I$1204,A135,Sales!$H$5:$H$1204,"Retail"),2))</f>
        <v>0</v>
      </c>
      <c r="V135" s="37">
        <f>IF(B135="","",ROUND(IF(J135="",0,J135)+T135-IF(K135="",0,K135)-U135-IF(L135="",0,L135)+IF(M135="",0,M135),2))</f>
        <v>0</v>
      </c>
      <c r="W135" s="37">
        <f>IF(B135="","",ROUND((U135+IF(K135="",0,K135))/MAX(4,TrackingWeeks),2))</f>
        <v>0</v>
      </c>
      <c r="X135" s="37">
        <f>IF(B135="","",IF(W135&lt;=0,"",ROUND(V135/W135,1)))</f>
        <v>0</v>
      </c>
      <c r="Y135" s="37">
        <f>IF(B135="","",IF(N135&lt;&gt;"",N135,ROUND(W135*StockWarningWeeks,1)))</f>
        <v>0</v>
      </c>
      <c r="Z135" s="39">
        <f>IF(B135="","",IF(V135&lt;=0,"Out of stock",IF(V135&lt;=Y135,"Low stock",IF(R135="No","Backbar","In stock"))))</f>
        <v>0</v>
      </c>
      <c r="AA135" s="37">
        <f>IF(B135="","",IF(Z135="In stock","",IF(Z135="Backbar",IF(V135&lt;=Y135,MAX(1,IF(O135="",ROUND(W135*ReorderWeeks,0),O135)),""),MAX(1,IF(O135="",ROUND(W135*ReorderWeeks,0),O135)))))</f>
        <v>0</v>
      </c>
      <c r="AB135" s="26">
        <f>IF(B135="","",ROUND(V135*IF(H135="",0,H135),2))</f>
        <v>0</v>
      </c>
      <c r="AC135" s="26">
        <f>IF(B135="","",ROUND(V135*IF(I135="",0,I135),2))</f>
        <v>0</v>
      </c>
      <c r="AD135" s="27">
        <f>IF(B135="","",IF(IF(I135="",0,I135)=0,"",(I135-IF(H135="",0,H135))/I135))</f>
        <v>0</v>
      </c>
      <c r="AE135" s="26">
        <f>IF(B135="","",IF(H135="","",H135*RetailMarkup))</f>
        <v>0</v>
      </c>
      <c r="AF135" s="26">
        <f>IF(B135="","",IF(AE135="","",ROUND(IF(RoundingRule="None",AE135,IF(RoundingRule="Nearest 0.99",MAX(0.99,CEILING(AE135,1)-0.01),IF(RoundingRule="Nearest 0.95",MAX(0.95,CEILING(AE135,1)-0.05),IF(RoundingRule="Nearest 0.50",CEILING(AE135,0.5),IF(RoundingRule="Nearest 1",CEILING(AE135,1),IF(RoundingRule="Nearest 5",CEILING(AE135,5),IF(RoundingRule="Up to whole 1",CEILING(AE135,1),IF(RoundingRule="Up to whole 5",CEILING(AE135,5),ROUND(AE135,2))))))))),2)))</f>
        <v>0</v>
      </c>
      <c r="AG135" s="26">
        <f>IF(B135="","",ROUND(SUMIFS(Sales!$Y$5:$Y$1204,Sales!$I$5:$I$1204,A135,Sales!$H$5:$H$1204,"Retail"),2))</f>
        <v>0</v>
      </c>
      <c r="AH135" s="26">
        <f>IF(B135="","",ROUND(AG135-U135*IF(H135="",0,H135),2))</f>
        <v>0</v>
      </c>
      <c r="AI135" s="25">
        <f>IF(B135="","",COUNTIFS($AG$5:$AG$304,"&gt;"&amp;AG135)+COUNTIFS($AG$5:AG135,AG135))</f>
        <v>0</v>
      </c>
      <c r="AJ135" s="39">
        <f>IF(B135="","",IF(H135="","Add - no cost, no stock value",IF(Z135="Out of stock","Out of stock - order today",IF(Z135="Low stock","Order - running low",IF(IF(Q135="",FALSE,Q135&lt;=TodayDate+30),"Check - expiring within a month",IF(IF(R135="Yes",AD135&lt;0.25,FALSE),"Below - thin margin for a retail line",IF(IF(P135="",TRUE,TodayDate-P135&gt;90),"Due - not counted in three months","OK")))))))</f>
        <v>0</v>
      </c>
    </row>
    <row r="136" spans="1:36">
      <c r="A136" s="28">
        <f>IF(B136="","",ProductPrefix&amp;TEXT(ROW()-4,"000"))</f>
        <v>0</v>
      </c>
      <c r="T136" s="37">
        <f>IF(B136="","",ROUND(SUMIFS(Purchases!$U$5:$U$304,Purchases!$D$5:$D$304,A136),2))</f>
        <v>0</v>
      </c>
      <c r="U136" s="37">
        <f>IF(B136="","",ROUND(SUMIFS(Sales!$T$5:$T$1204,Sales!$I$5:$I$1204,A136,Sales!$H$5:$H$1204,"Retail"),2))</f>
        <v>0</v>
      </c>
      <c r="V136" s="37">
        <f>IF(B136="","",ROUND(IF(J136="",0,J136)+T136-IF(K136="",0,K136)-U136-IF(L136="",0,L136)+IF(M136="",0,M136),2))</f>
        <v>0</v>
      </c>
      <c r="W136" s="37">
        <f>IF(B136="","",ROUND((U136+IF(K136="",0,K136))/MAX(4,TrackingWeeks),2))</f>
        <v>0</v>
      </c>
      <c r="X136" s="37">
        <f>IF(B136="","",IF(W136&lt;=0,"",ROUND(V136/W136,1)))</f>
        <v>0</v>
      </c>
      <c r="Y136" s="37">
        <f>IF(B136="","",IF(N136&lt;&gt;"",N136,ROUND(W136*StockWarningWeeks,1)))</f>
        <v>0</v>
      </c>
      <c r="Z136" s="39">
        <f>IF(B136="","",IF(V136&lt;=0,"Out of stock",IF(V136&lt;=Y136,"Low stock",IF(R136="No","Backbar","In stock"))))</f>
        <v>0</v>
      </c>
      <c r="AA136" s="37">
        <f>IF(B136="","",IF(Z136="In stock","",IF(Z136="Backbar",IF(V136&lt;=Y136,MAX(1,IF(O136="",ROUND(W136*ReorderWeeks,0),O136)),""),MAX(1,IF(O136="",ROUND(W136*ReorderWeeks,0),O136)))))</f>
        <v>0</v>
      </c>
      <c r="AB136" s="26">
        <f>IF(B136="","",ROUND(V136*IF(H136="",0,H136),2))</f>
        <v>0</v>
      </c>
      <c r="AC136" s="26">
        <f>IF(B136="","",ROUND(V136*IF(I136="",0,I136),2))</f>
        <v>0</v>
      </c>
      <c r="AD136" s="27">
        <f>IF(B136="","",IF(IF(I136="",0,I136)=0,"",(I136-IF(H136="",0,H136))/I136))</f>
        <v>0</v>
      </c>
      <c r="AE136" s="26">
        <f>IF(B136="","",IF(H136="","",H136*RetailMarkup))</f>
        <v>0</v>
      </c>
      <c r="AF136" s="26">
        <f>IF(B136="","",IF(AE136="","",ROUND(IF(RoundingRule="None",AE136,IF(RoundingRule="Nearest 0.99",MAX(0.99,CEILING(AE136,1)-0.01),IF(RoundingRule="Nearest 0.95",MAX(0.95,CEILING(AE136,1)-0.05),IF(RoundingRule="Nearest 0.50",CEILING(AE136,0.5),IF(RoundingRule="Nearest 1",CEILING(AE136,1),IF(RoundingRule="Nearest 5",CEILING(AE136,5),IF(RoundingRule="Up to whole 1",CEILING(AE136,1),IF(RoundingRule="Up to whole 5",CEILING(AE136,5),ROUND(AE136,2))))))))),2)))</f>
        <v>0</v>
      </c>
      <c r="AG136" s="26">
        <f>IF(B136="","",ROUND(SUMIFS(Sales!$Y$5:$Y$1204,Sales!$I$5:$I$1204,A136,Sales!$H$5:$H$1204,"Retail"),2))</f>
        <v>0</v>
      </c>
      <c r="AH136" s="26">
        <f>IF(B136="","",ROUND(AG136-U136*IF(H136="",0,H136),2))</f>
        <v>0</v>
      </c>
      <c r="AI136" s="25">
        <f>IF(B136="","",COUNTIFS($AG$5:$AG$304,"&gt;"&amp;AG136)+COUNTIFS($AG$5:AG136,AG136))</f>
        <v>0</v>
      </c>
      <c r="AJ136" s="39">
        <f>IF(B136="","",IF(H136="","Add - no cost, no stock value",IF(Z136="Out of stock","Out of stock - order today",IF(Z136="Low stock","Order - running low",IF(IF(Q136="",FALSE,Q136&lt;=TodayDate+30),"Check - expiring within a month",IF(IF(R136="Yes",AD136&lt;0.25,FALSE),"Below - thin margin for a retail line",IF(IF(P136="",TRUE,TodayDate-P136&gt;90),"Due - not counted in three months","OK")))))))</f>
        <v>0</v>
      </c>
    </row>
    <row r="137" spans="1:36">
      <c r="A137" s="28">
        <f>IF(B137="","",ProductPrefix&amp;TEXT(ROW()-4,"000"))</f>
        <v>0</v>
      </c>
      <c r="T137" s="37">
        <f>IF(B137="","",ROUND(SUMIFS(Purchases!$U$5:$U$304,Purchases!$D$5:$D$304,A137),2))</f>
        <v>0</v>
      </c>
      <c r="U137" s="37">
        <f>IF(B137="","",ROUND(SUMIFS(Sales!$T$5:$T$1204,Sales!$I$5:$I$1204,A137,Sales!$H$5:$H$1204,"Retail"),2))</f>
        <v>0</v>
      </c>
      <c r="V137" s="37">
        <f>IF(B137="","",ROUND(IF(J137="",0,J137)+T137-IF(K137="",0,K137)-U137-IF(L137="",0,L137)+IF(M137="",0,M137),2))</f>
        <v>0</v>
      </c>
      <c r="W137" s="37">
        <f>IF(B137="","",ROUND((U137+IF(K137="",0,K137))/MAX(4,TrackingWeeks),2))</f>
        <v>0</v>
      </c>
      <c r="X137" s="37">
        <f>IF(B137="","",IF(W137&lt;=0,"",ROUND(V137/W137,1)))</f>
        <v>0</v>
      </c>
      <c r="Y137" s="37">
        <f>IF(B137="","",IF(N137&lt;&gt;"",N137,ROUND(W137*StockWarningWeeks,1)))</f>
        <v>0</v>
      </c>
      <c r="Z137" s="39">
        <f>IF(B137="","",IF(V137&lt;=0,"Out of stock",IF(V137&lt;=Y137,"Low stock",IF(R137="No","Backbar","In stock"))))</f>
        <v>0</v>
      </c>
      <c r="AA137" s="37">
        <f>IF(B137="","",IF(Z137="In stock","",IF(Z137="Backbar",IF(V137&lt;=Y137,MAX(1,IF(O137="",ROUND(W137*ReorderWeeks,0),O137)),""),MAX(1,IF(O137="",ROUND(W137*ReorderWeeks,0),O137)))))</f>
        <v>0</v>
      </c>
      <c r="AB137" s="26">
        <f>IF(B137="","",ROUND(V137*IF(H137="",0,H137),2))</f>
        <v>0</v>
      </c>
      <c r="AC137" s="26">
        <f>IF(B137="","",ROUND(V137*IF(I137="",0,I137),2))</f>
        <v>0</v>
      </c>
      <c r="AD137" s="27">
        <f>IF(B137="","",IF(IF(I137="",0,I137)=0,"",(I137-IF(H137="",0,H137))/I137))</f>
        <v>0</v>
      </c>
      <c r="AE137" s="26">
        <f>IF(B137="","",IF(H137="","",H137*RetailMarkup))</f>
        <v>0</v>
      </c>
      <c r="AF137" s="26">
        <f>IF(B137="","",IF(AE137="","",ROUND(IF(RoundingRule="None",AE137,IF(RoundingRule="Nearest 0.99",MAX(0.99,CEILING(AE137,1)-0.01),IF(RoundingRule="Nearest 0.95",MAX(0.95,CEILING(AE137,1)-0.05),IF(RoundingRule="Nearest 0.50",CEILING(AE137,0.5),IF(RoundingRule="Nearest 1",CEILING(AE137,1),IF(RoundingRule="Nearest 5",CEILING(AE137,5),IF(RoundingRule="Up to whole 1",CEILING(AE137,1),IF(RoundingRule="Up to whole 5",CEILING(AE137,5),ROUND(AE137,2))))))))),2)))</f>
        <v>0</v>
      </c>
      <c r="AG137" s="26">
        <f>IF(B137="","",ROUND(SUMIFS(Sales!$Y$5:$Y$1204,Sales!$I$5:$I$1204,A137,Sales!$H$5:$H$1204,"Retail"),2))</f>
        <v>0</v>
      </c>
      <c r="AH137" s="26">
        <f>IF(B137="","",ROUND(AG137-U137*IF(H137="",0,H137),2))</f>
        <v>0</v>
      </c>
      <c r="AI137" s="25">
        <f>IF(B137="","",COUNTIFS($AG$5:$AG$304,"&gt;"&amp;AG137)+COUNTIFS($AG$5:AG137,AG137))</f>
        <v>0</v>
      </c>
      <c r="AJ137" s="39">
        <f>IF(B137="","",IF(H137="","Add - no cost, no stock value",IF(Z137="Out of stock","Out of stock - order today",IF(Z137="Low stock","Order - running low",IF(IF(Q137="",FALSE,Q137&lt;=TodayDate+30),"Check - expiring within a month",IF(IF(R137="Yes",AD137&lt;0.25,FALSE),"Below - thin margin for a retail line",IF(IF(P137="",TRUE,TodayDate-P137&gt;90),"Due - not counted in three months","OK")))))))</f>
        <v>0</v>
      </c>
    </row>
    <row r="138" spans="1:36">
      <c r="A138" s="28">
        <f>IF(B138="","",ProductPrefix&amp;TEXT(ROW()-4,"000"))</f>
        <v>0</v>
      </c>
      <c r="T138" s="37">
        <f>IF(B138="","",ROUND(SUMIFS(Purchases!$U$5:$U$304,Purchases!$D$5:$D$304,A138),2))</f>
        <v>0</v>
      </c>
      <c r="U138" s="37">
        <f>IF(B138="","",ROUND(SUMIFS(Sales!$T$5:$T$1204,Sales!$I$5:$I$1204,A138,Sales!$H$5:$H$1204,"Retail"),2))</f>
        <v>0</v>
      </c>
      <c r="V138" s="37">
        <f>IF(B138="","",ROUND(IF(J138="",0,J138)+T138-IF(K138="",0,K138)-U138-IF(L138="",0,L138)+IF(M138="",0,M138),2))</f>
        <v>0</v>
      </c>
      <c r="W138" s="37">
        <f>IF(B138="","",ROUND((U138+IF(K138="",0,K138))/MAX(4,TrackingWeeks),2))</f>
        <v>0</v>
      </c>
      <c r="X138" s="37">
        <f>IF(B138="","",IF(W138&lt;=0,"",ROUND(V138/W138,1)))</f>
        <v>0</v>
      </c>
      <c r="Y138" s="37">
        <f>IF(B138="","",IF(N138&lt;&gt;"",N138,ROUND(W138*StockWarningWeeks,1)))</f>
        <v>0</v>
      </c>
      <c r="Z138" s="39">
        <f>IF(B138="","",IF(V138&lt;=0,"Out of stock",IF(V138&lt;=Y138,"Low stock",IF(R138="No","Backbar","In stock"))))</f>
        <v>0</v>
      </c>
      <c r="AA138" s="37">
        <f>IF(B138="","",IF(Z138="In stock","",IF(Z138="Backbar",IF(V138&lt;=Y138,MAX(1,IF(O138="",ROUND(W138*ReorderWeeks,0),O138)),""),MAX(1,IF(O138="",ROUND(W138*ReorderWeeks,0),O138)))))</f>
        <v>0</v>
      </c>
      <c r="AB138" s="26">
        <f>IF(B138="","",ROUND(V138*IF(H138="",0,H138),2))</f>
        <v>0</v>
      </c>
      <c r="AC138" s="26">
        <f>IF(B138="","",ROUND(V138*IF(I138="",0,I138),2))</f>
        <v>0</v>
      </c>
      <c r="AD138" s="27">
        <f>IF(B138="","",IF(IF(I138="",0,I138)=0,"",(I138-IF(H138="",0,H138))/I138))</f>
        <v>0</v>
      </c>
      <c r="AE138" s="26">
        <f>IF(B138="","",IF(H138="","",H138*RetailMarkup))</f>
        <v>0</v>
      </c>
      <c r="AF138" s="26">
        <f>IF(B138="","",IF(AE138="","",ROUND(IF(RoundingRule="None",AE138,IF(RoundingRule="Nearest 0.99",MAX(0.99,CEILING(AE138,1)-0.01),IF(RoundingRule="Nearest 0.95",MAX(0.95,CEILING(AE138,1)-0.05),IF(RoundingRule="Nearest 0.50",CEILING(AE138,0.5),IF(RoundingRule="Nearest 1",CEILING(AE138,1),IF(RoundingRule="Nearest 5",CEILING(AE138,5),IF(RoundingRule="Up to whole 1",CEILING(AE138,1),IF(RoundingRule="Up to whole 5",CEILING(AE138,5),ROUND(AE138,2))))))))),2)))</f>
        <v>0</v>
      </c>
      <c r="AG138" s="26">
        <f>IF(B138="","",ROUND(SUMIFS(Sales!$Y$5:$Y$1204,Sales!$I$5:$I$1204,A138,Sales!$H$5:$H$1204,"Retail"),2))</f>
        <v>0</v>
      </c>
      <c r="AH138" s="26">
        <f>IF(B138="","",ROUND(AG138-U138*IF(H138="",0,H138),2))</f>
        <v>0</v>
      </c>
      <c r="AI138" s="25">
        <f>IF(B138="","",COUNTIFS($AG$5:$AG$304,"&gt;"&amp;AG138)+COUNTIFS($AG$5:AG138,AG138))</f>
        <v>0</v>
      </c>
      <c r="AJ138" s="39">
        <f>IF(B138="","",IF(H138="","Add - no cost, no stock value",IF(Z138="Out of stock","Out of stock - order today",IF(Z138="Low stock","Order - running low",IF(IF(Q138="",FALSE,Q138&lt;=TodayDate+30),"Check - expiring within a month",IF(IF(R138="Yes",AD138&lt;0.25,FALSE),"Below - thin margin for a retail line",IF(IF(P138="",TRUE,TodayDate-P138&gt;90),"Due - not counted in three months","OK")))))))</f>
        <v>0</v>
      </c>
    </row>
    <row r="139" spans="1:36">
      <c r="A139" s="28">
        <f>IF(B139="","",ProductPrefix&amp;TEXT(ROW()-4,"000"))</f>
        <v>0</v>
      </c>
      <c r="T139" s="37">
        <f>IF(B139="","",ROUND(SUMIFS(Purchases!$U$5:$U$304,Purchases!$D$5:$D$304,A139),2))</f>
        <v>0</v>
      </c>
      <c r="U139" s="37">
        <f>IF(B139="","",ROUND(SUMIFS(Sales!$T$5:$T$1204,Sales!$I$5:$I$1204,A139,Sales!$H$5:$H$1204,"Retail"),2))</f>
        <v>0</v>
      </c>
      <c r="V139" s="37">
        <f>IF(B139="","",ROUND(IF(J139="",0,J139)+T139-IF(K139="",0,K139)-U139-IF(L139="",0,L139)+IF(M139="",0,M139),2))</f>
        <v>0</v>
      </c>
      <c r="W139" s="37">
        <f>IF(B139="","",ROUND((U139+IF(K139="",0,K139))/MAX(4,TrackingWeeks),2))</f>
        <v>0</v>
      </c>
      <c r="X139" s="37">
        <f>IF(B139="","",IF(W139&lt;=0,"",ROUND(V139/W139,1)))</f>
        <v>0</v>
      </c>
      <c r="Y139" s="37">
        <f>IF(B139="","",IF(N139&lt;&gt;"",N139,ROUND(W139*StockWarningWeeks,1)))</f>
        <v>0</v>
      </c>
      <c r="Z139" s="39">
        <f>IF(B139="","",IF(V139&lt;=0,"Out of stock",IF(V139&lt;=Y139,"Low stock",IF(R139="No","Backbar","In stock"))))</f>
        <v>0</v>
      </c>
      <c r="AA139" s="37">
        <f>IF(B139="","",IF(Z139="In stock","",IF(Z139="Backbar",IF(V139&lt;=Y139,MAX(1,IF(O139="",ROUND(W139*ReorderWeeks,0),O139)),""),MAX(1,IF(O139="",ROUND(W139*ReorderWeeks,0),O139)))))</f>
        <v>0</v>
      </c>
      <c r="AB139" s="26">
        <f>IF(B139="","",ROUND(V139*IF(H139="",0,H139),2))</f>
        <v>0</v>
      </c>
      <c r="AC139" s="26">
        <f>IF(B139="","",ROUND(V139*IF(I139="",0,I139),2))</f>
        <v>0</v>
      </c>
      <c r="AD139" s="27">
        <f>IF(B139="","",IF(IF(I139="",0,I139)=0,"",(I139-IF(H139="",0,H139))/I139))</f>
        <v>0</v>
      </c>
      <c r="AE139" s="26">
        <f>IF(B139="","",IF(H139="","",H139*RetailMarkup))</f>
        <v>0</v>
      </c>
      <c r="AF139" s="26">
        <f>IF(B139="","",IF(AE139="","",ROUND(IF(RoundingRule="None",AE139,IF(RoundingRule="Nearest 0.99",MAX(0.99,CEILING(AE139,1)-0.01),IF(RoundingRule="Nearest 0.95",MAX(0.95,CEILING(AE139,1)-0.05),IF(RoundingRule="Nearest 0.50",CEILING(AE139,0.5),IF(RoundingRule="Nearest 1",CEILING(AE139,1),IF(RoundingRule="Nearest 5",CEILING(AE139,5),IF(RoundingRule="Up to whole 1",CEILING(AE139,1),IF(RoundingRule="Up to whole 5",CEILING(AE139,5),ROUND(AE139,2))))))))),2)))</f>
        <v>0</v>
      </c>
      <c r="AG139" s="26">
        <f>IF(B139="","",ROUND(SUMIFS(Sales!$Y$5:$Y$1204,Sales!$I$5:$I$1204,A139,Sales!$H$5:$H$1204,"Retail"),2))</f>
        <v>0</v>
      </c>
      <c r="AH139" s="26">
        <f>IF(B139="","",ROUND(AG139-U139*IF(H139="",0,H139),2))</f>
        <v>0</v>
      </c>
      <c r="AI139" s="25">
        <f>IF(B139="","",COUNTIFS($AG$5:$AG$304,"&gt;"&amp;AG139)+COUNTIFS($AG$5:AG139,AG139))</f>
        <v>0</v>
      </c>
      <c r="AJ139" s="39">
        <f>IF(B139="","",IF(H139="","Add - no cost, no stock value",IF(Z139="Out of stock","Out of stock - order today",IF(Z139="Low stock","Order - running low",IF(IF(Q139="",FALSE,Q139&lt;=TodayDate+30),"Check - expiring within a month",IF(IF(R139="Yes",AD139&lt;0.25,FALSE),"Below - thin margin for a retail line",IF(IF(P139="",TRUE,TodayDate-P139&gt;90),"Due - not counted in three months","OK")))))))</f>
        <v>0</v>
      </c>
    </row>
    <row r="140" spans="1:36">
      <c r="A140" s="28">
        <f>IF(B140="","",ProductPrefix&amp;TEXT(ROW()-4,"000"))</f>
        <v>0</v>
      </c>
      <c r="T140" s="37">
        <f>IF(B140="","",ROUND(SUMIFS(Purchases!$U$5:$U$304,Purchases!$D$5:$D$304,A140),2))</f>
        <v>0</v>
      </c>
      <c r="U140" s="37">
        <f>IF(B140="","",ROUND(SUMIFS(Sales!$T$5:$T$1204,Sales!$I$5:$I$1204,A140,Sales!$H$5:$H$1204,"Retail"),2))</f>
        <v>0</v>
      </c>
      <c r="V140" s="37">
        <f>IF(B140="","",ROUND(IF(J140="",0,J140)+T140-IF(K140="",0,K140)-U140-IF(L140="",0,L140)+IF(M140="",0,M140),2))</f>
        <v>0</v>
      </c>
      <c r="W140" s="37">
        <f>IF(B140="","",ROUND((U140+IF(K140="",0,K140))/MAX(4,TrackingWeeks),2))</f>
        <v>0</v>
      </c>
      <c r="X140" s="37">
        <f>IF(B140="","",IF(W140&lt;=0,"",ROUND(V140/W140,1)))</f>
        <v>0</v>
      </c>
      <c r="Y140" s="37">
        <f>IF(B140="","",IF(N140&lt;&gt;"",N140,ROUND(W140*StockWarningWeeks,1)))</f>
        <v>0</v>
      </c>
      <c r="Z140" s="39">
        <f>IF(B140="","",IF(V140&lt;=0,"Out of stock",IF(V140&lt;=Y140,"Low stock",IF(R140="No","Backbar","In stock"))))</f>
        <v>0</v>
      </c>
      <c r="AA140" s="37">
        <f>IF(B140="","",IF(Z140="In stock","",IF(Z140="Backbar",IF(V140&lt;=Y140,MAX(1,IF(O140="",ROUND(W140*ReorderWeeks,0),O140)),""),MAX(1,IF(O140="",ROUND(W140*ReorderWeeks,0),O140)))))</f>
        <v>0</v>
      </c>
      <c r="AB140" s="26">
        <f>IF(B140="","",ROUND(V140*IF(H140="",0,H140),2))</f>
        <v>0</v>
      </c>
      <c r="AC140" s="26">
        <f>IF(B140="","",ROUND(V140*IF(I140="",0,I140),2))</f>
        <v>0</v>
      </c>
      <c r="AD140" s="27">
        <f>IF(B140="","",IF(IF(I140="",0,I140)=0,"",(I140-IF(H140="",0,H140))/I140))</f>
        <v>0</v>
      </c>
      <c r="AE140" s="26">
        <f>IF(B140="","",IF(H140="","",H140*RetailMarkup))</f>
        <v>0</v>
      </c>
      <c r="AF140" s="26">
        <f>IF(B140="","",IF(AE140="","",ROUND(IF(RoundingRule="None",AE140,IF(RoundingRule="Nearest 0.99",MAX(0.99,CEILING(AE140,1)-0.01),IF(RoundingRule="Nearest 0.95",MAX(0.95,CEILING(AE140,1)-0.05),IF(RoundingRule="Nearest 0.50",CEILING(AE140,0.5),IF(RoundingRule="Nearest 1",CEILING(AE140,1),IF(RoundingRule="Nearest 5",CEILING(AE140,5),IF(RoundingRule="Up to whole 1",CEILING(AE140,1),IF(RoundingRule="Up to whole 5",CEILING(AE140,5),ROUND(AE140,2))))))))),2)))</f>
        <v>0</v>
      </c>
      <c r="AG140" s="26">
        <f>IF(B140="","",ROUND(SUMIFS(Sales!$Y$5:$Y$1204,Sales!$I$5:$I$1204,A140,Sales!$H$5:$H$1204,"Retail"),2))</f>
        <v>0</v>
      </c>
      <c r="AH140" s="26">
        <f>IF(B140="","",ROUND(AG140-U140*IF(H140="",0,H140),2))</f>
        <v>0</v>
      </c>
      <c r="AI140" s="25">
        <f>IF(B140="","",COUNTIFS($AG$5:$AG$304,"&gt;"&amp;AG140)+COUNTIFS($AG$5:AG140,AG140))</f>
        <v>0</v>
      </c>
      <c r="AJ140" s="39">
        <f>IF(B140="","",IF(H140="","Add - no cost, no stock value",IF(Z140="Out of stock","Out of stock - order today",IF(Z140="Low stock","Order - running low",IF(IF(Q140="",FALSE,Q140&lt;=TodayDate+30),"Check - expiring within a month",IF(IF(R140="Yes",AD140&lt;0.25,FALSE),"Below - thin margin for a retail line",IF(IF(P140="",TRUE,TodayDate-P140&gt;90),"Due - not counted in three months","OK")))))))</f>
        <v>0</v>
      </c>
    </row>
    <row r="141" spans="1:36">
      <c r="A141" s="28">
        <f>IF(B141="","",ProductPrefix&amp;TEXT(ROW()-4,"000"))</f>
        <v>0</v>
      </c>
      <c r="T141" s="37">
        <f>IF(B141="","",ROUND(SUMIFS(Purchases!$U$5:$U$304,Purchases!$D$5:$D$304,A141),2))</f>
        <v>0</v>
      </c>
      <c r="U141" s="37">
        <f>IF(B141="","",ROUND(SUMIFS(Sales!$T$5:$T$1204,Sales!$I$5:$I$1204,A141,Sales!$H$5:$H$1204,"Retail"),2))</f>
        <v>0</v>
      </c>
      <c r="V141" s="37">
        <f>IF(B141="","",ROUND(IF(J141="",0,J141)+T141-IF(K141="",0,K141)-U141-IF(L141="",0,L141)+IF(M141="",0,M141),2))</f>
        <v>0</v>
      </c>
      <c r="W141" s="37">
        <f>IF(B141="","",ROUND((U141+IF(K141="",0,K141))/MAX(4,TrackingWeeks),2))</f>
        <v>0</v>
      </c>
      <c r="X141" s="37">
        <f>IF(B141="","",IF(W141&lt;=0,"",ROUND(V141/W141,1)))</f>
        <v>0</v>
      </c>
      <c r="Y141" s="37">
        <f>IF(B141="","",IF(N141&lt;&gt;"",N141,ROUND(W141*StockWarningWeeks,1)))</f>
        <v>0</v>
      </c>
      <c r="Z141" s="39">
        <f>IF(B141="","",IF(V141&lt;=0,"Out of stock",IF(V141&lt;=Y141,"Low stock",IF(R141="No","Backbar","In stock"))))</f>
        <v>0</v>
      </c>
      <c r="AA141" s="37">
        <f>IF(B141="","",IF(Z141="In stock","",IF(Z141="Backbar",IF(V141&lt;=Y141,MAX(1,IF(O141="",ROUND(W141*ReorderWeeks,0),O141)),""),MAX(1,IF(O141="",ROUND(W141*ReorderWeeks,0),O141)))))</f>
        <v>0</v>
      </c>
      <c r="AB141" s="26">
        <f>IF(B141="","",ROUND(V141*IF(H141="",0,H141),2))</f>
        <v>0</v>
      </c>
      <c r="AC141" s="26">
        <f>IF(B141="","",ROUND(V141*IF(I141="",0,I141),2))</f>
        <v>0</v>
      </c>
      <c r="AD141" s="27">
        <f>IF(B141="","",IF(IF(I141="",0,I141)=0,"",(I141-IF(H141="",0,H141))/I141))</f>
        <v>0</v>
      </c>
      <c r="AE141" s="26">
        <f>IF(B141="","",IF(H141="","",H141*RetailMarkup))</f>
        <v>0</v>
      </c>
      <c r="AF141" s="26">
        <f>IF(B141="","",IF(AE141="","",ROUND(IF(RoundingRule="None",AE141,IF(RoundingRule="Nearest 0.99",MAX(0.99,CEILING(AE141,1)-0.01),IF(RoundingRule="Nearest 0.95",MAX(0.95,CEILING(AE141,1)-0.05),IF(RoundingRule="Nearest 0.50",CEILING(AE141,0.5),IF(RoundingRule="Nearest 1",CEILING(AE141,1),IF(RoundingRule="Nearest 5",CEILING(AE141,5),IF(RoundingRule="Up to whole 1",CEILING(AE141,1),IF(RoundingRule="Up to whole 5",CEILING(AE141,5),ROUND(AE141,2))))))))),2)))</f>
        <v>0</v>
      </c>
      <c r="AG141" s="26">
        <f>IF(B141="","",ROUND(SUMIFS(Sales!$Y$5:$Y$1204,Sales!$I$5:$I$1204,A141,Sales!$H$5:$H$1204,"Retail"),2))</f>
        <v>0</v>
      </c>
      <c r="AH141" s="26">
        <f>IF(B141="","",ROUND(AG141-U141*IF(H141="",0,H141),2))</f>
        <v>0</v>
      </c>
      <c r="AI141" s="25">
        <f>IF(B141="","",COUNTIFS($AG$5:$AG$304,"&gt;"&amp;AG141)+COUNTIFS($AG$5:AG141,AG141))</f>
        <v>0</v>
      </c>
      <c r="AJ141" s="39">
        <f>IF(B141="","",IF(H141="","Add - no cost, no stock value",IF(Z141="Out of stock","Out of stock - order today",IF(Z141="Low stock","Order - running low",IF(IF(Q141="",FALSE,Q141&lt;=TodayDate+30),"Check - expiring within a month",IF(IF(R141="Yes",AD141&lt;0.25,FALSE),"Below - thin margin for a retail line",IF(IF(P141="",TRUE,TodayDate-P141&gt;90),"Due - not counted in three months","OK")))))))</f>
        <v>0</v>
      </c>
    </row>
    <row r="142" spans="1:36">
      <c r="A142" s="28">
        <f>IF(B142="","",ProductPrefix&amp;TEXT(ROW()-4,"000"))</f>
        <v>0</v>
      </c>
      <c r="T142" s="37">
        <f>IF(B142="","",ROUND(SUMIFS(Purchases!$U$5:$U$304,Purchases!$D$5:$D$304,A142),2))</f>
        <v>0</v>
      </c>
      <c r="U142" s="37">
        <f>IF(B142="","",ROUND(SUMIFS(Sales!$T$5:$T$1204,Sales!$I$5:$I$1204,A142,Sales!$H$5:$H$1204,"Retail"),2))</f>
        <v>0</v>
      </c>
      <c r="V142" s="37">
        <f>IF(B142="","",ROUND(IF(J142="",0,J142)+T142-IF(K142="",0,K142)-U142-IF(L142="",0,L142)+IF(M142="",0,M142),2))</f>
        <v>0</v>
      </c>
      <c r="W142" s="37">
        <f>IF(B142="","",ROUND((U142+IF(K142="",0,K142))/MAX(4,TrackingWeeks),2))</f>
        <v>0</v>
      </c>
      <c r="X142" s="37">
        <f>IF(B142="","",IF(W142&lt;=0,"",ROUND(V142/W142,1)))</f>
        <v>0</v>
      </c>
      <c r="Y142" s="37">
        <f>IF(B142="","",IF(N142&lt;&gt;"",N142,ROUND(W142*StockWarningWeeks,1)))</f>
        <v>0</v>
      </c>
      <c r="Z142" s="39">
        <f>IF(B142="","",IF(V142&lt;=0,"Out of stock",IF(V142&lt;=Y142,"Low stock",IF(R142="No","Backbar","In stock"))))</f>
        <v>0</v>
      </c>
      <c r="AA142" s="37">
        <f>IF(B142="","",IF(Z142="In stock","",IF(Z142="Backbar",IF(V142&lt;=Y142,MAX(1,IF(O142="",ROUND(W142*ReorderWeeks,0),O142)),""),MAX(1,IF(O142="",ROUND(W142*ReorderWeeks,0),O142)))))</f>
        <v>0</v>
      </c>
      <c r="AB142" s="26">
        <f>IF(B142="","",ROUND(V142*IF(H142="",0,H142),2))</f>
        <v>0</v>
      </c>
      <c r="AC142" s="26">
        <f>IF(B142="","",ROUND(V142*IF(I142="",0,I142),2))</f>
        <v>0</v>
      </c>
      <c r="AD142" s="27">
        <f>IF(B142="","",IF(IF(I142="",0,I142)=0,"",(I142-IF(H142="",0,H142))/I142))</f>
        <v>0</v>
      </c>
      <c r="AE142" s="26">
        <f>IF(B142="","",IF(H142="","",H142*RetailMarkup))</f>
        <v>0</v>
      </c>
      <c r="AF142" s="26">
        <f>IF(B142="","",IF(AE142="","",ROUND(IF(RoundingRule="None",AE142,IF(RoundingRule="Nearest 0.99",MAX(0.99,CEILING(AE142,1)-0.01),IF(RoundingRule="Nearest 0.95",MAX(0.95,CEILING(AE142,1)-0.05),IF(RoundingRule="Nearest 0.50",CEILING(AE142,0.5),IF(RoundingRule="Nearest 1",CEILING(AE142,1),IF(RoundingRule="Nearest 5",CEILING(AE142,5),IF(RoundingRule="Up to whole 1",CEILING(AE142,1),IF(RoundingRule="Up to whole 5",CEILING(AE142,5),ROUND(AE142,2))))))))),2)))</f>
        <v>0</v>
      </c>
      <c r="AG142" s="26">
        <f>IF(B142="","",ROUND(SUMIFS(Sales!$Y$5:$Y$1204,Sales!$I$5:$I$1204,A142,Sales!$H$5:$H$1204,"Retail"),2))</f>
        <v>0</v>
      </c>
      <c r="AH142" s="26">
        <f>IF(B142="","",ROUND(AG142-U142*IF(H142="",0,H142),2))</f>
        <v>0</v>
      </c>
      <c r="AI142" s="25">
        <f>IF(B142="","",COUNTIFS($AG$5:$AG$304,"&gt;"&amp;AG142)+COUNTIFS($AG$5:AG142,AG142))</f>
        <v>0</v>
      </c>
      <c r="AJ142" s="39">
        <f>IF(B142="","",IF(H142="","Add - no cost, no stock value",IF(Z142="Out of stock","Out of stock - order today",IF(Z142="Low stock","Order - running low",IF(IF(Q142="",FALSE,Q142&lt;=TodayDate+30),"Check - expiring within a month",IF(IF(R142="Yes",AD142&lt;0.25,FALSE),"Below - thin margin for a retail line",IF(IF(P142="",TRUE,TodayDate-P142&gt;90),"Due - not counted in three months","OK")))))))</f>
        <v>0</v>
      </c>
    </row>
    <row r="143" spans="1:36">
      <c r="A143" s="28">
        <f>IF(B143="","",ProductPrefix&amp;TEXT(ROW()-4,"000"))</f>
        <v>0</v>
      </c>
      <c r="T143" s="37">
        <f>IF(B143="","",ROUND(SUMIFS(Purchases!$U$5:$U$304,Purchases!$D$5:$D$304,A143),2))</f>
        <v>0</v>
      </c>
      <c r="U143" s="37">
        <f>IF(B143="","",ROUND(SUMIFS(Sales!$T$5:$T$1204,Sales!$I$5:$I$1204,A143,Sales!$H$5:$H$1204,"Retail"),2))</f>
        <v>0</v>
      </c>
      <c r="V143" s="37">
        <f>IF(B143="","",ROUND(IF(J143="",0,J143)+T143-IF(K143="",0,K143)-U143-IF(L143="",0,L143)+IF(M143="",0,M143),2))</f>
        <v>0</v>
      </c>
      <c r="W143" s="37">
        <f>IF(B143="","",ROUND((U143+IF(K143="",0,K143))/MAX(4,TrackingWeeks),2))</f>
        <v>0</v>
      </c>
      <c r="X143" s="37">
        <f>IF(B143="","",IF(W143&lt;=0,"",ROUND(V143/W143,1)))</f>
        <v>0</v>
      </c>
      <c r="Y143" s="37">
        <f>IF(B143="","",IF(N143&lt;&gt;"",N143,ROUND(W143*StockWarningWeeks,1)))</f>
        <v>0</v>
      </c>
      <c r="Z143" s="39">
        <f>IF(B143="","",IF(V143&lt;=0,"Out of stock",IF(V143&lt;=Y143,"Low stock",IF(R143="No","Backbar","In stock"))))</f>
        <v>0</v>
      </c>
      <c r="AA143" s="37">
        <f>IF(B143="","",IF(Z143="In stock","",IF(Z143="Backbar",IF(V143&lt;=Y143,MAX(1,IF(O143="",ROUND(W143*ReorderWeeks,0),O143)),""),MAX(1,IF(O143="",ROUND(W143*ReorderWeeks,0),O143)))))</f>
        <v>0</v>
      </c>
      <c r="AB143" s="26">
        <f>IF(B143="","",ROUND(V143*IF(H143="",0,H143),2))</f>
        <v>0</v>
      </c>
      <c r="AC143" s="26">
        <f>IF(B143="","",ROUND(V143*IF(I143="",0,I143),2))</f>
        <v>0</v>
      </c>
      <c r="AD143" s="27">
        <f>IF(B143="","",IF(IF(I143="",0,I143)=0,"",(I143-IF(H143="",0,H143))/I143))</f>
        <v>0</v>
      </c>
      <c r="AE143" s="26">
        <f>IF(B143="","",IF(H143="","",H143*RetailMarkup))</f>
        <v>0</v>
      </c>
      <c r="AF143" s="26">
        <f>IF(B143="","",IF(AE143="","",ROUND(IF(RoundingRule="None",AE143,IF(RoundingRule="Nearest 0.99",MAX(0.99,CEILING(AE143,1)-0.01),IF(RoundingRule="Nearest 0.95",MAX(0.95,CEILING(AE143,1)-0.05),IF(RoundingRule="Nearest 0.50",CEILING(AE143,0.5),IF(RoundingRule="Nearest 1",CEILING(AE143,1),IF(RoundingRule="Nearest 5",CEILING(AE143,5),IF(RoundingRule="Up to whole 1",CEILING(AE143,1),IF(RoundingRule="Up to whole 5",CEILING(AE143,5),ROUND(AE143,2))))))))),2)))</f>
        <v>0</v>
      </c>
      <c r="AG143" s="26">
        <f>IF(B143="","",ROUND(SUMIFS(Sales!$Y$5:$Y$1204,Sales!$I$5:$I$1204,A143,Sales!$H$5:$H$1204,"Retail"),2))</f>
        <v>0</v>
      </c>
      <c r="AH143" s="26">
        <f>IF(B143="","",ROUND(AG143-U143*IF(H143="",0,H143),2))</f>
        <v>0</v>
      </c>
      <c r="AI143" s="25">
        <f>IF(B143="","",COUNTIFS($AG$5:$AG$304,"&gt;"&amp;AG143)+COUNTIFS($AG$5:AG143,AG143))</f>
        <v>0</v>
      </c>
      <c r="AJ143" s="39">
        <f>IF(B143="","",IF(H143="","Add - no cost, no stock value",IF(Z143="Out of stock","Out of stock - order today",IF(Z143="Low stock","Order - running low",IF(IF(Q143="",FALSE,Q143&lt;=TodayDate+30),"Check - expiring within a month",IF(IF(R143="Yes",AD143&lt;0.25,FALSE),"Below - thin margin for a retail line",IF(IF(P143="",TRUE,TodayDate-P143&gt;90),"Due - not counted in three months","OK")))))))</f>
        <v>0</v>
      </c>
    </row>
    <row r="144" spans="1:36">
      <c r="A144" s="28">
        <f>IF(B144="","",ProductPrefix&amp;TEXT(ROW()-4,"000"))</f>
        <v>0</v>
      </c>
      <c r="T144" s="37">
        <f>IF(B144="","",ROUND(SUMIFS(Purchases!$U$5:$U$304,Purchases!$D$5:$D$304,A144),2))</f>
        <v>0</v>
      </c>
      <c r="U144" s="37">
        <f>IF(B144="","",ROUND(SUMIFS(Sales!$T$5:$T$1204,Sales!$I$5:$I$1204,A144,Sales!$H$5:$H$1204,"Retail"),2))</f>
        <v>0</v>
      </c>
      <c r="V144" s="37">
        <f>IF(B144="","",ROUND(IF(J144="",0,J144)+T144-IF(K144="",0,K144)-U144-IF(L144="",0,L144)+IF(M144="",0,M144),2))</f>
        <v>0</v>
      </c>
      <c r="W144" s="37">
        <f>IF(B144="","",ROUND((U144+IF(K144="",0,K144))/MAX(4,TrackingWeeks),2))</f>
        <v>0</v>
      </c>
      <c r="X144" s="37">
        <f>IF(B144="","",IF(W144&lt;=0,"",ROUND(V144/W144,1)))</f>
        <v>0</v>
      </c>
      <c r="Y144" s="37">
        <f>IF(B144="","",IF(N144&lt;&gt;"",N144,ROUND(W144*StockWarningWeeks,1)))</f>
        <v>0</v>
      </c>
      <c r="Z144" s="39">
        <f>IF(B144="","",IF(V144&lt;=0,"Out of stock",IF(V144&lt;=Y144,"Low stock",IF(R144="No","Backbar","In stock"))))</f>
        <v>0</v>
      </c>
      <c r="AA144" s="37">
        <f>IF(B144="","",IF(Z144="In stock","",IF(Z144="Backbar",IF(V144&lt;=Y144,MAX(1,IF(O144="",ROUND(W144*ReorderWeeks,0),O144)),""),MAX(1,IF(O144="",ROUND(W144*ReorderWeeks,0),O144)))))</f>
        <v>0</v>
      </c>
      <c r="AB144" s="26">
        <f>IF(B144="","",ROUND(V144*IF(H144="",0,H144),2))</f>
        <v>0</v>
      </c>
      <c r="AC144" s="26">
        <f>IF(B144="","",ROUND(V144*IF(I144="",0,I144),2))</f>
        <v>0</v>
      </c>
      <c r="AD144" s="27">
        <f>IF(B144="","",IF(IF(I144="",0,I144)=0,"",(I144-IF(H144="",0,H144))/I144))</f>
        <v>0</v>
      </c>
      <c r="AE144" s="26">
        <f>IF(B144="","",IF(H144="","",H144*RetailMarkup))</f>
        <v>0</v>
      </c>
      <c r="AF144" s="26">
        <f>IF(B144="","",IF(AE144="","",ROUND(IF(RoundingRule="None",AE144,IF(RoundingRule="Nearest 0.99",MAX(0.99,CEILING(AE144,1)-0.01),IF(RoundingRule="Nearest 0.95",MAX(0.95,CEILING(AE144,1)-0.05),IF(RoundingRule="Nearest 0.50",CEILING(AE144,0.5),IF(RoundingRule="Nearest 1",CEILING(AE144,1),IF(RoundingRule="Nearest 5",CEILING(AE144,5),IF(RoundingRule="Up to whole 1",CEILING(AE144,1),IF(RoundingRule="Up to whole 5",CEILING(AE144,5),ROUND(AE144,2))))))))),2)))</f>
        <v>0</v>
      </c>
      <c r="AG144" s="26">
        <f>IF(B144="","",ROUND(SUMIFS(Sales!$Y$5:$Y$1204,Sales!$I$5:$I$1204,A144,Sales!$H$5:$H$1204,"Retail"),2))</f>
        <v>0</v>
      </c>
      <c r="AH144" s="26">
        <f>IF(B144="","",ROUND(AG144-U144*IF(H144="",0,H144),2))</f>
        <v>0</v>
      </c>
      <c r="AI144" s="25">
        <f>IF(B144="","",COUNTIFS($AG$5:$AG$304,"&gt;"&amp;AG144)+COUNTIFS($AG$5:AG144,AG144))</f>
        <v>0</v>
      </c>
      <c r="AJ144" s="39">
        <f>IF(B144="","",IF(H144="","Add - no cost, no stock value",IF(Z144="Out of stock","Out of stock - order today",IF(Z144="Low stock","Order - running low",IF(IF(Q144="",FALSE,Q144&lt;=TodayDate+30),"Check - expiring within a month",IF(IF(R144="Yes",AD144&lt;0.25,FALSE),"Below - thin margin for a retail line",IF(IF(P144="",TRUE,TodayDate-P144&gt;90),"Due - not counted in three months","OK")))))))</f>
        <v>0</v>
      </c>
    </row>
    <row r="145" spans="1:36">
      <c r="A145" s="28">
        <f>IF(B145="","",ProductPrefix&amp;TEXT(ROW()-4,"000"))</f>
        <v>0</v>
      </c>
      <c r="T145" s="37">
        <f>IF(B145="","",ROUND(SUMIFS(Purchases!$U$5:$U$304,Purchases!$D$5:$D$304,A145),2))</f>
        <v>0</v>
      </c>
      <c r="U145" s="37">
        <f>IF(B145="","",ROUND(SUMIFS(Sales!$T$5:$T$1204,Sales!$I$5:$I$1204,A145,Sales!$H$5:$H$1204,"Retail"),2))</f>
        <v>0</v>
      </c>
      <c r="V145" s="37">
        <f>IF(B145="","",ROUND(IF(J145="",0,J145)+T145-IF(K145="",0,K145)-U145-IF(L145="",0,L145)+IF(M145="",0,M145),2))</f>
        <v>0</v>
      </c>
      <c r="W145" s="37">
        <f>IF(B145="","",ROUND((U145+IF(K145="",0,K145))/MAX(4,TrackingWeeks),2))</f>
        <v>0</v>
      </c>
      <c r="X145" s="37">
        <f>IF(B145="","",IF(W145&lt;=0,"",ROUND(V145/W145,1)))</f>
        <v>0</v>
      </c>
      <c r="Y145" s="37">
        <f>IF(B145="","",IF(N145&lt;&gt;"",N145,ROUND(W145*StockWarningWeeks,1)))</f>
        <v>0</v>
      </c>
      <c r="Z145" s="39">
        <f>IF(B145="","",IF(V145&lt;=0,"Out of stock",IF(V145&lt;=Y145,"Low stock",IF(R145="No","Backbar","In stock"))))</f>
        <v>0</v>
      </c>
      <c r="AA145" s="37">
        <f>IF(B145="","",IF(Z145="In stock","",IF(Z145="Backbar",IF(V145&lt;=Y145,MAX(1,IF(O145="",ROUND(W145*ReorderWeeks,0),O145)),""),MAX(1,IF(O145="",ROUND(W145*ReorderWeeks,0),O145)))))</f>
        <v>0</v>
      </c>
      <c r="AB145" s="26">
        <f>IF(B145="","",ROUND(V145*IF(H145="",0,H145),2))</f>
        <v>0</v>
      </c>
      <c r="AC145" s="26">
        <f>IF(B145="","",ROUND(V145*IF(I145="",0,I145),2))</f>
        <v>0</v>
      </c>
      <c r="AD145" s="27">
        <f>IF(B145="","",IF(IF(I145="",0,I145)=0,"",(I145-IF(H145="",0,H145))/I145))</f>
        <v>0</v>
      </c>
      <c r="AE145" s="26">
        <f>IF(B145="","",IF(H145="","",H145*RetailMarkup))</f>
        <v>0</v>
      </c>
      <c r="AF145" s="26">
        <f>IF(B145="","",IF(AE145="","",ROUND(IF(RoundingRule="None",AE145,IF(RoundingRule="Nearest 0.99",MAX(0.99,CEILING(AE145,1)-0.01),IF(RoundingRule="Nearest 0.95",MAX(0.95,CEILING(AE145,1)-0.05),IF(RoundingRule="Nearest 0.50",CEILING(AE145,0.5),IF(RoundingRule="Nearest 1",CEILING(AE145,1),IF(RoundingRule="Nearest 5",CEILING(AE145,5),IF(RoundingRule="Up to whole 1",CEILING(AE145,1),IF(RoundingRule="Up to whole 5",CEILING(AE145,5),ROUND(AE145,2))))))))),2)))</f>
        <v>0</v>
      </c>
      <c r="AG145" s="26">
        <f>IF(B145="","",ROUND(SUMIFS(Sales!$Y$5:$Y$1204,Sales!$I$5:$I$1204,A145,Sales!$H$5:$H$1204,"Retail"),2))</f>
        <v>0</v>
      </c>
      <c r="AH145" s="26">
        <f>IF(B145="","",ROUND(AG145-U145*IF(H145="",0,H145),2))</f>
        <v>0</v>
      </c>
      <c r="AI145" s="25">
        <f>IF(B145="","",COUNTIFS($AG$5:$AG$304,"&gt;"&amp;AG145)+COUNTIFS($AG$5:AG145,AG145))</f>
        <v>0</v>
      </c>
      <c r="AJ145" s="39">
        <f>IF(B145="","",IF(H145="","Add - no cost, no stock value",IF(Z145="Out of stock","Out of stock - order today",IF(Z145="Low stock","Order - running low",IF(IF(Q145="",FALSE,Q145&lt;=TodayDate+30),"Check - expiring within a month",IF(IF(R145="Yes",AD145&lt;0.25,FALSE),"Below - thin margin for a retail line",IF(IF(P145="",TRUE,TodayDate-P145&gt;90),"Due - not counted in three months","OK")))))))</f>
        <v>0</v>
      </c>
    </row>
    <row r="146" spans="1:36">
      <c r="A146" s="28">
        <f>IF(B146="","",ProductPrefix&amp;TEXT(ROW()-4,"000"))</f>
        <v>0</v>
      </c>
      <c r="T146" s="37">
        <f>IF(B146="","",ROUND(SUMIFS(Purchases!$U$5:$U$304,Purchases!$D$5:$D$304,A146),2))</f>
        <v>0</v>
      </c>
      <c r="U146" s="37">
        <f>IF(B146="","",ROUND(SUMIFS(Sales!$T$5:$T$1204,Sales!$I$5:$I$1204,A146,Sales!$H$5:$H$1204,"Retail"),2))</f>
        <v>0</v>
      </c>
      <c r="V146" s="37">
        <f>IF(B146="","",ROUND(IF(J146="",0,J146)+T146-IF(K146="",0,K146)-U146-IF(L146="",0,L146)+IF(M146="",0,M146),2))</f>
        <v>0</v>
      </c>
      <c r="W146" s="37">
        <f>IF(B146="","",ROUND((U146+IF(K146="",0,K146))/MAX(4,TrackingWeeks),2))</f>
        <v>0</v>
      </c>
      <c r="X146" s="37">
        <f>IF(B146="","",IF(W146&lt;=0,"",ROUND(V146/W146,1)))</f>
        <v>0</v>
      </c>
      <c r="Y146" s="37">
        <f>IF(B146="","",IF(N146&lt;&gt;"",N146,ROUND(W146*StockWarningWeeks,1)))</f>
        <v>0</v>
      </c>
      <c r="Z146" s="39">
        <f>IF(B146="","",IF(V146&lt;=0,"Out of stock",IF(V146&lt;=Y146,"Low stock",IF(R146="No","Backbar","In stock"))))</f>
        <v>0</v>
      </c>
      <c r="AA146" s="37">
        <f>IF(B146="","",IF(Z146="In stock","",IF(Z146="Backbar",IF(V146&lt;=Y146,MAX(1,IF(O146="",ROUND(W146*ReorderWeeks,0),O146)),""),MAX(1,IF(O146="",ROUND(W146*ReorderWeeks,0),O146)))))</f>
        <v>0</v>
      </c>
      <c r="AB146" s="26">
        <f>IF(B146="","",ROUND(V146*IF(H146="",0,H146),2))</f>
        <v>0</v>
      </c>
      <c r="AC146" s="26">
        <f>IF(B146="","",ROUND(V146*IF(I146="",0,I146),2))</f>
        <v>0</v>
      </c>
      <c r="AD146" s="27">
        <f>IF(B146="","",IF(IF(I146="",0,I146)=0,"",(I146-IF(H146="",0,H146))/I146))</f>
        <v>0</v>
      </c>
      <c r="AE146" s="26">
        <f>IF(B146="","",IF(H146="","",H146*RetailMarkup))</f>
        <v>0</v>
      </c>
      <c r="AF146" s="26">
        <f>IF(B146="","",IF(AE146="","",ROUND(IF(RoundingRule="None",AE146,IF(RoundingRule="Nearest 0.99",MAX(0.99,CEILING(AE146,1)-0.01),IF(RoundingRule="Nearest 0.95",MAX(0.95,CEILING(AE146,1)-0.05),IF(RoundingRule="Nearest 0.50",CEILING(AE146,0.5),IF(RoundingRule="Nearest 1",CEILING(AE146,1),IF(RoundingRule="Nearest 5",CEILING(AE146,5),IF(RoundingRule="Up to whole 1",CEILING(AE146,1),IF(RoundingRule="Up to whole 5",CEILING(AE146,5),ROUND(AE146,2))))))))),2)))</f>
        <v>0</v>
      </c>
      <c r="AG146" s="26">
        <f>IF(B146="","",ROUND(SUMIFS(Sales!$Y$5:$Y$1204,Sales!$I$5:$I$1204,A146,Sales!$H$5:$H$1204,"Retail"),2))</f>
        <v>0</v>
      </c>
      <c r="AH146" s="26">
        <f>IF(B146="","",ROUND(AG146-U146*IF(H146="",0,H146),2))</f>
        <v>0</v>
      </c>
      <c r="AI146" s="25">
        <f>IF(B146="","",COUNTIFS($AG$5:$AG$304,"&gt;"&amp;AG146)+COUNTIFS($AG$5:AG146,AG146))</f>
        <v>0</v>
      </c>
      <c r="AJ146" s="39">
        <f>IF(B146="","",IF(H146="","Add - no cost, no stock value",IF(Z146="Out of stock","Out of stock - order today",IF(Z146="Low stock","Order - running low",IF(IF(Q146="",FALSE,Q146&lt;=TodayDate+30),"Check - expiring within a month",IF(IF(R146="Yes",AD146&lt;0.25,FALSE),"Below - thin margin for a retail line",IF(IF(P146="",TRUE,TodayDate-P146&gt;90),"Due - not counted in three months","OK")))))))</f>
        <v>0</v>
      </c>
    </row>
    <row r="147" spans="1:36">
      <c r="A147" s="28">
        <f>IF(B147="","",ProductPrefix&amp;TEXT(ROW()-4,"000"))</f>
        <v>0</v>
      </c>
      <c r="T147" s="37">
        <f>IF(B147="","",ROUND(SUMIFS(Purchases!$U$5:$U$304,Purchases!$D$5:$D$304,A147),2))</f>
        <v>0</v>
      </c>
      <c r="U147" s="37">
        <f>IF(B147="","",ROUND(SUMIFS(Sales!$T$5:$T$1204,Sales!$I$5:$I$1204,A147,Sales!$H$5:$H$1204,"Retail"),2))</f>
        <v>0</v>
      </c>
      <c r="V147" s="37">
        <f>IF(B147="","",ROUND(IF(J147="",0,J147)+T147-IF(K147="",0,K147)-U147-IF(L147="",0,L147)+IF(M147="",0,M147),2))</f>
        <v>0</v>
      </c>
      <c r="W147" s="37">
        <f>IF(B147="","",ROUND((U147+IF(K147="",0,K147))/MAX(4,TrackingWeeks),2))</f>
        <v>0</v>
      </c>
      <c r="X147" s="37">
        <f>IF(B147="","",IF(W147&lt;=0,"",ROUND(V147/W147,1)))</f>
        <v>0</v>
      </c>
      <c r="Y147" s="37">
        <f>IF(B147="","",IF(N147&lt;&gt;"",N147,ROUND(W147*StockWarningWeeks,1)))</f>
        <v>0</v>
      </c>
      <c r="Z147" s="39">
        <f>IF(B147="","",IF(V147&lt;=0,"Out of stock",IF(V147&lt;=Y147,"Low stock",IF(R147="No","Backbar","In stock"))))</f>
        <v>0</v>
      </c>
      <c r="AA147" s="37">
        <f>IF(B147="","",IF(Z147="In stock","",IF(Z147="Backbar",IF(V147&lt;=Y147,MAX(1,IF(O147="",ROUND(W147*ReorderWeeks,0),O147)),""),MAX(1,IF(O147="",ROUND(W147*ReorderWeeks,0),O147)))))</f>
        <v>0</v>
      </c>
      <c r="AB147" s="26">
        <f>IF(B147="","",ROUND(V147*IF(H147="",0,H147),2))</f>
        <v>0</v>
      </c>
      <c r="AC147" s="26">
        <f>IF(B147="","",ROUND(V147*IF(I147="",0,I147),2))</f>
        <v>0</v>
      </c>
      <c r="AD147" s="27">
        <f>IF(B147="","",IF(IF(I147="",0,I147)=0,"",(I147-IF(H147="",0,H147))/I147))</f>
        <v>0</v>
      </c>
      <c r="AE147" s="26">
        <f>IF(B147="","",IF(H147="","",H147*RetailMarkup))</f>
        <v>0</v>
      </c>
      <c r="AF147" s="26">
        <f>IF(B147="","",IF(AE147="","",ROUND(IF(RoundingRule="None",AE147,IF(RoundingRule="Nearest 0.99",MAX(0.99,CEILING(AE147,1)-0.01),IF(RoundingRule="Nearest 0.95",MAX(0.95,CEILING(AE147,1)-0.05),IF(RoundingRule="Nearest 0.50",CEILING(AE147,0.5),IF(RoundingRule="Nearest 1",CEILING(AE147,1),IF(RoundingRule="Nearest 5",CEILING(AE147,5),IF(RoundingRule="Up to whole 1",CEILING(AE147,1),IF(RoundingRule="Up to whole 5",CEILING(AE147,5),ROUND(AE147,2))))))))),2)))</f>
        <v>0</v>
      </c>
      <c r="AG147" s="26">
        <f>IF(B147="","",ROUND(SUMIFS(Sales!$Y$5:$Y$1204,Sales!$I$5:$I$1204,A147,Sales!$H$5:$H$1204,"Retail"),2))</f>
        <v>0</v>
      </c>
      <c r="AH147" s="26">
        <f>IF(B147="","",ROUND(AG147-U147*IF(H147="",0,H147),2))</f>
        <v>0</v>
      </c>
      <c r="AI147" s="25">
        <f>IF(B147="","",COUNTIFS($AG$5:$AG$304,"&gt;"&amp;AG147)+COUNTIFS($AG$5:AG147,AG147))</f>
        <v>0</v>
      </c>
      <c r="AJ147" s="39">
        <f>IF(B147="","",IF(H147="","Add - no cost, no stock value",IF(Z147="Out of stock","Out of stock - order today",IF(Z147="Low stock","Order - running low",IF(IF(Q147="",FALSE,Q147&lt;=TodayDate+30),"Check - expiring within a month",IF(IF(R147="Yes",AD147&lt;0.25,FALSE),"Below - thin margin for a retail line",IF(IF(P147="",TRUE,TodayDate-P147&gt;90),"Due - not counted in three months","OK")))))))</f>
        <v>0</v>
      </c>
    </row>
    <row r="148" spans="1:36">
      <c r="A148" s="28">
        <f>IF(B148="","",ProductPrefix&amp;TEXT(ROW()-4,"000"))</f>
        <v>0</v>
      </c>
      <c r="T148" s="37">
        <f>IF(B148="","",ROUND(SUMIFS(Purchases!$U$5:$U$304,Purchases!$D$5:$D$304,A148),2))</f>
        <v>0</v>
      </c>
      <c r="U148" s="37">
        <f>IF(B148="","",ROUND(SUMIFS(Sales!$T$5:$T$1204,Sales!$I$5:$I$1204,A148,Sales!$H$5:$H$1204,"Retail"),2))</f>
        <v>0</v>
      </c>
      <c r="V148" s="37">
        <f>IF(B148="","",ROUND(IF(J148="",0,J148)+T148-IF(K148="",0,K148)-U148-IF(L148="",0,L148)+IF(M148="",0,M148),2))</f>
        <v>0</v>
      </c>
      <c r="W148" s="37">
        <f>IF(B148="","",ROUND((U148+IF(K148="",0,K148))/MAX(4,TrackingWeeks),2))</f>
        <v>0</v>
      </c>
      <c r="X148" s="37">
        <f>IF(B148="","",IF(W148&lt;=0,"",ROUND(V148/W148,1)))</f>
        <v>0</v>
      </c>
      <c r="Y148" s="37">
        <f>IF(B148="","",IF(N148&lt;&gt;"",N148,ROUND(W148*StockWarningWeeks,1)))</f>
        <v>0</v>
      </c>
      <c r="Z148" s="39">
        <f>IF(B148="","",IF(V148&lt;=0,"Out of stock",IF(V148&lt;=Y148,"Low stock",IF(R148="No","Backbar","In stock"))))</f>
        <v>0</v>
      </c>
      <c r="AA148" s="37">
        <f>IF(B148="","",IF(Z148="In stock","",IF(Z148="Backbar",IF(V148&lt;=Y148,MAX(1,IF(O148="",ROUND(W148*ReorderWeeks,0),O148)),""),MAX(1,IF(O148="",ROUND(W148*ReorderWeeks,0),O148)))))</f>
        <v>0</v>
      </c>
      <c r="AB148" s="26">
        <f>IF(B148="","",ROUND(V148*IF(H148="",0,H148),2))</f>
        <v>0</v>
      </c>
      <c r="AC148" s="26">
        <f>IF(B148="","",ROUND(V148*IF(I148="",0,I148),2))</f>
        <v>0</v>
      </c>
      <c r="AD148" s="27">
        <f>IF(B148="","",IF(IF(I148="",0,I148)=0,"",(I148-IF(H148="",0,H148))/I148))</f>
        <v>0</v>
      </c>
      <c r="AE148" s="26">
        <f>IF(B148="","",IF(H148="","",H148*RetailMarkup))</f>
        <v>0</v>
      </c>
      <c r="AF148" s="26">
        <f>IF(B148="","",IF(AE148="","",ROUND(IF(RoundingRule="None",AE148,IF(RoundingRule="Nearest 0.99",MAX(0.99,CEILING(AE148,1)-0.01),IF(RoundingRule="Nearest 0.95",MAX(0.95,CEILING(AE148,1)-0.05),IF(RoundingRule="Nearest 0.50",CEILING(AE148,0.5),IF(RoundingRule="Nearest 1",CEILING(AE148,1),IF(RoundingRule="Nearest 5",CEILING(AE148,5),IF(RoundingRule="Up to whole 1",CEILING(AE148,1),IF(RoundingRule="Up to whole 5",CEILING(AE148,5),ROUND(AE148,2))))))))),2)))</f>
        <v>0</v>
      </c>
      <c r="AG148" s="26">
        <f>IF(B148="","",ROUND(SUMIFS(Sales!$Y$5:$Y$1204,Sales!$I$5:$I$1204,A148,Sales!$H$5:$H$1204,"Retail"),2))</f>
        <v>0</v>
      </c>
      <c r="AH148" s="26">
        <f>IF(B148="","",ROUND(AG148-U148*IF(H148="",0,H148),2))</f>
        <v>0</v>
      </c>
      <c r="AI148" s="25">
        <f>IF(B148="","",COUNTIFS($AG$5:$AG$304,"&gt;"&amp;AG148)+COUNTIFS($AG$5:AG148,AG148))</f>
        <v>0</v>
      </c>
      <c r="AJ148" s="39">
        <f>IF(B148="","",IF(H148="","Add - no cost, no stock value",IF(Z148="Out of stock","Out of stock - order today",IF(Z148="Low stock","Order - running low",IF(IF(Q148="",FALSE,Q148&lt;=TodayDate+30),"Check - expiring within a month",IF(IF(R148="Yes",AD148&lt;0.25,FALSE),"Below - thin margin for a retail line",IF(IF(P148="",TRUE,TodayDate-P148&gt;90),"Due - not counted in three months","OK")))))))</f>
        <v>0</v>
      </c>
    </row>
    <row r="149" spans="1:36">
      <c r="A149" s="28">
        <f>IF(B149="","",ProductPrefix&amp;TEXT(ROW()-4,"000"))</f>
        <v>0</v>
      </c>
      <c r="T149" s="37">
        <f>IF(B149="","",ROUND(SUMIFS(Purchases!$U$5:$U$304,Purchases!$D$5:$D$304,A149),2))</f>
        <v>0</v>
      </c>
      <c r="U149" s="37">
        <f>IF(B149="","",ROUND(SUMIFS(Sales!$T$5:$T$1204,Sales!$I$5:$I$1204,A149,Sales!$H$5:$H$1204,"Retail"),2))</f>
        <v>0</v>
      </c>
      <c r="V149" s="37">
        <f>IF(B149="","",ROUND(IF(J149="",0,J149)+T149-IF(K149="",0,K149)-U149-IF(L149="",0,L149)+IF(M149="",0,M149),2))</f>
        <v>0</v>
      </c>
      <c r="W149" s="37">
        <f>IF(B149="","",ROUND((U149+IF(K149="",0,K149))/MAX(4,TrackingWeeks),2))</f>
        <v>0</v>
      </c>
      <c r="X149" s="37">
        <f>IF(B149="","",IF(W149&lt;=0,"",ROUND(V149/W149,1)))</f>
        <v>0</v>
      </c>
      <c r="Y149" s="37">
        <f>IF(B149="","",IF(N149&lt;&gt;"",N149,ROUND(W149*StockWarningWeeks,1)))</f>
        <v>0</v>
      </c>
      <c r="Z149" s="39">
        <f>IF(B149="","",IF(V149&lt;=0,"Out of stock",IF(V149&lt;=Y149,"Low stock",IF(R149="No","Backbar","In stock"))))</f>
        <v>0</v>
      </c>
      <c r="AA149" s="37">
        <f>IF(B149="","",IF(Z149="In stock","",IF(Z149="Backbar",IF(V149&lt;=Y149,MAX(1,IF(O149="",ROUND(W149*ReorderWeeks,0),O149)),""),MAX(1,IF(O149="",ROUND(W149*ReorderWeeks,0),O149)))))</f>
        <v>0</v>
      </c>
      <c r="AB149" s="26">
        <f>IF(B149="","",ROUND(V149*IF(H149="",0,H149),2))</f>
        <v>0</v>
      </c>
      <c r="AC149" s="26">
        <f>IF(B149="","",ROUND(V149*IF(I149="",0,I149),2))</f>
        <v>0</v>
      </c>
      <c r="AD149" s="27">
        <f>IF(B149="","",IF(IF(I149="",0,I149)=0,"",(I149-IF(H149="",0,H149))/I149))</f>
        <v>0</v>
      </c>
      <c r="AE149" s="26">
        <f>IF(B149="","",IF(H149="","",H149*RetailMarkup))</f>
        <v>0</v>
      </c>
      <c r="AF149" s="26">
        <f>IF(B149="","",IF(AE149="","",ROUND(IF(RoundingRule="None",AE149,IF(RoundingRule="Nearest 0.99",MAX(0.99,CEILING(AE149,1)-0.01),IF(RoundingRule="Nearest 0.95",MAX(0.95,CEILING(AE149,1)-0.05),IF(RoundingRule="Nearest 0.50",CEILING(AE149,0.5),IF(RoundingRule="Nearest 1",CEILING(AE149,1),IF(RoundingRule="Nearest 5",CEILING(AE149,5),IF(RoundingRule="Up to whole 1",CEILING(AE149,1),IF(RoundingRule="Up to whole 5",CEILING(AE149,5),ROUND(AE149,2))))))))),2)))</f>
        <v>0</v>
      </c>
      <c r="AG149" s="26">
        <f>IF(B149="","",ROUND(SUMIFS(Sales!$Y$5:$Y$1204,Sales!$I$5:$I$1204,A149,Sales!$H$5:$H$1204,"Retail"),2))</f>
        <v>0</v>
      </c>
      <c r="AH149" s="26">
        <f>IF(B149="","",ROUND(AG149-U149*IF(H149="",0,H149),2))</f>
        <v>0</v>
      </c>
      <c r="AI149" s="25">
        <f>IF(B149="","",COUNTIFS($AG$5:$AG$304,"&gt;"&amp;AG149)+COUNTIFS($AG$5:AG149,AG149))</f>
        <v>0</v>
      </c>
      <c r="AJ149" s="39">
        <f>IF(B149="","",IF(H149="","Add - no cost, no stock value",IF(Z149="Out of stock","Out of stock - order today",IF(Z149="Low stock","Order - running low",IF(IF(Q149="",FALSE,Q149&lt;=TodayDate+30),"Check - expiring within a month",IF(IF(R149="Yes",AD149&lt;0.25,FALSE),"Below - thin margin for a retail line",IF(IF(P149="",TRUE,TodayDate-P149&gt;90),"Due - not counted in three months","OK")))))))</f>
        <v>0</v>
      </c>
    </row>
    <row r="150" spans="1:36">
      <c r="A150" s="28">
        <f>IF(B150="","",ProductPrefix&amp;TEXT(ROW()-4,"000"))</f>
        <v>0</v>
      </c>
      <c r="T150" s="37">
        <f>IF(B150="","",ROUND(SUMIFS(Purchases!$U$5:$U$304,Purchases!$D$5:$D$304,A150),2))</f>
        <v>0</v>
      </c>
      <c r="U150" s="37">
        <f>IF(B150="","",ROUND(SUMIFS(Sales!$T$5:$T$1204,Sales!$I$5:$I$1204,A150,Sales!$H$5:$H$1204,"Retail"),2))</f>
        <v>0</v>
      </c>
      <c r="V150" s="37">
        <f>IF(B150="","",ROUND(IF(J150="",0,J150)+T150-IF(K150="",0,K150)-U150-IF(L150="",0,L150)+IF(M150="",0,M150),2))</f>
        <v>0</v>
      </c>
      <c r="W150" s="37">
        <f>IF(B150="","",ROUND((U150+IF(K150="",0,K150))/MAX(4,TrackingWeeks),2))</f>
        <v>0</v>
      </c>
      <c r="X150" s="37">
        <f>IF(B150="","",IF(W150&lt;=0,"",ROUND(V150/W150,1)))</f>
        <v>0</v>
      </c>
      <c r="Y150" s="37">
        <f>IF(B150="","",IF(N150&lt;&gt;"",N150,ROUND(W150*StockWarningWeeks,1)))</f>
        <v>0</v>
      </c>
      <c r="Z150" s="39">
        <f>IF(B150="","",IF(V150&lt;=0,"Out of stock",IF(V150&lt;=Y150,"Low stock",IF(R150="No","Backbar","In stock"))))</f>
        <v>0</v>
      </c>
      <c r="AA150" s="37">
        <f>IF(B150="","",IF(Z150="In stock","",IF(Z150="Backbar",IF(V150&lt;=Y150,MAX(1,IF(O150="",ROUND(W150*ReorderWeeks,0),O150)),""),MAX(1,IF(O150="",ROUND(W150*ReorderWeeks,0),O150)))))</f>
        <v>0</v>
      </c>
      <c r="AB150" s="26">
        <f>IF(B150="","",ROUND(V150*IF(H150="",0,H150),2))</f>
        <v>0</v>
      </c>
      <c r="AC150" s="26">
        <f>IF(B150="","",ROUND(V150*IF(I150="",0,I150),2))</f>
        <v>0</v>
      </c>
      <c r="AD150" s="27">
        <f>IF(B150="","",IF(IF(I150="",0,I150)=0,"",(I150-IF(H150="",0,H150))/I150))</f>
        <v>0</v>
      </c>
      <c r="AE150" s="26">
        <f>IF(B150="","",IF(H150="","",H150*RetailMarkup))</f>
        <v>0</v>
      </c>
      <c r="AF150" s="26">
        <f>IF(B150="","",IF(AE150="","",ROUND(IF(RoundingRule="None",AE150,IF(RoundingRule="Nearest 0.99",MAX(0.99,CEILING(AE150,1)-0.01),IF(RoundingRule="Nearest 0.95",MAX(0.95,CEILING(AE150,1)-0.05),IF(RoundingRule="Nearest 0.50",CEILING(AE150,0.5),IF(RoundingRule="Nearest 1",CEILING(AE150,1),IF(RoundingRule="Nearest 5",CEILING(AE150,5),IF(RoundingRule="Up to whole 1",CEILING(AE150,1),IF(RoundingRule="Up to whole 5",CEILING(AE150,5),ROUND(AE150,2))))))))),2)))</f>
        <v>0</v>
      </c>
      <c r="AG150" s="26">
        <f>IF(B150="","",ROUND(SUMIFS(Sales!$Y$5:$Y$1204,Sales!$I$5:$I$1204,A150,Sales!$H$5:$H$1204,"Retail"),2))</f>
        <v>0</v>
      </c>
      <c r="AH150" s="26">
        <f>IF(B150="","",ROUND(AG150-U150*IF(H150="",0,H150),2))</f>
        <v>0</v>
      </c>
      <c r="AI150" s="25">
        <f>IF(B150="","",COUNTIFS($AG$5:$AG$304,"&gt;"&amp;AG150)+COUNTIFS($AG$5:AG150,AG150))</f>
        <v>0</v>
      </c>
      <c r="AJ150" s="39">
        <f>IF(B150="","",IF(H150="","Add - no cost, no stock value",IF(Z150="Out of stock","Out of stock - order today",IF(Z150="Low stock","Order - running low",IF(IF(Q150="",FALSE,Q150&lt;=TodayDate+30),"Check - expiring within a month",IF(IF(R150="Yes",AD150&lt;0.25,FALSE),"Below - thin margin for a retail line",IF(IF(P150="",TRUE,TodayDate-P150&gt;90),"Due - not counted in three months","OK")))))))</f>
        <v>0</v>
      </c>
    </row>
    <row r="151" spans="1:36">
      <c r="A151" s="28">
        <f>IF(B151="","",ProductPrefix&amp;TEXT(ROW()-4,"000"))</f>
        <v>0</v>
      </c>
      <c r="T151" s="37">
        <f>IF(B151="","",ROUND(SUMIFS(Purchases!$U$5:$U$304,Purchases!$D$5:$D$304,A151),2))</f>
        <v>0</v>
      </c>
      <c r="U151" s="37">
        <f>IF(B151="","",ROUND(SUMIFS(Sales!$T$5:$T$1204,Sales!$I$5:$I$1204,A151,Sales!$H$5:$H$1204,"Retail"),2))</f>
        <v>0</v>
      </c>
      <c r="V151" s="37">
        <f>IF(B151="","",ROUND(IF(J151="",0,J151)+T151-IF(K151="",0,K151)-U151-IF(L151="",0,L151)+IF(M151="",0,M151),2))</f>
        <v>0</v>
      </c>
      <c r="W151" s="37">
        <f>IF(B151="","",ROUND((U151+IF(K151="",0,K151))/MAX(4,TrackingWeeks),2))</f>
        <v>0</v>
      </c>
      <c r="X151" s="37">
        <f>IF(B151="","",IF(W151&lt;=0,"",ROUND(V151/W151,1)))</f>
        <v>0</v>
      </c>
      <c r="Y151" s="37">
        <f>IF(B151="","",IF(N151&lt;&gt;"",N151,ROUND(W151*StockWarningWeeks,1)))</f>
        <v>0</v>
      </c>
      <c r="Z151" s="39">
        <f>IF(B151="","",IF(V151&lt;=0,"Out of stock",IF(V151&lt;=Y151,"Low stock",IF(R151="No","Backbar","In stock"))))</f>
        <v>0</v>
      </c>
      <c r="AA151" s="37">
        <f>IF(B151="","",IF(Z151="In stock","",IF(Z151="Backbar",IF(V151&lt;=Y151,MAX(1,IF(O151="",ROUND(W151*ReorderWeeks,0),O151)),""),MAX(1,IF(O151="",ROUND(W151*ReorderWeeks,0),O151)))))</f>
        <v>0</v>
      </c>
      <c r="AB151" s="26">
        <f>IF(B151="","",ROUND(V151*IF(H151="",0,H151),2))</f>
        <v>0</v>
      </c>
      <c r="AC151" s="26">
        <f>IF(B151="","",ROUND(V151*IF(I151="",0,I151),2))</f>
        <v>0</v>
      </c>
      <c r="AD151" s="27">
        <f>IF(B151="","",IF(IF(I151="",0,I151)=0,"",(I151-IF(H151="",0,H151))/I151))</f>
        <v>0</v>
      </c>
      <c r="AE151" s="26">
        <f>IF(B151="","",IF(H151="","",H151*RetailMarkup))</f>
        <v>0</v>
      </c>
      <c r="AF151" s="26">
        <f>IF(B151="","",IF(AE151="","",ROUND(IF(RoundingRule="None",AE151,IF(RoundingRule="Nearest 0.99",MAX(0.99,CEILING(AE151,1)-0.01),IF(RoundingRule="Nearest 0.95",MAX(0.95,CEILING(AE151,1)-0.05),IF(RoundingRule="Nearest 0.50",CEILING(AE151,0.5),IF(RoundingRule="Nearest 1",CEILING(AE151,1),IF(RoundingRule="Nearest 5",CEILING(AE151,5),IF(RoundingRule="Up to whole 1",CEILING(AE151,1),IF(RoundingRule="Up to whole 5",CEILING(AE151,5),ROUND(AE151,2))))))))),2)))</f>
        <v>0</v>
      </c>
      <c r="AG151" s="26">
        <f>IF(B151="","",ROUND(SUMIFS(Sales!$Y$5:$Y$1204,Sales!$I$5:$I$1204,A151,Sales!$H$5:$H$1204,"Retail"),2))</f>
        <v>0</v>
      </c>
      <c r="AH151" s="26">
        <f>IF(B151="","",ROUND(AG151-U151*IF(H151="",0,H151),2))</f>
        <v>0</v>
      </c>
      <c r="AI151" s="25">
        <f>IF(B151="","",COUNTIFS($AG$5:$AG$304,"&gt;"&amp;AG151)+COUNTIFS($AG$5:AG151,AG151))</f>
        <v>0</v>
      </c>
      <c r="AJ151" s="39">
        <f>IF(B151="","",IF(H151="","Add - no cost, no stock value",IF(Z151="Out of stock","Out of stock - order today",IF(Z151="Low stock","Order - running low",IF(IF(Q151="",FALSE,Q151&lt;=TodayDate+30),"Check - expiring within a month",IF(IF(R151="Yes",AD151&lt;0.25,FALSE),"Below - thin margin for a retail line",IF(IF(P151="",TRUE,TodayDate-P151&gt;90),"Due - not counted in three months","OK")))))))</f>
        <v>0</v>
      </c>
    </row>
    <row r="152" spans="1:36">
      <c r="A152" s="28">
        <f>IF(B152="","",ProductPrefix&amp;TEXT(ROW()-4,"000"))</f>
        <v>0</v>
      </c>
      <c r="T152" s="37">
        <f>IF(B152="","",ROUND(SUMIFS(Purchases!$U$5:$U$304,Purchases!$D$5:$D$304,A152),2))</f>
        <v>0</v>
      </c>
      <c r="U152" s="37">
        <f>IF(B152="","",ROUND(SUMIFS(Sales!$T$5:$T$1204,Sales!$I$5:$I$1204,A152,Sales!$H$5:$H$1204,"Retail"),2))</f>
        <v>0</v>
      </c>
      <c r="V152" s="37">
        <f>IF(B152="","",ROUND(IF(J152="",0,J152)+T152-IF(K152="",0,K152)-U152-IF(L152="",0,L152)+IF(M152="",0,M152),2))</f>
        <v>0</v>
      </c>
      <c r="W152" s="37">
        <f>IF(B152="","",ROUND((U152+IF(K152="",0,K152))/MAX(4,TrackingWeeks),2))</f>
        <v>0</v>
      </c>
      <c r="X152" s="37">
        <f>IF(B152="","",IF(W152&lt;=0,"",ROUND(V152/W152,1)))</f>
        <v>0</v>
      </c>
      <c r="Y152" s="37">
        <f>IF(B152="","",IF(N152&lt;&gt;"",N152,ROUND(W152*StockWarningWeeks,1)))</f>
        <v>0</v>
      </c>
      <c r="Z152" s="39">
        <f>IF(B152="","",IF(V152&lt;=0,"Out of stock",IF(V152&lt;=Y152,"Low stock",IF(R152="No","Backbar","In stock"))))</f>
        <v>0</v>
      </c>
      <c r="AA152" s="37">
        <f>IF(B152="","",IF(Z152="In stock","",IF(Z152="Backbar",IF(V152&lt;=Y152,MAX(1,IF(O152="",ROUND(W152*ReorderWeeks,0),O152)),""),MAX(1,IF(O152="",ROUND(W152*ReorderWeeks,0),O152)))))</f>
        <v>0</v>
      </c>
      <c r="AB152" s="26">
        <f>IF(B152="","",ROUND(V152*IF(H152="",0,H152),2))</f>
        <v>0</v>
      </c>
      <c r="AC152" s="26">
        <f>IF(B152="","",ROUND(V152*IF(I152="",0,I152),2))</f>
        <v>0</v>
      </c>
      <c r="AD152" s="27">
        <f>IF(B152="","",IF(IF(I152="",0,I152)=0,"",(I152-IF(H152="",0,H152))/I152))</f>
        <v>0</v>
      </c>
      <c r="AE152" s="26">
        <f>IF(B152="","",IF(H152="","",H152*RetailMarkup))</f>
        <v>0</v>
      </c>
      <c r="AF152" s="26">
        <f>IF(B152="","",IF(AE152="","",ROUND(IF(RoundingRule="None",AE152,IF(RoundingRule="Nearest 0.99",MAX(0.99,CEILING(AE152,1)-0.01),IF(RoundingRule="Nearest 0.95",MAX(0.95,CEILING(AE152,1)-0.05),IF(RoundingRule="Nearest 0.50",CEILING(AE152,0.5),IF(RoundingRule="Nearest 1",CEILING(AE152,1),IF(RoundingRule="Nearest 5",CEILING(AE152,5),IF(RoundingRule="Up to whole 1",CEILING(AE152,1),IF(RoundingRule="Up to whole 5",CEILING(AE152,5),ROUND(AE152,2))))))))),2)))</f>
        <v>0</v>
      </c>
      <c r="AG152" s="26">
        <f>IF(B152="","",ROUND(SUMIFS(Sales!$Y$5:$Y$1204,Sales!$I$5:$I$1204,A152,Sales!$H$5:$H$1204,"Retail"),2))</f>
        <v>0</v>
      </c>
      <c r="AH152" s="26">
        <f>IF(B152="","",ROUND(AG152-U152*IF(H152="",0,H152),2))</f>
        <v>0</v>
      </c>
      <c r="AI152" s="25">
        <f>IF(B152="","",COUNTIFS($AG$5:$AG$304,"&gt;"&amp;AG152)+COUNTIFS($AG$5:AG152,AG152))</f>
        <v>0</v>
      </c>
      <c r="AJ152" s="39">
        <f>IF(B152="","",IF(H152="","Add - no cost, no stock value",IF(Z152="Out of stock","Out of stock - order today",IF(Z152="Low stock","Order - running low",IF(IF(Q152="",FALSE,Q152&lt;=TodayDate+30),"Check - expiring within a month",IF(IF(R152="Yes",AD152&lt;0.25,FALSE),"Below - thin margin for a retail line",IF(IF(P152="",TRUE,TodayDate-P152&gt;90),"Due - not counted in three months","OK")))))))</f>
        <v>0</v>
      </c>
    </row>
    <row r="153" spans="1:36">
      <c r="A153" s="28">
        <f>IF(B153="","",ProductPrefix&amp;TEXT(ROW()-4,"000"))</f>
        <v>0</v>
      </c>
      <c r="T153" s="37">
        <f>IF(B153="","",ROUND(SUMIFS(Purchases!$U$5:$U$304,Purchases!$D$5:$D$304,A153),2))</f>
        <v>0</v>
      </c>
      <c r="U153" s="37">
        <f>IF(B153="","",ROUND(SUMIFS(Sales!$T$5:$T$1204,Sales!$I$5:$I$1204,A153,Sales!$H$5:$H$1204,"Retail"),2))</f>
        <v>0</v>
      </c>
      <c r="V153" s="37">
        <f>IF(B153="","",ROUND(IF(J153="",0,J153)+T153-IF(K153="",0,K153)-U153-IF(L153="",0,L153)+IF(M153="",0,M153),2))</f>
        <v>0</v>
      </c>
      <c r="W153" s="37">
        <f>IF(B153="","",ROUND((U153+IF(K153="",0,K153))/MAX(4,TrackingWeeks),2))</f>
        <v>0</v>
      </c>
      <c r="X153" s="37">
        <f>IF(B153="","",IF(W153&lt;=0,"",ROUND(V153/W153,1)))</f>
        <v>0</v>
      </c>
      <c r="Y153" s="37">
        <f>IF(B153="","",IF(N153&lt;&gt;"",N153,ROUND(W153*StockWarningWeeks,1)))</f>
        <v>0</v>
      </c>
      <c r="Z153" s="39">
        <f>IF(B153="","",IF(V153&lt;=0,"Out of stock",IF(V153&lt;=Y153,"Low stock",IF(R153="No","Backbar","In stock"))))</f>
        <v>0</v>
      </c>
      <c r="AA153" s="37">
        <f>IF(B153="","",IF(Z153="In stock","",IF(Z153="Backbar",IF(V153&lt;=Y153,MAX(1,IF(O153="",ROUND(W153*ReorderWeeks,0),O153)),""),MAX(1,IF(O153="",ROUND(W153*ReorderWeeks,0),O153)))))</f>
        <v>0</v>
      </c>
      <c r="AB153" s="26">
        <f>IF(B153="","",ROUND(V153*IF(H153="",0,H153),2))</f>
        <v>0</v>
      </c>
      <c r="AC153" s="26">
        <f>IF(B153="","",ROUND(V153*IF(I153="",0,I153),2))</f>
        <v>0</v>
      </c>
      <c r="AD153" s="27">
        <f>IF(B153="","",IF(IF(I153="",0,I153)=0,"",(I153-IF(H153="",0,H153))/I153))</f>
        <v>0</v>
      </c>
      <c r="AE153" s="26">
        <f>IF(B153="","",IF(H153="","",H153*RetailMarkup))</f>
        <v>0</v>
      </c>
      <c r="AF153" s="26">
        <f>IF(B153="","",IF(AE153="","",ROUND(IF(RoundingRule="None",AE153,IF(RoundingRule="Nearest 0.99",MAX(0.99,CEILING(AE153,1)-0.01),IF(RoundingRule="Nearest 0.95",MAX(0.95,CEILING(AE153,1)-0.05),IF(RoundingRule="Nearest 0.50",CEILING(AE153,0.5),IF(RoundingRule="Nearest 1",CEILING(AE153,1),IF(RoundingRule="Nearest 5",CEILING(AE153,5),IF(RoundingRule="Up to whole 1",CEILING(AE153,1),IF(RoundingRule="Up to whole 5",CEILING(AE153,5),ROUND(AE153,2))))))))),2)))</f>
        <v>0</v>
      </c>
      <c r="AG153" s="26">
        <f>IF(B153="","",ROUND(SUMIFS(Sales!$Y$5:$Y$1204,Sales!$I$5:$I$1204,A153,Sales!$H$5:$H$1204,"Retail"),2))</f>
        <v>0</v>
      </c>
      <c r="AH153" s="26">
        <f>IF(B153="","",ROUND(AG153-U153*IF(H153="",0,H153),2))</f>
        <v>0</v>
      </c>
      <c r="AI153" s="25">
        <f>IF(B153="","",COUNTIFS($AG$5:$AG$304,"&gt;"&amp;AG153)+COUNTIFS($AG$5:AG153,AG153))</f>
        <v>0</v>
      </c>
      <c r="AJ153" s="39">
        <f>IF(B153="","",IF(H153="","Add - no cost, no stock value",IF(Z153="Out of stock","Out of stock - order today",IF(Z153="Low stock","Order - running low",IF(IF(Q153="",FALSE,Q153&lt;=TodayDate+30),"Check - expiring within a month",IF(IF(R153="Yes",AD153&lt;0.25,FALSE),"Below - thin margin for a retail line",IF(IF(P153="",TRUE,TodayDate-P153&gt;90),"Due - not counted in three months","OK")))))))</f>
        <v>0</v>
      </c>
    </row>
    <row r="154" spans="1:36">
      <c r="A154" s="28">
        <f>IF(B154="","",ProductPrefix&amp;TEXT(ROW()-4,"000"))</f>
        <v>0</v>
      </c>
      <c r="T154" s="37">
        <f>IF(B154="","",ROUND(SUMIFS(Purchases!$U$5:$U$304,Purchases!$D$5:$D$304,A154),2))</f>
        <v>0</v>
      </c>
      <c r="U154" s="37">
        <f>IF(B154="","",ROUND(SUMIFS(Sales!$T$5:$T$1204,Sales!$I$5:$I$1204,A154,Sales!$H$5:$H$1204,"Retail"),2))</f>
        <v>0</v>
      </c>
      <c r="V154" s="37">
        <f>IF(B154="","",ROUND(IF(J154="",0,J154)+T154-IF(K154="",0,K154)-U154-IF(L154="",0,L154)+IF(M154="",0,M154),2))</f>
        <v>0</v>
      </c>
      <c r="W154" s="37">
        <f>IF(B154="","",ROUND((U154+IF(K154="",0,K154))/MAX(4,TrackingWeeks),2))</f>
        <v>0</v>
      </c>
      <c r="X154" s="37">
        <f>IF(B154="","",IF(W154&lt;=0,"",ROUND(V154/W154,1)))</f>
        <v>0</v>
      </c>
      <c r="Y154" s="37">
        <f>IF(B154="","",IF(N154&lt;&gt;"",N154,ROUND(W154*StockWarningWeeks,1)))</f>
        <v>0</v>
      </c>
      <c r="Z154" s="39">
        <f>IF(B154="","",IF(V154&lt;=0,"Out of stock",IF(V154&lt;=Y154,"Low stock",IF(R154="No","Backbar","In stock"))))</f>
        <v>0</v>
      </c>
      <c r="AA154" s="37">
        <f>IF(B154="","",IF(Z154="In stock","",IF(Z154="Backbar",IF(V154&lt;=Y154,MAX(1,IF(O154="",ROUND(W154*ReorderWeeks,0),O154)),""),MAX(1,IF(O154="",ROUND(W154*ReorderWeeks,0),O154)))))</f>
        <v>0</v>
      </c>
      <c r="AB154" s="26">
        <f>IF(B154="","",ROUND(V154*IF(H154="",0,H154),2))</f>
        <v>0</v>
      </c>
      <c r="AC154" s="26">
        <f>IF(B154="","",ROUND(V154*IF(I154="",0,I154),2))</f>
        <v>0</v>
      </c>
      <c r="AD154" s="27">
        <f>IF(B154="","",IF(IF(I154="",0,I154)=0,"",(I154-IF(H154="",0,H154))/I154))</f>
        <v>0</v>
      </c>
      <c r="AE154" s="26">
        <f>IF(B154="","",IF(H154="","",H154*RetailMarkup))</f>
        <v>0</v>
      </c>
      <c r="AF154" s="26">
        <f>IF(B154="","",IF(AE154="","",ROUND(IF(RoundingRule="None",AE154,IF(RoundingRule="Nearest 0.99",MAX(0.99,CEILING(AE154,1)-0.01),IF(RoundingRule="Nearest 0.95",MAX(0.95,CEILING(AE154,1)-0.05),IF(RoundingRule="Nearest 0.50",CEILING(AE154,0.5),IF(RoundingRule="Nearest 1",CEILING(AE154,1),IF(RoundingRule="Nearest 5",CEILING(AE154,5),IF(RoundingRule="Up to whole 1",CEILING(AE154,1),IF(RoundingRule="Up to whole 5",CEILING(AE154,5),ROUND(AE154,2))))))))),2)))</f>
        <v>0</v>
      </c>
      <c r="AG154" s="26">
        <f>IF(B154="","",ROUND(SUMIFS(Sales!$Y$5:$Y$1204,Sales!$I$5:$I$1204,A154,Sales!$H$5:$H$1204,"Retail"),2))</f>
        <v>0</v>
      </c>
      <c r="AH154" s="26">
        <f>IF(B154="","",ROUND(AG154-U154*IF(H154="",0,H154),2))</f>
        <v>0</v>
      </c>
      <c r="AI154" s="25">
        <f>IF(B154="","",COUNTIFS($AG$5:$AG$304,"&gt;"&amp;AG154)+COUNTIFS($AG$5:AG154,AG154))</f>
        <v>0</v>
      </c>
      <c r="AJ154" s="39">
        <f>IF(B154="","",IF(H154="","Add - no cost, no stock value",IF(Z154="Out of stock","Out of stock - order today",IF(Z154="Low stock","Order - running low",IF(IF(Q154="",FALSE,Q154&lt;=TodayDate+30),"Check - expiring within a month",IF(IF(R154="Yes",AD154&lt;0.25,FALSE),"Below - thin margin for a retail line",IF(IF(P154="",TRUE,TodayDate-P154&gt;90),"Due - not counted in three months","OK")))))))</f>
        <v>0</v>
      </c>
    </row>
    <row r="155" spans="1:36">
      <c r="A155" s="28">
        <f>IF(B155="","",ProductPrefix&amp;TEXT(ROW()-4,"000"))</f>
        <v>0</v>
      </c>
      <c r="T155" s="37">
        <f>IF(B155="","",ROUND(SUMIFS(Purchases!$U$5:$U$304,Purchases!$D$5:$D$304,A155),2))</f>
        <v>0</v>
      </c>
      <c r="U155" s="37">
        <f>IF(B155="","",ROUND(SUMIFS(Sales!$T$5:$T$1204,Sales!$I$5:$I$1204,A155,Sales!$H$5:$H$1204,"Retail"),2))</f>
        <v>0</v>
      </c>
      <c r="V155" s="37">
        <f>IF(B155="","",ROUND(IF(J155="",0,J155)+T155-IF(K155="",0,K155)-U155-IF(L155="",0,L155)+IF(M155="",0,M155),2))</f>
        <v>0</v>
      </c>
      <c r="W155" s="37">
        <f>IF(B155="","",ROUND((U155+IF(K155="",0,K155))/MAX(4,TrackingWeeks),2))</f>
        <v>0</v>
      </c>
      <c r="X155" s="37">
        <f>IF(B155="","",IF(W155&lt;=0,"",ROUND(V155/W155,1)))</f>
        <v>0</v>
      </c>
      <c r="Y155" s="37">
        <f>IF(B155="","",IF(N155&lt;&gt;"",N155,ROUND(W155*StockWarningWeeks,1)))</f>
        <v>0</v>
      </c>
      <c r="Z155" s="39">
        <f>IF(B155="","",IF(V155&lt;=0,"Out of stock",IF(V155&lt;=Y155,"Low stock",IF(R155="No","Backbar","In stock"))))</f>
        <v>0</v>
      </c>
      <c r="AA155" s="37">
        <f>IF(B155="","",IF(Z155="In stock","",IF(Z155="Backbar",IF(V155&lt;=Y155,MAX(1,IF(O155="",ROUND(W155*ReorderWeeks,0),O155)),""),MAX(1,IF(O155="",ROUND(W155*ReorderWeeks,0),O155)))))</f>
        <v>0</v>
      </c>
      <c r="AB155" s="26">
        <f>IF(B155="","",ROUND(V155*IF(H155="",0,H155),2))</f>
        <v>0</v>
      </c>
      <c r="AC155" s="26">
        <f>IF(B155="","",ROUND(V155*IF(I155="",0,I155),2))</f>
        <v>0</v>
      </c>
      <c r="AD155" s="27">
        <f>IF(B155="","",IF(IF(I155="",0,I155)=0,"",(I155-IF(H155="",0,H155))/I155))</f>
        <v>0</v>
      </c>
      <c r="AE155" s="26">
        <f>IF(B155="","",IF(H155="","",H155*RetailMarkup))</f>
        <v>0</v>
      </c>
      <c r="AF155" s="26">
        <f>IF(B155="","",IF(AE155="","",ROUND(IF(RoundingRule="None",AE155,IF(RoundingRule="Nearest 0.99",MAX(0.99,CEILING(AE155,1)-0.01),IF(RoundingRule="Nearest 0.95",MAX(0.95,CEILING(AE155,1)-0.05),IF(RoundingRule="Nearest 0.50",CEILING(AE155,0.5),IF(RoundingRule="Nearest 1",CEILING(AE155,1),IF(RoundingRule="Nearest 5",CEILING(AE155,5),IF(RoundingRule="Up to whole 1",CEILING(AE155,1),IF(RoundingRule="Up to whole 5",CEILING(AE155,5),ROUND(AE155,2))))))))),2)))</f>
        <v>0</v>
      </c>
      <c r="AG155" s="26">
        <f>IF(B155="","",ROUND(SUMIFS(Sales!$Y$5:$Y$1204,Sales!$I$5:$I$1204,A155,Sales!$H$5:$H$1204,"Retail"),2))</f>
        <v>0</v>
      </c>
      <c r="AH155" s="26">
        <f>IF(B155="","",ROUND(AG155-U155*IF(H155="",0,H155),2))</f>
        <v>0</v>
      </c>
      <c r="AI155" s="25">
        <f>IF(B155="","",COUNTIFS($AG$5:$AG$304,"&gt;"&amp;AG155)+COUNTIFS($AG$5:AG155,AG155))</f>
        <v>0</v>
      </c>
      <c r="AJ155" s="39">
        <f>IF(B155="","",IF(H155="","Add - no cost, no stock value",IF(Z155="Out of stock","Out of stock - order today",IF(Z155="Low stock","Order - running low",IF(IF(Q155="",FALSE,Q155&lt;=TodayDate+30),"Check - expiring within a month",IF(IF(R155="Yes",AD155&lt;0.25,FALSE),"Below - thin margin for a retail line",IF(IF(P155="",TRUE,TodayDate-P155&gt;90),"Due - not counted in three months","OK")))))))</f>
        <v>0</v>
      </c>
    </row>
    <row r="156" spans="1:36">
      <c r="A156" s="28">
        <f>IF(B156="","",ProductPrefix&amp;TEXT(ROW()-4,"000"))</f>
        <v>0</v>
      </c>
      <c r="T156" s="37">
        <f>IF(B156="","",ROUND(SUMIFS(Purchases!$U$5:$U$304,Purchases!$D$5:$D$304,A156),2))</f>
        <v>0</v>
      </c>
      <c r="U156" s="37">
        <f>IF(B156="","",ROUND(SUMIFS(Sales!$T$5:$T$1204,Sales!$I$5:$I$1204,A156,Sales!$H$5:$H$1204,"Retail"),2))</f>
        <v>0</v>
      </c>
      <c r="V156" s="37">
        <f>IF(B156="","",ROUND(IF(J156="",0,J156)+T156-IF(K156="",0,K156)-U156-IF(L156="",0,L156)+IF(M156="",0,M156),2))</f>
        <v>0</v>
      </c>
      <c r="W156" s="37">
        <f>IF(B156="","",ROUND((U156+IF(K156="",0,K156))/MAX(4,TrackingWeeks),2))</f>
        <v>0</v>
      </c>
      <c r="X156" s="37">
        <f>IF(B156="","",IF(W156&lt;=0,"",ROUND(V156/W156,1)))</f>
        <v>0</v>
      </c>
      <c r="Y156" s="37">
        <f>IF(B156="","",IF(N156&lt;&gt;"",N156,ROUND(W156*StockWarningWeeks,1)))</f>
        <v>0</v>
      </c>
      <c r="Z156" s="39">
        <f>IF(B156="","",IF(V156&lt;=0,"Out of stock",IF(V156&lt;=Y156,"Low stock",IF(R156="No","Backbar","In stock"))))</f>
        <v>0</v>
      </c>
      <c r="AA156" s="37">
        <f>IF(B156="","",IF(Z156="In stock","",IF(Z156="Backbar",IF(V156&lt;=Y156,MAX(1,IF(O156="",ROUND(W156*ReorderWeeks,0),O156)),""),MAX(1,IF(O156="",ROUND(W156*ReorderWeeks,0),O156)))))</f>
        <v>0</v>
      </c>
      <c r="AB156" s="26">
        <f>IF(B156="","",ROUND(V156*IF(H156="",0,H156),2))</f>
        <v>0</v>
      </c>
      <c r="AC156" s="26">
        <f>IF(B156="","",ROUND(V156*IF(I156="",0,I156),2))</f>
        <v>0</v>
      </c>
      <c r="AD156" s="27">
        <f>IF(B156="","",IF(IF(I156="",0,I156)=0,"",(I156-IF(H156="",0,H156))/I156))</f>
        <v>0</v>
      </c>
      <c r="AE156" s="26">
        <f>IF(B156="","",IF(H156="","",H156*RetailMarkup))</f>
        <v>0</v>
      </c>
      <c r="AF156" s="26">
        <f>IF(B156="","",IF(AE156="","",ROUND(IF(RoundingRule="None",AE156,IF(RoundingRule="Nearest 0.99",MAX(0.99,CEILING(AE156,1)-0.01),IF(RoundingRule="Nearest 0.95",MAX(0.95,CEILING(AE156,1)-0.05),IF(RoundingRule="Nearest 0.50",CEILING(AE156,0.5),IF(RoundingRule="Nearest 1",CEILING(AE156,1),IF(RoundingRule="Nearest 5",CEILING(AE156,5),IF(RoundingRule="Up to whole 1",CEILING(AE156,1),IF(RoundingRule="Up to whole 5",CEILING(AE156,5),ROUND(AE156,2))))))))),2)))</f>
        <v>0</v>
      </c>
      <c r="AG156" s="26">
        <f>IF(B156="","",ROUND(SUMIFS(Sales!$Y$5:$Y$1204,Sales!$I$5:$I$1204,A156,Sales!$H$5:$H$1204,"Retail"),2))</f>
        <v>0</v>
      </c>
      <c r="AH156" s="26">
        <f>IF(B156="","",ROUND(AG156-U156*IF(H156="",0,H156),2))</f>
        <v>0</v>
      </c>
      <c r="AI156" s="25">
        <f>IF(B156="","",COUNTIFS($AG$5:$AG$304,"&gt;"&amp;AG156)+COUNTIFS($AG$5:AG156,AG156))</f>
        <v>0</v>
      </c>
      <c r="AJ156" s="39">
        <f>IF(B156="","",IF(H156="","Add - no cost, no stock value",IF(Z156="Out of stock","Out of stock - order today",IF(Z156="Low stock","Order - running low",IF(IF(Q156="",FALSE,Q156&lt;=TodayDate+30),"Check - expiring within a month",IF(IF(R156="Yes",AD156&lt;0.25,FALSE),"Below - thin margin for a retail line",IF(IF(P156="",TRUE,TodayDate-P156&gt;90),"Due - not counted in three months","OK")))))))</f>
        <v>0</v>
      </c>
    </row>
    <row r="157" spans="1:36">
      <c r="A157" s="28">
        <f>IF(B157="","",ProductPrefix&amp;TEXT(ROW()-4,"000"))</f>
        <v>0</v>
      </c>
      <c r="T157" s="37">
        <f>IF(B157="","",ROUND(SUMIFS(Purchases!$U$5:$U$304,Purchases!$D$5:$D$304,A157),2))</f>
        <v>0</v>
      </c>
      <c r="U157" s="37">
        <f>IF(B157="","",ROUND(SUMIFS(Sales!$T$5:$T$1204,Sales!$I$5:$I$1204,A157,Sales!$H$5:$H$1204,"Retail"),2))</f>
        <v>0</v>
      </c>
      <c r="V157" s="37">
        <f>IF(B157="","",ROUND(IF(J157="",0,J157)+T157-IF(K157="",0,K157)-U157-IF(L157="",0,L157)+IF(M157="",0,M157),2))</f>
        <v>0</v>
      </c>
      <c r="W157" s="37">
        <f>IF(B157="","",ROUND((U157+IF(K157="",0,K157))/MAX(4,TrackingWeeks),2))</f>
        <v>0</v>
      </c>
      <c r="X157" s="37">
        <f>IF(B157="","",IF(W157&lt;=0,"",ROUND(V157/W157,1)))</f>
        <v>0</v>
      </c>
      <c r="Y157" s="37">
        <f>IF(B157="","",IF(N157&lt;&gt;"",N157,ROUND(W157*StockWarningWeeks,1)))</f>
        <v>0</v>
      </c>
      <c r="Z157" s="39">
        <f>IF(B157="","",IF(V157&lt;=0,"Out of stock",IF(V157&lt;=Y157,"Low stock",IF(R157="No","Backbar","In stock"))))</f>
        <v>0</v>
      </c>
      <c r="AA157" s="37">
        <f>IF(B157="","",IF(Z157="In stock","",IF(Z157="Backbar",IF(V157&lt;=Y157,MAX(1,IF(O157="",ROUND(W157*ReorderWeeks,0),O157)),""),MAX(1,IF(O157="",ROUND(W157*ReorderWeeks,0),O157)))))</f>
        <v>0</v>
      </c>
      <c r="AB157" s="26">
        <f>IF(B157="","",ROUND(V157*IF(H157="",0,H157),2))</f>
        <v>0</v>
      </c>
      <c r="AC157" s="26">
        <f>IF(B157="","",ROUND(V157*IF(I157="",0,I157),2))</f>
        <v>0</v>
      </c>
      <c r="AD157" s="27">
        <f>IF(B157="","",IF(IF(I157="",0,I157)=0,"",(I157-IF(H157="",0,H157))/I157))</f>
        <v>0</v>
      </c>
      <c r="AE157" s="26">
        <f>IF(B157="","",IF(H157="","",H157*RetailMarkup))</f>
        <v>0</v>
      </c>
      <c r="AF157" s="26">
        <f>IF(B157="","",IF(AE157="","",ROUND(IF(RoundingRule="None",AE157,IF(RoundingRule="Nearest 0.99",MAX(0.99,CEILING(AE157,1)-0.01),IF(RoundingRule="Nearest 0.95",MAX(0.95,CEILING(AE157,1)-0.05),IF(RoundingRule="Nearest 0.50",CEILING(AE157,0.5),IF(RoundingRule="Nearest 1",CEILING(AE157,1),IF(RoundingRule="Nearest 5",CEILING(AE157,5),IF(RoundingRule="Up to whole 1",CEILING(AE157,1),IF(RoundingRule="Up to whole 5",CEILING(AE157,5),ROUND(AE157,2))))))))),2)))</f>
        <v>0</v>
      </c>
      <c r="AG157" s="26">
        <f>IF(B157="","",ROUND(SUMIFS(Sales!$Y$5:$Y$1204,Sales!$I$5:$I$1204,A157,Sales!$H$5:$H$1204,"Retail"),2))</f>
        <v>0</v>
      </c>
      <c r="AH157" s="26">
        <f>IF(B157="","",ROUND(AG157-U157*IF(H157="",0,H157),2))</f>
        <v>0</v>
      </c>
      <c r="AI157" s="25">
        <f>IF(B157="","",COUNTIFS($AG$5:$AG$304,"&gt;"&amp;AG157)+COUNTIFS($AG$5:AG157,AG157))</f>
        <v>0</v>
      </c>
      <c r="AJ157" s="39">
        <f>IF(B157="","",IF(H157="","Add - no cost, no stock value",IF(Z157="Out of stock","Out of stock - order today",IF(Z157="Low stock","Order - running low",IF(IF(Q157="",FALSE,Q157&lt;=TodayDate+30),"Check - expiring within a month",IF(IF(R157="Yes",AD157&lt;0.25,FALSE),"Below - thin margin for a retail line",IF(IF(P157="",TRUE,TodayDate-P157&gt;90),"Due - not counted in three months","OK")))))))</f>
        <v>0</v>
      </c>
    </row>
    <row r="158" spans="1:36">
      <c r="A158" s="28">
        <f>IF(B158="","",ProductPrefix&amp;TEXT(ROW()-4,"000"))</f>
        <v>0</v>
      </c>
      <c r="T158" s="37">
        <f>IF(B158="","",ROUND(SUMIFS(Purchases!$U$5:$U$304,Purchases!$D$5:$D$304,A158),2))</f>
        <v>0</v>
      </c>
      <c r="U158" s="37">
        <f>IF(B158="","",ROUND(SUMIFS(Sales!$T$5:$T$1204,Sales!$I$5:$I$1204,A158,Sales!$H$5:$H$1204,"Retail"),2))</f>
        <v>0</v>
      </c>
      <c r="V158" s="37">
        <f>IF(B158="","",ROUND(IF(J158="",0,J158)+T158-IF(K158="",0,K158)-U158-IF(L158="",0,L158)+IF(M158="",0,M158),2))</f>
        <v>0</v>
      </c>
      <c r="W158" s="37">
        <f>IF(B158="","",ROUND((U158+IF(K158="",0,K158))/MAX(4,TrackingWeeks),2))</f>
        <v>0</v>
      </c>
      <c r="X158" s="37">
        <f>IF(B158="","",IF(W158&lt;=0,"",ROUND(V158/W158,1)))</f>
        <v>0</v>
      </c>
      <c r="Y158" s="37">
        <f>IF(B158="","",IF(N158&lt;&gt;"",N158,ROUND(W158*StockWarningWeeks,1)))</f>
        <v>0</v>
      </c>
      <c r="Z158" s="39">
        <f>IF(B158="","",IF(V158&lt;=0,"Out of stock",IF(V158&lt;=Y158,"Low stock",IF(R158="No","Backbar","In stock"))))</f>
        <v>0</v>
      </c>
      <c r="AA158" s="37">
        <f>IF(B158="","",IF(Z158="In stock","",IF(Z158="Backbar",IF(V158&lt;=Y158,MAX(1,IF(O158="",ROUND(W158*ReorderWeeks,0),O158)),""),MAX(1,IF(O158="",ROUND(W158*ReorderWeeks,0),O158)))))</f>
        <v>0</v>
      </c>
      <c r="AB158" s="26">
        <f>IF(B158="","",ROUND(V158*IF(H158="",0,H158),2))</f>
        <v>0</v>
      </c>
      <c r="AC158" s="26">
        <f>IF(B158="","",ROUND(V158*IF(I158="",0,I158),2))</f>
        <v>0</v>
      </c>
      <c r="AD158" s="27">
        <f>IF(B158="","",IF(IF(I158="",0,I158)=0,"",(I158-IF(H158="",0,H158))/I158))</f>
        <v>0</v>
      </c>
      <c r="AE158" s="26">
        <f>IF(B158="","",IF(H158="","",H158*RetailMarkup))</f>
        <v>0</v>
      </c>
      <c r="AF158" s="26">
        <f>IF(B158="","",IF(AE158="","",ROUND(IF(RoundingRule="None",AE158,IF(RoundingRule="Nearest 0.99",MAX(0.99,CEILING(AE158,1)-0.01),IF(RoundingRule="Nearest 0.95",MAX(0.95,CEILING(AE158,1)-0.05),IF(RoundingRule="Nearest 0.50",CEILING(AE158,0.5),IF(RoundingRule="Nearest 1",CEILING(AE158,1),IF(RoundingRule="Nearest 5",CEILING(AE158,5),IF(RoundingRule="Up to whole 1",CEILING(AE158,1),IF(RoundingRule="Up to whole 5",CEILING(AE158,5),ROUND(AE158,2))))))))),2)))</f>
        <v>0</v>
      </c>
      <c r="AG158" s="26">
        <f>IF(B158="","",ROUND(SUMIFS(Sales!$Y$5:$Y$1204,Sales!$I$5:$I$1204,A158,Sales!$H$5:$H$1204,"Retail"),2))</f>
        <v>0</v>
      </c>
      <c r="AH158" s="26">
        <f>IF(B158="","",ROUND(AG158-U158*IF(H158="",0,H158),2))</f>
        <v>0</v>
      </c>
      <c r="AI158" s="25">
        <f>IF(B158="","",COUNTIFS($AG$5:$AG$304,"&gt;"&amp;AG158)+COUNTIFS($AG$5:AG158,AG158))</f>
        <v>0</v>
      </c>
      <c r="AJ158" s="39">
        <f>IF(B158="","",IF(H158="","Add - no cost, no stock value",IF(Z158="Out of stock","Out of stock - order today",IF(Z158="Low stock","Order - running low",IF(IF(Q158="",FALSE,Q158&lt;=TodayDate+30),"Check - expiring within a month",IF(IF(R158="Yes",AD158&lt;0.25,FALSE),"Below - thin margin for a retail line",IF(IF(P158="",TRUE,TodayDate-P158&gt;90),"Due - not counted in three months","OK")))))))</f>
        <v>0</v>
      </c>
    </row>
    <row r="159" spans="1:36">
      <c r="A159" s="28">
        <f>IF(B159="","",ProductPrefix&amp;TEXT(ROW()-4,"000"))</f>
        <v>0</v>
      </c>
      <c r="T159" s="37">
        <f>IF(B159="","",ROUND(SUMIFS(Purchases!$U$5:$U$304,Purchases!$D$5:$D$304,A159),2))</f>
        <v>0</v>
      </c>
      <c r="U159" s="37">
        <f>IF(B159="","",ROUND(SUMIFS(Sales!$T$5:$T$1204,Sales!$I$5:$I$1204,A159,Sales!$H$5:$H$1204,"Retail"),2))</f>
        <v>0</v>
      </c>
      <c r="V159" s="37">
        <f>IF(B159="","",ROUND(IF(J159="",0,J159)+T159-IF(K159="",0,K159)-U159-IF(L159="",0,L159)+IF(M159="",0,M159),2))</f>
        <v>0</v>
      </c>
      <c r="W159" s="37">
        <f>IF(B159="","",ROUND((U159+IF(K159="",0,K159))/MAX(4,TrackingWeeks),2))</f>
        <v>0</v>
      </c>
      <c r="X159" s="37">
        <f>IF(B159="","",IF(W159&lt;=0,"",ROUND(V159/W159,1)))</f>
        <v>0</v>
      </c>
      <c r="Y159" s="37">
        <f>IF(B159="","",IF(N159&lt;&gt;"",N159,ROUND(W159*StockWarningWeeks,1)))</f>
        <v>0</v>
      </c>
      <c r="Z159" s="39">
        <f>IF(B159="","",IF(V159&lt;=0,"Out of stock",IF(V159&lt;=Y159,"Low stock",IF(R159="No","Backbar","In stock"))))</f>
        <v>0</v>
      </c>
      <c r="AA159" s="37">
        <f>IF(B159="","",IF(Z159="In stock","",IF(Z159="Backbar",IF(V159&lt;=Y159,MAX(1,IF(O159="",ROUND(W159*ReorderWeeks,0),O159)),""),MAX(1,IF(O159="",ROUND(W159*ReorderWeeks,0),O159)))))</f>
        <v>0</v>
      </c>
      <c r="AB159" s="26">
        <f>IF(B159="","",ROUND(V159*IF(H159="",0,H159),2))</f>
        <v>0</v>
      </c>
      <c r="AC159" s="26">
        <f>IF(B159="","",ROUND(V159*IF(I159="",0,I159),2))</f>
        <v>0</v>
      </c>
      <c r="AD159" s="27">
        <f>IF(B159="","",IF(IF(I159="",0,I159)=0,"",(I159-IF(H159="",0,H159))/I159))</f>
        <v>0</v>
      </c>
      <c r="AE159" s="26">
        <f>IF(B159="","",IF(H159="","",H159*RetailMarkup))</f>
        <v>0</v>
      </c>
      <c r="AF159" s="26">
        <f>IF(B159="","",IF(AE159="","",ROUND(IF(RoundingRule="None",AE159,IF(RoundingRule="Nearest 0.99",MAX(0.99,CEILING(AE159,1)-0.01),IF(RoundingRule="Nearest 0.95",MAX(0.95,CEILING(AE159,1)-0.05),IF(RoundingRule="Nearest 0.50",CEILING(AE159,0.5),IF(RoundingRule="Nearest 1",CEILING(AE159,1),IF(RoundingRule="Nearest 5",CEILING(AE159,5),IF(RoundingRule="Up to whole 1",CEILING(AE159,1),IF(RoundingRule="Up to whole 5",CEILING(AE159,5),ROUND(AE159,2))))))))),2)))</f>
        <v>0</v>
      </c>
      <c r="AG159" s="26">
        <f>IF(B159="","",ROUND(SUMIFS(Sales!$Y$5:$Y$1204,Sales!$I$5:$I$1204,A159,Sales!$H$5:$H$1204,"Retail"),2))</f>
        <v>0</v>
      </c>
      <c r="AH159" s="26">
        <f>IF(B159="","",ROUND(AG159-U159*IF(H159="",0,H159),2))</f>
        <v>0</v>
      </c>
      <c r="AI159" s="25">
        <f>IF(B159="","",COUNTIFS($AG$5:$AG$304,"&gt;"&amp;AG159)+COUNTIFS($AG$5:AG159,AG159))</f>
        <v>0</v>
      </c>
      <c r="AJ159" s="39">
        <f>IF(B159="","",IF(H159="","Add - no cost, no stock value",IF(Z159="Out of stock","Out of stock - order today",IF(Z159="Low stock","Order - running low",IF(IF(Q159="",FALSE,Q159&lt;=TodayDate+30),"Check - expiring within a month",IF(IF(R159="Yes",AD159&lt;0.25,FALSE),"Below - thin margin for a retail line",IF(IF(P159="",TRUE,TodayDate-P159&gt;90),"Due - not counted in three months","OK")))))))</f>
        <v>0</v>
      </c>
    </row>
    <row r="160" spans="1:36">
      <c r="A160" s="28">
        <f>IF(B160="","",ProductPrefix&amp;TEXT(ROW()-4,"000"))</f>
        <v>0</v>
      </c>
      <c r="T160" s="37">
        <f>IF(B160="","",ROUND(SUMIFS(Purchases!$U$5:$U$304,Purchases!$D$5:$D$304,A160),2))</f>
        <v>0</v>
      </c>
      <c r="U160" s="37">
        <f>IF(B160="","",ROUND(SUMIFS(Sales!$T$5:$T$1204,Sales!$I$5:$I$1204,A160,Sales!$H$5:$H$1204,"Retail"),2))</f>
        <v>0</v>
      </c>
      <c r="V160" s="37">
        <f>IF(B160="","",ROUND(IF(J160="",0,J160)+T160-IF(K160="",0,K160)-U160-IF(L160="",0,L160)+IF(M160="",0,M160),2))</f>
        <v>0</v>
      </c>
      <c r="W160" s="37">
        <f>IF(B160="","",ROUND((U160+IF(K160="",0,K160))/MAX(4,TrackingWeeks),2))</f>
        <v>0</v>
      </c>
      <c r="X160" s="37">
        <f>IF(B160="","",IF(W160&lt;=0,"",ROUND(V160/W160,1)))</f>
        <v>0</v>
      </c>
      <c r="Y160" s="37">
        <f>IF(B160="","",IF(N160&lt;&gt;"",N160,ROUND(W160*StockWarningWeeks,1)))</f>
        <v>0</v>
      </c>
      <c r="Z160" s="39">
        <f>IF(B160="","",IF(V160&lt;=0,"Out of stock",IF(V160&lt;=Y160,"Low stock",IF(R160="No","Backbar","In stock"))))</f>
        <v>0</v>
      </c>
      <c r="AA160" s="37">
        <f>IF(B160="","",IF(Z160="In stock","",IF(Z160="Backbar",IF(V160&lt;=Y160,MAX(1,IF(O160="",ROUND(W160*ReorderWeeks,0),O160)),""),MAX(1,IF(O160="",ROUND(W160*ReorderWeeks,0),O160)))))</f>
        <v>0</v>
      </c>
      <c r="AB160" s="26">
        <f>IF(B160="","",ROUND(V160*IF(H160="",0,H160),2))</f>
        <v>0</v>
      </c>
      <c r="AC160" s="26">
        <f>IF(B160="","",ROUND(V160*IF(I160="",0,I160),2))</f>
        <v>0</v>
      </c>
      <c r="AD160" s="27">
        <f>IF(B160="","",IF(IF(I160="",0,I160)=0,"",(I160-IF(H160="",0,H160))/I160))</f>
        <v>0</v>
      </c>
      <c r="AE160" s="26">
        <f>IF(B160="","",IF(H160="","",H160*RetailMarkup))</f>
        <v>0</v>
      </c>
      <c r="AF160" s="26">
        <f>IF(B160="","",IF(AE160="","",ROUND(IF(RoundingRule="None",AE160,IF(RoundingRule="Nearest 0.99",MAX(0.99,CEILING(AE160,1)-0.01),IF(RoundingRule="Nearest 0.95",MAX(0.95,CEILING(AE160,1)-0.05),IF(RoundingRule="Nearest 0.50",CEILING(AE160,0.5),IF(RoundingRule="Nearest 1",CEILING(AE160,1),IF(RoundingRule="Nearest 5",CEILING(AE160,5),IF(RoundingRule="Up to whole 1",CEILING(AE160,1),IF(RoundingRule="Up to whole 5",CEILING(AE160,5),ROUND(AE160,2))))))))),2)))</f>
        <v>0</v>
      </c>
      <c r="AG160" s="26">
        <f>IF(B160="","",ROUND(SUMIFS(Sales!$Y$5:$Y$1204,Sales!$I$5:$I$1204,A160,Sales!$H$5:$H$1204,"Retail"),2))</f>
        <v>0</v>
      </c>
      <c r="AH160" s="26">
        <f>IF(B160="","",ROUND(AG160-U160*IF(H160="",0,H160),2))</f>
        <v>0</v>
      </c>
      <c r="AI160" s="25">
        <f>IF(B160="","",COUNTIFS($AG$5:$AG$304,"&gt;"&amp;AG160)+COUNTIFS($AG$5:AG160,AG160))</f>
        <v>0</v>
      </c>
      <c r="AJ160" s="39">
        <f>IF(B160="","",IF(H160="","Add - no cost, no stock value",IF(Z160="Out of stock","Out of stock - order today",IF(Z160="Low stock","Order - running low",IF(IF(Q160="",FALSE,Q160&lt;=TodayDate+30),"Check - expiring within a month",IF(IF(R160="Yes",AD160&lt;0.25,FALSE),"Below - thin margin for a retail line",IF(IF(P160="",TRUE,TodayDate-P160&gt;90),"Due - not counted in three months","OK")))))))</f>
        <v>0</v>
      </c>
    </row>
    <row r="161" spans="1:36">
      <c r="A161" s="28">
        <f>IF(B161="","",ProductPrefix&amp;TEXT(ROW()-4,"000"))</f>
        <v>0</v>
      </c>
      <c r="T161" s="37">
        <f>IF(B161="","",ROUND(SUMIFS(Purchases!$U$5:$U$304,Purchases!$D$5:$D$304,A161),2))</f>
        <v>0</v>
      </c>
      <c r="U161" s="37">
        <f>IF(B161="","",ROUND(SUMIFS(Sales!$T$5:$T$1204,Sales!$I$5:$I$1204,A161,Sales!$H$5:$H$1204,"Retail"),2))</f>
        <v>0</v>
      </c>
      <c r="V161" s="37">
        <f>IF(B161="","",ROUND(IF(J161="",0,J161)+T161-IF(K161="",0,K161)-U161-IF(L161="",0,L161)+IF(M161="",0,M161),2))</f>
        <v>0</v>
      </c>
      <c r="W161" s="37">
        <f>IF(B161="","",ROUND((U161+IF(K161="",0,K161))/MAX(4,TrackingWeeks),2))</f>
        <v>0</v>
      </c>
      <c r="X161" s="37">
        <f>IF(B161="","",IF(W161&lt;=0,"",ROUND(V161/W161,1)))</f>
        <v>0</v>
      </c>
      <c r="Y161" s="37">
        <f>IF(B161="","",IF(N161&lt;&gt;"",N161,ROUND(W161*StockWarningWeeks,1)))</f>
        <v>0</v>
      </c>
      <c r="Z161" s="39">
        <f>IF(B161="","",IF(V161&lt;=0,"Out of stock",IF(V161&lt;=Y161,"Low stock",IF(R161="No","Backbar","In stock"))))</f>
        <v>0</v>
      </c>
      <c r="AA161" s="37">
        <f>IF(B161="","",IF(Z161="In stock","",IF(Z161="Backbar",IF(V161&lt;=Y161,MAX(1,IF(O161="",ROUND(W161*ReorderWeeks,0),O161)),""),MAX(1,IF(O161="",ROUND(W161*ReorderWeeks,0),O161)))))</f>
        <v>0</v>
      </c>
      <c r="AB161" s="26">
        <f>IF(B161="","",ROUND(V161*IF(H161="",0,H161),2))</f>
        <v>0</v>
      </c>
      <c r="AC161" s="26">
        <f>IF(B161="","",ROUND(V161*IF(I161="",0,I161),2))</f>
        <v>0</v>
      </c>
      <c r="AD161" s="27">
        <f>IF(B161="","",IF(IF(I161="",0,I161)=0,"",(I161-IF(H161="",0,H161))/I161))</f>
        <v>0</v>
      </c>
      <c r="AE161" s="26">
        <f>IF(B161="","",IF(H161="","",H161*RetailMarkup))</f>
        <v>0</v>
      </c>
      <c r="AF161" s="26">
        <f>IF(B161="","",IF(AE161="","",ROUND(IF(RoundingRule="None",AE161,IF(RoundingRule="Nearest 0.99",MAX(0.99,CEILING(AE161,1)-0.01),IF(RoundingRule="Nearest 0.95",MAX(0.95,CEILING(AE161,1)-0.05),IF(RoundingRule="Nearest 0.50",CEILING(AE161,0.5),IF(RoundingRule="Nearest 1",CEILING(AE161,1),IF(RoundingRule="Nearest 5",CEILING(AE161,5),IF(RoundingRule="Up to whole 1",CEILING(AE161,1),IF(RoundingRule="Up to whole 5",CEILING(AE161,5),ROUND(AE161,2))))))))),2)))</f>
        <v>0</v>
      </c>
      <c r="AG161" s="26">
        <f>IF(B161="","",ROUND(SUMIFS(Sales!$Y$5:$Y$1204,Sales!$I$5:$I$1204,A161,Sales!$H$5:$H$1204,"Retail"),2))</f>
        <v>0</v>
      </c>
      <c r="AH161" s="26">
        <f>IF(B161="","",ROUND(AG161-U161*IF(H161="",0,H161),2))</f>
        <v>0</v>
      </c>
      <c r="AI161" s="25">
        <f>IF(B161="","",COUNTIFS($AG$5:$AG$304,"&gt;"&amp;AG161)+COUNTIFS($AG$5:AG161,AG161))</f>
        <v>0</v>
      </c>
      <c r="AJ161" s="39">
        <f>IF(B161="","",IF(H161="","Add - no cost, no stock value",IF(Z161="Out of stock","Out of stock - order today",IF(Z161="Low stock","Order - running low",IF(IF(Q161="",FALSE,Q161&lt;=TodayDate+30),"Check - expiring within a month",IF(IF(R161="Yes",AD161&lt;0.25,FALSE),"Below - thin margin for a retail line",IF(IF(P161="",TRUE,TodayDate-P161&gt;90),"Due - not counted in three months","OK")))))))</f>
        <v>0</v>
      </c>
    </row>
    <row r="162" spans="1:36">
      <c r="A162" s="28">
        <f>IF(B162="","",ProductPrefix&amp;TEXT(ROW()-4,"000"))</f>
        <v>0</v>
      </c>
      <c r="T162" s="37">
        <f>IF(B162="","",ROUND(SUMIFS(Purchases!$U$5:$U$304,Purchases!$D$5:$D$304,A162),2))</f>
        <v>0</v>
      </c>
      <c r="U162" s="37">
        <f>IF(B162="","",ROUND(SUMIFS(Sales!$T$5:$T$1204,Sales!$I$5:$I$1204,A162,Sales!$H$5:$H$1204,"Retail"),2))</f>
        <v>0</v>
      </c>
      <c r="V162" s="37">
        <f>IF(B162="","",ROUND(IF(J162="",0,J162)+T162-IF(K162="",0,K162)-U162-IF(L162="",0,L162)+IF(M162="",0,M162),2))</f>
        <v>0</v>
      </c>
      <c r="W162" s="37">
        <f>IF(B162="","",ROUND((U162+IF(K162="",0,K162))/MAX(4,TrackingWeeks),2))</f>
        <v>0</v>
      </c>
      <c r="X162" s="37">
        <f>IF(B162="","",IF(W162&lt;=0,"",ROUND(V162/W162,1)))</f>
        <v>0</v>
      </c>
      <c r="Y162" s="37">
        <f>IF(B162="","",IF(N162&lt;&gt;"",N162,ROUND(W162*StockWarningWeeks,1)))</f>
        <v>0</v>
      </c>
      <c r="Z162" s="39">
        <f>IF(B162="","",IF(V162&lt;=0,"Out of stock",IF(V162&lt;=Y162,"Low stock",IF(R162="No","Backbar","In stock"))))</f>
        <v>0</v>
      </c>
      <c r="AA162" s="37">
        <f>IF(B162="","",IF(Z162="In stock","",IF(Z162="Backbar",IF(V162&lt;=Y162,MAX(1,IF(O162="",ROUND(W162*ReorderWeeks,0),O162)),""),MAX(1,IF(O162="",ROUND(W162*ReorderWeeks,0),O162)))))</f>
        <v>0</v>
      </c>
      <c r="AB162" s="26">
        <f>IF(B162="","",ROUND(V162*IF(H162="",0,H162),2))</f>
        <v>0</v>
      </c>
      <c r="AC162" s="26">
        <f>IF(B162="","",ROUND(V162*IF(I162="",0,I162),2))</f>
        <v>0</v>
      </c>
      <c r="AD162" s="27">
        <f>IF(B162="","",IF(IF(I162="",0,I162)=0,"",(I162-IF(H162="",0,H162))/I162))</f>
        <v>0</v>
      </c>
      <c r="AE162" s="26">
        <f>IF(B162="","",IF(H162="","",H162*RetailMarkup))</f>
        <v>0</v>
      </c>
      <c r="AF162" s="26">
        <f>IF(B162="","",IF(AE162="","",ROUND(IF(RoundingRule="None",AE162,IF(RoundingRule="Nearest 0.99",MAX(0.99,CEILING(AE162,1)-0.01),IF(RoundingRule="Nearest 0.95",MAX(0.95,CEILING(AE162,1)-0.05),IF(RoundingRule="Nearest 0.50",CEILING(AE162,0.5),IF(RoundingRule="Nearest 1",CEILING(AE162,1),IF(RoundingRule="Nearest 5",CEILING(AE162,5),IF(RoundingRule="Up to whole 1",CEILING(AE162,1),IF(RoundingRule="Up to whole 5",CEILING(AE162,5),ROUND(AE162,2))))))))),2)))</f>
        <v>0</v>
      </c>
      <c r="AG162" s="26">
        <f>IF(B162="","",ROUND(SUMIFS(Sales!$Y$5:$Y$1204,Sales!$I$5:$I$1204,A162,Sales!$H$5:$H$1204,"Retail"),2))</f>
        <v>0</v>
      </c>
      <c r="AH162" s="26">
        <f>IF(B162="","",ROUND(AG162-U162*IF(H162="",0,H162),2))</f>
        <v>0</v>
      </c>
      <c r="AI162" s="25">
        <f>IF(B162="","",COUNTIFS($AG$5:$AG$304,"&gt;"&amp;AG162)+COUNTIFS($AG$5:AG162,AG162))</f>
        <v>0</v>
      </c>
      <c r="AJ162" s="39">
        <f>IF(B162="","",IF(H162="","Add - no cost, no stock value",IF(Z162="Out of stock","Out of stock - order today",IF(Z162="Low stock","Order - running low",IF(IF(Q162="",FALSE,Q162&lt;=TodayDate+30),"Check - expiring within a month",IF(IF(R162="Yes",AD162&lt;0.25,FALSE),"Below - thin margin for a retail line",IF(IF(P162="",TRUE,TodayDate-P162&gt;90),"Due - not counted in three months","OK")))))))</f>
        <v>0</v>
      </c>
    </row>
    <row r="163" spans="1:36">
      <c r="A163" s="28">
        <f>IF(B163="","",ProductPrefix&amp;TEXT(ROW()-4,"000"))</f>
        <v>0</v>
      </c>
      <c r="T163" s="37">
        <f>IF(B163="","",ROUND(SUMIFS(Purchases!$U$5:$U$304,Purchases!$D$5:$D$304,A163),2))</f>
        <v>0</v>
      </c>
      <c r="U163" s="37">
        <f>IF(B163="","",ROUND(SUMIFS(Sales!$T$5:$T$1204,Sales!$I$5:$I$1204,A163,Sales!$H$5:$H$1204,"Retail"),2))</f>
        <v>0</v>
      </c>
      <c r="V163" s="37">
        <f>IF(B163="","",ROUND(IF(J163="",0,J163)+T163-IF(K163="",0,K163)-U163-IF(L163="",0,L163)+IF(M163="",0,M163),2))</f>
        <v>0</v>
      </c>
      <c r="W163" s="37">
        <f>IF(B163="","",ROUND((U163+IF(K163="",0,K163))/MAX(4,TrackingWeeks),2))</f>
        <v>0</v>
      </c>
      <c r="X163" s="37">
        <f>IF(B163="","",IF(W163&lt;=0,"",ROUND(V163/W163,1)))</f>
        <v>0</v>
      </c>
      <c r="Y163" s="37">
        <f>IF(B163="","",IF(N163&lt;&gt;"",N163,ROUND(W163*StockWarningWeeks,1)))</f>
        <v>0</v>
      </c>
      <c r="Z163" s="39">
        <f>IF(B163="","",IF(V163&lt;=0,"Out of stock",IF(V163&lt;=Y163,"Low stock",IF(R163="No","Backbar","In stock"))))</f>
        <v>0</v>
      </c>
      <c r="AA163" s="37">
        <f>IF(B163="","",IF(Z163="In stock","",IF(Z163="Backbar",IF(V163&lt;=Y163,MAX(1,IF(O163="",ROUND(W163*ReorderWeeks,0),O163)),""),MAX(1,IF(O163="",ROUND(W163*ReorderWeeks,0),O163)))))</f>
        <v>0</v>
      </c>
      <c r="AB163" s="26">
        <f>IF(B163="","",ROUND(V163*IF(H163="",0,H163),2))</f>
        <v>0</v>
      </c>
      <c r="AC163" s="26">
        <f>IF(B163="","",ROUND(V163*IF(I163="",0,I163),2))</f>
        <v>0</v>
      </c>
      <c r="AD163" s="27">
        <f>IF(B163="","",IF(IF(I163="",0,I163)=0,"",(I163-IF(H163="",0,H163))/I163))</f>
        <v>0</v>
      </c>
      <c r="AE163" s="26">
        <f>IF(B163="","",IF(H163="","",H163*RetailMarkup))</f>
        <v>0</v>
      </c>
      <c r="AF163" s="26">
        <f>IF(B163="","",IF(AE163="","",ROUND(IF(RoundingRule="None",AE163,IF(RoundingRule="Nearest 0.99",MAX(0.99,CEILING(AE163,1)-0.01),IF(RoundingRule="Nearest 0.95",MAX(0.95,CEILING(AE163,1)-0.05),IF(RoundingRule="Nearest 0.50",CEILING(AE163,0.5),IF(RoundingRule="Nearest 1",CEILING(AE163,1),IF(RoundingRule="Nearest 5",CEILING(AE163,5),IF(RoundingRule="Up to whole 1",CEILING(AE163,1),IF(RoundingRule="Up to whole 5",CEILING(AE163,5),ROUND(AE163,2))))))))),2)))</f>
        <v>0</v>
      </c>
      <c r="AG163" s="26">
        <f>IF(B163="","",ROUND(SUMIFS(Sales!$Y$5:$Y$1204,Sales!$I$5:$I$1204,A163,Sales!$H$5:$H$1204,"Retail"),2))</f>
        <v>0</v>
      </c>
      <c r="AH163" s="26">
        <f>IF(B163="","",ROUND(AG163-U163*IF(H163="",0,H163),2))</f>
        <v>0</v>
      </c>
      <c r="AI163" s="25">
        <f>IF(B163="","",COUNTIFS($AG$5:$AG$304,"&gt;"&amp;AG163)+COUNTIFS($AG$5:AG163,AG163))</f>
        <v>0</v>
      </c>
      <c r="AJ163" s="39">
        <f>IF(B163="","",IF(H163="","Add - no cost, no stock value",IF(Z163="Out of stock","Out of stock - order today",IF(Z163="Low stock","Order - running low",IF(IF(Q163="",FALSE,Q163&lt;=TodayDate+30),"Check - expiring within a month",IF(IF(R163="Yes",AD163&lt;0.25,FALSE),"Below - thin margin for a retail line",IF(IF(P163="",TRUE,TodayDate-P163&gt;90),"Due - not counted in three months","OK")))))))</f>
        <v>0</v>
      </c>
    </row>
    <row r="164" spans="1:36">
      <c r="A164" s="28">
        <f>IF(B164="","",ProductPrefix&amp;TEXT(ROW()-4,"000"))</f>
        <v>0</v>
      </c>
      <c r="T164" s="37">
        <f>IF(B164="","",ROUND(SUMIFS(Purchases!$U$5:$U$304,Purchases!$D$5:$D$304,A164),2))</f>
        <v>0</v>
      </c>
      <c r="U164" s="37">
        <f>IF(B164="","",ROUND(SUMIFS(Sales!$T$5:$T$1204,Sales!$I$5:$I$1204,A164,Sales!$H$5:$H$1204,"Retail"),2))</f>
        <v>0</v>
      </c>
      <c r="V164" s="37">
        <f>IF(B164="","",ROUND(IF(J164="",0,J164)+T164-IF(K164="",0,K164)-U164-IF(L164="",0,L164)+IF(M164="",0,M164),2))</f>
        <v>0</v>
      </c>
      <c r="W164" s="37">
        <f>IF(B164="","",ROUND((U164+IF(K164="",0,K164))/MAX(4,TrackingWeeks),2))</f>
        <v>0</v>
      </c>
      <c r="X164" s="37">
        <f>IF(B164="","",IF(W164&lt;=0,"",ROUND(V164/W164,1)))</f>
        <v>0</v>
      </c>
      <c r="Y164" s="37">
        <f>IF(B164="","",IF(N164&lt;&gt;"",N164,ROUND(W164*StockWarningWeeks,1)))</f>
        <v>0</v>
      </c>
      <c r="Z164" s="39">
        <f>IF(B164="","",IF(V164&lt;=0,"Out of stock",IF(V164&lt;=Y164,"Low stock",IF(R164="No","Backbar","In stock"))))</f>
        <v>0</v>
      </c>
      <c r="AA164" s="37">
        <f>IF(B164="","",IF(Z164="In stock","",IF(Z164="Backbar",IF(V164&lt;=Y164,MAX(1,IF(O164="",ROUND(W164*ReorderWeeks,0),O164)),""),MAX(1,IF(O164="",ROUND(W164*ReorderWeeks,0),O164)))))</f>
        <v>0</v>
      </c>
      <c r="AB164" s="26">
        <f>IF(B164="","",ROUND(V164*IF(H164="",0,H164),2))</f>
        <v>0</v>
      </c>
      <c r="AC164" s="26">
        <f>IF(B164="","",ROUND(V164*IF(I164="",0,I164),2))</f>
        <v>0</v>
      </c>
      <c r="AD164" s="27">
        <f>IF(B164="","",IF(IF(I164="",0,I164)=0,"",(I164-IF(H164="",0,H164))/I164))</f>
        <v>0</v>
      </c>
      <c r="AE164" s="26">
        <f>IF(B164="","",IF(H164="","",H164*RetailMarkup))</f>
        <v>0</v>
      </c>
      <c r="AF164" s="26">
        <f>IF(B164="","",IF(AE164="","",ROUND(IF(RoundingRule="None",AE164,IF(RoundingRule="Nearest 0.99",MAX(0.99,CEILING(AE164,1)-0.01),IF(RoundingRule="Nearest 0.95",MAX(0.95,CEILING(AE164,1)-0.05),IF(RoundingRule="Nearest 0.50",CEILING(AE164,0.5),IF(RoundingRule="Nearest 1",CEILING(AE164,1),IF(RoundingRule="Nearest 5",CEILING(AE164,5),IF(RoundingRule="Up to whole 1",CEILING(AE164,1),IF(RoundingRule="Up to whole 5",CEILING(AE164,5),ROUND(AE164,2))))))))),2)))</f>
        <v>0</v>
      </c>
      <c r="AG164" s="26">
        <f>IF(B164="","",ROUND(SUMIFS(Sales!$Y$5:$Y$1204,Sales!$I$5:$I$1204,A164,Sales!$H$5:$H$1204,"Retail"),2))</f>
        <v>0</v>
      </c>
      <c r="AH164" s="26">
        <f>IF(B164="","",ROUND(AG164-U164*IF(H164="",0,H164),2))</f>
        <v>0</v>
      </c>
      <c r="AI164" s="25">
        <f>IF(B164="","",COUNTIFS($AG$5:$AG$304,"&gt;"&amp;AG164)+COUNTIFS($AG$5:AG164,AG164))</f>
        <v>0</v>
      </c>
      <c r="AJ164" s="39">
        <f>IF(B164="","",IF(H164="","Add - no cost, no stock value",IF(Z164="Out of stock","Out of stock - order today",IF(Z164="Low stock","Order - running low",IF(IF(Q164="",FALSE,Q164&lt;=TodayDate+30),"Check - expiring within a month",IF(IF(R164="Yes",AD164&lt;0.25,FALSE),"Below - thin margin for a retail line",IF(IF(P164="",TRUE,TodayDate-P164&gt;90),"Due - not counted in three months","OK")))))))</f>
        <v>0</v>
      </c>
    </row>
    <row r="165" spans="1:36">
      <c r="A165" s="28">
        <f>IF(B165="","",ProductPrefix&amp;TEXT(ROW()-4,"000"))</f>
        <v>0</v>
      </c>
      <c r="T165" s="37">
        <f>IF(B165="","",ROUND(SUMIFS(Purchases!$U$5:$U$304,Purchases!$D$5:$D$304,A165),2))</f>
        <v>0</v>
      </c>
      <c r="U165" s="37">
        <f>IF(B165="","",ROUND(SUMIFS(Sales!$T$5:$T$1204,Sales!$I$5:$I$1204,A165,Sales!$H$5:$H$1204,"Retail"),2))</f>
        <v>0</v>
      </c>
      <c r="V165" s="37">
        <f>IF(B165="","",ROUND(IF(J165="",0,J165)+T165-IF(K165="",0,K165)-U165-IF(L165="",0,L165)+IF(M165="",0,M165),2))</f>
        <v>0</v>
      </c>
      <c r="W165" s="37">
        <f>IF(B165="","",ROUND((U165+IF(K165="",0,K165))/MAX(4,TrackingWeeks),2))</f>
        <v>0</v>
      </c>
      <c r="X165" s="37">
        <f>IF(B165="","",IF(W165&lt;=0,"",ROUND(V165/W165,1)))</f>
        <v>0</v>
      </c>
      <c r="Y165" s="37">
        <f>IF(B165="","",IF(N165&lt;&gt;"",N165,ROUND(W165*StockWarningWeeks,1)))</f>
        <v>0</v>
      </c>
      <c r="Z165" s="39">
        <f>IF(B165="","",IF(V165&lt;=0,"Out of stock",IF(V165&lt;=Y165,"Low stock",IF(R165="No","Backbar","In stock"))))</f>
        <v>0</v>
      </c>
      <c r="AA165" s="37">
        <f>IF(B165="","",IF(Z165="In stock","",IF(Z165="Backbar",IF(V165&lt;=Y165,MAX(1,IF(O165="",ROUND(W165*ReorderWeeks,0),O165)),""),MAX(1,IF(O165="",ROUND(W165*ReorderWeeks,0),O165)))))</f>
        <v>0</v>
      </c>
      <c r="AB165" s="26">
        <f>IF(B165="","",ROUND(V165*IF(H165="",0,H165),2))</f>
        <v>0</v>
      </c>
      <c r="AC165" s="26">
        <f>IF(B165="","",ROUND(V165*IF(I165="",0,I165),2))</f>
        <v>0</v>
      </c>
      <c r="AD165" s="27">
        <f>IF(B165="","",IF(IF(I165="",0,I165)=0,"",(I165-IF(H165="",0,H165))/I165))</f>
        <v>0</v>
      </c>
      <c r="AE165" s="26">
        <f>IF(B165="","",IF(H165="","",H165*RetailMarkup))</f>
        <v>0</v>
      </c>
      <c r="AF165" s="26">
        <f>IF(B165="","",IF(AE165="","",ROUND(IF(RoundingRule="None",AE165,IF(RoundingRule="Nearest 0.99",MAX(0.99,CEILING(AE165,1)-0.01),IF(RoundingRule="Nearest 0.95",MAX(0.95,CEILING(AE165,1)-0.05),IF(RoundingRule="Nearest 0.50",CEILING(AE165,0.5),IF(RoundingRule="Nearest 1",CEILING(AE165,1),IF(RoundingRule="Nearest 5",CEILING(AE165,5),IF(RoundingRule="Up to whole 1",CEILING(AE165,1),IF(RoundingRule="Up to whole 5",CEILING(AE165,5),ROUND(AE165,2))))))))),2)))</f>
        <v>0</v>
      </c>
      <c r="AG165" s="26">
        <f>IF(B165="","",ROUND(SUMIFS(Sales!$Y$5:$Y$1204,Sales!$I$5:$I$1204,A165,Sales!$H$5:$H$1204,"Retail"),2))</f>
        <v>0</v>
      </c>
      <c r="AH165" s="26">
        <f>IF(B165="","",ROUND(AG165-U165*IF(H165="",0,H165),2))</f>
        <v>0</v>
      </c>
      <c r="AI165" s="25">
        <f>IF(B165="","",COUNTIFS($AG$5:$AG$304,"&gt;"&amp;AG165)+COUNTIFS($AG$5:AG165,AG165))</f>
        <v>0</v>
      </c>
      <c r="AJ165" s="39">
        <f>IF(B165="","",IF(H165="","Add - no cost, no stock value",IF(Z165="Out of stock","Out of stock - order today",IF(Z165="Low stock","Order - running low",IF(IF(Q165="",FALSE,Q165&lt;=TodayDate+30),"Check - expiring within a month",IF(IF(R165="Yes",AD165&lt;0.25,FALSE),"Below - thin margin for a retail line",IF(IF(P165="",TRUE,TodayDate-P165&gt;90),"Due - not counted in three months","OK")))))))</f>
        <v>0</v>
      </c>
    </row>
    <row r="166" spans="1:36">
      <c r="A166" s="28">
        <f>IF(B166="","",ProductPrefix&amp;TEXT(ROW()-4,"000"))</f>
        <v>0</v>
      </c>
      <c r="T166" s="37">
        <f>IF(B166="","",ROUND(SUMIFS(Purchases!$U$5:$U$304,Purchases!$D$5:$D$304,A166),2))</f>
        <v>0</v>
      </c>
      <c r="U166" s="37">
        <f>IF(B166="","",ROUND(SUMIFS(Sales!$T$5:$T$1204,Sales!$I$5:$I$1204,A166,Sales!$H$5:$H$1204,"Retail"),2))</f>
        <v>0</v>
      </c>
      <c r="V166" s="37">
        <f>IF(B166="","",ROUND(IF(J166="",0,J166)+T166-IF(K166="",0,K166)-U166-IF(L166="",0,L166)+IF(M166="",0,M166),2))</f>
        <v>0</v>
      </c>
      <c r="W166" s="37">
        <f>IF(B166="","",ROUND((U166+IF(K166="",0,K166))/MAX(4,TrackingWeeks),2))</f>
        <v>0</v>
      </c>
      <c r="X166" s="37">
        <f>IF(B166="","",IF(W166&lt;=0,"",ROUND(V166/W166,1)))</f>
        <v>0</v>
      </c>
      <c r="Y166" s="37">
        <f>IF(B166="","",IF(N166&lt;&gt;"",N166,ROUND(W166*StockWarningWeeks,1)))</f>
        <v>0</v>
      </c>
      <c r="Z166" s="39">
        <f>IF(B166="","",IF(V166&lt;=0,"Out of stock",IF(V166&lt;=Y166,"Low stock",IF(R166="No","Backbar","In stock"))))</f>
        <v>0</v>
      </c>
      <c r="AA166" s="37">
        <f>IF(B166="","",IF(Z166="In stock","",IF(Z166="Backbar",IF(V166&lt;=Y166,MAX(1,IF(O166="",ROUND(W166*ReorderWeeks,0),O166)),""),MAX(1,IF(O166="",ROUND(W166*ReorderWeeks,0),O166)))))</f>
        <v>0</v>
      </c>
      <c r="AB166" s="26">
        <f>IF(B166="","",ROUND(V166*IF(H166="",0,H166),2))</f>
        <v>0</v>
      </c>
      <c r="AC166" s="26">
        <f>IF(B166="","",ROUND(V166*IF(I166="",0,I166),2))</f>
        <v>0</v>
      </c>
      <c r="AD166" s="27">
        <f>IF(B166="","",IF(IF(I166="",0,I166)=0,"",(I166-IF(H166="",0,H166))/I166))</f>
        <v>0</v>
      </c>
      <c r="AE166" s="26">
        <f>IF(B166="","",IF(H166="","",H166*RetailMarkup))</f>
        <v>0</v>
      </c>
      <c r="AF166" s="26">
        <f>IF(B166="","",IF(AE166="","",ROUND(IF(RoundingRule="None",AE166,IF(RoundingRule="Nearest 0.99",MAX(0.99,CEILING(AE166,1)-0.01),IF(RoundingRule="Nearest 0.95",MAX(0.95,CEILING(AE166,1)-0.05),IF(RoundingRule="Nearest 0.50",CEILING(AE166,0.5),IF(RoundingRule="Nearest 1",CEILING(AE166,1),IF(RoundingRule="Nearest 5",CEILING(AE166,5),IF(RoundingRule="Up to whole 1",CEILING(AE166,1),IF(RoundingRule="Up to whole 5",CEILING(AE166,5),ROUND(AE166,2))))))))),2)))</f>
        <v>0</v>
      </c>
      <c r="AG166" s="26">
        <f>IF(B166="","",ROUND(SUMIFS(Sales!$Y$5:$Y$1204,Sales!$I$5:$I$1204,A166,Sales!$H$5:$H$1204,"Retail"),2))</f>
        <v>0</v>
      </c>
      <c r="AH166" s="26">
        <f>IF(B166="","",ROUND(AG166-U166*IF(H166="",0,H166),2))</f>
        <v>0</v>
      </c>
      <c r="AI166" s="25">
        <f>IF(B166="","",COUNTIFS($AG$5:$AG$304,"&gt;"&amp;AG166)+COUNTIFS($AG$5:AG166,AG166))</f>
        <v>0</v>
      </c>
      <c r="AJ166" s="39">
        <f>IF(B166="","",IF(H166="","Add - no cost, no stock value",IF(Z166="Out of stock","Out of stock - order today",IF(Z166="Low stock","Order - running low",IF(IF(Q166="",FALSE,Q166&lt;=TodayDate+30),"Check - expiring within a month",IF(IF(R166="Yes",AD166&lt;0.25,FALSE),"Below - thin margin for a retail line",IF(IF(P166="",TRUE,TodayDate-P166&gt;90),"Due - not counted in three months","OK")))))))</f>
        <v>0</v>
      </c>
    </row>
    <row r="167" spans="1:36">
      <c r="A167" s="28">
        <f>IF(B167="","",ProductPrefix&amp;TEXT(ROW()-4,"000"))</f>
        <v>0</v>
      </c>
      <c r="T167" s="37">
        <f>IF(B167="","",ROUND(SUMIFS(Purchases!$U$5:$U$304,Purchases!$D$5:$D$304,A167),2))</f>
        <v>0</v>
      </c>
      <c r="U167" s="37">
        <f>IF(B167="","",ROUND(SUMIFS(Sales!$T$5:$T$1204,Sales!$I$5:$I$1204,A167,Sales!$H$5:$H$1204,"Retail"),2))</f>
        <v>0</v>
      </c>
      <c r="V167" s="37">
        <f>IF(B167="","",ROUND(IF(J167="",0,J167)+T167-IF(K167="",0,K167)-U167-IF(L167="",0,L167)+IF(M167="",0,M167),2))</f>
        <v>0</v>
      </c>
      <c r="W167" s="37">
        <f>IF(B167="","",ROUND((U167+IF(K167="",0,K167))/MAX(4,TrackingWeeks),2))</f>
        <v>0</v>
      </c>
      <c r="X167" s="37">
        <f>IF(B167="","",IF(W167&lt;=0,"",ROUND(V167/W167,1)))</f>
        <v>0</v>
      </c>
      <c r="Y167" s="37">
        <f>IF(B167="","",IF(N167&lt;&gt;"",N167,ROUND(W167*StockWarningWeeks,1)))</f>
        <v>0</v>
      </c>
      <c r="Z167" s="39">
        <f>IF(B167="","",IF(V167&lt;=0,"Out of stock",IF(V167&lt;=Y167,"Low stock",IF(R167="No","Backbar","In stock"))))</f>
        <v>0</v>
      </c>
      <c r="AA167" s="37">
        <f>IF(B167="","",IF(Z167="In stock","",IF(Z167="Backbar",IF(V167&lt;=Y167,MAX(1,IF(O167="",ROUND(W167*ReorderWeeks,0),O167)),""),MAX(1,IF(O167="",ROUND(W167*ReorderWeeks,0),O167)))))</f>
        <v>0</v>
      </c>
      <c r="AB167" s="26">
        <f>IF(B167="","",ROUND(V167*IF(H167="",0,H167),2))</f>
        <v>0</v>
      </c>
      <c r="AC167" s="26">
        <f>IF(B167="","",ROUND(V167*IF(I167="",0,I167),2))</f>
        <v>0</v>
      </c>
      <c r="AD167" s="27">
        <f>IF(B167="","",IF(IF(I167="",0,I167)=0,"",(I167-IF(H167="",0,H167))/I167))</f>
        <v>0</v>
      </c>
      <c r="AE167" s="26">
        <f>IF(B167="","",IF(H167="","",H167*RetailMarkup))</f>
        <v>0</v>
      </c>
      <c r="AF167" s="26">
        <f>IF(B167="","",IF(AE167="","",ROUND(IF(RoundingRule="None",AE167,IF(RoundingRule="Nearest 0.99",MAX(0.99,CEILING(AE167,1)-0.01),IF(RoundingRule="Nearest 0.95",MAX(0.95,CEILING(AE167,1)-0.05),IF(RoundingRule="Nearest 0.50",CEILING(AE167,0.5),IF(RoundingRule="Nearest 1",CEILING(AE167,1),IF(RoundingRule="Nearest 5",CEILING(AE167,5),IF(RoundingRule="Up to whole 1",CEILING(AE167,1),IF(RoundingRule="Up to whole 5",CEILING(AE167,5),ROUND(AE167,2))))))))),2)))</f>
        <v>0</v>
      </c>
      <c r="AG167" s="26">
        <f>IF(B167="","",ROUND(SUMIFS(Sales!$Y$5:$Y$1204,Sales!$I$5:$I$1204,A167,Sales!$H$5:$H$1204,"Retail"),2))</f>
        <v>0</v>
      </c>
      <c r="AH167" s="26">
        <f>IF(B167="","",ROUND(AG167-U167*IF(H167="",0,H167),2))</f>
        <v>0</v>
      </c>
      <c r="AI167" s="25">
        <f>IF(B167="","",COUNTIFS($AG$5:$AG$304,"&gt;"&amp;AG167)+COUNTIFS($AG$5:AG167,AG167))</f>
        <v>0</v>
      </c>
      <c r="AJ167" s="39">
        <f>IF(B167="","",IF(H167="","Add - no cost, no stock value",IF(Z167="Out of stock","Out of stock - order today",IF(Z167="Low stock","Order - running low",IF(IF(Q167="",FALSE,Q167&lt;=TodayDate+30),"Check - expiring within a month",IF(IF(R167="Yes",AD167&lt;0.25,FALSE),"Below - thin margin for a retail line",IF(IF(P167="",TRUE,TodayDate-P167&gt;90),"Due - not counted in three months","OK")))))))</f>
        <v>0</v>
      </c>
    </row>
    <row r="168" spans="1:36">
      <c r="A168" s="28">
        <f>IF(B168="","",ProductPrefix&amp;TEXT(ROW()-4,"000"))</f>
        <v>0</v>
      </c>
      <c r="T168" s="37">
        <f>IF(B168="","",ROUND(SUMIFS(Purchases!$U$5:$U$304,Purchases!$D$5:$D$304,A168),2))</f>
        <v>0</v>
      </c>
      <c r="U168" s="37">
        <f>IF(B168="","",ROUND(SUMIFS(Sales!$T$5:$T$1204,Sales!$I$5:$I$1204,A168,Sales!$H$5:$H$1204,"Retail"),2))</f>
        <v>0</v>
      </c>
      <c r="V168" s="37">
        <f>IF(B168="","",ROUND(IF(J168="",0,J168)+T168-IF(K168="",0,K168)-U168-IF(L168="",0,L168)+IF(M168="",0,M168),2))</f>
        <v>0</v>
      </c>
      <c r="W168" s="37">
        <f>IF(B168="","",ROUND((U168+IF(K168="",0,K168))/MAX(4,TrackingWeeks),2))</f>
        <v>0</v>
      </c>
      <c r="X168" s="37">
        <f>IF(B168="","",IF(W168&lt;=0,"",ROUND(V168/W168,1)))</f>
        <v>0</v>
      </c>
      <c r="Y168" s="37">
        <f>IF(B168="","",IF(N168&lt;&gt;"",N168,ROUND(W168*StockWarningWeeks,1)))</f>
        <v>0</v>
      </c>
      <c r="Z168" s="39">
        <f>IF(B168="","",IF(V168&lt;=0,"Out of stock",IF(V168&lt;=Y168,"Low stock",IF(R168="No","Backbar","In stock"))))</f>
        <v>0</v>
      </c>
      <c r="AA168" s="37">
        <f>IF(B168="","",IF(Z168="In stock","",IF(Z168="Backbar",IF(V168&lt;=Y168,MAX(1,IF(O168="",ROUND(W168*ReorderWeeks,0),O168)),""),MAX(1,IF(O168="",ROUND(W168*ReorderWeeks,0),O168)))))</f>
        <v>0</v>
      </c>
      <c r="AB168" s="26">
        <f>IF(B168="","",ROUND(V168*IF(H168="",0,H168),2))</f>
        <v>0</v>
      </c>
      <c r="AC168" s="26">
        <f>IF(B168="","",ROUND(V168*IF(I168="",0,I168),2))</f>
        <v>0</v>
      </c>
      <c r="AD168" s="27">
        <f>IF(B168="","",IF(IF(I168="",0,I168)=0,"",(I168-IF(H168="",0,H168))/I168))</f>
        <v>0</v>
      </c>
      <c r="AE168" s="26">
        <f>IF(B168="","",IF(H168="","",H168*RetailMarkup))</f>
        <v>0</v>
      </c>
      <c r="AF168" s="26">
        <f>IF(B168="","",IF(AE168="","",ROUND(IF(RoundingRule="None",AE168,IF(RoundingRule="Nearest 0.99",MAX(0.99,CEILING(AE168,1)-0.01),IF(RoundingRule="Nearest 0.95",MAX(0.95,CEILING(AE168,1)-0.05),IF(RoundingRule="Nearest 0.50",CEILING(AE168,0.5),IF(RoundingRule="Nearest 1",CEILING(AE168,1),IF(RoundingRule="Nearest 5",CEILING(AE168,5),IF(RoundingRule="Up to whole 1",CEILING(AE168,1),IF(RoundingRule="Up to whole 5",CEILING(AE168,5),ROUND(AE168,2))))))))),2)))</f>
        <v>0</v>
      </c>
      <c r="AG168" s="26">
        <f>IF(B168="","",ROUND(SUMIFS(Sales!$Y$5:$Y$1204,Sales!$I$5:$I$1204,A168,Sales!$H$5:$H$1204,"Retail"),2))</f>
        <v>0</v>
      </c>
      <c r="AH168" s="26">
        <f>IF(B168="","",ROUND(AG168-U168*IF(H168="",0,H168),2))</f>
        <v>0</v>
      </c>
      <c r="AI168" s="25">
        <f>IF(B168="","",COUNTIFS($AG$5:$AG$304,"&gt;"&amp;AG168)+COUNTIFS($AG$5:AG168,AG168))</f>
        <v>0</v>
      </c>
      <c r="AJ168" s="39">
        <f>IF(B168="","",IF(H168="","Add - no cost, no stock value",IF(Z168="Out of stock","Out of stock - order today",IF(Z168="Low stock","Order - running low",IF(IF(Q168="",FALSE,Q168&lt;=TodayDate+30),"Check - expiring within a month",IF(IF(R168="Yes",AD168&lt;0.25,FALSE),"Below - thin margin for a retail line",IF(IF(P168="",TRUE,TodayDate-P168&gt;90),"Due - not counted in three months","OK")))))))</f>
        <v>0</v>
      </c>
    </row>
    <row r="169" spans="1:36">
      <c r="A169" s="28">
        <f>IF(B169="","",ProductPrefix&amp;TEXT(ROW()-4,"000"))</f>
        <v>0</v>
      </c>
      <c r="T169" s="37">
        <f>IF(B169="","",ROUND(SUMIFS(Purchases!$U$5:$U$304,Purchases!$D$5:$D$304,A169),2))</f>
        <v>0</v>
      </c>
      <c r="U169" s="37">
        <f>IF(B169="","",ROUND(SUMIFS(Sales!$T$5:$T$1204,Sales!$I$5:$I$1204,A169,Sales!$H$5:$H$1204,"Retail"),2))</f>
        <v>0</v>
      </c>
      <c r="V169" s="37">
        <f>IF(B169="","",ROUND(IF(J169="",0,J169)+T169-IF(K169="",0,K169)-U169-IF(L169="",0,L169)+IF(M169="",0,M169),2))</f>
        <v>0</v>
      </c>
      <c r="W169" s="37">
        <f>IF(B169="","",ROUND((U169+IF(K169="",0,K169))/MAX(4,TrackingWeeks),2))</f>
        <v>0</v>
      </c>
      <c r="X169" s="37">
        <f>IF(B169="","",IF(W169&lt;=0,"",ROUND(V169/W169,1)))</f>
        <v>0</v>
      </c>
      <c r="Y169" s="37">
        <f>IF(B169="","",IF(N169&lt;&gt;"",N169,ROUND(W169*StockWarningWeeks,1)))</f>
        <v>0</v>
      </c>
      <c r="Z169" s="39">
        <f>IF(B169="","",IF(V169&lt;=0,"Out of stock",IF(V169&lt;=Y169,"Low stock",IF(R169="No","Backbar","In stock"))))</f>
        <v>0</v>
      </c>
      <c r="AA169" s="37">
        <f>IF(B169="","",IF(Z169="In stock","",IF(Z169="Backbar",IF(V169&lt;=Y169,MAX(1,IF(O169="",ROUND(W169*ReorderWeeks,0),O169)),""),MAX(1,IF(O169="",ROUND(W169*ReorderWeeks,0),O169)))))</f>
        <v>0</v>
      </c>
      <c r="AB169" s="26">
        <f>IF(B169="","",ROUND(V169*IF(H169="",0,H169),2))</f>
        <v>0</v>
      </c>
      <c r="AC169" s="26">
        <f>IF(B169="","",ROUND(V169*IF(I169="",0,I169),2))</f>
        <v>0</v>
      </c>
      <c r="AD169" s="27">
        <f>IF(B169="","",IF(IF(I169="",0,I169)=0,"",(I169-IF(H169="",0,H169))/I169))</f>
        <v>0</v>
      </c>
      <c r="AE169" s="26">
        <f>IF(B169="","",IF(H169="","",H169*RetailMarkup))</f>
        <v>0</v>
      </c>
      <c r="AF169" s="26">
        <f>IF(B169="","",IF(AE169="","",ROUND(IF(RoundingRule="None",AE169,IF(RoundingRule="Nearest 0.99",MAX(0.99,CEILING(AE169,1)-0.01),IF(RoundingRule="Nearest 0.95",MAX(0.95,CEILING(AE169,1)-0.05),IF(RoundingRule="Nearest 0.50",CEILING(AE169,0.5),IF(RoundingRule="Nearest 1",CEILING(AE169,1),IF(RoundingRule="Nearest 5",CEILING(AE169,5),IF(RoundingRule="Up to whole 1",CEILING(AE169,1),IF(RoundingRule="Up to whole 5",CEILING(AE169,5),ROUND(AE169,2))))))))),2)))</f>
        <v>0</v>
      </c>
      <c r="AG169" s="26">
        <f>IF(B169="","",ROUND(SUMIFS(Sales!$Y$5:$Y$1204,Sales!$I$5:$I$1204,A169,Sales!$H$5:$H$1204,"Retail"),2))</f>
        <v>0</v>
      </c>
      <c r="AH169" s="26">
        <f>IF(B169="","",ROUND(AG169-U169*IF(H169="",0,H169),2))</f>
        <v>0</v>
      </c>
      <c r="AI169" s="25">
        <f>IF(B169="","",COUNTIFS($AG$5:$AG$304,"&gt;"&amp;AG169)+COUNTIFS($AG$5:AG169,AG169))</f>
        <v>0</v>
      </c>
      <c r="AJ169" s="39">
        <f>IF(B169="","",IF(H169="","Add - no cost, no stock value",IF(Z169="Out of stock","Out of stock - order today",IF(Z169="Low stock","Order - running low",IF(IF(Q169="",FALSE,Q169&lt;=TodayDate+30),"Check - expiring within a month",IF(IF(R169="Yes",AD169&lt;0.25,FALSE),"Below - thin margin for a retail line",IF(IF(P169="",TRUE,TodayDate-P169&gt;90),"Due - not counted in three months","OK")))))))</f>
        <v>0</v>
      </c>
    </row>
    <row r="170" spans="1:36">
      <c r="A170" s="28">
        <f>IF(B170="","",ProductPrefix&amp;TEXT(ROW()-4,"000"))</f>
        <v>0</v>
      </c>
      <c r="T170" s="37">
        <f>IF(B170="","",ROUND(SUMIFS(Purchases!$U$5:$U$304,Purchases!$D$5:$D$304,A170),2))</f>
        <v>0</v>
      </c>
      <c r="U170" s="37">
        <f>IF(B170="","",ROUND(SUMIFS(Sales!$T$5:$T$1204,Sales!$I$5:$I$1204,A170,Sales!$H$5:$H$1204,"Retail"),2))</f>
        <v>0</v>
      </c>
      <c r="V170" s="37">
        <f>IF(B170="","",ROUND(IF(J170="",0,J170)+T170-IF(K170="",0,K170)-U170-IF(L170="",0,L170)+IF(M170="",0,M170),2))</f>
        <v>0</v>
      </c>
      <c r="W170" s="37">
        <f>IF(B170="","",ROUND((U170+IF(K170="",0,K170))/MAX(4,TrackingWeeks),2))</f>
        <v>0</v>
      </c>
      <c r="X170" s="37">
        <f>IF(B170="","",IF(W170&lt;=0,"",ROUND(V170/W170,1)))</f>
        <v>0</v>
      </c>
      <c r="Y170" s="37">
        <f>IF(B170="","",IF(N170&lt;&gt;"",N170,ROUND(W170*StockWarningWeeks,1)))</f>
        <v>0</v>
      </c>
      <c r="Z170" s="39">
        <f>IF(B170="","",IF(V170&lt;=0,"Out of stock",IF(V170&lt;=Y170,"Low stock",IF(R170="No","Backbar","In stock"))))</f>
        <v>0</v>
      </c>
      <c r="AA170" s="37">
        <f>IF(B170="","",IF(Z170="In stock","",IF(Z170="Backbar",IF(V170&lt;=Y170,MAX(1,IF(O170="",ROUND(W170*ReorderWeeks,0),O170)),""),MAX(1,IF(O170="",ROUND(W170*ReorderWeeks,0),O170)))))</f>
        <v>0</v>
      </c>
      <c r="AB170" s="26">
        <f>IF(B170="","",ROUND(V170*IF(H170="",0,H170),2))</f>
        <v>0</v>
      </c>
      <c r="AC170" s="26">
        <f>IF(B170="","",ROUND(V170*IF(I170="",0,I170),2))</f>
        <v>0</v>
      </c>
      <c r="AD170" s="27">
        <f>IF(B170="","",IF(IF(I170="",0,I170)=0,"",(I170-IF(H170="",0,H170))/I170))</f>
        <v>0</v>
      </c>
      <c r="AE170" s="26">
        <f>IF(B170="","",IF(H170="","",H170*RetailMarkup))</f>
        <v>0</v>
      </c>
      <c r="AF170" s="26">
        <f>IF(B170="","",IF(AE170="","",ROUND(IF(RoundingRule="None",AE170,IF(RoundingRule="Nearest 0.99",MAX(0.99,CEILING(AE170,1)-0.01),IF(RoundingRule="Nearest 0.95",MAX(0.95,CEILING(AE170,1)-0.05),IF(RoundingRule="Nearest 0.50",CEILING(AE170,0.5),IF(RoundingRule="Nearest 1",CEILING(AE170,1),IF(RoundingRule="Nearest 5",CEILING(AE170,5),IF(RoundingRule="Up to whole 1",CEILING(AE170,1),IF(RoundingRule="Up to whole 5",CEILING(AE170,5),ROUND(AE170,2))))))))),2)))</f>
        <v>0</v>
      </c>
      <c r="AG170" s="26">
        <f>IF(B170="","",ROUND(SUMIFS(Sales!$Y$5:$Y$1204,Sales!$I$5:$I$1204,A170,Sales!$H$5:$H$1204,"Retail"),2))</f>
        <v>0</v>
      </c>
      <c r="AH170" s="26">
        <f>IF(B170="","",ROUND(AG170-U170*IF(H170="",0,H170),2))</f>
        <v>0</v>
      </c>
      <c r="AI170" s="25">
        <f>IF(B170="","",COUNTIFS($AG$5:$AG$304,"&gt;"&amp;AG170)+COUNTIFS($AG$5:AG170,AG170))</f>
        <v>0</v>
      </c>
      <c r="AJ170" s="39">
        <f>IF(B170="","",IF(H170="","Add - no cost, no stock value",IF(Z170="Out of stock","Out of stock - order today",IF(Z170="Low stock","Order - running low",IF(IF(Q170="",FALSE,Q170&lt;=TodayDate+30),"Check - expiring within a month",IF(IF(R170="Yes",AD170&lt;0.25,FALSE),"Below - thin margin for a retail line",IF(IF(P170="",TRUE,TodayDate-P170&gt;90),"Due - not counted in three months","OK")))))))</f>
        <v>0</v>
      </c>
    </row>
    <row r="171" spans="1:36">
      <c r="A171" s="28">
        <f>IF(B171="","",ProductPrefix&amp;TEXT(ROW()-4,"000"))</f>
        <v>0</v>
      </c>
      <c r="T171" s="37">
        <f>IF(B171="","",ROUND(SUMIFS(Purchases!$U$5:$U$304,Purchases!$D$5:$D$304,A171),2))</f>
        <v>0</v>
      </c>
      <c r="U171" s="37">
        <f>IF(B171="","",ROUND(SUMIFS(Sales!$T$5:$T$1204,Sales!$I$5:$I$1204,A171,Sales!$H$5:$H$1204,"Retail"),2))</f>
        <v>0</v>
      </c>
      <c r="V171" s="37">
        <f>IF(B171="","",ROUND(IF(J171="",0,J171)+T171-IF(K171="",0,K171)-U171-IF(L171="",0,L171)+IF(M171="",0,M171),2))</f>
        <v>0</v>
      </c>
      <c r="W171" s="37">
        <f>IF(B171="","",ROUND((U171+IF(K171="",0,K171))/MAX(4,TrackingWeeks),2))</f>
        <v>0</v>
      </c>
      <c r="X171" s="37">
        <f>IF(B171="","",IF(W171&lt;=0,"",ROUND(V171/W171,1)))</f>
        <v>0</v>
      </c>
      <c r="Y171" s="37">
        <f>IF(B171="","",IF(N171&lt;&gt;"",N171,ROUND(W171*StockWarningWeeks,1)))</f>
        <v>0</v>
      </c>
      <c r="Z171" s="39">
        <f>IF(B171="","",IF(V171&lt;=0,"Out of stock",IF(V171&lt;=Y171,"Low stock",IF(R171="No","Backbar","In stock"))))</f>
        <v>0</v>
      </c>
      <c r="AA171" s="37">
        <f>IF(B171="","",IF(Z171="In stock","",IF(Z171="Backbar",IF(V171&lt;=Y171,MAX(1,IF(O171="",ROUND(W171*ReorderWeeks,0),O171)),""),MAX(1,IF(O171="",ROUND(W171*ReorderWeeks,0),O171)))))</f>
        <v>0</v>
      </c>
      <c r="AB171" s="26">
        <f>IF(B171="","",ROUND(V171*IF(H171="",0,H171),2))</f>
        <v>0</v>
      </c>
      <c r="AC171" s="26">
        <f>IF(B171="","",ROUND(V171*IF(I171="",0,I171),2))</f>
        <v>0</v>
      </c>
      <c r="AD171" s="27">
        <f>IF(B171="","",IF(IF(I171="",0,I171)=0,"",(I171-IF(H171="",0,H171))/I171))</f>
        <v>0</v>
      </c>
      <c r="AE171" s="26">
        <f>IF(B171="","",IF(H171="","",H171*RetailMarkup))</f>
        <v>0</v>
      </c>
      <c r="AF171" s="26">
        <f>IF(B171="","",IF(AE171="","",ROUND(IF(RoundingRule="None",AE171,IF(RoundingRule="Nearest 0.99",MAX(0.99,CEILING(AE171,1)-0.01),IF(RoundingRule="Nearest 0.95",MAX(0.95,CEILING(AE171,1)-0.05),IF(RoundingRule="Nearest 0.50",CEILING(AE171,0.5),IF(RoundingRule="Nearest 1",CEILING(AE171,1),IF(RoundingRule="Nearest 5",CEILING(AE171,5),IF(RoundingRule="Up to whole 1",CEILING(AE171,1),IF(RoundingRule="Up to whole 5",CEILING(AE171,5),ROUND(AE171,2))))))))),2)))</f>
        <v>0</v>
      </c>
      <c r="AG171" s="26">
        <f>IF(B171="","",ROUND(SUMIFS(Sales!$Y$5:$Y$1204,Sales!$I$5:$I$1204,A171,Sales!$H$5:$H$1204,"Retail"),2))</f>
        <v>0</v>
      </c>
      <c r="AH171" s="26">
        <f>IF(B171="","",ROUND(AG171-U171*IF(H171="",0,H171),2))</f>
        <v>0</v>
      </c>
      <c r="AI171" s="25">
        <f>IF(B171="","",COUNTIFS($AG$5:$AG$304,"&gt;"&amp;AG171)+COUNTIFS($AG$5:AG171,AG171))</f>
        <v>0</v>
      </c>
      <c r="AJ171" s="39">
        <f>IF(B171="","",IF(H171="","Add - no cost, no stock value",IF(Z171="Out of stock","Out of stock - order today",IF(Z171="Low stock","Order - running low",IF(IF(Q171="",FALSE,Q171&lt;=TodayDate+30),"Check - expiring within a month",IF(IF(R171="Yes",AD171&lt;0.25,FALSE),"Below - thin margin for a retail line",IF(IF(P171="",TRUE,TodayDate-P171&gt;90),"Due - not counted in three months","OK")))))))</f>
        <v>0</v>
      </c>
    </row>
    <row r="172" spans="1:36">
      <c r="A172" s="28">
        <f>IF(B172="","",ProductPrefix&amp;TEXT(ROW()-4,"000"))</f>
        <v>0</v>
      </c>
      <c r="T172" s="37">
        <f>IF(B172="","",ROUND(SUMIFS(Purchases!$U$5:$U$304,Purchases!$D$5:$D$304,A172),2))</f>
        <v>0</v>
      </c>
      <c r="U172" s="37">
        <f>IF(B172="","",ROUND(SUMIFS(Sales!$T$5:$T$1204,Sales!$I$5:$I$1204,A172,Sales!$H$5:$H$1204,"Retail"),2))</f>
        <v>0</v>
      </c>
      <c r="V172" s="37">
        <f>IF(B172="","",ROUND(IF(J172="",0,J172)+T172-IF(K172="",0,K172)-U172-IF(L172="",0,L172)+IF(M172="",0,M172),2))</f>
        <v>0</v>
      </c>
      <c r="W172" s="37">
        <f>IF(B172="","",ROUND((U172+IF(K172="",0,K172))/MAX(4,TrackingWeeks),2))</f>
        <v>0</v>
      </c>
      <c r="X172" s="37">
        <f>IF(B172="","",IF(W172&lt;=0,"",ROUND(V172/W172,1)))</f>
        <v>0</v>
      </c>
      <c r="Y172" s="37">
        <f>IF(B172="","",IF(N172&lt;&gt;"",N172,ROUND(W172*StockWarningWeeks,1)))</f>
        <v>0</v>
      </c>
      <c r="Z172" s="39">
        <f>IF(B172="","",IF(V172&lt;=0,"Out of stock",IF(V172&lt;=Y172,"Low stock",IF(R172="No","Backbar","In stock"))))</f>
        <v>0</v>
      </c>
      <c r="AA172" s="37">
        <f>IF(B172="","",IF(Z172="In stock","",IF(Z172="Backbar",IF(V172&lt;=Y172,MAX(1,IF(O172="",ROUND(W172*ReorderWeeks,0),O172)),""),MAX(1,IF(O172="",ROUND(W172*ReorderWeeks,0),O172)))))</f>
        <v>0</v>
      </c>
      <c r="AB172" s="26">
        <f>IF(B172="","",ROUND(V172*IF(H172="",0,H172),2))</f>
        <v>0</v>
      </c>
      <c r="AC172" s="26">
        <f>IF(B172="","",ROUND(V172*IF(I172="",0,I172),2))</f>
        <v>0</v>
      </c>
      <c r="AD172" s="27">
        <f>IF(B172="","",IF(IF(I172="",0,I172)=0,"",(I172-IF(H172="",0,H172))/I172))</f>
        <v>0</v>
      </c>
      <c r="AE172" s="26">
        <f>IF(B172="","",IF(H172="","",H172*RetailMarkup))</f>
        <v>0</v>
      </c>
      <c r="AF172" s="26">
        <f>IF(B172="","",IF(AE172="","",ROUND(IF(RoundingRule="None",AE172,IF(RoundingRule="Nearest 0.99",MAX(0.99,CEILING(AE172,1)-0.01),IF(RoundingRule="Nearest 0.95",MAX(0.95,CEILING(AE172,1)-0.05),IF(RoundingRule="Nearest 0.50",CEILING(AE172,0.5),IF(RoundingRule="Nearest 1",CEILING(AE172,1),IF(RoundingRule="Nearest 5",CEILING(AE172,5),IF(RoundingRule="Up to whole 1",CEILING(AE172,1),IF(RoundingRule="Up to whole 5",CEILING(AE172,5),ROUND(AE172,2))))))))),2)))</f>
        <v>0</v>
      </c>
      <c r="AG172" s="26">
        <f>IF(B172="","",ROUND(SUMIFS(Sales!$Y$5:$Y$1204,Sales!$I$5:$I$1204,A172,Sales!$H$5:$H$1204,"Retail"),2))</f>
        <v>0</v>
      </c>
      <c r="AH172" s="26">
        <f>IF(B172="","",ROUND(AG172-U172*IF(H172="",0,H172),2))</f>
        <v>0</v>
      </c>
      <c r="AI172" s="25">
        <f>IF(B172="","",COUNTIFS($AG$5:$AG$304,"&gt;"&amp;AG172)+COUNTIFS($AG$5:AG172,AG172))</f>
        <v>0</v>
      </c>
      <c r="AJ172" s="39">
        <f>IF(B172="","",IF(H172="","Add - no cost, no stock value",IF(Z172="Out of stock","Out of stock - order today",IF(Z172="Low stock","Order - running low",IF(IF(Q172="",FALSE,Q172&lt;=TodayDate+30),"Check - expiring within a month",IF(IF(R172="Yes",AD172&lt;0.25,FALSE),"Below - thin margin for a retail line",IF(IF(P172="",TRUE,TodayDate-P172&gt;90),"Due - not counted in three months","OK")))))))</f>
        <v>0</v>
      </c>
    </row>
    <row r="173" spans="1:36">
      <c r="A173" s="28">
        <f>IF(B173="","",ProductPrefix&amp;TEXT(ROW()-4,"000"))</f>
        <v>0</v>
      </c>
      <c r="T173" s="37">
        <f>IF(B173="","",ROUND(SUMIFS(Purchases!$U$5:$U$304,Purchases!$D$5:$D$304,A173),2))</f>
        <v>0</v>
      </c>
      <c r="U173" s="37">
        <f>IF(B173="","",ROUND(SUMIFS(Sales!$T$5:$T$1204,Sales!$I$5:$I$1204,A173,Sales!$H$5:$H$1204,"Retail"),2))</f>
        <v>0</v>
      </c>
      <c r="V173" s="37">
        <f>IF(B173="","",ROUND(IF(J173="",0,J173)+T173-IF(K173="",0,K173)-U173-IF(L173="",0,L173)+IF(M173="",0,M173),2))</f>
        <v>0</v>
      </c>
      <c r="W173" s="37">
        <f>IF(B173="","",ROUND((U173+IF(K173="",0,K173))/MAX(4,TrackingWeeks),2))</f>
        <v>0</v>
      </c>
      <c r="X173" s="37">
        <f>IF(B173="","",IF(W173&lt;=0,"",ROUND(V173/W173,1)))</f>
        <v>0</v>
      </c>
      <c r="Y173" s="37">
        <f>IF(B173="","",IF(N173&lt;&gt;"",N173,ROUND(W173*StockWarningWeeks,1)))</f>
        <v>0</v>
      </c>
      <c r="Z173" s="39">
        <f>IF(B173="","",IF(V173&lt;=0,"Out of stock",IF(V173&lt;=Y173,"Low stock",IF(R173="No","Backbar","In stock"))))</f>
        <v>0</v>
      </c>
      <c r="AA173" s="37">
        <f>IF(B173="","",IF(Z173="In stock","",IF(Z173="Backbar",IF(V173&lt;=Y173,MAX(1,IF(O173="",ROUND(W173*ReorderWeeks,0),O173)),""),MAX(1,IF(O173="",ROUND(W173*ReorderWeeks,0),O173)))))</f>
        <v>0</v>
      </c>
      <c r="AB173" s="26">
        <f>IF(B173="","",ROUND(V173*IF(H173="",0,H173),2))</f>
        <v>0</v>
      </c>
      <c r="AC173" s="26">
        <f>IF(B173="","",ROUND(V173*IF(I173="",0,I173),2))</f>
        <v>0</v>
      </c>
      <c r="AD173" s="27">
        <f>IF(B173="","",IF(IF(I173="",0,I173)=0,"",(I173-IF(H173="",0,H173))/I173))</f>
        <v>0</v>
      </c>
      <c r="AE173" s="26">
        <f>IF(B173="","",IF(H173="","",H173*RetailMarkup))</f>
        <v>0</v>
      </c>
      <c r="AF173" s="26">
        <f>IF(B173="","",IF(AE173="","",ROUND(IF(RoundingRule="None",AE173,IF(RoundingRule="Nearest 0.99",MAX(0.99,CEILING(AE173,1)-0.01),IF(RoundingRule="Nearest 0.95",MAX(0.95,CEILING(AE173,1)-0.05),IF(RoundingRule="Nearest 0.50",CEILING(AE173,0.5),IF(RoundingRule="Nearest 1",CEILING(AE173,1),IF(RoundingRule="Nearest 5",CEILING(AE173,5),IF(RoundingRule="Up to whole 1",CEILING(AE173,1),IF(RoundingRule="Up to whole 5",CEILING(AE173,5),ROUND(AE173,2))))))))),2)))</f>
        <v>0</v>
      </c>
      <c r="AG173" s="26">
        <f>IF(B173="","",ROUND(SUMIFS(Sales!$Y$5:$Y$1204,Sales!$I$5:$I$1204,A173,Sales!$H$5:$H$1204,"Retail"),2))</f>
        <v>0</v>
      </c>
      <c r="AH173" s="26">
        <f>IF(B173="","",ROUND(AG173-U173*IF(H173="",0,H173),2))</f>
        <v>0</v>
      </c>
      <c r="AI173" s="25">
        <f>IF(B173="","",COUNTIFS($AG$5:$AG$304,"&gt;"&amp;AG173)+COUNTIFS($AG$5:AG173,AG173))</f>
        <v>0</v>
      </c>
      <c r="AJ173" s="39">
        <f>IF(B173="","",IF(H173="","Add - no cost, no stock value",IF(Z173="Out of stock","Out of stock - order today",IF(Z173="Low stock","Order - running low",IF(IF(Q173="",FALSE,Q173&lt;=TodayDate+30),"Check - expiring within a month",IF(IF(R173="Yes",AD173&lt;0.25,FALSE),"Below - thin margin for a retail line",IF(IF(P173="",TRUE,TodayDate-P173&gt;90),"Due - not counted in three months","OK")))))))</f>
        <v>0</v>
      </c>
    </row>
    <row r="174" spans="1:36">
      <c r="A174" s="28">
        <f>IF(B174="","",ProductPrefix&amp;TEXT(ROW()-4,"000"))</f>
        <v>0</v>
      </c>
      <c r="T174" s="37">
        <f>IF(B174="","",ROUND(SUMIFS(Purchases!$U$5:$U$304,Purchases!$D$5:$D$304,A174),2))</f>
        <v>0</v>
      </c>
      <c r="U174" s="37">
        <f>IF(B174="","",ROUND(SUMIFS(Sales!$T$5:$T$1204,Sales!$I$5:$I$1204,A174,Sales!$H$5:$H$1204,"Retail"),2))</f>
        <v>0</v>
      </c>
      <c r="V174" s="37">
        <f>IF(B174="","",ROUND(IF(J174="",0,J174)+T174-IF(K174="",0,K174)-U174-IF(L174="",0,L174)+IF(M174="",0,M174),2))</f>
        <v>0</v>
      </c>
      <c r="W174" s="37">
        <f>IF(B174="","",ROUND((U174+IF(K174="",0,K174))/MAX(4,TrackingWeeks),2))</f>
        <v>0</v>
      </c>
      <c r="X174" s="37">
        <f>IF(B174="","",IF(W174&lt;=0,"",ROUND(V174/W174,1)))</f>
        <v>0</v>
      </c>
      <c r="Y174" s="37">
        <f>IF(B174="","",IF(N174&lt;&gt;"",N174,ROUND(W174*StockWarningWeeks,1)))</f>
        <v>0</v>
      </c>
      <c r="Z174" s="39">
        <f>IF(B174="","",IF(V174&lt;=0,"Out of stock",IF(V174&lt;=Y174,"Low stock",IF(R174="No","Backbar","In stock"))))</f>
        <v>0</v>
      </c>
      <c r="AA174" s="37">
        <f>IF(B174="","",IF(Z174="In stock","",IF(Z174="Backbar",IF(V174&lt;=Y174,MAX(1,IF(O174="",ROUND(W174*ReorderWeeks,0),O174)),""),MAX(1,IF(O174="",ROUND(W174*ReorderWeeks,0),O174)))))</f>
        <v>0</v>
      </c>
      <c r="AB174" s="26">
        <f>IF(B174="","",ROUND(V174*IF(H174="",0,H174),2))</f>
        <v>0</v>
      </c>
      <c r="AC174" s="26">
        <f>IF(B174="","",ROUND(V174*IF(I174="",0,I174),2))</f>
        <v>0</v>
      </c>
      <c r="AD174" s="27">
        <f>IF(B174="","",IF(IF(I174="",0,I174)=0,"",(I174-IF(H174="",0,H174))/I174))</f>
        <v>0</v>
      </c>
      <c r="AE174" s="26">
        <f>IF(B174="","",IF(H174="","",H174*RetailMarkup))</f>
        <v>0</v>
      </c>
      <c r="AF174" s="26">
        <f>IF(B174="","",IF(AE174="","",ROUND(IF(RoundingRule="None",AE174,IF(RoundingRule="Nearest 0.99",MAX(0.99,CEILING(AE174,1)-0.01),IF(RoundingRule="Nearest 0.95",MAX(0.95,CEILING(AE174,1)-0.05),IF(RoundingRule="Nearest 0.50",CEILING(AE174,0.5),IF(RoundingRule="Nearest 1",CEILING(AE174,1),IF(RoundingRule="Nearest 5",CEILING(AE174,5),IF(RoundingRule="Up to whole 1",CEILING(AE174,1),IF(RoundingRule="Up to whole 5",CEILING(AE174,5),ROUND(AE174,2))))))))),2)))</f>
        <v>0</v>
      </c>
      <c r="AG174" s="26">
        <f>IF(B174="","",ROUND(SUMIFS(Sales!$Y$5:$Y$1204,Sales!$I$5:$I$1204,A174,Sales!$H$5:$H$1204,"Retail"),2))</f>
        <v>0</v>
      </c>
      <c r="AH174" s="26">
        <f>IF(B174="","",ROUND(AG174-U174*IF(H174="",0,H174),2))</f>
        <v>0</v>
      </c>
      <c r="AI174" s="25">
        <f>IF(B174="","",COUNTIFS($AG$5:$AG$304,"&gt;"&amp;AG174)+COUNTIFS($AG$5:AG174,AG174))</f>
        <v>0</v>
      </c>
      <c r="AJ174" s="39">
        <f>IF(B174="","",IF(H174="","Add - no cost, no stock value",IF(Z174="Out of stock","Out of stock - order today",IF(Z174="Low stock","Order - running low",IF(IF(Q174="",FALSE,Q174&lt;=TodayDate+30),"Check - expiring within a month",IF(IF(R174="Yes",AD174&lt;0.25,FALSE),"Below - thin margin for a retail line",IF(IF(P174="",TRUE,TodayDate-P174&gt;90),"Due - not counted in three months","OK")))))))</f>
        <v>0</v>
      </c>
    </row>
    <row r="175" spans="1:36">
      <c r="A175" s="28">
        <f>IF(B175="","",ProductPrefix&amp;TEXT(ROW()-4,"000"))</f>
        <v>0</v>
      </c>
      <c r="T175" s="37">
        <f>IF(B175="","",ROUND(SUMIFS(Purchases!$U$5:$U$304,Purchases!$D$5:$D$304,A175),2))</f>
        <v>0</v>
      </c>
      <c r="U175" s="37">
        <f>IF(B175="","",ROUND(SUMIFS(Sales!$T$5:$T$1204,Sales!$I$5:$I$1204,A175,Sales!$H$5:$H$1204,"Retail"),2))</f>
        <v>0</v>
      </c>
      <c r="V175" s="37">
        <f>IF(B175="","",ROUND(IF(J175="",0,J175)+T175-IF(K175="",0,K175)-U175-IF(L175="",0,L175)+IF(M175="",0,M175),2))</f>
        <v>0</v>
      </c>
      <c r="W175" s="37">
        <f>IF(B175="","",ROUND((U175+IF(K175="",0,K175))/MAX(4,TrackingWeeks),2))</f>
        <v>0</v>
      </c>
      <c r="X175" s="37">
        <f>IF(B175="","",IF(W175&lt;=0,"",ROUND(V175/W175,1)))</f>
        <v>0</v>
      </c>
      <c r="Y175" s="37">
        <f>IF(B175="","",IF(N175&lt;&gt;"",N175,ROUND(W175*StockWarningWeeks,1)))</f>
        <v>0</v>
      </c>
      <c r="Z175" s="39">
        <f>IF(B175="","",IF(V175&lt;=0,"Out of stock",IF(V175&lt;=Y175,"Low stock",IF(R175="No","Backbar","In stock"))))</f>
        <v>0</v>
      </c>
      <c r="AA175" s="37">
        <f>IF(B175="","",IF(Z175="In stock","",IF(Z175="Backbar",IF(V175&lt;=Y175,MAX(1,IF(O175="",ROUND(W175*ReorderWeeks,0),O175)),""),MAX(1,IF(O175="",ROUND(W175*ReorderWeeks,0),O175)))))</f>
        <v>0</v>
      </c>
      <c r="AB175" s="26">
        <f>IF(B175="","",ROUND(V175*IF(H175="",0,H175),2))</f>
        <v>0</v>
      </c>
      <c r="AC175" s="26">
        <f>IF(B175="","",ROUND(V175*IF(I175="",0,I175),2))</f>
        <v>0</v>
      </c>
      <c r="AD175" s="27">
        <f>IF(B175="","",IF(IF(I175="",0,I175)=0,"",(I175-IF(H175="",0,H175))/I175))</f>
        <v>0</v>
      </c>
      <c r="AE175" s="26">
        <f>IF(B175="","",IF(H175="","",H175*RetailMarkup))</f>
        <v>0</v>
      </c>
      <c r="AF175" s="26">
        <f>IF(B175="","",IF(AE175="","",ROUND(IF(RoundingRule="None",AE175,IF(RoundingRule="Nearest 0.99",MAX(0.99,CEILING(AE175,1)-0.01),IF(RoundingRule="Nearest 0.95",MAX(0.95,CEILING(AE175,1)-0.05),IF(RoundingRule="Nearest 0.50",CEILING(AE175,0.5),IF(RoundingRule="Nearest 1",CEILING(AE175,1),IF(RoundingRule="Nearest 5",CEILING(AE175,5),IF(RoundingRule="Up to whole 1",CEILING(AE175,1),IF(RoundingRule="Up to whole 5",CEILING(AE175,5),ROUND(AE175,2))))))))),2)))</f>
        <v>0</v>
      </c>
      <c r="AG175" s="26">
        <f>IF(B175="","",ROUND(SUMIFS(Sales!$Y$5:$Y$1204,Sales!$I$5:$I$1204,A175,Sales!$H$5:$H$1204,"Retail"),2))</f>
        <v>0</v>
      </c>
      <c r="AH175" s="26">
        <f>IF(B175="","",ROUND(AG175-U175*IF(H175="",0,H175),2))</f>
        <v>0</v>
      </c>
      <c r="AI175" s="25">
        <f>IF(B175="","",COUNTIFS($AG$5:$AG$304,"&gt;"&amp;AG175)+COUNTIFS($AG$5:AG175,AG175))</f>
        <v>0</v>
      </c>
      <c r="AJ175" s="39">
        <f>IF(B175="","",IF(H175="","Add - no cost, no stock value",IF(Z175="Out of stock","Out of stock - order today",IF(Z175="Low stock","Order - running low",IF(IF(Q175="",FALSE,Q175&lt;=TodayDate+30),"Check - expiring within a month",IF(IF(R175="Yes",AD175&lt;0.25,FALSE),"Below - thin margin for a retail line",IF(IF(P175="",TRUE,TodayDate-P175&gt;90),"Due - not counted in three months","OK")))))))</f>
        <v>0</v>
      </c>
    </row>
    <row r="176" spans="1:36">
      <c r="A176" s="28">
        <f>IF(B176="","",ProductPrefix&amp;TEXT(ROW()-4,"000"))</f>
        <v>0</v>
      </c>
      <c r="T176" s="37">
        <f>IF(B176="","",ROUND(SUMIFS(Purchases!$U$5:$U$304,Purchases!$D$5:$D$304,A176),2))</f>
        <v>0</v>
      </c>
      <c r="U176" s="37">
        <f>IF(B176="","",ROUND(SUMIFS(Sales!$T$5:$T$1204,Sales!$I$5:$I$1204,A176,Sales!$H$5:$H$1204,"Retail"),2))</f>
        <v>0</v>
      </c>
      <c r="V176" s="37">
        <f>IF(B176="","",ROUND(IF(J176="",0,J176)+T176-IF(K176="",0,K176)-U176-IF(L176="",0,L176)+IF(M176="",0,M176),2))</f>
        <v>0</v>
      </c>
      <c r="W176" s="37">
        <f>IF(B176="","",ROUND((U176+IF(K176="",0,K176))/MAX(4,TrackingWeeks),2))</f>
        <v>0</v>
      </c>
      <c r="X176" s="37">
        <f>IF(B176="","",IF(W176&lt;=0,"",ROUND(V176/W176,1)))</f>
        <v>0</v>
      </c>
      <c r="Y176" s="37">
        <f>IF(B176="","",IF(N176&lt;&gt;"",N176,ROUND(W176*StockWarningWeeks,1)))</f>
        <v>0</v>
      </c>
      <c r="Z176" s="39">
        <f>IF(B176="","",IF(V176&lt;=0,"Out of stock",IF(V176&lt;=Y176,"Low stock",IF(R176="No","Backbar","In stock"))))</f>
        <v>0</v>
      </c>
      <c r="AA176" s="37">
        <f>IF(B176="","",IF(Z176="In stock","",IF(Z176="Backbar",IF(V176&lt;=Y176,MAX(1,IF(O176="",ROUND(W176*ReorderWeeks,0),O176)),""),MAX(1,IF(O176="",ROUND(W176*ReorderWeeks,0),O176)))))</f>
        <v>0</v>
      </c>
      <c r="AB176" s="26">
        <f>IF(B176="","",ROUND(V176*IF(H176="",0,H176),2))</f>
        <v>0</v>
      </c>
      <c r="AC176" s="26">
        <f>IF(B176="","",ROUND(V176*IF(I176="",0,I176),2))</f>
        <v>0</v>
      </c>
      <c r="AD176" s="27">
        <f>IF(B176="","",IF(IF(I176="",0,I176)=0,"",(I176-IF(H176="",0,H176))/I176))</f>
        <v>0</v>
      </c>
      <c r="AE176" s="26">
        <f>IF(B176="","",IF(H176="","",H176*RetailMarkup))</f>
        <v>0</v>
      </c>
      <c r="AF176" s="26">
        <f>IF(B176="","",IF(AE176="","",ROUND(IF(RoundingRule="None",AE176,IF(RoundingRule="Nearest 0.99",MAX(0.99,CEILING(AE176,1)-0.01),IF(RoundingRule="Nearest 0.95",MAX(0.95,CEILING(AE176,1)-0.05),IF(RoundingRule="Nearest 0.50",CEILING(AE176,0.5),IF(RoundingRule="Nearest 1",CEILING(AE176,1),IF(RoundingRule="Nearest 5",CEILING(AE176,5),IF(RoundingRule="Up to whole 1",CEILING(AE176,1),IF(RoundingRule="Up to whole 5",CEILING(AE176,5),ROUND(AE176,2))))))))),2)))</f>
        <v>0</v>
      </c>
      <c r="AG176" s="26">
        <f>IF(B176="","",ROUND(SUMIFS(Sales!$Y$5:$Y$1204,Sales!$I$5:$I$1204,A176,Sales!$H$5:$H$1204,"Retail"),2))</f>
        <v>0</v>
      </c>
      <c r="AH176" s="26">
        <f>IF(B176="","",ROUND(AG176-U176*IF(H176="",0,H176),2))</f>
        <v>0</v>
      </c>
      <c r="AI176" s="25">
        <f>IF(B176="","",COUNTIFS($AG$5:$AG$304,"&gt;"&amp;AG176)+COUNTIFS($AG$5:AG176,AG176))</f>
        <v>0</v>
      </c>
      <c r="AJ176" s="39">
        <f>IF(B176="","",IF(H176="","Add - no cost, no stock value",IF(Z176="Out of stock","Out of stock - order today",IF(Z176="Low stock","Order - running low",IF(IF(Q176="",FALSE,Q176&lt;=TodayDate+30),"Check - expiring within a month",IF(IF(R176="Yes",AD176&lt;0.25,FALSE),"Below - thin margin for a retail line",IF(IF(P176="",TRUE,TodayDate-P176&gt;90),"Due - not counted in three months","OK")))))))</f>
        <v>0</v>
      </c>
    </row>
    <row r="177" spans="1:36">
      <c r="A177" s="28">
        <f>IF(B177="","",ProductPrefix&amp;TEXT(ROW()-4,"000"))</f>
        <v>0</v>
      </c>
      <c r="T177" s="37">
        <f>IF(B177="","",ROUND(SUMIFS(Purchases!$U$5:$U$304,Purchases!$D$5:$D$304,A177),2))</f>
        <v>0</v>
      </c>
      <c r="U177" s="37">
        <f>IF(B177="","",ROUND(SUMIFS(Sales!$T$5:$T$1204,Sales!$I$5:$I$1204,A177,Sales!$H$5:$H$1204,"Retail"),2))</f>
        <v>0</v>
      </c>
      <c r="V177" s="37">
        <f>IF(B177="","",ROUND(IF(J177="",0,J177)+T177-IF(K177="",0,K177)-U177-IF(L177="",0,L177)+IF(M177="",0,M177),2))</f>
        <v>0</v>
      </c>
      <c r="W177" s="37">
        <f>IF(B177="","",ROUND((U177+IF(K177="",0,K177))/MAX(4,TrackingWeeks),2))</f>
        <v>0</v>
      </c>
      <c r="X177" s="37">
        <f>IF(B177="","",IF(W177&lt;=0,"",ROUND(V177/W177,1)))</f>
        <v>0</v>
      </c>
      <c r="Y177" s="37">
        <f>IF(B177="","",IF(N177&lt;&gt;"",N177,ROUND(W177*StockWarningWeeks,1)))</f>
        <v>0</v>
      </c>
      <c r="Z177" s="39">
        <f>IF(B177="","",IF(V177&lt;=0,"Out of stock",IF(V177&lt;=Y177,"Low stock",IF(R177="No","Backbar","In stock"))))</f>
        <v>0</v>
      </c>
      <c r="AA177" s="37">
        <f>IF(B177="","",IF(Z177="In stock","",IF(Z177="Backbar",IF(V177&lt;=Y177,MAX(1,IF(O177="",ROUND(W177*ReorderWeeks,0),O177)),""),MAX(1,IF(O177="",ROUND(W177*ReorderWeeks,0),O177)))))</f>
        <v>0</v>
      </c>
      <c r="AB177" s="26">
        <f>IF(B177="","",ROUND(V177*IF(H177="",0,H177),2))</f>
        <v>0</v>
      </c>
      <c r="AC177" s="26">
        <f>IF(B177="","",ROUND(V177*IF(I177="",0,I177),2))</f>
        <v>0</v>
      </c>
      <c r="AD177" s="27">
        <f>IF(B177="","",IF(IF(I177="",0,I177)=0,"",(I177-IF(H177="",0,H177))/I177))</f>
        <v>0</v>
      </c>
      <c r="AE177" s="26">
        <f>IF(B177="","",IF(H177="","",H177*RetailMarkup))</f>
        <v>0</v>
      </c>
      <c r="AF177" s="26">
        <f>IF(B177="","",IF(AE177="","",ROUND(IF(RoundingRule="None",AE177,IF(RoundingRule="Nearest 0.99",MAX(0.99,CEILING(AE177,1)-0.01),IF(RoundingRule="Nearest 0.95",MAX(0.95,CEILING(AE177,1)-0.05),IF(RoundingRule="Nearest 0.50",CEILING(AE177,0.5),IF(RoundingRule="Nearest 1",CEILING(AE177,1),IF(RoundingRule="Nearest 5",CEILING(AE177,5),IF(RoundingRule="Up to whole 1",CEILING(AE177,1),IF(RoundingRule="Up to whole 5",CEILING(AE177,5),ROUND(AE177,2))))))))),2)))</f>
        <v>0</v>
      </c>
      <c r="AG177" s="26">
        <f>IF(B177="","",ROUND(SUMIFS(Sales!$Y$5:$Y$1204,Sales!$I$5:$I$1204,A177,Sales!$H$5:$H$1204,"Retail"),2))</f>
        <v>0</v>
      </c>
      <c r="AH177" s="26">
        <f>IF(B177="","",ROUND(AG177-U177*IF(H177="",0,H177),2))</f>
        <v>0</v>
      </c>
      <c r="AI177" s="25">
        <f>IF(B177="","",COUNTIFS($AG$5:$AG$304,"&gt;"&amp;AG177)+COUNTIFS($AG$5:AG177,AG177))</f>
        <v>0</v>
      </c>
      <c r="AJ177" s="39">
        <f>IF(B177="","",IF(H177="","Add - no cost, no stock value",IF(Z177="Out of stock","Out of stock - order today",IF(Z177="Low stock","Order - running low",IF(IF(Q177="",FALSE,Q177&lt;=TodayDate+30),"Check - expiring within a month",IF(IF(R177="Yes",AD177&lt;0.25,FALSE),"Below - thin margin for a retail line",IF(IF(P177="",TRUE,TodayDate-P177&gt;90),"Due - not counted in three months","OK")))))))</f>
        <v>0</v>
      </c>
    </row>
    <row r="178" spans="1:36">
      <c r="A178" s="28">
        <f>IF(B178="","",ProductPrefix&amp;TEXT(ROW()-4,"000"))</f>
        <v>0</v>
      </c>
      <c r="T178" s="37">
        <f>IF(B178="","",ROUND(SUMIFS(Purchases!$U$5:$U$304,Purchases!$D$5:$D$304,A178),2))</f>
        <v>0</v>
      </c>
      <c r="U178" s="37">
        <f>IF(B178="","",ROUND(SUMIFS(Sales!$T$5:$T$1204,Sales!$I$5:$I$1204,A178,Sales!$H$5:$H$1204,"Retail"),2))</f>
        <v>0</v>
      </c>
      <c r="V178" s="37">
        <f>IF(B178="","",ROUND(IF(J178="",0,J178)+T178-IF(K178="",0,K178)-U178-IF(L178="",0,L178)+IF(M178="",0,M178),2))</f>
        <v>0</v>
      </c>
      <c r="W178" s="37">
        <f>IF(B178="","",ROUND((U178+IF(K178="",0,K178))/MAX(4,TrackingWeeks),2))</f>
        <v>0</v>
      </c>
      <c r="X178" s="37">
        <f>IF(B178="","",IF(W178&lt;=0,"",ROUND(V178/W178,1)))</f>
        <v>0</v>
      </c>
      <c r="Y178" s="37">
        <f>IF(B178="","",IF(N178&lt;&gt;"",N178,ROUND(W178*StockWarningWeeks,1)))</f>
        <v>0</v>
      </c>
      <c r="Z178" s="39">
        <f>IF(B178="","",IF(V178&lt;=0,"Out of stock",IF(V178&lt;=Y178,"Low stock",IF(R178="No","Backbar","In stock"))))</f>
        <v>0</v>
      </c>
      <c r="AA178" s="37">
        <f>IF(B178="","",IF(Z178="In stock","",IF(Z178="Backbar",IF(V178&lt;=Y178,MAX(1,IF(O178="",ROUND(W178*ReorderWeeks,0),O178)),""),MAX(1,IF(O178="",ROUND(W178*ReorderWeeks,0),O178)))))</f>
        <v>0</v>
      </c>
      <c r="AB178" s="26">
        <f>IF(B178="","",ROUND(V178*IF(H178="",0,H178),2))</f>
        <v>0</v>
      </c>
      <c r="AC178" s="26">
        <f>IF(B178="","",ROUND(V178*IF(I178="",0,I178),2))</f>
        <v>0</v>
      </c>
      <c r="AD178" s="27">
        <f>IF(B178="","",IF(IF(I178="",0,I178)=0,"",(I178-IF(H178="",0,H178))/I178))</f>
        <v>0</v>
      </c>
      <c r="AE178" s="26">
        <f>IF(B178="","",IF(H178="","",H178*RetailMarkup))</f>
        <v>0</v>
      </c>
      <c r="AF178" s="26">
        <f>IF(B178="","",IF(AE178="","",ROUND(IF(RoundingRule="None",AE178,IF(RoundingRule="Nearest 0.99",MAX(0.99,CEILING(AE178,1)-0.01),IF(RoundingRule="Nearest 0.95",MAX(0.95,CEILING(AE178,1)-0.05),IF(RoundingRule="Nearest 0.50",CEILING(AE178,0.5),IF(RoundingRule="Nearest 1",CEILING(AE178,1),IF(RoundingRule="Nearest 5",CEILING(AE178,5),IF(RoundingRule="Up to whole 1",CEILING(AE178,1),IF(RoundingRule="Up to whole 5",CEILING(AE178,5),ROUND(AE178,2))))))))),2)))</f>
        <v>0</v>
      </c>
      <c r="AG178" s="26">
        <f>IF(B178="","",ROUND(SUMIFS(Sales!$Y$5:$Y$1204,Sales!$I$5:$I$1204,A178,Sales!$H$5:$H$1204,"Retail"),2))</f>
        <v>0</v>
      </c>
      <c r="AH178" s="26">
        <f>IF(B178="","",ROUND(AG178-U178*IF(H178="",0,H178),2))</f>
        <v>0</v>
      </c>
      <c r="AI178" s="25">
        <f>IF(B178="","",COUNTIFS($AG$5:$AG$304,"&gt;"&amp;AG178)+COUNTIFS($AG$5:AG178,AG178))</f>
        <v>0</v>
      </c>
      <c r="AJ178" s="39">
        <f>IF(B178="","",IF(H178="","Add - no cost, no stock value",IF(Z178="Out of stock","Out of stock - order today",IF(Z178="Low stock","Order - running low",IF(IF(Q178="",FALSE,Q178&lt;=TodayDate+30),"Check - expiring within a month",IF(IF(R178="Yes",AD178&lt;0.25,FALSE),"Below - thin margin for a retail line",IF(IF(P178="",TRUE,TodayDate-P178&gt;90),"Due - not counted in three months","OK")))))))</f>
        <v>0</v>
      </c>
    </row>
    <row r="179" spans="1:36">
      <c r="A179" s="28">
        <f>IF(B179="","",ProductPrefix&amp;TEXT(ROW()-4,"000"))</f>
        <v>0</v>
      </c>
      <c r="T179" s="37">
        <f>IF(B179="","",ROUND(SUMIFS(Purchases!$U$5:$U$304,Purchases!$D$5:$D$304,A179),2))</f>
        <v>0</v>
      </c>
      <c r="U179" s="37">
        <f>IF(B179="","",ROUND(SUMIFS(Sales!$T$5:$T$1204,Sales!$I$5:$I$1204,A179,Sales!$H$5:$H$1204,"Retail"),2))</f>
        <v>0</v>
      </c>
      <c r="V179" s="37">
        <f>IF(B179="","",ROUND(IF(J179="",0,J179)+T179-IF(K179="",0,K179)-U179-IF(L179="",0,L179)+IF(M179="",0,M179),2))</f>
        <v>0</v>
      </c>
      <c r="W179" s="37">
        <f>IF(B179="","",ROUND((U179+IF(K179="",0,K179))/MAX(4,TrackingWeeks),2))</f>
        <v>0</v>
      </c>
      <c r="X179" s="37">
        <f>IF(B179="","",IF(W179&lt;=0,"",ROUND(V179/W179,1)))</f>
        <v>0</v>
      </c>
      <c r="Y179" s="37">
        <f>IF(B179="","",IF(N179&lt;&gt;"",N179,ROUND(W179*StockWarningWeeks,1)))</f>
        <v>0</v>
      </c>
      <c r="Z179" s="39">
        <f>IF(B179="","",IF(V179&lt;=0,"Out of stock",IF(V179&lt;=Y179,"Low stock",IF(R179="No","Backbar","In stock"))))</f>
        <v>0</v>
      </c>
      <c r="AA179" s="37">
        <f>IF(B179="","",IF(Z179="In stock","",IF(Z179="Backbar",IF(V179&lt;=Y179,MAX(1,IF(O179="",ROUND(W179*ReorderWeeks,0),O179)),""),MAX(1,IF(O179="",ROUND(W179*ReorderWeeks,0),O179)))))</f>
        <v>0</v>
      </c>
      <c r="AB179" s="26">
        <f>IF(B179="","",ROUND(V179*IF(H179="",0,H179),2))</f>
        <v>0</v>
      </c>
      <c r="AC179" s="26">
        <f>IF(B179="","",ROUND(V179*IF(I179="",0,I179),2))</f>
        <v>0</v>
      </c>
      <c r="AD179" s="27">
        <f>IF(B179="","",IF(IF(I179="",0,I179)=0,"",(I179-IF(H179="",0,H179))/I179))</f>
        <v>0</v>
      </c>
      <c r="AE179" s="26">
        <f>IF(B179="","",IF(H179="","",H179*RetailMarkup))</f>
        <v>0</v>
      </c>
      <c r="AF179" s="26">
        <f>IF(B179="","",IF(AE179="","",ROUND(IF(RoundingRule="None",AE179,IF(RoundingRule="Nearest 0.99",MAX(0.99,CEILING(AE179,1)-0.01),IF(RoundingRule="Nearest 0.95",MAX(0.95,CEILING(AE179,1)-0.05),IF(RoundingRule="Nearest 0.50",CEILING(AE179,0.5),IF(RoundingRule="Nearest 1",CEILING(AE179,1),IF(RoundingRule="Nearest 5",CEILING(AE179,5),IF(RoundingRule="Up to whole 1",CEILING(AE179,1),IF(RoundingRule="Up to whole 5",CEILING(AE179,5),ROUND(AE179,2))))))))),2)))</f>
        <v>0</v>
      </c>
      <c r="AG179" s="26">
        <f>IF(B179="","",ROUND(SUMIFS(Sales!$Y$5:$Y$1204,Sales!$I$5:$I$1204,A179,Sales!$H$5:$H$1204,"Retail"),2))</f>
        <v>0</v>
      </c>
      <c r="AH179" s="26">
        <f>IF(B179="","",ROUND(AG179-U179*IF(H179="",0,H179),2))</f>
        <v>0</v>
      </c>
      <c r="AI179" s="25">
        <f>IF(B179="","",COUNTIFS($AG$5:$AG$304,"&gt;"&amp;AG179)+COUNTIFS($AG$5:AG179,AG179))</f>
        <v>0</v>
      </c>
      <c r="AJ179" s="39">
        <f>IF(B179="","",IF(H179="","Add - no cost, no stock value",IF(Z179="Out of stock","Out of stock - order today",IF(Z179="Low stock","Order - running low",IF(IF(Q179="",FALSE,Q179&lt;=TodayDate+30),"Check - expiring within a month",IF(IF(R179="Yes",AD179&lt;0.25,FALSE),"Below - thin margin for a retail line",IF(IF(P179="",TRUE,TodayDate-P179&gt;90),"Due - not counted in three months","OK")))))))</f>
        <v>0</v>
      </c>
    </row>
    <row r="180" spans="1:36">
      <c r="A180" s="28">
        <f>IF(B180="","",ProductPrefix&amp;TEXT(ROW()-4,"000"))</f>
        <v>0</v>
      </c>
      <c r="T180" s="37">
        <f>IF(B180="","",ROUND(SUMIFS(Purchases!$U$5:$U$304,Purchases!$D$5:$D$304,A180),2))</f>
        <v>0</v>
      </c>
      <c r="U180" s="37">
        <f>IF(B180="","",ROUND(SUMIFS(Sales!$T$5:$T$1204,Sales!$I$5:$I$1204,A180,Sales!$H$5:$H$1204,"Retail"),2))</f>
        <v>0</v>
      </c>
      <c r="V180" s="37">
        <f>IF(B180="","",ROUND(IF(J180="",0,J180)+T180-IF(K180="",0,K180)-U180-IF(L180="",0,L180)+IF(M180="",0,M180),2))</f>
        <v>0</v>
      </c>
      <c r="W180" s="37">
        <f>IF(B180="","",ROUND((U180+IF(K180="",0,K180))/MAX(4,TrackingWeeks),2))</f>
        <v>0</v>
      </c>
      <c r="X180" s="37">
        <f>IF(B180="","",IF(W180&lt;=0,"",ROUND(V180/W180,1)))</f>
        <v>0</v>
      </c>
      <c r="Y180" s="37">
        <f>IF(B180="","",IF(N180&lt;&gt;"",N180,ROUND(W180*StockWarningWeeks,1)))</f>
        <v>0</v>
      </c>
      <c r="Z180" s="39">
        <f>IF(B180="","",IF(V180&lt;=0,"Out of stock",IF(V180&lt;=Y180,"Low stock",IF(R180="No","Backbar","In stock"))))</f>
        <v>0</v>
      </c>
      <c r="AA180" s="37">
        <f>IF(B180="","",IF(Z180="In stock","",IF(Z180="Backbar",IF(V180&lt;=Y180,MAX(1,IF(O180="",ROUND(W180*ReorderWeeks,0),O180)),""),MAX(1,IF(O180="",ROUND(W180*ReorderWeeks,0),O180)))))</f>
        <v>0</v>
      </c>
      <c r="AB180" s="26">
        <f>IF(B180="","",ROUND(V180*IF(H180="",0,H180),2))</f>
        <v>0</v>
      </c>
      <c r="AC180" s="26">
        <f>IF(B180="","",ROUND(V180*IF(I180="",0,I180),2))</f>
        <v>0</v>
      </c>
      <c r="AD180" s="27">
        <f>IF(B180="","",IF(IF(I180="",0,I180)=0,"",(I180-IF(H180="",0,H180))/I180))</f>
        <v>0</v>
      </c>
      <c r="AE180" s="26">
        <f>IF(B180="","",IF(H180="","",H180*RetailMarkup))</f>
        <v>0</v>
      </c>
      <c r="AF180" s="26">
        <f>IF(B180="","",IF(AE180="","",ROUND(IF(RoundingRule="None",AE180,IF(RoundingRule="Nearest 0.99",MAX(0.99,CEILING(AE180,1)-0.01),IF(RoundingRule="Nearest 0.95",MAX(0.95,CEILING(AE180,1)-0.05),IF(RoundingRule="Nearest 0.50",CEILING(AE180,0.5),IF(RoundingRule="Nearest 1",CEILING(AE180,1),IF(RoundingRule="Nearest 5",CEILING(AE180,5),IF(RoundingRule="Up to whole 1",CEILING(AE180,1),IF(RoundingRule="Up to whole 5",CEILING(AE180,5),ROUND(AE180,2))))))))),2)))</f>
        <v>0</v>
      </c>
      <c r="AG180" s="26">
        <f>IF(B180="","",ROUND(SUMIFS(Sales!$Y$5:$Y$1204,Sales!$I$5:$I$1204,A180,Sales!$H$5:$H$1204,"Retail"),2))</f>
        <v>0</v>
      </c>
      <c r="AH180" s="26">
        <f>IF(B180="","",ROUND(AG180-U180*IF(H180="",0,H180),2))</f>
        <v>0</v>
      </c>
      <c r="AI180" s="25">
        <f>IF(B180="","",COUNTIFS($AG$5:$AG$304,"&gt;"&amp;AG180)+COUNTIFS($AG$5:AG180,AG180))</f>
        <v>0</v>
      </c>
      <c r="AJ180" s="39">
        <f>IF(B180="","",IF(H180="","Add - no cost, no stock value",IF(Z180="Out of stock","Out of stock - order today",IF(Z180="Low stock","Order - running low",IF(IF(Q180="",FALSE,Q180&lt;=TodayDate+30),"Check - expiring within a month",IF(IF(R180="Yes",AD180&lt;0.25,FALSE),"Below - thin margin for a retail line",IF(IF(P180="",TRUE,TodayDate-P180&gt;90),"Due - not counted in three months","OK")))))))</f>
        <v>0</v>
      </c>
    </row>
    <row r="181" spans="1:36">
      <c r="A181" s="28">
        <f>IF(B181="","",ProductPrefix&amp;TEXT(ROW()-4,"000"))</f>
        <v>0</v>
      </c>
      <c r="T181" s="37">
        <f>IF(B181="","",ROUND(SUMIFS(Purchases!$U$5:$U$304,Purchases!$D$5:$D$304,A181),2))</f>
        <v>0</v>
      </c>
      <c r="U181" s="37">
        <f>IF(B181="","",ROUND(SUMIFS(Sales!$T$5:$T$1204,Sales!$I$5:$I$1204,A181,Sales!$H$5:$H$1204,"Retail"),2))</f>
        <v>0</v>
      </c>
      <c r="V181" s="37">
        <f>IF(B181="","",ROUND(IF(J181="",0,J181)+T181-IF(K181="",0,K181)-U181-IF(L181="",0,L181)+IF(M181="",0,M181),2))</f>
        <v>0</v>
      </c>
      <c r="W181" s="37">
        <f>IF(B181="","",ROUND((U181+IF(K181="",0,K181))/MAX(4,TrackingWeeks),2))</f>
        <v>0</v>
      </c>
      <c r="X181" s="37">
        <f>IF(B181="","",IF(W181&lt;=0,"",ROUND(V181/W181,1)))</f>
        <v>0</v>
      </c>
      <c r="Y181" s="37">
        <f>IF(B181="","",IF(N181&lt;&gt;"",N181,ROUND(W181*StockWarningWeeks,1)))</f>
        <v>0</v>
      </c>
      <c r="Z181" s="39">
        <f>IF(B181="","",IF(V181&lt;=0,"Out of stock",IF(V181&lt;=Y181,"Low stock",IF(R181="No","Backbar","In stock"))))</f>
        <v>0</v>
      </c>
      <c r="AA181" s="37">
        <f>IF(B181="","",IF(Z181="In stock","",IF(Z181="Backbar",IF(V181&lt;=Y181,MAX(1,IF(O181="",ROUND(W181*ReorderWeeks,0),O181)),""),MAX(1,IF(O181="",ROUND(W181*ReorderWeeks,0),O181)))))</f>
        <v>0</v>
      </c>
      <c r="AB181" s="26">
        <f>IF(B181="","",ROUND(V181*IF(H181="",0,H181),2))</f>
        <v>0</v>
      </c>
      <c r="AC181" s="26">
        <f>IF(B181="","",ROUND(V181*IF(I181="",0,I181),2))</f>
        <v>0</v>
      </c>
      <c r="AD181" s="27">
        <f>IF(B181="","",IF(IF(I181="",0,I181)=0,"",(I181-IF(H181="",0,H181))/I181))</f>
        <v>0</v>
      </c>
      <c r="AE181" s="26">
        <f>IF(B181="","",IF(H181="","",H181*RetailMarkup))</f>
        <v>0</v>
      </c>
      <c r="AF181" s="26">
        <f>IF(B181="","",IF(AE181="","",ROUND(IF(RoundingRule="None",AE181,IF(RoundingRule="Nearest 0.99",MAX(0.99,CEILING(AE181,1)-0.01),IF(RoundingRule="Nearest 0.95",MAX(0.95,CEILING(AE181,1)-0.05),IF(RoundingRule="Nearest 0.50",CEILING(AE181,0.5),IF(RoundingRule="Nearest 1",CEILING(AE181,1),IF(RoundingRule="Nearest 5",CEILING(AE181,5),IF(RoundingRule="Up to whole 1",CEILING(AE181,1),IF(RoundingRule="Up to whole 5",CEILING(AE181,5),ROUND(AE181,2))))))))),2)))</f>
        <v>0</v>
      </c>
      <c r="AG181" s="26">
        <f>IF(B181="","",ROUND(SUMIFS(Sales!$Y$5:$Y$1204,Sales!$I$5:$I$1204,A181,Sales!$H$5:$H$1204,"Retail"),2))</f>
        <v>0</v>
      </c>
      <c r="AH181" s="26">
        <f>IF(B181="","",ROUND(AG181-U181*IF(H181="",0,H181),2))</f>
        <v>0</v>
      </c>
      <c r="AI181" s="25">
        <f>IF(B181="","",COUNTIFS($AG$5:$AG$304,"&gt;"&amp;AG181)+COUNTIFS($AG$5:AG181,AG181))</f>
        <v>0</v>
      </c>
      <c r="AJ181" s="39">
        <f>IF(B181="","",IF(H181="","Add - no cost, no stock value",IF(Z181="Out of stock","Out of stock - order today",IF(Z181="Low stock","Order - running low",IF(IF(Q181="",FALSE,Q181&lt;=TodayDate+30),"Check - expiring within a month",IF(IF(R181="Yes",AD181&lt;0.25,FALSE),"Below - thin margin for a retail line",IF(IF(P181="",TRUE,TodayDate-P181&gt;90),"Due - not counted in three months","OK")))))))</f>
        <v>0</v>
      </c>
    </row>
    <row r="182" spans="1:36">
      <c r="A182" s="28">
        <f>IF(B182="","",ProductPrefix&amp;TEXT(ROW()-4,"000"))</f>
        <v>0</v>
      </c>
      <c r="T182" s="37">
        <f>IF(B182="","",ROUND(SUMIFS(Purchases!$U$5:$U$304,Purchases!$D$5:$D$304,A182),2))</f>
        <v>0</v>
      </c>
      <c r="U182" s="37">
        <f>IF(B182="","",ROUND(SUMIFS(Sales!$T$5:$T$1204,Sales!$I$5:$I$1204,A182,Sales!$H$5:$H$1204,"Retail"),2))</f>
        <v>0</v>
      </c>
      <c r="V182" s="37">
        <f>IF(B182="","",ROUND(IF(J182="",0,J182)+T182-IF(K182="",0,K182)-U182-IF(L182="",0,L182)+IF(M182="",0,M182),2))</f>
        <v>0</v>
      </c>
      <c r="W182" s="37">
        <f>IF(B182="","",ROUND((U182+IF(K182="",0,K182))/MAX(4,TrackingWeeks),2))</f>
        <v>0</v>
      </c>
      <c r="X182" s="37">
        <f>IF(B182="","",IF(W182&lt;=0,"",ROUND(V182/W182,1)))</f>
        <v>0</v>
      </c>
      <c r="Y182" s="37">
        <f>IF(B182="","",IF(N182&lt;&gt;"",N182,ROUND(W182*StockWarningWeeks,1)))</f>
        <v>0</v>
      </c>
      <c r="Z182" s="39">
        <f>IF(B182="","",IF(V182&lt;=0,"Out of stock",IF(V182&lt;=Y182,"Low stock",IF(R182="No","Backbar","In stock"))))</f>
        <v>0</v>
      </c>
      <c r="AA182" s="37">
        <f>IF(B182="","",IF(Z182="In stock","",IF(Z182="Backbar",IF(V182&lt;=Y182,MAX(1,IF(O182="",ROUND(W182*ReorderWeeks,0),O182)),""),MAX(1,IF(O182="",ROUND(W182*ReorderWeeks,0),O182)))))</f>
        <v>0</v>
      </c>
      <c r="AB182" s="26">
        <f>IF(B182="","",ROUND(V182*IF(H182="",0,H182),2))</f>
        <v>0</v>
      </c>
      <c r="AC182" s="26">
        <f>IF(B182="","",ROUND(V182*IF(I182="",0,I182),2))</f>
        <v>0</v>
      </c>
      <c r="AD182" s="27">
        <f>IF(B182="","",IF(IF(I182="",0,I182)=0,"",(I182-IF(H182="",0,H182))/I182))</f>
        <v>0</v>
      </c>
      <c r="AE182" s="26">
        <f>IF(B182="","",IF(H182="","",H182*RetailMarkup))</f>
        <v>0</v>
      </c>
      <c r="AF182" s="26">
        <f>IF(B182="","",IF(AE182="","",ROUND(IF(RoundingRule="None",AE182,IF(RoundingRule="Nearest 0.99",MAX(0.99,CEILING(AE182,1)-0.01),IF(RoundingRule="Nearest 0.95",MAX(0.95,CEILING(AE182,1)-0.05),IF(RoundingRule="Nearest 0.50",CEILING(AE182,0.5),IF(RoundingRule="Nearest 1",CEILING(AE182,1),IF(RoundingRule="Nearest 5",CEILING(AE182,5),IF(RoundingRule="Up to whole 1",CEILING(AE182,1),IF(RoundingRule="Up to whole 5",CEILING(AE182,5),ROUND(AE182,2))))))))),2)))</f>
        <v>0</v>
      </c>
      <c r="AG182" s="26">
        <f>IF(B182="","",ROUND(SUMIFS(Sales!$Y$5:$Y$1204,Sales!$I$5:$I$1204,A182,Sales!$H$5:$H$1204,"Retail"),2))</f>
        <v>0</v>
      </c>
      <c r="AH182" s="26">
        <f>IF(B182="","",ROUND(AG182-U182*IF(H182="",0,H182),2))</f>
        <v>0</v>
      </c>
      <c r="AI182" s="25">
        <f>IF(B182="","",COUNTIFS($AG$5:$AG$304,"&gt;"&amp;AG182)+COUNTIFS($AG$5:AG182,AG182))</f>
        <v>0</v>
      </c>
      <c r="AJ182" s="39">
        <f>IF(B182="","",IF(H182="","Add - no cost, no stock value",IF(Z182="Out of stock","Out of stock - order today",IF(Z182="Low stock","Order - running low",IF(IF(Q182="",FALSE,Q182&lt;=TodayDate+30),"Check - expiring within a month",IF(IF(R182="Yes",AD182&lt;0.25,FALSE),"Below - thin margin for a retail line",IF(IF(P182="",TRUE,TodayDate-P182&gt;90),"Due - not counted in three months","OK")))))))</f>
        <v>0</v>
      </c>
    </row>
    <row r="183" spans="1:36">
      <c r="A183" s="28">
        <f>IF(B183="","",ProductPrefix&amp;TEXT(ROW()-4,"000"))</f>
        <v>0</v>
      </c>
      <c r="T183" s="37">
        <f>IF(B183="","",ROUND(SUMIFS(Purchases!$U$5:$U$304,Purchases!$D$5:$D$304,A183),2))</f>
        <v>0</v>
      </c>
      <c r="U183" s="37">
        <f>IF(B183="","",ROUND(SUMIFS(Sales!$T$5:$T$1204,Sales!$I$5:$I$1204,A183,Sales!$H$5:$H$1204,"Retail"),2))</f>
        <v>0</v>
      </c>
      <c r="V183" s="37">
        <f>IF(B183="","",ROUND(IF(J183="",0,J183)+T183-IF(K183="",0,K183)-U183-IF(L183="",0,L183)+IF(M183="",0,M183),2))</f>
        <v>0</v>
      </c>
      <c r="W183" s="37">
        <f>IF(B183="","",ROUND((U183+IF(K183="",0,K183))/MAX(4,TrackingWeeks),2))</f>
        <v>0</v>
      </c>
      <c r="X183" s="37">
        <f>IF(B183="","",IF(W183&lt;=0,"",ROUND(V183/W183,1)))</f>
        <v>0</v>
      </c>
      <c r="Y183" s="37">
        <f>IF(B183="","",IF(N183&lt;&gt;"",N183,ROUND(W183*StockWarningWeeks,1)))</f>
        <v>0</v>
      </c>
      <c r="Z183" s="39">
        <f>IF(B183="","",IF(V183&lt;=0,"Out of stock",IF(V183&lt;=Y183,"Low stock",IF(R183="No","Backbar","In stock"))))</f>
        <v>0</v>
      </c>
      <c r="AA183" s="37">
        <f>IF(B183="","",IF(Z183="In stock","",IF(Z183="Backbar",IF(V183&lt;=Y183,MAX(1,IF(O183="",ROUND(W183*ReorderWeeks,0),O183)),""),MAX(1,IF(O183="",ROUND(W183*ReorderWeeks,0),O183)))))</f>
        <v>0</v>
      </c>
      <c r="AB183" s="26">
        <f>IF(B183="","",ROUND(V183*IF(H183="",0,H183),2))</f>
        <v>0</v>
      </c>
      <c r="AC183" s="26">
        <f>IF(B183="","",ROUND(V183*IF(I183="",0,I183),2))</f>
        <v>0</v>
      </c>
      <c r="AD183" s="27">
        <f>IF(B183="","",IF(IF(I183="",0,I183)=0,"",(I183-IF(H183="",0,H183))/I183))</f>
        <v>0</v>
      </c>
      <c r="AE183" s="26">
        <f>IF(B183="","",IF(H183="","",H183*RetailMarkup))</f>
        <v>0</v>
      </c>
      <c r="AF183" s="26">
        <f>IF(B183="","",IF(AE183="","",ROUND(IF(RoundingRule="None",AE183,IF(RoundingRule="Nearest 0.99",MAX(0.99,CEILING(AE183,1)-0.01),IF(RoundingRule="Nearest 0.95",MAX(0.95,CEILING(AE183,1)-0.05),IF(RoundingRule="Nearest 0.50",CEILING(AE183,0.5),IF(RoundingRule="Nearest 1",CEILING(AE183,1),IF(RoundingRule="Nearest 5",CEILING(AE183,5),IF(RoundingRule="Up to whole 1",CEILING(AE183,1),IF(RoundingRule="Up to whole 5",CEILING(AE183,5),ROUND(AE183,2))))))))),2)))</f>
        <v>0</v>
      </c>
      <c r="AG183" s="26">
        <f>IF(B183="","",ROUND(SUMIFS(Sales!$Y$5:$Y$1204,Sales!$I$5:$I$1204,A183,Sales!$H$5:$H$1204,"Retail"),2))</f>
        <v>0</v>
      </c>
      <c r="AH183" s="26">
        <f>IF(B183="","",ROUND(AG183-U183*IF(H183="",0,H183),2))</f>
        <v>0</v>
      </c>
      <c r="AI183" s="25">
        <f>IF(B183="","",COUNTIFS($AG$5:$AG$304,"&gt;"&amp;AG183)+COUNTIFS($AG$5:AG183,AG183))</f>
        <v>0</v>
      </c>
      <c r="AJ183" s="39">
        <f>IF(B183="","",IF(H183="","Add - no cost, no stock value",IF(Z183="Out of stock","Out of stock - order today",IF(Z183="Low stock","Order - running low",IF(IF(Q183="",FALSE,Q183&lt;=TodayDate+30),"Check - expiring within a month",IF(IF(R183="Yes",AD183&lt;0.25,FALSE),"Below - thin margin for a retail line",IF(IF(P183="",TRUE,TodayDate-P183&gt;90),"Due - not counted in three months","OK")))))))</f>
        <v>0</v>
      </c>
    </row>
    <row r="184" spans="1:36">
      <c r="A184" s="28">
        <f>IF(B184="","",ProductPrefix&amp;TEXT(ROW()-4,"000"))</f>
        <v>0</v>
      </c>
      <c r="T184" s="37">
        <f>IF(B184="","",ROUND(SUMIFS(Purchases!$U$5:$U$304,Purchases!$D$5:$D$304,A184),2))</f>
        <v>0</v>
      </c>
      <c r="U184" s="37">
        <f>IF(B184="","",ROUND(SUMIFS(Sales!$T$5:$T$1204,Sales!$I$5:$I$1204,A184,Sales!$H$5:$H$1204,"Retail"),2))</f>
        <v>0</v>
      </c>
      <c r="V184" s="37">
        <f>IF(B184="","",ROUND(IF(J184="",0,J184)+T184-IF(K184="",0,K184)-U184-IF(L184="",0,L184)+IF(M184="",0,M184),2))</f>
        <v>0</v>
      </c>
      <c r="W184" s="37">
        <f>IF(B184="","",ROUND((U184+IF(K184="",0,K184))/MAX(4,TrackingWeeks),2))</f>
        <v>0</v>
      </c>
      <c r="X184" s="37">
        <f>IF(B184="","",IF(W184&lt;=0,"",ROUND(V184/W184,1)))</f>
        <v>0</v>
      </c>
      <c r="Y184" s="37">
        <f>IF(B184="","",IF(N184&lt;&gt;"",N184,ROUND(W184*StockWarningWeeks,1)))</f>
        <v>0</v>
      </c>
      <c r="Z184" s="39">
        <f>IF(B184="","",IF(V184&lt;=0,"Out of stock",IF(V184&lt;=Y184,"Low stock",IF(R184="No","Backbar","In stock"))))</f>
        <v>0</v>
      </c>
      <c r="AA184" s="37">
        <f>IF(B184="","",IF(Z184="In stock","",IF(Z184="Backbar",IF(V184&lt;=Y184,MAX(1,IF(O184="",ROUND(W184*ReorderWeeks,0),O184)),""),MAX(1,IF(O184="",ROUND(W184*ReorderWeeks,0),O184)))))</f>
        <v>0</v>
      </c>
      <c r="AB184" s="26">
        <f>IF(B184="","",ROUND(V184*IF(H184="",0,H184),2))</f>
        <v>0</v>
      </c>
      <c r="AC184" s="26">
        <f>IF(B184="","",ROUND(V184*IF(I184="",0,I184),2))</f>
        <v>0</v>
      </c>
      <c r="AD184" s="27">
        <f>IF(B184="","",IF(IF(I184="",0,I184)=0,"",(I184-IF(H184="",0,H184))/I184))</f>
        <v>0</v>
      </c>
      <c r="AE184" s="26">
        <f>IF(B184="","",IF(H184="","",H184*RetailMarkup))</f>
        <v>0</v>
      </c>
      <c r="AF184" s="26">
        <f>IF(B184="","",IF(AE184="","",ROUND(IF(RoundingRule="None",AE184,IF(RoundingRule="Nearest 0.99",MAX(0.99,CEILING(AE184,1)-0.01),IF(RoundingRule="Nearest 0.95",MAX(0.95,CEILING(AE184,1)-0.05),IF(RoundingRule="Nearest 0.50",CEILING(AE184,0.5),IF(RoundingRule="Nearest 1",CEILING(AE184,1),IF(RoundingRule="Nearest 5",CEILING(AE184,5),IF(RoundingRule="Up to whole 1",CEILING(AE184,1),IF(RoundingRule="Up to whole 5",CEILING(AE184,5),ROUND(AE184,2))))))))),2)))</f>
        <v>0</v>
      </c>
      <c r="AG184" s="26">
        <f>IF(B184="","",ROUND(SUMIFS(Sales!$Y$5:$Y$1204,Sales!$I$5:$I$1204,A184,Sales!$H$5:$H$1204,"Retail"),2))</f>
        <v>0</v>
      </c>
      <c r="AH184" s="26">
        <f>IF(B184="","",ROUND(AG184-U184*IF(H184="",0,H184),2))</f>
        <v>0</v>
      </c>
      <c r="AI184" s="25">
        <f>IF(B184="","",COUNTIFS($AG$5:$AG$304,"&gt;"&amp;AG184)+COUNTIFS($AG$5:AG184,AG184))</f>
        <v>0</v>
      </c>
      <c r="AJ184" s="39">
        <f>IF(B184="","",IF(H184="","Add - no cost, no stock value",IF(Z184="Out of stock","Out of stock - order today",IF(Z184="Low stock","Order - running low",IF(IF(Q184="",FALSE,Q184&lt;=TodayDate+30),"Check - expiring within a month",IF(IF(R184="Yes",AD184&lt;0.25,FALSE),"Below - thin margin for a retail line",IF(IF(P184="",TRUE,TodayDate-P184&gt;90),"Due - not counted in three months","OK")))))))</f>
        <v>0</v>
      </c>
    </row>
    <row r="185" spans="1:36">
      <c r="A185" s="28">
        <f>IF(B185="","",ProductPrefix&amp;TEXT(ROW()-4,"000"))</f>
        <v>0</v>
      </c>
      <c r="T185" s="37">
        <f>IF(B185="","",ROUND(SUMIFS(Purchases!$U$5:$U$304,Purchases!$D$5:$D$304,A185),2))</f>
        <v>0</v>
      </c>
      <c r="U185" s="37">
        <f>IF(B185="","",ROUND(SUMIFS(Sales!$T$5:$T$1204,Sales!$I$5:$I$1204,A185,Sales!$H$5:$H$1204,"Retail"),2))</f>
        <v>0</v>
      </c>
      <c r="V185" s="37">
        <f>IF(B185="","",ROUND(IF(J185="",0,J185)+T185-IF(K185="",0,K185)-U185-IF(L185="",0,L185)+IF(M185="",0,M185),2))</f>
        <v>0</v>
      </c>
      <c r="W185" s="37">
        <f>IF(B185="","",ROUND((U185+IF(K185="",0,K185))/MAX(4,TrackingWeeks),2))</f>
        <v>0</v>
      </c>
      <c r="X185" s="37">
        <f>IF(B185="","",IF(W185&lt;=0,"",ROUND(V185/W185,1)))</f>
        <v>0</v>
      </c>
      <c r="Y185" s="37">
        <f>IF(B185="","",IF(N185&lt;&gt;"",N185,ROUND(W185*StockWarningWeeks,1)))</f>
        <v>0</v>
      </c>
      <c r="Z185" s="39">
        <f>IF(B185="","",IF(V185&lt;=0,"Out of stock",IF(V185&lt;=Y185,"Low stock",IF(R185="No","Backbar","In stock"))))</f>
        <v>0</v>
      </c>
      <c r="AA185" s="37">
        <f>IF(B185="","",IF(Z185="In stock","",IF(Z185="Backbar",IF(V185&lt;=Y185,MAX(1,IF(O185="",ROUND(W185*ReorderWeeks,0),O185)),""),MAX(1,IF(O185="",ROUND(W185*ReorderWeeks,0),O185)))))</f>
        <v>0</v>
      </c>
      <c r="AB185" s="26">
        <f>IF(B185="","",ROUND(V185*IF(H185="",0,H185),2))</f>
        <v>0</v>
      </c>
      <c r="AC185" s="26">
        <f>IF(B185="","",ROUND(V185*IF(I185="",0,I185),2))</f>
        <v>0</v>
      </c>
      <c r="AD185" s="27">
        <f>IF(B185="","",IF(IF(I185="",0,I185)=0,"",(I185-IF(H185="",0,H185))/I185))</f>
        <v>0</v>
      </c>
      <c r="AE185" s="26">
        <f>IF(B185="","",IF(H185="","",H185*RetailMarkup))</f>
        <v>0</v>
      </c>
      <c r="AF185" s="26">
        <f>IF(B185="","",IF(AE185="","",ROUND(IF(RoundingRule="None",AE185,IF(RoundingRule="Nearest 0.99",MAX(0.99,CEILING(AE185,1)-0.01),IF(RoundingRule="Nearest 0.95",MAX(0.95,CEILING(AE185,1)-0.05),IF(RoundingRule="Nearest 0.50",CEILING(AE185,0.5),IF(RoundingRule="Nearest 1",CEILING(AE185,1),IF(RoundingRule="Nearest 5",CEILING(AE185,5),IF(RoundingRule="Up to whole 1",CEILING(AE185,1),IF(RoundingRule="Up to whole 5",CEILING(AE185,5),ROUND(AE185,2))))))))),2)))</f>
        <v>0</v>
      </c>
      <c r="AG185" s="26">
        <f>IF(B185="","",ROUND(SUMIFS(Sales!$Y$5:$Y$1204,Sales!$I$5:$I$1204,A185,Sales!$H$5:$H$1204,"Retail"),2))</f>
        <v>0</v>
      </c>
      <c r="AH185" s="26">
        <f>IF(B185="","",ROUND(AG185-U185*IF(H185="",0,H185),2))</f>
        <v>0</v>
      </c>
      <c r="AI185" s="25">
        <f>IF(B185="","",COUNTIFS($AG$5:$AG$304,"&gt;"&amp;AG185)+COUNTIFS($AG$5:AG185,AG185))</f>
        <v>0</v>
      </c>
      <c r="AJ185" s="39">
        <f>IF(B185="","",IF(H185="","Add - no cost, no stock value",IF(Z185="Out of stock","Out of stock - order today",IF(Z185="Low stock","Order - running low",IF(IF(Q185="",FALSE,Q185&lt;=TodayDate+30),"Check - expiring within a month",IF(IF(R185="Yes",AD185&lt;0.25,FALSE),"Below - thin margin for a retail line",IF(IF(P185="",TRUE,TodayDate-P185&gt;90),"Due - not counted in three months","OK")))))))</f>
        <v>0</v>
      </c>
    </row>
    <row r="186" spans="1:36">
      <c r="A186" s="28">
        <f>IF(B186="","",ProductPrefix&amp;TEXT(ROW()-4,"000"))</f>
        <v>0</v>
      </c>
      <c r="T186" s="37">
        <f>IF(B186="","",ROUND(SUMIFS(Purchases!$U$5:$U$304,Purchases!$D$5:$D$304,A186),2))</f>
        <v>0</v>
      </c>
      <c r="U186" s="37">
        <f>IF(B186="","",ROUND(SUMIFS(Sales!$T$5:$T$1204,Sales!$I$5:$I$1204,A186,Sales!$H$5:$H$1204,"Retail"),2))</f>
        <v>0</v>
      </c>
      <c r="V186" s="37">
        <f>IF(B186="","",ROUND(IF(J186="",0,J186)+T186-IF(K186="",0,K186)-U186-IF(L186="",0,L186)+IF(M186="",0,M186),2))</f>
        <v>0</v>
      </c>
      <c r="W186" s="37">
        <f>IF(B186="","",ROUND((U186+IF(K186="",0,K186))/MAX(4,TrackingWeeks),2))</f>
        <v>0</v>
      </c>
      <c r="X186" s="37">
        <f>IF(B186="","",IF(W186&lt;=0,"",ROUND(V186/W186,1)))</f>
        <v>0</v>
      </c>
      <c r="Y186" s="37">
        <f>IF(B186="","",IF(N186&lt;&gt;"",N186,ROUND(W186*StockWarningWeeks,1)))</f>
        <v>0</v>
      </c>
      <c r="Z186" s="39">
        <f>IF(B186="","",IF(V186&lt;=0,"Out of stock",IF(V186&lt;=Y186,"Low stock",IF(R186="No","Backbar","In stock"))))</f>
        <v>0</v>
      </c>
      <c r="AA186" s="37">
        <f>IF(B186="","",IF(Z186="In stock","",IF(Z186="Backbar",IF(V186&lt;=Y186,MAX(1,IF(O186="",ROUND(W186*ReorderWeeks,0),O186)),""),MAX(1,IF(O186="",ROUND(W186*ReorderWeeks,0),O186)))))</f>
        <v>0</v>
      </c>
      <c r="AB186" s="26">
        <f>IF(B186="","",ROUND(V186*IF(H186="",0,H186),2))</f>
        <v>0</v>
      </c>
      <c r="AC186" s="26">
        <f>IF(B186="","",ROUND(V186*IF(I186="",0,I186),2))</f>
        <v>0</v>
      </c>
      <c r="AD186" s="27">
        <f>IF(B186="","",IF(IF(I186="",0,I186)=0,"",(I186-IF(H186="",0,H186))/I186))</f>
        <v>0</v>
      </c>
      <c r="AE186" s="26">
        <f>IF(B186="","",IF(H186="","",H186*RetailMarkup))</f>
        <v>0</v>
      </c>
      <c r="AF186" s="26">
        <f>IF(B186="","",IF(AE186="","",ROUND(IF(RoundingRule="None",AE186,IF(RoundingRule="Nearest 0.99",MAX(0.99,CEILING(AE186,1)-0.01),IF(RoundingRule="Nearest 0.95",MAX(0.95,CEILING(AE186,1)-0.05),IF(RoundingRule="Nearest 0.50",CEILING(AE186,0.5),IF(RoundingRule="Nearest 1",CEILING(AE186,1),IF(RoundingRule="Nearest 5",CEILING(AE186,5),IF(RoundingRule="Up to whole 1",CEILING(AE186,1),IF(RoundingRule="Up to whole 5",CEILING(AE186,5),ROUND(AE186,2))))))))),2)))</f>
        <v>0</v>
      </c>
      <c r="AG186" s="26">
        <f>IF(B186="","",ROUND(SUMIFS(Sales!$Y$5:$Y$1204,Sales!$I$5:$I$1204,A186,Sales!$H$5:$H$1204,"Retail"),2))</f>
        <v>0</v>
      </c>
      <c r="AH186" s="26">
        <f>IF(B186="","",ROUND(AG186-U186*IF(H186="",0,H186),2))</f>
        <v>0</v>
      </c>
      <c r="AI186" s="25">
        <f>IF(B186="","",COUNTIFS($AG$5:$AG$304,"&gt;"&amp;AG186)+COUNTIFS($AG$5:AG186,AG186))</f>
        <v>0</v>
      </c>
      <c r="AJ186" s="39">
        <f>IF(B186="","",IF(H186="","Add - no cost, no stock value",IF(Z186="Out of stock","Out of stock - order today",IF(Z186="Low stock","Order - running low",IF(IF(Q186="",FALSE,Q186&lt;=TodayDate+30),"Check - expiring within a month",IF(IF(R186="Yes",AD186&lt;0.25,FALSE),"Below - thin margin for a retail line",IF(IF(P186="",TRUE,TodayDate-P186&gt;90),"Due - not counted in three months","OK")))))))</f>
        <v>0</v>
      </c>
    </row>
    <row r="187" spans="1:36">
      <c r="A187" s="28">
        <f>IF(B187="","",ProductPrefix&amp;TEXT(ROW()-4,"000"))</f>
        <v>0</v>
      </c>
      <c r="T187" s="37">
        <f>IF(B187="","",ROUND(SUMIFS(Purchases!$U$5:$U$304,Purchases!$D$5:$D$304,A187),2))</f>
        <v>0</v>
      </c>
      <c r="U187" s="37">
        <f>IF(B187="","",ROUND(SUMIFS(Sales!$T$5:$T$1204,Sales!$I$5:$I$1204,A187,Sales!$H$5:$H$1204,"Retail"),2))</f>
        <v>0</v>
      </c>
      <c r="V187" s="37">
        <f>IF(B187="","",ROUND(IF(J187="",0,J187)+T187-IF(K187="",0,K187)-U187-IF(L187="",0,L187)+IF(M187="",0,M187),2))</f>
        <v>0</v>
      </c>
      <c r="W187" s="37">
        <f>IF(B187="","",ROUND((U187+IF(K187="",0,K187))/MAX(4,TrackingWeeks),2))</f>
        <v>0</v>
      </c>
      <c r="X187" s="37">
        <f>IF(B187="","",IF(W187&lt;=0,"",ROUND(V187/W187,1)))</f>
        <v>0</v>
      </c>
      <c r="Y187" s="37">
        <f>IF(B187="","",IF(N187&lt;&gt;"",N187,ROUND(W187*StockWarningWeeks,1)))</f>
        <v>0</v>
      </c>
      <c r="Z187" s="39">
        <f>IF(B187="","",IF(V187&lt;=0,"Out of stock",IF(V187&lt;=Y187,"Low stock",IF(R187="No","Backbar","In stock"))))</f>
        <v>0</v>
      </c>
      <c r="AA187" s="37">
        <f>IF(B187="","",IF(Z187="In stock","",IF(Z187="Backbar",IF(V187&lt;=Y187,MAX(1,IF(O187="",ROUND(W187*ReorderWeeks,0),O187)),""),MAX(1,IF(O187="",ROUND(W187*ReorderWeeks,0),O187)))))</f>
        <v>0</v>
      </c>
      <c r="AB187" s="26">
        <f>IF(B187="","",ROUND(V187*IF(H187="",0,H187),2))</f>
        <v>0</v>
      </c>
      <c r="AC187" s="26">
        <f>IF(B187="","",ROUND(V187*IF(I187="",0,I187),2))</f>
        <v>0</v>
      </c>
      <c r="AD187" s="27">
        <f>IF(B187="","",IF(IF(I187="",0,I187)=0,"",(I187-IF(H187="",0,H187))/I187))</f>
        <v>0</v>
      </c>
      <c r="AE187" s="26">
        <f>IF(B187="","",IF(H187="","",H187*RetailMarkup))</f>
        <v>0</v>
      </c>
      <c r="AF187" s="26">
        <f>IF(B187="","",IF(AE187="","",ROUND(IF(RoundingRule="None",AE187,IF(RoundingRule="Nearest 0.99",MAX(0.99,CEILING(AE187,1)-0.01),IF(RoundingRule="Nearest 0.95",MAX(0.95,CEILING(AE187,1)-0.05),IF(RoundingRule="Nearest 0.50",CEILING(AE187,0.5),IF(RoundingRule="Nearest 1",CEILING(AE187,1),IF(RoundingRule="Nearest 5",CEILING(AE187,5),IF(RoundingRule="Up to whole 1",CEILING(AE187,1),IF(RoundingRule="Up to whole 5",CEILING(AE187,5),ROUND(AE187,2))))))))),2)))</f>
        <v>0</v>
      </c>
      <c r="AG187" s="26">
        <f>IF(B187="","",ROUND(SUMIFS(Sales!$Y$5:$Y$1204,Sales!$I$5:$I$1204,A187,Sales!$H$5:$H$1204,"Retail"),2))</f>
        <v>0</v>
      </c>
      <c r="AH187" s="26">
        <f>IF(B187="","",ROUND(AG187-U187*IF(H187="",0,H187),2))</f>
        <v>0</v>
      </c>
      <c r="AI187" s="25">
        <f>IF(B187="","",COUNTIFS($AG$5:$AG$304,"&gt;"&amp;AG187)+COUNTIFS($AG$5:AG187,AG187))</f>
        <v>0</v>
      </c>
      <c r="AJ187" s="39">
        <f>IF(B187="","",IF(H187="","Add - no cost, no stock value",IF(Z187="Out of stock","Out of stock - order today",IF(Z187="Low stock","Order - running low",IF(IF(Q187="",FALSE,Q187&lt;=TodayDate+30),"Check - expiring within a month",IF(IF(R187="Yes",AD187&lt;0.25,FALSE),"Below - thin margin for a retail line",IF(IF(P187="",TRUE,TodayDate-P187&gt;90),"Due - not counted in three months","OK")))))))</f>
        <v>0</v>
      </c>
    </row>
    <row r="188" spans="1:36">
      <c r="A188" s="28">
        <f>IF(B188="","",ProductPrefix&amp;TEXT(ROW()-4,"000"))</f>
        <v>0</v>
      </c>
      <c r="T188" s="37">
        <f>IF(B188="","",ROUND(SUMIFS(Purchases!$U$5:$U$304,Purchases!$D$5:$D$304,A188),2))</f>
        <v>0</v>
      </c>
      <c r="U188" s="37">
        <f>IF(B188="","",ROUND(SUMIFS(Sales!$T$5:$T$1204,Sales!$I$5:$I$1204,A188,Sales!$H$5:$H$1204,"Retail"),2))</f>
        <v>0</v>
      </c>
      <c r="V188" s="37">
        <f>IF(B188="","",ROUND(IF(J188="",0,J188)+T188-IF(K188="",0,K188)-U188-IF(L188="",0,L188)+IF(M188="",0,M188),2))</f>
        <v>0</v>
      </c>
      <c r="W188" s="37">
        <f>IF(B188="","",ROUND((U188+IF(K188="",0,K188))/MAX(4,TrackingWeeks),2))</f>
        <v>0</v>
      </c>
      <c r="X188" s="37">
        <f>IF(B188="","",IF(W188&lt;=0,"",ROUND(V188/W188,1)))</f>
        <v>0</v>
      </c>
      <c r="Y188" s="37">
        <f>IF(B188="","",IF(N188&lt;&gt;"",N188,ROUND(W188*StockWarningWeeks,1)))</f>
        <v>0</v>
      </c>
      <c r="Z188" s="39">
        <f>IF(B188="","",IF(V188&lt;=0,"Out of stock",IF(V188&lt;=Y188,"Low stock",IF(R188="No","Backbar","In stock"))))</f>
        <v>0</v>
      </c>
      <c r="AA188" s="37">
        <f>IF(B188="","",IF(Z188="In stock","",IF(Z188="Backbar",IF(V188&lt;=Y188,MAX(1,IF(O188="",ROUND(W188*ReorderWeeks,0),O188)),""),MAX(1,IF(O188="",ROUND(W188*ReorderWeeks,0),O188)))))</f>
        <v>0</v>
      </c>
      <c r="AB188" s="26">
        <f>IF(B188="","",ROUND(V188*IF(H188="",0,H188),2))</f>
        <v>0</v>
      </c>
      <c r="AC188" s="26">
        <f>IF(B188="","",ROUND(V188*IF(I188="",0,I188),2))</f>
        <v>0</v>
      </c>
      <c r="AD188" s="27">
        <f>IF(B188="","",IF(IF(I188="",0,I188)=0,"",(I188-IF(H188="",0,H188))/I188))</f>
        <v>0</v>
      </c>
      <c r="AE188" s="26">
        <f>IF(B188="","",IF(H188="","",H188*RetailMarkup))</f>
        <v>0</v>
      </c>
      <c r="AF188" s="26">
        <f>IF(B188="","",IF(AE188="","",ROUND(IF(RoundingRule="None",AE188,IF(RoundingRule="Nearest 0.99",MAX(0.99,CEILING(AE188,1)-0.01),IF(RoundingRule="Nearest 0.95",MAX(0.95,CEILING(AE188,1)-0.05),IF(RoundingRule="Nearest 0.50",CEILING(AE188,0.5),IF(RoundingRule="Nearest 1",CEILING(AE188,1),IF(RoundingRule="Nearest 5",CEILING(AE188,5),IF(RoundingRule="Up to whole 1",CEILING(AE188,1),IF(RoundingRule="Up to whole 5",CEILING(AE188,5),ROUND(AE188,2))))))))),2)))</f>
        <v>0</v>
      </c>
      <c r="AG188" s="26">
        <f>IF(B188="","",ROUND(SUMIFS(Sales!$Y$5:$Y$1204,Sales!$I$5:$I$1204,A188,Sales!$H$5:$H$1204,"Retail"),2))</f>
        <v>0</v>
      </c>
      <c r="AH188" s="26">
        <f>IF(B188="","",ROUND(AG188-U188*IF(H188="",0,H188),2))</f>
        <v>0</v>
      </c>
      <c r="AI188" s="25">
        <f>IF(B188="","",COUNTIFS($AG$5:$AG$304,"&gt;"&amp;AG188)+COUNTIFS($AG$5:AG188,AG188))</f>
        <v>0</v>
      </c>
      <c r="AJ188" s="39">
        <f>IF(B188="","",IF(H188="","Add - no cost, no stock value",IF(Z188="Out of stock","Out of stock - order today",IF(Z188="Low stock","Order - running low",IF(IF(Q188="",FALSE,Q188&lt;=TodayDate+30),"Check - expiring within a month",IF(IF(R188="Yes",AD188&lt;0.25,FALSE),"Below - thin margin for a retail line",IF(IF(P188="",TRUE,TodayDate-P188&gt;90),"Due - not counted in three months","OK")))))))</f>
        <v>0</v>
      </c>
    </row>
    <row r="189" spans="1:36">
      <c r="A189" s="28">
        <f>IF(B189="","",ProductPrefix&amp;TEXT(ROW()-4,"000"))</f>
        <v>0</v>
      </c>
      <c r="T189" s="37">
        <f>IF(B189="","",ROUND(SUMIFS(Purchases!$U$5:$U$304,Purchases!$D$5:$D$304,A189),2))</f>
        <v>0</v>
      </c>
      <c r="U189" s="37">
        <f>IF(B189="","",ROUND(SUMIFS(Sales!$T$5:$T$1204,Sales!$I$5:$I$1204,A189,Sales!$H$5:$H$1204,"Retail"),2))</f>
        <v>0</v>
      </c>
      <c r="V189" s="37">
        <f>IF(B189="","",ROUND(IF(J189="",0,J189)+T189-IF(K189="",0,K189)-U189-IF(L189="",0,L189)+IF(M189="",0,M189),2))</f>
        <v>0</v>
      </c>
      <c r="W189" s="37">
        <f>IF(B189="","",ROUND((U189+IF(K189="",0,K189))/MAX(4,TrackingWeeks),2))</f>
        <v>0</v>
      </c>
      <c r="X189" s="37">
        <f>IF(B189="","",IF(W189&lt;=0,"",ROUND(V189/W189,1)))</f>
        <v>0</v>
      </c>
      <c r="Y189" s="37">
        <f>IF(B189="","",IF(N189&lt;&gt;"",N189,ROUND(W189*StockWarningWeeks,1)))</f>
        <v>0</v>
      </c>
      <c r="Z189" s="39">
        <f>IF(B189="","",IF(V189&lt;=0,"Out of stock",IF(V189&lt;=Y189,"Low stock",IF(R189="No","Backbar","In stock"))))</f>
        <v>0</v>
      </c>
      <c r="AA189" s="37">
        <f>IF(B189="","",IF(Z189="In stock","",IF(Z189="Backbar",IF(V189&lt;=Y189,MAX(1,IF(O189="",ROUND(W189*ReorderWeeks,0),O189)),""),MAX(1,IF(O189="",ROUND(W189*ReorderWeeks,0),O189)))))</f>
        <v>0</v>
      </c>
      <c r="AB189" s="26">
        <f>IF(B189="","",ROUND(V189*IF(H189="",0,H189),2))</f>
        <v>0</v>
      </c>
      <c r="AC189" s="26">
        <f>IF(B189="","",ROUND(V189*IF(I189="",0,I189),2))</f>
        <v>0</v>
      </c>
      <c r="AD189" s="27">
        <f>IF(B189="","",IF(IF(I189="",0,I189)=0,"",(I189-IF(H189="",0,H189))/I189))</f>
        <v>0</v>
      </c>
      <c r="AE189" s="26">
        <f>IF(B189="","",IF(H189="","",H189*RetailMarkup))</f>
        <v>0</v>
      </c>
      <c r="AF189" s="26">
        <f>IF(B189="","",IF(AE189="","",ROUND(IF(RoundingRule="None",AE189,IF(RoundingRule="Nearest 0.99",MAX(0.99,CEILING(AE189,1)-0.01),IF(RoundingRule="Nearest 0.95",MAX(0.95,CEILING(AE189,1)-0.05),IF(RoundingRule="Nearest 0.50",CEILING(AE189,0.5),IF(RoundingRule="Nearest 1",CEILING(AE189,1),IF(RoundingRule="Nearest 5",CEILING(AE189,5),IF(RoundingRule="Up to whole 1",CEILING(AE189,1),IF(RoundingRule="Up to whole 5",CEILING(AE189,5),ROUND(AE189,2))))))))),2)))</f>
        <v>0</v>
      </c>
      <c r="AG189" s="26">
        <f>IF(B189="","",ROUND(SUMIFS(Sales!$Y$5:$Y$1204,Sales!$I$5:$I$1204,A189,Sales!$H$5:$H$1204,"Retail"),2))</f>
        <v>0</v>
      </c>
      <c r="AH189" s="26">
        <f>IF(B189="","",ROUND(AG189-U189*IF(H189="",0,H189),2))</f>
        <v>0</v>
      </c>
      <c r="AI189" s="25">
        <f>IF(B189="","",COUNTIFS($AG$5:$AG$304,"&gt;"&amp;AG189)+COUNTIFS($AG$5:AG189,AG189))</f>
        <v>0</v>
      </c>
      <c r="AJ189" s="39">
        <f>IF(B189="","",IF(H189="","Add - no cost, no stock value",IF(Z189="Out of stock","Out of stock - order today",IF(Z189="Low stock","Order - running low",IF(IF(Q189="",FALSE,Q189&lt;=TodayDate+30),"Check - expiring within a month",IF(IF(R189="Yes",AD189&lt;0.25,FALSE),"Below - thin margin for a retail line",IF(IF(P189="",TRUE,TodayDate-P189&gt;90),"Due - not counted in three months","OK")))))))</f>
        <v>0</v>
      </c>
    </row>
    <row r="190" spans="1:36">
      <c r="A190" s="28">
        <f>IF(B190="","",ProductPrefix&amp;TEXT(ROW()-4,"000"))</f>
        <v>0</v>
      </c>
      <c r="T190" s="37">
        <f>IF(B190="","",ROUND(SUMIFS(Purchases!$U$5:$U$304,Purchases!$D$5:$D$304,A190),2))</f>
        <v>0</v>
      </c>
      <c r="U190" s="37">
        <f>IF(B190="","",ROUND(SUMIFS(Sales!$T$5:$T$1204,Sales!$I$5:$I$1204,A190,Sales!$H$5:$H$1204,"Retail"),2))</f>
        <v>0</v>
      </c>
      <c r="V190" s="37">
        <f>IF(B190="","",ROUND(IF(J190="",0,J190)+T190-IF(K190="",0,K190)-U190-IF(L190="",0,L190)+IF(M190="",0,M190),2))</f>
        <v>0</v>
      </c>
      <c r="W190" s="37">
        <f>IF(B190="","",ROUND((U190+IF(K190="",0,K190))/MAX(4,TrackingWeeks),2))</f>
        <v>0</v>
      </c>
      <c r="X190" s="37">
        <f>IF(B190="","",IF(W190&lt;=0,"",ROUND(V190/W190,1)))</f>
        <v>0</v>
      </c>
      <c r="Y190" s="37">
        <f>IF(B190="","",IF(N190&lt;&gt;"",N190,ROUND(W190*StockWarningWeeks,1)))</f>
        <v>0</v>
      </c>
      <c r="Z190" s="39">
        <f>IF(B190="","",IF(V190&lt;=0,"Out of stock",IF(V190&lt;=Y190,"Low stock",IF(R190="No","Backbar","In stock"))))</f>
        <v>0</v>
      </c>
      <c r="AA190" s="37">
        <f>IF(B190="","",IF(Z190="In stock","",IF(Z190="Backbar",IF(V190&lt;=Y190,MAX(1,IF(O190="",ROUND(W190*ReorderWeeks,0),O190)),""),MAX(1,IF(O190="",ROUND(W190*ReorderWeeks,0),O190)))))</f>
        <v>0</v>
      </c>
      <c r="AB190" s="26">
        <f>IF(B190="","",ROUND(V190*IF(H190="",0,H190),2))</f>
        <v>0</v>
      </c>
      <c r="AC190" s="26">
        <f>IF(B190="","",ROUND(V190*IF(I190="",0,I190),2))</f>
        <v>0</v>
      </c>
      <c r="AD190" s="27">
        <f>IF(B190="","",IF(IF(I190="",0,I190)=0,"",(I190-IF(H190="",0,H190))/I190))</f>
        <v>0</v>
      </c>
      <c r="AE190" s="26">
        <f>IF(B190="","",IF(H190="","",H190*RetailMarkup))</f>
        <v>0</v>
      </c>
      <c r="AF190" s="26">
        <f>IF(B190="","",IF(AE190="","",ROUND(IF(RoundingRule="None",AE190,IF(RoundingRule="Nearest 0.99",MAX(0.99,CEILING(AE190,1)-0.01),IF(RoundingRule="Nearest 0.95",MAX(0.95,CEILING(AE190,1)-0.05),IF(RoundingRule="Nearest 0.50",CEILING(AE190,0.5),IF(RoundingRule="Nearest 1",CEILING(AE190,1),IF(RoundingRule="Nearest 5",CEILING(AE190,5),IF(RoundingRule="Up to whole 1",CEILING(AE190,1),IF(RoundingRule="Up to whole 5",CEILING(AE190,5),ROUND(AE190,2))))))))),2)))</f>
        <v>0</v>
      </c>
      <c r="AG190" s="26">
        <f>IF(B190="","",ROUND(SUMIFS(Sales!$Y$5:$Y$1204,Sales!$I$5:$I$1204,A190,Sales!$H$5:$H$1204,"Retail"),2))</f>
        <v>0</v>
      </c>
      <c r="AH190" s="26">
        <f>IF(B190="","",ROUND(AG190-U190*IF(H190="",0,H190),2))</f>
        <v>0</v>
      </c>
      <c r="AI190" s="25">
        <f>IF(B190="","",COUNTIFS($AG$5:$AG$304,"&gt;"&amp;AG190)+COUNTIFS($AG$5:AG190,AG190))</f>
        <v>0</v>
      </c>
      <c r="AJ190" s="39">
        <f>IF(B190="","",IF(H190="","Add - no cost, no stock value",IF(Z190="Out of stock","Out of stock - order today",IF(Z190="Low stock","Order - running low",IF(IF(Q190="",FALSE,Q190&lt;=TodayDate+30),"Check - expiring within a month",IF(IF(R190="Yes",AD190&lt;0.25,FALSE),"Below - thin margin for a retail line",IF(IF(P190="",TRUE,TodayDate-P190&gt;90),"Due - not counted in three months","OK")))))))</f>
        <v>0</v>
      </c>
    </row>
    <row r="191" spans="1:36">
      <c r="A191" s="28">
        <f>IF(B191="","",ProductPrefix&amp;TEXT(ROW()-4,"000"))</f>
        <v>0</v>
      </c>
      <c r="T191" s="37">
        <f>IF(B191="","",ROUND(SUMIFS(Purchases!$U$5:$U$304,Purchases!$D$5:$D$304,A191),2))</f>
        <v>0</v>
      </c>
      <c r="U191" s="37">
        <f>IF(B191="","",ROUND(SUMIFS(Sales!$T$5:$T$1204,Sales!$I$5:$I$1204,A191,Sales!$H$5:$H$1204,"Retail"),2))</f>
        <v>0</v>
      </c>
      <c r="V191" s="37">
        <f>IF(B191="","",ROUND(IF(J191="",0,J191)+T191-IF(K191="",0,K191)-U191-IF(L191="",0,L191)+IF(M191="",0,M191),2))</f>
        <v>0</v>
      </c>
      <c r="W191" s="37">
        <f>IF(B191="","",ROUND((U191+IF(K191="",0,K191))/MAX(4,TrackingWeeks),2))</f>
        <v>0</v>
      </c>
      <c r="X191" s="37">
        <f>IF(B191="","",IF(W191&lt;=0,"",ROUND(V191/W191,1)))</f>
        <v>0</v>
      </c>
      <c r="Y191" s="37">
        <f>IF(B191="","",IF(N191&lt;&gt;"",N191,ROUND(W191*StockWarningWeeks,1)))</f>
        <v>0</v>
      </c>
      <c r="Z191" s="39">
        <f>IF(B191="","",IF(V191&lt;=0,"Out of stock",IF(V191&lt;=Y191,"Low stock",IF(R191="No","Backbar","In stock"))))</f>
        <v>0</v>
      </c>
      <c r="AA191" s="37">
        <f>IF(B191="","",IF(Z191="In stock","",IF(Z191="Backbar",IF(V191&lt;=Y191,MAX(1,IF(O191="",ROUND(W191*ReorderWeeks,0),O191)),""),MAX(1,IF(O191="",ROUND(W191*ReorderWeeks,0),O191)))))</f>
        <v>0</v>
      </c>
      <c r="AB191" s="26">
        <f>IF(B191="","",ROUND(V191*IF(H191="",0,H191),2))</f>
        <v>0</v>
      </c>
      <c r="AC191" s="26">
        <f>IF(B191="","",ROUND(V191*IF(I191="",0,I191),2))</f>
        <v>0</v>
      </c>
      <c r="AD191" s="27">
        <f>IF(B191="","",IF(IF(I191="",0,I191)=0,"",(I191-IF(H191="",0,H191))/I191))</f>
        <v>0</v>
      </c>
      <c r="AE191" s="26">
        <f>IF(B191="","",IF(H191="","",H191*RetailMarkup))</f>
        <v>0</v>
      </c>
      <c r="AF191" s="26">
        <f>IF(B191="","",IF(AE191="","",ROUND(IF(RoundingRule="None",AE191,IF(RoundingRule="Nearest 0.99",MAX(0.99,CEILING(AE191,1)-0.01),IF(RoundingRule="Nearest 0.95",MAX(0.95,CEILING(AE191,1)-0.05),IF(RoundingRule="Nearest 0.50",CEILING(AE191,0.5),IF(RoundingRule="Nearest 1",CEILING(AE191,1),IF(RoundingRule="Nearest 5",CEILING(AE191,5),IF(RoundingRule="Up to whole 1",CEILING(AE191,1),IF(RoundingRule="Up to whole 5",CEILING(AE191,5),ROUND(AE191,2))))))))),2)))</f>
        <v>0</v>
      </c>
      <c r="AG191" s="26">
        <f>IF(B191="","",ROUND(SUMIFS(Sales!$Y$5:$Y$1204,Sales!$I$5:$I$1204,A191,Sales!$H$5:$H$1204,"Retail"),2))</f>
        <v>0</v>
      </c>
      <c r="AH191" s="26">
        <f>IF(B191="","",ROUND(AG191-U191*IF(H191="",0,H191),2))</f>
        <v>0</v>
      </c>
      <c r="AI191" s="25">
        <f>IF(B191="","",COUNTIFS($AG$5:$AG$304,"&gt;"&amp;AG191)+COUNTIFS($AG$5:AG191,AG191))</f>
        <v>0</v>
      </c>
      <c r="AJ191" s="39">
        <f>IF(B191="","",IF(H191="","Add - no cost, no stock value",IF(Z191="Out of stock","Out of stock - order today",IF(Z191="Low stock","Order - running low",IF(IF(Q191="",FALSE,Q191&lt;=TodayDate+30),"Check - expiring within a month",IF(IF(R191="Yes",AD191&lt;0.25,FALSE),"Below - thin margin for a retail line",IF(IF(P191="",TRUE,TodayDate-P191&gt;90),"Due - not counted in three months","OK")))))))</f>
        <v>0</v>
      </c>
    </row>
    <row r="192" spans="1:36">
      <c r="A192" s="28">
        <f>IF(B192="","",ProductPrefix&amp;TEXT(ROW()-4,"000"))</f>
        <v>0</v>
      </c>
      <c r="T192" s="37">
        <f>IF(B192="","",ROUND(SUMIFS(Purchases!$U$5:$U$304,Purchases!$D$5:$D$304,A192),2))</f>
        <v>0</v>
      </c>
      <c r="U192" s="37">
        <f>IF(B192="","",ROUND(SUMIFS(Sales!$T$5:$T$1204,Sales!$I$5:$I$1204,A192,Sales!$H$5:$H$1204,"Retail"),2))</f>
        <v>0</v>
      </c>
      <c r="V192" s="37">
        <f>IF(B192="","",ROUND(IF(J192="",0,J192)+T192-IF(K192="",0,K192)-U192-IF(L192="",0,L192)+IF(M192="",0,M192),2))</f>
        <v>0</v>
      </c>
      <c r="W192" s="37">
        <f>IF(B192="","",ROUND((U192+IF(K192="",0,K192))/MAX(4,TrackingWeeks),2))</f>
        <v>0</v>
      </c>
      <c r="X192" s="37">
        <f>IF(B192="","",IF(W192&lt;=0,"",ROUND(V192/W192,1)))</f>
        <v>0</v>
      </c>
      <c r="Y192" s="37">
        <f>IF(B192="","",IF(N192&lt;&gt;"",N192,ROUND(W192*StockWarningWeeks,1)))</f>
        <v>0</v>
      </c>
      <c r="Z192" s="39">
        <f>IF(B192="","",IF(V192&lt;=0,"Out of stock",IF(V192&lt;=Y192,"Low stock",IF(R192="No","Backbar","In stock"))))</f>
        <v>0</v>
      </c>
      <c r="AA192" s="37">
        <f>IF(B192="","",IF(Z192="In stock","",IF(Z192="Backbar",IF(V192&lt;=Y192,MAX(1,IF(O192="",ROUND(W192*ReorderWeeks,0),O192)),""),MAX(1,IF(O192="",ROUND(W192*ReorderWeeks,0),O192)))))</f>
        <v>0</v>
      </c>
      <c r="AB192" s="26">
        <f>IF(B192="","",ROUND(V192*IF(H192="",0,H192),2))</f>
        <v>0</v>
      </c>
      <c r="AC192" s="26">
        <f>IF(B192="","",ROUND(V192*IF(I192="",0,I192),2))</f>
        <v>0</v>
      </c>
      <c r="AD192" s="27">
        <f>IF(B192="","",IF(IF(I192="",0,I192)=0,"",(I192-IF(H192="",0,H192))/I192))</f>
        <v>0</v>
      </c>
      <c r="AE192" s="26">
        <f>IF(B192="","",IF(H192="","",H192*RetailMarkup))</f>
        <v>0</v>
      </c>
      <c r="AF192" s="26">
        <f>IF(B192="","",IF(AE192="","",ROUND(IF(RoundingRule="None",AE192,IF(RoundingRule="Nearest 0.99",MAX(0.99,CEILING(AE192,1)-0.01),IF(RoundingRule="Nearest 0.95",MAX(0.95,CEILING(AE192,1)-0.05),IF(RoundingRule="Nearest 0.50",CEILING(AE192,0.5),IF(RoundingRule="Nearest 1",CEILING(AE192,1),IF(RoundingRule="Nearest 5",CEILING(AE192,5),IF(RoundingRule="Up to whole 1",CEILING(AE192,1),IF(RoundingRule="Up to whole 5",CEILING(AE192,5),ROUND(AE192,2))))))))),2)))</f>
        <v>0</v>
      </c>
      <c r="AG192" s="26">
        <f>IF(B192="","",ROUND(SUMIFS(Sales!$Y$5:$Y$1204,Sales!$I$5:$I$1204,A192,Sales!$H$5:$H$1204,"Retail"),2))</f>
        <v>0</v>
      </c>
      <c r="AH192" s="26">
        <f>IF(B192="","",ROUND(AG192-U192*IF(H192="",0,H192),2))</f>
        <v>0</v>
      </c>
      <c r="AI192" s="25">
        <f>IF(B192="","",COUNTIFS($AG$5:$AG$304,"&gt;"&amp;AG192)+COUNTIFS($AG$5:AG192,AG192))</f>
        <v>0</v>
      </c>
      <c r="AJ192" s="39">
        <f>IF(B192="","",IF(H192="","Add - no cost, no stock value",IF(Z192="Out of stock","Out of stock - order today",IF(Z192="Low stock","Order - running low",IF(IF(Q192="",FALSE,Q192&lt;=TodayDate+30),"Check - expiring within a month",IF(IF(R192="Yes",AD192&lt;0.25,FALSE),"Below - thin margin for a retail line",IF(IF(P192="",TRUE,TodayDate-P192&gt;90),"Due - not counted in three months","OK")))))))</f>
        <v>0</v>
      </c>
    </row>
    <row r="193" spans="1:36">
      <c r="A193" s="28">
        <f>IF(B193="","",ProductPrefix&amp;TEXT(ROW()-4,"000"))</f>
        <v>0</v>
      </c>
      <c r="T193" s="37">
        <f>IF(B193="","",ROUND(SUMIFS(Purchases!$U$5:$U$304,Purchases!$D$5:$D$304,A193),2))</f>
        <v>0</v>
      </c>
      <c r="U193" s="37">
        <f>IF(B193="","",ROUND(SUMIFS(Sales!$T$5:$T$1204,Sales!$I$5:$I$1204,A193,Sales!$H$5:$H$1204,"Retail"),2))</f>
        <v>0</v>
      </c>
      <c r="V193" s="37">
        <f>IF(B193="","",ROUND(IF(J193="",0,J193)+T193-IF(K193="",0,K193)-U193-IF(L193="",0,L193)+IF(M193="",0,M193),2))</f>
        <v>0</v>
      </c>
      <c r="W193" s="37">
        <f>IF(B193="","",ROUND((U193+IF(K193="",0,K193))/MAX(4,TrackingWeeks),2))</f>
        <v>0</v>
      </c>
      <c r="X193" s="37">
        <f>IF(B193="","",IF(W193&lt;=0,"",ROUND(V193/W193,1)))</f>
        <v>0</v>
      </c>
      <c r="Y193" s="37">
        <f>IF(B193="","",IF(N193&lt;&gt;"",N193,ROUND(W193*StockWarningWeeks,1)))</f>
        <v>0</v>
      </c>
      <c r="Z193" s="39">
        <f>IF(B193="","",IF(V193&lt;=0,"Out of stock",IF(V193&lt;=Y193,"Low stock",IF(R193="No","Backbar","In stock"))))</f>
        <v>0</v>
      </c>
      <c r="AA193" s="37">
        <f>IF(B193="","",IF(Z193="In stock","",IF(Z193="Backbar",IF(V193&lt;=Y193,MAX(1,IF(O193="",ROUND(W193*ReorderWeeks,0),O193)),""),MAX(1,IF(O193="",ROUND(W193*ReorderWeeks,0),O193)))))</f>
        <v>0</v>
      </c>
      <c r="AB193" s="26">
        <f>IF(B193="","",ROUND(V193*IF(H193="",0,H193),2))</f>
        <v>0</v>
      </c>
      <c r="AC193" s="26">
        <f>IF(B193="","",ROUND(V193*IF(I193="",0,I193),2))</f>
        <v>0</v>
      </c>
      <c r="AD193" s="27">
        <f>IF(B193="","",IF(IF(I193="",0,I193)=0,"",(I193-IF(H193="",0,H193))/I193))</f>
        <v>0</v>
      </c>
      <c r="AE193" s="26">
        <f>IF(B193="","",IF(H193="","",H193*RetailMarkup))</f>
        <v>0</v>
      </c>
      <c r="AF193" s="26">
        <f>IF(B193="","",IF(AE193="","",ROUND(IF(RoundingRule="None",AE193,IF(RoundingRule="Nearest 0.99",MAX(0.99,CEILING(AE193,1)-0.01),IF(RoundingRule="Nearest 0.95",MAX(0.95,CEILING(AE193,1)-0.05),IF(RoundingRule="Nearest 0.50",CEILING(AE193,0.5),IF(RoundingRule="Nearest 1",CEILING(AE193,1),IF(RoundingRule="Nearest 5",CEILING(AE193,5),IF(RoundingRule="Up to whole 1",CEILING(AE193,1),IF(RoundingRule="Up to whole 5",CEILING(AE193,5),ROUND(AE193,2))))))))),2)))</f>
        <v>0</v>
      </c>
      <c r="AG193" s="26">
        <f>IF(B193="","",ROUND(SUMIFS(Sales!$Y$5:$Y$1204,Sales!$I$5:$I$1204,A193,Sales!$H$5:$H$1204,"Retail"),2))</f>
        <v>0</v>
      </c>
      <c r="AH193" s="26">
        <f>IF(B193="","",ROUND(AG193-U193*IF(H193="",0,H193),2))</f>
        <v>0</v>
      </c>
      <c r="AI193" s="25">
        <f>IF(B193="","",COUNTIFS($AG$5:$AG$304,"&gt;"&amp;AG193)+COUNTIFS($AG$5:AG193,AG193))</f>
        <v>0</v>
      </c>
      <c r="AJ193" s="39">
        <f>IF(B193="","",IF(H193="","Add - no cost, no stock value",IF(Z193="Out of stock","Out of stock - order today",IF(Z193="Low stock","Order - running low",IF(IF(Q193="",FALSE,Q193&lt;=TodayDate+30),"Check - expiring within a month",IF(IF(R193="Yes",AD193&lt;0.25,FALSE),"Below - thin margin for a retail line",IF(IF(P193="",TRUE,TodayDate-P193&gt;90),"Due - not counted in three months","OK")))))))</f>
        <v>0</v>
      </c>
    </row>
    <row r="194" spans="1:36">
      <c r="A194" s="28">
        <f>IF(B194="","",ProductPrefix&amp;TEXT(ROW()-4,"000"))</f>
        <v>0</v>
      </c>
      <c r="T194" s="37">
        <f>IF(B194="","",ROUND(SUMIFS(Purchases!$U$5:$U$304,Purchases!$D$5:$D$304,A194),2))</f>
        <v>0</v>
      </c>
      <c r="U194" s="37">
        <f>IF(B194="","",ROUND(SUMIFS(Sales!$T$5:$T$1204,Sales!$I$5:$I$1204,A194,Sales!$H$5:$H$1204,"Retail"),2))</f>
        <v>0</v>
      </c>
      <c r="V194" s="37">
        <f>IF(B194="","",ROUND(IF(J194="",0,J194)+T194-IF(K194="",0,K194)-U194-IF(L194="",0,L194)+IF(M194="",0,M194),2))</f>
        <v>0</v>
      </c>
      <c r="W194" s="37">
        <f>IF(B194="","",ROUND((U194+IF(K194="",0,K194))/MAX(4,TrackingWeeks),2))</f>
        <v>0</v>
      </c>
      <c r="X194" s="37">
        <f>IF(B194="","",IF(W194&lt;=0,"",ROUND(V194/W194,1)))</f>
        <v>0</v>
      </c>
      <c r="Y194" s="37">
        <f>IF(B194="","",IF(N194&lt;&gt;"",N194,ROUND(W194*StockWarningWeeks,1)))</f>
        <v>0</v>
      </c>
      <c r="Z194" s="39">
        <f>IF(B194="","",IF(V194&lt;=0,"Out of stock",IF(V194&lt;=Y194,"Low stock",IF(R194="No","Backbar","In stock"))))</f>
        <v>0</v>
      </c>
      <c r="AA194" s="37">
        <f>IF(B194="","",IF(Z194="In stock","",IF(Z194="Backbar",IF(V194&lt;=Y194,MAX(1,IF(O194="",ROUND(W194*ReorderWeeks,0),O194)),""),MAX(1,IF(O194="",ROUND(W194*ReorderWeeks,0),O194)))))</f>
        <v>0</v>
      </c>
      <c r="AB194" s="26">
        <f>IF(B194="","",ROUND(V194*IF(H194="",0,H194),2))</f>
        <v>0</v>
      </c>
      <c r="AC194" s="26">
        <f>IF(B194="","",ROUND(V194*IF(I194="",0,I194),2))</f>
        <v>0</v>
      </c>
      <c r="AD194" s="27">
        <f>IF(B194="","",IF(IF(I194="",0,I194)=0,"",(I194-IF(H194="",0,H194))/I194))</f>
        <v>0</v>
      </c>
      <c r="AE194" s="26">
        <f>IF(B194="","",IF(H194="","",H194*RetailMarkup))</f>
        <v>0</v>
      </c>
      <c r="AF194" s="26">
        <f>IF(B194="","",IF(AE194="","",ROUND(IF(RoundingRule="None",AE194,IF(RoundingRule="Nearest 0.99",MAX(0.99,CEILING(AE194,1)-0.01),IF(RoundingRule="Nearest 0.95",MAX(0.95,CEILING(AE194,1)-0.05),IF(RoundingRule="Nearest 0.50",CEILING(AE194,0.5),IF(RoundingRule="Nearest 1",CEILING(AE194,1),IF(RoundingRule="Nearest 5",CEILING(AE194,5),IF(RoundingRule="Up to whole 1",CEILING(AE194,1),IF(RoundingRule="Up to whole 5",CEILING(AE194,5),ROUND(AE194,2))))))))),2)))</f>
        <v>0</v>
      </c>
      <c r="AG194" s="26">
        <f>IF(B194="","",ROUND(SUMIFS(Sales!$Y$5:$Y$1204,Sales!$I$5:$I$1204,A194,Sales!$H$5:$H$1204,"Retail"),2))</f>
        <v>0</v>
      </c>
      <c r="AH194" s="26">
        <f>IF(B194="","",ROUND(AG194-U194*IF(H194="",0,H194),2))</f>
        <v>0</v>
      </c>
      <c r="AI194" s="25">
        <f>IF(B194="","",COUNTIFS($AG$5:$AG$304,"&gt;"&amp;AG194)+COUNTIFS($AG$5:AG194,AG194))</f>
        <v>0</v>
      </c>
      <c r="AJ194" s="39">
        <f>IF(B194="","",IF(H194="","Add - no cost, no stock value",IF(Z194="Out of stock","Out of stock - order today",IF(Z194="Low stock","Order - running low",IF(IF(Q194="",FALSE,Q194&lt;=TodayDate+30),"Check - expiring within a month",IF(IF(R194="Yes",AD194&lt;0.25,FALSE),"Below - thin margin for a retail line",IF(IF(P194="",TRUE,TodayDate-P194&gt;90),"Due - not counted in three months","OK")))))))</f>
        <v>0</v>
      </c>
    </row>
    <row r="195" spans="1:36">
      <c r="A195" s="28">
        <f>IF(B195="","",ProductPrefix&amp;TEXT(ROW()-4,"000"))</f>
        <v>0</v>
      </c>
      <c r="T195" s="37">
        <f>IF(B195="","",ROUND(SUMIFS(Purchases!$U$5:$U$304,Purchases!$D$5:$D$304,A195),2))</f>
        <v>0</v>
      </c>
      <c r="U195" s="37">
        <f>IF(B195="","",ROUND(SUMIFS(Sales!$T$5:$T$1204,Sales!$I$5:$I$1204,A195,Sales!$H$5:$H$1204,"Retail"),2))</f>
        <v>0</v>
      </c>
      <c r="V195" s="37">
        <f>IF(B195="","",ROUND(IF(J195="",0,J195)+T195-IF(K195="",0,K195)-U195-IF(L195="",0,L195)+IF(M195="",0,M195),2))</f>
        <v>0</v>
      </c>
      <c r="W195" s="37">
        <f>IF(B195="","",ROUND((U195+IF(K195="",0,K195))/MAX(4,TrackingWeeks),2))</f>
        <v>0</v>
      </c>
      <c r="X195" s="37">
        <f>IF(B195="","",IF(W195&lt;=0,"",ROUND(V195/W195,1)))</f>
        <v>0</v>
      </c>
      <c r="Y195" s="37">
        <f>IF(B195="","",IF(N195&lt;&gt;"",N195,ROUND(W195*StockWarningWeeks,1)))</f>
        <v>0</v>
      </c>
      <c r="Z195" s="39">
        <f>IF(B195="","",IF(V195&lt;=0,"Out of stock",IF(V195&lt;=Y195,"Low stock",IF(R195="No","Backbar","In stock"))))</f>
        <v>0</v>
      </c>
      <c r="AA195" s="37">
        <f>IF(B195="","",IF(Z195="In stock","",IF(Z195="Backbar",IF(V195&lt;=Y195,MAX(1,IF(O195="",ROUND(W195*ReorderWeeks,0),O195)),""),MAX(1,IF(O195="",ROUND(W195*ReorderWeeks,0),O195)))))</f>
        <v>0</v>
      </c>
      <c r="AB195" s="26">
        <f>IF(B195="","",ROUND(V195*IF(H195="",0,H195),2))</f>
        <v>0</v>
      </c>
      <c r="AC195" s="26">
        <f>IF(B195="","",ROUND(V195*IF(I195="",0,I195),2))</f>
        <v>0</v>
      </c>
      <c r="AD195" s="27">
        <f>IF(B195="","",IF(IF(I195="",0,I195)=0,"",(I195-IF(H195="",0,H195))/I195))</f>
        <v>0</v>
      </c>
      <c r="AE195" s="26">
        <f>IF(B195="","",IF(H195="","",H195*RetailMarkup))</f>
        <v>0</v>
      </c>
      <c r="AF195" s="26">
        <f>IF(B195="","",IF(AE195="","",ROUND(IF(RoundingRule="None",AE195,IF(RoundingRule="Nearest 0.99",MAX(0.99,CEILING(AE195,1)-0.01),IF(RoundingRule="Nearest 0.95",MAX(0.95,CEILING(AE195,1)-0.05),IF(RoundingRule="Nearest 0.50",CEILING(AE195,0.5),IF(RoundingRule="Nearest 1",CEILING(AE195,1),IF(RoundingRule="Nearest 5",CEILING(AE195,5),IF(RoundingRule="Up to whole 1",CEILING(AE195,1),IF(RoundingRule="Up to whole 5",CEILING(AE195,5),ROUND(AE195,2))))))))),2)))</f>
        <v>0</v>
      </c>
      <c r="AG195" s="26">
        <f>IF(B195="","",ROUND(SUMIFS(Sales!$Y$5:$Y$1204,Sales!$I$5:$I$1204,A195,Sales!$H$5:$H$1204,"Retail"),2))</f>
        <v>0</v>
      </c>
      <c r="AH195" s="26">
        <f>IF(B195="","",ROUND(AG195-U195*IF(H195="",0,H195),2))</f>
        <v>0</v>
      </c>
      <c r="AI195" s="25">
        <f>IF(B195="","",COUNTIFS($AG$5:$AG$304,"&gt;"&amp;AG195)+COUNTIFS($AG$5:AG195,AG195))</f>
        <v>0</v>
      </c>
      <c r="AJ195" s="39">
        <f>IF(B195="","",IF(H195="","Add - no cost, no stock value",IF(Z195="Out of stock","Out of stock - order today",IF(Z195="Low stock","Order - running low",IF(IF(Q195="",FALSE,Q195&lt;=TodayDate+30),"Check - expiring within a month",IF(IF(R195="Yes",AD195&lt;0.25,FALSE),"Below - thin margin for a retail line",IF(IF(P195="",TRUE,TodayDate-P195&gt;90),"Due - not counted in three months","OK")))))))</f>
        <v>0</v>
      </c>
    </row>
    <row r="196" spans="1:36">
      <c r="A196" s="28">
        <f>IF(B196="","",ProductPrefix&amp;TEXT(ROW()-4,"000"))</f>
        <v>0</v>
      </c>
      <c r="T196" s="37">
        <f>IF(B196="","",ROUND(SUMIFS(Purchases!$U$5:$U$304,Purchases!$D$5:$D$304,A196),2))</f>
        <v>0</v>
      </c>
      <c r="U196" s="37">
        <f>IF(B196="","",ROUND(SUMIFS(Sales!$T$5:$T$1204,Sales!$I$5:$I$1204,A196,Sales!$H$5:$H$1204,"Retail"),2))</f>
        <v>0</v>
      </c>
      <c r="V196" s="37">
        <f>IF(B196="","",ROUND(IF(J196="",0,J196)+T196-IF(K196="",0,K196)-U196-IF(L196="",0,L196)+IF(M196="",0,M196),2))</f>
        <v>0</v>
      </c>
      <c r="W196" s="37">
        <f>IF(B196="","",ROUND((U196+IF(K196="",0,K196))/MAX(4,TrackingWeeks),2))</f>
        <v>0</v>
      </c>
      <c r="X196" s="37">
        <f>IF(B196="","",IF(W196&lt;=0,"",ROUND(V196/W196,1)))</f>
        <v>0</v>
      </c>
      <c r="Y196" s="37">
        <f>IF(B196="","",IF(N196&lt;&gt;"",N196,ROUND(W196*StockWarningWeeks,1)))</f>
        <v>0</v>
      </c>
      <c r="Z196" s="39">
        <f>IF(B196="","",IF(V196&lt;=0,"Out of stock",IF(V196&lt;=Y196,"Low stock",IF(R196="No","Backbar","In stock"))))</f>
        <v>0</v>
      </c>
      <c r="AA196" s="37">
        <f>IF(B196="","",IF(Z196="In stock","",IF(Z196="Backbar",IF(V196&lt;=Y196,MAX(1,IF(O196="",ROUND(W196*ReorderWeeks,0),O196)),""),MAX(1,IF(O196="",ROUND(W196*ReorderWeeks,0),O196)))))</f>
        <v>0</v>
      </c>
      <c r="AB196" s="26">
        <f>IF(B196="","",ROUND(V196*IF(H196="",0,H196),2))</f>
        <v>0</v>
      </c>
      <c r="AC196" s="26">
        <f>IF(B196="","",ROUND(V196*IF(I196="",0,I196),2))</f>
        <v>0</v>
      </c>
      <c r="AD196" s="27">
        <f>IF(B196="","",IF(IF(I196="",0,I196)=0,"",(I196-IF(H196="",0,H196))/I196))</f>
        <v>0</v>
      </c>
      <c r="AE196" s="26">
        <f>IF(B196="","",IF(H196="","",H196*RetailMarkup))</f>
        <v>0</v>
      </c>
      <c r="AF196" s="26">
        <f>IF(B196="","",IF(AE196="","",ROUND(IF(RoundingRule="None",AE196,IF(RoundingRule="Nearest 0.99",MAX(0.99,CEILING(AE196,1)-0.01),IF(RoundingRule="Nearest 0.95",MAX(0.95,CEILING(AE196,1)-0.05),IF(RoundingRule="Nearest 0.50",CEILING(AE196,0.5),IF(RoundingRule="Nearest 1",CEILING(AE196,1),IF(RoundingRule="Nearest 5",CEILING(AE196,5),IF(RoundingRule="Up to whole 1",CEILING(AE196,1),IF(RoundingRule="Up to whole 5",CEILING(AE196,5),ROUND(AE196,2))))))))),2)))</f>
        <v>0</v>
      </c>
      <c r="AG196" s="26">
        <f>IF(B196="","",ROUND(SUMIFS(Sales!$Y$5:$Y$1204,Sales!$I$5:$I$1204,A196,Sales!$H$5:$H$1204,"Retail"),2))</f>
        <v>0</v>
      </c>
      <c r="AH196" s="26">
        <f>IF(B196="","",ROUND(AG196-U196*IF(H196="",0,H196),2))</f>
        <v>0</v>
      </c>
      <c r="AI196" s="25">
        <f>IF(B196="","",COUNTIFS($AG$5:$AG$304,"&gt;"&amp;AG196)+COUNTIFS($AG$5:AG196,AG196))</f>
        <v>0</v>
      </c>
      <c r="AJ196" s="39">
        <f>IF(B196="","",IF(H196="","Add - no cost, no stock value",IF(Z196="Out of stock","Out of stock - order today",IF(Z196="Low stock","Order - running low",IF(IF(Q196="",FALSE,Q196&lt;=TodayDate+30),"Check - expiring within a month",IF(IF(R196="Yes",AD196&lt;0.25,FALSE),"Below - thin margin for a retail line",IF(IF(P196="",TRUE,TodayDate-P196&gt;90),"Due - not counted in three months","OK")))))))</f>
        <v>0</v>
      </c>
    </row>
    <row r="197" spans="1:36">
      <c r="A197" s="28">
        <f>IF(B197="","",ProductPrefix&amp;TEXT(ROW()-4,"000"))</f>
        <v>0</v>
      </c>
      <c r="T197" s="37">
        <f>IF(B197="","",ROUND(SUMIFS(Purchases!$U$5:$U$304,Purchases!$D$5:$D$304,A197),2))</f>
        <v>0</v>
      </c>
      <c r="U197" s="37">
        <f>IF(B197="","",ROUND(SUMIFS(Sales!$T$5:$T$1204,Sales!$I$5:$I$1204,A197,Sales!$H$5:$H$1204,"Retail"),2))</f>
        <v>0</v>
      </c>
      <c r="V197" s="37">
        <f>IF(B197="","",ROUND(IF(J197="",0,J197)+T197-IF(K197="",0,K197)-U197-IF(L197="",0,L197)+IF(M197="",0,M197),2))</f>
        <v>0</v>
      </c>
      <c r="W197" s="37">
        <f>IF(B197="","",ROUND((U197+IF(K197="",0,K197))/MAX(4,TrackingWeeks),2))</f>
        <v>0</v>
      </c>
      <c r="X197" s="37">
        <f>IF(B197="","",IF(W197&lt;=0,"",ROUND(V197/W197,1)))</f>
        <v>0</v>
      </c>
      <c r="Y197" s="37">
        <f>IF(B197="","",IF(N197&lt;&gt;"",N197,ROUND(W197*StockWarningWeeks,1)))</f>
        <v>0</v>
      </c>
      <c r="Z197" s="39">
        <f>IF(B197="","",IF(V197&lt;=0,"Out of stock",IF(V197&lt;=Y197,"Low stock",IF(R197="No","Backbar","In stock"))))</f>
        <v>0</v>
      </c>
      <c r="AA197" s="37">
        <f>IF(B197="","",IF(Z197="In stock","",IF(Z197="Backbar",IF(V197&lt;=Y197,MAX(1,IF(O197="",ROUND(W197*ReorderWeeks,0),O197)),""),MAX(1,IF(O197="",ROUND(W197*ReorderWeeks,0),O197)))))</f>
        <v>0</v>
      </c>
      <c r="AB197" s="26">
        <f>IF(B197="","",ROUND(V197*IF(H197="",0,H197),2))</f>
        <v>0</v>
      </c>
      <c r="AC197" s="26">
        <f>IF(B197="","",ROUND(V197*IF(I197="",0,I197),2))</f>
        <v>0</v>
      </c>
      <c r="AD197" s="27">
        <f>IF(B197="","",IF(IF(I197="",0,I197)=0,"",(I197-IF(H197="",0,H197))/I197))</f>
        <v>0</v>
      </c>
      <c r="AE197" s="26">
        <f>IF(B197="","",IF(H197="","",H197*RetailMarkup))</f>
        <v>0</v>
      </c>
      <c r="AF197" s="26">
        <f>IF(B197="","",IF(AE197="","",ROUND(IF(RoundingRule="None",AE197,IF(RoundingRule="Nearest 0.99",MAX(0.99,CEILING(AE197,1)-0.01),IF(RoundingRule="Nearest 0.95",MAX(0.95,CEILING(AE197,1)-0.05),IF(RoundingRule="Nearest 0.50",CEILING(AE197,0.5),IF(RoundingRule="Nearest 1",CEILING(AE197,1),IF(RoundingRule="Nearest 5",CEILING(AE197,5),IF(RoundingRule="Up to whole 1",CEILING(AE197,1),IF(RoundingRule="Up to whole 5",CEILING(AE197,5),ROUND(AE197,2))))))))),2)))</f>
        <v>0</v>
      </c>
      <c r="AG197" s="26">
        <f>IF(B197="","",ROUND(SUMIFS(Sales!$Y$5:$Y$1204,Sales!$I$5:$I$1204,A197,Sales!$H$5:$H$1204,"Retail"),2))</f>
        <v>0</v>
      </c>
      <c r="AH197" s="26">
        <f>IF(B197="","",ROUND(AG197-U197*IF(H197="",0,H197),2))</f>
        <v>0</v>
      </c>
      <c r="AI197" s="25">
        <f>IF(B197="","",COUNTIFS($AG$5:$AG$304,"&gt;"&amp;AG197)+COUNTIFS($AG$5:AG197,AG197))</f>
        <v>0</v>
      </c>
      <c r="AJ197" s="39">
        <f>IF(B197="","",IF(H197="","Add - no cost, no stock value",IF(Z197="Out of stock","Out of stock - order today",IF(Z197="Low stock","Order - running low",IF(IF(Q197="",FALSE,Q197&lt;=TodayDate+30),"Check - expiring within a month",IF(IF(R197="Yes",AD197&lt;0.25,FALSE),"Below - thin margin for a retail line",IF(IF(P197="",TRUE,TodayDate-P197&gt;90),"Due - not counted in three months","OK")))))))</f>
        <v>0</v>
      </c>
    </row>
    <row r="198" spans="1:36">
      <c r="A198" s="28">
        <f>IF(B198="","",ProductPrefix&amp;TEXT(ROW()-4,"000"))</f>
        <v>0</v>
      </c>
      <c r="T198" s="37">
        <f>IF(B198="","",ROUND(SUMIFS(Purchases!$U$5:$U$304,Purchases!$D$5:$D$304,A198),2))</f>
        <v>0</v>
      </c>
      <c r="U198" s="37">
        <f>IF(B198="","",ROUND(SUMIFS(Sales!$T$5:$T$1204,Sales!$I$5:$I$1204,A198,Sales!$H$5:$H$1204,"Retail"),2))</f>
        <v>0</v>
      </c>
      <c r="V198" s="37">
        <f>IF(B198="","",ROUND(IF(J198="",0,J198)+T198-IF(K198="",0,K198)-U198-IF(L198="",0,L198)+IF(M198="",0,M198),2))</f>
        <v>0</v>
      </c>
      <c r="W198" s="37">
        <f>IF(B198="","",ROUND((U198+IF(K198="",0,K198))/MAX(4,TrackingWeeks),2))</f>
        <v>0</v>
      </c>
      <c r="X198" s="37">
        <f>IF(B198="","",IF(W198&lt;=0,"",ROUND(V198/W198,1)))</f>
        <v>0</v>
      </c>
      <c r="Y198" s="37">
        <f>IF(B198="","",IF(N198&lt;&gt;"",N198,ROUND(W198*StockWarningWeeks,1)))</f>
        <v>0</v>
      </c>
      <c r="Z198" s="39">
        <f>IF(B198="","",IF(V198&lt;=0,"Out of stock",IF(V198&lt;=Y198,"Low stock",IF(R198="No","Backbar","In stock"))))</f>
        <v>0</v>
      </c>
      <c r="AA198" s="37">
        <f>IF(B198="","",IF(Z198="In stock","",IF(Z198="Backbar",IF(V198&lt;=Y198,MAX(1,IF(O198="",ROUND(W198*ReorderWeeks,0),O198)),""),MAX(1,IF(O198="",ROUND(W198*ReorderWeeks,0),O198)))))</f>
        <v>0</v>
      </c>
      <c r="AB198" s="26">
        <f>IF(B198="","",ROUND(V198*IF(H198="",0,H198),2))</f>
        <v>0</v>
      </c>
      <c r="AC198" s="26">
        <f>IF(B198="","",ROUND(V198*IF(I198="",0,I198),2))</f>
        <v>0</v>
      </c>
      <c r="AD198" s="27">
        <f>IF(B198="","",IF(IF(I198="",0,I198)=0,"",(I198-IF(H198="",0,H198))/I198))</f>
        <v>0</v>
      </c>
      <c r="AE198" s="26">
        <f>IF(B198="","",IF(H198="","",H198*RetailMarkup))</f>
        <v>0</v>
      </c>
      <c r="AF198" s="26">
        <f>IF(B198="","",IF(AE198="","",ROUND(IF(RoundingRule="None",AE198,IF(RoundingRule="Nearest 0.99",MAX(0.99,CEILING(AE198,1)-0.01),IF(RoundingRule="Nearest 0.95",MAX(0.95,CEILING(AE198,1)-0.05),IF(RoundingRule="Nearest 0.50",CEILING(AE198,0.5),IF(RoundingRule="Nearest 1",CEILING(AE198,1),IF(RoundingRule="Nearest 5",CEILING(AE198,5),IF(RoundingRule="Up to whole 1",CEILING(AE198,1),IF(RoundingRule="Up to whole 5",CEILING(AE198,5),ROUND(AE198,2))))))))),2)))</f>
        <v>0</v>
      </c>
      <c r="AG198" s="26">
        <f>IF(B198="","",ROUND(SUMIFS(Sales!$Y$5:$Y$1204,Sales!$I$5:$I$1204,A198,Sales!$H$5:$H$1204,"Retail"),2))</f>
        <v>0</v>
      </c>
      <c r="AH198" s="26">
        <f>IF(B198="","",ROUND(AG198-U198*IF(H198="",0,H198),2))</f>
        <v>0</v>
      </c>
      <c r="AI198" s="25">
        <f>IF(B198="","",COUNTIFS($AG$5:$AG$304,"&gt;"&amp;AG198)+COUNTIFS($AG$5:AG198,AG198))</f>
        <v>0</v>
      </c>
      <c r="AJ198" s="39">
        <f>IF(B198="","",IF(H198="","Add - no cost, no stock value",IF(Z198="Out of stock","Out of stock - order today",IF(Z198="Low stock","Order - running low",IF(IF(Q198="",FALSE,Q198&lt;=TodayDate+30),"Check - expiring within a month",IF(IF(R198="Yes",AD198&lt;0.25,FALSE),"Below - thin margin for a retail line",IF(IF(P198="",TRUE,TodayDate-P198&gt;90),"Due - not counted in three months","OK")))))))</f>
        <v>0</v>
      </c>
    </row>
    <row r="199" spans="1:36">
      <c r="A199" s="28">
        <f>IF(B199="","",ProductPrefix&amp;TEXT(ROW()-4,"000"))</f>
        <v>0</v>
      </c>
      <c r="T199" s="37">
        <f>IF(B199="","",ROUND(SUMIFS(Purchases!$U$5:$U$304,Purchases!$D$5:$D$304,A199),2))</f>
        <v>0</v>
      </c>
      <c r="U199" s="37">
        <f>IF(B199="","",ROUND(SUMIFS(Sales!$T$5:$T$1204,Sales!$I$5:$I$1204,A199,Sales!$H$5:$H$1204,"Retail"),2))</f>
        <v>0</v>
      </c>
      <c r="V199" s="37">
        <f>IF(B199="","",ROUND(IF(J199="",0,J199)+T199-IF(K199="",0,K199)-U199-IF(L199="",0,L199)+IF(M199="",0,M199),2))</f>
        <v>0</v>
      </c>
      <c r="W199" s="37">
        <f>IF(B199="","",ROUND((U199+IF(K199="",0,K199))/MAX(4,TrackingWeeks),2))</f>
        <v>0</v>
      </c>
      <c r="X199" s="37">
        <f>IF(B199="","",IF(W199&lt;=0,"",ROUND(V199/W199,1)))</f>
        <v>0</v>
      </c>
      <c r="Y199" s="37">
        <f>IF(B199="","",IF(N199&lt;&gt;"",N199,ROUND(W199*StockWarningWeeks,1)))</f>
        <v>0</v>
      </c>
      <c r="Z199" s="39">
        <f>IF(B199="","",IF(V199&lt;=0,"Out of stock",IF(V199&lt;=Y199,"Low stock",IF(R199="No","Backbar","In stock"))))</f>
        <v>0</v>
      </c>
      <c r="AA199" s="37">
        <f>IF(B199="","",IF(Z199="In stock","",IF(Z199="Backbar",IF(V199&lt;=Y199,MAX(1,IF(O199="",ROUND(W199*ReorderWeeks,0),O199)),""),MAX(1,IF(O199="",ROUND(W199*ReorderWeeks,0),O199)))))</f>
        <v>0</v>
      </c>
      <c r="AB199" s="26">
        <f>IF(B199="","",ROUND(V199*IF(H199="",0,H199),2))</f>
        <v>0</v>
      </c>
      <c r="AC199" s="26">
        <f>IF(B199="","",ROUND(V199*IF(I199="",0,I199),2))</f>
        <v>0</v>
      </c>
      <c r="AD199" s="27">
        <f>IF(B199="","",IF(IF(I199="",0,I199)=0,"",(I199-IF(H199="",0,H199))/I199))</f>
        <v>0</v>
      </c>
      <c r="AE199" s="26">
        <f>IF(B199="","",IF(H199="","",H199*RetailMarkup))</f>
        <v>0</v>
      </c>
      <c r="AF199" s="26">
        <f>IF(B199="","",IF(AE199="","",ROUND(IF(RoundingRule="None",AE199,IF(RoundingRule="Nearest 0.99",MAX(0.99,CEILING(AE199,1)-0.01),IF(RoundingRule="Nearest 0.95",MAX(0.95,CEILING(AE199,1)-0.05),IF(RoundingRule="Nearest 0.50",CEILING(AE199,0.5),IF(RoundingRule="Nearest 1",CEILING(AE199,1),IF(RoundingRule="Nearest 5",CEILING(AE199,5),IF(RoundingRule="Up to whole 1",CEILING(AE199,1),IF(RoundingRule="Up to whole 5",CEILING(AE199,5),ROUND(AE199,2))))))))),2)))</f>
        <v>0</v>
      </c>
      <c r="AG199" s="26">
        <f>IF(B199="","",ROUND(SUMIFS(Sales!$Y$5:$Y$1204,Sales!$I$5:$I$1204,A199,Sales!$H$5:$H$1204,"Retail"),2))</f>
        <v>0</v>
      </c>
      <c r="AH199" s="26">
        <f>IF(B199="","",ROUND(AG199-U199*IF(H199="",0,H199),2))</f>
        <v>0</v>
      </c>
      <c r="AI199" s="25">
        <f>IF(B199="","",COUNTIFS($AG$5:$AG$304,"&gt;"&amp;AG199)+COUNTIFS($AG$5:AG199,AG199))</f>
        <v>0</v>
      </c>
      <c r="AJ199" s="39">
        <f>IF(B199="","",IF(H199="","Add - no cost, no stock value",IF(Z199="Out of stock","Out of stock - order today",IF(Z199="Low stock","Order - running low",IF(IF(Q199="",FALSE,Q199&lt;=TodayDate+30),"Check - expiring within a month",IF(IF(R199="Yes",AD199&lt;0.25,FALSE),"Below - thin margin for a retail line",IF(IF(P199="",TRUE,TodayDate-P199&gt;90),"Due - not counted in three months","OK")))))))</f>
        <v>0</v>
      </c>
    </row>
    <row r="200" spans="1:36">
      <c r="A200" s="28">
        <f>IF(B200="","",ProductPrefix&amp;TEXT(ROW()-4,"000"))</f>
        <v>0</v>
      </c>
      <c r="T200" s="37">
        <f>IF(B200="","",ROUND(SUMIFS(Purchases!$U$5:$U$304,Purchases!$D$5:$D$304,A200),2))</f>
        <v>0</v>
      </c>
      <c r="U200" s="37">
        <f>IF(B200="","",ROUND(SUMIFS(Sales!$T$5:$T$1204,Sales!$I$5:$I$1204,A200,Sales!$H$5:$H$1204,"Retail"),2))</f>
        <v>0</v>
      </c>
      <c r="V200" s="37">
        <f>IF(B200="","",ROUND(IF(J200="",0,J200)+T200-IF(K200="",0,K200)-U200-IF(L200="",0,L200)+IF(M200="",0,M200),2))</f>
        <v>0</v>
      </c>
      <c r="W200" s="37">
        <f>IF(B200="","",ROUND((U200+IF(K200="",0,K200))/MAX(4,TrackingWeeks),2))</f>
        <v>0</v>
      </c>
      <c r="X200" s="37">
        <f>IF(B200="","",IF(W200&lt;=0,"",ROUND(V200/W200,1)))</f>
        <v>0</v>
      </c>
      <c r="Y200" s="37">
        <f>IF(B200="","",IF(N200&lt;&gt;"",N200,ROUND(W200*StockWarningWeeks,1)))</f>
        <v>0</v>
      </c>
      <c r="Z200" s="39">
        <f>IF(B200="","",IF(V200&lt;=0,"Out of stock",IF(V200&lt;=Y200,"Low stock",IF(R200="No","Backbar","In stock"))))</f>
        <v>0</v>
      </c>
      <c r="AA200" s="37">
        <f>IF(B200="","",IF(Z200="In stock","",IF(Z200="Backbar",IF(V200&lt;=Y200,MAX(1,IF(O200="",ROUND(W200*ReorderWeeks,0),O200)),""),MAX(1,IF(O200="",ROUND(W200*ReorderWeeks,0),O200)))))</f>
        <v>0</v>
      </c>
      <c r="AB200" s="26">
        <f>IF(B200="","",ROUND(V200*IF(H200="",0,H200),2))</f>
        <v>0</v>
      </c>
      <c r="AC200" s="26">
        <f>IF(B200="","",ROUND(V200*IF(I200="",0,I200),2))</f>
        <v>0</v>
      </c>
      <c r="AD200" s="27">
        <f>IF(B200="","",IF(IF(I200="",0,I200)=0,"",(I200-IF(H200="",0,H200))/I200))</f>
        <v>0</v>
      </c>
      <c r="AE200" s="26">
        <f>IF(B200="","",IF(H200="","",H200*RetailMarkup))</f>
        <v>0</v>
      </c>
      <c r="AF200" s="26">
        <f>IF(B200="","",IF(AE200="","",ROUND(IF(RoundingRule="None",AE200,IF(RoundingRule="Nearest 0.99",MAX(0.99,CEILING(AE200,1)-0.01),IF(RoundingRule="Nearest 0.95",MAX(0.95,CEILING(AE200,1)-0.05),IF(RoundingRule="Nearest 0.50",CEILING(AE200,0.5),IF(RoundingRule="Nearest 1",CEILING(AE200,1),IF(RoundingRule="Nearest 5",CEILING(AE200,5),IF(RoundingRule="Up to whole 1",CEILING(AE200,1),IF(RoundingRule="Up to whole 5",CEILING(AE200,5),ROUND(AE200,2))))))))),2)))</f>
        <v>0</v>
      </c>
      <c r="AG200" s="26">
        <f>IF(B200="","",ROUND(SUMIFS(Sales!$Y$5:$Y$1204,Sales!$I$5:$I$1204,A200,Sales!$H$5:$H$1204,"Retail"),2))</f>
        <v>0</v>
      </c>
      <c r="AH200" s="26">
        <f>IF(B200="","",ROUND(AG200-U200*IF(H200="",0,H200),2))</f>
        <v>0</v>
      </c>
      <c r="AI200" s="25">
        <f>IF(B200="","",COUNTIFS($AG$5:$AG$304,"&gt;"&amp;AG200)+COUNTIFS($AG$5:AG200,AG200))</f>
        <v>0</v>
      </c>
      <c r="AJ200" s="39">
        <f>IF(B200="","",IF(H200="","Add - no cost, no stock value",IF(Z200="Out of stock","Out of stock - order today",IF(Z200="Low stock","Order - running low",IF(IF(Q200="",FALSE,Q200&lt;=TodayDate+30),"Check - expiring within a month",IF(IF(R200="Yes",AD200&lt;0.25,FALSE),"Below - thin margin for a retail line",IF(IF(P200="",TRUE,TodayDate-P200&gt;90),"Due - not counted in three months","OK")))))))</f>
        <v>0</v>
      </c>
    </row>
    <row r="201" spans="1:36">
      <c r="A201" s="28">
        <f>IF(B201="","",ProductPrefix&amp;TEXT(ROW()-4,"000"))</f>
        <v>0</v>
      </c>
      <c r="T201" s="37">
        <f>IF(B201="","",ROUND(SUMIFS(Purchases!$U$5:$U$304,Purchases!$D$5:$D$304,A201),2))</f>
        <v>0</v>
      </c>
      <c r="U201" s="37">
        <f>IF(B201="","",ROUND(SUMIFS(Sales!$T$5:$T$1204,Sales!$I$5:$I$1204,A201,Sales!$H$5:$H$1204,"Retail"),2))</f>
        <v>0</v>
      </c>
      <c r="V201" s="37">
        <f>IF(B201="","",ROUND(IF(J201="",0,J201)+T201-IF(K201="",0,K201)-U201-IF(L201="",0,L201)+IF(M201="",0,M201),2))</f>
        <v>0</v>
      </c>
      <c r="W201" s="37">
        <f>IF(B201="","",ROUND((U201+IF(K201="",0,K201))/MAX(4,TrackingWeeks),2))</f>
        <v>0</v>
      </c>
      <c r="X201" s="37">
        <f>IF(B201="","",IF(W201&lt;=0,"",ROUND(V201/W201,1)))</f>
        <v>0</v>
      </c>
      <c r="Y201" s="37">
        <f>IF(B201="","",IF(N201&lt;&gt;"",N201,ROUND(W201*StockWarningWeeks,1)))</f>
        <v>0</v>
      </c>
      <c r="Z201" s="39">
        <f>IF(B201="","",IF(V201&lt;=0,"Out of stock",IF(V201&lt;=Y201,"Low stock",IF(R201="No","Backbar","In stock"))))</f>
        <v>0</v>
      </c>
      <c r="AA201" s="37">
        <f>IF(B201="","",IF(Z201="In stock","",IF(Z201="Backbar",IF(V201&lt;=Y201,MAX(1,IF(O201="",ROUND(W201*ReorderWeeks,0),O201)),""),MAX(1,IF(O201="",ROUND(W201*ReorderWeeks,0),O201)))))</f>
        <v>0</v>
      </c>
      <c r="AB201" s="26">
        <f>IF(B201="","",ROUND(V201*IF(H201="",0,H201),2))</f>
        <v>0</v>
      </c>
      <c r="AC201" s="26">
        <f>IF(B201="","",ROUND(V201*IF(I201="",0,I201),2))</f>
        <v>0</v>
      </c>
      <c r="AD201" s="27">
        <f>IF(B201="","",IF(IF(I201="",0,I201)=0,"",(I201-IF(H201="",0,H201))/I201))</f>
        <v>0</v>
      </c>
      <c r="AE201" s="26">
        <f>IF(B201="","",IF(H201="","",H201*RetailMarkup))</f>
        <v>0</v>
      </c>
      <c r="AF201" s="26">
        <f>IF(B201="","",IF(AE201="","",ROUND(IF(RoundingRule="None",AE201,IF(RoundingRule="Nearest 0.99",MAX(0.99,CEILING(AE201,1)-0.01),IF(RoundingRule="Nearest 0.95",MAX(0.95,CEILING(AE201,1)-0.05),IF(RoundingRule="Nearest 0.50",CEILING(AE201,0.5),IF(RoundingRule="Nearest 1",CEILING(AE201,1),IF(RoundingRule="Nearest 5",CEILING(AE201,5),IF(RoundingRule="Up to whole 1",CEILING(AE201,1),IF(RoundingRule="Up to whole 5",CEILING(AE201,5),ROUND(AE201,2))))))))),2)))</f>
        <v>0</v>
      </c>
      <c r="AG201" s="26">
        <f>IF(B201="","",ROUND(SUMIFS(Sales!$Y$5:$Y$1204,Sales!$I$5:$I$1204,A201,Sales!$H$5:$H$1204,"Retail"),2))</f>
        <v>0</v>
      </c>
      <c r="AH201" s="26">
        <f>IF(B201="","",ROUND(AG201-U201*IF(H201="",0,H201),2))</f>
        <v>0</v>
      </c>
      <c r="AI201" s="25">
        <f>IF(B201="","",COUNTIFS($AG$5:$AG$304,"&gt;"&amp;AG201)+COUNTIFS($AG$5:AG201,AG201))</f>
        <v>0</v>
      </c>
      <c r="AJ201" s="39">
        <f>IF(B201="","",IF(H201="","Add - no cost, no stock value",IF(Z201="Out of stock","Out of stock - order today",IF(Z201="Low stock","Order - running low",IF(IF(Q201="",FALSE,Q201&lt;=TodayDate+30),"Check - expiring within a month",IF(IF(R201="Yes",AD201&lt;0.25,FALSE),"Below - thin margin for a retail line",IF(IF(P201="",TRUE,TodayDate-P201&gt;90),"Due - not counted in three months","OK")))))))</f>
        <v>0</v>
      </c>
    </row>
    <row r="202" spans="1:36">
      <c r="A202" s="28">
        <f>IF(B202="","",ProductPrefix&amp;TEXT(ROW()-4,"000"))</f>
        <v>0</v>
      </c>
      <c r="T202" s="37">
        <f>IF(B202="","",ROUND(SUMIFS(Purchases!$U$5:$U$304,Purchases!$D$5:$D$304,A202),2))</f>
        <v>0</v>
      </c>
      <c r="U202" s="37">
        <f>IF(B202="","",ROUND(SUMIFS(Sales!$T$5:$T$1204,Sales!$I$5:$I$1204,A202,Sales!$H$5:$H$1204,"Retail"),2))</f>
        <v>0</v>
      </c>
      <c r="V202" s="37">
        <f>IF(B202="","",ROUND(IF(J202="",0,J202)+T202-IF(K202="",0,K202)-U202-IF(L202="",0,L202)+IF(M202="",0,M202),2))</f>
        <v>0</v>
      </c>
      <c r="W202" s="37">
        <f>IF(B202="","",ROUND((U202+IF(K202="",0,K202))/MAX(4,TrackingWeeks),2))</f>
        <v>0</v>
      </c>
      <c r="X202" s="37">
        <f>IF(B202="","",IF(W202&lt;=0,"",ROUND(V202/W202,1)))</f>
        <v>0</v>
      </c>
      <c r="Y202" s="37">
        <f>IF(B202="","",IF(N202&lt;&gt;"",N202,ROUND(W202*StockWarningWeeks,1)))</f>
        <v>0</v>
      </c>
      <c r="Z202" s="39">
        <f>IF(B202="","",IF(V202&lt;=0,"Out of stock",IF(V202&lt;=Y202,"Low stock",IF(R202="No","Backbar","In stock"))))</f>
        <v>0</v>
      </c>
      <c r="AA202" s="37">
        <f>IF(B202="","",IF(Z202="In stock","",IF(Z202="Backbar",IF(V202&lt;=Y202,MAX(1,IF(O202="",ROUND(W202*ReorderWeeks,0),O202)),""),MAX(1,IF(O202="",ROUND(W202*ReorderWeeks,0),O202)))))</f>
        <v>0</v>
      </c>
      <c r="AB202" s="26">
        <f>IF(B202="","",ROUND(V202*IF(H202="",0,H202),2))</f>
        <v>0</v>
      </c>
      <c r="AC202" s="26">
        <f>IF(B202="","",ROUND(V202*IF(I202="",0,I202),2))</f>
        <v>0</v>
      </c>
      <c r="AD202" s="27">
        <f>IF(B202="","",IF(IF(I202="",0,I202)=0,"",(I202-IF(H202="",0,H202))/I202))</f>
        <v>0</v>
      </c>
      <c r="AE202" s="26">
        <f>IF(B202="","",IF(H202="","",H202*RetailMarkup))</f>
        <v>0</v>
      </c>
      <c r="AF202" s="26">
        <f>IF(B202="","",IF(AE202="","",ROUND(IF(RoundingRule="None",AE202,IF(RoundingRule="Nearest 0.99",MAX(0.99,CEILING(AE202,1)-0.01),IF(RoundingRule="Nearest 0.95",MAX(0.95,CEILING(AE202,1)-0.05),IF(RoundingRule="Nearest 0.50",CEILING(AE202,0.5),IF(RoundingRule="Nearest 1",CEILING(AE202,1),IF(RoundingRule="Nearest 5",CEILING(AE202,5),IF(RoundingRule="Up to whole 1",CEILING(AE202,1),IF(RoundingRule="Up to whole 5",CEILING(AE202,5),ROUND(AE202,2))))))))),2)))</f>
        <v>0</v>
      </c>
      <c r="AG202" s="26">
        <f>IF(B202="","",ROUND(SUMIFS(Sales!$Y$5:$Y$1204,Sales!$I$5:$I$1204,A202,Sales!$H$5:$H$1204,"Retail"),2))</f>
        <v>0</v>
      </c>
      <c r="AH202" s="26">
        <f>IF(B202="","",ROUND(AG202-U202*IF(H202="",0,H202),2))</f>
        <v>0</v>
      </c>
      <c r="AI202" s="25">
        <f>IF(B202="","",COUNTIFS($AG$5:$AG$304,"&gt;"&amp;AG202)+COUNTIFS($AG$5:AG202,AG202))</f>
        <v>0</v>
      </c>
      <c r="AJ202" s="39">
        <f>IF(B202="","",IF(H202="","Add - no cost, no stock value",IF(Z202="Out of stock","Out of stock - order today",IF(Z202="Low stock","Order - running low",IF(IF(Q202="",FALSE,Q202&lt;=TodayDate+30),"Check - expiring within a month",IF(IF(R202="Yes",AD202&lt;0.25,FALSE),"Below - thin margin for a retail line",IF(IF(P202="",TRUE,TodayDate-P202&gt;90),"Due - not counted in three months","OK")))))))</f>
        <v>0</v>
      </c>
    </row>
    <row r="203" spans="1:36">
      <c r="A203" s="28">
        <f>IF(B203="","",ProductPrefix&amp;TEXT(ROW()-4,"000"))</f>
        <v>0</v>
      </c>
      <c r="T203" s="37">
        <f>IF(B203="","",ROUND(SUMIFS(Purchases!$U$5:$U$304,Purchases!$D$5:$D$304,A203),2))</f>
        <v>0</v>
      </c>
      <c r="U203" s="37">
        <f>IF(B203="","",ROUND(SUMIFS(Sales!$T$5:$T$1204,Sales!$I$5:$I$1204,A203,Sales!$H$5:$H$1204,"Retail"),2))</f>
        <v>0</v>
      </c>
      <c r="V203" s="37">
        <f>IF(B203="","",ROUND(IF(J203="",0,J203)+T203-IF(K203="",0,K203)-U203-IF(L203="",0,L203)+IF(M203="",0,M203),2))</f>
        <v>0</v>
      </c>
      <c r="W203" s="37">
        <f>IF(B203="","",ROUND((U203+IF(K203="",0,K203))/MAX(4,TrackingWeeks),2))</f>
        <v>0</v>
      </c>
      <c r="X203" s="37">
        <f>IF(B203="","",IF(W203&lt;=0,"",ROUND(V203/W203,1)))</f>
        <v>0</v>
      </c>
      <c r="Y203" s="37">
        <f>IF(B203="","",IF(N203&lt;&gt;"",N203,ROUND(W203*StockWarningWeeks,1)))</f>
        <v>0</v>
      </c>
      <c r="Z203" s="39">
        <f>IF(B203="","",IF(V203&lt;=0,"Out of stock",IF(V203&lt;=Y203,"Low stock",IF(R203="No","Backbar","In stock"))))</f>
        <v>0</v>
      </c>
      <c r="AA203" s="37">
        <f>IF(B203="","",IF(Z203="In stock","",IF(Z203="Backbar",IF(V203&lt;=Y203,MAX(1,IF(O203="",ROUND(W203*ReorderWeeks,0),O203)),""),MAX(1,IF(O203="",ROUND(W203*ReorderWeeks,0),O203)))))</f>
        <v>0</v>
      </c>
      <c r="AB203" s="26">
        <f>IF(B203="","",ROUND(V203*IF(H203="",0,H203),2))</f>
        <v>0</v>
      </c>
      <c r="AC203" s="26">
        <f>IF(B203="","",ROUND(V203*IF(I203="",0,I203),2))</f>
        <v>0</v>
      </c>
      <c r="AD203" s="27">
        <f>IF(B203="","",IF(IF(I203="",0,I203)=0,"",(I203-IF(H203="",0,H203))/I203))</f>
        <v>0</v>
      </c>
      <c r="AE203" s="26">
        <f>IF(B203="","",IF(H203="","",H203*RetailMarkup))</f>
        <v>0</v>
      </c>
      <c r="AF203" s="26">
        <f>IF(B203="","",IF(AE203="","",ROUND(IF(RoundingRule="None",AE203,IF(RoundingRule="Nearest 0.99",MAX(0.99,CEILING(AE203,1)-0.01),IF(RoundingRule="Nearest 0.95",MAX(0.95,CEILING(AE203,1)-0.05),IF(RoundingRule="Nearest 0.50",CEILING(AE203,0.5),IF(RoundingRule="Nearest 1",CEILING(AE203,1),IF(RoundingRule="Nearest 5",CEILING(AE203,5),IF(RoundingRule="Up to whole 1",CEILING(AE203,1),IF(RoundingRule="Up to whole 5",CEILING(AE203,5),ROUND(AE203,2))))))))),2)))</f>
        <v>0</v>
      </c>
      <c r="AG203" s="26">
        <f>IF(B203="","",ROUND(SUMIFS(Sales!$Y$5:$Y$1204,Sales!$I$5:$I$1204,A203,Sales!$H$5:$H$1204,"Retail"),2))</f>
        <v>0</v>
      </c>
      <c r="AH203" s="26">
        <f>IF(B203="","",ROUND(AG203-U203*IF(H203="",0,H203),2))</f>
        <v>0</v>
      </c>
      <c r="AI203" s="25">
        <f>IF(B203="","",COUNTIFS($AG$5:$AG$304,"&gt;"&amp;AG203)+COUNTIFS($AG$5:AG203,AG203))</f>
        <v>0</v>
      </c>
      <c r="AJ203" s="39">
        <f>IF(B203="","",IF(H203="","Add - no cost, no stock value",IF(Z203="Out of stock","Out of stock - order today",IF(Z203="Low stock","Order - running low",IF(IF(Q203="",FALSE,Q203&lt;=TodayDate+30),"Check - expiring within a month",IF(IF(R203="Yes",AD203&lt;0.25,FALSE),"Below - thin margin for a retail line",IF(IF(P203="",TRUE,TodayDate-P203&gt;90),"Due - not counted in three months","OK")))))))</f>
        <v>0</v>
      </c>
    </row>
    <row r="204" spans="1:36">
      <c r="A204" s="28">
        <f>IF(B204="","",ProductPrefix&amp;TEXT(ROW()-4,"000"))</f>
        <v>0</v>
      </c>
      <c r="T204" s="37">
        <f>IF(B204="","",ROUND(SUMIFS(Purchases!$U$5:$U$304,Purchases!$D$5:$D$304,A204),2))</f>
        <v>0</v>
      </c>
      <c r="U204" s="37">
        <f>IF(B204="","",ROUND(SUMIFS(Sales!$T$5:$T$1204,Sales!$I$5:$I$1204,A204,Sales!$H$5:$H$1204,"Retail"),2))</f>
        <v>0</v>
      </c>
      <c r="V204" s="37">
        <f>IF(B204="","",ROUND(IF(J204="",0,J204)+T204-IF(K204="",0,K204)-U204-IF(L204="",0,L204)+IF(M204="",0,M204),2))</f>
        <v>0</v>
      </c>
      <c r="W204" s="37">
        <f>IF(B204="","",ROUND((U204+IF(K204="",0,K204))/MAX(4,TrackingWeeks),2))</f>
        <v>0</v>
      </c>
      <c r="X204" s="37">
        <f>IF(B204="","",IF(W204&lt;=0,"",ROUND(V204/W204,1)))</f>
        <v>0</v>
      </c>
      <c r="Y204" s="37">
        <f>IF(B204="","",IF(N204&lt;&gt;"",N204,ROUND(W204*StockWarningWeeks,1)))</f>
        <v>0</v>
      </c>
      <c r="Z204" s="39">
        <f>IF(B204="","",IF(V204&lt;=0,"Out of stock",IF(V204&lt;=Y204,"Low stock",IF(R204="No","Backbar","In stock"))))</f>
        <v>0</v>
      </c>
      <c r="AA204" s="37">
        <f>IF(B204="","",IF(Z204="In stock","",IF(Z204="Backbar",IF(V204&lt;=Y204,MAX(1,IF(O204="",ROUND(W204*ReorderWeeks,0),O204)),""),MAX(1,IF(O204="",ROUND(W204*ReorderWeeks,0),O204)))))</f>
        <v>0</v>
      </c>
      <c r="AB204" s="26">
        <f>IF(B204="","",ROUND(V204*IF(H204="",0,H204),2))</f>
        <v>0</v>
      </c>
      <c r="AC204" s="26">
        <f>IF(B204="","",ROUND(V204*IF(I204="",0,I204),2))</f>
        <v>0</v>
      </c>
      <c r="AD204" s="27">
        <f>IF(B204="","",IF(IF(I204="",0,I204)=0,"",(I204-IF(H204="",0,H204))/I204))</f>
        <v>0</v>
      </c>
      <c r="AE204" s="26">
        <f>IF(B204="","",IF(H204="","",H204*RetailMarkup))</f>
        <v>0</v>
      </c>
      <c r="AF204" s="26">
        <f>IF(B204="","",IF(AE204="","",ROUND(IF(RoundingRule="None",AE204,IF(RoundingRule="Nearest 0.99",MAX(0.99,CEILING(AE204,1)-0.01),IF(RoundingRule="Nearest 0.95",MAX(0.95,CEILING(AE204,1)-0.05),IF(RoundingRule="Nearest 0.50",CEILING(AE204,0.5),IF(RoundingRule="Nearest 1",CEILING(AE204,1),IF(RoundingRule="Nearest 5",CEILING(AE204,5),IF(RoundingRule="Up to whole 1",CEILING(AE204,1),IF(RoundingRule="Up to whole 5",CEILING(AE204,5),ROUND(AE204,2))))))))),2)))</f>
        <v>0</v>
      </c>
      <c r="AG204" s="26">
        <f>IF(B204="","",ROUND(SUMIFS(Sales!$Y$5:$Y$1204,Sales!$I$5:$I$1204,A204,Sales!$H$5:$H$1204,"Retail"),2))</f>
        <v>0</v>
      </c>
      <c r="AH204" s="26">
        <f>IF(B204="","",ROUND(AG204-U204*IF(H204="",0,H204),2))</f>
        <v>0</v>
      </c>
      <c r="AI204" s="25">
        <f>IF(B204="","",COUNTIFS($AG$5:$AG$304,"&gt;"&amp;AG204)+COUNTIFS($AG$5:AG204,AG204))</f>
        <v>0</v>
      </c>
      <c r="AJ204" s="39">
        <f>IF(B204="","",IF(H204="","Add - no cost, no stock value",IF(Z204="Out of stock","Out of stock - order today",IF(Z204="Low stock","Order - running low",IF(IF(Q204="",FALSE,Q204&lt;=TodayDate+30),"Check - expiring within a month",IF(IF(R204="Yes",AD204&lt;0.25,FALSE),"Below - thin margin for a retail line",IF(IF(P204="",TRUE,TodayDate-P204&gt;90),"Due - not counted in three months","OK")))))))</f>
        <v>0</v>
      </c>
    </row>
    <row r="205" spans="1:36">
      <c r="A205" s="28">
        <f>IF(B205="","",ProductPrefix&amp;TEXT(ROW()-4,"000"))</f>
        <v>0</v>
      </c>
      <c r="T205" s="37">
        <f>IF(B205="","",ROUND(SUMIFS(Purchases!$U$5:$U$304,Purchases!$D$5:$D$304,A205),2))</f>
        <v>0</v>
      </c>
      <c r="U205" s="37">
        <f>IF(B205="","",ROUND(SUMIFS(Sales!$T$5:$T$1204,Sales!$I$5:$I$1204,A205,Sales!$H$5:$H$1204,"Retail"),2))</f>
        <v>0</v>
      </c>
      <c r="V205" s="37">
        <f>IF(B205="","",ROUND(IF(J205="",0,J205)+T205-IF(K205="",0,K205)-U205-IF(L205="",0,L205)+IF(M205="",0,M205),2))</f>
        <v>0</v>
      </c>
      <c r="W205" s="37">
        <f>IF(B205="","",ROUND((U205+IF(K205="",0,K205))/MAX(4,TrackingWeeks),2))</f>
        <v>0</v>
      </c>
      <c r="X205" s="37">
        <f>IF(B205="","",IF(W205&lt;=0,"",ROUND(V205/W205,1)))</f>
        <v>0</v>
      </c>
      <c r="Y205" s="37">
        <f>IF(B205="","",IF(N205&lt;&gt;"",N205,ROUND(W205*StockWarningWeeks,1)))</f>
        <v>0</v>
      </c>
      <c r="Z205" s="39">
        <f>IF(B205="","",IF(V205&lt;=0,"Out of stock",IF(V205&lt;=Y205,"Low stock",IF(R205="No","Backbar","In stock"))))</f>
        <v>0</v>
      </c>
      <c r="AA205" s="37">
        <f>IF(B205="","",IF(Z205="In stock","",IF(Z205="Backbar",IF(V205&lt;=Y205,MAX(1,IF(O205="",ROUND(W205*ReorderWeeks,0),O205)),""),MAX(1,IF(O205="",ROUND(W205*ReorderWeeks,0),O205)))))</f>
        <v>0</v>
      </c>
      <c r="AB205" s="26">
        <f>IF(B205="","",ROUND(V205*IF(H205="",0,H205),2))</f>
        <v>0</v>
      </c>
      <c r="AC205" s="26">
        <f>IF(B205="","",ROUND(V205*IF(I205="",0,I205),2))</f>
        <v>0</v>
      </c>
      <c r="AD205" s="27">
        <f>IF(B205="","",IF(IF(I205="",0,I205)=0,"",(I205-IF(H205="",0,H205))/I205))</f>
        <v>0</v>
      </c>
      <c r="AE205" s="26">
        <f>IF(B205="","",IF(H205="","",H205*RetailMarkup))</f>
        <v>0</v>
      </c>
      <c r="AF205" s="26">
        <f>IF(B205="","",IF(AE205="","",ROUND(IF(RoundingRule="None",AE205,IF(RoundingRule="Nearest 0.99",MAX(0.99,CEILING(AE205,1)-0.01),IF(RoundingRule="Nearest 0.95",MAX(0.95,CEILING(AE205,1)-0.05),IF(RoundingRule="Nearest 0.50",CEILING(AE205,0.5),IF(RoundingRule="Nearest 1",CEILING(AE205,1),IF(RoundingRule="Nearest 5",CEILING(AE205,5),IF(RoundingRule="Up to whole 1",CEILING(AE205,1),IF(RoundingRule="Up to whole 5",CEILING(AE205,5),ROUND(AE205,2))))))))),2)))</f>
        <v>0</v>
      </c>
      <c r="AG205" s="26">
        <f>IF(B205="","",ROUND(SUMIFS(Sales!$Y$5:$Y$1204,Sales!$I$5:$I$1204,A205,Sales!$H$5:$H$1204,"Retail"),2))</f>
        <v>0</v>
      </c>
      <c r="AH205" s="26">
        <f>IF(B205="","",ROUND(AG205-U205*IF(H205="",0,H205),2))</f>
        <v>0</v>
      </c>
      <c r="AI205" s="25">
        <f>IF(B205="","",COUNTIFS($AG$5:$AG$304,"&gt;"&amp;AG205)+COUNTIFS($AG$5:AG205,AG205))</f>
        <v>0</v>
      </c>
      <c r="AJ205" s="39">
        <f>IF(B205="","",IF(H205="","Add - no cost, no stock value",IF(Z205="Out of stock","Out of stock - order today",IF(Z205="Low stock","Order - running low",IF(IF(Q205="",FALSE,Q205&lt;=TodayDate+30),"Check - expiring within a month",IF(IF(R205="Yes",AD205&lt;0.25,FALSE),"Below - thin margin for a retail line",IF(IF(P205="",TRUE,TodayDate-P205&gt;90),"Due - not counted in three months","OK")))))))</f>
        <v>0</v>
      </c>
    </row>
    <row r="206" spans="1:36">
      <c r="A206" s="28">
        <f>IF(B206="","",ProductPrefix&amp;TEXT(ROW()-4,"000"))</f>
        <v>0</v>
      </c>
      <c r="T206" s="37">
        <f>IF(B206="","",ROUND(SUMIFS(Purchases!$U$5:$U$304,Purchases!$D$5:$D$304,A206),2))</f>
        <v>0</v>
      </c>
      <c r="U206" s="37">
        <f>IF(B206="","",ROUND(SUMIFS(Sales!$T$5:$T$1204,Sales!$I$5:$I$1204,A206,Sales!$H$5:$H$1204,"Retail"),2))</f>
        <v>0</v>
      </c>
      <c r="V206" s="37">
        <f>IF(B206="","",ROUND(IF(J206="",0,J206)+T206-IF(K206="",0,K206)-U206-IF(L206="",0,L206)+IF(M206="",0,M206),2))</f>
        <v>0</v>
      </c>
      <c r="W206" s="37">
        <f>IF(B206="","",ROUND((U206+IF(K206="",0,K206))/MAX(4,TrackingWeeks),2))</f>
        <v>0</v>
      </c>
      <c r="X206" s="37">
        <f>IF(B206="","",IF(W206&lt;=0,"",ROUND(V206/W206,1)))</f>
        <v>0</v>
      </c>
      <c r="Y206" s="37">
        <f>IF(B206="","",IF(N206&lt;&gt;"",N206,ROUND(W206*StockWarningWeeks,1)))</f>
        <v>0</v>
      </c>
      <c r="Z206" s="39">
        <f>IF(B206="","",IF(V206&lt;=0,"Out of stock",IF(V206&lt;=Y206,"Low stock",IF(R206="No","Backbar","In stock"))))</f>
        <v>0</v>
      </c>
      <c r="AA206" s="37">
        <f>IF(B206="","",IF(Z206="In stock","",IF(Z206="Backbar",IF(V206&lt;=Y206,MAX(1,IF(O206="",ROUND(W206*ReorderWeeks,0),O206)),""),MAX(1,IF(O206="",ROUND(W206*ReorderWeeks,0),O206)))))</f>
        <v>0</v>
      </c>
      <c r="AB206" s="26">
        <f>IF(B206="","",ROUND(V206*IF(H206="",0,H206),2))</f>
        <v>0</v>
      </c>
      <c r="AC206" s="26">
        <f>IF(B206="","",ROUND(V206*IF(I206="",0,I206),2))</f>
        <v>0</v>
      </c>
      <c r="AD206" s="27">
        <f>IF(B206="","",IF(IF(I206="",0,I206)=0,"",(I206-IF(H206="",0,H206))/I206))</f>
        <v>0</v>
      </c>
      <c r="AE206" s="26">
        <f>IF(B206="","",IF(H206="","",H206*RetailMarkup))</f>
        <v>0</v>
      </c>
      <c r="AF206" s="26">
        <f>IF(B206="","",IF(AE206="","",ROUND(IF(RoundingRule="None",AE206,IF(RoundingRule="Nearest 0.99",MAX(0.99,CEILING(AE206,1)-0.01),IF(RoundingRule="Nearest 0.95",MAX(0.95,CEILING(AE206,1)-0.05),IF(RoundingRule="Nearest 0.50",CEILING(AE206,0.5),IF(RoundingRule="Nearest 1",CEILING(AE206,1),IF(RoundingRule="Nearest 5",CEILING(AE206,5),IF(RoundingRule="Up to whole 1",CEILING(AE206,1),IF(RoundingRule="Up to whole 5",CEILING(AE206,5),ROUND(AE206,2))))))))),2)))</f>
        <v>0</v>
      </c>
      <c r="AG206" s="26">
        <f>IF(B206="","",ROUND(SUMIFS(Sales!$Y$5:$Y$1204,Sales!$I$5:$I$1204,A206,Sales!$H$5:$H$1204,"Retail"),2))</f>
        <v>0</v>
      </c>
      <c r="AH206" s="26">
        <f>IF(B206="","",ROUND(AG206-U206*IF(H206="",0,H206),2))</f>
        <v>0</v>
      </c>
      <c r="AI206" s="25">
        <f>IF(B206="","",COUNTIFS($AG$5:$AG$304,"&gt;"&amp;AG206)+COUNTIFS($AG$5:AG206,AG206))</f>
        <v>0</v>
      </c>
      <c r="AJ206" s="39">
        <f>IF(B206="","",IF(H206="","Add - no cost, no stock value",IF(Z206="Out of stock","Out of stock - order today",IF(Z206="Low stock","Order - running low",IF(IF(Q206="",FALSE,Q206&lt;=TodayDate+30),"Check - expiring within a month",IF(IF(R206="Yes",AD206&lt;0.25,FALSE),"Below - thin margin for a retail line",IF(IF(P206="",TRUE,TodayDate-P206&gt;90),"Due - not counted in three months","OK")))))))</f>
        <v>0</v>
      </c>
    </row>
    <row r="207" spans="1:36">
      <c r="A207" s="28">
        <f>IF(B207="","",ProductPrefix&amp;TEXT(ROW()-4,"000"))</f>
        <v>0</v>
      </c>
      <c r="T207" s="37">
        <f>IF(B207="","",ROUND(SUMIFS(Purchases!$U$5:$U$304,Purchases!$D$5:$D$304,A207),2))</f>
        <v>0</v>
      </c>
      <c r="U207" s="37">
        <f>IF(B207="","",ROUND(SUMIFS(Sales!$T$5:$T$1204,Sales!$I$5:$I$1204,A207,Sales!$H$5:$H$1204,"Retail"),2))</f>
        <v>0</v>
      </c>
      <c r="V207" s="37">
        <f>IF(B207="","",ROUND(IF(J207="",0,J207)+T207-IF(K207="",0,K207)-U207-IF(L207="",0,L207)+IF(M207="",0,M207),2))</f>
        <v>0</v>
      </c>
      <c r="W207" s="37">
        <f>IF(B207="","",ROUND((U207+IF(K207="",0,K207))/MAX(4,TrackingWeeks),2))</f>
        <v>0</v>
      </c>
      <c r="X207" s="37">
        <f>IF(B207="","",IF(W207&lt;=0,"",ROUND(V207/W207,1)))</f>
        <v>0</v>
      </c>
      <c r="Y207" s="37">
        <f>IF(B207="","",IF(N207&lt;&gt;"",N207,ROUND(W207*StockWarningWeeks,1)))</f>
        <v>0</v>
      </c>
      <c r="Z207" s="39">
        <f>IF(B207="","",IF(V207&lt;=0,"Out of stock",IF(V207&lt;=Y207,"Low stock",IF(R207="No","Backbar","In stock"))))</f>
        <v>0</v>
      </c>
      <c r="AA207" s="37">
        <f>IF(B207="","",IF(Z207="In stock","",IF(Z207="Backbar",IF(V207&lt;=Y207,MAX(1,IF(O207="",ROUND(W207*ReorderWeeks,0),O207)),""),MAX(1,IF(O207="",ROUND(W207*ReorderWeeks,0),O207)))))</f>
        <v>0</v>
      </c>
      <c r="AB207" s="26">
        <f>IF(B207="","",ROUND(V207*IF(H207="",0,H207),2))</f>
        <v>0</v>
      </c>
      <c r="AC207" s="26">
        <f>IF(B207="","",ROUND(V207*IF(I207="",0,I207),2))</f>
        <v>0</v>
      </c>
      <c r="AD207" s="27">
        <f>IF(B207="","",IF(IF(I207="",0,I207)=0,"",(I207-IF(H207="",0,H207))/I207))</f>
        <v>0</v>
      </c>
      <c r="AE207" s="26">
        <f>IF(B207="","",IF(H207="","",H207*RetailMarkup))</f>
        <v>0</v>
      </c>
      <c r="AF207" s="26">
        <f>IF(B207="","",IF(AE207="","",ROUND(IF(RoundingRule="None",AE207,IF(RoundingRule="Nearest 0.99",MAX(0.99,CEILING(AE207,1)-0.01),IF(RoundingRule="Nearest 0.95",MAX(0.95,CEILING(AE207,1)-0.05),IF(RoundingRule="Nearest 0.50",CEILING(AE207,0.5),IF(RoundingRule="Nearest 1",CEILING(AE207,1),IF(RoundingRule="Nearest 5",CEILING(AE207,5),IF(RoundingRule="Up to whole 1",CEILING(AE207,1),IF(RoundingRule="Up to whole 5",CEILING(AE207,5),ROUND(AE207,2))))))))),2)))</f>
        <v>0</v>
      </c>
      <c r="AG207" s="26">
        <f>IF(B207="","",ROUND(SUMIFS(Sales!$Y$5:$Y$1204,Sales!$I$5:$I$1204,A207,Sales!$H$5:$H$1204,"Retail"),2))</f>
        <v>0</v>
      </c>
      <c r="AH207" s="26">
        <f>IF(B207="","",ROUND(AG207-U207*IF(H207="",0,H207),2))</f>
        <v>0</v>
      </c>
      <c r="AI207" s="25">
        <f>IF(B207="","",COUNTIFS($AG$5:$AG$304,"&gt;"&amp;AG207)+COUNTIFS($AG$5:AG207,AG207))</f>
        <v>0</v>
      </c>
      <c r="AJ207" s="39">
        <f>IF(B207="","",IF(H207="","Add - no cost, no stock value",IF(Z207="Out of stock","Out of stock - order today",IF(Z207="Low stock","Order - running low",IF(IF(Q207="",FALSE,Q207&lt;=TodayDate+30),"Check - expiring within a month",IF(IF(R207="Yes",AD207&lt;0.25,FALSE),"Below - thin margin for a retail line",IF(IF(P207="",TRUE,TodayDate-P207&gt;90),"Due - not counted in three months","OK")))))))</f>
        <v>0</v>
      </c>
    </row>
    <row r="208" spans="1:36">
      <c r="A208" s="28">
        <f>IF(B208="","",ProductPrefix&amp;TEXT(ROW()-4,"000"))</f>
        <v>0</v>
      </c>
      <c r="T208" s="37">
        <f>IF(B208="","",ROUND(SUMIFS(Purchases!$U$5:$U$304,Purchases!$D$5:$D$304,A208),2))</f>
        <v>0</v>
      </c>
      <c r="U208" s="37">
        <f>IF(B208="","",ROUND(SUMIFS(Sales!$T$5:$T$1204,Sales!$I$5:$I$1204,A208,Sales!$H$5:$H$1204,"Retail"),2))</f>
        <v>0</v>
      </c>
      <c r="V208" s="37">
        <f>IF(B208="","",ROUND(IF(J208="",0,J208)+T208-IF(K208="",0,K208)-U208-IF(L208="",0,L208)+IF(M208="",0,M208),2))</f>
        <v>0</v>
      </c>
      <c r="W208" s="37">
        <f>IF(B208="","",ROUND((U208+IF(K208="",0,K208))/MAX(4,TrackingWeeks),2))</f>
        <v>0</v>
      </c>
      <c r="X208" s="37">
        <f>IF(B208="","",IF(W208&lt;=0,"",ROUND(V208/W208,1)))</f>
        <v>0</v>
      </c>
      <c r="Y208" s="37">
        <f>IF(B208="","",IF(N208&lt;&gt;"",N208,ROUND(W208*StockWarningWeeks,1)))</f>
        <v>0</v>
      </c>
      <c r="Z208" s="39">
        <f>IF(B208="","",IF(V208&lt;=0,"Out of stock",IF(V208&lt;=Y208,"Low stock",IF(R208="No","Backbar","In stock"))))</f>
        <v>0</v>
      </c>
      <c r="AA208" s="37">
        <f>IF(B208="","",IF(Z208="In stock","",IF(Z208="Backbar",IF(V208&lt;=Y208,MAX(1,IF(O208="",ROUND(W208*ReorderWeeks,0),O208)),""),MAX(1,IF(O208="",ROUND(W208*ReorderWeeks,0),O208)))))</f>
        <v>0</v>
      </c>
      <c r="AB208" s="26">
        <f>IF(B208="","",ROUND(V208*IF(H208="",0,H208),2))</f>
        <v>0</v>
      </c>
      <c r="AC208" s="26">
        <f>IF(B208="","",ROUND(V208*IF(I208="",0,I208),2))</f>
        <v>0</v>
      </c>
      <c r="AD208" s="27">
        <f>IF(B208="","",IF(IF(I208="",0,I208)=0,"",(I208-IF(H208="",0,H208))/I208))</f>
        <v>0</v>
      </c>
      <c r="AE208" s="26">
        <f>IF(B208="","",IF(H208="","",H208*RetailMarkup))</f>
        <v>0</v>
      </c>
      <c r="AF208" s="26">
        <f>IF(B208="","",IF(AE208="","",ROUND(IF(RoundingRule="None",AE208,IF(RoundingRule="Nearest 0.99",MAX(0.99,CEILING(AE208,1)-0.01),IF(RoundingRule="Nearest 0.95",MAX(0.95,CEILING(AE208,1)-0.05),IF(RoundingRule="Nearest 0.50",CEILING(AE208,0.5),IF(RoundingRule="Nearest 1",CEILING(AE208,1),IF(RoundingRule="Nearest 5",CEILING(AE208,5),IF(RoundingRule="Up to whole 1",CEILING(AE208,1),IF(RoundingRule="Up to whole 5",CEILING(AE208,5),ROUND(AE208,2))))))))),2)))</f>
        <v>0</v>
      </c>
      <c r="AG208" s="26">
        <f>IF(B208="","",ROUND(SUMIFS(Sales!$Y$5:$Y$1204,Sales!$I$5:$I$1204,A208,Sales!$H$5:$H$1204,"Retail"),2))</f>
        <v>0</v>
      </c>
      <c r="AH208" s="26">
        <f>IF(B208="","",ROUND(AG208-U208*IF(H208="",0,H208),2))</f>
        <v>0</v>
      </c>
      <c r="AI208" s="25">
        <f>IF(B208="","",COUNTIFS($AG$5:$AG$304,"&gt;"&amp;AG208)+COUNTIFS($AG$5:AG208,AG208))</f>
        <v>0</v>
      </c>
      <c r="AJ208" s="39">
        <f>IF(B208="","",IF(H208="","Add - no cost, no stock value",IF(Z208="Out of stock","Out of stock - order today",IF(Z208="Low stock","Order - running low",IF(IF(Q208="",FALSE,Q208&lt;=TodayDate+30),"Check - expiring within a month",IF(IF(R208="Yes",AD208&lt;0.25,FALSE),"Below - thin margin for a retail line",IF(IF(P208="",TRUE,TodayDate-P208&gt;90),"Due - not counted in three months","OK")))))))</f>
        <v>0</v>
      </c>
    </row>
    <row r="209" spans="1:36">
      <c r="A209" s="28">
        <f>IF(B209="","",ProductPrefix&amp;TEXT(ROW()-4,"000"))</f>
        <v>0</v>
      </c>
      <c r="T209" s="37">
        <f>IF(B209="","",ROUND(SUMIFS(Purchases!$U$5:$U$304,Purchases!$D$5:$D$304,A209),2))</f>
        <v>0</v>
      </c>
      <c r="U209" s="37">
        <f>IF(B209="","",ROUND(SUMIFS(Sales!$T$5:$T$1204,Sales!$I$5:$I$1204,A209,Sales!$H$5:$H$1204,"Retail"),2))</f>
        <v>0</v>
      </c>
      <c r="V209" s="37">
        <f>IF(B209="","",ROUND(IF(J209="",0,J209)+T209-IF(K209="",0,K209)-U209-IF(L209="",0,L209)+IF(M209="",0,M209),2))</f>
        <v>0</v>
      </c>
      <c r="W209" s="37">
        <f>IF(B209="","",ROUND((U209+IF(K209="",0,K209))/MAX(4,TrackingWeeks),2))</f>
        <v>0</v>
      </c>
      <c r="X209" s="37">
        <f>IF(B209="","",IF(W209&lt;=0,"",ROUND(V209/W209,1)))</f>
        <v>0</v>
      </c>
      <c r="Y209" s="37">
        <f>IF(B209="","",IF(N209&lt;&gt;"",N209,ROUND(W209*StockWarningWeeks,1)))</f>
        <v>0</v>
      </c>
      <c r="Z209" s="39">
        <f>IF(B209="","",IF(V209&lt;=0,"Out of stock",IF(V209&lt;=Y209,"Low stock",IF(R209="No","Backbar","In stock"))))</f>
        <v>0</v>
      </c>
      <c r="AA209" s="37">
        <f>IF(B209="","",IF(Z209="In stock","",IF(Z209="Backbar",IF(V209&lt;=Y209,MAX(1,IF(O209="",ROUND(W209*ReorderWeeks,0),O209)),""),MAX(1,IF(O209="",ROUND(W209*ReorderWeeks,0),O209)))))</f>
        <v>0</v>
      </c>
      <c r="AB209" s="26">
        <f>IF(B209="","",ROUND(V209*IF(H209="",0,H209),2))</f>
        <v>0</v>
      </c>
      <c r="AC209" s="26">
        <f>IF(B209="","",ROUND(V209*IF(I209="",0,I209),2))</f>
        <v>0</v>
      </c>
      <c r="AD209" s="27">
        <f>IF(B209="","",IF(IF(I209="",0,I209)=0,"",(I209-IF(H209="",0,H209))/I209))</f>
        <v>0</v>
      </c>
      <c r="AE209" s="26">
        <f>IF(B209="","",IF(H209="","",H209*RetailMarkup))</f>
        <v>0</v>
      </c>
      <c r="AF209" s="26">
        <f>IF(B209="","",IF(AE209="","",ROUND(IF(RoundingRule="None",AE209,IF(RoundingRule="Nearest 0.99",MAX(0.99,CEILING(AE209,1)-0.01),IF(RoundingRule="Nearest 0.95",MAX(0.95,CEILING(AE209,1)-0.05),IF(RoundingRule="Nearest 0.50",CEILING(AE209,0.5),IF(RoundingRule="Nearest 1",CEILING(AE209,1),IF(RoundingRule="Nearest 5",CEILING(AE209,5),IF(RoundingRule="Up to whole 1",CEILING(AE209,1),IF(RoundingRule="Up to whole 5",CEILING(AE209,5),ROUND(AE209,2))))))))),2)))</f>
        <v>0</v>
      </c>
      <c r="AG209" s="26">
        <f>IF(B209="","",ROUND(SUMIFS(Sales!$Y$5:$Y$1204,Sales!$I$5:$I$1204,A209,Sales!$H$5:$H$1204,"Retail"),2))</f>
        <v>0</v>
      </c>
      <c r="AH209" s="26">
        <f>IF(B209="","",ROUND(AG209-U209*IF(H209="",0,H209),2))</f>
        <v>0</v>
      </c>
      <c r="AI209" s="25">
        <f>IF(B209="","",COUNTIFS($AG$5:$AG$304,"&gt;"&amp;AG209)+COUNTIFS($AG$5:AG209,AG209))</f>
        <v>0</v>
      </c>
      <c r="AJ209" s="39">
        <f>IF(B209="","",IF(H209="","Add - no cost, no stock value",IF(Z209="Out of stock","Out of stock - order today",IF(Z209="Low stock","Order - running low",IF(IF(Q209="",FALSE,Q209&lt;=TodayDate+30),"Check - expiring within a month",IF(IF(R209="Yes",AD209&lt;0.25,FALSE),"Below - thin margin for a retail line",IF(IF(P209="",TRUE,TodayDate-P209&gt;90),"Due - not counted in three months","OK")))))))</f>
        <v>0</v>
      </c>
    </row>
    <row r="210" spans="1:36">
      <c r="A210" s="28">
        <f>IF(B210="","",ProductPrefix&amp;TEXT(ROW()-4,"000"))</f>
        <v>0</v>
      </c>
      <c r="T210" s="37">
        <f>IF(B210="","",ROUND(SUMIFS(Purchases!$U$5:$U$304,Purchases!$D$5:$D$304,A210),2))</f>
        <v>0</v>
      </c>
      <c r="U210" s="37">
        <f>IF(B210="","",ROUND(SUMIFS(Sales!$T$5:$T$1204,Sales!$I$5:$I$1204,A210,Sales!$H$5:$H$1204,"Retail"),2))</f>
        <v>0</v>
      </c>
      <c r="V210" s="37">
        <f>IF(B210="","",ROUND(IF(J210="",0,J210)+T210-IF(K210="",0,K210)-U210-IF(L210="",0,L210)+IF(M210="",0,M210),2))</f>
        <v>0</v>
      </c>
      <c r="W210" s="37">
        <f>IF(B210="","",ROUND((U210+IF(K210="",0,K210))/MAX(4,TrackingWeeks),2))</f>
        <v>0</v>
      </c>
      <c r="X210" s="37">
        <f>IF(B210="","",IF(W210&lt;=0,"",ROUND(V210/W210,1)))</f>
        <v>0</v>
      </c>
      <c r="Y210" s="37">
        <f>IF(B210="","",IF(N210&lt;&gt;"",N210,ROUND(W210*StockWarningWeeks,1)))</f>
        <v>0</v>
      </c>
      <c r="Z210" s="39">
        <f>IF(B210="","",IF(V210&lt;=0,"Out of stock",IF(V210&lt;=Y210,"Low stock",IF(R210="No","Backbar","In stock"))))</f>
        <v>0</v>
      </c>
      <c r="AA210" s="37">
        <f>IF(B210="","",IF(Z210="In stock","",IF(Z210="Backbar",IF(V210&lt;=Y210,MAX(1,IF(O210="",ROUND(W210*ReorderWeeks,0),O210)),""),MAX(1,IF(O210="",ROUND(W210*ReorderWeeks,0),O210)))))</f>
        <v>0</v>
      </c>
      <c r="AB210" s="26">
        <f>IF(B210="","",ROUND(V210*IF(H210="",0,H210),2))</f>
        <v>0</v>
      </c>
      <c r="AC210" s="26">
        <f>IF(B210="","",ROUND(V210*IF(I210="",0,I210),2))</f>
        <v>0</v>
      </c>
      <c r="AD210" s="27">
        <f>IF(B210="","",IF(IF(I210="",0,I210)=0,"",(I210-IF(H210="",0,H210))/I210))</f>
        <v>0</v>
      </c>
      <c r="AE210" s="26">
        <f>IF(B210="","",IF(H210="","",H210*RetailMarkup))</f>
        <v>0</v>
      </c>
      <c r="AF210" s="26">
        <f>IF(B210="","",IF(AE210="","",ROUND(IF(RoundingRule="None",AE210,IF(RoundingRule="Nearest 0.99",MAX(0.99,CEILING(AE210,1)-0.01),IF(RoundingRule="Nearest 0.95",MAX(0.95,CEILING(AE210,1)-0.05),IF(RoundingRule="Nearest 0.50",CEILING(AE210,0.5),IF(RoundingRule="Nearest 1",CEILING(AE210,1),IF(RoundingRule="Nearest 5",CEILING(AE210,5),IF(RoundingRule="Up to whole 1",CEILING(AE210,1),IF(RoundingRule="Up to whole 5",CEILING(AE210,5),ROUND(AE210,2))))))))),2)))</f>
        <v>0</v>
      </c>
      <c r="AG210" s="26">
        <f>IF(B210="","",ROUND(SUMIFS(Sales!$Y$5:$Y$1204,Sales!$I$5:$I$1204,A210,Sales!$H$5:$H$1204,"Retail"),2))</f>
        <v>0</v>
      </c>
      <c r="AH210" s="26">
        <f>IF(B210="","",ROUND(AG210-U210*IF(H210="",0,H210),2))</f>
        <v>0</v>
      </c>
      <c r="AI210" s="25">
        <f>IF(B210="","",COUNTIFS($AG$5:$AG$304,"&gt;"&amp;AG210)+COUNTIFS($AG$5:AG210,AG210))</f>
        <v>0</v>
      </c>
      <c r="AJ210" s="39">
        <f>IF(B210="","",IF(H210="","Add - no cost, no stock value",IF(Z210="Out of stock","Out of stock - order today",IF(Z210="Low stock","Order - running low",IF(IF(Q210="",FALSE,Q210&lt;=TodayDate+30),"Check - expiring within a month",IF(IF(R210="Yes",AD210&lt;0.25,FALSE),"Below - thin margin for a retail line",IF(IF(P210="",TRUE,TodayDate-P210&gt;90),"Due - not counted in three months","OK")))))))</f>
        <v>0</v>
      </c>
    </row>
    <row r="211" spans="1:36">
      <c r="A211" s="28">
        <f>IF(B211="","",ProductPrefix&amp;TEXT(ROW()-4,"000"))</f>
        <v>0</v>
      </c>
      <c r="T211" s="37">
        <f>IF(B211="","",ROUND(SUMIFS(Purchases!$U$5:$U$304,Purchases!$D$5:$D$304,A211),2))</f>
        <v>0</v>
      </c>
      <c r="U211" s="37">
        <f>IF(B211="","",ROUND(SUMIFS(Sales!$T$5:$T$1204,Sales!$I$5:$I$1204,A211,Sales!$H$5:$H$1204,"Retail"),2))</f>
        <v>0</v>
      </c>
      <c r="V211" s="37">
        <f>IF(B211="","",ROUND(IF(J211="",0,J211)+T211-IF(K211="",0,K211)-U211-IF(L211="",0,L211)+IF(M211="",0,M211),2))</f>
        <v>0</v>
      </c>
      <c r="W211" s="37">
        <f>IF(B211="","",ROUND((U211+IF(K211="",0,K211))/MAX(4,TrackingWeeks),2))</f>
        <v>0</v>
      </c>
      <c r="X211" s="37">
        <f>IF(B211="","",IF(W211&lt;=0,"",ROUND(V211/W211,1)))</f>
        <v>0</v>
      </c>
      <c r="Y211" s="37">
        <f>IF(B211="","",IF(N211&lt;&gt;"",N211,ROUND(W211*StockWarningWeeks,1)))</f>
        <v>0</v>
      </c>
      <c r="Z211" s="39">
        <f>IF(B211="","",IF(V211&lt;=0,"Out of stock",IF(V211&lt;=Y211,"Low stock",IF(R211="No","Backbar","In stock"))))</f>
        <v>0</v>
      </c>
      <c r="AA211" s="37">
        <f>IF(B211="","",IF(Z211="In stock","",IF(Z211="Backbar",IF(V211&lt;=Y211,MAX(1,IF(O211="",ROUND(W211*ReorderWeeks,0),O211)),""),MAX(1,IF(O211="",ROUND(W211*ReorderWeeks,0),O211)))))</f>
        <v>0</v>
      </c>
      <c r="AB211" s="26">
        <f>IF(B211="","",ROUND(V211*IF(H211="",0,H211),2))</f>
        <v>0</v>
      </c>
      <c r="AC211" s="26">
        <f>IF(B211="","",ROUND(V211*IF(I211="",0,I211),2))</f>
        <v>0</v>
      </c>
      <c r="AD211" s="27">
        <f>IF(B211="","",IF(IF(I211="",0,I211)=0,"",(I211-IF(H211="",0,H211))/I211))</f>
        <v>0</v>
      </c>
      <c r="AE211" s="26">
        <f>IF(B211="","",IF(H211="","",H211*RetailMarkup))</f>
        <v>0</v>
      </c>
      <c r="AF211" s="26">
        <f>IF(B211="","",IF(AE211="","",ROUND(IF(RoundingRule="None",AE211,IF(RoundingRule="Nearest 0.99",MAX(0.99,CEILING(AE211,1)-0.01),IF(RoundingRule="Nearest 0.95",MAX(0.95,CEILING(AE211,1)-0.05),IF(RoundingRule="Nearest 0.50",CEILING(AE211,0.5),IF(RoundingRule="Nearest 1",CEILING(AE211,1),IF(RoundingRule="Nearest 5",CEILING(AE211,5),IF(RoundingRule="Up to whole 1",CEILING(AE211,1),IF(RoundingRule="Up to whole 5",CEILING(AE211,5),ROUND(AE211,2))))))))),2)))</f>
        <v>0</v>
      </c>
      <c r="AG211" s="26">
        <f>IF(B211="","",ROUND(SUMIFS(Sales!$Y$5:$Y$1204,Sales!$I$5:$I$1204,A211,Sales!$H$5:$H$1204,"Retail"),2))</f>
        <v>0</v>
      </c>
      <c r="AH211" s="26">
        <f>IF(B211="","",ROUND(AG211-U211*IF(H211="",0,H211),2))</f>
        <v>0</v>
      </c>
      <c r="AI211" s="25">
        <f>IF(B211="","",COUNTIFS($AG$5:$AG$304,"&gt;"&amp;AG211)+COUNTIFS($AG$5:AG211,AG211))</f>
        <v>0</v>
      </c>
      <c r="AJ211" s="39">
        <f>IF(B211="","",IF(H211="","Add - no cost, no stock value",IF(Z211="Out of stock","Out of stock - order today",IF(Z211="Low stock","Order - running low",IF(IF(Q211="",FALSE,Q211&lt;=TodayDate+30),"Check - expiring within a month",IF(IF(R211="Yes",AD211&lt;0.25,FALSE),"Below - thin margin for a retail line",IF(IF(P211="",TRUE,TodayDate-P211&gt;90),"Due - not counted in three months","OK")))))))</f>
        <v>0</v>
      </c>
    </row>
    <row r="212" spans="1:36">
      <c r="A212" s="28">
        <f>IF(B212="","",ProductPrefix&amp;TEXT(ROW()-4,"000"))</f>
        <v>0</v>
      </c>
      <c r="T212" s="37">
        <f>IF(B212="","",ROUND(SUMIFS(Purchases!$U$5:$U$304,Purchases!$D$5:$D$304,A212),2))</f>
        <v>0</v>
      </c>
      <c r="U212" s="37">
        <f>IF(B212="","",ROUND(SUMIFS(Sales!$T$5:$T$1204,Sales!$I$5:$I$1204,A212,Sales!$H$5:$H$1204,"Retail"),2))</f>
        <v>0</v>
      </c>
      <c r="V212" s="37">
        <f>IF(B212="","",ROUND(IF(J212="",0,J212)+T212-IF(K212="",0,K212)-U212-IF(L212="",0,L212)+IF(M212="",0,M212),2))</f>
        <v>0</v>
      </c>
      <c r="W212" s="37">
        <f>IF(B212="","",ROUND((U212+IF(K212="",0,K212))/MAX(4,TrackingWeeks),2))</f>
        <v>0</v>
      </c>
      <c r="X212" s="37">
        <f>IF(B212="","",IF(W212&lt;=0,"",ROUND(V212/W212,1)))</f>
        <v>0</v>
      </c>
      <c r="Y212" s="37">
        <f>IF(B212="","",IF(N212&lt;&gt;"",N212,ROUND(W212*StockWarningWeeks,1)))</f>
        <v>0</v>
      </c>
      <c r="Z212" s="39">
        <f>IF(B212="","",IF(V212&lt;=0,"Out of stock",IF(V212&lt;=Y212,"Low stock",IF(R212="No","Backbar","In stock"))))</f>
        <v>0</v>
      </c>
      <c r="AA212" s="37">
        <f>IF(B212="","",IF(Z212="In stock","",IF(Z212="Backbar",IF(V212&lt;=Y212,MAX(1,IF(O212="",ROUND(W212*ReorderWeeks,0),O212)),""),MAX(1,IF(O212="",ROUND(W212*ReorderWeeks,0),O212)))))</f>
        <v>0</v>
      </c>
      <c r="AB212" s="26">
        <f>IF(B212="","",ROUND(V212*IF(H212="",0,H212),2))</f>
        <v>0</v>
      </c>
      <c r="AC212" s="26">
        <f>IF(B212="","",ROUND(V212*IF(I212="",0,I212),2))</f>
        <v>0</v>
      </c>
      <c r="AD212" s="27">
        <f>IF(B212="","",IF(IF(I212="",0,I212)=0,"",(I212-IF(H212="",0,H212))/I212))</f>
        <v>0</v>
      </c>
      <c r="AE212" s="26">
        <f>IF(B212="","",IF(H212="","",H212*RetailMarkup))</f>
        <v>0</v>
      </c>
      <c r="AF212" s="26">
        <f>IF(B212="","",IF(AE212="","",ROUND(IF(RoundingRule="None",AE212,IF(RoundingRule="Nearest 0.99",MAX(0.99,CEILING(AE212,1)-0.01),IF(RoundingRule="Nearest 0.95",MAX(0.95,CEILING(AE212,1)-0.05),IF(RoundingRule="Nearest 0.50",CEILING(AE212,0.5),IF(RoundingRule="Nearest 1",CEILING(AE212,1),IF(RoundingRule="Nearest 5",CEILING(AE212,5),IF(RoundingRule="Up to whole 1",CEILING(AE212,1),IF(RoundingRule="Up to whole 5",CEILING(AE212,5),ROUND(AE212,2))))))))),2)))</f>
        <v>0</v>
      </c>
      <c r="AG212" s="26">
        <f>IF(B212="","",ROUND(SUMIFS(Sales!$Y$5:$Y$1204,Sales!$I$5:$I$1204,A212,Sales!$H$5:$H$1204,"Retail"),2))</f>
        <v>0</v>
      </c>
      <c r="AH212" s="26">
        <f>IF(B212="","",ROUND(AG212-U212*IF(H212="",0,H212),2))</f>
        <v>0</v>
      </c>
      <c r="AI212" s="25">
        <f>IF(B212="","",COUNTIFS($AG$5:$AG$304,"&gt;"&amp;AG212)+COUNTIFS($AG$5:AG212,AG212))</f>
        <v>0</v>
      </c>
      <c r="AJ212" s="39">
        <f>IF(B212="","",IF(H212="","Add - no cost, no stock value",IF(Z212="Out of stock","Out of stock - order today",IF(Z212="Low stock","Order - running low",IF(IF(Q212="",FALSE,Q212&lt;=TodayDate+30),"Check - expiring within a month",IF(IF(R212="Yes",AD212&lt;0.25,FALSE),"Below - thin margin for a retail line",IF(IF(P212="",TRUE,TodayDate-P212&gt;90),"Due - not counted in three months","OK")))))))</f>
        <v>0</v>
      </c>
    </row>
    <row r="213" spans="1:36">
      <c r="A213" s="28">
        <f>IF(B213="","",ProductPrefix&amp;TEXT(ROW()-4,"000"))</f>
        <v>0</v>
      </c>
      <c r="T213" s="37">
        <f>IF(B213="","",ROUND(SUMIFS(Purchases!$U$5:$U$304,Purchases!$D$5:$D$304,A213),2))</f>
        <v>0</v>
      </c>
      <c r="U213" s="37">
        <f>IF(B213="","",ROUND(SUMIFS(Sales!$T$5:$T$1204,Sales!$I$5:$I$1204,A213,Sales!$H$5:$H$1204,"Retail"),2))</f>
        <v>0</v>
      </c>
      <c r="V213" s="37">
        <f>IF(B213="","",ROUND(IF(J213="",0,J213)+T213-IF(K213="",0,K213)-U213-IF(L213="",0,L213)+IF(M213="",0,M213),2))</f>
        <v>0</v>
      </c>
      <c r="W213" s="37">
        <f>IF(B213="","",ROUND((U213+IF(K213="",0,K213))/MAX(4,TrackingWeeks),2))</f>
        <v>0</v>
      </c>
      <c r="X213" s="37">
        <f>IF(B213="","",IF(W213&lt;=0,"",ROUND(V213/W213,1)))</f>
        <v>0</v>
      </c>
      <c r="Y213" s="37">
        <f>IF(B213="","",IF(N213&lt;&gt;"",N213,ROUND(W213*StockWarningWeeks,1)))</f>
        <v>0</v>
      </c>
      <c r="Z213" s="39">
        <f>IF(B213="","",IF(V213&lt;=0,"Out of stock",IF(V213&lt;=Y213,"Low stock",IF(R213="No","Backbar","In stock"))))</f>
        <v>0</v>
      </c>
      <c r="AA213" s="37">
        <f>IF(B213="","",IF(Z213="In stock","",IF(Z213="Backbar",IF(V213&lt;=Y213,MAX(1,IF(O213="",ROUND(W213*ReorderWeeks,0),O213)),""),MAX(1,IF(O213="",ROUND(W213*ReorderWeeks,0),O213)))))</f>
        <v>0</v>
      </c>
      <c r="AB213" s="26">
        <f>IF(B213="","",ROUND(V213*IF(H213="",0,H213),2))</f>
        <v>0</v>
      </c>
      <c r="AC213" s="26">
        <f>IF(B213="","",ROUND(V213*IF(I213="",0,I213),2))</f>
        <v>0</v>
      </c>
      <c r="AD213" s="27">
        <f>IF(B213="","",IF(IF(I213="",0,I213)=0,"",(I213-IF(H213="",0,H213))/I213))</f>
        <v>0</v>
      </c>
      <c r="AE213" s="26">
        <f>IF(B213="","",IF(H213="","",H213*RetailMarkup))</f>
        <v>0</v>
      </c>
      <c r="AF213" s="26">
        <f>IF(B213="","",IF(AE213="","",ROUND(IF(RoundingRule="None",AE213,IF(RoundingRule="Nearest 0.99",MAX(0.99,CEILING(AE213,1)-0.01),IF(RoundingRule="Nearest 0.95",MAX(0.95,CEILING(AE213,1)-0.05),IF(RoundingRule="Nearest 0.50",CEILING(AE213,0.5),IF(RoundingRule="Nearest 1",CEILING(AE213,1),IF(RoundingRule="Nearest 5",CEILING(AE213,5),IF(RoundingRule="Up to whole 1",CEILING(AE213,1),IF(RoundingRule="Up to whole 5",CEILING(AE213,5),ROUND(AE213,2))))))))),2)))</f>
        <v>0</v>
      </c>
      <c r="AG213" s="26">
        <f>IF(B213="","",ROUND(SUMIFS(Sales!$Y$5:$Y$1204,Sales!$I$5:$I$1204,A213,Sales!$H$5:$H$1204,"Retail"),2))</f>
        <v>0</v>
      </c>
      <c r="AH213" s="26">
        <f>IF(B213="","",ROUND(AG213-U213*IF(H213="",0,H213),2))</f>
        <v>0</v>
      </c>
      <c r="AI213" s="25">
        <f>IF(B213="","",COUNTIFS($AG$5:$AG$304,"&gt;"&amp;AG213)+COUNTIFS($AG$5:AG213,AG213))</f>
        <v>0</v>
      </c>
      <c r="AJ213" s="39">
        <f>IF(B213="","",IF(H213="","Add - no cost, no stock value",IF(Z213="Out of stock","Out of stock - order today",IF(Z213="Low stock","Order - running low",IF(IF(Q213="",FALSE,Q213&lt;=TodayDate+30),"Check - expiring within a month",IF(IF(R213="Yes",AD213&lt;0.25,FALSE),"Below - thin margin for a retail line",IF(IF(P213="",TRUE,TodayDate-P213&gt;90),"Due - not counted in three months","OK")))))))</f>
        <v>0</v>
      </c>
    </row>
    <row r="214" spans="1:36">
      <c r="A214" s="28">
        <f>IF(B214="","",ProductPrefix&amp;TEXT(ROW()-4,"000"))</f>
        <v>0</v>
      </c>
      <c r="T214" s="37">
        <f>IF(B214="","",ROUND(SUMIFS(Purchases!$U$5:$U$304,Purchases!$D$5:$D$304,A214),2))</f>
        <v>0</v>
      </c>
      <c r="U214" s="37">
        <f>IF(B214="","",ROUND(SUMIFS(Sales!$T$5:$T$1204,Sales!$I$5:$I$1204,A214,Sales!$H$5:$H$1204,"Retail"),2))</f>
        <v>0</v>
      </c>
      <c r="V214" s="37">
        <f>IF(B214="","",ROUND(IF(J214="",0,J214)+T214-IF(K214="",0,K214)-U214-IF(L214="",0,L214)+IF(M214="",0,M214),2))</f>
        <v>0</v>
      </c>
      <c r="W214" s="37">
        <f>IF(B214="","",ROUND((U214+IF(K214="",0,K214))/MAX(4,TrackingWeeks),2))</f>
        <v>0</v>
      </c>
      <c r="X214" s="37">
        <f>IF(B214="","",IF(W214&lt;=0,"",ROUND(V214/W214,1)))</f>
        <v>0</v>
      </c>
      <c r="Y214" s="37">
        <f>IF(B214="","",IF(N214&lt;&gt;"",N214,ROUND(W214*StockWarningWeeks,1)))</f>
        <v>0</v>
      </c>
      <c r="Z214" s="39">
        <f>IF(B214="","",IF(V214&lt;=0,"Out of stock",IF(V214&lt;=Y214,"Low stock",IF(R214="No","Backbar","In stock"))))</f>
        <v>0</v>
      </c>
      <c r="AA214" s="37">
        <f>IF(B214="","",IF(Z214="In stock","",IF(Z214="Backbar",IF(V214&lt;=Y214,MAX(1,IF(O214="",ROUND(W214*ReorderWeeks,0),O214)),""),MAX(1,IF(O214="",ROUND(W214*ReorderWeeks,0),O214)))))</f>
        <v>0</v>
      </c>
      <c r="AB214" s="26">
        <f>IF(B214="","",ROUND(V214*IF(H214="",0,H214),2))</f>
        <v>0</v>
      </c>
      <c r="AC214" s="26">
        <f>IF(B214="","",ROUND(V214*IF(I214="",0,I214),2))</f>
        <v>0</v>
      </c>
      <c r="AD214" s="27">
        <f>IF(B214="","",IF(IF(I214="",0,I214)=0,"",(I214-IF(H214="",0,H214))/I214))</f>
        <v>0</v>
      </c>
      <c r="AE214" s="26">
        <f>IF(B214="","",IF(H214="","",H214*RetailMarkup))</f>
        <v>0</v>
      </c>
      <c r="AF214" s="26">
        <f>IF(B214="","",IF(AE214="","",ROUND(IF(RoundingRule="None",AE214,IF(RoundingRule="Nearest 0.99",MAX(0.99,CEILING(AE214,1)-0.01),IF(RoundingRule="Nearest 0.95",MAX(0.95,CEILING(AE214,1)-0.05),IF(RoundingRule="Nearest 0.50",CEILING(AE214,0.5),IF(RoundingRule="Nearest 1",CEILING(AE214,1),IF(RoundingRule="Nearest 5",CEILING(AE214,5),IF(RoundingRule="Up to whole 1",CEILING(AE214,1),IF(RoundingRule="Up to whole 5",CEILING(AE214,5),ROUND(AE214,2))))))))),2)))</f>
        <v>0</v>
      </c>
      <c r="AG214" s="26">
        <f>IF(B214="","",ROUND(SUMIFS(Sales!$Y$5:$Y$1204,Sales!$I$5:$I$1204,A214,Sales!$H$5:$H$1204,"Retail"),2))</f>
        <v>0</v>
      </c>
      <c r="AH214" s="26">
        <f>IF(B214="","",ROUND(AG214-U214*IF(H214="",0,H214),2))</f>
        <v>0</v>
      </c>
      <c r="AI214" s="25">
        <f>IF(B214="","",COUNTIFS($AG$5:$AG$304,"&gt;"&amp;AG214)+COUNTIFS($AG$5:AG214,AG214))</f>
        <v>0</v>
      </c>
      <c r="AJ214" s="39">
        <f>IF(B214="","",IF(H214="","Add - no cost, no stock value",IF(Z214="Out of stock","Out of stock - order today",IF(Z214="Low stock","Order - running low",IF(IF(Q214="",FALSE,Q214&lt;=TodayDate+30),"Check - expiring within a month",IF(IF(R214="Yes",AD214&lt;0.25,FALSE),"Below - thin margin for a retail line",IF(IF(P214="",TRUE,TodayDate-P214&gt;90),"Due - not counted in three months","OK")))))))</f>
        <v>0</v>
      </c>
    </row>
    <row r="215" spans="1:36">
      <c r="A215" s="28">
        <f>IF(B215="","",ProductPrefix&amp;TEXT(ROW()-4,"000"))</f>
        <v>0</v>
      </c>
      <c r="T215" s="37">
        <f>IF(B215="","",ROUND(SUMIFS(Purchases!$U$5:$U$304,Purchases!$D$5:$D$304,A215),2))</f>
        <v>0</v>
      </c>
      <c r="U215" s="37">
        <f>IF(B215="","",ROUND(SUMIFS(Sales!$T$5:$T$1204,Sales!$I$5:$I$1204,A215,Sales!$H$5:$H$1204,"Retail"),2))</f>
        <v>0</v>
      </c>
      <c r="V215" s="37">
        <f>IF(B215="","",ROUND(IF(J215="",0,J215)+T215-IF(K215="",0,K215)-U215-IF(L215="",0,L215)+IF(M215="",0,M215),2))</f>
        <v>0</v>
      </c>
      <c r="W215" s="37">
        <f>IF(B215="","",ROUND((U215+IF(K215="",0,K215))/MAX(4,TrackingWeeks),2))</f>
        <v>0</v>
      </c>
      <c r="X215" s="37">
        <f>IF(B215="","",IF(W215&lt;=0,"",ROUND(V215/W215,1)))</f>
        <v>0</v>
      </c>
      <c r="Y215" s="37">
        <f>IF(B215="","",IF(N215&lt;&gt;"",N215,ROUND(W215*StockWarningWeeks,1)))</f>
        <v>0</v>
      </c>
      <c r="Z215" s="39">
        <f>IF(B215="","",IF(V215&lt;=0,"Out of stock",IF(V215&lt;=Y215,"Low stock",IF(R215="No","Backbar","In stock"))))</f>
        <v>0</v>
      </c>
      <c r="AA215" s="37">
        <f>IF(B215="","",IF(Z215="In stock","",IF(Z215="Backbar",IF(V215&lt;=Y215,MAX(1,IF(O215="",ROUND(W215*ReorderWeeks,0),O215)),""),MAX(1,IF(O215="",ROUND(W215*ReorderWeeks,0),O215)))))</f>
        <v>0</v>
      </c>
      <c r="AB215" s="26">
        <f>IF(B215="","",ROUND(V215*IF(H215="",0,H215),2))</f>
        <v>0</v>
      </c>
      <c r="AC215" s="26">
        <f>IF(B215="","",ROUND(V215*IF(I215="",0,I215),2))</f>
        <v>0</v>
      </c>
      <c r="AD215" s="27">
        <f>IF(B215="","",IF(IF(I215="",0,I215)=0,"",(I215-IF(H215="",0,H215))/I215))</f>
        <v>0</v>
      </c>
      <c r="AE215" s="26">
        <f>IF(B215="","",IF(H215="","",H215*RetailMarkup))</f>
        <v>0</v>
      </c>
      <c r="AF215" s="26">
        <f>IF(B215="","",IF(AE215="","",ROUND(IF(RoundingRule="None",AE215,IF(RoundingRule="Nearest 0.99",MAX(0.99,CEILING(AE215,1)-0.01),IF(RoundingRule="Nearest 0.95",MAX(0.95,CEILING(AE215,1)-0.05),IF(RoundingRule="Nearest 0.50",CEILING(AE215,0.5),IF(RoundingRule="Nearest 1",CEILING(AE215,1),IF(RoundingRule="Nearest 5",CEILING(AE215,5),IF(RoundingRule="Up to whole 1",CEILING(AE215,1),IF(RoundingRule="Up to whole 5",CEILING(AE215,5),ROUND(AE215,2))))))))),2)))</f>
        <v>0</v>
      </c>
      <c r="AG215" s="26">
        <f>IF(B215="","",ROUND(SUMIFS(Sales!$Y$5:$Y$1204,Sales!$I$5:$I$1204,A215,Sales!$H$5:$H$1204,"Retail"),2))</f>
        <v>0</v>
      </c>
      <c r="AH215" s="26">
        <f>IF(B215="","",ROUND(AG215-U215*IF(H215="",0,H215),2))</f>
        <v>0</v>
      </c>
      <c r="AI215" s="25">
        <f>IF(B215="","",COUNTIFS($AG$5:$AG$304,"&gt;"&amp;AG215)+COUNTIFS($AG$5:AG215,AG215))</f>
        <v>0</v>
      </c>
      <c r="AJ215" s="39">
        <f>IF(B215="","",IF(H215="","Add - no cost, no stock value",IF(Z215="Out of stock","Out of stock - order today",IF(Z215="Low stock","Order - running low",IF(IF(Q215="",FALSE,Q215&lt;=TodayDate+30),"Check - expiring within a month",IF(IF(R215="Yes",AD215&lt;0.25,FALSE),"Below - thin margin for a retail line",IF(IF(P215="",TRUE,TodayDate-P215&gt;90),"Due - not counted in three months","OK")))))))</f>
        <v>0</v>
      </c>
    </row>
    <row r="216" spans="1:36">
      <c r="A216" s="28">
        <f>IF(B216="","",ProductPrefix&amp;TEXT(ROW()-4,"000"))</f>
        <v>0</v>
      </c>
      <c r="T216" s="37">
        <f>IF(B216="","",ROUND(SUMIFS(Purchases!$U$5:$U$304,Purchases!$D$5:$D$304,A216),2))</f>
        <v>0</v>
      </c>
      <c r="U216" s="37">
        <f>IF(B216="","",ROUND(SUMIFS(Sales!$T$5:$T$1204,Sales!$I$5:$I$1204,A216,Sales!$H$5:$H$1204,"Retail"),2))</f>
        <v>0</v>
      </c>
      <c r="V216" s="37">
        <f>IF(B216="","",ROUND(IF(J216="",0,J216)+T216-IF(K216="",0,K216)-U216-IF(L216="",0,L216)+IF(M216="",0,M216),2))</f>
        <v>0</v>
      </c>
      <c r="W216" s="37">
        <f>IF(B216="","",ROUND((U216+IF(K216="",0,K216))/MAX(4,TrackingWeeks),2))</f>
        <v>0</v>
      </c>
      <c r="X216" s="37">
        <f>IF(B216="","",IF(W216&lt;=0,"",ROUND(V216/W216,1)))</f>
        <v>0</v>
      </c>
      <c r="Y216" s="37">
        <f>IF(B216="","",IF(N216&lt;&gt;"",N216,ROUND(W216*StockWarningWeeks,1)))</f>
        <v>0</v>
      </c>
      <c r="Z216" s="39">
        <f>IF(B216="","",IF(V216&lt;=0,"Out of stock",IF(V216&lt;=Y216,"Low stock",IF(R216="No","Backbar","In stock"))))</f>
        <v>0</v>
      </c>
      <c r="AA216" s="37">
        <f>IF(B216="","",IF(Z216="In stock","",IF(Z216="Backbar",IF(V216&lt;=Y216,MAX(1,IF(O216="",ROUND(W216*ReorderWeeks,0),O216)),""),MAX(1,IF(O216="",ROUND(W216*ReorderWeeks,0),O216)))))</f>
        <v>0</v>
      </c>
      <c r="AB216" s="26">
        <f>IF(B216="","",ROUND(V216*IF(H216="",0,H216),2))</f>
        <v>0</v>
      </c>
      <c r="AC216" s="26">
        <f>IF(B216="","",ROUND(V216*IF(I216="",0,I216),2))</f>
        <v>0</v>
      </c>
      <c r="AD216" s="27">
        <f>IF(B216="","",IF(IF(I216="",0,I216)=0,"",(I216-IF(H216="",0,H216))/I216))</f>
        <v>0</v>
      </c>
      <c r="AE216" s="26">
        <f>IF(B216="","",IF(H216="","",H216*RetailMarkup))</f>
        <v>0</v>
      </c>
      <c r="AF216" s="26">
        <f>IF(B216="","",IF(AE216="","",ROUND(IF(RoundingRule="None",AE216,IF(RoundingRule="Nearest 0.99",MAX(0.99,CEILING(AE216,1)-0.01),IF(RoundingRule="Nearest 0.95",MAX(0.95,CEILING(AE216,1)-0.05),IF(RoundingRule="Nearest 0.50",CEILING(AE216,0.5),IF(RoundingRule="Nearest 1",CEILING(AE216,1),IF(RoundingRule="Nearest 5",CEILING(AE216,5),IF(RoundingRule="Up to whole 1",CEILING(AE216,1),IF(RoundingRule="Up to whole 5",CEILING(AE216,5),ROUND(AE216,2))))))))),2)))</f>
        <v>0</v>
      </c>
      <c r="AG216" s="26">
        <f>IF(B216="","",ROUND(SUMIFS(Sales!$Y$5:$Y$1204,Sales!$I$5:$I$1204,A216,Sales!$H$5:$H$1204,"Retail"),2))</f>
        <v>0</v>
      </c>
      <c r="AH216" s="26">
        <f>IF(B216="","",ROUND(AG216-U216*IF(H216="",0,H216),2))</f>
        <v>0</v>
      </c>
      <c r="AI216" s="25">
        <f>IF(B216="","",COUNTIFS($AG$5:$AG$304,"&gt;"&amp;AG216)+COUNTIFS($AG$5:AG216,AG216))</f>
        <v>0</v>
      </c>
      <c r="AJ216" s="39">
        <f>IF(B216="","",IF(H216="","Add - no cost, no stock value",IF(Z216="Out of stock","Out of stock - order today",IF(Z216="Low stock","Order - running low",IF(IF(Q216="",FALSE,Q216&lt;=TodayDate+30),"Check - expiring within a month",IF(IF(R216="Yes",AD216&lt;0.25,FALSE),"Below - thin margin for a retail line",IF(IF(P216="",TRUE,TodayDate-P216&gt;90),"Due - not counted in three months","OK")))))))</f>
        <v>0</v>
      </c>
    </row>
    <row r="217" spans="1:36">
      <c r="A217" s="28">
        <f>IF(B217="","",ProductPrefix&amp;TEXT(ROW()-4,"000"))</f>
        <v>0</v>
      </c>
      <c r="T217" s="37">
        <f>IF(B217="","",ROUND(SUMIFS(Purchases!$U$5:$U$304,Purchases!$D$5:$D$304,A217),2))</f>
        <v>0</v>
      </c>
      <c r="U217" s="37">
        <f>IF(B217="","",ROUND(SUMIFS(Sales!$T$5:$T$1204,Sales!$I$5:$I$1204,A217,Sales!$H$5:$H$1204,"Retail"),2))</f>
        <v>0</v>
      </c>
      <c r="V217" s="37">
        <f>IF(B217="","",ROUND(IF(J217="",0,J217)+T217-IF(K217="",0,K217)-U217-IF(L217="",0,L217)+IF(M217="",0,M217),2))</f>
        <v>0</v>
      </c>
      <c r="W217" s="37">
        <f>IF(B217="","",ROUND((U217+IF(K217="",0,K217))/MAX(4,TrackingWeeks),2))</f>
        <v>0</v>
      </c>
      <c r="X217" s="37">
        <f>IF(B217="","",IF(W217&lt;=0,"",ROUND(V217/W217,1)))</f>
        <v>0</v>
      </c>
      <c r="Y217" s="37">
        <f>IF(B217="","",IF(N217&lt;&gt;"",N217,ROUND(W217*StockWarningWeeks,1)))</f>
        <v>0</v>
      </c>
      <c r="Z217" s="39">
        <f>IF(B217="","",IF(V217&lt;=0,"Out of stock",IF(V217&lt;=Y217,"Low stock",IF(R217="No","Backbar","In stock"))))</f>
        <v>0</v>
      </c>
      <c r="AA217" s="37">
        <f>IF(B217="","",IF(Z217="In stock","",IF(Z217="Backbar",IF(V217&lt;=Y217,MAX(1,IF(O217="",ROUND(W217*ReorderWeeks,0),O217)),""),MAX(1,IF(O217="",ROUND(W217*ReorderWeeks,0),O217)))))</f>
        <v>0</v>
      </c>
      <c r="AB217" s="26">
        <f>IF(B217="","",ROUND(V217*IF(H217="",0,H217),2))</f>
        <v>0</v>
      </c>
      <c r="AC217" s="26">
        <f>IF(B217="","",ROUND(V217*IF(I217="",0,I217),2))</f>
        <v>0</v>
      </c>
      <c r="AD217" s="27">
        <f>IF(B217="","",IF(IF(I217="",0,I217)=0,"",(I217-IF(H217="",0,H217))/I217))</f>
        <v>0</v>
      </c>
      <c r="AE217" s="26">
        <f>IF(B217="","",IF(H217="","",H217*RetailMarkup))</f>
        <v>0</v>
      </c>
      <c r="AF217" s="26">
        <f>IF(B217="","",IF(AE217="","",ROUND(IF(RoundingRule="None",AE217,IF(RoundingRule="Nearest 0.99",MAX(0.99,CEILING(AE217,1)-0.01),IF(RoundingRule="Nearest 0.95",MAX(0.95,CEILING(AE217,1)-0.05),IF(RoundingRule="Nearest 0.50",CEILING(AE217,0.5),IF(RoundingRule="Nearest 1",CEILING(AE217,1),IF(RoundingRule="Nearest 5",CEILING(AE217,5),IF(RoundingRule="Up to whole 1",CEILING(AE217,1),IF(RoundingRule="Up to whole 5",CEILING(AE217,5),ROUND(AE217,2))))))))),2)))</f>
        <v>0</v>
      </c>
      <c r="AG217" s="26">
        <f>IF(B217="","",ROUND(SUMIFS(Sales!$Y$5:$Y$1204,Sales!$I$5:$I$1204,A217,Sales!$H$5:$H$1204,"Retail"),2))</f>
        <v>0</v>
      </c>
      <c r="AH217" s="26">
        <f>IF(B217="","",ROUND(AG217-U217*IF(H217="",0,H217),2))</f>
        <v>0</v>
      </c>
      <c r="AI217" s="25">
        <f>IF(B217="","",COUNTIFS($AG$5:$AG$304,"&gt;"&amp;AG217)+COUNTIFS($AG$5:AG217,AG217))</f>
        <v>0</v>
      </c>
      <c r="AJ217" s="39">
        <f>IF(B217="","",IF(H217="","Add - no cost, no stock value",IF(Z217="Out of stock","Out of stock - order today",IF(Z217="Low stock","Order - running low",IF(IF(Q217="",FALSE,Q217&lt;=TodayDate+30),"Check - expiring within a month",IF(IF(R217="Yes",AD217&lt;0.25,FALSE),"Below - thin margin for a retail line",IF(IF(P217="",TRUE,TodayDate-P217&gt;90),"Due - not counted in three months","OK")))))))</f>
        <v>0</v>
      </c>
    </row>
    <row r="218" spans="1:36">
      <c r="A218" s="28">
        <f>IF(B218="","",ProductPrefix&amp;TEXT(ROW()-4,"000"))</f>
        <v>0</v>
      </c>
      <c r="T218" s="37">
        <f>IF(B218="","",ROUND(SUMIFS(Purchases!$U$5:$U$304,Purchases!$D$5:$D$304,A218),2))</f>
        <v>0</v>
      </c>
      <c r="U218" s="37">
        <f>IF(B218="","",ROUND(SUMIFS(Sales!$T$5:$T$1204,Sales!$I$5:$I$1204,A218,Sales!$H$5:$H$1204,"Retail"),2))</f>
        <v>0</v>
      </c>
      <c r="V218" s="37">
        <f>IF(B218="","",ROUND(IF(J218="",0,J218)+T218-IF(K218="",0,K218)-U218-IF(L218="",0,L218)+IF(M218="",0,M218),2))</f>
        <v>0</v>
      </c>
      <c r="W218" s="37">
        <f>IF(B218="","",ROUND((U218+IF(K218="",0,K218))/MAX(4,TrackingWeeks),2))</f>
        <v>0</v>
      </c>
      <c r="X218" s="37">
        <f>IF(B218="","",IF(W218&lt;=0,"",ROUND(V218/W218,1)))</f>
        <v>0</v>
      </c>
      <c r="Y218" s="37">
        <f>IF(B218="","",IF(N218&lt;&gt;"",N218,ROUND(W218*StockWarningWeeks,1)))</f>
        <v>0</v>
      </c>
      <c r="Z218" s="39">
        <f>IF(B218="","",IF(V218&lt;=0,"Out of stock",IF(V218&lt;=Y218,"Low stock",IF(R218="No","Backbar","In stock"))))</f>
        <v>0</v>
      </c>
      <c r="AA218" s="37">
        <f>IF(B218="","",IF(Z218="In stock","",IF(Z218="Backbar",IF(V218&lt;=Y218,MAX(1,IF(O218="",ROUND(W218*ReorderWeeks,0),O218)),""),MAX(1,IF(O218="",ROUND(W218*ReorderWeeks,0),O218)))))</f>
        <v>0</v>
      </c>
      <c r="AB218" s="26">
        <f>IF(B218="","",ROUND(V218*IF(H218="",0,H218),2))</f>
        <v>0</v>
      </c>
      <c r="AC218" s="26">
        <f>IF(B218="","",ROUND(V218*IF(I218="",0,I218),2))</f>
        <v>0</v>
      </c>
      <c r="AD218" s="27">
        <f>IF(B218="","",IF(IF(I218="",0,I218)=0,"",(I218-IF(H218="",0,H218))/I218))</f>
        <v>0</v>
      </c>
      <c r="AE218" s="26">
        <f>IF(B218="","",IF(H218="","",H218*RetailMarkup))</f>
        <v>0</v>
      </c>
      <c r="AF218" s="26">
        <f>IF(B218="","",IF(AE218="","",ROUND(IF(RoundingRule="None",AE218,IF(RoundingRule="Nearest 0.99",MAX(0.99,CEILING(AE218,1)-0.01),IF(RoundingRule="Nearest 0.95",MAX(0.95,CEILING(AE218,1)-0.05),IF(RoundingRule="Nearest 0.50",CEILING(AE218,0.5),IF(RoundingRule="Nearest 1",CEILING(AE218,1),IF(RoundingRule="Nearest 5",CEILING(AE218,5),IF(RoundingRule="Up to whole 1",CEILING(AE218,1),IF(RoundingRule="Up to whole 5",CEILING(AE218,5),ROUND(AE218,2))))))))),2)))</f>
        <v>0</v>
      </c>
      <c r="AG218" s="26">
        <f>IF(B218="","",ROUND(SUMIFS(Sales!$Y$5:$Y$1204,Sales!$I$5:$I$1204,A218,Sales!$H$5:$H$1204,"Retail"),2))</f>
        <v>0</v>
      </c>
      <c r="AH218" s="26">
        <f>IF(B218="","",ROUND(AG218-U218*IF(H218="",0,H218),2))</f>
        <v>0</v>
      </c>
      <c r="AI218" s="25">
        <f>IF(B218="","",COUNTIFS($AG$5:$AG$304,"&gt;"&amp;AG218)+COUNTIFS($AG$5:AG218,AG218))</f>
        <v>0</v>
      </c>
      <c r="AJ218" s="39">
        <f>IF(B218="","",IF(H218="","Add - no cost, no stock value",IF(Z218="Out of stock","Out of stock - order today",IF(Z218="Low stock","Order - running low",IF(IF(Q218="",FALSE,Q218&lt;=TodayDate+30),"Check - expiring within a month",IF(IF(R218="Yes",AD218&lt;0.25,FALSE),"Below - thin margin for a retail line",IF(IF(P218="",TRUE,TodayDate-P218&gt;90),"Due - not counted in three months","OK")))))))</f>
        <v>0</v>
      </c>
    </row>
    <row r="219" spans="1:36">
      <c r="A219" s="28">
        <f>IF(B219="","",ProductPrefix&amp;TEXT(ROW()-4,"000"))</f>
        <v>0</v>
      </c>
      <c r="T219" s="37">
        <f>IF(B219="","",ROUND(SUMIFS(Purchases!$U$5:$U$304,Purchases!$D$5:$D$304,A219),2))</f>
        <v>0</v>
      </c>
      <c r="U219" s="37">
        <f>IF(B219="","",ROUND(SUMIFS(Sales!$T$5:$T$1204,Sales!$I$5:$I$1204,A219,Sales!$H$5:$H$1204,"Retail"),2))</f>
        <v>0</v>
      </c>
      <c r="V219" s="37">
        <f>IF(B219="","",ROUND(IF(J219="",0,J219)+T219-IF(K219="",0,K219)-U219-IF(L219="",0,L219)+IF(M219="",0,M219),2))</f>
        <v>0</v>
      </c>
      <c r="W219" s="37">
        <f>IF(B219="","",ROUND((U219+IF(K219="",0,K219))/MAX(4,TrackingWeeks),2))</f>
        <v>0</v>
      </c>
      <c r="X219" s="37">
        <f>IF(B219="","",IF(W219&lt;=0,"",ROUND(V219/W219,1)))</f>
        <v>0</v>
      </c>
      <c r="Y219" s="37">
        <f>IF(B219="","",IF(N219&lt;&gt;"",N219,ROUND(W219*StockWarningWeeks,1)))</f>
        <v>0</v>
      </c>
      <c r="Z219" s="39">
        <f>IF(B219="","",IF(V219&lt;=0,"Out of stock",IF(V219&lt;=Y219,"Low stock",IF(R219="No","Backbar","In stock"))))</f>
        <v>0</v>
      </c>
      <c r="AA219" s="37">
        <f>IF(B219="","",IF(Z219="In stock","",IF(Z219="Backbar",IF(V219&lt;=Y219,MAX(1,IF(O219="",ROUND(W219*ReorderWeeks,0),O219)),""),MAX(1,IF(O219="",ROUND(W219*ReorderWeeks,0),O219)))))</f>
        <v>0</v>
      </c>
      <c r="AB219" s="26">
        <f>IF(B219="","",ROUND(V219*IF(H219="",0,H219),2))</f>
        <v>0</v>
      </c>
      <c r="AC219" s="26">
        <f>IF(B219="","",ROUND(V219*IF(I219="",0,I219),2))</f>
        <v>0</v>
      </c>
      <c r="AD219" s="27">
        <f>IF(B219="","",IF(IF(I219="",0,I219)=0,"",(I219-IF(H219="",0,H219))/I219))</f>
        <v>0</v>
      </c>
      <c r="AE219" s="26">
        <f>IF(B219="","",IF(H219="","",H219*RetailMarkup))</f>
        <v>0</v>
      </c>
      <c r="AF219" s="26">
        <f>IF(B219="","",IF(AE219="","",ROUND(IF(RoundingRule="None",AE219,IF(RoundingRule="Nearest 0.99",MAX(0.99,CEILING(AE219,1)-0.01),IF(RoundingRule="Nearest 0.95",MAX(0.95,CEILING(AE219,1)-0.05),IF(RoundingRule="Nearest 0.50",CEILING(AE219,0.5),IF(RoundingRule="Nearest 1",CEILING(AE219,1),IF(RoundingRule="Nearest 5",CEILING(AE219,5),IF(RoundingRule="Up to whole 1",CEILING(AE219,1),IF(RoundingRule="Up to whole 5",CEILING(AE219,5),ROUND(AE219,2))))))))),2)))</f>
        <v>0</v>
      </c>
      <c r="AG219" s="26">
        <f>IF(B219="","",ROUND(SUMIFS(Sales!$Y$5:$Y$1204,Sales!$I$5:$I$1204,A219,Sales!$H$5:$H$1204,"Retail"),2))</f>
        <v>0</v>
      </c>
      <c r="AH219" s="26">
        <f>IF(B219="","",ROUND(AG219-U219*IF(H219="",0,H219),2))</f>
        <v>0</v>
      </c>
      <c r="AI219" s="25">
        <f>IF(B219="","",COUNTIFS($AG$5:$AG$304,"&gt;"&amp;AG219)+COUNTIFS($AG$5:AG219,AG219))</f>
        <v>0</v>
      </c>
      <c r="AJ219" s="39">
        <f>IF(B219="","",IF(H219="","Add - no cost, no stock value",IF(Z219="Out of stock","Out of stock - order today",IF(Z219="Low stock","Order - running low",IF(IF(Q219="",FALSE,Q219&lt;=TodayDate+30),"Check - expiring within a month",IF(IF(R219="Yes",AD219&lt;0.25,FALSE),"Below - thin margin for a retail line",IF(IF(P219="",TRUE,TodayDate-P219&gt;90),"Due - not counted in three months","OK")))))))</f>
        <v>0</v>
      </c>
    </row>
    <row r="220" spans="1:36">
      <c r="A220" s="28">
        <f>IF(B220="","",ProductPrefix&amp;TEXT(ROW()-4,"000"))</f>
        <v>0</v>
      </c>
      <c r="T220" s="37">
        <f>IF(B220="","",ROUND(SUMIFS(Purchases!$U$5:$U$304,Purchases!$D$5:$D$304,A220),2))</f>
        <v>0</v>
      </c>
      <c r="U220" s="37">
        <f>IF(B220="","",ROUND(SUMIFS(Sales!$T$5:$T$1204,Sales!$I$5:$I$1204,A220,Sales!$H$5:$H$1204,"Retail"),2))</f>
        <v>0</v>
      </c>
      <c r="V220" s="37">
        <f>IF(B220="","",ROUND(IF(J220="",0,J220)+T220-IF(K220="",0,K220)-U220-IF(L220="",0,L220)+IF(M220="",0,M220),2))</f>
        <v>0</v>
      </c>
      <c r="W220" s="37">
        <f>IF(B220="","",ROUND((U220+IF(K220="",0,K220))/MAX(4,TrackingWeeks),2))</f>
        <v>0</v>
      </c>
      <c r="X220" s="37">
        <f>IF(B220="","",IF(W220&lt;=0,"",ROUND(V220/W220,1)))</f>
        <v>0</v>
      </c>
      <c r="Y220" s="37">
        <f>IF(B220="","",IF(N220&lt;&gt;"",N220,ROUND(W220*StockWarningWeeks,1)))</f>
        <v>0</v>
      </c>
      <c r="Z220" s="39">
        <f>IF(B220="","",IF(V220&lt;=0,"Out of stock",IF(V220&lt;=Y220,"Low stock",IF(R220="No","Backbar","In stock"))))</f>
        <v>0</v>
      </c>
      <c r="AA220" s="37">
        <f>IF(B220="","",IF(Z220="In stock","",IF(Z220="Backbar",IF(V220&lt;=Y220,MAX(1,IF(O220="",ROUND(W220*ReorderWeeks,0),O220)),""),MAX(1,IF(O220="",ROUND(W220*ReorderWeeks,0),O220)))))</f>
        <v>0</v>
      </c>
      <c r="AB220" s="26">
        <f>IF(B220="","",ROUND(V220*IF(H220="",0,H220),2))</f>
        <v>0</v>
      </c>
      <c r="AC220" s="26">
        <f>IF(B220="","",ROUND(V220*IF(I220="",0,I220),2))</f>
        <v>0</v>
      </c>
      <c r="AD220" s="27">
        <f>IF(B220="","",IF(IF(I220="",0,I220)=0,"",(I220-IF(H220="",0,H220))/I220))</f>
        <v>0</v>
      </c>
      <c r="AE220" s="26">
        <f>IF(B220="","",IF(H220="","",H220*RetailMarkup))</f>
        <v>0</v>
      </c>
      <c r="AF220" s="26">
        <f>IF(B220="","",IF(AE220="","",ROUND(IF(RoundingRule="None",AE220,IF(RoundingRule="Nearest 0.99",MAX(0.99,CEILING(AE220,1)-0.01),IF(RoundingRule="Nearest 0.95",MAX(0.95,CEILING(AE220,1)-0.05),IF(RoundingRule="Nearest 0.50",CEILING(AE220,0.5),IF(RoundingRule="Nearest 1",CEILING(AE220,1),IF(RoundingRule="Nearest 5",CEILING(AE220,5),IF(RoundingRule="Up to whole 1",CEILING(AE220,1),IF(RoundingRule="Up to whole 5",CEILING(AE220,5),ROUND(AE220,2))))))))),2)))</f>
        <v>0</v>
      </c>
      <c r="AG220" s="26">
        <f>IF(B220="","",ROUND(SUMIFS(Sales!$Y$5:$Y$1204,Sales!$I$5:$I$1204,A220,Sales!$H$5:$H$1204,"Retail"),2))</f>
        <v>0</v>
      </c>
      <c r="AH220" s="26">
        <f>IF(B220="","",ROUND(AG220-U220*IF(H220="",0,H220),2))</f>
        <v>0</v>
      </c>
      <c r="AI220" s="25">
        <f>IF(B220="","",COUNTIFS($AG$5:$AG$304,"&gt;"&amp;AG220)+COUNTIFS($AG$5:AG220,AG220))</f>
        <v>0</v>
      </c>
      <c r="AJ220" s="39">
        <f>IF(B220="","",IF(H220="","Add - no cost, no stock value",IF(Z220="Out of stock","Out of stock - order today",IF(Z220="Low stock","Order - running low",IF(IF(Q220="",FALSE,Q220&lt;=TodayDate+30),"Check - expiring within a month",IF(IF(R220="Yes",AD220&lt;0.25,FALSE),"Below - thin margin for a retail line",IF(IF(P220="",TRUE,TodayDate-P220&gt;90),"Due - not counted in three months","OK")))))))</f>
        <v>0</v>
      </c>
    </row>
    <row r="221" spans="1:36">
      <c r="A221" s="28">
        <f>IF(B221="","",ProductPrefix&amp;TEXT(ROW()-4,"000"))</f>
        <v>0</v>
      </c>
      <c r="T221" s="37">
        <f>IF(B221="","",ROUND(SUMIFS(Purchases!$U$5:$U$304,Purchases!$D$5:$D$304,A221),2))</f>
        <v>0</v>
      </c>
      <c r="U221" s="37">
        <f>IF(B221="","",ROUND(SUMIFS(Sales!$T$5:$T$1204,Sales!$I$5:$I$1204,A221,Sales!$H$5:$H$1204,"Retail"),2))</f>
        <v>0</v>
      </c>
      <c r="V221" s="37">
        <f>IF(B221="","",ROUND(IF(J221="",0,J221)+T221-IF(K221="",0,K221)-U221-IF(L221="",0,L221)+IF(M221="",0,M221),2))</f>
        <v>0</v>
      </c>
      <c r="W221" s="37">
        <f>IF(B221="","",ROUND((U221+IF(K221="",0,K221))/MAX(4,TrackingWeeks),2))</f>
        <v>0</v>
      </c>
      <c r="X221" s="37">
        <f>IF(B221="","",IF(W221&lt;=0,"",ROUND(V221/W221,1)))</f>
        <v>0</v>
      </c>
      <c r="Y221" s="37">
        <f>IF(B221="","",IF(N221&lt;&gt;"",N221,ROUND(W221*StockWarningWeeks,1)))</f>
        <v>0</v>
      </c>
      <c r="Z221" s="39">
        <f>IF(B221="","",IF(V221&lt;=0,"Out of stock",IF(V221&lt;=Y221,"Low stock",IF(R221="No","Backbar","In stock"))))</f>
        <v>0</v>
      </c>
      <c r="AA221" s="37">
        <f>IF(B221="","",IF(Z221="In stock","",IF(Z221="Backbar",IF(V221&lt;=Y221,MAX(1,IF(O221="",ROUND(W221*ReorderWeeks,0),O221)),""),MAX(1,IF(O221="",ROUND(W221*ReorderWeeks,0),O221)))))</f>
        <v>0</v>
      </c>
      <c r="AB221" s="26">
        <f>IF(B221="","",ROUND(V221*IF(H221="",0,H221),2))</f>
        <v>0</v>
      </c>
      <c r="AC221" s="26">
        <f>IF(B221="","",ROUND(V221*IF(I221="",0,I221),2))</f>
        <v>0</v>
      </c>
      <c r="AD221" s="27">
        <f>IF(B221="","",IF(IF(I221="",0,I221)=0,"",(I221-IF(H221="",0,H221))/I221))</f>
        <v>0</v>
      </c>
      <c r="AE221" s="26">
        <f>IF(B221="","",IF(H221="","",H221*RetailMarkup))</f>
        <v>0</v>
      </c>
      <c r="AF221" s="26">
        <f>IF(B221="","",IF(AE221="","",ROUND(IF(RoundingRule="None",AE221,IF(RoundingRule="Nearest 0.99",MAX(0.99,CEILING(AE221,1)-0.01),IF(RoundingRule="Nearest 0.95",MAX(0.95,CEILING(AE221,1)-0.05),IF(RoundingRule="Nearest 0.50",CEILING(AE221,0.5),IF(RoundingRule="Nearest 1",CEILING(AE221,1),IF(RoundingRule="Nearest 5",CEILING(AE221,5),IF(RoundingRule="Up to whole 1",CEILING(AE221,1),IF(RoundingRule="Up to whole 5",CEILING(AE221,5),ROUND(AE221,2))))))))),2)))</f>
        <v>0</v>
      </c>
      <c r="AG221" s="26">
        <f>IF(B221="","",ROUND(SUMIFS(Sales!$Y$5:$Y$1204,Sales!$I$5:$I$1204,A221,Sales!$H$5:$H$1204,"Retail"),2))</f>
        <v>0</v>
      </c>
      <c r="AH221" s="26">
        <f>IF(B221="","",ROUND(AG221-U221*IF(H221="",0,H221),2))</f>
        <v>0</v>
      </c>
      <c r="AI221" s="25">
        <f>IF(B221="","",COUNTIFS($AG$5:$AG$304,"&gt;"&amp;AG221)+COUNTIFS($AG$5:AG221,AG221))</f>
        <v>0</v>
      </c>
      <c r="AJ221" s="39">
        <f>IF(B221="","",IF(H221="","Add - no cost, no stock value",IF(Z221="Out of stock","Out of stock - order today",IF(Z221="Low stock","Order - running low",IF(IF(Q221="",FALSE,Q221&lt;=TodayDate+30),"Check - expiring within a month",IF(IF(R221="Yes",AD221&lt;0.25,FALSE),"Below - thin margin for a retail line",IF(IF(P221="",TRUE,TodayDate-P221&gt;90),"Due - not counted in three months","OK")))))))</f>
        <v>0</v>
      </c>
    </row>
    <row r="222" spans="1:36">
      <c r="A222" s="28">
        <f>IF(B222="","",ProductPrefix&amp;TEXT(ROW()-4,"000"))</f>
        <v>0</v>
      </c>
      <c r="T222" s="37">
        <f>IF(B222="","",ROUND(SUMIFS(Purchases!$U$5:$U$304,Purchases!$D$5:$D$304,A222),2))</f>
        <v>0</v>
      </c>
      <c r="U222" s="37">
        <f>IF(B222="","",ROUND(SUMIFS(Sales!$T$5:$T$1204,Sales!$I$5:$I$1204,A222,Sales!$H$5:$H$1204,"Retail"),2))</f>
        <v>0</v>
      </c>
      <c r="V222" s="37">
        <f>IF(B222="","",ROUND(IF(J222="",0,J222)+T222-IF(K222="",0,K222)-U222-IF(L222="",0,L222)+IF(M222="",0,M222),2))</f>
        <v>0</v>
      </c>
      <c r="W222" s="37">
        <f>IF(B222="","",ROUND((U222+IF(K222="",0,K222))/MAX(4,TrackingWeeks),2))</f>
        <v>0</v>
      </c>
      <c r="X222" s="37">
        <f>IF(B222="","",IF(W222&lt;=0,"",ROUND(V222/W222,1)))</f>
        <v>0</v>
      </c>
      <c r="Y222" s="37">
        <f>IF(B222="","",IF(N222&lt;&gt;"",N222,ROUND(W222*StockWarningWeeks,1)))</f>
        <v>0</v>
      </c>
      <c r="Z222" s="39">
        <f>IF(B222="","",IF(V222&lt;=0,"Out of stock",IF(V222&lt;=Y222,"Low stock",IF(R222="No","Backbar","In stock"))))</f>
        <v>0</v>
      </c>
      <c r="AA222" s="37">
        <f>IF(B222="","",IF(Z222="In stock","",IF(Z222="Backbar",IF(V222&lt;=Y222,MAX(1,IF(O222="",ROUND(W222*ReorderWeeks,0),O222)),""),MAX(1,IF(O222="",ROUND(W222*ReorderWeeks,0),O222)))))</f>
        <v>0</v>
      </c>
      <c r="AB222" s="26">
        <f>IF(B222="","",ROUND(V222*IF(H222="",0,H222),2))</f>
        <v>0</v>
      </c>
      <c r="AC222" s="26">
        <f>IF(B222="","",ROUND(V222*IF(I222="",0,I222),2))</f>
        <v>0</v>
      </c>
      <c r="AD222" s="27">
        <f>IF(B222="","",IF(IF(I222="",0,I222)=0,"",(I222-IF(H222="",0,H222))/I222))</f>
        <v>0</v>
      </c>
      <c r="AE222" s="26">
        <f>IF(B222="","",IF(H222="","",H222*RetailMarkup))</f>
        <v>0</v>
      </c>
      <c r="AF222" s="26">
        <f>IF(B222="","",IF(AE222="","",ROUND(IF(RoundingRule="None",AE222,IF(RoundingRule="Nearest 0.99",MAX(0.99,CEILING(AE222,1)-0.01),IF(RoundingRule="Nearest 0.95",MAX(0.95,CEILING(AE222,1)-0.05),IF(RoundingRule="Nearest 0.50",CEILING(AE222,0.5),IF(RoundingRule="Nearest 1",CEILING(AE222,1),IF(RoundingRule="Nearest 5",CEILING(AE222,5),IF(RoundingRule="Up to whole 1",CEILING(AE222,1),IF(RoundingRule="Up to whole 5",CEILING(AE222,5),ROUND(AE222,2))))))))),2)))</f>
        <v>0</v>
      </c>
      <c r="AG222" s="26">
        <f>IF(B222="","",ROUND(SUMIFS(Sales!$Y$5:$Y$1204,Sales!$I$5:$I$1204,A222,Sales!$H$5:$H$1204,"Retail"),2))</f>
        <v>0</v>
      </c>
      <c r="AH222" s="26">
        <f>IF(B222="","",ROUND(AG222-U222*IF(H222="",0,H222),2))</f>
        <v>0</v>
      </c>
      <c r="AI222" s="25">
        <f>IF(B222="","",COUNTIFS($AG$5:$AG$304,"&gt;"&amp;AG222)+COUNTIFS($AG$5:AG222,AG222))</f>
        <v>0</v>
      </c>
      <c r="AJ222" s="39">
        <f>IF(B222="","",IF(H222="","Add - no cost, no stock value",IF(Z222="Out of stock","Out of stock - order today",IF(Z222="Low stock","Order - running low",IF(IF(Q222="",FALSE,Q222&lt;=TodayDate+30),"Check - expiring within a month",IF(IF(R222="Yes",AD222&lt;0.25,FALSE),"Below - thin margin for a retail line",IF(IF(P222="",TRUE,TodayDate-P222&gt;90),"Due - not counted in three months","OK")))))))</f>
        <v>0</v>
      </c>
    </row>
    <row r="223" spans="1:36">
      <c r="A223" s="28">
        <f>IF(B223="","",ProductPrefix&amp;TEXT(ROW()-4,"000"))</f>
        <v>0</v>
      </c>
      <c r="T223" s="37">
        <f>IF(B223="","",ROUND(SUMIFS(Purchases!$U$5:$U$304,Purchases!$D$5:$D$304,A223),2))</f>
        <v>0</v>
      </c>
      <c r="U223" s="37">
        <f>IF(B223="","",ROUND(SUMIFS(Sales!$T$5:$T$1204,Sales!$I$5:$I$1204,A223,Sales!$H$5:$H$1204,"Retail"),2))</f>
        <v>0</v>
      </c>
      <c r="V223" s="37">
        <f>IF(B223="","",ROUND(IF(J223="",0,J223)+T223-IF(K223="",0,K223)-U223-IF(L223="",0,L223)+IF(M223="",0,M223),2))</f>
        <v>0</v>
      </c>
      <c r="W223" s="37">
        <f>IF(B223="","",ROUND((U223+IF(K223="",0,K223))/MAX(4,TrackingWeeks),2))</f>
        <v>0</v>
      </c>
      <c r="X223" s="37">
        <f>IF(B223="","",IF(W223&lt;=0,"",ROUND(V223/W223,1)))</f>
        <v>0</v>
      </c>
      <c r="Y223" s="37">
        <f>IF(B223="","",IF(N223&lt;&gt;"",N223,ROUND(W223*StockWarningWeeks,1)))</f>
        <v>0</v>
      </c>
      <c r="Z223" s="39">
        <f>IF(B223="","",IF(V223&lt;=0,"Out of stock",IF(V223&lt;=Y223,"Low stock",IF(R223="No","Backbar","In stock"))))</f>
        <v>0</v>
      </c>
      <c r="AA223" s="37">
        <f>IF(B223="","",IF(Z223="In stock","",IF(Z223="Backbar",IF(V223&lt;=Y223,MAX(1,IF(O223="",ROUND(W223*ReorderWeeks,0),O223)),""),MAX(1,IF(O223="",ROUND(W223*ReorderWeeks,0),O223)))))</f>
        <v>0</v>
      </c>
      <c r="AB223" s="26">
        <f>IF(B223="","",ROUND(V223*IF(H223="",0,H223),2))</f>
        <v>0</v>
      </c>
      <c r="AC223" s="26">
        <f>IF(B223="","",ROUND(V223*IF(I223="",0,I223),2))</f>
        <v>0</v>
      </c>
      <c r="AD223" s="27">
        <f>IF(B223="","",IF(IF(I223="",0,I223)=0,"",(I223-IF(H223="",0,H223))/I223))</f>
        <v>0</v>
      </c>
      <c r="AE223" s="26">
        <f>IF(B223="","",IF(H223="","",H223*RetailMarkup))</f>
        <v>0</v>
      </c>
      <c r="AF223" s="26">
        <f>IF(B223="","",IF(AE223="","",ROUND(IF(RoundingRule="None",AE223,IF(RoundingRule="Nearest 0.99",MAX(0.99,CEILING(AE223,1)-0.01),IF(RoundingRule="Nearest 0.95",MAX(0.95,CEILING(AE223,1)-0.05),IF(RoundingRule="Nearest 0.50",CEILING(AE223,0.5),IF(RoundingRule="Nearest 1",CEILING(AE223,1),IF(RoundingRule="Nearest 5",CEILING(AE223,5),IF(RoundingRule="Up to whole 1",CEILING(AE223,1),IF(RoundingRule="Up to whole 5",CEILING(AE223,5),ROUND(AE223,2))))))))),2)))</f>
        <v>0</v>
      </c>
      <c r="AG223" s="26">
        <f>IF(B223="","",ROUND(SUMIFS(Sales!$Y$5:$Y$1204,Sales!$I$5:$I$1204,A223,Sales!$H$5:$H$1204,"Retail"),2))</f>
        <v>0</v>
      </c>
      <c r="AH223" s="26">
        <f>IF(B223="","",ROUND(AG223-U223*IF(H223="",0,H223),2))</f>
        <v>0</v>
      </c>
      <c r="AI223" s="25">
        <f>IF(B223="","",COUNTIFS($AG$5:$AG$304,"&gt;"&amp;AG223)+COUNTIFS($AG$5:AG223,AG223))</f>
        <v>0</v>
      </c>
      <c r="AJ223" s="39">
        <f>IF(B223="","",IF(H223="","Add - no cost, no stock value",IF(Z223="Out of stock","Out of stock - order today",IF(Z223="Low stock","Order - running low",IF(IF(Q223="",FALSE,Q223&lt;=TodayDate+30),"Check - expiring within a month",IF(IF(R223="Yes",AD223&lt;0.25,FALSE),"Below - thin margin for a retail line",IF(IF(P223="",TRUE,TodayDate-P223&gt;90),"Due - not counted in three months","OK")))))))</f>
        <v>0</v>
      </c>
    </row>
    <row r="224" spans="1:36">
      <c r="A224" s="28">
        <f>IF(B224="","",ProductPrefix&amp;TEXT(ROW()-4,"000"))</f>
        <v>0</v>
      </c>
      <c r="T224" s="37">
        <f>IF(B224="","",ROUND(SUMIFS(Purchases!$U$5:$U$304,Purchases!$D$5:$D$304,A224),2))</f>
        <v>0</v>
      </c>
      <c r="U224" s="37">
        <f>IF(B224="","",ROUND(SUMIFS(Sales!$T$5:$T$1204,Sales!$I$5:$I$1204,A224,Sales!$H$5:$H$1204,"Retail"),2))</f>
        <v>0</v>
      </c>
      <c r="V224" s="37">
        <f>IF(B224="","",ROUND(IF(J224="",0,J224)+T224-IF(K224="",0,K224)-U224-IF(L224="",0,L224)+IF(M224="",0,M224),2))</f>
        <v>0</v>
      </c>
      <c r="W224" s="37">
        <f>IF(B224="","",ROUND((U224+IF(K224="",0,K224))/MAX(4,TrackingWeeks),2))</f>
        <v>0</v>
      </c>
      <c r="X224" s="37">
        <f>IF(B224="","",IF(W224&lt;=0,"",ROUND(V224/W224,1)))</f>
        <v>0</v>
      </c>
      <c r="Y224" s="37">
        <f>IF(B224="","",IF(N224&lt;&gt;"",N224,ROUND(W224*StockWarningWeeks,1)))</f>
        <v>0</v>
      </c>
      <c r="Z224" s="39">
        <f>IF(B224="","",IF(V224&lt;=0,"Out of stock",IF(V224&lt;=Y224,"Low stock",IF(R224="No","Backbar","In stock"))))</f>
        <v>0</v>
      </c>
      <c r="AA224" s="37">
        <f>IF(B224="","",IF(Z224="In stock","",IF(Z224="Backbar",IF(V224&lt;=Y224,MAX(1,IF(O224="",ROUND(W224*ReorderWeeks,0),O224)),""),MAX(1,IF(O224="",ROUND(W224*ReorderWeeks,0),O224)))))</f>
        <v>0</v>
      </c>
      <c r="AB224" s="26">
        <f>IF(B224="","",ROUND(V224*IF(H224="",0,H224),2))</f>
        <v>0</v>
      </c>
      <c r="AC224" s="26">
        <f>IF(B224="","",ROUND(V224*IF(I224="",0,I224),2))</f>
        <v>0</v>
      </c>
      <c r="AD224" s="27">
        <f>IF(B224="","",IF(IF(I224="",0,I224)=0,"",(I224-IF(H224="",0,H224))/I224))</f>
        <v>0</v>
      </c>
      <c r="AE224" s="26">
        <f>IF(B224="","",IF(H224="","",H224*RetailMarkup))</f>
        <v>0</v>
      </c>
      <c r="AF224" s="26">
        <f>IF(B224="","",IF(AE224="","",ROUND(IF(RoundingRule="None",AE224,IF(RoundingRule="Nearest 0.99",MAX(0.99,CEILING(AE224,1)-0.01),IF(RoundingRule="Nearest 0.95",MAX(0.95,CEILING(AE224,1)-0.05),IF(RoundingRule="Nearest 0.50",CEILING(AE224,0.5),IF(RoundingRule="Nearest 1",CEILING(AE224,1),IF(RoundingRule="Nearest 5",CEILING(AE224,5),IF(RoundingRule="Up to whole 1",CEILING(AE224,1),IF(RoundingRule="Up to whole 5",CEILING(AE224,5),ROUND(AE224,2))))))))),2)))</f>
        <v>0</v>
      </c>
      <c r="AG224" s="26">
        <f>IF(B224="","",ROUND(SUMIFS(Sales!$Y$5:$Y$1204,Sales!$I$5:$I$1204,A224,Sales!$H$5:$H$1204,"Retail"),2))</f>
        <v>0</v>
      </c>
      <c r="AH224" s="26">
        <f>IF(B224="","",ROUND(AG224-U224*IF(H224="",0,H224),2))</f>
        <v>0</v>
      </c>
      <c r="AI224" s="25">
        <f>IF(B224="","",COUNTIFS($AG$5:$AG$304,"&gt;"&amp;AG224)+COUNTIFS($AG$5:AG224,AG224))</f>
        <v>0</v>
      </c>
      <c r="AJ224" s="39">
        <f>IF(B224="","",IF(H224="","Add - no cost, no stock value",IF(Z224="Out of stock","Out of stock - order today",IF(Z224="Low stock","Order - running low",IF(IF(Q224="",FALSE,Q224&lt;=TodayDate+30),"Check - expiring within a month",IF(IF(R224="Yes",AD224&lt;0.25,FALSE),"Below - thin margin for a retail line",IF(IF(P224="",TRUE,TodayDate-P224&gt;90),"Due - not counted in three months","OK")))))))</f>
        <v>0</v>
      </c>
    </row>
    <row r="225" spans="1:36">
      <c r="A225" s="28">
        <f>IF(B225="","",ProductPrefix&amp;TEXT(ROW()-4,"000"))</f>
        <v>0</v>
      </c>
      <c r="T225" s="37">
        <f>IF(B225="","",ROUND(SUMIFS(Purchases!$U$5:$U$304,Purchases!$D$5:$D$304,A225),2))</f>
        <v>0</v>
      </c>
      <c r="U225" s="37">
        <f>IF(B225="","",ROUND(SUMIFS(Sales!$T$5:$T$1204,Sales!$I$5:$I$1204,A225,Sales!$H$5:$H$1204,"Retail"),2))</f>
        <v>0</v>
      </c>
      <c r="V225" s="37">
        <f>IF(B225="","",ROUND(IF(J225="",0,J225)+T225-IF(K225="",0,K225)-U225-IF(L225="",0,L225)+IF(M225="",0,M225),2))</f>
        <v>0</v>
      </c>
      <c r="W225" s="37">
        <f>IF(B225="","",ROUND((U225+IF(K225="",0,K225))/MAX(4,TrackingWeeks),2))</f>
        <v>0</v>
      </c>
      <c r="X225" s="37">
        <f>IF(B225="","",IF(W225&lt;=0,"",ROUND(V225/W225,1)))</f>
        <v>0</v>
      </c>
      <c r="Y225" s="37">
        <f>IF(B225="","",IF(N225&lt;&gt;"",N225,ROUND(W225*StockWarningWeeks,1)))</f>
        <v>0</v>
      </c>
      <c r="Z225" s="39">
        <f>IF(B225="","",IF(V225&lt;=0,"Out of stock",IF(V225&lt;=Y225,"Low stock",IF(R225="No","Backbar","In stock"))))</f>
        <v>0</v>
      </c>
      <c r="AA225" s="37">
        <f>IF(B225="","",IF(Z225="In stock","",IF(Z225="Backbar",IF(V225&lt;=Y225,MAX(1,IF(O225="",ROUND(W225*ReorderWeeks,0),O225)),""),MAX(1,IF(O225="",ROUND(W225*ReorderWeeks,0),O225)))))</f>
        <v>0</v>
      </c>
      <c r="AB225" s="26">
        <f>IF(B225="","",ROUND(V225*IF(H225="",0,H225),2))</f>
        <v>0</v>
      </c>
      <c r="AC225" s="26">
        <f>IF(B225="","",ROUND(V225*IF(I225="",0,I225),2))</f>
        <v>0</v>
      </c>
      <c r="AD225" s="27">
        <f>IF(B225="","",IF(IF(I225="",0,I225)=0,"",(I225-IF(H225="",0,H225))/I225))</f>
        <v>0</v>
      </c>
      <c r="AE225" s="26">
        <f>IF(B225="","",IF(H225="","",H225*RetailMarkup))</f>
        <v>0</v>
      </c>
      <c r="AF225" s="26">
        <f>IF(B225="","",IF(AE225="","",ROUND(IF(RoundingRule="None",AE225,IF(RoundingRule="Nearest 0.99",MAX(0.99,CEILING(AE225,1)-0.01),IF(RoundingRule="Nearest 0.95",MAX(0.95,CEILING(AE225,1)-0.05),IF(RoundingRule="Nearest 0.50",CEILING(AE225,0.5),IF(RoundingRule="Nearest 1",CEILING(AE225,1),IF(RoundingRule="Nearest 5",CEILING(AE225,5),IF(RoundingRule="Up to whole 1",CEILING(AE225,1),IF(RoundingRule="Up to whole 5",CEILING(AE225,5),ROUND(AE225,2))))))))),2)))</f>
        <v>0</v>
      </c>
      <c r="AG225" s="26">
        <f>IF(B225="","",ROUND(SUMIFS(Sales!$Y$5:$Y$1204,Sales!$I$5:$I$1204,A225,Sales!$H$5:$H$1204,"Retail"),2))</f>
        <v>0</v>
      </c>
      <c r="AH225" s="26">
        <f>IF(B225="","",ROUND(AG225-U225*IF(H225="",0,H225),2))</f>
        <v>0</v>
      </c>
      <c r="AI225" s="25">
        <f>IF(B225="","",COUNTIFS($AG$5:$AG$304,"&gt;"&amp;AG225)+COUNTIFS($AG$5:AG225,AG225))</f>
        <v>0</v>
      </c>
      <c r="AJ225" s="39">
        <f>IF(B225="","",IF(H225="","Add - no cost, no stock value",IF(Z225="Out of stock","Out of stock - order today",IF(Z225="Low stock","Order - running low",IF(IF(Q225="",FALSE,Q225&lt;=TodayDate+30),"Check - expiring within a month",IF(IF(R225="Yes",AD225&lt;0.25,FALSE),"Below - thin margin for a retail line",IF(IF(P225="",TRUE,TodayDate-P225&gt;90),"Due - not counted in three months","OK")))))))</f>
        <v>0</v>
      </c>
    </row>
    <row r="226" spans="1:36">
      <c r="A226" s="28">
        <f>IF(B226="","",ProductPrefix&amp;TEXT(ROW()-4,"000"))</f>
        <v>0</v>
      </c>
      <c r="T226" s="37">
        <f>IF(B226="","",ROUND(SUMIFS(Purchases!$U$5:$U$304,Purchases!$D$5:$D$304,A226),2))</f>
        <v>0</v>
      </c>
      <c r="U226" s="37">
        <f>IF(B226="","",ROUND(SUMIFS(Sales!$T$5:$T$1204,Sales!$I$5:$I$1204,A226,Sales!$H$5:$H$1204,"Retail"),2))</f>
        <v>0</v>
      </c>
      <c r="V226" s="37">
        <f>IF(B226="","",ROUND(IF(J226="",0,J226)+T226-IF(K226="",0,K226)-U226-IF(L226="",0,L226)+IF(M226="",0,M226),2))</f>
        <v>0</v>
      </c>
      <c r="W226" s="37">
        <f>IF(B226="","",ROUND((U226+IF(K226="",0,K226))/MAX(4,TrackingWeeks),2))</f>
        <v>0</v>
      </c>
      <c r="X226" s="37">
        <f>IF(B226="","",IF(W226&lt;=0,"",ROUND(V226/W226,1)))</f>
        <v>0</v>
      </c>
      <c r="Y226" s="37">
        <f>IF(B226="","",IF(N226&lt;&gt;"",N226,ROUND(W226*StockWarningWeeks,1)))</f>
        <v>0</v>
      </c>
      <c r="Z226" s="39">
        <f>IF(B226="","",IF(V226&lt;=0,"Out of stock",IF(V226&lt;=Y226,"Low stock",IF(R226="No","Backbar","In stock"))))</f>
        <v>0</v>
      </c>
      <c r="AA226" s="37">
        <f>IF(B226="","",IF(Z226="In stock","",IF(Z226="Backbar",IF(V226&lt;=Y226,MAX(1,IF(O226="",ROUND(W226*ReorderWeeks,0),O226)),""),MAX(1,IF(O226="",ROUND(W226*ReorderWeeks,0),O226)))))</f>
        <v>0</v>
      </c>
      <c r="AB226" s="26">
        <f>IF(B226="","",ROUND(V226*IF(H226="",0,H226),2))</f>
        <v>0</v>
      </c>
      <c r="AC226" s="26">
        <f>IF(B226="","",ROUND(V226*IF(I226="",0,I226),2))</f>
        <v>0</v>
      </c>
      <c r="AD226" s="27">
        <f>IF(B226="","",IF(IF(I226="",0,I226)=0,"",(I226-IF(H226="",0,H226))/I226))</f>
        <v>0</v>
      </c>
      <c r="AE226" s="26">
        <f>IF(B226="","",IF(H226="","",H226*RetailMarkup))</f>
        <v>0</v>
      </c>
      <c r="AF226" s="26">
        <f>IF(B226="","",IF(AE226="","",ROUND(IF(RoundingRule="None",AE226,IF(RoundingRule="Nearest 0.99",MAX(0.99,CEILING(AE226,1)-0.01),IF(RoundingRule="Nearest 0.95",MAX(0.95,CEILING(AE226,1)-0.05),IF(RoundingRule="Nearest 0.50",CEILING(AE226,0.5),IF(RoundingRule="Nearest 1",CEILING(AE226,1),IF(RoundingRule="Nearest 5",CEILING(AE226,5),IF(RoundingRule="Up to whole 1",CEILING(AE226,1),IF(RoundingRule="Up to whole 5",CEILING(AE226,5),ROUND(AE226,2))))))))),2)))</f>
        <v>0</v>
      </c>
      <c r="AG226" s="26">
        <f>IF(B226="","",ROUND(SUMIFS(Sales!$Y$5:$Y$1204,Sales!$I$5:$I$1204,A226,Sales!$H$5:$H$1204,"Retail"),2))</f>
        <v>0</v>
      </c>
      <c r="AH226" s="26">
        <f>IF(B226="","",ROUND(AG226-U226*IF(H226="",0,H226),2))</f>
        <v>0</v>
      </c>
      <c r="AI226" s="25">
        <f>IF(B226="","",COUNTIFS($AG$5:$AG$304,"&gt;"&amp;AG226)+COUNTIFS($AG$5:AG226,AG226))</f>
        <v>0</v>
      </c>
      <c r="AJ226" s="39">
        <f>IF(B226="","",IF(H226="","Add - no cost, no stock value",IF(Z226="Out of stock","Out of stock - order today",IF(Z226="Low stock","Order - running low",IF(IF(Q226="",FALSE,Q226&lt;=TodayDate+30),"Check - expiring within a month",IF(IF(R226="Yes",AD226&lt;0.25,FALSE),"Below - thin margin for a retail line",IF(IF(P226="",TRUE,TodayDate-P226&gt;90),"Due - not counted in three months","OK")))))))</f>
        <v>0</v>
      </c>
    </row>
    <row r="227" spans="1:36">
      <c r="A227" s="28">
        <f>IF(B227="","",ProductPrefix&amp;TEXT(ROW()-4,"000"))</f>
        <v>0</v>
      </c>
      <c r="T227" s="37">
        <f>IF(B227="","",ROUND(SUMIFS(Purchases!$U$5:$U$304,Purchases!$D$5:$D$304,A227),2))</f>
        <v>0</v>
      </c>
      <c r="U227" s="37">
        <f>IF(B227="","",ROUND(SUMIFS(Sales!$T$5:$T$1204,Sales!$I$5:$I$1204,A227,Sales!$H$5:$H$1204,"Retail"),2))</f>
        <v>0</v>
      </c>
      <c r="V227" s="37">
        <f>IF(B227="","",ROUND(IF(J227="",0,J227)+T227-IF(K227="",0,K227)-U227-IF(L227="",0,L227)+IF(M227="",0,M227),2))</f>
        <v>0</v>
      </c>
      <c r="W227" s="37">
        <f>IF(B227="","",ROUND((U227+IF(K227="",0,K227))/MAX(4,TrackingWeeks),2))</f>
        <v>0</v>
      </c>
      <c r="X227" s="37">
        <f>IF(B227="","",IF(W227&lt;=0,"",ROUND(V227/W227,1)))</f>
        <v>0</v>
      </c>
      <c r="Y227" s="37">
        <f>IF(B227="","",IF(N227&lt;&gt;"",N227,ROUND(W227*StockWarningWeeks,1)))</f>
        <v>0</v>
      </c>
      <c r="Z227" s="39">
        <f>IF(B227="","",IF(V227&lt;=0,"Out of stock",IF(V227&lt;=Y227,"Low stock",IF(R227="No","Backbar","In stock"))))</f>
        <v>0</v>
      </c>
      <c r="AA227" s="37">
        <f>IF(B227="","",IF(Z227="In stock","",IF(Z227="Backbar",IF(V227&lt;=Y227,MAX(1,IF(O227="",ROUND(W227*ReorderWeeks,0),O227)),""),MAX(1,IF(O227="",ROUND(W227*ReorderWeeks,0),O227)))))</f>
        <v>0</v>
      </c>
      <c r="AB227" s="26">
        <f>IF(B227="","",ROUND(V227*IF(H227="",0,H227),2))</f>
        <v>0</v>
      </c>
      <c r="AC227" s="26">
        <f>IF(B227="","",ROUND(V227*IF(I227="",0,I227),2))</f>
        <v>0</v>
      </c>
      <c r="AD227" s="27">
        <f>IF(B227="","",IF(IF(I227="",0,I227)=0,"",(I227-IF(H227="",0,H227))/I227))</f>
        <v>0</v>
      </c>
      <c r="AE227" s="26">
        <f>IF(B227="","",IF(H227="","",H227*RetailMarkup))</f>
        <v>0</v>
      </c>
      <c r="AF227" s="26">
        <f>IF(B227="","",IF(AE227="","",ROUND(IF(RoundingRule="None",AE227,IF(RoundingRule="Nearest 0.99",MAX(0.99,CEILING(AE227,1)-0.01),IF(RoundingRule="Nearest 0.95",MAX(0.95,CEILING(AE227,1)-0.05),IF(RoundingRule="Nearest 0.50",CEILING(AE227,0.5),IF(RoundingRule="Nearest 1",CEILING(AE227,1),IF(RoundingRule="Nearest 5",CEILING(AE227,5),IF(RoundingRule="Up to whole 1",CEILING(AE227,1),IF(RoundingRule="Up to whole 5",CEILING(AE227,5),ROUND(AE227,2))))))))),2)))</f>
        <v>0</v>
      </c>
      <c r="AG227" s="26">
        <f>IF(B227="","",ROUND(SUMIFS(Sales!$Y$5:$Y$1204,Sales!$I$5:$I$1204,A227,Sales!$H$5:$H$1204,"Retail"),2))</f>
        <v>0</v>
      </c>
      <c r="AH227" s="26">
        <f>IF(B227="","",ROUND(AG227-U227*IF(H227="",0,H227),2))</f>
        <v>0</v>
      </c>
      <c r="AI227" s="25">
        <f>IF(B227="","",COUNTIFS($AG$5:$AG$304,"&gt;"&amp;AG227)+COUNTIFS($AG$5:AG227,AG227))</f>
        <v>0</v>
      </c>
      <c r="AJ227" s="39">
        <f>IF(B227="","",IF(H227="","Add - no cost, no stock value",IF(Z227="Out of stock","Out of stock - order today",IF(Z227="Low stock","Order - running low",IF(IF(Q227="",FALSE,Q227&lt;=TodayDate+30),"Check - expiring within a month",IF(IF(R227="Yes",AD227&lt;0.25,FALSE),"Below - thin margin for a retail line",IF(IF(P227="",TRUE,TodayDate-P227&gt;90),"Due - not counted in three months","OK")))))))</f>
        <v>0</v>
      </c>
    </row>
    <row r="228" spans="1:36">
      <c r="A228" s="28">
        <f>IF(B228="","",ProductPrefix&amp;TEXT(ROW()-4,"000"))</f>
        <v>0</v>
      </c>
      <c r="T228" s="37">
        <f>IF(B228="","",ROUND(SUMIFS(Purchases!$U$5:$U$304,Purchases!$D$5:$D$304,A228),2))</f>
        <v>0</v>
      </c>
      <c r="U228" s="37">
        <f>IF(B228="","",ROUND(SUMIFS(Sales!$T$5:$T$1204,Sales!$I$5:$I$1204,A228,Sales!$H$5:$H$1204,"Retail"),2))</f>
        <v>0</v>
      </c>
      <c r="V228" s="37">
        <f>IF(B228="","",ROUND(IF(J228="",0,J228)+T228-IF(K228="",0,K228)-U228-IF(L228="",0,L228)+IF(M228="",0,M228),2))</f>
        <v>0</v>
      </c>
      <c r="W228" s="37">
        <f>IF(B228="","",ROUND((U228+IF(K228="",0,K228))/MAX(4,TrackingWeeks),2))</f>
        <v>0</v>
      </c>
      <c r="X228" s="37">
        <f>IF(B228="","",IF(W228&lt;=0,"",ROUND(V228/W228,1)))</f>
        <v>0</v>
      </c>
      <c r="Y228" s="37">
        <f>IF(B228="","",IF(N228&lt;&gt;"",N228,ROUND(W228*StockWarningWeeks,1)))</f>
        <v>0</v>
      </c>
      <c r="Z228" s="39">
        <f>IF(B228="","",IF(V228&lt;=0,"Out of stock",IF(V228&lt;=Y228,"Low stock",IF(R228="No","Backbar","In stock"))))</f>
        <v>0</v>
      </c>
      <c r="AA228" s="37">
        <f>IF(B228="","",IF(Z228="In stock","",IF(Z228="Backbar",IF(V228&lt;=Y228,MAX(1,IF(O228="",ROUND(W228*ReorderWeeks,0),O228)),""),MAX(1,IF(O228="",ROUND(W228*ReorderWeeks,0),O228)))))</f>
        <v>0</v>
      </c>
      <c r="AB228" s="26">
        <f>IF(B228="","",ROUND(V228*IF(H228="",0,H228),2))</f>
        <v>0</v>
      </c>
      <c r="AC228" s="26">
        <f>IF(B228="","",ROUND(V228*IF(I228="",0,I228),2))</f>
        <v>0</v>
      </c>
      <c r="AD228" s="27">
        <f>IF(B228="","",IF(IF(I228="",0,I228)=0,"",(I228-IF(H228="",0,H228))/I228))</f>
        <v>0</v>
      </c>
      <c r="AE228" s="26">
        <f>IF(B228="","",IF(H228="","",H228*RetailMarkup))</f>
        <v>0</v>
      </c>
      <c r="AF228" s="26">
        <f>IF(B228="","",IF(AE228="","",ROUND(IF(RoundingRule="None",AE228,IF(RoundingRule="Nearest 0.99",MAX(0.99,CEILING(AE228,1)-0.01),IF(RoundingRule="Nearest 0.95",MAX(0.95,CEILING(AE228,1)-0.05),IF(RoundingRule="Nearest 0.50",CEILING(AE228,0.5),IF(RoundingRule="Nearest 1",CEILING(AE228,1),IF(RoundingRule="Nearest 5",CEILING(AE228,5),IF(RoundingRule="Up to whole 1",CEILING(AE228,1),IF(RoundingRule="Up to whole 5",CEILING(AE228,5),ROUND(AE228,2))))))))),2)))</f>
        <v>0</v>
      </c>
      <c r="AG228" s="26">
        <f>IF(B228="","",ROUND(SUMIFS(Sales!$Y$5:$Y$1204,Sales!$I$5:$I$1204,A228,Sales!$H$5:$H$1204,"Retail"),2))</f>
        <v>0</v>
      </c>
      <c r="AH228" s="26">
        <f>IF(B228="","",ROUND(AG228-U228*IF(H228="",0,H228),2))</f>
        <v>0</v>
      </c>
      <c r="AI228" s="25">
        <f>IF(B228="","",COUNTIFS($AG$5:$AG$304,"&gt;"&amp;AG228)+COUNTIFS($AG$5:AG228,AG228))</f>
        <v>0</v>
      </c>
      <c r="AJ228" s="39">
        <f>IF(B228="","",IF(H228="","Add - no cost, no stock value",IF(Z228="Out of stock","Out of stock - order today",IF(Z228="Low stock","Order - running low",IF(IF(Q228="",FALSE,Q228&lt;=TodayDate+30),"Check - expiring within a month",IF(IF(R228="Yes",AD228&lt;0.25,FALSE),"Below - thin margin for a retail line",IF(IF(P228="",TRUE,TodayDate-P228&gt;90),"Due - not counted in three months","OK")))))))</f>
        <v>0</v>
      </c>
    </row>
    <row r="229" spans="1:36">
      <c r="A229" s="28">
        <f>IF(B229="","",ProductPrefix&amp;TEXT(ROW()-4,"000"))</f>
        <v>0</v>
      </c>
      <c r="T229" s="37">
        <f>IF(B229="","",ROUND(SUMIFS(Purchases!$U$5:$U$304,Purchases!$D$5:$D$304,A229),2))</f>
        <v>0</v>
      </c>
      <c r="U229" s="37">
        <f>IF(B229="","",ROUND(SUMIFS(Sales!$T$5:$T$1204,Sales!$I$5:$I$1204,A229,Sales!$H$5:$H$1204,"Retail"),2))</f>
        <v>0</v>
      </c>
      <c r="V229" s="37">
        <f>IF(B229="","",ROUND(IF(J229="",0,J229)+T229-IF(K229="",0,K229)-U229-IF(L229="",0,L229)+IF(M229="",0,M229),2))</f>
        <v>0</v>
      </c>
      <c r="W229" s="37">
        <f>IF(B229="","",ROUND((U229+IF(K229="",0,K229))/MAX(4,TrackingWeeks),2))</f>
        <v>0</v>
      </c>
      <c r="X229" s="37">
        <f>IF(B229="","",IF(W229&lt;=0,"",ROUND(V229/W229,1)))</f>
        <v>0</v>
      </c>
      <c r="Y229" s="37">
        <f>IF(B229="","",IF(N229&lt;&gt;"",N229,ROUND(W229*StockWarningWeeks,1)))</f>
        <v>0</v>
      </c>
      <c r="Z229" s="39">
        <f>IF(B229="","",IF(V229&lt;=0,"Out of stock",IF(V229&lt;=Y229,"Low stock",IF(R229="No","Backbar","In stock"))))</f>
        <v>0</v>
      </c>
      <c r="AA229" s="37">
        <f>IF(B229="","",IF(Z229="In stock","",IF(Z229="Backbar",IF(V229&lt;=Y229,MAX(1,IF(O229="",ROUND(W229*ReorderWeeks,0),O229)),""),MAX(1,IF(O229="",ROUND(W229*ReorderWeeks,0),O229)))))</f>
        <v>0</v>
      </c>
      <c r="AB229" s="26">
        <f>IF(B229="","",ROUND(V229*IF(H229="",0,H229),2))</f>
        <v>0</v>
      </c>
      <c r="AC229" s="26">
        <f>IF(B229="","",ROUND(V229*IF(I229="",0,I229),2))</f>
        <v>0</v>
      </c>
      <c r="AD229" s="27">
        <f>IF(B229="","",IF(IF(I229="",0,I229)=0,"",(I229-IF(H229="",0,H229))/I229))</f>
        <v>0</v>
      </c>
      <c r="AE229" s="26">
        <f>IF(B229="","",IF(H229="","",H229*RetailMarkup))</f>
        <v>0</v>
      </c>
      <c r="AF229" s="26">
        <f>IF(B229="","",IF(AE229="","",ROUND(IF(RoundingRule="None",AE229,IF(RoundingRule="Nearest 0.99",MAX(0.99,CEILING(AE229,1)-0.01),IF(RoundingRule="Nearest 0.95",MAX(0.95,CEILING(AE229,1)-0.05),IF(RoundingRule="Nearest 0.50",CEILING(AE229,0.5),IF(RoundingRule="Nearest 1",CEILING(AE229,1),IF(RoundingRule="Nearest 5",CEILING(AE229,5),IF(RoundingRule="Up to whole 1",CEILING(AE229,1),IF(RoundingRule="Up to whole 5",CEILING(AE229,5),ROUND(AE229,2))))))))),2)))</f>
        <v>0</v>
      </c>
      <c r="AG229" s="26">
        <f>IF(B229="","",ROUND(SUMIFS(Sales!$Y$5:$Y$1204,Sales!$I$5:$I$1204,A229,Sales!$H$5:$H$1204,"Retail"),2))</f>
        <v>0</v>
      </c>
      <c r="AH229" s="26">
        <f>IF(B229="","",ROUND(AG229-U229*IF(H229="",0,H229),2))</f>
        <v>0</v>
      </c>
      <c r="AI229" s="25">
        <f>IF(B229="","",COUNTIFS($AG$5:$AG$304,"&gt;"&amp;AG229)+COUNTIFS($AG$5:AG229,AG229))</f>
        <v>0</v>
      </c>
      <c r="AJ229" s="39">
        <f>IF(B229="","",IF(H229="","Add - no cost, no stock value",IF(Z229="Out of stock","Out of stock - order today",IF(Z229="Low stock","Order - running low",IF(IF(Q229="",FALSE,Q229&lt;=TodayDate+30),"Check - expiring within a month",IF(IF(R229="Yes",AD229&lt;0.25,FALSE),"Below - thin margin for a retail line",IF(IF(P229="",TRUE,TodayDate-P229&gt;90),"Due - not counted in three months","OK")))))))</f>
        <v>0</v>
      </c>
    </row>
    <row r="230" spans="1:36">
      <c r="A230" s="28">
        <f>IF(B230="","",ProductPrefix&amp;TEXT(ROW()-4,"000"))</f>
        <v>0</v>
      </c>
      <c r="T230" s="37">
        <f>IF(B230="","",ROUND(SUMIFS(Purchases!$U$5:$U$304,Purchases!$D$5:$D$304,A230),2))</f>
        <v>0</v>
      </c>
      <c r="U230" s="37">
        <f>IF(B230="","",ROUND(SUMIFS(Sales!$T$5:$T$1204,Sales!$I$5:$I$1204,A230,Sales!$H$5:$H$1204,"Retail"),2))</f>
        <v>0</v>
      </c>
      <c r="V230" s="37">
        <f>IF(B230="","",ROUND(IF(J230="",0,J230)+T230-IF(K230="",0,K230)-U230-IF(L230="",0,L230)+IF(M230="",0,M230),2))</f>
        <v>0</v>
      </c>
      <c r="W230" s="37">
        <f>IF(B230="","",ROUND((U230+IF(K230="",0,K230))/MAX(4,TrackingWeeks),2))</f>
        <v>0</v>
      </c>
      <c r="X230" s="37">
        <f>IF(B230="","",IF(W230&lt;=0,"",ROUND(V230/W230,1)))</f>
        <v>0</v>
      </c>
      <c r="Y230" s="37">
        <f>IF(B230="","",IF(N230&lt;&gt;"",N230,ROUND(W230*StockWarningWeeks,1)))</f>
        <v>0</v>
      </c>
      <c r="Z230" s="39">
        <f>IF(B230="","",IF(V230&lt;=0,"Out of stock",IF(V230&lt;=Y230,"Low stock",IF(R230="No","Backbar","In stock"))))</f>
        <v>0</v>
      </c>
      <c r="AA230" s="37">
        <f>IF(B230="","",IF(Z230="In stock","",IF(Z230="Backbar",IF(V230&lt;=Y230,MAX(1,IF(O230="",ROUND(W230*ReorderWeeks,0),O230)),""),MAX(1,IF(O230="",ROUND(W230*ReorderWeeks,0),O230)))))</f>
        <v>0</v>
      </c>
      <c r="AB230" s="26">
        <f>IF(B230="","",ROUND(V230*IF(H230="",0,H230),2))</f>
        <v>0</v>
      </c>
      <c r="AC230" s="26">
        <f>IF(B230="","",ROUND(V230*IF(I230="",0,I230),2))</f>
        <v>0</v>
      </c>
      <c r="AD230" s="27">
        <f>IF(B230="","",IF(IF(I230="",0,I230)=0,"",(I230-IF(H230="",0,H230))/I230))</f>
        <v>0</v>
      </c>
      <c r="AE230" s="26">
        <f>IF(B230="","",IF(H230="","",H230*RetailMarkup))</f>
        <v>0</v>
      </c>
      <c r="AF230" s="26">
        <f>IF(B230="","",IF(AE230="","",ROUND(IF(RoundingRule="None",AE230,IF(RoundingRule="Nearest 0.99",MAX(0.99,CEILING(AE230,1)-0.01),IF(RoundingRule="Nearest 0.95",MAX(0.95,CEILING(AE230,1)-0.05),IF(RoundingRule="Nearest 0.50",CEILING(AE230,0.5),IF(RoundingRule="Nearest 1",CEILING(AE230,1),IF(RoundingRule="Nearest 5",CEILING(AE230,5),IF(RoundingRule="Up to whole 1",CEILING(AE230,1),IF(RoundingRule="Up to whole 5",CEILING(AE230,5),ROUND(AE230,2))))))))),2)))</f>
        <v>0</v>
      </c>
      <c r="AG230" s="26">
        <f>IF(B230="","",ROUND(SUMIFS(Sales!$Y$5:$Y$1204,Sales!$I$5:$I$1204,A230,Sales!$H$5:$H$1204,"Retail"),2))</f>
        <v>0</v>
      </c>
      <c r="AH230" s="26">
        <f>IF(B230="","",ROUND(AG230-U230*IF(H230="",0,H230),2))</f>
        <v>0</v>
      </c>
      <c r="AI230" s="25">
        <f>IF(B230="","",COUNTIFS($AG$5:$AG$304,"&gt;"&amp;AG230)+COUNTIFS($AG$5:AG230,AG230))</f>
        <v>0</v>
      </c>
      <c r="AJ230" s="39">
        <f>IF(B230="","",IF(H230="","Add - no cost, no stock value",IF(Z230="Out of stock","Out of stock - order today",IF(Z230="Low stock","Order - running low",IF(IF(Q230="",FALSE,Q230&lt;=TodayDate+30),"Check - expiring within a month",IF(IF(R230="Yes",AD230&lt;0.25,FALSE),"Below - thin margin for a retail line",IF(IF(P230="",TRUE,TodayDate-P230&gt;90),"Due - not counted in three months","OK")))))))</f>
        <v>0</v>
      </c>
    </row>
    <row r="231" spans="1:36">
      <c r="A231" s="28">
        <f>IF(B231="","",ProductPrefix&amp;TEXT(ROW()-4,"000"))</f>
        <v>0</v>
      </c>
      <c r="T231" s="37">
        <f>IF(B231="","",ROUND(SUMIFS(Purchases!$U$5:$U$304,Purchases!$D$5:$D$304,A231),2))</f>
        <v>0</v>
      </c>
      <c r="U231" s="37">
        <f>IF(B231="","",ROUND(SUMIFS(Sales!$T$5:$T$1204,Sales!$I$5:$I$1204,A231,Sales!$H$5:$H$1204,"Retail"),2))</f>
        <v>0</v>
      </c>
      <c r="V231" s="37">
        <f>IF(B231="","",ROUND(IF(J231="",0,J231)+T231-IF(K231="",0,K231)-U231-IF(L231="",0,L231)+IF(M231="",0,M231),2))</f>
        <v>0</v>
      </c>
      <c r="W231" s="37">
        <f>IF(B231="","",ROUND((U231+IF(K231="",0,K231))/MAX(4,TrackingWeeks),2))</f>
        <v>0</v>
      </c>
      <c r="X231" s="37">
        <f>IF(B231="","",IF(W231&lt;=0,"",ROUND(V231/W231,1)))</f>
        <v>0</v>
      </c>
      <c r="Y231" s="37">
        <f>IF(B231="","",IF(N231&lt;&gt;"",N231,ROUND(W231*StockWarningWeeks,1)))</f>
        <v>0</v>
      </c>
      <c r="Z231" s="39">
        <f>IF(B231="","",IF(V231&lt;=0,"Out of stock",IF(V231&lt;=Y231,"Low stock",IF(R231="No","Backbar","In stock"))))</f>
        <v>0</v>
      </c>
      <c r="AA231" s="37">
        <f>IF(B231="","",IF(Z231="In stock","",IF(Z231="Backbar",IF(V231&lt;=Y231,MAX(1,IF(O231="",ROUND(W231*ReorderWeeks,0),O231)),""),MAX(1,IF(O231="",ROUND(W231*ReorderWeeks,0),O231)))))</f>
        <v>0</v>
      </c>
      <c r="AB231" s="26">
        <f>IF(B231="","",ROUND(V231*IF(H231="",0,H231),2))</f>
        <v>0</v>
      </c>
      <c r="AC231" s="26">
        <f>IF(B231="","",ROUND(V231*IF(I231="",0,I231),2))</f>
        <v>0</v>
      </c>
      <c r="AD231" s="27">
        <f>IF(B231="","",IF(IF(I231="",0,I231)=0,"",(I231-IF(H231="",0,H231))/I231))</f>
        <v>0</v>
      </c>
      <c r="AE231" s="26">
        <f>IF(B231="","",IF(H231="","",H231*RetailMarkup))</f>
        <v>0</v>
      </c>
      <c r="AF231" s="26">
        <f>IF(B231="","",IF(AE231="","",ROUND(IF(RoundingRule="None",AE231,IF(RoundingRule="Nearest 0.99",MAX(0.99,CEILING(AE231,1)-0.01),IF(RoundingRule="Nearest 0.95",MAX(0.95,CEILING(AE231,1)-0.05),IF(RoundingRule="Nearest 0.50",CEILING(AE231,0.5),IF(RoundingRule="Nearest 1",CEILING(AE231,1),IF(RoundingRule="Nearest 5",CEILING(AE231,5),IF(RoundingRule="Up to whole 1",CEILING(AE231,1),IF(RoundingRule="Up to whole 5",CEILING(AE231,5),ROUND(AE231,2))))))))),2)))</f>
        <v>0</v>
      </c>
      <c r="AG231" s="26">
        <f>IF(B231="","",ROUND(SUMIFS(Sales!$Y$5:$Y$1204,Sales!$I$5:$I$1204,A231,Sales!$H$5:$H$1204,"Retail"),2))</f>
        <v>0</v>
      </c>
      <c r="AH231" s="26">
        <f>IF(B231="","",ROUND(AG231-U231*IF(H231="",0,H231),2))</f>
        <v>0</v>
      </c>
      <c r="AI231" s="25">
        <f>IF(B231="","",COUNTIFS($AG$5:$AG$304,"&gt;"&amp;AG231)+COUNTIFS($AG$5:AG231,AG231))</f>
        <v>0</v>
      </c>
      <c r="AJ231" s="39">
        <f>IF(B231="","",IF(H231="","Add - no cost, no stock value",IF(Z231="Out of stock","Out of stock - order today",IF(Z231="Low stock","Order - running low",IF(IF(Q231="",FALSE,Q231&lt;=TodayDate+30),"Check - expiring within a month",IF(IF(R231="Yes",AD231&lt;0.25,FALSE),"Below - thin margin for a retail line",IF(IF(P231="",TRUE,TodayDate-P231&gt;90),"Due - not counted in three months","OK")))))))</f>
        <v>0</v>
      </c>
    </row>
    <row r="232" spans="1:36">
      <c r="A232" s="28">
        <f>IF(B232="","",ProductPrefix&amp;TEXT(ROW()-4,"000"))</f>
        <v>0</v>
      </c>
      <c r="T232" s="37">
        <f>IF(B232="","",ROUND(SUMIFS(Purchases!$U$5:$U$304,Purchases!$D$5:$D$304,A232),2))</f>
        <v>0</v>
      </c>
      <c r="U232" s="37">
        <f>IF(B232="","",ROUND(SUMIFS(Sales!$T$5:$T$1204,Sales!$I$5:$I$1204,A232,Sales!$H$5:$H$1204,"Retail"),2))</f>
        <v>0</v>
      </c>
      <c r="V232" s="37">
        <f>IF(B232="","",ROUND(IF(J232="",0,J232)+T232-IF(K232="",0,K232)-U232-IF(L232="",0,L232)+IF(M232="",0,M232),2))</f>
        <v>0</v>
      </c>
      <c r="W232" s="37">
        <f>IF(B232="","",ROUND((U232+IF(K232="",0,K232))/MAX(4,TrackingWeeks),2))</f>
        <v>0</v>
      </c>
      <c r="X232" s="37">
        <f>IF(B232="","",IF(W232&lt;=0,"",ROUND(V232/W232,1)))</f>
        <v>0</v>
      </c>
      <c r="Y232" s="37">
        <f>IF(B232="","",IF(N232&lt;&gt;"",N232,ROUND(W232*StockWarningWeeks,1)))</f>
        <v>0</v>
      </c>
      <c r="Z232" s="39">
        <f>IF(B232="","",IF(V232&lt;=0,"Out of stock",IF(V232&lt;=Y232,"Low stock",IF(R232="No","Backbar","In stock"))))</f>
        <v>0</v>
      </c>
      <c r="AA232" s="37">
        <f>IF(B232="","",IF(Z232="In stock","",IF(Z232="Backbar",IF(V232&lt;=Y232,MAX(1,IF(O232="",ROUND(W232*ReorderWeeks,0),O232)),""),MAX(1,IF(O232="",ROUND(W232*ReorderWeeks,0),O232)))))</f>
        <v>0</v>
      </c>
      <c r="AB232" s="26">
        <f>IF(B232="","",ROUND(V232*IF(H232="",0,H232),2))</f>
        <v>0</v>
      </c>
      <c r="AC232" s="26">
        <f>IF(B232="","",ROUND(V232*IF(I232="",0,I232),2))</f>
        <v>0</v>
      </c>
      <c r="AD232" s="27">
        <f>IF(B232="","",IF(IF(I232="",0,I232)=0,"",(I232-IF(H232="",0,H232))/I232))</f>
        <v>0</v>
      </c>
      <c r="AE232" s="26">
        <f>IF(B232="","",IF(H232="","",H232*RetailMarkup))</f>
        <v>0</v>
      </c>
      <c r="AF232" s="26">
        <f>IF(B232="","",IF(AE232="","",ROUND(IF(RoundingRule="None",AE232,IF(RoundingRule="Nearest 0.99",MAX(0.99,CEILING(AE232,1)-0.01),IF(RoundingRule="Nearest 0.95",MAX(0.95,CEILING(AE232,1)-0.05),IF(RoundingRule="Nearest 0.50",CEILING(AE232,0.5),IF(RoundingRule="Nearest 1",CEILING(AE232,1),IF(RoundingRule="Nearest 5",CEILING(AE232,5),IF(RoundingRule="Up to whole 1",CEILING(AE232,1),IF(RoundingRule="Up to whole 5",CEILING(AE232,5),ROUND(AE232,2))))))))),2)))</f>
        <v>0</v>
      </c>
      <c r="AG232" s="26">
        <f>IF(B232="","",ROUND(SUMIFS(Sales!$Y$5:$Y$1204,Sales!$I$5:$I$1204,A232,Sales!$H$5:$H$1204,"Retail"),2))</f>
        <v>0</v>
      </c>
      <c r="AH232" s="26">
        <f>IF(B232="","",ROUND(AG232-U232*IF(H232="",0,H232),2))</f>
        <v>0</v>
      </c>
      <c r="AI232" s="25">
        <f>IF(B232="","",COUNTIFS($AG$5:$AG$304,"&gt;"&amp;AG232)+COUNTIFS($AG$5:AG232,AG232))</f>
        <v>0</v>
      </c>
      <c r="AJ232" s="39">
        <f>IF(B232="","",IF(H232="","Add - no cost, no stock value",IF(Z232="Out of stock","Out of stock - order today",IF(Z232="Low stock","Order - running low",IF(IF(Q232="",FALSE,Q232&lt;=TodayDate+30),"Check - expiring within a month",IF(IF(R232="Yes",AD232&lt;0.25,FALSE),"Below - thin margin for a retail line",IF(IF(P232="",TRUE,TodayDate-P232&gt;90),"Due - not counted in three months","OK")))))))</f>
        <v>0</v>
      </c>
    </row>
    <row r="233" spans="1:36">
      <c r="A233" s="28">
        <f>IF(B233="","",ProductPrefix&amp;TEXT(ROW()-4,"000"))</f>
        <v>0</v>
      </c>
      <c r="T233" s="37">
        <f>IF(B233="","",ROUND(SUMIFS(Purchases!$U$5:$U$304,Purchases!$D$5:$D$304,A233),2))</f>
        <v>0</v>
      </c>
      <c r="U233" s="37">
        <f>IF(B233="","",ROUND(SUMIFS(Sales!$T$5:$T$1204,Sales!$I$5:$I$1204,A233,Sales!$H$5:$H$1204,"Retail"),2))</f>
        <v>0</v>
      </c>
      <c r="V233" s="37">
        <f>IF(B233="","",ROUND(IF(J233="",0,J233)+T233-IF(K233="",0,K233)-U233-IF(L233="",0,L233)+IF(M233="",0,M233),2))</f>
        <v>0</v>
      </c>
      <c r="W233" s="37">
        <f>IF(B233="","",ROUND((U233+IF(K233="",0,K233))/MAX(4,TrackingWeeks),2))</f>
        <v>0</v>
      </c>
      <c r="X233" s="37">
        <f>IF(B233="","",IF(W233&lt;=0,"",ROUND(V233/W233,1)))</f>
        <v>0</v>
      </c>
      <c r="Y233" s="37">
        <f>IF(B233="","",IF(N233&lt;&gt;"",N233,ROUND(W233*StockWarningWeeks,1)))</f>
        <v>0</v>
      </c>
      <c r="Z233" s="39">
        <f>IF(B233="","",IF(V233&lt;=0,"Out of stock",IF(V233&lt;=Y233,"Low stock",IF(R233="No","Backbar","In stock"))))</f>
        <v>0</v>
      </c>
      <c r="AA233" s="37">
        <f>IF(B233="","",IF(Z233="In stock","",IF(Z233="Backbar",IF(V233&lt;=Y233,MAX(1,IF(O233="",ROUND(W233*ReorderWeeks,0),O233)),""),MAX(1,IF(O233="",ROUND(W233*ReorderWeeks,0),O233)))))</f>
        <v>0</v>
      </c>
      <c r="AB233" s="26">
        <f>IF(B233="","",ROUND(V233*IF(H233="",0,H233),2))</f>
        <v>0</v>
      </c>
      <c r="AC233" s="26">
        <f>IF(B233="","",ROUND(V233*IF(I233="",0,I233),2))</f>
        <v>0</v>
      </c>
      <c r="AD233" s="27">
        <f>IF(B233="","",IF(IF(I233="",0,I233)=0,"",(I233-IF(H233="",0,H233))/I233))</f>
        <v>0</v>
      </c>
      <c r="AE233" s="26">
        <f>IF(B233="","",IF(H233="","",H233*RetailMarkup))</f>
        <v>0</v>
      </c>
      <c r="AF233" s="26">
        <f>IF(B233="","",IF(AE233="","",ROUND(IF(RoundingRule="None",AE233,IF(RoundingRule="Nearest 0.99",MAX(0.99,CEILING(AE233,1)-0.01),IF(RoundingRule="Nearest 0.95",MAX(0.95,CEILING(AE233,1)-0.05),IF(RoundingRule="Nearest 0.50",CEILING(AE233,0.5),IF(RoundingRule="Nearest 1",CEILING(AE233,1),IF(RoundingRule="Nearest 5",CEILING(AE233,5),IF(RoundingRule="Up to whole 1",CEILING(AE233,1),IF(RoundingRule="Up to whole 5",CEILING(AE233,5),ROUND(AE233,2))))))))),2)))</f>
        <v>0</v>
      </c>
      <c r="AG233" s="26">
        <f>IF(B233="","",ROUND(SUMIFS(Sales!$Y$5:$Y$1204,Sales!$I$5:$I$1204,A233,Sales!$H$5:$H$1204,"Retail"),2))</f>
        <v>0</v>
      </c>
      <c r="AH233" s="26">
        <f>IF(B233="","",ROUND(AG233-U233*IF(H233="",0,H233),2))</f>
        <v>0</v>
      </c>
      <c r="AI233" s="25">
        <f>IF(B233="","",COUNTIFS($AG$5:$AG$304,"&gt;"&amp;AG233)+COUNTIFS($AG$5:AG233,AG233))</f>
        <v>0</v>
      </c>
      <c r="AJ233" s="39">
        <f>IF(B233="","",IF(H233="","Add - no cost, no stock value",IF(Z233="Out of stock","Out of stock - order today",IF(Z233="Low stock","Order - running low",IF(IF(Q233="",FALSE,Q233&lt;=TodayDate+30),"Check - expiring within a month",IF(IF(R233="Yes",AD233&lt;0.25,FALSE),"Below - thin margin for a retail line",IF(IF(P233="",TRUE,TodayDate-P233&gt;90),"Due - not counted in three months","OK")))))))</f>
        <v>0</v>
      </c>
    </row>
    <row r="234" spans="1:36">
      <c r="A234" s="28">
        <f>IF(B234="","",ProductPrefix&amp;TEXT(ROW()-4,"000"))</f>
        <v>0</v>
      </c>
      <c r="T234" s="37">
        <f>IF(B234="","",ROUND(SUMIFS(Purchases!$U$5:$U$304,Purchases!$D$5:$D$304,A234),2))</f>
        <v>0</v>
      </c>
      <c r="U234" s="37">
        <f>IF(B234="","",ROUND(SUMIFS(Sales!$T$5:$T$1204,Sales!$I$5:$I$1204,A234,Sales!$H$5:$H$1204,"Retail"),2))</f>
        <v>0</v>
      </c>
      <c r="V234" s="37">
        <f>IF(B234="","",ROUND(IF(J234="",0,J234)+T234-IF(K234="",0,K234)-U234-IF(L234="",0,L234)+IF(M234="",0,M234),2))</f>
        <v>0</v>
      </c>
      <c r="W234" s="37">
        <f>IF(B234="","",ROUND((U234+IF(K234="",0,K234))/MAX(4,TrackingWeeks),2))</f>
        <v>0</v>
      </c>
      <c r="X234" s="37">
        <f>IF(B234="","",IF(W234&lt;=0,"",ROUND(V234/W234,1)))</f>
        <v>0</v>
      </c>
      <c r="Y234" s="37">
        <f>IF(B234="","",IF(N234&lt;&gt;"",N234,ROUND(W234*StockWarningWeeks,1)))</f>
        <v>0</v>
      </c>
      <c r="Z234" s="39">
        <f>IF(B234="","",IF(V234&lt;=0,"Out of stock",IF(V234&lt;=Y234,"Low stock",IF(R234="No","Backbar","In stock"))))</f>
        <v>0</v>
      </c>
      <c r="AA234" s="37">
        <f>IF(B234="","",IF(Z234="In stock","",IF(Z234="Backbar",IF(V234&lt;=Y234,MAX(1,IF(O234="",ROUND(W234*ReorderWeeks,0),O234)),""),MAX(1,IF(O234="",ROUND(W234*ReorderWeeks,0),O234)))))</f>
        <v>0</v>
      </c>
      <c r="AB234" s="26">
        <f>IF(B234="","",ROUND(V234*IF(H234="",0,H234),2))</f>
        <v>0</v>
      </c>
      <c r="AC234" s="26">
        <f>IF(B234="","",ROUND(V234*IF(I234="",0,I234),2))</f>
        <v>0</v>
      </c>
      <c r="AD234" s="27">
        <f>IF(B234="","",IF(IF(I234="",0,I234)=0,"",(I234-IF(H234="",0,H234))/I234))</f>
        <v>0</v>
      </c>
      <c r="AE234" s="26">
        <f>IF(B234="","",IF(H234="","",H234*RetailMarkup))</f>
        <v>0</v>
      </c>
      <c r="AF234" s="26">
        <f>IF(B234="","",IF(AE234="","",ROUND(IF(RoundingRule="None",AE234,IF(RoundingRule="Nearest 0.99",MAX(0.99,CEILING(AE234,1)-0.01),IF(RoundingRule="Nearest 0.95",MAX(0.95,CEILING(AE234,1)-0.05),IF(RoundingRule="Nearest 0.50",CEILING(AE234,0.5),IF(RoundingRule="Nearest 1",CEILING(AE234,1),IF(RoundingRule="Nearest 5",CEILING(AE234,5),IF(RoundingRule="Up to whole 1",CEILING(AE234,1),IF(RoundingRule="Up to whole 5",CEILING(AE234,5),ROUND(AE234,2))))))))),2)))</f>
        <v>0</v>
      </c>
      <c r="AG234" s="26">
        <f>IF(B234="","",ROUND(SUMIFS(Sales!$Y$5:$Y$1204,Sales!$I$5:$I$1204,A234,Sales!$H$5:$H$1204,"Retail"),2))</f>
        <v>0</v>
      </c>
      <c r="AH234" s="26">
        <f>IF(B234="","",ROUND(AG234-U234*IF(H234="",0,H234),2))</f>
        <v>0</v>
      </c>
      <c r="AI234" s="25">
        <f>IF(B234="","",COUNTIFS($AG$5:$AG$304,"&gt;"&amp;AG234)+COUNTIFS($AG$5:AG234,AG234))</f>
        <v>0</v>
      </c>
      <c r="AJ234" s="39">
        <f>IF(B234="","",IF(H234="","Add - no cost, no stock value",IF(Z234="Out of stock","Out of stock - order today",IF(Z234="Low stock","Order - running low",IF(IF(Q234="",FALSE,Q234&lt;=TodayDate+30),"Check - expiring within a month",IF(IF(R234="Yes",AD234&lt;0.25,FALSE),"Below - thin margin for a retail line",IF(IF(P234="",TRUE,TodayDate-P234&gt;90),"Due - not counted in three months","OK")))))))</f>
        <v>0</v>
      </c>
    </row>
    <row r="235" spans="1:36">
      <c r="A235" s="28">
        <f>IF(B235="","",ProductPrefix&amp;TEXT(ROW()-4,"000"))</f>
        <v>0</v>
      </c>
      <c r="T235" s="37">
        <f>IF(B235="","",ROUND(SUMIFS(Purchases!$U$5:$U$304,Purchases!$D$5:$D$304,A235),2))</f>
        <v>0</v>
      </c>
      <c r="U235" s="37">
        <f>IF(B235="","",ROUND(SUMIFS(Sales!$T$5:$T$1204,Sales!$I$5:$I$1204,A235,Sales!$H$5:$H$1204,"Retail"),2))</f>
        <v>0</v>
      </c>
      <c r="V235" s="37">
        <f>IF(B235="","",ROUND(IF(J235="",0,J235)+T235-IF(K235="",0,K235)-U235-IF(L235="",0,L235)+IF(M235="",0,M235),2))</f>
        <v>0</v>
      </c>
      <c r="W235" s="37">
        <f>IF(B235="","",ROUND((U235+IF(K235="",0,K235))/MAX(4,TrackingWeeks),2))</f>
        <v>0</v>
      </c>
      <c r="X235" s="37">
        <f>IF(B235="","",IF(W235&lt;=0,"",ROUND(V235/W235,1)))</f>
        <v>0</v>
      </c>
      <c r="Y235" s="37">
        <f>IF(B235="","",IF(N235&lt;&gt;"",N235,ROUND(W235*StockWarningWeeks,1)))</f>
        <v>0</v>
      </c>
      <c r="Z235" s="39">
        <f>IF(B235="","",IF(V235&lt;=0,"Out of stock",IF(V235&lt;=Y235,"Low stock",IF(R235="No","Backbar","In stock"))))</f>
        <v>0</v>
      </c>
      <c r="AA235" s="37">
        <f>IF(B235="","",IF(Z235="In stock","",IF(Z235="Backbar",IF(V235&lt;=Y235,MAX(1,IF(O235="",ROUND(W235*ReorderWeeks,0),O235)),""),MAX(1,IF(O235="",ROUND(W235*ReorderWeeks,0),O235)))))</f>
        <v>0</v>
      </c>
      <c r="AB235" s="26">
        <f>IF(B235="","",ROUND(V235*IF(H235="",0,H235),2))</f>
        <v>0</v>
      </c>
      <c r="AC235" s="26">
        <f>IF(B235="","",ROUND(V235*IF(I235="",0,I235),2))</f>
        <v>0</v>
      </c>
      <c r="AD235" s="27">
        <f>IF(B235="","",IF(IF(I235="",0,I235)=0,"",(I235-IF(H235="",0,H235))/I235))</f>
        <v>0</v>
      </c>
      <c r="AE235" s="26">
        <f>IF(B235="","",IF(H235="","",H235*RetailMarkup))</f>
        <v>0</v>
      </c>
      <c r="AF235" s="26">
        <f>IF(B235="","",IF(AE235="","",ROUND(IF(RoundingRule="None",AE235,IF(RoundingRule="Nearest 0.99",MAX(0.99,CEILING(AE235,1)-0.01),IF(RoundingRule="Nearest 0.95",MAX(0.95,CEILING(AE235,1)-0.05),IF(RoundingRule="Nearest 0.50",CEILING(AE235,0.5),IF(RoundingRule="Nearest 1",CEILING(AE235,1),IF(RoundingRule="Nearest 5",CEILING(AE235,5),IF(RoundingRule="Up to whole 1",CEILING(AE235,1),IF(RoundingRule="Up to whole 5",CEILING(AE235,5),ROUND(AE235,2))))))))),2)))</f>
        <v>0</v>
      </c>
      <c r="AG235" s="26">
        <f>IF(B235="","",ROUND(SUMIFS(Sales!$Y$5:$Y$1204,Sales!$I$5:$I$1204,A235,Sales!$H$5:$H$1204,"Retail"),2))</f>
        <v>0</v>
      </c>
      <c r="AH235" s="26">
        <f>IF(B235="","",ROUND(AG235-U235*IF(H235="",0,H235),2))</f>
        <v>0</v>
      </c>
      <c r="AI235" s="25">
        <f>IF(B235="","",COUNTIFS($AG$5:$AG$304,"&gt;"&amp;AG235)+COUNTIFS($AG$5:AG235,AG235))</f>
        <v>0</v>
      </c>
      <c r="AJ235" s="39">
        <f>IF(B235="","",IF(H235="","Add - no cost, no stock value",IF(Z235="Out of stock","Out of stock - order today",IF(Z235="Low stock","Order - running low",IF(IF(Q235="",FALSE,Q235&lt;=TodayDate+30),"Check - expiring within a month",IF(IF(R235="Yes",AD235&lt;0.25,FALSE),"Below - thin margin for a retail line",IF(IF(P235="",TRUE,TodayDate-P235&gt;90),"Due - not counted in three months","OK")))))))</f>
        <v>0</v>
      </c>
    </row>
    <row r="236" spans="1:36">
      <c r="A236" s="28">
        <f>IF(B236="","",ProductPrefix&amp;TEXT(ROW()-4,"000"))</f>
        <v>0</v>
      </c>
      <c r="T236" s="37">
        <f>IF(B236="","",ROUND(SUMIFS(Purchases!$U$5:$U$304,Purchases!$D$5:$D$304,A236),2))</f>
        <v>0</v>
      </c>
      <c r="U236" s="37">
        <f>IF(B236="","",ROUND(SUMIFS(Sales!$T$5:$T$1204,Sales!$I$5:$I$1204,A236,Sales!$H$5:$H$1204,"Retail"),2))</f>
        <v>0</v>
      </c>
      <c r="V236" s="37">
        <f>IF(B236="","",ROUND(IF(J236="",0,J236)+T236-IF(K236="",0,K236)-U236-IF(L236="",0,L236)+IF(M236="",0,M236),2))</f>
        <v>0</v>
      </c>
      <c r="W236" s="37">
        <f>IF(B236="","",ROUND((U236+IF(K236="",0,K236))/MAX(4,TrackingWeeks),2))</f>
        <v>0</v>
      </c>
      <c r="X236" s="37">
        <f>IF(B236="","",IF(W236&lt;=0,"",ROUND(V236/W236,1)))</f>
        <v>0</v>
      </c>
      <c r="Y236" s="37">
        <f>IF(B236="","",IF(N236&lt;&gt;"",N236,ROUND(W236*StockWarningWeeks,1)))</f>
        <v>0</v>
      </c>
      <c r="Z236" s="39">
        <f>IF(B236="","",IF(V236&lt;=0,"Out of stock",IF(V236&lt;=Y236,"Low stock",IF(R236="No","Backbar","In stock"))))</f>
        <v>0</v>
      </c>
      <c r="AA236" s="37">
        <f>IF(B236="","",IF(Z236="In stock","",IF(Z236="Backbar",IF(V236&lt;=Y236,MAX(1,IF(O236="",ROUND(W236*ReorderWeeks,0),O236)),""),MAX(1,IF(O236="",ROUND(W236*ReorderWeeks,0),O236)))))</f>
        <v>0</v>
      </c>
      <c r="AB236" s="26">
        <f>IF(B236="","",ROUND(V236*IF(H236="",0,H236),2))</f>
        <v>0</v>
      </c>
      <c r="AC236" s="26">
        <f>IF(B236="","",ROUND(V236*IF(I236="",0,I236),2))</f>
        <v>0</v>
      </c>
      <c r="AD236" s="27">
        <f>IF(B236="","",IF(IF(I236="",0,I236)=0,"",(I236-IF(H236="",0,H236))/I236))</f>
        <v>0</v>
      </c>
      <c r="AE236" s="26">
        <f>IF(B236="","",IF(H236="","",H236*RetailMarkup))</f>
        <v>0</v>
      </c>
      <c r="AF236" s="26">
        <f>IF(B236="","",IF(AE236="","",ROUND(IF(RoundingRule="None",AE236,IF(RoundingRule="Nearest 0.99",MAX(0.99,CEILING(AE236,1)-0.01),IF(RoundingRule="Nearest 0.95",MAX(0.95,CEILING(AE236,1)-0.05),IF(RoundingRule="Nearest 0.50",CEILING(AE236,0.5),IF(RoundingRule="Nearest 1",CEILING(AE236,1),IF(RoundingRule="Nearest 5",CEILING(AE236,5),IF(RoundingRule="Up to whole 1",CEILING(AE236,1),IF(RoundingRule="Up to whole 5",CEILING(AE236,5),ROUND(AE236,2))))))))),2)))</f>
        <v>0</v>
      </c>
      <c r="AG236" s="26">
        <f>IF(B236="","",ROUND(SUMIFS(Sales!$Y$5:$Y$1204,Sales!$I$5:$I$1204,A236,Sales!$H$5:$H$1204,"Retail"),2))</f>
        <v>0</v>
      </c>
      <c r="AH236" s="26">
        <f>IF(B236="","",ROUND(AG236-U236*IF(H236="",0,H236),2))</f>
        <v>0</v>
      </c>
      <c r="AI236" s="25">
        <f>IF(B236="","",COUNTIFS($AG$5:$AG$304,"&gt;"&amp;AG236)+COUNTIFS($AG$5:AG236,AG236))</f>
        <v>0</v>
      </c>
      <c r="AJ236" s="39">
        <f>IF(B236="","",IF(H236="","Add - no cost, no stock value",IF(Z236="Out of stock","Out of stock - order today",IF(Z236="Low stock","Order - running low",IF(IF(Q236="",FALSE,Q236&lt;=TodayDate+30),"Check - expiring within a month",IF(IF(R236="Yes",AD236&lt;0.25,FALSE),"Below - thin margin for a retail line",IF(IF(P236="",TRUE,TodayDate-P236&gt;90),"Due - not counted in three months","OK")))))))</f>
        <v>0</v>
      </c>
    </row>
    <row r="237" spans="1:36">
      <c r="A237" s="28">
        <f>IF(B237="","",ProductPrefix&amp;TEXT(ROW()-4,"000"))</f>
        <v>0</v>
      </c>
      <c r="T237" s="37">
        <f>IF(B237="","",ROUND(SUMIFS(Purchases!$U$5:$U$304,Purchases!$D$5:$D$304,A237),2))</f>
        <v>0</v>
      </c>
      <c r="U237" s="37">
        <f>IF(B237="","",ROUND(SUMIFS(Sales!$T$5:$T$1204,Sales!$I$5:$I$1204,A237,Sales!$H$5:$H$1204,"Retail"),2))</f>
        <v>0</v>
      </c>
      <c r="V237" s="37">
        <f>IF(B237="","",ROUND(IF(J237="",0,J237)+T237-IF(K237="",0,K237)-U237-IF(L237="",0,L237)+IF(M237="",0,M237),2))</f>
        <v>0</v>
      </c>
      <c r="W237" s="37">
        <f>IF(B237="","",ROUND((U237+IF(K237="",0,K237))/MAX(4,TrackingWeeks),2))</f>
        <v>0</v>
      </c>
      <c r="X237" s="37">
        <f>IF(B237="","",IF(W237&lt;=0,"",ROUND(V237/W237,1)))</f>
        <v>0</v>
      </c>
      <c r="Y237" s="37">
        <f>IF(B237="","",IF(N237&lt;&gt;"",N237,ROUND(W237*StockWarningWeeks,1)))</f>
        <v>0</v>
      </c>
      <c r="Z237" s="39">
        <f>IF(B237="","",IF(V237&lt;=0,"Out of stock",IF(V237&lt;=Y237,"Low stock",IF(R237="No","Backbar","In stock"))))</f>
        <v>0</v>
      </c>
      <c r="AA237" s="37">
        <f>IF(B237="","",IF(Z237="In stock","",IF(Z237="Backbar",IF(V237&lt;=Y237,MAX(1,IF(O237="",ROUND(W237*ReorderWeeks,0),O237)),""),MAX(1,IF(O237="",ROUND(W237*ReorderWeeks,0),O237)))))</f>
        <v>0</v>
      </c>
      <c r="AB237" s="26">
        <f>IF(B237="","",ROUND(V237*IF(H237="",0,H237),2))</f>
        <v>0</v>
      </c>
      <c r="AC237" s="26">
        <f>IF(B237="","",ROUND(V237*IF(I237="",0,I237),2))</f>
        <v>0</v>
      </c>
      <c r="AD237" s="27">
        <f>IF(B237="","",IF(IF(I237="",0,I237)=0,"",(I237-IF(H237="",0,H237))/I237))</f>
        <v>0</v>
      </c>
      <c r="AE237" s="26">
        <f>IF(B237="","",IF(H237="","",H237*RetailMarkup))</f>
        <v>0</v>
      </c>
      <c r="AF237" s="26">
        <f>IF(B237="","",IF(AE237="","",ROUND(IF(RoundingRule="None",AE237,IF(RoundingRule="Nearest 0.99",MAX(0.99,CEILING(AE237,1)-0.01),IF(RoundingRule="Nearest 0.95",MAX(0.95,CEILING(AE237,1)-0.05),IF(RoundingRule="Nearest 0.50",CEILING(AE237,0.5),IF(RoundingRule="Nearest 1",CEILING(AE237,1),IF(RoundingRule="Nearest 5",CEILING(AE237,5),IF(RoundingRule="Up to whole 1",CEILING(AE237,1),IF(RoundingRule="Up to whole 5",CEILING(AE237,5),ROUND(AE237,2))))))))),2)))</f>
        <v>0</v>
      </c>
      <c r="AG237" s="26">
        <f>IF(B237="","",ROUND(SUMIFS(Sales!$Y$5:$Y$1204,Sales!$I$5:$I$1204,A237,Sales!$H$5:$H$1204,"Retail"),2))</f>
        <v>0</v>
      </c>
      <c r="AH237" s="26">
        <f>IF(B237="","",ROUND(AG237-U237*IF(H237="",0,H237),2))</f>
        <v>0</v>
      </c>
      <c r="AI237" s="25">
        <f>IF(B237="","",COUNTIFS($AG$5:$AG$304,"&gt;"&amp;AG237)+COUNTIFS($AG$5:AG237,AG237))</f>
        <v>0</v>
      </c>
      <c r="AJ237" s="39">
        <f>IF(B237="","",IF(H237="","Add - no cost, no stock value",IF(Z237="Out of stock","Out of stock - order today",IF(Z237="Low stock","Order - running low",IF(IF(Q237="",FALSE,Q237&lt;=TodayDate+30),"Check - expiring within a month",IF(IF(R237="Yes",AD237&lt;0.25,FALSE),"Below - thin margin for a retail line",IF(IF(P237="",TRUE,TodayDate-P237&gt;90),"Due - not counted in three months","OK")))))))</f>
        <v>0</v>
      </c>
    </row>
    <row r="238" spans="1:36">
      <c r="A238" s="28">
        <f>IF(B238="","",ProductPrefix&amp;TEXT(ROW()-4,"000"))</f>
        <v>0</v>
      </c>
      <c r="T238" s="37">
        <f>IF(B238="","",ROUND(SUMIFS(Purchases!$U$5:$U$304,Purchases!$D$5:$D$304,A238),2))</f>
        <v>0</v>
      </c>
      <c r="U238" s="37">
        <f>IF(B238="","",ROUND(SUMIFS(Sales!$T$5:$T$1204,Sales!$I$5:$I$1204,A238,Sales!$H$5:$H$1204,"Retail"),2))</f>
        <v>0</v>
      </c>
      <c r="V238" s="37">
        <f>IF(B238="","",ROUND(IF(J238="",0,J238)+T238-IF(K238="",0,K238)-U238-IF(L238="",0,L238)+IF(M238="",0,M238),2))</f>
        <v>0</v>
      </c>
      <c r="W238" s="37">
        <f>IF(B238="","",ROUND((U238+IF(K238="",0,K238))/MAX(4,TrackingWeeks),2))</f>
        <v>0</v>
      </c>
      <c r="X238" s="37">
        <f>IF(B238="","",IF(W238&lt;=0,"",ROUND(V238/W238,1)))</f>
        <v>0</v>
      </c>
      <c r="Y238" s="37">
        <f>IF(B238="","",IF(N238&lt;&gt;"",N238,ROUND(W238*StockWarningWeeks,1)))</f>
        <v>0</v>
      </c>
      <c r="Z238" s="39">
        <f>IF(B238="","",IF(V238&lt;=0,"Out of stock",IF(V238&lt;=Y238,"Low stock",IF(R238="No","Backbar","In stock"))))</f>
        <v>0</v>
      </c>
      <c r="AA238" s="37">
        <f>IF(B238="","",IF(Z238="In stock","",IF(Z238="Backbar",IF(V238&lt;=Y238,MAX(1,IF(O238="",ROUND(W238*ReorderWeeks,0),O238)),""),MAX(1,IF(O238="",ROUND(W238*ReorderWeeks,0),O238)))))</f>
        <v>0</v>
      </c>
      <c r="AB238" s="26">
        <f>IF(B238="","",ROUND(V238*IF(H238="",0,H238),2))</f>
        <v>0</v>
      </c>
      <c r="AC238" s="26">
        <f>IF(B238="","",ROUND(V238*IF(I238="",0,I238),2))</f>
        <v>0</v>
      </c>
      <c r="AD238" s="27">
        <f>IF(B238="","",IF(IF(I238="",0,I238)=0,"",(I238-IF(H238="",0,H238))/I238))</f>
        <v>0</v>
      </c>
      <c r="AE238" s="26">
        <f>IF(B238="","",IF(H238="","",H238*RetailMarkup))</f>
        <v>0</v>
      </c>
      <c r="AF238" s="26">
        <f>IF(B238="","",IF(AE238="","",ROUND(IF(RoundingRule="None",AE238,IF(RoundingRule="Nearest 0.99",MAX(0.99,CEILING(AE238,1)-0.01),IF(RoundingRule="Nearest 0.95",MAX(0.95,CEILING(AE238,1)-0.05),IF(RoundingRule="Nearest 0.50",CEILING(AE238,0.5),IF(RoundingRule="Nearest 1",CEILING(AE238,1),IF(RoundingRule="Nearest 5",CEILING(AE238,5),IF(RoundingRule="Up to whole 1",CEILING(AE238,1),IF(RoundingRule="Up to whole 5",CEILING(AE238,5),ROUND(AE238,2))))))))),2)))</f>
        <v>0</v>
      </c>
      <c r="AG238" s="26">
        <f>IF(B238="","",ROUND(SUMIFS(Sales!$Y$5:$Y$1204,Sales!$I$5:$I$1204,A238,Sales!$H$5:$H$1204,"Retail"),2))</f>
        <v>0</v>
      </c>
      <c r="AH238" s="26">
        <f>IF(B238="","",ROUND(AG238-U238*IF(H238="",0,H238),2))</f>
        <v>0</v>
      </c>
      <c r="AI238" s="25">
        <f>IF(B238="","",COUNTIFS($AG$5:$AG$304,"&gt;"&amp;AG238)+COUNTIFS($AG$5:AG238,AG238))</f>
        <v>0</v>
      </c>
      <c r="AJ238" s="39">
        <f>IF(B238="","",IF(H238="","Add - no cost, no stock value",IF(Z238="Out of stock","Out of stock - order today",IF(Z238="Low stock","Order - running low",IF(IF(Q238="",FALSE,Q238&lt;=TodayDate+30),"Check - expiring within a month",IF(IF(R238="Yes",AD238&lt;0.25,FALSE),"Below - thin margin for a retail line",IF(IF(P238="",TRUE,TodayDate-P238&gt;90),"Due - not counted in three months","OK")))))))</f>
        <v>0</v>
      </c>
    </row>
    <row r="239" spans="1:36">
      <c r="A239" s="28">
        <f>IF(B239="","",ProductPrefix&amp;TEXT(ROW()-4,"000"))</f>
        <v>0</v>
      </c>
      <c r="T239" s="37">
        <f>IF(B239="","",ROUND(SUMIFS(Purchases!$U$5:$U$304,Purchases!$D$5:$D$304,A239),2))</f>
        <v>0</v>
      </c>
      <c r="U239" s="37">
        <f>IF(B239="","",ROUND(SUMIFS(Sales!$T$5:$T$1204,Sales!$I$5:$I$1204,A239,Sales!$H$5:$H$1204,"Retail"),2))</f>
        <v>0</v>
      </c>
      <c r="V239" s="37">
        <f>IF(B239="","",ROUND(IF(J239="",0,J239)+T239-IF(K239="",0,K239)-U239-IF(L239="",0,L239)+IF(M239="",0,M239),2))</f>
        <v>0</v>
      </c>
      <c r="W239" s="37">
        <f>IF(B239="","",ROUND((U239+IF(K239="",0,K239))/MAX(4,TrackingWeeks),2))</f>
        <v>0</v>
      </c>
      <c r="X239" s="37">
        <f>IF(B239="","",IF(W239&lt;=0,"",ROUND(V239/W239,1)))</f>
        <v>0</v>
      </c>
      <c r="Y239" s="37">
        <f>IF(B239="","",IF(N239&lt;&gt;"",N239,ROUND(W239*StockWarningWeeks,1)))</f>
        <v>0</v>
      </c>
      <c r="Z239" s="39">
        <f>IF(B239="","",IF(V239&lt;=0,"Out of stock",IF(V239&lt;=Y239,"Low stock",IF(R239="No","Backbar","In stock"))))</f>
        <v>0</v>
      </c>
      <c r="AA239" s="37">
        <f>IF(B239="","",IF(Z239="In stock","",IF(Z239="Backbar",IF(V239&lt;=Y239,MAX(1,IF(O239="",ROUND(W239*ReorderWeeks,0),O239)),""),MAX(1,IF(O239="",ROUND(W239*ReorderWeeks,0),O239)))))</f>
        <v>0</v>
      </c>
      <c r="AB239" s="26">
        <f>IF(B239="","",ROUND(V239*IF(H239="",0,H239),2))</f>
        <v>0</v>
      </c>
      <c r="AC239" s="26">
        <f>IF(B239="","",ROUND(V239*IF(I239="",0,I239),2))</f>
        <v>0</v>
      </c>
      <c r="AD239" s="27">
        <f>IF(B239="","",IF(IF(I239="",0,I239)=0,"",(I239-IF(H239="",0,H239))/I239))</f>
        <v>0</v>
      </c>
      <c r="AE239" s="26">
        <f>IF(B239="","",IF(H239="","",H239*RetailMarkup))</f>
        <v>0</v>
      </c>
      <c r="AF239" s="26">
        <f>IF(B239="","",IF(AE239="","",ROUND(IF(RoundingRule="None",AE239,IF(RoundingRule="Nearest 0.99",MAX(0.99,CEILING(AE239,1)-0.01),IF(RoundingRule="Nearest 0.95",MAX(0.95,CEILING(AE239,1)-0.05),IF(RoundingRule="Nearest 0.50",CEILING(AE239,0.5),IF(RoundingRule="Nearest 1",CEILING(AE239,1),IF(RoundingRule="Nearest 5",CEILING(AE239,5),IF(RoundingRule="Up to whole 1",CEILING(AE239,1),IF(RoundingRule="Up to whole 5",CEILING(AE239,5),ROUND(AE239,2))))))))),2)))</f>
        <v>0</v>
      </c>
      <c r="AG239" s="26">
        <f>IF(B239="","",ROUND(SUMIFS(Sales!$Y$5:$Y$1204,Sales!$I$5:$I$1204,A239,Sales!$H$5:$H$1204,"Retail"),2))</f>
        <v>0</v>
      </c>
      <c r="AH239" s="26">
        <f>IF(B239="","",ROUND(AG239-U239*IF(H239="",0,H239),2))</f>
        <v>0</v>
      </c>
      <c r="AI239" s="25">
        <f>IF(B239="","",COUNTIFS($AG$5:$AG$304,"&gt;"&amp;AG239)+COUNTIFS($AG$5:AG239,AG239))</f>
        <v>0</v>
      </c>
      <c r="AJ239" s="39">
        <f>IF(B239="","",IF(H239="","Add - no cost, no stock value",IF(Z239="Out of stock","Out of stock - order today",IF(Z239="Low stock","Order - running low",IF(IF(Q239="",FALSE,Q239&lt;=TodayDate+30),"Check - expiring within a month",IF(IF(R239="Yes",AD239&lt;0.25,FALSE),"Below - thin margin for a retail line",IF(IF(P239="",TRUE,TodayDate-P239&gt;90),"Due - not counted in three months","OK")))))))</f>
        <v>0</v>
      </c>
    </row>
    <row r="240" spans="1:36">
      <c r="A240" s="28">
        <f>IF(B240="","",ProductPrefix&amp;TEXT(ROW()-4,"000"))</f>
        <v>0</v>
      </c>
      <c r="T240" s="37">
        <f>IF(B240="","",ROUND(SUMIFS(Purchases!$U$5:$U$304,Purchases!$D$5:$D$304,A240),2))</f>
        <v>0</v>
      </c>
      <c r="U240" s="37">
        <f>IF(B240="","",ROUND(SUMIFS(Sales!$T$5:$T$1204,Sales!$I$5:$I$1204,A240,Sales!$H$5:$H$1204,"Retail"),2))</f>
        <v>0</v>
      </c>
      <c r="V240" s="37">
        <f>IF(B240="","",ROUND(IF(J240="",0,J240)+T240-IF(K240="",0,K240)-U240-IF(L240="",0,L240)+IF(M240="",0,M240),2))</f>
        <v>0</v>
      </c>
      <c r="W240" s="37">
        <f>IF(B240="","",ROUND((U240+IF(K240="",0,K240))/MAX(4,TrackingWeeks),2))</f>
        <v>0</v>
      </c>
      <c r="X240" s="37">
        <f>IF(B240="","",IF(W240&lt;=0,"",ROUND(V240/W240,1)))</f>
        <v>0</v>
      </c>
      <c r="Y240" s="37">
        <f>IF(B240="","",IF(N240&lt;&gt;"",N240,ROUND(W240*StockWarningWeeks,1)))</f>
        <v>0</v>
      </c>
      <c r="Z240" s="39">
        <f>IF(B240="","",IF(V240&lt;=0,"Out of stock",IF(V240&lt;=Y240,"Low stock",IF(R240="No","Backbar","In stock"))))</f>
        <v>0</v>
      </c>
      <c r="AA240" s="37">
        <f>IF(B240="","",IF(Z240="In stock","",IF(Z240="Backbar",IF(V240&lt;=Y240,MAX(1,IF(O240="",ROUND(W240*ReorderWeeks,0),O240)),""),MAX(1,IF(O240="",ROUND(W240*ReorderWeeks,0),O240)))))</f>
        <v>0</v>
      </c>
      <c r="AB240" s="26">
        <f>IF(B240="","",ROUND(V240*IF(H240="",0,H240),2))</f>
        <v>0</v>
      </c>
      <c r="AC240" s="26">
        <f>IF(B240="","",ROUND(V240*IF(I240="",0,I240),2))</f>
        <v>0</v>
      </c>
      <c r="AD240" s="27">
        <f>IF(B240="","",IF(IF(I240="",0,I240)=0,"",(I240-IF(H240="",0,H240))/I240))</f>
        <v>0</v>
      </c>
      <c r="AE240" s="26">
        <f>IF(B240="","",IF(H240="","",H240*RetailMarkup))</f>
        <v>0</v>
      </c>
      <c r="AF240" s="26">
        <f>IF(B240="","",IF(AE240="","",ROUND(IF(RoundingRule="None",AE240,IF(RoundingRule="Nearest 0.99",MAX(0.99,CEILING(AE240,1)-0.01),IF(RoundingRule="Nearest 0.95",MAX(0.95,CEILING(AE240,1)-0.05),IF(RoundingRule="Nearest 0.50",CEILING(AE240,0.5),IF(RoundingRule="Nearest 1",CEILING(AE240,1),IF(RoundingRule="Nearest 5",CEILING(AE240,5),IF(RoundingRule="Up to whole 1",CEILING(AE240,1),IF(RoundingRule="Up to whole 5",CEILING(AE240,5),ROUND(AE240,2))))))))),2)))</f>
        <v>0</v>
      </c>
      <c r="AG240" s="26">
        <f>IF(B240="","",ROUND(SUMIFS(Sales!$Y$5:$Y$1204,Sales!$I$5:$I$1204,A240,Sales!$H$5:$H$1204,"Retail"),2))</f>
        <v>0</v>
      </c>
      <c r="AH240" s="26">
        <f>IF(B240="","",ROUND(AG240-U240*IF(H240="",0,H240),2))</f>
        <v>0</v>
      </c>
      <c r="AI240" s="25">
        <f>IF(B240="","",COUNTIFS($AG$5:$AG$304,"&gt;"&amp;AG240)+COUNTIFS($AG$5:AG240,AG240))</f>
        <v>0</v>
      </c>
      <c r="AJ240" s="39">
        <f>IF(B240="","",IF(H240="","Add - no cost, no stock value",IF(Z240="Out of stock","Out of stock - order today",IF(Z240="Low stock","Order - running low",IF(IF(Q240="",FALSE,Q240&lt;=TodayDate+30),"Check - expiring within a month",IF(IF(R240="Yes",AD240&lt;0.25,FALSE),"Below - thin margin for a retail line",IF(IF(P240="",TRUE,TodayDate-P240&gt;90),"Due - not counted in three months","OK")))))))</f>
        <v>0</v>
      </c>
    </row>
    <row r="241" spans="1:36">
      <c r="A241" s="28">
        <f>IF(B241="","",ProductPrefix&amp;TEXT(ROW()-4,"000"))</f>
        <v>0</v>
      </c>
      <c r="T241" s="37">
        <f>IF(B241="","",ROUND(SUMIFS(Purchases!$U$5:$U$304,Purchases!$D$5:$D$304,A241),2))</f>
        <v>0</v>
      </c>
      <c r="U241" s="37">
        <f>IF(B241="","",ROUND(SUMIFS(Sales!$T$5:$T$1204,Sales!$I$5:$I$1204,A241,Sales!$H$5:$H$1204,"Retail"),2))</f>
        <v>0</v>
      </c>
      <c r="V241" s="37">
        <f>IF(B241="","",ROUND(IF(J241="",0,J241)+T241-IF(K241="",0,K241)-U241-IF(L241="",0,L241)+IF(M241="",0,M241),2))</f>
        <v>0</v>
      </c>
      <c r="W241" s="37">
        <f>IF(B241="","",ROUND((U241+IF(K241="",0,K241))/MAX(4,TrackingWeeks),2))</f>
        <v>0</v>
      </c>
      <c r="X241" s="37">
        <f>IF(B241="","",IF(W241&lt;=0,"",ROUND(V241/W241,1)))</f>
        <v>0</v>
      </c>
      <c r="Y241" s="37">
        <f>IF(B241="","",IF(N241&lt;&gt;"",N241,ROUND(W241*StockWarningWeeks,1)))</f>
        <v>0</v>
      </c>
      <c r="Z241" s="39">
        <f>IF(B241="","",IF(V241&lt;=0,"Out of stock",IF(V241&lt;=Y241,"Low stock",IF(R241="No","Backbar","In stock"))))</f>
        <v>0</v>
      </c>
      <c r="AA241" s="37">
        <f>IF(B241="","",IF(Z241="In stock","",IF(Z241="Backbar",IF(V241&lt;=Y241,MAX(1,IF(O241="",ROUND(W241*ReorderWeeks,0),O241)),""),MAX(1,IF(O241="",ROUND(W241*ReorderWeeks,0),O241)))))</f>
        <v>0</v>
      </c>
      <c r="AB241" s="26">
        <f>IF(B241="","",ROUND(V241*IF(H241="",0,H241),2))</f>
        <v>0</v>
      </c>
      <c r="AC241" s="26">
        <f>IF(B241="","",ROUND(V241*IF(I241="",0,I241),2))</f>
        <v>0</v>
      </c>
      <c r="AD241" s="27">
        <f>IF(B241="","",IF(IF(I241="",0,I241)=0,"",(I241-IF(H241="",0,H241))/I241))</f>
        <v>0</v>
      </c>
      <c r="AE241" s="26">
        <f>IF(B241="","",IF(H241="","",H241*RetailMarkup))</f>
        <v>0</v>
      </c>
      <c r="AF241" s="26">
        <f>IF(B241="","",IF(AE241="","",ROUND(IF(RoundingRule="None",AE241,IF(RoundingRule="Nearest 0.99",MAX(0.99,CEILING(AE241,1)-0.01),IF(RoundingRule="Nearest 0.95",MAX(0.95,CEILING(AE241,1)-0.05),IF(RoundingRule="Nearest 0.50",CEILING(AE241,0.5),IF(RoundingRule="Nearest 1",CEILING(AE241,1),IF(RoundingRule="Nearest 5",CEILING(AE241,5),IF(RoundingRule="Up to whole 1",CEILING(AE241,1),IF(RoundingRule="Up to whole 5",CEILING(AE241,5),ROUND(AE241,2))))))))),2)))</f>
        <v>0</v>
      </c>
      <c r="AG241" s="26">
        <f>IF(B241="","",ROUND(SUMIFS(Sales!$Y$5:$Y$1204,Sales!$I$5:$I$1204,A241,Sales!$H$5:$H$1204,"Retail"),2))</f>
        <v>0</v>
      </c>
      <c r="AH241" s="26">
        <f>IF(B241="","",ROUND(AG241-U241*IF(H241="",0,H241),2))</f>
        <v>0</v>
      </c>
      <c r="AI241" s="25">
        <f>IF(B241="","",COUNTIFS($AG$5:$AG$304,"&gt;"&amp;AG241)+COUNTIFS($AG$5:AG241,AG241))</f>
        <v>0</v>
      </c>
      <c r="AJ241" s="39">
        <f>IF(B241="","",IF(H241="","Add - no cost, no stock value",IF(Z241="Out of stock","Out of stock - order today",IF(Z241="Low stock","Order - running low",IF(IF(Q241="",FALSE,Q241&lt;=TodayDate+30),"Check - expiring within a month",IF(IF(R241="Yes",AD241&lt;0.25,FALSE),"Below - thin margin for a retail line",IF(IF(P241="",TRUE,TodayDate-P241&gt;90),"Due - not counted in three months","OK")))))))</f>
        <v>0</v>
      </c>
    </row>
    <row r="242" spans="1:36">
      <c r="A242" s="28">
        <f>IF(B242="","",ProductPrefix&amp;TEXT(ROW()-4,"000"))</f>
        <v>0</v>
      </c>
      <c r="T242" s="37">
        <f>IF(B242="","",ROUND(SUMIFS(Purchases!$U$5:$U$304,Purchases!$D$5:$D$304,A242),2))</f>
        <v>0</v>
      </c>
      <c r="U242" s="37">
        <f>IF(B242="","",ROUND(SUMIFS(Sales!$T$5:$T$1204,Sales!$I$5:$I$1204,A242,Sales!$H$5:$H$1204,"Retail"),2))</f>
        <v>0</v>
      </c>
      <c r="V242" s="37">
        <f>IF(B242="","",ROUND(IF(J242="",0,J242)+T242-IF(K242="",0,K242)-U242-IF(L242="",0,L242)+IF(M242="",0,M242),2))</f>
        <v>0</v>
      </c>
      <c r="W242" s="37">
        <f>IF(B242="","",ROUND((U242+IF(K242="",0,K242))/MAX(4,TrackingWeeks),2))</f>
        <v>0</v>
      </c>
      <c r="X242" s="37">
        <f>IF(B242="","",IF(W242&lt;=0,"",ROUND(V242/W242,1)))</f>
        <v>0</v>
      </c>
      <c r="Y242" s="37">
        <f>IF(B242="","",IF(N242&lt;&gt;"",N242,ROUND(W242*StockWarningWeeks,1)))</f>
        <v>0</v>
      </c>
      <c r="Z242" s="39">
        <f>IF(B242="","",IF(V242&lt;=0,"Out of stock",IF(V242&lt;=Y242,"Low stock",IF(R242="No","Backbar","In stock"))))</f>
        <v>0</v>
      </c>
      <c r="AA242" s="37">
        <f>IF(B242="","",IF(Z242="In stock","",IF(Z242="Backbar",IF(V242&lt;=Y242,MAX(1,IF(O242="",ROUND(W242*ReorderWeeks,0),O242)),""),MAX(1,IF(O242="",ROUND(W242*ReorderWeeks,0),O242)))))</f>
        <v>0</v>
      </c>
      <c r="AB242" s="26">
        <f>IF(B242="","",ROUND(V242*IF(H242="",0,H242),2))</f>
        <v>0</v>
      </c>
      <c r="AC242" s="26">
        <f>IF(B242="","",ROUND(V242*IF(I242="",0,I242),2))</f>
        <v>0</v>
      </c>
      <c r="AD242" s="27">
        <f>IF(B242="","",IF(IF(I242="",0,I242)=0,"",(I242-IF(H242="",0,H242))/I242))</f>
        <v>0</v>
      </c>
      <c r="AE242" s="26">
        <f>IF(B242="","",IF(H242="","",H242*RetailMarkup))</f>
        <v>0</v>
      </c>
      <c r="AF242" s="26">
        <f>IF(B242="","",IF(AE242="","",ROUND(IF(RoundingRule="None",AE242,IF(RoundingRule="Nearest 0.99",MAX(0.99,CEILING(AE242,1)-0.01),IF(RoundingRule="Nearest 0.95",MAX(0.95,CEILING(AE242,1)-0.05),IF(RoundingRule="Nearest 0.50",CEILING(AE242,0.5),IF(RoundingRule="Nearest 1",CEILING(AE242,1),IF(RoundingRule="Nearest 5",CEILING(AE242,5),IF(RoundingRule="Up to whole 1",CEILING(AE242,1),IF(RoundingRule="Up to whole 5",CEILING(AE242,5),ROUND(AE242,2))))))))),2)))</f>
        <v>0</v>
      </c>
      <c r="AG242" s="26">
        <f>IF(B242="","",ROUND(SUMIFS(Sales!$Y$5:$Y$1204,Sales!$I$5:$I$1204,A242,Sales!$H$5:$H$1204,"Retail"),2))</f>
        <v>0</v>
      </c>
      <c r="AH242" s="26">
        <f>IF(B242="","",ROUND(AG242-U242*IF(H242="",0,H242),2))</f>
        <v>0</v>
      </c>
      <c r="AI242" s="25">
        <f>IF(B242="","",COUNTIFS($AG$5:$AG$304,"&gt;"&amp;AG242)+COUNTIFS($AG$5:AG242,AG242))</f>
        <v>0</v>
      </c>
      <c r="AJ242" s="39">
        <f>IF(B242="","",IF(H242="","Add - no cost, no stock value",IF(Z242="Out of stock","Out of stock - order today",IF(Z242="Low stock","Order - running low",IF(IF(Q242="",FALSE,Q242&lt;=TodayDate+30),"Check - expiring within a month",IF(IF(R242="Yes",AD242&lt;0.25,FALSE),"Below - thin margin for a retail line",IF(IF(P242="",TRUE,TodayDate-P242&gt;90),"Due - not counted in three months","OK")))))))</f>
        <v>0</v>
      </c>
    </row>
    <row r="243" spans="1:36">
      <c r="A243" s="28">
        <f>IF(B243="","",ProductPrefix&amp;TEXT(ROW()-4,"000"))</f>
        <v>0</v>
      </c>
      <c r="T243" s="37">
        <f>IF(B243="","",ROUND(SUMIFS(Purchases!$U$5:$U$304,Purchases!$D$5:$D$304,A243),2))</f>
        <v>0</v>
      </c>
      <c r="U243" s="37">
        <f>IF(B243="","",ROUND(SUMIFS(Sales!$T$5:$T$1204,Sales!$I$5:$I$1204,A243,Sales!$H$5:$H$1204,"Retail"),2))</f>
        <v>0</v>
      </c>
      <c r="V243" s="37">
        <f>IF(B243="","",ROUND(IF(J243="",0,J243)+T243-IF(K243="",0,K243)-U243-IF(L243="",0,L243)+IF(M243="",0,M243),2))</f>
        <v>0</v>
      </c>
      <c r="W243" s="37">
        <f>IF(B243="","",ROUND((U243+IF(K243="",0,K243))/MAX(4,TrackingWeeks),2))</f>
        <v>0</v>
      </c>
      <c r="X243" s="37">
        <f>IF(B243="","",IF(W243&lt;=0,"",ROUND(V243/W243,1)))</f>
        <v>0</v>
      </c>
      <c r="Y243" s="37">
        <f>IF(B243="","",IF(N243&lt;&gt;"",N243,ROUND(W243*StockWarningWeeks,1)))</f>
        <v>0</v>
      </c>
      <c r="Z243" s="39">
        <f>IF(B243="","",IF(V243&lt;=0,"Out of stock",IF(V243&lt;=Y243,"Low stock",IF(R243="No","Backbar","In stock"))))</f>
        <v>0</v>
      </c>
      <c r="AA243" s="37">
        <f>IF(B243="","",IF(Z243="In stock","",IF(Z243="Backbar",IF(V243&lt;=Y243,MAX(1,IF(O243="",ROUND(W243*ReorderWeeks,0),O243)),""),MAX(1,IF(O243="",ROUND(W243*ReorderWeeks,0),O243)))))</f>
        <v>0</v>
      </c>
      <c r="AB243" s="26">
        <f>IF(B243="","",ROUND(V243*IF(H243="",0,H243),2))</f>
        <v>0</v>
      </c>
      <c r="AC243" s="26">
        <f>IF(B243="","",ROUND(V243*IF(I243="",0,I243),2))</f>
        <v>0</v>
      </c>
      <c r="AD243" s="27">
        <f>IF(B243="","",IF(IF(I243="",0,I243)=0,"",(I243-IF(H243="",0,H243))/I243))</f>
        <v>0</v>
      </c>
      <c r="AE243" s="26">
        <f>IF(B243="","",IF(H243="","",H243*RetailMarkup))</f>
        <v>0</v>
      </c>
      <c r="AF243" s="26">
        <f>IF(B243="","",IF(AE243="","",ROUND(IF(RoundingRule="None",AE243,IF(RoundingRule="Nearest 0.99",MAX(0.99,CEILING(AE243,1)-0.01),IF(RoundingRule="Nearest 0.95",MAX(0.95,CEILING(AE243,1)-0.05),IF(RoundingRule="Nearest 0.50",CEILING(AE243,0.5),IF(RoundingRule="Nearest 1",CEILING(AE243,1),IF(RoundingRule="Nearest 5",CEILING(AE243,5),IF(RoundingRule="Up to whole 1",CEILING(AE243,1),IF(RoundingRule="Up to whole 5",CEILING(AE243,5),ROUND(AE243,2))))))))),2)))</f>
        <v>0</v>
      </c>
      <c r="AG243" s="26">
        <f>IF(B243="","",ROUND(SUMIFS(Sales!$Y$5:$Y$1204,Sales!$I$5:$I$1204,A243,Sales!$H$5:$H$1204,"Retail"),2))</f>
        <v>0</v>
      </c>
      <c r="AH243" s="26">
        <f>IF(B243="","",ROUND(AG243-U243*IF(H243="",0,H243),2))</f>
        <v>0</v>
      </c>
      <c r="AI243" s="25">
        <f>IF(B243="","",COUNTIFS($AG$5:$AG$304,"&gt;"&amp;AG243)+COUNTIFS($AG$5:AG243,AG243))</f>
        <v>0</v>
      </c>
      <c r="AJ243" s="39">
        <f>IF(B243="","",IF(H243="","Add - no cost, no stock value",IF(Z243="Out of stock","Out of stock - order today",IF(Z243="Low stock","Order - running low",IF(IF(Q243="",FALSE,Q243&lt;=TodayDate+30),"Check - expiring within a month",IF(IF(R243="Yes",AD243&lt;0.25,FALSE),"Below - thin margin for a retail line",IF(IF(P243="",TRUE,TodayDate-P243&gt;90),"Due - not counted in three months","OK")))))))</f>
        <v>0</v>
      </c>
    </row>
    <row r="244" spans="1:36">
      <c r="A244" s="28">
        <f>IF(B244="","",ProductPrefix&amp;TEXT(ROW()-4,"000"))</f>
        <v>0</v>
      </c>
      <c r="T244" s="37">
        <f>IF(B244="","",ROUND(SUMIFS(Purchases!$U$5:$U$304,Purchases!$D$5:$D$304,A244),2))</f>
        <v>0</v>
      </c>
      <c r="U244" s="37">
        <f>IF(B244="","",ROUND(SUMIFS(Sales!$T$5:$T$1204,Sales!$I$5:$I$1204,A244,Sales!$H$5:$H$1204,"Retail"),2))</f>
        <v>0</v>
      </c>
      <c r="V244" s="37">
        <f>IF(B244="","",ROUND(IF(J244="",0,J244)+T244-IF(K244="",0,K244)-U244-IF(L244="",0,L244)+IF(M244="",0,M244),2))</f>
        <v>0</v>
      </c>
      <c r="W244" s="37">
        <f>IF(B244="","",ROUND((U244+IF(K244="",0,K244))/MAX(4,TrackingWeeks),2))</f>
        <v>0</v>
      </c>
      <c r="X244" s="37">
        <f>IF(B244="","",IF(W244&lt;=0,"",ROUND(V244/W244,1)))</f>
        <v>0</v>
      </c>
      <c r="Y244" s="37">
        <f>IF(B244="","",IF(N244&lt;&gt;"",N244,ROUND(W244*StockWarningWeeks,1)))</f>
        <v>0</v>
      </c>
      <c r="Z244" s="39">
        <f>IF(B244="","",IF(V244&lt;=0,"Out of stock",IF(V244&lt;=Y244,"Low stock",IF(R244="No","Backbar","In stock"))))</f>
        <v>0</v>
      </c>
      <c r="AA244" s="37">
        <f>IF(B244="","",IF(Z244="In stock","",IF(Z244="Backbar",IF(V244&lt;=Y244,MAX(1,IF(O244="",ROUND(W244*ReorderWeeks,0),O244)),""),MAX(1,IF(O244="",ROUND(W244*ReorderWeeks,0),O244)))))</f>
        <v>0</v>
      </c>
      <c r="AB244" s="26">
        <f>IF(B244="","",ROUND(V244*IF(H244="",0,H244),2))</f>
        <v>0</v>
      </c>
      <c r="AC244" s="26">
        <f>IF(B244="","",ROUND(V244*IF(I244="",0,I244),2))</f>
        <v>0</v>
      </c>
      <c r="AD244" s="27">
        <f>IF(B244="","",IF(IF(I244="",0,I244)=0,"",(I244-IF(H244="",0,H244))/I244))</f>
        <v>0</v>
      </c>
      <c r="AE244" s="26">
        <f>IF(B244="","",IF(H244="","",H244*RetailMarkup))</f>
        <v>0</v>
      </c>
      <c r="AF244" s="26">
        <f>IF(B244="","",IF(AE244="","",ROUND(IF(RoundingRule="None",AE244,IF(RoundingRule="Nearest 0.99",MAX(0.99,CEILING(AE244,1)-0.01),IF(RoundingRule="Nearest 0.95",MAX(0.95,CEILING(AE244,1)-0.05),IF(RoundingRule="Nearest 0.50",CEILING(AE244,0.5),IF(RoundingRule="Nearest 1",CEILING(AE244,1),IF(RoundingRule="Nearest 5",CEILING(AE244,5),IF(RoundingRule="Up to whole 1",CEILING(AE244,1),IF(RoundingRule="Up to whole 5",CEILING(AE244,5),ROUND(AE244,2))))))))),2)))</f>
        <v>0</v>
      </c>
      <c r="AG244" s="26">
        <f>IF(B244="","",ROUND(SUMIFS(Sales!$Y$5:$Y$1204,Sales!$I$5:$I$1204,A244,Sales!$H$5:$H$1204,"Retail"),2))</f>
        <v>0</v>
      </c>
      <c r="AH244" s="26">
        <f>IF(B244="","",ROUND(AG244-U244*IF(H244="",0,H244),2))</f>
        <v>0</v>
      </c>
      <c r="AI244" s="25">
        <f>IF(B244="","",COUNTIFS($AG$5:$AG$304,"&gt;"&amp;AG244)+COUNTIFS($AG$5:AG244,AG244))</f>
        <v>0</v>
      </c>
      <c r="AJ244" s="39">
        <f>IF(B244="","",IF(H244="","Add - no cost, no stock value",IF(Z244="Out of stock","Out of stock - order today",IF(Z244="Low stock","Order - running low",IF(IF(Q244="",FALSE,Q244&lt;=TodayDate+30),"Check - expiring within a month",IF(IF(R244="Yes",AD244&lt;0.25,FALSE),"Below - thin margin for a retail line",IF(IF(P244="",TRUE,TodayDate-P244&gt;90),"Due - not counted in three months","OK")))))))</f>
        <v>0</v>
      </c>
    </row>
    <row r="245" spans="1:36">
      <c r="A245" s="28">
        <f>IF(B245="","",ProductPrefix&amp;TEXT(ROW()-4,"000"))</f>
        <v>0</v>
      </c>
      <c r="T245" s="37">
        <f>IF(B245="","",ROUND(SUMIFS(Purchases!$U$5:$U$304,Purchases!$D$5:$D$304,A245),2))</f>
        <v>0</v>
      </c>
      <c r="U245" s="37">
        <f>IF(B245="","",ROUND(SUMIFS(Sales!$T$5:$T$1204,Sales!$I$5:$I$1204,A245,Sales!$H$5:$H$1204,"Retail"),2))</f>
        <v>0</v>
      </c>
      <c r="V245" s="37">
        <f>IF(B245="","",ROUND(IF(J245="",0,J245)+T245-IF(K245="",0,K245)-U245-IF(L245="",0,L245)+IF(M245="",0,M245),2))</f>
        <v>0</v>
      </c>
      <c r="W245" s="37">
        <f>IF(B245="","",ROUND((U245+IF(K245="",0,K245))/MAX(4,TrackingWeeks),2))</f>
        <v>0</v>
      </c>
      <c r="X245" s="37">
        <f>IF(B245="","",IF(W245&lt;=0,"",ROUND(V245/W245,1)))</f>
        <v>0</v>
      </c>
      <c r="Y245" s="37">
        <f>IF(B245="","",IF(N245&lt;&gt;"",N245,ROUND(W245*StockWarningWeeks,1)))</f>
        <v>0</v>
      </c>
      <c r="Z245" s="39">
        <f>IF(B245="","",IF(V245&lt;=0,"Out of stock",IF(V245&lt;=Y245,"Low stock",IF(R245="No","Backbar","In stock"))))</f>
        <v>0</v>
      </c>
      <c r="AA245" s="37">
        <f>IF(B245="","",IF(Z245="In stock","",IF(Z245="Backbar",IF(V245&lt;=Y245,MAX(1,IF(O245="",ROUND(W245*ReorderWeeks,0),O245)),""),MAX(1,IF(O245="",ROUND(W245*ReorderWeeks,0),O245)))))</f>
        <v>0</v>
      </c>
      <c r="AB245" s="26">
        <f>IF(B245="","",ROUND(V245*IF(H245="",0,H245),2))</f>
        <v>0</v>
      </c>
      <c r="AC245" s="26">
        <f>IF(B245="","",ROUND(V245*IF(I245="",0,I245),2))</f>
        <v>0</v>
      </c>
      <c r="AD245" s="27">
        <f>IF(B245="","",IF(IF(I245="",0,I245)=0,"",(I245-IF(H245="",0,H245))/I245))</f>
        <v>0</v>
      </c>
      <c r="AE245" s="26">
        <f>IF(B245="","",IF(H245="","",H245*RetailMarkup))</f>
        <v>0</v>
      </c>
      <c r="AF245" s="26">
        <f>IF(B245="","",IF(AE245="","",ROUND(IF(RoundingRule="None",AE245,IF(RoundingRule="Nearest 0.99",MAX(0.99,CEILING(AE245,1)-0.01),IF(RoundingRule="Nearest 0.95",MAX(0.95,CEILING(AE245,1)-0.05),IF(RoundingRule="Nearest 0.50",CEILING(AE245,0.5),IF(RoundingRule="Nearest 1",CEILING(AE245,1),IF(RoundingRule="Nearest 5",CEILING(AE245,5),IF(RoundingRule="Up to whole 1",CEILING(AE245,1),IF(RoundingRule="Up to whole 5",CEILING(AE245,5),ROUND(AE245,2))))))))),2)))</f>
        <v>0</v>
      </c>
      <c r="AG245" s="26">
        <f>IF(B245="","",ROUND(SUMIFS(Sales!$Y$5:$Y$1204,Sales!$I$5:$I$1204,A245,Sales!$H$5:$H$1204,"Retail"),2))</f>
        <v>0</v>
      </c>
      <c r="AH245" s="26">
        <f>IF(B245="","",ROUND(AG245-U245*IF(H245="",0,H245),2))</f>
        <v>0</v>
      </c>
      <c r="AI245" s="25">
        <f>IF(B245="","",COUNTIFS($AG$5:$AG$304,"&gt;"&amp;AG245)+COUNTIFS($AG$5:AG245,AG245))</f>
        <v>0</v>
      </c>
      <c r="AJ245" s="39">
        <f>IF(B245="","",IF(H245="","Add - no cost, no stock value",IF(Z245="Out of stock","Out of stock - order today",IF(Z245="Low stock","Order - running low",IF(IF(Q245="",FALSE,Q245&lt;=TodayDate+30),"Check - expiring within a month",IF(IF(R245="Yes",AD245&lt;0.25,FALSE),"Below - thin margin for a retail line",IF(IF(P245="",TRUE,TodayDate-P245&gt;90),"Due - not counted in three months","OK")))))))</f>
        <v>0</v>
      </c>
    </row>
    <row r="246" spans="1:36">
      <c r="A246" s="28">
        <f>IF(B246="","",ProductPrefix&amp;TEXT(ROW()-4,"000"))</f>
        <v>0</v>
      </c>
      <c r="T246" s="37">
        <f>IF(B246="","",ROUND(SUMIFS(Purchases!$U$5:$U$304,Purchases!$D$5:$D$304,A246),2))</f>
        <v>0</v>
      </c>
      <c r="U246" s="37">
        <f>IF(B246="","",ROUND(SUMIFS(Sales!$T$5:$T$1204,Sales!$I$5:$I$1204,A246,Sales!$H$5:$H$1204,"Retail"),2))</f>
        <v>0</v>
      </c>
      <c r="V246" s="37">
        <f>IF(B246="","",ROUND(IF(J246="",0,J246)+T246-IF(K246="",0,K246)-U246-IF(L246="",0,L246)+IF(M246="",0,M246),2))</f>
        <v>0</v>
      </c>
      <c r="W246" s="37">
        <f>IF(B246="","",ROUND((U246+IF(K246="",0,K246))/MAX(4,TrackingWeeks),2))</f>
        <v>0</v>
      </c>
      <c r="X246" s="37">
        <f>IF(B246="","",IF(W246&lt;=0,"",ROUND(V246/W246,1)))</f>
        <v>0</v>
      </c>
      <c r="Y246" s="37">
        <f>IF(B246="","",IF(N246&lt;&gt;"",N246,ROUND(W246*StockWarningWeeks,1)))</f>
        <v>0</v>
      </c>
      <c r="Z246" s="39">
        <f>IF(B246="","",IF(V246&lt;=0,"Out of stock",IF(V246&lt;=Y246,"Low stock",IF(R246="No","Backbar","In stock"))))</f>
        <v>0</v>
      </c>
      <c r="AA246" s="37">
        <f>IF(B246="","",IF(Z246="In stock","",IF(Z246="Backbar",IF(V246&lt;=Y246,MAX(1,IF(O246="",ROUND(W246*ReorderWeeks,0),O246)),""),MAX(1,IF(O246="",ROUND(W246*ReorderWeeks,0),O246)))))</f>
        <v>0</v>
      </c>
      <c r="AB246" s="26">
        <f>IF(B246="","",ROUND(V246*IF(H246="",0,H246),2))</f>
        <v>0</v>
      </c>
      <c r="AC246" s="26">
        <f>IF(B246="","",ROUND(V246*IF(I246="",0,I246),2))</f>
        <v>0</v>
      </c>
      <c r="AD246" s="27">
        <f>IF(B246="","",IF(IF(I246="",0,I246)=0,"",(I246-IF(H246="",0,H246))/I246))</f>
        <v>0</v>
      </c>
      <c r="AE246" s="26">
        <f>IF(B246="","",IF(H246="","",H246*RetailMarkup))</f>
        <v>0</v>
      </c>
      <c r="AF246" s="26">
        <f>IF(B246="","",IF(AE246="","",ROUND(IF(RoundingRule="None",AE246,IF(RoundingRule="Nearest 0.99",MAX(0.99,CEILING(AE246,1)-0.01),IF(RoundingRule="Nearest 0.95",MAX(0.95,CEILING(AE246,1)-0.05),IF(RoundingRule="Nearest 0.50",CEILING(AE246,0.5),IF(RoundingRule="Nearest 1",CEILING(AE246,1),IF(RoundingRule="Nearest 5",CEILING(AE246,5),IF(RoundingRule="Up to whole 1",CEILING(AE246,1),IF(RoundingRule="Up to whole 5",CEILING(AE246,5),ROUND(AE246,2))))))))),2)))</f>
        <v>0</v>
      </c>
      <c r="AG246" s="26">
        <f>IF(B246="","",ROUND(SUMIFS(Sales!$Y$5:$Y$1204,Sales!$I$5:$I$1204,A246,Sales!$H$5:$H$1204,"Retail"),2))</f>
        <v>0</v>
      </c>
      <c r="AH246" s="26">
        <f>IF(B246="","",ROUND(AG246-U246*IF(H246="",0,H246),2))</f>
        <v>0</v>
      </c>
      <c r="AI246" s="25">
        <f>IF(B246="","",COUNTIFS($AG$5:$AG$304,"&gt;"&amp;AG246)+COUNTIFS($AG$5:AG246,AG246))</f>
        <v>0</v>
      </c>
      <c r="AJ246" s="39">
        <f>IF(B246="","",IF(H246="","Add - no cost, no stock value",IF(Z246="Out of stock","Out of stock - order today",IF(Z246="Low stock","Order - running low",IF(IF(Q246="",FALSE,Q246&lt;=TodayDate+30),"Check - expiring within a month",IF(IF(R246="Yes",AD246&lt;0.25,FALSE),"Below - thin margin for a retail line",IF(IF(P246="",TRUE,TodayDate-P246&gt;90),"Due - not counted in three months","OK")))))))</f>
        <v>0</v>
      </c>
    </row>
    <row r="247" spans="1:36">
      <c r="A247" s="28">
        <f>IF(B247="","",ProductPrefix&amp;TEXT(ROW()-4,"000"))</f>
        <v>0</v>
      </c>
      <c r="T247" s="37">
        <f>IF(B247="","",ROUND(SUMIFS(Purchases!$U$5:$U$304,Purchases!$D$5:$D$304,A247),2))</f>
        <v>0</v>
      </c>
      <c r="U247" s="37">
        <f>IF(B247="","",ROUND(SUMIFS(Sales!$T$5:$T$1204,Sales!$I$5:$I$1204,A247,Sales!$H$5:$H$1204,"Retail"),2))</f>
        <v>0</v>
      </c>
      <c r="V247" s="37">
        <f>IF(B247="","",ROUND(IF(J247="",0,J247)+T247-IF(K247="",0,K247)-U247-IF(L247="",0,L247)+IF(M247="",0,M247),2))</f>
        <v>0</v>
      </c>
      <c r="W247" s="37">
        <f>IF(B247="","",ROUND((U247+IF(K247="",0,K247))/MAX(4,TrackingWeeks),2))</f>
        <v>0</v>
      </c>
      <c r="X247" s="37">
        <f>IF(B247="","",IF(W247&lt;=0,"",ROUND(V247/W247,1)))</f>
        <v>0</v>
      </c>
      <c r="Y247" s="37">
        <f>IF(B247="","",IF(N247&lt;&gt;"",N247,ROUND(W247*StockWarningWeeks,1)))</f>
        <v>0</v>
      </c>
      <c r="Z247" s="39">
        <f>IF(B247="","",IF(V247&lt;=0,"Out of stock",IF(V247&lt;=Y247,"Low stock",IF(R247="No","Backbar","In stock"))))</f>
        <v>0</v>
      </c>
      <c r="AA247" s="37">
        <f>IF(B247="","",IF(Z247="In stock","",IF(Z247="Backbar",IF(V247&lt;=Y247,MAX(1,IF(O247="",ROUND(W247*ReorderWeeks,0),O247)),""),MAX(1,IF(O247="",ROUND(W247*ReorderWeeks,0),O247)))))</f>
        <v>0</v>
      </c>
      <c r="AB247" s="26">
        <f>IF(B247="","",ROUND(V247*IF(H247="",0,H247),2))</f>
        <v>0</v>
      </c>
      <c r="AC247" s="26">
        <f>IF(B247="","",ROUND(V247*IF(I247="",0,I247),2))</f>
        <v>0</v>
      </c>
      <c r="AD247" s="27">
        <f>IF(B247="","",IF(IF(I247="",0,I247)=0,"",(I247-IF(H247="",0,H247))/I247))</f>
        <v>0</v>
      </c>
      <c r="AE247" s="26">
        <f>IF(B247="","",IF(H247="","",H247*RetailMarkup))</f>
        <v>0</v>
      </c>
      <c r="AF247" s="26">
        <f>IF(B247="","",IF(AE247="","",ROUND(IF(RoundingRule="None",AE247,IF(RoundingRule="Nearest 0.99",MAX(0.99,CEILING(AE247,1)-0.01),IF(RoundingRule="Nearest 0.95",MAX(0.95,CEILING(AE247,1)-0.05),IF(RoundingRule="Nearest 0.50",CEILING(AE247,0.5),IF(RoundingRule="Nearest 1",CEILING(AE247,1),IF(RoundingRule="Nearest 5",CEILING(AE247,5),IF(RoundingRule="Up to whole 1",CEILING(AE247,1),IF(RoundingRule="Up to whole 5",CEILING(AE247,5),ROUND(AE247,2))))))))),2)))</f>
        <v>0</v>
      </c>
      <c r="AG247" s="26">
        <f>IF(B247="","",ROUND(SUMIFS(Sales!$Y$5:$Y$1204,Sales!$I$5:$I$1204,A247,Sales!$H$5:$H$1204,"Retail"),2))</f>
        <v>0</v>
      </c>
      <c r="AH247" s="26">
        <f>IF(B247="","",ROUND(AG247-U247*IF(H247="",0,H247),2))</f>
        <v>0</v>
      </c>
      <c r="AI247" s="25">
        <f>IF(B247="","",COUNTIFS($AG$5:$AG$304,"&gt;"&amp;AG247)+COUNTIFS($AG$5:AG247,AG247))</f>
        <v>0</v>
      </c>
      <c r="AJ247" s="39">
        <f>IF(B247="","",IF(H247="","Add - no cost, no stock value",IF(Z247="Out of stock","Out of stock - order today",IF(Z247="Low stock","Order - running low",IF(IF(Q247="",FALSE,Q247&lt;=TodayDate+30),"Check - expiring within a month",IF(IF(R247="Yes",AD247&lt;0.25,FALSE),"Below - thin margin for a retail line",IF(IF(P247="",TRUE,TodayDate-P247&gt;90),"Due - not counted in three months","OK")))))))</f>
        <v>0</v>
      </c>
    </row>
    <row r="248" spans="1:36">
      <c r="A248" s="28">
        <f>IF(B248="","",ProductPrefix&amp;TEXT(ROW()-4,"000"))</f>
        <v>0</v>
      </c>
      <c r="T248" s="37">
        <f>IF(B248="","",ROUND(SUMIFS(Purchases!$U$5:$U$304,Purchases!$D$5:$D$304,A248),2))</f>
        <v>0</v>
      </c>
      <c r="U248" s="37">
        <f>IF(B248="","",ROUND(SUMIFS(Sales!$T$5:$T$1204,Sales!$I$5:$I$1204,A248,Sales!$H$5:$H$1204,"Retail"),2))</f>
        <v>0</v>
      </c>
      <c r="V248" s="37">
        <f>IF(B248="","",ROUND(IF(J248="",0,J248)+T248-IF(K248="",0,K248)-U248-IF(L248="",0,L248)+IF(M248="",0,M248),2))</f>
        <v>0</v>
      </c>
      <c r="W248" s="37">
        <f>IF(B248="","",ROUND((U248+IF(K248="",0,K248))/MAX(4,TrackingWeeks),2))</f>
        <v>0</v>
      </c>
      <c r="X248" s="37">
        <f>IF(B248="","",IF(W248&lt;=0,"",ROUND(V248/W248,1)))</f>
        <v>0</v>
      </c>
      <c r="Y248" s="37">
        <f>IF(B248="","",IF(N248&lt;&gt;"",N248,ROUND(W248*StockWarningWeeks,1)))</f>
        <v>0</v>
      </c>
      <c r="Z248" s="39">
        <f>IF(B248="","",IF(V248&lt;=0,"Out of stock",IF(V248&lt;=Y248,"Low stock",IF(R248="No","Backbar","In stock"))))</f>
        <v>0</v>
      </c>
      <c r="AA248" s="37">
        <f>IF(B248="","",IF(Z248="In stock","",IF(Z248="Backbar",IF(V248&lt;=Y248,MAX(1,IF(O248="",ROUND(W248*ReorderWeeks,0),O248)),""),MAX(1,IF(O248="",ROUND(W248*ReorderWeeks,0),O248)))))</f>
        <v>0</v>
      </c>
      <c r="AB248" s="26">
        <f>IF(B248="","",ROUND(V248*IF(H248="",0,H248),2))</f>
        <v>0</v>
      </c>
      <c r="AC248" s="26">
        <f>IF(B248="","",ROUND(V248*IF(I248="",0,I248),2))</f>
        <v>0</v>
      </c>
      <c r="AD248" s="27">
        <f>IF(B248="","",IF(IF(I248="",0,I248)=0,"",(I248-IF(H248="",0,H248))/I248))</f>
        <v>0</v>
      </c>
      <c r="AE248" s="26">
        <f>IF(B248="","",IF(H248="","",H248*RetailMarkup))</f>
        <v>0</v>
      </c>
      <c r="AF248" s="26">
        <f>IF(B248="","",IF(AE248="","",ROUND(IF(RoundingRule="None",AE248,IF(RoundingRule="Nearest 0.99",MAX(0.99,CEILING(AE248,1)-0.01),IF(RoundingRule="Nearest 0.95",MAX(0.95,CEILING(AE248,1)-0.05),IF(RoundingRule="Nearest 0.50",CEILING(AE248,0.5),IF(RoundingRule="Nearest 1",CEILING(AE248,1),IF(RoundingRule="Nearest 5",CEILING(AE248,5),IF(RoundingRule="Up to whole 1",CEILING(AE248,1),IF(RoundingRule="Up to whole 5",CEILING(AE248,5),ROUND(AE248,2))))))))),2)))</f>
        <v>0</v>
      </c>
      <c r="AG248" s="26">
        <f>IF(B248="","",ROUND(SUMIFS(Sales!$Y$5:$Y$1204,Sales!$I$5:$I$1204,A248,Sales!$H$5:$H$1204,"Retail"),2))</f>
        <v>0</v>
      </c>
      <c r="AH248" s="26">
        <f>IF(B248="","",ROUND(AG248-U248*IF(H248="",0,H248),2))</f>
        <v>0</v>
      </c>
      <c r="AI248" s="25">
        <f>IF(B248="","",COUNTIFS($AG$5:$AG$304,"&gt;"&amp;AG248)+COUNTIFS($AG$5:AG248,AG248))</f>
        <v>0</v>
      </c>
      <c r="AJ248" s="39">
        <f>IF(B248="","",IF(H248="","Add - no cost, no stock value",IF(Z248="Out of stock","Out of stock - order today",IF(Z248="Low stock","Order - running low",IF(IF(Q248="",FALSE,Q248&lt;=TodayDate+30),"Check - expiring within a month",IF(IF(R248="Yes",AD248&lt;0.25,FALSE),"Below - thin margin for a retail line",IF(IF(P248="",TRUE,TodayDate-P248&gt;90),"Due - not counted in three months","OK")))))))</f>
        <v>0</v>
      </c>
    </row>
    <row r="249" spans="1:36">
      <c r="A249" s="28">
        <f>IF(B249="","",ProductPrefix&amp;TEXT(ROW()-4,"000"))</f>
        <v>0</v>
      </c>
      <c r="T249" s="37">
        <f>IF(B249="","",ROUND(SUMIFS(Purchases!$U$5:$U$304,Purchases!$D$5:$D$304,A249),2))</f>
        <v>0</v>
      </c>
      <c r="U249" s="37">
        <f>IF(B249="","",ROUND(SUMIFS(Sales!$T$5:$T$1204,Sales!$I$5:$I$1204,A249,Sales!$H$5:$H$1204,"Retail"),2))</f>
        <v>0</v>
      </c>
      <c r="V249" s="37">
        <f>IF(B249="","",ROUND(IF(J249="",0,J249)+T249-IF(K249="",0,K249)-U249-IF(L249="",0,L249)+IF(M249="",0,M249),2))</f>
        <v>0</v>
      </c>
      <c r="W249" s="37">
        <f>IF(B249="","",ROUND((U249+IF(K249="",0,K249))/MAX(4,TrackingWeeks),2))</f>
        <v>0</v>
      </c>
      <c r="X249" s="37">
        <f>IF(B249="","",IF(W249&lt;=0,"",ROUND(V249/W249,1)))</f>
        <v>0</v>
      </c>
      <c r="Y249" s="37">
        <f>IF(B249="","",IF(N249&lt;&gt;"",N249,ROUND(W249*StockWarningWeeks,1)))</f>
        <v>0</v>
      </c>
      <c r="Z249" s="39">
        <f>IF(B249="","",IF(V249&lt;=0,"Out of stock",IF(V249&lt;=Y249,"Low stock",IF(R249="No","Backbar","In stock"))))</f>
        <v>0</v>
      </c>
      <c r="AA249" s="37">
        <f>IF(B249="","",IF(Z249="In stock","",IF(Z249="Backbar",IF(V249&lt;=Y249,MAX(1,IF(O249="",ROUND(W249*ReorderWeeks,0),O249)),""),MAX(1,IF(O249="",ROUND(W249*ReorderWeeks,0),O249)))))</f>
        <v>0</v>
      </c>
      <c r="AB249" s="26">
        <f>IF(B249="","",ROUND(V249*IF(H249="",0,H249),2))</f>
        <v>0</v>
      </c>
      <c r="AC249" s="26">
        <f>IF(B249="","",ROUND(V249*IF(I249="",0,I249),2))</f>
        <v>0</v>
      </c>
      <c r="AD249" s="27">
        <f>IF(B249="","",IF(IF(I249="",0,I249)=0,"",(I249-IF(H249="",0,H249))/I249))</f>
        <v>0</v>
      </c>
      <c r="AE249" s="26">
        <f>IF(B249="","",IF(H249="","",H249*RetailMarkup))</f>
        <v>0</v>
      </c>
      <c r="AF249" s="26">
        <f>IF(B249="","",IF(AE249="","",ROUND(IF(RoundingRule="None",AE249,IF(RoundingRule="Nearest 0.99",MAX(0.99,CEILING(AE249,1)-0.01),IF(RoundingRule="Nearest 0.95",MAX(0.95,CEILING(AE249,1)-0.05),IF(RoundingRule="Nearest 0.50",CEILING(AE249,0.5),IF(RoundingRule="Nearest 1",CEILING(AE249,1),IF(RoundingRule="Nearest 5",CEILING(AE249,5),IF(RoundingRule="Up to whole 1",CEILING(AE249,1),IF(RoundingRule="Up to whole 5",CEILING(AE249,5),ROUND(AE249,2))))))))),2)))</f>
        <v>0</v>
      </c>
      <c r="AG249" s="26">
        <f>IF(B249="","",ROUND(SUMIFS(Sales!$Y$5:$Y$1204,Sales!$I$5:$I$1204,A249,Sales!$H$5:$H$1204,"Retail"),2))</f>
        <v>0</v>
      </c>
      <c r="AH249" s="26">
        <f>IF(B249="","",ROUND(AG249-U249*IF(H249="",0,H249),2))</f>
        <v>0</v>
      </c>
      <c r="AI249" s="25">
        <f>IF(B249="","",COUNTIFS($AG$5:$AG$304,"&gt;"&amp;AG249)+COUNTIFS($AG$5:AG249,AG249))</f>
        <v>0</v>
      </c>
      <c r="AJ249" s="39">
        <f>IF(B249="","",IF(H249="","Add - no cost, no stock value",IF(Z249="Out of stock","Out of stock - order today",IF(Z249="Low stock","Order - running low",IF(IF(Q249="",FALSE,Q249&lt;=TodayDate+30),"Check - expiring within a month",IF(IF(R249="Yes",AD249&lt;0.25,FALSE),"Below - thin margin for a retail line",IF(IF(P249="",TRUE,TodayDate-P249&gt;90),"Due - not counted in three months","OK")))))))</f>
        <v>0</v>
      </c>
    </row>
    <row r="250" spans="1:36">
      <c r="A250" s="28">
        <f>IF(B250="","",ProductPrefix&amp;TEXT(ROW()-4,"000"))</f>
        <v>0</v>
      </c>
      <c r="T250" s="37">
        <f>IF(B250="","",ROUND(SUMIFS(Purchases!$U$5:$U$304,Purchases!$D$5:$D$304,A250),2))</f>
        <v>0</v>
      </c>
      <c r="U250" s="37">
        <f>IF(B250="","",ROUND(SUMIFS(Sales!$T$5:$T$1204,Sales!$I$5:$I$1204,A250,Sales!$H$5:$H$1204,"Retail"),2))</f>
        <v>0</v>
      </c>
      <c r="V250" s="37">
        <f>IF(B250="","",ROUND(IF(J250="",0,J250)+T250-IF(K250="",0,K250)-U250-IF(L250="",0,L250)+IF(M250="",0,M250),2))</f>
        <v>0</v>
      </c>
      <c r="W250" s="37">
        <f>IF(B250="","",ROUND((U250+IF(K250="",0,K250))/MAX(4,TrackingWeeks),2))</f>
        <v>0</v>
      </c>
      <c r="X250" s="37">
        <f>IF(B250="","",IF(W250&lt;=0,"",ROUND(V250/W250,1)))</f>
        <v>0</v>
      </c>
      <c r="Y250" s="37">
        <f>IF(B250="","",IF(N250&lt;&gt;"",N250,ROUND(W250*StockWarningWeeks,1)))</f>
        <v>0</v>
      </c>
      <c r="Z250" s="39">
        <f>IF(B250="","",IF(V250&lt;=0,"Out of stock",IF(V250&lt;=Y250,"Low stock",IF(R250="No","Backbar","In stock"))))</f>
        <v>0</v>
      </c>
      <c r="AA250" s="37">
        <f>IF(B250="","",IF(Z250="In stock","",IF(Z250="Backbar",IF(V250&lt;=Y250,MAX(1,IF(O250="",ROUND(W250*ReorderWeeks,0),O250)),""),MAX(1,IF(O250="",ROUND(W250*ReorderWeeks,0),O250)))))</f>
        <v>0</v>
      </c>
      <c r="AB250" s="26">
        <f>IF(B250="","",ROUND(V250*IF(H250="",0,H250),2))</f>
        <v>0</v>
      </c>
      <c r="AC250" s="26">
        <f>IF(B250="","",ROUND(V250*IF(I250="",0,I250),2))</f>
        <v>0</v>
      </c>
      <c r="AD250" s="27">
        <f>IF(B250="","",IF(IF(I250="",0,I250)=0,"",(I250-IF(H250="",0,H250))/I250))</f>
        <v>0</v>
      </c>
      <c r="AE250" s="26">
        <f>IF(B250="","",IF(H250="","",H250*RetailMarkup))</f>
        <v>0</v>
      </c>
      <c r="AF250" s="26">
        <f>IF(B250="","",IF(AE250="","",ROUND(IF(RoundingRule="None",AE250,IF(RoundingRule="Nearest 0.99",MAX(0.99,CEILING(AE250,1)-0.01),IF(RoundingRule="Nearest 0.95",MAX(0.95,CEILING(AE250,1)-0.05),IF(RoundingRule="Nearest 0.50",CEILING(AE250,0.5),IF(RoundingRule="Nearest 1",CEILING(AE250,1),IF(RoundingRule="Nearest 5",CEILING(AE250,5),IF(RoundingRule="Up to whole 1",CEILING(AE250,1),IF(RoundingRule="Up to whole 5",CEILING(AE250,5),ROUND(AE250,2))))))))),2)))</f>
        <v>0</v>
      </c>
      <c r="AG250" s="26">
        <f>IF(B250="","",ROUND(SUMIFS(Sales!$Y$5:$Y$1204,Sales!$I$5:$I$1204,A250,Sales!$H$5:$H$1204,"Retail"),2))</f>
        <v>0</v>
      </c>
      <c r="AH250" s="26">
        <f>IF(B250="","",ROUND(AG250-U250*IF(H250="",0,H250),2))</f>
        <v>0</v>
      </c>
      <c r="AI250" s="25">
        <f>IF(B250="","",COUNTIFS($AG$5:$AG$304,"&gt;"&amp;AG250)+COUNTIFS($AG$5:AG250,AG250))</f>
        <v>0</v>
      </c>
      <c r="AJ250" s="39">
        <f>IF(B250="","",IF(H250="","Add - no cost, no stock value",IF(Z250="Out of stock","Out of stock - order today",IF(Z250="Low stock","Order - running low",IF(IF(Q250="",FALSE,Q250&lt;=TodayDate+30),"Check - expiring within a month",IF(IF(R250="Yes",AD250&lt;0.25,FALSE),"Below - thin margin for a retail line",IF(IF(P250="",TRUE,TodayDate-P250&gt;90),"Due - not counted in three months","OK")))))))</f>
        <v>0</v>
      </c>
    </row>
    <row r="251" spans="1:36">
      <c r="A251" s="28">
        <f>IF(B251="","",ProductPrefix&amp;TEXT(ROW()-4,"000"))</f>
        <v>0</v>
      </c>
      <c r="T251" s="37">
        <f>IF(B251="","",ROUND(SUMIFS(Purchases!$U$5:$U$304,Purchases!$D$5:$D$304,A251),2))</f>
        <v>0</v>
      </c>
      <c r="U251" s="37">
        <f>IF(B251="","",ROUND(SUMIFS(Sales!$T$5:$T$1204,Sales!$I$5:$I$1204,A251,Sales!$H$5:$H$1204,"Retail"),2))</f>
        <v>0</v>
      </c>
      <c r="V251" s="37">
        <f>IF(B251="","",ROUND(IF(J251="",0,J251)+T251-IF(K251="",0,K251)-U251-IF(L251="",0,L251)+IF(M251="",0,M251),2))</f>
        <v>0</v>
      </c>
      <c r="W251" s="37">
        <f>IF(B251="","",ROUND((U251+IF(K251="",0,K251))/MAX(4,TrackingWeeks),2))</f>
        <v>0</v>
      </c>
      <c r="X251" s="37">
        <f>IF(B251="","",IF(W251&lt;=0,"",ROUND(V251/W251,1)))</f>
        <v>0</v>
      </c>
      <c r="Y251" s="37">
        <f>IF(B251="","",IF(N251&lt;&gt;"",N251,ROUND(W251*StockWarningWeeks,1)))</f>
        <v>0</v>
      </c>
      <c r="Z251" s="39">
        <f>IF(B251="","",IF(V251&lt;=0,"Out of stock",IF(V251&lt;=Y251,"Low stock",IF(R251="No","Backbar","In stock"))))</f>
        <v>0</v>
      </c>
      <c r="AA251" s="37">
        <f>IF(B251="","",IF(Z251="In stock","",IF(Z251="Backbar",IF(V251&lt;=Y251,MAX(1,IF(O251="",ROUND(W251*ReorderWeeks,0),O251)),""),MAX(1,IF(O251="",ROUND(W251*ReorderWeeks,0),O251)))))</f>
        <v>0</v>
      </c>
      <c r="AB251" s="26">
        <f>IF(B251="","",ROUND(V251*IF(H251="",0,H251),2))</f>
        <v>0</v>
      </c>
      <c r="AC251" s="26">
        <f>IF(B251="","",ROUND(V251*IF(I251="",0,I251),2))</f>
        <v>0</v>
      </c>
      <c r="AD251" s="27">
        <f>IF(B251="","",IF(IF(I251="",0,I251)=0,"",(I251-IF(H251="",0,H251))/I251))</f>
        <v>0</v>
      </c>
      <c r="AE251" s="26">
        <f>IF(B251="","",IF(H251="","",H251*RetailMarkup))</f>
        <v>0</v>
      </c>
      <c r="AF251" s="26">
        <f>IF(B251="","",IF(AE251="","",ROUND(IF(RoundingRule="None",AE251,IF(RoundingRule="Nearest 0.99",MAX(0.99,CEILING(AE251,1)-0.01),IF(RoundingRule="Nearest 0.95",MAX(0.95,CEILING(AE251,1)-0.05),IF(RoundingRule="Nearest 0.50",CEILING(AE251,0.5),IF(RoundingRule="Nearest 1",CEILING(AE251,1),IF(RoundingRule="Nearest 5",CEILING(AE251,5),IF(RoundingRule="Up to whole 1",CEILING(AE251,1),IF(RoundingRule="Up to whole 5",CEILING(AE251,5),ROUND(AE251,2))))))))),2)))</f>
        <v>0</v>
      </c>
      <c r="AG251" s="26">
        <f>IF(B251="","",ROUND(SUMIFS(Sales!$Y$5:$Y$1204,Sales!$I$5:$I$1204,A251,Sales!$H$5:$H$1204,"Retail"),2))</f>
        <v>0</v>
      </c>
      <c r="AH251" s="26">
        <f>IF(B251="","",ROUND(AG251-U251*IF(H251="",0,H251),2))</f>
        <v>0</v>
      </c>
      <c r="AI251" s="25">
        <f>IF(B251="","",COUNTIFS($AG$5:$AG$304,"&gt;"&amp;AG251)+COUNTIFS($AG$5:AG251,AG251))</f>
        <v>0</v>
      </c>
      <c r="AJ251" s="39">
        <f>IF(B251="","",IF(H251="","Add - no cost, no stock value",IF(Z251="Out of stock","Out of stock - order today",IF(Z251="Low stock","Order - running low",IF(IF(Q251="",FALSE,Q251&lt;=TodayDate+30),"Check - expiring within a month",IF(IF(R251="Yes",AD251&lt;0.25,FALSE),"Below - thin margin for a retail line",IF(IF(P251="",TRUE,TodayDate-P251&gt;90),"Due - not counted in three months","OK")))))))</f>
        <v>0</v>
      </c>
    </row>
    <row r="252" spans="1:36">
      <c r="A252" s="28">
        <f>IF(B252="","",ProductPrefix&amp;TEXT(ROW()-4,"000"))</f>
        <v>0</v>
      </c>
      <c r="T252" s="37">
        <f>IF(B252="","",ROUND(SUMIFS(Purchases!$U$5:$U$304,Purchases!$D$5:$D$304,A252),2))</f>
        <v>0</v>
      </c>
      <c r="U252" s="37">
        <f>IF(B252="","",ROUND(SUMIFS(Sales!$T$5:$T$1204,Sales!$I$5:$I$1204,A252,Sales!$H$5:$H$1204,"Retail"),2))</f>
        <v>0</v>
      </c>
      <c r="V252" s="37">
        <f>IF(B252="","",ROUND(IF(J252="",0,J252)+T252-IF(K252="",0,K252)-U252-IF(L252="",0,L252)+IF(M252="",0,M252),2))</f>
        <v>0</v>
      </c>
      <c r="W252" s="37">
        <f>IF(B252="","",ROUND((U252+IF(K252="",0,K252))/MAX(4,TrackingWeeks),2))</f>
        <v>0</v>
      </c>
      <c r="X252" s="37">
        <f>IF(B252="","",IF(W252&lt;=0,"",ROUND(V252/W252,1)))</f>
        <v>0</v>
      </c>
      <c r="Y252" s="37">
        <f>IF(B252="","",IF(N252&lt;&gt;"",N252,ROUND(W252*StockWarningWeeks,1)))</f>
        <v>0</v>
      </c>
      <c r="Z252" s="39">
        <f>IF(B252="","",IF(V252&lt;=0,"Out of stock",IF(V252&lt;=Y252,"Low stock",IF(R252="No","Backbar","In stock"))))</f>
        <v>0</v>
      </c>
      <c r="AA252" s="37">
        <f>IF(B252="","",IF(Z252="In stock","",IF(Z252="Backbar",IF(V252&lt;=Y252,MAX(1,IF(O252="",ROUND(W252*ReorderWeeks,0),O252)),""),MAX(1,IF(O252="",ROUND(W252*ReorderWeeks,0),O252)))))</f>
        <v>0</v>
      </c>
      <c r="AB252" s="26">
        <f>IF(B252="","",ROUND(V252*IF(H252="",0,H252),2))</f>
        <v>0</v>
      </c>
      <c r="AC252" s="26">
        <f>IF(B252="","",ROUND(V252*IF(I252="",0,I252),2))</f>
        <v>0</v>
      </c>
      <c r="AD252" s="27">
        <f>IF(B252="","",IF(IF(I252="",0,I252)=0,"",(I252-IF(H252="",0,H252))/I252))</f>
        <v>0</v>
      </c>
      <c r="AE252" s="26">
        <f>IF(B252="","",IF(H252="","",H252*RetailMarkup))</f>
        <v>0</v>
      </c>
      <c r="AF252" s="26">
        <f>IF(B252="","",IF(AE252="","",ROUND(IF(RoundingRule="None",AE252,IF(RoundingRule="Nearest 0.99",MAX(0.99,CEILING(AE252,1)-0.01),IF(RoundingRule="Nearest 0.95",MAX(0.95,CEILING(AE252,1)-0.05),IF(RoundingRule="Nearest 0.50",CEILING(AE252,0.5),IF(RoundingRule="Nearest 1",CEILING(AE252,1),IF(RoundingRule="Nearest 5",CEILING(AE252,5),IF(RoundingRule="Up to whole 1",CEILING(AE252,1),IF(RoundingRule="Up to whole 5",CEILING(AE252,5),ROUND(AE252,2))))))))),2)))</f>
        <v>0</v>
      </c>
      <c r="AG252" s="26">
        <f>IF(B252="","",ROUND(SUMIFS(Sales!$Y$5:$Y$1204,Sales!$I$5:$I$1204,A252,Sales!$H$5:$H$1204,"Retail"),2))</f>
        <v>0</v>
      </c>
      <c r="AH252" s="26">
        <f>IF(B252="","",ROUND(AG252-U252*IF(H252="",0,H252),2))</f>
        <v>0</v>
      </c>
      <c r="AI252" s="25">
        <f>IF(B252="","",COUNTIFS($AG$5:$AG$304,"&gt;"&amp;AG252)+COUNTIFS($AG$5:AG252,AG252))</f>
        <v>0</v>
      </c>
      <c r="AJ252" s="39">
        <f>IF(B252="","",IF(H252="","Add - no cost, no stock value",IF(Z252="Out of stock","Out of stock - order today",IF(Z252="Low stock","Order - running low",IF(IF(Q252="",FALSE,Q252&lt;=TodayDate+30),"Check - expiring within a month",IF(IF(R252="Yes",AD252&lt;0.25,FALSE),"Below - thin margin for a retail line",IF(IF(P252="",TRUE,TodayDate-P252&gt;90),"Due - not counted in three months","OK")))))))</f>
        <v>0</v>
      </c>
    </row>
    <row r="253" spans="1:36">
      <c r="A253" s="28">
        <f>IF(B253="","",ProductPrefix&amp;TEXT(ROW()-4,"000"))</f>
        <v>0</v>
      </c>
      <c r="T253" s="37">
        <f>IF(B253="","",ROUND(SUMIFS(Purchases!$U$5:$U$304,Purchases!$D$5:$D$304,A253),2))</f>
        <v>0</v>
      </c>
      <c r="U253" s="37">
        <f>IF(B253="","",ROUND(SUMIFS(Sales!$T$5:$T$1204,Sales!$I$5:$I$1204,A253,Sales!$H$5:$H$1204,"Retail"),2))</f>
        <v>0</v>
      </c>
      <c r="V253" s="37">
        <f>IF(B253="","",ROUND(IF(J253="",0,J253)+T253-IF(K253="",0,K253)-U253-IF(L253="",0,L253)+IF(M253="",0,M253),2))</f>
        <v>0</v>
      </c>
      <c r="W253" s="37">
        <f>IF(B253="","",ROUND((U253+IF(K253="",0,K253))/MAX(4,TrackingWeeks),2))</f>
        <v>0</v>
      </c>
      <c r="X253" s="37">
        <f>IF(B253="","",IF(W253&lt;=0,"",ROUND(V253/W253,1)))</f>
        <v>0</v>
      </c>
      <c r="Y253" s="37">
        <f>IF(B253="","",IF(N253&lt;&gt;"",N253,ROUND(W253*StockWarningWeeks,1)))</f>
        <v>0</v>
      </c>
      <c r="Z253" s="39">
        <f>IF(B253="","",IF(V253&lt;=0,"Out of stock",IF(V253&lt;=Y253,"Low stock",IF(R253="No","Backbar","In stock"))))</f>
        <v>0</v>
      </c>
      <c r="AA253" s="37">
        <f>IF(B253="","",IF(Z253="In stock","",IF(Z253="Backbar",IF(V253&lt;=Y253,MAX(1,IF(O253="",ROUND(W253*ReorderWeeks,0),O253)),""),MAX(1,IF(O253="",ROUND(W253*ReorderWeeks,0),O253)))))</f>
        <v>0</v>
      </c>
      <c r="AB253" s="26">
        <f>IF(B253="","",ROUND(V253*IF(H253="",0,H253),2))</f>
        <v>0</v>
      </c>
      <c r="AC253" s="26">
        <f>IF(B253="","",ROUND(V253*IF(I253="",0,I253),2))</f>
        <v>0</v>
      </c>
      <c r="AD253" s="27">
        <f>IF(B253="","",IF(IF(I253="",0,I253)=0,"",(I253-IF(H253="",0,H253))/I253))</f>
        <v>0</v>
      </c>
      <c r="AE253" s="26">
        <f>IF(B253="","",IF(H253="","",H253*RetailMarkup))</f>
        <v>0</v>
      </c>
      <c r="AF253" s="26">
        <f>IF(B253="","",IF(AE253="","",ROUND(IF(RoundingRule="None",AE253,IF(RoundingRule="Nearest 0.99",MAX(0.99,CEILING(AE253,1)-0.01),IF(RoundingRule="Nearest 0.95",MAX(0.95,CEILING(AE253,1)-0.05),IF(RoundingRule="Nearest 0.50",CEILING(AE253,0.5),IF(RoundingRule="Nearest 1",CEILING(AE253,1),IF(RoundingRule="Nearest 5",CEILING(AE253,5),IF(RoundingRule="Up to whole 1",CEILING(AE253,1),IF(RoundingRule="Up to whole 5",CEILING(AE253,5),ROUND(AE253,2))))))))),2)))</f>
        <v>0</v>
      </c>
      <c r="AG253" s="26">
        <f>IF(B253="","",ROUND(SUMIFS(Sales!$Y$5:$Y$1204,Sales!$I$5:$I$1204,A253,Sales!$H$5:$H$1204,"Retail"),2))</f>
        <v>0</v>
      </c>
      <c r="AH253" s="26">
        <f>IF(B253="","",ROUND(AG253-U253*IF(H253="",0,H253),2))</f>
        <v>0</v>
      </c>
      <c r="AI253" s="25">
        <f>IF(B253="","",COUNTIFS($AG$5:$AG$304,"&gt;"&amp;AG253)+COUNTIFS($AG$5:AG253,AG253))</f>
        <v>0</v>
      </c>
      <c r="AJ253" s="39">
        <f>IF(B253="","",IF(H253="","Add - no cost, no stock value",IF(Z253="Out of stock","Out of stock - order today",IF(Z253="Low stock","Order - running low",IF(IF(Q253="",FALSE,Q253&lt;=TodayDate+30),"Check - expiring within a month",IF(IF(R253="Yes",AD253&lt;0.25,FALSE),"Below - thin margin for a retail line",IF(IF(P253="",TRUE,TodayDate-P253&gt;90),"Due - not counted in three months","OK")))))))</f>
        <v>0</v>
      </c>
    </row>
    <row r="254" spans="1:36">
      <c r="A254" s="28">
        <f>IF(B254="","",ProductPrefix&amp;TEXT(ROW()-4,"000"))</f>
        <v>0</v>
      </c>
      <c r="T254" s="37">
        <f>IF(B254="","",ROUND(SUMIFS(Purchases!$U$5:$U$304,Purchases!$D$5:$D$304,A254),2))</f>
        <v>0</v>
      </c>
      <c r="U254" s="37">
        <f>IF(B254="","",ROUND(SUMIFS(Sales!$T$5:$T$1204,Sales!$I$5:$I$1204,A254,Sales!$H$5:$H$1204,"Retail"),2))</f>
        <v>0</v>
      </c>
      <c r="V254" s="37">
        <f>IF(B254="","",ROUND(IF(J254="",0,J254)+T254-IF(K254="",0,K254)-U254-IF(L254="",0,L254)+IF(M254="",0,M254),2))</f>
        <v>0</v>
      </c>
      <c r="W254" s="37">
        <f>IF(B254="","",ROUND((U254+IF(K254="",0,K254))/MAX(4,TrackingWeeks),2))</f>
        <v>0</v>
      </c>
      <c r="X254" s="37">
        <f>IF(B254="","",IF(W254&lt;=0,"",ROUND(V254/W254,1)))</f>
        <v>0</v>
      </c>
      <c r="Y254" s="37">
        <f>IF(B254="","",IF(N254&lt;&gt;"",N254,ROUND(W254*StockWarningWeeks,1)))</f>
        <v>0</v>
      </c>
      <c r="Z254" s="39">
        <f>IF(B254="","",IF(V254&lt;=0,"Out of stock",IF(V254&lt;=Y254,"Low stock",IF(R254="No","Backbar","In stock"))))</f>
        <v>0</v>
      </c>
      <c r="AA254" s="37">
        <f>IF(B254="","",IF(Z254="In stock","",IF(Z254="Backbar",IF(V254&lt;=Y254,MAX(1,IF(O254="",ROUND(W254*ReorderWeeks,0),O254)),""),MAX(1,IF(O254="",ROUND(W254*ReorderWeeks,0),O254)))))</f>
        <v>0</v>
      </c>
      <c r="AB254" s="26">
        <f>IF(B254="","",ROUND(V254*IF(H254="",0,H254),2))</f>
        <v>0</v>
      </c>
      <c r="AC254" s="26">
        <f>IF(B254="","",ROUND(V254*IF(I254="",0,I254),2))</f>
        <v>0</v>
      </c>
      <c r="AD254" s="27">
        <f>IF(B254="","",IF(IF(I254="",0,I254)=0,"",(I254-IF(H254="",0,H254))/I254))</f>
        <v>0</v>
      </c>
      <c r="AE254" s="26">
        <f>IF(B254="","",IF(H254="","",H254*RetailMarkup))</f>
        <v>0</v>
      </c>
      <c r="AF254" s="26">
        <f>IF(B254="","",IF(AE254="","",ROUND(IF(RoundingRule="None",AE254,IF(RoundingRule="Nearest 0.99",MAX(0.99,CEILING(AE254,1)-0.01),IF(RoundingRule="Nearest 0.95",MAX(0.95,CEILING(AE254,1)-0.05),IF(RoundingRule="Nearest 0.50",CEILING(AE254,0.5),IF(RoundingRule="Nearest 1",CEILING(AE254,1),IF(RoundingRule="Nearest 5",CEILING(AE254,5),IF(RoundingRule="Up to whole 1",CEILING(AE254,1),IF(RoundingRule="Up to whole 5",CEILING(AE254,5),ROUND(AE254,2))))))))),2)))</f>
        <v>0</v>
      </c>
      <c r="AG254" s="26">
        <f>IF(B254="","",ROUND(SUMIFS(Sales!$Y$5:$Y$1204,Sales!$I$5:$I$1204,A254,Sales!$H$5:$H$1204,"Retail"),2))</f>
        <v>0</v>
      </c>
      <c r="AH254" s="26">
        <f>IF(B254="","",ROUND(AG254-U254*IF(H254="",0,H254),2))</f>
        <v>0</v>
      </c>
      <c r="AI254" s="25">
        <f>IF(B254="","",COUNTIFS($AG$5:$AG$304,"&gt;"&amp;AG254)+COUNTIFS($AG$5:AG254,AG254))</f>
        <v>0</v>
      </c>
      <c r="AJ254" s="39">
        <f>IF(B254="","",IF(H254="","Add - no cost, no stock value",IF(Z254="Out of stock","Out of stock - order today",IF(Z254="Low stock","Order - running low",IF(IF(Q254="",FALSE,Q254&lt;=TodayDate+30),"Check - expiring within a month",IF(IF(R254="Yes",AD254&lt;0.25,FALSE),"Below - thin margin for a retail line",IF(IF(P254="",TRUE,TodayDate-P254&gt;90),"Due - not counted in three months","OK")))))))</f>
        <v>0</v>
      </c>
    </row>
    <row r="255" spans="1:36">
      <c r="A255" s="28">
        <f>IF(B255="","",ProductPrefix&amp;TEXT(ROW()-4,"000"))</f>
        <v>0</v>
      </c>
      <c r="T255" s="37">
        <f>IF(B255="","",ROUND(SUMIFS(Purchases!$U$5:$U$304,Purchases!$D$5:$D$304,A255),2))</f>
        <v>0</v>
      </c>
      <c r="U255" s="37">
        <f>IF(B255="","",ROUND(SUMIFS(Sales!$T$5:$T$1204,Sales!$I$5:$I$1204,A255,Sales!$H$5:$H$1204,"Retail"),2))</f>
        <v>0</v>
      </c>
      <c r="V255" s="37">
        <f>IF(B255="","",ROUND(IF(J255="",0,J255)+T255-IF(K255="",0,K255)-U255-IF(L255="",0,L255)+IF(M255="",0,M255),2))</f>
        <v>0</v>
      </c>
      <c r="W255" s="37">
        <f>IF(B255="","",ROUND((U255+IF(K255="",0,K255))/MAX(4,TrackingWeeks),2))</f>
        <v>0</v>
      </c>
      <c r="X255" s="37">
        <f>IF(B255="","",IF(W255&lt;=0,"",ROUND(V255/W255,1)))</f>
        <v>0</v>
      </c>
      <c r="Y255" s="37">
        <f>IF(B255="","",IF(N255&lt;&gt;"",N255,ROUND(W255*StockWarningWeeks,1)))</f>
        <v>0</v>
      </c>
      <c r="Z255" s="39">
        <f>IF(B255="","",IF(V255&lt;=0,"Out of stock",IF(V255&lt;=Y255,"Low stock",IF(R255="No","Backbar","In stock"))))</f>
        <v>0</v>
      </c>
      <c r="AA255" s="37">
        <f>IF(B255="","",IF(Z255="In stock","",IF(Z255="Backbar",IF(V255&lt;=Y255,MAX(1,IF(O255="",ROUND(W255*ReorderWeeks,0),O255)),""),MAX(1,IF(O255="",ROUND(W255*ReorderWeeks,0),O255)))))</f>
        <v>0</v>
      </c>
      <c r="AB255" s="26">
        <f>IF(B255="","",ROUND(V255*IF(H255="",0,H255),2))</f>
        <v>0</v>
      </c>
      <c r="AC255" s="26">
        <f>IF(B255="","",ROUND(V255*IF(I255="",0,I255),2))</f>
        <v>0</v>
      </c>
      <c r="AD255" s="27">
        <f>IF(B255="","",IF(IF(I255="",0,I255)=0,"",(I255-IF(H255="",0,H255))/I255))</f>
        <v>0</v>
      </c>
      <c r="AE255" s="26">
        <f>IF(B255="","",IF(H255="","",H255*RetailMarkup))</f>
        <v>0</v>
      </c>
      <c r="AF255" s="26">
        <f>IF(B255="","",IF(AE255="","",ROUND(IF(RoundingRule="None",AE255,IF(RoundingRule="Nearest 0.99",MAX(0.99,CEILING(AE255,1)-0.01),IF(RoundingRule="Nearest 0.95",MAX(0.95,CEILING(AE255,1)-0.05),IF(RoundingRule="Nearest 0.50",CEILING(AE255,0.5),IF(RoundingRule="Nearest 1",CEILING(AE255,1),IF(RoundingRule="Nearest 5",CEILING(AE255,5),IF(RoundingRule="Up to whole 1",CEILING(AE255,1),IF(RoundingRule="Up to whole 5",CEILING(AE255,5),ROUND(AE255,2))))))))),2)))</f>
        <v>0</v>
      </c>
      <c r="AG255" s="26">
        <f>IF(B255="","",ROUND(SUMIFS(Sales!$Y$5:$Y$1204,Sales!$I$5:$I$1204,A255,Sales!$H$5:$H$1204,"Retail"),2))</f>
        <v>0</v>
      </c>
      <c r="AH255" s="26">
        <f>IF(B255="","",ROUND(AG255-U255*IF(H255="",0,H255),2))</f>
        <v>0</v>
      </c>
      <c r="AI255" s="25">
        <f>IF(B255="","",COUNTIFS($AG$5:$AG$304,"&gt;"&amp;AG255)+COUNTIFS($AG$5:AG255,AG255))</f>
        <v>0</v>
      </c>
      <c r="AJ255" s="39">
        <f>IF(B255="","",IF(H255="","Add - no cost, no stock value",IF(Z255="Out of stock","Out of stock - order today",IF(Z255="Low stock","Order - running low",IF(IF(Q255="",FALSE,Q255&lt;=TodayDate+30),"Check - expiring within a month",IF(IF(R255="Yes",AD255&lt;0.25,FALSE),"Below - thin margin for a retail line",IF(IF(P255="",TRUE,TodayDate-P255&gt;90),"Due - not counted in three months","OK")))))))</f>
        <v>0</v>
      </c>
    </row>
    <row r="256" spans="1:36">
      <c r="A256" s="28">
        <f>IF(B256="","",ProductPrefix&amp;TEXT(ROW()-4,"000"))</f>
        <v>0</v>
      </c>
      <c r="T256" s="37">
        <f>IF(B256="","",ROUND(SUMIFS(Purchases!$U$5:$U$304,Purchases!$D$5:$D$304,A256),2))</f>
        <v>0</v>
      </c>
      <c r="U256" s="37">
        <f>IF(B256="","",ROUND(SUMIFS(Sales!$T$5:$T$1204,Sales!$I$5:$I$1204,A256,Sales!$H$5:$H$1204,"Retail"),2))</f>
        <v>0</v>
      </c>
      <c r="V256" s="37">
        <f>IF(B256="","",ROUND(IF(J256="",0,J256)+T256-IF(K256="",0,K256)-U256-IF(L256="",0,L256)+IF(M256="",0,M256),2))</f>
        <v>0</v>
      </c>
      <c r="W256" s="37">
        <f>IF(B256="","",ROUND((U256+IF(K256="",0,K256))/MAX(4,TrackingWeeks),2))</f>
        <v>0</v>
      </c>
      <c r="X256" s="37">
        <f>IF(B256="","",IF(W256&lt;=0,"",ROUND(V256/W256,1)))</f>
        <v>0</v>
      </c>
      <c r="Y256" s="37">
        <f>IF(B256="","",IF(N256&lt;&gt;"",N256,ROUND(W256*StockWarningWeeks,1)))</f>
        <v>0</v>
      </c>
      <c r="Z256" s="39">
        <f>IF(B256="","",IF(V256&lt;=0,"Out of stock",IF(V256&lt;=Y256,"Low stock",IF(R256="No","Backbar","In stock"))))</f>
        <v>0</v>
      </c>
      <c r="AA256" s="37">
        <f>IF(B256="","",IF(Z256="In stock","",IF(Z256="Backbar",IF(V256&lt;=Y256,MAX(1,IF(O256="",ROUND(W256*ReorderWeeks,0),O256)),""),MAX(1,IF(O256="",ROUND(W256*ReorderWeeks,0),O256)))))</f>
        <v>0</v>
      </c>
      <c r="AB256" s="26">
        <f>IF(B256="","",ROUND(V256*IF(H256="",0,H256),2))</f>
        <v>0</v>
      </c>
      <c r="AC256" s="26">
        <f>IF(B256="","",ROUND(V256*IF(I256="",0,I256),2))</f>
        <v>0</v>
      </c>
      <c r="AD256" s="27">
        <f>IF(B256="","",IF(IF(I256="",0,I256)=0,"",(I256-IF(H256="",0,H256))/I256))</f>
        <v>0</v>
      </c>
      <c r="AE256" s="26">
        <f>IF(B256="","",IF(H256="","",H256*RetailMarkup))</f>
        <v>0</v>
      </c>
      <c r="AF256" s="26">
        <f>IF(B256="","",IF(AE256="","",ROUND(IF(RoundingRule="None",AE256,IF(RoundingRule="Nearest 0.99",MAX(0.99,CEILING(AE256,1)-0.01),IF(RoundingRule="Nearest 0.95",MAX(0.95,CEILING(AE256,1)-0.05),IF(RoundingRule="Nearest 0.50",CEILING(AE256,0.5),IF(RoundingRule="Nearest 1",CEILING(AE256,1),IF(RoundingRule="Nearest 5",CEILING(AE256,5),IF(RoundingRule="Up to whole 1",CEILING(AE256,1),IF(RoundingRule="Up to whole 5",CEILING(AE256,5),ROUND(AE256,2))))))))),2)))</f>
        <v>0</v>
      </c>
      <c r="AG256" s="26">
        <f>IF(B256="","",ROUND(SUMIFS(Sales!$Y$5:$Y$1204,Sales!$I$5:$I$1204,A256,Sales!$H$5:$H$1204,"Retail"),2))</f>
        <v>0</v>
      </c>
      <c r="AH256" s="26">
        <f>IF(B256="","",ROUND(AG256-U256*IF(H256="",0,H256),2))</f>
        <v>0</v>
      </c>
      <c r="AI256" s="25">
        <f>IF(B256="","",COUNTIFS($AG$5:$AG$304,"&gt;"&amp;AG256)+COUNTIFS($AG$5:AG256,AG256))</f>
        <v>0</v>
      </c>
      <c r="AJ256" s="39">
        <f>IF(B256="","",IF(H256="","Add - no cost, no stock value",IF(Z256="Out of stock","Out of stock - order today",IF(Z256="Low stock","Order - running low",IF(IF(Q256="",FALSE,Q256&lt;=TodayDate+30),"Check - expiring within a month",IF(IF(R256="Yes",AD256&lt;0.25,FALSE),"Below - thin margin for a retail line",IF(IF(P256="",TRUE,TodayDate-P256&gt;90),"Due - not counted in three months","OK")))))))</f>
        <v>0</v>
      </c>
    </row>
    <row r="257" spans="1:36">
      <c r="A257" s="28">
        <f>IF(B257="","",ProductPrefix&amp;TEXT(ROW()-4,"000"))</f>
        <v>0</v>
      </c>
      <c r="T257" s="37">
        <f>IF(B257="","",ROUND(SUMIFS(Purchases!$U$5:$U$304,Purchases!$D$5:$D$304,A257),2))</f>
        <v>0</v>
      </c>
      <c r="U257" s="37">
        <f>IF(B257="","",ROUND(SUMIFS(Sales!$T$5:$T$1204,Sales!$I$5:$I$1204,A257,Sales!$H$5:$H$1204,"Retail"),2))</f>
        <v>0</v>
      </c>
      <c r="V257" s="37">
        <f>IF(B257="","",ROUND(IF(J257="",0,J257)+T257-IF(K257="",0,K257)-U257-IF(L257="",0,L257)+IF(M257="",0,M257),2))</f>
        <v>0</v>
      </c>
      <c r="W257" s="37">
        <f>IF(B257="","",ROUND((U257+IF(K257="",0,K257))/MAX(4,TrackingWeeks),2))</f>
        <v>0</v>
      </c>
      <c r="X257" s="37">
        <f>IF(B257="","",IF(W257&lt;=0,"",ROUND(V257/W257,1)))</f>
        <v>0</v>
      </c>
      <c r="Y257" s="37">
        <f>IF(B257="","",IF(N257&lt;&gt;"",N257,ROUND(W257*StockWarningWeeks,1)))</f>
        <v>0</v>
      </c>
      <c r="Z257" s="39">
        <f>IF(B257="","",IF(V257&lt;=0,"Out of stock",IF(V257&lt;=Y257,"Low stock",IF(R257="No","Backbar","In stock"))))</f>
        <v>0</v>
      </c>
      <c r="AA257" s="37">
        <f>IF(B257="","",IF(Z257="In stock","",IF(Z257="Backbar",IF(V257&lt;=Y257,MAX(1,IF(O257="",ROUND(W257*ReorderWeeks,0),O257)),""),MAX(1,IF(O257="",ROUND(W257*ReorderWeeks,0),O257)))))</f>
        <v>0</v>
      </c>
      <c r="AB257" s="26">
        <f>IF(B257="","",ROUND(V257*IF(H257="",0,H257),2))</f>
        <v>0</v>
      </c>
      <c r="AC257" s="26">
        <f>IF(B257="","",ROUND(V257*IF(I257="",0,I257),2))</f>
        <v>0</v>
      </c>
      <c r="AD257" s="27">
        <f>IF(B257="","",IF(IF(I257="",0,I257)=0,"",(I257-IF(H257="",0,H257))/I257))</f>
        <v>0</v>
      </c>
      <c r="AE257" s="26">
        <f>IF(B257="","",IF(H257="","",H257*RetailMarkup))</f>
        <v>0</v>
      </c>
      <c r="AF257" s="26">
        <f>IF(B257="","",IF(AE257="","",ROUND(IF(RoundingRule="None",AE257,IF(RoundingRule="Nearest 0.99",MAX(0.99,CEILING(AE257,1)-0.01),IF(RoundingRule="Nearest 0.95",MAX(0.95,CEILING(AE257,1)-0.05),IF(RoundingRule="Nearest 0.50",CEILING(AE257,0.5),IF(RoundingRule="Nearest 1",CEILING(AE257,1),IF(RoundingRule="Nearest 5",CEILING(AE257,5),IF(RoundingRule="Up to whole 1",CEILING(AE257,1),IF(RoundingRule="Up to whole 5",CEILING(AE257,5),ROUND(AE257,2))))))))),2)))</f>
        <v>0</v>
      </c>
      <c r="AG257" s="26">
        <f>IF(B257="","",ROUND(SUMIFS(Sales!$Y$5:$Y$1204,Sales!$I$5:$I$1204,A257,Sales!$H$5:$H$1204,"Retail"),2))</f>
        <v>0</v>
      </c>
      <c r="AH257" s="26">
        <f>IF(B257="","",ROUND(AG257-U257*IF(H257="",0,H257),2))</f>
        <v>0</v>
      </c>
      <c r="AI257" s="25">
        <f>IF(B257="","",COUNTIFS($AG$5:$AG$304,"&gt;"&amp;AG257)+COUNTIFS($AG$5:AG257,AG257))</f>
        <v>0</v>
      </c>
      <c r="AJ257" s="39">
        <f>IF(B257="","",IF(H257="","Add - no cost, no stock value",IF(Z257="Out of stock","Out of stock - order today",IF(Z257="Low stock","Order - running low",IF(IF(Q257="",FALSE,Q257&lt;=TodayDate+30),"Check - expiring within a month",IF(IF(R257="Yes",AD257&lt;0.25,FALSE),"Below - thin margin for a retail line",IF(IF(P257="",TRUE,TodayDate-P257&gt;90),"Due - not counted in three months","OK")))))))</f>
        <v>0</v>
      </c>
    </row>
    <row r="258" spans="1:36">
      <c r="A258" s="28">
        <f>IF(B258="","",ProductPrefix&amp;TEXT(ROW()-4,"000"))</f>
        <v>0</v>
      </c>
      <c r="T258" s="37">
        <f>IF(B258="","",ROUND(SUMIFS(Purchases!$U$5:$U$304,Purchases!$D$5:$D$304,A258),2))</f>
        <v>0</v>
      </c>
      <c r="U258" s="37">
        <f>IF(B258="","",ROUND(SUMIFS(Sales!$T$5:$T$1204,Sales!$I$5:$I$1204,A258,Sales!$H$5:$H$1204,"Retail"),2))</f>
        <v>0</v>
      </c>
      <c r="V258" s="37">
        <f>IF(B258="","",ROUND(IF(J258="",0,J258)+T258-IF(K258="",0,K258)-U258-IF(L258="",0,L258)+IF(M258="",0,M258),2))</f>
        <v>0</v>
      </c>
      <c r="W258" s="37">
        <f>IF(B258="","",ROUND((U258+IF(K258="",0,K258))/MAX(4,TrackingWeeks),2))</f>
        <v>0</v>
      </c>
      <c r="X258" s="37">
        <f>IF(B258="","",IF(W258&lt;=0,"",ROUND(V258/W258,1)))</f>
        <v>0</v>
      </c>
      <c r="Y258" s="37">
        <f>IF(B258="","",IF(N258&lt;&gt;"",N258,ROUND(W258*StockWarningWeeks,1)))</f>
        <v>0</v>
      </c>
      <c r="Z258" s="39">
        <f>IF(B258="","",IF(V258&lt;=0,"Out of stock",IF(V258&lt;=Y258,"Low stock",IF(R258="No","Backbar","In stock"))))</f>
        <v>0</v>
      </c>
      <c r="AA258" s="37">
        <f>IF(B258="","",IF(Z258="In stock","",IF(Z258="Backbar",IF(V258&lt;=Y258,MAX(1,IF(O258="",ROUND(W258*ReorderWeeks,0),O258)),""),MAX(1,IF(O258="",ROUND(W258*ReorderWeeks,0),O258)))))</f>
        <v>0</v>
      </c>
      <c r="AB258" s="26">
        <f>IF(B258="","",ROUND(V258*IF(H258="",0,H258),2))</f>
        <v>0</v>
      </c>
      <c r="AC258" s="26">
        <f>IF(B258="","",ROUND(V258*IF(I258="",0,I258),2))</f>
        <v>0</v>
      </c>
      <c r="AD258" s="27">
        <f>IF(B258="","",IF(IF(I258="",0,I258)=0,"",(I258-IF(H258="",0,H258))/I258))</f>
        <v>0</v>
      </c>
      <c r="AE258" s="26">
        <f>IF(B258="","",IF(H258="","",H258*RetailMarkup))</f>
        <v>0</v>
      </c>
      <c r="AF258" s="26">
        <f>IF(B258="","",IF(AE258="","",ROUND(IF(RoundingRule="None",AE258,IF(RoundingRule="Nearest 0.99",MAX(0.99,CEILING(AE258,1)-0.01),IF(RoundingRule="Nearest 0.95",MAX(0.95,CEILING(AE258,1)-0.05),IF(RoundingRule="Nearest 0.50",CEILING(AE258,0.5),IF(RoundingRule="Nearest 1",CEILING(AE258,1),IF(RoundingRule="Nearest 5",CEILING(AE258,5),IF(RoundingRule="Up to whole 1",CEILING(AE258,1),IF(RoundingRule="Up to whole 5",CEILING(AE258,5),ROUND(AE258,2))))))))),2)))</f>
        <v>0</v>
      </c>
      <c r="AG258" s="26">
        <f>IF(B258="","",ROUND(SUMIFS(Sales!$Y$5:$Y$1204,Sales!$I$5:$I$1204,A258,Sales!$H$5:$H$1204,"Retail"),2))</f>
        <v>0</v>
      </c>
      <c r="AH258" s="26">
        <f>IF(B258="","",ROUND(AG258-U258*IF(H258="",0,H258),2))</f>
        <v>0</v>
      </c>
      <c r="AI258" s="25">
        <f>IF(B258="","",COUNTIFS($AG$5:$AG$304,"&gt;"&amp;AG258)+COUNTIFS($AG$5:AG258,AG258))</f>
        <v>0</v>
      </c>
      <c r="AJ258" s="39">
        <f>IF(B258="","",IF(H258="","Add - no cost, no stock value",IF(Z258="Out of stock","Out of stock - order today",IF(Z258="Low stock","Order - running low",IF(IF(Q258="",FALSE,Q258&lt;=TodayDate+30),"Check - expiring within a month",IF(IF(R258="Yes",AD258&lt;0.25,FALSE),"Below - thin margin for a retail line",IF(IF(P258="",TRUE,TodayDate-P258&gt;90),"Due - not counted in three months","OK")))))))</f>
        <v>0</v>
      </c>
    </row>
    <row r="259" spans="1:36">
      <c r="A259" s="28">
        <f>IF(B259="","",ProductPrefix&amp;TEXT(ROW()-4,"000"))</f>
        <v>0</v>
      </c>
      <c r="T259" s="37">
        <f>IF(B259="","",ROUND(SUMIFS(Purchases!$U$5:$U$304,Purchases!$D$5:$D$304,A259),2))</f>
        <v>0</v>
      </c>
      <c r="U259" s="37">
        <f>IF(B259="","",ROUND(SUMIFS(Sales!$T$5:$T$1204,Sales!$I$5:$I$1204,A259,Sales!$H$5:$H$1204,"Retail"),2))</f>
        <v>0</v>
      </c>
      <c r="V259" s="37">
        <f>IF(B259="","",ROUND(IF(J259="",0,J259)+T259-IF(K259="",0,K259)-U259-IF(L259="",0,L259)+IF(M259="",0,M259),2))</f>
        <v>0</v>
      </c>
      <c r="W259" s="37">
        <f>IF(B259="","",ROUND((U259+IF(K259="",0,K259))/MAX(4,TrackingWeeks),2))</f>
        <v>0</v>
      </c>
      <c r="X259" s="37">
        <f>IF(B259="","",IF(W259&lt;=0,"",ROUND(V259/W259,1)))</f>
        <v>0</v>
      </c>
      <c r="Y259" s="37">
        <f>IF(B259="","",IF(N259&lt;&gt;"",N259,ROUND(W259*StockWarningWeeks,1)))</f>
        <v>0</v>
      </c>
      <c r="Z259" s="39">
        <f>IF(B259="","",IF(V259&lt;=0,"Out of stock",IF(V259&lt;=Y259,"Low stock",IF(R259="No","Backbar","In stock"))))</f>
        <v>0</v>
      </c>
      <c r="AA259" s="37">
        <f>IF(B259="","",IF(Z259="In stock","",IF(Z259="Backbar",IF(V259&lt;=Y259,MAX(1,IF(O259="",ROUND(W259*ReorderWeeks,0),O259)),""),MAX(1,IF(O259="",ROUND(W259*ReorderWeeks,0),O259)))))</f>
        <v>0</v>
      </c>
      <c r="AB259" s="26">
        <f>IF(B259="","",ROUND(V259*IF(H259="",0,H259),2))</f>
        <v>0</v>
      </c>
      <c r="AC259" s="26">
        <f>IF(B259="","",ROUND(V259*IF(I259="",0,I259),2))</f>
        <v>0</v>
      </c>
      <c r="AD259" s="27">
        <f>IF(B259="","",IF(IF(I259="",0,I259)=0,"",(I259-IF(H259="",0,H259))/I259))</f>
        <v>0</v>
      </c>
      <c r="AE259" s="26">
        <f>IF(B259="","",IF(H259="","",H259*RetailMarkup))</f>
        <v>0</v>
      </c>
      <c r="AF259" s="26">
        <f>IF(B259="","",IF(AE259="","",ROUND(IF(RoundingRule="None",AE259,IF(RoundingRule="Nearest 0.99",MAX(0.99,CEILING(AE259,1)-0.01),IF(RoundingRule="Nearest 0.95",MAX(0.95,CEILING(AE259,1)-0.05),IF(RoundingRule="Nearest 0.50",CEILING(AE259,0.5),IF(RoundingRule="Nearest 1",CEILING(AE259,1),IF(RoundingRule="Nearest 5",CEILING(AE259,5),IF(RoundingRule="Up to whole 1",CEILING(AE259,1),IF(RoundingRule="Up to whole 5",CEILING(AE259,5),ROUND(AE259,2))))))))),2)))</f>
        <v>0</v>
      </c>
      <c r="AG259" s="26">
        <f>IF(B259="","",ROUND(SUMIFS(Sales!$Y$5:$Y$1204,Sales!$I$5:$I$1204,A259,Sales!$H$5:$H$1204,"Retail"),2))</f>
        <v>0</v>
      </c>
      <c r="AH259" s="26">
        <f>IF(B259="","",ROUND(AG259-U259*IF(H259="",0,H259),2))</f>
        <v>0</v>
      </c>
      <c r="AI259" s="25">
        <f>IF(B259="","",COUNTIFS($AG$5:$AG$304,"&gt;"&amp;AG259)+COUNTIFS($AG$5:AG259,AG259))</f>
        <v>0</v>
      </c>
      <c r="AJ259" s="39">
        <f>IF(B259="","",IF(H259="","Add - no cost, no stock value",IF(Z259="Out of stock","Out of stock - order today",IF(Z259="Low stock","Order - running low",IF(IF(Q259="",FALSE,Q259&lt;=TodayDate+30),"Check - expiring within a month",IF(IF(R259="Yes",AD259&lt;0.25,FALSE),"Below - thin margin for a retail line",IF(IF(P259="",TRUE,TodayDate-P259&gt;90),"Due - not counted in three months","OK")))))))</f>
        <v>0</v>
      </c>
    </row>
    <row r="260" spans="1:36">
      <c r="A260" s="28">
        <f>IF(B260="","",ProductPrefix&amp;TEXT(ROW()-4,"000"))</f>
        <v>0</v>
      </c>
      <c r="T260" s="37">
        <f>IF(B260="","",ROUND(SUMIFS(Purchases!$U$5:$U$304,Purchases!$D$5:$D$304,A260),2))</f>
        <v>0</v>
      </c>
      <c r="U260" s="37">
        <f>IF(B260="","",ROUND(SUMIFS(Sales!$T$5:$T$1204,Sales!$I$5:$I$1204,A260,Sales!$H$5:$H$1204,"Retail"),2))</f>
        <v>0</v>
      </c>
      <c r="V260" s="37">
        <f>IF(B260="","",ROUND(IF(J260="",0,J260)+T260-IF(K260="",0,K260)-U260-IF(L260="",0,L260)+IF(M260="",0,M260),2))</f>
        <v>0</v>
      </c>
      <c r="W260" s="37">
        <f>IF(B260="","",ROUND((U260+IF(K260="",0,K260))/MAX(4,TrackingWeeks),2))</f>
        <v>0</v>
      </c>
      <c r="X260" s="37">
        <f>IF(B260="","",IF(W260&lt;=0,"",ROUND(V260/W260,1)))</f>
        <v>0</v>
      </c>
      <c r="Y260" s="37">
        <f>IF(B260="","",IF(N260&lt;&gt;"",N260,ROUND(W260*StockWarningWeeks,1)))</f>
        <v>0</v>
      </c>
      <c r="Z260" s="39">
        <f>IF(B260="","",IF(V260&lt;=0,"Out of stock",IF(V260&lt;=Y260,"Low stock",IF(R260="No","Backbar","In stock"))))</f>
        <v>0</v>
      </c>
      <c r="AA260" s="37">
        <f>IF(B260="","",IF(Z260="In stock","",IF(Z260="Backbar",IF(V260&lt;=Y260,MAX(1,IF(O260="",ROUND(W260*ReorderWeeks,0),O260)),""),MAX(1,IF(O260="",ROUND(W260*ReorderWeeks,0),O260)))))</f>
        <v>0</v>
      </c>
      <c r="AB260" s="26">
        <f>IF(B260="","",ROUND(V260*IF(H260="",0,H260),2))</f>
        <v>0</v>
      </c>
      <c r="AC260" s="26">
        <f>IF(B260="","",ROUND(V260*IF(I260="",0,I260),2))</f>
        <v>0</v>
      </c>
      <c r="AD260" s="27">
        <f>IF(B260="","",IF(IF(I260="",0,I260)=0,"",(I260-IF(H260="",0,H260))/I260))</f>
        <v>0</v>
      </c>
      <c r="AE260" s="26">
        <f>IF(B260="","",IF(H260="","",H260*RetailMarkup))</f>
        <v>0</v>
      </c>
      <c r="AF260" s="26">
        <f>IF(B260="","",IF(AE260="","",ROUND(IF(RoundingRule="None",AE260,IF(RoundingRule="Nearest 0.99",MAX(0.99,CEILING(AE260,1)-0.01),IF(RoundingRule="Nearest 0.95",MAX(0.95,CEILING(AE260,1)-0.05),IF(RoundingRule="Nearest 0.50",CEILING(AE260,0.5),IF(RoundingRule="Nearest 1",CEILING(AE260,1),IF(RoundingRule="Nearest 5",CEILING(AE260,5),IF(RoundingRule="Up to whole 1",CEILING(AE260,1),IF(RoundingRule="Up to whole 5",CEILING(AE260,5),ROUND(AE260,2))))))))),2)))</f>
        <v>0</v>
      </c>
      <c r="AG260" s="26">
        <f>IF(B260="","",ROUND(SUMIFS(Sales!$Y$5:$Y$1204,Sales!$I$5:$I$1204,A260,Sales!$H$5:$H$1204,"Retail"),2))</f>
        <v>0</v>
      </c>
      <c r="AH260" s="26">
        <f>IF(B260="","",ROUND(AG260-U260*IF(H260="",0,H260),2))</f>
        <v>0</v>
      </c>
      <c r="AI260" s="25">
        <f>IF(B260="","",COUNTIFS($AG$5:$AG$304,"&gt;"&amp;AG260)+COUNTIFS($AG$5:AG260,AG260))</f>
        <v>0</v>
      </c>
      <c r="AJ260" s="39">
        <f>IF(B260="","",IF(H260="","Add - no cost, no stock value",IF(Z260="Out of stock","Out of stock - order today",IF(Z260="Low stock","Order - running low",IF(IF(Q260="",FALSE,Q260&lt;=TodayDate+30),"Check - expiring within a month",IF(IF(R260="Yes",AD260&lt;0.25,FALSE),"Below - thin margin for a retail line",IF(IF(P260="",TRUE,TodayDate-P260&gt;90),"Due - not counted in three months","OK")))))))</f>
        <v>0</v>
      </c>
    </row>
    <row r="261" spans="1:36">
      <c r="A261" s="28">
        <f>IF(B261="","",ProductPrefix&amp;TEXT(ROW()-4,"000"))</f>
        <v>0</v>
      </c>
      <c r="T261" s="37">
        <f>IF(B261="","",ROUND(SUMIFS(Purchases!$U$5:$U$304,Purchases!$D$5:$D$304,A261),2))</f>
        <v>0</v>
      </c>
      <c r="U261" s="37">
        <f>IF(B261="","",ROUND(SUMIFS(Sales!$T$5:$T$1204,Sales!$I$5:$I$1204,A261,Sales!$H$5:$H$1204,"Retail"),2))</f>
        <v>0</v>
      </c>
      <c r="V261" s="37">
        <f>IF(B261="","",ROUND(IF(J261="",0,J261)+T261-IF(K261="",0,K261)-U261-IF(L261="",0,L261)+IF(M261="",0,M261),2))</f>
        <v>0</v>
      </c>
      <c r="W261" s="37">
        <f>IF(B261="","",ROUND((U261+IF(K261="",0,K261))/MAX(4,TrackingWeeks),2))</f>
        <v>0</v>
      </c>
      <c r="X261" s="37">
        <f>IF(B261="","",IF(W261&lt;=0,"",ROUND(V261/W261,1)))</f>
        <v>0</v>
      </c>
      <c r="Y261" s="37">
        <f>IF(B261="","",IF(N261&lt;&gt;"",N261,ROUND(W261*StockWarningWeeks,1)))</f>
        <v>0</v>
      </c>
      <c r="Z261" s="39">
        <f>IF(B261="","",IF(V261&lt;=0,"Out of stock",IF(V261&lt;=Y261,"Low stock",IF(R261="No","Backbar","In stock"))))</f>
        <v>0</v>
      </c>
      <c r="AA261" s="37">
        <f>IF(B261="","",IF(Z261="In stock","",IF(Z261="Backbar",IF(V261&lt;=Y261,MAX(1,IF(O261="",ROUND(W261*ReorderWeeks,0),O261)),""),MAX(1,IF(O261="",ROUND(W261*ReorderWeeks,0),O261)))))</f>
        <v>0</v>
      </c>
      <c r="AB261" s="26">
        <f>IF(B261="","",ROUND(V261*IF(H261="",0,H261),2))</f>
        <v>0</v>
      </c>
      <c r="AC261" s="26">
        <f>IF(B261="","",ROUND(V261*IF(I261="",0,I261),2))</f>
        <v>0</v>
      </c>
      <c r="AD261" s="27">
        <f>IF(B261="","",IF(IF(I261="",0,I261)=0,"",(I261-IF(H261="",0,H261))/I261))</f>
        <v>0</v>
      </c>
      <c r="AE261" s="26">
        <f>IF(B261="","",IF(H261="","",H261*RetailMarkup))</f>
        <v>0</v>
      </c>
      <c r="AF261" s="26">
        <f>IF(B261="","",IF(AE261="","",ROUND(IF(RoundingRule="None",AE261,IF(RoundingRule="Nearest 0.99",MAX(0.99,CEILING(AE261,1)-0.01),IF(RoundingRule="Nearest 0.95",MAX(0.95,CEILING(AE261,1)-0.05),IF(RoundingRule="Nearest 0.50",CEILING(AE261,0.5),IF(RoundingRule="Nearest 1",CEILING(AE261,1),IF(RoundingRule="Nearest 5",CEILING(AE261,5),IF(RoundingRule="Up to whole 1",CEILING(AE261,1),IF(RoundingRule="Up to whole 5",CEILING(AE261,5),ROUND(AE261,2))))))))),2)))</f>
        <v>0</v>
      </c>
      <c r="AG261" s="26">
        <f>IF(B261="","",ROUND(SUMIFS(Sales!$Y$5:$Y$1204,Sales!$I$5:$I$1204,A261,Sales!$H$5:$H$1204,"Retail"),2))</f>
        <v>0</v>
      </c>
      <c r="AH261" s="26">
        <f>IF(B261="","",ROUND(AG261-U261*IF(H261="",0,H261),2))</f>
        <v>0</v>
      </c>
      <c r="AI261" s="25">
        <f>IF(B261="","",COUNTIFS($AG$5:$AG$304,"&gt;"&amp;AG261)+COUNTIFS($AG$5:AG261,AG261))</f>
        <v>0</v>
      </c>
      <c r="AJ261" s="39">
        <f>IF(B261="","",IF(H261="","Add - no cost, no stock value",IF(Z261="Out of stock","Out of stock - order today",IF(Z261="Low stock","Order - running low",IF(IF(Q261="",FALSE,Q261&lt;=TodayDate+30),"Check - expiring within a month",IF(IF(R261="Yes",AD261&lt;0.25,FALSE),"Below - thin margin for a retail line",IF(IF(P261="",TRUE,TodayDate-P261&gt;90),"Due - not counted in three months","OK")))))))</f>
        <v>0</v>
      </c>
    </row>
    <row r="262" spans="1:36">
      <c r="A262" s="28">
        <f>IF(B262="","",ProductPrefix&amp;TEXT(ROW()-4,"000"))</f>
        <v>0</v>
      </c>
      <c r="T262" s="37">
        <f>IF(B262="","",ROUND(SUMIFS(Purchases!$U$5:$U$304,Purchases!$D$5:$D$304,A262),2))</f>
        <v>0</v>
      </c>
      <c r="U262" s="37">
        <f>IF(B262="","",ROUND(SUMIFS(Sales!$T$5:$T$1204,Sales!$I$5:$I$1204,A262,Sales!$H$5:$H$1204,"Retail"),2))</f>
        <v>0</v>
      </c>
      <c r="V262" s="37">
        <f>IF(B262="","",ROUND(IF(J262="",0,J262)+T262-IF(K262="",0,K262)-U262-IF(L262="",0,L262)+IF(M262="",0,M262),2))</f>
        <v>0</v>
      </c>
      <c r="W262" s="37">
        <f>IF(B262="","",ROUND((U262+IF(K262="",0,K262))/MAX(4,TrackingWeeks),2))</f>
        <v>0</v>
      </c>
      <c r="X262" s="37">
        <f>IF(B262="","",IF(W262&lt;=0,"",ROUND(V262/W262,1)))</f>
        <v>0</v>
      </c>
      <c r="Y262" s="37">
        <f>IF(B262="","",IF(N262&lt;&gt;"",N262,ROUND(W262*StockWarningWeeks,1)))</f>
        <v>0</v>
      </c>
      <c r="Z262" s="39">
        <f>IF(B262="","",IF(V262&lt;=0,"Out of stock",IF(V262&lt;=Y262,"Low stock",IF(R262="No","Backbar","In stock"))))</f>
        <v>0</v>
      </c>
      <c r="AA262" s="37">
        <f>IF(B262="","",IF(Z262="In stock","",IF(Z262="Backbar",IF(V262&lt;=Y262,MAX(1,IF(O262="",ROUND(W262*ReorderWeeks,0),O262)),""),MAX(1,IF(O262="",ROUND(W262*ReorderWeeks,0),O262)))))</f>
        <v>0</v>
      </c>
      <c r="AB262" s="26">
        <f>IF(B262="","",ROUND(V262*IF(H262="",0,H262),2))</f>
        <v>0</v>
      </c>
      <c r="AC262" s="26">
        <f>IF(B262="","",ROUND(V262*IF(I262="",0,I262),2))</f>
        <v>0</v>
      </c>
      <c r="AD262" s="27">
        <f>IF(B262="","",IF(IF(I262="",0,I262)=0,"",(I262-IF(H262="",0,H262))/I262))</f>
        <v>0</v>
      </c>
      <c r="AE262" s="26">
        <f>IF(B262="","",IF(H262="","",H262*RetailMarkup))</f>
        <v>0</v>
      </c>
      <c r="AF262" s="26">
        <f>IF(B262="","",IF(AE262="","",ROUND(IF(RoundingRule="None",AE262,IF(RoundingRule="Nearest 0.99",MAX(0.99,CEILING(AE262,1)-0.01),IF(RoundingRule="Nearest 0.95",MAX(0.95,CEILING(AE262,1)-0.05),IF(RoundingRule="Nearest 0.50",CEILING(AE262,0.5),IF(RoundingRule="Nearest 1",CEILING(AE262,1),IF(RoundingRule="Nearest 5",CEILING(AE262,5),IF(RoundingRule="Up to whole 1",CEILING(AE262,1),IF(RoundingRule="Up to whole 5",CEILING(AE262,5),ROUND(AE262,2))))))))),2)))</f>
        <v>0</v>
      </c>
      <c r="AG262" s="26">
        <f>IF(B262="","",ROUND(SUMIFS(Sales!$Y$5:$Y$1204,Sales!$I$5:$I$1204,A262,Sales!$H$5:$H$1204,"Retail"),2))</f>
        <v>0</v>
      </c>
      <c r="AH262" s="26">
        <f>IF(B262="","",ROUND(AG262-U262*IF(H262="",0,H262),2))</f>
        <v>0</v>
      </c>
      <c r="AI262" s="25">
        <f>IF(B262="","",COUNTIFS($AG$5:$AG$304,"&gt;"&amp;AG262)+COUNTIFS($AG$5:AG262,AG262))</f>
        <v>0</v>
      </c>
      <c r="AJ262" s="39">
        <f>IF(B262="","",IF(H262="","Add - no cost, no stock value",IF(Z262="Out of stock","Out of stock - order today",IF(Z262="Low stock","Order - running low",IF(IF(Q262="",FALSE,Q262&lt;=TodayDate+30),"Check - expiring within a month",IF(IF(R262="Yes",AD262&lt;0.25,FALSE),"Below - thin margin for a retail line",IF(IF(P262="",TRUE,TodayDate-P262&gt;90),"Due - not counted in three months","OK")))))))</f>
        <v>0</v>
      </c>
    </row>
    <row r="263" spans="1:36">
      <c r="A263" s="28">
        <f>IF(B263="","",ProductPrefix&amp;TEXT(ROW()-4,"000"))</f>
        <v>0</v>
      </c>
      <c r="T263" s="37">
        <f>IF(B263="","",ROUND(SUMIFS(Purchases!$U$5:$U$304,Purchases!$D$5:$D$304,A263),2))</f>
        <v>0</v>
      </c>
      <c r="U263" s="37">
        <f>IF(B263="","",ROUND(SUMIFS(Sales!$T$5:$T$1204,Sales!$I$5:$I$1204,A263,Sales!$H$5:$H$1204,"Retail"),2))</f>
        <v>0</v>
      </c>
      <c r="V263" s="37">
        <f>IF(B263="","",ROUND(IF(J263="",0,J263)+T263-IF(K263="",0,K263)-U263-IF(L263="",0,L263)+IF(M263="",0,M263),2))</f>
        <v>0</v>
      </c>
      <c r="W263" s="37">
        <f>IF(B263="","",ROUND((U263+IF(K263="",0,K263))/MAX(4,TrackingWeeks),2))</f>
        <v>0</v>
      </c>
      <c r="X263" s="37">
        <f>IF(B263="","",IF(W263&lt;=0,"",ROUND(V263/W263,1)))</f>
        <v>0</v>
      </c>
      <c r="Y263" s="37">
        <f>IF(B263="","",IF(N263&lt;&gt;"",N263,ROUND(W263*StockWarningWeeks,1)))</f>
        <v>0</v>
      </c>
      <c r="Z263" s="39">
        <f>IF(B263="","",IF(V263&lt;=0,"Out of stock",IF(V263&lt;=Y263,"Low stock",IF(R263="No","Backbar","In stock"))))</f>
        <v>0</v>
      </c>
      <c r="AA263" s="37">
        <f>IF(B263="","",IF(Z263="In stock","",IF(Z263="Backbar",IF(V263&lt;=Y263,MAX(1,IF(O263="",ROUND(W263*ReorderWeeks,0),O263)),""),MAX(1,IF(O263="",ROUND(W263*ReorderWeeks,0),O263)))))</f>
        <v>0</v>
      </c>
      <c r="AB263" s="26">
        <f>IF(B263="","",ROUND(V263*IF(H263="",0,H263),2))</f>
        <v>0</v>
      </c>
      <c r="AC263" s="26">
        <f>IF(B263="","",ROUND(V263*IF(I263="",0,I263),2))</f>
        <v>0</v>
      </c>
      <c r="AD263" s="27">
        <f>IF(B263="","",IF(IF(I263="",0,I263)=0,"",(I263-IF(H263="",0,H263))/I263))</f>
        <v>0</v>
      </c>
      <c r="AE263" s="26">
        <f>IF(B263="","",IF(H263="","",H263*RetailMarkup))</f>
        <v>0</v>
      </c>
      <c r="AF263" s="26">
        <f>IF(B263="","",IF(AE263="","",ROUND(IF(RoundingRule="None",AE263,IF(RoundingRule="Nearest 0.99",MAX(0.99,CEILING(AE263,1)-0.01),IF(RoundingRule="Nearest 0.95",MAX(0.95,CEILING(AE263,1)-0.05),IF(RoundingRule="Nearest 0.50",CEILING(AE263,0.5),IF(RoundingRule="Nearest 1",CEILING(AE263,1),IF(RoundingRule="Nearest 5",CEILING(AE263,5),IF(RoundingRule="Up to whole 1",CEILING(AE263,1),IF(RoundingRule="Up to whole 5",CEILING(AE263,5),ROUND(AE263,2))))))))),2)))</f>
        <v>0</v>
      </c>
      <c r="AG263" s="26">
        <f>IF(B263="","",ROUND(SUMIFS(Sales!$Y$5:$Y$1204,Sales!$I$5:$I$1204,A263,Sales!$H$5:$H$1204,"Retail"),2))</f>
        <v>0</v>
      </c>
      <c r="AH263" s="26">
        <f>IF(B263="","",ROUND(AG263-U263*IF(H263="",0,H263),2))</f>
        <v>0</v>
      </c>
      <c r="AI263" s="25">
        <f>IF(B263="","",COUNTIFS($AG$5:$AG$304,"&gt;"&amp;AG263)+COUNTIFS($AG$5:AG263,AG263))</f>
        <v>0</v>
      </c>
      <c r="AJ263" s="39">
        <f>IF(B263="","",IF(H263="","Add - no cost, no stock value",IF(Z263="Out of stock","Out of stock - order today",IF(Z263="Low stock","Order - running low",IF(IF(Q263="",FALSE,Q263&lt;=TodayDate+30),"Check - expiring within a month",IF(IF(R263="Yes",AD263&lt;0.25,FALSE),"Below - thin margin for a retail line",IF(IF(P263="",TRUE,TodayDate-P263&gt;90),"Due - not counted in three months","OK")))))))</f>
        <v>0</v>
      </c>
    </row>
    <row r="264" spans="1:36">
      <c r="A264" s="28">
        <f>IF(B264="","",ProductPrefix&amp;TEXT(ROW()-4,"000"))</f>
        <v>0</v>
      </c>
      <c r="T264" s="37">
        <f>IF(B264="","",ROUND(SUMIFS(Purchases!$U$5:$U$304,Purchases!$D$5:$D$304,A264),2))</f>
        <v>0</v>
      </c>
      <c r="U264" s="37">
        <f>IF(B264="","",ROUND(SUMIFS(Sales!$T$5:$T$1204,Sales!$I$5:$I$1204,A264,Sales!$H$5:$H$1204,"Retail"),2))</f>
        <v>0</v>
      </c>
      <c r="V264" s="37">
        <f>IF(B264="","",ROUND(IF(J264="",0,J264)+T264-IF(K264="",0,K264)-U264-IF(L264="",0,L264)+IF(M264="",0,M264),2))</f>
        <v>0</v>
      </c>
      <c r="W264" s="37">
        <f>IF(B264="","",ROUND((U264+IF(K264="",0,K264))/MAX(4,TrackingWeeks),2))</f>
        <v>0</v>
      </c>
      <c r="X264" s="37">
        <f>IF(B264="","",IF(W264&lt;=0,"",ROUND(V264/W264,1)))</f>
        <v>0</v>
      </c>
      <c r="Y264" s="37">
        <f>IF(B264="","",IF(N264&lt;&gt;"",N264,ROUND(W264*StockWarningWeeks,1)))</f>
        <v>0</v>
      </c>
      <c r="Z264" s="39">
        <f>IF(B264="","",IF(V264&lt;=0,"Out of stock",IF(V264&lt;=Y264,"Low stock",IF(R264="No","Backbar","In stock"))))</f>
        <v>0</v>
      </c>
      <c r="AA264" s="37">
        <f>IF(B264="","",IF(Z264="In stock","",IF(Z264="Backbar",IF(V264&lt;=Y264,MAX(1,IF(O264="",ROUND(W264*ReorderWeeks,0),O264)),""),MAX(1,IF(O264="",ROUND(W264*ReorderWeeks,0),O264)))))</f>
        <v>0</v>
      </c>
      <c r="AB264" s="26">
        <f>IF(B264="","",ROUND(V264*IF(H264="",0,H264),2))</f>
        <v>0</v>
      </c>
      <c r="AC264" s="26">
        <f>IF(B264="","",ROUND(V264*IF(I264="",0,I264),2))</f>
        <v>0</v>
      </c>
      <c r="AD264" s="27">
        <f>IF(B264="","",IF(IF(I264="",0,I264)=0,"",(I264-IF(H264="",0,H264))/I264))</f>
        <v>0</v>
      </c>
      <c r="AE264" s="26">
        <f>IF(B264="","",IF(H264="","",H264*RetailMarkup))</f>
        <v>0</v>
      </c>
      <c r="AF264" s="26">
        <f>IF(B264="","",IF(AE264="","",ROUND(IF(RoundingRule="None",AE264,IF(RoundingRule="Nearest 0.99",MAX(0.99,CEILING(AE264,1)-0.01),IF(RoundingRule="Nearest 0.95",MAX(0.95,CEILING(AE264,1)-0.05),IF(RoundingRule="Nearest 0.50",CEILING(AE264,0.5),IF(RoundingRule="Nearest 1",CEILING(AE264,1),IF(RoundingRule="Nearest 5",CEILING(AE264,5),IF(RoundingRule="Up to whole 1",CEILING(AE264,1),IF(RoundingRule="Up to whole 5",CEILING(AE264,5),ROUND(AE264,2))))))))),2)))</f>
        <v>0</v>
      </c>
      <c r="AG264" s="26">
        <f>IF(B264="","",ROUND(SUMIFS(Sales!$Y$5:$Y$1204,Sales!$I$5:$I$1204,A264,Sales!$H$5:$H$1204,"Retail"),2))</f>
        <v>0</v>
      </c>
      <c r="AH264" s="26">
        <f>IF(B264="","",ROUND(AG264-U264*IF(H264="",0,H264),2))</f>
        <v>0</v>
      </c>
      <c r="AI264" s="25">
        <f>IF(B264="","",COUNTIFS($AG$5:$AG$304,"&gt;"&amp;AG264)+COUNTIFS($AG$5:AG264,AG264))</f>
        <v>0</v>
      </c>
      <c r="AJ264" s="39">
        <f>IF(B264="","",IF(H264="","Add - no cost, no stock value",IF(Z264="Out of stock","Out of stock - order today",IF(Z264="Low stock","Order - running low",IF(IF(Q264="",FALSE,Q264&lt;=TodayDate+30),"Check - expiring within a month",IF(IF(R264="Yes",AD264&lt;0.25,FALSE),"Below - thin margin for a retail line",IF(IF(P264="",TRUE,TodayDate-P264&gt;90),"Due - not counted in three months","OK")))))))</f>
        <v>0</v>
      </c>
    </row>
    <row r="265" spans="1:36">
      <c r="A265" s="28">
        <f>IF(B265="","",ProductPrefix&amp;TEXT(ROW()-4,"000"))</f>
        <v>0</v>
      </c>
      <c r="T265" s="37">
        <f>IF(B265="","",ROUND(SUMIFS(Purchases!$U$5:$U$304,Purchases!$D$5:$D$304,A265),2))</f>
        <v>0</v>
      </c>
      <c r="U265" s="37">
        <f>IF(B265="","",ROUND(SUMIFS(Sales!$T$5:$T$1204,Sales!$I$5:$I$1204,A265,Sales!$H$5:$H$1204,"Retail"),2))</f>
        <v>0</v>
      </c>
      <c r="V265" s="37">
        <f>IF(B265="","",ROUND(IF(J265="",0,J265)+T265-IF(K265="",0,K265)-U265-IF(L265="",0,L265)+IF(M265="",0,M265),2))</f>
        <v>0</v>
      </c>
      <c r="W265" s="37">
        <f>IF(B265="","",ROUND((U265+IF(K265="",0,K265))/MAX(4,TrackingWeeks),2))</f>
        <v>0</v>
      </c>
      <c r="X265" s="37">
        <f>IF(B265="","",IF(W265&lt;=0,"",ROUND(V265/W265,1)))</f>
        <v>0</v>
      </c>
      <c r="Y265" s="37">
        <f>IF(B265="","",IF(N265&lt;&gt;"",N265,ROUND(W265*StockWarningWeeks,1)))</f>
        <v>0</v>
      </c>
      <c r="Z265" s="39">
        <f>IF(B265="","",IF(V265&lt;=0,"Out of stock",IF(V265&lt;=Y265,"Low stock",IF(R265="No","Backbar","In stock"))))</f>
        <v>0</v>
      </c>
      <c r="AA265" s="37">
        <f>IF(B265="","",IF(Z265="In stock","",IF(Z265="Backbar",IF(V265&lt;=Y265,MAX(1,IF(O265="",ROUND(W265*ReorderWeeks,0),O265)),""),MAX(1,IF(O265="",ROUND(W265*ReorderWeeks,0),O265)))))</f>
        <v>0</v>
      </c>
      <c r="AB265" s="26">
        <f>IF(B265="","",ROUND(V265*IF(H265="",0,H265),2))</f>
        <v>0</v>
      </c>
      <c r="AC265" s="26">
        <f>IF(B265="","",ROUND(V265*IF(I265="",0,I265),2))</f>
        <v>0</v>
      </c>
      <c r="AD265" s="27">
        <f>IF(B265="","",IF(IF(I265="",0,I265)=0,"",(I265-IF(H265="",0,H265))/I265))</f>
        <v>0</v>
      </c>
      <c r="AE265" s="26">
        <f>IF(B265="","",IF(H265="","",H265*RetailMarkup))</f>
        <v>0</v>
      </c>
      <c r="AF265" s="26">
        <f>IF(B265="","",IF(AE265="","",ROUND(IF(RoundingRule="None",AE265,IF(RoundingRule="Nearest 0.99",MAX(0.99,CEILING(AE265,1)-0.01),IF(RoundingRule="Nearest 0.95",MAX(0.95,CEILING(AE265,1)-0.05),IF(RoundingRule="Nearest 0.50",CEILING(AE265,0.5),IF(RoundingRule="Nearest 1",CEILING(AE265,1),IF(RoundingRule="Nearest 5",CEILING(AE265,5),IF(RoundingRule="Up to whole 1",CEILING(AE265,1),IF(RoundingRule="Up to whole 5",CEILING(AE265,5),ROUND(AE265,2))))))))),2)))</f>
        <v>0</v>
      </c>
      <c r="AG265" s="26">
        <f>IF(B265="","",ROUND(SUMIFS(Sales!$Y$5:$Y$1204,Sales!$I$5:$I$1204,A265,Sales!$H$5:$H$1204,"Retail"),2))</f>
        <v>0</v>
      </c>
      <c r="AH265" s="26">
        <f>IF(B265="","",ROUND(AG265-U265*IF(H265="",0,H265),2))</f>
        <v>0</v>
      </c>
      <c r="AI265" s="25">
        <f>IF(B265="","",COUNTIFS($AG$5:$AG$304,"&gt;"&amp;AG265)+COUNTIFS($AG$5:AG265,AG265))</f>
        <v>0</v>
      </c>
      <c r="AJ265" s="39">
        <f>IF(B265="","",IF(H265="","Add - no cost, no stock value",IF(Z265="Out of stock","Out of stock - order today",IF(Z265="Low stock","Order - running low",IF(IF(Q265="",FALSE,Q265&lt;=TodayDate+30),"Check - expiring within a month",IF(IF(R265="Yes",AD265&lt;0.25,FALSE),"Below - thin margin for a retail line",IF(IF(P265="",TRUE,TodayDate-P265&gt;90),"Due - not counted in three months","OK")))))))</f>
        <v>0</v>
      </c>
    </row>
    <row r="266" spans="1:36">
      <c r="A266" s="28">
        <f>IF(B266="","",ProductPrefix&amp;TEXT(ROW()-4,"000"))</f>
        <v>0</v>
      </c>
      <c r="T266" s="37">
        <f>IF(B266="","",ROUND(SUMIFS(Purchases!$U$5:$U$304,Purchases!$D$5:$D$304,A266),2))</f>
        <v>0</v>
      </c>
      <c r="U266" s="37">
        <f>IF(B266="","",ROUND(SUMIFS(Sales!$T$5:$T$1204,Sales!$I$5:$I$1204,A266,Sales!$H$5:$H$1204,"Retail"),2))</f>
        <v>0</v>
      </c>
      <c r="V266" s="37">
        <f>IF(B266="","",ROUND(IF(J266="",0,J266)+T266-IF(K266="",0,K266)-U266-IF(L266="",0,L266)+IF(M266="",0,M266),2))</f>
        <v>0</v>
      </c>
      <c r="W266" s="37">
        <f>IF(B266="","",ROUND((U266+IF(K266="",0,K266))/MAX(4,TrackingWeeks),2))</f>
        <v>0</v>
      </c>
      <c r="X266" s="37">
        <f>IF(B266="","",IF(W266&lt;=0,"",ROUND(V266/W266,1)))</f>
        <v>0</v>
      </c>
      <c r="Y266" s="37">
        <f>IF(B266="","",IF(N266&lt;&gt;"",N266,ROUND(W266*StockWarningWeeks,1)))</f>
        <v>0</v>
      </c>
      <c r="Z266" s="39">
        <f>IF(B266="","",IF(V266&lt;=0,"Out of stock",IF(V266&lt;=Y266,"Low stock",IF(R266="No","Backbar","In stock"))))</f>
        <v>0</v>
      </c>
      <c r="AA266" s="37">
        <f>IF(B266="","",IF(Z266="In stock","",IF(Z266="Backbar",IF(V266&lt;=Y266,MAX(1,IF(O266="",ROUND(W266*ReorderWeeks,0),O266)),""),MAX(1,IF(O266="",ROUND(W266*ReorderWeeks,0),O266)))))</f>
        <v>0</v>
      </c>
      <c r="AB266" s="26">
        <f>IF(B266="","",ROUND(V266*IF(H266="",0,H266),2))</f>
        <v>0</v>
      </c>
      <c r="AC266" s="26">
        <f>IF(B266="","",ROUND(V266*IF(I266="",0,I266),2))</f>
        <v>0</v>
      </c>
      <c r="AD266" s="27">
        <f>IF(B266="","",IF(IF(I266="",0,I266)=0,"",(I266-IF(H266="",0,H266))/I266))</f>
        <v>0</v>
      </c>
      <c r="AE266" s="26">
        <f>IF(B266="","",IF(H266="","",H266*RetailMarkup))</f>
        <v>0</v>
      </c>
      <c r="AF266" s="26">
        <f>IF(B266="","",IF(AE266="","",ROUND(IF(RoundingRule="None",AE266,IF(RoundingRule="Nearest 0.99",MAX(0.99,CEILING(AE266,1)-0.01),IF(RoundingRule="Nearest 0.95",MAX(0.95,CEILING(AE266,1)-0.05),IF(RoundingRule="Nearest 0.50",CEILING(AE266,0.5),IF(RoundingRule="Nearest 1",CEILING(AE266,1),IF(RoundingRule="Nearest 5",CEILING(AE266,5),IF(RoundingRule="Up to whole 1",CEILING(AE266,1),IF(RoundingRule="Up to whole 5",CEILING(AE266,5),ROUND(AE266,2))))))))),2)))</f>
        <v>0</v>
      </c>
      <c r="AG266" s="26">
        <f>IF(B266="","",ROUND(SUMIFS(Sales!$Y$5:$Y$1204,Sales!$I$5:$I$1204,A266,Sales!$H$5:$H$1204,"Retail"),2))</f>
        <v>0</v>
      </c>
      <c r="AH266" s="26">
        <f>IF(B266="","",ROUND(AG266-U266*IF(H266="",0,H266),2))</f>
        <v>0</v>
      </c>
      <c r="AI266" s="25">
        <f>IF(B266="","",COUNTIFS($AG$5:$AG$304,"&gt;"&amp;AG266)+COUNTIFS($AG$5:AG266,AG266))</f>
        <v>0</v>
      </c>
      <c r="AJ266" s="39">
        <f>IF(B266="","",IF(H266="","Add - no cost, no stock value",IF(Z266="Out of stock","Out of stock - order today",IF(Z266="Low stock","Order - running low",IF(IF(Q266="",FALSE,Q266&lt;=TodayDate+30),"Check - expiring within a month",IF(IF(R266="Yes",AD266&lt;0.25,FALSE),"Below - thin margin for a retail line",IF(IF(P266="",TRUE,TodayDate-P266&gt;90),"Due - not counted in three months","OK")))))))</f>
        <v>0</v>
      </c>
    </row>
    <row r="267" spans="1:36">
      <c r="A267" s="28">
        <f>IF(B267="","",ProductPrefix&amp;TEXT(ROW()-4,"000"))</f>
        <v>0</v>
      </c>
      <c r="T267" s="37">
        <f>IF(B267="","",ROUND(SUMIFS(Purchases!$U$5:$U$304,Purchases!$D$5:$D$304,A267),2))</f>
        <v>0</v>
      </c>
      <c r="U267" s="37">
        <f>IF(B267="","",ROUND(SUMIFS(Sales!$T$5:$T$1204,Sales!$I$5:$I$1204,A267,Sales!$H$5:$H$1204,"Retail"),2))</f>
        <v>0</v>
      </c>
      <c r="V267" s="37">
        <f>IF(B267="","",ROUND(IF(J267="",0,J267)+T267-IF(K267="",0,K267)-U267-IF(L267="",0,L267)+IF(M267="",0,M267),2))</f>
        <v>0</v>
      </c>
      <c r="W267" s="37">
        <f>IF(B267="","",ROUND((U267+IF(K267="",0,K267))/MAX(4,TrackingWeeks),2))</f>
        <v>0</v>
      </c>
      <c r="X267" s="37">
        <f>IF(B267="","",IF(W267&lt;=0,"",ROUND(V267/W267,1)))</f>
        <v>0</v>
      </c>
      <c r="Y267" s="37">
        <f>IF(B267="","",IF(N267&lt;&gt;"",N267,ROUND(W267*StockWarningWeeks,1)))</f>
        <v>0</v>
      </c>
      <c r="Z267" s="39">
        <f>IF(B267="","",IF(V267&lt;=0,"Out of stock",IF(V267&lt;=Y267,"Low stock",IF(R267="No","Backbar","In stock"))))</f>
        <v>0</v>
      </c>
      <c r="AA267" s="37">
        <f>IF(B267="","",IF(Z267="In stock","",IF(Z267="Backbar",IF(V267&lt;=Y267,MAX(1,IF(O267="",ROUND(W267*ReorderWeeks,0),O267)),""),MAX(1,IF(O267="",ROUND(W267*ReorderWeeks,0),O267)))))</f>
        <v>0</v>
      </c>
      <c r="AB267" s="26">
        <f>IF(B267="","",ROUND(V267*IF(H267="",0,H267),2))</f>
        <v>0</v>
      </c>
      <c r="AC267" s="26">
        <f>IF(B267="","",ROUND(V267*IF(I267="",0,I267),2))</f>
        <v>0</v>
      </c>
      <c r="AD267" s="27">
        <f>IF(B267="","",IF(IF(I267="",0,I267)=0,"",(I267-IF(H267="",0,H267))/I267))</f>
        <v>0</v>
      </c>
      <c r="AE267" s="26">
        <f>IF(B267="","",IF(H267="","",H267*RetailMarkup))</f>
        <v>0</v>
      </c>
      <c r="AF267" s="26">
        <f>IF(B267="","",IF(AE267="","",ROUND(IF(RoundingRule="None",AE267,IF(RoundingRule="Nearest 0.99",MAX(0.99,CEILING(AE267,1)-0.01),IF(RoundingRule="Nearest 0.95",MAX(0.95,CEILING(AE267,1)-0.05),IF(RoundingRule="Nearest 0.50",CEILING(AE267,0.5),IF(RoundingRule="Nearest 1",CEILING(AE267,1),IF(RoundingRule="Nearest 5",CEILING(AE267,5),IF(RoundingRule="Up to whole 1",CEILING(AE267,1),IF(RoundingRule="Up to whole 5",CEILING(AE267,5),ROUND(AE267,2))))))))),2)))</f>
        <v>0</v>
      </c>
      <c r="AG267" s="26">
        <f>IF(B267="","",ROUND(SUMIFS(Sales!$Y$5:$Y$1204,Sales!$I$5:$I$1204,A267,Sales!$H$5:$H$1204,"Retail"),2))</f>
        <v>0</v>
      </c>
      <c r="AH267" s="26">
        <f>IF(B267="","",ROUND(AG267-U267*IF(H267="",0,H267),2))</f>
        <v>0</v>
      </c>
      <c r="AI267" s="25">
        <f>IF(B267="","",COUNTIFS($AG$5:$AG$304,"&gt;"&amp;AG267)+COUNTIFS($AG$5:AG267,AG267))</f>
        <v>0</v>
      </c>
      <c r="AJ267" s="39">
        <f>IF(B267="","",IF(H267="","Add - no cost, no stock value",IF(Z267="Out of stock","Out of stock - order today",IF(Z267="Low stock","Order - running low",IF(IF(Q267="",FALSE,Q267&lt;=TodayDate+30),"Check - expiring within a month",IF(IF(R267="Yes",AD267&lt;0.25,FALSE),"Below - thin margin for a retail line",IF(IF(P267="",TRUE,TodayDate-P267&gt;90),"Due - not counted in three months","OK")))))))</f>
        <v>0</v>
      </c>
    </row>
    <row r="268" spans="1:36">
      <c r="A268" s="28">
        <f>IF(B268="","",ProductPrefix&amp;TEXT(ROW()-4,"000"))</f>
        <v>0</v>
      </c>
      <c r="T268" s="37">
        <f>IF(B268="","",ROUND(SUMIFS(Purchases!$U$5:$U$304,Purchases!$D$5:$D$304,A268),2))</f>
        <v>0</v>
      </c>
      <c r="U268" s="37">
        <f>IF(B268="","",ROUND(SUMIFS(Sales!$T$5:$T$1204,Sales!$I$5:$I$1204,A268,Sales!$H$5:$H$1204,"Retail"),2))</f>
        <v>0</v>
      </c>
      <c r="V268" s="37">
        <f>IF(B268="","",ROUND(IF(J268="",0,J268)+T268-IF(K268="",0,K268)-U268-IF(L268="",0,L268)+IF(M268="",0,M268),2))</f>
        <v>0</v>
      </c>
      <c r="W268" s="37">
        <f>IF(B268="","",ROUND((U268+IF(K268="",0,K268))/MAX(4,TrackingWeeks),2))</f>
        <v>0</v>
      </c>
      <c r="X268" s="37">
        <f>IF(B268="","",IF(W268&lt;=0,"",ROUND(V268/W268,1)))</f>
        <v>0</v>
      </c>
      <c r="Y268" s="37">
        <f>IF(B268="","",IF(N268&lt;&gt;"",N268,ROUND(W268*StockWarningWeeks,1)))</f>
        <v>0</v>
      </c>
      <c r="Z268" s="39">
        <f>IF(B268="","",IF(V268&lt;=0,"Out of stock",IF(V268&lt;=Y268,"Low stock",IF(R268="No","Backbar","In stock"))))</f>
        <v>0</v>
      </c>
      <c r="AA268" s="37">
        <f>IF(B268="","",IF(Z268="In stock","",IF(Z268="Backbar",IF(V268&lt;=Y268,MAX(1,IF(O268="",ROUND(W268*ReorderWeeks,0),O268)),""),MAX(1,IF(O268="",ROUND(W268*ReorderWeeks,0),O268)))))</f>
        <v>0</v>
      </c>
      <c r="AB268" s="26">
        <f>IF(B268="","",ROUND(V268*IF(H268="",0,H268),2))</f>
        <v>0</v>
      </c>
      <c r="AC268" s="26">
        <f>IF(B268="","",ROUND(V268*IF(I268="",0,I268),2))</f>
        <v>0</v>
      </c>
      <c r="AD268" s="27">
        <f>IF(B268="","",IF(IF(I268="",0,I268)=0,"",(I268-IF(H268="",0,H268))/I268))</f>
        <v>0</v>
      </c>
      <c r="AE268" s="26">
        <f>IF(B268="","",IF(H268="","",H268*RetailMarkup))</f>
        <v>0</v>
      </c>
      <c r="AF268" s="26">
        <f>IF(B268="","",IF(AE268="","",ROUND(IF(RoundingRule="None",AE268,IF(RoundingRule="Nearest 0.99",MAX(0.99,CEILING(AE268,1)-0.01),IF(RoundingRule="Nearest 0.95",MAX(0.95,CEILING(AE268,1)-0.05),IF(RoundingRule="Nearest 0.50",CEILING(AE268,0.5),IF(RoundingRule="Nearest 1",CEILING(AE268,1),IF(RoundingRule="Nearest 5",CEILING(AE268,5),IF(RoundingRule="Up to whole 1",CEILING(AE268,1),IF(RoundingRule="Up to whole 5",CEILING(AE268,5),ROUND(AE268,2))))))))),2)))</f>
        <v>0</v>
      </c>
      <c r="AG268" s="26">
        <f>IF(B268="","",ROUND(SUMIFS(Sales!$Y$5:$Y$1204,Sales!$I$5:$I$1204,A268,Sales!$H$5:$H$1204,"Retail"),2))</f>
        <v>0</v>
      </c>
      <c r="AH268" s="26">
        <f>IF(B268="","",ROUND(AG268-U268*IF(H268="",0,H268),2))</f>
        <v>0</v>
      </c>
      <c r="AI268" s="25">
        <f>IF(B268="","",COUNTIFS($AG$5:$AG$304,"&gt;"&amp;AG268)+COUNTIFS($AG$5:AG268,AG268))</f>
        <v>0</v>
      </c>
      <c r="AJ268" s="39">
        <f>IF(B268="","",IF(H268="","Add - no cost, no stock value",IF(Z268="Out of stock","Out of stock - order today",IF(Z268="Low stock","Order - running low",IF(IF(Q268="",FALSE,Q268&lt;=TodayDate+30),"Check - expiring within a month",IF(IF(R268="Yes",AD268&lt;0.25,FALSE),"Below - thin margin for a retail line",IF(IF(P268="",TRUE,TodayDate-P268&gt;90),"Due - not counted in three months","OK")))))))</f>
        <v>0</v>
      </c>
    </row>
    <row r="269" spans="1:36">
      <c r="A269" s="28">
        <f>IF(B269="","",ProductPrefix&amp;TEXT(ROW()-4,"000"))</f>
        <v>0</v>
      </c>
      <c r="T269" s="37">
        <f>IF(B269="","",ROUND(SUMIFS(Purchases!$U$5:$U$304,Purchases!$D$5:$D$304,A269),2))</f>
        <v>0</v>
      </c>
      <c r="U269" s="37">
        <f>IF(B269="","",ROUND(SUMIFS(Sales!$T$5:$T$1204,Sales!$I$5:$I$1204,A269,Sales!$H$5:$H$1204,"Retail"),2))</f>
        <v>0</v>
      </c>
      <c r="V269" s="37">
        <f>IF(B269="","",ROUND(IF(J269="",0,J269)+T269-IF(K269="",0,K269)-U269-IF(L269="",0,L269)+IF(M269="",0,M269),2))</f>
        <v>0</v>
      </c>
      <c r="W269" s="37">
        <f>IF(B269="","",ROUND((U269+IF(K269="",0,K269))/MAX(4,TrackingWeeks),2))</f>
        <v>0</v>
      </c>
      <c r="X269" s="37">
        <f>IF(B269="","",IF(W269&lt;=0,"",ROUND(V269/W269,1)))</f>
        <v>0</v>
      </c>
      <c r="Y269" s="37">
        <f>IF(B269="","",IF(N269&lt;&gt;"",N269,ROUND(W269*StockWarningWeeks,1)))</f>
        <v>0</v>
      </c>
      <c r="Z269" s="39">
        <f>IF(B269="","",IF(V269&lt;=0,"Out of stock",IF(V269&lt;=Y269,"Low stock",IF(R269="No","Backbar","In stock"))))</f>
        <v>0</v>
      </c>
      <c r="AA269" s="37">
        <f>IF(B269="","",IF(Z269="In stock","",IF(Z269="Backbar",IF(V269&lt;=Y269,MAX(1,IF(O269="",ROUND(W269*ReorderWeeks,0),O269)),""),MAX(1,IF(O269="",ROUND(W269*ReorderWeeks,0),O269)))))</f>
        <v>0</v>
      </c>
      <c r="AB269" s="26">
        <f>IF(B269="","",ROUND(V269*IF(H269="",0,H269),2))</f>
        <v>0</v>
      </c>
      <c r="AC269" s="26">
        <f>IF(B269="","",ROUND(V269*IF(I269="",0,I269),2))</f>
        <v>0</v>
      </c>
      <c r="AD269" s="27">
        <f>IF(B269="","",IF(IF(I269="",0,I269)=0,"",(I269-IF(H269="",0,H269))/I269))</f>
        <v>0</v>
      </c>
      <c r="AE269" s="26">
        <f>IF(B269="","",IF(H269="","",H269*RetailMarkup))</f>
        <v>0</v>
      </c>
      <c r="AF269" s="26">
        <f>IF(B269="","",IF(AE269="","",ROUND(IF(RoundingRule="None",AE269,IF(RoundingRule="Nearest 0.99",MAX(0.99,CEILING(AE269,1)-0.01),IF(RoundingRule="Nearest 0.95",MAX(0.95,CEILING(AE269,1)-0.05),IF(RoundingRule="Nearest 0.50",CEILING(AE269,0.5),IF(RoundingRule="Nearest 1",CEILING(AE269,1),IF(RoundingRule="Nearest 5",CEILING(AE269,5),IF(RoundingRule="Up to whole 1",CEILING(AE269,1),IF(RoundingRule="Up to whole 5",CEILING(AE269,5),ROUND(AE269,2))))))))),2)))</f>
        <v>0</v>
      </c>
      <c r="AG269" s="26">
        <f>IF(B269="","",ROUND(SUMIFS(Sales!$Y$5:$Y$1204,Sales!$I$5:$I$1204,A269,Sales!$H$5:$H$1204,"Retail"),2))</f>
        <v>0</v>
      </c>
      <c r="AH269" s="26">
        <f>IF(B269="","",ROUND(AG269-U269*IF(H269="",0,H269),2))</f>
        <v>0</v>
      </c>
      <c r="AI269" s="25">
        <f>IF(B269="","",COUNTIFS($AG$5:$AG$304,"&gt;"&amp;AG269)+COUNTIFS($AG$5:AG269,AG269))</f>
        <v>0</v>
      </c>
      <c r="AJ269" s="39">
        <f>IF(B269="","",IF(H269="","Add - no cost, no stock value",IF(Z269="Out of stock","Out of stock - order today",IF(Z269="Low stock","Order - running low",IF(IF(Q269="",FALSE,Q269&lt;=TodayDate+30),"Check - expiring within a month",IF(IF(R269="Yes",AD269&lt;0.25,FALSE),"Below - thin margin for a retail line",IF(IF(P269="",TRUE,TodayDate-P269&gt;90),"Due - not counted in three months","OK")))))))</f>
        <v>0</v>
      </c>
    </row>
    <row r="270" spans="1:36">
      <c r="A270" s="28">
        <f>IF(B270="","",ProductPrefix&amp;TEXT(ROW()-4,"000"))</f>
        <v>0</v>
      </c>
      <c r="T270" s="37">
        <f>IF(B270="","",ROUND(SUMIFS(Purchases!$U$5:$U$304,Purchases!$D$5:$D$304,A270),2))</f>
        <v>0</v>
      </c>
      <c r="U270" s="37">
        <f>IF(B270="","",ROUND(SUMIFS(Sales!$T$5:$T$1204,Sales!$I$5:$I$1204,A270,Sales!$H$5:$H$1204,"Retail"),2))</f>
        <v>0</v>
      </c>
      <c r="V270" s="37">
        <f>IF(B270="","",ROUND(IF(J270="",0,J270)+T270-IF(K270="",0,K270)-U270-IF(L270="",0,L270)+IF(M270="",0,M270),2))</f>
        <v>0</v>
      </c>
      <c r="W270" s="37">
        <f>IF(B270="","",ROUND((U270+IF(K270="",0,K270))/MAX(4,TrackingWeeks),2))</f>
        <v>0</v>
      </c>
      <c r="X270" s="37">
        <f>IF(B270="","",IF(W270&lt;=0,"",ROUND(V270/W270,1)))</f>
        <v>0</v>
      </c>
      <c r="Y270" s="37">
        <f>IF(B270="","",IF(N270&lt;&gt;"",N270,ROUND(W270*StockWarningWeeks,1)))</f>
        <v>0</v>
      </c>
      <c r="Z270" s="39">
        <f>IF(B270="","",IF(V270&lt;=0,"Out of stock",IF(V270&lt;=Y270,"Low stock",IF(R270="No","Backbar","In stock"))))</f>
        <v>0</v>
      </c>
      <c r="AA270" s="37">
        <f>IF(B270="","",IF(Z270="In stock","",IF(Z270="Backbar",IF(V270&lt;=Y270,MAX(1,IF(O270="",ROUND(W270*ReorderWeeks,0),O270)),""),MAX(1,IF(O270="",ROUND(W270*ReorderWeeks,0),O270)))))</f>
        <v>0</v>
      </c>
      <c r="AB270" s="26">
        <f>IF(B270="","",ROUND(V270*IF(H270="",0,H270),2))</f>
        <v>0</v>
      </c>
      <c r="AC270" s="26">
        <f>IF(B270="","",ROUND(V270*IF(I270="",0,I270),2))</f>
        <v>0</v>
      </c>
      <c r="AD270" s="27">
        <f>IF(B270="","",IF(IF(I270="",0,I270)=0,"",(I270-IF(H270="",0,H270))/I270))</f>
        <v>0</v>
      </c>
      <c r="AE270" s="26">
        <f>IF(B270="","",IF(H270="","",H270*RetailMarkup))</f>
        <v>0</v>
      </c>
      <c r="AF270" s="26">
        <f>IF(B270="","",IF(AE270="","",ROUND(IF(RoundingRule="None",AE270,IF(RoundingRule="Nearest 0.99",MAX(0.99,CEILING(AE270,1)-0.01),IF(RoundingRule="Nearest 0.95",MAX(0.95,CEILING(AE270,1)-0.05),IF(RoundingRule="Nearest 0.50",CEILING(AE270,0.5),IF(RoundingRule="Nearest 1",CEILING(AE270,1),IF(RoundingRule="Nearest 5",CEILING(AE270,5),IF(RoundingRule="Up to whole 1",CEILING(AE270,1),IF(RoundingRule="Up to whole 5",CEILING(AE270,5),ROUND(AE270,2))))))))),2)))</f>
        <v>0</v>
      </c>
      <c r="AG270" s="26">
        <f>IF(B270="","",ROUND(SUMIFS(Sales!$Y$5:$Y$1204,Sales!$I$5:$I$1204,A270,Sales!$H$5:$H$1204,"Retail"),2))</f>
        <v>0</v>
      </c>
      <c r="AH270" s="26">
        <f>IF(B270="","",ROUND(AG270-U270*IF(H270="",0,H270),2))</f>
        <v>0</v>
      </c>
      <c r="AI270" s="25">
        <f>IF(B270="","",COUNTIFS($AG$5:$AG$304,"&gt;"&amp;AG270)+COUNTIFS($AG$5:AG270,AG270))</f>
        <v>0</v>
      </c>
      <c r="AJ270" s="39">
        <f>IF(B270="","",IF(H270="","Add - no cost, no stock value",IF(Z270="Out of stock","Out of stock - order today",IF(Z270="Low stock","Order - running low",IF(IF(Q270="",FALSE,Q270&lt;=TodayDate+30),"Check - expiring within a month",IF(IF(R270="Yes",AD270&lt;0.25,FALSE),"Below - thin margin for a retail line",IF(IF(P270="",TRUE,TodayDate-P270&gt;90),"Due - not counted in three months","OK")))))))</f>
        <v>0</v>
      </c>
    </row>
    <row r="271" spans="1:36">
      <c r="A271" s="28">
        <f>IF(B271="","",ProductPrefix&amp;TEXT(ROW()-4,"000"))</f>
        <v>0</v>
      </c>
      <c r="T271" s="37">
        <f>IF(B271="","",ROUND(SUMIFS(Purchases!$U$5:$U$304,Purchases!$D$5:$D$304,A271),2))</f>
        <v>0</v>
      </c>
      <c r="U271" s="37">
        <f>IF(B271="","",ROUND(SUMIFS(Sales!$T$5:$T$1204,Sales!$I$5:$I$1204,A271,Sales!$H$5:$H$1204,"Retail"),2))</f>
        <v>0</v>
      </c>
      <c r="V271" s="37">
        <f>IF(B271="","",ROUND(IF(J271="",0,J271)+T271-IF(K271="",0,K271)-U271-IF(L271="",0,L271)+IF(M271="",0,M271),2))</f>
        <v>0</v>
      </c>
      <c r="W271" s="37">
        <f>IF(B271="","",ROUND((U271+IF(K271="",0,K271))/MAX(4,TrackingWeeks),2))</f>
        <v>0</v>
      </c>
      <c r="X271" s="37">
        <f>IF(B271="","",IF(W271&lt;=0,"",ROUND(V271/W271,1)))</f>
        <v>0</v>
      </c>
      <c r="Y271" s="37">
        <f>IF(B271="","",IF(N271&lt;&gt;"",N271,ROUND(W271*StockWarningWeeks,1)))</f>
        <v>0</v>
      </c>
      <c r="Z271" s="39">
        <f>IF(B271="","",IF(V271&lt;=0,"Out of stock",IF(V271&lt;=Y271,"Low stock",IF(R271="No","Backbar","In stock"))))</f>
        <v>0</v>
      </c>
      <c r="AA271" s="37">
        <f>IF(B271="","",IF(Z271="In stock","",IF(Z271="Backbar",IF(V271&lt;=Y271,MAX(1,IF(O271="",ROUND(W271*ReorderWeeks,0),O271)),""),MAX(1,IF(O271="",ROUND(W271*ReorderWeeks,0),O271)))))</f>
        <v>0</v>
      </c>
      <c r="AB271" s="26">
        <f>IF(B271="","",ROUND(V271*IF(H271="",0,H271),2))</f>
        <v>0</v>
      </c>
      <c r="AC271" s="26">
        <f>IF(B271="","",ROUND(V271*IF(I271="",0,I271),2))</f>
        <v>0</v>
      </c>
      <c r="AD271" s="27">
        <f>IF(B271="","",IF(IF(I271="",0,I271)=0,"",(I271-IF(H271="",0,H271))/I271))</f>
        <v>0</v>
      </c>
      <c r="AE271" s="26">
        <f>IF(B271="","",IF(H271="","",H271*RetailMarkup))</f>
        <v>0</v>
      </c>
      <c r="AF271" s="26">
        <f>IF(B271="","",IF(AE271="","",ROUND(IF(RoundingRule="None",AE271,IF(RoundingRule="Nearest 0.99",MAX(0.99,CEILING(AE271,1)-0.01),IF(RoundingRule="Nearest 0.95",MAX(0.95,CEILING(AE271,1)-0.05),IF(RoundingRule="Nearest 0.50",CEILING(AE271,0.5),IF(RoundingRule="Nearest 1",CEILING(AE271,1),IF(RoundingRule="Nearest 5",CEILING(AE271,5),IF(RoundingRule="Up to whole 1",CEILING(AE271,1),IF(RoundingRule="Up to whole 5",CEILING(AE271,5),ROUND(AE271,2))))))))),2)))</f>
        <v>0</v>
      </c>
      <c r="AG271" s="26">
        <f>IF(B271="","",ROUND(SUMIFS(Sales!$Y$5:$Y$1204,Sales!$I$5:$I$1204,A271,Sales!$H$5:$H$1204,"Retail"),2))</f>
        <v>0</v>
      </c>
      <c r="AH271" s="26">
        <f>IF(B271="","",ROUND(AG271-U271*IF(H271="",0,H271),2))</f>
        <v>0</v>
      </c>
      <c r="AI271" s="25">
        <f>IF(B271="","",COUNTIFS($AG$5:$AG$304,"&gt;"&amp;AG271)+COUNTIFS($AG$5:AG271,AG271))</f>
        <v>0</v>
      </c>
      <c r="AJ271" s="39">
        <f>IF(B271="","",IF(H271="","Add - no cost, no stock value",IF(Z271="Out of stock","Out of stock - order today",IF(Z271="Low stock","Order - running low",IF(IF(Q271="",FALSE,Q271&lt;=TodayDate+30),"Check - expiring within a month",IF(IF(R271="Yes",AD271&lt;0.25,FALSE),"Below - thin margin for a retail line",IF(IF(P271="",TRUE,TodayDate-P271&gt;90),"Due - not counted in three months","OK")))))))</f>
        <v>0</v>
      </c>
    </row>
    <row r="272" spans="1:36">
      <c r="A272" s="28">
        <f>IF(B272="","",ProductPrefix&amp;TEXT(ROW()-4,"000"))</f>
        <v>0</v>
      </c>
      <c r="T272" s="37">
        <f>IF(B272="","",ROUND(SUMIFS(Purchases!$U$5:$U$304,Purchases!$D$5:$D$304,A272),2))</f>
        <v>0</v>
      </c>
      <c r="U272" s="37">
        <f>IF(B272="","",ROUND(SUMIFS(Sales!$T$5:$T$1204,Sales!$I$5:$I$1204,A272,Sales!$H$5:$H$1204,"Retail"),2))</f>
        <v>0</v>
      </c>
      <c r="V272" s="37">
        <f>IF(B272="","",ROUND(IF(J272="",0,J272)+T272-IF(K272="",0,K272)-U272-IF(L272="",0,L272)+IF(M272="",0,M272),2))</f>
        <v>0</v>
      </c>
      <c r="W272" s="37">
        <f>IF(B272="","",ROUND((U272+IF(K272="",0,K272))/MAX(4,TrackingWeeks),2))</f>
        <v>0</v>
      </c>
      <c r="X272" s="37">
        <f>IF(B272="","",IF(W272&lt;=0,"",ROUND(V272/W272,1)))</f>
        <v>0</v>
      </c>
      <c r="Y272" s="37">
        <f>IF(B272="","",IF(N272&lt;&gt;"",N272,ROUND(W272*StockWarningWeeks,1)))</f>
        <v>0</v>
      </c>
      <c r="Z272" s="39">
        <f>IF(B272="","",IF(V272&lt;=0,"Out of stock",IF(V272&lt;=Y272,"Low stock",IF(R272="No","Backbar","In stock"))))</f>
        <v>0</v>
      </c>
      <c r="AA272" s="37">
        <f>IF(B272="","",IF(Z272="In stock","",IF(Z272="Backbar",IF(V272&lt;=Y272,MAX(1,IF(O272="",ROUND(W272*ReorderWeeks,0),O272)),""),MAX(1,IF(O272="",ROUND(W272*ReorderWeeks,0),O272)))))</f>
        <v>0</v>
      </c>
      <c r="AB272" s="26">
        <f>IF(B272="","",ROUND(V272*IF(H272="",0,H272),2))</f>
        <v>0</v>
      </c>
      <c r="AC272" s="26">
        <f>IF(B272="","",ROUND(V272*IF(I272="",0,I272),2))</f>
        <v>0</v>
      </c>
      <c r="AD272" s="27">
        <f>IF(B272="","",IF(IF(I272="",0,I272)=0,"",(I272-IF(H272="",0,H272))/I272))</f>
        <v>0</v>
      </c>
      <c r="AE272" s="26">
        <f>IF(B272="","",IF(H272="","",H272*RetailMarkup))</f>
        <v>0</v>
      </c>
      <c r="AF272" s="26">
        <f>IF(B272="","",IF(AE272="","",ROUND(IF(RoundingRule="None",AE272,IF(RoundingRule="Nearest 0.99",MAX(0.99,CEILING(AE272,1)-0.01),IF(RoundingRule="Nearest 0.95",MAX(0.95,CEILING(AE272,1)-0.05),IF(RoundingRule="Nearest 0.50",CEILING(AE272,0.5),IF(RoundingRule="Nearest 1",CEILING(AE272,1),IF(RoundingRule="Nearest 5",CEILING(AE272,5),IF(RoundingRule="Up to whole 1",CEILING(AE272,1),IF(RoundingRule="Up to whole 5",CEILING(AE272,5),ROUND(AE272,2))))))))),2)))</f>
        <v>0</v>
      </c>
      <c r="AG272" s="26">
        <f>IF(B272="","",ROUND(SUMIFS(Sales!$Y$5:$Y$1204,Sales!$I$5:$I$1204,A272,Sales!$H$5:$H$1204,"Retail"),2))</f>
        <v>0</v>
      </c>
      <c r="AH272" s="26">
        <f>IF(B272="","",ROUND(AG272-U272*IF(H272="",0,H272),2))</f>
        <v>0</v>
      </c>
      <c r="AI272" s="25">
        <f>IF(B272="","",COUNTIFS($AG$5:$AG$304,"&gt;"&amp;AG272)+COUNTIFS($AG$5:AG272,AG272))</f>
        <v>0</v>
      </c>
      <c r="AJ272" s="39">
        <f>IF(B272="","",IF(H272="","Add - no cost, no stock value",IF(Z272="Out of stock","Out of stock - order today",IF(Z272="Low stock","Order - running low",IF(IF(Q272="",FALSE,Q272&lt;=TodayDate+30),"Check - expiring within a month",IF(IF(R272="Yes",AD272&lt;0.25,FALSE),"Below - thin margin for a retail line",IF(IF(P272="",TRUE,TodayDate-P272&gt;90),"Due - not counted in three months","OK")))))))</f>
        <v>0</v>
      </c>
    </row>
    <row r="273" spans="1:36">
      <c r="A273" s="28">
        <f>IF(B273="","",ProductPrefix&amp;TEXT(ROW()-4,"000"))</f>
        <v>0</v>
      </c>
      <c r="T273" s="37">
        <f>IF(B273="","",ROUND(SUMIFS(Purchases!$U$5:$U$304,Purchases!$D$5:$D$304,A273),2))</f>
        <v>0</v>
      </c>
      <c r="U273" s="37">
        <f>IF(B273="","",ROUND(SUMIFS(Sales!$T$5:$T$1204,Sales!$I$5:$I$1204,A273,Sales!$H$5:$H$1204,"Retail"),2))</f>
        <v>0</v>
      </c>
      <c r="V273" s="37">
        <f>IF(B273="","",ROUND(IF(J273="",0,J273)+T273-IF(K273="",0,K273)-U273-IF(L273="",0,L273)+IF(M273="",0,M273),2))</f>
        <v>0</v>
      </c>
      <c r="W273" s="37">
        <f>IF(B273="","",ROUND((U273+IF(K273="",0,K273))/MAX(4,TrackingWeeks),2))</f>
        <v>0</v>
      </c>
      <c r="X273" s="37">
        <f>IF(B273="","",IF(W273&lt;=0,"",ROUND(V273/W273,1)))</f>
        <v>0</v>
      </c>
      <c r="Y273" s="37">
        <f>IF(B273="","",IF(N273&lt;&gt;"",N273,ROUND(W273*StockWarningWeeks,1)))</f>
        <v>0</v>
      </c>
      <c r="Z273" s="39">
        <f>IF(B273="","",IF(V273&lt;=0,"Out of stock",IF(V273&lt;=Y273,"Low stock",IF(R273="No","Backbar","In stock"))))</f>
        <v>0</v>
      </c>
      <c r="AA273" s="37">
        <f>IF(B273="","",IF(Z273="In stock","",IF(Z273="Backbar",IF(V273&lt;=Y273,MAX(1,IF(O273="",ROUND(W273*ReorderWeeks,0),O273)),""),MAX(1,IF(O273="",ROUND(W273*ReorderWeeks,0),O273)))))</f>
        <v>0</v>
      </c>
      <c r="AB273" s="26">
        <f>IF(B273="","",ROUND(V273*IF(H273="",0,H273),2))</f>
        <v>0</v>
      </c>
      <c r="AC273" s="26">
        <f>IF(B273="","",ROUND(V273*IF(I273="",0,I273),2))</f>
        <v>0</v>
      </c>
      <c r="AD273" s="27">
        <f>IF(B273="","",IF(IF(I273="",0,I273)=0,"",(I273-IF(H273="",0,H273))/I273))</f>
        <v>0</v>
      </c>
      <c r="AE273" s="26">
        <f>IF(B273="","",IF(H273="","",H273*RetailMarkup))</f>
        <v>0</v>
      </c>
      <c r="AF273" s="26">
        <f>IF(B273="","",IF(AE273="","",ROUND(IF(RoundingRule="None",AE273,IF(RoundingRule="Nearest 0.99",MAX(0.99,CEILING(AE273,1)-0.01),IF(RoundingRule="Nearest 0.95",MAX(0.95,CEILING(AE273,1)-0.05),IF(RoundingRule="Nearest 0.50",CEILING(AE273,0.5),IF(RoundingRule="Nearest 1",CEILING(AE273,1),IF(RoundingRule="Nearest 5",CEILING(AE273,5),IF(RoundingRule="Up to whole 1",CEILING(AE273,1),IF(RoundingRule="Up to whole 5",CEILING(AE273,5),ROUND(AE273,2))))))))),2)))</f>
        <v>0</v>
      </c>
      <c r="AG273" s="26">
        <f>IF(B273="","",ROUND(SUMIFS(Sales!$Y$5:$Y$1204,Sales!$I$5:$I$1204,A273,Sales!$H$5:$H$1204,"Retail"),2))</f>
        <v>0</v>
      </c>
      <c r="AH273" s="26">
        <f>IF(B273="","",ROUND(AG273-U273*IF(H273="",0,H273),2))</f>
        <v>0</v>
      </c>
      <c r="AI273" s="25">
        <f>IF(B273="","",COUNTIFS($AG$5:$AG$304,"&gt;"&amp;AG273)+COUNTIFS($AG$5:AG273,AG273))</f>
        <v>0</v>
      </c>
      <c r="AJ273" s="39">
        <f>IF(B273="","",IF(H273="","Add - no cost, no stock value",IF(Z273="Out of stock","Out of stock - order today",IF(Z273="Low stock","Order - running low",IF(IF(Q273="",FALSE,Q273&lt;=TodayDate+30),"Check - expiring within a month",IF(IF(R273="Yes",AD273&lt;0.25,FALSE),"Below - thin margin for a retail line",IF(IF(P273="",TRUE,TodayDate-P273&gt;90),"Due - not counted in three months","OK")))))))</f>
        <v>0</v>
      </c>
    </row>
    <row r="274" spans="1:36">
      <c r="A274" s="28">
        <f>IF(B274="","",ProductPrefix&amp;TEXT(ROW()-4,"000"))</f>
        <v>0</v>
      </c>
      <c r="T274" s="37">
        <f>IF(B274="","",ROUND(SUMIFS(Purchases!$U$5:$U$304,Purchases!$D$5:$D$304,A274),2))</f>
        <v>0</v>
      </c>
      <c r="U274" s="37">
        <f>IF(B274="","",ROUND(SUMIFS(Sales!$T$5:$T$1204,Sales!$I$5:$I$1204,A274,Sales!$H$5:$H$1204,"Retail"),2))</f>
        <v>0</v>
      </c>
      <c r="V274" s="37">
        <f>IF(B274="","",ROUND(IF(J274="",0,J274)+T274-IF(K274="",0,K274)-U274-IF(L274="",0,L274)+IF(M274="",0,M274),2))</f>
        <v>0</v>
      </c>
      <c r="W274" s="37">
        <f>IF(B274="","",ROUND((U274+IF(K274="",0,K274))/MAX(4,TrackingWeeks),2))</f>
        <v>0</v>
      </c>
      <c r="X274" s="37">
        <f>IF(B274="","",IF(W274&lt;=0,"",ROUND(V274/W274,1)))</f>
        <v>0</v>
      </c>
      <c r="Y274" s="37">
        <f>IF(B274="","",IF(N274&lt;&gt;"",N274,ROUND(W274*StockWarningWeeks,1)))</f>
        <v>0</v>
      </c>
      <c r="Z274" s="39">
        <f>IF(B274="","",IF(V274&lt;=0,"Out of stock",IF(V274&lt;=Y274,"Low stock",IF(R274="No","Backbar","In stock"))))</f>
        <v>0</v>
      </c>
      <c r="AA274" s="37">
        <f>IF(B274="","",IF(Z274="In stock","",IF(Z274="Backbar",IF(V274&lt;=Y274,MAX(1,IF(O274="",ROUND(W274*ReorderWeeks,0),O274)),""),MAX(1,IF(O274="",ROUND(W274*ReorderWeeks,0),O274)))))</f>
        <v>0</v>
      </c>
      <c r="AB274" s="26">
        <f>IF(B274="","",ROUND(V274*IF(H274="",0,H274),2))</f>
        <v>0</v>
      </c>
      <c r="AC274" s="26">
        <f>IF(B274="","",ROUND(V274*IF(I274="",0,I274),2))</f>
        <v>0</v>
      </c>
      <c r="AD274" s="27">
        <f>IF(B274="","",IF(IF(I274="",0,I274)=0,"",(I274-IF(H274="",0,H274))/I274))</f>
        <v>0</v>
      </c>
      <c r="AE274" s="26">
        <f>IF(B274="","",IF(H274="","",H274*RetailMarkup))</f>
        <v>0</v>
      </c>
      <c r="AF274" s="26">
        <f>IF(B274="","",IF(AE274="","",ROUND(IF(RoundingRule="None",AE274,IF(RoundingRule="Nearest 0.99",MAX(0.99,CEILING(AE274,1)-0.01),IF(RoundingRule="Nearest 0.95",MAX(0.95,CEILING(AE274,1)-0.05),IF(RoundingRule="Nearest 0.50",CEILING(AE274,0.5),IF(RoundingRule="Nearest 1",CEILING(AE274,1),IF(RoundingRule="Nearest 5",CEILING(AE274,5),IF(RoundingRule="Up to whole 1",CEILING(AE274,1),IF(RoundingRule="Up to whole 5",CEILING(AE274,5),ROUND(AE274,2))))))))),2)))</f>
        <v>0</v>
      </c>
      <c r="AG274" s="26">
        <f>IF(B274="","",ROUND(SUMIFS(Sales!$Y$5:$Y$1204,Sales!$I$5:$I$1204,A274,Sales!$H$5:$H$1204,"Retail"),2))</f>
        <v>0</v>
      </c>
      <c r="AH274" s="26">
        <f>IF(B274="","",ROUND(AG274-U274*IF(H274="",0,H274),2))</f>
        <v>0</v>
      </c>
      <c r="AI274" s="25">
        <f>IF(B274="","",COUNTIFS($AG$5:$AG$304,"&gt;"&amp;AG274)+COUNTIFS($AG$5:AG274,AG274))</f>
        <v>0</v>
      </c>
      <c r="AJ274" s="39">
        <f>IF(B274="","",IF(H274="","Add - no cost, no stock value",IF(Z274="Out of stock","Out of stock - order today",IF(Z274="Low stock","Order - running low",IF(IF(Q274="",FALSE,Q274&lt;=TodayDate+30),"Check - expiring within a month",IF(IF(R274="Yes",AD274&lt;0.25,FALSE),"Below - thin margin for a retail line",IF(IF(P274="",TRUE,TodayDate-P274&gt;90),"Due - not counted in three months","OK")))))))</f>
        <v>0</v>
      </c>
    </row>
    <row r="275" spans="1:36">
      <c r="A275" s="28">
        <f>IF(B275="","",ProductPrefix&amp;TEXT(ROW()-4,"000"))</f>
        <v>0</v>
      </c>
      <c r="T275" s="37">
        <f>IF(B275="","",ROUND(SUMIFS(Purchases!$U$5:$U$304,Purchases!$D$5:$D$304,A275),2))</f>
        <v>0</v>
      </c>
      <c r="U275" s="37">
        <f>IF(B275="","",ROUND(SUMIFS(Sales!$T$5:$T$1204,Sales!$I$5:$I$1204,A275,Sales!$H$5:$H$1204,"Retail"),2))</f>
        <v>0</v>
      </c>
      <c r="V275" s="37">
        <f>IF(B275="","",ROUND(IF(J275="",0,J275)+T275-IF(K275="",0,K275)-U275-IF(L275="",0,L275)+IF(M275="",0,M275),2))</f>
        <v>0</v>
      </c>
      <c r="W275" s="37">
        <f>IF(B275="","",ROUND((U275+IF(K275="",0,K275))/MAX(4,TrackingWeeks),2))</f>
        <v>0</v>
      </c>
      <c r="X275" s="37">
        <f>IF(B275="","",IF(W275&lt;=0,"",ROUND(V275/W275,1)))</f>
        <v>0</v>
      </c>
      <c r="Y275" s="37">
        <f>IF(B275="","",IF(N275&lt;&gt;"",N275,ROUND(W275*StockWarningWeeks,1)))</f>
        <v>0</v>
      </c>
      <c r="Z275" s="39">
        <f>IF(B275="","",IF(V275&lt;=0,"Out of stock",IF(V275&lt;=Y275,"Low stock",IF(R275="No","Backbar","In stock"))))</f>
        <v>0</v>
      </c>
      <c r="AA275" s="37">
        <f>IF(B275="","",IF(Z275="In stock","",IF(Z275="Backbar",IF(V275&lt;=Y275,MAX(1,IF(O275="",ROUND(W275*ReorderWeeks,0),O275)),""),MAX(1,IF(O275="",ROUND(W275*ReorderWeeks,0),O275)))))</f>
        <v>0</v>
      </c>
      <c r="AB275" s="26">
        <f>IF(B275="","",ROUND(V275*IF(H275="",0,H275),2))</f>
        <v>0</v>
      </c>
      <c r="AC275" s="26">
        <f>IF(B275="","",ROUND(V275*IF(I275="",0,I275),2))</f>
        <v>0</v>
      </c>
      <c r="AD275" s="27">
        <f>IF(B275="","",IF(IF(I275="",0,I275)=0,"",(I275-IF(H275="",0,H275))/I275))</f>
        <v>0</v>
      </c>
      <c r="AE275" s="26">
        <f>IF(B275="","",IF(H275="","",H275*RetailMarkup))</f>
        <v>0</v>
      </c>
      <c r="AF275" s="26">
        <f>IF(B275="","",IF(AE275="","",ROUND(IF(RoundingRule="None",AE275,IF(RoundingRule="Nearest 0.99",MAX(0.99,CEILING(AE275,1)-0.01),IF(RoundingRule="Nearest 0.95",MAX(0.95,CEILING(AE275,1)-0.05),IF(RoundingRule="Nearest 0.50",CEILING(AE275,0.5),IF(RoundingRule="Nearest 1",CEILING(AE275,1),IF(RoundingRule="Nearest 5",CEILING(AE275,5),IF(RoundingRule="Up to whole 1",CEILING(AE275,1),IF(RoundingRule="Up to whole 5",CEILING(AE275,5),ROUND(AE275,2))))))))),2)))</f>
        <v>0</v>
      </c>
      <c r="AG275" s="26">
        <f>IF(B275="","",ROUND(SUMIFS(Sales!$Y$5:$Y$1204,Sales!$I$5:$I$1204,A275,Sales!$H$5:$H$1204,"Retail"),2))</f>
        <v>0</v>
      </c>
      <c r="AH275" s="26">
        <f>IF(B275="","",ROUND(AG275-U275*IF(H275="",0,H275),2))</f>
        <v>0</v>
      </c>
      <c r="AI275" s="25">
        <f>IF(B275="","",COUNTIFS($AG$5:$AG$304,"&gt;"&amp;AG275)+COUNTIFS($AG$5:AG275,AG275))</f>
        <v>0</v>
      </c>
      <c r="AJ275" s="39">
        <f>IF(B275="","",IF(H275="","Add - no cost, no stock value",IF(Z275="Out of stock","Out of stock - order today",IF(Z275="Low stock","Order - running low",IF(IF(Q275="",FALSE,Q275&lt;=TodayDate+30),"Check - expiring within a month",IF(IF(R275="Yes",AD275&lt;0.25,FALSE),"Below - thin margin for a retail line",IF(IF(P275="",TRUE,TodayDate-P275&gt;90),"Due - not counted in three months","OK")))))))</f>
        <v>0</v>
      </c>
    </row>
    <row r="276" spans="1:36">
      <c r="A276" s="28">
        <f>IF(B276="","",ProductPrefix&amp;TEXT(ROW()-4,"000"))</f>
        <v>0</v>
      </c>
      <c r="T276" s="37">
        <f>IF(B276="","",ROUND(SUMIFS(Purchases!$U$5:$U$304,Purchases!$D$5:$D$304,A276),2))</f>
        <v>0</v>
      </c>
      <c r="U276" s="37">
        <f>IF(B276="","",ROUND(SUMIFS(Sales!$T$5:$T$1204,Sales!$I$5:$I$1204,A276,Sales!$H$5:$H$1204,"Retail"),2))</f>
        <v>0</v>
      </c>
      <c r="V276" s="37">
        <f>IF(B276="","",ROUND(IF(J276="",0,J276)+T276-IF(K276="",0,K276)-U276-IF(L276="",0,L276)+IF(M276="",0,M276),2))</f>
        <v>0</v>
      </c>
      <c r="W276" s="37">
        <f>IF(B276="","",ROUND((U276+IF(K276="",0,K276))/MAX(4,TrackingWeeks),2))</f>
        <v>0</v>
      </c>
      <c r="X276" s="37">
        <f>IF(B276="","",IF(W276&lt;=0,"",ROUND(V276/W276,1)))</f>
        <v>0</v>
      </c>
      <c r="Y276" s="37">
        <f>IF(B276="","",IF(N276&lt;&gt;"",N276,ROUND(W276*StockWarningWeeks,1)))</f>
        <v>0</v>
      </c>
      <c r="Z276" s="39">
        <f>IF(B276="","",IF(V276&lt;=0,"Out of stock",IF(V276&lt;=Y276,"Low stock",IF(R276="No","Backbar","In stock"))))</f>
        <v>0</v>
      </c>
      <c r="AA276" s="37">
        <f>IF(B276="","",IF(Z276="In stock","",IF(Z276="Backbar",IF(V276&lt;=Y276,MAX(1,IF(O276="",ROUND(W276*ReorderWeeks,0),O276)),""),MAX(1,IF(O276="",ROUND(W276*ReorderWeeks,0),O276)))))</f>
        <v>0</v>
      </c>
      <c r="AB276" s="26">
        <f>IF(B276="","",ROUND(V276*IF(H276="",0,H276),2))</f>
        <v>0</v>
      </c>
      <c r="AC276" s="26">
        <f>IF(B276="","",ROUND(V276*IF(I276="",0,I276),2))</f>
        <v>0</v>
      </c>
      <c r="AD276" s="27">
        <f>IF(B276="","",IF(IF(I276="",0,I276)=0,"",(I276-IF(H276="",0,H276))/I276))</f>
        <v>0</v>
      </c>
      <c r="AE276" s="26">
        <f>IF(B276="","",IF(H276="","",H276*RetailMarkup))</f>
        <v>0</v>
      </c>
      <c r="AF276" s="26">
        <f>IF(B276="","",IF(AE276="","",ROUND(IF(RoundingRule="None",AE276,IF(RoundingRule="Nearest 0.99",MAX(0.99,CEILING(AE276,1)-0.01),IF(RoundingRule="Nearest 0.95",MAX(0.95,CEILING(AE276,1)-0.05),IF(RoundingRule="Nearest 0.50",CEILING(AE276,0.5),IF(RoundingRule="Nearest 1",CEILING(AE276,1),IF(RoundingRule="Nearest 5",CEILING(AE276,5),IF(RoundingRule="Up to whole 1",CEILING(AE276,1),IF(RoundingRule="Up to whole 5",CEILING(AE276,5),ROUND(AE276,2))))))))),2)))</f>
        <v>0</v>
      </c>
      <c r="AG276" s="26">
        <f>IF(B276="","",ROUND(SUMIFS(Sales!$Y$5:$Y$1204,Sales!$I$5:$I$1204,A276,Sales!$H$5:$H$1204,"Retail"),2))</f>
        <v>0</v>
      </c>
      <c r="AH276" s="26">
        <f>IF(B276="","",ROUND(AG276-U276*IF(H276="",0,H276),2))</f>
        <v>0</v>
      </c>
      <c r="AI276" s="25">
        <f>IF(B276="","",COUNTIFS($AG$5:$AG$304,"&gt;"&amp;AG276)+COUNTIFS($AG$5:AG276,AG276))</f>
        <v>0</v>
      </c>
      <c r="AJ276" s="39">
        <f>IF(B276="","",IF(H276="","Add - no cost, no stock value",IF(Z276="Out of stock","Out of stock - order today",IF(Z276="Low stock","Order - running low",IF(IF(Q276="",FALSE,Q276&lt;=TodayDate+30),"Check - expiring within a month",IF(IF(R276="Yes",AD276&lt;0.25,FALSE),"Below - thin margin for a retail line",IF(IF(P276="",TRUE,TodayDate-P276&gt;90),"Due - not counted in three months","OK")))))))</f>
        <v>0</v>
      </c>
    </row>
    <row r="277" spans="1:36">
      <c r="A277" s="28">
        <f>IF(B277="","",ProductPrefix&amp;TEXT(ROW()-4,"000"))</f>
        <v>0</v>
      </c>
      <c r="T277" s="37">
        <f>IF(B277="","",ROUND(SUMIFS(Purchases!$U$5:$U$304,Purchases!$D$5:$D$304,A277),2))</f>
        <v>0</v>
      </c>
      <c r="U277" s="37">
        <f>IF(B277="","",ROUND(SUMIFS(Sales!$T$5:$T$1204,Sales!$I$5:$I$1204,A277,Sales!$H$5:$H$1204,"Retail"),2))</f>
        <v>0</v>
      </c>
      <c r="V277" s="37">
        <f>IF(B277="","",ROUND(IF(J277="",0,J277)+T277-IF(K277="",0,K277)-U277-IF(L277="",0,L277)+IF(M277="",0,M277),2))</f>
        <v>0</v>
      </c>
      <c r="W277" s="37">
        <f>IF(B277="","",ROUND((U277+IF(K277="",0,K277))/MAX(4,TrackingWeeks),2))</f>
        <v>0</v>
      </c>
      <c r="X277" s="37">
        <f>IF(B277="","",IF(W277&lt;=0,"",ROUND(V277/W277,1)))</f>
        <v>0</v>
      </c>
      <c r="Y277" s="37">
        <f>IF(B277="","",IF(N277&lt;&gt;"",N277,ROUND(W277*StockWarningWeeks,1)))</f>
        <v>0</v>
      </c>
      <c r="Z277" s="39">
        <f>IF(B277="","",IF(V277&lt;=0,"Out of stock",IF(V277&lt;=Y277,"Low stock",IF(R277="No","Backbar","In stock"))))</f>
        <v>0</v>
      </c>
      <c r="AA277" s="37">
        <f>IF(B277="","",IF(Z277="In stock","",IF(Z277="Backbar",IF(V277&lt;=Y277,MAX(1,IF(O277="",ROUND(W277*ReorderWeeks,0),O277)),""),MAX(1,IF(O277="",ROUND(W277*ReorderWeeks,0),O277)))))</f>
        <v>0</v>
      </c>
      <c r="AB277" s="26">
        <f>IF(B277="","",ROUND(V277*IF(H277="",0,H277),2))</f>
        <v>0</v>
      </c>
      <c r="AC277" s="26">
        <f>IF(B277="","",ROUND(V277*IF(I277="",0,I277),2))</f>
        <v>0</v>
      </c>
      <c r="AD277" s="27">
        <f>IF(B277="","",IF(IF(I277="",0,I277)=0,"",(I277-IF(H277="",0,H277))/I277))</f>
        <v>0</v>
      </c>
      <c r="AE277" s="26">
        <f>IF(B277="","",IF(H277="","",H277*RetailMarkup))</f>
        <v>0</v>
      </c>
      <c r="AF277" s="26">
        <f>IF(B277="","",IF(AE277="","",ROUND(IF(RoundingRule="None",AE277,IF(RoundingRule="Nearest 0.99",MAX(0.99,CEILING(AE277,1)-0.01),IF(RoundingRule="Nearest 0.95",MAX(0.95,CEILING(AE277,1)-0.05),IF(RoundingRule="Nearest 0.50",CEILING(AE277,0.5),IF(RoundingRule="Nearest 1",CEILING(AE277,1),IF(RoundingRule="Nearest 5",CEILING(AE277,5),IF(RoundingRule="Up to whole 1",CEILING(AE277,1),IF(RoundingRule="Up to whole 5",CEILING(AE277,5),ROUND(AE277,2))))))))),2)))</f>
        <v>0</v>
      </c>
      <c r="AG277" s="26">
        <f>IF(B277="","",ROUND(SUMIFS(Sales!$Y$5:$Y$1204,Sales!$I$5:$I$1204,A277,Sales!$H$5:$H$1204,"Retail"),2))</f>
        <v>0</v>
      </c>
      <c r="AH277" s="26">
        <f>IF(B277="","",ROUND(AG277-U277*IF(H277="",0,H277),2))</f>
        <v>0</v>
      </c>
      <c r="AI277" s="25">
        <f>IF(B277="","",COUNTIFS($AG$5:$AG$304,"&gt;"&amp;AG277)+COUNTIFS($AG$5:AG277,AG277))</f>
        <v>0</v>
      </c>
      <c r="AJ277" s="39">
        <f>IF(B277="","",IF(H277="","Add - no cost, no stock value",IF(Z277="Out of stock","Out of stock - order today",IF(Z277="Low stock","Order - running low",IF(IF(Q277="",FALSE,Q277&lt;=TodayDate+30),"Check - expiring within a month",IF(IF(R277="Yes",AD277&lt;0.25,FALSE),"Below - thin margin for a retail line",IF(IF(P277="",TRUE,TodayDate-P277&gt;90),"Due - not counted in three months","OK")))))))</f>
        <v>0</v>
      </c>
    </row>
    <row r="278" spans="1:36">
      <c r="A278" s="28">
        <f>IF(B278="","",ProductPrefix&amp;TEXT(ROW()-4,"000"))</f>
        <v>0</v>
      </c>
      <c r="T278" s="37">
        <f>IF(B278="","",ROUND(SUMIFS(Purchases!$U$5:$U$304,Purchases!$D$5:$D$304,A278),2))</f>
        <v>0</v>
      </c>
      <c r="U278" s="37">
        <f>IF(B278="","",ROUND(SUMIFS(Sales!$T$5:$T$1204,Sales!$I$5:$I$1204,A278,Sales!$H$5:$H$1204,"Retail"),2))</f>
        <v>0</v>
      </c>
      <c r="V278" s="37">
        <f>IF(B278="","",ROUND(IF(J278="",0,J278)+T278-IF(K278="",0,K278)-U278-IF(L278="",0,L278)+IF(M278="",0,M278),2))</f>
        <v>0</v>
      </c>
      <c r="W278" s="37">
        <f>IF(B278="","",ROUND((U278+IF(K278="",0,K278))/MAX(4,TrackingWeeks),2))</f>
        <v>0</v>
      </c>
      <c r="X278" s="37">
        <f>IF(B278="","",IF(W278&lt;=0,"",ROUND(V278/W278,1)))</f>
        <v>0</v>
      </c>
      <c r="Y278" s="37">
        <f>IF(B278="","",IF(N278&lt;&gt;"",N278,ROUND(W278*StockWarningWeeks,1)))</f>
        <v>0</v>
      </c>
      <c r="Z278" s="39">
        <f>IF(B278="","",IF(V278&lt;=0,"Out of stock",IF(V278&lt;=Y278,"Low stock",IF(R278="No","Backbar","In stock"))))</f>
        <v>0</v>
      </c>
      <c r="AA278" s="37">
        <f>IF(B278="","",IF(Z278="In stock","",IF(Z278="Backbar",IF(V278&lt;=Y278,MAX(1,IF(O278="",ROUND(W278*ReorderWeeks,0),O278)),""),MAX(1,IF(O278="",ROUND(W278*ReorderWeeks,0),O278)))))</f>
        <v>0</v>
      </c>
      <c r="AB278" s="26">
        <f>IF(B278="","",ROUND(V278*IF(H278="",0,H278),2))</f>
        <v>0</v>
      </c>
      <c r="AC278" s="26">
        <f>IF(B278="","",ROUND(V278*IF(I278="",0,I278),2))</f>
        <v>0</v>
      </c>
      <c r="AD278" s="27">
        <f>IF(B278="","",IF(IF(I278="",0,I278)=0,"",(I278-IF(H278="",0,H278))/I278))</f>
        <v>0</v>
      </c>
      <c r="AE278" s="26">
        <f>IF(B278="","",IF(H278="","",H278*RetailMarkup))</f>
        <v>0</v>
      </c>
      <c r="AF278" s="26">
        <f>IF(B278="","",IF(AE278="","",ROUND(IF(RoundingRule="None",AE278,IF(RoundingRule="Nearest 0.99",MAX(0.99,CEILING(AE278,1)-0.01),IF(RoundingRule="Nearest 0.95",MAX(0.95,CEILING(AE278,1)-0.05),IF(RoundingRule="Nearest 0.50",CEILING(AE278,0.5),IF(RoundingRule="Nearest 1",CEILING(AE278,1),IF(RoundingRule="Nearest 5",CEILING(AE278,5),IF(RoundingRule="Up to whole 1",CEILING(AE278,1),IF(RoundingRule="Up to whole 5",CEILING(AE278,5),ROUND(AE278,2))))))))),2)))</f>
        <v>0</v>
      </c>
      <c r="AG278" s="26">
        <f>IF(B278="","",ROUND(SUMIFS(Sales!$Y$5:$Y$1204,Sales!$I$5:$I$1204,A278,Sales!$H$5:$H$1204,"Retail"),2))</f>
        <v>0</v>
      </c>
      <c r="AH278" s="26">
        <f>IF(B278="","",ROUND(AG278-U278*IF(H278="",0,H278),2))</f>
        <v>0</v>
      </c>
      <c r="AI278" s="25">
        <f>IF(B278="","",COUNTIFS($AG$5:$AG$304,"&gt;"&amp;AG278)+COUNTIFS($AG$5:AG278,AG278))</f>
        <v>0</v>
      </c>
      <c r="AJ278" s="39">
        <f>IF(B278="","",IF(H278="","Add - no cost, no stock value",IF(Z278="Out of stock","Out of stock - order today",IF(Z278="Low stock","Order - running low",IF(IF(Q278="",FALSE,Q278&lt;=TodayDate+30),"Check - expiring within a month",IF(IF(R278="Yes",AD278&lt;0.25,FALSE),"Below - thin margin for a retail line",IF(IF(P278="",TRUE,TodayDate-P278&gt;90),"Due - not counted in three months","OK")))))))</f>
        <v>0</v>
      </c>
    </row>
    <row r="279" spans="1:36">
      <c r="A279" s="28">
        <f>IF(B279="","",ProductPrefix&amp;TEXT(ROW()-4,"000"))</f>
        <v>0</v>
      </c>
      <c r="T279" s="37">
        <f>IF(B279="","",ROUND(SUMIFS(Purchases!$U$5:$U$304,Purchases!$D$5:$D$304,A279),2))</f>
        <v>0</v>
      </c>
      <c r="U279" s="37">
        <f>IF(B279="","",ROUND(SUMIFS(Sales!$T$5:$T$1204,Sales!$I$5:$I$1204,A279,Sales!$H$5:$H$1204,"Retail"),2))</f>
        <v>0</v>
      </c>
      <c r="V279" s="37">
        <f>IF(B279="","",ROUND(IF(J279="",0,J279)+T279-IF(K279="",0,K279)-U279-IF(L279="",0,L279)+IF(M279="",0,M279),2))</f>
        <v>0</v>
      </c>
      <c r="W279" s="37">
        <f>IF(B279="","",ROUND((U279+IF(K279="",0,K279))/MAX(4,TrackingWeeks),2))</f>
        <v>0</v>
      </c>
      <c r="X279" s="37">
        <f>IF(B279="","",IF(W279&lt;=0,"",ROUND(V279/W279,1)))</f>
        <v>0</v>
      </c>
      <c r="Y279" s="37">
        <f>IF(B279="","",IF(N279&lt;&gt;"",N279,ROUND(W279*StockWarningWeeks,1)))</f>
        <v>0</v>
      </c>
      <c r="Z279" s="39">
        <f>IF(B279="","",IF(V279&lt;=0,"Out of stock",IF(V279&lt;=Y279,"Low stock",IF(R279="No","Backbar","In stock"))))</f>
        <v>0</v>
      </c>
      <c r="AA279" s="37">
        <f>IF(B279="","",IF(Z279="In stock","",IF(Z279="Backbar",IF(V279&lt;=Y279,MAX(1,IF(O279="",ROUND(W279*ReorderWeeks,0),O279)),""),MAX(1,IF(O279="",ROUND(W279*ReorderWeeks,0),O279)))))</f>
        <v>0</v>
      </c>
      <c r="AB279" s="26">
        <f>IF(B279="","",ROUND(V279*IF(H279="",0,H279),2))</f>
        <v>0</v>
      </c>
      <c r="AC279" s="26">
        <f>IF(B279="","",ROUND(V279*IF(I279="",0,I279),2))</f>
        <v>0</v>
      </c>
      <c r="AD279" s="27">
        <f>IF(B279="","",IF(IF(I279="",0,I279)=0,"",(I279-IF(H279="",0,H279))/I279))</f>
        <v>0</v>
      </c>
      <c r="AE279" s="26">
        <f>IF(B279="","",IF(H279="","",H279*RetailMarkup))</f>
        <v>0</v>
      </c>
      <c r="AF279" s="26">
        <f>IF(B279="","",IF(AE279="","",ROUND(IF(RoundingRule="None",AE279,IF(RoundingRule="Nearest 0.99",MAX(0.99,CEILING(AE279,1)-0.01),IF(RoundingRule="Nearest 0.95",MAX(0.95,CEILING(AE279,1)-0.05),IF(RoundingRule="Nearest 0.50",CEILING(AE279,0.5),IF(RoundingRule="Nearest 1",CEILING(AE279,1),IF(RoundingRule="Nearest 5",CEILING(AE279,5),IF(RoundingRule="Up to whole 1",CEILING(AE279,1),IF(RoundingRule="Up to whole 5",CEILING(AE279,5),ROUND(AE279,2))))))))),2)))</f>
        <v>0</v>
      </c>
      <c r="AG279" s="26">
        <f>IF(B279="","",ROUND(SUMIFS(Sales!$Y$5:$Y$1204,Sales!$I$5:$I$1204,A279,Sales!$H$5:$H$1204,"Retail"),2))</f>
        <v>0</v>
      </c>
      <c r="AH279" s="26">
        <f>IF(B279="","",ROUND(AG279-U279*IF(H279="",0,H279),2))</f>
        <v>0</v>
      </c>
      <c r="AI279" s="25">
        <f>IF(B279="","",COUNTIFS($AG$5:$AG$304,"&gt;"&amp;AG279)+COUNTIFS($AG$5:AG279,AG279))</f>
        <v>0</v>
      </c>
      <c r="AJ279" s="39">
        <f>IF(B279="","",IF(H279="","Add - no cost, no stock value",IF(Z279="Out of stock","Out of stock - order today",IF(Z279="Low stock","Order - running low",IF(IF(Q279="",FALSE,Q279&lt;=TodayDate+30),"Check - expiring within a month",IF(IF(R279="Yes",AD279&lt;0.25,FALSE),"Below - thin margin for a retail line",IF(IF(P279="",TRUE,TodayDate-P279&gt;90),"Due - not counted in three months","OK")))))))</f>
        <v>0</v>
      </c>
    </row>
    <row r="280" spans="1:36">
      <c r="A280" s="28">
        <f>IF(B280="","",ProductPrefix&amp;TEXT(ROW()-4,"000"))</f>
        <v>0</v>
      </c>
      <c r="T280" s="37">
        <f>IF(B280="","",ROUND(SUMIFS(Purchases!$U$5:$U$304,Purchases!$D$5:$D$304,A280),2))</f>
        <v>0</v>
      </c>
      <c r="U280" s="37">
        <f>IF(B280="","",ROUND(SUMIFS(Sales!$T$5:$T$1204,Sales!$I$5:$I$1204,A280,Sales!$H$5:$H$1204,"Retail"),2))</f>
        <v>0</v>
      </c>
      <c r="V280" s="37">
        <f>IF(B280="","",ROUND(IF(J280="",0,J280)+T280-IF(K280="",0,K280)-U280-IF(L280="",0,L280)+IF(M280="",0,M280),2))</f>
        <v>0</v>
      </c>
      <c r="W280" s="37">
        <f>IF(B280="","",ROUND((U280+IF(K280="",0,K280))/MAX(4,TrackingWeeks),2))</f>
        <v>0</v>
      </c>
      <c r="X280" s="37">
        <f>IF(B280="","",IF(W280&lt;=0,"",ROUND(V280/W280,1)))</f>
        <v>0</v>
      </c>
      <c r="Y280" s="37">
        <f>IF(B280="","",IF(N280&lt;&gt;"",N280,ROUND(W280*StockWarningWeeks,1)))</f>
        <v>0</v>
      </c>
      <c r="Z280" s="39">
        <f>IF(B280="","",IF(V280&lt;=0,"Out of stock",IF(V280&lt;=Y280,"Low stock",IF(R280="No","Backbar","In stock"))))</f>
        <v>0</v>
      </c>
      <c r="AA280" s="37">
        <f>IF(B280="","",IF(Z280="In stock","",IF(Z280="Backbar",IF(V280&lt;=Y280,MAX(1,IF(O280="",ROUND(W280*ReorderWeeks,0),O280)),""),MAX(1,IF(O280="",ROUND(W280*ReorderWeeks,0),O280)))))</f>
        <v>0</v>
      </c>
      <c r="AB280" s="26">
        <f>IF(B280="","",ROUND(V280*IF(H280="",0,H280),2))</f>
        <v>0</v>
      </c>
      <c r="AC280" s="26">
        <f>IF(B280="","",ROUND(V280*IF(I280="",0,I280),2))</f>
        <v>0</v>
      </c>
      <c r="AD280" s="27">
        <f>IF(B280="","",IF(IF(I280="",0,I280)=0,"",(I280-IF(H280="",0,H280))/I280))</f>
        <v>0</v>
      </c>
      <c r="AE280" s="26">
        <f>IF(B280="","",IF(H280="","",H280*RetailMarkup))</f>
        <v>0</v>
      </c>
      <c r="AF280" s="26">
        <f>IF(B280="","",IF(AE280="","",ROUND(IF(RoundingRule="None",AE280,IF(RoundingRule="Nearest 0.99",MAX(0.99,CEILING(AE280,1)-0.01),IF(RoundingRule="Nearest 0.95",MAX(0.95,CEILING(AE280,1)-0.05),IF(RoundingRule="Nearest 0.50",CEILING(AE280,0.5),IF(RoundingRule="Nearest 1",CEILING(AE280,1),IF(RoundingRule="Nearest 5",CEILING(AE280,5),IF(RoundingRule="Up to whole 1",CEILING(AE280,1),IF(RoundingRule="Up to whole 5",CEILING(AE280,5),ROUND(AE280,2))))))))),2)))</f>
        <v>0</v>
      </c>
      <c r="AG280" s="26">
        <f>IF(B280="","",ROUND(SUMIFS(Sales!$Y$5:$Y$1204,Sales!$I$5:$I$1204,A280,Sales!$H$5:$H$1204,"Retail"),2))</f>
        <v>0</v>
      </c>
      <c r="AH280" s="26">
        <f>IF(B280="","",ROUND(AG280-U280*IF(H280="",0,H280),2))</f>
        <v>0</v>
      </c>
      <c r="AI280" s="25">
        <f>IF(B280="","",COUNTIFS($AG$5:$AG$304,"&gt;"&amp;AG280)+COUNTIFS($AG$5:AG280,AG280))</f>
        <v>0</v>
      </c>
      <c r="AJ280" s="39">
        <f>IF(B280="","",IF(H280="","Add - no cost, no stock value",IF(Z280="Out of stock","Out of stock - order today",IF(Z280="Low stock","Order - running low",IF(IF(Q280="",FALSE,Q280&lt;=TodayDate+30),"Check - expiring within a month",IF(IF(R280="Yes",AD280&lt;0.25,FALSE),"Below - thin margin for a retail line",IF(IF(P280="",TRUE,TodayDate-P280&gt;90),"Due - not counted in three months","OK")))))))</f>
        <v>0</v>
      </c>
    </row>
    <row r="281" spans="1:36">
      <c r="A281" s="28">
        <f>IF(B281="","",ProductPrefix&amp;TEXT(ROW()-4,"000"))</f>
        <v>0</v>
      </c>
      <c r="T281" s="37">
        <f>IF(B281="","",ROUND(SUMIFS(Purchases!$U$5:$U$304,Purchases!$D$5:$D$304,A281),2))</f>
        <v>0</v>
      </c>
      <c r="U281" s="37">
        <f>IF(B281="","",ROUND(SUMIFS(Sales!$T$5:$T$1204,Sales!$I$5:$I$1204,A281,Sales!$H$5:$H$1204,"Retail"),2))</f>
        <v>0</v>
      </c>
      <c r="V281" s="37">
        <f>IF(B281="","",ROUND(IF(J281="",0,J281)+T281-IF(K281="",0,K281)-U281-IF(L281="",0,L281)+IF(M281="",0,M281),2))</f>
        <v>0</v>
      </c>
      <c r="W281" s="37">
        <f>IF(B281="","",ROUND((U281+IF(K281="",0,K281))/MAX(4,TrackingWeeks),2))</f>
        <v>0</v>
      </c>
      <c r="X281" s="37">
        <f>IF(B281="","",IF(W281&lt;=0,"",ROUND(V281/W281,1)))</f>
        <v>0</v>
      </c>
      <c r="Y281" s="37">
        <f>IF(B281="","",IF(N281&lt;&gt;"",N281,ROUND(W281*StockWarningWeeks,1)))</f>
        <v>0</v>
      </c>
      <c r="Z281" s="39">
        <f>IF(B281="","",IF(V281&lt;=0,"Out of stock",IF(V281&lt;=Y281,"Low stock",IF(R281="No","Backbar","In stock"))))</f>
        <v>0</v>
      </c>
      <c r="AA281" s="37">
        <f>IF(B281="","",IF(Z281="In stock","",IF(Z281="Backbar",IF(V281&lt;=Y281,MAX(1,IF(O281="",ROUND(W281*ReorderWeeks,0),O281)),""),MAX(1,IF(O281="",ROUND(W281*ReorderWeeks,0),O281)))))</f>
        <v>0</v>
      </c>
      <c r="AB281" s="26">
        <f>IF(B281="","",ROUND(V281*IF(H281="",0,H281),2))</f>
        <v>0</v>
      </c>
      <c r="AC281" s="26">
        <f>IF(B281="","",ROUND(V281*IF(I281="",0,I281),2))</f>
        <v>0</v>
      </c>
      <c r="AD281" s="27">
        <f>IF(B281="","",IF(IF(I281="",0,I281)=0,"",(I281-IF(H281="",0,H281))/I281))</f>
        <v>0</v>
      </c>
      <c r="AE281" s="26">
        <f>IF(B281="","",IF(H281="","",H281*RetailMarkup))</f>
        <v>0</v>
      </c>
      <c r="AF281" s="26">
        <f>IF(B281="","",IF(AE281="","",ROUND(IF(RoundingRule="None",AE281,IF(RoundingRule="Nearest 0.99",MAX(0.99,CEILING(AE281,1)-0.01),IF(RoundingRule="Nearest 0.95",MAX(0.95,CEILING(AE281,1)-0.05),IF(RoundingRule="Nearest 0.50",CEILING(AE281,0.5),IF(RoundingRule="Nearest 1",CEILING(AE281,1),IF(RoundingRule="Nearest 5",CEILING(AE281,5),IF(RoundingRule="Up to whole 1",CEILING(AE281,1),IF(RoundingRule="Up to whole 5",CEILING(AE281,5),ROUND(AE281,2))))))))),2)))</f>
        <v>0</v>
      </c>
      <c r="AG281" s="26">
        <f>IF(B281="","",ROUND(SUMIFS(Sales!$Y$5:$Y$1204,Sales!$I$5:$I$1204,A281,Sales!$H$5:$H$1204,"Retail"),2))</f>
        <v>0</v>
      </c>
      <c r="AH281" s="26">
        <f>IF(B281="","",ROUND(AG281-U281*IF(H281="",0,H281),2))</f>
        <v>0</v>
      </c>
      <c r="AI281" s="25">
        <f>IF(B281="","",COUNTIFS($AG$5:$AG$304,"&gt;"&amp;AG281)+COUNTIFS($AG$5:AG281,AG281))</f>
        <v>0</v>
      </c>
      <c r="AJ281" s="39">
        <f>IF(B281="","",IF(H281="","Add - no cost, no stock value",IF(Z281="Out of stock","Out of stock - order today",IF(Z281="Low stock","Order - running low",IF(IF(Q281="",FALSE,Q281&lt;=TodayDate+30),"Check - expiring within a month",IF(IF(R281="Yes",AD281&lt;0.25,FALSE),"Below - thin margin for a retail line",IF(IF(P281="",TRUE,TodayDate-P281&gt;90),"Due - not counted in three months","OK")))))))</f>
        <v>0</v>
      </c>
    </row>
    <row r="282" spans="1:36">
      <c r="A282" s="28">
        <f>IF(B282="","",ProductPrefix&amp;TEXT(ROW()-4,"000"))</f>
        <v>0</v>
      </c>
      <c r="T282" s="37">
        <f>IF(B282="","",ROUND(SUMIFS(Purchases!$U$5:$U$304,Purchases!$D$5:$D$304,A282),2))</f>
        <v>0</v>
      </c>
      <c r="U282" s="37">
        <f>IF(B282="","",ROUND(SUMIFS(Sales!$T$5:$T$1204,Sales!$I$5:$I$1204,A282,Sales!$H$5:$H$1204,"Retail"),2))</f>
        <v>0</v>
      </c>
      <c r="V282" s="37">
        <f>IF(B282="","",ROUND(IF(J282="",0,J282)+T282-IF(K282="",0,K282)-U282-IF(L282="",0,L282)+IF(M282="",0,M282),2))</f>
        <v>0</v>
      </c>
      <c r="W282" s="37">
        <f>IF(B282="","",ROUND((U282+IF(K282="",0,K282))/MAX(4,TrackingWeeks),2))</f>
        <v>0</v>
      </c>
      <c r="X282" s="37">
        <f>IF(B282="","",IF(W282&lt;=0,"",ROUND(V282/W282,1)))</f>
        <v>0</v>
      </c>
      <c r="Y282" s="37">
        <f>IF(B282="","",IF(N282&lt;&gt;"",N282,ROUND(W282*StockWarningWeeks,1)))</f>
        <v>0</v>
      </c>
      <c r="Z282" s="39">
        <f>IF(B282="","",IF(V282&lt;=0,"Out of stock",IF(V282&lt;=Y282,"Low stock",IF(R282="No","Backbar","In stock"))))</f>
        <v>0</v>
      </c>
      <c r="AA282" s="37">
        <f>IF(B282="","",IF(Z282="In stock","",IF(Z282="Backbar",IF(V282&lt;=Y282,MAX(1,IF(O282="",ROUND(W282*ReorderWeeks,0),O282)),""),MAX(1,IF(O282="",ROUND(W282*ReorderWeeks,0),O282)))))</f>
        <v>0</v>
      </c>
      <c r="AB282" s="26">
        <f>IF(B282="","",ROUND(V282*IF(H282="",0,H282),2))</f>
        <v>0</v>
      </c>
      <c r="AC282" s="26">
        <f>IF(B282="","",ROUND(V282*IF(I282="",0,I282),2))</f>
        <v>0</v>
      </c>
      <c r="AD282" s="27">
        <f>IF(B282="","",IF(IF(I282="",0,I282)=0,"",(I282-IF(H282="",0,H282))/I282))</f>
        <v>0</v>
      </c>
      <c r="AE282" s="26">
        <f>IF(B282="","",IF(H282="","",H282*RetailMarkup))</f>
        <v>0</v>
      </c>
      <c r="AF282" s="26">
        <f>IF(B282="","",IF(AE282="","",ROUND(IF(RoundingRule="None",AE282,IF(RoundingRule="Nearest 0.99",MAX(0.99,CEILING(AE282,1)-0.01),IF(RoundingRule="Nearest 0.95",MAX(0.95,CEILING(AE282,1)-0.05),IF(RoundingRule="Nearest 0.50",CEILING(AE282,0.5),IF(RoundingRule="Nearest 1",CEILING(AE282,1),IF(RoundingRule="Nearest 5",CEILING(AE282,5),IF(RoundingRule="Up to whole 1",CEILING(AE282,1),IF(RoundingRule="Up to whole 5",CEILING(AE282,5),ROUND(AE282,2))))))))),2)))</f>
        <v>0</v>
      </c>
      <c r="AG282" s="26">
        <f>IF(B282="","",ROUND(SUMIFS(Sales!$Y$5:$Y$1204,Sales!$I$5:$I$1204,A282,Sales!$H$5:$H$1204,"Retail"),2))</f>
        <v>0</v>
      </c>
      <c r="AH282" s="26">
        <f>IF(B282="","",ROUND(AG282-U282*IF(H282="",0,H282),2))</f>
        <v>0</v>
      </c>
      <c r="AI282" s="25">
        <f>IF(B282="","",COUNTIFS($AG$5:$AG$304,"&gt;"&amp;AG282)+COUNTIFS($AG$5:AG282,AG282))</f>
        <v>0</v>
      </c>
      <c r="AJ282" s="39">
        <f>IF(B282="","",IF(H282="","Add - no cost, no stock value",IF(Z282="Out of stock","Out of stock - order today",IF(Z282="Low stock","Order - running low",IF(IF(Q282="",FALSE,Q282&lt;=TodayDate+30),"Check - expiring within a month",IF(IF(R282="Yes",AD282&lt;0.25,FALSE),"Below - thin margin for a retail line",IF(IF(P282="",TRUE,TodayDate-P282&gt;90),"Due - not counted in three months","OK")))))))</f>
        <v>0</v>
      </c>
    </row>
    <row r="283" spans="1:36">
      <c r="A283" s="28">
        <f>IF(B283="","",ProductPrefix&amp;TEXT(ROW()-4,"000"))</f>
        <v>0</v>
      </c>
      <c r="T283" s="37">
        <f>IF(B283="","",ROUND(SUMIFS(Purchases!$U$5:$U$304,Purchases!$D$5:$D$304,A283),2))</f>
        <v>0</v>
      </c>
      <c r="U283" s="37">
        <f>IF(B283="","",ROUND(SUMIFS(Sales!$T$5:$T$1204,Sales!$I$5:$I$1204,A283,Sales!$H$5:$H$1204,"Retail"),2))</f>
        <v>0</v>
      </c>
      <c r="V283" s="37">
        <f>IF(B283="","",ROUND(IF(J283="",0,J283)+T283-IF(K283="",0,K283)-U283-IF(L283="",0,L283)+IF(M283="",0,M283),2))</f>
        <v>0</v>
      </c>
      <c r="W283" s="37">
        <f>IF(B283="","",ROUND((U283+IF(K283="",0,K283))/MAX(4,TrackingWeeks),2))</f>
        <v>0</v>
      </c>
      <c r="X283" s="37">
        <f>IF(B283="","",IF(W283&lt;=0,"",ROUND(V283/W283,1)))</f>
        <v>0</v>
      </c>
      <c r="Y283" s="37">
        <f>IF(B283="","",IF(N283&lt;&gt;"",N283,ROUND(W283*StockWarningWeeks,1)))</f>
        <v>0</v>
      </c>
      <c r="Z283" s="39">
        <f>IF(B283="","",IF(V283&lt;=0,"Out of stock",IF(V283&lt;=Y283,"Low stock",IF(R283="No","Backbar","In stock"))))</f>
        <v>0</v>
      </c>
      <c r="AA283" s="37">
        <f>IF(B283="","",IF(Z283="In stock","",IF(Z283="Backbar",IF(V283&lt;=Y283,MAX(1,IF(O283="",ROUND(W283*ReorderWeeks,0),O283)),""),MAX(1,IF(O283="",ROUND(W283*ReorderWeeks,0),O283)))))</f>
        <v>0</v>
      </c>
      <c r="AB283" s="26">
        <f>IF(B283="","",ROUND(V283*IF(H283="",0,H283),2))</f>
        <v>0</v>
      </c>
      <c r="AC283" s="26">
        <f>IF(B283="","",ROUND(V283*IF(I283="",0,I283),2))</f>
        <v>0</v>
      </c>
      <c r="AD283" s="27">
        <f>IF(B283="","",IF(IF(I283="",0,I283)=0,"",(I283-IF(H283="",0,H283))/I283))</f>
        <v>0</v>
      </c>
      <c r="AE283" s="26">
        <f>IF(B283="","",IF(H283="","",H283*RetailMarkup))</f>
        <v>0</v>
      </c>
      <c r="AF283" s="26">
        <f>IF(B283="","",IF(AE283="","",ROUND(IF(RoundingRule="None",AE283,IF(RoundingRule="Nearest 0.99",MAX(0.99,CEILING(AE283,1)-0.01),IF(RoundingRule="Nearest 0.95",MAX(0.95,CEILING(AE283,1)-0.05),IF(RoundingRule="Nearest 0.50",CEILING(AE283,0.5),IF(RoundingRule="Nearest 1",CEILING(AE283,1),IF(RoundingRule="Nearest 5",CEILING(AE283,5),IF(RoundingRule="Up to whole 1",CEILING(AE283,1),IF(RoundingRule="Up to whole 5",CEILING(AE283,5),ROUND(AE283,2))))))))),2)))</f>
        <v>0</v>
      </c>
      <c r="AG283" s="26">
        <f>IF(B283="","",ROUND(SUMIFS(Sales!$Y$5:$Y$1204,Sales!$I$5:$I$1204,A283,Sales!$H$5:$H$1204,"Retail"),2))</f>
        <v>0</v>
      </c>
      <c r="AH283" s="26">
        <f>IF(B283="","",ROUND(AG283-U283*IF(H283="",0,H283),2))</f>
        <v>0</v>
      </c>
      <c r="AI283" s="25">
        <f>IF(B283="","",COUNTIFS($AG$5:$AG$304,"&gt;"&amp;AG283)+COUNTIFS($AG$5:AG283,AG283))</f>
        <v>0</v>
      </c>
      <c r="AJ283" s="39">
        <f>IF(B283="","",IF(H283="","Add - no cost, no stock value",IF(Z283="Out of stock","Out of stock - order today",IF(Z283="Low stock","Order - running low",IF(IF(Q283="",FALSE,Q283&lt;=TodayDate+30),"Check - expiring within a month",IF(IF(R283="Yes",AD283&lt;0.25,FALSE),"Below - thin margin for a retail line",IF(IF(P283="",TRUE,TodayDate-P283&gt;90),"Due - not counted in three months","OK")))))))</f>
        <v>0</v>
      </c>
    </row>
    <row r="284" spans="1:36">
      <c r="A284" s="28">
        <f>IF(B284="","",ProductPrefix&amp;TEXT(ROW()-4,"000"))</f>
        <v>0</v>
      </c>
      <c r="T284" s="37">
        <f>IF(B284="","",ROUND(SUMIFS(Purchases!$U$5:$U$304,Purchases!$D$5:$D$304,A284),2))</f>
        <v>0</v>
      </c>
      <c r="U284" s="37">
        <f>IF(B284="","",ROUND(SUMIFS(Sales!$T$5:$T$1204,Sales!$I$5:$I$1204,A284,Sales!$H$5:$H$1204,"Retail"),2))</f>
        <v>0</v>
      </c>
      <c r="V284" s="37">
        <f>IF(B284="","",ROUND(IF(J284="",0,J284)+T284-IF(K284="",0,K284)-U284-IF(L284="",0,L284)+IF(M284="",0,M284),2))</f>
        <v>0</v>
      </c>
      <c r="W284" s="37">
        <f>IF(B284="","",ROUND((U284+IF(K284="",0,K284))/MAX(4,TrackingWeeks),2))</f>
        <v>0</v>
      </c>
      <c r="X284" s="37">
        <f>IF(B284="","",IF(W284&lt;=0,"",ROUND(V284/W284,1)))</f>
        <v>0</v>
      </c>
      <c r="Y284" s="37">
        <f>IF(B284="","",IF(N284&lt;&gt;"",N284,ROUND(W284*StockWarningWeeks,1)))</f>
        <v>0</v>
      </c>
      <c r="Z284" s="39">
        <f>IF(B284="","",IF(V284&lt;=0,"Out of stock",IF(V284&lt;=Y284,"Low stock",IF(R284="No","Backbar","In stock"))))</f>
        <v>0</v>
      </c>
      <c r="AA284" s="37">
        <f>IF(B284="","",IF(Z284="In stock","",IF(Z284="Backbar",IF(V284&lt;=Y284,MAX(1,IF(O284="",ROUND(W284*ReorderWeeks,0),O284)),""),MAX(1,IF(O284="",ROUND(W284*ReorderWeeks,0),O284)))))</f>
        <v>0</v>
      </c>
      <c r="AB284" s="26">
        <f>IF(B284="","",ROUND(V284*IF(H284="",0,H284),2))</f>
        <v>0</v>
      </c>
      <c r="AC284" s="26">
        <f>IF(B284="","",ROUND(V284*IF(I284="",0,I284),2))</f>
        <v>0</v>
      </c>
      <c r="AD284" s="27">
        <f>IF(B284="","",IF(IF(I284="",0,I284)=0,"",(I284-IF(H284="",0,H284))/I284))</f>
        <v>0</v>
      </c>
      <c r="AE284" s="26">
        <f>IF(B284="","",IF(H284="","",H284*RetailMarkup))</f>
        <v>0</v>
      </c>
      <c r="AF284" s="26">
        <f>IF(B284="","",IF(AE284="","",ROUND(IF(RoundingRule="None",AE284,IF(RoundingRule="Nearest 0.99",MAX(0.99,CEILING(AE284,1)-0.01),IF(RoundingRule="Nearest 0.95",MAX(0.95,CEILING(AE284,1)-0.05),IF(RoundingRule="Nearest 0.50",CEILING(AE284,0.5),IF(RoundingRule="Nearest 1",CEILING(AE284,1),IF(RoundingRule="Nearest 5",CEILING(AE284,5),IF(RoundingRule="Up to whole 1",CEILING(AE284,1),IF(RoundingRule="Up to whole 5",CEILING(AE284,5),ROUND(AE284,2))))))))),2)))</f>
        <v>0</v>
      </c>
      <c r="AG284" s="26">
        <f>IF(B284="","",ROUND(SUMIFS(Sales!$Y$5:$Y$1204,Sales!$I$5:$I$1204,A284,Sales!$H$5:$H$1204,"Retail"),2))</f>
        <v>0</v>
      </c>
      <c r="AH284" s="26">
        <f>IF(B284="","",ROUND(AG284-U284*IF(H284="",0,H284),2))</f>
        <v>0</v>
      </c>
      <c r="AI284" s="25">
        <f>IF(B284="","",COUNTIFS($AG$5:$AG$304,"&gt;"&amp;AG284)+COUNTIFS($AG$5:AG284,AG284))</f>
        <v>0</v>
      </c>
      <c r="AJ284" s="39">
        <f>IF(B284="","",IF(H284="","Add - no cost, no stock value",IF(Z284="Out of stock","Out of stock - order today",IF(Z284="Low stock","Order - running low",IF(IF(Q284="",FALSE,Q284&lt;=TodayDate+30),"Check - expiring within a month",IF(IF(R284="Yes",AD284&lt;0.25,FALSE),"Below - thin margin for a retail line",IF(IF(P284="",TRUE,TodayDate-P284&gt;90),"Due - not counted in three months","OK")))))))</f>
        <v>0</v>
      </c>
    </row>
    <row r="285" spans="1:36">
      <c r="A285" s="28">
        <f>IF(B285="","",ProductPrefix&amp;TEXT(ROW()-4,"000"))</f>
        <v>0</v>
      </c>
      <c r="T285" s="37">
        <f>IF(B285="","",ROUND(SUMIFS(Purchases!$U$5:$U$304,Purchases!$D$5:$D$304,A285),2))</f>
        <v>0</v>
      </c>
      <c r="U285" s="37">
        <f>IF(B285="","",ROUND(SUMIFS(Sales!$T$5:$T$1204,Sales!$I$5:$I$1204,A285,Sales!$H$5:$H$1204,"Retail"),2))</f>
        <v>0</v>
      </c>
      <c r="V285" s="37">
        <f>IF(B285="","",ROUND(IF(J285="",0,J285)+T285-IF(K285="",0,K285)-U285-IF(L285="",0,L285)+IF(M285="",0,M285),2))</f>
        <v>0</v>
      </c>
      <c r="W285" s="37">
        <f>IF(B285="","",ROUND((U285+IF(K285="",0,K285))/MAX(4,TrackingWeeks),2))</f>
        <v>0</v>
      </c>
      <c r="X285" s="37">
        <f>IF(B285="","",IF(W285&lt;=0,"",ROUND(V285/W285,1)))</f>
        <v>0</v>
      </c>
      <c r="Y285" s="37">
        <f>IF(B285="","",IF(N285&lt;&gt;"",N285,ROUND(W285*StockWarningWeeks,1)))</f>
        <v>0</v>
      </c>
      <c r="Z285" s="39">
        <f>IF(B285="","",IF(V285&lt;=0,"Out of stock",IF(V285&lt;=Y285,"Low stock",IF(R285="No","Backbar","In stock"))))</f>
        <v>0</v>
      </c>
      <c r="AA285" s="37">
        <f>IF(B285="","",IF(Z285="In stock","",IF(Z285="Backbar",IF(V285&lt;=Y285,MAX(1,IF(O285="",ROUND(W285*ReorderWeeks,0),O285)),""),MAX(1,IF(O285="",ROUND(W285*ReorderWeeks,0),O285)))))</f>
        <v>0</v>
      </c>
      <c r="AB285" s="26">
        <f>IF(B285="","",ROUND(V285*IF(H285="",0,H285),2))</f>
        <v>0</v>
      </c>
      <c r="AC285" s="26">
        <f>IF(B285="","",ROUND(V285*IF(I285="",0,I285),2))</f>
        <v>0</v>
      </c>
      <c r="AD285" s="27">
        <f>IF(B285="","",IF(IF(I285="",0,I285)=0,"",(I285-IF(H285="",0,H285))/I285))</f>
        <v>0</v>
      </c>
      <c r="AE285" s="26">
        <f>IF(B285="","",IF(H285="","",H285*RetailMarkup))</f>
        <v>0</v>
      </c>
      <c r="AF285" s="26">
        <f>IF(B285="","",IF(AE285="","",ROUND(IF(RoundingRule="None",AE285,IF(RoundingRule="Nearest 0.99",MAX(0.99,CEILING(AE285,1)-0.01),IF(RoundingRule="Nearest 0.95",MAX(0.95,CEILING(AE285,1)-0.05),IF(RoundingRule="Nearest 0.50",CEILING(AE285,0.5),IF(RoundingRule="Nearest 1",CEILING(AE285,1),IF(RoundingRule="Nearest 5",CEILING(AE285,5),IF(RoundingRule="Up to whole 1",CEILING(AE285,1),IF(RoundingRule="Up to whole 5",CEILING(AE285,5),ROUND(AE285,2))))))))),2)))</f>
        <v>0</v>
      </c>
      <c r="AG285" s="26">
        <f>IF(B285="","",ROUND(SUMIFS(Sales!$Y$5:$Y$1204,Sales!$I$5:$I$1204,A285,Sales!$H$5:$H$1204,"Retail"),2))</f>
        <v>0</v>
      </c>
      <c r="AH285" s="26">
        <f>IF(B285="","",ROUND(AG285-U285*IF(H285="",0,H285),2))</f>
        <v>0</v>
      </c>
      <c r="AI285" s="25">
        <f>IF(B285="","",COUNTIFS($AG$5:$AG$304,"&gt;"&amp;AG285)+COUNTIFS($AG$5:AG285,AG285))</f>
        <v>0</v>
      </c>
      <c r="AJ285" s="39">
        <f>IF(B285="","",IF(H285="","Add - no cost, no stock value",IF(Z285="Out of stock","Out of stock - order today",IF(Z285="Low stock","Order - running low",IF(IF(Q285="",FALSE,Q285&lt;=TodayDate+30),"Check - expiring within a month",IF(IF(R285="Yes",AD285&lt;0.25,FALSE),"Below - thin margin for a retail line",IF(IF(P285="",TRUE,TodayDate-P285&gt;90),"Due - not counted in three months","OK")))))))</f>
        <v>0</v>
      </c>
    </row>
    <row r="286" spans="1:36">
      <c r="A286" s="28">
        <f>IF(B286="","",ProductPrefix&amp;TEXT(ROW()-4,"000"))</f>
        <v>0</v>
      </c>
      <c r="T286" s="37">
        <f>IF(B286="","",ROUND(SUMIFS(Purchases!$U$5:$U$304,Purchases!$D$5:$D$304,A286),2))</f>
        <v>0</v>
      </c>
      <c r="U286" s="37">
        <f>IF(B286="","",ROUND(SUMIFS(Sales!$T$5:$T$1204,Sales!$I$5:$I$1204,A286,Sales!$H$5:$H$1204,"Retail"),2))</f>
        <v>0</v>
      </c>
      <c r="V286" s="37">
        <f>IF(B286="","",ROUND(IF(J286="",0,J286)+T286-IF(K286="",0,K286)-U286-IF(L286="",0,L286)+IF(M286="",0,M286),2))</f>
        <v>0</v>
      </c>
      <c r="W286" s="37">
        <f>IF(B286="","",ROUND((U286+IF(K286="",0,K286))/MAX(4,TrackingWeeks),2))</f>
        <v>0</v>
      </c>
      <c r="X286" s="37">
        <f>IF(B286="","",IF(W286&lt;=0,"",ROUND(V286/W286,1)))</f>
        <v>0</v>
      </c>
      <c r="Y286" s="37">
        <f>IF(B286="","",IF(N286&lt;&gt;"",N286,ROUND(W286*StockWarningWeeks,1)))</f>
        <v>0</v>
      </c>
      <c r="Z286" s="39">
        <f>IF(B286="","",IF(V286&lt;=0,"Out of stock",IF(V286&lt;=Y286,"Low stock",IF(R286="No","Backbar","In stock"))))</f>
        <v>0</v>
      </c>
      <c r="AA286" s="37">
        <f>IF(B286="","",IF(Z286="In stock","",IF(Z286="Backbar",IF(V286&lt;=Y286,MAX(1,IF(O286="",ROUND(W286*ReorderWeeks,0),O286)),""),MAX(1,IF(O286="",ROUND(W286*ReorderWeeks,0),O286)))))</f>
        <v>0</v>
      </c>
      <c r="AB286" s="26">
        <f>IF(B286="","",ROUND(V286*IF(H286="",0,H286),2))</f>
        <v>0</v>
      </c>
      <c r="AC286" s="26">
        <f>IF(B286="","",ROUND(V286*IF(I286="",0,I286),2))</f>
        <v>0</v>
      </c>
      <c r="AD286" s="27">
        <f>IF(B286="","",IF(IF(I286="",0,I286)=0,"",(I286-IF(H286="",0,H286))/I286))</f>
        <v>0</v>
      </c>
      <c r="AE286" s="26">
        <f>IF(B286="","",IF(H286="","",H286*RetailMarkup))</f>
        <v>0</v>
      </c>
      <c r="AF286" s="26">
        <f>IF(B286="","",IF(AE286="","",ROUND(IF(RoundingRule="None",AE286,IF(RoundingRule="Nearest 0.99",MAX(0.99,CEILING(AE286,1)-0.01),IF(RoundingRule="Nearest 0.95",MAX(0.95,CEILING(AE286,1)-0.05),IF(RoundingRule="Nearest 0.50",CEILING(AE286,0.5),IF(RoundingRule="Nearest 1",CEILING(AE286,1),IF(RoundingRule="Nearest 5",CEILING(AE286,5),IF(RoundingRule="Up to whole 1",CEILING(AE286,1),IF(RoundingRule="Up to whole 5",CEILING(AE286,5),ROUND(AE286,2))))))))),2)))</f>
        <v>0</v>
      </c>
      <c r="AG286" s="26">
        <f>IF(B286="","",ROUND(SUMIFS(Sales!$Y$5:$Y$1204,Sales!$I$5:$I$1204,A286,Sales!$H$5:$H$1204,"Retail"),2))</f>
        <v>0</v>
      </c>
      <c r="AH286" s="26">
        <f>IF(B286="","",ROUND(AG286-U286*IF(H286="",0,H286),2))</f>
        <v>0</v>
      </c>
      <c r="AI286" s="25">
        <f>IF(B286="","",COUNTIFS($AG$5:$AG$304,"&gt;"&amp;AG286)+COUNTIFS($AG$5:AG286,AG286))</f>
        <v>0</v>
      </c>
      <c r="AJ286" s="39">
        <f>IF(B286="","",IF(H286="","Add - no cost, no stock value",IF(Z286="Out of stock","Out of stock - order today",IF(Z286="Low stock","Order - running low",IF(IF(Q286="",FALSE,Q286&lt;=TodayDate+30),"Check - expiring within a month",IF(IF(R286="Yes",AD286&lt;0.25,FALSE),"Below - thin margin for a retail line",IF(IF(P286="",TRUE,TodayDate-P286&gt;90),"Due - not counted in three months","OK")))))))</f>
        <v>0</v>
      </c>
    </row>
    <row r="287" spans="1:36">
      <c r="A287" s="28">
        <f>IF(B287="","",ProductPrefix&amp;TEXT(ROW()-4,"000"))</f>
        <v>0</v>
      </c>
      <c r="T287" s="37">
        <f>IF(B287="","",ROUND(SUMIFS(Purchases!$U$5:$U$304,Purchases!$D$5:$D$304,A287),2))</f>
        <v>0</v>
      </c>
      <c r="U287" s="37">
        <f>IF(B287="","",ROUND(SUMIFS(Sales!$T$5:$T$1204,Sales!$I$5:$I$1204,A287,Sales!$H$5:$H$1204,"Retail"),2))</f>
        <v>0</v>
      </c>
      <c r="V287" s="37">
        <f>IF(B287="","",ROUND(IF(J287="",0,J287)+T287-IF(K287="",0,K287)-U287-IF(L287="",0,L287)+IF(M287="",0,M287),2))</f>
        <v>0</v>
      </c>
      <c r="W287" s="37">
        <f>IF(B287="","",ROUND((U287+IF(K287="",0,K287))/MAX(4,TrackingWeeks),2))</f>
        <v>0</v>
      </c>
      <c r="X287" s="37">
        <f>IF(B287="","",IF(W287&lt;=0,"",ROUND(V287/W287,1)))</f>
        <v>0</v>
      </c>
      <c r="Y287" s="37">
        <f>IF(B287="","",IF(N287&lt;&gt;"",N287,ROUND(W287*StockWarningWeeks,1)))</f>
        <v>0</v>
      </c>
      <c r="Z287" s="39">
        <f>IF(B287="","",IF(V287&lt;=0,"Out of stock",IF(V287&lt;=Y287,"Low stock",IF(R287="No","Backbar","In stock"))))</f>
        <v>0</v>
      </c>
      <c r="AA287" s="37">
        <f>IF(B287="","",IF(Z287="In stock","",IF(Z287="Backbar",IF(V287&lt;=Y287,MAX(1,IF(O287="",ROUND(W287*ReorderWeeks,0),O287)),""),MAX(1,IF(O287="",ROUND(W287*ReorderWeeks,0),O287)))))</f>
        <v>0</v>
      </c>
      <c r="AB287" s="26">
        <f>IF(B287="","",ROUND(V287*IF(H287="",0,H287),2))</f>
        <v>0</v>
      </c>
      <c r="AC287" s="26">
        <f>IF(B287="","",ROUND(V287*IF(I287="",0,I287),2))</f>
        <v>0</v>
      </c>
      <c r="AD287" s="27">
        <f>IF(B287="","",IF(IF(I287="",0,I287)=0,"",(I287-IF(H287="",0,H287))/I287))</f>
        <v>0</v>
      </c>
      <c r="AE287" s="26">
        <f>IF(B287="","",IF(H287="","",H287*RetailMarkup))</f>
        <v>0</v>
      </c>
      <c r="AF287" s="26">
        <f>IF(B287="","",IF(AE287="","",ROUND(IF(RoundingRule="None",AE287,IF(RoundingRule="Nearest 0.99",MAX(0.99,CEILING(AE287,1)-0.01),IF(RoundingRule="Nearest 0.95",MAX(0.95,CEILING(AE287,1)-0.05),IF(RoundingRule="Nearest 0.50",CEILING(AE287,0.5),IF(RoundingRule="Nearest 1",CEILING(AE287,1),IF(RoundingRule="Nearest 5",CEILING(AE287,5),IF(RoundingRule="Up to whole 1",CEILING(AE287,1),IF(RoundingRule="Up to whole 5",CEILING(AE287,5),ROUND(AE287,2))))))))),2)))</f>
        <v>0</v>
      </c>
      <c r="AG287" s="26">
        <f>IF(B287="","",ROUND(SUMIFS(Sales!$Y$5:$Y$1204,Sales!$I$5:$I$1204,A287,Sales!$H$5:$H$1204,"Retail"),2))</f>
        <v>0</v>
      </c>
      <c r="AH287" s="26">
        <f>IF(B287="","",ROUND(AG287-U287*IF(H287="",0,H287),2))</f>
        <v>0</v>
      </c>
      <c r="AI287" s="25">
        <f>IF(B287="","",COUNTIFS($AG$5:$AG$304,"&gt;"&amp;AG287)+COUNTIFS($AG$5:AG287,AG287))</f>
        <v>0</v>
      </c>
      <c r="AJ287" s="39">
        <f>IF(B287="","",IF(H287="","Add - no cost, no stock value",IF(Z287="Out of stock","Out of stock - order today",IF(Z287="Low stock","Order - running low",IF(IF(Q287="",FALSE,Q287&lt;=TodayDate+30),"Check - expiring within a month",IF(IF(R287="Yes",AD287&lt;0.25,FALSE),"Below - thin margin for a retail line",IF(IF(P287="",TRUE,TodayDate-P287&gt;90),"Due - not counted in three months","OK")))))))</f>
        <v>0</v>
      </c>
    </row>
    <row r="288" spans="1:36">
      <c r="A288" s="28">
        <f>IF(B288="","",ProductPrefix&amp;TEXT(ROW()-4,"000"))</f>
        <v>0</v>
      </c>
      <c r="T288" s="37">
        <f>IF(B288="","",ROUND(SUMIFS(Purchases!$U$5:$U$304,Purchases!$D$5:$D$304,A288),2))</f>
        <v>0</v>
      </c>
      <c r="U288" s="37">
        <f>IF(B288="","",ROUND(SUMIFS(Sales!$T$5:$T$1204,Sales!$I$5:$I$1204,A288,Sales!$H$5:$H$1204,"Retail"),2))</f>
        <v>0</v>
      </c>
      <c r="V288" s="37">
        <f>IF(B288="","",ROUND(IF(J288="",0,J288)+T288-IF(K288="",0,K288)-U288-IF(L288="",0,L288)+IF(M288="",0,M288),2))</f>
        <v>0</v>
      </c>
      <c r="W288" s="37">
        <f>IF(B288="","",ROUND((U288+IF(K288="",0,K288))/MAX(4,TrackingWeeks),2))</f>
        <v>0</v>
      </c>
      <c r="X288" s="37">
        <f>IF(B288="","",IF(W288&lt;=0,"",ROUND(V288/W288,1)))</f>
        <v>0</v>
      </c>
      <c r="Y288" s="37">
        <f>IF(B288="","",IF(N288&lt;&gt;"",N288,ROUND(W288*StockWarningWeeks,1)))</f>
        <v>0</v>
      </c>
      <c r="Z288" s="39">
        <f>IF(B288="","",IF(V288&lt;=0,"Out of stock",IF(V288&lt;=Y288,"Low stock",IF(R288="No","Backbar","In stock"))))</f>
        <v>0</v>
      </c>
      <c r="AA288" s="37">
        <f>IF(B288="","",IF(Z288="In stock","",IF(Z288="Backbar",IF(V288&lt;=Y288,MAX(1,IF(O288="",ROUND(W288*ReorderWeeks,0),O288)),""),MAX(1,IF(O288="",ROUND(W288*ReorderWeeks,0),O288)))))</f>
        <v>0</v>
      </c>
      <c r="AB288" s="26">
        <f>IF(B288="","",ROUND(V288*IF(H288="",0,H288),2))</f>
        <v>0</v>
      </c>
      <c r="AC288" s="26">
        <f>IF(B288="","",ROUND(V288*IF(I288="",0,I288),2))</f>
        <v>0</v>
      </c>
      <c r="AD288" s="27">
        <f>IF(B288="","",IF(IF(I288="",0,I288)=0,"",(I288-IF(H288="",0,H288))/I288))</f>
        <v>0</v>
      </c>
      <c r="AE288" s="26">
        <f>IF(B288="","",IF(H288="","",H288*RetailMarkup))</f>
        <v>0</v>
      </c>
      <c r="AF288" s="26">
        <f>IF(B288="","",IF(AE288="","",ROUND(IF(RoundingRule="None",AE288,IF(RoundingRule="Nearest 0.99",MAX(0.99,CEILING(AE288,1)-0.01),IF(RoundingRule="Nearest 0.95",MAX(0.95,CEILING(AE288,1)-0.05),IF(RoundingRule="Nearest 0.50",CEILING(AE288,0.5),IF(RoundingRule="Nearest 1",CEILING(AE288,1),IF(RoundingRule="Nearest 5",CEILING(AE288,5),IF(RoundingRule="Up to whole 1",CEILING(AE288,1),IF(RoundingRule="Up to whole 5",CEILING(AE288,5),ROUND(AE288,2))))))))),2)))</f>
        <v>0</v>
      </c>
      <c r="AG288" s="26">
        <f>IF(B288="","",ROUND(SUMIFS(Sales!$Y$5:$Y$1204,Sales!$I$5:$I$1204,A288,Sales!$H$5:$H$1204,"Retail"),2))</f>
        <v>0</v>
      </c>
      <c r="AH288" s="26">
        <f>IF(B288="","",ROUND(AG288-U288*IF(H288="",0,H288),2))</f>
        <v>0</v>
      </c>
      <c r="AI288" s="25">
        <f>IF(B288="","",COUNTIFS($AG$5:$AG$304,"&gt;"&amp;AG288)+COUNTIFS($AG$5:AG288,AG288))</f>
        <v>0</v>
      </c>
      <c r="AJ288" s="39">
        <f>IF(B288="","",IF(H288="","Add - no cost, no stock value",IF(Z288="Out of stock","Out of stock - order today",IF(Z288="Low stock","Order - running low",IF(IF(Q288="",FALSE,Q288&lt;=TodayDate+30),"Check - expiring within a month",IF(IF(R288="Yes",AD288&lt;0.25,FALSE),"Below - thin margin for a retail line",IF(IF(P288="",TRUE,TodayDate-P288&gt;90),"Due - not counted in three months","OK")))))))</f>
        <v>0</v>
      </c>
    </row>
    <row r="289" spans="1:36">
      <c r="A289" s="28">
        <f>IF(B289="","",ProductPrefix&amp;TEXT(ROW()-4,"000"))</f>
        <v>0</v>
      </c>
      <c r="T289" s="37">
        <f>IF(B289="","",ROUND(SUMIFS(Purchases!$U$5:$U$304,Purchases!$D$5:$D$304,A289),2))</f>
        <v>0</v>
      </c>
      <c r="U289" s="37">
        <f>IF(B289="","",ROUND(SUMIFS(Sales!$T$5:$T$1204,Sales!$I$5:$I$1204,A289,Sales!$H$5:$H$1204,"Retail"),2))</f>
        <v>0</v>
      </c>
      <c r="V289" s="37">
        <f>IF(B289="","",ROUND(IF(J289="",0,J289)+T289-IF(K289="",0,K289)-U289-IF(L289="",0,L289)+IF(M289="",0,M289),2))</f>
        <v>0</v>
      </c>
      <c r="W289" s="37">
        <f>IF(B289="","",ROUND((U289+IF(K289="",0,K289))/MAX(4,TrackingWeeks),2))</f>
        <v>0</v>
      </c>
      <c r="X289" s="37">
        <f>IF(B289="","",IF(W289&lt;=0,"",ROUND(V289/W289,1)))</f>
        <v>0</v>
      </c>
      <c r="Y289" s="37">
        <f>IF(B289="","",IF(N289&lt;&gt;"",N289,ROUND(W289*StockWarningWeeks,1)))</f>
        <v>0</v>
      </c>
      <c r="Z289" s="39">
        <f>IF(B289="","",IF(V289&lt;=0,"Out of stock",IF(V289&lt;=Y289,"Low stock",IF(R289="No","Backbar","In stock"))))</f>
        <v>0</v>
      </c>
      <c r="AA289" s="37">
        <f>IF(B289="","",IF(Z289="In stock","",IF(Z289="Backbar",IF(V289&lt;=Y289,MAX(1,IF(O289="",ROUND(W289*ReorderWeeks,0),O289)),""),MAX(1,IF(O289="",ROUND(W289*ReorderWeeks,0),O289)))))</f>
        <v>0</v>
      </c>
      <c r="AB289" s="26">
        <f>IF(B289="","",ROUND(V289*IF(H289="",0,H289),2))</f>
        <v>0</v>
      </c>
      <c r="AC289" s="26">
        <f>IF(B289="","",ROUND(V289*IF(I289="",0,I289),2))</f>
        <v>0</v>
      </c>
      <c r="AD289" s="27">
        <f>IF(B289="","",IF(IF(I289="",0,I289)=0,"",(I289-IF(H289="",0,H289))/I289))</f>
        <v>0</v>
      </c>
      <c r="AE289" s="26">
        <f>IF(B289="","",IF(H289="","",H289*RetailMarkup))</f>
        <v>0</v>
      </c>
      <c r="AF289" s="26">
        <f>IF(B289="","",IF(AE289="","",ROUND(IF(RoundingRule="None",AE289,IF(RoundingRule="Nearest 0.99",MAX(0.99,CEILING(AE289,1)-0.01),IF(RoundingRule="Nearest 0.95",MAX(0.95,CEILING(AE289,1)-0.05),IF(RoundingRule="Nearest 0.50",CEILING(AE289,0.5),IF(RoundingRule="Nearest 1",CEILING(AE289,1),IF(RoundingRule="Nearest 5",CEILING(AE289,5),IF(RoundingRule="Up to whole 1",CEILING(AE289,1),IF(RoundingRule="Up to whole 5",CEILING(AE289,5),ROUND(AE289,2))))))))),2)))</f>
        <v>0</v>
      </c>
      <c r="AG289" s="26">
        <f>IF(B289="","",ROUND(SUMIFS(Sales!$Y$5:$Y$1204,Sales!$I$5:$I$1204,A289,Sales!$H$5:$H$1204,"Retail"),2))</f>
        <v>0</v>
      </c>
      <c r="AH289" s="26">
        <f>IF(B289="","",ROUND(AG289-U289*IF(H289="",0,H289),2))</f>
        <v>0</v>
      </c>
      <c r="AI289" s="25">
        <f>IF(B289="","",COUNTIFS($AG$5:$AG$304,"&gt;"&amp;AG289)+COUNTIFS($AG$5:AG289,AG289))</f>
        <v>0</v>
      </c>
      <c r="AJ289" s="39">
        <f>IF(B289="","",IF(H289="","Add - no cost, no stock value",IF(Z289="Out of stock","Out of stock - order today",IF(Z289="Low stock","Order - running low",IF(IF(Q289="",FALSE,Q289&lt;=TodayDate+30),"Check - expiring within a month",IF(IF(R289="Yes",AD289&lt;0.25,FALSE),"Below - thin margin for a retail line",IF(IF(P289="",TRUE,TodayDate-P289&gt;90),"Due - not counted in three months","OK")))))))</f>
        <v>0</v>
      </c>
    </row>
    <row r="290" spans="1:36">
      <c r="A290" s="28">
        <f>IF(B290="","",ProductPrefix&amp;TEXT(ROW()-4,"000"))</f>
        <v>0</v>
      </c>
      <c r="T290" s="37">
        <f>IF(B290="","",ROUND(SUMIFS(Purchases!$U$5:$U$304,Purchases!$D$5:$D$304,A290),2))</f>
        <v>0</v>
      </c>
      <c r="U290" s="37">
        <f>IF(B290="","",ROUND(SUMIFS(Sales!$T$5:$T$1204,Sales!$I$5:$I$1204,A290,Sales!$H$5:$H$1204,"Retail"),2))</f>
        <v>0</v>
      </c>
      <c r="V290" s="37">
        <f>IF(B290="","",ROUND(IF(J290="",0,J290)+T290-IF(K290="",0,K290)-U290-IF(L290="",0,L290)+IF(M290="",0,M290),2))</f>
        <v>0</v>
      </c>
      <c r="W290" s="37">
        <f>IF(B290="","",ROUND((U290+IF(K290="",0,K290))/MAX(4,TrackingWeeks),2))</f>
        <v>0</v>
      </c>
      <c r="X290" s="37">
        <f>IF(B290="","",IF(W290&lt;=0,"",ROUND(V290/W290,1)))</f>
        <v>0</v>
      </c>
      <c r="Y290" s="37">
        <f>IF(B290="","",IF(N290&lt;&gt;"",N290,ROUND(W290*StockWarningWeeks,1)))</f>
        <v>0</v>
      </c>
      <c r="Z290" s="39">
        <f>IF(B290="","",IF(V290&lt;=0,"Out of stock",IF(V290&lt;=Y290,"Low stock",IF(R290="No","Backbar","In stock"))))</f>
        <v>0</v>
      </c>
      <c r="AA290" s="37">
        <f>IF(B290="","",IF(Z290="In stock","",IF(Z290="Backbar",IF(V290&lt;=Y290,MAX(1,IF(O290="",ROUND(W290*ReorderWeeks,0),O290)),""),MAX(1,IF(O290="",ROUND(W290*ReorderWeeks,0),O290)))))</f>
        <v>0</v>
      </c>
      <c r="AB290" s="26">
        <f>IF(B290="","",ROUND(V290*IF(H290="",0,H290),2))</f>
        <v>0</v>
      </c>
      <c r="AC290" s="26">
        <f>IF(B290="","",ROUND(V290*IF(I290="",0,I290),2))</f>
        <v>0</v>
      </c>
      <c r="AD290" s="27">
        <f>IF(B290="","",IF(IF(I290="",0,I290)=0,"",(I290-IF(H290="",0,H290))/I290))</f>
        <v>0</v>
      </c>
      <c r="AE290" s="26">
        <f>IF(B290="","",IF(H290="","",H290*RetailMarkup))</f>
        <v>0</v>
      </c>
      <c r="AF290" s="26">
        <f>IF(B290="","",IF(AE290="","",ROUND(IF(RoundingRule="None",AE290,IF(RoundingRule="Nearest 0.99",MAX(0.99,CEILING(AE290,1)-0.01),IF(RoundingRule="Nearest 0.95",MAX(0.95,CEILING(AE290,1)-0.05),IF(RoundingRule="Nearest 0.50",CEILING(AE290,0.5),IF(RoundingRule="Nearest 1",CEILING(AE290,1),IF(RoundingRule="Nearest 5",CEILING(AE290,5),IF(RoundingRule="Up to whole 1",CEILING(AE290,1),IF(RoundingRule="Up to whole 5",CEILING(AE290,5),ROUND(AE290,2))))))))),2)))</f>
        <v>0</v>
      </c>
      <c r="AG290" s="26">
        <f>IF(B290="","",ROUND(SUMIFS(Sales!$Y$5:$Y$1204,Sales!$I$5:$I$1204,A290,Sales!$H$5:$H$1204,"Retail"),2))</f>
        <v>0</v>
      </c>
      <c r="AH290" s="26">
        <f>IF(B290="","",ROUND(AG290-U290*IF(H290="",0,H290),2))</f>
        <v>0</v>
      </c>
      <c r="AI290" s="25">
        <f>IF(B290="","",COUNTIFS($AG$5:$AG$304,"&gt;"&amp;AG290)+COUNTIFS($AG$5:AG290,AG290))</f>
        <v>0</v>
      </c>
      <c r="AJ290" s="39">
        <f>IF(B290="","",IF(H290="","Add - no cost, no stock value",IF(Z290="Out of stock","Out of stock - order today",IF(Z290="Low stock","Order - running low",IF(IF(Q290="",FALSE,Q290&lt;=TodayDate+30),"Check - expiring within a month",IF(IF(R290="Yes",AD290&lt;0.25,FALSE),"Below - thin margin for a retail line",IF(IF(P290="",TRUE,TodayDate-P290&gt;90),"Due - not counted in three months","OK")))))))</f>
        <v>0</v>
      </c>
    </row>
    <row r="291" spans="1:36">
      <c r="A291" s="28">
        <f>IF(B291="","",ProductPrefix&amp;TEXT(ROW()-4,"000"))</f>
        <v>0</v>
      </c>
      <c r="T291" s="37">
        <f>IF(B291="","",ROUND(SUMIFS(Purchases!$U$5:$U$304,Purchases!$D$5:$D$304,A291),2))</f>
        <v>0</v>
      </c>
      <c r="U291" s="37">
        <f>IF(B291="","",ROUND(SUMIFS(Sales!$T$5:$T$1204,Sales!$I$5:$I$1204,A291,Sales!$H$5:$H$1204,"Retail"),2))</f>
        <v>0</v>
      </c>
      <c r="V291" s="37">
        <f>IF(B291="","",ROUND(IF(J291="",0,J291)+T291-IF(K291="",0,K291)-U291-IF(L291="",0,L291)+IF(M291="",0,M291),2))</f>
        <v>0</v>
      </c>
      <c r="W291" s="37">
        <f>IF(B291="","",ROUND((U291+IF(K291="",0,K291))/MAX(4,TrackingWeeks),2))</f>
        <v>0</v>
      </c>
      <c r="X291" s="37">
        <f>IF(B291="","",IF(W291&lt;=0,"",ROUND(V291/W291,1)))</f>
        <v>0</v>
      </c>
      <c r="Y291" s="37">
        <f>IF(B291="","",IF(N291&lt;&gt;"",N291,ROUND(W291*StockWarningWeeks,1)))</f>
        <v>0</v>
      </c>
      <c r="Z291" s="39">
        <f>IF(B291="","",IF(V291&lt;=0,"Out of stock",IF(V291&lt;=Y291,"Low stock",IF(R291="No","Backbar","In stock"))))</f>
        <v>0</v>
      </c>
      <c r="AA291" s="37">
        <f>IF(B291="","",IF(Z291="In stock","",IF(Z291="Backbar",IF(V291&lt;=Y291,MAX(1,IF(O291="",ROUND(W291*ReorderWeeks,0),O291)),""),MAX(1,IF(O291="",ROUND(W291*ReorderWeeks,0),O291)))))</f>
        <v>0</v>
      </c>
      <c r="AB291" s="26">
        <f>IF(B291="","",ROUND(V291*IF(H291="",0,H291),2))</f>
        <v>0</v>
      </c>
      <c r="AC291" s="26">
        <f>IF(B291="","",ROUND(V291*IF(I291="",0,I291),2))</f>
        <v>0</v>
      </c>
      <c r="AD291" s="27">
        <f>IF(B291="","",IF(IF(I291="",0,I291)=0,"",(I291-IF(H291="",0,H291))/I291))</f>
        <v>0</v>
      </c>
      <c r="AE291" s="26">
        <f>IF(B291="","",IF(H291="","",H291*RetailMarkup))</f>
        <v>0</v>
      </c>
      <c r="AF291" s="26">
        <f>IF(B291="","",IF(AE291="","",ROUND(IF(RoundingRule="None",AE291,IF(RoundingRule="Nearest 0.99",MAX(0.99,CEILING(AE291,1)-0.01),IF(RoundingRule="Nearest 0.95",MAX(0.95,CEILING(AE291,1)-0.05),IF(RoundingRule="Nearest 0.50",CEILING(AE291,0.5),IF(RoundingRule="Nearest 1",CEILING(AE291,1),IF(RoundingRule="Nearest 5",CEILING(AE291,5),IF(RoundingRule="Up to whole 1",CEILING(AE291,1),IF(RoundingRule="Up to whole 5",CEILING(AE291,5),ROUND(AE291,2))))))))),2)))</f>
        <v>0</v>
      </c>
      <c r="AG291" s="26">
        <f>IF(B291="","",ROUND(SUMIFS(Sales!$Y$5:$Y$1204,Sales!$I$5:$I$1204,A291,Sales!$H$5:$H$1204,"Retail"),2))</f>
        <v>0</v>
      </c>
      <c r="AH291" s="26">
        <f>IF(B291="","",ROUND(AG291-U291*IF(H291="",0,H291),2))</f>
        <v>0</v>
      </c>
      <c r="AI291" s="25">
        <f>IF(B291="","",COUNTIFS($AG$5:$AG$304,"&gt;"&amp;AG291)+COUNTIFS($AG$5:AG291,AG291))</f>
        <v>0</v>
      </c>
      <c r="AJ291" s="39">
        <f>IF(B291="","",IF(H291="","Add - no cost, no stock value",IF(Z291="Out of stock","Out of stock - order today",IF(Z291="Low stock","Order - running low",IF(IF(Q291="",FALSE,Q291&lt;=TodayDate+30),"Check - expiring within a month",IF(IF(R291="Yes",AD291&lt;0.25,FALSE),"Below - thin margin for a retail line",IF(IF(P291="",TRUE,TodayDate-P291&gt;90),"Due - not counted in three months","OK")))))))</f>
        <v>0</v>
      </c>
    </row>
    <row r="292" spans="1:36">
      <c r="A292" s="28">
        <f>IF(B292="","",ProductPrefix&amp;TEXT(ROW()-4,"000"))</f>
        <v>0</v>
      </c>
      <c r="T292" s="37">
        <f>IF(B292="","",ROUND(SUMIFS(Purchases!$U$5:$U$304,Purchases!$D$5:$D$304,A292),2))</f>
        <v>0</v>
      </c>
      <c r="U292" s="37">
        <f>IF(B292="","",ROUND(SUMIFS(Sales!$T$5:$T$1204,Sales!$I$5:$I$1204,A292,Sales!$H$5:$H$1204,"Retail"),2))</f>
        <v>0</v>
      </c>
      <c r="V292" s="37">
        <f>IF(B292="","",ROUND(IF(J292="",0,J292)+T292-IF(K292="",0,K292)-U292-IF(L292="",0,L292)+IF(M292="",0,M292),2))</f>
        <v>0</v>
      </c>
      <c r="W292" s="37">
        <f>IF(B292="","",ROUND((U292+IF(K292="",0,K292))/MAX(4,TrackingWeeks),2))</f>
        <v>0</v>
      </c>
      <c r="X292" s="37">
        <f>IF(B292="","",IF(W292&lt;=0,"",ROUND(V292/W292,1)))</f>
        <v>0</v>
      </c>
      <c r="Y292" s="37">
        <f>IF(B292="","",IF(N292&lt;&gt;"",N292,ROUND(W292*StockWarningWeeks,1)))</f>
        <v>0</v>
      </c>
      <c r="Z292" s="39">
        <f>IF(B292="","",IF(V292&lt;=0,"Out of stock",IF(V292&lt;=Y292,"Low stock",IF(R292="No","Backbar","In stock"))))</f>
        <v>0</v>
      </c>
      <c r="AA292" s="37">
        <f>IF(B292="","",IF(Z292="In stock","",IF(Z292="Backbar",IF(V292&lt;=Y292,MAX(1,IF(O292="",ROUND(W292*ReorderWeeks,0),O292)),""),MAX(1,IF(O292="",ROUND(W292*ReorderWeeks,0),O292)))))</f>
        <v>0</v>
      </c>
      <c r="AB292" s="26">
        <f>IF(B292="","",ROUND(V292*IF(H292="",0,H292),2))</f>
        <v>0</v>
      </c>
      <c r="AC292" s="26">
        <f>IF(B292="","",ROUND(V292*IF(I292="",0,I292),2))</f>
        <v>0</v>
      </c>
      <c r="AD292" s="27">
        <f>IF(B292="","",IF(IF(I292="",0,I292)=0,"",(I292-IF(H292="",0,H292))/I292))</f>
        <v>0</v>
      </c>
      <c r="AE292" s="26">
        <f>IF(B292="","",IF(H292="","",H292*RetailMarkup))</f>
        <v>0</v>
      </c>
      <c r="AF292" s="26">
        <f>IF(B292="","",IF(AE292="","",ROUND(IF(RoundingRule="None",AE292,IF(RoundingRule="Nearest 0.99",MAX(0.99,CEILING(AE292,1)-0.01),IF(RoundingRule="Nearest 0.95",MAX(0.95,CEILING(AE292,1)-0.05),IF(RoundingRule="Nearest 0.50",CEILING(AE292,0.5),IF(RoundingRule="Nearest 1",CEILING(AE292,1),IF(RoundingRule="Nearest 5",CEILING(AE292,5),IF(RoundingRule="Up to whole 1",CEILING(AE292,1),IF(RoundingRule="Up to whole 5",CEILING(AE292,5),ROUND(AE292,2))))))))),2)))</f>
        <v>0</v>
      </c>
      <c r="AG292" s="26">
        <f>IF(B292="","",ROUND(SUMIFS(Sales!$Y$5:$Y$1204,Sales!$I$5:$I$1204,A292,Sales!$H$5:$H$1204,"Retail"),2))</f>
        <v>0</v>
      </c>
      <c r="AH292" s="26">
        <f>IF(B292="","",ROUND(AG292-U292*IF(H292="",0,H292),2))</f>
        <v>0</v>
      </c>
      <c r="AI292" s="25">
        <f>IF(B292="","",COUNTIFS($AG$5:$AG$304,"&gt;"&amp;AG292)+COUNTIFS($AG$5:AG292,AG292))</f>
        <v>0</v>
      </c>
      <c r="AJ292" s="39">
        <f>IF(B292="","",IF(H292="","Add - no cost, no stock value",IF(Z292="Out of stock","Out of stock - order today",IF(Z292="Low stock","Order - running low",IF(IF(Q292="",FALSE,Q292&lt;=TodayDate+30),"Check - expiring within a month",IF(IF(R292="Yes",AD292&lt;0.25,FALSE),"Below - thin margin for a retail line",IF(IF(P292="",TRUE,TodayDate-P292&gt;90),"Due - not counted in three months","OK")))))))</f>
        <v>0</v>
      </c>
    </row>
    <row r="293" spans="1:36">
      <c r="A293" s="28">
        <f>IF(B293="","",ProductPrefix&amp;TEXT(ROW()-4,"000"))</f>
        <v>0</v>
      </c>
      <c r="T293" s="37">
        <f>IF(B293="","",ROUND(SUMIFS(Purchases!$U$5:$U$304,Purchases!$D$5:$D$304,A293),2))</f>
        <v>0</v>
      </c>
      <c r="U293" s="37">
        <f>IF(B293="","",ROUND(SUMIFS(Sales!$T$5:$T$1204,Sales!$I$5:$I$1204,A293,Sales!$H$5:$H$1204,"Retail"),2))</f>
        <v>0</v>
      </c>
      <c r="V293" s="37">
        <f>IF(B293="","",ROUND(IF(J293="",0,J293)+T293-IF(K293="",0,K293)-U293-IF(L293="",0,L293)+IF(M293="",0,M293),2))</f>
        <v>0</v>
      </c>
      <c r="W293" s="37">
        <f>IF(B293="","",ROUND((U293+IF(K293="",0,K293))/MAX(4,TrackingWeeks),2))</f>
        <v>0</v>
      </c>
      <c r="X293" s="37">
        <f>IF(B293="","",IF(W293&lt;=0,"",ROUND(V293/W293,1)))</f>
        <v>0</v>
      </c>
      <c r="Y293" s="37">
        <f>IF(B293="","",IF(N293&lt;&gt;"",N293,ROUND(W293*StockWarningWeeks,1)))</f>
        <v>0</v>
      </c>
      <c r="Z293" s="39">
        <f>IF(B293="","",IF(V293&lt;=0,"Out of stock",IF(V293&lt;=Y293,"Low stock",IF(R293="No","Backbar","In stock"))))</f>
        <v>0</v>
      </c>
      <c r="AA293" s="37">
        <f>IF(B293="","",IF(Z293="In stock","",IF(Z293="Backbar",IF(V293&lt;=Y293,MAX(1,IF(O293="",ROUND(W293*ReorderWeeks,0),O293)),""),MAX(1,IF(O293="",ROUND(W293*ReorderWeeks,0),O293)))))</f>
        <v>0</v>
      </c>
      <c r="AB293" s="26">
        <f>IF(B293="","",ROUND(V293*IF(H293="",0,H293),2))</f>
        <v>0</v>
      </c>
      <c r="AC293" s="26">
        <f>IF(B293="","",ROUND(V293*IF(I293="",0,I293),2))</f>
        <v>0</v>
      </c>
      <c r="AD293" s="27">
        <f>IF(B293="","",IF(IF(I293="",0,I293)=0,"",(I293-IF(H293="",0,H293))/I293))</f>
        <v>0</v>
      </c>
      <c r="AE293" s="26">
        <f>IF(B293="","",IF(H293="","",H293*RetailMarkup))</f>
        <v>0</v>
      </c>
      <c r="AF293" s="26">
        <f>IF(B293="","",IF(AE293="","",ROUND(IF(RoundingRule="None",AE293,IF(RoundingRule="Nearest 0.99",MAX(0.99,CEILING(AE293,1)-0.01),IF(RoundingRule="Nearest 0.95",MAX(0.95,CEILING(AE293,1)-0.05),IF(RoundingRule="Nearest 0.50",CEILING(AE293,0.5),IF(RoundingRule="Nearest 1",CEILING(AE293,1),IF(RoundingRule="Nearest 5",CEILING(AE293,5),IF(RoundingRule="Up to whole 1",CEILING(AE293,1),IF(RoundingRule="Up to whole 5",CEILING(AE293,5),ROUND(AE293,2))))))))),2)))</f>
        <v>0</v>
      </c>
      <c r="AG293" s="26">
        <f>IF(B293="","",ROUND(SUMIFS(Sales!$Y$5:$Y$1204,Sales!$I$5:$I$1204,A293,Sales!$H$5:$H$1204,"Retail"),2))</f>
        <v>0</v>
      </c>
      <c r="AH293" s="26">
        <f>IF(B293="","",ROUND(AG293-U293*IF(H293="",0,H293),2))</f>
        <v>0</v>
      </c>
      <c r="AI293" s="25">
        <f>IF(B293="","",COUNTIFS($AG$5:$AG$304,"&gt;"&amp;AG293)+COUNTIFS($AG$5:AG293,AG293))</f>
        <v>0</v>
      </c>
      <c r="AJ293" s="39">
        <f>IF(B293="","",IF(H293="","Add - no cost, no stock value",IF(Z293="Out of stock","Out of stock - order today",IF(Z293="Low stock","Order - running low",IF(IF(Q293="",FALSE,Q293&lt;=TodayDate+30),"Check - expiring within a month",IF(IF(R293="Yes",AD293&lt;0.25,FALSE),"Below - thin margin for a retail line",IF(IF(P293="",TRUE,TodayDate-P293&gt;90),"Due - not counted in three months","OK")))))))</f>
        <v>0</v>
      </c>
    </row>
    <row r="294" spans="1:36">
      <c r="A294" s="28">
        <f>IF(B294="","",ProductPrefix&amp;TEXT(ROW()-4,"000"))</f>
        <v>0</v>
      </c>
      <c r="T294" s="37">
        <f>IF(B294="","",ROUND(SUMIFS(Purchases!$U$5:$U$304,Purchases!$D$5:$D$304,A294),2))</f>
        <v>0</v>
      </c>
      <c r="U294" s="37">
        <f>IF(B294="","",ROUND(SUMIFS(Sales!$T$5:$T$1204,Sales!$I$5:$I$1204,A294,Sales!$H$5:$H$1204,"Retail"),2))</f>
        <v>0</v>
      </c>
      <c r="V294" s="37">
        <f>IF(B294="","",ROUND(IF(J294="",0,J294)+T294-IF(K294="",0,K294)-U294-IF(L294="",0,L294)+IF(M294="",0,M294),2))</f>
        <v>0</v>
      </c>
      <c r="W294" s="37">
        <f>IF(B294="","",ROUND((U294+IF(K294="",0,K294))/MAX(4,TrackingWeeks),2))</f>
        <v>0</v>
      </c>
      <c r="X294" s="37">
        <f>IF(B294="","",IF(W294&lt;=0,"",ROUND(V294/W294,1)))</f>
        <v>0</v>
      </c>
      <c r="Y294" s="37">
        <f>IF(B294="","",IF(N294&lt;&gt;"",N294,ROUND(W294*StockWarningWeeks,1)))</f>
        <v>0</v>
      </c>
      <c r="Z294" s="39">
        <f>IF(B294="","",IF(V294&lt;=0,"Out of stock",IF(V294&lt;=Y294,"Low stock",IF(R294="No","Backbar","In stock"))))</f>
        <v>0</v>
      </c>
      <c r="AA294" s="37">
        <f>IF(B294="","",IF(Z294="In stock","",IF(Z294="Backbar",IF(V294&lt;=Y294,MAX(1,IF(O294="",ROUND(W294*ReorderWeeks,0),O294)),""),MAX(1,IF(O294="",ROUND(W294*ReorderWeeks,0),O294)))))</f>
        <v>0</v>
      </c>
      <c r="AB294" s="26">
        <f>IF(B294="","",ROUND(V294*IF(H294="",0,H294),2))</f>
        <v>0</v>
      </c>
      <c r="AC294" s="26">
        <f>IF(B294="","",ROUND(V294*IF(I294="",0,I294),2))</f>
        <v>0</v>
      </c>
      <c r="AD294" s="27">
        <f>IF(B294="","",IF(IF(I294="",0,I294)=0,"",(I294-IF(H294="",0,H294))/I294))</f>
        <v>0</v>
      </c>
      <c r="AE294" s="26">
        <f>IF(B294="","",IF(H294="","",H294*RetailMarkup))</f>
        <v>0</v>
      </c>
      <c r="AF294" s="26">
        <f>IF(B294="","",IF(AE294="","",ROUND(IF(RoundingRule="None",AE294,IF(RoundingRule="Nearest 0.99",MAX(0.99,CEILING(AE294,1)-0.01),IF(RoundingRule="Nearest 0.95",MAX(0.95,CEILING(AE294,1)-0.05),IF(RoundingRule="Nearest 0.50",CEILING(AE294,0.5),IF(RoundingRule="Nearest 1",CEILING(AE294,1),IF(RoundingRule="Nearest 5",CEILING(AE294,5),IF(RoundingRule="Up to whole 1",CEILING(AE294,1),IF(RoundingRule="Up to whole 5",CEILING(AE294,5),ROUND(AE294,2))))))))),2)))</f>
        <v>0</v>
      </c>
      <c r="AG294" s="26">
        <f>IF(B294="","",ROUND(SUMIFS(Sales!$Y$5:$Y$1204,Sales!$I$5:$I$1204,A294,Sales!$H$5:$H$1204,"Retail"),2))</f>
        <v>0</v>
      </c>
      <c r="AH294" s="26">
        <f>IF(B294="","",ROUND(AG294-U294*IF(H294="",0,H294),2))</f>
        <v>0</v>
      </c>
      <c r="AI294" s="25">
        <f>IF(B294="","",COUNTIFS($AG$5:$AG$304,"&gt;"&amp;AG294)+COUNTIFS($AG$5:AG294,AG294))</f>
        <v>0</v>
      </c>
      <c r="AJ294" s="39">
        <f>IF(B294="","",IF(H294="","Add - no cost, no stock value",IF(Z294="Out of stock","Out of stock - order today",IF(Z294="Low stock","Order - running low",IF(IF(Q294="",FALSE,Q294&lt;=TodayDate+30),"Check - expiring within a month",IF(IF(R294="Yes",AD294&lt;0.25,FALSE),"Below - thin margin for a retail line",IF(IF(P294="",TRUE,TodayDate-P294&gt;90),"Due - not counted in three months","OK")))))))</f>
        <v>0</v>
      </c>
    </row>
    <row r="295" spans="1:36">
      <c r="A295" s="28">
        <f>IF(B295="","",ProductPrefix&amp;TEXT(ROW()-4,"000"))</f>
        <v>0</v>
      </c>
      <c r="T295" s="37">
        <f>IF(B295="","",ROUND(SUMIFS(Purchases!$U$5:$U$304,Purchases!$D$5:$D$304,A295),2))</f>
        <v>0</v>
      </c>
      <c r="U295" s="37">
        <f>IF(B295="","",ROUND(SUMIFS(Sales!$T$5:$T$1204,Sales!$I$5:$I$1204,A295,Sales!$H$5:$H$1204,"Retail"),2))</f>
        <v>0</v>
      </c>
      <c r="V295" s="37">
        <f>IF(B295="","",ROUND(IF(J295="",0,J295)+T295-IF(K295="",0,K295)-U295-IF(L295="",0,L295)+IF(M295="",0,M295),2))</f>
        <v>0</v>
      </c>
      <c r="W295" s="37">
        <f>IF(B295="","",ROUND((U295+IF(K295="",0,K295))/MAX(4,TrackingWeeks),2))</f>
        <v>0</v>
      </c>
      <c r="X295" s="37">
        <f>IF(B295="","",IF(W295&lt;=0,"",ROUND(V295/W295,1)))</f>
        <v>0</v>
      </c>
      <c r="Y295" s="37">
        <f>IF(B295="","",IF(N295&lt;&gt;"",N295,ROUND(W295*StockWarningWeeks,1)))</f>
        <v>0</v>
      </c>
      <c r="Z295" s="39">
        <f>IF(B295="","",IF(V295&lt;=0,"Out of stock",IF(V295&lt;=Y295,"Low stock",IF(R295="No","Backbar","In stock"))))</f>
        <v>0</v>
      </c>
      <c r="AA295" s="37">
        <f>IF(B295="","",IF(Z295="In stock","",IF(Z295="Backbar",IF(V295&lt;=Y295,MAX(1,IF(O295="",ROUND(W295*ReorderWeeks,0),O295)),""),MAX(1,IF(O295="",ROUND(W295*ReorderWeeks,0),O295)))))</f>
        <v>0</v>
      </c>
      <c r="AB295" s="26">
        <f>IF(B295="","",ROUND(V295*IF(H295="",0,H295),2))</f>
        <v>0</v>
      </c>
      <c r="AC295" s="26">
        <f>IF(B295="","",ROUND(V295*IF(I295="",0,I295),2))</f>
        <v>0</v>
      </c>
      <c r="AD295" s="27">
        <f>IF(B295="","",IF(IF(I295="",0,I295)=0,"",(I295-IF(H295="",0,H295))/I295))</f>
        <v>0</v>
      </c>
      <c r="AE295" s="26">
        <f>IF(B295="","",IF(H295="","",H295*RetailMarkup))</f>
        <v>0</v>
      </c>
      <c r="AF295" s="26">
        <f>IF(B295="","",IF(AE295="","",ROUND(IF(RoundingRule="None",AE295,IF(RoundingRule="Nearest 0.99",MAX(0.99,CEILING(AE295,1)-0.01),IF(RoundingRule="Nearest 0.95",MAX(0.95,CEILING(AE295,1)-0.05),IF(RoundingRule="Nearest 0.50",CEILING(AE295,0.5),IF(RoundingRule="Nearest 1",CEILING(AE295,1),IF(RoundingRule="Nearest 5",CEILING(AE295,5),IF(RoundingRule="Up to whole 1",CEILING(AE295,1),IF(RoundingRule="Up to whole 5",CEILING(AE295,5),ROUND(AE295,2))))))))),2)))</f>
        <v>0</v>
      </c>
      <c r="AG295" s="26">
        <f>IF(B295="","",ROUND(SUMIFS(Sales!$Y$5:$Y$1204,Sales!$I$5:$I$1204,A295,Sales!$H$5:$H$1204,"Retail"),2))</f>
        <v>0</v>
      </c>
      <c r="AH295" s="26">
        <f>IF(B295="","",ROUND(AG295-U295*IF(H295="",0,H295),2))</f>
        <v>0</v>
      </c>
      <c r="AI295" s="25">
        <f>IF(B295="","",COUNTIFS($AG$5:$AG$304,"&gt;"&amp;AG295)+COUNTIFS($AG$5:AG295,AG295))</f>
        <v>0</v>
      </c>
      <c r="AJ295" s="39">
        <f>IF(B295="","",IF(H295="","Add - no cost, no stock value",IF(Z295="Out of stock","Out of stock - order today",IF(Z295="Low stock","Order - running low",IF(IF(Q295="",FALSE,Q295&lt;=TodayDate+30),"Check - expiring within a month",IF(IF(R295="Yes",AD295&lt;0.25,FALSE),"Below - thin margin for a retail line",IF(IF(P295="",TRUE,TodayDate-P295&gt;90),"Due - not counted in three months","OK")))))))</f>
        <v>0</v>
      </c>
    </row>
    <row r="296" spans="1:36">
      <c r="A296" s="28">
        <f>IF(B296="","",ProductPrefix&amp;TEXT(ROW()-4,"000"))</f>
        <v>0</v>
      </c>
      <c r="T296" s="37">
        <f>IF(B296="","",ROUND(SUMIFS(Purchases!$U$5:$U$304,Purchases!$D$5:$D$304,A296),2))</f>
        <v>0</v>
      </c>
      <c r="U296" s="37">
        <f>IF(B296="","",ROUND(SUMIFS(Sales!$T$5:$T$1204,Sales!$I$5:$I$1204,A296,Sales!$H$5:$H$1204,"Retail"),2))</f>
        <v>0</v>
      </c>
      <c r="V296" s="37">
        <f>IF(B296="","",ROUND(IF(J296="",0,J296)+T296-IF(K296="",0,K296)-U296-IF(L296="",0,L296)+IF(M296="",0,M296),2))</f>
        <v>0</v>
      </c>
      <c r="W296" s="37">
        <f>IF(B296="","",ROUND((U296+IF(K296="",0,K296))/MAX(4,TrackingWeeks),2))</f>
        <v>0</v>
      </c>
      <c r="X296" s="37">
        <f>IF(B296="","",IF(W296&lt;=0,"",ROUND(V296/W296,1)))</f>
        <v>0</v>
      </c>
      <c r="Y296" s="37">
        <f>IF(B296="","",IF(N296&lt;&gt;"",N296,ROUND(W296*StockWarningWeeks,1)))</f>
        <v>0</v>
      </c>
      <c r="Z296" s="39">
        <f>IF(B296="","",IF(V296&lt;=0,"Out of stock",IF(V296&lt;=Y296,"Low stock",IF(R296="No","Backbar","In stock"))))</f>
        <v>0</v>
      </c>
      <c r="AA296" s="37">
        <f>IF(B296="","",IF(Z296="In stock","",IF(Z296="Backbar",IF(V296&lt;=Y296,MAX(1,IF(O296="",ROUND(W296*ReorderWeeks,0),O296)),""),MAX(1,IF(O296="",ROUND(W296*ReorderWeeks,0),O296)))))</f>
        <v>0</v>
      </c>
      <c r="AB296" s="26">
        <f>IF(B296="","",ROUND(V296*IF(H296="",0,H296),2))</f>
        <v>0</v>
      </c>
      <c r="AC296" s="26">
        <f>IF(B296="","",ROUND(V296*IF(I296="",0,I296),2))</f>
        <v>0</v>
      </c>
      <c r="AD296" s="27">
        <f>IF(B296="","",IF(IF(I296="",0,I296)=0,"",(I296-IF(H296="",0,H296))/I296))</f>
        <v>0</v>
      </c>
      <c r="AE296" s="26">
        <f>IF(B296="","",IF(H296="","",H296*RetailMarkup))</f>
        <v>0</v>
      </c>
      <c r="AF296" s="26">
        <f>IF(B296="","",IF(AE296="","",ROUND(IF(RoundingRule="None",AE296,IF(RoundingRule="Nearest 0.99",MAX(0.99,CEILING(AE296,1)-0.01),IF(RoundingRule="Nearest 0.95",MAX(0.95,CEILING(AE296,1)-0.05),IF(RoundingRule="Nearest 0.50",CEILING(AE296,0.5),IF(RoundingRule="Nearest 1",CEILING(AE296,1),IF(RoundingRule="Nearest 5",CEILING(AE296,5),IF(RoundingRule="Up to whole 1",CEILING(AE296,1),IF(RoundingRule="Up to whole 5",CEILING(AE296,5),ROUND(AE296,2))))))))),2)))</f>
        <v>0</v>
      </c>
      <c r="AG296" s="26">
        <f>IF(B296="","",ROUND(SUMIFS(Sales!$Y$5:$Y$1204,Sales!$I$5:$I$1204,A296,Sales!$H$5:$H$1204,"Retail"),2))</f>
        <v>0</v>
      </c>
      <c r="AH296" s="26">
        <f>IF(B296="","",ROUND(AG296-U296*IF(H296="",0,H296),2))</f>
        <v>0</v>
      </c>
      <c r="AI296" s="25">
        <f>IF(B296="","",COUNTIFS($AG$5:$AG$304,"&gt;"&amp;AG296)+COUNTIFS($AG$5:AG296,AG296))</f>
        <v>0</v>
      </c>
      <c r="AJ296" s="39">
        <f>IF(B296="","",IF(H296="","Add - no cost, no stock value",IF(Z296="Out of stock","Out of stock - order today",IF(Z296="Low stock","Order - running low",IF(IF(Q296="",FALSE,Q296&lt;=TodayDate+30),"Check - expiring within a month",IF(IF(R296="Yes",AD296&lt;0.25,FALSE),"Below - thin margin for a retail line",IF(IF(P296="",TRUE,TodayDate-P296&gt;90),"Due - not counted in three months","OK")))))))</f>
        <v>0</v>
      </c>
    </row>
    <row r="297" spans="1:36">
      <c r="A297" s="28">
        <f>IF(B297="","",ProductPrefix&amp;TEXT(ROW()-4,"000"))</f>
        <v>0</v>
      </c>
      <c r="T297" s="37">
        <f>IF(B297="","",ROUND(SUMIFS(Purchases!$U$5:$U$304,Purchases!$D$5:$D$304,A297),2))</f>
        <v>0</v>
      </c>
      <c r="U297" s="37">
        <f>IF(B297="","",ROUND(SUMIFS(Sales!$T$5:$T$1204,Sales!$I$5:$I$1204,A297,Sales!$H$5:$H$1204,"Retail"),2))</f>
        <v>0</v>
      </c>
      <c r="V297" s="37">
        <f>IF(B297="","",ROUND(IF(J297="",0,J297)+T297-IF(K297="",0,K297)-U297-IF(L297="",0,L297)+IF(M297="",0,M297),2))</f>
        <v>0</v>
      </c>
      <c r="W297" s="37">
        <f>IF(B297="","",ROUND((U297+IF(K297="",0,K297))/MAX(4,TrackingWeeks),2))</f>
        <v>0</v>
      </c>
      <c r="X297" s="37">
        <f>IF(B297="","",IF(W297&lt;=0,"",ROUND(V297/W297,1)))</f>
        <v>0</v>
      </c>
      <c r="Y297" s="37">
        <f>IF(B297="","",IF(N297&lt;&gt;"",N297,ROUND(W297*StockWarningWeeks,1)))</f>
        <v>0</v>
      </c>
      <c r="Z297" s="39">
        <f>IF(B297="","",IF(V297&lt;=0,"Out of stock",IF(V297&lt;=Y297,"Low stock",IF(R297="No","Backbar","In stock"))))</f>
        <v>0</v>
      </c>
      <c r="AA297" s="37">
        <f>IF(B297="","",IF(Z297="In stock","",IF(Z297="Backbar",IF(V297&lt;=Y297,MAX(1,IF(O297="",ROUND(W297*ReorderWeeks,0),O297)),""),MAX(1,IF(O297="",ROUND(W297*ReorderWeeks,0),O297)))))</f>
        <v>0</v>
      </c>
      <c r="AB297" s="26">
        <f>IF(B297="","",ROUND(V297*IF(H297="",0,H297),2))</f>
        <v>0</v>
      </c>
      <c r="AC297" s="26">
        <f>IF(B297="","",ROUND(V297*IF(I297="",0,I297),2))</f>
        <v>0</v>
      </c>
      <c r="AD297" s="27">
        <f>IF(B297="","",IF(IF(I297="",0,I297)=0,"",(I297-IF(H297="",0,H297))/I297))</f>
        <v>0</v>
      </c>
      <c r="AE297" s="26">
        <f>IF(B297="","",IF(H297="","",H297*RetailMarkup))</f>
        <v>0</v>
      </c>
      <c r="AF297" s="26">
        <f>IF(B297="","",IF(AE297="","",ROUND(IF(RoundingRule="None",AE297,IF(RoundingRule="Nearest 0.99",MAX(0.99,CEILING(AE297,1)-0.01),IF(RoundingRule="Nearest 0.95",MAX(0.95,CEILING(AE297,1)-0.05),IF(RoundingRule="Nearest 0.50",CEILING(AE297,0.5),IF(RoundingRule="Nearest 1",CEILING(AE297,1),IF(RoundingRule="Nearest 5",CEILING(AE297,5),IF(RoundingRule="Up to whole 1",CEILING(AE297,1),IF(RoundingRule="Up to whole 5",CEILING(AE297,5),ROUND(AE297,2))))))))),2)))</f>
        <v>0</v>
      </c>
      <c r="AG297" s="26">
        <f>IF(B297="","",ROUND(SUMIFS(Sales!$Y$5:$Y$1204,Sales!$I$5:$I$1204,A297,Sales!$H$5:$H$1204,"Retail"),2))</f>
        <v>0</v>
      </c>
      <c r="AH297" s="26">
        <f>IF(B297="","",ROUND(AG297-U297*IF(H297="",0,H297),2))</f>
        <v>0</v>
      </c>
      <c r="AI297" s="25">
        <f>IF(B297="","",COUNTIFS($AG$5:$AG$304,"&gt;"&amp;AG297)+COUNTIFS($AG$5:AG297,AG297))</f>
        <v>0</v>
      </c>
      <c r="AJ297" s="39">
        <f>IF(B297="","",IF(H297="","Add - no cost, no stock value",IF(Z297="Out of stock","Out of stock - order today",IF(Z297="Low stock","Order - running low",IF(IF(Q297="",FALSE,Q297&lt;=TodayDate+30),"Check - expiring within a month",IF(IF(R297="Yes",AD297&lt;0.25,FALSE),"Below - thin margin for a retail line",IF(IF(P297="",TRUE,TodayDate-P297&gt;90),"Due - not counted in three months","OK")))))))</f>
        <v>0</v>
      </c>
    </row>
    <row r="298" spans="1:36">
      <c r="A298" s="28">
        <f>IF(B298="","",ProductPrefix&amp;TEXT(ROW()-4,"000"))</f>
        <v>0</v>
      </c>
      <c r="T298" s="37">
        <f>IF(B298="","",ROUND(SUMIFS(Purchases!$U$5:$U$304,Purchases!$D$5:$D$304,A298),2))</f>
        <v>0</v>
      </c>
      <c r="U298" s="37">
        <f>IF(B298="","",ROUND(SUMIFS(Sales!$T$5:$T$1204,Sales!$I$5:$I$1204,A298,Sales!$H$5:$H$1204,"Retail"),2))</f>
        <v>0</v>
      </c>
      <c r="V298" s="37">
        <f>IF(B298="","",ROUND(IF(J298="",0,J298)+T298-IF(K298="",0,K298)-U298-IF(L298="",0,L298)+IF(M298="",0,M298),2))</f>
        <v>0</v>
      </c>
      <c r="W298" s="37">
        <f>IF(B298="","",ROUND((U298+IF(K298="",0,K298))/MAX(4,TrackingWeeks),2))</f>
        <v>0</v>
      </c>
      <c r="X298" s="37">
        <f>IF(B298="","",IF(W298&lt;=0,"",ROUND(V298/W298,1)))</f>
        <v>0</v>
      </c>
      <c r="Y298" s="37">
        <f>IF(B298="","",IF(N298&lt;&gt;"",N298,ROUND(W298*StockWarningWeeks,1)))</f>
        <v>0</v>
      </c>
      <c r="Z298" s="39">
        <f>IF(B298="","",IF(V298&lt;=0,"Out of stock",IF(V298&lt;=Y298,"Low stock",IF(R298="No","Backbar","In stock"))))</f>
        <v>0</v>
      </c>
      <c r="AA298" s="37">
        <f>IF(B298="","",IF(Z298="In stock","",IF(Z298="Backbar",IF(V298&lt;=Y298,MAX(1,IF(O298="",ROUND(W298*ReorderWeeks,0),O298)),""),MAX(1,IF(O298="",ROUND(W298*ReorderWeeks,0),O298)))))</f>
        <v>0</v>
      </c>
      <c r="AB298" s="26">
        <f>IF(B298="","",ROUND(V298*IF(H298="",0,H298),2))</f>
        <v>0</v>
      </c>
      <c r="AC298" s="26">
        <f>IF(B298="","",ROUND(V298*IF(I298="",0,I298),2))</f>
        <v>0</v>
      </c>
      <c r="AD298" s="27">
        <f>IF(B298="","",IF(IF(I298="",0,I298)=0,"",(I298-IF(H298="",0,H298))/I298))</f>
        <v>0</v>
      </c>
      <c r="AE298" s="26">
        <f>IF(B298="","",IF(H298="","",H298*RetailMarkup))</f>
        <v>0</v>
      </c>
      <c r="AF298" s="26">
        <f>IF(B298="","",IF(AE298="","",ROUND(IF(RoundingRule="None",AE298,IF(RoundingRule="Nearest 0.99",MAX(0.99,CEILING(AE298,1)-0.01),IF(RoundingRule="Nearest 0.95",MAX(0.95,CEILING(AE298,1)-0.05),IF(RoundingRule="Nearest 0.50",CEILING(AE298,0.5),IF(RoundingRule="Nearest 1",CEILING(AE298,1),IF(RoundingRule="Nearest 5",CEILING(AE298,5),IF(RoundingRule="Up to whole 1",CEILING(AE298,1),IF(RoundingRule="Up to whole 5",CEILING(AE298,5),ROUND(AE298,2))))))))),2)))</f>
        <v>0</v>
      </c>
      <c r="AG298" s="26">
        <f>IF(B298="","",ROUND(SUMIFS(Sales!$Y$5:$Y$1204,Sales!$I$5:$I$1204,A298,Sales!$H$5:$H$1204,"Retail"),2))</f>
        <v>0</v>
      </c>
      <c r="AH298" s="26">
        <f>IF(B298="","",ROUND(AG298-U298*IF(H298="",0,H298),2))</f>
        <v>0</v>
      </c>
      <c r="AI298" s="25">
        <f>IF(B298="","",COUNTIFS($AG$5:$AG$304,"&gt;"&amp;AG298)+COUNTIFS($AG$5:AG298,AG298))</f>
        <v>0</v>
      </c>
      <c r="AJ298" s="39">
        <f>IF(B298="","",IF(H298="","Add - no cost, no stock value",IF(Z298="Out of stock","Out of stock - order today",IF(Z298="Low stock","Order - running low",IF(IF(Q298="",FALSE,Q298&lt;=TodayDate+30),"Check - expiring within a month",IF(IF(R298="Yes",AD298&lt;0.25,FALSE),"Below - thin margin for a retail line",IF(IF(P298="",TRUE,TodayDate-P298&gt;90),"Due - not counted in three months","OK")))))))</f>
        <v>0</v>
      </c>
    </row>
    <row r="299" spans="1:36">
      <c r="A299" s="28">
        <f>IF(B299="","",ProductPrefix&amp;TEXT(ROW()-4,"000"))</f>
        <v>0</v>
      </c>
      <c r="T299" s="37">
        <f>IF(B299="","",ROUND(SUMIFS(Purchases!$U$5:$U$304,Purchases!$D$5:$D$304,A299),2))</f>
        <v>0</v>
      </c>
      <c r="U299" s="37">
        <f>IF(B299="","",ROUND(SUMIFS(Sales!$T$5:$T$1204,Sales!$I$5:$I$1204,A299,Sales!$H$5:$H$1204,"Retail"),2))</f>
        <v>0</v>
      </c>
      <c r="V299" s="37">
        <f>IF(B299="","",ROUND(IF(J299="",0,J299)+T299-IF(K299="",0,K299)-U299-IF(L299="",0,L299)+IF(M299="",0,M299),2))</f>
        <v>0</v>
      </c>
      <c r="W299" s="37">
        <f>IF(B299="","",ROUND((U299+IF(K299="",0,K299))/MAX(4,TrackingWeeks),2))</f>
        <v>0</v>
      </c>
      <c r="X299" s="37">
        <f>IF(B299="","",IF(W299&lt;=0,"",ROUND(V299/W299,1)))</f>
        <v>0</v>
      </c>
      <c r="Y299" s="37">
        <f>IF(B299="","",IF(N299&lt;&gt;"",N299,ROUND(W299*StockWarningWeeks,1)))</f>
        <v>0</v>
      </c>
      <c r="Z299" s="39">
        <f>IF(B299="","",IF(V299&lt;=0,"Out of stock",IF(V299&lt;=Y299,"Low stock",IF(R299="No","Backbar","In stock"))))</f>
        <v>0</v>
      </c>
      <c r="AA299" s="37">
        <f>IF(B299="","",IF(Z299="In stock","",IF(Z299="Backbar",IF(V299&lt;=Y299,MAX(1,IF(O299="",ROUND(W299*ReorderWeeks,0),O299)),""),MAX(1,IF(O299="",ROUND(W299*ReorderWeeks,0),O299)))))</f>
        <v>0</v>
      </c>
      <c r="AB299" s="26">
        <f>IF(B299="","",ROUND(V299*IF(H299="",0,H299),2))</f>
        <v>0</v>
      </c>
      <c r="AC299" s="26">
        <f>IF(B299="","",ROUND(V299*IF(I299="",0,I299),2))</f>
        <v>0</v>
      </c>
      <c r="AD299" s="27">
        <f>IF(B299="","",IF(IF(I299="",0,I299)=0,"",(I299-IF(H299="",0,H299))/I299))</f>
        <v>0</v>
      </c>
      <c r="AE299" s="26">
        <f>IF(B299="","",IF(H299="","",H299*RetailMarkup))</f>
        <v>0</v>
      </c>
      <c r="AF299" s="26">
        <f>IF(B299="","",IF(AE299="","",ROUND(IF(RoundingRule="None",AE299,IF(RoundingRule="Nearest 0.99",MAX(0.99,CEILING(AE299,1)-0.01),IF(RoundingRule="Nearest 0.95",MAX(0.95,CEILING(AE299,1)-0.05),IF(RoundingRule="Nearest 0.50",CEILING(AE299,0.5),IF(RoundingRule="Nearest 1",CEILING(AE299,1),IF(RoundingRule="Nearest 5",CEILING(AE299,5),IF(RoundingRule="Up to whole 1",CEILING(AE299,1),IF(RoundingRule="Up to whole 5",CEILING(AE299,5),ROUND(AE299,2))))))))),2)))</f>
        <v>0</v>
      </c>
      <c r="AG299" s="26">
        <f>IF(B299="","",ROUND(SUMIFS(Sales!$Y$5:$Y$1204,Sales!$I$5:$I$1204,A299,Sales!$H$5:$H$1204,"Retail"),2))</f>
        <v>0</v>
      </c>
      <c r="AH299" s="26">
        <f>IF(B299="","",ROUND(AG299-U299*IF(H299="",0,H299),2))</f>
        <v>0</v>
      </c>
      <c r="AI299" s="25">
        <f>IF(B299="","",COUNTIFS($AG$5:$AG$304,"&gt;"&amp;AG299)+COUNTIFS($AG$5:AG299,AG299))</f>
        <v>0</v>
      </c>
      <c r="AJ299" s="39">
        <f>IF(B299="","",IF(H299="","Add - no cost, no stock value",IF(Z299="Out of stock","Out of stock - order today",IF(Z299="Low stock","Order - running low",IF(IF(Q299="",FALSE,Q299&lt;=TodayDate+30),"Check - expiring within a month",IF(IF(R299="Yes",AD299&lt;0.25,FALSE),"Below - thin margin for a retail line",IF(IF(P299="",TRUE,TodayDate-P299&gt;90),"Due - not counted in three months","OK")))))))</f>
        <v>0</v>
      </c>
    </row>
    <row r="300" spans="1:36">
      <c r="A300" s="28">
        <f>IF(B300="","",ProductPrefix&amp;TEXT(ROW()-4,"000"))</f>
        <v>0</v>
      </c>
      <c r="T300" s="37">
        <f>IF(B300="","",ROUND(SUMIFS(Purchases!$U$5:$U$304,Purchases!$D$5:$D$304,A300),2))</f>
        <v>0</v>
      </c>
      <c r="U300" s="37">
        <f>IF(B300="","",ROUND(SUMIFS(Sales!$T$5:$T$1204,Sales!$I$5:$I$1204,A300,Sales!$H$5:$H$1204,"Retail"),2))</f>
        <v>0</v>
      </c>
      <c r="V300" s="37">
        <f>IF(B300="","",ROUND(IF(J300="",0,J300)+T300-IF(K300="",0,K300)-U300-IF(L300="",0,L300)+IF(M300="",0,M300),2))</f>
        <v>0</v>
      </c>
      <c r="W300" s="37">
        <f>IF(B300="","",ROUND((U300+IF(K300="",0,K300))/MAX(4,TrackingWeeks),2))</f>
        <v>0</v>
      </c>
      <c r="X300" s="37">
        <f>IF(B300="","",IF(W300&lt;=0,"",ROUND(V300/W300,1)))</f>
        <v>0</v>
      </c>
      <c r="Y300" s="37">
        <f>IF(B300="","",IF(N300&lt;&gt;"",N300,ROUND(W300*StockWarningWeeks,1)))</f>
        <v>0</v>
      </c>
      <c r="Z300" s="39">
        <f>IF(B300="","",IF(V300&lt;=0,"Out of stock",IF(V300&lt;=Y300,"Low stock",IF(R300="No","Backbar","In stock"))))</f>
        <v>0</v>
      </c>
      <c r="AA300" s="37">
        <f>IF(B300="","",IF(Z300="In stock","",IF(Z300="Backbar",IF(V300&lt;=Y300,MAX(1,IF(O300="",ROUND(W300*ReorderWeeks,0),O300)),""),MAX(1,IF(O300="",ROUND(W300*ReorderWeeks,0),O300)))))</f>
        <v>0</v>
      </c>
      <c r="AB300" s="26">
        <f>IF(B300="","",ROUND(V300*IF(H300="",0,H300),2))</f>
        <v>0</v>
      </c>
      <c r="AC300" s="26">
        <f>IF(B300="","",ROUND(V300*IF(I300="",0,I300),2))</f>
        <v>0</v>
      </c>
      <c r="AD300" s="27">
        <f>IF(B300="","",IF(IF(I300="",0,I300)=0,"",(I300-IF(H300="",0,H300))/I300))</f>
        <v>0</v>
      </c>
      <c r="AE300" s="26">
        <f>IF(B300="","",IF(H300="","",H300*RetailMarkup))</f>
        <v>0</v>
      </c>
      <c r="AF300" s="26">
        <f>IF(B300="","",IF(AE300="","",ROUND(IF(RoundingRule="None",AE300,IF(RoundingRule="Nearest 0.99",MAX(0.99,CEILING(AE300,1)-0.01),IF(RoundingRule="Nearest 0.95",MAX(0.95,CEILING(AE300,1)-0.05),IF(RoundingRule="Nearest 0.50",CEILING(AE300,0.5),IF(RoundingRule="Nearest 1",CEILING(AE300,1),IF(RoundingRule="Nearest 5",CEILING(AE300,5),IF(RoundingRule="Up to whole 1",CEILING(AE300,1),IF(RoundingRule="Up to whole 5",CEILING(AE300,5),ROUND(AE300,2))))))))),2)))</f>
        <v>0</v>
      </c>
      <c r="AG300" s="26">
        <f>IF(B300="","",ROUND(SUMIFS(Sales!$Y$5:$Y$1204,Sales!$I$5:$I$1204,A300,Sales!$H$5:$H$1204,"Retail"),2))</f>
        <v>0</v>
      </c>
      <c r="AH300" s="26">
        <f>IF(B300="","",ROUND(AG300-U300*IF(H300="",0,H300),2))</f>
        <v>0</v>
      </c>
      <c r="AI300" s="25">
        <f>IF(B300="","",COUNTIFS($AG$5:$AG$304,"&gt;"&amp;AG300)+COUNTIFS($AG$5:AG300,AG300))</f>
        <v>0</v>
      </c>
      <c r="AJ300" s="39">
        <f>IF(B300="","",IF(H300="","Add - no cost, no stock value",IF(Z300="Out of stock","Out of stock - order today",IF(Z300="Low stock","Order - running low",IF(IF(Q300="",FALSE,Q300&lt;=TodayDate+30),"Check - expiring within a month",IF(IF(R300="Yes",AD300&lt;0.25,FALSE),"Below - thin margin for a retail line",IF(IF(P300="",TRUE,TodayDate-P300&gt;90),"Due - not counted in three months","OK")))))))</f>
        <v>0</v>
      </c>
    </row>
    <row r="301" spans="1:36">
      <c r="A301" s="28">
        <f>IF(B301="","",ProductPrefix&amp;TEXT(ROW()-4,"000"))</f>
        <v>0</v>
      </c>
      <c r="T301" s="37">
        <f>IF(B301="","",ROUND(SUMIFS(Purchases!$U$5:$U$304,Purchases!$D$5:$D$304,A301),2))</f>
        <v>0</v>
      </c>
      <c r="U301" s="37">
        <f>IF(B301="","",ROUND(SUMIFS(Sales!$T$5:$T$1204,Sales!$I$5:$I$1204,A301,Sales!$H$5:$H$1204,"Retail"),2))</f>
        <v>0</v>
      </c>
      <c r="V301" s="37">
        <f>IF(B301="","",ROUND(IF(J301="",0,J301)+T301-IF(K301="",0,K301)-U301-IF(L301="",0,L301)+IF(M301="",0,M301),2))</f>
        <v>0</v>
      </c>
      <c r="W301" s="37">
        <f>IF(B301="","",ROUND((U301+IF(K301="",0,K301))/MAX(4,TrackingWeeks),2))</f>
        <v>0</v>
      </c>
      <c r="X301" s="37">
        <f>IF(B301="","",IF(W301&lt;=0,"",ROUND(V301/W301,1)))</f>
        <v>0</v>
      </c>
      <c r="Y301" s="37">
        <f>IF(B301="","",IF(N301&lt;&gt;"",N301,ROUND(W301*StockWarningWeeks,1)))</f>
        <v>0</v>
      </c>
      <c r="Z301" s="39">
        <f>IF(B301="","",IF(V301&lt;=0,"Out of stock",IF(V301&lt;=Y301,"Low stock",IF(R301="No","Backbar","In stock"))))</f>
        <v>0</v>
      </c>
      <c r="AA301" s="37">
        <f>IF(B301="","",IF(Z301="In stock","",IF(Z301="Backbar",IF(V301&lt;=Y301,MAX(1,IF(O301="",ROUND(W301*ReorderWeeks,0),O301)),""),MAX(1,IF(O301="",ROUND(W301*ReorderWeeks,0),O301)))))</f>
        <v>0</v>
      </c>
      <c r="AB301" s="26">
        <f>IF(B301="","",ROUND(V301*IF(H301="",0,H301),2))</f>
        <v>0</v>
      </c>
      <c r="AC301" s="26">
        <f>IF(B301="","",ROUND(V301*IF(I301="",0,I301),2))</f>
        <v>0</v>
      </c>
      <c r="AD301" s="27">
        <f>IF(B301="","",IF(IF(I301="",0,I301)=0,"",(I301-IF(H301="",0,H301))/I301))</f>
        <v>0</v>
      </c>
      <c r="AE301" s="26">
        <f>IF(B301="","",IF(H301="","",H301*RetailMarkup))</f>
        <v>0</v>
      </c>
      <c r="AF301" s="26">
        <f>IF(B301="","",IF(AE301="","",ROUND(IF(RoundingRule="None",AE301,IF(RoundingRule="Nearest 0.99",MAX(0.99,CEILING(AE301,1)-0.01),IF(RoundingRule="Nearest 0.95",MAX(0.95,CEILING(AE301,1)-0.05),IF(RoundingRule="Nearest 0.50",CEILING(AE301,0.5),IF(RoundingRule="Nearest 1",CEILING(AE301,1),IF(RoundingRule="Nearest 5",CEILING(AE301,5),IF(RoundingRule="Up to whole 1",CEILING(AE301,1),IF(RoundingRule="Up to whole 5",CEILING(AE301,5),ROUND(AE301,2))))))))),2)))</f>
        <v>0</v>
      </c>
      <c r="AG301" s="26">
        <f>IF(B301="","",ROUND(SUMIFS(Sales!$Y$5:$Y$1204,Sales!$I$5:$I$1204,A301,Sales!$H$5:$H$1204,"Retail"),2))</f>
        <v>0</v>
      </c>
      <c r="AH301" s="26">
        <f>IF(B301="","",ROUND(AG301-U301*IF(H301="",0,H301),2))</f>
        <v>0</v>
      </c>
      <c r="AI301" s="25">
        <f>IF(B301="","",COUNTIFS($AG$5:$AG$304,"&gt;"&amp;AG301)+COUNTIFS($AG$5:AG301,AG301))</f>
        <v>0</v>
      </c>
      <c r="AJ301" s="39">
        <f>IF(B301="","",IF(H301="","Add - no cost, no stock value",IF(Z301="Out of stock","Out of stock - order today",IF(Z301="Low stock","Order - running low",IF(IF(Q301="",FALSE,Q301&lt;=TodayDate+30),"Check - expiring within a month",IF(IF(R301="Yes",AD301&lt;0.25,FALSE),"Below - thin margin for a retail line",IF(IF(P301="",TRUE,TodayDate-P301&gt;90),"Due - not counted in three months","OK")))))))</f>
        <v>0</v>
      </c>
    </row>
    <row r="302" spans="1:36">
      <c r="A302" s="28">
        <f>IF(B302="","",ProductPrefix&amp;TEXT(ROW()-4,"000"))</f>
        <v>0</v>
      </c>
      <c r="T302" s="37">
        <f>IF(B302="","",ROUND(SUMIFS(Purchases!$U$5:$U$304,Purchases!$D$5:$D$304,A302),2))</f>
        <v>0</v>
      </c>
      <c r="U302" s="37">
        <f>IF(B302="","",ROUND(SUMIFS(Sales!$T$5:$T$1204,Sales!$I$5:$I$1204,A302,Sales!$H$5:$H$1204,"Retail"),2))</f>
        <v>0</v>
      </c>
      <c r="V302" s="37">
        <f>IF(B302="","",ROUND(IF(J302="",0,J302)+T302-IF(K302="",0,K302)-U302-IF(L302="",0,L302)+IF(M302="",0,M302),2))</f>
        <v>0</v>
      </c>
      <c r="W302" s="37">
        <f>IF(B302="","",ROUND((U302+IF(K302="",0,K302))/MAX(4,TrackingWeeks),2))</f>
        <v>0</v>
      </c>
      <c r="X302" s="37">
        <f>IF(B302="","",IF(W302&lt;=0,"",ROUND(V302/W302,1)))</f>
        <v>0</v>
      </c>
      <c r="Y302" s="37">
        <f>IF(B302="","",IF(N302&lt;&gt;"",N302,ROUND(W302*StockWarningWeeks,1)))</f>
        <v>0</v>
      </c>
      <c r="Z302" s="39">
        <f>IF(B302="","",IF(V302&lt;=0,"Out of stock",IF(V302&lt;=Y302,"Low stock",IF(R302="No","Backbar","In stock"))))</f>
        <v>0</v>
      </c>
      <c r="AA302" s="37">
        <f>IF(B302="","",IF(Z302="In stock","",IF(Z302="Backbar",IF(V302&lt;=Y302,MAX(1,IF(O302="",ROUND(W302*ReorderWeeks,0),O302)),""),MAX(1,IF(O302="",ROUND(W302*ReorderWeeks,0),O302)))))</f>
        <v>0</v>
      </c>
      <c r="AB302" s="26">
        <f>IF(B302="","",ROUND(V302*IF(H302="",0,H302),2))</f>
        <v>0</v>
      </c>
      <c r="AC302" s="26">
        <f>IF(B302="","",ROUND(V302*IF(I302="",0,I302),2))</f>
        <v>0</v>
      </c>
      <c r="AD302" s="27">
        <f>IF(B302="","",IF(IF(I302="",0,I302)=0,"",(I302-IF(H302="",0,H302))/I302))</f>
        <v>0</v>
      </c>
      <c r="AE302" s="26">
        <f>IF(B302="","",IF(H302="","",H302*RetailMarkup))</f>
        <v>0</v>
      </c>
      <c r="AF302" s="26">
        <f>IF(B302="","",IF(AE302="","",ROUND(IF(RoundingRule="None",AE302,IF(RoundingRule="Nearest 0.99",MAX(0.99,CEILING(AE302,1)-0.01),IF(RoundingRule="Nearest 0.95",MAX(0.95,CEILING(AE302,1)-0.05),IF(RoundingRule="Nearest 0.50",CEILING(AE302,0.5),IF(RoundingRule="Nearest 1",CEILING(AE302,1),IF(RoundingRule="Nearest 5",CEILING(AE302,5),IF(RoundingRule="Up to whole 1",CEILING(AE302,1),IF(RoundingRule="Up to whole 5",CEILING(AE302,5),ROUND(AE302,2))))))))),2)))</f>
        <v>0</v>
      </c>
      <c r="AG302" s="26">
        <f>IF(B302="","",ROUND(SUMIFS(Sales!$Y$5:$Y$1204,Sales!$I$5:$I$1204,A302,Sales!$H$5:$H$1204,"Retail"),2))</f>
        <v>0</v>
      </c>
      <c r="AH302" s="26">
        <f>IF(B302="","",ROUND(AG302-U302*IF(H302="",0,H302),2))</f>
        <v>0</v>
      </c>
      <c r="AI302" s="25">
        <f>IF(B302="","",COUNTIFS($AG$5:$AG$304,"&gt;"&amp;AG302)+COUNTIFS($AG$5:AG302,AG302))</f>
        <v>0</v>
      </c>
      <c r="AJ302" s="39">
        <f>IF(B302="","",IF(H302="","Add - no cost, no stock value",IF(Z302="Out of stock","Out of stock - order today",IF(Z302="Low stock","Order - running low",IF(IF(Q302="",FALSE,Q302&lt;=TodayDate+30),"Check - expiring within a month",IF(IF(R302="Yes",AD302&lt;0.25,FALSE),"Below - thin margin for a retail line",IF(IF(P302="",TRUE,TodayDate-P302&gt;90),"Due - not counted in three months","OK")))))))</f>
        <v>0</v>
      </c>
    </row>
    <row r="303" spans="1:36">
      <c r="A303" s="28">
        <f>IF(B303="","",ProductPrefix&amp;TEXT(ROW()-4,"000"))</f>
        <v>0</v>
      </c>
      <c r="T303" s="37">
        <f>IF(B303="","",ROUND(SUMIFS(Purchases!$U$5:$U$304,Purchases!$D$5:$D$304,A303),2))</f>
        <v>0</v>
      </c>
      <c r="U303" s="37">
        <f>IF(B303="","",ROUND(SUMIFS(Sales!$T$5:$T$1204,Sales!$I$5:$I$1204,A303,Sales!$H$5:$H$1204,"Retail"),2))</f>
        <v>0</v>
      </c>
      <c r="V303" s="37">
        <f>IF(B303="","",ROUND(IF(J303="",0,J303)+T303-IF(K303="",0,K303)-U303-IF(L303="",0,L303)+IF(M303="",0,M303),2))</f>
        <v>0</v>
      </c>
      <c r="W303" s="37">
        <f>IF(B303="","",ROUND((U303+IF(K303="",0,K303))/MAX(4,TrackingWeeks),2))</f>
        <v>0</v>
      </c>
      <c r="X303" s="37">
        <f>IF(B303="","",IF(W303&lt;=0,"",ROUND(V303/W303,1)))</f>
        <v>0</v>
      </c>
      <c r="Y303" s="37">
        <f>IF(B303="","",IF(N303&lt;&gt;"",N303,ROUND(W303*StockWarningWeeks,1)))</f>
        <v>0</v>
      </c>
      <c r="Z303" s="39">
        <f>IF(B303="","",IF(V303&lt;=0,"Out of stock",IF(V303&lt;=Y303,"Low stock",IF(R303="No","Backbar","In stock"))))</f>
        <v>0</v>
      </c>
      <c r="AA303" s="37">
        <f>IF(B303="","",IF(Z303="In stock","",IF(Z303="Backbar",IF(V303&lt;=Y303,MAX(1,IF(O303="",ROUND(W303*ReorderWeeks,0),O303)),""),MAX(1,IF(O303="",ROUND(W303*ReorderWeeks,0),O303)))))</f>
        <v>0</v>
      </c>
      <c r="AB303" s="26">
        <f>IF(B303="","",ROUND(V303*IF(H303="",0,H303),2))</f>
        <v>0</v>
      </c>
      <c r="AC303" s="26">
        <f>IF(B303="","",ROUND(V303*IF(I303="",0,I303),2))</f>
        <v>0</v>
      </c>
      <c r="AD303" s="27">
        <f>IF(B303="","",IF(IF(I303="",0,I303)=0,"",(I303-IF(H303="",0,H303))/I303))</f>
        <v>0</v>
      </c>
      <c r="AE303" s="26">
        <f>IF(B303="","",IF(H303="","",H303*RetailMarkup))</f>
        <v>0</v>
      </c>
      <c r="AF303" s="26">
        <f>IF(B303="","",IF(AE303="","",ROUND(IF(RoundingRule="None",AE303,IF(RoundingRule="Nearest 0.99",MAX(0.99,CEILING(AE303,1)-0.01),IF(RoundingRule="Nearest 0.95",MAX(0.95,CEILING(AE303,1)-0.05),IF(RoundingRule="Nearest 0.50",CEILING(AE303,0.5),IF(RoundingRule="Nearest 1",CEILING(AE303,1),IF(RoundingRule="Nearest 5",CEILING(AE303,5),IF(RoundingRule="Up to whole 1",CEILING(AE303,1),IF(RoundingRule="Up to whole 5",CEILING(AE303,5),ROUND(AE303,2))))))))),2)))</f>
        <v>0</v>
      </c>
      <c r="AG303" s="26">
        <f>IF(B303="","",ROUND(SUMIFS(Sales!$Y$5:$Y$1204,Sales!$I$5:$I$1204,A303,Sales!$H$5:$H$1204,"Retail"),2))</f>
        <v>0</v>
      </c>
      <c r="AH303" s="26">
        <f>IF(B303="","",ROUND(AG303-U303*IF(H303="",0,H303),2))</f>
        <v>0</v>
      </c>
      <c r="AI303" s="25">
        <f>IF(B303="","",COUNTIFS($AG$5:$AG$304,"&gt;"&amp;AG303)+COUNTIFS($AG$5:AG303,AG303))</f>
        <v>0</v>
      </c>
      <c r="AJ303" s="39">
        <f>IF(B303="","",IF(H303="","Add - no cost, no stock value",IF(Z303="Out of stock","Out of stock - order today",IF(Z303="Low stock","Order - running low",IF(IF(Q303="",FALSE,Q303&lt;=TodayDate+30),"Check - expiring within a month",IF(IF(R303="Yes",AD303&lt;0.25,FALSE),"Below - thin margin for a retail line",IF(IF(P303="",TRUE,TodayDate-P303&gt;90),"Due - not counted in three months","OK")))))))</f>
        <v>0</v>
      </c>
    </row>
    <row r="304" spans="1:36">
      <c r="A304" s="28">
        <f>IF(B304="","",ProductPrefix&amp;TEXT(ROW()-4,"000"))</f>
        <v>0</v>
      </c>
      <c r="T304" s="37">
        <f>IF(B304="","",ROUND(SUMIFS(Purchases!$U$5:$U$304,Purchases!$D$5:$D$304,A304),2))</f>
        <v>0</v>
      </c>
      <c r="U304" s="37">
        <f>IF(B304="","",ROUND(SUMIFS(Sales!$T$5:$T$1204,Sales!$I$5:$I$1204,A304,Sales!$H$5:$H$1204,"Retail"),2))</f>
        <v>0</v>
      </c>
      <c r="V304" s="37">
        <f>IF(B304="","",ROUND(IF(J304="",0,J304)+T304-IF(K304="",0,K304)-U304-IF(L304="",0,L304)+IF(M304="",0,M304),2))</f>
        <v>0</v>
      </c>
      <c r="W304" s="37">
        <f>IF(B304="","",ROUND((U304+IF(K304="",0,K304))/MAX(4,TrackingWeeks),2))</f>
        <v>0</v>
      </c>
      <c r="X304" s="37">
        <f>IF(B304="","",IF(W304&lt;=0,"",ROUND(V304/W304,1)))</f>
        <v>0</v>
      </c>
      <c r="Y304" s="37">
        <f>IF(B304="","",IF(N304&lt;&gt;"",N304,ROUND(W304*StockWarningWeeks,1)))</f>
        <v>0</v>
      </c>
      <c r="Z304" s="39">
        <f>IF(B304="","",IF(V304&lt;=0,"Out of stock",IF(V304&lt;=Y304,"Low stock",IF(R304="No","Backbar","In stock"))))</f>
        <v>0</v>
      </c>
      <c r="AA304" s="37">
        <f>IF(B304="","",IF(Z304="In stock","",IF(Z304="Backbar",IF(V304&lt;=Y304,MAX(1,IF(O304="",ROUND(W304*ReorderWeeks,0),O304)),""),MAX(1,IF(O304="",ROUND(W304*ReorderWeeks,0),O304)))))</f>
        <v>0</v>
      </c>
      <c r="AB304" s="26">
        <f>IF(B304="","",ROUND(V304*IF(H304="",0,H304),2))</f>
        <v>0</v>
      </c>
      <c r="AC304" s="26">
        <f>IF(B304="","",ROUND(V304*IF(I304="",0,I304),2))</f>
        <v>0</v>
      </c>
      <c r="AD304" s="27">
        <f>IF(B304="","",IF(IF(I304="",0,I304)=0,"",(I304-IF(H304="",0,H304))/I304))</f>
        <v>0</v>
      </c>
      <c r="AE304" s="26">
        <f>IF(B304="","",IF(H304="","",H304*RetailMarkup))</f>
        <v>0</v>
      </c>
      <c r="AF304" s="26">
        <f>IF(B304="","",IF(AE304="","",ROUND(IF(RoundingRule="None",AE304,IF(RoundingRule="Nearest 0.99",MAX(0.99,CEILING(AE304,1)-0.01),IF(RoundingRule="Nearest 0.95",MAX(0.95,CEILING(AE304,1)-0.05),IF(RoundingRule="Nearest 0.50",CEILING(AE304,0.5),IF(RoundingRule="Nearest 1",CEILING(AE304,1),IF(RoundingRule="Nearest 5",CEILING(AE304,5),IF(RoundingRule="Up to whole 1",CEILING(AE304,1),IF(RoundingRule="Up to whole 5",CEILING(AE304,5),ROUND(AE304,2))))))))),2)))</f>
        <v>0</v>
      </c>
      <c r="AG304" s="26">
        <f>IF(B304="","",ROUND(SUMIFS(Sales!$Y$5:$Y$1204,Sales!$I$5:$I$1204,A304,Sales!$H$5:$H$1204,"Retail"),2))</f>
        <v>0</v>
      </c>
      <c r="AH304" s="26">
        <f>IF(B304="","",ROUND(AG304-U304*IF(H304="",0,H304),2))</f>
        <v>0</v>
      </c>
      <c r="AI304" s="25">
        <f>IF(B304="","",COUNTIFS($AG$5:$AG$304,"&gt;"&amp;AG304)+COUNTIFS($AG$5:AG304,AG304))</f>
        <v>0</v>
      </c>
      <c r="AJ304" s="39">
        <f>IF(B304="","",IF(H304="","Add - no cost, no stock value",IF(Z304="Out of stock","Out of stock - order today",IF(Z304="Low stock","Order - running low",IF(IF(Q304="",FALSE,Q304&lt;=TodayDate+30),"Check - expiring within a month",IF(IF(R304="Yes",AD304&lt;0.25,FALSE),"Below - thin margin for a retail line",IF(IF(P304="",TRUE,TodayDate-P304&gt;90),"Due - not counted in three months","OK")))))))</f>
        <v>0</v>
      </c>
    </row>
    <row r="306" spans="1:36" ht="20" customHeight="1">
      <c r="A306" s="7" t="s">
        <v>567</v>
      </c>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row>
    <row r="307" spans="1:36" ht="26" customHeight="1">
      <c r="A307" s="10" t="s">
        <v>568</v>
      </c>
      <c r="B307" s="11" t="s">
        <v>561</v>
      </c>
      <c r="C307" s="11" t="s">
        <v>562</v>
      </c>
      <c r="D307" s="11" t="s">
        <v>569</v>
      </c>
      <c r="E307" s="11" t="s">
        <v>570</v>
      </c>
      <c r="F307" s="11" t="s">
        <v>571</v>
      </c>
      <c r="G307" s="11" t="s">
        <v>564</v>
      </c>
      <c r="H307" s="11" t="s">
        <v>572</v>
      </c>
      <c r="I307" s="11" t="s">
        <v>573</v>
      </c>
    </row>
    <row r="308" spans="1:36">
      <c r="A308" s="25">
        <f>COUNTIF(Inventory!$B$5:$B$304,"&lt;&gt;")</f>
        <v>0</v>
      </c>
      <c r="B308" s="26">
        <f>ROUND(SUM(Inventory!$AB$5:$AB$304),2)</f>
        <v>0</v>
      </c>
      <c r="C308" s="26">
        <f>ROUND(SUM(Inventory!$AC$5:$AC$304),2)</f>
        <v>0</v>
      </c>
      <c r="D308" s="25">
        <f>COUNTIFS(Inventory!$Z$5:$Z$304,"Out of stock")</f>
        <v>0</v>
      </c>
      <c r="E308" s="25">
        <f>COUNTIFS(Inventory!$Z$5:$Z$304,"Low stock")</f>
        <v>0</v>
      </c>
      <c r="F308" s="37">
        <f>ROUND(SUM(Inventory!$AA$5:$AA$304),0)</f>
        <v>0</v>
      </c>
      <c r="G308" s="26">
        <f>ROUND(SUM(Inventory!$AG$5:$AG$304),2)</f>
        <v>0</v>
      </c>
      <c r="H308" s="27">
        <f>IFERROR(SUMPRODUCT(IFERROR(Inventory!$AD$5:$AD$304*1,0))/MAX(1,COUNTIFS(Inventory!$R$5:$R$304,"Yes")),0)</f>
        <v>0</v>
      </c>
      <c r="I308" s="25">
        <f>COUNTIFS(Inventory!$Q$5:$Q$304,"&gt;0",Inventory!$Q$5:$Q$304,"&lt;="&amp;TodayDate+30)</f>
        <v>0</v>
      </c>
    </row>
  </sheetData>
  <sheetProtection password="EC7C" sheet="1" objects="1" scenarios="1" formatCells="0" formatColumns="0" formatRows="0" insertRows="0" insertHyperlinks="0" deleteRows="0" autoFilter="0"/>
  <autoFilter ref="A4:AJ304"/>
  <mergeCells count="14">
    <mergeCell ref="A1:AG1"/>
    <mergeCell ref="AH1:AJ1"/>
    <mergeCell ref="A2:AJ2"/>
    <mergeCell ref="A3:B3"/>
    <mergeCell ref="C3:D3"/>
    <mergeCell ref="E3:F3"/>
    <mergeCell ref="G3:H3"/>
    <mergeCell ref="I3:J3"/>
    <mergeCell ref="K3:L3"/>
    <mergeCell ref="M3:N3"/>
    <mergeCell ref="O3:P3"/>
    <mergeCell ref="Q3:R3"/>
    <mergeCell ref="S3:AJ3"/>
    <mergeCell ref="A306:AJ306"/>
  </mergeCells>
  <conditionalFormatting sqref="AA5:AA304">
    <cfRule type="cellIs" dxfId="0" priority="41" operator="greaterThan">
      <formula>0</formula>
    </cfRule>
  </conditionalFormatting>
  <conditionalFormatting sqref="AB5:AB304">
    <cfRule type="dataBar" priority="42">
      <dataBar>
        <cfvo type="min" val="0"/>
        <cfvo type="max" val="0"/>
        <color rgb="FF9A5C86"/>
      </dataBar>
    </cfRule>
  </conditionalFormatting>
  <conditionalFormatting sqref="AD5:AD304">
    <cfRule type="cellIs" dxfId="0" priority="43" operator="lessThan">
      <formula>0.3</formula>
    </cfRule>
    <cfRule type="cellIs" dxfId="1" priority="44" operator="greaterThanOrEqual">
      <formula>0.4</formula>
    </cfRule>
  </conditionalFormatting>
  <conditionalFormatting sqref="AH5:AH304">
    <cfRule type="cellIs" dxfId="2" priority="45" operator="lessThan">
      <formula>0</formula>
    </cfRule>
  </conditionalFormatting>
  <conditionalFormatting sqref="AJ5:AJ304">
    <cfRule type="beginsWith" dxfId="1" priority="46" operator="beginsWith" text="OK">
      <formula>LEFT(AJ5,2)="OK"</formula>
    </cfRule>
    <cfRule type="containsText" dxfId="2" priority="47" operator="containsText" text="Overdue">
      <formula>NOT(ISERROR(SEARCH("Overdue",AJ5)))</formula>
    </cfRule>
    <cfRule type="containsText" dxfId="2" priority="48" operator="containsText" text="Late">
      <formula>NOT(ISERROR(SEARCH("Late",AJ5)))</formula>
    </cfRule>
    <cfRule type="containsText" dxfId="2" priority="49" operator="containsText" text="Missing">
      <formula>NOT(ISERROR(SEARCH("Missing",AJ5)))</formula>
    </cfRule>
    <cfRule type="containsText" dxfId="2" priority="50" operator="containsText" text="Clash">
      <formula>NOT(ISERROR(SEARCH("Clash",AJ5)))</formula>
    </cfRule>
    <cfRule type="containsText" dxfId="2" priority="51" operator="containsText" text="Conflict">
      <formula>NOT(ISERROR(SEARCH("Conflict",AJ5)))</formula>
    </cfRule>
    <cfRule type="containsText" dxfId="2" priority="52" operator="containsText" text="Duplicate">
      <formula>NOT(ISERROR(SEARCH("Duplicate",AJ5)))</formula>
    </cfRule>
    <cfRule type="containsText" dxfId="2" priority="53" operator="containsText" text="Unpaid">
      <formula>NOT(ISERROR(SEARCH("Unpaid",AJ5)))</formula>
    </cfRule>
    <cfRule type="containsText" dxfId="2" priority="54" operator="containsText" text="Loss">
      <formula>NOT(ISERROR(SEARCH("Loss",AJ5)))</formula>
    </cfRule>
    <cfRule type="containsText" dxfId="2" priority="55" operator="containsText" text="Below">
      <formula>NOT(ISERROR(SEARCH("Below",AJ5)))</formula>
    </cfRule>
    <cfRule type="containsText" dxfId="2" priority="56" operator="containsText" text="Out of stock">
      <formula>NOT(ISERROR(SEARCH("Out of stock",AJ5)))</formula>
    </cfRule>
    <cfRule type="containsText" dxfId="2" priority="57" operator="containsText" text="No show">
      <formula>NOT(ISERROR(SEARCH("No show",AJ5)))</formula>
    </cfRule>
    <cfRule type="containsText" dxfId="0" priority="58" operator="containsText" text="Action">
      <formula>NOT(ISERROR(SEARCH("Action",AJ5)))</formula>
    </cfRule>
    <cfRule type="containsText" dxfId="0" priority="59" operator="containsText" text="Due">
      <formula>NOT(ISERROR(SEARCH("Due",AJ5)))</formula>
    </cfRule>
    <cfRule type="containsText" dxfId="0" priority="60" operator="containsText" text="Check">
      <formula>NOT(ISERROR(SEARCH("Check",AJ5)))</formula>
    </cfRule>
    <cfRule type="containsText" dxfId="0" priority="61" operator="containsText" text="Chase">
      <formula>NOT(ISERROR(SEARCH("Chase",AJ5)))</formula>
    </cfRule>
    <cfRule type="containsText" dxfId="0" priority="62" operator="containsText" text="Assign">
      <formula>NOT(ISERROR(SEARCH("Assign",AJ5)))</formula>
    </cfRule>
    <cfRule type="containsText" dxfId="0" priority="63" operator="containsText" text="Confirm">
      <formula>NOT(ISERROR(SEARCH("Confirm",AJ5)))</formula>
    </cfRule>
    <cfRule type="containsText" dxfId="0" priority="64" operator="containsText" text="Order">
      <formula>NOT(ISERROR(SEARCH("Order",AJ5)))</formula>
    </cfRule>
    <cfRule type="containsText" dxfId="0" priority="65" operator="containsText" text="Rebook">
      <formula>NOT(ISERROR(SEARCH("Rebook",AJ5)))</formula>
    </cfRule>
    <cfRule type="containsText" dxfId="0" priority="66" operator="containsText" text="Add">
      <formula>NOT(ISERROR(SEARCH("Add",AJ5)))</formula>
    </cfRule>
    <cfRule type="containsText" dxfId="3" priority="67" operator="containsText" text="Today">
      <formula>NOT(ISERROR(SEARCH("Today",AJ5)))</formula>
    </cfRule>
    <cfRule type="containsText" dxfId="3" priority="68" operator="containsText" text="Tomorrow">
      <formula>NOT(ISERROR(SEARCH("Tomorrow",AJ5)))</formula>
    </cfRule>
    <cfRule type="containsText" dxfId="3" priority="69" operator="containsText" text="Upcoming">
      <formula>NOT(ISERROR(SEARCH("Upcoming",AJ5)))</formula>
    </cfRule>
  </conditionalFormatting>
  <conditionalFormatting sqref="V5:V304">
    <cfRule type="cellIs" dxfId="2" priority="1" operator="lessThanOrEqual">
      <formula>0</formula>
    </cfRule>
  </conditionalFormatting>
  <conditionalFormatting sqref="X5:X304">
    <cfRule type="cellIs" dxfId="2" priority="2" operator="lessThan">
      <formula>StockWarningWeeks</formula>
    </cfRule>
    <cfRule type="cellIs" dxfId="0" priority="3" operator="lessThan">
      <formula>6</formula>
    </cfRule>
  </conditionalFormatting>
  <conditionalFormatting sqref="Z5:Z304">
    <cfRule type="containsText" dxfId="1" priority="4" operator="containsText" text="Completed">
      <formula>NOT(ISERROR(SEARCH("Completed",Z5)))</formula>
    </cfRule>
    <cfRule type="containsText" dxfId="1" priority="5" operator="containsText" text="Complete">
      <formula>NOT(ISERROR(SEARCH("Complete",Z5)))</formula>
    </cfRule>
    <cfRule type="containsText" dxfId="1" priority="6" operator="containsText" text="Paid">
      <formula>NOT(ISERROR(SEARCH("Paid",Z5)))</formula>
    </cfRule>
    <cfRule type="containsText" dxfId="1" priority="7" operator="containsText" text="Settled">
      <formula>NOT(ISERROR(SEARCH("Settled",Z5)))</formula>
    </cfRule>
    <cfRule type="containsText" dxfId="1" priority="8" operator="containsText" text="Arrived">
      <formula>NOT(ISERROR(SEARCH("Arrived",Z5)))</formula>
    </cfRule>
    <cfRule type="containsText" dxfId="1" priority="9" operator="containsText" text="Active">
      <formula>NOT(ISERROR(SEARCH("Active",Z5)))</formula>
    </cfRule>
    <cfRule type="containsText" dxfId="1" priority="10" operator="containsText" text="Regular">
      <formula>NOT(ISERROR(SEARCH("Regular",Z5)))</formula>
    </cfRule>
    <cfRule type="containsText" dxfId="1" priority="11" operator="containsText" text="VIP">
      <formula>NOT(ISERROR(SEARCH("VIP",Z5)))</formula>
    </cfRule>
    <cfRule type="containsText" dxfId="1" priority="12" operator="containsText" text="In stock">
      <formula>NOT(ISERROR(SEARCH("In stock",Z5)))</formula>
    </cfRule>
    <cfRule type="containsText" dxfId="1" priority="13" operator="containsText" text="Received">
      <formula>NOT(ISERROR(SEARCH("Received",Z5)))</formula>
    </cfRule>
    <cfRule type="containsText" dxfId="1" priority="14" operator="containsText" text="Approved">
      <formula>NOT(ISERROR(SEARCH("Approved",Z5)))</formula>
    </cfRule>
    <cfRule type="containsText" dxfId="1" priority="15" operator="containsText" text="Yes">
      <formula>NOT(ISERROR(SEARCH("Yes",Z5)))</formula>
    </cfRule>
    <cfRule type="containsText" dxfId="3" priority="16" operator="containsText" text="Booked">
      <formula>NOT(ISERROR(SEARCH("Booked",Z5)))</formula>
    </cfRule>
    <cfRule type="containsText" dxfId="3" priority="17" operator="containsText" text="Confirmed">
      <formula>NOT(ISERROR(SEARCH("Confirmed",Z5)))</formula>
    </cfRule>
    <cfRule type="containsText" dxfId="3" priority="18" operator="containsText" text="Scheduled">
      <formula>NOT(ISERROR(SEARCH("Scheduled",Z5)))</formula>
    </cfRule>
    <cfRule type="containsText" dxfId="3" priority="19" operator="containsText" text="New">
      <formula>NOT(ISERROR(SEARCH("New",Z5)))</formula>
    </cfRule>
    <cfRule type="containsText" dxfId="3" priority="20" operator="containsText" text="Ordered">
      <formula>NOT(ISERROR(SEARCH("Ordered",Z5)))</formula>
    </cfRule>
    <cfRule type="containsText" dxfId="3" priority="21" operator="containsText" text="Running">
      <formula>NOT(ISERROR(SEARCH("Running",Z5)))</formula>
    </cfRule>
    <cfRule type="containsText" dxfId="0" priority="22" operator="containsText" text="Part paid">
      <formula>NOT(ISERROR(SEARCH("Part paid",Z5)))</formula>
    </cfRule>
    <cfRule type="containsText" dxfId="0" priority="23" operator="containsText" text="Pending">
      <formula>NOT(ISERROR(SEARCH("Pending",Z5)))</formula>
    </cfRule>
    <cfRule type="containsText" dxfId="0" priority="24" operator="containsText" text="Enquiry">
      <formula>NOT(ISERROR(SEARCH("Enquiry",Z5)))</formula>
    </cfRule>
    <cfRule type="containsText" dxfId="0" priority="25" operator="containsText" text="Rescheduled">
      <formula>NOT(ISERROR(SEARCH("Rescheduled",Z5)))</formula>
    </cfRule>
    <cfRule type="containsText" dxfId="0" priority="26" operator="containsText" text="Low stock">
      <formula>NOT(ISERROR(SEARCH("Low stock",Z5)))</formula>
    </cfRule>
    <cfRule type="containsText" dxfId="0" priority="27" operator="containsText" text="Lapsing">
      <formula>NOT(ISERROR(SEARCH("Lapsing",Z5)))</formula>
    </cfRule>
    <cfRule type="containsText" dxfId="0" priority="28" operator="containsText" text="Planned">
      <formula>NOT(ISERROR(SEARCH("Planned",Z5)))</formula>
    </cfRule>
    <cfRule type="containsText" dxfId="0" priority="29" operator="containsText" text="On hold">
      <formula>NOT(ISERROR(SEARCH("On hold",Z5)))</formula>
    </cfRule>
    <cfRule type="containsText" dxfId="0" priority="30" operator="containsText" text="Draft">
      <formula>NOT(ISERROR(SEARCH("Draft",Z5)))</formula>
    </cfRule>
    <cfRule type="containsText" dxfId="2" priority="31" operator="containsText" text="Cancelled">
      <formula>NOT(ISERROR(SEARCH("Cancelled",Z5)))</formula>
    </cfRule>
    <cfRule type="containsText" dxfId="2" priority="32" operator="containsText" text="No show">
      <formula>NOT(ISERROR(SEARCH("No show",Z5)))</formula>
    </cfRule>
    <cfRule type="containsText" dxfId="2" priority="33" operator="containsText" text="Refunded">
      <formula>NOT(ISERROR(SEARCH("Refunded",Z5)))</formula>
    </cfRule>
    <cfRule type="containsText" dxfId="2" priority="34" operator="containsText" text="Out of stock">
      <formula>NOT(ISERROR(SEARCH("Out of stock",Z5)))</formula>
    </cfRule>
    <cfRule type="containsText" dxfId="2" priority="35" operator="containsText" text="Overdue">
      <formula>NOT(ISERROR(SEARCH("Overdue",Z5)))</formula>
    </cfRule>
    <cfRule type="containsText" dxfId="2" priority="36" operator="containsText" text="Written off">
      <formula>NOT(ISERROR(SEARCH("Written off",Z5)))</formula>
    </cfRule>
    <cfRule type="containsText" dxfId="4" priority="37" operator="containsText" text="Inactive">
      <formula>NOT(ISERROR(SEARCH("Inactive",Z5)))</formula>
    </cfRule>
    <cfRule type="containsText" dxfId="4" priority="38" operator="containsText" text="Archived">
      <formula>NOT(ISERROR(SEARCH("Archived",Z5)))</formula>
    </cfRule>
    <cfRule type="containsText" dxfId="4" priority="39" operator="containsText" text="Finished">
      <formula>NOT(ISERROR(SEARCH("Finished",Z5)))</formula>
    </cfRule>
    <cfRule type="containsText" dxfId="4" priority="40" operator="containsText" text="Discontinued">
      <formula>NOT(ISERROR(SEARCH("Discontinued",Z5)))</formula>
    </cfRule>
  </conditionalFormatting>
  <dataValidations count="13">
    <dataValidation type="list" allowBlank="1" showInputMessage="1" showErrorMessage="1" promptTitle="Category" prompt="Retail lines and backbar lines are both welcome here - the category keeps them apart." sqref="D5:D304">
      <formula1>ProductCategoryList</formula1>
    </dataValidation>
    <dataValidation type="list" allowBlank="1" showInputMessage="1" showErrorMessage="1" promptTitle="Supplier" prompt="From the supplier list at the bottom of the Suppliers &amp; Purchases tab." sqref="G5:G304">
      <formula1>SupplierList</formula1>
    </dataValidation>
    <dataValidation type="decimal" allowBlank="1" showInputMessage="1" showErrorMessage="1" errorTitle="Check the value" error="Enter a number between 0 and 100000." promptTitle="Cost each" prompt="What you pay, per unit, delivered." sqref="H5:H304">
      <formula1>0</formula1>
      <formula2>100000</formula2>
    </dataValidation>
    <dataValidation type="decimal" allowBlank="1" showInputMessage="1" showErrorMessage="1" errorTitle="Check the value" error="Enter a number between 0 and 100000." promptTitle="Retail price" prompt="What the client pays. Leave blank for backbar stock that is never sold." sqref="I5:I304">
      <formula1>0</formula1>
      <formula2>100000</formula2>
    </dataValidation>
    <dataValidation type="decimal" allowBlank="1" showInputMessage="1" showErrorMessage="1" errorTitle="Check the value" error="Enter a number between 0 and 1000000." promptTitle="Opening stock" prompt="What was on the shelf when you started using this workbook. Set it once; after that let the movements do the work." sqref="J5:J304">
      <formula1>0</formula1>
      <formula2>1000000</formula2>
    </dataValidation>
    <dataValidation type="decimal" allowBlank="1" showInputMessage="1" showErrorMessage="1" errorTitle="Check the value" error="Enter a number between 0 and 1000000." promptTitle="Used in services" prompt="Backbar usage - tubes of colour, lash trays, wax pots. Count it monthly rather than per client." sqref="K5:K304">
      <formula1>0</formula1>
      <formula2>1000000</formula2>
    </dataValidation>
    <dataValidation type="decimal" allowBlank="1" showInputMessage="1" showErrorMessage="1" errorTitle="Check the value" error="Enter a number between 0 and 1000000." promptTitle="Waste" prompt="Spilt, expired, broken, given away." sqref="L5:L304">
      <formula1>0</formula1>
      <formula2>1000000</formula2>
    </dataValidation>
    <dataValidation type="decimal" allowBlank="1" showInputMessage="1" showErrorMessage="1" errorTitle="Check the value" error="Enter a number between -1000000 and 1000000." promptTitle="Adjustment" prompt="The honest column. Plus or minus whatever it takes to match the real count, with a note saying why." sqref="M5:M304">
      <formula1>-1000000</formula1>
      <formula2>1000000</formula2>
    </dataValidation>
    <dataValidation type="decimal" allowBlank="1" showInputMessage="1" showErrorMessage="1" errorTitle="Check the value" error="Enter a number between 0 and 1000000." promptTitle="Reorder at" prompt="The point at which you want to be told. Blank means the workbook works one out from how fast it sells." sqref="N5:N304">
      <formula1>0</formula1>
      <formula2>1000000</formula2>
    </dataValidation>
    <dataValidation type="decimal" allowBlank="1" showInputMessage="1" showErrorMessage="1" errorTitle="Check the value" error="Enter a number between 0 and 1000000." sqref="O5:O304">
      <formula1>0</formula1>
      <formula2>1000000</formula2>
    </dataValidation>
    <dataValidation type="date" allowBlank="1" showInputMessage="1" showErrorMessage="1" errorTitle="Check the date" error="Enter a real date between 2000 and 2100." sqref="P5:P304">
      <formula1>36526</formula1>
      <formula2>73415</formula2>
    </dataValidation>
    <dataValidation type="date" allowBlank="1" showInputMessage="1" showErrorMessage="1" errorTitle="Check the date" error="Enter a real date between 2000 and 2100." promptTitle="Expires" prompt="For developer, lash adhesive, anything with a shelf life." sqref="Q5:Q304">
      <formula1>36526</formula1>
      <formula2>73415</formula2>
    </dataValidation>
    <dataValidation type="list" allowBlank="1" showInputMessage="1" showErrorMessage="1" promptTitle="Sold to clients?" prompt="No for pure backbar stock, so it stays out of the retail figures." sqref="R5:R304">
      <formula1>"Yes,No"</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&amp;L&amp;"Calibri,Bold"&amp;12&amp;C&amp;"Calibri,Bold"&amp;11Inventory&amp;R&amp;"Calibri,Italic"&amp;9Salon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4.xml><?xml version="1.0" encoding="utf-8"?>
<worksheet xmlns="http://schemas.openxmlformats.org/spreadsheetml/2006/main" xmlns:r="http://schemas.openxmlformats.org/officeDocument/2006/relationships">
  <sheetPr>
    <tabColor rgb="FFC08A5E"/>
    <pageSetUpPr fitToPage="1"/>
  </sheetPr>
  <dimension ref="A1:Y34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29" customWidth="1"/>
    <col min="3" max="3" width="22.7109375" style="34" customWidth="1"/>
    <col min="4" max="4" width="11.7109375" style="31" customWidth="1"/>
    <col min="5" max="5" width="24.7109375" style="15" customWidth="1"/>
    <col min="6" max="6" width="10.7109375" style="43" customWidth="1"/>
    <col min="7" max="7" width="11.7109375" style="33" customWidth="1"/>
    <col min="8" max="8" width="10.7109375" style="33" customWidth="1"/>
    <col min="9" max="9" width="10.7109375" style="33" customWidth="1"/>
    <col min="10" max="10" width="14.7109375" style="34" customWidth="1"/>
    <col min="11" max="11" width="11.7109375" style="29" customWidth="1"/>
    <col min="12" max="12" width="11.7109375" style="29" customWidth="1"/>
    <col min="13" max="13" width="11.7109375" style="43" customWidth="1"/>
    <col min="14" max="14" width="14.7109375" style="34" customWidth="1"/>
    <col min="15" max="15" width="9.7109375" style="41" customWidth="1"/>
    <col min="16" max="16" width="22.7109375" style="35" customWidth="1"/>
    <col min="17" max="17" width="10.7109375" style="15" hidden="1" customWidth="1"/>
    <col min="18" max="18" width="11.7109375" style="26" hidden="1" customWidth="1"/>
    <col min="19" max="19" width="11.7109375" style="26" customWidth="1"/>
    <col min="20" max="20" width="11.7109375" style="26" customWidth="1"/>
    <col min="21" max="21" width="11.7109375" style="37" customWidth="1"/>
    <col min="22" max="22" width="10.7109375" style="37" hidden="1" customWidth="1"/>
    <col min="23" max="23" width="12.7109375" style="25" hidden="1" customWidth="1"/>
    <col min="24" max="24" width="11.7109375" style="26" customWidth="1"/>
    <col min="25" max="25" width="28.7109375" style="39" customWidth="1"/>
    <col min="1" max="1" width="24.7109375" customWidth="1"/>
    <col min="2" max="2" width="18.7109375" customWidth="1"/>
    <col min="3" max="3" width="16.7109375" customWidth="1"/>
    <col min="4" max="4" width="26.7109375" customWidth="1"/>
    <col min="5" max="5" width="16.7109375" customWidth="1"/>
    <col min="6" max="6" width="14.7109375" customWidth="1"/>
    <col min="7" max="7" width="11.7109375" customWidth="1"/>
    <col min="8" max="8" width="14.7109375" customWidth="1"/>
    <col min="9" max="9" width="30.7109375" customWidth="1"/>
  </cols>
  <sheetData>
    <row r="1" spans="1:25" ht="34" customHeight="1">
      <c r="A1" s="2" t="s">
        <v>574</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575</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576</v>
      </c>
      <c r="T3" s="40"/>
      <c r="U3" s="40"/>
      <c r="V3" s="40"/>
      <c r="W3" s="40"/>
      <c r="X3" s="40"/>
      <c r="Y3" s="40"/>
    </row>
    <row r="4" spans="1:25" ht="30" customHeight="1">
      <c r="A4" s="10" t="s">
        <v>211</v>
      </c>
      <c r="B4" s="10" t="s">
        <v>577</v>
      </c>
      <c r="C4" s="11" t="s">
        <v>544</v>
      </c>
      <c r="D4" s="11" t="s">
        <v>578</v>
      </c>
      <c r="E4" s="11" t="s">
        <v>540</v>
      </c>
      <c r="F4" s="11" t="s">
        <v>579</v>
      </c>
      <c r="G4" s="11" t="s">
        <v>545</v>
      </c>
      <c r="H4" s="11" t="s">
        <v>580</v>
      </c>
      <c r="I4" s="11" t="s">
        <v>352</v>
      </c>
      <c r="J4" s="11" t="s">
        <v>222</v>
      </c>
      <c r="K4" s="11" t="s">
        <v>581</v>
      </c>
      <c r="L4" s="11" t="s">
        <v>555</v>
      </c>
      <c r="M4" s="11" t="s">
        <v>582</v>
      </c>
      <c r="N4" s="11" t="s">
        <v>583</v>
      </c>
      <c r="O4" s="11" t="s">
        <v>360</v>
      </c>
      <c r="P4" s="11" t="s">
        <v>225</v>
      </c>
      <c r="Q4" s="11" t="s">
        <v>121</v>
      </c>
      <c r="R4" s="11" t="s">
        <v>584</v>
      </c>
      <c r="S4" s="11" t="s">
        <v>585</v>
      </c>
      <c r="T4" s="11" t="s">
        <v>586</v>
      </c>
      <c r="U4" s="11" t="s">
        <v>587</v>
      </c>
      <c r="V4" s="11" t="s">
        <v>588</v>
      </c>
      <c r="W4" s="11" t="s">
        <v>589</v>
      </c>
      <c r="X4" s="11" t="s">
        <v>590</v>
      </c>
      <c r="Y4" s="11" t="s">
        <v>363</v>
      </c>
    </row>
    <row r="5" spans="1:25">
      <c r="A5" s="28">
        <f>IF(B5="","",PurchasePrefix&amp;TEXT(ROW()-4,"0000"))</f>
        <v>0</v>
      </c>
      <c r="E5" s="15">
        <f>IF(D5="","",IFERROR(INDEX(Inventory!$B$5:$B$304,MATCH(D5,Inventory!$A$5:$A$304,0)),"Not in Inventory"))</f>
        <v>0</v>
      </c>
      <c r="Q5" s="15">
        <f>IF(B5="","",TEXT(B5,"yyyy-mm"))</f>
        <v>0</v>
      </c>
      <c r="R5" s="26">
        <f>IF(B5="","",IF(G5&lt;&gt;"",G5,IFERROR(INDEX(Inventory!$H$5:$H$304,MATCH(D5,Inventory!$A$5:$A$304,0))*1,0)))</f>
        <v>0</v>
      </c>
      <c r="S5" s="26">
        <f>IF(B5="","",ROUND(IF(F5="",0,F5)*R5,2))</f>
        <v>0</v>
      </c>
      <c r="T5" s="26">
        <f>IF(B5="","",ROUND(S5+IF(H5="",0,H5)+IF(I5="",0,I5),2))</f>
        <v>0</v>
      </c>
      <c r="U5" s="37">
        <f>IF(B5="","",IF(J5="Received",IF(M5&lt;&gt;"",M5,IF(F5="",0,F5)),IF(J5="Part received",IF(M5="",0,M5),0)))</f>
        <v>0</v>
      </c>
      <c r="V5" s="37">
        <f>IF(B5="","",IF(J5="Ordered","",IF(J5="Draft","",ROUND(IF(F5="",0,F5)-U5,2))))</f>
        <v>0</v>
      </c>
      <c r="W5" s="25">
        <f>IF(B5="","",IF(L5="","",L5-B5))</f>
        <v>0</v>
      </c>
      <c r="X5" s="26">
        <f>IF(B5="","",IF(G5="","",IFERROR(ROUND(G5-INDEX(Inventory!$H$5:$H$304,MATCH(D5,Inventory!$A$5:$A$304,0)),2),"")))</f>
        <v>0</v>
      </c>
      <c r="Y5" s="39">
        <f>IF(B5="","",IF(D5="","Add - which product?",IF(J5="","Add - no status yet",IF(IF(J5="Ordered",IF(K5="",FALSE,K5&lt;TodayDate),FALSE),"Late - expected and not arrived",IF(V5&gt;0,"Check - delivery came up short",IF(IF(X5="",FALSE,X5&gt;0),"Check - cost has gone up",IF(O5&lt;&gt;"Yes","Due - invoice not paid","OK")))))))</f>
        <v>0</v>
      </c>
    </row>
    <row r="6" spans="1:25">
      <c r="A6" s="28">
        <f>IF(B6="","",PurchasePrefix&amp;TEXT(ROW()-4,"0000"))</f>
        <v>0</v>
      </c>
      <c r="E6" s="15">
        <f>IF(D6="","",IFERROR(INDEX(Inventory!$B$5:$B$304,MATCH(D6,Inventory!$A$5:$A$304,0)),"Not in Inventory"))</f>
        <v>0</v>
      </c>
      <c r="Q6" s="15">
        <f>IF(B6="","",TEXT(B6,"yyyy-mm"))</f>
        <v>0</v>
      </c>
      <c r="R6" s="26">
        <f>IF(B6="","",IF(G6&lt;&gt;"",G6,IFERROR(INDEX(Inventory!$H$5:$H$304,MATCH(D6,Inventory!$A$5:$A$304,0))*1,0)))</f>
        <v>0</v>
      </c>
      <c r="S6" s="26">
        <f>IF(B6="","",ROUND(IF(F6="",0,F6)*R6,2))</f>
        <v>0</v>
      </c>
      <c r="T6" s="26">
        <f>IF(B6="","",ROUND(S6+IF(H6="",0,H6)+IF(I6="",0,I6),2))</f>
        <v>0</v>
      </c>
      <c r="U6" s="37">
        <f>IF(B6="","",IF(J6="Received",IF(M6&lt;&gt;"",M6,IF(F6="",0,F6)),IF(J6="Part received",IF(M6="",0,M6),0)))</f>
        <v>0</v>
      </c>
      <c r="V6" s="37">
        <f>IF(B6="","",IF(J6="Ordered","",IF(J6="Draft","",ROUND(IF(F6="",0,F6)-U6,2))))</f>
        <v>0</v>
      </c>
      <c r="W6" s="25">
        <f>IF(B6="","",IF(L6="","",L6-B6))</f>
        <v>0</v>
      </c>
      <c r="X6" s="26">
        <f>IF(B6="","",IF(G6="","",IFERROR(ROUND(G6-INDEX(Inventory!$H$5:$H$304,MATCH(D6,Inventory!$A$5:$A$304,0)),2),"")))</f>
        <v>0</v>
      </c>
      <c r="Y6" s="39">
        <f>IF(B6="","",IF(D6="","Add - which product?",IF(J6="","Add - no status yet",IF(IF(J6="Ordered",IF(K6="",FALSE,K6&lt;TodayDate),FALSE),"Late - expected and not arrived",IF(V6&gt;0,"Check - delivery came up short",IF(IF(X6="",FALSE,X6&gt;0),"Check - cost has gone up",IF(O6&lt;&gt;"Yes","Due - invoice not paid","OK")))))))</f>
        <v>0</v>
      </c>
    </row>
    <row r="7" spans="1:25">
      <c r="A7" s="28">
        <f>IF(B7="","",PurchasePrefix&amp;TEXT(ROW()-4,"0000"))</f>
        <v>0</v>
      </c>
      <c r="E7" s="15">
        <f>IF(D7="","",IFERROR(INDEX(Inventory!$B$5:$B$304,MATCH(D7,Inventory!$A$5:$A$304,0)),"Not in Inventory"))</f>
        <v>0</v>
      </c>
      <c r="Q7" s="15">
        <f>IF(B7="","",TEXT(B7,"yyyy-mm"))</f>
        <v>0</v>
      </c>
      <c r="R7" s="26">
        <f>IF(B7="","",IF(G7&lt;&gt;"",G7,IFERROR(INDEX(Inventory!$H$5:$H$304,MATCH(D7,Inventory!$A$5:$A$304,0))*1,0)))</f>
        <v>0</v>
      </c>
      <c r="S7" s="26">
        <f>IF(B7="","",ROUND(IF(F7="",0,F7)*R7,2))</f>
        <v>0</v>
      </c>
      <c r="T7" s="26">
        <f>IF(B7="","",ROUND(S7+IF(H7="",0,H7)+IF(I7="",0,I7),2))</f>
        <v>0</v>
      </c>
      <c r="U7" s="37">
        <f>IF(B7="","",IF(J7="Received",IF(M7&lt;&gt;"",M7,IF(F7="",0,F7)),IF(J7="Part received",IF(M7="",0,M7),0)))</f>
        <v>0</v>
      </c>
      <c r="V7" s="37">
        <f>IF(B7="","",IF(J7="Ordered","",IF(J7="Draft","",ROUND(IF(F7="",0,F7)-U7,2))))</f>
        <v>0</v>
      </c>
      <c r="W7" s="25">
        <f>IF(B7="","",IF(L7="","",L7-B7))</f>
        <v>0</v>
      </c>
      <c r="X7" s="26">
        <f>IF(B7="","",IF(G7="","",IFERROR(ROUND(G7-INDEX(Inventory!$H$5:$H$304,MATCH(D7,Inventory!$A$5:$A$304,0)),2),"")))</f>
        <v>0</v>
      </c>
      <c r="Y7" s="39">
        <f>IF(B7="","",IF(D7="","Add - which product?",IF(J7="","Add - no status yet",IF(IF(J7="Ordered",IF(K7="",FALSE,K7&lt;TodayDate),FALSE),"Late - expected and not arrived",IF(V7&gt;0,"Check - delivery came up short",IF(IF(X7="",FALSE,X7&gt;0),"Check - cost has gone up",IF(O7&lt;&gt;"Yes","Due - invoice not paid","OK")))))))</f>
        <v>0</v>
      </c>
    </row>
    <row r="8" spans="1:25">
      <c r="A8" s="28">
        <f>IF(B8="","",PurchasePrefix&amp;TEXT(ROW()-4,"0000"))</f>
        <v>0</v>
      </c>
      <c r="E8" s="15">
        <f>IF(D8="","",IFERROR(INDEX(Inventory!$B$5:$B$304,MATCH(D8,Inventory!$A$5:$A$304,0)),"Not in Inventory"))</f>
        <v>0</v>
      </c>
      <c r="Q8" s="15">
        <f>IF(B8="","",TEXT(B8,"yyyy-mm"))</f>
        <v>0</v>
      </c>
      <c r="R8" s="26">
        <f>IF(B8="","",IF(G8&lt;&gt;"",G8,IFERROR(INDEX(Inventory!$H$5:$H$304,MATCH(D8,Inventory!$A$5:$A$304,0))*1,0)))</f>
        <v>0</v>
      </c>
      <c r="S8" s="26">
        <f>IF(B8="","",ROUND(IF(F8="",0,F8)*R8,2))</f>
        <v>0</v>
      </c>
      <c r="T8" s="26">
        <f>IF(B8="","",ROUND(S8+IF(H8="",0,H8)+IF(I8="",0,I8),2))</f>
        <v>0</v>
      </c>
      <c r="U8" s="37">
        <f>IF(B8="","",IF(J8="Received",IF(M8&lt;&gt;"",M8,IF(F8="",0,F8)),IF(J8="Part received",IF(M8="",0,M8),0)))</f>
        <v>0</v>
      </c>
      <c r="V8" s="37">
        <f>IF(B8="","",IF(J8="Ordered","",IF(J8="Draft","",ROUND(IF(F8="",0,F8)-U8,2))))</f>
        <v>0</v>
      </c>
      <c r="W8" s="25">
        <f>IF(B8="","",IF(L8="","",L8-B8))</f>
        <v>0</v>
      </c>
      <c r="X8" s="26">
        <f>IF(B8="","",IF(G8="","",IFERROR(ROUND(G8-INDEX(Inventory!$H$5:$H$304,MATCH(D8,Inventory!$A$5:$A$304,0)),2),"")))</f>
        <v>0</v>
      </c>
      <c r="Y8" s="39">
        <f>IF(B8="","",IF(D8="","Add - which product?",IF(J8="","Add - no status yet",IF(IF(J8="Ordered",IF(K8="",FALSE,K8&lt;TodayDate),FALSE),"Late - expected and not arrived",IF(V8&gt;0,"Check - delivery came up short",IF(IF(X8="",FALSE,X8&gt;0),"Check - cost has gone up",IF(O8&lt;&gt;"Yes","Due - invoice not paid","OK")))))))</f>
        <v>0</v>
      </c>
    </row>
    <row r="9" spans="1:25">
      <c r="A9" s="28">
        <f>IF(B9="","",PurchasePrefix&amp;TEXT(ROW()-4,"0000"))</f>
        <v>0</v>
      </c>
      <c r="E9" s="15">
        <f>IF(D9="","",IFERROR(INDEX(Inventory!$B$5:$B$304,MATCH(D9,Inventory!$A$5:$A$304,0)),"Not in Inventory"))</f>
        <v>0</v>
      </c>
      <c r="Q9" s="15">
        <f>IF(B9="","",TEXT(B9,"yyyy-mm"))</f>
        <v>0</v>
      </c>
      <c r="R9" s="26">
        <f>IF(B9="","",IF(G9&lt;&gt;"",G9,IFERROR(INDEX(Inventory!$H$5:$H$304,MATCH(D9,Inventory!$A$5:$A$304,0))*1,0)))</f>
        <v>0</v>
      </c>
      <c r="S9" s="26">
        <f>IF(B9="","",ROUND(IF(F9="",0,F9)*R9,2))</f>
        <v>0</v>
      </c>
      <c r="T9" s="26">
        <f>IF(B9="","",ROUND(S9+IF(H9="",0,H9)+IF(I9="",0,I9),2))</f>
        <v>0</v>
      </c>
      <c r="U9" s="37">
        <f>IF(B9="","",IF(J9="Received",IF(M9&lt;&gt;"",M9,IF(F9="",0,F9)),IF(J9="Part received",IF(M9="",0,M9),0)))</f>
        <v>0</v>
      </c>
      <c r="V9" s="37">
        <f>IF(B9="","",IF(J9="Ordered","",IF(J9="Draft","",ROUND(IF(F9="",0,F9)-U9,2))))</f>
        <v>0</v>
      </c>
      <c r="W9" s="25">
        <f>IF(B9="","",IF(L9="","",L9-B9))</f>
        <v>0</v>
      </c>
      <c r="X9" s="26">
        <f>IF(B9="","",IF(G9="","",IFERROR(ROUND(G9-INDEX(Inventory!$H$5:$H$304,MATCH(D9,Inventory!$A$5:$A$304,0)),2),"")))</f>
        <v>0</v>
      </c>
      <c r="Y9" s="39">
        <f>IF(B9="","",IF(D9="","Add - which product?",IF(J9="","Add - no status yet",IF(IF(J9="Ordered",IF(K9="",FALSE,K9&lt;TodayDate),FALSE),"Late - expected and not arrived",IF(V9&gt;0,"Check - delivery came up short",IF(IF(X9="",FALSE,X9&gt;0),"Check - cost has gone up",IF(O9&lt;&gt;"Yes","Due - invoice not paid","OK")))))))</f>
        <v>0</v>
      </c>
    </row>
    <row r="10" spans="1:25">
      <c r="A10" s="28">
        <f>IF(B10="","",PurchasePrefix&amp;TEXT(ROW()-4,"0000"))</f>
        <v>0</v>
      </c>
      <c r="E10" s="15">
        <f>IF(D10="","",IFERROR(INDEX(Inventory!$B$5:$B$304,MATCH(D10,Inventory!$A$5:$A$304,0)),"Not in Inventory"))</f>
        <v>0</v>
      </c>
      <c r="Q10" s="15">
        <f>IF(B10="","",TEXT(B10,"yyyy-mm"))</f>
        <v>0</v>
      </c>
      <c r="R10" s="26">
        <f>IF(B10="","",IF(G10&lt;&gt;"",G10,IFERROR(INDEX(Inventory!$H$5:$H$304,MATCH(D10,Inventory!$A$5:$A$304,0))*1,0)))</f>
        <v>0</v>
      </c>
      <c r="S10" s="26">
        <f>IF(B10="","",ROUND(IF(F10="",0,F10)*R10,2))</f>
        <v>0</v>
      </c>
      <c r="T10" s="26">
        <f>IF(B10="","",ROUND(S10+IF(H10="",0,H10)+IF(I10="",0,I10),2))</f>
        <v>0</v>
      </c>
      <c r="U10" s="37">
        <f>IF(B10="","",IF(J10="Received",IF(M10&lt;&gt;"",M10,IF(F10="",0,F10)),IF(J10="Part received",IF(M10="",0,M10),0)))</f>
        <v>0</v>
      </c>
      <c r="V10" s="37">
        <f>IF(B10="","",IF(J10="Ordered","",IF(J10="Draft","",ROUND(IF(F10="",0,F10)-U10,2))))</f>
        <v>0</v>
      </c>
      <c r="W10" s="25">
        <f>IF(B10="","",IF(L10="","",L10-B10))</f>
        <v>0</v>
      </c>
      <c r="X10" s="26">
        <f>IF(B10="","",IF(G10="","",IFERROR(ROUND(G10-INDEX(Inventory!$H$5:$H$304,MATCH(D10,Inventory!$A$5:$A$304,0)),2),"")))</f>
        <v>0</v>
      </c>
      <c r="Y10" s="39">
        <f>IF(B10="","",IF(D10="","Add - which product?",IF(J10="","Add - no status yet",IF(IF(J10="Ordered",IF(K10="",FALSE,K10&lt;TodayDate),FALSE),"Late - expected and not arrived",IF(V10&gt;0,"Check - delivery came up short",IF(IF(X10="",FALSE,X10&gt;0),"Check - cost has gone up",IF(O10&lt;&gt;"Yes","Due - invoice not paid","OK")))))))</f>
        <v>0</v>
      </c>
    </row>
    <row r="11" spans="1:25">
      <c r="A11" s="28">
        <f>IF(B11="","",PurchasePrefix&amp;TEXT(ROW()-4,"0000"))</f>
        <v>0</v>
      </c>
      <c r="E11" s="15">
        <f>IF(D11="","",IFERROR(INDEX(Inventory!$B$5:$B$304,MATCH(D11,Inventory!$A$5:$A$304,0)),"Not in Inventory"))</f>
        <v>0</v>
      </c>
      <c r="Q11" s="15">
        <f>IF(B11="","",TEXT(B11,"yyyy-mm"))</f>
        <v>0</v>
      </c>
      <c r="R11" s="26">
        <f>IF(B11="","",IF(G11&lt;&gt;"",G11,IFERROR(INDEX(Inventory!$H$5:$H$304,MATCH(D11,Inventory!$A$5:$A$304,0))*1,0)))</f>
        <v>0</v>
      </c>
      <c r="S11" s="26">
        <f>IF(B11="","",ROUND(IF(F11="",0,F11)*R11,2))</f>
        <v>0</v>
      </c>
      <c r="T11" s="26">
        <f>IF(B11="","",ROUND(S11+IF(H11="",0,H11)+IF(I11="",0,I11),2))</f>
        <v>0</v>
      </c>
      <c r="U11" s="37">
        <f>IF(B11="","",IF(J11="Received",IF(M11&lt;&gt;"",M11,IF(F11="",0,F11)),IF(J11="Part received",IF(M11="",0,M11),0)))</f>
        <v>0</v>
      </c>
      <c r="V11" s="37">
        <f>IF(B11="","",IF(J11="Ordered","",IF(J11="Draft","",ROUND(IF(F11="",0,F11)-U11,2))))</f>
        <v>0</v>
      </c>
      <c r="W11" s="25">
        <f>IF(B11="","",IF(L11="","",L11-B11))</f>
        <v>0</v>
      </c>
      <c r="X11" s="26">
        <f>IF(B11="","",IF(G11="","",IFERROR(ROUND(G11-INDEX(Inventory!$H$5:$H$304,MATCH(D11,Inventory!$A$5:$A$304,0)),2),"")))</f>
        <v>0</v>
      </c>
      <c r="Y11" s="39">
        <f>IF(B11="","",IF(D11="","Add - which product?",IF(J11="","Add - no status yet",IF(IF(J11="Ordered",IF(K11="",FALSE,K11&lt;TodayDate),FALSE),"Late - expected and not arrived",IF(V11&gt;0,"Check - delivery came up short",IF(IF(X11="",FALSE,X11&gt;0),"Check - cost has gone up",IF(O11&lt;&gt;"Yes","Due - invoice not paid","OK")))))))</f>
        <v>0</v>
      </c>
    </row>
    <row r="12" spans="1:25">
      <c r="A12" s="28">
        <f>IF(B12="","",PurchasePrefix&amp;TEXT(ROW()-4,"0000"))</f>
        <v>0</v>
      </c>
      <c r="E12" s="15">
        <f>IF(D12="","",IFERROR(INDEX(Inventory!$B$5:$B$304,MATCH(D12,Inventory!$A$5:$A$304,0)),"Not in Inventory"))</f>
        <v>0</v>
      </c>
      <c r="Q12" s="15">
        <f>IF(B12="","",TEXT(B12,"yyyy-mm"))</f>
        <v>0</v>
      </c>
      <c r="R12" s="26">
        <f>IF(B12="","",IF(G12&lt;&gt;"",G12,IFERROR(INDEX(Inventory!$H$5:$H$304,MATCH(D12,Inventory!$A$5:$A$304,0))*1,0)))</f>
        <v>0</v>
      </c>
      <c r="S12" s="26">
        <f>IF(B12="","",ROUND(IF(F12="",0,F12)*R12,2))</f>
        <v>0</v>
      </c>
      <c r="T12" s="26">
        <f>IF(B12="","",ROUND(S12+IF(H12="",0,H12)+IF(I12="",0,I12),2))</f>
        <v>0</v>
      </c>
      <c r="U12" s="37">
        <f>IF(B12="","",IF(J12="Received",IF(M12&lt;&gt;"",M12,IF(F12="",0,F12)),IF(J12="Part received",IF(M12="",0,M12),0)))</f>
        <v>0</v>
      </c>
      <c r="V12" s="37">
        <f>IF(B12="","",IF(J12="Ordered","",IF(J12="Draft","",ROUND(IF(F12="",0,F12)-U12,2))))</f>
        <v>0</v>
      </c>
      <c r="W12" s="25">
        <f>IF(B12="","",IF(L12="","",L12-B12))</f>
        <v>0</v>
      </c>
      <c r="X12" s="26">
        <f>IF(B12="","",IF(G12="","",IFERROR(ROUND(G12-INDEX(Inventory!$H$5:$H$304,MATCH(D12,Inventory!$A$5:$A$304,0)),2),"")))</f>
        <v>0</v>
      </c>
      <c r="Y12" s="39">
        <f>IF(B12="","",IF(D12="","Add - which product?",IF(J12="","Add - no status yet",IF(IF(J12="Ordered",IF(K12="",FALSE,K12&lt;TodayDate),FALSE),"Late - expected and not arrived",IF(V12&gt;0,"Check - delivery came up short",IF(IF(X12="",FALSE,X12&gt;0),"Check - cost has gone up",IF(O12&lt;&gt;"Yes","Due - invoice not paid","OK")))))))</f>
        <v>0</v>
      </c>
    </row>
    <row r="13" spans="1:25">
      <c r="A13" s="28">
        <f>IF(B13="","",PurchasePrefix&amp;TEXT(ROW()-4,"0000"))</f>
        <v>0</v>
      </c>
      <c r="E13" s="15">
        <f>IF(D13="","",IFERROR(INDEX(Inventory!$B$5:$B$304,MATCH(D13,Inventory!$A$5:$A$304,0)),"Not in Inventory"))</f>
        <v>0</v>
      </c>
      <c r="Q13" s="15">
        <f>IF(B13="","",TEXT(B13,"yyyy-mm"))</f>
        <v>0</v>
      </c>
      <c r="R13" s="26">
        <f>IF(B13="","",IF(G13&lt;&gt;"",G13,IFERROR(INDEX(Inventory!$H$5:$H$304,MATCH(D13,Inventory!$A$5:$A$304,0))*1,0)))</f>
        <v>0</v>
      </c>
      <c r="S13" s="26">
        <f>IF(B13="","",ROUND(IF(F13="",0,F13)*R13,2))</f>
        <v>0</v>
      </c>
      <c r="T13" s="26">
        <f>IF(B13="","",ROUND(S13+IF(H13="",0,H13)+IF(I13="",0,I13),2))</f>
        <v>0</v>
      </c>
      <c r="U13" s="37">
        <f>IF(B13="","",IF(J13="Received",IF(M13&lt;&gt;"",M13,IF(F13="",0,F13)),IF(J13="Part received",IF(M13="",0,M13),0)))</f>
        <v>0</v>
      </c>
      <c r="V13" s="37">
        <f>IF(B13="","",IF(J13="Ordered","",IF(J13="Draft","",ROUND(IF(F13="",0,F13)-U13,2))))</f>
        <v>0</v>
      </c>
      <c r="W13" s="25">
        <f>IF(B13="","",IF(L13="","",L13-B13))</f>
        <v>0</v>
      </c>
      <c r="X13" s="26">
        <f>IF(B13="","",IF(G13="","",IFERROR(ROUND(G13-INDEX(Inventory!$H$5:$H$304,MATCH(D13,Inventory!$A$5:$A$304,0)),2),"")))</f>
        <v>0</v>
      </c>
      <c r="Y13" s="39">
        <f>IF(B13="","",IF(D13="","Add - which product?",IF(J13="","Add - no status yet",IF(IF(J13="Ordered",IF(K13="",FALSE,K13&lt;TodayDate),FALSE),"Late - expected and not arrived",IF(V13&gt;0,"Check - delivery came up short",IF(IF(X13="",FALSE,X13&gt;0),"Check - cost has gone up",IF(O13&lt;&gt;"Yes","Due - invoice not paid","OK")))))))</f>
        <v>0</v>
      </c>
    </row>
    <row r="14" spans="1:25">
      <c r="A14" s="28">
        <f>IF(B14="","",PurchasePrefix&amp;TEXT(ROW()-4,"0000"))</f>
        <v>0</v>
      </c>
      <c r="E14" s="15">
        <f>IF(D14="","",IFERROR(INDEX(Inventory!$B$5:$B$304,MATCH(D14,Inventory!$A$5:$A$304,0)),"Not in Inventory"))</f>
        <v>0</v>
      </c>
      <c r="Q14" s="15">
        <f>IF(B14="","",TEXT(B14,"yyyy-mm"))</f>
        <v>0</v>
      </c>
      <c r="R14" s="26">
        <f>IF(B14="","",IF(G14&lt;&gt;"",G14,IFERROR(INDEX(Inventory!$H$5:$H$304,MATCH(D14,Inventory!$A$5:$A$304,0))*1,0)))</f>
        <v>0</v>
      </c>
      <c r="S14" s="26">
        <f>IF(B14="","",ROUND(IF(F14="",0,F14)*R14,2))</f>
        <v>0</v>
      </c>
      <c r="T14" s="26">
        <f>IF(B14="","",ROUND(S14+IF(H14="",0,H14)+IF(I14="",0,I14),2))</f>
        <v>0</v>
      </c>
      <c r="U14" s="37">
        <f>IF(B14="","",IF(J14="Received",IF(M14&lt;&gt;"",M14,IF(F14="",0,F14)),IF(J14="Part received",IF(M14="",0,M14),0)))</f>
        <v>0</v>
      </c>
      <c r="V14" s="37">
        <f>IF(B14="","",IF(J14="Ordered","",IF(J14="Draft","",ROUND(IF(F14="",0,F14)-U14,2))))</f>
        <v>0</v>
      </c>
      <c r="W14" s="25">
        <f>IF(B14="","",IF(L14="","",L14-B14))</f>
        <v>0</v>
      </c>
      <c r="X14" s="26">
        <f>IF(B14="","",IF(G14="","",IFERROR(ROUND(G14-INDEX(Inventory!$H$5:$H$304,MATCH(D14,Inventory!$A$5:$A$304,0)),2),"")))</f>
        <v>0</v>
      </c>
      <c r="Y14" s="39">
        <f>IF(B14="","",IF(D14="","Add - which product?",IF(J14="","Add - no status yet",IF(IF(J14="Ordered",IF(K14="",FALSE,K14&lt;TodayDate),FALSE),"Late - expected and not arrived",IF(V14&gt;0,"Check - delivery came up short",IF(IF(X14="",FALSE,X14&gt;0),"Check - cost has gone up",IF(O14&lt;&gt;"Yes","Due - invoice not paid","OK")))))))</f>
        <v>0</v>
      </c>
    </row>
    <row r="15" spans="1:25">
      <c r="A15" s="28">
        <f>IF(B15="","",PurchasePrefix&amp;TEXT(ROW()-4,"0000"))</f>
        <v>0</v>
      </c>
      <c r="E15" s="15">
        <f>IF(D15="","",IFERROR(INDEX(Inventory!$B$5:$B$304,MATCH(D15,Inventory!$A$5:$A$304,0)),"Not in Inventory"))</f>
        <v>0</v>
      </c>
      <c r="Q15" s="15">
        <f>IF(B15="","",TEXT(B15,"yyyy-mm"))</f>
        <v>0</v>
      </c>
      <c r="R15" s="26">
        <f>IF(B15="","",IF(G15&lt;&gt;"",G15,IFERROR(INDEX(Inventory!$H$5:$H$304,MATCH(D15,Inventory!$A$5:$A$304,0))*1,0)))</f>
        <v>0</v>
      </c>
      <c r="S15" s="26">
        <f>IF(B15="","",ROUND(IF(F15="",0,F15)*R15,2))</f>
        <v>0</v>
      </c>
      <c r="T15" s="26">
        <f>IF(B15="","",ROUND(S15+IF(H15="",0,H15)+IF(I15="",0,I15),2))</f>
        <v>0</v>
      </c>
      <c r="U15" s="37">
        <f>IF(B15="","",IF(J15="Received",IF(M15&lt;&gt;"",M15,IF(F15="",0,F15)),IF(J15="Part received",IF(M15="",0,M15),0)))</f>
        <v>0</v>
      </c>
      <c r="V15" s="37">
        <f>IF(B15="","",IF(J15="Ordered","",IF(J15="Draft","",ROUND(IF(F15="",0,F15)-U15,2))))</f>
        <v>0</v>
      </c>
      <c r="W15" s="25">
        <f>IF(B15="","",IF(L15="","",L15-B15))</f>
        <v>0</v>
      </c>
      <c r="X15" s="26">
        <f>IF(B15="","",IF(G15="","",IFERROR(ROUND(G15-INDEX(Inventory!$H$5:$H$304,MATCH(D15,Inventory!$A$5:$A$304,0)),2),"")))</f>
        <v>0</v>
      </c>
      <c r="Y15" s="39">
        <f>IF(B15="","",IF(D15="","Add - which product?",IF(J15="","Add - no status yet",IF(IF(J15="Ordered",IF(K15="",FALSE,K15&lt;TodayDate),FALSE),"Late - expected and not arrived",IF(V15&gt;0,"Check - delivery came up short",IF(IF(X15="",FALSE,X15&gt;0),"Check - cost has gone up",IF(O15&lt;&gt;"Yes","Due - invoice not paid","OK")))))))</f>
        <v>0</v>
      </c>
    </row>
    <row r="16" spans="1:25">
      <c r="A16" s="28">
        <f>IF(B16="","",PurchasePrefix&amp;TEXT(ROW()-4,"0000"))</f>
        <v>0</v>
      </c>
      <c r="E16" s="15">
        <f>IF(D16="","",IFERROR(INDEX(Inventory!$B$5:$B$304,MATCH(D16,Inventory!$A$5:$A$304,0)),"Not in Inventory"))</f>
        <v>0</v>
      </c>
      <c r="Q16" s="15">
        <f>IF(B16="","",TEXT(B16,"yyyy-mm"))</f>
        <v>0</v>
      </c>
      <c r="R16" s="26">
        <f>IF(B16="","",IF(G16&lt;&gt;"",G16,IFERROR(INDEX(Inventory!$H$5:$H$304,MATCH(D16,Inventory!$A$5:$A$304,0))*1,0)))</f>
        <v>0</v>
      </c>
      <c r="S16" s="26">
        <f>IF(B16="","",ROUND(IF(F16="",0,F16)*R16,2))</f>
        <v>0</v>
      </c>
      <c r="T16" s="26">
        <f>IF(B16="","",ROUND(S16+IF(H16="",0,H16)+IF(I16="",0,I16),2))</f>
        <v>0</v>
      </c>
      <c r="U16" s="37">
        <f>IF(B16="","",IF(J16="Received",IF(M16&lt;&gt;"",M16,IF(F16="",0,F16)),IF(J16="Part received",IF(M16="",0,M16),0)))</f>
        <v>0</v>
      </c>
      <c r="V16" s="37">
        <f>IF(B16="","",IF(J16="Ordered","",IF(J16="Draft","",ROUND(IF(F16="",0,F16)-U16,2))))</f>
        <v>0</v>
      </c>
      <c r="W16" s="25">
        <f>IF(B16="","",IF(L16="","",L16-B16))</f>
        <v>0</v>
      </c>
      <c r="X16" s="26">
        <f>IF(B16="","",IF(G16="","",IFERROR(ROUND(G16-INDEX(Inventory!$H$5:$H$304,MATCH(D16,Inventory!$A$5:$A$304,0)),2),"")))</f>
        <v>0</v>
      </c>
      <c r="Y16" s="39">
        <f>IF(B16="","",IF(D16="","Add - which product?",IF(J16="","Add - no status yet",IF(IF(J16="Ordered",IF(K16="",FALSE,K16&lt;TodayDate),FALSE),"Late - expected and not arrived",IF(V16&gt;0,"Check - delivery came up short",IF(IF(X16="",FALSE,X16&gt;0),"Check - cost has gone up",IF(O16&lt;&gt;"Yes","Due - invoice not paid","OK")))))))</f>
        <v>0</v>
      </c>
    </row>
    <row r="17" spans="1:25">
      <c r="A17" s="28">
        <f>IF(B17="","",PurchasePrefix&amp;TEXT(ROW()-4,"0000"))</f>
        <v>0</v>
      </c>
      <c r="E17" s="15">
        <f>IF(D17="","",IFERROR(INDEX(Inventory!$B$5:$B$304,MATCH(D17,Inventory!$A$5:$A$304,0)),"Not in Inventory"))</f>
        <v>0</v>
      </c>
      <c r="Q17" s="15">
        <f>IF(B17="","",TEXT(B17,"yyyy-mm"))</f>
        <v>0</v>
      </c>
      <c r="R17" s="26">
        <f>IF(B17="","",IF(G17&lt;&gt;"",G17,IFERROR(INDEX(Inventory!$H$5:$H$304,MATCH(D17,Inventory!$A$5:$A$304,0))*1,0)))</f>
        <v>0</v>
      </c>
      <c r="S17" s="26">
        <f>IF(B17="","",ROUND(IF(F17="",0,F17)*R17,2))</f>
        <v>0</v>
      </c>
      <c r="T17" s="26">
        <f>IF(B17="","",ROUND(S17+IF(H17="",0,H17)+IF(I17="",0,I17),2))</f>
        <v>0</v>
      </c>
      <c r="U17" s="37">
        <f>IF(B17="","",IF(J17="Received",IF(M17&lt;&gt;"",M17,IF(F17="",0,F17)),IF(J17="Part received",IF(M17="",0,M17),0)))</f>
        <v>0</v>
      </c>
      <c r="V17" s="37">
        <f>IF(B17="","",IF(J17="Ordered","",IF(J17="Draft","",ROUND(IF(F17="",0,F17)-U17,2))))</f>
        <v>0</v>
      </c>
      <c r="W17" s="25">
        <f>IF(B17="","",IF(L17="","",L17-B17))</f>
        <v>0</v>
      </c>
      <c r="X17" s="26">
        <f>IF(B17="","",IF(G17="","",IFERROR(ROUND(G17-INDEX(Inventory!$H$5:$H$304,MATCH(D17,Inventory!$A$5:$A$304,0)),2),"")))</f>
        <v>0</v>
      </c>
      <c r="Y17" s="39">
        <f>IF(B17="","",IF(D17="","Add - which product?",IF(J17="","Add - no status yet",IF(IF(J17="Ordered",IF(K17="",FALSE,K17&lt;TodayDate),FALSE),"Late - expected and not arrived",IF(V17&gt;0,"Check - delivery came up short",IF(IF(X17="",FALSE,X17&gt;0),"Check - cost has gone up",IF(O17&lt;&gt;"Yes","Due - invoice not paid","OK")))))))</f>
        <v>0</v>
      </c>
    </row>
    <row r="18" spans="1:25">
      <c r="A18" s="28">
        <f>IF(B18="","",PurchasePrefix&amp;TEXT(ROW()-4,"0000"))</f>
        <v>0</v>
      </c>
      <c r="E18" s="15">
        <f>IF(D18="","",IFERROR(INDEX(Inventory!$B$5:$B$304,MATCH(D18,Inventory!$A$5:$A$304,0)),"Not in Inventory"))</f>
        <v>0</v>
      </c>
      <c r="Q18" s="15">
        <f>IF(B18="","",TEXT(B18,"yyyy-mm"))</f>
        <v>0</v>
      </c>
      <c r="R18" s="26">
        <f>IF(B18="","",IF(G18&lt;&gt;"",G18,IFERROR(INDEX(Inventory!$H$5:$H$304,MATCH(D18,Inventory!$A$5:$A$304,0))*1,0)))</f>
        <v>0</v>
      </c>
      <c r="S18" s="26">
        <f>IF(B18="","",ROUND(IF(F18="",0,F18)*R18,2))</f>
        <v>0</v>
      </c>
      <c r="T18" s="26">
        <f>IF(B18="","",ROUND(S18+IF(H18="",0,H18)+IF(I18="",0,I18),2))</f>
        <v>0</v>
      </c>
      <c r="U18" s="37">
        <f>IF(B18="","",IF(J18="Received",IF(M18&lt;&gt;"",M18,IF(F18="",0,F18)),IF(J18="Part received",IF(M18="",0,M18),0)))</f>
        <v>0</v>
      </c>
      <c r="V18" s="37">
        <f>IF(B18="","",IF(J18="Ordered","",IF(J18="Draft","",ROUND(IF(F18="",0,F18)-U18,2))))</f>
        <v>0</v>
      </c>
      <c r="W18" s="25">
        <f>IF(B18="","",IF(L18="","",L18-B18))</f>
        <v>0</v>
      </c>
      <c r="X18" s="26">
        <f>IF(B18="","",IF(G18="","",IFERROR(ROUND(G18-INDEX(Inventory!$H$5:$H$304,MATCH(D18,Inventory!$A$5:$A$304,0)),2),"")))</f>
        <v>0</v>
      </c>
      <c r="Y18" s="39">
        <f>IF(B18="","",IF(D18="","Add - which product?",IF(J18="","Add - no status yet",IF(IF(J18="Ordered",IF(K18="",FALSE,K18&lt;TodayDate),FALSE),"Late - expected and not arrived",IF(V18&gt;0,"Check - delivery came up short",IF(IF(X18="",FALSE,X18&gt;0),"Check - cost has gone up",IF(O18&lt;&gt;"Yes","Due - invoice not paid","OK")))))))</f>
        <v>0</v>
      </c>
    </row>
    <row r="19" spans="1:25">
      <c r="A19" s="28">
        <f>IF(B19="","",PurchasePrefix&amp;TEXT(ROW()-4,"0000"))</f>
        <v>0</v>
      </c>
      <c r="E19" s="15">
        <f>IF(D19="","",IFERROR(INDEX(Inventory!$B$5:$B$304,MATCH(D19,Inventory!$A$5:$A$304,0)),"Not in Inventory"))</f>
        <v>0</v>
      </c>
      <c r="Q19" s="15">
        <f>IF(B19="","",TEXT(B19,"yyyy-mm"))</f>
        <v>0</v>
      </c>
      <c r="R19" s="26">
        <f>IF(B19="","",IF(G19&lt;&gt;"",G19,IFERROR(INDEX(Inventory!$H$5:$H$304,MATCH(D19,Inventory!$A$5:$A$304,0))*1,0)))</f>
        <v>0</v>
      </c>
      <c r="S19" s="26">
        <f>IF(B19="","",ROUND(IF(F19="",0,F19)*R19,2))</f>
        <v>0</v>
      </c>
      <c r="T19" s="26">
        <f>IF(B19="","",ROUND(S19+IF(H19="",0,H19)+IF(I19="",0,I19),2))</f>
        <v>0</v>
      </c>
      <c r="U19" s="37">
        <f>IF(B19="","",IF(J19="Received",IF(M19&lt;&gt;"",M19,IF(F19="",0,F19)),IF(J19="Part received",IF(M19="",0,M19),0)))</f>
        <v>0</v>
      </c>
      <c r="V19" s="37">
        <f>IF(B19="","",IF(J19="Ordered","",IF(J19="Draft","",ROUND(IF(F19="",0,F19)-U19,2))))</f>
        <v>0</v>
      </c>
      <c r="W19" s="25">
        <f>IF(B19="","",IF(L19="","",L19-B19))</f>
        <v>0</v>
      </c>
      <c r="X19" s="26">
        <f>IF(B19="","",IF(G19="","",IFERROR(ROUND(G19-INDEX(Inventory!$H$5:$H$304,MATCH(D19,Inventory!$A$5:$A$304,0)),2),"")))</f>
        <v>0</v>
      </c>
      <c r="Y19" s="39">
        <f>IF(B19="","",IF(D19="","Add - which product?",IF(J19="","Add - no status yet",IF(IF(J19="Ordered",IF(K19="",FALSE,K19&lt;TodayDate),FALSE),"Late - expected and not arrived",IF(V19&gt;0,"Check - delivery came up short",IF(IF(X19="",FALSE,X19&gt;0),"Check - cost has gone up",IF(O19&lt;&gt;"Yes","Due - invoice not paid","OK")))))))</f>
        <v>0</v>
      </c>
    </row>
    <row r="20" spans="1:25">
      <c r="A20" s="28">
        <f>IF(B20="","",PurchasePrefix&amp;TEXT(ROW()-4,"0000"))</f>
        <v>0</v>
      </c>
      <c r="E20" s="15">
        <f>IF(D20="","",IFERROR(INDEX(Inventory!$B$5:$B$304,MATCH(D20,Inventory!$A$5:$A$304,0)),"Not in Inventory"))</f>
        <v>0</v>
      </c>
      <c r="Q20" s="15">
        <f>IF(B20="","",TEXT(B20,"yyyy-mm"))</f>
        <v>0</v>
      </c>
      <c r="R20" s="26">
        <f>IF(B20="","",IF(G20&lt;&gt;"",G20,IFERROR(INDEX(Inventory!$H$5:$H$304,MATCH(D20,Inventory!$A$5:$A$304,0))*1,0)))</f>
        <v>0</v>
      </c>
      <c r="S20" s="26">
        <f>IF(B20="","",ROUND(IF(F20="",0,F20)*R20,2))</f>
        <v>0</v>
      </c>
      <c r="T20" s="26">
        <f>IF(B20="","",ROUND(S20+IF(H20="",0,H20)+IF(I20="",0,I20),2))</f>
        <v>0</v>
      </c>
      <c r="U20" s="37">
        <f>IF(B20="","",IF(J20="Received",IF(M20&lt;&gt;"",M20,IF(F20="",0,F20)),IF(J20="Part received",IF(M20="",0,M20),0)))</f>
        <v>0</v>
      </c>
      <c r="V20" s="37">
        <f>IF(B20="","",IF(J20="Ordered","",IF(J20="Draft","",ROUND(IF(F20="",0,F20)-U20,2))))</f>
        <v>0</v>
      </c>
      <c r="W20" s="25">
        <f>IF(B20="","",IF(L20="","",L20-B20))</f>
        <v>0</v>
      </c>
      <c r="X20" s="26">
        <f>IF(B20="","",IF(G20="","",IFERROR(ROUND(G20-INDEX(Inventory!$H$5:$H$304,MATCH(D20,Inventory!$A$5:$A$304,0)),2),"")))</f>
        <v>0</v>
      </c>
      <c r="Y20" s="39">
        <f>IF(B20="","",IF(D20="","Add - which product?",IF(J20="","Add - no status yet",IF(IF(J20="Ordered",IF(K20="",FALSE,K20&lt;TodayDate),FALSE),"Late - expected and not arrived",IF(V20&gt;0,"Check - delivery came up short",IF(IF(X20="",FALSE,X20&gt;0),"Check - cost has gone up",IF(O20&lt;&gt;"Yes","Due - invoice not paid","OK")))))))</f>
        <v>0</v>
      </c>
    </row>
    <row r="21" spans="1:25">
      <c r="A21" s="28">
        <f>IF(B21="","",PurchasePrefix&amp;TEXT(ROW()-4,"0000"))</f>
        <v>0</v>
      </c>
      <c r="E21" s="15">
        <f>IF(D21="","",IFERROR(INDEX(Inventory!$B$5:$B$304,MATCH(D21,Inventory!$A$5:$A$304,0)),"Not in Inventory"))</f>
        <v>0</v>
      </c>
      <c r="Q21" s="15">
        <f>IF(B21="","",TEXT(B21,"yyyy-mm"))</f>
        <v>0</v>
      </c>
      <c r="R21" s="26">
        <f>IF(B21="","",IF(G21&lt;&gt;"",G21,IFERROR(INDEX(Inventory!$H$5:$H$304,MATCH(D21,Inventory!$A$5:$A$304,0))*1,0)))</f>
        <v>0</v>
      </c>
      <c r="S21" s="26">
        <f>IF(B21="","",ROUND(IF(F21="",0,F21)*R21,2))</f>
        <v>0</v>
      </c>
      <c r="T21" s="26">
        <f>IF(B21="","",ROUND(S21+IF(H21="",0,H21)+IF(I21="",0,I21),2))</f>
        <v>0</v>
      </c>
      <c r="U21" s="37">
        <f>IF(B21="","",IF(J21="Received",IF(M21&lt;&gt;"",M21,IF(F21="",0,F21)),IF(J21="Part received",IF(M21="",0,M21),0)))</f>
        <v>0</v>
      </c>
      <c r="V21" s="37">
        <f>IF(B21="","",IF(J21="Ordered","",IF(J21="Draft","",ROUND(IF(F21="",0,F21)-U21,2))))</f>
        <v>0</v>
      </c>
      <c r="W21" s="25">
        <f>IF(B21="","",IF(L21="","",L21-B21))</f>
        <v>0</v>
      </c>
      <c r="X21" s="26">
        <f>IF(B21="","",IF(G21="","",IFERROR(ROUND(G21-INDEX(Inventory!$H$5:$H$304,MATCH(D21,Inventory!$A$5:$A$304,0)),2),"")))</f>
        <v>0</v>
      </c>
      <c r="Y21" s="39">
        <f>IF(B21="","",IF(D21="","Add - which product?",IF(J21="","Add - no status yet",IF(IF(J21="Ordered",IF(K21="",FALSE,K21&lt;TodayDate),FALSE),"Late - expected and not arrived",IF(V21&gt;0,"Check - delivery came up short",IF(IF(X21="",FALSE,X21&gt;0),"Check - cost has gone up",IF(O21&lt;&gt;"Yes","Due - invoice not paid","OK")))))))</f>
        <v>0</v>
      </c>
    </row>
    <row r="22" spans="1:25">
      <c r="A22" s="28">
        <f>IF(B22="","",PurchasePrefix&amp;TEXT(ROW()-4,"0000"))</f>
        <v>0</v>
      </c>
      <c r="E22" s="15">
        <f>IF(D22="","",IFERROR(INDEX(Inventory!$B$5:$B$304,MATCH(D22,Inventory!$A$5:$A$304,0)),"Not in Inventory"))</f>
        <v>0</v>
      </c>
      <c r="Q22" s="15">
        <f>IF(B22="","",TEXT(B22,"yyyy-mm"))</f>
        <v>0</v>
      </c>
      <c r="R22" s="26">
        <f>IF(B22="","",IF(G22&lt;&gt;"",G22,IFERROR(INDEX(Inventory!$H$5:$H$304,MATCH(D22,Inventory!$A$5:$A$304,0))*1,0)))</f>
        <v>0</v>
      </c>
      <c r="S22" s="26">
        <f>IF(B22="","",ROUND(IF(F22="",0,F22)*R22,2))</f>
        <v>0</v>
      </c>
      <c r="T22" s="26">
        <f>IF(B22="","",ROUND(S22+IF(H22="",0,H22)+IF(I22="",0,I22),2))</f>
        <v>0</v>
      </c>
      <c r="U22" s="37">
        <f>IF(B22="","",IF(J22="Received",IF(M22&lt;&gt;"",M22,IF(F22="",0,F22)),IF(J22="Part received",IF(M22="",0,M22),0)))</f>
        <v>0</v>
      </c>
      <c r="V22" s="37">
        <f>IF(B22="","",IF(J22="Ordered","",IF(J22="Draft","",ROUND(IF(F22="",0,F22)-U22,2))))</f>
        <v>0</v>
      </c>
      <c r="W22" s="25">
        <f>IF(B22="","",IF(L22="","",L22-B22))</f>
        <v>0</v>
      </c>
      <c r="X22" s="26">
        <f>IF(B22="","",IF(G22="","",IFERROR(ROUND(G22-INDEX(Inventory!$H$5:$H$304,MATCH(D22,Inventory!$A$5:$A$304,0)),2),"")))</f>
        <v>0</v>
      </c>
      <c r="Y22" s="39">
        <f>IF(B22="","",IF(D22="","Add - which product?",IF(J22="","Add - no status yet",IF(IF(J22="Ordered",IF(K22="",FALSE,K22&lt;TodayDate),FALSE),"Late - expected and not arrived",IF(V22&gt;0,"Check - delivery came up short",IF(IF(X22="",FALSE,X22&gt;0),"Check - cost has gone up",IF(O22&lt;&gt;"Yes","Due - invoice not paid","OK")))))))</f>
        <v>0</v>
      </c>
    </row>
    <row r="23" spans="1:25">
      <c r="A23" s="28">
        <f>IF(B23="","",PurchasePrefix&amp;TEXT(ROW()-4,"0000"))</f>
        <v>0</v>
      </c>
      <c r="E23" s="15">
        <f>IF(D23="","",IFERROR(INDEX(Inventory!$B$5:$B$304,MATCH(D23,Inventory!$A$5:$A$304,0)),"Not in Inventory"))</f>
        <v>0</v>
      </c>
      <c r="Q23" s="15">
        <f>IF(B23="","",TEXT(B23,"yyyy-mm"))</f>
        <v>0</v>
      </c>
      <c r="R23" s="26">
        <f>IF(B23="","",IF(G23&lt;&gt;"",G23,IFERROR(INDEX(Inventory!$H$5:$H$304,MATCH(D23,Inventory!$A$5:$A$304,0))*1,0)))</f>
        <v>0</v>
      </c>
      <c r="S23" s="26">
        <f>IF(B23="","",ROUND(IF(F23="",0,F23)*R23,2))</f>
        <v>0</v>
      </c>
      <c r="T23" s="26">
        <f>IF(B23="","",ROUND(S23+IF(H23="",0,H23)+IF(I23="",0,I23),2))</f>
        <v>0</v>
      </c>
      <c r="U23" s="37">
        <f>IF(B23="","",IF(J23="Received",IF(M23&lt;&gt;"",M23,IF(F23="",0,F23)),IF(J23="Part received",IF(M23="",0,M23),0)))</f>
        <v>0</v>
      </c>
      <c r="V23" s="37">
        <f>IF(B23="","",IF(J23="Ordered","",IF(J23="Draft","",ROUND(IF(F23="",0,F23)-U23,2))))</f>
        <v>0</v>
      </c>
      <c r="W23" s="25">
        <f>IF(B23="","",IF(L23="","",L23-B23))</f>
        <v>0</v>
      </c>
      <c r="X23" s="26">
        <f>IF(B23="","",IF(G23="","",IFERROR(ROUND(G23-INDEX(Inventory!$H$5:$H$304,MATCH(D23,Inventory!$A$5:$A$304,0)),2),"")))</f>
        <v>0</v>
      </c>
      <c r="Y23" s="39">
        <f>IF(B23="","",IF(D23="","Add - which product?",IF(J23="","Add - no status yet",IF(IF(J23="Ordered",IF(K23="",FALSE,K23&lt;TodayDate),FALSE),"Late - expected and not arrived",IF(V23&gt;0,"Check - delivery came up short",IF(IF(X23="",FALSE,X23&gt;0),"Check - cost has gone up",IF(O23&lt;&gt;"Yes","Due - invoice not paid","OK")))))))</f>
        <v>0</v>
      </c>
    </row>
    <row r="24" spans="1:25">
      <c r="A24" s="28">
        <f>IF(B24="","",PurchasePrefix&amp;TEXT(ROW()-4,"0000"))</f>
        <v>0</v>
      </c>
      <c r="E24" s="15">
        <f>IF(D24="","",IFERROR(INDEX(Inventory!$B$5:$B$304,MATCH(D24,Inventory!$A$5:$A$304,0)),"Not in Inventory"))</f>
        <v>0</v>
      </c>
      <c r="Q24" s="15">
        <f>IF(B24="","",TEXT(B24,"yyyy-mm"))</f>
        <v>0</v>
      </c>
      <c r="R24" s="26">
        <f>IF(B24="","",IF(G24&lt;&gt;"",G24,IFERROR(INDEX(Inventory!$H$5:$H$304,MATCH(D24,Inventory!$A$5:$A$304,0))*1,0)))</f>
        <v>0</v>
      </c>
      <c r="S24" s="26">
        <f>IF(B24="","",ROUND(IF(F24="",0,F24)*R24,2))</f>
        <v>0</v>
      </c>
      <c r="T24" s="26">
        <f>IF(B24="","",ROUND(S24+IF(H24="",0,H24)+IF(I24="",0,I24),2))</f>
        <v>0</v>
      </c>
      <c r="U24" s="37">
        <f>IF(B24="","",IF(J24="Received",IF(M24&lt;&gt;"",M24,IF(F24="",0,F24)),IF(J24="Part received",IF(M24="",0,M24),0)))</f>
        <v>0</v>
      </c>
      <c r="V24" s="37">
        <f>IF(B24="","",IF(J24="Ordered","",IF(J24="Draft","",ROUND(IF(F24="",0,F24)-U24,2))))</f>
        <v>0</v>
      </c>
      <c r="W24" s="25">
        <f>IF(B24="","",IF(L24="","",L24-B24))</f>
        <v>0</v>
      </c>
      <c r="X24" s="26">
        <f>IF(B24="","",IF(G24="","",IFERROR(ROUND(G24-INDEX(Inventory!$H$5:$H$304,MATCH(D24,Inventory!$A$5:$A$304,0)),2),"")))</f>
        <v>0</v>
      </c>
      <c r="Y24" s="39">
        <f>IF(B24="","",IF(D24="","Add - which product?",IF(J24="","Add - no status yet",IF(IF(J24="Ordered",IF(K24="",FALSE,K24&lt;TodayDate),FALSE),"Late - expected and not arrived",IF(V24&gt;0,"Check - delivery came up short",IF(IF(X24="",FALSE,X24&gt;0),"Check - cost has gone up",IF(O24&lt;&gt;"Yes","Due - invoice not paid","OK")))))))</f>
        <v>0</v>
      </c>
    </row>
    <row r="25" spans="1:25">
      <c r="A25" s="28">
        <f>IF(B25="","",PurchasePrefix&amp;TEXT(ROW()-4,"0000"))</f>
        <v>0</v>
      </c>
      <c r="E25" s="15">
        <f>IF(D25="","",IFERROR(INDEX(Inventory!$B$5:$B$304,MATCH(D25,Inventory!$A$5:$A$304,0)),"Not in Inventory"))</f>
        <v>0</v>
      </c>
      <c r="Q25" s="15">
        <f>IF(B25="","",TEXT(B25,"yyyy-mm"))</f>
        <v>0</v>
      </c>
      <c r="R25" s="26">
        <f>IF(B25="","",IF(G25&lt;&gt;"",G25,IFERROR(INDEX(Inventory!$H$5:$H$304,MATCH(D25,Inventory!$A$5:$A$304,0))*1,0)))</f>
        <v>0</v>
      </c>
      <c r="S25" s="26">
        <f>IF(B25="","",ROUND(IF(F25="",0,F25)*R25,2))</f>
        <v>0</v>
      </c>
      <c r="T25" s="26">
        <f>IF(B25="","",ROUND(S25+IF(H25="",0,H25)+IF(I25="",0,I25),2))</f>
        <v>0</v>
      </c>
      <c r="U25" s="37">
        <f>IF(B25="","",IF(J25="Received",IF(M25&lt;&gt;"",M25,IF(F25="",0,F25)),IF(J25="Part received",IF(M25="",0,M25),0)))</f>
        <v>0</v>
      </c>
      <c r="V25" s="37">
        <f>IF(B25="","",IF(J25="Ordered","",IF(J25="Draft","",ROUND(IF(F25="",0,F25)-U25,2))))</f>
        <v>0</v>
      </c>
      <c r="W25" s="25">
        <f>IF(B25="","",IF(L25="","",L25-B25))</f>
        <v>0</v>
      </c>
      <c r="X25" s="26">
        <f>IF(B25="","",IF(G25="","",IFERROR(ROUND(G25-INDEX(Inventory!$H$5:$H$304,MATCH(D25,Inventory!$A$5:$A$304,0)),2),"")))</f>
        <v>0</v>
      </c>
      <c r="Y25" s="39">
        <f>IF(B25="","",IF(D25="","Add - which product?",IF(J25="","Add - no status yet",IF(IF(J25="Ordered",IF(K25="",FALSE,K25&lt;TodayDate),FALSE),"Late - expected and not arrived",IF(V25&gt;0,"Check - delivery came up short",IF(IF(X25="",FALSE,X25&gt;0),"Check - cost has gone up",IF(O25&lt;&gt;"Yes","Due - invoice not paid","OK")))))))</f>
        <v>0</v>
      </c>
    </row>
    <row r="26" spans="1:25">
      <c r="A26" s="28">
        <f>IF(B26="","",PurchasePrefix&amp;TEXT(ROW()-4,"0000"))</f>
        <v>0</v>
      </c>
      <c r="E26" s="15">
        <f>IF(D26="","",IFERROR(INDEX(Inventory!$B$5:$B$304,MATCH(D26,Inventory!$A$5:$A$304,0)),"Not in Inventory"))</f>
        <v>0</v>
      </c>
      <c r="Q26" s="15">
        <f>IF(B26="","",TEXT(B26,"yyyy-mm"))</f>
        <v>0</v>
      </c>
      <c r="R26" s="26">
        <f>IF(B26="","",IF(G26&lt;&gt;"",G26,IFERROR(INDEX(Inventory!$H$5:$H$304,MATCH(D26,Inventory!$A$5:$A$304,0))*1,0)))</f>
        <v>0</v>
      </c>
      <c r="S26" s="26">
        <f>IF(B26="","",ROUND(IF(F26="",0,F26)*R26,2))</f>
        <v>0</v>
      </c>
      <c r="T26" s="26">
        <f>IF(B26="","",ROUND(S26+IF(H26="",0,H26)+IF(I26="",0,I26),2))</f>
        <v>0</v>
      </c>
      <c r="U26" s="37">
        <f>IF(B26="","",IF(J26="Received",IF(M26&lt;&gt;"",M26,IF(F26="",0,F26)),IF(J26="Part received",IF(M26="",0,M26),0)))</f>
        <v>0</v>
      </c>
      <c r="V26" s="37">
        <f>IF(B26="","",IF(J26="Ordered","",IF(J26="Draft","",ROUND(IF(F26="",0,F26)-U26,2))))</f>
        <v>0</v>
      </c>
      <c r="W26" s="25">
        <f>IF(B26="","",IF(L26="","",L26-B26))</f>
        <v>0</v>
      </c>
      <c r="X26" s="26">
        <f>IF(B26="","",IF(G26="","",IFERROR(ROUND(G26-INDEX(Inventory!$H$5:$H$304,MATCH(D26,Inventory!$A$5:$A$304,0)),2),"")))</f>
        <v>0</v>
      </c>
      <c r="Y26" s="39">
        <f>IF(B26="","",IF(D26="","Add - which product?",IF(J26="","Add - no status yet",IF(IF(J26="Ordered",IF(K26="",FALSE,K26&lt;TodayDate),FALSE),"Late - expected and not arrived",IF(V26&gt;0,"Check - delivery came up short",IF(IF(X26="",FALSE,X26&gt;0),"Check - cost has gone up",IF(O26&lt;&gt;"Yes","Due - invoice not paid","OK")))))))</f>
        <v>0</v>
      </c>
    </row>
    <row r="27" spans="1:25">
      <c r="A27" s="28">
        <f>IF(B27="","",PurchasePrefix&amp;TEXT(ROW()-4,"0000"))</f>
        <v>0</v>
      </c>
      <c r="E27" s="15">
        <f>IF(D27="","",IFERROR(INDEX(Inventory!$B$5:$B$304,MATCH(D27,Inventory!$A$5:$A$304,0)),"Not in Inventory"))</f>
        <v>0</v>
      </c>
      <c r="Q27" s="15">
        <f>IF(B27="","",TEXT(B27,"yyyy-mm"))</f>
        <v>0</v>
      </c>
      <c r="R27" s="26">
        <f>IF(B27="","",IF(G27&lt;&gt;"",G27,IFERROR(INDEX(Inventory!$H$5:$H$304,MATCH(D27,Inventory!$A$5:$A$304,0))*1,0)))</f>
        <v>0</v>
      </c>
      <c r="S27" s="26">
        <f>IF(B27="","",ROUND(IF(F27="",0,F27)*R27,2))</f>
        <v>0</v>
      </c>
      <c r="T27" s="26">
        <f>IF(B27="","",ROUND(S27+IF(H27="",0,H27)+IF(I27="",0,I27),2))</f>
        <v>0</v>
      </c>
      <c r="U27" s="37">
        <f>IF(B27="","",IF(J27="Received",IF(M27&lt;&gt;"",M27,IF(F27="",0,F27)),IF(J27="Part received",IF(M27="",0,M27),0)))</f>
        <v>0</v>
      </c>
      <c r="V27" s="37">
        <f>IF(B27="","",IF(J27="Ordered","",IF(J27="Draft","",ROUND(IF(F27="",0,F27)-U27,2))))</f>
        <v>0</v>
      </c>
      <c r="W27" s="25">
        <f>IF(B27="","",IF(L27="","",L27-B27))</f>
        <v>0</v>
      </c>
      <c r="X27" s="26">
        <f>IF(B27="","",IF(G27="","",IFERROR(ROUND(G27-INDEX(Inventory!$H$5:$H$304,MATCH(D27,Inventory!$A$5:$A$304,0)),2),"")))</f>
        <v>0</v>
      </c>
      <c r="Y27" s="39">
        <f>IF(B27="","",IF(D27="","Add - which product?",IF(J27="","Add - no status yet",IF(IF(J27="Ordered",IF(K27="",FALSE,K27&lt;TodayDate),FALSE),"Late - expected and not arrived",IF(V27&gt;0,"Check - delivery came up short",IF(IF(X27="",FALSE,X27&gt;0),"Check - cost has gone up",IF(O27&lt;&gt;"Yes","Due - invoice not paid","OK")))))))</f>
        <v>0</v>
      </c>
    </row>
    <row r="28" spans="1:25">
      <c r="A28" s="28">
        <f>IF(B28="","",PurchasePrefix&amp;TEXT(ROW()-4,"0000"))</f>
        <v>0</v>
      </c>
      <c r="E28" s="15">
        <f>IF(D28="","",IFERROR(INDEX(Inventory!$B$5:$B$304,MATCH(D28,Inventory!$A$5:$A$304,0)),"Not in Inventory"))</f>
        <v>0</v>
      </c>
      <c r="Q28" s="15">
        <f>IF(B28="","",TEXT(B28,"yyyy-mm"))</f>
        <v>0</v>
      </c>
      <c r="R28" s="26">
        <f>IF(B28="","",IF(G28&lt;&gt;"",G28,IFERROR(INDEX(Inventory!$H$5:$H$304,MATCH(D28,Inventory!$A$5:$A$304,0))*1,0)))</f>
        <v>0</v>
      </c>
      <c r="S28" s="26">
        <f>IF(B28="","",ROUND(IF(F28="",0,F28)*R28,2))</f>
        <v>0</v>
      </c>
      <c r="T28" s="26">
        <f>IF(B28="","",ROUND(S28+IF(H28="",0,H28)+IF(I28="",0,I28),2))</f>
        <v>0</v>
      </c>
      <c r="U28" s="37">
        <f>IF(B28="","",IF(J28="Received",IF(M28&lt;&gt;"",M28,IF(F28="",0,F28)),IF(J28="Part received",IF(M28="",0,M28),0)))</f>
        <v>0</v>
      </c>
      <c r="V28" s="37">
        <f>IF(B28="","",IF(J28="Ordered","",IF(J28="Draft","",ROUND(IF(F28="",0,F28)-U28,2))))</f>
        <v>0</v>
      </c>
      <c r="W28" s="25">
        <f>IF(B28="","",IF(L28="","",L28-B28))</f>
        <v>0</v>
      </c>
      <c r="X28" s="26">
        <f>IF(B28="","",IF(G28="","",IFERROR(ROUND(G28-INDEX(Inventory!$H$5:$H$304,MATCH(D28,Inventory!$A$5:$A$304,0)),2),"")))</f>
        <v>0</v>
      </c>
      <c r="Y28" s="39">
        <f>IF(B28="","",IF(D28="","Add - which product?",IF(J28="","Add - no status yet",IF(IF(J28="Ordered",IF(K28="",FALSE,K28&lt;TodayDate),FALSE),"Late - expected and not arrived",IF(V28&gt;0,"Check - delivery came up short",IF(IF(X28="",FALSE,X28&gt;0),"Check - cost has gone up",IF(O28&lt;&gt;"Yes","Due - invoice not paid","OK")))))))</f>
        <v>0</v>
      </c>
    </row>
    <row r="29" spans="1:25">
      <c r="A29" s="28">
        <f>IF(B29="","",PurchasePrefix&amp;TEXT(ROW()-4,"0000"))</f>
        <v>0</v>
      </c>
      <c r="E29" s="15">
        <f>IF(D29="","",IFERROR(INDEX(Inventory!$B$5:$B$304,MATCH(D29,Inventory!$A$5:$A$304,0)),"Not in Inventory"))</f>
        <v>0</v>
      </c>
      <c r="Q29" s="15">
        <f>IF(B29="","",TEXT(B29,"yyyy-mm"))</f>
        <v>0</v>
      </c>
      <c r="R29" s="26">
        <f>IF(B29="","",IF(G29&lt;&gt;"",G29,IFERROR(INDEX(Inventory!$H$5:$H$304,MATCH(D29,Inventory!$A$5:$A$304,0))*1,0)))</f>
        <v>0</v>
      </c>
      <c r="S29" s="26">
        <f>IF(B29="","",ROUND(IF(F29="",0,F29)*R29,2))</f>
        <v>0</v>
      </c>
      <c r="T29" s="26">
        <f>IF(B29="","",ROUND(S29+IF(H29="",0,H29)+IF(I29="",0,I29),2))</f>
        <v>0</v>
      </c>
      <c r="U29" s="37">
        <f>IF(B29="","",IF(J29="Received",IF(M29&lt;&gt;"",M29,IF(F29="",0,F29)),IF(J29="Part received",IF(M29="",0,M29),0)))</f>
        <v>0</v>
      </c>
      <c r="V29" s="37">
        <f>IF(B29="","",IF(J29="Ordered","",IF(J29="Draft","",ROUND(IF(F29="",0,F29)-U29,2))))</f>
        <v>0</v>
      </c>
      <c r="W29" s="25">
        <f>IF(B29="","",IF(L29="","",L29-B29))</f>
        <v>0</v>
      </c>
      <c r="X29" s="26">
        <f>IF(B29="","",IF(G29="","",IFERROR(ROUND(G29-INDEX(Inventory!$H$5:$H$304,MATCH(D29,Inventory!$A$5:$A$304,0)),2),"")))</f>
        <v>0</v>
      </c>
      <c r="Y29" s="39">
        <f>IF(B29="","",IF(D29="","Add - which product?",IF(J29="","Add - no status yet",IF(IF(J29="Ordered",IF(K29="",FALSE,K29&lt;TodayDate),FALSE),"Late - expected and not arrived",IF(V29&gt;0,"Check - delivery came up short",IF(IF(X29="",FALSE,X29&gt;0),"Check - cost has gone up",IF(O29&lt;&gt;"Yes","Due - invoice not paid","OK")))))))</f>
        <v>0</v>
      </c>
    </row>
    <row r="30" spans="1:25">
      <c r="A30" s="28">
        <f>IF(B30="","",PurchasePrefix&amp;TEXT(ROW()-4,"0000"))</f>
        <v>0</v>
      </c>
      <c r="E30" s="15">
        <f>IF(D30="","",IFERROR(INDEX(Inventory!$B$5:$B$304,MATCH(D30,Inventory!$A$5:$A$304,0)),"Not in Inventory"))</f>
        <v>0</v>
      </c>
      <c r="Q30" s="15">
        <f>IF(B30="","",TEXT(B30,"yyyy-mm"))</f>
        <v>0</v>
      </c>
      <c r="R30" s="26">
        <f>IF(B30="","",IF(G30&lt;&gt;"",G30,IFERROR(INDEX(Inventory!$H$5:$H$304,MATCH(D30,Inventory!$A$5:$A$304,0))*1,0)))</f>
        <v>0</v>
      </c>
      <c r="S30" s="26">
        <f>IF(B30="","",ROUND(IF(F30="",0,F30)*R30,2))</f>
        <v>0</v>
      </c>
      <c r="T30" s="26">
        <f>IF(B30="","",ROUND(S30+IF(H30="",0,H30)+IF(I30="",0,I30),2))</f>
        <v>0</v>
      </c>
      <c r="U30" s="37">
        <f>IF(B30="","",IF(J30="Received",IF(M30&lt;&gt;"",M30,IF(F30="",0,F30)),IF(J30="Part received",IF(M30="",0,M30),0)))</f>
        <v>0</v>
      </c>
      <c r="V30" s="37">
        <f>IF(B30="","",IF(J30="Ordered","",IF(J30="Draft","",ROUND(IF(F30="",0,F30)-U30,2))))</f>
        <v>0</v>
      </c>
      <c r="W30" s="25">
        <f>IF(B30="","",IF(L30="","",L30-B30))</f>
        <v>0</v>
      </c>
      <c r="X30" s="26">
        <f>IF(B30="","",IF(G30="","",IFERROR(ROUND(G30-INDEX(Inventory!$H$5:$H$304,MATCH(D30,Inventory!$A$5:$A$304,0)),2),"")))</f>
        <v>0</v>
      </c>
      <c r="Y30" s="39">
        <f>IF(B30="","",IF(D30="","Add - which product?",IF(J30="","Add - no status yet",IF(IF(J30="Ordered",IF(K30="",FALSE,K30&lt;TodayDate),FALSE),"Late - expected and not arrived",IF(V30&gt;0,"Check - delivery came up short",IF(IF(X30="",FALSE,X30&gt;0),"Check - cost has gone up",IF(O30&lt;&gt;"Yes","Due - invoice not paid","OK")))))))</f>
        <v>0</v>
      </c>
    </row>
    <row r="31" spans="1:25">
      <c r="A31" s="28">
        <f>IF(B31="","",PurchasePrefix&amp;TEXT(ROW()-4,"0000"))</f>
        <v>0</v>
      </c>
      <c r="E31" s="15">
        <f>IF(D31="","",IFERROR(INDEX(Inventory!$B$5:$B$304,MATCH(D31,Inventory!$A$5:$A$304,0)),"Not in Inventory"))</f>
        <v>0</v>
      </c>
      <c r="Q31" s="15">
        <f>IF(B31="","",TEXT(B31,"yyyy-mm"))</f>
        <v>0</v>
      </c>
      <c r="R31" s="26">
        <f>IF(B31="","",IF(G31&lt;&gt;"",G31,IFERROR(INDEX(Inventory!$H$5:$H$304,MATCH(D31,Inventory!$A$5:$A$304,0))*1,0)))</f>
        <v>0</v>
      </c>
      <c r="S31" s="26">
        <f>IF(B31="","",ROUND(IF(F31="",0,F31)*R31,2))</f>
        <v>0</v>
      </c>
      <c r="T31" s="26">
        <f>IF(B31="","",ROUND(S31+IF(H31="",0,H31)+IF(I31="",0,I31),2))</f>
        <v>0</v>
      </c>
      <c r="U31" s="37">
        <f>IF(B31="","",IF(J31="Received",IF(M31&lt;&gt;"",M31,IF(F31="",0,F31)),IF(J31="Part received",IF(M31="",0,M31),0)))</f>
        <v>0</v>
      </c>
      <c r="V31" s="37">
        <f>IF(B31="","",IF(J31="Ordered","",IF(J31="Draft","",ROUND(IF(F31="",0,F31)-U31,2))))</f>
        <v>0</v>
      </c>
      <c r="W31" s="25">
        <f>IF(B31="","",IF(L31="","",L31-B31))</f>
        <v>0</v>
      </c>
      <c r="X31" s="26">
        <f>IF(B31="","",IF(G31="","",IFERROR(ROUND(G31-INDEX(Inventory!$H$5:$H$304,MATCH(D31,Inventory!$A$5:$A$304,0)),2),"")))</f>
        <v>0</v>
      </c>
      <c r="Y31" s="39">
        <f>IF(B31="","",IF(D31="","Add - which product?",IF(J31="","Add - no status yet",IF(IF(J31="Ordered",IF(K31="",FALSE,K31&lt;TodayDate),FALSE),"Late - expected and not arrived",IF(V31&gt;0,"Check - delivery came up short",IF(IF(X31="",FALSE,X31&gt;0),"Check - cost has gone up",IF(O31&lt;&gt;"Yes","Due - invoice not paid","OK")))))))</f>
        <v>0</v>
      </c>
    </row>
    <row r="32" spans="1:25">
      <c r="A32" s="28">
        <f>IF(B32="","",PurchasePrefix&amp;TEXT(ROW()-4,"0000"))</f>
        <v>0</v>
      </c>
      <c r="E32" s="15">
        <f>IF(D32="","",IFERROR(INDEX(Inventory!$B$5:$B$304,MATCH(D32,Inventory!$A$5:$A$304,0)),"Not in Inventory"))</f>
        <v>0</v>
      </c>
      <c r="Q32" s="15">
        <f>IF(B32="","",TEXT(B32,"yyyy-mm"))</f>
        <v>0</v>
      </c>
      <c r="R32" s="26">
        <f>IF(B32="","",IF(G32&lt;&gt;"",G32,IFERROR(INDEX(Inventory!$H$5:$H$304,MATCH(D32,Inventory!$A$5:$A$304,0))*1,0)))</f>
        <v>0</v>
      </c>
      <c r="S32" s="26">
        <f>IF(B32="","",ROUND(IF(F32="",0,F32)*R32,2))</f>
        <v>0</v>
      </c>
      <c r="T32" s="26">
        <f>IF(B32="","",ROUND(S32+IF(H32="",0,H32)+IF(I32="",0,I32),2))</f>
        <v>0</v>
      </c>
      <c r="U32" s="37">
        <f>IF(B32="","",IF(J32="Received",IF(M32&lt;&gt;"",M32,IF(F32="",0,F32)),IF(J32="Part received",IF(M32="",0,M32),0)))</f>
        <v>0</v>
      </c>
      <c r="V32" s="37">
        <f>IF(B32="","",IF(J32="Ordered","",IF(J32="Draft","",ROUND(IF(F32="",0,F32)-U32,2))))</f>
        <v>0</v>
      </c>
      <c r="W32" s="25">
        <f>IF(B32="","",IF(L32="","",L32-B32))</f>
        <v>0</v>
      </c>
      <c r="X32" s="26">
        <f>IF(B32="","",IF(G32="","",IFERROR(ROUND(G32-INDEX(Inventory!$H$5:$H$304,MATCH(D32,Inventory!$A$5:$A$304,0)),2),"")))</f>
        <v>0</v>
      </c>
      <c r="Y32" s="39">
        <f>IF(B32="","",IF(D32="","Add - which product?",IF(J32="","Add - no status yet",IF(IF(J32="Ordered",IF(K32="",FALSE,K32&lt;TodayDate),FALSE),"Late - expected and not arrived",IF(V32&gt;0,"Check - delivery came up short",IF(IF(X32="",FALSE,X32&gt;0),"Check - cost has gone up",IF(O32&lt;&gt;"Yes","Due - invoice not paid","OK")))))))</f>
        <v>0</v>
      </c>
    </row>
    <row r="33" spans="1:25">
      <c r="A33" s="28">
        <f>IF(B33="","",PurchasePrefix&amp;TEXT(ROW()-4,"0000"))</f>
        <v>0</v>
      </c>
      <c r="E33" s="15">
        <f>IF(D33="","",IFERROR(INDEX(Inventory!$B$5:$B$304,MATCH(D33,Inventory!$A$5:$A$304,0)),"Not in Inventory"))</f>
        <v>0</v>
      </c>
      <c r="Q33" s="15">
        <f>IF(B33="","",TEXT(B33,"yyyy-mm"))</f>
        <v>0</v>
      </c>
      <c r="R33" s="26">
        <f>IF(B33="","",IF(G33&lt;&gt;"",G33,IFERROR(INDEX(Inventory!$H$5:$H$304,MATCH(D33,Inventory!$A$5:$A$304,0))*1,0)))</f>
        <v>0</v>
      </c>
      <c r="S33" s="26">
        <f>IF(B33="","",ROUND(IF(F33="",0,F33)*R33,2))</f>
        <v>0</v>
      </c>
      <c r="T33" s="26">
        <f>IF(B33="","",ROUND(S33+IF(H33="",0,H33)+IF(I33="",0,I33),2))</f>
        <v>0</v>
      </c>
      <c r="U33" s="37">
        <f>IF(B33="","",IF(J33="Received",IF(M33&lt;&gt;"",M33,IF(F33="",0,F33)),IF(J33="Part received",IF(M33="",0,M33),0)))</f>
        <v>0</v>
      </c>
      <c r="V33" s="37">
        <f>IF(B33="","",IF(J33="Ordered","",IF(J33="Draft","",ROUND(IF(F33="",0,F33)-U33,2))))</f>
        <v>0</v>
      </c>
      <c r="W33" s="25">
        <f>IF(B33="","",IF(L33="","",L33-B33))</f>
        <v>0</v>
      </c>
      <c r="X33" s="26">
        <f>IF(B33="","",IF(G33="","",IFERROR(ROUND(G33-INDEX(Inventory!$H$5:$H$304,MATCH(D33,Inventory!$A$5:$A$304,0)),2),"")))</f>
        <v>0</v>
      </c>
      <c r="Y33" s="39">
        <f>IF(B33="","",IF(D33="","Add - which product?",IF(J33="","Add - no status yet",IF(IF(J33="Ordered",IF(K33="",FALSE,K33&lt;TodayDate),FALSE),"Late - expected and not arrived",IF(V33&gt;0,"Check - delivery came up short",IF(IF(X33="",FALSE,X33&gt;0),"Check - cost has gone up",IF(O33&lt;&gt;"Yes","Due - invoice not paid","OK")))))))</f>
        <v>0</v>
      </c>
    </row>
    <row r="34" spans="1:25">
      <c r="A34" s="28">
        <f>IF(B34="","",PurchasePrefix&amp;TEXT(ROW()-4,"0000"))</f>
        <v>0</v>
      </c>
      <c r="E34" s="15">
        <f>IF(D34="","",IFERROR(INDEX(Inventory!$B$5:$B$304,MATCH(D34,Inventory!$A$5:$A$304,0)),"Not in Inventory"))</f>
        <v>0</v>
      </c>
      <c r="Q34" s="15">
        <f>IF(B34="","",TEXT(B34,"yyyy-mm"))</f>
        <v>0</v>
      </c>
      <c r="R34" s="26">
        <f>IF(B34="","",IF(G34&lt;&gt;"",G34,IFERROR(INDEX(Inventory!$H$5:$H$304,MATCH(D34,Inventory!$A$5:$A$304,0))*1,0)))</f>
        <v>0</v>
      </c>
      <c r="S34" s="26">
        <f>IF(B34="","",ROUND(IF(F34="",0,F34)*R34,2))</f>
        <v>0</v>
      </c>
      <c r="T34" s="26">
        <f>IF(B34="","",ROUND(S34+IF(H34="",0,H34)+IF(I34="",0,I34),2))</f>
        <v>0</v>
      </c>
      <c r="U34" s="37">
        <f>IF(B34="","",IF(J34="Received",IF(M34&lt;&gt;"",M34,IF(F34="",0,F34)),IF(J34="Part received",IF(M34="",0,M34),0)))</f>
        <v>0</v>
      </c>
      <c r="V34" s="37">
        <f>IF(B34="","",IF(J34="Ordered","",IF(J34="Draft","",ROUND(IF(F34="",0,F34)-U34,2))))</f>
        <v>0</v>
      </c>
      <c r="W34" s="25">
        <f>IF(B34="","",IF(L34="","",L34-B34))</f>
        <v>0</v>
      </c>
      <c r="X34" s="26">
        <f>IF(B34="","",IF(G34="","",IFERROR(ROUND(G34-INDEX(Inventory!$H$5:$H$304,MATCH(D34,Inventory!$A$5:$A$304,0)),2),"")))</f>
        <v>0</v>
      </c>
      <c r="Y34" s="39">
        <f>IF(B34="","",IF(D34="","Add - which product?",IF(J34="","Add - no status yet",IF(IF(J34="Ordered",IF(K34="",FALSE,K34&lt;TodayDate),FALSE),"Late - expected and not arrived",IF(V34&gt;0,"Check - delivery came up short",IF(IF(X34="",FALSE,X34&gt;0),"Check - cost has gone up",IF(O34&lt;&gt;"Yes","Due - invoice not paid","OK")))))))</f>
        <v>0</v>
      </c>
    </row>
    <row r="35" spans="1:25">
      <c r="A35" s="28">
        <f>IF(B35="","",PurchasePrefix&amp;TEXT(ROW()-4,"0000"))</f>
        <v>0</v>
      </c>
      <c r="E35" s="15">
        <f>IF(D35="","",IFERROR(INDEX(Inventory!$B$5:$B$304,MATCH(D35,Inventory!$A$5:$A$304,0)),"Not in Inventory"))</f>
        <v>0</v>
      </c>
      <c r="Q35" s="15">
        <f>IF(B35="","",TEXT(B35,"yyyy-mm"))</f>
        <v>0</v>
      </c>
      <c r="R35" s="26">
        <f>IF(B35="","",IF(G35&lt;&gt;"",G35,IFERROR(INDEX(Inventory!$H$5:$H$304,MATCH(D35,Inventory!$A$5:$A$304,0))*1,0)))</f>
        <v>0</v>
      </c>
      <c r="S35" s="26">
        <f>IF(B35="","",ROUND(IF(F35="",0,F35)*R35,2))</f>
        <v>0</v>
      </c>
      <c r="T35" s="26">
        <f>IF(B35="","",ROUND(S35+IF(H35="",0,H35)+IF(I35="",0,I35),2))</f>
        <v>0</v>
      </c>
      <c r="U35" s="37">
        <f>IF(B35="","",IF(J35="Received",IF(M35&lt;&gt;"",M35,IF(F35="",0,F35)),IF(J35="Part received",IF(M35="",0,M35),0)))</f>
        <v>0</v>
      </c>
      <c r="V35" s="37">
        <f>IF(B35="","",IF(J35="Ordered","",IF(J35="Draft","",ROUND(IF(F35="",0,F35)-U35,2))))</f>
        <v>0</v>
      </c>
      <c r="W35" s="25">
        <f>IF(B35="","",IF(L35="","",L35-B35))</f>
        <v>0</v>
      </c>
      <c r="X35" s="26">
        <f>IF(B35="","",IF(G35="","",IFERROR(ROUND(G35-INDEX(Inventory!$H$5:$H$304,MATCH(D35,Inventory!$A$5:$A$304,0)),2),"")))</f>
        <v>0</v>
      </c>
      <c r="Y35" s="39">
        <f>IF(B35="","",IF(D35="","Add - which product?",IF(J35="","Add - no status yet",IF(IF(J35="Ordered",IF(K35="",FALSE,K35&lt;TodayDate),FALSE),"Late - expected and not arrived",IF(V35&gt;0,"Check - delivery came up short",IF(IF(X35="",FALSE,X35&gt;0),"Check - cost has gone up",IF(O35&lt;&gt;"Yes","Due - invoice not paid","OK")))))))</f>
        <v>0</v>
      </c>
    </row>
    <row r="36" spans="1:25">
      <c r="A36" s="28">
        <f>IF(B36="","",PurchasePrefix&amp;TEXT(ROW()-4,"0000"))</f>
        <v>0</v>
      </c>
      <c r="E36" s="15">
        <f>IF(D36="","",IFERROR(INDEX(Inventory!$B$5:$B$304,MATCH(D36,Inventory!$A$5:$A$304,0)),"Not in Inventory"))</f>
        <v>0</v>
      </c>
      <c r="Q36" s="15">
        <f>IF(B36="","",TEXT(B36,"yyyy-mm"))</f>
        <v>0</v>
      </c>
      <c r="R36" s="26">
        <f>IF(B36="","",IF(G36&lt;&gt;"",G36,IFERROR(INDEX(Inventory!$H$5:$H$304,MATCH(D36,Inventory!$A$5:$A$304,0))*1,0)))</f>
        <v>0</v>
      </c>
      <c r="S36" s="26">
        <f>IF(B36="","",ROUND(IF(F36="",0,F36)*R36,2))</f>
        <v>0</v>
      </c>
      <c r="T36" s="26">
        <f>IF(B36="","",ROUND(S36+IF(H36="",0,H36)+IF(I36="",0,I36),2))</f>
        <v>0</v>
      </c>
      <c r="U36" s="37">
        <f>IF(B36="","",IF(J36="Received",IF(M36&lt;&gt;"",M36,IF(F36="",0,F36)),IF(J36="Part received",IF(M36="",0,M36),0)))</f>
        <v>0</v>
      </c>
      <c r="V36" s="37">
        <f>IF(B36="","",IF(J36="Ordered","",IF(J36="Draft","",ROUND(IF(F36="",0,F36)-U36,2))))</f>
        <v>0</v>
      </c>
      <c r="W36" s="25">
        <f>IF(B36="","",IF(L36="","",L36-B36))</f>
        <v>0</v>
      </c>
      <c r="X36" s="26">
        <f>IF(B36="","",IF(G36="","",IFERROR(ROUND(G36-INDEX(Inventory!$H$5:$H$304,MATCH(D36,Inventory!$A$5:$A$304,0)),2),"")))</f>
        <v>0</v>
      </c>
      <c r="Y36" s="39">
        <f>IF(B36="","",IF(D36="","Add - which product?",IF(J36="","Add - no status yet",IF(IF(J36="Ordered",IF(K36="",FALSE,K36&lt;TodayDate),FALSE),"Late - expected and not arrived",IF(V36&gt;0,"Check - delivery came up short",IF(IF(X36="",FALSE,X36&gt;0),"Check - cost has gone up",IF(O36&lt;&gt;"Yes","Due - invoice not paid","OK")))))))</f>
        <v>0</v>
      </c>
    </row>
    <row r="37" spans="1:25">
      <c r="A37" s="28">
        <f>IF(B37="","",PurchasePrefix&amp;TEXT(ROW()-4,"0000"))</f>
        <v>0</v>
      </c>
      <c r="E37" s="15">
        <f>IF(D37="","",IFERROR(INDEX(Inventory!$B$5:$B$304,MATCH(D37,Inventory!$A$5:$A$304,0)),"Not in Inventory"))</f>
        <v>0</v>
      </c>
      <c r="Q37" s="15">
        <f>IF(B37="","",TEXT(B37,"yyyy-mm"))</f>
        <v>0</v>
      </c>
      <c r="R37" s="26">
        <f>IF(B37="","",IF(G37&lt;&gt;"",G37,IFERROR(INDEX(Inventory!$H$5:$H$304,MATCH(D37,Inventory!$A$5:$A$304,0))*1,0)))</f>
        <v>0</v>
      </c>
      <c r="S37" s="26">
        <f>IF(B37="","",ROUND(IF(F37="",0,F37)*R37,2))</f>
        <v>0</v>
      </c>
      <c r="T37" s="26">
        <f>IF(B37="","",ROUND(S37+IF(H37="",0,H37)+IF(I37="",0,I37),2))</f>
        <v>0</v>
      </c>
      <c r="U37" s="37">
        <f>IF(B37="","",IF(J37="Received",IF(M37&lt;&gt;"",M37,IF(F37="",0,F37)),IF(J37="Part received",IF(M37="",0,M37),0)))</f>
        <v>0</v>
      </c>
      <c r="V37" s="37">
        <f>IF(B37="","",IF(J37="Ordered","",IF(J37="Draft","",ROUND(IF(F37="",0,F37)-U37,2))))</f>
        <v>0</v>
      </c>
      <c r="W37" s="25">
        <f>IF(B37="","",IF(L37="","",L37-B37))</f>
        <v>0</v>
      </c>
      <c r="X37" s="26">
        <f>IF(B37="","",IF(G37="","",IFERROR(ROUND(G37-INDEX(Inventory!$H$5:$H$304,MATCH(D37,Inventory!$A$5:$A$304,0)),2),"")))</f>
        <v>0</v>
      </c>
      <c r="Y37" s="39">
        <f>IF(B37="","",IF(D37="","Add - which product?",IF(J37="","Add - no status yet",IF(IF(J37="Ordered",IF(K37="",FALSE,K37&lt;TodayDate),FALSE),"Late - expected and not arrived",IF(V37&gt;0,"Check - delivery came up short",IF(IF(X37="",FALSE,X37&gt;0),"Check - cost has gone up",IF(O37&lt;&gt;"Yes","Due - invoice not paid","OK")))))))</f>
        <v>0</v>
      </c>
    </row>
    <row r="38" spans="1:25">
      <c r="A38" s="28">
        <f>IF(B38="","",PurchasePrefix&amp;TEXT(ROW()-4,"0000"))</f>
        <v>0</v>
      </c>
      <c r="E38" s="15">
        <f>IF(D38="","",IFERROR(INDEX(Inventory!$B$5:$B$304,MATCH(D38,Inventory!$A$5:$A$304,0)),"Not in Inventory"))</f>
        <v>0</v>
      </c>
      <c r="Q38" s="15">
        <f>IF(B38="","",TEXT(B38,"yyyy-mm"))</f>
        <v>0</v>
      </c>
      <c r="R38" s="26">
        <f>IF(B38="","",IF(G38&lt;&gt;"",G38,IFERROR(INDEX(Inventory!$H$5:$H$304,MATCH(D38,Inventory!$A$5:$A$304,0))*1,0)))</f>
        <v>0</v>
      </c>
      <c r="S38" s="26">
        <f>IF(B38="","",ROUND(IF(F38="",0,F38)*R38,2))</f>
        <v>0</v>
      </c>
      <c r="T38" s="26">
        <f>IF(B38="","",ROUND(S38+IF(H38="",0,H38)+IF(I38="",0,I38),2))</f>
        <v>0</v>
      </c>
      <c r="U38" s="37">
        <f>IF(B38="","",IF(J38="Received",IF(M38&lt;&gt;"",M38,IF(F38="",0,F38)),IF(J38="Part received",IF(M38="",0,M38),0)))</f>
        <v>0</v>
      </c>
      <c r="V38" s="37">
        <f>IF(B38="","",IF(J38="Ordered","",IF(J38="Draft","",ROUND(IF(F38="",0,F38)-U38,2))))</f>
        <v>0</v>
      </c>
      <c r="W38" s="25">
        <f>IF(B38="","",IF(L38="","",L38-B38))</f>
        <v>0</v>
      </c>
      <c r="X38" s="26">
        <f>IF(B38="","",IF(G38="","",IFERROR(ROUND(G38-INDEX(Inventory!$H$5:$H$304,MATCH(D38,Inventory!$A$5:$A$304,0)),2),"")))</f>
        <v>0</v>
      </c>
      <c r="Y38" s="39">
        <f>IF(B38="","",IF(D38="","Add - which product?",IF(J38="","Add - no status yet",IF(IF(J38="Ordered",IF(K38="",FALSE,K38&lt;TodayDate),FALSE),"Late - expected and not arrived",IF(V38&gt;0,"Check - delivery came up short",IF(IF(X38="",FALSE,X38&gt;0),"Check - cost has gone up",IF(O38&lt;&gt;"Yes","Due - invoice not paid","OK")))))))</f>
        <v>0</v>
      </c>
    </row>
    <row r="39" spans="1:25">
      <c r="A39" s="28">
        <f>IF(B39="","",PurchasePrefix&amp;TEXT(ROW()-4,"0000"))</f>
        <v>0</v>
      </c>
      <c r="E39" s="15">
        <f>IF(D39="","",IFERROR(INDEX(Inventory!$B$5:$B$304,MATCH(D39,Inventory!$A$5:$A$304,0)),"Not in Inventory"))</f>
        <v>0</v>
      </c>
      <c r="Q39" s="15">
        <f>IF(B39="","",TEXT(B39,"yyyy-mm"))</f>
        <v>0</v>
      </c>
      <c r="R39" s="26">
        <f>IF(B39="","",IF(G39&lt;&gt;"",G39,IFERROR(INDEX(Inventory!$H$5:$H$304,MATCH(D39,Inventory!$A$5:$A$304,0))*1,0)))</f>
        <v>0</v>
      </c>
      <c r="S39" s="26">
        <f>IF(B39="","",ROUND(IF(F39="",0,F39)*R39,2))</f>
        <v>0</v>
      </c>
      <c r="T39" s="26">
        <f>IF(B39="","",ROUND(S39+IF(H39="",0,H39)+IF(I39="",0,I39),2))</f>
        <v>0</v>
      </c>
      <c r="U39" s="37">
        <f>IF(B39="","",IF(J39="Received",IF(M39&lt;&gt;"",M39,IF(F39="",0,F39)),IF(J39="Part received",IF(M39="",0,M39),0)))</f>
        <v>0</v>
      </c>
      <c r="V39" s="37">
        <f>IF(B39="","",IF(J39="Ordered","",IF(J39="Draft","",ROUND(IF(F39="",0,F39)-U39,2))))</f>
        <v>0</v>
      </c>
      <c r="W39" s="25">
        <f>IF(B39="","",IF(L39="","",L39-B39))</f>
        <v>0</v>
      </c>
      <c r="X39" s="26">
        <f>IF(B39="","",IF(G39="","",IFERROR(ROUND(G39-INDEX(Inventory!$H$5:$H$304,MATCH(D39,Inventory!$A$5:$A$304,0)),2),"")))</f>
        <v>0</v>
      </c>
      <c r="Y39" s="39">
        <f>IF(B39="","",IF(D39="","Add - which product?",IF(J39="","Add - no status yet",IF(IF(J39="Ordered",IF(K39="",FALSE,K39&lt;TodayDate),FALSE),"Late - expected and not arrived",IF(V39&gt;0,"Check - delivery came up short",IF(IF(X39="",FALSE,X39&gt;0),"Check - cost has gone up",IF(O39&lt;&gt;"Yes","Due - invoice not paid","OK")))))))</f>
        <v>0</v>
      </c>
    </row>
    <row r="40" spans="1:25">
      <c r="A40" s="28">
        <f>IF(B40="","",PurchasePrefix&amp;TEXT(ROW()-4,"0000"))</f>
        <v>0</v>
      </c>
      <c r="E40" s="15">
        <f>IF(D40="","",IFERROR(INDEX(Inventory!$B$5:$B$304,MATCH(D40,Inventory!$A$5:$A$304,0)),"Not in Inventory"))</f>
        <v>0</v>
      </c>
      <c r="Q40" s="15">
        <f>IF(B40="","",TEXT(B40,"yyyy-mm"))</f>
        <v>0</v>
      </c>
      <c r="R40" s="26">
        <f>IF(B40="","",IF(G40&lt;&gt;"",G40,IFERROR(INDEX(Inventory!$H$5:$H$304,MATCH(D40,Inventory!$A$5:$A$304,0))*1,0)))</f>
        <v>0</v>
      </c>
      <c r="S40" s="26">
        <f>IF(B40="","",ROUND(IF(F40="",0,F40)*R40,2))</f>
        <v>0</v>
      </c>
      <c r="T40" s="26">
        <f>IF(B40="","",ROUND(S40+IF(H40="",0,H40)+IF(I40="",0,I40),2))</f>
        <v>0</v>
      </c>
      <c r="U40" s="37">
        <f>IF(B40="","",IF(J40="Received",IF(M40&lt;&gt;"",M40,IF(F40="",0,F40)),IF(J40="Part received",IF(M40="",0,M40),0)))</f>
        <v>0</v>
      </c>
      <c r="V40" s="37">
        <f>IF(B40="","",IF(J40="Ordered","",IF(J40="Draft","",ROUND(IF(F40="",0,F40)-U40,2))))</f>
        <v>0</v>
      </c>
      <c r="W40" s="25">
        <f>IF(B40="","",IF(L40="","",L40-B40))</f>
        <v>0</v>
      </c>
      <c r="X40" s="26">
        <f>IF(B40="","",IF(G40="","",IFERROR(ROUND(G40-INDEX(Inventory!$H$5:$H$304,MATCH(D40,Inventory!$A$5:$A$304,0)),2),"")))</f>
        <v>0</v>
      </c>
      <c r="Y40" s="39">
        <f>IF(B40="","",IF(D40="","Add - which product?",IF(J40="","Add - no status yet",IF(IF(J40="Ordered",IF(K40="",FALSE,K40&lt;TodayDate),FALSE),"Late - expected and not arrived",IF(V40&gt;0,"Check - delivery came up short",IF(IF(X40="",FALSE,X40&gt;0),"Check - cost has gone up",IF(O40&lt;&gt;"Yes","Due - invoice not paid","OK")))))))</f>
        <v>0</v>
      </c>
    </row>
    <row r="41" spans="1:25">
      <c r="A41" s="28">
        <f>IF(B41="","",PurchasePrefix&amp;TEXT(ROW()-4,"0000"))</f>
        <v>0</v>
      </c>
      <c r="E41" s="15">
        <f>IF(D41="","",IFERROR(INDEX(Inventory!$B$5:$B$304,MATCH(D41,Inventory!$A$5:$A$304,0)),"Not in Inventory"))</f>
        <v>0</v>
      </c>
      <c r="Q41" s="15">
        <f>IF(B41="","",TEXT(B41,"yyyy-mm"))</f>
        <v>0</v>
      </c>
      <c r="R41" s="26">
        <f>IF(B41="","",IF(G41&lt;&gt;"",G41,IFERROR(INDEX(Inventory!$H$5:$H$304,MATCH(D41,Inventory!$A$5:$A$304,0))*1,0)))</f>
        <v>0</v>
      </c>
      <c r="S41" s="26">
        <f>IF(B41="","",ROUND(IF(F41="",0,F41)*R41,2))</f>
        <v>0</v>
      </c>
      <c r="T41" s="26">
        <f>IF(B41="","",ROUND(S41+IF(H41="",0,H41)+IF(I41="",0,I41),2))</f>
        <v>0</v>
      </c>
      <c r="U41" s="37">
        <f>IF(B41="","",IF(J41="Received",IF(M41&lt;&gt;"",M41,IF(F41="",0,F41)),IF(J41="Part received",IF(M41="",0,M41),0)))</f>
        <v>0</v>
      </c>
      <c r="V41" s="37">
        <f>IF(B41="","",IF(J41="Ordered","",IF(J41="Draft","",ROUND(IF(F41="",0,F41)-U41,2))))</f>
        <v>0</v>
      </c>
      <c r="W41" s="25">
        <f>IF(B41="","",IF(L41="","",L41-B41))</f>
        <v>0</v>
      </c>
      <c r="X41" s="26">
        <f>IF(B41="","",IF(G41="","",IFERROR(ROUND(G41-INDEX(Inventory!$H$5:$H$304,MATCH(D41,Inventory!$A$5:$A$304,0)),2),"")))</f>
        <v>0</v>
      </c>
      <c r="Y41" s="39">
        <f>IF(B41="","",IF(D41="","Add - which product?",IF(J41="","Add - no status yet",IF(IF(J41="Ordered",IF(K41="",FALSE,K41&lt;TodayDate),FALSE),"Late - expected and not arrived",IF(V41&gt;0,"Check - delivery came up short",IF(IF(X41="",FALSE,X41&gt;0),"Check - cost has gone up",IF(O41&lt;&gt;"Yes","Due - invoice not paid","OK")))))))</f>
        <v>0</v>
      </c>
    </row>
    <row r="42" spans="1:25">
      <c r="A42" s="28">
        <f>IF(B42="","",PurchasePrefix&amp;TEXT(ROW()-4,"0000"))</f>
        <v>0</v>
      </c>
      <c r="E42" s="15">
        <f>IF(D42="","",IFERROR(INDEX(Inventory!$B$5:$B$304,MATCH(D42,Inventory!$A$5:$A$304,0)),"Not in Inventory"))</f>
        <v>0</v>
      </c>
      <c r="Q42" s="15">
        <f>IF(B42="","",TEXT(B42,"yyyy-mm"))</f>
        <v>0</v>
      </c>
      <c r="R42" s="26">
        <f>IF(B42="","",IF(G42&lt;&gt;"",G42,IFERROR(INDEX(Inventory!$H$5:$H$304,MATCH(D42,Inventory!$A$5:$A$304,0))*1,0)))</f>
        <v>0</v>
      </c>
      <c r="S42" s="26">
        <f>IF(B42="","",ROUND(IF(F42="",0,F42)*R42,2))</f>
        <v>0</v>
      </c>
      <c r="T42" s="26">
        <f>IF(B42="","",ROUND(S42+IF(H42="",0,H42)+IF(I42="",0,I42),2))</f>
        <v>0</v>
      </c>
      <c r="U42" s="37">
        <f>IF(B42="","",IF(J42="Received",IF(M42&lt;&gt;"",M42,IF(F42="",0,F42)),IF(J42="Part received",IF(M42="",0,M42),0)))</f>
        <v>0</v>
      </c>
      <c r="V42" s="37">
        <f>IF(B42="","",IF(J42="Ordered","",IF(J42="Draft","",ROUND(IF(F42="",0,F42)-U42,2))))</f>
        <v>0</v>
      </c>
      <c r="W42" s="25">
        <f>IF(B42="","",IF(L42="","",L42-B42))</f>
        <v>0</v>
      </c>
      <c r="X42" s="26">
        <f>IF(B42="","",IF(G42="","",IFERROR(ROUND(G42-INDEX(Inventory!$H$5:$H$304,MATCH(D42,Inventory!$A$5:$A$304,0)),2),"")))</f>
        <v>0</v>
      </c>
      <c r="Y42" s="39">
        <f>IF(B42="","",IF(D42="","Add - which product?",IF(J42="","Add - no status yet",IF(IF(J42="Ordered",IF(K42="",FALSE,K42&lt;TodayDate),FALSE),"Late - expected and not arrived",IF(V42&gt;0,"Check - delivery came up short",IF(IF(X42="",FALSE,X42&gt;0),"Check - cost has gone up",IF(O42&lt;&gt;"Yes","Due - invoice not paid","OK")))))))</f>
        <v>0</v>
      </c>
    </row>
    <row r="43" spans="1:25">
      <c r="A43" s="28">
        <f>IF(B43="","",PurchasePrefix&amp;TEXT(ROW()-4,"0000"))</f>
        <v>0</v>
      </c>
      <c r="E43" s="15">
        <f>IF(D43="","",IFERROR(INDEX(Inventory!$B$5:$B$304,MATCH(D43,Inventory!$A$5:$A$304,0)),"Not in Inventory"))</f>
        <v>0</v>
      </c>
      <c r="Q43" s="15">
        <f>IF(B43="","",TEXT(B43,"yyyy-mm"))</f>
        <v>0</v>
      </c>
      <c r="R43" s="26">
        <f>IF(B43="","",IF(G43&lt;&gt;"",G43,IFERROR(INDEX(Inventory!$H$5:$H$304,MATCH(D43,Inventory!$A$5:$A$304,0))*1,0)))</f>
        <v>0</v>
      </c>
      <c r="S43" s="26">
        <f>IF(B43="","",ROUND(IF(F43="",0,F43)*R43,2))</f>
        <v>0</v>
      </c>
      <c r="T43" s="26">
        <f>IF(B43="","",ROUND(S43+IF(H43="",0,H43)+IF(I43="",0,I43),2))</f>
        <v>0</v>
      </c>
      <c r="U43" s="37">
        <f>IF(B43="","",IF(J43="Received",IF(M43&lt;&gt;"",M43,IF(F43="",0,F43)),IF(J43="Part received",IF(M43="",0,M43),0)))</f>
        <v>0</v>
      </c>
      <c r="V43" s="37">
        <f>IF(B43="","",IF(J43="Ordered","",IF(J43="Draft","",ROUND(IF(F43="",0,F43)-U43,2))))</f>
        <v>0</v>
      </c>
      <c r="W43" s="25">
        <f>IF(B43="","",IF(L43="","",L43-B43))</f>
        <v>0</v>
      </c>
      <c r="X43" s="26">
        <f>IF(B43="","",IF(G43="","",IFERROR(ROUND(G43-INDEX(Inventory!$H$5:$H$304,MATCH(D43,Inventory!$A$5:$A$304,0)),2),"")))</f>
        <v>0</v>
      </c>
      <c r="Y43" s="39">
        <f>IF(B43="","",IF(D43="","Add - which product?",IF(J43="","Add - no status yet",IF(IF(J43="Ordered",IF(K43="",FALSE,K43&lt;TodayDate),FALSE),"Late - expected and not arrived",IF(V43&gt;0,"Check - delivery came up short",IF(IF(X43="",FALSE,X43&gt;0),"Check - cost has gone up",IF(O43&lt;&gt;"Yes","Due - invoice not paid","OK")))))))</f>
        <v>0</v>
      </c>
    </row>
    <row r="44" spans="1:25">
      <c r="A44" s="28">
        <f>IF(B44="","",PurchasePrefix&amp;TEXT(ROW()-4,"0000"))</f>
        <v>0</v>
      </c>
      <c r="E44" s="15">
        <f>IF(D44="","",IFERROR(INDEX(Inventory!$B$5:$B$304,MATCH(D44,Inventory!$A$5:$A$304,0)),"Not in Inventory"))</f>
        <v>0</v>
      </c>
      <c r="Q44" s="15">
        <f>IF(B44="","",TEXT(B44,"yyyy-mm"))</f>
        <v>0</v>
      </c>
      <c r="R44" s="26">
        <f>IF(B44="","",IF(G44&lt;&gt;"",G44,IFERROR(INDEX(Inventory!$H$5:$H$304,MATCH(D44,Inventory!$A$5:$A$304,0))*1,0)))</f>
        <v>0</v>
      </c>
      <c r="S44" s="26">
        <f>IF(B44="","",ROUND(IF(F44="",0,F44)*R44,2))</f>
        <v>0</v>
      </c>
      <c r="T44" s="26">
        <f>IF(B44="","",ROUND(S44+IF(H44="",0,H44)+IF(I44="",0,I44),2))</f>
        <v>0</v>
      </c>
      <c r="U44" s="37">
        <f>IF(B44="","",IF(J44="Received",IF(M44&lt;&gt;"",M44,IF(F44="",0,F44)),IF(J44="Part received",IF(M44="",0,M44),0)))</f>
        <v>0</v>
      </c>
      <c r="V44" s="37">
        <f>IF(B44="","",IF(J44="Ordered","",IF(J44="Draft","",ROUND(IF(F44="",0,F44)-U44,2))))</f>
        <v>0</v>
      </c>
      <c r="W44" s="25">
        <f>IF(B44="","",IF(L44="","",L44-B44))</f>
        <v>0</v>
      </c>
      <c r="X44" s="26">
        <f>IF(B44="","",IF(G44="","",IFERROR(ROUND(G44-INDEX(Inventory!$H$5:$H$304,MATCH(D44,Inventory!$A$5:$A$304,0)),2),"")))</f>
        <v>0</v>
      </c>
      <c r="Y44" s="39">
        <f>IF(B44="","",IF(D44="","Add - which product?",IF(J44="","Add - no status yet",IF(IF(J44="Ordered",IF(K44="",FALSE,K44&lt;TodayDate),FALSE),"Late - expected and not arrived",IF(V44&gt;0,"Check - delivery came up short",IF(IF(X44="",FALSE,X44&gt;0),"Check - cost has gone up",IF(O44&lt;&gt;"Yes","Due - invoice not paid","OK")))))))</f>
        <v>0</v>
      </c>
    </row>
    <row r="45" spans="1:25">
      <c r="A45" s="28">
        <f>IF(B45="","",PurchasePrefix&amp;TEXT(ROW()-4,"0000"))</f>
        <v>0</v>
      </c>
      <c r="E45" s="15">
        <f>IF(D45="","",IFERROR(INDEX(Inventory!$B$5:$B$304,MATCH(D45,Inventory!$A$5:$A$304,0)),"Not in Inventory"))</f>
        <v>0</v>
      </c>
      <c r="Q45" s="15">
        <f>IF(B45="","",TEXT(B45,"yyyy-mm"))</f>
        <v>0</v>
      </c>
      <c r="R45" s="26">
        <f>IF(B45="","",IF(G45&lt;&gt;"",G45,IFERROR(INDEX(Inventory!$H$5:$H$304,MATCH(D45,Inventory!$A$5:$A$304,0))*1,0)))</f>
        <v>0</v>
      </c>
      <c r="S45" s="26">
        <f>IF(B45="","",ROUND(IF(F45="",0,F45)*R45,2))</f>
        <v>0</v>
      </c>
      <c r="T45" s="26">
        <f>IF(B45="","",ROUND(S45+IF(H45="",0,H45)+IF(I45="",0,I45),2))</f>
        <v>0</v>
      </c>
      <c r="U45" s="37">
        <f>IF(B45="","",IF(J45="Received",IF(M45&lt;&gt;"",M45,IF(F45="",0,F45)),IF(J45="Part received",IF(M45="",0,M45),0)))</f>
        <v>0</v>
      </c>
      <c r="V45" s="37">
        <f>IF(B45="","",IF(J45="Ordered","",IF(J45="Draft","",ROUND(IF(F45="",0,F45)-U45,2))))</f>
        <v>0</v>
      </c>
      <c r="W45" s="25">
        <f>IF(B45="","",IF(L45="","",L45-B45))</f>
        <v>0</v>
      </c>
      <c r="X45" s="26">
        <f>IF(B45="","",IF(G45="","",IFERROR(ROUND(G45-INDEX(Inventory!$H$5:$H$304,MATCH(D45,Inventory!$A$5:$A$304,0)),2),"")))</f>
        <v>0</v>
      </c>
      <c r="Y45" s="39">
        <f>IF(B45="","",IF(D45="","Add - which product?",IF(J45="","Add - no status yet",IF(IF(J45="Ordered",IF(K45="",FALSE,K45&lt;TodayDate),FALSE),"Late - expected and not arrived",IF(V45&gt;0,"Check - delivery came up short",IF(IF(X45="",FALSE,X45&gt;0),"Check - cost has gone up",IF(O45&lt;&gt;"Yes","Due - invoice not paid","OK")))))))</f>
        <v>0</v>
      </c>
    </row>
    <row r="46" spans="1:25">
      <c r="A46" s="28">
        <f>IF(B46="","",PurchasePrefix&amp;TEXT(ROW()-4,"0000"))</f>
        <v>0</v>
      </c>
      <c r="E46" s="15">
        <f>IF(D46="","",IFERROR(INDEX(Inventory!$B$5:$B$304,MATCH(D46,Inventory!$A$5:$A$304,0)),"Not in Inventory"))</f>
        <v>0</v>
      </c>
      <c r="Q46" s="15">
        <f>IF(B46="","",TEXT(B46,"yyyy-mm"))</f>
        <v>0</v>
      </c>
      <c r="R46" s="26">
        <f>IF(B46="","",IF(G46&lt;&gt;"",G46,IFERROR(INDEX(Inventory!$H$5:$H$304,MATCH(D46,Inventory!$A$5:$A$304,0))*1,0)))</f>
        <v>0</v>
      </c>
      <c r="S46" s="26">
        <f>IF(B46="","",ROUND(IF(F46="",0,F46)*R46,2))</f>
        <v>0</v>
      </c>
      <c r="T46" s="26">
        <f>IF(B46="","",ROUND(S46+IF(H46="",0,H46)+IF(I46="",0,I46),2))</f>
        <v>0</v>
      </c>
      <c r="U46" s="37">
        <f>IF(B46="","",IF(J46="Received",IF(M46&lt;&gt;"",M46,IF(F46="",0,F46)),IF(J46="Part received",IF(M46="",0,M46),0)))</f>
        <v>0</v>
      </c>
      <c r="V46" s="37">
        <f>IF(B46="","",IF(J46="Ordered","",IF(J46="Draft","",ROUND(IF(F46="",0,F46)-U46,2))))</f>
        <v>0</v>
      </c>
      <c r="W46" s="25">
        <f>IF(B46="","",IF(L46="","",L46-B46))</f>
        <v>0</v>
      </c>
      <c r="X46" s="26">
        <f>IF(B46="","",IF(G46="","",IFERROR(ROUND(G46-INDEX(Inventory!$H$5:$H$304,MATCH(D46,Inventory!$A$5:$A$304,0)),2),"")))</f>
        <v>0</v>
      </c>
      <c r="Y46" s="39">
        <f>IF(B46="","",IF(D46="","Add - which product?",IF(J46="","Add - no status yet",IF(IF(J46="Ordered",IF(K46="",FALSE,K46&lt;TodayDate),FALSE),"Late - expected and not arrived",IF(V46&gt;0,"Check - delivery came up short",IF(IF(X46="",FALSE,X46&gt;0),"Check - cost has gone up",IF(O46&lt;&gt;"Yes","Due - invoice not paid","OK")))))))</f>
        <v>0</v>
      </c>
    </row>
    <row r="47" spans="1:25">
      <c r="A47" s="28">
        <f>IF(B47="","",PurchasePrefix&amp;TEXT(ROW()-4,"0000"))</f>
        <v>0</v>
      </c>
      <c r="E47" s="15">
        <f>IF(D47="","",IFERROR(INDEX(Inventory!$B$5:$B$304,MATCH(D47,Inventory!$A$5:$A$304,0)),"Not in Inventory"))</f>
        <v>0</v>
      </c>
      <c r="Q47" s="15">
        <f>IF(B47="","",TEXT(B47,"yyyy-mm"))</f>
        <v>0</v>
      </c>
      <c r="R47" s="26">
        <f>IF(B47="","",IF(G47&lt;&gt;"",G47,IFERROR(INDEX(Inventory!$H$5:$H$304,MATCH(D47,Inventory!$A$5:$A$304,0))*1,0)))</f>
        <v>0</v>
      </c>
      <c r="S47" s="26">
        <f>IF(B47="","",ROUND(IF(F47="",0,F47)*R47,2))</f>
        <v>0</v>
      </c>
      <c r="T47" s="26">
        <f>IF(B47="","",ROUND(S47+IF(H47="",0,H47)+IF(I47="",0,I47),2))</f>
        <v>0</v>
      </c>
      <c r="U47" s="37">
        <f>IF(B47="","",IF(J47="Received",IF(M47&lt;&gt;"",M47,IF(F47="",0,F47)),IF(J47="Part received",IF(M47="",0,M47),0)))</f>
        <v>0</v>
      </c>
      <c r="V47" s="37">
        <f>IF(B47="","",IF(J47="Ordered","",IF(J47="Draft","",ROUND(IF(F47="",0,F47)-U47,2))))</f>
        <v>0</v>
      </c>
      <c r="W47" s="25">
        <f>IF(B47="","",IF(L47="","",L47-B47))</f>
        <v>0</v>
      </c>
      <c r="X47" s="26">
        <f>IF(B47="","",IF(G47="","",IFERROR(ROUND(G47-INDEX(Inventory!$H$5:$H$304,MATCH(D47,Inventory!$A$5:$A$304,0)),2),"")))</f>
        <v>0</v>
      </c>
      <c r="Y47" s="39">
        <f>IF(B47="","",IF(D47="","Add - which product?",IF(J47="","Add - no status yet",IF(IF(J47="Ordered",IF(K47="",FALSE,K47&lt;TodayDate),FALSE),"Late - expected and not arrived",IF(V47&gt;0,"Check - delivery came up short",IF(IF(X47="",FALSE,X47&gt;0),"Check - cost has gone up",IF(O47&lt;&gt;"Yes","Due - invoice not paid","OK")))))))</f>
        <v>0</v>
      </c>
    </row>
    <row r="48" spans="1:25">
      <c r="A48" s="28">
        <f>IF(B48="","",PurchasePrefix&amp;TEXT(ROW()-4,"0000"))</f>
        <v>0</v>
      </c>
      <c r="E48" s="15">
        <f>IF(D48="","",IFERROR(INDEX(Inventory!$B$5:$B$304,MATCH(D48,Inventory!$A$5:$A$304,0)),"Not in Inventory"))</f>
        <v>0</v>
      </c>
      <c r="Q48" s="15">
        <f>IF(B48="","",TEXT(B48,"yyyy-mm"))</f>
        <v>0</v>
      </c>
      <c r="R48" s="26">
        <f>IF(B48="","",IF(G48&lt;&gt;"",G48,IFERROR(INDEX(Inventory!$H$5:$H$304,MATCH(D48,Inventory!$A$5:$A$304,0))*1,0)))</f>
        <v>0</v>
      </c>
      <c r="S48" s="26">
        <f>IF(B48="","",ROUND(IF(F48="",0,F48)*R48,2))</f>
        <v>0</v>
      </c>
      <c r="T48" s="26">
        <f>IF(B48="","",ROUND(S48+IF(H48="",0,H48)+IF(I48="",0,I48),2))</f>
        <v>0</v>
      </c>
      <c r="U48" s="37">
        <f>IF(B48="","",IF(J48="Received",IF(M48&lt;&gt;"",M48,IF(F48="",0,F48)),IF(J48="Part received",IF(M48="",0,M48),0)))</f>
        <v>0</v>
      </c>
      <c r="V48" s="37">
        <f>IF(B48="","",IF(J48="Ordered","",IF(J48="Draft","",ROUND(IF(F48="",0,F48)-U48,2))))</f>
        <v>0</v>
      </c>
      <c r="W48" s="25">
        <f>IF(B48="","",IF(L48="","",L48-B48))</f>
        <v>0</v>
      </c>
      <c r="X48" s="26">
        <f>IF(B48="","",IF(G48="","",IFERROR(ROUND(G48-INDEX(Inventory!$H$5:$H$304,MATCH(D48,Inventory!$A$5:$A$304,0)),2),"")))</f>
        <v>0</v>
      </c>
      <c r="Y48" s="39">
        <f>IF(B48="","",IF(D48="","Add - which product?",IF(J48="","Add - no status yet",IF(IF(J48="Ordered",IF(K48="",FALSE,K48&lt;TodayDate),FALSE),"Late - expected and not arrived",IF(V48&gt;0,"Check - delivery came up short",IF(IF(X48="",FALSE,X48&gt;0),"Check - cost has gone up",IF(O48&lt;&gt;"Yes","Due - invoice not paid","OK")))))))</f>
        <v>0</v>
      </c>
    </row>
    <row r="49" spans="1:25">
      <c r="A49" s="28">
        <f>IF(B49="","",PurchasePrefix&amp;TEXT(ROW()-4,"0000"))</f>
        <v>0</v>
      </c>
      <c r="E49" s="15">
        <f>IF(D49="","",IFERROR(INDEX(Inventory!$B$5:$B$304,MATCH(D49,Inventory!$A$5:$A$304,0)),"Not in Inventory"))</f>
        <v>0</v>
      </c>
      <c r="Q49" s="15">
        <f>IF(B49="","",TEXT(B49,"yyyy-mm"))</f>
        <v>0</v>
      </c>
      <c r="R49" s="26">
        <f>IF(B49="","",IF(G49&lt;&gt;"",G49,IFERROR(INDEX(Inventory!$H$5:$H$304,MATCH(D49,Inventory!$A$5:$A$304,0))*1,0)))</f>
        <v>0</v>
      </c>
      <c r="S49" s="26">
        <f>IF(B49="","",ROUND(IF(F49="",0,F49)*R49,2))</f>
        <v>0</v>
      </c>
      <c r="T49" s="26">
        <f>IF(B49="","",ROUND(S49+IF(H49="",0,H49)+IF(I49="",0,I49),2))</f>
        <v>0</v>
      </c>
      <c r="U49" s="37">
        <f>IF(B49="","",IF(J49="Received",IF(M49&lt;&gt;"",M49,IF(F49="",0,F49)),IF(J49="Part received",IF(M49="",0,M49),0)))</f>
        <v>0</v>
      </c>
      <c r="V49" s="37">
        <f>IF(B49="","",IF(J49="Ordered","",IF(J49="Draft","",ROUND(IF(F49="",0,F49)-U49,2))))</f>
        <v>0</v>
      </c>
      <c r="W49" s="25">
        <f>IF(B49="","",IF(L49="","",L49-B49))</f>
        <v>0</v>
      </c>
      <c r="X49" s="26">
        <f>IF(B49="","",IF(G49="","",IFERROR(ROUND(G49-INDEX(Inventory!$H$5:$H$304,MATCH(D49,Inventory!$A$5:$A$304,0)),2),"")))</f>
        <v>0</v>
      </c>
      <c r="Y49" s="39">
        <f>IF(B49="","",IF(D49="","Add - which product?",IF(J49="","Add - no status yet",IF(IF(J49="Ordered",IF(K49="",FALSE,K49&lt;TodayDate),FALSE),"Late - expected and not arrived",IF(V49&gt;0,"Check - delivery came up short",IF(IF(X49="",FALSE,X49&gt;0),"Check - cost has gone up",IF(O49&lt;&gt;"Yes","Due - invoice not paid","OK")))))))</f>
        <v>0</v>
      </c>
    </row>
    <row r="50" spans="1:25">
      <c r="A50" s="28">
        <f>IF(B50="","",PurchasePrefix&amp;TEXT(ROW()-4,"0000"))</f>
        <v>0</v>
      </c>
      <c r="E50" s="15">
        <f>IF(D50="","",IFERROR(INDEX(Inventory!$B$5:$B$304,MATCH(D50,Inventory!$A$5:$A$304,0)),"Not in Inventory"))</f>
        <v>0</v>
      </c>
      <c r="Q50" s="15">
        <f>IF(B50="","",TEXT(B50,"yyyy-mm"))</f>
        <v>0</v>
      </c>
      <c r="R50" s="26">
        <f>IF(B50="","",IF(G50&lt;&gt;"",G50,IFERROR(INDEX(Inventory!$H$5:$H$304,MATCH(D50,Inventory!$A$5:$A$304,0))*1,0)))</f>
        <v>0</v>
      </c>
      <c r="S50" s="26">
        <f>IF(B50="","",ROUND(IF(F50="",0,F50)*R50,2))</f>
        <v>0</v>
      </c>
      <c r="T50" s="26">
        <f>IF(B50="","",ROUND(S50+IF(H50="",0,H50)+IF(I50="",0,I50),2))</f>
        <v>0</v>
      </c>
      <c r="U50" s="37">
        <f>IF(B50="","",IF(J50="Received",IF(M50&lt;&gt;"",M50,IF(F50="",0,F50)),IF(J50="Part received",IF(M50="",0,M50),0)))</f>
        <v>0</v>
      </c>
      <c r="V50" s="37">
        <f>IF(B50="","",IF(J50="Ordered","",IF(J50="Draft","",ROUND(IF(F50="",0,F50)-U50,2))))</f>
        <v>0</v>
      </c>
      <c r="W50" s="25">
        <f>IF(B50="","",IF(L50="","",L50-B50))</f>
        <v>0</v>
      </c>
      <c r="X50" s="26">
        <f>IF(B50="","",IF(G50="","",IFERROR(ROUND(G50-INDEX(Inventory!$H$5:$H$304,MATCH(D50,Inventory!$A$5:$A$304,0)),2),"")))</f>
        <v>0</v>
      </c>
      <c r="Y50" s="39">
        <f>IF(B50="","",IF(D50="","Add - which product?",IF(J50="","Add - no status yet",IF(IF(J50="Ordered",IF(K50="",FALSE,K50&lt;TodayDate),FALSE),"Late - expected and not arrived",IF(V50&gt;0,"Check - delivery came up short",IF(IF(X50="",FALSE,X50&gt;0),"Check - cost has gone up",IF(O50&lt;&gt;"Yes","Due - invoice not paid","OK")))))))</f>
        <v>0</v>
      </c>
    </row>
    <row r="51" spans="1:25">
      <c r="A51" s="28">
        <f>IF(B51="","",PurchasePrefix&amp;TEXT(ROW()-4,"0000"))</f>
        <v>0</v>
      </c>
      <c r="E51" s="15">
        <f>IF(D51="","",IFERROR(INDEX(Inventory!$B$5:$B$304,MATCH(D51,Inventory!$A$5:$A$304,0)),"Not in Inventory"))</f>
        <v>0</v>
      </c>
      <c r="Q51" s="15">
        <f>IF(B51="","",TEXT(B51,"yyyy-mm"))</f>
        <v>0</v>
      </c>
      <c r="R51" s="26">
        <f>IF(B51="","",IF(G51&lt;&gt;"",G51,IFERROR(INDEX(Inventory!$H$5:$H$304,MATCH(D51,Inventory!$A$5:$A$304,0))*1,0)))</f>
        <v>0</v>
      </c>
      <c r="S51" s="26">
        <f>IF(B51="","",ROUND(IF(F51="",0,F51)*R51,2))</f>
        <v>0</v>
      </c>
      <c r="T51" s="26">
        <f>IF(B51="","",ROUND(S51+IF(H51="",0,H51)+IF(I51="",0,I51),2))</f>
        <v>0</v>
      </c>
      <c r="U51" s="37">
        <f>IF(B51="","",IF(J51="Received",IF(M51&lt;&gt;"",M51,IF(F51="",0,F51)),IF(J51="Part received",IF(M51="",0,M51),0)))</f>
        <v>0</v>
      </c>
      <c r="V51" s="37">
        <f>IF(B51="","",IF(J51="Ordered","",IF(J51="Draft","",ROUND(IF(F51="",0,F51)-U51,2))))</f>
        <v>0</v>
      </c>
      <c r="W51" s="25">
        <f>IF(B51="","",IF(L51="","",L51-B51))</f>
        <v>0</v>
      </c>
      <c r="X51" s="26">
        <f>IF(B51="","",IF(G51="","",IFERROR(ROUND(G51-INDEX(Inventory!$H$5:$H$304,MATCH(D51,Inventory!$A$5:$A$304,0)),2),"")))</f>
        <v>0</v>
      </c>
      <c r="Y51" s="39">
        <f>IF(B51="","",IF(D51="","Add - which product?",IF(J51="","Add - no status yet",IF(IF(J51="Ordered",IF(K51="",FALSE,K51&lt;TodayDate),FALSE),"Late - expected and not arrived",IF(V51&gt;0,"Check - delivery came up short",IF(IF(X51="",FALSE,X51&gt;0),"Check - cost has gone up",IF(O51&lt;&gt;"Yes","Due - invoice not paid","OK")))))))</f>
        <v>0</v>
      </c>
    </row>
    <row r="52" spans="1:25">
      <c r="A52" s="28">
        <f>IF(B52="","",PurchasePrefix&amp;TEXT(ROW()-4,"0000"))</f>
        <v>0</v>
      </c>
      <c r="E52" s="15">
        <f>IF(D52="","",IFERROR(INDEX(Inventory!$B$5:$B$304,MATCH(D52,Inventory!$A$5:$A$304,0)),"Not in Inventory"))</f>
        <v>0</v>
      </c>
      <c r="Q52" s="15">
        <f>IF(B52="","",TEXT(B52,"yyyy-mm"))</f>
        <v>0</v>
      </c>
      <c r="R52" s="26">
        <f>IF(B52="","",IF(G52&lt;&gt;"",G52,IFERROR(INDEX(Inventory!$H$5:$H$304,MATCH(D52,Inventory!$A$5:$A$304,0))*1,0)))</f>
        <v>0</v>
      </c>
      <c r="S52" s="26">
        <f>IF(B52="","",ROUND(IF(F52="",0,F52)*R52,2))</f>
        <v>0</v>
      </c>
      <c r="T52" s="26">
        <f>IF(B52="","",ROUND(S52+IF(H52="",0,H52)+IF(I52="",0,I52),2))</f>
        <v>0</v>
      </c>
      <c r="U52" s="37">
        <f>IF(B52="","",IF(J52="Received",IF(M52&lt;&gt;"",M52,IF(F52="",0,F52)),IF(J52="Part received",IF(M52="",0,M52),0)))</f>
        <v>0</v>
      </c>
      <c r="V52" s="37">
        <f>IF(B52="","",IF(J52="Ordered","",IF(J52="Draft","",ROUND(IF(F52="",0,F52)-U52,2))))</f>
        <v>0</v>
      </c>
      <c r="W52" s="25">
        <f>IF(B52="","",IF(L52="","",L52-B52))</f>
        <v>0</v>
      </c>
      <c r="X52" s="26">
        <f>IF(B52="","",IF(G52="","",IFERROR(ROUND(G52-INDEX(Inventory!$H$5:$H$304,MATCH(D52,Inventory!$A$5:$A$304,0)),2),"")))</f>
        <v>0</v>
      </c>
      <c r="Y52" s="39">
        <f>IF(B52="","",IF(D52="","Add - which product?",IF(J52="","Add - no status yet",IF(IF(J52="Ordered",IF(K52="",FALSE,K52&lt;TodayDate),FALSE),"Late - expected and not arrived",IF(V52&gt;0,"Check - delivery came up short",IF(IF(X52="",FALSE,X52&gt;0),"Check - cost has gone up",IF(O52&lt;&gt;"Yes","Due - invoice not paid","OK")))))))</f>
        <v>0</v>
      </c>
    </row>
    <row r="53" spans="1:25">
      <c r="A53" s="28">
        <f>IF(B53="","",PurchasePrefix&amp;TEXT(ROW()-4,"0000"))</f>
        <v>0</v>
      </c>
      <c r="E53" s="15">
        <f>IF(D53="","",IFERROR(INDEX(Inventory!$B$5:$B$304,MATCH(D53,Inventory!$A$5:$A$304,0)),"Not in Inventory"))</f>
        <v>0</v>
      </c>
      <c r="Q53" s="15">
        <f>IF(B53="","",TEXT(B53,"yyyy-mm"))</f>
        <v>0</v>
      </c>
      <c r="R53" s="26">
        <f>IF(B53="","",IF(G53&lt;&gt;"",G53,IFERROR(INDEX(Inventory!$H$5:$H$304,MATCH(D53,Inventory!$A$5:$A$304,0))*1,0)))</f>
        <v>0</v>
      </c>
      <c r="S53" s="26">
        <f>IF(B53="","",ROUND(IF(F53="",0,F53)*R53,2))</f>
        <v>0</v>
      </c>
      <c r="T53" s="26">
        <f>IF(B53="","",ROUND(S53+IF(H53="",0,H53)+IF(I53="",0,I53),2))</f>
        <v>0</v>
      </c>
      <c r="U53" s="37">
        <f>IF(B53="","",IF(J53="Received",IF(M53&lt;&gt;"",M53,IF(F53="",0,F53)),IF(J53="Part received",IF(M53="",0,M53),0)))</f>
        <v>0</v>
      </c>
      <c r="V53" s="37">
        <f>IF(B53="","",IF(J53="Ordered","",IF(J53="Draft","",ROUND(IF(F53="",0,F53)-U53,2))))</f>
        <v>0</v>
      </c>
      <c r="W53" s="25">
        <f>IF(B53="","",IF(L53="","",L53-B53))</f>
        <v>0</v>
      </c>
      <c r="X53" s="26">
        <f>IF(B53="","",IF(G53="","",IFERROR(ROUND(G53-INDEX(Inventory!$H$5:$H$304,MATCH(D53,Inventory!$A$5:$A$304,0)),2),"")))</f>
        <v>0</v>
      </c>
      <c r="Y53" s="39">
        <f>IF(B53="","",IF(D53="","Add - which product?",IF(J53="","Add - no status yet",IF(IF(J53="Ordered",IF(K53="",FALSE,K53&lt;TodayDate),FALSE),"Late - expected and not arrived",IF(V53&gt;0,"Check - delivery came up short",IF(IF(X53="",FALSE,X53&gt;0),"Check - cost has gone up",IF(O53&lt;&gt;"Yes","Due - invoice not paid","OK")))))))</f>
        <v>0</v>
      </c>
    </row>
    <row r="54" spans="1:25">
      <c r="A54" s="28">
        <f>IF(B54="","",PurchasePrefix&amp;TEXT(ROW()-4,"0000"))</f>
        <v>0</v>
      </c>
      <c r="E54" s="15">
        <f>IF(D54="","",IFERROR(INDEX(Inventory!$B$5:$B$304,MATCH(D54,Inventory!$A$5:$A$304,0)),"Not in Inventory"))</f>
        <v>0</v>
      </c>
      <c r="Q54" s="15">
        <f>IF(B54="","",TEXT(B54,"yyyy-mm"))</f>
        <v>0</v>
      </c>
      <c r="R54" s="26">
        <f>IF(B54="","",IF(G54&lt;&gt;"",G54,IFERROR(INDEX(Inventory!$H$5:$H$304,MATCH(D54,Inventory!$A$5:$A$304,0))*1,0)))</f>
        <v>0</v>
      </c>
      <c r="S54" s="26">
        <f>IF(B54="","",ROUND(IF(F54="",0,F54)*R54,2))</f>
        <v>0</v>
      </c>
      <c r="T54" s="26">
        <f>IF(B54="","",ROUND(S54+IF(H54="",0,H54)+IF(I54="",0,I54),2))</f>
        <v>0</v>
      </c>
      <c r="U54" s="37">
        <f>IF(B54="","",IF(J54="Received",IF(M54&lt;&gt;"",M54,IF(F54="",0,F54)),IF(J54="Part received",IF(M54="",0,M54),0)))</f>
        <v>0</v>
      </c>
      <c r="V54" s="37">
        <f>IF(B54="","",IF(J54="Ordered","",IF(J54="Draft","",ROUND(IF(F54="",0,F54)-U54,2))))</f>
        <v>0</v>
      </c>
      <c r="W54" s="25">
        <f>IF(B54="","",IF(L54="","",L54-B54))</f>
        <v>0</v>
      </c>
      <c r="X54" s="26">
        <f>IF(B54="","",IF(G54="","",IFERROR(ROUND(G54-INDEX(Inventory!$H$5:$H$304,MATCH(D54,Inventory!$A$5:$A$304,0)),2),"")))</f>
        <v>0</v>
      </c>
      <c r="Y54" s="39">
        <f>IF(B54="","",IF(D54="","Add - which product?",IF(J54="","Add - no status yet",IF(IF(J54="Ordered",IF(K54="",FALSE,K54&lt;TodayDate),FALSE),"Late - expected and not arrived",IF(V54&gt;0,"Check - delivery came up short",IF(IF(X54="",FALSE,X54&gt;0),"Check - cost has gone up",IF(O54&lt;&gt;"Yes","Due - invoice not paid","OK")))))))</f>
        <v>0</v>
      </c>
    </row>
    <row r="55" spans="1:25">
      <c r="A55" s="28">
        <f>IF(B55="","",PurchasePrefix&amp;TEXT(ROW()-4,"0000"))</f>
        <v>0</v>
      </c>
      <c r="E55" s="15">
        <f>IF(D55="","",IFERROR(INDEX(Inventory!$B$5:$B$304,MATCH(D55,Inventory!$A$5:$A$304,0)),"Not in Inventory"))</f>
        <v>0</v>
      </c>
      <c r="Q55" s="15">
        <f>IF(B55="","",TEXT(B55,"yyyy-mm"))</f>
        <v>0</v>
      </c>
      <c r="R55" s="26">
        <f>IF(B55="","",IF(G55&lt;&gt;"",G55,IFERROR(INDEX(Inventory!$H$5:$H$304,MATCH(D55,Inventory!$A$5:$A$304,0))*1,0)))</f>
        <v>0</v>
      </c>
      <c r="S55" s="26">
        <f>IF(B55="","",ROUND(IF(F55="",0,F55)*R55,2))</f>
        <v>0</v>
      </c>
      <c r="T55" s="26">
        <f>IF(B55="","",ROUND(S55+IF(H55="",0,H55)+IF(I55="",0,I55),2))</f>
        <v>0</v>
      </c>
      <c r="U55" s="37">
        <f>IF(B55="","",IF(J55="Received",IF(M55&lt;&gt;"",M55,IF(F55="",0,F55)),IF(J55="Part received",IF(M55="",0,M55),0)))</f>
        <v>0</v>
      </c>
      <c r="V55" s="37">
        <f>IF(B55="","",IF(J55="Ordered","",IF(J55="Draft","",ROUND(IF(F55="",0,F55)-U55,2))))</f>
        <v>0</v>
      </c>
      <c r="W55" s="25">
        <f>IF(B55="","",IF(L55="","",L55-B55))</f>
        <v>0</v>
      </c>
      <c r="X55" s="26">
        <f>IF(B55="","",IF(G55="","",IFERROR(ROUND(G55-INDEX(Inventory!$H$5:$H$304,MATCH(D55,Inventory!$A$5:$A$304,0)),2),"")))</f>
        <v>0</v>
      </c>
      <c r="Y55" s="39">
        <f>IF(B55="","",IF(D55="","Add - which product?",IF(J55="","Add - no status yet",IF(IF(J55="Ordered",IF(K55="",FALSE,K55&lt;TodayDate),FALSE),"Late - expected and not arrived",IF(V55&gt;0,"Check - delivery came up short",IF(IF(X55="",FALSE,X55&gt;0),"Check - cost has gone up",IF(O55&lt;&gt;"Yes","Due - invoice not paid","OK")))))))</f>
        <v>0</v>
      </c>
    </row>
    <row r="56" spans="1:25">
      <c r="A56" s="28">
        <f>IF(B56="","",PurchasePrefix&amp;TEXT(ROW()-4,"0000"))</f>
        <v>0</v>
      </c>
      <c r="E56" s="15">
        <f>IF(D56="","",IFERROR(INDEX(Inventory!$B$5:$B$304,MATCH(D56,Inventory!$A$5:$A$304,0)),"Not in Inventory"))</f>
        <v>0</v>
      </c>
      <c r="Q56" s="15">
        <f>IF(B56="","",TEXT(B56,"yyyy-mm"))</f>
        <v>0</v>
      </c>
      <c r="R56" s="26">
        <f>IF(B56="","",IF(G56&lt;&gt;"",G56,IFERROR(INDEX(Inventory!$H$5:$H$304,MATCH(D56,Inventory!$A$5:$A$304,0))*1,0)))</f>
        <v>0</v>
      </c>
      <c r="S56" s="26">
        <f>IF(B56="","",ROUND(IF(F56="",0,F56)*R56,2))</f>
        <v>0</v>
      </c>
      <c r="T56" s="26">
        <f>IF(B56="","",ROUND(S56+IF(H56="",0,H56)+IF(I56="",0,I56),2))</f>
        <v>0</v>
      </c>
      <c r="U56" s="37">
        <f>IF(B56="","",IF(J56="Received",IF(M56&lt;&gt;"",M56,IF(F56="",0,F56)),IF(J56="Part received",IF(M56="",0,M56),0)))</f>
        <v>0</v>
      </c>
      <c r="V56" s="37">
        <f>IF(B56="","",IF(J56="Ordered","",IF(J56="Draft","",ROUND(IF(F56="",0,F56)-U56,2))))</f>
        <v>0</v>
      </c>
      <c r="W56" s="25">
        <f>IF(B56="","",IF(L56="","",L56-B56))</f>
        <v>0</v>
      </c>
      <c r="X56" s="26">
        <f>IF(B56="","",IF(G56="","",IFERROR(ROUND(G56-INDEX(Inventory!$H$5:$H$304,MATCH(D56,Inventory!$A$5:$A$304,0)),2),"")))</f>
        <v>0</v>
      </c>
      <c r="Y56" s="39">
        <f>IF(B56="","",IF(D56="","Add - which product?",IF(J56="","Add - no status yet",IF(IF(J56="Ordered",IF(K56="",FALSE,K56&lt;TodayDate),FALSE),"Late - expected and not arrived",IF(V56&gt;0,"Check - delivery came up short",IF(IF(X56="",FALSE,X56&gt;0),"Check - cost has gone up",IF(O56&lt;&gt;"Yes","Due - invoice not paid","OK")))))))</f>
        <v>0</v>
      </c>
    </row>
    <row r="57" spans="1:25">
      <c r="A57" s="28">
        <f>IF(B57="","",PurchasePrefix&amp;TEXT(ROW()-4,"0000"))</f>
        <v>0</v>
      </c>
      <c r="E57" s="15">
        <f>IF(D57="","",IFERROR(INDEX(Inventory!$B$5:$B$304,MATCH(D57,Inventory!$A$5:$A$304,0)),"Not in Inventory"))</f>
        <v>0</v>
      </c>
      <c r="Q57" s="15">
        <f>IF(B57="","",TEXT(B57,"yyyy-mm"))</f>
        <v>0</v>
      </c>
      <c r="R57" s="26">
        <f>IF(B57="","",IF(G57&lt;&gt;"",G57,IFERROR(INDEX(Inventory!$H$5:$H$304,MATCH(D57,Inventory!$A$5:$A$304,0))*1,0)))</f>
        <v>0</v>
      </c>
      <c r="S57" s="26">
        <f>IF(B57="","",ROUND(IF(F57="",0,F57)*R57,2))</f>
        <v>0</v>
      </c>
      <c r="T57" s="26">
        <f>IF(B57="","",ROUND(S57+IF(H57="",0,H57)+IF(I57="",0,I57),2))</f>
        <v>0</v>
      </c>
      <c r="U57" s="37">
        <f>IF(B57="","",IF(J57="Received",IF(M57&lt;&gt;"",M57,IF(F57="",0,F57)),IF(J57="Part received",IF(M57="",0,M57),0)))</f>
        <v>0</v>
      </c>
      <c r="V57" s="37">
        <f>IF(B57="","",IF(J57="Ordered","",IF(J57="Draft","",ROUND(IF(F57="",0,F57)-U57,2))))</f>
        <v>0</v>
      </c>
      <c r="W57" s="25">
        <f>IF(B57="","",IF(L57="","",L57-B57))</f>
        <v>0</v>
      </c>
      <c r="X57" s="26">
        <f>IF(B57="","",IF(G57="","",IFERROR(ROUND(G57-INDEX(Inventory!$H$5:$H$304,MATCH(D57,Inventory!$A$5:$A$304,0)),2),"")))</f>
        <v>0</v>
      </c>
      <c r="Y57" s="39">
        <f>IF(B57="","",IF(D57="","Add - which product?",IF(J57="","Add - no status yet",IF(IF(J57="Ordered",IF(K57="",FALSE,K57&lt;TodayDate),FALSE),"Late - expected and not arrived",IF(V57&gt;0,"Check - delivery came up short",IF(IF(X57="",FALSE,X57&gt;0),"Check - cost has gone up",IF(O57&lt;&gt;"Yes","Due - invoice not paid","OK")))))))</f>
        <v>0</v>
      </c>
    </row>
    <row r="58" spans="1:25">
      <c r="A58" s="28">
        <f>IF(B58="","",PurchasePrefix&amp;TEXT(ROW()-4,"0000"))</f>
        <v>0</v>
      </c>
      <c r="E58" s="15">
        <f>IF(D58="","",IFERROR(INDEX(Inventory!$B$5:$B$304,MATCH(D58,Inventory!$A$5:$A$304,0)),"Not in Inventory"))</f>
        <v>0</v>
      </c>
      <c r="Q58" s="15">
        <f>IF(B58="","",TEXT(B58,"yyyy-mm"))</f>
        <v>0</v>
      </c>
      <c r="R58" s="26">
        <f>IF(B58="","",IF(G58&lt;&gt;"",G58,IFERROR(INDEX(Inventory!$H$5:$H$304,MATCH(D58,Inventory!$A$5:$A$304,0))*1,0)))</f>
        <v>0</v>
      </c>
      <c r="S58" s="26">
        <f>IF(B58="","",ROUND(IF(F58="",0,F58)*R58,2))</f>
        <v>0</v>
      </c>
      <c r="T58" s="26">
        <f>IF(B58="","",ROUND(S58+IF(H58="",0,H58)+IF(I58="",0,I58),2))</f>
        <v>0</v>
      </c>
      <c r="U58" s="37">
        <f>IF(B58="","",IF(J58="Received",IF(M58&lt;&gt;"",M58,IF(F58="",0,F58)),IF(J58="Part received",IF(M58="",0,M58),0)))</f>
        <v>0</v>
      </c>
      <c r="V58" s="37">
        <f>IF(B58="","",IF(J58="Ordered","",IF(J58="Draft","",ROUND(IF(F58="",0,F58)-U58,2))))</f>
        <v>0</v>
      </c>
      <c r="W58" s="25">
        <f>IF(B58="","",IF(L58="","",L58-B58))</f>
        <v>0</v>
      </c>
      <c r="X58" s="26">
        <f>IF(B58="","",IF(G58="","",IFERROR(ROUND(G58-INDEX(Inventory!$H$5:$H$304,MATCH(D58,Inventory!$A$5:$A$304,0)),2),"")))</f>
        <v>0</v>
      </c>
      <c r="Y58" s="39">
        <f>IF(B58="","",IF(D58="","Add - which product?",IF(J58="","Add - no status yet",IF(IF(J58="Ordered",IF(K58="",FALSE,K58&lt;TodayDate),FALSE),"Late - expected and not arrived",IF(V58&gt;0,"Check - delivery came up short",IF(IF(X58="",FALSE,X58&gt;0),"Check - cost has gone up",IF(O58&lt;&gt;"Yes","Due - invoice not paid","OK")))))))</f>
        <v>0</v>
      </c>
    </row>
    <row r="59" spans="1:25">
      <c r="A59" s="28">
        <f>IF(B59="","",PurchasePrefix&amp;TEXT(ROW()-4,"0000"))</f>
        <v>0</v>
      </c>
      <c r="E59" s="15">
        <f>IF(D59="","",IFERROR(INDEX(Inventory!$B$5:$B$304,MATCH(D59,Inventory!$A$5:$A$304,0)),"Not in Inventory"))</f>
        <v>0</v>
      </c>
      <c r="Q59" s="15">
        <f>IF(B59="","",TEXT(B59,"yyyy-mm"))</f>
        <v>0</v>
      </c>
      <c r="R59" s="26">
        <f>IF(B59="","",IF(G59&lt;&gt;"",G59,IFERROR(INDEX(Inventory!$H$5:$H$304,MATCH(D59,Inventory!$A$5:$A$304,0))*1,0)))</f>
        <v>0</v>
      </c>
      <c r="S59" s="26">
        <f>IF(B59="","",ROUND(IF(F59="",0,F59)*R59,2))</f>
        <v>0</v>
      </c>
      <c r="T59" s="26">
        <f>IF(B59="","",ROUND(S59+IF(H59="",0,H59)+IF(I59="",0,I59),2))</f>
        <v>0</v>
      </c>
      <c r="U59" s="37">
        <f>IF(B59="","",IF(J59="Received",IF(M59&lt;&gt;"",M59,IF(F59="",0,F59)),IF(J59="Part received",IF(M59="",0,M59),0)))</f>
        <v>0</v>
      </c>
      <c r="V59" s="37">
        <f>IF(B59="","",IF(J59="Ordered","",IF(J59="Draft","",ROUND(IF(F59="",0,F59)-U59,2))))</f>
        <v>0</v>
      </c>
      <c r="W59" s="25">
        <f>IF(B59="","",IF(L59="","",L59-B59))</f>
        <v>0</v>
      </c>
      <c r="X59" s="26">
        <f>IF(B59="","",IF(G59="","",IFERROR(ROUND(G59-INDEX(Inventory!$H$5:$H$304,MATCH(D59,Inventory!$A$5:$A$304,0)),2),"")))</f>
        <v>0</v>
      </c>
      <c r="Y59" s="39">
        <f>IF(B59="","",IF(D59="","Add - which product?",IF(J59="","Add - no status yet",IF(IF(J59="Ordered",IF(K59="",FALSE,K59&lt;TodayDate),FALSE),"Late - expected and not arrived",IF(V59&gt;0,"Check - delivery came up short",IF(IF(X59="",FALSE,X59&gt;0),"Check - cost has gone up",IF(O59&lt;&gt;"Yes","Due - invoice not paid","OK")))))))</f>
        <v>0</v>
      </c>
    </row>
    <row r="60" spans="1:25">
      <c r="A60" s="28">
        <f>IF(B60="","",PurchasePrefix&amp;TEXT(ROW()-4,"0000"))</f>
        <v>0</v>
      </c>
      <c r="E60" s="15">
        <f>IF(D60="","",IFERROR(INDEX(Inventory!$B$5:$B$304,MATCH(D60,Inventory!$A$5:$A$304,0)),"Not in Inventory"))</f>
        <v>0</v>
      </c>
      <c r="Q60" s="15">
        <f>IF(B60="","",TEXT(B60,"yyyy-mm"))</f>
        <v>0</v>
      </c>
      <c r="R60" s="26">
        <f>IF(B60="","",IF(G60&lt;&gt;"",G60,IFERROR(INDEX(Inventory!$H$5:$H$304,MATCH(D60,Inventory!$A$5:$A$304,0))*1,0)))</f>
        <v>0</v>
      </c>
      <c r="S60" s="26">
        <f>IF(B60="","",ROUND(IF(F60="",0,F60)*R60,2))</f>
        <v>0</v>
      </c>
      <c r="T60" s="26">
        <f>IF(B60="","",ROUND(S60+IF(H60="",0,H60)+IF(I60="",0,I60),2))</f>
        <v>0</v>
      </c>
      <c r="U60" s="37">
        <f>IF(B60="","",IF(J60="Received",IF(M60&lt;&gt;"",M60,IF(F60="",0,F60)),IF(J60="Part received",IF(M60="",0,M60),0)))</f>
        <v>0</v>
      </c>
      <c r="V60" s="37">
        <f>IF(B60="","",IF(J60="Ordered","",IF(J60="Draft","",ROUND(IF(F60="",0,F60)-U60,2))))</f>
        <v>0</v>
      </c>
      <c r="W60" s="25">
        <f>IF(B60="","",IF(L60="","",L60-B60))</f>
        <v>0</v>
      </c>
      <c r="X60" s="26">
        <f>IF(B60="","",IF(G60="","",IFERROR(ROUND(G60-INDEX(Inventory!$H$5:$H$304,MATCH(D60,Inventory!$A$5:$A$304,0)),2),"")))</f>
        <v>0</v>
      </c>
      <c r="Y60" s="39">
        <f>IF(B60="","",IF(D60="","Add - which product?",IF(J60="","Add - no status yet",IF(IF(J60="Ordered",IF(K60="",FALSE,K60&lt;TodayDate),FALSE),"Late - expected and not arrived",IF(V60&gt;0,"Check - delivery came up short",IF(IF(X60="",FALSE,X60&gt;0),"Check - cost has gone up",IF(O60&lt;&gt;"Yes","Due - invoice not paid","OK")))))))</f>
        <v>0</v>
      </c>
    </row>
    <row r="61" spans="1:25">
      <c r="A61" s="28">
        <f>IF(B61="","",PurchasePrefix&amp;TEXT(ROW()-4,"0000"))</f>
        <v>0</v>
      </c>
      <c r="E61" s="15">
        <f>IF(D61="","",IFERROR(INDEX(Inventory!$B$5:$B$304,MATCH(D61,Inventory!$A$5:$A$304,0)),"Not in Inventory"))</f>
        <v>0</v>
      </c>
      <c r="Q61" s="15">
        <f>IF(B61="","",TEXT(B61,"yyyy-mm"))</f>
        <v>0</v>
      </c>
      <c r="R61" s="26">
        <f>IF(B61="","",IF(G61&lt;&gt;"",G61,IFERROR(INDEX(Inventory!$H$5:$H$304,MATCH(D61,Inventory!$A$5:$A$304,0))*1,0)))</f>
        <v>0</v>
      </c>
      <c r="S61" s="26">
        <f>IF(B61="","",ROUND(IF(F61="",0,F61)*R61,2))</f>
        <v>0</v>
      </c>
      <c r="T61" s="26">
        <f>IF(B61="","",ROUND(S61+IF(H61="",0,H61)+IF(I61="",0,I61),2))</f>
        <v>0</v>
      </c>
      <c r="U61" s="37">
        <f>IF(B61="","",IF(J61="Received",IF(M61&lt;&gt;"",M61,IF(F61="",0,F61)),IF(J61="Part received",IF(M61="",0,M61),0)))</f>
        <v>0</v>
      </c>
      <c r="V61" s="37">
        <f>IF(B61="","",IF(J61="Ordered","",IF(J61="Draft","",ROUND(IF(F61="",0,F61)-U61,2))))</f>
        <v>0</v>
      </c>
      <c r="W61" s="25">
        <f>IF(B61="","",IF(L61="","",L61-B61))</f>
        <v>0</v>
      </c>
      <c r="X61" s="26">
        <f>IF(B61="","",IF(G61="","",IFERROR(ROUND(G61-INDEX(Inventory!$H$5:$H$304,MATCH(D61,Inventory!$A$5:$A$304,0)),2),"")))</f>
        <v>0</v>
      </c>
      <c r="Y61" s="39">
        <f>IF(B61="","",IF(D61="","Add - which product?",IF(J61="","Add - no status yet",IF(IF(J61="Ordered",IF(K61="",FALSE,K61&lt;TodayDate),FALSE),"Late - expected and not arrived",IF(V61&gt;0,"Check - delivery came up short",IF(IF(X61="",FALSE,X61&gt;0),"Check - cost has gone up",IF(O61&lt;&gt;"Yes","Due - invoice not paid","OK")))))))</f>
        <v>0</v>
      </c>
    </row>
    <row r="62" spans="1:25">
      <c r="A62" s="28">
        <f>IF(B62="","",PurchasePrefix&amp;TEXT(ROW()-4,"0000"))</f>
        <v>0</v>
      </c>
      <c r="E62" s="15">
        <f>IF(D62="","",IFERROR(INDEX(Inventory!$B$5:$B$304,MATCH(D62,Inventory!$A$5:$A$304,0)),"Not in Inventory"))</f>
        <v>0</v>
      </c>
      <c r="Q62" s="15">
        <f>IF(B62="","",TEXT(B62,"yyyy-mm"))</f>
        <v>0</v>
      </c>
      <c r="R62" s="26">
        <f>IF(B62="","",IF(G62&lt;&gt;"",G62,IFERROR(INDEX(Inventory!$H$5:$H$304,MATCH(D62,Inventory!$A$5:$A$304,0))*1,0)))</f>
        <v>0</v>
      </c>
      <c r="S62" s="26">
        <f>IF(B62="","",ROUND(IF(F62="",0,F62)*R62,2))</f>
        <v>0</v>
      </c>
      <c r="T62" s="26">
        <f>IF(B62="","",ROUND(S62+IF(H62="",0,H62)+IF(I62="",0,I62),2))</f>
        <v>0</v>
      </c>
      <c r="U62" s="37">
        <f>IF(B62="","",IF(J62="Received",IF(M62&lt;&gt;"",M62,IF(F62="",0,F62)),IF(J62="Part received",IF(M62="",0,M62),0)))</f>
        <v>0</v>
      </c>
      <c r="V62" s="37">
        <f>IF(B62="","",IF(J62="Ordered","",IF(J62="Draft","",ROUND(IF(F62="",0,F62)-U62,2))))</f>
        <v>0</v>
      </c>
      <c r="W62" s="25">
        <f>IF(B62="","",IF(L62="","",L62-B62))</f>
        <v>0</v>
      </c>
      <c r="X62" s="26">
        <f>IF(B62="","",IF(G62="","",IFERROR(ROUND(G62-INDEX(Inventory!$H$5:$H$304,MATCH(D62,Inventory!$A$5:$A$304,0)),2),"")))</f>
        <v>0</v>
      </c>
      <c r="Y62" s="39">
        <f>IF(B62="","",IF(D62="","Add - which product?",IF(J62="","Add - no status yet",IF(IF(J62="Ordered",IF(K62="",FALSE,K62&lt;TodayDate),FALSE),"Late - expected and not arrived",IF(V62&gt;0,"Check - delivery came up short",IF(IF(X62="",FALSE,X62&gt;0),"Check - cost has gone up",IF(O62&lt;&gt;"Yes","Due - invoice not paid","OK")))))))</f>
        <v>0</v>
      </c>
    </row>
    <row r="63" spans="1:25">
      <c r="A63" s="28">
        <f>IF(B63="","",PurchasePrefix&amp;TEXT(ROW()-4,"0000"))</f>
        <v>0</v>
      </c>
      <c r="E63" s="15">
        <f>IF(D63="","",IFERROR(INDEX(Inventory!$B$5:$B$304,MATCH(D63,Inventory!$A$5:$A$304,0)),"Not in Inventory"))</f>
        <v>0</v>
      </c>
      <c r="Q63" s="15">
        <f>IF(B63="","",TEXT(B63,"yyyy-mm"))</f>
        <v>0</v>
      </c>
      <c r="R63" s="26">
        <f>IF(B63="","",IF(G63&lt;&gt;"",G63,IFERROR(INDEX(Inventory!$H$5:$H$304,MATCH(D63,Inventory!$A$5:$A$304,0))*1,0)))</f>
        <v>0</v>
      </c>
      <c r="S63" s="26">
        <f>IF(B63="","",ROUND(IF(F63="",0,F63)*R63,2))</f>
        <v>0</v>
      </c>
      <c r="T63" s="26">
        <f>IF(B63="","",ROUND(S63+IF(H63="",0,H63)+IF(I63="",0,I63),2))</f>
        <v>0</v>
      </c>
      <c r="U63" s="37">
        <f>IF(B63="","",IF(J63="Received",IF(M63&lt;&gt;"",M63,IF(F63="",0,F63)),IF(J63="Part received",IF(M63="",0,M63),0)))</f>
        <v>0</v>
      </c>
      <c r="V63" s="37">
        <f>IF(B63="","",IF(J63="Ordered","",IF(J63="Draft","",ROUND(IF(F63="",0,F63)-U63,2))))</f>
        <v>0</v>
      </c>
      <c r="W63" s="25">
        <f>IF(B63="","",IF(L63="","",L63-B63))</f>
        <v>0</v>
      </c>
      <c r="X63" s="26">
        <f>IF(B63="","",IF(G63="","",IFERROR(ROUND(G63-INDEX(Inventory!$H$5:$H$304,MATCH(D63,Inventory!$A$5:$A$304,0)),2),"")))</f>
        <v>0</v>
      </c>
      <c r="Y63" s="39">
        <f>IF(B63="","",IF(D63="","Add - which product?",IF(J63="","Add - no status yet",IF(IF(J63="Ordered",IF(K63="",FALSE,K63&lt;TodayDate),FALSE),"Late - expected and not arrived",IF(V63&gt;0,"Check - delivery came up short",IF(IF(X63="",FALSE,X63&gt;0),"Check - cost has gone up",IF(O63&lt;&gt;"Yes","Due - invoice not paid","OK")))))))</f>
        <v>0</v>
      </c>
    </row>
    <row r="64" spans="1:25">
      <c r="A64" s="28">
        <f>IF(B64="","",PurchasePrefix&amp;TEXT(ROW()-4,"0000"))</f>
        <v>0</v>
      </c>
      <c r="E64" s="15">
        <f>IF(D64="","",IFERROR(INDEX(Inventory!$B$5:$B$304,MATCH(D64,Inventory!$A$5:$A$304,0)),"Not in Inventory"))</f>
        <v>0</v>
      </c>
      <c r="Q64" s="15">
        <f>IF(B64="","",TEXT(B64,"yyyy-mm"))</f>
        <v>0</v>
      </c>
      <c r="R64" s="26">
        <f>IF(B64="","",IF(G64&lt;&gt;"",G64,IFERROR(INDEX(Inventory!$H$5:$H$304,MATCH(D64,Inventory!$A$5:$A$304,0))*1,0)))</f>
        <v>0</v>
      </c>
      <c r="S64" s="26">
        <f>IF(B64="","",ROUND(IF(F64="",0,F64)*R64,2))</f>
        <v>0</v>
      </c>
      <c r="T64" s="26">
        <f>IF(B64="","",ROUND(S64+IF(H64="",0,H64)+IF(I64="",0,I64),2))</f>
        <v>0</v>
      </c>
      <c r="U64" s="37">
        <f>IF(B64="","",IF(J64="Received",IF(M64&lt;&gt;"",M64,IF(F64="",0,F64)),IF(J64="Part received",IF(M64="",0,M64),0)))</f>
        <v>0</v>
      </c>
      <c r="V64" s="37">
        <f>IF(B64="","",IF(J64="Ordered","",IF(J64="Draft","",ROUND(IF(F64="",0,F64)-U64,2))))</f>
        <v>0</v>
      </c>
      <c r="W64" s="25">
        <f>IF(B64="","",IF(L64="","",L64-B64))</f>
        <v>0</v>
      </c>
      <c r="X64" s="26">
        <f>IF(B64="","",IF(G64="","",IFERROR(ROUND(G64-INDEX(Inventory!$H$5:$H$304,MATCH(D64,Inventory!$A$5:$A$304,0)),2),"")))</f>
        <v>0</v>
      </c>
      <c r="Y64" s="39">
        <f>IF(B64="","",IF(D64="","Add - which product?",IF(J64="","Add - no status yet",IF(IF(J64="Ordered",IF(K64="",FALSE,K64&lt;TodayDate),FALSE),"Late - expected and not arrived",IF(V64&gt;0,"Check - delivery came up short",IF(IF(X64="",FALSE,X64&gt;0),"Check - cost has gone up",IF(O64&lt;&gt;"Yes","Due - invoice not paid","OK")))))))</f>
        <v>0</v>
      </c>
    </row>
    <row r="65" spans="1:25">
      <c r="A65" s="28">
        <f>IF(B65="","",PurchasePrefix&amp;TEXT(ROW()-4,"0000"))</f>
        <v>0</v>
      </c>
      <c r="E65" s="15">
        <f>IF(D65="","",IFERROR(INDEX(Inventory!$B$5:$B$304,MATCH(D65,Inventory!$A$5:$A$304,0)),"Not in Inventory"))</f>
        <v>0</v>
      </c>
      <c r="Q65" s="15">
        <f>IF(B65="","",TEXT(B65,"yyyy-mm"))</f>
        <v>0</v>
      </c>
      <c r="R65" s="26">
        <f>IF(B65="","",IF(G65&lt;&gt;"",G65,IFERROR(INDEX(Inventory!$H$5:$H$304,MATCH(D65,Inventory!$A$5:$A$304,0))*1,0)))</f>
        <v>0</v>
      </c>
      <c r="S65" s="26">
        <f>IF(B65="","",ROUND(IF(F65="",0,F65)*R65,2))</f>
        <v>0</v>
      </c>
      <c r="T65" s="26">
        <f>IF(B65="","",ROUND(S65+IF(H65="",0,H65)+IF(I65="",0,I65),2))</f>
        <v>0</v>
      </c>
      <c r="U65" s="37">
        <f>IF(B65="","",IF(J65="Received",IF(M65&lt;&gt;"",M65,IF(F65="",0,F65)),IF(J65="Part received",IF(M65="",0,M65),0)))</f>
        <v>0</v>
      </c>
      <c r="V65" s="37">
        <f>IF(B65="","",IF(J65="Ordered","",IF(J65="Draft","",ROUND(IF(F65="",0,F65)-U65,2))))</f>
        <v>0</v>
      </c>
      <c r="W65" s="25">
        <f>IF(B65="","",IF(L65="","",L65-B65))</f>
        <v>0</v>
      </c>
      <c r="X65" s="26">
        <f>IF(B65="","",IF(G65="","",IFERROR(ROUND(G65-INDEX(Inventory!$H$5:$H$304,MATCH(D65,Inventory!$A$5:$A$304,0)),2),"")))</f>
        <v>0</v>
      </c>
      <c r="Y65" s="39">
        <f>IF(B65="","",IF(D65="","Add - which product?",IF(J65="","Add - no status yet",IF(IF(J65="Ordered",IF(K65="",FALSE,K65&lt;TodayDate),FALSE),"Late - expected and not arrived",IF(V65&gt;0,"Check - delivery came up short",IF(IF(X65="",FALSE,X65&gt;0),"Check - cost has gone up",IF(O65&lt;&gt;"Yes","Due - invoice not paid","OK")))))))</f>
        <v>0</v>
      </c>
    </row>
    <row r="66" spans="1:25">
      <c r="A66" s="28">
        <f>IF(B66="","",PurchasePrefix&amp;TEXT(ROW()-4,"0000"))</f>
        <v>0</v>
      </c>
      <c r="E66" s="15">
        <f>IF(D66="","",IFERROR(INDEX(Inventory!$B$5:$B$304,MATCH(D66,Inventory!$A$5:$A$304,0)),"Not in Inventory"))</f>
        <v>0</v>
      </c>
      <c r="Q66" s="15">
        <f>IF(B66="","",TEXT(B66,"yyyy-mm"))</f>
        <v>0</v>
      </c>
      <c r="R66" s="26">
        <f>IF(B66="","",IF(G66&lt;&gt;"",G66,IFERROR(INDEX(Inventory!$H$5:$H$304,MATCH(D66,Inventory!$A$5:$A$304,0))*1,0)))</f>
        <v>0</v>
      </c>
      <c r="S66" s="26">
        <f>IF(B66="","",ROUND(IF(F66="",0,F66)*R66,2))</f>
        <v>0</v>
      </c>
      <c r="T66" s="26">
        <f>IF(B66="","",ROUND(S66+IF(H66="",0,H66)+IF(I66="",0,I66),2))</f>
        <v>0</v>
      </c>
      <c r="U66" s="37">
        <f>IF(B66="","",IF(J66="Received",IF(M66&lt;&gt;"",M66,IF(F66="",0,F66)),IF(J66="Part received",IF(M66="",0,M66),0)))</f>
        <v>0</v>
      </c>
      <c r="V66" s="37">
        <f>IF(B66="","",IF(J66="Ordered","",IF(J66="Draft","",ROUND(IF(F66="",0,F66)-U66,2))))</f>
        <v>0</v>
      </c>
      <c r="W66" s="25">
        <f>IF(B66="","",IF(L66="","",L66-B66))</f>
        <v>0</v>
      </c>
      <c r="X66" s="26">
        <f>IF(B66="","",IF(G66="","",IFERROR(ROUND(G66-INDEX(Inventory!$H$5:$H$304,MATCH(D66,Inventory!$A$5:$A$304,0)),2),"")))</f>
        <v>0</v>
      </c>
      <c r="Y66" s="39">
        <f>IF(B66="","",IF(D66="","Add - which product?",IF(J66="","Add - no status yet",IF(IF(J66="Ordered",IF(K66="",FALSE,K66&lt;TodayDate),FALSE),"Late - expected and not arrived",IF(V66&gt;0,"Check - delivery came up short",IF(IF(X66="",FALSE,X66&gt;0),"Check - cost has gone up",IF(O66&lt;&gt;"Yes","Due - invoice not paid","OK")))))))</f>
        <v>0</v>
      </c>
    </row>
    <row r="67" spans="1:25">
      <c r="A67" s="28">
        <f>IF(B67="","",PurchasePrefix&amp;TEXT(ROW()-4,"0000"))</f>
        <v>0</v>
      </c>
      <c r="E67" s="15">
        <f>IF(D67="","",IFERROR(INDEX(Inventory!$B$5:$B$304,MATCH(D67,Inventory!$A$5:$A$304,0)),"Not in Inventory"))</f>
        <v>0</v>
      </c>
      <c r="Q67" s="15">
        <f>IF(B67="","",TEXT(B67,"yyyy-mm"))</f>
        <v>0</v>
      </c>
      <c r="R67" s="26">
        <f>IF(B67="","",IF(G67&lt;&gt;"",G67,IFERROR(INDEX(Inventory!$H$5:$H$304,MATCH(D67,Inventory!$A$5:$A$304,0))*1,0)))</f>
        <v>0</v>
      </c>
      <c r="S67" s="26">
        <f>IF(B67="","",ROUND(IF(F67="",0,F67)*R67,2))</f>
        <v>0</v>
      </c>
      <c r="T67" s="26">
        <f>IF(B67="","",ROUND(S67+IF(H67="",0,H67)+IF(I67="",0,I67),2))</f>
        <v>0</v>
      </c>
      <c r="U67" s="37">
        <f>IF(B67="","",IF(J67="Received",IF(M67&lt;&gt;"",M67,IF(F67="",0,F67)),IF(J67="Part received",IF(M67="",0,M67),0)))</f>
        <v>0</v>
      </c>
      <c r="V67" s="37">
        <f>IF(B67="","",IF(J67="Ordered","",IF(J67="Draft","",ROUND(IF(F67="",0,F67)-U67,2))))</f>
        <v>0</v>
      </c>
      <c r="W67" s="25">
        <f>IF(B67="","",IF(L67="","",L67-B67))</f>
        <v>0</v>
      </c>
      <c r="X67" s="26">
        <f>IF(B67="","",IF(G67="","",IFERROR(ROUND(G67-INDEX(Inventory!$H$5:$H$304,MATCH(D67,Inventory!$A$5:$A$304,0)),2),"")))</f>
        <v>0</v>
      </c>
      <c r="Y67" s="39">
        <f>IF(B67="","",IF(D67="","Add - which product?",IF(J67="","Add - no status yet",IF(IF(J67="Ordered",IF(K67="",FALSE,K67&lt;TodayDate),FALSE),"Late - expected and not arrived",IF(V67&gt;0,"Check - delivery came up short",IF(IF(X67="",FALSE,X67&gt;0),"Check - cost has gone up",IF(O67&lt;&gt;"Yes","Due - invoice not paid","OK")))))))</f>
        <v>0</v>
      </c>
    </row>
    <row r="68" spans="1:25">
      <c r="A68" s="28">
        <f>IF(B68="","",PurchasePrefix&amp;TEXT(ROW()-4,"0000"))</f>
        <v>0</v>
      </c>
      <c r="E68" s="15">
        <f>IF(D68="","",IFERROR(INDEX(Inventory!$B$5:$B$304,MATCH(D68,Inventory!$A$5:$A$304,0)),"Not in Inventory"))</f>
        <v>0</v>
      </c>
      <c r="Q68" s="15">
        <f>IF(B68="","",TEXT(B68,"yyyy-mm"))</f>
        <v>0</v>
      </c>
      <c r="R68" s="26">
        <f>IF(B68="","",IF(G68&lt;&gt;"",G68,IFERROR(INDEX(Inventory!$H$5:$H$304,MATCH(D68,Inventory!$A$5:$A$304,0))*1,0)))</f>
        <v>0</v>
      </c>
      <c r="S68" s="26">
        <f>IF(B68="","",ROUND(IF(F68="",0,F68)*R68,2))</f>
        <v>0</v>
      </c>
      <c r="T68" s="26">
        <f>IF(B68="","",ROUND(S68+IF(H68="",0,H68)+IF(I68="",0,I68),2))</f>
        <v>0</v>
      </c>
      <c r="U68" s="37">
        <f>IF(B68="","",IF(J68="Received",IF(M68&lt;&gt;"",M68,IF(F68="",0,F68)),IF(J68="Part received",IF(M68="",0,M68),0)))</f>
        <v>0</v>
      </c>
      <c r="V68" s="37">
        <f>IF(B68="","",IF(J68="Ordered","",IF(J68="Draft","",ROUND(IF(F68="",0,F68)-U68,2))))</f>
        <v>0</v>
      </c>
      <c r="W68" s="25">
        <f>IF(B68="","",IF(L68="","",L68-B68))</f>
        <v>0</v>
      </c>
      <c r="X68" s="26">
        <f>IF(B68="","",IF(G68="","",IFERROR(ROUND(G68-INDEX(Inventory!$H$5:$H$304,MATCH(D68,Inventory!$A$5:$A$304,0)),2),"")))</f>
        <v>0</v>
      </c>
      <c r="Y68" s="39">
        <f>IF(B68="","",IF(D68="","Add - which product?",IF(J68="","Add - no status yet",IF(IF(J68="Ordered",IF(K68="",FALSE,K68&lt;TodayDate),FALSE),"Late - expected and not arrived",IF(V68&gt;0,"Check - delivery came up short",IF(IF(X68="",FALSE,X68&gt;0),"Check - cost has gone up",IF(O68&lt;&gt;"Yes","Due - invoice not paid","OK")))))))</f>
        <v>0</v>
      </c>
    </row>
    <row r="69" spans="1:25">
      <c r="A69" s="28">
        <f>IF(B69="","",PurchasePrefix&amp;TEXT(ROW()-4,"0000"))</f>
        <v>0</v>
      </c>
      <c r="E69" s="15">
        <f>IF(D69="","",IFERROR(INDEX(Inventory!$B$5:$B$304,MATCH(D69,Inventory!$A$5:$A$304,0)),"Not in Inventory"))</f>
        <v>0</v>
      </c>
      <c r="Q69" s="15">
        <f>IF(B69="","",TEXT(B69,"yyyy-mm"))</f>
        <v>0</v>
      </c>
      <c r="R69" s="26">
        <f>IF(B69="","",IF(G69&lt;&gt;"",G69,IFERROR(INDEX(Inventory!$H$5:$H$304,MATCH(D69,Inventory!$A$5:$A$304,0))*1,0)))</f>
        <v>0</v>
      </c>
      <c r="S69" s="26">
        <f>IF(B69="","",ROUND(IF(F69="",0,F69)*R69,2))</f>
        <v>0</v>
      </c>
      <c r="T69" s="26">
        <f>IF(B69="","",ROUND(S69+IF(H69="",0,H69)+IF(I69="",0,I69),2))</f>
        <v>0</v>
      </c>
      <c r="U69" s="37">
        <f>IF(B69="","",IF(J69="Received",IF(M69&lt;&gt;"",M69,IF(F69="",0,F69)),IF(J69="Part received",IF(M69="",0,M69),0)))</f>
        <v>0</v>
      </c>
      <c r="V69" s="37">
        <f>IF(B69="","",IF(J69="Ordered","",IF(J69="Draft","",ROUND(IF(F69="",0,F69)-U69,2))))</f>
        <v>0</v>
      </c>
      <c r="W69" s="25">
        <f>IF(B69="","",IF(L69="","",L69-B69))</f>
        <v>0</v>
      </c>
      <c r="X69" s="26">
        <f>IF(B69="","",IF(G69="","",IFERROR(ROUND(G69-INDEX(Inventory!$H$5:$H$304,MATCH(D69,Inventory!$A$5:$A$304,0)),2),"")))</f>
        <v>0</v>
      </c>
      <c r="Y69" s="39">
        <f>IF(B69="","",IF(D69="","Add - which product?",IF(J69="","Add - no status yet",IF(IF(J69="Ordered",IF(K69="",FALSE,K69&lt;TodayDate),FALSE),"Late - expected and not arrived",IF(V69&gt;0,"Check - delivery came up short",IF(IF(X69="",FALSE,X69&gt;0),"Check - cost has gone up",IF(O69&lt;&gt;"Yes","Due - invoice not paid","OK")))))))</f>
        <v>0</v>
      </c>
    </row>
    <row r="70" spans="1:25">
      <c r="A70" s="28">
        <f>IF(B70="","",PurchasePrefix&amp;TEXT(ROW()-4,"0000"))</f>
        <v>0</v>
      </c>
      <c r="E70" s="15">
        <f>IF(D70="","",IFERROR(INDEX(Inventory!$B$5:$B$304,MATCH(D70,Inventory!$A$5:$A$304,0)),"Not in Inventory"))</f>
        <v>0</v>
      </c>
      <c r="Q70" s="15">
        <f>IF(B70="","",TEXT(B70,"yyyy-mm"))</f>
        <v>0</v>
      </c>
      <c r="R70" s="26">
        <f>IF(B70="","",IF(G70&lt;&gt;"",G70,IFERROR(INDEX(Inventory!$H$5:$H$304,MATCH(D70,Inventory!$A$5:$A$304,0))*1,0)))</f>
        <v>0</v>
      </c>
      <c r="S70" s="26">
        <f>IF(B70="","",ROUND(IF(F70="",0,F70)*R70,2))</f>
        <v>0</v>
      </c>
      <c r="T70" s="26">
        <f>IF(B70="","",ROUND(S70+IF(H70="",0,H70)+IF(I70="",0,I70),2))</f>
        <v>0</v>
      </c>
      <c r="U70" s="37">
        <f>IF(B70="","",IF(J70="Received",IF(M70&lt;&gt;"",M70,IF(F70="",0,F70)),IF(J70="Part received",IF(M70="",0,M70),0)))</f>
        <v>0</v>
      </c>
      <c r="V70" s="37">
        <f>IF(B70="","",IF(J70="Ordered","",IF(J70="Draft","",ROUND(IF(F70="",0,F70)-U70,2))))</f>
        <v>0</v>
      </c>
      <c r="W70" s="25">
        <f>IF(B70="","",IF(L70="","",L70-B70))</f>
        <v>0</v>
      </c>
      <c r="X70" s="26">
        <f>IF(B70="","",IF(G70="","",IFERROR(ROUND(G70-INDEX(Inventory!$H$5:$H$304,MATCH(D70,Inventory!$A$5:$A$304,0)),2),"")))</f>
        <v>0</v>
      </c>
      <c r="Y70" s="39">
        <f>IF(B70="","",IF(D70="","Add - which product?",IF(J70="","Add - no status yet",IF(IF(J70="Ordered",IF(K70="",FALSE,K70&lt;TodayDate),FALSE),"Late - expected and not arrived",IF(V70&gt;0,"Check - delivery came up short",IF(IF(X70="",FALSE,X70&gt;0),"Check - cost has gone up",IF(O70&lt;&gt;"Yes","Due - invoice not paid","OK")))))))</f>
        <v>0</v>
      </c>
    </row>
    <row r="71" spans="1:25">
      <c r="A71" s="28">
        <f>IF(B71="","",PurchasePrefix&amp;TEXT(ROW()-4,"0000"))</f>
        <v>0</v>
      </c>
      <c r="E71" s="15">
        <f>IF(D71="","",IFERROR(INDEX(Inventory!$B$5:$B$304,MATCH(D71,Inventory!$A$5:$A$304,0)),"Not in Inventory"))</f>
        <v>0</v>
      </c>
      <c r="Q71" s="15">
        <f>IF(B71="","",TEXT(B71,"yyyy-mm"))</f>
        <v>0</v>
      </c>
      <c r="R71" s="26">
        <f>IF(B71="","",IF(G71&lt;&gt;"",G71,IFERROR(INDEX(Inventory!$H$5:$H$304,MATCH(D71,Inventory!$A$5:$A$304,0))*1,0)))</f>
        <v>0</v>
      </c>
      <c r="S71" s="26">
        <f>IF(B71="","",ROUND(IF(F71="",0,F71)*R71,2))</f>
        <v>0</v>
      </c>
      <c r="T71" s="26">
        <f>IF(B71="","",ROUND(S71+IF(H71="",0,H71)+IF(I71="",0,I71),2))</f>
        <v>0</v>
      </c>
      <c r="U71" s="37">
        <f>IF(B71="","",IF(J71="Received",IF(M71&lt;&gt;"",M71,IF(F71="",0,F71)),IF(J71="Part received",IF(M71="",0,M71),0)))</f>
        <v>0</v>
      </c>
      <c r="V71" s="37">
        <f>IF(B71="","",IF(J71="Ordered","",IF(J71="Draft","",ROUND(IF(F71="",0,F71)-U71,2))))</f>
        <v>0</v>
      </c>
      <c r="W71" s="25">
        <f>IF(B71="","",IF(L71="","",L71-B71))</f>
        <v>0</v>
      </c>
      <c r="X71" s="26">
        <f>IF(B71="","",IF(G71="","",IFERROR(ROUND(G71-INDEX(Inventory!$H$5:$H$304,MATCH(D71,Inventory!$A$5:$A$304,0)),2),"")))</f>
        <v>0</v>
      </c>
      <c r="Y71" s="39">
        <f>IF(B71="","",IF(D71="","Add - which product?",IF(J71="","Add - no status yet",IF(IF(J71="Ordered",IF(K71="",FALSE,K71&lt;TodayDate),FALSE),"Late - expected and not arrived",IF(V71&gt;0,"Check - delivery came up short",IF(IF(X71="",FALSE,X71&gt;0),"Check - cost has gone up",IF(O71&lt;&gt;"Yes","Due - invoice not paid","OK")))))))</f>
        <v>0</v>
      </c>
    </row>
    <row r="72" spans="1:25">
      <c r="A72" s="28">
        <f>IF(B72="","",PurchasePrefix&amp;TEXT(ROW()-4,"0000"))</f>
        <v>0</v>
      </c>
      <c r="E72" s="15">
        <f>IF(D72="","",IFERROR(INDEX(Inventory!$B$5:$B$304,MATCH(D72,Inventory!$A$5:$A$304,0)),"Not in Inventory"))</f>
        <v>0</v>
      </c>
      <c r="Q72" s="15">
        <f>IF(B72="","",TEXT(B72,"yyyy-mm"))</f>
        <v>0</v>
      </c>
      <c r="R72" s="26">
        <f>IF(B72="","",IF(G72&lt;&gt;"",G72,IFERROR(INDEX(Inventory!$H$5:$H$304,MATCH(D72,Inventory!$A$5:$A$304,0))*1,0)))</f>
        <v>0</v>
      </c>
      <c r="S72" s="26">
        <f>IF(B72="","",ROUND(IF(F72="",0,F72)*R72,2))</f>
        <v>0</v>
      </c>
      <c r="T72" s="26">
        <f>IF(B72="","",ROUND(S72+IF(H72="",0,H72)+IF(I72="",0,I72),2))</f>
        <v>0</v>
      </c>
      <c r="U72" s="37">
        <f>IF(B72="","",IF(J72="Received",IF(M72&lt;&gt;"",M72,IF(F72="",0,F72)),IF(J72="Part received",IF(M72="",0,M72),0)))</f>
        <v>0</v>
      </c>
      <c r="V72" s="37">
        <f>IF(B72="","",IF(J72="Ordered","",IF(J72="Draft","",ROUND(IF(F72="",0,F72)-U72,2))))</f>
        <v>0</v>
      </c>
      <c r="W72" s="25">
        <f>IF(B72="","",IF(L72="","",L72-B72))</f>
        <v>0</v>
      </c>
      <c r="X72" s="26">
        <f>IF(B72="","",IF(G72="","",IFERROR(ROUND(G72-INDEX(Inventory!$H$5:$H$304,MATCH(D72,Inventory!$A$5:$A$304,0)),2),"")))</f>
        <v>0</v>
      </c>
      <c r="Y72" s="39">
        <f>IF(B72="","",IF(D72="","Add - which product?",IF(J72="","Add - no status yet",IF(IF(J72="Ordered",IF(K72="",FALSE,K72&lt;TodayDate),FALSE),"Late - expected and not arrived",IF(V72&gt;0,"Check - delivery came up short",IF(IF(X72="",FALSE,X72&gt;0),"Check - cost has gone up",IF(O72&lt;&gt;"Yes","Due - invoice not paid","OK")))))))</f>
        <v>0</v>
      </c>
    </row>
    <row r="73" spans="1:25">
      <c r="A73" s="28">
        <f>IF(B73="","",PurchasePrefix&amp;TEXT(ROW()-4,"0000"))</f>
        <v>0</v>
      </c>
      <c r="E73" s="15">
        <f>IF(D73="","",IFERROR(INDEX(Inventory!$B$5:$B$304,MATCH(D73,Inventory!$A$5:$A$304,0)),"Not in Inventory"))</f>
        <v>0</v>
      </c>
      <c r="Q73" s="15">
        <f>IF(B73="","",TEXT(B73,"yyyy-mm"))</f>
        <v>0</v>
      </c>
      <c r="R73" s="26">
        <f>IF(B73="","",IF(G73&lt;&gt;"",G73,IFERROR(INDEX(Inventory!$H$5:$H$304,MATCH(D73,Inventory!$A$5:$A$304,0))*1,0)))</f>
        <v>0</v>
      </c>
      <c r="S73" s="26">
        <f>IF(B73="","",ROUND(IF(F73="",0,F73)*R73,2))</f>
        <v>0</v>
      </c>
      <c r="T73" s="26">
        <f>IF(B73="","",ROUND(S73+IF(H73="",0,H73)+IF(I73="",0,I73),2))</f>
        <v>0</v>
      </c>
      <c r="U73" s="37">
        <f>IF(B73="","",IF(J73="Received",IF(M73&lt;&gt;"",M73,IF(F73="",0,F73)),IF(J73="Part received",IF(M73="",0,M73),0)))</f>
        <v>0</v>
      </c>
      <c r="V73" s="37">
        <f>IF(B73="","",IF(J73="Ordered","",IF(J73="Draft","",ROUND(IF(F73="",0,F73)-U73,2))))</f>
        <v>0</v>
      </c>
      <c r="W73" s="25">
        <f>IF(B73="","",IF(L73="","",L73-B73))</f>
        <v>0</v>
      </c>
      <c r="X73" s="26">
        <f>IF(B73="","",IF(G73="","",IFERROR(ROUND(G73-INDEX(Inventory!$H$5:$H$304,MATCH(D73,Inventory!$A$5:$A$304,0)),2),"")))</f>
        <v>0</v>
      </c>
      <c r="Y73" s="39">
        <f>IF(B73="","",IF(D73="","Add - which product?",IF(J73="","Add - no status yet",IF(IF(J73="Ordered",IF(K73="",FALSE,K73&lt;TodayDate),FALSE),"Late - expected and not arrived",IF(V73&gt;0,"Check - delivery came up short",IF(IF(X73="",FALSE,X73&gt;0),"Check - cost has gone up",IF(O73&lt;&gt;"Yes","Due - invoice not paid","OK")))))))</f>
        <v>0</v>
      </c>
    </row>
    <row r="74" spans="1:25">
      <c r="A74" s="28">
        <f>IF(B74="","",PurchasePrefix&amp;TEXT(ROW()-4,"0000"))</f>
        <v>0</v>
      </c>
      <c r="E74" s="15">
        <f>IF(D74="","",IFERROR(INDEX(Inventory!$B$5:$B$304,MATCH(D74,Inventory!$A$5:$A$304,0)),"Not in Inventory"))</f>
        <v>0</v>
      </c>
      <c r="Q74" s="15">
        <f>IF(B74="","",TEXT(B74,"yyyy-mm"))</f>
        <v>0</v>
      </c>
      <c r="R74" s="26">
        <f>IF(B74="","",IF(G74&lt;&gt;"",G74,IFERROR(INDEX(Inventory!$H$5:$H$304,MATCH(D74,Inventory!$A$5:$A$304,0))*1,0)))</f>
        <v>0</v>
      </c>
      <c r="S74" s="26">
        <f>IF(B74="","",ROUND(IF(F74="",0,F74)*R74,2))</f>
        <v>0</v>
      </c>
      <c r="T74" s="26">
        <f>IF(B74="","",ROUND(S74+IF(H74="",0,H74)+IF(I74="",0,I74),2))</f>
        <v>0</v>
      </c>
      <c r="U74" s="37">
        <f>IF(B74="","",IF(J74="Received",IF(M74&lt;&gt;"",M74,IF(F74="",0,F74)),IF(J74="Part received",IF(M74="",0,M74),0)))</f>
        <v>0</v>
      </c>
      <c r="V74" s="37">
        <f>IF(B74="","",IF(J74="Ordered","",IF(J74="Draft","",ROUND(IF(F74="",0,F74)-U74,2))))</f>
        <v>0</v>
      </c>
      <c r="W74" s="25">
        <f>IF(B74="","",IF(L74="","",L74-B74))</f>
        <v>0</v>
      </c>
      <c r="X74" s="26">
        <f>IF(B74="","",IF(G74="","",IFERROR(ROUND(G74-INDEX(Inventory!$H$5:$H$304,MATCH(D74,Inventory!$A$5:$A$304,0)),2),"")))</f>
        <v>0</v>
      </c>
      <c r="Y74" s="39">
        <f>IF(B74="","",IF(D74="","Add - which product?",IF(J74="","Add - no status yet",IF(IF(J74="Ordered",IF(K74="",FALSE,K74&lt;TodayDate),FALSE),"Late - expected and not arrived",IF(V74&gt;0,"Check - delivery came up short",IF(IF(X74="",FALSE,X74&gt;0),"Check - cost has gone up",IF(O74&lt;&gt;"Yes","Due - invoice not paid","OK")))))))</f>
        <v>0</v>
      </c>
    </row>
    <row r="75" spans="1:25">
      <c r="A75" s="28">
        <f>IF(B75="","",PurchasePrefix&amp;TEXT(ROW()-4,"0000"))</f>
        <v>0</v>
      </c>
      <c r="E75" s="15">
        <f>IF(D75="","",IFERROR(INDEX(Inventory!$B$5:$B$304,MATCH(D75,Inventory!$A$5:$A$304,0)),"Not in Inventory"))</f>
        <v>0</v>
      </c>
      <c r="Q75" s="15">
        <f>IF(B75="","",TEXT(B75,"yyyy-mm"))</f>
        <v>0</v>
      </c>
      <c r="R75" s="26">
        <f>IF(B75="","",IF(G75&lt;&gt;"",G75,IFERROR(INDEX(Inventory!$H$5:$H$304,MATCH(D75,Inventory!$A$5:$A$304,0))*1,0)))</f>
        <v>0</v>
      </c>
      <c r="S75" s="26">
        <f>IF(B75="","",ROUND(IF(F75="",0,F75)*R75,2))</f>
        <v>0</v>
      </c>
      <c r="T75" s="26">
        <f>IF(B75="","",ROUND(S75+IF(H75="",0,H75)+IF(I75="",0,I75),2))</f>
        <v>0</v>
      </c>
      <c r="U75" s="37">
        <f>IF(B75="","",IF(J75="Received",IF(M75&lt;&gt;"",M75,IF(F75="",0,F75)),IF(J75="Part received",IF(M75="",0,M75),0)))</f>
        <v>0</v>
      </c>
      <c r="V75" s="37">
        <f>IF(B75="","",IF(J75="Ordered","",IF(J75="Draft","",ROUND(IF(F75="",0,F75)-U75,2))))</f>
        <v>0</v>
      </c>
      <c r="W75" s="25">
        <f>IF(B75="","",IF(L75="","",L75-B75))</f>
        <v>0</v>
      </c>
      <c r="X75" s="26">
        <f>IF(B75="","",IF(G75="","",IFERROR(ROUND(G75-INDEX(Inventory!$H$5:$H$304,MATCH(D75,Inventory!$A$5:$A$304,0)),2),"")))</f>
        <v>0</v>
      </c>
      <c r="Y75" s="39">
        <f>IF(B75="","",IF(D75="","Add - which product?",IF(J75="","Add - no status yet",IF(IF(J75="Ordered",IF(K75="",FALSE,K75&lt;TodayDate),FALSE),"Late - expected and not arrived",IF(V75&gt;0,"Check - delivery came up short",IF(IF(X75="",FALSE,X75&gt;0),"Check - cost has gone up",IF(O75&lt;&gt;"Yes","Due - invoice not paid","OK")))))))</f>
        <v>0</v>
      </c>
    </row>
    <row r="76" spans="1:25">
      <c r="A76" s="28">
        <f>IF(B76="","",PurchasePrefix&amp;TEXT(ROW()-4,"0000"))</f>
        <v>0</v>
      </c>
      <c r="E76" s="15">
        <f>IF(D76="","",IFERROR(INDEX(Inventory!$B$5:$B$304,MATCH(D76,Inventory!$A$5:$A$304,0)),"Not in Inventory"))</f>
        <v>0</v>
      </c>
      <c r="Q76" s="15">
        <f>IF(B76="","",TEXT(B76,"yyyy-mm"))</f>
        <v>0</v>
      </c>
      <c r="R76" s="26">
        <f>IF(B76="","",IF(G76&lt;&gt;"",G76,IFERROR(INDEX(Inventory!$H$5:$H$304,MATCH(D76,Inventory!$A$5:$A$304,0))*1,0)))</f>
        <v>0</v>
      </c>
      <c r="S76" s="26">
        <f>IF(B76="","",ROUND(IF(F76="",0,F76)*R76,2))</f>
        <v>0</v>
      </c>
      <c r="T76" s="26">
        <f>IF(B76="","",ROUND(S76+IF(H76="",0,H76)+IF(I76="",0,I76),2))</f>
        <v>0</v>
      </c>
      <c r="U76" s="37">
        <f>IF(B76="","",IF(J76="Received",IF(M76&lt;&gt;"",M76,IF(F76="",0,F76)),IF(J76="Part received",IF(M76="",0,M76),0)))</f>
        <v>0</v>
      </c>
      <c r="V76" s="37">
        <f>IF(B76="","",IF(J76="Ordered","",IF(J76="Draft","",ROUND(IF(F76="",0,F76)-U76,2))))</f>
        <v>0</v>
      </c>
      <c r="W76" s="25">
        <f>IF(B76="","",IF(L76="","",L76-B76))</f>
        <v>0</v>
      </c>
      <c r="X76" s="26">
        <f>IF(B76="","",IF(G76="","",IFERROR(ROUND(G76-INDEX(Inventory!$H$5:$H$304,MATCH(D76,Inventory!$A$5:$A$304,0)),2),"")))</f>
        <v>0</v>
      </c>
      <c r="Y76" s="39">
        <f>IF(B76="","",IF(D76="","Add - which product?",IF(J76="","Add - no status yet",IF(IF(J76="Ordered",IF(K76="",FALSE,K76&lt;TodayDate),FALSE),"Late - expected and not arrived",IF(V76&gt;0,"Check - delivery came up short",IF(IF(X76="",FALSE,X76&gt;0),"Check - cost has gone up",IF(O76&lt;&gt;"Yes","Due - invoice not paid","OK")))))))</f>
        <v>0</v>
      </c>
    </row>
    <row r="77" spans="1:25">
      <c r="A77" s="28">
        <f>IF(B77="","",PurchasePrefix&amp;TEXT(ROW()-4,"0000"))</f>
        <v>0</v>
      </c>
      <c r="E77" s="15">
        <f>IF(D77="","",IFERROR(INDEX(Inventory!$B$5:$B$304,MATCH(D77,Inventory!$A$5:$A$304,0)),"Not in Inventory"))</f>
        <v>0</v>
      </c>
      <c r="Q77" s="15">
        <f>IF(B77="","",TEXT(B77,"yyyy-mm"))</f>
        <v>0</v>
      </c>
      <c r="R77" s="26">
        <f>IF(B77="","",IF(G77&lt;&gt;"",G77,IFERROR(INDEX(Inventory!$H$5:$H$304,MATCH(D77,Inventory!$A$5:$A$304,0))*1,0)))</f>
        <v>0</v>
      </c>
      <c r="S77" s="26">
        <f>IF(B77="","",ROUND(IF(F77="",0,F77)*R77,2))</f>
        <v>0</v>
      </c>
      <c r="T77" s="26">
        <f>IF(B77="","",ROUND(S77+IF(H77="",0,H77)+IF(I77="",0,I77),2))</f>
        <v>0</v>
      </c>
      <c r="U77" s="37">
        <f>IF(B77="","",IF(J77="Received",IF(M77&lt;&gt;"",M77,IF(F77="",0,F77)),IF(J77="Part received",IF(M77="",0,M77),0)))</f>
        <v>0</v>
      </c>
      <c r="V77" s="37">
        <f>IF(B77="","",IF(J77="Ordered","",IF(J77="Draft","",ROUND(IF(F77="",0,F77)-U77,2))))</f>
        <v>0</v>
      </c>
      <c r="W77" s="25">
        <f>IF(B77="","",IF(L77="","",L77-B77))</f>
        <v>0</v>
      </c>
      <c r="X77" s="26">
        <f>IF(B77="","",IF(G77="","",IFERROR(ROUND(G77-INDEX(Inventory!$H$5:$H$304,MATCH(D77,Inventory!$A$5:$A$304,0)),2),"")))</f>
        <v>0</v>
      </c>
      <c r="Y77" s="39">
        <f>IF(B77="","",IF(D77="","Add - which product?",IF(J77="","Add - no status yet",IF(IF(J77="Ordered",IF(K77="",FALSE,K77&lt;TodayDate),FALSE),"Late - expected and not arrived",IF(V77&gt;0,"Check - delivery came up short",IF(IF(X77="",FALSE,X77&gt;0),"Check - cost has gone up",IF(O77&lt;&gt;"Yes","Due - invoice not paid","OK")))))))</f>
        <v>0</v>
      </c>
    </row>
    <row r="78" spans="1:25">
      <c r="A78" s="28">
        <f>IF(B78="","",PurchasePrefix&amp;TEXT(ROW()-4,"0000"))</f>
        <v>0</v>
      </c>
      <c r="E78" s="15">
        <f>IF(D78="","",IFERROR(INDEX(Inventory!$B$5:$B$304,MATCH(D78,Inventory!$A$5:$A$304,0)),"Not in Inventory"))</f>
        <v>0</v>
      </c>
      <c r="Q78" s="15">
        <f>IF(B78="","",TEXT(B78,"yyyy-mm"))</f>
        <v>0</v>
      </c>
      <c r="R78" s="26">
        <f>IF(B78="","",IF(G78&lt;&gt;"",G78,IFERROR(INDEX(Inventory!$H$5:$H$304,MATCH(D78,Inventory!$A$5:$A$304,0))*1,0)))</f>
        <v>0</v>
      </c>
      <c r="S78" s="26">
        <f>IF(B78="","",ROUND(IF(F78="",0,F78)*R78,2))</f>
        <v>0</v>
      </c>
      <c r="T78" s="26">
        <f>IF(B78="","",ROUND(S78+IF(H78="",0,H78)+IF(I78="",0,I78),2))</f>
        <v>0</v>
      </c>
      <c r="U78" s="37">
        <f>IF(B78="","",IF(J78="Received",IF(M78&lt;&gt;"",M78,IF(F78="",0,F78)),IF(J78="Part received",IF(M78="",0,M78),0)))</f>
        <v>0</v>
      </c>
      <c r="V78" s="37">
        <f>IF(B78="","",IF(J78="Ordered","",IF(J78="Draft","",ROUND(IF(F78="",0,F78)-U78,2))))</f>
        <v>0</v>
      </c>
      <c r="W78" s="25">
        <f>IF(B78="","",IF(L78="","",L78-B78))</f>
        <v>0</v>
      </c>
      <c r="X78" s="26">
        <f>IF(B78="","",IF(G78="","",IFERROR(ROUND(G78-INDEX(Inventory!$H$5:$H$304,MATCH(D78,Inventory!$A$5:$A$304,0)),2),"")))</f>
        <v>0</v>
      </c>
      <c r="Y78" s="39">
        <f>IF(B78="","",IF(D78="","Add - which product?",IF(J78="","Add - no status yet",IF(IF(J78="Ordered",IF(K78="",FALSE,K78&lt;TodayDate),FALSE),"Late - expected and not arrived",IF(V78&gt;0,"Check - delivery came up short",IF(IF(X78="",FALSE,X78&gt;0),"Check - cost has gone up",IF(O78&lt;&gt;"Yes","Due - invoice not paid","OK")))))))</f>
        <v>0</v>
      </c>
    </row>
    <row r="79" spans="1:25">
      <c r="A79" s="28">
        <f>IF(B79="","",PurchasePrefix&amp;TEXT(ROW()-4,"0000"))</f>
        <v>0</v>
      </c>
      <c r="E79" s="15">
        <f>IF(D79="","",IFERROR(INDEX(Inventory!$B$5:$B$304,MATCH(D79,Inventory!$A$5:$A$304,0)),"Not in Inventory"))</f>
        <v>0</v>
      </c>
      <c r="Q79" s="15">
        <f>IF(B79="","",TEXT(B79,"yyyy-mm"))</f>
        <v>0</v>
      </c>
      <c r="R79" s="26">
        <f>IF(B79="","",IF(G79&lt;&gt;"",G79,IFERROR(INDEX(Inventory!$H$5:$H$304,MATCH(D79,Inventory!$A$5:$A$304,0))*1,0)))</f>
        <v>0</v>
      </c>
      <c r="S79" s="26">
        <f>IF(B79="","",ROUND(IF(F79="",0,F79)*R79,2))</f>
        <v>0</v>
      </c>
      <c r="T79" s="26">
        <f>IF(B79="","",ROUND(S79+IF(H79="",0,H79)+IF(I79="",0,I79),2))</f>
        <v>0</v>
      </c>
      <c r="U79" s="37">
        <f>IF(B79="","",IF(J79="Received",IF(M79&lt;&gt;"",M79,IF(F79="",0,F79)),IF(J79="Part received",IF(M79="",0,M79),0)))</f>
        <v>0</v>
      </c>
      <c r="V79" s="37">
        <f>IF(B79="","",IF(J79="Ordered","",IF(J79="Draft","",ROUND(IF(F79="",0,F79)-U79,2))))</f>
        <v>0</v>
      </c>
      <c r="W79" s="25">
        <f>IF(B79="","",IF(L79="","",L79-B79))</f>
        <v>0</v>
      </c>
      <c r="X79" s="26">
        <f>IF(B79="","",IF(G79="","",IFERROR(ROUND(G79-INDEX(Inventory!$H$5:$H$304,MATCH(D79,Inventory!$A$5:$A$304,0)),2),"")))</f>
        <v>0</v>
      </c>
      <c r="Y79" s="39">
        <f>IF(B79="","",IF(D79="","Add - which product?",IF(J79="","Add - no status yet",IF(IF(J79="Ordered",IF(K79="",FALSE,K79&lt;TodayDate),FALSE),"Late - expected and not arrived",IF(V79&gt;0,"Check - delivery came up short",IF(IF(X79="",FALSE,X79&gt;0),"Check - cost has gone up",IF(O79&lt;&gt;"Yes","Due - invoice not paid","OK")))))))</f>
        <v>0</v>
      </c>
    </row>
    <row r="80" spans="1:25">
      <c r="A80" s="28">
        <f>IF(B80="","",PurchasePrefix&amp;TEXT(ROW()-4,"0000"))</f>
        <v>0</v>
      </c>
      <c r="E80" s="15">
        <f>IF(D80="","",IFERROR(INDEX(Inventory!$B$5:$B$304,MATCH(D80,Inventory!$A$5:$A$304,0)),"Not in Inventory"))</f>
        <v>0</v>
      </c>
      <c r="Q80" s="15">
        <f>IF(B80="","",TEXT(B80,"yyyy-mm"))</f>
        <v>0</v>
      </c>
      <c r="R80" s="26">
        <f>IF(B80="","",IF(G80&lt;&gt;"",G80,IFERROR(INDEX(Inventory!$H$5:$H$304,MATCH(D80,Inventory!$A$5:$A$304,0))*1,0)))</f>
        <v>0</v>
      </c>
      <c r="S80" s="26">
        <f>IF(B80="","",ROUND(IF(F80="",0,F80)*R80,2))</f>
        <v>0</v>
      </c>
      <c r="T80" s="26">
        <f>IF(B80="","",ROUND(S80+IF(H80="",0,H80)+IF(I80="",0,I80),2))</f>
        <v>0</v>
      </c>
      <c r="U80" s="37">
        <f>IF(B80="","",IF(J80="Received",IF(M80&lt;&gt;"",M80,IF(F80="",0,F80)),IF(J80="Part received",IF(M80="",0,M80),0)))</f>
        <v>0</v>
      </c>
      <c r="V80" s="37">
        <f>IF(B80="","",IF(J80="Ordered","",IF(J80="Draft","",ROUND(IF(F80="",0,F80)-U80,2))))</f>
        <v>0</v>
      </c>
      <c r="W80" s="25">
        <f>IF(B80="","",IF(L80="","",L80-B80))</f>
        <v>0</v>
      </c>
      <c r="X80" s="26">
        <f>IF(B80="","",IF(G80="","",IFERROR(ROUND(G80-INDEX(Inventory!$H$5:$H$304,MATCH(D80,Inventory!$A$5:$A$304,0)),2),"")))</f>
        <v>0</v>
      </c>
      <c r="Y80" s="39">
        <f>IF(B80="","",IF(D80="","Add - which product?",IF(J80="","Add - no status yet",IF(IF(J80="Ordered",IF(K80="",FALSE,K80&lt;TodayDate),FALSE),"Late - expected and not arrived",IF(V80&gt;0,"Check - delivery came up short",IF(IF(X80="",FALSE,X80&gt;0),"Check - cost has gone up",IF(O80&lt;&gt;"Yes","Due - invoice not paid","OK")))))))</f>
        <v>0</v>
      </c>
    </row>
    <row r="81" spans="1:25">
      <c r="A81" s="28">
        <f>IF(B81="","",PurchasePrefix&amp;TEXT(ROW()-4,"0000"))</f>
        <v>0</v>
      </c>
      <c r="E81" s="15">
        <f>IF(D81="","",IFERROR(INDEX(Inventory!$B$5:$B$304,MATCH(D81,Inventory!$A$5:$A$304,0)),"Not in Inventory"))</f>
        <v>0</v>
      </c>
      <c r="Q81" s="15">
        <f>IF(B81="","",TEXT(B81,"yyyy-mm"))</f>
        <v>0</v>
      </c>
      <c r="R81" s="26">
        <f>IF(B81="","",IF(G81&lt;&gt;"",G81,IFERROR(INDEX(Inventory!$H$5:$H$304,MATCH(D81,Inventory!$A$5:$A$304,0))*1,0)))</f>
        <v>0</v>
      </c>
      <c r="S81" s="26">
        <f>IF(B81="","",ROUND(IF(F81="",0,F81)*R81,2))</f>
        <v>0</v>
      </c>
      <c r="T81" s="26">
        <f>IF(B81="","",ROUND(S81+IF(H81="",0,H81)+IF(I81="",0,I81),2))</f>
        <v>0</v>
      </c>
      <c r="U81" s="37">
        <f>IF(B81="","",IF(J81="Received",IF(M81&lt;&gt;"",M81,IF(F81="",0,F81)),IF(J81="Part received",IF(M81="",0,M81),0)))</f>
        <v>0</v>
      </c>
      <c r="V81" s="37">
        <f>IF(B81="","",IF(J81="Ordered","",IF(J81="Draft","",ROUND(IF(F81="",0,F81)-U81,2))))</f>
        <v>0</v>
      </c>
      <c r="W81" s="25">
        <f>IF(B81="","",IF(L81="","",L81-B81))</f>
        <v>0</v>
      </c>
      <c r="X81" s="26">
        <f>IF(B81="","",IF(G81="","",IFERROR(ROUND(G81-INDEX(Inventory!$H$5:$H$304,MATCH(D81,Inventory!$A$5:$A$304,0)),2),"")))</f>
        <v>0</v>
      </c>
      <c r="Y81" s="39">
        <f>IF(B81="","",IF(D81="","Add - which product?",IF(J81="","Add - no status yet",IF(IF(J81="Ordered",IF(K81="",FALSE,K81&lt;TodayDate),FALSE),"Late - expected and not arrived",IF(V81&gt;0,"Check - delivery came up short",IF(IF(X81="",FALSE,X81&gt;0),"Check - cost has gone up",IF(O81&lt;&gt;"Yes","Due - invoice not paid","OK")))))))</f>
        <v>0</v>
      </c>
    </row>
    <row r="82" spans="1:25">
      <c r="A82" s="28">
        <f>IF(B82="","",PurchasePrefix&amp;TEXT(ROW()-4,"0000"))</f>
        <v>0</v>
      </c>
      <c r="E82" s="15">
        <f>IF(D82="","",IFERROR(INDEX(Inventory!$B$5:$B$304,MATCH(D82,Inventory!$A$5:$A$304,0)),"Not in Inventory"))</f>
        <v>0</v>
      </c>
      <c r="Q82" s="15">
        <f>IF(B82="","",TEXT(B82,"yyyy-mm"))</f>
        <v>0</v>
      </c>
      <c r="R82" s="26">
        <f>IF(B82="","",IF(G82&lt;&gt;"",G82,IFERROR(INDEX(Inventory!$H$5:$H$304,MATCH(D82,Inventory!$A$5:$A$304,0))*1,0)))</f>
        <v>0</v>
      </c>
      <c r="S82" s="26">
        <f>IF(B82="","",ROUND(IF(F82="",0,F82)*R82,2))</f>
        <v>0</v>
      </c>
      <c r="T82" s="26">
        <f>IF(B82="","",ROUND(S82+IF(H82="",0,H82)+IF(I82="",0,I82),2))</f>
        <v>0</v>
      </c>
      <c r="U82" s="37">
        <f>IF(B82="","",IF(J82="Received",IF(M82&lt;&gt;"",M82,IF(F82="",0,F82)),IF(J82="Part received",IF(M82="",0,M82),0)))</f>
        <v>0</v>
      </c>
      <c r="V82" s="37">
        <f>IF(B82="","",IF(J82="Ordered","",IF(J82="Draft","",ROUND(IF(F82="",0,F82)-U82,2))))</f>
        <v>0</v>
      </c>
      <c r="W82" s="25">
        <f>IF(B82="","",IF(L82="","",L82-B82))</f>
        <v>0</v>
      </c>
      <c r="X82" s="26">
        <f>IF(B82="","",IF(G82="","",IFERROR(ROUND(G82-INDEX(Inventory!$H$5:$H$304,MATCH(D82,Inventory!$A$5:$A$304,0)),2),"")))</f>
        <v>0</v>
      </c>
      <c r="Y82" s="39">
        <f>IF(B82="","",IF(D82="","Add - which product?",IF(J82="","Add - no status yet",IF(IF(J82="Ordered",IF(K82="",FALSE,K82&lt;TodayDate),FALSE),"Late - expected and not arrived",IF(V82&gt;0,"Check - delivery came up short",IF(IF(X82="",FALSE,X82&gt;0),"Check - cost has gone up",IF(O82&lt;&gt;"Yes","Due - invoice not paid","OK")))))))</f>
        <v>0</v>
      </c>
    </row>
    <row r="83" spans="1:25">
      <c r="A83" s="28">
        <f>IF(B83="","",PurchasePrefix&amp;TEXT(ROW()-4,"0000"))</f>
        <v>0</v>
      </c>
      <c r="E83" s="15">
        <f>IF(D83="","",IFERROR(INDEX(Inventory!$B$5:$B$304,MATCH(D83,Inventory!$A$5:$A$304,0)),"Not in Inventory"))</f>
        <v>0</v>
      </c>
      <c r="Q83" s="15">
        <f>IF(B83="","",TEXT(B83,"yyyy-mm"))</f>
        <v>0</v>
      </c>
      <c r="R83" s="26">
        <f>IF(B83="","",IF(G83&lt;&gt;"",G83,IFERROR(INDEX(Inventory!$H$5:$H$304,MATCH(D83,Inventory!$A$5:$A$304,0))*1,0)))</f>
        <v>0</v>
      </c>
      <c r="S83" s="26">
        <f>IF(B83="","",ROUND(IF(F83="",0,F83)*R83,2))</f>
        <v>0</v>
      </c>
      <c r="T83" s="26">
        <f>IF(B83="","",ROUND(S83+IF(H83="",0,H83)+IF(I83="",0,I83),2))</f>
        <v>0</v>
      </c>
      <c r="U83" s="37">
        <f>IF(B83="","",IF(J83="Received",IF(M83&lt;&gt;"",M83,IF(F83="",0,F83)),IF(J83="Part received",IF(M83="",0,M83),0)))</f>
        <v>0</v>
      </c>
      <c r="V83" s="37">
        <f>IF(B83="","",IF(J83="Ordered","",IF(J83="Draft","",ROUND(IF(F83="",0,F83)-U83,2))))</f>
        <v>0</v>
      </c>
      <c r="W83" s="25">
        <f>IF(B83="","",IF(L83="","",L83-B83))</f>
        <v>0</v>
      </c>
      <c r="X83" s="26">
        <f>IF(B83="","",IF(G83="","",IFERROR(ROUND(G83-INDEX(Inventory!$H$5:$H$304,MATCH(D83,Inventory!$A$5:$A$304,0)),2),"")))</f>
        <v>0</v>
      </c>
      <c r="Y83" s="39">
        <f>IF(B83="","",IF(D83="","Add - which product?",IF(J83="","Add - no status yet",IF(IF(J83="Ordered",IF(K83="",FALSE,K83&lt;TodayDate),FALSE),"Late - expected and not arrived",IF(V83&gt;0,"Check - delivery came up short",IF(IF(X83="",FALSE,X83&gt;0),"Check - cost has gone up",IF(O83&lt;&gt;"Yes","Due - invoice not paid","OK")))))))</f>
        <v>0</v>
      </c>
    </row>
    <row r="84" spans="1:25">
      <c r="A84" s="28">
        <f>IF(B84="","",PurchasePrefix&amp;TEXT(ROW()-4,"0000"))</f>
        <v>0</v>
      </c>
      <c r="E84" s="15">
        <f>IF(D84="","",IFERROR(INDEX(Inventory!$B$5:$B$304,MATCH(D84,Inventory!$A$5:$A$304,0)),"Not in Inventory"))</f>
        <v>0</v>
      </c>
      <c r="Q84" s="15">
        <f>IF(B84="","",TEXT(B84,"yyyy-mm"))</f>
        <v>0</v>
      </c>
      <c r="R84" s="26">
        <f>IF(B84="","",IF(G84&lt;&gt;"",G84,IFERROR(INDEX(Inventory!$H$5:$H$304,MATCH(D84,Inventory!$A$5:$A$304,0))*1,0)))</f>
        <v>0</v>
      </c>
      <c r="S84" s="26">
        <f>IF(B84="","",ROUND(IF(F84="",0,F84)*R84,2))</f>
        <v>0</v>
      </c>
      <c r="T84" s="26">
        <f>IF(B84="","",ROUND(S84+IF(H84="",0,H84)+IF(I84="",0,I84),2))</f>
        <v>0</v>
      </c>
      <c r="U84" s="37">
        <f>IF(B84="","",IF(J84="Received",IF(M84&lt;&gt;"",M84,IF(F84="",0,F84)),IF(J84="Part received",IF(M84="",0,M84),0)))</f>
        <v>0</v>
      </c>
      <c r="V84" s="37">
        <f>IF(B84="","",IF(J84="Ordered","",IF(J84="Draft","",ROUND(IF(F84="",0,F84)-U84,2))))</f>
        <v>0</v>
      </c>
      <c r="W84" s="25">
        <f>IF(B84="","",IF(L84="","",L84-B84))</f>
        <v>0</v>
      </c>
      <c r="X84" s="26">
        <f>IF(B84="","",IF(G84="","",IFERROR(ROUND(G84-INDEX(Inventory!$H$5:$H$304,MATCH(D84,Inventory!$A$5:$A$304,0)),2),"")))</f>
        <v>0</v>
      </c>
      <c r="Y84" s="39">
        <f>IF(B84="","",IF(D84="","Add - which product?",IF(J84="","Add - no status yet",IF(IF(J84="Ordered",IF(K84="",FALSE,K84&lt;TodayDate),FALSE),"Late - expected and not arrived",IF(V84&gt;0,"Check - delivery came up short",IF(IF(X84="",FALSE,X84&gt;0),"Check - cost has gone up",IF(O84&lt;&gt;"Yes","Due - invoice not paid","OK")))))))</f>
        <v>0</v>
      </c>
    </row>
    <row r="85" spans="1:25">
      <c r="A85" s="28">
        <f>IF(B85="","",PurchasePrefix&amp;TEXT(ROW()-4,"0000"))</f>
        <v>0</v>
      </c>
      <c r="E85" s="15">
        <f>IF(D85="","",IFERROR(INDEX(Inventory!$B$5:$B$304,MATCH(D85,Inventory!$A$5:$A$304,0)),"Not in Inventory"))</f>
        <v>0</v>
      </c>
      <c r="Q85" s="15">
        <f>IF(B85="","",TEXT(B85,"yyyy-mm"))</f>
        <v>0</v>
      </c>
      <c r="R85" s="26">
        <f>IF(B85="","",IF(G85&lt;&gt;"",G85,IFERROR(INDEX(Inventory!$H$5:$H$304,MATCH(D85,Inventory!$A$5:$A$304,0))*1,0)))</f>
        <v>0</v>
      </c>
      <c r="S85" s="26">
        <f>IF(B85="","",ROUND(IF(F85="",0,F85)*R85,2))</f>
        <v>0</v>
      </c>
      <c r="T85" s="26">
        <f>IF(B85="","",ROUND(S85+IF(H85="",0,H85)+IF(I85="",0,I85),2))</f>
        <v>0</v>
      </c>
      <c r="U85" s="37">
        <f>IF(B85="","",IF(J85="Received",IF(M85&lt;&gt;"",M85,IF(F85="",0,F85)),IF(J85="Part received",IF(M85="",0,M85),0)))</f>
        <v>0</v>
      </c>
      <c r="V85" s="37">
        <f>IF(B85="","",IF(J85="Ordered","",IF(J85="Draft","",ROUND(IF(F85="",0,F85)-U85,2))))</f>
        <v>0</v>
      </c>
      <c r="W85" s="25">
        <f>IF(B85="","",IF(L85="","",L85-B85))</f>
        <v>0</v>
      </c>
      <c r="X85" s="26">
        <f>IF(B85="","",IF(G85="","",IFERROR(ROUND(G85-INDEX(Inventory!$H$5:$H$304,MATCH(D85,Inventory!$A$5:$A$304,0)),2),"")))</f>
        <v>0</v>
      </c>
      <c r="Y85" s="39">
        <f>IF(B85="","",IF(D85="","Add - which product?",IF(J85="","Add - no status yet",IF(IF(J85="Ordered",IF(K85="",FALSE,K85&lt;TodayDate),FALSE),"Late - expected and not arrived",IF(V85&gt;0,"Check - delivery came up short",IF(IF(X85="",FALSE,X85&gt;0),"Check - cost has gone up",IF(O85&lt;&gt;"Yes","Due - invoice not paid","OK")))))))</f>
        <v>0</v>
      </c>
    </row>
    <row r="86" spans="1:25">
      <c r="A86" s="28">
        <f>IF(B86="","",PurchasePrefix&amp;TEXT(ROW()-4,"0000"))</f>
        <v>0</v>
      </c>
      <c r="E86" s="15">
        <f>IF(D86="","",IFERROR(INDEX(Inventory!$B$5:$B$304,MATCH(D86,Inventory!$A$5:$A$304,0)),"Not in Inventory"))</f>
        <v>0</v>
      </c>
      <c r="Q86" s="15">
        <f>IF(B86="","",TEXT(B86,"yyyy-mm"))</f>
        <v>0</v>
      </c>
      <c r="R86" s="26">
        <f>IF(B86="","",IF(G86&lt;&gt;"",G86,IFERROR(INDEX(Inventory!$H$5:$H$304,MATCH(D86,Inventory!$A$5:$A$304,0))*1,0)))</f>
        <v>0</v>
      </c>
      <c r="S86" s="26">
        <f>IF(B86="","",ROUND(IF(F86="",0,F86)*R86,2))</f>
        <v>0</v>
      </c>
      <c r="T86" s="26">
        <f>IF(B86="","",ROUND(S86+IF(H86="",0,H86)+IF(I86="",0,I86),2))</f>
        <v>0</v>
      </c>
      <c r="U86" s="37">
        <f>IF(B86="","",IF(J86="Received",IF(M86&lt;&gt;"",M86,IF(F86="",0,F86)),IF(J86="Part received",IF(M86="",0,M86),0)))</f>
        <v>0</v>
      </c>
      <c r="V86" s="37">
        <f>IF(B86="","",IF(J86="Ordered","",IF(J86="Draft","",ROUND(IF(F86="",0,F86)-U86,2))))</f>
        <v>0</v>
      </c>
      <c r="W86" s="25">
        <f>IF(B86="","",IF(L86="","",L86-B86))</f>
        <v>0</v>
      </c>
      <c r="X86" s="26">
        <f>IF(B86="","",IF(G86="","",IFERROR(ROUND(G86-INDEX(Inventory!$H$5:$H$304,MATCH(D86,Inventory!$A$5:$A$304,0)),2),"")))</f>
        <v>0</v>
      </c>
      <c r="Y86" s="39">
        <f>IF(B86="","",IF(D86="","Add - which product?",IF(J86="","Add - no status yet",IF(IF(J86="Ordered",IF(K86="",FALSE,K86&lt;TodayDate),FALSE),"Late - expected and not arrived",IF(V86&gt;0,"Check - delivery came up short",IF(IF(X86="",FALSE,X86&gt;0),"Check - cost has gone up",IF(O86&lt;&gt;"Yes","Due - invoice not paid","OK")))))))</f>
        <v>0</v>
      </c>
    </row>
    <row r="87" spans="1:25">
      <c r="A87" s="28">
        <f>IF(B87="","",PurchasePrefix&amp;TEXT(ROW()-4,"0000"))</f>
        <v>0</v>
      </c>
      <c r="E87" s="15">
        <f>IF(D87="","",IFERROR(INDEX(Inventory!$B$5:$B$304,MATCH(D87,Inventory!$A$5:$A$304,0)),"Not in Inventory"))</f>
        <v>0</v>
      </c>
      <c r="Q87" s="15">
        <f>IF(B87="","",TEXT(B87,"yyyy-mm"))</f>
        <v>0</v>
      </c>
      <c r="R87" s="26">
        <f>IF(B87="","",IF(G87&lt;&gt;"",G87,IFERROR(INDEX(Inventory!$H$5:$H$304,MATCH(D87,Inventory!$A$5:$A$304,0))*1,0)))</f>
        <v>0</v>
      </c>
      <c r="S87" s="26">
        <f>IF(B87="","",ROUND(IF(F87="",0,F87)*R87,2))</f>
        <v>0</v>
      </c>
      <c r="T87" s="26">
        <f>IF(B87="","",ROUND(S87+IF(H87="",0,H87)+IF(I87="",0,I87),2))</f>
        <v>0</v>
      </c>
      <c r="U87" s="37">
        <f>IF(B87="","",IF(J87="Received",IF(M87&lt;&gt;"",M87,IF(F87="",0,F87)),IF(J87="Part received",IF(M87="",0,M87),0)))</f>
        <v>0</v>
      </c>
      <c r="V87" s="37">
        <f>IF(B87="","",IF(J87="Ordered","",IF(J87="Draft","",ROUND(IF(F87="",0,F87)-U87,2))))</f>
        <v>0</v>
      </c>
      <c r="W87" s="25">
        <f>IF(B87="","",IF(L87="","",L87-B87))</f>
        <v>0</v>
      </c>
      <c r="X87" s="26">
        <f>IF(B87="","",IF(G87="","",IFERROR(ROUND(G87-INDEX(Inventory!$H$5:$H$304,MATCH(D87,Inventory!$A$5:$A$304,0)),2),"")))</f>
        <v>0</v>
      </c>
      <c r="Y87" s="39">
        <f>IF(B87="","",IF(D87="","Add - which product?",IF(J87="","Add - no status yet",IF(IF(J87="Ordered",IF(K87="",FALSE,K87&lt;TodayDate),FALSE),"Late - expected and not arrived",IF(V87&gt;0,"Check - delivery came up short",IF(IF(X87="",FALSE,X87&gt;0),"Check - cost has gone up",IF(O87&lt;&gt;"Yes","Due - invoice not paid","OK")))))))</f>
        <v>0</v>
      </c>
    </row>
    <row r="88" spans="1:25">
      <c r="A88" s="28">
        <f>IF(B88="","",PurchasePrefix&amp;TEXT(ROW()-4,"0000"))</f>
        <v>0</v>
      </c>
      <c r="E88" s="15">
        <f>IF(D88="","",IFERROR(INDEX(Inventory!$B$5:$B$304,MATCH(D88,Inventory!$A$5:$A$304,0)),"Not in Inventory"))</f>
        <v>0</v>
      </c>
      <c r="Q88" s="15">
        <f>IF(B88="","",TEXT(B88,"yyyy-mm"))</f>
        <v>0</v>
      </c>
      <c r="R88" s="26">
        <f>IF(B88="","",IF(G88&lt;&gt;"",G88,IFERROR(INDEX(Inventory!$H$5:$H$304,MATCH(D88,Inventory!$A$5:$A$304,0))*1,0)))</f>
        <v>0</v>
      </c>
      <c r="S88" s="26">
        <f>IF(B88="","",ROUND(IF(F88="",0,F88)*R88,2))</f>
        <v>0</v>
      </c>
      <c r="T88" s="26">
        <f>IF(B88="","",ROUND(S88+IF(H88="",0,H88)+IF(I88="",0,I88),2))</f>
        <v>0</v>
      </c>
      <c r="U88" s="37">
        <f>IF(B88="","",IF(J88="Received",IF(M88&lt;&gt;"",M88,IF(F88="",0,F88)),IF(J88="Part received",IF(M88="",0,M88),0)))</f>
        <v>0</v>
      </c>
      <c r="V88" s="37">
        <f>IF(B88="","",IF(J88="Ordered","",IF(J88="Draft","",ROUND(IF(F88="",0,F88)-U88,2))))</f>
        <v>0</v>
      </c>
      <c r="W88" s="25">
        <f>IF(B88="","",IF(L88="","",L88-B88))</f>
        <v>0</v>
      </c>
      <c r="X88" s="26">
        <f>IF(B88="","",IF(G88="","",IFERROR(ROUND(G88-INDEX(Inventory!$H$5:$H$304,MATCH(D88,Inventory!$A$5:$A$304,0)),2),"")))</f>
        <v>0</v>
      </c>
      <c r="Y88" s="39">
        <f>IF(B88="","",IF(D88="","Add - which product?",IF(J88="","Add - no status yet",IF(IF(J88="Ordered",IF(K88="",FALSE,K88&lt;TodayDate),FALSE),"Late - expected and not arrived",IF(V88&gt;0,"Check - delivery came up short",IF(IF(X88="",FALSE,X88&gt;0),"Check - cost has gone up",IF(O88&lt;&gt;"Yes","Due - invoice not paid","OK")))))))</f>
        <v>0</v>
      </c>
    </row>
    <row r="89" spans="1:25">
      <c r="A89" s="28">
        <f>IF(B89="","",PurchasePrefix&amp;TEXT(ROW()-4,"0000"))</f>
        <v>0</v>
      </c>
      <c r="E89" s="15">
        <f>IF(D89="","",IFERROR(INDEX(Inventory!$B$5:$B$304,MATCH(D89,Inventory!$A$5:$A$304,0)),"Not in Inventory"))</f>
        <v>0</v>
      </c>
      <c r="Q89" s="15">
        <f>IF(B89="","",TEXT(B89,"yyyy-mm"))</f>
        <v>0</v>
      </c>
      <c r="R89" s="26">
        <f>IF(B89="","",IF(G89&lt;&gt;"",G89,IFERROR(INDEX(Inventory!$H$5:$H$304,MATCH(D89,Inventory!$A$5:$A$304,0))*1,0)))</f>
        <v>0</v>
      </c>
      <c r="S89" s="26">
        <f>IF(B89="","",ROUND(IF(F89="",0,F89)*R89,2))</f>
        <v>0</v>
      </c>
      <c r="T89" s="26">
        <f>IF(B89="","",ROUND(S89+IF(H89="",0,H89)+IF(I89="",0,I89),2))</f>
        <v>0</v>
      </c>
      <c r="U89" s="37">
        <f>IF(B89="","",IF(J89="Received",IF(M89&lt;&gt;"",M89,IF(F89="",0,F89)),IF(J89="Part received",IF(M89="",0,M89),0)))</f>
        <v>0</v>
      </c>
      <c r="V89" s="37">
        <f>IF(B89="","",IF(J89="Ordered","",IF(J89="Draft","",ROUND(IF(F89="",0,F89)-U89,2))))</f>
        <v>0</v>
      </c>
      <c r="W89" s="25">
        <f>IF(B89="","",IF(L89="","",L89-B89))</f>
        <v>0</v>
      </c>
      <c r="X89" s="26">
        <f>IF(B89="","",IF(G89="","",IFERROR(ROUND(G89-INDEX(Inventory!$H$5:$H$304,MATCH(D89,Inventory!$A$5:$A$304,0)),2),"")))</f>
        <v>0</v>
      </c>
      <c r="Y89" s="39">
        <f>IF(B89="","",IF(D89="","Add - which product?",IF(J89="","Add - no status yet",IF(IF(J89="Ordered",IF(K89="",FALSE,K89&lt;TodayDate),FALSE),"Late - expected and not arrived",IF(V89&gt;0,"Check - delivery came up short",IF(IF(X89="",FALSE,X89&gt;0),"Check - cost has gone up",IF(O89&lt;&gt;"Yes","Due - invoice not paid","OK")))))))</f>
        <v>0</v>
      </c>
    </row>
    <row r="90" spans="1:25">
      <c r="A90" s="28">
        <f>IF(B90="","",PurchasePrefix&amp;TEXT(ROW()-4,"0000"))</f>
        <v>0</v>
      </c>
      <c r="E90" s="15">
        <f>IF(D90="","",IFERROR(INDEX(Inventory!$B$5:$B$304,MATCH(D90,Inventory!$A$5:$A$304,0)),"Not in Inventory"))</f>
        <v>0</v>
      </c>
      <c r="Q90" s="15">
        <f>IF(B90="","",TEXT(B90,"yyyy-mm"))</f>
        <v>0</v>
      </c>
      <c r="R90" s="26">
        <f>IF(B90="","",IF(G90&lt;&gt;"",G90,IFERROR(INDEX(Inventory!$H$5:$H$304,MATCH(D90,Inventory!$A$5:$A$304,0))*1,0)))</f>
        <v>0</v>
      </c>
      <c r="S90" s="26">
        <f>IF(B90="","",ROUND(IF(F90="",0,F90)*R90,2))</f>
        <v>0</v>
      </c>
      <c r="T90" s="26">
        <f>IF(B90="","",ROUND(S90+IF(H90="",0,H90)+IF(I90="",0,I90),2))</f>
        <v>0</v>
      </c>
      <c r="U90" s="37">
        <f>IF(B90="","",IF(J90="Received",IF(M90&lt;&gt;"",M90,IF(F90="",0,F90)),IF(J90="Part received",IF(M90="",0,M90),0)))</f>
        <v>0</v>
      </c>
      <c r="V90" s="37">
        <f>IF(B90="","",IF(J90="Ordered","",IF(J90="Draft","",ROUND(IF(F90="",0,F90)-U90,2))))</f>
        <v>0</v>
      </c>
      <c r="W90" s="25">
        <f>IF(B90="","",IF(L90="","",L90-B90))</f>
        <v>0</v>
      </c>
      <c r="X90" s="26">
        <f>IF(B90="","",IF(G90="","",IFERROR(ROUND(G90-INDEX(Inventory!$H$5:$H$304,MATCH(D90,Inventory!$A$5:$A$304,0)),2),"")))</f>
        <v>0</v>
      </c>
      <c r="Y90" s="39">
        <f>IF(B90="","",IF(D90="","Add - which product?",IF(J90="","Add - no status yet",IF(IF(J90="Ordered",IF(K90="",FALSE,K90&lt;TodayDate),FALSE),"Late - expected and not arrived",IF(V90&gt;0,"Check - delivery came up short",IF(IF(X90="",FALSE,X90&gt;0),"Check - cost has gone up",IF(O90&lt;&gt;"Yes","Due - invoice not paid","OK")))))))</f>
        <v>0</v>
      </c>
    </row>
    <row r="91" spans="1:25">
      <c r="A91" s="28">
        <f>IF(B91="","",PurchasePrefix&amp;TEXT(ROW()-4,"0000"))</f>
        <v>0</v>
      </c>
      <c r="E91" s="15">
        <f>IF(D91="","",IFERROR(INDEX(Inventory!$B$5:$B$304,MATCH(D91,Inventory!$A$5:$A$304,0)),"Not in Inventory"))</f>
        <v>0</v>
      </c>
      <c r="Q91" s="15">
        <f>IF(B91="","",TEXT(B91,"yyyy-mm"))</f>
        <v>0</v>
      </c>
      <c r="R91" s="26">
        <f>IF(B91="","",IF(G91&lt;&gt;"",G91,IFERROR(INDEX(Inventory!$H$5:$H$304,MATCH(D91,Inventory!$A$5:$A$304,0))*1,0)))</f>
        <v>0</v>
      </c>
      <c r="S91" s="26">
        <f>IF(B91="","",ROUND(IF(F91="",0,F91)*R91,2))</f>
        <v>0</v>
      </c>
      <c r="T91" s="26">
        <f>IF(B91="","",ROUND(S91+IF(H91="",0,H91)+IF(I91="",0,I91),2))</f>
        <v>0</v>
      </c>
      <c r="U91" s="37">
        <f>IF(B91="","",IF(J91="Received",IF(M91&lt;&gt;"",M91,IF(F91="",0,F91)),IF(J91="Part received",IF(M91="",0,M91),0)))</f>
        <v>0</v>
      </c>
      <c r="V91" s="37">
        <f>IF(B91="","",IF(J91="Ordered","",IF(J91="Draft","",ROUND(IF(F91="",0,F91)-U91,2))))</f>
        <v>0</v>
      </c>
      <c r="W91" s="25">
        <f>IF(B91="","",IF(L91="","",L91-B91))</f>
        <v>0</v>
      </c>
      <c r="X91" s="26">
        <f>IF(B91="","",IF(G91="","",IFERROR(ROUND(G91-INDEX(Inventory!$H$5:$H$304,MATCH(D91,Inventory!$A$5:$A$304,0)),2),"")))</f>
        <v>0</v>
      </c>
      <c r="Y91" s="39">
        <f>IF(B91="","",IF(D91="","Add - which product?",IF(J91="","Add - no status yet",IF(IF(J91="Ordered",IF(K91="",FALSE,K91&lt;TodayDate),FALSE),"Late - expected and not arrived",IF(V91&gt;0,"Check - delivery came up short",IF(IF(X91="",FALSE,X91&gt;0),"Check - cost has gone up",IF(O91&lt;&gt;"Yes","Due - invoice not paid","OK")))))))</f>
        <v>0</v>
      </c>
    </row>
    <row r="92" spans="1:25">
      <c r="A92" s="28">
        <f>IF(B92="","",PurchasePrefix&amp;TEXT(ROW()-4,"0000"))</f>
        <v>0</v>
      </c>
      <c r="E92" s="15">
        <f>IF(D92="","",IFERROR(INDEX(Inventory!$B$5:$B$304,MATCH(D92,Inventory!$A$5:$A$304,0)),"Not in Inventory"))</f>
        <v>0</v>
      </c>
      <c r="Q92" s="15">
        <f>IF(B92="","",TEXT(B92,"yyyy-mm"))</f>
        <v>0</v>
      </c>
      <c r="R92" s="26">
        <f>IF(B92="","",IF(G92&lt;&gt;"",G92,IFERROR(INDEX(Inventory!$H$5:$H$304,MATCH(D92,Inventory!$A$5:$A$304,0))*1,0)))</f>
        <v>0</v>
      </c>
      <c r="S92" s="26">
        <f>IF(B92="","",ROUND(IF(F92="",0,F92)*R92,2))</f>
        <v>0</v>
      </c>
      <c r="T92" s="26">
        <f>IF(B92="","",ROUND(S92+IF(H92="",0,H92)+IF(I92="",0,I92),2))</f>
        <v>0</v>
      </c>
      <c r="U92" s="37">
        <f>IF(B92="","",IF(J92="Received",IF(M92&lt;&gt;"",M92,IF(F92="",0,F92)),IF(J92="Part received",IF(M92="",0,M92),0)))</f>
        <v>0</v>
      </c>
      <c r="V92" s="37">
        <f>IF(B92="","",IF(J92="Ordered","",IF(J92="Draft","",ROUND(IF(F92="",0,F92)-U92,2))))</f>
        <v>0</v>
      </c>
      <c r="W92" s="25">
        <f>IF(B92="","",IF(L92="","",L92-B92))</f>
        <v>0</v>
      </c>
      <c r="X92" s="26">
        <f>IF(B92="","",IF(G92="","",IFERROR(ROUND(G92-INDEX(Inventory!$H$5:$H$304,MATCH(D92,Inventory!$A$5:$A$304,0)),2),"")))</f>
        <v>0</v>
      </c>
      <c r="Y92" s="39">
        <f>IF(B92="","",IF(D92="","Add - which product?",IF(J92="","Add - no status yet",IF(IF(J92="Ordered",IF(K92="",FALSE,K92&lt;TodayDate),FALSE),"Late - expected and not arrived",IF(V92&gt;0,"Check - delivery came up short",IF(IF(X92="",FALSE,X92&gt;0),"Check - cost has gone up",IF(O92&lt;&gt;"Yes","Due - invoice not paid","OK")))))))</f>
        <v>0</v>
      </c>
    </row>
    <row r="93" spans="1:25">
      <c r="A93" s="28">
        <f>IF(B93="","",PurchasePrefix&amp;TEXT(ROW()-4,"0000"))</f>
        <v>0</v>
      </c>
      <c r="E93" s="15">
        <f>IF(D93="","",IFERROR(INDEX(Inventory!$B$5:$B$304,MATCH(D93,Inventory!$A$5:$A$304,0)),"Not in Inventory"))</f>
        <v>0</v>
      </c>
      <c r="Q93" s="15">
        <f>IF(B93="","",TEXT(B93,"yyyy-mm"))</f>
        <v>0</v>
      </c>
      <c r="R93" s="26">
        <f>IF(B93="","",IF(G93&lt;&gt;"",G93,IFERROR(INDEX(Inventory!$H$5:$H$304,MATCH(D93,Inventory!$A$5:$A$304,0))*1,0)))</f>
        <v>0</v>
      </c>
      <c r="S93" s="26">
        <f>IF(B93="","",ROUND(IF(F93="",0,F93)*R93,2))</f>
        <v>0</v>
      </c>
      <c r="T93" s="26">
        <f>IF(B93="","",ROUND(S93+IF(H93="",0,H93)+IF(I93="",0,I93),2))</f>
        <v>0</v>
      </c>
      <c r="U93" s="37">
        <f>IF(B93="","",IF(J93="Received",IF(M93&lt;&gt;"",M93,IF(F93="",0,F93)),IF(J93="Part received",IF(M93="",0,M93),0)))</f>
        <v>0</v>
      </c>
      <c r="V93" s="37">
        <f>IF(B93="","",IF(J93="Ordered","",IF(J93="Draft","",ROUND(IF(F93="",0,F93)-U93,2))))</f>
        <v>0</v>
      </c>
      <c r="W93" s="25">
        <f>IF(B93="","",IF(L93="","",L93-B93))</f>
        <v>0</v>
      </c>
      <c r="X93" s="26">
        <f>IF(B93="","",IF(G93="","",IFERROR(ROUND(G93-INDEX(Inventory!$H$5:$H$304,MATCH(D93,Inventory!$A$5:$A$304,0)),2),"")))</f>
        <v>0</v>
      </c>
      <c r="Y93" s="39">
        <f>IF(B93="","",IF(D93="","Add - which product?",IF(J93="","Add - no status yet",IF(IF(J93="Ordered",IF(K93="",FALSE,K93&lt;TodayDate),FALSE),"Late - expected and not arrived",IF(V93&gt;0,"Check - delivery came up short",IF(IF(X93="",FALSE,X93&gt;0),"Check - cost has gone up",IF(O93&lt;&gt;"Yes","Due - invoice not paid","OK")))))))</f>
        <v>0</v>
      </c>
    </row>
    <row r="94" spans="1:25">
      <c r="A94" s="28">
        <f>IF(B94="","",PurchasePrefix&amp;TEXT(ROW()-4,"0000"))</f>
        <v>0</v>
      </c>
      <c r="E94" s="15">
        <f>IF(D94="","",IFERROR(INDEX(Inventory!$B$5:$B$304,MATCH(D94,Inventory!$A$5:$A$304,0)),"Not in Inventory"))</f>
        <v>0</v>
      </c>
      <c r="Q94" s="15">
        <f>IF(B94="","",TEXT(B94,"yyyy-mm"))</f>
        <v>0</v>
      </c>
      <c r="R94" s="26">
        <f>IF(B94="","",IF(G94&lt;&gt;"",G94,IFERROR(INDEX(Inventory!$H$5:$H$304,MATCH(D94,Inventory!$A$5:$A$304,0))*1,0)))</f>
        <v>0</v>
      </c>
      <c r="S94" s="26">
        <f>IF(B94="","",ROUND(IF(F94="",0,F94)*R94,2))</f>
        <v>0</v>
      </c>
      <c r="T94" s="26">
        <f>IF(B94="","",ROUND(S94+IF(H94="",0,H94)+IF(I94="",0,I94),2))</f>
        <v>0</v>
      </c>
      <c r="U94" s="37">
        <f>IF(B94="","",IF(J94="Received",IF(M94&lt;&gt;"",M94,IF(F94="",0,F94)),IF(J94="Part received",IF(M94="",0,M94),0)))</f>
        <v>0</v>
      </c>
      <c r="V94" s="37">
        <f>IF(B94="","",IF(J94="Ordered","",IF(J94="Draft","",ROUND(IF(F94="",0,F94)-U94,2))))</f>
        <v>0</v>
      </c>
      <c r="W94" s="25">
        <f>IF(B94="","",IF(L94="","",L94-B94))</f>
        <v>0</v>
      </c>
      <c r="X94" s="26">
        <f>IF(B94="","",IF(G94="","",IFERROR(ROUND(G94-INDEX(Inventory!$H$5:$H$304,MATCH(D94,Inventory!$A$5:$A$304,0)),2),"")))</f>
        <v>0</v>
      </c>
      <c r="Y94" s="39">
        <f>IF(B94="","",IF(D94="","Add - which product?",IF(J94="","Add - no status yet",IF(IF(J94="Ordered",IF(K94="",FALSE,K94&lt;TodayDate),FALSE),"Late - expected and not arrived",IF(V94&gt;0,"Check - delivery came up short",IF(IF(X94="",FALSE,X94&gt;0),"Check - cost has gone up",IF(O94&lt;&gt;"Yes","Due - invoice not paid","OK")))))))</f>
        <v>0</v>
      </c>
    </row>
    <row r="95" spans="1:25">
      <c r="A95" s="28">
        <f>IF(B95="","",PurchasePrefix&amp;TEXT(ROW()-4,"0000"))</f>
        <v>0</v>
      </c>
      <c r="E95" s="15">
        <f>IF(D95="","",IFERROR(INDEX(Inventory!$B$5:$B$304,MATCH(D95,Inventory!$A$5:$A$304,0)),"Not in Inventory"))</f>
        <v>0</v>
      </c>
      <c r="Q95" s="15">
        <f>IF(B95="","",TEXT(B95,"yyyy-mm"))</f>
        <v>0</v>
      </c>
      <c r="R95" s="26">
        <f>IF(B95="","",IF(G95&lt;&gt;"",G95,IFERROR(INDEX(Inventory!$H$5:$H$304,MATCH(D95,Inventory!$A$5:$A$304,0))*1,0)))</f>
        <v>0</v>
      </c>
      <c r="S95" s="26">
        <f>IF(B95="","",ROUND(IF(F95="",0,F95)*R95,2))</f>
        <v>0</v>
      </c>
      <c r="T95" s="26">
        <f>IF(B95="","",ROUND(S95+IF(H95="",0,H95)+IF(I95="",0,I95),2))</f>
        <v>0</v>
      </c>
      <c r="U95" s="37">
        <f>IF(B95="","",IF(J95="Received",IF(M95&lt;&gt;"",M95,IF(F95="",0,F95)),IF(J95="Part received",IF(M95="",0,M95),0)))</f>
        <v>0</v>
      </c>
      <c r="V95" s="37">
        <f>IF(B95="","",IF(J95="Ordered","",IF(J95="Draft","",ROUND(IF(F95="",0,F95)-U95,2))))</f>
        <v>0</v>
      </c>
      <c r="W95" s="25">
        <f>IF(B95="","",IF(L95="","",L95-B95))</f>
        <v>0</v>
      </c>
      <c r="X95" s="26">
        <f>IF(B95="","",IF(G95="","",IFERROR(ROUND(G95-INDEX(Inventory!$H$5:$H$304,MATCH(D95,Inventory!$A$5:$A$304,0)),2),"")))</f>
        <v>0</v>
      </c>
      <c r="Y95" s="39">
        <f>IF(B95="","",IF(D95="","Add - which product?",IF(J95="","Add - no status yet",IF(IF(J95="Ordered",IF(K95="",FALSE,K95&lt;TodayDate),FALSE),"Late - expected and not arrived",IF(V95&gt;0,"Check - delivery came up short",IF(IF(X95="",FALSE,X95&gt;0),"Check - cost has gone up",IF(O95&lt;&gt;"Yes","Due - invoice not paid","OK")))))))</f>
        <v>0</v>
      </c>
    </row>
    <row r="96" spans="1:25">
      <c r="A96" s="28">
        <f>IF(B96="","",PurchasePrefix&amp;TEXT(ROW()-4,"0000"))</f>
        <v>0</v>
      </c>
      <c r="E96" s="15">
        <f>IF(D96="","",IFERROR(INDEX(Inventory!$B$5:$B$304,MATCH(D96,Inventory!$A$5:$A$304,0)),"Not in Inventory"))</f>
        <v>0</v>
      </c>
      <c r="Q96" s="15">
        <f>IF(B96="","",TEXT(B96,"yyyy-mm"))</f>
        <v>0</v>
      </c>
      <c r="R96" s="26">
        <f>IF(B96="","",IF(G96&lt;&gt;"",G96,IFERROR(INDEX(Inventory!$H$5:$H$304,MATCH(D96,Inventory!$A$5:$A$304,0))*1,0)))</f>
        <v>0</v>
      </c>
      <c r="S96" s="26">
        <f>IF(B96="","",ROUND(IF(F96="",0,F96)*R96,2))</f>
        <v>0</v>
      </c>
      <c r="T96" s="26">
        <f>IF(B96="","",ROUND(S96+IF(H96="",0,H96)+IF(I96="",0,I96),2))</f>
        <v>0</v>
      </c>
      <c r="U96" s="37">
        <f>IF(B96="","",IF(J96="Received",IF(M96&lt;&gt;"",M96,IF(F96="",0,F96)),IF(J96="Part received",IF(M96="",0,M96),0)))</f>
        <v>0</v>
      </c>
      <c r="V96" s="37">
        <f>IF(B96="","",IF(J96="Ordered","",IF(J96="Draft","",ROUND(IF(F96="",0,F96)-U96,2))))</f>
        <v>0</v>
      </c>
      <c r="W96" s="25">
        <f>IF(B96="","",IF(L96="","",L96-B96))</f>
        <v>0</v>
      </c>
      <c r="X96" s="26">
        <f>IF(B96="","",IF(G96="","",IFERROR(ROUND(G96-INDEX(Inventory!$H$5:$H$304,MATCH(D96,Inventory!$A$5:$A$304,0)),2),"")))</f>
        <v>0</v>
      </c>
      <c r="Y96" s="39">
        <f>IF(B96="","",IF(D96="","Add - which product?",IF(J96="","Add - no status yet",IF(IF(J96="Ordered",IF(K96="",FALSE,K96&lt;TodayDate),FALSE),"Late - expected and not arrived",IF(V96&gt;0,"Check - delivery came up short",IF(IF(X96="",FALSE,X96&gt;0),"Check - cost has gone up",IF(O96&lt;&gt;"Yes","Due - invoice not paid","OK")))))))</f>
        <v>0</v>
      </c>
    </row>
    <row r="97" spans="1:25">
      <c r="A97" s="28">
        <f>IF(B97="","",PurchasePrefix&amp;TEXT(ROW()-4,"0000"))</f>
        <v>0</v>
      </c>
      <c r="E97" s="15">
        <f>IF(D97="","",IFERROR(INDEX(Inventory!$B$5:$B$304,MATCH(D97,Inventory!$A$5:$A$304,0)),"Not in Inventory"))</f>
        <v>0</v>
      </c>
      <c r="Q97" s="15">
        <f>IF(B97="","",TEXT(B97,"yyyy-mm"))</f>
        <v>0</v>
      </c>
      <c r="R97" s="26">
        <f>IF(B97="","",IF(G97&lt;&gt;"",G97,IFERROR(INDEX(Inventory!$H$5:$H$304,MATCH(D97,Inventory!$A$5:$A$304,0))*1,0)))</f>
        <v>0</v>
      </c>
      <c r="S97" s="26">
        <f>IF(B97="","",ROUND(IF(F97="",0,F97)*R97,2))</f>
        <v>0</v>
      </c>
      <c r="T97" s="26">
        <f>IF(B97="","",ROUND(S97+IF(H97="",0,H97)+IF(I97="",0,I97),2))</f>
        <v>0</v>
      </c>
      <c r="U97" s="37">
        <f>IF(B97="","",IF(J97="Received",IF(M97&lt;&gt;"",M97,IF(F97="",0,F97)),IF(J97="Part received",IF(M97="",0,M97),0)))</f>
        <v>0</v>
      </c>
      <c r="V97" s="37">
        <f>IF(B97="","",IF(J97="Ordered","",IF(J97="Draft","",ROUND(IF(F97="",0,F97)-U97,2))))</f>
        <v>0</v>
      </c>
      <c r="W97" s="25">
        <f>IF(B97="","",IF(L97="","",L97-B97))</f>
        <v>0</v>
      </c>
      <c r="X97" s="26">
        <f>IF(B97="","",IF(G97="","",IFERROR(ROUND(G97-INDEX(Inventory!$H$5:$H$304,MATCH(D97,Inventory!$A$5:$A$304,0)),2),"")))</f>
        <v>0</v>
      </c>
      <c r="Y97" s="39">
        <f>IF(B97="","",IF(D97="","Add - which product?",IF(J97="","Add - no status yet",IF(IF(J97="Ordered",IF(K97="",FALSE,K97&lt;TodayDate),FALSE),"Late - expected and not arrived",IF(V97&gt;0,"Check - delivery came up short",IF(IF(X97="",FALSE,X97&gt;0),"Check - cost has gone up",IF(O97&lt;&gt;"Yes","Due - invoice not paid","OK")))))))</f>
        <v>0</v>
      </c>
    </row>
    <row r="98" spans="1:25">
      <c r="A98" s="28">
        <f>IF(B98="","",PurchasePrefix&amp;TEXT(ROW()-4,"0000"))</f>
        <v>0</v>
      </c>
      <c r="E98" s="15">
        <f>IF(D98="","",IFERROR(INDEX(Inventory!$B$5:$B$304,MATCH(D98,Inventory!$A$5:$A$304,0)),"Not in Inventory"))</f>
        <v>0</v>
      </c>
      <c r="Q98" s="15">
        <f>IF(B98="","",TEXT(B98,"yyyy-mm"))</f>
        <v>0</v>
      </c>
      <c r="R98" s="26">
        <f>IF(B98="","",IF(G98&lt;&gt;"",G98,IFERROR(INDEX(Inventory!$H$5:$H$304,MATCH(D98,Inventory!$A$5:$A$304,0))*1,0)))</f>
        <v>0</v>
      </c>
      <c r="S98" s="26">
        <f>IF(B98="","",ROUND(IF(F98="",0,F98)*R98,2))</f>
        <v>0</v>
      </c>
      <c r="T98" s="26">
        <f>IF(B98="","",ROUND(S98+IF(H98="",0,H98)+IF(I98="",0,I98),2))</f>
        <v>0</v>
      </c>
      <c r="U98" s="37">
        <f>IF(B98="","",IF(J98="Received",IF(M98&lt;&gt;"",M98,IF(F98="",0,F98)),IF(J98="Part received",IF(M98="",0,M98),0)))</f>
        <v>0</v>
      </c>
      <c r="V98" s="37">
        <f>IF(B98="","",IF(J98="Ordered","",IF(J98="Draft","",ROUND(IF(F98="",0,F98)-U98,2))))</f>
        <v>0</v>
      </c>
      <c r="W98" s="25">
        <f>IF(B98="","",IF(L98="","",L98-B98))</f>
        <v>0</v>
      </c>
      <c r="X98" s="26">
        <f>IF(B98="","",IF(G98="","",IFERROR(ROUND(G98-INDEX(Inventory!$H$5:$H$304,MATCH(D98,Inventory!$A$5:$A$304,0)),2),"")))</f>
        <v>0</v>
      </c>
      <c r="Y98" s="39">
        <f>IF(B98="","",IF(D98="","Add - which product?",IF(J98="","Add - no status yet",IF(IF(J98="Ordered",IF(K98="",FALSE,K98&lt;TodayDate),FALSE),"Late - expected and not arrived",IF(V98&gt;0,"Check - delivery came up short",IF(IF(X98="",FALSE,X98&gt;0),"Check - cost has gone up",IF(O98&lt;&gt;"Yes","Due - invoice not paid","OK")))))))</f>
        <v>0</v>
      </c>
    </row>
    <row r="99" spans="1:25">
      <c r="A99" s="28">
        <f>IF(B99="","",PurchasePrefix&amp;TEXT(ROW()-4,"0000"))</f>
        <v>0</v>
      </c>
      <c r="E99" s="15">
        <f>IF(D99="","",IFERROR(INDEX(Inventory!$B$5:$B$304,MATCH(D99,Inventory!$A$5:$A$304,0)),"Not in Inventory"))</f>
        <v>0</v>
      </c>
      <c r="Q99" s="15">
        <f>IF(B99="","",TEXT(B99,"yyyy-mm"))</f>
        <v>0</v>
      </c>
      <c r="R99" s="26">
        <f>IF(B99="","",IF(G99&lt;&gt;"",G99,IFERROR(INDEX(Inventory!$H$5:$H$304,MATCH(D99,Inventory!$A$5:$A$304,0))*1,0)))</f>
        <v>0</v>
      </c>
      <c r="S99" s="26">
        <f>IF(B99="","",ROUND(IF(F99="",0,F99)*R99,2))</f>
        <v>0</v>
      </c>
      <c r="T99" s="26">
        <f>IF(B99="","",ROUND(S99+IF(H99="",0,H99)+IF(I99="",0,I99),2))</f>
        <v>0</v>
      </c>
      <c r="U99" s="37">
        <f>IF(B99="","",IF(J99="Received",IF(M99&lt;&gt;"",M99,IF(F99="",0,F99)),IF(J99="Part received",IF(M99="",0,M99),0)))</f>
        <v>0</v>
      </c>
      <c r="V99" s="37">
        <f>IF(B99="","",IF(J99="Ordered","",IF(J99="Draft","",ROUND(IF(F99="",0,F99)-U99,2))))</f>
        <v>0</v>
      </c>
      <c r="W99" s="25">
        <f>IF(B99="","",IF(L99="","",L99-B99))</f>
        <v>0</v>
      </c>
      <c r="X99" s="26">
        <f>IF(B99="","",IF(G99="","",IFERROR(ROUND(G99-INDEX(Inventory!$H$5:$H$304,MATCH(D99,Inventory!$A$5:$A$304,0)),2),"")))</f>
        <v>0</v>
      </c>
      <c r="Y99" s="39">
        <f>IF(B99="","",IF(D99="","Add - which product?",IF(J99="","Add - no status yet",IF(IF(J99="Ordered",IF(K99="",FALSE,K99&lt;TodayDate),FALSE),"Late - expected and not arrived",IF(V99&gt;0,"Check - delivery came up short",IF(IF(X99="",FALSE,X99&gt;0),"Check - cost has gone up",IF(O99&lt;&gt;"Yes","Due - invoice not paid","OK")))))))</f>
        <v>0</v>
      </c>
    </row>
    <row r="100" spans="1:25">
      <c r="A100" s="28">
        <f>IF(B100="","",PurchasePrefix&amp;TEXT(ROW()-4,"0000"))</f>
        <v>0</v>
      </c>
      <c r="E100" s="15">
        <f>IF(D100="","",IFERROR(INDEX(Inventory!$B$5:$B$304,MATCH(D100,Inventory!$A$5:$A$304,0)),"Not in Inventory"))</f>
        <v>0</v>
      </c>
      <c r="Q100" s="15">
        <f>IF(B100="","",TEXT(B100,"yyyy-mm"))</f>
        <v>0</v>
      </c>
      <c r="R100" s="26">
        <f>IF(B100="","",IF(G100&lt;&gt;"",G100,IFERROR(INDEX(Inventory!$H$5:$H$304,MATCH(D100,Inventory!$A$5:$A$304,0))*1,0)))</f>
        <v>0</v>
      </c>
      <c r="S100" s="26">
        <f>IF(B100="","",ROUND(IF(F100="",0,F100)*R100,2))</f>
        <v>0</v>
      </c>
      <c r="T100" s="26">
        <f>IF(B100="","",ROUND(S100+IF(H100="",0,H100)+IF(I100="",0,I100),2))</f>
        <v>0</v>
      </c>
      <c r="U100" s="37">
        <f>IF(B100="","",IF(J100="Received",IF(M100&lt;&gt;"",M100,IF(F100="",0,F100)),IF(J100="Part received",IF(M100="",0,M100),0)))</f>
        <v>0</v>
      </c>
      <c r="V100" s="37">
        <f>IF(B100="","",IF(J100="Ordered","",IF(J100="Draft","",ROUND(IF(F100="",0,F100)-U100,2))))</f>
        <v>0</v>
      </c>
      <c r="W100" s="25">
        <f>IF(B100="","",IF(L100="","",L100-B100))</f>
        <v>0</v>
      </c>
      <c r="X100" s="26">
        <f>IF(B100="","",IF(G100="","",IFERROR(ROUND(G100-INDEX(Inventory!$H$5:$H$304,MATCH(D100,Inventory!$A$5:$A$304,0)),2),"")))</f>
        <v>0</v>
      </c>
      <c r="Y100" s="39">
        <f>IF(B100="","",IF(D100="","Add - which product?",IF(J100="","Add - no status yet",IF(IF(J100="Ordered",IF(K100="",FALSE,K100&lt;TodayDate),FALSE),"Late - expected and not arrived",IF(V100&gt;0,"Check - delivery came up short",IF(IF(X100="",FALSE,X100&gt;0),"Check - cost has gone up",IF(O100&lt;&gt;"Yes","Due - invoice not paid","OK")))))))</f>
        <v>0</v>
      </c>
    </row>
    <row r="101" spans="1:25">
      <c r="A101" s="28">
        <f>IF(B101="","",PurchasePrefix&amp;TEXT(ROW()-4,"0000"))</f>
        <v>0</v>
      </c>
      <c r="E101" s="15">
        <f>IF(D101="","",IFERROR(INDEX(Inventory!$B$5:$B$304,MATCH(D101,Inventory!$A$5:$A$304,0)),"Not in Inventory"))</f>
        <v>0</v>
      </c>
      <c r="Q101" s="15">
        <f>IF(B101="","",TEXT(B101,"yyyy-mm"))</f>
        <v>0</v>
      </c>
      <c r="R101" s="26">
        <f>IF(B101="","",IF(G101&lt;&gt;"",G101,IFERROR(INDEX(Inventory!$H$5:$H$304,MATCH(D101,Inventory!$A$5:$A$304,0))*1,0)))</f>
        <v>0</v>
      </c>
      <c r="S101" s="26">
        <f>IF(B101="","",ROUND(IF(F101="",0,F101)*R101,2))</f>
        <v>0</v>
      </c>
      <c r="T101" s="26">
        <f>IF(B101="","",ROUND(S101+IF(H101="",0,H101)+IF(I101="",0,I101),2))</f>
        <v>0</v>
      </c>
      <c r="U101" s="37">
        <f>IF(B101="","",IF(J101="Received",IF(M101&lt;&gt;"",M101,IF(F101="",0,F101)),IF(J101="Part received",IF(M101="",0,M101),0)))</f>
        <v>0</v>
      </c>
      <c r="V101" s="37">
        <f>IF(B101="","",IF(J101="Ordered","",IF(J101="Draft","",ROUND(IF(F101="",0,F101)-U101,2))))</f>
        <v>0</v>
      </c>
      <c r="W101" s="25">
        <f>IF(B101="","",IF(L101="","",L101-B101))</f>
        <v>0</v>
      </c>
      <c r="X101" s="26">
        <f>IF(B101="","",IF(G101="","",IFERROR(ROUND(G101-INDEX(Inventory!$H$5:$H$304,MATCH(D101,Inventory!$A$5:$A$304,0)),2),"")))</f>
        <v>0</v>
      </c>
      <c r="Y101" s="39">
        <f>IF(B101="","",IF(D101="","Add - which product?",IF(J101="","Add - no status yet",IF(IF(J101="Ordered",IF(K101="",FALSE,K101&lt;TodayDate),FALSE),"Late - expected and not arrived",IF(V101&gt;0,"Check - delivery came up short",IF(IF(X101="",FALSE,X101&gt;0),"Check - cost has gone up",IF(O101&lt;&gt;"Yes","Due - invoice not paid","OK")))))))</f>
        <v>0</v>
      </c>
    </row>
    <row r="102" spans="1:25">
      <c r="A102" s="28">
        <f>IF(B102="","",PurchasePrefix&amp;TEXT(ROW()-4,"0000"))</f>
        <v>0</v>
      </c>
      <c r="E102" s="15">
        <f>IF(D102="","",IFERROR(INDEX(Inventory!$B$5:$B$304,MATCH(D102,Inventory!$A$5:$A$304,0)),"Not in Inventory"))</f>
        <v>0</v>
      </c>
      <c r="Q102" s="15">
        <f>IF(B102="","",TEXT(B102,"yyyy-mm"))</f>
        <v>0</v>
      </c>
      <c r="R102" s="26">
        <f>IF(B102="","",IF(G102&lt;&gt;"",G102,IFERROR(INDEX(Inventory!$H$5:$H$304,MATCH(D102,Inventory!$A$5:$A$304,0))*1,0)))</f>
        <v>0</v>
      </c>
      <c r="S102" s="26">
        <f>IF(B102="","",ROUND(IF(F102="",0,F102)*R102,2))</f>
        <v>0</v>
      </c>
      <c r="T102" s="26">
        <f>IF(B102="","",ROUND(S102+IF(H102="",0,H102)+IF(I102="",0,I102),2))</f>
        <v>0</v>
      </c>
      <c r="U102" s="37">
        <f>IF(B102="","",IF(J102="Received",IF(M102&lt;&gt;"",M102,IF(F102="",0,F102)),IF(J102="Part received",IF(M102="",0,M102),0)))</f>
        <v>0</v>
      </c>
      <c r="V102" s="37">
        <f>IF(B102="","",IF(J102="Ordered","",IF(J102="Draft","",ROUND(IF(F102="",0,F102)-U102,2))))</f>
        <v>0</v>
      </c>
      <c r="W102" s="25">
        <f>IF(B102="","",IF(L102="","",L102-B102))</f>
        <v>0</v>
      </c>
      <c r="X102" s="26">
        <f>IF(B102="","",IF(G102="","",IFERROR(ROUND(G102-INDEX(Inventory!$H$5:$H$304,MATCH(D102,Inventory!$A$5:$A$304,0)),2),"")))</f>
        <v>0</v>
      </c>
      <c r="Y102" s="39">
        <f>IF(B102="","",IF(D102="","Add - which product?",IF(J102="","Add - no status yet",IF(IF(J102="Ordered",IF(K102="",FALSE,K102&lt;TodayDate),FALSE),"Late - expected and not arrived",IF(V102&gt;0,"Check - delivery came up short",IF(IF(X102="",FALSE,X102&gt;0),"Check - cost has gone up",IF(O102&lt;&gt;"Yes","Due - invoice not paid","OK")))))))</f>
        <v>0</v>
      </c>
    </row>
    <row r="103" spans="1:25">
      <c r="A103" s="28">
        <f>IF(B103="","",PurchasePrefix&amp;TEXT(ROW()-4,"0000"))</f>
        <v>0</v>
      </c>
      <c r="E103" s="15">
        <f>IF(D103="","",IFERROR(INDEX(Inventory!$B$5:$B$304,MATCH(D103,Inventory!$A$5:$A$304,0)),"Not in Inventory"))</f>
        <v>0</v>
      </c>
      <c r="Q103" s="15">
        <f>IF(B103="","",TEXT(B103,"yyyy-mm"))</f>
        <v>0</v>
      </c>
      <c r="R103" s="26">
        <f>IF(B103="","",IF(G103&lt;&gt;"",G103,IFERROR(INDEX(Inventory!$H$5:$H$304,MATCH(D103,Inventory!$A$5:$A$304,0))*1,0)))</f>
        <v>0</v>
      </c>
      <c r="S103" s="26">
        <f>IF(B103="","",ROUND(IF(F103="",0,F103)*R103,2))</f>
        <v>0</v>
      </c>
      <c r="T103" s="26">
        <f>IF(B103="","",ROUND(S103+IF(H103="",0,H103)+IF(I103="",0,I103),2))</f>
        <v>0</v>
      </c>
      <c r="U103" s="37">
        <f>IF(B103="","",IF(J103="Received",IF(M103&lt;&gt;"",M103,IF(F103="",0,F103)),IF(J103="Part received",IF(M103="",0,M103),0)))</f>
        <v>0</v>
      </c>
      <c r="V103" s="37">
        <f>IF(B103="","",IF(J103="Ordered","",IF(J103="Draft","",ROUND(IF(F103="",0,F103)-U103,2))))</f>
        <v>0</v>
      </c>
      <c r="W103" s="25">
        <f>IF(B103="","",IF(L103="","",L103-B103))</f>
        <v>0</v>
      </c>
      <c r="X103" s="26">
        <f>IF(B103="","",IF(G103="","",IFERROR(ROUND(G103-INDEX(Inventory!$H$5:$H$304,MATCH(D103,Inventory!$A$5:$A$304,0)),2),"")))</f>
        <v>0</v>
      </c>
      <c r="Y103" s="39">
        <f>IF(B103="","",IF(D103="","Add - which product?",IF(J103="","Add - no status yet",IF(IF(J103="Ordered",IF(K103="",FALSE,K103&lt;TodayDate),FALSE),"Late - expected and not arrived",IF(V103&gt;0,"Check - delivery came up short",IF(IF(X103="",FALSE,X103&gt;0),"Check - cost has gone up",IF(O103&lt;&gt;"Yes","Due - invoice not paid","OK")))))))</f>
        <v>0</v>
      </c>
    </row>
    <row r="104" spans="1:25">
      <c r="A104" s="28">
        <f>IF(B104="","",PurchasePrefix&amp;TEXT(ROW()-4,"0000"))</f>
        <v>0</v>
      </c>
      <c r="E104" s="15">
        <f>IF(D104="","",IFERROR(INDEX(Inventory!$B$5:$B$304,MATCH(D104,Inventory!$A$5:$A$304,0)),"Not in Inventory"))</f>
        <v>0</v>
      </c>
      <c r="Q104" s="15">
        <f>IF(B104="","",TEXT(B104,"yyyy-mm"))</f>
        <v>0</v>
      </c>
      <c r="R104" s="26">
        <f>IF(B104="","",IF(G104&lt;&gt;"",G104,IFERROR(INDEX(Inventory!$H$5:$H$304,MATCH(D104,Inventory!$A$5:$A$304,0))*1,0)))</f>
        <v>0</v>
      </c>
      <c r="S104" s="26">
        <f>IF(B104="","",ROUND(IF(F104="",0,F104)*R104,2))</f>
        <v>0</v>
      </c>
      <c r="T104" s="26">
        <f>IF(B104="","",ROUND(S104+IF(H104="",0,H104)+IF(I104="",0,I104),2))</f>
        <v>0</v>
      </c>
      <c r="U104" s="37">
        <f>IF(B104="","",IF(J104="Received",IF(M104&lt;&gt;"",M104,IF(F104="",0,F104)),IF(J104="Part received",IF(M104="",0,M104),0)))</f>
        <v>0</v>
      </c>
      <c r="V104" s="37">
        <f>IF(B104="","",IF(J104="Ordered","",IF(J104="Draft","",ROUND(IF(F104="",0,F104)-U104,2))))</f>
        <v>0</v>
      </c>
      <c r="W104" s="25">
        <f>IF(B104="","",IF(L104="","",L104-B104))</f>
        <v>0</v>
      </c>
      <c r="X104" s="26">
        <f>IF(B104="","",IF(G104="","",IFERROR(ROUND(G104-INDEX(Inventory!$H$5:$H$304,MATCH(D104,Inventory!$A$5:$A$304,0)),2),"")))</f>
        <v>0</v>
      </c>
      <c r="Y104" s="39">
        <f>IF(B104="","",IF(D104="","Add - which product?",IF(J104="","Add - no status yet",IF(IF(J104="Ordered",IF(K104="",FALSE,K104&lt;TodayDate),FALSE),"Late - expected and not arrived",IF(V104&gt;0,"Check - delivery came up short",IF(IF(X104="",FALSE,X104&gt;0),"Check - cost has gone up",IF(O104&lt;&gt;"Yes","Due - invoice not paid","OK")))))))</f>
        <v>0</v>
      </c>
    </row>
    <row r="105" spans="1:25">
      <c r="A105" s="28">
        <f>IF(B105="","",PurchasePrefix&amp;TEXT(ROW()-4,"0000"))</f>
        <v>0</v>
      </c>
      <c r="E105" s="15">
        <f>IF(D105="","",IFERROR(INDEX(Inventory!$B$5:$B$304,MATCH(D105,Inventory!$A$5:$A$304,0)),"Not in Inventory"))</f>
        <v>0</v>
      </c>
      <c r="Q105" s="15">
        <f>IF(B105="","",TEXT(B105,"yyyy-mm"))</f>
        <v>0</v>
      </c>
      <c r="R105" s="26">
        <f>IF(B105="","",IF(G105&lt;&gt;"",G105,IFERROR(INDEX(Inventory!$H$5:$H$304,MATCH(D105,Inventory!$A$5:$A$304,0))*1,0)))</f>
        <v>0</v>
      </c>
      <c r="S105" s="26">
        <f>IF(B105="","",ROUND(IF(F105="",0,F105)*R105,2))</f>
        <v>0</v>
      </c>
      <c r="T105" s="26">
        <f>IF(B105="","",ROUND(S105+IF(H105="",0,H105)+IF(I105="",0,I105),2))</f>
        <v>0</v>
      </c>
      <c r="U105" s="37">
        <f>IF(B105="","",IF(J105="Received",IF(M105&lt;&gt;"",M105,IF(F105="",0,F105)),IF(J105="Part received",IF(M105="",0,M105),0)))</f>
        <v>0</v>
      </c>
      <c r="V105" s="37">
        <f>IF(B105="","",IF(J105="Ordered","",IF(J105="Draft","",ROUND(IF(F105="",0,F105)-U105,2))))</f>
        <v>0</v>
      </c>
      <c r="W105" s="25">
        <f>IF(B105="","",IF(L105="","",L105-B105))</f>
        <v>0</v>
      </c>
      <c r="X105" s="26">
        <f>IF(B105="","",IF(G105="","",IFERROR(ROUND(G105-INDEX(Inventory!$H$5:$H$304,MATCH(D105,Inventory!$A$5:$A$304,0)),2),"")))</f>
        <v>0</v>
      </c>
      <c r="Y105" s="39">
        <f>IF(B105="","",IF(D105="","Add - which product?",IF(J105="","Add - no status yet",IF(IF(J105="Ordered",IF(K105="",FALSE,K105&lt;TodayDate),FALSE),"Late - expected and not arrived",IF(V105&gt;0,"Check - delivery came up short",IF(IF(X105="",FALSE,X105&gt;0),"Check - cost has gone up",IF(O105&lt;&gt;"Yes","Due - invoice not paid","OK")))))))</f>
        <v>0</v>
      </c>
    </row>
    <row r="106" spans="1:25">
      <c r="A106" s="28">
        <f>IF(B106="","",PurchasePrefix&amp;TEXT(ROW()-4,"0000"))</f>
        <v>0</v>
      </c>
      <c r="E106" s="15">
        <f>IF(D106="","",IFERROR(INDEX(Inventory!$B$5:$B$304,MATCH(D106,Inventory!$A$5:$A$304,0)),"Not in Inventory"))</f>
        <v>0</v>
      </c>
      <c r="Q106" s="15">
        <f>IF(B106="","",TEXT(B106,"yyyy-mm"))</f>
        <v>0</v>
      </c>
      <c r="R106" s="26">
        <f>IF(B106="","",IF(G106&lt;&gt;"",G106,IFERROR(INDEX(Inventory!$H$5:$H$304,MATCH(D106,Inventory!$A$5:$A$304,0))*1,0)))</f>
        <v>0</v>
      </c>
      <c r="S106" s="26">
        <f>IF(B106="","",ROUND(IF(F106="",0,F106)*R106,2))</f>
        <v>0</v>
      </c>
      <c r="T106" s="26">
        <f>IF(B106="","",ROUND(S106+IF(H106="",0,H106)+IF(I106="",0,I106),2))</f>
        <v>0</v>
      </c>
      <c r="U106" s="37">
        <f>IF(B106="","",IF(J106="Received",IF(M106&lt;&gt;"",M106,IF(F106="",0,F106)),IF(J106="Part received",IF(M106="",0,M106),0)))</f>
        <v>0</v>
      </c>
      <c r="V106" s="37">
        <f>IF(B106="","",IF(J106="Ordered","",IF(J106="Draft","",ROUND(IF(F106="",0,F106)-U106,2))))</f>
        <v>0</v>
      </c>
      <c r="W106" s="25">
        <f>IF(B106="","",IF(L106="","",L106-B106))</f>
        <v>0</v>
      </c>
      <c r="X106" s="26">
        <f>IF(B106="","",IF(G106="","",IFERROR(ROUND(G106-INDEX(Inventory!$H$5:$H$304,MATCH(D106,Inventory!$A$5:$A$304,0)),2),"")))</f>
        <v>0</v>
      </c>
      <c r="Y106" s="39">
        <f>IF(B106="","",IF(D106="","Add - which product?",IF(J106="","Add - no status yet",IF(IF(J106="Ordered",IF(K106="",FALSE,K106&lt;TodayDate),FALSE),"Late - expected and not arrived",IF(V106&gt;0,"Check - delivery came up short",IF(IF(X106="",FALSE,X106&gt;0),"Check - cost has gone up",IF(O106&lt;&gt;"Yes","Due - invoice not paid","OK")))))))</f>
        <v>0</v>
      </c>
    </row>
    <row r="107" spans="1:25">
      <c r="A107" s="28">
        <f>IF(B107="","",PurchasePrefix&amp;TEXT(ROW()-4,"0000"))</f>
        <v>0</v>
      </c>
      <c r="E107" s="15">
        <f>IF(D107="","",IFERROR(INDEX(Inventory!$B$5:$B$304,MATCH(D107,Inventory!$A$5:$A$304,0)),"Not in Inventory"))</f>
        <v>0</v>
      </c>
      <c r="Q107" s="15">
        <f>IF(B107="","",TEXT(B107,"yyyy-mm"))</f>
        <v>0</v>
      </c>
      <c r="R107" s="26">
        <f>IF(B107="","",IF(G107&lt;&gt;"",G107,IFERROR(INDEX(Inventory!$H$5:$H$304,MATCH(D107,Inventory!$A$5:$A$304,0))*1,0)))</f>
        <v>0</v>
      </c>
      <c r="S107" s="26">
        <f>IF(B107="","",ROUND(IF(F107="",0,F107)*R107,2))</f>
        <v>0</v>
      </c>
      <c r="T107" s="26">
        <f>IF(B107="","",ROUND(S107+IF(H107="",0,H107)+IF(I107="",0,I107),2))</f>
        <v>0</v>
      </c>
      <c r="U107" s="37">
        <f>IF(B107="","",IF(J107="Received",IF(M107&lt;&gt;"",M107,IF(F107="",0,F107)),IF(J107="Part received",IF(M107="",0,M107),0)))</f>
        <v>0</v>
      </c>
      <c r="V107" s="37">
        <f>IF(B107="","",IF(J107="Ordered","",IF(J107="Draft","",ROUND(IF(F107="",0,F107)-U107,2))))</f>
        <v>0</v>
      </c>
      <c r="W107" s="25">
        <f>IF(B107="","",IF(L107="","",L107-B107))</f>
        <v>0</v>
      </c>
      <c r="X107" s="26">
        <f>IF(B107="","",IF(G107="","",IFERROR(ROUND(G107-INDEX(Inventory!$H$5:$H$304,MATCH(D107,Inventory!$A$5:$A$304,0)),2),"")))</f>
        <v>0</v>
      </c>
      <c r="Y107" s="39">
        <f>IF(B107="","",IF(D107="","Add - which product?",IF(J107="","Add - no status yet",IF(IF(J107="Ordered",IF(K107="",FALSE,K107&lt;TodayDate),FALSE),"Late - expected and not arrived",IF(V107&gt;0,"Check - delivery came up short",IF(IF(X107="",FALSE,X107&gt;0),"Check - cost has gone up",IF(O107&lt;&gt;"Yes","Due - invoice not paid","OK")))))))</f>
        <v>0</v>
      </c>
    </row>
    <row r="108" spans="1:25">
      <c r="A108" s="28">
        <f>IF(B108="","",PurchasePrefix&amp;TEXT(ROW()-4,"0000"))</f>
        <v>0</v>
      </c>
      <c r="E108" s="15">
        <f>IF(D108="","",IFERROR(INDEX(Inventory!$B$5:$B$304,MATCH(D108,Inventory!$A$5:$A$304,0)),"Not in Inventory"))</f>
        <v>0</v>
      </c>
      <c r="Q108" s="15">
        <f>IF(B108="","",TEXT(B108,"yyyy-mm"))</f>
        <v>0</v>
      </c>
      <c r="R108" s="26">
        <f>IF(B108="","",IF(G108&lt;&gt;"",G108,IFERROR(INDEX(Inventory!$H$5:$H$304,MATCH(D108,Inventory!$A$5:$A$304,0))*1,0)))</f>
        <v>0</v>
      </c>
      <c r="S108" s="26">
        <f>IF(B108="","",ROUND(IF(F108="",0,F108)*R108,2))</f>
        <v>0</v>
      </c>
      <c r="T108" s="26">
        <f>IF(B108="","",ROUND(S108+IF(H108="",0,H108)+IF(I108="",0,I108),2))</f>
        <v>0</v>
      </c>
      <c r="U108" s="37">
        <f>IF(B108="","",IF(J108="Received",IF(M108&lt;&gt;"",M108,IF(F108="",0,F108)),IF(J108="Part received",IF(M108="",0,M108),0)))</f>
        <v>0</v>
      </c>
      <c r="V108" s="37">
        <f>IF(B108="","",IF(J108="Ordered","",IF(J108="Draft","",ROUND(IF(F108="",0,F108)-U108,2))))</f>
        <v>0</v>
      </c>
      <c r="W108" s="25">
        <f>IF(B108="","",IF(L108="","",L108-B108))</f>
        <v>0</v>
      </c>
      <c r="X108" s="26">
        <f>IF(B108="","",IF(G108="","",IFERROR(ROUND(G108-INDEX(Inventory!$H$5:$H$304,MATCH(D108,Inventory!$A$5:$A$304,0)),2),"")))</f>
        <v>0</v>
      </c>
      <c r="Y108" s="39">
        <f>IF(B108="","",IF(D108="","Add - which product?",IF(J108="","Add - no status yet",IF(IF(J108="Ordered",IF(K108="",FALSE,K108&lt;TodayDate),FALSE),"Late - expected and not arrived",IF(V108&gt;0,"Check - delivery came up short",IF(IF(X108="",FALSE,X108&gt;0),"Check - cost has gone up",IF(O108&lt;&gt;"Yes","Due - invoice not paid","OK")))))))</f>
        <v>0</v>
      </c>
    </row>
    <row r="109" spans="1:25">
      <c r="A109" s="28">
        <f>IF(B109="","",PurchasePrefix&amp;TEXT(ROW()-4,"0000"))</f>
        <v>0</v>
      </c>
      <c r="E109" s="15">
        <f>IF(D109="","",IFERROR(INDEX(Inventory!$B$5:$B$304,MATCH(D109,Inventory!$A$5:$A$304,0)),"Not in Inventory"))</f>
        <v>0</v>
      </c>
      <c r="Q109" s="15">
        <f>IF(B109="","",TEXT(B109,"yyyy-mm"))</f>
        <v>0</v>
      </c>
      <c r="R109" s="26">
        <f>IF(B109="","",IF(G109&lt;&gt;"",G109,IFERROR(INDEX(Inventory!$H$5:$H$304,MATCH(D109,Inventory!$A$5:$A$304,0))*1,0)))</f>
        <v>0</v>
      </c>
      <c r="S109" s="26">
        <f>IF(B109="","",ROUND(IF(F109="",0,F109)*R109,2))</f>
        <v>0</v>
      </c>
      <c r="T109" s="26">
        <f>IF(B109="","",ROUND(S109+IF(H109="",0,H109)+IF(I109="",0,I109),2))</f>
        <v>0</v>
      </c>
      <c r="U109" s="37">
        <f>IF(B109="","",IF(J109="Received",IF(M109&lt;&gt;"",M109,IF(F109="",0,F109)),IF(J109="Part received",IF(M109="",0,M109),0)))</f>
        <v>0</v>
      </c>
      <c r="V109" s="37">
        <f>IF(B109="","",IF(J109="Ordered","",IF(J109="Draft","",ROUND(IF(F109="",0,F109)-U109,2))))</f>
        <v>0</v>
      </c>
      <c r="W109" s="25">
        <f>IF(B109="","",IF(L109="","",L109-B109))</f>
        <v>0</v>
      </c>
      <c r="X109" s="26">
        <f>IF(B109="","",IF(G109="","",IFERROR(ROUND(G109-INDEX(Inventory!$H$5:$H$304,MATCH(D109,Inventory!$A$5:$A$304,0)),2),"")))</f>
        <v>0</v>
      </c>
      <c r="Y109" s="39">
        <f>IF(B109="","",IF(D109="","Add - which product?",IF(J109="","Add - no status yet",IF(IF(J109="Ordered",IF(K109="",FALSE,K109&lt;TodayDate),FALSE),"Late - expected and not arrived",IF(V109&gt;0,"Check - delivery came up short",IF(IF(X109="",FALSE,X109&gt;0),"Check - cost has gone up",IF(O109&lt;&gt;"Yes","Due - invoice not paid","OK")))))))</f>
        <v>0</v>
      </c>
    </row>
    <row r="110" spans="1:25">
      <c r="A110" s="28">
        <f>IF(B110="","",PurchasePrefix&amp;TEXT(ROW()-4,"0000"))</f>
        <v>0</v>
      </c>
      <c r="E110" s="15">
        <f>IF(D110="","",IFERROR(INDEX(Inventory!$B$5:$B$304,MATCH(D110,Inventory!$A$5:$A$304,0)),"Not in Inventory"))</f>
        <v>0</v>
      </c>
      <c r="Q110" s="15">
        <f>IF(B110="","",TEXT(B110,"yyyy-mm"))</f>
        <v>0</v>
      </c>
      <c r="R110" s="26">
        <f>IF(B110="","",IF(G110&lt;&gt;"",G110,IFERROR(INDEX(Inventory!$H$5:$H$304,MATCH(D110,Inventory!$A$5:$A$304,0))*1,0)))</f>
        <v>0</v>
      </c>
      <c r="S110" s="26">
        <f>IF(B110="","",ROUND(IF(F110="",0,F110)*R110,2))</f>
        <v>0</v>
      </c>
      <c r="T110" s="26">
        <f>IF(B110="","",ROUND(S110+IF(H110="",0,H110)+IF(I110="",0,I110),2))</f>
        <v>0</v>
      </c>
      <c r="U110" s="37">
        <f>IF(B110="","",IF(J110="Received",IF(M110&lt;&gt;"",M110,IF(F110="",0,F110)),IF(J110="Part received",IF(M110="",0,M110),0)))</f>
        <v>0</v>
      </c>
      <c r="V110" s="37">
        <f>IF(B110="","",IF(J110="Ordered","",IF(J110="Draft","",ROUND(IF(F110="",0,F110)-U110,2))))</f>
        <v>0</v>
      </c>
      <c r="W110" s="25">
        <f>IF(B110="","",IF(L110="","",L110-B110))</f>
        <v>0</v>
      </c>
      <c r="X110" s="26">
        <f>IF(B110="","",IF(G110="","",IFERROR(ROUND(G110-INDEX(Inventory!$H$5:$H$304,MATCH(D110,Inventory!$A$5:$A$304,0)),2),"")))</f>
        <v>0</v>
      </c>
      <c r="Y110" s="39">
        <f>IF(B110="","",IF(D110="","Add - which product?",IF(J110="","Add - no status yet",IF(IF(J110="Ordered",IF(K110="",FALSE,K110&lt;TodayDate),FALSE),"Late - expected and not arrived",IF(V110&gt;0,"Check - delivery came up short",IF(IF(X110="",FALSE,X110&gt;0),"Check - cost has gone up",IF(O110&lt;&gt;"Yes","Due - invoice not paid","OK")))))))</f>
        <v>0</v>
      </c>
    </row>
    <row r="111" spans="1:25">
      <c r="A111" s="28">
        <f>IF(B111="","",PurchasePrefix&amp;TEXT(ROW()-4,"0000"))</f>
        <v>0</v>
      </c>
      <c r="E111" s="15">
        <f>IF(D111="","",IFERROR(INDEX(Inventory!$B$5:$B$304,MATCH(D111,Inventory!$A$5:$A$304,0)),"Not in Inventory"))</f>
        <v>0</v>
      </c>
      <c r="Q111" s="15">
        <f>IF(B111="","",TEXT(B111,"yyyy-mm"))</f>
        <v>0</v>
      </c>
      <c r="R111" s="26">
        <f>IF(B111="","",IF(G111&lt;&gt;"",G111,IFERROR(INDEX(Inventory!$H$5:$H$304,MATCH(D111,Inventory!$A$5:$A$304,0))*1,0)))</f>
        <v>0</v>
      </c>
      <c r="S111" s="26">
        <f>IF(B111="","",ROUND(IF(F111="",0,F111)*R111,2))</f>
        <v>0</v>
      </c>
      <c r="T111" s="26">
        <f>IF(B111="","",ROUND(S111+IF(H111="",0,H111)+IF(I111="",0,I111),2))</f>
        <v>0</v>
      </c>
      <c r="U111" s="37">
        <f>IF(B111="","",IF(J111="Received",IF(M111&lt;&gt;"",M111,IF(F111="",0,F111)),IF(J111="Part received",IF(M111="",0,M111),0)))</f>
        <v>0</v>
      </c>
      <c r="V111" s="37">
        <f>IF(B111="","",IF(J111="Ordered","",IF(J111="Draft","",ROUND(IF(F111="",0,F111)-U111,2))))</f>
        <v>0</v>
      </c>
      <c r="W111" s="25">
        <f>IF(B111="","",IF(L111="","",L111-B111))</f>
        <v>0</v>
      </c>
      <c r="X111" s="26">
        <f>IF(B111="","",IF(G111="","",IFERROR(ROUND(G111-INDEX(Inventory!$H$5:$H$304,MATCH(D111,Inventory!$A$5:$A$304,0)),2),"")))</f>
        <v>0</v>
      </c>
      <c r="Y111" s="39">
        <f>IF(B111="","",IF(D111="","Add - which product?",IF(J111="","Add - no status yet",IF(IF(J111="Ordered",IF(K111="",FALSE,K111&lt;TodayDate),FALSE),"Late - expected and not arrived",IF(V111&gt;0,"Check - delivery came up short",IF(IF(X111="",FALSE,X111&gt;0),"Check - cost has gone up",IF(O111&lt;&gt;"Yes","Due - invoice not paid","OK")))))))</f>
        <v>0</v>
      </c>
    </row>
    <row r="112" spans="1:25">
      <c r="A112" s="28">
        <f>IF(B112="","",PurchasePrefix&amp;TEXT(ROW()-4,"0000"))</f>
        <v>0</v>
      </c>
      <c r="E112" s="15">
        <f>IF(D112="","",IFERROR(INDEX(Inventory!$B$5:$B$304,MATCH(D112,Inventory!$A$5:$A$304,0)),"Not in Inventory"))</f>
        <v>0</v>
      </c>
      <c r="Q112" s="15">
        <f>IF(B112="","",TEXT(B112,"yyyy-mm"))</f>
        <v>0</v>
      </c>
      <c r="R112" s="26">
        <f>IF(B112="","",IF(G112&lt;&gt;"",G112,IFERROR(INDEX(Inventory!$H$5:$H$304,MATCH(D112,Inventory!$A$5:$A$304,0))*1,0)))</f>
        <v>0</v>
      </c>
      <c r="S112" s="26">
        <f>IF(B112="","",ROUND(IF(F112="",0,F112)*R112,2))</f>
        <v>0</v>
      </c>
      <c r="T112" s="26">
        <f>IF(B112="","",ROUND(S112+IF(H112="",0,H112)+IF(I112="",0,I112),2))</f>
        <v>0</v>
      </c>
      <c r="U112" s="37">
        <f>IF(B112="","",IF(J112="Received",IF(M112&lt;&gt;"",M112,IF(F112="",0,F112)),IF(J112="Part received",IF(M112="",0,M112),0)))</f>
        <v>0</v>
      </c>
      <c r="V112" s="37">
        <f>IF(B112="","",IF(J112="Ordered","",IF(J112="Draft","",ROUND(IF(F112="",0,F112)-U112,2))))</f>
        <v>0</v>
      </c>
      <c r="W112" s="25">
        <f>IF(B112="","",IF(L112="","",L112-B112))</f>
        <v>0</v>
      </c>
      <c r="X112" s="26">
        <f>IF(B112="","",IF(G112="","",IFERROR(ROUND(G112-INDEX(Inventory!$H$5:$H$304,MATCH(D112,Inventory!$A$5:$A$304,0)),2),"")))</f>
        <v>0</v>
      </c>
      <c r="Y112" s="39">
        <f>IF(B112="","",IF(D112="","Add - which product?",IF(J112="","Add - no status yet",IF(IF(J112="Ordered",IF(K112="",FALSE,K112&lt;TodayDate),FALSE),"Late - expected and not arrived",IF(V112&gt;0,"Check - delivery came up short",IF(IF(X112="",FALSE,X112&gt;0),"Check - cost has gone up",IF(O112&lt;&gt;"Yes","Due - invoice not paid","OK")))))))</f>
        <v>0</v>
      </c>
    </row>
    <row r="113" spans="1:25">
      <c r="A113" s="28">
        <f>IF(B113="","",PurchasePrefix&amp;TEXT(ROW()-4,"0000"))</f>
        <v>0</v>
      </c>
      <c r="E113" s="15">
        <f>IF(D113="","",IFERROR(INDEX(Inventory!$B$5:$B$304,MATCH(D113,Inventory!$A$5:$A$304,0)),"Not in Inventory"))</f>
        <v>0</v>
      </c>
      <c r="Q113" s="15">
        <f>IF(B113="","",TEXT(B113,"yyyy-mm"))</f>
        <v>0</v>
      </c>
      <c r="R113" s="26">
        <f>IF(B113="","",IF(G113&lt;&gt;"",G113,IFERROR(INDEX(Inventory!$H$5:$H$304,MATCH(D113,Inventory!$A$5:$A$304,0))*1,0)))</f>
        <v>0</v>
      </c>
      <c r="S113" s="26">
        <f>IF(B113="","",ROUND(IF(F113="",0,F113)*R113,2))</f>
        <v>0</v>
      </c>
      <c r="T113" s="26">
        <f>IF(B113="","",ROUND(S113+IF(H113="",0,H113)+IF(I113="",0,I113),2))</f>
        <v>0</v>
      </c>
      <c r="U113" s="37">
        <f>IF(B113="","",IF(J113="Received",IF(M113&lt;&gt;"",M113,IF(F113="",0,F113)),IF(J113="Part received",IF(M113="",0,M113),0)))</f>
        <v>0</v>
      </c>
      <c r="V113" s="37">
        <f>IF(B113="","",IF(J113="Ordered","",IF(J113="Draft","",ROUND(IF(F113="",0,F113)-U113,2))))</f>
        <v>0</v>
      </c>
      <c r="W113" s="25">
        <f>IF(B113="","",IF(L113="","",L113-B113))</f>
        <v>0</v>
      </c>
      <c r="X113" s="26">
        <f>IF(B113="","",IF(G113="","",IFERROR(ROUND(G113-INDEX(Inventory!$H$5:$H$304,MATCH(D113,Inventory!$A$5:$A$304,0)),2),"")))</f>
        <v>0</v>
      </c>
      <c r="Y113" s="39">
        <f>IF(B113="","",IF(D113="","Add - which product?",IF(J113="","Add - no status yet",IF(IF(J113="Ordered",IF(K113="",FALSE,K113&lt;TodayDate),FALSE),"Late - expected and not arrived",IF(V113&gt;0,"Check - delivery came up short",IF(IF(X113="",FALSE,X113&gt;0),"Check - cost has gone up",IF(O113&lt;&gt;"Yes","Due - invoice not paid","OK")))))))</f>
        <v>0</v>
      </c>
    </row>
    <row r="114" spans="1:25">
      <c r="A114" s="28">
        <f>IF(B114="","",PurchasePrefix&amp;TEXT(ROW()-4,"0000"))</f>
        <v>0</v>
      </c>
      <c r="E114" s="15">
        <f>IF(D114="","",IFERROR(INDEX(Inventory!$B$5:$B$304,MATCH(D114,Inventory!$A$5:$A$304,0)),"Not in Inventory"))</f>
        <v>0</v>
      </c>
      <c r="Q114" s="15">
        <f>IF(B114="","",TEXT(B114,"yyyy-mm"))</f>
        <v>0</v>
      </c>
      <c r="R114" s="26">
        <f>IF(B114="","",IF(G114&lt;&gt;"",G114,IFERROR(INDEX(Inventory!$H$5:$H$304,MATCH(D114,Inventory!$A$5:$A$304,0))*1,0)))</f>
        <v>0</v>
      </c>
      <c r="S114" s="26">
        <f>IF(B114="","",ROUND(IF(F114="",0,F114)*R114,2))</f>
        <v>0</v>
      </c>
      <c r="T114" s="26">
        <f>IF(B114="","",ROUND(S114+IF(H114="",0,H114)+IF(I114="",0,I114),2))</f>
        <v>0</v>
      </c>
      <c r="U114" s="37">
        <f>IF(B114="","",IF(J114="Received",IF(M114&lt;&gt;"",M114,IF(F114="",0,F114)),IF(J114="Part received",IF(M114="",0,M114),0)))</f>
        <v>0</v>
      </c>
      <c r="V114" s="37">
        <f>IF(B114="","",IF(J114="Ordered","",IF(J114="Draft","",ROUND(IF(F114="",0,F114)-U114,2))))</f>
        <v>0</v>
      </c>
      <c r="W114" s="25">
        <f>IF(B114="","",IF(L114="","",L114-B114))</f>
        <v>0</v>
      </c>
      <c r="X114" s="26">
        <f>IF(B114="","",IF(G114="","",IFERROR(ROUND(G114-INDEX(Inventory!$H$5:$H$304,MATCH(D114,Inventory!$A$5:$A$304,0)),2),"")))</f>
        <v>0</v>
      </c>
      <c r="Y114" s="39">
        <f>IF(B114="","",IF(D114="","Add - which product?",IF(J114="","Add - no status yet",IF(IF(J114="Ordered",IF(K114="",FALSE,K114&lt;TodayDate),FALSE),"Late - expected and not arrived",IF(V114&gt;0,"Check - delivery came up short",IF(IF(X114="",FALSE,X114&gt;0),"Check - cost has gone up",IF(O114&lt;&gt;"Yes","Due - invoice not paid","OK")))))))</f>
        <v>0</v>
      </c>
    </row>
    <row r="115" spans="1:25">
      <c r="A115" s="28">
        <f>IF(B115="","",PurchasePrefix&amp;TEXT(ROW()-4,"0000"))</f>
        <v>0</v>
      </c>
      <c r="E115" s="15">
        <f>IF(D115="","",IFERROR(INDEX(Inventory!$B$5:$B$304,MATCH(D115,Inventory!$A$5:$A$304,0)),"Not in Inventory"))</f>
        <v>0</v>
      </c>
      <c r="Q115" s="15">
        <f>IF(B115="","",TEXT(B115,"yyyy-mm"))</f>
        <v>0</v>
      </c>
      <c r="R115" s="26">
        <f>IF(B115="","",IF(G115&lt;&gt;"",G115,IFERROR(INDEX(Inventory!$H$5:$H$304,MATCH(D115,Inventory!$A$5:$A$304,0))*1,0)))</f>
        <v>0</v>
      </c>
      <c r="S115" s="26">
        <f>IF(B115="","",ROUND(IF(F115="",0,F115)*R115,2))</f>
        <v>0</v>
      </c>
      <c r="T115" s="26">
        <f>IF(B115="","",ROUND(S115+IF(H115="",0,H115)+IF(I115="",0,I115),2))</f>
        <v>0</v>
      </c>
      <c r="U115" s="37">
        <f>IF(B115="","",IF(J115="Received",IF(M115&lt;&gt;"",M115,IF(F115="",0,F115)),IF(J115="Part received",IF(M115="",0,M115),0)))</f>
        <v>0</v>
      </c>
      <c r="V115" s="37">
        <f>IF(B115="","",IF(J115="Ordered","",IF(J115="Draft","",ROUND(IF(F115="",0,F115)-U115,2))))</f>
        <v>0</v>
      </c>
      <c r="W115" s="25">
        <f>IF(B115="","",IF(L115="","",L115-B115))</f>
        <v>0</v>
      </c>
      <c r="X115" s="26">
        <f>IF(B115="","",IF(G115="","",IFERROR(ROUND(G115-INDEX(Inventory!$H$5:$H$304,MATCH(D115,Inventory!$A$5:$A$304,0)),2),"")))</f>
        <v>0</v>
      </c>
      <c r="Y115" s="39">
        <f>IF(B115="","",IF(D115="","Add - which product?",IF(J115="","Add - no status yet",IF(IF(J115="Ordered",IF(K115="",FALSE,K115&lt;TodayDate),FALSE),"Late - expected and not arrived",IF(V115&gt;0,"Check - delivery came up short",IF(IF(X115="",FALSE,X115&gt;0),"Check - cost has gone up",IF(O115&lt;&gt;"Yes","Due - invoice not paid","OK")))))))</f>
        <v>0</v>
      </c>
    </row>
    <row r="116" spans="1:25">
      <c r="A116" s="28">
        <f>IF(B116="","",PurchasePrefix&amp;TEXT(ROW()-4,"0000"))</f>
        <v>0</v>
      </c>
      <c r="E116" s="15">
        <f>IF(D116="","",IFERROR(INDEX(Inventory!$B$5:$B$304,MATCH(D116,Inventory!$A$5:$A$304,0)),"Not in Inventory"))</f>
        <v>0</v>
      </c>
      <c r="Q116" s="15">
        <f>IF(B116="","",TEXT(B116,"yyyy-mm"))</f>
        <v>0</v>
      </c>
      <c r="R116" s="26">
        <f>IF(B116="","",IF(G116&lt;&gt;"",G116,IFERROR(INDEX(Inventory!$H$5:$H$304,MATCH(D116,Inventory!$A$5:$A$304,0))*1,0)))</f>
        <v>0</v>
      </c>
      <c r="S116" s="26">
        <f>IF(B116="","",ROUND(IF(F116="",0,F116)*R116,2))</f>
        <v>0</v>
      </c>
      <c r="T116" s="26">
        <f>IF(B116="","",ROUND(S116+IF(H116="",0,H116)+IF(I116="",0,I116),2))</f>
        <v>0</v>
      </c>
      <c r="U116" s="37">
        <f>IF(B116="","",IF(J116="Received",IF(M116&lt;&gt;"",M116,IF(F116="",0,F116)),IF(J116="Part received",IF(M116="",0,M116),0)))</f>
        <v>0</v>
      </c>
      <c r="V116" s="37">
        <f>IF(B116="","",IF(J116="Ordered","",IF(J116="Draft","",ROUND(IF(F116="",0,F116)-U116,2))))</f>
        <v>0</v>
      </c>
      <c r="W116" s="25">
        <f>IF(B116="","",IF(L116="","",L116-B116))</f>
        <v>0</v>
      </c>
      <c r="X116" s="26">
        <f>IF(B116="","",IF(G116="","",IFERROR(ROUND(G116-INDEX(Inventory!$H$5:$H$304,MATCH(D116,Inventory!$A$5:$A$304,0)),2),"")))</f>
        <v>0</v>
      </c>
      <c r="Y116" s="39">
        <f>IF(B116="","",IF(D116="","Add - which product?",IF(J116="","Add - no status yet",IF(IF(J116="Ordered",IF(K116="",FALSE,K116&lt;TodayDate),FALSE),"Late - expected and not arrived",IF(V116&gt;0,"Check - delivery came up short",IF(IF(X116="",FALSE,X116&gt;0),"Check - cost has gone up",IF(O116&lt;&gt;"Yes","Due - invoice not paid","OK")))))))</f>
        <v>0</v>
      </c>
    </row>
    <row r="117" spans="1:25">
      <c r="A117" s="28">
        <f>IF(B117="","",PurchasePrefix&amp;TEXT(ROW()-4,"0000"))</f>
        <v>0</v>
      </c>
      <c r="E117" s="15">
        <f>IF(D117="","",IFERROR(INDEX(Inventory!$B$5:$B$304,MATCH(D117,Inventory!$A$5:$A$304,0)),"Not in Inventory"))</f>
        <v>0</v>
      </c>
      <c r="Q117" s="15">
        <f>IF(B117="","",TEXT(B117,"yyyy-mm"))</f>
        <v>0</v>
      </c>
      <c r="R117" s="26">
        <f>IF(B117="","",IF(G117&lt;&gt;"",G117,IFERROR(INDEX(Inventory!$H$5:$H$304,MATCH(D117,Inventory!$A$5:$A$304,0))*1,0)))</f>
        <v>0</v>
      </c>
      <c r="S117" s="26">
        <f>IF(B117="","",ROUND(IF(F117="",0,F117)*R117,2))</f>
        <v>0</v>
      </c>
      <c r="T117" s="26">
        <f>IF(B117="","",ROUND(S117+IF(H117="",0,H117)+IF(I117="",0,I117),2))</f>
        <v>0</v>
      </c>
      <c r="U117" s="37">
        <f>IF(B117="","",IF(J117="Received",IF(M117&lt;&gt;"",M117,IF(F117="",0,F117)),IF(J117="Part received",IF(M117="",0,M117),0)))</f>
        <v>0</v>
      </c>
      <c r="V117" s="37">
        <f>IF(B117="","",IF(J117="Ordered","",IF(J117="Draft","",ROUND(IF(F117="",0,F117)-U117,2))))</f>
        <v>0</v>
      </c>
      <c r="W117" s="25">
        <f>IF(B117="","",IF(L117="","",L117-B117))</f>
        <v>0</v>
      </c>
      <c r="X117" s="26">
        <f>IF(B117="","",IF(G117="","",IFERROR(ROUND(G117-INDEX(Inventory!$H$5:$H$304,MATCH(D117,Inventory!$A$5:$A$304,0)),2),"")))</f>
        <v>0</v>
      </c>
      <c r="Y117" s="39">
        <f>IF(B117="","",IF(D117="","Add - which product?",IF(J117="","Add - no status yet",IF(IF(J117="Ordered",IF(K117="",FALSE,K117&lt;TodayDate),FALSE),"Late - expected and not arrived",IF(V117&gt;0,"Check - delivery came up short",IF(IF(X117="",FALSE,X117&gt;0),"Check - cost has gone up",IF(O117&lt;&gt;"Yes","Due - invoice not paid","OK")))))))</f>
        <v>0</v>
      </c>
    </row>
    <row r="118" spans="1:25">
      <c r="A118" s="28">
        <f>IF(B118="","",PurchasePrefix&amp;TEXT(ROW()-4,"0000"))</f>
        <v>0</v>
      </c>
      <c r="E118" s="15">
        <f>IF(D118="","",IFERROR(INDEX(Inventory!$B$5:$B$304,MATCH(D118,Inventory!$A$5:$A$304,0)),"Not in Inventory"))</f>
        <v>0</v>
      </c>
      <c r="Q118" s="15">
        <f>IF(B118="","",TEXT(B118,"yyyy-mm"))</f>
        <v>0</v>
      </c>
      <c r="R118" s="26">
        <f>IF(B118="","",IF(G118&lt;&gt;"",G118,IFERROR(INDEX(Inventory!$H$5:$H$304,MATCH(D118,Inventory!$A$5:$A$304,0))*1,0)))</f>
        <v>0</v>
      </c>
      <c r="S118" s="26">
        <f>IF(B118="","",ROUND(IF(F118="",0,F118)*R118,2))</f>
        <v>0</v>
      </c>
      <c r="T118" s="26">
        <f>IF(B118="","",ROUND(S118+IF(H118="",0,H118)+IF(I118="",0,I118),2))</f>
        <v>0</v>
      </c>
      <c r="U118" s="37">
        <f>IF(B118="","",IF(J118="Received",IF(M118&lt;&gt;"",M118,IF(F118="",0,F118)),IF(J118="Part received",IF(M118="",0,M118),0)))</f>
        <v>0</v>
      </c>
      <c r="V118" s="37">
        <f>IF(B118="","",IF(J118="Ordered","",IF(J118="Draft","",ROUND(IF(F118="",0,F118)-U118,2))))</f>
        <v>0</v>
      </c>
      <c r="W118" s="25">
        <f>IF(B118="","",IF(L118="","",L118-B118))</f>
        <v>0</v>
      </c>
      <c r="X118" s="26">
        <f>IF(B118="","",IF(G118="","",IFERROR(ROUND(G118-INDEX(Inventory!$H$5:$H$304,MATCH(D118,Inventory!$A$5:$A$304,0)),2),"")))</f>
        <v>0</v>
      </c>
      <c r="Y118" s="39">
        <f>IF(B118="","",IF(D118="","Add - which product?",IF(J118="","Add - no status yet",IF(IF(J118="Ordered",IF(K118="",FALSE,K118&lt;TodayDate),FALSE),"Late - expected and not arrived",IF(V118&gt;0,"Check - delivery came up short",IF(IF(X118="",FALSE,X118&gt;0),"Check - cost has gone up",IF(O118&lt;&gt;"Yes","Due - invoice not paid","OK")))))))</f>
        <v>0</v>
      </c>
    </row>
    <row r="119" spans="1:25">
      <c r="A119" s="28">
        <f>IF(B119="","",PurchasePrefix&amp;TEXT(ROW()-4,"0000"))</f>
        <v>0</v>
      </c>
      <c r="E119" s="15">
        <f>IF(D119="","",IFERROR(INDEX(Inventory!$B$5:$B$304,MATCH(D119,Inventory!$A$5:$A$304,0)),"Not in Inventory"))</f>
        <v>0</v>
      </c>
      <c r="Q119" s="15">
        <f>IF(B119="","",TEXT(B119,"yyyy-mm"))</f>
        <v>0</v>
      </c>
      <c r="R119" s="26">
        <f>IF(B119="","",IF(G119&lt;&gt;"",G119,IFERROR(INDEX(Inventory!$H$5:$H$304,MATCH(D119,Inventory!$A$5:$A$304,0))*1,0)))</f>
        <v>0</v>
      </c>
      <c r="S119" s="26">
        <f>IF(B119="","",ROUND(IF(F119="",0,F119)*R119,2))</f>
        <v>0</v>
      </c>
      <c r="T119" s="26">
        <f>IF(B119="","",ROUND(S119+IF(H119="",0,H119)+IF(I119="",0,I119),2))</f>
        <v>0</v>
      </c>
      <c r="U119" s="37">
        <f>IF(B119="","",IF(J119="Received",IF(M119&lt;&gt;"",M119,IF(F119="",0,F119)),IF(J119="Part received",IF(M119="",0,M119),0)))</f>
        <v>0</v>
      </c>
      <c r="V119" s="37">
        <f>IF(B119="","",IF(J119="Ordered","",IF(J119="Draft","",ROUND(IF(F119="",0,F119)-U119,2))))</f>
        <v>0</v>
      </c>
      <c r="W119" s="25">
        <f>IF(B119="","",IF(L119="","",L119-B119))</f>
        <v>0</v>
      </c>
      <c r="X119" s="26">
        <f>IF(B119="","",IF(G119="","",IFERROR(ROUND(G119-INDEX(Inventory!$H$5:$H$304,MATCH(D119,Inventory!$A$5:$A$304,0)),2),"")))</f>
        <v>0</v>
      </c>
      <c r="Y119" s="39">
        <f>IF(B119="","",IF(D119="","Add - which product?",IF(J119="","Add - no status yet",IF(IF(J119="Ordered",IF(K119="",FALSE,K119&lt;TodayDate),FALSE),"Late - expected and not arrived",IF(V119&gt;0,"Check - delivery came up short",IF(IF(X119="",FALSE,X119&gt;0),"Check - cost has gone up",IF(O119&lt;&gt;"Yes","Due - invoice not paid","OK")))))))</f>
        <v>0</v>
      </c>
    </row>
    <row r="120" spans="1:25">
      <c r="A120" s="28">
        <f>IF(B120="","",PurchasePrefix&amp;TEXT(ROW()-4,"0000"))</f>
        <v>0</v>
      </c>
      <c r="E120" s="15">
        <f>IF(D120="","",IFERROR(INDEX(Inventory!$B$5:$B$304,MATCH(D120,Inventory!$A$5:$A$304,0)),"Not in Inventory"))</f>
        <v>0</v>
      </c>
      <c r="Q120" s="15">
        <f>IF(B120="","",TEXT(B120,"yyyy-mm"))</f>
        <v>0</v>
      </c>
      <c r="R120" s="26">
        <f>IF(B120="","",IF(G120&lt;&gt;"",G120,IFERROR(INDEX(Inventory!$H$5:$H$304,MATCH(D120,Inventory!$A$5:$A$304,0))*1,0)))</f>
        <v>0</v>
      </c>
      <c r="S120" s="26">
        <f>IF(B120="","",ROUND(IF(F120="",0,F120)*R120,2))</f>
        <v>0</v>
      </c>
      <c r="T120" s="26">
        <f>IF(B120="","",ROUND(S120+IF(H120="",0,H120)+IF(I120="",0,I120),2))</f>
        <v>0</v>
      </c>
      <c r="U120" s="37">
        <f>IF(B120="","",IF(J120="Received",IF(M120&lt;&gt;"",M120,IF(F120="",0,F120)),IF(J120="Part received",IF(M120="",0,M120),0)))</f>
        <v>0</v>
      </c>
      <c r="V120" s="37">
        <f>IF(B120="","",IF(J120="Ordered","",IF(J120="Draft","",ROUND(IF(F120="",0,F120)-U120,2))))</f>
        <v>0</v>
      </c>
      <c r="W120" s="25">
        <f>IF(B120="","",IF(L120="","",L120-B120))</f>
        <v>0</v>
      </c>
      <c r="X120" s="26">
        <f>IF(B120="","",IF(G120="","",IFERROR(ROUND(G120-INDEX(Inventory!$H$5:$H$304,MATCH(D120,Inventory!$A$5:$A$304,0)),2),"")))</f>
        <v>0</v>
      </c>
      <c r="Y120" s="39">
        <f>IF(B120="","",IF(D120="","Add - which product?",IF(J120="","Add - no status yet",IF(IF(J120="Ordered",IF(K120="",FALSE,K120&lt;TodayDate),FALSE),"Late - expected and not arrived",IF(V120&gt;0,"Check - delivery came up short",IF(IF(X120="",FALSE,X120&gt;0),"Check - cost has gone up",IF(O120&lt;&gt;"Yes","Due - invoice not paid","OK")))))))</f>
        <v>0</v>
      </c>
    </row>
    <row r="121" spans="1:25">
      <c r="A121" s="28">
        <f>IF(B121="","",PurchasePrefix&amp;TEXT(ROW()-4,"0000"))</f>
        <v>0</v>
      </c>
      <c r="E121" s="15">
        <f>IF(D121="","",IFERROR(INDEX(Inventory!$B$5:$B$304,MATCH(D121,Inventory!$A$5:$A$304,0)),"Not in Inventory"))</f>
        <v>0</v>
      </c>
      <c r="Q121" s="15">
        <f>IF(B121="","",TEXT(B121,"yyyy-mm"))</f>
        <v>0</v>
      </c>
      <c r="R121" s="26">
        <f>IF(B121="","",IF(G121&lt;&gt;"",G121,IFERROR(INDEX(Inventory!$H$5:$H$304,MATCH(D121,Inventory!$A$5:$A$304,0))*1,0)))</f>
        <v>0</v>
      </c>
      <c r="S121" s="26">
        <f>IF(B121="","",ROUND(IF(F121="",0,F121)*R121,2))</f>
        <v>0</v>
      </c>
      <c r="T121" s="26">
        <f>IF(B121="","",ROUND(S121+IF(H121="",0,H121)+IF(I121="",0,I121),2))</f>
        <v>0</v>
      </c>
      <c r="U121" s="37">
        <f>IF(B121="","",IF(J121="Received",IF(M121&lt;&gt;"",M121,IF(F121="",0,F121)),IF(J121="Part received",IF(M121="",0,M121),0)))</f>
        <v>0</v>
      </c>
      <c r="V121" s="37">
        <f>IF(B121="","",IF(J121="Ordered","",IF(J121="Draft","",ROUND(IF(F121="",0,F121)-U121,2))))</f>
        <v>0</v>
      </c>
      <c r="W121" s="25">
        <f>IF(B121="","",IF(L121="","",L121-B121))</f>
        <v>0</v>
      </c>
      <c r="X121" s="26">
        <f>IF(B121="","",IF(G121="","",IFERROR(ROUND(G121-INDEX(Inventory!$H$5:$H$304,MATCH(D121,Inventory!$A$5:$A$304,0)),2),"")))</f>
        <v>0</v>
      </c>
      <c r="Y121" s="39">
        <f>IF(B121="","",IF(D121="","Add - which product?",IF(J121="","Add - no status yet",IF(IF(J121="Ordered",IF(K121="",FALSE,K121&lt;TodayDate),FALSE),"Late - expected and not arrived",IF(V121&gt;0,"Check - delivery came up short",IF(IF(X121="",FALSE,X121&gt;0),"Check - cost has gone up",IF(O121&lt;&gt;"Yes","Due - invoice not paid","OK")))))))</f>
        <v>0</v>
      </c>
    </row>
    <row r="122" spans="1:25">
      <c r="A122" s="28">
        <f>IF(B122="","",PurchasePrefix&amp;TEXT(ROW()-4,"0000"))</f>
        <v>0</v>
      </c>
      <c r="E122" s="15">
        <f>IF(D122="","",IFERROR(INDEX(Inventory!$B$5:$B$304,MATCH(D122,Inventory!$A$5:$A$304,0)),"Not in Inventory"))</f>
        <v>0</v>
      </c>
      <c r="Q122" s="15">
        <f>IF(B122="","",TEXT(B122,"yyyy-mm"))</f>
        <v>0</v>
      </c>
      <c r="R122" s="26">
        <f>IF(B122="","",IF(G122&lt;&gt;"",G122,IFERROR(INDEX(Inventory!$H$5:$H$304,MATCH(D122,Inventory!$A$5:$A$304,0))*1,0)))</f>
        <v>0</v>
      </c>
      <c r="S122" s="26">
        <f>IF(B122="","",ROUND(IF(F122="",0,F122)*R122,2))</f>
        <v>0</v>
      </c>
      <c r="T122" s="26">
        <f>IF(B122="","",ROUND(S122+IF(H122="",0,H122)+IF(I122="",0,I122),2))</f>
        <v>0</v>
      </c>
      <c r="U122" s="37">
        <f>IF(B122="","",IF(J122="Received",IF(M122&lt;&gt;"",M122,IF(F122="",0,F122)),IF(J122="Part received",IF(M122="",0,M122),0)))</f>
        <v>0</v>
      </c>
      <c r="V122" s="37">
        <f>IF(B122="","",IF(J122="Ordered","",IF(J122="Draft","",ROUND(IF(F122="",0,F122)-U122,2))))</f>
        <v>0</v>
      </c>
      <c r="W122" s="25">
        <f>IF(B122="","",IF(L122="","",L122-B122))</f>
        <v>0</v>
      </c>
      <c r="X122" s="26">
        <f>IF(B122="","",IF(G122="","",IFERROR(ROUND(G122-INDEX(Inventory!$H$5:$H$304,MATCH(D122,Inventory!$A$5:$A$304,0)),2),"")))</f>
        <v>0</v>
      </c>
      <c r="Y122" s="39">
        <f>IF(B122="","",IF(D122="","Add - which product?",IF(J122="","Add - no status yet",IF(IF(J122="Ordered",IF(K122="",FALSE,K122&lt;TodayDate),FALSE),"Late - expected and not arrived",IF(V122&gt;0,"Check - delivery came up short",IF(IF(X122="",FALSE,X122&gt;0),"Check - cost has gone up",IF(O122&lt;&gt;"Yes","Due - invoice not paid","OK")))))))</f>
        <v>0</v>
      </c>
    </row>
    <row r="123" spans="1:25">
      <c r="A123" s="28">
        <f>IF(B123="","",PurchasePrefix&amp;TEXT(ROW()-4,"0000"))</f>
        <v>0</v>
      </c>
      <c r="E123" s="15">
        <f>IF(D123="","",IFERROR(INDEX(Inventory!$B$5:$B$304,MATCH(D123,Inventory!$A$5:$A$304,0)),"Not in Inventory"))</f>
        <v>0</v>
      </c>
      <c r="Q123" s="15">
        <f>IF(B123="","",TEXT(B123,"yyyy-mm"))</f>
        <v>0</v>
      </c>
      <c r="R123" s="26">
        <f>IF(B123="","",IF(G123&lt;&gt;"",G123,IFERROR(INDEX(Inventory!$H$5:$H$304,MATCH(D123,Inventory!$A$5:$A$304,0))*1,0)))</f>
        <v>0</v>
      </c>
      <c r="S123" s="26">
        <f>IF(B123="","",ROUND(IF(F123="",0,F123)*R123,2))</f>
        <v>0</v>
      </c>
      <c r="T123" s="26">
        <f>IF(B123="","",ROUND(S123+IF(H123="",0,H123)+IF(I123="",0,I123),2))</f>
        <v>0</v>
      </c>
      <c r="U123" s="37">
        <f>IF(B123="","",IF(J123="Received",IF(M123&lt;&gt;"",M123,IF(F123="",0,F123)),IF(J123="Part received",IF(M123="",0,M123),0)))</f>
        <v>0</v>
      </c>
      <c r="V123" s="37">
        <f>IF(B123="","",IF(J123="Ordered","",IF(J123="Draft","",ROUND(IF(F123="",0,F123)-U123,2))))</f>
        <v>0</v>
      </c>
      <c r="W123" s="25">
        <f>IF(B123="","",IF(L123="","",L123-B123))</f>
        <v>0</v>
      </c>
      <c r="X123" s="26">
        <f>IF(B123="","",IF(G123="","",IFERROR(ROUND(G123-INDEX(Inventory!$H$5:$H$304,MATCH(D123,Inventory!$A$5:$A$304,0)),2),"")))</f>
        <v>0</v>
      </c>
      <c r="Y123" s="39">
        <f>IF(B123="","",IF(D123="","Add - which product?",IF(J123="","Add - no status yet",IF(IF(J123="Ordered",IF(K123="",FALSE,K123&lt;TodayDate),FALSE),"Late - expected and not arrived",IF(V123&gt;0,"Check - delivery came up short",IF(IF(X123="",FALSE,X123&gt;0),"Check - cost has gone up",IF(O123&lt;&gt;"Yes","Due - invoice not paid","OK")))))))</f>
        <v>0</v>
      </c>
    </row>
    <row r="124" spans="1:25">
      <c r="A124" s="28">
        <f>IF(B124="","",PurchasePrefix&amp;TEXT(ROW()-4,"0000"))</f>
        <v>0</v>
      </c>
      <c r="E124" s="15">
        <f>IF(D124="","",IFERROR(INDEX(Inventory!$B$5:$B$304,MATCH(D124,Inventory!$A$5:$A$304,0)),"Not in Inventory"))</f>
        <v>0</v>
      </c>
      <c r="Q124" s="15">
        <f>IF(B124="","",TEXT(B124,"yyyy-mm"))</f>
        <v>0</v>
      </c>
      <c r="R124" s="26">
        <f>IF(B124="","",IF(G124&lt;&gt;"",G124,IFERROR(INDEX(Inventory!$H$5:$H$304,MATCH(D124,Inventory!$A$5:$A$304,0))*1,0)))</f>
        <v>0</v>
      </c>
      <c r="S124" s="26">
        <f>IF(B124="","",ROUND(IF(F124="",0,F124)*R124,2))</f>
        <v>0</v>
      </c>
      <c r="T124" s="26">
        <f>IF(B124="","",ROUND(S124+IF(H124="",0,H124)+IF(I124="",0,I124),2))</f>
        <v>0</v>
      </c>
      <c r="U124" s="37">
        <f>IF(B124="","",IF(J124="Received",IF(M124&lt;&gt;"",M124,IF(F124="",0,F124)),IF(J124="Part received",IF(M124="",0,M124),0)))</f>
        <v>0</v>
      </c>
      <c r="V124" s="37">
        <f>IF(B124="","",IF(J124="Ordered","",IF(J124="Draft","",ROUND(IF(F124="",0,F124)-U124,2))))</f>
        <v>0</v>
      </c>
      <c r="W124" s="25">
        <f>IF(B124="","",IF(L124="","",L124-B124))</f>
        <v>0</v>
      </c>
      <c r="X124" s="26">
        <f>IF(B124="","",IF(G124="","",IFERROR(ROUND(G124-INDEX(Inventory!$H$5:$H$304,MATCH(D124,Inventory!$A$5:$A$304,0)),2),"")))</f>
        <v>0</v>
      </c>
      <c r="Y124" s="39">
        <f>IF(B124="","",IF(D124="","Add - which product?",IF(J124="","Add - no status yet",IF(IF(J124="Ordered",IF(K124="",FALSE,K124&lt;TodayDate),FALSE),"Late - expected and not arrived",IF(V124&gt;0,"Check - delivery came up short",IF(IF(X124="",FALSE,X124&gt;0),"Check - cost has gone up",IF(O124&lt;&gt;"Yes","Due - invoice not paid","OK")))))))</f>
        <v>0</v>
      </c>
    </row>
    <row r="125" spans="1:25">
      <c r="A125" s="28">
        <f>IF(B125="","",PurchasePrefix&amp;TEXT(ROW()-4,"0000"))</f>
        <v>0</v>
      </c>
      <c r="E125" s="15">
        <f>IF(D125="","",IFERROR(INDEX(Inventory!$B$5:$B$304,MATCH(D125,Inventory!$A$5:$A$304,0)),"Not in Inventory"))</f>
        <v>0</v>
      </c>
      <c r="Q125" s="15">
        <f>IF(B125="","",TEXT(B125,"yyyy-mm"))</f>
        <v>0</v>
      </c>
      <c r="R125" s="26">
        <f>IF(B125="","",IF(G125&lt;&gt;"",G125,IFERROR(INDEX(Inventory!$H$5:$H$304,MATCH(D125,Inventory!$A$5:$A$304,0))*1,0)))</f>
        <v>0</v>
      </c>
      <c r="S125" s="26">
        <f>IF(B125="","",ROUND(IF(F125="",0,F125)*R125,2))</f>
        <v>0</v>
      </c>
      <c r="T125" s="26">
        <f>IF(B125="","",ROUND(S125+IF(H125="",0,H125)+IF(I125="",0,I125),2))</f>
        <v>0</v>
      </c>
      <c r="U125" s="37">
        <f>IF(B125="","",IF(J125="Received",IF(M125&lt;&gt;"",M125,IF(F125="",0,F125)),IF(J125="Part received",IF(M125="",0,M125),0)))</f>
        <v>0</v>
      </c>
      <c r="V125" s="37">
        <f>IF(B125="","",IF(J125="Ordered","",IF(J125="Draft","",ROUND(IF(F125="",0,F125)-U125,2))))</f>
        <v>0</v>
      </c>
      <c r="W125" s="25">
        <f>IF(B125="","",IF(L125="","",L125-B125))</f>
        <v>0</v>
      </c>
      <c r="X125" s="26">
        <f>IF(B125="","",IF(G125="","",IFERROR(ROUND(G125-INDEX(Inventory!$H$5:$H$304,MATCH(D125,Inventory!$A$5:$A$304,0)),2),"")))</f>
        <v>0</v>
      </c>
      <c r="Y125" s="39">
        <f>IF(B125="","",IF(D125="","Add - which product?",IF(J125="","Add - no status yet",IF(IF(J125="Ordered",IF(K125="",FALSE,K125&lt;TodayDate),FALSE),"Late - expected and not arrived",IF(V125&gt;0,"Check - delivery came up short",IF(IF(X125="",FALSE,X125&gt;0),"Check - cost has gone up",IF(O125&lt;&gt;"Yes","Due - invoice not paid","OK")))))))</f>
        <v>0</v>
      </c>
    </row>
    <row r="126" spans="1:25">
      <c r="A126" s="28">
        <f>IF(B126="","",PurchasePrefix&amp;TEXT(ROW()-4,"0000"))</f>
        <v>0</v>
      </c>
      <c r="E126" s="15">
        <f>IF(D126="","",IFERROR(INDEX(Inventory!$B$5:$B$304,MATCH(D126,Inventory!$A$5:$A$304,0)),"Not in Inventory"))</f>
        <v>0</v>
      </c>
      <c r="Q126" s="15">
        <f>IF(B126="","",TEXT(B126,"yyyy-mm"))</f>
        <v>0</v>
      </c>
      <c r="R126" s="26">
        <f>IF(B126="","",IF(G126&lt;&gt;"",G126,IFERROR(INDEX(Inventory!$H$5:$H$304,MATCH(D126,Inventory!$A$5:$A$304,0))*1,0)))</f>
        <v>0</v>
      </c>
      <c r="S126" s="26">
        <f>IF(B126="","",ROUND(IF(F126="",0,F126)*R126,2))</f>
        <v>0</v>
      </c>
      <c r="T126" s="26">
        <f>IF(B126="","",ROUND(S126+IF(H126="",0,H126)+IF(I126="",0,I126),2))</f>
        <v>0</v>
      </c>
      <c r="U126" s="37">
        <f>IF(B126="","",IF(J126="Received",IF(M126&lt;&gt;"",M126,IF(F126="",0,F126)),IF(J126="Part received",IF(M126="",0,M126),0)))</f>
        <v>0</v>
      </c>
      <c r="V126" s="37">
        <f>IF(B126="","",IF(J126="Ordered","",IF(J126="Draft","",ROUND(IF(F126="",0,F126)-U126,2))))</f>
        <v>0</v>
      </c>
      <c r="W126" s="25">
        <f>IF(B126="","",IF(L126="","",L126-B126))</f>
        <v>0</v>
      </c>
      <c r="X126" s="26">
        <f>IF(B126="","",IF(G126="","",IFERROR(ROUND(G126-INDEX(Inventory!$H$5:$H$304,MATCH(D126,Inventory!$A$5:$A$304,0)),2),"")))</f>
        <v>0</v>
      </c>
      <c r="Y126" s="39">
        <f>IF(B126="","",IF(D126="","Add - which product?",IF(J126="","Add - no status yet",IF(IF(J126="Ordered",IF(K126="",FALSE,K126&lt;TodayDate),FALSE),"Late - expected and not arrived",IF(V126&gt;0,"Check - delivery came up short",IF(IF(X126="",FALSE,X126&gt;0),"Check - cost has gone up",IF(O126&lt;&gt;"Yes","Due - invoice not paid","OK")))))))</f>
        <v>0</v>
      </c>
    </row>
    <row r="127" spans="1:25">
      <c r="A127" s="28">
        <f>IF(B127="","",PurchasePrefix&amp;TEXT(ROW()-4,"0000"))</f>
        <v>0</v>
      </c>
      <c r="E127" s="15">
        <f>IF(D127="","",IFERROR(INDEX(Inventory!$B$5:$B$304,MATCH(D127,Inventory!$A$5:$A$304,0)),"Not in Inventory"))</f>
        <v>0</v>
      </c>
      <c r="Q127" s="15">
        <f>IF(B127="","",TEXT(B127,"yyyy-mm"))</f>
        <v>0</v>
      </c>
      <c r="R127" s="26">
        <f>IF(B127="","",IF(G127&lt;&gt;"",G127,IFERROR(INDEX(Inventory!$H$5:$H$304,MATCH(D127,Inventory!$A$5:$A$304,0))*1,0)))</f>
        <v>0</v>
      </c>
      <c r="S127" s="26">
        <f>IF(B127="","",ROUND(IF(F127="",0,F127)*R127,2))</f>
        <v>0</v>
      </c>
      <c r="T127" s="26">
        <f>IF(B127="","",ROUND(S127+IF(H127="",0,H127)+IF(I127="",0,I127),2))</f>
        <v>0</v>
      </c>
      <c r="U127" s="37">
        <f>IF(B127="","",IF(J127="Received",IF(M127&lt;&gt;"",M127,IF(F127="",0,F127)),IF(J127="Part received",IF(M127="",0,M127),0)))</f>
        <v>0</v>
      </c>
      <c r="V127" s="37">
        <f>IF(B127="","",IF(J127="Ordered","",IF(J127="Draft","",ROUND(IF(F127="",0,F127)-U127,2))))</f>
        <v>0</v>
      </c>
      <c r="W127" s="25">
        <f>IF(B127="","",IF(L127="","",L127-B127))</f>
        <v>0</v>
      </c>
      <c r="X127" s="26">
        <f>IF(B127="","",IF(G127="","",IFERROR(ROUND(G127-INDEX(Inventory!$H$5:$H$304,MATCH(D127,Inventory!$A$5:$A$304,0)),2),"")))</f>
        <v>0</v>
      </c>
      <c r="Y127" s="39">
        <f>IF(B127="","",IF(D127="","Add - which product?",IF(J127="","Add - no status yet",IF(IF(J127="Ordered",IF(K127="",FALSE,K127&lt;TodayDate),FALSE),"Late - expected and not arrived",IF(V127&gt;0,"Check - delivery came up short",IF(IF(X127="",FALSE,X127&gt;0),"Check - cost has gone up",IF(O127&lt;&gt;"Yes","Due - invoice not paid","OK")))))))</f>
        <v>0</v>
      </c>
    </row>
    <row r="128" spans="1:25">
      <c r="A128" s="28">
        <f>IF(B128="","",PurchasePrefix&amp;TEXT(ROW()-4,"0000"))</f>
        <v>0</v>
      </c>
      <c r="E128" s="15">
        <f>IF(D128="","",IFERROR(INDEX(Inventory!$B$5:$B$304,MATCH(D128,Inventory!$A$5:$A$304,0)),"Not in Inventory"))</f>
        <v>0</v>
      </c>
      <c r="Q128" s="15">
        <f>IF(B128="","",TEXT(B128,"yyyy-mm"))</f>
        <v>0</v>
      </c>
      <c r="R128" s="26">
        <f>IF(B128="","",IF(G128&lt;&gt;"",G128,IFERROR(INDEX(Inventory!$H$5:$H$304,MATCH(D128,Inventory!$A$5:$A$304,0))*1,0)))</f>
        <v>0</v>
      </c>
      <c r="S128" s="26">
        <f>IF(B128="","",ROUND(IF(F128="",0,F128)*R128,2))</f>
        <v>0</v>
      </c>
      <c r="T128" s="26">
        <f>IF(B128="","",ROUND(S128+IF(H128="",0,H128)+IF(I128="",0,I128),2))</f>
        <v>0</v>
      </c>
      <c r="U128" s="37">
        <f>IF(B128="","",IF(J128="Received",IF(M128&lt;&gt;"",M128,IF(F128="",0,F128)),IF(J128="Part received",IF(M128="",0,M128),0)))</f>
        <v>0</v>
      </c>
      <c r="V128" s="37">
        <f>IF(B128="","",IF(J128="Ordered","",IF(J128="Draft","",ROUND(IF(F128="",0,F128)-U128,2))))</f>
        <v>0</v>
      </c>
      <c r="W128" s="25">
        <f>IF(B128="","",IF(L128="","",L128-B128))</f>
        <v>0</v>
      </c>
      <c r="X128" s="26">
        <f>IF(B128="","",IF(G128="","",IFERROR(ROUND(G128-INDEX(Inventory!$H$5:$H$304,MATCH(D128,Inventory!$A$5:$A$304,0)),2),"")))</f>
        <v>0</v>
      </c>
      <c r="Y128" s="39">
        <f>IF(B128="","",IF(D128="","Add - which product?",IF(J128="","Add - no status yet",IF(IF(J128="Ordered",IF(K128="",FALSE,K128&lt;TodayDate),FALSE),"Late - expected and not arrived",IF(V128&gt;0,"Check - delivery came up short",IF(IF(X128="",FALSE,X128&gt;0),"Check - cost has gone up",IF(O128&lt;&gt;"Yes","Due - invoice not paid","OK")))))))</f>
        <v>0</v>
      </c>
    </row>
    <row r="129" spans="1:25">
      <c r="A129" s="28">
        <f>IF(B129="","",PurchasePrefix&amp;TEXT(ROW()-4,"0000"))</f>
        <v>0</v>
      </c>
      <c r="E129" s="15">
        <f>IF(D129="","",IFERROR(INDEX(Inventory!$B$5:$B$304,MATCH(D129,Inventory!$A$5:$A$304,0)),"Not in Inventory"))</f>
        <v>0</v>
      </c>
      <c r="Q129" s="15">
        <f>IF(B129="","",TEXT(B129,"yyyy-mm"))</f>
        <v>0</v>
      </c>
      <c r="R129" s="26">
        <f>IF(B129="","",IF(G129&lt;&gt;"",G129,IFERROR(INDEX(Inventory!$H$5:$H$304,MATCH(D129,Inventory!$A$5:$A$304,0))*1,0)))</f>
        <v>0</v>
      </c>
      <c r="S129" s="26">
        <f>IF(B129="","",ROUND(IF(F129="",0,F129)*R129,2))</f>
        <v>0</v>
      </c>
      <c r="T129" s="26">
        <f>IF(B129="","",ROUND(S129+IF(H129="",0,H129)+IF(I129="",0,I129),2))</f>
        <v>0</v>
      </c>
      <c r="U129" s="37">
        <f>IF(B129="","",IF(J129="Received",IF(M129&lt;&gt;"",M129,IF(F129="",0,F129)),IF(J129="Part received",IF(M129="",0,M129),0)))</f>
        <v>0</v>
      </c>
      <c r="V129" s="37">
        <f>IF(B129="","",IF(J129="Ordered","",IF(J129="Draft","",ROUND(IF(F129="",0,F129)-U129,2))))</f>
        <v>0</v>
      </c>
      <c r="W129" s="25">
        <f>IF(B129="","",IF(L129="","",L129-B129))</f>
        <v>0</v>
      </c>
      <c r="X129" s="26">
        <f>IF(B129="","",IF(G129="","",IFERROR(ROUND(G129-INDEX(Inventory!$H$5:$H$304,MATCH(D129,Inventory!$A$5:$A$304,0)),2),"")))</f>
        <v>0</v>
      </c>
      <c r="Y129" s="39">
        <f>IF(B129="","",IF(D129="","Add - which product?",IF(J129="","Add - no status yet",IF(IF(J129="Ordered",IF(K129="",FALSE,K129&lt;TodayDate),FALSE),"Late - expected and not arrived",IF(V129&gt;0,"Check - delivery came up short",IF(IF(X129="",FALSE,X129&gt;0),"Check - cost has gone up",IF(O129&lt;&gt;"Yes","Due - invoice not paid","OK")))))))</f>
        <v>0</v>
      </c>
    </row>
    <row r="130" spans="1:25">
      <c r="A130" s="28">
        <f>IF(B130="","",PurchasePrefix&amp;TEXT(ROW()-4,"0000"))</f>
        <v>0</v>
      </c>
      <c r="E130" s="15">
        <f>IF(D130="","",IFERROR(INDEX(Inventory!$B$5:$B$304,MATCH(D130,Inventory!$A$5:$A$304,0)),"Not in Inventory"))</f>
        <v>0</v>
      </c>
      <c r="Q130" s="15">
        <f>IF(B130="","",TEXT(B130,"yyyy-mm"))</f>
        <v>0</v>
      </c>
      <c r="R130" s="26">
        <f>IF(B130="","",IF(G130&lt;&gt;"",G130,IFERROR(INDEX(Inventory!$H$5:$H$304,MATCH(D130,Inventory!$A$5:$A$304,0))*1,0)))</f>
        <v>0</v>
      </c>
      <c r="S130" s="26">
        <f>IF(B130="","",ROUND(IF(F130="",0,F130)*R130,2))</f>
        <v>0</v>
      </c>
      <c r="T130" s="26">
        <f>IF(B130="","",ROUND(S130+IF(H130="",0,H130)+IF(I130="",0,I130),2))</f>
        <v>0</v>
      </c>
      <c r="U130" s="37">
        <f>IF(B130="","",IF(J130="Received",IF(M130&lt;&gt;"",M130,IF(F130="",0,F130)),IF(J130="Part received",IF(M130="",0,M130),0)))</f>
        <v>0</v>
      </c>
      <c r="V130" s="37">
        <f>IF(B130="","",IF(J130="Ordered","",IF(J130="Draft","",ROUND(IF(F130="",0,F130)-U130,2))))</f>
        <v>0</v>
      </c>
      <c r="W130" s="25">
        <f>IF(B130="","",IF(L130="","",L130-B130))</f>
        <v>0</v>
      </c>
      <c r="X130" s="26">
        <f>IF(B130="","",IF(G130="","",IFERROR(ROUND(G130-INDEX(Inventory!$H$5:$H$304,MATCH(D130,Inventory!$A$5:$A$304,0)),2),"")))</f>
        <v>0</v>
      </c>
      <c r="Y130" s="39">
        <f>IF(B130="","",IF(D130="","Add - which product?",IF(J130="","Add - no status yet",IF(IF(J130="Ordered",IF(K130="",FALSE,K130&lt;TodayDate),FALSE),"Late - expected and not arrived",IF(V130&gt;0,"Check - delivery came up short",IF(IF(X130="",FALSE,X130&gt;0),"Check - cost has gone up",IF(O130&lt;&gt;"Yes","Due - invoice not paid","OK")))))))</f>
        <v>0</v>
      </c>
    </row>
    <row r="131" spans="1:25">
      <c r="A131" s="28">
        <f>IF(B131="","",PurchasePrefix&amp;TEXT(ROW()-4,"0000"))</f>
        <v>0</v>
      </c>
      <c r="E131" s="15">
        <f>IF(D131="","",IFERROR(INDEX(Inventory!$B$5:$B$304,MATCH(D131,Inventory!$A$5:$A$304,0)),"Not in Inventory"))</f>
        <v>0</v>
      </c>
      <c r="Q131" s="15">
        <f>IF(B131="","",TEXT(B131,"yyyy-mm"))</f>
        <v>0</v>
      </c>
      <c r="R131" s="26">
        <f>IF(B131="","",IF(G131&lt;&gt;"",G131,IFERROR(INDEX(Inventory!$H$5:$H$304,MATCH(D131,Inventory!$A$5:$A$304,0))*1,0)))</f>
        <v>0</v>
      </c>
      <c r="S131" s="26">
        <f>IF(B131="","",ROUND(IF(F131="",0,F131)*R131,2))</f>
        <v>0</v>
      </c>
      <c r="T131" s="26">
        <f>IF(B131="","",ROUND(S131+IF(H131="",0,H131)+IF(I131="",0,I131),2))</f>
        <v>0</v>
      </c>
      <c r="U131" s="37">
        <f>IF(B131="","",IF(J131="Received",IF(M131&lt;&gt;"",M131,IF(F131="",0,F131)),IF(J131="Part received",IF(M131="",0,M131),0)))</f>
        <v>0</v>
      </c>
      <c r="V131" s="37">
        <f>IF(B131="","",IF(J131="Ordered","",IF(J131="Draft","",ROUND(IF(F131="",0,F131)-U131,2))))</f>
        <v>0</v>
      </c>
      <c r="W131" s="25">
        <f>IF(B131="","",IF(L131="","",L131-B131))</f>
        <v>0</v>
      </c>
      <c r="X131" s="26">
        <f>IF(B131="","",IF(G131="","",IFERROR(ROUND(G131-INDEX(Inventory!$H$5:$H$304,MATCH(D131,Inventory!$A$5:$A$304,0)),2),"")))</f>
        <v>0</v>
      </c>
      <c r="Y131" s="39">
        <f>IF(B131="","",IF(D131="","Add - which product?",IF(J131="","Add - no status yet",IF(IF(J131="Ordered",IF(K131="",FALSE,K131&lt;TodayDate),FALSE),"Late - expected and not arrived",IF(V131&gt;0,"Check - delivery came up short",IF(IF(X131="",FALSE,X131&gt;0),"Check - cost has gone up",IF(O131&lt;&gt;"Yes","Due - invoice not paid","OK")))))))</f>
        <v>0</v>
      </c>
    </row>
    <row r="132" spans="1:25">
      <c r="A132" s="28">
        <f>IF(B132="","",PurchasePrefix&amp;TEXT(ROW()-4,"0000"))</f>
        <v>0</v>
      </c>
      <c r="E132" s="15">
        <f>IF(D132="","",IFERROR(INDEX(Inventory!$B$5:$B$304,MATCH(D132,Inventory!$A$5:$A$304,0)),"Not in Inventory"))</f>
        <v>0</v>
      </c>
      <c r="Q132" s="15">
        <f>IF(B132="","",TEXT(B132,"yyyy-mm"))</f>
        <v>0</v>
      </c>
      <c r="R132" s="26">
        <f>IF(B132="","",IF(G132&lt;&gt;"",G132,IFERROR(INDEX(Inventory!$H$5:$H$304,MATCH(D132,Inventory!$A$5:$A$304,0))*1,0)))</f>
        <v>0</v>
      </c>
      <c r="S132" s="26">
        <f>IF(B132="","",ROUND(IF(F132="",0,F132)*R132,2))</f>
        <v>0</v>
      </c>
      <c r="T132" s="26">
        <f>IF(B132="","",ROUND(S132+IF(H132="",0,H132)+IF(I132="",0,I132),2))</f>
        <v>0</v>
      </c>
      <c r="U132" s="37">
        <f>IF(B132="","",IF(J132="Received",IF(M132&lt;&gt;"",M132,IF(F132="",0,F132)),IF(J132="Part received",IF(M132="",0,M132),0)))</f>
        <v>0</v>
      </c>
      <c r="V132" s="37">
        <f>IF(B132="","",IF(J132="Ordered","",IF(J132="Draft","",ROUND(IF(F132="",0,F132)-U132,2))))</f>
        <v>0</v>
      </c>
      <c r="W132" s="25">
        <f>IF(B132="","",IF(L132="","",L132-B132))</f>
        <v>0</v>
      </c>
      <c r="X132" s="26">
        <f>IF(B132="","",IF(G132="","",IFERROR(ROUND(G132-INDEX(Inventory!$H$5:$H$304,MATCH(D132,Inventory!$A$5:$A$304,0)),2),"")))</f>
        <v>0</v>
      </c>
      <c r="Y132" s="39">
        <f>IF(B132="","",IF(D132="","Add - which product?",IF(J132="","Add - no status yet",IF(IF(J132="Ordered",IF(K132="",FALSE,K132&lt;TodayDate),FALSE),"Late - expected and not arrived",IF(V132&gt;0,"Check - delivery came up short",IF(IF(X132="",FALSE,X132&gt;0),"Check - cost has gone up",IF(O132&lt;&gt;"Yes","Due - invoice not paid","OK")))))))</f>
        <v>0</v>
      </c>
    </row>
    <row r="133" spans="1:25">
      <c r="A133" s="28">
        <f>IF(B133="","",PurchasePrefix&amp;TEXT(ROW()-4,"0000"))</f>
        <v>0</v>
      </c>
      <c r="E133" s="15">
        <f>IF(D133="","",IFERROR(INDEX(Inventory!$B$5:$B$304,MATCH(D133,Inventory!$A$5:$A$304,0)),"Not in Inventory"))</f>
        <v>0</v>
      </c>
      <c r="Q133" s="15">
        <f>IF(B133="","",TEXT(B133,"yyyy-mm"))</f>
        <v>0</v>
      </c>
      <c r="R133" s="26">
        <f>IF(B133="","",IF(G133&lt;&gt;"",G133,IFERROR(INDEX(Inventory!$H$5:$H$304,MATCH(D133,Inventory!$A$5:$A$304,0))*1,0)))</f>
        <v>0</v>
      </c>
      <c r="S133" s="26">
        <f>IF(B133="","",ROUND(IF(F133="",0,F133)*R133,2))</f>
        <v>0</v>
      </c>
      <c r="T133" s="26">
        <f>IF(B133="","",ROUND(S133+IF(H133="",0,H133)+IF(I133="",0,I133),2))</f>
        <v>0</v>
      </c>
      <c r="U133" s="37">
        <f>IF(B133="","",IF(J133="Received",IF(M133&lt;&gt;"",M133,IF(F133="",0,F133)),IF(J133="Part received",IF(M133="",0,M133),0)))</f>
        <v>0</v>
      </c>
      <c r="V133" s="37">
        <f>IF(B133="","",IF(J133="Ordered","",IF(J133="Draft","",ROUND(IF(F133="",0,F133)-U133,2))))</f>
        <v>0</v>
      </c>
      <c r="W133" s="25">
        <f>IF(B133="","",IF(L133="","",L133-B133))</f>
        <v>0</v>
      </c>
      <c r="X133" s="26">
        <f>IF(B133="","",IF(G133="","",IFERROR(ROUND(G133-INDEX(Inventory!$H$5:$H$304,MATCH(D133,Inventory!$A$5:$A$304,0)),2),"")))</f>
        <v>0</v>
      </c>
      <c r="Y133" s="39">
        <f>IF(B133="","",IF(D133="","Add - which product?",IF(J133="","Add - no status yet",IF(IF(J133="Ordered",IF(K133="",FALSE,K133&lt;TodayDate),FALSE),"Late - expected and not arrived",IF(V133&gt;0,"Check - delivery came up short",IF(IF(X133="",FALSE,X133&gt;0),"Check - cost has gone up",IF(O133&lt;&gt;"Yes","Due - invoice not paid","OK")))))))</f>
        <v>0</v>
      </c>
    </row>
    <row r="134" spans="1:25">
      <c r="A134" s="28">
        <f>IF(B134="","",PurchasePrefix&amp;TEXT(ROW()-4,"0000"))</f>
        <v>0</v>
      </c>
      <c r="E134" s="15">
        <f>IF(D134="","",IFERROR(INDEX(Inventory!$B$5:$B$304,MATCH(D134,Inventory!$A$5:$A$304,0)),"Not in Inventory"))</f>
        <v>0</v>
      </c>
      <c r="Q134" s="15">
        <f>IF(B134="","",TEXT(B134,"yyyy-mm"))</f>
        <v>0</v>
      </c>
      <c r="R134" s="26">
        <f>IF(B134="","",IF(G134&lt;&gt;"",G134,IFERROR(INDEX(Inventory!$H$5:$H$304,MATCH(D134,Inventory!$A$5:$A$304,0))*1,0)))</f>
        <v>0</v>
      </c>
      <c r="S134" s="26">
        <f>IF(B134="","",ROUND(IF(F134="",0,F134)*R134,2))</f>
        <v>0</v>
      </c>
      <c r="T134" s="26">
        <f>IF(B134="","",ROUND(S134+IF(H134="",0,H134)+IF(I134="",0,I134),2))</f>
        <v>0</v>
      </c>
      <c r="U134" s="37">
        <f>IF(B134="","",IF(J134="Received",IF(M134&lt;&gt;"",M134,IF(F134="",0,F134)),IF(J134="Part received",IF(M134="",0,M134),0)))</f>
        <v>0</v>
      </c>
      <c r="V134" s="37">
        <f>IF(B134="","",IF(J134="Ordered","",IF(J134="Draft","",ROUND(IF(F134="",0,F134)-U134,2))))</f>
        <v>0</v>
      </c>
      <c r="W134" s="25">
        <f>IF(B134="","",IF(L134="","",L134-B134))</f>
        <v>0</v>
      </c>
      <c r="X134" s="26">
        <f>IF(B134="","",IF(G134="","",IFERROR(ROUND(G134-INDEX(Inventory!$H$5:$H$304,MATCH(D134,Inventory!$A$5:$A$304,0)),2),"")))</f>
        <v>0</v>
      </c>
      <c r="Y134" s="39">
        <f>IF(B134="","",IF(D134="","Add - which product?",IF(J134="","Add - no status yet",IF(IF(J134="Ordered",IF(K134="",FALSE,K134&lt;TodayDate),FALSE),"Late - expected and not arrived",IF(V134&gt;0,"Check - delivery came up short",IF(IF(X134="",FALSE,X134&gt;0),"Check - cost has gone up",IF(O134&lt;&gt;"Yes","Due - invoice not paid","OK")))))))</f>
        <v>0</v>
      </c>
    </row>
    <row r="135" spans="1:25">
      <c r="A135" s="28">
        <f>IF(B135="","",PurchasePrefix&amp;TEXT(ROW()-4,"0000"))</f>
        <v>0</v>
      </c>
      <c r="E135" s="15">
        <f>IF(D135="","",IFERROR(INDEX(Inventory!$B$5:$B$304,MATCH(D135,Inventory!$A$5:$A$304,0)),"Not in Inventory"))</f>
        <v>0</v>
      </c>
      <c r="Q135" s="15">
        <f>IF(B135="","",TEXT(B135,"yyyy-mm"))</f>
        <v>0</v>
      </c>
      <c r="R135" s="26">
        <f>IF(B135="","",IF(G135&lt;&gt;"",G135,IFERROR(INDEX(Inventory!$H$5:$H$304,MATCH(D135,Inventory!$A$5:$A$304,0))*1,0)))</f>
        <v>0</v>
      </c>
      <c r="S135" s="26">
        <f>IF(B135="","",ROUND(IF(F135="",0,F135)*R135,2))</f>
        <v>0</v>
      </c>
      <c r="T135" s="26">
        <f>IF(B135="","",ROUND(S135+IF(H135="",0,H135)+IF(I135="",0,I135),2))</f>
        <v>0</v>
      </c>
      <c r="U135" s="37">
        <f>IF(B135="","",IF(J135="Received",IF(M135&lt;&gt;"",M135,IF(F135="",0,F135)),IF(J135="Part received",IF(M135="",0,M135),0)))</f>
        <v>0</v>
      </c>
      <c r="V135" s="37">
        <f>IF(B135="","",IF(J135="Ordered","",IF(J135="Draft","",ROUND(IF(F135="",0,F135)-U135,2))))</f>
        <v>0</v>
      </c>
      <c r="W135" s="25">
        <f>IF(B135="","",IF(L135="","",L135-B135))</f>
        <v>0</v>
      </c>
      <c r="X135" s="26">
        <f>IF(B135="","",IF(G135="","",IFERROR(ROUND(G135-INDEX(Inventory!$H$5:$H$304,MATCH(D135,Inventory!$A$5:$A$304,0)),2),"")))</f>
        <v>0</v>
      </c>
      <c r="Y135" s="39">
        <f>IF(B135="","",IF(D135="","Add - which product?",IF(J135="","Add - no status yet",IF(IF(J135="Ordered",IF(K135="",FALSE,K135&lt;TodayDate),FALSE),"Late - expected and not arrived",IF(V135&gt;0,"Check - delivery came up short",IF(IF(X135="",FALSE,X135&gt;0),"Check - cost has gone up",IF(O135&lt;&gt;"Yes","Due - invoice not paid","OK")))))))</f>
        <v>0</v>
      </c>
    </row>
    <row r="136" spans="1:25">
      <c r="A136" s="28">
        <f>IF(B136="","",PurchasePrefix&amp;TEXT(ROW()-4,"0000"))</f>
        <v>0</v>
      </c>
      <c r="E136" s="15">
        <f>IF(D136="","",IFERROR(INDEX(Inventory!$B$5:$B$304,MATCH(D136,Inventory!$A$5:$A$304,0)),"Not in Inventory"))</f>
        <v>0</v>
      </c>
      <c r="Q136" s="15">
        <f>IF(B136="","",TEXT(B136,"yyyy-mm"))</f>
        <v>0</v>
      </c>
      <c r="R136" s="26">
        <f>IF(B136="","",IF(G136&lt;&gt;"",G136,IFERROR(INDEX(Inventory!$H$5:$H$304,MATCH(D136,Inventory!$A$5:$A$304,0))*1,0)))</f>
        <v>0</v>
      </c>
      <c r="S136" s="26">
        <f>IF(B136="","",ROUND(IF(F136="",0,F136)*R136,2))</f>
        <v>0</v>
      </c>
      <c r="T136" s="26">
        <f>IF(B136="","",ROUND(S136+IF(H136="",0,H136)+IF(I136="",0,I136),2))</f>
        <v>0</v>
      </c>
      <c r="U136" s="37">
        <f>IF(B136="","",IF(J136="Received",IF(M136&lt;&gt;"",M136,IF(F136="",0,F136)),IF(J136="Part received",IF(M136="",0,M136),0)))</f>
        <v>0</v>
      </c>
      <c r="V136" s="37">
        <f>IF(B136="","",IF(J136="Ordered","",IF(J136="Draft","",ROUND(IF(F136="",0,F136)-U136,2))))</f>
        <v>0</v>
      </c>
      <c r="W136" s="25">
        <f>IF(B136="","",IF(L136="","",L136-B136))</f>
        <v>0</v>
      </c>
      <c r="X136" s="26">
        <f>IF(B136="","",IF(G136="","",IFERROR(ROUND(G136-INDEX(Inventory!$H$5:$H$304,MATCH(D136,Inventory!$A$5:$A$304,0)),2),"")))</f>
        <v>0</v>
      </c>
      <c r="Y136" s="39">
        <f>IF(B136="","",IF(D136="","Add - which product?",IF(J136="","Add - no status yet",IF(IF(J136="Ordered",IF(K136="",FALSE,K136&lt;TodayDate),FALSE),"Late - expected and not arrived",IF(V136&gt;0,"Check - delivery came up short",IF(IF(X136="",FALSE,X136&gt;0),"Check - cost has gone up",IF(O136&lt;&gt;"Yes","Due - invoice not paid","OK")))))))</f>
        <v>0</v>
      </c>
    </row>
    <row r="137" spans="1:25">
      <c r="A137" s="28">
        <f>IF(B137="","",PurchasePrefix&amp;TEXT(ROW()-4,"0000"))</f>
        <v>0</v>
      </c>
      <c r="E137" s="15">
        <f>IF(D137="","",IFERROR(INDEX(Inventory!$B$5:$B$304,MATCH(D137,Inventory!$A$5:$A$304,0)),"Not in Inventory"))</f>
        <v>0</v>
      </c>
      <c r="Q137" s="15">
        <f>IF(B137="","",TEXT(B137,"yyyy-mm"))</f>
        <v>0</v>
      </c>
      <c r="R137" s="26">
        <f>IF(B137="","",IF(G137&lt;&gt;"",G137,IFERROR(INDEX(Inventory!$H$5:$H$304,MATCH(D137,Inventory!$A$5:$A$304,0))*1,0)))</f>
        <v>0</v>
      </c>
      <c r="S137" s="26">
        <f>IF(B137="","",ROUND(IF(F137="",0,F137)*R137,2))</f>
        <v>0</v>
      </c>
      <c r="T137" s="26">
        <f>IF(B137="","",ROUND(S137+IF(H137="",0,H137)+IF(I137="",0,I137),2))</f>
        <v>0</v>
      </c>
      <c r="U137" s="37">
        <f>IF(B137="","",IF(J137="Received",IF(M137&lt;&gt;"",M137,IF(F137="",0,F137)),IF(J137="Part received",IF(M137="",0,M137),0)))</f>
        <v>0</v>
      </c>
      <c r="V137" s="37">
        <f>IF(B137="","",IF(J137="Ordered","",IF(J137="Draft","",ROUND(IF(F137="",0,F137)-U137,2))))</f>
        <v>0</v>
      </c>
      <c r="W137" s="25">
        <f>IF(B137="","",IF(L137="","",L137-B137))</f>
        <v>0</v>
      </c>
      <c r="X137" s="26">
        <f>IF(B137="","",IF(G137="","",IFERROR(ROUND(G137-INDEX(Inventory!$H$5:$H$304,MATCH(D137,Inventory!$A$5:$A$304,0)),2),"")))</f>
        <v>0</v>
      </c>
      <c r="Y137" s="39">
        <f>IF(B137="","",IF(D137="","Add - which product?",IF(J137="","Add - no status yet",IF(IF(J137="Ordered",IF(K137="",FALSE,K137&lt;TodayDate),FALSE),"Late - expected and not arrived",IF(V137&gt;0,"Check - delivery came up short",IF(IF(X137="",FALSE,X137&gt;0),"Check - cost has gone up",IF(O137&lt;&gt;"Yes","Due - invoice not paid","OK")))))))</f>
        <v>0</v>
      </c>
    </row>
    <row r="138" spans="1:25">
      <c r="A138" s="28">
        <f>IF(B138="","",PurchasePrefix&amp;TEXT(ROW()-4,"0000"))</f>
        <v>0</v>
      </c>
      <c r="E138" s="15">
        <f>IF(D138="","",IFERROR(INDEX(Inventory!$B$5:$B$304,MATCH(D138,Inventory!$A$5:$A$304,0)),"Not in Inventory"))</f>
        <v>0</v>
      </c>
      <c r="Q138" s="15">
        <f>IF(B138="","",TEXT(B138,"yyyy-mm"))</f>
        <v>0</v>
      </c>
      <c r="R138" s="26">
        <f>IF(B138="","",IF(G138&lt;&gt;"",G138,IFERROR(INDEX(Inventory!$H$5:$H$304,MATCH(D138,Inventory!$A$5:$A$304,0))*1,0)))</f>
        <v>0</v>
      </c>
      <c r="S138" s="26">
        <f>IF(B138="","",ROUND(IF(F138="",0,F138)*R138,2))</f>
        <v>0</v>
      </c>
      <c r="T138" s="26">
        <f>IF(B138="","",ROUND(S138+IF(H138="",0,H138)+IF(I138="",0,I138),2))</f>
        <v>0</v>
      </c>
      <c r="U138" s="37">
        <f>IF(B138="","",IF(J138="Received",IF(M138&lt;&gt;"",M138,IF(F138="",0,F138)),IF(J138="Part received",IF(M138="",0,M138),0)))</f>
        <v>0</v>
      </c>
      <c r="V138" s="37">
        <f>IF(B138="","",IF(J138="Ordered","",IF(J138="Draft","",ROUND(IF(F138="",0,F138)-U138,2))))</f>
        <v>0</v>
      </c>
      <c r="W138" s="25">
        <f>IF(B138="","",IF(L138="","",L138-B138))</f>
        <v>0</v>
      </c>
      <c r="X138" s="26">
        <f>IF(B138="","",IF(G138="","",IFERROR(ROUND(G138-INDEX(Inventory!$H$5:$H$304,MATCH(D138,Inventory!$A$5:$A$304,0)),2),"")))</f>
        <v>0</v>
      </c>
      <c r="Y138" s="39">
        <f>IF(B138="","",IF(D138="","Add - which product?",IF(J138="","Add - no status yet",IF(IF(J138="Ordered",IF(K138="",FALSE,K138&lt;TodayDate),FALSE),"Late - expected and not arrived",IF(V138&gt;0,"Check - delivery came up short",IF(IF(X138="",FALSE,X138&gt;0),"Check - cost has gone up",IF(O138&lt;&gt;"Yes","Due - invoice not paid","OK")))))))</f>
        <v>0</v>
      </c>
    </row>
    <row r="139" spans="1:25">
      <c r="A139" s="28">
        <f>IF(B139="","",PurchasePrefix&amp;TEXT(ROW()-4,"0000"))</f>
        <v>0</v>
      </c>
      <c r="E139" s="15">
        <f>IF(D139="","",IFERROR(INDEX(Inventory!$B$5:$B$304,MATCH(D139,Inventory!$A$5:$A$304,0)),"Not in Inventory"))</f>
        <v>0</v>
      </c>
      <c r="Q139" s="15">
        <f>IF(B139="","",TEXT(B139,"yyyy-mm"))</f>
        <v>0</v>
      </c>
      <c r="R139" s="26">
        <f>IF(B139="","",IF(G139&lt;&gt;"",G139,IFERROR(INDEX(Inventory!$H$5:$H$304,MATCH(D139,Inventory!$A$5:$A$304,0))*1,0)))</f>
        <v>0</v>
      </c>
      <c r="S139" s="26">
        <f>IF(B139="","",ROUND(IF(F139="",0,F139)*R139,2))</f>
        <v>0</v>
      </c>
      <c r="T139" s="26">
        <f>IF(B139="","",ROUND(S139+IF(H139="",0,H139)+IF(I139="",0,I139),2))</f>
        <v>0</v>
      </c>
      <c r="U139" s="37">
        <f>IF(B139="","",IF(J139="Received",IF(M139&lt;&gt;"",M139,IF(F139="",0,F139)),IF(J139="Part received",IF(M139="",0,M139),0)))</f>
        <v>0</v>
      </c>
      <c r="V139" s="37">
        <f>IF(B139="","",IF(J139="Ordered","",IF(J139="Draft","",ROUND(IF(F139="",0,F139)-U139,2))))</f>
        <v>0</v>
      </c>
      <c r="W139" s="25">
        <f>IF(B139="","",IF(L139="","",L139-B139))</f>
        <v>0</v>
      </c>
      <c r="X139" s="26">
        <f>IF(B139="","",IF(G139="","",IFERROR(ROUND(G139-INDEX(Inventory!$H$5:$H$304,MATCH(D139,Inventory!$A$5:$A$304,0)),2),"")))</f>
        <v>0</v>
      </c>
      <c r="Y139" s="39">
        <f>IF(B139="","",IF(D139="","Add - which product?",IF(J139="","Add - no status yet",IF(IF(J139="Ordered",IF(K139="",FALSE,K139&lt;TodayDate),FALSE),"Late - expected and not arrived",IF(V139&gt;0,"Check - delivery came up short",IF(IF(X139="",FALSE,X139&gt;0),"Check - cost has gone up",IF(O139&lt;&gt;"Yes","Due - invoice not paid","OK")))))))</f>
        <v>0</v>
      </c>
    </row>
    <row r="140" spans="1:25">
      <c r="A140" s="28">
        <f>IF(B140="","",PurchasePrefix&amp;TEXT(ROW()-4,"0000"))</f>
        <v>0</v>
      </c>
      <c r="E140" s="15">
        <f>IF(D140="","",IFERROR(INDEX(Inventory!$B$5:$B$304,MATCH(D140,Inventory!$A$5:$A$304,0)),"Not in Inventory"))</f>
        <v>0</v>
      </c>
      <c r="Q140" s="15">
        <f>IF(B140="","",TEXT(B140,"yyyy-mm"))</f>
        <v>0</v>
      </c>
      <c r="R140" s="26">
        <f>IF(B140="","",IF(G140&lt;&gt;"",G140,IFERROR(INDEX(Inventory!$H$5:$H$304,MATCH(D140,Inventory!$A$5:$A$304,0))*1,0)))</f>
        <v>0</v>
      </c>
      <c r="S140" s="26">
        <f>IF(B140="","",ROUND(IF(F140="",0,F140)*R140,2))</f>
        <v>0</v>
      </c>
      <c r="T140" s="26">
        <f>IF(B140="","",ROUND(S140+IF(H140="",0,H140)+IF(I140="",0,I140),2))</f>
        <v>0</v>
      </c>
      <c r="U140" s="37">
        <f>IF(B140="","",IF(J140="Received",IF(M140&lt;&gt;"",M140,IF(F140="",0,F140)),IF(J140="Part received",IF(M140="",0,M140),0)))</f>
        <v>0</v>
      </c>
      <c r="V140" s="37">
        <f>IF(B140="","",IF(J140="Ordered","",IF(J140="Draft","",ROUND(IF(F140="",0,F140)-U140,2))))</f>
        <v>0</v>
      </c>
      <c r="W140" s="25">
        <f>IF(B140="","",IF(L140="","",L140-B140))</f>
        <v>0</v>
      </c>
      <c r="X140" s="26">
        <f>IF(B140="","",IF(G140="","",IFERROR(ROUND(G140-INDEX(Inventory!$H$5:$H$304,MATCH(D140,Inventory!$A$5:$A$304,0)),2),"")))</f>
        <v>0</v>
      </c>
      <c r="Y140" s="39">
        <f>IF(B140="","",IF(D140="","Add - which product?",IF(J140="","Add - no status yet",IF(IF(J140="Ordered",IF(K140="",FALSE,K140&lt;TodayDate),FALSE),"Late - expected and not arrived",IF(V140&gt;0,"Check - delivery came up short",IF(IF(X140="",FALSE,X140&gt;0),"Check - cost has gone up",IF(O140&lt;&gt;"Yes","Due - invoice not paid","OK")))))))</f>
        <v>0</v>
      </c>
    </row>
    <row r="141" spans="1:25">
      <c r="A141" s="28">
        <f>IF(B141="","",PurchasePrefix&amp;TEXT(ROW()-4,"0000"))</f>
        <v>0</v>
      </c>
      <c r="E141" s="15">
        <f>IF(D141="","",IFERROR(INDEX(Inventory!$B$5:$B$304,MATCH(D141,Inventory!$A$5:$A$304,0)),"Not in Inventory"))</f>
        <v>0</v>
      </c>
      <c r="Q141" s="15">
        <f>IF(B141="","",TEXT(B141,"yyyy-mm"))</f>
        <v>0</v>
      </c>
      <c r="R141" s="26">
        <f>IF(B141="","",IF(G141&lt;&gt;"",G141,IFERROR(INDEX(Inventory!$H$5:$H$304,MATCH(D141,Inventory!$A$5:$A$304,0))*1,0)))</f>
        <v>0</v>
      </c>
      <c r="S141" s="26">
        <f>IF(B141="","",ROUND(IF(F141="",0,F141)*R141,2))</f>
        <v>0</v>
      </c>
      <c r="T141" s="26">
        <f>IF(B141="","",ROUND(S141+IF(H141="",0,H141)+IF(I141="",0,I141),2))</f>
        <v>0</v>
      </c>
      <c r="U141" s="37">
        <f>IF(B141="","",IF(J141="Received",IF(M141&lt;&gt;"",M141,IF(F141="",0,F141)),IF(J141="Part received",IF(M141="",0,M141),0)))</f>
        <v>0</v>
      </c>
      <c r="V141" s="37">
        <f>IF(B141="","",IF(J141="Ordered","",IF(J141="Draft","",ROUND(IF(F141="",0,F141)-U141,2))))</f>
        <v>0</v>
      </c>
      <c r="W141" s="25">
        <f>IF(B141="","",IF(L141="","",L141-B141))</f>
        <v>0</v>
      </c>
      <c r="X141" s="26">
        <f>IF(B141="","",IF(G141="","",IFERROR(ROUND(G141-INDEX(Inventory!$H$5:$H$304,MATCH(D141,Inventory!$A$5:$A$304,0)),2),"")))</f>
        <v>0</v>
      </c>
      <c r="Y141" s="39">
        <f>IF(B141="","",IF(D141="","Add - which product?",IF(J141="","Add - no status yet",IF(IF(J141="Ordered",IF(K141="",FALSE,K141&lt;TodayDate),FALSE),"Late - expected and not arrived",IF(V141&gt;0,"Check - delivery came up short",IF(IF(X141="",FALSE,X141&gt;0),"Check - cost has gone up",IF(O141&lt;&gt;"Yes","Due - invoice not paid","OK")))))))</f>
        <v>0</v>
      </c>
    </row>
    <row r="142" spans="1:25">
      <c r="A142" s="28">
        <f>IF(B142="","",PurchasePrefix&amp;TEXT(ROW()-4,"0000"))</f>
        <v>0</v>
      </c>
      <c r="E142" s="15">
        <f>IF(D142="","",IFERROR(INDEX(Inventory!$B$5:$B$304,MATCH(D142,Inventory!$A$5:$A$304,0)),"Not in Inventory"))</f>
        <v>0</v>
      </c>
      <c r="Q142" s="15">
        <f>IF(B142="","",TEXT(B142,"yyyy-mm"))</f>
        <v>0</v>
      </c>
      <c r="R142" s="26">
        <f>IF(B142="","",IF(G142&lt;&gt;"",G142,IFERROR(INDEX(Inventory!$H$5:$H$304,MATCH(D142,Inventory!$A$5:$A$304,0))*1,0)))</f>
        <v>0</v>
      </c>
      <c r="S142" s="26">
        <f>IF(B142="","",ROUND(IF(F142="",0,F142)*R142,2))</f>
        <v>0</v>
      </c>
      <c r="T142" s="26">
        <f>IF(B142="","",ROUND(S142+IF(H142="",0,H142)+IF(I142="",0,I142),2))</f>
        <v>0</v>
      </c>
      <c r="U142" s="37">
        <f>IF(B142="","",IF(J142="Received",IF(M142&lt;&gt;"",M142,IF(F142="",0,F142)),IF(J142="Part received",IF(M142="",0,M142),0)))</f>
        <v>0</v>
      </c>
      <c r="V142" s="37">
        <f>IF(B142="","",IF(J142="Ordered","",IF(J142="Draft","",ROUND(IF(F142="",0,F142)-U142,2))))</f>
        <v>0</v>
      </c>
      <c r="W142" s="25">
        <f>IF(B142="","",IF(L142="","",L142-B142))</f>
        <v>0</v>
      </c>
      <c r="X142" s="26">
        <f>IF(B142="","",IF(G142="","",IFERROR(ROUND(G142-INDEX(Inventory!$H$5:$H$304,MATCH(D142,Inventory!$A$5:$A$304,0)),2),"")))</f>
        <v>0</v>
      </c>
      <c r="Y142" s="39">
        <f>IF(B142="","",IF(D142="","Add - which product?",IF(J142="","Add - no status yet",IF(IF(J142="Ordered",IF(K142="",FALSE,K142&lt;TodayDate),FALSE),"Late - expected and not arrived",IF(V142&gt;0,"Check - delivery came up short",IF(IF(X142="",FALSE,X142&gt;0),"Check - cost has gone up",IF(O142&lt;&gt;"Yes","Due - invoice not paid","OK")))))))</f>
        <v>0</v>
      </c>
    </row>
    <row r="143" spans="1:25">
      <c r="A143" s="28">
        <f>IF(B143="","",PurchasePrefix&amp;TEXT(ROW()-4,"0000"))</f>
        <v>0</v>
      </c>
      <c r="E143" s="15">
        <f>IF(D143="","",IFERROR(INDEX(Inventory!$B$5:$B$304,MATCH(D143,Inventory!$A$5:$A$304,0)),"Not in Inventory"))</f>
        <v>0</v>
      </c>
      <c r="Q143" s="15">
        <f>IF(B143="","",TEXT(B143,"yyyy-mm"))</f>
        <v>0</v>
      </c>
      <c r="R143" s="26">
        <f>IF(B143="","",IF(G143&lt;&gt;"",G143,IFERROR(INDEX(Inventory!$H$5:$H$304,MATCH(D143,Inventory!$A$5:$A$304,0))*1,0)))</f>
        <v>0</v>
      </c>
      <c r="S143" s="26">
        <f>IF(B143="","",ROUND(IF(F143="",0,F143)*R143,2))</f>
        <v>0</v>
      </c>
      <c r="T143" s="26">
        <f>IF(B143="","",ROUND(S143+IF(H143="",0,H143)+IF(I143="",0,I143),2))</f>
        <v>0</v>
      </c>
      <c r="U143" s="37">
        <f>IF(B143="","",IF(J143="Received",IF(M143&lt;&gt;"",M143,IF(F143="",0,F143)),IF(J143="Part received",IF(M143="",0,M143),0)))</f>
        <v>0</v>
      </c>
      <c r="V143" s="37">
        <f>IF(B143="","",IF(J143="Ordered","",IF(J143="Draft","",ROUND(IF(F143="",0,F143)-U143,2))))</f>
        <v>0</v>
      </c>
      <c r="W143" s="25">
        <f>IF(B143="","",IF(L143="","",L143-B143))</f>
        <v>0</v>
      </c>
      <c r="X143" s="26">
        <f>IF(B143="","",IF(G143="","",IFERROR(ROUND(G143-INDEX(Inventory!$H$5:$H$304,MATCH(D143,Inventory!$A$5:$A$304,0)),2),"")))</f>
        <v>0</v>
      </c>
      <c r="Y143" s="39">
        <f>IF(B143="","",IF(D143="","Add - which product?",IF(J143="","Add - no status yet",IF(IF(J143="Ordered",IF(K143="",FALSE,K143&lt;TodayDate),FALSE),"Late - expected and not arrived",IF(V143&gt;0,"Check - delivery came up short",IF(IF(X143="",FALSE,X143&gt;0),"Check - cost has gone up",IF(O143&lt;&gt;"Yes","Due - invoice not paid","OK")))))))</f>
        <v>0</v>
      </c>
    </row>
    <row r="144" spans="1:25">
      <c r="A144" s="28">
        <f>IF(B144="","",PurchasePrefix&amp;TEXT(ROW()-4,"0000"))</f>
        <v>0</v>
      </c>
      <c r="E144" s="15">
        <f>IF(D144="","",IFERROR(INDEX(Inventory!$B$5:$B$304,MATCH(D144,Inventory!$A$5:$A$304,0)),"Not in Inventory"))</f>
        <v>0</v>
      </c>
      <c r="Q144" s="15">
        <f>IF(B144="","",TEXT(B144,"yyyy-mm"))</f>
        <v>0</v>
      </c>
      <c r="R144" s="26">
        <f>IF(B144="","",IF(G144&lt;&gt;"",G144,IFERROR(INDEX(Inventory!$H$5:$H$304,MATCH(D144,Inventory!$A$5:$A$304,0))*1,0)))</f>
        <v>0</v>
      </c>
      <c r="S144" s="26">
        <f>IF(B144="","",ROUND(IF(F144="",0,F144)*R144,2))</f>
        <v>0</v>
      </c>
      <c r="T144" s="26">
        <f>IF(B144="","",ROUND(S144+IF(H144="",0,H144)+IF(I144="",0,I144),2))</f>
        <v>0</v>
      </c>
      <c r="U144" s="37">
        <f>IF(B144="","",IF(J144="Received",IF(M144&lt;&gt;"",M144,IF(F144="",0,F144)),IF(J144="Part received",IF(M144="",0,M144),0)))</f>
        <v>0</v>
      </c>
      <c r="V144" s="37">
        <f>IF(B144="","",IF(J144="Ordered","",IF(J144="Draft","",ROUND(IF(F144="",0,F144)-U144,2))))</f>
        <v>0</v>
      </c>
      <c r="W144" s="25">
        <f>IF(B144="","",IF(L144="","",L144-B144))</f>
        <v>0</v>
      </c>
      <c r="X144" s="26">
        <f>IF(B144="","",IF(G144="","",IFERROR(ROUND(G144-INDEX(Inventory!$H$5:$H$304,MATCH(D144,Inventory!$A$5:$A$304,0)),2),"")))</f>
        <v>0</v>
      </c>
      <c r="Y144" s="39">
        <f>IF(B144="","",IF(D144="","Add - which product?",IF(J144="","Add - no status yet",IF(IF(J144="Ordered",IF(K144="",FALSE,K144&lt;TodayDate),FALSE),"Late - expected and not arrived",IF(V144&gt;0,"Check - delivery came up short",IF(IF(X144="",FALSE,X144&gt;0),"Check - cost has gone up",IF(O144&lt;&gt;"Yes","Due - invoice not paid","OK")))))))</f>
        <v>0</v>
      </c>
    </row>
    <row r="145" spans="1:25">
      <c r="A145" s="28">
        <f>IF(B145="","",PurchasePrefix&amp;TEXT(ROW()-4,"0000"))</f>
        <v>0</v>
      </c>
      <c r="E145" s="15">
        <f>IF(D145="","",IFERROR(INDEX(Inventory!$B$5:$B$304,MATCH(D145,Inventory!$A$5:$A$304,0)),"Not in Inventory"))</f>
        <v>0</v>
      </c>
      <c r="Q145" s="15">
        <f>IF(B145="","",TEXT(B145,"yyyy-mm"))</f>
        <v>0</v>
      </c>
      <c r="R145" s="26">
        <f>IF(B145="","",IF(G145&lt;&gt;"",G145,IFERROR(INDEX(Inventory!$H$5:$H$304,MATCH(D145,Inventory!$A$5:$A$304,0))*1,0)))</f>
        <v>0</v>
      </c>
      <c r="S145" s="26">
        <f>IF(B145="","",ROUND(IF(F145="",0,F145)*R145,2))</f>
        <v>0</v>
      </c>
      <c r="T145" s="26">
        <f>IF(B145="","",ROUND(S145+IF(H145="",0,H145)+IF(I145="",0,I145),2))</f>
        <v>0</v>
      </c>
      <c r="U145" s="37">
        <f>IF(B145="","",IF(J145="Received",IF(M145&lt;&gt;"",M145,IF(F145="",0,F145)),IF(J145="Part received",IF(M145="",0,M145),0)))</f>
        <v>0</v>
      </c>
      <c r="V145" s="37">
        <f>IF(B145="","",IF(J145="Ordered","",IF(J145="Draft","",ROUND(IF(F145="",0,F145)-U145,2))))</f>
        <v>0</v>
      </c>
      <c r="W145" s="25">
        <f>IF(B145="","",IF(L145="","",L145-B145))</f>
        <v>0</v>
      </c>
      <c r="X145" s="26">
        <f>IF(B145="","",IF(G145="","",IFERROR(ROUND(G145-INDEX(Inventory!$H$5:$H$304,MATCH(D145,Inventory!$A$5:$A$304,0)),2),"")))</f>
        <v>0</v>
      </c>
      <c r="Y145" s="39">
        <f>IF(B145="","",IF(D145="","Add - which product?",IF(J145="","Add - no status yet",IF(IF(J145="Ordered",IF(K145="",FALSE,K145&lt;TodayDate),FALSE),"Late - expected and not arrived",IF(V145&gt;0,"Check - delivery came up short",IF(IF(X145="",FALSE,X145&gt;0),"Check - cost has gone up",IF(O145&lt;&gt;"Yes","Due - invoice not paid","OK")))))))</f>
        <v>0</v>
      </c>
    </row>
    <row r="146" spans="1:25">
      <c r="A146" s="28">
        <f>IF(B146="","",PurchasePrefix&amp;TEXT(ROW()-4,"0000"))</f>
        <v>0</v>
      </c>
      <c r="E146" s="15">
        <f>IF(D146="","",IFERROR(INDEX(Inventory!$B$5:$B$304,MATCH(D146,Inventory!$A$5:$A$304,0)),"Not in Inventory"))</f>
        <v>0</v>
      </c>
      <c r="Q146" s="15">
        <f>IF(B146="","",TEXT(B146,"yyyy-mm"))</f>
        <v>0</v>
      </c>
      <c r="R146" s="26">
        <f>IF(B146="","",IF(G146&lt;&gt;"",G146,IFERROR(INDEX(Inventory!$H$5:$H$304,MATCH(D146,Inventory!$A$5:$A$304,0))*1,0)))</f>
        <v>0</v>
      </c>
      <c r="S146" s="26">
        <f>IF(B146="","",ROUND(IF(F146="",0,F146)*R146,2))</f>
        <v>0</v>
      </c>
      <c r="T146" s="26">
        <f>IF(B146="","",ROUND(S146+IF(H146="",0,H146)+IF(I146="",0,I146),2))</f>
        <v>0</v>
      </c>
      <c r="U146" s="37">
        <f>IF(B146="","",IF(J146="Received",IF(M146&lt;&gt;"",M146,IF(F146="",0,F146)),IF(J146="Part received",IF(M146="",0,M146),0)))</f>
        <v>0</v>
      </c>
      <c r="V146" s="37">
        <f>IF(B146="","",IF(J146="Ordered","",IF(J146="Draft","",ROUND(IF(F146="",0,F146)-U146,2))))</f>
        <v>0</v>
      </c>
      <c r="W146" s="25">
        <f>IF(B146="","",IF(L146="","",L146-B146))</f>
        <v>0</v>
      </c>
      <c r="X146" s="26">
        <f>IF(B146="","",IF(G146="","",IFERROR(ROUND(G146-INDEX(Inventory!$H$5:$H$304,MATCH(D146,Inventory!$A$5:$A$304,0)),2),"")))</f>
        <v>0</v>
      </c>
      <c r="Y146" s="39">
        <f>IF(B146="","",IF(D146="","Add - which product?",IF(J146="","Add - no status yet",IF(IF(J146="Ordered",IF(K146="",FALSE,K146&lt;TodayDate),FALSE),"Late - expected and not arrived",IF(V146&gt;0,"Check - delivery came up short",IF(IF(X146="",FALSE,X146&gt;0),"Check - cost has gone up",IF(O146&lt;&gt;"Yes","Due - invoice not paid","OK")))))))</f>
        <v>0</v>
      </c>
    </row>
    <row r="147" spans="1:25">
      <c r="A147" s="28">
        <f>IF(B147="","",PurchasePrefix&amp;TEXT(ROW()-4,"0000"))</f>
        <v>0</v>
      </c>
      <c r="E147" s="15">
        <f>IF(D147="","",IFERROR(INDEX(Inventory!$B$5:$B$304,MATCH(D147,Inventory!$A$5:$A$304,0)),"Not in Inventory"))</f>
        <v>0</v>
      </c>
      <c r="Q147" s="15">
        <f>IF(B147="","",TEXT(B147,"yyyy-mm"))</f>
        <v>0</v>
      </c>
      <c r="R147" s="26">
        <f>IF(B147="","",IF(G147&lt;&gt;"",G147,IFERROR(INDEX(Inventory!$H$5:$H$304,MATCH(D147,Inventory!$A$5:$A$304,0))*1,0)))</f>
        <v>0</v>
      </c>
      <c r="S147" s="26">
        <f>IF(B147="","",ROUND(IF(F147="",0,F147)*R147,2))</f>
        <v>0</v>
      </c>
      <c r="T147" s="26">
        <f>IF(B147="","",ROUND(S147+IF(H147="",0,H147)+IF(I147="",0,I147),2))</f>
        <v>0</v>
      </c>
      <c r="U147" s="37">
        <f>IF(B147="","",IF(J147="Received",IF(M147&lt;&gt;"",M147,IF(F147="",0,F147)),IF(J147="Part received",IF(M147="",0,M147),0)))</f>
        <v>0</v>
      </c>
      <c r="V147" s="37">
        <f>IF(B147="","",IF(J147="Ordered","",IF(J147="Draft","",ROUND(IF(F147="",0,F147)-U147,2))))</f>
        <v>0</v>
      </c>
      <c r="W147" s="25">
        <f>IF(B147="","",IF(L147="","",L147-B147))</f>
        <v>0</v>
      </c>
      <c r="X147" s="26">
        <f>IF(B147="","",IF(G147="","",IFERROR(ROUND(G147-INDEX(Inventory!$H$5:$H$304,MATCH(D147,Inventory!$A$5:$A$304,0)),2),"")))</f>
        <v>0</v>
      </c>
      <c r="Y147" s="39">
        <f>IF(B147="","",IF(D147="","Add - which product?",IF(J147="","Add - no status yet",IF(IF(J147="Ordered",IF(K147="",FALSE,K147&lt;TodayDate),FALSE),"Late - expected and not arrived",IF(V147&gt;0,"Check - delivery came up short",IF(IF(X147="",FALSE,X147&gt;0),"Check - cost has gone up",IF(O147&lt;&gt;"Yes","Due - invoice not paid","OK")))))))</f>
        <v>0</v>
      </c>
    </row>
    <row r="148" spans="1:25">
      <c r="A148" s="28">
        <f>IF(B148="","",PurchasePrefix&amp;TEXT(ROW()-4,"0000"))</f>
        <v>0</v>
      </c>
      <c r="E148" s="15">
        <f>IF(D148="","",IFERROR(INDEX(Inventory!$B$5:$B$304,MATCH(D148,Inventory!$A$5:$A$304,0)),"Not in Inventory"))</f>
        <v>0</v>
      </c>
      <c r="Q148" s="15">
        <f>IF(B148="","",TEXT(B148,"yyyy-mm"))</f>
        <v>0</v>
      </c>
      <c r="R148" s="26">
        <f>IF(B148="","",IF(G148&lt;&gt;"",G148,IFERROR(INDEX(Inventory!$H$5:$H$304,MATCH(D148,Inventory!$A$5:$A$304,0))*1,0)))</f>
        <v>0</v>
      </c>
      <c r="S148" s="26">
        <f>IF(B148="","",ROUND(IF(F148="",0,F148)*R148,2))</f>
        <v>0</v>
      </c>
      <c r="T148" s="26">
        <f>IF(B148="","",ROUND(S148+IF(H148="",0,H148)+IF(I148="",0,I148),2))</f>
        <v>0</v>
      </c>
      <c r="U148" s="37">
        <f>IF(B148="","",IF(J148="Received",IF(M148&lt;&gt;"",M148,IF(F148="",0,F148)),IF(J148="Part received",IF(M148="",0,M148),0)))</f>
        <v>0</v>
      </c>
      <c r="V148" s="37">
        <f>IF(B148="","",IF(J148="Ordered","",IF(J148="Draft","",ROUND(IF(F148="",0,F148)-U148,2))))</f>
        <v>0</v>
      </c>
      <c r="W148" s="25">
        <f>IF(B148="","",IF(L148="","",L148-B148))</f>
        <v>0</v>
      </c>
      <c r="X148" s="26">
        <f>IF(B148="","",IF(G148="","",IFERROR(ROUND(G148-INDEX(Inventory!$H$5:$H$304,MATCH(D148,Inventory!$A$5:$A$304,0)),2),"")))</f>
        <v>0</v>
      </c>
      <c r="Y148" s="39">
        <f>IF(B148="","",IF(D148="","Add - which product?",IF(J148="","Add - no status yet",IF(IF(J148="Ordered",IF(K148="",FALSE,K148&lt;TodayDate),FALSE),"Late - expected and not arrived",IF(V148&gt;0,"Check - delivery came up short",IF(IF(X148="",FALSE,X148&gt;0),"Check - cost has gone up",IF(O148&lt;&gt;"Yes","Due - invoice not paid","OK")))))))</f>
        <v>0</v>
      </c>
    </row>
    <row r="149" spans="1:25">
      <c r="A149" s="28">
        <f>IF(B149="","",PurchasePrefix&amp;TEXT(ROW()-4,"0000"))</f>
        <v>0</v>
      </c>
      <c r="E149" s="15">
        <f>IF(D149="","",IFERROR(INDEX(Inventory!$B$5:$B$304,MATCH(D149,Inventory!$A$5:$A$304,0)),"Not in Inventory"))</f>
        <v>0</v>
      </c>
      <c r="Q149" s="15">
        <f>IF(B149="","",TEXT(B149,"yyyy-mm"))</f>
        <v>0</v>
      </c>
      <c r="R149" s="26">
        <f>IF(B149="","",IF(G149&lt;&gt;"",G149,IFERROR(INDEX(Inventory!$H$5:$H$304,MATCH(D149,Inventory!$A$5:$A$304,0))*1,0)))</f>
        <v>0</v>
      </c>
      <c r="S149" s="26">
        <f>IF(B149="","",ROUND(IF(F149="",0,F149)*R149,2))</f>
        <v>0</v>
      </c>
      <c r="T149" s="26">
        <f>IF(B149="","",ROUND(S149+IF(H149="",0,H149)+IF(I149="",0,I149),2))</f>
        <v>0</v>
      </c>
      <c r="U149" s="37">
        <f>IF(B149="","",IF(J149="Received",IF(M149&lt;&gt;"",M149,IF(F149="",0,F149)),IF(J149="Part received",IF(M149="",0,M149),0)))</f>
        <v>0</v>
      </c>
      <c r="V149" s="37">
        <f>IF(B149="","",IF(J149="Ordered","",IF(J149="Draft","",ROUND(IF(F149="",0,F149)-U149,2))))</f>
        <v>0</v>
      </c>
      <c r="W149" s="25">
        <f>IF(B149="","",IF(L149="","",L149-B149))</f>
        <v>0</v>
      </c>
      <c r="X149" s="26">
        <f>IF(B149="","",IF(G149="","",IFERROR(ROUND(G149-INDEX(Inventory!$H$5:$H$304,MATCH(D149,Inventory!$A$5:$A$304,0)),2),"")))</f>
        <v>0</v>
      </c>
      <c r="Y149" s="39">
        <f>IF(B149="","",IF(D149="","Add - which product?",IF(J149="","Add - no status yet",IF(IF(J149="Ordered",IF(K149="",FALSE,K149&lt;TodayDate),FALSE),"Late - expected and not arrived",IF(V149&gt;0,"Check - delivery came up short",IF(IF(X149="",FALSE,X149&gt;0),"Check - cost has gone up",IF(O149&lt;&gt;"Yes","Due - invoice not paid","OK")))))))</f>
        <v>0</v>
      </c>
    </row>
    <row r="150" spans="1:25">
      <c r="A150" s="28">
        <f>IF(B150="","",PurchasePrefix&amp;TEXT(ROW()-4,"0000"))</f>
        <v>0</v>
      </c>
      <c r="E150" s="15">
        <f>IF(D150="","",IFERROR(INDEX(Inventory!$B$5:$B$304,MATCH(D150,Inventory!$A$5:$A$304,0)),"Not in Inventory"))</f>
        <v>0</v>
      </c>
      <c r="Q150" s="15">
        <f>IF(B150="","",TEXT(B150,"yyyy-mm"))</f>
        <v>0</v>
      </c>
      <c r="R150" s="26">
        <f>IF(B150="","",IF(G150&lt;&gt;"",G150,IFERROR(INDEX(Inventory!$H$5:$H$304,MATCH(D150,Inventory!$A$5:$A$304,0))*1,0)))</f>
        <v>0</v>
      </c>
      <c r="S150" s="26">
        <f>IF(B150="","",ROUND(IF(F150="",0,F150)*R150,2))</f>
        <v>0</v>
      </c>
      <c r="T150" s="26">
        <f>IF(B150="","",ROUND(S150+IF(H150="",0,H150)+IF(I150="",0,I150),2))</f>
        <v>0</v>
      </c>
      <c r="U150" s="37">
        <f>IF(B150="","",IF(J150="Received",IF(M150&lt;&gt;"",M150,IF(F150="",0,F150)),IF(J150="Part received",IF(M150="",0,M150),0)))</f>
        <v>0</v>
      </c>
      <c r="V150" s="37">
        <f>IF(B150="","",IF(J150="Ordered","",IF(J150="Draft","",ROUND(IF(F150="",0,F150)-U150,2))))</f>
        <v>0</v>
      </c>
      <c r="W150" s="25">
        <f>IF(B150="","",IF(L150="","",L150-B150))</f>
        <v>0</v>
      </c>
      <c r="X150" s="26">
        <f>IF(B150="","",IF(G150="","",IFERROR(ROUND(G150-INDEX(Inventory!$H$5:$H$304,MATCH(D150,Inventory!$A$5:$A$304,0)),2),"")))</f>
        <v>0</v>
      </c>
      <c r="Y150" s="39">
        <f>IF(B150="","",IF(D150="","Add - which product?",IF(J150="","Add - no status yet",IF(IF(J150="Ordered",IF(K150="",FALSE,K150&lt;TodayDate),FALSE),"Late - expected and not arrived",IF(V150&gt;0,"Check - delivery came up short",IF(IF(X150="",FALSE,X150&gt;0),"Check - cost has gone up",IF(O150&lt;&gt;"Yes","Due - invoice not paid","OK")))))))</f>
        <v>0</v>
      </c>
    </row>
    <row r="151" spans="1:25">
      <c r="A151" s="28">
        <f>IF(B151="","",PurchasePrefix&amp;TEXT(ROW()-4,"0000"))</f>
        <v>0</v>
      </c>
      <c r="E151" s="15">
        <f>IF(D151="","",IFERROR(INDEX(Inventory!$B$5:$B$304,MATCH(D151,Inventory!$A$5:$A$304,0)),"Not in Inventory"))</f>
        <v>0</v>
      </c>
      <c r="Q151" s="15">
        <f>IF(B151="","",TEXT(B151,"yyyy-mm"))</f>
        <v>0</v>
      </c>
      <c r="R151" s="26">
        <f>IF(B151="","",IF(G151&lt;&gt;"",G151,IFERROR(INDEX(Inventory!$H$5:$H$304,MATCH(D151,Inventory!$A$5:$A$304,0))*1,0)))</f>
        <v>0</v>
      </c>
      <c r="S151" s="26">
        <f>IF(B151="","",ROUND(IF(F151="",0,F151)*R151,2))</f>
        <v>0</v>
      </c>
      <c r="T151" s="26">
        <f>IF(B151="","",ROUND(S151+IF(H151="",0,H151)+IF(I151="",0,I151),2))</f>
        <v>0</v>
      </c>
      <c r="U151" s="37">
        <f>IF(B151="","",IF(J151="Received",IF(M151&lt;&gt;"",M151,IF(F151="",0,F151)),IF(J151="Part received",IF(M151="",0,M151),0)))</f>
        <v>0</v>
      </c>
      <c r="V151" s="37">
        <f>IF(B151="","",IF(J151="Ordered","",IF(J151="Draft","",ROUND(IF(F151="",0,F151)-U151,2))))</f>
        <v>0</v>
      </c>
      <c r="W151" s="25">
        <f>IF(B151="","",IF(L151="","",L151-B151))</f>
        <v>0</v>
      </c>
      <c r="X151" s="26">
        <f>IF(B151="","",IF(G151="","",IFERROR(ROUND(G151-INDEX(Inventory!$H$5:$H$304,MATCH(D151,Inventory!$A$5:$A$304,0)),2),"")))</f>
        <v>0</v>
      </c>
      <c r="Y151" s="39">
        <f>IF(B151="","",IF(D151="","Add - which product?",IF(J151="","Add - no status yet",IF(IF(J151="Ordered",IF(K151="",FALSE,K151&lt;TodayDate),FALSE),"Late - expected and not arrived",IF(V151&gt;0,"Check - delivery came up short",IF(IF(X151="",FALSE,X151&gt;0),"Check - cost has gone up",IF(O151&lt;&gt;"Yes","Due - invoice not paid","OK")))))))</f>
        <v>0</v>
      </c>
    </row>
    <row r="152" spans="1:25">
      <c r="A152" s="28">
        <f>IF(B152="","",PurchasePrefix&amp;TEXT(ROW()-4,"0000"))</f>
        <v>0</v>
      </c>
      <c r="E152" s="15">
        <f>IF(D152="","",IFERROR(INDEX(Inventory!$B$5:$B$304,MATCH(D152,Inventory!$A$5:$A$304,0)),"Not in Inventory"))</f>
        <v>0</v>
      </c>
      <c r="Q152" s="15">
        <f>IF(B152="","",TEXT(B152,"yyyy-mm"))</f>
        <v>0</v>
      </c>
      <c r="R152" s="26">
        <f>IF(B152="","",IF(G152&lt;&gt;"",G152,IFERROR(INDEX(Inventory!$H$5:$H$304,MATCH(D152,Inventory!$A$5:$A$304,0))*1,0)))</f>
        <v>0</v>
      </c>
      <c r="S152" s="26">
        <f>IF(B152="","",ROUND(IF(F152="",0,F152)*R152,2))</f>
        <v>0</v>
      </c>
      <c r="T152" s="26">
        <f>IF(B152="","",ROUND(S152+IF(H152="",0,H152)+IF(I152="",0,I152),2))</f>
        <v>0</v>
      </c>
      <c r="U152" s="37">
        <f>IF(B152="","",IF(J152="Received",IF(M152&lt;&gt;"",M152,IF(F152="",0,F152)),IF(J152="Part received",IF(M152="",0,M152),0)))</f>
        <v>0</v>
      </c>
      <c r="V152" s="37">
        <f>IF(B152="","",IF(J152="Ordered","",IF(J152="Draft","",ROUND(IF(F152="",0,F152)-U152,2))))</f>
        <v>0</v>
      </c>
      <c r="W152" s="25">
        <f>IF(B152="","",IF(L152="","",L152-B152))</f>
        <v>0</v>
      </c>
      <c r="X152" s="26">
        <f>IF(B152="","",IF(G152="","",IFERROR(ROUND(G152-INDEX(Inventory!$H$5:$H$304,MATCH(D152,Inventory!$A$5:$A$304,0)),2),"")))</f>
        <v>0</v>
      </c>
      <c r="Y152" s="39">
        <f>IF(B152="","",IF(D152="","Add - which product?",IF(J152="","Add - no status yet",IF(IF(J152="Ordered",IF(K152="",FALSE,K152&lt;TodayDate),FALSE),"Late - expected and not arrived",IF(V152&gt;0,"Check - delivery came up short",IF(IF(X152="",FALSE,X152&gt;0),"Check - cost has gone up",IF(O152&lt;&gt;"Yes","Due - invoice not paid","OK")))))))</f>
        <v>0</v>
      </c>
    </row>
    <row r="153" spans="1:25">
      <c r="A153" s="28">
        <f>IF(B153="","",PurchasePrefix&amp;TEXT(ROW()-4,"0000"))</f>
        <v>0</v>
      </c>
      <c r="E153" s="15">
        <f>IF(D153="","",IFERROR(INDEX(Inventory!$B$5:$B$304,MATCH(D153,Inventory!$A$5:$A$304,0)),"Not in Inventory"))</f>
        <v>0</v>
      </c>
      <c r="Q153" s="15">
        <f>IF(B153="","",TEXT(B153,"yyyy-mm"))</f>
        <v>0</v>
      </c>
      <c r="R153" s="26">
        <f>IF(B153="","",IF(G153&lt;&gt;"",G153,IFERROR(INDEX(Inventory!$H$5:$H$304,MATCH(D153,Inventory!$A$5:$A$304,0))*1,0)))</f>
        <v>0</v>
      </c>
      <c r="S153" s="26">
        <f>IF(B153="","",ROUND(IF(F153="",0,F153)*R153,2))</f>
        <v>0</v>
      </c>
      <c r="T153" s="26">
        <f>IF(B153="","",ROUND(S153+IF(H153="",0,H153)+IF(I153="",0,I153),2))</f>
        <v>0</v>
      </c>
      <c r="U153" s="37">
        <f>IF(B153="","",IF(J153="Received",IF(M153&lt;&gt;"",M153,IF(F153="",0,F153)),IF(J153="Part received",IF(M153="",0,M153),0)))</f>
        <v>0</v>
      </c>
      <c r="V153" s="37">
        <f>IF(B153="","",IF(J153="Ordered","",IF(J153="Draft","",ROUND(IF(F153="",0,F153)-U153,2))))</f>
        <v>0</v>
      </c>
      <c r="W153" s="25">
        <f>IF(B153="","",IF(L153="","",L153-B153))</f>
        <v>0</v>
      </c>
      <c r="X153" s="26">
        <f>IF(B153="","",IF(G153="","",IFERROR(ROUND(G153-INDEX(Inventory!$H$5:$H$304,MATCH(D153,Inventory!$A$5:$A$304,0)),2),"")))</f>
        <v>0</v>
      </c>
      <c r="Y153" s="39">
        <f>IF(B153="","",IF(D153="","Add - which product?",IF(J153="","Add - no status yet",IF(IF(J153="Ordered",IF(K153="",FALSE,K153&lt;TodayDate),FALSE),"Late - expected and not arrived",IF(V153&gt;0,"Check - delivery came up short",IF(IF(X153="",FALSE,X153&gt;0),"Check - cost has gone up",IF(O153&lt;&gt;"Yes","Due - invoice not paid","OK")))))))</f>
        <v>0</v>
      </c>
    </row>
    <row r="154" spans="1:25">
      <c r="A154" s="28">
        <f>IF(B154="","",PurchasePrefix&amp;TEXT(ROW()-4,"0000"))</f>
        <v>0</v>
      </c>
      <c r="E154" s="15">
        <f>IF(D154="","",IFERROR(INDEX(Inventory!$B$5:$B$304,MATCH(D154,Inventory!$A$5:$A$304,0)),"Not in Inventory"))</f>
        <v>0</v>
      </c>
      <c r="Q154" s="15">
        <f>IF(B154="","",TEXT(B154,"yyyy-mm"))</f>
        <v>0</v>
      </c>
      <c r="R154" s="26">
        <f>IF(B154="","",IF(G154&lt;&gt;"",G154,IFERROR(INDEX(Inventory!$H$5:$H$304,MATCH(D154,Inventory!$A$5:$A$304,0))*1,0)))</f>
        <v>0</v>
      </c>
      <c r="S154" s="26">
        <f>IF(B154="","",ROUND(IF(F154="",0,F154)*R154,2))</f>
        <v>0</v>
      </c>
      <c r="T154" s="26">
        <f>IF(B154="","",ROUND(S154+IF(H154="",0,H154)+IF(I154="",0,I154),2))</f>
        <v>0</v>
      </c>
      <c r="U154" s="37">
        <f>IF(B154="","",IF(J154="Received",IF(M154&lt;&gt;"",M154,IF(F154="",0,F154)),IF(J154="Part received",IF(M154="",0,M154),0)))</f>
        <v>0</v>
      </c>
      <c r="V154" s="37">
        <f>IF(B154="","",IF(J154="Ordered","",IF(J154="Draft","",ROUND(IF(F154="",0,F154)-U154,2))))</f>
        <v>0</v>
      </c>
      <c r="W154" s="25">
        <f>IF(B154="","",IF(L154="","",L154-B154))</f>
        <v>0</v>
      </c>
      <c r="X154" s="26">
        <f>IF(B154="","",IF(G154="","",IFERROR(ROUND(G154-INDEX(Inventory!$H$5:$H$304,MATCH(D154,Inventory!$A$5:$A$304,0)),2),"")))</f>
        <v>0</v>
      </c>
      <c r="Y154" s="39">
        <f>IF(B154="","",IF(D154="","Add - which product?",IF(J154="","Add - no status yet",IF(IF(J154="Ordered",IF(K154="",FALSE,K154&lt;TodayDate),FALSE),"Late - expected and not arrived",IF(V154&gt;0,"Check - delivery came up short",IF(IF(X154="",FALSE,X154&gt;0),"Check - cost has gone up",IF(O154&lt;&gt;"Yes","Due - invoice not paid","OK")))))))</f>
        <v>0</v>
      </c>
    </row>
    <row r="155" spans="1:25">
      <c r="A155" s="28">
        <f>IF(B155="","",PurchasePrefix&amp;TEXT(ROW()-4,"0000"))</f>
        <v>0</v>
      </c>
      <c r="E155" s="15">
        <f>IF(D155="","",IFERROR(INDEX(Inventory!$B$5:$B$304,MATCH(D155,Inventory!$A$5:$A$304,0)),"Not in Inventory"))</f>
        <v>0</v>
      </c>
      <c r="Q155" s="15">
        <f>IF(B155="","",TEXT(B155,"yyyy-mm"))</f>
        <v>0</v>
      </c>
      <c r="R155" s="26">
        <f>IF(B155="","",IF(G155&lt;&gt;"",G155,IFERROR(INDEX(Inventory!$H$5:$H$304,MATCH(D155,Inventory!$A$5:$A$304,0))*1,0)))</f>
        <v>0</v>
      </c>
      <c r="S155" s="26">
        <f>IF(B155="","",ROUND(IF(F155="",0,F155)*R155,2))</f>
        <v>0</v>
      </c>
      <c r="T155" s="26">
        <f>IF(B155="","",ROUND(S155+IF(H155="",0,H155)+IF(I155="",0,I155),2))</f>
        <v>0</v>
      </c>
      <c r="U155" s="37">
        <f>IF(B155="","",IF(J155="Received",IF(M155&lt;&gt;"",M155,IF(F155="",0,F155)),IF(J155="Part received",IF(M155="",0,M155),0)))</f>
        <v>0</v>
      </c>
      <c r="V155" s="37">
        <f>IF(B155="","",IF(J155="Ordered","",IF(J155="Draft","",ROUND(IF(F155="",0,F155)-U155,2))))</f>
        <v>0</v>
      </c>
      <c r="W155" s="25">
        <f>IF(B155="","",IF(L155="","",L155-B155))</f>
        <v>0</v>
      </c>
      <c r="X155" s="26">
        <f>IF(B155="","",IF(G155="","",IFERROR(ROUND(G155-INDEX(Inventory!$H$5:$H$304,MATCH(D155,Inventory!$A$5:$A$304,0)),2),"")))</f>
        <v>0</v>
      </c>
      <c r="Y155" s="39">
        <f>IF(B155="","",IF(D155="","Add - which product?",IF(J155="","Add - no status yet",IF(IF(J155="Ordered",IF(K155="",FALSE,K155&lt;TodayDate),FALSE),"Late - expected and not arrived",IF(V155&gt;0,"Check - delivery came up short",IF(IF(X155="",FALSE,X155&gt;0),"Check - cost has gone up",IF(O155&lt;&gt;"Yes","Due - invoice not paid","OK")))))))</f>
        <v>0</v>
      </c>
    </row>
    <row r="156" spans="1:25">
      <c r="A156" s="28">
        <f>IF(B156="","",PurchasePrefix&amp;TEXT(ROW()-4,"0000"))</f>
        <v>0</v>
      </c>
      <c r="E156" s="15">
        <f>IF(D156="","",IFERROR(INDEX(Inventory!$B$5:$B$304,MATCH(D156,Inventory!$A$5:$A$304,0)),"Not in Inventory"))</f>
        <v>0</v>
      </c>
      <c r="Q156" s="15">
        <f>IF(B156="","",TEXT(B156,"yyyy-mm"))</f>
        <v>0</v>
      </c>
      <c r="R156" s="26">
        <f>IF(B156="","",IF(G156&lt;&gt;"",G156,IFERROR(INDEX(Inventory!$H$5:$H$304,MATCH(D156,Inventory!$A$5:$A$304,0))*1,0)))</f>
        <v>0</v>
      </c>
      <c r="S156" s="26">
        <f>IF(B156="","",ROUND(IF(F156="",0,F156)*R156,2))</f>
        <v>0</v>
      </c>
      <c r="T156" s="26">
        <f>IF(B156="","",ROUND(S156+IF(H156="",0,H156)+IF(I156="",0,I156),2))</f>
        <v>0</v>
      </c>
      <c r="U156" s="37">
        <f>IF(B156="","",IF(J156="Received",IF(M156&lt;&gt;"",M156,IF(F156="",0,F156)),IF(J156="Part received",IF(M156="",0,M156),0)))</f>
        <v>0</v>
      </c>
      <c r="V156" s="37">
        <f>IF(B156="","",IF(J156="Ordered","",IF(J156="Draft","",ROUND(IF(F156="",0,F156)-U156,2))))</f>
        <v>0</v>
      </c>
      <c r="W156" s="25">
        <f>IF(B156="","",IF(L156="","",L156-B156))</f>
        <v>0</v>
      </c>
      <c r="X156" s="26">
        <f>IF(B156="","",IF(G156="","",IFERROR(ROUND(G156-INDEX(Inventory!$H$5:$H$304,MATCH(D156,Inventory!$A$5:$A$304,0)),2),"")))</f>
        <v>0</v>
      </c>
      <c r="Y156" s="39">
        <f>IF(B156="","",IF(D156="","Add - which product?",IF(J156="","Add - no status yet",IF(IF(J156="Ordered",IF(K156="",FALSE,K156&lt;TodayDate),FALSE),"Late - expected and not arrived",IF(V156&gt;0,"Check - delivery came up short",IF(IF(X156="",FALSE,X156&gt;0),"Check - cost has gone up",IF(O156&lt;&gt;"Yes","Due - invoice not paid","OK")))))))</f>
        <v>0</v>
      </c>
    </row>
    <row r="157" spans="1:25">
      <c r="A157" s="28">
        <f>IF(B157="","",PurchasePrefix&amp;TEXT(ROW()-4,"0000"))</f>
        <v>0</v>
      </c>
      <c r="E157" s="15">
        <f>IF(D157="","",IFERROR(INDEX(Inventory!$B$5:$B$304,MATCH(D157,Inventory!$A$5:$A$304,0)),"Not in Inventory"))</f>
        <v>0</v>
      </c>
      <c r="Q157" s="15">
        <f>IF(B157="","",TEXT(B157,"yyyy-mm"))</f>
        <v>0</v>
      </c>
      <c r="R157" s="26">
        <f>IF(B157="","",IF(G157&lt;&gt;"",G157,IFERROR(INDEX(Inventory!$H$5:$H$304,MATCH(D157,Inventory!$A$5:$A$304,0))*1,0)))</f>
        <v>0</v>
      </c>
      <c r="S157" s="26">
        <f>IF(B157="","",ROUND(IF(F157="",0,F157)*R157,2))</f>
        <v>0</v>
      </c>
      <c r="T157" s="26">
        <f>IF(B157="","",ROUND(S157+IF(H157="",0,H157)+IF(I157="",0,I157),2))</f>
        <v>0</v>
      </c>
      <c r="U157" s="37">
        <f>IF(B157="","",IF(J157="Received",IF(M157&lt;&gt;"",M157,IF(F157="",0,F157)),IF(J157="Part received",IF(M157="",0,M157),0)))</f>
        <v>0</v>
      </c>
      <c r="V157" s="37">
        <f>IF(B157="","",IF(J157="Ordered","",IF(J157="Draft","",ROUND(IF(F157="",0,F157)-U157,2))))</f>
        <v>0</v>
      </c>
      <c r="W157" s="25">
        <f>IF(B157="","",IF(L157="","",L157-B157))</f>
        <v>0</v>
      </c>
      <c r="X157" s="26">
        <f>IF(B157="","",IF(G157="","",IFERROR(ROUND(G157-INDEX(Inventory!$H$5:$H$304,MATCH(D157,Inventory!$A$5:$A$304,0)),2),"")))</f>
        <v>0</v>
      </c>
      <c r="Y157" s="39">
        <f>IF(B157="","",IF(D157="","Add - which product?",IF(J157="","Add - no status yet",IF(IF(J157="Ordered",IF(K157="",FALSE,K157&lt;TodayDate),FALSE),"Late - expected and not arrived",IF(V157&gt;0,"Check - delivery came up short",IF(IF(X157="",FALSE,X157&gt;0),"Check - cost has gone up",IF(O157&lt;&gt;"Yes","Due - invoice not paid","OK")))))))</f>
        <v>0</v>
      </c>
    </row>
    <row r="158" spans="1:25">
      <c r="A158" s="28">
        <f>IF(B158="","",PurchasePrefix&amp;TEXT(ROW()-4,"0000"))</f>
        <v>0</v>
      </c>
      <c r="E158" s="15">
        <f>IF(D158="","",IFERROR(INDEX(Inventory!$B$5:$B$304,MATCH(D158,Inventory!$A$5:$A$304,0)),"Not in Inventory"))</f>
        <v>0</v>
      </c>
      <c r="Q158" s="15">
        <f>IF(B158="","",TEXT(B158,"yyyy-mm"))</f>
        <v>0</v>
      </c>
      <c r="R158" s="26">
        <f>IF(B158="","",IF(G158&lt;&gt;"",G158,IFERROR(INDEX(Inventory!$H$5:$H$304,MATCH(D158,Inventory!$A$5:$A$304,0))*1,0)))</f>
        <v>0</v>
      </c>
      <c r="S158" s="26">
        <f>IF(B158="","",ROUND(IF(F158="",0,F158)*R158,2))</f>
        <v>0</v>
      </c>
      <c r="T158" s="26">
        <f>IF(B158="","",ROUND(S158+IF(H158="",0,H158)+IF(I158="",0,I158),2))</f>
        <v>0</v>
      </c>
      <c r="U158" s="37">
        <f>IF(B158="","",IF(J158="Received",IF(M158&lt;&gt;"",M158,IF(F158="",0,F158)),IF(J158="Part received",IF(M158="",0,M158),0)))</f>
        <v>0</v>
      </c>
      <c r="V158" s="37">
        <f>IF(B158="","",IF(J158="Ordered","",IF(J158="Draft","",ROUND(IF(F158="",0,F158)-U158,2))))</f>
        <v>0</v>
      </c>
      <c r="W158" s="25">
        <f>IF(B158="","",IF(L158="","",L158-B158))</f>
        <v>0</v>
      </c>
      <c r="X158" s="26">
        <f>IF(B158="","",IF(G158="","",IFERROR(ROUND(G158-INDEX(Inventory!$H$5:$H$304,MATCH(D158,Inventory!$A$5:$A$304,0)),2),"")))</f>
        <v>0</v>
      </c>
      <c r="Y158" s="39">
        <f>IF(B158="","",IF(D158="","Add - which product?",IF(J158="","Add - no status yet",IF(IF(J158="Ordered",IF(K158="",FALSE,K158&lt;TodayDate),FALSE),"Late - expected and not arrived",IF(V158&gt;0,"Check - delivery came up short",IF(IF(X158="",FALSE,X158&gt;0),"Check - cost has gone up",IF(O158&lt;&gt;"Yes","Due - invoice not paid","OK")))))))</f>
        <v>0</v>
      </c>
    </row>
    <row r="159" spans="1:25">
      <c r="A159" s="28">
        <f>IF(B159="","",PurchasePrefix&amp;TEXT(ROW()-4,"0000"))</f>
        <v>0</v>
      </c>
      <c r="E159" s="15">
        <f>IF(D159="","",IFERROR(INDEX(Inventory!$B$5:$B$304,MATCH(D159,Inventory!$A$5:$A$304,0)),"Not in Inventory"))</f>
        <v>0</v>
      </c>
      <c r="Q159" s="15">
        <f>IF(B159="","",TEXT(B159,"yyyy-mm"))</f>
        <v>0</v>
      </c>
      <c r="R159" s="26">
        <f>IF(B159="","",IF(G159&lt;&gt;"",G159,IFERROR(INDEX(Inventory!$H$5:$H$304,MATCH(D159,Inventory!$A$5:$A$304,0))*1,0)))</f>
        <v>0</v>
      </c>
      <c r="S159" s="26">
        <f>IF(B159="","",ROUND(IF(F159="",0,F159)*R159,2))</f>
        <v>0</v>
      </c>
      <c r="T159" s="26">
        <f>IF(B159="","",ROUND(S159+IF(H159="",0,H159)+IF(I159="",0,I159),2))</f>
        <v>0</v>
      </c>
      <c r="U159" s="37">
        <f>IF(B159="","",IF(J159="Received",IF(M159&lt;&gt;"",M159,IF(F159="",0,F159)),IF(J159="Part received",IF(M159="",0,M159),0)))</f>
        <v>0</v>
      </c>
      <c r="V159" s="37">
        <f>IF(B159="","",IF(J159="Ordered","",IF(J159="Draft","",ROUND(IF(F159="",0,F159)-U159,2))))</f>
        <v>0</v>
      </c>
      <c r="W159" s="25">
        <f>IF(B159="","",IF(L159="","",L159-B159))</f>
        <v>0</v>
      </c>
      <c r="X159" s="26">
        <f>IF(B159="","",IF(G159="","",IFERROR(ROUND(G159-INDEX(Inventory!$H$5:$H$304,MATCH(D159,Inventory!$A$5:$A$304,0)),2),"")))</f>
        <v>0</v>
      </c>
      <c r="Y159" s="39">
        <f>IF(B159="","",IF(D159="","Add - which product?",IF(J159="","Add - no status yet",IF(IF(J159="Ordered",IF(K159="",FALSE,K159&lt;TodayDate),FALSE),"Late - expected and not arrived",IF(V159&gt;0,"Check - delivery came up short",IF(IF(X159="",FALSE,X159&gt;0),"Check - cost has gone up",IF(O159&lt;&gt;"Yes","Due - invoice not paid","OK")))))))</f>
        <v>0</v>
      </c>
    </row>
    <row r="160" spans="1:25">
      <c r="A160" s="28">
        <f>IF(B160="","",PurchasePrefix&amp;TEXT(ROW()-4,"0000"))</f>
        <v>0</v>
      </c>
      <c r="E160" s="15">
        <f>IF(D160="","",IFERROR(INDEX(Inventory!$B$5:$B$304,MATCH(D160,Inventory!$A$5:$A$304,0)),"Not in Inventory"))</f>
        <v>0</v>
      </c>
      <c r="Q160" s="15">
        <f>IF(B160="","",TEXT(B160,"yyyy-mm"))</f>
        <v>0</v>
      </c>
      <c r="R160" s="26">
        <f>IF(B160="","",IF(G160&lt;&gt;"",G160,IFERROR(INDEX(Inventory!$H$5:$H$304,MATCH(D160,Inventory!$A$5:$A$304,0))*1,0)))</f>
        <v>0</v>
      </c>
      <c r="S160" s="26">
        <f>IF(B160="","",ROUND(IF(F160="",0,F160)*R160,2))</f>
        <v>0</v>
      </c>
      <c r="T160" s="26">
        <f>IF(B160="","",ROUND(S160+IF(H160="",0,H160)+IF(I160="",0,I160),2))</f>
        <v>0</v>
      </c>
      <c r="U160" s="37">
        <f>IF(B160="","",IF(J160="Received",IF(M160&lt;&gt;"",M160,IF(F160="",0,F160)),IF(J160="Part received",IF(M160="",0,M160),0)))</f>
        <v>0</v>
      </c>
      <c r="V160" s="37">
        <f>IF(B160="","",IF(J160="Ordered","",IF(J160="Draft","",ROUND(IF(F160="",0,F160)-U160,2))))</f>
        <v>0</v>
      </c>
      <c r="W160" s="25">
        <f>IF(B160="","",IF(L160="","",L160-B160))</f>
        <v>0</v>
      </c>
      <c r="X160" s="26">
        <f>IF(B160="","",IF(G160="","",IFERROR(ROUND(G160-INDEX(Inventory!$H$5:$H$304,MATCH(D160,Inventory!$A$5:$A$304,0)),2),"")))</f>
        <v>0</v>
      </c>
      <c r="Y160" s="39">
        <f>IF(B160="","",IF(D160="","Add - which product?",IF(J160="","Add - no status yet",IF(IF(J160="Ordered",IF(K160="",FALSE,K160&lt;TodayDate),FALSE),"Late - expected and not arrived",IF(V160&gt;0,"Check - delivery came up short",IF(IF(X160="",FALSE,X160&gt;0),"Check - cost has gone up",IF(O160&lt;&gt;"Yes","Due - invoice not paid","OK")))))))</f>
        <v>0</v>
      </c>
    </row>
    <row r="161" spans="1:25">
      <c r="A161" s="28">
        <f>IF(B161="","",PurchasePrefix&amp;TEXT(ROW()-4,"0000"))</f>
        <v>0</v>
      </c>
      <c r="E161" s="15">
        <f>IF(D161="","",IFERROR(INDEX(Inventory!$B$5:$B$304,MATCH(D161,Inventory!$A$5:$A$304,0)),"Not in Inventory"))</f>
        <v>0</v>
      </c>
      <c r="Q161" s="15">
        <f>IF(B161="","",TEXT(B161,"yyyy-mm"))</f>
        <v>0</v>
      </c>
      <c r="R161" s="26">
        <f>IF(B161="","",IF(G161&lt;&gt;"",G161,IFERROR(INDEX(Inventory!$H$5:$H$304,MATCH(D161,Inventory!$A$5:$A$304,0))*1,0)))</f>
        <v>0</v>
      </c>
      <c r="S161" s="26">
        <f>IF(B161="","",ROUND(IF(F161="",0,F161)*R161,2))</f>
        <v>0</v>
      </c>
      <c r="T161" s="26">
        <f>IF(B161="","",ROUND(S161+IF(H161="",0,H161)+IF(I161="",0,I161),2))</f>
        <v>0</v>
      </c>
      <c r="U161" s="37">
        <f>IF(B161="","",IF(J161="Received",IF(M161&lt;&gt;"",M161,IF(F161="",0,F161)),IF(J161="Part received",IF(M161="",0,M161),0)))</f>
        <v>0</v>
      </c>
      <c r="V161" s="37">
        <f>IF(B161="","",IF(J161="Ordered","",IF(J161="Draft","",ROUND(IF(F161="",0,F161)-U161,2))))</f>
        <v>0</v>
      </c>
      <c r="W161" s="25">
        <f>IF(B161="","",IF(L161="","",L161-B161))</f>
        <v>0</v>
      </c>
      <c r="X161" s="26">
        <f>IF(B161="","",IF(G161="","",IFERROR(ROUND(G161-INDEX(Inventory!$H$5:$H$304,MATCH(D161,Inventory!$A$5:$A$304,0)),2),"")))</f>
        <v>0</v>
      </c>
      <c r="Y161" s="39">
        <f>IF(B161="","",IF(D161="","Add - which product?",IF(J161="","Add - no status yet",IF(IF(J161="Ordered",IF(K161="",FALSE,K161&lt;TodayDate),FALSE),"Late - expected and not arrived",IF(V161&gt;0,"Check - delivery came up short",IF(IF(X161="",FALSE,X161&gt;0),"Check - cost has gone up",IF(O161&lt;&gt;"Yes","Due - invoice not paid","OK")))))))</f>
        <v>0</v>
      </c>
    </row>
    <row r="162" spans="1:25">
      <c r="A162" s="28">
        <f>IF(B162="","",PurchasePrefix&amp;TEXT(ROW()-4,"0000"))</f>
        <v>0</v>
      </c>
      <c r="E162" s="15">
        <f>IF(D162="","",IFERROR(INDEX(Inventory!$B$5:$B$304,MATCH(D162,Inventory!$A$5:$A$304,0)),"Not in Inventory"))</f>
        <v>0</v>
      </c>
      <c r="Q162" s="15">
        <f>IF(B162="","",TEXT(B162,"yyyy-mm"))</f>
        <v>0</v>
      </c>
      <c r="R162" s="26">
        <f>IF(B162="","",IF(G162&lt;&gt;"",G162,IFERROR(INDEX(Inventory!$H$5:$H$304,MATCH(D162,Inventory!$A$5:$A$304,0))*1,0)))</f>
        <v>0</v>
      </c>
      <c r="S162" s="26">
        <f>IF(B162="","",ROUND(IF(F162="",0,F162)*R162,2))</f>
        <v>0</v>
      </c>
      <c r="T162" s="26">
        <f>IF(B162="","",ROUND(S162+IF(H162="",0,H162)+IF(I162="",0,I162),2))</f>
        <v>0</v>
      </c>
      <c r="U162" s="37">
        <f>IF(B162="","",IF(J162="Received",IF(M162&lt;&gt;"",M162,IF(F162="",0,F162)),IF(J162="Part received",IF(M162="",0,M162),0)))</f>
        <v>0</v>
      </c>
      <c r="V162" s="37">
        <f>IF(B162="","",IF(J162="Ordered","",IF(J162="Draft","",ROUND(IF(F162="",0,F162)-U162,2))))</f>
        <v>0</v>
      </c>
      <c r="W162" s="25">
        <f>IF(B162="","",IF(L162="","",L162-B162))</f>
        <v>0</v>
      </c>
      <c r="X162" s="26">
        <f>IF(B162="","",IF(G162="","",IFERROR(ROUND(G162-INDEX(Inventory!$H$5:$H$304,MATCH(D162,Inventory!$A$5:$A$304,0)),2),"")))</f>
        <v>0</v>
      </c>
      <c r="Y162" s="39">
        <f>IF(B162="","",IF(D162="","Add - which product?",IF(J162="","Add - no status yet",IF(IF(J162="Ordered",IF(K162="",FALSE,K162&lt;TodayDate),FALSE),"Late - expected and not arrived",IF(V162&gt;0,"Check - delivery came up short",IF(IF(X162="",FALSE,X162&gt;0),"Check - cost has gone up",IF(O162&lt;&gt;"Yes","Due - invoice not paid","OK")))))))</f>
        <v>0</v>
      </c>
    </row>
    <row r="163" spans="1:25">
      <c r="A163" s="28">
        <f>IF(B163="","",PurchasePrefix&amp;TEXT(ROW()-4,"0000"))</f>
        <v>0</v>
      </c>
      <c r="E163" s="15">
        <f>IF(D163="","",IFERROR(INDEX(Inventory!$B$5:$B$304,MATCH(D163,Inventory!$A$5:$A$304,0)),"Not in Inventory"))</f>
        <v>0</v>
      </c>
      <c r="Q163" s="15">
        <f>IF(B163="","",TEXT(B163,"yyyy-mm"))</f>
        <v>0</v>
      </c>
      <c r="R163" s="26">
        <f>IF(B163="","",IF(G163&lt;&gt;"",G163,IFERROR(INDEX(Inventory!$H$5:$H$304,MATCH(D163,Inventory!$A$5:$A$304,0))*1,0)))</f>
        <v>0</v>
      </c>
      <c r="S163" s="26">
        <f>IF(B163="","",ROUND(IF(F163="",0,F163)*R163,2))</f>
        <v>0</v>
      </c>
      <c r="T163" s="26">
        <f>IF(B163="","",ROUND(S163+IF(H163="",0,H163)+IF(I163="",0,I163),2))</f>
        <v>0</v>
      </c>
      <c r="U163" s="37">
        <f>IF(B163="","",IF(J163="Received",IF(M163&lt;&gt;"",M163,IF(F163="",0,F163)),IF(J163="Part received",IF(M163="",0,M163),0)))</f>
        <v>0</v>
      </c>
      <c r="V163" s="37">
        <f>IF(B163="","",IF(J163="Ordered","",IF(J163="Draft","",ROUND(IF(F163="",0,F163)-U163,2))))</f>
        <v>0</v>
      </c>
      <c r="W163" s="25">
        <f>IF(B163="","",IF(L163="","",L163-B163))</f>
        <v>0</v>
      </c>
      <c r="X163" s="26">
        <f>IF(B163="","",IF(G163="","",IFERROR(ROUND(G163-INDEX(Inventory!$H$5:$H$304,MATCH(D163,Inventory!$A$5:$A$304,0)),2),"")))</f>
        <v>0</v>
      </c>
      <c r="Y163" s="39">
        <f>IF(B163="","",IF(D163="","Add - which product?",IF(J163="","Add - no status yet",IF(IF(J163="Ordered",IF(K163="",FALSE,K163&lt;TodayDate),FALSE),"Late - expected and not arrived",IF(V163&gt;0,"Check - delivery came up short",IF(IF(X163="",FALSE,X163&gt;0),"Check - cost has gone up",IF(O163&lt;&gt;"Yes","Due - invoice not paid","OK")))))))</f>
        <v>0</v>
      </c>
    </row>
    <row r="164" spans="1:25">
      <c r="A164" s="28">
        <f>IF(B164="","",PurchasePrefix&amp;TEXT(ROW()-4,"0000"))</f>
        <v>0</v>
      </c>
      <c r="E164" s="15">
        <f>IF(D164="","",IFERROR(INDEX(Inventory!$B$5:$B$304,MATCH(D164,Inventory!$A$5:$A$304,0)),"Not in Inventory"))</f>
        <v>0</v>
      </c>
      <c r="Q164" s="15">
        <f>IF(B164="","",TEXT(B164,"yyyy-mm"))</f>
        <v>0</v>
      </c>
      <c r="R164" s="26">
        <f>IF(B164="","",IF(G164&lt;&gt;"",G164,IFERROR(INDEX(Inventory!$H$5:$H$304,MATCH(D164,Inventory!$A$5:$A$304,0))*1,0)))</f>
        <v>0</v>
      </c>
      <c r="S164" s="26">
        <f>IF(B164="","",ROUND(IF(F164="",0,F164)*R164,2))</f>
        <v>0</v>
      </c>
      <c r="T164" s="26">
        <f>IF(B164="","",ROUND(S164+IF(H164="",0,H164)+IF(I164="",0,I164),2))</f>
        <v>0</v>
      </c>
      <c r="U164" s="37">
        <f>IF(B164="","",IF(J164="Received",IF(M164&lt;&gt;"",M164,IF(F164="",0,F164)),IF(J164="Part received",IF(M164="",0,M164),0)))</f>
        <v>0</v>
      </c>
      <c r="V164" s="37">
        <f>IF(B164="","",IF(J164="Ordered","",IF(J164="Draft","",ROUND(IF(F164="",0,F164)-U164,2))))</f>
        <v>0</v>
      </c>
      <c r="W164" s="25">
        <f>IF(B164="","",IF(L164="","",L164-B164))</f>
        <v>0</v>
      </c>
      <c r="X164" s="26">
        <f>IF(B164="","",IF(G164="","",IFERROR(ROUND(G164-INDEX(Inventory!$H$5:$H$304,MATCH(D164,Inventory!$A$5:$A$304,0)),2),"")))</f>
        <v>0</v>
      </c>
      <c r="Y164" s="39">
        <f>IF(B164="","",IF(D164="","Add - which product?",IF(J164="","Add - no status yet",IF(IF(J164="Ordered",IF(K164="",FALSE,K164&lt;TodayDate),FALSE),"Late - expected and not arrived",IF(V164&gt;0,"Check - delivery came up short",IF(IF(X164="",FALSE,X164&gt;0),"Check - cost has gone up",IF(O164&lt;&gt;"Yes","Due - invoice not paid","OK")))))))</f>
        <v>0</v>
      </c>
    </row>
    <row r="165" spans="1:25">
      <c r="A165" s="28">
        <f>IF(B165="","",PurchasePrefix&amp;TEXT(ROW()-4,"0000"))</f>
        <v>0</v>
      </c>
      <c r="E165" s="15">
        <f>IF(D165="","",IFERROR(INDEX(Inventory!$B$5:$B$304,MATCH(D165,Inventory!$A$5:$A$304,0)),"Not in Inventory"))</f>
        <v>0</v>
      </c>
      <c r="Q165" s="15">
        <f>IF(B165="","",TEXT(B165,"yyyy-mm"))</f>
        <v>0</v>
      </c>
      <c r="R165" s="26">
        <f>IF(B165="","",IF(G165&lt;&gt;"",G165,IFERROR(INDEX(Inventory!$H$5:$H$304,MATCH(D165,Inventory!$A$5:$A$304,0))*1,0)))</f>
        <v>0</v>
      </c>
      <c r="S165" s="26">
        <f>IF(B165="","",ROUND(IF(F165="",0,F165)*R165,2))</f>
        <v>0</v>
      </c>
      <c r="T165" s="26">
        <f>IF(B165="","",ROUND(S165+IF(H165="",0,H165)+IF(I165="",0,I165),2))</f>
        <v>0</v>
      </c>
      <c r="U165" s="37">
        <f>IF(B165="","",IF(J165="Received",IF(M165&lt;&gt;"",M165,IF(F165="",0,F165)),IF(J165="Part received",IF(M165="",0,M165),0)))</f>
        <v>0</v>
      </c>
      <c r="V165" s="37">
        <f>IF(B165="","",IF(J165="Ordered","",IF(J165="Draft","",ROUND(IF(F165="",0,F165)-U165,2))))</f>
        <v>0</v>
      </c>
      <c r="W165" s="25">
        <f>IF(B165="","",IF(L165="","",L165-B165))</f>
        <v>0</v>
      </c>
      <c r="X165" s="26">
        <f>IF(B165="","",IF(G165="","",IFERROR(ROUND(G165-INDEX(Inventory!$H$5:$H$304,MATCH(D165,Inventory!$A$5:$A$304,0)),2),"")))</f>
        <v>0</v>
      </c>
      <c r="Y165" s="39">
        <f>IF(B165="","",IF(D165="","Add - which product?",IF(J165="","Add - no status yet",IF(IF(J165="Ordered",IF(K165="",FALSE,K165&lt;TodayDate),FALSE),"Late - expected and not arrived",IF(V165&gt;0,"Check - delivery came up short",IF(IF(X165="",FALSE,X165&gt;0),"Check - cost has gone up",IF(O165&lt;&gt;"Yes","Due - invoice not paid","OK")))))))</f>
        <v>0</v>
      </c>
    </row>
    <row r="166" spans="1:25">
      <c r="A166" s="28">
        <f>IF(B166="","",PurchasePrefix&amp;TEXT(ROW()-4,"0000"))</f>
        <v>0</v>
      </c>
      <c r="E166" s="15">
        <f>IF(D166="","",IFERROR(INDEX(Inventory!$B$5:$B$304,MATCH(D166,Inventory!$A$5:$A$304,0)),"Not in Inventory"))</f>
        <v>0</v>
      </c>
      <c r="Q166" s="15">
        <f>IF(B166="","",TEXT(B166,"yyyy-mm"))</f>
        <v>0</v>
      </c>
      <c r="R166" s="26">
        <f>IF(B166="","",IF(G166&lt;&gt;"",G166,IFERROR(INDEX(Inventory!$H$5:$H$304,MATCH(D166,Inventory!$A$5:$A$304,0))*1,0)))</f>
        <v>0</v>
      </c>
      <c r="S166" s="26">
        <f>IF(B166="","",ROUND(IF(F166="",0,F166)*R166,2))</f>
        <v>0</v>
      </c>
      <c r="T166" s="26">
        <f>IF(B166="","",ROUND(S166+IF(H166="",0,H166)+IF(I166="",0,I166),2))</f>
        <v>0</v>
      </c>
      <c r="U166" s="37">
        <f>IF(B166="","",IF(J166="Received",IF(M166&lt;&gt;"",M166,IF(F166="",0,F166)),IF(J166="Part received",IF(M166="",0,M166),0)))</f>
        <v>0</v>
      </c>
      <c r="V166" s="37">
        <f>IF(B166="","",IF(J166="Ordered","",IF(J166="Draft","",ROUND(IF(F166="",0,F166)-U166,2))))</f>
        <v>0</v>
      </c>
      <c r="W166" s="25">
        <f>IF(B166="","",IF(L166="","",L166-B166))</f>
        <v>0</v>
      </c>
      <c r="X166" s="26">
        <f>IF(B166="","",IF(G166="","",IFERROR(ROUND(G166-INDEX(Inventory!$H$5:$H$304,MATCH(D166,Inventory!$A$5:$A$304,0)),2),"")))</f>
        <v>0</v>
      </c>
      <c r="Y166" s="39">
        <f>IF(B166="","",IF(D166="","Add - which product?",IF(J166="","Add - no status yet",IF(IF(J166="Ordered",IF(K166="",FALSE,K166&lt;TodayDate),FALSE),"Late - expected and not arrived",IF(V166&gt;0,"Check - delivery came up short",IF(IF(X166="",FALSE,X166&gt;0),"Check - cost has gone up",IF(O166&lt;&gt;"Yes","Due - invoice not paid","OK")))))))</f>
        <v>0</v>
      </c>
    </row>
    <row r="167" spans="1:25">
      <c r="A167" s="28">
        <f>IF(B167="","",PurchasePrefix&amp;TEXT(ROW()-4,"0000"))</f>
        <v>0</v>
      </c>
      <c r="E167" s="15">
        <f>IF(D167="","",IFERROR(INDEX(Inventory!$B$5:$B$304,MATCH(D167,Inventory!$A$5:$A$304,0)),"Not in Inventory"))</f>
        <v>0</v>
      </c>
      <c r="Q167" s="15">
        <f>IF(B167="","",TEXT(B167,"yyyy-mm"))</f>
        <v>0</v>
      </c>
      <c r="R167" s="26">
        <f>IF(B167="","",IF(G167&lt;&gt;"",G167,IFERROR(INDEX(Inventory!$H$5:$H$304,MATCH(D167,Inventory!$A$5:$A$304,0))*1,0)))</f>
        <v>0</v>
      </c>
      <c r="S167" s="26">
        <f>IF(B167="","",ROUND(IF(F167="",0,F167)*R167,2))</f>
        <v>0</v>
      </c>
      <c r="T167" s="26">
        <f>IF(B167="","",ROUND(S167+IF(H167="",0,H167)+IF(I167="",0,I167),2))</f>
        <v>0</v>
      </c>
      <c r="U167" s="37">
        <f>IF(B167="","",IF(J167="Received",IF(M167&lt;&gt;"",M167,IF(F167="",0,F167)),IF(J167="Part received",IF(M167="",0,M167),0)))</f>
        <v>0</v>
      </c>
      <c r="V167" s="37">
        <f>IF(B167="","",IF(J167="Ordered","",IF(J167="Draft","",ROUND(IF(F167="",0,F167)-U167,2))))</f>
        <v>0</v>
      </c>
      <c r="W167" s="25">
        <f>IF(B167="","",IF(L167="","",L167-B167))</f>
        <v>0</v>
      </c>
      <c r="X167" s="26">
        <f>IF(B167="","",IF(G167="","",IFERROR(ROUND(G167-INDEX(Inventory!$H$5:$H$304,MATCH(D167,Inventory!$A$5:$A$304,0)),2),"")))</f>
        <v>0</v>
      </c>
      <c r="Y167" s="39">
        <f>IF(B167="","",IF(D167="","Add - which product?",IF(J167="","Add - no status yet",IF(IF(J167="Ordered",IF(K167="",FALSE,K167&lt;TodayDate),FALSE),"Late - expected and not arrived",IF(V167&gt;0,"Check - delivery came up short",IF(IF(X167="",FALSE,X167&gt;0),"Check - cost has gone up",IF(O167&lt;&gt;"Yes","Due - invoice not paid","OK")))))))</f>
        <v>0</v>
      </c>
    </row>
    <row r="168" spans="1:25">
      <c r="A168" s="28">
        <f>IF(B168="","",PurchasePrefix&amp;TEXT(ROW()-4,"0000"))</f>
        <v>0</v>
      </c>
      <c r="E168" s="15">
        <f>IF(D168="","",IFERROR(INDEX(Inventory!$B$5:$B$304,MATCH(D168,Inventory!$A$5:$A$304,0)),"Not in Inventory"))</f>
        <v>0</v>
      </c>
      <c r="Q168" s="15">
        <f>IF(B168="","",TEXT(B168,"yyyy-mm"))</f>
        <v>0</v>
      </c>
      <c r="R168" s="26">
        <f>IF(B168="","",IF(G168&lt;&gt;"",G168,IFERROR(INDEX(Inventory!$H$5:$H$304,MATCH(D168,Inventory!$A$5:$A$304,0))*1,0)))</f>
        <v>0</v>
      </c>
      <c r="S168" s="26">
        <f>IF(B168="","",ROUND(IF(F168="",0,F168)*R168,2))</f>
        <v>0</v>
      </c>
      <c r="T168" s="26">
        <f>IF(B168="","",ROUND(S168+IF(H168="",0,H168)+IF(I168="",0,I168),2))</f>
        <v>0</v>
      </c>
      <c r="U168" s="37">
        <f>IF(B168="","",IF(J168="Received",IF(M168&lt;&gt;"",M168,IF(F168="",0,F168)),IF(J168="Part received",IF(M168="",0,M168),0)))</f>
        <v>0</v>
      </c>
      <c r="V168" s="37">
        <f>IF(B168="","",IF(J168="Ordered","",IF(J168="Draft","",ROUND(IF(F168="",0,F168)-U168,2))))</f>
        <v>0</v>
      </c>
      <c r="W168" s="25">
        <f>IF(B168="","",IF(L168="","",L168-B168))</f>
        <v>0</v>
      </c>
      <c r="X168" s="26">
        <f>IF(B168="","",IF(G168="","",IFERROR(ROUND(G168-INDEX(Inventory!$H$5:$H$304,MATCH(D168,Inventory!$A$5:$A$304,0)),2),"")))</f>
        <v>0</v>
      </c>
      <c r="Y168" s="39">
        <f>IF(B168="","",IF(D168="","Add - which product?",IF(J168="","Add - no status yet",IF(IF(J168="Ordered",IF(K168="",FALSE,K168&lt;TodayDate),FALSE),"Late - expected and not arrived",IF(V168&gt;0,"Check - delivery came up short",IF(IF(X168="",FALSE,X168&gt;0),"Check - cost has gone up",IF(O168&lt;&gt;"Yes","Due - invoice not paid","OK")))))))</f>
        <v>0</v>
      </c>
    </row>
    <row r="169" spans="1:25">
      <c r="A169" s="28">
        <f>IF(B169="","",PurchasePrefix&amp;TEXT(ROW()-4,"0000"))</f>
        <v>0</v>
      </c>
      <c r="E169" s="15">
        <f>IF(D169="","",IFERROR(INDEX(Inventory!$B$5:$B$304,MATCH(D169,Inventory!$A$5:$A$304,0)),"Not in Inventory"))</f>
        <v>0</v>
      </c>
      <c r="Q169" s="15">
        <f>IF(B169="","",TEXT(B169,"yyyy-mm"))</f>
        <v>0</v>
      </c>
      <c r="R169" s="26">
        <f>IF(B169="","",IF(G169&lt;&gt;"",G169,IFERROR(INDEX(Inventory!$H$5:$H$304,MATCH(D169,Inventory!$A$5:$A$304,0))*1,0)))</f>
        <v>0</v>
      </c>
      <c r="S169" s="26">
        <f>IF(B169="","",ROUND(IF(F169="",0,F169)*R169,2))</f>
        <v>0</v>
      </c>
      <c r="T169" s="26">
        <f>IF(B169="","",ROUND(S169+IF(H169="",0,H169)+IF(I169="",0,I169),2))</f>
        <v>0</v>
      </c>
      <c r="U169" s="37">
        <f>IF(B169="","",IF(J169="Received",IF(M169&lt;&gt;"",M169,IF(F169="",0,F169)),IF(J169="Part received",IF(M169="",0,M169),0)))</f>
        <v>0</v>
      </c>
      <c r="V169" s="37">
        <f>IF(B169="","",IF(J169="Ordered","",IF(J169="Draft","",ROUND(IF(F169="",0,F169)-U169,2))))</f>
        <v>0</v>
      </c>
      <c r="W169" s="25">
        <f>IF(B169="","",IF(L169="","",L169-B169))</f>
        <v>0</v>
      </c>
      <c r="X169" s="26">
        <f>IF(B169="","",IF(G169="","",IFERROR(ROUND(G169-INDEX(Inventory!$H$5:$H$304,MATCH(D169,Inventory!$A$5:$A$304,0)),2),"")))</f>
        <v>0</v>
      </c>
      <c r="Y169" s="39">
        <f>IF(B169="","",IF(D169="","Add - which product?",IF(J169="","Add - no status yet",IF(IF(J169="Ordered",IF(K169="",FALSE,K169&lt;TodayDate),FALSE),"Late - expected and not arrived",IF(V169&gt;0,"Check - delivery came up short",IF(IF(X169="",FALSE,X169&gt;0),"Check - cost has gone up",IF(O169&lt;&gt;"Yes","Due - invoice not paid","OK")))))))</f>
        <v>0</v>
      </c>
    </row>
    <row r="170" spans="1:25">
      <c r="A170" s="28">
        <f>IF(B170="","",PurchasePrefix&amp;TEXT(ROW()-4,"0000"))</f>
        <v>0</v>
      </c>
      <c r="E170" s="15">
        <f>IF(D170="","",IFERROR(INDEX(Inventory!$B$5:$B$304,MATCH(D170,Inventory!$A$5:$A$304,0)),"Not in Inventory"))</f>
        <v>0</v>
      </c>
      <c r="Q170" s="15">
        <f>IF(B170="","",TEXT(B170,"yyyy-mm"))</f>
        <v>0</v>
      </c>
      <c r="R170" s="26">
        <f>IF(B170="","",IF(G170&lt;&gt;"",G170,IFERROR(INDEX(Inventory!$H$5:$H$304,MATCH(D170,Inventory!$A$5:$A$304,0))*1,0)))</f>
        <v>0</v>
      </c>
      <c r="S170" s="26">
        <f>IF(B170="","",ROUND(IF(F170="",0,F170)*R170,2))</f>
        <v>0</v>
      </c>
      <c r="T170" s="26">
        <f>IF(B170="","",ROUND(S170+IF(H170="",0,H170)+IF(I170="",0,I170),2))</f>
        <v>0</v>
      </c>
      <c r="U170" s="37">
        <f>IF(B170="","",IF(J170="Received",IF(M170&lt;&gt;"",M170,IF(F170="",0,F170)),IF(J170="Part received",IF(M170="",0,M170),0)))</f>
        <v>0</v>
      </c>
      <c r="V170" s="37">
        <f>IF(B170="","",IF(J170="Ordered","",IF(J170="Draft","",ROUND(IF(F170="",0,F170)-U170,2))))</f>
        <v>0</v>
      </c>
      <c r="W170" s="25">
        <f>IF(B170="","",IF(L170="","",L170-B170))</f>
        <v>0</v>
      </c>
      <c r="X170" s="26">
        <f>IF(B170="","",IF(G170="","",IFERROR(ROUND(G170-INDEX(Inventory!$H$5:$H$304,MATCH(D170,Inventory!$A$5:$A$304,0)),2),"")))</f>
        <v>0</v>
      </c>
      <c r="Y170" s="39">
        <f>IF(B170="","",IF(D170="","Add - which product?",IF(J170="","Add - no status yet",IF(IF(J170="Ordered",IF(K170="",FALSE,K170&lt;TodayDate),FALSE),"Late - expected and not arrived",IF(V170&gt;0,"Check - delivery came up short",IF(IF(X170="",FALSE,X170&gt;0),"Check - cost has gone up",IF(O170&lt;&gt;"Yes","Due - invoice not paid","OK")))))))</f>
        <v>0</v>
      </c>
    </row>
    <row r="171" spans="1:25">
      <c r="A171" s="28">
        <f>IF(B171="","",PurchasePrefix&amp;TEXT(ROW()-4,"0000"))</f>
        <v>0</v>
      </c>
      <c r="E171" s="15">
        <f>IF(D171="","",IFERROR(INDEX(Inventory!$B$5:$B$304,MATCH(D171,Inventory!$A$5:$A$304,0)),"Not in Inventory"))</f>
        <v>0</v>
      </c>
      <c r="Q171" s="15">
        <f>IF(B171="","",TEXT(B171,"yyyy-mm"))</f>
        <v>0</v>
      </c>
      <c r="R171" s="26">
        <f>IF(B171="","",IF(G171&lt;&gt;"",G171,IFERROR(INDEX(Inventory!$H$5:$H$304,MATCH(D171,Inventory!$A$5:$A$304,0))*1,0)))</f>
        <v>0</v>
      </c>
      <c r="S171" s="26">
        <f>IF(B171="","",ROUND(IF(F171="",0,F171)*R171,2))</f>
        <v>0</v>
      </c>
      <c r="T171" s="26">
        <f>IF(B171="","",ROUND(S171+IF(H171="",0,H171)+IF(I171="",0,I171),2))</f>
        <v>0</v>
      </c>
      <c r="U171" s="37">
        <f>IF(B171="","",IF(J171="Received",IF(M171&lt;&gt;"",M171,IF(F171="",0,F171)),IF(J171="Part received",IF(M171="",0,M171),0)))</f>
        <v>0</v>
      </c>
      <c r="V171" s="37">
        <f>IF(B171="","",IF(J171="Ordered","",IF(J171="Draft","",ROUND(IF(F171="",0,F171)-U171,2))))</f>
        <v>0</v>
      </c>
      <c r="W171" s="25">
        <f>IF(B171="","",IF(L171="","",L171-B171))</f>
        <v>0</v>
      </c>
      <c r="X171" s="26">
        <f>IF(B171="","",IF(G171="","",IFERROR(ROUND(G171-INDEX(Inventory!$H$5:$H$304,MATCH(D171,Inventory!$A$5:$A$304,0)),2),"")))</f>
        <v>0</v>
      </c>
      <c r="Y171" s="39">
        <f>IF(B171="","",IF(D171="","Add - which product?",IF(J171="","Add - no status yet",IF(IF(J171="Ordered",IF(K171="",FALSE,K171&lt;TodayDate),FALSE),"Late - expected and not arrived",IF(V171&gt;0,"Check - delivery came up short",IF(IF(X171="",FALSE,X171&gt;0),"Check - cost has gone up",IF(O171&lt;&gt;"Yes","Due - invoice not paid","OK")))))))</f>
        <v>0</v>
      </c>
    </row>
    <row r="172" spans="1:25">
      <c r="A172" s="28">
        <f>IF(B172="","",PurchasePrefix&amp;TEXT(ROW()-4,"0000"))</f>
        <v>0</v>
      </c>
      <c r="E172" s="15">
        <f>IF(D172="","",IFERROR(INDEX(Inventory!$B$5:$B$304,MATCH(D172,Inventory!$A$5:$A$304,0)),"Not in Inventory"))</f>
        <v>0</v>
      </c>
      <c r="Q172" s="15">
        <f>IF(B172="","",TEXT(B172,"yyyy-mm"))</f>
        <v>0</v>
      </c>
      <c r="R172" s="26">
        <f>IF(B172="","",IF(G172&lt;&gt;"",G172,IFERROR(INDEX(Inventory!$H$5:$H$304,MATCH(D172,Inventory!$A$5:$A$304,0))*1,0)))</f>
        <v>0</v>
      </c>
      <c r="S172" s="26">
        <f>IF(B172="","",ROUND(IF(F172="",0,F172)*R172,2))</f>
        <v>0</v>
      </c>
      <c r="T172" s="26">
        <f>IF(B172="","",ROUND(S172+IF(H172="",0,H172)+IF(I172="",0,I172),2))</f>
        <v>0</v>
      </c>
      <c r="U172" s="37">
        <f>IF(B172="","",IF(J172="Received",IF(M172&lt;&gt;"",M172,IF(F172="",0,F172)),IF(J172="Part received",IF(M172="",0,M172),0)))</f>
        <v>0</v>
      </c>
      <c r="V172" s="37">
        <f>IF(B172="","",IF(J172="Ordered","",IF(J172="Draft","",ROUND(IF(F172="",0,F172)-U172,2))))</f>
        <v>0</v>
      </c>
      <c r="W172" s="25">
        <f>IF(B172="","",IF(L172="","",L172-B172))</f>
        <v>0</v>
      </c>
      <c r="X172" s="26">
        <f>IF(B172="","",IF(G172="","",IFERROR(ROUND(G172-INDEX(Inventory!$H$5:$H$304,MATCH(D172,Inventory!$A$5:$A$304,0)),2),"")))</f>
        <v>0</v>
      </c>
      <c r="Y172" s="39">
        <f>IF(B172="","",IF(D172="","Add - which product?",IF(J172="","Add - no status yet",IF(IF(J172="Ordered",IF(K172="",FALSE,K172&lt;TodayDate),FALSE),"Late - expected and not arrived",IF(V172&gt;0,"Check - delivery came up short",IF(IF(X172="",FALSE,X172&gt;0),"Check - cost has gone up",IF(O172&lt;&gt;"Yes","Due - invoice not paid","OK")))))))</f>
        <v>0</v>
      </c>
    </row>
    <row r="173" spans="1:25">
      <c r="A173" s="28">
        <f>IF(B173="","",PurchasePrefix&amp;TEXT(ROW()-4,"0000"))</f>
        <v>0</v>
      </c>
      <c r="E173" s="15">
        <f>IF(D173="","",IFERROR(INDEX(Inventory!$B$5:$B$304,MATCH(D173,Inventory!$A$5:$A$304,0)),"Not in Inventory"))</f>
        <v>0</v>
      </c>
      <c r="Q173" s="15">
        <f>IF(B173="","",TEXT(B173,"yyyy-mm"))</f>
        <v>0</v>
      </c>
      <c r="R173" s="26">
        <f>IF(B173="","",IF(G173&lt;&gt;"",G173,IFERROR(INDEX(Inventory!$H$5:$H$304,MATCH(D173,Inventory!$A$5:$A$304,0))*1,0)))</f>
        <v>0</v>
      </c>
      <c r="S173" s="26">
        <f>IF(B173="","",ROUND(IF(F173="",0,F173)*R173,2))</f>
        <v>0</v>
      </c>
      <c r="T173" s="26">
        <f>IF(B173="","",ROUND(S173+IF(H173="",0,H173)+IF(I173="",0,I173),2))</f>
        <v>0</v>
      </c>
      <c r="U173" s="37">
        <f>IF(B173="","",IF(J173="Received",IF(M173&lt;&gt;"",M173,IF(F173="",0,F173)),IF(J173="Part received",IF(M173="",0,M173),0)))</f>
        <v>0</v>
      </c>
      <c r="V173" s="37">
        <f>IF(B173="","",IF(J173="Ordered","",IF(J173="Draft","",ROUND(IF(F173="",0,F173)-U173,2))))</f>
        <v>0</v>
      </c>
      <c r="W173" s="25">
        <f>IF(B173="","",IF(L173="","",L173-B173))</f>
        <v>0</v>
      </c>
      <c r="X173" s="26">
        <f>IF(B173="","",IF(G173="","",IFERROR(ROUND(G173-INDEX(Inventory!$H$5:$H$304,MATCH(D173,Inventory!$A$5:$A$304,0)),2),"")))</f>
        <v>0</v>
      </c>
      <c r="Y173" s="39">
        <f>IF(B173="","",IF(D173="","Add - which product?",IF(J173="","Add - no status yet",IF(IF(J173="Ordered",IF(K173="",FALSE,K173&lt;TodayDate),FALSE),"Late - expected and not arrived",IF(V173&gt;0,"Check - delivery came up short",IF(IF(X173="",FALSE,X173&gt;0),"Check - cost has gone up",IF(O173&lt;&gt;"Yes","Due - invoice not paid","OK")))))))</f>
        <v>0</v>
      </c>
    </row>
    <row r="174" spans="1:25">
      <c r="A174" s="28">
        <f>IF(B174="","",PurchasePrefix&amp;TEXT(ROW()-4,"0000"))</f>
        <v>0</v>
      </c>
      <c r="E174" s="15">
        <f>IF(D174="","",IFERROR(INDEX(Inventory!$B$5:$B$304,MATCH(D174,Inventory!$A$5:$A$304,0)),"Not in Inventory"))</f>
        <v>0</v>
      </c>
      <c r="Q174" s="15">
        <f>IF(B174="","",TEXT(B174,"yyyy-mm"))</f>
        <v>0</v>
      </c>
      <c r="R174" s="26">
        <f>IF(B174="","",IF(G174&lt;&gt;"",G174,IFERROR(INDEX(Inventory!$H$5:$H$304,MATCH(D174,Inventory!$A$5:$A$304,0))*1,0)))</f>
        <v>0</v>
      </c>
      <c r="S174" s="26">
        <f>IF(B174="","",ROUND(IF(F174="",0,F174)*R174,2))</f>
        <v>0</v>
      </c>
      <c r="T174" s="26">
        <f>IF(B174="","",ROUND(S174+IF(H174="",0,H174)+IF(I174="",0,I174),2))</f>
        <v>0</v>
      </c>
      <c r="U174" s="37">
        <f>IF(B174="","",IF(J174="Received",IF(M174&lt;&gt;"",M174,IF(F174="",0,F174)),IF(J174="Part received",IF(M174="",0,M174),0)))</f>
        <v>0</v>
      </c>
      <c r="V174" s="37">
        <f>IF(B174="","",IF(J174="Ordered","",IF(J174="Draft","",ROUND(IF(F174="",0,F174)-U174,2))))</f>
        <v>0</v>
      </c>
      <c r="W174" s="25">
        <f>IF(B174="","",IF(L174="","",L174-B174))</f>
        <v>0</v>
      </c>
      <c r="X174" s="26">
        <f>IF(B174="","",IF(G174="","",IFERROR(ROUND(G174-INDEX(Inventory!$H$5:$H$304,MATCH(D174,Inventory!$A$5:$A$304,0)),2),"")))</f>
        <v>0</v>
      </c>
      <c r="Y174" s="39">
        <f>IF(B174="","",IF(D174="","Add - which product?",IF(J174="","Add - no status yet",IF(IF(J174="Ordered",IF(K174="",FALSE,K174&lt;TodayDate),FALSE),"Late - expected and not arrived",IF(V174&gt;0,"Check - delivery came up short",IF(IF(X174="",FALSE,X174&gt;0),"Check - cost has gone up",IF(O174&lt;&gt;"Yes","Due - invoice not paid","OK")))))))</f>
        <v>0</v>
      </c>
    </row>
    <row r="175" spans="1:25">
      <c r="A175" s="28">
        <f>IF(B175="","",PurchasePrefix&amp;TEXT(ROW()-4,"0000"))</f>
        <v>0</v>
      </c>
      <c r="E175" s="15">
        <f>IF(D175="","",IFERROR(INDEX(Inventory!$B$5:$B$304,MATCH(D175,Inventory!$A$5:$A$304,0)),"Not in Inventory"))</f>
        <v>0</v>
      </c>
      <c r="Q175" s="15">
        <f>IF(B175="","",TEXT(B175,"yyyy-mm"))</f>
        <v>0</v>
      </c>
      <c r="R175" s="26">
        <f>IF(B175="","",IF(G175&lt;&gt;"",G175,IFERROR(INDEX(Inventory!$H$5:$H$304,MATCH(D175,Inventory!$A$5:$A$304,0))*1,0)))</f>
        <v>0</v>
      </c>
      <c r="S175" s="26">
        <f>IF(B175="","",ROUND(IF(F175="",0,F175)*R175,2))</f>
        <v>0</v>
      </c>
      <c r="T175" s="26">
        <f>IF(B175="","",ROUND(S175+IF(H175="",0,H175)+IF(I175="",0,I175),2))</f>
        <v>0</v>
      </c>
      <c r="U175" s="37">
        <f>IF(B175="","",IF(J175="Received",IF(M175&lt;&gt;"",M175,IF(F175="",0,F175)),IF(J175="Part received",IF(M175="",0,M175),0)))</f>
        <v>0</v>
      </c>
      <c r="V175" s="37">
        <f>IF(B175="","",IF(J175="Ordered","",IF(J175="Draft","",ROUND(IF(F175="",0,F175)-U175,2))))</f>
        <v>0</v>
      </c>
      <c r="W175" s="25">
        <f>IF(B175="","",IF(L175="","",L175-B175))</f>
        <v>0</v>
      </c>
      <c r="X175" s="26">
        <f>IF(B175="","",IF(G175="","",IFERROR(ROUND(G175-INDEX(Inventory!$H$5:$H$304,MATCH(D175,Inventory!$A$5:$A$304,0)),2),"")))</f>
        <v>0</v>
      </c>
      <c r="Y175" s="39">
        <f>IF(B175="","",IF(D175="","Add - which product?",IF(J175="","Add - no status yet",IF(IF(J175="Ordered",IF(K175="",FALSE,K175&lt;TodayDate),FALSE),"Late - expected and not arrived",IF(V175&gt;0,"Check - delivery came up short",IF(IF(X175="",FALSE,X175&gt;0),"Check - cost has gone up",IF(O175&lt;&gt;"Yes","Due - invoice not paid","OK")))))))</f>
        <v>0</v>
      </c>
    </row>
    <row r="176" spans="1:25">
      <c r="A176" s="28">
        <f>IF(B176="","",PurchasePrefix&amp;TEXT(ROW()-4,"0000"))</f>
        <v>0</v>
      </c>
      <c r="E176" s="15">
        <f>IF(D176="","",IFERROR(INDEX(Inventory!$B$5:$B$304,MATCH(D176,Inventory!$A$5:$A$304,0)),"Not in Inventory"))</f>
        <v>0</v>
      </c>
      <c r="Q176" s="15">
        <f>IF(B176="","",TEXT(B176,"yyyy-mm"))</f>
        <v>0</v>
      </c>
      <c r="R176" s="26">
        <f>IF(B176="","",IF(G176&lt;&gt;"",G176,IFERROR(INDEX(Inventory!$H$5:$H$304,MATCH(D176,Inventory!$A$5:$A$304,0))*1,0)))</f>
        <v>0</v>
      </c>
      <c r="S176" s="26">
        <f>IF(B176="","",ROUND(IF(F176="",0,F176)*R176,2))</f>
        <v>0</v>
      </c>
      <c r="T176" s="26">
        <f>IF(B176="","",ROUND(S176+IF(H176="",0,H176)+IF(I176="",0,I176),2))</f>
        <v>0</v>
      </c>
      <c r="U176" s="37">
        <f>IF(B176="","",IF(J176="Received",IF(M176&lt;&gt;"",M176,IF(F176="",0,F176)),IF(J176="Part received",IF(M176="",0,M176),0)))</f>
        <v>0</v>
      </c>
      <c r="V176" s="37">
        <f>IF(B176="","",IF(J176="Ordered","",IF(J176="Draft","",ROUND(IF(F176="",0,F176)-U176,2))))</f>
        <v>0</v>
      </c>
      <c r="W176" s="25">
        <f>IF(B176="","",IF(L176="","",L176-B176))</f>
        <v>0</v>
      </c>
      <c r="X176" s="26">
        <f>IF(B176="","",IF(G176="","",IFERROR(ROUND(G176-INDEX(Inventory!$H$5:$H$304,MATCH(D176,Inventory!$A$5:$A$304,0)),2),"")))</f>
        <v>0</v>
      </c>
      <c r="Y176" s="39">
        <f>IF(B176="","",IF(D176="","Add - which product?",IF(J176="","Add - no status yet",IF(IF(J176="Ordered",IF(K176="",FALSE,K176&lt;TodayDate),FALSE),"Late - expected and not arrived",IF(V176&gt;0,"Check - delivery came up short",IF(IF(X176="",FALSE,X176&gt;0),"Check - cost has gone up",IF(O176&lt;&gt;"Yes","Due - invoice not paid","OK")))))))</f>
        <v>0</v>
      </c>
    </row>
    <row r="177" spans="1:25">
      <c r="A177" s="28">
        <f>IF(B177="","",PurchasePrefix&amp;TEXT(ROW()-4,"0000"))</f>
        <v>0</v>
      </c>
      <c r="E177" s="15">
        <f>IF(D177="","",IFERROR(INDEX(Inventory!$B$5:$B$304,MATCH(D177,Inventory!$A$5:$A$304,0)),"Not in Inventory"))</f>
        <v>0</v>
      </c>
      <c r="Q177" s="15">
        <f>IF(B177="","",TEXT(B177,"yyyy-mm"))</f>
        <v>0</v>
      </c>
      <c r="R177" s="26">
        <f>IF(B177="","",IF(G177&lt;&gt;"",G177,IFERROR(INDEX(Inventory!$H$5:$H$304,MATCH(D177,Inventory!$A$5:$A$304,0))*1,0)))</f>
        <v>0</v>
      </c>
      <c r="S177" s="26">
        <f>IF(B177="","",ROUND(IF(F177="",0,F177)*R177,2))</f>
        <v>0</v>
      </c>
      <c r="T177" s="26">
        <f>IF(B177="","",ROUND(S177+IF(H177="",0,H177)+IF(I177="",0,I177),2))</f>
        <v>0</v>
      </c>
      <c r="U177" s="37">
        <f>IF(B177="","",IF(J177="Received",IF(M177&lt;&gt;"",M177,IF(F177="",0,F177)),IF(J177="Part received",IF(M177="",0,M177),0)))</f>
        <v>0</v>
      </c>
      <c r="V177" s="37">
        <f>IF(B177="","",IF(J177="Ordered","",IF(J177="Draft","",ROUND(IF(F177="",0,F177)-U177,2))))</f>
        <v>0</v>
      </c>
      <c r="W177" s="25">
        <f>IF(B177="","",IF(L177="","",L177-B177))</f>
        <v>0</v>
      </c>
      <c r="X177" s="26">
        <f>IF(B177="","",IF(G177="","",IFERROR(ROUND(G177-INDEX(Inventory!$H$5:$H$304,MATCH(D177,Inventory!$A$5:$A$304,0)),2),"")))</f>
        <v>0</v>
      </c>
      <c r="Y177" s="39">
        <f>IF(B177="","",IF(D177="","Add - which product?",IF(J177="","Add - no status yet",IF(IF(J177="Ordered",IF(K177="",FALSE,K177&lt;TodayDate),FALSE),"Late - expected and not arrived",IF(V177&gt;0,"Check - delivery came up short",IF(IF(X177="",FALSE,X177&gt;0),"Check - cost has gone up",IF(O177&lt;&gt;"Yes","Due - invoice not paid","OK")))))))</f>
        <v>0</v>
      </c>
    </row>
    <row r="178" spans="1:25">
      <c r="A178" s="28">
        <f>IF(B178="","",PurchasePrefix&amp;TEXT(ROW()-4,"0000"))</f>
        <v>0</v>
      </c>
      <c r="E178" s="15">
        <f>IF(D178="","",IFERROR(INDEX(Inventory!$B$5:$B$304,MATCH(D178,Inventory!$A$5:$A$304,0)),"Not in Inventory"))</f>
        <v>0</v>
      </c>
      <c r="Q178" s="15">
        <f>IF(B178="","",TEXT(B178,"yyyy-mm"))</f>
        <v>0</v>
      </c>
      <c r="R178" s="26">
        <f>IF(B178="","",IF(G178&lt;&gt;"",G178,IFERROR(INDEX(Inventory!$H$5:$H$304,MATCH(D178,Inventory!$A$5:$A$304,0))*1,0)))</f>
        <v>0</v>
      </c>
      <c r="S178" s="26">
        <f>IF(B178="","",ROUND(IF(F178="",0,F178)*R178,2))</f>
        <v>0</v>
      </c>
      <c r="T178" s="26">
        <f>IF(B178="","",ROUND(S178+IF(H178="",0,H178)+IF(I178="",0,I178),2))</f>
        <v>0</v>
      </c>
      <c r="U178" s="37">
        <f>IF(B178="","",IF(J178="Received",IF(M178&lt;&gt;"",M178,IF(F178="",0,F178)),IF(J178="Part received",IF(M178="",0,M178),0)))</f>
        <v>0</v>
      </c>
      <c r="V178" s="37">
        <f>IF(B178="","",IF(J178="Ordered","",IF(J178="Draft","",ROUND(IF(F178="",0,F178)-U178,2))))</f>
        <v>0</v>
      </c>
      <c r="W178" s="25">
        <f>IF(B178="","",IF(L178="","",L178-B178))</f>
        <v>0</v>
      </c>
      <c r="X178" s="26">
        <f>IF(B178="","",IF(G178="","",IFERROR(ROUND(G178-INDEX(Inventory!$H$5:$H$304,MATCH(D178,Inventory!$A$5:$A$304,0)),2),"")))</f>
        <v>0</v>
      </c>
      <c r="Y178" s="39">
        <f>IF(B178="","",IF(D178="","Add - which product?",IF(J178="","Add - no status yet",IF(IF(J178="Ordered",IF(K178="",FALSE,K178&lt;TodayDate),FALSE),"Late - expected and not arrived",IF(V178&gt;0,"Check - delivery came up short",IF(IF(X178="",FALSE,X178&gt;0),"Check - cost has gone up",IF(O178&lt;&gt;"Yes","Due - invoice not paid","OK")))))))</f>
        <v>0</v>
      </c>
    </row>
    <row r="179" spans="1:25">
      <c r="A179" s="28">
        <f>IF(B179="","",PurchasePrefix&amp;TEXT(ROW()-4,"0000"))</f>
        <v>0</v>
      </c>
      <c r="E179" s="15">
        <f>IF(D179="","",IFERROR(INDEX(Inventory!$B$5:$B$304,MATCH(D179,Inventory!$A$5:$A$304,0)),"Not in Inventory"))</f>
        <v>0</v>
      </c>
      <c r="Q179" s="15">
        <f>IF(B179="","",TEXT(B179,"yyyy-mm"))</f>
        <v>0</v>
      </c>
      <c r="R179" s="26">
        <f>IF(B179="","",IF(G179&lt;&gt;"",G179,IFERROR(INDEX(Inventory!$H$5:$H$304,MATCH(D179,Inventory!$A$5:$A$304,0))*1,0)))</f>
        <v>0</v>
      </c>
      <c r="S179" s="26">
        <f>IF(B179="","",ROUND(IF(F179="",0,F179)*R179,2))</f>
        <v>0</v>
      </c>
      <c r="T179" s="26">
        <f>IF(B179="","",ROUND(S179+IF(H179="",0,H179)+IF(I179="",0,I179),2))</f>
        <v>0</v>
      </c>
      <c r="U179" s="37">
        <f>IF(B179="","",IF(J179="Received",IF(M179&lt;&gt;"",M179,IF(F179="",0,F179)),IF(J179="Part received",IF(M179="",0,M179),0)))</f>
        <v>0</v>
      </c>
      <c r="V179" s="37">
        <f>IF(B179="","",IF(J179="Ordered","",IF(J179="Draft","",ROUND(IF(F179="",0,F179)-U179,2))))</f>
        <v>0</v>
      </c>
      <c r="W179" s="25">
        <f>IF(B179="","",IF(L179="","",L179-B179))</f>
        <v>0</v>
      </c>
      <c r="X179" s="26">
        <f>IF(B179="","",IF(G179="","",IFERROR(ROUND(G179-INDEX(Inventory!$H$5:$H$304,MATCH(D179,Inventory!$A$5:$A$304,0)),2),"")))</f>
        <v>0</v>
      </c>
      <c r="Y179" s="39">
        <f>IF(B179="","",IF(D179="","Add - which product?",IF(J179="","Add - no status yet",IF(IF(J179="Ordered",IF(K179="",FALSE,K179&lt;TodayDate),FALSE),"Late - expected and not arrived",IF(V179&gt;0,"Check - delivery came up short",IF(IF(X179="",FALSE,X179&gt;0),"Check - cost has gone up",IF(O179&lt;&gt;"Yes","Due - invoice not paid","OK")))))))</f>
        <v>0</v>
      </c>
    </row>
    <row r="180" spans="1:25">
      <c r="A180" s="28">
        <f>IF(B180="","",PurchasePrefix&amp;TEXT(ROW()-4,"0000"))</f>
        <v>0</v>
      </c>
      <c r="E180" s="15">
        <f>IF(D180="","",IFERROR(INDEX(Inventory!$B$5:$B$304,MATCH(D180,Inventory!$A$5:$A$304,0)),"Not in Inventory"))</f>
        <v>0</v>
      </c>
      <c r="Q180" s="15">
        <f>IF(B180="","",TEXT(B180,"yyyy-mm"))</f>
        <v>0</v>
      </c>
      <c r="R180" s="26">
        <f>IF(B180="","",IF(G180&lt;&gt;"",G180,IFERROR(INDEX(Inventory!$H$5:$H$304,MATCH(D180,Inventory!$A$5:$A$304,0))*1,0)))</f>
        <v>0</v>
      </c>
      <c r="S180" s="26">
        <f>IF(B180="","",ROUND(IF(F180="",0,F180)*R180,2))</f>
        <v>0</v>
      </c>
      <c r="T180" s="26">
        <f>IF(B180="","",ROUND(S180+IF(H180="",0,H180)+IF(I180="",0,I180),2))</f>
        <v>0</v>
      </c>
      <c r="U180" s="37">
        <f>IF(B180="","",IF(J180="Received",IF(M180&lt;&gt;"",M180,IF(F180="",0,F180)),IF(J180="Part received",IF(M180="",0,M180),0)))</f>
        <v>0</v>
      </c>
      <c r="V180" s="37">
        <f>IF(B180="","",IF(J180="Ordered","",IF(J180="Draft","",ROUND(IF(F180="",0,F180)-U180,2))))</f>
        <v>0</v>
      </c>
      <c r="W180" s="25">
        <f>IF(B180="","",IF(L180="","",L180-B180))</f>
        <v>0</v>
      </c>
      <c r="X180" s="26">
        <f>IF(B180="","",IF(G180="","",IFERROR(ROUND(G180-INDEX(Inventory!$H$5:$H$304,MATCH(D180,Inventory!$A$5:$A$304,0)),2),"")))</f>
        <v>0</v>
      </c>
      <c r="Y180" s="39">
        <f>IF(B180="","",IF(D180="","Add - which product?",IF(J180="","Add - no status yet",IF(IF(J180="Ordered",IF(K180="",FALSE,K180&lt;TodayDate),FALSE),"Late - expected and not arrived",IF(V180&gt;0,"Check - delivery came up short",IF(IF(X180="",FALSE,X180&gt;0),"Check - cost has gone up",IF(O180&lt;&gt;"Yes","Due - invoice not paid","OK")))))))</f>
        <v>0</v>
      </c>
    </row>
    <row r="181" spans="1:25">
      <c r="A181" s="28">
        <f>IF(B181="","",PurchasePrefix&amp;TEXT(ROW()-4,"0000"))</f>
        <v>0</v>
      </c>
      <c r="E181" s="15">
        <f>IF(D181="","",IFERROR(INDEX(Inventory!$B$5:$B$304,MATCH(D181,Inventory!$A$5:$A$304,0)),"Not in Inventory"))</f>
        <v>0</v>
      </c>
      <c r="Q181" s="15">
        <f>IF(B181="","",TEXT(B181,"yyyy-mm"))</f>
        <v>0</v>
      </c>
      <c r="R181" s="26">
        <f>IF(B181="","",IF(G181&lt;&gt;"",G181,IFERROR(INDEX(Inventory!$H$5:$H$304,MATCH(D181,Inventory!$A$5:$A$304,0))*1,0)))</f>
        <v>0</v>
      </c>
      <c r="S181" s="26">
        <f>IF(B181="","",ROUND(IF(F181="",0,F181)*R181,2))</f>
        <v>0</v>
      </c>
      <c r="T181" s="26">
        <f>IF(B181="","",ROUND(S181+IF(H181="",0,H181)+IF(I181="",0,I181),2))</f>
        <v>0</v>
      </c>
      <c r="U181" s="37">
        <f>IF(B181="","",IF(J181="Received",IF(M181&lt;&gt;"",M181,IF(F181="",0,F181)),IF(J181="Part received",IF(M181="",0,M181),0)))</f>
        <v>0</v>
      </c>
      <c r="V181" s="37">
        <f>IF(B181="","",IF(J181="Ordered","",IF(J181="Draft","",ROUND(IF(F181="",0,F181)-U181,2))))</f>
        <v>0</v>
      </c>
      <c r="W181" s="25">
        <f>IF(B181="","",IF(L181="","",L181-B181))</f>
        <v>0</v>
      </c>
      <c r="X181" s="26">
        <f>IF(B181="","",IF(G181="","",IFERROR(ROUND(G181-INDEX(Inventory!$H$5:$H$304,MATCH(D181,Inventory!$A$5:$A$304,0)),2),"")))</f>
        <v>0</v>
      </c>
      <c r="Y181" s="39">
        <f>IF(B181="","",IF(D181="","Add - which product?",IF(J181="","Add - no status yet",IF(IF(J181="Ordered",IF(K181="",FALSE,K181&lt;TodayDate),FALSE),"Late - expected and not arrived",IF(V181&gt;0,"Check - delivery came up short",IF(IF(X181="",FALSE,X181&gt;0),"Check - cost has gone up",IF(O181&lt;&gt;"Yes","Due - invoice not paid","OK")))))))</f>
        <v>0</v>
      </c>
    </row>
    <row r="182" spans="1:25">
      <c r="A182" s="28">
        <f>IF(B182="","",PurchasePrefix&amp;TEXT(ROW()-4,"0000"))</f>
        <v>0</v>
      </c>
      <c r="E182" s="15">
        <f>IF(D182="","",IFERROR(INDEX(Inventory!$B$5:$B$304,MATCH(D182,Inventory!$A$5:$A$304,0)),"Not in Inventory"))</f>
        <v>0</v>
      </c>
      <c r="Q182" s="15">
        <f>IF(B182="","",TEXT(B182,"yyyy-mm"))</f>
        <v>0</v>
      </c>
      <c r="R182" s="26">
        <f>IF(B182="","",IF(G182&lt;&gt;"",G182,IFERROR(INDEX(Inventory!$H$5:$H$304,MATCH(D182,Inventory!$A$5:$A$304,0))*1,0)))</f>
        <v>0</v>
      </c>
      <c r="S182" s="26">
        <f>IF(B182="","",ROUND(IF(F182="",0,F182)*R182,2))</f>
        <v>0</v>
      </c>
      <c r="T182" s="26">
        <f>IF(B182="","",ROUND(S182+IF(H182="",0,H182)+IF(I182="",0,I182),2))</f>
        <v>0</v>
      </c>
      <c r="U182" s="37">
        <f>IF(B182="","",IF(J182="Received",IF(M182&lt;&gt;"",M182,IF(F182="",0,F182)),IF(J182="Part received",IF(M182="",0,M182),0)))</f>
        <v>0</v>
      </c>
      <c r="V182" s="37">
        <f>IF(B182="","",IF(J182="Ordered","",IF(J182="Draft","",ROUND(IF(F182="",0,F182)-U182,2))))</f>
        <v>0</v>
      </c>
      <c r="W182" s="25">
        <f>IF(B182="","",IF(L182="","",L182-B182))</f>
        <v>0</v>
      </c>
      <c r="X182" s="26">
        <f>IF(B182="","",IF(G182="","",IFERROR(ROUND(G182-INDEX(Inventory!$H$5:$H$304,MATCH(D182,Inventory!$A$5:$A$304,0)),2),"")))</f>
        <v>0</v>
      </c>
      <c r="Y182" s="39">
        <f>IF(B182="","",IF(D182="","Add - which product?",IF(J182="","Add - no status yet",IF(IF(J182="Ordered",IF(K182="",FALSE,K182&lt;TodayDate),FALSE),"Late - expected and not arrived",IF(V182&gt;0,"Check - delivery came up short",IF(IF(X182="",FALSE,X182&gt;0),"Check - cost has gone up",IF(O182&lt;&gt;"Yes","Due - invoice not paid","OK")))))))</f>
        <v>0</v>
      </c>
    </row>
    <row r="183" spans="1:25">
      <c r="A183" s="28">
        <f>IF(B183="","",PurchasePrefix&amp;TEXT(ROW()-4,"0000"))</f>
        <v>0</v>
      </c>
      <c r="E183" s="15">
        <f>IF(D183="","",IFERROR(INDEX(Inventory!$B$5:$B$304,MATCH(D183,Inventory!$A$5:$A$304,0)),"Not in Inventory"))</f>
        <v>0</v>
      </c>
      <c r="Q183" s="15">
        <f>IF(B183="","",TEXT(B183,"yyyy-mm"))</f>
        <v>0</v>
      </c>
      <c r="R183" s="26">
        <f>IF(B183="","",IF(G183&lt;&gt;"",G183,IFERROR(INDEX(Inventory!$H$5:$H$304,MATCH(D183,Inventory!$A$5:$A$304,0))*1,0)))</f>
        <v>0</v>
      </c>
      <c r="S183" s="26">
        <f>IF(B183="","",ROUND(IF(F183="",0,F183)*R183,2))</f>
        <v>0</v>
      </c>
      <c r="T183" s="26">
        <f>IF(B183="","",ROUND(S183+IF(H183="",0,H183)+IF(I183="",0,I183),2))</f>
        <v>0</v>
      </c>
      <c r="U183" s="37">
        <f>IF(B183="","",IF(J183="Received",IF(M183&lt;&gt;"",M183,IF(F183="",0,F183)),IF(J183="Part received",IF(M183="",0,M183),0)))</f>
        <v>0</v>
      </c>
      <c r="V183" s="37">
        <f>IF(B183="","",IF(J183="Ordered","",IF(J183="Draft","",ROUND(IF(F183="",0,F183)-U183,2))))</f>
        <v>0</v>
      </c>
      <c r="W183" s="25">
        <f>IF(B183="","",IF(L183="","",L183-B183))</f>
        <v>0</v>
      </c>
      <c r="X183" s="26">
        <f>IF(B183="","",IF(G183="","",IFERROR(ROUND(G183-INDEX(Inventory!$H$5:$H$304,MATCH(D183,Inventory!$A$5:$A$304,0)),2),"")))</f>
        <v>0</v>
      </c>
      <c r="Y183" s="39">
        <f>IF(B183="","",IF(D183="","Add - which product?",IF(J183="","Add - no status yet",IF(IF(J183="Ordered",IF(K183="",FALSE,K183&lt;TodayDate),FALSE),"Late - expected and not arrived",IF(V183&gt;0,"Check - delivery came up short",IF(IF(X183="",FALSE,X183&gt;0),"Check - cost has gone up",IF(O183&lt;&gt;"Yes","Due - invoice not paid","OK")))))))</f>
        <v>0</v>
      </c>
    </row>
    <row r="184" spans="1:25">
      <c r="A184" s="28">
        <f>IF(B184="","",PurchasePrefix&amp;TEXT(ROW()-4,"0000"))</f>
        <v>0</v>
      </c>
      <c r="E184" s="15">
        <f>IF(D184="","",IFERROR(INDEX(Inventory!$B$5:$B$304,MATCH(D184,Inventory!$A$5:$A$304,0)),"Not in Inventory"))</f>
        <v>0</v>
      </c>
      <c r="Q184" s="15">
        <f>IF(B184="","",TEXT(B184,"yyyy-mm"))</f>
        <v>0</v>
      </c>
      <c r="R184" s="26">
        <f>IF(B184="","",IF(G184&lt;&gt;"",G184,IFERROR(INDEX(Inventory!$H$5:$H$304,MATCH(D184,Inventory!$A$5:$A$304,0))*1,0)))</f>
        <v>0</v>
      </c>
      <c r="S184" s="26">
        <f>IF(B184="","",ROUND(IF(F184="",0,F184)*R184,2))</f>
        <v>0</v>
      </c>
      <c r="T184" s="26">
        <f>IF(B184="","",ROUND(S184+IF(H184="",0,H184)+IF(I184="",0,I184),2))</f>
        <v>0</v>
      </c>
      <c r="U184" s="37">
        <f>IF(B184="","",IF(J184="Received",IF(M184&lt;&gt;"",M184,IF(F184="",0,F184)),IF(J184="Part received",IF(M184="",0,M184),0)))</f>
        <v>0</v>
      </c>
      <c r="V184" s="37">
        <f>IF(B184="","",IF(J184="Ordered","",IF(J184="Draft","",ROUND(IF(F184="",0,F184)-U184,2))))</f>
        <v>0</v>
      </c>
      <c r="W184" s="25">
        <f>IF(B184="","",IF(L184="","",L184-B184))</f>
        <v>0</v>
      </c>
      <c r="X184" s="26">
        <f>IF(B184="","",IF(G184="","",IFERROR(ROUND(G184-INDEX(Inventory!$H$5:$H$304,MATCH(D184,Inventory!$A$5:$A$304,0)),2),"")))</f>
        <v>0</v>
      </c>
      <c r="Y184" s="39">
        <f>IF(B184="","",IF(D184="","Add - which product?",IF(J184="","Add - no status yet",IF(IF(J184="Ordered",IF(K184="",FALSE,K184&lt;TodayDate),FALSE),"Late - expected and not arrived",IF(V184&gt;0,"Check - delivery came up short",IF(IF(X184="",FALSE,X184&gt;0),"Check - cost has gone up",IF(O184&lt;&gt;"Yes","Due - invoice not paid","OK")))))))</f>
        <v>0</v>
      </c>
    </row>
    <row r="185" spans="1:25">
      <c r="A185" s="28">
        <f>IF(B185="","",PurchasePrefix&amp;TEXT(ROW()-4,"0000"))</f>
        <v>0</v>
      </c>
      <c r="E185" s="15">
        <f>IF(D185="","",IFERROR(INDEX(Inventory!$B$5:$B$304,MATCH(D185,Inventory!$A$5:$A$304,0)),"Not in Inventory"))</f>
        <v>0</v>
      </c>
      <c r="Q185" s="15">
        <f>IF(B185="","",TEXT(B185,"yyyy-mm"))</f>
        <v>0</v>
      </c>
      <c r="R185" s="26">
        <f>IF(B185="","",IF(G185&lt;&gt;"",G185,IFERROR(INDEX(Inventory!$H$5:$H$304,MATCH(D185,Inventory!$A$5:$A$304,0))*1,0)))</f>
        <v>0</v>
      </c>
      <c r="S185" s="26">
        <f>IF(B185="","",ROUND(IF(F185="",0,F185)*R185,2))</f>
        <v>0</v>
      </c>
      <c r="T185" s="26">
        <f>IF(B185="","",ROUND(S185+IF(H185="",0,H185)+IF(I185="",0,I185),2))</f>
        <v>0</v>
      </c>
      <c r="U185" s="37">
        <f>IF(B185="","",IF(J185="Received",IF(M185&lt;&gt;"",M185,IF(F185="",0,F185)),IF(J185="Part received",IF(M185="",0,M185),0)))</f>
        <v>0</v>
      </c>
      <c r="V185" s="37">
        <f>IF(B185="","",IF(J185="Ordered","",IF(J185="Draft","",ROUND(IF(F185="",0,F185)-U185,2))))</f>
        <v>0</v>
      </c>
      <c r="W185" s="25">
        <f>IF(B185="","",IF(L185="","",L185-B185))</f>
        <v>0</v>
      </c>
      <c r="X185" s="26">
        <f>IF(B185="","",IF(G185="","",IFERROR(ROUND(G185-INDEX(Inventory!$H$5:$H$304,MATCH(D185,Inventory!$A$5:$A$304,0)),2),"")))</f>
        <v>0</v>
      </c>
      <c r="Y185" s="39">
        <f>IF(B185="","",IF(D185="","Add - which product?",IF(J185="","Add - no status yet",IF(IF(J185="Ordered",IF(K185="",FALSE,K185&lt;TodayDate),FALSE),"Late - expected and not arrived",IF(V185&gt;0,"Check - delivery came up short",IF(IF(X185="",FALSE,X185&gt;0),"Check - cost has gone up",IF(O185&lt;&gt;"Yes","Due - invoice not paid","OK")))))))</f>
        <v>0</v>
      </c>
    </row>
    <row r="186" spans="1:25">
      <c r="A186" s="28">
        <f>IF(B186="","",PurchasePrefix&amp;TEXT(ROW()-4,"0000"))</f>
        <v>0</v>
      </c>
      <c r="E186" s="15">
        <f>IF(D186="","",IFERROR(INDEX(Inventory!$B$5:$B$304,MATCH(D186,Inventory!$A$5:$A$304,0)),"Not in Inventory"))</f>
        <v>0</v>
      </c>
      <c r="Q186" s="15">
        <f>IF(B186="","",TEXT(B186,"yyyy-mm"))</f>
        <v>0</v>
      </c>
      <c r="R186" s="26">
        <f>IF(B186="","",IF(G186&lt;&gt;"",G186,IFERROR(INDEX(Inventory!$H$5:$H$304,MATCH(D186,Inventory!$A$5:$A$304,0))*1,0)))</f>
        <v>0</v>
      </c>
      <c r="S186" s="26">
        <f>IF(B186="","",ROUND(IF(F186="",0,F186)*R186,2))</f>
        <v>0</v>
      </c>
      <c r="T186" s="26">
        <f>IF(B186="","",ROUND(S186+IF(H186="",0,H186)+IF(I186="",0,I186),2))</f>
        <v>0</v>
      </c>
      <c r="U186" s="37">
        <f>IF(B186="","",IF(J186="Received",IF(M186&lt;&gt;"",M186,IF(F186="",0,F186)),IF(J186="Part received",IF(M186="",0,M186),0)))</f>
        <v>0</v>
      </c>
      <c r="V186" s="37">
        <f>IF(B186="","",IF(J186="Ordered","",IF(J186="Draft","",ROUND(IF(F186="",0,F186)-U186,2))))</f>
        <v>0</v>
      </c>
      <c r="W186" s="25">
        <f>IF(B186="","",IF(L186="","",L186-B186))</f>
        <v>0</v>
      </c>
      <c r="X186" s="26">
        <f>IF(B186="","",IF(G186="","",IFERROR(ROUND(G186-INDEX(Inventory!$H$5:$H$304,MATCH(D186,Inventory!$A$5:$A$304,0)),2),"")))</f>
        <v>0</v>
      </c>
      <c r="Y186" s="39">
        <f>IF(B186="","",IF(D186="","Add - which product?",IF(J186="","Add - no status yet",IF(IF(J186="Ordered",IF(K186="",FALSE,K186&lt;TodayDate),FALSE),"Late - expected and not arrived",IF(V186&gt;0,"Check - delivery came up short",IF(IF(X186="",FALSE,X186&gt;0),"Check - cost has gone up",IF(O186&lt;&gt;"Yes","Due - invoice not paid","OK")))))))</f>
        <v>0</v>
      </c>
    </row>
    <row r="187" spans="1:25">
      <c r="A187" s="28">
        <f>IF(B187="","",PurchasePrefix&amp;TEXT(ROW()-4,"0000"))</f>
        <v>0</v>
      </c>
      <c r="E187" s="15">
        <f>IF(D187="","",IFERROR(INDEX(Inventory!$B$5:$B$304,MATCH(D187,Inventory!$A$5:$A$304,0)),"Not in Inventory"))</f>
        <v>0</v>
      </c>
      <c r="Q187" s="15">
        <f>IF(B187="","",TEXT(B187,"yyyy-mm"))</f>
        <v>0</v>
      </c>
      <c r="R187" s="26">
        <f>IF(B187="","",IF(G187&lt;&gt;"",G187,IFERROR(INDEX(Inventory!$H$5:$H$304,MATCH(D187,Inventory!$A$5:$A$304,0))*1,0)))</f>
        <v>0</v>
      </c>
      <c r="S187" s="26">
        <f>IF(B187="","",ROUND(IF(F187="",0,F187)*R187,2))</f>
        <v>0</v>
      </c>
      <c r="T187" s="26">
        <f>IF(B187="","",ROUND(S187+IF(H187="",0,H187)+IF(I187="",0,I187),2))</f>
        <v>0</v>
      </c>
      <c r="U187" s="37">
        <f>IF(B187="","",IF(J187="Received",IF(M187&lt;&gt;"",M187,IF(F187="",0,F187)),IF(J187="Part received",IF(M187="",0,M187),0)))</f>
        <v>0</v>
      </c>
      <c r="V187" s="37">
        <f>IF(B187="","",IF(J187="Ordered","",IF(J187="Draft","",ROUND(IF(F187="",0,F187)-U187,2))))</f>
        <v>0</v>
      </c>
      <c r="W187" s="25">
        <f>IF(B187="","",IF(L187="","",L187-B187))</f>
        <v>0</v>
      </c>
      <c r="X187" s="26">
        <f>IF(B187="","",IF(G187="","",IFERROR(ROUND(G187-INDEX(Inventory!$H$5:$H$304,MATCH(D187,Inventory!$A$5:$A$304,0)),2),"")))</f>
        <v>0</v>
      </c>
      <c r="Y187" s="39">
        <f>IF(B187="","",IF(D187="","Add - which product?",IF(J187="","Add - no status yet",IF(IF(J187="Ordered",IF(K187="",FALSE,K187&lt;TodayDate),FALSE),"Late - expected and not arrived",IF(V187&gt;0,"Check - delivery came up short",IF(IF(X187="",FALSE,X187&gt;0),"Check - cost has gone up",IF(O187&lt;&gt;"Yes","Due - invoice not paid","OK")))))))</f>
        <v>0</v>
      </c>
    </row>
    <row r="188" spans="1:25">
      <c r="A188" s="28">
        <f>IF(B188="","",PurchasePrefix&amp;TEXT(ROW()-4,"0000"))</f>
        <v>0</v>
      </c>
      <c r="E188" s="15">
        <f>IF(D188="","",IFERROR(INDEX(Inventory!$B$5:$B$304,MATCH(D188,Inventory!$A$5:$A$304,0)),"Not in Inventory"))</f>
        <v>0</v>
      </c>
      <c r="Q188" s="15">
        <f>IF(B188="","",TEXT(B188,"yyyy-mm"))</f>
        <v>0</v>
      </c>
      <c r="R188" s="26">
        <f>IF(B188="","",IF(G188&lt;&gt;"",G188,IFERROR(INDEX(Inventory!$H$5:$H$304,MATCH(D188,Inventory!$A$5:$A$304,0))*1,0)))</f>
        <v>0</v>
      </c>
      <c r="S188" s="26">
        <f>IF(B188="","",ROUND(IF(F188="",0,F188)*R188,2))</f>
        <v>0</v>
      </c>
      <c r="T188" s="26">
        <f>IF(B188="","",ROUND(S188+IF(H188="",0,H188)+IF(I188="",0,I188),2))</f>
        <v>0</v>
      </c>
      <c r="U188" s="37">
        <f>IF(B188="","",IF(J188="Received",IF(M188&lt;&gt;"",M188,IF(F188="",0,F188)),IF(J188="Part received",IF(M188="",0,M188),0)))</f>
        <v>0</v>
      </c>
      <c r="V188" s="37">
        <f>IF(B188="","",IF(J188="Ordered","",IF(J188="Draft","",ROUND(IF(F188="",0,F188)-U188,2))))</f>
        <v>0</v>
      </c>
      <c r="W188" s="25">
        <f>IF(B188="","",IF(L188="","",L188-B188))</f>
        <v>0</v>
      </c>
      <c r="X188" s="26">
        <f>IF(B188="","",IF(G188="","",IFERROR(ROUND(G188-INDEX(Inventory!$H$5:$H$304,MATCH(D188,Inventory!$A$5:$A$304,0)),2),"")))</f>
        <v>0</v>
      </c>
      <c r="Y188" s="39">
        <f>IF(B188="","",IF(D188="","Add - which product?",IF(J188="","Add - no status yet",IF(IF(J188="Ordered",IF(K188="",FALSE,K188&lt;TodayDate),FALSE),"Late - expected and not arrived",IF(V188&gt;0,"Check - delivery came up short",IF(IF(X188="",FALSE,X188&gt;0),"Check - cost has gone up",IF(O188&lt;&gt;"Yes","Due - invoice not paid","OK")))))))</f>
        <v>0</v>
      </c>
    </row>
    <row r="189" spans="1:25">
      <c r="A189" s="28">
        <f>IF(B189="","",PurchasePrefix&amp;TEXT(ROW()-4,"0000"))</f>
        <v>0</v>
      </c>
      <c r="E189" s="15">
        <f>IF(D189="","",IFERROR(INDEX(Inventory!$B$5:$B$304,MATCH(D189,Inventory!$A$5:$A$304,0)),"Not in Inventory"))</f>
        <v>0</v>
      </c>
      <c r="Q189" s="15">
        <f>IF(B189="","",TEXT(B189,"yyyy-mm"))</f>
        <v>0</v>
      </c>
      <c r="R189" s="26">
        <f>IF(B189="","",IF(G189&lt;&gt;"",G189,IFERROR(INDEX(Inventory!$H$5:$H$304,MATCH(D189,Inventory!$A$5:$A$304,0))*1,0)))</f>
        <v>0</v>
      </c>
      <c r="S189" s="26">
        <f>IF(B189="","",ROUND(IF(F189="",0,F189)*R189,2))</f>
        <v>0</v>
      </c>
      <c r="T189" s="26">
        <f>IF(B189="","",ROUND(S189+IF(H189="",0,H189)+IF(I189="",0,I189),2))</f>
        <v>0</v>
      </c>
      <c r="U189" s="37">
        <f>IF(B189="","",IF(J189="Received",IF(M189&lt;&gt;"",M189,IF(F189="",0,F189)),IF(J189="Part received",IF(M189="",0,M189),0)))</f>
        <v>0</v>
      </c>
      <c r="V189" s="37">
        <f>IF(B189="","",IF(J189="Ordered","",IF(J189="Draft","",ROUND(IF(F189="",0,F189)-U189,2))))</f>
        <v>0</v>
      </c>
      <c r="W189" s="25">
        <f>IF(B189="","",IF(L189="","",L189-B189))</f>
        <v>0</v>
      </c>
      <c r="X189" s="26">
        <f>IF(B189="","",IF(G189="","",IFERROR(ROUND(G189-INDEX(Inventory!$H$5:$H$304,MATCH(D189,Inventory!$A$5:$A$304,0)),2),"")))</f>
        <v>0</v>
      </c>
      <c r="Y189" s="39">
        <f>IF(B189="","",IF(D189="","Add - which product?",IF(J189="","Add - no status yet",IF(IF(J189="Ordered",IF(K189="",FALSE,K189&lt;TodayDate),FALSE),"Late - expected and not arrived",IF(V189&gt;0,"Check - delivery came up short",IF(IF(X189="",FALSE,X189&gt;0),"Check - cost has gone up",IF(O189&lt;&gt;"Yes","Due - invoice not paid","OK")))))))</f>
        <v>0</v>
      </c>
    </row>
    <row r="190" spans="1:25">
      <c r="A190" s="28">
        <f>IF(B190="","",PurchasePrefix&amp;TEXT(ROW()-4,"0000"))</f>
        <v>0</v>
      </c>
      <c r="E190" s="15">
        <f>IF(D190="","",IFERROR(INDEX(Inventory!$B$5:$B$304,MATCH(D190,Inventory!$A$5:$A$304,0)),"Not in Inventory"))</f>
        <v>0</v>
      </c>
      <c r="Q190" s="15">
        <f>IF(B190="","",TEXT(B190,"yyyy-mm"))</f>
        <v>0</v>
      </c>
      <c r="R190" s="26">
        <f>IF(B190="","",IF(G190&lt;&gt;"",G190,IFERROR(INDEX(Inventory!$H$5:$H$304,MATCH(D190,Inventory!$A$5:$A$304,0))*1,0)))</f>
        <v>0</v>
      </c>
      <c r="S190" s="26">
        <f>IF(B190="","",ROUND(IF(F190="",0,F190)*R190,2))</f>
        <v>0</v>
      </c>
      <c r="T190" s="26">
        <f>IF(B190="","",ROUND(S190+IF(H190="",0,H190)+IF(I190="",0,I190),2))</f>
        <v>0</v>
      </c>
      <c r="U190" s="37">
        <f>IF(B190="","",IF(J190="Received",IF(M190&lt;&gt;"",M190,IF(F190="",0,F190)),IF(J190="Part received",IF(M190="",0,M190),0)))</f>
        <v>0</v>
      </c>
      <c r="V190" s="37">
        <f>IF(B190="","",IF(J190="Ordered","",IF(J190="Draft","",ROUND(IF(F190="",0,F190)-U190,2))))</f>
        <v>0</v>
      </c>
      <c r="W190" s="25">
        <f>IF(B190="","",IF(L190="","",L190-B190))</f>
        <v>0</v>
      </c>
      <c r="X190" s="26">
        <f>IF(B190="","",IF(G190="","",IFERROR(ROUND(G190-INDEX(Inventory!$H$5:$H$304,MATCH(D190,Inventory!$A$5:$A$304,0)),2),"")))</f>
        <v>0</v>
      </c>
      <c r="Y190" s="39">
        <f>IF(B190="","",IF(D190="","Add - which product?",IF(J190="","Add - no status yet",IF(IF(J190="Ordered",IF(K190="",FALSE,K190&lt;TodayDate),FALSE),"Late - expected and not arrived",IF(V190&gt;0,"Check - delivery came up short",IF(IF(X190="",FALSE,X190&gt;0),"Check - cost has gone up",IF(O190&lt;&gt;"Yes","Due - invoice not paid","OK")))))))</f>
        <v>0</v>
      </c>
    </row>
    <row r="191" spans="1:25">
      <c r="A191" s="28">
        <f>IF(B191="","",PurchasePrefix&amp;TEXT(ROW()-4,"0000"))</f>
        <v>0</v>
      </c>
      <c r="E191" s="15">
        <f>IF(D191="","",IFERROR(INDEX(Inventory!$B$5:$B$304,MATCH(D191,Inventory!$A$5:$A$304,0)),"Not in Inventory"))</f>
        <v>0</v>
      </c>
      <c r="Q191" s="15">
        <f>IF(B191="","",TEXT(B191,"yyyy-mm"))</f>
        <v>0</v>
      </c>
      <c r="R191" s="26">
        <f>IF(B191="","",IF(G191&lt;&gt;"",G191,IFERROR(INDEX(Inventory!$H$5:$H$304,MATCH(D191,Inventory!$A$5:$A$304,0))*1,0)))</f>
        <v>0</v>
      </c>
      <c r="S191" s="26">
        <f>IF(B191="","",ROUND(IF(F191="",0,F191)*R191,2))</f>
        <v>0</v>
      </c>
      <c r="T191" s="26">
        <f>IF(B191="","",ROUND(S191+IF(H191="",0,H191)+IF(I191="",0,I191),2))</f>
        <v>0</v>
      </c>
      <c r="U191" s="37">
        <f>IF(B191="","",IF(J191="Received",IF(M191&lt;&gt;"",M191,IF(F191="",0,F191)),IF(J191="Part received",IF(M191="",0,M191),0)))</f>
        <v>0</v>
      </c>
      <c r="V191" s="37">
        <f>IF(B191="","",IF(J191="Ordered","",IF(J191="Draft","",ROUND(IF(F191="",0,F191)-U191,2))))</f>
        <v>0</v>
      </c>
      <c r="W191" s="25">
        <f>IF(B191="","",IF(L191="","",L191-B191))</f>
        <v>0</v>
      </c>
      <c r="X191" s="26">
        <f>IF(B191="","",IF(G191="","",IFERROR(ROUND(G191-INDEX(Inventory!$H$5:$H$304,MATCH(D191,Inventory!$A$5:$A$304,0)),2),"")))</f>
        <v>0</v>
      </c>
      <c r="Y191" s="39">
        <f>IF(B191="","",IF(D191="","Add - which product?",IF(J191="","Add - no status yet",IF(IF(J191="Ordered",IF(K191="",FALSE,K191&lt;TodayDate),FALSE),"Late - expected and not arrived",IF(V191&gt;0,"Check - delivery came up short",IF(IF(X191="",FALSE,X191&gt;0),"Check - cost has gone up",IF(O191&lt;&gt;"Yes","Due - invoice not paid","OK")))))))</f>
        <v>0</v>
      </c>
    </row>
    <row r="192" spans="1:25">
      <c r="A192" s="28">
        <f>IF(B192="","",PurchasePrefix&amp;TEXT(ROW()-4,"0000"))</f>
        <v>0</v>
      </c>
      <c r="E192" s="15">
        <f>IF(D192="","",IFERROR(INDEX(Inventory!$B$5:$B$304,MATCH(D192,Inventory!$A$5:$A$304,0)),"Not in Inventory"))</f>
        <v>0</v>
      </c>
      <c r="Q192" s="15">
        <f>IF(B192="","",TEXT(B192,"yyyy-mm"))</f>
        <v>0</v>
      </c>
      <c r="R192" s="26">
        <f>IF(B192="","",IF(G192&lt;&gt;"",G192,IFERROR(INDEX(Inventory!$H$5:$H$304,MATCH(D192,Inventory!$A$5:$A$304,0))*1,0)))</f>
        <v>0</v>
      </c>
      <c r="S192" s="26">
        <f>IF(B192="","",ROUND(IF(F192="",0,F192)*R192,2))</f>
        <v>0</v>
      </c>
      <c r="T192" s="26">
        <f>IF(B192="","",ROUND(S192+IF(H192="",0,H192)+IF(I192="",0,I192),2))</f>
        <v>0</v>
      </c>
      <c r="U192" s="37">
        <f>IF(B192="","",IF(J192="Received",IF(M192&lt;&gt;"",M192,IF(F192="",0,F192)),IF(J192="Part received",IF(M192="",0,M192),0)))</f>
        <v>0</v>
      </c>
      <c r="V192" s="37">
        <f>IF(B192="","",IF(J192="Ordered","",IF(J192="Draft","",ROUND(IF(F192="",0,F192)-U192,2))))</f>
        <v>0</v>
      </c>
      <c r="W192" s="25">
        <f>IF(B192="","",IF(L192="","",L192-B192))</f>
        <v>0</v>
      </c>
      <c r="X192" s="26">
        <f>IF(B192="","",IF(G192="","",IFERROR(ROUND(G192-INDEX(Inventory!$H$5:$H$304,MATCH(D192,Inventory!$A$5:$A$304,0)),2),"")))</f>
        <v>0</v>
      </c>
      <c r="Y192" s="39">
        <f>IF(B192="","",IF(D192="","Add - which product?",IF(J192="","Add - no status yet",IF(IF(J192="Ordered",IF(K192="",FALSE,K192&lt;TodayDate),FALSE),"Late - expected and not arrived",IF(V192&gt;0,"Check - delivery came up short",IF(IF(X192="",FALSE,X192&gt;0),"Check - cost has gone up",IF(O192&lt;&gt;"Yes","Due - invoice not paid","OK")))))))</f>
        <v>0</v>
      </c>
    </row>
    <row r="193" spans="1:25">
      <c r="A193" s="28">
        <f>IF(B193="","",PurchasePrefix&amp;TEXT(ROW()-4,"0000"))</f>
        <v>0</v>
      </c>
      <c r="E193" s="15">
        <f>IF(D193="","",IFERROR(INDEX(Inventory!$B$5:$B$304,MATCH(D193,Inventory!$A$5:$A$304,0)),"Not in Inventory"))</f>
        <v>0</v>
      </c>
      <c r="Q193" s="15">
        <f>IF(B193="","",TEXT(B193,"yyyy-mm"))</f>
        <v>0</v>
      </c>
      <c r="R193" s="26">
        <f>IF(B193="","",IF(G193&lt;&gt;"",G193,IFERROR(INDEX(Inventory!$H$5:$H$304,MATCH(D193,Inventory!$A$5:$A$304,0))*1,0)))</f>
        <v>0</v>
      </c>
      <c r="S193" s="26">
        <f>IF(B193="","",ROUND(IF(F193="",0,F193)*R193,2))</f>
        <v>0</v>
      </c>
      <c r="T193" s="26">
        <f>IF(B193="","",ROUND(S193+IF(H193="",0,H193)+IF(I193="",0,I193),2))</f>
        <v>0</v>
      </c>
      <c r="U193" s="37">
        <f>IF(B193="","",IF(J193="Received",IF(M193&lt;&gt;"",M193,IF(F193="",0,F193)),IF(J193="Part received",IF(M193="",0,M193),0)))</f>
        <v>0</v>
      </c>
      <c r="V193" s="37">
        <f>IF(B193="","",IF(J193="Ordered","",IF(J193="Draft","",ROUND(IF(F193="",0,F193)-U193,2))))</f>
        <v>0</v>
      </c>
      <c r="W193" s="25">
        <f>IF(B193="","",IF(L193="","",L193-B193))</f>
        <v>0</v>
      </c>
      <c r="X193" s="26">
        <f>IF(B193="","",IF(G193="","",IFERROR(ROUND(G193-INDEX(Inventory!$H$5:$H$304,MATCH(D193,Inventory!$A$5:$A$304,0)),2),"")))</f>
        <v>0</v>
      </c>
      <c r="Y193" s="39">
        <f>IF(B193="","",IF(D193="","Add - which product?",IF(J193="","Add - no status yet",IF(IF(J193="Ordered",IF(K193="",FALSE,K193&lt;TodayDate),FALSE),"Late - expected and not arrived",IF(V193&gt;0,"Check - delivery came up short",IF(IF(X193="",FALSE,X193&gt;0),"Check - cost has gone up",IF(O193&lt;&gt;"Yes","Due - invoice not paid","OK")))))))</f>
        <v>0</v>
      </c>
    </row>
    <row r="194" spans="1:25">
      <c r="A194" s="28">
        <f>IF(B194="","",PurchasePrefix&amp;TEXT(ROW()-4,"0000"))</f>
        <v>0</v>
      </c>
      <c r="E194" s="15">
        <f>IF(D194="","",IFERROR(INDEX(Inventory!$B$5:$B$304,MATCH(D194,Inventory!$A$5:$A$304,0)),"Not in Inventory"))</f>
        <v>0</v>
      </c>
      <c r="Q194" s="15">
        <f>IF(B194="","",TEXT(B194,"yyyy-mm"))</f>
        <v>0</v>
      </c>
      <c r="R194" s="26">
        <f>IF(B194="","",IF(G194&lt;&gt;"",G194,IFERROR(INDEX(Inventory!$H$5:$H$304,MATCH(D194,Inventory!$A$5:$A$304,0))*1,0)))</f>
        <v>0</v>
      </c>
      <c r="S194" s="26">
        <f>IF(B194="","",ROUND(IF(F194="",0,F194)*R194,2))</f>
        <v>0</v>
      </c>
      <c r="T194" s="26">
        <f>IF(B194="","",ROUND(S194+IF(H194="",0,H194)+IF(I194="",0,I194),2))</f>
        <v>0</v>
      </c>
      <c r="U194" s="37">
        <f>IF(B194="","",IF(J194="Received",IF(M194&lt;&gt;"",M194,IF(F194="",0,F194)),IF(J194="Part received",IF(M194="",0,M194),0)))</f>
        <v>0</v>
      </c>
      <c r="V194" s="37">
        <f>IF(B194="","",IF(J194="Ordered","",IF(J194="Draft","",ROUND(IF(F194="",0,F194)-U194,2))))</f>
        <v>0</v>
      </c>
      <c r="W194" s="25">
        <f>IF(B194="","",IF(L194="","",L194-B194))</f>
        <v>0</v>
      </c>
      <c r="X194" s="26">
        <f>IF(B194="","",IF(G194="","",IFERROR(ROUND(G194-INDEX(Inventory!$H$5:$H$304,MATCH(D194,Inventory!$A$5:$A$304,0)),2),"")))</f>
        <v>0</v>
      </c>
      <c r="Y194" s="39">
        <f>IF(B194="","",IF(D194="","Add - which product?",IF(J194="","Add - no status yet",IF(IF(J194="Ordered",IF(K194="",FALSE,K194&lt;TodayDate),FALSE),"Late - expected and not arrived",IF(V194&gt;0,"Check - delivery came up short",IF(IF(X194="",FALSE,X194&gt;0),"Check - cost has gone up",IF(O194&lt;&gt;"Yes","Due - invoice not paid","OK")))))))</f>
        <v>0</v>
      </c>
    </row>
    <row r="195" spans="1:25">
      <c r="A195" s="28">
        <f>IF(B195="","",PurchasePrefix&amp;TEXT(ROW()-4,"0000"))</f>
        <v>0</v>
      </c>
      <c r="E195" s="15">
        <f>IF(D195="","",IFERROR(INDEX(Inventory!$B$5:$B$304,MATCH(D195,Inventory!$A$5:$A$304,0)),"Not in Inventory"))</f>
        <v>0</v>
      </c>
      <c r="Q195" s="15">
        <f>IF(B195="","",TEXT(B195,"yyyy-mm"))</f>
        <v>0</v>
      </c>
      <c r="R195" s="26">
        <f>IF(B195="","",IF(G195&lt;&gt;"",G195,IFERROR(INDEX(Inventory!$H$5:$H$304,MATCH(D195,Inventory!$A$5:$A$304,0))*1,0)))</f>
        <v>0</v>
      </c>
      <c r="S195" s="26">
        <f>IF(B195="","",ROUND(IF(F195="",0,F195)*R195,2))</f>
        <v>0</v>
      </c>
      <c r="T195" s="26">
        <f>IF(B195="","",ROUND(S195+IF(H195="",0,H195)+IF(I195="",0,I195),2))</f>
        <v>0</v>
      </c>
      <c r="U195" s="37">
        <f>IF(B195="","",IF(J195="Received",IF(M195&lt;&gt;"",M195,IF(F195="",0,F195)),IF(J195="Part received",IF(M195="",0,M195),0)))</f>
        <v>0</v>
      </c>
      <c r="V195" s="37">
        <f>IF(B195="","",IF(J195="Ordered","",IF(J195="Draft","",ROUND(IF(F195="",0,F195)-U195,2))))</f>
        <v>0</v>
      </c>
      <c r="W195" s="25">
        <f>IF(B195="","",IF(L195="","",L195-B195))</f>
        <v>0</v>
      </c>
      <c r="X195" s="26">
        <f>IF(B195="","",IF(G195="","",IFERROR(ROUND(G195-INDEX(Inventory!$H$5:$H$304,MATCH(D195,Inventory!$A$5:$A$304,0)),2),"")))</f>
        <v>0</v>
      </c>
      <c r="Y195" s="39">
        <f>IF(B195="","",IF(D195="","Add - which product?",IF(J195="","Add - no status yet",IF(IF(J195="Ordered",IF(K195="",FALSE,K195&lt;TodayDate),FALSE),"Late - expected and not arrived",IF(V195&gt;0,"Check - delivery came up short",IF(IF(X195="",FALSE,X195&gt;0),"Check - cost has gone up",IF(O195&lt;&gt;"Yes","Due - invoice not paid","OK")))))))</f>
        <v>0</v>
      </c>
    </row>
    <row r="196" spans="1:25">
      <c r="A196" s="28">
        <f>IF(B196="","",PurchasePrefix&amp;TEXT(ROW()-4,"0000"))</f>
        <v>0</v>
      </c>
      <c r="E196" s="15">
        <f>IF(D196="","",IFERROR(INDEX(Inventory!$B$5:$B$304,MATCH(D196,Inventory!$A$5:$A$304,0)),"Not in Inventory"))</f>
        <v>0</v>
      </c>
      <c r="Q196" s="15">
        <f>IF(B196="","",TEXT(B196,"yyyy-mm"))</f>
        <v>0</v>
      </c>
      <c r="R196" s="26">
        <f>IF(B196="","",IF(G196&lt;&gt;"",G196,IFERROR(INDEX(Inventory!$H$5:$H$304,MATCH(D196,Inventory!$A$5:$A$304,0))*1,0)))</f>
        <v>0</v>
      </c>
      <c r="S196" s="26">
        <f>IF(B196="","",ROUND(IF(F196="",0,F196)*R196,2))</f>
        <v>0</v>
      </c>
      <c r="T196" s="26">
        <f>IF(B196="","",ROUND(S196+IF(H196="",0,H196)+IF(I196="",0,I196),2))</f>
        <v>0</v>
      </c>
      <c r="U196" s="37">
        <f>IF(B196="","",IF(J196="Received",IF(M196&lt;&gt;"",M196,IF(F196="",0,F196)),IF(J196="Part received",IF(M196="",0,M196),0)))</f>
        <v>0</v>
      </c>
      <c r="V196" s="37">
        <f>IF(B196="","",IF(J196="Ordered","",IF(J196="Draft","",ROUND(IF(F196="",0,F196)-U196,2))))</f>
        <v>0</v>
      </c>
      <c r="W196" s="25">
        <f>IF(B196="","",IF(L196="","",L196-B196))</f>
        <v>0</v>
      </c>
      <c r="X196" s="26">
        <f>IF(B196="","",IF(G196="","",IFERROR(ROUND(G196-INDEX(Inventory!$H$5:$H$304,MATCH(D196,Inventory!$A$5:$A$304,0)),2),"")))</f>
        <v>0</v>
      </c>
      <c r="Y196" s="39">
        <f>IF(B196="","",IF(D196="","Add - which product?",IF(J196="","Add - no status yet",IF(IF(J196="Ordered",IF(K196="",FALSE,K196&lt;TodayDate),FALSE),"Late - expected and not arrived",IF(V196&gt;0,"Check - delivery came up short",IF(IF(X196="",FALSE,X196&gt;0),"Check - cost has gone up",IF(O196&lt;&gt;"Yes","Due - invoice not paid","OK")))))))</f>
        <v>0</v>
      </c>
    </row>
    <row r="197" spans="1:25">
      <c r="A197" s="28">
        <f>IF(B197="","",PurchasePrefix&amp;TEXT(ROW()-4,"0000"))</f>
        <v>0</v>
      </c>
      <c r="E197" s="15">
        <f>IF(D197="","",IFERROR(INDEX(Inventory!$B$5:$B$304,MATCH(D197,Inventory!$A$5:$A$304,0)),"Not in Inventory"))</f>
        <v>0</v>
      </c>
      <c r="Q197" s="15">
        <f>IF(B197="","",TEXT(B197,"yyyy-mm"))</f>
        <v>0</v>
      </c>
      <c r="R197" s="26">
        <f>IF(B197="","",IF(G197&lt;&gt;"",G197,IFERROR(INDEX(Inventory!$H$5:$H$304,MATCH(D197,Inventory!$A$5:$A$304,0))*1,0)))</f>
        <v>0</v>
      </c>
      <c r="S197" s="26">
        <f>IF(B197="","",ROUND(IF(F197="",0,F197)*R197,2))</f>
        <v>0</v>
      </c>
      <c r="T197" s="26">
        <f>IF(B197="","",ROUND(S197+IF(H197="",0,H197)+IF(I197="",0,I197),2))</f>
        <v>0</v>
      </c>
      <c r="U197" s="37">
        <f>IF(B197="","",IF(J197="Received",IF(M197&lt;&gt;"",M197,IF(F197="",0,F197)),IF(J197="Part received",IF(M197="",0,M197),0)))</f>
        <v>0</v>
      </c>
      <c r="V197" s="37">
        <f>IF(B197="","",IF(J197="Ordered","",IF(J197="Draft","",ROUND(IF(F197="",0,F197)-U197,2))))</f>
        <v>0</v>
      </c>
      <c r="W197" s="25">
        <f>IF(B197="","",IF(L197="","",L197-B197))</f>
        <v>0</v>
      </c>
      <c r="X197" s="26">
        <f>IF(B197="","",IF(G197="","",IFERROR(ROUND(G197-INDEX(Inventory!$H$5:$H$304,MATCH(D197,Inventory!$A$5:$A$304,0)),2),"")))</f>
        <v>0</v>
      </c>
      <c r="Y197" s="39">
        <f>IF(B197="","",IF(D197="","Add - which product?",IF(J197="","Add - no status yet",IF(IF(J197="Ordered",IF(K197="",FALSE,K197&lt;TodayDate),FALSE),"Late - expected and not arrived",IF(V197&gt;0,"Check - delivery came up short",IF(IF(X197="",FALSE,X197&gt;0),"Check - cost has gone up",IF(O197&lt;&gt;"Yes","Due - invoice not paid","OK")))))))</f>
        <v>0</v>
      </c>
    </row>
    <row r="198" spans="1:25">
      <c r="A198" s="28">
        <f>IF(B198="","",PurchasePrefix&amp;TEXT(ROW()-4,"0000"))</f>
        <v>0</v>
      </c>
      <c r="E198" s="15">
        <f>IF(D198="","",IFERROR(INDEX(Inventory!$B$5:$B$304,MATCH(D198,Inventory!$A$5:$A$304,0)),"Not in Inventory"))</f>
        <v>0</v>
      </c>
      <c r="Q198" s="15">
        <f>IF(B198="","",TEXT(B198,"yyyy-mm"))</f>
        <v>0</v>
      </c>
      <c r="R198" s="26">
        <f>IF(B198="","",IF(G198&lt;&gt;"",G198,IFERROR(INDEX(Inventory!$H$5:$H$304,MATCH(D198,Inventory!$A$5:$A$304,0))*1,0)))</f>
        <v>0</v>
      </c>
      <c r="S198" s="26">
        <f>IF(B198="","",ROUND(IF(F198="",0,F198)*R198,2))</f>
        <v>0</v>
      </c>
      <c r="T198" s="26">
        <f>IF(B198="","",ROUND(S198+IF(H198="",0,H198)+IF(I198="",0,I198),2))</f>
        <v>0</v>
      </c>
      <c r="U198" s="37">
        <f>IF(B198="","",IF(J198="Received",IF(M198&lt;&gt;"",M198,IF(F198="",0,F198)),IF(J198="Part received",IF(M198="",0,M198),0)))</f>
        <v>0</v>
      </c>
      <c r="V198" s="37">
        <f>IF(B198="","",IF(J198="Ordered","",IF(J198="Draft","",ROUND(IF(F198="",0,F198)-U198,2))))</f>
        <v>0</v>
      </c>
      <c r="W198" s="25">
        <f>IF(B198="","",IF(L198="","",L198-B198))</f>
        <v>0</v>
      </c>
      <c r="X198" s="26">
        <f>IF(B198="","",IF(G198="","",IFERROR(ROUND(G198-INDEX(Inventory!$H$5:$H$304,MATCH(D198,Inventory!$A$5:$A$304,0)),2),"")))</f>
        <v>0</v>
      </c>
      <c r="Y198" s="39">
        <f>IF(B198="","",IF(D198="","Add - which product?",IF(J198="","Add - no status yet",IF(IF(J198="Ordered",IF(K198="",FALSE,K198&lt;TodayDate),FALSE),"Late - expected and not arrived",IF(V198&gt;0,"Check - delivery came up short",IF(IF(X198="",FALSE,X198&gt;0),"Check - cost has gone up",IF(O198&lt;&gt;"Yes","Due - invoice not paid","OK")))))))</f>
        <v>0</v>
      </c>
    </row>
    <row r="199" spans="1:25">
      <c r="A199" s="28">
        <f>IF(B199="","",PurchasePrefix&amp;TEXT(ROW()-4,"0000"))</f>
        <v>0</v>
      </c>
      <c r="E199" s="15">
        <f>IF(D199="","",IFERROR(INDEX(Inventory!$B$5:$B$304,MATCH(D199,Inventory!$A$5:$A$304,0)),"Not in Inventory"))</f>
        <v>0</v>
      </c>
      <c r="Q199" s="15">
        <f>IF(B199="","",TEXT(B199,"yyyy-mm"))</f>
        <v>0</v>
      </c>
      <c r="R199" s="26">
        <f>IF(B199="","",IF(G199&lt;&gt;"",G199,IFERROR(INDEX(Inventory!$H$5:$H$304,MATCH(D199,Inventory!$A$5:$A$304,0))*1,0)))</f>
        <v>0</v>
      </c>
      <c r="S199" s="26">
        <f>IF(B199="","",ROUND(IF(F199="",0,F199)*R199,2))</f>
        <v>0</v>
      </c>
      <c r="T199" s="26">
        <f>IF(B199="","",ROUND(S199+IF(H199="",0,H199)+IF(I199="",0,I199),2))</f>
        <v>0</v>
      </c>
      <c r="U199" s="37">
        <f>IF(B199="","",IF(J199="Received",IF(M199&lt;&gt;"",M199,IF(F199="",0,F199)),IF(J199="Part received",IF(M199="",0,M199),0)))</f>
        <v>0</v>
      </c>
      <c r="V199" s="37">
        <f>IF(B199="","",IF(J199="Ordered","",IF(J199="Draft","",ROUND(IF(F199="",0,F199)-U199,2))))</f>
        <v>0</v>
      </c>
      <c r="W199" s="25">
        <f>IF(B199="","",IF(L199="","",L199-B199))</f>
        <v>0</v>
      </c>
      <c r="X199" s="26">
        <f>IF(B199="","",IF(G199="","",IFERROR(ROUND(G199-INDEX(Inventory!$H$5:$H$304,MATCH(D199,Inventory!$A$5:$A$304,0)),2),"")))</f>
        <v>0</v>
      </c>
      <c r="Y199" s="39">
        <f>IF(B199="","",IF(D199="","Add - which product?",IF(J199="","Add - no status yet",IF(IF(J199="Ordered",IF(K199="",FALSE,K199&lt;TodayDate),FALSE),"Late - expected and not arrived",IF(V199&gt;0,"Check - delivery came up short",IF(IF(X199="",FALSE,X199&gt;0),"Check - cost has gone up",IF(O199&lt;&gt;"Yes","Due - invoice not paid","OK")))))))</f>
        <v>0</v>
      </c>
    </row>
    <row r="200" spans="1:25">
      <c r="A200" s="28">
        <f>IF(B200="","",PurchasePrefix&amp;TEXT(ROW()-4,"0000"))</f>
        <v>0</v>
      </c>
      <c r="E200" s="15">
        <f>IF(D200="","",IFERROR(INDEX(Inventory!$B$5:$B$304,MATCH(D200,Inventory!$A$5:$A$304,0)),"Not in Inventory"))</f>
        <v>0</v>
      </c>
      <c r="Q200" s="15">
        <f>IF(B200="","",TEXT(B200,"yyyy-mm"))</f>
        <v>0</v>
      </c>
      <c r="R200" s="26">
        <f>IF(B200="","",IF(G200&lt;&gt;"",G200,IFERROR(INDEX(Inventory!$H$5:$H$304,MATCH(D200,Inventory!$A$5:$A$304,0))*1,0)))</f>
        <v>0</v>
      </c>
      <c r="S200" s="26">
        <f>IF(B200="","",ROUND(IF(F200="",0,F200)*R200,2))</f>
        <v>0</v>
      </c>
      <c r="T200" s="26">
        <f>IF(B200="","",ROUND(S200+IF(H200="",0,H200)+IF(I200="",0,I200),2))</f>
        <v>0</v>
      </c>
      <c r="U200" s="37">
        <f>IF(B200="","",IF(J200="Received",IF(M200&lt;&gt;"",M200,IF(F200="",0,F200)),IF(J200="Part received",IF(M200="",0,M200),0)))</f>
        <v>0</v>
      </c>
      <c r="V200" s="37">
        <f>IF(B200="","",IF(J200="Ordered","",IF(J200="Draft","",ROUND(IF(F200="",0,F200)-U200,2))))</f>
        <v>0</v>
      </c>
      <c r="W200" s="25">
        <f>IF(B200="","",IF(L200="","",L200-B200))</f>
        <v>0</v>
      </c>
      <c r="X200" s="26">
        <f>IF(B200="","",IF(G200="","",IFERROR(ROUND(G200-INDEX(Inventory!$H$5:$H$304,MATCH(D200,Inventory!$A$5:$A$304,0)),2),"")))</f>
        <v>0</v>
      </c>
      <c r="Y200" s="39">
        <f>IF(B200="","",IF(D200="","Add - which product?",IF(J200="","Add - no status yet",IF(IF(J200="Ordered",IF(K200="",FALSE,K200&lt;TodayDate),FALSE),"Late - expected and not arrived",IF(V200&gt;0,"Check - delivery came up short",IF(IF(X200="",FALSE,X200&gt;0),"Check - cost has gone up",IF(O200&lt;&gt;"Yes","Due - invoice not paid","OK")))))))</f>
        <v>0</v>
      </c>
    </row>
    <row r="201" spans="1:25">
      <c r="A201" s="28">
        <f>IF(B201="","",PurchasePrefix&amp;TEXT(ROW()-4,"0000"))</f>
        <v>0</v>
      </c>
      <c r="E201" s="15">
        <f>IF(D201="","",IFERROR(INDEX(Inventory!$B$5:$B$304,MATCH(D201,Inventory!$A$5:$A$304,0)),"Not in Inventory"))</f>
        <v>0</v>
      </c>
      <c r="Q201" s="15">
        <f>IF(B201="","",TEXT(B201,"yyyy-mm"))</f>
        <v>0</v>
      </c>
      <c r="R201" s="26">
        <f>IF(B201="","",IF(G201&lt;&gt;"",G201,IFERROR(INDEX(Inventory!$H$5:$H$304,MATCH(D201,Inventory!$A$5:$A$304,0))*1,0)))</f>
        <v>0</v>
      </c>
      <c r="S201" s="26">
        <f>IF(B201="","",ROUND(IF(F201="",0,F201)*R201,2))</f>
        <v>0</v>
      </c>
      <c r="T201" s="26">
        <f>IF(B201="","",ROUND(S201+IF(H201="",0,H201)+IF(I201="",0,I201),2))</f>
        <v>0</v>
      </c>
      <c r="U201" s="37">
        <f>IF(B201="","",IF(J201="Received",IF(M201&lt;&gt;"",M201,IF(F201="",0,F201)),IF(J201="Part received",IF(M201="",0,M201),0)))</f>
        <v>0</v>
      </c>
      <c r="V201" s="37">
        <f>IF(B201="","",IF(J201="Ordered","",IF(J201="Draft","",ROUND(IF(F201="",0,F201)-U201,2))))</f>
        <v>0</v>
      </c>
      <c r="W201" s="25">
        <f>IF(B201="","",IF(L201="","",L201-B201))</f>
        <v>0</v>
      </c>
      <c r="X201" s="26">
        <f>IF(B201="","",IF(G201="","",IFERROR(ROUND(G201-INDEX(Inventory!$H$5:$H$304,MATCH(D201,Inventory!$A$5:$A$304,0)),2),"")))</f>
        <v>0</v>
      </c>
      <c r="Y201" s="39">
        <f>IF(B201="","",IF(D201="","Add - which product?",IF(J201="","Add - no status yet",IF(IF(J201="Ordered",IF(K201="",FALSE,K201&lt;TodayDate),FALSE),"Late - expected and not arrived",IF(V201&gt;0,"Check - delivery came up short",IF(IF(X201="",FALSE,X201&gt;0),"Check - cost has gone up",IF(O201&lt;&gt;"Yes","Due - invoice not paid","OK")))))))</f>
        <v>0</v>
      </c>
    </row>
    <row r="202" spans="1:25">
      <c r="A202" s="28">
        <f>IF(B202="","",PurchasePrefix&amp;TEXT(ROW()-4,"0000"))</f>
        <v>0</v>
      </c>
      <c r="E202" s="15">
        <f>IF(D202="","",IFERROR(INDEX(Inventory!$B$5:$B$304,MATCH(D202,Inventory!$A$5:$A$304,0)),"Not in Inventory"))</f>
        <v>0</v>
      </c>
      <c r="Q202" s="15">
        <f>IF(B202="","",TEXT(B202,"yyyy-mm"))</f>
        <v>0</v>
      </c>
      <c r="R202" s="26">
        <f>IF(B202="","",IF(G202&lt;&gt;"",G202,IFERROR(INDEX(Inventory!$H$5:$H$304,MATCH(D202,Inventory!$A$5:$A$304,0))*1,0)))</f>
        <v>0</v>
      </c>
      <c r="S202" s="26">
        <f>IF(B202="","",ROUND(IF(F202="",0,F202)*R202,2))</f>
        <v>0</v>
      </c>
      <c r="T202" s="26">
        <f>IF(B202="","",ROUND(S202+IF(H202="",0,H202)+IF(I202="",0,I202),2))</f>
        <v>0</v>
      </c>
      <c r="U202" s="37">
        <f>IF(B202="","",IF(J202="Received",IF(M202&lt;&gt;"",M202,IF(F202="",0,F202)),IF(J202="Part received",IF(M202="",0,M202),0)))</f>
        <v>0</v>
      </c>
      <c r="V202" s="37">
        <f>IF(B202="","",IF(J202="Ordered","",IF(J202="Draft","",ROUND(IF(F202="",0,F202)-U202,2))))</f>
        <v>0</v>
      </c>
      <c r="W202" s="25">
        <f>IF(B202="","",IF(L202="","",L202-B202))</f>
        <v>0</v>
      </c>
      <c r="X202" s="26">
        <f>IF(B202="","",IF(G202="","",IFERROR(ROUND(G202-INDEX(Inventory!$H$5:$H$304,MATCH(D202,Inventory!$A$5:$A$304,0)),2),"")))</f>
        <v>0</v>
      </c>
      <c r="Y202" s="39">
        <f>IF(B202="","",IF(D202="","Add - which product?",IF(J202="","Add - no status yet",IF(IF(J202="Ordered",IF(K202="",FALSE,K202&lt;TodayDate),FALSE),"Late - expected and not arrived",IF(V202&gt;0,"Check - delivery came up short",IF(IF(X202="",FALSE,X202&gt;0),"Check - cost has gone up",IF(O202&lt;&gt;"Yes","Due - invoice not paid","OK")))))))</f>
        <v>0</v>
      </c>
    </row>
    <row r="203" spans="1:25">
      <c r="A203" s="28">
        <f>IF(B203="","",PurchasePrefix&amp;TEXT(ROW()-4,"0000"))</f>
        <v>0</v>
      </c>
      <c r="E203" s="15">
        <f>IF(D203="","",IFERROR(INDEX(Inventory!$B$5:$B$304,MATCH(D203,Inventory!$A$5:$A$304,0)),"Not in Inventory"))</f>
        <v>0</v>
      </c>
      <c r="Q203" s="15">
        <f>IF(B203="","",TEXT(B203,"yyyy-mm"))</f>
        <v>0</v>
      </c>
      <c r="R203" s="26">
        <f>IF(B203="","",IF(G203&lt;&gt;"",G203,IFERROR(INDEX(Inventory!$H$5:$H$304,MATCH(D203,Inventory!$A$5:$A$304,0))*1,0)))</f>
        <v>0</v>
      </c>
      <c r="S203" s="26">
        <f>IF(B203="","",ROUND(IF(F203="",0,F203)*R203,2))</f>
        <v>0</v>
      </c>
      <c r="T203" s="26">
        <f>IF(B203="","",ROUND(S203+IF(H203="",0,H203)+IF(I203="",0,I203),2))</f>
        <v>0</v>
      </c>
      <c r="U203" s="37">
        <f>IF(B203="","",IF(J203="Received",IF(M203&lt;&gt;"",M203,IF(F203="",0,F203)),IF(J203="Part received",IF(M203="",0,M203),0)))</f>
        <v>0</v>
      </c>
      <c r="V203" s="37">
        <f>IF(B203="","",IF(J203="Ordered","",IF(J203="Draft","",ROUND(IF(F203="",0,F203)-U203,2))))</f>
        <v>0</v>
      </c>
      <c r="W203" s="25">
        <f>IF(B203="","",IF(L203="","",L203-B203))</f>
        <v>0</v>
      </c>
      <c r="X203" s="26">
        <f>IF(B203="","",IF(G203="","",IFERROR(ROUND(G203-INDEX(Inventory!$H$5:$H$304,MATCH(D203,Inventory!$A$5:$A$304,0)),2),"")))</f>
        <v>0</v>
      </c>
      <c r="Y203" s="39">
        <f>IF(B203="","",IF(D203="","Add - which product?",IF(J203="","Add - no status yet",IF(IF(J203="Ordered",IF(K203="",FALSE,K203&lt;TodayDate),FALSE),"Late - expected and not arrived",IF(V203&gt;0,"Check - delivery came up short",IF(IF(X203="",FALSE,X203&gt;0),"Check - cost has gone up",IF(O203&lt;&gt;"Yes","Due - invoice not paid","OK")))))))</f>
        <v>0</v>
      </c>
    </row>
    <row r="204" spans="1:25">
      <c r="A204" s="28">
        <f>IF(B204="","",PurchasePrefix&amp;TEXT(ROW()-4,"0000"))</f>
        <v>0</v>
      </c>
      <c r="E204" s="15">
        <f>IF(D204="","",IFERROR(INDEX(Inventory!$B$5:$B$304,MATCH(D204,Inventory!$A$5:$A$304,0)),"Not in Inventory"))</f>
        <v>0</v>
      </c>
      <c r="Q204" s="15">
        <f>IF(B204="","",TEXT(B204,"yyyy-mm"))</f>
        <v>0</v>
      </c>
      <c r="R204" s="26">
        <f>IF(B204="","",IF(G204&lt;&gt;"",G204,IFERROR(INDEX(Inventory!$H$5:$H$304,MATCH(D204,Inventory!$A$5:$A$304,0))*1,0)))</f>
        <v>0</v>
      </c>
      <c r="S204" s="26">
        <f>IF(B204="","",ROUND(IF(F204="",0,F204)*R204,2))</f>
        <v>0</v>
      </c>
      <c r="T204" s="26">
        <f>IF(B204="","",ROUND(S204+IF(H204="",0,H204)+IF(I204="",0,I204),2))</f>
        <v>0</v>
      </c>
      <c r="U204" s="37">
        <f>IF(B204="","",IF(J204="Received",IF(M204&lt;&gt;"",M204,IF(F204="",0,F204)),IF(J204="Part received",IF(M204="",0,M204),0)))</f>
        <v>0</v>
      </c>
      <c r="V204" s="37">
        <f>IF(B204="","",IF(J204="Ordered","",IF(J204="Draft","",ROUND(IF(F204="",0,F204)-U204,2))))</f>
        <v>0</v>
      </c>
      <c r="W204" s="25">
        <f>IF(B204="","",IF(L204="","",L204-B204))</f>
        <v>0</v>
      </c>
      <c r="X204" s="26">
        <f>IF(B204="","",IF(G204="","",IFERROR(ROUND(G204-INDEX(Inventory!$H$5:$H$304,MATCH(D204,Inventory!$A$5:$A$304,0)),2),"")))</f>
        <v>0</v>
      </c>
      <c r="Y204" s="39">
        <f>IF(B204="","",IF(D204="","Add - which product?",IF(J204="","Add - no status yet",IF(IF(J204="Ordered",IF(K204="",FALSE,K204&lt;TodayDate),FALSE),"Late - expected and not arrived",IF(V204&gt;0,"Check - delivery came up short",IF(IF(X204="",FALSE,X204&gt;0),"Check - cost has gone up",IF(O204&lt;&gt;"Yes","Due - invoice not paid","OK")))))))</f>
        <v>0</v>
      </c>
    </row>
    <row r="205" spans="1:25">
      <c r="A205" s="28">
        <f>IF(B205="","",PurchasePrefix&amp;TEXT(ROW()-4,"0000"))</f>
        <v>0</v>
      </c>
      <c r="E205" s="15">
        <f>IF(D205="","",IFERROR(INDEX(Inventory!$B$5:$B$304,MATCH(D205,Inventory!$A$5:$A$304,0)),"Not in Inventory"))</f>
        <v>0</v>
      </c>
      <c r="Q205" s="15">
        <f>IF(B205="","",TEXT(B205,"yyyy-mm"))</f>
        <v>0</v>
      </c>
      <c r="R205" s="26">
        <f>IF(B205="","",IF(G205&lt;&gt;"",G205,IFERROR(INDEX(Inventory!$H$5:$H$304,MATCH(D205,Inventory!$A$5:$A$304,0))*1,0)))</f>
        <v>0</v>
      </c>
      <c r="S205" s="26">
        <f>IF(B205="","",ROUND(IF(F205="",0,F205)*R205,2))</f>
        <v>0</v>
      </c>
      <c r="T205" s="26">
        <f>IF(B205="","",ROUND(S205+IF(H205="",0,H205)+IF(I205="",0,I205),2))</f>
        <v>0</v>
      </c>
      <c r="U205" s="37">
        <f>IF(B205="","",IF(J205="Received",IF(M205&lt;&gt;"",M205,IF(F205="",0,F205)),IF(J205="Part received",IF(M205="",0,M205),0)))</f>
        <v>0</v>
      </c>
      <c r="V205" s="37">
        <f>IF(B205="","",IF(J205="Ordered","",IF(J205="Draft","",ROUND(IF(F205="",0,F205)-U205,2))))</f>
        <v>0</v>
      </c>
      <c r="W205" s="25">
        <f>IF(B205="","",IF(L205="","",L205-B205))</f>
        <v>0</v>
      </c>
      <c r="X205" s="26">
        <f>IF(B205="","",IF(G205="","",IFERROR(ROUND(G205-INDEX(Inventory!$H$5:$H$304,MATCH(D205,Inventory!$A$5:$A$304,0)),2),"")))</f>
        <v>0</v>
      </c>
      <c r="Y205" s="39">
        <f>IF(B205="","",IF(D205="","Add - which product?",IF(J205="","Add - no status yet",IF(IF(J205="Ordered",IF(K205="",FALSE,K205&lt;TodayDate),FALSE),"Late - expected and not arrived",IF(V205&gt;0,"Check - delivery came up short",IF(IF(X205="",FALSE,X205&gt;0),"Check - cost has gone up",IF(O205&lt;&gt;"Yes","Due - invoice not paid","OK")))))))</f>
        <v>0</v>
      </c>
    </row>
    <row r="206" spans="1:25">
      <c r="A206" s="28">
        <f>IF(B206="","",PurchasePrefix&amp;TEXT(ROW()-4,"0000"))</f>
        <v>0</v>
      </c>
      <c r="E206" s="15">
        <f>IF(D206="","",IFERROR(INDEX(Inventory!$B$5:$B$304,MATCH(D206,Inventory!$A$5:$A$304,0)),"Not in Inventory"))</f>
        <v>0</v>
      </c>
      <c r="Q206" s="15">
        <f>IF(B206="","",TEXT(B206,"yyyy-mm"))</f>
        <v>0</v>
      </c>
      <c r="R206" s="26">
        <f>IF(B206="","",IF(G206&lt;&gt;"",G206,IFERROR(INDEX(Inventory!$H$5:$H$304,MATCH(D206,Inventory!$A$5:$A$304,0))*1,0)))</f>
        <v>0</v>
      </c>
      <c r="S206" s="26">
        <f>IF(B206="","",ROUND(IF(F206="",0,F206)*R206,2))</f>
        <v>0</v>
      </c>
      <c r="T206" s="26">
        <f>IF(B206="","",ROUND(S206+IF(H206="",0,H206)+IF(I206="",0,I206),2))</f>
        <v>0</v>
      </c>
      <c r="U206" s="37">
        <f>IF(B206="","",IF(J206="Received",IF(M206&lt;&gt;"",M206,IF(F206="",0,F206)),IF(J206="Part received",IF(M206="",0,M206),0)))</f>
        <v>0</v>
      </c>
      <c r="V206" s="37">
        <f>IF(B206="","",IF(J206="Ordered","",IF(J206="Draft","",ROUND(IF(F206="",0,F206)-U206,2))))</f>
        <v>0</v>
      </c>
      <c r="W206" s="25">
        <f>IF(B206="","",IF(L206="","",L206-B206))</f>
        <v>0</v>
      </c>
      <c r="X206" s="26">
        <f>IF(B206="","",IF(G206="","",IFERROR(ROUND(G206-INDEX(Inventory!$H$5:$H$304,MATCH(D206,Inventory!$A$5:$A$304,0)),2),"")))</f>
        <v>0</v>
      </c>
      <c r="Y206" s="39">
        <f>IF(B206="","",IF(D206="","Add - which product?",IF(J206="","Add - no status yet",IF(IF(J206="Ordered",IF(K206="",FALSE,K206&lt;TodayDate),FALSE),"Late - expected and not arrived",IF(V206&gt;0,"Check - delivery came up short",IF(IF(X206="",FALSE,X206&gt;0),"Check - cost has gone up",IF(O206&lt;&gt;"Yes","Due - invoice not paid","OK")))))))</f>
        <v>0</v>
      </c>
    </row>
    <row r="207" spans="1:25">
      <c r="A207" s="28">
        <f>IF(B207="","",PurchasePrefix&amp;TEXT(ROW()-4,"0000"))</f>
        <v>0</v>
      </c>
      <c r="E207" s="15">
        <f>IF(D207="","",IFERROR(INDEX(Inventory!$B$5:$B$304,MATCH(D207,Inventory!$A$5:$A$304,0)),"Not in Inventory"))</f>
        <v>0</v>
      </c>
      <c r="Q207" s="15">
        <f>IF(B207="","",TEXT(B207,"yyyy-mm"))</f>
        <v>0</v>
      </c>
      <c r="R207" s="26">
        <f>IF(B207="","",IF(G207&lt;&gt;"",G207,IFERROR(INDEX(Inventory!$H$5:$H$304,MATCH(D207,Inventory!$A$5:$A$304,0))*1,0)))</f>
        <v>0</v>
      </c>
      <c r="S207" s="26">
        <f>IF(B207="","",ROUND(IF(F207="",0,F207)*R207,2))</f>
        <v>0</v>
      </c>
      <c r="T207" s="26">
        <f>IF(B207="","",ROUND(S207+IF(H207="",0,H207)+IF(I207="",0,I207),2))</f>
        <v>0</v>
      </c>
      <c r="U207" s="37">
        <f>IF(B207="","",IF(J207="Received",IF(M207&lt;&gt;"",M207,IF(F207="",0,F207)),IF(J207="Part received",IF(M207="",0,M207),0)))</f>
        <v>0</v>
      </c>
      <c r="V207" s="37">
        <f>IF(B207="","",IF(J207="Ordered","",IF(J207="Draft","",ROUND(IF(F207="",0,F207)-U207,2))))</f>
        <v>0</v>
      </c>
      <c r="W207" s="25">
        <f>IF(B207="","",IF(L207="","",L207-B207))</f>
        <v>0</v>
      </c>
      <c r="X207" s="26">
        <f>IF(B207="","",IF(G207="","",IFERROR(ROUND(G207-INDEX(Inventory!$H$5:$H$304,MATCH(D207,Inventory!$A$5:$A$304,0)),2),"")))</f>
        <v>0</v>
      </c>
      <c r="Y207" s="39">
        <f>IF(B207="","",IF(D207="","Add - which product?",IF(J207="","Add - no status yet",IF(IF(J207="Ordered",IF(K207="",FALSE,K207&lt;TodayDate),FALSE),"Late - expected and not arrived",IF(V207&gt;0,"Check - delivery came up short",IF(IF(X207="",FALSE,X207&gt;0),"Check - cost has gone up",IF(O207&lt;&gt;"Yes","Due - invoice not paid","OK")))))))</f>
        <v>0</v>
      </c>
    </row>
    <row r="208" spans="1:25">
      <c r="A208" s="28">
        <f>IF(B208="","",PurchasePrefix&amp;TEXT(ROW()-4,"0000"))</f>
        <v>0</v>
      </c>
      <c r="E208" s="15">
        <f>IF(D208="","",IFERROR(INDEX(Inventory!$B$5:$B$304,MATCH(D208,Inventory!$A$5:$A$304,0)),"Not in Inventory"))</f>
        <v>0</v>
      </c>
      <c r="Q208" s="15">
        <f>IF(B208="","",TEXT(B208,"yyyy-mm"))</f>
        <v>0</v>
      </c>
      <c r="R208" s="26">
        <f>IF(B208="","",IF(G208&lt;&gt;"",G208,IFERROR(INDEX(Inventory!$H$5:$H$304,MATCH(D208,Inventory!$A$5:$A$304,0))*1,0)))</f>
        <v>0</v>
      </c>
      <c r="S208" s="26">
        <f>IF(B208="","",ROUND(IF(F208="",0,F208)*R208,2))</f>
        <v>0</v>
      </c>
      <c r="T208" s="26">
        <f>IF(B208="","",ROUND(S208+IF(H208="",0,H208)+IF(I208="",0,I208),2))</f>
        <v>0</v>
      </c>
      <c r="U208" s="37">
        <f>IF(B208="","",IF(J208="Received",IF(M208&lt;&gt;"",M208,IF(F208="",0,F208)),IF(J208="Part received",IF(M208="",0,M208),0)))</f>
        <v>0</v>
      </c>
      <c r="V208" s="37">
        <f>IF(B208="","",IF(J208="Ordered","",IF(J208="Draft","",ROUND(IF(F208="",0,F208)-U208,2))))</f>
        <v>0</v>
      </c>
      <c r="W208" s="25">
        <f>IF(B208="","",IF(L208="","",L208-B208))</f>
        <v>0</v>
      </c>
      <c r="X208" s="26">
        <f>IF(B208="","",IF(G208="","",IFERROR(ROUND(G208-INDEX(Inventory!$H$5:$H$304,MATCH(D208,Inventory!$A$5:$A$304,0)),2),"")))</f>
        <v>0</v>
      </c>
      <c r="Y208" s="39">
        <f>IF(B208="","",IF(D208="","Add - which product?",IF(J208="","Add - no status yet",IF(IF(J208="Ordered",IF(K208="",FALSE,K208&lt;TodayDate),FALSE),"Late - expected and not arrived",IF(V208&gt;0,"Check - delivery came up short",IF(IF(X208="",FALSE,X208&gt;0),"Check - cost has gone up",IF(O208&lt;&gt;"Yes","Due - invoice not paid","OK")))))))</f>
        <v>0</v>
      </c>
    </row>
    <row r="209" spans="1:25">
      <c r="A209" s="28">
        <f>IF(B209="","",PurchasePrefix&amp;TEXT(ROW()-4,"0000"))</f>
        <v>0</v>
      </c>
      <c r="E209" s="15">
        <f>IF(D209="","",IFERROR(INDEX(Inventory!$B$5:$B$304,MATCH(D209,Inventory!$A$5:$A$304,0)),"Not in Inventory"))</f>
        <v>0</v>
      </c>
      <c r="Q209" s="15">
        <f>IF(B209="","",TEXT(B209,"yyyy-mm"))</f>
        <v>0</v>
      </c>
      <c r="R209" s="26">
        <f>IF(B209="","",IF(G209&lt;&gt;"",G209,IFERROR(INDEX(Inventory!$H$5:$H$304,MATCH(D209,Inventory!$A$5:$A$304,0))*1,0)))</f>
        <v>0</v>
      </c>
      <c r="S209" s="26">
        <f>IF(B209="","",ROUND(IF(F209="",0,F209)*R209,2))</f>
        <v>0</v>
      </c>
      <c r="T209" s="26">
        <f>IF(B209="","",ROUND(S209+IF(H209="",0,H209)+IF(I209="",0,I209),2))</f>
        <v>0</v>
      </c>
      <c r="U209" s="37">
        <f>IF(B209="","",IF(J209="Received",IF(M209&lt;&gt;"",M209,IF(F209="",0,F209)),IF(J209="Part received",IF(M209="",0,M209),0)))</f>
        <v>0</v>
      </c>
      <c r="V209" s="37">
        <f>IF(B209="","",IF(J209="Ordered","",IF(J209="Draft","",ROUND(IF(F209="",0,F209)-U209,2))))</f>
        <v>0</v>
      </c>
      <c r="W209" s="25">
        <f>IF(B209="","",IF(L209="","",L209-B209))</f>
        <v>0</v>
      </c>
      <c r="X209" s="26">
        <f>IF(B209="","",IF(G209="","",IFERROR(ROUND(G209-INDEX(Inventory!$H$5:$H$304,MATCH(D209,Inventory!$A$5:$A$304,0)),2),"")))</f>
        <v>0</v>
      </c>
      <c r="Y209" s="39">
        <f>IF(B209="","",IF(D209="","Add - which product?",IF(J209="","Add - no status yet",IF(IF(J209="Ordered",IF(K209="",FALSE,K209&lt;TodayDate),FALSE),"Late - expected and not arrived",IF(V209&gt;0,"Check - delivery came up short",IF(IF(X209="",FALSE,X209&gt;0),"Check - cost has gone up",IF(O209&lt;&gt;"Yes","Due - invoice not paid","OK")))))))</f>
        <v>0</v>
      </c>
    </row>
    <row r="210" spans="1:25">
      <c r="A210" s="28">
        <f>IF(B210="","",PurchasePrefix&amp;TEXT(ROW()-4,"0000"))</f>
        <v>0</v>
      </c>
      <c r="E210" s="15">
        <f>IF(D210="","",IFERROR(INDEX(Inventory!$B$5:$B$304,MATCH(D210,Inventory!$A$5:$A$304,0)),"Not in Inventory"))</f>
        <v>0</v>
      </c>
      <c r="Q210" s="15">
        <f>IF(B210="","",TEXT(B210,"yyyy-mm"))</f>
        <v>0</v>
      </c>
      <c r="R210" s="26">
        <f>IF(B210="","",IF(G210&lt;&gt;"",G210,IFERROR(INDEX(Inventory!$H$5:$H$304,MATCH(D210,Inventory!$A$5:$A$304,0))*1,0)))</f>
        <v>0</v>
      </c>
      <c r="S210" s="26">
        <f>IF(B210="","",ROUND(IF(F210="",0,F210)*R210,2))</f>
        <v>0</v>
      </c>
      <c r="T210" s="26">
        <f>IF(B210="","",ROUND(S210+IF(H210="",0,H210)+IF(I210="",0,I210),2))</f>
        <v>0</v>
      </c>
      <c r="U210" s="37">
        <f>IF(B210="","",IF(J210="Received",IF(M210&lt;&gt;"",M210,IF(F210="",0,F210)),IF(J210="Part received",IF(M210="",0,M210),0)))</f>
        <v>0</v>
      </c>
      <c r="V210" s="37">
        <f>IF(B210="","",IF(J210="Ordered","",IF(J210="Draft","",ROUND(IF(F210="",0,F210)-U210,2))))</f>
        <v>0</v>
      </c>
      <c r="W210" s="25">
        <f>IF(B210="","",IF(L210="","",L210-B210))</f>
        <v>0</v>
      </c>
      <c r="X210" s="26">
        <f>IF(B210="","",IF(G210="","",IFERROR(ROUND(G210-INDEX(Inventory!$H$5:$H$304,MATCH(D210,Inventory!$A$5:$A$304,0)),2),"")))</f>
        <v>0</v>
      </c>
      <c r="Y210" s="39">
        <f>IF(B210="","",IF(D210="","Add - which product?",IF(J210="","Add - no status yet",IF(IF(J210="Ordered",IF(K210="",FALSE,K210&lt;TodayDate),FALSE),"Late - expected and not arrived",IF(V210&gt;0,"Check - delivery came up short",IF(IF(X210="",FALSE,X210&gt;0),"Check - cost has gone up",IF(O210&lt;&gt;"Yes","Due - invoice not paid","OK")))))))</f>
        <v>0</v>
      </c>
    </row>
    <row r="211" spans="1:25">
      <c r="A211" s="28">
        <f>IF(B211="","",PurchasePrefix&amp;TEXT(ROW()-4,"0000"))</f>
        <v>0</v>
      </c>
      <c r="E211" s="15">
        <f>IF(D211="","",IFERROR(INDEX(Inventory!$B$5:$B$304,MATCH(D211,Inventory!$A$5:$A$304,0)),"Not in Inventory"))</f>
        <v>0</v>
      </c>
      <c r="Q211" s="15">
        <f>IF(B211="","",TEXT(B211,"yyyy-mm"))</f>
        <v>0</v>
      </c>
      <c r="R211" s="26">
        <f>IF(B211="","",IF(G211&lt;&gt;"",G211,IFERROR(INDEX(Inventory!$H$5:$H$304,MATCH(D211,Inventory!$A$5:$A$304,0))*1,0)))</f>
        <v>0</v>
      </c>
      <c r="S211" s="26">
        <f>IF(B211="","",ROUND(IF(F211="",0,F211)*R211,2))</f>
        <v>0</v>
      </c>
      <c r="T211" s="26">
        <f>IF(B211="","",ROUND(S211+IF(H211="",0,H211)+IF(I211="",0,I211),2))</f>
        <v>0</v>
      </c>
      <c r="U211" s="37">
        <f>IF(B211="","",IF(J211="Received",IF(M211&lt;&gt;"",M211,IF(F211="",0,F211)),IF(J211="Part received",IF(M211="",0,M211),0)))</f>
        <v>0</v>
      </c>
      <c r="V211" s="37">
        <f>IF(B211="","",IF(J211="Ordered","",IF(J211="Draft","",ROUND(IF(F211="",0,F211)-U211,2))))</f>
        <v>0</v>
      </c>
      <c r="W211" s="25">
        <f>IF(B211="","",IF(L211="","",L211-B211))</f>
        <v>0</v>
      </c>
      <c r="X211" s="26">
        <f>IF(B211="","",IF(G211="","",IFERROR(ROUND(G211-INDEX(Inventory!$H$5:$H$304,MATCH(D211,Inventory!$A$5:$A$304,0)),2),"")))</f>
        <v>0</v>
      </c>
      <c r="Y211" s="39">
        <f>IF(B211="","",IF(D211="","Add - which product?",IF(J211="","Add - no status yet",IF(IF(J211="Ordered",IF(K211="",FALSE,K211&lt;TodayDate),FALSE),"Late - expected and not arrived",IF(V211&gt;0,"Check - delivery came up short",IF(IF(X211="",FALSE,X211&gt;0),"Check - cost has gone up",IF(O211&lt;&gt;"Yes","Due - invoice not paid","OK")))))))</f>
        <v>0</v>
      </c>
    </row>
    <row r="212" spans="1:25">
      <c r="A212" s="28">
        <f>IF(B212="","",PurchasePrefix&amp;TEXT(ROW()-4,"0000"))</f>
        <v>0</v>
      </c>
      <c r="E212" s="15">
        <f>IF(D212="","",IFERROR(INDEX(Inventory!$B$5:$B$304,MATCH(D212,Inventory!$A$5:$A$304,0)),"Not in Inventory"))</f>
        <v>0</v>
      </c>
      <c r="Q212" s="15">
        <f>IF(B212="","",TEXT(B212,"yyyy-mm"))</f>
        <v>0</v>
      </c>
      <c r="R212" s="26">
        <f>IF(B212="","",IF(G212&lt;&gt;"",G212,IFERROR(INDEX(Inventory!$H$5:$H$304,MATCH(D212,Inventory!$A$5:$A$304,0))*1,0)))</f>
        <v>0</v>
      </c>
      <c r="S212" s="26">
        <f>IF(B212="","",ROUND(IF(F212="",0,F212)*R212,2))</f>
        <v>0</v>
      </c>
      <c r="T212" s="26">
        <f>IF(B212="","",ROUND(S212+IF(H212="",0,H212)+IF(I212="",0,I212),2))</f>
        <v>0</v>
      </c>
      <c r="U212" s="37">
        <f>IF(B212="","",IF(J212="Received",IF(M212&lt;&gt;"",M212,IF(F212="",0,F212)),IF(J212="Part received",IF(M212="",0,M212),0)))</f>
        <v>0</v>
      </c>
      <c r="V212" s="37">
        <f>IF(B212="","",IF(J212="Ordered","",IF(J212="Draft","",ROUND(IF(F212="",0,F212)-U212,2))))</f>
        <v>0</v>
      </c>
      <c r="W212" s="25">
        <f>IF(B212="","",IF(L212="","",L212-B212))</f>
        <v>0</v>
      </c>
      <c r="X212" s="26">
        <f>IF(B212="","",IF(G212="","",IFERROR(ROUND(G212-INDEX(Inventory!$H$5:$H$304,MATCH(D212,Inventory!$A$5:$A$304,0)),2),"")))</f>
        <v>0</v>
      </c>
      <c r="Y212" s="39">
        <f>IF(B212="","",IF(D212="","Add - which product?",IF(J212="","Add - no status yet",IF(IF(J212="Ordered",IF(K212="",FALSE,K212&lt;TodayDate),FALSE),"Late - expected and not arrived",IF(V212&gt;0,"Check - delivery came up short",IF(IF(X212="",FALSE,X212&gt;0),"Check - cost has gone up",IF(O212&lt;&gt;"Yes","Due - invoice not paid","OK")))))))</f>
        <v>0</v>
      </c>
    </row>
    <row r="213" spans="1:25">
      <c r="A213" s="28">
        <f>IF(B213="","",PurchasePrefix&amp;TEXT(ROW()-4,"0000"))</f>
        <v>0</v>
      </c>
      <c r="E213" s="15">
        <f>IF(D213="","",IFERROR(INDEX(Inventory!$B$5:$B$304,MATCH(D213,Inventory!$A$5:$A$304,0)),"Not in Inventory"))</f>
        <v>0</v>
      </c>
      <c r="Q213" s="15">
        <f>IF(B213="","",TEXT(B213,"yyyy-mm"))</f>
        <v>0</v>
      </c>
      <c r="R213" s="26">
        <f>IF(B213="","",IF(G213&lt;&gt;"",G213,IFERROR(INDEX(Inventory!$H$5:$H$304,MATCH(D213,Inventory!$A$5:$A$304,0))*1,0)))</f>
        <v>0</v>
      </c>
      <c r="S213" s="26">
        <f>IF(B213="","",ROUND(IF(F213="",0,F213)*R213,2))</f>
        <v>0</v>
      </c>
      <c r="T213" s="26">
        <f>IF(B213="","",ROUND(S213+IF(H213="",0,H213)+IF(I213="",0,I213),2))</f>
        <v>0</v>
      </c>
      <c r="U213" s="37">
        <f>IF(B213="","",IF(J213="Received",IF(M213&lt;&gt;"",M213,IF(F213="",0,F213)),IF(J213="Part received",IF(M213="",0,M213),0)))</f>
        <v>0</v>
      </c>
      <c r="V213" s="37">
        <f>IF(B213="","",IF(J213="Ordered","",IF(J213="Draft","",ROUND(IF(F213="",0,F213)-U213,2))))</f>
        <v>0</v>
      </c>
      <c r="W213" s="25">
        <f>IF(B213="","",IF(L213="","",L213-B213))</f>
        <v>0</v>
      </c>
      <c r="X213" s="26">
        <f>IF(B213="","",IF(G213="","",IFERROR(ROUND(G213-INDEX(Inventory!$H$5:$H$304,MATCH(D213,Inventory!$A$5:$A$304,0)),2),"")))</f>
        <v>0</v>
      </c>
      <c r="Y213" s="39">
        <f>IF(B213="","",IF(D213="","Add - which product?",IF(J213="","Add - no status yet",IF(IF(J213="Ordered",IF(K213="",FALSE,K213&lt;TodayDate),FALSE),"Late - expected and not arrived",IF(V213&gt;0,"Check - delivery came up short",IF(IF(X213="",FALSE,X213&gt;0),"Check - cost has gone up",IF(O213&lt;&gt;"Yes","Due - invoice not paid","OK")))))))</f>
        <v>0</v>
      </c>
    </row>
    <row r="214" spans="1:25">
      <c r="A214" s="28">
        <f>IF(B214="","",PurchasePrefix&amp;TEXT(ROW()-4,"0000"))</f>
        <v>0</v>
      </c>
      <c r="E214" s="15">
        <f>IF(D214="","",IFERROR(INDEX(Inventory!$B$5:$B$304,MATCH(D214,Inventory!$A$5:$A$304,0)),"Not in Inventory"))</f>
        <v>0</v>
      </c>
      <c r="Q214" s="15">
        <f>IF(B214="","",TEXT(B214,"yyyy-mm"))</f>
        <v>0</v>
      </c>
      <c r="R214" s="26">
        <f>IF(B214="","",IF(G214&lt;&gt;"",G214,IFERROR(INDEX(Inventory!$H$5:$H$304,MATCH(D214,Inventory!$A$5:$A$304,0))*1,0)))</f>
        <v>0</v>
      </c>
      <c r="S214" s="26">
        <f>IF(B214="","",ROUND(IF(F214="",0,F214)*R214,2))</f>
        <v>0</v>
      </c>
      <c r="T214" s="26">
        <f>IF(B214="","",ROUND(S214+IF(H214="",0,H214)+IF(I214="",0,I214),2))</f>
        <v>0</v>
      </c>
      <c r="U214" s="37">
        <f>IF(B214="","",IF(J214="Received",IF(M214&lt;&gt;"",M214,IF(F214="",0,F214)),IF(J214="Part received",IF(M214="",0,M214),0)))</f>
        <v>0</v>
      </c>
      <c r="V214" s="37">
        <f>IF(B214="","",IF(J214="Ordered","",IF(J214="Draft","",ROUND(IF(F214="",0,F214)-U214,2))))</f>
        <v>0</v>
      </c>
      <c r="W214" s="25">
        <f>IF(B214="","",IF(L214="","",L214-B214))</f>
        <v>0</v>
      </c>
      <c r="X214" s="26">
        <f>IF(B214="","",IF(G214="","",IFERROR(ROUND(G214-INDEX(Inventory!$H$5:$H$304,MATCH(D214,Inventory!$A$5:$A$304,0)),2),"")))</f>
        <v>0</v>
      </c>
      <c r="Y214" s="39">
        <f>IF(B214="","",IF(D214="","Add - which product?",IF(J214="","Add - no status yet",IF(IF(J214="Ordered",IF(K214="",FALSE,K214&lt;TodayDate),FALSE),"Late - expected and not arrived",IF(V214&gt;0,"Check - delivery came up short",IF(IF(X214="",FALSE,X214&gt;0),"Check - cost has gone up",IF(O214&lt;&gt;"Yes","Due - invoice not paid","OK")))))))</f>
        <v>0</v>
      </c>
    </row>
    <row r="215" spans="1:25">
      <c r="A215" s="28">
        <f>IF(B215="","",PurchasePrefix&amp;TEXT(ROW()-4,"0000"))</f>
        <v>0</v>
      </c>
      <c r="E215" s="15">
        <f>IF(D215="","",IFERROR(INDEX(Inventory!$B$5:$B$304,MATCH(D215,Inventory!$A$5:$A$304,0)),"Not in Inventory"))</f>
        <v>0</v>
      </c>
      <c r="Q215" s="15">
        <f>IF(B215="","",TEXT(B215,"yyyy-mm"))</f>
        <v>0</v>
      </c>
      <c r="R215" s="26">
        <f>IF(B215="","",IF(G215&lt;&gt;"",G215,IFERROR(INDEX(Inventory!$H$5:$H$304,MATCH(D215,Inventory!$A$5:$A$304,0))*1,0)))</f>
        <v>0</v>
      </c>
      <c r="S215" s="26">
        <f>IF(B215="","",ROUND(IF(F215="",0,F215)*R215,2))</f>
        <v>0</v>
      </c>
      <c r="T215" s="26">
        <f>IF(B215="","",ROUND(S215+IF(H215="",0,H215)+IF(I215="",0,I215),2))</f>
        <v>0</v>
      </c>
      <c r="U215" s="37">
        <f>IF(B215="","",IF(J215="Received",IF(M215&lt;&gt;"",M215,IF(F215="",0,F215)),IF(J215="Part received",IF(M215="",0,M215),0)))</f>
        <v>0</v>
      </c>
      <c r="V215" s="37">
        <f>IF(B215="","",IF(J215="Ordered","",IF(J215="Draft","",ROUND(IF(F215="",0,F215)-U215,2))))</f>
        <v>0</v>
      </c>
      <c r="W215" s="25">
        <f>IF(B215="","",IF(L215="","",L215-B215))</f>
        <v>0</v>
      </c>
      <c r="X215" s="26">
        <f>IF(B215="","",IF(G215="","",IFERROR(ROUND(G215-INDEX(Inventory!$H$5:$H$304,MATCH(D215,Inventory!$A$5:$A$304,0)),2),"")))</f>
        <v>0</v>
      </c>
      <c r="Y215" s="39">
        <f>IF(B215="","",IF(D215="","Add - which product?",IF(J215="","Add - no status yet",IF(IF(J215="Ordered",IF(K215="",FALSE,K215&lt;TodayDate),FALSE),"Late - expected and not arrived",IF(V215&gt;0,"Check - delivery came up short",IF(IF(X215="",FALSE,X215&gt;0),"Check - cost has gone up",IF(O215&lt;&gt;"Yes","Due - invoice not paid","OK")))))))</f>
        <v>0</v>
      </c>
    </row>
    <row r="216" spans="1:25">
      <c r="A216" s="28">
        <f>IF(B216="","",PurchasePrefix&amp;TEXT(ROW()-4,"0000"))</f>
        <v>0</v>
      </c>
      <c r="E216" s="15">
        <f>IF(D216="","",IFERROR(INDEX(Inventory!$B$5:$B$304,MATCH(D216,Inventory!$A$5:$A$304,0)),"Not in Inventory"))</f>
        <v>0</v>
      </c>
      <c r="Q216" s="15">
        <f>IF(B216="","",TEXT(B216,"yyyy-mm"))</f>
        <v>0</v>
      </c>
      <c r="R216" s="26">
        <f>IF(B216="","",IF(G216&lt;&gt;"",G216,IFERROR(INDEX(Inventory!$H$5:$H$304,MATCH(D216,Inventory!$A$5:$A$304,0))*1,0)))</f>
        <v>0</v>
      </c>
      <c r="S216" s="26">
        <f>IF(B216="","",ROUND(IF(F216="",0,F216)*R216,2))</f>
        <v>0</v>
      </c>
      <c r="T216" s="26">
        <f>IF(B216="","",ROUND(S216+IF(H216="",0,H216)+IF(I216="",0,I216),2))</f>
        <v>0</v>
      </c>
      <c r="U216" s="37">
        <f>IF(B216="","",IF(J216="Received",IF(M216&lt;&gt;"",M216,IF(F216="",0,F216)),IF(J216="Part received",IF(M216="",0,M216),0)))</f>
        <v>0</v>
      </c>
      <c r="V216" s="37">
        <f>IF(B216="","",IF(J216="Ordered","",IF(J216="Draft","",ROUND(IF(F216="",0,F216)-U216,2))))</f>
        <v>0</v>
      </c>
      <c r="W216" s="25">
        <f>IF(B216="","",IF(L216="","",L216-B216))</f>
        <v>0</v>
      </c>
      <c r="X216" s="26">
        <f>IF(B216="","",IF(G216="","",IFERROR(ROUND(G216-INDEX(Inventory!$H$5:$H$304,MATCH(D216,Inventory!$A$5:$A$304,0)),2),"")))</f>
        <v>0</v>
      </c>
      <c r="Y216" s="39">
        <f>IF(B216="","",IF(D216="","Add - which product?",IF(J216="","Add - no status yet",IF(IF(J216="Ordered",IF(K216="",FALSE,K216&lt;TodayDate),FALSE),"Late - expected and not arrived",IF(V216&gt;0,"Check - delivery came up short",IF(IF(X216="",FALSE,X216&gt;0),"Check - cost has gone up",IF(O216&lt;&gt;"Yes","Due - invoice not paid","OK")))))))</f>
        <v>0</v>
      </c>
    </row>
    <row r="217" spans="1:25">
      <c r="A217" s="28">
        <f>IF(B217="","",PurchasePrefix&amp;TEXT(ROW()-4,"0000"))</f>
        <v>0</v>
      </c>
      <c r="E217" s="15">
        <f>IF(D217="","",IFERROR(INDEX(Inventory!$B$5:$B$304,MATCH(D217,Inventory!$A$5:$A$304,0)),"Not in Inventory"))</f>
        <v>0</v>
      </c>
      <c r="Q217" s="15">
        <f>IF(B217="","",TEXT(B217,"yyyy-mm"))</f>
        <v>0</v>
      </c>
      <c r="R217" s="26">
        <f>IF(B217="","",IF(G217&lt;&gt;"",G217,IFERROR(INDEX(Inventory!$H$5:$H$304,MATCH(D217,Inventory!$A$5:$A$304,0))*1,0)))</f>
        <v>0</v>
      </c>
      <c r="S217" s="26">
        <f>IF(B217="","",ROUND(IF(F217="",0,F217)*R217,2))</f>
        <v>0</v>
      </c>
      <c r="T217" s="26">
        <f>IF(B217="","",ROUND(S217+IF(H217="",0,H217)+IF(I217="",0,I217),2))</f>
        <v>0</v>
      </c>
      <c r="U217" s="37">
        <f>IF(B217="","",IF(J217="Received",IF(M217&lt;&gt;"",M217,IF(F217="",0,F217)),IF(J217="Part received",IF(M217="",0,M217),0)))</f>
        <v>0</v>
      </c>
      <c r="V217" s="37">
        <f>IF(B217="","",IF(J217="Ordered","",IF(J217="Draft","",ROUND(IF(F217="",0,F217)-U217,2))))</f>
        <v>0</v>
      </c>
      <c r="W217" s="25">
        <f>IF(B217="","",IF(L217="","",L217-B217))</f>
        <v>0</v>
      </c>
      <c r="X217" s="26">
        <f>IF(B217="","",IF(G217="","",IFERROR(ROUND(G217-INDEX(Inventory!$H$5:$H$304,MATCH(D217,Inventory!$A$5:$A$304,0)),2),"")))</f>
        <v>0</v>
      </c>
      <c r="Y217" s="39">
        <f>IF(B217="","",IF(D217="","Add - which product?",IF(J217="","Add - no status yet",IF(IF(J217="Ordered",IF(K217="",FALSE,K217&lt;TodayDate),FALSE),"Late - expected and not arrived",IF(V217&gt;0,"Check - delivery came up short",IF(IF(X217="",FALSE,X217&gt;0),"Check - cost has gone up",IF(O217&lt;&gt;"Yes","Due - invoice not paid","OK")))))))</f>
        <v>0</v>
      </c>
    </row>
    <row r="218" spans="1:25">
      <c r="A218" s="28">
        <f>IF(B218="","",PurchasePrefix&amp;TEXT(ROW()-4,"0000"))</f>
        <v>0</v>
      </c>
      <c r="E218" s="15">
        <f>IF(D218="","",IFERROR(INDEX(Inventory!$B$5:$B$304,MATCH(D218,Inventory!$A$5:$A$304,0)),"Not in Inventory"))</f>
        <v>0</v>
      </c>
      <c r="Q218" s="15">
        <f>IF(B218="","",TEXT(B218,"yyyy-mm"))</f>
        <v>0</v>
      </c>
      <c r="R218" s="26">
        <f>IF(B218="","",IF(G218&lt;&gt;"",G218,IFERROR(INDEX(Inventory!$H$5:$H$304,MATCH(D218,Inventory!$A$5:$A$304,0))*1,0)))</f>
        <v>0</v>
      </c>
      <c r="S218" s="26">
        <f>IF(B218="","",ROUND(IF(F218="",0,F218)*R218,2))</f>
        <v>0</v>
      </c>
      <c r="T218" s="26">
        <f>IF(B218="","",ROUND(S218+IF(H218="",0,H218)+IF(I218="",0,I218),2))</f>
        <v>0</v>
      </c>
      <c r="U218" s="37">
        <f>IF(B218="","",IF(J218="Received",IF(M218&lt;&gt;"",M218,IF(F218="",0,F218)),IF(J218="Part received",IF(M218="",0,M218),0)))</f>
        <v>0</v>
      </c>
      <c r="V218" s="37">
        <f>IF(B218="","",IF(J218="Ordered","",IF(J218="Draft","",ROUND(IF(F218="",0,F218)-U218,2))))</f>
        <v>0</v>
      </c>
      <c r="W218" s="25">
        <f>IF(B218="","",IF(L218="","",L218-B218))</f>
        <v>0</v>
      </c>
      <c r="X218" s="26">
        <f>IF(B218="","",IF(G218="","",IFERROR(ROUND(G218-INDEX(Inventory!$H$5:$H$304,MATCH(D218,Inventory!$A$5:$A$304,0)),2),"")))</f>
        <v>0</v>
      </c>
      <c r="Y218" s="39">
        <f>IF(B218="","",IF(D218="","Add - which product?",IF(J218="","Add - no status yet",IF(IF(J218="Ordered",IF(K218="",FALSE,K218&lt;TodayDate),FALSE),"Late - expected and not arrived",IF(V218&gt;0,"Check - delivery came up short",IF(IF(X218="",FALSE,X218&gt;0),"Check - cost has gone up",IF(O218&lt;&gt;"Yes","Due - invoice not paid","OK")))))))</f>
        <v>0</v>
      </c>
    </row>
    <row r="219" spans="1:25">
      <c r="A219" s="28">
        <f>IF(B219="","",PurchasePrefix&amp;TEXT(ROW()-4,"0000"))</f>
        <v>0</v>
      </c>
      <c r="E219" s="15">
        <f>IF(D219="","",IFERROR(INDEX(Inventory!$B$5:$B$304,MATCH(D219,Inventory!$A$5:$A$304,0)),"Not in Inventory"))</f>
        <v>0</v>
      </c>
      <c r="Q219" s="15">
        <f>IF(B219="","",TEXT(B219,"yyyy-mm"))</f>
        <v>0</v>
      </c>
      <c r="R219" s="26">
        <f>IF(B219="","",IF(G219&lt;&gt;"",G219,IFERROR(INDEX(Inventory!$H$5:$H$304,MATCH(D219,Inventory!$A$5:$A$304,0))*1,0)))</f>
        <v>0</v>
      </c>
      <c r="S219" s="26">
        <f>IF(B219="","",ROUND(IF(F219="",0,F219)*R219,2))</f>
        <v>0</v>
      </c>
      <c r="T219" s="26">
        <f>IF(B219="","",ROUND(S219+IF(H219="",0,H219)+IF(I219="",0,I219),2))</f>
        <v>0</v>
      </c>
      <c r="U219" s="37">
        <f>IF(B219="","",IF(J219="Received",IF(M219&lt;&gt;"",M219,IF(F219="",0,F219)),IF(J219="Part received",IF(M219="",0,M219),0)))</f>
        <v>0</v>
      </c>
      <c r="V219" s="37">
        <f>IF(B219="","",IF(J219="Ordered","",IF(J219="Draft","",ROUND(IF(F219="",0,F219)-U219,2))))</f>
        <v>0</v>
      </c>
      <c r="W219" s="25">
        <f>IF(B219="","",IF(L219="","",L219-B219))</f>
        <v>0</v>
      </c>
      <c r="X219" s="26">
        <f>IF(B219="","",IF(G219="","",IFERROR(ROUND(G219-INDEX(Inventory!$H$5:$H$304,MATCH(D219,Inventory!$A$5:$A$304,0)),2),"")))</f>
        <v>0</v>
      </c>
      <c r="Y219" s="39">
        <f>IF(B219="","",IF(D219="","Add - which product?",IF(J219="","Add - no status yet",IF(IF(J219="Ordered",IF(K219="",FALSE,K219&lt;TodayDate),FALSE),"Late - expected and not arrived",IF(V219&gt;0,"Check - delivery came up short",IF(IF(X219="",FALSE,X219&gt;0),"Check - cost has gone up",IF(O219&lt;&gt;"Yes","Due - invoice not paid","OK")))))))</f>
        <v>0</v>
      </c>
    </row>
    <row r="220" spans="1:25">
      <c r="A220" s="28">
        <f>IF(B220="","",PurchasePrefix&amp;TEXT(ROW()-4,"0000"))</f>
        <v>0</v>
      </c>
      <c r="E220" s="15">
        <f>IF(D220="","",IFERROR(INDEX(Inventory!$B$5:$B$304,MATCH(D220,Inventory!$A$5:$A$304,0)),"Not in Inventory"))</f>
        <v>0</v>
      </c>
      <c r="Q220" s="15">
        <f>IF(B220="","",TEXT(B220,"yyyy-mm"))</f>
        <v>0</v>
      </c>
      <c r="R220" s="26">
        <f>IF(B220="","",IF(G220&lt;&gt;"",G220,IFERROR(INDEX(Inventory!$H$5:$H$304,MATCH(D220,Inventory!$A$5:$A$304,0))*1,0)))</f>
        <v>0</v>
      </c>
      <c r="S220" s="26">
        <f>IF(B220="","",ROUND(IF(F220="",0,F220)*R220,2))</f>
        <v>0</v>
      </c>
      <c r="T220" s="26">
        <f>IF(B220="","",ROUND(S220+IF(H220="",0,H220)+IF(I220="",0,I220),2))</f>
        <v>0</v>
      </c>
      <c r="U220" s="37">
        <f>IF(B220="","",IF(J220="Received",IF(M220&lt;&gt;"",M220,IF(F220="",0,F220)),IF(J220="Part received",IF(M220="",0,M220),0)))</f>
        <v>0</v>
      </c>
      <c r="V220" s="37">
        <f>IF(B220="","",IF(J220="Ordered","",IF(J220="Draft","",ROUND(IF(F220="",0,F220)-U220,2))))</f>
        <v>0</v>
      </c>
      <c r="W220" s="25">
        <f>IF(B220="","",IF(L220="","",L220-B220))</f>
        <v>0</v>
      </c>
      <c r="X220" s="26">
        <f>IF(B220="","",IF(G220="","",IFERROR(ROUND(G220-INDEX(Inventory!$H$5:$H$304,MATCH(D220,Inventory!$A$5:$A$304,0)),2),"")))</f>
        <v>0</v>
      </c>
      <c r="Y220" s="39">
        <f>IF(B220="","",IF(D220="","Add - which product?",IF(J220="","Add - no status yet",IF(IF(J220="Ordered",IF(K220="",FALSE,K220&lt;TodayDate),FALSE),"Late - expected and not arrived",IF(V220&gt;0,"Check - delivery came up short",IF(IF(X220="",FALSE,X220&gt;0),"Check - cost has gone up",IF(O220&lt;&gt;"Yes","Due - invoice not paid","OK")))))))</f>
        <v>0</v>
      </c>
    </row>
    <row r="221" spans="1:25">
      <c r="A221" s="28">
        <f>IF(B221="","",PurchasePrefix&amp;TEXT(ROW()-4,"0000"))</f>
        <v>0</v>
      </c>
      <c r="E221" s="15">
        <f>IF(D221="","",IFERROR(INDEX(Inventory!$B$5:$B$304,MATCH(D221,Inventory!$A$5:$A$304,0)),"Not in Inventory"))</f>
        <v>0</v>
      </c>
      <c r="Q221" s="15">
        <f>IF(B221="","",TEXT(B221,"yyyy-mm"))</f>
        <v>0</v>
      </c>
      <c r="R221" s="26">
        <f>IF(B221="","",IF(G221&lt;&gt;"",G221,IFERROR(INDEX(Inventory!$H$5:$H$304,MATCH(D221,Inventory!$A$5:$A$304,0))*1,0)))</f>
        <v>0</v>
      </c>
      <c r="S221" s="26">
        <f>IF(B221="","",ROUND(IF(F221="",0,F221)*R221,2))</f>
        <v>0</v>
      </c>
      <c r="T221" s="26">
        <f>IF(B221="","",ROUND(S221+IF(H221="",0,H221)+IF(I221="",0,I221),2))</f>
        <v>0</v>
      </c>
      <c r="U221" s="37">
        <f>IF(B221="","",IF(J221="Received",IF(M221&lt;&gt;"",M221,IF(F221="",0,F221)),IF(J221="Part received",IF(M221="",0,M221),0)))</f>
        <v>0</v>
      </c>
      <c r="V221" s="37">
        <f>IF(B221="","",IF(J221="Ordered","",IF(J221="Draft","",ROUND(IF(F221="",0,F221)-U221,2))))</f>
        <v>0</v>
      </c>
      <c r="W221" s="25">
        <f>IF(B221="","",IF(L221="","",L221-B221))</f>
        <v>0</v>
      </c>
      <c r="X221" s="26">
        <f>IF(B221="","",IF(G221="","",IFERROR(ROUND(G221-INDEX(Inventory!$H$5:$H$304,MATCH(D221,Inventory!$A$5:$A$304,0)),2),"")))</f>
        <v>0</v>
      </c>
      <c r="Y221" s="39">
        <f>IF(B221="","",IF(D221="","Add - which product?",IF(J221="","Add - no status yet",IF(IF(J221="Ordered",IF(K221="",FALSE,K221&lt;TodayDate),FALSE),"Late - expected and not arrived",IF(V221&gt;0,"Check - delivery came up short",IF(IF(X221="",FALSE,X221&gt;0),"Check - cost has gone up",IF(O221&lt;&gt;"Yes","Due - invoice not paid","OK")))))))</f>
        <v>0</v>
      </c>
    </row>
    <row r="222" spans="1:25">
      <c r="A222" s="28">
        <f>IF(B222="","",PurchasePrefix&amp;TEXT(ROW()-4,"0000"))</f>
        <v>0</v>
      </c>
      <c r="E222" s="15">
        <f>IF(D222="","",IFERROR(INDEX(Inventory!$B$5:$B$304,MATCH(D222,Inventory!$A$5:$A$304,0)),"Not in Inventory"))</f>
        <v>0</v>
      </c>
      <c r="Q222" s="15">
        <f>IF(B222="","",TEXT(B222,"yyyy-mm"))</f>
        <v>0</v>
      </c>
      <c r="R222" s="26">
        <f>IF(B222="","",IF(G222&lt;&gt;"",G222,IFERROR(INDEX(Inventory!$H$5:$H$304,MATCH(D222,Inventory!$A$5:$A$304,0))*1,0)))</f>
        <v>0</v>
      </c>
      <c r="S222" s="26">
        <f>IF(B222="","",ROUND(IF(F222="",0,F222)*R222,2))</f>
        <v>0</v>
      </c>
      <c r="T222" s="26">
        <f>IF(B222="","",ROUND(S222+IF(H222="",0,H222)+IF(I222="",0,I222),2))</f>
        <v>0</v>
      </c>
      <c r="U222" s="37">
        <f>IF(B222="","",IF(J222="Received",IF(M222&lt;&gt;"",M222,IF(F222="",0,F222)),IF(J222="Part received",IF(M222="",0,M222),0)))</f>
        <v>0</v>
      </c>
      <c r="V222" s="37">
        <f>IF(B222="","",IF(J222="Ordered","",IF(J222="Draft","",ROUND(IF(F222="",0,F222)-U222,2))))</f>
        <v>0</v>
      </c>
      <c r="W222" s="25">
        <f>IF(B222="","",IF(L222="","",L222-B222))</f>
        <v>0</v>
      </c>
      <c r="X222" s="26">
        <f>IF(B222="","",IF(G222="","",IFERROR(ROUND(G222-INDEX(Inventory!$H$5:$H$304,MATCH(D222,Inventory!$A$5:$A$304,0)),2),"")))</f>
        <v>0</v>
      </c>
      <c r="Y222" s="39">
        <f>IF(B222="","",IF(D222="","Add - which product?",IF(J222="","Add - no status yet",IF(IF(J222="Ordered",IF(K222="",FALSE,K222&lt;TodayDate),FALSE),"Late - expected and not arrived",IF(V222&gt;0,"Check - delivery came up short",IF(IF(X222="",FALSE,X222&gt;0),"Check - cost has gone up",IF(O222&lt;&gt;"Yes","Due - invoice not paid","OK")))))))</f>
        <v>0</v>
      </c>
    </row>
    <row r="223" spans="1:25">
      <c r="A223" s="28">
        <f>IF(B223="","",PurchasePrefix&amp;TEXT(ROW()-4,"0000"))</f>
        <v>0</v>
      </c>
      <c r="E223" s="15">
        <f>IF(D223="","",IFERROR(INDEX(Inventory!$B$5:$B$304,MATCH(D223,Inventory!$A$5:$A$304,0)),"Not in Inventory"))</f>
        <v>0</v>
      </c>
      <c r="Q223" s="15">
        <f>IF(B223="","",TEXT(B223,"yyyy-mm"))</f>
        <v>0</v>
      </c>
      <c r="R223" s="26">
        <f>IF(B223="","",IF(G223&lt;&gt;"",G223,IFERROR(INDEX(Inventory!$H$5:$H$304,MATCH(D223,Inventory!$A$5:$A$304,0))*1,0)))</f>
        <v>0</v>
      </c>
      <c r="S223" s="26">
        <f>IF(B223="","",ROUND(IF(F223="",0,F223)*R223,2))</f>
        <v>0</v>
      </c>
      <c r="T223" s="26">
        <f>IF(B223="","",ROUND(S223+IF(H223="",0,H223)+IF(I223="",0,I223),2))</f>
        <v>0</v>
      </c>
      <c r="U223" s="37">
        <f>IF(B223="","",IF(J223="Received",IF(M223&lt;&gt;"",M223,IF(F223="",0,F223)),IF(J223="Part received",IF(M223="",0,M223),0)))</f>
        <v>0</v>
      </c>
      <c r="V223" s="37">
        <f>IF(B223="","",IF(J223="Ordered","",IF(J223="Draft","",ROUND(IF(F223="",0,F223)-U223,2))))</f>
        <v>0</v>
      </c>
      <c r="W223" s="25">
        <f>IF(B223="","",IF(L223="","",L223-B223))</f>
        <v>0</v>
      </c>
      <c r="X223" s="26">
        <f>IF(B223="","",IF(G223="","",IFERROR(ROUND(G223-INDEX(Inventory!$H$5:$H$304,MATCH(D223,Inventory!$A$5:$A$304,0)),2),"")))</f>
        <v>0</v>
      </c>
      <c r="Y223" s="39">
        <f>IF(B223="","",IF(D223="","Add - which product?",IF(J223="","Add - no status yet",IF(IF(J223="Ordered",IF(K223="",FALSE,K223&lt;TodayDate),FALSE),"Late - expected and not arrived",IF(V223&gt;0,"Check - delivery came up short",IF(IF(X223="",FALSE,X223&gt;0),"Check - cost has gone up",IF(O223&lt;&gt;"Yes","Due - invoice not paid","OK")))))))</f>
        <v>0</v>
      </c>
    </row>
    <row r="224" spans="1:25">
      <c r="A224" s="28">
        <f>IF(B224="","",PurchasePrefix&amp;TEXT(ROW()-4,"0000"))</f>
        <v>0</v>
      </c>
      <c r="E224" s="15">
        <f>IF(D224="","",IFERROR(INDEX(Inventory!$B$5:$B$304,MATCH(D224,Inventory!$A$5:$A$304,0)),"Not in Inventory"))</f>
        <v>0</v>
      </c>
      <c r="Q224" s="15">
        <f>IF(B224="","",TEXT(B224,"yyyy-mm"))</f>
        <v>0</v>
      </c>
      <c r="R224" s="26">
        <f>IF(B224="","",IF(G224&lt;&gt;"",G224,IFERROR(INDEX(Inventory!$H$5:$H$304,MATCH(D224,Inventory!$A$5:$A$304,0))*1,0)))</f>
        <v>0</v>
      </c>
      <c r="S224" s="26">
        <f>IF(B224="","",ROUND(IF(F224="",0,F224)*R224,2))</f>
        <v>0</v>
      </c>
      <c r="T224" s="26">
        <f>IF(B224="","",ROUND(S224+IF(H224="",0,H224)+IF(I224="",0,I224),2))</f>
        <v>0</v>
      </c>
      <c r="U224" s="37">
        <f>IF(B224="","",IF(J224="Received",IF(M224&lt;&gt;"",M224,IF(F224="",0,F224)),IF(J224="Part received",IF(M224="",0,M224),0)))</f>
        <v>0</v>
      </c>
      <c r="V224" s="37">
        <f>IF(B224="","",IF(J224="Ordered","",IF(J224="Draft","",ROUND(IF(F224="",0,F224)-U224,2))))</f>
        <v>0</v>
      </c>
      <c r="W224" s="25">
        <f>IF(B224="","",IF(L224="","",L224-B224))</f>
        <v>0</v>
      </c>
      <c r="X224" s="26">
        <f>IF(B224="","",IF(G224="","",IFERROR(ROUND(G224-INDEX(Inventory!$H$5:$H$304,MATCH(D224,Inventory!$A$5:$A$304,0)),2),"")))</f>
        <v>0</v>
      </c>
      <c r="Y224" s="39">
        <f>IF(B224="","",IF(D224="","Add - which product?",IF(J224="","Add - no status yet",IF(IF(J224="Ordered",IF(K224="",FALSE,K224&lt;TodayDate),FALSE),"Late - expected and not arrived",IF(V224&gt;0,"Check - delivery came up short",IF(IF(X224="",FALSE,X224&gt;0),"Check - cost has gone up",IF(O224&lt;&gt;"Yes","Due - invoice not paid","OK")))))))</f>
        <v>0</v>
      </c>
    </row>
    <row r="225" spans="1:25">
      <c r="A225" s="28">
        <f>IF(B225="","",PurchasePrefix&amp;TEXT(ROW()-4,"0000"))</f>
        <v>0</v>
      </c>
      <c r="E225" s="15">
        <f>IF(D225="","",IFERROR(INDEX(Inventory!$B$5:$B$304,MATCH(D225,Inventory!$A$5:$A$304,0)),"Not in Inventory"))</f>
        <v>0</v>
      </c>
      <c r="Q225" s="15">
        <f>IF(B225="","",TEXT(B225,"yyyy-mm"))</f>
        <v>0</v>
      </c>
      <c r="R225" s="26">
        <f>IF(B225="","",IF(G225&lt;&gt;"",G225,IFERROR(INDEX(Inventory!$H$5:$H$304,MATCH(D225,Inventory!$A$5:$A$304,0))*1,0)))</f>
        <v>0</v>
      </c>
      <c r="S225" s="26">
        <f>IF(B225="","",ROUND(IF(F225="",0,F225)*R225,2))</f>
        <v>0</v>
      </c>
      <c r="T225" s="26">
        <f>IF(B225="","",ROUND(S225+IF(H225="",0,H225)+IF(I225="",0,I225),2))</f>
        <v>0</v>
      </c>
      <c r="U225" s="37">
        <f>IF(B225="","",IF(J225="Received",IF(M225&lt;&gt;"",M225,IF(F225="",0,F225)),IF(J225="Part received",IF(M225="",0,M225),0)))</f>
        <v>0</v>
      </c>
      <c r="V225" s="37">
        <f>IF(B225="","",IF(J225="Ordered","",IF(J225="Draft","",ROUND(IF(F225="",0,F225)-U225,2))))</f>
        <v>0</v>
      </c>
      <c r="W225" s="25">
        <f>IF(B225="","",IF(L225="","",L225-B225))</f>
        <v>0</v>
      </c>
      <c r="X225" s="26">
        <f>IF(B225="","",IF(G225="","",IFERROR(ROUND(G225-INDEX(Inventory!$H$5:$H$304,MATCH(D225,Inventory!$A$5:$A$304,0)),2),"")))</f>
        <v>0</v>
      </c>
      <c r="Y225" s="39">
        <f>IF(B225="","",IF(D225="","Add - which product?",IF(J225="","Add - no status yet",IF(IF(J225="Ordered",IF(K225="",FALSE,K225&lt;TodayDate),FALSE),"Late - expected and not arrived",IF(V225&gt;0,"Check - delivery came up short",IF(IF(X225="",FALSE,X225&gt;0),"Check - cost has gone up",IF(O225&lt;&gt;"Yes","Due - invoice not paid","OK")))))))</f>
        <v>0</v>
      </c>
    </row>
    <row r="226" spans="1:25">
      <c r="A226" s="28">
        <f>IF(B226="","",PurchasePrefix&amp;TEXT(ROW()-4,"0000"))</f>
        <v>0</v>
      </c>
      <c r="E226" s="15">
        <f>IF(D226="","",IFERROR(INDEX(Inventory!$B$5:$B$304,MATCH(D226,Inventory!$A$5:$A$304,0)),"Not in Inventory"))</f>
        <v>0</v>
      </c>
      <c r="Q226" s="15">
        <f>IF(B226="","",TEXT(B226,"yyyy-mm"))</f>
        <v>0</v>
      </c>
      <c r="R226" s="26">
        <f>IF(B226="","",IF(G226&lt;&gt;"",G226,IFERROR(INDEX(Inventory!$H$5:$H$304,MATCH(D226,Inventory!$A$5:$A$304,0))*1,0)))</f>
        <v>0</v>
      </c>
      <c r="S226" s="26">
        <f>IF(B226="","",ROUND(IF(F226="",0,F226)*R226,2))</f>
        <v>0</v>
      </c>
      <c r="T226" s="26">
        <f>IF(B226="","",ROUND(S226+IF(H226="",0,H226)+IF(I226="",0,I226),2))</f>
        <v>0</v>
      </c>
      <c r="U226" s="37">
        <f>IF(B226="","",IF(J226="Received",IF(M226&lt;&gt;"",M226,IF(F226="",0,F226)),IF(J226="Part received",IF(M226="",0,M226),0)))</f>
        <v>0</v>
      </c>
      <c r="V226" s="37">
        <f>IF(B226="","",IF(J226="Ordered","",IF(J226="Draft","",ROUND(IF(F226="",0,F226)-U226,2))))</f>
        <v>0</v>
      </c>
      <c r="W226" s="25">
        <f>IF(B226="","",IF(L226="","",L226-B226))</f>
        <v>0</v>
      </c>
      <c r="X226" s="26">
        <f>IF(B226="","",IF(G226="","",IFERROR(ROUND(G226-INDEX(Inventory!$H$5:$H$304,MATCH(D226,Inventory!$A$5:$A$304,0)),2),"")))</f>
        <v>0</v>
      </c>
      <c r="Y226" s="39">
        <f>IF(B226="","",IF(D226="","Add - which product?",IF(J226="","Add - no status yet",IF(IF(J226="Ordered",IF(K226="",FALSE,K226&lt;TodayDate),FALSE),"Late - expected and not arrived",IF(V226&gt;0,"Check - delivery came up short",IF(IF(X226="",FALSE,X226&gt;0),"Check - cost has gone up",IF(O226&lt;&gt;"Yes","Due - invoice not paid","OK")))))))</f>
        <v>0</v>
      </c>
    </row>
    <row r="227" spans="1:25">
      <c r="A227" s="28">
        <f>IF(B227="","",PurchasePrefix&amp;TEXT(ROW()-4,"0000"))</f>
        <v>0</v>
      </c>
      <c r="E227" s="15">
        <f>IF(D227="","",IFERROR(INDEX(Inventory!$B$5:$B$304,MATCH(D227,Inventory!$A$5:$A$304,0)),"Not in Inventory"))</f>
        <v>0</v>
      </c>
      <c r="Q227" s="15">
        <f>IF(B227="","",TEXT(B227,"yyyy-mm"))</f>
        <v>0</v>
      </c>
      <c r="R227" s="26">
        <f>IF(B227="","",IF(G227&lt;&gt;"",G227,IFERROR(INDEX(Inventory!$H$5:$H$304,MATCH(D227,Inventory!$A$5:$A$304,0))*1,0)))</f>
        <v>0</v>
      </c>
      <c r="S227" s="26">
        <f>IF(B227="","",ROUND(IF(F227="",0,F227)*R227,2))</f>
        <v>0</v>
      </c>
      <c r="T227" s="26">
        <f>IF(B227="","",ROUND(S227+IF(H227="",0,H227)+IF(I227="",0,I227),2))</f>
        <v>0</v>
      </c>
      <c r="U227" s="37">
        <f>IF(B227="","",IF(J227="Received",IF(M227&lt;&gt;"",M227,IF(F227="",0,F227)),IF(J227="Part received",IF(M227="",0,M227),0)))</f>
        <v>0</v>
      </c>
      <c r="V227" s="37">
        <f>IF(B227="","",IF(J227="Ordered","",IF(J227="Draft","",ROUND(IF(F227="",0,F227)-U227,2))))</f>
        <v>0</v>
      </c>
      <c r="W227" s="25">
        <f>IF(B227="","",IF(L227="","",L227-B227))</f>
        <v>0</v>
      </c>
      <c r="X227" s="26">
        <f>IF(B227="","",IF(G227="","",IFERROR(ROUND(G227-INDEX(Inventory!$H$5:$H$304,MATCH(D227,Inventory!$A$5:$A$304,0)),2),"")))</f>
        <v>0</v>
      </c>
      <c r="Y227" s="39">
        <f>IF(B227="","",IF(D227="","Add - which product?",IF(J227="","Add - no status yet",IF(IF(J227="Ordered",IF(K227="",FALSE,K227&lt;TodayDate),FALSE),"Late - expected and not arrived",IF(V227&gt;0,"Check - delivery came up short",IF(IF(X227="",FALSE,X227&gt;0),"Check - cost has gone up",IF(O227&lt;&gt;"Yes","Due - invoice not paid","OK")))))))</f>
        <v>0</v>
      </c>
    </row>
    <row r="228" spans="1:25">
      <c r="A228" s="28">
        <f>IF(B228="","",PurchasePrefix&amp;TEXT(ROW()-4,"0000"))</f>
        <v>0</v>
      </c>
      <c r="E228" s="15">
        <f>IF(D228="","",IFERROR(INDEX(Inventory!$B$5:$B$304,MATCH(D228,Inventory!$A$5:$A$304,0)),"Not in Inventory"))</f>
        <v>0</v>
      </c>
      <c r="Q228" s="15">
        <f>IF(B228="","",TEXT(B228,"yyyy-mm"))</f>
        <v>0</v>
      </c>
      <c r="R228" s="26">
        <f>IF(B228="","",IF(G228&lt;&gt;"",G228,IFERROR(INDEX(Inventory!$H$5:$H$304,MATCH(D228,Inventory!$A$5:$A$304,0))*1,0)))</f>
        <v>0</v>
      </c>
      <c r="S228" s="26">
        <f>IF(B228="","",ROUND(IF(F228="",0,F228)*R228,2))</f>
        <v>0</v>
      </c>
      <c r="T228" s="26">
        <f>IF(B228="","",ROUND(S228+IF(H228="",0,H228)+IF(I228="",0,I228),2))</f>
        <v>0</v>
      </c>
      <c r="U228" s="37">
        <f>IF(B228="","",IF(J228="Received",IF(M228&lt;&gt;"",M228,IF(F228="",0,F228)),IF(J228="Part received",IF(M228="",0,M228),0)))</f>
        <v>0</v>
      </c>
      <c r="V228" s="37">
        <f>IF(B228="","",IF(J228="Ordered","",IF(J228="Draft","",ROUND(IF(F228="",0,F228)-U228,2))))</f>
        <v>0</v>
      </c>
      <c r="W228" s="25">
        <f>IF(B228="","",IF(L228="","",L228-B228))</f>
        <v>0</v>
      </c>
      <c r="X228" s="26">
        <f>IF(B228="","",IF(G228="","",IFERROR(ROUND(G228-INDEX(Inventory!$H$5:$H$304,MATCH(D228,Inventory!$A$5:$A$304,0)),2),"")))</f>
        <v>0</v>
      </c>
      <c r="Y228" s="39">
        <f>IF(B228="","",IF(D228="","Add - which product?",IF(J228="","Add - no status yet",IF(IF(J228="Ordered",IF(K228="",FALSE,K228&lt;TodayDate),FALSE),"Late - expected and not arrived",IF(V228&gt;0,"Check - delivery came up short",IF(IF(X228="",FALSE,X228&gt;0),"Check - cost has gone up",IF(O228&lt;&gt;"Yes","Due - invoice not paid","OK")))))))</f>
        <v>0</v>
      </c>
    </row>
    <row r="229" spans="1:25">
      <c r="A229" s="28">
        <f>IF(B229="","",PurchasePrefix&amp;TEXT(ROW()-4,"0000"))</f>
        <v>0</v>
      </c>
      <c r="E229" s="15">
        <f>IF(D229="","",IFERROR(INDEX(Inventory!$B$5:$B$304,MATCH(D229,Inventory!$A$5:$A$304,0)),"Not in Inventory"))</f>
        <v>0</v>
      </c>
      <c r="Q229" s="15">
        <f>IF(B229="","",TEXT(B229,"yyyy-mm"))</f>
        <v>0</v>
      </c>
      <c r="R229" s="26">
        <f>IF(B229="","",IF(G229&lt;&gt;"",G229,IFERROR(INDEX(Inventory!$H$5:$H$304,MATCH(D229,Inventory!$A$5:$A$304,0))*1,0)))</f>
        <v>0</v>
      </c>
      <c r="S229" s="26">
        <f>IF(B229="","",ROUND(IF(F229="",0,F229)*R229,2))</f>
        <v>0</v>
      </c>
      <c r="T229" s="26">
        <f>IF(B229="","",ROUND(S229+IF(H229="",0,H229)+IF(I229="",0,I229),2))</f>
        <v>0</v>
      </c>
      <c r="U229" s="37">
        <f>IF(B229="","",IF(J229="Received",IF(M229&lt;&gt;"",M229,IF(F229="",0,F229)),IF(J229="Part received",IF(M229="",0,M229),0)))</f>
        <v>0</v>
      </c>
      <c r="V229" s="37">
        <f>IF(B229="","",IF(J229="Ordered","",IF(J229="Draft","",ROUND(IF(F229="",0,F229)-U229,2))))</f>
        <v>0</v>
      </c>
      <c r="W229" s="25">
        <f>IF(B229="","",IF(L229="","",L229-B229))</f>
        <v>0</v>
      </c>
      <c r="X229" s="26">
        <f>IF(B229="","",IF(G229="","",IFERROR(ROUND(G229-INDEX(Inventory!$H$5:$H$304,MATCH(D229,Inventory!$A$5:$A$304,0)),2),"")))</f>
        <v>0</v>
      </c>
      <c r="Y229" s="39">
        <f>IF(B229="","",IF(D229="","Add - which product?",IF(J229="","Add - no status yet",IF(IF(J229="Ordered",IF(K229="",FALSE,K229&lt;TodayDate),FALSE),"Late - expected and not arrived",IF(V229&gt;0,"Check - delivery came up short",IF(IF(X229="",FALSE,X229&gt;0),"Check - cost has gone up",IF(O229&lt;&gt;"Yes","Due - invoice not paid","OK")))))))</f>
        <v>0</v>
      </c>
    </row>
    <row r="230" spans="1:25">
      <c r="A230" s="28">
        <f>IF(B230="","",PurchasePrefix&amp;TEXT(ROW()-4,"0000"))</f>
        <v>0</v>
      </c>
      <c r="E230" s="15">
        <f>IF(D230="","",IFERROR(INDEX(Inventory!$B$5:$B$304,MATCH(D230,Inventory!$A$5:$A$304,0)),"Not in Inventory"))</f>
        <v>0</v>
      </c>
      <c r="Q230" s="15">
        <f>IF(B230="","",TEXT(B230,"yyyy-mm"))</f>
        <v>0</v>
      </c>
      <c r="R230" s="26">
        <f>IF(B230="","",IF(G230&lt;&gt;"",G230,IFERROR(INDEX(Inventory!$H$5:$H$304,MATCH(D230,Inventory!$A$5:$A$304,0))*1,0)))</f>
        <v>0</v>
      </c>
      <c r="S230" s="26">
        <f>IF(B230="","",ROUND(IF(F230="",0,F230)*R230,2))</f>
        <v>0</v>
      </c>
      <c r="T230" s="26">
        <f>IF(B230="","",ROUND(S230+IF(H230="",0,H230)+IF(I230="",0,I230),2))</f>
        <v>0</v>
      </c>
      <c r="U230" s="37">
        <f>IF(B230="","",IF(J230="Received",IF(M230&lt;&gt;"",M230,IF(F230="",0,F230)),IF(J230="Part received",IF(M230="",0,M230),0)))</f>
        <v>0</v>
      </c>
      <c r="V230" s="37">
        <f>IF(B230="","",IF(J230="Ordered","",IF(J230="Draft","",ROUND(IF(F230="",0,F230)-U230,2))))</f>
        <v>0</v>
      </c>
      <c r="W230" s="25">
        <f>IF(B230="","",IF(L230="","",L230-B230))</f>
        <v>0</v>
      </c>
      <c r="X230" s="26">
        <f>IF(B230="","",IF(G230="","",IFERROR(ROUND(G230-INDEX(Inventory!$H$5:$H$304,MATCH(D230,Inventory!$A$5:$A$304,0)),2),"")))</f>
        <v>0</v>
      </c>
      <c r="Y230" s="39">
        <f>IF(B230="","",IF(D230="","Add - which product?",IF(J230="","Add - no status yet",IF(IF(J230="Ordered",IF(K230="",FALSE,K230&lt;TodayDate),FALSE),"Late - expected and not arrived",IF(V230&gt;0,"Check - delivery came up short",IF(IF(X230="",FALSE,X230&gt;0),"Check - cost has gone up",IF(O230&lt;&gt;"Yes","Due - invoice not paid","OK")))))))</f>
        <v>0</v>
      </c>
    </row>
    <row r="231" spans="1:25">
      <c r="A231" s="28">
        <f>IF(B231="","",PurchasePrefix&amp;TEXT(ROW()-4,"0000"))</f>
        <v>0</v>
      </c>
      <c r="E231" s="15">
        <f>IF(D231="","",IFERROR(INDEX(Inventory!$B$5:$B$304,MATCH(D231,Inventory!$A$5:$A$304,0)),"Not in Inventory"))</f>
        <v>0</v>
      </c>
      <c r="Q231" s="15">
        <f>IF(B231="","",TEXT(B231,"yyyy-mm"))</f>
        <v>0</v>
      </c>
      <c r="R231" s="26">
        <f>IF(B231="","",IF(G231&lt;&gt;"",G231,IFERROR(INDEX(Inventory!$H$5:$H$304,MATCH(D231,Inventory!$A$5:$A$304,0))*1,0)))</f>
        <v>0</v>
      </c>
      <c r="S231" s="26">
        <f>IF(B231="","",ROUND(IF(F231="",0,F231)*R231,2))</f>
        <v>0</v>
      </c>
      <c r="T231" s="26">
        <f>IF(B231="","",ROUND(S231+IF(H231="",0,H231)+IF(I231="",0,I231),2))</f>
        <v>0</v>
      </c>
      <c r="U231" s="37">
        <f>IF(B231="","",IF(J231="Received",IF(M231&lt;&gt;"",M231,IF(F231="",0,F231)),IF(J231="Part received",IF(M231="",0,M231),0)))</f>
        <v>0</v>
      </c>
      <c r="V231" s="37">
        <f>IF(B231="","",IF(J231="Ordered","",IF(J231="Draft","",ROUND(IF(F231="",0,F231)-U231,2))))</f>
        <v>0</v>
      </c>
      <c r="W231" s="25">
        <f>IF(B231="","",IF(L231="","",L231-B231))</f>
        <v>0</v>
      </c>
      <c r="X231" s="26">
        <f>IF(B231="","",IF(G231="","",IFERROR(ROUND(G231-INDEX(Inventory!$H$5:$H$304,MATCH(D231,Inventory!$A$5:$A$304,0)),2),"")))</f>
        <v>0</v>
      </c>
      <c r="Y231" s="39">
        <f>IF(B231="","",IF(D231="","Add - which product?",IF(J231="","Add - no status yet",IF(IF(J231="Ordered",IF(K231="",FALSE,K231&lt;TodayDate),FALSE),"Late - expected and not arrived",IF(V231&gt;0,"Check - delivery came up short",IF(IF(X231="",FALSE,X231&gt;0),"Check - cost has gone up",IF(O231&lt;&gt;"Yes","Due - invoice not paid","OK")))))))</f>
        <v>0</v>
      </c>
    </row>
    <row r="232" spans="1:25">
      <c r="A232" s="28">
        <f>IF(B232="","",PurchasePrefix&amp;TEXT(ROW()-4,"0000"))</f>
        <v>0</v>
      </c>
      <c r="E232" s="15">
        <f>IF(D232="","",IFERROR(INDEX(Inventory!$B$5:$B$304,MATCH(D232,Inventory!$A$5:$A$304,0)),"Not in Inventory"))</f>
        <v>0</v>
      </c>
      <c r="Q232" s="15">
        <f>IF(B232="","",TEXT(B232,"yyyy-mm"))</f>
        <v>0</v>
      </c>
      <c r="R232" s="26">
        <f>IF(B232="","",IF(G232&lt;&gt;"",G232,IFERROR(INDEX(Inventory!$H$5:$H$304,MATCH(D232,Inventory!$A$5:$A$304,0))*1,0)))</f>
        <v>0</v>
      </c>
      <c r="S232" s="26">
        <f>IF(B232="","",ROUND(IF(F232="",0,F232)*R232,2))</f>
        <v>0</v>
      </c>
      <c r="T232" s="26">
        <f>IF(B232="","",ROUND(S232+IF(H232="",0,H232)+IF(I232="",0,I232),2))</f>
        <v>0</v>
      </c>
      <c r="U232" s="37">
        <f>IF(B232="","",IF(J232="Received",IF(M232&lt;&gt;"",M232,IF(F232="",0,F232)),IF(J232="Part received",IF(M232="",0,M232),0)))</f>
        <v>0</v>
      </c>
      <c r="V232" s="37">
        <f>IF(B232="","",IF(J232="Ordered","",IF(J232="Draft","",ROUND(IF(F232="",0,F232)-U232,2))))</f>
        <v>0</v>
      </c>
      <c r="W232" s="25">
        <f>IF(B232="","",IF(L232="","",L232-B232))</f>
        <v>0</v>
      </c>
      <c r="X232" s="26">
        <f>IF(B232="","",IF(G232="","",IFERROR(ROUND(G232-INDEX(Inventory!$H$5:$H$304,MATCH(D232,Inventory!$A$5:$A$304,0)),2),"")))</f>
        <v>0</v>
      </c>
      <c r="Y232" s="39">
        <f>IF(B232="","",IF(D232="","Add - which product?",IF(J232="","Add - no status yet",IF(IF(J232="Ordered",IF(K232="",FALSE,K232&lt;TodayDate),FALSE),"Late - expected and not arrived",IF(V232&gt;0,"Check - delivery came up short",IF(IF(X232="",FALSE,X232&gt;0),"Check - cost has gone up",IF(O232&lt;&gt;"Yes","Due - invoice not paid","OK")))))))</f>
        <v>0</v>
      </c>
    </row>
    <row r="233" spans="1:25">
      <c r="A233" s="28">
        <f>IF(B233="","",PurchasePrefix&amp;TEXT(ROW()-4,"0000"))</f>
        <v>0</v>
      </c>
      <c r="E233" s="15">
        <f>IF(D233="","",IFERROR(INDEX(Inventory!$B$5:$B$304,MATCH(D233,Inventory!$A$5:$A$304,0)),"Not in Inventory"))</f>
        <v>0</v>
      </c>
      <c r="Q233" s="15">
        <f>IF(B233="","",TEXT(B233,"yyyy-mm"))</f>
        <v>0</v>
      </c>
      <c r="R233" s="26">
        <f>IF(B233="","",IF(G233&lt;&gt;"",G233,IFERROR(INDEX(Inventory!$H$5:$H$304,MATCH(D233,Inventory!$A$5:$A$304,0))*1,0)))</f>
        <v>0</v>
      </c>
      <c r="S233" s="26">
        <f>IF(B233="","",ROUND(IF(F233="",0,F233)*R233,2))</f>
        <v>0</v>
      </c>
      <c r="T233" s="26">
        <f>IF(B233="","",ROUND(S233+IF(H233="",0,H233)+IF(I233="",0,I233),2))</f>
        <v>0</v>
      </c>
      <c r="U233" s="37">
        <f>IF(B233="","",IF(J233="Received",IF(M233&lt;&gt;"",M233,IF(F233="",0,F233)),IF(J233="Part received",IF(M233="",0,M233),0)))</f>
        <v>0</v>
      </c>
      <c r="V233" s="37">
        <f>IF(B233="","",IF(J233="Ordered","",IF(J233="Draft","",ROUND(IF(F233="",0,F233)-U233,2))))</f>
        <v>0</v>
      </c>
      <c r="W233" s="25">
        <f>IF(B233="","",IF(L233="","",L233-B233))</f>
        <v>0</v>
      </c>
      <c r="X233" s="26">
        <f>IF(B233="","",IF(G233="","",IFERROR(ROUND(G233-INDEX(Inventory!$H$5:$H$304,MATCH(D233,Inventory!$A$5:$A$304,0)),2),"")))</f>
        <v>0</v>
      </c>
      <c r="Y233" s="39">
        <f>IF(B233="","",IF(D233="","Add - which product?",IF(J233="","Add - no status yet",IF(IF(J233="Ordered",IF(K233="",FALSE,K233&lt;TodayDate),FALSE),"Late - expected and not arrived",IF(V233&gt;0,"Check - delivery came up short",IF(IF(X233="",FALSE,X233&gt;0),"Check - cost has gone up",IF(O233&lt;&gt;"Yes","Due - invoice not paid","OK")))))))</f>
        <v>0</v>
      </c>
    </row>
    <row r="234" spans="1:25">
      <c r="A234" s="28">
        <f>IF(B234="","",PurchasePrefix&amp;TEXT(ROW()-4,"0000"))</f>
        <v>0</v>
      </c>
      <c r="E234" s="15">
        <f>IF(D234="","",IFERROR(INDEX(Inventory!$B$5:$B$304,MATCH(D234,Inventory!$A$5:$A$304,0)),"Not in Inventory"))</f>
        <v>0</v>
      </c>
      <c r="Q234" s="15">
        <f>IF(B234="","",TEXT(B234,"yyyy-mm"))</f>
        <v>0</v>
      </c>
      <c r="R234" s="26">
        <f>IF(B234="","",IF(G234&lt;&gt;"",G234,IFERROR(INDEX(Inventory!$H$5:$H$304,MATCH(D234,Inventory!$A$5:$A$304,0))*1,0)))</f>
        <v>0</v>
      </c>
      <c r="S234" s="26">
        <f>IF(B234="","",ROUND(IF(F234="",0,F234)*R234,2))</f>
        <v>0</v>
      </c>
      <c r="T234" s="26">
        <f>IF(B234="","",ROUND(S234+IF(H234="",0,H234)+IF(I234="",0,I234),2))</f>
        <v>0</v>
      </c>
      <c r="U234" s="37">
        <f>IF(B234="","",IF(J234="Received",IF(M234&lt;&gt;"",M234,IF(F234="",0,F234)),IF(J234="Part received",IF(M234="",0,M234),0)))</f>
        <v>0</v>
      </c>
      <c r="V234" s="37">
        <f>IF(B234="","",IF(J234="Ordered","",IF(J234="Draft","",ROUND(IF(F234="",0,F234)-U234,2))))</f>
        <v>0</v>
      </c>
      <c r="W234" s="25">
        <f>IF(B234="","",IF(L234="","",L234-B234))</f>
        <v>0</v>
      </c>
      <c r="X234" s="26">
        <f>IF(B234="","",IF(G234="","",IFERROR(ROUND(G234-INDEX(Inventory!$H$5:$H$304,MATCH(D234,Inventory!$A$5:$A$304,0)),2),"")))</f>
        <v>0</v>
      </c>
      <c r="Y234" s="39">
        <f>IF(B234="","",IF(D234="","Add - which product?",IF(J234="","Add - no status yet",IF(IF(J234="Ordered",IF(K234="",FALSE,K234&lt;TodayDate),FALSE),"Late - expected and not arrived",IF(V234&gt;0,"Check - delivery came up short",IF(IF(X234="",FALSE,X234&gt;0),"Check - cost has gone up",IF(O234&lt;&gt;"Yes","Due - invoice not paid","OK")))))))</f>
        <v>0</v>
      </c>
    </row>
    <row r="235" spans="1:25">
      <c r="A235" s="28">
        <f>IF(B235="","",PurchasePrefix&amp;TEXT(ROW()-4,"0000"))</f>
        <v>0</v>
      </c>
      <c r="E235" s="15">
        <f>IF(D235="","",IFERROR(INDEX(Inventory!$B$5:$B$304,MATCH(D235,Inventory!$A$5:$A$304,0)),"Not in Inventory"))</f>
        <v>0</v>
      </c>
      <c r="Q235" s="15">
        <f>IF(B235="","",TEXT(B235,"yyyy-mm"))</f>
        <v>0</v>
      </c>
      <c r="R235" s="26">
        <f>IF(B235="","",IF(G235&lt;&gt;"",G235,IFERROR(INDEX(Inventory!$H$5:$H$304,MATCH(D235,Inventory!$A$5:$A$304,0))*1,0)))</f>
        <v>0</v>
      </c>
      <c r="S235" s="26">
        <f>IF(B235="","",ROUND(IF(F235="",0,F235)*R235,2))</f>
        <v>0</v>
      </c>
      <c r="T235" s="26">
        <f>IF(B235="","",ROUND(S235+IF(H235="",0,H235)+IF(I235="",0,I235),2))</f>
        <v>0</v>
      </c>
      <c r="U235" s="37">
        <f>IF(B235="","",IF(J235="Received",IF(M235&lt;&gt;"",M235,IF(F235="",0,F235)),IF(J235="Part received",IF(M235="",0,M235),0)))</f>
        <v>0</v>
      </c>
      <c r="V235" s="37">
        <f>IF(B235="","",IF(J235="Ordered","",IF(J235="Draft","",ROUND(IF(F235="",0,F235)-U235,2))))</f>
        <v>0</v>
      </c>
      <c r="W235" s="25">
        <f>IF(B235="","",IF(L235="","",L235-B235))</f>
        <v>0</v>
      </c>
      <c r="X235" s="26">
        <f>IF(B235="","",IF(G235="","",IFERROR(ROUND(G235-INDEX(Inventory!$H$5:$H$304,MATCH(D235,Inventory!$A$5:$A$304,0)),2),"")))</f>
        <v>0</v>
      </c>
      <c r="Y235" s="39">
        <f>IF(B235="","",IF(D235="","Add - which product?",IF(J235="","Add - no status yet",IF(IF(J235="Ordered",IF(K235="",FALSE,K235&lt;TodayDate),FALSE),"Late - expected and not arrived",IF(V235&gt;0,"Check - delivery came up short",IF(IF(X235="",FALSE,X235&gt;0),"Check - cost has gone up",IF(O235&lt;&gt;"Yes","Due - invoice not paid","OK")))))))</f>
        <v>0</v>
      </c>
    </row>
    <row r="236" spans="1:25">
      <c r="A236" s="28">
        <f>IF(B236="","",PurchasePrefix&amp;TEXT(ROW()-4,"0000"))</f>
        <v>0</v>
      </c>
      <c r="E236" s="15">
        <f>IF(D236="","",IFERROR(INDEX(Inventory!$B$5:$B$304,MATCH(D236,Inventory!$A$5:$A$304,0)),"Not in Inventory"))</f>
        <v>0</v>
      </c>
      <c r="Q236" s="15">
        <f>IF(B236="","",TEXT(B236,"yyyy-mm"))</f>
        <v>0</v>
      </c>
      <c r="R236" s="26">
        <f>IF(B236="","",IF(G236&lt;&gt;"",G236,IFERROR(INDEX(Inventory!$H$5:$H$304,MATCH(D236,Inventory!$A$5:$A$304,0))*1,0)))</f>
        <v>0</v>
      </c>
      <c r="S236" s="26">
        <f>IF(B236="","",ROUND(IF(F236="",0,F236)*R236,2))</f>
        <v>0</v>
      </c>
      <c r="T236" s="26">
        <f>IF(B236="","",ROUND(S236+IF(H236="",0,H236)+IF(I236="",0,I236),2))</f>
        <v>0</v>
      </c>
      <c r="U236" s="37">
        <f>IF(B236="","",IF(J236="Received",IF(M236&lt;&gt;"",M236,IF(F236="",0,F236)),IF(J236="Part received",IF(M236="",0,M236),0)))</f>
        <v>0</v>
      </c>
      <c r="V236" s="37">
        <f>IF(B236="","",IF(J236="Ordered","",IF(J236="Draft","",ROUND(IF(F236="",0,F236)-U236,2))))</f>
        <v>0</v>
      </c>
      <c r="W236" s="25">
        <f>IF(B236="","",IF(L236="","",L236-B236))</f>
        <v>0</v>
      </c>
      <c r="X236" s="26">
        <f>IF(B236="","",IF(G236="","",IFERROR(ROUND(G236-INDEX(Inventory!$H$5:$H$304,MATCH(D236,Inventory!$A$5:$A$304,0)),2),"")))</f>
        <v>0</v>
      </c>
      <c r="Y236" s="39">
        <f>IF(B236="","",IF(D236="","Add - which product?",IF(J236="","Add - no status yet",IF(IF(J236="Ordered",IF(K236="",FALSE,K236&lt;TodayDate),FALSE),"Late - expected and not arrived",IF(V236&gt;0,"Check - delivery came up short",IF(IF(X236="",FALSE,X236&gt;0),"Check - cost has gone up",IF(O236&lt;&gt;"Yes","Due - invoice not paid","OK")))))))</f>
        <v>0</v>
      </c>
    </row>
    <row r="237" spans="1:25">
      <c r="A237" s="28">
        <f>IF(B237="","",PurchasePrefix&amp;TEXT(ROW()-4,"0000"))</f>
        <v>0</v>
      </c>
      <c r="E237" s="15">
        <f>IF(D237="","",IFERROR(INDEX(Inventory!$B$5:$B$304,MATCH(D237,Inventory!$A$5:$A$304,0)),"Not in Inventory"))</f>
        <v>0</v>
      </c>
      <c r="Q237" s="15">
        <f>IF(B237="","",TEXT(B237,"yyyy-mm"))</f>
        <v>0</v>
      </c>
      <c r="R237" s="26">
        <f>IF(B237="","",IF(G237&lt;&gt;"",G237,IFERROR(INDEX(Inventory!$H$5:$H$304,MATCH(D237,Inventory!$A$5:$A$304,0))*1,0)))</f>
        <v>0</v>
      </c>
      <c r="S237" s="26">
        <f>IF(B237="","",ROUND(IF(F237="",0,F237)*R237,2))</f>
        <v>0</v>
      </c>
      <c r="T237" s="26">
        <f>IF(B237="","",ROUND(S237+IF(H237="",0,H237)+IF(I237="",0,I237),2))</f>
        <v>0</v>
      </c>
      <c r="U237" s="37">
        <f>IF(B237="","",IF(J237="Received",IF(M237&lt;&gt;"",M237,IF(F237="",0,F237)),IF(J237="Part received",IF(M237="",0,M237),0)))</f>
        <v>0</v>
      </c>
      <c r="V237" s="37">
        <f>IF(B237="","",IF(J237="Ordered","",IF(J237="Draft","",ROUND(IF(F237="",0,F237)-U237,2))))</f>
        <v>0</v>
      </c>
      <c r="W237" s="25">
        <f>IF(B237="","",IF(L237="","",L237-B237))</f>
        <v>0</v>
      </c>
      <c r="X237" s="26">
        <f>IF(B237="","",IF(G237="","",IFERROR(ROUND(G237-INDEX(Inventory!$H$5:$H$304,MATCH(D237,Inventory!$A$5:$A$304,0)),2),"")))</f>
        <v>0</v>
      </c>
      <c r="Y237" s="39">
        <f>IF(B237="","",IF(D237="","Add - which product?",IF(J237="","Add - no status yet",IF(IF(J237="Ordered",IF(K237="",FALSE,K237&lt;TodayDate),FALSE),"Late - expected and not arrived",IF(V237&gt;0,"Check - delivery came up short",IF(IF(X237="",FALSE,X237&gt;0),"Check - cost has gone up",IF(O237&lt;&gt;"Yes","Due - invoice not paid","OK")))))))</f>
        <v>0</v>
      </c>
    </row>
    <row r="238" spans="1:25">
      <c r="A238" s="28">
        <f>IF(B238="","",PurchasePrefix&amp;TEXT(ROW()-4,"0000"))</f>
        <v>0</v>
      </c>
      <c r="E238" s="15">
        <f>IF(D238="","",IFERROR(INDEX(Inventory!$B$5:$B$304,MATCH(D238,Inventory!$A$5:$A$304,0)),"Not in Inventory"))</f>
        <v>0</v>
      </c>
      <c r="Q238" s="15">
        <f>IF(B238="","",TEXT(B238,"yyyy-mm"))</f>
        <v>0</v>
      </c>
      <c r="R238" s="26">
        <f>IF(B238="","",IF(G238&lt;&gt;"",G238,IFERROR(INDEX(Inventory!$H$5:$H$304,MATCH(D238,Inventory!$A$5:$A$304,0))*1,0)))</f>
        <v>0</v>
      </c>
      <c r="S238" s="26">
        <f>IF(B238="","",ROUND(IF(F238="",0,F238)*R238,2))</f>
        <v>0</v>
      </c>
      <c r="T238" s="26">
        <f>IF(B238="","",ROUND(S238+IF(H238="",0,H238)+IF(I238="",0,I238),2))</f>
        <v>0</v>
      </c>
      <c r="U238" s="37">
        <f>IF(B238="","",IF(J238="Received",IF(M238&lt;&gt;"",M238,IF(F238="",0,F238)),IF(J238="Part received",IF(M238="",0,M238),0)))</f>
        <v>0</v>
      </c>
      <c r="V238" s="37">
        <f>IF(B238="","",IF(J238="Ordered","",IF(J238="Draft","",ROUND(IF(F238="",0,F238)-U238,2))))</f>
        <v>0</v>
      </c>
      <c r="W238" s="25">
        <f>IF(B238="","",IF(L238="","",L238-B238))</f>
        <v>0</v>
      </c>
      <c r="X238" s="26">
        <f>IF(B238="","",IF(G238="","",IFERROR(ROUND(G238-INDEX(Inventory!$H$5:$H$304,MATCH(D238,Inventory!$A$5:$A$304,0)),2),"")))</f>
        <v>0</v>
      </c>
      <c r="Y238" s="39">
        <f>IF(B238="","",IF(D238="","Add - which product?",IF(J238="","Add - no status yet",IF(IF(J238="Ordered",IF(K238="",FALSE,K238&lt;TodayDate),FALSE),"Late - expected and not arrived",IF(V238&gt;0,"Check - delivery came up short",IF(IF(X238="",FALSE,X238&gt;0),"Check - cost has gone up",IF(O238&lt;&gt;"Yes","Due - invoice not paid","OK")))))))</f>
        <v>0</v>
      </c>
    </row>
    <row r="239" spans="1:25">
      <c r="A239" s="28">
        <f>IF(B239="","",PurchasePrefix&amp;TEXT(ROW()-4,"0000"))</f>
        <v>0</v>
      </c>
      <c r="E239" s="15">
        <f>IF(D239="","",IFERROR(INDEX(Inventory!$B$5:$B$304,MATCH(D239,Inventory!$A$5:$A$304,0)),"Not in Inventory"))</f>
        <v>0</v>
      </c>
      <c r="Q239" s="15">
        <f>IF(B239="","",TEXT(B239,"yyyy-mm"))</f>
        <v>0</v>
      </c>
      <c r="R239" s="26">
        <f>IF(B239="","",IF(G239&lt;&gt;"",G239,IFERROR(INDEX(Inventory!$H$5:$H$304,MATCH(D239,Inventory!$A$5:$A$304,0))*1,0)))</f>
        <v>0</v>
      </c>
      <c r="S239" s="26">
        <f>IF(B239="","",ROUND(IF(F239="",0,F239)*R239,2))</f>
        <v>0</v>
      </c>
      <c r="T239" s="26">
        <f>IF(B239="","",ROUND(S239+IF(H239="",0,H239)+IF(I239="",0,I239),2))</f>
        <v>0</v>
      </c>
      <c r="U239" s="37">
        <f>IF(B239="","",IF(J239="Received",IF(M239&lt;&gt;"",M239,IF(F239="",0,F239)),IF(J239="Part received",IF(M239="",0,M239),0)))</f>
        <v>0</v>
      </c>
      <c r="V239" s="37">
        <f>IF(B239="","",IF(J239="Ordered","",IF(J239="Draft","",ROUND(IF(F239="",0,F239)-U239,2))))</f>
        <v>0</v>
      </c>
      <c r="W239" s="25">
        <f>IF(B239="","",IF(L239="","",L239-B239))</f>
        <v>0</v>
      </c>
      <c r="X239" s="26">
        <f>IF(B239="","",IF(G239="","",IFERROR(ROUND(G239-INDEX(Inventory!$H$5:$H$304,MATCH(D239,Inventory!$A$5:$A$304,0)),2),"")))</f>
        <v>0</v>
      </c>
      <c r="Y239" s="39">
        <f>IF(B239="","",IF(D239="","Add - which product?",IF(J239="","Add - no status yet",IF(IF(J239="Ordered",IF(K239="",FALSE,K239&lt;TodayDate),FALSE),"Late - expected and not arrived",IF(V239&gt;0,"Check - delivery came up short",IF(IF(X239="",FALSE,X239&gt;0),"Check - cost has gone up",IF(O239&lt;&gt;"Yes","Due - invoice not paid","OK")))))))</f>
        <v>0</v>
      </c>
    </row>
    <row r="240" spans="1:25">
      <c r="A240" s="28">
        <f>IF(B240="","",PurchasePrefix&amp;TEXT(ROW()-4,"0000"))</f>
        <v>0</v>
      </c>
      <c r="E240" s="15">
        <f>IF(D240="","",IFERROR(INDEX(Inventory!$B$5:$B$304,MATCH(D240,Inventory!$A$5:$A$304,0)),"Not in Inventory"))</f>
        <v>0</v>
      </c>
      <c r="Q240" s="15">
        <f>IF(B240="","",TEXT(B240,"yyyy-mm"))</f>
        <v>0</v>
      </c>
      <c r="R240" s="26">
        <f>IF(B240="","",IF(G240&lt;&gt;"",G240,IFERROR(INDEX(Inventory!$H$5:$H$304,MATCH(D240,Inventory!$A$5:$A$304,0))*1,0)))</f>
        <v>0</v>
      </c>
      <c r="S240" s="26">
        <f>IF(B240="","",ROUND(IF(F240="",0,F240)*R240,2))</f>
        <v>0</v>
      </c>
      <c r="T240" s="26">
        <f>IF(B240="","",ROUND(S240+IF(H240="",0,H240)+IF(I240="",0,I240),2))</f>
        <v>0</v>
      </c>
      <c r="U240" s="37">
        <f>IF(B240="","",IF(J240="Received",IF(M240&lt;&gt;"",M240,IF(F240="",0,F240)),IF(J240="Part received",IF(M240="",0,M240),0)))</f>
        <v>0</v>
      </c>
      <c r="V240" s="37">
        <f>IF(B240="","",IF(J240="Ordered","",IF(J240="Draft","",ROUND(IF(F240="",0,F240)-U240,2))))</f>
        <v>0</v>
      </c>
      <c r="W240" s="25">
        <f>IF(B240="","",IF(L240="","",L240-B240))</f>
        <v>0</v>
      </c>
      <c r="X240" s="26">
        <f>IF(B240="","",IF(G240="","",IFERROR(ROUND(G240-INDEX(Inventory!$H$5:$H$304,MATCH(D240,Inventory!$A$5:$A$304,0)),2),"")))</f>
        <v>0</v>
      </c>
      <c r="Y240" s="39">
        <f>IF(B240="","",IF(D240="","Add - which product?",IF(J240="","Add - no status yet",IF(IF(J240="Ordered",IF(K240="",FALSE,K240&lt;TodayDate),FALSE),"Late - expected and not arrived",IF(V240&gt;0,"Check - delivery came up short",IF(IF(X240="",FALSE,X240&gt;0),"Check - cost has gone up",IF(O240&lt;&gt;"Yes","Due - invoice not paid","OK")))))))</f>
        <v>0</v>
      </c>
    </row>
    <row r="241" spans="1:25">
      <c r="A241" s="28">
        <f>IF(B241="","",PurchasePrefix&amp;TEXT(ROW()-4,"0000"))</f>
        <v>0</v>
      </c>
      <c r="E241" s="15">
        <f>IF(D241="","",IFERROR(INDEX(Inventory!$B$5:$B$304,MATCH(D241,Inventory!$A$5:$A$304,0)),"Not in Inventory"))</f>
        <v>0</v>
      </c>
      <c r="Q241" s="15">
        <f>IF(B241="","",TEXT(B241,"yyyy-mm"))</f>
        <v>0</v>
      </c>
      <c r="R241" s="26">
        <f>IF(B241="","",IF(G241&lt;&gt;"",G241,IFERROR(INDEX(Inventory!$H$5:$H$304,MATCH(D241,Inventory!$A$5:$A$304,0))*1,0)))</f>
        <v>0</v>
      </c>
      <c r="S241" s="26">
        <f>IF(B241="","",ROUND(IF(F241="",0,F241)*R241,2))</f>
        <v>0</v>
      </c>
      <c r="T241" s="26">
        <f>IF(B241="","",ROUND(S241+IF(H241="",0,H241)+IF(I241="",0,I241),2))</f>
        <v>0</v>
      </c>
      <c r="U241" s="37">
        <f>IF(B241="","",IF(J241="Received",IF(M241&lt;&gt;"",M241,IF(F241="",0,F241)),IF(J241="Part received",IF(M241="",0,M241),0)))</f>
        <v>0</v>
      </c>
      <c r="V241" s="37">
        <f>IF(B241="","",IF(J241="Ordered","",IF(J241="Draft","",ROUND(IF(F241="",0,F241)-U241,2))))</f>
        <v>0</v>
      </c>
      <c r="W241" s="25">
        <f>IF(B241="","",IF(L241="","",L241-B241))</f>
        <v>0</v>
      </c>
      <c r="X241" s="26">
        <f>IF(B241="","",IF(G241="","",IFERROR(ROUND(G241-INDEX(Inventory!$H$5:$H$304,MATCH(D241,Inventory!$A$5:$A$304,0)),2),"")))</f>
        <v>0</v>
      </c>
      <c r="Y241" s="39">
        <f>IF(B241="","",IF(D241="","Add - which product?",IF(J241="","Add - no status yet",IF(IF(J241="Ordered",IF(K241="",FALSE,K241&lt;TodayDate),FALSE),"Late - expected and not arrived",IF(V241&gt;0,"Check - delivery came up short",IF(IF(X241="",FALSE,X241&gt;0),"Check - cost has gone up",IF(O241&lt;&gt;"Yes","Due - invoice not paid","OK")))))))</f>
        <v>0</v>
      </c>
    </row>
    <row r="242" spans="1:25">
      <c r="A242" s="28">
        <f>IF(B242="","",PurchasePrefix&amp;TEXT(ROW()-4,"0000"))</f>
        <v>0</v>
      </c>
      <c r="E242" s="15">
        <f>IF(D242="","",IFERROR(INDEX(Inventory!$B$5:$B$304,MATCH(D242,Inventory!$A$5:$A$304,0)),"Not in Inventory"))</f>
        <v>0</v>
      </c>
      <c r="Q242" s="15">
        <f>IF(B242="","",TEXT(B242,"yyyy-mm"))</f>
        <v>0</v>
      </c>
      <c r="R242" s="26">
        <f>IF(B242="","",IF(G242&lt;&gt;"",G242,IFERROR(INDEX(Inventory!$H$5:$H$304,MATCH(D242,Inventory!$A$5:$A$304,0))*1,0)))</f>
        <v>0</v>
      </c>
      <c r="S242" s="26">
        <f>IF(B242="","",ROUND(IF(F242="",0,F242)*R242,2))</f>
        <v>0</v>
      </c>
      <c r="T242" s="26">
        <f>IF(B242="","",ROUND(S242+IF(H242="",0,H242)+IF(I242="",0,I242),2))</f>
        <v>0</v>
      </c>
      <c r="U242" s="37">
        <f>IF(B242="","",IF(J242="Received",IF(M242&lt;&gt;"",M242,IF(F242="",0,F242)),IF(J242="Part received",IF(M242="",0,M242),0)))</f>
        <v>0</v>
      </c>
      <c r="V242" s="37">
        <f>IF(B242="","",IF(J242="Ordered","",IF(J242="Draft","",ROUND(IF(F242="",0,F242)-U242,2))))</f>
        <v>0</v>
      </c>
      <c r="W242" s="25">
        <f>IF(B242="","",IF(L242="","",L242-B242))</f>
        <v>0</v>
      </c>
      <c r="X242" s="26">
        <f>IF(B242="","",IF(G242="","",IFERROR(ROUND(G242-INDEX(Inventory!$H$5:$H$304,MATCH(D242,Inventory!$A$5:$A$304,0)),2),"")))</f>
        <v>0</v>
      </c>
      <c r="Y242" s="39">
        <f>IF(B242="","",IF(D242="","Add - which product?",IF(J242="","Add - no status yet",IF(IF(J242="Ordered",IF(K242="",FALSE,K242&lt;TodayDate),FALSE),"Late - expected and not arrived",IF(V242&gt;0,"Check - delivery came up short",IF(IF(X242="",FALSE,X242&gt;0),"Check - cost has gone up",IF(O242&lt;&gt;"Yes","Due - invoice not paid","OK")))))))</f>
        <v>0</v>
      </c>
    </row>
    <row r="243" spans="1:25">
      <c r="A243" s="28">
        <f>IF(B243="","",PurchasePrefix&amp;TEXT(ROW()-4,"0000"))</f>
        <v>0</v>
      </c>
      <c r="E243" s="15">
        <f>IF(D243="","",IFERROR(INDEX(Inventory!$B$5:$B$304,MATCH(D243,Inventory!$A$5:$A$304,0)),"Not in Inventory"))</f>
        <v>0</v>
      </c>
      <c r="Q243" s="15">
        <f>IF(B243="","",TEXT(B243,"yyyy-mm"))</f>
        <v>0</v>
      </c>
      <c r="R243" s="26">
        <f>IF(B243="","",IF(G243&lt;&gt;"",G243,IFERROR(INDEX(Inventory!$H$5:$H$304,MATCH(D243,Inventory!$A$5:$A$304,0))*1,0)))</f>
        <v>0</v>
      </c>
      <c r="S243" s="26">
        <f>IF(B243="","",ROUND(IF(F243="",0,F243)*R243,2))</f>
        <v>0</v>
      </c>
      <c r="T243" s="26">
        <f>IF(B243="","",ROUND(S243+IF(H243="",0,H243)+IF(I243="",0,I243),2))</f>
        <v>0</v>
      </c>
      <c r="U243" s="37">
        <f>IF(B243="","",IF(J243="Received",IF(M243&lt;&gt;"",M243,IF(F243="",0,F243)),IF(J243="Part received",IF(M243="",0,M243),0)))</f>
        <v>0</v>
      </c>
      <c r="V243" s="37">
        <f>IF(B243="","",IF(J243="Ordered","",IF(J243="Draft","",ROUND(IF(F243="",0,F243)-U243,2))))</f>
        <v>0</v>
      </c>
      <c r="W243" s="25">
        <f>IF(B243="","",IF(L243="","",L243-B243))</f>
        <v>0</v>
      </c>
      <c r="X243" s="26">
        <f>IF(B243="","",IF(G243="","",IFERROR(ROUND(G243-INDEX(Inventory!$H$5:$H$304,MATCH(D243,Inventory!$A$5:$A$304,0)),2),"")))</f>
        <v>0</v>
      </c>
      <c r="Y243" s="39">
        <f>IF(B243="","",IF(D243="","Add - which product?",IF(J243="","Add - no status yet",IF(IF(J243="Ordered",IF(K243="",FALSE,K243&lt;TodayDate),FALSE),"Late - expected and not arrived",IF(V243&gt;0,"Check - delivery came up short",IF(IF(X243="",FALSE,X243&gt;0),"Check - cost has gone up",IF(O243&lt;&gt;"Yes","Due - invoice not paid","OK")))))))</f>
        <v>0</v>
      </c>
    </row>
    <row r="244" spans="1:25">
      <c r="A244" s="28">
        <f>IF(B244="","",PurchasePrefix&amp;TEXT(ROW()-4,"0000"))</f>
        <v>0</v>
      </c>
      <c r="E244" s="15">
        <f>IF(D244="","",IFERROR(INDEX(Inventory!$B$5:$B$304,MATCH(D244,Inventory!$A$5:$A$304,0)),"Not in Inventory"))</f>
        <v>0</v>
      </c>
      <c r="Q244" s="15">
        <f>IF(B244="","",TEXT(B244,"yyyy-mm"))</f>
        <v>0</v>
      </c>
      <c r="R244" s="26">
        <f>IF(B244="","",IF(G244&lt;&gt;"",G244,IFERROR(INDEX(Inventory!$H$5:$H$304,MATCH(D244,Inventory!$A$5:$A$304,0))*1,0)))</f>
        <v>0</v>
      </c>
      <c r="S244" s="26">
        <f>IF(B244="","",ROUND(IF(F244="",0,F244)*R244,2))</f>
        <v>0</v>
      </c>
      <c r="T244" s="26">
        <f>IF(B244="","",ROUND(S244+IF(H244="",0,H244)+IF(I244="",0,I244),2))</f>
        <v>0</v>
      </c>
      <c r="U244" s="37">
        <f>IF(B244="","",IF(J244="Received",IF(M244&lt;&gt;"",M244,IF(F244="",0,F244)),IF(J244="Part received",IF(M244="",0,M244),0)))</f>
        <v>0</v>
      </c>
      <c r="V244" s="37">
        <f>IF(B244="","",IF(J244="Ordered","",IF(J244="Draft","",ROUND(IF(F244="",0,F244)-U244,2))))</f>
        <v>0</v>
      </c>
      <c r="W244" s="25">
        <f>IF(B244="","",IF(L244="","",L244-B244))</f>
        <v>0</v>
      </c>
      <c r="X244" s="26">
        <f>IF(B244="","",IF(G244="","",IFERROR(ROUND(G244-INDEX(Inventory!$H$5:$H$304,MATCH(D244,Inventory!$A$5:$A$304,0)),2),"")))</f>
        <v>0</v>
      </c>
      <c r="Y244" s="39">
        <f>IF(B244="","",IF(D244="","Add - which product?",IF(J244="","Add - no status yet",IF(IF(J244="Ordered",IF(K244="",FALSE,K244&lt;TodayDate),FALSE),"Late - expected and not arrived",IF(V244&gt;0,"Check - delivery came up short",IF(IF(X244="",FALSE,X244&gt;0),"Check - cost has gone up",IF(O244&lt;&gt;"Yes","Due - invoice not paid","OK")))))))</f>
        <v>0</v>
      </c>
    </row>
    <row r="245" spans="1:25">
      <c r="A245" s="28">
        <f>IF(B245="","",PurchasePrefix&amp;TEXT(ROW()-4,"0000"))</f>
        <v>0</v>
      </c>
      <c r="E245" s="15">
        <f>IF(D245="","",IFERROR(INDEX(Inventory!$B$5:$B$304,MATCH(D245,Inventory!$A$5:$A$304,0)),"Not in Inventory"))</f>
        <v>0</v>
      </c>
      <c r="Q245" s="15">
        <f>IF(B245="","",TEXT(B245,"yyyy-mm"))</f>
        <v>0</v>
      </c>
      <c r="R245" s="26">
        <f>IF(B245="","",IF(G245&lt;&gt;"",G245,IFERROR(INDEX(Inventory!$H$5:$H$304,MATCH(D245,Inventory!$A$5:$A$304,0))*1,0)))</f>
        <v>0</v>
      </c>
      <c r="S245" s="26">
        <f>IF(B245="","",ROUND(IF(F245="",0,F245)*R245,2))</f>
        <v>0</v>
      </c>
      <c r="T245" s="26">
        <f>IF(B245="","",ROUND(S245+IF(H245="",0,H245)+IF(I245="",0,I245),2))</f>
        <v>0</v>
      </c>
      <c r="U245" s="37">
        <f>IF(B245="","",IF(J245="Received",IF(M245&lt;&gt;"",M245,IF(F245="",0,F245)),IF(J245="Part received",IF(M245="",0,M245),0)))</f>
        <v>0</v>
      </c>
      <c r="V245" s="37">
        <f>IF(B245="","",IF(J245="Ordered","",IF(J245="Draft","",ROUND(IF(F245="",0,F245)-U245,2))))</f>
        <v>0</v>
      </c>
      <c r="W245" s="25">
        <f>IF(B245="","",IF(L245="","",L245-B245))</f>
        <v>0</v>
      </c>
      <c r="X245" s="26">
        <f>IF(B245="","",IF(G245="","",IFERROR(ROUND(G245-INDEX(Inventory!$H$5:$H$304,MATCH(D245,Inventory!$A$5:$A$304,0)),2),"")))</f>
        <v>0</v>
      </c>
      <c r="Y245" s="39">
        <f>IF(B245="","",IF(D245="","Add - which product?",IF(J245="","Add - no status yet",IF(IF(J245="Ordered",IF(K245="",FALSE,K245&lt;TodayDate),FALSE),"Late - expected and not arrived",IF(V245&gt;0,"Check - delivery came up short",IF(IF(X245="",FALSE,X245&gt;0),"Check - cost has gone up",IF(O245&lt;&gt;"Yes","Due - invoice not paid","OK")))))))</f>
        <v>0</v>
      </c>
    </row>
    <row r="246" spans="1:25">
      <c r="A246" s="28">
        <f>IF(B246="","",PurchasePrefix&amp;TEXT(ROW()-4,"0000"))</f>
        <v>0</v>
      </c>
      <c r="E246" s="15">
        <f>IF(D246="","",IFERROR(INDEX(Inventory!$B$5:$B$304,MATCH(D246,Inventory!$A$5:$A$304,0)),"Not in Inventory"))</f>
        <v>0</v>
      </c>
      <c r="Q246" s="15">
        <f>IF(B246="","",TEXT(B246,"yyyy-mm"))</f>
        <v>0</v>
      </c>
      <c r="R246" s="26">
        <f>IF(B246="","",IF(G246&lt;&gt;"",G246,IFERROR(INDEX(Inventory!$H$5:$H$304,MATCH(D246,Inventory!$A$5:$A$304,0))*1,0)))</f>
        <v>0</v>
      </c>
      <c r="S246" s="26">
        <f>IF(B246="","",ROUND(IF(F246="",0,F246)*R246,2))</f>
        <v>0</v>
      </c>
      <c r="T246" s="26">
        <f>IF(B246="","",ROUND(S246+IF(H246="",0,H246)+IF(I246="",0,I246),2))</f>
        <v>0</v>
      </c>
      <c r="U246" s="37">
        <f>IF(B246="","",IF(J246="Received",IF(M246&lt;&gt;"",M246,IF(F246="",0,F246)),IF(J246="Part received",IF(M246="",0,M246),0)))</f>
        <v>0</v>
      </c>
      <c r="V246" s="37">
        <f>IF(B246="","",IF(J246="Ordered","",IF(J246="Draft","",ROUND(IF(F246="",0,F246)-U246,2))))</f>
        <v>0</v>
      </c>
      <c r="W246" s="25">
        <f>IF(B246="","",IF(L246="","",L246-B246))</f>
        <v>0</v>
      </c>
      <c r="X246" s="26">
        <f>IF(B246="","",IF(G246="","",IFERROR(ROUND(G246-INDEX(Inventory!$H$5:$H$304,MATCH(D246,Inventory!$A$5:$A$304,0)),2),"")))</f>
        <v>0</v>
      </c>
      <c r="Y246" s="39">
        <f>IF(B246="","",IF(D246="","Add - which product?",IF(J246="","Add - no status yet",IF(IF(J246="Ordered",IF(K246="",FALSE,K246&lt;TodayDate),FALSE),"Late - expected and not arrived",IF(V246&gt;0,"Check - delivery came up short",IF(IF(X246="",FALSE,X246&gt;0),"Check - cost has gone up",IF(O246&lt;&gt;"Yes","Due - invoice not paid","OK")))))))</f>
        <v>0</v>
      </c>
    </row>
    <row r="247" spans="1:25">
      <c r="A247" s="28">
        <f>IF(B247="","",PurchasePrefix&amp;TEXT(ROW()-4,"0000"))</f>
        <v>0</v>
      </c>
      <c r="E247" s="15">
        <f>IF(D247="","",IFERROR(INDEX(Inventory!$B$5:$B$304,MATCH(D247,Inventory!$A$5:$A$304,0)),"Not in Inventory"))</f>
        <v>0</v>
      </c>
      <c r="Q247" s="15">
        <f>IF(B247="","",TEXT(B247,"yyyy-mm"))</f>
        <v>0</v>
      </c>
      <c r="R247" s="26">
        <f>IF(B247="","",IF(G247&lt;&gt;"",G247,IFERROR(INDEX(Inventory!$H$5:$H$304,MATCH(D247,Inventory!$A$5:$A$304,0))*1,0)))</f>
        <v>0</v>
      </c>
      <c r="S247" s="26">
        <f>IF(B247="","",ROUND(IF(F247="",0,F247)*R247,2))</f>
        <v>0</v>
      </c>
      <c r="T247" s="26">
        <f>IF(B247="","",ROUND(S247+IF(H247="",0,H247)+IF(I247="",0,I247),2))</f>
        <v>0</v>
      </c>
      <c r="U247" s="37">
        <f>IF(B247="","",IF(J247="Received",IF(M247&lt;&gt;"",M247,IF(F247="",0,F247)),IF(J247="Part received",IF(M247="",0,M247),0)))</f>
        <v>0</v>
      </c>
      <c r="V247" s="37">
        <f>IF(B247="","",IF(J247="Ordered","",IF(J247="Draft","",ROUND(IF(F247="",0,F247)-U247,2))))</f>
        <v>0</v>
      </c>
      <c r="W247" s="25">
        <f>IF(B247="","",IF(L247="","",L247-B247))</f>
        <v>0</v>
      </c>
      <c r="X247" s="26">
        <f>IF(B247="","",IF(G247="","",IFERROR(ROUND(G247-INDEX(Inventory!$H$5:$H$304,MATCH(D247,Inventory!$A$5:$A$304,0)),2),"")))</f>
        <v>0</v>
      </c>
      <c r="Y247" s="39">
        <f>IF(B247="","",IF(D247="","Add - which product?",IF(J247="","Add - no status yet",IF(IF(J247="Ordered",IF(K247="",FALSE,K247&lt;TodayDate),FALSE),"Late - expected and not arrived",IF(V247&gt;0,"Check - delivery came up short",IF(IF(X247="",FALSE,X247&gt;0),"Check - cost has gone up",IF(O247&lt;&gt;"Yes","Due - invoice not paid","OK")))))))</f>
        <v>0</v>
      </c>
    </row>
    <row r="248" spans="1:25">
      <c r="A248" s="28">
        <f>IF(B248="","",PurchasePrefix&amp;TEXT(ROW()-4,"0000"))</f>
        <v>0</v>
      </c>
      <c r="E248" s="15">
        <f>IF(D248="","",IFERROR(INDEX(Inventory!$B$5:$B$304,MATCH(D248,Inventory!$A$5:$A$304,0)),"Not in Inventory"))</f>
        <v>0</v>
      </c>
      <c r="Q248" s="15">
        <f>IF(B248="","",TEXT(B248,"yyyy-mm"))</f>
        <v>0</v>
      </c>
      <c r="R248" s="26">
        <f>IF(B248="","",IF(G248&lt;&gt;"",G248,IFERROR(INDEX(Inventory!$H$5:$H$304,MATCH(D248,Inventory!$A$5:$A$304,0))*1,0)))</f>
        <v>0</v>
      </c>
      <c r="S248" s="26">
        <f>IF(B248="","",ROUND(IF(F248="",0,F248)*R248,2))</f>
        <v>0</v>
      </c>
      <c r="T248" s="26">
        <f>IF(B248="","",ROUND(S248+IF(H248="",0,H248)+IF(I248="",0,I248),2))</f>
        <v>0</v>
      </c>
      <c r="U248" s="37">
        <f>IF(B248="","",IF(J248="Received",IF(M248&lt;&gt;"",M248,IF(F248="",0,F248)),IF(J248="Part received",IF(M248="",0,M248),0)))</f>
        <v>0</v>
      </c>
      <c r="V248" s="37">
        <f>IF(B248="","",IF(J248="Ordered","",IF(J248="Draft","",ROUND(IF(F248="",0,F248)-U248,2))))</f>
        <v>0</v>
      </c>
      <c r="W248" s="25">
        <f>IF(B248="","",IF(L248="","",L248-B248))</f>
        <v>0</v>
      </c>
      <c r="X248" s="26">
        <f>IF(B248="","",IF(G248="","",IFERROR(ROUND(G248-INDEX(Inventory!$H$5:$H$304,MATCH(D248,Inventory!$A$5:$A$304,0)),2),"")))</f>
        <v>0</v>
      </c>
      <c r="Y248" s="39">
        <f>IF(B248="","",IF(D248="","Add - which product?",IF(J248="","Add - no status yet",IF(IF(J248="Ordered",IF(K248="",FALSE,K248&lt;TodayDate),FALSE),"Late - expected and not arrived",IF(V248&gt;0,"Check - delivery came up short",IF(IF(X248="",FALSE,X248&gt;0),"Check - cost has gone up",IF(O248&lt;&gt;"Yes","Due - invoice not paid","OK")))))))</f>
        <v>0</v>
      </c>
    </row>
    <row r="249" spans="1:25">
      <c r="A249" s="28">
        <f>IF(B249="","",PurchasePrefix&amp;TEXT(ROW()-4,"0000"))</f>
        <v>0</v>
      </c>
      <c r="E249" s="15">
        <f>IF(D249="","",IFERROR(INDEX(Inventory!$B$5:$B$304,MATCH(D249,Inventory!$A$5:$A$304,0)),"Not in Inventory"))</f>
        <v>0</v>
      </c>
      <c r="Q249" s="15">
        <f>IF(B249="","",TEXT(B249,"yyyy-mm"))</f>
        <v>0</v>
      </c>
      <c r="R249" s="26">
        <f>IF(B249="","",IF(G249&lt;&gt;"",G249,IFERROR(INDEX(Inventory!$H$5:$H$304,MATCH(D249,Inventory!$A$5:$A$304,0))*1,0)))</f>
        <v>0</v>
      </c>
      <c r="S249" s="26">
        <f>IF(B249="","",ROUND(IF(F249="",0,F249)*R249,2))</f>
        <v>0</v>
      </c>
      <c r="T249" s="26">
        <f>IF(B249="","",ROUND(S249+IF(H249="",0,H249)+IF(I249="",0,I249),2))</f>
        <v>0</v>
      </c>
      <c r="U249" s="37">
        <f>IF(B249="","",IF(J249="Received",IF(M249&lt;&gt;"",M249,IF(F249="",0,F249)),IF(J249="Part received",IF(M249="",0,M249),0)))</f>
        <v>0</v>
      </c>
      <c r="V249" s="37">
        <f>IF(B249="","",IF(J249="Ordered","",IF(J249="Draft","",ROUND(IF(F249="",0,F249)-U249,2))))</f>
        <v>0</v>
      </c>
      <c r="W249" s="25">
        <f>IF(B249="","",IF(L249="","",L249-B249))</f>
        <v>0</v>
      </c>
      <c r="X249" s="26">
        <f>IF(B249="","",IF(G249="","",IFERROR(ROUND(G249-INDEX(Inventory!$H$5:$H$304,MATCH(D249,Inventory!$A$5:$A$304,0)),2),"")))</f>
        <v>0</v>
      </c>
      <c r="Y249" s="39">
        <f>IF(B249="","",IF(D249="","Add - which product?",IF(J249="","Add - no status yet",IF(IF(J249="Ordered",IF(K249="",FALSE,K249&lt;TodayDate),FALSE),"Late - expected and not arrived",IF(V249&gt;0,"Check - delivery came up short",IF(IF(X249="",FALSE,X249&gt;0),"Check - cost has gone up",IF(O249&lt;&gt;"Yes","Due - invoice not paid","OK")))))))</f>
        <v>0</v>
      </c>
    </row>
    <row r="250" spans="1:25">
      <c r="A250" s="28">
        <f>IF(B250="","",PurchasePrefix&amp;TEXT(ROW()-4,"0000"))</f>
        <v>0</v>
      </c>
      <c r="E250" s="15">
        <f>IF(D250="","",IFERROR(INDEX(Inventory!$B$5:$B$304,MATCH(D250,Inventory!$A$5:$A$304,0)),"Not in Inventory"))</f>
        <v>0</v>
      </c>
      <c r="Q250" s="15">
        <f>IF(B250="","",TEXT(B250,"yyyy-mm"))</f>
        <v>0</v>
      </c>
      <c r="R250" s="26">
        <f>IF(B250="","",IF(G250&lt;&gt;"",G250,IFERROR(INDEX(Inventory!$H$5:$H$304,MATCH(D250,Inventory!$A$5:$A$304,0))*1,0)))</f>
        <v>0</v>
      </c>
      <c r="S250" s="26">
        <f>IF(B250="","",ROUND(IF(F250="",0,F250)*R250,2))</f>
        <v>0</v>
      </c>
      <c r="T250" s="26">
        <f>IF(B250="","",ROUND(S250+IF(H250="",0,H250)+IF(I250="",0,I250),2))</f>
        <v>0</v>
      </c>
      <c r="U250" s="37">
        <f>IF(B250="","",IF(J250="Received",IF(M250&lt;&gt;"",M250,IF(F250="",0,F250)),IF(J250="Part received",IF(M250="",0,M250),0)))</f>
        <v>0</v>
      </c>
      <c r="V250" s="37">
        <f>IF(B250="","",IF(J250="Ordered","",IF(J250="Draft","",ROUND(IF(F250="",0,F250)-U250,2))))</f>
        <v>0</v>
      </c>
      <c r="W250" s="25">
        <f>IF(B250="","",IF(L250="","",L250-B250))</f>
        <v>0</v>
      </c>
      <c r="X250" s="26">
        <f>IF(B250="","",IF(G250="","",IFERROR(ROUND(G250-INDEX(Inventory!$H$5:$H$304,MATCH(D250,Inventory!$A$5:$A$304,0)),2),"")))</f>
        <v>0</v>
      </c>
      <c r="Y250" s="39">
        <f>IF(B250="","",IF(D250="","Add - which product?",IF(J250="","Add - no status yet",IF(IF(J250="Ordered",IF(K250="",FALSE,K250&lt;TodayDate),FALSE),"Late - expected and not arrived",IF(V250&gt;0,"Check - delivery came up short",IF(IF(X250="",FALSE,X250&gt;0),"Check - cost has gone up",IF(O250&lt;&gt;"Yes","Due - invoice not paid","OK")))))))</f>
        <v>0</v>
      </c>
    </row>
    <row r="251" spans="1:25">
      <c r="A251" s="28">
        <f>IF(B251="","",PurchasePrefix&amp;TEXT(ROW()-4,"0000"))</f>
        <v>0</v>
      </c>
      <c r="E251" s="15">
        <f>IF(D251="","",IFERROR(INDEX(Inventory!$B$5:$B$304,MATCH(D251,Inventory!$A$5:$A$304,0)),"Not in Inventory"))</f>
        <v>0</v>
      </c>
      <c r="Q251" s="15">
        <f>IF(B251="","",TEXT(B251,"yyyy-mm"))</f>
        <v>0</v>
      </c>
      <c r="R251" s="26">
        <f>IF(B251="","",IF(G251&lt;&gt;"",G251,IFERROR(INDEX(Inventory!$H$5:$H$304,MATCH(D251,Inventory!$A$5:$A$304,0))*1,0)))</f>
        <v>0</v>
      </c>
      <c r="S251" s="26">
        <f>IF(B251="","",ROUND(IF(F251="",0,F251)*R251,2))</f>
        <v>0</v>
      </c>
      <c r="T251" s="26">
        <f>IF(B251="","",ROUND(S251+IF(H251="",0,H251)+IF(I251="",0,I251),2))</f>
        <v>0</v>
      </c>
      <c r="U251" s="37">
        <f>IF(B251="","",IF(J251="Received",IF(M251&lt;&gt;"",M251,IF(F251="",0,F251)),IF(J251="Part received",IF(M251="",0,M251),0)))</f>
        <v>0</v>
      </c>
      <c r="V251" s="37">
        <f>IF(B251="","",IF(J251="Ordered","",IF(J251="Draft","",ROUND(IF(F251="",0,F251)-U251,2))))</f>
        <v>0</v>
      </c>
      <c r="W251" s="25">
        <f>IF(B251="","",IF(L251="","",L251-B251))</f>
        <v>0</v>
      </c>
      <c r="X251" s="26">
        <f>IF(B251="","",IF(G251="","",IFERROR(ROUND(G251-INDEX(Inventory!$H$5:$H$304,MATCH(D251,Inventory!$A$5:$A$304,0)),2),"")))</f>
        <v>0</v>
      </c>
      <c r="Y251" s="39">
        <f>IF(B251="","",IF(D251="","Add - which product?",IF(J251="","Add - no status yet",IF(IF(J251="Ordered",IF(K251="",FALSE,K251&lt;TodayDate),FALSE),"Late - expected and not arrived",IF(V251&gt;0,"Check - delivery came up short",IF(IF(X251="",FALSE,X251&gt;0),"Check - cost has gone up",IF(O251&lt;&gt;"Yes","Due - invoice not paid","OK")))))))</f>
        <v>0</v>
      </c>
    </row>
    <row r="252" spans="1:25">
      <c r="A252" s="28">
        <f>IF(B252="","",PurchasePrefix&amp;TEXT(ROW()-4,"0000"))</f>
        <v>0</v>
      </c>
      <c r="E252" s="15">
        <f>IF(D252="","",IFERROR(INDEX(Inventory!$B$5:$B$304,MATCH(D252,Inventory!$A$5:$A$304,0)),"Not in Inventory"))</f>
        <v>0</v>
      </c>
      <c r="Q252" s="15">
        <f>IF(B252="","",TEXT(B252,"yyyy-mm"))</f>
        <v>0</v>
      </c>
      <c r="R252" s="26">
        <f>IF(B252="","",IF(G252&lt;&gt;"",G252,IFERROR(INDEX(Inventory!$H$5:$H$304,MATCH(D252,Inventory!$A$5:$A$304,0))*1,0)))</f>
        <v>0</v>
      </c>
      <c r="S252" s="26">
        <f>IF(B252="","",ROUND(IF(F252="",0,F252)*R252,2))</f>
        <v>0</v>
      </c>
      <c r="T252" s="26">
        <f>IF(B252="","",ROUND(S252+IF(H252="",0,H252)+IF(I252="",0,I252),2))</f>
        <v>0</v>
      </c>
      <c r="U252" s="37">
        <f>IF(B252="","",IF(J252="Received",IF(M252&lt;&gt;"",M252,IF(F252="",0,F252)),IF(J252="Part received",IF(M252="",0,M252),0)))</f>
        <v>0</v>
      </c>
      <c r="V252" s="37">
        <f>IF(B252="","",IF(J252="Ordered","",IF(J252="Draft","",ROUND(IF(F252="",0,F252)-U252,2))))</f>
        <v>0</v>
      </c>
      <c r="W252" s="25">
        <f>IF(B252="","",IF(L252="","",L252-B252))</f>
        <v>0</v>
      </c>
      <c r="X252" s="26">
        <f>IF(B252="","",IF(G252="","",IFERROR(ROUND(G252-INDEX(Inventory!$H$5:$H$304,MATCH(D252,Inventory!$A$5:$A$304,0)),2),"")))</f>
        <v>0</v>
      </c>
      <c r="Y252" s="39">
        <f>IF(B252="","",IF(D252="","Add - which product?",IF(J252="","Add - no status yet",IF(IF(J252="Ordered",IF(K252="",FALSE,K252&lt;TodayDate),FALSE),"Late - expected and not arrived",IF(V252&gt;0,"Check - delivery came up short",IF(IF(X252="",FALSE,X252&gt;0),"Check - cost has gone up",IF(O252&lt;&gt;"Yes","Due - invoice not paid","OK")))))))</f>
        <v>0</v>
      </c>
    </row>
    <row r="253" spans="1:25">
      <c r="A253" s="28">
        <f>IF(B253="","",PurchasePrefix&amp;TEXT(ROW()-4,"0000"))</f>
        <v>0</v>
      </c>
      <c r="E253" s="15">
        <f>IF(D253="","",IFERROR(INDEX(Inventory!$B$5:$B$304,MATCH(D253,Inventory!$A$5:$A$304,0)),"Not in Inventory"))</f>
        <v>0</v>
      </c>
      <c r="Q253" s="15">
        <f>IF(B253="","",TEXT(B253,"yyyy-mm"))</f>
        <v>0</v>
      </c>
      <c r="R253" s="26">
        <f>IF(B253="","",IF(G253&lt;&gt;"",G253,IFERROR(INDEX(Inventory!$H$5:$H$304,MATCH(D253,Inventory!$A$5:$A$304,0))*1,0)))</f>
        <v>0</v>
      </c>
      <c r="S253" s="26">
        <f>IF(B253="","",ROUND(IF(F253="",0,F253)*R253,2))</f>
        <v>0</v>
      </c>
      <c r="T253" s="26">
        <f>IF(B253="","",ROUND(S253+IF(H253="",0,H253)+IF(I253="",0,I253),2))</f>
        <v>0</v>
      </c>
      <c r="U253" s="37">
        <f>IF(B253="","",IF(J253="Received",IF(M253&lt;&gt;"",M253,IF(F253="",0,F253)),IF(J253="Part received",IF(M253="",0,M253),0)))</f>
        <v>0</v>
      </c>
      <c r="V253" s="37">
        <f>IF(B253="","",IF(J253="Ordered","",IF(J253="Draft","",ROUND(IF(F253="",0,F253)-U253,2))))</f>
        <v>0</v>
      </c>
      <c r="W253" s="25">
        <f>IF(B253="","",IF(L253="","",L253-B253))</f>
        <v>0</v>
      </c>
      <c r="X253" s="26">
        <f>IF(B253="","",IF(G253="","",IFERROR(ROUND(G253-INDEX(Inventory!$H$5:$H$304,MATCH(D253,Inventory!$A$5:$A$304,0)),2),"")))</f>
        <v>0</v>
      </c>
      <c r="Y253" s="39">
        <f>IF(B253="","",IF(D253="","Add - which product?",IF(J253="","Add - no status yet",IF(IF(J253="Ordered",IF(K253="",FALSE,K253&lt;TodayDate),FALSE),"Late - expected and not arrived",IF(V253&gt;0,"Check - delivery came up short",IF(IF(X253="",FALSE,X253&gt;0),"Check - cost has gone up",IF(O253&lt;&gt;"Yes","Due - invoice not paid","OK")))))))</f>
        <v>0</v>
      </c>
    </row>
    <row r="254" spans="1:25">
      <c r="A254" s="28">
        <f>IF(B254="","",PurchasePrefix&amp;TEXT(ROW()-4,"0000"))</f>
        <v>0</v>
      </c>
      <c r="E254" s="15">
        <f>IF(D254="","",IFERROR(INDEX(Inventory!$B$5:$B$304,MATCH(D254,Inventory!$A$5:$A$304,0)),"Not in Inventory"))</f>
        <v>0</v>
      </c>
      <c r="Q254" s="15">
        <f>IF(B254="","",TEXT(B254,"yyyy-mm"))</f>
        <v>0</v>
      </c>
      <c r="R254" s="26">
        <f>IF(B254="","",IF(G254&lt;&gt;"",G254,IFERROR(INDEX(Inventory!$H$5:$H$304,MATCH(D254,Inventory!$A$5:$A$304,0))*1,0)))</f>
        <v>0</v>
      </c>
      <c r="S254" s="26">
        <f>IF(B254="","",ROUND(IF(F254="",0,F254)*R254,2))</f>
        <v>0</v>
      </c>
      <c r="T254" s="26">
        <f>IF(B254="","",ROUND(S254+IF(H254="",0,H254)+IF(I254="",0,I254),2))</f>
        <v>0</v>
      </c>
      <c r="U254" s="37">
        <f>IF(B254="","",IF(J254="Received",IF(M254&lt;&gt;"",M254,IF(F254="",0,F254)),IF(J254="Part received",IF(M254="",0,M254),0)))</f>
        <v>0</v>
      </c>
      <c r="V254" s="37">
        <f>IF(B254="","",IF(J254="Ordered","",IF(J254="Draft","",ROUND(IF(F254="",0,F254)-U254,2))))</f>
        <v>0</v>
      </c>
      <c r="W254" s="25">
        <f>IF(B254="","",IF(L254="","",L254-B254))</f>
        <v>0</v>
      </c>
      <c r="X254" s="26">
        <f>IF(B254="","",IF(G254="","",IFERROR(ROUND(G254-INDEX(Inventory!$H$5:$H$304,MATCH(D254,Inventory!$A$5:$A$304,0)),2),"")))</f>
        <v>0</v>
      </c>
      <c r="Y254" s="39">
        <f>IF(B254="","",IF(D254="","Add - which product?",IF(J254="","Add - no status yet",IF(IF(J254="Ordered",IF(K254="",FALSE,K254&lt;TodayDate),FALSE),"Late - expected and not arrived",IF(V254&gt;0,"Check - delivery came up short",IF(IF(X254="",FALSE,X254&gt;0),"Check - cost has gone up",IF(O254&lt;&gt;"Yes","Due - invoice not paid","OK")))))))</f>
        <v>0</v>
      </c>
    </row>
    <row r="255" spans="1:25">
      <c r="A255" s="28">
        <f>IF(B255="","",PurchasePrefix&amp;TEXT(ROW()-4,"0000"))</f>
        <v>0</v>
      </c>
      <c r="E255" s="15">
        <f>IF(D255="","",IFERROR(INDEX(Inventory!$B$5:$B$304,MATCH(D255,Inventory!$A$5:$A$304,0)),"Not in Inventory"))</f>
        <v>0</v>
      </c>
      <c r="Q255" s="15">
        <f>IF(B255="","",TEXT(B255,"yyyy-mm"))</f>
        <v>0</v>
      </c>
      <c r="R255" s="26">
        <f>IF(B255="","",IF(G255&lt;&gt;"",G255,IFERROR(INDEX(Inventory!$H$5:$H$304,MATCH(D255,Inventory!$A$5:$A$304,0))*1,0)))</f>
        <v>0</v>
      </c>
      <c r="S255" s="26">
        <f>IF(B255="","",ROUND(IF(F255="",0,F255)*R255,2))</f>
        <v>0</v>
      </c>
      <c r="T255" s="26">
        <f>IF(B255="","",ROUND(S255+IF(H255="",0,H255)+IF(I255="",0,I255),2))</f>
        <v>0</v>
      </c>
      <c r="U255" s="37">
        <f>IF(B255="","",IF(J255="Received",IF(M255&lt;&gt;"",M255,IF(F255="",0,F255)),IF(J255="Part received",IF(M255="",0,M255),0)))</f>
        <v>0</v>
      </c>
      <c r="V255" s="37">
        <f>IF(B255="","",IF(J255="Ordered","",IF(J255="Draft","",ROUND(IF(F255="",0,F255)-U255,2))))</f>
        <v>0</v>
      </c>
      <c r="W255" s="25">
        <f>IF(B255="","",IF(L255="","",L255-B255))</f>
        <v>0</v>
      </c>
      <c r="X255" s="26">
        <f>IF(B255="","",IF(G255="","",IFERROR(ROUND(G255-INDEX(Inventory!$H$5:$H$304,MATCH(D255,Inventory!$A$5:$A$304,0)),2),"")))</f>
        <v>0</v>
      </c>
      <c r="Y255" s="39">
        <f>IF(B255="","",IF(D255="","Add - which product?",IF(J255="","Add - no status yet",IF(IF(J255="Ordered",IF(K255="",FALSE,K255&lt;TodayDate),FALSE),"Late - expected and not arrived",IF(V255&gt;0,"Check - delivery came up short",IF(IF(X255="",FALSE,X255&gt;0),"Check - cost has gone up",IF(O255&lt;&gt;"Yes","Due - invoice not paid","OK")))))))</f>
        <v>0</v>
      </c>
    </row>
    <row r="256" spans="1:25">
      <c r="A256" s="28">
        <f>IF(B256="","",PurchasePrefix&amp;TEXT(ROW()-4,"0000"))</f>
        <v>0</v>
      </c>
      <c r="E256" s="15">
        <f>IF(D256="","",IFERROR(INDEX(Inventory!$B$5:$B$304,MATCH(D256,Inventory!$A$5:$A$304,0)),"Not in Inventory"))</f>
        <v>0</v>
      </c>
      <c r="Q256" s="15">
        <f>IF(B256="","",TEXT(B256,"yyyy-mm"))</f>
        <v>0</v>
      </c>
      <c r="R256" s="26">
        <f>IF(B256="","",IF(G256&lt;&gt;"",G256,IFERROR(INDEX(Inventory!$H$5:$H$304,MATCH(D256,Inventory!$A$5:$A$304,0))*1,0)))</f>
        <v>0</v>
      </c>
      <c r="S256" s="26">
        <f>IF(B256="","",ROUND(IF(F256="",0,F256)*R256,2))</f>
        <v>0</v>
      </c>
      <c r="T256" s="26">
        <f>IF(B256="","",ROUND(S256+IF(H256="",0,H256)+IF(I256="",0,I256),2))</f>
        <v>0</v>
      </c>
      <c r="U256" s="37">
        <f>IF(B256="","",IF(J256="Received",IF(M256&lt;&gt;"",M256,IF(F256="",0,F256)),IF(J256="Part received",IF(M256="",0,M256),0)))</f>
        <v>0</v>
      </c>
      <c r="V256" s="37">
        <f>IF(B256="","",IF(J256="Ordered","",IF(J256="Draft","",ROUND(IF(F256="",0,F256)-U256,2))))</f>
        <v>0</v>
      </c>
      <c r="W256" s="25">
        <f>IF(B256="","",IF(L256="","",L256-B256))</f>
        <v>0</v>
      </c>
      <c r="X256" s="26">
        <f>IF(B256="","",IF(G256="","",IFERROR(ROUND(G256-INDEX(Inventory!$H$5:$H$304,MATCH(D256,Inventory!$A$5:$A$304,0)),2),"")))</f>
        <v>0</v>
      </c>
      <c r="Y256" s="39">
        <f>IF(B256="","",IF(D256="","Add - which product?",IF(J256="","Add - no status yet",IF(IF(J256="Ordered",IF(K256="",FALSE,K256&lt;TodayDate),FALSE),"Late - expected and not arrived",IF(V256&gt;0,"Check - delivery came up short",IF(IF(X256="",FALSE,X256&gt;0),"Check - cost has gone up",IF(O256&lt;&gt;"Yes","Due - invoice not paid","OK")))))))</f>
        <v>0</v>
      </c>
    </row>
    <row r="257" spans="1:25">
      <c r="A257" s="28">
        <f>IF(B257="","",PurchasePrefix&amp;TEXT(ROW()-4,"0000"))</f>
        <v>0</v>
      </c>
      <c r="E257" s="15">
        <f>IF(D257="","",IFERROR(INDEX(Inventory!$B$5:$B$304,MATCH(D257,Inventory!$A$5:$A$304,0)),"Not in Inventory"))</f>
        <v>0</v>
      </c>
      <c r="Q257" s="15">
        <f>IF(B257="","",TEXT(B257,"yyyy-mm"))</f>
        <v>0</v>
      </c>
      <c r="R257" s="26">
        <f>IF(B257="","",IF(G257&lt;&gt;"",G257,IFERROR(INDEX(Inventory!$H$5:$H$304,MATCH(D257,Inventory!$A$5:$A$304,0))*1,0)))</f>
        <v>0</v>
      </c>
      <c r="S257" s="26">
        <f>IF(B257="","",ROUND(IF(F257="",0,F257)*R257,2))</f>
        <v>0</v>
      </c>
      <c r="T257" s="26">
        <f>IF(B257="","",ROUND(S257+IF(H257="",0,H257)+IF(I257="",0,I257),2))</f>
        <v>0</v>
      </c>
      <c r="U257" s="37">
        <f>IF(B257="","",IF(J257="Received",IF(M257&lt;&gt;"",M257,IF(F257="",0,F257)),IF(J257="Part received",IF(M257="",0,M257),0)))</f>
        <v>0</v>
      </c>
      <c r="V257" s="37">
        <f>IF(B257="","",IF(J257="Ordered","",IF(J257="Draft","",ROUND(IF(F257="",0,F257)-U257,2))))</f>
        <v>0</v>
      </c>
      <c r="W257" s="25">
        <f>IF(B257="","",IF(L257="","",L257-B257))</f>
        <v>0</v>
      </c>
      <c r="X257" s="26">
        <f>IF(B257="","",IF(G257="","",IFERROR(ROUND(G257-INDEX(Inventory!$H$5:$H$304,MATCH(D257,Inventory!$A$5:$A$304,0)),2),"")))</f>
        <v>0</v>
      </c>
      <c r="Y257" s="39">
        <f>IF(B257="","",IF(D257="","Add - which product?",IF(J257="","Add - no status yet",IF(IF(J257="Ordered",IF(K257="",FALSE,K257&lt;TodayDate),FALSE),"Late - expected and not arrived",IF(V257&gt;0,"Check - delivery came up short",IF(IF(X257="",FALSE,X257&gt;0),"Check - cost has gone up",IF(O257&lt;&gt;"Yes","Due - invoice not paid","OK")))))))</f>
        <v>0</v>
      </c>
    </row>
    <row r="258" spans="1:25">
      <c r="A258" s="28">
        <f>IF(B258="","",PurchasePrefix&amp;TEXT(ROW()-4,"0000"))</f>
        <v>0</v>
      </c>
      <c r="E258" s="15">
        <f>IF(D258="","",IFERROR(INDEX(Inventory!$B$5:$B$304,MATCH(D258,Inventory!$A$5:$A$304,0)),"Not in Inventory"))</f>
        <v>0</v>
      </c>
      <c r="Q258" s="15">
        <f>IF(B258="","",TEXT(B258,"yyyy-mm"))</f>
        <v>0</v>
      </c>
      <c r="R258" s="26">
        <f>IF(B258="","",IF(G258&lt;&gt;"",G258,IFERROR(INDEX(Inventory!$H$5:$H$304,MATCH(D258,Inventory!$A$5:$A$304,0))*1,0)))</f>
        <v>0</v>
      </c>
      <c r="S258" s="26">
        <f>IF(B258="","",ROUND(IF(F258="",0,F258)*R258,2))</f>
        <v>0</v>
      </c>
      <c r="T258" s="26">
        <f>IF(B258="","",ROUND(S258+IF(H258="",0,H258)+IF(I258="",0,I258),2))</f>
        <v>0</v>
      </c>
      <c r="U258" s="37">
        <f>IF(B258="","",IF(J258="Received",IF(M258&lt;&gt;"",M258,IF(F258="",0,F258)),IF(J258="Part received",IF(M258="",0,M258),0)))</f>
        <v>0</v>
      </c>
      <c r="V258" s="37">
        <f>IF(B258="","",IF(J258="Ordered","",IF(J258="Draft","",ROUND(IF(F258="",0,F258)-U258,2))))</f>
        <v>0</v>
      </c>
      <c r="W258" s="25">
        <f>IF(B258="","",IF(L258="","",L258-B258))</f>
        <v>0</v>
      </c>
      <c r="X258" s="26">
        <f>IF(B258="","",IF(G258="","",IFERROR(ROUND(G258-INDEX(Inventory!$H$5:$H$304,MATCH(D258,Inventory!$A$5:$A$304,0)),2),"")))</f>
        <v>0</v>
      </c>
      <c r="Y258" s="39">
        <f>IF(B258="","",IF(D258="","Add - which product?",IF(J258="","Add - no status yet",IF(IF(J258="Ordered",IF(K258="",FALSE,K258&lt;TodayDate),FALSE),"Late - expected and not arrived",IF(V258&gt;0,"Check - delivery came up short",IF(IF(X258="",FALSE,X258&gt;0),"Check - cost has gone up",IF(O258&lt;&gt;"Yes","Due - invoice not paid","OK")))))))</f>
        <v>0</v>
      </c>
    </row>
    <row r="259" spans="1:25">
      <c r="A259" s="28">
        <f>IF(B259="","",PurchasePrefix&amp;TEXT(ROW()-4,"0000"))</f>
        <v>0</v>
      </c>
      <c r="E259" s="15">
        <f>IF(D259="","",IFERROR(INDEX(Inventory!$B$5:$B$304,MATCH(D259,Inventory!$A$5:$A$304,0)),"Not in Inventory"))</f>
        <v>0</v>
      </c>
      <c r="Q259" s="15">
        <f>IF(B259="","",TEXT(B259,"yyyy-mm"))</f>
        <v>0</v>
      </c>
      <c r="R259" s="26">
        <f>IF(B259="","",IF(G259&lt;&gt;"",G259,IFERROR(INDEX(Inventory!$H$5:$H$304,MATCH(D259,Inventory!$A$5:$A$304,0))*1,0)))</f>
        <v>0</v>
      </c>
      <c r="S259" s="26">
        <f>IF(B259="","",ROUND(IF(F259="",0,F259)*R259,2))</f>
        <v>0</v>
      </c>
      <c r="T259" s="26">
        <f>IF(B259="","",ROUND(S259+IF(H259="",0,H259)+IF(I259="",0,I259),2))</f>
        <v>0</v>
      </c>
      <c r="U259" s="37">
        <f>IF(B259="","",IF(J259="Received",IF(M259&lt;&gt;"",M259,IF(F259="",0,F259)),IF(J259="Part received",IF(M259="",0,M259),0)))</f>
        <v>0</v>
      </c>
      <c r="V259" s="37">
        <f>IF(B259="","",IF(J259="Ordered","",IF(J259="Draft","",ROUND(IF(F259="",0,F259)-U259,2))))</f>
        <v>0</v>
      </c>
      <c r="W259" s="25">
        <f>IF(B259="","",IF(L259="","",L259-B259))</f>
        <v>0</v>
      </c>
      <c r="X259" s="26">
        <f>IF(B259="","",IF(G259="","",IFERROR(ROUND(G259-INDEX(Inventory!$H$5:$H$304,MATCH(D259,Inventory!$A$5:$A$304,0)),2),"")))</f>
        <v>0</v>
      </c>
      <c r="Y259" s="39">
        <f>IF(B259="","",IF(D259="","Add - which product?",IF(J259="","Add - no status yet",IF(IF(J259="Ordered",IF(K259="",FALSE,K259&lt;TodayDate),FALSE),"Late - expected and not arrived",IF(V259&gt;0,"Check - delivery came up short",IF(IF(X259="",FALSE,X259&gt;0),"Check - cost has gone up",IF(O259&lt;&gt;"Yes","Due - invoice not paid","OK")))))))</f>
        <v>0</v>
      </c>
    </row>
    <row r="260" spans="1:25">
      <c r="A260" s="28">
        <f>IF(B260="","",PurchasePrefix&amp;TEXT(ROW()-4,"0000"))</f>
        <v>0</v>
      </c>
      <c r="E260" s="15">
        <f>IF(D260="","",IFERROR(INDEX(Inventory!$B$5:$B$304,MATCH(D260,Inventory!$A$5:$A$304,0)),"Not in Inventory"))</f>
        <v>0</v>
      </c>
      <c r="Q260" s="15">
        <f>IF(B260="","",TEXT(B260,"yyyy-mm"))</f>
        <v>0</v>
      </c>
      <c r="R260" s="26">
        <f>IF(B260="","",IF(G260&lt;&gt;"",G260,IFERROR(INDEX(Inventory!$H$5:$H$304,MATCH(D260,Inventory!$A$5:$A$304,0))*1,0)))</f>
        <v>0</v>
      </c>
      <c r="S260" s="26">
        <f>IF(B260="","",ROUND(IF(F260="",0,F260)*R260,2))</f>
        <v>0</v>
      </c>
      <c r="T260" s="26">
        <f>IF(B260="","",ROUND(S260+IF(H260="",0,H260)+IF(I260="",0,I260),2))</f>
        <v>0</v>
      </c>
      <c r="U260" s="37">
        <f>IF(B260="","",IF(J260="Received",IF(M260&lt;&gt;"",M260,IF(F260="",0,F260)),IF(J260="Part received",IF(M260="",0,M260),0)))</f>
        <v>0</v>
      </c>
      <c r="V260" s="37">
        <f>IF(B260="","",IF(J260="Ordered","",IF(J260="Draft","",ROUND(IF(F260="",0,F260)-U260,2))))</f>
        <v>0</v>
      </c>
      <c r="W260" s="25">
        <f>IF(B260="","",IF(L260="","",L260-B260))</f>
        <v>0</v>
      </c>
      <c r="X260" s="26">
        <f>IF(B260="","",IF(G260="","",IFERROR(ROUND(G260-INDEX(Inventory!$H$5:$H$304,MATCH(D260,Inventory!$A$5:$A$304,0)),2),"")))</f>
        <v>0</v>
      </c>
      <c r="Y260" s="39">
        <f>IF(B260="","",IF(D260="","Add - which product?",IF(J260="","Add - no status yet",IF(IF(J260="Ordered",IF(K260="",FALSE,K260&lt;TodayDate),FALSE),"Late - expected and not arrived",IF(V260&gt;0,"Check - delivery came up short",IF(IF(X260="",FALSE,X260&gt;0),"Check - cost has gone up",IF(O260&lt;&gt;"Yes","Due - invoice not paid","OK")))))))</f>
        <v>0</v>
      </c>
    </row>
    <row r="261" spans="1:25">
      <c r="A261" s="28">
        <f>IF(B261="","",PurchasePrefix&amp;TEXT(ROW()-4,"0000"))</f>
        <v>0</v>
      </c>
      <c r="E261" s="15">
        <f>IF(D261="","",IFERROR(INDEX(Inventory!$B$5:$B$304,MATCH(D261,Inventory!$A$5:$A$304,0)),"Not in Inventory"))</f>
        <v>0</v>
      </c>
      <c r="Q261" s="15">
        <f>IF(B261="","",TEXT(B261,"yyyy-mm"))</f>
        <v>0</v>
      </c>
      <c r="R261" s="26">
        <f>IF(B261="","",IF(G261&lt;&gt;"",G261,IFERROR(INDEX(Inventory!$H$5:$H$304,MATCH(D261,Inventory!$A$5:$A$304,0))*1,0)))</f>
        <v>0</v>
      </c>
      <c r="S261" s="26">
        <f>IF(B261="","",ROUND(IF(F261="",0,F261)*R261,2))</f>
        <v>0</v>
      </c>
      <c r="T261" s="26">
        <f>IF(B261="","",ROUND(S261+IF(H261="",0,H261)+IF(I261="",0,I261),2))</f>
        <v>0</v>
      </c>
      <c r="U261" s="37">
        <f>IF(B261="","",IF(J261="Received",IF(M261&lt;&gt;"",M261,IF(F261="",0,F261)),IF(J261="Part received",IF(M261="",0,M261),0)))</f>
        <v>0</v>
      </c>
      <c r="V261" s="37">
        <f>IF(B261="","",IF(J261="Ordered","",IF(J261="Draft","",ROUND(IF(F261="",0,F261)-U261,2))))</f>
        <v>0</v>
      </c>
      <c r="W261" s="25">
        <f>IF(B261="","",IF(L261="","",L261-B261))</f>
        <v>0</v>
      </c>
      <c r="X261" s="26">
        <f>IF(B261="","",IF(G261="","",IFERROR(ROUND(G261-INDEX(Inventory!$H$5:$H$304,MATCH(D261,Inventory!$A$5:$A$304,0)),2),"")))</f>
        <v>0</v>
      </c>
      <c r="Y261" s="39">
        <f>IF(B261="","",IF(D261="","Add - which product?",IF(J261="","Add - no status yet",IF(IF(J261="Ordered",IF(K261="",FALSE,K261&lt;TodayDate),FALSE),"Late - expected and not arrived",IF(V261&gt;0,"Check - delivery came up short",IF(IF(X261="",FALSE,X261&gt;0),"Check - cost has gone up",IF(O261&lt;&gt;"Yes","Due - invoice not paid","OK")))))))</f>
        <v>0</v>
      </c>
    </row>
    <row r="262" spans="1:25">
      <c r="A262" s="28">
        <f>IF(B262="","",PurchasePrefix&amp;TEXT(ROW()-4,"0000"))</f>
        <v>0</v>
      </c>
      <c r="E262" s="15">
        <f>IF(D262="","",IFERROR(INDEX(Inventory!$B$5:$B$304,MATCH(D262,Inventory!$A$5:$A$304,0)),"Not in Inventory"))</f>
        <v>0</v>
      </c>
      <c r="Q262" s="15">
        <f>IF(B262="","",TEXT(B262,"yyyy-mm"))</f>
        <v>0</v>
      </c>
      <c r="R262" s="26">
        <f>IF(B262="","",IF(G262&lt;&gt;"",G262,IFERROR(INDEX(Inventory!$H$5:$H$304,MATCH(D262,Inventory!$A$5:$A$304,0))*1,0)))</f>
        <v>0</v>
      </c>
      <c r="S262" s="26">
        <f>IF(B262="","",ROUND(IF(F262="",0,F262)*R262,2))</f>
        <v>0</v>
      </c>
      <c r="T262" s="26">
        <f>IF(B262="","",ROUND(S262+IF(H262="",0,H262)+IF(I262="",0,I262),2))</f>
        <v>0</v>
      </c>
      <c r="U262" s="37">
        <f>IF(B262="","",IF(J262="Received",IF(M262&lt;&gt;"",M262,IF(F262="",0,F262)),IF(J262="Part received",IF(M262="",0,M262),0)))</f>
        <v>0</v>
      </c>
      <c r="V262" s="37">
        <f>IF(B262="","",IF(J262="Ordered","",IF(J262="Draft","",ROUND(IF(F262="",0,F262)-U262,2))))</f>
        <v>0</v>
      </c>
      <c r="W262" s="25">
        <f>IF(B262="","",IF(L262="","",L262-B262))</f>
        <v>0</v>
      </c>
      <c r="X262" s="26">
        <f>IF(B262="","",IF(G262="","",IFERROR(ROUND(G262-INDEX(Inventory!$H$5:$H$304,MATCH(D262,Inventory!$A$5:$A$304,0)),2),"")))</f>
        <v>0</v>
      </c>
      <c r="Y262" s="39">
        <f>IF(B262="","",IF(D262="","Add - which product?",IF(J262="","Add - no status yet",IF(IF(J262="Ordered",IF(K262="",FALSE,K262&lt;TodayDate),FALSE),"Late - expected and not arrived",IF(V262&gt;0,"Check - delivery came up short",IF(IF(X262="",FALSE,X262&gt;0),"Check - cost has gone up",IF(O262&lt;&gt;"Yes","Due - invoice not paid","OK")))))))</f>
        <v>0</v>
      </c>
    </row>
    <row r="263" spans="1:25">
      <c r="A263" s="28">
        <f>IF(B263="","",PurchasePrefix&amp;TEXT(ROW()-4,"0000"))</f>
        <v>0</v>
      </c>
      <c r="E263" s="15">
        <f>IF(D263="","",IFERROR(INDEX(Inventory!$B$5:$B$304,MATCH(D263,Inventory!$A$5:$A$304,0)),"Not in Inventory"))</f>
        <v>0</v>
      </c>
      <c r="Q263" s="15">
        <f>IF(B263="","",TEXT(B263,"yyyy-mm"))</f>
        <v>0</v>
      </c>
      <c r="R263" s="26">
        <f>IF(B263="","",IF(G263&lt;&gt;"",G263,IFERROR(INDEX(Inventory!$H$5:$H$304,MATCH(D263,Inventory!$A$5:$A$304,0))*1,0)))</f>
        <v>0</v>
      </c>
      <c r="S263" s="26">
        <f>IF(B263="","",ROUND(IF(F263="",0,F263)*R263,2))</f>
        <v>0</v>
      </c>
      <c r="T263" s="26">
        <f>IF(B263="","",ROUND(S263+IF(H263="",0,H263)+IF(I263="",0,I263),2))</f>
        <v>0</v>
      </c>
      <c r="U263" s="37">
        <f>IF(B263="","",IF(J263="Received",IF(M263&lt;&gt;"",M263,IF(F263="",0,F263)),IF(J263="Part received",IF(M263="",0,M263),0)))</f>
        <v>0</v>
      </c>
      <c r="V263" s="37">
        <f>IF(B263="","",IF(J263="Ordered","",IF(J263="Draft","",ROUND(IF(F263="",0,F263)-U263,2))))</f>
        <v>0</v>
      </c>
      <c r="W263" s="25">
        <f>IF(B263="","",IF(L263="","",L263-B263))</f>
        <v>0</v>
      </c>
      <c r="X263" s="26">
        <f>IF(B263="","",IF(G263="","",IFERROR(ROUND(G263-INDEX(Inventory!$H$5:$H$304,MATCH(D263,Inventory!$A$5:$A$304,0)),2),"")))</f>
        <v>0</v>
      </c>
      <c r="Y263" s="39">
        <f>IF(B263="","",IF(D263="","Add - which product?",IF(J263="","Add - no status yet",IF(IF(J263="Ordered",IF(K263="",FALSE,K263&lt;TodayDate),FALSE),"Late - expected and not arrived",IF(V263&gt;0,"Check - delivery came up short",IF(IF(X263="",FALSE,X263&gt;0),"Check - cost has gone up",IF(O263&lt;&gt;"Yes","Due - invoice not paid","OK")))))))</f>
        <v>0</v>
      </c>
    </row>
    <row r="264" spans="1:25">
      <c r="A264" s="28">
        <f>IF(B264="","",PurchasePrefix&amp;TEXT(ROW()-4,"0000"))</f>
        <v>0</v>
      </c>
      <c r="E264" s="15">
        <f>IF(D264="","",IFERROR(INDEX(Inventory!$B$5:$B$304,MATCH(D264,Inventory!$A$5:$A$304,0)),"Not in Inventory"))</f>
        <v>0</v>
      </c>
      <c r="Q264" s="15">
        <f>IF(B264="","",TEXT(B264,"yyyy-mm"))</f>
        <v>0</v>
      </c>
      <c r="R264" s="26">
        <f>IF(B264="","",IF(G264&lt;&gt;"",G264,IFERROR(INDEX(Inventory!$H$5:$H$304,MATCH(D264,Inventory!$A$5:$A$304,0))*1,0)))</f>
        <v>0</v>
      </c>
      <c r="S264" s="26">
        <f>IF(B264="","",ROUND(IF(F264="",0,F264)*R264,2))</f>
        <v>0</v>
      </c>
      <c r="T264" s="26">
        <f>IF(B264="","",ROUND(S264+IF(H264="",0,H264)+IF(I264="",0,I264),2))</f>
        <v>0</v>
      </c>
      <c r="U264" s="37">
        <f>IF(B264="","",IF(J264="Received",IF(M264&lt;&gt;"",M264,IF(F264="",0,F264)),IF(J264="Part received",IF(M264="",0,M264),0)))</f>
        <v>0</v>
      </c>
      <c r="V264" s="37">
        <f>IF(B264="","",IF(J264="Ordered","",IF(J264="Draft","",ROUND(IF(F264="",0,F264)-U264,2))))</f>
        <v>0</v>
      </c>
      <c r="W264" s="25">
        <f>IF(B264="","",IF(L264="","",L264-B264))</f>
        <v>0</v>
      </c>
      <c r="X264" s="26">
        <f>IF(B264="","",IF(G264="","",IFERROR(ROUND(G264-INDEX(Inventory!$H$5:$H$304,MATCH(D264,Inventory!$A$5:$A$304,0)),2),"")))</f>
        <v>0</v>
      </c>
      <c r="Y264" s="39">
        <f>IF(B264="","",IF(D264="","Add - which product?",IF(J264="","Add - no status yet",IF(IF(J264="Ordered",IF(K264="",FALSE,K264&lt;TodayDate),FALSE),"Late - expected and not arrived",IF(V264&gt;0,"Check - delivery came up short",IF(IF(X264="",FALSE,X264&gt;0),"Check - cost has gone up",IF(O264&lt;&gt;"Yes","Due - invoice not paid","OK")))))))</f>
        <v>0</v>
      </c>
    </row>
    <row r="265" spans="1:25">
      <c r="A265" s="28">
        <f>IF(B265="","",PurchasePrefix&amp;TEXT(ROW()-4,"0000"))</f>
        <v>0</v>
      </c>
      <c r="E265" s="15">
        <f>IF(D265="","",IFERROR(INDEX(Inventory!$B$5:$B$304,MATCH(D265,Inventory!$A$5:$A$304,0)),"Not in Inventory"))</f>
        <v>0</v>
      </c>
      <c r="Q265" s="15">
        <f>IF(B265="","",TEXT(B265,"yyyy-mm"))</f>
        <v>0</v>
      </c>
      <c r="R265" s="26">
        <f>IF(B265="","",IF(G265&lt;&gt;"",G265,IFERROR(INDEX(Inventory!$H$5:$H$304,MATCH(D265,Inventory!$A$5:$A$304,0))*1,0)))</f>
        <v>0</v>
      </c>
      <c r="S265" s="26">
        <f>IF(B265="","",ROUND(IF(F265="",0,F265)*R265,2))</f>
        <v>0</v>
      </c>
      <c r="T265" s="26">
        <f>IF(B265="","",ROUND(S265+IF(H265="",0,H265)+IF(I265="",0,I265),2))</f>
        <v>0</v>
      </c>
      <c r="U265" s="37">
        <f>IF(B265="","",IF(J265="Received",IF(M265&lt;&gt;"",M265,IF(F265="",0,F265)),IF(J265="Part received",IF(M265="",0,M265),0)))</f>
        <v>0</v>
      </c>
      <c r="V265" s="37">
        <f>IF(B265="","",IF(J265="Ordered","",IF(J265="Draft","",ROUND(IF(F265="",0,F265)-U265,2))))</f>
        <v>0</v>
      </c>
      <c r="W265" s="25">
        <f>IF(B265="","",IF(L265="","",L265-B265))</f>
        <v>0</v>
      </c>
      <c r="X265" s="26">
        <f>IF(B265="","",IF(G265="","",IFERROR(ROUND(G265-INDEX(Inventory!$H$5:$H$304,MATCH(D265,Inventory!$A$5:$A$304,0)),2),"")))</f>
        <v>0</v>
      </c>
      <c r="Y265" s="39">
        <f>IF(B265="","",IF(D265="","Add - which product?",IF(J265="","Add - no status yet",IF(IF(J265="Ordered",IF(K265="",FALSE,K265&lt;TodayDate),FALSE),"Late - expected and not arrived",IF(V265&gt;0,"Check - delivery came up short",IF(IF(X265="",FALSE,X265&gt;0),"Check - cost has gone up",IF(O265&lt;&gt;"Yes","Due - invoice not paid","OK")))))))</f>
        <v>0</v>
      </c>
    </row>
    <row r="266" spans="1:25">
      <c r="A266" s="28">
        <f>IF(B266="","",PurchasePrefix&amp;TEXT(ROW()-4,"0000"))</f>
        <v>0</v>
      </c>
      <c r="E266" s="15">
        <f>IF(D266="","",IFERROR(INDEX(Inventory!$B$5:$B$304,MATCH(D266,Inventory!$A$5:$A$304,0)),"Not in Inventory"))</f>
        <v>0</v>
      </c>
      <c r="Q266" s="15">
        <f>IF(B266="","",TEXT(B266,"yyyy-mm"))</f>
        <v>0</v>
      </c>
      <c r="R266" s="26">
        <f>IF(B266="","",IF(G266&lt;&gt;"",G266,IFERROR(INDEX(Inventory!$H$5:$H$304,MATCH(D266,Inventory!$A$5:$A$304,0))*1,0)))</f>
        <v>0</v>
      </c>
      <c r="S266" s="26">
        <f>IF(B266="","",ROUND(IF(F266="",0,F266)*R266,2))</f>
        <v>0</v>
      </c>
      <c r="T266" s="26">
        <f>IF(B266="","",ROUND(S266+IF(H266="",0,H266)+IF(I266="",0,I266),2))</f>
        <v>0</v>
      </c>
      <c r="U266" s="37">
        <f>IF(B266="","",IF(J266="Received",IF(M266&lt;&gt;"",M266,IF(F266="",0,F266)),IF(J266="Part received",IF(M266="",0,M266),0)))</f>
        <v>0</v>
      </c>
      <c r="V266" s="37">
        <f>IF(B266="","",IF(J266="Ordered","",IF(J266="Draft","",ROUND(IF(F266="",0,F266)-U266,2))))</f>
        <v>0</v>
      </c>
      <c r="W266" s="25">
        <f>IF(B266="","",IF(L266="","",L266-B266))</f>
        <v>0</v>
      </c>
      <c r="X266" s="26">
        <f>IF(B266="","",IF(G266="","",IFERROR(ROUND(G266-INDEX(Inventory!$H$5:$H$304,MATCH(D266,Inventory!$A$5:$A$304,0)),2),"")))</f>
        <v>0</v>
      </c>
      <c r="Y266" s="39">
        <f>IF(B266="","",IF(D266="","Add - which product?",IF(J266="","Add - no status yet",IF(IF(J266="Ordered",IF(K266="",FALSE,K266&lt;TodayDate),FALSE),"Late - expected and not arrived",IF(V266&gt;0,"Check - delivery came up short",IF(IF(X266="",FALSE,X266&gt;0),"Check - cost has gone up",IF(O266&lt;&gt;"Yes","Due - invoice not paid","OK")))))))</f>
        <v>0</v>
      </c>
    </row>
    <row r="267" spans="1:25">
      <c r="A267" s="28">
        <f>IF(B267="","",PurchasePrefix&amp;TEXT(ROW()-4,"0000"))</f>
        <v>0</v>
      </c>
      <c r="E267" s="15">
        <f>IF(D267="","",IFERROR(INDEX(Inventory!$B$5:$B$304,MATCH(D267,Inventory!$A$5:$A$304,0)),"Not in Inventory"))</f>
        <v>0</v>
      </c>
      <c r="Q267" s="15">
        <f>IF(B267="","",TEXT(B267,"yyyy-mm"))</f>
        <v>0</v>
      </c>
      <c r="R267" s="26">
        <f>IF(B267="","",IF(G267&lt;&gt;"",G267,IFERROR(INDEX(Inventory!$H$5:$H$304,MATCH(D267,Inventory!$A$5:$A$304,0))*1,0)))</f>
        <v>0</v>
      </c>
      <c r="S267" s="26">
        <f>IF(B267="","",ROUND(IF(F267="",0,F267)*R267,2))</f>
        <v>0</v>
      </c>
      <c r="T267" s="26">
        <f>IF(B267="","",ROUND(S267+IF(H267="",0,H267)+IF(I267="",0,I267),2))</f>
        <v>0</v>
      </c>
      <c r="U267" s="37">
        <f>IF(B267="","",IF(J267="Received",IF(M267&lt;&gt;"",M267,IF(F267="",0,F267)),IF(J267="Part received",IF(M267="",0,M267),0)))</f>
        <v>0</v>
      </c>
      <c r="V267" s="37">
        <f>IF(B267="","",IF(J267="Ordered","",IF(J267="Draft","",ROUND(IF(F267="",0,F267)-U267,2))))</f>
        <v>0</v>
      </c>
      <c r="W267" s="25">
        <f>IF(B267="","",IF(L267="","",L267-B267))</f>
        <v>0</v>
      </c>
      <c r="X267" s="26">
        <f>IF(B267="","",IF(G267="","",IFERROR(ROUND(G267-INDEX(Inventory!$H$5:$H$304,MATCH(D267,Inventory!$A$5:$A$304,0)),2),"")))</f>
        <v>0</v>
      </c>
      <c r="Y267" s="39">
        <f>IF(B267="","",IF(D267="","Add - which product?",IF(J267="","Add - no status yet",IF(IF(J267="Ordered",IF(K267="",FALSE,K267&lt;TodayDate),FALSE),"Late - expected and not arrived",IF(V267&gt;0,"Check - delivery came up short",IF(IF(X267="",FALSE,X267&gt;0),"Check - cost has gone up",IF(O267&lt;&gt;"Yes","Due - invoice not paid","OK")))))))</f>
        <v>0</v>
      </c>
    </row>
    <row r="268" spans="1:25">
      <c r="A268" s="28">
        <f>IF(B268="","",PurchasePrefix&amp;TEXT(ROW()-4,"0000"))</f>
        <v>0</v>
      </c>
      <c r="E268" s="15">
        <f>IF(D268="","",IFERROR(INDEX(Inventory!$B$5:$B$304,MATCH(D268,Inventory!$A$5:$A$304,0)),"Not in Inventory"))</f>
        <v>0</v>
      </c>
      <c r="Q268" s="15">
        <f>IF(B268="","",TEXT(B268,"yyyy-mm"))</f>
        <v>0</v>
      </c>
      <c r="R268" s="26">
        <f>IF(B268="","",IF(G268&lt;&gt;"",G268,IFERROR(INDEX(Inventory!$H$5:$H$304,MATCH(D268,Inventory!$A$5:$A$304,0))*1,0)))</f>
        <v>0</v>
      </c>
      <c r="S268" s="26">
        <f>IF(B268="","",ROUND(IF(F268="",0,F268)*R268,2))</f>
        <v>0</v>
      </c>
      <c r="T268" s="26">
        <f>IF(B268="","",ROUND(S268+IF(H268="",0,H268)+IF(I268="",0,I268),2))</f>
        <v>0</v>
      </c>
      <c r="U268" s="37">
        <f>IF(B268="","",IF(J268="Received",IF(M268&lt;&gt;"",M268,IF(F268="",0,F268)),IF(J268="Part received",IF(M268="",0,M268),0)))</f>
        <v>0</v>
      </c>
      <c r="V268" s="37">
        <f>IF(B268="","",IF(J268="Ordered","",IF(J268="Draft","",ROUND(IF(F268="",0,F268)-U268,2))))</f>
        <v>0</v>
      </c>
      <c r="W268" s="25">
        <f>IF(B268="","",IF(L268="","",L268-B268))</f>
        <v>0</v>
      </c>
      <c r="X268" s="26">
        <f>IF(B268="","",IF(G268="","",IFERROR(ROUND(G268-INDEX(Inventory!$H$5:$H$304,MATCH(D268,Inventory!$A$5:$A$304,0)),2),"")))</f>
        <v>0</v>
      </c>
      <c r="Y268" s="39">
        <f>IF(B268="","",IF(D268="","Add - which product?",IF(J268="","Add - no status yet",IF(IF(J268="Ordered",IF(K268="",FALSE,K268&lt;TodayDate),FALSE),"Late - expected and not arrived",IF(V268&gt;0,"Check - delivery came up short",IF(IF(X268="",FALSE,X268&gt;0),"Check - cost has gone up",IF(O268&lt;&gt;"Yes","Due - invoice not paid","OK")))))))</f>
        <v>0</v>
      </c>
    </row>
    <row r="269" spans="1:25">
      <c r="A269" s="28">
        <f>IF(B269="","",PurchasePrefix&amp;TEXT(ROW()-4,"0000"))</f>
        <v>0</v>
      </c>
      <c r="E269" s="15">
        <f>IF(D269="","",IFERROR(INDEX(Inventory!$B$5:$B$304,MATCH(D269,Inventory!$A$5:$A$304,0)),"Not in Inventory"))</f>
        <v>0</v>
      </c>
      <c r="Q269" s="15">
        <f>IF(B269="","",TEXT(B269,"yyyy-mm"))</f>
        <v>0</v>
      </c>
      <c r="R269" s="26">
        <f>IF(B269="","",IF(G269&lt;&gt;"",G269,IFERROR(INDEX(Inventory!$H$5:$H$304,MATCH(D269,Inventory!$A$5:$A$304,0))*1,0)))</f>
        <v>0</v>
      </c>
      <c r="S269" s="26">
        <f>IF(B269="","",ROUND(IF(F269="",0,F269)*R269,2))</f>
        <v>0</v>
      </c>
      <c r="T269" s="26">
        <f>IF(B269="","",ROUND(S269+IF(H269="",0,H269)+IF(I269="",0,I269),2))</f>
        <v>0</v>
      </c>
      <c r="U269" s="37">
        <f>IF(B269="","",IF(J269="Received",IF(M269&lt;&gt;"",M269,IF(F269="",0,F269)),IF(J269="Part received",IF(M269="",0,M269),0)))</f>
        <v>0</v>
      </c>
      <c r="V269" s="37">
        <f>IF(B269="","",IF(J269="Ordered","",IF(J269="Draft","",ROUND(IF(F269="",0,F269)-U269,2))))</f>
        <v>0</v>
      </c>
      <c r="W269" s="25">
        <f>IF(B269="","",IF(L269="","",L269-B269))</f>
        <v>0</v>
      </c>
      <c r="X269" s="26">
        <f>IF(B269="","",IF(G269="","",IFERROR(ROUND(G269-INDEX(Inventory!$H$5:$H$304,MATCH(D269,Inventory!$A$5:$A$304,0)),2),"")))</f>
        <v>0</v>
      </c>
      <c r="Y269" s="39">
        <f>IF(B269="","",IF(D269="","Add - which product?",IF(J269="","Add - no status yet",IF(IF(J269="Ordered",IF(K269="",FALSE,K269&lt;TodayDate),FALSE),"Late - expected and not arrived",IF(V269&gt;0,"Check - delivery came up short",IF(IF(X269="",FALSE,X269&gt;0),"Check - cost has gone up",IF(O269&lt;&gt;"Yes","Due - invoice not paid","OK")))))))</f>
        <v>0</v>
      </c>
    </row>
    <row r="270" spans="1:25">
      <c r="A270" s="28">
        <f>IF(B270="","",PurchasePrefix&amp;TEXT(ROW()-4,"0000"))</f>
        <v>0</v>
      </c>
      <c r="E270" s="15">
        <f>IF(D270="","",IFERROR(INDEX(Inventory!$B$5:$B$304,MATCH(D270,Inventory!$A$5:$A$304,0)),"Not in Inventory"))</f>
        <v>0</v>
      </c>
      <c r="Q270" s="15">
        <f>IF(B270="","",TEXT(B270,"yyyy-mm"))</f>
        <v>0</v>
      </c>
      <c r="R270" s="26">
        <f>IF(B270="","",IF(G270&lt;&gt;"",G270,IFERROR(INDEX(Inventory!$H$5:$H$304,MATCH(D270,Inventory!$A$5:$A$304,0))*1,0)))</f>
        <v>0</v>
      </c>
      <c r="S270" s="26">
        <f>IF(B270="","",ROUND(IF(F270="",0,F270)*R270,2))</f>
        <v>0</v>
      </c>
      <c r="T270" s="26">
        <f>IF(B270="","",ROUND(S270+IF(H270="",0,H270)+IF(I270="",0,I270),2))</f>
        <v>0</v>
      </c>
      <c r="U270" s="37">
        <f>IF(B270="","",IF(J270="Received",IF(M270&lt;&gt;"",M270,IF(F270="",0,F270)),IF(J270="Part received",IF(M270="",0,M270),0)))</f>
        <v>0</v>
      </c>
      <c r="V270" s="37">
        <f>IF(B270="","",IF(J270="Ordered","",IF(J270="Draft","",ROUND(IF(F270="",0,F270)-U270,2))))</f>
        <v>0</v>
      </c>
      <c r="W270" s="25">
        <f>IF(B270="","",IF(L270="","",L270-B270))</f>
        <v>0</v>
      </c>
      <c r="X270" s="26">
        <f>IF(B270="","",IF(G270="","",IFERROR(ROUND(G270-INDEX(Inventory!$H$5:$H$304,MATCH(D270,Inventory!$A$5:$A$304,0)),2),"")))</f>
        <v>0</v>
      </c>
      <c r="Y270" s="39">
        <f>IF(B270="","",IF(D270="","Add - which product?",IF(J270="","Add - no status yet",IF(IF(J270="Ordered",IF(K270="",FALSE,K270&lt;TodayDate),FALSE),"Late - expected and not arrived",IF(V270&gt;0,"Check - delivery came up short",IF(IF(X270="",FALSE,X270&gt;0),"Check - cost has gone up",IF(O270&lt;&gt;"Yes","Due - invoice not paid","OK")))))))</f>
        <v>0</v>
      </c>
    </row>
    <row r="271" spans="1:25">
      <c r="A271" s="28">
        <f>IF(B271="","",PurchasePrefix&amp;TEXT(ROW()-4,"0000"))</f>
        <v>0</v>
      </c>
      <c r="E271" s="15">
        <f>IF(D271="","",IFERROR(INDEX(Inventory!$B$5:$B$304,MATCH(D271,Inventory!$A$5:$A$304,0)),"Not in Inventory"))</f>
        <v>0</v>
      </c>
      <c r="Q271" s="15">
        <f>IF(B271="","",TEXT(B271,"yyyy-mm"))</f>
        <v>0</v>
      </c>
      <c r="R271" s="26">
        <f>IF(B271="","",IF(G271&lt;&gt;"",G271,IFERROR(INDEX(Inventory!$H$5:$H$304,MATCH(D271,Inventory!$A$5:$A$304,0))*1,0)))</f>
        <v>0</v>
      </c>
      <c r="S271" s="26">
        <f>IF(B271="","",ROUND(IF(F271="",0,F271)*R271,2))</f>
        <v>0</v>
      </c>
      <c r="T271" s="26">
        <f>IF(B271="","",ROUND(S271+IF(H271="",0,H271)+IF(I271="",0,I271),2))</f>
        <v>0</v>
      </c>
      <c r="U271" s="37">
        <f>IF(B271="","",IF(J271="Received",IF(M271&lt;&gt;"",M271,IF(F271="",0,F271)),IF(J271="Part received",IF(M271="",0,M271),0)))</f>
        <v>0</v>
      </c>
      <c r="V271" s="37">
        <f>IF(B271="","",IF(J271="Ordered","",IF(J271="Draft","",ROUND(IF(F271="",0,F271)-U271,2))))</f>
        <v>0</v>
      </c>
      <c r="W271" s="25">
        <f>IF(B271="","",IF(L271="","",L271-B271))</f>
        <v>0</v>
      </c>
      <c r="X271" s="26">
        <f>IF(B271="","",IF(G271="","",IFERROR(ROUND(G271-INDEX(Inventory!$H$5:$H$304,MATCH(D271,Inventory!$A$5:$A$304,0)),2),"")))</f>
        <v>0</v>
      </c>
      <c r="Y271" s="39">
        <f>IF(B271="","",IF(D271="","Add - which product?",IF(J271="","Add - no status yet",IF(IF(J271="Ordered",IF(K271="",FALSE,K271&lt;TodayDate),FALSE),"Late - expected and not arrived",IF(V271&gt;0,"Check - delivery came up short",IF(IF(X271="",FALSE,X271&gt;0),"Check - cost has gone up",IF(O271&lt;&gt;"Yes","Due - invoice not paid","OK")))))))</f>
        <v>0</v>
      </c>
    </row>
    <row r="272" spans="1:25">
      <c r="A272" s="28">
        <f>IF(B272="","",PurchasePrefix&amp;TEXT(ROW()-4,"0000"))</f>
        <v>0</v>
      </c>
      <c r="E272" s="15">
        <f>IF(D272="","",IFERROR(INDEX(Inventory!$B$5:$B$304,MATCH(D272,Inventory!$A$5:$A$304,0)),"Not in Inventory"))</f>
        <v>0</v>
      </c>
      <c r="Q272" s="15">
        <f>IF(B272="","",TEXT(B272,"yyyy-mm"))</f>
        <v>0</v>
      </c>
      <c r="R272" s="26">
        <f>IF(B272="","",IF(G272&lt;&gt;"",G272,IFERROR(INDEX(Inventory!$H$5:$H$304,MATCH(D272,Inventory!$A$5:$A$304,0))*1,0)))</f>
        <v>0</v>
      </c>
      <c r="S272" s="26">
        <f>IF(B272="","",ROUND(IF(F272="",0,F272)*R272,2))</f>
        <v>0</v>
      </c>
      <c r="T272" s="26">
        <f>IF(B272="","",ROUND(S272+IF(H272="",0,H272)+IF(I272="",0,I272),2))</f>
        <v>0</v>
      </c>
      <c r="U272" s="37">
        <f>IF(B272="","",IF(J272="Received",IF(M272&lt;&gt;"",M272,IF(F272="",0,F272)),IF(J272="Part received",IF(M272="",0,M272),0)))</f>
        <v>0</v>
      </c>
      <c r="V272" s="37">
        <f>IF(B272="","",IF(J272="Ordered","",IF(J272="Draft","",ROUND(IF(F272="",0,F272)-U272,2))))</f>
        <v>0</v>
      </c>
      <c r="W272" s="25">
        <f>IF(B272="","",IF(L272="","",L272-B272))</f>
        <v>0</v>
      </c>
      <c r="X272" s="26">
        <f>IF(B272="","",IF(G272="","",IFERROR(ROUND(G272-INDEX(Inventory!$H$5:$H$304,MATCH(D272,Inventory!$A$5:$A$304,0)),2),"")))</f>
        <v>0</v>
      </c>
      <c r="Y272" s="39">
        <f>IF(B272="","",IF(D272="","Add - which product?",IF(J272="","Add - no status yet",IF(IF(J272="Ordered",IF(K272="",FALSE,K272&lt;TodayDate),FALSE),"Late - expected and not arrived",IF(V272&gt;0,"Check - delivery came up short",IF(IF(X272="",FALSE,X272&gt;0),"Check - cost has gone up",IF(O272&lt;&gt;"Yes","Due - invoice not paid","OK")))))))</f>
        <v>0</v>
      </c>
    </row>
    <row r="273" spans="1:25">
      <c r="A273" s="28">
        <f>IF(B273="","",PurchasePrefix&amp;TEXT(ROW()-4,"0000"))</f>
        <v>0</v>
      </c>
      <c r="E273" s="15">
        <f>IF(D273="","",IFERROR(INDEX(Inventory!$B$5:$B$304,MATCH(D273,Inventory!$A$5:$A$304,0)),"Not in Inventory"))</f>
        <v>0</v>
      </c>
      <c r="Q273" s="15">
        <f>IF(B273="","",TEXT(B273,"yyyy-mm"))</f>
        <v>0</v>
      </c>
      <c r="R273" s="26">
        <f>IF(B273="","",IF(G273&lt;&gt;"",G273,IFERROR(INDEX(Inventory!$H$5:$H$304,MATCH(D273,Inventory!$A$5:$A$304,0))*1,0)))</f>
        <v>0</v>
      </c>
      <c r="S273" s="26">
        <f>IF(B273="","",ROUND(IF(F273="",0,F273)*R273,2))</f>
        <v>0</v>
      </c>
      <c r="T273" s="26">
        <f>IF(B273="","",ROUND(S273+IF(H273="",0,H273)+IF(I273="",0,I273),2))</f>
        <v>0</v>
      </c>
      <c r="U273" s="37">
        <f>IF(B273="","",IF(J273="Received",IF(M273&lt;&gt;"",M273,IF(F273="",0,F273)),IF(J273="Part received",IF(M273="",0,M273),0)))</f>
        <v>0</v>
      </c>
      <c r="V273" s="37">
        <f>IF(B273="","",IF(J273="Ordered","",IF(J273="Draft","",ROUND(IF(F273="",0,F273)-U273,2))))</f>
        <v>0</v>
      </c>
      <c r="W273" s="25">
        <f>IF(B273="","",IF(L273="","",L273-B273))</f>
        <v>0</v>
      </c>
      <c r="X273" s="26">
        <f>IF(B273="","",IF(G273="","",IFERROR(ROUND(G273-INDEX(Inventory!$H$5:$H$304,MATCH(D273,Inventory!$A$5:$A$304,0)),2),"")))</f>
        <v>0</v>
      </c>
      <c r="Y273" s="39">
        <f>IF(B273="","",IF(D273="","Add - which product?",IF(J273="","Add - no status yet",IF(IF(J273="Ordered",IF(K273="",FALSE,K273&lt;TodayDate),FALSE),"Late - expected and not arrived",IF(V273&gt;0,"Check - delivery came up short",IF(IF(X273="",FALSE,X273&gt;0),"Check - cost has gone up",IF(O273&lt;&gt;"Yes","Due - invoice not paid","OK")))))))</f>
        <v>0</v>
      </c>
    </row>
    <row r="274" spans="1:25">
      <c r="A274" s="28">
        <f>IF(B274="","",PurchasePrefix&amp;TEXT(ROW()-4,"0000"))</f>
        <v>0</v>
      </c>
      <c r="E274" s="15">
        <f>IF(D274="","",IFERROR(INDEX(Inventory!$B$5:$B$304,MATCH(D274,Inventory!$A$5:$A$304,0)),"Not in Inventory"))</f>
        <v>0</v>
      </c>
      <c r="Q274" s="15">
        <f>IF(B274="","",TEXT(B274,"yyyy-mm"))</f>
        <v>0</v>
      </c>
      <c r="R274" s="26">
        <f>IF(B274="","",IF(G274&lt;&gt;"",G274,IFERROR(INDEX(Inventory!$H$5:$H$304,MATCH(D274,Inventory!$A$5:$A$304,0))*1,0)))</f>
        <v>0</v>
      </c>
      <c r="S274" s="26">
        <f>IF(B274="","",ROUND(IF(F274="",0,F274)*R274,2))</f>
        <v>0</v>
      </c>
      <c r="T274" s="26">
        <f>IF(B274="","",ROUND(S274+IF(H274="",0,H274)+IF(I274="",0,I274),2))</f>
        <v>0</v>
      </c>
      <c r="U274" s="37">
        <f>IF(B274="","",IF(J274="Received",IF(M274&lt;&gt;"",M274,IF(F274="",0,F274)),IF(J274="Part received",IF(M274="",0,M274),0)))</f>
        <v>0</v>
      </c>
      <c r="V274" s="37">
        <f>IF(B274="","",IF(J274="Ordered","",IF(J274="Draft","",ROUND(IF(F274="",0,F274)-U274,2))))</f>
        <v>0</v>
      </c>
      <c r="W274" s="25">
        <f>IF(B274="","",IF(L274="","",L274-B274))</f>
        <v>0</v>
      </c>
      <c r="X274" s="26">
        <f>IF(B274="","",IF(G274="","",IFERROR(ROUND(G274-INDEX(Inventory!$H$5:$H$304,MATCH(D274,Inventory!$A$5:$A$304,0)),2),"")))</f>
        <v>0</v>
      </c>
      <c r="Y274" s="39">
        <f>IF(B274="","",IF(D274="","Add - which product?",IF(J274="","Add - no status yet",IF(IF(J274="Ordered",IF(K274="",FALSE,K274&lt;TodayDate),FALSE),"Late - expected and not arrived",IF(V274&gt;0,"Check - delivery came up short",IF(IF(X274="",FALSE,X274&gt;0),"Check - cost has gone up",IF(O274&lt;&gt;"Yes","Due - invoice not paid","OK")))))))</f>
        <v>0</v>
      </c>
    </row>
    <row r="275" spans="1:25">
      <c r="A275" s="28">
        <f>IF(B275="","",PurchasePrefix&amp;TEXT(ROW()-4,"0000"))</f>
        <v>0</v>
      </c>
      <c r="E275" s="15">
        <f>IF(D275="","",IFERROR(INDEX(Inventory!$B$5:$B$304,MATCH(D275,Inventory!$A$5:$A$304,0)),"Not in Inventory"))</f>
        <v>0</v>
      </c>
      <c r="Q275" s="15">
        <f>IF(B275="","",TEXT(B275,"yyyy-mm"))</f>
        <v>0</v>
      </c>
      <c r="R275" s="26">
        <f>IF(B275="","",IF(G275&lt;&gt;"",G275,IFERROR(INDEX(Inventory!$H$5:$H$304,MATCH(D275,Inventory!$A$5:$A$304,0))*1,0)))</f>
        <v>0</v>
      </c>
      <c r="S275" s="26">
        <f>IF(B275="","",ROUND(IF(F275="",0,F275)*R275,2))</f>
        <v>0</v>
      </c>
      <c r="T275" s="26">
        <f>IF(B275="","",ROUND(S275+IF(H275="",0,H275)+IF(I275="",0,I275),2))</f>
        <v>0</v>
      </c>
      <c r="U275" s="37">
        <f>IF(B275="","",IF(J275="Received",IF(M275&lt;&gt;"",M275,IF(F275="",0,F275)),IF(J275="Part received",IF(M275="",0,M275),0)))</f>
        <v>0</v>
      </c>
      <c r="V275" s="37">
        <f>IF(B275="","",IF(J275="Ordered","",IF(J275="Draft","",ROUND(IF(F275="",0,F275)-U275,2))))</f>
        <v>0</v>
      </c>
      <c r="W275" s="25">
        <f>IF(B275="","",IF(L275="","",L275-B275))</f>
        <v>0</v>
      </c>
      <c r="X275" s="26">
        <f>IF(B275="","",IF(G275="","",IFERROR(ROUND(G275-INDEX(Inventory!$H$5:$H$304,MATCH(D275,Inventory!$A$5:$A$304,0)),2),"")))</f>
        <v>0</v>
      </c>
      <c r="Y275" s="39">
        <f>IF(B275="","",IF(D275="","Add - which product?",IF(J275="","Add - no status yet",IF(IF(J275="Ordered",IF(K275="",FALSE,K275&lt;TodayDate),FALSE),"Late - expected and not arrived",IF(V275&gt;0,"Check - delivery came up short",IF(IF(X275="",FALSE,X275&gt;0),"Check - cost has gone up",IF(O275&lt;&gt;"Yes","Due - invoice not paid","OK")))))))</f>
        <v>0</v>
      </c>
    </row>
    <row r="276" spans="1:25">
      <c r="A276" s="28">
        <f>IF(B276="","",PurchasePrefix&amp;TEXT(ROW()-4,"0000"))</f>
        <v>0</v>
      </c>
      <c r="E276" s="15">
        <f>IF(D276="","",IFERROR(INDEX(Inventory!$B$5:$B$304,MATCH(D276,Inventory!$A$5:$A$304,0)),"Not in Inventory"))</f>
        <v>0</v>
      </c>
      <c r="Q276" s="15">
        <f>IF(B276="","",TEXT(B276,"yyyy-mm"))</f>
        <v>0</v>
      </c>
      <c r="R276" s="26">
        <f>IF(B276="","",IF(G276&lt;&gt;"",G276,IFERROR(INDEX(Inventory!$H$5:$H$304,MATCH(D276,Inventory!$A$5:$A$304,0))*1,0)))</f>
        <v>0</v>
      </c>
      <c r="S276" s="26">
        <f>IF(B276="","",ROUND(IF(F276="",0,F276)*R276,2))</f>
        <v>0</v>
      </c>
      <c r="T276" s="26">
        <f>IF(B276="","",ROUND(S276+IF(H276="",0,H276)+IF(I276="",0,I276),2))</f>
        <v>0</v>
      </c>
      <c r="U276" s="37">
        <f>IF(B276="","",IF(J276="Received",IF(M276&lt;&gt;"",M276,IF(F276="",0,F276)),IF(J276="Part received",IF(M276="",0,M276),0)))</f>
        <v>0</v>
      </c>
      <c r="V276" s="37">
        <f>IF(B276="","",IF(J276="Ordered","",IF(J276="Draft","",ROUND(IF(F276="",0,F276)-U276,2))))</f>
        <v>0</v>
      </c>
      <c r="W276" s="25">
        <f>IF(B276="","",IF(L276="","",L276-B276))</f>
        <v>0</v>
      </c>
      <c r="X276" s="26">
        <f>IF(B276="","",IF(G276="","",IFERROR(ROUND(G276-INDEX(Inventory!$H$5:$H$304,MATCH(D276,Inventory!$A$5:$A$304,0)),2),"")))</f>
        <v>0</v>
      </c>
      <c r="Y276" s="39">
        <f>IF(B276="","",IF(D276="","Add - which product?",IF(J276="","Add - no status yet",IF(IF(J276="Ordered",IF(K276="",FALSE,K276&lt;TodayDate),FALSE),"Late - expected and not arrived",IF(V276&gt;0,"Check - delivery came up short",IF(IF(X276="",FALSE,X276&gt;0),"Check - cost has gone up",IF(O276&lt;&gt;"Yes","Due - invoice not paid","OK")))))))</f>
        <v>0</v>
      </c>
    </row>
    <row r="277" spans="1:25">
      <c r="A277" s="28">
        <f>IF(B277="","",PurchasePrefix&amp;TEXT(ROW()-4,"0000"))</f>
        <v>0</v>
      </c>
      <c r="E277" s="15">
        <f>IF(D277="","",IFERROR(INDEX(Inventory!$B$5:$B$304,MATCH(D277,Inventory!$A$5:$A$304,0)),"Not in Inventory"))</f>
        <v>0</v>
      </c>
      <c r="Q277" s="15">
        <f>IF(B277="","",TEXT(B277,"yyyy-mm"))</f>
        <v>0</v>
      </c>
      <c r="R277" s="26">
        <f>IF(B277="","",IF(G277&lt;&gt;"",G277,IFERROR(INDEX(Inventory!$H$5:$H$304,MATCH(D277,Inventory!$A$5:$A$304,0))*1,0)))</f>
        <v>0</v>
      </c>
      <c r="S277" s="26">
        <f>IF(B277="","",ROUND(IF(F277="",0,F277)*R277,2))</f>
        <v>0</v>
      </c>
      <c r="T277" s="26">
        <f>IF(B277="","",ROUND(S277+IF(H277="",0,H277)+IF(I277="",0,I277),2))</f>
        <v>0</v>
      </c>
      <c r="U277" s="37">
        <f>IF(B277="","",IF(J277="Received",IF(M277&lt;&gt;"",M277,IF(F277="",0,F277)),IF(J277="Part received",IF(M277="",0,M277),0)))</f>
        <v>0</v>
      </c>
      <c r="V277" s="37">
        <f>IF(B277="","",IF(J277="Ordered","",IF(J277="Draft","",ROUND(IF(F277="",0,F277)-U277,2))))</f>
        <v>0</v>
      </c>
      <c r="W277" s="25">
        <f>IF(B277="","",IF(L277="","",L277-B277))</f>
        <v>0</v>
      </c>
      <c r="X277" s="26">
        <f>IF(B277="","",IF(G277="","",IFERROR(ROUND(G277-INDEX(Inventory!$H$5:$H$304,MATCH(D277,Inventory!$A$5:$A$304,0)),2),"")))</f>
        <v>0</v>
      </c>
      <c r="Y277" s="39">
        <f>IF(B277="","",IF(D277="","Add - which product?",IF(J277="","Add - no status yet",IF(IF(J277="Ordered",IF(K277="",FALSE,K277&lt;TodayDate),FALSE),"Late - expected and not arrived",IF(V277&gt;0,"Check - delivery came up short",IF(IF(X277="",FALSE,X277&gt;0),"Check - cost has gone up",IF(O277&lt;&gt;"Yes","Due - invoice not paid","OK")))))))</f>
        <v>0</v>
      </c>
    </row>
    <row r="278" spans="1:25">
      <c r="A278" s="28">
        <f>IF(B278="","",PurchasePrefix&amp;TEXT(ROW()-4,"0000"))</f>
        <v>0</v>
      </c>
      <c r="E278" s="15">
        <f>IF(D278="","",IFERROR(INDEX(Inventory!$B$5:$B$304,MATCH(D278,Inventory!$A$5:$A$304,0)),"Not in Inventory"))</f>
        <v>0</v>
      </c>
      <c r="Q278" s="15">
        <f>IF(B278="","",TEXT(B278,"yyyy-mm"))</f>
        <v>0</v>
      </c>
      <c r="R278" s="26">
        <f>IF(B278="","",IF(G278&lt;&gt;"",G278,IFERROR(INDEX(Inventory!$H$5:$H$304,MATCH(D278,Inventory!$A$5:$A$304,0))*1,0)))</f>
        <v>0</v>
      </c>
      <c r="S278" s="26">
        <f>IF(B278="","",ROUND(IF(F278="",0,F278)*R278,2))</f>
        <v>0</v>
      </c>
      <c r="T278" s="26">
        <f>IF(B278="","",ROUND(S278+IF(H278="",0,H278)+IF(I278="",0,I278),2))</f>
        <v>0</v>
      </c>
      <c r="U278" s="37">
        <f>IF(B278="","",IF(J278="Received",IF(M278&lt;&gt;"",M278,IF(F278="",0,F278)),IF(J278="Part received",IF(M278="",0,M278),0)))</f>
        <v>0</v>
      </c>
      <c r="V278" s="37">
        <f>IF(B278="","",IF(J278="Ordered","",IF(J278="Draft","",ROUND(IF(F278="",0,F278)-U278,2))))</f>
        <v>0</v>
      </c>
      <c r="W278" s="25">
        <f>IF(B278="","",IF(L278="","",L278-B278))</f>
        <v>0</v>
      </c>
      <c r="X278" s="26">
        <f>IF(B278="","",IF(G278="","",IFERROR(ROUND(G278-INDEX(Inventory!$H$5:$H$304,MATCH(D278,Inventory!$A$5:$A$304,0)),2),"")))</f>
        <v>0</v>
      </c>
      <c r="Y278" s="39">
        <f>IF(B278="","",IF(D278="","Add - which product?",IF(J278="","Add - no status yet",IF(IF(J278="Ordered",IF(K278="",FALSE,K278&lt;TodayDate),FALSE),"Late - expected and not arrived",IF(V278&gt;0,"Check - delivery came up short",IF(IF(X278="",FALSE,X278&gt;0),"Check - cost has gone up",IF(O278&lt;&gt;"Yes","Due - invoice not paid","OK")))))))</f>
        <v>0</v>
      </c>
    </row>
    <row r="279" spans="1:25">
      <c r="A279" s="28">
        <f>IF(B279="","",PurchasePrefix&amp;TEXT(ROW()-4,"0000"))</f>
        <v>0</v>
      </c>
      <c r="E279" s="15">
        <f>IF(D279="","",IFERROR(INDEX(Inventory!$B$5:$B$304,MATCH(D279,Inventory!$A$5:$A$304,0)),"Not in Inventory"))</f>
        <v>0</v>
      </c>
      <c r="Q279" s="15">
        <f>IF(B279="","",TEXT(B279,"yyyy-mm"))</f>
        <v>0</v>
      </c>
      <c r="R279" s="26">
        <f>IF(B279="","",IF(G279&lt;&gt;"",G279,IFERROR(INDEX(Inventory!$H$5:$H$304,MATCH(D279,Inventory!$A$5:$A$304,0))*1,0)))</f>
        <v>0</v>
      </c>
      <c r="S279" s="26">
        <f>IF(B279="","",ROUND(IF(F279="",0,F279)*R279,2))</f>
        <v>0</v>
      </c>
      <c r="T279" s="26">
        <f>IF(B279="","",ROUND(S279+IF(H279="",0,H279)+IF(I279="",0,I279),2))</f>
        <v>0</v>
      </c>
      <c r="U279" s="37">
        <f>IF(B279="","",IF(J279="Received",IF(M279&lt;&gt;"",M279,IF(F279="",0,F279)),IF(J279="Part received",IF(M279="",0,M279),0)))</f>
        <v>0</v>
      </c>
      <c r="V279" s="37">
        <f>IF(B279="","",IF(J279="Ordered","",IF(J279="Draft","",ROUND(IF(F279="",0,F279)-U279,2))))</f>
        <v>0</v>
      </c>
      <c r="W279" s="25">
        <f>IF(B279="","",IF(L279="","",L279-B279))</f>
        <v>0</v>
      </c>
      <c r="X279" s="26">
        <f>IF(B279="","",IF(G279="","",IFERROR(ROUND(G279-INDEX(Inventory!$H$5:$H$304,MATCH(D279,Inventory!$A$5:$A$304,0)),2),"")))</f>
        <v>0</v>
      </c>
      <c r="Y279" s="39">
        <f>IF(B279="","",IF(D279="","Add - which product?",IF(J279="","Add - no status yet",IF(IF(J279="Ordered",IF(K279="",FALSE,K279&lt;TodayDate),FALSE),"Late - expected and not arrived",IF(V279&gt;0,"Check - delivery came up short",IF(IF(X279="",FALSE,X279&gt;0),"Check - cost has gone up",IF(O279&lt;&gt;"Yes","Due - invoice not paid","OK")))))))</f>
        <v>0</v>
      </c>
    </row>
    <row r="280" spans="1:25">
      <c r="A280" s="28">
        <f>IF(B280="","",PurchasePrefix&amp;TEXT(ROW()-4,"0000"))</f>
        <v>0</v>
      </c>
      <c r="E280" s="15">
        <f>IF(D280="","",IFERROR(INDEX(Inventory!$B$5:$B$304,MATCH(D280,Inventory!$A$5:$A$304,0)),"Not in Inventory"))</f>
        <v>0</v>
      </c>
      <c r="Q280" s="15">
        <f>IF(B280="","",TEXT(B280,"yyyy-mm"))</f>
        <v>0</v>
      </c>
      <c r="R280" s="26">
        <f>IF(B280="","",IF(G280&lt;&gt;"",G280,IFERROR(INDEX(Inventory!$H$5:$H$304,MATCH(D280,Inventory!$A$5:$A$304,0))*1,0)))</f>
        <v>0</v>
      </c>
      <c r="S280" s="26">
        <f>IF(B280="","",ROUND(IF(F280="",0,F280)*R280,2))</f>
        <v>0</v>
      </c>
      <c r="T280" s="26">
        <f>IF(B280="","",ROUND(S280+IF(H280="",0,H280)+IF(I280="",0,I280),2))</f>
        <v>0</v>
      </c>
      <c r="U280" s="37">
        <f>IF(B280="","",IF(J280="Received",IF(M280&lt;&gt;"",M280,IF(F280="",0,F280)),IF(J280="Part received",IF(M280="",0,M280),0)))</f>
        <v>0</v>
      </c>
      <c r="V280" s="37">
        <f>IF(B280="","",IF(J280="Ordered","",IF(J280="Draft","",ROUND(IF(F280="",0,F280)-U280,2))))</f>
        <v>0</v>
      </c>
      <c r="W280" s="25">
        <f>IF(B280="","",IF(L280="","",L280-B280))</f>
        <v>0</v>
      </c>
      <c r="X280" s="26">
        <f>IF(B280="","",IF(G280="","",IFERROR(ROUND(G280-INDEX(Inventory!$H$5:$H$304,MATCH(D280,Inventory!$A$5:$A$304,0)),2),"")))</f>
        <v>0</v>
      </c>
      <c r="Y280" s="39">
        <f>IF(B280="","",IF(D280="","Add - which product?",IF(J280="","Add - no status yet",IF(IF(J280="Ordered",IF(K280="",FALSE,K280&lt;TodayDate),FALSE),"Late - expected and not arrived",IF(V280&gt;0,"Check - delivery came up short",IF(IF(X280="",FALSE,X280&gt;0),"Check - cost has gone up",IF(O280&lt;&gt;"Yes","Due - invoice not paid","OK")))))))</f>
        <v>0</v>
      </c>
    </row>
    <row r="281" spans="1:25">
      <c r="A281" s="28">
        <f>IF(B281="","",PurchasePrefix&amp;TEXT(ROW()-4,"0000"))</f>
        <v>0</v>
      </c>
      <c r="E281" s="15">
        <f>IF(D281="","",IFERROR(INDEX(Inventory!$B$5:$B$304,MATCH(D281,Inventory!$A$5:$A$304,0)),"Not in Inventory"))</f>
        <v>0</v>
      </c>
      <c r="Q281" s="15">
        <f>IF(B281="","",TEXT(B281,"yyyy-mm"))</f>
        <v>0</v>
      </c>
      <c r="R281" s="26">
        <f>IF(B281="","",IF(G281&lt;&gt;"",G281,IFERROR(INDEX(Inventory!$H$5:$H$304,MATCH(D281,Inventory!$A$5:$A$304,0))*1,0)))</f>
        <v>0</v>
      </c>
      <c r="S281" s="26">
        <f>IF(B281="","",ROUND(IF(F281="",0,F281)*R281,2))</f>
        <v>0</v>
      </c>
      <c r="T281" s="26">
        <f>IF(B281="","",ROUND(S281+IF(H281="",0,H281)+IF(I281="",0,I281),2))</f>
        <v>0</v>
      </c>
      <c r="U281" s="37">
        <f>IF(B281="","",IF(J281="Received",IF(M281&lt;&gt;"",M281,IF(F281="",0,F281)),IF(J281="Part received",IF(M281="",0,M281),0)))</f>
        <v>0</v>
      </c>
      <c r="V281" s="37">
        <f>IF(B281="","",IF(J281="Ordered","",IF(J281="Draft","",ROUND(IF(F281="",0,F281)-U281,2))))</f>
        <v>0</v>
      </c>
      <c r="W281" s="25">
        <f>IF(B281="","",IF(L281="","",L281-B281))</f>
        <v>0</v>
      </c>
      <c r="X281" s="26">
        <f>IF(B281="","",IF(G281="","",IFERROR(ROUND(G281-INDEX(Inventory!$H$5:$H$304,MATCH(D281,Inventory!$A$5:$A$304,0)),2),"")))</f>
        <v>0</v>
      </c>
      <c r="Y281" s="39">
        <f>IF(B281="","",IF(D281="","Add - which product?",IF(J281="","Add - no status yet",IF(IF(J281="Ordered",IF(K281="",FALSE,K281&lt;TodayDate),FALSE),"Late - expected and not arrived",IF(V281&gt;0,"Check - delivery came up short",IF(IF(X281="",FALSE,X281&gt;0),"Check - cost has gone up",IF(O281&lt;&gt;"Yes","Due - invoice not paid","OK")))))))</f>
        <v>0</v>
      </c>
    </row>
    <row r="282" spans="1:25">
      <c r="A282" s="28">
        <f>IF(B282="","",PurchasePrefix&amp;TEXT(ROW()-4,"0000"))</f>
        <v>0</v>
      </c>
      <c r="E282" s="15">
        <f>IF(D282="","",IFERROR(INDEX(Inventory!$B$5:$B$304,MATCH(D282,Inventory!$A$5:$A$304,0)),"Not in Inventory"))</f>
        <v>0</v>
      </c>
      <c r="Q282" s="15">
        <f>IF(B282="","",TEXT(B282,"yyyy-mm"))</f>
        <v>0</v>
      </c>
      <c r="R282" s="26">
        <f>IF(B282="","",IF(G282&lt;&gt;"",G282,IFERROR(INDEX(Inventory!$H$5:$H$304,MATCH(D282,Inventory!$A$5:$A$304,0))*1,0)))</f>
        <v>0</v>
      </c>
      <c r="S282" s="26">
        <f>IF(B282="","",ROUND(IF(F282="",0,F282)*R282,2))</f>
        <v>0</v>
      </c>
      <c r="T282" s="26">
        <f>IF(B282="","",ROUND(S282+IF(H282="",0,H282)+IF(I282="",0,I282),2))</f>
        <v>0</v>
      </c>
      <c r="U282" s="37">
        <f>IF(B282="","",IF(J282="Received",IF(M282&lt;&gt;"",M282,IF(F282="",0,F282)),IF(J282="Part received",IF(M282="",0,M282),0)))</f>
        <v>0</v>
      </c>
      <c r="V282" s="37">
        <f>IF(B282="","",IF(J282="Ordered","",IF(J282="Draft","",ROUND(IF(F282="",0,F282)-U282,2))))</f>
        <v>0</v>
      </c>
      <c r="W282" s="25">
        <f>IF(B282="","",IF(L282="","",L282-B282))</f>
        <v>0</v>
      </c>
      <c r="X282" s="26">
        <f>IF(B282="","",IF(G282="","",IFERROR(ROUND(G282-INDEX(Inventory!$H$5:$H$304,MATCH(D282,Inventory!$A$5:$A$304,0)),2),"")))</f>
        <v>0</v>
      </c>
      <c r="Y282" s="39">
        <f>IF(B282="","",IF(D282="","Add - which product?",IF(J282="","Add - no status yet",IF(IF(J282="Ordered",IF(K282="",FALSE,K282&lt;TodayDate),FALSE),"Late - expected and not arrived",IF(V282&gt;0,"Check - delivery came up short",IF(IF(X282="",FALSE,X282&gt;0),"Check - cost has gone up",IF(O282&lt;&gt;"Yes","Due - invoice not paid","OK")))))))</f>
        <v>0</v>
      </c>
    </row>
    <row r="283" spans="1:25">
      <c r="A283" s="28">
        <f>IF(B283="","",PurchasePrefix&amp;TEXT(ROW()-4,"0000"))</f>
        <v>0</v>
      </c>
      <c r="E283" s="15">
        <f>IF(D283="","",IFERROR(INDEX(Inventory!$B$5:$B$304,MATCH(D283,Inventory!$A$5:$A$304,0)),"Not in Inventory"))</f>
        <v>0</v>
      </c>
      <c r="Q283" s="15">
        <f>IF(B283="","",TEXT(B283,"yyyy-mm"))</f>
        <v>0</v>
      </c>
      <c r="R283" s="26">
        <f>IF(B283="","",IF(G283&lt;&gt;"",G283,IFERROR(INDEX(Inventory!$H$5:$H$304,MATCH(D283,Inventory!$A$5:$A$304,0))*1,0)))</f>
        <v>0</v>
      </c>
      <c r="S283" s="26">
        <f>IF(B283="","",ROUND(IF(F283="",0,F283)*R283,2))</f>
        <v>0</v>
      </c>
      <c r="T283" s="26">
        <f>IF(B283="","",ROUND(S283+IF(H283="",0,H283)+IF(I283="",0,I283),2))</f>
        <v>0</v>
      </c>
      <c r="U283" s="37">
        <f>IF(B283="","",IF(J283="Received",IF(M283&lt;&gt;"",M283,IF(F283="",0,F283)),IF(J283="Part received",IF(M283="",0,M283),0)))</f>
        <v>0</v>
      </c>
      <c r="V283" s="37">
        <f>IF(B283="","",IF(J283="Ordered","",IF(J283="Draft","",ROUND(IF(F283="",0,F283)-U283,2))))</f>
        <v>0</v>
      </c>
      <c r="W283" s="25">
        <f>IF(B283="","",IF(L283="","",L283-B283))</f>
        <v>0</v>
      </c>
      <c r="X283" s="26">
        <f>IF(B283="","",IF(G283="","",IFERROR(ROUND(G283-INDEX(Inventory!$H$5:$H$304,MATCH(D283,Inventory!$A$5:$A$304,0)),2),"")))</f>
        <v>0</v>
      </c>
      <c r="Y283" s="39">
        <f>IF(B283="","",IF(D283="","Add - which product?",IF(J283="","Add - no status yet",IF(IF(J283="Ordered",IF(K283="",FALSE,K283&lt;TodayDate),FALSE),"Late - expected and not arrived",IF(V283&gt;0,"Check - delivery came up short",IF(IF(X283="",FALSE,X283&gt;0),"Check - cost has gone up",IF(O283&lt;&gt;"Yes","Due - invoice not paid","OK")))))))</f>
        <v>0</v>
      </c>
    </row>
    <row r="284" spans="1:25">
      <c r="A284" s="28">
        <f>IF(B284="","",PurchasePrefix&amp;TEXT(ROW()-4,"0000"))</f>
        <v>0</v>
      </c>
      <c r="E284" s="15">
        <f>IF(D284="","",IFERROR(INDEX(Inventory!$B$5:$B$304,MATCH(D284,Inventory!$A$5:$A$304,0)),"Not in Inventory"))</f>
        <v>0</v>
      </c>
      <c r="Q284" s="15">
        <f>IF(B284="","",TEXT(B284,"yyyy-mm"))</f>
        <v>0</v>
      </c>
      <c r="R284" s="26">
        <f>IF(B284="","",IF(G284&lt;&gt;"",G284,IFERROR(INDEX(Inventory!$H$5:$H$304,MATCH(D284,Inventory!$A$5:$A$304,0))*1,0)))</f>
        <v>0</v>
      </c>
      <c r="S284" s="26">
        <f>IF(B284="","",ROUND(IF(F284="",0,F284)*R284,2))</f>
        <v>0</v>
      </c>
      <c r="T284" s="26">
        <f>IF(B284="","",ROUND(S284+IF(H284="",0,H284)+IF(I284="",0,I284),2))</f>
        <v>0</v>
      </c>
      <c r="U284" s="37">
        <f>IF(B284="","",IF(J284="Received",IF(M284&lt;&gt;"",M284,IF(F284="",0,F284)),IF(J284="Part received",IF(M284="",0,M284),0)))</f>
        <v>0</v>
      </c>
      <c r="V284" s="37">
        <f>IF(B284="","",IF(J284="Ordered","",IF(J284="Draft","",ROUND(IF(F284="",0,F284)-U284,2))))</f>
        <v>0</v>
      </c>
      <c r="W284" s="25">
        <f>IF(B284="","",IF(L284="","",L284-B284))</f>
        <v>0</v>
      </c>
      <c r="X284" s="26">
        <f>IF(B284="","",IF(G284="","",IFERROR(ROUND(G284-INDEX(Inventory!$H$5:$H$304,MATCH(D284,Inventory!$A$5:$A$304,0)),2),"")))</f>
        <v>0</v>
      </c>
      <c r="Y284" s="39">
        <f>IF(B284="","",IF(D284="","Add - which product?",IF(J284="","Add - no status yet",IF(IF(J284="Ordered",IF(K284="",FALSE,K284&lt;TodayDate),FALSE),"Late - expected and not arrived",IF(V284&gt;0,"Check - delivery came up short",IF(IF(X284="",FALSE,X284&gt;0),"Check - cost has gone up",IF(O284&lt;&gt;"Yes","Due - invoice not paid","OK")))))))</f>
        <v>0</v>
      </c>
    </row>
    <row r="285" spans="1:25">
      <c r="A285" s="28">
        <f>IF(B285="","",PurchasePrefix&amp;TEXT(ROW()-4,"0000"))</f>
        <v>0</v>
      </c>
      <c r="E285" s="15">
        <f>IF(D285="","",IFERROR(INDEX(Inventory!$B$5:$B$304,MATCH(D285,Inventory!$A$5:$A$304,0)),"Not in Inventory"))</f>
        <v>0</v>
      </c>
      <c r="Q285" s="15">
        <f>IF(B285="","",TEXT(B285,"yyyy-mm"))</f>
        <v>0</v>
      </c>
      <c r="R285" s="26">
        <f>IF(B285="","",IF(G285&lt;&gt;"",G285,IFERROR(INDEX(Inventory!$H$5:$H$304,MATCH(D285,Inventory!$A$5:$A$304,0))*1,0)))</f>
        <v>0</v>
      </c>
      <c r="S285" s="26">
        <f>IF(B285="","",ROUND(IF(F285="",0,F285)*R285,2))</f>
        <v>0</v>
      </c>
      <c r="T285" s="26">
        <f>IF(B285="","",ROUND(S285+IF(H285="",0,H285)+IF(I285="",0,I285),2))</f>
        <v>0</v>
      </c>
      <c r="U285" s="37">
        <f>IF(B285="","",IF(J285="Received",IF(M285&lt;&gt;"",M285,IF(F285="",0,F285)),IF(J285="Part received",IF(M285="",0,M285),0)))</f>
        <v>0</v>
      </c>
      <c r="V285" s="37">
        <f>IF(B285="","",IF(J285="Ordered","",IF(J285="Draft","",ROUND(IF(F285="",0,F285)-U285,2))))</f>
        <v>0</v>
      </c>
      <c r="W285" s="25">
        <f>IF(B285="","",IF(L285="","",L285-B285))</f>
        <v>0</v>
      </c>
      <c r="X285" s="26">
        <f>IF(B285="","",IF(G285="","",IFERROR(ROUND(G285-INDEX(Inventory!$H$5:$H$304,MATCH(D285,Inventory!$A$5:$A$304,0)),2),"")))</f>
        <v>0</v>
      </c>
      <c r="Y285" s="39">
        <f>IF(B285="","",IF(D285="","Add - which product?",IF(J285="","Add - no status yet",IF(IF(J285="Ordered",IF(K285="",FALSE,K285&lt;TodayDate),FALSE),"Late - expected and not arrived",IF(V285&gt;0,"Check - delivery came up short",IF(IF(X285="",FALSE,X285&gt;0),"Check - cost has gone up",IF(O285&lt;&gt;"Yes","Due - invoice not paid","OK")))))))</f>
        <v>0</v>
      </c>
    </row>
    <row r="286" spans="1:25">
      <c r="A286" s="28">
        <f>IF(B286="","",PurchasePrefix&amp;TEXT(ROW()-4,"0000"))</f>
        <v>0</v>
      </c>
      <c r="E286" s="15">
        <f>IF(D286="","",IFERROR(INDEX(Inventory!$B$5:$B$304,MATCH(D286,Inventory!$A$5:$A$304,0)),"Not in Inventory"))</f>
        <v>0</v>
      </c>
      <c r="Q286" s="15">
        <f>IF(B286="","",TEXT(B286,"yyyy-mm"))</f>
        <v>0</v>
      </c>
      <c r="R286" s="26">
        <f>IF(B286="","",IF(G286&lt;&gt;"",G286,IFERROR(INDEX(Inventory!$H$5:$H$304,MATCH(D286,Inventory!$A$5:$A$304,0))*1,0)))</f>
        <v>0</v>
      </c>
      <c r="S286" s="26">
        <f>IF(B286="","",ROUND(IF(F286="",0,F286)*R286,2))</f>
        <v>0</v>
      </c>
      <c r="T286" s="26">
        <f>IF(B286="","",ROUND(S286+IF(H286="",0,H286)+IF(I286="",0,I286),2))</f>
        <v>0</v>
      </c>
      <c r="U286" s="37">
        <f>IF(B286="","",IF(J286="Received",IF(M286&lt;&gt;"",M286,IF(F286="",0,F286)),IF(J286="Part received",IF(M286="",0,M286),0)))</f>
        <v>0</v>
      </c>
      <c r="V286" s="37">
        <f>IF(B286="","",IF(J286="Ordered","",IF(J286="Draft","",ROUND(IF(F286="",0,F286)-U286,2))))</f>
        <v>0</v>
      </c>
      <c r="W286" s="25">
        <f>IF(B286="","",IF(L286="","",L286-B286))</f>
        <v>0</v>
      </c>
      <c r="X286" s="26">
        <f>IF(B286="","",IF(G286="","",IFERROR(ROUND(G286-INDEX(Inventory!$H$5:$H$304,MATCH(D286,Inventory!$A$5:$A$304,0)),2),"")))</f>
        <v>0</v>
      </c>
      <c r="Y286" s="39">
        <f>IF(B286="","",IF(D286="","Add - which product?",IF(J286="","Add - no status yet",IF(IF(J286="Ordered",IF(K286="",FALSE,K286&lt;TodayDate),FALSE),"Late - expected and not arrived",IF(V286&gt;0,"Check - delivery came up short",IF(IF(X286="",FALSE,X286&gt;0),"Check - cost has gone up",IF(O286&lt;&gt;"Yes","Due - invoice not paid","OK")))))))</f>
        <v>0</v>
      </c>
    </row>
    <row r="287" spans="1:25">
      <c r="A287" s="28">
        <f>IF(B287="","",PurchasePrefix&amp;TEXT(ROW()-4,"0000"))</f>
        <v>0</v>
      </c>
      <c r="E287" s="15">
        <f>IF(D287="","",IFERROR(INDEX(Inventory!$B$5:$B$304,MATCH(D287,Inventory!$A$5:$A$304,0)),"Not in Inventory"))</f>
        <v>0</v>
      </c>
      <c r="Q287" s="15">
        <f>IF(B287="","",TEXT(B287,"yyyy-mm"))</f>
        <v>0</v>
      </c>
      <c r="R287" s="26">
        <f>IF(B287="","",IF(G287&lt;&gt;"",G287,IFERROR(INDEX(Inventory!$H$5:$H$304,MATCH(D287,Inventory!$A$5:$A$304,0))*1,0)))</f>
        <v>0</v>
      </c>
      <c r="S287" s="26">
        <f>IF(B287="","",ROUND(IF(F287="",0,F287)*R287,2))</f>
        <v>0</v>
      </c>
      <c r="T287" s="26">
        <f>IF(B287="","",ROUND(S287+IF(H287="",0,H287)+IF(I287="",0,I287),2))</f>
        <v>0</v>
      </c>
      <c r="U287" s="37">
        <f>IF(B287="","",IF(J287="Received",IF(M287&lt;&gt;"",M287,IF(F287="",0,F287)),IF(J287="Part received",IF(M287="",0,M287),0)))</f>
        <v>0</v>
      </c>
      <c r="V287" s="37">
        <f>IF(B287="","",IF(J287="Ordered","",IF(J287="Draft","",ROUND(IF(F287="",0,F287)-U287,2))))</f>
        <v>0</v>
      </c>
      <c r="W287" s="25">
        <f>IF(B287="","",IF(L287="","",L287-B287))</f>
        <v>0</v>
      </c>
      <c r="X287" s="26">
        <f>IF(B287="","",IF(G287="","",IFERROR(ROUND(G287-INDEX(Inventory!$H$5:$H$304,MATCH(D287,Inventory!$A$5:$A$304,0)),2),"")))</f>
        <v>0</v>
      </c>
      <c r="Y287" s="39">
        <f>IF(B287="","",IF(D287="","Add - which product?",IF(J287="","Add - no status yet",IF(IF(J287="Ordered",IF(K287="",FALSE,K287&lt;TodayDate),FALSE),"Late - expected and not arrived",IF(V287&gt;0,"Check - delivery came up short",IF(IF(X287="",FALSE,X287&gt;0),"Check - cost has gone up",IF(O287&lt;&gt;"Yes","Due - invoice not paid","OK")))))))</f>
        <v>0</v>
      </c>
    </row>
    <row r="288" spans="1:25">
      <c r="A288" s="28">
        <f>IF(B288="","",PurchasePrefix&amp;TEXT(ROW()-4,"0000"))</f>
        <v>0</v>
      </c>
      <c r="E288" s="15">
        <f>IF(D288="","",IFERROR(INDEX(Inventory!$B$5:$B$304,MATCH(D288,Inventory!$A$5:$A$304,0)),"Not in Inventory"))</f>
        <v>0</v>
      </c>
      <c r="Q288" s="15">
        <f>IF(B288="","",TEXT(B288,"yyyy-mm"))</f>
        <v>0</v>
      </c>
      <c r="R288" s="26">
        <f>IF(B288="","",IF(G288&lt;&gt;"",G288,IFERROR(INDEX(Inventory!$H$5:$H$304,MATCH(D288,Inventory!$A$5:$A$304,0))*1,0)))</f>
        <v>0</v>
      </c>
      <c r="S288" s="26">
        <f>IF(B288="","",ROUND(IF(F288="",0,F288)*R288,2))</f>
        <v>0</v>
      </c>
      <c r="T288" s="26">
        <f>IF(B288="","",ROUND(S288+IF(H288="",0,H288)+IF(I288="",0,I288),2))</f>
        <v>0</v>
      </c>
      <c r="U288" s="37">
        <f>IF(B288="","",IF(J288="Received",IF(M288&lt;&gt;"",M288,IF(F288="",0,F288)),IF(J288="Part received",IF(M288="",0,M288),0)))</f>
        <v>0</v>
      </c>
      <c r="V288" s="37">
        <f>IF(B288="","",IF(J288="Ordered","",IF(J288="Draft","",ROUND(IF(F288="",0,F288)-U288,2))))</f>
        <v>0</v>
      </c>
      <c r="W288" s="25">
        <f>IF(B288="","",IF(L288="","",L288-B288))</f>
        <v>0</v>
      </c>
      <c r="X288" s="26">
        <f>IF(B288="","",IF(G288="","",IFERROR(ROUND(G288-INDEX(Inventory!$H$5:$H$304,MATCH(D288,Inventory!$A$5:$A$304,0)),2),"")))</f>
        <v>0</v>
      </c>
      <c r="Y288" s="39">
        <f>IF(B288="","",IF(D288="","Add - which product?",IF(J288="","Add - no status yet",IF(IF(J288="Ordered",IF(K288="",FALSE,K288&lt;TodayDate),FALSE),"Late - expected and not arrived",IF(V288&gt;0,"Check - delivery came up short",IF(IF(X288="",FALSE,X288&gt;0),"Check - cost has gone up",IF(O288&lt;&gt;"Yes","Due - invoice not paid","OK")))))))</f>
        <v>0</v>
      </c>
    </row>
    <row r="289" spans="1:25">
      <c r="A289" s="28">
        <f>IF(B289="","",PurchasePrefix&amp;TEXT(ROW()-4,"0000"))</f>
        <v>0</v>
      </c>
      <c r="E289" s="15">
        <f>IF(D289="","",IFERROR(INDEX(Inventory!$B$5:$B$304,MATCH(D289,Inventory!$A$5:$A$304,0)),"Not in Inventory"))</f>
        <v>0</v>
      </c>
      <c r="Q289" s="15">
        <f>IF(B289="","",TEXT(B289,"yyyy-mm"))</f>
        <v>0</v>
      </c>
      <c r="R289" s="26">
        <f>IF(B289="","",IF(G289&lt;&gt;"",G289,IFERROR(INDEX(Inventory!$H$5:$H$304,MATCH(D289,Inventory!$A$5:$A$304,0))*1,0)))</f>
        <v>0</v>
      </c>
      <c r="S289" s="26">
        <f>IF(B289="","",ROUND(IF(F289="",0,F289)*R289,2))</f>
        <v>0</v>
      </c>
      <c r="T289" s="26">
        <f>IF(B289="","",ROUND(S289+IF(H289="",0,H289)+IF(I289="",0,I289),2))</f>
        <v>0</v>
      </c>
      <c r="U289" s="37">
        <f>IF(B289="","",IF(J289="Received",IF(M289&lt;&gt;"",M289,IF(F289="",0,F289)),IF(J289="Part received",IF(M289="",0,M289),0)))</f>
        <v>0</v>
      </c>
      <c r="V289" s="37">
        <f>IF(B289="","",IF(J289="Ordered","",IF(J289="Draft","",ROUND(IF(F289="",0,F289)-U289,2))))</f>
        <v>0</v>
      </c>
      <c r="W289" s="25">
        <f>IF(B289="","",IF(L289="","",L289-B289))</f>
        <v>0</v>
      </c>
      <c r="X289" s="26">
        <f>IF(B289="","",IF(G289="","",IFERROR(ROUND(G289-INDEX(Inventory!$H$5:$H$304,MATCH(D289,Inventory!$A$5:$A$304,0)),2),"")))</f>
        <v>0</v>
      </c>
      <c r="Y289" s="39">
        <f>IF(B289="","",IF(D289="","Add - which product?",IF(J289="","Add - no status yet",IF(IF(J289="Ordered",IF(K289="",FALSE,K289&lt;TodayDate),FALSE),"Late - expected and not arrived",IF(V289&gt;0,"Check - delivery came up short",IF(IF(X289="",FALSE,X289&gt;0),"Check - cost has gone up",IF(O289&lt;&gt;"Yes","Due - invoice not paid","OK")))))))</f>
        <v>0</v>
      </c>
    </row>
    <row r="290" spans="1:25">
      <c r="A290" s="28">
        <f>IF(B290="","",PurchasePrefix&amp;TEXT(ROW()-4,"0000"))</f>
        <v>0</v>
      </c>
      <c r="E290" s="15">
        <f>IF(D290="","",IFERROR(INDEX(Inventory!$B$5:$B$304,MATCH(D290,Inventory!$A$5:$A$304,0)),"Not in Inventory"))</f>
        <v>0</v>
      </c>
      <c r="Q290" s="15">
        <f>IF(B290="","",TEXT(B290,"yyyy-mm"))</f>
        <v>0</v>
      </c>
      <c r="R290" s="26">
        <f>IF(B290="","",IF(G290&lt;&gt;"",G290,IFERROR(INDEX(Inventory!$H$5:$H$304,MATCH(D290,Inventory!$A$5:$A$304,0))*1,0)))</f>
        <v>0</v>
      </c>
      <c r="S290" s="26">
        <f>IF(B290="","",ROUND(IF(F290="",0,F290)*R290,2))</f>
        <v>0</v>
      </c>
      <c r="T290" s="26">
        <f>IF(B290="","",ROUND(S290+IF(H290="",0,H290)+IF(I290="",0,I290),2))</f>
        <v>0</v>
      </c>
      <c r="U290" s="37">
        <f>IF(B290="","",IF(J290="Received",IF(M290&lt;&gt;"",M290,IF(F290="",0,F290)),IF(J290="Part received",IF(M290="",0,M290),0)))</f>
        <v>0</v>
      </c>
      <c r="V290" s="37">
        <f>IF(B290="","",IF(J290="Ordered","",IF(J290="Draft","",ROUND(IF(F290="",0,F290)-U290,2))))</f>
        <v>0</v>
      </c>
      <c r="W290" s="25">
        <f>IF(B290="","",IF(L290="","",L290-B290))</f>
        <v>0</v>
      </c>
      <c r="X290" s="26">
        <f>IF(B290="","",IF(G290="","",IFERROR(ROUND(G290-INDEX(Inventory!$H$5:$H$304,MATCH(D290,Inventory!$A$5:$A$304,0)),2),"")))</f>
        <v>0</v>
      </c>
      <c r="Y290" s="39">
        <f>IF(B290="","",IF(D290="","Add - which product?",IF(J290="","Add - no status yet",IF(IF(J290="Ordered",IF(K290="",FALSE,K290&lt;TodayDate),FALSE),"Late - expected and not arrived",IF(V290&gt;0,"Check - delivery came up short",IF(IF(X290="",FALSE,X290&gt;0),"Check - cost has gone up",IF(O290&lt;&gt;"Yes","Due - invoice not paid","OK")))))))</f>
        <v>0</v>
      </c>
    </row>
    <row r="291" spans="1:25">
      <c r="A291" s="28">
        <f>IF(B291="","",PurchasePrefix&amp;TEXT(ROW()-4,"0000"))</f>
        <v>0</v>
      </c>
      <c r="E291" s="15">
        <f>IF(D291="","",IFERROR(INDEX(Inventory!$B$5:$B$304,MATCH(D291,Inventory!$A$5:$A$304,0)),"Not in Inventory"))</f>
        <v>0</v>
      </c>
      <c r="Q291" s="15">
        <f>IF(B291="","",TEXT(B291,"yyyy-mm"))</f>
        <v>0</v>
      </c>
      <c r="R291" s="26">
        <f>IF(B291="","",IF(G291&lt;&gt;"",G291,IFERROR(INDEX(Inventory!$H$5:$H$304,MATCH(D291,Inventory!$A$5:$A$304,0))*1,0)))</f>
        <v>0</v>
      </c>
      <c r="S291" s="26">
        <f>IF(B291="","",ROUND(IF(F291="",0,F291)*R291,2))</f>
        <v>0</v>
      </c>
      <c r="T291" s="26">
        <f>IF(B291="","",ROUND(S291+IF(H291="",0,H291)+IF(I291="",0,I291),2))</f>
        <v>0</v>
      </c>
      <c r="U291" s="37">
        <f>IF(B291="","",IF(J291="Received",IF(M291&lt;&gt;"",M291,IF(F291="",0,F291)),IF(J291="Part received",IF(M291="",0,M291),0)))</f>
        <v>0</v>
      </c>
      <c r="V291" s="37">
        <f>IF(B291="","",IF(J291="Ordered","",IF(J291="Draft","",ROUND(IF(F291="",0,F291)-U291,2))))</f>
        <v>0</v>
      </c>
      <c r="W291" s="25">
        <f>IF(B291="","",IF(L291="","",L291-B291))</f>
        <v>0</v>
      </c>
      <c r="X291" s="26">
        <f>IF(B291="","",IF(G291="","",IFERROR(ROUND(G291-INDEX(Inventory!$H$5:$H$304,MATCH(D291,Inventory!$A$5:$A$304,0)),2),"")))</f>
        <v>0</v>
      </c>
      <c r="Y291" s="39">
        <f>IF(B291="","",IF(D291="","Add - which product?",IF(J291="","Add - no status yet",IF(IF(J291="Ordered",IF(K291="",FALSE,K291&lt;TodayDate),FALSE),"Late - expected and not arrived",IF(V291&gt;0,"Check - delivery came up short",IF(IF(X291="",FALSE,X291&gt;0),"Check - cost has gone up",IF(O291&lt;&gt;"Yes","Due - invoice not paid","OK")))))))</f>
        <v>0</v>
      </c>
    </row>
    <row r="292" spans="1:25">
      <c r="A292" s="28">
        <f>IF(B292="","",PurchasePrefix&amp;TEXT(ROW()-4,"0000"))</f>
        <v>0</v>
      </c>
      <c r="E292" s="15">
        <f>IF(D292="","",IFERROR(INDEX(Inventory!$B$5:$B$304,MATCH(D292,Inventory!$A$5:$A$304,0)),"Not in Inventory"))</f>
        <v>0</v>
      </c>
      <c r="Q292" s="15">
        <f>IF(B292="","",TEXT(B292,"yyyy-mm"))</f>
        <v>0</v>
      </c>
      <c r="R292" s="26">
        <f>IF(B292="","",IF(G292&lt;&gt;"",G292,IFERROR(INDEX(Inventory!$H$5:$H$304,MATCH(D292,Inventory!$A$5:$A$304,0))*1,0)))</f>
        <v>0</v>
      </c>
      <c r="S292" s="26">
        <f>IF(B292="","",ROUND(IF(F292="",0,F292)*R292,2))</f>
        <v>0</v>
      </c>
      <c r="T292" s="26">
        <f>IF(B292="","",ROUND(S292+IF(H292="",0,H292)+IF(I292="",0,I292),2))</f>
        <v>0</v>
      </c>
      <c r="U292" s="37">
        <f>IF(B292="","",IF(J292="Received",IF(M292&lt;&gt;"",M292,IF(F292="",0,F292)),IF(J292="Part received",IF(M292="",0,M292),0)))</f>
        <v>0</v>
      </c>
      <c r="V292" s="37">
        <f>IF(B292="","",IF(J292="Ordered","",IF(J292="Draft","",ROUND(IF(F292="",0,F292)-U292,2))))</f>
        <v>0</v>
      </c>
      <c r="W292" s="25">
        <f>IF(B292="","",IF(L292="","",L292-B292))</f>
        <v>0</v>
      </c>
      <c r="X292" s="26">
        <f>IF(B292="","",IF(G292="","",IFERROR(ROUND(G292-INDEX(Inventory!$H$5:$H$304,MATCH(D292,Inventory!$A$5:$A$304,0)),2),"")))</f>
        <v>0</v>
      </c>
      <c r="Y292" s="39">
        <f>IF(B292="","",IF(D292="","Add - which product?",IF(J292="","Add - no status yet",IF(IF(J292="Ordered",IF(K292="",FALSE,K292&lt;TodayDate),FALSE),"Late - expected and not arrived",IF(V292&gt;0,"Check - delivery came up short",IF(IF(X292="",FALSE,X292&gt;0),"Check - cost has gone up",IF(O292&lt;&gt;"Yes","Due - invoice not paid","OK")))))))</f>
        <v>0</v>
      </c>
    </row>
    <row r="293" spans="1:25">
      <c r="A293" s="28">
        <f>IF(B293="","",PurchasePrefix&amp;TEXT(ROW()-4,"0000"))</f>
        <v>0</v>
      </c>
      <c r="E293" s="15">
        <f>IF(D293="","",IFERROR(INDEX(Inventory!$B$5:$B$304,MATCH(D293,Inventory!$A$5:$A$304,0)),"Not in Inventory"))</f>
        <v>0</v>
      </c>
      <c r="Q293" s="15">
        <f>IF(B293="","",TEXT(B293,"yyyy-mm"))</f>
        <v>0</v>
      </c>
      <c r="R293" s="26">
        <f>IF(B293="","",IF(G293&lt;&gt;"",G293,IFERROR(INDEX(Inventory!$H$5:$H$304,MATCH(D293,Inventory!$A$5:$A$304,0))*1,0)))</f>
        <v>0</v>
      </c>
      <c r="S293" s="26">
        <f>IF(B293="","",ROUND(IF(F293="",0,F293)*R293,2))</f>
        <v>0</v>
      </c>
      <c r="T293" s="26">
        <f>IF(B293="","",ROUND(S293+IF(H293="",0,H293)+IF(I293="",0,I293),2))</f>
        <v>0</v>
      </c>
      <c r="U293" s="37">
        <f>IF(B293="","",IF(J293="Received",IF(M293&lt;&gt;"",M293,IF(F293="",0,F293)),IF(J293="Part received",IF(M293="",0,M293),0)))</f>
        <v>0</v>
      </c>
      <c r="V293" s="37">
        <f>IF(B293="","",IF(J293="Ordered","",IF(J293="Draft","",ROUND(IF(F293="",0,F293)-U293,2))))</f>
        <v>0</v>
      </c>
      <c r="W293" s="25">
        <f>IF(B293="","",IF(L293="","",L293-B293))</f>
        <v>0</v>
      </c>
      <c r="X293" s="26">
        <f>IF(B293="","",IF(G293="","",IFERROR(ROUND(G293-INDEX(Inventory!$H$5:$H$304,MATCH(D293,Inventory!$A$5:$A$304,0)),2),"")))</f>
        <v>0</v>
      </c>
      <c r="Y293" s="39">
        <f>IF(B293="","",IF(D293="","Add - which product?",IF(J293="","Add - no status yet",IF(IF(J293="Ordered",IF(K293="",FALSE,K293&lt;TodayDate),FALSE),"Late - expected and not arrived",IF(V293&gt;0,"Check - delivery came up short",IF(IF(X293="",FALSE,X293&gt;0),"Check - cost has gone up",IF(O293&lt;&gt;"Yes","Due - invoice not paid","OK")))))))</f>
        <v>0</v>
      </c>
    </row>
    <row r="294" spans="1:25">
      <c r="A294" s="28">
        <f>IF(B294="","",PurchasePrefix&amp;TEXT(ROW()-4,"0000"))</f>
        <v>0</v>
      </c>
      <c r="E294" s="15">
        <f>IF(D294="","",IFERROR(INDEX(Inventory!$B$5:$B$304,MATCH(D294,Inventory!$A$5:$A$304,0)),"Not in Inventory"))</f>
        <v>0</v>
      </c>
      <c r="Q294" s="15">
        <f>IF(B294="","",TEXT(B294,"yyyy-mm"))</f>
        <v>0</v>
      </c>
      <c r="R294" s="26">
        <f>IF(B294="","",IF(G294&lt;&gt;"",G294,IFERROR(INDEX(Inventory!$H$5:$H$304,MATCH(D294,Inventory!$A$5:$A$304,0))*1,0)))</f>
        <v>0</v>
      </c>
      <c r="S294" s="26">
        <f>IF(B294="","",ROUND(IF(F294="",0,F294)*R294,2))</f>
        <v>0</v>
      </c>
      <c r="T294" s="26">
        <f>IF(B294="","",ROUND(S294+IF(H294="",0,H294)+IF(I294="",0,I294),2))</f>
        <v>0</v>
      </c>
      <c r="U294" s="37">
        <f>IF(B294="","",IF(J294="Received",IF(M294&lt;&gt;"",M294,IF(F294="",0,F294)),IF(J294="Part received",IF(M294="",0,M294),0)))</f>
        <v>0</v>
      </c>
      <c r="V294" s="37">
        <f>IF(B294="","",IF(J294="Ordered","",IF(J294="Draft","",ROUND(IF(F294="",0,F294)-U294,2))))</f>
        <v>0</v>
      </c>
      <c r="W294" s="25">
        <f>IF(B294="","",IF(L294="","",L294-B294))</f>
        <v>0</v>
      </c>
      <c r="X294" s="26">
        <f>IF(B294="","",IF(G294="","",IFERROR(ROUND(G294-INDEX(Inventory!$H$5:$H$304,MATCH(D294,Inventory!$A$5:$A$304,0)),2),"")))</f>
        <v>0</v>
      </c>
      <c r="Y294" s="39">
        <f>IF(B294="","",IF(D294="","Add - which product?",IF(J294="","Add - no status yet",IF(IF(J294="Ordered",IF(K294="",FALSE,K294&lt;TodayDate),FALSE),"Late - expected and not arrived",IF(V294&gt;0,"Check - delivery came up short",IF(IF(X294="",FALSE,X294&gt;0),"Check - cost has gone up",IF(O294&lt;&gt;"Yes","Due - invoice not paid","OK")))))))</f>
        <v>0</v>
      </c>
    </row>
    <row r="295" spans="1:25">
      <c r="A295" s="28">
        <f>IF(B295="","",PurchasePrefix&amp;TEXT(ROW()-4,"0000"))</f>
        <v>0</v>
      </c>
      <c r="E295" s="15">
        <f>IF(D295="","",IFERROR(INDEX(Inventory!$B$5:$B$304,MATCH(D295,Inventory!$A$5:$A$304,0)),"Not in Inventory"))</f>
        <v>0</v>
      </c>
      <c r="Q295" s="15">
        <f>IF(B295="","",TEXT(B295,"yyyy-mm"))</f>
        <v>0</v>
      </c>
      <c r="R295" s="26">
        <f>IF(B295="","",IF(G295&lt;&gt;"",G295,IFERROR(INDEX(Inventory!$H$5:$H$304,MATCH(D295,Inventory!$A$5:$A$304,0))*1,0)))</f>
        <v>0</v>
      </c>
      <c r="S295" s="26">
        <f>IF(B295="","",ROUND(IF(F295="",0,F295)*R295,2))</f>
        <v>0</v>
      </c>
      <c r="T295" s="26">
        <f>IF(B295="","",ROUND(S295+IF(H295="",0,H295)+IF(I295="",0,I295),2))</f>
        <v>0</v>
      </c>
      <c r="U295" s="37">
        <f>IF(B295="","",IF(J295="Received",IF(M295&lt;&gt;"",M295,IF(F295="",0,F295)),IF(J295="Part received",IF(M295="",0,M295),0)))</f>
        <v>0</v>
      </c>
      <c r="V295" s="37">
        <f>IF(B295="","",IF(J295="Ordered","",IF(J295="Draft","",ROUND(IF(F295="",0,F295)-U295,2))))</f>
        <v>0</v>
      </c>
      <c r="W295" s="25">
        <f>IF(B295="","",IF(L295="","",L295-B295))</f>
        <v>0</v>
      </c>
      <c r="X295" s="26">
        <f>IF(B295="","",IF(G295="","",IFERROR(ROUND(G295-INDEX(Inventory!$H$5:$H$304,MATCH(D295,Inventory!$A$5:$A$304,0)),2),"")))</f>
        <v>0</v>
      </c>
      <c r="Y295" s="39">
        <f>IF(B295="","",IF(D295="","Add - which product?",IF(J295="","Add - no status yet",IF(IF(J295="Ordered",IF(K295="",FALSE,K295&lt;TodayDate),FALSE),"Late - expected and not arrived",IF(V295&gt;0,"Check - delivery came up short",IF(IF(X295="",FALSE,X295&gt;0),"Check - cost has gone up",IF(O295&lt;&gt;"Yes","Due - invoice not paid","OK")))))))</f>
        <v>0</v>
      </c>
    </row>
    <row r="296" spans="1:25">
      <c r="A296" s="28">
        <f>IF(B296="","",PurchasePrefix&amp;TEXT(ROW()-4,"0000"))</f>
        <v>0</v>
      </c>
      <c r="E296" s="15">
        <f>IF(D296="","",IFERROR(INDEX(Inventory!$B$5:$B$304,MATCH(D296,Inventory!$A$5:$A$304,0)),"Not in Inventory"))</f>
        <v>0</v>
      </c>
      <c r="Q296" s="15">
        <f>IF(B296="","",TEXT(B296,"yyyy-mm"))</f>
        <v>0</v>
      </c>
      <c r="R296" s="26">
        <f>IF(B296="","",IF(G296&lt;&gt;"",G296,IFERROR(INDEX(Inventory!$H$5:$H$304,MATCH(D296,Inventory!$A$5:$A$304,0))*1,0)))</f>
        <v>0</v>
      </c>
      <c r="S296" s="26">
        <f>IF(B296="","",ROUND(IF(F296="",0,F296)*R296,2))</f>
        <v>0</v>
      </c>
      <c r="T296" s="26">
        <f>IF(B296="","",ROUND(S296+IF(H296="",0,H296)+IF(I296="",0,I296),2))</f>
        <v>0</v>
      </c>
      <c r="U296" s="37">
        <f>IF(B296="","",IF(J296="Received",IF(M296&lt;&gt;"",M296,IF(F296="",0,F296)),IF(J296="Part received",IF(M296="",0,M296),0)))</f>
        <v>0</v>
      </c>
      <c r="V296" s="37">
        <f>IF(B296="","",IF(J296="Ordered","",IF(J296="Draft","",ROUND(IF(F296="",0,F296)-U296,2))))</f>
        <v>0</v>
      </c>
      <c r="W296" s="25">
        <f>IF(B296="","",IF(L296="","",L296-B296))</f>
        <v>0</v>
      </c>
      <c r="X296" s="26">
        <f>IF(B296="","",IF(G296="","",IFERROR(ROUND(G296-INDEX(Inventory!$H$5:$H$304,MATCH(D296,Inventory!$A$5:$A$304,0)),2),"")))</f>
        <v>0</v>
      </c>
      <c r="Y296" s="39">
        <f>IF(B296="","",IF(D296="","Add - which product?",IF(J296="","Add - no status yet",IF(IF(J296="Ordered",IF(K296="",FALSE,K296&lt;TodayDate),FALSE),"Late - expected and not arrived",IF(V296&gt;0,"Check - delivery came up short",IF(IF(X296="",FALSE,X296&gt;0),"Check - cost has gone up",IF(O296&lt;&gt;"Yes","Due - invoice not paid","OK")))))))</f>
        <v>0</v>
      </c>
    </row>
    <row r="297" spans="1:25">
      <c r="A297" s="28">
        <f>IF(B297="","",PurchasePrefix&amp;TEXT(ROW()-4,"0000"))</f>
        <v>0</v>
      </c>
      <c r="E297" s="15">
        <f>IF(D297="","",IFERROR(INDEX(Inventory!$B$5:$B$304,MATCH(D297,Inventory!$A$5:$A$304,0)),"Not in Inventory"))</f>
        <v>0</v>
      </c>
      <c r="Q297" s="15">
        <f>IF(B297="","",TEXT(B297,"yyyy-mm"))</f>
        <v>0</v>
      </c>
      <c r="R297" s="26">
        <f>IF(B297="","",IF(G297&lt;&gt;"",G297,IFERROR(INDEX(Inventory!$H$5:$H$304,MATCH(D297,Inventory!$A$5:$A$304,0))*1,0)))</f>
        <v>0</v>
      </c>
      <c r="S297" s="26">
        <f>IF(B297="","",ROUND(IF(F297="",0,F297)*R297,2))</f>
        <v>0</v>
      </c>
      <c r="T297" s="26">
        <f>IF(B297="","",ROUND(S297+IF(H297="",0,H297)+IF(I297="",0,I297),2))</f>
        <v>0</v>
      </c>
      <c r="U297" s="37">
        <f>IF(B297="","",IF(J297="Received",IF(M297&lt;&gt;"",M297,IF(F297="",0,F297)),IF(J297="Part received",IF(M297="",0,M297),0)))</f>
        <v>0</v>
      </c>
      <c r="V297" s="37">
        <f>IF(B297="","",IF(J297="Ordered","",IF(J297="Draft","",ROUND(IF(F297="",0,F297)-U297,2))))</f>
        <v>0</v>
      </c>
      <c r="W297" s="25">
        <f>IF(B297="","",IF(L297="","",L297-B297))</f>
        <v>0</v>
      </c>
      <c r="X297" s="26">
        <f>IF(B297="","",IF(G297="","",IFERROR(ROUND(G297-INDEX(Inventory!$H$5:$H$304,MATCH(D297,Inventory!$A$5:$A$304,0)),2),"")))</f>
        <v>0</v>
      </c>
      <c r="Y297" s="39">
        <f>IF(B297="","",IF(D297="","Add - which product?",IF(J297="","Add - no status yet",IF(IF(J297="Ordered",IF(K297="",FALSE,K297&lt;TodayDate),FALSE),"Late - expected and not arrived",IF(V297&gt;0,"Check - delivery came up short",IF(IF(X297="",FALSE,X297&gt;0),"Check - cost has gone up",IF(O297&lt;&gt;"Yes","Due - invoice not paid","OK")))))))</f>
        <v>0</v>
      </c>
    </row>
    <row r="298" spans="1:25">
      <c r="A298" s="28">
        <f>IF(B298="","",PurchasePrefix&amp;TEXT(ROW()-4,"0000"))</f>
        <v>0</v>
      </c>
      <c r="E298" s="15">
        <f>IF(D298="","",IFERROR(INDEX(Inventory!$B$5:$B$304,MATCH(D298,Inventory!$A$5:$A$304,0)),"Not in Inventory"))</f>
        <v>0</v>
      </c>
      <c r="Q298" s="15">
        <f>IF(B298="","",TEXT(B298,"yyyy-mm"))</f>
        <v>0</v>
      </c>
      <c r="R298" s="26">
        <f>IF(B298="","",IF(G298&lt;&gt;"",G298,IFERROR(INDEX(Inventory!$H$5:$H$304,MATCH(D298,Inventory!$A$5:$A$304,0))*1,0)))</f>
        <v>0</v>
      </c>
      <c r="S298" s="26">
        <f>IF(B298="","",ROUND(IF(F298="",0,F298)*R298,2))</f>
        <v>0</v>
      </c>
      <c r="T298" s="26">
        <f>IF(B298="","",ROUND(S298+IF(H298="",0,H298)+IF(I298="",0,I298),2))</f>
        <v>0</v>
      </c>
      <c r="U298" s="37">
        <f>IF(B298="","",IF(J298="Received",IF(M298&lt;&gt;"",M298,IF(F298="",0,F298)),IF(J298="Part received",IF(M298="",0,M298),0)))</f>
        <v>0</v>
      </c>
      <c r="V298" s="37">
        <f>IF(B298="","",IF(J298="Ordered","",IF(J298="Draft","",ROUND(IF(F298="",0,F298)-U298,2))))</f>
        <v>0</v>
      </c>
      <c r="W298" s="25">
        <f>IF(B298="","",IF(L298="","",L298-B298))</f>
        <v>0</v>
      </c>
      <c r="X298" s="26">
        <f>IF(B298="","",IF(G298="","",IFERROR(ROUND(G298-INDEX(Inventory!$H$5:$H$304,MATCH(D298,Inventory!$A$5:$A$304,0)),2),"")))</f>
        <v>0</v>
      </c>
      <c r="Y298" s="39">
        <f>IF(B298="","",IF(D298="","Add - which product?",IF(J298="","Add - no status yet",IF(IF(J298="Ordered",IF(K298="",FALSE,K298&lt;TodayDate),FALSE),"Late - expected and not arrived",IF(V298&gt;0,"Check - delivery came up short",IF(IF(X298="",FALSE,X298&gt;0),"Check - cost has gone up",IF(O298&lt;&gt;"Yes","Due - invoice not paid","OK")))))))</f>
        <v>0</v>
      </c>
    </row>
    <row r="299" spans="1:25">
      <c r="A299" s="28">
        <f>IF(B299="","",PurchasePrefix&amp;TEXT(ROW()-4,"0000"))</f>
        <v>0</v>
      </c>
      <c r="E299" s="15">
        <f>IF(D299="","",IFERROR(INDEX(Inventory!$B$5:$B$304,MATCH(D299,Inventory!$A$5:$A$304,0)),"Not in Inventory"))</f>
        <v>0</v>
      </c>
      <c r="Q299" s="15">
        <f>IF(B299="","",TEXT(B299,"yyyy-mm"))</f>
        <v>0</v>
      </c>
      <c r="R299" s="26">
        <f>IF(B299="","",IF(G299&lt;&gt;"",G299,IFERROR(INDEX(Inventory!$H$5:$H$304,MATCH(D299,Inventory!$A$5:$A$304,0))*1,0)))</f>
        <v>0</v>
      </c>
      <c r="S299" s="26">
        <f>IF(B299="","",ROUND(IF(F299="",0,F299)*R299,2))</f>
        <v>0</v>
      </c>
      <c r="T299" s="26">
        <f>IF(B299="","",ROUND(S299+IF(H299="",0,H299)+IF(I299="",0,I299),2))</f>
        <v>0</v>
      </c>
      <c r="U299" s="37">
        <f>IF(B299="","",IF(J299="Received",IF(M299&lt;&gt;"",M299,IF(F299="",0,F299)),IF(J299="Part received",IF(M299="",0,M299),0)))</f>
        <v>0</v>
      </c>
      <c r="V299" s="37">
        <f>IF(B299="","",IF(J299="Ordered","",IF(J299="Draft","",ROUND(IF(F299="",0,F299)-U299,2))))</f>
        <v>0</v>
      </c>
      <c r="W299" s="25">
        <f>IF(B299="","",IF(L299="","",L299-B299))</f>
        <v>0</v>
      </c>
      <c r="X299" s="26">
        <f>IF(B299="","",IF(G299="","",IFERROR(ROUND(G299-INDEX(Inventory!$H$5:$H$304,MATCH(D299,Inventory!$A$5:$A$304,0)),2),"")))</f>
        <v>0</v>
      </c>
      <c r="Y299" s="39">
        <f>IF(B299="","",IF(D299="","Add - which product?",IF(J299="","Add - no status yet",IF(IF(J299="Ordered",IF(K299="",FALSE,K299&lt;TodayDate),FALSE),"Late - expected and not arrived",IF(V299&gt;0,"Check - delivery came up short",IF(IF(X299="",FALSE,X299&gt;0),"Check - cost has gone up",IF(O299&lt;&gt;"Yes","Due - invoice not paid","OK")))))))</f>
        <v>0</v>
      </c>
    </row>
    <row r="300" spans="1:25">
      <c r="A300" s="28">
        <f>IF(B300="","",PurchasePrefix&amp;TEXT(ROW()-4,"0000"))</f>
        <v>0</v>
      </c>
      <c r="E300" s="15">
        <f>IF(D300="","",IFERROR(INDEX(Inventory!$B$5:$B$304,MATCH(D300,Inventory!$A$5:$A$304,0)),"Not in Inventory"))</f>
        <v>0</v>
      </c>
      <c r="Q300" s="15">
        <f>IF(B300="","",TEXT(B300,"yyyy-mm"))</f>
        <v>0</v>
      </c>
      <c r="R300" s="26">
        <f>IF(B300="","",IF(G300&lt;&gt;"",G300,IFERROR(INDEX(Inventory!$H$5:$H$304,MATCH(D300,Inventory!$A$5:$A$304,0))*1,0)))</f>
        <v>0</v>
      </c>
      <c r="S300" s="26">
        <f>IF(B300="","",ROUND(IF(F300="",0,F300)*R300,2))</f>
        <v>0</v>
      </c>
      <c r="T300" s="26">
        <f>IF(B300="","",ROUND(S300+IF(H300="",0,H300)+IF(I300="",0,I300),2))</f>
        <v>0</v>
      </c>
      <c r="U300" s="37">
        <f>IF(B300="","",IF(J300="Received",IF(M300&lt;&gt;"",M300,IF(F300="",0,F300)),IF(J300="Part received",IF(M300="",0,M300),0)))</f>
        <v>0</v>
      </c>
      <c r="V300" s="37">
        <f>IF(B300="","",IF(J300="Ordered","",IF(J300="Draft","",ROUND(IF(F300="",0,F300)-U300,2))))</f>
        <v>0</v>
      </c>
      <c r="W300" s="25">
        <f>IF(B300="","",IF(L300="","",L300-B300))</f>
        <v>0</v>
      </c>
      <c r="X300" s="26">
        <f>IF(B300="","",IF(G300="","",IFERROR(ROUND(G300-INDEX(Inventory!$H$5:$H$304,MATCH(D300,Inventory!$A$5:$A$304,0)),2),"")))</f>
        <v>0</v>
      </c>
      <c r="Y300" s="39">
        <f>IF(B300="","",IF(D300="","Add - which product?",IF(J300="","Add - no status yet",IF(IF(J300="Ordered",IF(K300="",FALSE,K300&lt;TodayDate),FALSE),"Late - expected and not arrived",IF(V300&gt;0,"Check - delivery came up short",IF(IF(X300="",FALSE,X300&gt;0),"Check - cost has gone up",IF(O300&lt;&gt;"Yes","Due - invoice not paid","OK")))))))</f>
        <v>0</v>
      </c>
    </row>
    <row r="301" spans="1:25">
      <c r="A301" s="28">
        <f>IF(B301="","",PurchasePrefix&amp;TEXT(ROW()-4,"0000"))</f>
        <v>0</v>
      </c>
      <c r="E301" s="15">
        <f>IF(D301="","",IFERROR(INDEX(Inventory!$B$5:$B$304,MATCH(D301,Inventory!$A$5:$A$304,0)),"Not in Inventory"))</f>
        <v>0</v>
      </c>
      <c r="Q301" s="15">
        <f>IF(B301="","",TEXT(B301,"yyyy-mm"))</f>
        <v>0</v>
      </c>
      <c r="R301" s="26">
        <f>IF(B301="","",IF(G301&lt;&gt;"",G301,IFERROR(INDEX(Inventory!$H$5:$H$304,MATCH(D301,Inventory!$A$5:$A$304,0))*1,0)))</f>
        <v>0</v>
      </c>
      <c r="S301" s="26">
        <f>IF(B301="","",ROUND(IF(F301="",0,F301)*R301,2))</f>
        <v>0</v>
      </c>
      <c r="T301" s="26">
        <f>IF(B301="","",ROUND(S301+IF(H301="",0,H301)+IF(I301="",0,I301),2))</f>
        <v>0</v>
      </c>
      <c r="U301" s="37">
        <f>IF(B301="","",IF(J301="Received",IF(M301&lt;&gt;"",M301,IF(F301="",0,F301)),IF(J301="Part received",IF(M301="",0,M301),0)))</f>
        <v>0</v>
      </c>
      <c r="V301" s="37">
        <f>IF(B301="","",IF(J301="Ordered","",IF(J301="Draft","",ROUND(IF(F301="",0,F301)-U301,2))))</f>
        <v>0</v>
      </c>
      <c r="W301" s="25">
        <f>IF(B301="","",IF(L301="","",L301-B301))</f>
        <v>0</v>
      </c>
      <c r="X301" s="26">
        <f>IF(B301="","",IF(G301="","",IFERROR(ROUND(G301-INDEX(Inventory!$H$5:$H$304,MATCH(D301,Inventory!$A$5:$A$304,0)),2),"")))</f>
        <v>0</v>
      </c>
      <c r="Y301" s="39">
        <f>IF(B301="","",IF(D301="","Add - which product?",IF(J301="","Add - no status yet",IF(IF(J301="Ordered",IF(K301="",FALSE,K301&lt;TodayDate),FALSE),"Late - expected and not arrived",IF(V301&gt;0,"Check - delivery came up short",IF(IF(X301="",FALSE,X301&gt;0),"Check - cost has gone up",IF(O301&lt;&gt;"Yes","Due - invoice not paid","OK")))))))</f>
        <v>0</v>
      </c>
    </row>
    <row r="302" spans="1:25">
      <c r="A302" s="28">
        <f>IF(B302="","",PurchasePrefix&amp;TEXT(ROW()-4,"0000"))</f>
        <v>0</v>
      </c>
      <c r="E302" s="15">
        <f>IF(D302="","",IFERROR(INDEX(Inventory!$B$5:$B$304,MATCH(D302,Inventory!$A$5:$A$304,0)),"Not in Inventory"))</f>
        <v>0</v>
      </c>
      <c r="Q302" s="15">
        <f>IF(B302="","",TEXT(B302,"yyyy-mm"))</f>
        <v>0</v>
      </c>
      <c r="R302" s="26">
        <f>IF(B302="","",IF(G302&lt;&gt;"",G302,IFERROR(INDEX(Inventory!$H$5:$H$304,MATCH(D302,Inventory!$A$5:$A$304,0))*1,0)))</f>
        <v>0</v>
      </c>
      <c r="S302" s="26">
        <f>IF(B302="","",ROUND(IF(F302="",0,F302)*R302,2))</f>
        <v>0</v>
      </c>
      <c r="T302" s="26">
        <f>IF(B302="","",ROUND(S302+IF(H302="",0,H302)+IF(I302="",0,I302),2))</f>
        <v>0</v>
      </c>
      <c r="U302" s="37">
        <f>IF(B302="","",IF(J302="Received",IF(M302&lt;&gt;"",M302,IF(F302="",0,F302)),IF(J302="Part received",IF(M302="",0,M302),0)))</f>
        <v>0</v>
      </c>
      <c r="V302" s="37">
        <f>IF(B302="","",IF(J302="Ordered","",IF(J302="Draft","",ROUND(IF(F302="",0,F302)-U302,2))))</f>
        <v>0</v>
      </c>
      <c r="W302" s="25">
        <f>IF(B302="","",IF(L302="","",L302-B302))</f>
        <v>0</v>
      </c>
      <c r="X302" s="26">
        <f>IF(B302="","",IF(G302="","",IFERROR(ROUND(G302-INDEX(Inventory!$H$5:$H$304,MATCH(D302,Inventory!$A$5:$A$304,0)),2),"")))</f>
        <v>0</v>
      </c>
      <c r="Y302" s="39">
        <f>IF(B302="","",IF(D302="","Add - which product?",IF(J302="","Add - no status yet",IF(IF(J302="Ordered",IF(K302="",FALSE,K302&lt;TodayDate),FALSE),"Late - expected and not arrived",IF(V302&gt;0,"Check - delivery came up short",IF(IF(X302="",FALSE,X302&gt;0),"Check - cost has gone up",IF(O302&lt;&gt;"Yes","Due - invoice not paid","OK")))))))</f>
        <v>0</v>
      </c>
    </row>
    <row r="303" spans="1:25">
      <c r="A303" s="28">
        <f>IF(B303="","",PurchasePrefix&amp;TEXT(ROW()-4,"0000"))</f>
        <v>0</v>
      </c>
      <c r="E303" s="15">
        <f>IF(D303="","",IFERROR(INDEX(Inventory!$B$5:$B$304,MATCH(D303,Inventory!$A$5:$A$304,0)),"Not in Inventory"))</f>
        <v>0</v>
      </c>
      <c r="Q303" s="15">
        <f>IF(B303="","",TEXT(B303,"yyyy-mm"))</f>
        <v>0</v>
      </c>
      <c r="R303" s="26">
        <f>IF(B303="","",IF(G303&lt;&gt;"",G303,IFERROR(INDEX(Inventory!$H$5:$H$304,MATCH(D303,Inventory!$A$5:$A$304,0))*1,0)))</f>
        <v>0</v>
      </c>
      <c r="S303" s="26">
        <f>IF(B303="","",ROUND(IF(F303="",0,F303)*R303,2))</f>
        <v>0</v>
      </c>
      <c r="T303" s="26">
        <f>IF(B303="","",ROUND(S303+IF(H303="",0,H303)+IF(I303="",0,I303),2))</f>
        <v>0</v>
      </c>
      <c r="U303" s="37">
        <f>IF(B303="","",IF(J303="Received",IF(M303&lt;&gt;"",M303,IF(F303="",0,F303)),IF(J303="Part received",IF(M303="",0,M303),0)))</f>
        <v>0</v>
      </c>
      <c r="V303" s="37">
        <f>IF(B303="","",IF(J303="Ordered","",IF(J303="Draft","",ROUND(IF(F303="",0,F303)-U303,2))))</f>
        <v>0</v>
      </c>
      <c r="W303" s="25">
        <f>IF(B303="","",IF(L303="","",L303-B303))</f>
        <v>0</v>
      </c>
      <c r="X303" s="26">
        <f>IF(B303="","",IF(G303="","",IFERROR(ROUND(G303-INDEX(Inventory!$H$5:$H$304,MATCH(D303,Inventory!$A$5:$A$304,0)),2),"")))</f>
        <v>0</v>
      </c>
      <c r="Y303" s="39">
        <f>IF(B303="","",IF(D303="","Add - which product?",IF(J303="","Add - no status yet",IF(IF(J303="Ordered",IF(K303="",FALSE,K303&lt;TodayDate),FALSE),"Late - expected and not arrived",IF(V303&gt;0,"Check - delivery came up short",IF(IF(X303="",FALSE,X303&gt;0),"Check - cost has gone up",IF(O303&lt;&gt;"Yes","Due - invoice not paid","OK")))))))</f>
        <v>0</v>
      </c>
    </row>
    <row r="304" spans="1:25">
      <c r="A304" s="28">
        <f>IF(B304="","",PurchasePrefix&amp;TEXT(ROW()-4,"0000"))</f>
        <v>0</v>
      </c>
      <c r="E304" s="15">
        <f>IF(D304="","",IFERROR(INDEX(Inventory!$B$5:$B$304,MATCH(D304,Inventory!$A$5:$A$304,0)),"Not in Inventory"))</f>
        <v>0</v>
      </c>
      <c r="Q304" s="15">
        <f>IF(B304="","",TEXT(B304,"yyyy-mm"))</f>
        <v>0</v>
      </c>
      <c r="R304" s="26">
        <f>IF(B304="","",IF(G304&lt;&gt;"",G304,IFERROR(INDEX(Inventory!$H$5:$H$304,MATCH(D304,Inventory!$A$5:$A$304,0))*1,0)))</f>
        <v>0</v>
      </c>
      <c r="S304" s="26">
        <f>IF(B304="","",ROUND(IF(F304="",0,F304)*R304,2))</f>
        <v>0</v>
      </c>
      <c r="T304" s="26">
        <f>IF(B304="","",ROUND(S304+IF(H304="",0,H304)+IF(I304="",0,I304),2))</f>
        <v>0</v>
      </c>
      <c r="U304" s="37">
        <f>IF(B304="","",IF(J304="Received",IF(M304&lt;&gt;"",M304,IF(F304="",0,F304)),IF(J304="Part received",IF(M304="",0,M304),0)))</f>
        <v>0</v>
      </c>
      <c r="V304" s="37">
        <f>IF(B304="","",IF(J304="Ordered","",IF(J304="Draft","",ROUND(IF(F304="",0,F304)-U304,2))))</f>
        <v>0</v>
      </c>
      <c r="W304" s="25">
        <f>IF(B304="","",IF(L304="","",L304-B304))</f>
        <v>0</v>
      </c>
      <c r="X304" s="26">
        <f>IF(B304="","",IF(G304="","",IFERROR(ROUND(G304-INDEX(Inventory!$H$5:$H$304,MATCH(D304,Inventory!$A$5:$A$304,0)),2),"")))</f>
        <v>0</v>
      </c>
      <c r="Y304" s="39">
        <f>IF(B304="","",IF(D304="","Add - which product?",IF(J304="","Add - no status yet",IF(IF(J304="Ordered",IF(K304="",FALSE,K304&lt;TodayDate),FALSE),"Late - expected and not arrived",IF(V304&gt;0,"Check - delivery came up short",IF(IF(X304="",FALSE,X304&gt;0),"Check - cost has gone up",IF(O304&lt;&gt;"Yes","Due - invoice not paid","OK")))))))</f>
        <v>0</v>
      </c>
    </row>
    <row r="306" spans="1:25" ht="20" customHeight="1">
      <c r="A306" s="7" t="s">
        <v>591</v>
      </c>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26" customHeight="1">
      <c r="A307" s="10" t="s">
        <v>592</v>
      </c>
      <c r="B307" s="11" t="s">
        <v>585</v>
      </c>
      <c r="C307" s="11" t="s">
        <v>580</v>
      </c>
      <c r="D307" s="11" t="s">
        <v>586</v>
      </c>
      <c r="E307" s="11" t="s">
        <v>555</v>
      </c>
      <c r="F307" s="11" t="s">
        <v>593</v>
      </c>
      <c r="G307" s="11" t="s">
        <v>594</v>
      </c>
      <c r="H307" s="11" t="s">
        <v>595</v>
      </c>
      <c r="I307" s="11" t="s">
        <v>596</v>
      </c>
    </row>
    <row r="308" spans="1:25">
      <c r="A308" s="25">
        <f>COUNTIF(Purchases!$B$5:$B$304,"&lt;&gt;")</f>
        <v>0</v>
      </c>
      <c r="B308" s="26">
        <f>ROUND(SUM(Purchases!$S$5:$S$304),2)</f>
        <v>0</v>
      </c>
      <c r="C308" s="26">
        <f>ROUND(SUM(Purchases!$H$5:$H$304),2)</f>
        <v>0</v>
      </c>
      <c r="D308" s="26">
        <f>ROUND(SUM(Purchases!$T$5:$T$304),2)</f>
        <v>0</v>
      </c>
      <c r="E308" s="26">
        <f>ROUND(SUMIFS(Purchases!$T$5:$T$304,Purchases!$J$5:$J$304,"Received"),2)</f>
        <v>0</v>
      </c>
      <c r="F308" s="26">
        <f>ROUND(SUMIFS(Purchases!$T$5:$T$304,Purchases!$J$5:$J$304,"Ordered"),2)</f>
        <v>0</v>
      </c>
      <c r="G308" s="26">
        <f>ROUND(SUMIFS(Purchases!$T$5:$T$304,Purchases!$O$5:$O$304,"&lt;&gt;Yes"),2)</f>
        <v>0</v>
      </c>
      <c r="H308" s="25">
        <f>COUNTIFS(Purchases!$Y$5:$Y$304,"Late*")</f>
        <v>0</v>
      </c>
      <c r="I308" s="25">
        <f>COUNTIFS(Purchases!$X$5:$X$304,"&gt;0")</f>
        <v>0</v>
      </c>
    </row>
    <row r="310" spans="1:25" ht="20" customHeight="1">
      <c r="A310" s="7" t="s">
        <v>597</v>
      </c>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30" customHeight="1">
      <c r="A311" s="6" t="s">
        <v>598</v>
      </c>
      <c r="B311" s="6"/>
      <c r="C311" s="6"/>
      <c r="D311" s="6"/>
      <c r="E311" s="6"/>
      <c r="F311" s="6"/>
      <c r="G311" s="6"/>
      <c r="H311" s="6"/>
      <c r="I311" s="6"/>
      <c r="J311" s="6"/>
      <c r="K311" s="6"/>
      <c r="L311" s="6"/>
      <c r="M311" s="6"/>
      <c r="N311" s="6"/>
      <c r="O311" s="6"/>
      <c r="P311" s="6"/>
      <c r="Q311" s="6"/>
      <c r="R311" s="6"/>
      <c r="S311" s="6"/>
      <c r="T311" s="6"/>
      <c r="U311" s="6"/>
      <c r="V311" s="6"/>
      <c r="W311" s="6"/>
      <c r="X311" s="6"/>
      <c r="Y311" s="6"/>
    </row>
    <row r="313" spans="1:25" ht="26" customHeight="1">
      <c r="A313" s="10" t="s">
        <v>544</v>
      </c>
      <c r="B313" s="11" t="s">
        <v>599</v>
      </c>
      <c r="C313" s="11" t="s">
        <v>253</v>
      </c>
      <c r="D313" s="11" t="s">
        <v>254</v>
      </c>
      <c r="E313" s="11" t="s">
        <v>600</v>
      </c>
      <c r="F313" s="11" t="s">
        <v>601</v>
      </c>
      <c r="G313" s="11" t="s">
        <v>602</v>
      </c>
      <c r="H313" s="11" t="s">
        <v>603</v>
      </c>
      <c r="I313" s="11" t="s">
        <v>225</v>
      </c>
    </row>
    <row r="314" spans="1:25">
      <c r="A314" s="34"/>
      <c r="B314" s="34"/>
      <c r="C314" s="34"/>
      <c r="D314" s="34"/>
      <c r="E314" s="34"/>
      <c r="F314" s="33"/>
      <c r="G314" s="32"/>
      <c r="H314" s="34"/>
      <c r="I314" s="34"/>
    </row>
    <row r="315" spans="1:25">
      <c r="A315" s="34"/>
      <c r="B315" s="34"/>
      <c r="C315" s="34"/>
      <c r="D315" s="34"/>
      <c r="E315" s="34"/>
      <c r="F315" s="33"/>
      <c r="G315" s="32"/>
      <c r="H315" s="34"/>
      <c r="I315" s="34"/>
    </row>
    <row r="316" spans="1:25">
      <c r="A316" s="34"/>
      <c r="B316" s="34"/>
      <c r="C316" s="34"/>
      <c r="D316" s="34"/>
      <c r="E316" s="34"/>
      <c r="F316" s="33"/>
      <c r="G316" s="32"/>
      <c r="H316" s="34"/>
      <c r="I316" s="34"/>
    </row>
    <row r="317" spans="1:25">
      <c r="A317" s="34"/>
      <c r="B317" s="34"/>
      <c r="C317" s="34"/>
      <c r="D317" s="34"/>
      <c r="E317" s="34"/>
      <c r="F317" s="33"/>
      <c r="G317" s="32"/>
      <c r="H317" s="34"/>
      <c r="I317" s="34"/>
    </row>
    <row r="318" spans="1:25">
      <c r="A318" s="34"/>
      <c r="B318" s="34"/>
      <c r="C318" s="34"/>
      <c r="D318" s="34"/>
      <c r="E318" s="34"/>
      <c r="F318" s="33"/>
      <c r="G318" s="32"/>
      <c r="H318" s="34"/>
      <c r="I318" s="34"/>
    </row>
    <row r="319" spans="1:25">
      <c r="A319" s="34"/>
      <c r="B319" s="34"/>
      <c r="C319" s="34"/>
      <c r="D319" s="34"/>
      <c r="E319" s="34"/>
      <c r="F319" s="33"/>
      <c r="G319" s="32"/>
      <c r="H319" s="34"/>
      <c r="I319" s="34"/>
    </row>
    <row r="320" spans="1:25">
      <c r="A320" s="34"/>
      <c r="B320" s="34"/>
      <c r="C320" s="34"/>
      <c r="D320" s="34"/>
      <c r="E320" s="34"/>
      <c r="F320" s="33"/>
      <c r="G320" s="32"/>
      <c r="H320" s="34"/>
      <c r="I320" s="34"/>
    </row>
    <row r="321" spans="1:9">
      <c r="A321" s="34"/>
      <c r="B321" s="34"/>
      <c r="C321" s="34"/>
      <c r="D321" s="34"/>
      <c r="E321" s="34"/>
      <c r="F321" s="33"/>
      <c r="G321" s="32"/>
      <c r="H321" s="34"/>
      <c r="I321" s="34"/>
    </row>
    <row r="322" spans="1:9">
      <c r="A322" s="34"/>
      <c r="B322" s="34"/>
      <c r="C322" s="34"/>
      <c r="D322" s="34"/>
      <c r="E322" s="34"/>
      <c r="F322" s="33"/>
      <c r="G322" s="32"/>
      <c r="H322" s="34"/>
      <c r="I322" s="34"/>
    </row>
    <row r="323" spans="1:9">
      <c r="A323" s="34"/>
      <c r="B323" s="34"/>
      <c r="C323" s="34"/>
      <c r="D323" s="34"/>
      <c r="E323" s="34"/>
      <c r="F323" s="33"/>
      <c r="G323" s="32"/>
      <c r="H323" s="34"/>
      <c r="I323" s="34"/>
    </row>
    <row r="324" spans="1:9">
      <c r="A324" s="34"/>
      <c r="B324" s="34"/>
      <c r="C324" s="34"/>
      <c r="D324" s="34"/>
      <c r="E324" s="34"/>
      <c r="F324" s="33"/>
      <c r="G324" s="32"/>
      <c r="H324" s="34"/>
      <c r="I324" s="34"/>
    </row>
    <row r="325" spans="1:9">
      <c r="A325" s="34"/>
      <c r="B325" s="34"/>
      <c r="C325" s="34"/>
      <c r="D325" s="34"/>
      <c r="E325" s="34"/>
      <c r="F325" s="33"/>
      <c r="G325" s="32"/>
      <c r="H325" s="34"/>
      <c r="I325" s="34"/>
    </row>
    <row r="326" spans="1:9">
      <c r="A326" s="34"/>
      <c r="B326" s="34"/>
      <c r="C326" s="34"/>
      <c r="D326" s="34"/>
      <c r="E326" s="34"/>
      <c r="F326" s="33"/>
      <c r="G326" s="32"/>
      <c r="H326" s="34"/>
      <c r="I326" s="34"/>
    </row>
    <row r="327" spans="1:9">
      <c r="A327" s="34"/>
      <c r="B327" s="34"/>
      <c r="C327" s="34"/>
      <c r="D327" s="34"/>
      <c r="E327" s="34"/>
      <c r="F327" s="33"/>
      <c r="G327" s="32"/>
      <c r="H327" s="34"/>
      <c r="I327" s="34"/>
    </row>
    <row r="328" spans="1:9">
      <c r="A328" s="34"/>
      <c r="B328" s="34"/>
      <c r="C328" s="34"/>
      <c r="D328" s="34"/>
      <c r="E328" s="34"/>
      <c r="F328" s="33"/>
      <c r="G328" s="32"/>
      <c r="H328" s="34"/>
      <c r="I328" s="34"/>
    </row>
    <row r="329" spans="1:9">
      <c r="A329" s="34"/>
      <c r="B329" s="34"/>
      <c r="C329" s="34"/>
      <c r="D329" s="34"/>
      <c r="E329" s="34"/>
      <c r="F329" s="33"/>
      <c r="G329" s="32"/>
      <c r="H329" s="34"/>
      <c r="I329" s="34"/>
    </row>
    <row r="330" spans="1:9">
      <c r="A330" s="34"/>
      <c r="B330" s="34"/>
      <c r="C330" s="34"/>
      <c r="D330" s="34"/>
      <c r="E330" s="34"/>
      <c r="F330" s="33"/>
      <c r="G330" s="32"/>
      <c r="H330" s="34"/>
      <c r="I330" s="34"/>
    </row>
    <row r="331" spans="1:9">
      <c r="A331" s="34"/>
      <c r="B331" s="34"/>
      <c r="C331" s="34"/>
      <c r="D331" s="34"/>
      <c r="E331" s="34"/>
      <c r="F331" s="33"/>
      <c r="G331" s="32"/>
      <c r="H331" s="34"/>
      <c r="I331" s="34"/>
    </row>
    <row r="332" spans="1:9">
      <c r="A332" s="34"/>
      <c r="B332" s="34"/>
      <c r="C332" s="34"/>
      <c r="D332" s="34"/>
      <c r="E332" s="34"/>
      <c r="F332" s="33"/>
      <c r="G332" s="32"/>
      <c r="H332" s="34"/>
      <c r="I332" s="34"/>
    </row>
    <row r="333" spans="1:9">
      <c r="A333" s="34"/>
      <c r="B333" s="34"/>
      <c r="C333" s="34"/>
      <c r="D333" s="34"/>
      <c r="E333" s="34"/>
      <c r="F333" s="33"/>
      <c r="G333" s="32"/>
      <c r="H333" s="34"/>
      <c r="I333" s="34"/>
    </row>
    <row r="334" spans="1:9">
      <c r="A334" s="34"/>
      <c r="B334" s="34"/>
      <c r="C334" s="34"/>
      <c r="D334" s="34"/>
      <c r="E334" s="34"/>
      <c r="F334" s="33"/>
      <c r="G334" s="32"/>
      <c r="H334" s="34"/>
      <c r="I334" s="34"/>
    </row>
    <row r="335" spans="1:9">
      <c r="A335" s="34"/>
      <c r="B335" s="34"/>
      <c r="C335" s="34"/>
      <c r="D335" s="34"/>
      <c r="E335" s="34"/>
      <c r="F335" s="33"/>
      <c r="G335" s="32"/>
      <c r="H335" s="34"/>
      <c r="I335" s="34"/>
    </row>
    <row r="336" spans="1:9">
      <c r="A336" s="34"/>
      <c r="B336" s="34"/>
      <c r="C336" s="34"/>
      <c r="D336" s="34"/>
      <c r="E336" s="34"/>
      <c r="F336" s="33"/>
      <c r="G336" s="32"/>
      <c r="H336" s="34"/>
      <c r="I336" s="34"/>
    </row>
    <row r="337" spans="1:9">
      <c r="A337" s="34"/>
      <c r="B337" s="34"/>
      <c r="C337" s="34"/>
      <c r="D337" s="34"/>
      <c r="E337" s="34"/>
      <c r="F337" s="33"/>
      <c r="G337" s="32"/>
      <c r="H337" s="34"/>
      <c r="I337" s="34"/>
    </row>
    <row r="339" spans="1:9" ht="26" customHeight="1">
      <c r="A339" s="10" t="s">
        <v>604</v>
      </c>
      <c r="B339" s="11" t="s">
        <v>605</v>
      </c>
      <c r="C339" s="11" t="s">
        <v>606</v>
      </c>
      <c r="D339" s="11" t="s">
        <v>607</v>
      </c>
    </row>
    <row r="340" spans="1:9">
      <c r="A340" s="25">
        <f>COUNTIF(Purchases!$A$314:$A$337,"?*")</f>
        <v>0</v>
      </c>
      <c r="B340" s="26">
        <f>ROUND(SUM(Purchases!$T$5:$T$304),2)</f>
        <v>0</v>
      </c>
      <c r="C340" s="26">
        <f>ROUND(SUMIFS(Purchases!$T$5:$T$304,Purchases!$Q$5:$Q$304,ThisMonthKey),2)</f>
        <v>0</v>
      </c>
      <c r="D340" s="15">
        <f>IFERROR(INDEX(Purchases!$C$5:$C$304,MATCH(MAX(Purchases!$T$5:$T$304),Purchases!$T$5:$T$304,0)),"")</f>
        <v>0</v>
      </c>
    </row>
  </sheetData>
  <sheetProtection password="EC7C" sheet="1" objects="1" scenarios="1" formatCells="0" formatColumns="0" formatRows="0" insertRows="0" insertHyperlinks="0" deleteRows="0" autoFilter="0"/>
  <autoFilter ref="A4:Y304"/>
  <mergeCells count="16">
    <mergeCell ref="A1:V1"/>
    <mergeCell ref="W1:Y1"/>
    <mergeCell ref="A2:Y2"/>
    <mergeCell ref="A3:B3"/>
    <mergeCell ref="C3:D3"/>
    <mergeCell ref="E3:F3"/>
    <mergeCell ref="G3:H3"/>
    <mergeCell ref="I3:J3"/>
    <mergeCell ref="K3:L3"/>
    <mergeCell ref="M3:N3"/>
    <mergeCell ref="O3:P3"/>
    <mergeCell ref="Q3:R3"/>
    <mergeCell ref="S3:Y3"/>
    <mergeCell ref="A306:Y306"/>
    <mergeCell ref="A310:Y310"/>
    <mergeCell ref="A311:Y311"/>
  </mergeCells>
  <conditionalFormatting sqref="J5:J304">
    <cfRule type="containsText" dxfId="1" priority="1" operator="containsText" text="Completed">
      <formula>NOT(ISERROR(SEARCH("Completed",J5)))</formula>
    </cfRule>
    <cfRule type="containsText" dxfId="1" priority="2" operator="containsText" text="Complete">
      <formula>NOT(ISERROR(SEARCH("Complete",J5)))</formula>
    </cfRule>
    <cfRule type="containsText" dxfId="1" priority="3" operator="containsText" text="Paid">
      <formula>NOT(ISERROR(SEARCH("Paid",J5)))</formula>
    </cfRule>
    <cfRule type="containsText" dxfId="1" priority="4" operator="containsText" text="Settled">
      <formula>NOT(ISERROR(SEARCH("Settled",J5)))</formula>
    </cfRule>
    <cfRule type="containsText" dxfId="1" priority="5" operator="containsText" text="Arrived">
      <formula>NOT(ISERROR(SEARCH("Arrived",J5)))</formula>
    </cfRule>
    <cfRule type="containsText" dxfId="1" priority="6" operator="containsText" text="Active">
      <formula>NOT(ISERROR(SEARCH("Active",J5)))</formula>
    </cfRule>
    <cfRule type="containsText" dxfId="1" priority="7" operator="containsText" text="Regular">
      <formula>NOT(ISERROR(SEARCH("Regular",J5)))</formula>
    </cfRule>
    <cfRule type="containsText" dxfId="1" priority="8" operator="containsText" text="VIP">
      <formula>NOT(ISERROR(SEARCH("VIP",J5)))</formula>
    </cfRule>
    <cfRule type="containsText" dxfId="1" priority="9" operator="containsText" text="In stock">
      <formula>NOT(ISERROR(SEARCH("In stock",J5)))</formula>
    </cfRule>
    <cfRule type="containsText" dxfId="1" priority="10" operator="containsText" text="Received">
      <formula>NOT(ISERROR(SEARCH("Received",J5)))</formula>
    </cfRule>
    <cfRule type="containsText" dxfId="1" priority="11" operator="containsText" text="Approved">
      <formula>NOT(ISERROR(SEARCH("Approved",J5)))</formula>
    </cfRule>
    <cfRule type="containsText" dxfId="1" priority="12" operator="containsText" text="Yes">
      <formula>NOT(ISERROR(SEARCH("Yes",J5)))</formula>
    </cfRule>
    <cfRule type="containsText" dxfId="3" priority="13" operator="containsText" text="Booked">
      <formula>NOT(ISERROR(SEARCH("Booked",J5)))</formula>
    </cfRule>
    <cfRule type="containsText" dxfId="3" priority="14" operator="containsText" text="Confirmed">
      <formula>NOT(ISERROR(SEARCH("Confirmed",J5)))</formula>
    </cfRule>
    <cfRule type="containsText" dxfId="3" priority="15" operator="containsText" text="Scheduled">
      <formula>NOT(ISERROR(SEARCH("Scheduled",J5)))</formula>
    </cfRule>
    <cfRule type="containsText" dxfId="3" priority="16" operator="containsText" text="New">
      <formula>NOT(ISERROR(SEARCH("New",J5)))</formula>
    </cfRule>
    <cfRule type="containsText" dxfId="3" priority="17" operator="containsText" text="Ordered">
      <formula>NOT(ISERROR(SEARCH("Ordered",J5)))</formula>
    </cfRule>
    <cfRule type="containsText" dxfId="3" priority="18" operator="containsText" text="Running">
      <formula>NOT(ISERROR(SEARCH("Running",J5)))</formula>
    </cfRule>
    <cfRule type="containsText" dxfId="0" priority="19" operator="containsText" text="Part paid">
      <formula>NOT(ISERROR(SEARCH("Part paid",J5)))</formula>
    </cfRule>
    <cfRule type="containsText" dxfId="0" priority="20" operator="containsText" text="Pending">
      <formula>NOT(ISERROR(SEARCH("Pending",J5)))</formula>
    </cfRule>
    <cfRule type="containsText" dxfId="0" priority="21" operator="containsText" text="Enquiry">
      <formula>NOT(ISERROR(SEARCH("Enquiry",J5)))</formula>
    </cfRule>
    <cfRule type="containsText" dxfId="0" priority="22" operator="containsText" text="Rescheduled">
      <formula>NOT(ISERROR(SEARCH("Rescheduled",J5)))</formula>
    </cfRule>
    <cfRule type="containsText" dxfId="0" priority="23" operator="containsText" text="Low stock">
      <formula>NOT(ISERROR(SEARCH("Low stock",J5)))</formula>
    </cfRule>
    <cfRule type="containsText" dxfId="0" priority="24" operator="containsText" text="Lapsing">
      <formula>NOT(ISERROR(SEARCH("Lapsing",J5)))</formula>
    </cfRule>
    <cfRule type="containsText" dxfId="0" priority="25" operator="containsText" text="Planned">
      <formula>NOT(ISERROR(SEARCH("Planned",J5)))</formula>
    </cfRule>
    <cfRule type="containsText" dxfId="0" priority="26" operator="containsText" text="On hold">
      <formula>NOT(ISERROR(SEARCH("On hold",J5)))</formula>
    </cfRule>
    <cfRule type="containsText" dxfId="0" priority="27" operator="containsText" text="Draft">
      <formula>NOT(ISERROR(SEARCH("Draft",J5)))</formula>
    </cfRule>
    <cfRule type="containsText" dxfId="2" priority="28" operator="containsText" text="Cancelled">
      <formula>NOT(ISERROR(SEARCH("Cancelled",J5)))</formula>
    </cfRule>
    <cfRule type="containsText" dxfId="2" priority="29" operator="containsText" text="No show">
      <formula>NOT(ISERROR(SEARCH("No show",J5)))</formula>
    </cfRule>
    <cfRule type="containsText" dxfId="2" priority="30" operator="containsText" text="Refunded">
      <formula>NOT(ISERROR(SEARCH("Refunded",J5)))</formula>
    </cfRule>
    <cfRule type="containsText" dxfId="2" priority="31" operator="containsText" text="Out of stock">
      <formula>NOT(ISERROR(SEARCH("Out of stock",J5)))</formula>
    </cfRule>
    <cfRule type="containsText" dxfId="2" priority="32" operator="containsText" text="Overdue">
      <formula>NOT(ISERROR(SEARCH("Overdue",J5)))</formula>
    </cfRule>
    <cfRule type="containsText" dxfId="2" priority="33" operator="containsText" text="Written off">
      <formula>NOT(ISERROR(SEARCH("Written off",J5)))</formula>
    </cfRule>
    <cfRule type="containsText" dxfId="4" priority="34" operator="containsText" text="Inactive">
      <formula>NOT(ISERROR(SEARCH("Inactive",J5)))</formula>
    </cfRule>
    <cfRule type="containsText" dxfId="4" priority="35" operator="containsText" text="Archived">
      <formula>NOT(ISERROR(SEARCH("Archived",J5)))</formula>
    </cfRule>
    <cfRule type="containsText" dxfId="4" priority="36" operator="containsText" text="Finished">
      <formula>NOT(ISERROR(SEARCH("Finished",J5)))</formula>
    </cfRule>
    <cfRule type="containsText" dxfId="4" priority="37" operator="containsText" text="Discontinued">
      <formula>NOT(ISERROR(SEARCH("Discontinued",J5)))</formula>
    </cfRule>
  </conditionalFormatting>
  <conditionalFormatting sqref="T5:T304">
    <cfRule type="dataBar" priority="38">
      <dataBar>
        <cfvo type="min" val="0"/>
        <cfvo type="max" val="0"/>
        <color rgb="FF9A5C86"/>
      </dataBar>
    </cfRule>
  </conditionalFormatting>
  <conditionalFormatting sqref="V5:V304">
    <cfRule type="cellIs" dxfId="0" priority="39" operator="greaterThan">
      <formula>0</formula>
    </cfRule>
  </conditionalFormatting>
  <conditionalFormatting sqref="X5:X304">
    <cfRule type="cellIs" dxfId="2" priority="40" operator="greaterThan">
      <formula>0</formula>
    </cfRule>
    <cfRule type="cellIs" dxfId="1" priority="41" operator="lessThan">
      <formula>0</formula>
    </cfRule>
  </conditionalFormatting>
  <conditionalFormatting sqref="Y5:Y304">
    <cfRule type="beginsWith" dxfId="1" priority="42" operator="beginsWith" text="OK">
      <formula>LEFT(Y5,2)="OK"</formula>
    </cfRule>
    <cfRule type="containsText" dxfId="2" priority="43" operator="containsText" text="Overdue">
      <formula>NOT(ISERROR(SEARCH("Overdue",Y5)))</formula>
    </cfRule>
    <cfRule type="containsText" dxfId="2" priority="44" operator="containsText" text="Late">
      <formula>NOT(ISERROR(SEARCH("Late",Y5)))</formula>
    </cfRule>
    <cfRule type="containsText" dxfId="2" priority="45" operator="containsText" text="Missing">
      <formula>NOT(ISERROR(SEARCH("Missing",Y5)))</formula>
    </cfRule>
    <cfRule type="containsText" dxfId="2" priority="46" operator="containsText" text="Clash">
      <formula>NOT(ISERROR(SEARCH("Clash",Y5)))</formula>
    </cfRule>
    <cfRule type="containsText" dxfId="2" priority="47" operator="containsText" text="Conflict">
      <formula>NOT(ISERROR(SEARCH("Conflict",Y5)))</formula>
    </cfRule>
    <cfRule type="containsText" dxfId="2" priority="48" operator="containsText" text="Duplicate">
      <formula>NOT(ISERROR(SEARCH("Duplicate",Y5)))</formula>
    </cfRule>
    <cfRule type="containsText" dxfId="2" priority="49" operator="containsText" text="Unpaid">
      <formula>NOT(ISERROR(SEARCH("Unpaid",Y5)))</formula>
    </cfRule>
    <cfRule type="containsText" dxfId="2" priority="50" operator="containsText" text="Loss">
      <formula>NOT(ISERROR(SEARCH("Loss",Y5)))</formula>
    </cfRule>
    <cfRule type="containsText" dxfId="2" priority="51" operator="containsText" text="Below">
      <formula>NOT(ISERROR(SEARCH("Below",Y5)))</formula>
    </cfRule>
    <cfRule type="containsText" dxfId="2" priority="52" operator="containsText" text="Out of stock">
      <formula>NOT(ISERROR(SEARCH("Out of stock",Y5)))</formula>
    </cfRule>
    <cfRule type="containsText" dxfId="2" priority="53" operator="containsText" text="No show">
      <formula>NOT(ISERROR(SEARCH("No show",Y5)))</formula>
    </cfRule>
    <cfRule type="containsText" dxfId="0" priority="54" operator="containsText" text="Action">
      <formula>NOT(ISERROR(SEARCH("Action",Y5)))</formula>
    </cfRule>
    <cfRule type="containsText" dxfId="0" priority="55" operator="containsText" text="Due">
      <formula>NOT(ISERROR(SEARCH("Due",Y5)))</formula>
    </cfRule>
    <cfRule type="containsText" dxfId="0" priority="56" operator="containsText" text="Check">
      <formula>NOT(ISERROR(SEARCH("Check",Y5)))</formula>
    </cfRule>
    <cfRule type="containsText" dxfId="0" priority="57" operator="containsText" text="Chase">
      <formula>NOT(ISERROR(SEARCH("Chase",Y5)))</formula>
    </cfRule>
    <cfRule type="containsText" dxfId="0" priority="58" operator="containsText" text="Assign">
      <formula>NOT(ISERROR(SEARCH("Assign",Y5)))</formula>
    </cfRule>
    <cfRule type="containsText" dxfId="0" priority="59" operator="containsText" text="Confirm">
      <formula>NOT(ISERROR(SEARCH("Confirm",Y5)))</formula>
    </cfRule>
    <cfRule type="containsText" dxfId="0" priority="60" operator="containsText" text="Order">
      <formula>NOT(ISERROR(SEARCH("Order",Y5)))</formula>
    </cfRule>
    <cfRule type="containsText" dxfId="0" priority="61" operator="containsText" text="Rebook">
      <formula>NOT(ISERROR(SEARCH("Rebook",Y5)))</formula>
    </cfRule>
    <cfRule type="containsText" dxfId="0" priority="62" operator="containsText" text="Add">
      <formula>NOT(ISERROR(SEARCH("Add",Y5)))</formula>
    </cfRule>
    <cfRule type="containsText" dxfId="3" priority="63" operator="containsText" text="Today">
      <formula>NOT(ISERROR(SEARCH("Today",Y5)))</formula>
    </cfRule>
    <cfRule type="containsText" dxfId="3" priority="64" operator="containsText" text="Tomorrow">
      <formula>NOT(ISERROR(SEARCH("Tomorrow",Y5)))</formula>
    </cfRule>
    <cfRule type="containsText" dxfId="3" priority="65" operator="containsText" text="Upcoming">
      <formula>NOT(ISERROR(SEARCH("Upcoming",Y5)))</formula>
    </cfRule>
  </conditionalFormatting>
  <dataValidations count="12">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promptTitle="Supplier" prompt="From the supplier book at the bottom of this tab." sqref="C5:C304">
      <formula1>SupplierList</formula1>
    </dataValidation>
    <dataValidation type="list" allowBlank="1" showInputMessage="1" showErrorMessage="1" promptTitle="Product ID" prompt="The inventory ID. One line per product, as on the invoice." sqref="D5:D304">
      <formula1>ProductList</formula1>
    </dataValidation>
    <dataValidation type="decimal" allowBlank="1" showInputMessage="1" showErrorMessage="1" errorTitle="Check the value" error="Enter a number between 0 and 100000." sqref="F5:F304">
      <formula1>0</formula1>
      <formula2>100000</formula2>
    </dataValidation>
    <dataValidation type="decimal" allowBlank="1" showInputMessage="1" showErrorMessage="1" errorTitle="Check the value" error="Enter a number between 0 and 100000." promptTitle="Cost each" prompt="What this order charged. Leave blank to use the cost on the inventory tab." sqref="G5:G304">
      <formula1>0</formula1>
      <formula2>100000</formula2>
    </dataValidation>
    <dataValidation type="decimal" allowBlank="1" showInputMessage="1" showErrorMessage="1" errorTitle="Check the value" error="Enter a number between 0 and 100000." sqref="H5:H304">
      <formula1>0</formula1>
      <formula2>100000</formula2>
    </dataValidation>
    <dataValidation type="decimal" allowBlank="1" showInputMessage="1" showErrorMessage="1" errorTitle="Check the value" error="Enter a number between 0 and 100000." sqref="I5:I304">
      <formula1>0</formula1>
      <formula2>100000</formula2>
    </dataValidation>
    <dataValidation type="list" allowBlank="1" showInputMessage="1" showErrorMessage="1" promptTitle="Status" prompt="Nothing counts into stock until this says Received or Part received." sqref="J5:J304">
      <formula1>PurchaseStatusList</formula1>
    </dataValidation>
    <dataValidation type="date" allowBlank="1" showInputMessage="1" showErrorMessage="1" errorTitle="Check the date" error="Enter a real date between 2000 and 2100." sqref="K5:K304">
      <formula1>36526</formula1>
      <formula2>73415</formula2>
    </dataValidation>
    <dataValidation type="date" allowBlank="1" showInputMessage="1" showErrorMessage="1" errorTitle="Check the date" error="Enter a real date between 2000 and 2100." sqref="L5:L304">
      <formula1>36526</formula1>
      <formula2>73415</formula2>
    </dataValidation>
    <dataValidation type="decimal" allowBlank="1" showInputMessage="1" showErrorMessage="1" errorTitle="Check the value" error="Enter a number between 0 and 100000." promptTitle="Quantity in" prompt="Only needed when a delivery is short. Blank means all of it arrived." sqref="M5:M304">
      <formula1>0</formula1>
      <formula2>100000</formula2>
    </dataValidation>
    <dataValidation type="list" allowBlank="1" showInputMessage="1" showErrorMessage="1" sqref="O5:O304">
      <formula1>"Yes,No"</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&amp;L&amp;"Calibri,Bold"&amp;12&amp;C&amp;"Calibri,Bold"&amp;11Purchases&amp;R&amp;"Calibri,Italic"&amp;9Salon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C08A5E"/>
    <pageSetUpPr fitToPage="1"/>
  </sheetPr>
  <dimension ref="A1:Y1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28" customWidth="1"/>
    <col min="2" max="2" width="26.7109375" style="34" customWidth="1"/>
    <col min="3" max="3" width="18.7109375" style="34" customWidth="1"/>
    <col min="4" max="4" width="28.7109375" style="34" customWidth="1"/>
    <col min="5" max="5" width="13.7109375" style="34" customWidth="1"/>
    <col min="6" max="6" width="11.7109375" style="29" customWidth="1"/>
    <col min="7" max="7" width="11.7109375" style="29" customWidth="1"/>
    <col min="8" max="8" width="11.7109375" style="33" customWidth="1"/>
    <col min="9" max="9" width="13.7109375" style="33" customWidth="1"/>
    <col min="10" max="10" width="12.7109375" style="34" customWidth="1"/>
    <col min="11" max="11" width="28.7109375" style="35" customWidth="1"/>
    <col min="12" max="12" width="10.7109375" style="15" hidden="1" customWidth="1"/>
    <col min="13" max="13" width="11.7109375" style="25" customWidth="1"/>
    <col min="14" max="14" width="12.7109375" style="26" customWidth="1"/>
    <col min="15" max="15" width="13.7109375" style="26" customWidth="1"/>
    <col min="16" max="16" width="12.7109375" style="25" hidden="1" customWidth="1"/>
    <col min="17" max="17" width="11.7109375" style="25" customWidth="1"/>
    <col min="18" max="18" width="10.7109375" style="25" hidden="1" customWidth="1"/>
    <col min="19" max="19" width="11.7109375" style="26" customWidth="1"/>
    <col min="20" max="20" width="11.7109375" style="26" customWidth="1"/>
    <col min="21" max="21" width="10.7109375" style="27" customWidth="1"/>
    <col min="22" max="22" width="14.7109375" style="26" customWidth="1"/>
    <col min="23" max="23" width="12.7109375" style="26" hidden="1" customWidth="1"/>
    <col min="24" max="24" width="9.7109375" style="25" hidden="1" customWidth="1"/>
    <col min="25" max="25" width="28.7109375" style="39" customWidth="1"/>
  </cols>
  <sheetData>
    <row r="1" spans="1:25" ht="34" customHeight="1">
      <c r="A1" s="2" t="s">
        <v>608</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609</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610</v>
      </c>
      <c r="T3" s="40"/>
      <c r="U3" s="40"/>
      <c r="V3" s="40"/>
      <c r="W3" s="40"/>
      <c r="X3" s="40"/>
      <c r="Y3" s="40"/>
    </row>
    <row r="4" spans="1:25" ht="30" customHeight="1">
      <c r="A4" s="10" t="s">
        <v>211</v>
      </c>
      <c r="B4" s="10" t="s">
        <v>611</v>
      </c>
      <c r="C4" s="11" t="s">
        <v>612</v>
      </c>
      <c r="D4" s="11" t="s">
        <v>613</v>
      </c>
      <c r="E4" s="11" t="s">
        <v>344</v>
      </c>
      <c r="F4" s="11" t="s">
        <v>614</v>
      </c>
      <c r="G4" s="11" t="s">
        <v>615</v>
      </c>
      <c r="H4" s="11" t="s">
        <v>354</v>
      </c>
      <c r="I4" s="11" t="s">
        <v>616</v>
      </c>
      <c r="J4" s="11" t="s">
        <v>222</v>
      </c>
      <c r="K4" s="11" t="s">
        <v>617</v>
      </c>
      <c r="L4" s="11" t="s">
        <v>121</v>
      </c>
      <c r="M4" s="11" t="s">
        <v>618</v>
      </c>
      <c r="N4" s="11" t="s">
        <v>186</v>
      </c>
      <c r="O4" s="11" t="s">
        <v>619</v>
      </c>
      <c r="P4" s="11" t="s">
        <v>620</v>
      </c>
      <c r="Q4" s="11" t="s">
        <v>621</v>
      </c>
      <c r="R4" s="11" t="s">
        <v>622</v>
      </c>
      <c r="S4" s="11" t="s">
        <v>623</v>
      </c>
      <c r="T4" s="11" t="s">
        <v>624</v>
      </c>
      <c r="U4" s="11" t="s">
        <v>625</v>
      </c>
      <c r="V4" s="11" t="s">
        <v>626</v>
      </c>
      <c r="W4" s="11" t="s">
        <v>127</v>
      </c>
      <c r="X4" s="11" t="s">
        <v>627</v>
      </c>
      <c r="Y4" s="11" t="s">
        <v>628</v>
      </c>
    </row>
    <row r="5" spans="1:25">
      <c r="A5" s="28">
        <f>IF(B5="","",CampaignPrefix&amp;TEXT(ROW()-4,"000"))</f>
        <v>0</v>
      </c>
      <c r="L5" s="15">
        <f>IF(F5="","",TEXT(F5,"yyyy-mm"))</f>
        <v>0</v>
      </c>
      <c r="M5" s="25">
        <f>IF(B5="","",IF(E5="",0,COUNTIFS(Sales!$O$5:$O$1204,E5)))</f>
        <v>0</v>
      </c>
      <c r="N5" s="26">
        <f>IF(B5="","",IF(E5="",0,ROUND(SUMIFS(Sales!$Y$5:$Y$1204,Sales!$O$5:$O$1204,E5),2)))</f>
        <v>0</v>
      </c>
      <c r="O5" s="26">
        <f>IF(B5="","",IF(E5="",0,ROUND(SUMIFS(Sales!$X$5:$X$1204,Sales!$O$5:$O$1204,E5),2)))</f>
        <v>0</v>
      </c>
      <c r="P5" s="25">
        <f>IF(B5="","",IF(E5="",0,SUMPRODUCT((Sales!$O$5:$O$1204=E5)*(Sales!$AD$5:$AD$1204="Yes"))))</f>
        <v>0</v>
      </c>
      <c r="Q5" s="25">
        <f>IF(B5="","",IF(F5="",0,COUNTIFS(Clients!$G$5:$G$504,C5,Clients!$X$5:$X$504,"&gt;="&amp;F5,Clients!$X$5:$X$504,"&lt;="&amp;IF(G5="",TodayDate,G5))))</f>
        <v>0</v>
      </c>
      <c r="R5" s="25">
        <f>IF(B5="","",IF(F5="",0,COUNTIFS(Appointments!$N$5:$N$1204,C5,Appointments!$B$5:$B$1204,"&gt;="&amp;F5,Appointments!$B$5:$B$1204,"&lt;="&amp;IF(G5="",TodayDate,G5))))</f>
        <v>0</v>
      </c>
      <c r="S5" s="26">
        <f>IF(B5="","",ROUND(IF(H5="",0,H5)+O5,2))</f>
        <v>0</v>
      </c>
      <c r="T5" s="26">
        <f>IF(B5="","",ROUND(N5-S5,2))</f>
        <v>0</v>
      </c>
      <c r="U5" s="27">
        <f>IF(B5="","",IF(S5&lt;=0,"",T5/S5))</f>
        <v>0</v>
      </c>
      <c r="V5" s="26">
        <f>IF(B5="","",IF(Q5=0,"",ROUND(S5/Q5,2)))</f>
        <v>0</v>
      </c>
      <c r="W5" s="26">
        <f>IF(B5="","",IF(I5="","",ROUND(N5-I5,2)))</f>
        <v>0</v>
      </c>
      <c r="X5" s="25">
        <f>IF(B5="","",COUNTIFS($N$5:$N$104,"&gt;"&amp;N5)+COUNTIFS($N$5:N5,N5))</f>
        <v>0</v>
      </c>
      <c r="Y5" s="39">
        <f>IF(B5="","",IF(E5="","Add - no code, nothing to measure",IF(J5="Planned","Upcoming",IF(M5=0,"Check - code never used",IF(T5&lt;0,"Loss - cost more than it made",IF(U5&gt;=1,"OK - doubled its money",IF(U5&gt;0,"OK - made money","Check - review it")))))))</f>
        <v>0</v>
      </c>
    </row>
    <row r="6" spans="1:25">
      <c r="A6" s="28">
        <f>IF(B6="","",CampaignPrefix&amp;TEXT(ROW()-4,"000"))</f>
        <v>0</v>
      </c>
      <c r="L6" s="15">
        <f>IF(F6="","",TEXT(F6,"yyyy-mm"))</f>
        <v>0</v>
      </c>
      <c r="M6" s="25">
        <f>IF(B6="","",IF(E6="",0,COUNTIFS(Sales!$O$5:$O$1204,E6)))</f>
        <v>0</v>
      </c>
      <c r="N6" s="26">
        <f>IF(B6="","",IF(E6="",0,ROUND(SUMIFS(Sales!$Y$5:$Y$1204,Sales!$O$5:$O$1204,E6),2)))</f>
        <v>0</v>
      </c>
      <c r="O6" s="26">
        <f>IF(B6="","",IF(E6="",0,ROUND(SUMIFS(Sales!$X$5:$X$1204,Sales!$O$5:$O$1204,E6),2)))</f>
        <v>0</v>
      </c>
      <c r="P6" s="25">
        <f>IF(B6="","",IF(E6="",0,SUMPRODUCT((Sales!$O$5:$O$1204=E6)*(Sales!$AD$5:$AD$1204="Yes"))))</f>
        <v>0</v>
      </c>
      <c r="Q6" s="25">
        <f>IF(B6="","",IF(F6="",0,COUNTIFS(Clients!$G$5:$G$504,C6,Clients!$X$5:$X$504,"&gt;="&amp;F6,Clients!$X$5:$X$504,"&lt;="&amp;IF(G6="",TodayDate,G6))))</f>
        <v>0</v>
      </c>
      <c r="R6" s="25">
        <f>IF(B6="","",IF(F6="",0,COUNTIFS(Appointments!$N$5:$N$1204,C6,Appointments!$B$5:$B$1204,"&gt;="&amp;F6,Appointments!$B$5:$B$1204,"&lt;="&amp;IF(G6="",TodayDate,G6))))</f>
        <v>0</v>
      </c>
      <c r="S6" s="26">
        <f>IF(B6="","",ROUND(IF(H6="",0,H6)+O6,2))</f>
        <v>0</v>
      </c>
      <c r="T6" s="26">
        <f>IF(B6="","",ROUND(N6-S6,2))</f>
        <v>0</v>
      </c>
      <c r="U6" s="27">
        <f>IF(B6="","",IF(S6&lt;=0,"",T6/S6))</f>
        <v>0</v>
      </c>
      <c r="V6" s="26">
        <f>IF(B6="","",IF(Q6=0,"",ROUND(S6/Q6,2)))</f>
        <v>0</v>
      </c>
      <c r="W6" s="26">
        <f>IF(B6="","",IF(I6="","",ROUND(N6-I6,2)))</f>
        <v>0</v>
      </c>
      <c r="X6" s="25">
        <f>IF(B6="","",COUNTIFS($N$5:$N$104,"&gt;"&amp;N6)+COUNTIFS($N$5:N6,N6))</f>
        <v>0</v>
      </c>
      <c r="Y6" s="39">
        <f>IF(B6="","",IF(E6="","Add - no code, nothing to measure",IF(J6="Planned","Upcoming",IF(M6=0,"Check - code never used",IF(T6&lt;0,"Loss - cost more than it made",IF(U6&gt;=1,"OK - doubled its money",IF(U6&gt;0,"OK - made money","Check - review it")))))))</f>
        <v>0</v>
      </c>
    </row>
    <row r="7" spans="1:25">
      <c r="A7" s="28">
        <f>IF(B7="","",CampaignPrefix&amp;TEXT(ROW()-4,"000"))</f>
        <v>0</v>
      </c>
      <c r="L7" s="15">
        <f>IF(F7="","",TEXT(F7,"yyyy-mm"))</f>
        <v>0</v>
      </c>
      <c r="M7" s="25">
        <f>IF(B7="","",IF(E7="",0,COUNTIFS(Sales!$O$5:$O$1204,E7)))</f>
        <v>0</v>
      </c>
      <c r="N7" s="26">
        <f>IF(B7="","",IF(E7="",0,ROUND(SUMIFS(Sales!$Y$5:$Y$1204,Sales!$O$5:$O$1204,E7),2)))</f>
        <v>0</v>
      </c>
      <c r="O7" s="26">
        <f>IF(B7="","",IF(E7="",0,ROUND(SUMIFS(Sales!$X$5:$X$1204,Sales!$O$5:$O$1204,E7),2)))</f>
        <v>0</v>
      </c>
      <c r="P7" s="25">
        <f>IF(B7="","",IF(E7="",0,SUMPRODUCT((Sales!$O$5:$O$1204=E7)*(Sales!$AD$5:$AD$1204="Yes"))))</f>
        <v>0</v>
      </c>
      <c r="Q7" s="25">
        <f>IF(B7="","",IF(F7="",0,COUNTIFS(Clients!$G$5:$G$504,C7,Clients!$X$5:$X$504,"&gt;="&amp;F7,Clients!$X$5:$X$504,"&lt;="&amp;IF(G7="",TodayDate,G7))))</f>
        <v>0</v>
      </c>
      <c r="R7" s="25">
        <f>IF(B7="","",IF(F7="",0,COUNTIFS(Appointments!$N$5:$N$1204,C7,Appointments!$B$5:$B$1204,"&gt;="&amp;F7,Appointments!$B$5:$B$1204,"&lt;="&amp;IF(G7="",TodayDate,G7))))</f>
        <v>0</v>
      </c>
      <c r="S7" s="26">
        <f>IF(B7="","",ROUND(IF(H7="",0,H7)+O7,2))</f>
        <v>0</v>
      </c>
      <c r="T7" s="26">
        <f>IF(B7="","",ROUND(N7-S7,2))</f>
        <v>0</v>
      </c>
      <c r="U7" s="27">
        <f>IF(B7="","",IF(S7&lt;=0,"",T7/S7))</f>
        <v>0</v>
      </c>
      <c r="V7" s="26">
        <f>IF(B7="","",IF(Q7=0,"",ROUND(S7/Q7,2)))</f>
        <v>0</v>
      </c>
      <c r="W7" s="26">
        <f>IF(B7="","",IF(I7="","",ROUND(N7-I7,2)))</f>
        <v>0</v>
      </c>
      <c r="X7" s="25">
        <f>IF(B7="","",COUNTIFS($N$5:$N$104,"&gt;"&amp;N7)+COUNTIFS($N$5:N7,N7))</f>
        <v>0</v>
      </c>
      <c r="Y7" s="39">
        <f>IF(B7="","",IF(E7="","Add - no code, nothing to measure",IF(J7="Planned","Upcoming",IF(M7=0,"Check - code never used",IF(T7&lt;0,"Loss - cost more than it made",IF(U7&gt;=1,"OK - doubled its money",IF(U7&gt;0,"OK - made money","Check - review it")))))))</f>
        <v>0</v>
      </c>
    </row>
    <row r="8" spans="1:25">
      <c r="A8" s="28">
        <f>IF(B8="","",CampaignPrefix&amp;TEXT(ROW()-4,"000"))</f>
        <v>0</v>
      </c>
      <c r="L8" s="15">
        <f>IF(F8="","",TEXT(F8,"yyyy-mm"))</f>
        <v>0</v>
      </c>
      <c r="M8" s="25">
        <f>IF(B8="","",IF(E8="",0,COUNTIFS(Sales!$O$5:$O$1204,E8)))</f>
        <v>0</v>
      </c>
      <c r="N8" s="26">
        <f>IF(B8="","",IF(E8="",0,ROUND(SUMIFS(Sales!$Y$5:$Y$1204,Sales!$O$5:$O$1204,E8),2)))</f>
        <v>0</v>
      </c>
      <c r="O8" s="26">
        <f>IF(B8="","",IF(E8="",0,ROUND(SUMIFS(Sales!$X$5:$X$1204,Sales!$O$5:$O$1204,E8),2)))</f>
        <v>0</v>
      </c>
      <c r="P8" s="25">
        <f>IF(B8="","",IF(E8="",0,SUMPRODUCT((Sales!$O$5:$O$1204=E8)*(Sales!$AD$5:$AD$1204="Yes"))))</f>
        <v>0</v>
      </c>
      <c r="Q8" s="25">
        <f>IF(B8="","",IF(F8="",0,COUNTIFS(Clients!$G$5:$G$504,C8,Clients!$X$5:$X$504,"&gt;="&amp;F8,Clients!$X$5:$X$504,"&lt;="&amp;IF(G8="",TodayDate,G8))))</f>
        <v>0</v>
      </c>
      <c r="R8" s="25">
        <f>IF(B8="","",IF(F8="",0,COUNTIFS(Appointments!$N$5:$N$1204,C8,Appointments!$B$5:$B$1204,"&gt;="&amp;F8,Appointments!$B$5:$B$1204,"&lt;="&amp;IF(G8="",TodayDate,G8))))</f>
        <v>0</v>
      </c>
      <c r="S8" s="26">
        <f>IF(B8="","",ROUND(IF(H8="",0,H8)+O8,2))</f>
        <v>0</v>
      </c>
      <c r="T8" s="26">
        <f>IF(B8="","",ROUND(N8-S8,2))</f>
        <v>0</v>
      </c>
      <c r="U8" s="27">
        <f>IF(B8="","",IF(S8&lt;=0,"",T8/S8))</f>
        <v>0</v>
      </c>
      <c r="V8" s="26">
        <f>IF(B8="","",IF(Q8=0,"",ROUND(S8/Q8,2)))</f>
        <v>0</v>
      </c>
      <c r="W8" s="26">
        <f>IF(B8="","",IF(I8="","",ROUND(N8-I8,2)))</f>
        <v>0</v>
      </c>
      <c r="X8" s="25">
        <f>IF(B8="","",COUNTIFS($N$5:$N$104,"&gt;"&amp;N8)+COUNTIFS($N$5:N8,N8))</f>
        <v>0</v>
      </c>
      <c r="Y8" s="39">
        <f>IF(B8="","",IF(E8="","Add - no code, nothing to measure",IF(J8="Planned","Upcoming",IF(M8=0,"Check - code never used",IF(T8&lt;0,"Loss - cost more than it made",IF(U8&gt;=1,"OK - doubled its money",IF(U8&gt;0,"OK - made money","Check - review it")))))))</f>
        <v>0</v>
      </c>
    </row>
    <row r="9" spans="1:25">
      <c r="A9" s="28">
        <f>IF(B9="","",CampaignPrefix&amp;TEXT(ROW()-4,"000"))</f>
        <v>0</v>
      </c>
      <c r="L9" s="15">
        <f>IF(F9="","",TEXT(F9,"yyyy-mm"))</f>
        <v>0</v>
      </c>
      <c r="M9" s="25">
        <f>IF(B9="","",IF(E9="",0,COUNTIFS(Sales!$O$5:$O$1204,E9)))</f>
        <v>0</v>
      </c>
      <c r="N9" s="26">
        <f>IF(B9="","",IF(E9="",0,ROUND(SUMIFS(Sales!$Y$5:$Y$1204,Sales!$O$5:$O$1204,E9),2)))</f>
        <v>0</v>
      </c>
      <c r="O9" s="26">
        <f>IF(B9="","",IF(E9="",0,ROUND(SUMIFS(Sales!$X$5:$X$1204,Sales!$O$5:$O$1204,E9),2)))</f>
        <v>0</v>
      </c>
      <c r="P9" s="25">
        <f>IF(B9="","",IF(E9="",0,SUMPRODUCT((Sales!$O$5:$O$1204=E9)*(Sales!$AD$5:$AD$1204="Yes"))))</f>
        <v>0</v>
      </c>
      <c r="Q9" s="25">
        <f>IF(B9="","",IF(F9="",0,COUNTIFS(Clients!$G$5:$G$504,C9,Clients!$X$5:$X$504,"&gt;="&amp;F9,Clients!$X$5:$X$504,"&lt;="&amp;IF(G9="",TodayDate,G9))))</f>
        <v>0</v>
      </c>
      <c r="R9" s="25">
        <f>IF(B9="","",IF(F9="",0,COUNTIFS(Appointments!$N$5:$N$1204,C9,Appointments!$B$5:$B$1204,"&gt;="&amp;F9,Appointments!$B$5:$B$1204,"&lt;="&amp;IF(G9="",TodayDate,G9))))</f>
        <v>0</v>
      </c>
      <c r="S9" s="26">
        <f>IF(B9="","",ROUND(IF(H9="",0,H9)+O9,2))</f>
        <v>0</v>
      </c>
      <c r="T9" s="26">
        <f>IF(B9="","",ROUND(N9-S9,2))</f>
        <v>0</v>
      </c>
      <c r="U9" s="27">
        <f>IF(B9="","",IF(S9&lt;=0,"",T9/S9))</f>
        <v>0</v>
      </c>
      <c r="V9" s="26">
        <f>IF(B9="","",IF(Q9=0,"",ROUND(S9/Q9,2)))</f>
        <v>0</v>
      </c>
      <c r="W9" s="26">
        <f>IF(B9="","",IF(I9="","",ROUND(N9-I9,2)))</f>
        <v>0</v>
      </c>
      <c r="X9" s="25">
        <f>IF(B9="","",COUNTIFS($N$5:$N$104,"&gt;"&amp;N9)+COUNTIFS($N$5:N9,N9))</f>
        <v>0</v>
      </c>
      <c r="Y9" s="39">
        <f>IF(B9="","",IF(E9="","Add - no code, nothing to measure",IF(J9="Planned","Upcoming",IF(M9=0,"Check - code never used",IF(T9&lt;0,"Loss - cost more than it made",IF(U9&gt;=1,"OK - doubled its money",IF(U9&gt;0,"OK - made money","Check - review it")))))))</f>
        <v>0</v>
      </c>
    </row>
    <row r="10" spans="1:25">
      <c r="A10" s="28">
        <f>IF(B10="","",CampaignPrefix&amp;TEXT(ROW()-4,"000"))</f>
        <v>0</v>
      </c>
      <c r="L10" s="15">
        <f>IF(F10="","",TEXT(F10,"yyyy-mm"))</f>
        <v>0</v>
      </c>
      <c r="M10" s="25">
        <f>IF(B10="","",IF(E10="",0,COUNTIFS(Sales!$O$5:$O$1204,E10)))</f>
        <v>0</v>
      </c>
      <c r="N10" s="26">
        <f>IF(B10="","",IF(E10="",0,ROUND(SUMIFS(Sales!$Y$5:$Y$1204,Sales!$O$5:$O$1204,E10),2)))</f>
        <v>0</v>
      </c>
      <c r="O10" s="26">
        <f>IF(B10="","",IF(E10="",0,ROUND(SUMIFS(Sales!$X$5:$X$1204,Sales!$O$5:$O$1204,E10),2)))</f>
        <v>0</v>
      </c>
      <c r="P10" s="25">
        <f>IF(B10="","",IF(E10="",0,SUMPRODUCT((Sales!$O$5:$O$1204=E10)*(Sales!$AD$5:$AD$1204="Yes"))))</f>
        <v>0</v>
      </c>
      <c r="Q10" s="25">
        <f>IF(B10="","",IF(F10="",0,COUNTIFS(Clients!$G$5:$G$504,C10,Clients!$X$5:$X$504,"&gt;="&amp;F10,Clients!$X$5:$X$504,"&lt;="&amp;IF(G10="",TodayDate,G10))))</f>
        <v>0</v>
      </c>
      <c r="R10" s="25">
        <f>IF(B10="","",IF(F10="",0,COUNTIFS(Appointments!$N$5:$N$1204,C10,Appointments!$B$5:$B$1204,"&gt;="&amp;F10,Appointments!$B$5:$B$1204,"&lt;="&amp;IF(G10="",TodayDate,G10))))</f>
        <v>0</v>
      </c>
      <c r="S10" s="26">
        <f>IF(B10="","",ROUND(IF(H10="",0,H10)+O10,2))</f>
        <v>0</v>
      </c>
      <c r="T10" s="26">
        <f>IF(B10="","",ROUND(N10-S10,2))</f>
        <v>0</v>
      </c>
      <c r="U10" s="27">
        <f>IF(B10="","",IF(S10&lt;=0,"",T10/S10))</f>
        <v>0</v>
      </c>
      <c r="V10" s="26">
        <f>IF(B10="","",IF(Q10=0,"",ROUND(S10/Q10,2)))</f>
        <v>0</v>
      </c>
      <c r="W10" s="26">
        <f>IF(B10="","",IF(I10="","",ROUND(N10-I10,2)))</f>
        <v>0</v>
      </c>
      <c r="X10" s="25">
        <f>IF(B10="","",COUNTIFS($N$5:$N$104,"&gt;"&amp;N10)+COUNTIFS($N$5:N10,N10))</f>
        <v>0</v>
      </c>
      <c r="Y10" s="39">
        <f>IF(B10="","",IF(E10="","Add - no code, nothing to measure",IF(J10="Planned","Upcoming",IF(M10=0,"Check - code never used",IF(T10&lt;0,"Loss - cost more than it made",IF(U10&gt;=1,"OK - doubled its money",IF(U10&gt;0,"OK - made money","Check - review it")))))))</f>
        <v>0</v>
      </c>
    </row>
    <row r="11" spans="1:25">
      <c r="A11" s="28">
        <f>IF(B11="","",CampaignPrefix&amp;TEXT(ROW()-4,"000"))</f>
        <v>0</v>
      </c>
      <c r="L11" s="15">
        <f>IF(F11="","",TEXT(F11,"yyyy-mm"))</f>
        <v>0</v>
      </c>
      <c r="M11" s="25">
        <f>IF(B11="","",IF(E11="",0,COUNTIFS(Sales!$O$5:$O$1204,E11)))</f>
        <v>0</v>
      </c>
      <c r="N11" s="26">
        <f>IF(B11="","",IF(E11="",0,ROUND(SUMIFS(Sales!$Y$5:$Y$1204,Sales!$O$5:$O$1204,E11),2)))</f>
        <v>0</v>
      </c>
      <c r="O11" s="26">
        <f>IF(B11="","",IF(E11="",0,ROUND(SUMIFS(Sales!$X$5:$X$1204,Sales!$O$5:$O$1204,E11),2)))</f>
        <v>0</v>
      </c>
      <c r="P11" s="25">
        <f>IF(B11="","",IF(E11="",0,SUMPRODUCT((Sales!$O$5:$O$1204=E11)*(Sales!$AD$5:$AD$1204="Yes"))))</f>
        <v>0</v>
      </c>
      <c r="Q11" s="25">
        <f>IF(B11="","",IF(F11="",0,COUNTIFS(Clients!$G$5:$G$504,C11,Clients!$X$5:$X$504,"&gt;="&amp;F11,Clients!$X$5:$X$504,"&lt;="&amp;IF(G11="",TodayDate,G11))))</f>
        <v>0</v>
      </c>
      <c r="R11" s="25">
        <f>IF(B11="","",IF(F11="",0,COUNTIFS(Appointments!$N$5:$N$1204,C11,Appointments!$B$5:$B$1204,"&gt;="&amp;F11,Appointments!$B$5:$B$1204,"&lt;="&amp;IF(G11="",TodayDate,G11))))</f>
        <v>0</v>
      </c>
      <c r="S11" s="26">
        <f>IF(B11="","",ROUND(IF(H11="",0,H11)+O11,2))</f>
        <v>0</v>
      </c>
      <c r="T11" s="26">
        <f>IF(B11="","",ROUND(N11-S11,2))</f>
        <v>0</v>
      </c>
      <c r="U11" s="27">
        <f>IF(B11="","",IF(S11&lt;=0,"",T11/S11))</f>
        <v>0</v>
      </c>
      <c r="V11" s="26">
        <f>IF(B11="","",IF(Q11=0,"",ROUND(S11/Q11,2)))</f>
        <v>0</v>
      </c>
      <c r="W11" s="26">
        <f>IF(B11="","",IF(I11="","",ROUND(N11-I11,2)))</f>
        <v>0</v>
      </c>
      <c r="X11" s="25">
        <f>IF(B11="","",COUNTIFS($N$5:$N$104,"&gt;"&amp;N11)+COUNTIFS($N$5:N11,N11))</f>
        <v>0</v>
      </c>
      <c r="Y11" s="39">
        <f>IF(B11="","",IF(E11="","Add - no code, nothing to measure",IF(J11="Planned","Upcoming",IF(M11=0,"Check - code never used",IF(T11&lt;0,"Loss - cost more than it made",IF(U11&gt;=1,"OK - doubled its money",IF(U11&gt;0,"OK - made money","Check - review it")))))))</f>
        <v>0</v>
      </c>
    </row>
    <row r="12" spans="1:25">
      <c r="A12" s="28">
        <f>IF(B12="","",CampaignPrefix&amp;TEXT(ROW()-4,"000"))</f>
        <v>0</v>
      </c>
      <c r="L12" s="15">
        <f>IF(F12="","",TEXT(F12,"yyyy-mm"))</f>
        <v>0</v>
      </c>
      <c r="M12" s="25">
        <f>IF(B12="","",IF(E12="",0,COUNTIFS(Sales!$O$5:$O$1204,E12)))</f>
        <v>0</v>
      </c>
      <c r="N12" s="26">
        <f>IF(B12="","",IF(E12="",0,ROUND(SUMIFS(Sales!$Y$5:$Y$1204,Sales!$O$5:$O$1204,E12),2)))</f>
        <v>0</v>
      </c>
      <c r="O12" s="26">
        <f>IF(B12="","",IF(E12="",0,ROUND(SUMIFS(Sales!$X$5:$X$1204,Sales!$O$5:$O$1204,E12),2)))</f>
        <v>0</v>
      </c>
      <c r="P12" s="25">
        <f>IF(B12="","",IF(E12="",0,SUMPRODUCT((Sales!$O$5:$O$1204=E12)*(Sales!$AD$5:$AD$1204="Yes"))))</f>
        <v>0</v>
      </c>
      <c r="Q12" s="25">
        <f>IF(B12="","",IF(F12="",0,COUNTIFS(Clients!$G$5:$G$504,C12,Clients!$X$5:$X$504,"&gt;="&amp;F12,Clients!$X$5:$X$504,"&lt;="&amp;IF(G12="",TodayDate,G12))))</f>
        <v>0</v>
      </c>
      <c r="R12" s="25">
        <f>IF(B12="","",IF(F12="",0,COUNTIFS(Appointments!$N$5:$N$1204,C12,Appointments!$B$5:$B$1204,"&gt;="&amp;F12,Appointments!$B$5:$B$1204,"&lt;="&amp;IF(G12="",TodayDate,G12))))</f>
        <v>0</v>
      </c>
      <c r="S12" s="26">
        <f>IF(B12="","",ROUND(IF(H12="",0,H12)+O12,2))</f>
        <v>0</v>
      </c>
      <c r="T12" s="26">
        <f>IF(B12="","",ROUND(N12-S12,2))</f>
        <v>0</v>
      </c>
      <c r="U12" s="27">
        <f>IF(B12="","",IF(S12&lt;=0,"",T12/S12))</f>
        <v>0</v>
      </c>
      <c r="V12" s="26">
        <f>IF(B12="","",IF(Q12=0,"",ROUND(S12/Q12,2)))</f>
        <v>0</v>
      </c>
      <c r="W12" s="26">
        <f>IF(B12="","",IF(I12="","",ROUND(N12-I12,2)))</f>
        <v>0</v>
      </c>
      <c r="X12" s="25">
        <f>IF(B12="","",COUNTIFS($N$5:$N$104,"&gt;"&amp;N12)+COUNTIFS($N$5:N12,N12))</f>
        <v>0</v>
      </c>
      <c r="Y12" s="39">
        <f>IF(B12="","",IF(E12="","Add - no code, nothing to measure",IF(J12="Planned","Upcoming",IF(M12=0,"Check - code never used",IF(T12&lt;0,"Loss - cost more than it made",IF(U12&gt;=1,"OK - doubled its money",IF(U12&gt;0,"OK - made money","Check - review it")))))))</f>
        <v>0</v>
      </c>
    </row>
    <row r="13" spans="1:25">
      <c r="A13" s="28">
        <f>IF(B13="","",CampaignPrefix&amp;TEXT(ROW()-4,"000"))</f>
        <v>0</v>
      </c>
      <c r="L13" s="15">
        <f>IF(F13="","",TEXT(F13,"yyyy-mm"))</f>
        <v>0</v>
      </c>
      <c r="M13" s="25">
        <f>IF(B13="","",IF(E13="",0,COUNTIFS(Sales!$O$5:$O$1204,E13)))</f>
        <v>0</v>
      </c>
      <c r="N13" s="26">
        <f>IF(B13="","",IF(E13="",0,ROUND(SUMIFS(Sales!$Y$5:$Y$1204,Sales!$O$5:$O$1204,E13),2)))</f>
        <v>0</v>
      </c>
      <c r="O13" s="26">
        <f>IF(B13="","",IF(E13="",0,ROUND(SUMIFS(Sales!$X$5:$X$1204,Sales!$O$5:$O$1204,E13),2)))</f>
        <v>0</v>
      </c>
      <c r="P13" s="25">
        <f>IF(B13="","",IF(E13="",0,SUMPRODUCT((Sales!$O$5:$O$1204=E13)*(Sales!$AD$5:$AD$1204="Yes"))))</f>
        <v>0</v>
      </c>
      <c r="Q13" s="25">
        <f>IF(B13="","",IF(F13="",0,COUNTIFS(Clients!$G$5:$G$504,C13,Clients!$X$5:$X$504,"&gt;="&amp;F13,Clients!$X$5:$X$504,"&lt;="&amp;IF(G13="",TodayDate,G13))))</f>
        <v>0</v>
      </c>
      <c r="R13" s="25">
        <f>IF(B13="","",IF(F13="",0,COUNTIFS(Appointments!$N$5:$N$1204,C13,Appointments!$B$5:$B$1204,"&gt;="&amp;F13,Appointments!$B$5:$B$1204,"&lt;="&amp;IF(G13="",TodayDate,G13))))</f>
        <v>0</v>
      </c>
      <c r="S13" s="26">
        <f>IF(B13="","",ROUND(IF(H13="",0,H13)+O13,2))</f>
        <v>0</v>
      </c>
      <c r="T13" s="26">
        <f>IF(B13="","",ROUND(N13-S13,2))</f>
        <v>0</v>
      </c>
      <c r="U13" s="27">
        <f>IF(B13="","",IF(S13&lt;=0,"",T13/S13))</f>
        <v>0</v>
      </c>
      <c r="V13" s="26">
        <f>IF(B13="","",IF(Q13=0,"",ROUND(S13/Q13,2)))</f>
        <v>0</v>
      </c>
      <c r="W13" s="26">
        <f>IF(B13="","",IF(I13="","",ROUND(N13-I13,2)))</f>
        <v>0</v>
      </c>
      <c r="X13" s="25">
        <f>IF(B13="","",COUNTIFS($N$5:$N$104,"&gt;"&amp;N13)+COUNTIFS($N$5:N13,N13))</f>
        <v>0</v>
      </c>
      <c r="Y13" s="39">
        <f>IF(B13="","",IF(E13="","Add - no code, nothing to measure",IF(J13="Planned","Upcoming",IF(M13=0,"Check - code never used",IF(T13&lt;0,"Loss - cost more than it made",IF(U13&gt;=1,"OK - doubled its money",IF(U13&gt;0,"OK - made money","Check - review it")))))))</f>
        <v>0</v>
      </c>
    </row>
    <row r="14" spans="1:25">
      <c r="A14" s="28">
        <f>IF(B14="","",CampaignPrefix&amp;TEXT(ROW()-4,"000"))</f>
        <v>0</v>
      </c>
      <c r="L14" s="15">
        <f>IF(F14="","",TEXT(F14,"yyyy-mm"))</f>
        <v>0</v>
      </c>
      <c r="M14" s="25">
        <f>IF(B14="","",IF(E14="",0,COUNTIFS(Sales!$O$5:$O$1204,E14)))</f>
        <v>0</v>
      </c>
      <c r="N14" s="26">
        <f>IF(B14="","",IF(E14="",0,ROUND(SUMIFS(Sales!$Y$5:$Y$1204,Sales!$O$5:$O$1204,E14),2)))</f>
        <v>0</v>
      </c>
      <c r="O14" s="26">
        <f>IF(B14="","",IF(E14="",0,ROUND(SUMIFS(Sales!$X$5:$X$1204,Sales!$O$5:$O$1204,E14),2)))</f>
        <v>0</v>
      </c>
      <c r="P14" s="25">
        <f>IF(B14="","",IF(E14="",0,SUMPRODUCT((Sales!$O$5:$O$1204=E14)*(Sales!$AD$5:$AD$1204="Yes"))))</f>
        <v>0</v>
      </c>
      <c r="Q14" s="25">
        <f>IF(B14="","",IF(F14="",0,COUNTIFS(Clients!$G$5:$G$504,C14,Clients!$X$5:$X$504,"&gt;="&amp;F14,Clients!$X$5:$X$504,"&lt;="&amp;IF(G14="",TodayDate,G14))))</f>
        <v>0</v>
      </c>
      <c r="R14" s="25">
        <f>IF(B14="","",IF(F14="",0,COUNTIFS(Appointments!$N$5:$N$1204,C14,Appointments!$B$5:$B$1204,"&gt;="&amp;F14,Appointments!$B$5:$B$1204,"&lt;="&amp;IF(G14="",TodayDate,G14))))</f>
        <v>0</v>
      </c>
      <c r="S14" s="26">
        <f>IF(B14="","",ROUND(IF(H14="",0,H14)+O14,2))</f>
        <v>0</v>
      </c>
      <c r="T14" s="26">
        <f>IF(B14="","",ROUND(N14-S14,2))</f>
        <v>0</v>
      </c>
      <c r="U14" s="27">
        <f>IF(B14="","",IF(S14&lt;=0,"",T14/S14))</f>
        <v>0</v>
      </c>
      <c r="V14" s="26">
        <f>IF(B14="","",IF(Q14=0,"",ROUND(S14/Q14,2)))</f>
        <v>0</v>
      </c>
      <c r="W14" s="26">
        <f>IF(B14="","",IF(I14="","",ROUND(N14-I14,2)))</f>
        <v>0</v>
      </c>
      <c r="X14" s="25">
        <f>IF(B14="","",COUNTIFS($N$5:$N$104,"&gt;"&amp;N14)+COUNTIFS($N$5:N14,N14))</f>
        <v>0</v>
      </c>
      <c r="Y14" s="39">
        <f>IF(B14="","",IF(E14="","Add - no code, nothing to measure",IF(J14="Planned","Upcoming",IF(M14=0,"Check - code never used",IF(T14&lt;0,"Loss - cost more than it made",IF(U14&gt;=1,"OK - doubled its money",IF(U14&gt;0,"OK - made money","Check - review it")))))))</f>
        <v>0</v>
      </c>
    </row>
    <row r="15" spans="1:25">
      <c r="A15" s="28">
        <f>IF(B15="","",CampaignPrefix&amp;TEXT(ROW()-4,"000"))</f>
        <v>0</v>
      </c>
      <c r="L15" s="15">
        <f>IF(F15="","",TEXT(F15,"yyyy-mm"))</f>
        <v>0</v>
      </c>
      <c r="M15" s="25">
        <f>IF(B15="","",IF(E15="",0,COUNTIFS(Sales!$O$5:$O$1204,E15)))</f>
        <v>0</v>
      </c>
      <c r="N15" s="26">
        <f>IF(B15="","",IF(E15="",0,ROUND(SUMIFS(Sales!$Y$5:$Y$1204,Sales!$O$5:$O$1204,E15),2)))</f>
        <v>0</v>
      </c>
      <c r="O15" s="26">
        <f>IF(B15="","",IF(E15="",0,ROUND(SUMIFS(Sales!$X$5:$X$1204,Sales!$O$5:$O$1204,E15),2)))</f>
        <v>0</v>
      </c>
      <c r="P15" s="25">
        <f>IF(B15="","",IF(E15="",0,SUMPRODUCT((Sales!$O$5:$O$1204=E15)*(Sales!$AD$5:$AD$1204="Yes"))))</f>
        <v>0</v>
      </c>
      <c r="Q15" s="25">
        <f>IF(B15="","",IF(F15="",0,COUNTIFS(Clients!$G$5:$G$504,C15,Clients!$X$5:$X$504,"&gt;="&amp;F15,Clients!$X$5:$X$504,"&lt;="&amp;IF(G15="",TodayDate,G15))))</f>
        <v>0</v>
      </c>
      <c r="R15" s="25">
        <f>IF(B15="","",IF(F15="",0,COUNTIFS(Appointments!$N$5:$N$1204,C15,Appointments!$B$5:$B$1204,"&gt;="&amp;F15,Appointments!$B$5:$B$1204,"&lt;="&amp;IF(G15="",TodayDate,G15))))</f>
        <v>0</v>
      </c>
      <c r="S15" s="26">
        <f>IF(B15="","",ROUND(IF(H15="",0,H15)+O15,2))</f>
        <v>0</v>
      </c>
      <c r="T15" s="26">
        <f>IF(B15="","",ROUND(N15-S15,2))</f>
        <v>0</v>
      </c>
      <c r="U15" s="27">
        <f>IF(B15="","",IF(S15&lt;=0,"",T15/S15))</f>
        <v>0</v>
      </c>
      <c r="V15" s="26">
        <f>IF(B15="","",IF(Q15=0,"",ROUND(S15/Q15,2)))</f>
        <v>0</v>
      </c>
      <c r="W15" s="26">
        <f>IF(B15="","",IF(I15="","",ROUND(N15-I15,2)))</f>
        <v>0</v>
      </c>
      <c r="X15" s="25">
        <f>IF(B15="","",COUNTIFS($N$5:$N$104,"&gt;"&amp;N15)+COUNTIFS($N$5:N15,N15))</f>
        <v>0</v>
      </c>
      <c r="Y15" s="39">
        <f>IF(B15="","",IF(E15="","Add - no code, nothing to measure",IF(J15="Planned","Upcoming",IF(M15=0,"Check - code never used",IF(T15&lt;0,"Loss - cost more than it made",IF(U15&gt;=1,"OK - doubled its money",IF(U15&gt;0,"OK - made money","Check - review it")))))))</f>
        <v>0</v>
      </c>
    </row>
    <row r="16" spans="1:25">
      <c r="A16" s="28">
        <f>IF(B16="","",CampaignPrefix&amp;TEXT(ROW()-4,"000"))</f>
        <v>0</v>
      </c>
      <c r="L16" s="15">
        <f>IF(F16="","",TEXT(F16,"yyyy-mm"))</f>
        <v>0</v>
      </c>
      <c r="M16" s="25">
        <f>IF(B16="","",IF(E16="",0,COUNTIFS(Sales!$O$5:$O$1204,E16)))</f>
        <v>0</v>
      </c>
      <c r="N16" s="26">
        <f>IF(B16="","",IF(E16="",0,ROUND(SUMIFS(Sales!$Y$5:$Y$1204,Sales!$O$5:$O$1204,E16),2)))</f>
        <v>0</v>
      </c>
      <c r="O16" s="26">
        <f>IF(B16="","",IF(E16="",0,ROUND(SUMIFS(Sales!$X$5:$X$1204,Sales!$O$5:$O$1204,E16),2)))</f>
        <v>0</v>
      </c>
      <c r="P16" s="25">
        <f>IF(B16="","",IF(E16="",0,SUMPRODUCT((Sales!$O$5:$O$1204=E16)*(Sales!$AD$5:$AD$1204="Yes"))))</f>
        <v>0</v>
      </c>
      <c r="Q16" s="25">
        <f>IF(B16="","",IF(F16="",0,COUNTIFS(Clients!$G$5:$G$504,C16,Clients!$X$5:$X$504,"&gt;="&amp;F16,Clients!$X$5:$X$504,"&lt;="&amp;IF(G16="",TodayDate,G16))))</f>
        <v>0</v>
      </c>
      <c r="R16" s="25">
        <f>IF(B16="","",IF(F16="",0,COUNTIFS(Appointments!$N$5:$N$1204,C16,Appointments!$B$5:$B$1204,"&gt;="&amp;F16,Appointments!$B$5:$B$1204,"&lt;="&amp;IF(G16="",TodayDate,G16))))</f>
        <v>0</v>
      </c>
      <c r="S16" s="26">
        <f>IF(B16="","",ROUND(IF(H16="",0,H16)+O16,2))</f>
        <v>0</v>
      </c>
      <c r="T16" s="26">
        <f>IF(B16="","",ROUND(N16-S16,2))</f>
        <v>0</v>
      </c>
      <c r="U16" s="27">
        <f>IF(B16="","",IF(S16&lt;=0,"",T16/S16))</f>
        <v>0</v>
      </c>
      <c r="V16" s="26">
        <f>IF(B16="","",IF(Q16=0,"",ROUND(S16/Q16,2)))</f>
        <v>0</v>
      </c>
      <c r="W16" s="26">
        <f>IF(B16="","",IF(I16="","",ROUND(N16-I16,2)))</f>
        <v>0</v>
      </c>
      <c r="X16" s="25">
        <f>IF(B16="","",COUNTIFS($N$5:$N$104,"&gt;"&amp;N16)+COUNTIFS($N$5:N16,N16))</f>
        <v>0</v>
      </c>
      <c r="Y16" s="39">
        <f>IF(B16="","",IF(E16="","Add - no code, nothing to measure",IF(J16="Planned","Upcoming",IF(M16=0,"Check - code never used",IF(T16&lt;0,"Loss - cost more than it made",IF(U16&gt;=1,"OK - doubled its money",IF(U16&gt;0,"OK - made money","Check - review it")))))))</f>
        <v>0</v>
      </c>
    </row>
    <row r="17" spans="1:25">
      <c r="A17" s="28">
        <f>IF(B17="","",CampaignPrefix&amp;TEXT(ROW()-4,"000"))</f>
        <v>0</v>
      </c>
      <c r="L17" s="15">
        <f>IF(F17="","",TEXT(F17,"yyyy-mm"))</f>
        <v>0</v>
      </c>
      <c r="M17" s="25">
        <f>IF(B17="","",IF(E17="",0,COUNTIFS(Sales!$O$5:$O$1204,E17)))</f>
        <v>0</v>
      </c>
      <c r="N17" s="26">
        <f>IF(B17="","",IF(E17="",0,ROUND(SUMIFS(Sales!$Y$5:$Y$1204,Sales!$O$5:$O$1204,E17),2)))</f>
        <v>0</v>
      </c>
      <c r="O17" s="26">
        <f>IF(B17="","",IF(E17="",0,ROUND(SUMIFS(Sales!$X$5:$X$1204,Sales!$O$5:$O$1204,E17),2)))</f>
        <v>0</v>
      </c>
      <c r="P17" s="25">
        <f>IF(B17="","",IF(E17="",0,SUMPRODUCT((Sales!$O$5:$O$1204=E17)*(Sales!$AD$5:$AD$1204="Yes"))))</f>
        <v>0</v>
      </c>
      <c r="Q17" s="25">
        <f>IF(B17="","",IF(F17="",0,COUNTIFS(Clients!$G$5:$G$504,C17,Clients!$X$5:$X$504,"&gt;="&amp;F17,Clients!$X$5:$X$504,"&lt;="&amp;IF(G17="",TodayDate,G17))))</f>
        <v>0</v>
      </c>
      <c r="R17" s="25">
        <f>IF(B17="","",IF(F17="",0,COUNTIFS(Appointments!$N$5:$N$1204,C17,Appointments!$B$5:$B$1204,"&gt;="&amp;F17,Appointments!$B$5:$B$1204,"&lt;="&amp;IF(G17="",TodayDate,G17))))</f>
        <v>0</v>
      </c>
      <c r="S17" s="26">
        <f>IF(B17="","",ROUND(IF(H17="",0,H17)+O17,2))</f>
        <v>0</v>
      </c>
      <c r="T17" s="26">
        <f>IF(B17="","",ROUND(N17-S17,2))</f>
        <v>0</v>
      </c>
      <c r="U17" s="27">
        <f>IF(B17="","",IF(S17&lt;=0,"",T17/S17))</f>
        <v>0</v>
      </c>
      <c r="V17" s="26">
        <f>IF(B17="","",IF(Q17=0,"",ROUND(S17/Q17,2)))</f>
        <v>0</v>
      </c>
      <c r="W17" s="26">
        <f>IF(B17="","",IF(I17="","",ROUND(N17-I17,2)))</f>
        <v>0</v>
      </c>
      <c r="X17" s="25">
        <f>IF(B17="","",COUNTIFS($N$5:$N$104,"&gt;"&amp;N17)+COUNTIFS($N$5:N17,N17))</f>
        <v>0</v>
      </c>
      <c r="Y17" s="39">
        <f>IF(B17="","",IF(E17="","Add - no code, nothing to measure",IF(J17="Planned","Upcoming",IF(M17=0,"Check - code never used",IF(T17&lt;0,"Loss - cost more than it made",IF(U17&gt;=1,"OK - doubled its money",IF(U17&gt;0,"OK - made money","Check - review it")))))))</f>
        <v>0</v>
      </c>
    </row>
    <row r="18" spans="1:25">
      <c r="A18" s="28">
        <f>IF(B18="","",CampaignPrefix&amp;TEXT(ROW()-4,"000"))</f>
        <v>0</v>
      </c>
      <c r="L18" s="15">
        <f>IF(F18="","",TEXT(F18,"yyyy-mm"))</f>
        <v>0</v>
      </c>
      <c r="M18" s="25">
        <f>IF(B18="","",IF(E18="",0,COUNTIFS(Sales!$O$5:$O$1204,E18)))</f>
        <v>0</v>
      </c>
      <c r="N18" s="26">
        <f>IF(B18="","",IF(E18="",0,ROUND(SUMIFS(Sales!$Y$5:$Y$1204,Sales!$O$5:$O$1204,E18),2)))</f>
        <v>0</v>
      </c>
      <c r="O18" s="26">
        <f>IF(B18="","",IF(E18="",0,ROUND(SUMIFS(Sales!$X$5:$X$1204,Sales!$O$5:$O$1204,E18),2)))</f>
        <v>0</v>
      </c>
      <c r="P18" s="25">
        <f>IF(B18="","",IF(E18="",0,SUMPRODUCT((Sales!$O$5:$O$1204=E18)*(Sales!$AD$5:$AD$1204="Yes"))))</f>
        <v>0</v>
      </c>
      <c r="Q18" s="25">
        <f>IF(B18="","",IF(F18="",0,COUNTIFS(Clients!$G$5:$G$504,C18,Clients!$X$5:$X$504,"&gt;="&amp;F18,Clients!$X$5:$X$504,"&lt;="&amp;IF(G18="",TodayDate,G18))))</f>
        <v>0</v>
      </c>
      <c r="R18" s="25">
        <f>IF(B18="","",IF(F18="",0,COUNTIFS(Appointments!$N$5:$N$1204,C18,Appointments!$B$5:$B$1204,"&gt;="&amp;F18,Appointments!$B$5:$B$1204,"&lt;="&amp;IF(G18="",TodayDate,G18))))</f>
        <v>0</v>
      </c>
      <c r="S18" s="26">
        <f>IF(B18="","",ROUND(IF(H18="",0,H18)+O18,2))</f>
        <v>0</v>
      </c>
      <c r="T18" s="26">
        <f>IF(B18="","",ROUND(N18-S18,2))</f>
        <v>0</v>
      </c>
      <c r="U18" s="27">
        <f>IF(B18="","",IF(S18&lt;=0,"",T18/S18))</f>
        <v>0</v>
      </c>
      <c r="V18" s="26">
        <f>IF(B18="","",IF(Q18=0,"",ROUND(S18/Q18,2)))</f>
        <v>0</v>
      </c>
      <c r="W18" s="26">
        <f>IF(B18="","",IF(I18="","",ROUND(N18-I18,2)))</f>
        <v>0</v>
      </c>
      <c r="X18" s="25">
        <f>IF(B18="","",COUNTIFS($N$5:$N$104,"&gt;"&amp;N18)+COUNTIFS($N$5:N18,N18))</f>
        <v>0</v>
      </c>
      <c r="Y18" s="39">
        <f>IF(B18="","",IF(E18="","Add - no code, nothing to measure",IF(J18="Planned","Upcoming",IF(M18=0,"Check - code never used",IF(T18&lt;0,"Loss - cost more than it made",IF(U18&gt;=1,"OK - doubled its money",IF(U18&gt;0,"OK - made money","Check - review it")))))))</f>
        <v>0</v>
      </c>
    </row>
    <row r="19" spans="1:25">
      <c r="A19" s="28">
        <f>IF(B19="","",CampaignPrefix&amp;TEXT(ROW()-4,"000"))</f>
        <v>0</v>
      </c>
      <c r="L19" s="15">
        <f>IF(F19="","",TEXT(F19,"yyyy-mm"))</f>
        <v>0</v>
      </c>
      <c r="M19" s="25">
        <f>IF(B19="","",IF(E19="",0,COUNTIFS(Sales!$O$5:$O$1204,E19)))</f>
        <v>0</v>
      </c>
      <c r="N19" s="26">
        <f>IF(B19="","",IF(E19="",0,ROUND(SUMIFS(Sales!$Y$5:$Y$1204,Sales!$O$5:$O$1204,E19),2)))</f>
        <v>0</v>
      </c>
      <c r="O19" s="26">
        <f>IF(B19="","",IF(E19="",0,ROUND(SUMIFS(Sales!$X$5:$X$1204,Sales!$O$5:$O$1204,E19),2)))</f>
        <v>0</v>
      </c>
      <c r="P19" s="25">
        <f>IF(B19="","",IF(E19="",0,SUMPRODUCT((Sales!$O$5:$O$1204=E19)*(Sales!$AD$5:$AD$1204="Yes"))))</f>
        <v>0</v>
      </c>
      <c r="Q19" s="25">
        <f>IF(B19="","",IF(F19="",0,COUNTIFS(Clients!$G$5:$G$504,C19,Clients!$X$5:$X$504,"&gt;="&amp;F19,Clients!$X$5:$X$504,"&lt;="&amp;IF(G19="",TodayDate,G19))))</f>
        <v>0</v>
      </c>
      <c r="R19" s="25">
        <f>IF(B19="","",IF(F19="",0,COUNTIFS(Appointments!$N$5:$N$1204,C19,Appointments!$B$5:$B$1204,"&gt;="&amp;F19,Appointments!$B$5:$B$1204,"&lt;="&amp;IF(G19="",TodayDate,G19))))</f>
        <v>0</v>
      </c>
      <c r="S19" s="26">
        <f>IF(B19="","",ROUND(IF(H19="",0,H19)+O19,2))</f>
        <v>0</v>
      </c>
      <c r="T19" s="26">
        <f>IF(B19="","",ROUND(N19-S19,2))</f>
        <v>0</v>
      </c>
      <c r="U19" s="27">
        <f>IF(B19="","",IF(S19&lt;=0,"",T19/S19))</f>
        <v>0</v>
      </c>
      <c r="V19" s="26">
        <f>IF(B19="","",IF(Q19=0,"",ROUND(S19/Q19,2)))</f>
        <v>0</v>
      </c>
      <c r="W19" s="26">
        <f>IF(B19="","",IF(I19="","",ROUND(N19-I19,2)))</f>
        <v>0</v>
      </c>
      <c r="X19" s="25">
        <f>IF(B19="","",COUNTIFS($N$5:$N$104,"&gt;"&amp;N19)+COUNTIFS($N$5:N19,N19))</f>
        <v>0</v>
      </c>
      <c r="Y19" s="39">
        <f>IF(B19="","",IF(E19="","Add - no code, nothing to measure",IF(J19="Planned","Upcoming",IF(M19=0,"Check - code never used",IF(T19&lt;0,"Loss - cost more than it made",IF(U19&gt;=1,"OK - doubled its money",IF(U19&gt;0,"OK - made money","Check - review it")))))))</f>
        <v>0</v>
      </c>
    </row>
    <row r="20" spans="1:25">
      <c r="A20" s="28">
        <f>IF(B20="","",CampaignPrefix&amp;TEXT(ROW()-4,"000"))</f>
        <v>0</v>
      </c>
      <c r="L20" s="15">
        <f>IF(F20="","",TEXT(F20,"yyyy-mm"))</f>
        <v>0</v>
      </c>
      <c r="M20" s="25">
        <f>IF(B20="","",IF(E20="",0,COUNTIFS(Sales!$O$5:$O$1204,E20)))</f>
        <v>0</v>
      </c>
      <c r="N20" s="26">
        <f>IF(B20="","",IF(E20="",0,ROUND(SUMIFS(Sales!$Y$5:$Y$1204,Sales!$O$5:$O$1204,E20),2)))</f>
        <v>0</v>
      </c>
      <c r="O20" s="26">
        <f>IF(B20="","",IF(E20="",0,ROUND(SUMIFS(Sales!$X$5:$X$1204,Sales!$O$5:$O$1204,E20),2)))</f>
        <v>0</v>
      </c>
      <c r="P20" s="25">
        <f>IF(B20="","",IF(E20="",0,SUMPRODUCT((Sales!$O$5:$O$1204=E20)*(Sales!$AD$5:$AD$1204="Yes"))))</f>
        <v>0</v>
      </c>
      <c r="Q20" s="25">
        <f>IF(B20="","",IF(F20="",0,COUNTIFS(Clients!$G$5:$G$504,C20,Clients!$X$5:$X$504,"&gt;="&amp;F20,Clients!$X$5:$X$504,"&lt;="&amp;IF(G20="",TodayDate,G20))))</f>
        <v>0</v>
      </c>
      <c r="R20" s="25">
        <f>IF(B20="","",IF(F20="",0,COUNTIFS(Appointments!$N$5:$N$1204,C20,Appointments!$B$5:$B$1204,"&gt;="&amp;F20,Appointments!$B$5:$B$1204,"&lt;="&amp;IF(G20="",TodayDate,G20))))</f>
        <v>0</v>
      </c>
      <c r="S20" s="26">
        <f>IF(B20="","",ROUND(IF(H20="",0,H20)+O20,2))</f>
        <v>0</v>
      </c>
      <c r="T20" s="26">
        <f>IF(B20="","",ROUND(N20-S20,2))</f>
        <v>0</v>
      </c>
      <c r="U20" s="27">
        <f>IF(B20="","",IF(S20&lt;=0,"",T20/S20))</f>
        <v>0</v>
      </c>
      <c r="V20" s="26">
        <f>IF(B20="","",IF(Q20=0,"",ROUND(S20/Q20,2)))</f>
        <v>0</v>
      </c>
      <c r="W20" s="26">
        <f>IF(B20="","",IF(I20="","",ROUND(N20-I20,2)))</f>
        <v>0</v>
      </c>
      <c r="X20" s="25">
        <f>IF(B20="","",COUNTIFS($N$5:$N$104,"&gt;"&amp;N20)+COUNTIFS($N$5:N20,N20))</f>
        <v>0</v>
      </c>
      <c r="Y20" s="39">
        <f>IF(B20="","",IF(E20="","Add - no code, nothing to measure",IF(J20="Planned","Upcoming",IF(M20=0,"Check - code never used",IF(T20&lt;0,"Loss - cost more than it made",IF(U20&gt;=1,"OK - doubled its money",IF(U20&gt;0,"OK - made money","Check - review it")))))))</f>
        <v>0</v>
      </c>
    </row>
    <row r="21" spans="1:25">
      <c r="A21" s="28">
        <f>IF(B21="","",CampaignPrefix&amp;TEXT(ROW()-4,"000"))</f>
        <v>0</v>
      </c>
      <c r="L21" s="15">
        <f>IF(F21="","",TEXT(F21,"yyyy-mm"))</f>
        <v>0</v>
      </c>
      <c r="M21" s="25">
        <f>IF(B21="","",IF(E21="",0,COUNTIFS(Sales!$O$5:$O$1204,E21)))</f>
        <v>0</v>
      </c>
      <c r="N21" s="26">
        <f>IF(B21="","",IF(E21="",0,ROUND(SUMIFS(Sales!$Y$5:$Y$1204,Sales!$O$5:$O$1204,E21),2)))</f>
        <v>0</v>
      </c>
      <c r="O21" s="26">
        <f>IF(B21="","",IF(E21="",0,ROUND(SUMIFS(Sales!$X$5:$X$1204,Sales!$O$5:$O$1204,E21),2)))</f>
        <v>0</v>
      </c>
      <c r="P21" s="25">
        <f>IF(B21="","",IF(E21="",0,SUMPRODUCT((Sales!$O$5:$O$1204=E21)*(Sales!$AD$5:$AD$1204="Yes"))))</f>
        <v>0</v>
      </c>
      <c r="Q21" s="25">
        <f>IF(B21="","",IF(F21="",0,COUNTIFS(Clients!$G$5:$G$504,C21,Clients!$X$5:$X$504,"&gt;="&amp;F21,Clients!$X$5:$X$504,"&lt;="&amp;IF(G21="",TodayDate,G21))))</f>
        <v>0</v>
      </c>
      <c r="R21" s="25">
        <f>IF(B21="","",IF(F21="",0,COUNTIFS(Appointments!$N$5:$N$1204,C21,Appointments!$B$5:$B$1204,"&gt;="&amp;F21,Appointments!$B$5:$B$1204,"&lt;="&amp;IF(G21="",TodayDate,G21))))</f>
        <v>0</v>
      </c>
      <c r="S21" s="26">
        <f>IF(B21="","",ROUND(IF(H21="",0,H21)+O21,2))</f>
        <v>0</v>
      </c>
      <c r="T21" s="26">
        <f>IF(B21="","",ROUND(N21-S21,2))</f>
        <v>0</v>
      </c>
      <c r="U21" s="27">
        <f>IF(B21="","",IF(S21&lt;=0,"",T21/S21))</f>
        <v>0</v>
      </c>
      <c r="V21" s="26">
        <f>IF(B21="","",IF(Q21=0,"",ROUND(S21/Q21,2)))</f>
        <v>0</v>
      </c>
      <c r="W21" s="26">
        <f>IF(B21="","",IF(I21="","",ROUND(N21-I21,2)))</f>
        <v>0</v>
      </c>
      <c r="X21" s="25">
        <f>IF(B21="","",COUNTIFS($N$5:$N$104,"&gt;"&amp;N21)+COUNTIFS($N$5:N21,N21))</f>
        <v>0</v>
      </c>
      <c r="Y21" s="39">
        <f>IF(B21="","",IF(E21="","Add - no code, nothing to measure",IF(J21="Planned","Upcoming",IF(M21=0,"Check - code never used",IF(T21&lt;0,"Loss - cost more than it made",IF(U21&gt;=1,"OK - doubled its money",IF(U21&gt;0,"OK - made money","Check - review it")))))))</f>
        <v>0</v>
      </c>
    </row>
    <row r="22" spans="1:25">
      <c r="A22" s="28">
        <f>IF(B22="","",CampaignPrefix&amp;TEXT(ROW()-4,"000"))</f>
        <v>0</v>
      </c>
      <c r="L22" s="15">
        <f>IF(F22="","",TEXT(F22,"yyyy-mm"))</f>
        <v>0</v>
      </c>
      <c r="M22" s="25">
        <f>IF(B22="","",IF(E22="",0,COUNTIFS(Sales!$O$5:$O$1204,E22)))</f>
        <v>0</v>
      </c>
      <c r="N22" s="26">
        <f>IF(B22="","",IF(E22="",0,ROUND(SUMIFS(Sales!$Y$5:$Y$1204,Sales!$O$5:$O$1204,E22),2)))</f>
        <v>0</v>
      </c>
      <c r="O22" s="26">
        <f>IF(B22="","",IF(E22="",0,ROUND(SUMIFS(Sales!$X$5:$X$1204,Sales!$O$5:$O$1204,E22),2)))</f>
        <v>0</v>
      </c>
      <c r="P22" s="25">
        <f>IF(B22="","",IF(E22="",0,SUMPRODUCT((Sales!$O$5:$O$1204=E22)*(Sales!$AD$5:$AD$1204="Yes"))))</f>
        <v>0</v>
      </c>
      <c r="Q22" s="25">
        <f>IF(B22="","",IF(F22="",0,COUNTIFS(Clients!$G$5:$G$504,C22,Clients!$X$5:$X$504,"&gt;="&amp;F22,Clients!$X$5:$X$504,"&lt;="&amp;IF(G22="",TodayDate,G22))))</f>
        <v>0</v>
      </c>
      <c r="R22" s="25">
        <f>IF(B22="","",IF(F22="",0,COUNTIFS(Appointments!$N$5:$N$1204,C22,Appointments!$B$5:$B$1204,"&gt;="&amp;F22,Appointments!$B$5:$B$1204,"&lt;="&amp;IF(G22="",TodayDate,G22))))</f>
        <v>0</v>
      </c>
      <c r="S22" s="26">
        <f>IF(B22="","",ROUND(IF(H22="",0,H22)+O22,2))</f>
        <v>0</v>
      </c>
      <c r="T22" s="26">
        <f>IF(B22="","",ROUND(N22-S22,2))</f>
        <v>0</v>
      </c>
      <c r="U22" s="27">
        <f>IF(B22="","",IF(S22&lt;=0,"",T22/S22))</f>
        <v>0</v>
      </c>
      <c r="V22" s="26">
        <f>IF(B22="","",IF(Q22=0,"",ROUND(S22/Q22,2)))</f>
        <v>0</v>
      </c>
      <c r="W22" s="26">
        <f>IF(B22="","",IF(I22="","",ROUND(N22-I22,2)))</f>
        <v>0</v>
      </c>
      <c r="X22" s="25">
        <f>IF(B22="","",COUNTIFS($N$5:$N$104,"&gt;"&amp;N22)+COUNTIFS($N$5:N22,N22))</f>
        <v>0</v>
      </c>
      <c r="Y22" s="39">
        <f>IF(B22="","",IF(E22="","Add - no code, nothing to measure",IF(J22="Planned","Upcoming",IF(M22=0,"Check - code never used",IF(T22&lt;0,"Loss - cost more than it made",IF(U22&gt;=1,"OK - doubled its money",IF(U22&gt;0,"OK - made money","Check - review it")))))))</f>
        <v>0</v>
      </c>
    </row>
    <row r="23" spans="1:25">
      <c r="A23" s="28">
        <f>IF(B23="","",CampaignPrefix&amp;TEXT(ROW()-4,"000"))</f>
        <v>0</v>
      </c>
      <c r="L23" s="15">
        <f>IF(F23="","",TEXT(F23,"yyyy-mm"))</f>
        <v>0</v>
      </c>
      <c r="M23" s="25">
        <f>IF(B23="","",IF(E23="",0,COUNTIFS(Sales!$O$5:$O$1204,E23)))</f>
        <v>0</v>
      </c>
      <c r="N23" s="26">
        <f>IF(B23="","",IF(E23="",0,ROUND(SUMIFS(Sales!$Y$5:$Y$1204,Sales!$O$5:$O$1204,E23),2)))</f>
        <v>0</v>
      </c>
      <c r="O23" s="26">
        <f>IF(B23="","",IF(E23="",0,ROUND(SUMIFS(Sales!$X$5:$X$1204,Sales!$O$5:$O$1204,E23),2)))</f>
        <v>0</v>
      </c>
      <c r="P23" s="25">
        <f>IF(B23="","",IF(E23="",0,SUMPRODUCT((Sales!$O$5:$O$1204=E23)*(Sales!$AD$5:$AD$1204="Yes"))))</f>
        <v>0</v>
      </c>
      <c r="Q23" s="25">
        <f>IF(B23="","",IF(F23="",0,COUNTIFS(Clients!$G$5:$G$504,C23,Clients!$X$5:$X$504,"&gt;="&amp;F23,Clients!$X$5:$X$504,"&lt;="&amp;IF(G23="",TodayDate,G23))))</f>
        <v>0</v>
      </c>
      <c r="R23" s="25">
        <f>IF(B23="","",IF(F23="",0,COUNTIFS(Appointments!$N$5:$N$1204,C23,Appointments!$B$5:$B$1204,"&gt;="&amp;F23,Appointments!$B$5:$B$1204,"&lt;="&amp;IF(G23="",TodayDate,G23))))</f>
        <v>0</v>
      </c>
      <c r="S23" s="26">
        <f>IF(B23="","",ROUND(IF(H23="",0,H23)+O23,2))</f>
        <v>0</v>
      </c>
      <c r="T23" s="26">
        <f>IF(B23="","",ROUND(N23-S23,2))</f>
        <v>0</v>
      </c>
      <c r="U23" s="27">
        <f>IF(B23="","",IF(S23&lt;=0,"",T23/S23))</f>
        <v>0</v>
      </c>
      <c r="V23" s="26">
        <f>IF(B23="","",IF(Q23=0,"",ROUND(S23/Q23,2)))</f>
        <v>0</v>
      </c>
      <c r="W23" s="26">
        <f>IF(B23="","",IF(I23="","",ROUND(N23-I23,2)))</f>
        <v>0</v>
      </c>
      <c r="X23" s="25">
        <f>IF(B23="","",COUNTIFS($N$5:$N$104,"&gt;"&amp;N23)+COUNTIFS($N$5:N23,N23))</f>
        <v>0</v>
      </c>
      <c r="Y23" s="39">
        <f>IF(B23="","",IF(E23="","Add - no code, nothing to measure",IF(J23="Planned","Upcoming",IF(M23=0,"Check - code never used",IF(T23&lt;0,"Loss - cost more than it made",IF(U23&gt;=1,"OK - doubled its money",IF(U23&gt;0,"OK - made money","Check - review it")))))))</f>
        <v>0</v>
      </c>
    </row>
    <row r="24" spans="1:25">
      <c r="A24" s="28">
        <f>IF(B24="","",CampaignPrefix&amp;TEXT(ROW()-4,"000"))</f>
        <v>0</v>
      </c>
      <c r="L24" s="15">
        <f>IF(F24="","",TEXT(F24,"yyyy-mm"))</f>
        <v>0</v>
      </c>
      <c r="M24" s="25">
        <f>IF(B24="","",IF(E24="",0,COUNTIFS(Sales!$O$5:$O$1204,E24)))</f>
        <v>0</v>
      </c>
      <c r="N24" s="26">
        <f>IF(B24="","",IF(E24="",0,ROUND(SUMIFS(Sales!$Y$5:$Y$1204,Sales!$O$5:$O$1204,E24),2)))</f>
        <v>0</v>
      </c>
      <c r="O24" s="26">
        <f>IF(B24="","",IF(E24="",0,ROUND(SUMIFS(Sales!$X$5:$X$1204,Sales!$O$5:$O$1204,E24),2)))</f>
        <v>0</v>
      </c>
      <c r="P24" s="25">
        <f>IF(B24="","",IF(E24="",0,SUMPRODUCT((Sales!$O$5:$O$1204=E24)*(Sales!$AD$5:$AD$1204="Yes"))))</f>
        <v>0</v>
      </c>
      <c r="Q24" s="25">
        <f>IF(B24="","",IF(F24="",0,COUNTIFS(Clients!$G$5:$G$504,C24,Clients!$X$5:$X$504,"&gt;="&amp;F24,Clients!$X$5:$X$504,"&lt;="&amp;IF(G24="",TodayDate,G24))))</f>
        <v>0</v>
      </c>
      <c r="R24" s="25">
        <f>IF(B24="","",IF(F24="",0,COUNTIFS(Appointments!$N$5:$N$1204,C24,Appointments!$B$5:$B$1204,"&gt;="&amp;F24,Appointments!$B$5:$B$1204,"&lt;="&amp;IF(G24="",TodayDate,G24))))</f>
        <v>0</v>
      </c>
      <c r="S24" s="26">
        <f>IF(B24="","",ROUND(IF(H24="",0,H24)+O24,2))</f>
        <v>0</v>
      </c>
      <c r="T24" s="26">
        <f>IF(B24="","",ROUND(N24-S24,2))</f>
        <v>0</v>
      </c>
      <c r="U24" s="27">
        <f>IF(B24="","",IF(S24&lt;=0,"",T24/S24))</f>
        <v>0</v>
      </c>
      <c r="V24" s="26">
        <f>IF(B24="","",IF(Q24=0,"",ROUND(S24/Q24,2)))</f>
        <v>0</v>
      </c>
      <c r="W24" s="26">
        <f>IF(B24="","",IF(I24="","",ROUND(N24-I24,2)))</f>
        <v>0</v>
      </c>
      <c r="X24" s="25">
        <f>IF(B24="","",COUNTIFS($N$5:$N$104,"&gt;"&amp;N24)+COUNTIFS($N$5:N24,N24))</f>
        <v>0</v>
      </c>
      <c r="Y24" s="39">
        <f>IF(B24="","",IF(E24="","Add - no code, nothing to measure",IF(J24="Planned","Upcoming",IF(M24=0,"Check - code never used",IF(T24&lt;0,"Loss - cost more than it made",IF(U24&gt;=1,"OK - doubled its money",IF(U24&gt;0,"OK - made money","Check - review it")))))))</f>
        <v>0</v>
      </c>
    </row>
    <row r="25" spans="1:25">
      <c r="A25" s="28">
        <f>IF(B25="","",CampaignPrefix&amp;TEXT(ROW()-4,"000"))</f>
        <v>0</v>
      </c>
      <c r="L25" s="15">
        <f>IF(F25="","",TEXT(F25,"yyyy-mm"))</f>
        <v>0</v>
      </c>
      <c r="M25" s="25">
        <f>IF(B25="","",IF(E25="",0,COUNTIFS(Sales!$O$5:$O$1204,E25)))</f>
        <v>0</v>
      </c>
      <c r="N25" s="26">
        <f>IF(B25="","",IF(E25="",0,ROUND(SUMIFS(Sales!$Y$5:$Y$1204,Sales!$O$5:$O$1204,E25),2)))</f>
        <v>0</v>
      </c>
      <c r="O25" s="26">
        <f>IF(B25="","",IF(E25="",0,ROUND(SUMIFS(Sales!$X$5:$X$1204,Sales!$O$5:$O$1204,E25),2)))</f>
        <v>0</v>
      </c>
      <c r="P25" s="25">
        <f>IF(B25="","",IF(E25="",0,SUMPRODUCT((Sales!$O$5:$O$1204=E25)*(Sales!$AD$5:$AD$1204="Yes"))))</f>
        <v>0</v>
      </c>
      <c r="Q25" s="25">
        <f>IF(B25="","",IF(F25="",0,COUNTIFS(Clients!$G$5:$G$504,C25,Clients!$X$5:$X$504,"&gt;="&amp;F25,Clients!$X$5:$X$504,"&lt;="&amp;IF(G25="",TodayDate,G25))))</f>
        <v>0</v>
      </c>
      <c r="R25" s="25">
        <f>IF(B25="","",IF(F25="",0,COUNTIFS(Appointments!$N$5:$N$1204,C25,Appointments!$B$5:$B$1204,"&gt;="&amp;F25,Appointments!$B$5:$B$1204,"&lt;="&amp;IF(G25="",TodayDate,G25))))</f>
        <v>0</v>
      </c>
      <c r="S25" s="26">
        <f>IF(B25="","",ROUND(IF(H25="",0,H25)+O25,2))</f>
        <v>0</v>
      </c>
      <c r="T25" s="26">
        <f>IF(B25="","",ROUND(N25-S25,2))</f>
        <v>0</v>
      </c>
      <c r="U25" s="27">
        <f>IF(B25="","",IF(S25&lt;=0,"",T25/S25))</f>
        <v>0</v>
      </c>
      <c r="V25" s="26">
        <f>IF(B25="","",IF(Q25=0,"",ROUND(S25/Q25,2)))</f>
        <v>0</v>
      </c>
      <c r="W25" s="26">
        <f>IF(B25="","",IF(I25="","",ROUND(N25-I25,2)))</f>
        <v>0</v>
      </c>
      <c r="X25" s="25">
        <f>IF(B25="","",COUNTIFS($N$5:$N$104,"&gt;"&amp;N25)+COUNTIFS($N$5:N25,N25))</f>
        <v>0</v>
      </c>
      <c r="Y25" s="39">
        <f>IF(B25="","",IF(E25="","Add - no code, nothing to measure",IF(J25="Planned","Upcoming",IF(M25=0,"Check - code never used",IF(T25&lt;0,"Loss - cost more than it made",IF(U25&gt;=1,"OK - doubled its money",IF(U25&gt;0,"OK - made money","Check - review it")))))))</f>
        <v>0</v>
      </c>
    </row>
    <row r="26" spans="1:25">
      <c r="A26" s="28">
        <f>IF(B26="","",CampaignPrefix&amp;TEXT(ROW()-4,"000"))</f>
        <v>0</v>
      </c>
      <c r="L26" s="15">
        <f>IF(F26="","",TEXT(F26,"yyyy-mm"))</f>
        <v>0</v>
      </c>
      <c r="M26" s="25">
        <f>IF(B26="","",IF(E26="",0,COUNTIFS(Sales!$O$5:$O$1204,E26)))</f>
        <v>0</v>
      </c>
      <c r="N26" s="26">
        <f>IF(B26="","",IF(E26="",0,ROUND(SUMIFS(Sales!$Y$5:$Y$1204,Sales!$O$5:$O$1204,E26),2)))</f>
        <v>0</v>
      </c>
      <c r="O26" s="26">
        <f>IF(B26="","",IF(E26="",0,ROUND(SUMIFS(Sales!$X$5:$X$1204,Sales!$O$5:$O$1204,E26),2)))</f>
        <v>0</v>
      </c>
      <c r="P26" s="25">
        <f>IF(B26="","",IF(E26="",0,SUMPRODUCT((Sales!$O$5:$O$1204=E26)*(Sales!$AD$5:$AD$1204="Yes"))))</f>
        <v>0</v>
      </c>
      <c r="Q26" s="25">
        <f>IF(B26="","",IF(F26="",0,COUNTIFS(Clients!$G$5:$G$504,C26,Clients!$X$5:$X$504,"&gt;="&amp;F26,Clients!$X$5:$X$504,"&lt;="&amp;IF(G26="",TodayDate,G26))))</f>
        <v>0</v>
      </c>
      <c r="R26" s="25">
        <f>IF(B26="","",IF(F26="",0,COUNTIFS(Appointments!$N$5:$N$1204,C26,Appointments!$B$5:$B$1204,"&gt;="&amp;F26,Appointments!$B$5:$B$1204,"&lt;="&amp;IF(G26="",TodayDate,G26))))</f>
        <v>0</v>
      </c>
      <c r="S26" s="26">
        <f>IF(B26="","",ROUND(IF(H26="",0,H26)+O26,2))</f>
        <v>0</v>
      </c>
      <c r="T26" s="26">
        <f>IF(B26="","",ROUND(N26-S26,2))</f>
        <v>0</v>
      </c>
      <c r="U26" s="27">
        <f>IF(B26="","",IF(S26&lt;=0,"",T26/S26))</f>
        <v>0</v>
      </c>
      <c r="V26" s="26">
        <f>IF(B26="","",IF(Q26=0,"",ROUND(S26/Q26,2)))</f>
        <v>0</v>
      </c>
      <c r="W26" s="26">
        <f>IF(B26="","",IF(I26="","",ROUND(N26-I26,2)))</f>
        <v>0</v>
      </c>
      <c r="X26" s="25">
        <f>IF(B26="","",COUNTIFS($N$5:$N$104,"&gt;"&amp;N26)+COUNTIFS($N$5:N26,N26))</f>
        <v>0</v>
      </c>
      <c r="Y26" s="39">
        <f>IF(B26="","",IF(E26="","Add - no code, nothing to measure",IF(J26="Planned","Upcoming",IF(M26=0,"Check - code never used",IF(T26&lt;0,"Loss - cost more than it made",IF(U26&gt;=1,"OK - doubled its money",IF(U26&gt;0,"OK - made money","Check - review it")))))))</f>
        <v>0</v>
      </c>
    </row>
    <row r="27" spans="1:25">
      <c r="A27" s="28">
        <f>IF(B27="","",CampaignPrefix&amp;TEXT(ROW()-4,"000"))</f>
        <v>0</v>
      </c>
      <c r="L27" s="15">
        <f>IF(F27="","",TEXT(F27,"yyyy-mm"))</f>
        <v>0</v>
      </c>
      <c r="M27" s="25">
        <f>IF(B27="","",IF(E27="",0,COUNTIFS(Sales!$O$5:$O$1204,E27)))</f>
        <v>0</v>
      </c>
      <c r="N27" s="26">
        <f>IF(B27="","",IF(E27="",0,ROUND(SUMIFS(Sales!$Y$5:$Y$1204,Sales!$O$5:$O$1204,E27),2)))</f>
        <v>0</v>
      </c>
      <c r="O27" s="26">
        <f>IF(B27="","",IF(E27="",0,ROUND(SUMIFS(Sales!$X$5:$X$1204,Sales!$O$5:$O$1204,E27),2)))</f>
        <v>0</v>
      </c>
      <c r="P27" s="25">
        <f>IF(B27="","",IF(E27="",0,SUMPRODUCT((Sales!$O$5:$O$1204=E27)*(Sales!$AD$5:$AD$1204="Yes"))))</f>
        <v>0</v>
      </c>
      <c r="Q27" s="25">
        <f>IF(B27="","",IF(F27="",0,COUNTIFS(Clients!$G$5:$G$504,C27,Clients!$X$5:$X$504,"&gt;="&amp;F27,Clients!$X$5:$X$504,"&lt;="&amp;IF(G27="",TodayDate,G27))))</f>
        <v>0</v>
      </c>
      <c r="R27" s="25">
        <f>IF(B27="","",IF(F27="",0,COUNTIFS(Appointments!$N$5:$N$1204,C27,Appointments!$B$5:$B$1204,"&gt;="&amp;F27,Appointments!$B$5:$B$1204,"&lt;="&amp;IF(G27="",TodayDate,G27))))</f>
        <v>0</v>
      </c>
      <c r="S27" s="26">
        <f>IF(B27="","",ROUND(IF(H27="",0,H27)+O27,2))</f>
        <v>0</v>
      </c>
      <c r="T27" s="26">
        <f>IF(B27="","",ROUND(N27-S27,2))</f>
        <v>0</v>
      </c>
      <c r="U27" s="27">
        <f>IF(B27="","",IF(S27&lt;=0,"",T27/S27))</f>
        <v>0</v>
      </c>
      <c r="V27" s="26">
        <f>IF(B27="","",IF(Q27=0,"",ROUND(S27/Q27,2)))</f>
        <v>0</v>
      </c>
      <c r="W27" s="26">
        <f>IF(B27="","",IF(I27="","",ROUND(N27-I27,2)))</f>
        <v>0</v>
      </c>
      <c r="X27" s="25">
        <f>IF(B27="","",COUNTIFS($N$5:$N$104,"&gt;"&amp;N27)+COUNTIFS($N$5:N27,N27))</f>
        <v>0</v>
      </c>
      <c r="Y27" s="39">
        <f>IF(B27="","",IF(E27="","Add - no code, nothing to measure",IF(J27="Planned","Upcoming",IF(M27=0,"Check - code never used",IF(T27&lt;0,"Loss - cost more than it made",IF(U27&gt;=1,"OK - doubled its money",IF(U27&gt;0,"OK - made money","Check - review it")))))))</f>
        <v>0</v>
      </c>
    </row>
    <row r="28" spans="1:25">
      <c r="A28" s="28">
        <f>IF(B28="","",CampaignPrefix&amp;TEXT(ROW()-4,"000"))</f>
        <v>0</v>
      </c>
      <c r="L28" s="15">
        <f>IF(F28="","",TEXT(F28,"yyyy-mm"))</f>
        <v>0</v>
      </c>
      <c r="M28" s="25">
        <f>IF(B28="","",IF(E28="",0,COUNTIFS(Sales!$O$5:$O$1204,E28)))</f>
        <v>0</v>
      </c>
      <c r="N28" s="26">
        <f>IF(B28="","",IF(E28="",0,ROUND(SUMIFS(Sales!$Y$5:$Y$1204,Sales!$O$5:$O$1204,E28),2)))</f>
        <v>0</v>
      </c>
      <c r="O28" s="26">
        <f>IF(B28="","",IF(E28="",0,ROUND(SUMIFS(Sales!$X$5:$X$1204,Sales!$O$5:$O$1204,E28),2)))</f>
        <v>0</v>
      </c>
      <c r="P28" s="25">
        <f>IF(B28="","",IF(E28="",0,SUMPRODUCT((Sales!$O$5:$O$1204=E28)*(Sales!$AD$5:$AD$1204="Yes"))))</f>
        <v>0</v>
      </c>
      <c r="Q28" s="25">
        <f>IF(B28="","",IF(F28="",0,COUNTIFS(Clients!$G$5:$G$504,C28,Clients!$X$5:$X$504,"&gt;="&amp;F28,Clients!$X$5:$X$504,"&lt;="&amp;IF(G28="",TodayDate,G28))))</f>
        <v>0</v>
      </c>
      <c r="R28" s="25">
        <f>IF(B28="","",IF(F28="",0,COUNTIFS(Appointments!$N$5:$N$1204,C28,Appointments!$B$5:$B$1204,"&gt;="&amp;F28,Appointments!$B$5:$B$1204,"&lt;="&amp;IF(G28="",TodayDate,G28))))</f>
        <v>0</v>
      </c>
      <c r="S28" s="26">
        <f>IF(B28="","",ROUND(IF(H28="",0,H28)+O28,2))</f>
        <v>0</v>
      </c>
      <c r="T28" s="26">
        <f>IF(B28="","",ROUND(N28-S28,2))</f>
        <v>0</v>
      </c>
      <c r="U28" s="27">
        <f>IF(B28="","",IF(S28&lt;=0,"",T28/S28))</f>
        <v>0</v>
      </c>
      <c r="V28" s="26">
        <f>IF(B28="","",IF(Q28=0,"",ROUND(S28/Q28,2)))</f>
        <v>0</v>
      </c>
      <c r="W28" s="26">
        <f>IF(B28="","",IF(I28="","",ROUND(N28-I28,2)))</f>
        <v>0</v>
      </c>
      <c r="X28" s="25">
        <f>IF(B28="","",COUNTIFS($N$5:$N$104,"&gt;"&amp;N28)+COUNTIFS($N$5:N28,N28))</f>
        <v>0</v>
      </c>
      <c r="Y28" s="39">
        <f>IF(B28="","",IF(E28="","Add - no code, nothing to measure",IF(J28="Planned","Upcoming",IF(M28=0,"Check - code never used",IF(T28&lt;0,"Loss - cost more than it made",IF(U28&gt;=1,"OK - doubled its money",IF(U28&gt;0,"OK - made money","Check - review it")))))))</f>
        <v>0</v>
      </c>
    </row>
    <row r="29" spans="1:25">
      <c r="A29" s="28">
        <f>IF(B29="","",CampaignPrefix&amp;TEXT(ROW()-4,"000"))</f>
        <v>0</v>
      </c>
      <c r="L29" s="15">
        <f>IF(F29="","",TEXT(F29,"yyyy-mm"))</f>
        <v>0</v>
      </c>
      <c r="M29" s="25">
        <f>IF(B29="","",IF(E29="",0,COUNTIFS(Sales!$O$5:$O$1204,E29)))</f>
        <v>0</v>
      </c>
      <c r="N29" s="26">
        <f>IF(B29="","",IF(E29="",0,ROUND(SUMIFS(Sales!$Y$5:$Y$1204,Sales!$O$5:$O$1204,E29),2)))</f>
        <v>0</v>
      </c>
      <c r="O29" s="26">
        <f>IF(B29="","",IF(E29="",0,ROUND(SUMIFS(Sales!$X$5:$X$1204,Sales!$O$5:$O$1204,E29),2)))</f>
        <v>0</v>
      </c>
      <c r="P29" s="25">
        <f>IF(B29="","",IF(E29="",0,SUMPRODUCT((Sales!$O$5:$O$1204=E29)*(Sales!$AD$5:$AD$1204="Yes"))))</f>
        <v>0</v>
      </c>
      <c r="Q29" s="25">
        <f>IF(B29="","",IF(F29="",0,COUNTIFS(Clients!$G$5:$G$504,C29,Clients!$X$5:$X$504,"&gt;="&amp;F29,Clients!$X$5:$X$504,"&lt;="&amp;IF(G29="",TodayDate,G29))))</f>
        <v>0</v>
      </c>
      <c r="R29" s="25">
        <f>IF(B29="","",IF(F29="",0,COUNTIFS(Appointments!$N$5:$N$1204,C29,Appointments!$B$5:$B$1204,"&gt;="&amp;F29,Appointments!$B$5:$B$1204,"&lt;="&amp;IF(G29="",TodayDate,G29))))</f>
        <v>0</v>
      </c>
      <c r="S29" s="26">
        <f>IF(B29="","",ROUND(IF(H29="",0,H29)+O29,2))</f>
        <v>0</v>
      </c>
      <c r="T29" s="26">
        <f>IF(B29="","",ROUND(N29-S29,2))</f>
        <v>0</v>
      </c>
      <c r="U29" s="27">
        <f>IF(B29="","",IF(S29&lt;=0,"",T29/S29))</f>
        <v>0</v>
      </c>
      <c r="V29" s="26">
        <f>IF(B29="","",IF(Q29=0,"",ROUND(S29/Q29,2)))</f>
        <v>0</v>
      </c>
      <c r="W29" s="26">
        <f>IF(B29="","",IF(I29="","",ROUND(N29-I29,2)))</f>
        <v>0</v>
      </c>
      <c r="X29" s="25">
        <f>IF(B29="","",COUNTIFS($N$5:$N$104,"&gt;"&amp;N29)+COUNTIFS($N$5:N29,N29))</f>
        <v>0</v>
      </c>
      <c r="Y29" s="39">
        <f>IF(B29="","",IF(E29="","Add - no code, nothing to measure",IF(J29="Planned","Upcoming",IF(M29=0,"Check - code never used",IF(T29&lt;0,"Loss - cost more than it made",IF(U29&gt;=1,"OK - doubled its money",IF(U29&gt;0,"OK - made money","Check - review it")))))))</f>
        <v>0</v>
      </c>
    </row>
    <row r="30" spans="1:25">
      <c r="A30" s="28">
        <f>IF(B30="","",CampaignPrefix&amp;TEXT(ROW()-4,"000"))</f>
        <v>0</v>
      </c>
      <c r="L30" s="15">
        <f>IF(F30="","",TEXT(F30,"yyyy-mm"))</f>
        <v>0</v>
      </c>
      <c r="M30" s="25">
        <f>IF(B30="","",IF(E30="",0,COUNTIFS(Sales!$O$5:$O$1204,E30)))</f>
        <v>0</v>
      </c>
      <c r="N30" s="26">
        <f>IF(B30="","",IF(E30="",0,ROUND(SUMIFS(Sales!$Y$5:$Y$1204,Sales!$O$5:$O$1204,E30),2)))</f>
        <v>0</v>
      </c>
      <c r="O30" s="26">
        <f>IF(B30="","",IF(E30="",0,ROUND(SUMIFS(Sales!$X$5:$X$1204,Sales!$O$5:$O$1204,E30),2)))</f>
        <v>0</v>
      </c>
      <c r="P30" s="25">
        <f>IF(B30="","",IF(E30="",0,SUMPRODUCT((Sales!$O$5:$O$1204=E30)*(Sales!$AD$5:$AD$1204="Yes"))))</f>
        <v>0</v>
      </c>
      <c r="Q30" s="25">
        <f>IF(B30="","",IF(F30="",0,COUNTIFS(Clients!$G$5:$G$504,C30,Clients!$X$5:$X$504,"&gt;="&amp;F30,Clients!$X$5:$X$504,"&lt;="&amp;IF(G30="",TodayDate,G30))))</f>
        <v>0</v>
      </c>
      <c r="R30" s="25">
        <f>IF(B30="","",IF(F30="",0,COUNTIFS(Appointments!$N$5:$N$1204,C30,Appointments!$B$5:$B$1204,"&gt;="&amp;F30,Appointments!$B$5:$B$1204,"&lt;="&amp;IF(G30="",TodayDate,G30))))</f>
        <v>0</v>
      </c>
      <c r="S30" s="26">
        <f>IF(B30="","",ROUND(IF(H30="",0,H30)+O30,2))</f>
        <v>0</v>
      </c>
      <c r="T30" s="26">
        <f>IF(B30="","",ROUND(N30-S30,2))</f>
        <v>0</v>
      </c>
      <c r="U30" s="27">
        <f>IF(B30="","",IF(S30&lt;=0,"",T30/S30))</f>
        <v>0</v>
      </c>
      <c r="V30" s="26">
        <f>IF(B30="","",IF(Q30=0,"",ROUND(S30/Q30,2)))</f>
        <v>0</v>
      </c>
      <c r="W30" s="26">
        <f>IF(B30="","",IF(I30="","",ROUND(N30-I30,2)))</f>
        <v>0</v>
      </c>
      <c r="X30" s="25">
        <f>IF(B30="","",COUNTIFS($N$5:$N$104,"&gt;"&amp;N30)+COUNTIFS($N$5:N30,N30))</f>
        <v>0</v>
      </c>
      <c r="Y30" s="39">
        <f>IF(B30="","",IF(E30="","Add - no code, nothing to measure",IF(J30="Planned","Upcoming",IF(M30=0,"Check - code never used",IF(T30&lt;0,"Loss - cost more than it made",IF(U30&gt;=1,"OK - doubled its money",IF(U30&gt;0,"OK - made money","Check - review it")))))))</f>
        <v>0</v>
      </c>
    </row>
    <row r="31" spans="1:25">
      <c r="A31" s="28">
        <f>IF(B31="","",CampaignPrefix&amp;TEXT(ROW()-4,"000"))</f>
        <v>0</v>
      </c>
      <c r="L31" s="15">
        <f>IF(F31="","",TEXT(F31,"yyyy-mm"))</f>
        <v>0</v>
      </c>
      <c r="M31" s="25">
        <f>IF(B31="","",IF(E31="",0,COUNTIFS(Sales!$O$5:$O$1204,E31)))</f>
        <v>0</v>
      </c>
      <c r="N31" s="26">
        <f>IF(B31="","",IF(E31="",0,ROUND(SUMIFS(Sales!$Y$5:$Y$1204,Sales!$O$5:$O$1204,E31),2)))</f>
        <v>0</v>
      </c>
      <c r="O31" s="26">
        <f>IF(B31="","",IF(E31="",0,ROUND(SUMIFS(Sales!$X$5:$X$1204,Sales!$O$5:$O$1204,E31),2)))</f>
        <v>0</v>
      </c>
      <c r="P31" s="25">
        <f>IF(B31="","",IF(E31="",0,SUMPRODUCT((Sales!$O$5:$O$1204=E31)*(Sales!$AD$5:$AD$1204="Yes"))))</f>
        <v>0</v>
      </c>
      <c r="Q31" s="25">
        <f>IF(B31="","",IF(F31="",0,COUNTIFS(Clients!$G$5:$G$504,C31,Clients!$X$5:$X$504,"&gt;="&amp;F31,Clients!$X$5:$X$504,"&lt;="&amp;IF(G31="",TodayDate,G31))))</f>
        <v>0</v>
      </c>
      <c r="R31" s="25">
        <f>IF(B31="","",IF(F31="",0,COUNTIFS(Appointments!$N$5:$N$1204,C31,Appointments!$B$5:$B$1204,"&gt;="&amp;F31,Appointments!$B$5:$B$1204,"&lt;="&amp;IF(G31="",TodayDate,G31))))</f>
        <v>0</v>
      </c>
      <c r="S31" s="26">
        <f>IF(B31="","",ROUND(IF(H31="",0,H31)+O31,2))</f>
        <v>0</v>
      </c>
      <c r="T31" s="26">
        <f>IF(B31="","",ROUND(N31-S31,2))</f>
        <v>0</v>
      </c>
      <c r="U31" s="27">
        <f>IF(B31="","",IF(S31&lt;=0,"",T31/S31))</f>
        <v>0</v>
      </c>
      <c r="V31" s="26">
        <f>IF(B31="","",IF(Q31=0,"",ROUND(S31/Q31,2)))</f>
        <v>0</v>
      </c>
      <c r="W31" s="26">
        <f>IF(B31="","",IF(I31="","",ROUND(N31-I31,2)))</f>
        <v>0</v>
      </c>
      <c r="X31" s="25">
        <f>IF(B31="","",COUNTIFS($N$5:$N$104,"&gt;"&amp;N31)+COUNTIFS($N$5:N31,N31))</f>
        <v>0</v>
      </c>
      <c r="Y31" s="39">
        <f>IF(B31="","",IF(E31="","Add - no code, nothing to measure",IF(J31="Planned","Upcoming",IF(M31=0,"Check - code never used",IF(T31&lt;0,"Loss - cost more than it made",IF(U31&gt;=1,"OK - doubled its money",IF(U31&gt;0,"OK - made money","Check - review it")))))))</f>
        <v>0</v>
      </c>
    </row>
    <row r="32" spans="1:25">
      <c r="A32" s="28">
        <f>IF(B32="","",CampaignPrefix&amp;TEXT(ROW()-4,"000"))</f>
        <v>0</v>
      </c>
      <c r="L32" s="15">
        <f>IF(F32="","",TEXT(F32,"yyyy-mm"))</f>
        <v>0</v>
      </c>
      <c r="M32" s="25">
        <f>IF(B32="","",IF(E32="",0,COUNTIFS(Sales!$O$5:$O$1204,E32)))</f>
        <v>0</v>
      </c>
      <c r="N32" s="26">
        <f>IF(B32="","",IF(E32="",0,ROUND(SUMIFS(Sales!$Y$5:$Y$1204,Sales!$O$5:$O$1204,E32),2)))</f>
        <v>0</v>
      </c>
      <c r="O32" s="26">
        <f>IF(B32="","",IF(E32="",0,ROUND(SUMIFS(Sales!$X$5:$X$1204,Sales!$O$5:$O$1204,E32),2)))</f>
        <v>0</v>
      </c>
      <c r="P32" s="25">
        <f>IF(B32="","",IF(E32="",0,SUMPRODUCT((Sales!$O$5:$O$1204=E32)*(Sales!$AD$5:$AD$1204="Yes"))))</f>
        <v>0</v>
      </c>
      <c r="Q32" s="25">
        <f>IF(B32="","",IF(F32="",0,COUNTIFS(Clients!$G$5:$G$504,C32,Clients!$X$5:$X$504,"&gt;="&amp;F32,Clients!$X$5:$X$504,"&lt;="&amp;IF(G32="",TodayDate,G32))))</f>
        <v>0</v>
      </c>
      <c r="R32" s="25">
        <f>IF(B32="","",IF(F32="",0,COUNTIFS(Appointments!$N$5:$N$1204,C32,Appointments!$B$5:$B$1204,"&gt;="&amp;F32,Appointments!$B$5:$B$1204,"&lt;="&amp;IF(G32="",TodayDate,G32))))</f>
        <v>0</v>
      </c>
      <c r="S32" s="26">
        <f>IF(B32="","",ROUND(IF(H32="",0,H32)+O32,2))</f>
        <v>0</v>
      </c>
      <c r="T32" s="26">
        <f>IF(B32="","",ROUND(N32-S32,2))</f>
        <v>0</v>
      </c>
      <c r="U32" s="27">
        <f>IF(B32="","",IF(S32&lt;=0,"",T32/S32))</f>
        <v>0</v>
      </c>
      <c r="V32" s="26">
        <f>IF(B32="","",IF(Q32=0,"",ROUND(S32/Q32,2)))</f>
        <v>0</v>
      </c>
      <c r="W32" s="26">
        <f>IF(B32="","",IF(I32="","",ROUND(N32-I32,2)))</f>
        <v>0</v>
      </c>
      <c r="X32" s="25">
        <f>IF(B32="","",COUNTIFS($N$5:$N$104,"&gt;"&amp;N32)+COUNTIFS($N$5:N32,N32))</f>
        <v>0</v>
      </c>
      <c r="Y32" s="39">
        <f>IF(B32="","",IF(E32="","Add - no code, nothing to measure",IF(J32="Planned","Upcoming",IF(M32=0,"Check - code never used",IF(T32&lt;0,"Loss - cost more than it made",IF(U32&gt;=1,"OK - doubled its money",IF(U32&gt;0,"OK - made money","Check - review it")))))))</f>
        <v>0</v>
      </c>
    </row>
    <row r="33" spans="1:25">
      <c r="A33" s="28">
        <f>IF(B33="","",CampaignPrefix&amp;TEXT(ROW()-4,"000"))</f>
        <v>0</v>
      </c>
      <c r="L33" s="15">
        <f>IF(F33="","",TEXT(F33,"yyyy-mm"))</f>
        <v>0</v>
      </c>
      <c r="M33" s="25">
        <f>IF(B33="","",IF(E33="",0,COUNTIFS(Sales!$O$5:$O$1204,E33)))</f>
        <v>0</v>
      </c>
      <c r="N33" s="26">
        <f>IF(B33="","",IF(E33="",0,ROUND(SUMIFS(Sales!$Y$5:$Y$1204,Sales!$O$5:$O$1204,E33),2)))</f>
        <v>0</v>
      </c>
      <c r="O33" s="26">
        <f>IF(B33="","",IF(E33="",0,ROUND(SUMIFS(Sales!$X$5:$X$1204,Sales!$O$5:$O$1204,E33),2)))</f>
        <v>0</v>
      </c>
      <c r="P33" s="25">
        <f>IF(B33="","",IF(E33="",0,SUMPRODUCT((Sales!$O$5:$O$1204=E33)*(Sales!$AD$5:$AD$1204="Yes"))))</f>
        <v>0</v>
      </c>
      <c r="Q33" s="25">
        <f>IF(B33="","",IF(F33="",0,COUNTIFS(Clients!$G$5:$G$504,C33,Clients!$X$5:$X$504,"&gt;="&amp;F33,Clients!$X$5:$X$504,"&lt;="&amp;IF(G33="",TodayDate,G33))))</f>
        <v>0</v>
      </c>
      <c r="R33" s="25">
        <f>IF(B33="","",IF(F33="",0,COUNTIFS(Appointments!$N$5:$N$1204,C33,Appointments!$B$5:$B$1204,"&gt;="&amp;F33,Appointments!$B$5:$B$1204,"&lt;="&amp;IF(G33="",TodayDate,G33))))</f>
        <v>0</v>
      </c>
      <c r="S33" s="26">
        <f>IF(B33="","",ROUND(IF(H33="",0,H33)+O33,2))</f>
        <v>0</v>
      </c>
      <c r="T33" s="26">
        <f>IF(B33="","",ROUND(N33-S33,2))</f>
        <v>0</v>
      </c>
      <c r="U33" s="27">
        <f>IF(B33="","",IF(S33&lt;=0,"",T33/S33))</f>
        <v>0</v>
      </c>
      <c r="V33" s="26">
        <f>IF(B33="","",IF(Q33=0,"",ROUND(S33/Q33,2)))</f>
        <v>0</v>
      </c>
      <c r="W33" s="26">
        <f>IF(B33="","",IF(I33="","",ROUND(N33-I33,2)))</f>
        <v>0</v>
      </c>
      <c r="X33" s="25">
        <f>IF(B33="","",COUNTIFS($N$5:$N$104,"&gt;"&amp;N33)+COUNTIFS($N$5:N33,N33))</f>
        <v>0</v>
      </c>
      <c r="Y33" s="39">
        <f>IF(B33="","",IF(E33="","Add - no code, nothing to measure",IF(J33="Planned","Upcoming",IF(M33=0,"Check - code never used",IF(T33&lt;0,"Loss - cost more than it made",IF(U33&gt;=1,"OK - doubled its money",IF(U33&gt;0,"OK - made money","Check - review it")))))))</f>
        <v>0</v>
      </c>
    </row>
    <row r="34" spans="1:25">
      <c r="A34" s="28">
        <f>IF(B34="","",CampaignPrefix&amp;TEXT(ROW()-4,"000"))</f>
        <v>0</v>
      </c>
      <c r="L34" s="15">
        <f>IF(F34="","",TEXT(F34,"yyyy-mm"))</f>
        <v>0</v>
      </c>
      <c r="M34" s="25">
        <f>IF(B34="","",IF(E34="",0,COUNTIFS(Sales!$O$5:$O$1204,E34)))</f>
        <v>0</v>
      </c>
      <c r="N34" s="26">
        <f>IF(B34="","",IF(E34="",0,ROUND(SUMIFS(Sales!$Y$5:$Y$1204,Sales!$O$5:$O$1204,E34),2)))</f>
        <v>0</v>
      </c>
      <c r="O34" s="26">
        <f>IF(B34="","",IF(E34="",0,ROUND(SUMIFS(Sales!$X$5:$X$1204,Sales!$O$5:$O$1204,E34),2)))</f>
        <v>0</v>
      </c>
      <c r="P34" s="25">
        <f>IF(B34="","",IF(E34="",0,SUMPRODUCT((Sales!$O$5:$O$1204=E34)*(Sales!$AD$5:$AD$1204="Yes"))))</f>
        <v>0</v>
      </c>
      <c r="Q34" s="25">
        <f>IF(B34="","",IF(F34="",0,COUNTIFS(Clients!$G$5:$G$504,C34,Clients!$X$5:$X$504,"&gt;="&amp;F34,Clients!$X$5:$X$504,"&lt;="&amp;IF(G34="",TodayDate,G34))))</f>
        <v>0</v>
      </c>
      <c r="R34" s="25">
        <f>IF(B34="","",IF(F34="",0,COUNTIFS(Appointments!$N$5:$N$1204,C34,Appointments!$B$5:$B$1204,"&gt;="&amp;F34,Appointments!$B$5:$B$1204,"&lt;="&amp;IF(G34="",TodayDate,G34))))</f>
        <v>0</v>
      </c>
      <c r="S34" s="26">
        <f>IF(B34="","",ROUND(IF(H34="",0,H34)+O34,2))</f>
        <v>0</v>
      </c>
      <c r="T34" s="26">
        <f>IF(B34="","",ROUND(N34-S34,2))</f>
        <v>0</v>
      </c>
      <c r="U34" s="27">
        <f>IF(B34="","",IF(S34&lt;=0,"",T34/S34))</f>
        <v>0</v>
      </c>
      <c r="V34" s="26">
        <f>IF(B34="","",IF(Q34=0,"",ROUND(S34/Q34,2)))</f>
        <v>0</v>
      </c>
      <c r="W34" s="26">
        <f>IF(B34="","",IF(I34="","",ROUND(N34-I34,2)))</f>
        <v>0</v>
      </c>
      <c r="X34" s="25">
        <f>IF(B34="","",COUNTIFS($N$5:$N$104,"&gt;"&amp;N34)+COUNTIFS($N$5:N34,N34))</f>
        <v>0</v>
      </c>
      <c r="Y34" s="39">
        <f>IF(B34="","",IF(E34="","Add - no code, nothing to measure",IF(J34="Planned","Upcoming",IF(M34=0,"Check - code never used",IF(T34&lt;0,"Loss - cost more than it made",IF(U34&gt;=1,"OK - doubled its money",IF(U34&gt;0,"OK - made money","Check - review it")))))))</f>
        <v>0</v>
      </c>
    </row>
    <row r="35" spans="1:25">
      <c r="A35" s="28">
        <f>IF(B35="","",CampaignPrefix&amp;TEXT(ROW()-4,"000"))</f>
        <v>0</v>
      </c>
      <c r="L35" s="15">
        <f>IF(F35="","",TEXT(F35,"yyyy-mm"))</f>
        <v>0</v>
      </c>
      <c r="M35" s="25">
        <f>IF(B35="","",IF(E35="",0,COUNTIFS(Sales!$O$5:$O$1204,E35)))</f>
        <v>0</v>
      </c>
      <c r="N35" s="26">
        <f>IF(B35="","",IF(E35="",0,ROUND(SUMIFS(Sales!$Y$5:$Y$1204,Sales!$O$5:$O$1204,E35),2)))</f>
        <v>0</v>
      </c>
      <c r="O35" s="26">
        <f>IF(B35="","",IF(E35="",0,ROUND(SUMIFS(Sales!$X$5:$X$1204,Sales!$O$5:$O$1204,E35),2)))</f>
        <v>0</v>
      </c>
      <c r="P35" s="25">
        <f>IF(B35="","",IF(E35="",0,SUMPRODUCT((Sales!$O$5:$O$1204=E35)*(Sales!$AD$5:$AD$1204="Yes"))))</f>
        <v>0</v>
      </c>
      <c r="Q35" s="25">
        <f>IF(B35="","",IF(F35="",0,COUNTIFS(Clients!$G$5:$G$504,C35,Clients!$X$5:$X$504,"&gt;="&amp;F35,Clients!$X$5:$X$504,"&lt;="&amp;IF(G35="",TodayDate,G35))))</f>
        <v>0</v>
      </c>
      <c r="R35" s="25">
        <f>IF(B35="","",IF(F35="",0,COUNTIFS(Appointments!$N$5:$N$1204,C35,Appointments!$B$5:$B$1204,"&gt;="&amp;F35,Appointments!$B$5:$B$1204,"&lt;="&amp;IF(G35="",TodayDate,G35))))</f>
        <v>0</v>
      </c>
      <c r="S35" s="26">
        <f>IF(B35="","",ROUND(IF(H35="",0,H35)+O35,2))</f>
        <v>0</v>
      </c>
      <c r="T35" s="26">
        <f>IF(B35="","",ROUND(N35-S35,2))</f>
        <v>0</v>
      </c>
      <c r="U35" s="27">
        <f>IF(B35="","",IF(S35&lt;=0,"",T35/S35))</f>
        <v>0</v>
      </c>
      <c r="V35" s="26">
        <f>IF(B35="","",IF(Q35=0,"",ROUND(S35/Q35,2)))</f>
        <v>0</v>
      </c>
      <c r="W35" s="26">
        <f>IF(B35="","",IF(I35="","",ROUND(N35-I35,2)))</f>
        <v>0</v>
      </c>
      <c r="X35" s="25">
        <f>IF(B35="","",COUNTIFS($N$5:$N$104,"&gt;"&amp;N35)+COUNTIFS($N$5:N35,N35))</f>
        <v>0</v>
      </c>
      <c r="Y35" s="39">
        <f>IF(B35="","",IF(E35="","Add - no code, nothing to measure",IF(J35="Planned","Upcoming",IF(M35=0,"Check - code never used",IF(T35&lt;0,"Loss - cost more than it made",IF(U35&gt;=1,"OK - doubled its money",IF(U35&gt;0,"OK - made money","Check - review it")))))))</f>
        <v>0</v>
      </c>
    </row>
    <row r="36" spans="1:25">
      <c r="A36" s="28">
        <f>IF(B36="","",CampaignPrefix&amp;TEXT(ROW()-4,"000"))</f>
        <v>0</v>
      </c>
      <c r="L36" s="15">
        <f>IF(F36="","",TEXT(F36,"yyyy-mm"))</f>
        <v>0</v>
      </c>
      <c r="M36" s="25">
        <f>IF(B36="","",IF(E36="",0,COUNTIFS(Sales!$O$5:$O$1204,E36)))</f>
        <v>0</v>
      </c>
      <c r="N36" s="26">
        <f>IF(B36="","",IF(E36="",0,ROUND(SUMIFS(Sales!$Y$5:$Y$1204,Sales!$O$5:$O$1204,E36),2)))</f>
        <v>0</v>
      </c>
      <c r="O36" s="26">
        <f>IF(B36="","",IF(E36="",0,ROUND(SUMIFS(Sales!$X$5:$X$1204,Sales!$O$5:$O$1204,E36),2)))</f>
        <v>0</v>
      </c>
      <c r="P36" s="25">
        <f>IF(B36="","",IF(E36="",0,SUMPRODUCT((Sales!$O$5:$O$1204=E36)*(Sales!$AD$5:$AD$1204="Yes"))))</f>
        <v>0</v>
      </c>
      <c r="Q36" s="25">
        <f>IF(B36="","",IF(F36="",0,COUNTIFS(Clients!$G$5:$G$504,C36,Clients!$X$5:$X$504,"&gt;="&amp;F36,Clients!$X$5:$X$504,"&lt;="&amp;IF(G36="",TodayDate,G36))))</f>
        <v>0</v>
      </c>
      <c r="R36" s="25">
        <f>IF(B36="","",IF(F36="",0,COUNTIFS(Appointments!$N$5:$N$1204,C36,Appointments!$B$5:$B$1204,"&gt;="&amp;F36,Appointments!$B$5:$B$1204,"&lt;="&amp;IF(G36="",TodayDate,G36))))</f>
        <v>0</v>
      </c>
      <c r="S36" s="26">
        <f>IF(B36="","",ROUND(IF(H36="",0,H36)+O36,2))</f>
        <v>0</v>
      </c>
      <c r="T36" s="26">
        <f>IF(B36="","",ROUND(N36-S36,2))</f>
        <v>0</v>
      </c>
      <c r="U36" s="27">
        <f>IF(B36="","",IF(S36&lt;=0,"",T36/S36))</f>
        <v>0</v>
      </c>
      <c r="V36" s="26">
        <f>IF(B36="","",IF(Q36=0,"",ROUND(S36/Q36,2)))</f>
        <v>0</v>
      </c>
      <c r="W36" s="26">
        <f>IF(B36="","",IF(I36="","",ROUND(N36-I36,2)))</f>
        <v>0</v>
      </c>
      <c r="X36" s="25">
        <f>IF(B36="","",COUNTIFS($N$5:$N$104,"&gt;"&amp;N36)+COUNTIFS($N$5:N36,N36))</f>
        <v>0</v>
      </c>
      <c r="Y36" s="39">
        <f>IF(B36="","",IF(E36="","Add - no code, nothing to measure",IF(J36="Planned","Upcoming",IF(M36=0,"Check - code never used",IF(T36&lt;0,"Loss - cost more than it made",IF(U36&gt;=1,"OK - doubled its money",IF(U36&gt;0,"OK - made money","Check - review it")))))))</f>
        <v>0</v>
      </c>
    </row>
    <row r="37" spans="1:25">
      <c r="A37" s="28">
        <f>IF(B37="","",CampaignPrefix&amp;TEXT(ROW()-4,"000"))</f>
        <v>0</v>
      </c>
      <c r="L37" s="15">
        <f>IF(F37="","",TEXT(F37,"yyyy-mm"))</f>
        <v>0</v>
      </c>
      <c r="M37" s="25">
        <f>IF(B37="","",IF(E37="",0,COUNTIFS(Sales!$O$5:$O$1204,E37)))</f>
        <v>0</v>
      </c>
      <c r="N37" s="26">
        <f>IF(B37="","",IF(E37="",0,ROUND(SUMIFS(Sales!$Y$5:$Y$1204,Sales!$O$5:$O$1204,E37),2)))</f>
        <v>0</v>
      </c>
      <c r="O37" s="26">
        <f>IF(B37="","",IF(E37="",0,ROUND(SUMIFS(Sales!$X$5:$X$1204,Sales!$O$5:$O$1204,E37),2)))</f>
        <v>0</v>
      </c>
      <c r="P37" s="25">
        <f>IF(B37="","",IF(E37="",0,SUMPRODUCT((Sales!$O$5:$O$1204=E37)*(Sales!$AD$5:$AD$1204="Yes"))))</f>
        <v>0</v>
      </c>
      <c r="Q37" s="25">
        <f>IF(B37="","",IF(F37="",0,COUNTIFS(Clients!$G$5:$G$504,C37,Clients!$X$5:$X$504,"&gt;="&amp;F37,Clients!$X$5:$X$504,"&lt;="&amp;IF(G37="",TodayDate,G37))))</f>
        <v>0</v>
      </c>
      <c r="R37" s="25">
        <f>IF(B37="","",IF(F37="",0,COUNTIFS(Appointments!$N$5:$N$1204,C37,Appointments!$B$5:$B$1204,"&gt;="&amp;F37,Appointments!$B$5:$B$1204,"&lt;="&amp;IF(G37="",TodayDate,G37))))</f>
        <v>0</v>
      </c>
      <c r="S37" s="26">
        <f>IF(B37="","",ROUND(IF(H37="",0,H37)+O37,2))</f>
        <v>0</v>
      </c>
      <c r="T37" s="26">
        <f>IF(B37="","",ROUND(N37-S37,2))</f>
        <v>0</v>
      </c>
      <c r="U37" s="27">
        <f>IF(B37="","",IF(S37&lt;=0,"",T37/S37))</f>
        <v>0</v>
      </c>
      <c r="V37" s="26">
        <f>IF(B37="","",IF(Q37=0,"",ROUND(S37/Q37,2)))</f>
        <v>0</v>
      </c>
      <c r="W37" s="26">
        <f>IF(B37="","",IF(I37="","",ROUND(N37-I37,2)))</f>
        <v>0</v>
      </c>
      <c r="X37" s="25">
        <f>IF(B37="","",COUNTIFS($N$5:$N$104,"&gt;"&amp;N37)+COUNTIFS($N$5:N37,N37))</f>
        <v>0</v>
      </c>
      <c r="Y37" s="39">
        <f>IF(B37="","",IF(E37="","Add - no code, nothing to measure",IF(J37="Planned","Upcoming",IF(M37=0,"Check - code never used",IF(T37&lt;0,"Loss - cost more than it made",IF(U37&gt;=1,"OK - doubled its money",IF(U37&gt;0,"OK - made money","Check - review it")))))))</f>
        <v>0</v>
      </c>
    </row>
    <row r="38" spans="1:25">
      <c r="A38" s="28">
        <f>IF(B38="","",CampaignPrefix&amp;TEXT(ROW()-4,"000"))</f>
        <v>0</v>
      </c>
      <c r="L38" s="15">
        <f>IF(F38="","",TEXT(F38,"yyyy-mm"))</f>
        <v>0</v>
      </c>
      <c r="M38" s="25">
        <f>IF(B38="","",IF(E38="",0,COUNTIFS(Sales!$O$5:$O$1204,E38)))</f>
        <v>0</v>
      </c>
      <c r="N38" s="26">
        <f>IF(B38="","",IF(E38="",0,ROUND(SUMIFS(Sales!$Y$5:$Y$1204,Sales!$O$5:$O$1204,E38),2)))</f>
        <v>0</v>
      </c>
      <c r="O38" s="26">
        <f>IF(B38="","",IF(E38="",0,ROUND(SUMIFS(Sales!$X$5:$X$1204,Sales!$O$5:$O$1204,E38),2)))</f>
        <v>0</v>
      </c>
      <c r="P38" s="25">
        <f>IF(B38="","",IF(E38="",0,SUMPRODUCT((Sales!$O$5:$O$1204=E38)*(Sales!$AD$5:$AD$1204="Yes"))))</f>
        <v>0</v>
      </c>
      <c r="Q38" s="25">
        <f>IF(B38="","",IF(F38="",0,COUNTIFS(Clients!$G$5:$G$504,C38,Clients!$X$5:$X$504,"&gt;="&amp;F38,Clients!$X$5:$X$504,"&lt;="&amp;IF(G38="",TodayDate,G38))))</f>
        <v>0</v>
      </c>
      <c r="R38" s="25">
        <f>IF(B38="","",IF(F38="",0,COUNTIFS(Appointments!$N$5:$N$1204,C38,Appointments!$B$5:$B$1204,"&gt;="&amp;F38,Appointments!$B$5:$B$1204,"&lt;="&amp;IF(G38="",TodayDate,G38))))</f>
        <v>0</v>
      </c>
      <c r="S38" s="26">
        <f>IF(B38="","",ROUND(IF(H38="",0,H38)+O38,2))</f>
        <v>0</v>
      </c>
      <c r="T38" s="26">
        <f>IF(B38="","",ROUND(N38-S38,2))</f>
        <v>0</v>
      </c>
      <c r="U38" s="27">
        <f>IF(B38="","",IF(S38&lt;=0,"",T38/S38))</f>
        <v>0</v>
      </c>
      <c r="V38" s="26">
        <f>IF(B38="","",IF(Q38=0,"",ROUND(S38/Q38,2)))</f>
        <v>0</v>
      </c>
      <c r="W38" s="26">
        <f>IF(B38="","",IF(I38="","",ROUND(N38-I38,2)))</f>
        <v>0</v>
      </c>
      <c r="X38" s="25">
        <f>IF(B38="","",COUNTIFS($N$5:$N$104,"&gt;"&amp;N38)+COUNTIFS($N$5:N38,N38))</f>
        <v>0</v>
      </c>
      <c r="Y38" s="39">
        <f>IF(B38="","",IF(E38="","Add - no code, nothing to measure",IF(J38="Planned","Upcoming",IF(M38=0,"Check - code never used",IF(T38&lt;0,"Loss - cost more than it made",IF(U38&gt;=1,"OK - doubled its money",IF(U38&gt;0,"OK - made money","Check - review it")))))))</f>
        <v>0</v>
      </c>
    </row>
    <row r="39" spans="1:25">
      <c r="A39" s="28">
        <f>IF(B39="","",CampaignPrefix&amp;TEXT(ROW()-4,"000"))</f>
        <v>0</v>
      </c>
      <c r="L39" s="15">
        <f>IF(F39="","",TEXT(F39,"yyyy-mm"))</f>
        <v>0</v>
      </c>
      <c r="M39" s="25">
        <f>IF(B39="","",IF(E39="",0,COUNTIFS(Sales!$O$5:$O$1204,E39)))</f>
        <v>0</v>
      </c>
      <c r="N39" s="26">
        <f>IF(B39="","",IF(E39="",0,ROUND(SUMIFS(Sales!$Y$5:$Y$1204,Sales!$O$5:$O$1204,E39),2)))</f>
        <v>0</v>
      </c>
      <c r="O39" s="26">
        <f>IF(B39="","",IF(E39="",0,ROUND(SUMIFS(Sales!$X$5:$X$1204,Sales!$O$5:$O$1204,E39),2)))</f>
        <v>0</v>
      </c>
      <c r="P39" s="25">
        <f>IF(B39="","",IF(E39="",0,SUMPRODUCT((Sales!$O$5:$O$1204=E39)*(Sales!$AD$5:$AD$1204="Yes"))))</f>
        <v>0</v>
      </c>
      <c r="Q39" s="25">
        <f>IF(B39="","",IF(F39="",0,COUNTIFS(Clients!$G$5:$G$504,C39,Clients!$X$5:$X$504,"&gt;="&amp;F39,Clients!$X$5:$X$504,"&lt;="&amp;IF(G39="",TodayDate,G39))))</f>
        <v>0</v>
      </c>
      <c r="R39" s="25">
        <f>IF(B39="","",IF(F39="",0,COUNTIFS(Appointments!$N$5:$N$1204,C39,Appointments!$B$5:$B$1204,"&gt;="&amp;F39,Appointments!$B$5:$B$1204,"&lt;="&amp;IF(G39="",TodayDate,G39))))</f>
        <v>0</v>
      </c>
      <c r="S39" s="26">
        <f>IF(B39="","",ROUND(IF(H39="",0,H39)+O39,2))</f>
        <v>0</v>
      </c>
      <c r="T39" s="26">
        <f>IF(B39="","",ROUND(N39-S39,2))</f>
        <v>0</v>
      </c>
      <c r="U39" s="27">
        <f>IF(B39="","",IF(S39&lt;=0,"",T39/S39))</f>
        <v>0</v>
      </c>
      <c r="V39" s="26">
        <f>IF(B39="","",IF(Q39=0,"",ROUND(S39/Q39,2)))</f>
        <v>0</v>
      </c>
      <c r="W39" s="26">
        <f>IF(B39="","",IF(I39="","",ROUND(N39-I39,2)))</f>
        <v>0</v>
      </c>
      <c r="X39" s="25">
        <f>IF(B39="","",COUNTIFS($N$5:$N$104,"&gt;"&amp;N39)+COUNTIFS($N$5:N39,N39))</f>
        <v>0</v>
      </c>
      <c r="Y39" s="39">
        <f>IF(B39="","",IF(E39="","Add - no code, nothing to measure",IF(J39="Planned","Upcoming",IF(M39=0,"Check - code never used",IF(T39&lt;0,"Loss - cost more than it made",IF(U39&gt;=1,"OK - doubled its money",IF(U39&gt;0,"OK - made money","Check - review it")))))))</f>
        <v>0</v>
      </c>
    </row>
    <row r="40" spans="1:25">
      <c r="A40" s="28">
        <f>IF(B40="","",CampaignPrefix&amp;TEXT(ROW()-4,"000"))</f>
        <v>0</v>
      </c>
      <c r="L40" s="15">
        <f>IF(F40="","",TEXT(F40,"yyyy-mm"))</f>
        <v>0</v>
      </c>
      <c r="M40" s="25">
        <f>IF(B40="","",IF(E40="",0,COUNTIFS(Sales!$O$5:$O$1204,E40)))</f>
        <v>0</v>
      </c>
      <c r="N40" s="26">
        <f>IF(B40="","",IF(E40="",0,ROUND(SUMIFS(Sales!$Y$5:$Y$1204,Sales!$O$5:$O$1204,E40),2)))</f>
        <v>0</v>
      </c>
      <c r="O40" s="26">
        <f>IF(B40="","",IF(E40="",0,ROUND(SUMIFS(Sales!$X$5:$X$1204,Sales!$O$5:$O$1204,E40),2)))</f>
        <v>0</v>
      </c>
      <c r="P40" s="25">
        <f>IF(B40="","",IF(E40="",0,SUMPRODUCT((Sales!$O$5:$O$1204=E40)*(Sales!$AD$5:$AD$1204="Yes"))))</f>
        <v>0</v>
      </c>
      <c r="Q40" s="25">
        <f>IF(B40="","",IF(F40="",0,COUNTIFS(Clients!$G$5:$G$504,C40,Clients!$X$5:$X$504,"&gt;="&amp;F40,Clients!$X$5:$X$504,"&lt;="&amp;IF(G40="",TodayDate,G40))))</f>
        <v>0</v>
      </c>
      <c r="R40" s="25">
        <f>IF(B40="","",IF(F40="",0,COUNTIFS(Appointments!$N$5:$N$1204,C40,Appointments!$B$5:$B$1204,"&gt;="&amp;F40,Appointments!$B$5:$B$1204,"&lt;="&amp;IF(G40="",TodayDate,G40))))</f>
        <v>0</v>
      </c>
      <c r="S40" s="26">
        <f>IF(B40="","",ROUND(IF(H40="",0,H40)+O40,2))</f>
        <v>0</v>
      </c>
      <c r="T40" s="26">
        <f>IF(B40="","",ROUND(N40-S40,2))</f>
        <v>0</v>
      </c>
      <c r="U40" s="27">
        <f>IF(B40="","",IF(S40&lt;=0,"",T40/S40))</f>
        <v>0</v>
      </c>
      <c r="V40" s="26">
        <f>IF(B40="","",IF(Q40=0,"",ROUND(S40/Q40,2)))</f>
        <v>0</v>
      </c>
      <c r="W40" s="26">
        <f>IF(B40="","",IF(I40="","",ROUND(N40-I40,2)))</f>
        <v>0</v>
      </c>
      <c r="X40" s="25">
        <f>IF(B40="","",COUNTIFS($N$5:$N$104,"&gt;"&amp;N40)+COUNTIFS($N$5:N40,N40))</f>
        <v>0</v>
      </c>
      <c r="Y40" s="39">
        <f>IF(B40="","",IF(E40="","Add - no code, nothing to measure",IF(J40="Planned","Upcoming",IF(M40=0,"Check - code never used",IF(T40&lt;0,"Loss - cost more than it made",IF(U40&gt;=1,"OK - doubled its money",IF(U40&gt;0,"OK - made money","Check - review it")))))))</f>
        <v>0</v>
      </c>
    </row>
    <row r="41" spans="1:25">
      <c r="A41" s="28">
        <f>IF(B41="","",CampaignPrefix&amp;TEXT(ROW()-4,"000"))</f>
        <v>0</v>
      </c>
      <c r="L41" s="15">
        <f>IF(F41="","",TEXT(F41,"yyyy-mm"))</f>
        <v>0</v>
      </c>
      <c r="M41" s="25">
        <f>IF(B41="","",IF(E41="",0,COUNTIFS(Sales!$O$5:$O$1204,E41)))</f>
        <v>0</v>
      </c>
      <c r="N41" s="26">
        <f>IF(B41="","",IF(E41="",0,ROUND(SUMIFS(Sales!$Y$5:$Y$1204,Sales!$O$5:$O$1204,E41),2)))</f>
        <v>0</v>
      </c>
      <c r="O41" s="26">
        <f>IF(B41="","",IF(E41="",0,ROUND(SUMIFS(Sales!$X$5:$X$1204,Sales!$O$5:$O$1204,E41),2)))</f>
        <v>0</v>
      </c>
      <c r="P41" s="25">
        <f>IF(B41="","",IF(E41="",0,SUMPRODUCT((Sales!$O$5:$O$1204=E41)*(Sales!$AD$5:$AD$1204="Yes"))))</f>
        <v>0</v>
      </c>
      <c r="Q41" s="25">
        <f>IF(B41="","",IF(F41="",0,COUNTIFS(Clients!$G$5:$G$504,C41,Clients!$X$5:$X$504,"&gt;="&amp;F41,Clients!$X$5:$X$504,"&lt;="&amp;IF(G41="",TodayDate,G41))))</f>
        <v>0</v>
      </c>
      <c r="R41" s="25">
        <f>IF(B41="","",IF(F41="",0,COUNTIFS(Appointments!$N$5:$N$1204,C41,Appointments!$B$5:$B$1204,"&gt;="&amp;F41,Appointments!$B$5:$B$1204,"&lt;="&amp;IF(G41="",TodayDate,G41))))</f>
        <v>0</v>
      </c>
      <c r="S41" s="26">
        <f>IF(B41="","",ROUND(IF(H41="",0,H41)+O41,2))</f>
        <v>0</v>
      </c>
      <c r="T41" s="26">
        <f>IF(B41="","",ROUND(N41-S41,2))</f>
        <v>0</v>
      </c>
      <c r="U41" s="27">
        <f>IF(B41="","",IF(S41&lt;=0,"",T41/S41))</f>
        <v>0</v>
      </c>
      <c r="V41" s="26">
        <f>IF(B41="","",IF(Q41=0,"",ROUND(S41/Q41,2)))</f>
        <v>0</v>
      </c>
      <c r="W41" s="26">
        <f>IF(B41="","",IF(I41="","",ROUND(N41-I41,2)))</f>
        <v>0</v>
      </c>
      <c r="X41" s="25">
        <f>IF(B41="","",COUNTIFS($N$5:$N$104,"&gt;"&amp;N41)+COUNTIFS($N$5:N41,N41))</f>
        <v>0</v>
      </c>
      <c r="Y41" s="39">
        <f>IF(B41="","",IF(E41="","Add - no code, nothing to measure",IF(J41="Planned","Upcoming",IF(M41=0,"Check - code never used",IF(T41&lt;0,"Loss - cost more than it made",IF(U41&gt;=1,"OK - doubled its money",IF(U41&gt;0,"OK - made money","Check - review it")))))))</f>
        <v>0</v>
      </c>
    </row>
    <row r="42" spans="1:25">
      <c r="A42" s="28">
        <f>IF(B42="","",CampaignPrefix&amp;TEXT(ROW()-4,"000"))</f>
        <v>0</v>
      </c>
      <c r="L42" s="15">
        <f>IF(F42="","",TEXT(F42,"yyyy-mm"))</f>
        <v>0</v>
      </c>
      <c r="M42" s="25">
        <f>IF(B42="","",IF(E42="",0,COUNTIFS(Sales!$O$5:$O$1204,E42)))</f>
        <v>0</v>
      </c>
      <c r="N42" s="26">
        <f>IF(B42="","",IF(E42="",0,ROUND(SUMIFS(Sales!$Y$5:$Y$1204,Sales!$O$5:$O$1204,E42),2)))</f>
        <v>0</v>
      </c>
      <c r="O42" s="26">
        <f>IF(B42="","",IF(E42="",0,ROUND(SUMIFS(Sales!$X$5:$X$1204,Sales!$O$5:$O$1204,E42),2)))</f>
        <v>0</v>
      </c>
      <c r="P42" s="25">
        <f>IF(B42="","",IF(E42="",0,SUMPRODUCT((Sales!$O$5:$O$1204=E42)*(Sales!$AD$5:$AD$1204="Yes"))))</f>
        <v>0</v>
      </c>
      <c r="Q42" s="25">
        <f>IF(B42="","",IF(F42="",0,COUNTIFS(Clients!$G$5:$G$504,C42,Clients!$X$5:$X$504,"&gt;="&amp;F42,Clients!$X$5:$X$504,"&lt;="&amp;IF(G42="",TodayDate,G42))))</f>
        <v>0</v>
      </c>
      <c r="R42" s="25">
        <f>IF(B42="","",IF(F42="",0,COUNTIFS(Appointments!$N$5:$N$1204,C42,Appointments!$B$5:$B$1204,"&gt;="&amp;F42,Appointments!$B$5:$B$1204,"&lt;="&amp;IF(G42="",TodayDate,G42))))</f>
        <v>0</v>
      </c>
      <c r="S42" s="26">
        <f>IF(B42="","",ROUND(IF(H42="",0,H42)+O42,2))</f>
        <v>0</v>
      </c>
      <c r="T42" s="26">
        <f>IF(B42="","",ROUND(N42-S42,2))</f>
        <v>0</v>
      </c>
      <c r="U42" s="27">
        <f>IF(B42="","",IF(S42&lt;=0,"",T42/S42))</f>
        <v>0</v>
      </c>
      <c r="V42" s="26">
        <f>IF(B42="","",IF(Q42=0,"",ROUND(S42/Q42,2)))</f>
        <v>0</v>
      </c>
      <c r="W42" s="26">
        <f>IF(B42="","",IF(I42="","",ROUND(N42-I42,2)))</f>
        <v>0</v>
      </c>
      <c r="X42" s="25">
        <f>IF(B42="","",COUNTIFS($N$5:$N$104,"&gt;"&amp;N42)+COUNTIFS($N$5:N42,N42))</f>
        <v>0</v>
      </c>
      <c r="Y42" s="39">
        <f>IF(B42="","",IF(E42="","Add - no code, nothing to measure",IF(J42="Planned","Upcoming",IF(M42=0,"Check - code never used",IF(T42&lt;0,"Loss - cost more than it made",IF(U42&gt;=1,"OK - doubled its money",IF(U42&gt;0,"OK - made money","Check - review it")))))))</f>
        <v>0</v>
      </c>
    </row>
    <row r="43" spans="1:25">
      <c r="A43" s="28">
        <f>IF(B43="","",CampaignPrefix&amp;TEXT(ROW()-4,"000"))</f>
        <v>0</v>
      </c>
      <c r="L43" s="15">
        <f>IF(F43="","",TEXT(F43,"yyyy-mm"))</f>
        <v>0</v>
      </c>
      <c r="M43" s="25">
        <f>IF(B43="","",IF(E43="",0,COUNTIFS(Sales!$O$5:$O$1204,E43)))</f>
        <v>0</v>
      </c>
      <c r="N43" s="26">
        <f>IF(B43="","",IF(E43="",0,ROUND(SUMIFS(Sales!$Y$5:$Y$1204,Sales!$O$5:$O$1204,E43),2)))</f>
        <v>0</v>
      </c>
      <c r="O43" s="26">
        <f>IF(B43="","",IF(E43="",0,ROUND(SUMIFS(Sales!$X$5:$X$1204,Sales!$O$5:$O$1204,E43),2)))</f>
        <v>0</v>
      </c>
      <c r="P43" s="25">
        <f>IF(B43="","",IF(E43="",0,SUMPRODUCT((Sales!$O$5:$O$1204=E43)*(Sales!$AD$5:$AD$1204="Yes"))))</f>
        <v>0</v>
      </c>
      <c r="Q43" s="25">
        <f>IF(B43="","",IF(F43="",0,COUNTIFS(Clients!$G$5:$G$504,C43,Clients!$X$5:$X$504,"&gt;="&amp;F43,Clients!$X$5:$X$504,"&lt;="&amp;IF(G43="",TodayDate,G43))))</f>
        <v>0</v>
      </c>
      <c r="R43" s="25">
        <f>IF(B43="","",IF(F43="",0,COUNTIFS(Appointments!$N$5:$N$1204,C43,Appointments!$B$5:$B$1204,"&gt;="&amp;F43,Appointments!$B$5:$B$1204,"&lt;="&amp;IF(G43="",TodayDate,G43))))</f>
        <v>0</v>
      </c>
      <c r="S43" s="26">
        <f>IF(B43="","",ROUND(IF(H43="",0,H43)+O43,2))</f>
        <v>0</v>
      </c>
      <c r="T43" s="26">
        <f>IF(B43="","",ROUND(N43-S43,2))</f>
        <v>0</v>
      </c>
      <c r="U43" s="27">
        <f>IF(B43="","",IF(S43&lt;=0,"",T43/S43))</f>
        <v>0</v>
      </c>
      <c r="V43" s="26">
        <f>IF(B43="","",IF(Q43=0,"",ROUND(S43/Q43,2)))</f>
        <v>0</v>
      </c>
      <c r="W43" s="26">
        <f>IF(B43="","",IF(I43="","",ROUND(N43-I43,2)))</f>
        <v>0</v>
      </c>
      <c r="X43" s="25">
        <f>IF(B43="","",COUNTIFS($N$5:$N$104,"&gt;"&amp;N43)+COUNTIFS($N$5:N43,N43))</f>
        <v>0</v>
      </c>
      <c r="Y43" s="39">
        <f>IF(B43="","",IF(E43="","Add - no code, nothing to measure",IF(J43="Planned","Upcoming",IF(M43=0,"Check - code never used",IF(T43&lt;0,"Loss - cost more than it made",IF(U43&gt;=1,"OK - doubled its money",IF(U43&gt;0,"OK - made money","Check - review it")))))))</f>
        <v>0</v>
      </c>
    </row>
    <row r="44" spans="1:25">
      <c r="A44" s="28">
        <f>IF(B44="","",CampaignPrefix&amp;TEXT(ROW()-4,"000"))</f>
        <v>0</v>
      </c>
      <c r="L44" s="15">
        <f>IF(F44="","",TEXT(F44,"yyyy-mm"))</f>
        <v>0</v>
      </c>
      <c r="M44" s="25">
        <f>IF(B44="","",IF(E44="",0,COUNTIFS(Sales!$O$5:$O$1204,E44)))</f>
        <v>0</v>
      </c>
      <c r="N44" s="26">
        <f>IF(B44="","",IF(E44="",0,ROUND(SUMIFS(Sales!$Y$5:$Y$1204,Sales!$O$5:$O$1204,E44),2)))</f>
        <v>0</v>
      </c>
      <c r="O44" s="26">
        <f>IF(B44="","",IF(E44="",0,ROUND(SUMIFS(Sales!$X$5:$X$1204,Sales!$O$5:$O$1204,E44),2)))</f>
        <v>0</v>
      </c>
      <c r="P44" s="25">
        <f>IF(B44="","",IF(E44="",0,SUMPRODUCT((Sales!$O$5:$O$1204=E44)*(Sales!$AD$5:$AD$1204="Yes"))))</f>
        <v>0</v>
      </c>
      <c r="Q44" s="25">
        <f>IF(B44="","",IF(F44="",0,COUNTIFS(Clients!$G$5:$G$504,C44,Clients!$X$5:$X$504,"&gt;="&amp;F44,Clients!$X$5:$X$504,"&lt;="&amp;IF(G44="",TodayDate,G44))))</f>
        <v>0</v>
      </c>
      <c r="R44" s="25">
        <f>IF(B44="","",IF(F44="",0,COUNTIFS(Appointments!$N$5:$N$1204,C44,Appointments!$B$5:$B$1204,"&gt;="&amp;F44,Appointments!$B$5:$B$1204,"&lt;="&amp;IF(G44="",TodayDate,G44))))</f>
        <v>0</v>
      </c>
      <c r="S44" s="26">
        <f>IF(B44="","",ROUND(IF(H44="",0,H44)+O44,2))</f>
        <v>0</v>
      </c>
      <c r="T44" s="26">
        <f>IF(B44="","",ROUND(N44-S44,2))</f>
        <v>0</v>
      </c>
      <c r="U44" s="27">
        <f>IF(B44="","",IF(S44&lt;=0,"",T44/S44))</f>
        <v>0</v>
      </c>
      <c r="V44" s="26">
        <f>IF(B44="","",IF(Q44=0,"",ROUND(S44/Q44,2)))</f>
        <v>0</v>
      </c>
      <c r="W44" s="26">
        <f>IF(B44="","",IF(I44="","",ROUND(N44-I44,2)))</f>
        <v>0</v>
      </c>
      <c r="X44" s="25">
        <f>IF(B44="","",COUNTIFS($N$5:$N$104,"&gt;"&amp;N44)+COUNTIFS($N$5:N44,N44))</f>
        <v>0</v>
      </c>
      <c r="Y44" s="39">
        <f>IF(B44="","",IF(E44="","Add - no code, nothing to measure",IF(J44="Planned","Upcoming",IF(M44=0,"Check - code never used",IF(T44&lt;0,"Loss - cost more than it made",IF(U44&gt;=1,"OK - doubled its money",IF(U44&gt;0,"OK - made money","Check - review it")))))))</f>
        <v>0</v>
      </c>
    </row>
    <row r="45" spans="1:25">
      <c r="A45" s="28">
        <f>IF(B45="","",CampaignPrefix&amp;TEXT(ROW()-4,"000"))</f>
        <v>0</v>
      </c>
      <c r="L45" s="15">
        <f>IF(F45="","",TEXT(F45,"yyyy-mm"))</f>
        <v>0</v>
      </c>
      <c r="M45" s="25">
        <f>IF(B45="","",IF(E45="",0,COUNTIFS(Sales!$O$5:$O$1204,E45)))</f>
        <v>0</v>
      </c>
      <c r="N45" s="26">
        <f>IF(B45="","",IF(E45="",0,ROUND(SUMIFS(Sales!$Y$5:$Y$1204,Sales!$O$5:$O$1204,E45),2)))</f>
        <v>0</v>
      </c>
      <c r="O45" s="26">
        <f>IF(B45="","",IF(E45="",0,ROUND(SUMIFS(Sales!$X$5:$X$1204,Sales!$O$5:$O$1204,E45),2)))</f>
        <v>0</v>
      </c>
      <c r="P45" s="25">
        <f>IF(B45="","",IF(E45="",0,SUMPRODUCT((Sales!$O$5:$O$1204=E45)*(Sales!$AD$5:$AD$1204="Yes"))))</f>
        <v>0</v>
      </c>
      <c r="Q45" s="25">
        <f>IF(B45="","",IF(F45="",0,COUNTIFS(Clients!$G$5:$G$504,C45,Clients!$X$5:$X$504,"&gt;="&amp;F45,Clients!$X$5:$X$504,"&lt;="&amp;IF(G45="",TodayDate,G45))))</f>
        <v>0</v>
      </c>
      <c r="R45" s="25">
        <f>IF(B45="","",IF(F45="",0,COUNTIFS(Appointments!$N$5:$N$1204,C45,Appointments!$B$5:$B$1204,"&gt;="&amp;F45,Appointments!$B$5:$B$1204,"&lt;="&amp;IF(G45="",TodayDate,G45))))</f>
        <v>0</v>
      </c>
      <c r="S45" s="26">
        <f>IF(B45="","",ROUND(IF(H45="",0,H45)+O45,2))</f>
        <v>0</v>
      </c>
      <c r="T45" s="26">
        <f>IF(B45="","",ROUND(N45-S45,2))</f>
        <v>0</v>
      </c>
      <c r="U45" s="27">
        <f>IF(B45="","",IF(S45&lt;=0,"",T45/S45))</f>
        <v>0</v>
      </c>
      <c r="V45" s="26">
        <f>IF(B45="","",IF(Q45=0,"",ROUND(S45/Q45,2)))</f>
        <v>0</v>
      </c>
      <c r="W45" s="26">
        <f>IF(B45="","",IF(I45="","",ROUND(N45-I45,2)))</f>
        <v>0</v>
      </c>
      <c r="X45" s="25">
        <f>IF(B45="","",COUNTIFS($N$5:$N$104,"&gt;"&amp;N45)+COUNTIFS($N$5:N45,N45))</f>
        <v>0</v>
      </c>
      <c r="Y45" s="39">
        <f>IF(B45="","",IF(E45="","Add - no code, nothing to measure",IF(J45="Planned","Upcoming",IF(M45=0,"Check - code never used",IF(T45&lt;0,"Loss - cost more than it made",IF(U45&gt;=1,"OK - doubled its money",IF(U45&gt;0,"OK - made money","Check - review it")))))))</f>
        <v>0</v>
      </c>
    </row>
    <row r="46" spans="1:25">
      <c r="A46" s="28">
        <f>IF(B46="","",CampaignPrefix&amp;TEXT(ROW()-4,"000"))</f>
        <v>0</v>
      </c>
      <c r="L46" s="15">
        <f>IF(F46="","",TEXT(F46,"yyyy-mm"))</f>
        <v>0</v>
      </c>
      <c r="M46" s="25">
        <f>IF(B46="","",IF(E46="",0,COUNTIFS(Sales!$O$5:$O$1204,E46)))</f>
        <v>0</v>
      </c>
      <c r="N46" s="26">
        <f>IF(B46="","",IF(E46="",0,ROUND(SUMIFS(Sales!$Y$5:$Y$1204,Sales!$O$5:$O$1204,E46),2)))</f>
        <v>0</v>
      </c>
      <c r="O46" s="26">
        <f>IF(B46="","",IF(E46="",0,ROUND(SUMIFS(Sales!$X$5:$X$1204,Sales!$O$5:$O$1204,E46),2)))</f>
        <v>0</v>
      </c>
      <c r="P46" s="25">
        <f>IF(B46="","",IF(E46="",0,SUMPRODUCT((Sales!$O$5:$O$1204=E46)*(Sales!$AD$5:$AD$1204="Yes"))))</f>
        <v>0</v>
      </c>
      <c r="Q46" s="25">
        <f>IF(B46="","",IF(F46="",0,COUNTIFS(Clients!$G$5:$G$504,C46,Clients!$X$5:$X$504,"&gt;="&amp;F46,Clients!$X$5:$X$504,"&lt;="&amp;IF(G46="",TodayDate,G46))))</f>
        <v>0</v>
      </c>
      <c r="R46" s="25">
        <f>IF(B46="","",IF(F46="",0,COUNTIFS(Appointments!$N$5:$N$1204,C46,Appointments!$B$5:$B$1204,"&gt;="&amp;F46,Appointments!$B$5:$B$1204,"&lt;="&amp;IF(G46="",TodayDate,G46))))</f>
        <v>0</v>
      </c>
      <c r="S46" s="26">
        <f>IF(B46="","",ROUND(IF(H46="",0,H46)+O46,2))</f>
        <v>0</v>
      </c>
      <c r="T46" s="26">
        <f>IF(B46="","",ROUND(N46-S46,2))</f>
        <v>0</v>
      </c>
      <c r="U46" s="27">
        <f>IF(B46="","",IF(S46&lt;=0,"",T46/S46))</f>
        <v>0</v>
      </c>
      <c r="V46" s="26">
        <f>IF(B46="","",IF(Q46=0,"",ROUND(S46/Q46,2)))</f>
        <v>0</v>
      </c>
      <c r="W46" s="26">
        <f>IF(B46="","",IF(I46="","",ROUND(N46-I46,2)))</f>
        <v>0</v>
      </c>
      <c r="X46" s="25">
        <f>IF(B46="","",COUNTIFS($N$5:$N$104,"&gt;"&amp;N46)+COUNTIFS($N$5:N46,N46))</f>
        <v>0</v>
      </c>
      <c r="Y46" s="39">
        <f>IF(B46="","",IF(E46="","Add - no code, nothing to measure",IF(J46="Planned","Upcoming",IF(M46=0,"Check - code never used",IF(T46&lt;0,"Loss - cost more than it made",IF(U46&gt;=1,"OK - doubled its money",IF(U46&gt;0,"OK - made money","Check - review it")))))))</f>
        <v>0</v>
      </c>
    </row>
    <row r="47" spans="1:25">
      <c r="A47" s="28">
        <f>IF(B47="","",CampaignPrefix&amp;TEXT(ROW()-4,"000"))</f>
        <v>0</v>
      </c>
      <c r="L47" s="15">
        <f>IF(F47="","",TEXT(F47,"yyyy-mm"))</f>
        <v>0</v>
      </c>
      <c r="M47" s="25">
        <f>IF(B47="","",IF(E47="",0,COUNTIFS(Sales!$O$5:$O$1204,E47)))</f>
        <v>0</v>
      </c>
      <c r="N47" s="26">
        <f>IF(B47="","",IF(E47="",0,ROUND(SUMIFS(Sales!$Y$5:$Y$1204,Sales!$O$5:$O$1204,E47),2)))</f>
        <v>0</v>
      </c>
      <c r="O47" s="26">
        <f>IF(B47="","",IF(E47="",0,ROUND(SUMIFS(Sales!$X$5:$X$1204,Sales!$O$5:$O$1204,E47),2)))</f>
        <v>0</v>
      </c>
      <c r="P47" s="25">
        <f>IF(B47="","",IF(E47="",0,SUMPRODUCT((Sales!$O$5:$O$1204=E47)*(Sales!$AD$5:$AD$1204="Yes"))))</f>
        <v>0</v>
      </c>
      <c r="Q47" s="25">
        <f>IF(B47="","",IF(F47="",0,COUNTIFS(Clients!$G$5:$G$504,C47,Clients!$X$5:$X$504,"&gt;="&amp;F47,Clients!$X$5:$X$504,"&lt;="&amp;IF(G47="",TodayDate,G47))))</f>
        <v>0</v>
      </c>
      <c r="R47" s="25">
        <f>IF(B47="","",IF(F47="",0,COUNTIFS(Appointments!$N$5:$N$1204,C47,Appointments!$B$5:$B$1204,"&gt;="&amp;F47,Appointments!$B$5:$B$1204,"&lt;="&amp;IF(G47="",TodayDate,G47))))</f>
        <v>0</v>
      </c>
      <c r="S47" s="26">
        <f>IF(B47="","",ROUND(IF(H47="",0,H47)+O47,2))</f>
        <v>0</v>
      </c>
      <c r="T47" s="26">
        <f>IF(B47="","",ROUND(N47-S47,2))</f>
        <v>0</v>
      </c>
      <c r="U47" s="27">
        <f>IF(B47="","",IF(S47&lt;=0,"",T47/S47))</f>
        <v>0</v>
      </c>
      <c r="V47" s="26">
        <f>IF(B47="","",IF(Q47=0,"",ROUND(S47/Q47,2)))</f>
        <v>0</v>
      </c>
      <c r="W47" s="26">
        <f>IF(B47="","",IF(I47="","",ROUND(N47-I47,2)))</f>
        <v>0</v>
      </c>
      <c r="X47" s="25">
        <f>IF(B47="","",COUNTIFS($N$5:$N$104,"&gt;"&amp;N47)+COUNTIFS($N$5:N47,N47))</f>
        <v>0</v>
      </c>
      <c r="Y47" s="39">
        <f>IF(B47="","",IF(E47="","Add - no code, nothing to measure",IF(J47="Planned","Upcoming",IF(M47=0,"Check - code never used",IF(T47&lt;0,"Loss - cost more than it made",IF(U47&gt;=1,"OK - doubled its money",IF(U47&gt;0,"OK - made money","Check - review it")))))))</f>
        <v>0</v>
      </c>
    </row>
    <row r="48" spans="1:25">
      <c r="A48" s="28">
        <f>IF(B48="","",CampaignPrefix&amp;TEXT(ROW()-4,"000"))</f>
        <v>0</v>
      </c>
      <c r="L48" s="15">
        <f>IF(F48="","",TEXT(F48,"yyyy-mm"))</f>
        <v>0</v>
      </c>
      <c r="M48" s="25">
        <f>IF(B48="","",IF(E48="",0,COUNTIFS(Sales!$O$5:$O$1204,E48)))</f>
        <v>0</v>
      </c>
      <c r="N48" s="26">
        <f>IF(B48="","",IF(E48="",0,ROUND(SUMIFS(Sales!$Y$5:$Y$1204,Sales!$O$5:$O$1204,E48),2)))</f>
        <v>0</v>
      </c>
      <c r="O48" s="26">
        <f>IF(B48="","",IF(E48="",0,ROUND(SUMIFS(Sales!$X$5:$X$1204,Sales!$O$5:$O$1204,E48),2)))</f>
        <v>0</v>
      </c>
      <c r="P48" s="25">
        <f>IF(B48="","",IF(E48="",0,SUMPRODUCT((Sales!$O$5:$O$1204=E48)*(Sales!$AD$5:$AD$1204="Yes"))))</f>
        <v>0</v>
      </c>
      <c r="Q48" s="25">
        <f>IF(B48="","",IF(F48="",0,COUNTIFS(Clients!$G$5:$G$504,C48,Clients!$X$5:$X$504,"&gt;="&amp;F48,Clients!$X$5:$X$504,"&lt;="&amp;IF(G48="",TodayDate,G48))))</f>
        <v>0</v>
      </c>
      <c r="R48" s="25">
        <f>IF(B48="","",IF(F48="",0,COUNTIFS(Appointments!$N$5:$N$1204,C48,Appointments!$B$5:$B$1204,"&gt;="&amp;F48,Appointments!$B$5:$B$1204,"&lt;="&amp;IF(G48="",TodayDate,G48))))</f>
        <v>0</v>
      </c>
      <c r="S48" s="26">
        <f>IF(B48="","",ROUND(IF(H48="",0,H48)+O48,2))</f>
        <v>0</v>
      </c>
      <c r="T48" s="26">
        <f>IF(B48="","",ROUND(N48-S48,2))</f>
        <v>0</v>
      </c>
      <c r="U48" s="27">
        <f>IF(B48="","",IF(S48&lt;=0,"",T48/S48))</f>
        <v>0</v>
      </c>
      <c r="V48" s="26">
        <f>IF(B48="","",IF(Q48=0,"",ROUND(S48/Q48,2)))</f>
        <v>0</v>
      </c>
      <c r="W48" s="26">
        <f>IF(B48="","",IF(I48="","",ROUND(N48-I48,2)))</f>
        <v>0</v>
      </c>
      <c r="X48" s="25">
        <f>IF(B48="","",COUNTIFS($N$5:$N$104,"&gt;"&amp;N48)+COUNTIFS($N$5:N48,N48))</f>
        <v>0</v>
      </c>
      <c r="Y48" s="39">
        <f>IF(B48="","",IF(E48="","Add - no code, nothing to measure",IF(J48="Planned","Upcoming",IF(M48=0,"Check - code never used",IF(T48&lt;0,"Loss - cost more than it made",IF(U48&gt;=1,"OK - doubled its money",IF(U48&gt;0,"OK - made money","Check - review it")))))))</f>
        <v>0</v>
      </c>
    </row>
    <row r="49" spans="1:25">
      <c r="A49" s="28">
        <f>IF(B49="","",CampaignPrefix&amp;TEXT(ROW()-4,"000"))</f>
        <v>0</v>
      </c>
      <c r="L49" s="15">
        <f>IF(F49="","",TEXT(F49,"yyyy-mm"))</f>
        <v>0</v>
      </c>
      <c r="M49" s="25">
        <f>IF(B49="","",IF(E49="",0,COUNTIFS(Sales!$O$5:$O$1204,E49)))</f>
        <v>0</v>
      </c>
      <c r="N49" s="26">
        <f>IF(B49="","",IF(E49="",0,ROUND(SUMIFS(Sales!$Y$5:$Y$1204,Sales!$O$5:$O$1204,E49),2)))</f>
        <v>0</v>
      </c>
      <c r="O49" s="26">
        <f>IF(B49="","",IF(E49="",0,ROUND(SUMIFS(Sales!$X$5:$X$1204,Sales!$O$5:$O$1204,E49),2)))</f>
        <v>0</v>
      </c>
      <c r="P49" s="25">
        <f>IF(B49="","",IF(E49="",0,SUMPRODUCT((Sales!$O$5:$O$1204=E49)*(Sales!$AD$5:$AD$1204="Yes"))))</f>
        <v>0</v>
      </c>
      <c r="Q49" s="25">
        <f>IF(B49="","",IF(F49="",0,COUNTIFS(Clients!$G$5:$G$504,C49,Clients!$X$5:$X$504,"&gt;="&amp;F49,Clients!$X$5:$X$504,"&lt;="&amp;IF(G49="",TodayDate,G49))))</f>
        <v>0</v>
      </c>
      <c r="R49" s="25">
        <f>IF(B49="","",IF(F49="",0,COUNTIFS(Appointments!$N$5:$N$1204,C49,Appointments!$B$5:$B$1204,"&gt;="&amp;F49,Appointments!$B$5:$B$1204,"&lt;="&amp;IF(G49="",TodayDate,G49))))</f>
        <v>0</v>
      </c>
      <c r="S49" s="26">
        <f>IF(B49="","",ROUND(IF(H49="",0,H49)+O49,2))</f>
        <v>0</v>
      </c>
      <c r="T49" s="26">
        <f>IF(B49="","",ROUND(N49-S49,2))</f>
        <v>0</v>
      </c>
      <c r="U49" s="27">
        <f>IF(B49="","",IF(S49&lt;=0,"",T49/S49))</f>
        <v>0</v>
      </c>
      <c r="V49" s="26">
        <f>IF(B49="","",IF(Q49=0,"",ROUND(S49/Q49,2)))</f>
        <v>0</v>
      </c>
      <c r="W49" s="26">
        <f>IF(B49="","",IF(I49="","",ROUND(N49-I49,2)))</f>
        <v>0</v>
      </c>
      <c r="X49" s="25">
        <f>IF(B49="","",COUNTIFS($N$5:$N$104,"&gt;"&amp;N49)+COUNTIFS($N$5:N49,N49))</f>
        <v>0</v>
      </c>
      <c r="Y49" s="39">
        <f>IF(B49="","",IF(E49="","Add - no code, nothing to measure",IF(J49="Planned","Upcoming",IF(M49=0,"Check - code never used",IF(T49&lt;0,"Loss - cost more than it made",IF(U49&gt;=1,"OK - doubled its money",IF(U49&gt;0,"OK - made money","Check - review it")))))))</f>
        <v>0</v>
      </c>
    </row>
    <row r="50" spans="1:25">
      <c r="A50" s="28">
        <f>IF(B50="","",CampaignPrefix&amp;TEXT(ROW()-4,"000"))</f>
        <v>0</v>
      </c>
      <c r="L50" s="15">
        <f>IF(F50="","",TEXT(F50,"yyyy-mm"))</f>
        <v>0</v>
      </c>
      <c r="M50" s="25">
        <f>IF(B50="","",IF(E50="",0,COUNTIFS(Sales!$O$5:$O$1204,E50)))</f>
        <v>0</v>
      </c>
      <c r="N50" s="26">
        <f>IF(B50="","",IF(E50="",0,ROUND(SUMIFS(Sales!$Y$5:$Y$1204,Sales!$O$5:$O$1204,E50),2)))</f>
        <v>0</v>
      </c>
      <c r="O50" s="26">
        <f>IF(B50="","",IF(E50="",0,ROUND(SUMIFS(Sales!$X$5:$X$1204,Sales!$O$5:$O$1204,E50),2)))</f>
        <v>0</v>
      </c>
      <c r="P50" s="25">
        <f>IF(B50="","",IF(E50="",0,SUMPRODUCT((Sales!$O$5:$O$1204=E50)*(Sales!$AD$5:$AD$1204="Yes"))))</f>
        <v>0</v>
      </c>
      <c r="Q50" s="25">
        <f>IF(B50="","",IF(F50="",0,COUNTIFS(Clients!$G$5:$G$504,C50,Clients!$X$5:$X$504,"&gt;="&amp;F50,Clients!$X$5:$X$504,"&lt;="&amp;IF(G50="",TodayDate,G50))))</f>
        <v>0</v>
      </c>
      <c r="R50" s="25">
        <f>IF(B50="","",IF(F50="",0,COUNTIFS(Appointments!$N$5:$N$1204,C50,Appointments!$B$5:$B$1204,"&gt;="&amp;F50,Appointments!$B$5:$B$1204,"&lt;="&amp;IF(G50="",TodayDate,G50))))</f>
        <v>0</v>
      </c>
      <c r="S50" s="26">
        <f>IF(B50="","",ROUND(IF(H50="",0,H50)+O50,2))</f>
        <v>0</v>
      </c>
      <c r="T50" s="26">
        <f>IF(B50="","",ROUND(N50-S50,2))</f>
        <v>0</v>
      </c>
      <c r="U50" s="27">
        <f>IF(B50="","",IF(S50&lt;=0,"",T50/S50))</f>
        <v>0</v>
      </c>
      <c r="V50" s="26">
        <f>IF(B50="","",IF(Q50=0,"",ROUND(S50/Q50,2)))</f>
        <v>0</v>
      </c>
      <c r="W50" s="26">
        <f>IF(B50="","",IF(I50="","",ROUND(N50-I50,2)))</f>
        <v>0</v>
      </c>
      <c r="X50" s="25">
        <f>IF(B50="","",COUNTIFS($N$5:$N$104,"&gt;"&amp;N50)+COUNTIFS($N$5:N50,N50))</f>
        <v>0</v>
      </c>
      <c r="Y50" s="39">
        <f>IF(B50="","",IF(E50="","Add - no code, nothing to measure",IF(J50="Planned","Upcoming",IF(M50=0,"Check - code never used",IF(T50&lt;0,"Loss - cost more than it made",IF(U50&gt;=1,"OK - doubled its money",IF(U50&gt;0,"OK - made money","Check - review it")))))))</f>
        <v>0</v>
      </c>
    </row>
    <row r="51" spans="1:25">
      <c r="A51" s="28">
        <f>IF(B51="","",CampaignPrefix&amp;TEXT(ROW()-4,"000"))</f>
        <v>0</v>
      </c>
      <c r="L51" s="15">
        <f>IF(F51="","",TEXT(F51,"yyyy-mm"))</f>
        <v>0</v>
      </c>
      <c r="M51" s="25">
        <f>IF(B51="","",IF(E51="",0,COUNTIFS(Sales!$O$5:$O$1204,E51)))</f>
        <v>0</v>
      </c>
      <c r="N51" s="26">
        <f>IF(B51="","",IF(E51="",0,ROUND(SUMIFS(Sales!$Y$5:$Y$1204,Sales!$O$5:$O$1204,E51),2)))</f>
        <v>0</v>
      </c>
      <c r="O51" s="26">
        <f>IF(B51="","",IF(E51="",0,ROUND(SUMIFS(Sales!$X$5:$X$1204,Sales!$O$5:$O$1204,E51),2)))</f>
        <v>0</v>
      </c>
      <c r="P51" s="25">
        <f>IF(B51="","",IF(E51="",0,SUMPRODUCT((Sales!$O$5:$O$1204=E51)*(Sales!$AD$5:$AD$1204="Yes"))))</f>
        <v>0</v>
      </c>
      <c r="Q51" s="25">
        <f>IF(B51="","",IF(F51="",0,COUNTIFS(Clients!$G$5:$G$504,C51,Clients!$X$5:$X$504,"&gt;="&amp;F51,Clients!$X$5:$X$504,"&lt;="&amp;IF(G51="",TodayDate,G51))))</f>
        <v>0</v>
      </c>
      <c r="R51" s="25">
        <f>IF(B51="","",IF(F51="",0,COUNTIFS(Appointments!$N$5:$N$1204,C51,Appointments!$B$5:$B$1204,"&gt;="&amp;F51,Appointments!$B$5:$B$1204,"&lt;="&amp;IF(G51="",TodayDate,G51))))</f>
        <v>0</v>
      </c>
      <c r="S51" s="26">
        <f>IF(B51="","",ROUND(IF(H51="",0,H51)+O51,2))</f>
        <v>0</v>
      </c>
      <c r="T51" s="26">
        <f>IF(B51="","",ROUND(N51-S51,2))</f>
        <v>0</v>
      </c>
      <c r="U51" s="27">
        <f>IF(B51="","",IF(S51&lt;=0,"",T51/S51))</f>
        <v>0</v>
      </c>
      <c r="V51" s="26">
        <f>IF(B51="","",IF(Q51=0,"",ROUND(S51/Q51,2)))</f>
        <v>0</v>
      </c>
      <c r="W51" s="26">
        <f>IF(B51="","",IF(I51="","",ROUND(N51-I51,2)))</f>
        <v>0</v>
      </c>
      <c r="X51" s="25">
        <f>IF(B51="","",COUNTIFS($N$5:$N$104,"&gt;"&amp;N51)+COUNTIFS($N$5:N51,N51))</f>
        <v>0</v>
      </c>
      <c r="Y51" s="39">
        <f>IF(B51="","",IF(E51="","Add - no code, nothing to measure",IF(J51="Planned","Upcoming",IF(M51=0,"Check - code never used",IF(T51&lt;0,"Loss - cost more than it made",IF(U51&gt;=1,"OK - doubled its money",IF(U51&gt;0,"OK - made money","Check - review it")))))))</f>
        <v>0</v>
      </c>
    </row>
    <row r="52" spans="1:25">
      <c r="A52" s="28">
        <f>IF(B52="","",CampaignPrefix&amp;TEXT(ROW()-4,"000"))</f>
        <v>0</v>
      </c>
      <c r="L52" s="15">
        <f>IF(F52="","",TEXT(F52,"yyyy-mm"))</f>
        <v>0</v>
      </c>
      <c r="M52" s="25">
        <f>IF(B52="","",IF(E52="",0,COUNTIFS(Sales!$O$5:$O$1204,E52)))</f>
        <v>0</v>
      </c>
      <c r="N52" s="26">
        <f>IF(B52="","",IF(E52="",0,ROUND(SUMIFS(Sales!$Y$5:$Y$1204,Sales!$O$5:$O$1204,E52),2)))</f>
        <v>0</v>
      </c>
      <c r="O52" s="26">
        <f>IF(B52="","",IF(E52="",0,ROUND(SUMIFS(Sales!$X$5:$X$1204,Sales!$O$5:$O$1204,E52),2)))</f>
        <v>0</v>
      </c>
      <c r="P52" s="25">
        <f>IF(B52="","",IF(E52="",0,SUMPRODUCT((Sales!$O$5:$O$1204=E52)*(Sales!$AD$5:$AD$1204="Yes"))))</f>
        <v>0</v>
      </c>
      <c r="Q52" s="25">
        <f>IF(B52="","",IF(F52="",0,COUNTIFS(Clients!$G$5:$G$504,C52,Clients!$X$5:$X$504,"&gt;="&amp;F52,Clients!$X$5:$X$504,"&lt;="&amp;IF(G52="",TodayDate,G52))))</f>
        <v>0</v>
      </c>
      <c r="R52" s="25">
        <f>IF(B52="","",IF(F52="",0,COUNTIFS(Appointments!$N$5:$N$1204,C52,Appointments!$B$5:$B$1204,"&gt;="&amp;F52,Appointments!$B$5:$B$1204,"&lt;="&amp;IF(G52="",TodayDate,G52))))</f>
        <v>0</v>
      </c>
      <c r="S52" s="26">
        <f>IF(B52="","",ROUND(IF(H52="",0,H52)+O52,2))</f>
        <v>0</v>
      </c>
      <c r="T52" s="26">
        <f>IF(B52="","",ROUND(N52-S52,2))</f>
        <v>0</v>
      </c>
      <c r="U52" s="27">
        <f>IF(B52="","",IF(S52&lt;=0,"",T52/S52))</f>
        <v>0</v>
      </c>
      <c r="V52" s="26">
        <f>IF(B52="","",IF(Q52=0,"",ROUND(S52/Q52,2)))</f>
        <v>0</v>
      </c>
      <c r="W52" s="26">
        <f>IF(B52="","",IF(I52="","",ROUND(N52-I52,2)))</f>
        <v>0</v>
      </c>
      <c r="X52" s="25">
        <f>IF(B52="","",COUNTIFS($N$5:$N$104,"&gt;"&amp;N52)+COUNTIFS($N$5:N52,N52))</f>
        <v>0</v>
      </c>
      <c r="Y52" s="39">
        <f>IF(B52="","",IF(E52="","Add - no code, nothing to measure",IF(J52="Planned","Upcoming",IF(M52=0,"Check - code never used",IF(T52&lt;0,"Loss - cost more than it made",IF(U52&gt;=1,"OK - doubled its money",IF(U52&gt;0,"OK - made money","Check - review it")))))))</f>
        <v>0</v>
      </c>
    </row>
    <row r="53" spans="1:25">
      <c r="A53" s="28">
        <f>IF(B53="","",CampaignPrefix&amp;TEXT(ROW()-4,"000"))</f>
        <v>0</v>
      </c>
      <c r="L53" s="15">
        <f>IF(F53="","",TEXT(F53,"yyyy-mm"))</f>
        <v>0</v>
      </c>
      <c r="M53" s="25">
        <f>IF(B53="","",IF(E53="",0,COUNTIFS(Sales!$O$5:$O$1204,E53)))</f>
        <v>0</v>
      </c>
      <c r="N53" s="26">
        <f>IF(B53="","",IF(E53="",0,ROUND(SUMIFS(Sales!$Y$5:$Y$1204,Sales!$O$5:$O$1204,E53),2)))</f>
        <v>0</v>
      </c>
      <c r="O53" s="26">
        <f>IF(B53="","",IF(E53="",0,ROUND(SUMIFS(Sales!$X$5:$X$1204,Sales!$O$5:$O$1204,E53),2)))</f>
        <v>0</v>
      </c>
      <c r="P53" s="25">
        <f>IF(B53="","",IF(E53="",0,SUMPRODUCT((Sales!$O$5:$O$1204=E53)*(Sales!$AD$5:$AD$1204="Yes"))))</f>
        <v>0</v>
      </c>
      <c r="Q53" s="25">
        <f>IF(B53="","",IF(F53="",0,COUNTIFS(Clients!$G$5:$G$504,C53,Clients!$X$5:$X$504,"&gt;="&amp;F53,Clients!$X$5:$X$504,"&lt;="&amp;IF(G53="",TodayDate,G53))))</f>
        <v>0</v>
      </c>
      <c r="R53" s="25">
        <f>IF(B53="","",IF(F53="",0,COUNTIFS(Appointments!$N$5:$N$1204,C53,Appointments!$B$5:$B$1204,"&gt;="&amp;F53,Appointments!$B$5:$B$1204,"&lt;="&amp;IF(G53="",TodayDate,G53))))</f>
        <v>0</v>
      </c>
      <c r="S53" s="26">
        <f>IF(B53="","",ROUND(IF(H53="",0,H53)+O53,2))</f>
        <v>0</v>
      </c>
      <c r="T53" s="26">
        <f>IF(B53="","",ROUND(N53-S53,2))</f>
        <v>0</v>
      </c>
      <c r="U53" s="27">
        <f>IF(B53="","",IF(S53&lt;=0,"",T53/S53))</f>
        <v>0</v>
      </c>
      <c r="V53" s="26">
        <f>IF(B53="","",IF(Q53=0,"",ROUND(S53/Q53,2)))</f>
        <v>0</v>
      </c>
      <c r="W53" s="26">
        <f>IF(B53="","",IF(I53="","",ROUND(N53-I53,2)))</f>
        <v>0</v>
      </c>
      <c r="X53" s="25">
        <f>IF(B53="","",COUNTIFS($N$5:$N$104,"&gt;"&amp;N53)+COUNTIFS($N$5:N53,N53))</f>
        <v>0</v>
      </c>
      <c r="Y53" s="39">
        <f>IF(B53="","",IF(E53="","Add - no code, nothing to measure",IF(J53="Planned","Upcoming",IF(M53=0,"Check - code never used",IF(T53&lt;0,"Loss - cost more than it made",IF(U53&gt;=1,"OK - doubled its money",IF(U53&gt;0,"OK - made money","Check - review it")))))))</f>
        <v>0</v>
      </c>
    </row>
    <row r="54" spans="1:25">
      <c r="A54" s="28">
        <f>IF(B54="","",CampaignPrefix&amp;TEXT(ROW()-4,"000"))</f>
        <v>0</v>
      </c>
      <c r="L54" s="15">
        <f>IF(F54="","",TEXT(F54,"yyyy-mm"))</f>
        <v>0</v>
      </c>
      <c r="M54" s="25">
        <f>IF(B54="","",IF(E54="",0,COUNTIFS(Sales!$O$5:$O$1204,E54)))</f>
        <v>0</v>
      </c>
      <c r="N54" s="26">
        <f>IF(B54="","",IF(E54="",0,ROUND(SUMIFS(Sales!$Y$5:$Y$1204,Sales!$O$5:$O$1204,E54),2)))</f>
        <v>0</v>
      </c>
      <c r="O54" s="26">
        <f>IF(B54="","",IF(E54="",0,ROUND(SUMIFS(Sales!$X$5:$X$1204,Sales!$O$5:$O$1204,E54),2)))</f>
        <v>0</v>
      </c>
      <c r="P54" s="25">
        <f>IF(B54="","",IF(E54="",0,SUMPRODUCT((Sales!$O$5:$O$1204=E54)*(Sales!$AD$5:$AD$1204="Yes"))))</f>
        <v>0</v>
      </c>
      <c r="Q54" s="25">
        <f>IF(B54="","",IF(F54="",0,COUNTIFS(Clients!$G$5:$G$504,C54,Clients!$X$5:$X$504,"&gt;="&amp;F54,Clients!$X$5:$X$504,"&lt;="&amp;IF(G54="",TodayDate,G54))))</f>
        <v>0</v>
      </c>
      <c r="R54" s="25">
        <f>IF(B54="","",IF(F54="",0,COUNTIFS(Appointments!$N$5:$N$1204,C54,Appointments!$B$5:$B$1204,"&gt;="&amp;F54,Appointments!$B$5:$B$1204,"&lt;="&amp;IF(G54="",TodayDate,G54))))</f>
        <v>0</v>
      </c>
      <c r="S54" s="26">
        <f>IF(B54="","",ROUND(IF(H54="",0,H54)+O54,2))</f>
        <v>0</v>
      </c>
      <c r="T54" s="26">
        <f>IF(B54="","",ROUND(N54-S54,2))</f>
        <v>0</v>
      </c>
      <c r="U54" s="27">
        <f>IF(B54="","",IF(S54&lt;=0,"",T54/S54))</f>
        <v>0</v>
      </c>
      <c r="V54" s="26">
        <f>IF(B54="","",IF(Q54=0,"",ROUND(S54/Q54,2)))</f>
        <v>0</v>
      </c>
      <c r="W54" s="26">
        <f>IF(B54="","",IF(I54="","",ROUND(N54-I54,2)))</f>
        <v>0</v>
      </c>
      <c r="X54" s="25">
        <f>IF(B54="","",COUNTIFS($N$5:$N$104,"&gt;"&amp;N54)+COUNTIFS($N$5:N54,N54))</f>
        <v>0</v>
      </c>
      <c r="Y54" s="39">
        <f>IF(B54="","",IF(E54="","Add - no code, nothing to measure",IF(J54="Planned","Upcoming",IF(M54=0,"Check - code never used",IF(T54&lt;0,"Loss - cost more than it made",IF(U54&gt;=1,"OK - doubled its money",IF(U54&gt;0,"OK - made money","Check - review it")))))))</f>
        <v>0</v>
      </c>
    </row>
    <row r="55" spans="1:25">
      <c r="A55" s="28">
        <f>IF(B55="","",CampaignPrefix&amp;TEXT(ROW()-4,"000"))</f>
        <v>0</v>
      </c>
      <c r="L55" s="15">
        <f>IF(F55="","",TEXT(F55,"yyyy-mm"))</f>
        <v>0</v>
      </c>
      <c r="M55" s="25">
        <f>IF(B55="","",IF(E55="",0,COUNTIFS(Sales!$O$5:$O$1204,E55)))</f>
        <v>0</v>
      </c>
      <c r="N55" s="26">
        <f>IF(B55="","",IF(E55="",0,ROUND(SUMIFS(Sales!$Y$5:$Y$1204,Sales!$O$5:$O$1204,E55),2)))</f>
        <v>0</v>
      </c>
      <c r="O55" s="26">
        <f>IF(B55="","",IF(E55="",0,ROUND(SUMIFS(Sales!$X$5:$X$1204,Sales!$O$5:$O$1204,E55),2)))</f>
        <v>0</v>
      </c>
      <c r="P55" s="25">
        <f>IF(B55="","",IF(E55="",0,SUMPRODUCT((Sales!$O$5:$O$1204=E55)*(Sales!$AD$5:$AD$1204="Yes"))))</f>
        <v>0</v>
      </c>
      <c r="Q55" s="25">
        <f>IF(B55="","",IF(F55="",0,COUNTIFS(Clients!$G$5:$G$504,C55,Clients!$X$5:$X$504,"&gt;="&amp;F55,Clients!$X$5:$X$504,"&lt;="&amp;IF(G55="",TodayDate,G55))))</f>
        <v>0</v>
      </c>
      <c r="R55" s="25">
        <f>IF(B55="","",IF(F55="",0,COUNTIFS(Appointments!$N$5:$N$1204,C55,Appointments!$B$5:$B$1204,"&gt;="&amp;F55,Appointments!$B$5:$B$1204,"&lt;="&amp;IF(G55="",TodayDate,G55))))</f>
        <v>0</v>
      </c>
      <c r="S55" s="26">
        <f>IF(B55="","",ROUND(IF(H55="",0,H55)+O55,2))</f>
        <v>0</v>
      </c>
      <c r="T55" s="26">
        <f>IF(B55="","",ROUND(N55-S55,2))</f>
        <v>0</v>
      </c>
      <c r="U55" s="27">
        <f>IF(B55="","",IF(S55&lt;=0,"",T55/S55))</f>
        <v>0</v>
      </c>
      <c r="V55" s="26">
        <f>IF(B55="","",IF(Q55=0,"",ROUND(S55/Q55,2)))</f>
        <v>0</v>
      </c>
      <c r="W55" s="26">
        <f>IF(B55="","",IF(I55="","",ROUND(N55-I55,2)))</f>
        <v>0</v>
      </c>
      <c r="X55" s="25">
        <f>IF(B55="","",COUNTIFS($N$5:$N$104,"&gt;"&amp;N55)+COUNTIFS($N$5:N55,N55))</f>
        <v>0</v>
      </c>
      <c r="Y55" s="39">
        <f>IF(B55="","",IF(E55="","Add - no code, nothing to measure",IF(J55="Planned","Upcoming",IF(M55=0,"Check - code never used",IF(T55&lt;0,"Loss - cost more than it made",IF(U55&gt;=1,"OK - doubled its money",IF(U55&gt;0,"OK - made money","Check - review it")))))))</f>
        <v>0</v>
      </c>
    </row>
    <row r="56" spans="1:25">
      <c r="A56" s="28">
        <f>IF(B56="","",CampaignPrefix&amp;TEXT(ROW()-4,"000"))</f>
        <v>0</v>
      </c>
      <c r="L56" s="15">
        <f>IF(F56="","",TEXT(F56,"yyyy-mm"))</f>
        <v>0</v>
      </c>
      <c r="M56" s="25">
        <f>IF(B56="","",IF(E56="",0,COUNTIFS(Sales!$O$5:$O$1204,E56)))</f>
        <v>0</v>
      </c>
      <c r="N56" s="26">
        <f>IF(B56="","",IF(E56="",0,ROUND(SUMIFS(Sales!$Y$5:$Y$1204,Sales!$O$5:$O$1204,E56),2)))</f>
        <v>0</v>
      </c>
      <c r="O56" s="26">
        <f>IF(B56="","",IF(E56="",0,ROUND(SUMIFS(Sales!$X$5:$X$1204,Sales!$O$5:$O$1204,E56),2)))</f>
        <v>0</v>
      </c>
      <c r="P56" s="25">
        <f>IF(B56="","",IF(E56="",0,SUMPRODUCT((Sales!$O$5:$O$1204=E56)*(Sales!$AD$5:$AD$1204="Yes"))))</f>
        <v>0</v>
      </c>
      <c r="Q56" s="25">
        <f>IF(B56="","",IF(F56="",0,COUNTIFS(Clients!$G$5:$G$504,C56,Clients!$X$5:$X$504,"&gt;="&amp;F56,Clients!$X$5:$X$504,"&lt;="&amp;IF(G56="",TodayDate,G56))))</f>
        <v>0</v>
      </c>
      <c r="R56" s="25">
        <f>IF(B56="","",IF(F56="",0,COUNTIFS(Appointments!$N$5:$N$1204,C56,Appointments!$B$5:$B$1204,"&gt;="&amp;F56,Appointments!$B$5:$B$1204,"&lt;="&amp;IF(G56="",TodayDate,G56))))</f>
        <v>0</v>
      </c>
      <c r="S56" s="26">
        <f>IF(B56="","",ROUND(IF(H56="",0,H56)+O56,2))</f>
        <v>0</v>
      </c>
      <c r="T56" s="26">
        <f>IF(B56="","",ROUND(N56-S56,2))</f>
        <v>0</v>
      </c>
      <c r="U56" s="27">
        <f>IF(B56="","",IF(S56&lt;=0,"",T56/S56))</f>
        <v>0</v>
      </c>
      <c r="V56" s="26">
        <f>IF(B56="","",IF(Q56=0,"",ROUND(S56/Q56,2)))</f>
        <v>0</v>
      </c>
      <c r="W56" s="26">
        <f>IF(B56="","",IF(I56="","",ROUND(N56-I56,2)))</f>
        <v>0</v>
      </c>
      <c r="X56" s="25">
        <f>IF(B56="","",COUNTIFS($N$5:$N$104,"&gt;"&amp;N56)+COUNTIFS($N$5:N56,N56))</f>
        <v>0</v>
      </c>
      <c r="Y56" s="39">
        <f>IF(B56="","",IF(E56="","Add - no code, nothing to measure",IF(J56="Planned","Upcoming",IF(M56=0,"Check - code never used",IF(T56&lt;0,"Loss - cost more than it made",IF(U56&gt;=1,"OK - doubled its money",IF(U56&gt;0,"OK - made money","Check - review it")))))))</f>
        <v>0</v>
      </c>
    </row>
    <row r="57" spans="1:25">
      <c r="A57" s="28">
        <f>IF(B57="","",CampaignPrefix&amp;TEXT(ROW()-4,"000"))</f>
        <v>0</v>
      </c>
      <c r="L57" s="15">
        <f>IF(F57="","",TEXT(F57,"yyyy-mm"))</f>
        <v>0</v>
      </c>
      <c r="M57" s="25">
        <f>IF(B57="","",IF(E57="",0,COUNTIFS(Sales!$O$5:$O$1204,E57)))</f>
        <v>0</v>
      </c>
      <c r="N57" s="26">
        <f>IF(B57="","",IF(E57="",0,ROUND(SUMIFS(Sales!$Y$5:$Y$1204,Sales!$O$5:$O$1204,E57),2)))</f>
        <v>0</v>
      </c>
      <c r="O57" s="26">
        <f>IF(B57="","",IF(E57="",0,ROUND(SUMIFS(Sales!$X$5:$X$1204,Sales!$O$5:$O$1204,E57),2)))</f>
        <v>0</v>
      </c>
      <c r="P57" s="25">
        <f>IF(B57="","",IF(E57="",0,SUMPRODUCT((Sales!$O$5:$O$1204=E57)*(Sales!$AD$5:$AD$1204="Yes"))))</f>
        <v>0</v>
      </c>
      <c r="Q57" s="25">
        <f>IF(B57="","",IF(F57="",0,COUNTIFS(Clients!$G$5:$G$504,C57,Clients!$X$5:$X$504,"&gt;="&amp;F57,Clients!$X$5:$X$504,"&lt;="&amp;IF(G57="",TodayDate,G57))))</f>
        <v>0</v>
      </c>
      <c r="R57" s="25">
        <f>IF(B57="","",IF(F57="",0,COUNTIFS(Appointments!$N$5:$N$1204,C57,Appointments!$B$5:$B$1204,"&gt;="&amp;F57,Appointments!$B$5:$B$1204,"&lt;="&amp;IF(G57="",TodayDate,G57))))</f>
        <v>0</v>
      </c>
      <c r="S57" s="26">
        <f>IF(B57="","",ROUND(IF(H57="",0,H57)+O57,2))</f>
        <v>0</v>
      </c>
      <c r="T57" s="26">
        <f>IF(B57="","",ROUND(N57-S57,2))</f>
        <v>0</v>
      </c>
      <c r="U57" s="27">
        <f>IF(B57="","",IF(S57&lt;=0,"",T57/S57))</f>
        <v>0</v>
      </c>
      <c r="V57" s="26">
        <f>IF(B57="","",IF(Q57=0,"",ROUND(S57/Q57,2)))</f>
        <v>0</v>
      </c>
      <c r="W57" s="26">
        <f>IF(B57="","",IF(I57="","",ROUND(N57-I57,2)))</f>
        <v>0</v>
      </c>
      <c r="X57" s="25">
        <f>IF(B57="","",COUNTIFS($N$5:$N$104,"&gt;"&amp;N57)+COUNTIFS($N$5:N57,N57))</f>
        <v>0</v>
      </c>
      <c r="Y57" s="39">
        <f>IF(B57="","",IF(E57="","Add - no code, nothing to measure",IF(J57="Planned","Upcoming",IF(M57=0,"Check - code never used",IF(T57&lt;0,"Loss - cost more than it made",IF(U57&gt;=1,"OK - doubled its money",IF(U57&gt;0,"OK - made money","Check - review it")))))))</f>
        <v>0</v>
      </c>
    </row>
    <row r="58" spans="1:25">
      <c r="A58" s="28">
        <f>IF(B58="","",CampaignPrefix&amp;TEXT(ROW()-4,"000"))</f>
        <v>0</v>
      </c>
      <c r="L58" s="15">
        <f>IF(F58="","",TEXT(F58,"yyyy-mm"))</f>
        <v>0</v>
      </c>
      <c r="M58" s="25">
        <f>IF(B58="","",IF(E58="",0,COUNTIFS(Sales!$O$5:$O$1204,E58)))</f>
        <v>0</v>
      </c>
      <c r="N58" s="26">
        <f>IF(B58="","",IF(E58="",0,ROUND(SUMIFS(Sales!$Y$5:$Y$1204,Sales!$O$5:$O$1204,E58),2)))</f>
        <v>0</v>
      </c>
      <c r="O58" s="26">
        <f>IF(B58="","",IF(E58="",0,ROUND(SUMIFS(Sales!$X$5:$X$1204,Sales!$O$5:$O$1204,E58),2)))</f>
        <v>0</v>
      </c>
      <c r="P58" s="25">
        <f>IF(B58="","",IF(E58="",0,SUMPRODUCT((Sales!$O$5:$O$1204=E58)*(Sales!$AD$5:$AD$1204="Yes"))))</f>
        <v>0</v>
      </c>
      <c r="Q58" s="25">
        <f>IF(B58="","",IF(F58="",0,COUNTIFS(Clients!$G$5:$G$504,C58,Clients!$X$5:$X$504,"&gt;="&amp;F58,Clients!$X$5:$X$504,"&lt;="&amp;IF(G58="",TodayDate,G58))))</f>
        <v>0</v>
      </c>
      <c r="R58" s="25">
        <f>IF(B58="","",IF(F58="",0,COUNTIFS(Appointments!$N$5:$N$1204,C58,Appointments!$B$5:$B$1204,"&gt;="&amp;F58,Appointments!$B$5:$B$1204,"&lt;="&amp;IF(G58="",TodayDate,G58))))</f>
        <v>0</v>
      </c>
      <c r="S58" s="26">
        <f>IF(B58="","",ROUND(IF(H58="",0,H58)+O58,2))</f>
        <v>0</v>
      </c>
      <c r="T58" s="26">
        <f>IF(B58="","",ROUND(N58-S58,2))</f>
        <v>0</v>
      </c>
      <c r="U58" s="27">
        <f>IF(B58="","",IF(S58&lt;=0,"",T58/S58))</f>
        <v>0</v>
      </c>
      <c r="V58" s="26">
        <f>IF(B58="","",IF(Q58=0,"",ROUND(S58/Q58,2)))</f>
        <v>0</v>
      </c>
      <c r="W58" s="26">
        <f>IF(B58="","",IF(I58="","",ROUND(N58-I58,2)))</f>
        <v>0</v>
      </c>
      <c r="X58" s="25">
        <f>IF(B58="","",COUNTIFS($N$5:$N$104,"&gt;"&amp;N58)+COUNTIFS($N$5:N58,N58))</f>
        <v>0</v>
      </c>
      <c r="Y58" s="39">
        <f>IF(B58="","",IF(E58="","Add - no code, nothing to measure",IF(J58="Planned","Upcoming",IF(M58=0,"Check - code never used",IF(T58&lt;0,"Loss - cost more than it made",IF(U58&gt;=1,"OK - doubled its money",IF(U58&gt;0,"OK - made money","Check - review it")))))))</f>
        <v>0</v>
      </c>
    </row>
    <row r="59" spans="1:25">
      <c r="A59" s="28">
        <f>IF(B59="","",CampaignPrefix&amp;TEXT(ROW()-4,"000"))</f>
        <v>0</v>
      </c>
      <c r="L59" s="15">
        <f>IF(F59="","",TEXT(F59,"yyyy-mm"))</f>
        <v>0</v>
      </c>
      <c r="M59" s="25">
        <f>IF(B59="","",IF(E59="",0,COUNTIFS(Sales!$O$5:$O$1204,E59)))</f>
        <v>0</v>
      </c>
      <c r="N59" s="26">
        <f>IF(B59="","",IF(E59="",0,ROUND(SUMIFS(Sales!$Y$5:$Y$1204,Sales!$O$5:$O$1204,E59),2)))</f>
        <v>0</v>
      </c>
      <c r="O59" s="26">
        <f>IF(B59="","",IF(E59="",0,ROUND(SUMIFS(Sales!$X$5:$X$1204,Sales!$O$5:$O$1204,E59),2)))</f>
        <v>0</v>
      </c>
      <c r="P59" s="25">
        <f>IF(B59="","",IF(E59="",0,SUMPRODUCT((Sales!$O$5:$O$1204=E59)*(Sales!$AD$5:$AD$1204="Yes"))))</f>
        <v>0</v>
      </c>
      <c r="Q59" s="25">
        <f>IF(B59="","",IF(F59="",0,COUNTIFS(Clients!$G$5:$G$504,C59,Clients!$X$5:$X$504,"&gt;="&amp;F59,Clients!$X$5:$X$504,"&lt;="&amp;IF(G59="",TodayDate,G59))))</f>
        <v>0</v>
      </c>
      <c r="R59" s="25">
        <f>IF(B59="","",IF(F59="",0,COUNTIFS(Appointments!$N$5:$N$1204,C59,Appointments!$B$5:$B$1204,"&gt;="&amp;F59,Appointments!$B$5:$B$1204,"&lt;="&amp;IF(G59="",TodayDate,G59))))</f>
        <v>0</v>
      </c>
      <c r="S59" s="26">
        <f>IF(B59="","",ROUND(IF(H59="",0,H59)+O59,2))</f>
        <v>0</v>
      </c>
      <c r="T59" s="26">
        <f>IF(B59="","",ROUND(N59-S59,2))</f>
        <v>0</v>
      </c>
      <c r="U59" s="27">
        <f>IF(B59="","",IF(S59&lt;=0,"",T59/S59))</f>
        <v>0</v>
      </c>
      <c r="V59" s="26">
        <f>IF(B59="","",IF(Q59=0,"",ROUND(S59/Q59,2)))</f>
        <v>0</v>
      </c>
      <c r="W59" s="26">
        <f>IF(B59="","",IF(I59="","",ROUND(N59-I59,2)))</f>
        <v>0</v>
      </c>
      <c r="X59" s="25">
        <f>IF(B59="","",COUNTIFS($N$5:$N$104,"&gt;"&amp;N59)+COUNTIFS($N$5:N59,N59))</f>
        <v>0</v>
      </c>
      <c r="Y59" s="39">
        <f>IF(B59="","",IF(E59="","Add - no code, nothing to measure",IF(J59="Planned","Upcoming",IF(M59=0,"Check - code never used",IF(T59&lt;0,"Loss - cost more than it made",IF(U59&gt;=1,"OK - doubled its money",IF(U59&gt;0,"OK - made money","Check - review it")))))))</f>
        <v>0</v>
      </c>
    </row>
    <row r="60" spans="1:25">
      <c r="A60" s="28">
        <f>IF(B60="","",CampaignPrefix&amp;TEXT(ROW()-4,"000"))</f>
        <v>0</v>
      </c>
      <c r="L60" s="15">
        <f>IF(F60="","",TEXT(F60,"yyyy-mm"))</f>
        <v>0</v>
      </c>
      <c r="M60" s="25">
        <f>IF(B60="","",IF(E60="",0,COUNTIFS(Sales!$O$5:$O$1204,E60)))</f>
        <v>0</v>
      </c>
      <c r="N60" s="26">
        <f>IF(B60="","",IF(E60="",0,ROUND(SUMIFS(Sales!$Y$5:$Y$1204,Sales!$O$5:$O$1204,E60),2)))</f>
        <v>0</v>
      </c>
      <c r="O60" s="26">
        <f>IF(B60="","",IF(E60="",0,ROUND(SUMIFS(Sales!$X$5:$X$1204,Sales!$O$5:$O$1204,E60),2)))</f>
        <v>0</v>
      </c>
      <c r="P60" s="25">
        <f>IF(B60="","",IF(E60="",0,SUMPRODUCT((Sales!$O$5:$O$1204=E60)*(Sales!$AD$5:$AD$1204="Yes"))))</f>
        <v>0</v>
      </c>
      <c r="Q60" s="25">
        <f>IF(B60="","",IF(F60="",0,COUNTIFS(Clients!$G$5:$G$504,C60,Clients!$X$5:$X$504,"&gt;="&amp;F60,Clients!$X$5:$X$504,"&lt;="&amp;IF(G60="",TodayDate,G60))))</f>
        <v>0</v>
      </c>
      <c r="R60" s="25">
        <f>IF(B60="","",IF(F60="",0,COUNTIFS(Appointments!$N$5:$N$1204,C60,Appointments!$B$5:$B$1204,"&gt;="&amp;F60,Appointments!$B$5:$B$1204,"&lt;="&amp;IF(G60="",TodayDate,G60))))</f>
        <v>0</v>
      </c>
      <c r="S60" s="26">
        <f>IF(B60="","",ROUND(IF(H60="",0,H60)+O60,2))</f>
        <v>0</v>
      </c>
      <c r="T60" s="26">
        <f>IF(B60="","",ROUND(N60-S60,2))</f>
        <v>0</v>
      </c>
      <c r="U60" s="27">
        <f>IF(B60="","",IF(S60&lt;=0,"",T60/S60))</f>
        <v>0</v>
      </c>
      <c r="V60" s="26">
        <f>IF(B60="","",IF(Q60=0,"",ROUND(S60/Q60,2)))</f>
        <v>0</v>
      </c>
      <c r="W60" s="26">
        <f>IF(B60="","",IF(I60="","",ROUND(N60-I60,2)))</f>
        <v>0</v>
      </c>
      <c r="X60" s="25">
        <f>IF(B60="","",COUNTIFS($N$5:$N$104,"&gt;"&amp;N60)+COUNTIFS($N$5:N60,N60))</f>
        <v>0</v>
      </c>
      <c r="Y60" s="39">
        <f>IF(B60="","",IF(E60="","Add - no code, nothing to measure",IF(J60="Planned","Upcoming",IF(M60=0,"Check - code never used",IF(T60&lt;0,"Loss - cost more than it made",IF(U60&gt;=1,"OK - doubled its money",IF(U60&gt;0,"OK - made money","Check - review it")))))))</f>
        <v>0</v>
      </c>
    </row>
    <row r="61" spans="1:25">
      <c r="A61" s="28">
        <f>IF(B61="","",CampaignPrefix&amp;TEXT(ROW()-4,"000"))</f>
        <v>0</v>
      </c>
      <c r="L61" s="15">
        <f>IF(F61="","",TEXT(F61,"yyyy-mm"))</f>
        <v>0</v>
      </c>
      <c r="M61" s="25">
        <f>IF(B61="","",IF(E61="",0,COUNTIFS(Sales!$O$5:$O$1204,E61)))</f>
        <v>0</v>
      </c>
      <c r="N61" s="26">
        <f>IF(B61="","",IF(E61="",0,ROUND(SUMIFS(Sales!$Y$5:$Y$1204,Sales!$O$5:$O$1204,E61),2)))</f>
        <v>0</v>
      </c>
      <c r="O61" s="26">
        <f>IF(B61="","",IF(E61="",0,ROUND(SUMIFS(Sales!$X$5:$X$1204,Sales!$O$5:$O$1204,E61),2)))</f>
        <v>0</v>
      </c>
      <c r="P61" s="25">
        <f>IF(B61="","",IF(E61="",0,SUMPRODUCT((Sales!$O$5:$O$1204=E61)*(Sales!$AD$5:$AD$1204="Yes"))))</f>
        <v>0</v>
      </c>
      <c r="Q61" s="25">
        <f>IF(B61="","",IF(F61="",0,COUNTIFS(Clients!$G$5:$G$504,C61,Clients!$X$5:$X$504,"&gt;="&amp;F61,Clients!$X$5:$X$504,"&lt;="&amp;IF(G61="",TodayDate,G61))))</f>
        <v>0</v>
      </c>
      <c r="R61" s="25">
        <f>IF(B61="","",IF(F61="",0,COUNTIFS(Appointments!$N$5:$N$1204,C61,Appointments!$B$5:$B$1204,"&gt;="&amp;F61,Appointments!$B$5:$B$1204,"&lt;="&amp;IF(G61="",TodayDate,G61))))</f>
        <v>0</v>
      </c>
      <c r="S61" s="26">
        <f>IF(B61="","",ROUND(IF(H61="",0,H61)+O61,2))</f>
        <v>0</v>
      </c>
      <c r="T61" s="26">
        <f>IF(B61="","",ROUND(N61-S61,2))</f>
        <v>0</v>
      </c>
      <c r="U61" s="27">
        <f>IF(B61="","",IF(S61&lt;=0,"",T61/S61))</f>
        <v>0</v>
      </c>
      <c r="V61" s="26">
        <f>IF(B61="","",IF(Q61=0,"",ROUND(S61/Q61,2)))</f>
        <v>0</v>
      </c>
      <c r="W61" s="26">
        <f>IF(B61="","",IF(I61="","",ROUND(N61-I61,2)))</f>
        <v>0</v>
      </c>
      <c r="X61" s="25">
        <f>IF(B61="","",COUNTIFS($N$5:$N$104,"&gt;"&amp;N61)+COUNTIFS($N$5:N61,N61))</f>
        <v>0</v>
      </c>
      <c r="Y61" s="39">
        <f>IF(B61="","",IF(E61="","Add - no code, nothing to measure",IF(J61="Planned","Upcoming",IF(M61=0,"Check - code never used",IF(T61&lt;0,"Loss - cost more than it made",IF(U61&gt;=1,"OK - doubled its money",IF(U61&gt;0,"OK - made money","Check - review it")))))))</f>
        <v>0</v>
      </c>
    </row>
    <row r="62" spans="1:25">
      <c r="A62" s="28">
        <f>IF(B62="","",CampaignPrefix&amp;TEXT(ROW()-4,"000"))</f>
        <v>0</v>
      </c>
      <c r="L62" s="15">
        <f>IF(F62="","",TEXT(F62,"yyyy-mm"))</f>
        <v>0</v>
      </c>
      <c r="M62" s="25">
        <f>IF(B62="","",IF(E62="",0,COUNTIFS(Sales!$O$5:$O$1204,E62)))</f>
        <v>0</v>
      </c>
      <c r="N62" s="26">
        <f>IF(B62="","",IF(E62="",0,ROUND(SUMIFS(Sales!$Y$5:$Y$1204,Sales!$O$5:$O$1204,E62),2)))</f>
        <v>0</v>
      </c>
      <c r="O62" s="26">
        <f>IF(B62="","",IF(E62="",0,ROUND(SUMIFS(Sales!$X$5:$X$1204,Sales!$O$5:$O$1204,E62),2)))</f>
        <v>0</v>
      </c>
      <c r="P62" s="25">
        <f>IF(B62="","",IF(E62="",0,SUMPRODUCT((Sales!$O$5:$O$1204=E62)*(Sales!$AD$5:$AD$1204="Yes"))))</f>
        <v>0</v>
      </c>
      <c r="Q62" s="25">
        <f>IF(B62="","",IF(F62="",0,COUNTIFS(Clients!$G$5:$G$504,C62,Clients!$X$5:$X$504,"&gt;="&amp;F62,Clients!$X$5:$X$504,"&lt;="&amp;IF(G62="",TodayDate,G62))))</f>
        <v>0</v>
      </c>
      <c r="R62" s="25">
        <f>IF(B62="","",IF(F62="",0,COUNTIFS(Appointments!$N$5:$N$1204,C62,Appointments!$B$5:$B$1204,"&gt;="&amp;F62,Appointments!$B$5:$B$1204,"&lt;="&amp;IF(G62="",TodayDate,G62))))</f>
        <v>0</v>
      </c>
      <c r="S62" s="26">
        <f>IF(B62="","",ROUND(IF(H62="",0,H62)+O62,2))</f>
        <v>0</v>
      </c>
      <c r="T62" s="26">
        <f>IF(B62="","",ROUND(N62-S62,2))</f>
        <v>0</v>
      </c>
      <c r="U62" s="27">
        <f>IF(B62="","",IF(S62&lt;=0,"",T62/S62))</f>
        <v>0</v>
      </c>
      <c r="V62" s="26">
        <f>IF(B62="","",IF(Q62=0,"",ROUND(S62/Q62,2)))</f>
        <v>0</v>
      </c>
      <c r="W62" s="26">
        <f>IF(B62="","",IF(I62="","",ROUND(N62-I62,2)))</f>
        <v>0</v>
      </c>
      <c r="X62" s="25">
        <f>IF(B62="","",COUNTIFS($N$5:$N$104,"&gt;"&amp;N62)+COUNTIFS($N$5:N62,N62))</f>
        <v>0</v>
      </c>
      <c r="Y62" s="39">
        <f>IF(B62="","",IF(E62="","Add - no code, nothing to measure",IF(J62="Planned","Upcoming",IF(M62=0,"Check - code never used",IF(T62&lt;0,"Loss - cost more than it made",IF(U62&gt;=1,"OK - doubled its money",IF(U62&gt;0,"OK - made money","Check - review it")))))))</f>
        <v>0</v>
      </c>
    </row>
    <row r="63" spans="1:25">
      <c r="A63" s="28">
        <f>IF(B63="","",CampaignPrefix&amp;TEXT(ROW()-4,"000"))</f>
        <v>0</v>
      </c>
      <c r="L63" s="15">
        <f>IF(F63="","",TEXT(F63,"yyyy-mm"))</f>
        <v>0</v>
      </c>
      <c r="M63" s="25">
        <f>IF(B63="","",IF(E63="",0,COUNTIFS(Sales!$O$5:$O$1204,E63)))</f>
        <v>0</v>
      </c>
      <c r="N63" s="26">
        <f>IF(B63="","",IF(E63="",0,ROUND(SUMIFS(Sales!$Y$5:$Y$1204,Sales!$O$5:$O$1204,E63),2)))</f>
        <v>0</v>
      </c>
      <c r="O63" s="26">
        <f>IF(B63="","",IF(E63="",0,ROUND(SUMIFS(Sales!$X$5:$X$1204,Sales!$O$5:$O$1204,E63),2)))</f>
        <v>0</v>
      </c>
      <c r="P63" s="25">
        <f>IF(B63="","",IF(E63="",0,SUMPRODUCT((Sales!$O$5:$O$1204=E63)*(Sales!$AD$5:$AD$1204="Yes"))))</f>
        <v>0</v>
      </c>
      <c r="Q63" s="25">
        <f>IF(B63="","",IF(F63="",0,COUNTIFS(Clients!$G$5:$G$504,C63,Clients!$X$5:$X$504,"&gt;="&amp;F63,Clients!$X$5:$X$504,"&lt;="&amp;IF(G63="",TodayDate,G63))))</f>
        <v>0</v>
      </c>
      <c r="R63" s="25">
        <f>IF(B63="","",IF(F63="",0,COUNTIFS(Appointments!$N$5:$N$1204,C63,Appointments!$B$5:$B$1204,"&gt;="&amp;F63,Appointments!$B$5:$B$1204,"&lt;="&amp;IF(G63="",TodayDate,G63))))</f>
        <v>0</v>
      </c>
      <c r="S63" s="26">
        <f>IF(B63="","",ROUND(IF(H63="",0,H63)+O63,2))</f>
        <v>0</v>
      </c>
      <c r="T63" s="26">
        <f>IF(B63="","",ROUND(N63-S63,2))</f>
        <v>0</v>
      </c>
      <c r="U63" s="27">
        <f>IF(B63="","",IF(S63&lt;=0,"",T63/S63))</f>
        <v>0</v>
      </c>
      <c r="V63" s="26">
        <f>IF(B63="","",IF(Q63=0,"",ROUND(S63/Q63,2)))</f>
        <v>0</v>
      </c>
      <c r="W63" s="26">
        <f>IF(B63="","",IF(I63="","",ROUND(N63-I63,2)))</f>
        <v>0</v>
      </c>
      <c r="X63" s="25">
        <f>IF(B63="","",COUNTIFS($N$5:$N$104,"&gt;"&amp;N63)+COUNTIFS($N$5:N63,N63))</f>
        <v>0</v>
      </c>
      <c r="Y63" s="39">
        <f>IF(B63="","",IF(E63="","Add - no code, nothing to measure",IF(J63="Planned","Upcoming",IF(M63=0,"Check - code never used",IF(T63&lt;0,"Loss - cost more than it made",IF(U63&gt;=1,"OK - doubled its money",IF(U63&gt;0,"OK - made money","Check - review it")))))))</f>
        <v>0</v>
      </c>
    </row>
    <row r="64" spans="1:25">
      <c r="A64" s="28">
        <f>IF(B64="","",CampaignPrefix&amp;TEXT(ROW()-4,"000"))</f>
        <v>0</v>
      </c>
      <c r="L64" s="15">
        <f>IF(F64="","",TEXT(F64,"yyyy-mm"))</f>
        <v>0</v>
      </c>
      <c r="M64" s="25">
        <f>IF(B64="","",IF(E64="",0,COUNTIFS(Sales!$O$5:$O$1204,E64)))</f>
        <v>0</v>
      </c>
      <c r="N64" s="26">
        <f>IF(B64="","",IF(E64="",0,ROUND(SUMIFS(Sales!$Y$5:$Y$1204,Sales!$O$5:$O$1204,E64),2)))</f>
        <v>0</v>
      </c>
      <c r="O64" s="26">
        <f>IF(B64="","",IF(E64="",0,ROUND(SUMIFS(Sales!$X$5:$X$1204,Sales!$O$5:$O$1204,E64),2)))</f>
        <v>0</v>
      </c>
      <c r="P64" s="25">
        <f>IF(B64="","",IF(E64="",0,SUMPRODUCT((Sales!$O$5:$O$1204=E64)*(Sales!$AD$5:$AD$1204="Yes"))))</f>
        <v>0</v>
      </c>
      <c r="Q64" s="25">
        <f>IF(B64="","",IF(F64="",0,COUNTIFS(Clients!$G$5:$G$504,C64,Clients!$X$5:$X$504,"&gt;="&amp;F64,Clients!$X$5:$X$504,"&lt;="&amp;IF(G64="",TodayDate,G64))))</f>
        <v>0</v>
      </c>
      <c r="R64" s="25">
        <f>IF(B64="","",IF(F64="",0,COUNTIFS(Appointments!$N$5:$N$1204,C64,Appointments!$B$5:$B$1204,"&gt;="&amp;F64,Appointments!$B$5:$B$1204,"&lt;="&amp;IF(G64="",TodayDate,G64))))</f>
        <v>0</v>
      </c>
      <c r="S64" s="26">
        <f>IF(B64="","",ROUND(IF(H64="",0,H64)+O64,2))</f>
        <v>0</v>
      </c>
      <c r="T64" s="26">
        <f>IF(B64="","",ROUND(N64-S64,2))</f>
        <v>0</v>
      </c>
      <c r="U64" s="27">
        <f>IF(B64="","",IF(S64&lt;=0,"",T64/S64))</f>
        <v>0</v>
      </c>
      <c r="V64" s="26">
        <f>IF(B64="","",IF(Q64=0,"",ROUND(S64/Q64,2)))</f>
        <v>0</v>
      </c>
      <c r="W64" s="26">
        <f>IF(B64="","",IF(I64="","",ROUND(N64-I64,2)))</f>
        <v>0</v>
      </c>
      <c r="X64" s="25">
        <f>IF(B64="","",COUNTIFS($N$5:$N$104,"&gt;"&amp;N64)+COUNTIFS($N$5:N64,N64))</f>
        <v>0</v>
      </c>
      <c r="Y64" s="39">
        <f>IF(B64="","",IF(E64="","Add - no code, nothing to measure",IF(J64="Planned","Upcoming",IF(M64=0,"Check - code never used",IF(T64&lt;0,"Loss - cost more than it made",IF(U64&gt;=1,"OK - doubled its money",IF(U64&gt;0,"OK - made money","Check - review it")))))))</f>
        <v>0</v>
      </c>
    </row>
    <row r="65" spans="1:25">
      <c r="A65" s="28">
        <f>IF(B65="","",CampaignPrefix&amp;TEXT(ROW()-4,"000"))</f>
        <v>0</v>
      </c>
      <c r="L65" s="15">
        <f>IF(F65="","",TEXT(F65,"yyyy-mm"))</f>
        <v>0</v>
      </c>
      <c r="M65" s="25">
        <f>IF(B65="","",IF(E65="",0,COUNTIFS(Sales!$O$5:$O$1204,E65)))</f>
        <v>0</v>
      </c>
      <c r="N65" s="26">
        <f>IF(B65="","",IF(E65="",0,ROUND(SUMIFS(Sales!$Y$5:$Y$1204,Sales!$O$5:$O$1204,E65),2)))</f>
        <v>0</v>
      </c>
      <c r="O65" s="26">
        <f>IF(B65="","",IF(E65="",0,ROUND(SUMIFS(Sales!$X$5:$X$1204,Sales!$O$5:$O$1204,E65),2)))</f>
        <v>0</v>
      </c>
      <c r="P65" s="25">
        <f>IF(B65="","",IF(E65="",0,SUMPRODUCT((Sales!$O$5:$O$1204=E65)*(Sales!$AD$5:$AD$1204="Yes"))))</f>
        <v>0</v>
      </c>
      <c r="Q65" s="25">
        <f>IF(B65="","",IF(F65="",0,COUNTIFS(Clients!$G$5:$G$504,C65,Clients!$X$5:$X$504,"&gt;="&amp;F65,Clients!$X$5:$X$504,"&lt;="&amp;IF(G65="",TodayDate,G65))))</f>
        <v>0</v>
      </c>
      <c r="R65" s="25">
        <f>IF(B65="","",IF(F65="",0,COUNTIFS(Appointments!$N$5:$N$1204,C65,Appointments!$B$5:$B$1204,"&gt;="&amp;F65,Appointments!$B$5:$B$1204,"&lt;="&amp;IF(G65="",TodayDate,G65))))</f>
        <v>0</v>
      </c>
      <c r="S65" s="26">
        <f>IF(B65="","",ROUND(IF(H65="",0,H65)+O65,2))</f>
        <v>0</v>
      </c>
      <c r="T65" s="26">
        <f>IF(B65="","",ROUND(N65-S65,2))</f>
        <v>0</v>
      </c>
      <c r="U65" s="27">
        <f>IF(B65="","",IF(S65&lt;=0,"",T65/S65))</f>
        <v>0</v>
      </c>
      <c r="V65" s="26">
        <f>IF(B65="","",IF(Q65=0,"",ROUND(S65/Q65,2)))</f>
        <v>0</v>
      </c>
      <c r="W65" s="26">
        <f>IF(B65="","",IF(I65="","",ROUND(N65-I65,2)))</f>
        <v>0</v>
      </c>
      <c r="X65" s="25">
        <f>IF(B65="","",COUNTIFS($N$5:$N$104,"&gt;"&amp;N65)+COUNTIFS($N$5:N65,N65))</f>
        <v>0</v>
      </c>
      <c r="Y65" s="39">
        <f>IF(B65="","",IF(E65="","Add - no code, nothing to measure",IF(J65="Planned","Upcoming",IF(M65=0,"Check - code never used",IF(T65&lt;0,"Loss - cost more than it made",IF(U65&gt;=1,"OK - doubled its money",IF(U65&gt;0,"OK - made money","Check - review it")))))))</f>
        <v>0</v>
      </c>
    </row>
    <row r="66" spans="1:25">
      <c r="A66" s="28">
        <f>IF(B66="","",CampaignPrefix&amp;TEXT(ROW()-4,"000"))</f>
        <v>0</v>
      </c>
      <c r="L66" s="15">
        <f>IF(F66="","",TEXT(F66,"yyyy-mm"))</f>
        <v>0</v>
      </c>
      <c r="M66" s="25">
        <f>IF(B66="","",IF(E66="",0,COUNTIFS(Sales!$O$5:$O$1204,E66)))</f>
        <v>0</v>
      </c>
      <c r="N66" s="26">
        <f>IF(B66="","",IF(E66="",0,ROUND(SUMIFS(Sales!$Y$5:$Y$1204,Sales!$O$5:$O$1204,E66),2)))</f>
        <v>0</v>
      </c>
      <c r="O66" s="26">
        <f>IF(B66="","",IF(E66="",0,ROUND(SUMIFS(Sales!$X$5:$X$1204,Sales!$O$5:$O$1204,E66),2)))</f>
        <v>0</v>
      </c>
      <c r="P66" s="25">
        <f>IF(B66="","",IF(E66="",0,SUMPRODUCT((Sales!$O$5:$O$1204=E66)*(Sales!$AD$5:$AD$1204="Yes"))))</f>
        <v>0</v>
      </c>
      <c r="Q66" s="25">
        <f>IF(B66="","",IF(F66="",0,COUNTIFS(Clients!$G$5:$G$504,C66,Clients!$X$5:$X$504,"&gt;="&amp;F66,Clients!$X$5:$X$504,"&lt;="&amp;IF(G66="",TodayDate,G66))))</f>
        <v>0</v>
      </c>
      <c r="R66" s="25">
        <f>IF(B66="","",IF(F66="",0,COUNTIFS(Appointments!$N$5:$N$1204,C66,Appointments!$B$5:$B$1204,"&gt;="&amp;F66,Appointments!$B$5:$B$1204,"&lt;="&amp;IF(G66="",TodayDate,G66))))</f>
        <v>0</v>
      </c>
      <c r="S66" s="26">
        <f>IF(B66="","",ROUND(IF(H66="",0,H66)+O66,2))</f>
        <v>0</v>
      </c>
      <c r="T66" s="26">
        <f>IF(B66="","",ROUND(N66-S66,2))</f>
        <v>0</v>
      </c>
      <c r="U66" s="27">
        <f>IF(B66="","",IF(S66&lt;=0,"",T66/S66))</f>
        <v>0</v>
      </c>
      <c r="V66" s="26">
        <f>IF(B66="","",IF(Q66=0,"",ROUND(S66/Q66,2)))</f>
        <v>0</v>
      </c>
      <c r="W66" s="26">
        <f>IF(B66="","",IF(I66="","",ROUND(N66-I66,2)))</f>
        <v>0</v>
      </c>
      <c r="X66" s="25">
        <f>IF(B66="","",COUNTIFS($N$5:$N$104,"&gt;"&amp;N66)+COUNTIFS($N$5:N66,N66))</f>
        <v>0</v>
      </c>
      <c r="Y66" s="39">
        <f>IF(B66="","",IF(E66="","Add - no code, nothing to measure",IF(J66="Planned","Upcoming",IF(M66=0,"Check - code never used",IF(T66&lt;0,"Loss - cost more than it made",IF(U66&gt;=1,"OK - doubled its money",IF(U66&gt;0,"OK - made money","Check - review it")))))))</f>
        <v>0</v>
      </c>
    </row>
    <row r="67" spans="1:25">
      <c r="A67" s="28">
        <f>IF(B67="","",CampaignPrefix&amp;TEXT(ROW()-4,"000"))</f>
        <v>0</v>
      </c>
      <c r="L67" s="15">
        <f>IF(F67="","",TEXT(F67,"yyyy-mm"))</f>
        <v>0</v>
      </c>
      <c r="M67" s="25">
        <f>IF(B67="","",IF(E67="",0,COUNTIFS(Sales!$O$5:$O$1204,E67)))</f>
        <v>0</v>
      </c>
      <c r="N67" s="26">
        <f>IF(B67="","",IF(E67="",0,ROUND(SUMIFS(Sales!$Y$5:$Y$1204,Sales!$O$5:$O$1204,E67),2)))</f>
        <v>0</v>
      </c>
      <c r="O67" s="26">
        <f>IF(B67="","",IF(E67="",0,ROUND(SUMIFS(Sales!$X$5:$X$1204,Sales!$O$5:$O$1204,E67),2)))</f>
        <v>0</v>
      </c>
      <c r="P67" s="25">
        <f>IF(B67="","",IF(E67="",0,SUMPRODUCT((Sales!$O$5:$O$1204=E67)*(Sales!$AD$5:$AD$1204="Yes"))))</f>
        <v>0</v>
      </c>
      <c r="Q67" s="25">
        <f>IF(B67="","",IF(F67="",0,COUNTIFS(Clients!$G$5:$G$504,C67,Clients!$X$5:$X$504,"&gt;="&amp;F67,Clients!$X$5:$X$504,"&lt;="&amp;IF(G67="",TodayDate,G67))))</f>
        <v>0</v>
      </c>
      <c r="R67" s="25">
        <f>IF(B67="","",IF(F67="",0,COUNTIFS(Appointments!$N$5:$N$1204,C67,Appointments!$B$5:$B$1204,"&gt;="&amp;F67,Appointments!$B$5:$B$1204,"&lt;="&amp;IF(G67="",TodayDate,G67))))</f>
        <v>0</v>
      </c>
      <c r="S67" s="26">
        <f>IF(B67="","",ROUND(IF(H67="",0,H67)+O67,2))</f>
        <v>0</v>
      </c>
      <c r="T67" s="26">
        <f>IF(B67="","",ROUND(N67-S67,2))</f>
        <v>0</v>
      </c>
      <c r="U67" s="27">
        <f>IF(B67="","",IF(S67&lt;=0,"",T67/S67))</f>
        <v>0</v>
      </c>
      <c r="V67" s="26">
        <f>IF(B67="","",IF(Q67=0,"",ROUND(S67/Q67,2)))</f>
        <v>0</v>
      </c>
      <c r="W67" s="26">
        <f>IF(B67="","",IF(I67="","",ROUND(N67-I67,2)))</f>
        <v>0</v>
      </c>
      <c r="X67" s="25">
        <f>IF(B67="","",COUNTIFS($N$5:$N$104,"&gt;"&amp;N67)+COUNTIFS($N$5:N67,N67))</f>
        <v>0</v>
      </c>
      <c r="Y67" s="39">
        <f>IF(B67="","",IF(E67="","Add - no code, nothing to measure",IF(J67="Planned","Upcoming",IF(M67=0,"Check - code never used",IF(T67&lt;0,"Loss - cost more than it made",IF(U67&gt;=1,"OK - doubled its money",IF(U67&gt;0,"OK - made money","Check - review it")))))))</f>
        <v>0</v>
      </c>
    </row>
    <row r="68" spans="1:25">
      <c r="A68" s="28">
        <f>IF(B68="","",CampaignPrefix&amp;TEXT(ROW()-4,"000"))</f>
        <v>0</v>
      </c>
      <c r="L68" s="15">
        <f>IF(F68="","",TEXT(F68,"yyyy-mm"))</f>
        <v>0</v>
      </c>
      <c r="M68" s="25">
        <f>IF(B68="","",IF(E68="",0,COUNTIFS(Sales!$O$5:$O$1204,E68)))</f>
        <v>0</v>
      </c>
      <c r="N68" s="26">
        <f>IF(B68="","",IF(E68="",0,ROUND(SUMIFS(Sales!$Y$5:$Y$1204,Sales!$O$5:$O$1204,E68),2)))</f>
        <v>0</v>
      </c>
      <c r="O68" s="26">
        <f>IF(B68="","",IF(E68="",0,ROUND(SUMIFS(Sales!$X$5:$X$1204,Sales!$O$5:$O$1204,E68),2)))</f>
        <v>0</v>
      </c>
      <c r="P68" s="25">
        <f>IF(B68="","",IF(E68="",0,SUMPRODUCT((Sales!$O$5:$O$1204=E68)*(Sales!$AD$5:$AD$1204="Yes"))))</f>
        <v>0</v>
      </c>
      <c r="Q68" s="25">
        <f>IF(B68="","",IF(F68="",0,COUNTIFS(Clients!$G$5:$G$504,C68,Clients!$X$5:$X$504,"&gt;="&amp;F68,Clients!$X$5:$X$504,"&lt;="&amp;IF(G68="",TodayDate,G68))))</f>
        <v>0</v>
      </c>
      <c r="R68" s="25">
        <f>IF(B68="","",IF(F68="",0,COUNTIFS(Appointments!$N$5:$N$1204,C68,Appointments!$B$5:$B$1204,"&gt;="&amp;F68,Appointments!$B$5:$B$1204,"&lt;="&amp;IF(G68="",TodayDate,G68))))</f>
        <v>0</v>
      </c>
      <c r="S68" s="26">
        <f>IF(B68="","",ROUND(IF(H68="",0,H68)+O68,2))</f>
        <v>0</v>
      </c>
      <c r="T68" s="26">
        <f>IF(B68="","",ROUND(N68-S68,2))</f>
        <v>0</v>
      </c>
      <c r="U68" s="27">
        <f>IF(B68="","",IF(S68&lt;=0,"",T68/S68))</f>
        <v>0</v>
      </c>
      <c r="V68" s="26">
        <f>IF(B68="","",IF(Q68=0,"",ROUND(S68/Q68,2)))</f>
        <v>0</v>
      </c>
      <c r="W68" s="26">
        <f>IF(B68="","",IF(I68="","",ROUND(N68-I68,2)))</f>
        <v>0</v>
      </c>
      <c r="X68" s="25">
        <f>IF(B68="","",COUNTIFS($N$5:$N$104,"&gt;"&amp;N68)+COUNTIFS($N$5:N68,N68))</f>
        <v>0</v>
      </c>
      <c r="Y68" s="39">
        <f>IF(B68="","",IF(E68="","Add - no code, nothing to measure",IF(J68="Planned","Upcoming",IF(M68=0,"Check - code never used",IF(T68&lt;0,"Loss - cost more than it made",IF(U68&gt;=1,"OK - doubled its money",IF(U68&gt;0,"OK - made money","Check - review it")))))))</f>
        <v>0</v>
      </c>
    </row>
    <row r="69" spans="1:25">
      <c r="A69" s="28">
        <f>IF(B69="","",CampaignPrefix&amp;TEXT(ROW()-4,"000"))</f>
        <v>0</v>
      </c>
      <c r="L69" s="15">
        <f>IF(F69="","",TEXT(F69,"yyyy-mm"))</f>
        <v>0</v>
      </c>
      <c r="M69" s="25">
        <f>IF(B69="","",IF(E69="",0,COUNTIFS(Sales!$O$5:$O$1204,E69)))</f>
        <v>0</v>
      </c>
      <c r="N69" s="26">
        <f>IF(B69="","",IF(E69="",0,ROUND(SUMIFS(Sales!$Y$5:$Y$1204,Sales!$O$5:$O$1204,E69),2)))</f>
        <v>0</v>
      </c>
      <c r="O69" s="26">
        <f>IF(B69="","",IF(E69="",0,ROUND(SUMIFS(Sales!$X$5:$X$1204,Sales!$O$5:$O$1204,E69),2)))</f>
        <v>0</v>
      </c>
      <c r="P69" s="25">
        <f>IF(B69="","",IF(E69="",0,SUMPRODUCT((Sales!$O$5:$O$1204=E69)*(Sales!$AD$5:$AD$1204="Yes"))))</f>
        <v>0</v>
      </c>
      <c r="Q69" s="25">
        <f>IF(B69="","",IF(F69="",0,COUNTIFS(Clients!$G$5:$G$504,C69,Clients!$X$5:$X$504,"&gt;="&amp;F69,Clients!$X$5:$X$504,"&lt;="&amp;IF(G69="",TodayDate,G69))))</f>
        <v>0</v>
      </c>
      <c r="R69" s="25">
        <f>IF(B69="","",IF(F69="",0,COUNTIFS(Appointments!$N$5:$N$1204,C69,Appointments!$B$5:$B$1204,"&gt;="&amp;F69,Appointments!$B$5:$B$1204,"&lt;="&amp;IF(G69="",TodayDate,G69))))</f>
        <v>0</v>
      </c>
      <c r="S69" s="26">
        <f>IF(B69="","",ROUND(IF(H69="",0,H69)+O69,2))</f>
        <v>0</v>
      </c>
      <c r="T69" s="26">
        <f>IF(B69="","",ROUND(N69-S69,2))</f>
        <v>0</v>
      </c>
      <c r="U69" s="27">
        <f>IF(B69="","",IF(S69&lt;=0,"",T69/S69))</f>
        <v>0</v>
      </c>
      <c r="V69" s="26">
        <f>IF(B69="","",IF(Q69=0,"",ROUND(S69/Q69,2)))</f>
        <v>0</v>
      </c>
      <c r="W69" s="26">
        <f>IF(B69="","",IF(I69="","",ROUND(N69-I69,2)))</f>
        <v>0</v>
      </c>
      <c r="X69" s="25">
        <f>IF(B69="","",COUNTIFS($N$5:$N$104,"&gt;"&amp;N69)+COUNTIFS($N$5:N69,N69))</f>
        <v>0</v>
      </c>
      <c r="Y69" s="39">
        <f>IF(B69="","",IF(E69="","Add - no code, nothing to measure",IF(J69="Planned","Upcoming",IF(M69=0,"Check - code never used",IF(T69&lt;0,"Loss - cost more than it made",IF(U69&gt;=1,"OK - doubled its money",IF(U69&gt;0,"OK - made money","Check - review it")))))))</f>
        <v>0</v>
      </c>
    </row>
    <row r="70" spans="1:25">
      <c r="A70" s="28">
        <f>IF(B70="","",CampaignPrefix&amp;TEXT(ROW()-4,"000"))</f>
        <v>0</v>
      </c>
      <c r="L70" s="15">
        <f>IF(F70="","",TEXT(F70,"yyyy-mm"))</f>
        <v>0</v>
      </c>
      <c r="M70" s="25">
        <f>IF(B70="","",IF(E70="",0,COUNTIFS(Sales!$O$5:$O$1204,E70)))</f>
        <v>0</v>
      </c>
      <c r="N70" s="26">
        <f>IF(B70="","",IF(E70="",0,ROUND(SUMIFS(Sales!$Y$5:$Y$1204,Sales!$O$5:$O$1204,E70),2)))</f>
        <v>0</v>
      </c>
      <c r="O70" s="26">
        <f>IF(B70="","",IF(E70="",0,ROUND(SUMIFS(Sales!$X$5:$X$1204,Sales!$O$5:$O$1204,E70),2)))</f>
        <v>0</v>
      </c>
      <c r="P70" s="25">
        <f>IF(B70="","",IF(E70="",0,SUMPRODUCT((Sales!$O$5:$O$1204=E70)*(Sales!$AD$5:$AD$1204="Yes"))))</f>
        <v>0</v>
      </c>
      <c r="Q70" s="25">
        <f>IF(B70="","",IF(F70="",0,COUNTIFS(Clients!$G$5:$G$504,C70,Clients!$X$5:$X$504,"&gt;="&amp;F70,Clients!$X$5:$X$504,"&lt;="&amp;IF(G70="",TodayDate,G70))))</f>
        <v>0</v>
      </c>
      <c r="R70" s="25">
        <f>IF(B70="","",IF(F70="",0,COUNTIFS(Appointments!$N$5:$N$1204,C70,Appointments!$B$5:$B$1204,"&gt;="&amp;F70,Appointments!$B$5:$B$1204,"&lt;="&amp;IF(G70="",TodayDate,G70))))</f>
        <v>0</v>
      </c>
      <c r="S70" s="26">
        <f>IF(B70="","",ROUND(IF(H70="",0,H70)+O70,2))</f>
        <v>0</v>
      </c>
      <c r="T70" s="26">
        <f>IF(B70="","",ROUND(N70-S70,2))</f>
        <v>0</v>
      </c>
      <c r="U70" s="27">
        <f>IF(B70="","",IF(S70&lt;=0,"",T70/S70))</f>
        <v>0</v>
      </c>
      <c r="V70" s="26">
        <f>IF(B70="","",IF(Q70=0,"",ROUND(S70/Q70,2)))</f>
        <v>0</v>
      </c>
      <c r="W70" s="26">
        <f>IF(B70="","",IF(I70="","",ROUND(N70-I70,2)))</f>
        <v>0</v>
      </c>
      <c r="X70" s="25">
        <f>IF(B70="","",COUNTIFS($N$5:$N$104,"&gt;"&amp;N70)+COUNTIFS($N$5:N70,N70))</f>
        <v>0</v>
      </c>
      <c r="Y70" s="39">
        <f>IF(B70="","",IF(E70="","Add - no code, nothing to measure",IF(J70="Planned","Upcoming",IF(M70=0,"Check - code never used",IF(T70&lt;0,"Loss - cost more than it made",IF(U70&gt;=1,"OK - doubled its money",IF(U70&gt;0,"OK - made money","Check - review it")))))))</f>
        <v>0</v>
      </c>
    </row>
    <row r="71" spans="1:25">
      <c r="A71" s="28">
        <f>IF(B71="","",CampaignPrefix&amp;TEXT(ROW()-4,"000"))</f>
        <v>0</v>
      </c>
      <c r="L71" s="15">
        <f>IF(F71="","",TEXT(F71,"yyyy-mm"))</f>
        <v>0</v>
      </c>
      <c r="M71" s="25">
        <f>IF(B71="","",IF(E71="",0,COUNTIFS(Sales!$O$5:$O$1204,E71)))</f>
        <v>0</v>
      </c>
      <c r="N71" s="26">
        <f>IF(B71="","",IF(E71="",0,ROUND(SUMIFS(Sales!$Y$5:$Y$1204,Sales!$O$5:$O$1204,E71),2)))</f>
        <v>0</v>
      </c>
      <c r="O71" s="26">
        <f>IF(B71="","",IF(E71="",0,ROUND(SUMIFS(Sales!$X$5:$X$1204,Sales!$O$5:$O$1204,E71),2)))</f>
        <v>0</v>
      </c>
      <c r="P71" s="25">
        <f>IF(B71="","",IF(E71="",0,SUMPRODUCT((Sales!$O$5:$O$1204=E71)*(Sales!$AD$5:$AD$1204="Yes"))))</f>
        <v>0</v>
      </c>
      <c r="Q71" s="25">
        <f>IF(B71="","",IF(F71="",0,COUNTIFS(Clients!$G$5:$G$504,C71,Clients!$X$5:$X$504,"&gt;="&amp;F71,Clients!$X$5:$X$504,"&lt;="&amp;IF(G71="",TodayDate,G71))))</f>
        <v>0</v>
      </c>
      <c r="R71" s="25">
        <f>IF(B71="","",IF(F71="",0,COUNTIFS(Appointments!$N$5:$N$1204,C71,Appointments!$B$5:$B$1204,"&gt;="&amp;F71,Appointments!$B$5:$B$1204,"&lt;="&amp;IF(G71="",TodayDate,G71))))</f>
        <v>0</v>
      </c>
      <c r="S71" s="26">
        <f>IF(B71="","",ROUND(IF(H71="",0,H71)+O71,2))</f>
        <v>0</v>
      </c>
      <c r="T71" s="26">
        <f>IF(B71="","",ROUND(N71-S71,2))</f>
        <v>0</v>
      </c>
      <c r="U71" s="27">
        <f>IF(B71="","",IF(S71&lt;=0,"",T71/S71))</f>
        <v>0</v>
      </c>
      <c r="V71" s="26">
        <f>IF(B71="","",IF(Q71=0,"",ROUND(S71/Q71,2)))</f>
        <v>0</v>
      </c>
      <c r="W71" s="26">
        <f>IF(B71="","",IF(I71="","",ROUND(N71-I71,2)))</f>
        <v>0</v>
      </c>
      <c r="X71" s="25">
        <f>IF(B71="","",COUNTIFS($N$5:$N$104,"&gt;"&amp;N71)+COUNTIFS($N$5:N71,N71))</f>
        <v>0</v>
      </c>
      <c r="Y71" s="39">
        <f>IF(B71="","",IF(E71="","Add - no code, nothing to measure",IF(J71="Planned","Upcoming",IF(M71=0,"Check - code never used",IF(T71&lt;0,"Loss - cost more than it made",IF(U71&gt;=1,"OK - doubled its money",IF(U71&gt;0,"OK - made money","Check - review it")))))))</f>
        <v>0</v>
      </c>
    </row>
    <row r="72" spans="1:25">
      <c r="A72" s="28">
        <f>IF(B72="","",CampaignPrefix&amp;TEXT(ROW()-4,"000"))</f>
        <v>0</v>
      </c>
      <c r="L72" s="15">
        <f>IF(F72="","",TEXT(F72,"yyyy-mm"))</f>
        <v>0</v>
      </c>
      <c r="M72" s="25">
        <f>IF(B72="","",IF(E72="",0,COUNTIFS(Sales!$O$5:$O$1204,E72)))</f>
        <v>0</v>
      </c>
      <c r="N72" s="26">
        <f>IF(B72="","",IF(E72="",0,ROUND(SUMIFS(Sales!$Y$5:$Y$1204,Sales!$O$5:$O$1204,E72),2)))</f>
        <v>0</v>
      </c>
      <c r="O72" s="26">
        <f>IF(B72="","",IF(E72="",0,ROUND(SUMIFS(Sales!$X$5:$X$1204,Sales!$O$5:$O$1204,E72),2)))</f>
        <v>0</v>
      </c>
      <c r="P72" s="25">
        <f>IF(B72="","",IF(E72="",0,SUMPRODUCT((Sales!$O$5:$O$1204=E72)*(Sales!$AD$5:$AD$1204="Yes"))))</f>
        <v>0</v>
      </c>
      <c r="Q72" s="25">
        <f>IF(B72="","",IF(F72="",0,COUNTIFS(Clients!$G$5:$G$504,C72,Clients!$X$5:$X$504,"&gt;="&amp;F72,Clients!$X$5:$X$504,"&lt;="&amp;IF(G72="",TodayDate,G72))))</f>
        <v>0</v>
      </c>
      <c r="R72" s="25">
        <f>IF(B72="","",IF(F72="",0,COUNTIFS(Appointments!$N$5:$N$1204,C72,Appointments!$B$5:$B$1204,"&gt;="&amp;F72,Appointments!$B$5:$B$1204,"&lt;="&amp;IF(G72="",TodayDate,G72))))</f>
        <v>0</v>
      </c>
      <c r="S72" s="26">
        <f>IF(B72="","",ROUND(IF(H72="",0,H72)+O72,2))</f>
        <v>0</v>
      </c>
      <c r="T72" s="26">
        <f>IF(B72="","",ROUND(N72-S72,2))</f>
        <v>0</v>
      </c>
      <c r="U72" s="27">
        <f>IF(B72="","",IF(S72&lt;=0,"",T72/S72))</f>
        <v>0</v>
      </c>
      <c r="V72" s="26">
        <f>IF(B72="","",IF(Q72=0,"",ROUND(S72/Q72,2)))</f>
        <v>0</v>
      </c>
      <c r="W72" s="26">
        <f>IF(B72="","",IF(I72="","",ROUND(N72-I72,2)))</f>
        <v>0</v>
      </c>
      <c r="X72" s="25">
        <f>IF(B72="","",COUNTIFS($N$5:$N$104,"&gt;"&amp;N72)+COUNTIFS($N$5:N72,N72))</f>
        <v>0</v>
      </c>
      <c r="Y72" s="39">
        <f>IF(B72="","",IF(E72="","Add - no code, nothing to measure",IF(J72="Planned","Upcoming",IF(M72=0,"Check - code never used",IF(T72&lt;0,"Loss - cost more than it made",IF(U72&gt;=1,"OK - doubled its money",IF(U72&gt;0,"OK - made money","Check - review it")))))))</f>
        <v>0</v>
      </c>
    </row>
    <row r="73" spans="1:25">
      <c r="A73" s="28">
        <f>IF(B73="","",CampaignPrefix&amp;TEXT(ROW()-4,"000"))</f>
        <v>0</v>
      </c>
      <c r="L73" s="15">
        <f>IF(F73="","",TEXT(F73,"yyyy-mm"))</f>
        <v>0</v>
      </c>
      <c r="M73" s="25">
        <f>IF(B73="","",IF(E73="",0,COUNTIFS(Sales!$O$5:$O$1204,E73)))</f>
        <v>0</v>
      </c>
      <c r="N73" s="26">
        <f>IF(B73="","",IF(E73="",0,ROUND(SUMIFS(Sales!$Y$5:$Y$1204,Sales!$O$5:$O$1204,E73),2)))</f>
        <v>0</v>
      </c>
      <c r="O73" s="26">
        <f>IF(B73="","",IF(E73="",0,ROUND(SUMIFS(Sales!$X$5:$X$1204,Sales!$O$5:$O$1204,E73),2)))</f>
        <v>0</v>
      </c>
      <c r="P73" s="25">
        <f>IF(B73="","",IF(E73="",0,SUMPRODUCT((Sales!$O$5:$O$1204=E73)*(Sales!$AD$5:$AD$1204="Yes"))))</f>
        <v>0</v>
      </c>
      <c r="Q73" s="25">
        <f>IF(B73="","",IF(F73="",0,COUNTIFS(Clients!$G$5:$G$504,C73,Clients!$X$5:$X$504,"&gt;="&amp;F73,Clients!$X$5:$X$504,"&lt;="&amp;IF(G73="",TodayDate,G73))))</f>
        <v>0</v>
      </c>
      <c r="R73" s="25">
        <f>IF(B73="","",IF(F73="",0,COUNTIFS(Appointments!$N$5:$N$1204,C73,Appointments!$B$5:$B$1204,"&gt;="&amp;F73,Appointments!$B$5:$B$1204,"&lt;="&amp;IF(G73="",TodayDate,G73))))</f>
        <v>0</v>
      </c>
      <c r="S73" s="26">
        <f>IF(B73="","",ROUND(IF(H73="",0,H73)+O73,2))</f>
        <v>0</v>
      </c>
      <c r="T73" s="26">
        <f>IF(B73="","",ROUND(N73-S73,2))</f>
        <v>0</v>
      </c>
      <c r="U73" s="27">
        <f>IF(B73="","",IF(S73&lt;=0,"",T73/S73))</f>
        <v>0</v>
      </c>
      <c r="V73" s="26">
        <f>IF(B73="","",IF(Q73=0,"",ROUND(S73/Q73,2)))</f>
        <v>0</v>
      </c>
      <c r="W73" s="26">
        <f>IF(B73="","",IF(I73="","",ROUND(N73-I73,2)))</f>
        <v>0</v>
      </c>
      <c r="X73" s="25">
        <f>IF(B73="","",COUNTIFS($N$5:$N$104,"&gt;"&amp;N73)+COUNTIFS($N$5:N73,N73))</f>
        <v>0</v>
      </c>
      <c r="Y73" s="39">
        <f>IF(B73="","",IF(E73="","Add - no code, nothing to measure",IF(J73="Planned","Upcoming",IF(M73=0,"Check - code never used",IF(T73&lt;0,"Loss - cost more than it made",IF(U73&gt;=1,"OK - doubled its money",IF(U73&gt;0,"OK - made money","Check - review it")))))))</f>
        <v>0</v>
      </c>
    </row>
    <row r="74" spans="1:25">
      <c r="A74" s="28">
        <f>IF(B74="","",CampaignPrefix&amp;TEXT(ROW()-4,"000"))</f>
        <v>0</v>
      </c>
      <c r="L74" s="15">
        <f>IF(F74="","",TEXT(F74,"yyyy-mm"))</f>
        <v>0</v>
      </c>
      <c r="M74" s="25">
        <f>IF(B74="","",IF(E74="",0,COUNTIFS(Sales!$O$5:$O$1204,E74)))</f>
        <v>0</v>
      </c>
      <c r="N74" s="26">
        <f>IF(B74="","",IF(E74="",0,ROUND(SUMIFS(Sales!$Y$5:$Y$1204,Sales!$O$5:$O$1204,E74),2)))</f>
        <v>0</v>
      </c>
      <c r="O74" s="26">
        <f>IF(B74="","",IF(E74="",0,ROUND(SUMIFS(Sales!$X$5:$X$1204,Sales!$O$5:$O$1204,E74),2)))</f>
        <v>0</v>
      </c>
      <c r="P74" s="25">
        <f>IF(B74="","",IF(E74="",0,SUMPRODUCT((Sales!$O$5:$O$1204=E74)*(Sales!$AD$5:$AD$1204="Yes"))))</f>
        <v>0</v>
      </c>
      <c r="Q74" s="25">
        <f>IF(B74="","",IF(F74="",0,COUNTIFS(Clients!$G$5:$G$504,C74,Clients!$X$5:$X$504,"&gt;="&amp;F74,Clients!$X$5:$X$504,"&lt;="&amp;IF(G74="",TodayDate,G74))))</f>
        <v>0</v>
      </c>
      <c r="R74" s="25">
        <f>IF(B74="","",IF(F74="",0,COUNTIFS(Appointments!$N$5:$N$1204,C74,Appointments!$B$5:$B$1204,"&gt;="&amp;F74,Appointments!$B$5:$B$1204,"&lt;="&amp;IF(G74="",TodayDate,G74))))</f>
        <v>0</v>
      </c>
      <c r="S74" s="26">
        <f>IF(B74="","",ROUND(IF(H74="",0,H74)+O74,2))</f>
        <v>0</v>
      </c>
      <c r="T74" s="26">
        <f>IF(B74="","",ROUND(N74-S74,2))</f>
        <v>0</v>
      </c>
      <c r="U74" s="27">
        <f>IF(B74="","",IF(S74&lt;=0,"",T74/S74))</f>
        <v>0</v>
      </c>
      <c r="V74" s="26">
        <f>IF(B74="","",IF(Q74=0,"",ROUND(S74/Q74,2)))</f>
        <v>0</v>
      </c>
      <c r="W74" s="26">
        <f>IF(B74="","",IF(I74="","",ROUND(N74-I74,2)))</f>
        <v>0</v>
      </c>
      <c r="X74" s="25">
        <f>IF(B74="","",COUNTIFS($N$5:$N$104,"&gt;"&amp;N74)+COUNTIFS($N$5:N74,N74))</f>
        <v>0</v>
      </c>
      <c r="Y74" s="39">
        <f>IF(B74="","",IF(E74="","Add - no code, nothing to measure",IF(J74="Planned","Upcoming",IF(M74=0,"Check - code never used",IF(T74&lt;0,"Loss - cost more than it made",IF(U74&gt;=1,"OK - doubled its money",IF(U74&gt;0,"OK - made money","Check - review it")))))))</f>
        <v>0</v>
      </c>
    </row>
    <row r="75" spans="1:25">
      <c r="A75" s="28">
        <f>IF(B75="","",CampaignPrefix&amp;TEXT(ROW()-4,"000"))</f>
        <v>0</v>
      </c>
      <c r="L75" s="15">
        <f>IF(F75="","",TEXT(F75,"yyyy-mm"))</f>
        <v>0</v>
      </c>
      <c r="M75" s="25">
        <f>IF(B75="","",IF(E75="",0,COUNTIFS(Sales!$O$5:$O$1204,E75)))</f>
        <v>0</v>
      </c>
      <c r="N75" s="26">
        <f>IF(B75="","",IF(E75="",0,ROUND(SUMIFS(Sales!$Y$5:$Y$1204,Sales!$O$5:$O$1204,E75),2)))</f>
        <v>0</v>
      </c>
      <c r="O75" s="26">
        <f>IF(B75="","",IF(E75="",0,ROUND(SUMIFS(Sales!$X$5:$X$1204,Sales!$O$5:$O$1204,E75),2)))</f>
        <v>0</v>
      </c>
      <c r="P75" s="25">
        <f>IF(B75="","",IF(E75="",0,SUMPRODUCT((Sales!$O$5:$O$1204=E75)*(Sales!$AD$5:$AD$1204="Yes"))))</f>
        <v>0</v>
      </c>
      <c r="Q75" s="25">
        <f>IF(B75="","",IF(F75="",0,COUNTIFS(Clients!$G$5:$G$504,C75,Clients!$X$5:$X$504,"&gt;="&amp;F75,Clients!$X$5:$X$504,"&lt;="&amp;IF(G75="",TodayDate,G75))))</f>
        <v>0</v>
      </c>
      <c r="R75" s="25">
        <f>IF(B75="","",IF(F75="",0,COUNTIFS(Appointments!$N$5:$N$1204,C75,Appointments!$B$5:$B$1204,"&gt;="&amp;F75,Appointments!$B$5:$B$1204,"&lt;="&amp;IF(G75="",TodayDate,G75))))</f>
        <v>0</v>
      </c>
      <c r="S75" s="26">
        <f>IF(B75="","",ROUND(IF(H75="",0,H75)+O75,2))</f>
        <v>0</v>
      </c>
      <c r="T75" s="26">
        <f>IF(B75="","",ROUND(N75-S75,2))</f>
        <v>0</v>
      </c>
      <c r="U75" s="27">
        <f>IF(B75="","",IF(S75&lt;=0,"",T75/S75))</f>
        <v>0</v>
      </c>
      <c r="V75" s="26">
        <f>IF(B75="","",IF(Q75=0,"",ROUND(S75/Q75,2)))</f>
        <v>0</v>
      </c>
      <c r="W75" s="26">
        <f>IF(B75="","",IF(I75="","",ROUND(N75-I75,2)))</f>
        <v>0</v>
      </c>
      <c r="X75" s="25">
        <f>IF(B75="","",COUNTIFS($N$5:$N$104,"&gt;"&amp;N75)+COUNTIFS($N$5:N75,N75))</f>
        <v>0</v>
      </c>
      <c r="Y75" s="39">
        <f>IF(B75="","",IF(E75="","Add - no code, nothing to measure",IF(J75="Planned","Upcoming",IF(M75=0,"Check - code never used",IF(T75&lt;0,"Loss - cost more than it made",IF(U75&gt;=1,"OK - doubled its money",IF(U75&gt;0,"OK - made money","Check - review it")))))))</f>
        <v>0</v>
      </c>
    </row>
    <row r="76" spans="1:25">
      <c r="A76" s="28">
        <f>IF(B76="","",CampaignPrefix&amp;TEXT(ROW()-4,"000"))</f>
        <v>0</v>
      </c>
      <c r="L76" s="15">
        <f>IF(F76="","",TEXT(F76,"yyyy-mm"))</f>
        <v>0</v>
      </c>
      <c r="M76" s="25">
        <f>IF(B76="","",IF(E76="",0,COUNTIFS(Sales!$O$5:$O$1204,E76)))</f>
        <v>0</v>
      </c>
      <c r="N76" s="26">
        <f>IF(B76="","",IF(E76="",0,ROUND(SUMIFS(Sales!$Y$5:$Y$1204,Sales!$O$5:$O$1204,E76),2)))</f>
        <v>0</v>
      </c>
      <c r="O76" s="26">
        <f>IF(B76="","",IF(E76="",0,ROUND(SUMIFS(Sales!$X$5:$X$1204,Sales!$O$5:$O$1204,E76),2)))</f>
        <v>0</v>
      </c>
      <c r="P76" s="25">
        <f>IF(B76="","",IF(E76="",0,SUMPRODUCT((Sales!$O$5:$O$1204=E76)*(Sales!$AD$5:$AD$1204="Yes"))))</f>
        <v>0</v>
      </c>
      <c r="Q76" s="25">
        <f>IF(B76="","",IF(F76="",0,COUNTIFS(Clients!$G$5:$G$504,C76,Clients!$X$5:$X$504,"&gt;="&amp;F76,Clients!$X$5:$X$504,"&lt;="&amp;IF(G76="",TodayDate,G76))))</f>
        <v>0</v>
      </c>
      <c r="R76" s="25">
        <f>IF(B76="","",IF(F76="",0,COUNTIFS(Appointments!$N$5:$N$1204,C76,Appointments!$B$5:$B$1204,"&gt;="&amp;F76,Appointments!$B$5:$B$1204,"&lt;="&amp;IF(G76="",TodayDate,G76))))</f>
        <v>0</v>
      </c>
      <c r="S76" s="26">
        <f>IF(B76="","",ROUND(IF(H76="",0,H76)+O76,2))</f>
        <v>0</v>
      </c>
      <c r="T76" s="26">
        <f>IF(B76="","",ROUND(N76-S76,2))</f>
        <v>0</v>
      </c>
      <c r="U76" s="27">
        <f>IF(B76="","",IF(S76&lt;=0,"",T76/S76))</f>
        <v>0</v>
      </c>
      <c r="V76" s="26">
        <f>IF(B76="","",IF(Q76=0,"",ROUND(S76/Q76,2)))</f>
        <v>0</v>
      </c>
      <c r="W76" s="26">
        <f>IF(B76="","",IF(I76="","",ROUND(N76-I76,2)))</f>
        <v>0</v>
      </c>
      <c r="X76" s="25">
        <f>IF(B76="","",COUNTIFS($N$5:$N$104,"&gt;"&amp;N76)+COUNTIFS($N$5:N76,N76))</f>
        <v>0</v>
      </c>
      <c r="Y76" s="39">
        <f>IF(B76="","",IF(E76="","Add - no code, nothing to measure",IF(J76="Planned","Upcoming",IF(M76=0,"Check - code never used",IF(T76&lt;0,"Loss - cost more than it made",IF(U76&gt;=1,"OK - doubled its money",IF(U76&gt;0,"OK - made money","Check - review it")))))))</f>
        <v>0</v>
      </c>
    </row>
    <row r="77" spans="1:25">
      <c r="A77" s="28">
        <f>IF(B77="","",CampaignPrefix&amp;TEXT(ROW()-4,"000"))</f>
        <v>0</v>
      </c>
      <c r="L77" s="15">
        <f>IF(F77="","",TEXT(F77,"yyyy-mm"))</f>
        <v>0</v>
      </c>
      <c r="M77" s="25">
        <f>IF(B77="","",IF(E77="",0,COUNTIFS(Sales!$O$5:$O$1204,E77)))</f>
        <v>0</v>
      </c>
      <c r="N77" s="26">
        <f>IF(B77="","",IF(E77="",0,ROUND(SUMIFS(Sales!$Y$5:$Y$1204,Sales!$O$5:$O$1204,E77),2)))</f>
        <v>0</v>
      </c>
      <c r="O77" s="26">
        <f>IF(B77="","",IF(E77="",0,ROUND(SUMIFS(Sales!$X$5:$X$1204,Sales!$O$5:$O$1204,E77),2)))</f>
        <v>0</v>
      </c>
      <c r="P77" s="25">
        <f>IF(B77="","",IF(E77="",0,SUMPRODUCT((Sales!$O$5:$O$1204=E77)*(Sales!$AD$5:$AD$1204="Yes"))))</f>
        <v>0</v>
      </c>
      <c r="Q77" s="25">
        <f>IF(B77="","",IF(F77="",0,COUNTIFS(Clients!$G$5:$G$504,C77,Clients!$X$5:$X$504,"&gt;="&amp;F77,Clients!$X$5:$X$504,"&lt;="&amp;IF(G77="",TodayDate,G77))))</f>
        <v>0</v>
      </c>
      <c r="R77" s="25">
        <f>IF(B77="","",IF(F77="",0,COUNTIFS(Appointments!$N$5:$N$1204,C77,Appointments!$B$5:$B$1204,"&gt;="&amp;F77,Appointments!$B$5:$B$1204,"&lt;="&amp;IF(G77="",TodayDate,G77))))</f>
        <v>0</v>
      </c>
      <c r="S77" s="26">
        <f>IF(B77="","",ROUND(IF(H77="",0,H77)+O77,2))</f>
        <v>0</v>
      </c>
      <c r="T77" s="26">
        <f>IF(B77="","",ROUND(N77-S77,2))</f>
        <v>0</v>
      </c>
      <c r="U77" s="27">
        <f>IF(B77="","",IF(S77&lt;=0,"",T77/S77))</f>
        <v>0</v>
      </c>
      <c r="V77" s="26">
        <f>IF(B77="","",IF(Q77=0,"",ROUND(S77/Q77,2)))</f>
        <v>0</v>
      </c>
      <c r="W77" s="26">
        <f>IF(B77="","",IF(I77="","",ROUND(N77-I77,2)))</f>
        <v>0</v>
      </c>
      <c r="X77" s="25">
        <f>IF(B77="","",COUNTIFS($N$5:$N$104,"&gt;"&amp;N77)+COUNTIFS($N$5:N77,N77))</f>
        <v>0</v>
      </c>
      <c r="Y77" s="39">
        <f>IF(B77="","",IF(E77="","Add - no code, nothing to measure",IF(J77="Planned","Upcoming",IF(M77=0,"Check - code never used",IF(T77&lt;0,"Loss - cost more than it made",IF(U77&gt;=1,"OK - doubled its money",IF(U77&gt;0,"OK - made money","Check - review it")))))))</f>
        <v>0</v>
      </c>
    </row>
    <row r="78" spans="1:25">
      <c r="A78" s="28">
        <f>IF(B78="","",CampaignPrefix&amp;TEXT(ROW()-4,"000"))</f>
        <v>0</v>
      </c>
      <c r="L78" s="15">
        <f>IF(F78="","",TEXT(F78,"yyyy-mm"))</f>
        <v>0</v>
      </c>
      <c r="M78" s="25">
        <f>IF(B78="","",IF(E78="",0,COUNTIFS(Sales!$O$5:$O$1204,E78)))</f>
        <v>0</v>
      </c>
      <c r="N78" s="26">
        <f>IF(B78="","",IF(E78="",0,ROUND(SUMIFS(Sales!$Y$5:$Y$1204,Sales!$O$5:$O$1204,E78),2)))</f>
        <v>0</v>
      </c>
      <c r="O78" s="26">
        <f>IF(B78="","",IF(E78="",0,ROUND(SUMIFS(Sales!$X$5:$X$1204,Sales!$O$5:$O$1204,E78),2)))</f>
        <v>0</v>
      </c>
      <c r="P78" s="25">
        <f>IF(B78="","",IF(E78="",0,SUMPRODUCT((Sales!$O$5:$O$1204=E78)*(Sales!$AD$5:$AD$1204="Yes"))))</f>
        <v>0</v>
      </c>
      <c r="Q78" s="25">
        <f>IF(B78="","",IF(F78="",0,COUNTIFS(Clients!$G$5:$G$504,C78,Clients!$X$5:$X$504,"&gt;="&amp;F78,Clients!$X$5:$X$504,"&lt;="&amp;IF(G78="",TodayDate,G78))))</f>
        <v>0</v>
      </c>
      <c r="R78" s="25">
        <f>IF(B78="","",IF(F78="",0,COUNTIFS(Appointments!$N$5:$N$1204,C78,Appointments!$B$5:$B$1204,"&gt;="&amp;F78,Appointments!$B$5:$B$1204,"&lt;="&amp;IF(G78="",TodayDate,G78))))</f>
        <v>0</v>
      </c>
      <c r="S78" s="26">
        <f>IF(B78="","",ROUND(IF(H78="",0,H78)+O78,2))</f>
        <v>0</v>
      </c>
      <c r="T78" s="26">
        <f>IF(B78="","",ROUND(N78-S78,2))</f>
        <v>0</v>
      </c>
      <c r="U78" s="27">
        <f>IF(B78="","",IF(S78&lt;=0,"",T78/S78))</f>
        <v>0</v>
      </c>
      <c r="V78" s="26">
        <f>IF(B78="","",IF(Q78=0,"",ROUND(S78/Q78,2)))</f>
        <v>0</v>
      </c>
      <c r="W78" s="26">
        <f>IF(B78="","",IF(I78="","",ROUND(N78-I78,2)))</f>
        <v>0</v>
      </c>
      <c r="X78" s="25">
        <f>IF(B78="","",COUNTIFS($N$5:$N$104,"&gt;"&amp;N78)+COUNTIFS($N$5:N78,N78))</f>
        <v>0</v>
      </c>
      <c r="Y78" s="39">
        <f>IF(B78="","",IF(E78="","Add - no code, nothing to measure",IF(J78="Planned","Upcoming",IF(M78=0,"Check - code never used",IF(T78&lt;0,"Loss - cost more than it made",IF(U78&gt;=1,"OK - doubled its money",IF(U78&gt;0,"OK - made money","Check - review it")))))))</f>
        <v>0</v>
      </c>
    </row>
    <row r="79" spans="1:25">
      <c r="A79" s="28">
        <f>IF(B79="","",CampaignPrefix&amp;TEXT(ROW()-4,"000"))</f>
        <v>0</v>
      </c>
      <c r="L79" s="15">
        <f>IF(F79="","",TEXT(F79,"yyyy-mm"))</f>
        <v>0</v>
      </c>
      <c r="M79" s="25">
        <f>IF(B79="","",IF(E79="",0,COUNTIFS(Sales!$O$5:$O$1204,E79)))</f>
        <v>0</v>
      </c>
      <c r="N79" s="26">
        <f>IF(B79="","",IF(E79="",0,ROUND(SUMIFS(Sales!$Y$5:$Y$1204,Sales!$O$5:$O$1204,E79),2)))</f>
        <v>0</v>
      </c>
      <c r="O79" s="26">
        <f>IF(B79="","",IF(E79="",0,ROUND(SUMIFS(Sales!$X$5:$X$1204,Sales!$O$5:$O$1204,E79),2)))</f>
        <v>0</v>
      </c>
      <c r="P79" s="25">
        <f>IF(B79="","",IF(E79="",0,SUMPRODUCT((Sales!$O$5:$O$1204=E79)*(Sales!$AD$5:$AD$1204="Yes"))))</f>
        <v>0</v>
      </c>
      <c r="Q79" s="25">
        <f>IF(B79="","",IF(F79="",0,COUNTIFS(Clients!$G$5:$G$504,C79,Clients!$X$5:$X$504,"&gt;="&amp;F79,Clients!$X$5:$X$504,"&lt;="&amp;IF(G79="",TodayDate,G79))))</f>
        <v>0</v>
      </c>
      <c r="R79" s="25">
        <f>IF(B79="","",IF(F79="",0,COUNTIFS(Appointments!$N$5:$N$1204,C79,Appointments!$B$5:$B$1204,"&gt;="&amp;F79,Appointments!$B$5:$B$1204,"&lt;="&amp;IF(G79="",TodayDate,G79))))</f>
        <v>0</v>
      </c>
      <c r="S79" s="26">
        <f>IF(B79="","",ROUND(IF(H79="",0,H79)+O79,2))</f>
        <v>0</v>
      </c>
      <c r="T79" s="26">
        <f>IF(B79="","",ROUND(N79-S79,2))</f>
        <v>0</v>
      </c>
      <c r="U79" s="27">
        <f>IF(B79="","",IF(S79&lt;=0,"",T79/S79))</f>
        <v>0</v>
      </c>
      <c r="V79" s="26">
        <f>IF(B79="","",IF(Q79=0,"",ROUND(S79/Q79,2)))</f>
        <v>0</v>
      </c>
      <c r="W79" s="26">
        <f>IF(B79="","",IF(I79="","",ROUND(N79-I79,2)))</f>
        <v>0</v>
      </c>
      <c r="X79" s="25">
        <f>IF(B79="","",COUNTIFS($N$5:$N$104,"&gt;"&amp;N79)+COUNTIFS($N$5:N79,N79))</f>
        <v>0</v>
      </c>
      <c r="Y79" s="39">
        <f>IF(B79="","",IF(E79="","Add - no code, nothing to measure",IF(J79="Planned","Upcoming",IF(M79=0,"Check - code never used",IF(T79&lt;0,"Loss - cost more than it made",IF(U79&gt;=1,"OK - doubled its money",IF(U79&gt;0,"OK - made money","Check - review it")))))))</f>
        <v>0</v>
      </c>
    </row>
    <row r="80" spans="1:25">
      <c r="A80" s="28">
        <f>IF(B80="","",CampaignPrefix&amp;TEXT(ROW()-4,"000"))</f>
        <v>0</v>
      </c>
      <c r="L80" s="15">
        <f>IF(F80="","",TEXT(F80,"yyyy-mm"))</f>
        <v>0</v>
      </c>
      <c r="M80" s="25">
        <f>IF(B80="","",IF(E80="",0,COUNTIFS(Sales!$O$5:$O$1204,E80)))</f>
        <v>0</v>
      </c>
      <c r="N80" s="26">
        <f>IF(B80="","",IF(E80="",0,ROUND(SUMIFS(Sales!$Y$5:$Y$1204,Sales!$O$5:$O$1204,E80),2)))</f>
        <v>0</v>
      </c>
      <c r="O80" s="26">
        <f>IF(B80="","",IF(E80="",0,ROUND(SUMIFS(Sales!$X$5:$X$1204,Sales!$O$5:$O$1204,E80),2)))</f>
        <v>0</v>
      </c>
      <c r="P80" s="25">
        <f>IF(B80="","",IF(E80="",0,SUMPRODUCT((Sales!$O$5:$O$1204=E80)*(Sales!$AD$5:$AD$1204="Yes"))))</f>
        <v>0</v>
      </c>
      <c r="Q80" s="25">
        <f>IF(B80="","",IF(F80="",0,COUNTIFS(Clients!$G$5:$G$504,C80,Clients!$X$5:$X$504,"&gt;="&amp;F80,Clients!$X$5:$X$504,"&lt;="&amp;IF(G80="",TodayDate,G80))))</f>
        <v>0</v>
      </c>
      <c r="R80" s="25">
        <f>IF(B80="","",IF(F80="",0,COUNTIFS(Appointments!$N$5:$N$1204,C80,Appointments!$B$5:$B$1204,"&gt;="&amp;F80,Appointments!$B$5:$B$1204,"&lt;="&amp;IF(G80="",TodayDate,G80))))</f>
        <v>0</v>
      </c>
      <c r="S80" s="26">
        <f>IF(B80="","",ROUND(IF(H80="",0,H80)+O80,2))</f>
        <v>0</v>
      </c>
      <c r="T80" s="26">
        <f>IF(B80="","",ROUND(N80-S80,2))</f>
        <v>0</v>
      </c>
      <c r="U80" s="27">
        <f>IF(B80="","",IF(S80&lt;=0,"",T80/S80))</f>
        <v>0</v>
      </c>
      <c r="V80" s="26">
        <f>IF(B80="","",IF(Q80=0,"",ROUND(S80/Q80,2)))</f>
        <v>0</v>
      </c>
      <c r="W80" s="26">
        <f>IF(B80="","",IF(I80="","",ROUND(N80-I80,2)))</f>
        <v>0</v>
      </c>
      <c r="X80" s="25">
        <f>IF(B80="","",COUNTIFS($N$5:$N$104,"&gt;"&amp;N80)+COUNTIFS($N$5:N80,N80))</f>
        <v>0</v>
      </c>
      <c r="Y80" s="39">
        <f>IF(B80="","",IF(E80="","Add - no code, nothing to measure",IF(J80="Planned","Upcoming",IF(M80=0,"Check - code never used",IF(T80&lt;0,"Loss - cost more than it made",IF(U80&gt;=1,"OK - doubled its money",IF(U80&gt;0,"OK - made money","Check - review it")))))))</f>
        <v>0</v>
      </c>
    </row>
    <row r="81" spans="1:25">
      <c r="A81" s="28">
        <f>IF(B81="","",CampaignPrefix&amp;TEXT(ROW()-4,"000"))</f>
        <v>0</v>
      </c>
      <c r="L81" s="15">
        <f>IF(F81="","",TEXT(F81,"yyyy-mm"))</f>
        <v>0</v>
      </c>
      <c r="M81" s="25">
        <f>IF(B81="","",IF(E81="",0,COUNTIFS(Sales!$O$5:$O$1204,E81)))</f>
        <v>0</v>
      </c>
      <c r="N81" s="26">
        <f>IF(B81="","",IF(E81="",0,ROUND(SUMIFS(Sales!$Y$5:$Y$1204,Sales!$O$5:$O$1204,E81),2)))</f>
        <v>0</v>
      </c>
      <c r="O81" s="26">
        <f>IF(B81="","",IF(E81="",0,ROUND(SUMIFS(Sales!$X$5:$X$1204,Sales!$O$5:$O$1204,E81),2)))</f>
        <v>0</v>
      </c>
      <c r="P81" s="25">
        <f>IF(B81="","",IF(E81="",0,SUMPRODUCT((Sales!$O$5:$O$1204=E81)*(Sales!$AD$5:$AD$1204="Yes"))))</f>
        <v>0</v>
      </c>
      <c r="Q81" s="25">
        <f>IF(B81="","",IF(F81="",0,COUNTIFS(Clients!$G$5:$G$504,C81,Clients!$X$5:$X$504,"&gt;="&amp;F81,Clients!$X$5:$X$504,"&lt;="&amp;IF(G81="",TodayDate,G81))))</f>
        <v>0</v>
      </c>
      <c r="R81" s="25">
        <f>IF(B81="","",IF(F81="",0,COUNTIFS(Appointments!$N$5:$N$1204,C81,Appointments!$B$5:$B$1204,"&gt;="&amp;F81,Appointments!$B$5:$B$1204,"&lt;="&amp;IF(G81="",TodayDate,G81))))</f>
        <v>0</v>
      </c>
      <c r="S81" s="26">
        <f>IF(B81="","",ROUND(IF(H81="",0,H81)+O81,2))</f>
        <v>0</v>
      </c>
      <c r="T81" s="26">
        <f>IF(B81="","",ROUND(N81-S81,2))</f>
        <v>0</v>
      </c>
      <c r="U81" s="27">
        <f>IF(B81="","",IF(S81&lt;=0,"",T81/S81))</f>
        <v>0</v>
      </c>
      <c r="V81" s="26">
        <f>IF(B81="","",IF(Q81=0,"",ROUND(S81/Q81,2)))</f>
        <v>0</v>
      </c>
      <c r="W81" s="26">
        <f>IF(B81="","",IF(I81="","",ROUND(N81-I81,2)))</f>
        <v>0</v>
      </c>
      <c r="X81" s="25">
        <f>IF(B81="","",COUNTIFS($N$5:$N$104,"&gt;"&amp;N81)+COUNTIFS($N$5:N81,N81))</f>
        <v>0</v>
      </c>
      <c r="Y81" s="39">
        <f>IF(B81="","",IF(E81="","Add - no code, nothing to measure",IF(J81="Planned","Upcoming",IF(M81=0,"Check - code never used",IF(T81&lt;0,"Loss - cost more than it made",IF(U81&gt;=1,"OK - doubled its money",IF(U81&gt;0,"OK - made money","Check - review it")))))))</f>
        <v>0</v>
      </c>
    </row>
    <row r="82" spans="1:25">
      <c r="A82" s="28">
        <f>IF(B82="","",CampaignPrefix&amp;TEXT(ROW()-4,"000"))</f>
        <v>0</v>
      </c>
      <c r="L82" s="15">
        <f>IF(F82="","",TEXT(F82,"yyyy-mm"))</f>
        <v>0</v>
      </c>
      <c r="M82" s="25">
        <f>IF(B82="","",IF(E82="",0,COUNTIFS(Sales!$O$5:$O$1204,E82)))</f>
        <v>0</v>
      </c>
      <c r="N82" s="26">
        <f>IF(B82="","",IF(E82="",0,ROUND(SUMIFS(Sales!$Y$5:$Y$1204,Sales!$O$5:$O$1204,E82),2)))</f>
        <v>0</v>
      </c>
      <c r="O82" s="26">
        <f>IF(B82="","",IF(E82="",0,ROUND(SUMIFS(Sales!$X$5:$X$1204,Sales!$O$5:$O$1204,E82),2)))</f>
        <v>0</v>
      </c>
      <c r="P82" s="25">
        <f>IF(B82="","",IF(E82="",0,SUMPRODUCT((Sales!$O$5:$O$1204=E82)*(Sales!$AD$5:$AD$1204="Yes"))))</f>
        <v>0</v>
      </c>
      <c r="Q82" s="25">
        <f>IF(B82="","",IF(F82="",0,COUNTIFS(Clients!$G$5:$G$504,C82,Clients!$X$5:$X$504,"&gt;="&amp;F82,Clients!$X$5:$X$504,"&lt;="&amp;IF(G82="",TodayDate,G82))))</f>
        <v>0</v>
      </c>
      <c r="R82" s="25">
        <f>IF(B82="","",IF(F82="",0,COUNTIFS(Appointments!$N$5:$N$1204,C82,Appointments!$B$5:$B$1204,"&gt;="&amp;F82,Appointments!$B$5:$B$1204,"&lt;="&amp;IF(G82="",TodayDate,G82))))</f>
        <v>0</v>
      </c>
      <c r="S82" s="26">
        <f>IF(B82="","",ROUND(IF(H82="",0,H82)+O82,2))</f>
        <v>0</v>
      </c>
      <c r="T82" s="26">
        <f>IF(B82="","",ROUND(N82-S82,2))</f>
        <v>0</v>
      </c>
      <c r="U82" s="27">
        <f>IF(B82="","",IF(S82&lt;=0,"",T82/S82))</f>
        <v>0</v>
      </c>
      <c r="V82" s="26">
        <f>IF(B82="","",IF(Q82=0,"",ROUND(S82/Q82,2)))</f>
        <v>0</v>
      </c>
      <c r="W82" s="26">
        <f>IF(B82="","",IF(I82="","",ROUND(N82-I82,2)))</f>
        <v>0</v>
      </c>
      <c r="X82" s="25">
        <f>IF(B82="","",COUNTIFS($N$5:$N$104,"&gt;"&amp;N82)+COUNTIFS($N$5:N82,N82))</f>
        <v>0</v>
      </c>
      <c r="Y82" s="39">
        <f>IF(B82="","",IF(E82="","Add - no code, nothing to measure",IF(J82="Planned","Upcoming",IF(M82=0,"Check - code never used",IF(T82&lt;0,"Loss - cost more than it made",IF(U82&gt;=1,"OK - doubled its money",IF(U82&gt;0,"OK - made money","Check - review it")))))))</f>
        <v>0</v>
      </c>
    </row>
    <row r="83" spans="1:25">
      <c r="A83" s="28">
        <f>IF(B83="","",CampaignPrefix&amp;TEXT(ROW()-4,"000"))</f>
        <v>0</v>
      </c>
      <c r="L83" s="15">
        <f>IF(F83="","",TEXT(F83,"yyyy-mm"))</f>
        <v>0</v>
      </c>
      <c r="M83" s="25">
        <f>IF(B83="","",IF(E83="",0,COUNTIFS(Sales!$O$5:$O$1204,E83)))</f>
        <v>0</v>
      </c>
      <c r="N83" s="26">
        <f>IF(B83="","",IF(E83="",0,ROUND(SUMIFS(Sales!$Y$5:$Y$1204,Sales!$O$5:$O$1204,E83),2)))</f>
        <v>0</v>
      </c>
      <c r="O83" s="26">
        <f>IF(B83="","",IF(E83="",0,ROUND(SUMIFS(Sales!$X$5:$X$1204,Sales!$O$5:$O$1204,E83),2)))</f>
        <v>0</v>
      </c>
      <c r="P83" s="25">
        <f>IF(B83="","",IF(E83="",0,SUMPRODUCT((Sales!$O$5:$O$1204=E83)*(Sales!$AD$5:$AD$1204="Yes"))))</f>
        <v>0</v>
      </c>
      <c r="Q83" s="25">
        <f>IF(B83="","",IF(F83="",0,COUNTIFS(Clients!$G$5:$G$504,C83,Clients!$X$5:$X$504,"&gt;="&amp;F83,Clients!$X$5:$X$504,"&lt;="&amp;IF(G83="",TodayDate,G83))))</f>
        <v>0</v>
      </c>
      <c r="R83" s="25">
        <f>IF(B83="","",IF(F83="",0,COUNTIFS(Appointments!$N$5:$N$1204,C83,Appointments!$B$5:$B$1204,"&gt;="&amp;F83,Appointments!$B$5:$B$1204,"&lt;="&amp;IF(G83="",TodayDate,G83))))</f>
        <v>0</v>
      </c>
      <c r="S83" s="26">
        <f>IF(B83="","",ROUND(IF(H83="",0,H83)+O83,2))</f>
        <v>0</v>
      </c>
      <c r="T83" s="26">
        <f>IF(B83="","",ROUND(N83-S83,2))</f>
        <v>0</v>
      </c>
      <c r="U83" s="27">
        <f>IF(B83="","",IF(S83&lt;=0,"",T83/S83))</f>
        <v>0</v>
      </c>
      <c r="V83" s="26">
        <f>IF(B83="","",IF(Q83=0,"",ROUND(S83/Q83,2)))</f>
        <v>0</v>
      </c>
      <c r="W83" s="26">
        <f>IF(B83="","",IF(I83="","",ROUND(N83-I83,2)))</f>
        <v>0</v>
      </c>
      <c r="X83" s="25">
        <f>IF(B83="","",COUNTIFS($N$5:$N$104,"&gt;"&amp;N83)+COUNTIFS($N$5:N83,N83))</f>
        <v>0</v>
      </c>
      <c r="Y83" s="39">
        <f>IF(B83="","",IF(E83="","Add - no code, nothing to measure",IF(J83="Planned","Upcoming",IF(M83=0,"Check - code never used",IF(T83&lt;0,"Loss - cost more than it made",IF(U83&gt;=1,"OK - doubled its money",IF(U83&gt;0,"OK - made money","Check - review it")))))))</f>
        <v>0</v>
      </c>
    </row>
    <row r="84" spans="1:25">
      <c r="A84" s="28">
        <f>IF(B84="","",CampaignPrefix&amp;TEXT(ROW()-4,"000"))</f>
        <v>0</v>
      </c>
      <c r="L84" s="15">
        <f>IF(F84="","",TEXT(F84,"yyyy-mm"))</f>
        <v>0</v>
      </c>
      <c r="M84" s="25">
        <f>IF(B84="","",IF(E84="",0,COUNTIFS(Sales!$O$5:$O$1204,E84)))</f>
        <v>0</v>
      </c>
      <c r="N84" s="26">
        <f>IF(B84="","",IF(E84="",0,ROUND(SUMIFS(Sales!$Y$5:$Y$1204,Sales!$O$5:$O$1204,E84),2)))</f>
        <v>0</v>
      </c>
      <c r="O84" s="26">
        <f>IF(B84="","",IF(E84="",0,ROUND(SUMIFS(Sales!$X$5:$X$1204,Sales!$O$5:$O$1204,E84),2)))</f>
        <v>0</v>
      </c>
      <c r="P84" s="25">
        <f>IF(B84="","",IF(E84="",0,SUMPRODUCT((Sales!$O$5:$O$1204=E84)*(Sales!$AD$5:$AD$1204="Yes"))))</f>
        <v>0</v>
      </c>
      <c r="Q84" s="25">
        <f>IF(B84="","",IF(F84="",0,COUNTIFS(Clients!$G$5:$G$504,C84,Clients!$X$5:$X$504,"&gt;="&amp;F84,Clients!$X$5:$X$504,"&lt;="&amp;IF(G84="",TodayDate,G84))))</f>
        <v>0</v>
      </c>
      <c r="R84" s="25">
        <f>IF(B84="","",IF(F84="",0,COUNTIFS(Appointments!$N$5:$N$1204,C84,Appointments!$B$5:$B$1204,"&gt;="&amp;F84,Appointments!$B$5:$B$1204,"&lt;="&amp;IF(G84="",TodayDate,G84))))</f>
        <v>0</v>
      </c>
      <c r="S84" s="26">
        <f>IF(B84="","",ROUND(IF(H84="",0,H84)+O84,2))</f>
        <v>0</v>
      </c>
      <c r="T84" s="26">
        <f>IF(B84="","",ROUND(N84-S84,2))</f>
        <v>0</v>
      </c>
      <c r="U84" s="27">
        <f>IF(B84="","",IF(S84&lt;=0,"",T84/S84))</f>
        <v>0</v>
      </c>
      <c r="V84" s="26">
        <f>IF(B84="","",IF(Q84=0,"",ROUND(S84/Q84,2)))</f>
        <v>0</v>
      </c>
      <c r="W84" s="26">
        <f>IF(B84="","",IF(I84="","",ROUND(N84-I84,2)))</f>
        <v>0</v>
      </c>
      <c r="X84" s="25">
        <f>IF(B84="","",COUNTIFS($N$5:$N$104,"&gt;"&amp;N84)+COUNTIFS($N$5:N84,N84))</f>
        <v>0</v>
      </c>
      <c r="Y84" s="39">
        <f>IF(B84="","",IF(E84="","Add - no code, nothing to measure",IF(J84="Planned","Upcoming",IF(M84=0,"Check - code never used",IF(T84&lt;0,"Loss - cost more than it made",IF(U84&gt;=1,"OK - doubled its money",IF(U84&gt;0,"OK - made money","Check - review it")))))))</f>
        <v>0</v>
      </c>
    </row>
    <row r="85" spans="1:25">
      <c r="A85" s="28">
        <f>IF(B85="","",CampaignPrefix&amp;TEXT(ROW()-4,"000"))</f>
        <v>0</v>
      </c>
      <c r="L85" s="15">
        <f>IF(F85="","",TEXT(F85,"yyyy-mm"))</f>
        <v>0</v>
      </c>
      <c r="M85" s="25">
        <f>IF(B85="","",IF(E85="",0,COUNTIFS(Sales!$O$5:$O$1204,E85)))</f>
        <v>0</v>
      </c>
      <c r="N85" s="26">
        <f>IF(B85="","",IF(E85="",0,ROUND(SUMIFS(Sales!$Y$5:$Y$1204,Sales!$O$5:$O$1204,E85),2)))</f>
        <v>0</v>
      </c>
      <c r="O85" s="26">
        <f>IF(B85="","",IF(E85="",0,ROUND(SUMIFS(Sales!$X$5:$X$1204,Sales!$O$5:$O$1204,E85),2)))</f>
        <v>0</v>
      </c>
      <c r="P85" s="25">
        <f>IF(B85="","",IF(E85="",0,SUMPRODUCT((Sales!$O$5:$O$1204=E85)*(Sales!$AD$5:$AD$1204="Yes"))))</f>
        <v>0</v>
      </c>
      <c r="Q85" s="25">
        <f>IF(B85="","",IF(F85="",0,COUNTIFS(Clients!$G$5:$G$504,C85,Clients!$X$5:$X$504,"&gt;="&amp;F85,Clients!$X$5:$X$504,"&lt;="&amp;IF(G85="",TodayDate,G85))))</f>
        <v>0</v>
      </c>
      <c r="R85" s="25">
        <f>IF(B85="","",IF(F85="",0,COUNTIFS(Appointments!$N$5:$N$1204,C85,Appointments!$B$5:$B$1204,"&gt;="&amp;F85,Appointments!$B$5:$B$1204,"&lt;="&amp;IF(G85="",TodayDate,G85))))</f>
        <v>0</v>
      </c>
      <c r="S85" s="26">
        <f>IF(B85="","",ROUND(IF(H85="",0,H85)+O85,2))</f>
        <v>0</v>
      </c>
      <c r="T85" s="26">
        <f>IF(B85="","",ROUND(N85-S85,2))</f>
        <v>0</v>
      </c>
      <c r="U85" s="27">
        <f>IF(B85="","",IF(S85&lt;=0,"",T85/S85))</f>
        <v>0</v>
      </c>
      <c r="V85" s="26">
        <f>IF(B85="","",IF(Q85=0,"",ROUND(S85/Q85,2)))</f>
        <v>0</v>
      </c>
      <c r="W85" s="26">
        <f>IF(B85="","",IF(I85="","",ROUND(N85-I85,2)))</f>
        <v>0</v>
      </c>
      <c r="X85" s="25">
        <f>IF(B85="","",COUNTIFS($N$5:$N$104,"&gt;"&amp;N85)+COUNTIFS($N$5:N85,N85))</f>
        <v>0</v>
      </c>
      <c r="Y85" s="39">
        <f>IF(B85="","",IF(E85="","Add - no code, nothing to measure",IF(J85="Planned","Upcoming",IF(M85=0,"Check - code never used",IF(T85&lt;0,"Loss - cost more than it made",IF(U85&gt;=1,"OK - doubled its money",IF(U85&gt;0,"OK - made money","Check - review it")))))))</f>
        <v>0</v>
      </c>
    </row>
    <row r="86" spans="1:25">
      <c r="A86" s="28">
        <f>IF(B86="","",CampaignPrefix&amp;TEXT(ROW()-4,"000"))</f>
        <v>0</v>
      </c>
      <c r="L86" s="15">
        <f>IF(F86="","",TEXT(F86,"yyyy-mm"))</f>
        <v>0</v>
      </c>
      <c r="M86" s="25">
        <f>IF(B86="","",IF(E86="",0,COUNTIFS(Sales!$O$5:$O$1204,E86)))</f>
        <v>0</v>
      </c>
      <c r="N86" s="26">
        <f>IF(B86="","",IF(E86="",0,ROUND(SUMIFS(Sales!$Y$5:$Y$1204,Sales!$O$5:$O$1204,E86),2)))</f>
        <v>0</v>
      </c>
      <c r="O86" s="26">
        <f>IF(B86="","",IF(E86="",0,ROUND(SUMIFS(Sales!$X$5:$X$1204,Sales!$O$5:$O$1204,E86),2)))</f>
        <v>0</v>
      </c>
      <c r="P86" s="25">
        <f>IF(B86="","",IF(E86="",0,SUMPRODUCT((Sales!$O$5:$O$1204=E86)*(Sales!$AD$5:$AD$1204="Yes"))))</f>
        <v>0</v>
      </c>
      <c r="Q86" s="25">
        <f>IF(B86="","",IF(F86="",0,COUNTIFS(Clients!$G$5:$G$504,C86,Clients!$X$5:$X$504,"&gt;="&amp;F86,Clients!$X$5:$X$504,"&lt;="&amp;IF(G86="",TodayDate,G86))))</f>
        <v>0</v>
      </c>
      <c r="R86" s="25">
        <f>IF(B86="","",IF(F86="",0,COUNTIFS(Appointments!$N$5:$N$1204,C86,Appointments!$B$5:$B$1204,"&gt;="&amp;F86,Appointments!$B$5:$B$1204,"&lt;="&amp;IF(G86="",TodayDate,G86))))</f>
        <v>0</v>
      </c>
      <c r="S86" s="26">
        <f>IF(B86="","",ROUND(IF(H86="",0,H86)+O86,2))</f>
        <v>0</v>
      </c>
      <c r="T86" s="26">
        <f>IF(B86="","",ROUND(N86-S86,2))</f>
        <v>0</v>
      </c>
      <c r="U86" s="27">
        <f>IF(B86="","",IF(S86&lt;=0,"",T86/S86))</f>
        <v>0</v>
      </c>
      <c r="V86" s="26">
        <f>IF(B86="","",IF(Q86=0,"",ROUND(S86/Q86,2)))</f>
        <v>0</v>
      </c>
      <c r="W86" s="26">
        <f>IF(B86="","",IF(I86="","",ROUND(N86-I86,2)))</f>
        <v>0</v>
      </c>
      <c r="X86" s="25">
        <f>IF(B86="","",COUNTIFS($N$5:$N$104,"&gt;"&amp;N86)+COUNTIFS($N$5:N86,N86))</f>
        <v>0</v>
      </c>
      <c r="Y86" s="39">
        <f>IF(B86="","",IF(E86="","Add - no code, nothing to measure",IF(J86="Planned","Upcoming",IF(M86=0,"Check - code never used",IF(T86&lt;0,"Loss - cost more than it made",IF(U86&gt;=1,"OK - doubled its money",IF(U86&gt;0,"OK - made money","Check - review it")))))))</f>
        <v>0</v>
      </c>
    </row>
    <row r="87" spans="1:25">
      <c r="A87" s="28">
        <f>IF(B87="","",CampaignPrefix&amp;TEXT(ROW()-4,"000"))</f>
        <v>0</v>
      </c>
      <c r="L87" s="15">
        <f>IF(F87="","",TEXT(F87,"yyyy-mm"))</f>
        <v>0</v>
      </c>
      <c r="M87" s="25">
        <f>IF(B87="","",IF(E87="",0,COUNTIFS(Sales!$O$5:$O$1204,E87)))</f>
        <v>0</v>
      </c>
      <c r="N87" s="26">
        <f>IF(B87="","",IF(E87="",0,ROUND(SUMIFS(Sales!$Y$5:$Y$1204,Sales!$O$5:$O$1204,E87),2)))</f>
        <v>0</v>
      </c>
      <c r="O87" s="26">
        <f>IF(B87="","",IF(E87="",0,ROUND(SUMIFS(Sales!$X$5:$X$1204,Sales!$O$5:$O$1204,E87),2)))</f>
        <v>0</v>
      </c>
      <c r="P87" s="25">
        <f>IF(B87="","",IF(E87="",0,SUMPRODUCT((Sales!$O$5:$O$1204=E87)*(Sales!$AD$5:$AD$1204="Yes"))))</f>
        <v>0</v>
      </c>
      <c r="Q87" s="25">
        <f>IF(B87="","",IF(F87="",0,COUNTIFS(Clients!$G$5:$G$504,C87,Clients!$X$5:$X$504,"&gt;="&amp;F87,Clients!$X$5:$X$504,"&lt;="&amp;IF(G87="",TodayDate,G87))))</f>
        <v>0</v>
      </c>
      <c r="R87" s="25">
        <f>IF(B87="","",IF(F87="",0,COUNTIFS(Appointments!$N$5:$N$1204,C87,Appointments!$B$5:$B$1204,"&gt;="&amp;F87,Appointments!$B$5:$B$1204,"&lt;="&amp;IF(G87="",TodayDate,G87))))</f>
        <v>0</v>
      </c>
      <c r="S87" s="26">
        <f>IF(B87="","",ROUND(IF(H87="",0,H87)+O87,2))</f>
        <v>0</v>
      </c>
      <c r="T87" s="26">
        <f>IF(B87="","",ROUND(N87-S87,2))</f>
        <v>0</v>
      </c>
      <c r="U87" s="27">
        <f>IF(B87="","",IF(S87&lt;=0,"",T87/S87))</f>
        <v>0</v>
      </c>
      <c r="V87" s="26">
        <f>IF(B87="","",IF(Q87=0,"",ROUND(S87/Q87,2)))</f>
        <v>0</v>
      </c>
      <c r="W87" s="26">
        <f>IF(B87="","",IF(I87="","",ROUND(N87-I87,2)))</f>
        <v>0</v>
      </c>
      <c r="X87" s="25">
        <f>IF(B87="","",COUNTIFS($N$5:$N$104,"&gt;"&amp;N87)+COUNTIFS($N$5:N87,N87))</f>
        <v>0</v>
      </c>
      <c r="Y87" s="39">
        <f>IF(B87="","",IF(E87="","Add - no code, nothing to measure",IF(J87="Planned","Upcoming",IF(M87=0,"Check - code never used",IF(T87&lt;0,"Loss - cost more than it made",IF(U87&gt;=1,"OK - doubled its money",IF(U87&gt;0,"OK - made money","Check - review it")))))))</f>
        <v>0</v>
      </c>
    </row>
    <row r="88" spans="1:25">
      <c r="A88" s="28">
        <f>IF(B88="","",CampaignPrefix&amp;TEXT(ROW()-4,"000"))</f>
        <v>0</v>
      </c>
      <c r="L88" s="15">
        <f>IF(F88="","",TEXT(F88,"yyyy-mm"))</f>
        <v>0</v>
      </c>
      <c r="M88" s="25">
        <f>IF(B88="","",IF(E88="",0,COUNTIFS(Sales!$O$5:$O$1204,E88)))</f>
        <v>0</v>
      </c>
      <c r="N88" s="26">
        <f>IF(B88="","",IF(E88="",0,ROUND(SUMIFS(Sales!$Y$5:$Y$1204,Sales!$O$5:$O$1204,E88),2)))</f>
        <v>0</v>
      </c>
      <c r="O88" s="26">
        <f>IF(B88="","",IF(E88="",0,ROUND(SUMIFS(Sales!$X$5:$X$1204,Sales!$O$5:$O$1204,E88),2)))</f>
        <v>0</v>
      </c>
      <c r="P88" s="25">
        <f>IF(B88="","",IF(E88="",0,SUMPRODUCT((Sales!$O$5:$O$1204=E88)*(Sales!$AD$5:$AD$1204="Yes"))))</f>
        <v>0</v>
      </c>
      <c r="Q88" s="25">
        <f>IF(B88="","",IF(F88="",0,COUNTIFS(Clients!$G$5:$G$504,C88,Clients!$X$5:$X$504,"&gt;="&amp;F88,Clients!$X$5:$X$504,"&lt;="&amp;IF(G88="",TodayDate,G88))))</f>
        <v>0</v>
      </c>
      <c r="R88" s="25">
        <f>IF(B88="","",IF(F88="",0,COUNTIFS(Appointments!$N$5:$N$1204,C88,Appointments!$B$5:$B$1204,"&gt;="&amp;F88,Appointments!$B$5:$B$1204,"&lt;="&amp;IF(G88="",TodayDate,G88))))</f>
        <v>0</v>
      </c>
      <c r="S88" s="26">
        <f>IF(B88="","",ROUND(IF(H88="",0,H88)+O88,2))</f>
        <v>0</v>
      </c>
      <c r="T88" s="26">
        <f>IF(B88="","",ROUND(N88-S88,2))</f>
        <v>0</v>
      </c>
      <c r="U88" s="27">
        <f>IF(B88="","",IF(S88&lt;=0,"",T88/S88))</f>
        <v>0</v>
      </c>
      <c r="V88" s="26">
        <f>IF(B88="","",IF(Q88=0,"",ROUND(S88/Q88,2)))</f>
        <v>0</v>
      </c>
      <c r="W88" s="26">
        <f>IF(B88="","",IF(I88="","",ROUND(N88-I88,2)))</f>
        <v>0</v>
      </c>
      <c r="X88" s="25">
        <f>IF(B88="","",COUNTIFS($N$5:$N$104,"&gt;"&amp;N88)+COUNTIFS($N$5:N88,N88))</f>
        <v>0</v>
      </c>
      <c r="Y88" s="39">
        <f>IF(B88="","",IF(E88="","Add - no code, nothing to measure",IF(J88="Planned","Upcoming",IF(M88=0,"Check - code never used",IF(T88&lt;0,"Loss - cost more than it made",IF(U88&gt;=1,"OK - doubled its money",IF(U88&gt;0,"OK - made money","Check - review it")))))))</f>
        <v>0</v>
      </c>
    </row>
    <row r="89" spans="1:25">
      <c r="A89" s="28">
        <f>IF(B89="","",CampaignPrefix&amp;TEXT(ROW()-4,"000"))</f>
        <v>0</v>
      </c>
      <c r="L89" s="15">
        <f>IF(F89="","",TEXT(F89,"yyyy-mm"))</f>
        <v>0</v>
      </c>
      <c r="M89" s="25">
        <f>IF(B89="","",IF(E89="",0,COUNTIFS(Sales!$O$5:$O$1204,E89)))</f>
        <v>0</v>
      </c>
      <c r="N89" s="26">
        <f>IF(B89="","",IF(E89="",0,ROUND(SUMIFS(Sales!$Y$5:$Y$1204,Sales!$O$5:$O$1204,E89),2)))</f>
        <v>0</v>
      </c>
      <c r="O89" s="26">
        <f>IF(B89="","",IF(E89="",0,ROUND(SUMIFS(Sales!$X$5:$X$1204,Sales!$O$5:$O$1204,E89),2)))</f>
        <v>0</v>
      </c>
      <c r="P89" s="25">
        <f>IF(B89="","",IF(E89="",0,SUMPRODUCT((Sales!$O$5:$O$1204=E89)*(Sales!$AD$5:$AD$1204="Yes"))))</f>
        <v>0</v>
      </c>
      <c r="Q89" s="25">
        <f>IF(B89="","",IF(F89="",0,COUNTIFS(Clients!$G$5:$G$504,C89,Clients!$X$5:$X$504,"&gt;="&amp;F89,Clients!$X$5:$X$504,"&lt;="&amp;IF(G89="",TodayDate,G89))))</f>
        <v>0</v>
      </c>
      <c r="R89" s="25">
        <f>IF(B89="","",IF(F89="",0,COUNTIFS(Appointments!$N$5:$N$1204,C89,Appointments!$B$5:$B$1204,"&gt;="&amp;F89,Appointments!$B$5:$B$1204,"&lt;="&amp;IF(G89="",TodayDate,G89))))</f>
        <v>0</v>
      </c>
      <c r="S89" s="26">
        <f>IF(B89="","",ROUND(IF(H89="",0,H89)+O89,2))</f>
        <v>0</v>
      </c>
      <c r="T89" s="26">
        <f>IF(B89="","",ROUND(N89-S89,2))</f>
        <v>0</v>
      </c>
      <c r="U89" s="27">
        <f>IF(B89="","",IF(S89&lt;=0,"",T89/S89))</f>
        <v>0</v>
      </c>
      <c r="V89" s="26">
        <f>IF(B89="","",IF(Q89=0,"",ROUND(S89/Q89,2)))</f>
        <v>0</v>
      </c>
      <c r="W89" s="26">
        <f>IF(B89="","",IF(I89="","",ROUND(N89-I89,2)))</f>
        <v>0</v>
      </c>
      <c r="X89" s="25">
        <f>IF(B89="","",COUNTIFS($N$5:$N$104,"&gt;"&amp;N89)+COUNTIFS($N$5:N89,N89))</f>
        <v>0</v>
      </c>
      <c r="Y89" s="39">
        <f>IF(B89="","",IF(E89="","Add - no code, nothing to measure",IF(J89="Planned","Upcoming",IF(M89=0,"Check - code never used",IF(T89&lt;0,"Loss - cost more than it made",IF(U89&gt;=1,"OK - doubled its money",IF(U89&gt;0,"OK - made money","Check - review it")))))))</f>
        <v>0</v>
      </c>
    </row>
    <row r="90" spans="1:25">
      <c r="A90" s="28">
        <f>IF(B90="","",CampaignPrefix&amp;TEXT(ROW()-4,"000"))</f>
        <v>0</v>
      </c>
      <c r="L90" s="15">
        <f>IF(F90="","",TEXT(F90,"yyyy-mm"))</f>
        <v>0</v>
      </c>
      <c r="M90" s="25">
        <f>IF(B90="","",IF(E90="",0,COUNTIFS(Sales!$O$5:$O$1204,E90)))</f>
        <v>0</v>
      </c>
      <c r="N90" s="26">
        <f>IF(B90="","",IF(E90="",0,ROUND(SUMIFS(Sales!$Y$5:$Y$1204,Sales!$O$5:$O$1204,E90),2)))</f>
        <v>0</v>
      </c>
      <c r="O90" s="26">
        <f>IF(B90="","",IF(E90="",0,ROUND(SUMIFS(Sales!$X$5:$X$1204,Sales!$O$5:$O$1204,E90),2)))</f>
        <v>0</v>
      </c>
      <c r="P90" s="25">
        <f>IF(B90="","",IF(E90="",0,SUMPRODUCT((Sales!$O$5:$O$1204=E90)*(Sales!$AD$5:$AD$1204="Yes"))))</f>
        <v>0</v>
      </c>
      <c r="Q90" s="25">
        <f>IF(B90="","",IF(F90="",0,COUNTIFS(Clients!$G$5:$G$504,C90,Clients!$X$5:$X$504,"&gt;="&amp;F90,Clients!$X$5:$X$504,"&lt;="&amp;IF(G90="",TodayDate,G90))))</f>
        <v>0</v>
      </c>
      <c r="R90" s="25">
        <f>IF(B90="","",IF(F90="",0,COUNTIFS(Appointments!$N$5:$N$1204,C90,Appointments!$B$5:$B$1204,"&gt;="&amp;F90,Appointments!$B$5:$B$1204,"&lt;="&amp;IF(G90="",TodayDate,G90))))</f>
        <v>0</v>
      </c>
      <c r="S90" s="26">
        <f>IF(B90="","",ROUND(IF(H90="",0,H90)+O90,2))</f>
        <v>0</v>
      </c>
      <c r="T90" s="26">
        <f>IF(B90="","",ROUND(N90-S90,2))</f>
        <v>0</v>
      </c>
      <c r="U90" s="27">
        <f>IF(B90="","",IF(S90&lt;=0,"",T90/S90))</f>
        <v>0</v>
      </c>
      <c r="V90" s="26">
        <f>IF(B90="","",IF(Q90=0,"",ROUND(S90/Q90,2)))</f>
        <v>0</v>
      </c>
      <c r="W90" s="26">
        <f>IF(B90="","",IF(I90="","",ROUND(N90-I90,2)))</f>
        <v>0</v>
      </c>
      <c r="X90" s="25">
        <f>IF(B90="","",COUNTIFS($N$5:$N$104,"&gt;"&amp;N90)+COUNTIFS($N$5:N90,N90))</f>
        <v>0</v>
      </c>
      <c r="Y90" s="39">
        <f>IF(B90="","",IF(E90="","Add - no code, nothing to measure",IF(J90="Planned","Upcoming",IF(M90=0,"Check - code never used",IF(T90&lt;0,"Loss - cost more than it made",IF(U90&gt;=1,"OK - doubled its money",IF(U90&gt;0,"OK - made money","Check - review it")))))))</f>
        <v>0</v>
      </c>
    </row>
    <row r="91" spans="1:25">
      <c r="A91" s="28">
        <f>IF(B91="","",CampaignPrefix&amp;TEXT(ROW()-4,"000"))</f>
        <v>0</v>
      </c>
      <c r="L91" s="15">
        <f>IF(F91="","",TEXT(F91,"yyyy-mm"))</f>
        <v>0</v>
      </c>
      <c r="M91" s="25">
        <f>IF(B91="","",IF(E91="",0,COUNTIFS(Sales!$O$5:$O$1204,E91)))</f>
        <v>0</v>
      </c>
      <c r="N91" s="26">
        <f>IF(B91="","",IF(E91="",0,ROUND(SUMIFS(Sales!$Y$5:$Y$1204,Sales!$O$5:$O$1204,E91),2)))</f>
        <v>0</v>
      </c>
      <c r="O91" s="26">
        <f>IF(B91="","",IF(E91="",0,ROUND(SUMIFS(Sales!$X$5:$X$1204,Sales!$O$5:$O$1204,E91),2)))</f>
        <v>0</v>
      </c>
      <c r="P91" s="25">
        <f>IF(B91="","",IF(E91="",0,SUMPRODUCT((Sales!$O$5:$O$1204=E91)*(Sales!$AD$5:$AD$1204="Yes"))))</f>
        <v>0</v>
      </c>
      <c r="Q91" s="25">
        <f>IF(B91="","",IF(F91="",0,COUNTIFS(Clients!$G$5:$G$504,C91,Clients!$X$5:$X$504,"&gt;="&amp;F91,Clients!$X$5:$X$504,"&lt;="&amp;IF(G91="",TodayDate,G91))))</f>
        <v>0</v>
      </c>
      <c r="R91" s="25">
        <f>IF(B91="","",IF(F91="",0,COUNTIFS(Appointments!$N$5:$N$1204,C91,Appointments!$B$5:$B$1204,"&gt;="&amp;F91,Appointments!$B$5:$B$1204,"&lt;="&amp;IF(G91="",TodayDate,G91))))</f>
        <v>0</v>
      </c>
      <c r="S91" s="26">
        <f>IF(B91="","",ROUND(IF(H91="",0,H91)+O91,2))</f>
        <v>0</v>
      </c>
      <c r="T91" s="26">
        <f>IF(B91="","",ROUND(N91-S91,2))</f>
        <v>0</v>
      </c>
      <c r="U91" s="27">
        <f>IF(B91="","",IF(S91&lt;=0,"",T91/S91))</f>
        <v>0</v>
      </c>
      <c r="V91" s="26">
        <f>IF(B91="","",IF(Q91=0,"",ROUND(S91/Q91,2)))</f>
        <v>0</v>
      </c>
      <c r="W91" s="26">
        <f>IF(B91="","",IF(I91="","",ROUND(N91-I91,2)))</f>
        <v>0</v>
      </c>
      <c r="X91" s="25">
        <f>IF(B91="","",COUNTIFS($N$5:$N$104,"&gt;"&amp;N91)+COUNTIFS($N$5:N91,N91))</f>
        <v>0</v>
      </c>
      <c r="Y91" s="39">
        <f>IF(B91="","",IF(E91="","Add - no code, nothing to measure",IF(J91="Planned","Upcoming",IF(M91=0,"Check - code never used",IF(T91&lt;0,"Loss - cost more than it made",IF(U91&gt;=1,"OK - doubled its money",IF(U91&gt;0,"OK - made money","Check - review it")))))))</f>
        <v>0</v>
      </c>
    </row>
    <row r="92" spans="1:25">
      <c r="A92" s="28">
        <f>IF(B92="","",CampaignPrefix&amp;TEXT(ROW()-4,"000"))</f>
        <v>0</v>
      </c>
      <c r="L92" s="15">
        <f>IF(F92="","",TEXT(F92,"yyyy-mm"))</f>
        <v>0</v>
      </c>
      <c r="M92" s="25">
        <f>IF(B92="","",IF(E92="",0,COUNTIFS(Sales!$O$5:$O$1204,E92)))</f>
        <v>0</v>
      </c>
      <c r="N92" s="26">
        <f>IF(B92="","",IF(E92="",0,ROUND(SUMIFS(Sales!$Y$5:$Y$1204,Sales!$O$5:$O$1204,E92),2)))</f>
        <v>0</v>
      </c>
      <c r="O92" s="26">
        <f>IF(B92="","",IF(E92="",0,ROUND(SUMIFS(Sales!$X$5:$X$1204,Sales!$O$5:$O$1204,E92),2)))</f>
        <v>0</v>
      </c>
      <c r="P92" s="25">
        <f>IF(B92="","",IF(E92="",0,SUMPRODUCT((Sales!$O$5:$O$1204=E92)*(Sales!$AD$5:$AD$1204="Yes"))))</f>
        <v>0</v>
      </c>
      <c r="Q92" s="25">
        <f>IF(B92="","",IF(F92="",0,COUNTIFS(Clients!$G$5:$G$504,C92,Clients!$X$5:$X$504,"&gt;="&amp;F92,Clients!$X$5:$X$504,"&lt;="&amp;IF(G92="",TodayDate,G92))))</f>
        <v>0</v>
      </c>
      <c r="R92" s="25">
        <f>IF(B92="","",IF(F92="",0,COUNTIFS(Appointments!$N$5:$N$1204,C92,Appointments!$B$5:$B$1204,"&gt;="&amp;F92,Appointments!$B$5:$B$1204,"&lt;="&amp;IF(G92="",TodayDate,G92))))</f>
        <v>0</v>
      </c>
      <c r="S92" s="26">
        <f>IF(B92="","",ROUND(IF(H92="",0,H92)+O92,2))</f>
        <v>0</v>
      </c>
      <c r="T92" s="26">
        <f>IF(B92="","",ROUND(N92-S92,2))</f>
        <v>0</v>
      </c>
      <c r="U92" s="27">
        <f>IF(B92="","",IF(S92&lt;=0,"",T92/S92))</f>
        <v>0</v>
      </c>
      <c r="V92" s="26">
        <f>IF(B92="","",IF(Q92=0,"",ROUND(S92/Q92,2)))</f>
        <v>0</v>
      </c>
      <c r="W92" s="26">
        <f>IF(B92="","",IF(I92="","",ROUND(N92-I92,2)))</f>
        <v>0</v>
      </c>
      <c r="X92" s="25">
        <f>IF(B92="","",COUNTIFS($N$5:$N$104,"&gt;"&amp;N92)+COUNTIFS($N$5:N92,N92))</f>
        <v>0</v>
      </c>
      <c r="Y92" s="39">
        <f>IF(B92="","",IF(E92="","Add - no code, nothing to measure",IF(J92="Planned","Upcoming",IF(M92=0,"Check - code never used",IF(T92&lt;0,"Loss - cost more than it made",IF(U92&gt;=1,"OK - doubled its money",IF(U92&gt;0,"OK - made money","Check - review it")))))))</f>
        <v>0</v>
      </c>
    </row>
    <row r="93" spans="1:25">
      <c r="A93" s="28">
        <f>IF(B93="","",CampaignPrefix&amp;TEXT(ROW()-4,"000"))</f>
        <v>0</v>
      </c>
      <c r="L93" s="15">
        <f>IF(F93="","",TEXT(F93,"yyyy-mm"))</f>
        <v>0</v>
      </c>
      <c r="M93" s="25">
        <f>IF(B93="","",IF(E93="",0,COUNTIFS(Sales!$O$5:$O$1204,E93)))</f>
        <v>0</v>
      </c>
      <c r="N93" s="26">
        <f>IF(B93="","",IF(E93="",0,ROUND(SUMIFS(Sales!$Y$5:$Y$1204,Sales!$O$5:$O$1204,E93),2)))</f>
        <v>0</v>
      </c>
      <c r="O93" s="26">
        <f>IF(B93="","",IF(E93="",0,ROUND(SUMIFS(Sales!$X$5:$X$1204,Sales!$O$5:$O$1204,E93),2)))</f>
        <v>0</v>
      </c>
      <c r="P93" s="25">
        <f>IF(B93="","",IF(E93="",0,SUMPRODUCT((Sales!$O$5:$O$1204=E93)*(Sales!$AD$5:$AD$1204="Yes"))))</f>
        <v>0</v>
      </c>
      <c r="Q93" s="25">
        <f>IF(B93="","",IF(F93="",0,COUNTIFS(Clients!$G$5:$G$504,C93,Clients!$X$5:$X$504,"&gt;="&amp;F93,Clients!$X$5:$X$504,"&lt;="&amp;IF(G93="",TodayDate,G93))))</f>
        <v>0</v>
      </c>
      <c r="R93" s="25">
        <f>IF(B93="","",IF(F93="",0,COUNTIFS(Appointments!$N$5:$N$1204,C93,Appointments!$B$5:$B$1204,"&gt;="&amp;F93,Appointments!$B$5:$B$1204,"&lt;="&amp;IF(G93="",TodayDate,G93))))</f>
        <v>0</v>
      </c>
      <c r="S93" s="26">
        <f>IF(B93="","",ROUND(IF(H93="",0,H93)+O93,2))</f>
        <v>0</v>
      </c>
      <c r="T93" s="26">
        <f>IF(B93="","",ROUND(N93-S93,2))</f>
        <v>0</v>
      </c>
      <c r="U93" s="27">
        <f>IF(B93="","",IF(S93&lt;=0,"",T93/S93))</f>
        <v>0</v>
      </c>
      <c r="V93" s="26">
        <f>IF(B93="","",IF(Q93=0,"",ROUND(S93/Q93,2)))</f>
        <v>0</v>
      </c>
      <c r="W93" s="26">
        <f>IF(B93="","",IF(I93="","",ROUND(N93-I93,2)))</f>
        <v>0</v>
      </c>
      <c r="X93" s="25">
        <f>IF(B93="","",COUNTIFS($N$5:$N$104,"&gt;"&amp;N93)+COUNTIFS($N$5:N93,N93))</f>
        <v>0</v>
      </c>
      <c r="Y93" s="39">
        <f>IF(B93="","",IF(E93="","Add - no code, nothing to measure",IF(J93="Planned","Upcoming",IF(M93=0,"Check - code never used",IF(T93&lt;0,"Loss - cost more than it made",IF(U93&gt;=1,"OK - doubled its money",IF(U93&gt;0,"OK - made money","Check - review it")))))))</f>
        <v>0</v>
      </c>
    </row>
    <row r="94" spans="1:25">
      <c r="A94" s="28">
        <f>IF(B94="","",CampaignPrefix&amp;TEXT(ROW()-4,"000"))</f>
        <v>0</v>
      </c>
      <c r="L94" s="15">
        <f>IF(F94="","",TEXT(F94,"yyyy-mm"))</f>
        <v>0</v>
      </c>
      <c r="M94" s="25">
        <f>IF(B94="","",IF(E94="",0,COUNTIFS(Sales!$O$5:$O$1204,E94)))</f>
        <v>0</v>
      </c>
      <c r="N94" s="26">
        <f>IF(B94="","",IF(E94="",0,ROUND(SUMIFS(Sales!$Y$5:$Y$1204,Sales!$O$5:$O$1204,E94),2)))</f>
        <v>0</v>
      </c>
      <c r="O94" s="26">
        <f>IF(B94="","",IF(E94="",0,ROUND(SUMIFS(Sales!$X$5:$X$1204,Sales!$O$5:$O$1204,E94),2)))</f>
        <v>0</v>
      </c>
      <c r="P94" s="25">
        <f>IF(B94="","",IF(E94="",0,SUMPRODUCT((Sales!$O$5:$O$1204=E94)*(Sales!$AD$5:$AD$1204="Yes"))))</f>
        <v>0</v>
      </c>
      <c r="Q94" s="25">
        <f>IF(B94="","",IF(F94="",0,COUNTIFS(Clients!$G$5:$G$504,C94,Clients!$X$5:$X$504,"&gt;="&amp;F94,Clients!$X$5:$X$504,"&lt;="&amp;IF(G94="",TodayDate,G94))))</f>
        <v>0</v>
      </c>
      <c r="R94" s="25">
        <f>IF(B94="","",IF(F94="",0,COUNTIFS(Appointments!$N$5:$N$1204,C94,Appointments!$B$5:$B$1204,"&gt;="&amp;F94,Appointments!$B$5:$B$1204,"&lt;="&amp;IF(G94="",TodayDate,G94))))</f>
        <v>0</v>
      </c>
      <c r="S94" s="26">
        <f>IF(B94="","",ROUND(IF(H94="",0,H94)+O94,2))</f>
        <v>0</v>
      </c>
      <c r="T94" s="26">
        <f>IF(B94="","",ROUND(N94-S94,2))</f>
        <v>0</v>
      </c>
      <c r="U94" s="27">
        <f>IF(B94="","",IF(S94&lt;=0,"",T94/S94))</f>
        <v>0</v>
      </c>
      <c r="V94" s="26">
        <f>IF(B94="","",IF(Q94=0,"",ROUND(S94/Q94,2)))</f>
        <v>0</v>
      </c>
      <c r="W94" s="26">
        <f>IF(B94="","",IF(I94="","",ROUND(N94-I94,2)))</f>
        <v>0</v>
      </c>
      <c r="X94" s="25">
        <f>IF(B94="","",COUNTIFS($N$5:$N$104,"&gt;"&amp;N94)+COUNTIFS($N$5:N94,N94))</f>
        <v>0</v>
      </c>
      <c r="Y94" s="39">
        <f>IF(B94="","",IF(E94="","Add - no code, nothing to measure",IF(J94="Planned","Upcoming",IF(M94=0,"Check - code never used",IF(T94&lt;0,"Loss - cost more than it made",IF(U94&gt;=1,"OK - doubled its money",IF(U94&gt;0,"OK - made money","Check - review it")))))))</f>
        <v>0</v>
      </c>
    </row>
    <row r="95" spans="1:25">
      <c r="A95" s="28">
        <f>IF(B95="","",CampaignPrefix&amp;TEXT(ROW()-4,"000"))</f>
        <v>0</v>
      </c>
      <c r="L95" s="15">
        <f>IF(F95="","",TEXT(F95,"yyyy-mm"))</f>
        <v>0</v>
      </c>
      <c r="M95" s="25">
        <f>IF(B95="","",IF(E95="",0,COUNTIFS(Sales!$O$5:$O$1204,E95)))</f>
        <v>0</v>
      </c>
      <c r="N95" s="26">
        <f>IF(B95="","",IF(E95="",0,ROUND(SUMIFS(Sales!$Y$5:$Y$1204,Sales!$O$5:$O$1204,E95),2)))</f>
        <v>0</v>
      </c>
      <c r="O95" s="26">
        <f>IF(B95="","",IF(E95="",0,ROUND(SUMIFS(Sales!$X$5:$X$1204,Sales!$O$5:$O$1204,E95),2)))</f>
        <v>0</v>
      </c>
      <c r="P95" s="25">
        <f>IF(B95="","",IF(E95="",0,SUMPRODUCT((Sales!$O$5:$O$1204=E95)*(Sales!$AD$5:$AD$1204="Yes"))))</f>
        <v>0</v>
      </c>
      <c r="Q95" s="25">
        <f>IF(B95="","",IF(F95="",0,COUNTIFS(Clients!$G$5:$G$504,C95,Clients!$X$5:$X$504,"&gt;="&amp;F95,Clients!$X$5:$X$504,"&lt;="&amp;IF(G95="",TodayDate,G95))))</f>
        <v>0</v>
      </c>
      <c r="R95" s="25">
        <f>IF(B95="","",IF(F95="",0,COUNTIFS(Appointments!$N$5:$N$1204,C95,Appointments!$B$5:$B$1204,"&gt;="&amp;F95,Appointments!$B$5:$B$1204,"&lt;="&amp;IF(G95="",TodayDate,G95))))</f>
        <v>0</v>
      </c>
      <c r="S95" s="26">
        <f>IF(B95="","",ROUND(IF(H95="",0,H95)+O95,2))</f>
        <v>0</v>
      </c>
      <c r="T95" s="26">
        <f>IF(B95="","",ROUND(N95-S95,2))</f>
        <v>0</v>
      </c>
      <c r="U95" s="27">
        <f>IF(B95="","",IF(S95&lt;=0,"",T95/S95))</f>
        <v>0</v>
      </c>
      <c r="V95" s="26">
        <f>IF(B95="","",IF(Q95=0,"",ROUND(S95/Q95,2)))</f>
        <v>0</v>
      </c>
      <c r="W95" s="26">
        <f>IF(B95="","",IF(I95="","",ROUND(N95-I95,2)))</f>
        <v>0</v>
      </c>
      <c r="X95" s="25">
        <f>IF(B95="","",COUNTIFS($N$5:$N$104,"&gt;"&amp;N95)+COUNTIFS($N$5:N95,N95))</f>
        <v>0</v>
      </c>
      <c r="Y95" s="39">
        <f>IF(B95="","",IF(E95="","Add - no code, nothing to measure",IF(J95="Planned","Upcoming",IF(M95=0,"Check - code never used",IF(T95&lt;0,"Loss - cost more than it made",IF(U95&gt;=1,"OK - doubled its money",IF(U95&gt;0,"OK - made money","Check - review it")))))))</f>
        <v>0</v>
      </c>
    </row>
    <row r="96" spans="1:25">
      <c r="A96" s="28">
        <f>IF(B96="","",CampaignPrefix&amp;TEXT(ROW()-4,"000"))</f>
        <v>0</v>
      </c>
      <c r="L96" s="15">
        <f>IF(F96="","",TEXT(F96,"yyyy-mm"))</f>
        <v>0</v>
      </c>
      <c r="M96" s="25">
        <f>IF(B96="","",IF(E96="",0,COUNTIFS(Sales!$O$5:$O$1204,E96)))</f>
        <v>0</v>
      </c>
      <c r="N96" s="26">
        <f>IF(B96="","",IF(E96="",0,ROUND(SUMIFS(Sales!$Y$5:$Y$1204,Sales!$O$5:$O$1204,E96),2)))</f>
        <v>0</v>
      </c>
      <c r="O96" s="26">
        <f>IF(B96="","",IF(E96="",0,ROUND(SUMIFS(Sales!$X$5:$X$1204,Sales!$O$5:$O$1204,E96),2)))</f>
        <v>0</v>
      </c>
      <c r="P96" s="25">
        <f>IF(B96="","",IF(E96="",0,SUMPRODUCT((Sales!$O$5:$O$1204=E96)*(Sales!$AD$5:$AD$1204="Yes"))))</f>
        <v>0</v>
      </c>
      <c r="Q96" s="25">
        <f>IF(B96="","",IF(F96="",0,COUNTIFS(Clients!$G$5:$G$504,C96,Clients!$X$5:$X$504,"&gt;="&amp;F96,Clients!$X$5:$X$504,"&lt;="&amp;IF(G96="",TodayDate,G96))))</f>
        <v>0</v>
      </c>
      <c r="R96" s="25">
        <f>IF(B96="","",IF(F96="",0,COUNTIFS(Appointments!$N$5:$N$1204,C96,Appointments!$B$5:$B$1204,"&gt;="&amp;F96,Appointments!$B$5:$B$1204,"&lt;="&amp;IF(G96="",TodayDate,G96))))</f>
        <v>0</v>
      </c>
      <c r="S96" s="26">
        <f>IF(B96="","",ROUND(IF(H96="",0,H96)+O96,2))</f>
        <v>0</v>
      </c>
      <c r="T96" s="26">
        <f>IF(B96="","",ROUND(N96-S96,2))</f>
        <v>0</v>
      </c>
      <c r="U96" s="27">
        <f>IF(B96="","",IF(S96&lt;=0,"",T96/S96))</f>
        <v>0</v>
      </c>
      <c r="V96" s="26">
        <f>IF(B96="","",IF(Q96=0,"",ROUND(S96/Q96,2)))</f>
        <v>0</v>
      </c>
      <c r="W96" s="26">
        <f>IF(B96="","",IF(I96="","",ROUND(N96-I96,2)))</f>
        <v>0</v>
      </c>
      <c r="X96" s="25">
        <f>IF(B96="","",COUNTIFS($N$5:$N$104,"&gt;"&amp;N96)+COUNTIFS($N$5:N96,N96))</f>
        <v>0</v>
      </c>
      <c r="Y96" s="39">
        <f>IF(B96="","",IF(E96="","Add - no code, nothing to measure",IF(J96="Planned","Upcoming",IF(M96=0,"Check - code never used",IF(T96&lt;0,"Loss - cost more than it made",IF(U96&gt;=1,"OK - doubled its money",IF(U96&gt;0,"OK - made money","Check - review it")))))))</f>
        <v>0</v>
      </c>
    </row>
    <row r="97" spans="1:25">
      <c r="A97" s="28">
        <f>IF(B97="","",CampaignPrefix&amp;TEXT(ROW()-4,"000"))</f>
        <v>0</v>
      </c>
      <c r="L97" s="15">
        <f>IF(F97="","",TEXT(F97,"yyyy-mm"))</f>
        <v>0</v>
      </c>
      <c r="M97" s="25">
        <f>IF(B97="","",IF(E97="",0,COUNTIFS(Sales!$O$5:$O$1204,E97)))</f>
        <v>0</v>
      </c>
      <c r="N97" s="26">
        <f>IF(B97="","",IF(E97="",0,ROUND(SUMIFS(Sales!$Y$5:$Y$1204,Sales!$O$5:$O$1204,E97),2)))</f>
        <v>0</v>
      </c>
      <c r="O97" s="26">
        <f>IF(B97="","",IF(E97="",0,ROUND(SUMIFS(Sales!$X$5:$X$1204,Sales!$O$5:$O$1204,E97),2)))</f>
        <v>0</v>
      </c>
      <c r="P97" s="25">
        <f>IF(B97="","",IF(E97="",0,SUMPRODUCT((Sales!$O$5:$O$1204=E97)*(Sales!$AD$5:$AD$1204="Yes"))))</f>
        <v>0</v>
      </c>
      <c r="Q97" s="25">
        <f>IF(B97="","",IF(F97="",0,COUNTIFS(Clients!$G$5:$G$504,C97,Clients!$X$5:$X$504,"&gt;="&amp;F97,Clients!$X$5:$X$504,"&lt;="&amp;IF(G97="",TodayDate,G97))))</f>
        <v>0</v>
      </c>
      <c r="R97" s="25">
        <f>IF(B97="","",IF(F97="",0,COUNTIFS(Appointments!$N$5:$N$1204,C97,Appointments!$B$5:$B$1204,"&gt;="&amp;F97,Appointments!$B$5:$B$1204,"&lt;="&amp;IF(G97="",TodayDate,G97))))</f>
        <v>0</v>
      </c>
      <c r="S97" s="26">
        <f>IF(B97="","",ROUND(IF(H97="",0,H97)+O97,2))</f>
        <v>0</v>
      </c>
      <c r="T97" s="26">
        <f>IF(B97="","",ROUND(N97-S97,2))</f>
        <v>0</v>
      </c>
      <c r="U97" s="27">
        <f>IF(B97="","",IF(S97&lt;=0,"",T97/S97))</f>
        <v>0</v>
      </c>
      <c r="V97" s="26">
        <f>IF(B97="","",IF(Q97=0,"",ROUND(S97/Q97,2)))</f>
        <v>0</v>
      </c>
      <c r="W97" s="26">
        <f>IF(B97="","",IF(I97="","",ROUND(N97-I97,2)))</f>
        <v>0</v>
      </c>
      <c r="X97" s="25">
        <f>IF(B97="","",COUNTIFS($N$5:$N$104,"&gt;"&amp;N97)+COUNTIFS($N$5:N97,N97))</f>
        <v>0</v>
      </c>
      <c r="Y97" s="39">
        <f>IF(B97="","",IF(E97="","Add - no code, nothing to measure",IF(J97="Planned","Upcoming",IF(M97=0,"Check - code never used",IF(T97&lt;0,"Loss - cost more than it made",IF(U97&gt;=1,"OK - doubled its money",IF(U97&gt;0,"OK - made money","Check - review it")))))))</f>
        <v>0</v>
      </c>
    </row>
    <row r="98" spans="1:25">
      <c r="A98" s="28">
        <f>IF(B98="","",CampaignPrefix&amp;TEXT(ROW()-4,"000"))</f>
        <v>0</v>
      </c>
      <c r="L98" s="15">
        <f>IF(F98="","",TEXT(F98,"yyyy-mm"))</f>
        <v>0</v>
      </c>
      <c r="M98" s="25">
        <f>IF(B98="","",IF(E98="",0,COUNTIFS(Sales!$O$5:$O$1204,E98)))</f>
        <v>0</v>
      </c>
      <c r="N98" s="26">
        <f>IF(B98="","",IF(E98="",0,ROUND(SUMIFS(Sales!$Y$5:$Y$1204,Sales!$O$5:$O$1204,E98),2)))</f>
        <v>0</v>
      </c>
      <c r="O98" s="26">
        <f>IF(B98="","",IF(E98="",0,ROUND(SUMIFS(Sales!$X$5:$X$1204,Sales!$O$5:$O$1204,E98),2)))</f>
        <v>0</v>
      </c>
      <c r="P98" s="25">
        <f>IF(B98="","",IF(E98="",0,SUMPRODUCT((Sales!$O$5:$O$1204=E98)*(Sales!$AD$5:$AD$1204="Yes"))))</f>
        <v>0</v>
      </c>
      <c r="Q98" s="25">
        <f>IF(B98="","",IF(F98="",0,COUNTIFS(Clients!$G$5:$G$504,C98,Clients!$X$5:$X$504,"&gt;="&amp;F98,Clients!$X$5:$X$504,"&lt;="&amp;IF(G98="",TodayDate,G98))))</f>
        <v>0</v>
      </c>
      <c r="R98" s="25">
        <f>IF(B98="","",IF(F98="",0,COUNTIFS(Appointments!$N$5:$N$1204,C98,Appointments!$B$5:$B$1204,"&gt;="&amp;F98,Appointments!$B$5:$B$1204,"&lt;="&amp;IF(G98="",TodayDate,G98))))</f>
        <v>0</v>
      </c>
      <c r="S98" s="26">
        <f>IF(B98="","",ROUND(IF(H98="",0,H98)+O98,2))</f>
        <v>0</v>
      </c>
      <c r="T98" s="26">
        <f>IF(B98="","",ROUND(N98-S98,2))</f>
        <v>0</v>
      </c>
      <c r="U98" s="27">
        <f>IF(B98="","",IF(S98&lt;=0,"",T98/S98))</f>
        <v>0</v>
      </c>
      <c r="V98" s="26">
        <f>IF(B98="","",IF(Q98=0,"",ROUND(S98/Q98,2)))</f>
        <v>0</v>
      </c>
      <c r="W98" s="26">
        <f>IF(B98="","",IF(I98="","",ROUND(N98-I98,2)))</f>
        <v>0</v>
      </c>
      <c r="X98" s="25">
        <f>IF(B98="","",COUNTIFS($N$5:$N$104,"&gt;"&amp;N98)+COUNTIFS($N$5:N98,N98))</f>
        <v>0</v>
      </c>
      <c r="Y98" s="39">
        <f>IF(B98="","",IF(E98="","Add - no code, nothing to measure",IF(J98="Planned","Upcoming",IF(M98=0,"Check - code never used",IF(T98&lt;0,"Loss - cost more than it made",IF(U98&gt;=1,"OK - doubled its money",IF(U98&gt;0,"OK - made money","Check - review it")))))))</f>
        <v>0</v>
      </c>
    </row>
    <row r="99" spans="1:25">
      <c r="A99" s="28">
        <f>IF(B99="","",CampaignPrefix&amp;TEXT(ROW()-4,"000"))</f>
        <v>0</v>
      </c>
      <c r="L99" s="15">
        <f>IF(F99="","",TEXT(F99,"yyyy-mm"))</f>
        <v>0</v>
      </c>
      <c r="M99" s="25">
        <f>IF(B99="","",IF(E99="",0,COUNTIFS(Sales!$O$5:$O$1204,E99)))</f>
        <v>0</v>
      </c>
      <c r="N99" s="26">
        <f>IF(B99="","",IF(E99="",0,ROUND(SUMIFS(Sales!$Y$5:$Y$1204,Sales!$O$5:$O$1204,E99),2)))</f>
        <v>0</v>
      </c>
      <c r="O99" s="26">
        <f>IF(B99="","",IF(E99="",0,ROUND(SUMIFS(Sales!$X$5:$X$1204,Sales!$O$5:$O$1204,E99),2)))</f>
        <v>0</v>
      </c>
      <c r="P99" s="25">
        <f>IF(B99="","",IF(E99="",0,SUMPRODUCT((Sales!$O$5:$O$1204=E99)*(Sales!$AD$5:$AD$1204="Yes"))))</f>
        <v>0</v>
      </c>
      <c r="Q99" s="25">
        <f>IF(B99="","",IF(F99="",0,COUNTIFS(Clients!$G$5:$G$504,C99,Clients!$X$5:$X$504,"&gt;="&amp;F99,Clients!$X$5:$X$504,"&lt;="&amp;IF(G99="",TodayDate,G99))))</f>
        <v>0</v>
      </c>
      <c r="R99" s="25">
        <f>IF(B99="","",IF(F99="",0,COUNTIFS(Appointments!$N$5:$N$1204,C99,Appointments!$B$5:$B$1204,"&gt;="&amp;F99,Appointments!$B$5:$B$1204,"&lt;="&amp;IF(G99="",TodayDate,G99))))</f>
        <v>0</v>
      </c>
      <c r="S99" s="26">
        <f>IF(B99="","",ROUND(IF(H99="",0,H99)+O99,2))</f>
        <v>0</v>
      </c>
      <c r="T99" s="26">
        <f>IF(B99="","",ROUND(N99-S99,2))</f>
        <v>0</v>
      </c>
      <c r="U99" s="27">
        <f>IF(B99="","",IF(S99&lt;=0,"",T99/S99))</f>
        <v>0</v>
      </c>
      <c r="V99" s="26">
        <f>IF(B99="","",IF(Q99=0,"",ROUND(S99/Q99,2)))</f>
        <v>0</v>
      </c>
      <c r="W99" s="26">
        <f>IF(B99="","",IF(I99="","",ROUND(N99-I99,2)))</f>
        <v>0</v>
      </c>
      <c r="X99" s="25">
        <f>IF(B99="","",COUNTIFS($N$5:$N$104,"&gt;"&amp;N99)+COUNTIFS($N$5:N99,N99))</f>
        <v>0</v>
      </c>
      <c r="Y99" s="39">
        <f>IF(B99="","",IF(E99="","Add - no code, nothing to measure",IF(J99="Planned","Upcoming",IF(M99=0,"Check - code never used",IF(T99&lt;0,"Loss - cost more than it made",IF(U99&gt;=1,"OK - doubled its money",IF(U99&gt;0,"OK - made money","Check - review it")))))))</f>
        <v>0</v>
      </c>
    </row>
    <row r="100" spans="1:25">
      <c r="A100" s="28">
        <f>IF(B100="","",CampaignPrefix&amp;TEXT(ROW()-4,"000"))</f>
        <v>0</v>
      </c>
      <c r="L100" s="15">
        <f>IF(F100="","",TEXT(F100,"yyyy-mm"))</f>
        <v>0</v>
      </c>
      <c r="M100" s="25">
        <f>IF(B100="","",IF(E100="",0,COUNTIFS(Sales!$O$5:$O$1204,E100)))</f>
        <v>0</v>
      </c>
      <c r="N100" s="26">
        <f>IF(B100="","",IF(E100="",0,ROUND(SUMIFS(Sales!$Y$5:$Y$1204,Sales!$O$5:$O$1204,E100),2)))</f>
        <v>0</v>
      </c>
      <c r="O100" s="26">
        <f>IF(B100="","",IF(E100="",0,ROUND(SUMIFS(Sales!$X$5:$X$1204,Sales!$O$5:$O$1204,E100),2)))</f>
        <v>0</v>
      </c>
      <c r="P100" s="25">
        <f>IF(B100="","",IF(E100="",0,SUMPRODUCT((Sales!$O$5:$O$1204=E100)*(Sales!$AD$5:$AD$1204="Yes"))))</f>
        <v>0</v>
      </c>
      <c r="Q100" s="25">
        <f>IF(B100="","",IF(F100="",0,COUNTIFS(Clients!$G$5:$G$504,C100,Clients!$X$5:$X$504,"&gt;="&amp;F100,Clients!$X$5:$X$504,"&lt;="&amp;IF(G100="",TodayDate,G100))))</f>
        <v>0</v>
      </c>
      <c r="R100" s="25">
        <f>IF(B100="","",IF(F100="",0,COUNTIFS(Appointments!$N$5:$N$1204,C100,Appointments!$B$5:$B$1204,"&gt;="&amp;F100,Appointments!$B$5:$B$1204,"&lt;="&amp;IF(G100="",TodayDate,G100))))</f>
        <v>0</v>
      </c>
      <c r="S100" s="26">
        <f>IF(B100="","",ROUND(IF(H100="",0,H100)+O100,2))</f>
        <v>0</v>
      </c>
      <c r="T100" s="26">
        <f>IF(B100="","",ROUND(N100-S100,2))</f>
        <v>0</v>
      </c>
      <c r="U100" s="27">
        <f>IF(B100="","",IF(S100&lt;=0,"",T100/S100))</f>
        <v>0</v>
      </c>
      <c r="V100" s="26">
        <f>IF(B100="","",IF(Q100=0,"",ROUND(S100/Q100,2)))</f>
        <v>0</v>
      </c>
      <c r="W100" s="26">
        <f>IF(B100="","",IF(I100="","",ROUND(N100-I100,2)))</f>
        <v>0</v>
      </c>
      <c r="X100" s="25">
        <f>IF(B100="","",COUNTIFS($N$5:$N$104,"&gt;"&amp;N100)+COUNTIFS($N$5:N100,N100))</f>
        <v>0</v>
      </c>
      <c r="Y100" s="39">
        <f>IF(B100="","",IF(E100="","Add - no code, nothing to measure",IF(J100="Planned","Upcoming",IF(M100=0,"Check - code never used",IF(T100&lt;0,"Loss - cost more than it made",IF(U100&gt;=1,"OK - doubled its money",IF(U100&gt;0,"OK - made money","Check - review it")))))))</f>
        <v>0</v>
      </c>
    </row>
    <row r="101" spans="1:25">
      <c r="A101" s="28">
        <f>IF(B101="","",CampaignPrefix&amp;TEXT(ROW()-4,"000"))</f>
        <v>0</v>
      </c>
      <c r="L101" s="15">
        <f>IF(F101="","",TEXT(F101,"yyyy-mm"))</f>
        <v>0</v>
      </c>
      <c r="M101" s="25">
        <f>IF(B101="","",IF(E101="",0,COUNTIFS(Sales!$O$5:$O$1204,E101)))</f>
        <v>0</v>
      </c>
      <c r="N101" s="26">
        <f>IF(B101="","",IF(E101="",0,ROUND(SUMIFS(Sales!$Y$5:$Y$1204,Sales!$O$5:$O$1204,E101),2)))</f>
        <v>0</v>
      </c>
      <c r="O101" s="26">
        <f>IF(B101="","",IF(E101="",0,ROUND(SUMIFS(Sales!$X$5:$X$1204,Sales!$O$5:$O$1204,E101),2)))</f>
        <v>0</v>
      </c>
      <c r="P101" s="25">
        <f>IF(B101="","",IF(E101="",0,SUMPRODUCT((Sales!$O$5:$O$1204=E101)*(Sales!$AD$5:$AD$1204="Yes"))))</f>
        <v>0</v>
      </c>
      <c r="Q101" s="25">
        <f>IF(B101="","",IF(F101="",0,COUNTIFS(Clients!$G$5:$G$504,C101,Clients!$X$5:$X$504,"&gt;="&amp;F101,Clients!$X$5:$X$504,"&lt;="&amp;IF(G101="",TodayDate,G101))))</f>
        <v>0</v>
      </c>
      <c r="R101" s="25">
        <f>IF(B101="","",IF(F101="",0,COUNTIFS(Appointments!$N$5:$N$1204,C101,Appointments!$B$5:$B$1204,"&gt;="&amp;F101,Appointments!$B$5:$B$1204,"&lt;="&amp;IF(G101="",TodayDate,G101))))</f>
        <v>0</v>
      </c>
      <c r="S101" s="26">
        <f>IF(B101="","",ROUND(IF(H101="",0,H101)+O101,2))</f>
        <v>0</v>
      </c>
      <c r="T101" s="26">
        <f>IF(B101="","",ROUND(N101-S101,2))</f>
        <v>0</v>
      </c>
      <c r="U101" s="27">
        <f>IF(B101="","",IF(S101&lt;=0,"",T101/S101))</f>
        <v>0</v>
      </c>
      <c r="V101" s="26">
        <f>IF(B101="","",IF(Q101=0,"",ROUND(S101/Q101,2)))</f>
        <v>0</v>
      </c>
      <c r="W101" s="26">
        <f>IF(B101="","",IF(I101="","",ROUND(N101-I101,2)))</f>
        <v>0</v>
      </c>
      <c r="X101" s="25">
        <f>IF(B101="","",COUNTIFS($N$5:$N$104,"&gt;"&amp;N101)+COUNTIFS($N$5:N101,N101))</f>
        <v>0</v>
      </c>
      <c r="Y101" s="39">
        <f>IF(B101="","",IF(E101="","Add - no code, nothing to measure",IF(J101="Planned","Upcoming",IF(M101=0,"Check - code never used",IF(T101&lt;0,"Loss - cost more than it made",IF(U101&gt;=1,"OK - doubled its money",IF(U101&gt;0,"OK - made money","Check - review it")))))))</f>
        <v>0</v>
      </c>
    </row>
    <row r="102" spans="1:25">
      <c r="A102" s="28">
        <f>IF(B102="","",CampaignPrefix&amp;TEXT(ROW()-4,"000"))</f>
        <v>0</v>
      </c>
      <c r="L102" s="15">
        <f>IF(F102="","",TEXT(F102,"yyyy-mm"))</f>
        <v>0</v>
      </c>
      <c r="M102" s="25">
        <f>IF(B102="","",IF(E102="",0,COUNTIFS(Sales!$O$5:$O$1204,E102)))</f>
        <v>0</v>
      </c>
      <c r="N102" s="26">
        <f>IF(B102="","",IF(E102="",0,ROUND(SUMIFS(Sales!$Y$5:$Y$1204,Sales!$O$5:$O$1204,E102),2)))</f>
        <v>0</v>
      </c>
      <c r="O102" s="26">
        <f>IF(B102="","",IF(E102="",0,ROUND(SUMIFS(Sales!$X$5:$X$1204,Sales!$O$5:$O$1204,E102),2)))</f>
        <v>0</v>
      </c>
      <c r="P102" s="25">
        <f>IF(B102="","",IF(E102="",0,SUMPRODUCT((Sales!$O$5:$O$1204=E102)*(Sales!$AD$5:$AD$1204="Yes"))))</f>
        <v>0</v>
      </c>
      <c r="Q102" s="25">
        <f>IF(B102="","",IF(F102="",0,COUNTIFS(Clients!$G$5:$G$504,C102,Clients!$X$5:$X$504,"&gt;="&amp;F102,Clients!$X$5:$X$504,"&lt;="&amp;IF(G102="",TodayDate,G102))))</f>
        <v>0</v>
      </c>
      <c r="R102" s="25">
        <f>IF(B102="","",IF(F102="",0,COUNTIFS(Appointments!$N$5:$N$1204,C102,Appointments!$B$5:$B$1204,"&gt;="&amp;F102,Appointments!$B$5:$B$1204,"&lt;="&amp;IF(G102="",TodayDate,G102))))</f>
        <v>0</v>
      </c>
      <c r="S102" s="26">
        <f>IF(B102="","",ROUND(IF(H102="",0,H102)+O102,2))</f>
        <v>0</v>
      </c>
      <c r="T102" s="26">
        <f>IF(B102="","",ROUND(N102-S102,2))</f>
        <v>0</v>
      </c>
      <c r="U102" s="27">
        <f>IF(B102="","",IF(S102&lt;=0,"",T102/S102))</f>
        <v>0</v>
      </c>
      <c r="V102" s="26">
        <f>IF(B102="","",IF(Q102=0,"",ROUND(S102/Q102,2)))</f>
        <v>0</v>
      </c>
      <c r="W102" s="26">
        <f>IF(B102="","",IF(I102="","",ROUND(N102-I102,2)))</f>
        <v>0</v>
      </c>
      <c r="X102" s="25">
        <f>IF(B102="","",COUNTIFS($N$5:$N$104,"&gt;"&amp;N102)+COUNTIFS($N$5:N102,N102))</f>
        <v>0</v>
      </c>
      <c r="Y102" s="39">
        <f>IF(B102="","",IF(E102="","Add - no code, nothing to measure",IF(J102="Planned","Upcoming",IF(M102=0,"Check - code never used",IF(T102&lt;0,"Loss - cost more than it made",IF(U102&gt;=1,"OK - doubled its money",IF(U102&gt;0,"OK - made money","Check - review it")))))))</f>
        <v>0</v>
      </c>
    </row>
    <row r="103" spans="1:25">
      <c r="A103" s="28">
        <f>IF(B103="","",CampaignPrefix&amp;TEXT(ROW()-4,"000"))</f>
        <v>0</v>
      </c>
      <c r="L103" s="15">
        <f>IF(F103="","",TEXT(F103,"yyyy-mm"))</f>
        <v>0</v>
      </c>
      <c r="M103" s="25">
        <f>IF(B103="","",IF(E103="",0,COUNTIFS(Sales!$O$5:$O$1204,E103)))</f>
        <v>0</v>
      </c>
      <c r="N103" s="26">
        <f>IF(B103="","",IF(E103="",0,ROUND(SUMIFS(Sales!$Y$5:$Y$1204,Sales!$O$5:$O$1204,E103),2)))</f>
        <v>0</v>
      </c>
      <c r="O103" s="26">
        <f>IF(B103="","",IF(E103="",0,ROUND(SUMIFS(Sales!$X$5:$X$1204,Sales!$O$5:$O$1204,E103),2)))</f>
        <v>0</v>
      </c>
      <c r="P103" s="25">
        <f>IF(B103="","",IF(E103="",0,SUMPRODUCT((Sales!$O$5:$O$1204=E103)*(Sales!$AD$5:$AD$1204="Yes"))))</f>
        <v>0</v>
      </c>
      <c r="Q103" s="25">
        <f>IF(B103="","",IF(F103="",0,COUNTIFS(Clients!$G$5:$G$504,C103,Clients!$X$5:$X$504,"&gt;="&amp;F103,Clients!$X$5:$X$504,"&lt;="&amp;IF(G103="",TodayDate,G103))))</f>
        <v>0</v>
      </c>
      <c r="R103" s="25">
        <f>IF(B103="","",IF(F103="",0,COUNTIFS(Appointments!$N$5:$N$1204,C103,Appointments!$B$5:$B$1204,"&gt;="&amp;F103,Appointments!$B$5:$B$1204,"&lt;="&amp;IF(G103="",TodayDate,G103))))</f>
        <v>0</v>
      </c>
      <c r="S103" s="26">
        <f>IF(B103="","",ROUND(IF(H103="",0,H103)+O103,2))</f>
        <v>0</v>
      </c>
      <c r="T103" s="26">
        <f>IF(B103="","",ROUND(N103-S103,2))</f>
        <v>0</v>
      </c>
      <c r="U103" s="27">
        <f>IF(B103="","",IF(S103&lt;=0,"",T103/S103))</f>
        <v>0</v>
      </c>
      <c r="V103" s="26">
        <f>IF(B103="","",IF(Q103=0,"",ROUND(S103/Q103,2)))</f>
        <v>0</v>
      </c>
      <c r="W103" s="26">
        <f>IF(B103="","",IF(I103="","",ROUND(N103-I103,2)))</f>
        <v>0</v>
      </c>
      <c r="X103" s="25">
        <f>IF(B103="","",COUNTIFS($N$5:$N$104,"&gt;"&amp;N103)+COUNTIFS($N$5:N103,N103))</f>
        <v>0</v>
      </c>
      <c r="Y103" s="39">
        <f>IF(B103="","",IF(E103="","Add - no code, nothing to measure",IF(J103="Planned","Upcoming",IF(M103=0,"Check - code never used",IF(T103&lt;0,"Loss - cost more than it made",IF(U103&gt;=1,"OK - doubled its money",IF(U103&gt;0,"OK - made money","Check - review it")))))))</f>
        <v>0</v>
      </c>
    </row>
    <row r="104" spans="1:25">
      <c r="A104" s="28">
        <f>IF(B104="","",CampaignPrefix&amp;TEXT(ROW()-4,"000"))</f>
        <v>0</v>
      </c>
      <c r="L104" s="15">
        <f>IF(F104="","",TEXT(F104,"yyyy-mm"))</f>
        <v>0</v>
      </c>
      <c r="M104" s="25">
        <f>IF(B104="","",IF(E104="",0,COUNTIFS(Sales!$O$5:$O$1204,E104)))</f>
        <v>0</v>
      </c>
      <c r="N104" s="26">
        <f>IF(B104="","",IF(E104="",0,ROUND(SUMIFS(Sales!$Y$5:$Y$1204,Sales!$O$5:$O$1204,E104),2)))</f>
        <v>0</v>
      </c>
      <c r="O104" s="26">
        <f>IF(B104="","",IF(E104="",0,ROUND(SUMIFS(Sales!$X$5:$X$1204,Sales!$O$5:$O$1204,E104),2)))</f>
        <v>0</v>
      </c>
      <c r="P104" s="25">
        <f>IF(B104="","",IF(E104="",0,SUMPRODUCT((Sales!$O$5:$O$1204=E104)*(Sales!$AD$5:$AD$1204="Yes"))))</f>
        <v>0</v>
      </c>
      <c r="Q104" s="25">
        <f>IF(B104="","",IF(F104="",0,COUNTIFS(Clients!$G$5:$G$504,C104,Clients!$X$5:$X$504,"&gt;="&amp;F104,Clients!$X$5:$X$504,"&lt;="&amp;IF(G104="",TodayDate,G104))))</f>
        <v>0</v>
      </c>
      <c r="R104" s="25">
        <f>IF(B104="","",IF(F104="",0,COUNTIFS(Appointments!$N$5:$N$1204,C104,Appointments!$B$5:$B$1204,"&gt;="&amp;F104,Appointments!$B$5:$B$1204,"&lt;="&amp;IF(G104="",TodayDate,G104))))</f>
        <v>0</v>
      </c>
      <c r="S104" s="26">
        <f>IF(B104="","",ROUND(IF(H104="",0,H104)+O104,2))</f>
        <v>0</v>
      </c>
      <c r="T104" s="26">
        <f>IF(B104="","",ROUND(N104-S104,2))</f>
        <v>0</v>
      </c>
      <c r="U104" s="27">
        <f>IF(B104="","",IF(S104&lt;=0,"",T104/S104))</f>
        <v>0</v>
      </c>
      <c r="V104" s="26">
        <f>IF(B104="","",IF(Q104=0,"",ROUND(S104/Q104,2)))</f>
        <v>0</v>
      </c>
      <c r="W104" s="26">
        <f>IF(B104="","",IF(I104="","",ROUND(N104-I104,2)))</f>
        <v>0</v>
      </c>
      <c r="X104" s="25">
        <f>IF(B104="","",COUNTIFS($N$5:$N$104,"&gt;"&amp;N104)+COUNTIFS($N$5:N104,N104))</f>
        <v>0</v>
      </c>
      <c r="Y104" s="39">
        <f>IF(B104="","",IF(E104="","Add - no code, nothing to measure",IF(J104="Planned","Upcoming",IF(M104=0,"Check - code never used",IF(T104&lt;0,"Loss - cost more than it made",IF(U104&gt;=1,"OK - doubled its money",IF(U104&gt;0,"OK - made money","Check - review it")))))))</f>
        <v>0</v>
      </c>
    </row>
    <row r="106" spans="1:25" ht="20" customHeight="1">
      <c r="A106" s="7" t="s">
        <v>629</v>
      </c>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26" customHeight="1">
      <c r="A107" s="10" t="s">
        <v>630</v>
      </c>
      <c r="B107" s="11" t="s">
        <v>631</v>
      </c>
      <c r="C107" s="11" t="s">
        <v>190</v>
      </c>
      <c r="D107" s="11" t="s">
        <v>619</v>
      </c>
      <c r="E107" s="11" t="s">
        <v>632</v>
      </c>
      <c r="F107" s="11" t="s">
        <v>624</v>
      </c>
      <c r="G107" s="11" t="s">
        <v>621</v>
      </c>
      <c r="H107" s="11" t="s">
        <v>633</v>
      </c>
      <c r="I107" s="11" t="s">
        <v>626</v>
      </c>
    </row>
    <row r="108" spans="1:25">
      <c r="A108" s="25">
        <f>COUNTIF(Marketing!$B$5:$B$104,"&lt;&gt;")</f>
        <v>0</v>
      </c>
      <c r="B108" s="25">
        <f>COUNTIFS(Marketing!$J$5:$J$104,"Running")</f>
        <v>0</v>
      </c>
      <c r="C108" s="26">
        <f>ROUND(SUM(Marketing!$H$5:$H$104),2)</f>
        <v>0</v>
      </c>
      <c r="D108" s="26">
        <f>ROUND(SUM(Marketing!$O$5:$O$104),2)</f>
        <v>0</v>
      </c>
      <c r="E108" s="26">
        <f>ROUND(SUM(Marketing!$N$5:$N$104),2)</f>
        <v>0</v>
      </c>
      <c r="F108" s="26">
        <f>ROUND(SUM(Marketing!$T$5:$T$104),2)</f>
        <v>0</v>
      </c>
      <c r="G108" s="25">
        <f>SUM(Marketing!$Q$5:$Q$104)</f>
        <v>0</v>
      </c>
      <c r="H108" s="27">
        <f>IFERROR(SUM(Marketing!$T$5:$T$104)/MAX(0.01,SUM(Marketing!$S$5:$S$104)),0)</f>
        <v>0</v>
      </c>
      <c r="I108" s="26">
        <f>IFERROR(ROUND(SUM(Marketing!$S$5:$S$104)/MAX(1,SUM(Marketing!$Q$5:$Q$104)),2),0)</f>
        <v>0</v>
      </c>
    </row>
  </sheetData>
  <sheetProtection password="EC7C" sheet="1" objects="1" scenarios="1" formatCells="0" formatColumns="0" formatRows="0" insertRows="0" insertHyperlinks="0" deleteRows="0" autoFilter="0"/>
  <autoFilter ref="A4:Y104"/>
  <mergeCells count="14">
    <mergeCell ref="A1:V1"/>
    <mergeCell ref="W1:Y1"/>
    <mergeCell ref="A2:Y2"/>
    <mergeCell ref="A3:B3"/>
    <mergeCell ref="C3:D3"/>
    <mergeCell ref="E3:F3"/>
    <mergeCell ref="G3:H3"/>
    <mergeCell ref="I3:J3"/>
    <mergeCell ref="K3:L3"/>
    <mergeCell ref="M3:N3"/>
    <mergeCell ref="O3:P3"/>
    <mergeCell ref="Q3:R3"/>
    <mergeCell ref="S3:Y3"/>
    <mergeCell ref="A106:Y106"/>
  </mergeCells>
  <conditionalFormatting sqref="J5:J104">
    <cfRule type="containsText" dxfId="1" priority="1" operator="containsText" text="Completed">
      <formula>NOT(ISERROR(SEARCH("Completed",J5)))</formula>
    </cfRule>
    <cfRule type="containsText" dxfId="1" priority="2" operator="containsText" text="Complete">
      <formula>NOT(ISERROR(SEARCH("Complete",J5)))</formula>
    </cfRule>
    <cfRule type="containsText" dxfId="1" priority="3" operator="containsText" text="Paid">
      <formula>NOT(ISERROR(SEARCH("Paid",J5)))</formula>
    </cfRule>
    <cfRule type="containsText" dxfId="1" priority="4" operator="containsText" text="Settled">
      <formula>NOT(ISERROR(SEARCH("Settled",J5)))</formula>
    </cfRule>
    <cfRule type="containsText" dxfId="1" priority="5" operator="containsText" text="Arrived">
      <formula>NOT(ISERROR(SEARCH("Arrived",J5)))</formula>
    </cfRule>
    <cfRule type="containsText" dxfId="1" priority="6" operator="containsText" text="Active">
      <formula>NOT(ISERROR(SEARCH("Active",J5)))</formula>
    </cfRule>
    <cfRule type="containsText" dxfId="1" priority="7" operator="containsText" text="Regular">
      <formula>NOT(ISERROR(SEARCH("Regular",J5)))</formula>
    </cfRule>
    <cfRule type="containsText" dxfId="1" priority="8" operator="containsText" text="VIP">
      <formula>NOT(ISERROR(SEARCH("VIP",J5)))</formula>
    </cfRule>
    <cfRule type="containsText" dxfId="1" priority="9" operator="containsText" text="In stock">
      <formula>NOT(ISERROR(SEARCH("In stock",J5)))</formula>
    </cfRule>
    <cfRule type="containsText" dxfId="1" priority="10" operator="containsText" text="Received">
      <formula>NOT(ISERROR(SEARCH("Received",J5)))</formula>
    </cfRule>
    <cfRule type="containsText" dxfId="1" priority="11" operator="containsText" text="Approved">
      <formula>NOT(ISERROR(SEARCH("Approved",J5)))</formula>
    </cfRule>
    <cfRule type="containsText" dxfId="1" priority="12" operator="containsText" text="Yes">
      <formula>NOT(ISERROR(SEARCH("Yes",J5)))</formula>
    </cfRule>
    <cfRule type="containsText" dxfId="3" priority="13" operator="containsText" text="Booked">
      <formula>NOT(ISERROR(SEARCH("Booked",J5)))</formula>
    </cfRule>
    <cfRule type="containsText" dxfId="3" priority="14" operator="containsText" text="Confirmed">
      <formula>NOT(ISERROR(SEARCH("Confirmed",J5)))</formula>
    </cfRule>
    <cfRule type="containsText" dxfId="3" priority="15" operator="containsText" text="Scheduled">
      <formula>NOT(ISERROR(SEARCH("Scheduled",J5)))</formula>
    </cfRule>
    <cfRule type="containsText" dxfId="3" priority="16" operator="containsText" text="New">
      <formula>NOT(ISERROR(SEARCH("New",J5)))</formula>
    </cfRule>
    <cfRule type="containsText" dxfId="3" priority="17" operator="containsText" text="Ordered">
      <formula>NOT(ISERROR(SEARCH("Ordered",J5)))</formula>
    </cfRule>
    <cfRule type="containsText" dxfId="3" priority="18" operator="containsText" text="Running">
      <formula>NOT(ISERROR(SEARCH("Running",J5)))</formula>
    </cfRule>
    <cfRule type="containsText" dxfId="0" priority="19" operator="containsText" text="Part paid">
      <formula>NOT(ISERROR(SEARCH("Part paid",J5)))</formula>
    </cfRule>
    <cfRule type="containsText" dxfId="0" priority="20" operator="containsText" text="Pending">
      <formula>NOT(ISERROR(SEARCH("Pending",J5)))</formula>
    </cfRule>
    <cfRule type="containsText" dxfId="0" priority="21" operator="containsText" text="Enquiry">
      <formula>NOT(ISERROR(SEARCH("Enquiry",J5)))</formula>
    </cfRule>
    <cfRule type="containsText" dxfId="0" priority="22" operator="containsText" text="Rescheduled">
      <formula>NOT(ISERROR(SEARCH("Rescheduled",J5)))</formula>
    </cfRule>
    <cfRule type="containsText" dxfId="0" priority="23" operator="containsText" text="Low stock">
      <formula>NOT(ISERROR(SEARCH("Low stock",J5)))</formula>
    </cfRule>
    <cfRule type="containsText" dxfId="0" priority="24" operator="containsText" text="Lapsing">
      <formula>NOT(ISERROR(SEARCH("Lapsing",J5)))</formula>
    </cfRule>
    <cfRule type="containsText" dxfId="0" priority="25" operator="containsText" text="Planned">
      <formula>NOT(ISERROR(SEARCH("Planned",J5)))</formula>
    </cfRule>
    <cfRule type="containsText" dxfId="0" priority="26" operator="containsText" text="On hold">
      <formula>NOT(ISERROR(SEARCH("On hold",J5)))</formula>
    </cfRule>
    <cfRule type="containsText" dxfId="0" priority="27" operator="containsText" text="Draft">
      <formula>NOT(ISERROR(SEARCH("Draft",J5)))</formula>
    </cfRule>
    <cfRule type="containsText" dxfId="2" priority="28" operator="containsText" text="Cancelled">
      <formula>NOT(ISERROR(SEARCH("Cancelled",J5)))</formula>
    </cfRule>
    <cfRule type="containsText" dxfId="2" priority="29" operator="containsText" text="No show">
      <formula>NOT(ISERROR(SEARCH("No show",J5)))</formula>
    </cfRule>
    <cfRule type="containsText" dxfId="2" priority="30" operator="containsText" text="Refunded">
      <formula>NOT(ISERROR(SEARCH("Refunded",J5)))</formula>
    </cfRule>
    <cfRule type="containsText" dxfId="2" priority="31" operator="containsText" text="Out of stock">
      <formula>NOT(ISERROR(SEARCH("Out of stock",J5)))</formula>
    </cfRule>
    <cfRule type="containsText" dxfId="2" priority="32" operator="containsText" text="Overdue">
      <formula>NOT(ISERROR(SEARCH("Overdue",J5)))</formula>
    </cfRule>
    <cfRule type="containsText" dxfId="2" priority="33" operator="containsText" text="Written off">
      <formula>NOT(ISERROR(SEARCH("Written off",J5)))</formula>
    </cfRule>
    <cfRule type="containsText" dxfId="4" priority="34" operator="containsText" text="Inactive">
      <formula>NOT(ISERROR(SEARCH("Inactive",J5)))</formula>
    </cfRule>
    <cfRule type="containsText" dxfId="4" priority="35" operator="containsText" text="Archived">
      <formula>NOT(ISERROR(SEARCH("Archived",J5)))</formula>
    </cfRule>
    <cfRule type="containsText" dxfId="4" priority="36" operator="containsText" text="Finished">
      <formula>NOT(ISERROR(SEARCH("Finished",J5)))</formula>
    </cfRule>
    <cfRule type="containsText" dxfId="4" priority="37" operator="containsText" text="Discontinued">
      <formula>NOT(ISERROR(SEARCH("Discontinued",J5)))</formula>
    </cfRule>
  </conditionalFormatting>
  <conditionalFormatting sqref="N5:N104">
    <cfRule type="dataBar" priority="38">
      <dataBar>
        <cfvo type="min" val="0"/>
        <cfvo type="max" val="0"/>
        <color rgb="FF9A5C86"/>
      </dataBar>
    </cfRule>
  </conditionalFormatting>
  <conditionalFormatting sqref="O5:O104">
    <cfRule type="cellIs" dxfId="0" priority="39" operator="greaterThan">
      <formula>0</formula>
    </cfRule>
  </conditionalFormatting>
  <conditionalFormatting sqref="T5:T104">
    <cfRule type="cellIs" dxfId="2" priority="40" operator="lessThan">
      <formula>0</formula>
    </cfRule>
    <cfRule type="cellIs" dxfId="1" priority="41" operator="greaterThan">
      <formula>0</formula>
    </cfRule>
  </conditionalFormatting>
  <conditionalFormatting sqref="U5:U104">
    <cfRule type="cellIs" dxfId="2" priority="42" operator="lessThan">
      <formula>0</formula>
    </cfRule>
    <cfRule type="cellIs" dxfId="1" priority="43" operator="greaterThanOrEqual">
      <formula>1</formula>
    </cfRule>
  </conditionalFormatting>
  <conditionalFormatting sqref="V5:V104">
    <cfRule type="cellIs" dxfId="0" priority="44" operator="greaterThan">
      <formula>TargetTicket</formula>
    </cfRule>
  </conditionalFormatting>
  <conditionalFormatting sqref="W5:W104">
    <cfRule type="cellIs" dxfId="1" priority="45" operator="greaterThanOrEqual">
      <formula>0</formula>
    </cfRule>
    <cfRule type="cellIs" dxfId="0" priority="46" operator="lessThan">
      <formula>0</formula>
    </cfRule>
  </conditionalFormatting>
  <conditionalFormatting sqref="Y5:Y104">
    <cfRule type="beginsWith" dxfId="1" priority="47" operator="beginsWith" text="OK">
      <formula>LEFT(Y5,2)="OK"</formula>
    </cfRule>
    <cfRule type="containsText" dxfId="2" priority="48" operator="containsText" text="Overdue">
      <formula>NOT(ISERROR(SEARCH("Overdue",Y5)))</formula>
    </cfRule>
    <cfRule type="containsText" dxfId="2" priority="49" operator="containsText" text="Late">
      <formula>NOT(ISERROR(SEARCH("Late",Y5)))</formula>
    </cfRule>
    <cfRule type="containsText" dxfId="2" priority="50" operator="containsText" text="Missing">
      <formula>NOT(ISERROR(SEARCH("Missing",Y5)))</formula>
    </cfRule>
    <cfRule type="containsText" dxfId="2" priority="51" operator="containsText" text="Clash">
      <formula>NOT(ISERROR(SEARCH("Clash",Y5)))</formula>
    </cfRule>
    <cfRule type="containsText" dxfId="2" priority="52" operator="containsText" text="Conflict">
      <formula>NOT(ISERROR(SEARCH("Conflict",Y5)))</formula>
    </cfRule>
    <cfRule type="containsText" dxfId="2" priority="53" operator="containsText" text="Duplicate">
      <formula>NOT(ISERROR(SEARCH("Duplicate",Y5)))</formula>
    </cfRule>
    <cfRule type="containsText" dxfId="2" priority="54" operator="containsText" text="Unpaid">
      <formula>NOT(ISERROR(SEARCH("Unpaid",Y5)))</formula>
    </cfRule>
    <cfRule type="containsText" dxfId="2" priority="55" operator="containsText" text="Loss">
      <formula>NOT(ISERROR(SEARCH("Loss",Y5)))</formula>
    </cfRule>
    <cfRule type="containsText" dxfId="2" priority="56" operator="containsText" text="Below">
      <formula>NOT(ISERROR(SEARCH("Below",Y5)))</formula>
    </cfRule>
    <cfRule type="containsText" dxfId="2" priority="57" operator="containsText" text="Out of stock">
      <formula>NOT(ISERROR(SEARCH("Out of stock",Y5)))</formula>
    </cfRule>
    <cfRule type="containsText" dxfId="2" priority="58" operator="containsText" text="No show">
      <formula>NOT(ISERROR(SEARCH("No show",Y5)))</formula>
    </cfRule>
    <cfRule type="containsText" dxfId="0" priority="59" operator="containsText" text="Action">
      <formula>NOT(ISERROR(SEARCH("Action",Y5)))</formula>
    </cfRule>
    <cfRule type="containsText" dxfId="0" priority="60" operator="containsText" text="Due">
      <formula>NOT(ISERROR(SEARCH("Due",Y5)))</formula>
    </cfRule>
    <cfRule type="containsText" dxfId="0" priority="61" operator="containsText" text="Check">
      <formula>NOT(ISERROR(SEARCH("Check",Y5)))</formula>
    </cfRule>
    <cfRule type="containsText" dxfId="0" priority="62" operator="containsText" text="Chase">
      <formula>NOT(ISERROR(SEARCH("Chase",Y5)))</formula>
    </cfRule>
    <cfRule type="containsText" dxfId="0" priority="63" operator="containsText" text="Assign">
      <formula>NOT(ISERROR(SEARCH("Assign",Y5)))</formula>
    </cfRule>
    <cfRule type="containsText" dxfId="0" priority="64" operator="containsText" text="Confirm">
      <formula>NOT(ISERROR(SEARCH("Confirm",Y5)))</formula>
    </cfRule>
    <cfRule type="containsText" dxfId="0" priority="65" operator="containsText" text="Order">
      <formula>NOT(ISERROR(SEARCH("Order",Y5)))</formula>
    </cfRule>
    <cfRule type="containsText" dxfId="0" priority="66" operator="containsText" text="Rebook">
      <formula>NOT(ISERROR(SEARCH("Rebook",Y5)))</formula>
    </cfRule>
    <cfRule type="containsText" dxfId="0" priority="67" operator="containsText" text="Add">
      <formula>NOT(ISERROR(SEARCH("Add",Y5)))</formula>
    </cfRule>
    <cfRule type="containsText" dxfId="3" priority="68" operator="containsText" text="Today">
      <formula>NOT(ISERROR(SEARCH("Today",Y5)))</formula>
    </cfRule>
    <cfRule type="containsText" dxfId="3" priority="69" operator="containsText" text="Tomorrow">
      <formula>NOT(ISERROR(SEARCH("Tomorrow",Y5)))</formula>
    </cfRule>
    <cfRule type="containsText" dxfId="3" priority="70" operator="containsText" text="Upcoming">
      <formula>NOT(ISERROR(SEARCH("Upcoming",Y5)))</formula>
    </cfRule>
  </conditionalFormatting>
  <dataValidations count="6">
    <dataValidation type="list" allowBlank="1" showInputMessage="1" showErrorMessage="1" sqref="C5:C104">
      <formula1>MarketingChannelList</formula1>
    </dataValidation>
    <dataValidation type="date" allowBlank="1" showInputMessage="1" showErrorMessage="1" errorTitle="Check the date" error="Enter a real date between 2000 and 2100." sqref="F5:F104">
      <formula1>36526</formula1>
      <formula2>73415</formula2>
    </dataValidation>
    <dataValidation type="date" allowBlank="1" showInputMessage="1" showErrorMessage="1" errorTitle="Check the date" error="Enter a real date between 2000 and 2100." sqref="G5:G104">
      <formula1>36526</formula1>
      <formula2>73415</formula2>
    </dataValidation>
    <dataValidation type="decimal" allowBlank="1" showInputMessage="1" showErrorMessage="1" errorTitle="Check the value" error="Enter a number between 0 and 1000000." promptTitle="Cost" prompt="Ads, print, the influencer's treatment at cost, the hour you spent making the reel." sqref="H5:H104">
      <formula1>0</formula1>
      <formula2>1000000</formula2>
    </dataValidation>
    <dataValidation type="decimal" allowBlank="1" showInputMessage="1" showErrorMessage="1" errorTitle="Check the value" error="Enter a number between 0 and 1000000." sqref="I5:I104">
      <formula1>0</formula1>
      <formula2>1000000</formula2>
    </dataValidation>
    <dataValidation type="list" allowBlank="1" showInputMessage="1" showErrorMessage="1" sqref="J5:J104">
      <formula1>CampaignStatusList</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&amp;L&amp;"Calibri,Bold"&amp;12&amp;C&amp;"Calibri,Bold"&amp;11Marketing&amp;R&amp;"Calibri,Italic"&amp;9Salon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9A5C86"/>
    <pageSetUpPr fitToPage="1"/>
  </sheetPr>
  <dimension ref="A1:X5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8" customWidth="1"/>
    <col min="2" max="2" width="11.7109375" style="31" customWidth="1"/>
    <col min="3" max="3" width="22.7109375" style="15" customWidth="1"/>
    <col min="4" max="4" width="11.7109375" style="29" customWidth="1"/>
    <col min="5" max="5" width="14.7109375" style="34" customWidth="1"/>
    <col min="6" max="6" width="12.7109375" style="32" customWidth="1"/>
    <col min="7" max="7" width="14.7109375" style="32" customWidth="1"/>
    <col min="8" max="8" width="11.7109375" style="29" customWidth="1"/>
    <col min="9" max="9" width="20.7109375" style="34" customWidth="1"/>
    <col min="10" max="10" width="15.7109375" style="33" customWidth="1"/>
    <col min="11" max="11" width="13.7109375" style="41" customWidth="1"/>
    <col min="12" max="12" width="24.7109375" style="35" customWidth="1"/>
    <col min="13" max="13" width="12.7109375" style="26" customWidth="1"/>
    <col min="14" max="14" width="8.7109375" style="25" hidden="1" customWidth="1"/>
    <col min="15" max="15" width="12.7109375" style="25" customWidth="1"/>
    <col min="16" max="16" width="12.7109375" style="25" customWidth="1"/>
    <col min="17" max="17" width="11.7109375" style="25" hidden="1" customWidth="1"/>
    <col min="18" max="18" width="12.7109375" style="26" customWidth="1"/>
    <col min="19" max="19" width="12.7109375" style="25" customWidth="1"/>
    <col min="20" max="20" width="13.7109375" style="25" customWidth="1"/>
    <col min="21" max="21" width="15.7109375" style="26" customWidth="1"/>
    <col min="22" max="22" width="13.7109375" style="15" hidden="1" customWidth="1"/>
    <col min="23" max="23" width="9.7109375" style="25" hidden="1" customWidth="1"/>
    <col min="24" max="24" width="30.7109375" style="39" customWidth="1"/>
  </cols>
  <sheetData>
    <row r="1" spans="1:24" ht="34" customHeight="1">
      <c r="A1" s="2" t="s">
        <v>634</v>
      </c>
      <c r="B1" s="2"/>
      <c r="C1" s="2"/>
      <c r="D1" s="2"/>
      <c r="E1" s="2"/>
      <c r="F1" s="2"/>
      <c r="G1" s="2"/>
      <c r="H1" s="2"/>
      <c r="I1" s="2"/>
      <c r="J1" s="2"/>
      <c r="K1" s="2"/>
      <c r="L1" s="2"/>
      <c r="M1" s="2"/>
      <c r="N1" s="2"/>
      <c r="O1" s="2"/>
      <c r="P1" s="2"/>
      <c r="Q1" s="2"/>
      <c r="R1" s="2"/>
      <c r="S1" s="2"/>
      <c r="T1" s="2"/>
      <c r="U1" s="2"/>
      <c r="V1" s="3" t="s">
        <v>1</v>
      </c>
      <c r="W1" s="3"/>
      <c r="X1" s="3"/>
    </row>
    <row r="2" spans="1:24" ht="18" customHeight="1">
      <c r="A2" s="4" t="s">
        <v>635</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118</v>
      </c>
      <c r="L3" s="5"/>
      <c r="M3" s="5" t="s">
        <v>207</v>
      </c>
      <c r="N3" s="5"/>
      <c r="O3" s="5" t="s">
        <v>208</v>
      </c>
      <c r="P3" s="5"/>
      <c r="Q3" s="5" t="s">
        <v>209</v>
      </c>
      <c r="R3" s="5"/>
      <c r="S3" s="40" t="s">
        <v>636</v>
      </c>
      <c r="T3" s="40"/>
      <c r="U3" s="40"/>
      <c r="V3" s="40"/>
      <c r="W3" s="40"/>
      <c r="X3" s="40"/>
    </row>
    <row r="4" spans="1:24" ht="30" customHeight="1">
      <c r="A4" s="10" t="s">
        <v>211</v>
      </c>
      <c r="B4" s="10" t="s">
        <v>215</v>
      </c>
      <c r="C4" s="11" t="s">
        <v>216</v>
      </c>
      <c r="D4" s="11" t="s">
        <v>637</v>
      </c>
      <c r="E4" s="11" t="s">
        <v>638</v>
      </c>
      <c r="F4" s="11" t="s">
        <v>639</v>
      </c>
      <c r="G4" s="11" t="s">
        <v>640</v>
      </c>
      <c r="H4" s="11" t="s">
        <v>641</v>
      </c>
      <c r="I4" s="11" t="s">
        <v>642</v>
      </c>
      <c r="J4" s="11" t="s">
        <v>643</v>
      </c>
      <c r="K4" s="11" t="s">
        <v>644</v>
      </c>
      <c r="L4" s="11" t="s">
        <v>225</v>
      </c>
      <c r="M4" s="11" t="s">
        <v>645</v>
      </c>
      <c r="N4" s="11" t="s">
        <v>267</v>
      </c>
      <c r="O4" s="11" t="s">
        <v>646</v>
      </c>
      <c r="P4" s="11" t="s">
        <v>647</v>
      </c>
      <c r="Q4" s="11" t="s">
        <v>648</v>
      </c>
      <c r="R4" s="11" t="s">
        <v>649</v>
      </c>
      <c r="S4" s="11" t="s">
        <v>650</v>
      </c>
      <c r="T4" s="11" t="s">
        <v>651</v>
      </c>
      <c r="U4" s="11" t="s">
        <v>652</v>
      </c>
      <c r="V4" s="11" t="s">
        <v>283</v>
      </c>
      <c r="W4" s="11" t="s">
        <v>653</v>
      </c>
      <c r="X4" s="11" t="s">
        <v>242</v>
      </c>
    </row>
    <row r="5" spans="1:24">
      <c r="A5" s="28">
        <f>IF(B5="","",LoyaltyPrefix&amp;TEXT(ROW()-4,"0000"))</f>
        <v>0</v>
      </c>
      <c r="C5" s="15">
        <f>IF(B5="","",IFERROR(INDEX(Clients!$B$5:$B$504,MATCH(B5,Clients!$A$5:$A$504,0)),"Not in Clients"))</f>
        <v>0</v>
      </c>
      <c r="M5" s="26">
        <f>IF(B5="","",ROUND(SUMIFS(Sales!$Y$5:$Y$1204,Sales!$D$5:$D$1204,B5,Sales!$B$5:$B$1204,"&gt;="&amp;IF(D5="",0,D5)),2))</f>
        <v>0</v>
      </c>
      <c r="N5" s="25">
        <f>IF(B5="","",IFERROR(INDEX(Clients!$T$5:$T$504,MATCH(B5,Clients!$A$5:$A$504,0))*1,0))</f>
        <v>0</v>
      </c>
      <c r="O5" s="25">
        <f>IF(B5="","",ROUND(M5*PointsPerUnit+IF(F5="",0,F5),0))</f>
        <v>0</v>
      </c>
      <c r="P5" s="25">
        <f>IF(B5="","",O5-IF(G5="",0,G5))</f>
        <v>0</v>
      </c>
      <c r="Q5" s="25">
        <f>IF(B5="","",IF(RewardAt&lt;=0,0,ROUNDDOWN(P5/RewardAt,0)))</f>
        <v>0</v>
      </c>
      <c r="R5" s="26">
        <f>IF(B5="","",ROUND(Q5*RewardValue,2))</f>
        <v>0</v>
      </c>
      <c r="S5" s="25">
        <f>IF(B5="","",IF(RewardAt&lt;=0,"",MAX(0,RewardAt*(Q5+1)-P5)))</f>
        <v>0</v>
      </c>
      <c r="T5" s="25">
        <f>IF(B5="","",COUNTIFS(Clients!$H$5:$H$504,B5))</f>
        <v>0</v>
      </c>
      <c r="U5" s="26">
        <f>IF(B5="","",ROUND(T5*ReferralReward-IF(J5="",0,J5),2))</f>
        <v>0</v>
      </c>
      <c r="V5" s="15">
        <f>IF(B5="","",IFERROR(INDEX(Clients!$AM$5:$AM$504,MATCH(B5,Clients!$A$5:$A$504,0))&amp;"",""))</f>
        <v>0</v>
      </c>
      <c r="W5" s="25">
        <f>IF(B5="","",COUNTIFS($P$5:$P$504,"&gt;"&amp;P5)+COUNTIFS($P$5:P5,P5))</f>
        <v>0</v>
      </c>
      <c r="X5" s="39">
        <f>IF(B5="","",IF(K5="No","",IF(COUNTIF($B$5:$B$504,B5)&gt;1,"Duplicate - this client is on twice",IF(Q5&gt;0,"Action - reward ready to give",IF(U5&gt;0.004,"Action - referral credit owed",IF(V5="Lapsing","Chase - points are a reason to call",IF(S5&lt;=RewardAt*0.2,"Rebook - nearly at a reward","OK")))))))</f>
        <v>0</v>
      </c>
    </row>
    <row r="6" spans="1:24">
      <c r="A6" s="28">
        <f>IF(B6="","",LoyaltyPrefix&amp;TEXT(ROW()-4,"0000"))</f>
        <v>0</v>
      </c>
      <c r="C6" s="15">
        <f>IF(B6="","",IFERROR(INDEX(Clients!$B$5:$B$504,MATCH(B6,Clients!$A$5:$A$504,0)),"Not in Clients"))</f>
        <v>0</v>
      </c>
      <c r="M6" s="26">
        <f>IF(B6="","",ROUND(SUMIFS(Sales!$Y$5:$Y$1204,Sales!$D$5:$D$1204,B6,Sales!$B$5:$B$1204,"&gt;="&amp;IF(D6="",0,D6)),2))</f>
        <v>0</v>
      </c>
      <c r="N6" s="25">
        <f>IF(B6="","",IFERROR(INDEX(Clients!$T$5:$T$504,MATCH(B6,Clients!$A$5:$A$504,0))*1,0))</f>
        <v>0</v>
      </c>
      <c r="O6" s="25">
        <f>IF(B6="","",ROUND(M6*PointsPerUnit+IF(F6="",0,F6),0))</f>
        <v>0</v>
      </c>
      <c r="P6" s="25">
        <f>IF(B6="","",O6-IF(G6="",0,G6))</f>
        <v>0</v>
      </c>
      <c r="Q6" s="25">
        <f>IF(B6="","",IF(RewardAt&lt;=0,0,ROUNDDOWN(P6/RewardAt,0)))</f>
        <v>0</v>
      </c>
      <c r="R6" s="26">
        <f>IF(B6="","",ROUND(Q6*RewardValue,2))</f>
        <v>0</v>
      </c>
      <c r="S6" s="25">
        <f>IF(B6="","",IF(RewardAt&lt;=0,"",MAX(0,RewardAt*(Q6+1)-P6)))</f>
        <v>0</v>
      </c>
      <c r="T6" s="25">
        <f>IF(B6="","",COUNTIFS(Clients!$H$5:$H$504,B6))</f>
        <v>0</v>
      </c>
      <c r="U6" s="26">
        <f>IF(B6="","",ROUND(T6*ReferralReward-IF(J6="",0,J6),2))</f>
        <v>0</v>
      </c>
      <c r="V6" s="15">
        <f>IF(B6="","",IFERROR(INDEX(Clients!$AM$5:$AM$504,MATCH(B6,Clients!$A$5:$A$504,0))&amp;"",""))</f>
        <v>0</v>
      </c>
      <c r="W6" s="25">
        <f>IF(B6="","",COUNTIFS($P$5:$P$504,"&gt;"&amp;P6)+COUNTIFS($P$5:P6,P6))</f>
        <v>0</v>
      </c>
      <c r="X6" s="39">
        <f>IF(B6="","",IF(K6="No","",IF(COUNTIF($B$5:$B$504,B6)&gt;1,"Duplicate - this client is on twice",IF(Q6&gt;0,"Action - reward ready to give",IF(U6&gt;0.004,"Action - referral credit owed",IF(V6="Lapsing","Chase - points are a reason to call",IF(S6&lt;=RewardAt*0.2,"Rebook - nearly at a reward","OK")))))))</f>
        <v>0</v>
      </c>
    </row>
    <row r="7" spans="1:24">
      <c r="A7" s="28">
        <f>IF(B7="","",LoyaltyPrefix&amp;TEXT(ROW()-4,"0000"))</f>
        <v>0</v>
      </c>
      <c r="C7" s="15">
        <f>IF(B7="","",IFERROR(INDEX(Clients!$B$5:$B$504,MATCH(B7,Clients!$A$5:$A$504,0)),"Not in Clients"))</f>
        <v>0</v>
      </c>
      <c r="M7" s="26">
        <f>IF(B7="","",ROUND(SUMIFS(Sales!$Y$5:$Y$1204,Sales!$D$5:$D$1204,B7,Sales!$B$5:$B$1204,"&gt;="&amp;IF(D7="",0,D7)),2))</f>
        <v>0</v>
      </c>
      <c r="N7" s="25">
        <f>IF(B7="","",IFERROR(INDEX(Clients!$T$5:$T$504,MATCH(B7,Clients!$A$5:$A$504,0))*1,0))</f>
        <v>0</v>
      </c>
      <c r="O7" s="25">
        <f>IF(B7="","",ROUND(M7*PointsPerUnit+IF(F7="",0,F7),0))</f>
        <v>0</v>
      </c>
      <c r="P7" s="25">
        <f>IF(B7="","",O7-IF(G7="",0,G7))</f>
        <v>0</v>
      </c>
      <c r="Q7" s="25">
        <f>IF(B7="","",IF(RewardAt&lt;=0,0,ROUNDDOWN(P7/RewardAt,0)))</f>
        <v>0</v>
      </c>
      <c r="R7" s="26">
        <f>IF(B7="","",ROUND(Q7*RewardValue,2))</f>
        <v>0</v>
      </c>
      <c r="S7" s="25">
        <f>IF(B7="","",IF(RewardAt&lt;=0,"",MAX(0,RewardAt*(Q7+1)-P7)))</f>
        <v>0</v>
      </c>
      <c r="T7" s="25">
        <f>IF(B7="","",COUNTIFS(Clients!$H$5:$H$504,B7))</f>
        <v>0</v>
      </c>
      <c r="U7" s="26">
        <f>IF(B7="","",ROUND(T7*ReferralReward-IF(J7="",0,J7),2))</f>
        <v>0</v>
      </c>
      <c r="V7" s="15">
        <f>IF(B7="","",IFERROR(INDEX(Clients!$AM$5:$AM$504,MATCH(B7,Clients!$A$5:$A$504,0))&amp;"",""))</f>
        <v>0</v>
      </c>
      <c r="W7" s="25">
        <f>IF(B7="","",COUNTIFS($P$5:$P$504,"&gt;"&amp;P7)+COUNTIFS($P$5:P7,P7))</f>
        <v>0</v>
      </c>
      <c r="X7" s="39">
        <f>IF(B7="","",IF(K7="No","",IF(COUNTIF($B$5:$B$504,B7)&gt;1,"Duplicate - this client is on twice",IF(Q7&gt;0,"Action - reward ready to give",IF(U7&gt;0.004,"Action - referral credit owed",IF(V7="Lapsing","Chase - points are a reason to call",IF(S7&lt;=RewardAt*0.2,"Rebook - nearly at a reward","OK")))))))</f>
        <v>0</v>
      </c>
    </row>
    <row r="8" spans="1:24">
      <c r="A8" s="28">
        <f>IF(B8="","",LoyaltyPrefix&amp;TEXT(ROW()-4,"0000"))</f>
        <v>0</v>
      </c>
      <c r="C8" s="15">
        <f>IF(B8="","",IFERROR(INDEX(Clients!$B$5:$B$504,MATCH(B8,Clients!$A$5:$A$504,0)),"Not in Clients"))</f>
        <v>0</v>
      </c>
      <c r="M8" s="26">
        <f>IF(B8="","",ROUND(SUMIFS(Sales!$Y$5:$Y$1204,Sales!$D$5:$D$1204,B8,Sales!$B$5:$B$1204,"&gt;="&amp;IF(D8="",0,D8)),2))</f>
        <v>0</v>
      </c>
      <c r="N8" s="25">
        <f>IF(B8="","",IFERROR(INDEX(Clients!$T$5:$T$504,MATCH(B8,Clients!$A$5:$A$504,0))*1,0))</f>
        <v>0</v>
      </c>
      <c r="O8" s="25">
        <f>IF(B8="","",ROUND(M8*PointsPerUnit+IF(F8="",0,F8),0))</f>
        <v>0</v>
      </c>
      <c r="P8" s="25">
        <f>IF(B8="","",O8-IF(G8="",0,G8))</f>
        <v>0</v>
      </c>
      <c r="Q8" s="25">
        <f>IF(B8="","",IF(RewardAt&lt;=0,0,ROUNDDOWN(P8/RewardAt,0)))</f>
        <v>0</v>
      </c>
      <c r="R8" s="26">
        <f>IF(B8="","",ROUND(Q8*RewardValue,2))</f>
        <v>0</v>
      </c>
      <c r="S8" s="25">
        <f>IF(B8="","",IF(RewardAt&lt;=0,"",MAX(0,RewardAt*(Q8+1)-P8)))</f>
        <v>0</v>
      </c>
      <c r="T8" s="25">
        <f>IF(B8="","",COUNTIFS(Clients!$H$5:$H$504,B8))</f>
        <v>0</v>
      </c>
      <c r="U8" s="26">
        <f>IF(B8="","",ROUND(T8*ReferralReward-IF(J8="",0,J8),2))</f>
        <v>0</v>
      </c>
      <c r="V8" s="15">
        <f>IF(B8="","",IFERROR(INDEX(Clients!$AM$5:$AM$504,MATCH(B8,Clients!$A$5:$A$504,0))&amp;"",""))</f>
        <v>0</v>
      </c>
      <c r="W8" s="25">
        <f>IF(B8="","",COUNTIFS($P$5:$P$504,"&gt;"&amp;P8)+COUNTIFS($P$5:P8,P8))</f>
        <v>0</v>
      </c>
      <c r="X8" s="39">
        <f>IF(B8="","",IF(K8="No","",IF(COUNTIF($B$5:$B$504,B8)&gt;1,"Duplicate - this client is on twice",IF(Q8&gt;0,"Action - reward ready to give",IF(U8&gt;0.004,"Action - referral credit owed",IF(V8="Lapsing","Chase - points are a reason to call",IF(S8&lt;=RewardAt*0.2,"Rebook - nearly at a reward","OK")))))))</f>
        <v>0</v>
      </c>
    </row>
    <row r="9" spans="1:24">
      <c r="A9" s="28">
        <f>IF(B9="","",LoyaltyPrefix&amp;TEXT(ROW()-4,"0000"))</f>
        <v>0</v>
      </c>
      <c r="C9" s="15">
        <f>IF(B9="","",IFERROR(INDEX(Clients!$B$5:$B$504,MATCH(B9,Clients!$A$5:$A$504,0)),"Not in Clients"))</f>
        <v>0</v>
      </c>
      <c r="M9" s="26">
        <f>IF(B9="","",ROUND(SUMIFS(Sales!$Y$5:$Y$1204,Sales!$D$5:$D$1204,B9,Sales!$B$5:$B$1204,"&gt;="&amp;IF(D9="",0,D9)),2))</f>
        <v>0</v>
      </c>
      <c r="N9" s="25">
        <f>IF(B9="","",IFERROR(INDEX(Clients!$T$5:$T$504,MATCH(B9,Clients!$A$5:$A$504,0))*1,0))</f>
        <v>0</v>
      </c>
      <c r="O9" s="25">
        <f>IF(B9="","",ROUND(M9*PointsPerUnit+IF(F9="",0,F9),0))</f>
        <v>0</v>
      </c>
      <c r="P9" s="25">
        <f>IF(B9="","",O9-IF(G9="",0,G9))</f>
        <v>0</v>
      </c>
      <c r="Q9" s="25">
        <f>IF(B9="","",IF(RewardAt&lt;=0,0,ROUNDDOWN(P9/RewardAt,0)))</f>
        <v>0</v>
      </c>
      <c r="R9" s="26">
        <f>IF(B9="","",ROUND(Q9*RewardValue,2))</f>
        <v>0</v>
      </c>
      <c r="S9" s="25">
        <f>IF(B9="","",IF(RewardAt&lt;=0,"",MAX(0,RewardAt*(Q9+1)-P9)))</f>
        <v>0</v>
      </c>
      <c r="T9" s="25">
        <f>IF(B9="","",COUNTIFS(Clients!$H$5:$H$504,B9))</f>
        <v>0</v>
      </c>
      <c r="U9" s="26">
        <f>IF(B9="","",ROUND(T9*ReferralReward-IF(J9="",0,J9),2))</f>
        <v>0</v>
      </c>
      <c r="V9" s="15">
        <f>IF(B9="","",IFERROR(INDEX(Clients!$AM$5:$AM$504,MATCH(B9,Clients!$A$5:$A$504,0))&amp;"",""))</f>
        <v>0</v>
      </c>
      <c r="W9" s="25">
        <f>IF(B9="","",COUNTIFS($P$5:$P$504,"&gt;"&amp;P9)+COUNTIFS($P$5:P9,P9))</f>
        <v>0</v>
      </c>
      <c r="X9" s="39">
        <f>IF(B9="","",IF(K9="No","",IF(COUNTIF($B$5:$B$504,B9)&gt;1,"Duplicate - this client is on twice",IF(Q9&gt;0,"Action - reward ready to give",IF(U9&gt;0.004,"Action - referral credit owed",IF(V9="Lapsing","Chase - points are a reason to call",IF(S9&lt;=RewardAt*0.2,"Rebook - nearly at a reward","OK")))))))</f>
        <v>0</v>
      </c>
    </row>
    <row r="10" spans="1:24">
      <c r="A10" s="28">
        <f>IF(B10="","",LoyaltyPrefix&amp;TEXT(ROW()-4,"0000"))</f>
        <v>0</v>
      </c>
      <c r="C10" s="15">
        <f>IF(B10="","",IFERROR(INDEX(Clients!$B$5:$B$504,MATCH(B10,Clients!$A$5:$A$504,0)),"Not in Clients"))</f>
        <v>0</v>
      </c>
      <c r="M10" s="26">
        <f>IF(B10="","",ROUND(SUMIFS(Sales!$Y$5:$Y$1204,Sales!$D$5:$D$1204,B10,Sales!$B$5:$B$1204,"&gt;="&amp;IF(D10="",0,D10)),2))</f>
        <v>0</v>
      </c>
      <c r="N10" s="25">
        <f>IF(B10="","",IFERROR(INDEX(Clients!$T$5:$T$504,MATCH(B10,Clients!$A$5:$A$504,0))*1,0))</f>
        <v>0</v>
      </c>
      <c r="O10" s="25">
        <f>IF(B10="","",ROUND(M10*PointsPerUnit+IF(F10="",0,F10),0))</f>
        <v>0</v>
      </c>
      <c r="P10" s="25">
        <f>IF(B10="","",O10-IF(G10="",0,G10))</f>
        <v>0</v>
      </c>
      <c r="Q10" s="25">
        <f>IF(B10="","",IF(RewardAt&lt;=0,0,ROUNDDOWN(P10/RewardAt,0)))</f>
        <v>0</v>
      </c>
      <c r="R10" s="26">
        <f>IF(B10="","",ROUND(Q10*RewardValue,2))</f>
        <v>0</v>
      </c>
      <c r="S10" s="25">
        <f>IF(B10="","",IF(RewardAt&lt;=0,"",MAX(0,RewardAt*(Q10+1)-P10)))</f>
        <v>0</v>
      </c>
      <c r="T10" s="25">
        <f>IF(B10="","",COUNTIFS(Clients!$H$5:$H$504,B10))</f>
        <v>0</v>
      </c>
      <c r="U10" s="26">
        <f>IF(B10="","",ROUND(T10*ReferralReward-IF(J10="",0,J10),2))</f>
        <v>0</v>
      </c>
      <c r="V10" s="15">
        <f>IF(B10="","",IFERROR(INDEX(Clients!$AM$5:$AM$504,MATCH(B10,Clients!$A$5:$A$504,0))&amp;"",""))</f>
        <v>0</v>
      </c>
      <c r="W10" s="25">
        <f>IF(B10="","",COUNTIFS($P$5:$P$504,"&gt;"&amp;P10)+COUNTIFS($P$5:P10,P10))</f>
        <v>0</v>
      </c>
      <c r="X10" s="39">
        <f>IF(B10="","",IF(K10="No","",IF(COUNTIF($B$5:$B$504,B10)&gt;1,"Duplicate - this client is on twice",IF(Q10&gt;0,"Action - reward ready to give",IF(U10&gt;0.004,"Action - referral credit owed",IF(V10="Lapsing","Chase - points are a reason to call",IF(S10&lt;=RewardAt*0.2,"Rebook - nearly at a reward","OK")))))))</f>
        <v>0</v>
      </c>
    </row>
    <row r="11" spans="1:24">
      <c r="A11" s="28">
        <f>IF(B11="","",LoyaltyPrefix&amp;TEXT(ROW()-4,"0000"))</f>
        <v>0</v>
      </c>
      <c r="C11" s="15">
        <f>IF(B11="","",IFERROR(INDEX(Clients!$B$5:$B$504,MATCH(B11,Clients!$A$5:$A$504,0)),"Not in Clients"))</f>
        <v>0</v>
      </c>
      <c r="M11" s="26">
        <f>IF(B11="","",ROUND(SUMIFS(Sales!$Y$5:$Y$1204,Sales!$D$5:$D$1204,B11,Sales!$B$5:$B$1204,"&gt;="&amp;IF(D11="",0,D11)),2))</f>
        <v>0</v>
      </c>
      <c r="N11" s="25">
        <f>IF(B11="","",IFERROR(INDEX(Clients!$T$5:$T$504,MATCH(B11,Clients!$A$5:$A$504,0))*1,0))</f>
        <v>0</v>
      </c>
      <c r="O11" s="25">
        <f>IF(B11="","",ROUND(M11*PointsPerUnit+IF(F11="",0,F11),0))</f>
        <v>0</v>
      </c>
      <c r="P11" s="25">
        <f>IF(B11="","",O11-IF(G11="",0,G11))</f>
        <v>0</v>
      </c>
      <c r="Q11" s="25">
        <f>IF(B11="","",IF(RewardAt&lt;=0,0,ROUNDDOWN(P11/RewardAt,0)))</f>
        <v>0</v>
      </c>
      <c r="R11" s="26">
        <f>IF(B11="","",ROUND(Q11*RewardValue,2))</f>
        <v>0</v>
      </c>
      <c r="S11" s="25">
        <f>IF(B11="","",IF(RewardAt&lt;=0,"",MAX(0,RewardAt*(Q11+1)-P11)))</f>
        <v>0</v>
      </c>
      <c r="T11" s="25">
        <f>IF(B11="","",COUNTIFS(Clients!$H$5:$H$504,B11))</f>
        <v>0</v>
      </c>
      <c r="U11" s="26">
        <f>IF(B11="","",ROUND(T11*ReferralReward-IF(J11="",0,J11),2))</f>
        <v>0</v>
      </c>
      <c r="V11" s="15">
        <f>IF(B11="","",IFERROR(INDEX(Clients!$AM$5:$AM$504,MATCH(B11,Clients!$A$5:$A$504,0))&amp;"",""))</f>
        <v>0</v>
      </c>
      <c r="W11" s="25">
        <f>IF(B11="","",COUNTIFS($P$5:$P$504,"&gt;"&amp;P11)+COUNTIFS($P$5:P11,P11))</f>
        <v>0</v>
      </c>
      <c r="X11" s="39">
        <f>IF(B11="","",IF(K11="No","",IF(COUNTIF($B$5:$B$504,B11)&gt;1,"Duplicate - this client is on twice",IF(Q11&gt;0,"Action - reward ready to give",IF(U11&gt;0.004,"Action - referral credit owed",IF(V11="Lapsing","Chase - points are a reason to call",IF(S11&lt;=RewardAt*0.2,"Rebook - nearly at a reward","OK")))))))</f>
        <v>0</v>
      </c>
    </row>
    <row r="12" spans="1:24">
      <c r="A12" s="28">
        <f>IF(B12="","",LoyaltyPrefix&amp;TEXT(ROW()-4,"0000"))</f>
        <v>0</v>
      </c>
      <c r="C12" s="15">
        <f>IF(B12="","",IFERROR(INDEX(Clients!$B$5:$B$504,MATCH(B12,Clients!$A$5:$A$504,0)),"Not in Clients"))</f>
        <v>0</v>
      </c>
      <c r="M12" s="26">
        <f>IF(B12="","",ROUND(SUMIFS(Sales!$Y$5:$Y$1204,Sales!$D$5:$D$1204,B12,Sales!$B$5:$B$1204,"&gt;="&amp;IF(D12="",0,D12)),2))</f>
        <v>0</v>
      </c>
      <c r="N12" s="25">
        <f>IF(B12="","",IFERROR(INDEX(Clients!$T$5:$T$504,MATCH(B12,Clients!$A$5:$A$504,0))*1,0))</f>
        <v>0</v>
      </c>
      <c r="O12" s="25">
        <f>IF(B12="","",ROUND(M12*PointsPerUnit+IF(F12="",0,F12),0))</f>
        <v>0</v>
      </c>
      <c r="P12" s="25">
        <f>IF(B12="","",O12-IF(G12="",0,G12))</f>
        <v>0</v>
      </c>
      <c r="Q12" s="25">
        <f>IF(B12="","",IF(RewardAt&lt;=0,0,ROUNDDOWN(P12/RewardAt,0)))</f>
        <v>0</v>
      </c>
      <c r="R12" s="26">
        <f>IF(B12="","",ROUND(Q12*RewardValue,2))</f>
        <v>0</v>
      </c>
      <c r="S12" s="25">
        <f>IF(B12="","",IF(RewardAt&lt;=0,"",MAX(0,RewardAt*(Q12+1)-P12)))</f>
        <v>0</v>
      </c>
      <c r="T12" s="25">
        <f>IF(B12="","",COUNTIFS(Clients!$H$5:$H$504,B12))</f>
        <v>0</v>
      </c>
      <c r="U12" s="26">
        <f>IF(B12="","",ROUND(T12*ReferralReward-IF(J12="",0,J12),2))</f>
        <v>0</v>
      </c>
      <c r="V12" s="15">
        <f>IF(B12="","",IFERROR(INDEX(Clients!$AM$5:$AM$504,MATCH(B12,Clients!$A$5:$A$504,0))&amp;"",""))</f>
        <v>0</v>
      </c>
      <c r="W12" s="25">
        <f>IF(B12="","",COUNTIFS($P$5:$P$504,"&gt;"&amp;P12)+COUNTIFS($P$5:P12,P12))</f>
        <v>0</v>
      </c>
      <c r="X12" s="39">
        <f>IF(B12="","",IF(K12="No","",IF(COUNTIF($B$5:$B$504,B12)&gt;1,"Duplicate - this client is on twice",IF(Q12&gt;0,"Action - reward ready to give",IF(U12&gt;0.004,"Action - referral credit owed",IF(V12="Lapsing","Chase - points are a reason to call",IF(S12&lt;=RewardAt*0.2,"Rebook - nearly at a reward","OK")))))))</f>
        <v>0</v>
      </c>
    </row>
    <row r="13" spans="1:24">
      <c r="A13" s="28">
        <f>IF(B13="","",LoyaltyPrefix&amp;TEXT(ROW()-4,"0000"))</f>
        <v>0</v>
      </c>
      <c r="C13" s="15">
        <f>IF(B13="","",IFERROR(INDEX(Clients!$B$5:$B$504,MATCH(B13,Clients!$A$5:$A$504,0)),"Not in Clients"))</f>
        <v>0</v>
      </c>
      <c r="M13" s="26">
        <f>IF(B13="","",ROUND(SUMIFS(Sales!$Y$5:$Y$1204,Sales!$D$5:$D$1204,B13,Sales!$B$5:$B$1204,"&gt;="&amp;IF(D13="",0,D13)),2))</f>
        <v>0</v>
      </c>
      <c r="N13" s="25">
        <f>IF(B13="","",IFERROR(INDEX(Clients!$T$5:$T$504,MATCH(B13,Clients!$A$5:$A$504,0))*1,0))</f>
        <v>0</v>
      </c>
      <c r="O13" s="25">
        <f>IF(B13="","",ROUND(M13*PointsPerUnit+IF(F13="",0,F13),0))</f>
        <v>0</v>
      </c>
      <c r="P13" s="25">
        <f>IF(B13="","",O13-IF(G13="",0,G13))</f>
        <v>0</v>
      </c>
      <c r="Q13" s="25">
        <f>IF(B13="","",IF(RewardAt&lt;=0,0,ROUNDDOWN(P13/RewardAt,0)))</f>
        <v>0</v>
      </c>
      <c r="R13" s="26">
        <f>IF(B13="","",ROUND(Q13*RewardValue,2))</f>
        <v>0</v>
      </c>
      <c r="S13" s="25">
        <f>IF(B13="","",IF(RewardAt&lt;=0,"",MAX(0,RewardAt*(Q13+1)-P13)))</f>
        <v>0</v>
      </c>
      <c r="T13" s="25">
        <f>IF(B13="","",COUNTIFS(Clients!$H$5:$H$504,B13))</f>
        <v>0</v>
      </c>
      <c r="U13" s="26">
        <f>IF(B13="","",ROUND(T13*ReferralReward-IF(J13="",0,J13),2))</f>
        <v>0</v>
      </c>
      <c r="V13" s="15">
        <f>IF(B13="","",IFERROR(INDEX(Clients!$AM$5:$AM$504,MATCH(B13,Clients!$A$5:$A$504,0))&amp;"",""))</f>
        <v>0</v>
      </c>
      <c r="W13" s="25">
        <f>IF(B13="","",COUNTIFS($P$5:$P$504,"&gt;"&amp;P13)+COUNTIFS($P$5:P13,P13))</f>
        <v>0</v>
      </c>
      <c r="X13" s="39">
        <f>IF(B13="","",IF(K13="No","",IF(COUNTIF($B$5:$B$504,B13)&gt;1,"Duplicate - this client is on twice",IF(Q13&gt;0,"Action - reward ready to give",IF(U13&gt;0.004,"Action - referral credit owed",IF(V13="Lapsing","Chase - points are a reason to call",IF(S13&lt;=RewardAt*0.2,"Rebook - nearly at a reward","OK")))))))</f>
        <v>0</v>
      </c>
    </row>
    <row r="14" spans="1:24">
      <c r="A14" s="28">
        <f>IF(B14="","",LoyaltyPrefix&amp;TEXT(ROW()-4,"0000"))</f>
        <v>0</v>
      </c>
      <c r="C14" s="15">
        <f>IF(B14="","",IFERROR(INDEX(Clients!$B$5:$B$504,MATCH(B14,Clients!$A$5:$A$504,0)),"Not in Clients"))</f>
        <v>0</v>
      </c>
      <c r="M14" s="26">
        <f>IF(B14="","",ROUND(SUMIFS(Sales!$Y$5:$Y$1204,Sales!$D$5:$D$1204,B14,Sales!$B$5:$B$1204,"&gt;="&amp;IF(D14="",0,D14)),2))</f>
        <v>0</v>
      </c>
      <c r="N14" s="25">
        <f>IF(B14="","",IFERROR(INDEX(Clients!$T$5:$T$504,MATCH(B14,Clients!$A$5:$A$504,0))*1,0))</f>
        <v>0</v>
      </c>
      <c r="O14" s="25">
        <f>IF(B14="","",ROUND(M14*PointsPerUnit+IF(F14="",0,F14),0))</f>
        <v>0</v>
      </c>
      <c r="P14" s="25">
        <f>IF(B14="","",O14-IF(G14="",0,G14))</f>
        <v>0</v>
      </c>
      <c r="Q14" s="25">
        <f>IF(B14="","",IF(RewardAt&lt;=0,0,ROUNDDOWN(P14/RewardAt,0)))</f>
        <v>0</v>
      </c>
      <c r="R14" s="26">
        <f>IF(B14="","",ROUND(Q14*RewardValue,2))</f>
        <v>0</v>
      </c>
      <c r="S14" s="25">
        <f>IF(B14="","",IF(RewardAt&lt;=0,"",MAX(0,RewardAt*(Q14+1)-P14)))</f>
        <v>0</v>
      </c>
      <c r="T14" s="25">
        <f>IF(B14="","",COUNTIFS(Clients!$H$5:$H$504,B14))</f>
        <v>0</v>
      </c>
      <c r="U14" s="26">
        <f>IF(B14="","",ROUND(T14*ReferralReward-IF(J14="",0,J14),2))</f>
        <v>0</v>
      </c>
      <c r="V14" s="15">
        <f>IF(B14="","",IFERROR(INDEX(Clients!$AM$5:$AM$504,MATCH(B14,Clients!$A$5:$A$504,0))&amp;"",""))</f>
        <v>0</v>
      </c>
      <c r="W14" s="25">
        <f>IF(B14="","",COUNTIFS($P$5:$P$504,"&gt;"&amp;P14)+COUNTIFS($P$5:P14,P14))</f>
        <v>0</v>
      </c>
      <c r="X14" s="39">
        <f>IF(B14="","",IF(K14="No","",IF(COUNTIF($B$5:$B$504,B14)&gt;1,"Duplicate - this client is on twice",IF(Q14&gt;0,"Action - reward ready to give",IF(U14&gt;0.004,"Action - referral credit owed",IF(V14="Lapsing","Chase - points are a reason to call",IF(S14&lt;=RewardAt*0.2,"Rebook - nearly at a reward","OK")))))))</f>
        <v>0</v>
      </c>
    </row>
    <row r="15" spans="1:24">
      <c r="A15" s="28">
        <f>IF(B15="","",LoyaltyPrefix&amp;TEXT(ROW()-4,"0000"))</f>
        <v>0</v>
      </c>
      <c r="C15" s="15">
        <f>IF(B15="","",IFERROR(INDEX(Clients!$B$5:$B$504,MATCH(B15,Clients!$A$5:$A$504,0)),"Not in Clients"))</f>
        <v>0</v>
      </c>
      <c r="M15" s="26">
        <f>IF(B15="","",ROUND(SUMIFS(Sales!$Y$5:$Y$1204,Sales!$D$5:$D$1204,B15,Sales!$B$5:$B$1204,"&gt;="&amp;IF(D15="",0,D15)),2))</f>
        <v>0</v>
      </c>
      <c r="N15" s="25">
        <f>IF(B15="","",IFERROR(INDEX(Clients!$T$5:$T$504,MATCH(B15,Clients!$A$5:$A$504,0))*1,0))</f>
        <v>0</v>
      </c>
      <c r="O15" s="25">
        <f>IF(B15="","",ROUND(M15*PointsPerUnit+IF(F15="",0,F15),0))</f>
        <v>0</v>
      </c>
      <c r="P15" s="25">
        <f>IF(B15="","",O15-IF(G15="",0,G15))</f>
        <v>0</v>
      </c>
      <c r="Q15" s="25">
        <f>IF(B15="","",IF(RewardAt&lt;=0,0,ROUNDDOWN(P15/RewardAt,0)))</f>
        <v>0</v>
      </c>
      <c r="R15" s="26">
        <f>IF(B15="","",ROUND(Q15*RewardValue,2))</f>
        <v>0</v>
      </c>
      <c r="S15" s="25">
        <f>IF(B15="","",IF(RewardAt&lt;=0,"",MAX(0,RewardAt*(Q15+1)-P15)))</f>
        <v>0</v>
      </c>
      <c r="T15" s="25">
        <f>IF(B15="","",COUNTIFS(Clients!$H$5:$H$504,B15))</f>
        <v>0</v>
      </c>
      <c r="U15" s="26">
        <f>IF(B15="","",ROUND(T15*ReferralReward-IF(J15="",0,J15),2))</f>
        <v>0</v>
      </c>
      <c r="V15" s="15">
        <f>IF(B15="","",IFERROR(INDEX(Clients!$AM$5:$AM$504,MATCH(B15,Clients!$A$5:$A$504,0))&amp;"",""))</f>
        <v>0</v>
      </c>
      <c r="W15" s="25">
        <f>IF(B15="","",COUNTIFS($P$5:$P$504,"&gt;"&amp;P15)+COUNTIFS($P$5:P15,P15))</f>
        <v>0</v>
      </c>
      <c r="X15" s="39">
        <f>IF(B15="","",IF(K15="No","",IF(COUNTIF($B$5:$B$504,B15)&gt;1,"Duplicate - this client is on twice",IF(Q15&gt;0,"Action - reward ready to give",IF(U15&gt;0.004,"Action - referral credit owed",IF(V15="Lapsing","Chase - points are a reason to call",IF(S15&lt;=RewardAt*0.2,"Rebook - nearly at a reward","OK")))))))</f>
        <v>0</v>
      </c>
    </row>
    <row r="16" spans="1:24">
      <c r="A16" s="28">
        <f>IF(B16="","",LoyaltyPrefix&amp;TEXT(ROW()-4,"0000"))</f>
        <v>0</v>
      </c>
      <c r="C16" s="15">
        <f>IF(B16="","",IFERROR(INDEX(Clients!$B$5:$B$504,MATCH(B16,Clients!$A$5:$A$504,0)),"Not in Clients"))</f>
        <v>0</v>
      </c>
      <c r="M16" s="26">
        <f>IF(B16="","",ROUND(SUMIFS(Sales!$Y$5:$Y$1204,Sales!$D$5:$D$1204,B16,Sales!$B$5:$B$1204,"&gt;="&amp;IF(D16="",0,D16)),2))</f>
        <v>0</v>
      </c>
      <c r="N16" s="25">
        <f>IF(B16="","",IFERROR(INDEX(Clients!$T$5:$T$504,MATCH(B16,Clients!$A$5:$A$504,0))*1,0))</f>
        <v>0</v>
      </c>
      <c r="O16" s="25">
        <f>IF(B16="","",ROUND(M16*PointsPerUnit+IF(F16="",0,F16),0))</f>
        <v>0</v>
      </c>
      <c r="P16" s="25">
        <f>IF(B16="","",O16-IF(G16="",0,G16))</f>
        <v>0</v>
      </c>
      <c r="Q16" s="25">
        <f>IF(B16="","",IF(RewardAt&lt;=0,0,ROUNDDOWN(P16/RewardAt,0)))</f>
        <v>0</v>
      </c>
      <c r="R16" s="26">
        <f>IF(B16="","",ROUND(Q16*RewardValue,2))</f>
        <v>0</v>
      </c>
      <c r="S16" s="25">
        <f>IF(B16="","",IF(RewardAt&lt;=0,"",MAX(0,RewardAt*(Q16+1)-P16)))</f>
        <v>0</v>
      </c>
      <c r="T16" s="25">
        <f>IF(B16="","",COUNTIFS(Clients!$H$5:$H$504,B16))</f>
        <v>0</v>
      </c>
      <c r="U16" s="26">
        <f>IF(B16="","",ROUND(T16*ReferralReward-IF(J16="",0,J16),2))</f>
        <v>0</v>
      </c>
      <c r="V16" s="15">
        <f>IF(B16="","",IFERROR(INDEX(Clients!$AM$5:$AM$504,MATCH(B16,Clients!$A$5:$A$504,0))&amp;"",""))</f>
        <v>0</v>
      </c>
      <c r="W16" s="25">
        <f>IF(B16="","",COUNTIFS($P$5:$P$504,"&gt;"&amp;P16)+COUNTIFS($P$5:P16,P16))</f>
        <v>0</v>
      </c>
      <c r="X16" s="39">
        <f>IF(B16="","",IF(K16="No","",IF(COUNTIF($B$5:$B$504,B16)&gt;1,"Duplicate - this client is on twice",IF(Q16&gt;0,"Action - reward ready to give",IF(U16&gt;0.004,"Action - referral credit owed",IF(V16="Lapsing","Chase - points are a reason to call",IF(S16&lt;=RewardAt*0.2,"Rebook - nearly at a reward","OK")))))))</f>
        <v>0</v>
      </c>
    </row>
    <row r="17" spans="1:24">
      <c r="A17" s="28">
        <f>IF(B17="","",LoyaltyPrefix&amp;TEXT(ROW()-4,"0000"))</f>
        <v>0</v>
      </c>
      <c r="C17" s="15">
        <f>IF(B17="","",IFERROR(INDEX(Clients!$B$5:$B$504,MATCH(B17,Clients!$A$5:$A$504,0)),"Not in Clients"))</f>
        <v>0</v>
      </c>
      <c r="M17" s="26">
        <f>IF(B17="","",ROUND(SUMIFS(Sales!$Y$5:$Y$1204,Sales!$D$5:$D$1204,B17,Sales!$B$5:$B$1204,"&gt;="&amp;IF(D17="",0,D17)),2))</f>
        <v>0</v>
      </c>
      <c r="N17" s="25">
        <f>IF(B17="","",IFERROR(INDEX(Clients!$T$5:$T$504,MATCH(B17,Clients!$A$5:$A$504,0))*1,0))</f>
        <v>0</v>
      </c>
      <c r="O17" s="25">
        <f>IF(B17="","",ROUND(M17*PointsPerUnit+IF(F17="",0,F17),0))</f>
        <v>0</v>
      </c>
      <c r="P17" s="25">
        <f>IF(B17="","",O17-IF(G17="",0,G17))</f>
        <v>0</v>
      </c>
      <c r="Q17" s="25">
        <f>IF(B17="","",IF(RewardAt&lt;=0,0,ROUNDDOWN(P17/RewardAt,0)))</f>
        <v>0</v>
      </c>
      <c r="R17" s="26">
        <f>IF(B17="","",ROUND(Q17*RewardValue,2))</f>
        <v>0</v>
      </c>
      <c r="S17" s="25">
        <f>IF(B17="","",IF(RewardAt&lt;=0,"",MAX(0,RewardAt*(Q17+1)-P17)))</f>
        <v>0</v>
      </c>
      <c r="T17" s="25">
        <f>IF(B17="","",COUNTIFS(Clients!$H$5:$H$504,B17))</f>
        <v>0</v>
      </c>
      <c r="U17" s="26">
        <f>IF(B17="","",ROUND(T17*ReferralReward-IF(J17="",0,J17),2))</f>
        <v>0</v>
      </c>
      <c r="V17" s="15">
        <f>IF(B17="","",IFERROR(INDEX(Clients!$AM$5:$AM$504,MATCH(B17,Clients!$A$5:$A$504,0))&amp;"",""))</f>
        <v>0</v>
      </c>
      <c r="W17" s="25">
        <f>IF(B17="","",COUNTIFS($P$5:$P$504,"&gt;"&amp;P17)+COUNTIFS($P$5:P17,P17))</f>
        <v>0</v>
      </c>
      <c r="X17" s="39">
        <f>IF(B17="","",IF(K17="No","",IF(COUNTIF($B$5:$B$504,B17)&gt;1,"Duplicate - this client is on twice",IF(Q17&gt;0,"Action - reward ready to give",IF(U17&gt;0.004,"Action - referral credit owed",IF(V17="Lapsing","Chase - points are a reason to call",IF(S17&lt;=RewardAt*0.2,"Rebook - nearly at a reward","OK")))))))</f>
        <v>0</v>
      </c>
    </row>
    <row r="18" spans="1:24">
      <c r="A18" s="28">
        <f>IF(B18="","",LoyaltyPrefix&amp;TEXT(ROW()-4,"0000"))</f>
        <v>0</v>
      </c>
      <c r="C18" s="15">
        <f>IF(B18="","",IFERROR(INDEX(Clients!$B$5:$B$504,MATCH(B18,Clients!$A$5:$A$504,0)),"Not in Clients"))</f>
        <v>0</v>
      </c>
      <c r="M18" s="26">
        <f>IF(B18="","",ROUND(SUMIFS(Sales!$Y$5:$Y$1204,Sales!$D$5:$D$1204,B18,Sales!$B$5:$B$1204,"&gt;="&amp;IF(D18="",0,D18)),2))</f>
        <v>0</v>
      </c>
      <c r="N18" s="25">
        <f>IF(B18="","",IFERROR(INDEX(Clients!$T$5:$T$504,MATCH(B18,Clients!$A$5:$A$504,0))*1,0))</f>
        <v>0</v>
      </c>
      <c r="O18" s="25">
        <f>IF(B18="","",ROUND(M18*PointsPerUnit+IF(F18="",0,F18),0))</f>
        <v>0</v>
      </c>
      <c r="P18" s="25">
        <f>IF(B18="","",O18-IF(G18="",0,G18))</f>
        <v>0</v>
      </c>
      <c r="Q18" s="25">
        <f>IF(B18="","",IF(RewardAt&lt;=0,0,ROUNDDOWN(P18/RewardAt,0)))</f>
        <v>0</v>
      </c>
      <c r="R18" s="26">
        <f>IF(B18="","",ROUND(Q18*RewardValue,2))</f>
        <v>0</v>
      </c>
      <c r="S18" s="25">
        <f>IF(B18="","",IF(RewardAt&lt;=0,"",MAX(0,RewardAt*(Q18+1)-P18)))</f>
        <v>0</v>
      </c>
      <c r="T18" s="25">
        <f>IF(B18="","",COUNTIFS(Clients!$H$5:$H$504,B18))</f>
        <v>0</v>
      </c>
      <c r="U18" s="26">
        <f>IF(B18="","",ROUND(T18*ReferralReward-IF(J18="",0,J18),2))</f>
        <v>0</v>
      </c>
      <c r="V18" s="15">
        <f>IF(B18="","",IFERROR(INDEX(Clients!$AM$5:$AM$504,MATCH(B18,Clients!$A$5:$A$504,0))&amp;"",""))</f>
        <v>0</v>
      </c>
      <c r="W18" s="25">
        <f>IF(B18="","",COUNTIFS($P$5:$P$504,"&gt;"&amp;P18)+COUNTIFS($P$5:P18,P18))</f>
        <v>0</v>
      </c>
      <c r="X18" s="39">
        <f>IF(B18="","",IF(K18="No","",IF(COUNTIF($B$5:$B$504,B18)&gt;1,"Duplicate - this client is on twice",IF(Q18&gt;0,"Action - reward ready to give",IF(U18&gt;0.004,"Action - referral credit owed",IF(V18="Lapsing","Chase - points are a reason to call",IF(S18&lt;=RewardAt*0.2,"Rebook - nearly at a reward","OK")))))))</f>
        <v>0</v>
      </c>
    </row>
    <row r="19" spans="1:24">
      <c r="A19" s="28">
        <f>IF(B19="","",LoyaltyPrefix&amp;TEXT(ROW()-4,"0000"))</f>
        <v>0</v>
      </c>
      <c r="C19" s="15">
        <f>IF(B19="","",IFERROR(INDEX(Clients!$B$5:$B$504,MATCH(B19,Clients!$A$5:$A$504,0)),"Not in Clients"))</f>
        <v>0</v>
      </c>
      <c r="M19" s="26">
        <f>IF(B19="","",ROUND(SUMIFS(Sales!$Y$5:$Y$1204,Sales!$D$5:$D$1204,B19,Sales!$B$5:$B$1204,"&gt;="&amp;IF(D19="",0,D19)),2))</f>
        <v>0</v>
      </c>
      <c r="N19" s="25">
        <f>IF(B19="","",IFERROR(INDEX(Clients!$T$5:$T$504,MATCH(B19,Clients!$A$5:$A$504,0))*1,0))</f>
        <v>0</v>
      </c>
      <c r="O19" s="25">
        <f>IF(B19="","",ROUND(M19*PointsPerUnit+IF(F19="",0,F19),0))</f>
        <v>0</v>
      </c>
      <c r="P19" s="25">
        <f>IF(B19="","",O19-IF(G19="",0,G19))</f>
        <v>0</v>
      </c>
      <c r="Q19" s="25">
        <f>IF(B19="","",IF(RewardAt&lt;=0,0,ROUNDDOWN(P19/RewardAt,0)))</f>
        <v>0</v>
      </c>
      <c r="R19" s="26">
        <f>IF(B19="","",ROUND(Q19*RewardValue,2))</f>
        <v>0</v>
      </c>
      <c r="S19" s="25">
        <f>IF(B19="","",IF(RewardAt&lt;=0,"",MAX(0,RewardAt*(Q19+1)-P19)))</f>
        <v>0</v>
      </c>
      <c r="T19" s="25">
        <f>IF(B19="","",COUNTIFS(Clients!$H$5:$H$504,B19))</f>
        <v>0</v>
      </c>
      <c r="U19" s="26">
        <f>IF(B19="","",ROUND(T19*ReferralReward-IF(J19="",0,J19),2))</f>
        <v>0</v>
      </c>
      <c r="V19" s="15">
        <f>IF(B19="","",IFERROR(INDEX(Clients!$AM$5:$AM$504,MATCH(B19,Clients!$A$5:$A$504,0))&amp;"",""))</f>
        <v>0</v>
      </c>
      <c r="W19" s="25">
        <f>IF(B19="","",COUNTIFS($P$5:$P$504,"&gt;"&amp;P19)+COUNTIFS($P$5:P19,P19))</f>
        <v>0</v>
      </c>
      <c r="X19" s="39">
        <f>IF(B19="","",IF(K19="No","",IF(COUNTIF($B$5:$B$504,B19)&gt;1,"Duplicate - this client is on twice",IF(Q19&gt;0,"Action - reward ready to give",IF(U19&gt;0.004,"Action - referral credit owed",IF(V19="Lapsing","Chase - points are a reason to call",IF(S19&lt;=RewardAt*0.2,"Rebook - nearly at a reward","OK")))))))</f>
        <v>0</v>
      </c>
    </row>
    <row r="20" spans="1:24">
      <c r="A20" s="28">
        <f>IF(B20="","",LoyaltyPrefix&amp;TEXT(ROW()-4,"0000"))</f>
        <v>0</v>
      </c>
      <c r="C20" s="15">
        <f>IF(B20="","",IFERROR(INDEX(Clients!$B$5:$B$504,MATCH(B20,Clients!$A$5:$A$504,0)),"Not in Clients"))</f>
        <v>0</v>
      </c>
      <c r="M20" s="26">
        <f>IF(B20="","",ROUND(SUMIFS(Sales!$Y$5:$Y$1204,Sales!$D$5:$D$1204,B20,Sales!$B$5:$B$1204,"&gt;="&amp;IF(D20="",0,D20)),2))</f>
        <v>0</v>
      </c>
      <c r="N20" s="25">
        <f>IF(B20="","",IFERROR(INDEX(Clients!$T$5:$T$504,MATCH(B20,Clients!$A$5:$A$504,0))*1,0))</f>
        <v>0</v>
      </c>
      <c r="O20" s="25">
        <f>IF(B20="","",ROUND(M20*PointsPerUnit+IF(F20="",0,F20),0))</f>
        <v>0</v>
      </c>
      <c r="P20" s="25">
        <f>IF(B20="","",O20-IF(G20="",0,G20))</f>
        <v>0</v>
      </c>
      <c r="Q20" s="25">
        <f>IF(B20="","",IF(RewardAt&lt;=0,0,ROUNDDOWN(P20/RewardAt,0)))</f>
        <v>0</v>
      </c>
      <c r="R20" s="26">
        <f>IF(B20="","",ROUND(Q20*RewardValue,2))</f>
        <v>0</v>
      </c>
      <c r="S20" s="25">
        <f>IF(B20="","",IF(RewardAt&lt;=0,"",MAX(0,RewardAt*(Q20+1)-P20)))</f>
        <v>0</v>
      </c>
      <c r="T20" s="25">
        <f>IF(B20="","",COUNTIFS(Clients!$H$5:$H$504,B20))</f>
        <v>0</v>
      </c>
      <c r="U20" s="26">
        <f>IF(B20="","",ROUND(T20*ReferralReward-IF(J20="",0,J20),2))</f>
        <v>0</v>
      </c>
      <c r="V20" s="15">
        <f>IF(B20="","",IFERROR(INDEX(Clients!$AM$5:$AM$504,MATCH(B20,Clients!$A$5:$A$504,0))&amp;"",""))</f>
        <v>0</v>
      </c>
      <c r="W20" s="25">
        <f>IF(B20="","",COUNTIFS($P$5:$P$504,"&gt;"&amp;P20)+COUNTIFS($P$5:P20,P20))</f>
        <v>0</v>
      </c>
      <c r="X20" s="39">
        <f>IF(B20="","",IF(K20="No","",IF(COUNTIF($B$5:$B$504,B20)&gt;1,"Duplicate - this client is on twice",IF(Q20&gt;0,"Action - reward ready to give",IF(U20&gt;0.004,"Action - referral credit owed",IF(V20="Lapsing","Chase - points are a reason to call",IF(S20&lt;=RewardAt*0.2,"Rebook - nearly at a reward","OK")))))))</f>
        <v>0</v>
      </c>
    </row>
    <row r="21" spans="1:24">
      <c r="A21" s="28">
        <f>IF(B21="","",LoyaltyPrefix&amp;TEXT(ROW()-4,"0000"))</f>
        <v>0</v>
      </c>
      <c r="C21" s="15">
        <f>IF(B21="","",IFERROR(INDEX(Clients!$B$5:$B$504,MATCH(B21,Clients!$A$5:$A$504,0)),"Not in Clients"))</f>
        <v>0</v>
      </c>
      <c r="M21" s="26">
        <f>IF(B21="","",ROUND(SUMIFS(Sales!$Y$5:$Y$1204,Sales!$D$5:$D$1204,B21,Sales!$B$5:$B$1204,"&gt;="&amp;IF(D21="",0,D21)),2))</f>
        <v>0</v>
      </c>
      <c r="N21" s="25">
        <f>IF(B21="","",IFERROR(INDEX(Clients!$T$5:$T$504,MATCH(B21,Clients!$A$5:$A$504,0))*1,0))</f>
        <v>0</v>
      </c>
      <c r="O21" s="25">
        <f>IF(B21="","",ROUND(M21*PointsPerUnit+IF(F21="",0,F21),0))</f>
        <v>0</v>
      </c>
      <c r="P21" s="25">
        <f>IF(B21="","",O21-IF(G21="",0,G21))</f>
        <v>0</v>
      </c>
      <c r="Q21" s="25">
        <f>IF(B21="","",IF(RewardAt&lt;=0,0,ROUNDDOWN(P21/RewardAt,0)))</f>
        <v>0</v>
      </c>
      <c r="R21" s="26">
        <f>IF(B21="","",ROUND(Q21*RewardValue,2))</f>
        <v>0</v>
      </c>
      <c r="S21" s="25">
        <f>IF(B21="","",IF(RewardAt&lt;=0,"",MAX(0,RewardAt*(Q21+1)-P21)))</f>
        <v>0</v>
      </c>
      <c r="T21" s="25">
        <f>IF(B21="","",COUNTIFS(Clients!$H$5:$H$504,B21))</f>
        <v>0</v>
      </c>
      <c r="U21" s="26">
        <f>IF(B21="","",ROUND(T21*ReferralReward-IF(J21="",0,J21),2))</f>
        <v>0</v>
      </c>
      <c r="V21" s="15">
        <f>IF(B21="","",IFERROR(INDEX(Clients!$AM$5:$AM$504,MATCH(B21,Clients!$A$5:$A$504,0))&amp;"",""))</f>
        <v>0</v>
      </c>
      <c r="W21" s="25">
        <f>IF(B21="","",COUNTIFS($P$5:$P$504,"&gt;"&amp;P21)+COUNTIFS($P$5:P21,P21))</f>
        <v>0</v>
      </c>
      <c r="X21" s="39">
        <f>IF(B21="","",IF(K21="No","",IF(COUNTIF($B$5:$B$504,B21)&gt;1,"Duplicate - this client is on twice",IF(Q21&gt;0,"Action - reward ready to give",IF(U21&gt;0.004,"Action - referral credit owed",IF(V21="Lapsing","Chase - points are a reason to call",IF(S21&lt;=RewardAt*0.2,"Rebook - nearly at a reward","OK")))))))</f>
        <v>0</v>
      </c>
    </row>
    <row r="22" spans="1:24">
      <c r="A22" s="28">
        <f>IF(B22="","",LoyaltyPrefix&amp;TEXT(ROW()-4,"0000"))</f>
        <v>0</v>
      </c>
      <c r="C22" s="15">
        <f>IF(B22="","",IFERROR(INDEX(Clients!$B$5:$B$504,MATCH(B22,Clients!$A$5:$A$504,0)),"Not in Clients"))</f>
        <v>0</v>
      </c>
      <c r="M22" s="26">
        <f>IF(B22="","",ROUND(SUMIFS(Sales!$Y$5:$Y$1204,Sales!$D$5:$D$1204,B22,Sales!$B$5:$B$1204,"&gt;="&amp;IF(D22="",0,D22)),2))</f>
        <v>0</v>
      </c>
      <c r="N22" s="25">
        <f>IF(B22="","",IFERROR(INDEX(Clients!$T$5:$T$504,MATCH(B22,Clients!$A$5:$A$504,0))*1,0))</f>
        <v>0</v>
      </c>
      <c r="O22" s="25">
        <f>IF(B22="","",ROUND(M22*PointsPerUnit+IF(F22="",0,F22),0))</f>
        <v>0</v>
      </c>
      <c r="P22" s="25">
        <f>IF(B22="","",O22-IF(G22="",0,G22))</f>
        <v>0</v>
      </c>
      <c r="Q22" s="25">
        <f>IF(B22="","",IF(RewardAt&lt;=0,0,ROUNDDOWN(P22/RewardAt,0)))</f>
        <v>0</v>
      </c>
      <c r="R22" s="26">
        <f>IF(B22="","",ROUND(Q22*RewardValue,2))</f>
        <v>0</v>
      </c>
      <c r="S22" s="25">
        <f>IF(B22="","",IF(RewardAt&lt;=0,"",MAX(0,RewardAt*(Q22+1)-P22)))</f>
        <v>0</v>
      </c>
      <c r="T22" s="25">
        <f>IF(B22="","",COUNTIFS(Clients!$H$5:$H$504,B22))</f>
        <v>0</v>
      </c>
      <c r="U22" s="26">
        <f>IF(B22="","",ROUND(T22*ReferralReward-IF(J22="",0,J22),2))</f>
        <v>0</v>
      </c>
      <c r="V22" s="15">
        <f>IF(B22="","",IFERROR(INDEX(Clients!$AM$5:$AM$504,MATCH(B22,Clients!$A$5:$A$504,0))&amp;"",""))</f>
        <v>0</v>
      </c>
      <c r="W22" s="25">
        <f>IF(B22="","",COUNTIFS($P$5:$P$504,"&gt;"&amp;P22)+COUNTIFS($P$5:P22,P22))</f>
        <v>0</v>
      </c>
      <c r="X22" s="39">
        <f>IF(B22="","",IF(K22="No","",IF(COUNTIF($B$5:$B$504,B22)&gt;1,"Duplicate - this client is on twice",IF(Q22&gt;0,"Action - reward ready to give",IF(U22&gt;0.004,"Action - referral credit owed",IF(V22="Lapsing","Chase - points are a reason to call",IF(S22&lt;=RewardAt*0.2,"Rebook - nearly at a reward","OK")))))))</f>
        <v>0</v>
      </c>
    </row>
    <row r="23" spans="1:24">
      <c r="A23" s="28">
        <f>IF(B23="","",LoyaltyPrefix&amp;TEXT(ROW()-4,"0000"))</f>
        <v>0</v>
      </c>
      <c r="C23" s="15">
        <f>IF(B23="","",IFERROR(INDEX(Clients!$B$5:$B$504,MATCH(B23,Clients!$A$5:$A$504,0)),"Not in Clients"))</f>
        <v>0</v>
      </c>
      <c r="M23" s="26">
        <f>IF(B23="","",ROUND(SUMIFS(Sales!$Y$5:$Y$1204,Sales!$D$5:$D$1204,B23,Sales!$B$5:$B$1204,"&gt;="&amp;IF(D23="",0,D23)),2))</f>
        <v>0</v>
      </c>
      <c r="N23" s="25">
        <f>IF(B23="","",IFERROR(INDEX(Clients!$T$5:$T$504,MATCH(B23,Clients!$A$5:$A$504,0))*1,0))</f>
        <v>0</v>
      </c>
      <c r="O23" s="25">
        <f>IF(B23="","",ROUND(M23*PointsPerUnit+IF(F23="",0,F23),0))</f>
        <v>0</v>
      </c>
      <c r="P23" s="25">
        <f>IF(B23="","",O23-IF(G23="",0,G23))</f>
        <v>0</v>
      </c>
      <c r="Q23" s="25">
        <f>IF(B23="","",IF(RewardAt&lt;=0,0,ROUNDDOWN(P23/RewardAt,0)))</f>
        <v>0</v>
      </c>
      <c r="R23" s="26">
        <f>IF(B23="","",ROUND(Q23*RewardValue,2))</f>
        <v>0</v>
      </c>
      <c r="S23" s="25">
        <f>IF(B23="","",IF(RewardAt&lt;=0,"",MAX(0,RewardAt*(Q23+1)-P23)))</f>
        <v>0</v>
      </c>
      <c r="T23" s="25">
        <f>IF(B23="","",COUNTIFS(Clients!$H$5:$H$504,B23))</f>
        <v>0</v>
      </c>
      <c r="U23" s="26">
        <f>IF(B23="","",ROUND(T23*ReferralReward-IF(J23="",0,J23),2))</f>
        <v>0</v>
      </c>
      <c r="V23" s="15">
        <f>IF(B23="","",IFERROR(INDEX(Clients!$AM$5:$AM$504,MATCH(B23,Clients!$A$5:$A$504,0))&amp;"",""))</f>
        <v>0</v>
      </c>
      <c r="W23" s="25">
        <f>IF(B23="","",COUNTIFS($P$5:$P$504,"&gt;"&amp;P23)+COUNTIFS($P$5:P23,P23))</f>
        <v>0</v>
      </c>
      <c r="X23" s="39">
        <f>IF(B23="","",IF(K23="No","",IF(COUNTIF($B$5:$B$504,B23)&gt;1,"Duplicate - this client is on twice",IF(Q23&gt;0,"Action - reward ready to give",IF(U23&gt;0.004,"Action - referral credit owed",IF(V23="Lapsing","Chase - points are a reason to call",IF(S23&lt;=RewardAt*0.2,"Rebook - nearly at a reward","OK")))))))</f>
        <v>0</v>
      </c>
    </row>
    <row r="24" spans="1:24">
      <c r="A24" s="28">
        <f>IF(B24="","",LoyaltyPrefix&amp;TEXT(ROW()-4,"0000"))</f>
        <v>0</v>
      </c>
      <c r="C24" s="15">
        <f>IF(B24="","",IFERROR(INDEX(Clients!$B$5:$B$504,MATCH(B24,Clients!$A$5:$A$504,0)),"Not in Clients"))</f>
        <v>0</v>
      </c>
      <c r="M24" s="26">
        <f>IF(B24="","",ROUND(SUMIFS(Sales!$Y$5:$Y$1204,Sales!$D$5:$D$1204,B24,Sales!$B$5:$B$1204,"&gt;="&amp;IF(D24="",0,D24)),2))</f>
        <v>0</v>
      </c>
      <c r="N24" s="25">
        <f>IF(B24="","",IFERROR(INDEX(Clients!$T$5:$T$504,MATCH(B24,Clients!$A$5:$A$504,0))*1,0))</f>
        <v>0</v>
      </c>
      <c r="O24" s="25">
        <f>IF(B24="","",ROUND(M24*PointsPerUnit+IF(F24="",0,F24),0))</f>
        <v>0</v>
      </c>
      <c r="P24" s="25">
        <f>IF(B24="","",O24-IF(G24="",0,G24))</f>
        <v>0</v>
      </c>
      <c r="Q24" s="25">
        <f>IF(B24="","",IF(RewardAt&lt;=0,0,ROUNDDOWN(P24/RewardAt,0)))</f>
        <v>0</v>
      </c>
      <c r="R24" s="26">
        <f>IF(B24="","",ROUND(Q24*RewardValue,2))</f>
        <v>0</v>
      </c>
      <c r="S24" s="25">
        <f>IF(B24="","",IF(RewardAt&lt;=0,"",MAX(0,RewardAt*(Q24+1)-P24)))</f>
        <v>0</v>
      </c>
      <c r="T24" s="25">
        <f>IF(B24="","",COUNTIFS(Clients!$H$5:$H$504,B24))</f>
        <v>0</v>
      </c>
      <c r="U24" s="26">
        <f>IF(B24="","",ROUND(T24*ReferralReward-IF(J24="",0,J24),2))</f>
        <v>0</v>
      </c>
      <c r="V24" s="15">
        <f>IF(B24="","",IFERROR(INDEX(Clients!$AM$5:$AM$504,MATCH(B24,Clients!$A$5:$A$504,0))&amp;"",""))</f>
        <v>0</v>
      </c>
      <c r="W24" s="25">
        <f>IF(B24="","",COUNTIFS($P$5:$P$504,"&gt;"&amp;P24)+COUNTIFS($P$5:P24,P24))</f>
        <v>0</v>
      </c>
      <c r="X24" s="39">
        <f>IF(B24="","",IF(K24="No","",IF(COUNTIF($B$5:$B$504,B24)&gt;1,"Duplicate - this client is on twice",IF(Q24&gt;0,"Action - reward ready to give",IF(U24&gt;0.004,"Action - referral credit owed",IF(V24="Lapsing","Chase - points are a reason to call",IF(S24&lt;=RewardAt*0.2,"Rebook - nearly at a reward","OK")))))))</f>
        <v>0</v>
      </c>
    </row>
    <row r="25" spans="1:24">
      <c r="A25" s="28">
        <f>IF(B25="","",LoyaltyPrefix&amp;TEXT(ROW()-4,"0000"))</f>
        <v>0</v>
      </c>
      <c r="C25" s="15">
        <f>IF(B25="","",IFERROR(INDEX(Clients!$B$5:$B$504,MATCH(B25,Clients!$A$5:$A$504,0)),"Not in Clients"))</f>
        <v>0</v>
      </c>
      <c r="M25" s="26">
        <f>IF(B25="","",ROUND(SUMIFS(Sales!$Y$5:$Y$1204,Sales!$D$5:$D$1204,B25,Sales!$B$5:$B$1204,"&gt;="&amp;IF(D25="",0,D25)),2))</f>
        <v>0</v>
      </c>
      <c r="N25" s="25">
        <f>IF(B25="","",IFERROR(INDEX(Clients!$T$5:$T$504,MATCH(B25,Clients!$A$5:$A$504,0))*1,0))</f>
        <v>0</v>
      </c>
      <c r="O25" s="25">
        <f>IF(B25="","",ROUND(M25*PointsPerUnit+IF(F25="",0,F25),0))</f>
        <v>0</v>
      </c>
      <c r="P25" s="25">
        <f>IF(B25="","",O25-IF(G25="",0,G25))</f>
        <v>0</v>
      </c>
      <c r="Q25" s="25">
        <f>IF(B25="","",IF(RewardAt&lt;=0,0,ROUNDDOWN(P25/RewardAt,0)))</f>
        <v>0</v>
      </c>
      <c r="R25" s="26">
        <f>IF(B25="","",ROUND(Q25*RewardValue,2))</f>
        <v>0</v>
      </c>
      <c r="S25" s="25">
        <f>IF(B25="","",IF(RewardAt&lt;=0,"",MAX(0,RewardAt*(Q25+1)-P25)))</f>
        <v>0</v>
      </c>
      <c r="T25" s="25">
        <f>IF(B25="","",COUNTIFS(Clients!$H$5:$H$504,B25))</f>
        <v>0</v>
      </c>
      <c r="U25" s="26">
        <f>IF(B25="","",ROUND(T25*ReferralReward-IF(J25="",0,J25),2))</f>
        <v>0</v>
      </c>
      <c r="V25" s="15">
        <f>IF(B25="","",IFERROR(INDEX(Clients!$AM$5:$AM$504,MATCH(B25,Clients!$A$5:$A$504,0))&amp;"",""))</f>
        <v>0</v>
      </c>
      <c r="W25" s="25">
        <f>IF(B25="","",COUNTIFS($P$5:$P$504,"&gt;"&amp;P25)+COUNTIFS($P$5:P25,P25))</f>
        <v>0</v>
      </c>
      <c r="X25" s="39">
        <f>IF(B25="","",IF(K25="No","",IF(COUNTIF($B$5:$B$504,B25)&gt;1,"Duplicate - this client is on twice",IF(Q25&gt;0,"Action - reward ready to give",IF(U25&gt;0.004,"Action - referral credit owed",IF(V25="Lapsing","Chase - points are a reason to call",IF(S25&lt;=RewardAt*0.2,"Rebook - nearly at a reward","OK")))))))</f>
        <v>0</v>
      </c>
    </row>
    <row r="26" spans="1:24">
      <c r="A26" s="28">
        <f>IF(B26="","",LoyaltyPrefix&amp;TEXT(ROW()-4,"0000"))</f>
        <v>0</v>
      </c>
      <c r="C26" s="15">
        <f>IF(B26="","",IFERROR(INDEX(Clients!$B$5:$B$504,MATCH(B26,Clients!$A$5:$A$504,0)),"Not in Clients"))</f>
        <v>0</v>
      </c>
      <c r="M26" s="26">
        <f>IF(B26="","",ROUND(SUMIFS(Sales!$Y$5:$Y$1204,Sales!$D$5:$D$1204,B26,Sales!$B$5:$B$1204,"&gt;="&amp;IF(D26="",0,D26)),2))</f>
        <v>0</v>
      </c>
      <c r="N26" s="25">
        <f>IF(B26="","",IFERROR(INDEX(Clients!$T$5:$T$504,MATCH(B26,Clients!$A$5:$A$504,0))*1,0))</f>
        <v>0</v>
      </c>
      <c r="O26" s="25">
        <f>IF(B26="","",ROUND(M26*PointsPerUnit+IF(F26="",0,F26),0))</f>
        <v>0</v>
      </c>
      <c r="P26" s="25">
        <f>IF(B26="","",O26-IF(G26="",0,G26))</f>
        <v>0</v>
      </c>
      <c r="Q26" s="25">
        <f>IF(B26="","",IF(RewardAt&lt;=0,0,ROUNDDOWN(P26/RewardAt,0)))</f>
        <v>0</v>
      </c>
      <c r="R26" s="26">
        <f>IF(B26="","",ROUND(Q26*RewardValue,2))</f>
        <v>0</v>
      </c>
      <c r="S26" s="25">
        <f>IF(B26="","",IF(RewardAt&lt;=0,"",MAX(0,RewardAt*(Q26+1)-P26)))</f>
        <v>0</v>
      </c>
      <c r="T26" s="25">
        <f>IF(B26="","",COUNTIFS(Clients!$H$5:$H$504,B26))</f>
        <v>0</v>
      </c>
      <c r="U26" s="26">
        <f>IF(B26="","",ROUND(T26*ReferralReward-IF(J26="",0,J26),2))</f>
        <v>0</v>
      </c>
      <c r="V26" s="15">
        <f>IF(B26="","",IFERROR(INDEX(Clients!$AM$5:$AM$504,MATCH(B26,Clients!$A$5:$A$504,0))&amp;"",""))</f>
        <v>0</v>
      </c>
      <c r="W26" s="25">
        <f>IF(B26="","",COUNTIFS($P$5:$P$504,"&gt;"&amp;P26)+COUNTIFS($P$5:P26,P26))</f>
        <v>0</v>
      </c>
      <c r="X26" s="39">
        <f>IF(B26="","",IF(K26="No","",IF(COUNTIF($B$5:$B$504,B26)&gt;1,"Duplicate - this client is on twice",IF(Q26&gt;0,"Action - reward ready to give",IF(U26&gt;0.004,"Action - referral credit owed",IF(V26="Lapsing","Chase - points are a reason to call",IF(S26&lt;=RewardAt*0.2,"Rebook - nearly at a reward","OK")))))))</f>
        <v>0</v>
      </c>
    </row>
    <row r="27" spans="1:24">
      <c r="A27" s="28">
        <f>IF(B27="","",LoyaltyPrefix&amp;TEXT(ROW()-4,"0000"))</f>
        <v>0</v>
      </c>
      <c r="C27" s="15">
        <f>IF(B27="","",IFERROR(INDEX(Clients!$B$5:$B$504,MATCH(B27,Clients!$A$5:$A$504,0)),"Not in Clients"))</f>
        <v>0</v>
      </c>
      <c r="M27" s="26">
        <f>IF(B27="","",ROUND(SUMIFS(Sales!$Y$5:$Y$1204,Sales!$D$5:$D$1204,B27,Sales!$B$5:$B$1204,"&gt;="&amp;IF(D27="",0,D27)),2))</f>
        <v>0</v>
      </c>
      <c r="N27" s="25">
        <f>IF(B27="","",IFERROR(INDEX(Clients!$T$5:$T$504,MATCH(B27,Clients!$A$5:$A$504,0))*1,0))</f>
        <v>0</v>
      </c>
      <c r="O27" s="25">
        <f>IF(B27="","",ROUND(M27*PointsPerUnit+IF(F27="",0,F27),0))</f>
        <v>0</v>
      </c>
      <c r="P27" s="25">
        <f>IF(B27="","",O27-IF(G27="",0,G27))</f>
        <v>0</v>
      </c>
      <c r="Q27" s="25">
        <f>IF(B27="","",IF(RewardAt&lt;=0,0,ROUNDDOWN(P27/RewardAt,0)))</f>
        <v>0</v>
      </c>
      <c r="R27" s="26">
        <f>IF(B27="","",ROUND(Q27*RewardValue,2))</f>
        <v>0</v>
      </c>
      <c r="S27" s="25">
        <f>IF(B27="","",IF(RewardAt&lt;=0,"",MAX(0,RewardAt*(Q27+1)-P27)))</f>
        <v>0</v>
      </c>
      <c r="T27" s="25">
        <f>IF(B27="","",COUNTIFS(Clients!$H$5:$H$504,B27))</f>
        <v>0</v>
      </c>
      <c r="U27" s="26">
        <f>IF(B27="","",ROUND(T27*ReferralReward-IF(J27="",0,J27),2))</f>
        <v>0</v>
      </c>
      <c r="V27" s="15">
        <f>IF(B27="","",IFERROR(INDEX(Clients!$AM$5:$AM$504,MATCH(B27,Clients!$A$5:$A$504,0))&amp;"",""))</f>
        <v>0</v>
      </c>
      <c r="W27" s="25">
        <f>IF(B27="","",COUNTIFS($P$5:$P$504,"&gt;"&amp;P27)+COUNTIFS($P$5:P27,P27))</f>
        <v>0</v>
      </c>
      <c r="X27" s="39">
        <f>IF(B27="","",IF(K27="No","",IF(COUNTIF($B$5:$B$504,B27)&gt;1,"Duplicate - this client is on twice",IF(Q27&gt;0,"Action - reward ready to give",IF(U27&gt;0.004,"Action - referral credit owed",IF(V27="Lapsing","Chase - points are a reason to call",IF(S27&lt;=RewardAt*0.2,"Rebook - nearly at a reward","OK")))))))</f>
        <v>0</v>
      </c>
    </row>
    <row r="28" spans="1:24">
      <c r="A28" s="28">
        <f>IF(B28="","",LoyaltyPrefix&amp;TEXT(ROW()-4,"0000"))</f>
        <v>0</v>
      </c>
      <c r="C28" s="15">
        <f>IF(B28="","",IFERROR(INDEX(Clients!$B$5:$B$504,MATCH(B28,Clients!$A$5:$A$504,0)),"Not in Clients"))</f>
        <v>0</v>
      </c>
      <c r="M28" s="26">
        <f>IF(B28="","",ROUND(SUMIFS(Sales!$Y$5:$Y$1204,Sales!$D$5:$D$1204,B28,Sales!$B$5:$B$1204,"&gt;="&amp;IF(D28="",0,D28)),2))</f>
        <v>0</v>
      </c>
      <c r="N28" s="25">
        <f>IF(B28="","",IFERROR(INDEX(Clients!$T$5:$T$504,MATCH(B28,Clients!$A$5:$A$504,0))*1,0))</f>
        <v>0</v>
      </c>
      <c r="O28" s="25">
        <f>IF(B28="","",ROUND(M28*PointsPerUnit+IF(F28="",0,F28),0))</f>
        <v>0</v>
      </c>
      <c r="P28" s="25">
        <f>IF(B28="","",O28-IF(G28="",0,G28))</f>
        <v>0</v>
      </c>
      <c r="Q28" s="25">
        <f>IF(B28="","",IF(RewardAt&lt;=0,0,ROUNDDOWN(P28/RewardAt,0)))</f>
        <v>0</v>
      </c>
      <c r="R28" s="26">
        <f>IF(B28="","",ROUND(Q28*RewardValue,2))</f>
        <v>0</v>
      </c>
      <c r="S28" s="25">
        <f>IF(B28="","",IF(RewardAt&lt;=0,"",MAX(0,RewardAt*(Q28+1)-P28)))</f>
        <v>0</v>
      </c>
      <c r="T28" s="25">
        <f>IF(B28="","",COUNTIFS(Clients!$H$5:$H$504,B28))</f>
        <v>0</v>
      </c>
      <c r="U28" s="26">
        <f>IF(B28="","",ROUND(T28*ReferralReward-IF(J28="",0,J28),2))</f>
        <v>0</v>
      </c>
      <c r="V28" s="15">
        <f>IF(B28="","",IFERROR(INDEX(Clients!$AM$5:$AM$504,MATCH(B28,Clients!$A$5:$A$504,0))&amp;"",""))</f>
        <v>0</v>
      </c>
      <c r="W28" s="25">
        <f>IF(B28="","",COUNTIFS($P$5:$P$504,"&gt;"&amp;P28)+COUNTIFS($P$5:P28,P28))</f>
        <v>0</v>
      </c>
      <c r="X28" s="39">
        <f>IF(B28="","",IF(K28="No","",IF(COUNTIF($B$5:$B$504,B28)&gt;1,"Duplicate - this client is on twice",IF(Q28&gt;0,"Action - reward ready to give",IF(U28&gt;0.004,"Action - referral credit owed",IF(V28="Lapsing","Chase - points are a reason to call",IF(S28&lt;=RewardAt*0.2,"Rebook - nearly at a reward","OK")))))))</f>
        <v>0</v>
      </c>
    </row>
    <row r="29" spans="1:24">
      <c r="A29" s="28">
        <f>IF(B29="","",LoyaltyPrefix&amp;TEXT(ROW()-4,"0000"))</f>
        <v>0</v>
      </c>
      <c r="C29" s="15">
        <f>IF(B29="","",IFERROR(INDEX(Clients!$B$5:$B$504,MATCH(B29,Clients!$A$5:$A$504,0)),"Not in Clients"))</f>
        <v>0</v>
      </c>
      <c r="M29" s="26">
        <f>IF(B29="","",ROUND(SUMIFS(Sales!$Y$5:$Y$1204,Sales!$D$5:$D$1204,B29,Sales!$B$5:$B$1204,"&gt;="&amp;IF(D29="",0,D29)),2))</f>
        <v>0</v>
      </c>
      <c r="N29" s="25">
        <f>IF(B29="","",IFERROR(INDEX(Clients!$T$5:$T$504,MATCH(B29,Clients!$A$5:$A$504,0))*1,0))</f>
        <v>0</v>
      </c>
      <c r="O29" s="25">
        <f>IF(B29="","",ROUND(M29*PointsPerUnit+IF(F29="",0,F29),0))</f>
        <v>0</v>
      </c>
      <c r="P29" s="25">
        <f>IF(B29="","",O29-IF(G29="",0,G29))</f>
        <v>0</v>
      </c>
      <c r="Q29" s="25">
        <f>IF(B29="","",IF(RewardAt&lt;=0,0,ROUNDDOWN(P29/RewardAt,0)))</f>
        <v>0</v>
      </c>
      <c r="R29" s="26">
        <f>IF(B29="","",ROUND(Q29*RewardValue,2))</f>
        <v>0</v>
      </c>
      <c r="S29" s="25">
        <f>IF(B29="","",IF(RewardAt&lt;=0,"",MAX(0,RewardAt*(Q29+1)-P29)))</f>
        <v>0</v>
      </c>
      <c r="T29" s="25">
        <f>IF(B29="","",COUNTIFS(Clients!$H$5:$H$504,B29))</f>
        <v>0</v>
      </c>
      <c r="U29" s="26">
        <f>IF(B29="","",ROUND(T29*ReferralReward-IF(J29="",0,J29),2))</f>
        <v>0</v>
      </c>
      <c r="V29" s="15">
        <f>IF(B29="","",IFERROR(INDEX(Clients!$AM$5:$AM$504,MATCH(B29,Clients!$A$5:$A$504,0))&amp;"",""))</f>
        <v>0</v>
      </c>
      <c r="W29" s="25">
        <f>IF(B29="","",COUNTIFS($P$5:$P$504,"&gt;"&amp;P29)+COUNTIFS($P$5:P29,P29))</f>
        <v>0</v>
      </c>
      <c r="X29" s="39">
        <f>IF(B29="","",IF(K29="No","",IF(COUNTIF($B$5:$B$504,B29)&gt;1,"Duplicate - this client is on twice",IF(Q29&gt;0,"Action - reward ready to give",IF(U29&gt;0.004,"Action - referral credit owed",IF(V29="Lapsing","Chase - points are a reason to call",IF(S29&lt;=RewardAt*0.2,"Rebook - nearly at a reward","OK")))))))</f>
        <v>0</v>
      </c>
    </row>
    <row r="30" spans="1:24">
      <c r="A30" s="28">
        <f>IF(B30="","",LoyaltyPrefix&amp;TEXT(ROW()-4,"0000"))</f>
        <v>0</v>
      </c>
      <c r="C30" s="15">
        <f>IF(B30="","",IFERROR(INDEX(Clients!$B$5:$B$504,MATCH(B30,Clients!$A$5:$A$504,0)),"Not in Clients"))</f>
        <v>0</v>
      </c>
      <c r="M30" s="26">
        <f>IF(B30="","",ROUND(SUMIFS(Sales!$Y$5:$Y$1204,Sales!$D$5:$D$1204,B30,Sales!$B$5:$B$1204,"&gt;="&amp;IF(D30="",0,D30)),2))</f>
        <v>0</v>
      </c>
      <c r="N30" s="25">
        <f>IF(B30="","",IFERROR(INDEX(Clients!$T$5:$T$504,MATCH(B30,Clients!$A$5:$A$504,0))*1,0))</f>
        <v>0</v>
      </c>
      <c r="O30" s="25">
        <f>IF(B30="","",ROUND(M30*PointsPerUnit+IF(F30="",0,F30),0))</f>
        <v>0</v>
      </c>
      <c r="P30" s="25">
        <f>IF(B30="","",O30-IF(G30="",0,G30))</f>
        <v>0</v>
      </c>
      <c r="Q30" s="25">
        <f>IF(B30="","",IF(RewardAt&lt;=0,0,ROUNDDOWN(P30/RewardAt,0)))</f>
        <v>0</v>
      </c>
      <c r="R30" s="26">
        <f>IF(B30="","",ROUND(Q30*RewardValue,2))</f>
        <v>0</v>
      </c>
      <c r="S30" s="25">
        <f>IF(B30="","",IF(RewardAt&lt;=0,"",MAX(0,RewardAt*(Q30+1)-P30)))</f>
        <v>0</v>
      </c>
      <c r="T30" s="25">
        <f>IF(B30="","",COUNTIFS(Clients!$H$5:$H$504,B30))</f>
        <v>0</v>
      </c>
      <c r="U30" s="26">
        <f>IF(B30="","",ROUND(T30*ReferralReward-IF(J30="",0,J30),2))</f>
        <v>0</v>
      </c>
      <c r="V30" s="15">
        <f>IF(B30="","",IFERROR(INDEX(Clients!$AM$5:$AM$504,MATCH(B30,Clients!$A$5:$A$504,0))&amp;"",""))</f>
        <v>0</v>
      </c>
      <c r="W30" s="25">
        <f>IF(B30="","",COUNTIFS($P$5:$P$504,"&gt;"&amp;P30)+COUNTIFS($P$5:P30,P30))</f>
        <v>0</v>
      </c>
      <c r="X30" s="39">
        <f>IF(B30="","",IF(K30="No","",IF(COUNTIF($B$5:$B$504,B30)&gt;1,"Duplicate - this client is on twice",IF(Q30&gt;0,"Action - reward ready to give",IF(U30&gt;0.004,"Action - referral credit owed",IF(V30="Lapsing","Chase - points are a reason to call",IF(S30&lt;=RewardAt*0.2,"Rebook - nearly at a reward","OK")))))))</f>
        <v>0</v>
      </c>
    </row>
    <row r="31" spans="1:24">
      <c r="A31" s="28">
        <f>IF(B31="","",LoyaltyPrefix&amp;TEXT(ROW()-4,"0000"))</f>
        <v>0</v>
      </c>
      <c r="C31" s="15">
        <f>IF(B31="","",IFERROR(INDEX(Clients!$B$5:$B$504,MATCH(B31,Clients!$A$5:$A$504,0)),"Not in Clients"))</f>
        <v>0</v>
      </c>
      <c r="M31" s="26">
        <f>IF(B31="","",ROUND(SUMIFS(Sales!$Y$5:$Y$1204,Sales!$D$5:$D$1204,B31,Sales!$B$5:$B$1204,"&gt;="&amp;IF(D31="",0,D31)),2))</f>
        <v>0</v>
      </c>
      <c r="N31" s="25">
        <f>IF(B31="","",IFERROR(INDEX(Clients!$T$5:$T$504,MATCH(B31,Clients!$A$5:$A$504,0))*1,0))</f>
        <v>0</v>
      </c>
      <c r="O31" s="25">
        <f>IF(B31="","",ROUND(M31*PointsPerUnit+IF(F31="",0,F31),0))</f>
        <v>0</v>
      </c>
      <c r="P31" s="25">
        <f>IF(B31="","",O31-IF(G31="",0,G31))</f>
        <v>0</v>
      </c>
      <c r="Q31" s="25">
        <f>IF(B31="","",IF(RewardAt&lt;=0,0,ROUNDDOWN(P31/RewardAt,0)))</f>
        <v>0</v>
      </c>
      <c r="R31" s="26">
        <f>IF(B31="","",ROUND(Q31*RewardValue,2))</f>
        <v>0</v>
      </c>
      <c r="S31" s="25">
        <f>IF(B31="","",IF(RewardAt&lt;=0,"",MAX(0,RewardAt*(Q31+1)-P31)))</f>
        <v>0</v>
      </c>
      <c r="T31" s="25">
        <f>IF(B31="","",COUNTIFS(Clients!$H$5:$H$504,B31))</f>
        <v>0</v>
      </c>
      <c r="U31" s="26">
        <f>IF(B31="","",ROUND(T31*ReferralReward-IF(J31="",0,J31),2))</f>
        <v>0</v>
      </c>
      <c r="V31" s="15">
        <f>IF(B31="","",IFERROR(INDEX(Clients!$AM$5:$AM$504,MATCH(B31,Clients!$A$5:$A$504,0))&amp;"",""))</f>
        <v>0</v>
      </c>
      <c r="W31" s="25">
        <f>IF(B31="","",COUNTIFS($P$5:$P$504,"&gt;"&amp;P31)+COUNTIFS($P$5:P31,P31))</f>
        <v>0</v>
      </c>
      <c r="X31" s="39">
        <f>IF(B31="","",IF(K31="No","",IF(COUNTIF($B$5:$B$504,B31)&gt;1,"Duplicate - this client is on twice",IF(Q31&gt;0,"Action - reward ready to give",IF(U31&gt;0.004,"Action - referral credit owed",IF(V31="Lapsing","Chase - points are a reason to call",IF(S31&lt;=RewardAt*0.2,"Rebook - nearly at a reward","OK")))))))</f>
        <v>0</v>
      </c>
    </row>
    <row r="32" spans="1:24">
      <c r="A32" s="28">
        <f>IF(B32="","",LoyaltyPrefix&amp;TEXT(ROW()-4,"0000"))</f>
        <v>0</v>
      </c>
      <c r="C32" s="15">
        <f>IF(B32="","",IFERROR(INDEX(Clients!$B$5:$B$504,MATCH(B32,Clients!$A$5:$A$504,0)),"Not in Clients"))</f>
        <v>0</v>
      </c>
      <c r="M32" s="26">
        <f>IF(B32="","",ROUND(SUMIFS(Sales!$Y$5:$Y$1204,Sales!$D$5:$D$1204,B32,Sales!$B$5:$B$1204,"&gt;="&amp;IF(D32="",0,D32)),2))</f>
        <v>0</v>
      </c>
      <c r="N32" s="25">
        <f>IF(B32="","",IFERROR(INDEX(Clients!$T$5:$T$504,MATCH(B32,Clients!$A$5:$A$504,0))*1,0))</f>
        <v>0</v>
      </c>
      <c r="O32" s="25">
        <f>IF(B32="","",ROUND(M32*PointsPerUnit+IF(F32="",0,F32),0))</f>
        <v>0</v>
      </c>
      <c r="P32" s="25">
        <f>IF(B32="","",O32-IF(G32="",0,G32))</f>
        <v>0</v>
      </c>
      <c r="Q32" s="25">
        <f>IF(B32="","",IF(RewardAt&lt;=0,0,ROUNDDOWN(P32/RewardAt,0)))</f>
        <v>0</v>
      </c>
      <c r="R32" s="26">
        <f>IF(B32="","",ROUND(Q32*RewardValue,2))</f>
        <v>0</v>
      </c>
      <c r="S32" s="25">
        <f>IF(B32="","",IF(RewardAt&lt;=0,"",MAX(0,RewardAt*(Q32+1)-P32)))</f>
        <v>0</v>
      </c>
      <c r="T32" s="25">
        <f>IF(B32="","",COUNTIFS(Clients!$H$5:$H$504,B32))</f>
        <v>0</v>
      </c>
      <c r="U32" s="26">
        <f>IF(B32="","",ROUND(T32*ReferralReward-IF(J32="",0,J32),2))</f>
        <v>0</v>
      </c>
      <c r="V32" s="15">
        <f>IF(B32="","",IFERROR(INDEX(Clients!$AM$5:$AM$504,MATCH(B32,Clients!$A$5:$A$504,0))&amp;"",""))</f>
        <v>0</v>
      </c>
      <c r="W32" s="25">
        <f>IF(B32="","",COUNTIFS($P$5:$P$504,"&gt;"&amp;P32)+COUNTIFS($P$5:P32,P32))</f>
        <v>0</v>
      </c>
      <c r="X32" s="39">
        <f>IF(B32="","",IF(K32="No","",IF(COUNTIF($B$5:$B$504,B32)&gt;1,"Duplicate - this client is on twice",IF(Q32&gt;0,"Action - reward ready to give",IF(U32&gt;0.004,"Action - referral credit owed",IF(V32="Lapsing","Chase - points are a reason to call",IF(S32&lt;=RewardAt*0.2,"Rebook - nearly at a reward","OK")))))))</f>
        <v>0</v>
      </c>
    </row>
    <row r="33" spans="1:24">
      <c r="A33" s="28">
        <f>IF(B33="","",LoyaltyPrefix&amp;TEXT(ROW()-4,"0000"))</f>
        <v>0</v>
      </c>
      <c r="C33" s="15">
        <f>IF(B33="","",IFERROR(INDEX(Clients!$B$5:$B$504,MATCH(B33,Clients!$A$5:$A$504,0)),"Not in Clients"))</f>
        <v>0</v>
      </c>
      <c r="M33" s="26">
        <f>IF(B33="","",ROUND(SUMIFS(Sales!$Y$5:$Y$1204,Sales!$D$5:$D$1204,B33,Sales!$B$5:$B$1204,"&gt;="&amp;IF(D33="",0,D33)),2))</f>
        <v>0</v>
      </c>
      <c r="N33" s="25">
        <f>IF(B33="","",IFERROR(INDEX(Clients!$T$5:$T$504,MATCH(B33,Clients!$A$5:$A$504,0))*1,0))</f>
        <v>0</v>
      </c>
      <c r="O33" s="25">
        <f>IF(B33="","",ROUND(M33*PointsPerUnit+IF(F33="",0,F33),0))</f>
        <v>0</v>
      </c>
      <c r="P33" s="25">
        <f>IF(B33="","",O33-IF(G33="",0,G33))</f>
        <v>0</v>
      </c>
      <c r="Q33" s="25">
        <f>IF(B33="","",IF(RewardAt&lt;=0,0,ROUNDDOWN(P33/RewardAt,0)))</f>
        <v>0</v>
      </c>
      <c r="R33" s="26">
        <f>IF(B33="","",ROUND(Q33*RewardValue,2))</f>
        <v>0</v>
      </c>
      <c r="S33" s="25">
        <f>IF(B33="","",IF(RewardAt&lt;=0,"",MAX(0,RewardAt*(Q33+1)-P33)))</f>
        <v>0</v>
      </c>
      <c r="T33" s="25">
        <f>IF(B33="","",COUNTIFS(Clients!$H$5:$H$504,B33))</f>
        <v>0</v>
      </c>
      <c r="U33" s="26">
        <f>IF(B33="","",ROUND(T33*ReferralReward-IF(J33="",0,J33),2))</f>
        <v>0</v>
      </c>
      <c r="V33" s="15">
        <f>IF(B33="","",IFERROR(INDEX(Clients!$AM$5:$AM$504,MATCH(B33,Clients!$A$5:$A$504,0))&amp;"",""))</f>
        <v>0</v>
      </c>
      <c r="W33" s="25">
        <f>IF(B33="","",COUNTIFS($P$5:$P$504,"&gt;"&amp;P33)+COUNTIFS($P$5:P33,P33))</f>
        <v>0</v>
      </c>
      <c r="X33" s="39">
        <f>IF(B33="","",IF(K33="No","",IF(COUNTIF($B$5:$B$504,B33)&gt;1,"Duplicate - this client is on twice",IF(Q33&gt;0,"Action - reward ready to give",IF(U33&gt;0.004,"Action - referral credit owed",IF(V33="Lapsing","Chase - points are a reason to call",IF(S33&lt;=RewardAt*0.2,"Rebook - nearly at a reward","OK")))))))</f>
        <v>0</v>
      </c>
    </row>
    <row r="34" spans="1:24">
      <c r="A34" s="28">
        <f>IF(B34="","",LoyaltyPrefix&amp;TEXT(ROW()-4,"0000"))</f>
        <v>0</v>
      </c>
      <c r="C34" s="15">
        <f>IF(B34="","",IFERROR(INDEX(Clients!$B$5:$B$504,MATCH(B34,Clients!$A$5:$A$504,0)),"Not in Clients"))</f>
        <v>0</v>
      </c>
      <c r="M34" s="26">
        <f>IF(B34="","",ROUND(SUMIFS(Sales!$Y$5:$Y$1204,Sales!$D$5:$D$1204,B34,Sales!$B$5:$B$1204,"&gt;="&amp;IF(D34="",0,D34)),2))</f>
        <v>0</v>
      </c>
      <c r="N34" s="25">
        <f>IF(B34="","",IFERROR(INDEX(Clients!$T$5:$T$504,MATCH(B34,Clients!$A$5:$A$504,0))*1,0))</f>
        <v>0</v>
      </c>
      <c r="O34" s="25">
        <f>IF(B34="","",ROUND(M34*PointsPerUnit+IF(F34="",0,F34),0))</f>
        <v>0</v>
      </c>
      <c r="P34" s="25">
        <f>IF(B34="","",O34-IF(G34="",0,G34))</f>
        <v>0</v>
      </c>
      <c r="Q34" s="25">
        <f>IF(B34="","",IF(RewardAt&lt;=0,0,ROUNDDOWN(P34/RewardAt,0)))</f>
        <v>0</v>
      </c>
      <c r="R34" s="26">
        <f>IF(B34="","",ROUND(Q34*RewardValue,2))</f>
        <v>0</v>
      </c>
      <c r="S34" s="25">
        <f>IF(B34="","",IF(RewardAt&lt;=0,"",MAX(0,RewardAt*(Q34+1)-P34)))</f>
        <v>0</v>
      </c>
      <c r="T34" s="25">
        <f>IF(B34="","",COUNTIFS(Clients!$H$5:$H$504,B34))</f>
        <v>0</v>
      </c>
      <c r="U34" s="26">
        <f>IF(B34="","",ROUND(T34*ReferralReward-IF(J34="",0,J34),2))</f>
        <v>0</v>
      </c>
      <c r="V34" s="15">
        <f>IF(B34="","",IFERROR(INDEX(Clients!$AM$5:$AM$504,MATCH(B34,Clients!$A$5:$A$504,0))&amp;"",""))</f>
        <v>0</v>
      </c>
      <c r="W34" s="25">
        <f>IF(B34="","",COUNTIFS($P$5:$P$504,"&gt;"&amp;P34)+COUNTIFS($P$5:P34,P34))</f>
        <v>0</v>
      </c>
      <c r="X34" s="39">
        <f>IF(B34="","",IF(K34="No","",IF(COUNTIF($B$5:$B$504,B34)&gt;1,"Duplicate - this client is on twice",IF(Q34&gt;0,"Action - reward ready to give",IF(U34&gt;0.004,"Action - referral credit owed",IF(V34="Lapsing","Chase - points are a reason to call",IF(S34&lt;=RewardAt*0.2,"Rebook - nearly at a reward","OK")))))))</f>
        <v>0</v>
      </c>
    </row>
    <row r="35" spans="1:24">
      <c r="A35" s="28">
        <f>IF(B35="","",LoyaltyPrefix&amp;TEXT(ROW()-4,"0000"))</f>
        <v>0</v>
      </c>
      <c r="C35" s="15">
        <f>IF(B35="","",IFERROR(INDEX(Clients!$B$5:$B$504,MATCH(B35,Clients!$A$5:$A$504,0)),"Not in Clients"))</f>
        <v>0</v>
      </c>
      <c r="M35" s="26">
        <f>IF(B35="","",ROUND(SUMIFS(Sales!$Y$5:$Y$1204,Sales!$D$5:$D$1204,B35,Sales!$B$5:$B$1204,"&gt;="&amp;IF(D35="",0,D35)),2))</f>
        <v>0</v>
      </c>
      <c r="N35" s="25">
        <f>IF(B35="","",IFERROR(INDEX(Clients!$T$5:$T$504,MATCH(B35,Clients!$A$5:$A$504,0))*1,0))</f>
        <v>0</v>
      </c>
      <c r="O35" s="25">
        <f>IF(B35="","",ROUND(M35*PointsPerUnit+IF(F35="",0,F35),0))</f>
        <v>0</v>
      </c>
      <c r="P35" s="25">
        <f>IF(B35="","",O35-IF(G35="",0,G35))</f>
        <v>0</v>
      </c>
      <c r="Q35" s="25">
        <f>IF(B35="","",IF(RewardAt&lt;=0,0,ROUNDDOWN(P35/RewardAt,0)))</f>
        <v>0</v>
      </c>
      <c r="R35" s="26">
        <f>IF(B35="","",ROUND(Q35*RewardValue,2))</f>
        <v>0</v>
      </c>
      <c r="S35" s="25">
        <f>IF(B35="","",IF(RewardAt&lt;=0,"",MAX(0,RewardAt*(Q35+1)-P35)))</f>
        <v>0</v>
      </c>
      <c r="T35" s="25">
        <f>IF(B35="","",COUNTIFS(Clients!$H$5:$H$504,B35))</f>
        <v>0</v>
      </c>
      <c r="U35" s="26">
        <f>IF(B35="","",ROUND(T35*ReferralReward-IF(J35="",0,J35),2))</f>
        <v>0</v>
      </c>
      <c r="V35" s="15">
        <f>IF(B35="","",IFERROR(INDEX(Clients!$AM$5:$AM$504,MATCH(B35,Clients!$A$5:$A$504,0))&amp;"",""))</f>
        <v>0</v>
      </c>
      <c r="W35" s="25">
        <f>IF(B35="","",COUNTIFS($P$5:$P$504,"&gt;"&amp;P35)+COUNTIFS($P$5:P35,P35))</f>
        <v>0</v>
      </c>
      <c r="X35" s="39">
        <f>IF(B35="","",IF(K35="No","",IF(COUNTIF($B$5:$B$504,B35)&gt;1,"Duplicate - this client is on twice",IF(Q35&gt;0,"Action - reward ready to give",IF(U35&gt;0.004,"Action - referral credit owed",IF(V35="Lapsing","Chase - points are a reason to call",IF(S35&lt;=RewardAt*0.2,"Rebook - nearly at a reward","OK")))))))</f>
        <v>0</v>
      </c>
    </row>
    <row r="36" spans="1:24">
      <c r="A36" s="28">
        <f>IF(B36="","",LoyaltyPrefix&amp;TEXT(ROW()-4,"0000"))</f>
        <v>0</v>
      </c>
      <c r="C36" s="15">
        <f>IF(B36="","",IFERROR(INDEX(Clients!$B$5:$B$504,MATCH(B36,Clients!$A$5:$A$504,0)),"Not in Clients"))</f>
        <v>0</v>
      </c>
      <c r="M36" s="26">
        <f>IF(B36="","",ROUND(SUMIFS(Sales!$Y$5:$Y$1204,Sales!$D$5:$D$1204,B36,Sales!$B$5:$B$1204,"&gt;="&amp;IF(D36="",0,D36)),2))</f>
        <v>0</v>
      </c>
      <c r="N36" s="25">
        <f>IF(B36="","",IFERROR(INDEX(Clients!$T$5:$T$504,MATCH(B36,Clients!$A$5:$A$504,0))*1,0))</f>
        <v>0</v>
      </c>
      <c r="O36" s="25">
        <f>IF(B36="","",ROUND(M36*PointsPerUnit+IF(F36="",0,F36),0))</f>
        <v>0</v>
      </c>
      <c r="P36" s="25">
        <f>IF(B36="","",O36-IF(G36="",0,G36))</f>
        <v>0</v>
      </c>
      <c r="Q36" s="25">
        <f>IF(B36="","",IF(RewardAt&lt;=0,0,ROUNDDOWN(P36/RewardAt,0)))</f>
        <v>0</v>
      </c>
      <c r="R36" s="26">
        <f>IF(B36="","",ROUND(Q36*RewardValue,2))</f>
        <v>0</v>
      </c>
      <c r="S36" s="25">
        <f>IF(B36="","",IF(RewardAt&lt;=0,"",MAX(0,RewardAt*(Q36+1)-P36)))</f>
        <v>0</v>
      </c>
      <c r="T36" s="25">
        <f>IF(B36="","",COUNTIFS(Clients!$H$5:$H$504,B36))</f>
        <v>0</v>
      </c>
      <c r="U36" s="26">
        <f>IF(B36="","",ROUND(T36*ReferralReward-IF(J36="",0,J36),2))</f>
        <v>0</v>
      </c>
      <c r="V36" s="15">
        <f>IF(B36="","",IFERROR(INDEX(Clients!$AM$5:$AM$504,MATCH(B36,Clients!$A$5:$A$504,0))&amp;"",""))</f>
        <v>0</v>
      </c>
      <c r="W36" s="25">
        <f>IF(B36="","",COUNTIFS($P$5:$P$504,"&gt;"&amp;P36)+COUNTIFS($P$5:P36,P36))</f>
        <v>0</v>
      </c>
      <c r="X36" s="39">
        <f>IF(B36="","",IF(K36="No","",IF(COUNTIF($B$5:$B$504,B36)&gt;1,"Duplicate - this client is on twice",IF(Q36&gt;0,"Action - reward ready to give",IF(U36&gt;0.004,"Action - referral credit owed",IF(V36="Lapsing","Chase - points are a reason to call",IF(S36&lt;=RewardAt*0.2,"Rebook - nearly at a reward","OK")))))))</f>
        <v>0</v>
      </c>
    </row>
    <row r="37" spans="1:24">
      <c r="A37" s="28">
        <f>IF(B37="","",LoyaltyPrefix&amp;TEXT(ROW()-4,"0000"))</f>
        <v>0</v>
      </c>
      <c r="C37" s="15">
        <f>IF(B37="","",IFERROR(INDEX(Clients!$B$5:$B$504,MATCH(B37,Clients!$A$5:$A$504,0)),"Not in Clients"))</f>
        <v>0</v>
      </c>
      <c r="M37" s="26">
        <f>IF(B37="","",ROUND(SUMIFS(Sales!$Y$5:$Y$1204,Sales!$D$5:$D$1204,B37,Sales!$B$5:$B$1204,"&gt;="&amp;IF(D37="",0,D37)),2))</f>
        <v>0</v>
      </c>
      <c r="N37" s="25">
        <f>IF(B37="","",IFERROR(INDEX(Clients!$T$5:$T$504,MATCH(B37,Clients!$A$5:$A$504,0))*1,0))</f>
        <v>0</v>
      </c>
      <c r="O37" s="25">
        <f>IF(B37="","",ROUND(M37*PointsPerUnit+IF(F37="",0,F37),0))</f>
        <v>0</v>
      </c>
      <c r="P37" s="25">
        <f>IF(B37="","",O37-IF(G37="",0,G37))</f>
        <v>0</v>
      </c>
      <c r="Q37" s="25">
        <f>IF(B37="","",IF(RewardAt&lt;=0,0,ROUNDDOWN(P37/RewardAt,0)))</f>
        <v>0</v>
      </c>
      <c r="R37" s="26">
        <f>IF(B37="","",ROUND(Q37*RewardValue,2))</f>
        <v>0</v>
      </c>
      <c r="S37" s="25">
        <f>IF(B37="","",IF(RewardAt&lt;=0,"",MAX(0,RewardAt*(Q37+1)-P37)))</f>
        <v>0</v>
      </c>
      <c r="T37" s="25">
        <f>IF(B37="","",COUNTIFS(Clients!$H$5:$H$504,B37))</f>
        <v>0</v>
      </c>
      <c r="U37" s="26">
        <f>IF(B37="","",ROUND(T37*ReferralReward-IF(J37="",0,J37),2))</f>
        <v>0</v>
      </c>
      <c r="V37" s="15">
        <f>IF(B37="","",IFERROR(INDEX(Clients!$AM$5:$AM$504,MATCH(B37,Clients!$A$5:$A$504,0))&amp;"",""))</f>
        <v>0</v>
      </c>
      <c r="W37" s="25">
        <f>IF(B37="","",COUNTIFS($P$5:$P$504,"&gt;"&amp;P37)+COUNTIFS($P$5:P37,P37))</f>
        <v>0</v>
      </c>
      <c r="X37" s="39">
        <f>IF(B37="","",IF(K37="No","",IF(COUNTIF($B$5:$B$504,B37)&gt;1,"Duplicate - this client is on twice",IF(Q37&gt;0,"Action - reward ready to give",IF(U37&gt;0.004,"Action - referral credit owed",IF(V37="Lapsing","Chase - points are a reason to call",IF(S37&lt;=RewardAt*0.2,"Rebook - nearly at a reward","OK")))))))</f>
        <v>0</v>
      </c>
    </row>
    <row r="38" spans="1:24">
      <c r="A38" s="28">
        <f>IF(B38="","",LoyaltyPrefix&amp;TEXT(ROW()-4,"0000"))</f>
        <v>0</v>
      </c>
      <c r="C38" s="15">
        <f>IF(B38="","",IFERROR(INDEX(Clients!$B$5:$B$504,MATCH(B38,Clients!$A$5:$A$504,0)),"Not in Clients"))</f>
        <v>0</v>
      </c>
      <c r="M38" s="26">
        <f>IF(B38="","",ROUND(SUMIFS(Sales!$Y$5:$Y$1204,Sales!$D$5:$D$1204,B38,Sales!$B$5:$B$1204,"&gt;="&amp;IF(D38="",0,D38)),2))</f>
        <v>0</v>
      </c>
      <c r="N38" s="25">
        <f>IF(B38="","",IFERROR(INDEX(Clients!$T$5:$T$504,MATCH(B38,Clients!$A$5:$A$504,0))*1,0))</f>
        <v>0</v>
      </c>
      <c r="O38" s="25">
        <f>IF(B38="","",ROUND(M38*PointsPerUnit+IF(F38="",0,F38),0))</f>
        <v>0</v>
      </c>
      <c r="P38" s="25">
        <f>IF(B38="","",O38-IF(G38="",0,G38))</f>
        <v>0</v>
      </c>
      <c r="Q38" s="25">
        <f>IF(B38="","",IF(RewardAt&lt;=0,0,ROUNDDOWN(P38/RewardAt,0)))</f>
        <v>0</v>
      </c>
      <c r="R38" s="26">
        <f>IF(B38="","",ROUND(Q38*RewardValue,2))</f>
        <v>0</v>
      </c>
      <c r="S38" s="25">
        <f>IF(B38="","",IF(RewardAt&lt;=0,"",MAX(0,RewardAt*(Q38+1)-P38)))</f>
        <v>0</v>
      </c>
      <c r="T38" s="25">
        <f>IF(B38="","",COUNTIFS(Clients!$H$5:$H$504,B38))</f>
        <v>0</v>
      </c>
      <c r="U38" s="26">
        <f>IF(B38="","",ROUND(T38*ReferralReward-IF(J38="",0,J38),2))</f>
        <v>0</v>
      </c>
      <c r="V38" s="15">
        <f>IF(B38="","",IFERROR(INDEX(Clients!$AM$5:$AM$504,MATCH(B38,Clients!$A$5:$A$504,0))&amp;"",""))</f>
        <v>0</v>
      </c>
      <c r="W38" s="25">
        <f>IF(B38="","",COUNTIFS($P$5:$P$504,"&gt;"&amp;P38)+COUNTIFS($P$5:P38,P38))</f>
        <v>0</v>
      </c>
      <c r="X38" s="39">
        <f>IF(B38="","",IF(K38="No","",IF(COUNTIF($B$5:$B$504,B38)&gt;1,"Duplicate - this client is on twice",IF(Q38&gt;0,"Action - reward ready to give",IF(U38&gt;0.004,"Action - referral credit owed",IF(V38="Lapsing","Chase - points are a reason to call",IF(S38&lt;=RewardAt*0.2,"Rebook - nearly at a reward","OK")))))))</f>
        <v>0</v>
      </c>
    </row>
    <row r="39" spans="1:24">
      <c r="A39" s="28">
        <f>IF(B39="","",LoyaltyPrefix&amp;TEXT(ROW()-4,"0000"))</f>
        <v>0</v>
      </c>
      <c r="C39" s="15">
        <f>IF(B39="","",IFERROR(INDEX(Clients!$B$5:$B$504,MATCH(B39,Clients!$A$5:$A$504,0)),"Not in Clients"))</f>
        <v>0</v>
      </c>
      <c r="M39" s="26">
        <f>IF(B39="","",ROUND(SUMIFS(Sales!$Y$5:$Y$1204,Sales!$D$5:$D$1204,B39,Sales!$B$5:$B$1204,"&gt;="&amp;IF(D39="",0,D39)),2))</f>
        <v>0</v>
      </c>
      <c r="N39" s="25">
        <f>IF(B39="","",IFERROR(INDEX(Clients!$T$5:$T$504,MATCH(B39,Clients!$A$5:$A$504,0))*1,0))</f>
        <v>0</v>
      </c>
      <c r="O39" s="25">
        <f>IF(B39="","",ROUND(M39*PointsPerUnit+IF(F39="",0,F39),0))</f>
        <v>0</v>
      </c>
      <c r="P39" s="25">
        <f>IF(B39="","",O39-IF(G39="",0,G39))</f>
        <v>0</v>
      </c>
      <c r="Q39" s="25">
        <f>IF(B39="","",IF(RewardAt&lt;=0,0,ROUNDDOWN(P39/RewardAt,0)))</f>
        <v>0</v>
      </c>
      <c r="R39" s="26">
        <f>IF(B39="","",ROUND(Q39*RewardValue,2))</f>
        <v>0</v>
      </c>
      <c r="S39" s="25">
        <f>IF(B39="","",IF(RewardAt&lt;=0,"",MAX(0,RewardAt*(Q39+1)-P39)))</f>
        <v>0</v>
      </c>
      <c r="T39" s="25">
        <f>IF(B39="","",COUNTIFS(Clients!$H$5:$H$504,B39))</f>
        <v>0</v>
      </c>
      <c r="U39" s="26">
        <f>IF(B39="","",ROUND(T39*ReferralReward-IF(J39="",0,J39),2))</f>
        <v>0</v>
      </c>
      <c r="V39" s="15">
        <f>IF(B39="","",IFERROR(INDEX(Clients!$AM$5:$AM$504,MATCH(B39,Clients!$A$5:$A$504,0))&amp;"",""))</f>
        <v>0</v>
      </c>
      <c r="W39" s="25">
        <f>IF(B39="","",COUNTIFS($P$5:$P$504,"&gt;"&amp;P39)+COUNTIFS($P$5:P39,P39))</f>
        <v>0</v>
      </c>
      <c r="X39" s="39">
        <f>IF(B39="","",IF(K39="No","",IF(COUNTIF($B$5:$B$504,B39)&gt;1,"Duplicate - this client is on twice",IF(Q39&gt;0,"Action - reward ready to give",IF(U39&gt;0.004,"Action - referral credit owed",IF(V39="Lapsing","Chase - points are a reason to call",IF(S39&lt;=RewardAt*0.2,"Rebook - nearly at a reward","OK")))))))</f>
        <v>0</v>
      </c>
    </row>
    <row r="40" spans="1:24">
      <c r="A40" s="28">
        <f>IF(B40="","",LoyaltyPrefix&amp;TEXT(ROW()-4,"0000"))</f>
        <v>0</v>
      </c>
      <c r="C40" s="15">
        <f>IF(B40="","",IFERROR(INDEX(Clients!$B$5:$B$504,MATCH(B40,Clients!$A$5:$A$504,0)),"Not in Clients"))</f>
        <v>0</v>
      </c>
      <c r="M40" s="26">
        <f>IF(B40="","",ROUND(SUMIFS(Sales!$Y$5:$Y$1204,Sales!$D$5:$D$1204,B40,Sales!$B$5:$B$1204,"&gt;="&amp;IF(D40="",0,D40)),2))</f>
        <v>0</v>
      </c>
      <c r="N40" s="25">
        <f>IF(B40="","",IFERROR(INDEX(Clients!$T$5:$T$504,MATCH(B40,Clients!$A$5:$A$504,0))*1,0))</f>
        <v>0</v>
      </c>
      <c r="O40" s="25">
        <f>IF(B40="","",ROUND(M40*PointsPerUnit+IF(F40="",0,F40),0))</f>
        <v>0</v>
      </c>
      <c r="P40" s="25">
        <f>IF(B40="","",O40-IF(G40="",0,G40))</f>
        <v>0</v>
      </c>
      <c r="Q40" s="25">
        <f>IF(B40="","",IF(RewardAt&lt;=0,0,ROUNDDOWN(P40/RewardAt,0)))</f>
        <v>0</v>
      </c>
      <c r="R40" s="26">
        <f>IF(B40="","",ROUND(Q40*RewardValue,2))</f>
        <v>0</v>
      </c>
      <c r="S40" s="25">
        <f>IF(B40="","",IF(RewardAt&lt;=0,"",MAX(0,RewardAt*(Q40+1)-P40)))</f>
        <v>0</v>
      </c>
      <c r="T40" s="25">
        <f>IF(B40="","",COUNTIFS(Clients!$H$5:$H$504,B40))</f>
        <v>0</v>
      </c>
      <c r="U40" s="26">
        <f>IF(B40="","",ROUND(T40*ReferralReward-IF(J40="",0,J40),2))</f>
        <v>0</v>
      </c>
      <c r="V40" s="15">
        <f>IF(B40="","",IFERROR(INDEX(Clients!$AM$5:$AM$504,MATCH(B40,Clients!$A$5:$A$504,0))&amp;"",""))</f>
        <v>0</v>
      </c>
      <c r="W40" s="25">
        <f>IF(B40="","",COUNTIFS($P$5:$P$504,"&gt;"&amp;P40)+COUNTIFS($P$5:P40,P40))</f>
        <v>0</v>
      </c>
      <c r="X40" s="39">
        <f>IF(B40="","",IF(K40="No","",IF(COUNTIF($B$5:$B$504,B40)&gt;1,"Duplicate - this client is on twice",IF(Q40&gt;0,"Action - reward ready to give",IF(U40&gt;0.004,"Action - referral credit owed",IF(V40="Lapsing","Chase - points are a reason to call",IF(S40&lt;=RewardAt*0.2,"Rebook - nearly at a reward","OK")))))))</f>
        <v>0</v>
      </c>
    </row>
    <row r="41" spans="1:24">
      <c r="A41" s="28">
        <f>IF(B41="","",LoyaltyPrefix&amp;TEXT(ROW()-4,"0000"))</f>
        <v>0</v>
      </c>
      <c r="C41" s="15">
        <f>IF(B41="","",IFERROR(INDEX(Clients!$B$5:$B$504,MATCH(B41,Clients!$A$5:$A$504,0)),"Not in Clients"))</f>
        <v>0</v>
      </c>
      <c r="M41" s="26">
        <f>IF(B41="","",ROUND(SUMIFS(Sales!$Y$5:$Y$1204,Sales!$D$5:$D$1204,B41,Sales!$B$5:$B$1204,"&gt;="&amp;IF(D41="",0,D41)),2))</f>
        <v>0</v>
      </c>
      <c r="N41" s="25">
        <f>IF(B41="","",IFERROR(INDEX(Clients!$T$5:$T$504,MATCH(B41,Clients!$A$5:$A$504,0))*1,0))</f>
        <v>0</v>
      </c>
      <c r="O41" s="25">
        <f>IF(B41="","",ROUND(M41*PointsPerUnit+IF(F41="",0,F41),0))</f>
        <v>0</v>
      </c>
      <c r="P41" s="25">
        <f>IF(B41="","",O41-IF(G41="",0,G41))</f>
        <v>0</v>
      </c>
      <c r="Q41" s="25">
        <f>IF(B41="","",IF(RewardAt&lt;=0,0,ROUNDDOWN(P41/RewardAt,0)))</f>
        <v>0</v>
      </c>
      <c r="R41" s="26">
        <f>IF(B41="","",ROUND(Q41*RewardValue,2))</f>
        <v>0</v>
      </c>
      <c r="S41" s="25">
        <f>IF(B41="","",IF(RewardAt&lt;=0,"",MAX(0,RewardAt*(Q41+1)-P41)))</f>
        <v>0</v>
      </c>
      <c r="T41" s="25">
        <f>IF(B41="","",COUNTIFS(Clients!$H$5:$H$504,B41))</f>
        <v>0</v>
      </c>
      <c r="U41" s="26">
        <f>IF(B41="","",ROUND(T41*ReferralReward-IF(J41="",0,J41),2))</f>
        <v>0</v>
      </c>
      <c r="V41" s="15">
        <f>IF(B41="","",IFERROR(INDEX(Clients!$AM$5:$AM$504,MATCH(B41,Clients!$A$5:$A$504,0))&amp;"",""))</f>
        <v>0</v>
      </c>
      <c r="W41" s="25">
        <f>IF(B41="","",COUNTIFS($P$5:$P$504,"&gt;"&amp;P41)+COUNTIFS($P$5:P41,P41))</f>
        <v>0</v>
      </c>
      <c r="X41" s="39">
        <f>IF(B41="","",IF(K41="No","",IF(COUNTIF($B$5:$B$504,B41)&gt;1,"Duplicate - this client is on twice",IF(Q41&gt;0,"Action - reward ready to give",IF(U41&gt;0.004,"Action - referral credit owed",IF(V41="Lapsing","Chase - points are a reason to call",IF(S41&lt;=RewardAt*0.2,"Rebook - nearly at a reward","OK")))))))</f>
        <v>0</v>
      </c>
    </row>
    <row r="42" spans="1:24">
      <c r="A42" s="28">
        <f>IF(B42="","",LoyaltyPrefix&amp;TEXT(ROW()-4,"0000"))</f>
        <v>0</v>
      </c>
      <c r="C42" s="15">
        <f>IF(B42="","",IFERROR(INDEX(Clients!$B$5:$B$504,MATCH(B42,Clients!$A$5:$A$504,0)),"Not in Clients"))</f>
        <v>0</v>
      </c>
      <c r="M42" s="26">
        <f>IF(B42="","",ROUND(SUMIFS(Sales!$Y$5:$Y$1204,Sales!$D$5:$D$1204,B42,Sales!$B$5:$B$1204,"&gt;="&amp;IF(D42="",0,D42)),2))</f>
        <v>0</v>
      </c>
      <c r="N42" s="25">
        <f>IF(B42="","",IFERROR(INDEX(Clients!$T$5:$T$504,MATCH(B42,Clients!$A$5:$A$504,0))*1,0))</f>
        <v>0</v>
      </c>
      <c r="O42" s="25">
        <f>IF(B42="","",ROUND(M42*PointsPerUnit+IF(F42="",0,F42),0))</f>
        <v>0</v>
      </c>
      <c r="P42" s="25">
        <f>IF(B42="","",O42-IF(G42="",0,G42))</f>
        <v>0</v>
      </c>
      <c r="Q42" s="25">
        <f>IF(B42="","",IF(RewardAt&lt;=0,0,ROUNDDOWN(P42/RewardAt,0)))</f>
        <v>0</v>
      </c>
      <c r="R42" s="26">
        <f>IF(B42="","",ROUND(Q42*RewardValue,2))</f>
        <v>0</v>
      </c>
      <c r="S42" s="25">
        <f>IF(B42="","",IF(RewardAt&lt;=0,"",MAX(0,RewardAt*(Q42+1)-P42)))</f>
        <v>0</v>
      </c>
      <c r="T42" s="25">
        <f>IF(B42="","",COUNTIFS(Clients!$H$5:$H$504,B42))</f>
        <v>0</v>
      </c>
      <c r="U42" s="26">
        <f>IF(B42="","",ROUND(T42*ReferralReward-IF(J42="",0,J42),2))</f>
        <v>0</v>
      </c>
      <c r="V42" s="15">
        <f>IF(B42="","",IFERROR(INDEX(Clients!$AM$5:$AM$504,MATCH(B42,Clients!$A$5:$A$504,0))&amp;"",""))</f>
        <v>0</v>
      </c>
      <c r="W42" s="25">
        <f>IF(B42="","",COUNTIFS($P$5:$P$504,"&gt;"&amp;P42)+COUNTIFS($P$5:P42,P42))</f>
        <v>0</v>
      </c>
      <c r="X42" s="39">
        <f>IF(B42="","",IF(K42="No","",IF(COUNTIF($B$5:$B$504,B42)&gt;1,"Duplicate - this client is on twice",IF(Q42&gt;0,"Action - reward ready to give",IF(U42&gt;0.004,"Action - referral credit owed",IF(V42="Lapsing","Chase - points are a reason to call",IF(S42&lt;=RewardAt*0.2,"Rebook - nearly at a reward","OK")))))))</f>
        <v>0</v>
      </c>
    </row>
    <row r="43" spans="1:24">
      <c r="A43" s="28">
        <f>IF(B43="","",LoyaltyPrefix&amp;TEXT(ROW()-4,"0000"))</f>
        <v>0</v>
      </c>
      <c r="C43" s="15">
        <f>IF(B43="","",IFERROR(INDEX(Clients!$B$5:$B$504,MATCH(B43,Clients!$A$5:$A$504,0)),"Not in Clients"))</f>
        <v>0</v>
      </c>
      <c r="M43" s="26">
        <f>IF(B43="","",ROUND(SUMIFS(Sales!$Y$5:$Y$1204,Sales!$D$5:$D$1204,B43,Sales!$B$5:$B$1204,"&gt;="&amp;IF(D43="",0,D43)),2))</f>
        <v>0</v>
      </c>
      <c r="N43" s="25">
        <f>IF(B43="","",IFERROR(INDEX(Clients!$T$5:$T$504,MATCH(B43,Clients!$A$5:$A$504,0))*1,0))</f>
        <v>0</v>
      </c>
      <c r="O43" s="25">
        <f>IF(B43="","",ROUND(M43*PointsPerUnit+IF(F43="",0,F43),0))</f>
        <v>0</v>
      </c>
      <c r="P43" s="25">
        <f>IF(B43="","",O43-IF(G43="",0,G43))</f>
        <v>0</v>
      </c>
      <c r="Q43" s="25">
        <f>IF(B43="","",IF(RewardAt&lt;=0,0,ROUNDDOWN(P43/RewardAt,0)))</f>
        <v>0</v>
      </c>
      <c r="R43" s="26">
        <f>IF(B43="","",ROUND(Q43*RewardValue,2))</f>
        <v>0</v>
      </c>
      <c r="S43" s="25">
        <f>IF(B43="","",IF(RewardAt&lt;=0,"",MAX(0,RewardAt*(Q43+1)-P43)))</f>
        <v>0</v>
      </c>
      <c r="T43" s="25">
        <f>IF(B43="","",COUNTIFS(Clients!$H$5:$H$504,B43))</f>
        <v>0</v>
      </c>
      <c r="U43" s="26">
        <f>IF(B43="","",ROUND(T43*ReferralReward-IF(J43="",0,J43),2))</f>
        <v>0</v>
      </c>
      <c r="V43" s="15">
        <f>IF(B43="","",IFERROR(INDEX(Clients!$AM$5:$AM$504,MATCH(B43,Clients!$A$5:$A$504,0))&amp;"",""))</f>
        <v>0</v>
      </c>
      <c r="W43" s="25">
        <f>IF(B43="","",COUNTIFS($P$5:$P$504,"&gt;"&amp;P43)+COUNTIFS($P$5:P43,P43))</f>
        <v>0</v>
      </c>
      <c r="X43" s="39">
        <f>IF(B43="","",IF(K43="No","",IF(COUNTIF($B$5:$B$504,B43)&gt;1,"Duplicate - this client is on twice",IF(Q43&gt;0,"Action - reward ready to give",IF(U43&gt;0.004,"Action - referral credit owed",IF(V43="Lapsing","Chase - points are a reason to call",IF(S43&lt;=RewardAt*0.2,"Rebook - nearly at a reward","OK")))))))</f>
        <v>0</v>
      </c>
    </row>
    <row r="44" spans="1:24">
      <c r="A44" s="28">
        <f>IF(B44="","",LoyaltyPrefix&amp;TEXT(ROW()-4,"0000"))</f>
        <v>0</v>
      </c>
      <c r="C44" s="15">
        <f>IF(B44="","",IFERROR(INDEX(Clients!$B$5:$B$504,MATCH(B44,Clients!$A$5:$A$504,0)),"Not in Clients"))</f>
        <v>0</v>
      </c>
      <c r="M44" s="26">
        <f>IF(B44="","",ROUND(SUMIFS(Sales!$Y$5:$Y$1204,Sales!$D$5:$D$1204,B44,Sales!$B$5:$B$1204,"&gt;="&amp;IF(D44="",0,D44)),2))</f>
        <v>0</v>
      </c>
      <c r="N44" s="25">
        <f>IF(B44="","",IFERROR(INDEX(Clients!$T$5:$T$504,MATCH(B44,Clients!$A$5:$A$504,0))*1,0))</f>
        <v>0</v>
      </c>
      <c r="O44" s="25">
        <f>IF(B44="","",ROUND(M44*PointsPerUnit+IF(F44="",0,F44),0))</f>
        <v>0</v>
      </c>
      <c r="P44" s="25">
        <f>IF(B44="","",O44-IF(G44="",0,G44))</f>
        <v>0</v>
      </c>
      <c r="Q44" s="25">
        <f>IF(B44="","",IF(RewardAt&lt;=0,0,ROUNDDOWN(P44/RewardAt,0)))</f>
        <v>0</v>
      </c>
      <c r="R44" s="26">
        <f>IF(B44="","",ROUND(Q44*RewardValue,2))</f>
        <v>0</v>
      </c>
      <c r="S44" s="25">
        <f>IF(B44="","",IF(RewardAt&lt;=0,"",MAX(0,RewardAt*(Q44+1)-P44)))</f>
        <v>0</v>
      </c>
      <c r="T44" s="25">
        <f>IF(B44="","",COUNTIFS(Clients!$H$5:$H$504,B44))</f>
        <v>0</v>
      </c>
      <c r="U44" s="26">
        <f>IF(B44="","",ROUND(T44*ReferralReward-IF(J44="",0,J44),2))</f>
        <v>0</v>
      </c>
      <c r="V44" s="15">
        <f>IF(B44="","",IFERROR(INDEX(Clients!$AM$5:$AM$504,MATCH(B44,Clients!$A$5:$A$504,0))&amp;"",""))</f>
        <v>0</v>
      </c>
      <c r="W44" s="25">
        <f>IF(B44="","",COUNTIFS($P$5:$P$504,"&gt;"&amp;P44)+COUNTIFS($P$5:P44,P44))</f>
        <v>0</v>
      </c>
      <c r="X44" s="39">
        <f>IF(B44="","",IF(K44="No","",IF(COUNTIF($B$5:$B$504,B44)&gt;1,"Duplicate - this client is on twice",IF(Q44&gt;0,"Action - reward ready to give",IF(U44&gt;0.004,"Action - referral credit owed",IF(V44="Lapsing","Chase - points are a reason to call",IF(S44&lt;=RewardAt*0.2,"Rebook - nearly at a reward","OK")))))))</f>
        <v>0</v>
      </c>
    </row>
    <row r="45" spans="1:24">
      <c r="A45" s="28">
        <f>IF(B45="","",LoyaltyPrefix&amp;TEXT(ROW()-4,"0000"))</f>
        <v>0</v>
      </c>
      <c r="C45" s="15">
        <f>IF(B45="","",IFERROR(INDEX(Clients!$B$5:$B$504,MATCH(B45,Clients!$A$5:$A$504,0)),"Not in Clients"))</f>
        <v>0</v>
      </c>
      <c r="M45" s="26">
        <f>IF(B45="","",ROUND(SUMIFS(Sales!$Y$5:$Y$1204,Sales!$D$5:$D$1204,B45,Sales!$B$5:$B$1204,"&gt;="&amp;IF(D45="",0,D45)),2))</f>
        <v>0</v>
      </c>
      <c r="N45" s="25">
        <f>IF(B45="","",IFERROR(INDEX(Clients!$T$5:$T$504,MATCH(B45,Clients!$A$5:$A$504,0))*1,0))</f>
        <v>0</v>
      </c>
      <c r="O45" s="25">
        <f>IF(B45="","",ROUND(M45*PointsPerUnit+IF(F45="",0,F45),0))</f>
        <v>0</v>
      </c>
      <c r="P45" s="25">
        <f>IF(B45="","",O45-IF(G45="",0,G45))</f>
        <v>0</v>
      </c>
      <c r="Q45" s="25">
        <f>IF(B45="","",IF(RewardAt&lt;=0,0,ROUNDDOWN(P45/RewardAt,0)))</f>
        <v>0</v>
      </c>
      <c r="R45" s="26">
        <f>IF(B45="","",ROUND(Q45*RewardValue,2))</f>
        <v>0</v>
      </c>
      <c r="S45" s="25">
        <f>IF(B45="","",IF(RewardAt&lt;=0,"",MAX(0,RewardAt*(Q45+1)-P45)))</f>
        <v>0</v>
      </c>
      <c r="T45" s="25">
        <f>IF(B45="","",COUNTIFS(Clients!$H$5:$H$504,B45))</f>
        <v>0</v>
      </c>
      <c r="U45" s="26">
        <f>IF(B45="","",ROUND(T45*ReferralReward-IF(J45="",0,J45),2))</f>
        <v>0</v>
      </c>
      <c r="V45" s="15">
        <f>IF(B45="","",IFERROR(INDEX(Clients!$AM$5:$AM$504,MATCH(B45,Clients!$A$5:$A$504,0))&amp;"",""))</f>
        <v>0</v>
      </c>
      <c r="W45" s="25">
        <f>IF(B45="","",COUNTIFS($P$5:$P$504,"&gt;"&amp;P45)+COUNTIFS($P$5:P45,P45))</f>
        <v>0</v>
      </c>
      <c r="X45" s="39">
        <f>IF(B45="","",IF(K45="No","",IF(COUNTIF($B$5:$B$504,B45)&gt;1,"Duplicate - this client is on twice",IF(Q45&gt;0,"Action - reward ready to give",IF(U45&gt;0.004,"Action - referral credit owed",IF(V45="Lapsing","Chase - points are a reason to call",IF(S45&lt;=RewardAt*0.2,"Rebook - nearly at a reward","OK")))))))</f>
        <v>0</v>
      </c>
    </row>
    <row r="46" spans="1:24">
      <c r="A46" s="28">
        <f>IF(B46="","",LoyaltyPrefix&amp;TEXT(ROW()-4,"0000"))</f>
        <v>0</v>
      </c>
      <c r="C46" s="15">
        <f>IF(B46="","",IFERROR(INDEX(Clients!$B$5:$B$504,MATCH(B46,Clients!$A$5:$A$504,0)),"Not in Clients"))</f>
        <v>0</v>
      </c>
      <c r="M46" s="26">
        <f>IF(B46="","",ROUND(SUMIFS(Sales!$Y$5:$Y$1204,Sales!$D$5:$D$1204,B46,Sales!$B$5:$B$1204,"&gt;="&amp;IF(D46="",0,D46)),2))</f>
        <v>0</v>
      </c>
      <c r="N46" s="25">
        <f>IF(B46="","",IFERROR(INDEX(Clients!$T$5:$T$504,MATCH(B46,Clients!$A$5:$A$504,0))*1,0))</f>
        <v>0</v>
      </c>
      <c r="O46" s="25">
        <f>IF(B46="","",ROUND(M46*PointsPerUnit+IF(F46="",0,F46),0))</f>
        <v>0</v>
      </c>
      <c r="P46" s="25">
        <f>IF(B46="","",O46-IF(G46="",0,G46))</f>
        <v>0</v>
      </c>
      <c r="Q46" s="25">
        <f>IF(B46="","",IF(RewardAt&lt;=0,0,ROUNDDOWN(P46/RewardAt,0)))</f>
        <v>0</v>
      </c>
      <c r="R46" s="26">
        <f>IF(B46="","",ROUND(Q46*RewardValue,2))</f>
        <v>0</v>
      </c>
      <c r="S46" s="25">
        <f>IF(B46="","",IF(RewardAt&lt;=0,"",MAX(0,RewardAt*(Q46+1)-P46)))</f>
        <v>0</v>
      </c>
      <c r="T46" s="25">
        <f>IF(B46="","",COUNTIFS(Clients!$H$5:$H$504,B46))</f>
        <v>0</v>
      </c>
      <c r="U46" s="26">
        <f>IF(B46="","",ROUND(T46*ReferralReward-IF(J46="",0,J46),2))</f>
        <v>0</v>
      </c>
      <c r="V46" s="15">
        <f>IF(B46="","",IFERROR(INDEX(Clients!$AM$5:$AM$504,MATCH(B46,Clients!$A$5:$A$504,0))&amp;"",""))</f>
        <v>0</v>
      </c>
      <c r="W46" s="25">
        <f>IF(B46="","",COUNTIFS($P$5:$P$504,"&gt;"&amp;P46)+COUNTIFS($P$5:P46,P46))</f>
        <v>0</v>
      </c>
      <c r="X46" s="39">
        <f>IF(B46="","",IF(K46="No","",IF(COUNTIF($B$5:$B$504,B46)&gt;1,"Duplicate - this client is on twice",IF(Q46&gt;0,"Action - reward ready to give",IF(U46&gt;0.004,"Action - referral credit owed",IF(V46="Lapsing","Chase - points are a reason to call",IF(S46&lt;=RewardAt*0.2,"Rebook - nearly at a reward","OK")))))))</f>
        <v>0</v>
      </c>
    </row>
    <row r="47" spans="1:24">
      <c r="A47" s="28">
        <f>IF(B47="","",LoyaltyPrefix&amp;TEXT(ROW()-4,"0000"))</f>
        <v>0</v>
      </c>
      <c r="C47" s="15">
        <f>IF(B47="","",IFERROR(INDEX(Clients!$B$5:$B$504,MATCH(B47,Clients!$A$5:$A$504,0)),"Not in Clients"))</f>
        <v>0</v>
      </c>
      <c r="M47" s="26">
        <f>IF(B47="","",ROUND(SUMIFS(Sales!$Y$5:$Y$1204,Sales!$D$5:$D$1204,B47,Sales!$B$5:$B$1204,"&gt;="&amp;IF(D47="",0,D47)),2))</f>
        <v>0</v>
      </c>
      <c r="N47" s="25">
        <f>IF(B47="","",IFERROR(INDEX(Clients!$T$5:$T$504,MATCH(B47,Clients!$A$5:$A$504,0))*1,0))</f>
        <v>0</v>
      </c>
      <c r="O47" s="25">
        <f>IF(B47="","",ROUND(M47*PointsPerUnit+IF(F47="",0,F47),0))</f>
        <v>0</v>
      </c>
      <c r="P47" s="25">
        <f>IF(B47="","",O47-IF(G47="",0,G47))</f>
        <v>0</v>
      </c>
      <c r="Q47" s="25">
        <f>IF(B47="","",IF(RewardAt&lt;=0,0,ROUNDDOWN(P47/RewardAt,0)))</f>
        <v>0</v>
      </c>
      <c r="R47" s="26">
        <f>IF(B47="","",ROUND(Q47*RewardValue,2))</f>
        <v>0</v>
      </c>
      <c r="S47" s="25">
        <f>IF(B47="","",IF(RewardAt&lt;=0,"",MAX(0,RewardAt*(Q47+1)-P47)))</f>
        <v>0</v>
      </c>
      <c r="T47" s="25">
        <f>IF(B47="","",COUNTIFS(Clients!$H$5:$H$504,B47))</f>
        <v>0</v>
      </c>
      <c r="U47" s="26">
        <f>IF(B47="","",ROUND(T47*ReferralReward-IF(J47="",0,J47),2))</f>
        <v>0</v>
      </c>
      <c r="V47" s="15">
        <f>IF(B47="","",IFERROR(INDEX(Clients!$AM$5:$AM$504,MATCH(B47,Clients!$A$5:$A$504,0))&amp;"",""))</f>
        <v>0</v>
      </c>
      <c r="W47" s="25">
        <f>IF(B47="","",COUNTIFS($P$5:$P$504,"&gt;"&amp;P47)+COUNTIFS($P$5:P47,P47))</f>
        <v>0</v>
      </c>
      <c r="X47" s="39">
        <f>IF(B47="","",IF(K47="No","",IF(COUNTIF($B$5:$B$504,B47)&gt;1,"Duplicate - this client is on twice",IF(Q47&gt;0,"Action - reward ready to give",IF(U47&gt;0.004,"Action - referral credit owed",IF(V47="Lapsing","Chase - points are a reason to call",IF(S47&lt;=RewardAt*0.2,"Rebook - nearly at a reward","OK")))))))</f>
        <v>0</v>
      </c>
    </row>
    <row r="48" spans="1:24">
      <c r="A48" s="28">
        <f>IF(B48="","",LoyaltyPrefix&amp;TEXT(ROW()-4,"0000"))</f>
        <v>0</v>
      </c>
      <c r="C48" s="15">
        <f>IF(B48="","",IFERROR(INDEX(Clients!$B$5:$B$504,MATCH(B48,Clients!$A$5:$A$504,0)),"Not in Clients"))</f>
        <v>0</v>
      </c>
      <c r="M48" s="26">
        <f>IF(B48="","",ROUND(SUMIFS(Sales!$Y$5:$Y$1204,Sales!$D$5:$D$1204,B48,Sales!$B$5:$B$1204,"&gt;="&amp;IF(D48="",0,D48)),2))</f>
        <v>0</v>
      </c>
      <c r="N48" s="25">
        <f>IF(B48="","",IFERROR(INDEX(Clients!$T$5:$T$504,MATCH(B48,Clients!$A$5:$A$504,0))*1,0))</f>
        <v>0</v>
      </c>
      <c r="O48" s="25">
        <f>IF(B48="","",ROUND(M48*PointsPerUnit+IF(F48="",0,F48),0))</f>
        <v>0</v>
      </c>
      <c r="P48" s="25">
        <f>IF(B48="","",O48-IF(G48="",0,G48))</f>
        <v>0</v>
      </c>
      <c r="Q48" s="25">
        <f>IF(B48="","",IF(RewardAt&lt;=0,0,ROUNDDOWN(P48/RewardAt,0)))</f>
        <v>0</v>
      </c>
      <c r="R48" s="26">
        <f>IF(B48="","",ROUND(Q48*RewardValue,2))</f>
        <v>0</v>
      </c>
      <c r="S48" s="25">
        <f>IF(B48="","",IF(RewardAt&lt;=0,"",MAX(0,RewardAt*(Q48+1)-P48)))</f>
        <v>0</v>
      </c>
      <c r="T48" s="25">
        <f>IF(B48="","",COUNTIFS(Clients!$H$5:$H$504,B48))</f>
        <v>0</v>
      </c>
      <c r="U48" s="26">
        <f>IF(B48="","",ROUND(T48*ReferralReward-IF(J48="",0,J48),2))</f>
        <v>0</v>
      </c>
      <c r="V48" s="15">
        <f>IF(B48="","",IFERROR(INDEX(Clients!$AM$5:$AM$504,MATCH(B48,Clients!$A$5:$A$504,0))&amp;"",""))</f>
        <v>0</v>
      </c>
      <c r="W48" s="25">
        <f>IF(B48="","",COUNTIFS($P$5:$P$504,"&gt;"&amp;P48)+COUNTIFS($P$5:P48,P48))</f>
        <v>0</v>
      </c>
      <c r="X48" s="39">
        <f>IF(B48="","",IF(K48="No","",IF(COUNTIF($B$5:$B$504,B48)&gt;1,"Duplicate - this client is on twice",IF(Q48&gt;0,"Action - reward ready to give",IF(U48&gt;0.004,"Action - referral credit owed",IF(V48="Lapsing","Chase - points are a reason to call",IF(S48&lt;=RewardAt*0.2,"Rebook - nearly at a reward","OK")))))))</f>
        <v>0</v>
      </c>
    </row>
    <row r="49" spans="1:24">
      <c r="A49" s="28">
        <f>IF(B49="","",LoyaltyPrefix&amp;TEXT(ROW()-4,"0000"))</f>
        <v>0</v>
      </c>
      <c r="C49" s="15">
        <f>IF(B49="","",IFERROR(INDEX(Clients!$B$5:$B$504,MATCH(B49,Clients!$A$5:$A$504,0)),"Not in Clients"))</f>
        <v>0</v>
      </c>
      <c r="M49" s="26">
        <f>IF(B49="","",ROUND(SUMIFS(Sales!$Y$5:$Y$1204,Sales!$D$5:$D$1204,B49,Sales!$B$5:$B$1204,"&gt;="&amp;IF(D49="",0,D49)),2))</f>
        <v>0</v>
      </c>
      <c r="N49" s="25">
        <f>IF(B49="","",IFERROR(INDEX(Clients!$T$5:$T$504,MATCH(B49,Clients!$A$5:$A$504,0))*1,0))</f>
        <v>0</v>
      </c>
      <c r="O49" s="25">
        <f>IF(B49="","",ROUND(M49*PointsPerUnit+IF(F49="",0,F49),0))</f>
        <v>0</v>
      </c>
      <c r="P49" s="25">
        <f>IF(B49="","",O49-IF(G49="",0,G49))</f>
        <v>0</v>
      </c>
      <c r="Q49" s="25">
        <f>IF(B49="","",IF(RewardAt&lt;=0,0,ROUNDDOWN(P49/RewardAt,0)))</f>
        <v>0</v>
      </c>
      <c r="R49" s="26">
        <f>IF(B49="","",ROUND(Q49*RewardValue,2))</f>
        <v>0</v>
      </c>
      <c r="S49" s="25">
        <f>IF(B49="","",IF(RewardAt&lt;=0,"",MAX(0,RewardAt*(Q49+1)-P49)))</f>
        <v>0</v>
      </c>
      <c r="T49" s="25">
        <f>IF(B49="","",COUNTIFS(Clients!$H$5:$H$504,B49))</f>
        <v>0</v>
      </c>
      <c r="U49" s="26">
        <f>IF(B49="","",ROUND(T49*ReferralReward-IF(J49="",0,J49),2))</f>
        <v>0</v>
      </c>
      <c r="V49" s="15">
        <f>IF(B49="","",IFERROR(INDEX(Clients!$AM$5:$AM$504,MATCH(B49,Clients!$A$5:$A$504,0))&amp;"",""))</f>
        <v>0</v>
      </c>
      <c r="W49" s="25">
        <f>IF(B49="","",COUNTIFS($P$5:$P$504,"&gt;"&amp;P49)+COUNTIFS($P$5:P49,P49))</f>
        <v>0</v>
      </c>
      <c r="X49" s="39">
        <f>IF(B49="","",IF(K49="No","",IF(COUNTIF($B$5:$B$504,B49)&gt;1,"Duplicate - this client is on twice",IF(Q49&gt;0,"Action - reward ready to give",IF(U49&gt;0.004,"Action - referral credit owed",IF(V49="Lapsing","Chase - points are a reason to call",IF(S49&lt;=RewardAt*0.2,"Rebook - nearly at a reward","OK")))))))</f>
        <v>0</v>
      </c>
    </row>
    <row r="50" spans="1:24">
      <c r="A50" s="28">
        <f>IF(B50="","",LoyaltyPrefix&amp;TEXT(ROW()-4,"0000"))</f>
        <v>0</v>
      </c>
      <c r="C50" s="15">
        <f>IF(B50="","",IFERROR(INDEX(Clients!$B$5:$B$504,MATCH(B50,Clients!$A$5:$A$504,0)),"Not in Clients"))</f>
        <v>0</v>
      </c>
      <c r="M50" s="26">
        <f>IF(B50="","",ROUND(SUMIFS(Sales!$Y$5:$Y$1204,Sales!$D$5:$D$1204,B50,Sales!$B$5:$B$1204,"&gt;="&amp;IF(D50="",0,D50)),2))</f>
        <v>0</v>
      </c>
      <c r="N50" s="25">
        <f>IF(B50="","",IFERROR(INDEX(Clients!$T$5:$T$504,MATCH(B50,Clients!$A$5:$A$504,0))*1,0))</f>
        <v>0</v>
      </c>
      <c r="O50" s="25">
        <f>IF(B50="","",ROUND(M50*PointsPerUnit+IF(F50="",0,F50),0))</f>
        <v>0</v>
      </c>
      <c r="P50" s="25">
        <f>IF(B50="","",O50-IF(G50="",0,G50))</f>
        <v>0</v>
      </c>
      <c r="Q50" s="25">
        <f>IF(B50="","",IF(RewardAt&lt;=0,0,ROUNDDOWN(P50/RewardAt,0)))</f>
        <v>0</v>
      </c>
      <c r="R50" s="26">
        <f>IF(B50="","",ROUND(Q50*RewardValue,2))</f>
        <v>0</v>
      </c>
      <c r="S50" s="25">
        <f>IF(B50="","",IF(RewardAt&lt;=0,"",MAX(0,RewardAt*(Q50+1)-P50)))</f>
        <v>0</v>
      </c>
      <c r="T50" s="25">
        <f>IF(B50="","",COUNTIFS(Clients!$H$5:$H$504,B50))</f>
        <v>0</v>
      </c>
      <c r="U50" s="26">
        <f>IF(B50="","",ROUND(T50*ReferralReward-IF(J50="",0,J50),2))</f>
        <v>0</v>
      </c>
      <c r="V50" s="15">
        <f>IF(B50="","",IFERROR(INDEX(Clients!$AM$5:$AM$504,MATCH(B50,Clients!$A$5:$A$504,0))&amp;"",""))</f>
        <v>0</v>
      </c>
      <c r="W50" s="25">
        <f>IF(B50="","",COUNTIFS($P$5:$P$504,"&gt;"&amp;P50)+COUNTIFS($P$5:P50,P50))</f>
        <v>0</v>
      </c>
      <c r="X50" s="39">
        <f>IF(B50="","",IF(K50="No","",IF(COUNTIF($B$5:$B$504,B50)&gt;1,"Duplicate - this client is on twice",IF(Q50&gt;0,"Action - reward ready to give",IF(U50&gt;0.004,"Action - referral credit owed",IF(V50="Lapsing","Chase - points are a reason to call",IF(S50&lt;=RewardAt*0.2,"Rebook - nearly at a reward","OK")))))))</f>
        <v>0</v>
      </c>
    </row>
    <row r="51" spans="1:24">
      <c r="A51" s="28">
        <f>IF(B51="","",LoyaltyPrefix&amp;TEXT(ROW()-4,"0000"))</f>
        <v>0</v>
      </c>
      <c r="C51" s="15">
        <f>IF(B51="","",IFERROR(INDEX(Clients!$B$5:$B$504,MATCH(B51,Clients!$A$5:$A$504,0)),"Not in Clients"))</f>
        <v>0</v>
      </c>
      <c r="M51" s="26">
        <f>IF(B51="","",ROUND(SUMIFS(Sales!$Y$5:$Y$1204,Sales!$D$5:$D$1204,B51,Sales!$B$5:$B$1204,"&gt;="&amp;IF(D51="",0,D51)),2))</f>
        <v>0</v>
      </c>
      <c r="N51" s="25">
        <f>IF(B51="","",IFERROR(INDEX(Clients!$T$5:$T$504,MATCH(B51,Clients!$A$5:$A$504,0))*1,0))</f>
        <v>0</v>
      </c>
      <c r="O51" s="25">
        <f>IF(B51="","",ROUND(M51*PointsPerUnit+IF(F51="",0,F51),0))</f>
        <v>0</v>
      </c>
      <c r="P51" s="25">
        <f>IF(B51="","",O51-IF(G51="",0,G51))</f>
        <v>0</v>
      </c>
      <c r="Q51" s="25">
        <f>IF(B51="","",IF(RewardAt&lt;=0,0,ROUNDDOWN(P51/RewardAt,0)))</f>
        <v>0</v>
      </c>
      <c r="R51" s="26">
        <f>IF(B51="","",ROUND(Q51*RewardValue,2))</f>
        <v>0</v>
      </c>
      <c r="S51" s="25">
        <f>IF(B51="","",IF(RewardAt&lt;=0,"",MAX(0,RewardAt*(Q51+1)-P51)))</f>
        <v>0</v>
      </c>
      <c r="T51" s="25">
        <f>IF(B51="","",COUNTIFS(Clients!$H$5:$H$504,B51))</f>
        <v>0</v>
      </c>
      <c r="U51" s="26">
        <f>IF(B51="","",ROUND(T51*ReferralReward-IF(J51="",0,J51),2))</f>
        <v>0</v>
      </c>
      <c r="V51" s="15">
        <f>IF(B51="","",IFERROR(INDEX(Clients!$AM$5:$AM$504,MATCH(B51,Clients!$A$5:$A$504,0))&amp;"",""))</f>
        <v>0</v>
      </c>
      <c r="W51" s="25">
        <f>IF(B51="","",COUNTIFS($P$5:$P$504,"&gt;"&amp;P51)+COUNTIFS($P$5:P51,P51))</f>
        <v>0</v>
      </c>
      <c r="X51" s="39">
        <f>IF(B51="","",IF(K51="No","",IF(COUNTIF($B$5:$B$504,B51)&gt;1,"Duplicate - this client is on twice",IF(Q51&gt;0,"Action - reward ready to give",IF(U51&gt;0.004,"Action - referral credit owed",IF(V51="Lapsing","Chase - points are a reason to call",IF(S51&lt;=RewardAt*0.2,"Rebook - nearly at a reward","OK")))))))</f>
        <v>0</v>
      </c>
    </row>
    <row r="52" spans="1:24">
      <c r="A52" s="28">
        <f>IF(B52="","",LoyaltyPrefix&amp;TEXT(ROW()-4,"0000"))</f>
        <v>0</v>
      </c>
      <c r="C52" s="15">
        <f>IF(B52="","",IFERROR(INDEX(Clients!$B$5:$B$504,MATCH(B52,Clients!$A$5:$A$504,0)),"Not in Clients"))</f>
        <v>0</v>
      </c>
      <c r="M52" s="26">
        <f>IF(B52="","",ROUND(SUMIFS(Sales!$Y$5:$Y$1204,Sales!$D$5:$D$1204,B52,Sales!$B$5:$B$1204,"&gt;="&amp;IF(D52="",0,D52)),2))</f>
        <v>0</v>
      </c>
      <c r="N52" s="25">
        <f>IF(B52="","",IFERROR(INDEX(Clients!$T$5:$T$504,MATCH(B52,Clients!$A$5:$A$504,0))*1,0))</f>
        <v>0</v>
      </c>
      <c r="O52" s="25">
        <f>IF(B52="","",ROUND(M52*PointsPerUnit+IF(F52="",0,F52),0))</f>
        <v>0</v>
      </c>
      <c r="P52" s="25">
        <f>IF(B52="","",O52-IF(G52="",0,G52))</f>
        <v>0</v>
      </c>
      <c r="Q52" s="25">
        <f>IF(B52="","",IF(RewardAt&lt;=0,0,ROUNDDOWN(P52/RewardAt,0)))</f>
        <v>0</v>
      </c>
      <c r="R52" s="26">
        <f>IF(B52="","",ROUND(Q52*RewardValue,2))</f>
        <v>0</v>
      </c>
      <c r="S52" s="25">
        <f>IF(B52="","",IF(RewardAt&lt;=0,"",MAX(0,RewardAt*(Q52+1)-P52)))</f>
        <v>0</v>
      </c>
      <c r="T52" s="25">
        <f>IF(B52="","",COUNTIFS(Clients!$H$5:$H$504,B52))</f>
        <v>0</v>
      </c>
      <c r="U52" s="26">
        <f>IF(B52="","",ROUND(T52*ReferralReward-IF(J52="",0,J52),2))</f>
        <v>0</v>
      </c>
      <c r="V52" s="15">
        <f>IF(B52="","",IFERROR(INDEX(Clients!$AM$5:$AM$504,MATCH(B52,Clients!$A$5:$A$504,0))&amp;"",""))</f>
        <v>0</v>
      </c>
      <c r="W52" s="25">
        <f>IF(B52="","",COUNTIFS($P$5:$P$504,"&gt;"&amp;P52)+COUNTIFS($P$5:P52,P52))</f>
        <v>0</v>
      </c>
      <c r="X52" s="39">
        <f>IF(B52="","",IF(K52="No","",IF(COUNTIF($B$5:$B$504,B52)&gt;1,"Duplicate - this client is on twice",IF(Q52&gt;0,"Action - reward ready to give",IF(U52&gt;0.004,"Action - referral credit owed",IF(V52="Lapsing","Chase - points are a reason to call",IF(S52&lt;=RewardAt*0.2,"Rebook - nearly at a reward","OK")))))))</f>
        <v>0</v>
      </c>
    </row>
    <row r="53" spans="1:24">
      <c r="A53" s="28">
        <f>IF(B53="","",LoyaltyPrefix&amp;TEXT(ROW()-4,"0000"))</f>
        <v>0</v>
      </c>
      <c r="C53" s="15">
        <f>IF(B53="","",IFERROR(INDEX(Clients!$B$5:$B$504,MATCH(B53,Clients!$A$5:$A$504,0)),"Not in Clients"))</f>
        <v>0</v>
      </c>
      <c r="M53" s="26">
        <f>IF(B53="","",ROUND(SUMIFS(Sales!$Y$5:$Y$1204,Sales!$D$5:$D$1204,B53,Sales!$B$5:$B$1204,"&gt;="&amp;IF(D53="",0,D53)),2))</f>
        <v>0</v>
      </c>
      <c r="N53" s="25">
        <f>IF(B53="","",IFERROR(INDEX(Clients!$T$5:$T$504,MATCH(B53,Clients!$A$5:$A$504,0))*1,0))</f>
        <v>0</v>
      </c>
      <c r="O53" s="25">
        <f>IF(B53="","",ROUND(M53*PointsPerUnit+IF(F53="",0,F53),0))</f>
        <v>0</v>
      </c>
      <c r="P53" s="25">
        <f>IF(B53="","",O53-IF(G53="",0,G53))</f>
        <v>0</v>
      </c>
      <c r="Q53" s="25">
        <f>IF(B53="","",IF(RewardAt&lt;=0,0,ROUNDDOWN(P53/RewardAt,0)))</f>
        <v>0</v>
      </c>
      <c r="R53" s="26">
        <f>IF(B53="","",ROUND(Q53*RewardValue,2))</f>
        <v>0</v>
      </c>
      <c r="S53" s="25">
        <f>IF(B53="","",IF(RewardAt&lt;=0,"",MAX(0,RewardAt*(Q53+1)-P53)))</f>
        <v>0</v>
      </c>
      <c r="T53" s="25">
        <f>IF(B53="","",COUNTIFS(Clients!$H$5:$H$504,B53))</f>
        <v>0</v>
      </c>
      <c r="U53" s="26">
        <f>IF(B53="","",ROUND(T53*ReferralReward-IF(J53="",0,J53),2))</f>
        <v>0</v>
      </c>
      <c r="V53" s="15">
        <f>IF(B53="","",IFERROR(INDEX(Clients!$AM$5:$AM$504,MATCH(B53,Clients!$A$5:$A$504,0))&amp;"",""))</f>
        <v>0</v>
      </c>
      <c r="W53" s="25">
        <f>IF(B53="","",COUNTIFS($P$5:$P$504,"&gt;"&amp;P53)+COUNTIFS($P$5:P53,P53))</f>
        <v>0</v>
      </c>
      <c r="X53" s="39">
        <f>IF(B53="","",IF(K53="No","",IF(COUNTIF($B$5:$B$504,B53)&gt;1,"Duplicate - this client is on twice",IF(Q53&gt;0,"Action - reward ready to give",IF(U53&gt;0.004,"Action - referral credit owed",IF(V53="Lapsing","Chase - points are a reason to call",IF(S53&lt;=RewardAt*0.2,"Rebook - nearly at a reward","OK")))))))</f>
        <v>0</v>
      </c>
    </row>
    <row r="54" spans="1:24">
      <c r="A54" s="28">
        <f>IF(B54="","",LoyaltyPrefix&amp;TEXT(ROW()-4,"0000"))</f>
        <v>0</v>
      </c>
      <c r="C54" s="15">
        <f>IF(B54="","",IFERROR(INDEX(Clients!$B$5:$B$504,MATCH(B54,Clients!$A$5:$A$504,0)),"Not in Clients"))</f>
        <v>0</v>
      </c>
      <c r="M54" s="26">
        <f>IF(B54="","",ROUND(SUMIFS(Sales!$Y$5:$Y$1204,Sales!$D$5:$D$1204,B54,Sales!$B$5:$B$1204,"&gt;="&amp;IF(D54="",0,D54)),2))</f>
        <v>0</v>
      </c>
      <c r="N54" s="25">
        <f>IF(B54="","",IFERROR(INDEX(Clients!$T$5:$T$504,MATCH(B54,Clients!$A$5:$A$504,0))*1,0))</f>
        <v>0</v>
      </c>
      <c r="O54" s="25">
        <f>IF(B54="","",ROUND(M54*PointsPerUnit+IF(F54="",0,F54),0))</f>
        <v>0</v>
      </c>
      <c r="P54" s="25">
        <f>IF(B54="","",O54-IF(G54="",0,G54))</f>
        <v>0</v>
      </c>
      <c r="Q54" s="25">
        <f>IF(B54="","",IF(RewardAt&lt;=0,0,ROUNDDOWN(P54/RewardAt,0)))</f>
        <v>0</v>
      </c>
      <c r="R54" s="26">
        <f>IF(B54="","",ROUND(Q54*RewardValue,2))</f>
        <v>0</v>
      </c>
      <c r="S54" s="25">
        <f>IF(B54="","",IF(RewardAt&lt;=0,"",MAX(0,RewardAt*(Q54+1)-P54)))</f>
        <v>0</v>
      </c>
      <c r="T54" s="25">
        <f>IF(B54="","",COUNTIFS(Clients!$H$5:$H$504,B54))</f>
        <v>0</v>
      </c>
      <c r="U54" s="26">
        <f>IF(B54="","",ROUND(T54*ReferralReward-IF(J54="",0,J54),2))</f>
        <v>0</v>
      </c>
      <c r="V54" s="15">
        <f>IF(B54="","",IFERROR(INDEX(Clients!$AM$5:$AM$504,MATCH(B54,Clients!$A$5:$A$504,0))&amp;"",""))</f>
        <v>0</v>
      </c>
      <c r="W54" s="25">
        <f>IF(B54="","",COUNTIFS($P$5:$P$504,"&gt;"&amp;P54)+COUNTIFS($P$5:P54,P54))</f>
        <v>0</v>
      </c>
      <c r="X54" s="39">
        <f>IF(B54="","",IF(K54="No","",IF(COUNTIF($B$5:$B$504,B54)&gt;1,"Duplicate - this client is on twice",IF(Q54&gt;0,"Action - reward ready to give",IF(U54&gt;0.004,"Action - referral credit owed",IF(V54="Lapsing","Chase - points are a reason to call",IF(S54&lt;=RewardAt*0.2,"Rebook - nearly at a reward","OK")))))))</f>
        <v>0</v>
      </c>
    </row>
    <row r="55" spans="1:24">
      <c r="A55" s="28">
        <f>IF(B55="","",LoyaltyPrefix&amp;TEXT(ROW()-4,"0000"))</f>
        <v>0</v>
      </c>
      <c r="C55" s="15">
        <f>IF(B55="","",IFERROR(INDEX(Clients!$B$5:$B$504,MATCH(B55,Clients!$A$5:$A$504,0)),"Not in Clients"))</f>
        <v>0</v>
      </c>
      <c r="M55" s="26">
        <f>IF(B55="","",ROUND(SUMIFS(Sales!$Y$5:$Y$1204,Sales!$D$5:$D$1204,B55,Sales!$B$5:$B$1204,"&gt;="&amp;IF(D55="",0,D55)),2))</f>
        <v>0</v>
      </c>
      <c r="N55" s="25">
        <f>IF(B55="","",IFERROR(INDEX(Clients!$T$5:$T$504,MATCH(B55,Clients!$A$5:$A$504,0))*1,0))</f>
        <v>0</v>
      </c>
      <c r="O55" s="25">
        <f>IF(B55="","",ROUND(M55*PointsPerUnit+IF(F55="",0,F55),0))</f>
        <v>0</v>
      </c>
      <c r="P55" s="25">
        <f>IF(B55="","",O55-IF(G55="",0,G55))</f>
        <v>0</v>
      </c>
      <c r="Q55" s="25">
        <f>IF(B55="","",IF(RewardAt&lt;=0,0,ROUNDDOWN(P55/RewardAt,0)))</f>
        <v>0</v>
      </c>
      <c r="R55" s="26">
        <f>IF(B55="","",ROUND(Q55*RewardValue,2))</f>
        <v>0</v>
      </c>
      <c r="S55" s="25">
        <f>IF(B55="","",IF(RewardAt&lt;=0,"",MAX(0,RewardAt*(Q55+1)-P55)))</f>
        <v>0</v>
      </c>
      <c r="T55" s="25">
        <f>IF(B55="","",COUNTIFS(Clients!$H$5:$H$504,B55))</f>
        <v>0</v>
      </c>
      <c r="U55" s="26">
        <f>IF(B55="","",ROUND(T55*ReferralReward-IF(J55="",0,J55),2))</f>
        <v>0</v>
      </c>
      <c r="V55" s="15">
        <f>IF(B55="","",IFERROR(INDEX(Clients!$AM$5:$AM$504,MATCH(B55,Clients!$A$5:$A$504,0))&amp;"",""))</f>
        <v>0</v>
      </c>
      <c r="W55" s="25">
        <f>IF(B55="","",COUNTIFS($P$5:$P$504,"&gt;"&amp;P55)+COUNTIFS($P$5:P55,P55))</f>
        <v>0</v>
      </c>
      <c r="X55" s="39">
        <f>IF(B55="","",IF(K55="No","",IF(COUNTIF($B$5:$B$504,B55)&gt;1,"Duplicate - this client is on twice",IF(Q55&gt;0,"Action - reward ready to give",IF(U55&gt;0.004,"Action - referral credit owed",IF(V55="Lapsing","Chase - points are a reason to call",IF(S55&lt;=RewardAt*0.2,"Rebook - nearly at a reward","OK")))))))</f>
        <v>0</v>
      </c>
    </row>
    <row r="56" spans="1:24">
      <c r="A56" s="28">
        <f>IF(B56="","",LoyaltyPrefix&amp;TEXT(ROW()-4,"0000"))</f>
        <v>0</v>
      </c>
      <c r="C56" s="15">
        <f>IF(B56="","",IFERROR(INDEX(Clients!$B$5:$B$504,MATCH(B56,Clients!$A$5:$A$504,0)),"Not in Clients"))</f>
        <v>0</v>
      </c>
      <c r="M56" s="26">
        <f>IF(B56="","",ROUND(SUMIFS(Sales!$Y$5:$Y$1204,Sales!$D$5:$D$1204,B56,Sales!$B$5:$B$1204,"&gt;="&amp;IF(D56="",0,D56)),2))</f>
        <v>0</v>
      </c>
      <c r="N56" s="25">
        <f>IF(B56="","",IFERROR(INDEX(Clients!$T$5:$T$504,MATCH(B56,Clients!$A$5:$A$504,0))*1,0))</f>
        <v>0</v>
      </c>
      <c r="O56" s="25">
        <f>IF(B56="","",ROUND(M56*PointsPerUnit+IF(F56="",0,F56),0))</f>
        <v>0</v>
      </c>
      <c r="P56" s="25">
        <f>IF(B56="","",O56-IF(G56="",0,G56))</f>
        <v>0</v>
      </c>
      <c r="Q56" s="25">
        <f>IF(B56="","",IF(RewardAt&lt;=0,0,ROUNDDOWN(P56/RewardAt,0)))</f>
        <v>0</v>
      </c>
      <c r="R56" s="26">
        <f>IF(B56="","",ROUND(Q56*RewardValue,2))</f>
        <v>0</v>
      </c>
      <c r="S56" s="25">
        <f>IF(B56="","",IF(RewardAt&lt;=0,"",MAX(0,RewardAt*(Q56+1)-P56)))</f>
        <v>0</v>
      </c>
      <c r="T56" s="25">
        <f>IF(B56="","",COUNTIFS(Clients!$H$5:$H$504,B56))</f>
        <v>0</v>
      </c>
      <c r="U56" s="26">
        <f>IF(B56="","",ROUND(T56*ReferralReward-IF(J56="",0,J56),2))</f>
        <v>0</v>
      </c>
      <c r="V56" s="15">
        <f>IF(B56="","",IFERROR(INDEX(Clients!$AM$5:$AM$504,MATCH(B56,Clients!$A$5:$A$504,0))&amp;"",""))</f>
        <v>0</v>
      </c>
      <c r="W56" s="25">
        <f>IF(B56="","",COUNTIFS($P$5:$P$504,"&gt;"&amp;P56)+COUNTIFS($P$5:P56,P56))</f>
        <v>0</v>
      </c>
      <c r="X56" s="39">
        <f>IF(B56="","",IF(K56="No","",IF(COUNTIF($B$5:$B$504,B56)&gt;1,"Duplicate - this client is on twice",IF(Q56&gt;0,"Action - reward ready to give",IF(U56&gt;0.004,"Action - referral credit owed",IF(V56="Lapsing","Chase - points are a reason to call",IF(S56&lt;=RewardAt*0.2,"Rebook - nearly at a reward","OK")))))))</f>
        <v>0</v>
      </c>
    </row>
    <row r="57" spans="1:24">
      <c r="A57" s="28">
        <f>IF(B57="","",LoyaltyPrefix&amp;TEXT(ROW()-4,"0000"))</f>
        <v>0</v>
      </c>
      <c r="C57" s="15">
        <f>IF(B57="","",IFERROR(INDEX(Clients!$B$5:$B$504,MATCH(B57,Clients!$A$5:$A$504,0)),"Not in Clients"))</f>
        <v>0</v>
      </c>
      <c r="M57" s="26">
        <f>IF(B57="","",ROUND(SUMIFS(Sales!$Y$5:$Y$1204,Sales!$D$5:$D$1204,B57,Sales!$B$5:$B$1204,"&gt;="&amp;IF(D57="",0,D57)),2))</f>
        <v>0</v>
      </c>
      <c r="N57" s="25">
        <f>IF(B57="","",IFERROR(INDEX(Clients!$T$5:$T$504,MATCH(B57,Clients!$A$5:$A$504,0))*1,0))</f>
        <v>0</v>
      </c>
      <c r="O57" s="25">
        <f>IF(B57="","",ROUND(M57*PointsPerUnit+IF(F57="",0,F57),0))</f>
        <v>0</v>
      </c>
      <c r="P57" s="25">
        <f>IF(B57="","",O57-IF(G57="",0,G57))</f>
        <v>0</v>
      </c>
      <c r="Q57" s="25">
        <f>IF(B57="","",IF(RewardAt&lt;=0,0,ROUNDDOWN(P57/RewardAt,0)))</f>
        <v>0</v>
      </c>
      <c r="R57" s="26">
        <f>IF(B57="","",ROUND(Q57*RewardValue,2))</f>
        <v>0</v>
      </c>
      <c r="S57" s="25">
        <f>IF(B57="","",IF(RewardAt&lt;=0,"",MAX(0,RewardAt*(Q57+1)-P57)))</f>
        <v>0</v>
      </c>
      <c r="T57" s="25">
        <f>IF(B57="","",COUNTIFS(Clients!$H$5:$H$504,B57))</f>
        <v>0</v>
      </c>
      <c r="U57" s="26">
        <f>IF(B57="","",ROUND(T57*ReferralReward-IF(J57="",0,J57),2))</f>
        <v>0</v>
      </c>
      <c r="V57" s="15">
        <f>IF(B57="","",IFERROR(INDEX(Clients!$AM$5:$AM$504,MATCH(B57,Clients!$A$5:$A$504,0))&amp;"",""))</f>
        <v>0</v>
      </c>
      <c r="W57" s="25">
        <f>IF(B57="","",COUNTIFS($P$5:$P$504,"&gt;"&amp;P57)+COUNTIFS($P$5:P57,P57))</f>
        <v>0</v>
      </c>
      <c r="X57" s="39">
        <f>IF(B57="","",IF(K57="No","",IF(COUNTIF($B$5:$B$504,B57)&gt;1,"Duplicate - this client is on twice",IF(Q57&gt;0,"Action - reward ready to give",IF(U57&gt;0.004,"Action - referral credit owed",IF(V57="Lapsing","Chase - points are a reason to call",IF(S57&lt;=RewardAt*0.2,"Rebook - nearly at a reward","OK")))))))</f>
        <v>0</v>
      </c>
    </row>
    <row r="58" spans="1:24">
      <c r="A58" s="28">
        <f>IF(B58="","",LoyaltyPrefix&amp;TEXT(ROW()-4,"0000"))</f>
        <v>0</v>
      </c>
      <c r="C58" s="15">
        <f>IF(B58="","",IFERROR(INDEX(Clients!$B$5:$B$504,MATCH(B58,Clients!$A$5:$A$504,0)),"Not in Clients"))</f>
        <v>0</v>
      </c>
      <c r="M58" s="26">
        <f>IF(B58="","",ROUND(SUMIFS(Sales!$Y$5:$Y$1204,Sales!$D$5:$D$1204,B58,Sales!$B$5:$B$1204,"&gt;="&amp;IF(D58="",0,D58)),2))</f>
        <v>0</v>
      </c>
      <c r="N58" s="25">
        <f>IF(B58="","",IFERROR(INDEX(Clients!$T$5:$T$504,MATCH(B58,Clients!$A$5:$A$504,0))*1,0))</f>
        <v>0</v>
      </c>
      <c r="O58" s="25">
        <f>IF(B58="","",ROUND(M58*PointsPerUnit+IF(F58="",0,F58),0))</f>
        <v>0</v>
      </c>
      <c r="P58" s="25">
        <f>IF(B58="","",O58-IF(G58="",0,G58))</f>
        <v>0</v>
      </c>
      <c r="Q58" s="25">
        <f>IF(B58="","",IF(RewardAt&lt;=0,0,ROUNDDOWN(P58/RewardAt,0)))</f>
        <v>0</v>
      </c>
      <c r="R58" s="26">
        <f>IF(B58="","",ROUND(Q58*RewardValue,2))</f>
        <v>0</v>
      </c>
      <c r="S58" s="25">
        <f>IF(B58="","",IF(RewardAt&lt;=0,"",MAX(0,RewardAt*(Q58+1)-P58)))</f>
        <v>0</v>
      </c>
      <c r="T58" s="25">
        <f>IF(B58="","",COUNTIFS(Clients!$H$5:$H$504,B58))</f>
        <v>0</v>
      </c>
      <c r="U58" s="26">
        <f>IF(B58="","",ROUND(T58*ReferralReward-IF(J58="",0,J58),2))</f>
        <v>0</v>
      </c>
      <c r="V58" s="15">
        <f>IF(B58="","",IFERROR(INDEX(Clients!$AM$5:$AM$504,MATCH(B58,Clients!$A$5:$A$504,0))&amp;"",""))</f>
        <v>0</v>
      </c>
      <c r="W58" s="25">
        <f>IF(B58="","",COUNTIFS($P$5:$P$504,"&gt;"&amp;P58)+COUNTIFS($P$5:P58,P58))</f>
        <v>0</v>
      </c>
      <c r="X58" s="39">
        <f>IF(B58="","",IF(K58="No","",IF(COUNTIF($B$5:$B$504,B58)&gt;1,"Duplicate - this client is on twice",IF(Q58&gt;0,"Action - reward ready to give",IF(U58&gt;0.004,"Action - referral credit owed",IF(V58="Lapsing","Chase - points are a reason to call",IF(S58&lt;=RewardAt*0.2,"Rebook - nearly at a reward","OK")))))))</f>
        <v>0</v>
      </c>
    </row>
    <row r="59" spans="1:24">
      <c r="A59" s="28">
        <f>IF(B59="","",LoyaltyPrefix&amp;TEXT(ROW()-4,"0000"))</f>
        <v>0</v>
      </c>
      <c r="C59" s="15">
        <f>IF(B59="","",IFERROR(INDEX(Clients!$B$5:$B$504,MATCH(B59,Clients!$A$5:$A$504,0)),"Not in Clients"))</f>
        <v>0</v>
      </c>
      <c r="M59" s="26">
        <f>IF(B59="","",ROUND(SUMIFS(Sales!$Y$5:$Y$1204,Sales!$D$5:$D$1204,B59,Sales!$B$5:$B$1204,"&gt;="&amp;IF(D59="",0,D59)),2))</f>
        <v>0</v>
      </c>
      <c r="N59" s="25">
        <f>IF(B59="","",IFERROR(INDEX(Clients!$T$5:$T$504,MATCH(B59,Clients!$A$5:$A$504,0))*1,0))</f>
        <v>0</v>
      </c>
      <c r="O59" s="25">
        <f>IF(B59="","",ROUND(M59*PointsPerUnit+IF(F59="",0,F59),0))</f>
        <v>0</v>
      </c>
      <c r="P59" s="25">
        <f>IF(B59="","",O59-IF(G59="",0,G59))</f>
        <v>0</v>
      </c>
      <c r="Q59" s="25">
        <f>IF(B59="","",IF(RewardAt&lt;=0,0,ROUNDDOWN(P59/RewardAt,0)))</f>
        <v>0</v>
      </c>
      <c r="R59" s="26">
        <f>IF(B59="","",ROUND(Q59*RewardValue,2))</f>
        <v>0</v>
      </c>
      <c r="S59" s="25">
        <f>IF(B59="","",IF(RewardAt&lt;=0,"",MAX(0,RewardAt*(Q59+1)-P59)))</f>
        <v>0</v>
      </c>
      <c r="T59" s="25">
        <f>IF(B59="","",COUNTIFS(Clients!$H$5:$H$504,B59))</f>
        <v>0</v>
      </c>
      <c r="U59" s="26">
        <f>IF(B59="","",ROUND(T59*ReferralReward-IF(J59="",0,J59),2))</f>
        <v>0</v>
      </c>
      <c r="V59" s="15">
        <f>IF(B59="","",IFERROR(INDEX(Clients!$AM$5:$AM$504,MATCH(B59,Clients!$A$5:$A$504,0))&amp;"",""))</f>
        <v>0</v>
      </c>
      <c r="W59" s="25">
        <f>IF(B59="","",COUNTIFS($P$5:$P$504,"&gt;"&amp;P59)+COUNTIFS($P$5:P59,P59))</f>
        <v>0</v>
      </c>
      <c r="X59" s="39">
        <f>IF(B59="","",IF(K59="No","",IF(COUNTIF($B$5:$B$504,B59)&gt;1,"Duplicate - this client is on twice",IF(Q59&gt;0,"Action - reward ready to give",IF(U59&gt;0.004,"Action - referral credit owed",IF(V59="Lapsing","Chase - points are a reason to call",IF(S59&lt;=RewardAt*0.2,"Rebook - nearly at a reward","OK")))))))</f>
        <v>0</v>
      </c>
    </row>
    <row r="60" spans="1:24">
      <c r="A60" s="28">
        <f>IF(B60="","",LoyaltyPrefix&amp;TEXT(ROW()-4,"0000"))</f>
        <v>0</v>
      </c>
      <c r="C60" s="15">
        <f>IF(B60="","",IFERROR(INDEX(Clients!$B$5:$B$504,MATCH(B60,Clients!$A$5:$A$504,0)),"Not in Clients"))</f>
        <v>0</v>
      </c>
      <c r="M60" s="26">
        <f>IF(B60="","",ROUND(SUMIFS(Sales!$Y$5:$Y$1204,Sales!$D$5:$D$1204,B60,Sales!$B$5:$B$1204,"&gt;="&amp;IF(D60="",0,D60)),2))</f>
        <v>0</v>
      </c>
      <c r="N60" s="25">
        <f>IF(B60="","",IFERROR(INDEX(Clients!$T$5:$T$504,MATCH(B60,Clients!$A$5:$A$504,0))*1,0))</f>
        <v>0</v>
      </c>
      <c r="O60" s="25">
        <f>IF(B60="","",ROUND(M60*PointsPerUnit+IF(F60="",0,F60),0))</f>
        <v>0</v>
      </c>
      <c r="P60" s="25">
        <f>IF(B60="","",O60-IF(G60="",0,G60))</f>
        <v>0</v>
      </c>
      <c r="Q60" s="25">
        <f>IF(B60="","",IF(RewardAt&lt;=0,0,ROUNDDOWN(P60/RewardAt,0)))</f>
        <v>0</v>
      </c>
      <c r="R60" s="26">
        <f>IF(B60="","",ROUND(Q60*RewardValue,2))</f>
        <v>0</v>
      </c>
      <c r="S60" s="25">
        <f>IF(B60="","",IF(RewardAt&lt;=0,"",MAX(0,RewardAt*(Q60+1)-P60)))</f>
        <v>0</v>
      </c>
      <c r="T60" s="25">
        <f>IF(B60="","",COUNTIFS(Clients!$H$5:$H$504,B60))</f>
        <v>0</v>
      </c>
      <c r="U60" s="26">
        <f>IF(B60="","",ROUND(T60*ReferralReward-IF(J60="",0,J60),2))</f>
        <v>0</v>
      </c>
      <c r="V60" s="15">
        <f>IF(B60="","",IFERROR(INDEX(Clients!$AM$5:$AM$504,MATCH(B60,Clients!$A$5:$A$504,0))&amp;"",""))</f>
        <v>0</v>
      </c>
      <c r="W60" s="25">
        <f>IF(B60="","",COUNTIFS($P$5:$P$504,"&gt;"&amp;P60)+COUNTIFS($P$5:P60,P60))</f>
        <v>0</v>
      </c>
      <c r="X60" s="39">
        <f>IF(B60="","",IF(K60="No","",IF(COUNTIF($B$5:$B$504,B60)&gt;1,"Duplicate - this client is on twice",IF(Q60&gt;0,"Action - reward ready to give",IF(U60&gt;0.004,"Action - referral credit owed",IF(V60="Lapsing","Chase - points are a reason to call",IF(S60&lt;=RewardAt*0.2,"Rebook - nearly at a reward","OK")))))))</f>
        <v>0</v>
      </c>
    </row>
    <row r="61" spans="1:24">
      <c r="A61" s="28">
        <f>IF(B61="","",LoyaltyPrefix&amp;TEXT(ROW()-4,"0000"))</f>
        <v>0</v>
      </c>
      <c r="C61" s="15">
        <f>IF(B61="","",IFERROR(INDEX(Clients!$B$5:$B$504,MATCH(B61,Clients!$A$5:$A$504,0)),"Not in Clients"))</f>
        <v>0</v>
      </c>
      <c r="M61" s="26">
        <f>IF(B61="","",ROUND(SUMIFS(Sales!$Y$5:$Y$1204,Sales!$D$5:$D$1204,B61,Sales!$B$5:$B$1204,"&gt;="&amp;IF(D61="",0,D61)),2))</f>
        <v>0</v>
      </c>
      <c r="N61" s="25">
        <f>IF(B61="","",IFERROR(INDEX(Clients!$T$5:$T$504,MATCH(B61,Clients!$A$5:$A$504,0))*1,0))</f>
        <v>0</v>
      </c>
      <c r="O61" s="25">
        <f>IF(B61="","",ROUND(M61*PointsPerUnit+IF(F61="",0,F61),0))</f>
        <v>0</v>
      </c>
      <c r="P61" s="25">
        <f>IF(B61="","",O61-IF(G61="",0,G61))</f>
        <v>0</v>
      </c>
      <c r="Q61" s="25">
        <f>IF(B61="","",IF(RewardAt&lt;=0,0,ROUNDDOWN(P61/RewardAt,0)))</f>
        <v>0</v>
      </c>
      <c r="R61" s="26">
        <f>IF(B61="","",ROUND(Q61*RewardValue,2))</f>
        <v>0</v>
      </c>
      <c r="S61" s="25">
        <f>IF(B61="","",IF(RewardAt&lt;=0,"",MAX(0,RewardAt*(Q61+1)-P61)))</f>
        <v>0</v>
      </c>
      <c r="T61" s="25">
        <f>IF(B61="","",COUNTIFS(Clients!$H$5:$H$504,B61))</f>
        <v>0</v>
      </c>
      <c r="U61" s="26">
        <f>IF(B61="","",ROUND(T61*ReferralReward-IF(J61="",0,J61),2))</f>
        <v>0</v>
      </c>
      <c r="V61" s="15">
        <f>IF(B61="","",IFERROR(INDEX(Clients!$AM$5:$AM$504,MATCH(B61,Clients!$A$5:$A$504,0))&amp;"",""))</f>
        <v>0</v>
      </c>
      <c r="W61" s="25">
        <f>IF(B61="","",COUNTIFS($P$5:$P$504,"&gt;"&amp;P61)+COUNTIFS($P$5:P61,P61))</f>
        <v>0</v>
      </c>
      <c r="X61" s="39">
        <f>IF(B61="","",IF(K61="No","",IF(COUNTIF($B$5:$B$504,B61)&gt;1,"Duplicate - this client is on twice",IF(Q61&gt;0,"Action - reward ready to give",IF(U61&gt;0.004,"Action - referral credit owed",IF(V61="Lapsing","Chase - points are a reason to call",IF(S61&lt;=RewardAt*0.2,"Rebook - nearly at a reward","OK")))))))</f>
        <v>0</v>
      </c>
    </row>
    <row r="62" spans="1:24">
      <c r="A62" s="28">
        <f>IF(B62="","",LoyaltyPrefix&amp;TEXT(ROW()-4,"0000"))</f>
        <v>0</v>
      </c>
      <c r="C62" s="15">
        <f>IF(B62="","",IFERROR(INDEX(Clients!$B$5:$B$504,MATCH(B62,Clients!$A$5:$A$504,0)),"Not in Clients"))</f>
        <v>0</v>
      </c>
      <c r="M62" s="26">
        <f>IF(B62="","",ROUND(SUMIFS(Sales!$Y$5:$Y$1204,Sales!$D$5:$D$1204,B62,Sales!$B$5:$B$1204,"&gt;="&amp;IF(D62="",0,D62)),2))</f>
        <v>0</v>
      </c>
      <c r="N62" s="25">
        <f>IF(B62="","",IFERROR(INDEX(Clients!$T$5:$T$504,MATCH(B62,Clients!$A$5:$A$504,0))*1,0))</f>
        <v>0</v>
      </c>
      <c r="O62" s="25">
        <f>IF(B62="","",ROUND(M62*PointsPerUnit+IF(F62="",0,F62),0))</f>
        <v>0</v>
      </c>
      <c r="P62" s="25">
        <f>IF(B62="","",O62-IF(G62="",0,G62))</f>
        <v>0</v>
      </c>
      <c r="Q62" s="25">
        <f>IF(B62="","",IF(RewardAt&lt;=0,0,ROUNDDOWN(P62/RewardAt,0)))</f>
        <v>0</v>
      </c>
      <c r="R62" s="26">
        <f>IF(B62="","",ROUND(Q62*RewardValue,2))</f>
        <v>0</v>
      </c>
      <c r="S62" s="25">
        <f>IF(B62="","",IF(RewardAt&lt;=0,"",MAX(0,RewardAt*(Q62+1)-P62)))</f>
        <v>0</v>
      </c>
      <c r="T62" s="25">
        <f>IF(B62="","",COUNTIFS(Clients!$H$5:$H$504,B62))</f>
        <v>0</v>
      </c>
      <c r="U62" s="26">
        <f>IF(B62="","",ROUND(T62*ReferralReward-IF(J62="",0,J62),2))</f>
        <v>0</v>
      </c>
      <c r="V62" s="15">
        <f>IF(B62="","",IFERROR(INDEX(Clients!$AM$5:$AM$504,MATCH(B62,Clients!$A$5:$A$504,0))&amp;"",""))</f>
        <v>0</v>
      </c>
      <c r="W62" s="25">
        <f>IF(B62="","",COUNTIFS($P$5:$P$504,"&gt;"&amp;P62)+COUNTIFS($P$5:P62,P62))</f>
        <v>0</v>
      </c>
      <c r="X62" s="39">
        <f>IF(B62="","",IF(K62="No","",IF(COUNTIF($B$5:$B$504,B62)&gt;1,"Duplicate - this client is on twice",IF(Q62&gt;0,"Action - reward ready to give",IF(U62&gt;0.004,"Action - referral credit owed",IF(V62="Lapsing","Chase - points are a reason to call",IF(S62&lt;=RewardAt*0.2,"Rebook - nearly at a reward","OK")))))))</f>
        <v>0</v>
      </c>
    </row>
    <row r="63" spans="1:24">
      <c r="A63" s="28">
        <f>IF(B63="","",LoyaltyPrefix&amp;TEXT(ROW()-4,"0000"))</f>
        <v>0</v>
      </c>
      <c r="C63" s="15">
        <f>IF(B63="","",IFERROR(INDEX(Clients!$B$5:$B$504,MATCH(B63,Clients!$A$5:$A$504,0)),"Not in Clients"))</f>
        <v>0</v>
      </c>
      <c r="M63" s="26">
        <f>IF(B63="","",ROUND(SUMIFS(Sales!$Y$5:$Y$1204,Sales!$D$5:$D$1204,B63,Sales!$B$5:$B$1204,"&gt;="&amp;IF(D63="",0,D63)),2))</f>
        <v>0</v>
      </c>
      <c r="N63" s="25">
        <f>IF(B63="","",IFERROR(INDEX(Clients!$T$5:$T$504,MATCH(B63,Clients!$A$5:$A$504,0))*1,0))</f>
        <v>0</v>
      </c>
      <c r="O63" s="25">
        <f>IF(B63="","",ROUND(M63*PointsPerUnit+IF(F63="",0,F63),0))</f>
        <v>0</v>
      </c>
      <c r="P63" s="25">
        <f>IF(B63="","",O63-IF(G63="",0,G63))</f>
        <v>0</v>
      </c>
      <c r="Q63" s="25">
        <f>IF(B63="","",IF(RewardAt&lt;=0,0,ROUNDDOWN(P63/RewardAt,0)))</f>
        <v>0</v>
      </c>
      <c r="R63" s="26">
        <f>IF(B63="","",ROUND(Q63*RewardValue,2))</f>
        <v>0</v>
      </c>
      <c r="S63" s="25">
        <f>IF(B63="","",IF(RewardAt&lt;=0,"",MAX(0,RewardAt*(Q63+1)-P63)))</f>
        <v>0</v>
      </c>
      <c r="T63" s="25">
        <f>IF(B63="","",COUNTIFS(Clients!$H$5:$H$504,B63))</f>
        <v>0</v>
      </c>
      <c r="U63" s="26">
        <f>IF(B63="","",ROUND(T63*ReferralReward-IF(J63="",0,J63),2))</f>
        <v>0</v>
      </c>
      <c r="V63" s="15">
        <f>IF(B63="","",IFERROR(INDEX(Clients!$AM$5:$AM$504,MATCH(B63,Clients!$A$5:$A$504,0))&amp;"",""))</f>
        <v>0</v>
      </c>
      <c r="W63" s="25">
        <f>IF(B63="","",COUNTIFS($P$5:$P$504,"&gt;"&amp;P63)+COUNTIFS($P$5:P63,P63))</f>
        <v>0</v>
      </c>
      <c r="X63" s="39">
        <f>IF(B63="","",IF(K63="No","",IF(COUNTIF($B$5:$B$504,B63)&gt;1,"Duplicate - this client is on twice",IF(Q63&gt;0,"Action - reward ready to give",IF(U63&gt;0.004,"Action - referral credit owed",IF(V63="Lapsing","Chase - points are a reason to call",IF(S63&lt;=RewardAt*0.2,"Rebook - nearly at a reward","OK")))))))</f>
        <v>0</v>
      </c>
    </row>
    <row r="64" spans="1:24">
      <c r="A64" s="28">
        <f>IF(B64="","",LoyaltyPrefix&amp;TEXT(ROW()-4,"0000"))</f>
        <v>0</v>
      </c>
      <c r="C64" s="15">
        <f>IF(B64="","",IFERROR(INDEX(Clients!$B$5:$B$504,MATCH(B64,Clients!$A$5:$A$504,0)),"Not in Clients"))</f>
        <v>0</v>
      </c>
      <c r="M64" s="26">
        <f>IF(B64="","",ROUND(SUMIFS(Sales!$Y$5:$Y$1204,Sales!$D$5:$D$1204,B64,Sales!$B$5:$B$1204,"&gt;="&amp;IF(D64="",0,D64)),2))</f>
        <v>0</v>
      </c>
      <c r="N64" s="25">
        <f>IF(B64="","",IFERROR(INDEX(Clients!$T$5:$T$504,MATCH(B64,Clients!$A$5:$A$504,0))*1,0))</f>
        <v>0</v>
      </c>
      <c r="O64" s="25">
        <f>IF(B64="","",ROUND(M64*PointsPerUnit+IF(F64="",0,F64),0))</f>
        <v>0</v>
      </c>
      <c r="P64" s="25">
        <f>IF(B64="","",O64-IF(G64="",0,G64))</f>
        <v>0</v>
      </c>
      <c r="Q64" s="25">
        <f>IF(B64="","",IF(RewardAt&lt;=0,0,ROUNDDOWN(P64/RewardAt,0)))</f>
        <v>0</v>
      </c>
      <c r="R64" s="26">
        <f>IF(B64="","",ROUND(Q64*RewardValue,2))</f>
        <v>0</v>
      </c>
      <c r="S64" s="25">
        <f>IF(B64="","",IF(RewardAt&lt;=0,"",MAX(0,RewardAt*(Q64+1)-P64)))</f>
        <v>0</v>
      </c>
      <c r="T64" s="25">
        <f>IF(B64="","",COUNTIFS(Clients!$H$5:$H$504,B64))</f>
        <v>0</v>
      </c>
      <c r="U64" s="26">
        <f>IF(B64="","",ROUND(T64*ReferralReward-IF(J64="",0,J64),2))</f>
        <v>0</v>
      </c>
      <c r="V64" s="15">
        <f>IF(B64="","",IFERROR(INDEX(Clients!$AM$5:$AM$504,MATCH(B64,Clients!$A$5:$A$504,0))&amp;"",""))</f>
        <v>0</v>
      </c>
      <c r="W64" s="25">
        <f>IF(B64="","",COUNTIFS($P$5:$P$504,"&gt;"&amp;P64)+COUNTIFS($P$5:P64,P64))</f>
        <v>0</v>
      </c>
      <c r="X64" s="39">
        <f>IF(B64="","",IF(K64="No","",IF(COUNTIF($B$5:$B$504,B64)&gt;1,"Duplicate - this client is on twice",IF(Q64&gt;0,"Action - reward ready to give",IF(U64&gt;0.004,"Action - referral credit owed",IF(V64="Lapsing","Chase - points are a reason to call",IF(S64&lt;=RewardAt*0.2,"Rebook - nearly at a reward","OK")))))))</f>
        <v>0</v>
      </c>
    </row>
    <row r="65" spans="1:24">
      <c r="A65" s="28">
        <f>IF(B65="","",LoyaltyPrefix&amp;TEXT(ROW()-4,"0000"))</f>
        <v>0</v>
      </c>
      <c r="C65" s="15">
        <f>IF(B65="","",IFERROR(INDEX(Clients!$B$5:$B$504,MATCH(B65,Clients!$A$5:$A$504,0)),"Not in Clients"))</f>
        <v>0</v>
      </c>
      <c r="M65" s="26">
        <f>IF(B65="","",ROUND(SUMIFS(Sales!$Y$5:$Y$1204,Sales!$D$5:$D$1204,B65,Sales!$B$5:$B$1204,"&gt;="&amp;IF(D65="",0,D65)),2))</f>
        <v>0</v>
      </c>
      <c r="N65" s="25">
        <f>IF(B65="","",IFERROR(INDEX(Clients!$T$5:$T$504,MATCH(B65,Clients!$A$5:$A$504,0))*1,0))</f>
        <v>0</v>
      </c>
      <c r="O65" s="25">
        <f>IF(B65="","",ROUND(M65*PointsPerUnit+IF(F65="",0,F65),0))</f>
        <v>0</v>
      </c>
      <c r="P65" s="25">
        <f>IF(B65="","",O65-IF(G65="",0,G65))</f>
        <v>0</v>
      </c>
      <c r="Q65" s="25">
        <f>IF(B65="","",IF(RewardAt&lt;=0,0,ROUNDDOWN(P65/RewardAt,0)))</f>
        <v>0</v>
      </c>
      <c r="R65" s="26">
        <f>IF(B65="","",ROUND(Q65*RewardValue,2))</f>
        <v>0</v>
      </c>
      <c r="S65" s="25">
        <f>IF(B65="","",IF(RewardAt&lt;=0,"",MAX(0,RewardAt*(Q65+1)-P65)))</f>
        <v>0</v>
      </c>
      <c r="T65" s="25">
        <f>IF(B65="","",COUNTIFS(Clients!$H$5:$H$504,B65))</f>
        <v>0</v>
      </c>
      <c r="U65" s="26">
        <f>IF(B65="","",ROUND(T65*ReferralReward-IF(J65="",0,J65),2))</f>
        <v>0</v>
      </c>
      <c r="V65" s="15">
        <f>IF(B65="","",IFERROR(INDEX(Clients!$AM$5:$AM$504,MATCH(B65,Clients!$A$5:$A$504,0))&amp;"",""))</f>
        <v>0</v>
      </c>
      <c r="W65" s="25">
        <f>IF(B65="","",COUNTIFS($P$5:$P$504,"&gt;"&amp;P65)+COUNTIFS($P$5:P65,P65))</f>
        <v>0</v>
      </c>
      <c r="X65" s="39">
        <f>IF(B65="","",IF(K65="No","",IF(COUNTIF($B$5:$B$504,B65)&gt;1,"Duplicate - this client is on twice",IF(Q65&gt;0,"Action - reward ready to give",IF(U65&gt;0.004,"Action - referral credit owed",IF(V65="Lapsing","Chase - points are a reason to call",IF(S65&lt;=RewardAt*0.2,"Rebook - nearly at a reward","OK")))))))</f>
        <v>0</v>
      </c>
    </row>
    <row r="66" spans="1:24">
      <c r="A66" s="28">
        <f>IF(B66="","",LoyaltyPrefix&amp;TEXT(ROW()-4,"0000"))</f>
        <v>0</v>
      </c>
      <c r="C66" s="15">
        <f>IF(B66="","",IFERROR(INDEX(Clients!$B$5:$B$504,MATCH(B66,Clients!$A$5:$A$504,0)),"Not in Clients"))</f>
        <v>0</v>
      </c>
      <c r="M66" s="26">
        <f>IF(B66="","",ROUND(SUMIFS(Sales!$Y$5:$Y$1204,Sales!$D$5:$D$1204,B66,Sales!$B$5:$B$1204,"&gt;="&amp;IF(D66="",0,D66)),2))</f>
        <v>0</v>
      </c>
      <c r="N66" s="25">
        <f>IF(B66="","",IFERROR(INDEX(Clients!$T$5:$T$504,MATCH(B66,Clients!$A$5:$A$504,0))*1,0))</f>
        <v>0</v>
      </c>
      <c r="O66" s="25">
        <f>IF(B66="","",ROUND(M66*PointsPerUnit+IF(F66="",0,F66),0))</f>
        <v>0</v>
      </c>
      <c r="P66" s="25">
        <f>IF(B66="","",O66-IF(G66="",0,G66))</f>
        <v>0</v>
      </c>
      <c r="Q66" s="25">
        <f>IF(B66="","",IF(RewardAt&lt;=0,0,ROUNDDOWN(P66/RewardAt,0)))</f>
        <v>0</v>
      </c>
      <c r="R66" s="26">
        <f>IF(B66="","",ROUND(Q66*RewardValue,2))</f>
        <v>0</v>
      </c>
      <c r="S66" s="25">
        <f>IF(B66="","",IF(RewardAt&lt;=0,"",MAX(0,RewardAt*(Q66+1)-P66)))</f>
        <v>0</v>
      </c>
      <c r="T66" s="25">
        <f>IF(B66="","",COUNTIFS(Clients!$H$5:$H$504,B66))</f>
        <v>0</v>
      </c>
      <c r="U66" s="26">
        <f>IF(B66="","",ROUND(T66*ReferralReward-IF(J66="",0,J66),2))</f>
        <v>0</v>
      </c>
      <c r="V66" s="15">
        <f>IF(B66="","",IFERROR(INDEX(Clients!$AM$5:$AM$504,MATCH(B66,Clients!$A$5:$A$504,0))&amp;"",""))</f>
        <v>0</v>
      </c>
      <c r="W66" s="25">
        <f>IF(B66="","",COUNTIFS($P$5:$P$504,"&gt;"&amp;P66)+COUNTIFS($P$5:P66,P66))</f>
        <v>0</v>
      </c>
      <c r="X66" s="39">
        <f>IF(B66="","",IF(K66="No","",IF(COUNTIF($B$5:$B$504,B66)&gt;1,"Duplicate - this client is on twice",IF(Q66&gt;0,"Action - reward ready to give",IF(U66&gt;0.004,"Action - referral credit owed",IF(V66="Lapsing","Chase - points are a reason to call",IF(S66&lt;=RewardAt*0.2,"Rebook - nearly at a reward","OK")))))))</f>
        <v>0</v>
      </c>
    </row>
    <row r="67" spans="1:24">
      <c r="A67" s="28">
        <f>IF(B67="","",LoyaltyPrefix&amp;TEXT(ROW()-4,"0000"))</f>
        <v>0</v>
      </c>
      <c r="C67" s="15">
        <f>IF(B67="","",IFERROR(INDEX(Clients!$B$5:$B$504,MATCH(B67,Clients!$A$5:$A$504,0)),"Not in Clients"))</f>
        <v>0</v>
      </c>
      <c r="M67" s="26">
        <f>IF(B67="","",ROUND(SUMIFS(Sales!$Y$5:$Y$1204,Sales!$D$5:$D$1204,B67,Sales!$B$5:$B$1204,"&gt;="&amp;IF(D67="",0,D67)),2))</f>
        <v>0</v>
      </c>
      <c r="N67" s="25">
        <f>IF(B67="","",IFERROR(INDEX(Clients!$T$5:$T$504,MATCH(B67,Clients!$A$5:$A$504,0))*1,0))</f>
        <v>0</v>
      </c>
      <c r="O67" s="25">
        <f>IF(B67="","",ROUND(M67*PointsPerUnit+IF(F67="",0,F67),0))</f>
        <v>0</v>
      </c>
      <c r="P67" s="25">
        <f>IF(B67="","",O67-IF(G67="",0,G67))</f>
        <v>0</v>
      </c>
      <c r="Q67" s="25">
        <f>IF(B67="","",IF(RewardAt&lt;=0,0,ROUNDDOWN(P67/RewardAt,0)))</f>
        <v>0</v>
      </c>
      <c r="R67" s="26">
        <f>IF(B67="","",ROUND(Q67*RewardValue,2))</f>
        <v>0</v>
      </c>
      <c r="S67" s="25">
        <f>IF(B67="","",IF(RewardAt&lt;=0,"",MAX(0,RewardAt*(Q67+1)-P67)))</f>
        <v>0</v>
      </c>
      <c r="T67" s="25">
        <f>IF(B67="","",COUNTIFS(Clients!$H$5:$H$504,B67))</f>
        <v>0</v>
      </c>
      <c r="U67" s="26">
        <f>IF(B67="","",ROUND(T67*ReferralReward-IF(J67="",0,J67),2))</f>
        <v>0</v>
      </c>
      <c r="V67" s="15">
        <f>IF(B67="","",IFERROR(INDEX(Clients!$AM$5:$AM$504,MATCH(B67,Clients!$A$5:$A$504,0))&amp;"",""))</f>
        <v>0</v>
      </c>
      <c r="W67" s="25">
        <f>IF(B67="","",COUNTIFS($P$5:$P$504,"&gt;"&amp;P67)+COUNTIFS($P$5:P67,P67))</f>
        <v>0</v>
      </c>
      <c r="X67" s="39">
        <f>IF(B67="","",IF(K67="No","",IF(COUNTIF($B$5:$B$504,B67)&gt;1,"Duplicate - this client is on twice",IF(Q67&gt;0,"Action - reward ready to give",IF(U67&gt;0.004,"Action - referral credit owed",IF(V67="Lapsing","Chase - points are a reason to call",IF(S67&lt;=RewardAt*0.2,"Rebook - nearly at a reward","OK")))))))</f>
        <v>0</v>
      </c>
    </row>
    <row r="68" spans="1:24">
      <c r="A68" s="28">
        <f>IF(B68="","",LoyaltyPrefix&amp;TEXT(ROW()-4,"0000"))</f>
        <v>0</v>
      </c>
      <c r="C68" s="15">
        <f>IF(B68="","",IFERROR(INDEX(Clients!$B$5:$B$504,MATCH(B68,Clients!$A$5:$A$504,0)),"Not in Clients"))</f>
        <v>0</v>
      </c>
      <c r="M68" s="26">
        <f>IF(B68="","",ROUND(SUMIFS(Sales!$Y$5:$Y$1204,Sales!$D$5:$D$1204,B68,Sales!$B$5:$B$1204,"&gt;="&amp;IF(D68="",0,D68)),2))</f>
        <v>0</v>
      </c>
      <c r="N68" s="25">
        <f>IF(B68="","",IFERROR(INDEX(Clients!$T$5:$T$504,MATCH(B68,Clients!$A$5:$A$504,0))*1,0))</f>
        <v>0</v>
      </c>
      <c r="O68" s="25">
        <f>IF(B68="","",ROUND(M68*PointsPerUnit+IF(F68="",0,F68),0))</f>
        <v>0</v>
      </c>
      <c r="P68" s="25">
        <f>IF(B68="","",O68-IF(G68="",0,G68))</f>
        <v>0</v>
      </c>
      <c r="Q68" s="25">
        <f>IF(B68="","",IF(RewardAt&lt;=0,0,ROUNDDOWN(P68/RewardAt,0)))</f>
        <v>0</v>
      </c>
      <c r="R68" s="26">
        <f>IF(B68="","",ROUND(Q68*RewardValue,2))</f>
        <v>0</v>
      </c>
      <c r="S68" s="25">
        <f>IF(B68="","",IF(RewardAt&lt;=0,"",MAX(0,RewardAt*(Q68+1)-P68)))</f>
        <v>0</v>
      </c>
      <c r="T68" s="25">
        <f>IF(B68="","",COUNTIFS(Clients!$H$5:$H$504,B68))</f>
        <v>0</v>
      </c>
      <c r="U68" s="26">
        <f>IF(B68="","",ROUND(T68*ReferralReward-IF(J68="",0,J68),2))</f>
        <v>0</v>
      </c>
      <c r="V68" s="15">
        <f>IF(B68="","",IFERROR(INDEX(Clients!$AM$5:$AM$504,MATCH(B68,Clients!$A$5:$A$504,0))&amp;"",""))</f>
        <v>0</v>
      </c>
      <c r="W68" s="25">
        <f>IF(B68="","",COUNTIFS($P$5:$P$504,"&gt;"&amp;P68)+COUNTIFS($P$5:P68,P68))</f>
        <v>0</v>
      </c>
      <c r="X68" s="39">
        <f>IF(B68="","",IF(K68="No","",IF(COUNTIF($B$5:$B$504,B68)&gt;1,"Duplicate - this client is on twice",IF(Q68&gt;0,"Action - reward ready to give",IF(U68&gt;0.004,"Action - referral credit owed",IF(V68="Lapsing","Chase - points are a reason to call",IF(S68&lt;=RewardAt*0.2,"Rebook - nearly at a reward","OK")))))))</f>
        <v>0</v>
      </c>
    </row>
    <row r="69" spans="1:24">
      <c r="A69" s="28">
        <f>IF(B69="","",LoyaltyPrefix&amp;TEXT(ROW()-4,"0000"))</f>
        <v>0</v>
      </c>
      <c r="C69" s="15">
        <f>IF(B69="","",IFERROR(INDEX(Clients!$B$5:$B$504,MATCH(B69,Clients!$A$5:$A$504,0)),"Not in Clients"))</f>
        <v>0</v>
      </c>
      <c r="M69" s="26">
        <f>IF(B69="","",ROUND(SUMIFS(Sales!$Y$5:$Y$1204,Sales!$D$5:$D$1204,B69,Sales!$B$5:$B$1204,"&gt;="&amp;IF(D69="",0,D69)),2))</f>
        <v>0</v>
      </c>
      <c r="N69" s="25">
        <f>IF(B69="","",IFERROR(INDEX(Clients!$T$5:$T$504,MATCH(B69,Clients!$A$5:$A$504,0))*1,0))</f>
        <v>0</v>
      </c>
      <c r="O69" s="25">
        <f>IF(B69="","",ROUND(M69*PointsPerUnit+IF(F69="",0,F69),0))</f>
        <v>0</v>
      </c>
      <c r="P69" s="25">
        <f>IF(B69="","",O69-IF(G69="",0,G69))</f>
        <v>0</v>
      </c>
      <c r="Q69" s="25">
        <f>IF(B69="","",IF(RewardAt&lt;=0,0,ROUNDDOWN(P69/RewardAt,0)))</f>
        <v>0</v>
      </c>
      <c r="R69" s="26">
        <f>IF(B69="","",ROUND(Q69*RewardValue,2))</f>
        <v>0</v>
      </c>
      <c r="S69" s="25">
        <f>IF(B69="","",IF(RewardAt&lt;=0,"",MAX(0,RewardAt*(Q69+1)-P69)))</f>
        <v>0</v>
      </c>
      <c r="T69" s="25">
        <f>IF(B69="","",COUNTIFS(Clients!$H$5:$H$504,B69))</f>
        <v>0</v>
      </c>
      <c r="U69" s="26">
        <f>IF(B69="","",ROUND(T69*ReferralReward-IF(J69="",0,J69),2))</f>
        <v>0</v>
      </c>
      <c r="V69" s="15">
        <f>IF(B69="","",IFERROR(INDEX(Clients!$AM$5:$AM$504,MATCH(B69,Clients!$A$5:$A$504,0))&amp;"",""))</f>
        <v>0</v>
      </c>
      <c r="W69" s="25">
        <f>IF(B69="","",COUNTIFS($P$5:$P$504,"&gt;"&amp;P69)+COUNTIFS($P$5:P69,P69))</f>
        <v>0</v>
      </c>
      <c r="X69" s="39">
        <f>IF(B69="","",IF(K69="No","",IF(COUNTIF($B$5:$B$504,B69)&gt;1,"Duplicate - this client is on twice",IF(Q69&gt;0,"Action - reward ready to give",IF(U69&gt;0.004,"Action - referral credit owed",IF(V69="Lapsing","Chase - points are a reason to call",IF(S69&lt;=RewardAt*0.2,"Rebook - nearly at a reward","OK")))))))</f>
        <v>0</v>
      </c>
    </row>
    <row r="70" spans="1:24">
      <c r="A70" s="28">
        <f>IF(B70="","",LoyaltyPrefix&amp;TEXT(ROW()-4,"0000"))</f>
        <v>0</v>
      </c>
      <c r="C70" s="15">
        <f>IF(B70="","",IFERROR(INDEX(Clients!$B$5:$B$504,MATCH(B70,Clients!$A$5:$A$504,0)),"Not in Clients"))</f>
        <v>0</v>
      </c>
      <c r="M70" s="26">
        <f>IF(B70="","",ROUND(SUMIFS(Sales!$Y$5:$Y$1204,Sales!$D$5:$D$1204,B70,Sales!$B$5:$B$1204,"&gt;="&amp;IF(D70="",0,D70)),2))</f>
        <v>0</v>
      </c>
      <c r="N70" s="25">
        <f>IF(B70="","",IFERROR(INDEX(Clients!$T$5:$T$504,MATCH(B70,Clients!$A$5:$A$504,0))*1,0))</f>
        <v>0</v>
      </c>
      <c r="O70" s="25">
        <f>IF(B70="","",ROUND(M70*PointsPerUnit+IF(F70="",0,F70),0))</f>
        <v>0</v>
      </c>
      <c r="P70" s="25">
        <f>IF(B70="","",O70-IF(G70="",0,G70))</f>
        <v>0</v>
      </c>
      <c r="Q70" s="25">
        <f>IF(B70="","",IF(RewardAt&lt;=0,0,ROUNDDOWN(P70/RewardAt,0)))</f>
        <v>0</v>
      </c>
      <c r="R70" s="26">
        <f>IF(B70="","",ROUND(Q70*RewardValue,2))</f>
        <v>0</v>
      </c>
      <c r="S70" s="25">
        <f>IF(B70="","",IF(RewardAt&lt;=0,"",MAX(0,RewardAt*(Q70+1)-P70)))</f>
        <v>0</v>
      </c>
      <c r="T70" s="25">
        <f>IF(B70="","",COUNTIFS(Clients!$H$5:$H$504,B70))</f>
        <v>0</v>
      </c>
      <c r="U70" s="26">
        <f>IF(B70="","",ROUND(T70*ReferralReward-IF(J70="",0,J70),2))</f>
        <v>0</v>
      </c>
      <c r="V70" s="15">
        <f>IF(B70="","",IFERROR(INDEX(Clients!$AM$5:$AM$504,MATCH(B70,Clients!$A$5:$A$504,0))&amp;"",""))</f>
        <v>0</v>
      </c>
      <c r="W70" s="25">
        <f>IF(B70="","",COUNTIFS($P$5:$P$504,"&gt;"&amp;P70)+COUNTIFS($P$5:P70,P70))</f>
        <v>0</v>
      </c>
      <c r="X70" s="39">
        <f>IF(B70="","",IF(K70="No","",IF(COUNTIF($B$5:$B$504,B70)&gt;1,"Duplicate - this client is on twice",IF(Q70&gt;0,"Action - reward ready to give",IF(U70&gt;0.004,"Action - referral credit owed",IF(V70="Lapsing","Chase - points are a reason to call",IF(S70&lt;=RewardAt*0.2,"Rebook - nearly at a reward","OK")))))))</f>
        <v>0</v>
      </c>
    </row>
    <row r="71" spans="1:24">
      <c r="A71" s="28">
        <f>IF(B71="","",LoyaltyPrefix&amp;TEXT(ROW()-4,"0000"))</f>
        <v>0</v>
      </c>
      <c r="C71" s="15">
        <f>IF(B71="","",IFERROR(INDEX(Clients!$B$5:$B$504,MATCH(B71,Clients!$A$5:$A$504,0)),"Not in Clients"))</f>
        <v>0</v>
      </c>
      <c r="M71" s="26">
        <f>IF(B71="","",ROUND(SUMIFS(Sales!$Y$5:$Y$1204,Sales!$D$5:$D$1204,B71,Sales!$B$5:$B$1204,"&gt;="&amp;IF(D71="",0,D71)),2))</f>
        <v>0</v>
      </c>
      <c r="N71" s="25">
        <f>IF(B71="","",IFERROR(INDEX(Clients!$T$5:$T$504,MATCH(B71,Clients!$A$5:$A$504,0))*1,0))</f>
        <v>0</v>
      </c>
      <c r="O71" s="25">
        <f>IF(B71="","",ROUND(M71*PointsPerUnit+IF(F71="",0,F71),0))</f>
        <v>0</v>
      </c>
      <c r="P71" s="25">
        <f>IF(B71="","",O71-IF(G71="",0,G71))</f>
        <v>0</v>
      </c>
      <c r="Q71" s="25">
        <f>IF(B71="","",IF(RewardAt&lt;=0,0,ROUNDDOWN(P71/RewardAt,0)))</f>
        <v>0</v>
      </c>
      <c r="R71" s="26">
        <f>IF(B71="","",ROUND(Q71*RewardValue,2))</f>
        <v>0</v>
      </c>
      <c r="S71" s="25">
        <f>IF(B71="","",IF(RewardAt&lt;=0,"",MAX(0,RewardAt*(Q71+1)-P71)))</f>
        <v>0</v>
      </c>
      <c r="T71" s="25">
        <f>IF(B71="","",COUNTIFS(Clients!$H$5:$H$504,B71))</f>
        <v>0</v>
      </c>
      <c r="U71" s="26">
        <f>IF(B71="","",ROUND(T71*ReferralReward-IF(J71="",0,J71),2))</f>
        <v>0</v>
      </c>
      <c r="V71" s="15">
        <f>IF(B71="","",IFERROR(INDEX(Clients!$AM$5:$AM$504,MATCH(B71,Clients!$A$5:$A$504,0))&amp;"",""))</f>
        <v>0</v>
      </c>
      <c r="W71" s="25">
        <f>IF(B71="","",COUNTIFS($P$5:$P$504,"&gt;"&amp;P71)+COUNTIFS($P$5:P71,P71))</f>
        <v>0</v>
      </c>
      <c r="X71" s="39">
        <f>IF(B71="","",IF(K71="No","",IF(COUNTIF($B$5:$B$504,B71)&gt;1,"Duplicate - this client is on twice",IF(Q71&gt;0,"Action - reward ready to give",IF(U71&gt;0.004,"Action - referral credit owed",IF(V71="Lapsing","Chase - points are a reason to call",IF(S71&lt;=RewardAt*0.2,"Rebook - nearly at a reward","OK")))))))</f>
        <v>0</v>
      </c>
    </row>
    <row r="72" spans="1:24">
      <c r="A72" s="28">
        <f>IF(B72="","",LoyaltyPrefix&amp;TEXT(ROW()-4,"0000"))</f>
        <v>0</v>
      </c>
      <c r="C72" s="15">
        <f>IF(B72="","",IFERROR(INDEX(Clients!$B$5:$B$504,MATCH(B72,Clients!$A$5:$A$504,0)),"Not in Clients"))</f>
        <v>0</v>
      </c>
      <c r="M72" s="26">
        <f>IF(B72="","",ROUND(SUMIFS(Sales!$Y$5:$Y$1204,Sales!$D$5:$D$1204,B72,Sales!$B$5:$B$1204,"&gt;="&amp;IF(D72="",0,D72)),2))</f>
        <v>0</v>
      </c>
      <c r="N72" s="25">
        <f>IF(B72="","",IFERROR(INDEX(Clients!$T$5:$T$504,MATCH(B72,Clients!$A$5:$A$504,0))*1,0))</f>
        <v>0</v>
      </c>
      <c r="O72" s="25">
        <f>IF(B72="","",ROUND(M72*PointsPerUnit+IF(F72="",0,F72),0))</f>
        <v>0</v>
      </c>
      <c r="P72" s="25">
        <f>IF(B72="","",O72-IF(G72="",0,G72))</f>
        <v>0</v>
      </c>
      <c r="Q72" s="25">
        <f>IF(B72="","",IF(RewardAt&lt;=0,0,ROUNDDOWN(P72/RewardAt,0)))</f>
        <v>0</v>
      </c>
      <c r="R72" s="26">
        <f>IF(B72="","",ROUND(Q72*RewardValue,2))</f>
        <v>0</v>
      </c>
      <c r="S72" s="25">
        <f>IF(B72="","",IF(RewardAt&lt;=0,"",MAX(0,RewardAt*(Q72+1)-P72)))</f>
        <v>0</v>
      </c>
      <c r="T72" s="25">
        <f>IF(B72="","",COUNTIFS(Clients!$H$5:$H$504,B72))</f>
        <v>0</v>
      </c>
      <c r="U72" s="26">
        <f>IF(B72="","",ROUND(T72*ReferralReward-IF(J72="",0,J72),2))</f>
        <v>0</v>
      </c>
      <c r="V72" s="15">
        <f>IF(B72="","",IFERROR(INDEX(Clients!$AM$5:$AM$504,MATCH(B72,Clients!$A$5:$A$504,0))&amp;"",""))</f>
        <v>0</v>
      </c>
      <c r="W72" s="25">
        <f>IF(B72="","",COUNTIFS($P$5:$P$504,"&gt;"&amp;P72)+COUNTIFS($P$5:P72,P72))</f>
        <v>0</v>
      </c>
      <c r="X72" s="39">
        <f>IF(B72="","",IF(K72="No","",IF(COUNTIF($B$5:$B$504,B72)&gt;1,"Duplicate - this client is on twice",IF(Q72&gt;0,"Action - reward ready to give",IF(U72&gt;0.004,"Action - referral credit owed",IF(V72="Lapsing","Chase - points are a reason to call",IF(S72&lt;=RewardAt*0.2,"Rebook - nearly at a reward","OK")))))))</f>
        <v>0</v>
      </c>
    </row>
    <row r="73" spans="1:24">
      <c r="A73" s="28">
        <f>IF(B73="","",LoyaltyPrefix&amp;TEXT(ROW()-4,"0000"))</f>
        <v>0</v>
      </c>
      <c r="C73" s="15">
        <f>IF(B73="","",IFERROR(INDEX(Clients!$B$5:$B$504,MATCH(B73,Clients!$A$5:$A$504,0)),"Not in Clients"))</f>
        <v>0</v>
      </c>
      <c r="M73" s="26">
        <f>IF(B73="","",ROUND(SUMIFS(Sales!$Y$5:$Y$1204,Sales!$D$5:$D$1204,B73,Sales!$B$5:$B$1204,"&gt;="&amp;IF(D73="",0,D73)),2))</f>
        <v>0</v>
      </c>
      <c r="N73" s="25">
        <f>IF(B73="","",IFERROR(INDEX(Clients!$T$5:$T$504,MATCH(B73,Clients!$A$5:$A$504,0))*1,0))</f>
        <v>0</v>
      </c>
      <c r="O73" s="25">
        <f>IF(B73="","",ROUND(M73*PointsPerUnit+IF(F73="",0,F73),0))</f>
        <v>0</v>
      </c>
      <c r="P73" s="25">
        <f>IF(B73="","",O73-IF(G73="",0,G73))</f>
        <v>0</v>
      </c>
      <c r="Q73" s="25">
        <f>IF(B73="","",IF(RewardAt&lt;=0,0,ROUNDDOWN(P73/RewardAt,0)))</f>
        <v>0</v>
      </c>
      <c r="R73" s="26">
        <f>IF(B73="","",ROUND(Q73*RewardValue,2))</f>
        <v>0</v>
      </c>
      <c r="S73" s="25">
        <f>IF(B73="","",IF(RewardAt&lt;=0,"",MAX(0,RewardAt*(Q73+1)-P73)))</f>
        <v>0</v>
      </c>
      <c r="T73" s="25">
        <f>IF(B73="","",COUNTIFS(Clients!$H$5:$H$504,B73))</f>
        <v>0</v>
      </c>
      <c r="U73" s="26">
        <f>IF(B73="","",ROUND(T73*ReferralReward-IF(J73="",0,J73),2))</f>
        <v>0</v>
      </c>
      <c r="V73" s="15">
        <f>IF(B73="","",IFERROR(INDEX(Clients!$AM$5:$AM$504,MATCH(B73,Clients!$A$5:$A$504,0))&amp;"",""))</f>
        <v>0</v>
      </c>
      <c r="W73" s="25">
        <f>IF(B73="","",COUNTIFS($P$5:$P$504,"&gt;"&amp;P73)+COUNTIFS($P$5:P73,P73))</f>
        <v>0</v>
      </c>
      <c r="X73" s="39">
        <f>IF(B73="","",IF(K73="No","",IF(COUNTIF($B$5:$B$504,B73)&gt;1,"Duplicate - this client is on twice",IF(Q73&gt;0,"Action - reward ready to give",IF(U73&gt;0.004,"Action - referral credit owed",IF(V73="Lapsing","Chase - points are a reason to call",IF(S73&lt;=RewardAt*0.2,"Rebook - nearly at a reward","OK")))))))</f>
        <v>0</v>
      </c>
    </row>
    <row r="74" spans="1:24">
      <c r="A74" s="28">
        <f>IF(B74="","",LoyaltyPrefix&amp;TEXT(ROW()-4,"0000"))</f>
        <v>0</v>
      </c>
      <c r="C74" s="15">
        <f>IF(B74="","",IFERROR(INDEX(Clients!$B$5:$B$504,MATCH(B74,Clients!$A$5:$A$504,0)),"Not in Clients"))</f>
        <v>0</v>
      </c>
      <c r="M74" s="26">
        <f>IF(B74="","",ROUND(SUMIFS(Sales!$Y$5:$Y$1204,Sales!$D$5:$D$1204,B74,Sales!$B$5:$B$1204,"&gt;="&amp;IF(D74="",0,D74)),2))</f>
        <v>0</v>
      </c>
      <c r="N74" s="25">
        <f>IF(B74="","",IFERROR(INDEX(Clients!$T$5:$T$504,MATCH(B74,Clients!$A$5:$A$504,0))*1,0))</f>
        <v>0</v>
      </c>
      <c r="O74" s="25">
        <f>IF(B74="","",ROUND(M74*PointsPerUnit+IF(F74="",0,F74),0))</f>
        <v>0</v>
      </c>
      <c r="P74" s="25">
        <f>IF(B74="","",O74-IF(G74="",0,G74))</f>
        <v>0</v>
      </c>
      <c r="Q74" s="25">
        <f>IF(B74="","",IF(RewardAt&lt;=0,0,ROUNDDOWN(P74/RewardAt,0)))</f>
        <v>0</v>
      </c>
      <c r="R74" s="26">
        <f>IF(B74="","",ROUND(Q74*RewardValue,2))</f>
        <v>0</v>
      </c>
      <c r="S74" s="25">
        <f>IF(B74="","",IF(RewardAt&lt;=0,"",MAX(0,RewardAt*(Q74+1)-P74)))</f>
        <v>0</v>
      </c>
      <c r="T74" s="25">
        <f>IF(B74="","",COUNTIFS(Clients!$H$5:$H$504,B74))</f>
        <v>0</v>
      </c>
      <c r="U74" s="26">
        <f>IF(B74="","",ROUND(T74*ReferralReward-IF(J74="",0,J74),2))</f>
        <v>0</v>
      </c>
      <c r="V74" s="15">
        <f>IF(B74="","",IFERROR(INDEX(Clients!$AM$5:$AM$504,MATCH(B74,Clients!$A$5:$A$504,0))&amp;"",""))</f>
        <v>0</v>
      </c>
      <c r="W74" s="25">
        <f>IF(B74="","",COUNTIFS($P$5:$P$504,"&gt;"&amp;P74)+COUNTIFS($P$5:P74,P74))</f>
        <v>0</v>
      </c>
      <c r="X74" s="39">
        <f>IF(B74="","",IF(K74="No","",IF(COUNTIF($B$5:$B$504,B74)&gt;1,"Duplicate - this client is on twice",IF(Q74&gt;0,"Action - reward ready to give",IF(U74&gt;0.004,"Action - referral credit owed",IF(V74="Lapsing","Chase - points are a reason to call",IF(S74&lt;=RewardAt*0.2,"Rebook - nearly at a reward","OK")))))))</f>
        <v>0</v>
      </c>
    </row>
    <row r="75" spans="1:24">
      <c r="A75" s="28">
        <f>IF(B75="","",LoyaltyPrefix&amp;TEXT(ROW()-4,"0000"))</f>
        <v>0</v>
      </c>
      <c r="C75" s="15">
        <f>IF(B75="","",IFERROR(INDEX(Clients!$B$5:$B$504,MATCH(B75,Clients!$A$5:$A$504,0)),"Not in Clients"))</f>
        <v>0</v>
      </c>
      <c r="M75" s="26">
        <f>IF(B75="","",ROUND(SUMIFS(Sales!$Y$5:$Y$1204,Sales!$D$5:$D$1204,B75,Sales!$B$5:$B$1204,"&gt;="&amp;IF(D75="",0,D75)),2))</f>
        <v>0</v>
      </c>
      <c r="N75" s="25">
        <f>IF(B75="","",IFERROR(INDEX(Clients!$T$5:$T$504,MATCH(B75,Clients!$A$5:$A$504,0))*1,0))</f>
        <v>0</v>
      </c>
      <c r="O75" s="25">
        <f>IF(B75="","",ROUND(M75*PointsPerUnit+IF(F75="",0,F75),0))</f>
        <v>0</v>
      </c>
      <c r="P75" s="25">
        <f>IF(B75="","",O75-IF(G75="",0,G75))</f>
        <v>0</v>
      </c>
      <c r="Q75" s="25">
        <f>IF(B75="","",IF(RewardAt&lt;=0,0,ROUNDDOWN(P75/RewardAt,0)))</f>
        <v>0</v>
      </c>
      <c r="R75" s="26">
        <f>IF(B75="","",ROUND(Q75*RewardValue,2))</f>
        <v>0</v>
      </c>
      <c r="S75" s="25">
        <f>IF(B75="","",IF(RewardAt&lt;=0,"",MAX(0,RewardAt*(Q75+1)-P75)))</f>
        <v>0</v>
      </c>
      <c r="T75" s="25">
        <f>IF(B75="","",COUNTIFS(Clients!$H$5:$H$504,B75))</f>
        <v>0</v>
      </c>
      <c r="U75" s="26">
        <f>IF(B75="","",ROUND(T75*ReferralReward-IF(J75="",0,J75),2))</f>
        <v>0</v>
      </c>
      <c r="V75" s="15">
        <f>IF(B75="","",IFERROR(INDEX(Clients!$AM$5:$AM$504,MATCH(B75,Clients!$A$5:$A$504,0))&amp;"",""))</f>
        <v>0</v>
      </c>
      <c r="W75" s="25">
        <f>IF(B75="","",COUNTIFS($P$5:$P$504,"&gt;"&amp;P75)+COUNTIFS($P$5:P75,P75))</f>
        <v>0</v>
      </c>
      <c r="X75" s="39">
        <f>IF(B75="","",IF(K75="No","",IF(COUNTIF($B$5:$B$504,B75)&gt;1,"Duplicate - this client is on twice",IF(Q75&gt;0,"Action - reward ready to give",IF(U75&gt;0.004,"Action - referral credit owed",IF(V75="Lapsing","Chase - points are a reason to call",IF(S75&lt;=RewardAt*0.2,"Rebook - nearly at a reward","OK")))))))</f>
        <v>0</v>
      </c>
    </row>
    <row r="76" spans="1:24">
      <c r="A76" s="28">
        <f>IF(B76="","",LoyaltyPrefix&amp;TEXT(ROW()-4,"0000"))</f>
        <v>0</v>
      </c>
      <c r="C76" s="15">
        <f>IF(B76="","",IFERROR(INDEX(Clients!$B$5:$B$504,MATCH(B76,Clients!$A$5:$A$504,0)),"Not in Clients"))</f>
        <v>0</v>
      </c>
      <c r="M76" s="26">
        <f>IF(B76="","",ROUND(SUMIFS(Sales!$Y$5:$Y$1204,Sales!$D$5:$D$1204,B76,Sales!$B$5:$B$1204,"&gt;="&amp;IF(D76="",0,D76)),2))</f>
        <v>0</v>
      </c>
      <c r="N76" s="25">
        <f>IF(B76="","",IFERROR(INDEX(Clients!$T$5:$T$504,MATCH(B76,Clients!$A$5:$A$504,0))*1,0))</f>
        <v>0</v>
      </c>
      <c r="O76" s="25">
        <f>IF(B76="","",ROUND(M76*PointsPerUnit+IF(F76="",0,F76),0))</f>
        <v>0</v>
      </c>
      <c r="P76" s="25">
        <f>IF(B76="","",O76-IF(G76="",0,G76))</f>
        <v>0</v>
      </c>
      <c r="Q76" s="25">
        <f>IF(B76="","",IF(RewardAt&lt;=0,0,ROUNDDOWN(P76/RewardAt,0)))</f>
        <v>0</v>
      </c>
      <c r="R76" s="26">
        <f>IF(B76="","",ROUND(Q76*RewardValue,2))</f>
        <v>0</v>
      </c>
      <c r="S76" s="25">
        <f>IF(B76="","",IF(RewardAt&lt;=0,"",MAX(0,RewardAt*(Q76+1)-P76)))</f>
        <v>0</v>
      </c>
      <c r="T76" s="25">
        <f>IF(B76="","",COUNTIFS(Clients!$H$5:$H$504,B76))</f>
        <v>0</v>
      </c>
      <c r="U76" s="26">
        <f>IF(B76="","",ROUND(T76*ReferralReward-IF(J76="",0,J76),2))</f>
        <v>0</v>
      </c>
      <c r="V76" s="15">
        <f>IF(B76="","",IFERROR(INDEX(Clients!$AM$5:$AM$504,MATCH(B76,Clients!$A$5:$A$504,0))&amp;"",""))</f>
        <v>0</v>
      </c>
      <c r="W76" s="25">
        <f>IF(B76="","",COUNTIFS($P$5:$P$504,"&gt;"&amp;P76)+COUNTIFS($P$5:P76,P76))</f>
        <v>0</v>
      </c>
      <c r="X76" s="39">
        <f>IF(B76="","",IF(K76="No","",IF(COUNTIF($B$5:$B$504,B76)&gt;1,"Duplicate - this client is on twice",IF(Q76&gt;0,"Action - reward ready to give",IF(U76&gt;0.004,"Action - referral credit owed",IF(V76="Lapsing","Chase - points are a reason to call",IF(S76&lt;=RewardAt*0.2,"Rebook - nearly at a reward","OK")))))))</f>
        <v>0</v>
      </c>
    </row>
    <row r="77" spans="1:24">
      <c r="A77" s="28">
        <f>IF(B77="","",LoyaltyPrefix&amp;TEXT(ROW()-4,"0000"))</f>
        <v>0</v>
      </c>
      <c r="C77" s="15">
        <f>IF(B77="","",IFERROR(INDEX(Clients!$B$5:$B$504,MATCH(B77,Clients!$A$5:$A$504,0)),"Not in Clients"))</f>
        <v>0</v>
      </c>
      <c r="M77" s="26">
        <f>IF(B77="","",ROUND(SUMIFS(Sales!$Y$5:$Y$1204,Sales!$D$5:$D$1204,B77,Sales!$B$5:$B$1204,"&gt;="&amp;IF(D77="",0,D77)),2))</f>
        <v>0</v>
      </c>
      <c r="N77" s="25">
        <f>IF(B77="","",IFERROR(INDEX(Clients!$T$5:$T$504,MATCH(B77,Clients!$A$5:$A$504,0))*1,0))</f>
        <v>0</v>
      </c>
      <c r="O77" s="25">
        <f>IF(B77="","",ROUND(M77*PointsPerUnit+IF(F77="",0,F77),0))</f>
        <v>0</v>
      </c>
      <c r="P77" s="25">
        <f>IF(B77="","",O77-IF(G77="",0,G77))</f>
        <v>0</v>
      </c>
      <c r="Q77" s="25">
        <f>IF(B77="","",IF(RewardAt&lt;=0,0,ROUNDDOWN(P77/RewardAt,0)))</f>
        <v>0</v>
      </c>
      <c r="R77" s="26">
        <f>IF(B77="","",ROUND(Q77*RewardValue,2))</f>
        <v>0</v>
      </c>
      <c r="S77" s="25">
        <f>IF(B77="","",IF(RewardAt&lt;=0,"",MAX(0,RewardAt*(Q77+1)-P77)))</f>
        <v>0</v>
      </c>
      <c r="T77" s="25">
        <f>IF(B77="","",COUNTIFS(Clients!$H$5:$H$504,B77))</f>
        <v>0</v>
      </c>
      <c r="U77" s="26">
        <f>IF(B77="","",ROUND(T77*ReferralReward-IF(J77="",0,J77),2))</f>
        <v>0</v>
      </c>
      <c r="V77" s="15">
        <f>IF(B77="","",IFERROR(INDEX(Clients!$AM$5:$AM$504,MATCH(B77,Clients!$A$5:$A$504,0))&amp;"",""))</f>
        <v>0</v>
      </c>
      <c r="W77" s="25">
        <f>IF(B77="","",COUNTIFS($P$5:$P$504,"&gt;"&amp;P77)+COUNTIFS($P$5:P77,P77))</f>
        <v>0</v>
      </c>
      <c r="X77" s="39">
        <f>IF(B77="","",IF(K77="No","",IF(COUNTIF($B$5:$B$504,B77)&gt;1,"Duplicate - this client is on twice",IF(Q77&gt;0,"Action - reward ready to give",IF(U77&gt;0.004,"Action - referral credit owed",IF(V77="Lapsing","Chase - points are a reason to call",IF(S77&lt;=RewardAt*0.2,"Rebook - nearly at a reward","OK")))))))</f>
        <v>0</v>
      </c>
    </row>
    <row r="78" spans="1:24">
      <c r="A78" s="28">
        <f>IF(B78="","",LoyaltyPrefix&amp;TEXT(ROW()-4,"0000"))</f>
        <v>0</v>
      </c>
      <c r="C78" s="15">
        <f>IF(B78="","",IFERROR(INDEX(Clients!$B$5:$B$504,MATCH(B78,Clients!$A$5:$A$504,0)),"Not in Clients"))</f>
        <v>0</v>
      </c>
      <c r="M78" s="26">
        <f>IF(B78="","",ROUND(SUMIFS(Sales!$Y$5:$Y$1204,Sales!$D$5:$D$1204,B78,Sales!$B$5:$B$1204,"&gt;="&amp;IF(D78="",0,D78)),2))</f>
        <v>0</v>
      </c>
      <c r="N78" s="25">
        <f>IF(B78="","",IFERROR(INDEX(Clients!$T$5:$T$504,MATCH(B78,Clients!$A$5:$A$504,0))*1,0))</f>
        <v>0</v>
      </c>
      <c r="O78" s="25">
        <f>IF(B78="","",ROUND(M78*PointsPerUnit+IF(F78="",0,F78),0))</f>
        <v>0</v>
      </c>
      <c r="P78" s="25">
        <f>IF(B78="","",O78-IF(G78="",0,G78))</f>
        <v>0</v>
      </c>
      <c r="Q78" s="25">
        <f>IF(B78="","",IF(RewardAt&lt;=0,0,ROUNDDOWN(P78/RewardAt,0)))</f>
        <v>0</v>
      </c>
      <c r="R78" s="26">
        <f>IF(B78="","",ROUND(Q78*RewardValue,2))</f>
        <v>0</v>
      </c>
      <c r="S78" s="25">
        <f>IF(B78="","",IF(RewardAt&lt;=0,"",MAX(0,RewardAt*(Q78+1)-P78)))</f>
        <v>0</v>
      </c>
      <c r="T78" s="25">
        <f>IF(B78="","",COUNTIFS(Clients!$H$5:$H$504,B78))</f>
        <v>0</v>
      </c>
      <c r="U78" s="26">
        <f>IF(B78="","",ROUND(T78*ReferralReward-IF(J78="",0,J78),2))</f>
        <v>0</v>
      </c>
      <c r="V78" s="15">
        <f>IF(B78="","",IFERROR(INDEX(Clients!$AM$5:$AM$504,MATCH(B78,Clients!$A$5:$A$504,0))&amp;"",""))</f>
        <v>0</v>
      </c>
      <c r="W78" s="25">
        <f>IF(B78="","",COUNTIFS($P$5:$P$504,"&gt;"&amp;P78)+COUNTIFS($P$5:P78,P78))</f>
        <v>0</v>
      </c>
      <c r="X78" s="39">
        <f>IF(B78="","",IF(K78="No","",IF(COUNTIF($B$5:$B$504,B78)&gt;1,"Duplicate - this client is on twice",IF(Q78&gt;0,"Action - reward ready to give",IF(U78&gt;0.004,"Action - referral credit owed",IF(V78="Lapsing","Chase - points are a reason to call",IF(S78&lt;=RewardAt*0.2,"Rebook - nearly at a reward","OK")))))))</f>
        <v>0</v>
      </c>
    </row>
    <row r="79" spans="1:24">
      <c r="A79" s="28">
        <f>IF(B79="","",LoyaltyPrefix&amp;TEXT(ROW()-4,"0000"))</f>
        <v>0</v>
      </c>
      <c r="C79" s="15">
        <f>IF(B79="","",IFERROR(INDEX(Clients!$B$5:$B$504,MATCH(B79,Clients!$A$5:$A$504,0)),"Not in Clients"))</f>
        <v>0</v>
      </c>
      <c r="M79" s="26">
        <f>IF(B79="","",ROUND(SUMIFS(Sales!$Y$5:$Y$1204,Sales!$D$5:$D$1204,B79,Sales!$B$5:$B$1204,"&gt;="&amp;IF(D79="",0,D79)),2))</f>
        <v>0</v>
      </c>
      <c r="N79" s="25">
        <f>IF(B79="","",IFERROR(INDEX(Clients!$T$5:$T$504,MATCH(B79,Clients!$A$5:$A$504,0))*1,0))</f>
        <v>0</v>
      </c>
      <c r="O79" s="25">
        <f>IF(B79="","",ROUND(M79*PointsPerUnit+IF(F79="",0,F79),0))</f>
        <v>0</v>
      </c>
      <c r="P79" s="25">
        <f>IF(B79="","",O79-IF(G79="",0,G79))</f>
        <v>0</v>
      </c>
      <c r="Q79" s="25">
        <f>IF(B79="","",IF(RewardAt&lt;=0,0,ROUNDDOWN(P79/RewardAt,0)))</f>
        <v>0</v>
      </c>
      <c r="R79" s="26">
        <f>IF(B79="","",ROUND(Q79*RewardValue,2))</f>
        <v>0</v>
      </c>
      <c r="S79" s="25">
        <f>IF(B79="","",IF(RewardAt&lt;=0,"",MAX(0,RewardAt*(Q79+1)-P79)))</f>
        <v>0</v>
      </c>
      <c r="T79" s="25">
        <f>IF(B79="","",COUNTIFS(Clients!$H$5:$H$504,B79))</f>
        <v>0</v>
      </c>
      <c r="U79" s="26">
        <f>IF(B79="","",ROUND(T79*ReferralReward-IF(J79="",0,J79),2))</f>
        <v>0</v>
      </c>
      <c r="V79" s="15">
        <f>IF(B79="","",IFERROR(INDEX(Clients!$AM$5:$AM$504,MATCH(B79,Clients!$A$5:$A$504,0))&amp;"",""))</f>
        <v>0</v>
      </c>
      <c r="W79" s="25">
        <f>IF(B79="","",COUNTIFS($P$5:$P$504,"&gt;"&amp;P79)+COUNTIFS($P$5:P79,P79))</f>
        <v>0</v>
      </c>
      <c r="X79" s="39">
        <f>IF(B79="","",IF(K79="No","",IF(COUNTIF($B$5:$B$504,B79)&gt;1,"Duplicate - this client is on twice",IF(Q79&gt;0,"Action - reward ready to give",IF(U79&gt;0.004,"Action - referral credit owed",IF(V79="Lapsing","Chase - points are a reason to call",IF(S79&lt;=RewardAt*0.2,"Rebook - nearly at a reward","OK")))))))</f>
        <v>0</v>
      </c>
    </row>
    <row r="80" spans="1:24">
      <c r="A80" s="28">
        <f>IF(B80="","",LoyaltyPrefix&amp;TEXT(ROW()-4,"0000"))</f>
        <v>0</v>
      </c>
      <c r="C80" s="15">
        <f>IF(B80="","",IFERROR(INDEX(Clients!$B$5:$B$504,MATCH(B80,Clients!$A$5:$A$504,0)),"Not in Clients"))</f>
        <v>0</v>
      </c>
      <c r="M80" s="26">
        <f>IF(B80="","",ROUND(SUMIFS(Sales!$Y$5:$Y$1204,Sales!$D$5:$D$1204,B80,Sales!$B$5:$B$1204,"&gt;="&amp;IF(D80="",0,D80)),2))</f>
        <v>0</v>
      </c>
      <c r="N80" s="25">
        <f>IF(B80="","",IFERROR(INDEX(Clients!$T$5:$T$504,MATCH(B80,Clients!$A$5:$A$504,0))*1,0))</f>
        <v>0</v>
      </c>
      <c r="O80" s="25">
        <f>IF(B80="","",ROUND(M80*PointsPerUnit+IF(F80="",0,F80),0))</f>
        <v>0</v>
      </c>
      <c r="P80" s="25">
        <f>IF(B80="","",O80-IF(G80="",0,G80))</f>
        <v>0</v>
      </c>
      <c r="Q80" s="25">
        <f>IF(B80="","",IF(RewardAt&lt;=0,0,ROUNDDOWN(P80/RewardAt,0)))</f>
        <v>0</v>
      </c>
      <c r="R80" s="26">
        <f>IF(B80="","",ROUND(Q80*RewardValue,2))</f>
        <v>0</v>
      </c>
      <c r="S80" s="25">
        <f>IF(B80="","",IF(RewardAt&lt;=0,"",MAX(0,RewardAt*(Q80+1)-P80)))</f>
        <v>0</v>
      </c>
      <c r="T80" s="25">
        <f>IF(B80="","",COUNTIFS(Clients!$H$5:$H$504,B80))</f>
        <v>0</v>
      </c>
      <c r="U80" s="26">
        <f>IF(B80="","",ROUND(T80*ReferralReward-IF(J80="",0,J80),2))</f>
        <v>0</v>
      </c>
      <c r="V80" s="15">
        <f>IF(B80="","",IFERROR(INDEX(Clients!$AM$5:$AM$504,MATCH(B80,Clients!$A$5:$A$504,0))&amp;"",""))</f>
        <v>0</v>
      </c>
      <c r="W80" s="25">
        <f>IF(B80="","",COUNTIFS($P$5:$P$504,"&gt;"&amp;P80)+COUNTIFS($P$5:P80,P80))</f>
        <v>0</v>
      </c>
      <c r="X80" s="39">
        <f>IF(B80="","",IF(K80="No","",IF(COUNTIF($B$5:$B$504,B80)&gt;1,"Duplicate - this client is on twice",IF(Q80&gt;0,"Action - reward ready to give",IF(U80&gt;0.004,"Action - referral credit owed",IF(V80="Lapsing","Chase - points are a reason to call",IF(S80&lt;=RewardAt*0.2,"Rebook - nearly at a reward","OK")))))))</f>
        <v>0</v>
      </c>
    </row>
    <row r="81" spans="1:24">
      <c r="A81" s="28">
        <f>IF(B81="","",LoyaltyPrefix&amp;TEXT(ROW()-4,"0000"))</f>
        <v>0</v>
      </c>
      <c r="C81" s="15">
        <f>IF(B81="","",IFERROR(INDEX(Clients!$B$5:$B$504,MATCH(B81,Clients!$A$5:$A$504,0)),"Not in Clients"))</f>
        <v>0</v>
      </c>
      <c r="M81" s="26">
        <f>IF(B81="","",ROUND(SUMIFS(Sales!$Y$5:$Y$1204,Sales!$D$5:$D$1204,B81,Sales!$B$5:$B$1204,"&gt;="&amp;IF(D81="",0,D81)),2))</f>
        <v>0</v>
      </c>
      <c r="N81" s="25">
        <f>IF(B81="","",IFERROR(INDEX(Clients!$T$5:$T$504,MATCH(B81,Clients!$A$5:$A$504,0))*1,0))</f>
        <v>0</v>
      </c>
      <c r="O81" s="25">
        <f>IF(B81="","",ROUND(M81*PointsPerUnit+IF(F81="",0,F81),0))</f>
        <v>0</v>
      </c>
      <c r="P81" s="25">
        <f>IF(B81="","",O81-IF(G81="",0,G81))</f>
        <v>0</v>
      </c>
      <c r="Q81" s="25">
        <f>IF(B81="","",IF(RewardAt&lt;=0,0,ROUNDDOWN(P81/RewardAt,0)))</f>
        <v>0</v>
      </c>
      <c r="R81" s="26">
        <f>IF(B81="","",ROUND(Q81*RewardValue,2))</f>
        <v>0</v>
      </c>
      <c r="S81" s="25">
        <f>IF(B81="","",IF(RewardAt&lt;=0,"",MAX(0,RewardAt*(Q81+1)-P81)))</f>
        <v>0</v>
      </c>
      <c r="T81" s="25">
        <f>IF(B81="","",COUNTIFS(Clients!$H$5:$H$504,B81))</f>
        <v>0</v>
      </c>
      <c r="U81" s="26">
        <f>IF(B81="","",ROUND(T81*ReferralReward-IF(J81="",0,J81),2))</f>
        <v>0</v>
      </c>
      <c r="V81" s="15">
        <f>IF(B81="","",IFERROR(INDEX(Clients!$AM$5:$AM$504,MATCH(B81,Clients!$A$5:$A$504,0))&amp;"",""))</f>
        <v>0</v>
      </c>
      <c r="W81" s="25">
        <f>IF(B81="","",COUNTIFS($P$5:$P$504,"&gt;"&amp;P81)+COUNTIFS($P$5:P81,P81))</f>
        <v>0</v>
      </c>
      <c r="X81" s="39">
        <f>IF(B81="","",IF(K81="No","",IF(COUNTIF($B$5:$B$504,B81)&gt;1,"Duplicate - this client is on twice",IF(Q81&gt;0,"Action - reward ready to give",IF(U81&gt;0.004,"Action - referral credit owed",IF(V81="Lapsing","Chase - points are a reason to call",IF(S81&lt;=RewardAt*0.2,"Rebook - nearly at a reward","OK")))))))</f>
        <v>0</v>
      </c>
    </row>
    <row r="82" spans="1:24">
      <c r="A82" s="28">
        <f>IF(B82="","",LoyaltyPrefix&amp;TEXT(ROW()-4,"0000"))</f>
        <v>0</v>
      </c>
      <c r="C82" s="15">
        <f>IF(B82="","",IFERROR(INDEX(Clients!$B$5:$B$504,MATCH(B82,Clients!$A$5:$A$504,0)),"Not in Clients"))</f>
        <v>0</v>
      </c>
      <c r="M82" s="26">
        <f>IF(B82="","",ROUND(SUMIFS(Sales!$Y$5:$Y$1204,Sales!$D$5:$D$1204,B82,Sales!$B$5:$B$1204,"&gt;="&amp;IF(D82="",0,D82)),2))</f>
        <v>0</v>
      </c>
      <c r="N82" s="25">
        <f>IF(B82="","",IFERROR(INDEX(Clients!$T$5:$T$504,MATCH(B82,Clients!$A$5:$A$504,0))*1,0))</f>
        <v>0</v>
      </c>
      <c r="O82" s="25">
        <f>IF(B82="","",ROUND(M82*PointsPerUnit+IF(F82="",0,F82),0))</f>
        <v>0</v>
      </c>
      <c r="P82" s="25">
        <f>IF(B82="","",O82-IF(G82="",0,G82))</f>
        <v>0</v>
      </c>
      <c r="Q82" s="25">
        <f>IF(B82="","",IF(RewardAt&lt;=0,0,ROUNDDOWN(P82/RewardAt,0)))</f>
        <v>0</v>
      </c>
      <c r="R82" s="26">
        <f>IF(B82="","",ROUND(Q82*RewardValue,2))</f>
        <v>0</v>
      </c>
      <c r="S82" s="25">
        <f>IF(B82="","",IF(RewardAt&lt;=0,"",MAX(0,RewardAt*(Q82+1)-P82)))</f>
        <v>0</v>
      </c>
      <c r="T82" s="25">
        <f>IF(B82="","",COUNTIFS(Clients!$H$5:$H$504,B82))</f>
        <v>0</v>
      </c>
      <c r="U82" s="26">
        <f>IF(B82="","",ROUND(T82*ReferralReward-IF(J82="",0,J82),2))</f>
        <v>0</v>
      </c>
      <c r="V82" s="15">
        <f>IF(B82="","",IFERROR(INDEX(Clients!$AM$5:$AM$504,MATCH(B82,Clients!$A$5:$A$504,0))&amp;"",""))</f>
        <v>0</v>
      </c>
      <c r="W82" s="25">
        <f>IF(B82="","",COUNTIFS($P$5:$P$504,"&gt;"&amp;P82)+COUNTIFS($P$5:P82,P82))</f>
        <v>0</v>
      </c>
      <c r="X82" s="39">
        <f>IF(B82="","",IF(K82="No","",IF(COUNTIF($B$5:$B$504,B82)&gt;1,"Duplicate - this client is on twice",IF(Q82&gt;0,"Action - reward ready to give",IF(U82&gt;0.004,"Action - referral credit owed",IF(V82="Lapsing","Chase - points are a reason to call",IF(S82&lt;=RewardAt*0.2,"Rebook - nearly at a reward","OK")))))))</f>
        <v>0</v>
      </c>
    </row>
    <row r="83" spans="1:24">
      <c r="A83" s="28">
        <f>IF(B83="","",LoyaltyPrefix&amp;TEXT(ROW()-4,"0000"))</f>
        <v>0</v>
      </c>
      <c r="C83" s="15">
        <f>IF(B83="","",IFERROR(INDEX(Clients!$B$5:$B$504,MATCH(B83,Clients!$A$5:$A$504,0)),"Not in Clients"))</f>
        <v>0</v>
      </c>
      <c r="M83" s="26">
        <f>IF(B83="","",ROUND(SUMIFS(Sales!$Y$5:$Y$1204,Sales!$D$5:$D$1204,B83,Sales!$B$5:$B$1204,"&gt;="&amp;IF(D83="",0,D83)),2))</f>
        <v>0</v>
      </c>
      <c r="N83" s="25">
        <f>IF(B83="","",IFERROR(INDEX(Clients!$T$5:$T$504,MATCH(B83,Clients!$A$5:$A$504,0))*1,0))</f>
        <v>0</v>
      </c>
      <c r="O83" s="25">
        <f>IF(B83="","",ROUND(M83*PointsPerUnit+IF(F83="",0,F83),0))</f>
        <v>0</v>
      </c>
      <c r="P83" s="25">
        <f>IF(B83="","",O83-IF(G83="",0,G83))</f>
        <v>0</v>
      </c>
      <c r="Q83" s="25">
        <f>IF(B83="","",IF(RewardAt&lt;=0,0,ROUNDDOWN(P83/RewardAt,0)))</f>
        <v>0</v>
      </c>
      <c r="R83" s="26">
        <f>IF(B83="","",ROUND(Q83*RewardValue,2))</f>
        <v>0</v>
      </c>
      <c r="S83" s="25">
        <f>IF(B83="","",IF(RewardAt&lt;=0,"",MAX(0,RewardAt*(Q83+1)-P83)))</f>
        <v>0</v>
      </c>
      <c r="T83" s="25">
        <f>IF(B83="","",COUNTIFS(Clients!$H$5:$H$504,B83))</f>
        <v>0</v>
      </c>
      <c r="U83" s="26">
        <f>IF(B83="","",ROUND(T83*ReferralReward-IF(J83="",0,J83),2))</f>
        <v>0</v>
      </c>
      <c r="V83" s="15">
        <f>IF(B83="","",IFERROR(INDEX(Clients!$AM$5:$AM$504,MATCH(B83,Clients!$A$5:$A$504,0))&amp;"",""))</f>
        <v>0</v>
      </c>
      <c r="W83" s="25">
        <f>IF(B83="","",COUNTIFS($P$5:$P$504,"&gt;"&amp;P83)+COUNTIFS($P$5:P83,P83))</f>
        <v>0</v>
      </c>
      <c r="X83" s="39">
        <f>IF(B83="","",IF(K83="No","",IF(COUNTIF($B$5:$B$504,B83)&gt;1,"Duplicate - this client is on twice",IF(Q83&gt;0,"Action - reward ready to give",IF(U83&gt;0.004,"Action - referral credit owed",IF(V83="Lapsing","Chase - points are a reason to call",IF(S83&lt;=RewardAt*0.2,"Rebook - nearly at a reward","OK")))))))</f>
        <v>0</v>
      </c>
    </row>
    <row r="84" spans="1:24">
      <c r="A84" s="28">
        <f>IF(B84="","",LoyaltyPrefix&amp;TEXT(ROW()-4,"0000"))</f>
        <v>0</v>
      </c>
      <c r="C84" s="15">
        <f>IF(B84="","",IFERROR(INDEX(Clients!$B$5:$B$504,MATCH(B84,Clients!$A$5:$A$504,0)),"Not in Clients"))</f>
        <v>0</v>
      </c>
      <c r="M84" s="26">
        <f>IF(B84="","",ROUND(SUMIFS(Sales!$Y$5:$Y$1204,Sales!$D$5:$D$1204,B84,Sales!$B$5:$B$1204,"&gt;="&amp;IF(D84="",0,D84)),2))</f>
        <v>0</v>
      </c>
      <c r="N84" s="25">
        <f>IF(B84="","",IFERROR(INDEX(Clients!$T$5:$T$504,MATCH(B84,Clients!$A$5:$A$504,0))*1,0))</f>
        <v>0</v>
      </c>
      <c r="O84" s="25">
        <f>IF(B84="","",ROUND(M84*PointsPerUnit+IF(F84="",0,F84),0))</f>
        <v>0</v>
      </c>
      <c r="P84" s="25">
        <f>IF(B84="","",O84-IF(G84="",0,G84))</f>
        <v>0</v>
      </c>
      <c r="Q84" s="25">
        <f>IF(B84="","",IF(RewardAt&lt;=0,0,ROUNDDOWN(P84/RewardAt,0)))</f>
        <v>0</v>
      </c>
      <c r="R84" s="26">
        <f>IF(B84="","",ROUND(Q84*RewardValue,2))</f>
        <v>0</v>
      </c>
      <c r="S84" s="25">
        <f>IF(B84="","",IF(RewardAt&lt;=0,"",MAX(0,RewardAt*(Q84+1)-P84)))</f>
        <v>0</v>
      </c>
      <c r="T84" s="25">
        <f>IF(B84="","",COUNTIFS(Clients!$H$5:$H$504,B84))</f>
        <v>0</v>
      </c>
      <c r="U84" s="26">
        <f>IF(B84="","",ROUND(T84*ReferralReward-IF(J84="",0,J84),2))</f>
        <v>0</v>
      </c>
      <c r="V84" s="15">
        <f>IF(B84="","",IFERROR(INDEX(Clients!$AM$5:$AM$504,MATCH(B84,Clients!$A$5:$A$504,0))&amp;"",""))</f>
        <v>0</v>
      </c>
      <c r="W84" s="25">
        <f>IF(B84="","",COUNTIFS($P$5:$P$504,"&gt;"&amp;P84)+COUNTIFS($P$5:P84,P84))</f>
        <v>0</v>
      </c>
      <c r="X84" s="39">
        <f>IF(B84="","",IF(K84="No","",IF(COUNTIF($B$5:$B$504,B84)&gt;1,"Duplicate - this client is on twice",IF(Q84&gt;0,"Action - reward ready to give",IF(U84&gt;0.004,"Action - referral credit owed",IF(V84="Lapsing","Chase - points are a reason to call",IF(S84&lt;=RewardAt*0.2,"Rebook - nearly at a reward","OK")))))))</f>
        <v>0</v>
      </c>
    </row>
    <row r="85" spans="1:24">
      <c r="A85" s="28">
        <f>IF(B85="","",LoyaltyPrefix&amp;TEXT(ROW()-4,"0000"))</f>
        <v>0</v>
      </c>
      <c r="C85" s="15">
        <f>IF(B85="","",IFERROR(INDEX(Clients!$B$5:$B$504,MATCH(B85,Clients!$A$5:$A$504,0)),"Not in Clients"))</f>
        <v>0</v>
      </c>
      <c r="M85" s="26">
        <f>IF(B85="","",ROUND(SUMIFS(Sales!$Y$5:$Y$1204,Sales!$D$5:$D$1204,B85,Sales!$B$5:$B$1204,"&gt;="&amp;IF(D85="",0,D85)),2))</f>
        <v>0</v>
      </c>
      <c r="N85" s="25">
        <f>IF(B85="","",IFERROR(INDEX(Clients!$T$5:$T$504,MATCH(B85,Clients!$A$5:$A$504,0))*1,0))</f>
        <v>0</v>
      </c>
      <c r="O85" s="25">
        <f>IF(B85="","",ROUND(M85*PointsPerUnit+IF(F85="",0,F85),0))</f>
        <v>0</v>
      </c>
      <c r="P85" s="25">
        <f>IF(B85="","",O85-IF(G85="",0,G85))</f>
        <v>0</v>
      </c>
      <c r="Q85" s="25">
        <f>IF(B85="","",IF(RewardAt&lt;=0,0,ROUNDDOWN(P85/RewardAt,0)))</f>
        <v>0</v>
      </c>
      <c r="R85" s="26">
        <f>IF(B85="","",ROUND(Q85*RewardValue,2))</f>
        <v>0</v>
      </c>
      <c r="S85" s="25">
        <f>IF(B85="","",IF(RewardAt&lt;=0,"",MAX(0,RewardAt*(Q85+1)-P85)))</f>
        <v>0</v>
      </c>
      <c r="T85" s="25">
        <f>IF(B85="","",COUNTIFS(Clients!$H$5:$H$504,B85))</f>
        <v>0</v>
      </c>
      <c r="U85" s="26">
        <f>IF(B85="","",ROUND(T85*ReferralReward-IF(J85="",0,J85),2))</f>
        <v>0</v>
      </c>
      <c r="V85" s="15">
        <f>IF(B85="","",IFERROR(INDEX(Clients!$AM$5:$AM$504,MATCH(B85,Clients!$A$5:$A$504,0))&amp;"",""))</f>
        <v>0</v>
      </c>
      <c r="W85" s="25">
        <f>IF(B85="","",COUNTIFS($P$5:$P$504,"&gt;"&amp;P85)+COUNTIFS($P$5:P85,P85))</f>
        <v>0</v>
      </c>
      <c r="X85" s="39">
        <f>IF(B85="","",IF(K85="No","",IF(COUNTIF($B$5:$B$504,B85)&gt;1,"Duplicate - this client is on twice",IF(Q85&gt;0,"Action - reward ready to give",IF(U85&gt;0.004,"Action - referral credit owed",IF(V85="Lapsing","Chase - points are a reason to call",IF(S85&lt;=RewardAt*0.2,"Rebook - nearly at a reward","OK")))))))</f>
        <v>0</v>
      </c>
    </row>
    <row r="86" spans="1:24">
      <c r="A86" s="28">
        <f>IF(B86="","",LoyaltyPrefix&amp;TEXT(ROW()-4,"0000"))</f>
        <v>0</v>
      </c>
      <c r="C86" s="15">
        <f>IF(B86="","",IFERROR(INDEX(Clients!$B$5:$B$504,MATCH(B86,Clients!$A$5:$A$504,0)),"Not in Clients"))</f>
        <v>0</v>
      </c>
      <c r="M86" s="26">
        <f>IF(B86="","",ROUND(SUMIFS(Sales!$Y$5:$Y$1204,Sales!$D$5:$D$1204,B86,Sales!$B$5:$B$1204,"&gt;="&amp;IF(D86="",0,D86)),2))</f>
        <v>0</v>
      </c>
      <c r="N86" s="25">
        <f>IF(B86="","",IFERROR(INDEX(Clients!$T$5:$T$504,MATCH(B86,Clients!$A$5:$A$504,0))*1,0))</f>
        <v>0</v>
      </c>
      <c r="O86" s="25">
        <f>IF(B86="","",ROUND(M86*PointsPerUnit+IF(F86="",0,F86),0))</f>
        <v>0</v>
      </c>
      <c r="P86" s="25">
        <f>IF(B86="","",O86-IF(G86="",0,G86))</f>
        <v>0</v>
      </c>
      <c r="Q86" s="25">
        <f>IF(B86="","",IF(RewardAt&lt;=0,0,ROUNDDOWN(P86/RewardAt,0)))</f>
        <v>0</v>
      </c>
      <c r="R86" s="26">
        <f>IF(B86="","",ROUND(Q86*RewardValue,2))</f>
        <v>0</v>
      </c>
      <c r="S86" s="25">
        <f>IF(B86="","",IF(RewardAt&lt;=0,"",MAX(0,RewardAt*(Q86+1)-P86)))</f>
        <v>0</v>
      </c>
      <c r="T86" s="25">
        <f>IF(B86="","",COUNTIFS(Clients!$H$5:$H$504,B86))</f>
        <v>0</v>
      </c>
      <c r="U86" s="26">
        <f>IF(B86="","",ROUND(T86*ReferralReward-IF(J86="",0,J86),2))</f>
        <v>0</v>
      </c>
      <c r="V86" s="15">
        <f>IF(B86="","",IFERROR(INDEX(Clients!$AM$5:$AM$504,MATCH(B86,Clients!$A$5:$A$504,0))&amp;"",""))</f>
        <v>0</v>
      </c>
      <c r="W86" s="25">
        <f>IF(B86="","",COUNTIFS($P$5:$P$504,"&gt;"&amp;P86)+COUNTIFS($P$5:P86,P86))</f>
        <v>0</v>
      </c>
      <c r="X86" s="39">
        <f>IF(B86="","",IF(K86="No","",IF(COUNTIF($B$5:$B$504,B86)&gt;1,"Duplicate - this client is on twice",IF(Q86&gt;0,"Action - reward ready to give",IF(U86&gt;0.004,"Action - referral credit owed",IF(V86="Lapsing","Chase - points are a reason to call",IF(S86&lt;=RewardAt*0.2,"Rebook - nearly at a reward","OK")))))))</f>
        <v>0</v>
      </c>
    </row>
    <row r="87" spans="1:24">
      <c r="A87" s="28">
        <f>IF(B87="","",LoyaltyPrefix&amp;TEXT(ROW()-4,"0000"))</f>
        <v>0</v>
      </c>
      <c r="C87" s="15">
        <f>IF(B87="","",IFERROR(INDEX(Clients!$B$5:$B$504,MATCH(B87,Clients!$A$5:$A$504,0)),"Not in Clients"))</f>
        <v>0</v>
      </c>
      <c r="M87" s="26">
        <f>IF(B87="","",ROUND(SUMIFS(Sales!$Y$5:$Y$1204,Sales!$D$5:$D$1204,B87,Sales!$B$5:$B$1204,"&gt;="&amp;IF(D87="",0,D87)),2))</f>
        <v>0</v>
      </c>
      <c r="N87" s="25">
        <f>IF(B87="","",IFERROR(INDEX(Clients!$T$5:$T$504,MATCH(B87,Clients!$A$5:$A$504,0))*1,0))</f>
        <v>0</v>
      </c>
      <c r="O87" s="25">
        <f>IF(B87="","",ROUND(M87*PointsPerUnit+IF(F87="",0,F87),0))</f>
        <v>0</v>
      </c>
      <c r="P87" s="25">
        <f>IF(B87="","",O87-IF(G87="",0,G87))</f>
        <v>0</v>
      </c>
      <c r="Q87" s="25">
        <f>IF(B87="","",IF(RewardAt&lt;=0,0,ROUNDDOWN(P87/RewardAt,0)))</f>
        <v>0</v>
      </c>
      <c r="R87" s="26">
        <f>IF(B87="","",ROUND(Q87*RewardValue,2))</f>
        <v>0</v>
      </c>
      <c r="S87" s="25">
        <f>IF(B87="","",IF(RewardAt&lt;=0,"",MAX(0,RewardAt*(Q87+1)-P87)))</f>
        <v>0</v>
      </c>
      <c r="T87" s="25">
        <f>IF(B87="","",COUNTIFS(Clients!$H$5:$H$504,B87))</f>
        <v>0</v>
      </c>
      <c r="U87" s="26">
        <f>IF(B87="","",ROUND(T87*ReferralReward-IF(J87="",0,J87),2))</f>
        <v>0</v>
      </c>
      <c r="V87" s="15">
        <f>IF(B87="","",IFERROR(INDEX(Clients!$AM$5:$AM$504,MATCH(B87,Clients!$A$5:$A$504,0))&amp;"",""))</f>
        <v>0</v>
      </c>
      <c r="W87" s="25">
        <f>IF(B87="","",COUNTIFS($P$5:$P$504,"&gt;"&amp;P87)+COUNTIFS($P$5:P87,P87))</f>
        <v>0</v>
      </c>
      <c r="X87" s="39">
        <f>IF(B87="","",IF(K87="No","",IF(COUNTIF($B$5:$B$504,B87)&gt;1,"Duplicate - this client is on twice",IF(Q87&gt;0,"Action - reward ready to give",IF(U87&gt;0.004,"Action - referral credit owed",IF(V87="Lapsing","Chase - points are a reason to call",IF(S87&lt;=RewardAt*0.2,"Rebook - nearly at a reward","OK")))))))</f>
        <v>0</v>
      </c>
    </row>
    <row r="88" spans="1:24">
      <c r="A88" s="28">
        <f>IF(B88="","",LoyaltyPrefix&amp;TEXT(ROW()-4,"0000"))</f>
        <v>0</v>
      </c>
      <c r="C88" s="15">
        <f>IF(B88="","",IFERROR(INDEX(Clients!$B$5:$B$504,MATCH(B88,Clients!$A$5:$A$504,0)),"Not in Clients"))</f>
        <v>0</v>
      </c>
      <c r="M88" s="26">
        <f>IF(B88="","",ROUND(SUMIFS(Sales!$Y$5:$Y$1204,Sales!$D$5:$D$1204,B88,Sales!$B$5:$B$1204,"&gt;="&amp;IF(D88="",0,D88)),2))</f>
        <v>0</v>
      </c>
      <c r="N88" s="25">
        <f>IF(B88="","",IFERROR(INDEX(Clients!$T$5:$T$504,MATCH(B88,Clients!$A$5:$A$504,0))*1,0))</f>
        <v>0</v>
      </c>
      <c r="O88" s="25">
        <f>IF(B88="","",ROUND(M88*PointsPerUnit+IF(F88="",0,F88),0))</f>
        <v>0</v>
      </c>
      <c r="P88" s="25">
        <f>IF(B88="","",O88-IF(G88="",0,G88))</f>
        <v>0</v>
      </c>
      <c r="Q88" s="25">
        <f>IF(B88="","",IF(RewardAt&lt;=0,0,ROUNDDOWN(P88/RewardAt,0)))</f>
        <v>0</v>
      </c>
      <c r="R88" s="26">
        <f>IF(B88="","",ROUND(Q88*RewardValue,2))</f>
        <v>0</v>
      </c>
      <c r="S88" s="25">
        <f>IF(B88="","",IF(RewardAt&lt;=0,"",MAX(0,RewardAt*(Q88+1)-P88)))</f>
        <v>0</v>
      </c>
      <c r="T88" s="25">
        <f>IF(B88="","",COUNTIFS(Clients!$H$5:$H$504,B88))</f>
        <v>0</v>
      </c>
      <c r="U88" s="26">
        <f>IF(B88="","",ROUND(T88*ReferralReward-IF(J88="",0,J88),2))</f>
        <v>0</v>
      </c>
      <c r="V88" s="15">
        <f>IF(B88="","",IFERROR(INDEX(Clients!$AM$5:$AM$504,MATCH(B88,Clients!$A$5:$A$504,0))&amp;"",""))</f>
        <v>0</v>
      </c>
      <c r="W88" s="25">
        <f>IF(B88="","",COUNTIFS($P$5:$P$504,"&gt;"&amp;P88)+COUNTIFS($P$5:P88,P88))</f>
        <v>0</v>
      </c>
      <c r="X88" s="39">
        <f>IF(B88="","",IF(K88="No","",IF(COUNTIF($B$5:$B$504,B88)&gt;1,"Duplicate - this client is on twice",IF(Q88&gt;0,"Action - reward ready to give",IF(U88&gt;0.004,"Action - referral credit owed",IF(V88="Lapsing","Chase - points are a reason to call",IF(S88&lt;=RewardAt*0.2,"Rebook - nearly at a reward","OK")))))))</f>
        <v>0</v>
      </c>
    </row>
    <row r="89" spans="1:24">
      <c r="A89" s="28">
        <f>IF(B89="","",LoyaltyPrefix&amp;TEXT(ROW()-4,"0000"))</f>
        <v>0</v>
      </c>
      <c r="C89" s="15">
        <f>IF(B89="","",IFERROR(INDEX(Clients!$B$5:$B$504,MATCH(B89,Clients!$A$5:$A$504,0)),"Not in Clients"))</f>
        <v>0</v>
      </c>
      <c r="M89" s="26">
        <f>IF(B89="","",ROUND(SUMIFS(Sales!$Y$5:$Y$1204,Sales!$D$5:$D$1204,B89,Sales!$B$5:$B$1204,"&gt;="&amp;IF(D89="",0,D89)),2))</f>
        <v>0</v>
      </c>
      <c r="N89" s="25">
        <f>IF(B89="","",IFERROR(INDEX(Clients!$T$5:$T$504,MATCH(B89,Clients!$A$5:$A$504,0))*1,0))</f>
        <v>0</v>
      </c>
      <c r="O89" s="25">
        <f>IF(B89="","",ROUND(M89*PointsPerUnit+IF(F89="",0,F89),0))</f>
        <v>0</v>
      </c>
      <c r="P89" s="25">
        <f>IF(B89="","",O89-IF(G89="",0,G89))</f>
        <v>0</v>
      </c>
      <c r="Q89" s="25">
        <f>IF(B89="","",IF(RewardAt&lt;=0,0,ROUNDDOWN(P89/RewardAt,0)))</f>
        <v>0</v>
      </c>
      <c r="R89" s="26">
        <f>IF(B89="","",ROUND(Q89*RewardValue,2))</f>
        <v>0</v>
      </c>
      <c r="S89" s="25">
        <f>IF(B89="","",IF(RewardAt&lt;=0,"",MAX(0,RewardAt*(Q89+1)-P89)))</f>
        <v>0</v>
      </c>
      <c r="T89" s="25">
        <f>IF(B89="","",COUNTIFS(Clients!$H$5:$H$504,B89))</f>
        <v>0</v>
      </c>
      <c r="U89" s="26">
        <f>IF(B89="","",ROUND(T89*ReferralReward-IF(J89="",0,J89),2))</f>
        <v>0</v>
      </c>
      <c r="V89" s="15">
        <f>IF(B89="","",IFERROR(INDEX(Clients!$AM$5:$AM$504,MATCH(B89,Clients!$A$5:$A$504,0))&amp;"",""))</f>
        <v>0</v>
      </c>
      <c r="W89" s="25">
        <f>IF(B89="","",COUNTIFS($P$5:$P$504,"&gt;"&amp;P89)+COUNTIFS($P$5:P89,P89))</f>
        <v>0</v>
      </c>
      <c r="X89" s="39">
        <f>IF(B89="","",IF(K89="No","",IF(COUNTIF($B$5:$B$504,B89)&gt;1,"Duplicate - this client is on twice",IF(Q89&gt;0,"Action - reward ready to give",IF(U89&gt;0.004,"Action - referral credit owed",IF(V89="Lapsing","Chase - points are a reason to call",IF(S89&lt;=RewardAt*0.2,"Rebook - nearly at a reward","OK")))))))</f>
        <v>0</v>
      </c>
    </row>
    <row r="90" spans="1:24">
      <c r="A90" s="28">
        <f>IF(B90="","",LoyaltyPrefix&amp;TEXT(ROW()-4,"0000"))</f>
        <v>0</v>
      </c>
      <c r="C90" s="15">
        <f>IF(B90="","",IFERROR(INDEX(Clients!$B$5:$B$504,MATCH(B90,Clients!$A$5:$A$504,0)),"Not in Clients"))</f>
        <v>0</v>
      </c>
      <c r="M90" s="26">
        <f>IF(B90="","",ROUND(SUMIFS(Sales!$Y$5:$Y$1204,Sales!$D$5:$D$1204,B90,Sales!$B$5:$B$1204,"&gt;="&amp;IF(D90="",0,D90)),2))</f>
        <v>0</v>
      </c>
      <c r="N90" s="25">
        <f>IF(B90="","",IFERROR(INDEX(Clients!$T$5:$T$504,MATCH(B90,Clients!$A$5:$A$504,0))*1,0))</f>
        <v>0</v>
      </c>
      <c r="O90" s="25">
        <f>IF(B90="","",ROUND(M90*PointsPerUnit+IF(F90="",0,F90),0))</f>
        <v>0</v>
      </c>
      <c r="P90" s="25">
        <f>IF(B90="","",O90-IF(G90="",0,G90))</f>
        <v>0</v>
      </c>
      <c r="Q90" s="25">
        <f>IF(B90="","",IF(RewardAt&lt;=0,0,ROUNDDOWN(P90/RewardAt,0)))</f>
        <v>0</v>
      </c>
      <c r="R90" s="26">
        <f>IF(B90="","",ROUND(Q90*RewardValue,2))</f>
        <v>0</v>
      </c>
      <c r="S90" s="25">
        <f>IF(B90="","",IF(RewardAt&lt;=0,"",MAX(0,RewardAt*(Q90+1)-P90)))</f>
        <v>0</v>
      </c>
      <c r="T90" s="25">
        <f>IF(B90="","",COUNTIFS(Clients!$H$5:$H$504,B90))</f>
        <v>0</v>
      </c>
      <c r="U90" s="26">
        <f>IF(B90="","",ROUND(T90*ReferralReward-IF(J90="",0,J90),2))</f>
        <v>0</v>
      </c>
      <c r="V90" s="15">
        <f>IF(B90="","",IFERROR(INDEX(Clients!$AM$5:$AM$504,MATCH(B90,Clients!$A$5:$A$504,0))&amp;"",""))</f>
        <v>0</v>
      </c>
      <c r="W90" s="25">
        <f>IF(B90="","",COUNTIFS($P$5:$P$504,"&gt;"&amp;P90)+COUNTIFS($P$5:P90,P90))</f>
        <v>0</v>
      </c>
      <c r="X90" s="39">
        <f>IF(B90="","",IF(K90="No","",IF(COUNTIF($B$5:$B$504,B90)&gt;1,"Duplicate - this client is on twice",IF(Q90&gt;0,"Action - reward ready to give",IF(U90&gt;0.004,"Action - referral credit owed",IF(V90="Lapsing","Chase - points are a reason to call",IF(S90&lt;=RewardAt*0.2,"Rebook - nearly at a reward","OK")))))))</f>
        <v>0</v>
      </c>
    </row>
    <row r="91" spans="1:24">
      <c r="A91" s="28">
        <f>IF(B91="","",LoyaltyPrefix&amp;TEXT(ROW()-4,"0000"))</f>
        <v>0</v>
      </c>
      <c r="C91" s="15">
        <f>IF(B91="","",IFERROR(INDEX(Clients!$B$5:$B$504,MATCH(B91,Clients!$A$5:$A$504,0)),"Not in Clients"))</f>
        <v>0</v>
      </c>
      <c r="M91" s="26">
        <f>IF(B91="","",ROUND(SUMIFS(Sales!$Y$5:$Y$1204,Sales!$D$5:$D$1204,B91,Sales!$B$5:$B$1204,"&gt;="&amp;IF(D91="",0,D91)),2))</f>
        <v>0</v>
      </c>
      <c r="N91" s="25">
        <f>IF(B91="","",IFERROR(INDEX(Clients!$T$5:$T$504,MATCH(B91,Clients!$A$5:$A$504,0))*1,0))</f>
        <v>0</v>
      </c>
      <c r="O91" s="25">
        <f>IF(B91="","",ROUND(M91*PointsPerUnit+IF(F91="",0,F91),0))</f>
        <v>0</v>
      </c>
      <c r="P91" s="25">
        <f>IF(B91="","",O91-IF(G91="",0,G91))</f>
        <v>0</v>
      </c>
      <c r="Q91" s="25">
        <f>IF(B91="","",IF(RewardAt&lt;=0,0,ROUNDDOWN(P91/RewardAt,0)))</f>
        <v>0</v>
      </c>
      <c r="R91" s="26">
        <f>IF(B91="","",ROUND(Q91*RewardValue,2))</f>
        <v>0</v>
      </c>
      <c r="S91" s="25">
        <f>IF(B91="","",IF(RewardAt&lt;=0,"",MAX(0,RewardAt*(Q91+1)-P91)))</f>
        <v>0</v>
      </c>
      <c r="T91" s="25">
        <f>IF(B91="","",COUNTIFS(Clients!$H$5:$H$504,B91))</f>
        <v>0</v>
      </c>
      <c r="U91" s="26">
        <f>IF(B91="","",ROUND(T91*ReferralReward-IF(J91="",0,J91),2))</f>
        <v>0</v>
      </c>
      <c r="V91" s="15">
        <f>IF(B91="","",IFERROR(INDEX(Clients!$AM$5:$AM$504,MATCH(B91,Clients!$A$5:$A$504,0))&amp;"",""))</f>
        <v>0</v>
      </c>
      <c r="W91" s="25">
        <f>IF(B91="","",COUNTIFS($P$5:$P$504,"&gt;"&amp;P91)+COUNTIFS($P$5:P91,P91))</f>
        <v>0</v>
      </c>
      <c r="X91" s="39">
        <f>IF(B91="","",IF(K91="No","",IF(COUNTIF($B$5:$B$504,B91)&gt;1,"Duplicate - this client is on twice",IF(Q91&gt;0,"Action - reward ready to give",IF(U91&gt;0.004,"Action - referral credit owed",IF(V91="Lapsing","Chase - points are a reason to call",IF(S91&lt;=RewardAt*0.2,"Rebook - nearly at a reward","OK")))))))</f>
        <v>0</v>
      </c>
    </row>
    <row r="92" spans="1:24">
      <c r="A92" s="28">
        <f>IF(B92="","",LoyaltyPrefix&amp;TEXT(ROW()-4,"0000"))</f>
        <v>0</v>
      </c>
      <c r="C92" s="15">
        <f>IF(B92="","",IFERROR(INDEX(Clients!$B$5:$B$504,MATCH(B92,Clients!$A$5:$A$504,0)),"Not in Clients"))</f>
        <v>0</v>
      </c>
      <c r="M92" s="26">
        <f>IF(B92="","",ROUND(SUMIFS(Sales!$Y$5:$Y$1204,Sales!$D$5:$D$1204,B92,Sales!$B$5:$B$1204,"&gt;="&amp;IF(D92="",0,D92)),2))</f>
        <v>0</v>
      </c>
      <c r="N92" s="25">
        <f>IF(B92="","",IFERROR(INDEX(Clients!$T$5:$T$504,MATCH(B92,Clients!$A$5:$A$504,0))*1,0))</f>
        <v>0</v>
      </c>
      <c r="O92" s="25">
        <f>IF(B92="","",ROUND(M92*PointsPerUnit+IF(F92="",0,F92),0))</f>
        <v>0</v>
      </c>
      <c r="P92" s="25">
        <f>IF(B92="","",O92-IF(G92="",0,G92))</f>
        <v>0</v>
      </c>
      <c r="Q92" s="25">
        <f>IF(B92="","",IF(RewardAt&lt;=0,0,ROUNDDOWN(P92/RewardAt,0)))</f>
        <v>0</v>
      </c>
      <c r="R92" s="26">
        <f>IF(B92="","",ROUND(Q92*RewardValue,2))</f>
        <v>0</v>
      </c>
      <c r="S92" s="25">
        <f>IF(B92="","",IF(RewardAt&lt;=0,"",MAX(0,RewardAt*(Q92+1)-P92)))</f>
        <v>0</v>
      </c>
      <c r="T92" s="25">
        <f>IF(B92="","",COUNTIFS(Clients!$H$5:$H$504,B92))</f>
        <v>0</v>
      </c>
      <c r="U92" s="26">
        <f>IF(B92="","",ROUND(T92*ReferralReward-IF(J92="",0,J92),2))</f>
        <v>0</v>
      </c>
      <c r="V92" s="15">
        <f>IF(B92="","",IFERROR(INDEX(Clients!$AM$5:$AM$504,MATCH(B92,Clients!$A$5:$A$504,0))&amp;"",""))</f>
        <v>0</v>
      </c>
      <c r="W92" s="25">
        <f>IF(B92="","",COUNTIFS($P$5:$P$504,"&gt;"&amp;P92)+COUNTIFS($P$5:P92,P92))</f>
        <v>0</v>
      </c>
      <c r="X92" s="39">
        <f>IF(B92="","",IF(K92="No","",IF(COUNTIF($B$5:$B$504,B92)&gt;1,"Duplicate - this client is on twice",IF(Q92&gt;0,"Action - reward ready to give",IF(U92&gt;0.004,"Action - referral credit owed",IF(V92="Lapsing","Chase - points are a reason to call",IF(S92&lt;=RewardAt*0.2,"Rebook - nearly at a reward","OK")))))))</f>
        <v>0</v>
      </c>
    </row>
    <row r="93" spans="1:24">
      <c r="A93" s="28">
        <f>IF(B93="","",LoyaltyPrefix&amp;TEXT(ROW()-4,"0000"))</f>
        <v>0</v>
      </c>
      <c r="C93" s="15">
        <f>IF(B93="","",IFERROR(INDEX(Clients!$B$5:$B$504,MATCH(B93,Clients!$A$5:$A$504,0)),"Not in Clients"))</f>
        <v>0</v>
      </c>
      <c r="M93" s="26">
        <f>IF(B93="","",ROUND(SUMIFS(Sales!$Y$5:$Y$1204,Sales!$D$5:$D$1204,B93,Sales!$B$5:$B$1204,"&gt;="&amp;IF(D93="",0,D93)),2))</f>
        <v>0</v>
      </c>
      <c r="N93" s="25">
        <f>IF(B93="","",IFERROR(INDEX(Clients!$T$5:$T$504,MATCH(B93,Clients!$A$5:$A$504,0))*1,0))</f>
        <v>0</v>
      </c>
      <c r="O93" s="25">
        <f>IF(B93="","",ROUND(M93*PointsPerUnit+IF(F93="",0,F93),0))</f>
        <v>0</v>
      </c>
      <c r="P93" s="25">
        <f>IF(B93="","",O93-IF(G93="",0,G93))</f>
        <v>0</v>
      </c>
      <c r="Q93" s="25">
        <f>IF(B93="","",IF(RewardAt&lt;=0,0,ROUNDDOWN(P93/RewardAt,0)))</f>
        <v>0</v>
      </c>
      <c r="R93" s="26">
        <f>IF(B93="","",ROUND(Q93*RewardValue,2))</f>
        <v>0</v>
      </c>
      <c r="S93" s="25">
        <f>IF(B93="","",IF(RewardAt&lt;=0,"",MAX(0,RewardAt*(Q93+1)-P93)))</f>
        <v>0</v>
      </c>
      <c r="T93" s="25">
        <f>IF(B93="","",COUNTIFS(Clients!$H$5:$H$504,B93))</f>
        <v>0</v>
      </c>
      <c r="U93" s="26">
        <f>IF(B93="","",ROUND(T93*ReferralReward-IF(J93="",0,J93),2))</f>
        <v>0</v>
      </c>
      <c r="V93" s="15">
        <f>IF(B93="","",IFERROR(INDEX(Clients!$AM$5:$AM$504,MATCH(B93,Clients!$A$5:$A$504,0))&amp;"",""))</f>
        <v>0</v>
      </c>
      <c r="W93" s="25">
        <f>IF(B93="","",COUNTIFS($P$5:$P$504,"&gt;"&amp;P93)+COUNTIFS($P$5:P93,P93))</f>
        <v>0</v>
      </c>
      <c r="X93" s="39">
        <f>IF(B93="","",IF(K93="No","",IF(COUNTIF($B$5:$B$504,B93)&gt;1,"Duplicate - this client is on twice",IF(Q93&gt;0,"Action - reward ready to give",IF(U93&gt;0.004,"Action - referral credit owed",IF(V93="Lapsing","Chase - points are a reason to call",IF(S93&lt;=RewardAt*0.2,"Rebook - nearly at a reward","OK")))))))</f>
        <v>0</v>
      </c>
    </row>
    <row r="94" spans="1:24">
      <c r="A94" s="28">
        <f>IF(B94="","",LoyaltyPrefix&amp;TEXT(ROW()-4,"0000"))</f>
        <v>0</v>
      </c>
      <c r="C94" s="15">
        <f>IF(B94="","",IFERROR(INDEX(Clients!$B$5:$B$504,MATCH(B94,Clients!$A$5:$A$504,0)),"Not in Clients"))</f>
        <v>0</v>
      </c>
      <c r="M94" s="26">
        <f>IF(B94="","",ROUND(SUMIFS(Sales!$Y$5:$Y$1204,Sales!$D$5:$D$1204,B94,Sales!$B$5:$B$1204,"&gt;="&amp;IF(D94="",0,D94)),2))</f>
        <v>0</v>
      </c>
      <c r="N94" s="25">
        <f>IF(B94="","",IFERROR(INDEX(Clients!$T$5:$T$504,MATCH(B94,Clients!$A$5:$A$504,0))*1,0))</f>
        <v>0</v>
      </c>
      <c r="O94" s="25">
        <f>IF(B94="","",ROUND(M94*PointsPerUnit+IF(F94="",0,F94),0))</f>
        <v>0</v>
      </c>
      <c r="P94" s="25">
        <f>IF(B94="","",O94-IF(G94="",0,G94))</f>
        <v>0</v>
      </c>
      <c r="Q94" s="25">
        <f>IF(B94="","",IF(RewardAt&lt;=0,0,ROUNDDOWN(P94/RewardAt,0)))</f>
        <v>0</v>
      </c>
      <c r="R94" s="26">
        <f>IF(B94="","",ROUND(Q94*RewardValue,2))</f>
        <v>0</v>
      </c>
      <c r="S94" s="25">
        <f>IF(B94="","",IF(RewardAt&lt;=0,"",MAX(0,RewardAt*(Q94+1)-P94)))</f>
        <v>0</v>
      </c>
      <c r="T94" s="25">
        <f>IF(B94="","",COUNTIFS(Clients!$H$5:$H$504,B94))</f>
        <v>0</v>
      </c>
      <c r="U94" s="26">
        <f>IF(B94="","",ROUND(T94*ReferralReward-IF(J94="",0,J94),2))</f>
        <v>0</v>
      </c>
      <c r="V94" s="15">
        <f>IF(B94="","",IFERROR(INDEX(Clients!$AM$5:$AM$504,MATCH(B94,Clients!$A$5:$A$504,0))&amp;"",""))</f>
        <v>0</v>
      </c>
      <c r="W94" s="25">
        <f>IF(B94="","",COUNTIFS($P$5:$P$504,"&gt;"&amp;P94)+COUNTIFS($P$5:P94,P94))</f>
        <v>0</v>
      </c>
      <c r="X94" s="39">
        <f>IF(B94="","",IF(K94="No","",IF(COUNTIF($B$5:$B$504,B94)&gt;1,"Duplicate - this client is on twice",IF(Q94&gt;0,"Action - reward ready to give",IF(U94&gt;0.004,"Action - referral credit owed",IF(V94="Lapsing","Chase - points are a reason to call",IF(S94&lt;=RewardAt*0.2,"Rebook - nearly at a reward","OK")))))))</f>
        <v>0</v>
      </c>
    </row>
    <row r="95" spans="1:24">
      <c r="A95" s="28">
        <f>IF(B95="","",LoyaltyPrefix&amp;TEXT(ROW()-4,"0000"))</f>
        <v>0</v>
      </c>
      <c r="C95" s="15">
        <f>IF(B95="","",IFERROR(INDEX(Clients!$B$5:$B$504,MATCH(B95,Clients!$A$5:$A$504,0)),"Not in Clients"))</f>
        <v>0</v>
      </c>
      <c r="M95" s="26">
        <f>IF(B95="","",ROUND(SUMIFS(Sales!$Y$5:$Y$1204,Sales!$D$5:$D$1204,B95,Sales!$B$5:$B$1204,"&gt;="&amp;IF(D95="",0,D95)),2))</f>
        <v>0</v>
      </c>
      <c r="N95" s="25">
        <f>IF(B95="","",IFERROR(INDEX(Clients!$T$5:$T$504,MATCH(B95,Clients!$A$5:$A$504,0))*1,0))</f>
        <v>0</v>
      </c>
      <c r="O95" s="25">
        <f>IF(B95="","",ROUND(M95*PointsPerUnit+IF(F95="",0,F95),0))</f>
        <v>0</v>
      </c>
      <c r="P95" s="25">
        <f>IF(B95="","",O95-IF(G95="",0,G95))</f>
        <v>0</v>
      </c>
      <c r="Q95" s="25">
        <f>IF(B95="","",IF(RewardAt&lt;=0,0,ROUNDDOWN(P95/RewardAt,0)))</f>
        <v>0</v>
      </c>
      <c r="R95" s="26">
        <f>IF(B95="","",ROUND(Q95*RewardValue,2))</f>
        <v>0</v>
      </c>
      <c r="S95" s="25">
        <f>IF(B95="","",IF(RewardAt&lt;=0,"",MAX(0,RewardAt*(Q95+1)-P95)))</f>
        <v>0</v>
      </c>
      <c r="T95" s="25">
        <f>IF(B95="","",COUNTIFS(Clients!$H$5:$H$504,B95))</f>
        <v>0</v>
      </c>
      <c r="U95" s="26">
        <f>IF(B95="","",ROUND(T95*ReferralReward-IF(J95="",0,J95),2))</f>
        <v>0</v>
      </c>
      <c r="V95" s="15">
        <f>IF(B95="","",IFERROR(INDEX(Clients!$AM$5:$AM$504,MATCH(B95,Clients!$A$5:$A$504,0))&amp;"",""))</f>
        <v>0</v>
      </c>
      <c r="W95" s="25">
        <f>IF(B95="","",COUNTIFS($P$5:$P$504,"&gt;"&amp;P95)+COUNTIFS($P$5:P95,P95))</f>
        <v>0</v>
      </c>
      <c r="X95" s="39">
        <f>IF(B95="","",IF(K95="No","",IF(COUNTIF($B$5:$B$504,B95)&gt;1,"Duplicate - this client is on twice",IF(Q95&gt;0,"Action - reward ready to give",IF(U95&gt;0.004,"Action - referral credit owed",IF(V95="Lapsing","Chase - points are a reason to call",IF(S95&lt;=RewardAt*0.2,"Rebook - nearly at a reward","OK")))))))</f>
        <v>0</v>
      </c>
    </row>
    <row r="96" spans="1:24">
      <c r="A96" s="28">
        <f>IF(B96="","",LoyaltyPrefix&amp;TEXT(ROW()-4,"0000"))</f>
        <v>0</v>
      </c>
      <c r="C96" s="15">
        <f>IF(B96="","",IFERROR(INDEX(Clients!$B$5:$B$504,MATCH(B96,Clients!$A$5:$A$504,0)),"Not in Clients"))</f>
        <v>0</v>
      </c>
      <c r="M96" s="26">
        <f>IF(B96="","",ROUND(SUMIFS(Sales!$Y$5:$Y$1204,Sales!$D$5:$D$1204,B96,Sales!$B$5:$B$1204,"&gt;="&amp;IF(D96="",0,D96)),2))</f>
        <v>0</v>
      </c>
      <c r="N96" s="25">
        <f>IF(B96="","",IFERROR(INDEX(Clients!$T$5:$T$504,MATCH(B96,Clients!$A$5:$A$504,0))*1,0))</f>
        <v>0</v>
      </c>
      <c r="O96" s="25">
        <f>IF(B96="","",ROUND(M96*PointsPerUnit+IF(F96="",0,F96),0))</f>
        <v>0</v>
      </c>
      <c r="P96" s="25">
        <f>IF(B96="","",O96-IF(G96="",0,G96))</f>
        <v>0</v>
      </c>
      <c r="Q96" s="25">
        <f>IF(B96="","",IF(RewardAt&lt;=0,0,ROUNDDOWN(P96/RewardAt,0)))</f>
        <v>0</v>
      </c>
      <c r="R96" s="26">
        <f>IF(B96="","",ROUND(Q96*RewardValue,2))</f>
        <v>0</v>
      </c>
      <c r="S96" s="25">
        <f>IF(B96="","",IF(RewardAt&lt;=0,"",MAX(0,RewardAt*(Q96+1)-P96)))</f>
        <v>0</v>
      </c>
      <c r="T96" s="25">
        <f>IF(B96="","",COUNTIFS(Clients!$H$5:$H$504,B96))</f>
        <v>0</v>
      </c>
      <c r="U96" s="26">
        <f>IF(B96="","",ROUND(T96*ReferralReward-IF(J96="",0,J96),2))</f>
        <v>0</v>
      </c>
      <c r="V96" s="15">
        <f>IF(B96="","",IFERROR(INDEX(Clients!$AM$5:$AM$504,MATCH(B96,Clients!$A$5:$A$504,0))&amp;"",""))</f>
        <v>0</v>
      </c>
      <c r="W96" s="25">
        <f>IF(B96="","",COUNTIFS($P$5:$P$504,"&gt;"&amp;P96)+COUNTIFS($P$5:P96,P96))</f>
        <v>0</v>
      </c>
      <c r="X96" s="39">
        <f>IF(B96="","",IF(K96="No","",IF(COUNTIF($B$5:$B$504,B96)&gt;1,"Duplicate - this client is on twice",IF(Q96&gt;0,"Action - reward ready to give",IF(U96&gt;0.004,"Action - referral credit owed",IF(V96="Lapsing","Chase - points are a reason to call",IF(S96&lt;=RewardAt*0.2,"Rebook - nearly at a reward","OK")))))))</f>
        <v>0</v>
      </c>
    </row>
    <row r="97" spans="1:24">
      <c r="A97" s="28">
        <f>IF(B97="","",LoyaltyPrefix&amp;TEXT(ROW()-4,"0000"))</f>
        <v>0</v>
      </c>
      <c r="C97" s="15">
        <f>IF(B97="","",IFERROR(INDEX(Clients!$B$5:$B$504,MATCH(B97,Clients!$A$5:$A$504,0)),"Not in Clients"))</f>
        <v>0</v>
      </c>
      <c r="M97" s="26">
        <f>IF(B97="","",ROUND(SUMIFS(Sales!$Y$5:$Y$1204,Sales!$D$5:$D$1204,B97,Sales!$B$5:$B$1204,"&gt;="&amp;IF(D97="",0,D97)),2))</f>
        <v>0</v>
      </c>
      <c r="N97" s="25">
        <f>IF(B97="","",IFERROR(INDEX(Clients!$T$5:$T$504,MATCH(B97,Clients!$A$5:$A$504,0))*1,0))</f>
        <v>0</v>
      </c>
      <c r="O97" s="25">
        <f>IF(B97="","",ROUND(M97*PointsPerUnit+IF(F97="",0,F97),0))</f>
        <v>0</v>
      </c>
      <c r="P97" s="25">
        <f>IF(B97="","",O97-IF(G97="",0,G97))</f>
        <v>0</v>
      </c>
      <c r="Q97" s="25">
        <f>IF(B97="","",IF(RewardAt&lt;=0,0,ROUNDDOWN(P97/RewardAt,0)))</f>
        <v>0</v>
      </c>
      <c r="R97" s="26">
        <f>IF(B97="","",ROUND(Q97*RewardValue,2))</f>
        <v>0</v>
      </c>
      <c r="S97" s="25">
        <f>IF(B97="","",IF(RewardAt&lt;=0,"",MAX(0,RewardAt*(Q97+1)-P97)))</f>
        <v>0</v>
      </c>
      <c r="T97" s="25">
        <f>IF(B97="","",COUNTIFS(Clients!$H$5:$H$504,B97))</f>
        <v>0</v>
      </c>
      <c r="U97" s="26">
        <f>IF(B97="","",ROUND(T97*ReferralReward-IF(J97="",0,J97),2))</f>
        <v>0</v>
      </c>
      <c r="V97" s="15">
        <f>IF(B97="","",IFERROR(INDEX(Clients!$AM$5:$AM$504,MATCH(B97,Clients!$A$5:$A$504,0))&amp;"",""))</f>
        <v>0</v>
      </c>
      <c r="W97" s="25">
        <f>IF(B97="","",COUNTIFS($P$5:$P$504,"&gt;"&amp;P97)+COUNTIFS($P$5:P97,P97))</f>
        <v>0</v>
      </c>
      <c r="X97" s="39">
        <f>IF(B97="","",IF(K97="No","",IF(COUNTIF($B$5:$B$504,B97)&gt;1,"Duplicate - this client is on twice",IF(Q97&gt;0,"Action - reward ready to give",IF(U97&gt;0.004,"Action - referral credit owed",IF(V97="Lapsing","Chase - points are a reason to call",IF(S97&lt;=RewardAt*0.2,"Rebook - nearly at a reward","OK")))))))</f>
        <v>0</v>
      </c>
    </row>
    <row r="98" spans="1:24">
      <c r="A98" s="28">
        <f>IF(B98="","",LoyaltyPrefix&amp;TEXT(ROW()-4,"0000"))</f>
        <v>0</v>
      </c>
      <c r="C98" s="15">
        <f>IF(B98="","",IFERROR(INDEX(Clients!$B$5:$B$504,MATCH(B98,Clients!$A$5:$A$504,0)),"Not in Clients"))</f>
        <v>0</v>
      </c>
      <c r="M98" s="26">
        <f>IF(B98="","",ROUND(SUMIFS(Sales!$Y$5:$Y$1204,Sales!$D$5:$D$1204,B98,Sales!$B$5:$B$1204,"&gt;="&amp;IF(D98="",0,D98)),2))</f>
        <v>0</v>
      </c>
      <c r="N98" s="25">
        <f>IF(B98="","",IFERROR(INDEX(Clients!$T$5:$T$504,MATCH(B98,Clients!$A$5:$A$504,0))*1,0))</f>
        <v>0</v>
      </c>
      <c r="O98" s="25">
        <f>IF(B98="","",ROUND(M98*PointsPerUnit+IF(F98="",0,F98),0))</f>
        <v>0</v>
      </c>
      <c r="P98" s="25">
        <f>IF(B98="","",O98-IF(G98="",0,G98))</f>
        <v>0</v>
      </c>
      <c r="Q98" s="25">
        <f>IF(B98="","",IF(RewardAt&lt;=0,0,ROUNDDOWN(P98/RewardAt,0)))</f>
        <v>0</v>
      </c>
      <c r="R98" s="26">
        <f>IF(B98="","",ROUND(Q98*RewardValue,2))</f>
        <v>0</v>
      </c>
      <c r="S98" s="25">
        <f>IF(B98="","",IF(RewardAt&lt;=0,"",MAX(0,RewardAt*(Q98+1)-P98)))</f>
        <v>0</v>
      </c>
      <c r="T98" s="25">
        <f>IF(B98="","",COUNTIFS(Clients!$H$5:$H$504,B98))</f>
        <v>0</v>
      </c>
      <c r="U98" s="26">
        <f>IF(B98="","",ROUND(T98*ReferralReward-IF(J98="",0,J98),2))</f>
        <v>0</v>
      </c>
      <c r="V98" s="15">
        <f>IF(B98="","",IFERROR(INDEX(Clients!$AM$5:$AM$504,MATCH(B98,Clients!$A$5:$A$504,0))&amp;"",""))</f>
        <v>0</v>
      </c>
      <c r="W98" s="25">
        <f>IF(B98="","",COUNTIFS($P$5:$P$504,"&gt;"&amp;P98)+COUNTIFS($P$5:P98,P98))</f>
        <v>0</v>
      </c>
      <c r="X98" s="39">
        <f>IF(B98="","",IF(K98="No","",IF(COUNTIF($B$5:$B$504,B98)&gt;1,"Duplicate - this client is on twice",IF(Q98&gt;0,"Action - reward ready to give",IF(U98&gt;0.004,"Action - referral credit owed",IF(V98="Lapsing","Chase - points are a reason to call",IF(S98&lt;=RewardAt*0.2,"Rebook - nearly at a reward","OK")))))))</f>
        <v>0</v>
      </c>
    </row>
    <row r="99" spans="1:24">
      <c r="A99" s="28">
        <f>IF(B99="","",LoyaltyPrefix&amp;TEXT(ROW()-4,"0000"))</f>
        <v>0</v>
      </c>
      <c r="C99" s="15">
        <f>IF(B99="","",IFERROR(INDEX(Clients!$B$5:$B$504,MATCH(B99,Clients!$A$5:$A$504,0)),"Not in Clients"))</f>
        <v>0</v>
      </c>
      <c r="M99" s="26">
        <f>IF(B99="","",ROUND(SUMIFS(Sales!$Y$5:$Y$1204,Sales!$D$5:$D$1204,B99,Sales!$B$5:$B$1204,"&gt;="&amp;IF(D99="",0,D99)),2))</f>
        <v>0</v>
      </c>
      <c r="N99" s="25">
        <f>IF(B99="","",IFERROR(INDEX(Clients!$T$5:$T$504,MATCH(B99,Clients!$A$5:$A$504,0))*1,0))</f>
        <v>0</v>
      </c>
      <c r="O99" s="25">
        <f>IF(B99="","",ROUND(M99*PointsPerUnit+IF(F99="",0,F99),0))</f>
        <v>0</v>
      </c>
      <c r="P99" s="25">
        <f>IF(B99="","",O99-IF(G99="",0,G99))</f>
        <v>0</v>
      </c>
      <c r="Q99" s="25">
        <f>IF(B99="","",IF(RewardAt&lt;=0,0,ROUNDDOWN(P99/RewardAt,0)))</f>
        <v>0</v>
      </c>
      <c r="R99" s="26">
        <f>IF(B99="","",ROUND(Q99*RewardValue,2))</f>
        <v>0</v>
      </c>
      <c r="S99" s="25">
        <f>IF(B99="","",IF(RewardAt&lt;=0,"",MAX(0,RewardAt*(Q99+1)-P99)))</f>
        <v>0</v>
      </c>
      <c r="T99" s="25">
        <f>IF(B99="","",COUNTIFS(Clients!$H$5:$H$504,B99))</f>
        <v>0</v>
      </c>
      <c r="U99" s="26">
        <f>IF(B99="","",ROUND(T99*ReferralReward-IF(J99="",0,J99),2))</f>
        <v>0</v>
      </c>
      <c r="V99" s="15">
        <f>IF(B99="","",IFERROR(INDEX(Clients!$AM$5:$AM$504,MATCH(B99,Clients!$A$5:$A$504,0))&amp;"",""))</f>
        <v>0</v>
      </c>
      <c r="W99" s="25">
        <f>IF(B99="","",COUNTIFS($P$5:$P$504,"&gt;"&amp;P99)+COUNTIFS($P$5:P99,P99))</f>
        <v>0</v>
      </c>
      <c r="X99" s="39">
        <f>IF(B99="","",IF(K99="No","",IF(COUNTIF($B$5:$B$504,B99)&gt;1,"Duplicate - this client is on twice",IF(Q99&gt;0,"Action - reward ready to give",IF(U99&gt;0.004,"Action - referral credit owed",IF(V99="Lapsing","Chase - points are a reason to call",IF(S99&lt;=RewardAt*0.2,"Rebook - nearly at a reward","OK")))))))</f>
        <v>0</v>
      </c>
    </row>
    <row r="100" spans="1:24">
      <c r="A100" s="28">
        <f>IF(B100="","",LoyaltyPrefix&amp;TEXT(ROW()-4,"0000"))</f>
        <v>0</v>
      </c>
      <c r="C100" s="15">
        <f>IF(B100="","",IFERROR(INDEX(Clients!$B$5:$B$504,MATCH(B100,Clients!$A$5:$A$504,0)),"Not in Clients"))</f>
        <v>0</v>
      </c>
      <c r="M100" s="26">
        <f>IF(B100="","",ROUND(SUMIFS(Sales!$Y$5:$Y$1204,Sales!$D$5:$D$1204,B100,Sales!$B$5:$B$1204,"&gt;="&amp;IF(D100="",0,D100)),2))</f>
        <v>0</v>
      </c>
      <c r="N100" s="25">
        <f>IF(B100="","",IFERROR(INDEX(Clients!$T$5:$T$504,MATCH(B100,Clients!$A$5:$A$504,0))*1,0))</f>
        <v>0</v>
      </c>
      <c r="O100" s="25">
        <f>IF(B100="","",ROUND(M100*PointsPerUnit+IF(F100="",0,F100),0))</f>
        <v>0</v>
      </c>
      <c r="P100" s="25">
        <f>IF(B100="","",O100-IF(G100="",0,G100))</f>
        <v>0</v>
      </c>
      <c r="Q100" s="25">
        <f>IF(B100="","",IF(RewardAt&lt;=0,0,ROUNDDOWN(P100/RewardAt,0)))</f>
        <v>0</v>
      </c>
      <c r="R100" s="26">
        <f>IF(B100="","",ROUND(Q100*RewardValue,2))</f>
        <v>0</v>
      </c>
      <c r="S100" s="25">
        <f>IF(B100="","",IF(RewardAt&lt;=0,"",MAX(0,RewardAt*(Q100+1)-P100)))</f>
        <v>0</v>
      </c>
      <c r="T100" s="25">
        <f>IF(B100="","",COUNTIFS(Clients!$H$5:$H$504,B100))</f>
        <v>0</v>
      </c>
      <c r="U100" s="26">
        <f>IF(B100="","",ROUND(T100*ReferralReward-IF(J100="",0,J100),2))</f>
        <v>0</v>
      </c>
      <c r="V100" s="15">
        <f>IF(B100="","",IFERROR(INDEX(Clients!$AM$5:$AM$504,MATCH(B100,Clients!$A$5:$A$504,0))&amp;"",""))</f>
        <v>0</v>
      </c>
      <c r="W100" s="25">
        <f>IF(B100="","",COUNTIFS($P$5:$P$504,"&gt;"&amp;P100)+COUNTIFS($P$5:P100,P100))</f>
        <v>0</v>
      </c>
      <c r="X100" s="39">
        <f>IF(B100="","",IF(K100="No","",IF(COUNTIF($B$5:$B$504,B100)&gt;1,"Duplicate - this client is on twice",IF(Q100&gt;0,"Action - reward ready to give",IF(U100&gt;0.004,"Action - referral credit owed",IF(V100="Lapsing","Chase - points are a reason to call",IF(S100&lt;=RewardAt*0.2,"Rebook - nearly at a reward","OK")))))))</f>
        <v>0</v>
      </c>
    </row>
    <row r="101" spans="1:24">
      <c r="A101" s="28">
        <f>IF(B101="","",LoyaltyPrefix&amp;TEXT(ROW()-4,"0000"))</f>
        <v>0</v>
      </c>
      <c r="C101" s="15">
        <f>IF(B101="","",IFERROR(INDEX(Clients!$B$5:$B$504,MATCH(B101,Clients!$A$5:$A$504,0)),"Not in Clients"))</f>
        <v>0</v>
      </c>
      <c r="M101" s="26">
        <f>IF(B101="","",ROUND(SUMIFS(Sales!$Y$5:$Y$1204,Sales!$D$5:$D$1204,B101,Sales!$B$5:$B$1204,"&gt;="&amp;IF(D101="",0,D101)),2))</f>
        <v>0</v>
      </c>
      <c r="N101" s="25">
        <f>IF(B101="","",IFERROR(INDEX(Clients!$T$5:$T$504,MATCH(B101,Clients!$A$5:$A$504,0))*1,0))</f>
        <v>0</v>
      </c>
      <c r="O101" s="25">
        <f>IF(B101="","",ROUND(M101*PointsPerUnit+IF(F101="",0,F101),0))</f>
        <v>0</v>
      </c>
      <c r="P101" s="25">
        <f>IF(B101="","",O101-IF(G101="",0,G101))</f>
        <v>0</v>
      </c>
      <c r="Q101" s="25">
        <f>IF(B101="","",IF(RewardAt&lt;=0,0,ROUNDDOWN(P101/RewardAt,0)))</f>
        <v>0</v>
      </c>
      <c r="R101" s="26">
        <f>IF(B101="","",ROUND(Q101*RewardValue,2))</f>
        <v>0</v>
      </c>
      <c r="S101" s="25">
        <f>IF(B101="","",IF(RewardAt&lt;=0,"",MAX(0,RewardAt*(Q101+1)-P101)))</f>
        <v>0</v>
      </c>
      <c r="T101" s="25">
        <f>IF(B101="","",COUNTIFS(Clients!$H$5:$H$504,B101))</f>
        <v>0</v>
      </c>
      <c r="U101" s="26">
        <f>IF(B101="","",ROUND(T101*ReferralReward-IF(J101="",0,J101),2))</f>
        <v>0</v>
      </c>
      <c r="V101" s="15">
        <f>IF(B101="","",IFERROR(INDEX(Clients!$AM$5:$AM$504,MATCH(B101,Clients!$A$5:$A$504,0))&amp;"",""))</f>
        <v>0</v>
      </c>
      <c r="W101" s="25">
        <f>IF(B101="","",COUNTIFS($P$5:$P$504,"&gt;"&amp;P101)+COUNTIFS($P$5:P101,P101))</f>
        <v>0</v>
      </c>
      <c r="X101" s="39">
        <f>IF(B101="","",IF(K101="No","",IF(COUNTIF($B$5:$B$504,B101)&gt;1,"Duplicate - this client is on twice",IF(Q101&gt;0,"Action - reward ready to give",IF(U101&gt;0.004,"Action - referral credit owed",IF(V101="Lapsing","Chase - points are a reason to call",IF(S101&lt;=RewardAt*0.2,"Rebook - nearly at a reward","OK")))))))</f>
        <v>0</v>
      </c>
    </row>
    <row r="102" spans="1:24">
      <c r="A102" s="28">
        <f>IF(B102="","",LoyaltyPrefix&amp;TEXT(ROW()-4,"0000"))</f>
        <v>0</v>
      </c>
      <c r="C102" s="15">
        <f>IF(B102="","",IFERROR(INDEX(Clients!$B$5:$B$504,MATCH(B102,Clients!$A$5:$A$504,0)),"Not in Clients"))</f>
        <v>0</v>
      </c>
      <c r="M102" s="26">
        <f>IF(B102="","",ROUND(SUMIFS(Sales!$Y$5:$Y$1204,Sales!$D$5:$D$1204,B102,Sales!$B$5:$B$1204,"&gt;="&amp;IF(D102="",0,D102)),2))</f>
        <v>0</v>
      </c>
      <c r="N102" s="25">
        <f>IF(B102="","",IFERROR(INDEX(Clients!$T$5:$T$504,MATCH(B102,Clients!$A$5:$A$504,0))*1,0))</f>
        <v>0</v>
      </c>
      <c r="O102" s="25">
        <f>IF(B102="","",ROUND(M102*PointsPerUnit+IF(F102="",0,F102),0))</f>
        <v>0</v>
      </c>
      <c r="P102" s="25">
        <f>IF(B102="","",O102-IF(G102="",0,G102))</f>
        <v>0</v>
      </c>
      <c r="Q102" s="25">
        <f>IF(B102="","",IF(RewardAt&lt;=0,0,ROUNDDOWN(P102/RewardAt,0)))</f>
        <v>0</v>
      </c>
      <c r="R102" s="26">
        <f>IF(B102="","",ROUND(Q102*RewardValue,2))</f>
        <v>0</v>
      </c>
      <c r="S102" s="25">
        <f>IF(B102="","",IF(RewardAt&lt;=0,"",MAX(0,RewardAt*(Q102+1)-P102)))</f>
        <v>0</v>
      </c>
      <c r="T102" s="25">
        <f>IF(B102="","",COUNTIFS(Clients!$H$5:$H$504,B102))</f>
        <v>0</v>
      </c>
      <c r="U102" s="26">
        <f>IF(B102="","",ROUND(T102*ReferralReward-IF(J102="",0,J102),2))</f>
        <v>0</v>
      </c>
      <c r="V102" s="15">
        <f>IF(B102="","",IFERROR(INDEX(Clients!$AM$5:$AM$504,MATCH(B102,Clients!$A$5:$A$504,0))&amp;"",""))</f>
        <v>0</v>
      </c>
      <c r="W102" s="25">
        <f>IF(B102="","",COUNTIFS($P$5:$P$504,"&gt;"&amp;P102)+COUNTIFS($P$5:P102,P102))</f>
        <v>0</v>
      </c>
      <c r="X102" s="39">
        <f>IF(B102="","",IF(K102="No","",IF(COUNTIF($B$5:$B$504,B102)&gt;1,"Duplicate - this client is on twice",IF(Q102&gt;0,"Action - reward ready to give",IF(U102&gt;0.004,"Action - referral credit owed",IF(V102="Lapsing","Chase - points are a reason to call",IF(S102&lt;=RewardAt*0.2,"Rebook - nearly at a reward","OK")))))))</f>
        <v>0</v>
      </c>
    </row>
    <row r="103" spans="1:24">
      <c r="A103" s="28">
        <f>IF(B103="","",LoyaltyPrefix&amp;TEXT(ROW()-4,"0000"))</f>
        <v>0</v>
      </c>
      <c r="C103" s="15">
        <f>IF(B103="","",IFERROR(INDEX(Clients!$B$5:$B$504,MATCH(B103,Clients!$A$5:$A$504,0)),"Not in Clients"))</f>
        <v>0</v>
      </c>
      <c r="M103" s="26">
        <f>IF(B103="","",ROUND(SUMIFS(Sales!$Y$5:$Y$1204,Sales!$D$5:$D$1204,B103,Sales!$B$5:$B$1204,"&gt;="&amp;IF(D103="",0,D103)),2))</f>
        <v>0</v>
      </c>
      <c r="N103" s="25">
        <f>IF(B103="","",IFERROR(INDEX(Clients!$T$5:$T$504,MATCH(B103,Clients!$A$5:$A$504,0))*1,0))</f>
        <v>0</v>
      </c>
      <c r="O103" s="25">
        <f>IF(B103="","",ROUND(M103*PointsPerUnit+IF(F103="",0,F103),0))</f>
        <v>0</v>
      </c>
      <c r="P103" s="25">
        <f>IF(B103="","",O103-IF(G103="",0,G103))</f>
        <v>0</v>
      </c>
      <c r="Q103" s="25">
        <f>IF(B103="","",IF(RewardAt&lt;=0,0,ROUNDDOWN(P103/RewardAt,0)))</f>
        <v>0</v>
      </c>
      <c r="R103" s="26">
        <f>IF(B103="","",ROUND(Q103*RewardValue,2))</f>
        <v>0</v>
      </c>
      <c r="S103" s="25">
        <f>IF(B103="","",IF(RewardAt&lt;=0,"",MAX(0,RewardAt*(Q103+1)-P103)))</f>
        <v>0</v>
      </c>
      <c r="T103" s="25">
        <f>IF(B103="","",COUNTIFS(Clients!$H$5:$H$504,B103))</f>
        <v>0</v>
      </c>
      <c r="U103" s="26">
        <f>IF(B103="","",ROUND(T103*ReferralReward-IF(J103="",0,J103),2))</f>
        <v>0</v>
      </c>
      <c r="V103" s="15">
        <f>IF(B103="","",IFERROR(INDEX(Clients!$AM$5:$AM$504,MATCH(B103,Clients!$A$5:$A$504,0))&amp;"",""))</f>
        <v>0</v>
      </c>
      <c r="W103" s="25">
        <f>IF(B103="","",COUNTIFS($P$5:$P$504,"&gt;"&amp;P103)+COUNTIFS($P$5:P103,P103))</f>
        <v>0</v>
      </c>
      <c r="X103" s="39">
        <f>IF(B103="","",IF(K103="No","",IF(COUNTIF($B$5:$B$504,B103)&gt;1,"Duplicate - this client is on twice",IF(Q103&gt;0,"Action - reward ready to give",IF(U103&gt;0.004,"Action - referral credit owed",IF(V103="Lapsing","Chase - points are a reason to call",IF(S103&lt;=RewardAt*0.2,"Rebook - nearly at a reward","OK")))))))</f>
        <v>0</v>
      </c>
    </row>
    <row r="104" spans="1:24">
      <c r="A104" s="28">
        <f>IF(B104="","",LoyaltyPrefix&amp;TEXT(ROW()-4,"0000"))</f>
        <v>0</v>
      </c>
      <c r="C104" s="15">
        <f>IF(B104="","",IFERROR(INDEX(Clients!$B$5:$B$504,MATCH(B104,Clients!$A$5:$A$504,0)),"Not in Clients"))</f>
        <v>0</v>
      </c>
      <c r="M104" s="26">
        <f>IF(B104="","",ROUND(SUMIFS(Sales!$Y$5:$Y$1204,Sales!$D$5:$D$1204,B104,Sales!$B$5:$B$1204,"&gt;="&amp;IF(D104="",0,D104)),2))</f>
        <v>0</v>
      </c>
      <c r="N104" s="25">
        <f>IF(B104="","",IFERROR(INDEX(Clients!$T$5:$T$504,MATCH(B104,Clients!$A$5:$A$504,0))*1,0))</f>
        <v>0</v>
      </c>
      <c r="O104" s="25">
        <f>IF(B104="","",ROUND(M104*PointsPerUnit+IF(F104="",0,F104),0))</f>
        <v>0</v>
      </c>
      <c r="P104" s="25">
        <f>IF(B104="","",O104-IF(G104="",0,G104))</f>
        <v>0</v>
      </c>
      <c r="Q104" s="25">
        <f>IF(B104="","",IF(RewardAt&lt;=0,0,ROUNDDOWN(P104/RewardAt,0)))</f>
        <v>0</v>
      </c>
      <c r="R104" s="26">
        <f>IF(B104="","",ROUND(Q104*RewardValue,2))</f>
        <v>0</v>
      </c>
      <c r="S104" s="25">
        <f>IF(B104="","",IF(RewardAt&lt;=0,"",MAX(0,RewardAt*(Q104+1)-P104)))</f>
        <v>0</v>
      </c>
      <c r="T104" s="25">
        <f>IF(B104="","",COUNTIFS(Clients!$H$5:$H$504,B104))</f>
        <v>0</v>
      </c>
      <c r="U104" s="26">
        <f>IF(B104="","",ROUND(T104*ReferralReward-IF(J104="",0,J104),2))</f>
        <v>0</v>
      </c>
      <c r="V104" s="15">
        <f>IF(B104="","",IFERROR(INDEX(Clients!$AM$5:$AM$504,MATCH(B104,Clients!$A$5:$A$504,0))&amp;"",""))</f>
        <v>0</v>
      </c>
      <c r="W104" s="25">
        <f>IF(B104="","",COUNTIFS($P$5:$P$504,"&gt;"&amp;P104)+COUNTIFS($P$5:P104,P104))</f>
        <v>0</v>
      </c>
      <c r="X104" s="39">
        <f>IF(B104="","",IF(K104="No","",IF(COUNTIF($B$5:$B$504,B104)&gt;1,"Duplicate - this client is on twice",IF(Q104&gt;0,"Action - reward ready to give",IF(U104&gt;0.004,"Action - referral credit owed",IF(V104="Lapsing","Chase - points are a reason to call",IF(S104&lt;=RewardAt*0.2,"Rebook - nearly at a reward","OK")))))))</f>
        <v>0</v>
      </c>
    </row>
    <row r="105" spans="1:24">
      <c r="A105" s="28">
        <f>IF(B105="","",LoyaltyPrefix&amp;TEXT(ROW()-4,"0000"))</f>
        <v>0</v>
      </c>
      <c r="C105" s="15">
        <f>IF(B105="","",IFERROR(INDEX(Clients!$B$5:$B$504,MATCH(B105,Clients!$A$5:$A$504,0)),"Not in Clients"))</f>
        <v>0</v>
      </c>
      <c r="M105" s="26">
        <f>IF(B105="","",ROUND(SUMIFS(Sales!$Y$5:$Y$1204,Sales!$D$5:$D$1204,B105,Sales!$B$5:$B$1204,"&gt;="&amp;IF(D105="",0,D105)),2))</f>
        <v>0</v>
      </c>
      <c r="N105" s="25">
        <f>IF(B105="","",IFERROR(INDEX(Clients!$T$5:$T$504,MATCH(B105,Clients!$A$5:$A$504,0))*1,0))</f>
        <v>0</v>
      </c>
      <c r="O105" s="25">
        <f>IF(B105="","",ROUND(M105*PointsPerUnit+IF(F105="",0,F105),0))</f>
        <v>0</v>
      </c>
      <c r="P105" s="25">
        <f>IF(B105="","",O105-IF(G105="",0,G105))</f>
        <v>0</v>
      </c>
      <c r="Q105" s="25">
        <f>IF(B105="","",IF(RewardAt&lt;=0,0,ROUNDDOWN(P105/RewardAt,0)))</f>
        <v>0</v>
      </c>
      <c r="R105" s="26">
        <f>IF(B105="","",ROUND(Q105*RewardValue,2))</f>
        <v>0</v>
      </c>
      <c r="S105" s="25">
        <f>IF(B105="","",IF(RewardAt&lt;=0,"",MAX(0,RewardAt*(Q105+1)-P105)))</f>
        <v>0</v>
      </c>
      <c r="T105" s="25">
        <f>IF(B105="","",COUNTIFS(Clients!$H$5:$H$504,B105))</f>
        <v>0</v>
      </c>
      <c r="U105" s="26">
        <f>IF(B105="","",ROUND(T105*ReferralReward-IF(J105="",0,J105),2))</f>
        <v>0</v>
      </c>
      <c r="V105" s="15">
        <f>IF(B105="","",IFERROR(INDEX(Clients!$AM$5:$AM$504,MATCH(B105,Clients!$A$5:$A$504,0))&amp;"",""))</f>
        <v>0</v>
      </c>
      <c r="W105" s="25">
        <f>IF(B105="","",COUNTIFS($P$5:$P$504,"&gt;"&amp;P105)+COUNTIFS($P$5:P105,P105))</f>
        <v>0</v>
      </c>
      <c r="X105" s="39">
        <f>IF(B105="","",IF(K105="No","",IF(COUNTIF($B$5:$B$504,B105)&gt;1,"Duplicate - this client is on twice",IF(Q105&gt;0,"Action - reward ready to give",IF(U105&gt;0.004,"Action - referral credit owed",IF(V105="Lapsing","Chase - points are a reason to call",IF(S105&lt;=RewardAt*0.2,"Rebook - nearly at a reward","OK")))))))</f>
        <v>0</v>
      </c>
    </row>
    <row r="106" spans="1:24">
      <c r="A106" s="28">
        <f>IF(B106="","",LoyaltyPrefix&amp;TEXT(ROW()-4,"0000"))</f>
        <v>0</v>
      </c>
      <c r="C106" s="15">
        <f>IF(B106="","",IFERROR(INDEX(Clients!$B$5:$B$504,MATCH(B106,Clients!$A$5:$A$504,0)),"Not in Clients"))</f>
        <v>0</v>
      </c>
      <c r="M106" s="26">
        <f>IF(B106="","",ROUND(SUMIFS(Sales!$Y$5:$Y$1204,Sales!$D$5:$D$1204,B106,Sales!$B$5:$B$1204,"&gt;="&amp;IF(D106="",0,D106)),2))</f>
        <v>0</v>
      </c>
      <c r="N106" s="25">
        <f>IF(B106="","",IFERROR(INDEX(Clients!$T$5:$T$504,MATCH(B106,Clients!$A$5:$A$504,0))*1,0))</f>
        <v>0</v>
      </c>
      <c r="O106" s="25">
        <f>IF(B106="","",ROUND(M106*PointsPerUnit+IF(F106="",0,F106),0))</f>
        <v>0</v>
      </c>
      <c r="P106" s="25">
        <f>IF(B106="","",O106-IF(G106="",0,G106))</f>
        <v>0</v>
      </c>
      <c r="Q106" s="25">
        <f>IF(B106="","",IF(RewardAt&lt;=0,0,ROUNDDOWN(P106/RewardAt,0)))</f>
        <v>0</v>
      </c>
      <c r="R106" s="26">
        <f>IF(B106="","",ROUND(Q106*RewardValue,2))</f>
        <v>0</v>
      </c>
      <c r="S106" s="25">
        <f>IF(B106="","",IF(RewardAt&lt;=0,"",MAX(0,RewardAt*(Q106+1)-P106)))</f>
        <v>0</v>
      </c>
      <c r="T106" s="25">
        <f>IF(B106="","",COUNTIFS(Clients!$H$5:$H$504,B106))</f>
        <v>0</v>
      </c>
      <c r="U106" s="26">
        <f>IF(B106="","",ROUND(T106*ReferralReward-IF(J106="",0,J106),2))</f>
        <v>0</v>
      </c>
      <c r="V106" s="15">
        <f>IF(B106="","",IFERROR(INDEX(Clients!$AM$5:$AM$504,MATCH(B106,Clients!$A$5:$A$504,0))&amp;"",""))</f>
        <v>0</v>
      </c>
      <c r="W106" s="25">
        <f>IF(B106="","",COUNTIFS($P$5:$P$504,"&gt;"&amp;P106)+COUNTIFS($P$5:P106,P106))</f>
        <v>0</v>
      </c>
      <c r="X106" s="39">
        <f>IF(B106="","",IF(K106="No","",IF(COUNTIF($B$5:$B$504,B106)&gt;1,"Duplicate - this client is on twice",IF(Q106&gt;0,"Action - reward ready to give",IF(U106&gt;0.004,"Action - referral credit owed",IF(V106="Lapsing","Chase - points are a reason to call",IF(S106&lt;=RewardAt*0.2,"Rebook - nearly at a reward","OK")))))))</f>
        <v>0</v>
      </c>
    </row>
    <row r="107" spans="1:24">
      <c r="A107" s="28">
        <f>IF(B107="","",LoyaltyPrefix&amp;TEXT(ROW()-4,"0000"))</f>
        <v>0</v>
      </c>
      <c r="C107" s="15">
        <f>IF(B107="","",IFERROR(INDEX(Clients!$B$5:$B$504,MATCH(B107,Clients!$A$5:$A$504,0)),"Not in Clients"))</f>
        <v>0</v>
      </c>
      <c r="M107" s="26">
        <f>IF(B107="","",ROUND(SUMIFS(Sales!$Y$5:$Y$1204,Sales!$D$5:$D$1204,B107,Sales!$B$5:$B$1204,"&gt;="&amp;IF(D107="",0,D107)),2))</f>
        <v>0</v>
      </c>
      <c r="N107" s="25">
        <f>IF(B107="","",IFERROR(INDEX(Clients!$T$5:$T$504,MATCH(B107,Clients!$A$5:$A$504,0))*1,0))</f>
        <v>0</v>
      </c>
      <c r="O107" s="25">
        <f>IF(B107="","",ROUND(M107*PointsPerUnit+IF(F107="",0,F107),0))</f>
        <v>0</v>
      </c>
      <c r="P107" s="25">
        <f>IF(B107="","",O107-IF(G107="",0,G107))</f>
        <v>0</v>
      </c>
      <c r="Q107" s="25">
        <f>IF(B107="","",IF(RewardAt&lt;=0,0,ROUNDDOWN(P107/RewardAt,0)))</f>
        <v>0</v>
      </c>
      <c r="R107" s="26">
        <f>IF(B107="","",ROUND(Q107*RewardValue,2))</f>
        <v>0</v>
      </c>
      <c r="S107" s="25">
        <f>IF(B107="","",IF(RewardAt&lt;=0,"",MAX(0,RewardAt*(Q107+1)-P107)))</f>
        <v>0</v>
      </c>
      <c r="T107" s="25">
        <f>IF(B107="","",COUNTIFS(Clients!$H$5:$H$504,B107))</f>
        <v>0</v>
      </c>
      <c r="U107" s="26">
        <f>IF(B107="","",ROUND(T107*ReferralReward-IF(J107="",0,J107),2))</f>
        <v>0</v>
      </c>
      <c r="V107" s="15">
        <f>IF(B107="","",IFERROR(INDEX(Clients!$AM$5:$AM$504,MATCH(B107,Clients!$A$5:$A$504,0))&amp;"",""))</f>
        <v>0</v>
      </c>
      <c r="W107" s="25">
        <f>IF(B107="","",COUNTIFS($P$5:$P$504,"&gt;"&amp;P107)+COUNTIFS($P$5:P107,P107))</f>
        <v>0</v>
      </c>
      <c r="X107" s="39">
        <f>IF(B107="","",IF(K107="No","",IF(COUNTIF($B$5:$B$504,B107)&gt;1,"Duplicate - this client is on twice",IF(Q107&gt;0,"Action - reward ready to give",IF(U107&gt;0.004,"Action - referral credit owed",IF(V107="Lapsing","Chase - points are a reason to call",IF(S107&lt;=RewardAt*0.2,"Rebook - nearly at a reward","OK")))))))</f>
        <v>0</v>
      </c>
    </row>
    <row r="108" spans="1:24">
      <c r="A108" s="28">
        <f>IF(B108="","",LoyaltyPrefix&amp;TEXT(ROW()-4,"0000"))</f>
        <v>0</v>
      </c>
      <c r="C108" s="15">
        <f>IF(B108="","",IFERROR(INDEX(Clients!$B$5:$B$504,MATCH(B108,Clients!$A$5:$A$504,0)),"Not in Clients"))</f>
        <v>0</v>
      </c>
      <c r="M108" s="26">
        <f>IF(B108="","",ROUND(SUMIFS(Sales!$Y$5:$Y$1204,Sales!$D$5:$D$1204,B108,Sales!$B$5:$B$1204,"&gt;="&amp;IF(D108="",0,D108)),2))</f>
        <v>0</v>
      </c>
      <c r="N108" s="25">
        <f>IF(B108="","",IFERROR(INDEX(Clients!$T$5:$T$504,MATCH(B108,Clients!$A$5:$A$504,0))*1,0))</f>
        <v>0</v>
      </c>
      <c r="O108" s="25">
        <f>IF(B108="","",ROUND(M108*PointsPerUnit+IF(F108="",0,F108),0))</f>
        <v>0</v>
      </c>
      <c r="P108" s="25">
        <f>IF(B108="","",O108-IF(G108="",0,G108))</f>
        <v>0</v>
      </c>
      <c r="Q108" s="25">
        <f>IF(B108="","",IF(RewardAt&lt;=0,0,ROUNDDOWN(P108/RewardAt,0)))</f>
        <v>0</v>
      </c>
      <c r="R108" s="26">
        <f>IF(B108="","",ROUND(Q108*RewardValue,2))</f>
        <v>0</v>
      </c>
      <c r="S108" s="25">
        <f>IF(B108="","",IF(RewardAt&lt;=0,"",MAX(0,RewardAt*(Q108+1)-P108)))</f>
        <v>0</v>
      </c>
      <c r="T108" s="25">
        <f>IF(B108="","",COUNTIFS(Clients!$H$5:$H$504,B108))</f>
        <v>0</v>
      </c>
      <c r="U108" s="26">
        <f>IF(B108="","",ROUND(T108*ReferralReward-IF(J108="",0,J108),2))</f>
        <v>0</v>
      </c>
      <c r="V108" s="15">
        <f>IF(B108="","",IFERROR(INDEX(Clients!$AM$5:$AM$504,MATCH(B108,Clients!$A$5:$A$504,0))&amp;"",""))</f>
        <v>0</v>
      </c>
      <c r="W108" s="25">
        <f>IF(B108="","",COUNTIFS($P$5:$P$504,"&gt;"&amp;P108)+COUNTIFS($P$5:P108,P108))</f>
        <v>0</v>
      </c>
      <c r="X108" s="39">
        <f>IF(B108="","",IF(K108="No","",IF(COUNTIF($B$5:$B$504,B108)&gt;1,"Duplicate - this client is on twice",IF(Q108&gt;0,"Action - reward ready to give",IF(U108&gt;0.004,"Action - referral credit owed",IF(V108="Lapsing","Chase - points are a reason to call",IF(S108&lt;=RewardAt*0.2,"Rebook - nearly at a reward","OK")))))))</f>
        <v>0</v>
      </c>
    </row>
    <row r="109" spans="1:24">
      <c r="A109" s="28">
        <f>IF(B109="","",LoyaltyPrefix&amp;TEXT(ROW()-4,"0000"))</f>
        <v>0</v>
      </c>
      <c r="C109" s="15">
        <f>IF(B109="","",IFERROR(INDEX(Clients!$B$5:$B$504,MATCH(B109,Clients!$A$5:$A$504,0)),"Not in Clients"))</f>
        <v>0</v>
      </c>
      <c r="M109" s="26">
        <f>IF(B109="","",ROUND(SUMIFS(Sales!$Y$5:$Y$1204,Sales!$D$5:$D$1204,B109,Sales!$B$5:$B$1204,"&gt;="&amp;IF(D109="",0,D109)),2))</f>
        <v>0</v>
      </c>
      <c r="N109" s="25">
        <f>IF(B109="","",IFERROR(INDEX(Clients!$T$5:$T$504,MATCH(B109,Clients!$A$5:$A$504,0))*1,0))</f>
        <v>0</v>
      </c>
      <c r="O109" s="25">
        <f>IF(B109="","",ROUND(M109*PointsPerUnit+IF(F109="",0,F109),0))</f>
        <v>0</v>
      </c>
      <c r="P109" s="25">
        <f>IF(B109="","",O109-IF(G109="",0,G109))</f>
        <v>0</v>
      </c>
      <c r="Q109" s="25">
        <f>IF(B109="","",IF(RewardAt&lt;=0,0,ROUNDDOWN(P109/RewardAt,0)))</f>
        <v>0</v>
      </c>
      <c r="R109" s="26">
        <f>IF(B109="","",ROUND(Q109*RewardValue,2))</f>
        <v>0</v>
      </c>
      <c r="S109" s="25">
        <f>IF(B109="","",IF(RewardAt&lt;=0,"",MAX(0,RewardAt*(Q109+1)-P109)))</f>
        <v>0</v>
      </c>
      <c r="T109" s="25">
        <f>IF(B109="","",COUNTIFS(Clients!$H$5:$H$504,B109))</f>
        <v>0</v>
      </c>
      <c r="U109" s="26">
        <f>IF(B109="","",ROUND(T109*ReferralReward-IF(J109="",0,J109),2))</f>
        <v>0</v>
      </c>
      <c r="V109" s="15">
        <f>IF(B109="","",IFERROR(INDEX(Clients!$AM$5:$AM$504,MATCH(B109,Clients!$A$5:$A$504,0))&amp;"",""))</f>
        <v>0</v>
      </c>
      <c r="W109" s="25">
        <f>IF(B109="","",COUNTIFS($P$5:$P$504,"&gt;"&amp;P109)+COUNTIFS($P$5:P109,P109))</f>
        <v>0</v>
      </c>
      <c r="X109" s="39">
        <f>IF(B109="","",IF(K109="No","",IF(COUNTIF($B$5:$B$504,B109)&gt;1,"Duplicate - this client is on twice",IF(Q109&gt;0,"Action - reward ready to give",IF(U109&gt;0.004,"Action - referral credit owed",IF(V109="Lapsing","Chase - points are a reason to call",IF(S109&lt;=RewardAt*0.2,"Rebook - nearly at a reward","OK")))))))</f>
        <v>0</v>
      </c>
    </row>
    <row r="110" spans="1:24">
      <c r="A110" s="28">
        <f>IF(B110="","",LoyaltyPrefix&amp;TEXT(ROW()-4,"0000"))</f>
        <v>0</v>
      </c>
      <c r="C110" s="15">
        <f>IF(B110="","",IFERROR(INDEX(Clients!$B$5:$B$504,MATCH(B110,Clients!$A$5:$A$504,0)),"Not in Clients"))</f>
        <v>0</v>
      </c>
      <c r="M110" s="26">
        <f>IF(B110="","",ROUND(SUMIFS(Sales!$Y$5:$Y$1204,Sales!$D$5:$D$1204,B110,Sales!$B$5:$B$1204,"&gt;="&amp;IF(D110="",0,D110)),2))</f>
        <v>0</v>
      </c>
      <c r="N110" s="25">
        <f>IF(B110="","",IFERROR(INDEX(Clients!$T$5:$T$504,MATCH(B110,Clients!$A$5:$A$504,0))*1,0))</f>
        <v>0</v>
      </c>
      <c r="O110" s="25">
        <f>IF(B110="","",ROUND(M110*PointsPerUnit+IF(F110="",0,F110),0))</f>
        <v>0</v>
      </c>
      <c r="P110" s="25">
        <f>IF(B110="","",O110-IF(G110="",0,G110))</f>
        <v>0</v>
      </c>
      <c r="Q110" s="25">
        <f>IF(B110="","",IF(RewardAt&lt;=0,0,ROUNDDOWN(P110/RewardAt,0)))</f>
        <v>0</v>
      </c>
      <c r="R110" s="26">
        <f>IF(B110="","",ROUND(Q110*RewardValue,2))</f>
        <v>0</v>
      </c>
      <c r="S110" s="25">
        <f>IF(B110="","",IF(RewardAt&lt;=0,"",MAX(0,RewardAt*(Q110+1)-P110)))</f>
        <v>0</v>
      </c>
      <c r="T110" s="25">
        <f>IF(B110="","",COUNTIFS(Clients!$H$5:$H$504,B110))</f>
        <v>0</v>
      </c>
      <c r="U110" s="26">
        <f>IF(B110="","",ROUND(T110*ReferralReward-IF(J110="",0,J110),2))</f>
        <v>0</v>
      </c>
      <c r="V110" s="15">
        <f>IF(B110="","",IFERROR(INDEX(Clients!$AM$5:$AM$504,MATCH(B110,Clients!$A$5:$A$504,0))&amp;"",""))</f>
        <v>0</v>
      </c>
      <c r="W110" s="25">
        <f>IF(B110="","",COUNTIFS($P$5:$P$504,"&gt;"&amp;P110)+COUNTIFS($P$5:P110,P110))</f>
        <v>0</v>
      </c>
      <c r="X110" s="39">
        <f>IF(B110="","",IF(K110="No","",IF(COUNTIF($B$5:$B$504,B110)&gt;1,"Duplicate - this client is on twice",IF(Q110&gt;0,"Action - reward ready to give",IF(U110&gt;0.004,"Action - referral credit owed",IF(V110="Lapsing","Chase - points are a reason to call",IF(S110&lt;=RewardAt*0.2,"Rebook - nearly at a reward","OK")))))))</f>
        <v>0</v>
      </c>
    </row>
    <row r="111" spans="1:24">
      <c r="A111" s="28">
        <f>IF(B111="","",LoyaltyPrefix&amp;TEXT(ROW()-4,"0000"))</f>
        <v>0</v>
      </c>
      <c r="C111" s="15">
        <f>IF(B111="","",IFERROR(INDEX(Clients!$B$5:$B$504,MATCH(B111,Clients!$A$5:$A$504,0)),"Not in Clients"))</f>
        <v>0</v>
      </c>
      <c r="M111" s="26">
        <f>IF(B111="","",ROUND(SUMIFS(Sales!$Y$5:$Y$1204,Sales!$D$5:$D$1204,B111,Sales!$B$5:$B$1204,"&gt;="&amp;IF(D111="",0,D111)),2))</f>
        <v>0</v>
      </c>
      <c r="N111" s="25">
        <f>IF(B111="","",IFERROR(INDEX(Clients!$T$5:$T$504,MATCH(B111,Clients!$A$5:$A$504,0))*1,0))</f>
        <v>0</v>
      </c>
      <c r="O111" s="25">
        <f>IF(B111="","",ROUND(M111*PointsPerUnit+IF(F111="",0,F111),0))</f>
        <v>0</v>
      </c>
      <c r="P111" s="25">
        <f>IF(B111="","",O111-IF(G111="",0,G111))</f>
        <v>0</v>
      </c>
      <c r="Q111" s="25">
        <f>IF(B111="","",IF(RewardAt&lt;=0,0,ROUNDDOWN(P111/RewardAt,0)))</f>
        <v>0</v>
      </c>
      <c r="R111" s="26">
        <f>IF(B111="","",ROUND(Q111*RewardValue,2))</f>
        <v>0</v>
      </c>
      <c r="S111" s="25">
        <f>IF(B111="","",IF(RewardAt&lt;=0,"",MAX(0,RewardAt*(Q111+1)-P111)))</f>
        <v>0</v>
      </c>
      <c r="T111" s="25">
        <f>IF(B111="","",COUNTIFS(Clients!$H$5:$H$504,B111))</f>
        <v>0</v>
      </c>
      <c r="U111" s="26">
        <f>IF(B111="","",ROUND(T111*ReferralReward-IF(J111="",0,J111),2))</f>
        <v>0</v>
      </c>
      <c r="V111" s="15">
        <f>IF(B111="","",IFERROR(INDEX(Clients!$AM$5:$AM$504,MATCH(B111,Clients!$A$5:$A$504,0))&amp;"",""))</f>
        <v>0</v>
      </c>
      <c r="W111" s="25">
        <f>IF(B111="","",COUNTIFS($P$5:$P$504,"&gt;"&amp;P111)+COUNTIFS($P$5:P111,P111))</f>
        <v>0</v>
      </c>
      <c r="X111" s="39">
        <f>IF(B111="","",IF(K111="No","",IF(COUNTIF($B$5:$B$504,B111)&gt;1,"Duplicate - this client is on twice",IF(Q111&gt;0,"Action - reward ready to give",IF(U111&gt;0.004,"Action - referral credit owed",IF(V111="Lapsing","Chase - points are a reason to call",IF(S111&lt;=RewardAt*0.2,"Rebook - nearly at a reward","OK")))))))</f>
        <v>0</v>
      </c>
    </row>
    <row r="112" spans="1:24">
      <c r="A112" s="28">
        <f>IF(B112="","",LoyaltyPrefix&amp;TEXT(ROW()-4,"0000"))</f>
        <v>0</v>
      </c>
      <c r="C112" s="15">
        <f>IF(B112="","",IFERROR(INDEX(Clients!$B$5:$B$504,MATCH(B112,Clients!$A$5:$A$504,0)),"Not in Clients"))</f>
        <v>0</v>
      </c>
      <c r="M112" s="26">
        <f>IF(B112="","",ROUND(SUMIFS(Sales!$Y$5:$Y$1204,Sales!$D$5:$D$1204,B112,Sales!$B$5:$B$1204,"&gt;="&amp;IF(D112="",0,D112)),2))</f>
        <v>0</v>
      </c>
      <c r="N112" s="25">
        <f>IF(B112="","",IFERROR(INDEX(Clients!$T$5:$T$504,MATCH(B112,Clients!$A$5:$A$504,0))*1,0))</f>
        <v>0</v>
      </c>
      <c r="O112" s="25">
        <f>IF(B112="","",ROUND(M112*PointsPerUnit+IF(F112="",0,F112),0))</f>
        <v>0</v>
      </c>
      <c r="P112" s="25">
        <f>IF(B112="","",O112-IF(G112="",0,G112))</f>
        <v>0</v>
      </c>
      <c r="Q112" s="25">
        <f>IF(B112="","",IF(RewardAt&lt;=0,0,ROUNDDOWN(P112/RewardAt,0)))</f>
        <v>0</v>
      </c>
      <c r="R112" s="26">
        <f>IF(B112="","",ROUND(Q112*RewardValue,2))</f>
        <v>0</v>
      </c>
      <c r="S112" s="25">
        <f>IF(B112="","",IF(RewardAt&lt;=0,"",MAX(0,RewardAt*(Q112+1)-P112)))</f>
        <v>0</v>
      </c>
      <c r="T112" s="25">
        <f>IF(B112="","",COUNTIFS(Clients!$H$5:$H$504,B112))</f>
        <v>0</v>
      </c>
      <c r="U112" s="26">
        <f>IF(B112="","",ROUND(T112*ReferralReward-IF(J112="",0,J112),2))</f>
        <v>0</v>
      </c>
      <c r="V112" s="15">
        <f>IF(B112="","",IFERROR(INDEX(Clients!$AM$5:$AM$504,MATCH(B112,Clients!$A$5:$A$504,0))&amp;"",""))</f>
        <v>0</v>
      </c>
      <c r="W112" s="25">
        <f>IF(B112="","",COUNTIFS($P$5:$P$504,"&gt;"&amp;P112)+COUNTIFS($P$5:P112,P112))</f>
        <v>0</v>
      </c>
      <c r="X112" s="39">
        <f>IF(B112="","",IF(K112="No","",IF(COUNTIF($B$5:$B$504,B112)&gt;1,"Duplicate - this client is on twice",IF(Q112&gt;0,"Action - reward ready to give",IF(U112&gt;0.004,"Action - referral credit owed",IF(V112="Lapsing","Chase - points are a reason to call",IF(S112&lt;=RewardAt*0.2,"Rebook - nearly at a reward","OK")))))))</f>
        <v>0</v>
      </c>
    </row>
    <row r="113" spans="1:24">
      <c r="A113" s="28">
        <f>IF(B113="","",LoyaltyPrefix&amp;TEXT(ROW()-4,"0000"))</f>
        <v>0</v>
      </c>
      <c r="C113" s="15">
        <f>IF(B113="","",IFERROR(INDEX(Clients!$B$5:$B$504,MATCH(B113,Clients!$A$5:$A$504,0)),"Not in Clients"))</f>
        <v>0</v>
      </c>
      <c r="M113" s="26">
        <f>IF(B113="","",ROUND(SUMIFS(Sales!$Y$5:$Y$1204,Sales!$D$5:$D$1204,B113,Sales!$B$5:$B$1204,"&gt;="&amp;IF(D113="",0,D113)),2))</f>
        <v>0</v>
      </c>
      <c r="N113" s="25">
        <f>IF(B113="","",IFERROR(INDEX(Clients!$T$5:$T$504,MATCH(B113,Clients!$A$5:$A$504,0))*1,0))</f>
        <v>0</v>
      </c>
      <c r="O113" s="25">
        <f>IF(B113="","",ROUND(M113*PointsPerUnit+IF(F113="",0,F113),0))</f>
        <v>0</v>
      </c>
      <c r="P113" s="25">
        <f>IF(B113="","",O113-IF(G113="",0,G113))</f>
        <v>0</v>
      </c>
      <c r="Q113" s="25">
        <f>IF(B113="","",IF(RewardAt&lt;=0,0,ROUNDDOWN(P113/RewardAt,0)))</f>
        <v>0</v>
      </c>
      <c r="R113" s="26">
        <f>IF(B113="","",ROUND(Q113*RewardValue,2))</f>
        <v>0</v>
      </c>
      <c r="S113" s="25">
        <f>IF(B113="","",IF(RewardAt&lt;=0,"",MAX(0,RewardAt*(Q113+1)-P113)))</f>
        <v>0</v>
      </c>
      <c r="T113" s="25">
        <f>IF(B113="","",COUNTIFS(Clients!$H$5:$H$504,B113))</f>
        <v>0</v>
      </c>
      <c r="U113" s="26">
        <f>IF(B113="","",ROUND(T113*ReferralReward-IF(J113="",0,J113),2))</f>
        <v>0</v>
      </c>
      <c r="V113" s="15">
        <f>IF(B113="","",IFERROR(INDEX(Clients!$AM$5:$AM$504,MATCH(B113,Clients!$A$5:$A$504,0))&amp;"",""))</f>
        <v>0</v>
      </c>
      <c r="W113" s="25">
        <f>IF(B113="","",COUNTIFS($P$5:$P$504,"&gt;"&amp;P113)+COUNTIFS($P$5:P113,P113))</f>
        <v>0</v>
      </c>
      <c r="X113" s="39">
        <f>IF(B113="","",IF(K113="No","",IF(COUNTIF($B$5:$B$504,B113)&gt;1,"Duplicate - this client is on twice",IF(Q113&gt;0,"Action - reward ready to give",IF(U113&gt;0.004,"Action - referral credit owed",IF(V113="Lapsing","Chase - points are a reason to call",IF(S113&lt;=RewardAt*0.2,"Rebook - nearly at a reward","OK")))))))</f>
        <v>0</v>
      </c>
    </row>
    <row r="114" spans="1:24">
      <c r="A114" s="28">
        <f>IF(B114="","",LoyaltyPrefix&amp;TEXT(ROW()-4,"0000"))</f>
        <v>0</v>
      </c>
      <c r="C114" s="15">
        <f>IF(B114="","",IFERROR(INDEX(Clients!$B$5:$B$504,MATCH(B114,Clients!$A$5:$A$504,0)),"Not in Clients"))</f>
        <v>0</v>
      </c>
      <c r="M114" s="26">
        <f>IF(B114="","",ROUND(SUMIFS(Sales!$Y$5:$Y$1204,Sales!$D$5:$D$1204,B114,Sales!$B$5:$B$1204,"&gt;="&amp;IF(D114="",0,D114)),2))</f>
        <v>0</v>
      </c>
      <c r="N114" s="25">
        <f>IF(B114="","",IFERROR(INDEX(Clients!$T$5:$T$504,MATCH(B114,Clients!$A$5:$A$504,0))*1,0))</f>
        <v>0</v>
      </c>
      <c r="O114" s="25">
        <f>IF(B114="","",ROUND(M114*PointsPerUnit+IF(F114="",0,F114),0))</f>
        <v>0</v>
      </c>
      <c r="P114" s="25">
        <f>IF(B114="","",O114-IF(G114="",0,G114))</f>
        <v>0</v>
      </c>
      <c r="Q114" s="25">
        <f>IF(B114="","",IF(RewardAt&lt;=0,0,ROUNDDOWN(P114/RewardAt,0)))</f>
        <v>0</v>
      </c>
      <c r="R114" s="26">
        <f>IF(B114="","",ROUND(Q114*RewardValue,2))</f>
        <v>0</v>
      </c>
      <c r="S114" s="25">
        <f>IF(B114="","",IF(RewardAt&lt;=0,"",MAX(0,RewardAt*(Q114+1)-P114)))</f>
        <v>0</v>
      </c>
      <c r="T114" s="25">
        <f>IF(B114="","",COUNTIFS(Clients!$H$5:$H$504,B114))</f>
        <v>0</v>
      </c>
      <c r="U114" s="26">
        <f>IF(B114="","",ROUND(T114*ReferralReward-IF(J114="",0,J114),2))</f>
        <v>0</v>
      </c>
      <c r="V114" s="15">
        <f>IF(B114="","",IFERROR(INDEX(Clients!$AM$5:$AM$504,MATCH(B114,Clients!$A$5:$A$504,0))&amp;"",""))</f>
        <v>0</v>
      </c>
      <c r="W114" s="25">
        <f>IF(B114="","",COUNTIFS($P$5:$P$504,"&gt;"&amp;P114)+COUNTIFS($P$5:P114,P114))</f>
        <v>0</v>
      </c>
      <c r="X114" s="39">
        <f>IF(B114="","",IF(K114="No","",IF(COUNTIF($B$5:$B$504,B114)&gt;1,"Duplicate - this client is on twice",IF(Q114&gt;0,"Action - reward ready to give",IF(U114&gt;0.004,"Action - referral credit owed",IF(V114="Lapsing","Chase - points are a reason to call",IF(S114&lt;=RewardAt*0.2,"Rebook - nearly at a reward","OK")))))))</f>
        <v>0</v>
      </c>
    </row>
    <row r="115" spans="1:24">
      <c r="A115" s="28">
        <f>IF(B115="","",LoyaltyPrefix&amp;TEXT(ROW()-4,"0000"))</f>
        <v>0</v>
      </c>
      <c r="C115" s="15">
        <f>IF(B115="","",IFERROR(INDEX(Clients!$B$5:$B$504,MATCH(B115,Clients!$A$5:$A$504,0)),"Not in Clients"))</f>
        <v>0</v>
      </c>
      <c r="M115" s="26">
        <f>IF(B115="","",ROUND(SUMIFS(Sales!$Y$5:$Y$1204,Sales!$D$5:$D$1204,B115,Sales!$B$5:$B$1204,"&gt;="&amp;IF(D115="",0,D115)),2))</f>
        <v>0</v>
      </c>
      <c r="N115" s="25">
        <f>IF(B115="","",IFERROR(INDEX(Clients!$T$5:$T$504,MATCH(B115,Clients!$A$5:$A$504,0))*1,0))</f>
        <v>0</v>
      </c>
      <c r="O115" s="25">
        <f>IF(B115="","",ROUND(M115*PointsPerUnit+IF(F115="",0,F115),0))</f>
        <v>0</v>
      </c>
      <c r="P115" s="25">
        <f>IF(B115="","",O115-IF(G115="",0,G115))</f>
        <v>0</v>
      </c>
      <c r="Q115" s="25">
        <f>IF(B115="","",IF(RewardAt&lt;=0,0,ROUNDDOWN(P115/RewardAt,0)))</f>
        <v>0</v>
      </c>
      <c r="R115" s="26">
        <f>IF(B115="","",ROUND(Q115*RewardValue,2))</f>
        <v>0</v>
      </c>
      <c r="S115" s="25">
        <f>IF(B115="","",IF(RewardAt&lt;=0,"",MAX(0,RewardAt*(Q115+1)-P115)))</f>
        <v>0</v>
      </c>
      <c r="T115" s="25">
        <f>IF(B115="","",COUNTIFS(Clients!$H$5:$H$504,B115))</f>
        <v>0</v>
      </c>
      <c r="U115" s="26">
        <f>IF(B115="","",ROUND(T115*ReferralReward-IF(J115="",0,J115),2))</f>
        <v>0</v>
      </c>
      <c r="V115" s="15">
        <f>IF(B115="","",IFERROR(INDEX(Clients!$AM$5:$AM$504,MATCH(B115,Clients!$A$5:$A$504,0))&amp;"",""))</f>
        <v>0</v>
      </c>
      <c r="W115" s="25">
        <f>IF(B115="","",COUNTIFS($P$5:$P$504,"&gt;"&amp;P115)+COUNTIFS($P$5:P115,P115))</f>
        <v>0</v>
      </c>
      <c r="X115" s="39">
        <f>IF(B115="","",IF(K115="No","",IF(COUNTIF($B$5:$B$504,B115)&gt;1,"Duplicate - this client is on twice",IF(Q115&gt;0,"Action - reward ready to give",IF(U115&gt;0.004,"Action - referral credit owed",IF(V115="Lapsing","Chase - points are a reason to call",IF(S115&lt;=RewardAt*0.2,"Rebook - nearly at a reward","OK")))))))</f>
        <v>0</v>
      </c>
    </row>
    <row r="116" spans="1:24">
      <c r="A116" s="28">
        <f>IF(B116="","",LoyaltyPrefix&amp;TEXT(ROW()-4,"0000"))</f>
        <v>0</v>
      </c>
      <c r="C116" s="15">
        <f>IF(B116="","",IFERROR(INDEX(Clients!$B$5:$B$504,MATCH(B116,Clients!$A$5:$A$504,0)),"Not in Clients"))</f>
        <v>0</v>
      </c>
      <c r="M116" s="26">
        <f>IF(B116="","",ROUND(SUMIFS(Sales!$Y$5:$Y$1204,Sales!$D$5:$D$1204,B116,Sales!$B$5:$B$1204,"&gt;="&amp;IF(D116="",0,D116)),2))</f>
        <v>0</v>
      </c>
      <c r="N116" s="25">
        <f>IF(B116="","",IFERROR(INDEX(Clients!$T$5:$T$504,MATCH(B116,Clients!$A$5:$A$504,0))*1,0))</f>
        <v>0</v>
      </c>
      <c r="O116" s="25">
        <f>IF(B116="","",ROUND(M116*PointsPerUnit+IF(F116="",0,F116),0))</f>
        <v>0</v>
      </c>
      <c r="P116" s="25">
        <f>IF(B116="","",O116-IF(G116="",0,G116))</f>
        <v>0</v>
      </c>
      <c r="Q116" s="25">
        <f>IF(B116="","",IF(RewardAt&lt;=0,0,ROUNDDOWN(P116/RewardAt,0)))</f>
        <v>0</v>
      </c>
      <c r="R116" s="26">
        <f>IF(B116="","",ROUND(Q116*RewardValue,2))</f>
        <v>0</v>
      </c>
      <c r="S116" s="25">
        <f>IF(B116="","",IF(RewardAt&lt;=0,"",MAX(0,RewardAt*(Q116+1)-P116)))</f>
        <v>0</v>
      </c>
      <c r="T116" s="25">
        <f>IF(B116="","",COUNTIFS(Clients!$H$5:$H$504,B116))</f>
        <v>0</v>
      </c>
      <c r="U116" s="26">
        <f>IF(B116="","",ROUND(T116*ReferralReward-IF(J116="",0,J116),2))</f>
        <v>0</v>
      </c>
      <c r="V116" s="15">
        <f>IF(B116="","",IFERROR(INDEX(Clients!$AM$5:$AM$504,MATCH(B116,Clients!$A$5:$A$504,0))&amp;"",""))</f>
        <v>0</v>
      </c>
      <c r="W116" s="25">
        <f>IF(B116="","",COUNTIFS($P$5:$P$504,"&gt;"&amp;P116)+COUNTIFS($P$5:P116,P116))</f>
        <v>0</v>
      </c>
      <c r="X116" s="39">
        <f>IF(B116="","",IF(K116="No","",IF(COUNTIF($B$5:$B$504,B116)&gt;1,"Duplicate - this client is on twice",IF(Q116&gt;0,"Action - reward ready to give",IF(U116&gt;0.004,"Action - referral credit owed",IF(V116="Lapsing","Chase - points are a reason to call",IF(S116&lt;=RewardAt*0.2,"Rebook - nearly at a reward","OK")))))))</f>
        <v>0</v>
      </c>
    </row>
    <row r="117" spans="1:24">
      <c r="A117" s="28">
        <f>IF(B117="","",LoyaltyPrefix&amp;TEXT(ROW()-4,"0000"))</f>
        <v>0</v>
      </c>
      <c r="C117" s="15">
        <f>IF(B117="","",IFERROR(INDEX(Clients!$B$5:$B$504,MATCH(B117,Clients!$A$5:$A$504,0)),"Not in Clients"))</f>
        <v>0</v>
      </c>
      <c r="M117" s="26">
        <f>IF(B117="","",ROUND(SUMIFS(Sales!$Y$5:$Y$1204,Sales!$D$5:$D$1204,B117,Sales!$B$5:$B$1204,"&gt;="&amp;IF(D117="",0,D117)),2))</f>
        <v>0</v>
      </c>
      <c r="N117" s="25">
        <f>IF(B117="","",IFERROR(INDEX(Clients!$T$5:$T$504,MATCH(B117,Clients!$A$5:$A$504,0))*1,0))</f>
        <v>0</v>
      </c>
      <c r="O117" s="25">
        <f>IF(B117="","",ROUND(M117*PointsPerUnit+IF(F117="",0,F117),0))</f>
        <v>0</v>
      </c>
      <c r="P117" s="25">
        <f>IF(B117="","",O117-IF(G117="",0,G117))</f>
        <v>0</v>
      </c>
      <c r="Q117" s="25">
        <f>IF(B117="","",IF(RewardAt&lt;=0,0,ROUNDDOWN(P117/RewardAt,0)))</f>
        <v>0</v>
      </c>
      <c r="R117" s="26">
        <f>IF(B117="","",ROUND(Q117*RewardValue,2))</f>
        <v>0</v>
      </c>
      <c r="S117" s="25">
        <f>IF(B117="","",IF(RewardAt&lt;=0,"",MAX(0,RewardAt*(Q117+1)-P117)))</f>
        <v>0</v>
      </c>
      <c r="T117" s="25">
        <f>IF(B117="","",COUNTIFS(Clients!$H$5:$H$504,B117))</f>
        <v>0</v>
      </c>
      <c r="U117" s="26">
        <f>IF(B117="","",ROUND(T117*ReferralReward-IF(J117="",0,J117),2))</f>
        <v>0</v>
      </c>
      <c r="V117" s="15">
        <f>IF(B117="","",IFERROR(INDEX(Clients!$AM$5:$AM$504,MATCH(B117,Clients!$A$5:$A$504,0))&amp;"",""))</f>
        <v>0</v>
      </c>
      <c r="W117" s="25">
        <f>IF(B117="","",COUNTIFS($P$5:$P$504,"&gt;"&amp;P117)+COUNTIFS($P$5:P117,P117))</f>
        <v>0</v>
      </c>
      <c r="X117" s="39">
        <f>IF(B117="","",IF(K117="No","",IF(COUNTIF($B$5:$B$504,B117)&gt;1,"Duplicate - this client is on twice",IF(Q117&gt;0,"Action - reward ready to give",IF(U117&gt;0.004,"Action - referral credit owed",IF(V117="Lapsing","Chase - points are a reason to call",IF(S117&lt;=RewardAt*0.2,"Rebook - nearly at a reward","OK")))))))</f>
        <v>0</v>
      </c>
    </row>
    <row r="118" spans="1:24">
      <c r="A118" s="28">
        <f>IF(B118="","",LoyaltyPrefix&amp;TEXT(ROW()-4,"0000"))</f>
        <v>0</v>
      </c>
      <c r="C118" s="15">
        <f>IF(B118="","",IFERROR(INDEX(Clients!$B$5:$B$504,MATCH(B118,Clients!$A$5:$A$504,0)),"Not in Clients"))</f>
        <v>0</v>
      </c>
      <c r="M118" s="26">
        <f>IF(B118="","",ROUND(SUMIFS(Sales!$Y$5:$Y$1204,Sales!$D$5:$D$1204,B118,Sales!$B$5:$B$1204,"&gt;="&amp;IF(D118="",0,D118)),2))</f>
        <v>0</v>
      </c>
      <c r="N118" s="25">
        <f>IF(B118="","",IFERROR(INDEX(Clients!$T$5:$T$504,MATCH(B118,Clients!$A$5:$A$504,0))*1,0))</f>
        <v>0</v>
      </c>
      <c r="O118" s="25">
        <f>IF(B118="","",ROUND(M118*PointsPerUnit+IF(F118="",0,F118),0))</f>
        <v>0</v>
      </c>
      <c r="P118" s="25">
        <f>IF(B118="","",O118-IF(G118="",0,G118))</f>
        <v>0</v>
      </c>
      <c r="Q118" s="25">
        <f>IF(B118="","",IF(RewardAt&lt;=0,0,ROUNDDOWN(P118/RewardAt,0)))</f>
        <v>0</v>
      </c>
      <c r="R118" s="26">
        <f>IF(B118="","",ROUND(Q118*RewardValue,2))</f>
        <v>0</v>
      </c>
      <c r="S118" s="25">
        <f>IF(B118="","",IF(RewardAt&lt;=0,"",MAX(0,RewardAt*(Q118+1)-P118)))</f>
        <v>0</v>
      </c>
      <c r="T118" s="25">
        <f>IF(B118="","",COUNTIFS(Clients!$H$5:$H$504,B118))</f>
        <v>0</v>
      </c>
      <c r="U118" s="26">
        <f>IF(B118="","",ROUND(T118*ReferralReward-IF(J118="",0,J118),2))</f>
        <v>0</v>
      </c>
      <c r="V118" s="15">
        <f>IF(B118="","",IFERROR(INDEX(Clients!$AM$5:$AM$504,MATCH(B118,Clients!$A$5:$A$504,0))&amp;"",""))</f>
        <v>0</v>
      </c>
      <c r="W118" s="25">
        <f>IF(B118="","",COUNTIFS($P$5:$P$504,"&gt;"&amp;P118)+COUNTIFS($P$5:P118,P118))</f>
        <v>0</v>
      </c>
      <c r="X118" s="39">
        <f>IF(B118="","",IF(K118="No","",IF(COUNTIF($B$5:$B$504,B118)&gt;1,"Duplicate - this client is on twice",IF(Q118&gt;0,"Action - reward ready to give",IF(U118&gt;0.004,"Action - referral credit owed",IF(V118="Lapsing","Chase - points are a reason to call",IF(S118&lt;=RewardAt*0.2,"Rebook - nearly at a reward","OK")))))))</f>
        <v>0</v>
      </c>
    </row>
    <row r="119" spans="1:24">
      <c r="A119" s="28">
        <f>IF(B119="","",LoyaltyPrefix&amp;TEXT(ROW()-4,"0000"))</f>
        <v>0</v>
      </c>
      <c r="C119" s="15">
        <f>IF(B119="","",IFERROR(INDEX(Clients!$B$5:$B$504,MATCH(B119,Clients!$A$5:$A$504,0)),"Not in Clients"))</f>
        <v>0</v>
      </c>
      <c r="M119" s="26">
        <f>IF(B119="","",ROUND(SUMIFS(Sales!$Y$5:$Y$1204,Sales!$D$5:$D$1204,B119,Sales!$B$5:$B$1204,"&gt;="&amp;IF(D119="",0,D119)),2))</f>
        <v>0</v>
      </c>
      <c r="N119" s="25">
        <f>IF(B119="","",IFERROR(INDEX(Clients!$T$5:$T$504,MATCH(B119,Clients!$A$5:$A$504,0))*1,0))</f>
        <v>0</v>
      </c>
      <c r="O119" s="25">
        <f>IF(B119="","",ROUND(M119*PointsPerUnit+IF(F119="",0,F119),0))</f>
        <v>0</v>
      </c>
      <c r="P119" s="25">
        <f>IF(B119="","",O119-IF(G119="",0,G119))</f>
        <v>0</v>
      </c>
      <c r="Q119" s="25">
        <f>IF(B119="","",IF(RewardAt&lt;=0,0,ROUNDDOWN(P119/RewardAt,0)))</f>
        <v>0</v>
      </c>
      <c r="R119" s="26">
        <f>IF(B119="","",ROUND(Q119*RewardValue,2))</f>
        <v>0</v>
      </c>
      <c r="S119" s="25">
        <f>IF(B119="","",IF(RewardAt&lt;=0,"",MAX(0,RewardAt*(Q119+1)-P119)))</f>
        <v>0</v>
      </c>
      <c r="T119" s="25">
        <f>IF(B119="","",COUNTIFS(Clients!$H$5:$H$504,B119))</f>
        <v>0</v>
      </c>
      <c r="U119" s="26">
        <f>IF(B119="","",ROUND(T119*ReferralReward-IF(J119="",0,J119),2))</f>
        <v>0</v>
      </c>
      <c r="V119" s="15">
        <f>IF(B119="","",IFERROR(INDEX(Clients!$AM$5:$AM$504,MATCH(B119,Clients!$A$5:$A$504,0))&amp;"",""))</f>
        <v>0</v>
      </c>
      <c r="W119" s="25">
        <f>IF(B119="","",COUNTIFS($P$5:$P$504,"&gt;"&amp;P119)+COUNTIFS($P$5:P119,P119))</f>
        <v>0</v>
      </c>
      <c r="X119" s="39">
        <f>IF(B119="","",IF(K119="No","",IF(COUNTIF($B$5:$B$504,B119)&gt;1,"Duplicate - this client is on twice",IF(Q119&gt;0,"Action - reward ready to give",IF(U119&gt;0.004,"Action - referral credit owed",IF(V119="Lapsing","Chase - points are a reason to call",IF(S119&lt;=RewardAt*0.2,"Rebook - nearly at a reward","OK")))))))</f>
        <v>0</v>
      </c>
    </row>
    <row r="120" spans="1:24">
      <c r="A120" s="28">
        <f>IF(B120="","",LoyaltyPrefix&amp;TEXT(ROW()-4,"0000"))</f>
        <v>0</v>
      </c>
      <c r="C120" s="15">
        <f>IF(B120="","",IFERROR(INDEX(Clients!$B$5:$B$504,MATCH(B120,Clients!$A$5:$A$504,0)),"Not in Clients"))</f>
        <v>0</v>
      </c>
      <c r="M120" s="26">
        <f>IF(B120="","",ROUND(SUMIFS(Sales!$Y$5:$Y$1204,Sales!$D$5:$D$1204,B120,Sales!$B$5:$B$1204,"&gt;="&amp;IF(D120="",0,D120)),2))</f>
        <v>0</v>
      </c>
      <c r="N120" s="25">
        <f>IF(B120="","",IFERROR(INDEX(Clients!$T$5:$T$504,MATCH(B120,Clients!$A$5:$A$504,0))*1,0))</f>
        <v>0</v>
      </c>
      <c r="O120" s="25">
        <f>IF(B120="","",ROUND(M120*PointsPerUnit+IF(F120="",0,F120),0))</f>
        <v>0</v>
      </c>
      <c r="P120" s="25">
        <f>IF(B120="","",O120-IF(G120="",0,G120))</f>
        <v>0</v>
      </c>
      <c r="Q120" s="25">
        <f>IF(B120="","",IF(RewardAt&lt;=0,0,ROUNDDOWN(P120/RewardAt,0)))</f>
        <v>0</v>
      </c>
      <c r="R120" s="26">
        <f>IF(B120="","",ROUND(Q120*RewardValue,2))</f>
        <v>0</v>
      </c>
      <c r="S120" s="25">
        <f>IF(B120="","",IF(RewardAt&lt;=0,"",MAX(0,RewardAt*(Q120+1)-P120)))</f>
        <v>0</v>
      </c>
      <c r="T120" s="25">
        <f>IF(B120="","",COUNTIFS(Clients!$H$5:$H$504,B120))</f>
        <v>0</v>
      </c>
      <c r="U120" s="26">
        <f>IF(B120="","",ROUND(T120*ReferralReward-IF(J120="",0,J120),2))</f>
        <v>0</v>
      </c>
      <c r="V120" s="15">
        <f>IF(B120="","",IFERROR(INDEX(Clients!$AM$5:$AM$504,MATCH(B120,Clients!$A$5:$A$504,0))&amp;"",""))</f>
        <v>0</v>
      </c>
      <c r="W120" s="25">
        <f>IF(B120="","",COUNTIFS($P$5:$P$504,"&gt;"&amp;P120)+COUNTIFS($P$5:P120,P120))</f>
        <v>0</v>
      </c>
      <c r="X120" s="39">
        <f>IF(B120="","",IF(K120="No","",IF(COUNTIF($B$5:$B$504,B120)&gt;1,"Duplicate - this client is on twice",IF(Q120&gt;0,"Action - reward ready to give",IF(U120&gt;0.004,"Action - referral credit owed",IF(V120="Lapsing","Chase - points are a reason to call",IF(S120&lt;=RewardAt*0.2,"Rebook - nearly at a reward","OK")))))))</f>
        <v>0</v>
      </c>
    </row>
    <row r="121" spans="1:24">
      <c r="A121" s="28">
        <f>IF(B121="","",LoyaltyPrefix&amp;TEXT(ROW()-4,"0000"))</f>
        <v>0</v>
      </c>
      <c r="C121" s="15">
        <f>IF(B121="","",IFERROR(INDEX(Clients!$B$5:$B$504,MATCH(B121,Clients!$A$5:$A$504,0)),"Not in Clients"))</f>
        <v>0</v>
      </c>
      <c r="M121" s="26">
        <f>IF(B121="","",ROUND(SUMIFS(Sales!$Y$5:$Y$1204,Sales!$D$5:$D$1204,B121,Sales!$B$5:$B$1204,"&gt;="&amp;IF(D121="",0,D121)),2))</f>
        <v>0</v>
      </c>
      <c r="N121" s="25">
        <f>IF(B121="","",IFERROR(INDEX(Clients!$T$5:$T$504,MATCH(B121,Clients!$A$5:$A$504,0))*1,0))</f>
        <v>0</v>
      </c>
      <c r="O121" s="25">
        <f>IF(B121="","",ROUND(M121*PointsPerUnit+IF(F121="",0,F121),0))</f>
        <v>0</v>
      </c>
      <c r="P121" s="25">
        <f>IF(B121="","",O121-IF(G121="",0,G121))</f>
        <v>0</v>
      </c>
      <c r="Q121" s="25">
        <f>IF(B121="","",IF(RewardAt&lt;=0,0,ROUNDDOWN(P121/RewardAt,0)))</f>
        <v>0</v>
      </c>
      <c r="R121" s="26">
        <f>IF(B121="","",ROUND(Q121*RewardValue,2))</f>
        <v>0</v>
      </c>
      <c r="S121" s="25">
        <f>IF(B121="","",IF(RewardAt&lt;=0,"",MAX(0,RewardAt*(Q121+1)-P121)))</f>
        <v>0</v>
      </c>
      <c r="T121" s="25">
        <f>IF(B121="","",COUNTIFS(Clients!$H$5:$H$504,B121))</f>
        <v>0</v>
      </c>
      <c r="U121" s="26">
        <f>IF(B121="","",ROUND(T121*ReferralReward-IF(J121="",0,J121),2))</f>
        <v>0</v>
      </c>
      <c r="V121" s="15">
        <f>IF(B121="","",IFERROR(INDEX(Clients!$AM$5:$AM$504,MATCH(B121,Clients!$A$5:$A$504,0))&amp;"",""))</f>
        <v>0</v>
      </c>
      <c r="W121" s="25">
        <f>IF(B121="","",COUNTIFS($P$5:$P$504,"&gt;"&amp;P121)+COUNTIFS($P$5:P121,P121))</f>
        <v>0</v>
      </c>
      <c r="X121" s="39">
        <f>IF(B121="","",IF(K121="No","",IF(COUNTIF($B$5:$B$504,B121)&gt;1,"Duplicate - this client is on twice",IF(Q121&gt;0,"Action - reward ready to give",IF(U121&gt;0.004,"Action - referral credit owed",IF(V121="Lapsing","Chase - points are a reason to call",IF(S121&lt;=RewardAt*0.2,"Rebook - nearly at a reward","OK")))))))</f>
        <v>0</v>
      </c>
    </row>
    <row r="122" spans="1:24">
      <c r="A122" s="28">
        <f>IF(B122="","",LoyaltyPrefix&amp;TEXT(ROW()-4,"0000"))</f>
        <v>0</v>
      </c>
      <c r="C122" s="15">
        <f>IF(B122="","",IFERROR(INDEX(Clients!$B$5:$B$504,MATCH(B122,Clients!$A$5:$A$504,0)),"Not in Clients"))</f>
        <v>0</v>
      </c>
      <c r="M122" s="26">
        <f>IF(B122="","",ROUND(SUMIFS(Sales!$Y$5:$Y$1204,Sales!$D$5:$D$1204,B122,Sales!$B$5:$B$1204,"&gt;="&amp;IF(D122="",0,D122)),2))</f>
        <v>0</v>
      </c>
      <c r="N122" s="25">
        <f>IF(B122="","",IFERROR(INDEX(Clients!$T$5:$T$504,MATCH(B122,Clients!$A$5:$A$504,0))*1,0))</f>
        <v>0</v>
      </c>
      <c r="O122" s="25">
        <f>IF(B122="","",ROUND(M122*PointsPerUnit+IF(F122="",0,F122),0))</f>
        <v>0</v>
      </c>
      <c r="P122" s="25">
        <f>IF(B122="","",O122-IF(G122="",0,G122))</f>
        <v>0</v>
      </c>
      <c r="Q122" s="25">
        <f>IF(B122="","",IF(RewardAt&lt;=0,0,ROUNDDOWN(P122/RewardAt,0)))</f>
        <v>0</v>
      </c>
      <c r="R122" s="26">
        <f>IF(B122="","",ROUND(Q122*RewardValue,2))</f>
        <v>0</v>
      </c>
      <c r="S122" s="25">
        <f>IF(B122="","",IF(RewardAt&lt;=0,"",MAX(0,RewardAt*(Q122+1)-P122)))</f>
        <v>0</v>
      </c>
      <c r="T122" s="25">
        <f>IF(B122="","",COUNTIFS(Clients!$H$5:$H$504,B122))</f>
        <v>0</v>
      </c>
      <c r="U122" s="26">
        <f>IF(B122="","",ROUND(T122*ReferralReward-IF(J122="",0,J122),2))</f>
        <v>0</v>
      </c>
      <c r="V122" s="15">
        <f>IF(B122="","",IFERROR(INDEX(Clients!$AM$5:$AM$504,MATCH(B122,Clients!$A$5:$A$504,0))&amp;"",""))</f>
        <v>0</v>
      </c>
      <c r="W122" s="25">
        <f>IF(B122="","",COUNTIFS($P$5:$P$504,"&gt;"&amp;P122)+COUNTIFS($P$5:P122,P122))</f>
        <v>0</v>
      </c>
      <c r="X122" s="39">
        <f>IF(B122="","",IF(K122="No","",IF(COUNTIF($B$5:$B$504,B122)&gt;1,"Duplicate - this client is on twice",IF(Q122&gt;0,"Action - reward ready to give",IF(U122&gt;0.004,"Action - referral credit owed",IF(V122="Lapsing","Chase - points are a reason to call",IF(S122&lt;=RewardAt*0.2,"Rebook - nearly at a reward","OK")))))))</f>
        <v>0</v>
      </c>
    </row>
    <row r="123" spans="1:24">
      <c r="A123" s="28">
        <f>IF(B123="","",LoyaltyPrefix&amp;TEXT(ROW()-4,"0000"))</f>
        <v>0</v>
      </c>
      <c r="C123" s="15">
        <f>IF(B123="","",IFERROR(INDEX(Clients!$B$5:$B$504,MATCH(B123,Clients!$A$5:$A$504,0)),"Not in Clients"))</f>
        <v>0</v>
      </c>
      <c r="M123" s="26">
        <f>IF(B123="","",ROUND(SUMIFS(Sales!$Y$5:$Y$1204,Sales!$D$5:$D$1204,B123,Sales!$B$5:$B$1204,"&gt;="&amp;IF(D123="",0,D123)),2))</f>
        <v>0</v>
      </c>
      <c r="N123" s="25">
        <f>IF(B123="","",IFERROR(INDEX(Clients!$T$5:$T$504,MATCH(B123,Clients!$A$5:$A$504,0))*1,0))</f>
        <v>0</v>
      </c>
      <c r="O123" s="25">
        <f>IF(B123="","",ROUND(M123*PointsPerUnit+IF(F123="",0,F123),0))</f>
        <v>0</v>
      </c>
      <c r="P123" s="25">
        <f>IF(B123="","",O123-IF(G123="",0,G123))</f>
        <v>0</v>
      </c>
      <c r="Q123" s="25">
        <f>IF(B123="","",IF(RewardAt&lt;=0,0,ROUNDDOWN(P123/RewardAt,0)))</f>
        <v>0</v>
      </c>
      <c r="R123" s="26">
        <f>IF(B123="","",ROUND(Q123*RewardValue,2))</f>
        <v>0</v>
      </c>
      <c r="S123" s="25">
        <f>IF(B123="","",IF(RewardAt&lt;=0,"",MAX(0,RewardAt*(Q123+1)-P123)))</f>
        <v>0</v>
      </c>
      <c r="T123" s="25">
        <f>IF(B123="","",COUNTIFS(Clients!$H$5:$H$504,B123))</f>
        <v>0</v>
      </c>
      <c r="U123" s="26">
        <f>IF(B123="","",ROUND(T123*ReferralReward-IF(J123="",0,J123),2))</f>
        <v>0</v>
      </c>
      <c r="V123" s="15">
        <f>IF(B123="","",IFERROR(INDEX(Clients!$AM$5:$AM$504,MATCH(B123,Clients!$A$5:$A$504,0))&amp;"",""))</f>
        <v>0</v>
      </c>
      <c r="W123" s="25">
        <f>IF(B123="","",COUNTIFS($P$5:$P$504,"&gt;"&amp;P123)+COUNTIFS($P$5:P123,P123))</f>
        <v>0</v>
      </c>
      <c r="X123" s="39">
        <f>IF(B123="","",IF(K123="No","",IF(COUNTIF($B$5:$B$504,B123)&gt;1,"Duplicate - this client is on twice",IF(Q123&gt;0,"Action - reward ready to give",IF(U123&gt;0.004,"Action - referral credit owed",IF(V123="Lapsing","Chase - points are a reason to call",IF(S123&lt;=RewardAt*0.2,"Rebook - nearly at a reward","OK")))))))</f>
        <v>0</v>
      </c>
    </row>
    <row r="124" spans="1:24">
      <c r="A124" s="28">
        <f>IF(B124="","",LoyaltyPrefix&amp;TEXT(ROW()-4,"0000"))</f>
        <v>0</v>
      </c>
      <c r="C124" s="15">
        <f>IF(B124="","",IFERROR(INDEX(Clients!$B$5:$B$504,MATCH(B124,Clients!$A$5:$A$504,0)),"Not in Clients"))</f>
        <v>0</v>
      </c>
      <c r="M124" s="26">
        <f>IF(B124="","",ROUND(SUMIFS(Sales!$Y$5:$Y$1204,Sales!$D$5:$D$1204,B124,Sales!$B$5:$B$1204,"&gt;="&amp;IF(D124="",0,D124)),2))</f>
        <v>0</v>
      </c>
      <c r="N124" s="25">
        <f>IF(B124="","",IFERROR(INDEX(Clients!$T$5:$T$504,MATCH(B124,Clients!$A$5:$A$504,0))*1,0))</f>
        <v>0</v>
      </c>
      <c r="O124" s="25">
        <f>IF(B124="","",ROUND(M124*PointsPerUnit+IF(F124="",0,F124),0))</f>
        <v>0</v>
      </c>
      <c r="P124" s="25">
        <f>IF(B124="","",O124-IF(G124="",0,G124))</f>
        <v>0</v>
      </c>
      <c r="Q124" s="25">
        <f>IF(B124="","",IF(RewardAt&lt;=0,0,ROUNDDOWN(P124/RewardAt,0)))</f>
        <v>0</v>
      </c>
      <c r="R124" s="26">
        <f>IF(B124="","",ROUND(Q124*RewardValue,2))</f>
        <v>0</v>
      </c>
      <c r="S124" s="25">
        <f>IF(B124="","",IF(RewardAt&lt;=0,"",MAX(0,RewardAt*(Q124+1)-P124)))</f>
        <v>0</v>
      </c>
      <c r="T124" s="25">
        <f>IF(B124="","",COUNTIFS(Clients!$H$5:$H$504,B124))</f>
        <v>0</v>
      </c>
      <c r="U124" s="26">
        <f>IF(B124="","",ROUND(T124*ReferralReward-IF(J124="",0,J124),2))</f>
        <v>0</v>
      </c>
      <c r="V124" s="15">
        <f>IF(B124="","",IFERROR(INDEX(Clients!$AM$5:$AM$504,MATCH(B124,Clients!$A$5:$A$504,0))&amp;"",""))</f>
        <v>0</v>
      </c>
      <c r="W124" s="25">
        <f>IF(B124="","",COUNTIFS($P$5:$P$504,"&gt;"&amp;P124)+COUNTIFS($P$5:P124,P124))</f>
        <v>0</v>
      </c>
      <c r="X124" s="39">
        <f>IF(B124="","",IF(K124="No","",IF(COUNTIF($B$5:$B$504,B124)&gt;1,"Duplicate - this client is on twice",IF(Q124&gt;0,"Action - reward ready to give",IF(U124&gt;0.004,"Action - referral credit owed",IF(V124="Lapsing","Chase - points are a reason to call",IF(S124&lt;=RewardAt*0.2,"Rebook - nearly at a reward","OK")))))))</f>
        <v>0</v>
      </c>
    </row>
    <row r="125" spans="1:24">
      <c r="A125" s="28">
        <f>IF(B125="","",LoyaltyPrefix&amp;TEXT(ROW()-4,"0000"))</f>
        <v>0</v>
      </c>
      <c r="C125" s="15">
        <f>IF(B125="","",IFERROR(INDEX(Clients!$B$5:$B$504,MATCH(B125,Clients!$A$5:$A$504,0)),"Not in Clients"))</f>
        <v>0</v>
      </c>
      <c r="M125" s="26">
        <f>IF(B125="","",ROUND(SUMIFS(Sales!$Y$5:$Y$1204,Sales!$D$5:$D$1204,B125,Sales!$B$5:$B$1204,"&gt;="&amp;IF(D125="",0,D125)),2))</f>
        <v>0</v>
      </c>
      <c r="N125" s="25">
        <f>IF(B125="","",IFERROR(INDEX(Clients!$T$5:$T$504,MATCH(B125,Clients!$A$5:$A$504,0))*1,0))</f>
        <v>0</v>
      </c>
      <c r="O125" s="25">
        <f>IF(B125="","",ROUND(M125*PointsPerUnit+IF(F125="",0,F125),0))</f>
        <v>0</v>
      </c>
      <c r="P125" s="25">
        <f>IF(B125="","",O125-IF(G125="",0,G125))</f>
        <v>0</v>
      </c>
      <c r="Q125" s="25">
        <f>IF(B125="","",IF(RewardAt&lt;=0,0,ROUNDDOWN(P125/RewardAt,0)))</f>
        <v>0</v>
      </c>
      <c r="R125" s="26">
        <f>IF(B125="","",ROUND(Q125*RewardValue,2))</f>
        <v>0</v>
      </c>
      <c r="S125" s="25">
        <f>IF(B125="","",IF(RewardAt&lt;=0,"",MAX(0,RewardAt*(Q125+1)-P125)))</f>
        <v>0</v>
      </c>
      <c r="T125" s="25">
        <f>IF(B125="","",COUNTIFS(Clients!$H$5:$H$504,B125))</f>
        <v>0</v>
      </c>
      <c r="U125" s="26">
        <f>IF(B125="","",ROUND(T125*ReferralReward-IF(J125="",0,J125),2))</f>
        <v>0</v>
      </c>
      <c r="V125" s="15">
        <f>IF(B125="","",IFERROR(INDEX(Clients!$AM$5:$AM$504,MATCH(B125,Clients!$A$5:$A$504,0))&amp;"",""))</f>
        <v>0</v>
      </c>
      <c r="W125" s="25">
        <f>IF(B125="","",COUNTIFS($P$5:$P$504,"&gt;"&amp;P125)+COUNTIFS($P$5:P125,P125))</f>
        <v>0</v>
      </c>
      <c r="X125" s="39">
        <f>IF(B125="","",IF(K125="No","",IF(COUNTIF($B$5:$B$504,B125)&gt;1,"Duplicate - this client is on twice",IF(Q125&gt;0,"Action - reward ready to give",IF(U125&gt;0.004,"Action - referral credit owed",IF(V125="Lapsing","Chase - points are a reason to call",IF(S125&lt;=RewardAt*0.2,"Rebook - nearly at a reward","OK")))))))</f>
        <v>0</v>
      </c>
    </row>
    <row r="126" spans="1:24">
      <c r="A126" s="28">
        <f>IF(B126="","",LoyaltyPrefix&amp;TEXT(ROW()-4,"0000"))</f>
        <v>0</v>
      </c>
      <c r="C126" s="15">
        <f>IF(B126="","",IFERROR(INDEX(Clients!$B$5:$B$504,MATCH(B126,Clients!$A$5:$A$504,0)),"Not in Clients"))</f>
        <v>0</v>
      </c>
      <c r="M126" s="26">
        <f>IF(B126="","",ROUND(SUMIFS(Sales!$Y$5:$Y$1204,Sales!$D$5:$D$1204,B126,Sales!$B$5:$B$1204,"&gt;="&amp;IF(D126="",0,D126)),2))</f>
        <v>0</v>
      </c>
      <c r="N126" s="25">
        <f>IF(B126="","",IFERROR(INDEX(Clients!$T$5:$T$504,MATCH(B126,Clients!$A$5:$A$504,0))*1,0))</f>
        <v>0</v>
      </c>
      <c r="O126" s="25">
        <f>IF(B126="","",ROUND(M126*PointsPerUnit+IF(F126="",0,F126),0))</f>
        <v>0</v>
      </c>
      <c r="P126" s="25">
        <f>IF(B126="","",O126-IF(G126="",0,G126))</f>
        <v>0</v>
      </c>
      <c r="Q126" s="25">
        <f>IF(B126="","",IF(RewardAt&lt;=0,0,ROUNDDOWN(P126/RewardAt,0)))</f>
        <v>0</v>
      </c>
      <c r="R126" s="26">
        <f>IF(B126="","",ROUND(Q126*RewardValue,2))</f>
        <v>0</v>
      </c>
      <c r="S126" s="25">
        <f>IF(B126="","",IF(RewardAt&lt;=0,"",MAX(0,RewardAt*(Q126+1)-P126)))</f>
        <v>0</v>
      </c>
      <c r="T126" s="25">
        <f>IF(B126="","",COUNTIFS(Clients!$H$5:$H$504,B126))</f>
        <v>0</v>
      </c>
      <c r="U126" s="26">
        <f>IF(B126="","",ROUND(T126*ReferralReward-IF(J126="",0,J126),2))</f>
        <v>0</v>
      </c>
      <c r="V126" s="15">
        <f>IF(B126="","",IFERROR(INDEX(Clients!$AM$5:$AM$504,MATCH(B126,Clients!$A$5:$A$504,0))&amp;"",""))</f>
        <v>0</v>
      </c>
      <c r="W126" s="25">
        <f>IF(B126="","",COUNTIFS($P$5:$P$504,"&gt;"&amp;P126)+COUNTIFS($P$5:P126,P126))</f>
        <v>0</v>
      </c>
      <c r="X126" s="39">
        <f>IF(B126="","",IF(K126="No","",IF(COUNTIF($B$5:$B$504,B126)&gt;1,"Duplicate - this client is on twice",IF(Q126&gt;0,"Action - reward ready to give",IF(U126&gt;0.004,"Action - referral credit owed",IF(V126="Lapsing","Chase - points are a reason to call",IF(S126&lt;=RewardAt*0.2,"Rebook - nearly at a reward","OK")))))))</f>
        <v>0</v>
      </c>
    </row>
    <row r="127" spans="1:24">
      <c r="A127" s="28">
        <f>IF(B127="","",LoyaltyPrefix&amp;TEXT(ROW()-4,"0000"))</f>
        <v>0</v>
      </c>
      <c r="C127" s="15">
        <f>IF(B127="","",IFERROR(INDEX(Clients!$B$5:$B$504,MATCH(B127,Clients!$A$5:$A$504,0)),"Not in Clients"))</f>
        <v>0</v>
      </c>
      <c r="M127" s="26">
        <f>IF(B127="","",ROUND(SUMIFS(Sales!$Y$5:$Y$1204,Sales!$D$5:$D$1204,B127,Sales!$B$5:$B$1204,"&gt;="&amp;IF(D127="",0,D127)),2))</f>
        <v>0</v>
      </c>
      <c r="N127" s="25">
        <f>IF(B127="","",IFERROR(INDEX(Clients!$T$5:$T$504,MATCH(B127,Clients!$A$5:$A$504,0))*1,0))</f>
        <v>0</v>
      </c>
      <c r="O127" s="25">
        <f>IF(B127="","",ROUND(M127*PointsPerUnit+IF(F127="",0,F127),0))</f>
        <v>0</v>
      </c>
      <c r="P127" s="25">
        <f>IF(B127="","",O127-IF(G127="",0,G127))</f>
        <v>0</v>
      </c>
      <c r="Q127" s="25">
        <f>IF(B127="","",IF(RewardAt&lt;=0,0,ROUNDDOWN(P127/RewardAt,0)))</f>
        <v>0</v>
      </c>
      <c r="R127" s="26">
        <f>IF(B127="","",ROUND(Q127*RewardValue,2))</f>
        <v>0</v>
      </c>
      <c r="S127" s="25">
        <f>IF(B127="","",IF(RewardAt&lt;=0,"",MAX(0,RewardAt*(Q127+1)-P127)))</f>
        <v>0</v>
      </c>
      <c r="T127" s="25">
        <f>IF(B127="","",COUNTIFS(Clients!$H$5:$H$504,B127))</f>
        <v>0</v>
      </c>
      <c r="U127" s="26">
        <f>IF(B127="","",ROUND(T127*ReferralReward-IF(J127="",0,J127),2))</f>
        <v>0</v>
      </c>
      <c r="V127" s="15">
        <f>IF(B127="","",IFERROR(INDEX(Clients!$AM$5:$AM$504,MATCH(B127,Clients!$A$5:$A$504,0))&amp;"",""))</f>
        <v>0</v>
      </c>
      <c r="W127" s="25">
        <f>IF(B127="","",COUNTIFS($P$5:$P$504,"&gt;"&amp;P127)+COUNTIFS($P$5:P127,P127))</f>
        <v>0</v>
      </c>
      <c r="X127" s="39">
        <f>IF(B127="","",IF(K127="No","",IF(COUNTIF($B$5:$B$504,B127)&gt;1,"Duplicate - this client is on twice",IF(Q127&gt;0,"Action - reward ready to give",IF(U127&gt;0.004,"Action - referral credit owed",IF(V127="Lapsing","Chase - points are a reason to call",IF(S127&lt;=RewardAt*0.2,"Rebook - nearly at a reward","OK")))))))</f>
        <v>0</v>
      </c>
    </row>
    <row r="128" spans="1:24">
      <c r="A128" s="28">
        <f>IF(B128="","",LoyaltyPrefix&amp;TEXT(ROW()-4,"0000"))</f>
        <v>0</v>
      </c>
      <c r="C128" s="15">
        <f>IF(B128="","",IFERROR(INDEX(Clients!$B$5:$B$504,MATCH(B128,Clients!$A$5:$A$504,0)),"Not in Clients"))</f>
        <v>0</v>
      </c>
      <c r="M128" s="26">
        <f>IF(B128="","",ROUND(SUMIFS(Sales!$Y$5:$Y$1204,Sales!$D$5:$D$1204,B128,Sales!$B$5:$B$1204,"&gt;="&amp;IF(D128="",0,D128)),2))</f>
        <v>0</v>
      </c>
      <c r="N128" s="25">
        <f>IF(B128="","",IFERROR(INDEX(Clients!$T$5:$T$504,MATCH(B128,Clients!$A$5:$A$504,0))*1,0))</f>
        <v>0</v>
      </c>
      <c r="O128" s="25">
        <f>IF(B128="","",ROUND(M128*PointsPerUnit+IF(F128="",0,F128),0))</f>
        <v>0</v>
      </c>
      <c r="P128" s="25">
        <f>IF(B128="","",O128-IF(G128="",0,G128))</f>
        <v>0</v>
      </c>
      <c r="Q128" s="25">
        <f>IF(B128="","",IF(RewardAt&lt;=0,0,ROUNDDOWN(P128/RewardAt,0)))</f>
        <v>0</v>
      </c>
      <c r="R128" s="26">
        <f>IF(B128="","",ROUND(Q128*RewardValue,2))</f>
        <v>0</v>
      </c>
      <c r="S128" s="25">
        <f>IF(B128="","",IF(RewardAt&lt;=0,"",MAX(0,RewardAt*(Q128+1)-P128)))</f>
        <v>0</v>
      </c>
      <c r="T128" s="25">
        <f>IF(B128="","",COUNTIFS(Clients!$H$5:$H$504,B128))</f>
        <v>0</v>
      </c>
      <c r="U128" s="26">
        <f>IF(B128="","",ROUND(T128*ReferralReward-IF(J128="",0,J128),2))</f>
        <v>0</v>
      </c>
      <c r="V128" s="15">
        <f>IF(B128="","",IFERROR(INDEX(Clients!$AM$5:$AM$504,MATCH(B128,Clients!$A$5:$A$504,0))&amp;"",""))</f>
        <v>0</v>
      </c>
      <c r="W128" s="25">
        <f>IF(B128="","",COUNTIFS($P$5:$P$504,"&gt;"&amp;P128)+COUNTIFS($P$5:P128,P128))</f>
        <v>0</v>
      </c>
      <c r="X128" s="39">
        <f>IF(B128="","",IF(K128="No","",IF(COUNTIF($B$5:$B$504,B128)&gt;1,"Duplicate - this client is on twice",IF(Q128&gt;0,"Action - reward ready to give",IF(U128&gt;0.004,"Action - referral credit owed",IF(V128="Lapsing","Chase - points are a reason to call",IF(S128&lt;=RewardAt*0.2,"Rebook - nearly at a reward","OK")))))))</f>
        <v>0</v>
      </c>
    </row>
    <row r="129" spans="1:24">
      <c r="A129" s="28">
        <f>IF(B129="","",LoyaltyPrefix&amp;TEXT(ROW()-4,"0000"))</f>
        <v>0</v>
      </c>
      <c r="C129" s="15">
        <f>IF(B129="","",IFERROR(INDEX(Clients!$B$5:$B$504,MATCH(B129,Clients!$A$5:$A$504,0)),"Not in Clients"))</f>
        <v>0</v>
      </c>
      <c r="M129" s="26">
        <f>IF(B129="","",ROUND(SUMIFS(Sales!$Y$5:$Y$1204,Sales!$D$5:$D$1204,B129,Sales!$B$5:$B$1204,"&gt;="&amp;IF(D129="",0,D129)),2))</f>
        <v>0</v>
      </c>
      <c r="N129" s="25">
        <f>IF(B129="","",IFERROR(INDEX(Clients!$T$5:$T$504,MATCH(B129,Clients!$A$5:$A$504,0))*1,0))</f>
        <v>0</v>
      </c>
      <c r="O129" s="25">
        <f>IF(B129="","",ROUND(M129*PointsPerUnit+IF(F129="",0,F129),0))</f>
        <v>0</v>
      </c>
      <c r="P129" s="25">
        <f>IF(B129="","",O129-IF(G129="",0,G129))</f>
        <v>0</v>
      </c>
      <c r="Q129" s="25">
        <f>IF(B129="","",IF(RewardAt&lt;=0,0,ROUNDDOWN(P129/RewardAt,0)))</f>
        <v>0</v>
      </c>
      <c r="R129" s="26">
        <f>IF(B129="","",ROUND(Q129*RewardValue,2))</f>
        <v>0</v>
      </c>
      <c r="S129" s="25">
        <f>IF(B129="","",IF(RewardAt&lt;=0,"",MAX(0,RewardAt*(Q129+1)-P129)))</f>
        <v>0</v>
      </c>
      <c r="T129" s="25">
        <f>IF(B129="","",COUNTIFS(Clients!$H$5:$H$504,B129))</f>
        <v>0</v>
      </c>
      <c r="U129" s="26">
        <f>IF(B129="","",ROUND(T129*ReferralReward-IF(J129="",0,J129),2))</f>
        <v>0</v>
      </c>
      <c r="V129" s="15">
        <f>IF(B129="","",IFERROR(INDEX(Clients!$AM$5:$AM$504,MATCH(B129,Clients!$A$5:$A$504,0))&amp;"",""))</f>
        <v>0</v>
      </c>
      <c r="W129" s="25">
        <f>IF(B129="","",COUNTIFS($P$5:$P$504,"&gt;"&amp;P129)+COUNTIFS($P$5:P129,P129))</f>
        <v>0</v>
      </c>
      <c r="X129" s="39">
        <f>IF(B129="","",IF(K129="No","",IF(COUNTIF($B$5:$B$504,B129)&gt;1,"Duplicate - this client is on twice",IF(Q129&gt;0,"Action - reward ready to give",IF(U129&gt;0.004,"Action - referral credit owed",IF(V129="Lapsing","Chase - points are a reason to call",IF(S129&lt;=RewardAt*0.2,"Rebook - nearly at a reward","OK")))))))</f>
        <v>0</v>
      </c>
    </row>
    <row r="130" spans="1:24">
      <c r="A130" s="28">
        <f>IF(B130="","",LoyaltyPrefix&amp;TEXT(ROW()-4,"0000"))</f>
        <v>0</v>
      </c>
      <c r="C130" s="15">
        <f>IF(B130="","",IFERROR(INDEX(Clients!$B$5:$B$504,MATCH(B130,Clients!$A$5:$A$504,0)),"Not in Clients"))</f>
        <v>0</v>
      </c>
      <c r="M130" s="26">
        <f>IF(B130="","",ROUND(SUMIFS(Sales!$Y$5:$Y$1204,Sales!$D$5:$D$1204,B130,Sales!$B$5:$B$1204,"&gt;="&amp;IF(D130="",0,D130)),2))</f>
        <v>0</v>
      </c>
      <c r="N130" s="25">
        <f>IF(B130="","",IFERROR(INDEX(Clients!$T$5:$T$504,MATCH(B130,Clients!$A$5:$A$504,0))*1,0))</f>
        <v>0</v>
      </c>
      <c r="O130" s="25">
        <f>IF(B130="","",ROUND(M130*PointsPerUnit+IF(F130="",0,F130),0))</f>
        <v>0</v>
      </c>
      <c r="P130" s="25">
        <f>IF(B130="","",O130-IF(G130="",0,G130))</f>
        <v>0</v>
      </c>
      <c r="Q130" s="25">
        <f>IF(B130="","",IF(RewardAt&lt;=0,0,ROUNDDOWN(P130/RewardAt,0)))</f>
        <v>0</v>
      </c>
      <c r="R130" s="26">
        <f>IF(B130="","",ROUND(Q130*RewardValue,2))</f>
        <v>0</v>
      </c>
      <c r="S130" s="25">
        <f>IF(B130="","",IF(RewardAt&lt;=0,"",MAX(0,RewardAt*(Q130+1)-P130)))</f>
        <v>0</v>
      </c>
      <c r="T130" s="25">
        <f>IF(B130="","",COUNTIFS(Clients!$H$5:$H$504,B130))</f>
        <v>0</v>
      </c>
      <c r="U130" s="26">
        <f>IF(B130="","",ROUND(T130*ReferralReward-IF(J130="",0,J130),2))</f>
        <v>0</v>
      </c>
      <c r="V130" s="15">
        <f>IF(B130="","",IFERROR(INDEX(Clients!$AM$5:$AM$504,MATCH(B130,Clients!$A$5:$A$504,0))&amp;"",""))</f>
        <v>0</v>
      </c>
      <c r="W130" s="25">
        <f>IF(B130="","",COUNTIFS($P$5:$P$504,"&gt;"&amp;P130)+COUNTIFS($P$5:P130,P130))</f>
        <v>0</v>
      </c>
      <c r="X130" s="39">
        <f>IF(B130="","",IF(K130="No","",IF(COUNTIF($B$5:$B$504,B130)&gt;1,"Duplicate - this client is on twice",IF(Q130&gt;0,"Action - reward ready to give",IF(U130&gt;0.004,"Action - referral credit owed",IF(V130="Lapsing","Chase - points are a reason to call",IF(S130&lt;=RewardAt*0.2,"Rebook - nearly at a reward","OK")))))))</f>
        <v>0</v>
      </c>
    </row>
    <row r="131" spans="1:24">
      <c r="A131" s="28">
        <f>IF(B131="","",LoyaltyPrefix&amp;TEXT(ROW()-4,"0000"))</f>
        <v>0</v>
      </c>
      <c r="C131" s="15">
        <f>IF(B131="","",IFERROR(INDEX(Clients!$B$5:$B$504,MATCH(B131,Clients!$A$5:$A$504,0)),"Not in Clients"))</f>
        <v>0</v>
      </c>
      <c r="M131" s="26">
        <f>IF(B131="","",ROUND(SUMIFS(Sales!$Y$5:$Y$1204,Sales!$D$5:$D$1204,B131,Sales!$B$5:$B$1204,"&gt;="&amp;IF(D131="",0,D131)),2))</f>
        <v>0</v>
      </c>
      <c r="N131" s="25">
        <f>IF(B131="","",IFERROR(INDEX(Clients!$T$5:$T$504,MATCH(B131,Clients!$A$5:$A$504,0))*1,0))</f>
        <v>0</v>
      </c>
      <c r="O131" s="25">
        <f>IF(B131="","",ROUND(M131*PointsPerUnit+IF(F131="",0,F131),0))</f>
        <v>0</v>
      </c>
      <c r="P131" s="25">
        <f>IF(B131="","",O131-IF(G131="",0,G131))</f>
        <v>0</v>
      </c>
      <c r="Q131" s="25">
        <f>IF(B131="","",IF(RewardAt&lt;=0,0,ROUNDDOWN(P131/RewardAt,0)))</f>
        <v>0</v>
      </c>
      <c r="R131" s="26">
        <f>IF(B131="","",ROUND(Q131*RewardValue,2))</f>
        <v>0</v>
      </c>
      <c r="S131" s="25">
        <f>IF(B131="","",IF(RewardAt&lt;=0,"",MAX(0,RewardAt*(Q131+1)-P131)))</f>
        <v>0</v>
      </c>
      <c r="T131" s="25">
        <f>IF(B131="","",COUNTIFS(Clients!$H$5:$H$504,B131))</f>
        <v>0</v>
      </c>
      <c r="U131" s="26">
        <f>IF(B131="","",ROUND(T131*ReferralReward-IF(J131="",0,J131),2))</f>
        <v>0</v>
      </c>
      <c r="V131" s="15">
        <f>IF(B131="","",IFERROR(INDEX(Clients!$AM$5:$AM$504,MATCH(B131,Clients!$A$5:$A$504,0))&amp;"",""))</f>
        <v>0</v>
      </c>
      <c r="W131" s="25">
        <f>IF(B131="","",COUNTIFS($P$5:$P$504,"&gt;"&amp;P131)+COUNTIFS($P$5:P131,P131))</f>
        <v>0</v>
      </c>
      <c r="X131" s="39">
        <f>IF(B131="","",IF(K131="No","",IF(COUNTIF($B$5:$B$504,B131)&gt;1,"Duplicate - this client is on twice",IF(Q131&gt;0,"Action - reward ready to give",IF(U131&gt;0.004,"Action - referral credit owed",IF(V131="Lapsing","Chase - points are a reason to call",IF(S131&lt;=RewardAt*0.2,"Rebook - nearly at a reward","OK")))))))</f>
        <v>0</v>
      </c>
    </row>
    <row r="132" spans="1:24">
      <c r="A132" s="28">
        <f>IF(B132="","",LoyaltyPrefix&amp;TEXT(ROW()-4,"0000"))</f>
        <v>0</v>
      </c>
      <c r="C132" s="15">
        <f>IF(B132="","",IFERROR(INDEX(Clients!$B$5:$B$504,MATCH(B132,Clients!$A$5:$A$504,0)),"Not in Clients"))</f>
        <v>0</v>
      </c>
      <c r="M132" s="26">
        <f>IF(B132="","",ROUND(SUMIFS(Sales!$Y$5:$Y$1204,Sales!$D$5:$D$1204,B132,Sales!$B$5:$B$1204,"&gt;="&amp;IF(D132="",0,D132)),2))</f>
        <v>0</v>
      </c>
      <c r="N132" s="25">
        <f>IF(B132="","",IFERROR(INDEX(Clients!$T$5:$T$504,MATCH(B132,Clients!$A$5:$A$504,0))*1,0))</f>
        <v>0</v>
      </c>
      <c r="O132" s="25">
        <f>IF(B132="","",ROUND(M132*PointsPerUnit+IF(F132="",0,F132),0))</f>
        <v>0</v>
      </c>
      <c r="P132" s="25">
        <f>IF(B132="","",O132-IF(G132="",0,G132))</f>
        <v>0</v>
      </c>
      <c r="Q132" s="25">
        <f>IF(B132="","",IF(RewardAt&lt;=0,0,ROUNDDOWN(P132/RewardAt,0)))</f>
        <v>0</v>
      </c>
      <c r="R132" s="26">
        <f>IF(B132="","",ROUND(Q132*RewardValue,2))</f>
        <v>0</v>
      </c>
      <c r="S132" s="25">
        <f>IF(B132="","",IF(RewardAt&lt;=0,"",MAX(0,RewardAt*(Q132+1)-P132)))</f>
        <v>0</v>
      </c>
      <c r="T132" s="25">
        <f>IF(B132="","",COUNTIFS(Clients!$H$5:$H$504,B132))</f>
        <v>0</v>
      </c>
      <c r="U132" s="26">
        <f>IF(B132="","",ROUND(T132*ReferralReward-IF(J132="",0,J132),2))</f>
        <v>0</v>
      </c>
      <c r="V132" s="15">
        <f>IF(B132="","",IFERROR(INDEX(Clients!$AM$5:$AM$504,MATCH(B132,Clients!$A$5:$A$504,0))&amp;"",""))</f>
        <v>0</v>
      </c>
      <c r="W132" s="25">
        <f>IF(B132="","",COUNTIFS($P$5:$P$504,"&gt;"&amp;P132)+COUNTIFS($P$5:P132,P132))</f>
        <v>0</v>
      </c>
      <c r="X132" s="39">
        <f>IF(B132="","",IF(K132="No","",IF(COUNTIF($B$5:$B$504,B132)&gt;1,"Duplicate - this client is on twice",IF(Q132&gt;0,"Action - reward ready to give",IF(U132&gt;0.004,"Action - referral credit owed",IF(V132="Lapsing","Chase - points are a reason to call",IF(S132&lt;=RewardAt*0.2,"Rebook - nearly at a reward","OK")))))))</f>
        <v>0</v>
      </c>
    </row>
    <row r="133" spans="1:24">
      <c r="A133" s="28">
        <f>IF(B133="","",LoyaltyPrefix&amp;TEXT(ROW()-4,"0000"))</f>
        <v>0</v>
      </c>
      <c r="C133" s="15">
        <f>IF(B133="","",IFERROR(INDEX(Clients!$B$5:$B$504,MATCH(B133,Clients!$A$5:$A$504,0)),"Not in Clients"))</f>
        <v>0</v>
      </c>
      <c r="M133" s="26">
        <f>IF(B133="","",ROUND(SUMIFS(Sales!$Y$5:$Y$1204,Sales!$D$5:$D$1204,B133,Sales!$B$5:$B$1204,"&gt;="&amp;IF(D133="",0,D133)),2))</f>
        <v>0</v>
      </c>
      <c r="N133" s="25">
        <f>IF(B133="","",IFERROR(INDEX(Clients!$T$5:$T$504,MATCH(B133,Clients!$A$5:$A$504,0))*1,0))</f>
        <v>0</v>
      </c>
      <c r="O133" s="25">
        <f>IF(B133="","",ROUND(M133*PointsPerUnit+IF(F133="",0,F133),0))</f>
        <v>0</v>
      </c>
      <c r="P133" s="25">
        <f>IF(B133="","",O133-IF(G133="",0,G133))</f>
        <v>0</v>
      </c>
      <c r="Q133" s="25">
        <f>IF(B133="","",IF(RewardAt&lt;=0,0,ROUNDDOWN(P133/RewardAt,0)))</f>
        <v>0</v>
      </c>
      <c r="R133" s="26">
        <f>IF(B133="","",ROUND(Q133*RewardValue,2))</f>
        <v>0</v>
      </c>
      <c r="S133" s="25">
        <f>IF(B133="","",IF(RewardAt&lt;=0,"",MAX(0,RewardAt*(Q133+1)-P133)))</f>
        <v>0</v>
      </c>
      <c r="T133" s="25">
        <f>IF(B133="","",COUNTIFS(Clients!$H$5:$H$504,B133))</f>
        <v>0</v>
      </c>
      <c r="U133" s="26">
        <f>IF(B133="","",ROUND(T133*ReferralReward-IF(J133="",0,J133),2))</f>
        <v>0</v>
      </c>
      <c r="V133" s="15">
        <f>IF(B133="","",IFERROR(INDEX(Clients!$AM$5:$AM$504,MATCH(B133,Clients!$A$5:$A$504,0))&amp;"",""))</f>
        <v>0</v>
      </c>
      <c r="W133" s="25">
        <f>IF(B133="","",COUNTIFS($P$5:$P$504,"&gt;"&amp;P133)+COUNTIFS($P$5:P133,P133))</f>
        <v>0</v>
      </c>
      <c r="X133" s="39">
        <f>IF(B133="","",IF(K133="No","",IF(COUNTIF($B$5:$B$504,B133)&gt;1,"Duplicate - this client is on twice",IF(Q133&gt;0,"Action - reward ready to give",IF(U133&gt;0.004,"Action - referral credit owed",IF(V133="Lapsing","Chase - points are a reason to call",IF(S133&lt;=RewardAt*0.2,"Rebook - nearly at a reward","OK")))))))</f>
        <v>0</v>
      </c>
    </row>
    <row r="134" spans="1:24">
      <c r="A134" s="28">
        <f>IF(B134="","",LoyaltyPrefix&amp;TEXT(ROW()-4,"0000"))</f>
        <v>0</v>
      </c>
      <c r="C134" s="15">
        <f>IF(B134="","",IFERROR(INDEX(Clients!$B$5:$B$504,MATCH(B134,Clients!$A$5:$A$504,0)),"Not in Clients"))</f>
        <v>0</v>
      </c>
      <c r="M134" s="26">
        <f>IF(B134="","",ROUND(SUMIFS(Sales!$Y$5:$Y$1204,Sales!$D$5:$D$1204,B134,Sales!$B$5:$B$1204,"&gt;="&amp;IF(D134="",0,D134)),2))</f>
        <v>0</v>
      </c>
      <c r="N134" s="25">
        <f>IF(B134="","",IFERROR(INDEX(Clients!$T$5:$T$504,MATCH(B134,Clients!$A$5:$A$504,0))*1,0))</f>
        <v>0</v>
      </c>
      <c r="O134" s="25">
        <f>IF(B134="","",ROUND(M134*PointsPerUnit+IF(F134="",0,F134),0))</f>
        <v>0</v>
      </c>
      <c r="P134" s="25">
        <f>IF(B134="","",O134-IF(G134="",0,G134))</f>
        <v>0</v>
      </c>
      <c r="Q134" s="25">
        <f>IF(B134="","",IF(RewardAt&lt;=0,0,ROUNDDOWN(P134/RewardAt,0)))</f>
        <v>0</v>
      </c>
      <c r="R134" s="26">
        <f>IF(B134="","",ROUND(Q134*RewardValue,2))</f>
        <v>0</v>
      </c>
      <c r="S134" s="25">
        <f>IF(B134="","",IF(RewardAt&lt;=0,"",MAX(0,RewardAt*(Q134+1)-P134)))</f>
        <v>0</v>
      </c>
      <c r="T134" s="25">
        <f>IF(B134="","",COUNTIFS(Clients!$H$5:$H$504,B134))</f>
        <v>0</v>
      </c>
      <c r="U134" s="26">
        <f>IF(B134="","",ROUND(T134*ReferralReward-IF(J134="",0,J134),2))</f>
        <v>0</v>
      </c>
      <c r="V134" s="15">
        <f>IF(B134="","",IFERROR(INDEX(Clients!$AM$5:$AM$504,MATCH(B134,Clients!$A$5:$A$504,0))&amp;"",""))</f>
        <v>0</v>
      </c>
      <c r="W134" s="25">
        <f>IF(B134="","",COUNTIFS($P$5:$P$504,"&gt;"&amp;P134)+COUNTIFS($P$5:P134,P134))</f>
        <v>0</v>
      </c>
      <c r="X134" s="39">
        <f>IF(B134="","",IF(K134="No","",IF(COUNTIF($B$5:$B$504,B134)&gt;1,"Duplicate - this client is on twice",IF(Q134&gt;0,"Action - reward ready to give",IF(U134&gt;0.004,"Action - referral credit owed",IF(V134="Lapsing","Chase - points are a reason to call",IF(S134&lt;=RewardAt*0.2,"Rebook - nearly at a reward","OK")))))))</f>
        <v>0</v>
      </c>
    </row>
    <row r="135" spans="1:24">
      <c r="A135" s="28">
        <f>IF(B135="","",LoyaltyPrefix&amp;TEXT(ROW()-4,"0000"))</f>
        <v>0</v>
      </c>
      <c r="C135" s="15">
        <f>IF(B135="","",IFERROR(INDEX(Clients!$B$5:$B$504,MATCH(B135,Clients!$A$5:$A$504,0)),"Not in Clients"))</f>
        <v>0</v>
      </c>
      <c r="M135" s="26">
        <f>IF(B135="","",ROUND(SUMIFS(Sales!$Y$5:$Y$1204,Sales!$D$5:$D$1204,B135,Sales!$B$5:$B$1204,"&gt;="&amp;IF(D135="",0,D135)),2))</f>
        <v>0</v>
      </c>
      <c r="N135" s="25">
        <f>IF(B135="","",IFERROR(INDEX(Clients!$T$5:$T$504,MATCH(B135,Clients!$A$5:$A$504,0))*1,0))</f>
        <v>0</v>
      </c>
      <c r="O135" s="25">
        <f>IF(B135="","",ROUND(M135*PointsPerUnit+IF(F135="",0,F135),0))</f>
        <v>0</v>
      </c>
      <c r="P135" s="25">
        <f>IF(B135="","",O135-IF(G135="",0,G135))</f>
        <v>0</v>
      </c>
      <c r="Q135" s="25">
        <f>IF(B135="","",IF(RewardAt&lt;=0,0,ROUNDDOWN(P135/RewardAt,0)))</f>
        <v>0</v>
      </c>
      <c r="R135" s="26">
        <f>IF(B135="","",ROUND(Q135*RewardValue,2))</f>
        <v>0</v>
      </c>
      <c r="S135" s="25">
        <f>IF(B135="","",IF(RewardAt&lt;=0,"",MAX(0,RewardAt*(Q135+1)-P135)))</f>
        <v>0</v>
      </c>
      <c r="T135" s="25">
        <f>IF(B135="","",COUNTIFS(Clients!$H$5:$H$504,B135))</f>
        <v>0</v>
      </c>
      <c r="U135" s="26">
        <f>IF(B135="","",ROUND(T135*ReferralReward-IF(J135="",0,J135),2))</f>
        <v>0</v>
      </c>
      <c r="V135" s="15">
        <f>IF(B135="","",IFERROR(INDEX(Clients!$AM$5:$AM$504,MATCH(B135,Clients!$A$5:$A$504,0))&amp;"",""))</f>
        <v>0</v>
      </c>
      <c r="W135" s="25">
        <f>IF(B135="","",COUNTIFS($P$5:$P$504,"&gt;"&amp;P135)+COUNTIFS($P$5:P135,P135))</f>
        <v>0</v>
      </c>
      <c r="X135" s="39">
        <f>IF(B135="","",IF(K135="No","",IF(COUNTIF($B$5:$B$504,B135)&gt;1,"Duplicate - this client is on twice",IF(Q135&gt;0,"Action - reward ready to give",IF(U135&gt;0.004,"Action - referral credit owed",IF(V135="Lapsing","Chase - points are a reason to call",IF(S135&lt;=RewardAt*0.2,"Rebook - nearly at a reward","OK")))))))</f>
        <v>0</v>
      </c>
    </row>
    <row r="136" spans="1:24">
      <c r="A136" s="28">
        <f>IF(B136="","",LoyaltyPrefix&amp;TEXT(ROW()-4,"0000"))</f>
        <v>0</v>
      </c>
      <c r="C136" s="15">
        <f>IF(B136="","",IFERROR(INDEX(Clients!$B$5:$B$504,MATCH(B136,Clients!$A$5:$A$504,0)),"Not in Clients"))</f>
        <v>0</v>
      </c>
      <c r="M136" s="26">
        <f>IF(B136="","",ROUND(SUMIFS(Sales!$Y$5:$Y$1204,Sales!$D$5:$D$1204,B136,Sales!$B$5:$B$1204,"&gt;="&amp;IF(D136="",0,D136)),2))</f>
        <v>0</v>
      </c>
      <c r="N136" s="25">
        <f>IF(B136="","",IFERROR(INDEX(Clients!$T$5:$T$504,MATCH(B136,Clients!$A$5:$A$504,0))*1,0))</f>
        <v>0</v>
      </c>
      <c r="O136" s="25">
        <f>IF(B136="","",ROUND(M136*PointsPerUnit+IF(F136="",0,F136),0))</f>
        <v>0</v>
      </c>
      <c r="P136" s="25">
        <f>IF(B136="","",O136-IF(G136="",0,G136))</f>
        <v>0</v>
      </c>
      <c r="Q136" s="25">
        <f>IF(B136="","",IF(RewardAt&lt;=0,0,ROUNDDOWN(P136/RewardAt,0)))</f>
        <v>0</v>
      </c>
      <c r="R136" s="26">
        <f>IF(B136="","",ROUND(Q136*RewardValue,2))</f>
        <v>0</v>
      </c>
      <c r="S136" s="25">
        <f>IF(B136="","",IF(RewardAt&lt;=0,"",MAX(0,RewardAt*(Q136+1)-P136)))</f>
        <v>0</v>
      </c>
      <c r="T136" s="25">
        <f>IF(B136="","",COUNTIFS(Clients!$H$5:$H$504,B136))</f>
        <v>0</v>
      </c>
      <c r="U136" s="26">
        <f>IF(B136="","",ROUND(T136*ReferralReward-IF(J136="",0,J136),2))</f>
        <v>0</v>
      </c>
      <c r="V136" s="15">
        <f>IF(B136="","",IFERROR(INDEX(Clients!$AM$5:$AM$504,MATCH(B136,Clients!$A$5:$A$504,0))&amp;"",""))</f>
        <v>0</v>
      </c>
      <c r="W136" s="25">
        <f>IF(B136="","",COUNTIFS($P$5:$P$504,"&gt;"&amp;P136)+COUNTIFS($P$5:P136,P136))</f>
        <v>0</v>
      </c>
      <c r="X136" s="39">
        <f>IF(B136="","",IF(K136="No","",IF(COUNTIF($B$5:$B$504,B136)&gt;1,"Duplicate - this client is on twice",IF(Q136&gt;0,"Action - reward ready to give",IF(U136&gt;0.004,"Action - referral credit owed",IF(V136="Lapsing","Chase - points are a reason to call",IF(S136&lt;=RewardAt*0.2,"Rebook - nearly at a reward","OK")))))))</f>
        <v>0</v>
      </c>
    </row>
    <row r="137" spans="1:24">
      <c r="A137" s="28">
        <f>IF(B137="","",LoyaltyPrefix&amp;TEXT(ROW()-4,"0000"))</f>
        <v>0</v>
      </c>
      <c r="C137" s="15">
        <f>IF(B137="","",IFERROR(INDEX(Clients!$B$5:$B$504,MATCH(B137,Clients!$A$5:$A$504,0)),"Not in Clients"))</f>
        <v>0</v>
      </c>
      <c r="M137" s="26">
        <f>IF(B137="","",ROUND(SUMIFS(Sales!$Y$5:$Y$1204,Sales!$D$5:$D$1204,B137,Sales!$B$5:$B$1204,"&gt;="&amp;IF(D137="",0,D137)),2))</f>
        <v>0</v>
      </c>
      <c r="N137" s="25">
        <f>IF(B137="","",IFERROR(INDEX(Clients!$T$5:$T$504,MATCH(B137,Clients!$A$5:$A$504,0))*1,0))</f>
        <v>0</v>
      </c>
      <c r="O137" s="25">
        <f>IF(B137="","",ROUND(M137*PointsPerUnit+IF(F137="",0,F137),0))</f>
        <v>0</v>
      </c>
      <c r="P137" s="25">
        <f>IF(B137="","",O137-IF(G137="",0,G137))</f>
        <v>0</v>
      </c>
      <c r="Q137" s="25">
        <f>IF(B137="","",IF(RewardAt&lt;=0,0,ROUNDDOWN(P137/RewardAt,0)))</f>
        <v>0</v>
      </c>
      <c r="R137" s="26">
        <f>IF(B137="","",ROUND(Q137*RewardValue,2))</f>
        <v>0</v>
      </c>
      <c r="S137" s="25">
        <f>IF(B137="","",IF(RewardAt&lt;=0,"",MAX(0,RewardAt*(Q137+1)-P137)))</f>
        <v>0</v>
      </c>
      <c r="T137" s="25">
        <f>IF(B137="","",COUNTIFS(Clients!$H$5:$H$504,B137))</f>
        <v>0</v>
      </c>
      <c r="U137" s="26">
        <f>IF(B137="","",ROUND(T137*ReferralReward-IF(J137="",0,J137),2))</f>
        <v>0</v>
      </c>
      <c r="V137" s="15">
        <f>IF(B137="","",IFERROR(INDEX(Clients!$AM$5:$AM$504,MATCH(B137,Clients!$A$5:$A$504,0))&amp;"",""))</f>
        <v>0</v>
      </c>
      <c r="W137" s="25">
        <f>IF(B137="","",COUNTIFS($P$5:$P$504,"&gt;"&amp;P137)+COUNTIFS($P$5:P137,P137))</f>
        <v>0</v>
      </c>
      <c r="X137" s="39">
        <f>IF(B137="","",IF(K137="No","",IF(COUNTIF($B$5:$B$504,B137)&gt;1,"Duplicate - this client is on twice",IF(Q137&gt;0,"Action - reward ready to give",IF(U137&gt;0.004,"Action - referral credit owed",IF(V137="Lapsing","Chase - points are a reason to call",IF(S137&lt;=RewardAt*0.2,"Rebook - nearly at a reward","OK")))))))</f>
        <v>0</v>
      </c>
    </row>
    <row r="138" spans="1:24">
      <c r="A138" s="28">
        <f>IF(B138="","",LoyaltyPrefix&amp;TEXT(ROW()-4,"0000"))</f>
        <v>0</v>
      </c>
      <c r="C138" s="15">
        <f>IF(B138="","",IFERROR(INDEX(Clients!$B$5:$B$504,MATCH(B138,Clients!$A$5:$A$504,0)),"Not in Clients"))</f>
        <v>0</v>
      </c>
      <c r="M138" s="26">
        <f>IF(B138="","",ROUND(SUMIFS(Sales!$Y$5:$Y$1204,Sales!$D$5:$D$1204,B138,Sales!$B$5:$B$1204,"&gt;="&amp;IF(D138="",0,D138)),2))</f>
        <v>0</v>
      </c>
      <c r="N138" s="25">
        <f>IF(B138="","",IFERROR(INDEX(Clients!$T$5:$T$504,MATCH(B138,Clients!$A$5:$A$504,0))*1,0))</f>
        <v>0</v>
      </c>
      <c r="O138" s="25">
        <f>IF(B138="","",ROUND(M138*PointsPerUnit+IF(F138="",0,F138),0))</f>
        <v>0</v>
      </c>
      <c r="P138" s="25">
        <f>IF(B138="","",O138-IF(G138="",0,G138))</f>
        <v>0</v>
      </c>
      <c r="Q138" s="25">
        <f>IF(B138="","",IF(RewardAt&lt;=0,0,ROUNDDOWN(P138/RewardAt,0)))</f>
        <v>0</v>
      </c>
      <c r="R138" s="26">
        <f>IF(B138="","",ROUND(Q138*RewardValue,2))</f>
        <v>0</v>
      </c>
      <c r="S138" s="25">
        <f>IF(B138="","",IF(RewardAt&lt;=0,"",MAX(0,RewardAt*(Q138+1)-P138)))</f>
        <v>0</v>
      </c>
      <c r="T138" s="25">
        <f>IF(B138="","",COUNTIFS(Clients!$H$5:$H$504,B138))</f>
        <v>0</v>
      </c>
      <c r="U138" s="26">
        <f>IF(B138="","",ROUND(T138*ReferralReward-IF(J138="",0,J138),2))</f>
        <v>0</v>
      </c>
      <c r="V138" s="15">
        <f>IF(B138="","",IFERROR(INDEX(Clients!$AM$5:$AM$504,MATCH(B138,Clients!$A$5:$A$504,0))&amp;"",""))</f>
        <v>0</v>
      </c>
      <c r="W138" s="25">
        <f>IF(B138="","",COUNTIFS($P$5:$P$504,"&gt;"&amp;P138)+COUNTIFS($P$5:P138,P138))</f>
        <v>0</v>
      </c>
      <c r="X138" s="39">
        <f>IF(B138="","",IF(K138="No","",IF(COUNTIF($B$5:$B$504,B138)&gt;1,"Duplicate - this client is on twice",IF(Q138&gt;0,"Action - reward ready to give",IF(U138&gt;0.004,"Action - referral credit owed",IF(V138="Lapsing","Chase - points are a reason to call",IF(S138&lt;=RewardAt*0.2,"Rebook - nearly at a reward","OK")))))))</f>
        <v>0</v>
      </c>
    </row>
    <row r="139" spans="1:24">
      <c r="A139" s="28">
        <f>IF(B139="","",LoyaltyPrefix&amp;TEXT(ROW()-4,"0000"))</f>
        <v>0</v>
      </c>
      <c r="C139" s="15">
        <f>IF(B139="","",IFERROR(INDEX(Clients!$B$5:$B$504,MATCH(B139,Clients!$A$5:$A$504,0)),"Not in Clients"))</f>
        <v>0</v>
      </c>
      <c r="M139" s="26">
        <f>IF(B139="","",ROUND(SUMIFS(Sales!$Y$5:$Y$1204,Sales!$D$5:$D$1204,B139,Sales!$B$5:$B$1204,"&gt;="&amp;IF(D139="",0,D139)),2))</f>
        <v>0</v>
      </c>
      <c r="N139" s="25">
        <f>IF(B139="","",IFERROR(INDEX(Clients!$T$5:$T$504,MATCH(B139,Clients!$A$5:$A$504,0))*1,0))</f>
        <v>0</v>
      </c>
      <c r="O139" s="25">
        <f>IF(B139="","",ROUND(M139*PointsPerUnit+IF(F139="",0,F139),0))</f>
        <v>0</v>
      </c>
      <c r="P139" s="25">
        <f>IF(B139="","",O139-IF(G139="",0,G139))</f>
        <v>0</v>
      </c>
      <c r="Q139" s="25">
        <f>IF(B139="","",IF(RewardAt&lt;=0,0,ROUNDDOWN(P139/RewardAt,0)))</f>
        <v>0</v>
      </c>
      <c r="R139" s="26">
        <f>IF(B139="","",ROUND(Q139*RewardValue,2))</f>
        <v>0</v>
      </c>
      <c r="S139" s="25">
        <f>IF(B139="","",IF(RewardAt&lt;=0,"",MAX(0,RewardAt*(Q139+1)-P139)))</f>
        <v>0</v>
      </c>
      <c r="T139" s="25">
        <f>IF(B139="","",COUNTIFS(Clients!$H$5:$H$504,B139))</f>
        <v>0</v>
      </c>
      <c r="U139" s="26">
        <f>IF(B139="","",ROUND(T139*ReferralReward-IF(J139="",0,J139),2))</f>
        <v>0</v>
      </c>
      <c r="V139" s="15">
        <f>IF(B139="","",IFERROR(INDEX(Clients!$AM$5:$AM$504,MATCH(B139,Clients!$A$5:$A$504,0))&amp;"",""))</f>
        <v>0</v>
      </c>
      <c r="W139" s="25">
        <f>IF(B139="","",COUNTIFS($P$5:$P$504,"&gt;"&amp;P139)+COUNTIFS($P$5:P139,P139))</f>
        <v>0</v>
      </c>
      <c r="X139" s="39">
        <f>IF(B139="","",IF(K139="No","",IF(COUNTIF($B$5:$B$504,B139)&gt;1,"Duplicate - this client is on twice",IF(Q139&gt;0,"Action - reward ready to give",IF(U139&gt;0.004,"Action - referral credit owed",IF(V139="Lapsing","Chase - points are a reason to call",IF(S139&lt;=RewardAt*0.2,"Rebook - nearly at a reward","OK")))))))</f>
        <v>0</v>
      </c>
    </row>
    <row r="140" spans="1:24">
      <c r="A140" s="28">
        <f>IF(B140="","",LoyaltyPrefix&amp;TEXT(ROW()-4,"0000"))</f>
        <v>0</v>
      </c>
      <c r="C140" s="15">
        <f>IF(B140="","",IFERROR(INDEX(Clients!$B$5:$B$504,MATCH(B140,Clients!$A$5:$A$504,0)),"Not in Clients"))</f>
        <v>0</v>
      </c>
      <c r="M140" s="26">
        <f>IF(B140="","",ROUND(SUMIFS(Sales!$Y$5:$Y$1204,Sales!$D$5:$D$1204,B140,Sales!$B$5:$B$1204,"&gt;="&amp;IF(D140="",0,D140)),2))</f>
        <v>0</v>
      </c>
      <c r="N140" s="25">
        <f>IF(B140="","",IFERROR(INDEX(Clients!$T$5:$T$504,MATCH(B140,Clients!$A$5:$A$504,0))*1,0))</f>
        <v>0</v>
      </c>
      <c r="O140" s="25">
        <f>IF(B140="","",ROUND(M140*PointsPerUnit+IF(F140="",0,F140),0))</f>
        <v>0</v>
      </c>
      <c r="P140" s="25">
        <f>IF(B140="","",O140-IF(G140="",0,G140))</f>
        <v>0</v>
      </c>
      <c r="Q140" s="25">
        <f>IF(B140="","",IF(RewardAt&lt;=0,0,ROUNDDOWN(P140/RewardAt,0)))</f>
        <v>0</v>
      </c>
      <c r="R140" s="26">
        <f>IF(B140="","",ROUND(Q140*RewardValue,2))</f>
        <v>0</v>
      </c>
      <c r="S140" s="25">
        <f>IF(B140="","",IF(RewardAt&lt;=0,"",MAX(0,RewardAt*(Q140+1)-P140)))</f>
        <v>0</v>
      </c>
      <c r="T140" s="25">
        <f>IF(B140="","",COUNTIFS(Clients!$H$5:$H$504,B140))</f>
        <v>0</v>
      </c>
      <c r="U140" s="26">
        <f>IF(B140="","",ROUND(T140*ReferralReward-IF(J140="",0,J140),2))</f>
        <v>0</v>
      </c>
      <c r="V140" s="15">
        <f>IF(B140="","",IFERROR(INDEX(Clients!$AM$5:$AM$504,MATCH(B140,Clients!$A$5:$A$504,0))&amp;"",""))</f>
        <v>0</v>
      </c>
      <c r="W140" s="25">
        <f>IF(B140="","",COUNTIFS($P$5:$P$504,"&gt;"&amp;P140)+COUNTIFS($P$5:P140,P140))</f>
        <v>0</v>
      </c>
      <c r="X140" s="39">
        <f>IF(B140="","",IF(K140="No","",IF(COUNTIF($B$5:$B$504,B140)&gt;1,"Duplicate - this client is on twice",IF(Q140&gt;0,"Action - reward ready to give",IF(U140&gt;0.004,"Action - referral credit owed",IF(V140="Lapsing","Chase - points are a reason to call",IF(S140&lt;=RewardAt*0.2,"Rebook - nearly at a reward","OK")))))))</f>
        <v>0</v>
      </c>
    </row>
    <row r="141" spans="1:24">
      <c r="A141" s="28">
        <f>IF(B141="","",LoyaltyPrefix&amp;TEXT(ROW()-4,"0000"))</f>
        <v>0</v>
      </c>
      <c r="C141" s="15">
        <f>IF(B141="","",IFERROR(INDEX(Clients!$B$5:$B$504,MATCH(B141,Clients!$A$5:$A$504,0)),"Not in Clients"))</f>
        <v>0</v>
      </c>
      <c r="M141" s="26">
        <f>IF(B141="","",ROUND(SUMIFS(Sales!$Y$5:$Y$1204,Sales!$D$5:$D$1204,B141,Sales!$B$5:$B$1204,"&gt;="&amp;IF(D141="",0,D141)),2))</f>
        <v>0</v>
      </c>
      <c r="N141" s="25">
        <f>IF(B141="","",IFERROR(INDEX(Clients!$T$5:$T$504,MATCH(B141,Clients!$A$5:$A$504,0))*1,0))</f>
        <v>0</v>
      </c>
      <c r="O141" s="25">
        <f>IF(B141="","",ROUND(M141*PointsPerUnit+IF(F141="",0,F141),0))</f>
        <v>0</v>
      </c>
      <c r="P141" s="25">
        <f>IF(B141="","",O141-IF(G141="",0,G141))</f>
        <v>0</v>
      </c>
      <c r="Q141" s="25">
        <f>IF(B141="","",IF(RewardAt&lt;=0,0,ROUNDDOWN(P141/RewardAt,0)))</f>
        <v>0</v>
      </c>
      <c r="R141" s="26">
        <f>IF(B141="","",ROUND(Q141*RewardValue,2))</f>
        <v>0</v>
      </c>
      <c r="S141" s="25">
        <f>IF(B141="","",IF(RewardAt&lt;=0,"",MAX(0,RewardAt*(Q141+1)-P141)))</f>
        <v>0</v>
      </c>
      <c r="T141" s="25">
        <f>IF(B141="","",COUNTIFS(Clients!$H$5:$H$504,B141))</f>
        <v>0</v>
      </c>
      <c r="U141" s="26">
        <f>IF(B141="","",ROUND(T141*ReferralReward-IF(J141="",0,J141),2))</f>
        <v>0</v>
      </c>
      <c r="V141" s="15">
        <f>IF(B141="","",IFERROR(INDEX(Clients!$AM$5:$AM$504,MATCH(B141,Clients!$A$5:$A$504,0))&amp;"",""))</f>
        <v>0</v>
      </c>
      <c r="W141" s="25">
        <f>IF(B141="","",COUNTIFS($P$5:$P$504,"&gt;"&amp;P141)+COUNTIFS($P$5:P141,P141))</f>
        <v>0</v>
      </c>
      <c r="X141" s="39">
        <f>IF(B141="","",IF(K141="No","",IF(COUNTIF($B$5:$B$504,B141)&gt;1,"Duplicate - this client is on twice",IF(Q141&gt;0,"Action - reward ready to give",IF(U141&gt;0.004,"Action - referral credit owed",IF(V141="Lapsing","Chase - points are a reason to call",IF(S141&lt;=RewardAt*0.2,"Rebook - nearly at a reward","OK")))))))</f>
        <v>0</v>
      </c>
    </row>
    <row r="142" spans="1:24">
      <c r="A142" s="28">
        <f>IF(B142="","",LoyaltyPrefix&amp;TEXT(ROW()-4,"0000"))</f>
        <v>0</v>
      </c>
      <c r="C142" s="15">
        <f>IF(B142="","",IFERROR(INDEX(Clients!$B$5:$B$504,MATCH(B142,Clients!$A$5:$A$504,0)),"Not in Clients"))</f>
        <v>0</v>
      </c>
      <c r="M142" s="26">
        <f>IF(B142="","",ROUND(SUMIFS(Sales!$Y$5:$Y$1204,Sales!$D$5:$D$1204,B142,Sales!$B$5:$B$1204,"&gt;="&amp;IF(D142="",0,D142)),2))</f>
        <v>0</v>
      </c>
      <c r="N142" s="25">
        <f>IF(B142="","",IFERROR(INDEX(Clients!$T$5:$T$504,MATCH(B142,Clients!$A$5:$A$504,0))*1,0))</f>
        <v>0</v>
      </c>
      <c r="O142" s="25">
        <f>IF(B142="","",ROUND(M142*PointsPerUnit+IF(F142="",0,F142),0))</f>
        <v>0</v>
      </c>
      <c r="P142" s="25">
        <f>IF(B142="","",O142-IF(G142="",0,G142))</f>
        <v>0</v>
      </c>
      <c r="Q142" s="25">
        <f>IF(B142="","",IF(RewardAt&lt;=0,0,ROUNDDOWN(P142/RewardAt,0)))</f>
        <v>0</v>
      </c>
      <c r="R142" s="26">
        <f>IF(B142="","",ROUND(Q142*RewardValue,2))</f>
        <v>0</v>
      </c>
      <c r="S142" s="25">
        <f>IF(B142="","",IF(RewardAt&lt;=0,"",MAX(0,RewardAt*(Q142+1)-P142)))</f>
        <v>0</v>
      </c>
      <c r="T142" s="25">
        <f>IF(B142="","",COUNTIFS(Clients!$H$5:$H$504,B142))</f>
        <v>0</v>
      </c>
      <c r="U142" s="26">
        <f>IF(B142="","",ROUND(T142*ReferralReward-IF(J142="",0,J142),2))</f>
        <v>0</v>
      </c>
      <c r="V142" s="15">
        <f>IF(B142="","",IFERROR(INDEX(Clients!$AM$5:$AM$504,MATCH(B142,Clients!$A$5:$A$504,0))&amp;"",""))</f>
        <v>0</v>
      </c>
      <c r="W142" s="25">
        <f>IF(B142="","",COUNTIFS($P$5:$P$504,"&gt;"&amp;P142)+COUNTIFS($P$5:P142,P142))</f>
        <v>0</v>
      </c>
      <c r="X142" s="39">
        <f>IF(B142="","",IF(K142="No","",IF(COUNTIF($B$5:$B$504,B142)&gt;1,"Duplicate - this client is on twice",IF(Q142&gt;0,"Action - reward ready to give",IF(U142&gt;0.004,"Action - referral credit owed",IF(V142="Lapsing","Chase - points are a reason to call",IF(S142&lt;=RewardAt*0.2,"Rebook - nearly at a reward","OK")))))))</f>
        <v>0</v>
      </c>
    </row>
    <row r="143" spans="1:24">
      <c r="A143" s="28">
        <f>IF(B143="","",LoyaltyPrefix&amp;TEXT(ROW()-4,"0000"))</f>
        <v>0</v>
      </c>
      <c r="C143" s="15">
        <f>IF(B143="","",IFERROR(INDEX(Clients!$B$5:$B$504,MATCH(B143,Clients!$A$5:$A$504,0)),"Not in Clients"))</f>
        <v>0</v>
      </c>
      <c r="M143" s="26">
        <f>IF(B143="","",ROUND(SUMIFS(Sales!$Y$5:$Y$1204,Sales!$D$5:$D$1204,B143,Sales!$B$5:$B$1204,"&gt;="&amp;IF(D143="",0,D143)),2))</f>
        <v>0</v>
      </c>
      <c r="N143" s="25">
        <f>IF(B143="","",IFERROR(INDEX(Clients!$T$5:$T$504,MATCH(B143,Clients!$A$5:$A$504,0))*1,0))</f>
        <v>0</v>
      </c>
      <c r="O143" s="25">
        <f>IF(B143="","",ROUND(M143*PointsPerUnit+IF(F143="",0,F143),0))</f>
        <v>0</v>
      </c>
      <c r="P143" s="25">
        <f>IF(B143="","",O143-IF(G143="",0,G143))</f>
        <v>0</v>
      </c>
      <c r="Q143" s="25">
        <f>IF(B143="","",IF(RewardAt&lt;=0,0,ROUNDDOWN(P143/RewardAt,0)))</f>
        <v>0</v>
      </c>
      <c r="R143" s="26">
        <f>IF(B143="","",ROUND(Q143*RewardValue,2))</f>
        <v>0</v>
      </c>
      <c r="S143" s="25">
        <f>IF(B143="","",IF(RewardAt&lt;=0,"",MAX(0,RewardAt*(Q143+1)-P143)))</f>
        <v>0</v>
      </c>
      <c r="T143" s="25">
        <f>IF(B143="","",COUNTIFS(Clients!$H$5:$H$504,B143))</f>
        <v>0</v>
      </c>
      <c r="U143" s="26">
        <f>IF(B143="","",ROUND(T143*ReferralReward-IF(J143="",0,J143),2))</f>
        <v>0</v>
      </c>
      <c r="V143" s="15">
        <f>IF(B143="","",IFERROR(INDEX(Clients!$AM$5:$AM$504,MATCH(B143,Clients!$A$5:$A$504,0))&amp;"",""))</f>
        <v>0</v>
      </c>
      <c r="W143" s="25">
        <f>IF(B143="","",COUNTIFS($P$5:$P$504,"&gt;"&amp;P143)+COUNTIFS($P$5:P143,P143))</f>
        <v>0</v>
      </c>
      <c r="X143" s="39">
        <f>IF(B143="","",IF(K143="No","",IF(COUNTIF($B$5:$B$504,B143)&gt;1,"Duplicate - this client is on twice",IF(Q143&gt;0,"Action - reward ready to give",IF(U143&gt;0.004,"Action - referral credit owed",IF(V143="Lapsing","Chase - points are a reason to call",IF(S143&lt;=RewardAt*0.2,"Rebook - nearly at a reward","OK")))))))</f>
        <v>0</v>
      </c>
    </row>
    <row r="144" spans="1:24">
      <c r="A144" s="28">
        <f>IF(B144="","",LoyaltyPrefix&amp;TEXT(ROW()-4,"0000"))</f>
        <v>0</v>
      </c>
      <c r="C144" s="15">
        <f>IF(B144="","",IFERROR(INDEX(Clients!$B$5:$B$504,MATCH(B144,Clients!$A$5:$A$504,0)),"Not in Clients"))</f>
        <v>0</v>
      </c>
      <c r="M144" s="26">
        <f>IF(B144="","",ROUND(SUMIFS(Sales!$Y$5:$Y$1204,Sales!$D$5:$D$1204,B144,Sales!$B$5:$B$1204,"&gt;="&amp;IF(D144="",0,D144)),2))</f>
        <v>0</v>
      </c>
      <c r="N144" s="25">
        <f>IF(B144="","",IFERROR(INDEX(Clients!$T$5:$T$504,MATCH(B144,Clients!$A$5:$A$504,0))*1,0))</f>
        <v>0</v>
      </c>
      <c r="O144" s="25">
        <f>IF(B144="","",ROUND(M144*PointsPerUnit+IF(F144="",0,F144),0))</f>
        <v>0</v>
      </c>
      <c r="P144" s="25">
        <f>IF(B144="","",O144-IF(G144="",0,G144))</f>
        <v>0</v>
      </c>
      <c r="Q144" s="25">
        <f>IF(B144="","",IF(RewardAt&lt;=0,0,ROUNDDOWN(P144/RewardAt,0)))</f>
        <v>0</v>
      </c>
      <c r="R144" s="26">
        <f>IF(B144="","",ROUND(Q144*RewardValue,2))</f>
        <v>0</v>
      </c>
      <c r="S144" s="25">
        <f>IF(B144="","",IF(RewardAt&lt;=0,"",MAX(0,RewardAt*(Q144+1)-P144)))</f>
        <v>0</v>
      </c>
      <c r="T144" s="25">
        <f>IF(B144="","",COUNTIFS(Clients!$H$5:$H$504,B144))</f>
        <v>0</v>
      </c>
      <c r="U144" s="26">
        <f>IF(B144="","",ROUND(T144*ReferralReward-IF(J144="",0,J144),2))</f>
        <v>0</v>
      </c>
      <c r="V144" s="15">
        <f>IF(B144="","",IFERROR(INDEX(Clients!$AM$5:$AM$504,MATCH(B144,Clients!$A$5:$A$504,0))&amp;"",""))</f>
        <v>0</v>
      </c>
      <c r="W144" s="25">
        <f>IF(B144="","",COUNTIFS($P$5:$P$504,"&gt;"&amp;P144)+COUNTIFS($P$5:P144,P144))</f>
        <v>0</v>
      </c>
      <c r="X144" s="39">
        <f>IF(B144="","",IF(K144="No","",IF(COUNTIF($B$5:$B$504,B144)&gt;1,"Duplicate - this client is on twice",IF(Q144&gt;0,"Action - reward ready to give",IF(U144&gt;0.004,"Action - referral credit owed",IF(V144="Lapsing","Chase - points are a reason to call",IF(S144&lt;=RewardAt*0.2,"Rebook - nearly at a reward","OK")))))))</f>
        <v>0</v>
      </c>
    </row>
    <row r="145" spans="1:24">
      <c r="A145" s="28">
        <f>IF(B145="","",LoyaltyPrefix&amp;TEXT(ROW()-4,"0000"))</f>
        <v>0</v>
      </c>
      <c r="C145" s="15">
        <f>IF(B145="","",IFERROR(INDEX(Clients!$B$5:$B$504,MATCH(B145,Clients!$A$5:$A$504,0)),"Not in Clients"))</f>
        <v>0</v>
      </c>
      <c r="M145" s="26">
        <f>IF(B145="","",ROUND(SUMIFS(Sales!$Y$5:$Y$1204,Sales!$D$5:$D$1204,B145,Sales!$B$5:$B$1204,"&gt;="&amp;IF(D145="",0,D145)),2))</f>
        <v>0</v>
      </c>
      <c r="N145" s="25">
        <f>IF(B145="","",IFERROR(INDEX(Clients!$T$5:$T$504,MATCH(B145,Clients!$A$5:$A$504,0))*1,0))</f>
        <v>0</v>
      </c>
      <c r="O145" s="25">
        <f>IF(B145="","",ROUND(M145*PointsPerUnit+IF(F145="",0,F145),0))</f>
        <v>0</v>
      </c>
      <c r="P145" s="25">
        <f>IF(B145="","",O145-IF(G145="",0,G145))</f>
        <v>0</v>
      </c>
      <c r="Q145" s="25">
        <f>IF(B145="","",IF(RewardAt&lt;=0,0,ROUNDDOWN(P145/RewardAt,0)))</f>
        <v>0</v>
      </c>
      <c r="R145" s="26">
        <f>IF(B145="","",ROUND(Q145*RewardValue,2))</f>
        <v>0</v>
      </c>
      <c r="S145" s="25">
        <f>IF(B145="","",IF(RewardAt&lt;=0,"",MAX(0,RewardAt*(Q145+1)-P145)))</f>
        <v>0</v>
      </c>
      <c r="T145" s="25">
        <f>IF(B145="","",COUNTIFS(Clients!$H$5:$H$504,B145))</f>
        <v>0</v>
      </c>
      <c r="U145" s="26">
        <f>IF(B145="","",ROUND(T145*ReferralReward-IF(J145="",0,J145),2))</f>
        <v>0</v>
      </c>
      <c r="V145" s="15">
        <f>IF(B145="","",IFERROR(INDEX(Clients!$AM$5:$AM$504,MATCH(B145,Clients!$A$5:$A$504,0))&amp;"",""))</f>
        <v>0</v>
      </c>
      <c r="W145" s="25">
        <f>IF(B145="","",COUNTIFS($P$5:$P$504,"&gt;"&amp;P145)+COUNTIFS($P$5:P145,P145))</f>
        <v>0</v>
      </c>
      <c r="X145" s="39">
        <f>IF(B145="","",IF(K145="No","",IF(COUNTIF($B$5:$B$504,B145)&gt;1,"Duplicate - this client is on twice",IF(Q145&gt;0,"Action - reward ready to give",IF(U145&gt;0.004,"Action - referral credit owed",IF(V145="Lapsing","Chase - points are a reason to call",IF(S145&lt;=RewardAt*0.2,"Rebook - nearly at a reward","OK")))))))</f>
        <v>0</v>
      </c>
    </row>
    <row r="146" spans="1:24">
      <c r="A146" s="28">
        <f>IF(B146="","",LoyaltyPrefix&amp;TEXT(ROW()-4,"0000"))</f>
        <v>0</v>
      </c>
      <c r="C146" s="15">
        <f>IF(B146="","",IFERROR(INDEX(Clients!$B$5:$B$504,MATCH(B146,Clients!$A$5:$A$504,0)),"Not in Clients"))</f>
        <v>0</v>
      </c>
      <c r="M146" s="26">
        <f>IF(B146="","",ROUND(SUMIFS(Sales!$Y$5:$Y$1204,Sales!$D$5:$D$1204,B146,Sales!$B$5:$B$1204,"&gt;="&amp;IF(D146="",0,D146)),2))</f>
        <v>0</v>
      </c>
      <c r="N146" s="25">
        <f>IF(B146="","",IFERROR(INDEX(Clients!$T$5:$T$504,MATCH(B146,Clients!$A$5:$A$504,0))*1,0))</f>
        <v>0</v>
      </c>
      <c r="O146" s="25">
        <f>IF(B146="","",ROUND(M146*PointsPerUnit+IF(F146="",0,F146),0))</f>
        <v>0</v>
      </c>
      <c r="P146" s="25">
        <f>IF(B146="","",O146-IF(G146="",0,G146))</f>
        <v>0</v>
      </c>
      <c r="Q146" s="25">
        <f>IF(B146="","",IF(RewardAt&lt;=0,0,ROUNDDOWN(P146/RewardAt,0)))</f>
        <v>0</v>
      </c>
      <c r="R146" s="26">
        <f>IF(B146="","",ROUND(Q146*RewardValue,2))</f>
        <v>0</v>
      </c>
      <c r="S146" s="25">
        <f>IF(B146="","",IF(RewardAt&lt;=0,"",MAX(0,RewardAt*(Q146+1)-P146)))</f>
        <v>0</v>
      </c>
      <c r="T146" s="25">
        <f>IF(B146="","",COUNTIFS(Clients!$H$5:$H$504,B146))</f>
        <v>0</v>
      </c>
      <c r="U146" s="26">
        <f>IF(B146="","",ROUND(T146*ReferralReward-IF(J146="",0,J146),2))</f>
        <v>0</v>
      </c>
      <c r="V146" s="15">
        <f>IF(B146="","",IFERROR(INDEX(Clients!$AM$5:$AM$504,MATCH(B146,Clients!$A$5:$A$504,0))&amp;"",""))</f>
        <v>0</v>
      </c>
      <c r="W146" s="25">
        <f>IF(B146="","",COUNTIFS($P$5:$P$504,"&gt;"&amp;P146)+COUNTIFS($P$5:P146,P146))</f>
        <v>0</v>
      </c>
      <c r="X146" s="39">
        <f>IF(B146="","",IF(K146="No","",IF(COUNTIF($B$5:$B$504,B146)&gt;1,"Duplicate - this client is on twice",IF(Q146&gt;0,"Action - reward ready to give",IF(U146&gt;0.004,"Action - referral credit owed",IF(V146="Lapsing","Chase - points are a reason to call",IF(S146&lt;=RewardAt*0.2,"Rebook - nearly at a reward","OK")))))))</f>
        <v>0</v>
      </c>
    </row>
    <row r="147" spans="1:24">
      <c r="A147" s="28">
        <f>IF(B147="","",LoyaltyPrefix&amp;TEXT(ROW()-4,"0000"))</f>
        <v>0</v>
      </c>
      <c r="C147" s="15">
        <f>IF(B147="","",IFERROR(INDEX(Clients!$B$5:$B$504,MATCH(B147,Clients!$A$5:$A$504,0)),"Not in Clients"))</f>
        <v>0</v>
      </c>
      <c r="M147" s="26">
        <f>IF(B147="","",ROUND(SUMIFS(Sales!$Y$5:$Y$1204,Sales!$D$5:$D$1204,B147,Sales!$B$5:$B$1204,"&gt;="&amp;IF(D147="",0,D147)),2))</f>
        <v>0</v>
      </c>
      <c r="N147" s="25">
        <f>IF(B147="","",IFERROR(INDEX(Clients!$T$5:$T$504,MATCH(B147,Clients!$A$5:$A$504,0))*1,0))</f>
        <v>0</v>
      </c>
      <c r="O147" s="25">
        <f>IF(B147="","",ROUND(M147*PointsPerUnit+IF(F147="",0,F147),0))</f>
        <v>0</v>
      </c>
      <c r="P147" s="25">
        <f>IF(B147="","",O147-IF(G147="",0,G147))</f>
        <v>0</v>
      </c>
      <c r="Q147" s="25">
        <f>IF(B147="","",IF(RewardAt&lt;=0,0,ROUNDDOWN(P147/RewardAt,0)))</f>
        <v>0</v>
      </c>
      <c r="R147" s="26">
        <f>IF(B147="","",ROUND(Q147*RewardValue,2))</f>
        <v>0</v>
      </c>
      <c r="S147" s="25">
        <f>IF(B147="","",IF(RewardAt&lt;=0,"",MAX(0,RewardAt*(Q147+1)-P147)))</f>
        <v>0</v>
      </c>
      <c r="T147" s="25">
        <f>IF(B147="","",COUNTIFS(Clients!$H$5:$H$504,B147))</f>
        <v>0</v>
      </c>
      <c r="U147" s="26">
        <f>IF(B147="","",ROUND(T147*ReferralReward-IF(J147="",0,J147),2))</f>
        <v>0</v>
      </c>
      <c r="V147" s="15">
        <f>IF(B147="","",IFERROR(INDEX(Clients!$AM$5:$AM$504,MATCH(B147,Clients!$A$5:$A$504,0))&amp;"",""))</f>
        <v>0</v>
      </c>
      <c r="W147" s="25">
        <f>IF(B147="","",COUNTIFS($P$5:$P$504,"&gt;"&amp;P147)+COUNTIFS($P$5:P147,P147))</f>
        <v>0</v>
      </c>
      <c r="X147" s="39">
        <f>IF(B147="","",IF(K147="No","",IF(COUNTIF($B$5:$B$504,B147)&gt;1,"Duplicate - this client is on twice",IF(Q147&gt;0,"Action - reward ready to give",IF(U147&gt;0.004,"Action - referral credit owed",IF(V147="Lapsing","Chase - points are a reason to call",IF(S147&lt;=RewardAt*0.2,"Rebook - nearly at a reward","OK")))))))</f>
        <v>0</v>
      </c>
    </row>
    <row r="148" spans="1:24">
      <c r="A148" s="28">
        <f>IF(B148="","",LoyaltyPrefix&amp;TEXT(ROW()-4,"0000"))</f>
        <v>0</v>
      </c>
      <c r="C148" s="15">
        <f>IF(B148="","",IFERROR(INDEX(Clients!$B$5:$B$504,MATCH(B148,Clients!$A$5:$A$504,0)),"Not in Clients"))</f>
        <v>0</v>
      </c>
      <c r="M148" s="26">
        <f>IF(B148="","",ROUND(SUMIFS(Sales!$Y$5:$Y$1204,Sales!$D$5:$D$1204,B148,Sales!$B$5:$B$1204,"&gt;="&amp;IF(D148="",0,D148)),2))</f>
        <v>0</v>
      </c>
      <c r="N148" s="25">
        <f>IF(B148="","",IFERROR(INDEX(Clients!$T$5:$T$504,MATCH(B148,Clients!$A$5:$A$504,0))*1,0))</f>
        <v>0</v>
      </c>
      <c r="O148" s="25">
        <f>IF(B148="","",ROUND(M148*PointsPerUnit+IF(F148="",0,F148),0))</f>
        <v>0</v>
      </c>
      <c r="P148" s="25">
        <f>IF(B148="","",O148-IF(G148="",0,G148))</f>
        <v>0</v>
      </c>
      <c r="Q148" s="25">
        <f>IF(B148="","",IF(RewardAt&lt;=0,0,ROUNDDOWN(P148/RewardAt,0)))</f>
        <v>0</v>
      </c>
      <c r="R148" s="26">
        <f>IF(B148="","",ROUND(Q148*RewardValue,2))</f>
        <v>0</v>
      </c>
      <c r="S148" s="25">
        <f>IF(B148="","",IF(RewardAt&lt;=0,"",MAX(0,RewardAt*(Q148+1)-P148)))</f>
        <v>0</v>
      </c>
      <c r="T148" s="25">
        <f>IF(B148="","",COUNTIFS(Clients!$H$5:$H$504,B148))</f>
        <v>0</v>
      </c>
      <c r="U148" s="26">
        <f>IF(B148="","",ROUND(T148*ReferralReward-IF(J148="",0,J148),2))</f>
        <v>0</v>
      </c>
      <c r="V148" s="15">
        <f>IF(B148="","",IFERROR(INDEX(Clients!$AM$5:$AM$504,MATCH(B148,Clients!$A$5:$A$504,0))&amp;"",""))</f>
        <v>0</v>
      </c>
      <c r="W148" s="25">
        <f>IF(B148="","",COUNTIFS($P$5:$P$504,"&gt;"&amp;P148)+COUNTIFS($P$5:P148,P148))</f>
        <v>0</v>
      </c>
      <c r="X148" s="39">
        <f>IF(B148="","",IF(K148="No","",IF(COUNTIF($B$5:$B$504,B148)&gt;1,"Duplicate - this client is on twice",IF(Q148&gt;0,"Action - reward ready to give",IF(U148&gt;0.004,"Action - referral credit owed",IF(V148="Lapsing","Chase - points are a reason to call",IF(S148&lt;=RewardAt*0.2,"Rebook - nearly at a reward","OK")))))))</f>
        <v>0</v>
      </c>
    </row>
    <row r="149" spans="1:24">
      <c r="A149" s="28">
        <f>IF(B149="","",LoyaltyPrefix&amp;TEXT(ROW()-4,"0000"))</f>
        <v>0</v>
      </c>
      <c r="C149" s="15">
        <f>IF(B149="","",IFERROR(INDEX(Clients!$B$5:$B$504,MATCH(B149,Clients!$A$5:$A$504,0)),"Not in Clients"))</f>
        <v>0</v>
      </c>
      <c r="M149" s="26">
        <f>IF(B149="","",ROUND(SUMIFS(Sales!$Y$5:$Y$1204,Sales!$D$5:$D$1204,B149,Sales!$B$5:$B$1204,"&gt;="&amp;IF(D149="",0,D149)),2))</f>
        <v>0</v>
      </c>
      <c r="N149" s="25">
        <f>IF(B149="","",IFERROR(INDEX(Clients!$T$5:$T$504,MATCH(B149,Clients!$A$5:$A$504,0))*1,0))</f>
        <v>0</v>
      </c>
      <c r="O149" s="25">
        <f>IF(B149="","",ROUND(M149*PointsPerUnit+IF(F149="",0,F149),0))</f>
        <v>0</v>
      </c>
      <c r="P149" s="25">
        <f>IF(B149="","",O149-IF(G149="",0,G149))</f>
        <v>0</v>
      </c>
      <c r="Q149" s="25">
        <f>IF(B149="","",IF(RewardAt&lt;=0,0,ROUNDDOWN(P149/RewardAt,0)))</f>
        <v>0</v>
      </c>
      <c r="R149" s="26">
        <f>IF(B149="","",ROUND(Q149*RewardValue,2))</f>
        <v>0</v>
      </c>
      <c r="S149" s="25">
        <f>IF(B149="","",IF(RewardAt&lt;=0,"",MAX(0,RewardAt*(Q149+1)-P149)))</f>
        <v>0</v>
      </c>
      <c r="T149" s="25">
        <f>IF(B149="","",COUNTIFS(Clients!$H$5:$H$504,B149))</f>
        <v>0</v>
      </c>
      <c r="U149" s="26">
        <f>IF(B149="","",ROUND(T149*ReferralReward-IF(J149="",0,J149),2))</f>
        <v>0</v>
      </c>
      <c r="V149" s="15">
        <f>IF(B149="","",IFERROR(INDEX(Clients!$AM$5:$AM$504,MATCH(B149,Clients!$A$5:$A$504,0))&amp;"",""))</f>
        <v>0</v>
      </c>
      <c r="W149" s="25">
        <f>IF(B149="","",COUNTIFS($P$5:$P$504,"&gt;"&amp;P149)+COUNTIFS($P$5:P149,P149))</f>
        <v>0</v>
      </c>
      <c r="X149" s="39">
        <f>IF(B149="","",IF(K149="No","",IF(COUNTIF($B$5:$B$504,B149)&gt;1,"Duplicate - this client is on twice",IF(Q149&gt;0,"Action - reward ready to give",IF(U149&gt;0.004,"Action - referral credit owed",IF(V149="Lapsing","Chase - points are a reason to call",IF(S149&lt;=RewardAt*0.2,"Rebook - nearly at a reward","OK")))))))</f>
        <v>0</v>
      </c>
    </row>
    <row r="150" spans="1:24">
      <c r="A150" s="28">
        <f>IF(B150="","",LoyaltyPrefix&amp;TEXT(ROW()-4,"0000"))</f>
        <v>0</v>
      </c>
      <c r="C150" s="15">
        <f>IF(B150="","",IFERROR(INDEX(Clients!$B$5:$B$504,MATCH(B150,Clients!$A$5:$A$504,0)),"Not in Clients"))</f>
        <v>0</v>
      </c>
      <c r="M150" s="26">
        <f>IF(B150="","",ROUND(SUMIFS(Sales!$Y$5:$Y$1204,Sales!$D$5:$D$1204,B150,Sales!$B$5:$B$1204,"&gt;="&amp;IF(D150="",0,D150)),2))</f>
        <v>0</v>
      </c>
      <c r="N150" s="25">
        <f>IF(B150="","",IFERROR(INDEX(Clients!$T$5:$T$504,MATCH(B150,Clients!$A$5:$A$504,0))*1,0))</f>
        <v>0</v>
      </c>
      <c r="O150" s="25">
        <f>IF(B150="","",ROUND(M150*PointsPerUnit+IF(F150="",0,F150),0))</f>
        <v>0</v>
      </c>
      <c r="P150" s="25">
        <f>IF(B150="","",O150-IF(G150="",0,G150))</f>
        <v>0</v>
      </c>
      <c r="Q150" s="25">
        <f>IF(B150="","",IF(RewardAt&lt;=0,0,ROUNDDOWN(P150/RewardAt,0)))</f>
        <v>0</v>
      </c>
      <c r="R150" s="26">
        <f>IF(B150="","",ROUND(Q150*RewardValue,2))</f>
        <v>0</v>
      </c>
      <c r="S150" s="25">
        <f>IF(B150="","",IF(RewardAt&lt;=0,"",MAX(0,RewardAt*(Q150+1)-P150)))</f>
        <v>0</v>
      </c>
      <c r="T150" s="25">
        <f>IF(B150="","",COUNTIFS(Clients!$H$5:$H$504,B150))</f>
        <v>0</v>
      </c>
      <c r="U150" s="26">
        <f>IF(B150="","",ROUND(T150*ReferralReward-IF(J150="",0,J150),2))</f>
        <v>0</v>
      </c>
      <c r="V150" s="15">
        <f>IF(B150="","",IFERROR(INDEX(Clients!$AM$5:$AM$504,MATCH(B150,Clients!$A$5:$A$504,0))&amp;"",""))</f>
        <v>0</v>
      </c>
      <c r="W150" s="25">
        <f>IF(B150="","",COUNTIFS($P$5:$P$504,"&gt;"&amp;P150)+COUNTIFS($P$5:P150,P150))</f>
        <v>0</v>
      </c>
      <c r="X150" s="39">
        <f>IF(B150="","",IF(K150="No","",IF(COUNTIF($B$5:$B$504,B150)&gt;1,"Duplicate - this client is on twice",IF(Q150&gt;0,"Action - reward ready to give",IF(U150&gt;0.004,"Action - referral credit owed",IF(V150="Lapsing","Chase - points are a reason to call",IF(S150&lt;=RewardAt*0.2,"Rebook - nearly at a reward","OK")))))))</f>
        <v>0</v>
      </c>
    </row>
    <row r="151" spans="1:24">
      <c r="A151" s="28">
        <f>IF(B151="","",LoyaltyPrefix&amp;TEXT(ROW()-4,"0000"))</f>
        <v>0</v>
      </c>
      <c r="C151" s="15">
        <f>IF(B151="","",IFERROR(INDEX(Clients!$B$5:$B$504,MATCH(B151,Clients!$A$5:$A$504,0)),"Not in Clients"))</f>
        <v>0</v>
      </c>
      <c r="M151" s="26">
        <f>IF(B151="","",ROUND(SUMIFS(Sales!$Y$5:$Y$1204,Sales!$D$5:$D$1204,B151,Sales!$B$5:$B$1204,"&gt;="&amp;IF(D151="",0,D151)),2))</f>
        <v>0</v>
      </c>
      <c r="N151" s="25">
        <f>IF(B151="","",IFERROR(INDEX(Clients!$T$5:$T$504,MATCH(B151,Clients!$A$5:$A$504,0))*1,0))</f>
        <v>0</v>
      </c>
      <c r="O151" s="25">
        <f>IF(B151="","",ROUND(M151*PointsPerUnit+IF(F151="",0,F151),0))</f>
        <v>0</v>
      </c>
      <c r="P151" s="25">
        <f>IF(B151="","",O151-IF(G151="",0,G151))</f>
        <v>0</v>
      </c>
      <c r="Q151" s="25">
        <f>IF(B151="","",IF(RewardAt&lt;=0,0,ROUNDDOWN(P151/RewardAt,0)))</f>
        <v>0</v>
      </c>
      <c r="R151" s="26">
        <f>IF(B151="","",ROUND(Q151*RewardValue,2))</f>
        <v>0</v>
      </c>
      <c r="S151" s="25">
        <f>IF(B151="","",IF(RewardAt&lt;=0,"",MAX(0,RewardAt*(Q151+1)-P151)))</f>
        <v>0</v>
      </c>
      <c r="T151" s="25">
        <f>IF(B151="","",COUNTIFS(Clients!$H$5:$H$504,B151))</f>
        <v>0</v>
      </c>
      <c r="U151" s="26">
        <f>IF(B151="","",ROUND(T151*ReferralReward-IF(J151="",0,J151),2))</f>
        <v>0</v>
      </c>
      <c r="V151" s="15">
        <f>IF(B151="","",IFERROR(INDEX(Clients!$AM$5:$AM$504,MATCH(B151,Clients!$A$5:$A$504,0))&amp;"",""))</f>
        <v>0</v>
      </c>
      <c r="W151" s="25">
        <f>IF(B151="","",COUNTIFS($P$5:$P$504,"&gt;"&amp;P151)+COUNTIFS($P$5:P151,P151))</f>
        <v>0</v>
      </c>
      <c r="X151" s="39">
        <f>IF(B151="","",IF(K151="No","",IF(COUNTIF($B$5:$B$504,B151)&gt;1,"Duplicate - this client is on twice",IF(Q151&gt;0,"Action - reward ready to give",IF(U151&gt;0.004,"Action - referral credit owed",IF(V151="Lapsing","Chase - points are a reason to call",IF(S151&lt;=RewardAt*0.2,"Rebook - nearly at a reward","OK")))))))</f>
        <v>0</v>
      </c>
    </row>
    <row r="152" spans="1:24">
      <c r="A152" s="28">
        <f>IF(B152="","",LoyaltyPrefix&amp;TEXT(ROW()-4,"0000"))</f>
        <v>0</v>
      </c>
      <c r="C152" s="15">
        <f>IF(B152="","",IFERROR(INDEX(Clients!$B$5:$B$504,MATCH(B152,Clients!$A$5:$A$504,0)),"Not in Clients"))</f>
        <v>0</v>
      </c>
      <c r="M152" s="26">
        <f>IF(B152="","",ROUND(SUMIFS(Sales!$Y$5:$Y$1204,Sales!$D$5:$D$1204,B152,Sales!$B$5:$B$1204,"&gt;="&amp;IF(D152="",0,D152)),2))</f>
        <v>0</v>
      </c>
      <c r="N152" s="25">
        <f>IF(B152="","",IFERROR(INDEX(Clients!$T$5:$T$504,MATCH(B152,Clients!$A$5:$A$504,0))*1,0))</f>
        <v>0</v>
      </c>
      <c r="O152" s="25">
        <f>IF(B152="","",ROUND(M152*PointsPerUnit+IF(F152="",0,F152),0))</f>
        <v>0</v>
      </c>
      <c r="P152" s="25">
        <f>IF(B152="","",O152-IF(G152="",0,G152))</f>
        <v>0</v>
      </c>
      <c r="Q152" s="25">
        <f>IF(B152="","",IF(RewardAt&lt;=0,0,ROUNDDOWN(P152/RewardAt,0)))</f>
        <v>0</v>
      </c>
      <c r="R152" s="26">
        <f>IF(B152="","",ROUND(Q152*RewardValue,2))</f>
        <v>0</v>
      </c>
      <c r="S152" s="25">
        <f>IF(B152="","",IF(RewardAt&lt;=0,"",MAX(0,RewardAt*(Q152+1)-P152)))</f>
        <v>0</v>
      </c>
      <c r="T152" s="25">
        <f>IF(B152="","",COUNTIFS(Clients!$H$5:$H$504,B152))</f>
        <v>0</v>
      </c>
      <c r="U152" s="26">
        <f>IF(B152="","",ROUND(T152*ReferralReward-IF(J152="",0,J152),2))</f>
        <v>0</v>
      </c>
      <c r="V152" s="15">
        <f>IF(B152="","",IFERROR(INDEX(Clients!$AM$5:$AM$504,MATCH(B152,Clients!$A$5:$A$504,0))&amp;"",""))</f>
        <v>0</v>
      </c>
      <c r="W152" s="25">
        <f>IF(B152="","",COUNTIFS($P$5:$P$504,"&gt;"&amp;P152)+COUNTIFS($P$5:P152,P152))</f>
        <v>0</v>
      </c>
      <c r="X152" s="39">
        <f>IF(B152="","",IF(K152="No","",IF(COUNTIF($B$5:$B$504,B152)&gt;1,"Duplicate - this client is on twice",IF(Q152&gt;0,"Action - reward ready to give",IF(U152&gt;0.004,"Action - referral credit owed",IF(V152="Lapsing","Chase - points are a reason to call",IF(S152&lt;=RewardAt*0.2,"Rebook - nearly at a reward","OK")))))))</f>
        <v>0</v>
      </c>
    </row>
    <row r="153" spans="1:24">
      <c r="A153" s="28">
        <f>IF(B153="","",LoyaltyPrefix&amp;TEXT(ROW()-4,"0000"))</f>
        <v>0</v>
      </c>
      <c r="C153" s="15">
        <f>IF(B153="","",IFERROR(INDEX(Clients!$B$5:$B$504,MATCH(B153,Clients!$A$5:$A$504,0)),"Not in Clients"))</f>
        <v>0</v>
      </c>
      <c r="M153" s="26">
        <f>IF(B153="","",ROUND(SUMIFS(Sales!$Y$5:$Y$1204,Sales!$D$5:$D$1204,B153,Sales!$B$5:$B$1204,"&gt;="&amp;IF(D153="",0,D153)),2))</f>
        <v>0</v>
      </c>
      <c r="N153" s="25">
        <f>IF(B153="","",IFERROR(INDEX(Clients!$T$5:$T$504,MATCH(B153,Clients!$A$5:$A$504,0))*1,0))</f>
        <v>0</v>
      </c>
      <c r="O153" s="25">
        <f>IF(B153="","",ROUND(M153*PointsPerUnit+IF(F153="",0,F153),0))</f>
        <v>0</v>
      </c>
      <c r="P153" s="25">
        <f>IF(B153="","",O153-IF(G153="",0,G153))</f>
        <v>0</v>
      </c>
      <c r="Q153" s="25">
        <f>IF(B153="","",IF(RewardAt&lt;=0,0,ROUNDDOWN(P153/RewardAt,0)))</f>
        <v>0</v>
      </c>
      <c r="R153" s="26">
        <f>IF(B153="","",ROUND(Q153*RewardValue,2))</f>
        <v>0</v>
      </c>
      <c r="S153" s="25">
        <f>IF(B153="","",IF(RewardAt&lt;=0,"",MAX(0,RewardAt*(Q153+1)-P153)))</f>
        <v>0</v>
      </c>
      <c r="T153" s="25">
        <f>IF(B153="","",COUNTIFS(Clients!$H$5:$H$504,B153))</f>
        <v>0</v>
      </c>
      <c r="U153" s="26">
        <f>IF(B153="","",ROUND(T153*ReferralReward-IF(J153="",0,J153),2))</f>
        <v>0</v>
      </c>
      <c r="V153" s="15">
        <f>IF(B153="","",IFERROR(INDEX(Clients!$AM$5:$AM$504,MATCH(B153,Clients!$A$5:$A$504,0))&amp;"",""))</f>
        <v>0</v>
      </c>
      <c r="W153" s="25">
        <f>IF(B153="","",COUNTIFS($P$5:$P$504,"&gt;"&amp;P153)+COUNTIFS($P$5:P153,P153))</f>
        <v>0</v>
      </c>
      <c r="X153" s="39">
        <f>IF(B153="","",IF(K153="No","",IF(COUNTIF($B$5:$B$504,B153)&gt;1,"Duplicate - this client is on twice",IF(Q153&gt;0,"Action - reward ready to give",IF(U153&gt;0.004,"Action - referral credit owed",IF(V153="Lapsing","Chase - points are a reason to call",IF(S153&lt;=RewardAt*0.2,"Rebook - nearly at a reward","OK")))))))</f>
        <v>0</v>
      </c>
    </row>
    <row r="154" spans="1:24">
      <c r="A154" s="28">
        <f>IF(B154="","",LoyaltyPrefix&amp;TEXT(ROW()-4,"0000"))</f>
        <v>0</v>
      </c>
      <c r="C154" s="15">
        <f>IF(B154="","",IFERROR(INDEX(Clients!$B$5:$B$504,MATCH(B154,Clients!$A$5:$A$504,0)),"Not in Clients"))</f>
        <v>0</v>
      </c>
      <c r="M154" s="26">
        <f>IF(B154="","",ROUND(SUMIFS(Sales!$Y$5:$Y$1204,Sales!$D$5:$D$1204,B154,Sales!$B$5:$B$1204,"&gt;="&amp;IF(D154="",0,D154)),2))</f>
        <v>0</v>
      </c>
      <c r="N154" s="25">
        <f>IF(B154="","",IFERROR(INDEX(Clients!$T$5:$T$504,MATCH(B154,Clients!$A$5:$A$504,0))*1,0))</f>
        <v>0</v>
      </c>
      <c r="O154" s="25">
        <f>IF(B154="","",ROUND(M154*PointsPerUnit+IF(F154="",0,F154),0))</f>
        <v>0</v>
      </c>
      <c r="P154" s="25">
        <f>IF(B154="","",O154-IF(G154="",0,G154))</f>
        <v>0</v>
      </c>
      <c r="Q154" s="25">
        <f>IF(B154="","",IF(RewardAt&lt;=0,0,ROUNDDOWN(P154/RewardAt,0)))</f>
        <v>0</v>
      </c>
      <c r="R154" s="26">
        <f>IF(B154="","",ROUND(Q154*RewardValue,2))</f>
        <v>0</v>
      </c>
      <c r="S154" s="25">
        <f>IF(B154="","",IF(RewardAt&lt;=0,"",MAX(0,RewardAt*(Q154+1)-P154)))</f>
        <v>0</v>
      </c>
      <c r="T154" s="25">
        <f>IF(B154="","",COUNTIFS(Clients!$H$5:$H$504,B154))</f>
        <v>0</v>
      </c>
      <c r="U154" s="26">
        <f>IF(B154="","",ROUND(T154*ReferralReward-IF(J154="",0,J154),2))</f>
        <v>0</v>
      </c>
      <c r="V154" s="15">
        <f>IF(B154="","",IFERROR(INDEX(Clients!$AM$5:$AM$504,MATCH(B154,Clients!$A$5:$A$504,0))&amp;"",""))</f>
        <v>0</v>
      </c>
      <c r="W154" s="25">
        <f>IF(B154="","",COUNTIFS($P$5:$P$504,"&gt;"&amp;P154)+COUNTIFS($P$5:P154,P154))</f>
        <v>0</v>
      </c>
      <c r="X154" s="39">
        <f>IF(B154="","",IF(K154="No","",IF(COUNTIF($B$5:$B$504,B154)&gt;1,"Duplicate - this client is on twice",IF(Q154&gt;0,"Action - reward ready to give",IF(U154&gt;0.004,"Action - referral credit owed",IF(V154="Lapsing","Chase - points are a reason to call",IF(S154&lt;=RewardAt*0.2,"Rebook - nearly at a reward","OK")))))))</f>
        <v>0</v>
      </c>
    </row>
    <row r="155" spans="1:24">
      <c r="A155" s="28">
        <f>IF(B155="","",LoyaltyPrefix&amp;TEXT(ROW()-4,"0000"))</f>
        <v>0</v>
      </c>
      <c r="C155" s="15">
        <f>IF(B155="","",IFERROR(INDEX(Clients!$B$5:$B$504,MATCH(B155,Clients!$A$5:$A$504,0)),"Not in Clients"))</f>
        <v>0</v>
      </c>
      <c r="M155" s="26">
        <f>IF(B155="","",ROUND(SUMIFS(Sales!$Y$5:$Y$1204,Sales!$D$5:$D$1204,B155,Sales!$B$5:$B$1204,"&gt;="&amp;IF(D155="",0,D155)),2))</f>
        <v>0</v>
      </c>
      <c r="N155" s="25">
        <f>IF(B155="","",IFERROR(INDEX(Clients!$T$5:$T$504,MATCH(B155,Clients!$A$5:$A$504,0))*1,0))</f>
        <v>0</v>
      </c>
      <c r="O155" s="25">
        <f>IF(B155="","",ROUND(M155*PointsPerUnit+IF(F155="",0,F155),0))</f>
        <v>0</v>
      </c>
      <c r="P155" s="25">
        <f>IF(B155="","",O155-IF(G155="",0,G155))</f>
        <v>0</v>
      </c>
      <c r="Q155" s="25">
        <f>IF(B155="","",IF(RewardAt&lt;=0,0,ROUNDDOWN(P155/RewardAt,0)))</f>
        <v>0</v>
      </c>
      <c r="R155" s="26">
        <f>IF(B155="","",ROUND(Q155*RewardValue,2))</f>
        <v>0</v>
      </c>
      <c r="S155" s="25">
        <f>IF(B155="","",IF(RewardAt&lt;=0,"",MAX(0,RewardAt*(Q155+1)-P155)))</f>
        <v>0</v>
      </c>
      <c r="T155" s="25">
        <f>IF(B155="","",COUNTIFS(Clients!$H$5:$H$504,B155))</f>
        <v>0</v>
      </c>
      <c r="U155" s="26">
        <f>IF(B155="","",ROUND(T155*ReferralReward-IF(J155="",0,J155),2))</f>
        <v>0</v>
      </c>
      <c r="V155" s="15">
        <f>IF(B155="","",IFERROR(INDEX(Clients!$AM$5:$AM$504,MATCH(B155,Clients!$A$5:$A$504,0))&amp;"",""))</f>
        <v>0</v>
      </c>
      <c r="W155" s="25">
        <f>IF(B155="","",COUNTIFS($P$5:$P$504,"&gt;"&amp;P155)+COUNTIFS($P$5:P155,P155))</f>
        <v>0</v>
      </c>
      <c r="X155" s="39">
        <f>IF(B155="","",IF(K155="No","",IF(COUNTIF($B$5:$B$504,B155)&gt;1,"Duplicate - this client is on twice",IF(Q155&gt;0,"Action - reward ready to give",IF(U155&gt;0.004,"Action - referral credit owed",IF(V155="Lapsing","Chase - points are a reason to call",IF(S155&lt;=RewardAt*0.2,"Rebook - nearly at a reward","OK")))))))</f>
        <v>0</v>
      </c>
    </row>
    <row r="156" spans="1:24">
      <c r="A156" s="28">
        <f>IF(B156="","",LoyaltyPrefix&amp;TEXT(ROW()-4,"0000"))</f>
        <v>0</v>
      </c>
      <c r="C156" s="15">
        <f>IF(B156="","",IFERROR(INDEX(Clients!$B$5:$B$504,MATCH(B156,Clients!$A$5:$A$504,0)),"Not in Clients"))</f>
        <v>0</v>
      </c>
      <c r="M156" s="26">
        <f>IF(B156="","",ROUND(SUMIFS(Sales!$Y$5:$Y$1204,Sales!$D$5:$D$1204,B156,Sales!$B$5:$B$1204,"&gt;="&amp;IF(D156="",0,D156)),2))</f>
        <v>0</v>
      </c>
      <c r="N156" s="25">
        <f>IF(B156="","",IFERROR(INDEX(Clients!$T$5:$T$504,MATCH(B156,Clients!$A$5:$A$504,0))*1,0))</f>
        <v>0</v>
      </c>
      <c r="O156" s="25">
        <f>IF(B156="","",ROUND(M156*PointsPerUnit+IF(F156="",0,F156),0))</f>
        <v>0</v>
      </c>
      <c r="P156" s="25">
        <f>IF(B156="","",O156-IF(G156="",0,G156))</f>
        <v>0</v>
      </c>
      <c r="Q156" s="25">
        <f>IF(B156="","",IF(RewardAt&lt;=0,0,ROUNDDOWN(P156/RewardAt,0)))</f>
        <v>0</v>
      </c>
      <c r="R156" s="26">
        <f>IF(B156="","",ROUND(Q156*RewardValue,2))</f>
        <v>0</v>
      </c>
      <c r="S156" s="25">
        <f>IF(B156="","",IF(RewardAt&lt;=0,"",MAX(0,RewardAt*(Q156+1)-P156)))</f>
        <v>0</v>
      </c>
      <c r="T156" s="25">
        <f>IF(B156="","",COUNTIFS(Clients!$H$5:$H$504,B156))</f>
        <v>0</v>
      </c>
      <c r="U156" s="26">
        <f>IF(B156="","",ROUND(T156*ReferralReward-IF(J156="",0,J156),2))</f>
        <v>0</v>
      </c>
      <c r="V156" s="15">
        <f>IF(B156="","",IFERROR(INDEX(Clients!$AM$5:$AM$504,MATCH(B156,Clients!$A$5:$A$504,0))&amp;"",""))</f>
        <v>0</v>
      </c>
      <c r="W156" s="25">
        <f>IF(B156="","",COUNTIFS($P$5:$P$504,"&gt;"&amp;P156)+COUNTIFS($P$5:P156,P156))</f>
        <v>0</v>
      </c>
      <c r="X156" s="39">
        <f>IF(B156="","",IF(K156="No","",IF(COUNTIF($B$5:$B$504,B156)&gt;1,"Duplicate - this client is on twice",IF(Q156&gt;0,"Action - reward ready to give",IF(U156&gt;0.004,"Action - referral credit owed",IF(V156="Lapsing","Chase - points are a reason to call",IF(S156&lt;=RewardAt*0.2,"Rebook - nearly at a reward","OK")))))))</f>
        <v>0</v>
      </c>
    </row>
    <row r="157" spans="1:24">
      <c r="A157" s="28">
        <f>IF(B157="","",LoyaltyPrefix&amp;TEXT(ROW()-4,"0000"))</f>
        <v>0</v>
      </c>
      <c r="C157" s="15">
        <f>IF(B157="","",IFERROR(INDEX(Clients!$B$5:$B$504,MATCH(B157,Clients!$A$5:$A$504,0)),"Not in Clients"))</f>
        <v>0</v>
      </c>
      <c r="M157" s="26">
        <f>IF(B157="","",ROUND(SUMIFS(Sales!$Y$5:$Y$1204,Sales!$D$5:$D$1204,B157,Sales!$B$5:$B$1204,"&gt;="&amp;IF(D157="",0,D157)),2))</f>
        <v>0</v>
      </c>
      <c r="N157" s="25">
        <f>IF(B157="","",IFERROR(INDEX(Clients!$T$5:$T$504,MATCH(B157,Clients!$A$5:$A$504,0))*1,0))</f>
        <v>0</v>
      </c>
      <c r="O157" s="25">
        <f>IF(B157="","",ROUND(M157*PointsPerUnit+IF(F157="",0,F157),0))</f>
        <v>0</v>
      </c>
      <c r="P157" s="25">
        <f>IF(B157="","",O157-IF(G157="",0,G157))</f>
        <v>0</v>
      </c>
      <c r="Q157" s="25">
        <f>IF(B157="","",IF(RewardAt&lt;=0,0,ROUNDDOWN(P157/RewardAt,0)))</f>
        <v>0</v>
      </c>
      <c r="R157" s="26">
        <f>IF(B157="","",ROUND(Q157*RewardValue,2))</f>
        <v>0</v>
      </c>
      <c r="S157" s="25">
        <f>IF(B157="","",IF(RewardAt&lt;=0,"",MAX(0,RewardAt*(Q157+1)-P157)))</f>
        <v>0</v>
      </c>
      <c r="T157" s="25">
        <f>IF(B157="","",COUNTIFS(Clients!$H$5:$H$504,B157))</f>
        <v>0</v>
      </c>
      <c r="U157" s="26">
        <f>IF(B157="","",ROUND(T157*ReferralReward-IF(J157="",0,J157),2))</f>
        <v>0</v>
      </c>
      <c r="V157" s="15">
        <f>IF(B157="","",IFERROR(INDEX(Clients!$AM$5:$AM$504,MATCH(B157,Clients!$A$5:$A$504,0))&amp;"",""))</f>
        <v>0</v>
      </c>
      <c r="W157" s="25">
        <f>IF(B157="","",COUNTIFS($P$5:$P$504,"&gt;"&amp;P157)+COUNTIFS($P$5:P157,P157))</f>
        <v>0</v>
      </c>
      <c r="X157" s="39">
        <f>IF(B157="","",IF(K157="No","",IF(COUNTIF($B$5:$B$504,B157)&gt;1,"Duplicate - this client is on twice",IF(Q157&gt;0,"Action - reward ready to give",IF(U157&gt;0.004,"Action - referral credit owed",IF(V157="Lapsing","Chase - points are a reason to call",IF(S157&lt;=RewardAt*0.2,"Rebook - nearly at a reward","OK")))))))</f>
        <v>0</v>
      </c>
    </row>
    <row r="158" spans="1:24">
      <c r="A158" s="28">
        <f>IF(B158="","",LoyaltyPrefix&amp;TEXT(ROW()-4,"0000"))</f>
        <v>0</v>
      </c>
      <c r="C158" s="15">
        <f>IF(B158="","",IFERROR(INDEX(Clients!$B$5:$B$504,MATCH(B158,Clients!$A$5:$A$504,0)),"Not in Clients"))</f>
        <v>0</v>
      </c>
      <c r="M158" s="26">
        <f>IF(B158="","",ROUND(SUMIFS(Sales!$Y$5:$Y$1204,Sales!$D$5:$D$1204,B158,Sales!$B$5:$B$1204,"&gt;="&amp;IF(D158="",0,D158)),2))</f>
        <v>0</v>
      </c>
      <c r="N158" s="25">
        <f>IF(B158="","",IFERROR(INDEX(Clients!$T$5:$T$504,MATCH(B158,Clients!$A$5:$A$504,0))*1,0))</f>
        <v>0</v>
      </c>
      <c r="O158" s="25">
        <f>IF(B158="","",ROUND(M158*PointsPerUnit+IF(F158="",0,F158),0))</f>
        <v>0</v>
      </c>
      <c r="P158" s="25">
        <f>IF(B158="","",O158-IF(G158="",0,G158))</f>
        <v>0</v>
      </c>
      <c r="Q158" s="25">
        <f>IF(B158="","",IF(RewardAt&lt;=0,0,ROUNDDOWN(P158/RewardAt,0)))</f>
        <v>0</v>
      </c>
      <c r="R158" s="26">
        <f>IF(B158="","",ROUND(Q158*RewardValue,2))</f>
        <v>0</v>
      </c>
      <c r="S158" s="25">
        <f>IF(B158="","",IF(RewardAt&lt;=0,"",MAX(0,RewardAt*(Q158+1)-P158)))</f>
        <v>0</v>
      </c>
      <c r="T158" s="25">
        <f>IF(B158="","",COUNTIFS(Clients!$H$5:$H$504,B158))</f>
        <v>0</v>
      </c>
      <c r="U158" s="26">
        <f>IF(B158="","",ROUND(T158*ReferralReward-IF(J158="",0,J158),2))</f>
        <v>0</v>
      </c>
      <c r="V158" s="15">
        <f>IF(B158="","",IFERROR(INDEX(Clients!$AM$5:$AM$504,MATCH(B158,Clients!$A$5:$A$504,0))&amp;"",""))</f>
        <v>0</v>
      </c>
      <c r="W158" s="25">
        <f>IF(B158="","",COUNTIFS($P$5:$P$504,"&gt;"&amp;P158)+COUNTIFS($P$5:P158,P158))</f>
        <v>0</v>
      </c>
      <c r="X158" s="39">
        <f>IF(B158="","",IF(K158="No","",IF(COUNTIF($B$5:$B$504,B158)&gt;1,"Duplicate - this client is on twice",IF(Q158&gt;0,"Action - reward ready to give",IF(U158&gt;0.004,"Action - referral credit owed",IF(V158="Lapsing","Chase - points are a reason to call",IF(S158&lt;=RewardAt*0.2,"Rebook - nearly at a reward","OK")))))))</f>
        <v>0</v>
      </c>
    </row>
    <row r="159" spans="1:24">
      <c r="A159" s="28">
        <f>IF(B159="","",LoyaltyPrefix&amp;TEXT(ROW()-4,"0000"))</f>
        <v>0</v>
      </c>
      <c r="C159" s="15">
        <f>IF(B159="","",IFERROR(INDEX(Clients!$B$5:$B$504,MATCH(B159,Clients!$A$5:$A$504,0)),"Not in Clients"))</f>
        <v>0</v>
      </c>
      <c r="M159" s="26">
        <f>IF(B159="","",ROUND(SUMIFS(Sales!$Y$5:$Y$1204,Sales!$D$5:$D$1204,B159,Sales!$B$5:$B$1204,"&gt;="&amp;IF(D159="",0,D159)),2))</f>
        <v>0</v>
      </c>
      <c r="N159" s="25">
        <f>IF(B159="","",IFERROR(INDEX(Clients!$T$5:$T$504,MATCH(B159,Clients!$A$5:$A$504,0))*1,0))</f>
        <v>0</v>
      </c>
      <c r="O159" s="25">
        <f>IF(B159="","",ROUND(M159*PointsPerUnit+IF(F159="",0,F159),0))</f>
        <v>0</v>
      </c>
      <c r="P159" s="25">
        <f>IF(B159="","",O159-IF(G159="",0,G159))</f>
        <v>0</v>
      </c>
      <c r="Q159" s="25">
        <f>IF(B159="","",IF(RewardAt&lt;=0,0,ROUNDDOWN(P159/RewardAt,0)))</f>
        <v>0</v>
      </c>
      <c r="R159" s="26">
        <f>IF(B159="","",ROUND(Q159*RewardValue,2))</f>
        <v>0</v>
      </c>
      <c r="S159" s="25">
        <f>IF(B159="","",IF(RewardAt&lt;=0,"",MAX(0,RewardAt*(Q159+1)-P159)))</f>
        <v>0</v>
      </c>
      <c r="T159" s="25">
        <f>IF(B159="","",COUNTIFS(Clients!$H$5:$H$504,B159))</f>
        <v>0</v>
      </c>
      <c r="U159" s="26">
        <f>IF(B159="","",ROUND(T159*ReferralReward-IF(J159="",0,J159),2))</f>
        <v>0</v>
      </c>
      <c r="V159" s="15">
        <f>IF(B159="","",IFERROR(INDEX(Clients!$AM$5:$AM$504,MATCH(B159,Clients!$A$5:$A$504,0))&amp;"",""))</f>
        <v>0</v>
      </c>
      <c r="W159" s="25">
        <f>IF(B159="","",COUNTIFS($P$5:$P$504,"&gt;"&amp;P159)+COUNTIFS($P$5:P159,P159))</f>
        <v>0</v>
      </c>
      <c r="X159" s="39">
        <f>IF(B159="","",IF(K159="No","",IF(COUNTIF($B$5:$B$504,B159)&gt;1,"Duplicate - this client is on twice",IF(Q159&gt;0,"Action - reward ready to give",IF(U159&gt;0.004,"Action - referral credit owed",IF(V159="Lapsing","Chase - points are a reason to call",IF(S159&lt;=RewardAt*0.2,"Rebook - nearly at a reward","OK")))))))</f>
        <v>0</v>
      </c>
    </row>
    <row r="160" spans="1:24">
      <c r="A160" s="28">
        <f>IF(B160="","",LoyaltyPrefix&amp;TEXT(ROW()-4,"0000"))</f>
        <v>0</v>
      </c>
      <c r="C160" s="15">
        <f>IF(B160="","",IFERROR(INDEX(Clients!$B$5:$B$504,MATCH(B160,Clients!$A$5:$A$504,0)),"Not in Clients"))</f>
        <v>0</v>
      </c>
      <c r="M160" s="26">
        <f>IF(B160="","",ROUND(SUMIFS(Sales!$Y$5:$Y$1204,Sales!$D$5:$D$1204,B160,Sales!$B$5:$B$1204,"&gt;="&amp;IF(D160="",0,D160)),2))</f>
        <v>0</v>
      </c>
      <c r="N160" s="25">
        <f>IF(B160="","",IFERROR(INDEX(Clients!$T$5:$T$504,MATCH(B160,Clients!$A$5:$A$504,0))*1,0))</f>
        <v>0</v>
      </c>
      <c r="O160" s="25">
        <f>IF(B160="","",ROUND(M160*PointsPerUnit+IF(F160="",0,F160),0))</f>
        <v>0</v>
      </c>
      <c r="P160" s="25">
        <f>IF(B160="","",O160-IF(G160="",0,G160))</f>
        <v>0</v>
      </c>
      <c r="Q160" s="25">
        <f>IF(B160="","",IF(RewardAt&lt;=0,0,ROUNDDOWN(P160/RewardAt,0)))</f>
        <v>0</v>
      </c>
      <c r="R160" s="26">
        <f>IF(B160="","",ROUND(Q160*RewardValue,2))</f>
        <v>0</v>
      </c>
      <c r="S160" s="25">
        <f>IF(B160="","",IF(RewardAt&lt;=0,"",MAX(0,RewardAt*(Q160+1)-P160)))</f>
        <v>0</v>
      </c>
      <c r="T160" s="25">
        <f>IF(B160="","",COUNTIFS(Clients!$H$5:$H$504,B160))</f>
        <v>0</v>
      </c>
      <c r="U160" s="26">
        <f>IF(B160="","",ROUND(T160*ReferralReward-IF(J160="",0,J160),2))</f>
        <v>0</v>
      </c>
      <c r="V160" s="15">
        <f>IF(B160="","",IFERROR(INDEX(Clients!$AM$5:$AM$504,MATCH(B160,Clients!$A$5:$A$504,0))&amp;"",""))</f>
        <v>0</v>
      </c>
      <c r="W160" s="25">
        <f>IF(B160="","",COUNTIFS($P$5:$P$504,"&gt;"&amp;P160)+COUNTIFS($P$5:P160,P160))</f>
        <v>0</v>
      </c>
      <c r="X160" s="39">
        <f>IF(B160="","",IF(K160="No","",IF(COUNTIF($B$5:$B$504,B160)&gt;1,"Duplicate - this client is on twice",IF(Q160&gt;0,"Action - reward ready to give",IF(U160&gt;0.004,"Action - referral credit owed",IF(V160="Lapsing","Chase - points are a reason to call",IF(S160&lt;=RewardAt*0.2,"Rebook - nearly at a reward","OK")))))))</f>
        <v>0</v>
      </c>
    </row>
    <row r="161" spans="1:24">
      <c r="A161" s="28">
        <f>IF(B161="","",LoyaltyPrefix&amp;TEXT(ROW()-4,"0000"))</f>
        <v>0</v>
      </c>
      <c r="C161" s="15">
        <f>IF(B161="","",IFERROR(INDEX(Clients!$B$5:$B$504,MATCH(B161,Clients!$A$5:$A$504,0)),"Not in Clients"))</f>
        <v>0</v>
      </c>
      <c r="M161" s="26">
        <f>IF(B161="","",ROUND(SUMIFS(Sales!$Y$5:$Y$1204,Sales!$D$5:$D$1204,B161,Sales!$B$5:$B$1204,"&gt;="&amp;IF(D161="",0,D161)),2))</f>
        <v>0</v>
      </c>
      <c r="N161" s="25">
        <f>IF(B161="","",IFERROR(INDEX(Clients!$T$5:$T$504,MATCH(B161,Clients!$A$5:$A$504,0))*1,0))</f>
        <v>0</v>
      </c>
      <c r="O161" s="25">
        <f>IF(B161="","",ROUND(M161*PointsPerUnit+IF(F161="",0,F161),0))</f>
        <v>0</v>
      </c>
      <c r="P161" s="25">
        <f>IF(B161="","",O161-IF(G161="",0,G161))</f>
        <v>0</v>
      </c>
      <c r="Q161" s="25">
        <f>IF(B161="","",IF(RewardAt&lt;=0,0,ROUNDDOWN(P161/RewardAt,0)))</f>
        <v>0</v>
      </c>
      <c r="R161" s="26">
        <f>IF(B161="","",ROUND(Q161*RewardValue,2))</f>
        <v>0</v>
      </c>
      <c r="S161" s="25">
        <f>IF(B161="","",IF(RewardAt&lt;=0,"",MAX(0,RewardAt*(Q161+1)-P161)))</f>
        <v>0</v>
      </c>
      <c r="T161" s="25">
        <f>IF(B161="","",COUNTIFS(Clients!$H$5:$H$504,B161))</f>
        <v>0</v>
      </c>
      <c r="U161" s="26">
        <f>IF(B161="","",ROUND(T161*ReferralReward-IF(J161="",0,J161),2))</f>
        <v>0</v>
      </c>
      <c r="V161" s="15">
        <f>IF(B161="","",IFERROR(INDEX(Clients!$AM$5:$AM$504,MATCH(B161,Clients!$A$5:$A$504,0))&amp;"",""))</f>
        <v>0</v>
      </c>
      <c r="W161" s="25">
        <f>IF(B161="","",COUNTIFS($P$5:$P$504,"&gt;"&amp;P161)+COUNTIFS($P$5:P161,P161))</f>
        <v>0</v>
      </c>
      <c r="X161" s="39">
        <f>IF(B161="","",IF(K161="No","",IF(COUNTIF($B$5:$B$504,B161)&gt;1,"Duplicate - this client is on twice",IF(Q161&gt;0,"Action - reward ready to give",IF(U161&gt;0.004,"Action - referral credit owed",IF(V161="Lapsing","Chase - points are a reason to call",IF(S161&lt;=RewardAt*0.2,"Rebook - nearly at a reward","OK")))))))</f>
        <v>0</v>
      </c>
    </row>
    <row r="162" spans="1:24">
      <c r="A162" s="28">
        <f>IF(B162="","",LoyaltyPrefix&amp;TEXT(ROW()-4,"0000"))</f>
        <v>0</v>
      </c>
      <c r="C162" s="15">
        <f>IF(B162="","",IFERROR(INDEX(Clients!$B$5:$B$504,MATCH(B162,Clients!$A$5:$A$504,0)),"Not in Clients"))</f>
        <v>0</v>
      </c>
      <c r="M162" s="26">
        <f>IF(B162="","",ROUND(SUMIFS(Sales!$Y$5:$Y$1204,Sales!$D$5:$D$1204,B162,Sales!$B$5:$B$1204,"&gt;="&amp;IF(D162="",0,D162)),2))</f>
        <v>0</v>
      </c>
      <c r="N162" s="25">
        <f>IF(B162="","",IFERROR(INDEX(Clients!$T$5:$T$504,MATCH(B162,Clients!$A$5:$A$504,0))*1,0))</f>
        <v>0</v>
      </c>
      <c r="O162" s="25">
        <f>IF(B162="","",ROUND(M162*PointsPerUnit+IF(F162="",0,F162),0))</f>
        <v>0</v>
      </c>
      <c r="P162" s="25">
        <f>IF(B162="","",O162-IF(G162="",0,G162))</f>
        <v>0</v>
      </c>
      <c r="Q162" s="25">
        <f>IF(B162="","",IF(RewardAt&lt;=0,0,ROUNDDOWN(P162/RewardAt,0)))</f>
        <v>0</v>
      </c>
      <c r="R162" s="26">
        <f>IF(B162="","",ROUND(Q162*RewardValue,2))</f>
        <v>0</v>
      </c>
      <c r="S162" s="25">
        <f>IF(B162="","",IF(RewardAt&lt;=0,"",MAX(0,RewardAt*(Q162+1)-P162)))</f>
        <v>0</v>
      </c>
      <c r="T162" s="25">
        <f>IF(B162="","",COUNTIFS(Clients!$H$5:$H$504,B162))</f>
        <v>0</v>
      </c>
      <c r="U162" s="26">
        <f>IF(B162="","",ROUND(T162*ReferralReward-IF(J162="",0,J162),2))</f>
        <v>0</v>
      </c>
      <c r="V162" s="15">
        <f>IF(B162="","",IFERROR(INDEX(Clients!$AM$5:$AM$504,MATCH(B162,Clients!$A$5:$A$504,0))&amp;"",""))</f>
        <v>0</v>
      </c>
      <c r="W162" s="25">
        <f>IF(B162="","",COUNTIFS($P$5:$P$504,"&gt;"&amp;P162)+COUNTIFS($P$5:P162,P162))</f>
        <v>0</v>
      </c>
      <c r="X162" s="39">
        <f>IF(B162="","",IF(K162="No","",IF(COUNTIF($B$5:$B$504,B162)&gt;1,"Duplicate - this client is on twice",IF(Q162&gt;0,"Action - reward ready to give",IF(U162&gt;0.004,"Action - referral credit owed",IF(V162="Lapsing","Chase - points are a reason to call",IF(S162&lt;=RewardAt*0.2,"Rebook - nearly at a reward","OK")))))))</f>
        <v>0</v>
      </c>
    </row>
    <row r="163" spans="1:24">
      <c r="A163" s="28">
        <f>IF(B163="","",LoyaltyPrefix&amp;TEXT(ROW()-4,"0000"))</f>
        <v>0</v>
      </c>
      <c r="C163" s="15">
        <f>IF(B163="","",IFERROR(INDEX(Clients!$B$5:$B$504,MATCH(B163,Clients!$A$5:$A$504,0)),"Not in Clients"))</f>
        <v>0</v>
      </c>
      <c r="M163" s="26">
        <f>IF(B163="","",ROUND(SUMIFS(Sales!$Y$5:$Y$1204,Sales!$D$5:$D$1204,B163,Sales!$B$5:$B$1204,"&gt;="&amp;IF(D163="",0,D163)),2))</f>
        <v>0</v>
      </c>
      <c r="N163" s="25">
        <f>IF(B163="","",IFERROR(INDEX(Clients!$T$5:$T$504,MATCH(B163,Clients!$A$5:$A$504,0))*1,0))</f>
        <v>0</v>
      </c>
      <c r="O163" s="25">
        <f>IF(B163="","",ROUND(M163*PointsPerUnit+IF(F163="",0,F163),0))</f>
        <v>0</v>
      </c>
      <c r="P163" s="25">
        <f>IF(B163="","",O163-IF(G163="",0,G163))</f>
        <v>0</v>
      </c>
      <c r="Q163" s="25">
        <f>IF(B163="","",IF(RewardAt&lt;=0,0,ROUNDDOWN(P163/RewardAt,0)))</f>
        <v>0</v>
      </c>
      <c r="R163" s="26">
        <f>IF(B163="","",ROUND(Q163*RewardValue,2))</f>
        <v>0</v>
      </c>
      <c r="S163" s="25">
        <f>IF(B163="","",IF(RewardAt&lt;=0,"",MAX(0,RewardAt*(Q163+1)-P163)))</f>
        <v>0</v>
      </c>
      <c r="T163" s="25">
        <f>IF(B163="","",COUNTIFS(Clients!$H$5:$H$504,B163))</f>
        <v>0</v>
      </c>
      <c r="U163" s="26">
        <f>IF(B163="","",ROUND(T163*ReferralReward-IF(J163="",0,J163),2))</f>
        <v>0</v>
      </c>
      <c r="V163" s="15">
        <f>IF(B163="","",IFERROR(INDEX(Clients!$AM$5:$AM$504,MATCH(B163,Clients!$A$5:$A$504,0))&amp;"",""))</f>
        <v>0</v>
      </c>
      <c r="W163" s="25">
        <f>IF(B163="","",COUNTIFS($P$5:$P$504,"&gt;"&amp;P163)+COUNTIFS($P$5:P163,P163))</f>
        <v>0</v>
      </c>
      <c r="X163" s="39">
        <f>IF(B163="","",IF(K163="No","",IF(COUNTIF($B$5:$B$504,B163)&gt;1,"Duplicate - this client is on twice",IF(Q163&gt;0,"Action - reward ready to give",IF(U163&gt;0.004,"Action - referral credit owed",IF(V163="Lapsing","Chase - points are a reason to call",IF(S163&lt;=RewardAt*0.2,"Rebook - nearly at a reward","OK")))))))</f>
        <v>0</v>
      </c>
    </row>
    <row r="164" spans="1:24">
      <c r="A164" s="28">
        <f>IF(B164="","",LoyaltyPrefix&amp;TEXT(ROW()-4,"0000"))</f>
        <v>0</v>
      </c>
      <c r="C164" s="15">
        <f>IF(B164="","",IFERROR(INDEX(Clients!$B$5:$B$504,MATCH(B164,Clients!$A$5:$A$504,0)),"Not in Clients"))</f>
        <v>0</v>
      </c>
      <c r="M164" s="26">
        <f>IF(B164="","",ROUND(SUMIFS(Sales!$Y$5:$Y$1204,Sales!$D$5:$D$1204,B164,Sales!$B$5:$B$1204,"&gt;="&amp;IF(D164="",0,D164)),2))</f>
        <v>0</v>
      </c>
      <c r="N164" s="25">
        <f>IF(B164="","",IFERROR(INDEX(Clients!$T$5:$T$504,MATCH(B164,Clients!$A$5:$A$504,0))*1,0))</f>
        <v>0</v>
      </c>
      <c r="O164" s="25">
        <f>IF(B164="","",ROUND(M164*PointsPerUnit+IF(F164="",0,F164),0))</f>
        <v>0</v>
      </c>
      <c r="P164" s="25">
        <f>IF(B164="","",O164-IF(G164="",0,G164))</f>
        <v>0</v>
      </c>
      <c r="Q164" s="25">
        <f>IF(B164="","",IF(RewardAt&lt;=0,0,ROUNDDOWN(P164/RewardAt,0)))</f>
        <v>0</v>
      </c>
      <c r="R164" s="26">
        <f>IF(B164="","",ROUND(Q164*RewardValue,2))</f>
        <v>0</v>
      </c>
      <c r="S164" s="25">
        <f>IF(B164="","",IF(RewardAt&lt;=0,"",MAX(0,RewardAt*(Q164+1)-P164)))</f>
        <v>0</v>
      </c>
      <c r="T164" s="25">
        <f>IF(B164="","",COUNTIFS(Clients!$H$5:$H$504,B164))</f>
        <v>0</v>
      </c>
      <c r="U164" s="26">
        <f>IF(B164="","",ROUND(T164*ReferralReward-IF(J164="",0,J164),2))</f>
        <v>0</v>
      </c>
      <c r="V164" s="15">
        <f>IF(B164="","",IFERROR(INDEX(Clients!$AM$5:$AM$504,MATCH(B164,Clients!$A$5:$A$504,0))&amp;"",""))</f>
        <v>0</v>
      </c>
      <c r="W164" s="25">
        <f>IF(B164="","",COUNTIFS($P$5:$P$504,"&gt;"&amp;P164)+COUNTIFS($P$5:P164,P164))</f>
        <v>0</v>
      </c>
      <c r="X164" s="39">
        <f>IF(B164="","",IF(K164="No","",IF(COUNTIF($B$5:$B$504,B164)&gt;1,"Duplicate - this client is on twice",IF(Q164&gt;0,"Action - reward ready to give",IF(U164&gt;0.004,"Action - referral credit owed",IF(V164="Lapsing","Chase - points are a reason to call",IF(S164&lt;=RewardAt*0.2,"Rebook - nearly at a reward","OK")))))))</f>
        <v>0</v>
      </c>
    </row>
    <row r="165" spans="1:24">
      <c r="A165" s="28">
        <f>IF(B165="","",LoyaltyPrefix&amp;TEXT(ROW()-4,"0000"))</f>
        <v>0</v>
      </c>
      <c r="C165" s="15">
        <f>IF(B165="","",IFERROR(INDEX(Clients!$B$5:$B$504,MATCH(B165,Clients!$A$5:$A$504,0)),"Not in Clients"))</f>
        <v>0</v>
      </c>
      <c r="M165" s="26">
        <f>IF(B165="","",ROUND(SUMIFS(Sales!$Y$5:$Y$1204,Sales!$D$5:$D$1204,B165,Sales!$B$5:$B$1204,"&gt;="&amp;IF(D165="",0,D165)),2))</f>
        <v>0</v>
      </c>
      <c r="N165" s="25">
        <f>IF(B165="","",IFERROR(INDEX(Clients!$T$5:$T$504,MATCH(B165,Clients!$A$5:$A$504,0))*1,0))</f>
        <v>0</v>
      </c>
      <c r="O165" s="25">
        <f>IF(B165="","",ROUND(M165*PointsPerUnit+IF(F165="",0,F165),0))</f>
        <v>0</v>
      </c>
      <c r="P165" s="25">
        <f>IF(B165="","",O165-IF(G165="",0,G165))</f>
        <v>0</v>
      </c>
      <c r="Q165" s="25">
        <f>IF(B165="","",IF(RewardAt&lt;=0,0,ROUNDDOWN(P165/RewardAt,0)))</f>
        <v>0</v>
      </c>
      <c r="R165" s="26">
        <f>IF(B165="","",ROUND(Q165*RewardValue,2))</f>
        <v>0</v>
      </c>
      <c r="S165" s="25">
        <f>IF(B165="","",IF(RewardAt&lt;=0,"",MAX(0,RewardAt*(Q165+1)-P165)))</f>
        <v>0</v>
      </c>
      <c r="T165" s="25">
        <f>IF(B165="","",COUNTIFS(Clients!$H$5:$H$504,B165))</f>
        <v>0</v>
      </c>
      <c r="U165" s="26">
        <f>IF(B165="","",ROUND(T165*ReferralReward-IF(J165="",0,J165),2))</f>
        <v>0</v>
      </c>
      <c r="V165" s="15">
        <f>IF(B165="","",IFERROR(INDEX(Clients!$AM$5:$AM$504,MATCH(B165,Clients!$A$5:$A$504,0))&amp;"",""))</f>
        <v>0</v>
      </c>
      <c r="W165" s="25">
        <f>IF(B165="","",COUNTIFS($P$5:$P$504,"&gt;"&amp;P165)+COUNTIFS($P$5:P165,P165))</f>
        <v>0</v>
      </c>
      <c r="X165" s="39">
        <f>IF(B165="","",IF(K165="No","",IF(COUNTIF($B$5:$B$504,B165)&gt;1,"Duplicate - this client is on twice",IF(Q165&gt;0,"Action - reward ready to give",IF(U165&gt;0.004,"Action - referral credit owed",IF(V165="Lapsing","Chase - points are a reason to call",IF(S165&lt;=RewardAt*0.2,"Rebook - nearly at a reward","OK")))))))</f>
        <v>0</v>
      </c>
    </row>
    <row r="166" spans="1:24">
      <c r="A166" s="28">
        <f>IF(B166="","",LoyaltyPrefix&amp;TEXT(ROW()-4,"0000"))</f>
        <v>0</v>
      </c>
      <c r="C166" s="15">
        <f>IF(B166="","",IFERROR(INDEX(Clients!$B$5:$B$504,MATCH(B166,Clients!$A$5:$A$504,0)),"Not in Clients"))</f>
        <v>0</v>
      </c>
      <c r="M166" s="26">
        <f>IF(B166="","",ROUND(SUMIFS(Sales!$Y$5:$Y$1204,Sales!$D$5:$D$1204,B166,Sales!$B$5:$B$1204,"&gt;="&amp;IF(D166="",0,D166)),2))</f>
        <v>0</v>
      </c>
      <c r="N166" s="25">
        <f>IF(B166="","",IFERROR(INDEX(Clients!$T$5:$T$504,MATCH(B166,Clients!$A$5:$A$504,0))*1,0))</f>
        <v>0</v>
      </c>
      <c r="O166" s="25">
        <f>IF(B166="","",ROUND(M166*PointsPerUnit+IF(F166="",0,F166),0))</f>
        <v>0</v>
      </c>
      <c r="P166" s="25">
        <f>IF(B166="","",O166-IF(G166="",0,G166))</f>
        <v>0</v>
      </c>
      <c r="Q166" s="25">
        <f>IF(B166="","",IF(RewardAt&lt;=0,0,ROUNDDOWN(P166/RewardAt,0)))</f>
        <v>0</v>
      </c>
      <c r="R166" s="26">
        <f>IF(B166="","",ROUND(Q166*RewardValue,2))</f>
        <v>0</v>
      </c>
      <c r="S166" s="25">
        <f>IF(B166="","",IF(RewardAt&lt;=0,"",MAX(0,RewardAt*(Q166+1)-P166)))</f>
        <v>0</v>
      </c>
      <c r="T166" s="25">
        <f>IF(B166="","",COUNTIFS(Clients!$H$5:$H$504,B166))</f>
        <v>0</v>
      </c>
      <c r="U166" s="26">
        <f>IF(B166="","",ROUND(T166*ReferralReward-IF(J166="",0,J166),2))</f>
        <v>0</v>
      </c>
      <c r="V166" s="15">
        <f>IF(B166="","",IFERROR(INDEX(Clients!$AM$5:$AM$504,MATCH(B166,Clients!$A$5:$A$504,0))&amp;"",""))</f>
        <v>0</v>
      </c>
      <c r="W166" s="25">
        <f>IF(B166="","",COUNTIFS($P$5:$P$504,"&gt;"&amp;P166)+COUNTIFS($P$5:P166,P166))</f>
        <v>0</v>
      </c>
      <c r="X166" s="39">
        <f>IF(B166="","",IF(K166="No","",IF(COUNTIF($B$5:$B$504,B166)&gt;1,"Duplicate - this client is on twice",IF(Q166&gt;0,"Action - reward ready to give",IF(U166&gt;0.004,"Action - referral credit owed",IF(V166="Lapsing","Chase - points are a reason to call",IF(S166&lt;=RewardAt*0.2,"Rebook - nearly at a reward","OK")))))))</f>
        <v>0</v>
      </c>
    </row>
    <row r="167" spans="1:24">
      <c r="A167" s="28">
        <f>IF(B167="","",LoyaltyPrefix&amp;TEXT(ROW()-4,"0000"))</f>
        <v>0</v>
      </c>
      <c r="C167" s="15">
        <f>IF(B167="","",IFERROR(INDEX(Clients!$B$5:$B$504,MATCH(B167,Clients!$A$5:$A$504,0)),"Not in Clients"))</f>
        <v>0</v>
      </c>
      <c r="M167" s="26">
        <f>IF(B167="","",ROUND(SUMIFS(Sales!$Y$5:$Y$1204,Sales!$D$5:$D$1204,B167,Sales!$B$5:$B$1204,"&gt;="&amp;IF(D167="",0,D167)),2))</f>
        <v>0</v>
      </c>
      <c r="N167" s="25">
        <f>IF(B167="","",IFERROR(INDEX(Clients!$T$5:$T$504,MATCH(B167,Clients!$A$5:$A$504,0))*1,0))</f>
        <v>0</v>
      </c>
      <c r="O167" s="25">
        <f>IF(B167="","",ROUND(M167*PointsPerUnit+IF(F167="",0,F167),0))</f>
        <v>0</v>
      </c>
      <c r="P167" s="25">
        <f>IF(B167="","",O167-IF(G167="",0,G167))</f>
        <v>0</v>
      </c>
      <c r="Q167" s="25">
        <f>IF(B167="","",IF(RewardAt&lt;=0,0,ROUNDDOWN(P167/RewardAt,0)))</f>
        <v>0</v>
      </c>
      <c r="R167" s="26">
        <f>IF(B167="","",ROUND(Q167*RewardValue,2))</f>
        <v>0</v>
      </c>
      <c r="S167" s="25">
        <f>IF(B167="","",IF(RewardAt&lt;=0,"",MAX(0,RewardAt*(Q167+1)-P167)))</f>
        <v>0</v>
      </c>
      <c r="T167" s="25">
        <f>IF(B167="","",COUNTIFS(Clients!$H$5:$H$504,B167))</f>
        <v>0</v>
      </c>
      <c r="U167" s="26">
        <f>IF(B167="","",ROUND(T167*ReferralReward-IF(J167="",0,J167),2))</f>
        <v>0</v>
      </c>
      <c r="V167" s="15">
        <f>IF(B167="","",IFERROR(INDEX(Clients!$AM$5:$AM$504,MATCH(B167,Clients!$A$5:$A$504,0))&amp;"",""))</f>
        <v>0</v>
      </c>
      <c r="W167" s="25">
        <f>IF(B167="","",COUNTIFS($P$5:$P$504,"&gt;"&amp;P167)+COUNTIFS($P$5:P167,P167))</f>
        <v>0</v>
      </c>
      <c r="X167" s="39">
        <f>IF(B167="","",IF(K167="No","",IF(COUNTIF($B$5:$B$504,B167)&gt;1,"Duplicate - this client is on twice",IF(Q167&gt;0,"Action - reward ready to give",IF(U167&gt;0.004,"Action - referral credit owed",IF(V167="Lapsing","Chase - points are a reason to call",IF(S167&lt;=RewardAt*0.2,"Rebook - nearly at a reward","OK")))))))</f>
        <v>0</v>
      </c>
    </row>
    <row r="168" spans="1:24">
      <c r="A168" s="28">
        <f>IF(B168="","",LoyaltyPrefix&amp;TEXT(ROW()-4,"0000"))</f>
        <v>0</v>
      </c>
      <c r="C168" s="15">
        <f>IF(B168="","",IFERROR(INDEX(Clients!$B$5:$B$504,MATCH(B168,Clients!$A$5:$A$504,0)),"Not in Clients"))</f>
        <v>0</v>
      </c>
      <c r="M168" s="26">
        <f>IF(B168="","",ROUND(SUMIFS(Sales!$Y$5:$Y$1204,Sales!$D$5:$D$1204,B168,Sales!$B$5:$B$1204,"&gt;="&amp;IF(D168="",0,D168)),2))</f>
        <v>0</v>
      </c>
      <c r="N168" s="25">
        <f>IF(B168="","",IFERROR(INDEX(Clients!$T$5:$T$504,MATCH(B168,Clients!$A$5:$A$504,0))*1,0))</f>
        <v>0</v>
      </c>
      <c r="O168" s="25">
        <f>IF(B168="","",ROUND(M168*PointsPerUnit+IF(F168="",0,F168),0))</f>
        <v>0</v>
      </c>
      <c r="P168" s="25">
        <f>IF(B168="","",O168-IF(G168="",0,G168))</f>
        <v>0</v>
      </c>
      <c r="Q168" s="25">
        <f>IF(B168="","",IF(RewardAt&lt;=0,0,ROUNDDOWN(P168/RewardAt,0)))</f>
        <v>0</v>
      </c>
      <c r="R168" s="26">
        <f>IF(B168="","",ROUND(Q168*RewardValue,2))</f>
        <v>0</v>
      </c>
      <c r="S168" s="25">
        <f>IF(B168="","",IF(RewardAt&lt;=0,"",MAX(0,RewardAt*(Q168+1)-P168)))</f>
        <v>0</v>
      </c>
      <c r="T168" s="25">
        <f>IF(B168="","",COUNTIFS(Clients!$H$5:$H$504,B168))</f>
        <v>0</v>
      </c>
      <c r="U168" s="26">
        <f>IF(B168="","",ROUND(T168*ReferralReward-IF(J168="",0,J168),2))</f>
        <v>0</v>
      </c>
      <c r="V168" s="15">
        <f>IF(B168="","",IFERROR(INDEX(Clients!$AM$5:$AM$504,MATCH(B168,Clients!$A$5:$A$504,0))&amp;"",""))</f>
        <v>0</v>
      </c>
      <c r="W168" s="25">
        <f>IF(B168="","",COUNTIFS($P$5:$P$504,"&gt;"&amp;P168)+COUNTIFS($P$5:P168,P168))</f>
        <v>0</v>
      </c>
      <c r="X168" s="39">
        <f>IF(B168="","",IF(K168="No","",IF(COUNTIF($B$5:$B$504,B168)&gt;1,"Duplicate - this client is on twice",IF(Q168&gt;0,"Action - reward ready to give",IF(U168&gt;0.004,"Action - referral credit owed",IF(V168="Lapsing","Chase - points are a reason to call",IF(S168&lt;=RewardAt*0.2,"Rebook - nearly at a reward","OK")))))))</f>
        <v>0</v>
      </c>
    </row>
    <row r="169" spans="1:24">
      <c r="A169" s="28">
        <f>IF(B169="","",LoyaltyPrefix&amp;TEXT(ROW()-4,"0000"))</f>
        <v>0</v>
      </c>
      <c r="C169" s="15">
        <f>IF(B169="","",IFERROR(INDEX(Clients!$B$5:$B$504,MATCH(B169,Clients!$A$5:$A$504,0)),"Not in Clients"))</f>
        <v>0</v>
      </c>
      <c r="M169" s="26">
        <f>IF(B169="","",ROUND(SUMIFS(Sales!$Y$5:$Y$1204,Sales!$D$5:$D$1204,B169,Sales!$B$5:$B$1204,"&gt;="&amp;IF(D169="",0,D169)),2))</f>
        <v>0</v>
      </c>
      <c r="N169" s="25">
        <f>IF(B169="","",IFERROR(INDEX(Clients!$T$5:$T$504,MATCH(B169,Clients!$A$5:$A$504,0))*1,0))</f>
        <v>0</v>
      </c>
      <c r="O169" s="25">
        <f>IF(B169="","",ROUND(M169*PointsPerUnit+IF(F169="",0,F169),0))</f>
        <v>0</v>
      </c>
      <c r="P169" s="25">
        <f>IF(B169="","",O169-IF(G169="",0,G169))</f>
        <v>0</v>
      </c>
      <c r="Q169" s="25">
        <f>IF(B169="","",IF(RewardAt&lt;=0,0,ROUNDDOWN(P169/RewardAt,0)))</f>
        <v>0</v>
      </c>
      <c r="R169" s="26">
        <f>IF(B169="","",ROUND(Q169*RewardValue,2))</f>
        <v>0</v>
      </c>
      <c r="S169" s="25">
        <f>IF(B169="","",IF(RewardAt&lt;=0,"",MAX(0,RewardAt*(Q169+1)-P169)))</f>
        <v>0</v>
      </c>
      <c r="T169" s="25">
        <f>IF(B169="","",COUNTIFS(Clients!$H$5:$H$504,B169))</f>
        <v>0</v>
      </c>
      <c r="U169" s="26">
        <f>IF(B169="","",ROUND(T169*ReferralReward-IF(J169="",0,J169),2))</f>
        <v>0</v>
      </c>
      <c r="V169" s="15">
        <f>IF(B169="","",IFERROR(INDEX(Clients!$AM$5:$AM$504,MATCH(B169,Clients!$A$5:$A$504,0))&amp;"",""))</f>
        <v>0</v>
      </c>
      <c r="W169" s="25">
        <f>IF(B169="","",COUNTIFS($P$5:$P$504,"&gt;"&amp;P169)+COUNTIFS($P$5:P169,P169))</f>
        <v>0</v>
      </c>
      <c r="X169" s="39">
        <f>IF(B169="","",IF(K169="No","",IF(COUNTIF($B$5:$B$504,B169)&gt;1,"Duplicate - this client is on twice",IF(Q169&gt;0,"Action - reward ready to give",IF(U169&gt;0.004,"Action - referral credit owed",IF(V169="Lapsing","Chase - points are a reason to call",IF(S169&lt;=RewardAt*0.2,"Rebook - nearly at a reward","OK")))))))</f>
        <v>0</v>
      </c>
    </row>
    <row r="170" spans="1:24">
      <c r="A170" s="28">
        <f>IF(B170="","",LoyaltyPrefix&amp;TEXT(ROW()-4,"0000"))</f>
        <v>0</v>
      </c>
      <c r="C170" s="15">
        <f>IF(B170="","",IFERROR(INDEX(Clients!$B$5:$B$504,MATCH(B170,Clients!$A$5:$A$504,0)),"Not in Clients"))</f>
        <v>0</v>
      </c>
      <c r="M170" s="26">
        <f>IF(B170="","",ROUND(SUMIFS(Sales!$Y$5:$Y$1204,Sales!$D$5:$D$1204,B170,Sales!$B$5:$B$1204,"&gt;="&amp;IF(D170="",0,D170)),2))</f>
        <v>0</v>
      </c>
      <c r="N170" s="25">
        <f>IF(B170="","",IFERROR(INDEX(Clients!$T$5:$T$504,MATCH(B170,Clients!$A$5:$A$504,0))*1,0))</f>
        <v>0</v>
      </c>
      <c r="O170" s="25">
        <f>IF(B170="","",ROUND(M170*PointsPerUnit+IF(F170="",0,F170),0))</f>
        <v>0</v>
      </c>
      <c r="P170" s="25">
        <f>IF(B170="","",O170-IF(G170="",0,G170))</f>
        <v>0</v>
      </c>
      <c r="Q170" s="25">
        <f>IF(B170="","",IF(RewardAt&lt;=0,0,ROUNDDOWN(P170/RewardAt,0)))</f>
        <v>0</v>
      </c>
      <c r="R170" s="26">
        <f>IF(B170="","",ROUND(Q170*RewardValue,2))</f>
        <v>0</v>
      </c>
      <c r="S170" s="25">
        <f>IF(B170="","",IF(RewardAt&lt;=0,"",MAX(0,RewardAt*(Q170+1)-P170)))</f>
        <v>0</v>
      </c>
      <c r="T170" s="25">
        <f>IF(B170="","",COUNTIFS(Clients!$H$5:$H$504,B170))</f>
        <v>0</v>
      </c>
      <c r="U170" s="26">
        <f>IF(B170="","",ROUND(T170*ReferralReward-IF(J170="",0,J170),2))</f>
        <v>0</v>
      </c>
      <c r="V170" s="15">
        <f>IF(B170="","",IFERROR(INDEX(Clients!$AM$5:$AM$504,MATCH(B170,Clients!$A$5:$A$504,0))&amp;"",""))</f>
        <v>0</v>
      </c>
      <c r="W170" s="25">
        <f>IF(B170="","",COUNTIFS($P$5:$P$504,"&gt;"&amp;P170)+COUNTIFS($P$5:P170,P170))</f>
        <v>0</v>
      </c>
      <c r="X170" s="39">
        <f>IF(B170="","",IF(K170="No","",IF(COUNTIF($B$5:$B$504,B170)&gt;1,"Duplicate - this client is on twice",IF(Q170&gt;0,"Action - reward ready to give",IF(U170&gt;0.004,"Action - referral credit owed",IF(V170="Lapsing","Chase - points are a reason to call",IF(S170&lt;=RewardAt*0.2,"Rebook - nearly at a reward","OK")))))))</f>
        <v>0</v>
      </c>
    </row>
    <row r="171" spans="1:24">
      <c r="A171" s="28">
        <f>IF(B171="","",LoyaltyPrefix&amp;TEXT(ROW()-4,"0000"))</f>
        <v>0</v>
      </c>
      <c r="C171" s="15">
        <f>IF(B171="","",IFERROR(INDEX(Clients!$B$5:$B$504,MATCH(B171,Clients!$A$5:$A$504,0)),"Not in Clients"))</f>
        <v>0</v>
      </c>
      <c r="M171" s="26">
        <f>IF(B171="","",ROUND(SUMIFS(Sales!$Y$5:$Y$1204,Sales!$D$5:$D$1204,B171,Sales!$B$5:$B$1204,"&gt;="&amp;IF(D171="",0,D171)),2))</f>
        <v>0</v>
      </c>
      <c r="N171" s="25">
        <f>IF(B171="","",IFERROR(INDEX(Clients!$T$5:$T$504,MATCH(B171,Clients!$A$5:$A$504,0))*1,0))</f>
        <v>0</v>
      </c>
      <c r="O171" s="25">
        <f>IF(B171="","",ROUND(M171*PointsPerUnit+IF(F171="",0,F171),0))</f>
        <v>0</v>
      </c>
      <c r="P171" s="25">
        <f>IF(B171="","",O171-IF(G171="",0,G171))</f>
        <v>0</v>
      </c>
      <c r="Q171" s="25">
        <f>IF(B171="","",IF(RewardAt&lt;=0,0,ROUNDDOWN(P171/RewardAt,0)))</f>
        <v>0</v>
      </c>
      <c r="R171" s="26">
        <f>IF(B171="","",ROUND(Q171*RewardValue,2))</f>
        <v>0</v>
      </c>
      <c r="S171" s="25">
        <f>IF(B171="","",IF(RewardAt&lt;=0,"",MAX(0,RewardAt*(Q171+1)-P171)))</f>
        <v>0</v>
      </c>
      <c r="T171" s="25">
        <f>IF(B171="","",COUNTIFS(Clients!$H$5:$H$504,B171))</f>
        <v>0</v>
      </c>
      <c r="U171" s="26">
        <f>IF(B171="","",ROUND(T171*ReferralReward-IF(J171="",0,J171),2))</f>
        <v>0</v>
      </c>
      <c r="V171" s="15">
        <f>IF(B171="","",IFERROR(INDEX(Clients!$AM$5:$AM$504,MATCH(B171,Clients!$A$5:$A$504,0))&amp;"",""))</f>
        <v>0</v>
      </c>
      <c r="W171" s="25">
        <f>IF(B171="","",COUNTIFS($P$5:$P$504,"&gt;"&amp;P171)+COUNTIFS($P$5:P171,P171))</f>
        <v>0</v>
      </c>
      <c r="X171" s="39">
        <f>IF(B171="","",IF(K171="No","",IF(COUNTIF($B$5:$B$504,B171)&gt;1,"Duplicate - this client is on twice",IF(Q171&gt;0,"Action - reward ready to give",IF(U171&gt;0.004,"Action - referral credit owed",IF(V171="Lapsing","Chase - points are a reason to call",IF(S171&lt;=RewardAt*0.2,"Rebook - nearly at a reward","OK")))))))</f>
        <v>0</v>
      </c>
    </row>
    <row r="172" spans="1:24">
      <c r="A172" s="28">
        <f>IF(B172="","",LoyaltyPrefix&amp;TEXT(ROW()-4,"0000"))</f>
        <v>0</v>
      </c>
      <c r="C172" s="15">
        <f>IF(B172="","",IFERROR(INDEX(Clients!$B$5:$B$504,MATCH(B172,Clients!$A$5:$A$504,0)),"Not in Clients"))</f>
        <v>0</v>
      </c>
      <c r="M172" s="26">
        <f>IF(B172="","",ROUND(SUMIFS(Sales!$Y$5:$Y$1204,Sales!$D$5:$D$1204,B172,Sales!$B$5:$B$1204,"&gt;="&amp;IF(D172="",0,D172)),2))</f>
        <v>0</v>
      </c>
      <c r="N172" s="25">
        <f>IF(B172="","",IFERROR(INDEX(Clients!$T$5:$T$504,MATCH(B172,Clients!$A$5:$A$504,0))*1,0))</f>
        <v>0</v>
      </c>
      <c r="O172" s="25">
        <f>IF(B172="","",ROUND(M172*PointsPerUnit+IF(F172="",0,F172),0))</f>
        <v>0</v>
      </c>
      <c r="P172" s="25">
        <f>IF(B172="","",O172-IF(G172="",0,G172))</f>
        <v>0</v>
      </c>
      <c r="Q172" s="25">
        <f>IF(B172="","",IF(RewardAt&lt;=0,0,ROUNDDOWN(P172/RewardAt,0)))</f>
        <v>0</v>
      </c>
      <c r="R172" s="26">
        <f>IF(B172="","",ROUND(Q172*RewardValue,2))</f>
        <v>0</v>
      </c>
      <c r="S172" s="25">
        <f>IF(B172="","",IF(RewardAt&lt;=0,"",MAX(0,RewardAt*(Q172+1)-P172)))</f>
        <v>0</v>
      </c>
      <c r="T172" s="25">
        <f>IF(B172="","",COUNTIFS(Clients!$H$5:$H$504,B172))</f>
        <v>0</v>
      </c>
      <c r="U172" s="26">
        <f>IF(B172="","",ROUND(T172*ReferralReward-IF(J172="",0,J172),2))</f>
        <v>0</v>
      </c>
      <c r="V172" s="15">
        <f>IF(B172="","",IFERROR(INDEX(Clients!$AM$5:$AM$504,MATCH(B172,Clients!$A$5:$A$504,0))&amp;"",""))</f>
        <v>0</v>
      </c>
      <c r="W172" s="25">
        <f>IF(B172="","",COUNTIFS($P$5:$P$504,"&gt;"&amp;P172)+COUNTIFS($P$5:P172,P172))</f>
        <v>0</v>
      </c>
      <c r="X172" s="39">
        <f>IF(B172="","",IF(K172="No","",IF(COUNTIF($B$5:$B$504,B172)&gt;1,"Duplicate - this client is on twice",IF(Q172&gt;0,"Action - reward ready to give",IF(U172&gt;0.004,"Action - referral credit owed",IF(V172="Lapsing","Chase - points are a reason to call",IF(S172&lt;=RewardAt*0.2,"Rebook - nearly at a reward","OK")))))))</f>
        <v>0</v>
      </c>
    </row>
    <row r="173" spans="1:24">
      <c r="A173" s="28">
        <f>IF(B173="","",LoyaltyPrefix&amp;TEXT(ROW()-4,"0000"))</f>
        <v>0</v>
      </c>
      <c r="C173" s="15">
        <f>IF(B173="","",IFERROR(INDEX(Clients!$B$5:$B$504,MATCH(B173,Clients!$A$5:$A$504,0)),"Not in Clients"))</f>
        <v>0</v>
      </c>
      <c r="M173" s="26">
        <f>IF(B173="","",ROUND(SUMIFS(Sales!$Y$5:$Y$1204,Sales!$D$5:$D$1204,B173,Sales!$B$5:$B$1204,"&gt;="&amp;IF(D173="",0,D173)),2))</f>
        <v>0</v>
      </c>
      <c r="N173" s="25">
        <f>IF(B173="","",IFERROR(INDEX(Clients!$T$5:$T$504,MATCH(B173,Clients!$A$5:$A$504,0))*1,0))</f>
        <v>0</v>
      </c>
      <c r="O173" s="25">
        <f>IF(B173="","",ROUND(M173*PointsPerUnit+IF(F173="",0,F173),0))</f>
        <v>0</v>
      </c>
      <c r="P173" s="25">
        <f>IF(B173="","",O173-IF(G173="",0,G173))</f>
        <v>0</v>
      </c>
      <c r="Q173" s="25">
        <f>IF(B173="","",IF(RewardAt&lt;=0,0,ROUNDDOWN(P173/RewardAt,0)))</f>
        <v>0</v>
      </c>
      <c r="R173" s="26">
        <f>IF(B173="","",ROUND(Q173*RewardValue,2))</f>
        <v>0</v>
      </c>
      <c r="S173" s="25">
        <f>IF(B173="","",IF(RewardAt&lt;=0,"",MAX(0,RewardAt*(Q173+1)-P173)))</f>
        <v>0</v>
      </c>
      <c r="T173" s="25">
        <f>IF(B173="","",COUNTIFS(Clients!$H$5:$H$504,B173))</f>
        <v>0</v>
      </c>
      <c r="U173" s="26">
        <f>IF(B173="","",ROUND(T173*ReferralReward-IF(J173="",0,J173),2))</f>
        <v>0</v>
      </c>
      <c r="V173" s="15">
        <f>IF(B173="","",IFERROR(INDEX(Clients!$AM$5:$AM$504,MATCH(B173,Clients!$A$5:$A$504,0))&amp;"",""))</f>
        <v>0</v>
      </c>
      <c r="W173" s="25">
        <f>IF(B173="","",COUNTIFS($P$5:$P$504,"&gt;"&amp;P173)+COUNTIFS($P$5:P173,P173))</f>
        <v>0</v>
      </c>
      <c r="X173" s="39">
        <f>IF(B173="","",IF(K173="No","",IF(COUNTIF($B$5:$B$504,B173)&gt;1,"Duplicate - this client is on twice",IF(Q173&gt;0,"Action - reward ready to give",IF(U173&gt;0.004,"Action - referral credit owed",IF(V173="Lapsing","Chase - points are a reason to call",IF(S173&lt;=RewardAt*0.2,"Rebook - nearly at a reward","OK")))))))</f>
        <v>0</v>
      </c>
    </row>
    <row r="174" spans="1:24">
      <c r="A174" s="28">
        <f>IF(B174="","",LoyaltyPrefix&amp;TEXT(ROW()-4,"0000"))</f>
        <v>0</v>
      </c>
      <c r="C174" s="15">
        <f>IF(B174="","",IFERROR(INDEX(Clients!$B$5:$B$504,MATCH(B174,Clients!$A$5:$A$504,0)),"Not in Clients"))</f>
        <v>0</v>
      </c>
      <c r="M174" s="26">
        <f>IF(B174="","",ROUND(SUMIFS(Sales!$Y$5:$Y$1204,Sales!$D$5:$D$1204,B174,Sales!$B$5:$B$1204,"&gt;="&amp;IF(D174="",0,D174)),2))</f>
        <v>0</v>
      </c>
      <c r="N174" s="25">
        <f>IF(B174="","",IFERROR(INDEX(Clients!$T$5:$T$504,MATCH(B174,Clients!$A$5:$A$504,0))*1,0))</f>
        <v>0</v>
      </c>
      <c r="O174" s="25">
        <f>IF(B174="","",ROUND(M174*PointsPerUnit+IF(F174="",0,F174),0))</f>
        <v>0</v>
      </c>
      <c r="P174" s="25">
        <f>IF(B174="","",O174-IF(G174="",0,G174))</f>
        <v>0</v>
      </c>
      <c r="Q174" s="25">
        <f>IF(B174="","",IF(RewardAt&lt;=0,0,ROUNDDOWN(P174/RewardAt,0)))</f>
        <v>0</v>
      </c>
      <c r="R174" s="26">
        <f>IF(B174="","",ROUND(Q174*RewardValue,2))</f>
        <v>0</v>
      </c>
      <c r="S174" s="25">
        <f>IF(B174="","",IF(RewardAt&lt;=0,"",MAX(0,RewardAt*(Q174+1)-P174)))</f>
        <v>0</v>
      </c>
      <c r="T174" s="25">
        <f>IF(B174="","",COUNTIFS(Clients!$H$5:$H$504,B174))</f>
        <v>0</v>
      </c>
      <c r="U174" s="26">
        <f>IF(B174="","",ROUND(T174*ReferralReward-IF(J174="",0,J174),2))</f>
        <v>0</v>
      </c>
      <c r="V174" s="15">
        <f>IF(B174="","",IFERROR(INDEX(Clients!$AM$5:$AM$504,MATCH(B174,Clients!$A$5:$A$504,0))&amp;"",""))</f>
        <v>0</v>
      </c>
      <c r="W174" s="25">
        <f>IF(B174="","",COUNTIFS($P$5:$P$504,"&gt;"&amp;P174)+COUNTIFS($P$5:P174,P174))</f>
        <v>0</v>
      </c>
      <c r="X174" s="39">
        <f>IF(B174="","",IF(K174="No","",IF(COUNTIF($B$5:$B$504,B174)&gt;1,"Duplicate - this client is on twice",IF(Q174&gt;0,"Action - reward ready to give",IF(U174&gt;0.004,"Action - referral credit owed",IF(V174="Lapsing","Chase - points are a reason to call",IF(S174&lt;=RewardAt*0.2,"Rebook - nearly at a reward","OK")))))))</f>
        <v>0</v>
      </c>
    </row>
    <row r="175" spans="1:24">
      <c r="A175" s="28">
        <f>IF(B175="","",LoyaltyPrefix&amp;TEXT(ROW()-4,"0000"))</f>
        <v>0</v>
      </c>
      <c r="C175" s="15">
        <f>IF(B175="","",IFERROR(INDEX(Clients!$B$5:$B$504,MATCH(B175,Clients!$A$5:$A$504,0)),"Not in Clients"))</f>
        <v>0</v>
      </c>
      <c r="M175" s="26">
        <f>IF(B175="","",ROUND(SUMIFS(Sales!$Y$5:$Y$1204,Sales!$D$5:$D$1204,B175,Sales!$B$5:$B$1204,"&gt;="&amp;IF(D175="",0,D175)),2))</f>
        <v>0</v>
      </c>
      <c r="N175" s="25">
        <f>IF(B175="","",IFERROR(INDEX(Clients!$T$5:$T$504,MATCH(B175,Clients!$A$5:$A$504,0))*1,0))</f>
        <v>0</v>
      </c>
      <c r="O175" s="25">
        <f>IF(B175="","",ROUND(M175*PointsPerUnit+IF(F175="",0,F175),0))</f>
        <v>0</v>
      </c>
      <c r="P175" s="25">
        <f>IF(B175="","",O175-IF(G175="",0,G175))</f>
        <v>0</v>
      </c>
      <c r="Q175" s="25">
        <f>IF(B175="","",IF(RewardAt&lt;=0,0,ROUNDDOWN(P175/RewardAt,0)))</f>
        <v>0</v>
      </c>
      <c r="R175" s="26">
        <f>IF(B175="","",ROUND(Q175*RewardValue,2))</f>
        <v>0</v>
      </c>
      <c r="S175" s="25">
        <f>IF(B175="","",IF(RewardAt&lt;=0,"",MAX(0,RewardAt*(Q175+1)-P175)))</f>
        <v>0</v>
      </c>
      <c r="T175" s="25">
        <f>IF(B175="","",COUNTIFS(Clients!$H$5:$H$504,B175))</f>
        <v>0</v>
      </c>
      <c r="U175" s="26">
        <f>IF(B175="","",ROUND(T175*ReferralReward-IF(J175="",0,J175),2))</f>
        <v>0</v>
      </c>
      <c r="V175" s="15">
        <f>IF(B175="","",IFERROR(INDEX(Clients!$AM$5:$AM$504,MATCH(B175,Clients!$A$5:$A$504,0))&amp;"",""))</f>
        <v>0</v>
      </c>
      <c r="W175" s="25">
        <f>IF(B175="","",COUNTIFS($P$5:$P$504,"&gt;"&amp;P175)+COUNTIFS($P$5:P175,P175))</f>
        <v>0</v>
      </c>
      <c r="X175" s="39">
        <f>IF(B175="","",IF(K175="No","",IF(COUNTIF($B$5:$B$504,B175)&gt;1,"Duplicate - this client is on twice",IF(Q175&gt;0,"Action - reward ready to give",IF(U175&gt;0.004,"Action - referral credit owed",IF(V175="Lapsing","Chase - points are a reason to call",IF(S175&lt;=RewardAt*0.2,"Rebook - nearly at a reward","OK")))))))</f>
        <v>0</v>
      </c>
    </row>
    <row r="176" spans="1:24">
      <c r="A176" s="28">
        <f>IF(B176="","",LoyaltyPrefix&amp;TEXT(ROW()-4,"0000"))</f>
        <v>0</v>
      </c>
      <c r="C176" s="15">
        <f>IF(B176="","",IFERROR(INDEX(Clients!$B$5:$B$504,MATCH(B176,Clients!$A$5:$A$504,0)),"Not in Clients"))</f>
        <v>0</v>
      </c>
      <c r="M176" s="26">
        <f>IF(B176="","",ROUND(SUMIFS(Sales!$Y$5:$Y$1204,Sales!$D$5:$D$1204,B176,Sales!$B$5:$B$1204,"&gt;="&amp;IF(D176="",0,D176)),2))</f>
        <v>0</v>
      </c>
      <c r="N176" s="25">
        <f>IF(B176="","",IFERROR(INDEX(Clients!$T$5:$T$504,MATCH(B176,Clients!$A$5:$A$504,0))*1,0))</f>
        <v>0</v>
      </c>
      <c r="O176" s="25">
        <f>IF(B176="","",ROUND(M176*PointsPerUnit+IF(F176="",0,F176),0))</f>
        <v>0</v>
      </c>
      <c r="P176" s="25">
        <f>IF(B176="","",O176-IF(G176="",0,G176))</f>
        <v>0</v>
      </c>
      <c r="Q176" s="25">
        <f>IF(B176="","",IF(RewardAt&lt;=0,0,ROUNDDOWN(P176/RewardAt,0)))</f>
        <v>0</v>
      </c>
      <c r="R176" s="26">
        <f>IF(B176="","",ROUND(Q176*RewardValue,2))</f>
        <v>0</v>
      </c>
      <c r="S176" s="25">
        <f>IF(B176="","",IF(RewardAt&lt;=0,"",MAX(0,RewardAt*(Q176+1)-P176)))</f>
        <v>0</v>
      </c>
      <c r="T176" s="25">
        <f>IF(B176="","",COUNTIFS(Clients!$H$5:$H$504,B176))</f>
        <v>0</v>
      </c>
      <c r="U176" s="26">
        <f>IF(B176="","",ROUND(T176*ReferralReward-IF(J176="",0,J176),2))</f>
        <v>0</v>
      </c>
      <c r="V176" s="15">
        <f>IF(B176="","",IFERROR(INDEX(Clients!$AM$5:$AM$504,MATCH(B176,Clients!$A$5:$A$504,0))&amp;"",""))</f>
        <v>0</v>
      </c>
      <c r="W176" s="25">
        <f>IF(B176="","",COUNTIFS($P$5:$P$504,"&gt;"&amp;P176)+COUNTIFS($P$5:P176,P176))</f>
        <v>0</v>
      </c>
      <c r="X176" s="39">
        <f>IF(B176="","",IF(K176="No","",IF(COUNTIF($B$5:$B$504,B176)&gt;1,"Duplicate - this client is on twice",IF(Q176&gt;0,"Action - reward ready to give",IF(U176&gt;0.004,"Action - referral credit owed",IF(V176="Lapsing","Chase - points are a reason to call",IF(S176&lt;=RewardAt*0.2,"Rebook - nearly at a reward","OK")))))))</f>
        <v>0</v>
      </c>
    </row>
    <row r="177" spans="1:24">
      <c r="A177" s="28">
        <f>IF(B177="","",LoyaltyPrefix&amp;TEXT(ROW()-4,"0000"))</f>
        <v>0</v>
      </c>
      <c r="C177" s="15">
        <f>IF(B177="","",IFERROR(INDEX(Clients!$B$5:$B$504,MATCH(B177,Clients!$A$5:$A$504,0)),"Not in Clients"))</f>
        <v>0</v>
      </c>
      <c r="M177" s="26">
        <f>IF(B177="","",ROUND(SUMIFS(Sales!$Y$5:$Y$1204,Sales!$D$5:$D$1204,B177,Sales!$B$5:$B$1204,"&gt;="&amp;IF(D177="",0,D177)),2))</f>
        <v>0</v>
      </c>
      <c r="N177" s="25">
        <f>IF(B177="","",IFERROR(INDEX(Clients!$T$5:$T$504,MATCH(B177,Clients!$A$5:$A$504,0))*1,0))</f>
        <v>0</v>
      </c>
      <c r="O177" s="25">
        <f>IF(B177="","",ROUND(M177*PointsPerUnit+IF(F177="",0,F177),0))</f>
        <v>0</v>
      </c>
      <c r="P177" s="25">
        <f>IF(B177="","",O177-IF(G177="",0,G177))</f>
        <v>0</v>
      </c>
      <c r="Q177" s="25">
        <f>IF(B177="","",IF(RewardAt&lt;=0,0,ROUNDDOWN(P177/RewardAt,0)))</f>
        <v>0</v>
      </c>
      <c r="R177" s="26">
        <f>IF(B177="","",ROUND(Q177*RewardValue,2))</f>
        <v>0</v>
      </c>
      <c r="S177" s="25">
        <f>IF(B177="","",IF(RewardAt&lt;=0,"",MAX(0,RewardAt*(Q177+1)-P177)))</f>
        <v>0</v>
      </c>
      <c r="T177" s="25">
        <f>IF(B177="","",COUNTIFS(Clients!$H$5:$H$504,B177))</f>
        <v>0</v>
      </c>
      <c r="U177" s="26">
        <f>IF(B177="","",ROUND(T177*ReferralReward-IF(J177="",0,J177),2))</f>
        <v>0</v>
      </c>
      <c r="V177" s="15">
        <f>IF(B177="","",IFERROR(INDEX(Clients!$AM$5:$AM$504,MATCH(B177,Clients!$A$5:$A$504,0))&amp;"",""))</f>
        <v>0</v>
      </c>
      <c r="W177" s="25">
        <f>IF(B177="","",COUNTIFS($P$5:$P$504,"&gt;"&amp;P177)+COUNTIFS($P$5:P177,P177))</f>
        <v>0</v>
      </c>
      <c r="X177" s="39">
        <f>IF(B177="","",IF(K177="No","",IF(COUNTIF($B$5:$B$504,B177)&gt;1,"Duplicate - this client is on twice",IF(Q177&gt;0,"Action - reward ready to give",IF(U177&gt;0.004,"Action - referral credit owed",IF(V177="Lapsing","Chase - points are a reason to call",IF(S177&lt;=RewardAt*0.2,"Rebook - nearly at a reward","OK")))))))</f>
        <v>0</v>
      </c>
    </row>
    <row r="178" spans="1:24">
      <c r="A178" s="28">
        <f>IF(B178="","",LoyaltyPrefix&amp;TEXT(ROW()-4,"0000"))</f>
        <v>0</v>
      </c>
      <c r="C178" s="15">
        <f>IF(B178="","",IFERROR(INDEX(Clients!$B$5:$B$504,MATCH(B178,Clients!$A$5:$A$504,0)),"Not in Clients"))</f>
        <v>0</v>
      </c>
      <c r="M178" s="26">
        <f>IF(B178="","",ROUND(SUMIFS(Sales!$Y$5:$Y$1204,Sales!$D$5:$D$1204,B178,Sales!$B$5:$B$1204,"&gt;="&amp;IF(D178="",0,D178)),2))</f>
        <v>0</v>
      </c>
      <c r="N178" s="25">
        <f>IF(B178="","",IFERROR(INDEX(Clients!$T$5:$T$504,MATCH(B178,Clients!$A$5:$A$504,0))*1,0))</f>
        <v>0</v>
      </c>
      <c r="O178" s="25">
        <f>IF(B178="","",ROUND(M178*PointsPerUnit+IF(F178="",0,F178),0))</f>
        <v>0</v>
      </c>
      <c r="P178" s="25">
        <f>IF(B178="","",O178-IF(G178="",0,G178))</f>
        <v>0</v>
      </c>
      <c r="Q178" s="25">
        <f>IF(B178="","",IF(RewardAt&lt;=0,0,ROUNDDOWN(P178/RewardAt,0)))</f>
        <v>0</v>
      </c>
      <c r="R178" s="26">
        <f>IF(B178="","",ROUND(Q178*RewardValue,2))</f>
        <v>0</v>
      </c>
      <c r="S178" s="25">
        <f>IF(B178="","",IF(RewardAt&lt;=0,"",MAX(0,RewardAt*(Q178+1)-P178)))</f>
        <v>0</v>
      </c>
      <c r="T178" s="25">
        <f>IF(B178="","",COUNTIFS(Clients!$H$5:$H$504,B178))</f>
        <v>0</v>
      </c>
      <c r="U178" s="26">
        <f>IF(B178="","",ROUND(T178*ReferralReward-IF(J178="",0,J178),2))</f>
        <v>0</v>
      </c>
      <c r="V178" s="15">
        <f>IF(B178="","",IFERROR(INDEX(Clients!$AM$5:$AM$504,MATCH(B178,Clients!$A$5:$A$504,0))&amp;"",""))</f>
        <v>0</v>
      </c>
      <c r="W178" s="25">
        <f>IF(B178="","",COUNTIFS($P$5:$P$504,"&gt;"&amp;P178)+COUNTIFS($P$5:P178,P178))</f>
        <v>0</v>
      </c>
      <c r="X178" s="39">
        <f>IF(B178="","",IF(K178="No","",IF(COUNTIF($B$5:$B$504,B178)&gt;1,"Duplicate - this client is on twice",IF(Q178&gt;0,"Action - reward ready to give",IF(U178&gt;0.004,"Action - referral credit owed",IF(V178="Lapsing","Chase - points are a reason to call",IF(S178&lt;=RewardAt*0.2,"Rebook - nearly at a reward","OK")))))))</f>
        <v>0</v>
      </c>
    </row>
    <row r="179" spans="1:24">
      <c r="A179" s="28">
        <f>IF(B179="","",LoyaltyPrefix&amp;TEXT(ROW()-4,"0000"))</f>
        <v>0</v>
      </c>
      <c r="C179" s="15">
        <f>IF(B179="","",IFERROR(INDEX(Clients!$B$5:$B$504,MATCH(B179,Clients!$A$5:$A$504,0)),"Not in Clients"))</f>
        <v>0</v>
      </c>
      <c r="M179" s="26">
        <f>IF(B179="","",ROUND(SUMIFS(Sales!$Y$5:$Y$1204,Sales!$D$5:$D$1204,B179,Sales!$B$5:$B$1204,"&gt;="&amp;IF(D179="",0,D179)),2))</f>
        <v>0</v>
      </c>
      <c r="N179" s="25">
        <f>IF(B179="","",IFERROR(INDEX(Clients!$T$5:$T$504,MATCH(B179,Clients!$A$5:$A$504,0))*1,0))</f>
        <v>0</v>
      </c>
      <c r="O179" s="25">
        <f>IF(B179="","",ROUND(M179*PointsPerUnit+IF(F179="",0,F179),0))</f>
        <v>0</v>
      </c>
      <c r="P179" s="25">
        <f>IF(B179="","",O179-IF(G179="",0,G179))</f>
        <v>0</v>
      </c>
      <c r="Q179" s="25">
        <f>IF(B179="","",IF(RewardAt&lt;=0,0,ROUNDDOWN(P179/RewardAt,0)))</f>
        <v>0</v>
      </c>
      <c r="R179" s="26">
        <f>IF(B179="","",ROUND(Q179*RewardValue,2))</f>
        <v>0</v>
      </c>
      <c r="S179" s="25">
        <f>IF(B179="","",IF(RewardAt&lt;=0,"",MAX(0,RewardAt*(Q179+1)-P179)))</f>
        <v>0</v>
      </c>
      <c r="T179" s="25">
        <f>IF(B179="","",COUNTIFS(Clients!$H$5:$H$504,B179))</f>
        <v>0</v>
      </c>
      <c r="U179" s="26">
        <f>IF(B179="","",ROUND(T179*ReferralReward-IF(J179="",0,J179),2))</f>
        <v>0</v>
      </c>
      <c r="V179" s="15">
        <f>IF(B179="","",IFERROR(INDEX(Clients!$AM$5:$AM$504,MATCH(B179,Clients!$A$5:$A$504,0))&amp;"",""))</f>
        <v>0</v>
      </c>
      <c r="W179" s="25">
        <f>IF(B179="","",COUNTIFS($P$5:$P$504,"&gt;"&amp;P179)+COUNTIFS($P$5:P179,P179))</f>
        <v>0</v>
      </c>
      <c r="X179" s="39">
        <f>IF(B179="","",IF(K179="No","",IF(COUNTIF($B$5:$B$504,B179)&gt;1,"Duplicate - this client is on twice",IF(Q179&gt;0,"Action - reward ready to give",IF(U179&gt;0.004,"Action - referral credit owed",IF(V179="Lapsing","Chase - points are a reason to call",IF(S179&lt;=RewardAt*0.2,"Rebook - nearly at a reward","OK")))))))</f>
        <v>0</v>
      </c>
    </row>
    <row r="180" spans="1:24">
      <c r="A180" s="28">
        <f>IF(B180="","",LoyaltyPrefix&amp;TEXT(ROW()-4,"0000"))</f>
        <v>0</v>
      </c>
      <c r="C180" s="15">
        <f>IF(B180="","",IFERROR(INDEX(Clients!$B$5:$B$504,MATCH(B180,Clients!$A$5:$A$504,0)),"Not in Clients"))</f>
        <v>0</v>
      </c>
      <c r="M180" s="26">
        <f>IF(B180="","",ROUND(SUMIFS(Sales!$Y$5:$Y$1204,Sales!$D$5:$D$1204,B180,Sales!$B$5:$B$1204,"&gt;="&amp;IF(D180="",0,D180)),2))</f>
        <v>0</v>
      </c>
      <c r="N180" s="25">
        <f>IF(B180="","",IFERROR(INDEX(Clients!$T$5:$T$504,MATCH(B180,Clients!$A$5:$A$504,0))*1,0))</f>
        <v>0</v>
      </c>
      <c r="O180" s="25">
        <f>IF(B180="","",ROUND(M180*PointsPerUnit+IF(F180="",0,F180),0))</f>
        <v>0</v>
      </c>
      <c r="P180" s="25">
        <f>IF(B180="","",O180-IF(G180="",0,G180))</f>
        <v>0</v>
      </c>
      <c r="Q180" s="25">
        <f>IF(B180="","",IF(RewardAt&lt;=0,0,ROUNDDOWN(P180/RewardAt,0)))</f>
        <v>0</v>
      </c>
      <c r="R180" s="26">
        <f>IF(B180="","",ROUND(Q180*RewardValue,2))</f>
        <v>0</v>
      </c>
      <c r="S180" s="25">
        <f>IF(B180="","",IF(RewardAt&lt;=0,"",MAX(0,RewardAt*(Q180+1)-P180)))</f>
        <v>0</v>
      </c>
      <c r="T180" s="25">
        <f>IF(B180="","",COUNTIFS(Clients!$H$5:$H$504,B180))</f>
        <v>0</v>
      </c>
      <c r="U180" s="26">
        <f>IF(B180="","",ROUND(T180*ReferralReward-IF(J180="",0,J180),2))</f>
        <v>0</v>
      </c>
      <c r="V180" s="15">
        <f>IF(B180="","",IFERROR(INDEX(Clients!$AM$5:$AM$504,MATCH(B180,Clients!$A$5:$A$504,0))&amp;"",""))</f>
        <v>0</v>
      </c>
      <c r="W180" s="25">
        <f>IF(B180="","",COUNTIFS($P$5:$P$504,"&gt;"&amp;P180)+COUNTIFS($P$5:P180,P180))</f>
        <v>0</v>
      </c>
      <c r="X180" s="39">
        <f>IF(B180="","",IF(K180="No","",IF(COUNTIF($B$5:$B$504,B180)&gt;1,"Duplicate - this client is on twice",IF(Q180&gt;0,"Action - reward ready to give",IF(U180&gt;0.004,"Action - referral credit owed",IF(V180="Lapsing","Chase - points are a reason to call",IF(S180&lt;=RewardAt*0.2,"Rebook - nearly at a reward","OK")))))))</f>
        <v>0</v>
      </c>
    </row>
    <row r="181" spans="1:24">
      <c r="A181" s="28">
        <f>IF(B181="","",LoyaltyPrefix&amp;TEXT(ROW()-4,"0000"))</f>
        <v>0</v>
      </c>
      <c r="C181" s="15">
        <f>IF(B181="","",IFERROR(INDEX(Clients!$B$5:$B$504,MATCH(B181,Clients!$A$5:$A$504,0)),"Not in Clients"))</f>
        <v>0</v>
      </c>
      <c r="M181" s="26">
        <f>IF(B181="","",ROUND(SUMIFS(Sales!$Y$5:$Y$1204,Sales!$D$5:$D$1204,B181,Sales!$B$5:$B$1204,"&gt;="&amp;IF(D181="",0,D181)),2))</f>
        <v>0</v>
      </c>
      <c r="N181" s="25">
        <f>IF(B181="","",IFERROR(INDEX(Clients!$T$5:$T$504,MATCH(B181,Clients!$A$5:$A$504,0))*1,0))</f>
        <v>0</v>
      </c>
      <c r="O181" s="25">
        <f>IF(B181="","",ROUND(M181*PointsPerUnit+IF(F181="",0,F181),0))</f>
        <v>0</v>
      </c>
      <c r="P181" s="25">
        <f>IF(B181="","",O181-IF(G181="",0,G181))</f>
        <v>0</v>
      </c>
      <c r="Q181" s="25">
        <f>IF(B181="","",IF(RewardAt&lt;=0,0,ROUNDDOWN(P181/RewardAt,0)))</f>
        <v>0</v>
      </c>
      <c r="R181" s="26">
        <f>IF(B181="","",ROUND(Q181*RewardValue,2))</f>
        <v>0</v>
      </c>
      <c r="S181" s="25">
        <f>IF(B181="","",IF(RewardAt&lt;=0,"",MAX(0,RewardAt*(Q181+1)-P181)))</f>
        <v>0</v>
      </c>
      <c r="T181" s="25">
        <f>IF(B181="","",COUNTIFS(Clients!$H$5:$H$504,B181))</f>
        <v>0</v>
      </c>
      <c r="U181" s="26">
        <f>IF(B181="","",ROUND(T181*ReferralReward-IF(J181="",0,J181),2))</f>
        <v>0</v>
      </c>
      <c r="V181" s="15">
        <f>IF(B181="","",IFERROR(INDEX(Clients!$AM$5:$AM$504,MATCH(B181,Clients!$A$5:$A$504,0))&amp;"",""))</f>
        <v>0</v>
      </c>
      <c r="W181" s="25">
        <f>IF(B181="","",COUNTIFS($P$5:$P$504,"&gt;"&amp;P181)+COUNTIFS($P$5:P181,P181))</f>
        <v>0</v>
      </c>
      <c r="X181" s="39">
        <f>IF(B181="","",IF(K181="No","",IF(COUNTIF($B$5:$B$504,B181)&gt;1,"Duplicate - this client is on twice",IF(Q181&gt;0,"Action - reward ready to give",IF(U181&gt;0.004,"Action - referral credit owed",IF(V181="Lapsing","Chase - points are a reason to call",IF(S181&lt;=RewardAt*0.2,"Rebook - nearly at a reward","OK")))))))</f>
        <v>0</v>
      </c>
    </row>
    <row r="182" spans="1:24">
      <c r="A182" s="28">
        <f>IF(B182="","",LoyaltyPrefix&amp;TEXT(ROW()-4,"0000"))</f>
        <v>0</v>
      </c>
      <c r="C182" s="15">
        <f>IF(B182="","",IFERROR(INDEX(Clients!$B$5:$B$504,MATCH(B182,Clients!$A$5:$A$504,0)),"Not in Clients"))</f>
        <v>0</v>
      </c>
      <c r="M182" s="26">
        <f>IF(B182="","",ROUND(SUMIFS(Sales!$Y$5:$Y$1204,Sales!$D$5:$D$1204,B182,Sales!$B$5:$B$1204,"&gt;="&amp;IF(D182="",0,D182)),2))</f>
        <v>0</v>
      </c>
      <c r="N182" s="25">
        <f>IF(B182="","",IFERROR(INDEX(Clients!$T$5:$T$504,MATCH(B182,Clients!$A$5:$A$504,0))*1,0))</f>
        <v>0</v>
      </c>
      <c r="O182" s="25">
        <f>IF(B182="","",ROUND(M182*PointsPerUnit+IF(F182="",0,F182),0))</f>
        <v>0</v>
      </c>
      <c r="P182" s="25">
        <f>IF(B182="","",O182-IF(G182="",0,G182))</f>
        <v>0</v>
      </c>
      <c r="Q182" s="25">
        <f>IF(B182="","",IF(RewardAt&lt;=0,0,ROUNDDOWN(P182/RewardAt,0)))</f>
        <v>0</v>
      </c>
      <c r="R182" s="26">
        <f>IF(B182="","",ROUND(Q182*RewardValue,2))</f>
        <v>0</v>
      </c>
      <c r="S182" s="25">
        <f>IF(B182="","",IF(RewardAt&lt;=0,"",MAX(0,RewardAt*(Q182+1)-P182)))</f>
        <v>0</v>
      </c>
      <c r="T182" s="25">
        <f>IF(B182="","",COUNTIFS(Clients!$H$5:$H$504,B182))</f>
        <v>0</v>
      </c>
      <c r="U182" s="26">
        <f>IF(B182="","",ROUND(T182*ReferralReward-IF(J182="",0,J182),2))</f>
        <v>0</v>
      </c>
      <c r="V182" s="15">
        <f>IF(B182="","",IFERROR(INDEX(Clients!$AM$5:$AM$504,MATCH(B182,Clients!$A$5:$A$504,0))&amp;"",""))</f>
        <v>0</v>
      </c>
      <c r="W182" s="25">
        <f>IF(B182="","",COUNTIFS($P$5:$P$504,"&gt;"&amp;P182)+COUNTIFS($P$5:P182,P182))</f>
        <v>0</v>
      </c>
      <c r="X182" s="39">
        <f>IF(B182="","",IF(K182="No","",IF(COUNTIF($B$5:$B$504,B182)&gt;1,"Duplicate - this client is on twice",IF(Q182&gt;0,"Action - reward ready to give",IF(U182&gt;0.004,"Action - referral credit owed",IF(V182="Lapsing","Chase - points are a reason to call",IF(S182&lt;=RewardAt*0.2,"Rebook - nearly at a reward","OK")))))))</f>
        <v>0</v>
      </c>
    </row>
    <row r="183" spans="1:24">
      <c r="A183" s="28">
        <f>IF(B183="","",LoyaltyPrefix&amp;TEXT(ROW()-4,"0000"))</f>
        <v>0</v>
      </c>
      <c r="C183" s="15">
        <f>IF(B183="","",IFERROR(INDEX(Clients!$B$5:$B$504,MATCH(B183,Clients!$A$5:$A$504,0)),"Not in Clients"))</f>
        <v>0</v>
      </c>
      <c r="M183" s="26">
        <f>IF(B183="","",ROUND(SUMIFS(Sales!$Y$5:$Y$1204,Sales!$D$5:$D$1204,B183,Sales!$B$5:$B$1204,"&gt;="&amp;IF(D183="",0,D183)),2))</f>
        <v>0</v>
      </c>
      <c r="N183" s="25">
        <f>IF(B183="","",IFERROR(INDEX(Clients!$T$5:$T$504,MATCH(B183,Clients!$A$5:$A$504,0))*1,0))</f>
        <v>0</v>
      </c>
      <c r="O183" s="25">
        <f>IF(B183="","",ROUND(M183*PointsPerUnit+IF(F183="",0,F183),0))</f>
        <v>0</v>
      </c>
      <c r="P183" s="25">
        <f>IF(B183="","",O183-IF(G183="",0,G183))</f>
        <v>0</v>
      </c>
      <c r="Q183" s="25">
        <f>IF(B183="","",IF(RewardAt&lt;=0,0,ROUNDDOWN(P183/RewardAt,0)))</f>
        <v>0</v>
      </c>
      <c r="R183" s="26">
        <f>IF(B183="","",ROUND(Q183*RewardValue,2))</f>
        <v>0</v>
      </c>
      <c r="S183" s="25">
        <f>IF(B183="","",IF(RewardAt&lt;=0,"",MAX(0,RewardAt*(Q183+1)-P183)))</f>
        <v>0</v>
      </c>
      <c r="T183" s="25">
        <f>IF(B183="","",COUNTIFS(Clients!$H$5:$H$504,B183))</f>
        <v>0</v>
      </c>
      <c r="U183" s="26">
        <f>IF(B183="","",ROUND(T183*ReferralReward-IF(J183="",0,J183),2))</f>
        <v>0</v>
      </c>
      <c r="V183" s="15">
        <f>IF(B183="","",IFERROR(INDEX(Clients!$AM$5:$AM$504,MATCH(B183,Clients!$A$5:$A$504,0))&amp;"",""))</f>
        <v>0</v>
      </c>
      <c r="W183" s="25">
        <f>IF(B183="","",COUNTIFS($P$5:$P$504,"&gt;"&amp;P183)+COUNTIFS($P$5:P183,P183))</f>
        <v>0</v>
      </c>
      <c r="X183" s="39">
        <f>IF(B183="","",IF(K183="No","",IF(COUNTIF($B$5:$B$504,B183)&gt;1,"Duplicate - this client is on twice",IF(Q183&gt;0,"Action - reward ready to give",IF(U183&gt;0.004,"Action - referral credit owed",IF(V183="Lapsing","Chase - points are a reason to call",IF(S183&lt;=RewardAt*0.2,"Rebook - nearly at a reward","OK")))))))</f>
        <v>0</v>
      </c>
    </row>
    <row r="184" spans="1:24">
      <c r="A184" s="28">
        <f>IF(B184="","",LoyaltyPrefix&amp;TEXT(ROW()-4,"0000"))</f>
        <v>0</v>
      </c>
      <c r="C184" s="15">
        <f>IF(B184="","",IFERROR(INDEX(Clients!$B$5:$B$504,MATCH(B184,Clients!$A$5:$A$504,0)),"Not in Clients"))</f>
        <v>0</v>
      </c>
      <c r="M184" s="26">
        <f>IF(B184="","",ROUND(SUMIFS(Sales!$Y$5:$Y$1204,Sales!$D$5:$D$1204,B184,Sales!$B$5:$B$1204,"&gt;="&amp;IF(D184="",0,D184)),2))</f>
        <v>0</v>
      </c>
      <c r="N184" s="25">
        <f>IF(B184="","",IFERROR(INDEX(Clients!$T$5:$T$504,MATCH(B184,Clients!$A$5:$A$504,0))*1,0))</f>
        <v>0</v>
      </c>
      <c r="O184" s="25">
        <f>IF(B184="","",ROUND(M184*PointsPerUnit+IF(F184="",0,F184),0))</f>
        <v>0</v>
      </c>
      <c r="P184" s="25">
        <f>IF(B184="","",O184-IF(G184="",0,G184))</f>
        <v>0</v>
      </c>
      <c r="Q184" s="25">
        <f>IF(B184="","",IF(RewardAt&lt;=0,0,ROUNDDOWN(P184/RewardAt,0)))</f>
        <v>0</v>
      </c>
      <c r="R184" s="26">
        <f>IF(B184="","",ROUND(Q184*RewardValue,2))</f>
        <v>0</v>
      </c>
      <c r="S184" s="25">
        <f>IF(B184="","",IF(RewardAt&lt;=0,"",MAX(0,RewardAt*(Q184+1)-P184)))</f>
        <v>0</v>
      </c>
      <c r="T184" s="25">
        <f>IF(B184="","",COUNTIFS(Clients!$H$5:$H$504,B184))</f>
        <v>0</v>
      </c>
      <c r="U184" s="26">
        <f>IF(B184="","",ROUND(T184*ReferralReward-IF(J184="",0,J184),2))</f>
        <v>0</v>
      </c>
      <c r="V184" s="15">
        <f>IF(B184="","",IFERROR(INDEX(Clients!$AM$5:$AM$504,MATCH(B184,Clients!$A$5:$A$504,0))&amp;"",""))</f>
        <v>0</v>
      </c>
      <c r="W184" s="25">
        <f>IF(B184="","",COUNTIFS($P$5:$P$504,"&gt;"&amp;P184)+COUNTIFS($P$5:P184,P184))</f>
        <v>0</v>
      </c>
      <c r="X184" s="39">
        <f>IF(B184="","",IF(K184="No","",IF(COUNTIF($B$5:$B$504,B184)&gt;1,"Duplicate - this client is on twice",IF(Q184&gt;0,"Action - reward ready to give",IF(U184&gt;0.004,"Action - referral credit owed",IF(V184="Lapsing","Chase - points are a reason to call",IF(S184&lt;=RewardAt*0.2,"Rebook - nearly at a reward","OK")))))))</f>
        <v>0</v>
      </c>
    </row>
    <row r="185" spans="1:24">
      <c r="A185" s="28">
        <f>IF(B185="","",LoyaltyPrefix&amp;TEXT(ROW()-4,"0000"))</f>
        <v>0</v>
      </c>
      <c r="C185" s="15">
        <f>IF(B185="","",IFERROR(INDEX(Clients!$B$5:$B$504,MATCH(B185,Clients!$A$5:$A$504,0)),"Not in Clients"))</f>
        <v>0</v>
      </c>
      <c r="M185" s="26">
        <f>IF(B185="","",ROUND(SUMIFS(Sales!$Y$5:$Y$1204,Sales!$D$5:$D$1204,B185,Sales!$B$5:$B$1204,"&gt;="&amp;IF(D185="",0,D185)),2))</f>
        <v>0</v>
      </c>
      <c r="N185" s="25">
        <f>IF(B185="","",IFERROR(INDEX(Clients!$T$5:$T$504,MATCH(B185,Clients!$A$5:$A$504,0))*1,0))</f>
        <v>0</v>
      </c>
      <c r="O185" s="25">
        <f>IF(B185="","",ROUND(M185*PointsPerUnit+IF(F185="",0,F185),0))</f>
        <v>0</v>
      </c>
      <c r="P185" s="25">
        <f>IF(B185="","",O185-IF(G185="",0,G185))</f>
        <v>0</v>
      </c>
      <c r="Q185" s="25">
        <f>IF(B185="","",IF(RewardAt&lt;=0,0,ROUNDDOWN(P185/RewardAt,0)))</f>
        <v>0</v>
      </c>
      <c r="R185" s="26">
        <f>IF(B185="","",ROUND(Q185*RewardValue,2))</f>
        <v>0</v>
      </c>
      <c r="S185" s="25">
        <f>IF(B185="","",IF(RewardAt&lt;=0,"",MAX(0,RewardAt*(Q185+1)-P185)))</f>
        <v>0</v>
      </c>
      <c r="T185" s="25">
        <f>IF(B185="","",COUNTIFS(Clients!$H$5:$H$504,B185))</f>
        <v>0</v>
      </c>
      <c r="U185" s="26">
        <f>IF(B185="","",ROUND(T185*ReferralReward-IF(J185="",0,J185),2))</f>
        <v>0</v>
      </c>
      <c r="V185" s="15">
        <f>IF(B185="","",IFERROR(INDEX(Clients!$AM$5:$AM$504,MATCH(B185,Clients!$A$5:$A$504,0))&amp;"",""))</f>
        <v>0</v>
      </c>
      <c r="W185" s="25">
        <f>IF(B185="","",COUNTIFS($P$5:$P$504,"&gt;"&amp;P185)+COUNTIFS($P$5:P185,P185))</f>
        <v>0</v>
      </c>
      <c r="X185" s="39">
        <f>IF(B185="","",IF(K185="No","",IF(COUNTIF($B$5:$B$504,B185)&gt;1,"Duplicate - this client is on twice",IF(Q185&gt;0,"Action - reward ready to give",IF(U185&gt;0.004,"Action - referral credit owed",IF(V185="Lapsing","Chase - points are a reason to call",IF(S185&lt;=RewardAt*0.2,"Rebook - nearly at a reward","OK")))))))</f>
        <v>0</v>
      </c>
    </row>
    <row r="186" spans="1:24">
      <c r="A186" s="28">
        <f>IF(B186="","",LoyaltyPrefix&amp;TEXT(ROW()-4,"0000"))</f>
        <v>0</v>
      </c>
      <c r="C186" s="15">
        <f>IF(B186="","",IFERROR(INDEX(Clients!$B$5:$B$504,MATCH(B186,Clients!$A$5:$A$504,0)),"Not in Clients"))</f>
        <v>0</v>
      </c>
      <c r="M186" s="26">
        <f>IF(B186="","",ROUND(SUMIFS(Sales!$Y$5:$Y$1204,Sales!$D$5:$D$1204,B186,Sales!$B$5:$B$1204,"&gt;="&amp;IF(D186="",0,D186)),2))</f>
        <v>0</v>
      </c>
      <c r="N186" s="25">
        <f>IF(B186="","",IFERROR(INDEX(Clients!$T$5:$T$504,MATCH(B186,Clients!$A$5:$A$504,0))*1,0))</f>
        <v>0</v>
      </c>
      <c r="O186" s="25">
        <f>IF(B186="","",ROUND(M186*PointsPerUnit+IF(F186="",0,F186),0))</f>
        <v>0</v>
      </c>
      <c r="P186" s="25">
        <f>IF(B186="","",O186-IF(G186="",0,G186))</f>
        <v>0</v>
      </c>
      <c r="Q186" s="25">
        <f>IF(B186="","",IF(RewardAt&lt;=0,0,ROUNDDOWN(P186/RewardAt,0)))</f>
        <v>0</v>
      </c>
      <c r="R186" s="26">
        <f>IF(B186="","",ROUND(Q186*RewardValue,2))</f>
        <v>0</v>
      </c>
      <c r="S186" s="25">
        <f>IF(B186="","",IF(RewardAt&lt;=0,"",MAX(0,RewardAt*(Q186+1)-P186)))</f>
        <v>0</v>
      </c>
      <c r="T186" s="25">
        <f>IF(B186="","",COUNTIFS(Clients!$H$5:$H$504,B186))</f>
        <v>0</v>
      </c>
      <c r="U186" s="26">
        <f>IF(B186="","",ROUND(T186*ReferralReward-IF(J186="",0,J186),2))</f>
        <v>0</v>
      </c>
      <c r="V186" s="15">
        <f>IF(B186="","",IFERROR(INDEX(Clients!$AM$5:$AM$504,MATCH(B186,Clients!$A$5:$A$504,0))&amp;"",""))</f>
        <v>0</v>
      </c>
      <c r="W186" s="25">
        <f>IF(B186="","",COUNTIFS($P$5:$P$504,"&gt;"&amp;P186)+COUNTIFS($P$5:P186,P186))</f>
        <v>0</v>
      </c>
      <c r="X186" s="39">
        <f>IF(B186="","",IF(K186="No","",IF(COUNTIF($B$5:$B$504,B186)&gt;1,"Duplicate - this client is on twice",IF(Q186&gt;0,"Action - reward ready to give",IF(U186&gt;0.004,"Action - referral credit owed",IF(V186="Lapsing","Chase - points are a reason to call",IF(S186&lt;=RewardAt*0.2,"Rebook - nearly at a reward","OK")))))))</f>
        <v>0</v>
      </c>
    </row>
    <row r="187" spans="1:24">
      <c r="A187" s="28">
        <f>IF(B187="","",LoyaltyPrefix&amp;TEXT(ROW()-4,"0000"))</f>
        <v>0</v>
      </c>
      <c r="C187" s="15">
        <f>IF(B187="","",IFERROR(INDEX(Clients!$B$5:$B$504,MATCH(B187,Clients!$A$5:$A$504,0)),"Not in Clients"))</f>
        <v>0</v>
      </c>
      <c r="M187" s="26">
        <f>IF(B187="","",ROUND(SUMIFS(Sales!$Y$5:$Y$1204,Sales!$D$5:$D$1204,B187,Sales!$B$5:$B$1204,"&gt;="&amp;IF(D187="",0,D187)),2))</f>
        <v>0</v>
      </c>
      <c r="N187" s="25">
        <f>IF(B187="","",IFERROR(INDEX(Clients!$T$5:$T$504,MATCH(B187,Clients!$A$5:$A$504,0))*1,0))</f>
        <v>0</v>
      </c>
      <c r="O187" s="25">
        <f>IF(B187="","",ROUND(M187*PointsPerUnit+IF(F187="",0,F187),0))</f>
        <v>0</v>
      </c>
      <c r="P187" s="25">
        <f>IF(B187="","",O187-IF(G187="",0,G187))</f>
        <v>0</v>
      </c>
      <c r="Q187" s="25">
        <f>IF(B187="","",IF(RewardAt&lt;=0,0,ROUNDDOWN(P187/RewardAt,0)))</f>
        <v>0</v>
      </c>
      <c r="R187" s="26">
        <f>IF(B187="","",ROUND(Q187*RewardValue,2))</f>
        <v>0</v>
      </c>
      <c r="S187" s="25">
        <f>IF(B187="","",IF(RewardAt&lt;=0,"",MAX(0,RewardAt*(Q187+1)-P187)))</f>
        <v>0</v>
      </c>
      <c r="T187" s="25">
        <f>IF(B187="","",COUNTIFS(Clients!$H$5:$H$504,B187))</f>
        <v>0</v>
      </c>
      <c r="U187" s="26">
        <f>IF(B187="","",ROUND(T187*ReferralReward-IF(J187="",0,J187),2))</f>
        <v>0</v>
      </c>
      <c r="V187" s="15">
        <f>IF(B187="","",IFERROR(INDEX(Clients!$AM$5:$AM$504,MATCH(B187,Clients!$A$5:$A$504,0))&amp;"",""))</f>
        <v>0</v>
      </c>
      <c r="W187" s="25">
        <f>IF(B187="","",COUNTIFS($P$5:$P$504,"&gt;"&amp;P187)+COUNTIFS($P$5:P187,P187))</f>
        <v>0</v>
      </c>
      <c r="X187" s="39">
        <f>IF(B187="","",IF(K187="No","",IF(COUNTIF($B$5:$B$504,B187)&gt;1,"Duplicate - this client is on twice",IF(Q187&gt;0,"Action - reward ready to give",IF(U187&gt;0.004,"Action - referral credit owed",IF(V187="Lapsing","Chase - points are a reason to call",IF(S187&lt;=RewardAt*0.2,"Rebook - nearly at a reward","OK")))))))</f>
        <v>0</v>
      </c>
    </row>
    <row r="188" spans="1:24">
      <c r="A188" s="28">
        <f>IF(B188="","",LoyaltyPrefix&amp;TEXT(ROW()-4,"0000"))</f>
        <v>0</v>
      </c>
      <c r="C188" s="15">
        <f>IF(B188="","",IFERROR(INDEX(Clients!$B$5:$B$504,MATCH(B188,Clients!$A$5:$A$504,0)),"Not in Clients"))</f>
        <v>0</v>
      </c>
      <c r="M188" s="26">
        <f>IF(B188="","",ROUND(SUMIFS(Sales!$Y$5:$Y$1204,Sales!$D$5:$D$1204,B188,Sales!$B$5:$B$1204,"&gt;="&amp;IF(D188="",0,D188)),2))</f>
        <v>0</v>
      </c>
      <c r="N188" s="25">
        <f>IF(B188="","",IFERROR(INDEX(Clients!$T$5:$T$504,MATCH(B188,Clients!$A$5:$A$504,0))*1,0))</f>
        <v>0</v>
      </c>
      <c r="O188" s="25">
        <f>IF(B188="","",ROUND(M188*PointsPerUnit+IF(F188="",0,F188),0))</f>
        <v>0</v>
      </c>
      <c r="P188" s="25">
        <f>IF(B188="","",O188-IF(G188="",0,G188))</f>
        <v>0</v>
      </c>
      <c r="Q188" s="25">
        <f>IF(B188="","",IF(RewardAt&lt;=0,0,ROUNDDOWN(P188/RewardAt,0)))</f>
        <v>0</v>
      </c>
      <c r="R188" s="26">
        <f>IF(B188="","",ROUND(Q188*RewardValue,2))</f>
        <v>0</v>
      </c>
      <c r="S188" s="25">
        <f>IF(B188="","",IF(RewardAt&lt;=0,"",MAX(0,RewardAt*(Q188+1)-P188)))</f>
        <v>0</v>
      </c>
      <c r="T188" s="25">
        <f>IF(B188="","",COUNTIFS(Clients!$H$5:$H$504,B188))</f>
        <v>0</v>
      </c>
      <c r="U188" s="26">
        <f>IF(B188="","",ROUND(T188*ReferralReward-IF(J188="",0,J188),2))</f>
        <v>0</v>
      </c>
      <c r="V188" s="15">
        <f>IF(B188="","",IFERROR(INDEX(Clients!$AM$5:$AM$504,MATCH(B188,Clients!$A$5:$A$504,0))&amp;"",""))</f>
        <v>0</v>
      </c>
      <c r="W188" s="25">
        <f>IF(B188="","",COUNTIFS($P$5:$P$504,"&gt;"&amp;P188)+COUNTIFS($P$5:P188,P188))</f>
        <v>0</v>
      </c>
      <c r="X188" s="39">
        <f>IF(B188="","",IF(K188="No","",IF(COUNTIF($B$5:$B$504,B188)&gt;1,"Duplicate - this client is on twice",IF(Q188&gt;0,"Action - reward ready to give",IF(U188&gt;0.004,"Action - referral credit owed",IF(V188="Lapsing","Chase - points are a reason to call",IF(S188&lt;=RewardAt*0.2,"Rebook - nearly at a reward","OK")))))))</f>
        <v>0</v>
      </c>
    </row>
    <row r="189" spans="1:24">
      <c r="A189" s="28">
        <f>IF(B189="","",LoyaltyPrefix&amp;TEXT(ROW()-4,"0000"))</f>
        <v>0</v>
      </c>
      <c r="C189" s="15">
        <f>IF(B189="","",IFERROR(INDEX(Clients!$B$5:$B$504,MATCH(B189,Clients!$A$5:$A$504,0)),"Not in Clients"))</f>
        <v>0</v>
      </c>
      <c r="M189" s="26">
        <f>IF(B189="","",ROUND(SUMIFS(Sales!$Y$5:$Y$1204,Sales!$D$5:$D$1204,B189,Sales!$B$5:$B$1204,"&gt;="&amp;IF(D189="",0,D189)),2))</f>
        <v>0</v>
      </c>
      <c r="N189" s="25">
        <f>IF(B189="","",IFERROR(INDEX(Clients!$T$5:$T$504,MATCH(B189,Clients!$A$5:$A$504,0))*1,0))</f>
        <v>0</v>
      </c>
      <c r="O189" s="25">
        <f>IF(B189="","",ROUND(M189*PointsPerUnit+IF(F189="",0,F189),0))</f>
        <v>0</v>
      </c>
      <c r="P189" s="25">
        <f>IF(B189="","",O189-IF(G189="",0,G189))</f>
        <v>0</v>
      </c>
      <c r="Q189" s="25">
        <f>IF(B189="","",IF(RewardAt&lt;=0,0,ROUNDDOWN(P189/RewardAt,0)))</f>
        <v>0</v>
      </c>
      <c r="R189" s="26">
        <f>IF(B189="","",ROUND(Q189*RewardValue,2))</f>
        <v>0</v>
      </c>
      <c r="S189" s="25">
        <f>IF(B189="","",IF(RewardAt&lt;=0,"",MAX(0,RewardAt*(Q189+1)-P189)))</f>
        <v>0</v>
      </c>
      <c r="T189" s="25">
        <f>IF(B189="","",COUNTIFS(Clients!$H$5:$H$504,B189))</f>
        <v>0</v>
      </c>
      <c r="U189" s="26">
        <f>IF(B189="","",ROUND(T189*ReferralReward-IF(J189="",0,J189),2))</f>
        <v>0</v>
      </c>
      <c r="V189" s="15">
        <f>IF(B189="","",IFERROR(INDEX(Clients!$AM$5:$AM$504,MATCH(B189,Clients!$A$5:$A$504,0))&amp;"",""))</f>
        <v>0</v>
      </c>
      <c r="W189" s="25">
        <f>IF(B189="","",COUNTIFS($P$5:$P$504,"&gt;"&amp;P189)+COUNTIFS($P$5:P189,P189))</f>
        <v>0</v>
      </c>
      <c r="X189" s="39">
        <f>IF(B189="","",IF(K189="No","",IF(COUNTIF($B$5:$B$504,B189)&gt;1,"Duplicate - this client is on twice",IF(Q189&gt;0,"Action - reward ready to give",IF(U189&gt;0.004,"Action - referral credit owed",IF(V189="Lapsing","Chase - points are a reason to call",IF(S189&lt;=RewardAt*0.2,"Rebook - nearly at a reward","OK")))))))</f>
        <v>0</v>
      </c>
    </row>
    <row r="190" spans="1:24">
      <c r="A190" s="28">
        <f>IF(B190="","",LoyaltyPrefix&amp;TEXT(ROW()-4,"0000"))</f>
        <v>0</v>
      </c>
      <c r="C190" s="15">
        <f>IF(B190="","",IFERROR(INDEX(Clients!$B$5:$B$504,MATCH(B190,Clients!$A$5:$A$504,0)),"Not in Clients"))</f>
        <v>0</v>
      </c>
      <c r="M190" s="26">
        <f>IF(B190="","",ROUND(SUMIFS(Sales!$Y$5:$Y$1204,Sales!$D$5:$D$1204,B190,Sales!$B$5:$B$1204,"&gt;="&amp;IF(D190="",0,D190)),2))</f>
        <v>0</v>
      </c>
      <c r="N190" s="25">
        <f>IF(B190="","",IFERROR(INDEX(Clients!$T$5:$T$504,MATCH(B190,Clients!$A$5:$A$504,0))*1,0))</f>
        <v>0</v>
      </c>
      <c r="O190" s="25">
        <f>IF(B190="","",ROUND(M190*PointsPerUnit+IF(F190="",0,F190),0))</f>
        <v>0</v>
      </c>
      <c r="P190" s="25">
        <f>IF(B190="","",O190-IF(G190="",0,G190))</f>
        <v>0</v>
      </c>
      <c r="Q190" s="25">
        <f>IF(B190="","",IF(RewardAt&lt;=0,0,ROUNDDOWN(P190/RewardAt,0)))</f>
        <v>0</v>
      </c>
      <c r="R190" s="26">
        <f>IF(B190="","",ROUND(Q190*RewardValue,2))</f>
        <v>0</v>
      </c>
      <c r="S190" s="25">
        <f>IF(B190="","",IF(RewardAt&lt;=0,"",MAX(0,RewardAt*(Q190+1)-P190)))</f>
        <v>0</v>
      </c>
      <c r="T190" s="25">
        <f>IF(B190="","",COUNTIFS(Clients!$H$5:$H$504,B190))</f>
        <v>0</v>
      </c>
      <c r="U190" s="26">
        <f>IF(B190="","",ROUND(T190*ReferralReward-IF(J190="",0,J190),2))</f>
        <v>0</v>
      </c>
      <c r="V190" s="15">
        <f>IF(B190="","",IFERROR(INDEX(Clients!$AM$5:$AM$504,MATCH(B190,Clients!$A$5:$A$504,0))&amp;"",""))</f>
        <v>0</v>
      </c>
      <c r="W190" s="25">
        <f>IF(B190="","",COUNTIFS($P$5:$P$504,"&gt;"&amp;P190)+COUNTIFS($P$5:P190,P190))</f>
        <v>0</v>
      </c>
      <c r="X190" s="39">
        <f>IF(B190="","",IF(K190="No","",IF(COUNTIF($B$5:$B$504,B190)&gt;1,"Duplicate - this client is on twice",IF(Q190&gt;0,"Action - reward ready to give",IF(U190&gt;0.004,"Action - referral credit owed",IF(V190="Lapsing","Chase - points are a reason to call",IF(S190&lt;=RewardAt*0.2,"Rebook - nearly at a reward","OK")))))))</f>
        <v>0</v>
      </c>
    </row>
    <row r="191" spans="1:24">
      <c r="A191" s="28">
        <f>IF(B191="","",LoyaltyPrefix&amp;TEXT(ROW()-4,"0000"))</f>
        <v>0</v>
      </c>
      <c r="C191" s="15">
        <f>IF(B191="","",IFERROR(INDEX(Clients!$B$5:$B$504,MATCH(B191,Clients!$A$5:$A$504,0)),"Not in Clients"))</f>
        <v>0</v>
      </c>
      <c r="M191" s="26">
        <f>IF(B191="","",ROUND(SUMIFS(Sales!$Y$5:$Y$1204,Sales!$D$5:$D$1204,B191,Sales!$B$5:$B$1204,"&gt;="&amp;IF(D191="",0,D191)),2))</f>
        <v>0</v>
      </c>
      <c r="N191" s="25">
        <f>IF(B191="","",IFERROR(INDEX(Clients!$T$5:$T$504,MATCH(B191,Clients!$A$5:$A$504,0))*1,0))</f>
        <v>0</v>
      </c>
      <c r="O191" s="25">
        <f>IF(B191="","",ROUND(M191*PointsPerUnit+IF(F191="",0,F191),0))</f>
        <v>0</v>
      </c>
      <c r="P191" s="25">
        <f>IF(B191="","",O191-IF(G191="",0,G191))</f>
        <v>0</v>
      </c>
      <c r="Q191" s="25">
        <f>IF(B191="","",IF(RewardAt&lt;=0,0,ROUNDDOWN(P191/RewardAt,0)))</f>
        <v>0</v>
      </c>
      <c r="R191" s="26">
        <f>IF(B191="","",ROUND(Q191*RewardValue,2))</f>
        <v>0</v>
      </c>
      <c r="S191" s="25">
        <f>IF(B191="","",IF(RewardAt&lt;=0,"",MAX(0,RewardAt*(Q191+1)-P191)))</f>
        <v>0</v>
      </c>
      <c r="T191" s="25">
        <f>IF(B191="","",COUNTIFS(Clients!$H$5:$H$504,B191))</f>
        <v>0</v>
      </c>
      <c r="U191" s="26">
        <f>IF(B191="","",ROUND(T191*ReferralReward-IF(J191="",0,J191),2))</f>
        <v>0</v>
      </c>
      <c r="V191" s="15">
        <f>IF(B191="","",IFERROR(INDEX(Clients!$AM$5:$AM$504,MATCH(B191,Clients!$A$5:$A$504,0))&amp;"",""))</f>
        <v>0</v>
      </c>
      <c r="W191" s="25">
        <f>IF(B191="","",COUNTIFS($P$5:$P$504,"&gt;"&amp;P191)+COUNTIFS($P$5:P191,P191))</f>
        <v>0</v>
      </c>
      <c r="X191" s="39">
        <f>IF(B191="","",IF(K191="No","",IF(COUNTIF($B$5:$B$504,B191)&gt;1,"Duplicate - this client is on twice",IF(Q191&gt;0,"Action - reward ready to give",IF(U191&gt;0.004,"Action - referral credit owed",IF(V191="Lapsing","Chase - points are a reason to call",IF(S191&lt;=RewardAt*0.2,"Rebook - nearly at a reward","OK")))))))</f>
        <v>0</v>
      </c>
    </row>
    <row r="192" spans="1:24">
      <c r="A192" s="28">
        <f>IF(B192="","",LoyaltyPrefix&amp;TEXT(ROW()-4,"0000"))</f>
        <v>0</v>
      </c>
      <c r="C192" s="15">
        <f>IF(B192="","",IFERROR(INDEX(Clients!$B$5:$B$504,MATCH(B192,Clients!$A$5:$A$504,0)),"Not in Clients"))</f>
        <v>0</v>
      </c>
      <c r="M192" s="26">
        <f>IF(B192="","",ROUND(SUMIFS(Sales!$Y$5:$Y$1204,Sales!$D$5:$D$1204,B192,Sales!$B$5:$B$1204,"&gt;="&amp;IF(D192="",0,D192)),2))</f>
        <v>0</v>
      </c>
      <c r="N192" s="25">
        <f>IF(B192="","",IFERROR(INDEX(Clients!$T$5:$T$504,MATCH(B192,Clients!$A$5:$A$504,0))*1,0))</f>
        <v>0</v>
      </c>
      <c r="O192" s="25">
        <f>IF(B192="","",ROUND(M192*PointsPerUnit+IF(F192="",0,F192),0))</f>
        <v>0</v>
      </c>
      <c r="P192" s="25">
        <f>IF(B192="","",O192-IF(G192="",0,G192))</f>
        <v>0</v>
      </c>
      <c r="Q192" s="25">
        <f>IF(B192="","",IF(RewardAt&lt;=0,0,ROUNDDOWN(P192/RewardAt,0)))</f>
        <v>0</v>
      </c>
      <c r="R192" s="26">
        <f>IF(B192="","",ROUND(Q192*RewardValue,2))</f>
        <v>0</v>
      </c>
      <c r="S192" s="25">
        <f>IF(B192="","",IF(RewardAt&lt;=0,"",MAX(0,RewardAt*(Q192+1)-P192)))</f>
        <v>0</v>
      </c>
      <c r="T192" s="25">
        <f>IF(B192="","",COUNTIFS(Clients!$H$5:$H$504,B192))</f>
        <v>0</v>
      </c>
      <c r="U192" s="26">
        <f>IF(B192="","",ROUND(T192*ReferralReward-IF(J192="",0,J192),2))</f>
        <v>0</v>
      </c>
      <c r="V192" s="15">
        <f>IF(B192="","",IFERROR(INDEX(Clients!$AM$5:$AM$504,MATCH(B192,Clients!$A$5:$A$504,0))&amp;"",""))</f>
        <v>0</v>
      </c>
      <c r="W192" s="25">
        <f>IF(B192="","",COUNTIFS($P$5:$P$504,"&gt;"&amp;P192)+COUNTIFS($P$5:P192,P192))</f>
        <v>0</v>
      </c>
      <c r="X192" s="39">
        <f>IF(B192="","",IF(K192="No","",IF(COUNTIF($B$5:$B$504,B192)&gt;1,"Duplicate - this client is on twice",IF(Q192&gt;0,"Action - reward ready to give",IF(U192&gt;0.004,"Action - referral credit owed",IF(V192="Lapsing","Chase - points are a reason to call",IF(S192&lt;=RewardAt*0.2,"Rebook - nearly at a reward","OK")))))))</f>
        <v>0</v>
      </c>
    </row>
    <row r="193" spans="1:24">
      <c r="A193" s="28">
        <f>IF(B193="","",LoyaltyPrefix&amp;TEXT(ROW()-4,"0000"))</f>
        <v>0</v>
      </c>
      <c r="C193" s="15">
        <f>IF(B193="","",IFERROR(INDEX(Clients!$B$5:$B$504,MATCH(B193,Clients!$A$5:$A$504,0)),"Not in Clients"))</f>
        <v>0</v>
      </c>
      <c r="M193" s="26">
        <f>IF(B193="","",ROUND(SUMIFS(Sales!$Y$5:$Y$1204,Sales!$D$5:$D$1204,B193,Sales!$B$5:$B$1204,"&gt;="&amp;IF(D193="",0,D193)),2))</f>
        <v>0</v>
      </c>
      <c r="N193" s="25">
        <f>IF(B193="","",IFERROR(INDEX(Clients!$T$5:$T$504,MATCH(B193,Clients!$A$5:$A$504,0))*1,0))</f>
        <v>0</v>
      </c>
      <c r="O193" s="25">
        <f>IF(B193="","",ROUND(M193*PointsPerUnit+IF(F193="",0,F193),0))</f>
        <v>0</v>
      </c>
      <c r="P193" s="25">
        <f>IF(B193="","",O193-IF(G193="",0,G193))</f>
        <v>0</v>
      </c>
      <c r="Q193" s="25">
        <f>IF(B193="","",IF(RewardAt&lt;=0,0,ROUNDDOWN(P193/RewardAt,0)))</f>
        <v>0</v>
      </c>
      <c r="R193" s="26">
        <f>IF(B193="","",ROUND(Q193*RewardValue,2))</f>
        <v>0</v>
      </c>
      <c r="S193" s="25">
        <f>IF(B193="","",IF(RewardAt&lt;=0,"",MAX(0,RewardAt*(Q193+1)-P193)))</f>
        <v>0</v>
      </c>
      <c r="T193" s="25">
        <f>IF(B193="","",COUNTIFS(Clients!$H$5:$H$504,B193))</f>
        <v>0</v>
      </c>
      <c r="U193" s="26">
        <f>IF(B193="","",ROUND(T193*ReferralReward-IF(J193="",0,J193),2))</f>
        <v>0</v>
      </c>
      <c r="V193" s="15">
        <f>IF(B193="","",IFERROR(INDEX(Clients!$AM$5:$AM$504,MATCH(B193,Clients!$A$5:$A$504,0))&amp;"",""))</f>
        <v>0</v>
      </c>
      <c r="W193" s="25">
        <f>IF(B193="","",COUNTIFS($P$5:$P$504,"&gt;"&amp;P193)+COUNTIFS($P$5:P193,P193))</f>
        <v>0</v>
      </c>
      <c r="X193" s="39">
        <f>IF(B193="","",IF(K193="No","",IF(COUNTIF($B$5:$B$504,B193)&gt;1,"Duplicate - this client is on twice",IF(Q193&gt;0,"Action - reward ready to give",IF(U193&gt;0.004,"Action - referral credit owed",IF(V193="Lapsing","Chase - points are a reason to call",IF(S193&lt;=RewardAt*0.2,"Rebook - nearly at a reward","OK")))))))</f>
        <v>0</v>
      </c>
    </row>
    <row r="194" spans="1:24">
      <c r="A194" s="28">
        <f>IF(B194="","",LoyaltyPrefix&amp;TEXT(ROW()-4,"0000"))</f>
        <v>0</v>
      </c>
      <c r="C194" s="15">
        <f>IF(B194="","",IFERROR(INDEX(Clients!$B$5:$B$504,MATCH(B194,Clients!$A$5:$A$504,0)),"Not in Clients"))</f>
        <v>0</v>
      </c>
      <c r="M194" s="26">
        <f>IF(B194="","",ROUND(SUMIFS(Sales!$Y$5:$Y$1204,Sales!$D$5:$D$1204,B194,Sales!$B$5:$B$1204,"&gt;="&amp;IF(D194="",0,D194)),2))</f>
        <v>0</v>
      </c>
      <c r="N194" s="25">
        <f>IF(B194="","",IFERROR(INDEX(Clients!$T$5:$T$504,MATCH(B194,Clients!$A$5:$A$504,0))*1,0))</f>
        <v>0</v>
      </c>
      <c r="O194" s="25">
        <f>IF(B194="","",ROUND(M194*PointsPerUnit+IF(F194="",0,F194),0))</f>
        <v>0</v>
      </c>
      <c r="P194" s="25">
        <f>IF(B194="","",O194-IF(G194="",0,G194))</f>
        <v>0</v>
      </c>
      <c r="Q194" s="25">
        <f>IF(B194="","",IF(RewardAt&lt;=0,0,ROUNDDOWN(P194/RewardAt,0)))</f>
        <v>0</v>
      </c>
      <c r="R194" s="26">
        <f>IF(B194="","",ROUND(Q194*RewardValue,2))</f>
        <v>0</v>
      </c>
      <c r="S194" s="25">
        <f>IF(B194="","",IF(RewardAt&lt;=0,"",MAX(0,RewardAt*(Q194+1)-P194)))</f>
        <v>0</v>
      </c>
      <c r="T194" s="25">
        <f>IF(B194="","",COUNTIFS(Clients!$H$5:$H$504,B194))</f>
        <v>0</v>
      </c>
      <c r="U194" s="26">
        <f>IF(B194="","",ROUND(T194*ReferralReward-IF(J194="",0,J194),2))</f>
        <v>0</v>
      </c>
      <c r="V194" s="15">
        <f>IF(B194="","",IFERROR(INDEX(Clients!$AM$5:$AM$504,MATCH(B194,Clients!$A$5:$A$504,0))&amp;"",""))</f>
        <v>0</v>
      </c>
      <c r="W194" s="25">
        <f>IF(B194="","",COUNTIFS($P$5:$P$504,"&gt;"&amp;P194)+COUNTIFS($P$5:P194,P194))</f>
        <v>0</v>
      </c>
      <c r="X194" s="39">
        <f>IF(B194="","",IF(K194="No","",IF(COUNTIF($B$5:$B$504,B194)&gt;1,"Duplicate - this client is on twice",IF(Q194&gt;0,"Action - reward ready to give",IF(U194&gt;0.004,"Action - referral credit owed",IF(V194="Lapsing","Chase - points are a reason to call",IF(S194&lt;=RewardAt*0.2,"Rebook - nearly at a reward","OK")))))))</f>
        <v>0</v>
      </c>
    </row>
    <row r="195" spans="1:24">
      <c r="A195" s="28">
        <f>IF(B195="","",LoyaltyPrefix&amp;TEXT(ROW()-4,"0000"))</f>
        <v>0</v>
      </c>
      <c r="C195" s="15">
        <f>IF(B195="","",IFERROR(INDEX(Clients!$B$5:$B$504,MATCH(B195,Clients!$A$5:$A$504,0)),"Not in Clients"))</f>
        <v>0</v>
      </c>
      <c r="M195" s="26">
        <f>IF(B195="","",ROUND(SUMIFS(Sales!$Y$5:$Y$1204,Sales!$D$5:$D$1204,B195,Sales!$B$5:$B$1204,"&gt;="&amp;IF(D195="",0,D195)),2))</f>
        <v>0</v>
      </c>
      <c r="N195" s="25">
        <f>IF(B195="","",IFERROR(INDEX(Clients!$T$5:$T$504,MATCH(B195,Clients!$A$5:$A$504,0))*1,0))</f>
        <v>0</v>
      </c>
      <c r="O195" s="25">
        <f>IF(B195="","",ROUND(M195*PointsPerUnit+IF(F195="",0,F195),0))</f>
        <v>0</v>
      </c>
      <c r="P195" s="25">
        <f>IF(B195="","",O195-IF(G195="",0,G195))</f>
        <v>0</v>
      </c>
      <c r="Q195" s="25">
        <f>IF(B195="","",IF(RewardAt&lt;=0,0,ROUNDDOWN(P195/RewardAt,0)))</f>
        <v>0</v>
      </c>
      <c r="R195" s="26">
        <f>IF(B195="","",ROUND(Q195*RewardValue,2))</f>
        <v>0</v>
      </c>
      <c r="S195" s="25">
        <f>IF(B195="","",IF(RewardAt&lt;=0,"",MAX(0,RewardAt*(Q195+1)-P195)))</f>
        <v>0</v>
      </c>
      <c r="T195" s="25">
        <f>IF(B195="","",COUNTIFS(Clients!$H$5:$H$504,B195))</f>
        <v>0</v>
      </c>
      <c r="U195" s="26">
        <f>IF(B195="","",ROUND(T195*ReferralReward-IF(J195="",0,J195),2))</f>
        <v>0</v>
      </c>
      <c r="V195" s="15">
        <f>IF(B195="","",IFERROR(INDEX(Clients!$AM$5:$AM$504,MATCH(B195,Clients!$A$5:$A$504,0))&amp;"",""))</f>
        <v>0</v>
      </c>
      <c r="W195" s="25">
        <f>IF(B195="","",COUNTIFS($P$5:$P$504,"&gt;"&amp;P195)+COUNTIFS($P$5:P195,P195))</f>
        <v>0</v>
      </c>
      <c r="X195" s="39">
        <f>IF(B195="","",IF(K195="No","",IF(COUNTIF($B$5:$B$504,B195)&gt;1,"Duplicate - this client is on twice",IF(Q195&gt;0,"Action - reward ready to give",IF(U195&gt;0.004,"Action - referral credit owed",IF(V195="Lapsing","Chase - points are a reason to call",IF(S195&lt;=RewardAt*0.2,"Rebook - nearly at a reward","OK")))))))</f>
        <v>0</v>
      </c>
    </row>
    <row r="196" spans="1:24">
      <c r="A196" s="28">
        <f>IF(B196="","",LoyaltyPrefix&amp;TEXT(ROW()-4,"0000"))</f>
        <v>0</v>
      </c>
      <c r="C196" s="15">
        <f>IF(B196="","",IFERROR(INDEX(Clients!$B$5:$B$504,MATCH(B196,Clients!$A$5:$A$504,0)),"Not in Clients"))</f>
        <v>0</v>
      </c>
      <c r="M196" s="26">
        <f>IF(B196="","",ROUND(SUMIFS(Sales!$Y$5:$Y$1204,Sales!$D$5:$D$1204,B196,Sales!$B$5:$B$1204,"&gt;="&amp;IF(D196="",0,D196)),2))</f>
        <v>0</v>
      </c>
      <c r="N196" s="25">
        <f>IF(B196="","",IFERROR(INDEX(Clients!$T$5:$T$504,MATCH(B196,Clients!$A$5:$A$504,0))*1,0))</f>
        <v>0</v>
      </c>
      <c r="O196" s="25">
        <f>IF(B196="","",ROUND(M196*PointsPerUnit+IF(F196="",0,F196),0))</f>
        <v>0</v>
      </c>
      <c r="P196" s="25">
        <f>IF(B196="","",O196-IF(G196="",0,G196))</f>
        <v>0</v>
      </c>
      <c r="Q196" s="25">
        <f>IF(B196="","",IF(RewardAt&lt;=0,0,ROUNDDOWN(P196/RewardAt,0)))</f>
        <v>0</v>
      </c>
      <c r="R196" s="26">
        <f>IF(B196="","",ROUND(Q196*RewardValue,2))</f>
        <v>0</v>
      </c>
      <c r="S196" s="25">
        <f>IF(B196="","",IF(RewardAt&lt;=0,"",MAX(0,RewardAt*(Q196+1)-P196)))</f>
        <v>0</v>
      </c>
      <c r="T196" s="25">
        <f>IF(B196="","",COUNTIFS(Clients!$H$5:$H$504,B196))</f>
        <v>0</v>
      </c>
      <c r="U196" s="26">
        <f>IF(B196="","",ROUND(T196*ReferralReward-IF(J196="",0,J196),2))</f>
        <v>0</v>
      </c>
      <c r="V196" s="15">
        <f>IF(B196="","",IFERROR(INDEX(Clients!$AM$5:$AM$504,MATCH(B196,Clients!$A$5:$A$504,0))&amp;"",""))</f>
        <v>0</v>
      </c>
      <c r="W196" s="25">
        <f>IF(B196="","",COUNTIFS($P$5:$P$504,"&gt;"&amp;P196)+COUNTIFS($P$5:P196,P196))</f>
        <v>0</v>
      </c>
      <c r="X196" s="39">
        <f>IF(B196="","",IF(K196="No","",IF(COUNTIF($B$5:$B$504,B196)&gt;1,"Duplicate - this client is on twice",IF(Q196&gt;0,"Action - reward ready to give",IF(U196&gt;0.004,"Action - referral credit owed",IF(V196="Lapsing","Chase - points are a reason to call",IF(S196&lt;=RewardAt*0.2,"Rebook - nearly at a reward","OK")))))))</f>
        <v>0</v>
      </c>
    </row>
    <row r="197" spans="1:24">
      <c r="A197" s="28">
        <f>IF(B197="","",LoyaltyPrefix&amp;TEXT(ROW()-4,"0000"))</f>
        <v>0</v>
      </c>
      <c r="C197" s="15">
        <f>IF(B197="","",IFERROR(INDEX(Clients!$B$5:$B$504,MATCH(B197,Clients!$A$5:$A$504,0)),"Not in Clients"))</f>
        <v>0</v>
      </c>
      <c r="M197" s="26">
        <f>IF(B197="","",ROUND(SUMIFS(Sales!$Y$5:$Y$1204,Sales!$D$5:$D$1204,B197,Sales!$B$5:$B$1204,"&gt;="&amp;IF(D197="",0,D197)),2))</f>
        <v>0</v>
      </c>
      <c r="N197" s="25">
        <f>IF(B197="","",IFERROR(INDEX(Clients!$T$5:$T$504,MATCH(B197,Clients!$A$5:$A$504,0))*1,0))</f>
        <v>0</v>
      </c>
      <c r="O197" s="25">
        <f>IF(B197="","",ROUND(M197*PointsPerUnit+IF(F197="",0,F197),0))</f>
        <v>0</v>
      </c>
      <c r="P197" s="25">
        <f>IF(B197="","",O197-IF(G197="",0,G197))</f>
        <v>0</v>
      </c>
      <c r="Q197" s="25">
        <f>IF(B197="","",IF(RewardAt&lt;=0,0,ROUNDDOWN(P197/RewardAt,0)))</f>
        <v>0</v>
      </c>
      <c r="R197" s="26">
        <f>IF(B197="","",ROUND(Q197*RewardValue,2))</f>
        <v>0</v>
      </c>
      <c r="S197" s="25">
        <f>IF(B197="","",IF(RewardAt&lt;=0,"",MAX(0,RewardAt*(Q197+1)-P197)))</f>
        <v>0</v>
      </c>
      <c r="T197" s="25">
        <f>IF(B197="","",COUNTIFS(Clients!$H$5:$H$504,B197))</f>
        <v>0</v>
      </c>
      <c r="U197" s="26">
        <f>IF(B197="","",ROUND(T197*ReferralReward-IF(J197="",0,J197),2))</f>
        <v>0</v>
      </c>
      <c r="V197" s="15">
        <f>IF(B197="","",IFERROR(INDEX(Clients!$AM$5:$AM$504,MATCH(B197,Clients!$A$5:$A$504,0))&amp;"",""))</f>
        <v>0</v>
      </c>
      <c r="W197" s="25">
        <f>IF(B197="","",COUNTIFS($P$5:$P$504,"&gt;"&amp;P197)+COUNTIFS($P$5:P197,P197))</f>
        <v>0</v>
      </c>
      <c r="X197" s="39">
        <f>IF(B197="","",IF(K197="No","",IF(COUNTIF($B$5:$B$504,B197)&gt;1,"Duplicate - this client is on twice",IF(Q197&gt;0,"Action - reward ready to give",IF(U197&gt;0.004,"Action - referral credit owed",IF(V197="Lapsing","Chase - points are a reason to call",IF(S197&lt;=RewardAt*0.2,"Rebook - nearly at a reward","OK")))))))</f>
        <v>0</v>
      </c>
    </row>
    <row r="198" spans="1:24">
      <c r="A198" s="28">
        <f>IF(B198="","",LoyaltyPrefix&amp;TEXT(ROW()-4,"0000"))</f>
        <v>0</v>
      </c>
      <c r="C198" s="15">
        <f>IF(B198="","",IFERROR(INDEX(Clients!$B$5:$B$504,MATCH(B198,Clients!$A$5:$A$504,0)),"Not in Clients"))</f>
        <v>0</v>
      </c>
      <c r="M198" s="26">
        <f>IF(B198="","",ROUND(SUMIFS(Sales!$Y$5:$Y$1204,Sales!$D$5:$D$1204,B198,Sales!$B$5:$B$1204,"&gt;="&amp;IF(D198="",0,D198)),2))</f>
        <v>0</v>
      </c>
      <c r="N198" s="25">
        <f>IF(B198="","",IFERROR(INDEX(Clients!$T$5:$T$504,MATCH(B198,Clients!$A$5:$A$504,0))*1,0))</f>
        <v>0</v>
      </c>
      <c r="O198" s="25">
        <f>IF(B198="","",ROUND(M198*PointsPerUnit+IF(F198="",0,F198),0))</f>
        <v>0</v>
      </c>
      <c r="P198" s="25">
        <f>IF(B198="","",O198-IF(G198="",0,G198))</f>
        <v>0</v>
      </c>
      <c r="Q198" s="25">
        <f>IF(B198="","",IF(RewardAt&lt;=0,0,ROUNDDOWN(P198/RewardAt,0)))</f>
        <v>0</v>
      </c>
      <c r="R198" s="26">
        <f>IF(B198="","",ROUND(Q198*RewardValue,2))</f>
        <v>0</v>
      </c>
      <c r="S198" s="25">
        <f>IF(B198="","",IF(RewardAt&lt;=0,"",MAX(0,RewardAt*(Q198+1)-P198)))</f>
        <v>0</v>
      </c>
      <c r="T198" s="25">
        <f>IF(B198="","",COUNTIFS(Clients!$H$5:$H$504,B198))</f>
        <v>0</v>
      </c>
      <c r="U198" s="26">
        <f>IF(B198="","",ROUND(T198*ReferralReward-IF(J198="",0,J198),2))</f>
        <v>0</v>
      </c>
      <c r="V198" s="15">
        <f>IF(B198="","",IFERROR(INDEX(Clients!$AM$5:$AM$504,MATCH(B198,Clients!$A$5:$A$504,0))&amp;"",""))</f>
        <v>0</v>
      </c>
      <c r="W198" s="25">
        <f>IF(B198="","",COUNTIFS($P$5:$P$504,"&gt;"&amp;P198)+COUNTIFS($P$5:P198,P198))</f>
        <v>0</v>
      </c>
      <c r="X198" s="39">
        <f>IF(B198="","",IF(K198="No","",IF(COUNTIF($B$5:$B$504,B198)&gt;1,"Duplicate - this client is on twice",IF(Q198&gt;0,"Action - reward ready to give",IF(U198&gt;0.004,"Action - referral credit owed",IF(V198="Lapsing","Chase - points are a reason to call",IF(S198&lt;=RewardAt*0.2,"Rebook - nearly at a reward","OK")))))))</f>
        <v>0</v>
      </c>
    </row>
    <row r="199" spans="1:24">
      <c r="A199" s="28">
        <f>IF(B199="","",LoyaltyPrefix&amp;TEXT(ROW()-4,"0000"))</f>
        <v>0</v>
      </c>
      <c r="C199" s="15">
        <f>IF(B199="","",IFERROR(INDEX(Clients!$B$5:$B$504,MATCH(B199,Clients!$A$5:$A$504,0)),"Not in Clients"))</f>
        <v>0</v>
      </c>
      <c r="M199" s="26">
        <f>IF(B199="","",ROUND(SUMIFS(Sales!$Y$5:$Y$1204,Sales!$D$5:$D$1204,B199,Sales!$B$5:$B$1204,"&gt;="&amp;IF(D199="",0,D199)),2))</f>
        <v>0</v>
      </c>
      <c r="N199" s="25">
        <f>IF(B199="","",IFERROR(INDEX(Clients!$T$5:$T$504,MATCH(B199,Clients!$A$5:$A$504,0))*1,0))</f>
        <v>0</v>
      </c>
      <c r="O199" s="25">
        <f>IF(B199="","",ROUND(M199*PointsPerUnit+IF(F199="",0,F199),0))</f>
        <v>0</v>
      </c>
      <c r="P199" s="25">
        <f>IF(B199="","",O199-IF(G199="",0,G199))</f>
        <v>0</v>
      </c>
      <c r="Q199" s="25">
        <f>IF(B199="","",IF(RewardAt&lt;=0,0,ROUNDDOWN(P199/RewardAt,0)))</f>
        <v>0</v>
      </c>
      <c r="R199" s="26">
        <f>IF(B199="","",ROUND(Q199*RewardValue,2))</f>
        <v>0</v>
      </c>
      <c r="S199" s="25">
        <f>IF(B199="","",IF(RewardAt&lt;=0,"",MAX(0,RewardAt*(Q199+1)-P199)))</f>
        <v>0</v>
      </c>
      <c r="T199" s="25">
        <f>IF(B199="","",COUNTIFS(Clients!$H$5:$H$504,B199))</f>
        <v>0</v>
      </c>
      <c r="U199" s="26">
        <f>IF(B199="","",ROUND(T199*ReferralReward-IF(J199="",0,J199),2))</f>
        <v>0</v>
      </c>
      <c r="V199" s="15">
        <f>IF(B199="","",IFERROR(INDEX(Clients!$AM$5:$AM$504,MATCH(B199,Clients!$A$5:$A$504,0))&amp;"",""))</f>
        <v>0</v>
      </c>
      <c r="W199" s="25">
        <f>IF(B199="","",COUNTIFS($P$5:$P$504,"&gt;"&amp;P199)+COUNTIFS($P$5:P199,P199))</f>
        <v>0</v>
      </c>
      <c r="X199" s="39">
        <f>IF(B199="","",IF(K199="No","",IF(COUNTIF($B$5:$B$504,B199)&gt;1,"Duplicate - this client is on twice",IF(Q199&gt;0,"Action - reward ready to give",IF(U199&gt;0.004,"Action - referral credit owed",IF(V199="Lapsing","Chase - points are a reason to call",IF(S199&lt;=RewardAt*0.2,"Rebook - nearly at a reward","OK")))))))</f>
        <v>0</v>
      </c>
    </row>
    <row r="200" spans="1:24">
      <c r="A200" s="28">
        <f>IF(B200="","",LoyaltyPrefix&amp;TEXT(ROW()-4,"0000"))</f>
        <v>0</v>
      </c>
      <c r="C200" s="15">
        <f>IF(B200="","",IFERROR(INDEX(Clients!$B$5:$B$504,MATCH(B200,Clients!$A$5:$A$504,0)),"Not in Clients"))</f>
        <v>0</v>
      </c>
      <c r="M200" s="26">
        <f>IF(B200="","",ROUND(SUMIFS(Sales!$Y$5:$Y$1204,Sales!$D$5:$D$1204,B200,Sales!$B$5:$B$1204,"&gt;="&amp;IF(D200="",0,D200)),2))</f>
        <v>0</v>
      </c>
      <c r="N200" s="25">
        <f>IF(B200="","",IFERROR(INDEX(Clients!$T$5:$T$504,MATCH(B200,Clients!$A$5:$A$504,0))*1,0))</f>
        <v>0</v>
      </c>
      <c r="O200" s="25">
        <f>IF(B200="","",ROUND(M200*PointsPerUnit+IF(F200="",0,F200),0))</f>
        <v>0</v>
      </c>
      <c r="P200" s="25">
        <f>IF(B200="","",O200-IF(G200="",0,G200))</f>
        <v>0</v>
      </c>
      <c r="Q200" s="25">
        <f>IF(B200="","",IF(RewardAt&lt;=0,0,ROUNDDOWN(P200/RewardAt,0)))</f>
        <v>0</v>
      </c>
      <c r="R200" s="26">
        <f>IF(B200="","",ROUND(Q200*RewardValue,2))</f>
        <v>0</v>
      </c>
      <c r="S200" s="25">
        <f>IF(B200="","",IF(RewardAt&lt;=0,"",MAX(0,RewardAt*(Q200+1)-P200)))</f>
        <v>0</v>
      </c>
      <c r="T200" s="25">
        <f>IF(B200="","",COUNTIFS(Clients!$H$5:$H$504,B200))</f>
        <v>0</v>
      </c>
      <c r="U200" s="26">
        <f>IF(B200="","",ROUND(T200*ReferralReward-IF(J200="",0,J200),2))</f>
        <v>0</v>
      </c>
      <c r="V200" s="15">
        <f>IF(B200="","",IFERROR(INDEX(Clients!$AM$5:$AM$504,MATCH(B200,Clients!$A$5:$A$504,0))&amp;"",""))</f>
        <v>0</v>
      </c>
      <c r="W200" s="25">
        <f>IF(B200="","",COUNTIFS($P$5:$P$504,"&gt;"&amp;P200)+COUNTIFS($P$5:P200,P200))</f>
        <v>0</v>
      </c>
      <c r="X200" s="39">
        <f>IF(B200="","",IF(K200="No","",IF(COUNTIF($B$5:$B$504,B200)&gt;1,"Duplicate - this client is on twice",IF(Q200&gt;0,"Action - reward ready to give",IF(U200&gt;0.004,"Action - referral credit owed",IF(V200="Lapsing","Chase - points are a reason to call",IF(S200&lt;=RewardAt*0.2,"Rebook - nearly at a reward","OK")))))))</f>
        <v>0</v>
      </c>
    </row>
    <row r="201" spans="1:24">
      <c r="A201" s="28">
        <f>IF(B201="","",LoyaltyPrefix&amp;TEXT(ROW()-4,"0000"))</f>
        <v>0</v>
      </c>
      <c r="C201" s="15">
        <f>IF(B201="","",IFERROR(INDEX(Clients!$B$5:$B$504,MATCH(B201,Clients!$A$5:$A$504,0)),"Not in Clients"))</f>
        <v>0</v>
      </c>
      <c r="M201" s="26">
        <f>IF(B201="","",ROUND(SUMIFS(Sales!$Y$5:$Y$1204,Sales!$D$5:$D$1204,B201,Sales!$B$5:$B$1204,"&gt;="&amp;IF(D201="",0,D201)),2))</f>
        <v>0</v>
      </c>
      <c r="N201" s="25">
        <f>IF(B201="","",IFERROR(INDEX(Clients!$T$5:$T$504,MATCH(B201,Clients!$A$5:$A$504,0))*1,0))</f>
        <v>0</v>
      </c>
      <c r="O201" s="25">
        <f>IF(B201="","",ROUND(M201*PointsPerUnit+IF(F201="",0,F201),0))</f>
        <v>0</v>
      </c>
      <c r="P201" s="25">
        <f>IF(B201="","",O201-IF(G201="",0,G201))</f>
        <v>0</v>
      </c>
      <c r="Q201" s="25">
        <f>IF(B201="","",IF(RewardAt&lt;=0,0,ROUNDDOWN(P201/RewardAt,0)))</f>
        <v>0</v>
      </c>
      <c r="R201" s="26">
        <f>IF(B201="","",ROUND(Q201*RewardValue,2))</f>
        <v>0</v>
      </c>
      <c r="S201" s="25">
        <f>IF(B201="","",IF(RewardAt&lt;=0,"",MAX(0,RewardAt*(Q201+1)-P201)))</f>
        <v>0</v>
      </c>
      <c r="T201" s="25">
        <f>IF(B201="","",COUNTIFS(Clients!$H$5:$H$504,B201))</f>
        <v>0</v>
      </c>
      <c r="U201" s="26">
        <f>IF(B201="","",ROUND(T201*ReferralReward-IF(J201="",0,J201),2))</f>
        <v>0</v>
      </c>
      <c r="V201" s="15">
        <f>IF(B201="","",IFERROR(INDEX(Clients!$AM$5:$AM$504,MATCH(B201,Clients!$A$5:$A$504,0))&amp;"",""))</f>
        <v>0</v>
      </c>
      <c r="W201" s="25">
        <f>IF(B201="","",COUNTIFS($P$5:$P$504,"&gt;"&amp;P201)+COUNTIFS($P$5:P201,P201))</f>
        <v>0</v>
      </c>
      <c r="X201" s="39">
        <f>IF(B201="","",IF(K201="No","",IF(COUNTIF($B$5:$B$504,B201)&gt;1,"Duplicate - this client is on twice",IF(Q201&gt;0,"Action - reward ready to give",IF(U201&gt;0.004,"Action - referral credit owed",IF(V201="Lapsing","Chase - points are a reason to call",IF(S201&lt;=RewardAt*0.2,"Rebook - nearly at a reward","OK")))))))</f>
        <v>0</v>
      </c>
    </row>
    <row r="202" spans="1:24">
      <c r="A202" s="28">
        <f>IF(B202="","",LoyaltyPrefix&amp;TEXT(ROW()-4,"0000"))</f>
        <v>0</v>
      </c>
      <c r="C202" s="15">
        <f>IF(B202="","",IFERROR(INDEX(Clients!$B$5:$B$504,MATCH(B202,Clients!$A$5:$A$504,0)),"Not in Clients"))</f>
        <v>0</v>
      </c>
      <c r="M202" s="26">
        <f>IF(B202="","",ROUND(SUMIFS(Sales!$Y$5:$Y$1204,Sales!$D$5:$D$1204,B202,Sales!$B$5:$B$1204,"&gt;="&amp;IF(D202="",0,D202)),2))</f>
        <v>0</v>
      </c>
      <c r="N202" s="25">
        <f>IF(B202="","",IFERROR(INDEX(Clients!$T$5:$T$504,MATCH(B202,Clients!$A$5:$A$504,0))*1,0))</f>
        <v>0</v>
      </c>
      <c r="O202" s="25">
        <f>IF(B202="","",ROUND(M202*PointsPerUnit+IF(F202="",0,F202),0))</f>
        <v>0</v>
      </c>
      <c r="P202" s="25">
        <f>IF(B202="","",O202-IF(G202="",0,G202))</f>
        <v>0</v>
      </c>
      <c r="Q202" s="25">
        <f>IF(B202="","",IF(RewardAt&lt;=0,0,ROUNDDOWN(P202/RewardAt,0)))</f>
        <v>0</v>
      </c>
      <c r="R202" s="26">
        <f>IF(B202="","",ROUND(Q202*RewardValue,2))</f>
        <v>0</v>
      </c>
      <c r="S202" s="25">
        <f>IF(B202="","",IF(RewardAt&lt;=0,"",MAX(0,RewardAt*(Q202+1)-P202)))</f>
        <v>0</v>
      </c>
      <c r="T202" s="25">
        <f>IF(B202="","",COUNTIFS(Clients!$H$5:$H$504,B202))</f>
        <v>0</v>
      </c>
      <c r="U202" s="26">
        <f>IF(B202="","",ROUND(T202*ReferralReward-IF(J202="",0,J202),2))</f>
        <v>0</v>
      </c>
      <c r="V202" s="15">
        <f>IF(B202="","",IFERROR(INDEX(Clients!$AM$5:$AM$504,MATCH(B202,Clients!$A$5:$A$504,0))&amp;"",""))</f>
        <v>0</v>
      </c>
      <c r="W202" s="25">
        <f>IF(B202="","",COUNTIFS($P$5:$P$504,"&gt;"&amp;P202)+COUNTIFS($P$5:P202,P202))</f>
        <v>0</v>
      </c>
      <c r="X202" s="39">
        <f>IF(B202="","",IF(K202="No","",IF(COUNTIF($B$5:$B$504,B202)&gt;1,"Duplicate - this client is on twice",IF(Q202&gt;0,"Action - reward ready to give",IF(U202&gt;0.004,"Action - referral credit owed",IF(V202="Lapsing","Chase - points are a reason to call",IF(S202&lt;=RewardAt*0.2,"Rebook - nearly at a reward","OK")))))))</f>
        <v>0</v>
      </c>
    </row>
    <row r="203" spans="1:24">
      <c r="A203" s="28">
        <f>IF(B203="","",LoyaltyPrefix&amp;TEXT(ROW()-4,"0000"))</f>
        <v>0</v>
      </c>
      <c r="C203" s="15">
        <f>IF(B203="","",IFERROR(INDEX(Clients!$B$5:$B$504,MATCH(B203,Clients!$A$5:$A$504,0)),"Not in Clients"))</f>
        <v>0</v>
      </c>
      <c r="M203" s="26">
        <f>IF(B203="","",ROUND(SUMIFS(Sales!$Y$5:$Y$1204,Sales!$D$5:$D$1204,B203,Sales!$B$5:$B$1204,"&gt;="&amp;IF(D203="",0,D203)),2))</f>
        <v>0</v>
      </c>
      <c r="N203" s="25">
        <f>IF(B203="","",IFERROR(INDEX(Clients!$T$5:$T$504,MATCH(B203,Clients!$A$5:$A$504,0))*1,0))</f>
        <v>0</v>
      </c>
      <c r="O203" s="25">
        <f>IF(B203="","",ROUND(M203*PointsPerUnit+IF(F203="",0,F203),0))</f>
        <v>0</v>
      </c>
      <c r="P203" s="25">
        <f>IF(B203="","",O203-IF(G203="",0,G203))</f>
        <v>0</v>
      </c>
      <c r="Q203" s="25">
        <f>IF(B203="","",IF(RewardAt&lt;=0,0,ROUNDDOWN(P203/RewardAt,0)))</f>
        <v>0</v>
      </c>
      <c r="R203" s="26">
        <f>IF(B203="","",ROUND(Q203*RewardValue,2))</f>
        <v>0</v>
      </c>
      <c r="S203" s="25">
        <f>IF(B203="","",IF(RewardAt&lt;=0,"",MAX(0,RewardAt*(Q203+1)-P203)))</f>
        <v>0</v>
      </c>
      <c r="T203" s="25">
        <f>IF(B203="","",COUNTIFS(Clients!$H$5:$H$504,B203))</f>
        <v>0</v>
      </c>
      <c r="U203" s="26">
        <f>IF(B203="","",ROUND(T203*ReferralReward-IF(J203="",0,J203),2))</f>
        <v>0</v>
      </c>
      <c r="V203" s="15">
        <f>IF(B203="","",IFERROR(INDEX(Clients!$AM$5:$AM$504,MATCH(B203,Clients!$A$5:$A$504,0))&amp;"",""))</f>
        <v>0</v>
      </c>
      <c r="W203" s="25">
        <f>IF(B203="","",COUNTIFS($P$5:$P$504,"&gt;"&amp;P203)+COUNTIFS($P$5:P203,P203))</f>
        <v>0</v>
      </c>
      <c r="X203" s="39">
        <f>IF(B203="","",IF(K203="No","",IF(COUNTIF($B$5:$B$504,B203)&gt;1,"Duplicate - this client is on twice",IF(Q203&gt;0,"Action - reward ready to give",IF(U203&gt;0.004,"Action - referral credit owed",IF(V203="Lapsing","Chase - points are a reason to call",IF(S203&lt;=RewardAt*0.2,"Rebook - nearly at a reward","OK")))))))</f>
        <v>0</v>
      </c>
    </row>
    <row r="204" spans="1:24">
      <c r="A204" s="28">
        <f>IF(B204="","",LoyaltyPrefix&amp;TEXT(ROW()-4,"0000"))</f>
        <v>0</v>
      </c>
      <c r="C204" s="15">
        <f>IF(B204="","",IFERROR(INDEX(Clients!$B$5:$B$504,MATCH(B204,Clients!$A$5:$A$504,0)),"Not in Clients"))</f>
        <v>0</v>
      </c>
      <c r="M204" s="26">
        <f>IF(B204="","",ROUND(SUMIFS(Sales!$Y$5:$Y$1204,Sales!$D$5:$D$1204,B204,Sales!$B$5:$B$1204,"&gt;="&amp;IF(D204="",0,D204)),2))</f>
        <v>0</v>
      </c>
      <c r="N204" s="25">
        <f>IF(B204="","",IFERROR(INDEX(Clients!$T$5:$T$504,MATCH(B204,Clients!$A$5:$A$504,0))*1,0))</f>
        <v>0</v>
      </c>
      <c r="O204" s="25">
        <f>IF(B204="","",ROUND(M204*PointsPerUnit+IF(F204="",0,F204),0))</f>
        <v>0</v>
      </c>
      <c r="P204" s="25">
        <f>IF(B204="","",O204-IF(G204="",0,G204))</f>
        <v>0</v>
      </c>
      <c r="Q204" s="25">
        <f>IF(B204="","",IF(RewardAt&lt;=0,0,ROUNDDOWN(P204/RewardAt,0)))</f>
        <v>0</v>
      </c>
      <c r="R204" s="26">
        <f>IF(B204="","",ROUND(Q204*RewardValue,2))</f>
        <v>0</v>
      </c>
      <c r="S204" s="25">
        <f>IF(B204="","",IF(RewardAt&lt;=0,"",MAX(0,RewardAt*(Q204+1)-P204)))</f>
        <v>0</v>
      </c>
      <c r="T204" s="25">
        <f>IF(B204="","",COUNTIFS(Clients!$H$5:$H$504,B204))</f>
        <v>0</v>
      </c>
      <c r="U204" s="26">
        <f>IF(B204="","",ROUND(T204*ReferralReward-IF(J204="",0,J204),2))</f>
        <v>0</v>
      </c>
      <c r="V204" s="15">
        <f>IF(B204="","",IFERROR(INDEX(Clients!$AM$5:$AM$504,MATCH(B204,Clients!$A$5:$A$504,0))&amp;"",""))</f>
        <v>0</v>
      </c>
      <c r="W204" s="25">
        <f>IF(B204="","",COUNTIFS($P$5:$P$504,"&gt;"&amp;P204)+COUNTIFS($P$5:P204,P204))</f>
        <v>0</v>
      </c>
      <c r="X204" s="39">
        <f>IF(B204="","",IF(K204="No","",IF(COUNTIF($B$5:$B$504,B204)&gt;1,"Duplicate - this client is on twice",IF(Q204&gt;0,"Action - reward ready to give",IF(U204&gt;0.004,"Action - referral credit owed",IF(V204="Lapsing","Chase - points are a reason to call",IF(S204&lt;=RewardAt*0.2,"Rebook - nearly at a reward","OK")))))))</f>
        <v>0</v>
      </c>
    </row>
    <row r="205" spans="1:24">
      <c r="A205" s="28">
        <f>IF(B205="","",LoyaltyPrefix&amp;TEXT(ROW()-4,"0000"))</f>
        <v>0</v>
      </c>
      <c r="C205" s="15">
        <f>IF(B205="","",IFERROR(INDEX(Clients!$B$5:$B$504,MATCH(B205,Clients!$A$5:$A$504,0)),"Not in Clients"))</f>
        <v>0</v>
      </c>
      <c r="M205" s="26">
        <f>IF(B205="","",ROUND(SUMIFS(Sales!$Y$5:$Y$1204,Sales!$D$5:$D$1204,B205,Sales!$B$5:$B$1204,"&gt;="&amp;IF(D205="",0,D205)),2))</f>
        <v>0</v>
      </c>
      <c r="N205" s="25">
        <f>IF(B205="","",IFERROR(INDEX(Clients!$T$5:$T$504,MATCH(B205,Clients!$A$5:$A$504,0))*1,0))</f>
        <v>0</v>
      </c>
      <c r="O205" s="25">
        <f>IF(B205="","",ROUND(M205*PointsPerUnit+IF(F205="",0,F205),0))</f>
        <v>0</v>
      </c>
      <c r="P205" s="25">
        <f>IF(B205="","",O205-IF(G205="",0,G205))</f>
        <v>0</v>
      </c>
      <c r="Q205" s="25">
        <f>IF(B205="","",IF(RewardAt&lt;=0,0,ROUNDDOWN(P205/RewardAt,0)))</f>
        <v>0</v>
      </c>
      <c r="R205" s="26">
        <f>IF(B205="","",ROUND(Q205*RewardValue,2))</f>
        <v>0</v>
      </c>
      <c r="S205" s="25">
        <f>IF(B205="","",IF(RewardAt&lt;=0,"",MAX(0,RewardAt*(Q205+1)-P205)))</f>
        <v>0</v>
      </c>
      <c r="T205" s="25">
        <f>IF(B205="","",COUNTIFS(Clients!$H$5:$H$504,B205))</f>
        <v>0</v>
      </c>
      <c r="U205" s="26">
        <f>IF(B205="","",ROUND(T205*ReferralReward-IF(J205="",0,J205),2))</f>
        <v>0</v>
      </c>
      <c r="V205" s="15">
        <f>IF(B205="","",IFERROR(INDEX(Clients!$AM$5:$AM$504,MATCH(B205,Clients!$A$5:$A$504,0))&amp;"",""))</f>
        <v>0</v>
      </c>
      <c r="W205" s="25">
        <f>IF(B205="","",COUNTIFS($P$5:$P$504,"&gt;"&amp;P205)+COUNTIFS($P$5:P205,P205))</f>
        <v>0</v>
      </c>
      <c r="X205" s="39">
        <f>IF(B205="","",IF(K205="No","",IF(COUNTIF($B$5:$B$504,B205)&gt;1,"Duplicate - this client is on twice",IF(Q205&gt;0,"Action - reward ready to give",IF(U205&gt;0.004,"Action - referral credit owed",IF(V205="Lapsing","Chase - points are a reason to call",IF(S205&lt;=RewardAt*0.2,"Rebook - nearly at a reward","OK")))))))</f>
        <v>0</v>
      </c>
    </row>
    <row r="206" spans="1:24">
      <c r="A206" s="28">
        <f>IF(B206="","",LoyaltyPrefix&amp;TEXT(ROW()-4,"0000"))</f>
        <v>0</v>
      </c>
      <c r="C206" s="15">
        <f>IF(B206="","",IFERROR(INDEX(Clients!$B$5:$B$504,MATCH(B206,Clients!$A$5:$A$504,0)),"Not in Clients"))</f>
        <v>0</v>
      </c>
      <c r="M206" s="26">
        <f>IF(B206="","",ROUND(SUMIFS(Sales!$Y$5:$Y$1204,Sales!$D$5:$D$1204,B206,Sales!$B$5:$B$1204,"&gt;="&amp;IF(D206="",0,D206)),2))</f>
        <v>0</v>
      </c>
      <c r="N206" s="25">
        <f>IF(B206="","",IFERROR(INDEX(Clients!$T$5:$T$504,MATCH(B206,Clients!$A$5:$A$504,0))*1,0))</f>
        <v>0</v>
      </c>
      <c r="O206" s="25">
        <f>IF(B206="","",ROUND(M206*PointsPerUnit+IF(F206="",0,F206),0))</f>
        <v>0</v>
      </c>
      <c r="P206" s="25">
        <f>IF(B206="","",O206-IF(G206="",0,G206))</f>
        <v>0</v>
      </c>
      <c r="Q206" s="25">
        <f>IF(B206="","",IF(RewardAt&lt;=0,0,ROUNDDOWN(P206/RewardAt,0)))</f>
        <v>0</v>
      </c>
      <c r="R206" s="26">
        <f>IF(B206="","",ROUND(Q206*RewardValue,2))</f>
        <v>0</v>
      </c>
      <c r="S206" s="25">
        <f>IF(B206="","",IF(RewardAt&lt;=0,"",MAX(0,RewardAt*(Q206+1)-P206)))</f>
        <v>0</v>
      </c>
      <c r="T206" s="25">
        <f>IF(B206="","",COUNTIFS(Clients!$H$5:$H$504,B206))</f>
        <v>0</v>
      </c>
      <c r="U206" s="26">
        <f>IF(B206="","",ROUND(T206*ReferralReward-IF(J206="",0,J206),2))</f>
        <v>0</v>
      </c>
      <c r="V206" s="15">
        <f>IF(B206="","",IFERROR(INDEX(Clients!$AM$5:$AM$504,MATCH(B206,Clients!$A$5:$A$504,0))&amp;"",""))</f>
        <v>0</v>
      </c>
      <c r="W206" s="25">
        <f>IF(B206="","",COUNTIFS($P$5:$P$504,"&gt;"&amp;P206)+COUNTIFS($P$5:P206,P206))</f>
        <v>0</v>
      </c>
      <c r="X206" s="39">
        <f>IF(B206="","",IF(K206="No","",IF(COUNTIF($B$5:$B$504,B206)&gt;1,"Duplicate - this client is on twice",IF(Q206&gt;0,"Action - reward ready to give",IF(U206&gt;0.004,"Action - referral credit owed",IF(V206="Lapsing","Chase - points are a reason to call",IF(S206&lt;=RewardAt*0.2,"Rebook - nearly at a reward","OK")))))))</f>
        <v>0</v>
      </c>
    </row>
    <row r="207" spans="1:24">
      <c r="A207" s="28">
        <f>IF(B207="","",LoyaltyPrefix&amp;TEXT(ROW()-4,"0000"))</f>
        <v>0</v>
      </c>
      <c r="C207" s="15">
        <f>IF(B207="","",IFERROR(INDEX(Clients!$B$5:$B$504,MATCH(B207,Clients!$A$5:$A$504,0)),"Not in Clients"))</f>
        <v>0</v>
      </c>
      <c r="M207" s="26">
        <f>IF(B207="","",ROUND(SUMIFS(Sales!$Y$5:$Y$1204,Sales!$D$5:$D$1204,B207,Sales!$B$5:$B$1204,"&gt;="&amp;IF(D207="",0,D207)),2))</f>
        <v>0</v>
      </c>
      <c r="N207" s="25">
        <f>IF(B207="","",IFERROR(INDEX(Clients!$T$5:$T$504,MATCH(B207,Clients!$A$5:$A$504,0))*1,0))</f>
        <v>0</v>
      </c>
      <c r="O207" s="25">
        <f>IF(B207="","",ROUND(M207*PointsPerUnit+IF(F207="",0,F207),0))</f>
        <v>0</v>
      </c>
      <c r="P207" s="25">
        <f>IF(B207="","",O207-IF(G207="",0,G207))</f>
        <v>0</v>
      </c>
      <c r="Q207" s="25">
        <f>IF(B207="","",IF(RewardAt&lt;=0,0,ROUNDDOWN(P207/RewardAt,0)))</f>
        <v>0</v>
      </c>
      <c r="R207" s="26">
        <f>IF(B207="","",ROUND(Q207*RewardValue,2))</f>
        <v>0</v>
      </c>
      <c r="S207" s="25">
        <f>IF(B207="","",IF(RewardAt&lt;=0,"",MAX(0,RewardAt*(Q207+1)-P207)))</f>
        <v>0</v>
      </c>
      <c r="T207" s="25">
        <f>IF(B207="","",COUNTIFS(Clients!$H$5:$H$504,B207))</f>
        <v>0</v>
      </c>
      <c r="U207" s="26">
        <f>IF(B207="","",ROUND(T207*ReferralReward-IF(J207="",0,J207),2))</f>
        <v>0</v>
      </c>
      <c r="V207" s="15">
        <f>IF(B207="","",IFERROR(INDEX(Clients!$AM$5:$AM$504,MATCH(B207,Clients!$A$5:$A$504,0))&amp;"",""))</f>
        <v>0</v>
      </c>
      <c r="W207" s="25">
        <f>IF(B207="","",COUNTIFS($P$5:$P$504,"&gt;"&amp;P207)+COUNTIFS($P$5:P207,P207))</f>
        <v>0</v>
      </c>
      <c r="X207" s="39">
        <f>IF(B207="","",IF(K207="No","",IF(COUNTIF($B$5:$B$504,B207)&gt;1,"Duplicate - this client is on twice",IF(Q207&gt;0,"Action - reward ready to give",IF(U207&gt;0.004,"Action - referral credit owed",IF(V207="Lapsing","Chase - points are a reason to call",IF(S207&lt;=RewardAt*0.2,"Rebook - nearly at a reward","OK")))))))</f>
        <v>0</v>
      </c>
    </row>
    <row r="208" spans="1:24">
      <c r="A208" s="28">
        <f>IF(B208="","",LoyaltyPrefix&amp;TEXT(ROW()-4,"0000"))</f>
        <v>0</v>
      </c>
      <c r="C208" s="15">
        <f>IF(B208="","",IFERROR(INDEX(Clients!$B$5:$B$504,MATCH(B208,Clients!$A$5:$A$504,0)),"Not in Clients"))</f>
        <v>0</v>
      </c>
      <c r="M208" s="26">
        <f>IF(B208="","",ROUND(SUMIFS(Sales!$Y$5:$Y$1204,Sales!$D$5:$D$1204,B208,Sales!$B$5:$B$1204,"&gt;="&amp;IF(D208="",0,D208)),2))</f>
        <v>0</v>
      </c>
      <c r="N208" s="25">
        <f>IF(B208="","",IFERROR(INDEX(Clients!$T$5:$T$504,MATCH(B208,Clients!$A$5:$A$504,0))*1,0))</f>
        <v>0</v>
      </c>
      <c r="O208" s="25">
        <f>IF(B208="","",ROUND(M208*PointsPerUnit+IF(F208="",0,F208),0))</f>
        <v>0</v>
      </c>
      <c r="P208" s="25">
        <f>IF(B208="","",O208-IF(G208="",0,G208))</f>
        <v>0</v>
      </c>
      <c r="Q208" s="25">
        <f>IF(B208="","",IF(RewardAt&lt;=0,0,ROUNDDOWN(P208/RewardAt,0)))</f>
        <v>0</v>
      </c>
      <c r="R208" s="26">
        <f>IF(B208="","",ROUND(Q208*RewardValue,2))</f>
        <v>0</v>
      </c>
      <c r="S208" s="25">
        <f>IF(B208="","",IF(RewardAt&lt;=0,"",MAX(0,RewardAt*(Q208+1)-P208)))</f>
        <v>0</v>
      </c>
      <c r="T208" s="25">
        <f>IF(B208="","",COUNTIFS(Clients!$H$5:$H$504,B208))</f>
        <v>0</v>
      </c>
      <c r="U208" s="26">
        <f>IF(B208="","",ROUND(T208*ReferralReward-IF(J208="",0,J208),2))</f>
        <v>0</v>
      </c>
      <c r="V208" s="15">
        <f>IF(B208="","",IFERROR(INDEX(Clients!$AM$5:$AM$504,MATCH(B208,Clients!$A$5:$A$504,0))&amp;"",""))</f>
        <v>0</v>
      </c>
      <c r="W208" s="25">
        <f>IF(B208="","",COUNTIFS($P$5:$P$504,"&gt;"&amp;P208)+COUNTIFS($P$5:P208,P208))</f>
        <v>0</v>
      </c>
      <c r="X208" s="39">
        <f>IF(B208="","",IF(K208="No","",IF(COUNTIF($B$5:$B$504,B208)&gt;1,"Duplicate - this client is on twice",IF(Q208&gt;0,"Action - reward ready to give",IF(U208&gt;0.004,"Action - referral credit owed",IF(V208="Lapsing","Chase - points are a reason to call",IF(S208&lt;=RewardAt*0.2,"Rebook - nearly at a reward","OK")))))))</f>
        <v>0</v>
      </c>
    </row>
    <row r="209" spans="1:24">
      <c r="A209" s="28">
        <f>IF(B209="","",LoyaltyPrefix&amp;TEXT(ROW()-4,"0000"))</f>
        <v>0</v>
      </c>
      <c r="C209" s="15">
        <f>IF(B209="","",IFERROR(INDEX(Clients!$B$5:$B$504,MATCH(B209,Clients!$A$5:$A$504,0)),"Not in Clients"))</f>
        <v>0</v>
      </c>
      <c r="M209" s="26">
        <f>IF(B209="","",ROUND(SUMIFS(Sales!$Y$5:$Y$1204,Sales!$D$5:$D$1204,B209,Sales!$B$5:$B$1204,"&gt;="&amp;IF(D209="",0,D209)),2))</f>
        <v>0</v>
      </c>
      <c r="N209" s="25">
        <f>IF(B209="","",IFERROR(INDEX(Clients!$T$5:$T$504,MATCH(B209,Clients!$A$5:$A$504,0))*1,0))</f>
        <v>0</v>
      </c>
      <c r="O209" s="25">
        <f>IF(B209="","",ROUND(M209*PointsPerUnit+IF(F209="",0,F209),0))</f>
        <v>0</v>
      </c>
      <c r="P209" s="25">
        <f>IF(B209="","",O209-IF(G209="",0,G209))</f>
        <v>0</v>
      </c>
      <c r="Q209" s="25">
        <f>IF(B209="","",IF(RewardAt&lt;=0,0,ROUNDDOWN(P209/RewardAt,0)))</f>
        <v>0</v>
      </c>
      <c r="R209" s="26">
        <f>IF(B209="","",ROUND(Q209*RewardValue,2))</f>
        <v>0</v>
      </c>
      <c r="S209" s="25">
        <f>IF(B209="","",IF(RewardAt&lt;=0,"",MAX(0,RewardAt*(Q209+1)-P209)))</f>
        <v>0</v>
      </c>
      <c r="T209" s="25">
        <f>IF(B209="","",COUNTIFS(Clients!$H$5:$H$504,B209))</f>
        <v>0</v>
      </c>
      <c r="U209" s="26">
        <f>IF(B209="","",ROUND(T209*ReferralReward-IF(J209="",0,J209),2))</f>
        <v>0</v>
      </c>
      <c r="V209" s="15">
        <f>IF(B209="","",IFERROR(INDEX(Clients!$AM$5:$AM$504,MATCH(B209,Clients!$A$5:$A$504,0))&amp;"",""))</f>
        <v>0</v>
      </c>
      <c r="W209" s="25">
        <f>IF(B209="","",COUNTIFS($P$5:$P$504,"&gt;"&amp;P209)+COUNTIFS($P$5:P209,P209))</f>
        <v>0</v>
      </c>
      <c r="X209" s="39">
        <f>IF(B209="","",IF(K209="No","",IF(COUNTIF($B$5:$B$504,B209)&gt;1,"Duplicate - this client is on twice",IF(Q209&gt;0,"Action - reward ready to give",IF(U209&gt;0.004,"Action - referral credit owed",IF(V209="Lapsing","Chase - points are a reason to call",IF(S209&lt;=RewardAt*0.2,"Rebook - nearly at a reward","OK")))))))</f>
        <v>0</v>
      </c>
    </row>
    <row r="210" spans="1:24">
      <c r="A210" s="28">
        <f>IF(B210="","",LoyaltyPrefix&amp;TEXT(ROW()-4,"0000"))</f>
        <v>0</v>
      </c>
      <c r="C210" s="15">
        <f>IF(B210="","",IFERROR(INDEX(Clients!$B$5:$B$504,MATCH(B210,Clients!$A$5:$A$504,0)),"Not in Clients"))</f>
        <v>0</v>
      </c>
      <c r="M210" s="26">
        <f>IF(B210="","",ROUND(SUMIFS(Sales!$Y$5:$Y$1204,Sales!$D$5:$D$1204,B210,Sales!$B$5:$B$1204,"&gt;="&amp;IF(D210="",0,D210)),2))</f>
        <v>0</v>
      </c>
      <c r="N210" s="25">
        <f>IF(B210="","",IFERROR(INDEX(Clients!$T$5:$T$504,MATCH(B210,Clients!$A$5:$A$504,0))*1,0))</f>
        <v>0</v>
      </c>
      <c r="O210" s="25">
        <f>IF(B210="","",ROUND(M210*PointsPerUnit+IF(F210="",0,F210),0))</f>
        <v>0</v>
      </c>
      <c r="P210" s="25">
        <f>IF(B210="","",O210-IF(G210="",0,G210))</f>
        <v>0</v>
      </c>
      <c r="Q210" s="25">
        <f>IF(B210="","",IF(RewardAt&lt;=0,0,ROUNDDOWN(P210/RewardAt,0)))</f>
        <v>0</v>
      </c>
      <c r="R210" s="26">
        <f>IF(B210="","",ROUND(Q210*RewardValue,2))</f>
        <v>0</v>
      </c>
      <c r="S210" s="25">
        <f>IF(B210="","",IF(RewardAt&lt;=0,"",MAX(0,RewardAt*(Q210+1)-P210)))</f>
        <v>0</v>
      </c>
      <c r="T210" s="25">
        <f>IF(B210="","",COUNTIFS(Clients!$H$5:$H$504,B210))</f>
        <v>0</v>
      </c>
      <c r="U210" s="26">
        <f>IF(B210="","",ROUND(T210*ReferralReward-IF(J210="",0,J210),2))</f>
        <v>0</v>
      </c>
      <c r="V210" s="15">
        <f>IF(B210="","",IFERROR(INDEX(Clients!$AM$5:$AM$504,MATCH(B210,Clients!$A$5:$A$504,0))&amp;"",""))</f>
        <v>0</v>
      </c>
      <c r="W210" s="25">
        <f>IF(B210="","",COUNTIFS($P$5:$P$504,"&gt;"&amp;P210)+COUNTIFS($P$5:P210,P210))</f>
        <v>0</v>
      </c>
      <c r="X210" s="39">
        <f>IF(B210="","",IF(K210="No","",IF(COUNTIF($B$5:$B$504,B210)&gt;1,"Duplicate - this client is on twice",IF(Q210&gt;0,"Action - reward ready to give",IF(U210&gt;0.004,"Action - referral credit owed",IF(V210="Lapsing","Chase - points are a reason to call",IF(S210&lt;=RewardAt*0.2,"Rebook - nearly at a reward","OK")))))))</f>
        <v>0</v>
      </c>
    </row>
    <row r="211" spans="1:24">
      <c r="A211" s="28">
        <f>IF(B211="","",LoyaltyPrefix&amp;TEXT(ROW()-4,"0000"))</f>
        <v>0</v>
      </c>
      <c r="C211" s="15">
        <f>IF(B211="","",IFERROR(INDEX(Clients!$B$5:$B$504,MATCH(B211,Clients!$A$5:$A$504,0)),"Not in Clients"))</f>
        <v>0</v>
      </c>
      <c r="M211" s="26">
        <f>IF(B211="","",ROUND(SUMIFS(Sales!$Y$5:$Y$1204,Sales!$D$5:$D$1204,B211,Sales!$B$5:$B$1204,"&gt;="&amp;IF(D211="",0,D211)),2))</f>
        <v>0</v>
      </c>
      <c r="N211" s="25">
        <f>IF(B211="","",IFERROR(INDEX(Clients!$T$5:$T$504,MATCH(B211,Clients!$A$5:$A$504,0))*1,0))</f>
        <v>0</v>
      </c>
      <c r="O211" s="25">
        <f>IF(B211="","",ROUND(M211*PointsPerUnit+IF(F211="",0,F211),0))</f>
        <v>0</v>
      </c>
      <c r="P211" s="25">
        <f>IF(B211="","",O211-IF(G211="",0,G211))</f>
        <v>0</v>
      </c>
      <c r="Q211" s="25">
        <f>IF(B211="","",IF(RewardAt&lt;=0,0,ROUNDDOWN(P211/RewardAt,0)))</f>
        <v>0</v>
      </c>
      <c r="R211" s="26">
        <f>IF(B211="","",ROUND(Q211*RewardValue,2))</f>
        <v>0</v>
      </c>
      <c r="S211" s="25">
        <f>IF(B211="","",IF(RewardAt&lt;=0,"",MAX(0,RewardAt*(Q211+1)-P211)))</f>
        <v>0</v>
      </c>
      <c r="T211" s="25">
        <f>IF(B211="","",COUNTIFS(Clients!$H$5:$H$504,B211))</f>
        <v>0</v>
      </c>
      <c r="U211" s="26">
        <f>IF(B211="","",ROUND(T211*ReferralReward-IF(J211="",0,J211),2))</f>
        <v>0</v>
      </c>
      <c r="V211" s="15">
        <f>IF(B211="","",IFERROR(INDEX(Clients!$AM$5:$AM$504,MATCH(B211,Clients!$A$5:$A$504,0))&amp;"",""))</f>
        <v>0</v>
      </c>
      <c r="W211" s="25">
        <f>IF(B211="","",COUNTIFS($P$5:$P$504,"&gt;"&amp;P211)+COUNTIFS($P$5:P211,P211))</f>
        <v>0</v>
      </c>
      <c r="X211" s="39">
        <f>IF(B211="","",IF(K211="No","",IF(COUNTIF($B$5:$B$504,B211)&gt;1,"Duplicate - this client is on twice",IF(Q211&gt;0,"Action - reward ready to give",IF(U211&gt;0.004,"Action - referral credit owed",IF(V211="Lapsing","Chase - points are a reason to call",IF(S211&lt;=RewardAt*0.2,"Rebook - nearly at a reward","OK")))))))</f>
        <v>0</v>
      </c>
    </row>
    <row r="212" spans="1:24">
      <c r="A212" s="28">
        <f>IF(B212="","",LoyaltyPrefix&amp;TEXT(ROW()-4,"0000"))</f>
        <v>0</v>
      </c>
      <c r="C212" s="15">
        <f>IF(B212="","",IFERROR(INDEX(Clients!$B$5:$B$504,MATCH(B212,Clients!$A$5:$A$504,0)),"Not in Clients"))</f>
        <v>0</v>
      </c>
      <c r="M212" s="26">
        <f>IF(B212="","",ROUND(SUMIFS(Sales!$Y$5:$Y$1204,Sales!$D$5:$D$1204,B212,Sales!$B$5:$B$1204,"&gt;="&amp;IF(D212="",0,D212)),2))</f>
        <v>0</v>
      </c>
      <c r="N212" s="25">
        <f>IF(B212="","",IFERROR(INDEX(Clients!$T$5:$T$504,MATCH(B212,Clients!$A$5:$A$504,0))*1,0))</f>
        <v>0</v>
      </c>
      <c r="O212" s="25">
        <f>IF(B212="","",ROUND(M212*PointsPerUnit+IF(F212="",0,F212),0))</f>
        <v>0</v>
      </c>
      <c r="P212" s="25">
        <f>IF(B212="","",O212-IF(G212="",0,G212))</f>
        <v>0</v>
      </c>
      <c r="Q212" s="25">
        <f>IF(B212="","",IF(RewardAt&lt;=0,0,ROUNDDOWN(P212/RewardAt,0)))</f>
        <v>0</v>
      </c>
      <c r="R212" s="26">
        <f>IF(B212="","",ROUND(Q212*RewardValue,2))</f>
        <v>0</v>
      </c>
      <c r="S212" s="25">
        <f>IF(B212="","",IF(RewardAt&lt;=0,"",MAX(0,RewardAt*(Q212+1)-P212)))</f>
        <v>0</v>
      </c>
      <c r="T212" s="25">
        <f>IF(B212="","",COUNTIFS(Clients!$H$5:$H$504,B212))</f>
        <v>0</v>
      </c>
      <c r="U212" s="26">
        <f>IF(B212="","",ROUND(T212*ReferralReward-IF(J212="",0,J212),2))</f>
        <v>0</v>
      </c>
      <c r="V212" s="15">
        <f>IF(B212="","",IFERROR(INDEX(Clients!$AM$5:$AM$504,MATCH(B212,Clients!$A$5:$A$504,0))&amp;"",""))</f>
        <v>0</v>
      </c>
      <c r="W212" s="25">
        <f>IF(B212="","",COUNTIFS($P$5:$P$504,"&gt;"&amp;P212)+COUNTIFS($P$5:P212,P212))</f>
        <v>0</v>
      </c>
      <c r="X212" s="39">
        <f>IF(B212="","",IF(K212="No","",IF(COUNTIF($B$5:$B$504,B212)&gt;1,"Duplicate - this client is on twice",IF(Q212&gt;0,"Action - reward ready to give",IF(U212&gt;0.004,"Action - referral credit owed",IF(V212="Lapsing","Chase - points are a reason to call",IF(S212&lt;=RewardAt*0.2,"Rebook - nearly at a reward","OK")))))))</f>
        <v>0</v>
      </c>
    </row>
    <row r="213" spans="1:24">
      <c r="A213" s="28">
        <f>IF(B213="","",LoyaltyPrefix&amp;TEXT(ROW()-4,"0000"))</f>
        <v>0</v>
      </c>
      <c r="C213" s="15">
        <f>IF(B213="","",IFERROR(INDEX(Clients!$B$5:$B$504,MATCH(B213,Clients!$A$5:$A$504,0)),"Not in Clients"))</f>
        <v>0</v>
      </c>
      <c r="M213" s="26">
        <f>IF(B213="","",ROUND(SUMIFS(Sales!$Y$5:$Y$1204,Sales!$D$5:$D$1204,B213,Sales!$B$5:$B$1204,"&gt;="&amp;IF(D213="",0,D213)),2))</f>
        <v>0</v>
      </c>
      <c r="N213" s="25">
        <f>IF(B213="","",IFERROR(INDEX(Clients!$T$5:$T$504,MATCH(B213,Clients!$A$5:$A$504,0))*1,0))</f>
        <v>0</v>
      </c>
      <c r="O213" s="25">
        <f>IF(B213="","",ROUND(M213*PointsPerUnit+IF(F213="",0,F213),0))</f>
        <v>0</v>
      </c>
      <c r="P213" s="25">
        <f>IF(B213="","",O213-IF(G213="",0,G213))</f>
        <v>0</v>
      </c>
      <c r="Q213" s="25">
        <f>IF(B213="","",IF(RewardAt&lt;=0,0,ROUNDDOWN(P213/RewardAt,0)))</f>
        <v>0</v>
      </c>
      <c r="R213" s="26">
        <f>IF(B213="","",ROUND(Q213*RewardValue,2))</f>
        <v>0</v>
      </c>
      <c r="S213" s="25">
        <f>IF(B213="","",IF(RewardAt&lt;=0,"",MAX(0,RewardAt*(Q213+1)-P213)))</f>
        <v>0</v>
      </c>
      <c r="T213" s="25">
        <f>IF(B213="","",COUNTIFS(Clients!$H$5:$H$504,B213))</f>
        <v>0</v>
      </c>
      <c r="U213" s="26">
        <f>IF(B213="","",ROUND(T213*ReferralReward-IF(J213="",0,J213),2))</f>
        <v>0</v>
      </c>
      <c r="V213" s="15">
        <f>IF(B213="","",IFERROR(INDEX(Clients!$AM$5:$AM$504,MATCH(B213,Clients!$A$5:$A$504,0))&amp;"",""))</f>
        <v>0</v>
      </c>
      <c r="W213" s="25">
        <f>IF(B213="","",COUNTIFS($P$5:$P$504,"&gt;"&amp;P213)+COUNTIFS($P$5:P213,P213))</f>
        <v>0</v>
      </c>
      <c r="X213" s="39">
        <f>IF(B213="","",IF(K213="No","",IF(COUNTIF($B$5:$B$504,B213)&gt;1,"Duplicate - this client is on twice",IF(Q213&gt;0,"Action - reward ready to give",IF(U213&gt;0.004,"Action - referral credit owed",IF(V213="Lapsing","Chase - points are a reason to call",IF(S213&lt;=RewardAt*0.2,"Rebook - nearly at a reward","OK")))))))</f>
        <v>0</v>
      </c>
    </row>
    <row r="214" spans="1:24">
      <c r="A214" s="28">
        <f>IF(B214="","",LoyaltyPrefix&amp;TEXT(ROW()-4,"0000"))</f>
        <v>0</v>
      </c>
      <c r="C214" s="15">
        <f>IF(B214="","",IFERROR(INDEX(Clients!$B$5:$B$504,MATCH(B214,Clients!$A$5:$A$504,0)),"Not in Clients"))</f>
        <v>0</v>
      </c>
      <c r="M214" s="26">
        <f>IF(B214="","",ROUND(SUMIFS(Sales!$Y$5:$Y$1204,Sales!$D$5:$D$1204,B214,Sales!$B$5:$B$1204,"&gt;="&amp;IF(D214="",0,D214)),2))</f>
        <v>0</v>
      </c>
      <c r="N214" s="25">
        <f>IF(B214="","",IFERROR(INDEX(Clients!$T$5:$T$504,MATCH(B214,Clients!$A$5:$A$504,0))*1,0))</f>
        <v>0</v>
      </c>
      <c r="O214" s="25">
        <f>IF(B214="","",ROUND(M214*PointsPerUnit+IF(F214="",0,F214),0))</f>
        <v>0</v>
      </c>
      <c r="P214" s="25">
        <f>IF(B214="","",O214-IF(G214="",0,G214))</f>
        <v>0</v>
      </c>
      <c r="Q214" s="25">
        <f>IF(B214="","",IF(RewardAt&lt;=0,0,ROUNDDOWN(P214/RewardAt,0)))</f>
        <v>0</v>
      </c>
      <c r="R214" s="26">
        <f>IF(B214="","",ROUND(Q214*RewardValue,2))</f>
        <v>0</v>
      </c>
      <c r="S214" s="25">
        <f>IF(B214="","",IF(RewardAt&lt;=0,"",MAX(0,RewardAt*(Q214+1)-P214)))</f>
        <v>0</v>
      </c>
      <c r="T214" s="25">
        <f>IF(B214="","",COUNTIFS(Clients!$H$5:$H$504,B214))</f>
        <v>0</v>
      </c>
      <c r="U214" s="26">
        <f>IF(B214="","",ROUND(T214*ReferralReward-IF(J214="",0,J214),2))</f>
        <v>0</v>
      </c>
      <c r="V214" s="15">
        <f>IF(B214="","",IFERROR(INDEX(Clients!$AM$5:$AM$504,MATCH(B214,Clients!$A$5:$A$504,0))&amp;"",""))</f>
        <v>0</v>
      </c>
      <c r="W214" s="25">
        <f>IF(B214="","",COUNTIFS($P$5:$P$504,"&gt;"&amp;P214)+COUNTIFS($P$5:P214,P214))</f>
        <v>0</v>
      </c>
      <c r="X214" s="39">
        <f>IF(B214="","",IF(K214="No","",IF(COUNTIF($B$5:$B$504,B214)&gt;1,"Duplicate - this client is on twice",IF(Q214&gt;0,"Action - reward ready to give",IF(U214&gt;0.004,"Action - referral credit owed",IF(V214="Lapsing","Chase - points are a reason to call",IF(S214&lt;=RewardAt*0.2,"Rebook - nearly at a reward","OK")))))))</f>
        <v>0</v>
      </c>
    </row>
    <row r="215" spans="1:24">
      <c r="A215" s="28">
        <f>IF(B215="","",LoyaltyPrefix&amp;TEXT(ROW()-4,"0000"))</f>
        <v>0</v>
      </c>
      <c r="C215" s="15">
        <f>IF(B215="","",IFERROR(INDEX(Clients!$B$5:$B$504,MATCH(B215,Clients!$A$5:$A$504,0)),"Not in Clients"))</f>
        <v>0</v>
      </c>
      <c r="M215" s="26">
        <f>IF(B215="","",ROUND(SUMIFS(Sales!$Y$5:$Y$1204,Sales!$D$5:$D$1204,B215,Sales!$B$5:$B$1204,"&gt;="&amp;IF(D215="",0,D215)),2))</f>
        <v>0</v>
      </c>
      <c r="N215" s="25">
        <f>IF(B215="","",IFERROR(INDEX(Clients!$T$5:$T$504,MATCH(B215,Clients!$A$5:$A$504,0))*1,0))</f>
        <v>0</v>
      </c>
      <c r="O215" s="25">
        <f>IF(B215="","",ROUND(M215*PointsPerUnit+IF(F215="",0,F215),0))</f>
        <v>0</v>
      </c>
      <c r="P215" s="25">
        <f>IF(B215="","",O215-IF(G215="",0,G215))</f>
        <v>0</v>
      </c>
      <c r="Q215" s="25">
        <f>IF(B215="","",IF(RewardAt&lt;=0,0,ROUNDDOWN(P215/RewardAt,0)))</f>
        <v>0</v>
      </c>
      <c r="R215" s="26">
        <f>IF(B215="","",ROUND(Q215*RewardValue,2))</f>
        <v>0</v>
      </c>
      <c r="S215" s="25">
        <f>IF(B215="","",IF(RewardAt&lt;=0,"",MAX(0,RewardAt*(Q215+1)-P215)))</f>
        <v>0</v>
      </c>
      <c r="T215" s="25">
        <f>IF(B215="","",COUNTIFS(Clients!$H$5:$H$504,B215))</f>
        <v>0</v>
      </c>
      <c r="U215" s="26">
        <f>IF(B215="","",ROUND(T215*ReferralReward-IF(J215="",0,J215),2))</f>
        <v>0</v>
      </c>
      <c r="V215" s="15">
        <f>IF(B215="","",IFERROR(INDEX(Clients!$AM$5:$AM$504,MATCH(B215,Clients!$A$5:$A$504,0))&amp;"",""))</f>
        <v>0</v>
      </c>
      <c r="W215" s="25">
        <f>IF(B215="","",COUNTIFS($P$5:$P$504,"&gt;"&amp;P215)+COUNTIFS($P$5:P215,P215))</f>
        <v>0</v>
      </c>
      <c r="X215" s="39">
        <f>IF(B215="","",IF(K215="No","",IF(COUNTIF($B$5:$B$504,B215)&gt;1,"Duplicate - this client is on twice",IF(Q215&gt;0,"Action - reward ready to give",IF(U215&gt;0.004,"Action - referral credit owed",IF(V215="Lapsing","Chase - points are a reason to call",IF(S215&lt;=RewardAt*0.2,"Rebook - nearly at a reward","OK")))))))</f>
        <v>0</v>
      </c>
    </row>
    <row r="216" spans="1:24">
      <c r="A216" s="28">
        <f>IF(B216="","",LoyaltyPrefix&amp;TEXT(ROW()-4,"0000"))</f>
        <v>0</v>
      </c>
      <c r="C216" s="15">
        <f>IF(B216="","",IFERROR(INDEX(Clients!$B$5:$B$504,MATCH(B216,Clients!$A$5:$A$504,0)),"Not in Clients"))</f>
        <v>0</v>
      </c>
      <c r="M216" s="26">
        <f>IF(B216="","",ROUND(SUMIFS(Sales!$Y$5:$Y$1204,Sales!$D$5:$D$1204,B216,Sales!$B$5:$B$1204,"&gt;="&amp;IF(D216="",0,D216)),2))</f>
        <v>0</v>
      </c>
      <c r="N216" s="25">
        <f>IF(B216="","",IFERROR(INDEX(Clients!$T$5:$T$504,MATCH(B216,Clients!$A$5:$A$504,0))*1,0))</f>
        <v>0</v>
      </c>
      <c r="O216" s="25">
        <f>IF(B216="","",ROUND(M216*PointsPerUnit+IF(F216="",0,F216),0))</f>
        <v>0</v>
      </c>
      <c r="P216" s="25">
        <f>IF(B216="","",O216-IF(G216="",0,G216))</f>
        <v>0</v>
      </c>
      <c r="Q216" s="25">
        <f>IF(B216="","",IF(RewardAt&lt;=0,0,ROUNDDOWN(P216/RewardAt,0)))</f>
        <v>0</v>
      </c>
      <c r="R216" s="26">
        <f>IF(B216="","",ROUND(Q216*RewardValue,2))</f>
        <v>0</v>
      </c>
      <c r="S216" s="25">
        <f>IF(B216="","",IF(RewardAt&lt;=0,"",MAX(0,RewardAt*(Q216+1)-P216)))</f>
        <v>0</v>
      </c>
      <c r="T216" s="25">
        <f>IF(B216="","",COUNTIFS(Clients!$H$5:$H$504,B216))</f>
        <v>0</v>
      </c>
      <c r="U216" s="26">
        <f>IF(B216="","",ROUND(T216*ReferralReward-IF(J216="",0,J216),2))</f>
        <v>0</v>
      </c>
      <c r="V216" s="15">
        <f>IF(B216="","",IFERROR(INDEX(Clients!$AM$5:$AM$504,MATCH(B216,Clients!$A$5:$A$504,0))&amp;"",""))</f>
        <v>0</v>
      </c>
      <c r="W216" s="25">
        <f>IF(B216="","",COUNTIFS($P$5:$P$504,"&gt;"&amp;P216)+COUNTIFS($P$5:P216,P216))</f>
        <v>0</v>
      </c>
      <c r="X216" s="39">
        <f>IF(B216="","",IF(K216="No","",IF(COUNTIF($B$5:$B$504,B216)&gt;1,"Duplicate - this client is on twice",IF(Q216&gt;0,"Action - reward ready to give",IF(U216&gt;0.004,"Action - referral credit owed",IF(V216="Lapsing","Chase - points are a reason to call",IF(S216&lt;=RewardAt*0.2,"Rebook - nearly at a reward","OK")))))))</f>
        <v>0</v>
      </c>
    </row>
    <row r="217" spans="1:24">
      <c r="A217" s="28">
        <f>IF(B217="","",LoyaltyPrefix&amp;TEXT(ROW()-4,"0000"))</f>
        <v>0</v>
      </c>
      <c r="C217" s="15">
        <f>IF(B217="","",IFERROR(INDEX(Clients!$B$5:$B$504,MATCH(B217,Clients!$A$5:$A$504,0)),"Not in Clients"))</f>
        <v>0</v>
      </c>
      <c r="M217" s="26">
        <f>IF(B217="","",ROUND(SUMIFS(Sales!$Y$5:$Y$1204,Sales!$D$5:$D$1204,B217,Sales!$B$5:$B$1204,"&gt;="&amp;IF(D217="",0,D217)),2))</f>
        <v>0</v>
      </c>
      <c r="N217" s="25">
        <f>IF(B217="","",IFERROR(INDEX(Clients!$T$5:$T$504,MATCH(B217,Clients!$A$5:$A$504,0))*1,0))</f>
        <v>0</v>
      </c>
      <c r="O217" s="25">
        <f>IF(B217="","",ROUND(M217*PointsPerUnit+IF(F217="",0,F217),0))</f>
        <v>0</v>
      </c>
      <c r="P217" s="25">
        <f>IF(B217="","",O217-IF(G217="",0,G217))</f>
        <v>0</v>
      </c>
      <c r="Q217" s="25">
        <f>IF(B217="","",IF(RewardAt&lt;=0,0,ROUNDDOWN(P217/RewardAt,0)))</f>
        <v>0</v>
      </c>
      <c r="R217" s="26">
        <f>IF(B217="","",ROUND(Q217*RewardValue,2))</f>
        <v>0</v>
      </c>
      <c r="S217" s="25">
        <f>IF(B217="","",IF(RewardAt&lt;=0,"",MAX(0,RewardAt*(Q217+1)-P217)))</f>
        <v>0</v>
      </c>
      <c r="T217" s="25">
        <f>IF(B217="","",COUNTIFS(Clients!$H$5:$H$504,B217))</f>
        <v>0</v>
      </c>
      <c r="U217" s="26">
        <f>IF(B217="","",ROUND(T217*ReferralReward-IF(J217="",0,J217),2))</f>
        <v>0</v>
      </c>
      <c r="V217" s="15">
        <f>IF(B217="","",IFERROR(INDEX(Clients!$AM$5:$AM$504,MATCH(B217,Clients!$A$5:$A$504,0))&amp;"",""))</f>
        <v>0</v>
      </c>
      <c r="W217" s="25">
        <f>IF(B217="","",COUNTIFS($P$5:$P$504,"&gt;"&amp;P217)+COUNTIFS($P$5:P217,P217))</f>
        <v>0</v>
      </c>
      <c r="X217" s="39">
        <f>IF(B217="","",IF(K217="No","",IF(COUNTIF($B$5:$B$504,B217)&gt;1,"Duplicate - this client is on twice",IF(Q217&gt;0,"Action - reward ready to give",IF(U217&gt;0.004,"Action - referral credit owed",IF(V217="Lapsing","Chase - points are a reason to call",IF(S217&lt;=RewardAt*0.2,"Rebook - nearly at a reward","OK")))))))</f>
        <v>0</v>
      </c>
    </row>
    <row r="218" spans="1:24">
      <c r="A218" s="28">
        <f>IF(B218="","",LoyaltyPrefix&amp;TEXT(ROW()-4,"0000"))</f>
        <v>0</v>
      </c>
      <c r="C218" s="15">
        <f>IF(B218="","",IFERROR(INDEX(Clients!$B$5:$B$504,MATCH(B218,Clients!$A$5:$A$504,0)),"Not in Clients"))</f>
        <v>0</v>
      </c>
      <c r="M218" s="26">
        <f>IF(B218="","",ROUND(SUMIFS(Sales!$Y$5:$Y$1204,Sales!$D$5:$D$1204,B218,Sales!$B$5:$B$1204,"&gt;="&amp;IF(D218="",0,D218)),2))</f>
        <v>0</v>
      </c>
      <c r="N218" s="25">
        <f>IF(B218="","",IFERROR(INDEX(Clients!$T$5:$T$504,MATCH(B218,Clients!$A$5:$A$504,0))*1,0))</f>
        <v>0</v>
      </c>
      <c r="O218" s="25">
        <f>IF(B218="","",ROUND(M218*PointsPerUnit+IF(F218="",0,F218),0))</f>
        <v>0</v>
      </c>
      <c r="P218" s="25">
        <f>IF(B218="","",O218-IF(G218="",0,G218))</f>
        <v>0</v>
      </c>
      <c r="Q218" s="25">
        <f>IF(B218="","",IF(RewardAt&lt;=0,0,ROUNDDOWN(P218/RewardAt,0)))</f>
        <v>0</v>
      </c>
      <c r="R218" s="26">
        <f>IF(B218="","",ROUND(Q218*RewardValue,2))</f>
        <v>0</v>
      </c>
      <c r="S218" s="25">
        <f>IF(B218="","",IF(RewardAt&lt;=0,"",MAX(0,RewardAt*(Q218+1)-P218)))</f>
        <v>0</v>
      </c>
      <c r="T218" s="25">
        <f>IF(B218="","",COUNTIFS(Clients!$H$5:$H$504,B218))</f>
        <v>0</v>
      </c>
      <c r="U218" s="26">
        <f>IF(B218="","",ROUND(T218*ReferralReward-IF(J218="",0,J218),2))</f>
        <v>0</v>
      </c>
      <c r="V218" s="15">
        <f>IF(B218="","",IFERROR(INDEX(Clients!$AM$5:$AM$504,MATCH(B218,Clients!$A$5:$A$504,0))&amp;"",""))</f>
        <v>0</v>
      </c>
      <c r="W218" s="25">
        <f>IF(B218="","",COUNTIFS($P$5:$P$504,"&gt;"&amp;P218)+COUNTIFS($P$5:P218,P218))</f>
        <v>0</v>
      </c>
      <c r="X218" s="39">
        <f>IF(B218="","",IF(K218="No","",IF(COUNTIF($B$5:$B$504,B218)&gt;1,"Duplicate - this client is on twice",IF(Q218&gt;0,"Action - reward ready to give",IF(U218&gt;0.004,"Action - referral credit owed",IF(V218="Lapsing","Chase - points are a reason to call",IF(S218&lt;=RewardAt*0.2,"Rebook - nearly at a reward","OK")))))))</f>
        <v>0</v>
      </c>
    </row>
    <row r="219" spans="1:24">
      <c r="A219" s="28">
        <f>IF(B219="","",LoyaltyPrefix&amp;TEXT(ROW()-4,"0000"))</f>
        <v>0</v>
      </c>
      <c r="C219" s="15">
        <f>IF(B219="","",IFERROR(INDEX(Clients!$B$5:$B$504,MATCH(B219,Clients!$A$5:$A$504,0)),"Not in Clients"))</f>
        <v>0</v>
      </c>
      <c r="M219" s="26">
        <f>IF(B219="","",ROUND(SUMIFS(Sales!$Y$5:$Y$1204,Sales!$D$5:$D$1204,B219,Sales!$B$5:$B$1204,"&gt;="&amp;IF(D219="",0,D219)),2))</f>
        <v>0</v>
      </c>
      <c r="N219" s="25">
        <f>IF(B219="","",IFERROR(INDEX(Clients!$T$5:$T$504,MATCH(B219,Clients!$A$5:$A$504,0))*1,0))</f>
        <v>0</v>
      </c>
      <c r="O219" s="25">
        <f>IF(B219="","",ROUND(M219*PointsPerUnit+IF(F219="",0,F219),0))</f>
        <v>0</v>
      </c>
      <c r="P219" s="25">
        <f>IF(B219="","",O219-IF(G219="",0,G219))</f>
        <v>0</v>
      </c>
      <c r="Q219" s="25">
        <f>IF(B219="","",IF(RewardAt&lt;=0,0,ROUNDDOWN(P219/RewardAt,0)))</f>
        <v>0</v>
      </c>
      <c r="R219" s="26">
        <f>IF(B219="","",ROUND(Q219*RewardValue,2))</f>
        <v>0</v>
      </c>
      <c r="S219" s="25">
        <f>IF(B219="","",IF(RewardAt&lt;=0,"",MAX(0,RewardAt*(Q219+1)-P219)))</f>
        <v>0</v>
      </c>
      <c r="T219" s="25">
        <f>IF(B219="","",COUNTIFS(Clients!$H$5:$H$504,B219))</f>
        <v>0</v>
      </c>
      <c r="U219" s="26">
        <f>IF(B219="","",ROUND(T219*ReferralReward-IF(J219="",0,J219),2))</f>
        <v>0</v>
      </c>
      <c r="V219" s="15">
        <f>IF(B219="","",IFERROR(INDEX(Clients!$AM$5:$AM$504,MATCH(B219,Clients!$A$5:$A$504,0))&amp;"",""))</f>
        <v>0</v>
      </c>
      <c r="W219" s="25">
        <f>IF(B219="","",COUNTIFS($P$5:$P$504,"&gt;"&amp;P219)+COUNTIFS($P$5:P219,P219))</f>
        <v>0</v>
      </c>
      <c r="X219" s="39">
        <f>IF(B219="","",IF(K219="No","",IF(COUNTIF($B$5:$B$504,B219)&gt;1,"Duplicate - this client is on twice",IF(Q219&gt;0,"Action - reward ready to give",IF(U219&gt;0.004,"Action - referral credit owed",IF(V219="Lapsing","Chase - points are a reason to call",IF(S219&lt;=RewardAt*0.2,"Rebook - nearly at a reward","OK")))))))</f>
        <v>0</v>
      </c>
    </row>
    <row r="220" spans="1:24">
      <c r="A220" s="28">
        <f>IF(B220="","",LoyaltyPrefix&amp;TEXT(ROW()-4,"0000"))</f>
        <v>0</v>
      </c>
      <c r="C220" s="15">
        <f>IF(B220="","",IFERROR(INDEX(Clients!$B$5:$B$504,MATCH(B220,Clients!$A$5:$A$504,0)),"Not in Clients"))</f>
        <v>0</v>
      </c>
      <c r="M220" s="26">
        <f>IF(B220="","",ROUND(SUMIFS(Sales!$Y$5:$Y$1204,Sales!$D$5:$D$1204,B220,Sales!$B$5:$B$1204,"&gt;="&amp;IF(D220="",0,D220)),2))</f>
        <v>0</v>
      </c>
      <c r="N220" s="25">
        <f>IF(B220="","",IFERROR(INDEX(Clients!$T$5:$T$504,MATCH(B220,Clients!$A$5:$A$504,0))*1,0))</f>
        <v>0</v>
      </c>
      <c r="O220" s="25">
        <f>IF(B220="","",ROUND(M220*PointsPerUnit+IF(F220="",0,F220),0))</f>
        <v>0</v>
      </c>
      <c r="P220" s="25">
        <f>IF(B220="","",O220-IF(G220="",0,G220))</f>
        <v>0</v>
      </c>
      <c r="Q220" s="25">
        <f>IF(B220="","",IF(RewardAt&lt;=0,0,ROUNDDOWN(P220/RewardAt,0)))</f>
        <v>0</v>
      </c>
      <c r="R220" s="26">
        <f>IF(B220="","",ROUND(Q220*RewardValue,2))</f>
        <v>0</v>
      </c>
      <c r="S220" s="25">
        <f>IF(B220="","",IF(RewardAt&lt;=0,"",MAX(0,RewardAt*(Q220+1)-P220)))</f>
        <v>0</v>
      </c>
      <c r="T220" s="25">
        <f>IF(B220="","",COUNTIFS(Clients!$H$5:$H$504,B220))</f>
        <v>0</v>
      </c>
      <c r="U220" s="26">
        <f>IF(B220="","",ROUND(T220*ReferralReward-IF(J220="",0,J220),2))</f>
        <v>0</v>
      </c>
      <c r="V220" s="15">
        <f>IF(B220="","",IFERROR(INDEX(Clients!$AM$5:$AM$504,MATCH(B220,Clients!$A$5:$A$504,0))&amp;"",""))</f>
        <v>0</v>
      </c>
      <c r="W220" s="25">
        <f>IF(B220="","",COUNTIFS($P$5:$P$504,"&gt;"&amp;P220)+COUNTIFS($P$5:P220,P220))</f>
        <v>0</v>
      </c>
      <c r="X220" s="39">
        <f>IF(B220="","",IF(K220="No","",IF(COUNTIF($B$5:$B$504,B220)&gt;1,"Duplicate - this client is on twice",IF(Q220&gt;0,"Action - reward ready to give",IF(U220&gt;0.004,"Action - referral credit owed",IF(V220="Lapsing","Chase - points are a reason to call",IF(S220&lt;=RewardAt*0.2,"Rebook - nearly at a reward","OK")))))))</f>
        <v>0</v>
      </c>
    </row>
    <row r="221" spans="1:24">
      <c r="A221" s="28">
        <f>IF(B221="","",LoyaltyPrefix&amp;TEXT(ROW()-4,"0000"))</f>
        <v>0</v>
      </c>
      <c r="C221" s="15">
        <f>IF(B221="","",IFERROR(INDEX(Clients!$B$5:$B$504,MATCH(B221,Clients!$A$5:$A$504,0)),"Not in Clients"))</f>
        <v>0</v>
      </c>
      <c r="M221" s="26">
        <f>IF(B221="","",ROUND(SUMIFS(Sales!$Y$5:$Y$1204,Sales!$D$5:$D$1204,B221,Sales!$B$5:$B$1204,"&gt;="&amp;IF(D221="",0,D221)),2))</f>
        <v>0</v>
      </c>
      <c r="N221" s="25">
        <f>IF(B221="","",IFERROR(INDEX(Clients!$T$5:$T$504,MATCH(B221,Clients!$A$5:$A$504,0))*1,0))</f>
        <v>0</v>
      </c>
      <c r="O221" s="25">
        <f>IF(B221="","",ROUND(M221*PointsPerUnit+IF(F221="",0,F221),0))</f>
        <v>0</v>
      </c>
      <c r="P221" s="25">
        <f>IF(B221="","",O221-IF(G221="",0,G221))</f>
        <v>0</v>
      </c>
      <c r="Q221" s="25">
        <f>IF(B221="","",IF(RewardAt&lt;=0,0,ROUNDDOWN(P221/RewardAt,0)))</f>
        <v>0</v>
      </c>
      <c r="R221" s="26">
        <f>IF(B221="","",ROUND(Q221*RewardValue,2))</f>
        <v>0</v>
      </c>
      <c r="S221" s="25">
        <f>IF(B221="","",IF(RewardAt&lt;=0,"",MAX(0,RewardAt*(Q221+1)-P221)))</f>
        <v>0</v>
      </c>
      <c r="T221" s="25">
        <f>IF(B221="","",COUNTIFS(Clients!$H$5:$H$504,B221))</f>
        <v>0</v>
      </c>
      <c r="U221" s="26">
        <f>IF(B221="","",ROUND(T221*ReferralReward-IF(J221="",0,J221),2))</f>
        <v>0</v>
      </c>
      <c r="V221" s="15">
        <f>IF(B221="","",IFERROR(INDEX(Clients!$AM$5:$AM$504,MATCH(B221,Clients!$A$5:$A$504,0))&amp;"",""))</f>
        <v>0</v>
      </c>
      <c r="W221" s="25">
        <f>IF(B221="","",COUNTIFS($P$5:$P$504,"&gt;"&amp;P221)+COUNTIFS($P$5:P221,P221))</f>
        <v>0</v>
      </c>
      <c r="X221" s="39">
        <f>IF(B221="","",IF(K221="No","",IF(COUNTIF($B$5:$B$504,B221)&gt;1,"Duplicate - this client is on twice",IF(Q221&gt;0,"Action - reward ready to give",IF(U221&gt;0.004,"Action - referral credit owed",IF(V221="Lapsing","Chase - points are a reason to call",IF(S221&lt;=RewardAt*0.2,"Rebook - nearly at a reward","OK")))))))</f>
        <v>0</v>
      </c>
    </row>
    <row r="222" spans="1:24">
      <c r="A222" s="28">
        <f>IF(B222="","",LoyaltyPrefix&amp;TEXT(ROW()-4,"0000"))</f>
        <v>0</v>
      </c>
      <c r="C222" s="15">
        <f>IF(B222="","",IFERROR(INDEX(Clients!$B$5:$B$504,MATCH(B222,Clients!$A$5:$A$504,0)),"Not in Clients"))</f>
        <v>0</v>
      </c>
      <c r="M222" s="26">
        <f>IF(B222="","",ROUND(SUMIFS(Sales!$Y$5:$Y$1204,Sales!$D$5:$D$1204,B222,Sales!$B$5:$B$1204,"&gt;="&amp;IF(D222="",0,D222)),2))</f>
        <v>0</v>
      </c>
      <c r="N222" s="25">
        <f>IF(B222="","",IFERROR(INDEX(Clients!$T$5:$T$504,MATCH(B222,Clients!$A$5:$A$504,0))*1,0))</f>
        <v>0</v>
      </c>
      <c r="O222" s="25">
        <f>IF(B222="","",ROUND(M222*PointsPerUnit+IF(F222="",0,F222),0))</f>
        <v>0</v>
      </c>
      <c r="P222" s="25">
        <f>IF(B222="","",O222-IF(G222="",0,G222))</f>
        <v>0</v>
      </c>
      <c r="Q222" s="25">
        <f>IF(B222="","",IF(RewardAt&lt;=0,0,ROUNDDOWN(P222/RewardAt,0)))</f>
        <v>0</v>
      </c>
      <c r="R222" s="26">
        <f>IF(B222="","",ROUND(Q222*RewardValue,2))</f>
        <v>0</v>
      </c>
      <c r="S222" s="25">
        <f>IF(B222="","",IF(RewardAt&lt;=0,"",MAX(0,RewardAt*(Q222+1)-P222)))</f>
        <v>0</v>
      </c>
      <c r="T222" s="25">
        <f>IF(B222="","",COUNTIFS(Clients!$H$5:$H$504,B222))</f>
        <v>0</v>
      </c>
      <c r="U222" s="26">
        <f>IF(B222="","",ROUND(T222*ReferralReward-IF(J222="",0,J222),2))</f>
        <v>0</v>
      </c>
      <c r="V222" s="15">
        <f>IF(B222="","",IFERROR(INDEX(Clients!$AM$5:$AM$504,MATCH(B222,Clients!$A$5:$A$504,0))&amp;"",""))</f>
        <v>0</v>
      </c>
      <c r="W222" s="25">
        <f>IF(B222="","",COUNTIFS($P$5:$P$504,"&gt;"&amp;P222)+COUNTIFS($P$5:P222,P222))</f>
        <v>0</v>
      </c>
      <c r="X222" s="39">
        <f>IF(B222="","",IF(K222="No","",IF(COUNTIF($B$5:$B$504,B222)&gt;1,"Duplicate - this client is on twice",IF(Q222&gt;0,"Action - reward ready to give",IF(U222&gt;0.004,"Action - referral credit owed",IF(V222="Lapsing","Chase - points are a reason to call",IF(S222&lt;=RewardAt*0.2,"Rebook - nearly at a reward","OK")))))))</f>
        <v>0</v>
      </c>
    </row>
    <row r="223" spans="1:24">
      <c r="A223" s="28">
        <f>IF(B223="","",LoyaltyPrefix&amp;TEXT(ROW()-4,"0000"))</f>
        <v>0</v>
      </c>
      <c r="C223" s="15">
        <f>IF(B223="","",IFERROR(INDEX(Clients!$B$5:$B$504,MATCH(B223,Clients!$A$5:$A$504,0)),"Not in Clients"))</f>
        <v>0</v>
      </c>
      <c r="M223" s="26">
        <f>IF(B223="","",ROUND(SUMIFS(Sales!$Y$5:$Y$1204,Sales!$D$5:$D$1204,B223,Sales!$B$5:$B$1204,"&gt;="&amp;IF(D223="",0,D223)),2))</f>
        <v>0</v>
      </c>
      <c r="N223" s="25">
        <f>IF(B223="","",IFERROR(INDEX(Clients!$T$5:$T$504,MATCH(B223,Clients!$A$5:$A$504,0))*1,0))</f>
        <v>0</v>
      </c>
      <c r="O223" s="25">
        <f>IF(B223="","",ROUND(M223*PointsPerUnit+IF(F223="",0,F223),0))</f>
        <v>0</v>
      </c>
      <c r="P223" s="25">
        <f>IF(B223="","",O223-IF(G223="",0,G223))</f>
        <v>0</v>
      </c>
      <c r="Q223" s="25">
        <f>IF(B223="","",IF(RewardAt&lt;=0,0,ROUNDDOWN(P223/RewardAt,0)))</f>
        <v>0</v>
      </c>
      <c r="R223" s="26">
        <f>IF(B223="","",ROUND(Q223*RewardValue,2))</f>
        <v>0</v>
      </c>
      <c r="S223" s="25">
        <f>IF(B223="","",IF(RewardAt&lt;=0,"",MAX(0,RewardAt*(Q223+1)-P223)))</f>
        <v>0</v>
      </c>
      <c r="T223" s="25">
        <f>IF(B223="","",COUNTIFS(Clients!$H$5:$H$504,B223))</f>
        <v>0</v>
      </c>
      <c r="U223" s="26">
        <f>IF(B223="","",ROUND(T223*ReferralReward-IF(J223="",0,J223),2))</f>
        <v>0</v>
      </c>
      <c r="V223" s="15">
        <f>IF(B223="","",IFERROR(INDEX(Clients!$AM$5:$AM$504,MATCH(B223,Clients!$A$5:$A$504,0))&amp;"",""))</f>
        <v>0</v>
      </c>
      <c r="W223" s="25">
        <f>IF(B223="","",COUNTIFS($P$5:$P$504,"&gt;"&amp;P223)+COUNTIFS($P$5:P223,P223))</f>
        <v>0</v>
      </c>
      <c r="X223" s="39">
        <f>IF(B223="","",IF(K223="No","",IF(COUNTIF($B$5:$B$504,B223)&gt;1,"Duplicate - this client is on twice",IF(Q223&gt;0,"Action - reward ready to give",IF(U223&gt;0.004,"Action - referral credit owed",IF(V223="Lapsing","Chase - points are a reason to call",IF(S223&lt;=RewardAt*0.2,"Rebook - nearly at a reward","OK")))))))</f>
        <v>0</v>
      </c>
    </row>
    <row r="224" spans="1:24">
      <c r="A224" s="28">
        <f>IF(B224="","",LoyaltyPrefix&amp;TEXT(ROW()-4,"0000"))</f>
        <v>0</v>
      </c>
      <c r="C224" s="15">
        <f>IF(B224="","",IFERROR(INDEX(Clients!$B$5:$B$504,MATCH(B224,Clients!$A$5:$A$504,0)),"Not in Clients"))</f>
        <v>0</v>
      </c>
      <c r="M224" s="26">
        <f>IF(B224="","",ROUND(SUMIFS(Sales!$Y$5:$Y$1204,Sales!$D$5:$D$1204,B224,Sales!$B$5:$B$1204,"&gt;="&amp;IF(D224="",0,D224)),2))</f>
        <v>0</v>
      </c>
      <c r="N224" s="25">
        <f>IF(B224="","",IFERROR(INDEX(Clients!$T$5:$T$504,MATCH(B224,Clients!$A$5:$A$504,0))*1,0))</f>
        <v>0</v>
      </c>
      <c r="O224" s="25">
        <f>IF(B224="","",ROUND(M224*PointsPerUnit+IF(F224="",0,F224),0))</f>
        <v>0</v>
      </c>
      <c r="P224" s="25">
        <f>IF(B224="","",O224-IF(G224="",0,G224))</f>
        <v>0</v>
      </c>
      <c r="Q224" s="25">
        <f>IF(B224="","",IF(RewardAt&lt;=0,0,ROUNDDOWN(P224/RewardAt,0)))</f>
        <v>0</v>
      </c>
      <c r="R224" s="26">
        <f>IF(B224="","",ROUND(Q224*RewardValue,2))</f>
        <v>0</v>
      </c>
      <c r="S224" s="25">
        <f>IF(B224="","",IF(RewardAt&lt;=0,"",MAX(0,RewardAt*(Q224+1)-P224)))</f>
        <v>0</v>
      </c>
      <c r="T224" s="25">
        <f>IF(B224="","",COUNTIFS(Clients!$H$5:$H$504,B224))</f>
        <v>0</v>
      </c>
      <c r="U224" s="26">
        <f>IF(B224="","",ROUND(T224*ReferralReward-IF(J224="",0,J224),2))</f>
        <v>0</v>
      </c>
      <c r="V224" s="15">
        <f>IF(B224="","",IFERROR(INDEX(Clients!$AM$5:$AM$504,MATCH(B224,Clients!$A$5:$A$504,0))&amp;"",""))</f>
        <v>0</v>
      </c>
      <c r="W224" s="25">
        <f>IF(B224="","",COUNTIFS($P$5:$P$504,"&gt;"&amp;P224)+COUNTIFS($P$5:P224,P224))</f>
        <v>0</v>
      </c>
      <c r="X224" s="39">
        <f>IF(B224="","",IF(K224="No","",IF(COUNTIF($B$5:$B$504,B224)&gt;1,"Duplicate - this client is on twice",IF(Q224&gt;0,"Action - reward ready to give",IF(U224&gt;0.004,"Action - referral credit owed",IF(V224="Lapsing","Chase - points are a reason to call",IF(S224&lt;=RewardAt*0.2,"Rebook - nearly at a reward","OK")))))))</f>
        <v>0</v>
      </c>
    </row>
    <row r="225" spans="1:24">
      <c r="A225" s="28">
        <f>IF(B225="","",LoyaltyPrefix&amp;TEXT(ROW()-4,"0000"))</f>
        <v>0</v>
      </c>
      <c r="C225" s="15">
        <f>IF(B225="","",IFERROR(INDEX(Clients!$B$5:$B$504,MATCH(B225,Clients!$A$5:$A$504,0)),"Not in Clients"))</f>
        <v>0</v>
      </c>
      <c r="M225" s="26">
        <f>IF(B225="","",ROUND(SUMIFS(Sales!$Y$5:$Y$1204,Sales!$D$5:$D$1204,B225,Sales!$B$5:$B$1204,"&gt;="&amp;IF(D225="",0,D225)),2))</f>
        <v>0</v>
      </c>
      <c r="N225" s="25">
        <f>IF(B225="","",IFERROR(INDEX(Clients!$T$5:$T$504,MATCH(B225,Clients!$A$5:$A$504,0))*1,0))</f>
        <v>0</v>
      </c>
      <c r="O225" s="25">
        <f>IF(B225="","",ROUND(M225*PointsPerUnit+IF(F225="",0,F225),0))</f>
        <v>0</v>
      </c>
      <c r="P225" s="25">
        <f>IF(B225="","",O225-IF(G225="",0,G225))</f>
        <v>0</v>
      </c>
      <c r="Q225" s="25">
        <f>IF(B225="","",IF(RewardAt&lt;=0,0,ROUNDDOWN(P225/RewardAt,0)))</f>
        <v>0</v>
      </c>
      <c r="R225" s="26">
        <f>IF(B225="","",ROUND(Q225*RewardValue,2))</f>
        <v>0</v>
      </c>
      <c r="S225" s="25">
        <f>IF(B225="","",IF(RewardAt&lt;=0,"",MAX(0,RewardAt*(Q225+1)-P225)))</f>
        <v>0</v>
      </c>
      <c r="T225" s="25">
        <f>IF(B225="","",COUNTIFS(Clients!$H$5:$H$504,B225))</f>
        <v>0</v>
      </c>
      <c r="U225" s="26">
        <f>IF(B225="","",ROUND(T225*ReferralReward-IF(J225="",0,J225),2))</f>
        <v>0</v>
      </c>
      <c r="V225" s="15">
        <f>IF(B225="","",IFERROR(INDEX(Clients!$AM$5:$AM$504,MATCH(B225,Clients!$A$5:$A$504,0))&amp;"",""))</f>
        <v>0</v>
      </c>
      <c r="W225" s="25">
        <f>IF(B225="","",COUNTIFS($P$5:$P$504,"&gt;"&amp;P225)+COUNTIFS($P$5:P225,P225))</f>
        <v>0</v>
      </c>
      <c r="X225" s="39">
        <f>IF(B225="","",IF(K225="No","",IF(COUNTIF($B$5:$B$504,B225)&gt;1,"Duplicate - this client is on twice",IF(Q225&gt;0,"Action - reward ready to give",IF(U225&gt;0.004,"Action - referral credit owed",IF(V225="Lapsing","Chase - points are a reason to call",IF(S225&lt;=RewardAt*0.2,"Rebook - nearly at a reward","OK")))))))</f>
        <v>0</v>
      </c>
    </row>
    <row r="226" spans="1:24">
      <c r="A226" s="28">
        <f>IF(B226="","",LoyaltyPrefix&amp;TEXT(ROW()-4,"0000"))</f>
        <v>0</v>
      </c>
      <c r="C226" s="15">
        <f>IF(B226="","",IFERROR(INDEX(Clients!$B$5:$B$504,MATCH(B226,Clients!$A$5:$A$504,0)),"Not in Clients"))</f>
        <v>0</v>
      </c>
      <c r="M226" s="26">
        <f>IF(B226="","",ROUND(SUMIFS(Sales!$Y$5:$Y$1204,Sales!$D$5:$D$1204,B226,Sales!$B$5:$B$1204,"&gt;="&amp;IF(D226="",0,D226)),2))</f>
        <v>0</v>
      </c>
      <c r="N226" s="25">
        <f>IF(B226="","",IFERROR(INDEX(Clients!$T$5:$T$504,MATCH(B226,Clients!$A$5:$A$504,0))*1,0))</f>
        <v>0</v>
      </c>
      <c r="O226" s="25">
        <f>IF(B226="","",ROUND(M226*PointsPerUnit+IF(F226="",0,F226),0))</f>
        <v>0</v>
      </c>
      <c r="P226" s="25">
        <f>IF(B226="","",O226-IF(G226="",0,G226))</f>
        <v>0</v>
      </c>
      <c r="Q226" s="25">
        <f>IF(B226="","",IF(RewardAt&lt;=0,0,ROUNDDOWN(P226/RewardAt,0)))</f>
        <v>0</v>
      </c>
      <c r="R226" s="26">
        <f>IF(B226="","",ROUND(Q226*RewardValue,2))</f>
        <v>0</v>
      </c>
      <c r="S226" s="25">
        <f>IF(B226="","",IF(RewardAt&lt;=0,"",MAX(0,RewardAt*(Q226+1)-P226)))</f>
        <v>0</v>
      </c>
      <c r="T226" s="25">
        <f>IF(B226="","",COUNTIFS(Clients!$H$5:$H$504,B226))</f>
        <v>0</v>
      </c>
      <c r="U226" s="26">
        <f>IF(B226="","",ROUND(T226*ReferralReward-IF(J226="",0,J226),2))</f>
        <v>0</v>
      </c>
      <c r="V226" s="15">
        <f>IF(B226="","",IFERROR(INDEX(Clients!$AM$5:$AM$504,MATCH(B226,Clients!$A$5:$A$504,0))&amp;"",""))</f>
        <v>0</v>
      </c>
      <c r="W226" s="25">
        <f>IF(B226="","",COUNTIFS($P$5:$P$504,"&gt;"&amp;P226)+COUNTIFS($P$5:P226,P226))</f>
        <v>0</v>
      </c>
      <c r="X226" s="39">
        <f>IF(B226="","",IF(K226="No","",IF(COUNTIF($B$5:$B$504,B226)&gt;1,"Duplicate - this client is on twice",IF(Q226&gt;0,"Action - reward ready to give",IF(U226&gt;0.004,"Action - referral credit owed",IF(V226="Lapsing","Chase - points are a reason to call",IF(S226&lt;=RewardAt*0.2,"Rebook - nearly at a reward","OK")))))))</f>
        <v>0</v>
      </c>
    </row>
    <row r="227" spans="1:24">
      <c r="A227" s="28">
        <f>IF(B227="","",LoyaltyPrefix&amp;TEXT(ROW()-4,"0000"))</f>
        <v>0</v>
      </c>
      <c r="C227" s="15">
        <f>IF(B227="","",IFERROR(INDEX(Clients!$B$5:$B$504,MATCH(B227,Clients!$A$5:$A$504,0)),"Not in Clients"))</f>
        <v>0</v>
      </c>
      <c r="M227" s="26">
        <f>IF(B227="","",ROUND(SUMIFS(Sales!$Y$5:$Y$1204,Sales!$D$5:$D$1204,B227,Sales!$B$5:$B$1204,"&gt;="&amp;IF(D227="",0,D227)),2))</f>
        <v>0</v>
      </c>
      <c r="N227" s="25">
        <f>IF(B227="","",IFERROR(INDEX(Clients!$T$5:$T$504,MATCH(B227,Clients!$A$5:$A$504,0))*1,0))</f>
        <v>0</v>
      </c>
      <c r="O227" s="25">
        <f>IF(B227="","",ROUND(M227*PointsPerUnit+IF(F227="",0,F227),0))</f>
        <v>0</v>
      </c>
      <c r="P227" s="25">
        <f>IF(B227="","",O227-IF(G227="",0,G227))</f>
        <v>0</v>
      </c>
      <c r="Q227" s="25">
        <f>IF(B227="","",IF(RewardAt&lt;=0,0,ROUNDDOWN(P227/RewardAt,0)))</f>
        <v>0</v>
      </c>
      <c r="R227" s="26">
        <f>IF(B227="","",ROUND(Q227*RewardValue,2))</f>
        <v>0</v>
      </c>
      <c r="S227" s="25">
        <f>IF(B227="","",IF(RewardAt&lt;=0,"",MAX(0,RewardAt*(Q227+1)-P227)))</f>
        <v>0</v>
      </c>
      <c r="T227" s="25">
        <f>IF(B227="","",COUNTIFS(Clients!$H$5:$H$504,B227))</f>
        <v>0</v>
      </c>
      <c r="U227" s="26">
        <f>IF(B227="","",ROUND(T227*ReferralReward-IF(J227="",0,J227),2))</f>
        <v>0</v>
      </c>
      <c r="V227" s="15">
        <f>IF(B227="","",IFERROR(INDEX(Clients!$AM$5:$AM$504,MATCH(B227,Clients!$A$5:$A$504,0))&amp;"",""))</f>
        <v>0</v>
      </c>
      <c r="W227" s="25">
        <f>IF(B227="","",COUNTIFS($P$5:$P$504,"&gt;"&amp;P227)+COUNTIFS($P$5:P227,P227))</f>
        <v>0</v>
      </c>
      <c r="X227" s="39">
        <f>IF(B227="","",IF(K227="No","",IF(COUNTIF($B$5:$B$504,B227)&gt;1,"Duplicate - this client is on twice",IF(Q227&gt;0,"Action - reward ready to give",IF(U227&gt;0.004,"Action - referral credit owed",IF(V227="Lapsing","Chase - points are a reason to call",IF(S227&lt;=RewardAt*0.2,"Rebook - nearly at a reward","OK")))))))</f>
        <v>0</v>
      </c>
    </row>
    <row r="228" spans="1:24">
      <c r="A228" s="28">
        <f>IF(B228="","",LoyaltyPrefix&amp;TEXT(ROW()-4,"0000"))</f>
        <v>0</v>
      </c>
      <c r="C228" s="15">
        <f>IF(B228="","",IFERROR(INDEX(Clients!$B$5:$B$504,MATCH(B228,Clients!$A$5:$A$504,0)),"Not in Clients"))</f>
        <v>0</v>
      </c>
      <c r="M228" s="26">
        <f>IF(B228="","",ROUND(SUMIFS(Sales!$Y$5:$Y$1204,Sales!$D$5:$D$1204,B228,Sales!$B$5:$B$1204,"&gt;="&amp;IF(D228="",0,D228)),2))</f>
        <v>0</v>
      </c>
      <c r="N228" s="25">
        <f>IF(B228="","",IFERROR(INDEX(Clients!$T$5:$T$504,MATCH(B228,Clients!$A$5:$A$504,0))*1,0))</f>
        <v>0</v>
      </c>
      <c r="O228" s="25">
        <f>IF(B228="","",ROUND(M228*PointsPerUnit+IF(F228="",0,F228),0))</f>
        <v>0</v>
      </c>
      <c r="P228" s="25">
        <f>IF(B228="","",O228-IF(G228="",0,G228))</f>
        <v>0</v>
      </c>
      <c r="Q228" s="25">
        <f>IF(B228="","",IF(RewardAt&lt;=0,0,ROUNDDOWN(P228/RewardAt,0)))</f>
        <v>0</v>
      </c>
      <c r="R228" s="26">
        <f>IF(B228="","",ROUND(Q228*RewardValue,2))</f>
        <v>0</v>
      </c>
      <c r="S228" s="25">
        <f>IF(B228="","",IF(RewardAt&lt;=0,"",MAX(0,RewardAt*(Q228+1)-P228)))</f>
        <v>0</v>
      </c>
      <c r="T228" s="25">
        <f>IF(B228="","",COUNTIFS(Clients!$H$5:$H$504,B228))</f>
        <v>0</v>
      </c>
      <c r="U228" s="26">
        <f>IF(B228="","",ROUND(T228*ReferralReward-IF(J228="",0,J228),2))</f>
        <v>0</v>
      </c>
      <c r="V228" s="15">
        <f>IF(B228="","",IFERROR(INDEX(Clients!$AM$5:$AM$504,MATCH(B228,Clients!$A$5:$A$504,0))&amp;"",""))</f>
        <v>0</v>
      </c>
      <c r="W228" s="25">
        <f>IF(B228="","",COUNTIFS($P$5:$P$504,"&gt;"&amp;P228)+COUNTIFS($P$5:P228,P228))</f>
        <v>0</v>
      </c>
      <c r="X228" s="39">
        <f>IF(B228="","",IF(K228="No","",IF(COUNTIF($B$5:$B$504,B228)&gt;1,"Duplicate - this client is on twice",IF(Q228&gt;0,"Action - reward ready to give",IF(U228&gt;0.004,"Action - referral credit owed",IF(V228="Lapsing","Chase - points are a reason to call",IF(S228&lt;=RewardAt*0.2,"Rebook - nearly at a reward","OK")))))))</f>
        <v>0</v>
      </c>
    </row>
    <row r="229" spans="1:24">
      <c r="A229" s="28">
        <f>IF(B229="","",LoyaltyPrefix&amp;TEXT(ROW()-4,"0000"))</f>
        <v>0</v>
      </c>
      <c r="C229" s="15">
        <f>IF(B229="","",IFERROR(INDEX(Clients!$B$5:$B$504,MATCH(B229,Clients!$A$5:$A$504,0)),"Not in Clients"))</f>
        <v>0</v>
      </c>
      <c r="M229" s="26">
        <f>IF(B229="","",ROUND(SUMIFS(Sales!$Y$5:$Y$1204,Sales!$D$5:$D$1204,B229,Sales!$B$5:$B$1204,"&gt;="&amp;IF(D229="",0,D229)),2))</f>
        <v>0</v>
      </c>
      <c r="N229" s="25">
        <f>IF(B229="","",IFERROR(INDEX(Clients!$T$5:$T$504,MATCH(B229,Clients!$A$5:$A$504,0))*1,0))</f>
        <v>0</v>
      </c>
      <c r="O229" s="25">
        <f>IF(B229="","",ROUND(M229*PointsPerUnit+IF(F229="",0,F229),0))</f>
        <v>0</v>
      </c>
      <c r="P229" s="25">
        <f>IF(B229="","",O229-IF(G229="",0,G229))</f>
        <v>0</v>
      </c>
      <c r="Q229" s="25">
        <f>IF(B229="","",IF(RewardAt&lt;=0,0,ROUNDDOWN(P229/RewardAt,0)))</f>
        <v>0</v>
      </c>
      <c r="R229" s="26">
        <f>IF(B229="","",ROUND(Q229*RewardValue,2))</f>
        <v>0</v>
      </c>
      <c r="S229" s="25">
        <f>IF(B229="","",IF(RewardAt&lt;=0,"",MAX(0,RewardAt*(Q229+1)-P229)))</f>
        <v>0</v>
      </c>
      <c r="T229" s="25">
        <f>IF(B229="","",COUNTIFS(Clients!$H$5:$H$504,B229))</f>
        <v>0</v>
      </c>
      <c r="U229" s="26">
        <f>IF(B229="","",ROUND(T229*ReferralReward-IF(J229="",0,J229),2))</f>
        <v>0</v>
      </c>
      <c r="V229" s="15">
        <f>IF(B229="","",IFERROR(INDEX(Clients!$AM$5:$AM$504,MATCH(B229,Clients!$A$5:$A$504,0))&amp;"",""))</f>
        <v>0</v>
      </c>
      <c r="W229" s="25">
        <f>IF(B229="","",COUNTIFS($P$5:$P$504,"&gt;"&amp;P229)+COUNTIFS($P$5:P229,P229))</f>
        <v>0</v>
      </c>
      <c r="X229" s="39">
        <f>IF(B229="","",IF(K229="No","",IF(COUNTIF($B$5:$B$504,B229)&gt;1,"Duplicate - this client is on twice",IF(Q229&gt;0,"Action - reward ready to give",IF(U229&gt;0.004,"Action - referral credit owed",IF(V229="Lapsing","Chase - points are a reason to call",IF(S229&lt;=RewardAt*0.2,"Rebook - nearly at a reward","OK")))))))</f>
        <v>0</v>
      </c>
    </row>
    <row r="230" spans="1:24">
      <c r="A230" s="28">
        <f>IF(B230="","",LoyaltyPrefix&amp;TEXT(ROW()-4,"0000"))</f>
        <v>0</v>
      </c>
      <c r="C230" s="15">
        <f>IF(B230="","",IFERROR(INDEX(Clients!$B$5:$B$504,MATCH(B230,Clients!$A$5:$A$504,0)),"Not in Clients"))</f>
        <v>0</v>
      </c>
      <c r="M230" s="26">
        <f>IF(B230="","",ROUND(SUMIFS(Sales!$Y$5:$Y$1204,Sales!$D$5:$D$1204,B230,Sales!$B$5:$B$1204,"&gt;="&amp;IF(D230="",0,D230)),2))</f>
        <v>0</v>
      </c>
      <c r="N230" s="25">
        <f>IF(B230="","",IFERROR(INDEX(Clients!$T$5:$T$504,MATCH(B230,Clients!$A$5:$A$504,0))*1,0))</f>
        <v>0</v>
      </c>
      <c r="O230" s="25">
        <f>IF(B230="","",ROUND(M230*PointsPerUnit+IF(F230="",0,F230),0))</f>
        <v>0</v>
      </c>
      <c r="P230" s="25">
        <f>IF(B230="","",O230-IF(G230="",0,G230))</f>
        <v>0</v>
      </c>
      <c r="Q230" s="25">
        <f>IF(B230="","",IF(RewardAt&lt;=0,0,ROUNDDOWN(P230/RewardAt,0)))</f>
        <v>0</v>
      </c>
      <c r="R230" s="26">
        <f>IF(B230="","",ROUND(Q230*RewardValue,2))</f>
        <v>0</v>
      </c>
      <c r="S230" s="25">
        <f>IF(B230="","",IF(RewardAt&lt;=0,"",MAX(0,RewardAt*(Q230+1)-P230)))</f>
        <v>0</v>
      </c>
      <c r="T230" s="25">
        <f>IF(B230="","",COUNTIFS(Clients!$H$5:$H$504,B230))</f>
        <v>0</v>
      </c>
      <c r="U230" s="26">
        <f>IF(B230="","",ROUND(T230*ReferralReward-IF(J230="",0,J230),2))</f>
        <v>0</v>
      </c>
      <c r="V230" s="15">
        <f>IF(B230="","",IFERROR(INDEX(Clients!$AM$5:$AM$504,MATCH(B230,Clients!$A$5:$A$504,0))&amp;"",""))</f>
        <v>0</v>
      </c>
      <c r="W230" s="25">
        <f>IF(B230="","",COUNTIFS($P$5:$P$504,"&gt;"&amp;P230)+COUNTIFS($P$5:P230,P230))</f>
        <v>0</v>
      </c>
      <c r="X230" s="39">
        <f>IF(B230="","",IF(K230="No","",IF(COUNTIF($B$5:$B$504,B230)&gt;1,"Duplicate - this client is on twice",IF(Q230&gt;0,"Action - reward ready to give",IF(U230&gt;0.004,"Action - referral credit owed",IF(V230="Lapsing","Chase - points are a reason to call",IF(S230&lt;=RewardAt*0.2,"Rebook - nearly at a reward","OK")))))))</f>
        <v>0</v>
      </c>
    </row>
    <row r="231" spans="1:24">
      <c r="A231" s="28">
        <f>IF(B231="","",LoyaltyPrefix&amp;TEXT(ROW()-4,"0000"))</f>
        <v>0</v>
      </c>
      <c r="C231" s="15">
        <f>IF(B231="","",IFERROR(INDEX(Clients!$B$5:$B$504,MATCH(B231,Clients!$A$5:$A$504,0)),"Not in Clients"))</f>
        <v>0</v>
      </c>
      <c r="M231" s="26">
        <f>IF(B231="","",ROUND(SUMIFS(Sales!$Y$5:$Y$1204,Sales!$D$5:$D$1204,B231,Sales!$B$5:$B$1204,"&gt;="&amp;IF(D231="",0,D231)),2))</f>
        <v>0</v>
      </c>
      <c r="N231" s="25">
        <f>IF(B231="","",IFERROR(INDEX(Clients!$T$5:$T$504,MATCH(B231,Clients!$A$5:$A$504,0))*1,0))</f>
        <v>0</v>
      </c>
      <c r="O231" s="25">
        <f>IF(B231="","",ROUND(M231*PointsPerUnit+IF(F231="",0,F231),0))</f>
        <v>0</v>
      </c>
      <c r="P231" s="25">
        <f>IF(B231="","",O231-IF(G231="",0,G231))</f>
        <v>0</v>
      </c>
      <c r="Q231" s="25">
        <f>IF(B231="","",IF(RewardAt&lt;=0,0,ROUNDDOWN(P231/RewardAt,0)))</f>
        <v>0</v>
      </c>
      <c r="R231" s="26">
        <f>IF(B231="","",ROUND(Q231*RewardValue,2))</f>
        <v>0</v>
      </c>
      <c r="S231" s="25">
        <f>IF(B231="","",IF(RewardAt&lt;=0,"",MAX(0,RewardAt*(Q231+1)-P231)))</f>
        <v>0</v>
      </c>
      <c r="T231" s="25">
        <f>IF(B231="","",COUNTIFS(Clients!$H$5:$H$504,B231))</f>
        <v>0</v>
      </c>
      <c r="U231" s="26">
        <f>IF(B231="","",ROUND(T231*ReferralReward-IF(J231="",0,J231),2))</f>
        <v>0</v>
      </c>
      <c r="V231" s="15">
        <f>IF(B231="","",IFERROR(INDEX(Clients!$AM$5:$AM$504,MATCH(B231,Clients!$A$5:$A$504,0))&amp;"",""))</f>
        <v>0</v>
      </c>
      <c r="W231" s="25">
        <f>IF(B231="","",COUNTIFS($P$5:$P$504,"&gt;"&amp;P231)+COUNTIFS($P$5:P231,P231))</f>
        <v>0</v>
      </c>
      <c r="X231" s="39">
        <f>IF(B231="","",IF(K231="No","",IF(COUNTIF($B$5:$B$504,B231)&gt;1,"Duplicate - this client is on twice",IF(Q231&gt;0,"Action - reward ready to give",IF(U231&gt;0.004,"Action - referral credit owed",IF(V231="Lapsing","Chase - points are a reason to call",IF(S231&lt;=RewardAt*0.2,"Rebook - nearly at a reward","OK")))))))</f>
        <v>0</v>
      </c>
    </row>
    <row r="232" spans="1:24">
      <c r="A232" s="28">
        <f>IF(B232="","",LoyaltyPrefix&amp;TEXT(ROW()-4,"0000"))</f>
        <v>0</v>
      </c>
      <c r="C232" s="15">
        <f>IF(B232="","",IFERROR(INDEX(Clients!$B$5:$B$504,MATCH(B232,Clients!$A$5:$A$504,0)),"Not in Clients"))</f>
        <v>0</v>
      </c>
      <c r="M232" s="26">
        <f>IF(B232="","",ROUND(SUMIFS(Sales!$Y$5:$Y$1204,Sales!$D$5:$D$1204,B232,Sales!$B$5:$B$1204,"&gt;="&amp;IF(D232="",0,D232)),2))</f>
        <v>0</v>
      </c>
      <c r="N232" s="25">
        <f>IF(B232="","",IFERROR(INDEX(Clients!$T$5:$T$504,MATCH(B232,Clients!$A$5:$A$504,0))*1,0))</f>
        <v>0</v>
      </c>
      <c r="O232" s="25">
        <f>IF(B232="","",ROUND(M232*PointsPerUnit+IF(F232="",0,F232),0))</f>
        <v>0</v>
      </c>
      <c r="P232" s="25">
        <f>IF(B232="","",O232-IF(G232="",0,G232))</f>
        <v>0</v>
      </c>
      <c r="Q232" s="25">
        <f>IF(B232="","",IF(RewardAt&lt;=0,0,ROUNDDOWN(P232/RewardAt,0)))</f>
        <v>0</v>
      </c>
      <c r="R232" s="26">
        <f>IF(B232="","",ROUND(Q232*RewardValue,2))</f>
        <v>0</v>
      </c>
      <c r="S232" s="25">
        <f>IF(B232="","",IF(RewardAt&lt;=0,"",MAX(0,RewardAt*(Q232+1)-P232)))</f>
        <v>0</v>
      </c>
      <c r="T232" s="25">
        <f>IF(B232="","",COUNTIFS(Clients!$H$5:$H$504,B232))</f>
        <v>0</v>
      </c>
      <c r="U232" s="26">
        <f>IF(B232="","",ROUND(T232*ReferralReward-IF(J232="",0,J232),2))</f>
        <v>0</v>
      </c>
      <c r="V232" s="15">
        <f>IF(B232="","",IFERROR(INDEX(Clients!$AM$5:$AM$504,MATCH(B232,Clients!$A$5:$A$504,0))&amp;"",""))</f>
        <v>0</v>
      </c>
      <c r="W232" s="25">
        <f>IF(B232="","",COUNTIFS($P$5:$P$504,"&gt;"&amp;P232)+COUNTIFS($P$5:P232,P232))</f>
        <v>0</v>
      </c>
      <c r="X232" s="39">
        <f>IF(B232="","",IF(K232="No","",IF(COUNTIF($B$5:$B$504,B232)&gt;1,"Duplicate - this client is on twice",IF(Q232&gt;0,"Action - reward ready to give",IF(U232&gt;0.004,"Action - referral credit owed",IF(V232="Lapsing","Chase - points are a reason to call",IF(S232&lt;=RewardAt*0.2,"Rebook - nearly at a reward","OK")))))))</f>
        <v>0</v>
      </c>
    </row>
    <row r="233" spans="1:24">
      <c r="A233" s="28">
        <f>IF(B233="","",LoyaltyPrefix&amp;TEXT(ROW()-4,"0000"))</f>
        <v>0</v>
      </c>
      <c r="C233" s="15">
        <f>IF(B233="","",IFERROR(INDEX(Clients!$B$5:$B$504,MATCH(B233,Clients!$A$5:$A$504,0)),"Not in Clients"))</f>
        <v>0</v>
      </c>
      <c r="M233" s="26">
        <f>IF(B233="","",ROUND(SUMIFS(Sales!$Y$5:$Y$1204,Sales!$D$5:$D$1204,B233,Sales!$B$5:$B$1204,"&gt;="&amp;IF(D233="",0,D233)),2))</f>
        <v>0</v>
      </c>
      <c r="N233" s="25">
        <f>IF(B233="","",IFERROR(INDEX(Clients!$T$5:$T$504,MATCH(B233,Clients!$A$5:$A$504,0))*1,0))</f>
        <v>0</v>
      </c>
      <c r="O233" s="25">
        <f>IF(B233="","",ROUND(M233*PointsPerUnit+IF(F233="",0,F233),0))</f>
        <v>0</v>
      </c>
      <c r="P233" s="25">
        <f>IF(B233="","",O233-IF(G233="",0,G233))</f>
        <v>0</v>
      </c>
      <c r="Q233" s="25">
        <f>IF(B233="","",IF(RewardAt&lt;=0,0,ROUNDDOWN(P233/RewardAt,0)))</f>
        <v>0</v>
      </c>
      <c r="R233" s="26">
        <f>IF(B233="","",ROUND(Q233*RewardValue,2))</f>
        <v>0</v>
      </c>
      <c r="S233" s="25">
        <f>IF(B233="","",IF(RewardAt&lt;=0,"",MAX(0,RewardAt*(Q233+1)-P233)))</f>
        <v>0</v>
      </c>
      <c r="T233" s="25">
        <f>IF(B233="","",COUNTIFS(Clients!$H$5:$H$504,B233))</f>
        <v>0</v>
      </c>
      <c r="U233" s="26">
        <f>IF(B233="","",ROUND(T233*ReferralReward-IF(J233="",0,J233),2))</f>
        <v>0</v>
      </c>
      <c r="V233" s="15">
        <f>IF(B233="","",IFERROR(INDEX(Clients!$AM$5:$AM$504,MATCH(B233,Clients!$A$5:$A$504,0))&amp;"",""))</f>
        <v>0</v>
      </c>
      <c r="W233" s="25">
        <f>IF(B233="","",COUNTIFS($P$5:$P$504,"&gt;"&amp;P233)+COUNTIFS($P$5:P233,P233))</f>
        <v>0</v>
      </c>
      <c r="X233" s="39">
        <f>IF(B233="","",IF(K233="No","",IF(COUNTIF($B$5:$B$504,B233)&gt;1,"Duplicate - this client is on twice",IF(Q233&gt;0,"Action - reward ready to give",IF(U233&gt;0.004,"Action - referral credit owed",IF(V233="Lapsing","Chase - points are a reason to call",IF(S233&lt;=RewardAt*0.2,"Rebook - nearly at a reward","OK")))))))</f>
        <v>0</v>
      </c>
    </row>
    <row r="234" spans="1:24">
      <c r="A234" s="28">
        <f>IF(B234="","",LoyaltyPrefix&amp;TEXT(ROW()-4,"0000"))</f>
        <v>0</v>
      </c>
      <c r="C234" s="15">
        <f>IF(B234="","",IFERROR(INDEX(Clients!$B$5:$B$504,MATCH(B234,Clients!$A$5:$A$504,0)),"Not in Clients"))</f>
        <v>0</v>
      </c>
      <c r="M234" s="26">
        <f>IF(B234="","",ROUND(SUMIFS(Sales!$Y$5:$Y$1204,Sales!$D$5:$D$1204,B234,Sales!$B$5:$B$1204,"&gt;="&amp;IF(D234="",0,D234)),2))</f>
        <v>0</v>
      </c>
      <c r="N234" s="25">
        <f>IF(B234="","",IFERROR(INDEX(Clients!$T$5:$T$504,MATCH(B234,Clients!$A$5:$A$504,0))*1,0))</f>
        <v>0</v>
      </c>
      <c r="O234" s="25">
        <f>IF(B234="","",ROUND(M234*PointsPerUnit+IF(F234="",0,F234),0))</f>
        <v>0</v>
      </c>
      <c r="P234" s="25">
        <f>IF(B234="","",O234-IF(G234="",0,G234))</f>
        <v>0</v>
      </c>
      <c r="Q234" s="25">
        <f>IF(B234="","",IF(RewardAt&lt;=0,0,ROUNDDOWN(P234/RewardAt,0)))</f>
        <v>0</v>
      </c>
      <c r="R234" s="26">
        <f>IF(B234="","",ROUND(Q234*RewardValue,2))</f>
        <v>0</v>
      </c>
      <c r="S234" s="25">
        <f>IF(B234="","",IF(RewardAt&lt;=0,"",MAX(0,RewardAt*(Q234+1)-P234)))</f>
        <v>0</v>
      </c>
      <c r="T234" s="25">
        <f>IF(B234="","",COUNTIFS(Clients!$H$5:$H$504,B234))</f>
        <v>0</v>
      </c>
      <c r="U234" s="26">
        <f>IF(B234="","",ROUND(T234*ReferralReward-IF(J234="",0,J234),2))</f>
        <v>0</v>
      </c>
      <c r="V234" s="15">
        <f>IF(B234="","",IFERROR(INDEX(Clients!$AM$5:$AM$504,MATCH(B234,Clients!$A$5:$A$504,0))&amp;"",""))</f>
        <v>0</v>
      </c>
      <c r="W234" s="25">
        <f>IF(B234="","",COUNTIFS($P$5:$P$504,"&gt;"&amp;P234)+COUNTIFS($P$5:P234,P234))</f>
        <v>0</v>
      </c>
      <c r="X234" s="39">
        <f>IF(B234="","",IF(K234="No","",IF(COUNTIF($B$5:$B$504,B234)&gt;1,"Duplicate - this client is on twice",IF(Q234&gt;0,"Action - reward ready to give",IF(U234&gt;0.004,"Action - referral credit owed",IF(V234="Lapsing","Chase - points are a reason to call",IF(S234&lt;=RewardAt*0.2,"Rebook - nearly at a reward","OK")))))))</f>
        <v>0</v>
      </c>
    </row>
    <row r="235" spans="1:24">
      <c r="A235" s="28">
        <f>IF(B235="","",LoyaltyPrefix&amp;TEXT(ROW()-4,"0000"))</f>
        <v>0</v>
      </c>
      <c r="C235" s="15">
        <f>IF(B235="","",IFERROR(INDEX(Clients!$B$5:$B$504,MATCH(B235,Clients!$A$5:$A$504,0)),"Not in Clients"))</f>
        <v>0</v>
      </c>
      <c r="M235" s="26">
        <f>IF(B235="","",ROUND(SUMIFS(Sales!$Y$5:$Y$1204,Sales!$D$5:$D$1204,B235,Sales!$B$5:$B$1204,"&gt;="&amp;IF(D235="",0,D235)),2))</f>
        <v>0</v>
      </c>
      <c r="N235" s="25">
        <f>IF(B235="","",IFERROR(INDEX(Clients!$T$5:$T$504,MATCH(B235,Clients!$A$5:$A$504,0))*1,0))</f>
        <v>0</v>
      </c>
      <c r="O235" s="25">
        <f>IF(B235="","",ROUND(M235*PointsPerUnit+IF(F235="",0,F235),0))</f>
        <v>0</v>
      </c>
      <c r="P235" s="25">
        <f>IF(B235="","",O235-IF(G235="",0,G235))</f>
        <v>0</v>
      </c>
      <c r="Q235" s="25">
        <f>IF(B235="","",IF(RewardAt&lt;=0,0,ROUNDDOWN(P235/RewardAt,0)))</f>
        <v>0</v>
      </c>
      <c r="R235" s="26">
        <f>IF(B235="","",ROUND(Q235*RewardValue,2))</f>
        <v>0</v>
      </c>
      <c r="S235" s="25">
        <f>IF(B235="","",IF(RewardAt&lt;=0,"",MAX(0,RewardAt*(Q235+1)-P235)))</f>
        <v>0</v>
      </c>
      <c r="T235" s="25">
        <f>IF(B235="","",COUNTIFS(Clients!$H$5:$H$504,B235))</f>
        <v>0</v>
      </c>
      <c r="U235" s="26">
        <f>IF(B235="","",ROUND(T235*ReferralReward-IF(J235="",0,J235),2))</f>
        <v>0</v>
      </c>
      <c r="V235" s="15">
        <f>IF(B235="","",IFERROR(INDEX(Clients!$AM$5:$AM$504,MATCH(B235,Clients!$A$5:$A$504,0))&amp;"",""))</f>
        <v>0</v>
      </c>
      <c r="W235" s="25">
        <f>IF(B235="","",COUNTIFS($P$5:$P$504,"&gt;"&amp;P235)+COUNTIFS($P$5:P235,P235))</f>
        <v>0</v>
      </c>
      <c r="X235" s="39">
        <f>IF(B235="","",IF(K235="No","",IF(COUNTIF($B$5:$B$504,B235)&gt;1,"Duplicate - this client is on twice",IF(Q235&gt;0,"Action - reward ready to give",IF(U235&gt;0.004,"Action - referral credit owed",IF(V235="Lapsing","Chase - points are a reason to call",IF(S235&lt;=RewardAt*0.2,"Rebook - nearly at a reward","OK")))))))</f>
        <v>0</v>
      </c>
    </row>
    <row r="236" spans="1:24">
      <c r="A236" s="28">
        <f>IF(B236="","",LoyaltyPrefix&amp;TEXT(ROW()-4,"0000"))</f>
        <v>0</v>
      </c>
      <c r="C236" s="15">
        <f>IF(B236="","",IFERROR(INDEX(Clients!$B$5:$B$504,MATCH(B236,Clients!$A$5:$A$504,0)),"Not in Clients"))</f>
        <v>0</v>
      </c>
      <c r="M236" s="26">
        <f>IF(B236="","",ROUND(SUMIFS(Sales!$Y$5:$Y$1204,Sales!$D$5:$D$1204,B236,Sales!$B$5:$B$1204,"&gt;="&amp;IF(D236="",0,D236)),2))</f>
        <v>0</v>
      </c>
      <c r="N236" s="25">
        <f>IF(B236="","",IFERROR(INDEX(Clients!$T$5:$T$504,MATCH(B236,Clients!$A$5:$A$504,0))*1,0))</f>
        <v>0</v>
      </c>
      <c r="O236" s="25">
        <f>IF(B236="","",ROUND(M236*PointsPerUnit+IF(F236="",0,F236),0))</f>
        <v>0</v>
      </c>
      <c r="P236" s="25">
        <f>IF(B236="","",O236-IF(G236="",0,G236))</f>
        <v>0</v>
      </c>
      <c r="Q236" s="25">
        <f>IF(B236="","",IF(RewardAt&lt;=0,0,ROUNDDOWN(P236/RewardAt,0)))</f>
        <v>0</v>
      </c>
      <c r="R236" s="26">
        <f>IF(B236="","",ROUND(Q236*RewardValue,2))</f>
        <v>0</v>
      </c>
      <c r="S236" s="25">
        <f>IF(B236="","",IF(RewardAt&lt;=0,"",MAX(0,RewardAt*(Q236+1)-P236)))</f>
        <v>0</v>
      </c>
      <c r="T236" s="25">
        <f>IF(B236="","",COUNTIFS(Clients!$H$5:$H$504,B236))</f>
        <v>0</v>
      </c>
      <c r="U236" s="26">
        <f>IF(B236="","",ROUND(T236*ReferralReward-IF(J236="",0,J236),2))</f>
        <v>0</v>
      </c>
      <c r="V236" s="15">
        <f>IF(B236="","",IFERROR(INDEX(Clients!$AM$5:$AM$504,MATCH(B236,Clients!$A$5:$A$504,0))&amp;"",""))</f>
        <v>0</v>
      </c>
      <c r="W236" s="25">
        <f>IF(B236="","",COUNTIFS($P$5:$P$504,"&gt;"&amp;P236)+COUNTIFS($P$5:P236,P236))</f>
        <v>0</v>
      </c>
      <c r="X236" s="39">
        <f>IF(B236="","",IF(K236="No","",IF(COUNTIF($B$5:$B$504,B236)&gt;1,"Duplicate - this client is on twice",IF(Q236&gt;0,"Action - reward ready to give",IF(U236&gt;0.004,"Action - referral credit owed",IF(V236="Lapsing","Chase - points are a reason to call",IF(S236&lt;=RewardAt*0.2,"Rebook - nearly at a reward","OK")))))))</f>
        <v>0</v>
      </c>
    </row>
    <row r="237" spans="1:24">
      <c r="A237" s="28">
        <f>IF(B237="","",LoyaltyPrefix&amp;TEXT(ROW()-4,"0000"))</f>
        <v>0</v>
      </c>
      <c r="C237" s="15">
        <f>IF(B237="","",IFERROR(INDEX(Clients!$B$5:$B$504,MATCH(B237,Clients!$A$5:$A$504,0)),"Not in Clients"))</f>
        <v>0</v>
      </c>
      <c r="M237" s="26">
        <f>IF(B237="","",ROUND(SUMIFS(Sales!$Y$5:$Y$1204,Sales!$D$5:$D$1204,B237,Sales!$B$5:$B$1204,"&gt;="&amp;IF(D237="",0,D237)),2))</f>
        <v>0</v>
      </c>
      <c r="N237" s="25">
        <f>IF(B237="","",IFERROR(INDEX(Clients!$T$5:$T$504,MATCH(B237,Clients!$A$5:$A$504,0))*1,0))</f>
        <v>0</v>
      </c>
      <c r="O237" s="25">
        <f>IF(B237="","",ROUND(M237*PointsPerUnit+IF(F237="",0,F237),0))</f>
        <v>0</v>
      </c>
      <c r="P237" s="25">
        <f>IF(B237="","",O237-IF(G237="",0,G237))</f>
        <v>0</v>
      </c>
      <c r="Q237" s="25">
        <f>IF(B237="","",IF(RewardAt&lt;=0,0,ROUNDDOWN(P237/RewardAt,0)))</f>
        <v>0</v>
      </c>
      <c r="R237" s="26">
        <f>IF(B237="","",ROUND(Q237*RewardValue,2))</f>
        <v>0</v>
      </c>
      <c r="S237" s="25">
        <f>IF(B237="","",IF(RewardAt&lt;=0,"",MAX(0,RewardAt*(Q237+1)-P237)))</f>
        <v>0</v>
      </c>
      <c r="T237" s="25">
        <f>IF(B237="","",COUNTIFS(Clients!$H$5:$H$504,B237))</f>
        <v>0</v>
      </c>
      <c r="U237" s="26">
        <f>IF(B237="","",ROUND(T237*ReferralReward-IF(J237="",0,J237),2))</f>
        <v>0</v>
      </c>
      <c r="V237" s="15">
        <f>IF(B237="","",IFERROR(INDEX(Clients!$AM$5:$AM$504,MATCH(B237,Clients!$A$5:$A$504,0))&amp;"",""))</f>
        <v>0</v>
      </c>
      <c r="W237" s="25">
        <f>IF(B237="","",COUNTIFS($P$5:$P$504,"&gt;"&amp;P237)+COUNTIFS($P$5:P237,P237))</f>
        <v>0</v>
      </c>
      <c r="X237" s="39">
        <f>IF(B237="","",IF(K237="No","",IF(COUNTIF($B$5:$B$504,B237)&gt;1,"Duplicate - this client is on twice",IF(Q237&gt;0,"Action - reward ready to give",IF(U237&gt;0.004,"Action - referral credit owed",IF(V237="Lapsing","Chase - points are a reason to call",IF(S237&lt;=RewardAt*0.2,"Rebook - nearly at a reward","OK")))))))</f>
        <v>0</v>
      </c>
    </row>
    <row r="238" spans="1:24">
      <c r="A238" s="28">
        <f>IF(B238="","",LoyaltyPrefix&amp;TEXT(ROW()-4,"0000"))</f>
        <v>0</v>
      </c>
      <c r="C238" s="15">
        <f>IF(B238="","",IFERROR(INDEX(Clients!$B$5:$B$504,MATCH(B238,Clients!$A$5:$A$504,0)),"Not in Clients"))</f>
        <v>0</v>
      </c>
      <c r="M238" s="26">
        <f>IF(B238="","",ROUND(SUMIFS(Sales!$Y$5:$Y$1204,Sales!$D$5:$D$1204,B238,Sales!$B$5:$B$1204,"&gt;="&amp;IF(D238="",0,D238)),2))</f>
        <v>0</v>
      </c>
      <c r="N238" s="25">
        <f>IF(B238="","",IFERROR(INDEX(Clients!$T$5:$T$504,MATCH(B238,Clients!$A$5:$A$504,0))*1,0))</f>
        <v>0</v>
      </c>
      <c r="O238" s="25">
        <f>IF(B238="","",ROUND(M238*PointsPerUnit+IF(F238="",0,F238),0))</f>
        <v>0</v>
      </c>
      <c r="P238" s="25">
        <f>IF(B238="","",O238-IF(G238="",0,G238))</f>
        <v>0</v>
      </c>
      <c r="Q238" s="25">
        <f>IF(B238="","",IF(RewardAt&lt;=0,0,ROUNDDOWN(P238/RewardAt,0)))</f>
        <v>0</v>
      </c>
      <c r="R238" s="26">
        <f>IF(B238="","",ROUND(Q238*RewardValue,2))</f>
        <v>0</v>
      </c>
      <c r="S238" s="25">
        <f>IF(B238="","",IF(RewardAt&lt;=0,"",MAX(0,RewardAt*(Q238+1)-P238)))</f>
        <v>0</v>
      </c>
      <c r="T238" s="25">
        <f>IF(B238="","",COUNTIFS(Clients!$H$5:$H$504,B238))</f>
        <v>0</v>
      </c>
      <c r="U238" s="26">
        <f>IF(B238="","",ROUND(T238*ReferralReward-IF(J238="",0,J238),2))</f>
        <v>0</v>
      </c>
      <c r="V238" s="15">
        <f>IF(B238="","",IFERROR(INDEX(Clients!$AM$5:$AM$504,MATCH(B238,Clients!$A$5:$A$504,0))&amp;"",""))</f>
        <v>0</v>
      </c>
      <c r="W238" s="25">
        <f>IF(B238="","",COUNTIFS($P$5:$P$504,"&gt;"&amp;P238)+COUNTIFS($P$5:P238,P238))</f>
        <v>0</v>
      </c>
      <c r="X238" s="39">
        <f>IF(B238="","",IF(K238="No","",IF(COUNTIF($B$5:$B$504,B238)&gt;1,"Duplicate - this client is on twice",IF(Q238&gt;0,"Action - reward ready to give",IF(U238&gt;0.004,"Action - referral credit owed",IF(V238="Lapsing","Chase - points are a reason to call",IF(S238&lt;=RewardAt*0.2,"Rebook - nearly at a reward","OK")))))))</f>
        <v>0</v>
      </c>
    </row>
    <row r="239" spans="1:24">
      <c r="A239" s="28">
        <f>IF(B239="","",LoyaltyPrefix&amp;TEXT(ROW()-4,"0000"))</f>
        <v>0</v>
      </c>
      <c r="C239" s="15">
        <f>IF(B239="","",IFERROR(INDEX(Clients!$B$5:$B$504,MATCH(B239,Clients!$A$5:$A$504,0)),"Not in Clients"))</f>
        <v>0</v>
      </c>
      <c r="M239" s="26">
        <f>IF(B239="","",ROUND(SUMIFS(Sales!$Y$5:$Y$1204,Sales!$D$5:$D$1204,B239,Sales!$B$5:$B$1204,"&gt;="&amp;IF(D239="",0,D239)),2))</f>
        <v>0</v>
      </c>
      <c r="N239" s="25">
        <f>IF(B239="","",IFERROR(INDEX(Clients!$T$5:$T$504,MATCH(B239,Clients!$A$5:$A$504,0))*1,0))</f>
        <v>0</v>
      </c>
      <c r="O239" s="25">
        <f>IF(B239="","",ROUND(M239*PointsPerUnit+IF(F239="",0,F239),0))</f>
        <v>0</v>
      </c>
      <c r="P239" s="25">
        <f>IF(B239="","",O239-IF(G239="",0,G239))</f>
        <v>0</v>
      </c>
      <c r="Q239" s="25">
        <f>IF(B239="","",IF(RewardAt&lt;=0,0,ROUNDDOWN(P239/RewardAt,0)))</f>
        <v>0</v>
      </c>
      <c r="R239" s="26">
        <f>IF(B239="","",ROUND(Q239*RewardValue,2))</f>
        <v>0</v>
      </c>
      <c r="S239" s="25">
        <f>IF(B239="","",IF(RewardAt&lt;=0,"",MAX(0,RewardAt*(Q239+1)-P239)))</f>
        <v>0</v>
      </c>
      <c r="T239" s="25">
        <f>IF(B239="","",COUNTIFS(Clients!$H$5:$H$504,B239))</f>
        <v>0</v>
      </c>
      <c r="U239" s="26">
        <f>IF(B239="","",ROUND(T239*ReferralReward-IF(J239="",0,J239),2))</f>
        <v>0</v>
      </c>
      <c r="V239" s="15">
        <f>IF(B239="","",IFERROR(INDEX(Clients!$AM$5:$AM$504,MATCH(B239,Clients!$A$5:$A$504,0))&amp;"",""))</f>
        <v>0</v>
      </c>
      <c r="W239" s="25">
        <f>IF(B239="","",COUNTIFS($P$5:$P$504,"&gt;"&amp;P239)+COUNTIFS($P$5:P239,P239))</f>
        <v>0</v>
      </c>
      <c r="X239" s="39">
        <f>IF(B239="","",IF(K239="No","",IF(COUNTIF($B$5:$B$504,B239)&gt;1,"Duplicate - this client is on twice",IF(Q239&gt;0,"Action - reward ready to give",IF(U239&gt;0.004,"Action - referral credit owed",IF(V239="Lapsing","Chase - points are a reason to call",IF(S239&lt;=RewardAt*0.2,"Rebook - nearly at a reward","OK")))))))</f>
        <v>0</v>
      </c>
    </row>
    <row r="240" spans="1:24">
      <c r="A240" s="28">
        <f>IF(B240="","",LoyaltyPrefix&amp;TEXT(ROW()-4,"0000"))</f>
        <v>0</v>
      </c>
      <c r="C240" s="15">
        <f>IF(B240="","",IFERROR(INDEX(Clients!$B$5:$B$504,MATCH(B240,Clients!$A$5:$A$504,0)),"Not in Clients"))</f>
        <v>0</v>
      </c>
      <c r="M240" s="26">
        <f>IF(B240="","",ROUND(SUMIFS(Sales!$Y$5:$Y$1204,Sales!$D$5:$D$1204,B240,Sales!$B$5:$B$1204,"&gt;="&amp;IF(D240="",0,D240)),2))</f>
        <v>0</v>
      </c>
      <c r="N240" s="25">
        <f>IF(B240="","",IFERROR(INDEX(Clients!$T$5:$T$504,MATCH(B240,Clients!$A$5:$A$504,0))*1,0))</f>
        <v>0</v>
      </c>
      <c r="O240" s="25">
        <f>IF(B240="","",ROUND(M240*PointsPerUnit+IF(F240="",0,F240),0))</f>
        <v>0</v>
      </c>
      <c r="P240" s="25">
        <f>IF(B240="","",O240-IF(G240="",0,G240))</f>
        <v>0</v>
      </c>
      <c r="Q240" s="25">
        <f>IF(B240="","",IF(RewardAt&lt;=0,0,ROUNDDOWN(P240/RewardAt,0)))</f>
        <v>0</v>
      </c>
      <c r="R240" s="26">
        <f>IF(B240="","",ROUND(Q240*RewardValue,2))</f>
        <v>0</v>
      </c>
      <c r="S240" s="25">
        <f>IF(B240="","",IF(RewardAt&lt;=0,"",MAX(0,RewardAt*(Q240+1)-P240)))</f>
        <v>0</v>
      </c>
      <c r="T240" s="25">
        <f>IF(B240="","",COUNTIFS(Clients!$H$5:$H$504,B240))</f>
        <v>0</v>
      </c>
      <c r="U240" s="26">
        <f>IF(B240="","",ROUND(T240*ReferralReward-IF(J240="",0,J240),2))</f>
        <v>0</v>
      </c>
      <c r="V240" s="15">
        <f>IF(B240="","",IFERROR(INDEX(Clients!$AM$5:$AM$504,MATCH(B240,Clients!$A$5:$A$504,0))&amp;"",""))</f>
        <v>0</v>
      </c>
      <c r="W240" s="25">
        <f>IF(B240="","",COUNTIFS($P$5:$P$504,"&gt;"&amp;P240)+COUNTIFS($P$5:P240,P240))</f>
        <v>0</v>
      </c>
      <c r="X240" s="39">
        <f>IF(B240="","",IF(K240="No","",IF(COUNTIF($B$5:$B$504,B240)&gt;1,"Duplicate - this client is on twice",IF(Q240&gt;0,"Action - reward ready to give",IF(U240&gt;0.004,"Action - referral credit owed",IF(V240="Lapsing","Chase - points are a reason to call",IF(S240&lt;=RewardAt*0.2,"Rebook - nearly at a reward","OK")))))))</f>
        <v>0</v>
      </c>
    </row>
    <row r="241" spans="1:24">
      <c r="A241" s="28">
        <f>IF(B241="","",LoyaltyPrefix&amp;TEXT(ROW()-4,"0000"))</f>
        <v>0</v>
      </c>
      <c r="C241" s="15">
        <f>IF(B241="","",IFERROR(INDEX(Clients!$B$5:$B$504,MATCH(B241,Clients!$A$5:$A$504,0)),"Not in Clients"))</f>
        <v>0</v>
      </c>
      <c r="M241" s="26">
        <f>IF(B241="","",ROUND(SUMIFS(Sales!$Y$5:$Y$1204,Sales!$D$5:$D$1204,B241,Sales!$B$5:$B$1204,"&gt;="&amp;IF(D241="",0,D241)),2))</f>
        <v>0</v>
      </c>
      <c r="N241" s="25">
        <f>IF(B241="","",IFERROR(INDEX(Clients!$T$5:$T$504,MATCH(B241,Clients!$A$5:$A$504,0))*1,0))</f>
        <v>0</v>
      </c>
      <c r="O241" s="25">
        <f>IF(B241="","",ROUND(M241*PointsPerUnit+IF(F241="",0,F241),0))</f>
        <v>0</v>
      </c>
      <c r="P241" s="25">
        <f>IF(B241="","",O241-IF(G241="",0,G241))</f>
        <v>0</v>
      </c>
      <c r="Q241" s="25">
        <f>IF(B241="","",IF(RewardAt&lt;=0,0,ROUNDDOWN(P241/RewardAt,0)))</f>
        <v>0</v>
      </c>
      <c r="R241" s="26">
        <f>IF(B241="","",ROUND(Q241*RewardValue,2))</f>
        <v>0</v>
      </c>
      <c r="S241" s="25">
        <f>IF(B241="","",IF(RewardAt&lt;=0,"",MAX(0,RewardAt*(Q241+1)-P241)))</f>
        <v>0</v>
      </c>
      <c r="T241" s="25">
        <f>IF(B241="","",COUNTIFS(Clients!$H$5:$H$504,B241))</f>
        <v>0</v>
      </c>
      <c r="U241" s="26">
        <f>IF(B241="","",ROUND(T241*ReferralReward-IF(J241="",0,J241),2))</f>
        <v>0</v>
      </c>
      <c r="V241" s="15">
        <f>IF(B241="","",IFERROR(INDEX(Clients!$AM$5:$AM$504,MATCH(B241,Clients!$A$5:$A$504,0))&amp;"",""))</f>
        <v>0</v>
      </c>
      <c r="W241" s="25">
        <f>IF(B241="","",COUNTIFS($P$5:$P$504,"&gt;"&amp;P241)+COUNTIFS($P$5:P241,P241))</f>
        <v>0</v>
      </c>
      <c r="X241" s="39">
        <f>IF(B241="","",IF(K241="No","",IF(COUNTIF($B$5:$B$504,B241)&gt;1,"Duplicate - this client is on twice",IF(Q241&gt;0,"Action - reward ready to give",IF(U241&gt;0.004,"Action - referral credit owed",IF(V241="Lapsing","Chase - points are a reason to call",IF(S241&lt;=RewardAt*0.2,"Rebook - nearly at a reward","OK")))))))</f>
        <v>0</v>
      </c>
    </row>
    <row r="242" spans="1:24">
      <c r="A242" s="28">
        <f>IF(B242="","",LoyaltyPrefix&amp;TEXT(ROW()-4,"0000"))</f>
        <v>0</v>
      </c>
      <c r="C242" s="15">
        <f>IF(B242="","",IFERROR(INDEX(Clients!$B$5:$B$504,MATCH(B242,Clients!$A$5:$A$504,0)),"Not in Clients"))</f>
        <v>0</v>
      </c>
      <c r="M242" s="26">
        <f>IF(B242="","",ROUND(SUMIFS(Sales!$Y$5:$Y$1204,Sales!$D$5:$D$1204,B242,Sales!$B$5:$B$1204,"&gt;="&amp;IF(D242="",0,D242)),2))</f>
        <v>0</v>
      </c>
      <c r="N242" s="25">
        <f>IF(B242="","",IFERROR(INDEX(Clients!$T$5:$T$504,MATCH(B242,Clients!$A$5:$A$504,0))*1,0))</f>
        <v>0</v>
      </c>
      <c r="O242" s="25">
        <f>IF(B242="","",ROUND(M242*PointsPerUnit+IF(F242="",0,F242),0))</f>
        <v>0</v>
      </c>
      <c r="P242" s="25">
        <f>IF(B242="","",O242-IF(G242="",0,G242))</f>
        <v>0</v>
      </c>
      <c r="Q242" s="25">
        <f>IF(B242="","",IF(RewardAt&lt;=0,0,ROUNDDOWN(P242/RewardAt,0)))</f>
        <v>0</v>
      </c>
      <c r="R242" s="26">
        <f>IF(B242="","",ROUND(Q242*RewardValue,2))</f>
        <v>0</v>
      </c>
      <c r="S242" s="25">
        <f>IF(B242="","",IF(RewardAt&lt;=0,"",MAX(0,RewardAt*(Q242+1)-P242)))</f>
        <v>0</v>
      </c>
      <c r="T242" s="25">
        <f>IF(B242="","",COUNTIFS(Clients!$H$5:$H$504,B242))</f>
        <v>0</v>
      </c>
      <c r="U242" s="26">
        <f>IF(B242="","",ROUND(T242*ReferralReward-IF(J242="",0,J242),2))</f>
        <v>0</v>
      </c>
      <c r="V242" s="15">
        <f>IF(B242="","",IFERROR(INDEX(Clients!$AM$5:$AM$504,MATCH(B242,Clients!$A$5:$A$504,0))&amp;"",""))</f>
        <v>0</v>
      </c>
      <c r="W242" s="25">
        <f>IF(B242="","",COUNTIFS($P$5:$P$504,"&gt;"&amp;P242)+COUNTIFS($P$5:P242,P242))</f>
        <v>0</v>
      </c>
      <c r="X242" s="39">
        <f>IF(B242="","",IF(K242="No","",IF(COUNTIF($B$5:$B$504,B242)&gt;1,"Duplicate - this client is on twice",IF(Q242&gt;0,"Action - reward ready to give",IF(U242&gt;0.004,"Action - referral credit owed",IF(V242="Lapsing","Chase - points are a reason to call",IF(S242&lt;=RewardAt*0.2,"Rebook - nearly at a reward","OK")))))))</f>
        <v>0</v>
      </c>
    </row>
    <row r="243" spans="1:24">
      <c r="A243" s="28">
        <f>IF(B243="","",LoyaltyPrefix&amp;TEXT(ROW()-4,"0000"))</f>
        <v>0</v>
      </c>
      <c r="C243" s="15">
        <f>IF(B243="","",IFERROR(INDEX(Clients!$B$5:$B$504,MATCH(B243,Clients!$A$5:$A$504,0)),"Not in Clients"))</f>
        <v>0</v>
      </c>
      <c r="M243" s="26">
        <f>IF(B243="","",ROUND(SUMIFS(Sales!$Y$5:$Y$1204,Sales!$D$5:$D$1204,B243,Sales!$B$5:$B$1204,"&gt;="&amp;IF(D243="",0,D243)),2))</f>
        <v>0</v>
      </c>
      <c r="N243" s="25">
        <f>IF(B243="","",IFERROR(INDEX(Clients!$T$5:$T$504,MATCH(B243,Clients!$A$5:$A$504,0))*1,0))</f>
        <v>0</v>
      </c>
      <c r="O243" s="25">
        <f>IF(B243="","",ROUND(M243*PointsPerUnit+IF(F243="",0,F243),0))</f>
        <v>0</v>
      </c>
      <c r="P243" s="25">
        <f>IF(B243="","",O243-IF(G243="",0,G243))</f>
        <v>0</v>
      </c>
      <c r="Q243" s="25">
        <f>IF(B243="","",IF(RewardAt&lt;=0,0,ROUNDDOWN(P243/RewardAt,0)))</f>
        <v>0</v>
      </c>
      <c r="R243" s="26">
        <f>IF(B243="","",ROUND(Q243*RewardValue,2))</f>
        <v>0</v>
      </c>
      <c r="S243" s="25">
        <f>IF(B243="","",IF(RewardAt&lt;=0,"",MAX(0,RewardAt*(Q243+1)-P243)))</f>
        <v>0</v>
      </c>
      <c r="T243" s="25">
        <f>IF(B243="","",COUNTIFS(Clients!$H$5:$H$504,B243))</f>
        <v>0</v>
      </c>
      <c r="U243" s="26">
        <f>IF(B243="","",ROUND(T243*ReferralReward-IF(J243="",0,J243),2))</f>
        <v>0</v>
      </c>
      <c r="V243" s="15">
        <f>IF(B243="","",IFERROR(INDEX(Clients!$AM$5:$AM$504,MATCH(B243,Clients!$A$5:$A$504,0))&amp;"",""))</f>
        <v>0</v>
      </c>
      <c r="W243" s="25">
        <f>IF(B243="","",COUNTIFS($P$5:$P$504,"&gt;"&amp;P243)+COUNTIFS($P$5:P243,P243))</f>
        <v>0</v>
      </c>
      <c r="X243" s="39">
        <f>IF(B243="","",IF(K243="No","",IF(COUNTIF($B$5:$B$504,B243)&gt;1,"Duplicate - this client is on twice",IF(Q243&gt;0,"Action - reward ready to give",IF(U243&gt;0.004,"Action - referral credit owed",IF(V243="Lapsing","Chase - points are a reason to call",IF(S243&lt;=RewardAt*0.2,"Rebook - nearly at a reward","OK")))))))</f>
        <v>0</v>
      </c>
    </row>
    <row r="244" spans="1:24">
      <c r="A244" s="28">
        <f>IF(B244="","",LoyaltyPrefix&amp;TEXT(ROW()-4,"0000"))</f>
        <v>0</v>
      </c>
      <c r="C244" s="15">
        <f>IF(B244="","",IFERROR(INDEX(Clients!$B$5:$B$504,MATCH(B244,Clients!$A$5:$A$504,0)),"Not in Clients"))</f>
        <v>0</v>
      </c>
      <c r="M244" s="26">
        <f>IF(B244="","",ROUND(SUMIFS(Sales!$Y$5:$Y$1204,Sales!$D$5:$D$1204,B244,Sales!$B$5:$B$1204,"&gt;="&amp;IF(D244="",0,D244)),2))</f>
        <v>0</v>
      </c>
      <c r="N244" s="25">
        <f>IF(B244="","",IFERROR(INDEX(Clients!$T$5:$T$504,MATCH(B244,Clients!$A$5:$A$504,0))*1,0))</f>
        <v>0</v>
      </c>
      <c r="O244" s="25">
        <f>IF(B244="","",ROUND(M244*PointsPerUnit+IF(F244="",0,F244),0))</f>
        <v>0</v>
      </c>
      <c r="P244" s="25">
        <f>IF(B244="","",O244-IF(G244="",0,G244))</f>
        <v>0</v>
      </c>
      <c r="Q244" s="25">
        <f>IF(B244="","",IF(RewardAt&lt;=0,0,ROUNDDOWN(P244/RewardAt,0)))</f>
        <v>0</v>
      </c>
      <c r="R244" s="26">
        <f>IF(B244="","",ROUND(Q244*RewardValue,2))</f>
        <v>0</v>
      </c>
      <c r="S244" s="25">
        <f>IF(B244="","",IF(RewardAt&lt;=0,"",MAX(0,RewardAt*(Q244+1)-P244)))</f>
        <v>0</v>
      </c>
      <c r="T244" s="25">
        <f>IF(B244="","",COUNTIFS(Clients!$H$5:$H$504,B244))</f>
        <v>0</v>
      </c>
      <c r="U244" s="26">
        <f>IF(B244="","",ROUND(T244*ReferralReward-IF(J244="",0,J244),2))</f>
        <v>0</v>
      </c>
      <c r="V244" s="15">
        <f>IF(B244="","",IFERROR(INDEX(Clients!$AM$5:$AM$504,MATCH(B244,Clients!$A$5:$A$504,0))&amp;"",""))</f>
        <v>0</v>
      </c>
      <c r="W244" s="25">
        <f>IF(B244="","",COUNTIFS($P$5:$P$504,"&gt;"&amp;P244)+COUNTIFS($P$5:P244,P244))</f>
        <v>0</v>
      </c>
      <c r="X244" s="39">
        <f>IF(B244="","",IF(K244="No","",IF(COUNTIF($B$5:$B$504,B244)&gt;1,"Duplicate - this client is on twice",IF(Q244&gt;0,"Action - reward ready to give",IF(U244&gt;0.004,"Action - referral credit owed",IF(V244="Lapsing","Chase - points are a reason to call",IF(S244&lt;=RewardAt*0.2,"Rebook - nearly at a reward","OK")))))))</f>
        <v>0</v>
      </c>
    </row>
    <row r="245" spans="1:24">
      <c r="A245" s="28">
        <f>IF(B245="","",LoyaltyPrefix&amp;TEXT(ROW()-4,"0000"))</f>
        <v>0</v>
      </c>
      <c r="C245" s="15">
        <f>IF(B245="","",IFERROR(INDEX(Clients!$B$5:$B$504,MATCH(B245,Clients!$A$5:$A$504,0)),"Not in Clients"))</f>
        <v>0</v>
      </c>
      <c r="M245" s="26">
        <f>IF(B245="","",ROUND(SUMIFS(Sales!$Y$5:$Y$1204,Sales!$D$5:$D$1204,B245,Sales!$B$5:$B$1204,"&gt;="&amp;IF(D245="",0,D245)),2))</f>
        <v>0</v>
      </c>
      <c r="N245" s="25">
        <f>IF(B245="","",IFERROR(INDEX(Clients!$T$5:$T$504,MATCH(B245,Clients!$A$5:$A$504,0))*1,0))</f>
        <v>0</v>
      </c>
      <c r="O245" s="25">
        <f>IF(B245="","",ROUND(M245*PointsPerUnit+IF(F245="",0,F245),0))</f>
        <v>0</v>
      </c>
      <c r="P245" s="25">
        <f>IF(B245="","",O245-IF(G245="",0,G245))</f>
        <v>0</v>
      </c>
      <c r="Q245" s="25">
        <f>IF(B245="","",IF(RewardAt&lt;=0,0,ROUNDDOWN(P245/RewardAt,0)))</f>
        <v>0</v>
      </c>
      <c r="R245" s="26">
        <f>IF(B245="","",ROUND(Q245*RewardValue,2))</f>
        <v>0</v>
      </c>
      <c r="S245" s="25">
        <f>IF(B245="","",IF(RewardAt&lt;=0,"",MAX(0,RewardAt*(Q245+1)-P245)))</f>
        <v>0</v>
      </c>
      <c r="T245" s="25">
        <f>IF(B245="","",COUNTIFS(Clients!$H$5:$H$504,B245))</f>
        <v>0</v>
      </c>
      <c r="U245" s="26">
        <f>IF(B245="","",ROUND(T245*ReferralReward-IF(J245="",0,J245),2))</f>
        <v>0</v>
      </c>
      <c r="V245" s="15">
        <f>IF(B245="","",IFERROR(INDEX(Clients!$AM$5:$AM$504,MATCH(B245,Clients!$A$5:$A$504,0))&amp;"",""))</f>
        <v>0</v>
      </c>
      <c r="W245" s="25">
        <f>IF(B245="","",COUNTIFS($P$5:$P$504,"&gt;"&amp;P245)+COUNTIFS($P$5:P245,P245))</f>
        <v>0</v>
      </c>
      <c r="X245" s="39">
        <f>IF(B245="","",IF(K245="No","",IF(COUNTIF($B$5:$B$504,B245)&gt;1,"Duplicate - this client is on twice",IF(Q245&gt;0,"Action - reward ready to give",IF(U245&gt;0.004,"Action - referral credit owed",IF(V245="Lapsing","Chase - points are a reason to call",IF(S245&lt;=RewardAt*0.2,"Rebook - nearly at a reward","OK")))))))</f>
        <v>0</v>
      </c>
    </row>
    <row r="246" spans="1:24">
      <c r="A246" s="28">
        <f>IF(B246="","",LoyaltyPrefix&amp;TEXT(ROW()-4,"0000"))</f>
        <v>0</v>
      </c>
      <c r="C246" s="15">
        <f>IF(B246="","",IFERROR(INDEX(Clients!$B$5:$B$504,MATCH(B246,Clients!$A$5:$A$504,0)),"Not in Clients"))</f>
        <v>0</v>
      </c>
      <c r="M246" s="26">
        <f>IF(B246="","",ROUND(SUMIFS(Sales!$Y$5:$Y$1204,Sales!$D$5:$D$1204,B246,Sales!$B$5:$B$1204,"&gt;="&amp;IF(D246="",0,D246)),2))</f>
        <v>0</v>
      </c>
      <c r="N246" s="25">
        <f>IF(B246="","",IFERROR(INDEX(Clients!$T$5:$T$504,MATCH(B246,Clients!$A$5:$A$504,0))*1,0))</f>
        <v>0</v>
      </c>
      <c r="O246" s="25">
        <f>IF(B246="","",ROUND(M246*PointsPerUnit+IF(F246="",0,F246),0))</f>
        <v>0</v>
      </c>
      <c r="P246" s="25">
        <f>IF(B246="","",O246-IF(G246="",0,G246))</f>
        <v>0</v>
      </c>
      <c r="Q246" s="25">
        <f>IF(B246="","",IF(RewardAt&lt;=0,0,ROUNDDOWN(P246/RewardAt,0)))</f>
        <v>0</v>
      </c>
      <c r="R246" s="26">
        <f>IF(B246="","",ROUND(Q246*RewardValue,2))</f>
        <v>0</v>
      </c>
      <c r="S246" s="25">
        <f>IF(B246="","",IF(RewardAt&lt;=0,"",MAX(0,RewardAt*(Q246+1)-P246)))</f>
        <v>0</v>
      </c>
      <c r="T246" s="25">
        <f>IF(B246="","",COUNTIFS(Clients!$H$5:$H$504,B246))</f>
        <v>0</v>
      </c>
      <c r="U246" s="26">
        <f>IF(B246="","",ROUND(T246*ReferralReward-IF(J246="",0,J246),2))</f>
        <v>0</v>
      </c>
      <c r="V246" s="15">
        <f>IF(B246="","",IFERROR(INDEX(Clients!$AM$5:$AM$504,MATCH(B246,Clients!$A$5:$A$504,0))&amp;"",""))</f>
        <v>0</v>
      </c>
      <c r="W246" s="25">
        <f>IF(B246="","",COUNTIFS($P$5:$P$504,"&gt;"&amp;P246)+COUNTIFS($P$5:P246,P246))</f>
        <v>0</v>
      </c>
      <c r="X246" s="39">
        <f>IF(B246="","",IF(K246="No","",IF(COUNTIF($B$5:$B$504,B246)&gt;1,"Duplicate - this client is on twice",IF(Q246&gt;0,"Action - reward ready to give",IF(U246&gt;0.004,"Action - referral credit owed",IF(V246="Lapsing","Chase - points are a reason to call",IF(S246&lt;=RewardAt*0.2,"Rebook - nearly at a reward","OK")))))))</f>
        <v>0</v>
      </c>
    </row>
    <row r="247" spans="1:24">
      <c r="A247" s="28">
        <f>IF(B247="","",LoyaltyPrefix&amp;TEXT(ROW()-4,"0000"))</f>
        <v>0</v>
      </c>
      <c r="C247" s="15">
        <f>IF(B247="","",IFERROR(INDEX(Clients!$B$5:$B$504,MATCH(B247,Clients!$A$5:$A$504,0)),"Not in Clients"))</f>
        <v>0</v>
      </c>
      <c r="M247" s="26">
        <f>IF(B247="","",ROUND(SUMIFS(Sales!$Y$5:$Y$1204,Sales!$D$5:$D$1204,B247,Sales!$B$5:$B$1204,"&gt;="&amp;IF(D247="",0,D247)),2))</f>
        <v>0</v>
      </c>
      <c r="N247" s="25">
        <f>IF(B247="","",IFERROR(INDEX(Clients!$T$5:$T$504,MATCH(B247,Clients!$A$5:$A$504,0))*1,0))</f>
        <v>0</v>
      </c>
      <c r="O247" s="25">
        <f>IF(B247="","",ROUND(M247*PointsPerUnit+IF(F247="",0,F247),0))</f>
        <v>0</v>
      </c>
      <c r="P247" s="25">
        <f>IF(B247="","",O247-IF(G247="",0,G247))</f>
        <v>0</v>
      </c>
      <c r="Q247" s="25">
        <f>IF(B247="","",IF(RewardAt&lt;=0,0,ROUNDDOWN(P247/RewardAt,0)))</f>
        <v>0</v>
      </c>
      <c r="R247" s="26">
        <f>IF(B247="","",ROUND(Q247*RewardValue,2))</f>
        <v>0</v>
      </c>
      <c r="S247" s="25">
        <f>IF(B247="","",IF(RewardAt&lt;=0,"",MAX(0,RewardAt*(Q247+1)-P247)))</f>
        <v>0</v>
      </c>
      <c r="T247" s="25">
        <f>IF(B247="","",COUNTIFS(Clients!$H$5:$H$504,B247))</f>
        <v>0</v>
      </c>
      <c r="U247" s="26">
        <f>IF(B247="","",ROUND(T247*ReferralReward-IF(J247="",0,J247),2))</f>
        <v>0</v>
      </c>
      <c r="V247" s="15">
        <f>IF(B247="","",IFERROR(INDEX(Clients!$AM$5:$AM$504,MATCH(B247,Clients!$A$5:$A$504,0))&amp;"",""))</f>
        <v>0</v>
      </c>
      <c r="W247" s="25">
        <f>IF(B247="","",COUNTIFS($P$5:$P$504,"&gt;"&amp;P247)+COUNTIFS($P$5:P247,P247))</f>
        <v>0</v>
      </c>
      <c r="X247" s="39">
        <f>IF(B247="","",IF(K247="No","",IF(COUNTIF($B$5:$B$504,B247)&gt;1,"Duplicate - this client is on twice",IF(Q247&gt;0,"Action - reward ready to give",IF(U247&gt;0.004,"Action - referral credit owed",IF(V247="Lapsing","Chase - points are a reason to call",IF(S247&lt;=RewardAt*0.2,"Rebook - nearly at a reward","OK")))))))</f>
        <v>0</v>
      </c>
    </row>
    <row r="248" spans="1:24">
      <c r="A248" s="28">
        <f>IF(B248="","",LoyaltyPrefix&amp;TEXT(ROW()-4,"0000"))</f>
        <v>0</v>
      </c>
      <c r="C248" s="15">
        <f>IF(B248="","",IFERROR(INDEX(Clients!$B$5:$B$504,MATCH(B248,Clients!$A$5:$A$504,0)),"Not in Clients"))</f>
        <v>0</v>
      </c>
      <c r="M248" s="26">
        <f>IF(B248="","",ROUND(SUMIFS(Sales!$Y$5:$Y$1204,Sales!$D$5:$D$1204,B248,Sales!$B$5:$B$1204,"&gt;="&amp;IF(D248="",0,D248)),2))</f>
        <v>0</v>
      </c>
      <c r="N248" s="25">
        <f>IF(B248="","",IFERROR(INDEX(Clients!$T$5:$T$504,MATCH(B248,Clients!$A$5:$A$504,0))*1,0))</f>
        <v>0</v>
      </c>
      <c r="O248" s="25">
        <f>IF(B248="","",ROUND(M248*PointsPerUnit+IF(F248="",0,F248),0))</f>
        <v>0</v>
      </c>
      <c r="P248" s="25">
        <f>IF(B248="","",O248-IF(G248="",0,G248))</f>
        <v>0</v>
      </c>
      <c r="Q248" s="25">
        <f>IF(B248="","",IF(RewardAt&lt;=0,0,ROUNDDOWN(P248/RewardAt,0)))</f>
        <v>0</v>
      </c>
      <c r="R248" s="26">
        <f>IF(B248="","",ROUND(Q248*RewardValue,2))</f>
        <v>0</v>
      </c>
      <c r="S248" s="25">
        <f>IF(B248="","",IF(RewardAt&lt;=0,"",MAX(0,RewardAt*(Q248+1)-P248)))</f>
        <v>0</v>
      </c>
      <c r="T248" s="25">
        <f>IF(B248="","",COUNTIFS(Clients!$H$5:$H$504,B248))</f>
        <v>0</v>
      </c>
      <c r="U248" s="26">
        <f>IF(B248="","",ROUND(T248*ReferralReward-IF(J248="",0,J248),2))</f>
        <v>0</v>
      </c>
      <c r="V248" s="15">
        <f>IF(B248="","",IFERROR(INDEX(Clients!$AM$5:$AM$504,MATCH(B248,Clients!$A$5:$A$504,0))&amp;"",""))</f>
        <v>0</v>
      </c>
      <c r="W248" s="25">
        <f>IF(B248="","",COUNTIFS($P$5:$P$504,"&gt;"&amp;P248)+COUNTIFS($P$5:P248,P248))</f>
        <v>0</v>
      </c>
      <c r="X248" s="39">
        <f>IF(B248="","",IF(K248="No","",IF(COUNTIF($B$5:$B$504,B248)&gt;1,"Duplicate - this client is on twice",IF(Q248&gt;0,"Action - reward ready to give",IF(U248&gt;0.004,"Action - referral credit owed",IF(V248="Lapsing","Chase - points are a reason to call",IF(S248&lt;=RewardAt*0.2,"Rebook - nearly at a reward","OK")))))))</f>
        <v>0</v>
      </c>
    </row>
    <row r="249" spans="1:24">
      <c r="A249" s="28">
        <f>IF(B249="","",LoyaltyPrefix&amp;TEXT(ROW()-4,"0000"))</f>
        <v>0</v>
      </c>
      <c r="C249" s="15">
        <f>IF(B249="","",IFERROR(INDEX(Clients!$B$5:$B$504,MATCH(B249,Clients!$A$5:$A$504,0)),"Not in Clients"))</f>
        <v>0</v>
      </c>
      <c r="M249" s="26">
        <f>IF(B249="","",ROUND(SUMIFS(Sales!$Y$5:$Y$1204,Sales!$D$5:$D$1204,B249,Sales!$B$5:$B$1204,"&gt;="&amp;IF(D249="",0,D249)),2))</f>
        <v>0</v>
      </c>
      <c r="N249" s="25">
        <f>IF(B249="","",IFERROR(INDEX(Clients!$T$5:$T$504,MATCH(B249,Clients!$A$5:$A$504,0))*1,0))</f>
        <v>0</v>
      </c>
      <c r="O249" s="25">
        <f>IF(B249="","",ROUND(M249*PointsPerUnit+IF(F249="",0,F249),0))</f>
        <v>0</v>
      </c>
      <c r="P249" s="25">
        <f>IF(B249="","",O249-IF(G249="",0,G249))</f>
        <v>0</v>
      </c>
      <c r="Q249" s="25">
        <f>IF(B249="","",IF(RewardAt&lt;=0,0,ROUNDDOWN(P249/RewardAt,0)))</f>
        <v>0</v>
      </c>
      <c r="R249" s="26">
        <f>IF(B249="","",ROUND(Q249*RewardValue,2))</f>
        <v>0</v>
      </c>
      <c r="S249" s="25">
        <f>IF(B249="","",IF(RewardAt&lt;=0,"",MAX(0,RewardAt*(Q249+1)-P249)))</f>
        <v>0</v>
      </c>
      <c r="T249" s="25">
        <f>IF(B249="","",COUNTIFS(Clients!$H$5:$H$504,B249))</f>
        <v>0</v>
      </c>
      <c r="U249" s="26">
        <f>IF(B249="","",ROUND(T249*ReferralReward-IF(J249="",0,J249),2))</f>
        <v>0</v>
      </c>
      <c r="V249" s="15">
        <f>IF(B249="","",IFERROR(INDEX(Clients!$AM$5:$AM$504,MATCH(B249,Clients!$A$5:$A$504,0))&amp;"",""))</f>
        <v>0</v>
      </c>
      <c r="W249" s="25">
        <f>IF(B249="","",COUNTIFS($P$5:$P$504,"&gt;"&amp;P249)+COUNTIFS($P$5:P249,P249))</f>
        <v>0</v>
      </c>
      <c r="X249" s="39">
        <f>IF(B249="","",IF(K249="No","",IF(COUNTIF($B$5:$B$504,B249)&gt;1,"Duplicate - this client is on twice",IF(Q249&gt;0,"Action - reward ready to give",IF(U249&gt;0.004,"Action - referral credit owed",IF(V249="Lapsing","Chase - points are a reason to call",IF(S249&lt;=RewardAt*0.2,"Rebook - nearly at a reward","OK")))))))</f>
        <v>0</v>
      </c>
    </row>
    <row r="250" spans="1:24">
      <c r="A250" s="28">
        <f>IF(B250="","",LoyaltyPrefix&amp;TEXT(ROW()-4,"0000"))</f>
        <v>0</v>
      </c>
      <c r="C250" s="15">
        <f>IF(B250="","",IFERROR(INDEX(Clients!$B$5:$B$504,MATCH(B250,Clients!$A$5:$A$504,0)),"Not in Clients"))</f>
        <v>0</v>
      </c>
      <c r="M250" s="26">
        <f>IF(B250="","",ROUND(SUMIFS(Sales!$Y$5:$Y$1204,Sales!$D$5:$D$1204,B250,Sales!$B$5:$B$1204,"&gt;="&amp;IF(D250="",0,D250)),2))</f>
        <v>0</v>
      </c>
      <c r="N250" s="25">
        <f>IF(B250="","",IFERROR(INDEX(Clients!$T$5:$T$504,MATCH(B250,Clients!$A$5:$A$504,0))*1,0))</f>
        <v>0</v>
      </c>
      <c r="O250" s="25">
        <f>IF(B250="","",ROUND(M250*PointsPerUnit+IF(F250="",0,F250),0))</f>
        <v>0</v>
      </c>
      <c r="P250" s="25">
        <f>IF(B250="","",O250-IF(G250="",0,G250))</f>
        <v>0</v>
      </c>
      <c r="Q250" s="25">
        <f>IF(B250="","",IF(RewardAt&lt;=0,0,ROUNDDOWN(P250/RewardAt,0)))</f>
        <v>0</v>
      </c>
      <c r="R250" s="26">
        <f>IF(B250="","",ROUND(Q250*RewardValue,2))</f>
        <v>0</v>
      </c>
      <c r="S250" s="25">
        <f>IF(B250="","",IF(RewardAt&lt;=0,"",MAX(0,RewardAt*(Q250+1)-P250)))</f>
        <v>0</v>
      </c>
      <c r="T250" s="25">
        <f>IF(B250="","",COUNTIFS(Clients!$H$5:$H$504,B250))</f>
        <v>0</v>
      </c>
      <c r="U250" s="26">
        <f>IF(B250="","",ROUND(T250*ReferralReward-IF(J250="",0,J250),2))</f>
        <v>0</v>
      </c>
      <c r="V250" s="15">
        <f>IF(B250="","",IFERROR(INDEX(Clients!$AM$5:$AM$504,MATCH(B250,Clients!$A$5:$A$504,0))&amp;"",""))</f>
        <v>0</v>
      </c>
      <c r="W250" s="25">
        <f>IF(B250="","",COUNTIFS($P$5:$P$504,"&gt;"&amp;P250)+COUNTIFS($P$5:P250,P250))</f>
        <v>0</v>
      </c>
      <c r="X250" s="39">
        <f>IF(B250="","",IF(K250="No","",IF(COUNTIF($B$5:$B$504,B250)&gt;1,"Duplicate - this client is on twice",IF(Q250&gt;0,"Action - reward ready to give",IF(U250&gt;0.004,"Action - referral credit owed",IF(V250="Lapsing","Chase - points are a reason to call",IF(S250&lt;=RewardAt*0.2,"Rebook - nearly at a reward","OK")))))))</f>
        <v>0</v>
      </c>
    </row>
    <row r="251" spans="1:24">
      <c r="A251" s="28">
        <f>IF(B251="","",LoyaltyPrefix&amp;TEXT(ROW()-4,"0000"))</f>
        <v>0</v>
      </c>
      <c r="C251" s="15">
        <f>IF(B251="","",IFERROR(INDEX(Clients!$B$5:$B$504,MATCH(B251,Clients!$A$5:$A$504,0)),"Not in Clients"))</f>
        <v>0</v>
      </c>
      <c r="M251" s="26">
        <f>IF(B251="","",ROUND(SUMIFS(Sales!$Y$5:$Y$1204,Sales!$D$5:$D$1204,B251,Sales!$B$5:$B$1204,"&gt;="&amp;IF(D251="",0,D251)),2))</f>
        <v>0</v>
      </c>
      <c r="N251" s="25">
        <f>IF(B251="","",IFERROR(INDEX(Clients!$T$5:$T$504,MATCH(B251,Clients!$A$5:$A$504,0))*1,0))</f>
        <v>0</v>
      </c>
      <c r="O251" s="25">
        <f>IF(B251="","",ROUND(M251*PointsPerUnit+IF(F251="",0,F251),0))</f>
        <v>0</v>
      </c>
      <c r="P251" s="25">
        <f>IF(B251="","",O251-IF(G251="",0,G251))</f>
        <v>0</v>
      </c>
      <c r="Q251" s="25">
        <f>IF(B251="","",IF(RewardAt&lt;=0,0,ROUNDDOWN(P251/RewardAt,0)))</f>
        <v>0</v>
      </c>
      <c r="R251" s="26">
        <f>IF(B251="","",ROUND(Q251*RewardValue,2))</f>
        <v>0</v>
      </c>
      <c r="S251" s="25">
        <f>IF(B251="","",IF(RewardAt&lt;=0,"",MAX(0,RewardAt*(Q251+1)-P251)))</f>
        <v>0</v>
      </c>
      <c r="T251" s="25">
        <f>IF(B251="","",COUNTIFS(Clients!$H$5:$H$504,B251))</f>
        <v>0</v>
      </c>
      <c r="U251" s="26">
        <f>IF(B251="","",ROUND(T251*ReferralReward-IF(J251="",0,J251),2))</f>
        <v>0</v>
      </c>
      <c r="V251" s="15">
        <f>IF(B251="","",IFERROR(INDEX(Clients!$AM$5:$AM$504,MATCH(B251,Clients!$A$5:$A$504,0))&amp;"",""))</f>
        <v>0</v>
      </c>
      <c r="W251" s="25">
        <f>IF(B251="","",COUNTIFS($P$5:$P$504,"&gt;"&amp;P251)+COUNTIFS($P$5:P251,P251))</f>
        <v>0</v>
      </c>
      <c r="X251" s="39">
        <f>IF(B251="","",IF(K251="No","",IF(COUNTIF($B$5:$B$504,B251)&gt;1,"Duplicate - this client is on twice",IF(Q251&gt;0,"Action - reward ready to give",IF(U251&gt;0.004,"Action - referral credit owed",IF(V251="Lapsing","Chase - points are a reason to call",IF(S251&lt;=RewardAt*0.2,"Rebook - nearly at a reward","OK")))))))</f>
        <v>0</v>
      </c>
    </row>
    <row r="252" spans="1:24">
      <c r="A252" s="28">
        <f>IF(B252="","",LoyaltyPrefix&amp;TEXT(ROW()-4,"0000"))</f>
        <v>0</v>
      </c>
      <c r="C252" s="15">
        <f>IF(B252="","",IFERROR(INDEX(Clients!$B$5:$B$504,MATCH(B252,Clients!$A$5:$A$504,0)),"Not in Clients"))</f>
        <v>0</v>
      </c>
      <c r="M252" s="26">
        <f>IF(B252="","",ROUND(SUMIFS(Sales!$Y$5:$Y$1204,Sales!$D$5:$D$1204,B252,Sales!$B$5:$B$1204,"&gt;="&amp;IF(D252="",0,D252)),2))</f>
        <v>0</v>
      </c>
      <c r="N252" s="25">
        <f>IF(B252="","",IFERROR(INDEX(Clients!$T$5:$T$504,MATCH(B252,Clients!$A$5:$A$504,0))*1,0))</f>
        <v>0</v>
      </c>
      <c r="O252" s="25">
        <f>IF(B252="","",ROUND(M252*PointsPerUnit+IF(F252="",0,F252),0))</f>
        <v>0</v>
      </c>
      <c r="P252" s="25">
        <f>IF(B252="","",O252-IF(G252="",0,G252))</f>
        <v>0</v>
      </c>
      <c r="Q252" s="25">
        <f>IF(B252="","",IF(RewardAt&lt;=0,0,ROUNDDOWN(P252/RewardAt,0)))</f>
        <v>0</v>
      </c>
      <c r="R252" s="26">
        <f>IF(B252="","",ROUND(Q252*RewardValue,2))</f>
        <v>0</v>
      </c>
      <c r="S252" s="25">
        <f>IF(B252="","",IF(RewardAt&lt;=0,"",MAX(0,RewardAt*(Q252+1)-P252)))</f>
        <v>0</v>
      </c>
      <c r="T252" s="25">
        <f>IF(B252="","",COUNTIFS(Clients!$H$5:$H$504,B252))</f>
        <v>0</v>
      </c>
      <c r="U252" s="26">
        <f>IF(B252="","",ROUND(T252*ReferralReward-IF(J252="",0,J252),2))</f>
        <v>0</v>
      </c>
      <c r="V252" s="15">
        <f>IF(B252="","",IFERROR(INDEX(Clients!$AM$5:$AM$504,MATCH(B252,Clients!$A$5:$A$504,0))&amp;"",""))</f>
        <v>0</v>
      </c>
      <c r="W252" s="25">
        <f>IF(B252="","",COUNTIFS($P$5:$P$504,"&gt;"&amp;P252)+COUNTIFS($P$5:P252,P252))</f>
        <v>0</v>
      </c>
      <c r="X252" s="39">
        <f>IF(B252="","",IF(K252="No","",IF(COUNTIF($B$5:$B$504,B252)&gt;1,"Duplicate - this client is on twice",IF(Q252&gt;0,"Action - reward ready to give",IF(U252&gt;0.004,"Action - referral credit owed",IF(V252="Lapsing","Chase - points are a reason to call",IF(S252&lt;=RewardAt*0.2,"Rebook - nearly at a reward","OK")))))))</f>
        <v>0</v>
      </c>
    </row>
    <row r="253" spans="1:24">
      <c r="A253" s="28">
        <f>IF(B253="","",LoyaltyPrefix&amp;TEXT(ROW()-4,"0000"))</f>
        <v>0</v>
      </c>
      <c r="C253" s="15">
        <f>IF(B253="","",IFERROR(INDEX(Clients!$B$5:$B$504,MATCH(B253,Clients!$A$5:$A$504,0)),"Not in Clients"))</f>
        <v>0</v>
      </c>
      <c r="M253" s="26">
        <f>IF(B253="","",ROUND(SUMIFS(Sales!$Y$5:$Y$1204,Sales!$D$5:$D$1204,B253,Sales!$B$5:$B$1204,"&gt;="&amp;IF(D253="",0,D253)),2))</f>
        <v>0</v>
      </c>
      <c r="N253" s="25">
        <f>IF(B253="","",IFERROR(INDEX(Clients!$T$5:$T$504,MATCH(B253,Clients!$A$5:$A$504,0))*1,0))</f>
        <v>0</v>
      </c>
      <c r="O253" s="25">
        <f>IF(B253="","",ROUND(M253*PointsPerUnit+IF(F253="",0,F253),0))</f>
        <v>0</v>
      </c>
      <c r="P253" s="25">
        <f>IF(B253="","",O253-IF(G253="",0,G253))</f>
        <v>0</v>
      </c>
      <c r="Q253" s="25">
        <f>IF(B253="","",IF(RewardAt&lt;=0,0,ROUNDDOWN(P253/RewardAt,0)))</f>
        <v>0</v>
      </c>
      <c r="R253" s="26">
        <f>IF(B253="","",ROUND(Q253*RewardValue,2))</f>
        <v>0</v>
      </c>
      <c r="S253" s="25">
        <f>IF(B253="","",IF(RewardAt&lt;=0,"",MAX(0,RewardAt*(Q253+1)-P253)))</f>
        <v>0</v>
      </c>
      <c r="T253" s="25">
        <f>IF(B253="","",COUNTIFS(Clients!$H$5:$H$504,B253))</f>
        <v>0</v>
      </c>
      <c r="U253" s="26">
        <f>IF(B253="","",ROUND(T253*ReferralReward-IF(J253="",0,J253),2))</f>
        <v>0</v>
      </c>
      <c r="V253" s="15">
        <f>IF(B253="","",IFERROR(INDEX(Clients!$AM$5:$AM$504,MATCH(B253,Clients!$A$5:$A$504,0))&amp;"",""))</f>
        <v>0</v>
      </c>
      <c r="W253" s="25">
        <f>IF(B253="","",COUNTIFS($P$5:$P$504,"&gt;"&amp;P253)+COUNTIFS($P$5:P253,P253))</f>
        <v>0</v>
      </c>
      <c r="X253" s="39">
        <f>IF(B253="","",IF(K253="No","",IF(COUNTIF($B$5:$B$504,B253)&gt;1,"Duplicate - this client is on twice",IF(Q253&gt;0,"Action - reward ready to give",IF(U253&gt;0.004,"Action - referral credit owed",IF(V253="Lapsing","Chase - points are a reason to call",IF(S253&lt;=RewardAt*0.2,"Rebook - nearly at a reward","OK")))))))</f>
        <v>0</v>
      </c>
    </row>
    <row r="254" spans="1:24">
      <c r="A254" s="28">
        <f>IF(B254="","",LoyaltyPrefix&amp;TEXT(ROW()-4,"0000"))</f>
        <v>0</v>
      </c>
      <c r="C254" s="15">
        <f>IF(B254="","",IFERROR(INDEX(Clients!$B$5:$B$504,MATCH(B254,Clients!$A$5:$A$504,0)),"Not in Clients"))</f>
        <v>0</v>
      </c>
      <c r="M254" s="26">
        <f>IF(B254="","",ROUND(SUMIFS(Sales!$Y$5:$Y$1204,Sales!$D$5:$D$1204,B254,Sales!$B$5:$B$1204,"&gt;="&amp;IF(D254="",0,D254)),2))</f>
        <v>0</v>
      </c>
      <c r="N254" s="25">
        <f>IF(B254="","",IFERROR(INDEX(Clients!$T$5:$T$504,MATCH(B254,Clients!$A$5:$A$504,0))*1,0))</f>
        <v>0</v>
      </c>
      <c r="O254" s="25">
        <f>IF(B254="","",ROUND(M254*PointsPerUnit+IF(F254="",0,F254),0))</f>
        <v>0</v>
      </c>
      <c r="P254" s="25">
        <f>IF(B254="","",O254-IF(G254="",0,G254))</f>
        <v>0</v>
      </c>
      <c r="Q254" s="25">
        <f>IF(B254="","",IF(RewardAt&lt;=0,0,ROUNDDOWN(P254/RewardAt,0)))</f>
        <v>0</v>
      </c>
      <c r="R254" s="26">
        <f>IF(B254="","",ROUND(Q254*RewardValue,2))</f>
        <v>0</v>
      </c>
      <c r="S254" s="25">
        <f>IF(B254="","",IF(RewardAt&lt;=0,"",MAX(0,RewardAt*(Q254+1)-P254)))</f>
        <v>0</v>
      </c>
      <c r="T254" s="25">
        <f>IF(B254="","",COUNTIFS(Clients!$H$5:$H$504,B254))</f>
        <v>0</v>
      </c>
      <c r="U254" s="26">
        <f>IF(B254="","",ROUND(T254*ReferralReward-IF(J254="",0,J254),2))</f>
        <v>0</v>
      </c>
      <c r="V254" s="15">
        <f>IF(B254="","",IFERROR(INDEX(Clients!$AM$5:$AM$504,MATCH(B254,Clients!$A$5:$A$504,0))&amp;"",""))</f>
        <v>0</v>
      </c>
      <c r="W254" s="25">
        <f>IF(B254="","",COUNTIFS($P$5:$P$504,"&gt;"&amp;P254)+COUNTIFS($P$5:P254,P254))</f>
        <v>0</v>
      </c>
      <c r="X254" s="39">
        <f>IF(B254="","",IF(K254="No","",IF(COUNTIF($B$5:$B$504,B254)&gt;1,"Duplicate - this client is on twice",IF(Q254&gt;0,"Action - reward ready to give",IF(U254&gt;0.004,"Action - referral credit owed",IF(V254="Lapsing","Chase - points are a reason to call",IF(S254&lt;=RewardAt*0.2,"Rebook - nearly at a reward","OK")))))))</f>
        <v>0</v>
      </c>
    </row>
    <row r="255" spans="1:24">
      <c r="A255" s="28">
        <f>IF(B255="","",LoyaltyPrefix&amp;TEXT(ROW()-4,"0000"))</f>
        <v>0</v>
      </c>
      <c r="C255" s="15">
        <f>IF(B255="","",IFERROR(INDEX(Clients!$B$5:$B$504,MATCH(B255,Clients!$A$5:$A$504,0)),"Not in Clients"))</f>
        <v>0</v>
      </c>
      <c r="M255" s="26">
        <f>IF(B255="","",ROUND(SUMIFS(Sales!$Y$5:$Y$1204,Sales!$D$5:$D$1204,B255,Sales!$B$5:$B$1204,"&gt;="&amp;IF(D255="",0,D255)),2))</f>
        <v>0</v>
      </c>
      <c r="N255" s="25">
        <f>IF(B255="","",IFERROR(INDEX(Clients!$T$5:$T$504,MATCH(B255,Clients!$A$5:$A$504,0))*1,0))</f>
        <v>0</v>
      </c>
      <c r="O255" s="25">
        <f>IF(B255="","",ROUND(M255*PointsPerUnit+IF(F255="",0,F255),0))</f>
        <v>0</v>
      </c>
      <c r="P255" s="25">
        <f>IF(B255="","",O255-IF(G255="",0,G255))</f>
        <v>0</v>
      </c>
      <c r="Q255" s="25">
        <f>IF(B255="","",IF(RewardAt&lt;=0,0,ROUNDDOWN(P255/RewardAt,0)))</f>
        <v>0</v>
      </c>
      <c r="R255" s="26">
        <f>IF(B255="","",ROUND(Q255*RewardValue,2))</f>
        <v>0</v>
      </c>
      <c r="S255" s="25">
        <f>IF(B255="","",IF(RewardAt&lt;=0,"",MAX(0,RewardAt*(Q255+1)-P255)))</f>
        <v>0</v>
      </c>
      <c r="T255" s="25">
        <f>IF(B255="","",COUNTIFS(Clients!$H$5:$H$504,B255))</f>
        <v>0</v>
      </c>
      <c r="U255" s="26">
        <f>IF(B255="","",ROUND(T255*ReferralReward-IF(J255="",0,J255),2))</f>
        <v>0</v>
      </c>
      <c r="V255" s="15">
        <f>IF(B255="","",IFERROR(INDEX(Clients!$AM$5:$AM$504,MATCH(B255,Clients!$A$5:$A$504,0))&amp;"",""))</f>
        <v>0</v>
      </c>
      <c r="W255" s="25">
        <f>IF(B255="","",COUNTIFS($P$5:$P$504,"&gt;"&amp;P255)+COUNTIFS($P$5:P255,P255))</f>
        <v>0</v>
      </c>
      <c r="X255" s="39">
        <f>IF(B255="","",IF(K255="No","",IF(COUNTIF($B$5:$B$504,B255)&gt;1,"Duplicate - this client is on twice",IF(Q255&gt;0,"Action - reward ready to give",IF(U255&gt;0.004,"Action - referral credit owed",IF(V255="Lapsing","Chase - points are a reason to call",IF(S255&lt;=RewardAt*0.2,"Rebook - nearly at a reward","OK")))))))</f>
        <v>0</v>
      </c>
    </row>
    <row r="256" spans="1:24">
      <c r="A256" s="28">
        <f>IF(B256="","",LoyaltyPrefix&amp;TEXT(ROW()-4,"0000"))</f>
        <v>0</v>
      </c>
      <c r="C256" s="15">
        <f>IF(B256="","",IFERROR(INDEX(Clients!$B$5:$B$504,MATCH(B256,Clients!$A$5:$A$504,0)),"Not in Clients"))</f>
        <v>0</v>
      </c>
      <c r="M256" s="26">
        <f>IF(B256="","",ROUND(SUMIFS(Sales!$Y$5:$Y$1204,Sales!$D$5:$D$1204,B256,Sales!$B$5:$B$1204,"&gt;="&amp;IF(D256="",0,D256)),2))</f>
        <v>0</v>
      </c>
      <c r="N256" s="25">
        <f>IF(B256="","",IFERROR(INDEX(Clients!$T$5:$T$504,MATCH(B256,Clients!$A$5:$A$504,0))*1,0))</f>
        <v>0</v>
      </c>
      <c r="O256" s="25">
        <f>IF(B256="","",ROUND(M256*PointsPerUnit+IF(F256="",0,F256),0))</f>
        <v>0</v>
      </c>
      <c r="P256" s="25">
        <f>IF(B256="","",O256-IF(G256="",0,G256))</f>
        <v>0</v>
      </c>
      <c r="Q256" s="25">
        <f>IF(B256="","",IF(RewardAt&lt;=0,0,ROUNDDOWN(P256/RewardAt,0)))</f>
        <v>0</v>
      </c>
      <c r="R256" s="26">
        <f>IF(B256="","",ROUND(Q256*RewardValue,2))</f>
        <v>0</v>
      </c>
      <c r="S256" s="25">
        <f>IF(B256="","",IF(RewardAt&lt;=0,"",MAX(0,RewardAt*(Q256+1)-P256)))</f>
        <v>0</v>
      </c>
      <c r="T256" s="25">
        <f>IF(B256="","",COUNTIFS(Clients!$H$5:$H$504,B256))</f>
        <v>0</v>
      </c>
      <c r="U256" s="26">
        <f>IF(B256="","",ROUND(T256*ReferralReward-IF(J256="",0,J256),2))</f>
        <v>0</v>
      </c>
      <c r="V256" s="15">
        <f>IF(B256="","",IFERROR(INDEX(Clients!$AM$5:$AM$504,MATCH(B256,Clients!$A$5:$A$504,0))&amp;"",""))</f>
        <v>0</v>
      </c>
      <c r="W256" s="25">
        <f>IF(B256="","",COUNTIFS($P$5:$P$504,"&gt;"&amp;P256)+COUNTIFS($P$5:P256,P256))</f>
        <v>0</v>
      </c>
      <c r="X256" s="39">
        <f>IF(B256="","",IF(K256="No","",IF(COUNTIF($B$5:$B$504,B256)&gt;1,"Duplicate - this client is on twice",IF(Q256&gt;0,"Action - reward ready to give",IF(U256&gt;0.004,"Action - referral credit owed",IF(V256="Lapsing","Chase - points are a reason to call",IF(S256&lt;=RewardAt*0.2,"Rebook - nearly at a reward","OK")))))))</f>
        <v>0</v>
      </c>
    </row>
    <row r="257" spans="1:24">
      <c r="A257" s="28">
        <f>IF(B257="","",LoyaltyPrefix&amp;TEXT(ROW()-4,"0000"))</f>
        <v>0</v>
      </c>
      <c r="C257" s="15">
        <f>IF(B257="","",IFERROR(INDEX(Clients!$B$5:$B$504,MATCH(B257,Clients!$A$5:$A$504,0)),"Not in Clients"))</f>
        <v>0</v>
      </c>
      <c r="M257" s="26">
        <f>IF(B257="","",ROUND(SUMIFS(Sales!$Y$5:$Y$1204,Sales!$D$5:$D$1204,B257,Sales!$B$5:$B$1204,"&gt;="&amp;IF(D257="",0,D257)),2))</f>
        <v>0</v>
      </c>
      <c r="N257" s="25">
        <f>IF(B257="","",IFERROR(INDEX(Clients!$T$5:$T$504,MATCH(B257,Clients!$A$5:$A$504,0))*1,0))</f>
        <v>0</v>
      </c>
      <c r="O257" s="25">
        <f>IF(B257="","",ROUND(M257*PointsPerUnit+IF(F257="",0,F257),0))</f>
        <v>0</v>
      </c>
      <c r="P257" s="25">
        <f>IF(B257="","",O257-IF(G257="",0,G257))</f>
        <v>0</v>
      </c>
      <c r="Q257" s="25">
        <f>IF(B257="","",IF(RewardAt&lt;=0,0,ROUNDDOWN(P257/RewardAt,0)))</f>
        <v>0</v>
      </c>
      <c r="R257" s="26">
        <f>IF(B257="","",ROUND(Q257*RewardValue,2))</f>
        <v>0</v>
      </c>
      <c r="S257" s="25">
        <f>IF(B257="","",IF(RewardAt&lt;=0,"",MAX(0,RewardAt*(Q257+1)-P257)))</f>
        <v>0</v>
      </c>
      <c r="T257" s="25">
        <f>IF(B257="","",COUNTIFS(Clients!$H$5:$H$504,B257))</f>
        <v>0</v>
      </c>
      <c r="U257" s="26">
        <f>IF(B257="","",ROUND(T257*ReferralReward-IF(J257="",0,J257),2))</f>
        <v>0</v>
      </c>
      <c r="V257" s="15">
        <f>IF(B257="","",IFERROR(INDEX(Clients!$AM$5:$AM$504,MATCH(B257,Clients!$A$5:$A$504,0))&amp;"",""))</f>
        <v>0</v>
      </c>
      <c r="W257" s="25">
        <f>IF(B257="","",COUNTIFS($P$5:$P$504,"&gt;"&amp;P257)+COUNTIFS($P$5:P257,P257))</f>
        <v>0</v>
      </c>
      <c r="X257" s="39">
        <f>IF(B257="","",IF(K257="No","",IF(COUNTIF($B$5:$B$504,B257)&gt;1,"Duplicate - this client is on twice",IF(Q257&gt;0,"Action - reward ready to give",IF(U257&gt;0.004,"Action - referral credit owed",IF(V257="Lapsing","Chase - points are a reason to call",IF(S257&lt;=RewardAt*0.2,"Rebook - nearly at a reward","OK")))))))</f>
        <v>0</v>
      </c>
    </row>
    <row r="258" spans="1:24">
      <c r="A258" s="28">
        <f>IF(B258="","",LoyaltyPrefix&amp;TEXT(ROW()-4,"0000"))</f>
        <v>0</v>
      </c>
      <c r="C258" s="15">
        <f>IF(B258="","",IFERROR(INDEX(Clients!$B$5:$B$504,MATCH(B258,Clients!$A$5:$A$504,0)),"Not in Clients"))</f>
        <v>0</v>
      </c>
      <c r="M258" s="26">
        <f>IF(B258="","",ROUND(SUMIFS(Sales!$Y$5:$Y$1204,Sales!$D$5:$D$1204,B258,Sales!$B$5:$B$1204,"&gt;="&amp;IF(D258="",0,D258)),2))</f>
        <v>0</v>
      </c>
      <c r="N258" s="25">
        <f>IF(B258="","",IFERROR(INDEX(Clients!$T$5:$T$504,MATCH(B258,Clients!$A$5:$A$504,0))*1,0))</f>
        <v>0</v>
      </c>
      <c r="O258" s="25">
        <f>IF(B258="","",ROUND(M258*PointsPerUnit+IF(F258="",0,F258),0))</f>
        <v>0</v>
      </c>
      <c r="P258" s="25">
        <f>IF(B258="","",O258-IF(G258="",0,G258))</f>
        <v>0</v>
      </c>
      <c r="Q258" s="25">
        <f>IF(B258="","",IF(RewardAt&lt;=0,0,ROUNDDOWN(P258/RewardAt,0)))</f>
        <v>0</v>
      </c>
      <c r="R258" s="26">
        <f>IF(B258="","",ROUND(Q258*RewardValue,2))</f>
        <v>0</v>
      </c>
      <c r="S258" s="25">
        <f>IF(B258="","",IF(RewardAt&lt;=0,"",MAX(0,RewardAt*(Q258+1)-P258)))</f>
        <v>0</v>
      </c>
      <c r="T258" s="25">
        <f>IF(B258="","",COUNTIFS(Clients!$H$5:$H$504,B258))</f>
        <v>0</v>
      </c>
      <c r="U258" s="26">
        <f>IF(B258="","",ROUND(T258*ReferralReward-IF(J258="",0,J258),2))</f>
        <v>0</v>
      </c>
      <c r="V258" s="15">
        <f>IF(B258="","",IFERROR(INDEX(Clients!$AM$5:$AM$504,MATCH(B258,Clients!$A$5:$A$504,0))&amp;"",""))</f>
        <v>0</v>
      </c>
      <c r="W258" s="25">
        <f>IF(B258="","",COUNTIFS($P$5:$P$504,"&gt;"&amp;P258)+COUNTIFS($P$5:P258,P258))</f>
        <v>0</v>
      </c>
      <c r="X258" s="39">
        <f>IF(B258="","",IF(K258="No","",IF(COUNTIF($B$5:$B$504,B258)&gt;1,"Duplicate - this client is on twice",IF(Q258&gt;0,"Action - reward ready to give",IF(U258&gt;0.004,"Action - referral credit owed",IF(V258="Lapsing","Chase - points are a reason to call",IF(S258&lt;=RewardAt*0.2,"Rebook - nearly at a reward","OK")))))))</f>
        <v>0</v>
      </c>
    </row>
    <row r="259" spans="1:24">
      <c r="A259" s="28">
        <f>IF(B259="","",LoyaltyPrefix&amp;TEXT(ROW()-4,"0000"))</f>
        <v>0</v>
      </c>
      <c r="C259" s="15">
        <f>IF(B259="","",IFERROR(INDEX(Clients!$B$5:$B$504,MATCH(B259,Clients!$A$5:$A$504,0)),"Not in Clients"))</f>
        <v>0</v>
      </c>
      <c r="M259" s="26">
        <f>IF(B259="","",ROUND(SUMIFS(Sales!$Y$5:$Y$1204,Sales!$D$5:$D$1204,B259,Sales!$B$5:$B$1204,"&gt;="&amp;IF(D259="",0,D259)),2))</f>
        <v>0</v>
      </c>
      <c r="N259" s="25">
        <f>IF(B259="","",IFERROR(INDEX(Clients!$T$5:$T$504,MATCH(B259,Clients!$A$5:$A$504,0))*1,0))</f>
        <v>0</v>
      </c>
      <c r="O259" s="25">
        <f>IF(B259="","",ROUND(M259*PointsPerUnit+IF(F259="",0,F259),0))</f>
        <v>0</v>
      </c>
      <c r="P259" s="25">
        <f>IF(B259="","",O259-IF(G259="",0,G259))</f>
        <v>0</v>
      </c>
      <c r="Q259" s="25">
        <f>IF(B259="","",IF(RewardAt&lt;=0,0,ROUNDDOWN(P259/RewardAt,0)))</f>
        <v>0</v>
      </c>
      <c r="R259" s="26">
        <f>IF(B259="","",ROUND(Q259*RewardValue,2))</f>
        <v>0</v>
      </c>
      <c r="S259" s="25">
        <f>IF(B259="","",IF(RewardAt&lt;=0,"",MAX(0,RewardAt*(Q259+1)-P259)))</f>
        <v>0</v>
      </c>
      <c r="T259" s="25">
        <f>IF(B259="","",COUNTIFS(Clients!$H$5:$H$504,B259))</f>
        <v>0</v>
      </c>
      <c r="U259" s="26">
        <f>IF(B259="","",ROUND(T259*ReferralReward-IF(J259="",0,J259),2))</f>
        <v>0</v>
      </c>
      <c r="V259" s="15">
        <f>IF(B259="","",IFERROR(INDEX(Clients!$AM$5:$AM$504,MATCH(B259,Clients!$A$5:$A$504,0))&amp;"",""))</f>
        <v>0</v>
      </c>
      <c r="W259" s="25">
        <f>IF(B259="","",COUNTIFS($P$5:$P$504,"&gt;"&amp;P259)+COUNTIFS($P$5:P259,P259))</f>
        <v>0</v>
      </c>
      <c r="X259" s="39">
        <f>IF(B259="","",IF(K259="No","",IF(COUNTIF($B$5:$B$504,B259)&gt;1,"Duplicate - this client is on twice",IF(Q259&gt;0,"Action - reward ready to give",IF(U259&gt;0.004,"Action - referral credit owed",IF(V259="Lapsing","Chase - points are a reason to call",IF(S259&lt;=RewardAt*0.2,"Rebook - nearly at a reward","OK")))))))</f>
        <v>0</v>
      </c>
    </row>
    <row r="260" spans="1:24">
      <c r="A260" s="28">
        <f>IF(B260="","",LoyaltyPrefix&amp;TEXT(ROW()-4,"0000"))</f>
        <v>0</v>
      </c>
      <c r="C260" s="15">
        <f>IF(B260="","",IFERROR(INDEX(Clients!$B$5:$B$504,MATCH(B260,Clients!$A$5:$A$504,0)),"Not in Clients"))</f>
        <v>0</v>
      </c>
      <c r="M260" s="26">
        <f>IF(B260="","",ROUND(SUMIFS(Sales!$Y$5:$Y$1204,Sales!$D$5:$D$1204,B260,Sales!$B$5:$B$1204,"&gt;="&amp;IF(D260="",0,D260)),2))</f>
        <v>0</v>
      </c>
      <c r="N260" s="25">
        <f>IF(B260="","",IFERROR(INDEX(Clients!$T$5:$T$504,MATCH(B260,Clients!$A$5:$A$504,0))*1,0))</f>
        <v>0</v>
      </c>
      <c r="O260" s="25">
        <f>IF(B260="","",ROUND(M260*PointsPerUnit+IF(F260="",0,F260),0))</f>
        <v>0</v>
      </c>
      <c r="P260" s="25">
        <f>IF(B260="","",O260-IF(G260="",0,G260))</f>
        <v>0</v>
      </c>
      <c r="Q260" s="25">
        <f>IF(B260="","",IF(RewardAt&lt;=0,0,ROUNDDOWN(P260/RewardAt,0)))</f>
        <v>0</v>
      </c>
      <c r="R260" s="26">
        <f>IF(B260="","",ROUND(Q260*RewardValue,2))</f>
        <v>0</v>
      </c>
      <c r="S260" s="25">
        <f>IF(B260="","",IF(RewardAt&lt;=0,"",MAX(0,RewardAt*(Q260+1)-P260)))</f>
        <v>0</v>
      </c>
      <c r="T260" s="25">
        <f>IF(B260="","",COUNTIFS(Clients!$H$5:$H$504,B260))</f>
        <v>0</v>
      </c>
      <c r="U260" s="26">
        <f>IF(B260="","",ROUND(T260*ReferralReward-IF(J260="",0,J260),2))</f>
        <v>0</v>
      </c>
      <c r="V260" s="15">
        <f>IF(B260="","",IFERROR(INDEX(Clients!$AM$5:$AM$504,MATCH(B260,Clients!$A$5:$A$504,0))&amp;"",""))</f>
        <v>0</v>
      </c>
      <c r="W260" s="25">
        <f>IF(B260="","",COUNTIFS($P$5:$P$504,"&gt;"&amp;P260)+COUNTIFS($P$5:P260,P260))</f>
        <v>0</v>
      </c>
      <c r="X260" s="39">
        <f>IF(B260="","",IF(K260="No","",IF(COUNTIF($B$5:$B$504,B260)&gt;1,"Duplicate - this client is on twice",IF(Q260&gt;0,"Action - reward ready to give",IF(U260&gt;0.004,"Action - referral credit owed",IF(V260="Lapsing","Chase - points are a reason to call",IF(S260&lt;=RewardAt*0.2,"Rebook - nearly at a reward","OK")))))))</f>
        <v>0</v>
      </c>
    </row>
    <row r="261" spans="1:24">
      <c r="A261" s="28">
        <f>IF(B261="","",LoyaltyPrefix&amp;TEXT(ROW()-4,"0000"))</f>
        <v>0</v>
      </c>
      <c r="C261" s="15">
        <f>IF(B261="","",IFERROR(INDEX(Clients!$B$5:$B$504,MATCH(B261,Clients!$A$5:$A$504,0)),"Not in Clients"))</f>
        <v>0</v>
      </c>
      <c r="M261" s="26">
        <f>IF(B261="","",ROUND(SUMIFS(Sales!$Y$5:$Y$1204,Sales!$D$5:$D$1204,B261,Sales!$B$5:$B$1204,"&gt;="&amp;IF(D261="",0,D261)),2))</f>
        <v>0</v>
      </c>
      <c r="N261" s="25">
        <f>IF(B261="","",IFERROR(INDEX(Clients!$T$5:$T$504,MATCH(B261,Clients!$A$5:$A$504,0))*1,0))</f>
        <v>0</v>
      </c>
      <c r="O261" s="25">
        <f>IF(B261="","",ROUND(M261*PointsPerUnit+IF(F261="",0,F261),0))</f>
        <v>0</v>
      </c>
      <c r="P261" s="25">
        <f>IF(B261="","",O261-IF(G261="",0,G261))</f>
        <v>0</v>
      </c>
      <c r="Q261" s="25">
        <f>IF(B261="","",IF(RewardAt&lt;=0,0,ROUNDDOWN(P261/RewardAt,0)))</f>
        <v>0</v>
      </c>
      <c r="R261" s="26">
        <f>IF(B261="","",ROUND(Q261*RewardValue,2))</f>
        <v>0</v>
      </c>
      <c r="S261" s="25">
        <f>IF(B261="","",IF(RewardAt&lt;=0,"",MAX(0,RewardAt*(Q261+1)-P261)))</f>
        <v>0</v>
      </c>
      <c r="T261" s="25">
        <f>IF(B261="","",COUNTIFS(Clients!$H$5:$H$504,B261))</f>
        <v>0</v>
      </c>
      <c r="U261" s="26">
        <f>IF(B261="","",ROUND(T261*ReferralReward-IF(J261="",0,J261),2))</f>
        <v>0</v>
      </c>
      <c r="V261" s="15">
        <f>IF(B261="","",IFERROR(INDEX(Clients!$AM$5:$AM$504,MATCH(B261,Clients!$A$5:$A$504,0))&amp;"",""))</f>
        <v>0</v>
      </c>
      <c r="W261" s="25">
        <f>IF(B261="","",COUNTIFS($P$5:$P$504,"&gt;"&amp;P261)+COUNTIFS($P$5:P261,P261))</f>
        <v>0</v>
      </c>
      <c r="X261" s="39">
        <f>IF(B261="","",IF(K261="No","",IF(COUNTIF($B$5:$B$504,B261)&gt;1,"Duplicate - this client is on twice",IF(Q261&gt;0,"Action - reward ready to give",IF(U261&gt;0.004,"Action - referral credit owed",IF(V261="Lapsing","Chase - points are a reason to call",IF(S261&lt;=RewardAt*0.2,"Rebook - nearly at a reward","OK")))))))</f>
        <v>0</v>
      </c>
    </row>
    <row r="262" spans="1:24">
      <c r="A262" s="28">
        <f>IF(B262="","",LoyaltyPrefix&amp;TEXT(ROW()-4,"0000"))</f>
        <v>0</v>
      </c>
      <c r="C262" s="15">
        <f>IF(B262="","",IFERROR(INDEX(Clients!$B$5:$B$504,MATCH(B262,Clients!$A$5:$A$504,0)),"Not in Clients"))</f>
        <v>0</v>
      </c>
      <c r="M262" s="26">
        <f>IF(B262="","",ROUND(SUMIFS(Sales!$Y$5:$Y$1204,Sales!$D$5:$D$1204,B262,Sales!$B$5:$B$1204,"&gt;="&amp;IF(D262="",0,D262)),2))</f>
        <v>0</v>
      </c>
      <c r="N262" s="25">
        <f>IF(B262="","",IFERROR(INDEX(Clients!$T$5:$T$504,MATCH(B262,Clients!$A$5:$A$504,0))*1,0))</f>
        <v>0</v>
      </c>
      <c r="O262" s="25">
        <f>IF(B262="","",ROUND(M262*PointsPerUnit+IF(F262="",0,F262),0))</f>
        <v>0</v>
      </c>
      <c r="P262" s="25">
        <f>IF(B262="","",O262-IF(G262="",0,G262))</f>
        <v>0</v>
      </c>
      <c r="Q262" s="25">
        <f>IF(B262="","",IF(RewardAt&lt;=0,0,ROUNDDOWN(P262/RewardAt,0)))</f>
        <v>0</v>
      </c>
      <c r="R262" s="26">
        <f>IF(B262="","",ROUND(Q262*RewardValue,2))</f>
        <v>0</v>
      </c>
      <c r="S262" s="25">
        <f>IF(B262="","",IF(RewardAt&lt;=0,"",MAX(0,RewardAt*(Q262+1)-P262)))</f>
        <v>0</v>
      </c>
      <c r="T262" s="25">
        <f>IF(B262="","",COUNTIFS(Clients!$H$5:$H$504,B262))</f>
        <v>0</v>
      </c>
      <c r="U262" s="26">
        <f>IF(B262="","",ROUND(T262*ReferralReward-IF(J262="",0,J262),2))</f>
        <v>0</v>
      </c>
      <c r="V262" s="15">
        <f>IF(B262="","",IFERROR(INDEX(Clients!$AM$5:$AM$504,MATCH(B262,Clients!$A$5:$A$504,0))&amp;"",""))</f>
        <v>0</v>
      </c>
      <c r="W262" s="25">
        <f>IF(B262="","",COUNTIFS($P$5:$P$504,"&gt;"&amp;P262)+COUNTIFS($P$5:P262,P262))</f>
        <v>0</v>
      </c>
      <c r="X262" s="39">
        <f>IF(B262="","",IF(K262="No","",IF(COUNTIF($B$5:$B$504,B262)&gt;1,"Duplicate - this client is on twice",IF(Q262&gt;0,"Action - reward ready to give",IF(U262&gt;0.004,"Action - referral credit owed",IF(V262="Lapsing","Chase - points are a reason to call",IF(S262&lt;=RewardAt*0.2,"Rebook - nearly at a reward","OK")))))))</f>
        <v>0</v>
      </c>
    </row>
    <row r="263" spans="1:24">
      <c r="A263" s="28">
        <f>IF(B263="","",LoyaltyPrefix&amp;TEXT(ROW()-4,"0000"))</f>
        <v>0</v>
      </c>
      <c r="C263" s="15">
        <f>IF(B263="","",IFERROR(INDEX(Clients!$B$5:$B$504,MATCH(B263,Clients!$A$5:$A$504,0)),"Not in Clients"))</f>
        <v>0</v>
      </c>
      <c r="M263" s="26">
        <f>IF(B263="","",ROUND(SUMIFS(Sales!$Y$5:$Y$1204,Sales!$D$5:$D$1204,B263,Sales!$B$5:$B$1204,"&gt;="&amp;IF(D263="",0,D263)),2))</f>
        <v>0</v>
      </c>
      <c r="N263" s="25">
        <f>IF(B263="","",IFERROR(INDEX(Clients!$T$5:$T$504,MATCH(B263,Clients!$A$5:$A$504,0))*1,0))</f>
        <v>0</v>
      </c>
      <c r="O263" s="25">
        <f>IF(B263="","",ROUND(M263*PointsPerUnit+IF(F263="",0,F263),0))</f>
        <v>0</v>
      </c>
      <c r="P263" s="25">
        <f>IF(B263="","",O263-IF(G263="",0,G263))</f>
        <v>0</v>
      </c>
      <c r="Q263" s="25">
        <f>IF(B263="","",IF(RewardAt&lt;=0,0,ROUNDDOWN(P263/RewardAt,0)))</f>
        <v>0</v>
      </c>
      <c r="R263" s="26">
        <f>IF(B263="","",ROUND(Q263*RewardValue,2))</f>
        <v>0</v>
      </c>
      <c r="S263" s="25">
        <f>IF(B263="","",IF(RewardAt&lt;=0,"",MAX(0,RewardAt*(Q263+1)-P263)))</f>
        <v>0</v>
      </c>
      <c r="T263" s="25">
        <f>IF(B263="","",COUNTIFS(Clients!$H$5:$H$504,B263))</f>
        <v>0</v>
      </c>
      <c r="U263" s="26">
        <f>IF(B263="","",ROUND(T263*ReferralReward-IF(J263="",0,J263),2))</f>
        <v>0</v>
      </c>
      <c r="V263" s="15">
        <f>IF(B263="","",IFERROR(INDEX(Clients!$AM$5:$AM$504,MATCH(B263,Clients!$A$5:$A$504,0))&amp;"",""))</f>
        <v>0</v>
      </c>
      <c r="W263" s="25">
        <f>IF(B263="","",COUNTIFS($P$5:$P$504,"&gt;"&amp;P263)+COUNTIFS($P$5:P263,P263))</f>
        <v>0</v>
      </c>
      <c r="X263" s="39">
        <f>IF(B263="","",IF(K263="No","",IF(COUNTIF($B$5:$B$504,B263)&gt;1,"Duplicate - this client is on twice",IF(Q263&gt;0,"Action - reward ready to give",IF(U263&gt;0.004,"Action - referral credit owed",IF(V263="Lapsing","Chase - points are a reason to call",IF(S263&lt;=RewardAt*0.2,"Rebook - nearly at a reward","OK")))))))</f>
        <v>0</v>
      </c>
    </row>
    <row r="264" spans="1:24">
      <c r="A264" s="28">
        <f>IF(B264="","",LoyaltyPrefix&amp;TEXT(ROW()-4,"0000"))</f>
        <v>0</v>
      </c>
      <c r="C264" s="15">
        <f>IF(B264="","",IFERROR(INDEX(Clients!$B$5:$B$504,MATCH(B264,Clients!$A$5:$A$504,0)),"Not in Clients"))</f>
        <v>0</v>
      </c>
      <c r="M264" s="26">
        <f>IF(B264="","",ROUND(SUMIFS(Sales!$Y$5:$Y$1204,Sales!$D$5:$D$1204,B264,Sales!$B$5:$B$1204,"&gt;="&amp;IF(D264="",0,D264)),2))</f>
        <v>0</v>
      </c>
      <c r="N264" s="25">
        <f>IF(B264="","",IFERROR(INDEX(Clients!$T$5:$T$504,MATCH(B264,Clients!$A$5:$A$504,0))*1,0))</f>
        <v>0</v>
      </c>
      <c r="O264" s="25">
        <f>IF(B264="","",ROUND(M264*PointsPerUnit+IF(F264="",0,F264),0))</f>
        <v>0</v>
      </c>
      <c r="P264" s="25">
        <f>IF(B264="","",O264-IF(G264="",0,G264))</f>
        <v>0</v>
      </c>
      <c r="Q264" s="25">
        <f>IF(B264="","",IF(RewardAt&lt;=0,0,ROUNDDOWN(P264/RewardAt,0)))</f>
        <v>0</v>
      </c>
      <c r="R264" s="26">
        <f>IF(B264="","",ROUND(Q264*RewardValue,2))</f>
        <v>0</v>
      </c>
      <c r="S264" s="25">
        <f>IF(B264="","",IF(RewardAt&lt;=0,"",MAX(0,RewardAt*(Q264+1)-P264)))</f>
        <v>0</v>
      </c>
      <c r="T264" s="25">
        <f>IF(B264="","",COUNTIFS(Clients!$H$5:$H$504,B264))</f>
        <v>0</v>
      </c>
      <c r="U264" s="26">
        <f>IF(B264="","",ROUND(T264*ReferralReward-IF(J264="",0,J264),2))</f>
        <v>0</v>
      </c>
      <c r="V264" s="15">
        <f>IF(B264="","",IFERROR(INDEX(Clients!$AM$5:$AM$504,MATCH(B264,Clients!$A$5:$A$504,0))&amp;"",""))</f>
        <v>0</v>
      </c>
      <c r="W264" s="25">
        <f>IF(B264="","",COUNTIFS($P$5:$P$504,"&gt;"&amp;P264)+COUNTIFS($P$5:P264,P264))</f>
        <v>0</v>
      </c>
      <c r="X264" s="39">
        <f>IF(B264="","",IF(K264="No","",IF(COUNTIF($B$5:$B$504,B264)&gt;1,"Duplicate - this client is on twice",IF(Q264&gt;0,"Action - reward ready to give",IF(U264&gt;0.004,"Action - referral credit owed",IF(V264="Lapsing","Chase - points are a reason to call",IF(S264&lt;=RewardAt*0.2,"Rebook - nearly at a reward","OK")))))))</f>
        <v>0</v>
      </c>
    </row>
    <row r="265" spans="1:24">
      <c r="A265" s="28">
        <f>IF(B265="","",LoyaltyPrefix&amp;TEXT(ROW()-4,"0000"))</f>
        <v>0</v>
      </c>
      <c r="C265" s="15">
        <f>IF(B265="","",IFERROR(INDEX(Clients!$B$5:$B$504,MATCH(B265,Clients!$A$5:$A$504,0)),"Not in Clients"))</f>
        <v>0</v>
      </c>
      <c r="M265" s="26">
        <f>IF(B265="","",ROUND(SUMIFS(Sales!$Y$5:$Y$1204,Sales!$D$5:$D$1204,B265,Sales!$B$5:$B$1204,"&gt;="&amp;IF(D265="",0,D265)),2))</f>
        <v>0</v>
      </c>
      <c r="N265" s="25">
        <f>IF(B265="","",IFERROR(INDEX(Clients!$T$5:$T$504,MATCH(B265,Clients!$A$5:$A$504,0))*1,0))</f>
        <v>0</v>
      </c>
      <c r="O265" s="25">
        <f>IF(B265="","",ROUND(M265*PointsPerUnit+IF(F265="",0,F265),0))</f>
        <v>0</v>
      </c>
      <c r="P265" s="25">
        <f>IF(B265="","",O265-IF(G265="",0,G265))</f>
        <v>0</v>
      </c>
      <c r="Q265" s="25">
        <f>IF(B265="","",IF(RewardAt&lt;=0,0,ROUNDDOWN(P265/RewardAt,0)))</f>
        <v>0</v>
      </c>
      <c r="R265" s="26">
        <f>IF(B265="","",ROUND(Q265*RewardValue,2))</f>
        <v>0</v>
      </c>
      <c r="S265" s="25">
        <f>IF(B265="","",IF(RewardAt&lt;=0,"",MAX(0,RewardAt*(Q265+1)-P265)))</f>
        <v>0</v>
      </c>
      <c r="T265" s="25">
        <f>IF(B265="","",COUNTIFS(Clients!$H$5:$H$504,B265))</f>
        <v>0</v>
      </c>
      <c r="U265" s="26">
        <f>IF(B265="","",ROUND(T265*ReferralReward-IF(J265="",0,J265),2))</f>
        <v>0</v>
      </c>
      <c r="V265" s="15">
        <f>IF(B265="","",IFERROR(INDEX(Clients!$AM$5:$AM$504,MATCH(B265,Clients!$A$5:$A$504,0))&amp;"",""))</f>
        <v>0</v>
      </c>
      <c r="W265" s="25">
        <f>IF(B265="","",COUNTIFS($P$5:$P$504,"&gt;"&amp;P265)+COUNTIFS($P$5:P265,P265))</f>
        <v>0</v>
      </c>
      <c r="X265" s="39">
        <f>IF(B265="","",IF(K265="No","",IF(COUNTIF($B$5:$B$504,B265)&gt;1,"Duplicate - this client is on twice",IF(Q265&gt;0,"Action - reward ready to give",IF(U265&gt;0.004,"Action - referral credit owed",IF(V265="Lapsing","Chase - points are a reason to call",IF(S265&lt;=RewardAt*0.2,"Rebook - nearly at a reward","OK")))))))</f>
        <v>0</v>
      </c>
    </row>
    <row r="266" spans="1:24">
      <c r="A266" s="28">
        <f>IF(B266="","",LoyaltyPrefix&amp;TEXT(ROW()-4,"0000"))</f>
        <v>0</v>
      </c>
      <c r="C266" s="15">
        <f>IF(B266="","",IFERROR(INDEX(Clients!$B$5:$B$504,MATCH(B266,Clients!$A$5:$A$504,0)),"Not in Clients"))</f>
        <v>0</v>
      </c>
      <c r="M266" s="26">
        <f>IF(B266="","",ROUND(SUMIFS(Sales!$Y$5:$Y$1204,Sales!$D$5:$D$1204,B266,Sales!$B$5:$B$1204,"&gt;="&amp;IF(D266="",0,D266)),2))</f>
        <v>0</v>
      </c>
      <c r="N266" s="25">
        <f>IF(B266="","",IFERROR(INDEX(Clients!$T$5:$T$504,MATCH(B266,Clients!$A$5:$A$504,0))*1,0))</f>
        <v>0</v>
      </c>
      <c r="O266" s="25">
        <f>IF(B266="","",ROUND(M266*PointsPerUnit+IF(F266="",0,F266),0))</f>
        <v>0</v>
      </c>
      <c r="P266" s="25">
        <f>IF(B266="","",O266-IF(G266="",0,G266))</f>
        <v>0</v>
      </c>
      <c r="Q266" s="25">
        <f>IF(B266="","",IF(RewardAt&lt;=0,0,ROUNDDOWN(P266/RewardAt,0)))</f>
        <v>0</v>
      </c>
      <c r="R266" s="26">
        <f>IF(B266="","",ROUND(Q266*RewardValue,2))</f>
        <v>0</v>
      </c>
      <c r="S266" s="25">
        <f>IF(B266="","",IF(RewardAt&lt;=0,"",MAX(0,RewardAt*(Q266+1)-P266)))</f>
        <v>0</v>
      </c>
      <c r="T266" s="25">
        <f>IF(B266="","",COUNTIFS(Clients!$H$5:$H$504,B266))</f>
        <v>0</v>
      </c>
      <c r="U266" s="26">
        <f>IF(B266="","",ROUND(T266*ReferralReward-IF(J266="",0,J266),2))</f>
        <v>0</v>
      </c>
      <c r="V266" s="15">
        <f>IF(B266="","",IFERROR(INDEX(Clients!$AM$5:$AM$504,MATCH(B266,Clients!$A$5:$A$504,0))&amp;"",""))</f>
        <v>0</v>
      </c>
      <c r="W266" s="25">
        <f>IF(B266="","",COUNTIFS($P$5:$P$504,"&gt;"&amp;P266)+COUNTIFS($P$5:P266,P266))</f>
        <v>0</v>
      </c>
      <c r="X266" s="39">
        <f>IF(B266="","",IF(K266="No","",IF(COUNTIF($B$5:$B$504,B266)&gt;1,"Duplicate - this client is on twice",IF(Q266&gt;0,"Action - reward ready to give",IF(U266&gt;0.004,"Action - referral credit owed",IF(V266="Lapsing","Chase - points are a reason to call",IF(S266&lt;=RewardAt*0.2,"Rebook - nearly at a reward","OK")))))))</f>
        <v>0</v>
      </c>
    </row>
    <row r="267" spans="1:24">
      <c r="A267" s="28">
        <f>IF(B267="","",LoyaltyPrefix&amp;TEXT(ROW()-4,"0000"))</f>
        <v>0</v>
      </c>
      <c r="C267" s="15">
        <f>IF(B267="","",IFERROR(INDEX(Clients!$B$5:$B$504,MATCH(B267,Clients!$A$5:$A$504,0)),"Not in Clients"))</f>
        <v>0</v>
      </c>
      <c r="M267" s="26">
        <f>IF(B267="","",ROUND(SUMIFS(Sales!$Y$5:$Y$1204,Sales!$D$5:$D$1204,B267,Sales!$B$5:$B$1204,"&gt;="&amp;IF(D267="",0,D267)),2))</f>
        <v>0</v>
      </c>
      <c r="N267" s="25">
        <f>IF(B267="","",IFERROR(INDEX(Clients!$T$5:$T$504,MATCH(B267,Clients!$A$5:$A$504,0))*1,0))</f>
        <v>0</v>
      </c>
      <c r="O267" s="25">
        <f>IF(B267="","",ROUND(M267*PointsPerUnit+IF(F267="",0,F267),0))</f>
        <v>0</v>
      </c>
      <c r="P267" s="25">
        <f>IF(B267="","",O267-IF(G267="",0,G267))</f>
        <v>0</v>
      </c>
      <c r="Q267" s="25">
        <f>IF(B267="","",IF(RewardAt&lt;=0,0,ROUNDDOWN(P267/RewardAt,0)))</f>
        <v>0</v>
      </c>
      <c r="R267" s="26">
        <f>IF(B267="","",ROUND(Q267*RewardValue,2))</f>
        <v>0</v>
      </c>
      <c r="S267" s="25">
        <f>IF(B267="","",IF(RewardAt&lt;=0,"",MAX(0,RewardAt*(Q267+1)-P267)))</f>
        <v>0</v>
      </c>
      <c r="T267" s="25">
        <f>IF(B267="","",COUNTIFS(Clients!$H$5:$H$504,B267))</f>
        <v>0</v>
      </c>
      <c r="U267" s="26">
        <f>IF(B267="","",ROUND(T267*ReferralReward-IF(J267="",0,J267),2))</f>
        <v>0</v>
      </c>
      <c r="V267" s="15">
        <f>IF(B267="","",IFERROR(INDEX(Clients!$AM$5:$AM$504,MATCH(B267,Clients!$A$5:$A$504,0))&amp;"",""))</f>
        <v>0</v>
      </c>
      <c r="W267" s="25">
        <f>IF(B267="","",COUNTIFS($P$5:$P$504,"&gt;"&amp;P267)+COUNTIFS($P$5:P267,P267))</f>
        <v>0</v>
      </c>
      <c r="X267" s="39">
        <f>IF(B267="","",IF(K267="No","",IF(COUNTIF($B$5:$B$504,B267)&gt;1,"Duplicate - this client is on twice",IF(Q267&gt;0,"Action - reward ready to give",IF(U267&gt;0.004,"Action - referral credit owed",IF(V267="Lapsing","Chase - points are a reason to call",IF(S267&lt;=RewardAt*0.2,"Rebook - nearly at a reward","OK")))))))</f>
        <v>0</v>
      </c>
    </row>
    <row r="268" spans="1:24">
      <c r="A268" s="28">
        <f>IF(B268="","",LoyaltyPrefix&amp;TEXT(ROW()-4,"0000"))</f>
        <v>0</v>
      </c>
      <c r="C268" s="15">
        <f>IF(B268="","",IFERROR(INDEX(Clients!$B$5:$B$504,MATCH(B268,Clients!$A$5:$A$504,0)),"Not in Clients"))</f>
        <v>0</v>
      </c>
      <c r="M268" s="26">
        <f>IF(B268="","",ROUND(SUMIFS(Sales!$Y$5:$Y$1204,Sales!$D$5:$D$1204,B268,Sales!$B$5:$B$1204,"&gt;="&amp;IF(D268="",0,D268)),2))</f>
        <v>0</v>
      </c>
      <c r="N268" s="25">
        <f>IF(B268="","",IFERROR(INDEX(Clients!$T$5:$T$504,MATCH(B268,Clients!$A$5:$A$504,0))*1,0))</f>
        <v>0</v>
      </c>
      <c r="O268" s="25">
        <f>IF(B268="","",ROUND(M268*PointsPerUnit+IF(F268="",0,F268),0))</f>
        <v>0</v>
      </c>
      <c r="P268" s="25">
        <f>IF(B268="","",O268-IF(G268="",0,G268))</f>
        <v>0</v>
      </c>
      <c r="Q268" s="25">
        <f>IF(B268="","",IF(RewardAt&lt;=0,0,ROUNDDOWN(P268/RewardAt,0)))</f>
        <v>0</v>
      </c>
      <c r="R268" s="26">
        <f>IF(B268="","",ROUND(Q268*RewardValue,2))</f>
        <v>0</v>
      </c>
      <c r="S268" s="25">
        <f>IF(B268="","",IF(RewardAt&lt;=0,"",MAX(0,RewardAt*(Q268+1)-P268)))</f>
        <v>0</v>
      </c>
      <c r="T268" s="25">
        <f>IF(B268="","",COUNTIFS(Clients!$H$5:$H$504,B268))</f>
        <v>0</v>
      </c>
      <c r="U268" s="26">
        <f>IF(B268="","",ROUND(T268*ReferralReward-IF(J268="",0,J268),2))</f>
        <v>0</v>
      </c>
      <c r="V268" s="15">
        <f>IF(B268="","",IFERROR(INDEX(Clients!$AM$5:$AM$504,MATCH(B268,Clients!$A$5:$A$504,0))&amp;"",""))</f>
        <v>0</v>
      </c>
      <c r="W268" s="25">
        <f>IF(B268="","",COUNTIFS($P$5:$P$504,"&gt;"&amp;P268)+COUNTIFS($P$5:P268,P268))</f>
        <v>0</v>
      </c>
      <c r="X268" s="39">
        <f>IF(B268="","",IF(K268="No","",IF(COUNTIF($B$5:$B$504,B268)&gt;1,"Duplicate - this client is on twice",IF(Q268&gt;0,"Action - reward ready to give",IF(U268&gt;0.004,"Action - referral credit owed",IF(V268="Lapsing","Chase - points are a reason to call",IF(S268&lt;=RewardAt*0.2,"Rebook - nearly at a reward","OK")))))))</f>
        <v>0</v>
      </c>
    </row>
    <row r="269" spans="1:24">
      <c r="A269" s="28">
        <f>IF(B269="","",LoyaltyPrefix&amp;TEXT(ROW()-4,"0000"))</f>
        <v>0</v>
      </c>
      <c r="C269" s="15">
        <f>IF(B269="","",IFERROR(INDEX(Clients!$B$5:$B$504,MATCH(B269,Clients!$A$5:$A$504,0)),"Not in Clients"))</f>
        <v>0</v>
      </c>
      <c r="M269" s="26">
        <f>IF(B269="","",ROUND(SUMIFS(Sales!$Y$5:$Y$1204,Sales!$D$5:$D$1204,B269,Sales!$B$5:$B$1204,"&gt;="&amp;IF(D269="",0,D269)),2))</f>
        <v>0</v>
      </c>
      <c r="N269" s="25">
        <f>IF(B269="","",IFERROR(INDEX(Clients!$T$5:$T$504,MATCH(B269,Clients!$A$5:$A$504,0))*1,0))</f>
        <v>0</v>
      </c>
      <c r="O269" s="25">
        <f>IF(B269="","",ROUND(M269*PointsPerUnit+IF(F269="",0,F269),0))</f>
        <v>0</v>
      </c>
      <c r="P269" s="25">
        <f>IF(B269="","",O269-IF(G269="",0,G269))</f>
        <v>0</v>
      </c>
      <c r="Q269" s="25">
        <f>IF(B269="","",IF(RewardAt&lt;=0,0,ROUNDDOWN(P269/RewardAt,0)))</f>
        <v>0</v>
      </c>
      <c r="R269" s="26">
        <f>IF(B269="","",ROUND(Q269*RewardValue,2))</f>
        <v>0</v>
      </c>
      <c r="S269" s="25">
        <f>IF(B269="","",IF(RewardAt&lt;=0,"",MAX(0,RewardAt*(Q269+1)-P269)))</f>
        <v>0</v>
      </c>
      <c r="T269" s="25">
        <f>IF(B269="","",COUNTIFS(Clients!$H$5:$H$504,B269))</f>
        <v>0</v>
      </c>
      <c r="U269" s="26">
        <f>IF(B269="","",ROUND(T269*ReferralReward-IF(J269="",0,J269),2))</f>
        <v>0</v>
      </c>
      <c r="V269" s="15">
        <f>IF(B269="","",IFERROR(INDEX(Clients!$AM$5:$AM$504,MATCH(B269,Clients!$A$5:$A$504,0))&amp;"",""))</f>
        <v>0</v>
      </c>
      <c r="W269" s="25">
        <f>IF(B269="","",COUNTIFS($P$5:$P$504,"&gt;"&amp;P269)+COUNTIFS($P$5:P269,P269))</f>
        <v>0</v>
      </c>
      <c r="X269" s="39">
        <f>IF(B269="","",IF(K269="No","",IF(COUNTIF($B$5:$B$504,B269)&gt;1,"Duplicate - this client is on twice",IF(Q269&gt;0,"Action - reward ready to give",IF(U269&gt;0.004,"Action - referral credit owed",IF(V269="Lapsing","Chase - points are a reason to call",IF(S269&lt;=RewardAt*0.2,"Rebook - nearly at a reward","OK")))))))</f>
        <v>0</v>
      </c>
    </row>
    <row r="270" spans="1:24">
      <c r="A270" s="28">
        <f>IF(B270="","",LoyaltyPrefix&amp;TEXT(ROW()-4,"0000"))</f>
        <v>0</v>
      </c>
      <c r="C270" s="15">
        <f>IF(B270="","",IFERROR(INDEX(Clients!$B$5:$B$504,MATCH(B270,Clients!$A$5:$A$504,0)),"Not in Clients"))</f>
        <v>0</v>
      </c>
      <c r="M270" s="26">
        <f>IF(B270="","",ROUND(SUMIFS(Sales!$Y$5:$Y$1204,Sales!$D$5:$D$1204,B270,Sales!$B$5:$B$1204,"&gt;="&amp;IF(D270="",0,D270)),2))</f>
        <v>0</v>
      </c>
      <c r="N270" s="25">
        <f>IF(B270="","",IFERROR(INDEX(Clients!$T$5:$T$504,MATCH(B270,Clients!$A$5:$A$504,0))*1,0))</f>
        <v>0</v>
      </c>
      <c r="O270" s="25">
        <f>IF(B270="","",ROUND(M270*PointsPerUnit+IF(F270="",0,F270),0))</f>
        <v>0</v>
      </c>
      <c r="P270" s="25">
        <f>IF(B270="","",O270-IF(G270="",0,G270))</f>
        <v>0</v>
      </c>
      <c r="Q270" s="25">
        <f>IF(B270="","",IF(RewardAt&lt;=0,0,ROUNDDOWN(P270/RewardAt,0)))</f>
        <v>0</v>
      </c>
      <c r="R270" s="26">
        <f>IF(B270="","",ROUND(Q270*RewardValue,2))</f>
        <v>0</v>
      </c>
      <c r="S270" s="25">
        <f>IF(B270="","",IF(RewardAt&lt;=0,"",MAX(0,RewardAt*(Q270+1)-P270)))</f>
        <v>0</v>
      </c>
      <c r="T270" s="25">
        <f>IF(B270="","",COUNTIFS(Clients!$H$5:$H$504,B270))</f>
        <v>0</v>
      </c>
      <c r="U270" s="26">
        <f>IF(B270="","",ROUND(T270*ReferralReward-IF(J270="",0,J270),2))</f>
        <v>0</v>
      </c>
      <c r="V270" s="15">
        <f>IF(B270="","",IFERROR(INDEX(Clients!$AM$5:$AM$504,MATCH(B270,Clients!$A$5:$A$504,0))&amp;"",""))</f>
        <v>0</v>
      </c>
      <c r="W270" s="25">
        <f>IF(B270="","",COUNTIFS($P$5:$P$504,"&gt;"&amp;P270)+COUNTIFS($P$5:P270,P270))</f>
        <v>0</v>
      </c>
      <c r="X270" s="39">
        <f>IF(B270="","",IF(K270="No","",IF(COUNTIF($B$5:$B$504,B270)&gt;1,"Duplicate - this client is on twice",IF(Q270&gt;0,"Action - reward ready to give",IF(U270&gt;0.004,"Action - referral credit owed",IF(V270="Lapsing","Chase - points are a reason to call",IF(S270&lt;=RewardAt*0.2,"Rebook - nearly at a reward","OK")))))))</f>
        <v>0</v>
      </c>
    </row>
    <row r="271" spans="1:24">
      <c r="A271" s="28">
        <f>IF(B271="","",LoyaltyPrefix&amp;TEXT(ROW()-4,"0000"))</f>
        <v>0</v>
      </c>
      <c r="C271" s="15">
        <f>IF(B271="","",IFERROR(INDEX(Clients!$B$5:$B$504,MATCH(B271,Clients!$A$5:$A$504,0)),"Not in Clients"))</f>
        <v>0</v>
      </c>
      <c r="M271" s="26">
        <f>IF(B271="","",ROUND(SUMIFS(Sales!$Y$5:$Y$1204,Sales!$D$5:$D$1204,B271,Sales!$B$5:$B$1204,"&gt;="&amp;IF(D271="",0,D271)),2))</f>
        <v>0</v>
      </c>
      <c r="N271" s="25">
        <f>IF(B271="","",IFERROR(INDEX(Clients!$T$5:$T$504,MATCH(B271,Clients!$A$5:$A$504,0))*1,0))</f>
        <v>0</v>
      </c>
      <c r="O271" s="25">
        <f>IF(B271="","",ROUND(M271*PointsPerUnit+IF(F271="",0,F271),0))</f>
        <v>0</v>
      </c>
      <c r="P271" s="25">
        <f>IF(B271="","",O271-IF(G271="",0,G271))</f>
        <v>0</v>
      </c>
      <c r="Q271" s="25">
        <f>IF(B271="","",IF(RewardAt&lt;=0,0,ROUNDDOWN(P271/RewardAt,0)))</f>
        <v>0</v>
      </c>
      <c r="R271" s="26">
        <f>IF(B271="","",ROUND(Q271*RewardValue,2))</f>
        <v>0</v>
      </c>
      <c r="S271" s="25">
        <f>IF(B271="","",IF(RewardAt&lt;=0,"",MAX(0,RewardAt*(Q271+1)-P271)))</f>
        <v>0</v>
      </c>
      <c r="T271" s="25">
        <f>IF(B271="","",COUNTIFS(Clients!$H$5:$H$504,B271))</f>
        <v>0</v>
      </c>
      <c r="U271" s="26">
        <f>IF(B271="","",ROUND(T271*ReferralReward-IF(J271="",0,J271),2))</f>
        <v>0</v>
      </c>
      <c r="V271" s="15">
        <f>IF(B271="","",IFERROR(INDEX(Clients!$AM$5:$AM$504,MATCH(B271,Clients!$A$5:$A$504,0))&amp;"",""))</f>
        <v>0</v>
      </c>
      <c r="W271" s="25">
        <f>IF(B271="","",COUNTIFS($P$5:$P$504,"&gt;"&amp;P271)+COUNTIFS($P$5:P271,P271))</f>
        <v>0</v>
      </c>
      <c r="X271" s="39">
        <f>IF(B271="","",IF(K271="No","",IF(COUNTIF($B$5:$B$504,B271)&gt;1,"Duplicate - this client is on twice",IF(Q271&gt;0,"Action - reward ready to give",IF(U271&gt;0.004,"Action - referral credit owed",IF(V271="Lapsing","Chase - points are a reason to call",IF(S271&lt;=RewardAt*0.2,"Rebook - nearly at a reward","OK")))))))</f>
        <v>0</v>
      </c>
    </row>
    <row r="272" spans="1:24">
      <c r="A272" s="28">
        <f>IF(B272="","",LoyaltyPrefix&amp;TEXT(ROW()-4,"0000"))</f>
        <v>0</v>
      </c>
      <c r="C272" s="15">
        <f>IF(B272="","",IFERROR(INDEX(Clients!$B$5:$B$504,MATCH(B272,Clients!$A$5:$A$504,0)),"Not in Clients"))</f>
        <v>0</v>
      </c>
      <c r="M272" s="26">
        <f>IF(B272="","",ROUND(SUMIFS(Sales!$Y$5:$Y$1204,Sales!$D$5:$D$1204,B272,Sales!$B$5:$B$1204,"&gt;="&amp;IF(D272="",0,D272)),2))</f>
        <v>0</v>
      </c>
      <c r="N272" s="25">
        <f>IF(B272="","",IFERROR(INDEX(Clients!$T$5:$T$504,MATCH(B272,Clients!$A$5:$A$504,0))*1,0))</f>
        <v>0</v>
      </c>
      <c r="O272" s="25">
        <f>IF(B272="","",ROUND(M272*PointsPerUnit+IF(F272="",0,F272),0))</f>
        <v>0</v>
      </c>
      <c r="P272" s="25">
        <f>IF(B272="","",O272-IF(G272="",0,G272))</f>
        <v>0</v>
      </c>
      <c r="Q272" s="25">
        <f>IF(B272="","",IF(RewardAt&lt;=0,0,ROUNDDOWN(P272/RewardAt,0)))</f>
        <v>0</v>
      </c>
      <c r="R272" s="26">
        <f>IF(B272="","",ROUND(Q272*RewardValue,2))</f>
        <v>0</v>
      </c>
      <c r="S272" s="25">
        <f>IF(B272="","",IF(RewardAt&lt;=0,"",MAX(0,RewardAt*(Q272+1)-P272)))</f>
        <v>0</v>
      </c>
      <c r="T272" s="25">
        <f>IF(B272="","",COUNTIFS(Clients!$H$5:$H$504,B272))</f>
        <v>0</v>
      </c>
      <c r="U272" s="26">
        <f>IF(B272="","",ROUND(T272*ReferralReward-IF(J272="",0,J272),2))</f>
        <v>0</v>
      </c>
      <c r="V272" s="15">
        <f>IF(B272="","",IFERROR(INDEX(Clients!$AM$5:$AM$504,MATCH(B272,Clients!$A$5:$A$504,0))&amp;"",""))</f>
        <v>0</v>
      </c>
      <c r="W272" s="25">
        <f>IF(B272="","",COUNTIFS($P$5:$P$504,"&gt;"&amp;P272)+COUNTIFS($P$5:P272,P272))</f>
        <v>0</v>
      </c>
      <c r="X272" s="39">
        <f>IF(B272="","",IF(K272="No","",IF(COUNTIF($B$5:$B$504,B272)&gt;1,"Duplicate - this client is on twice",IF(Q272&gt;0,"Action - reward ready to give",IF(U272&gt;0.004,"Action - referral credit owed",IF(V272="Lapsing","Chase - points are a reason to call",IF(S272&lt;=RewardAt*0.2,"Rebook - nearly at a reward","OK")))))))</f>
        <v>0</v>
      </c>
    </row>
    <row r="273" spans="1:24">
      <c r="A273" s="28">
        <f>IF(B273="","",LoyaltyPrefix&amp;TEXT(ROW()-4,"0000"))</f>
        <v>0</v>
      </c>
      <c r="C273" s="15">
        <f>IF(B273="","",IFERROR(INDEX(Clients!$B$5:$B$504,MATCH(B273,Clients!$A$5:$A$504,0)),"Not in Clients"))</f>
        <v>0</v>
      </c>
      <c r="M273" s="26">
        <f>IF(B273="","",ROUND(SUMIFS(Sales!$Y$5:$Y$1204,Sales!$D$5:$D$1204,B273,Sales!$B$5:$B$1204,"&gt;="&amp;IF(D273="",0,D273)),2))</f>
        <v>0</v>
      </c>
      <c r="N273" s="25">
        <f>IF(B273="","",IFERROR(INDEX(Clients!$T$5:$T$504,MATCH(B273,Clients!$A$5:$A$504,0))*1,0))</f>
        <v>0</v>
      </c>
      <c r="O273" s="25">
        <f>IF(B273="","",ROUND(M273*PointsPerUnit+IF(F273="",0,F273),0))</f>
        <v>0</v>
      </c>
      <c r="P273" s="25">
        <f>IF(B273="","",O273-IF(G273="",0,G273))</f>
        <v>0</v>
      </c>
      <c r="Q273" s="25">
        <f>IF(B273="","",IF(RewardAt&lt;=0,0,ROUNDDOWN(P273/RewardAt,0)))</f>
        <v>0</v>
      </c>
      <c r="R273" s="26">
        <f>IF(B273="","",ROUND(Q273*RewardValue,2))</f>
        <v>0</v>
      </c>
      <c r="S273" s="25">
        <f>IF(B273="","",IF(RewardAt&lt;=0,"",MAX(0,RewardAt*(Q273+1)-P273)))</f>
        <v>0</v>
      </c>
      <c r="T273" s="25">
        <f>IF(B273="","",COUNTIFS(Clients!$H$5:$H$504,B273))</f>
        <v>0</v>
      </c>
      <c r="U273" s="26">
        <f>IF(B273="","",ROUND(T273*ReferralReward-IF(J273="",0,J273),2))</f>
        <v>0</v>
      </c>
      <c r="V273" s="15">
        <f>IF(B273="","",IFERROR(INDEX(Clients!$AM$5:$AM$504,MATCH(B273,Clients!$A$5:$A$504,0))&amp;"",""))</f>
        <v>0</v>
      </c>
      <c r="W273" s="25">
        <f>IF(B273="","",COUNTIFS($P$5:$P$504,"&gt;"&amp;P273)+COUNTIFS($P$5:P273,P273))</f>
        <v>0</v>
      </c>
      <c r="X273" s="39">
        <f>IF(B273="","",IF(K273="No","",IF(COUNTIF($B$5:$B$504,B273)&gt;1,"Duplicate - this client is on twice",IF(Q273&gt;0,"Action - reward ready to give",IF(U273&gt;0.004,"Action - referral credit owed",IF(V273="Lapsing","Chase - points are a reason to call",IF(S273&lt;=RewardAt*0.2,"Rebook - nearly at a reward","OK")))))))</f>
        <v>0</v>
      </c>
    </row>
    <row r="274" spans="1:24">
      <c r="A274" s="28">
        <f>IF(B274="","",LoyaltyPrefix&amp;TEXT(ROW()-4,"0000"))</f>
        <v>0</v>
      </c>
      <c r="C274" s="15">
        <f>IF(B274="","",IFERROR(INDEX(Clients!$B$5:$B$504,MATCH(B274,Clients!$A$5:$A$504,0)),"Not in Clients"))</f>
        <v>0</v>
      </c>
      <c r="M274" s="26">
        <f>IF(B274="","",ROUND(SUMIFS(Sales!$Y$5:$Y$1204,Sales!$D$5:$D$1204,B274,Sales!$B$5:$B$1204,"&gt;="&amp;IF(D274="",0,D274)),2))</f>
        <v>0</v>
      </c>
      <c r="N274" s="25">
        <f>IF(B274="","",IFERROR(INDEX(Clients!$T$5:$T$504,MATCH(B274,Clients!$A$5:$A$504,0))*1,0))</f>
        <v>0</v>
      </c>
      <c r="O274" s="25">
        <f>IF(B274="","",ROUND(M274*PointsPerUnit+IF(F274="",0,F274),0))</f>
        <v>0</v>
      </c>
      <c r="P274" s="25">
        <f>IF(B274="","",O274-IF(G274="",0,G274))</f>
        <v>0</v>
      </c>
      <c r="Q274" s="25">
        <f>IF(B274="","",IF(RewardAt&lt;=0,0,ROUNDDOWN(P274/RewardAt,0)))</f>
        <v>0</v>
      </c>
      <c r="R274" s="26">
        <f>IF(B274="","",ROUND(Q274*RewardValue,2))</f>
        <v>0</v>
      </c>
      <c r="S274" s="25">
        <f>IF(B274="","",IF(RewardAt&lt;=0,"",MAX(0,RewardAt*(Q274+1)-P274)))</f>
        <v>0</v>
      </c>
      <c r="T274" s="25">
        <f>IF(B274="","",COUNTIFS(Clients!$H$5:$H$504,B274))</f>
        <v>0</v>
      </c>
      <c r="U274" s="26">
        <f>IF(B274="","",ROUND(T274*ReferralReward-IF(J274="",0,J274),2))</f>
        <v>0</v>
      </c>
      <c r="V274" s="15">
        <f>IF(B274="","",IFERROR(INDEX(Clients!$AM$5:$AM$504,MATCH(B274,Clients!$A$5:$A$504,0))&amp;"",""))</f>
        <v>0</v>
      </c>
      <c r="W274" s="25">
        <f>IF(B274="","",COUNTIFS($P$5:$P$504,"&gt;"&amp;P274)+COUNTIFS($P$5:P274,P274))</f>
        <v>0</v>
      </c>
      <c r="X274" s="39">
        <f>IF(B274="","",IF(K274="No","",IF(COUNTIF($B$5:$B$504,B274)&gt;1,"Duplicate - this client is on twice",IF(Q274&gt;0,"Action - reward ready to give",IF(U274&gt;0.004,"Action - referral credit owed",IF(V274="Lapsing","Chase - points are a reason to call",IF(S274&lt;=RewardAt*0.2,"Rebook - nearly at a reward","OK")))))))</f>
        <v>0</v>
      </c>
    </row>
    <row r="275" spans="1:24">
      <c r="A275" s="28">
        <f>IF(B275="","",LoyaltyPrefix&amp;TEXT(ROW()-4,"0000"))</f>
        <v>0</v>
      </c>
      <c r="C275" s="15">
        <f>IF(B275="","",IFERROR(INDEX(Clients!$B$5:$B$504,MATCH(B275,Clients!$A$5:$A$504,0)),"Not in Clients"))</f>
        <v>0</v>
      </c>
      <c r="M275" s="26">
        <f>IF(B275="","",ROUND(SUMIFS(Sales!$Y$5:$Y$1204,Sales!$D$5:$D$1204,B275,Sales!$B$5:$B$1204,"&gt;="&amp;IF(D275="",0,D275)),2))</f>
        <v>0</v>
      </c>
      <c r="N275" s="25">
        <f>IF(B275="","",IFERROR(INDEX(Clients!$T$5:$T$504,MATCH(B275,Clients!$A$5:$A$504,0))*1,0))</f>
        <v>0</v>
      </c>
      <c r="O275" s="25">
        <f>IF(B275="","",ROUND(M275*PointsPerUnit+IF(F275="",0,F275),0))</f>
        <v>0</v>
      </c>
      <c r="P275" s="25">
        <f>IF(B275="","",O275-IF(G275="",0,G275))</f>
        <v>0</v>
      </c>
      <c r="Q275" s="25">
        <f>IF(B275="","",IF(RewardAt&lt;=0,0,ROUNDDOWN(P275/RewardAt,0)))</f>
        <v>0</v>
      </c>
      <c r="R275" s="26">
        <f>IF(B275="","",ROUND(Q275*RewardValue,2))</f>
        <v>0</v>
      </c>
      <c r="S275" s="25">
        <f>IF(B275="","",IF(RewardAt&lt;=0,"",MAX(0,RewardAt*(Q275+1)-P275)))</f>
        <v>0</v>
      </c>
      <c r="T275" s="25">
        <f>IF(B275="","",COUNTIFS(Clients!$H$5:$H$504,B275))</f>
        <v>0</v>
      </c>
      <c r="U275" s="26">
        <f>IF(B275="","",ROUND(T275*ReferralReward-IF(J275="",0,J275),2))</f>
        <v>0</v>
      </c>
      <c r="V275" s="15">
        <f>IF(B275="","",IFERROR(INDEX(Clients!$AM$5:$AM$504,MATCH(B275,Clients!$A$5:$A$504,0))&amp;"",""))</f>
        <v>0</v>
      </c>
      <c r="W275" s="25">
        <f>IF(B275="","",COUNTIFS($P$5:$P$504,"&gt;"&amp;P275)+COUNTIFS($P$5:P275,P275))</f>
        <v>0</v>
      </c>
      <c r="X275" s="39">
        <f>IF(B275="","",IF(K275="No","",IF(COUNTIF($B$5:$B$504,B275)&gt;1,"Duplicate - this client is on twice",IF(Q275&gt;0,"Action - reward ready to give",IF(U275&gt;0.004,"Action - referral credit owed",IF(V275="Lapsing","Chase - points are a reason to call",IF(S275&lt;=RewardAt*0.2,"Rebook - nearly at a reward","OK")))))))</f>
        <v>0</v>
      </c>
    </row>
    <row r="276" spans="1:24">
      <c r="A276" s="28">
        <f>IF(B276="","",LoyaltyPrefix&amp;TEXT(ROW()-4,"0000"))</f>
        <v>0</v>
      </c>
      <c r="C276" s="15">
        <f>IF(B276="","",IFERROR(INDEX(Clients!$B$5:$B$504,MATCH(B276,Clients!$A$5:$A$504,0)),"Not in Clients"))</f>
        <v>0</v>
      </c>
      <c r="M276" s="26">
        <f>IF(B276="","",ROUND(SUMIFS(Sales!$Y$5:$Y$1204,Sales!$D$5:$D$1204,B276,Sales!$B$5:$B$1204,"&gt;="&amp;IF(D276="",0,D276)),2))</f>
        <v>0</v>
      </c>
      <c r="N276" s="25">
        <f>IF(B276="","",IFERROR(INDEX(Clients!$T$5:$T$504,MATCH(B276,Clients!$A$5:$A$504,0))*1,0))</f>
        <v>0</v>
      </c>
      <c r="O276" s="25">
        <f>IF(B276="","",ROUND(M276*PointsPerUnit+IF(F276="",0,F276),0))</f>
        <v>0</v>
      </c>
      <c r="P276" s="25">
        <f>IF(B276="","",O276-IF(G276="",0,G276))</f>
        <v>0</v>
      </c>
      <c r="Q276" s="25">
        <f>IF(B276="","",IF(RewardAt&lt;=0,0,ROUNDDOWN(P276/RewardAt,0)))</f>
        <v>0</v>
      </c>
      <c r="R276" s="26">
        <f>IF(B276="","",ROUND(Q276*RewardValue,2))</f>
        <v>0</v>
      </c>
      <c r="S276" s="25">
        <f>IF(B276="","",IF(RewardAt&lt;=0,"",MAX(0,RewardAt*(Q276+1)-P276)))</f>
        <v>0</v>
      </c>
      <c r="T276" s="25">
        <f>IF(B276="","",COUNTIFS(Clients!$H$5:$H$504,B276))</f>
        <v>0</v>
      </c>
      <c r="U276" s="26">
        <f>IF(B276="","",ROUND(T276*ReferralReward-IF(J276="",0,J276),2))</f>
        <v>0</v>
      </c>
      <c r="V276" s="15">
        <f>IF(B276="","",IFERROR(INDEX(Clients!$AM$5:$AM$504,MATCH(B276,Clients!$A$5:$A$504,0))&amp;"",""))</f>
        <v>0</v>
      </c>
      <c r="W276" s="25">
        <f>IF(B276="","",COUNTIFS($P$5:$P$504,"&gt;"&amp;P276)+COUNTIFS($P$5:P276,P276))</f>
        <v>0</v>
      </c>
      <c r="X276" s="39">
        <f>IF(B276="","",IF(K276="No","",IF(COUNTIF($B$5:$B$504,B276)&gt;1,"Duplicate - this client is on twice",IF(Q276&gt;0,"Action - reward ready to give",IF(U276&gt;0.004,"Action - referral credit owed",IF(V276="Lapsing","Chase - points are a reason to call",IF(S276&lt;=RewardAt*0.2,"Rebook - nearly at a reward","OK")))))))</f>
        <v>0</v>
      </c>
    </row>
    <row r="277" spans="1:24">
      <c r="A277" s="28">
        <f>IF(B277="","",LoyaltyPrefix&amp;TEXT(ROW()-4,"0000"))</f>
        <v>0</v>
      </c>
      <c r="C277" s="15">
        <f>IF(B277="","",IFERROR(INDEX(Clients!$B$5:$B$504,MATCH(B277,Clients!$A$5:$A$504,0)),"Not in Clients"))</f>
        <v>0</v>
      </c>
      <c r="M277" s="26">
        <f>IF(B277="","",ROUND(SUMIFS(Sales!$Y$5:$Y$1204,Sales!$D$5:$D$1204,B277,Sales!$B$5:$B$1204,"&gt;="&amp;IF(D277="",0,D277)),2))</f>
        <v>0</v>
      </c>
      <c r="N277" s="25">
        <f>IF(B277="","",IFERROR(INDEX(Clients!$T$5:$T$504,MATCH(B277,Clients!$A$5:$A$504,0))*1,0))</f>
        <v>0</v>
      </c>
      <c r="O277" s="25">
        <f>IF(B277="","",ROUND(M277*PointsPerUnit+IF(F277="",0,F277),0))</f>
        <v>0</v>
      </c>
      <c r="P277" s="25">
        <f>IF(B277="","",O277-IF(G277="",0,G277))</f>
        <v>0</v>
      </c>
      <c r="Q277" s="25">
        <f>IF(B277="","",IF(RewardAt&lt;=0,0,ROUNDDOWN(P277/RewardAt,0)))</f>
        <v>0</v>
      </c>
      <c r="R277" s="26">
        <f>IF(B277="","",ROUND(Q277*RewardValue,2))</f>
        <v>0</v>
      </c>
      <c r="S277" s="25">
        <f>IF(B277="","",IF(RewardAt&lt;=0,"",MAX(0,RewardAt*(Q277+1)-P277)))</f>
        <v>0</v>
      </c>
      <c r="T277" s="25">
        <f>IF(B277="","",COUNTIFS(Clients!$H$5:$H$504,B277))</f>
        <v>0</v>
      </c>
      <c r="U277" s="26">
        <f>IF(B277="","",ROUND(T277*ReferralReward-IF(J277="",0,J277),2))</f>
        <v>0</v>
      </c>
      <c r="V277" s="15">
        <f>IF(B277="","",IFERROR(INDEX(Clients!$AM$5:$AM$504,MATCH(B277,Clients!$A$5:$A$504,0))&amp;"",""))</f>
        <v>0</v>
      </c>
      <c r="W277" s="25">
        <f>IF(B277="","",COUNTIFS($P$5:$P$504,"&gt;"&amp;P277)+COUNTIFS($P$5:P277,P277))</f>
        <v>0</v>
      </c>
      <c r="X277" s="39">
        <f>IF(B277="","",IF(K277="No","",IF(COUNTIF($B$5:$B$504,B277)&gt;1,"Duplicate - this client is on twice",IF(Q277&gt;0,"Action - reward ready to give",IF(U277&gt;0.004,"Action - referral credit owed",IF(V277="Lapsing","Chase - points are a reason to call",IF(S277&lt;=RewardAt*0.2,"Rebook - nearly at a reward","OK")))))))</f>
        <v>0</v>
      </c>
    </row>
    <row r="278" spans="1:24">
      <c r="A278" s="28">
        <f>IF(B278="","",LoyaltyPrefix&amp;TEXT(ROW()-4,"0000"))</f>
        <v>0</v>
      </c>
      <c r="C278" s="15">
        <f>IF(B278="","",IFERROR(INDEX(Clients!$B$5:$B$504,MATCH(B278,Clients!$A$5:$A$504,0)),"Not in Clients"))</f>
        <v>0</v>
      </c>
      <c r="M278" s="26">
        <f>IF(B278="","",ROUND(SUMIFS(Sales!$Y$5:$Y$1204,Sales!$D$5:$D$1204,B278,Sales!$B$5:$B$1204,"&gt;="&amp;IF(D278="",0,D278)),2))</f>
        <v>0</v>
      </c>
      <c r="N278" s="25">
        <f>IF(B278="","",IFERROR(INDEX(Clients!$T$5:$T$504,MATCH(B278,Clients!$A$5:$A$504,0))*1,0))</f>
        <v>0</v>
      </c>
      <c r="O278" s="25">
        <f>IF(B278="","",ROUND(M278*PointsPerUnit+IF(F278="",0,F278),0))</f>
        <v>0</v>
      </c>
      <c r="P278" s="25">
        <f>IF(B278="","",O278-IF(G278="",0,G278))</f>
        <v>0</v>
      </c>
      <c r="Q278" s="25">
        <f>IF(B278="","",IF(RewardAt&lt;=0,0,ROUNDDOWN(P278/RewardAt,0)))</f>
        <v>0</v>
      </c>
      <c r="R278" s="26">
        <f>IF(B278="","",ROUND(Q278*RewardValue,2))</f>
        <v>0</v>
      </c>
      <c r="S278" s="25">
        <f>IF(B278="","",IF(RewardAt&lt;=0,"",MAX(0,RewardAt*(Q278+1)-P278)))</f>
        <v>0</v>
      </c>
      <c r="T278" s="25">
        <f>IF(B278="","",COUNTIFS(Clients!$H$5:$H$504,B278))</f>
        <v>0</v>
      </c>
      <c r="U278" s="26">
        <f>IF(B278="","",ROUND(T278*ReferralReward-IF(J278="",0,J278),2))</f>
        <v>0</v>
      </c>
      <c r="V278" s="15">
        <f>IF(B278="","",IFERROR(INDEX(Clients!$AM$5:$AM$504,MATCH(B278,Clients!$A$5:$A$504,0))&amp;"",""))</f>
        <v>0</v>
      </c>
      <c r="W278" s="25">
        <f>IF(B278="","",COUNTIFS($P$5:$P$504,"&gt;"&amp;P278)+COUNTIFS($P$5:P278,P278))</f>
        <v>0</v>
      </c>
      <c r="X278" s="39">
        <f>IF(B278="","",IF(K278="No","",IF(COUNTIF($B$5:$B$504,B278)&gt;1,"Duplicate - this client is on twice",IF(Q278&gt;0,"Action - reward ready to give",IF(U278&gt;0.004,"Action - referral credit owed",IF(V278="Lapsing","Chase - points are a reason to call",IF(S278&lt;=RewardAt*0.2,"Rebook - nearly at a reward","OK")))))))</f>
        <v>0</v>
      </c>
    </row>
    <row r="279" spans="1:24">
      <c r="A279" s="28">
        <f>IF(B279="","",LoyaltyPrefix&amp;TEXT(ROW()-4,"0000"))</f>
        <v>0</v>
      </c>
      <c r="C279" s="15">
        <f>IF(B279="","",IFERROR(INDEX(Clients!$B$5:$B$504,MATCH(B279,Clients!$A$5:$A$504,0)),"Not in Clients"))</f>
        <v>0</v>
      </c>
      <c r="M279" s="26">
        <f>IF(B279="","",ROUND(SUMIFS(Sales!$Y$5:$Y$1204,Sales!$D$5:$D$1204,B279,Sales!$B$5:$B$1204,"&gt;="&amp;IF(D279="",0,D279)),2))</f>
        <v>0</v>
      </c>
      <c r="N279" s="25">
        <f>IF(B279="","",IFERROR(INDEX(Clients!$T$5:$T$504,MATCH(B279,Clients!$A$5:$A$504,0))*1,0))</f>
        <v>0</v>
      </c>
      <c r="O279" s="25">
        <f>IF(B279="","",ROUND(M279*PointsPerUnit+IF(F279="",0,F279),0))</f>
        <v>0</v>
      </c>
      <c r="P279" s="25">
        <f>IF(B279="","",O279-IF(G279="",0,G279))</f>
        <v>0</v>
      </c>
      <c r="Q279" s="25">
        <f>IF(B279="","",IF(RewardAt&lt;=0,0,ROUNDDOWN(P279/RewardAt,0)))</f>
        <v>0</v>
      </c>
      <c r="R279" s="26">
        <f>IF(B279="","",ROUND(Q279*RewardValue,2))</f>
        <v>0</v>
      </c>
      <c r="S279" s="25">
        <f>IF(B279="","",IF(RewardAt&lt;=0,"",MAX(0,RewardAt*(Q279+1)-P279)))</f>
        <v>0</v>
      </c>
      <c r="T279" s="25">
        <f>IF(B279="","",COUNTIFS(Clients!$H$5:$H$504,B279))</f>
        <v>0</v>
      </c>
      <c r="U279" s="26">
        <f>IF(B279="","",ROUND(T279*ReferralReward-IF(J279="",0,J279),2))</f>
        <v>0</v>
      </c>
      <c r="V279" s="15">
        <f>IF(B279="","",IFERROR(INDEX(Clients!$AM$5:$AM$504,MATCH(B279,Clients!$A$5:$A$504,0))&amp;"",""))</f>
        <v>0</v>
      </c>
      <c r="W279" s="25">
        <f>IF(B279="","",COUNTIFS($P$5:$P$504,"&gt;"&amp;P279)+COUNTIFS($P$5:P279,P279))</f>
        <v>0</v>
      </c>
      <c r="X279" s="39">
        <f>IF(B279="","",IF(K279="No","",IF(COUNTIF($B$5:$B$504,B279)&gt;1,"Duplicate - this client is on twice",IF(Q279&gt;0,"Action - reward ready to give",IF(U279&gt;0.004,"Action - referral credit owed",IF(V279="Lapsing","Chase - points are a reason to call",IF(S279&lt;=RewardAt*0.2,"Rebook - nearly at a reward","OK")))))))</f>
        <v>0</v>
      </c>
    </row>
    <row r="280" spans="1:24">
      <c r="A280" s="28">
        <f>IF(B280="","",LoyaltyPrefix&amp;TEXT(ROW()-4,"0000"))</f>
        <v>0</v>
      </c>
      <c r="C280" s="15">
        <f>IF(B280="","",IFERROR(INDEX(Clients!$B$5:$B$504,MATCH(B280,Clients!$A$5:$A$504,0)),"Not in Clients"))</f>
        <v>0</v>
      </c>
      <c r="M280" s="26">
        <f>IF(B280="","",ROUND(SUMIFS(Sales!$Y$5:$Y$1204,Sales!$D$5:$D$1204,B280,Sales!$B$5:$B$1204,"&gt;="&amp;IF(D280="",0,D280)),2))</f>
        <v>0</v>
      </c>
      <c r="N280" s="25">
        <f>IF(B280="","",IFERROR(INDEX(Clients!$T$5:$T$504,MATCH(B280,Clients!$A$5:$A$504,0))*1,0))</f>
        <v>0</v>
      </c>
      <c r="O280" s="25">
        <f>IF(B280="","",ROUND(M280*PointsPerUnit+IF(F280="",0,F280),0))</f>
        <v>0</v>
      </c>
      <c r="P280" s="25">
        <f>IF(B280="","",O280-IF(G280="",0,G280))</f>
        <v>0</v>
      </c>
      <c r="Q280" s="25">
        <f>IF(B280="","",IF(RewardAt&lt;=0,0,ROUNDDOWN(P280/RewardAt,0)))</f>
        <v>0</v>
      </c>
      <c r="R280" s="26">
        <f>IF(B280="","",ROUND(Q280*RewardValue,2))</f>
        <v>0</v>
      </c>
      <c r="S280" s="25">
        <f>IF(B280="","",IF(RewardAt&lt;=0,"",MAX(0,RewardAt*(Q280+1)-P280)))</f>
        <v>0</v>
      </c>
      <c r="T280" s="25">
        <f>IF(B280="","",COUNTIFS(Clients!$H$5:$H$504,B280))</f>
        <v>0</v>
      </c>
      <c r="U280" s="26">
        <f>IF(B280="","",ROUND(T280*ReferralReward-IF(J280="",0,J280),2))</f>
        <v>0</v>
      </c>
      <c r="V280" s="15">
        <f>IF(B280="","",IFERROR(INDEX(Clients!$AM$5:$AM$504,MATCH(B280,Clients!$A$5:$A$504,0))&amp;"",""))</f>
        <v>0</v>
      </c>
      <c r="W280" s="25">
        <f>IF(B280="","",COUNTIFS($P$5:$P$504,"&gt;"&amp;P280)+COUNTIFS($P$5:P280,P280))</f>
        <v>0</v>
      </c>
      <c r="X280" s="39">
        <f>IF(B280="","",IF(K280="No","",IF(COUNTIF($B$5:$B$504,B280)&gt;1,"Duplicate - this client is on twice",IF(Q280&gt;0,"Action - reward ready to give",IF(U280&gt;0.004,"Action - referral credit owed",IF(V280="Lapsing","Chase - points are a reason to call",IF(S280&lt;=RewardAt*0.2,"Rebook - nearly at a reward","OK")))))))</f>
        <v>0</v>
      </c>
    </row>
    <row r="281" spans="1:24">
      <c r="A281" s="28">
        <f>IF(B281="","",LoyaltyPrefix&amp;TEXT(ROW()-4,"0000"))</f>
        <v>0</v>
      </c>
      <c r="C281" s="15">
        <f>IF(B281="","",IFERROR(INDEX(Clients!$B$5:$B$504,MATCH(B281,Clients!$A$5:$A$504,0)),"Not in Clients"))</f>
        <v>0</v>
      </c>
      <c r="M281" s="26">
        <f>IF(B281="","",ROUND(SUMIFS(Sales!$Y$5:$Y$1204,Sales!$D$5:$D$1204,B281,Sales!$B$5:$B$1204,"&gt;="&amp;IF(D281="",0,D281)),2))</f>
        <v>0</v>
      </c>
      <c r="N281" s="25">
        <f>IF(B281="","",IFERROR(INDEX(Clients!$T$5:$T$504,MATCH(B281,Clients!$A$5:$A$504,0))*1,0))</f>
        <v>0</v>
      </c>
      <c r="O281" s="25">
        <f>IF(B281="","",ROUND(M281*PointsPerUnit+IF(F281="",0,F281),0))</f>
        <v>0</v>
      </c>
      <c r="P281" s="25">
        <f>IF(B281="","",O281-IF(G281="",0,G281))</f>
        <v>0</v>
      </c>
      <c r="Q281" s="25">
        <f>IF(B281="","",IF(RewardAt&lt;=0,0,ROUNDDOWN(P281/RewardAt,0)))</f>
        <v>0</v>
      </c>
      <c r="R281" s="26">
        <f>IF(B281="","",ROUND(Q281*RewardValue,2))</f>
        <v>0</v>
      </c>
      <c r="S281" s="25">
        <f>IF(B281="","",IF(RewardAt&lt;=0,"",MAX(0,RewardAt*(Q281+1)-P281)))</f>
        <v>0</v>
      </c>
      <c r="T281" s="25">
        <f>IF(B281="","",COUNTIFS(Clients!$H$5:$H$504,B281))</f>
        <v>0</v>
      </c>
      <c r="U281" s="26">
        <f>IF(B281="","",ROUND(T281*ReferralReward-IF(J281="",0,J281),2))</f>
        <v>0</v>
      </c>
      <c r="V281" s="15">
        <f>IF(B281="","",IFERROR(INDEX(Clients!$AM$5:$AM$504,MATCH(B281,Clients!$A$5:$A$504,0))&amp;"",""))</f>
        <v>0</v>
      </c>
      <c r="W281" s="25">
        <f>IF(B281="","",COUNTIFS($P$5:$P$504,"&gt;"&amp;P281)+COUNTIFS($P$5:P281,P281))</f>
        <v>0</v>
      </c>
      <c r="X281" s="39">
        <f>IF(B281="","",IF(K281="No","",IF(COUNTIF($B$5:$B$504,B281)&gt;1,"Duplicate - this client is on twice",IF(Q281&gt;0,"Action - reward ready to give",IF(U281&gt;0.004,"Action - referral credit owed",IF(V281="Lapsing","Chase - points are a reason to call",IF(S281&lt;=RewardAt*0.2,"Rebook - nearly at a reward","OK")))))))</f>
        <v>0</v>
      </c>
    </row>
    <row r="282" spans="1:24">
      <c r="A282" s="28">
        <f>IF(B282="","",LoyaltyPrefix&amp;TEXT(ROW()-4,"0000"))</f>
        <v>0</v>
      </c>
      <c r="C282" s="15">
        <f>IF(B282="","",IFERROR(INDEX(Clients!$B$5:$B$504,MATCH(B282,Clients!$A$5:$A$504,0)),"Not in Clients"))</f>
        <v>0</v>
      </c>
      <c r="M282" s="26">
        <f>IF(B282="","",ROUND(SUMIFS(Sales!$Y$5:$Y$1204,Sales!$D$5:$D$1204,B282,Sales!$B$5:$B$1204,"&gt;="&amp;IF(D282="",0,D282)),2))</f>
        <v>0</v>
      </c>
      <c r="N282" s="25">
        <f>IF(B282="","",IFERROR(INDEX(Clients!$T$5:$T$504,MATCH(B282,Clients!$A$5:$A$504,0))*1,0))</f>
        <v>0</v>
      </c>
      <c r="O282" s="25">
        <f>IF(B282="","",ROUND(M282*PointsPerUnit+IF(F282="",0,F282),0))</f>
        <v>0</v>
      </c>
      <c r="P282" s="25">
        <f>IF(B282="","",O282-IF(G282="",0,G282))</f>
        <v>0</v>
      </c>
      <c r="Q282" s="25">
        <f>IF(B282="","",IF(RewardAt&lt;=0,0,ROUNDDOWN(P282/RewardAt,0)))</f>
        <v>0</v>
      </c>
      <c r="R282" s="26">
        <f>IF(B282="","",ROUND(Q282*RewardValue,2))</f>
        <v>0</v>
      </c>
      <c r="S282" s="25">
        <f>IF(B282="","",IF(RewardAt&lt;=0,"",MAX(0,RewardAt*(Q282+1)-P282)))</f>
        <v>0</v>
      </c>
      <c r="T282" s="25">
        <f>IF(B282="","",COUNTIFS(Clients!$H$5:$H$504,B282))</f>
        <v>0</v>
      </c>
      <c r="U282" s="26">
        <f>IF(B282="","",ROUND(T282*ReferralReward-IF(J282="",0,J282),2))</f>
        <v>0</v>
      </c>
      <c r="V282" s="15">
        <f>IF(B282="","",IFERROR(INDEX(Clients!$AM$5:$AM$504,MATCH(B282,Clients!$A$5:$A$504,0))&amp;"",""))</f>
        <v>0</v>
      </c>
      <c r="W282" s="25">
        <f>IF(B282="","",COUNTIFS($P$5:$P$504,"&gt;"&amp;P282)+COUNTIFS($P$5:P282,P282))</f>
        <v>0</v>
      </c>
      <c r="X282" s="39">
        <f>IF(B282="","",IF(K282="No","",IF(COUNTIF($B$5:$B$504,B282)&gt;1,"Duplicate - this client is on twice",IF(Q282&gt;0,"Action - reward ready to give",IF(U282&gt;0.004,"Action - referral credit owed",IF(V282="Lapsing","Chase - points are a reason to call",IF(S282&lt;=RewardAt*0.2,"Rebook - nearly at a reward","OK")))))))</f>
        <v>0</v>
      </c>
    </row>
    <row r="283" spans="1:24">
      <c r="A283" s="28">
        <f>IF(B283="","",LoyaltyPrefix&amp;TEXT(ROW()-4,"0000"))</f>
        <v>0</v>
      </c>
      <c r="C283" s="15">
        <f>IF(B283="","",IFERROR(INDEX(Clients!$B$5:$B$504,MATCH(B283,Clients!$A$5:$A$504,0)),"Not in Clients"))</f>
        <v>0</v>
      </c>
      <c r="M283" s="26">
        <f>IF(B283="","",ROUND(SUMIFS(Sales!$Y$5:$Y$1204,Sales!$D$5:$D$1204,B283,Sales!$B$5:$B$1204,"&gt;="&amp;IF(D283="",0,D283)),2))</f>
        <v>0</v>
      </c>
      <c r="N283" s="25">
        <f>IF(B283="","",IFERROR(INDEX(Clients!$T$5:$T$504,MATCH(B283,Clients!$A$5:$A$504,0))*1,0))</f>
        <v>0</v>
      </c>
      <c r="O283" s="25">
        <f>IF(B283="","",ROUND(M283*PointsPerUnit+IF(F283="",0,F283),0))</f>
        <v>0</v>
      </c>
      <c r="P283" s="25">
        <f>IF(B283="","",O283-IF(G283="",0,G283))</f>
        <v>0</v>
      </c>
      <c r="Q283" s="25">
        <f>IF(B283="","",IF(RewardAt&lt;=0,0,ROUNDDOWN(P283/RewardAt,0)))</f>
        <v>0</v>
      </c>
      <c r="R283" s="26">
        <f>IF(B283="","",ROUND(Q283*RewardValue,2))</f>
        <v>0</v>
      </c>
      <c r="S283" s="25">
        <f>IF(B283="","",IF(RewardAt&lt;=0,"",MAX(0,RewardAt*(Q283+1)-P283)))</f>
        <v>0</v>
      </c>
      <c r="T283" s="25">
        <f>IF(B283="","",COUNTIFS(Clients!$H$5:$H$504,B283))</f>
        <v>0</v>
      </c>
      <c r="U283" s="26">
        <f>IF(B283="","",ROUND(T283*ReferralReward-IF(J283="",0,J283),2))</f>
        <v>0</v>
      </c>
      <c r="V283" s="15">
        <f>IF(B283="","",IFERROR(INDEX(Clients!$AM$5:$AM$504,MATCH(B283,Clients!$A$5:$A$504,0))&amp;"",""))</f>
        <v>0</v>
      </c>
      <c r="W283" s="25">
        <f>IF(B283="","",COUNTIFS($P$5:$P$504,"&gt;"&amp;P283)+COUNTIFS($P$5:P283,P283))</f>
        <v>0</v>
      </c>
      <c r="X283" s="39">
        <f>IF(B283="","",IF(K283="No","",IF(COUNTIF($B$5:$B$504,B283)&gt;1,"Duplicate - this client is on twice",IF(Q283&gt;0,"Action - reward ready to give",IF(U283&gt;0.004,"Action - referral credit owed",IF(V283="Lapsing","Chase - points are a reason to call",IF(S283&lt;=RewardAt*0.2,"Rebook - nearly at a reward","OK")))))))</f>
        <v>0</v>
      </c>
    </row>
    <row r="284" spans="1:24">
      <c r="A284" s="28">
        <f>IF(B284="","",LoyaltyPrefix&amp;TEXT(ROW()-4,"0000"))</f>
        <v>0</v>
      </c>
      <c r="C284" s="15">
        <f>IF(B284="","",IFERROR(INDEX(Clients!$B$5:$B$504,MATCH(B284,Clients!$A$5:$A$504,0)),"Not in Clients"))</f>
        <v>0</v>
      </c>
      <c r="M284" s="26">
        <f>IF(B284="","",ROUND(SUMIFS(Sales!$Y$5:$Y$1204,Sales!$D$5:$D$1204,B284,Sales!$B$5:$B$1204,"&gt;="&amp;IF(D284="",0,D284)),2))</f>
        <v>0</v>
      </c>
      <c r="N284" s="25">
        <f>IF(B284="","",IFERROR(INDEX(Clients!$T$5:$T$504,MATCH(B284,Clients!$A$5:$A$504,0))*1,0))</f>
        <v>0</v>
      </c>
      <c r="O284" s="25">
        <f>IF(B284="","",ROUND(M284*PointsPerUnit+IF(F284="",0,F284),0))</f>
        <v>0</v>
      </c>
      <c r="P284" s="25">
        <f>IF(B284="","",O284-IF(G284="",0,G284))</f>
        <v>0</v>
      </c>
      <c r="Q284" s="25">
        <f>IF(B284="","",IF(RewardAt&lt;=0,0,ROUNDDOWN(P284/RewardAt,0)))</f>
        <v>0</v>
      </c>
      <c r="R284" s="26">
        <f>IF(B284="","",ROUND(Q284*RewardValue,2))</f>
        <v>0</v>
      </c>
      <c r="S284" s="25">
        <f>IF(B284="","",IF(RewardAt&lt;=0,"",MAX(0,RewardAt*(Q284+1)-P284)))</f>
        <v>0</v>
      </c>
      <c r="T284" s="25">
        <f>IF(B284="","",COUNTIFS(Clients!$H$5:$H$504,B284))</f>
        <v>0</v>
      </c>
      <c r="U284" s="26">
        <f>IF(B284="","",ROUND(T284*ReferralReward-IF(J284="",0,J284),2))</f>
        <v>0</v>
      </c>
      <c r="V284" s="15">
        <f>IF(B284="","",IFERROR(INDEX(Clients!$AM$5:$AM$504,MATCH(B284,Clients!$A$5:$A$504,0))&amp;"",""))</f>
        <v>0</v>
      </c>
      <c r="W284" s="25">
        <f>IF(B284="","",COUNTIFS($P$5:$P$504,"&gt;"&amp;P284)+COUNTIFS($P$5:P284,P284))</f>
        <v>0</v>
      </c>
      <c r="X284" s="39">
        <f>IF(B284="","",IF(K284="No","",IF(COUNTIF($B$5:$B$504,B284)&gt;1,"Duplicate - this client is on twice",IF(Q284&gt;0,"Action - reward ready to give",IF(U284&gt;0.004,"Action - referral credit owed",IF(V284="Lapsing","Chase - points are a reason to call",IF(S284&lt;=RewardAt*0.2,"Rebook - nearly at a reward","OK")))))))</f>
        <v>0</v>
      </c>
    </row>
    <row r="285" spans="1:24">
      <c r="A285" s="28">
        <f>IF(B285="","",LoyaltyPrefix&amp;TEXT(ROW()-4,"0000"))</f>
        <v>0</v>
      </c>
      <c r="C285" s="15">
        <f>IF(B285="","",IFERROR(INDEX(Clients!$B$5:$B$504,MATCH(B285,Clients!$A$5:$A$504,0)),"Not in Clients"))</f>
        <v>0</v>
      </c>
      <c r="M285" s="26">
        <f>IF(B285="","",ROUND(SUMIFS(Sales!$Y$5:$Y$1204,Sales!$D$5:$D$1204,B285,Sales!$B$5:$B$1204,"&gt;="&amp;IF(D285="",0,D285)),2))</f>
        <v>0</v>
      </c>
      <c r="N285" s="25">
        <f>IF(B285="","",IFERROR(INDEX(Clients!$T$5:$T$504,MATCH(B285,Clients!$A$5:$A$504,0))*1,0))</f>
        <v>0</v>
      </c>
      <c r="O285" s="25">
        <f>IF(B285="","",ROUND(M285*PointsPerUnit+IF(F285="",0,F285),0))</f>
        <v>0</v>
      </c>
      <c r="P285" s="25">
        <f>IF(B285="","",O285-IF(G285="",0,G285))</f>
        <v>0</v>
      </c>
      <c r="Q285" s="25">
        <f>IF(B285="","",IF(RewardAt&lt;=0,0,ROUNDDOWN(P285/RewardAt,0)))</f>
        <v>0</v>
      </c>
      <c r="R285" s="26">
        <f>IF(B285="","",ROUND(Q285*RewardValue,2))</f>
        <v>0</v>
      </c>
      <c r="S285" s="25">
        <f>IF(B285="","",IF(RewardAt&lt;=0,"",MAX(0,RewardAt*(Q285+1)-P285)))</f>
        <v>0</v>
      </c>
      <c r="T285" s="25">
        <f>IF(B285="","",COUNTIFS(Clients!$H$5:$H$504,B285))</f>
        <v>0</v>
      </c>
      <c r="U285" s="26">
        <f>IF(B285="","",ROUND(T285*ReferralReward-IF(J285="",0,J285),2))</f>
        <v>0</v>
      </c>
      <c r="V285" s="15">
        <f>IF(B285="","",IFERROR(INDEX(Clients!$AM$5:$AM$504,MATCH(B285,Clients!$A$5:$A$504,0))&amp;"",""))</f>
        <v>0</v>
      </c>
      <c r="W285" s="25">
        <f>IF(B285="","",COUNTIFS($P$5:$P$504,"&gt;"&amp;P285)+COUNTIFS($P$5:P285,P285))</f>
        <v>0</v>
      </c>
      <c r="X285" s="39">
        <f>IF(B285="","",IF(K285="No","",IF(COUNTIF($B$5:$B$504,B285)&gt;1,"Duplicate - this client is on twice",IF(Q285&gt;0,"Action - reward ready to give",IF(U285&gt;0.004,"Action - referral credit owed",IF(V285="Lapsing","Chase - points are a reason to call",IF(S285&lt;=RewardAt*0.2,"Rebook - nearly at a reward","OK")))))))</f>
        <v>0</v>
      </c>
    </row>
    <row r="286" spans="1:24">
      <c r="A286" s="28">
        <f>IF(B286="","",LoyaltyPrefix&amp;TEXT(ROW()-4,"0000"))</f>
        <v>0</v>
      </c>
      <c r="C286" s="15">
        <f>IF(B286="","",IFERROR(INDEX(Clients!$B$5:$B$504,MATCH(B286,Clients!$A$5:$A$504,0)),"Not in Clients"))</f>
        <v>0</v>
      </c>
      <c r="M286" s="26">
        <f>IF(B286="","",ROUND(SUMIFS(Sales!$Y$5:$Y$1204,Sales!$D$5:$D$1204,B286,Sales!$B$5:$B$1204,"&gt;="&amp;IF(D286="",0,D286)),2))</f>
        <v>0</v>
      </c>
      <c r="N286" s="25">
        <f>IF(B286="","",IFERROR(INDEX(Clients!$T$5:$T$504,MATCH(B286,Clients!$A$5:$A$504,0))*1,0))</f>
        <v>0</v>
      </c>
      <c r="O286" s="25">
        <f>IF(B286="","",ROUND(M286*PointsPerUnit+IF(F286="",0,F286),0))</f>
        <v>0</v>
      </c>
      <c r="P286" s="25">
        <f>IF(B286="","",O286-IF(G286="",0,G286))</f>
        <v>0</v>
      </c>
      <c r="Q286" s="25">
        <f>IF(B286="","",IF(RewardAt&lt;=0,0,ROUNDDOWN(P286/RewardAt,0)))</f>
        <v>0</v>
      </c>
      <c r="R286" s="26">
        <f>IF(B286="","",ROUND(Q286*RewardValue,2))</f>
        <v>0</v>
      </c>
      <c r="S286" s="25">
        <f>IF(B286="","",IF(RewardAt&lt;=0,"",MAX(0,RewardAt*(Q286+1)-P286)))</f>
        <v>0</v>
      </c>
      <c r="T286" s="25">
        <f>IF(B286="","",COUNTIFS(Clients!$H$5:$H$504,B286))</f>
        <v>0</v>
      </c>
      <c r="U286" s="26">
        <f>IF(B286="","",ROUND(T286*ReferralReward-IF(J286="",0,J286),2))</f>
        <v>0</v>
      </c>
      <c r="V286" s="15">
        <f>IF(B286="","",IFERROR(INDEX(Clients!$AM$5:$AM$504,MATCH(B286,Clients!$A$5:$A$504,0))&amp;"",""))</f>
        <v>0</v>
      </c>
      <c r="W286" s="25">
        <f>IF(B286="","",COUNTIFS($P$5:$P$504,"&gt;"&amp;P286)+COUNTIFS($P$5:P286,P286))</f>
        <v>0</v>
      </c>
      <c r="X286" s="39">
        <f>IF(B286="","",IF(K286="No","",IF(COUNTIF($B$5:$B$504,B286)&gt;1,"Duplicate - this client is on twice",IF(Q286&gt;0,"Action - reward ready to give",IF(U286&gt;0.004,"Action - referral credit owed",IF(V286="Lapsing","Chase - points are a reason to call",IF(S286&lt;=RewardAt*0.2,"Rebook - nearly at a reward","OK")))))))</f>
        <v>0</v>
      </c>
    </row>
    <row r="287" spans="1:24">
      <c r="A287" s="28">
        <f>IF(B287="","",LoyaltyPrefix&amp;TEXT(ROW()-4,"0000"))</f>
        <v>0</v>
      </c>
      <c r="C287" s="15">
        <f>IF(B287="","",IFERROR(INDEX(Clients!$B$5:$B$504,MATCH(B287,Clients!$A$5:$A$504,0)),"Not in Clients"))</f>
        <v>0</v>
      </c>
      <c r="M287" s="26">
        <f>IF(B287="","",ROUND(SUMIFS(Sales!$Y$5:$Y$1204,Sales!$D$5:$D$1204,B287,Sales!$B$5:$B$1204,"&gt;="&amp;IF(D287="",0,D287)),2))</f>
        <v>0</v>
      </c>
      <c r="N287" s="25">
        <f>IF(B287="","",IFERROR(INDEX(Clients!$T$5:$T$504,MATCH(B287,Clients!$A$5:$A$504,0))*1,0))</f>
        <v>0</v>
      </c>
      <c r="O287" s="25">
        <f>IF(B287="","",ROUND(M287*PointsPerUnit+IF(F287="",0,F287),0))</f>
        <v>0</v>
      </c>
      <c r="P287" s="25">
        <f>IF(B287="","",O287-IF(G287="",0,G287))</f>
        <v>0</v>
      </c>
      <c r="Q287" s="25">
        <f>IF(B287="","",IF(RewardAt&lt;=0,0,ROUNDDOWN(P287/RewardAt,0)))</f>
        <v>0</v>
      </c>
      <c r="R287" s="26">
        <f>IF(B287="","",ROUND(Q287*RewardValue,2))</f>
        <v>0</v>
      </c>
      <c r="S287" s="25">
        <f>IF(B287="","",IF(RewardAt&lt;=0,"",MAX(0,RewardAt*(Q287+1)-P287)))</f>
        <v>0</v>
      </c>
      <c r="T287" s="25">
        <f>IF(B287="","",COUNTIFS(Clients!$H$5:$H$504,B287))</f>
        <v>0</v>
      </c>
      <c r="U287" s="26">
        <f>IF(B287="","",ROUND(T287*ReferralReward-IF(J287="",0,J287),2))</f>
        <v>0</v>
      </c>
      <c r="V287" s="15">
        <f>IF(B287="","",IFERROR(INDEX(Clients!$AM$5:$AM$504,MATCH(B287,Clients!$A$5:$A$504,0))&amp;"",""))</f>
        <v>0</v>
      </c>
      <c r="W287" s="25">
        <f>IF(B287="","",COUNTIFS($P$5:$P$504,"&gt;"&amp;P287)+COUNTIFS($P$5:P287,P287))</f>
        <v>0</v>
      </c>
      <c r="X287" s="39">
        <f>IF(B287="","",IF(K287="No","",IF(COUNTIF($B$5:$B$504,B287)&gt;1,"Duplicate - this client is on twice",IF(Q287&gt;0,"Action - reward ready to give",IF(U287&gt;0.004,"Action - referral credit owed",IF(V287="Lapsing","Chase - points are a reason to call",IF(S287&lt;=RewardAt*0.2,"Rebook - nearly at a reward","OK")))))))</f>
        <v>0</v>
      </c>
    </row>
    <row r="288" spans="1:24">
      <c r="A288" s="28">
        <f>IF(B288="","",LoyaltyPrefix&amp;TEXT(ROW()-4,"0000"))</f>
        <v>0</v>
      </c>
      <c r="C288" s="15">
        <f>IF(B288="","",IFERROR(INDEX(Clients!$B$5:$B$504,MATCH(B288,Clients!$A$5:$A$504,0)),"Not in Clients"))</f>
        <v>0</v>
      </c>
      <c r="M288" s="26">
        <f>IF(B288="","",ROUND(SUMIFS(Sales!$Y$5:$Y$1204,Sales!$D$5:$D$1204,B288,Sales!$B$5:$B$1204,"&gt;="&amp;IF(D288="",0,D288)),2))</f>
        <v>0</v>
      </c>
      <c r="N288" s="25">
        <f>IF(B288="","",IFERROR(INDEX(Clients!$T$5:$T$504,MATCH(B288,Clients!$A$5:$A$504,0))*1,0))</f>
        <v>0</v>
      </c>
      <c r="O288" s="25">
        <f>IF(B288="","",ROUND(M288*PointsPerUnit+IF(F288="",0,F288),0))</f>
        <v>0</v>
      </c>
      <c r="P288" s="25">
        <f>IF(B288="","",O288-IF(G288="",0,G288))</f>
        <v>0</v>
      </c>
      <c r="Q288" s="25">
        <f>IF(B288="","",IF(RewardAt&lt;=0,0,ROUNDDOWN(P288/RewardAt,0)))</f>
        <v>0</v>
      </c>
      <c r="R288" s="26">
        <f>IF(B288="","",ROUND(Q288*RewardValue,2))</f>
        <v>0</v>
      </c>
      <c r="S288" s="25">
        <f>IF(B288="","",IF(RewardAt&lt;=0,"",MAX(0,RewardAt*(Q288+1)-P288)))</f>
        <v>0</v>
      </c>
      <c r="T288" s="25">
        <f>IF(B288="","",COUNTIFS(Clients!$H$5:$H$504,B288))</f>
        <v>0</v>
      </c>
      <c r="U288" s="26">
        <f>IF(B288="","",ROUND(T288*ReferralReward-IF(J288="",0,J288),2))</f>
        <v>0</v>
      </c>
      <c r="V288" s="15">
        <f>IF(B288="","",IFERROR(INDEX(Clients!$AM$5:$AM$504,MATCH(B288,Clients!$A$5:$A$504,0))&amp;"",""))</f>
        <v>0</v>
      </c>
      <c r="W288" s="25">
        <f>IF(B288="","",COUNTIFS($P$5:$P$504,"&gt;"&amp;P288)+COUNTIFS($P$5:P288,P288))</f>
        <v>0</v>
      </c>
      <c r="X288" s="39">
        <f>IF(B288="","",IF(K288="No","",IF(COUNTIF($B$5:$B$504,B288)&gt;1,"Duplicate - this client is on twice",IF(Q288&gt;0,"Action - reward ready to give",IF(U288&gt;0.004,"Action - referral credit owed",IF(V288="Lapsing","Chase - points are a reason to call",IF(S288&lt;=RewardAt*0.2,"Rebook - nearly at a reward","OK")))))))</f>
        <v>0</v>
      </c>
    </row>
    <row r="289" spans="1:24">
      <c r="A289" s="28">
        <f>IF(B289="","",LoyaltyPrefix&amp;TEXT(ROW()-4,"0000"))</f>
        <v>0</v>
      </c>
      <c r="C289" s="15">
        <f>IF(B289="","",IFERROR(INDEX(Clients!$B$5:$B$504,MATCH(B289,Clients!$A$5:$A$504,0)),"Not in Clients"))</f>
        <v>0</v>
      </c>
      <c r="M289" s="26">
        <f>IF(B289="","",ROUND(SUMIFS(Sales!$Y$5:$Y$1204,Sales!$D$5:$D$1204,B289,Sales!$B$5:$B$1204,"&gt;="&amp;IF(D289="",0,D289)),2))</f>
        <v>0</v>
      </c>
      <c r="N289" s="25">
        <f>IF(B289="","",IFERROR(INDEX(Clients!$T$5:$T$504,MATCH(B289,Clients!$A$5:$A$504,0))*1,0))</f>
        <v>0</v>
      </c>
      <c r="O289" s="25">
        <f>IF(B289="","",ROUND(M289*PointsPerUnit+IF(F289="",0,F289),0))</f>
        <v>0</v>
      </c>
      <c r="P289" s="25">
        <f>IF(B289="","",O289-IF(G289="",0,G289))</f>
        <v>0</v>
      </c>
      <c r="Q289" s="25">
        <f>IF(B289="","",IF(RewardAt&lt;=0,0,ROUNDDOWN(P289/RewardAt,0)))</f>
        <v>0</v>
      </c>
      <c r="R289" s="26">
        <f>IF(B289="","",ROUND(Q289*RewardValue,2))</f>
        <v>0</v>
      </c>
      <c r="S289" s="25">
        <f>IF(B289="","",IF(RewardAt&lt;=0,"",MAX(0,RewardAt*(Q289+1)-P289)))</f>
        <v>0</v>
      </c>
      <c r="T289" s="25">
        <f>IF(B289="","",COUNTIFS(Clients!$H$5:$H$504,B289))</f>
        <v>0</v>
      </c>
      <c r="U289" s="26">
        <f>IF(B289="","",ROUND(T289*ReferralReward-IF(J289="",0,J289),2))</f>
        <v>0</v>
      </c>
      <c r="V289" s="15">
        <f>IF(B289="","",IFERROR(INDEX(Clients!$AM$5:$AM$504,MATCH(B289,Clients!$A$5:$A$504,0))&amp;"",""))</f>
        <v>0</v>
      </c>
      <c r="W289" s="25">
        <f>IF(B289="","",COUNTIFS($P$5:$P$504,"&gt;"&amp;P289)+COUNTIFS($P$5:P289,P289))</f>
        <v>0</v>
      </c>
      <c r="X289" s="39">
        <f>IF(B289="","",IF(K289="No","",IF(COUNTIF($B$5:$B$504,B289)&gt;1,"Duplicate - this client is on twice",IF(Q289&gt;0,"Action - reward ready to give",IF(U289&gt;0.004,"Action - referral credit owed",IF(V289="Lapsing","Chase - points are a reason to call",IF(S289&lt;=RewardAt*0.2,"Rebook - nearly at a reward","OK")))))))</f>
        <v>0</v>
      </c>
    </row>
    <row r="290" spans="1:24">
      <c r="A290" s="28">
        <f>IF(B290="","",LoyaltyPrefix&amp;TEXT(ROW()-4,"0000"))</f>
        <v>0</v>
      </c>
      <c r="C290" s="15">
        <f>IF(B290="","",IFERROR(INDEX(Clients!$B$5:$B$504,MATCH(B290,Clients!$A$5:$A$504,0)),"Not in Clients"))</f>
        <v>0</v>
      </c>
      <c r="M290" s="26">
        <f>IF(B290="","",ROUND(SUMIFS(Sales!$Y$5:$Y$1204,Sales!$D$5:$D$1204,B290,Sales!$B$5:$B$1204,"&gt;="&amp;IF(D290="",0,D290)),2))</f>
        <v>0</v>
      </c>
      <c r="N290" s="25">
        <f>IF(B290="","",IFERROR(INDEX(Clients!$T$5:$T$504,MATCH(B290,Clients!$A$5:$A$504,0))*1,0))</f>
        <v>0</v>
      </c>
      <c r="O290" s="25">
        <f>IF(B290="","",ROUND(M290*PointsPerUnit+IF(F290="",0,F290),0))</f>
        <v>0</v>
      </c>
      <c r="P290" s="25">
        <f>IF(B290="","",O290-IF(G290="",0,G290))</f>
        <v>0</v>
      </c>
      <c r="Q290" s="25">
        <f>IF(B290="","",IF(RewardAt&lt;=0,0,ROUNDDOWN(P290/RewardAt,0)))</f>
        <v>0</v>
      </c>
      <c r="R290" s="26">
        <f>IF(B290="","",ROUND(Q290*RewardValue,2))</f>
        <v>0</v>
      </c>
      <c r="S290" s="25">
        <f>IF(B290="","",IF(RewardAt&lt;=0,"",MAX(0,RewardAt*(Q290+1)-P290)))</f>
        <v>0</v>
      </c>
      <c r="T290" s="25">
        <f>IF(B290="","",COUNTIFS(Clients!$H$5:$H$504,B290))</f>
        <v>0</v>
      </c>
      <c r="U290" s="26">
        <f>IF(B290="","",ROUND(T290*ReferralReward-IF(J290="",0,J290),2))</f>
        <v>0</v>
      </c>
      <c r="V290" s="15">
        <f>IF(B290="","",IFERROR(INDEX(Clients!$AM$5:$AM$504,MATCH(B290,Clients!$A$5:$A$504,0))&amp;"",""))</f>
        <v>0</v>
      </c>
      <c r="W290" s="25">
        <f>IF(B290="","",COUNTIFS($P$5:$P$504,"&gt;"&amp;P290)+COUNTIFS($P$5:P290,P290))</f>
        <v>0</v>
      </c>
      <c r="X290" s="39">
        <f>IF(B290="","",IF(K290="No","",IF(COUNTIF($B$5:$B$504,B290)&gt;1,"Duplicate - this client is on twice",IF(Q290&gt;0,"Action - reward ready to give",IF(U290&gt;0.004,"Action - referral credit owed",IF(V290="Lapsing","Chase - points are a reason to call",IF(S290&lt;=RewardAt*0.2,"Rebook - nearly at a reward","OK")))))))</f>
        <v>0</v>
      </c>
    </row>
    <row r="291" spans="1:24">
      <c r="A291" s="28">
        <f>IF(B291="","",LoyaltyPrefix&amp;TEXT(ROW()-4,"0000"))</f>
        <v>0</v>
      </c>
      <c r="C291" s="15">
        <f>IF(B291="","",IFERROR(INDEX(Clients!$B$5:$B$504,MATCH(B291,Clients!$A$5:$A$504,0)),"Not in Clients"))</f>
        <v>0</v>
      </c>
      <c r="M291" s="26">
        <f>IF(B291="","",ROUND(SUMIFS(Sales!$Y$5:$Y$1204,Sales!$D$5:$D$1204,B291,Sales!$B$5:$B$1204,"&gt;="&amp;IF(D291="",0,D291)),2))</f>
        <v>0</v>
      </c>
      <c r="N291" s="25">
        <f>IF(B291="","",IFERROR(INDEX(Clients!$T$5:$T$504,MATCH(B291,Clients!$A$5:$A$504,0))*1,0))</f>
        <v>0</v>
      </c>
      <c r="O291" s="25">
        <f>IF(B291="","",ROUND(M291*PointsPerUnit+IF(F291="",0,F291),0))</f>
        <v>0</v>
      </c>
      <c r="P291" s="25">
        <f>IF(B291="","",O291-IF(G291="",0,G291))</f>
        <v>0</v>
      </c>
      <c r="Q291" s="25">
        <f>IF(B291="","",IF(RewardAt&lt;=0,0,ROUNDDOWN(P291/RewardAt,0)))</f>
        <v>0</v>
      </c>
      <c r="R291" s="26">
        <f>IF(B291="","",ROUND(Q291*RewardValue,2))</f>
        <v>0</v>
      </c>
      <c r="S291" s="25">
        <f>IF(B291="","",IF(RewardAt&lt;=0,"",MAX(0,RewardAt*(Q291+1)-P291)))</f>
        <v>0</v>
      </c>
      <c r="T291" s="25">
        <f>IF(B291="","",COUNTIFS(Clients!$H$5:$H$504,B291))</f>
        <v>0</v>
      </c>
      <c r="U291" s="26">
        <f>IF(B291="","",ROUND(T291*ReferralReward-IF(J291="",0,J291),2))</f>
        <v>0</v>
      </c>
      <c r="V291" s="15">
        <f>IF(B291="","",IFERROR(INDEX(Clients!$AM$5:$AM$504,MATCH(B291,Clients!$A$5:$A$504,0))&amp;"",""))</f>
        <v>0</v>
      </c>
      <c r="W291" s="25">
        <f>IF(B291="","",COUNTIFS($P$5:$P$504,"&gt;"&amp;P291)+COUNTIFS($P$5:P291,P291))</f>
        <v>0</v>
      </c>
      <c r="X291" s="39">
        <f>IF(B291="","",IF(K291="No","",IF(COUNTIF($B$5:$B$504,B291)&gt;1,"Duplicate - this client is on twice",IF(Q291&gt;0,"Action - reward ready to give",IF(U291&gt;0.004,"Action - referral credit owed",IF(V291="Lapsing","Chase - points are a reason to call",IF(S291&lt;=RewardAt*0.2,"Rebook - nearly at a reward","OK")))))))</f>
        <v>0</v>
      </c>
    </row>
    <row r="292" spans="1:24">
      <c r="A292" s="28">
        <f>IF(B292="","",LoyaltyPrefix&amp;TEXT(ROW()-4,"0000"))</f>
        <v>0</v>
      </c>
      <c r="C292" s="15">
        <f>IF(B292="","",IFERROR(INDEX(Clients!$B$5:$B$504,MATCH(B292,Clients!$A$5:$A$504,0)),"Not in Clients"))</f>
        <v>0</v>
      </c>
      <c r="M292" s="26">
        <f>IF(B292="","",ROUND(SUMIFS(Sales!$Y$5:$Y$1204,Sales!$D$5:$D$1204,B292,Sales!$B$5:$B$1204,"&gt;="&amp;IF(D292="",0,D292)),2))</f>
        <v>0</v>
      </c>
      <c r="N292" s="25">
        <f>IF(B292="","",IFERROR(INDEX(Clients!$T$5:$T$504,MATCH(B292,Clients!$A$5:$A$504,0))*1,0))</f>
        <v>0</v>
      </c>
      <c r="O292" s="25">
        <f>IF(B292="","",ROUND(M292*PointsPerUnit+IF(F292="",0,F292),0))</f>
        <v>0</v>
      </c>
      <c r="P292" s="25">
        <f>IF(B292="","",O292-IF(G292="",0,G292))</f>
        <v>0</v>
      </c>
      <c r="Q292" s="25">
        <f>IF(B292="","",IF(RewardAt&lt;=0,0,ROUNDDOWN(P292/RewardAt,0)))</f>
        <v>0</v>
      </c>
      <c r="R292" s="26">
        <f>IF(B292="","",ROUND(Q292*RewardValue,2))</f>
        <v>0</v>
      </c>
      <c r="S292" s="25">
        <f>IF(B292="","",IF(RewardAt&lt;=0,"",MAX(0,RewardAt*(Q292+1)-P292)))</f>
        <v>0</v>
      </c>
      <c r="T292" s="25">
        <f>IF(B292="","",COUNTIFS(Clients!$H$5:$H$504,B292))</f>
        <v>0</v>
      </c>
      <c r="U292" s="26">
        <f>IF(B292="","",ROUND(T292*ReferralReward-IF(J292="",0,J292),2))</f>
        <v>0</v>
      </c>
      <c r="V292" s="15">
        <f>IF(B292="","",IFERROR(INDEX(Clients!$AM$5:$AM$504,MATCH(B292,Clients!$A$5:$A$504,0))&amp;"",""))</f>
        <v>0</v>
      </c>
      <c r="W292" s="25">
        <f>IF(B292="","",COUNTIFS($P$5:$P$504,"&gt;"&amp;P292)+COUNTIFS($P$5:P292,P292))</f>
        <v>0</v>
      </c>
      <c r="X292" s="39">
        <f>IF(B292="","",IF(K292="No","",IF(COUNTIF($B$5:$B$504,B292)&gt;1,"Duplicate - this client is on twice",IF(Q292&gt;0,"Action - reward ready to give",IF(U292&gt;0.004,"Action - referral credit owed",IF(V292="Lapsing","Chase - points are a reason to call",IF(S292&lt;=RewardAt*0.2,"Rebook - nearly at a reward","OK")))))))</f>
        <v>0</v>
      </c>
    </row>
    <row r="293" spans="1:24">
      <c r="A293" s="28">
        <f>IF(B293="","",LoyaltyPrefix&amp;TEXT(ROW()-4,"0000"))</f>
        <v>0</v>
      </c>
      <c r="C293" s="15">
        <f>IF(B293="","",IFERROR(INDEX(Clients!$B$5:$B$504,MATCH(B293,Clients!$A$5:$A$504,0)),"Not in Clients"))</f>
        <v>0</v>
      </c>
      <c r="M293" s="26">
        <f>IF(B293="","",ROUND(SUMIFS(Sales!$Y$5:$Y$1204,Sales!$D$5:$D$1204,B293,Sales!$B$5:$B$1204,"&gt;="&amp;IF(D293="",0,D293)),2))</f>
        <v>0</v>
      </c>
      <c r="N293" s="25">
        <f>IF(B293="","",IFERROR(INDEX(Clients!$T$5:$T$504,MATCH(B293,Clients!$A$5:$A$504,0))*1,0))</f>
        <v>0</v>
      </c>
      <c r="O293" s="25">
        <f>IF(B293="","",ROUND(M293*PointsPerUnit+IF(F293="",0,F293),0))</f>
        <v>0</v>
      </c>
      <c r="P293" s="25">
        <f>IF(B293="","",O293-IF(G293="",0,G293))</f>
        <v>0</v>
      </c>
      <c r="Q293" s="25">
        <f>IF(B293="","",IF(RewardAt&lt;=0,0,ROUNDDOWN(P293/RewardAt,0)))</f>
        <v>0</v>
      </c>
      <c r="R293" s="26">
        <f>IF(B293="","",ROUND(Q293*RewardValue,2))</f>
        <v>0</v>
      </c>
      <c r="S293" s="25">
        <f>IF(B293="","",IF(RewardAt&lt;=0,"",MAX(0,RewardAt*(Q293+1)-P293)))</f>
        <v>0</v>
      </c>
      <c r="T293" s="25">
        <f>IF(B293="","",COUNTIFS(Clients!$H$5:$H$504,B293))</f>
        <v>0</v>
      </c>
      <c r="U293" s="26">
        <f>IF(B293="","",ROUND(T293*ReferralReward-IF(J293="",0,J293),2))</f>
        <v>0</v>
      </c>
      <c r="V293" s="15">
        <f>IF(B293="","",IFERROR(INDEX(Clients!$AM$5:$AM$504,MATCH(B293,Clients!$A$5:$A$504,0))&amp;"",""))</f>
        <v>0</v>
      </c>
      <c r="W293" s="25">
        <f>IF(B293="","",COUNTIFS($P$5:$P$504,"&gt;"&amp;P293)+COUNTIFS($P$5:P293,P293))</f>
        <v>0</v>
      </c>
      <c r="X293" s="39">
        <f>IF(B293="","",IF(K293="No","",IF(COUNTIF($B$5:$B$504,B293)&gt;1,"Duplicate - this client is on twice",IF(Q293&gt;0,"Action - reward ready to give",IF(U293&gt;0.004,"Action - referral credit owed",IF(V293="Lapsing","Chase - points are a reason to call",IF(S293&lt;=RewardAt*0.2,"Rebook - nearly at a reward","OK")))))))</f>
        <v>0</v>
      </c>
    </row>
    <row r="294" spans="1:24">
      <c r="A294" s="28">
        <f>IF(B294="","",LoyaltyPrefix&amp;TEXT(ROW()-4,"0000"))</f>
        <v>0</v>
      </c>
      <c r="C294" s="15">
        <f>IF(B294="","",IFERROR(INDEX(Clients!$B$5:$B$504,MATCH(B294,Clients!$A$5:$A$504,0)),"Not in Clients"))</f>
        <v>0</v>
      </c>
      <c r="M294" s="26">
        <f>IF(B294="","",ROUND(SUMIFS(Sales!$Y$5:$Y$1204,Sales!$D$5:$D$1204,B294,Sales!$B$5:$B$1204,"&gt;="&amp;IF(D294="",0,D294)),2))</f>
        <v>0</v>
      </c>
      <c r="N294" s="25">
        <f>IF(B294="","",IFERROR(INDEX(Clients!$T$5:$T$504,MATCH(B294,Clients!$A$5:$A$504,0))*1,0))</f>
        <v>0</v>
      </c>
      <c r="O294" s="25">
        <f>IF(B294="","",ROUND(M294*PointsPerUnit+IF(F294="",0,F294),0))</f>
        <v>0</v>
      </c>
      <c r="P294" s="25">
        <f>IF(B294="","",O294-IF(G294="",0,G294))</f>
        <v>0</v>
      </c>
      <c r="Q294" s="25">
        <f>IF(B294="","",IF(RewardAt&lt;=0,0,ROUNDDOWN(P294/RewardAt,0)))</f>
        <v>0</v>
      </c>
      <c r="R294" s="26">
        <f>IF(B294="","",ROUND(Q294*RewardValue,2))</f>
        <v>0</v>
      </c>
      <c r="S294" s="25">
        <f>IF(B294="","",IF(RewardAt&lt;=0,"",MAX(0,RewardAt*(Q294+1)-P294)))</f>
        <v>0</v>
      </c>
      <c r="T294" s="25">
        <f>IF(B294="","",COUNTIFS(Clients!$H$5:$H$504,B294))</f>
        <v>0</v>
      </c>
      <c r="U294" s="26">
        <f>IF(B294="","",ROUND(T294*ReferralReward-IF(J294="",0,J294),2))</f>
        <v>0</v>
      </c>
      <c r="V294" s="15">
        <f>IF(B294="","",IFERROR(INDEX(Clients!$AM$5:$AM$504,MATCH(B294,Clients!$A$5:$A$504,0))&amp;"",""))</f>
        <v>0</v>
      </c>
      <c r="W294" s="25">
        <f>IF(B294="","",COUNTIFS($P$5:$P$504,"&gt;"&amp;P294)+COUNTIFS($P$5:P294,P294))</f>
        <v>0</v>
      </c>
      <c r="X294" s="39">
        <f>IF(B294="","",IF(K294="No","",IF(COUNTIF($B$5:$B$504,B294)&gt;1,"Duplicate - this client is on twice",IF(Q294&gt;0,"Action - reward ready to give",IF(U294&gt;0.004,"Action - referral credit owed",IF(V294="Lapsing","Chase - points are a reason to call",IF(S294&lt;=RewardAt*0.2,"Rebook - nearly at a reward","OK")))))))</f>
        <v>0</v>
      </c>
    </row>
    <row r="295" spans="1:24">
      <c r="A295" s="28">
        <f>IF(B295="","",LoyaltyPrefix&amp;TEXT(ROW()-4,"0000"))</f>
        <v>0</v>
      </c>
      <c r="C295" s="15">
        <f>IF(B295="","",IFERROR(INDEX(Clients!$B$5:$B$504,MATCH(B295,Clients!$A$5:$A$504,0)),"Not in Clients"))</f>
        <v>0</v>
      </c>
      <c r="M295" s="26">
        <f>IF(B295="","",ROUND(SUMIFS(Sales!$Y$5:$Y$1204,Sales!$D$5:$D$1204,B295,Sales!$B$5:$B$1204,"&gt;="&amp;IF(D295="",0,D295)),2))</f>
        <v>0</v>
      </c>
      <c r="N295" s="25">
        <f>IF(B295="","",IFERROR(INDEX(Clients!$T$5:$T$504,MATCH(B295,Clients!$A$5:$A$504,0))*1,0))</f>
        <v>0</v>
      </c>
      <c r="O295" s="25">
        <f>IF(B295="","",ROUND(M295*PointsPerUnit+IF(F295="",0,F295),0))</f>
        <v>0</v>
      </c>
      <c r="P295" s="25">
        <f>IF(B295="","",O295-IF(G295="",0,G295))</f>
        <v>0</v>
      </c>
      <c r="Q295" s="25">
        <f>IF(B295="","",IF(RewardAt&lt;=0,0,ROUNDDOWN(P295/RewardAt,0)))</f>
        <v>0</v>
      </c>
      <c r="R295" s="26">
        <f>IF(B295="","",ROUND(Q295*RewardValue,2))</f>
        <v>0</v>
      </c>
      <c r="S295" s="25">
        <f>IF(B295="","",IF(RewardAt&lt;=0,"",MAX(0,RewardAt*(Q295+1)-P295)))</f>
        <v>0</v>
      </c>
      <c r="T295" s="25">
        <f>IF(B295="","",COUNTIFS(Clients!$H$5:$H$504,B295))</f>
        <v>0</v>
      </c>
      <c r="U295" s="26">
        <f>IF(B295="","",ROUND(T295*ReferralReward-IF(J295="",0,J295),2))</f>
        <v>0</v>
      </c>
      <c r="V295" s="15">
        <f>IF(B295="","",IFERROR(INDEX(Clients!$AM$5:$AM$504,MATCH(B295,Clients!$A$5:$A$504,0))&amp;"",""))</f>
        <v>0</v>
      </c>
      <c r="W295" s="25">
        <f>IF(B295="","",COUNTIFS($P$5:$P$504,"&gt;"&amp;P295)+COUNTIFS($P$5:P295,P295))</f>
        <v>0</v>
      </c>
      <c r="X295" s="39">
        <f>IF(B295="","",IF(K295="No","",IF(COUNTIF($B$5:$B$504,B295)&gt;1,"Duplicate - this client is on twice",IF(Q295&gt;0,"Action - reward ready to give",IF(U295&gt;0.004,"Action - referral credit owed",IF(V295="Lapsing","Chase - points are a reason to call",IF(S295&lt;=RewardAt*0.2,"Rebook - nearly at a reward","OK")))))))</f>
        <v>0</v>
      </c>
    </row>
    <row r="296" spans="1:24">
      <c r="A296" s="28">
        <f>IF(B296="","",LoyaltyPrefix&amp;TEXT(ROW()-4,"0000"))</f>
        <v>0</v>
      </c>
      <c r="C296" s="15">
        <f>IF(B296="","",IFERROR(INDEX(Clients!$B$5:$B$504,MATCH(B296,Clients!$A$5:$A$504,0)),"Not in Clients"))</f>
        <v>0</v>
      </c>
      <c r="M296" s="26">
        <f>IF(B296="","",ROUND(SUMIFS(Sales!$Y$5:$Y$1204,Sales!$D$5:$D$1204,B296,Sales!$B$5:$B$1204,"&gt;="&amp;IF(D296="",0,D296)),2))</f>
        <v>0</v>
      </c>
      <c r="N296" s="25">
        <f>IF(B296="","",IFERROR(INDEX(Clients!$T$5:$T$504,MATCH(B296,Clients!$A$5:$A$504,0))*1,0))</f>
        <v>0</v>
      </c>
      <c r="O296" s="25">
        <f>IF(B296="","",ROUND(M296*PointsPerUnit+IF(F296="",0,F296),0))</f>
        <v>0</v>
      </c>
      <c r="P296" s="25">
        <f>IF(B296="","",O296-IF(G296="",0,G296))</f>
        <v>0</v>
      </c>
      <c r="Q296" s="25">
        <f>IF(B296="","",IF(RewardAt&lt;=0,0,ROUNDDOWN(P296/RewardAt,0)))</f>
        <v>0</v>
      </c>
      <c r="R296" s="26">
        <f>IF(B296="","",ROUND(Q296*RewardValue,2))</f>
        <v>0</v>
      </c>
      <c r="S296" s="25">
        <f>IF(B296="","",IF(RewardAt&lt;=0,"",MAX(0,RewardAt*(Q296+1)-P296)))</f>
        <v>0</v>
      </c>
      <c r="T296" s="25">
        <f>IF(B296="","",COUNTIFS(Clients!$H$5:$H$504,B296))</f>
        <v>0</v>
      </c>
      <c r="U296" s="26">
        <f>IF(B296="","",ROUND(T296*ReferralReward-IF(J296="",0,J296),2))</f>
        <v>0</v>
      </c>
      <c r="V296" s="15">
        <f>IF(B296="","",IFERROR(INDEX(Clients!$AM$5:$AM$504,MATCH(B296,Clients!$A$5:$A$504,0))&amp;"",""))</f>
        <v>0</v>
      </c>
      <c r="W296" s="25">
        <f>IF(B296="","",COUNTIFS($P$5:$P$504,"&gt;"&amp;P296)+COUNTIFS($P$5:P296,P296))</f>
        <v>0</v>
      </c>
      <c r="X296" s="39">
        <f>IF(B296="","",IF(K296="No","",IF(COUNTIF($B$5:$B$504,B296)&gt;1,"Duplicate - this client is on twice",IF(Q296&gt;0,"Action - reward ready to give",IF(U296&gt;0.004,"Action - referral credit owed",IF(V296="Lapsing","Chase - points are a reason to call",IF(S296&lt;=RewardAt*0.2,"Rebook - nearly at a reward","OK")))))))</f>
        <v>0</v>
      </c>
    </row>
    <row r="297" spans="1:24">
      <c r="A297" s="28">
        <f>IF(B297="","",LoyaltyPrefix&amp;TEXT(ROW()-4,"0000"))</f>
        <v>0</v>
      </c>
      <c r="C297" s="15">
        <f>IF(B297="","",IFERROR(INDEX(Clients!$B$5:$B$504,MATCH(B297,Clients!$A$5:$A$504,0)),"Not in Clients"))</f>
        <v>0</v>
      </c>
      <c r="M297" s="26">
        <f>IF(B297="","",ROUND(SUMIFS(Sales!$Y$5:$Y$1204,Sales!$D$5:$D$1204,B297,Sales!$B$5:$B$1204,"&gt;="&amp;IF(D297="",0,D297)),2))</f>
        <v>0</v>
      </c>
      <c r="N297" s="25">
        <f>IF(B297="","",IFERROR(INDEX(Clients!$T$5:$T$504,MATCH(B297,Clients!$A$5:$A$504,0))*1,0))</f>
        <v>0</v>
      </c>
      <c r="O297" s="25">
        <f>IF(B297="","",ROUND(M297*PointsPerUnit+IF(F297="",0,F297),0))</f>
        <v>0</v>
      </c>
      <c r="P297" s="25">
        <f>IF(B297="","",O297-IF(G297="",0,G297))</f>
        <v>0</v>
      </c>
      <c r="Q297" s="25">
        <f>IF(B297="","",IF(RewardAt&lt;=0,0,ROUNDDOWN(P297/RewardAt,0)))</f>
        <v>0</v>
      </c>
      <c r="R297" s="26">
        <f>IF(B297="","",ROUND(Q297*RewardValue,2))</f>
        <v>0</v>
      </c>
      <c r="S297" s="25">
        <f>IF(B297="","",IF(RewardAt&lt;=0,"",MAX(0,RewardAt*(Q297+1)-P297)))</f>
        <v>0</v>
      </c>
      <c r="T297" s="25">
        <f>IF(B297="","",COUNTIFS(Clients!$H$5:$H$504,B297))</f>
        <v>0</v>
      </c>
      <c r="U297" s="26">
        <f>IF(B297="","",ROUND(T297*ReferralReward-IF(J297="",0,J297),2))</f>
        <v>0</v>
      </c>
      <c r="V297" s="15">
        <f>IF(B297="","",IFERROR(INDEX(Clients!$AM$5:$AM$504,MATCH(B297,Clients!$A$5:$A$504,0))&amp;"",""))</f>
        <v>0</v>
      </c>
      <c r="W297" s="25">
        <f>IF(B297="","",COUNTIFS($P$5:$P$504,"&gt;"&amp;P297)+COUNTIFS($P$5:P297,P297))</f>
        <v>0</v>
      </c>
      <c r="X297" s="39">
        <f>IF(B297="","",IF(K297="No","",IF(COUNTIF($B$5:$B$504,B297)&gt;1,"Duplicate - this client is on twice",IF(Q297&gt;0,"Action - reward ready to give",IF(U297&gt;0.004,"Action - referral credit owed",IF(V297="Lapsing","Chase - points are a reason to call",IF(S297&lt;=RewardAt*0.2,"Rebook - nearly at a reward","OK")))))))</f>
        <v>0</v>
      </c>
    </row>
    <row r="298" spans="1:24">
      <c r="A298" s="28">
        <f>IF(B298="","",LoyaltyPrefix&amp;TEXT(ROW()-4,"0000"))</f>
        <v>0</v>
      </c>
      <c r="C298" s="15">
        <f>IF(B298="","",IFERROR(INDEX(Clients!$B$5:$B$504,MATCH(B298,Clients!$A$5:$A$504,0)),"Not in Clients"))</f>
        <v>0</v>
      </c>
      <c r="M298" s="26">
        <f>IF(B298="","",ROUND(SUMIFS(Sales!$Y$5:$Y$1204,Sales!$D$5:$D$1204,B298,Sales!$B$5:$B$1204,"&gt;="&amp;IF(D298="",0,D298)),2))</f>
        <v>0</v>
      </c>
      <c r="N298" s="25">
        <f>IF(B298="","",IFERROR(INDEX(Clients!$T$5:$T$504,MATCH(B298,Clients!$A$5:$A$504,0))*1,0))</f>
        <v>0</v>
      </c>
      <c r="O298" s="25">
        <f>IF(B298="","",ROUND(M298*PointsPerUnit+IF(F298="",0,F298),0))</f>
        <v>0</v>
      </c>
      <c r="P298" s="25">
        <f>IF(B298="","",O298-IF(G298="",0,G298))</f>
        <v>0</v>
      </c>
      <c r="Q298" s="25">
        <f>IF(B298="","",IF(RewardAt&lt;=0,0,ROUNDDOWN(P298/RewardAt,0)))</f>
        <v>0</v>
      </c>
      <c r="R298" s="26">
        <f>IF(B298="","",ROUND(Q298*RewardValue,2))</f>
        <v>0</v>
      </c>
      <c r="S298" s="25">
        <f>IF(B298="","",IF(RewardAt&lt;=0,"",MAX(0,RewardAt*(Q298+1)-P298)))</f>
        <v>0</v>
      </c>
      <c r="T298" s="25">
        <f>IF(B298="","",COUNTIFS(Clients!$H$5:$H$504,B298))</f>
        <v>0</v>
      </c>
      <c r="U298" s="26">
        <f>IF(B298="","",ROUND(T298*ReferralReward-IF(J298="",0,J298),2))</f>
        <v>0</v>
      </c>
      <c r="V298" s="15">
        <f>IF(B298="","",IFERROR(INDEX(Clients!$AM$5:$AM$504,MATCH(B298,Clients!$A$5:$A$504,0))&amp;"",""))</f>
        <v>0</v>
      </c>
      <c r="W298" s="25">
        <f>IF(B298="","",COUNTIFS($P$5:$P$504,"&gt;"&amp;P298)+COUNTIFS($P$5:P298,P298))</f>
        <v>0</v>
      </c>
      <c r="X298" s="39">
        <f>IF(B298="","",IF(K298="No","",IF(COUNTIF($B$5:$B$504,B298)&gt;1,"Duplicate - this client is on twice",IF(Q298&gt;0,"Action - reward ready to give",IF(U298&gt;0.004,"Action - referral credit owed",IF(V298="Lapsing","Chase - points are a reason to call",IF(S298&lt;=RewardAt*0.2,"Rebook - nearly at a reward","OK")))))))</f>
        <v>0</v>
      </c>
    </row>
    <row r="299" spans="1:24">
      <c r="A299" s="28">
        <f>IF(B299="","",LoyaltyPrefix&amp;TEXT(ROW()-4,"0000"))</f>
        <v>0</v>
      </c>
      <c r="C299" s="15">
        <f>IF(B299="","",IFERROR(INDEX(Clients!$B$5:$B$504,MATCH(B299,Clients!$A$5:$A$504,0)),"Not in Clients"))</f>
        <v>0</v>
      </c>
      <c r="M299" s="26">
        <f>IF(B299="","",ROUND(SUMIFS(Sales!$Y$5:$Y$1204,Sales!$D$5:$D$1204,B299,Sales!$B$5:$B$1204,"&gt;="&amp;IF(D299="",0,D299)),2))</f>
        <v>0</v>
      </c>
      <c r="N299" s="25">
        <f>IF(B299="","",IFERROR(INDEX(Clients!$T$5:$T$504,MATCH(B299,Clients!$A$5:$A$504,0))*1,0))</f>
        <v>0</v>
      </c>
      <c r="O299" s="25">
        <f>IF(B299="","",ROUND(M299*PointsPerUnit+IF(F299="",0,F299),0))</f>
        <v>0</v>
      </c>
      <c r="P299" s="25">
        <f>IF(B299="","",O299-IF(G299="",0,G299))</f>
        <v>0</v>
      </c>
      <c r="Q299" s="25">
        <f>IF(B299="","",IF(RewardAt&lt;=0,0,ROUNDDOWN(P299/RewardAt,0)))</f>
        <v>0</v>
      </c>
      <c r="R299" s="26">
        <f>IF(B299="","",ROUND(Q299*RewardValue,2))</f>
        <v>0</v>
      </c>
      <c r="S299" s="25">
        <f>IF(B299="","",IF(RewardAt&lt;=0,"",MAX(0,RewardAt*(Q299+1)-P299)))</f>
        <v>0</v>
      </c>
      <c r="T299" s="25">
        <f>IF(B299="","",COUNTIFS(Clients!$H$5:$H$504,B299))</f>
        <v>0</v>
      </c>
      <c r="U299" s="26">
        <f>IF(B299="","",ROUND(T299*ReferralReward-IF(J299="",0,J299),2))</f>
        <v>0</v>
      </c>
      <c r="V299" s="15">
        <f>IF(B299="","",IFERROR(INDEX(Clients!$AM$5:$AM$504,MATCH(B299,Clients!$A$5:$A$504,0))&amp;"",""))</f>
        <v>0</v>
      </c>
      <c r="W299" s="25">
        <f>IF(B299="","",COUNTIFS($P$5:$P$504,"&gt;"&amp;P299)+COUNTIFS($P$5:P299,P299))</f>
        <v>0</v>
      </c>
      <c r="X299" s="39">
        <f>IF(B299="","",IF(K299="No","",IF(COUNTIF($B$5:$B$504,B299)&gt;1,"Duplicate - this client is on twice",IF(Q299&gt;0,"Action - reward ready to give",IF(U299&gt;0.004,"Action - referral credit owed",IF(V299="Lapsing","Chase - points are a reason to call",IF(S299&lt;=RewardAt*0.2,"Rebook - nearly at a reward","OK")))))))</f>
        <v>0</v>
      </c>
    </row>
    <row r="300" spans="1:24">
      <c r="A300" s="28">
        <f>IF(B300="","",LoyaltyPrefix&amp;TEXT(ROW()-4,"0000"))</f>
        <v>0</v>
      </c>
      <c r="C300" s="15">
        <f>IF(B300="","",IFERROR(INDEX(Clients!$B$5:$B$504,MATCH(B300,Clients!$A$5:$A$504,0)),"Not in Clients"))</f>
        <v>0</v>
      </c>
      <c r="M300" s="26">
        <f>IF(B300="","",ROUND(SUMIFS(Sales!$Y$5:$Y$1204,Sales!$D$5:$D$1204,B300,Sales!$B$5:$B$1204,"&gt;="&amp;IF(D300="",0,D300)),2))</f>
        <v>0</v>
      </c>
      <c r="N300" s="25">
        <f>IF(B300="","",IFERROR(INDEX(Clients!$T$5:$T$504,MATCH(B300,Clients!$A$5:$A$504,0))*1,0))</f>
        <v>0</v>
      </c>
      <c r="O300" s="25">
        <f>IF(B300="","",ROUND(M300*PointsPerUnit+IF(F300="",0,F300),0))</f>
        <v>0</v>
      </c>
      <c r="P300" s="25">
        <f>IF(B300="","",O300-IF(G300="",0,G300))</f>
        <v>0</v>
      </c>
      <c r="Q300" s="25">
        <f>IF(B300="","",IF(RewardAt&lt;=0,0,ROUNDDOWN(P300/RewardAt,0)))</f>
        <v>0</v>
      </c>
      <c r="R300" s="26">
        <f>IF(B300="","",ROUND(Q300*RewardValue,2))</f>
        <v>0</v>
      </c>
      <c r="S300" s="25">
        <f>IF(B300="","",IF(RewardAt&lt;=0,"",MAX(0,RewardAt*(Q300+1)-P300)))</f>
        <v>0</v>
      </c>
      <c r="T300" s="25">
        <f>IF(B300="","",COUNTIFS(Clients!$H$5:$H$504,B300))</f>
        <v>0</v>
      </c>
      <c r="U300" s="26">
        <f>IF(B300="","",ROUND(T300*ReferralReward-IF(J300="",0,J300),2))</f>
        <v>0</v>
      </c>
      <c r="V300" s="15">
        <f>IF(B300="","",IFERROR(INDEX(Clients!$AM$5:$AM$504,MATCH(B300,Clients!$A$5:$A$504,0))&amp;"",""))</f>
        <v>0</v>
      </c>
      <c r="W300" s="25">
        <f>IF(B300="","",COUNTIFS($P$5:$P$504,"&gt;"&amp;P300)+COUNTIFS($P$5:P300,P300))</f>
        <v>0</v>
      </c>
      <c r="X300" s="39">
        <f>IF(B300="","",IF(K300="No","",IF(COUNTIF($B$5:$B$504,B300)&gt;1,"Duplicate - this client is on twice",IF(Q300&gt;0,"Action - reward ready to give",IF(U300&gt;0.004,"Action - referral credit owed",IF(V300="Lapsing","Chase - points are a reason to call",IF(S300&lt;=RewardAt*0.2,"Rebook - nearly at a reward","OK")))))))</f>
        <v>0</v>
      </c>
    </row>
    <row r="301" spans="1:24">
      <c r="A301" s="28">
        <f>IF(B301="","",LoyaltyPrefix&amp;TEXT(ROW()-4,"0000"))</f>
        <v>0</v>
      </c>
      <c r="C301" s="15">
        <f>IF(B301="","",IFERROR(INDEX(Clients!$B$5:$B$504,MATCH(B301,Clients!$A$5:$A$504,0)),"Not in Clients"))</f>
        <v>0</v>
      </c>
      <c r="M301" s="26">
        <f>IF(B301="","",ROUND(SUMIFS(Sales!$Y$5:$Y$1204,Sales!$D$5:$D$1204,B301,Sales!$B$5:$B$1204,"&gt;="&amp;IF(D301="",0,D301)),2))</f>
        <v>0</v>
      </c>
      <c r="N301" s="25">
        <f>IF(B301="","",IFERROR(INDEX(Clients!$T$5:$T$504,MATCH(B301,Clients!$A$5:$A$504,0))*1,0))</f>
        <v>0</v>
      </c>
      <c r="O301" s="25">
        <f>IF(B301="","",ROUND(M301*PointsPerUnit+IF(F301="",0,F301),0))</f>
        <v>0</v>
      </c>
      <c r="P301" s="25">
        <f>IF(B301="","",O301-IF(G301="",0,G301))</f>
        <v>0</v>
      </c>
      <c r="Q301" s="25">
        <f>IF(B301="","",IF(RewardAt&lt;=0,0,ROUNDDOWN(P301/RewardAt,0)))</f>
        <v>0</v>
      </c>
      <c r="R301" s="26">
        <f>IF(B301="","",ROUND(Q301*RewardValue,2))</f>
        <v>0</v>
      </c>
      <c r="S301" s="25">
        <f>IF(B301="","",IF(RewardAt&lt;=0,"",MAX(0,RewardAt*(Q301+1)-P301)))</f>
        <v>0</v>
      </c>
      <c r="T301" s="25">
        <f>IF(B301="","",COUNTIFS(Clients!$H$5:$H$504,B301))</f>
        <v>0</v>
      </c>
      <c r="U301" s="26">
        <f>IF(B301="","",ROUND(T301*ReferralReward-IF(J301="",0,J301),2))</f>
        <v>0</v>
      </c>
      <c r="V301" s="15">
        <f>IF(B301="","",IFERROR(INDEX(Clients!$AM$5:$AM$504,MATCH(B301,Clients!$A$5:$A$504,0))&amp;"",""))</f>
        <v>0</v>
      </c>
      <c r="W301" s="25">
        <f>IF(B301="","",COUNTIFS($P$5:$P$504,"&gt;"&amp;P301)+COUNTIFS($P$5:P301,P301))</f>
        <v>0</v>
      </c>
      <c r="X301" s="39">
        <f>IF(B301="","",IF(K301="No","",IF(COUNTIF($B$5:$B$504,B301)&gt;1,"Duplicate - this client is on twice",IF(Q301&gt;0,"Action - reward ready to give",IF(U301&gt;0.004,"Action - referral credit owed",IF(V301="Lapsing","Chase - points are a reason to call",IF(S301&lt;=RewardAt*0.2,"Rebook - nearly at a reward","OK")))))))</f>
        <v>0</v>
      </c>
    </row>
    <row r="302" spans="1:24">
      <c r="A302" s="28">
        <f>IF(B302="","",LoyaltyPrefix&amp;TEXT(ROW()-4,"0000"))</f>
        <v>0</v>
      </c>
      <c r="C302" s="15">
        <f>IF(B302="","",IFERROR(INDEX(Clients!$B$5:$B$504,MATCH(B302,Clients!$A$5:$A$504,0)),"Not in Clients"))</f>
        <v>0</v>
      </c>
      <c r="M302" s="26">
        <f>IF(B302="","",ROUND(SUMIFS(Sales!$Y$5:$Y$1204,Sales!$D$5:$D$1204,B302,Sales!$B$5:$B$1204,"&gt;="&amp;IF(D302="",0,D302)),2))</f>
        <v>0</v>
      </c>
      <c r="N302" s="25">
        <f>IF(B302="","",IFERROR(INDEX(Clients!$T$5:$T$504,MATCH(B302,Clients!$A$5:$A$504,0))*1,0))</f>
        <v>0</v>
      </c>
      <c r="O302" s="25">
        <f>IF(B302="","",ROUND(M302*PointsPerUnit+IF(F302="",0,F302),0))</f>
        <v>0</v>
      </c>
      <c r="P302" s="25">
        <f>IF(B302="","",O302-IF(G302="",0,G302))</f>
        <v>0</v>
      </c>
      <c r="Q302" s="25">
        <f>IF(B302="","",IF(RewardAt&lt;=0,0,ROUNDDOWN(P302/RewardAt,0)))</f>
        <v>0</v>
      </c>
      <c r="R302" s="26">
        <f>IF(B302="","",ROUND(Q302*RewardValue,2))</f>
        <v>0</v>
      </c>
      <c r="S302" s="25">
        <f>IF(B302="","",IF(RewardAt&lt;=0,"",MAX(0,RewardAt*(Q302+1)-P302)))</f>
        <v>0</v>
      </c>
      <c r="T302" s="25">
        <f>IF(B302="","",COUNTIFS(Clients!$H$5:$H$504,B302))</f>
        <v>0</v>
      </c>
      <c r="U302" s="26">
        <f>IF(B302="","",ROUND(T302*ReferralReward-IF(J302="",0,J302),2))</f>
        <v>0</v>
      </c>
      <c r="V302" s="15">
        <f>IF(B302="","",IFERROR(INDEX(Clients!$AM$5:$AM$504,MATCH(B302,Clients!$A$5:$A$504,0))&amp;"",""))</f>
        <v>0</v>
      </c>
      <c r="W302" s="25">
        <f>IF(B302="","",COUNTIFS($P$5:$P$504,"&gt;"&amp;P302)+COUNTIFS($P$5:P302,P302))</f>
        <v>0</v>
      </c>
      <c r="X302" s="39">
        <f>IF(B302="","",IF(K302="No","",IF(COUNTIF($B$5:$B$504,B302)&gt;1,"Duplicate - this client is on twice",IF(Q302&gt;0,"Action - reward ready to give",IF(U302&gt;0.004,"Action - referral credit owed",IF(V302="Lapsing","Chase - points are a reason to call",IF(S302&lt;=RewardAt*0.2,"Rebook - nearly at a reward","OK")))))))</f>
        <v>0</v>
      </c>
    </row>
    <row r="303" spans="1:24">
      <c r="A303" s="28">
        <f>IF(B303="","",LoyaltyPrefix&amp;TEXT(ROW()-4,"0000"))</f>
        <v>0</v>
      </c>
      <c r="C303" s="15">
        <f>IF(B303="","",IFERROR(INDEX(Clients!$B$5:$B$504,MATCH(B303,Clients!$A$5:$A$504,0)),"Not in Clients"))</f>
        <v>0</v>
      </c>
      <c r="M303" s="26">
        <f>IF(B303="","",ROUND(SUMIFS(Sales!$Y$5:$Y$1204,Sales!$D$5:$D$1204,B303,Sales!$B$5:$B$1204,"&gt;="&amp;IF(D303="",0,D303)),2))</f>
        <v>0</v>
      </c>
      <c r="N303" s="25">
        <f>IF(B303="","",IFERROR(INDEX(Clients!$T$5:$T$504,MATCH(B303,Clients!$A$5:$A$504,0))*1,0))</f>
        <v>0</v>
      </c>
      <c r="O303" s="25">
        <f>IF(B303="","",ROUND(M303*PointsPerUnit+IF(F303="",0,F303),0))</f>
        <v>0</v>
      </c>
      <c r="P303" s="25">
        <f>IF(B303="","",O303-IF(G303="",0,G303))</f>
        <v>0</v>
      </c>
      <c r="Q303" s="25">
        <f>IF(B303="","",IF(RewardAt&lt;=0,0,ROUNDDOWN(P303/RewardAt,0)))</f>
        <v>0</v>
      </c>
      <c r="R303" s="26">
        <f>IF(B303="","",ROUND(Q303*RewardValue,2))</f>
        <v>0</v>
      </c>
      <c r="S303" s="25">
        <f>IF(B303="","",IF(RewardAt&lt;=0,"",MAX(0,RewardAt*(Q303+1)-P303)))</f>
        <v>0</v>
      </c>
      <c r="T303" s="25">
        <f>IF(B303="","",COUNTIFS(Clients!$H$5:$H$504,B303))</f>
        <v>0</v>
      </c>
      <c r="U303" s="26">
        <f>IF(B303="","",ROUND(T303*ReferralReward-IF(J303="",0,J303),2))</f>
        <v>0</v>
      </c>
      <c r="V303" s="15">
        <f>IF(B303="","",IFERROR(INDEX(Clients!$AM$5:$AM$504,MATCH(B303,Clients!$A$5:$A$504,0))&amp;"",""))</f>
        <v>0</v>
      </c>
      <c r="W303" s="25">
        <f>IF(B303="","",COUNTIFS($P$5:$P$504,"&gt;"&amp;P303)+COUNTIFS($P$5:P303,P303))</f>
        <v>0</v>
      </c>
      <c r="X303" s="39">
        <f>IF(B303="","",IF(K303="No","",IF(COUNTIF($B$5:$B$504,B303)&gt;1,"Duplicate - this client is on twice",IF(Q303&gt;0,"Action - reward ready to give",IF(U303&gt;0.004,"Action - referral credit owed",IF(V303="Lapsing","Chase - points are a reason to call",IF(S303&lt;=RewardAt*0.2,"Rebook - nearly at a reward","OK")))))))</f>
        <v>0</v>
      </c>
    </row>
    <row r="304" spans="1:24">
      <c r="A304" s="28">
        <f>IF(B304="","",LoyaltyPrefix&amp;TEXT(ROW()-4,"0000"))</f>
        <v>0</v>
      </c>
      <c r="C304" s="15">
        <f>IF(B304="","",IFERROR(INDEX(Clients!$B$5:$B$504,MATCH(B304,Clients!$A$5:$A$504,0)),"Not in Clients"))</f>
        <v>0</v>
      </c>
      <c r="M304" s="26">
        <f>IF(B304="","",ROUND(SUMIFS(Sales!$Y$5:$Y$1204,Sales!$D$5:$D$1204,B304,Sales!$B$5:$B$1204,"&gt;="&amp;IF(D304="",0,D304)),2))</f>
        <v>0</v>
      </c>
      <c r="N304" s="25">
        <f>IF(B304="","",IFERROR(INDEX(Clients!$T$5:$T$504,MATCH(B304,Clients!$A$5:$A$504,0))*1,0))</f>
        <v>0</v>
      </c>
      <c r="O304" s="25">
        <f>IF(B304="","",ROUND(M304*PointsPerUnit+IF(F304="",0,F304),0))</f>
        <v>0</v>
      </c>
      <c r="P304" s="25">
        <f>IF(B304="","",O304-IF(G304="",0,G304))</f>
        <v>0</v>
      </c>
      <c r="Q304" s="25">
        <f>IF(B304="","",IF(RewardAt&lt;=0,0,ROUNDDOWN(P304/RewardAt,0)))</f>
        <v>0</v>
      </c>
      <c r="R304" s="26">
        <f>IF(B304="","",ROUND(Q304*RewardValue,2))</f>
        <v>0</v>
      </c>
      <c r="S304" s="25">
        <f>IF(B304="","",IF(RewardAt&lt;=0,"",MAX(0,RewardAt*(Q304+1)-P304)))</f>
        <v>0</v>
      </c>
      <c r="T304" s="25">
        <f>IF(B304="","",COUNTIFS(Clients!$H$5:$H$504,B304))</f>
        <v>0</v>
      </c>
      <c r="U304" s="26">
        <f>IF(B304="","",ROUND(T304*ReferralReward-IF(J304="",0,J304),2))</f>
        <v>0</v>
      </c>
      <c r="V304" s="15">
        <f>IF(B304="","",IFERROR(INDEX(Clients!$AM$5:$AM$504,MATCH(B304,Clients!$A$5:$A$504,0))&amp;"",""))</f>
        <v>0</v>
      </c>
      <c r="W304" s="25">
        <f>IF(B304="","",COUNTIFS($P$5:$P$504,"&gt;"&amp;P304)+COUNTIFS($P$5:P304,P304))</f>
        <v>0</v>
      </c>
      <c r="X304" s="39">
        <f>IF(B304="","",IF(K304="No","",IF(COUNTIF($B$5:$B$504,B304)&gt;1,"Duplicate - this client is on twice",IF(Q304&gt;0,"Action - reward ready to give",IF(U304&gt;0.004,"Action - referral credit owed",IF(V304="Lapsing","Chase - points are a reason to call",IF(S304&lt;=RewardAt*0.2,"Rebook - nearly at a reward","OK")))))))</f>
        <v>0</v>
      </c>
    </row>
    <row r="305" spans="1:24">
      <c r="A305" s="28">
        <f>IF(B305="","",LoyaltyPrefix&amp;TEXT(ROW()-4,"0000"))</f>
        <v>0</v>
      </c>
      <c r="C305" s="15">
        <f>IF(B305="","",IFERROR(INDEX(Clients!$B$5:$B$504,MATCH(B305,Clients!$A$5:$A$504,0)),"Not in Clients"))</f>
        <v>0</v>
      </c>
      <c r="M305" s="26">
        <f>IF(B305="","",ROUND(SUMIFS(Sales!$Y$5:$Y$1204,Sales!$D$5:$D$1204,B305,Sales!$B$5:$B$1204,"&gt;="&amp;IF(D305="",0,D305)),2))</f>
        <v>0</v>
      </c>
      <c r="N305" s="25">
        <f>IF(B305="","",IFERROR(INDEX(Clients!$T$5:$T$504,MATCH(B305,Clients!$A$5:$A$504,0))*1,0))</f>
        <v>0</v>
      </c>
      <c r="O305" s="25">
        <f>IF(B305="","",ROUND(M305*PointsPerUnit+IF(F305="",0,F305),0))</f>
        <v>0</v>
      </c>
      <c r="P305" s="25">
        <f>IF(B305="","",O305-IF(G305="",0,G305))</f>
        <v>0</v>
      </c>
      <c r="Q305" s="25">
        <f>IF(B305="","",IF(RewardAt&lt;=0,0,ROUNDDOWN(P305/RewardAt,0)))</f>
        <v>0</v>
      </c>
      <c r="R305" s="26">
        <f>IF(B305="","",ROUND(Q305*RewardValue,2))</f>
        <v>0</v>
      </c>
      <c r="S305" s="25">
        <f>IF(B305="","",IF(RewardAt&lt;=0,"",MAX(0,RewardAt*(Q305+1)-P305)))</f>
        <v>0</v>
      </c>
      <c r="T305" s="25">
        <f>IF(B305="","",COUNTIFS(Clients!$H$5:$H$504,B305))</f>
        <v>0</v>
      </c>
      <c r="U305" s="26">
        <f>IF(B305="","",ROUND(T305*ReferralReward-IF(J305="",0,J305),2))</f>
        <v>0</v>
      </c>
      <c r="V305" s="15">
        <f>IF(B305="","",IFERROR(INDEX(Clients!$AM$5:$AM$504,MATCH(B305,Clients!$A$5:$A$504,0))&amp;"",""))</f>
        <v>0</v>
      </c>
      <c r="W305" s="25">
        <f>IF(B305="","",COUNTIFS($P$5:$P$504,"&gt;"&amp;P305)+COUNTIFS($P$5:P305,P305))</f>
        <v>0</v>
      </c>
      <c r="X305" s="39">
        <f>IF(B305="","",IF(K305="No","",IF(COUNTIF($B$5:$B$504,B305)&gt;1,"Duplicate - this client is on twice",IF(Q305&gt;0,"Action - reward ready to give",IF(U305&gt;0.004,"Action - referral credit owed",IF(V305="Lapsing","Chase - points are a reason to call",IF(S305&lt;=RewardAt*0.2,"Rebook - nearly at a reward","OK")))))))</f>
        <v>0</v>
      </c>
    </row>
    <row r="306" spans="1:24">
      <c r="A306" s="28">
        <f>IF(B306="","",LoyaltyPrefix&amp;TEXT(ROW()-4,"0000"))</f>
        <v>0</v>
      </c>
      <c r="C306" s="15">
        <f>IF(B306="","",IFERROR(INDEX(Clients!$B$5:$B$504,MATCH(B306,Clients!$A$5:$A$504,0)),"Not in Clients"))</f>
        <v>0</v>
      </c>
      <c r="M306" s="26">
        <f>IF(B306="","",ROUND(SUMIFS(Sales!$Y$5:$Y$1204,Sales!$D$5:$D$1204,B306,Sales!$B$5:$B$1204,"&gt;="&amp;IF(D306="",0,D306)),2))</f>
        <v>0</v>
      </c>
      <c r="N306" s="25">
        <f>IF(B306="","",IFERROR(INDEX(Clients!$T$5:$T$504,MATCH(B306,Clients!$A$5:$A$504,0))*1,0))</f>
        <v>0</v>
      </c>
      <c r="O306" s="25">
        <f>IF(B306="","",ROUND(M306*PointsPerUnit+IF(F306="",0,F306),0))</f>
        <v>0</v>
      </c>
      <c r="P306" s="25">
        <f>IF(B306="","",O306-IF(G306="",0,G306))</f>
        <v>0</v>
      </c>
      <c r="Q306" s="25">
        <f>IF(B306="","",IF(RewardAt&lt;=0,0,ROUNDDOWN(P306/RewardAt,0)))</f>
        <v>0</v>
      </c>
      <c r="R306" s="26">
        <f>IF(B306="","",ROUND(Q306*RewardValue,2))</f>
        <v>0</v>
      </c>
      <c r="S306" s="25">
        <f>IF(B306="","",IF(RewardAt&lt;=0,"",MAX(0,RewardAt*(Q306+1)-P306)))</f>
        <v>0</v>
      </c>
      <c r="T306" s="25">
        <f>IF(B306="","",COUNTIFS(Clients!$H$5:$H$504,B306))</f>
        <v>0</v>
      </c>
      <c r="U306" s="26">
        <f>IF(B306="","",ROUND(T306*ReferralReward-IF(J306="",0,J306),2))</f>
        <v>0</v>
      </c>
      <c r="V306" s="15">
        <f>IF(B306="","",IFERROR(INDEX(Clients!$AM$5:$AM$504,MATCH(B306,Clients!$A$5:$A$504,0))&amp;"",""))</f>
        <v>0</v>
      </c>
      <c r="W306" s="25">
        <f>IF(B306="","",COUNTIFS($P$5:$P$504,"&gt;"&amp;P306)+COUNTIFS($P$5:P306,P306))</f>
        <v>0</v>
      </c>
      <c r="X306" s="39">
        <f>IF(B306="","",IF(K306="No","",IF(COUNTIF($B$5:$B$504,B306)&gt;1,"Duplicate - this client is on twice",IF(Q306&gt;0,"Action - reward ready to give",IF(U306&gt;0.004,"Action - referral credit owed",IF(V306="Lapsing","Chase - points are a reason to call",IF(S306&lt;=RewardAt*0.2,"Rebook - nearly at a reward","OK")))))))</f>
        <v>0</v>
      </c>
    </row>
    <row r="307" spans="1:24">
      <c r="A307" s="28">
        <f>IF(B307="","",LoyaltyPrefix&amp;TEXT(ROW()-4,"0000"))</f>
        <v>0</v>
      </c>
      <c r="C307" s="15">
        <f>IF(B307="","",IFERROR(INDEX(Clients!$B$5:$B$504,MATCH(B307,Clients!$A$5:$A$504,0)),"Not in Clients"))</f>
        <v>0</v>
      </c>
      <c r="M307" s="26">
        <f>IF(B307="","",ROUND(SUMIFS(Sales!$Y$5:$Y$1204,Sales!$D$5:$D$1204,B307,Sales!$B$5:$B$1204,"&gt;="&amp;IF(D307="",0,D307)),2))</f>
        <v>0</v>
      </c>
      <c r="N307" s="25">
        <f>IF(B307="","",IFERROR(INDEX(Clients!$T$5:$T$504,MATCH(B307,Clients!$A$5:$A$504,0))*1,0))</f>
        <v>0</v>
      </c>
      <c r="O307" s="25">
        <f>IF(B307="","",ROUND(M307*PointsPerUnit+IF(F307="",0,F307),0))</f>
        <v>0</v>
      </c>
      <c r="P307" s="25">
        <f>IF(B307="","",O307-IF(G307="",0,G307))</f>
        <v>0</v>
      </c>
      <c r="Q307" s="25">
        <f>IF(B307="","",IF(RewardAt&lt;=0,0,ROUNDDOWN(P307/RewardAt,0)))</f>
        <v>0</v>
      </c>
      <c r="R307" s="26">
        <f>IF(B307="","",ROUND(Q307*RewardValue,2))</f>
        <v>0</v>
      </c>
      <c r="S307" s="25">
        <f>IF(B307="","",IF(RewardAt&lt;=0,"",MAX(0,RewardAt*(Q307+1)-P307)))</f>
        <v>0</v>
      </c>
      <c r="T307" s="25">
        <f>IF(B307="","",COUNTIFS(Clients!$H$5:$H$504,B307))</f>
        <v>0</v>
      </c>
      <c r="U307" s="26">
        <f>IF(B307="","",ROUND(T307*ReferralReward-IF(J307="",0,J307),2))</f>
        <v>0</v>
      </c>
      <c r="V307" s="15">
        <f>IF(B307="","",IFERROR(INDEX(Clients!$AM$5:$AM$504,MATCH(B307,Clients!$A$5:$A$504,0))&amp;"",""))</f>
        <v>0</v>
      </c>
      <c r="W307" s="25">
        <f>IF(B307="","",COUNTIFS($P$5:$P$504,"&gt;"&amp;P307)+COUNTIFS($P$5:P307,P307))</f>
        <v>0</v>
      </c>
      <c r="X307" s="39">
        <f>IF(B307="","",IF(K307="No","",IF(COUNTIF($B$5:$B$504,B307)&gt;1,"Duplicate - this client is on twice",IF(Q307&gt;0,"Action - reward ready to give",IF(U307&gt;0.004,"Action - referral credit owed",IF(V307="Lapsing","Chase - points are a reason to call",IF(S307&lt;=RewardAt*0.2,"Rebook - nearly at a reward","OK")))))))</f>
        <v>0</v>
      </c>
    </row>
    <row r="308" spans="1:24">
      <c r="A308" s="28">
        <f>IF(B308="","",LoyaltyPrefix&amp;TEXT(ROW()-4,"0000"))</f>
        <v>0</v>
      </c>
      <c r="C308" s="15">
        <f>IF(B308="","",IFERROR(INDEX(Clients!$B$5:$B$504,MATCH(B308,Clients!$A$5:$A$504,0)),"Not in Clients"))</f>
        <v>0</v>
      </c>
      <c r="M308" s="26">
        <f>IF(B308="","",ROUND(SUMIFS(Sales!$Y$5:$Y$1204,Sales!$D$5:$D$1204,B308,Sales!$B$5:$B$1204,"&gt;="&amp;IF(D308="",0,D308)),2))</f>
        <v>0</v>
      </c>
      <c r="N308" s="25">
        <f>IF(B308="","",IFERROR(INDEX(Clients!$T$5:$T$504,MATCH(B308,Clients!$A$5:$A$504,0))*1,0))</f>
        <v>0</v>
      </c>
      <c r="O308" s="25">
        <f>IF(B308="","",ROUND(M308*PointsPerUnit+IF(F308="",0,F308),0))</f>
        <v>0</v>
      </c>
      <c r="P308" s="25">
        <f>IF(B308="","",O308-IF(G308="",0,G308))</f>
        <v>0</v>
      </c>
      <c r="Q308" s="25">
        <f>IF(B308="","",IF(RewardAt&lt;=0,0,ROUNDDOWN(P308/RewardAt,0)))</f>
        <v>0</v>
      </c>
      <c r="R308" s="26">
        <f>IF(B308="","",ROUND(Q308*RewardValue,2))</f>
        <v>0</v>
      </c>
      <c r="S308" s="25">
        <f>IF(B308="","",IF(RewardAt&lt;=0,"",MAX(0,RewardAt*(Q308+1)-P308)))</f>
        <v>0</v>
      </c>
      <c r="T308" s="25">
        <f>IF(B308="","",COUNTIFS(Clients!$H$5:$H$504,B308))</f>
        <v>0</v>
      </c>
      <c r="U308" s="26">
        <f>IF(B308="","",ROUND(T308*ReferralReward-IF(J308="",0,J308),2))</f>
        <v>0</v>
      </c>
      <c r="V308" s="15">
        <f>IF(B308="","",IFERROR(INDEX(Clients!$AM$5:$AM$504,MATCH(B308,Clients!$A$5:$A$504,0))&amp;"",""))</f>
        <v>0</v>
      </c>
      <c r="W308" s="25">
        <f>IF(B308="","",COUNTIFS($P$5:$P$504,"&gt;"&amp;P308)+COUNTIFS($P$5:P308,P308))</f>
        <v>0</v>
      </c>
      <c r="X308" s="39">
        <f>IF(B308="","",IF(K308="No","",IF(COUNTIF($B$5:$B$504,B308)&gt;1,"Duplicate - this client is on twice",IF(Q308&gt;0,"Action - reward ready to give",IF(U308&gt;0.004,"Action - referral credit owed",IF(V308="Lapsing","Chase - points are a reason to call",IF(S308&lt;=RewardAt*0.2,"Rebook - nearly at a reward","OK")))))))</f>
        <v>0</v>
      </c>
    </row>
    <row r="309" spans="1:24">
      <c r="A309" s="28">
        <f>IF(B309="","",LoyaltyPrefix&amp;TEXT(ROW()-4,"0000"))</f>
        <v>0</v>
      </c>
      <c r="C309" s="15">
        <f>IF(B309="","",IFERROR(INDEX(Clients!$B$5:$B$504,MATCH(B309,Clients!$A$5:$A$504,0)),"Not in Clients"))</f>
        <v>0</v>
      </c>
      <c r="M309" s="26">
        <f>IF(B309="","",ROUND(SUMIFS(Sales!$Y$5:$Y$1204,Sales!$D$5:$D$1204,B309,Sales!$B$5:$B$1204,"&gt;="&amp;IF(D309="",0,D309)),2))</f>
        <v>0</v>
      </c>
      <c r="N309" s="25">
        <f>IF(B309="","",IFERROR(INDEX(Clients!$T$5:$T$504,MATCH(B309,Clients!$A$5:$A$504,0))*1,0))</f>
        <v>0</v>
      </c>
      <c r="O309" s="25">
        <f>IF(B309="","",ROUND(M309*PointsPerUnit+IF(F309="",0,F309),0))</f>
        <v>0</v>
      </c>
      <c r="P309" s="25">
        <f>IF(B309="","",O309-IF(G309="",0,G309))</f>
        <v>0</v>
      </c>
      <c r="Q309" s="25">
        <f>IF(B309="","",IF(RewardAt&lt;=0,0,ROUNDDOWN(P309/RewardAt,0)))</f>
        <v>0</v>
      </c>
      <c r="R309" s="26">
        <f>IF(B309="","",ROUND(Q309*RewardValue,2))</f>
        <v>0</v>
      </c>
      <c r="S309" s="25">
        <f>IF(B309="","",IF(RewardAt&lt;=0,"",MAX(0,RewardAt*(Q309+1)-P309)))</f>
        <v>0</v>
      </c>
      <c r="T309" s="25">
        <f>IF(B309="","",COUNTIFS(Clients!$H$5:$H$504,B309))</f>
        <v>0</v>
      </c>
      <c r="U309" s="26">
        <f>IF(B309="","",ROUND(T309*ReferralReward-IF(J309="",0,J309),2))</f>
        <v>0</v>
      </c>
      <c r="V309" s="15">
        <f>IF(B309="","",IFERROR(INDEX(Clients!$AM$5:$AM$504,MATCH(B309,Clients!$A$5:$A$504,0))&amp;"",""))</f>
        <v>0</v>
      </c>
      <c r="W309" s="25">
        <f>IF(B309="","",COUNTIFS($P$5:$P$504,"&gt;"&amp;P309)+COUNTIFS($P$5:P309,P309))</f>
        <v>0</v>
      </c>
      <c r="X309" s="39">
        <f>IF(B309="","",IF(K309="No","",IF(COUNTIF($B$5:$B$504,B309)&gt;1,"Duplicate - this client is on twice",IF(Q309&gt;0,"Action - reward ready to give",IF(U309&gt;0.004,"Action - referral credit owed",IF(V309="Lapsing","Chase - points are a reason to call",IF(S309&lt;=RewardAt*0.2,"Rebook - nearly at a reward","OK")))))))</f>
        <v>0</v>
      </c>
    </row>
    <row r="310" spans="1:24">
      <c r="A310" s="28">
        <f>IF(B310="","",LoyaltyPrefix&amp;TEXT(ROW()-4,"0000"))</f>
        <v>0</v>
      </c>
      <c r="C310" s="15">
        <f>IF(B310="","",IFERROR(INDEX(Clients!$B$5:$B$504,MATCH(B310,Clients!$A$5:$A$504,0)),"Not in Clients"))</f>
        <v>0</v>
      </c>
      <c r="M310" s="26">
        <f>IF(B310="","",ROUND(SUMIFS(Sales!$Y$5:$Y$1204,Sales!$D$5:$D$1204,B310,Sales!$B$5:$B$1204,"&gt;="&amp;IF(D310="",0,D310)),2))</f>
        <v>0</v>
      </c>
      <c r="N310" s="25">
        <f>IF(B310="","",IFERROR(INDEX(Clients!$T$5:$T$504,MATCH(B310,Clients!$A$5:$A$504,0))*1,0))</f>
        <v>0</v>
      </c>
      <c r="O310" s="25">
        <f>IF(B310="","",ROUND(M310*PointsPerUnit+IF(F310="",0,F310),0))</f>
        <v>0</v>
      </c>
      <c r="P310" s="25">
        <f>IF(B310="","",O310-IF(G310="",0,G310))</f>
        <v>0</v>
      </c>
      <c r="Q310" s="25">
        <f>IF(B310="","",IF(RewardAt&lt;=0,0,ROUNDDOWN(P310/RewardAt,0)))</f>
        <v>0</v>
      </c>
      <c r="R310" s="26">
        <f>IF(B310="","",ROUND(Q310*RewardValue,2))</f>
        <v>0</v>
      </c>
      <c r="S310" s="25">
        <f>IF(B310="","",IF(RewardAt&lt;=0,"",MAX(0,RewardAt*(Q310+1)-P310)))</f>
        <v>0</v>
      </c>
      <c r="T310" s="25">
        <f>IF(B310="","",COUNTIFS(Clients!$H$5:$H$504,B310))</f>
        <v>0</v>
      </c>
      <c r="U310" s="26">
        <f>IF(B310="","",ROUND(T310*ReferralReward-IF(J310="",0,J310),2))</f>
        <v>0</v>
      </c>
      <c r="V310" s="15">
        <f>IF(B310="","",IFERROR(INDEX(Clients!$AM$5:$AM$504,MATCH(B310,Clients!$A$5:$A$504,0))&amp;"",""))</f>
        <v>0</v>
      </c>
      <c r="W310" s="25">
        <f>IF(B310="","",COUNTIFS($P$5:$P$504,"&gt;"&amp;P310)+COUNTIFS($P$5:P310,P310))</f>
        <v>0</v>
      </c>
      <c r="X310" s="39">
        <f>IF(B310="","",IF(K310="No","",IF(COUNTIF($B$5:$B$504,B310)&gt;1,"Duplicate - this client is on twice",IF(Q310&gt;0,"Action - reward ready to give",IF(U310&gt;0.004,"Action - referral credit owed",IF(V310="Lapsing","Chase - points are a reason to call",IF(S310&lt;=RewardAt*0.2,"Rebook - nearly at a reward","OK")))))))</f>
        <v>0</v>
      </c>
    </row>
    <row r="311" spans="1:24">
      <c r="A311" s="28">
        <f>IF(B311="","",LoyaltyPrefix&amp;TEXT(ROW()-4,"0000"))</f>
        <v>0</v>
      </c>
      <c r="C311" s="15">
        <f>IF(B311="","",IFERROR(INDEX(Clients!$B$5:$B$504,MATCH(B311,Clients!$A$5:$A$504,0)),"Not in Clients"))</f>
        <v>0</v>
      </c>
      <c r="M311" s="26">
        <f>IF(B311="","",ROUND(SUMIFS(Sales!$Y$5:$Y$1204,Sales!$D$5:$D$1204,B311,Sales!$B$5:$B$1204,"&gt;="&amp;IF(D311="",0,D311)),2))</f>
        <v>0</v>
      </c>
      <c r="N311" s="25">
        <f>IF(B311="","",IFERROR(INDEX(Clients!$T$5:$T$504,MATCH(B311,Clients!$A$5:$A$504,0))*1,0))</f>
        <v>0</v>
      </c>
      <c r="O311" s="25">
        <f>IF(B311="","",ROUND(M311*PointsPerUnit+IF(F311="",0,F311),0))</f>
        <v>0</v>
      </c>
      <c r="P311" s="25">
        <f>IF(B311="","",O311-IF(G311="",0,G311))</f>
        <v>0</v>
      </c>
      <c r="Q311" s="25">
        <f>IF(B311="","",IF(RewardAt&lt;=0,0,ROUNDDOWN(P311/RewardAt,0)))</f>
        <v>0</v>
      </c>
      <c r="R311" s="26">
        <f>IF(B311="","",ROUND(Q311*RewardValue,2))</f>
        <v>0</v>
      </c>
      <c r="S311" s="25">
        <f>IF(B311="","",IF(RewardAt&lt;=0,"",MAX(0,RewardAt*(Q311+1)-P311)))</f>
        <v>0</v>
      </c>
      <c r="T311" s="25">
        <f>IF(B311="","",COUNTIFS(Clients!$H$5:$H$504,B311))</f>
        <v>0</v>
      </c>
      <c r="U311" s="26">
        <f>IF(B311="","",ROUND(T311*ReferralReward-IF(J311="",0,J311),2))</f>
        <v>0</v>
      </c>
      <c r="V311" s="15">
        <f>IF(B311="","",IFERROR(INDEX(Clients!$AM$5:$AM$504,MATCH(B311,Clients!$A$5:$A$504,0))&amp;"",""))</f>
        <v>0</v>
      </c>
      <c r="W311" s="25">
        <f>IF(B311="","",COUNTIFS($P$5:$P$504,"&gt;"&amp;P311)+COUNTIFS($P$5:P311,P311))</f>
        <v>0</v>
      </c>
      <c r="X311" s="39">
        <f>IF(B311="","",IF(K311="No","",IF(COUNTIF($B$5:$B$504,B311)&gt;1,"Duplicate - this client is on twice",IF(Q311&gt;0,"Action - reward ready to give",IF(U311&gt;0.004,"Action - referral credit owed",IF(V311="Lapsing","Chase - points are a reason to call",IF(S311&lt;=RewardAt*0.2,"Rebook - nearly at a reward","OK")))))))</f>
        <v>0</v>
      </c>
    </row>
    <row r="312" spans="1:24">
      <c r="A312" s="28">
        <f>IF(B312="","",LoyaltyPrefix&amp;TEXT(ROW()-4,"0000"))</f>
        <v>0</v>
      </c>
      <c r="C312" s="15">
        <f>IF(B312="","",IFERROR(INDEX(Clients!$B$5:$B$504,MATCH(B312,Clients!$A$5:$A$504,0)),"Not in Clients"))</f>
        <v>0</v>
      </c>
      <c r="M312" s="26">
        <f>IF(B312="","",ROUND(SUMIFS(Sales!$Y$5:$Y$1204,Sales!$D$5:$D$1204,B312,Sales!$B$5:$B$1204,"&gt;="&amp;IF(D312="",0,D312)),2))</f>
        <v>0</v>
      </c>
      <c r="N312" s="25">
        <f>IF(B312="","",IFERROR(INDEX(Clients!$T$5:$T$504,MATCH(B312,Clients!$A$5:$A$504,0))*1,0))</f>
        <v>0</v>
      </c>
      <c r="O312" s="25">
        <f>IF(B312="","",ROUND(M312*PointsPerUnit+IF(F312="",0,F312),0))</f>
        <v>0</v>
      </c>
      <c r="P312" s="25">
        <f>IF(B312="","",O312-IF(G312="",0,G312))</f>
        <v>0</v>
      </c>
      <c r="Q312" s="25">
        <f>IF(B312="","",IF(RewardAt&lt;=0,0,ROUNDDOWN(P312/RewardAt,0)))</f>
        <v>0</v>
      </c>
      <c r="R312" s="26">
        <f>IF(B312="","",ROUND(Q312*RewardValue,2))</f>
        <v>0</v>
      </c>
      <c r="S312" s="25">
        <f>IF(B312="","",IF(RewardAt&lt;=0,"",MAX(0,RewardAt*(Q312+1)-P312)))</f>
        <v>0</v>
      </c>
      <c r="T312" s="25">
        <f>IF(B312="","",COUNTIFS(Clients!$H$5:$H$504,B312))</f>
        <v>0</v>
      </c>
      <c r="U312" s="26">
        <f>IF(B312="","",ROUND(T312*ReferralReward-IF(J312="",0,J312),2))</f>
        <v>0</v>
      </c>
      <c r="V312" s="15">
        <f>IF(B312="","",IFERROR(INDEX(Clients!$AM$5:$AM$504,MATCH(B312,Clients!$A$5:$A$504,0))&amp;"",""))</f>
        <v>0</v>
      </c>
      <c r="W312" s="25">
        <f>IF(B312="","",COUNTIFS($P$5:$P$504,"&gt;"&amp;P312)+COUNTIFS($P$5:P312,P312))</f>
        <v>0</v>
      </c>
      <c r="X312" s="39">
        <f>IF(B312="","",IF(K312="No","",IF(COUNTIF($B$5:$B$504,B312)&gt;1,"Duplicate - this client is on twice",IF(Q312&gt;0,"Action - reward ready to give",IF(U312&gt;0.004,"Action - referral credit owed",IF(V312="Lapsing","Chase - points are a reason to call",IF(S312&lt;=RewardAt*0.2,"Rebook - nearly at a reward","OK")))))))</f>
        <v>0</v>
      </c>
    </row>
    <row r="313" spans="1:24">
      <c r="A313" s="28">
        <f>IF(B313="","",LoyaltyPrefix&amp;TEXT(ROW()-4,"0000"))</f>
        <v>0</v>
      </c>
      <c r="C313" s="15">
        <f>IF(B313="","",IFERROR(INDEX(Clients!$B$5:$B$504,MATCH(B313,Clients!$A$5:$A$504,0)),"Not in Clients"))</f>
        <v>0</v>
      </c>
      <c r="M313" s="26">
        <f>IF(B313="","",ROUND(SUMIFS(Sales!$Y$5:$Y$1204,Sales!$D$5:$D$1204,B313,Sales!$B$5:$B$1204,"&gt;="&amp;IF(D313="",0,D313)),2))</f>
        <v>0</v>
      </c>
      <c r="N313" s="25">
        <f>IF(B313="","",IFERROR(INDEX(Clients!$T$5:$T$504,MATCH(B313,Clients!$A$5:$A$504,0))*1,0))</f>
        <v>0</v>
      </c>
      <c r="O313" s="25">
        <f>IF(B313="","",ROUND(M313*PointsPerUnit+IF(F313="",0,F313),0))</f>
        <v>0</v>
      </c>
      <c r="P313" s="25">
        <f>IF(B313="","",O313-IF(G313="",0,G313))</f>
        <v>0</v>
      </c>
      <c r="Q313" s="25">
        <f>IF(B313="","",IF(RewardAt&lt;=0,0,ROUNDDOWN(P313/RewardAt,0)))</f>
        <v>0</v>
      </c>
      <c r="R313" s="26">
        <f>IF(B313="","",ROUND(Q313*RewardValue,2))</f>
        <v>0</v>
      </c>
      <c r="S313" s="25">
        <f>IF(B313="","",IF(RewardAt&lt;=0,"",MAX(0,RewardAt*(Q313+1)-P313)))</f>
        <v>0</v>
      </c>
      <c r="T313" s="25">
        <f>IF(B313="","",COUNTIFS(Clients!$H$5:$H$504,B313))</f>
        <v>0</v>
      </c>
      <c r="U313" s="26">
        <f>IF(B313="","",ROUND(T313*ReferralReward-IF(J313="",0,J313),2))</f>
        <v>0</v>
      </c>
      <c r="V313" s="15">
        <f>IF(B313="","",IFERROR(INDEX(Clients!$AM$5:$AM$504,MATCH(B313,Clients!$A$5:$A$504,0))&amp;"",""))</f>
        <v>0</v>
      </c>
      <c r="W313" s="25">
        <f>IF(B313="","",COUNTIFS($P$5:$P$504,"&gt;"&amp;P313)+COUNTIFS($P$5:P313,P313))</f>
        <v>0</v>
      </c>
      <c r="X313" s="39">
        <f>IF(B313="","",IF(K313="No","",IF(COUNTIF($B$5:$B$504,B313)&gt;1,"Duplicate - this client is on twice",IF(Q313&gt;0,"Action - reward ready to give",IF(U313&gt;0.004,"Action - referral credit owed",IF(V313="Lapsing","Chase - points are a reason to call",IF(S313&lt;=RewardAt*0.2,"Rebook - nearly at a reward","OK")))))))</f>
        <v>0</v>
      </c>
    </row>
    <row r="314" spans="1:24">
      <c r="A314" s="28">
        <f>IF(B314="","",LoyaltyPrefix&amp;TEXT(ROW()-4,"0000"))</f>
        <v>0</v>
      </c>
      <c r="C314" s="15">
        <f>IF(B314="","",IFERROR(INDEX(Clients!$B$5:$B$504,MATCH(B314,Clients!$A$5:$A$504,0)),"Not in Clients"))</f>
        <v>0</v>
      </c>
      <c r="M314" s="26">
        <f>IF(B314="","",ROUND(SUMIFS(Sales!$Y$5:$Y$1204,Sales!$D$5:$D$1204,B314,Sales!$B$5:$B$1204,"&gt;="&amp;IF(D314="",0,D314)),2))</f>
        <v>0</v>
      </c>
      <c r="N314" s="25">
        <f>IF(B314="","",IFERROR(INDEX(Clients!$T$5:$T$504,MATCH(B314,Clients!$A$5:$A$504,0))*1,0))</f>
        <v>0</v>
      </c>
      <c r="O314" s="25">
        <f>IF(B314="","",ROUND(M314*PointsPerUnit+IF(F314="",0,F314),0))</f>
        <v>0</v>
      </c>
      <c r="P314" s="25">
        <f>IF(B314="","",O314-IF(G314="",0,G314))</f>
        <v>0</v>
      </c>
      <c r="Q314" s="25">
        <f>IF(B314="","",IF(RewardAt&lt;=0,0,ROUNDDOWN(P314/RewardAt,0)))</f>
        <v>0</v>
      </c>
      <c r="R314" s="26">
        <f>IF(B314="","",ROUND(Q314*RewardValue,2))</f>
        <v>0</v>
      </c>
      <c r="S314" s="25">
        <f>IF(B314="","",IF(RewardAt&lt;=0,"",MAX(0,RewardAt*(Q314+1)-P314)))</f>
        <v>0</v>
      </c>
      <c r="T314" s="25">
        <f>IF(B314="","",COUNTIFS(Clients!$H$5:$H$504,B314))</f>
        <v>0</v>
      </c>
      <c r="U314" s="26">
        <f>IF(B314="","",ROUND(T314*ReferralReward-IF(J314="",0,J314),2))</f>
        <v>0</v>
      </c>
      <c r="V314" s="15">
        <f>IF(B314="","",IFERROR(INDEX(Clients!$AM$5:$AM$504,MATCH(B314,Clients!$A$5:$A$504,0))&amp;"",""))</f>
        <v>0</v>
      </c>
      <c r="W314" s="25">
        <f>IF(B314="","",COUNTIFS($P$5:$P$504,"&gt;"&amp;P314)+COUNTIFS($P$5:P314,P314))</f>
        <v>0</v>
      </c>
      <c r="X314" s="39">
        <f>IF(B314="","",IF(K314="No","",IF(COUNTIF($B$5:$B$504,B314)&gt;1,"Duplicate - this client is on twice",IF(Q314&gt;0,"Action - reward ready to give",IF(U314&gt;0.004,"Action - referral credit owed",IF(V314="Lapsing","Chase - points are a reason to call",IF(S314&lt;=RewardAt*0.2,"Rebook - nearly at a reward","OK")))))))</f>
        <v>0</v>
      </c>
    </row>
    <row r="315" spans="1:24">
      <c r="A315" s="28">
        <f>IF(B315="","",LoyaltyPrefix&amp;TEXT(ROW()-4,"0000"))</f>
        <v>0</v>
      </c>
      <c r="C315" s="15">
        <f>IF(B315="","",IFERROR(INDEX(Clients!$B$5:$B$504,MATCH(B315,Clients!$A$5:$A$504,0)),"Not in Clients"))</f>
        <v>0</v>
      </c>
      <c r="M315" s="26">
        <f>IF(B315="","",ROUND(SUMIFS(Sales!$Y$5:$Y$1204,Sales!$D$5:$D$1204,B315,Sales!$B$5:$B$1204,"&gt;="&amp;IF(D315="",0,D315)),2))</f>
        <v>0</v>
      </c>
      <c r="N315" s="25">
        <f>IF(B315="","",IFERROR(INDEX(Clients!$T$5:$T$504,MATCH(B315,Clients!$A$5:$A$504,0))*1,0))</f>
        <v>0</v>
      </c>
      <c r="O315" s="25">
        <f>IF(B315="","",ROUND(M315*PointsPerUnit+IF(F315="",0,F315),0))</f>
        <v>0</v>
      </c>
      <c r="P315" s="25">
        <f>IF(B315="","",O315-IF(G315="",0,G315))</f>
        <v>0</v>
      </c>
      <c r="Q315" s="25">
        <f>IF(B315="","",IF(RewardAt&lt;=0,0,ROUNDDOWN(P315/RewardAt,0)))</f>
        <v>0</v>
      </c>
      <c r="R315" s="26">
        <f>IF(B315="","",ROUND(Q315*RewardValue,2))</f>
        <v>0</v>
      </c>
      <c r="S315" s="25">
        <f>IF(B315="","",IF(RewardAt&lt;=0,"",MAX(0,RewardAt*(Q315+1)-P315)))</f>
        <v>0</v>
      </c>
      <c r="T315" s="25">
        <f>IF(B315="","",COUNTIFS(Clients!$H$5:$H$504,B315))</f>
        <v>0</v>
      </c>
      <c r="U315" s="26">
        <f>IF(B315="","",ROUND(T315*ReferralReward-IF(J315="",0,J315),2))</f>
        <v>0</v>
      </c>
      <c r="V315" s="15">
        <f>IF(B315="","",IFERROR(INDEX(Clients!$AM$5:$AM$504,MATCH(B315,Clients!$A$5:$A$504,0))&amp;"",""))</f>
        <v>0</v>
      </c>
      <c r="W315" s="25">
        <f>IF(B315="","",COUNTIFS($P$5:$P$504,"&gt;"&amp;P315)+COUNTIFS($P$5:P315,P315))</f>
        <v>0</v>
      </c>
      <c r="X315" s="39">
        <f>IF(B315="","",IF(K315="No","",IF(COUNTIF($B$5:$B$504,B315)&gt;1,"Duplicate - this client is on twice",IF(Q315&gt;0,"Action - reward ready to give",IF(U315&gt;0.004,"Action - referral credit owed",IF(V315="Lapsing","Chase - points are a reason to call",IF(S315&lt;=RewardAt*0.2,"Rebook - nearly at a reward","OK")))))))</f>
        <v>0</v>
      </c>
    </row>
    <row r="316" spans="1:24">
      <c r="A316" s="28">
        <f>IF(B316="","",LoyaltyPrefix&amp;TEXT(ROW()-4,"0000"))</f>
        <v>0</v>
      </c>
      <c r="C316" s="15">
        <f>IF(B316="","",IFERROR(INDEX(Clients!$B$5:$B$504,MATCH(B316,Clients!$A$5:$A$504,0)),"Not in Clients"))</f>
        <v>0</v>
      </c>
      <c r="M316" s="26">
        <f>IF(B316="","",ROUND(SUMIFS(Sales!$Y$5:$Y$1204,Sales!$D$5:$D$1204,B316,Sales!$B$5:$B$1204,"&gt;="&amp;IF(D316="",0,D316)),2))</f>
        <v>0</v>
      </c>
      <c r="N316" s="25">
        <f>IF(B316="","",IFERROR(INDEX(Clients!$T$5:$T$504,MATCH(B316,Clients!$A$5:$A$504,0))*1,0))</f>
        <v>0</v>
      </c>
      <c r="O316" s="25">
        <f>IF(B316="","",ROUND(M316*PointsPerUnit+IF(F316="",0,F316),0))</f>
        <v>0</v>
      </c>
      <c r="P316" s="25">
        <f>IF(B316="","",O316-IF(G316="",0,G316))</f>
        <v>0</v>
      </c>
      <c r="Q316" s="25">
        <f>IF(B316="","",IF(RewardAt&lt;=0,0,ROUNDDOWN(P316/RewardAt,0)))</f>
        <v>0</v>
      </c>
      <c r="R316" s="26">
        <f>IF(B316="","",ROUND(Q316*RewardValue,2))</f>
        <v>0</v>
      </c>
      <c r="S316" s="25">
        <f>IF(B316="","",IF(RewardAt&lt;=0,"",MAX(0,RewardAt*(Q316+1)-P316)))</f>
        <v>0</v>
      </c>
      <c r="T316" s="25">
        <f>IF(B316="","",COUNTIFS(Clients!$H$5:$H$504,B316))</f>
        <v>0</v>
      </c>
      <c r="U316" s="26">
        <f>IF(B316="","",ROUND(T316*ReferralReward-IF(J316="",0,J316),2))</f>
        <v>0</v>
      </c>
      <c r="V316" s="15">
        <f>IF(B316="","",IFERROR(INDEX(Clients!$AM$5:$AM$504,MATCH(B316,Clients!$A$5:$A$504,0))&amp;"",""))</f>
        <v>0</v>
      </c>
      <c r="W316" s="25">
        <f>IF(B316="","",COUNTIFS($P$5:$P$504,"&gt;"&amp;P316)+COUNTIFS($P$5:P316,P316))</f>
        <v>0</v>
      </c>
      <c r="X316" s="39">
        <f>IF(B316="","",IF(K316="No","",IF(COUNTIF($B$5:$B$504,B316)&gt;1,"Duplicate - this client is on twice",IF(Q316&gt;0,"Action - reward ready to give",IF(U316&gt;0.004,"Action - referral credit owed",IF(V316="Lapsing","Chase - points are a reason to call",IF(S316&lt;=RewardAt*0.2,"Rebook - nearly at a reward","OK")))))))</f>
        <v>0</v>
      </c>
    </row>
    <row r="317" spans="1:24">
      <c r="A317" s="28">
        <f>IF(B317="","",LoyaltyPrefix&amp;TEXT(ROW()-4,"0000"))</f>
        <v>0</v>
      </c>
      <c r="C317" s="15">
        <f>IF(B317="","",IFERROR(INDEX(Clients!$B$5:$B$504,MATCH(B317,Clients!$A$5:$A$504,0)),"Not in Clients"))</f>
        <v>0</v>
      </c>
      <c r="M317" s="26">
        <f>IF(B317="","",ROUND(SUMIFS(Sales!$Y$5:$Y$1204,Sales!$D$5:$D$1204,B317,Sales!$B$5:$B$1204,"&gt;="&amp;IF(D317="",0,D317)),2))</f>
        <v>0</v>
      </c>
      <c r="N317" s="25">
        <f>IF(B317="","",IFERROR(INDEX(Clients!$T$5:$T$504,MATCH(B317,Clients!$A$5:$A$504,0))*1,0))</f>
        <v>0</v>
      </c>
      <c r="O317" s="25">
        <f>IF(B317="","",ROUND(M317*PointsPerUnit+IF(F317="",0,F317),0))</f>
        <v>0</v>
      </c>
      <c r="P317" s="25">
        <f>IF(B317="","",O317-IF(G317="",0,G317))</f>
        <v>0</v>
      </c>
      <c r="Q317" s="25">
        <f>IF(B317="","",IF(RewardAt&lt;=0,0,ROUNDDOWN(P317/RewardAt,0)))</f>
        <v>0</v>
      </c>
      <c r="R317" s="26">
        <f>IF(B317="","",ROUND(Q317*RewardValue,2))</f>
        <v>0</v>
      </c>
      <c r="S317" s="25">
        <f>IF(B317="","",IF(RewardAt&lt;=0,"",MAX(0,RewardAt*(Q317+1)-P317)))</f>
        <v>0</v>
      </c>
      <c r="T317" s="25">
        <f>IF(B317="","",COUNTIFS(Clients!$H$5:$H$504,B317))</f>
        <v>0</v>
      </c>
      <c r="U317" s="26">
        <f>IF(B317="","",ROUND(T317*ReferralReward-IF(J317="",0,J317),2))</f>
        <v>0</v>
      </c>
      <c r="V317" s="15">
        <f>IF(B317="","",IFERROR(INDEX(Clients!$AM$5:$AM$504,MATCH(B317,Clients!$A$5:$A$504,0))&amp;"",""))</f>
        <v>0</v>
      </c>
      <c r="W317" s="25">
        <f>IF(B317="","",COUNTIFS($P$5:$P$504,"&gt;"&amp;P317)+COUNTIFS($P$5:P317,P317))</f>
        <v>0</v>
      </c>
      <c r="X317" s="39">
        <f>IF(B317="","",IF(K317="No","",IF(COUNTIF($B$5:$B$504,B317)&gt;1,"Duplicate - this client is on twice",IF(Q317&gt;0,"Action - reward ready to give",IF(U317&gt;0.004,"Action - referral credit owed",IF(V317="Lapsing","Chase - points are a reason to call",IF(S317&lt;=RewardAt*0.2,"Rebook - nearly at a reward","OK")))))))</f>
        <v>0</v>
      </c>
    </row>
    <row r="318" spans="1:24">
      <c r="A318" s="28">
        <f>IF(B318="","",LoyaltyPrefix&amp;TEXT(ROW()-4,"0000"))</f>
        <v>0</v>
      </c>
      <c r="C318" s="15">
        <f>IF(B318="","",IFERROR(INDEX(Clients!$B$5:$B$504,MATCH(B318,Clients!$A$5:$A$504,0)),"Not in Clients"))</f>
        <v>0</v>
      </c>
      <c r="M318" s="26">
        <f>IF(B318="","",ROUND(SUMIFS(Sales!$Y$5:$Y$1204,Sales!$D$5:$D$1204,B318,Sales!$B$5:$B$1204,"&gt;="&amp;IF(D318="",0,D318)),2))</f>
        <v>0</v>
      </c>
      <c r="N318" s="25">
        <f>IF(B318="","",IFERROR(INDEX(Clients!$T$5:$T$504,MATCH(B318,Clients!$A$5:$A$504,0))*1,0))</f>
        <v>0</v>
      </c>
      <c r="O318" s="25">
        <f>IF(B318="","",ROUND(M318*PointsPerUnit+IF(F318="",0,F318),0))</f>
        <v>0</v>
      </c>
      <c r="P318" s="25">
        <f>IF(B318="","",O318-IF(G318="",0,G318))</f>
        <v>0</v>
      </c>
      <c r="Q318" s="25">
        <f>IF(B318="","",IF(RewardAt&lt;=0,0,ROUNDDOWN(P318/RewardAt,0)))</f>
        <v>0</v>
      </c>
      <c r="R318" s="26">
        <f>IF(B318="","",ROUND(Q318*RewardValue,2))</f>
        <v>0</v>
      </c>
      <c r="S318" s="25">
        <f>IF(B318="","",IF(RewardAt&lt;=0,"",MAX(0,RewardAt*(Q318+1)-P318)))</f>
        <v>0</v>
      </c>
      <c r="T318" s="25">
        <f>IF(B318="","",COUNTIFS(Clients!$H$5:$H$504,B318))</f>
        <v>0</v>
      </c>
      <c r="U318" s="26">
        <f>IF(B318="","",ROUND(T318*ReferralReward-IF(J318="",0,J318),2))</f>
        <v>0</v>
      </c>
      <c r="V318" s="15">
        <f>IF(B318="","",IFERROR(INDEX(Clients!$AM$5:$AM$504,MATCH(B318,Clients!$A$5:$A$504,0))&amp;"",""))</f>
        <v>0</v>
      </c>
      <c r="W318" s="25">
        <f>IF(B318="","",COUNTIFS($P$5:$P$504,"&gt;"&amp;P318)+COUNTIFS($P$5:P318,P318))</f>
        <v>0</v>
      </c>
      <c r="X318" s="39">
        <f>IF(B318="","",IF(K318="No","",IF(COUNTIF($B$5:$B$504,B318)&gt;1,"Duplicate - this client is on twice",IF(Q318&gt;0,"Action - reward ready to give",IF(U318&gt;0.004,"Action - referral credit owed",IF(V318="Lapsing","Chase - points are a reason to call",IF(S318&lt;=RewardAt*0.2,"Rebook - nearly at a reward","OK")))))))</f>
        <v>0</v>
      </c>
    </row>
    <row r="319" spans="1:24">
      <c r="A319" s="28">
        <f>IF(B319="","",LoyaltyPrefix&amp;TEXT(ROW()-4,"0000"))</f>
        <v>0</v>
      </c>
      <c r="C319" s="15">
        <f>IF(B319="","",IFERROR(INDEX(Clients!$B$5:$B$504,MATCH(B319,Clients!$A$5:$A$504,0)),"Not in Clients"))</f>
        <v>0</v>
      </c>
      <c r="M319" s="26">
        <f>IF(B319="","",ROUND(SUMIFS(Sales!$Y$5:$Y$1204,Sales!$D$5:$D$1204,B319,Sales!$B$5:$B$1204,"&gt;="&amp;IF(D319="",0,D319)),2))</f>
        <v>0</v>
      </c>
      <c r="N319" s="25">
        <f>IF(B319="","",IFERROR(INDEX(Clients!$T$5:$T$504,MATCH(B319,Clients!$A$5:$A$504,0))*1,0))</f>
        <v>0</v>
      </c>
      <c r="O319" s="25">
        <f>IF(B319="","",ROUND(M319*PointsPerUnit+IF(F319="",0,F319),0))</f>
        <v>0</v>
      </c>
      <c r="P319" s="25">
        <f>IF(B319="","",O319-IF(G319="",0,G319))</f>
        <v>0</v>
      </c>
      <c r="Q319" s="25">
        <f>IF(B319="","",IF(RewardAt&lt;=0,0,ROUNDDOWN(P319/RewardAt,0)))</f>
        <v>0</v>
      </c>
      <c r="R319" s="26">
        <f>IF(B319="","",ROUND(Q319*RewardValue,2))</f>
        <v>0</v>
      </c>
      <c r="S319" s="25">
        <f>IF(B319="","",IF(RewardAt&lt;=0,"",MAX(0,RewardAt*(Q319+1)-P319)))</f>
        <v>0</v>
      </c>
      <c r="T319" s="25">
        <f>IF(B319="","",COUNTIFS(Clients!$H$5:$H$504,B319))</f>
        <v>0</v>
      </c>
      <c r="U319" s="26">
        <f>IF(B319="","",ROUND(T319*ReferralReward-IF(J319="",0,J319),2))</f>
        <v>0</v>
      </c>
      <c r="V319" s="15">
        <f>IF(B319="","",IFERROR(INDEX(Clients!$AM$5:$AM$504,MATCH(B319,Clients!$A$5:$A$504,0))&amp;"",""))</f>
        <v>0</v>
      </c>
      <c r="W319" s="25">
        <f>IF(B319="","",COUNTIFS($P$5:$P$504,"&gt;"&amp;P319)+COUNTIFS($P$5:P319,P319))</f>
        <v>0</v>
      </c>
      <c r="X319" s="39">
        <f>IF(B319="","",IF(K319="No","",IF(COUNTIF($B$5:$B$504,B319)&gt;1,"Duplicate - this client is on twice",IF(Q319&gt;0,"Action - reward ready to give",IF(U319&gt;0.004,"Action - referral credit owed",IF(V319="Lapsing","Chase - points are a reason to call",IF(S319&lt;=RewardAt*0.2,"Rebook - nearly at a reward","OK")))))))</f>
        <v>0</v>
      </c>
    </row>
    <row r="320" spans="1:24">
      <c r="A320" s="28">
        <f>IF(B320="","",LoyaltyPrefix&amp;TEXT(ROW()-4,"0000"))</f>
        <v>0</v>
      </c>
      <c r="C320" s="15">
        <f>IF(B320="","",IFERROR(INDEX(Clients!$B$5:$B$504,MATCH(B320,Clients!$A$5:$A$504,0)),"Not in Clients"))</f>
        <v>0</v>
      </c>
      <c r="M320" s="26">
        <f>IF(B320="","",ROUND(SUMIFS(Sales!$Y$5:$Y$1204,Sales!$D$5:$D$1204,B320,Sales!$B$5:$B$1204,"&gt;="&amp;IF(D320="",0,D320)),2))</f>
        <v>0</v>
      </c>
      <c r="N320" s="25">
        <f>IF(B320="","",IFERROR(INDEX(Clients!$T$5:$T$504,MATCH(B320,Clients!$A$5:$A$504,0))*1,0))</f>
        <v>0</v>
      </c>
      <c r="O320" s="25">
        <f>IF(B320="","",ROUND(M320*PointsPerUnit+IF(F320="",0,F320),0))</f>
        <v>0</v>
      </c>
      <c r="P320" s="25">
        <f>IF(B320="","",O320-IF(G320="",0,G320))</f>
        <v>0</v>
      </c>
      <c r="Q320" s="25">
        <f>IF(B320="","",IF(RewardAt&lt;=0,0,ROUNDDOWN(P320/RewardAt,0)))</f>
        <v>0</v>
      </c>
      <c r="R320" s="26">
        <f>IF(B320="","",ROUND(Q320*RewardValue,2))</f>
        <v>0</v>
      </c>
      <c r="S320" s="25">
        <f>IF(B320="","",IF(RewardAt&lt;=0,"",MAX(0,RewardAt*(Q320+1)-P320)))</f>
        <v>0</v>
      </c>
      <c r="T320" s="25">
        <f>IF(B320="","",COUNTIFS(Clients!$H$5:$H$504,B320))</f>
        <v>0</v>
      </c>
      <c r="U320" s="26">
        <f>IF(B320="","",ROUND(T320*ReferralReward-IF(J320="",0,J320),2))</f>
        <v>0</v>
      </c>
      <c r="V320" s="15">
        <f>IF(B320="","",IFERROR(INDEX(Clients!$AM$5:$AM$504,MATCH(B320,Clients!$A$5:$A$504,0))&amp;"",""))</f>
        <v>0</v>
      </c>
      <c r="W320" s="25">
        <f>IF(B320="","",COUNTIFS($P$5:$P$504,"&gt;"&amp;P320)+COUNTIFS($P$5:P320,P320))</f>
        <v>0</v>
      </c>
      <c r="X320" s="39">
        <f>IF(B320="","",IF(K320="No","",IF(COUNTIF($B$5:$B$504,B320)&gt;1,"Duplicate - this client is on twice",IF(Q320&gt;0,"Action - reward ready to give",IF(U320&gt;0.004,"Action - referral credit owed",IF(V320="Lapsing","Chase - points are a reason to call",IF(S320&lt;=RewardAt*0.2,"Rebook - nearly at a reward","OK")))))))</f>
        <v>0</v>
      </c>
    </row>
    <row r="321" spans="1:24">
      <c r="A321" s="28">
        <f>IF(B321="","",LoyaltyPrefix&amp;TEXT(ROW()-4,"0000"))</f>
        <v>0</v>
      </c>
      <c r="C321" s="15">
        <f>IF(B321="","",IFERROR(INDEX(Clients!$B$5:$B$504,MATCH(B321,Clients!$A$5:$A$504,0)),"Not in Clients"))</f>
        <v>0</v>
      </c>
      <c r="M321" s="26">
        <f>IF(B321="","",ROUND(SUMIFS(Sales!$Y$5:$Y$1204,Sales!$D$5:$D$1204,B321,Sales!$B$5:$B$1204,"&gt;="&amp;IF(D321="",0,D321)),2))</f>
        <v>0</v>
      </c>
      <c r="N321" s="25">
        <f>IF(B321="","",IFERROR(INDEX(Clients!$T$5:$T$504,MATCH(B321,Clients!$A$5:$A$504,0))*1,0))</f>
        <v>0</v>
      </c>
      <c r="O321" s="25">
        <f>IF(B321="","",ROUND(M321*PointsPerUnit+IF(F321="",0,F321),0))</f>
        <v>0</v>
      </c>
      <c r="P321" s="25">
        <f>IF(B321="","",O321-IF(G321="",0,G321))</f>
        <v>0</v>
      </c>
      <c r="Q321" s="25">
        <f>IF(B321="","",IF(RewardAt&lt;=0,0,ROUNDDOWN(P321/RewardAt,0)))</f>
        <v>0</v>
      </c>
      <c r="R321" s="26">
        <f>IF(B321="","",ROUND(Q321*RewardValue,2))</f>
        <v>0</v>
      </c>
      <c r="S321" s="25">
        <f>IF(B321="","",IF(RewardAt&lt;=0,"",MAX(0,RewardAt*(Q321+1)-P321)))</f>
        <v>0</v>
      </c>
      <c r="T321" s="25">
        <f>IF(B321="","",COUNTIFS(Clients!$H$5:$H$504,B321))</f>
        <v>0</v>
      </c>
      <c r="U321" s="26">
        <f>IF(B321="","",ROUND(T321*ReferralReward-IF(J321="",0,J321),2))</f>
        <v>0</v>
      </c>
      <c r="V321" s="15">
        <f>IF(B321="","",IFERROR(INDEX(Clients!$AM$5:$AM$504,MATCH(B321,Clients!$A$5:$A$504,0))&amp;"",""))</f>
        <v>0</v>
      </c>
      <c r="W321" s="25">
        <f>IF(B321="","",COUNTIFS($P$5:$P$504,"&gt;"&amp;P321)+COUNTIFS($P$5:P321,P321))</f>
        <v>0</v>
      </c>
      <c r="X321" s="39">
        <f>IF(B321="","",IF(K321="No","",IF(COUNTIF($B$5:$B$504,B321)&gt;1,"Duplicate - this client is on twice",IF(Q321&gt;0,"Action - reward ready to give",IF(U321&gt;0.004,"Action - referral credit owed",IF(V321="Lapsing","Chase - points are a reason to call",IF(S321&lt;=RewardAt*0.2,"Rebook - nearly at a reward","OK")))))))</f>
        <v>0</v>
      </c>
    </row>
    <row r="322" spans="1:24">
      <c r="A322" s="28">
        <f>IF(B322="","",LoyaltyPrefix&amp;TEXT(ROW()-4,"0000"))</f>
        <v>0</v>
      </c>
      <c r="C322" s="15">
        <f>IF(B322="","",IFERROR(INDEX(Clients!$B$5:$B$504,MATCH(B322,Clients!$A$5:$A$504,0)),"Not in Clients"))</f>
        <v>0</v>
      </c>
      <c r="M322" s="26">
        <f>IF(B322="","",ROUND(SUMIFS(Sales!$Y$5:$Y$1204,Sales!$D$5:$D$1204,B322,Sales!$B$5:$B$1204,"&gt;="&amp;IF(D322="",0,D322)),2))</f>
        <v>0</v>
      </c>
      <c r="N322" s="25">
        <f>IF(B322="","",IFERROR(INDEX(Clients!$T$5:$T$504,MATCH(B322,Clients!$A$5:$A$504,0))*1,0))</f>
        <v>0</v>
      </c>
      <c r="O322" s="25">
        <f>IF(B322="","",ROUND(M322*PointsPerUnit+IF(F322="",0,F322),0))</f>
        <v>0</v>
      </c>
      <c r="P322" s="25">
        <f>IF(B322="","",O322-IF(G322="",0,G322))</f>
        <v>0</v>
      </c>
      <c r="Q322" s="25">
        <f>IF(B322="","",IF(RewardAt&lt;=0,0,ROUNDDOWN(P322/RewardAt,0)))</f>
        <v>0</v>
      </c>
      <c r="R322" s="26">
        <f>IF(B322="","",ROUND(Q322*RewardValue,2))</f>
        <v>0</v>
      </c>
      <c r="S322" s="25">
        <f>IF(B322="","",IF(RewardAt&lt;=0,"",MAX(0,RewardAt*(Q322+1)-P322)))</f>
        <v>0</v>
      </c>
      <c r="T322" s="25">
        <f>IF(B322="","",COUNTIFS(Clients!$H$5:$H$504,B322))</f>
        <v>0</v>
      </c>
      <c r="U322" s="26">
        <f>IF(B322="","",ROUND(T322*ReferralReward-IF(J322="",0,J322),2))</f>
        <v>0</v>
      </c>
      <c r="V322" s="15">
        <f>IF(B322="","",IFERROR(INDEX(Clients!$AM$5:$AM$504,MATCH(B322,Clients!$A$5:$A$504,0))&amp;"",""))</f>
        <v>0</v>
      </c>
      <c r="W322" s="25">
        <f>IF(B322="","",COUNTIFS($P$5:$P$504,"&gt;"&amp;P322)+COUNTIFS($P$5:P322,P322))</f>
        <v>0</v>
      </c>
      <c r="X322" s="39">
        <f>IF(B322="","",IF(K322="No","",IF(COUNTIF($B$5:$B$504,B322)&gt;1,"Duplicate - this client is on twice",IF(Q322&gt;0,"Action - reward ready to give",IF(U322&gt;0.004,"Action - referral credit owed",IF(V322="Lapsing","Chase - points are a reason to call",IF(S322&lt;=RewardAt*0.2,"Rebook - nearly at a reward","OK")))))))</f>
        <v>0</v>
      </c>
    </row>
    <row r="323" spans="1:24">
      <c r="A323" s="28">
        <f>IF(B323="","",LoyaltyPrefix&amp;TEXT(ROW()-4,"0000"))</f>
        <v>0</v>
      </c>
      <c r="C323" s="15">
        <f>IF(B323="","",IFERROR(INDEX(Clients!$B$5:$B$504,MATCH(B323,Clients!$A$5:$A$504,0)),"Not in Clients"))</f>
        <v>0</v>
      </c>
      <c r="M323" s="26">
        <f>IF(B323="","",ROUND(SUMIFS(Sales!$Y$5:$Y$1204,Sales!$D$5:$D$1204,B323,Sales!$B$5:$B$1204,"&gt;="&amp;IF(D323="",0,D323)),2))</f>
        <v>0</v>
      </c>
      <c r="N323" s="25">
        <f>IF(B323="","",IFERROR(INDEX(Clients!$T$5:$T$504,MATCH(B323,Clients!$A$5:$A$504,0))*1,0))</f>
        <v>0</v>
      </c>
      <c r="O323" s="25">
        <f>IF(B323="","",ROUND(M323*PointsPerUnit+IF(F323="",0,F323),0))</f>
        <v>0</v>
      </c>
      <c r="P323" s="25">
        <f>IF(B323="","",O323-IF(G323="",0,G323))</f>
        <v>0</v>
      </c>
      <c r="Q323" s="25">
        <f>IF(B323="","",IF(RewardAt&lt;=0,0,ROUNDDOWN(P323/RewardAt,0)))</f>
        <v>0</v>
      </c>
      <c r="R323" s="26">
        <f>IF(B323="","",ROUND(Q323*RewardValue,2))</f>
        <v>0</v>
      </c>
      <c r="S323" s="25">
        <f>IF(B323="","",IF(RewardAt&lt;=0,"",MAX(0,RewardAt*(Q323+1)-P323)))</f>
        <v>0</v>
      </c>
      <c r="T323" s="25">
        <f>IF(B323="","",COUNTIFS(Clients!$H$5:$H$504,B323))</f>
        <v>0</v>
      </c>
      <c r="U323" s="26">
        <f>IF(B323="","",ROUND(T323*ReferralReward-IF(J323="",0,J323),2))</f>
        <v>0</v>
      </c>
      <c r="V323" s="15">
        <f>IF(B323="","",IFERROR(INDEX(Clients!$AM$5:$AM$504,MATCH(B323,Clients!$A$5:$A$504,0))&amp;"",""))</f>
        <v>0</v>
      </c>
      <c r="W323" s="25">
        <f>IF(B323="","",COUNTIFS($P$5:$P$504,"&gt;"&amp;P323)+COUNTIFS($P$5:P323,P323))</f>
        <v>0</v>
      </c>
      <c r="X323" s="39">
        <f>IF(B323="","",IF(K323="No","",IF(COUNTIF($B$5:$B$504,B323)&gt;1,"Duplicate - this client is on twice",IF(Q323&gt;0,"Action - reward ready to give",IF(U323&gt;0.004,"Action - referral credit owed",IF(V323="Lapsing","Chase - points are a reason to call",IF(S323&lt;=RewardAt*0.2,"Rebook - nearly at a reward","OK")))))))</f>
        <v>0</v>
      </c>
    </row>
    <row r="324" spans="1:24">
      <c r="A324" s="28">
        <f>IF(B324="","",LoyaltyPrefix&amp;TEXT(ROW()-4,"0000"))</f>
        <v>0</v>
      </c>
      <c r="C324" s="15">
        <f>IF(B324="","",IFERROR(INDEX(Clients!$B$5:$B$504,MATCH(B324,Clients!$A$5:$A$504,0)),"Not in Clients"))</f>
        <v>0</v>
      </c>
      <c r="M324" s="26">
        <f>IF(B324="","",ROUND(SUMIFS(Sales!$Y$5:$Y$1204,Sales!$D$5:$D$1204,B324,Sales!$B$5:$B$1204,"&gt;="&amp;IF(D324="",0,D324)),2))</f>
        <v>0</v>
      </c>
      <c r="N324" s="25">
        <f>IF(B324="","",IFERROR(INDEX(Clients!$T$5:$T$504,MATCH(B324,Clients!$A$5:$A$504,0))*1,0))</f>
        <v>0</v>
      </c>
      <c r="O324" s="25">
        <f>IF(B324="","",ROUND(M324*PointsPerUnit+IF(F324="",0,F324),0))</f>
        <v>0</v>
      </c>
      <c r="P324" s="25">
        <f>IF(B324="","",O324-IF(G324="",0,G324))</f>
        <v>0</v>
      </c>
      <c r="Q324" s="25">
        <f>IF(B324="","",IF(RewardAt&lt;=0,0,ROUNDDOWN(P324/RewardAt,0)))</f>
        <v>0</v>
      </c>
      <c r="R324" s="26">
        <f>IF(B324="","",ROUND(Q324*RewardValue,2))</f>
        <v>0</v>
      </c>
      <c r="S324" s="25">
        <f>IF(B324="","",IF(RewardAt&lt;=0,"",MAX(0,RewardAt*(Q324+1)-P324)))</f>
        <v>0</v>
      </c>
      <c r="T324" s="25">
        <f>IF(B324="","",COUNTIFS(Clients!$H$5:$H$504,B324))</f>
        <v>0</v>
      </c>
      <c r="U324" s="26">
        <f>IF(B324="","",ROUND(T324*ReferralReward-IF(J324="",0,J324),2))</f>
        <v>0</v>
      </c>
      <c r="V324" s="15">
        <f>IF(B324="","",IFERROR(INDEX(Clients!$AM$5:$AM$504,MATCH(B324,Clients!$A$5:$A$504,0))&amp;"",""))</f>
        <v>0</v>
      </c>
      <c r="W324" s="25">
        <f>IF(B324="","",COUNTIFS($P$5:$P$504,"&gt;"&amp;P324)+COUNTIFS($P$5:P324,P324))</f>
        <v>0</v>
      </c>
      <c r="X324" s="39">
        <f>IF(B324="","",IF(K324="No","",IF(COUNTIF($B$5:$B$504,B324)&gt;1,"Duplicate - this client is on twice",IF(Q324&gt;0,"Action - reward ready to give",IF(U324&gt;0.004,"Action - referral credit owed",IF(V324="Lapsing","Chase - points are a reason to call",IF(S324&lt;=RewardAt*0.2,"Rebook - nearly at a reward","OK")))))))</f>
        <v>0</v>
      </c>
    </row>
    <row r="325" spans="1:24">
      <c r="A325" s="28">
        <f>IF(B325="","",LoyaltyPrefix&amp;TEXT(ROW()-4,"0000"))</f>
        <v>0</v>
      </c>
      <c r="C325" s="15">
        <f>IF(B325="","",IFERROR(INDEX(Clients!$B$5:$B$504,MATCH(B325,Clients!$A$5:$A$504,0)),"Not in Clients"))</f>
        <v>0</v>
      </c>
      <c r="M325" s="26">
        <f>IF(B325="","",ROUND(SUMIFS(Sales!$Y$5:$Y$1204,Sales!$D$5:$D$1204,B325,Sales!$B$5:$B$1204,"&gt;="&amp;IF(D325="",0,D325)),2))</f>
        <v>0</v>
      </c>
      <c r="N325" s="25">
        <f>IF(B325="","",IFERROR(INDEX(Clients!$T$5:$T$504,MATCH(B325,Clients!$A$5:$A$504,0))*1,0))</f>
        <v>0</v>
      </c>
      <c r="O325" s="25">
        <f>IF(B325="","",ROUND(M325*PointsPerUnit+IF(F325="",0,F325),0))</f>
        <v>0</v>
      </c>
      <c r="P325" s="25">
        <f>IF(B325="","",O325-IF(G325="",0,G325))</f>
        <v>0</v>
      </c>
      <c r="Q325" s="25">
        <f>IF(B325="","",IF(RewardAt&lt;=0,0,ROUNDDOWN(P325/RewardAt,0)))</f>
        <v>0</v>
      </c>
      <c r="R325" s="26">
        <f>IF(B325="","",ROUND(Q325*RewardValue,2))</f>
        <v>0</v>
      </c>
      <c r="S325" s="25">
        <f>IF(B325="","",IF(RewardAt&lt;=0,"",MAX(0,RewardAt*(Q325+1)-P325)))</f>
        <v>0</v>
      </c>
      <c r="T325" s="25">
        <f>IF(B325="","",COUNTIFS(Clients!$H$5:$H$504,B325))</f>
        <v>0</v>
      </c>
      <c r="U325" s="26">
        <f>IF(B325="","",ROUND(T325*ReferralReward-IF(J325="",0,J325),2))</f>
        <v>0</v>
      </c>
      <c r="V325" s="15">
        <f>IF(B325="","",IFERROR(INDEX(Clients!$AM$5:$AM$504,MATCH(B325,Clients!$A$5:$A$504,0))&amp;"",""))</f>
        <v>0</v>
      </c>
      <c r="W325" s="25">
        <f>IF(B325="","",COUNTIFS($P$5:$P$504,"&gt;"&amp;P325)+COUNTIFS($P$5:P325,P325))</f>
        <v>0</v>
      </c>
      <c r="X325" s="39">
        <f>IF(B325="","",IF(K325="No","",IF(COUNTIF($B$5:$B$504,B325)&gt;1,"Duplicate - this client is on twice",IF(Q325&gt;0,"Action - reward ready to give",IF(U325&gt;0.004,"Action - referral credit owed",IF(V325="Lapsing","Chase - points are a reason to call",IF(S325&lt;=RewardAt*0.2,"Rebook - nearly at a reward","OK")))))))</f>
        <v>0</v>
      </c>
    </row>
    <row r="326" spans="1:24">
      <c r="A326" s="28">
        <f>IF(B326="","",LoyaltyPrefix&amp;TEXT(ROW()-4,"0000"))</f>
        <v>0</v>
      </c>
      <c r="C326" s="15">
        <f>IF(B326="","",IFERROR(INDEX(Clients!$B$5:$B$504,MATCH(B326,Clients!$A$5:$A$504,0)),"Not in Clients"))</f>
        <v>0</v>
      </c>
      <c r="M326" s="26">
        <f>IF(B326="","",ROUND(SUMIFS(Sales!$Y$5:$Y$1204,Sales!$D$5:$D$1204,B326,Sales!$B$5:$B$1204,"&gt;="&amp;IF(D326="",0,D326)),2))</f>
        <v>0</v>
      </c>
      <c r="N326" s="25">
        <f>IF(B326="","",IFERROR(INDEX(Clients!$T$5:$T$504,MATCH(B326,Clients!$A$5:$A$504,0))*1,0))</f>
        <v>0</v>
      </c>
      <c r="O326" s="25">
        <f>IF(B326="","",ROUND(M326*PointsPerUnit+IF(F326="",0,F326),0))</f>
        <v>0</v>
      </c>
      <c r="P326" s="25">
        <f>IF(B326="","",O326-IF(G326="",0,G326))</f>
        <v>0</v>
      </c>
      <c r="Q326" s="25">
        <f>IF(B326="","",IF(RewardAt&lt;=0,0,ROUNDDOWN(P326/RewardAt,0)))</f>
        <v>0</v>
      </c>
      <c r="R326" s="26">
        <f>IF(B326="","",ROUND(Q326*RewardValue,2))</f>
        <v>0</v>
      </c>
      <c r="S326" s="25">
        <f>IF(B326="","",IF(RewardAt&lt;=0,"",MAX(0,RewardAt*(Q326+1)-P326)))</f>
        <v>0</v>
      </c>
      <c r="T326" s="25">
        <f>IF(B326="","",COUNTIFS(Clients!$H$5:$H$504,B326))</f>
        <v>0</v>
      </c>
      <c r="U326" s="26">
        <f>IF(B326="","",ROUND(T326*ReferralReward-IF(J326="",0,J326),2))</f>
        <v>0</v>
      </c>
      <c r="V326" s="15">
        <f>IF(B326="","",IFERROR(INDEX(Clients!$AM$5:$AM$504,MATCH(B326,Clients!$A$5:$A$504,0))&amp;"",""))</f>
        <v>0</v>
      </c>
      <c r="W326" s="25">
        <f>IF(B326="","",COUNTIFS($P$5:$P$504,"&gt;"&amp;P326)+COUNTIFS($P$5:P326,P326))</f>
        <v>0</v>
      </c>
      <c r="X326" s="39">
        <f>IF(B326="","",IF(K326="No","",IF(COUNTIF($B$5:$B$504,B326)&gt;1,"Duplicate - this client is on twice",IF(Q326&gt;0,"Action - reward ready to give",IF(U326&gt;0.004,"Action - referral credit owed",IF(V326="Lapsing","Chase - points are a reason to call",IF(S326&lt;=RewardAt*0.2,"Rebook - nearly at a reward","OK")))))))</f>
        <v>0</v>
      </c>
    </row>
    <row r="327" spans="1:24">
      <c r="A327" s="28">
        <f>IF(B327="","",LoyaltyPrefix&amp;TEXT(ROW()-4,"0000"))</f>
        <v>0</v>
      </c>
      <c r="C327" s="15">
        <f>IF(B327="","",IFERROR(INDEX(Clients!$B$5:$B$504,MATCH(B327,Clients!$A$5:$A$504,0)),"Not in Clients"))</f>
        <v>0</v>
      </c>
      <c r="M327" s="26">
        <f>IF(B327="","",ROUND(SUMIFS(Sales!$Y$5:$Y$1204,Sales!$D$5:$D$1204,B327,Sales!$B$5:$B$1204,"&gt;="&amp;IF(D327="",0,D327)),2))</f>
        <v>0</v>
      </c>
      <c r="N327" s="25">
        <f>IF(B327="","",IFERROR(INDEX(Clients!$T$5:$T$504,MATCH(B327,Clients!$A$5:$A$504,0))*1,0))</f>
        <v>0</v>
      </c>
      <c r="O327" s="25">
        <f>IF(B327="","",ROUND(M327*PointsPerUnit+IF(F327="",0,F327),0))</f>
        <v>0</v>
      </c>
      <c r="P327" s="25">
        <f>IF(B327="","",O327-IF(G327="",0,G327))</f>
        <v>0</v>
      </c>
      <c r="Q327" s="25">
        <f>IF(B327="","",IF(RewardAt&lt;=0,0,ROUNDDOWN(P327/RewardAt,0)))</f>
        <v>0</v>
      </c>
      <c r="R327" s="26">
        <f>IF(B327="","",ROUND(Q327*RewardValue,2))</f>
        <v>0</v>
      </c>
      <c r="S327" s="25">
        <f>IF(B327="","",IF(RewardAt&lt;=0,"",MAX(0,RewardAt*(Q327+1)-P327)))</f>
        <v>0</v>
      </c>
      <c r="T327" s="25">
        <f>IF(B327="","",COUNTIFS(Clients!$H$5:$H$504,B327))</f>
        <v>0</v>
      </c>
      <c r="U327" s="26">
        <f>IF(B327="","",ROUND(T327*ReferralReward-IF(J327="",0,J327),2))</f>
        <v>0</v>
      </c>
      <c r="V327" s="15">
        <f>IF(B327="","",IFERROR(INDEX(Clients!$AM$5:$AM$504,MATCH(B327,Clients!$A$5:$A$504,0))&amp;"",""))</f>
        <v>0</v>
      </c>
      <c r="W327" s="25">
        <f>IF(B327="","",COUNTIFS($P$5:$P$504,"&gt;"&amp;P327)+COUNTIFS($P$5:P327,P327))</f>
        <v>0</v>
      </c>
      <c r="X327" s="39">
        <f>IF(B327="","",IF(K327="No","",IF(COUNTIF($B$5:$B$504,B327)&gt;1,"Duplicate - this client is on twice",IF(Q327&gt;0,"Action - reward ready to give",IF(U327&gt;0.004,"Action - referral credit owed",IF(V327="Lapsing","Chase - points are a reason to call",IF(S327&lt;=RewardAt*0.2,"Rebook - nearly at a reward","OK")))))))</f>
        <v>0</v>
      </c>
    </row>
    <row r="328" spans="1:24">
      <c r="A328" s="28">
        <f>IF(B328="","",LoyaltyPrefix&amp;TEXT(ROW()-4,"0000"))</f>
        <v>0</v>
      </c>
      <c r="C328" s="15">
        <f>IF(B328="","",IFERROR(INDEX(Clients!$B$5:$B$504,MATCH(B328,Clients!$A$5:$A$504,0)),"Not in Clients"))</f>
        <v>0</v>
      </c>
      <c r="M328" s="26">
        <f>IF(B328="","",ROUND(SUMIFS(Sales!$Y$5:$Y$1204,Sales!$D$5:$D$1204,B328,Sales!$B$5:$B$1204,"&gt;="&amp;IF(D328="",0,D328)),2))</f>
        <v>0</v>
      </c>
      <c r="N328" s="25">
        <f>IF(B328="","",IFERROR(INDEX(Clients!$T$5:$T$504,MATCH(B328,Clients!$A$5:$A$504,0))*1,0))</f>
        <v>0</v>
      </c>
      <c r="O328" s="25">
        <f>IF(B328="","",ROUND(M328*PointsPerUnit+IF(F328="",0,F328),0))</f>
        <v>0</v>
      </c>
      <c r="P328" s="25">
        <f>IF(B328="","",O328-IF(G328="",0,G328))</f>
        <v>0</v>
      </c>
      <c r="Q328" s="25">
        <f>IF(B328="","",IF(RewardAt&lt;=0,0,ROUNDDOWN(P328/RewardAt,0)))</f>
        <v>0</v>
      </c>
      <c r="R328" s="26">
        <f>IF(B328="","",ROUND(Q328*RewardValue,2))</f>
        <v>0</v>
      </c>
      <c r="S328" s="25">
        <f>IF(B328="","",IF(RewardAt&lt;=0,"",MAX(0,RewardAt*(Q328+1)-P328)))</f>
        <v>0</v>
      </c>
      <c r="T328" s="25">
        <f>IF(B328="","",COUNTIFS(Clients!$H$5:$H$504,B328))</f>
        <v>0</v>
      </c>
      <c r="U328" s="26">
        <f>IF(B328="","",ROUND(T328*ReferralReward-IF(J328="",0,J328),2))</f>
        <v>0</v>
      </c>
      <c r="V328" s="15">
        <f>IF(B328="","",IFERROR(INDEX(Clients!$AM$5:$AM$504,MATCH(B328,Clients!$A$5:$A$504,0))&amp;"",""))</f>
        <v>0</v>
      </c>
      <c r="W328" s="25">
        <f>IF(B328="","",COUNTIFS($P$5:$P$504,"&gt;"&amp;P328)+COUNTIFS($P$5:P328,P328))</f>
        <v>0</v>
      </c>
      <c r="X328" s="39">
        <f>IF(B328="","",IF(K328="No","",IF(COUNTIF($B$5:$B$504,B328)&gt;1,"Duplicate - this client is on twice",IF(Q328&gt;0,"Action - reward ready to give",IF(U328&gt;0.004,"Action - referral credit owed",IF(V328="Lapsing","Chase - points are a reason to call",IF(S328&lt;=RewardAt*0.2,"Rebook - nearly at a reward","OK")))))))</f>
        <v>0</v>
      </c>
    </row>
    <row r="329" spans="1:24">
      <c r="A329" s="28">
        <f>IF(B329="","",LoyaltyPrefix&amp;TEXT(ROW()-4,"0000"))</f>
        <v>0</v>
      </c>
      <c r="C329" s="15">
        <f>IF(B329="","",IFERROR(INDEX(Clients!$B$5:$B$504,MATCH(B329,Clients!$A$5:$A$504,0)),"Not in Clients"))</f>
        <v>0</v>
      </c>
      <c r="M329" s="26">
        <f>IF(B329="","",ROUND(SUMIFS(Sales!$Y$5:$Y$1204,Sales!$D$5:$D$1204,B329,Sales!$B$5:$B$1204,"&gt;="&amp;IF(D329="",0,D329)),2))</f>
        <v>0</v>
      </c>
      <c r="N329" s="25">
        <f>IF(B329="","",IFERROR(INDEX(Clients!$T$5:$T$504,MATCH(B329,Clients!$A$5:$A$504,0))*1,0))</f>
        <v>0</v>
      </c>
      <c r="O329" s="25">
        <f>IF(B329="","",ROUND(M329*PointsPerUnit+IF(F329="",0,F329),0))</f>
        <v>0</v>
      </c>
      <c r="P329" s="25">
        <f>IF(B329="","",O329-IF(G329="",0,G329))</f>
        <v>0</v>
      </c>
      <c r="Q329" s="25">
        <f>IF(B329="","",IF(RewardAt&lt;=0,0,ROUNDDOWN(P329/RewardAt,0)))</f>
        <v>0</v>
      </c>
      <c r="R329" s="26">
        <f>IF(B329="","",ROUND(Q329*RewardValue,2))</f>
        <v>0</v>
      </c>
      <c r="S329" s="25">
        <f>IF(B329="","",IF(RewardAt&lt;=0,"",MAX(0,RewardAt*(Q329+1)-P329)))</f>
        <v>0</v>
      </c>
      <c r="T329" s="25">
        <f>IF(B329="","",COUNTIFS(Clients!$H$5:$H$504,B329))</f>
        <v>0</v>
      </c>
      <c r="U329" s="26">
        <f>IF(B329="","",ROUND(T329*ReferralReward-IF(J329="",0,J329),2))</f>
        <v>0</v>
      </c>
      <c r="V329" s="15">
        <f>IF(B329="","",IFERROR(INDEX(Clients!$AM$5:$AM$504,MATCH(B329,Clients!$A$5:$A$504,0))&amp;"",""))</f>
        <v>0</v>
      </c>
      <c r="W329" s="25">
        <f>IF(B329="","",COUNTIFS($P$5:$P$504,"&gt;"&amp;P329)+COUNTIFS($P$5:P329,P329))</f>
        <v>0</v>
      </c>
      <c r="X329" s="39">
        <f>IF(B329="","",IF(K329="No","",IF(COUNTIF($B$5:$B$504,B329)&gt;1,"Duplicate - this client is on twice",IF(Q329&gt;0,"Action - reward ready to give",IF(U329&gt;0.004,"Action - referral credit owed",IF(V329="Lapsing","Chase - points are a reason to call",IF(S329&lt;=RewardAt*0.2,"Rebook - nearly at a reward","OK")))))))</f>
        <v>0</v>
      </c>
    </row>
    <row r="330" spans="1:24">
      <c r="A330" s="28">
        <f>IF(B330="","",LoyaltyPrefix&amp;TEXT(ROW()-4,"0000"))</f>
        <v>0</v>
      </c>
      <c r="C330" s="15">
        <f>IF(B330="","",IFERROR(INDEX(Clients!$B$5:$B$504,MATCH(B330,Clients!$A$5:$A$504,0)),"Not in Clients"))</f>
        <v>0</v>
      </c>
      <c r="M330" s="26">
        <f>IF(B330="","",ROUND(SUMIFS(Sales!$Y$5:$Y$1204,Sales!$D$5:$D$1204,B330,Sales!$B$5:$B$1204,"&gt;="&amp;IF(D330="",0,D330)),2))</f>
        <v>0</v>
      </c>
      <c r="N330" s="25">
        <f>IF(B330="","",IFERROR(INDEX(Clients!$T$5:$T$504,MATCH(B330,Clients!$A$5:$A$504,0))*1,0))</f>
        <v>0</v>
      </c>
      <c r="O330" s="25">
        <f>IF(B330="","",ROUND(M330*PointsPerUnit+IF(F330="",0,F330),0))</f>
        <v>0</v>
      </c>
      <c r="P330" s="25">
        <f>IF(B330="","",O330-IF(G330="",0,G330))</f>
        <v>0</v>
      </c>
      <c r="Q330" s="25">
        <f>IF(B330="","",IF(RewardAt&lt;=0,0,ROUNDDOWN(P330/RewardAt,0)))</f>
        <v>0</v>
      </c>
      <c r="R330" s="26">
        <f>IF(B330="","",ROUND(Q330*RewardValue,2))</f>
        <v>0</v>
      </c>
      <c r="S330" s="25">
        <f>IF(B330="","",IF(RewardAt&lt;=0,"",MAX(0,RewardAt*(Q330+1)-P330)))</f>
        <v>0</v>
      </c>
      <c r="T330" s="25">
        <f>IF(B330="","",COUNTIFS(Clients!$H$5:$H$504,B330))</f>
        <v>0</v>
      </c>
      <c r="U330" s="26">
        <f>IF(B330="","",ROUND(T330*ReferralReward-IF(J330="",0,J330),2))</f>
        <v>0</v>
      </c>
      <c r="V330" s="15">
        <f>IF(B330="","",IFERROR(INDEX(Clients!$AM$5:$AM$504,MATCH(B330,Clients!$A$5:$A$504,0))&amp;"",""))</f>
        <v>0</v>
      </c>
      <c r="W330" s="25">
        <f>IF(B330="","",COUNTIFS($P$5:$P$504,"&gt;"&amp;P330)+COUNTIFS($P$5:P330,P330))</f>
        <v>0</v>
      </c>
      <c r="X330" s="39">
        <f>IF(B330="","",IF(K330="No","",IF(COUNTIF($B$5:$B$504,B330)&gt;1,"Duplicate - this client is on twice",IF(Q330&gt;0,"Action - reward ready to give",IF(U330&gt;0.004,"Action - referral credit owed",IF(V330="Lapsing","Chase - points are a reason to call",IF(S330&lt;=RewardAt*0.2,"Rebook - nearly at a reward","OK")))))))</f>
        <v>0</v>
      </c>
    </row>
    <row r="331" spans="1:24">
      <c r="A331" s="28">
        <f>IF(B331="","",LoyaltyPrefix&amp;TEXT(ROW()-4,"0000"))</f>
        <v>0</v>
      </c>
      <c r="C331" s="15">
        <f>IF(B331="","",IFERROR(INDEX(Clients!$B$5:$B$504,MATCH(B331,Clients!$A$5:$A$504,0)),"Not in Clients"))</f>
        <v>0</v>
      </c>
      <c r="M331" s="26">
        <f>IF(B331="","",ROUND(SUMIFS(Sales!$Y$5:$Y$1204,Sales!$D$5:$D$1204,B331,Sales!$B$5:$B$1204,"&gt;="&amp;IF(D331="",0,D331)),2))</f>
        <v>0</v>
      </c>
      <c r="N331" s="25">
        <f>IF(B331="","",IFERROR(INDEX(Clients!$T$5:$T$504,MATCH(B331,Clients!$A$5:$A$504,0))*1,0))</f>
        <v>0</v>
      </c>
      <c r="O331" s="25">
        <f>IF(B331="","",ROUND(M331*PointsPerUnit+IF(F331="",0,F331),0))</f>
        <v>0</v>
      </c>
      <c r="P331" s="25">
        <f>IF(B331="","",O331-IF(G331="",0,G331))</f>
        <v>0</v>
      </c>
      <c r="Q331" s="25">
        <f>IF(B331="","",IF(RewardAt&lt;=0,0,ROUNDDOWN(P331/RewardAt,0)))</f>
        <v>0</v>
      </c>
      <c r="R331" s="26">
        <f>IF(B331="","",ROUND(Q331*RewardValue,2))</f>
        <v>0</v>
      </c>
      <c r="S331" s="25">
        <f>IF(B331="","",IF(RewardAt&lt;=0,"",MAX(0,RewardAt*(Q331+1)-P331)))</f>
        <v>0</v>
      </c>
      <c r="T331" s="25">
        <f>IF(B331="","",COUNTIFS(Clients!$H$5:$H$504,B331))</f>
        <v>0</v>
      </c>
      <c r="U331" s="26">
        <f>IF(B331="","",ROUND(T331*ReferralReward-IF(J331="",0,J331),2))</f>
        <v>0</v>
      </c>
      <c r="V331" s="15">
        <f>IF(B331="","",IFERROR(INDEX(Clients!$AM$5:$AM$504,MATCH(B331,Clients!$A$5:$A$504,0))&amp;"",""))</f>
        <v>0</v>
      </c>
      <c r="W331" s="25">
        <f>IF(B331="","",COUNTIFS($P$5:$P$504,"&gt;"&amp;P331)+COUNTIFS($P$5:P331,P331))</f>
        <v>0</v>
      </c>
      <c r="X331" s="39">
        <f>IF(B331="","",IF(K331="No","",IF(COUNTIF($B$5:$B$504,B331)&gt;1,"Duplicate - this client is on twice",IF(Q331&gt;0,"Action - reward ready to give",IF(U331&gt;0.004,"Action - referral credit owed",IF(V331="Lapsing","Chase - points are a reason to call",IF(S331&lt;=RewardAt*0.2,"Rebook - nearly at a reward","OK")))))))</f>
        <v>0</v>
      </c>
    </row>
    <row r="332" spans="1:24">
      <c r="A332" s="28">
        <f>IF(B332="","",LoyaltyPrefix&amp;TEXT(ROW()-4,"0000"))</f>
        <v>0</v>
      </c>
      <c r="C332" s="15">
        <f>IF(B332="","",IFERROR(INDEX(Clients!$B$5:$B$504,MATCH(B332,Clients!$A$5:$A$504,0)),"Not in Clients"))</f>
        <v>0</v>
      </c>
      <c r="M332" s="26">
        <f>IF(B332="","",ROUND(SUMIFS(Sales!$Y$5:$Y$1204,Sales!$D$5:$D$1204,B332,Sales!$B$5:$B$1204,"&gt;="&amp;IF(D332="",0,D332)),2))</f>
        <v>0</v>
      </c>
      <c r="N332" s="25">
        <f>IF(B332="","",IFERROR(INDEX(Clients!$T$5:$T$504,MATCH(B332,Clients!$A$5:$A$504,0))*1,0))</f>
        <v>0</v>
      </c>
      <c r="O332" s="25">
        <f>IF(B332="","",ROUND(M332*PointsPerUnit+IF(F332="",0,F332),0))</f>
        <v>0</v>
      </c>
      <c r="P332" s="25">
        <f>IF(B332="","",O332-IF(G332="",0,G332))</f>
        <v>0</v>
      </c>
      <c r="Q332" s="25">
        <f>IF(B332="","",IF(RewardAt&lt;=0,0,ROUNDDOWN(P332/RewardAt,0)))</f>
        <v>0</v>
      </c>
      <c r="R332" s="26">
        <f>IF(B332="","",ROUND(Q332*RewardValue,2))</f>
        <v>0</v>
      </c>
      <c r="S332" s="25">
        <f>IF(B332="","",IF(RewardAt&lt;=0,"",MAX(0,RewardAt*(Q332+1)-P332)))</f>
        <v>0</v>
      </c>
      <c r="T332" s="25">
        <f>IF(B332="","",COUNTIFS(Clients!$H$5:$H$504,B332))</f>
        <v>0</v>
      </c>
      <c r="U332" s="26">
        <f>IF(B332="","",ROUND(T332*ReferralReward-IF(J332="",0,J332),2))</f>
        <v>0</v>
      </c>
      <c r="V332" s="15">
        <f>IF(B332="","",IFERROR(INDEX(Clients!$AM$5:$AM$504,MATCH(B332,Clients!$A$5:$A$504,0))&amp;"",""))</f>
        <v>0</v>
      </c>
      <c r="W332" s="25">
        <f>IF(B332="","",COUNTIFS($P$5:$P$504,"&gt;"&amp;P332)+COUNTIFS($P$5:P332,P332))</f>
        <v>0</v>
      </c>
      <c r="X332" s="39">
        <f>IF(B332="","",IF(K332="No","",IF(COUNTIF($B$5:$B$504,B332)&gt;1,"Duplicate - this client is on twice",IF(Q332&gt;0,"Action - reward ready to give",IF(U332&gt;0.004,"Action - referral credit owed",IF(V332="Lapsing","Chase - points are a reason to call",IF(S332&lt;=RewardAt*0.2,"Rebook - nearly at a reward","OK")))))))</f>
        <v>0</v>
      </c>
    </row>
    <row r="333" spans="1:24">
      <c r="A333" s="28">
        <f>IF(B333="","",LoyaltyPrefix&amp;TEXT(ROW()-4,"0000"))</f>
        <v>0</v>
      </c>
      <c r="C333" s="15">
        <f>IF(B333="","",IFERROR(INDEX(Clients!$B$5:$B$504,MATCH(B333,Clients!$A$5:$A$504,0)),"Not in Clients"))</f>
        <v>0</v>
      </c>
      <c r="M333" s="26">
        <f>IF(B333="","",ROUND(SUMIFS(Sales!$Y$5:$Y$1204,Sales!$D$5:$D$1204,B333,Sales!$B$5:$B$1204,"&gt;="&amp;IF(D333="",0,D333)),2))</f>
        <v>0</v>
      </c>
      <c r="N333" s="25">
        <f>IF(B333="","",IFERROR(INDEX(Clients!$T$5:$T$504,MATCH(B333,Clients!$A$5:$A$504,0))*1,0))</f>
        <v>0</v>
      </c>
      <c r="O333" s="25">
        <f>IF(B333="","",ROUND(M333*PointsPerUnit+IF(F333="",0,F333),0))</f>
        <v>0</v>
      </c>
      <c r="P333" s="25">
        <f>IF(B333="","",O333-IF(G333="",0,G333))</f>
        <v>0</v>
      </c>
      <c r="Q333" s="25">
        <f>IF(B333="","",IF(RewardAt&lt;=0,0,ROUNDDOWN(P333/RewardAt,0)))</f>
        <v>0</v>
      </c>
      <c r="R333" s="26">
        <f>IF(B333="","",ROUND(Q333*RewardValue,2))</f>
        <v>0</v>
      </c>
      <c r="S333" s="25">
        <f>IF(B333="","",IF(RewardAt&lt;=0,"",MAX(0,RewardAt*(Q333+1)-P333)))</f>
        <v>0</v>
      </c>
      <c r="T333" s="25">
        <f>IF(B333="","",COUNTIFS(Clients!$H$5:$H$504,B333))</f>
        <v>0</v>
      </c>
      <c r="U333" s="26">
        <f>IF(B333="","",ROUND(T333*ReferralReward-IF(J333="",0,J333),2))</f>
        <v>0</v>
      </c>
      <c r="V333" s="15">
        <f>IF(B333="","",IFERROR(INDEX(Clients!$AM$5:$AM$504,MATCH(B333,Clients!$A$5:$A$504,0))&amp;"",""))</f>
        <v>0</v>
      </c>
      <c r="W333" s="25">
        <f>IF(B333="","",COUNTIFS($P$5:$P$504,"&gt;"&amp;P333)+COUNTIFS($P$5:P333,P333))</f>
        <v>0</v>
      </c>
      <c r="X333" s="39">
        <f>IF(B333="","",IF(K333="No","",IF(COUNTIF($B$5:$B$504,B333)&gt;1,"Duplicate - this client is on twice",IF(Q333&gt;0,"Action - reward ready to give",IF(U333&gt;0.004,"Action - referral credit owed",IF(V333="Lapsing","Chase - points are a reason to call",IF(S333&lt;=RewardAt*0.2,"Rebook - nearly at a reward","OK")))))))</f>
        <v>0</v>
      </c>
    </row>
    <row r="334" spans="1:24">
      <c r="A334" s="28">
        <f>IF(B334="","",LoyaltyPrefix&amp;TEXT(ROW()-4,"0000"))</f>
        <v>0</v>
      </c>
      <c r="C334" s="15">
        <f>IF(B334="","",IFERROR(INDEX(Clients!$B$5:$B$504,MATCH(B334,Clients!$A$5:$A$504,0)),"Not in Clients"))</f>
        <v>0</v>
      </c>
      <c r="M334" s="26">
        <f>IF(B334="","",ROUND(SUMIFS(Sales!$Y$5:$Y$1204,Sales!$D$5:$D$1204,B334,Sales!$B$5:$B$1204,"&gt;="&amp;IF(D334="",0,D334)),2))</f>
        <v>0</v>
      </c>
      <c r="N334" s="25">
        <f>IF(B334="","",IFERROR(INDEX(Clients!$T$5:$T$504,MATCH(B334,Clients!$A$5:$A$504,0))*1,0))</f>
        <v>0</v>
      </c>
      <c r="O334" s="25">
        <f>IF(B334="","",ROUND(M334*PointsPerUnit+IF(F334="",0,F334),0))</f>
        <v>0</v>
      </c>
      <c r="P334" s="25">
        <f>IF(B334="","",O334-IF(G334="",0,G334))</f>
        <v>0</v>
      </c>
      <c r="Q334" s="25">
        <f>IF(B334="","",IF(RewardAt&lt;=0,0,ROUNDDOWN(P334/RewardAt,0)))</f>
        <v>0</v>
      </c>
      <c r="R334" s="26">
        <f>IF(B334="","",ROUND(Q334*RewardValue,2))</f>
        <v>0</v>
      </c>
      <c r="S334" s="25">
        <f>IF(B334="","",IF(RewardAt&lt;=0,"",MAX(0,RewardAt*(Q334+1)-P334)))</f>
        <v>0</v>
      </c>
      <c r="T334" s="25">
        <f>IF(B334="","",COUNTIFS(Clients!$H$5:$H$504,B334))</f>
        <v>0</v>
      </c>
      <c r="U334" s="26">
        <f>IF(B334="","",ROUND(T334*ReferralReward-IF(J334="",0,J334),2))</f>
        <v>0</v>
      </c>
      <c r="V334" s="15">
        <f>IF(B334="","",IFERROR(INDEX(Clients!$AM$5:$AM$504,MATCH(B334,Clients!$A$5:$A$504,0))&amp;"",""))</f>
        <v>0</v>
      </c>
      <c r="W334" s="25">
        <f>IF(B334="","",COUNTIFS($P$5:$P$504,"&gt;"&amp;P334)+COUNTIFS($P$5:P334,P334))</f>
        <v>0</v>
      </c>
      <c r="X334" s="39">
        <f>IF(B334="","",IF(K334="No","",IF(COUNTIF($B$5:$B$504,B334)&gt;1,"Duplicate - this client is on twice",IF(Q334&gt;0,"Action - reward ready to give",IF(U334&gt;0.004,"Action - referral credit owed",IF(V334="Lapsing","Chase - points are a reason to call",IF(S334&lt;=RewardAt*0.2,"Rebook - nearly at a reward","OK")))))))</f>
        <v>0</v>
      </c>
    </row>
    <row r="335" spans="1:24">
      <c r="A335" s="28">
        <f>IF(B335="","",LoyaltyPrefix&amp;TEXT(ROW()-4,"0000"))</f>
        <v>0</v>
      </c>
      <c r="C335" s="15">
        <f>IF(B335="","",IFERROR(INDEX(Clients!$B$5:$B$504,MATCH(B335,Clients!$A$5:$A$504,0)),"Not in Clients"))</f>
        <v>0</v>
      </c>
      <c r="M335" s="26">
        <f>IF(B335="","",ROUND(SUMIFS(Sales!$Y$5:$Y$1204,Sales!$D$5:$D$1204,B335,Sales!$B$5:$B$1204,"&gt;="&amp;IF(D335="",0,D335)),2))</f>
        <v>0</v>
      </c>
      <c r="N335" s="25">
        <f>IF(B335="","",IFERROR(INDEX(Clients!$T$5:$T$504,MATCH(B335,Clients!$A$5:$A$504,0))*1,0))</f>
        <v>0</v>
      </c>
      <c r="O335" s="25">
        <f>IF(B335="","",ROUND(M335*PointsPerUnit+IF(F335="",0,F335),0))</f>
        <v>0</v>
      </c>
      <c r="P335" s="25">
        <f>IF(B335="","",O335-IF(G335="",0,G335))</f>
        <v>0</v>
      </c>
      <c r="Q335" s="25">
        <f>IF(B335="","",IF(RewardAt&lt;=0,0,ROUNDDOWN(P335/RewardAt,0)))</f>
        <v>0</v>
      </c>
      <c r="R335" s="26">
        <f>IF(B335="","",ROUND(Q335*RewardValue,2))</f>
        <v>0</v>
      </c>
      <c r="S335" s="25">
        <f>IF(B335="","",IF(RewardAt&lt;=0,"",MAX(0,RewardAt*(Q335+1)-P335)))</f>
        <v>0</v>
      </c>
      <c r="T335" s="25">
        <f>IF(B335="","",COUNTIFS(Clients!$H$5:$H$504,B335))</f>
        <v>0</v>
      </c>
      <c r="U335" s="26">
        <f>IF(B335="","",ROUND(T335*ReferralReward-IF(J335="",0,J335),2))</f>
        <v>0</v>
      </c>
      <c r="V335" s="15">
        <f>IF(B335="","",IFERROR(INDEX(Clients!$AM$5:$AM$504,MATCH(B335,Clients!$A$5:$A$504,0))&amp;"",""))</f>
        <v>0</v>
      </c>
      <c r="W335" s="25">
        <f>IF(B335="","",COUNTIFS($P$5:$P$504,"&gt;"&amp;P335)+COUNTIFS($P$5:P335,P335))</f>
        <v>0</v>
      </c>
      <c r="X335" s="39">
        <f>IF(B335="","",IF(K335="No","",IF(COUNTIF($B$5:$B$504,B335)&gt;1,"Duplicate - this client is on twice",IF(Q335&gt;0,"Action - reward ready to give",IF(U335&gt;0.004,"Action - referral credit owed",IF(V335="Lapsing","Chase - points are a reason to call",IF(S335&lt;=RewardAt*0.2,"Rebook - nearly at a reward","OK")))))))</f>
        <v>0</v>
      </c>
    </row>
    <row r="336" spans="1:24">
      <c r="A336" s="28">
        <f>IF(B336="","",LoyaltyPrefix&amp;TEXT(ROW()-4,"0000"))</f>
        <v>0</v>
      </c>
      <c r="C336" s="15">
        <f>IF(B336="","",IFERROR(INDEX(Clients!$B$5:$B$504,MATCH(B336,Clients!$A$5:$A$504,0)),"Not in Clients"))</f>
        <v>0</v>
      </c>
      <c r="M336" s="26">
        <f>IF(B336="","",ROUND(SUMIFS(Sales!$Y$5:$Y$1204,Sales!$D$5:$D$1204,B336,Sales!$B$5:$B$1204,"&gt;="&amp;IF(D336="",0,D336)),2))</f>
        <v>0</v>
      </c>
      <c r="N336" s="25">
        <f>IF(B336="","",IFERROR(INDEX(Clients!$T$5:$T$504,MATCH(B336,Clients!$A$5:$A$504,0))*1,0))</f>
        <v>0</v>
      </c>
      <c r="O336" s="25">
        <f>IF(B336="","",ROUND(M336*PointsPerUnit+IF(F336="",0,F336),0))</f>
        <v>0</v>
      </c>
      <c r="P336" s="25">
        <f>IF(B336="","",O336-IF(G336="",0,G336))</f>
        <v>0</v>
      </c>
      <c r="Q336" s="25">
        <f>IF(B336="","",IF(RewardAt&lt;=0,0,ROUNDDOWN(P336/RewardAt,0)))</f>
        <v>0</v>
      </c>
      <c r="R336" s="26">
        <f>IF(B336="","",ROUND(Q336*RewardValue,2))</f>
        <v>0</v>
      </c>
      <c r="S336" s="25">
        <f>IF(B336="","",IF(RewardAt&lt;=0,"",MAX(0,RewardAt*(Q336+1)-P336)))</f>
        <v>0</v>
      </c>
      <c r="T336" s="25">
        <f>IF(B336="","",COUNTIFS(Clients!$H$5:$H$504,B336))</f>
        <v>0</v>
      </c>
      <c r="U336" s="26">
        <f>IF(B336="","",ROUND(T336*ReferralReward-IF(J336="",0,J336),2))</f>
        <v>0</v>
      </c>
      <c r="V336" s="15">
        <f>IF(B336="","",IFERROR(INDEX(Clients!$AM$5:$AM$504,MATCH(B336,Clients!$A$5:$A$504,0))&amp;"",""))</f>
        <v>0</v>
      </c>
      <c r="W336" s="25">
        <f>IF(B336="","",COUNTIFS($P$5:$P$504,"&gt;"&amp;P336)+COUNTIFS($P$5:P336,P336))</f>
        <v>0</v>
      </c>
      <c r="X336" s="39">
        <f>IF(B336="","",IF(K336="No","",IF(COUNTIF($B$5:$B$504,B336)&gt;1,"Duplicate - this client is on twice",IF(Q336&gt;0,"Action - reward ready to give",IF(U336&gt;0.004,"Action - referral credit owed",IF(V336="Lapsing","Chase - points are a reason to call",IF(S336&lt;=RewardAt*0.2,"Rebook - nearly at a reward","OK")))))))</f>
        <v>0</v>
      </c>
    </row>
    <row r="337" spans="1:24">
      <c r="A337" s="28">
        <f>IF(B337="","",LoyaltyPrefix&amp;TEXT(ROW()-4,"0000"))</f>
        <v>0</v>
      </c>
      <c r="C337" s="15">
        <f>IF(B337="","",IFERROR(INDEX(Clients!$B$5:$B$504,MATCH(B337,Clients!$A$5:$A$504,0)),"Not in Clients"))</f>
        <v>0</v>
      </c>
      <c r="M337" s="26">
        <f>IF(B337="","",ROUND(SUMIFS(Sales!$Y$5:$Y$1204,Sales!$D$5:$D$1204,B337,Sales!$B$5:$B$1204,"&gt;="&amp;IF(D337="",0,D337)),2))</f>
        <v>0</v>
      </c>
      <c r="N337" s="25">
        <f>IF(B337="","",IFERROR(INDEX(Clients!$T$5:$T$504,MATCH(B337,Clients!$A$5:$A$504,0))*1,0))</f>
        <v>0</v>
      </c>
      <c r="O337" s="25">
        <f>IF(B337="","",ROUND(M337*PointsPerUnit+IF(F337="",0,F337),0))</f>
        <v>0</v>
      </c>
      <c r="P337" s="25">
        <f>IF(B337="","",O337-IF(G337="",0,G337))</f>
        <v>0</v>
      </c>
      <c r="Q337" s="25">
        <f>IF(B337="","",IF(RewardAt&lt;=0,0,ROUNDDOWN(P337/RewardAt,0)))</f>
        <v>0</v>
      </c>
      <c r="R337" s="26">
        <f>IF(B337="","",ROUND(Q337*RewardValue,2))</f>
        <v>0</v>
      </c>
      <c r="S337" s="25">
        <f>IF(B337="","",IF(RewardAt&lt;=0,"",MAX(0,RewardAt*(Q337+1)-P337)))</f>
        <v>0</v>
      </c>
      <c r="T337" s="25">
        <f>IF(B337="","",COUNTIFS(Clients!$H$5:$H$504,B337))</f>
        <v>0</v>
      </c>
      <c r="U337" s="26">
        <f>IF(B337="","",ROUND(T337*ReferralReward-IF(J337="",0,J337),2))</f>
        <v>0</v>
      </c>
      <c r="V337" s="15">
        <f>IF(B337="","",IFERROR(INDEX(Clients!$AM$5:$AM$504,MATCH(B337,Clients!$A$5:$A$504,0))&amp;"",""))</f>
        <v>0</v>
      </c>
      <c r="W337" s="25">
        <f>IF(B337="","",COUNTIFS($P$5:$P$504,"&gt;"&amp;P337)+COUNTIFS($P$5:P337,P337))</f>
        <v>0</v>
      </c>
      <c r="X337" s="39">
        <f>IF(B337="","",IF(K337="No","",IF(COUNTIF($B$5:$B$504,B337)&gt;1,"Duplicate - this client is on twice",IF(Q337&gt;0,"Action - reward ready to give",IF(U337&gt;0.004,"Action - referral credit owed",IF(V337="Lapsing","Chase - points are a reason to call",IF(S337&lt;=RewardAt*0.2,"Rebook - nearly at a reward","OK")))))))</f>
        <v>0</v>
      </c>
    </row>
    <row r="338" spans="1:24">
      <c r="A338" s="28">
        <f>IF(B338="","",LoyaltyPrefix&amp;TEXT(ROW()-4,"0000"))</f>
        <v>0</v>
      </c>
      <c r="C338" s="15">
        <f>IF(B338="","",IFERROR(INDEX(Clients!$B$5:$B$504,MATCH(B338,Clients!$A$5:$A$504,0)),"Not in Clients"))</f>
        <v>0</v>
      </c>
      <c r="M338" s="26">
        <f>IF(B338="","",ROUND(SUMIFS(Sales!$Y$5:$Y$1204,Sales!$D$5:$D$1204,B338,Sales!$B$5:$B$1204,"&gt;="&amp;IF(D338="",0,D338)),2))</f>
        <v>0</v>
      </c>
      <c r="N338" s="25">
        <f>IF(B338="","",IFERROR(INDEX(Clients!$T$5:$T$504,MATCH(B338,Clients!$A$5:$A$504,0))*1,0))</f>
        <v>0</v>
      </c>
      <c r="O338" s="25">
        <f>IF(B338="","",ROUND(M338*PointsPerUnit+IF(F338="",0,F338),0))</f>
        <v>0</v>
      </c>
      <c r="P338" s="25">
        <f>IF(B338="","",O338-IF(G338="",0,G338))</f>
        <v>0</v>
      </c>
      <c r="Q338" s="25">
        <f>IF(B338="","",IF(RewardAt&lt;=0,0,ROUNDDOWN(P338/RewardAt,0)))</f>
        <v>0</v>
      </c>
      <c r="R338" s="26">
        <f>IF(B338="","",ROUND(Q338*RewardValue,2))</f>
        <v>0</v>
      </c>
      <c r="S338" s="25">
        <f>IF(B338="","",IF(RewardAt&lt;=0,"",MAX(0,RewardAt*(Q338+1)-P338)))</f>
        <v>0</v>
      </c>
      <c r="T338" s="25">
        <f>IF(B338="","",COUNTIFS(Clients!$H$5:$H$504,B338))</f>
        <v>0</v>
      </c>
      <c r="U338" s="26">
        <f>IF(B338="","",ROUND(T338*ReferralReward-IF(J338="",0,J338),2))</f>
        <v>0</v>
      </c>
      <c r="V338" s="15">
        <f>IF(B338="","",IFERROR(INDEX(Clients!$AM$5:$AM$504,MATCH(B338,Clients!$A$5:$A$504,0))&amp;"",""))</f>
        <v>0</v>
      </c>
      <c r="W338" s="25">
        <f>IF(B338="","",COUNTIFS($P$5:$P$504,"&gt;"&amp;P338)+COUNTIFS($P$5:P338,P338))</f>
        <v>0</v>
      </c>
      <c r="X338" s="39">
        <f>IF(B338="","",IF(K338="No","",IF(COUNTIF($B$5:$B$504,B338)&gt;1,"Duplicate - this client is on twice",IF(Q338&gt;0,"Action - reward ready to give",IF(U338&gt;0.004,"Action - referral credit owed",IF(V338="Lapsing","Chase - points are a reason to call",IF(S338&lt;=RewardAt*0.2,"Rebook - nearly at a reward","OK")))))))</f>
        <v>0</v>
      </c>
    </row>
    <row r="339" spans="1:24">
      <c r="A339" s="28">
        <f>IF(B339="","",LoyaltyPrefix&amp;TEXT(ROW()-4,"0000"))</f>
        <v>0</v>
      </c>
      <c r="C339" s="15">
        <f>IF(B339="","",IFERROR(INDEX(Clients!$B$5:$B$504,MATCH(B339,Clients!$A$5:$A$504,0)),"Not in Clients"))</f>
        <v>0</v>
      </c>
      <c r="M339" s="26">
        <f>IF(B339="","",ROUND(SUMIFS(Sales!$Y$5:$Y$1204,Sales!$D$5:$D$1204,B339,Sales!$B$5:$B$1204,"&gt;="&amp;IF(D339="",0,D339)),2))</f>
        <v>0</v>
      </c>
      <c r="N339" s="25">
        <f>IF(B339="","",IFERROR(INDEX(Clients!$T$5:$T$504,MATCH(B339,Clients!$A$5:$A$504,0))*1,0))</f>
        <v>0</v>
      </c>
      <c r="O339" s="25">
        <f>IF(B339="","",ROUND(M339*PointsPerUnit+IF(F339="",0,F339),0))</f>
        <v>0</v>
      </c>
      <c r="P339" s="25">
        <f>IF(B339="","",O339-IF(G339="",0,G339))</f>
        <v>0</v>
      </c>
      <c r="Q339" s="25">
        <f>IF(B339="","",IF(RewardAt&lt;=0,0,ROUNDDOWN(P339/RewardAt,0)))</f>
        <v>0</v>
      </c>
      <c r="R339" s="26">
        <f>IF(B339="","",ROUND(Q339*RewardValue,2))</f>
        <v>0</v>
      </c>
      <c r="S339" s="25">
        <f>IF(B339="","",IF(RewardAt&lt;=0,"",MAX(0,RewardAt*(Q339+1)-P339)))</f>
        <v>0</v>
      </c>
      <c r="T339" s="25">
        <f>IF(B339="","",COUNTIFS(Clients!$H$5:$H$504,B339))</f>
        <v>0</v>
      </c>
      <c r="U339" s="26">
        <f>IF(B339="","",ROUND(T339*ReferralReward-IF(J339="",0,J339),2))</f>
        <v>0</v>
      </c>
      <c r="V339" s="15">
        <f>IF(B339="","",IFERROR(INDEX(Clients!$AM$5:$AM$504,MATCH(B339,Clients!$A$5:$A$504,0))&amp;"",""))</f>
        <v>0</v>
      </c>
      <c r="W339" s="25">
        <f>IF(B339="","",COUNTIFS($P$5:$P$504,"&gt;"&amp;P339)+COUNTIFS($P$5:P339,P339))</f>
        <v>0</v>
      </c>
      <c r="X339" s="39">
        <f>IF(B339="","",IF(K339="No","",IF(COUNTIF($B$5:$B$504,B339)&gt;1,"Duplicate - this client is on twice",IF(Q339&gt;0,"Action - reward ready to give",IF(U339&gt;0.004,"Action - referral credit owed",IF(V339="Lapsing","Chase - points are a reason to call",IF(S339&lt;=RewardAt*0.2,"Rebook - nearly at a reward","OK")))))))</f>
        <v>0</v>
      </c>
    </row>
    <row r="340" spans="1:24">
      <c r="A340" s="28">
        <f>IF(B340="","",LoyaltyPrefix&amp;TEXT(ROW()-4,"0000"))</f>
        <v>0</v>
      </c>
      <c r="C340" s="15">
        <f>IF(B340="","",IFERROR(INDEX(Clients!$B$5:$B$504,MATCH(B340,Clients!$A$5:$A$504,0)),"Not in Clients"))</f>
        <v>0</v>
      </c>
      <c r="M340" s="26">
        <f>IF(B340="","",ROUND(SUMIFS(Sales!$Y$5:$Y$1204,Sales!$D$5:$D$1204,B340,Sales!$B$5:$B$1204,"&gt;="&amp;IF(D340="",0,D340)),2))</f>
        <v>0</v>
      </c>
      <c r="N340" s="25">
        <f>IF(B340="","",IFERROR(INDEX(Clients!$T$5:$T$504,MATCH(B340,Clients!$A$5:$A$504,0))*1,0))</f>
        <v>0</v>
      </c>
      <c r="O340" s="25">
        <f>IF(B340="","",ROUND(M340*PointsPerUnit+IF(F340="",0,F340),0))</f>
        <v>0</v>
      </c>
      <c r="P340" s="25">
        <f>IF(B340="","",O340-IF(G340="",0,G340))</f>
        <v>0</v>
      </c>
      <c r="Q340" s="25">
        <f>IF(B340="","",IF(RewardAt&lt;=0,0,ROUNDDOWN(P340/RewardAt,0)))</f>
        <v>0</v>
      </c>
      <c r="R340" s="26">
        <f>IF(B340="","",ROUND(Q340*RewardValue,2))</f>
        <v>0</v>
      </c>
      <c r="S340" s="25">
        <f>IF(B340="","",IF(RewardAt&lt;=0,"",MAX(0,RewardAt*(Q340+1)-P340)))</f>
        <v>0</v>
      </c>
      <c r="T340" s="25">
        <f>IF(B340="","",COUNTIFS(Clients!$H$5:$H$504,B340))</f>
        <v>0</v>
      </c>
      <c r="U340" s="26">
        <f>IF(B340="","",ROUND(T340*ReferralReward-IF(J340="",0,J340),2))</f>
        <v>0</v>
      </c>
      <c r="V340" s="15">
        <f>IF(B340="","",IFERROR(INDEX(Clients!$AM$5:$AM$504,MATCH(B340,Clients!$A$5:$A$504,0))&amp;"",""))</f>
        <v>0</v>
      </c>
      <c r="W340" s="25">
        <f>IF(B340="","",COUNTIFS($P$5:$P$504,"&gt;"&amp;P340)+COUNTIFS($P$5:P340,P340))</f>
        <v>0</v>
      </c>
      <c r="X340" s="39">
        <f>IF(B340="","",IF(K340="No","",IF(COUNTIF($B$5:$B$504,B340)&gt;1,"Duplicate - this client is on twice",IF(Q340&gt;0,"Action - reward ready to give",IF(U340&gt;0.004,"Action - referral credit owed",IF(V340="Lapsing","Chase - points are a reason to call",IF(S340&lt;=RewardAt*0.2,"Rebook - nearly at a reward","OK")))))))</f>
        <v>0</v>
      </c>
    </row>
    <row r="341" spans="1:24">
      <c r="A341" s="28">
        <f>IF(B341="","",LoyaltyPrefix&amp;TEXT(ROW()-4,"0000"))</f>
        <v>0</v>
      </c>
      <c r="C341" s="15">
        <f>IF(B341="","",IFERROR(INDEX(Clients!$B$5:$B$504,MATCH(B341,Clients!$A$5:$A$504,0)),"Not in Clients"))</f>
        <v>0</v>
      </c>
      <c r="M341" s="26">
        <f>IF(B341="","",ROUND(SUMIFS(Sales!$Y$5:$Y$1204,Sales!$D$5:$D$1204,B341,Sales!$B$5:$B$1204,"&gt;="&amp;IF(D341="",0,D341)),2))</f>
        <v>0</v>
      </c>
      <c r="N341" s="25">
        <f>IF(B341="","",IFERROR(INDEX(Clients!$T$5:$T$504,MATCH(B341,Clients!$A$5:$A$504,0))*1,0))</f>
        <v>0</v>
      </c>
      <c r="O341" s="25">
        <f>IF(B341="","",ROUND(M341*PointsPerUnit+IF(F341="",0,F341),0))</f>
        <v>0</v>
      </c>
      <c r="P341" s="25">
        <f>IF(B341="","",O341-IF(G341="",0,G341))</f>
        <v>0</v>
      </c>
      <c r="Q341" s="25">
        <f>IF(B341="","",IF(RewardAt&lt;=0,0,ROUNDDOWN(P341/RewardAt,0)))</f>
        <v>0</v>
      </c>
      <c r="R341" s="26">
        <f>IF(B341="","",ROUND(Q341*RewardValue,2))</f>
        <v>0</v>
      </c>
      <c r="S341" s="25">
        <f>IF(B341="","",IF(RewardAt&lt;=0,"",MAX(0,RewardAt*(Q341+1)-P341)))</f>
        <v>0</v>
      </c>
      <c r="T341" s="25">
        <f>IF(B341="","",COUNTIFS(Clients!$H$5:$H$504,B341))</f>
        <v>0</v>
      </c>
      <c r="U341" s="26">
        <f>IF(B341="","",ROUND(T341*ReferralReward-IF(J341="",0,J341),2))</f>
        <v>0</v>
      </c>
      <c r="V341" s="15">
        <f>IF(B341="","",IFERROR(INDEX(Clients!$AM$5:$AM$504,MATCH(B341,Clients!$A$5:$A$504,0))&amp;"",""))</f>
        <v>0</v>
      </c>
      <c r="W341" s="25">
        <f>IF(B341="","",COUNTIFS($P$5:$P$504,"&gt;"&amp;P341)+COUNTIFS($P$5:P341,P341))</f>
        <v>0</v>
      </c>
      <c r="X341" s="39">
        <f>IF(B341="","",IF(K341="No","",IF(COUNTIF($B$5:$B$504,B341)&gt;1,"Duplicate - this client is on twice",IF(Q341&gt;0,"Action - reward ready to give",IF(U341&gt;0.004,"Action - referral credit owed",IF(V341="Lapsing","Chase - points are a reason to call",IF(S341&lt;=RewardAt*0.2,"Rebook - nearly at a reward","OK")))))))</f>
        <v>0</v>
      </c>
    </row>
    <row r="342" spans="1:24">
      <c r="A342" s="28">
        <f>IF(B342="","",LoyaltyPrefix&amp;TEXT(ROW()-4,"0000"))</f>
        <v>0</v>
      </c>
      <c r="C342" s="15">
        <f>IF(B342="","",IFERROR(INDEX(Clients!$B$5:$B$504,MATCH(B342,Clients!$A$5:$A$504,0)),"Not in Clients"))</f>
        <v>0</v>
      </c>
      <c r="M342" s="26">
        <f>IF(B342="","",ROUND(SUMIFS(Sales!$Y$5:$Y$1204,Sales!$D$5:$D$1204,B342,Sales!$B$5:$B$1204,"&gt;="&amp;IF(D342="",0,D342)),2))</f>
        <v>0</v>
      </c>
      <c r="N342" s="25">
        <f>IF(B342="","",IFERROR(INDEX(Clients!$T$5:$T$504,MATCH(B342,Clients!$A$5:$A$504,0))*1,0))</f>
        <v>0</v>
      </c>
      <c r="O342" s="25">
        <f>IF(B342="","",ROUND(M342*PointsPerUnit+IF(F342="",0,F342),0))</f>
        <v>0</v>
      </c>
      <c r="P342" s="25">
        <f>IF(B342="","",O342-IF(G342="",0,G342))</f>
        <v>0</v>
      </c>
      <c r="Q342" s="25">
        <f>IF(B342="","",IF(RewardAt&lt;=0,0,ROUNDDOWN(P342/RewardAt,0)))</f>
        <v>0</v>
      </c>
      <c r="R342" s="26">
        <f>IF(B342="","",ROUND(Q342*RewardValue,2))</f>
        <v>0</v>
      </c>
      <c r="S342" s="25">
        <f>IF(B342="","",IF(RewardAt&lt;=0,"",MAX(0,RewardAt*(Q342+1)-P342)))</f>
        <v>0</v>
      </c>
      <c r="T342" s="25">
        <f>IF(B342="","",COUNTIFS(Clients!$H$5:$H$504,B342))</f>
        <v>0</v>
      </c>
      <c r="U342" s="26">
        <f>IF(B342="","",ROUND(T342*ReferralReward-IF(J342="",0,J342),2))</f>
        <v>0</v>
      </c>
      <c r="V342" s="15">
        <f>IF(B342="","",IFERROR(INDEX(Clients!$AM$5:$AM$504,MATCH(B342,Clients!$A$5:$A$504,0))&amp;"",""))</f>
        <v>0</v>
      </c>
      <c r="W342" s="25">
        <f>IF(B342="","",COUNTIFS($P$5:$P$504,"&gt;"&amp;P342)+COUNTIFS($P$5:P342,P342))</f>
        <v>0</v>
      </c>
      <c r="X342" s="39">
        <f>IF(B342="","",IF(K342="No","",IF(COUNTIF($B$5:$B$504,B342)&gt;1,"Duplicate - this client is on twice",IF(Q342&gt;0,"Action - reward ready to give",IF(U342&gt;0.004,"Action - referral credit owed",IF(V342="Lapsing","Chase - points are a reason to call",IF(S342&lt;=RewardAt*0.2,"Rebook - nearly at a reward","OK")))))))</f>
        <v>0</v>
      </c>
    </row>
    <row r="343" spans="1:24">
      <c r="A343" s="28">
        <f>IF(B343="","",LoyaltyPrefix&amp;TEXT(ROW()-4,"0000"))</f>
        <v>0</v>
      </c>
      <c r="C343" s="15">
        <f>IF(B343="","",IFERROR(INDEX(Clients!$B$5:$B$504,MATCH(B343,Clients!$A$5:$A$504,0)),"Not in Clients"))</f>
        <v>0</v>
      </c>
      <c r="M343" s="26">
        <f>IF(B343="","",ROUND(SUMIFS(Sales!$Y$5:$Y$1204,Sales!$D$5:$D$1204,B343,Sales!$B$5:$B$1204,"&gt;="&amp;IF(D343="",0,D343)),2))</f>
        <v>0</v>
      </c>
      <c r="N343" s="25">
        <f>IF(B343="","",IFERROR(INDEX(Clients!$T$5:$T$504,MATCH(B343,Clients!$A$5:$A$504,0))*1,0))</f>
        <v>0</v>
      </c>
      <c r="O343" s="25">
        <f>IF(B343="","",ROUND(M343*PointsPerUnit+IF(F343="",0,F343),0))</f>
        <v>0</v>
      </c>
      <c r="P343" s="25">
        <f>IF(B343="","",O343-IF(G343="",0,G343))</f>
        <v>0</v>
      </c>
      <c r="Q343" s="25">
        <f>IF(B343="","",IF(RewardAt&lt;=0,0,ROUNDDOWN(P343/RewardAt,0)))</f>
        <v>0</v>
      </c>
      <c r="R343" s="26">
        <f>IF(B343="","",ROUND(Q343*RewardValue,2))</f>
        <v>0</v>
      </c>
      <c r="S343" s="25">
        <f>IF(B343="","",IF(RewardAt&lt;=0,"",MAX(0,RewardAt*(Q343+1)-P343)))</f>
        <v>0</v>
      </c>
      <c r="T343" s="25">
        <f>IF(B343="","",COUNTIFS(Clients!$H$5:$H$504,B343))</f>
        <v>0</v>
      </c>
      <c r="U343" s="26">
        <f>IF(B343="","",ROUND(T343*ReferralReward-IF(J343="",0,J343),2))</f>
        <v>0</v>
      </c>
      <c r="V343" s="15">
        <f>IF(B343="","",IFERROR(INDEX(Clients!$AM$5:$AM$504,MATCH(B343,Clients!$A$5:$A$504,0))&amp;"",""))</f>
        <v>0</v>
      </c>
      <c r="W343" s="25">
        <f>IF(B343="","",COUNTIFS($P$5:$P$504,"&gt;"&amp;P343)+COUNTIFS($P$5:P343,P343))</f>
        <v>0</v>
      </c>
      <c r="X343" s="39">
        <f>IF(B343="","",IF(K343="No","",IF(COUNTIF($B$5:$B$504,B343)&gt;1,"Duplicate - this client is on twice",IF(Q343&gt;0,"Action - reward ready to give",IF(U343&gt;0.004,"Action - referral credit owed",IF(V343="Lapsing","Chase - points are a reason to call",IF(S343&lt;=RewardAt*0.2,"Rebook - nearly at a reward","OK")))))))</f>
        <v>0</v>
      </c>
    </row>
    <row r="344" spans="1:24">
      <c r="A344" s="28">
        <f>IF(B344="","",LoyaltyPrefix&amp;TEXT(ROW()-4,"0000"))</f>
        <v>0</v>
      </c>
      <c r="C344" s="15">
        <f>IF(B344="","",IFERROR(INDEX(Clients!$B$5:$B$504,MATCH(B344,Clients!$A$5:$A$504,0)),"Not in Clients"))</f>
        <v>0</v>
      </c>
      <c r="M344" s="26">
        <f>IF(B344="","",ROUND(SUMIFS(Sales!$Y$5:$Y$1204,Sales!$D$5:$D$1204,B344,Sales!$B$5:$B$1204,"&gt;="&amp;IF(D344="",0,D344)),2))</f>
        <v>0</v>
      </c>
      <c r="N344" s="25">
        <f>IF(B344="","",IFERROR(INDEX(Clients!$T$5:$T$504,MATCH(B344,Clients!$A$5:$A$504,0))*1,0))</f>
        <v>0</v>
      </c>
      <c r="O344" s="25">
        <f>IF(B344="","",ROUND(M344*PointsPerUnit+IF(F344="",0,F344),0))</f>
        <v>0</v>
      </c>
      <c r="P344" s="25">
        <f>IF(B344="","",O344-IF(G344="",0,G344))</f>
        <v>0</v>
      </c>
      <c r="Q344" s="25">
        <f>IF(B344="","",IF(RewardAt&lt;=0,0,ROUNDDOWN(P344/RewardAt,0)))</f>
        <v>0</v>
      </c>
      <c r="R344" s="26">
        <f>IF(B344="","",ROUND(Q344*RewardValue,2))</f>
        <v>0</v>
      </c>
      <c r="S344" s="25">
        <f>IF(B344="","",IF(RewardAt&lt;=0,"",MAX(0,RewardAt*(Q344+1)-P344)))</f>
        <v>0</v>
      </c>
      <c r="T344" s="25">
        <f>IF(B344="","",COUNTIFS(Clients!$H$5:$H$504,B344))</f>
        <v>0</v>
      </c>
      <c r="U344" s="26">
        <f>IF(B344="","",ROUND(T344*ReferralReward-IF(J344="",0,J344),2))</f>
        <v>0</v>
      </c>
      <c r="V344" s="15">
        <f>IF(B344="","",IFERROR(INDEX(Clients!$AM$5:$AM$504,MATCH(B344,Clients!$A$5:$A$504,0))&amp;"",""))</f>
        <v>0</v>
      </c>
      <c r="W344" s="25">
        <f>IF(B344="","",COUNTIFS($P$5:$P$504,"&gt;"&amp;P344)+COUNTIFS($P$5:P344,P344))</f>
        <v>0</v>
      </c>
      <c r="X344" s="39">
        <f>IF(B344="","",IF(K344="No","",IF(COUNTIF($B$5:$B$504,B344)&gt;1,"Duplicate - this client is on twice",IF(Q344&gt;0,"Action - reward ready to give",IF(U344&gt;0.004,"Action - referral credit owed",IF(V344="Lapsing","Chase - points are a reason to call",IF(S344&lt;=RewardAt*0.2,"Rebook - nearly at a reward","OK")))))))</f>
        <v>0</v>
      </c>
    </row>
    <row r="345" spans="1:24">
      <c r="A345" s="28">
        <f>IF(B345="","",LoyaltyPrefix&amp;TEXT(ROW()-4,"0000"))</f>
        <v>0</v>
      </c>
      <c r="C345" s="15">
        <f>IF(B345="","",IFERROR(INDEX(Clients!$B$5:$B$504,MATCH(B345,Clients!$A$5:$A$504,0)),"Not in Clients"))</f>
        <v>0</v>
      </c>
      <c r="M345" s="26">
        <f>IF(B345="","",ROUND(SUMIFS(Sales!$Y$5:$Y$1204,Sales!$D$5:$D$1204,B345,Sales!$B$5:$B$1204,"&gt;="&amp;IF(D345="",0,D345)),2))</f>
        <v>0</v>
      </c>
      <c r="N345" s="25">
        <f>IF(B345="","",IFERROR(INDEX(Clients!$T$5:$T$504,MATCH(B345,Clients!$A$5:$A$504,0))*1,0))</f>
        <v>0</v>
      </c>
      <c r="O345" s="25">
        <f>IF(B345="","",ROUND(M345*PointsPerUnit+IF(F345="",0,F345),0))</f>
        <v>0</v>
      </c>
      <c r="P345" s="25">
        <f>IF(B345="","",O345-IF(G345="",0,G345))</f>
        <v>0</v>
      </c>
      <c r="Q345" s="25">
        <f>IF(B345="","",IF(RewardAt&lt;=0,0,ROUNDDOWN(P345/RewardAt,0)))</f>
        <v>0</v>
      </c>
      <c r="R345" s="26">
        <f>IF(B345="","",ROUND(Q345*RewardValue,2))</f>
        <v>0</v>
      </c>
      <c r="S345" s="25">
        <f>IF(B345="","",IF(RewardAt&lt;=0,"",MAX(0,RewardAt*(Q345+1)-P345)))</f>
        <v>0</v>
      </c>
      <c r="T345" s="25">
        <f>IF(B345="","",COUNTIFS(Clients!$H$5:$H$504,B345))</f>
        <v>0</v>
      </c>
      <c r="U345" s="26">
        <f>IF(B345="","",ROUND(T345*ReferralReward-IF(J345="",0,J345),2))</f>
        <v>0</v>
      </c>
      <c r="V345" s="15">
        <f>IF(B345="","",IFERROR(INDEX(Clients!$AM$5:$AM$504,MATCH(B345,Clients!$A$5:$A$504,0))&amp;"",""))</f>
        <v>0</v>
      </c>
      <c r="W345" s="25">
        <f>IF(B345="","",COUNTIFS($P$5:$P$504,"&gt;"&amp;P345)+COUNTIFS($P$5:P345,P345))</f>
        <v>0</v>
      </c>
      <c r="X345" s="39">
        <f>IF(B345="","",IF(K345="No","",IF(COUNTIF($B$5:$B$504,B345)&gt;1,"Duplicate - this client is on twice",IF(Q345&gt;0,"Action - reward ready to give",IF(U345&gt;0.004,"Action - referral credit owed",IF(V345="Lapsing","Chase - points are a reason to call",IF(S345&lt;=RewardAt*0.2,"Rebook - nearly at a reward","OK")))))))</f>
        <v>0</v>
      </c>
    </row>
    <row r="346" spans="1:24">
      <c r="A346" s="28">
        <f>IF(B346="","",LoyaltyPrefix&amp;TEXT(ROW()-4,"0000"))</f>
        <v>0</v>
      </c>
      <c r="C346" s="15">
        <f>IF(B346="","",IFERROR(INDEX(Clients!$B$5:$B$504,MATCH(B346,Clients!$A$5:$A$504,0)),"Not in Clients"))</f>
        <v>0</v>
      </c>
      <c r="M346" s="26">
        <f>IF(B346="","",ROUND(SUMIFS(Sales!$Y$5:$Y$1204,Sales!$D$5:$D$1204,B346,Sales!$B$5:$B$1204,"&gt;="&amp;IF(D346="",0,D346)),2))</f>
        <v>0</v>
      </c>
      <c r="N346" s="25">
        <f>IF(B346="","",IFERROR(INDEX(Clients!$T$5:$T$504,MATCH(B346,Clients!$A$5:$A$504,0))*1,0))</f>
        <v>0</v>
      </c>
      <c r="O346" s="25">
        <f>IF(B346="","",ROUND(M346*PointsPerUnit+IF(F346="",0,F346),0))</f>
        <v>0</v>
      </c>
      <c r="P346" s="25">
        <f>IF(B346="","",O346-IF(G346="",0,G346))</f>
        <v>0</v>
      </c>
      <c r="Q346" s="25">
        <f>IF(B346="","",IF(RewardAt&lt;=0,0,ROUNDDOWN(P346/RewardAt,0)))</f>
        <v>0</v>
      </c>
      <c r="R346" s="26">
        <f>IF(B346="","",ROUND(Q346*RewardValue,2))</f>
        <v>0</v>
      </c>
      <c r="S346" s="25">
        <f>IF(B346="","",IF(RewardAt&lt;=0,"",MAX(0,RewardAt*(Q346+1)-P346)))</f>
        <v>0</v>
      </c>
      <c r="T346" s="25">
        <f>IF(B346="","",COUNTIFS(Clients!$H$5:$H$504,B346))</f>
        <v>0</v>
      </c>
      <c r="U346" s="26">
        <f>IF(B346="","",ROUND(T346*ReferralReward-IF(J346="",0,J346),2))</f>
        <v>0</v>
      </c>
      <c r="V346" s="15">
        <f>IF(B346="","",IFERROR(INDEX(Clients!$AM$5:$AM$504,MATCH(B346,Clients!$A$5:$A$504,0))&amp;"",""))</f>
        <v>0</v>
      </c>
      <c r="W346" s="25">
        <f>IF(B346="","",COUNTIFS($P$5:$P$504,"&gt;"&amp;P346)+COUNTIFS($P$5:P346,P346))</f>
        <v>0</v>
      </c>
      <c r="X346" s="39">
        <f>IF(B346="","",IF(K346="No","",IF(COUNTIF($B$5:$B$504,B346)&gt;1,"Duplicate - this client is on twice",IF(Q346&gt;0,"Action - reward ready to give",IF(U346&gt;0.004,"Action - referral credit owed",IF(V346="Lapsing","Chase - points are a reason to call",IF(S346&lt;=RewardAt*0.2,"Rebook - nearly at a reward","OK")))))))</f>
        <v>0</v>
      </c>
    </row>
    <row r="347" spans="1:24">
      <c r="A347" s="28">
        <f>IF(B347="","",LoyaltyPrefix&amp;TEXT(ROW()-4,"0000"))</f>
        <v>0</v>
      </c>
      <c r="C347" s="15">
        <f>IF(B347="","",IFERROR(INDEX(Clients!$B$5:$B$504,MATCH(B347,Clients!$A$5:$A$504,0)),"Not in Clients"))</f>
        <v>0</v>
      </c>
      <c r="M347" s="26">
        <f>IF(B347="","",ROUND(SUMIFS(Sales!$Y$5:$Y$1204,Sales!$D$5:$D$1204,B347,Sales!$B$5:$B$1204,"&gt;="&amp;IF(D347="",0,D347)),2))</f>
        <v>0</v>
      </c>
      <c r="N347" s="25">
        <f>IF(B347="","",IFERROR(INDEX(Clients!$T$5:$T$504,MATCH(B347,Clients!$A$5:$A$504,0))*1,0))</f>
        <v>0</v>
      </c>
      <c r="O347" s="25">
        <f>IF(B347="","",ROUND(M347*PointsPerUnit+IF(F347="",0,F347),0))</f>
        <v>0</v>
      </c>
      <c r="P347" s="25">
        <f>IF(B347="","",O347-IF(G347="",0,G347))</f>
        <v>0</v>
      </c>
      <c r="Q347" s="25">
        <f>IF(B347="","",IF(RewardAt&lt;=0,0,ROUNDDOWN(P347/RewardAt,0)))</f>
        <v>0</v>
      </c>
      <c r="R347" s="26">
        <f>IF(B347="","",ROUND(Q347*RewardValue,2))</f>
        <v>0</v>
      </c>
      <c r="S347" s="25">
        <f>IF(B347="","",IF(RewardAt&lt;=0,"",MAX(0,RewardAt*(Q347+1)-P347)))</f>
        <v>0</v>
      </c>
      <c r="T347" s="25">
        <f>IF(B347="","",COUNTIFS(Clients!$H$5:$H$504,B347))</f>
        <v>0</v>
      </c>
      <c r="U347" s="26">
        <f>IF(B347="","",ROUND(T347*ReferralReward-IF(J347="",0,J347),2))</f>
        <v>0</v>
      </c>
      <c r="V347" s="15">
        <f>IF(B347="","",IFERROR(INDEX(Clients!$AM$5:$AM$504,MATCH(B347,Clients!$A$5:$A$504,0))&amp;"",""))</f>
        <v>0</v>
      </c>
      <c r="W347" s="25">
        <f>IF(B347="","",COUNTIFS($P$5:$P$504,"&gt;"&amp;P347)+COUNTIFS($P$5:P347,P347))</f>
        <v>0</v>
      </c>
      <c r="X347" s="39">
        <f>IF(B347="","",IF(K347="No","",IF(COUNTIF($B$5:$B$504,B347)&gt;1,"Duplicate - this client is on twice",IF(Q347&gt;0,"Action - reward ready to give",IF(U347&gt;0.004,"Action - referral credit owed",IF(V347="Lapsing","Chase - points are a reason to call",IF(S347&lt;=RewardAt*0.2,"Rebook - nearly at a reward","OK")))))))</f>
        <v>0</v>
      </c>
    </row>
    <row r="348" spans="1:24">
      <c r="A348" s="28">
        <f>IF(B348="","",LoyaltyPrefix&amp;TEXT(ROW()-4,"0000"))</f>
        <v>0</v>
      </c>
      <c r="C348" s="15">
        <f>IF(B348="","",IFERROR(INDEX(Clients!$B$5:$B$504,MATCH(B348,Clients!$A$5:$A$504,0)),"Not in Clients"))</f>
        <v>0</v>
      </c>
      <c r="M348" s="26">
        <f>IF(B348="","",ROUND(SUMIFS(Sales!$Y$5:$Y$1204,Sales!$D$5:$D$1204,B348,Sales!$B$5:$B$1204,"&gt;="&amp;IF(D348="",0,D348)),2))</f>
        <v>0</v>
      </c>
      <c r="N348" s="25">
        <f>IF(B348="","",IFERROR(INDEX(Clients!$T$5:$T$504,MATCH(B348,Clients!$A$5:$A$504,0))*1,0))</f>
        <v>0</v>
      </c>
      <c r="O348" s="25">
        <f>IF(B348="","",ROUND(M348*PointsPerUnit+IF(F348="",0,F348),0))</f>
        <v>0</v>
      </c>
      <c r="P348" s="25">
        <f>IF(B348="","",O348-IF(G348="",0,G348))</f>
        <v>0</v>
      </c>
      <c r="Q348" s="25">
        <f>IF(B348="","",IF(RewardAt&lt;=0,0,ROUNDDOWN(P348/RewardAt,0)))</f>
        <v>0</v>
      </c>
      <c r="R348" s="26">
        <f>IF(B348="","",ROUND(Q348*RewardValue,2))</f>
        <v>0</v>
      </c>
      <c r="S348" s="25">
        <f>IF(B348="","",IF(RewardAt&lt;=0,"",MAX(0,RewardAt*(Q348+1)-P348)))</f>
        <v>0</v>
      </c>
      <c r="T348" s="25">
        <f>IF(B348="","",COUNTIFS(Clients!$H$5:$H$504,B348))</f>
        <v>0</v>
      </c>
      <c r="U348" s="26">
        <f>IF(B348="","",ROUND(T348*ReferralReward-IF(J348="",0,J348),2))</f>
        <v>0</v>
      </c>
      <c r="V348" s="15">
        <f>IF(B348="","",IFERROR(INDEX(Clients!$AM$5:$AM$504,MATCH(B348,Clients!$A$5:$A$504,0))&amp;"",""))</f>
        <v>0</v>
      </c>
      <c r="W348" s="25">
        <f>IF(B348="","",COUNTIFS($P$5:$P$504,"&gt;"&amp;P348)+COUNTIFS($P$5:P348,P348))</f>
        <v>0</v>
      </c>
      <c r="X348" s="39">
        <f>IF(B348="","",IF(K348="No","",IF(COUNTIF($B$5:$B$504,B348)&gt;1,"Duplicate - this client is on twice",IF(Q348&gt;0,"Action - reward ready to give",IF(U348&gt;0.004,"Action - referral credit owed",IF(V348="Lapsing","Chase - points are a reason to call",IF(S348&lt;=RewardAt*0.2,"Rebook - nearly at a reward","OK")))))))</f>
        <v>0</v>
      </c>
    </row>
    <row r="349" spans="1:24">
      <c r="A349" s="28">
        <f>IF(B349="","",LoyaltyPrefix&amp;TEXT(ROW()-4,"0000"))</f>
        <v>0</v>
      </c>
      <c r="C349" s="15">
        <f>IF(B349="","",IFERROR(INDEX(Clients!$B$5:$B$504,MATCH(B349,Clients!$A$5:$A$504,0)),"Not in Clients"))</f>
        <v>0</v>
      </c>
      <c r="M349" s="26">
        <f>IF(B349="","",ROUND(SUMIFS(Sales!$Y$5:$Y$1204,Sales!$D$5:$D$1204,B349,Sales!$B$5:$B$1204,"&gt;="&amp;IF(D349="",0,D349)),2))</f>
        <v>0</v>
      </c>
      <c r="N349" s="25">
        <f>IF(B349="","",IFERROR(INDEX(Clients!$T$5:$T$504,MATCH(B349,Clients!$A$5:$A$504,0))*1,0))</f>
        <v>0</v>
      </c>
      <c r="O349" s="25">
        <f>IF(B349="","",ROUND(M349*PointsPerUnit+IF(F349="",0,F349),0))</f>
        <v>0</v>
      </c>
      <c r="P349" s="25">
        <f>IF(B349="","",O349-IF(G349="",0,G349))</f>
        <v>0</v>
      </c>
      <c r="Q349" s="25">
        <f>IF(B349="","",IF(RewardAt&lt;=0,0,ROUNDDOWN(P349/RewardAt,0)))</f>
        <v>0</v>
      </c>
      <c r="R349" s="26">
        <f>IF(B349="","",ROUND(Q349*RewardValue,2))</f>
        <v>0</v>
      </c>
      <c r="S349" s="25">
        <f>IF(B349="","",IF(RewardAt&lt;=0,"",MAX(0,RewardAt*(Q349+1)-P349)))</f>
        <v>0</v>
      </c>
      <c r="T349" s="25">
        <f>IF(B349="","",COUNTIFS(Clients!$H$5:$H$504,B349))</f>
        <v>0</v>
      </c>
      <c r="U349" s="26">
        <f>IF(B349="","",ROUND(T349*ReferralReward-IF(J349="",0,J349),2))</f>
        <v>0</v>
      </c>
      <c r="V349" s="15">
        <f>IF(B349="","",IFERROR(INDEX(Clients!$AM$5:$AM$504,MATCH(B349,Clients!$A$5:$A$504,0))&amp;"",""))</f>
        <v>0</v>
      </c>
      <c r="W349" s="25">
        <f>IF(B349="","",COUNTIFS($P$5:$P$504,"&gt;"&amp;P349)+COUNTIFS($P$5:P349,P349))</f>
        <v>0</v>
      </c>
      <c r="X349" s="39">
        <f>IF(B349="","",IF(K349="No","",IF(COUNTIF($B$5:$B$504,B349)&gt;1,"Duplicate - this client is on twice",IF(Q349&gt;0,"Action - reward ready to give",IF(U349&gt;0.004,"Action - referral credit owed",IF(V349="Lapsing","Chase - points are a reason to call",IF(S349&lt;=RewardAt*0.2,"Rebook - nearly at a reward","OK")))))))</f>
        <v>0</v>
      </c>
    </row>
    <row r="350" spans="1:24">
      <c r="A350" s="28">
        <f>IF(B350="","",LoyaltyPrefix&amp;TEXT(ROW()-4,"0000"))</f>
        <v>0</v>
      </c>
      <c r="C350" s="15">
        <f>IF(B350="","",IFERROR(INDEX(Clients!$B$5:$B$504,MATCH(B350,Clients!$A$5:$A$504,0)),"Not in Clients"))</f>
        <v>0</v>
      </c>
      <c r="M350" s="26">
        <f>IF(B350="","",ROUND(SUMIFS(Sales!$Y$5:$Y$1204,Sales!$D$5:$D$1204,B350,Sales!$B$5:$B$1204,"&gt;="&amp;IF(D350="",0,D350)),2))</f>
        <v>0</v>
      </c>
      <c r="N350" s="25">
        <f>IF(B350="","",IFERROR(INDEX(Clients!$T$5:$T$504,MATCH(B350,Clients!$A$5:$A$504,0))*1,0))</f>
        <v>0</v>
      </c>
      <c r="O350" s="25">
        <f>IF(B350="","",ROUND(M350*PointsPerUnit+IF(F350="",0,F350),0))</f>
        <v>0</v>
      </c>
      <c r="P350" s="25">
        <f>IF(B350="","",O350-IF(G350="",0,G350))</f>
        <v>0</v>
      </c>
      <c r="Q350" s="25">
        <f>IF(B350="","",IF(RewardAt&lt;=0,0,ROUNDDOWN(P350/RewardAt,0)))</f>
        <v>0</v>
      </c>
      <c r="R350" s="26">
        <f>IF(B350="","",ROUND(Q350*RewardValue,2))</f>
        <v>0</v>
      </c>
      <c r="S350" s="25">
        <f>IF(B350="","",IF(RewardAt&lt;=0,"",MAX(0,RewardAt*(Q350+1)-P350)))</f>
        <v>0</v>
      </c>
      <c r="T350" s="25">
        <f>IF(B350="","",COUNTIFS(Clients!$H$5:$H$504,B350))</f>
        <v>0</v>
      </c>
      <c r="U350" s="26">
        <f>IF(B350="","",ROUND(T350*ReferralReward-IF(J350="",0,J350),2))</f>
        <v>0</v>
      </c>
      <c r="V350" s="15">
        <f>IF(B350="","",IFERROR(INDEX(Clients!$AM$5:$AM$504,MATCH(B350,Clients!$A$5:$A$504,0))&amp;"",""))</f>
        <v>0</v>
      </c>
      <c r="W350" s="25">
        <f>IF(B350="","",COUNTIFS($P$5:$P$504,"&gt;"&amp;P350)+COUNTIFS($P$5:P350,P350))</f>
        <v>0</v>
      </c>
      <c r="X350" s="39">
        <f>IF(B350="","",IF(K350="No","",IF(COUNTIF($B$5:$B$504,B350)&gt;1,"Duplicate - this client is on twice",IF(Q350&gt;0,"Action - reward ready to give",IF(U350&gt;0.004,"Action - referral credit owed",IF(V350="Lapsing","Chase - points are a reason to call",IF(S350&lt;=RewardAt*0.2,"Rebook - nearly at a reward","OK")))))))</f>
        <v>0</v>
      </c>
    </row>
    <row r="351" spans="1:24">
      <c r="A351" s="28">
        <f>IF(B351="","",LoyaltyPrefix&amp;TEXT(ROW()-4,"0000"))</f>
        <v>0</v>
      </c>
      <c r="C351" s="15">
        <f>IF(B351="","",IFERROR(INDEX(Clients!$B$5:$B$504,MATCH(B351,Clients!$A$5:$A$504,0)),"Not in Clients"))</f>
        <v>0</v>
      </c>
      <c r="M351" s="26">
        <f>IF(B351="","",ROUND(SUMIFS(Sales!$Y$5:$Y$1204,Sales!$D$5:$D$1204,B351,Sales!$B$5:$B$1204,"&gt;="&amp;IF(D351="",0,D351)),2))</f>
        <v>0</v>
      </c>
      <c r="N351" s="25">
        <f>IF(B351="","",IFERROR(INDEX(Clients!$T$5:$T$504,MATCH(B351,Clients!$A$5:$A$504,0))*1,0))</f>
        <v>0</v>
      </c>
      <c r="O351" s="25">
        <f>IF(B351="","",ROUND(M351*PointsPerUnit+IF(F351="",0,F351),0))</f>
        <v>0</v>
      </c>
      <c r="P351" s="25">
        <f>IF(B351="","",O351-IF(G351="",0,G351))</f>
        <v>0</v>
      </c>
      <c r="Q351" s="25">
        <f>IF(B351="","",IF(RewardAt&lt;=0,0,ROUNDDOWN(P351/RewardAt,0)))</f>
        <v>0</v>
      </c>
      <c r="R351" s="26">
        <f>IF(B351="","",ROUND(Q351*RewardValue,2))</f>
        <v>0</v>
      </c>
      <c r="S351" s="25">
        <f>IF(B351="","",IF(RewardAt&lt;=0,"",MAX(0,RewardAt*(Q351+1)-P351)))</f>
        <v>0</v>
      </c>
      <c r="T351" s="25">
        <f>IF(B351="","",COUNTIFS(Clients!$H$5:$H$504,B351))</f>
        <v>0</v>
      </c>
      <c r="U351" s="26">
        <f>IF(B351="","",ROUND(T351*ReferralReward-IF(J351="",0,J351),2))</f>
        <v>0</v>
      </c>
      <c r="V351" s="15">
        <f>IF(B351="","",IFERROR(INDEX(Clients!$AM$5:$AM$504,MATCH(B351,Clients!$A$5:$A$504,0))&amp;"",""))</f>
        <v>0</v>
      </c>
      <c r="W351" s="25">
        <f>IF(B351="","",COUNTIFS($P$5:$P$504,"&gt;"&amp;P351)+COUNTIFS($P$5:P351,P351))</f>
        <v>0</v>
      </c>
      <c r="X351" s="39">
        <f>IF(B351="","",IF(K351="No","",IF(COUNTIF($B$5:$B$504,B351)&gt;1,"Duplicate - this client is on twice",IF(Q351&gt;0,"Action - reward ready to give",IF(U351&gt;0.004,"Action - referral credit owed",IF(V351="Lapsing","Chase - points are a reason to call",IF(S351&lt;=RewardAt*0.2,"Rebook - nearly at a reward","OK")))))))</f>
        <v>0</v>
      </c>
    </row>
    <row r="352" spans="1:24">
      <c r="A352" s="28">
        <f>IF(B352="","",LoyaltyPrefix&amp;TEXT(ROW()-4,"0000"))</f>
        <v>0</v>
      </c>
      <c r="C352" s="15">
        <f>IF(B352="","",IFERROR(INDEX(Clients!$B$5:$B$504,MATCH(B352,Clients!$A$5:$A$504,0)),"Not in Clients"))</f>
        <v>0</v>
      </c>
      <c r="M352" s="26">
        <f>IF(B352="","",ROUND(SUMIFS(Sales!$Y$5:$Y$1204,Sales!$D$5:$D$1204,B352,Sales!$B$5:$B$1204,"&gt;="&amp;IF(D352="",0,D352)),2))</f>
        <v>0</v>
      </c>
      <c r="N352" s="25">
        <f>IF(B352="","",IFERROR(INDEX(Clients!$T$5:$T$504,MATCH(B352,Clients!$A$5:$A$504,0))*1,0))</f>
        <v>0</v>
      </c>
      <c r="O352" s="25">
        <f>IF(B352="","",ROUND(M352*PointsPerUnit+IF(F352="",0,F352),0))</f>
        <v>0</v>
      </c>
      <c r="P352" s="25">
        <f>IF(B352="","",O352-IF(G352="",0,G352))</f>
        <v>0</v>
      </c>
      <c r="Q352" s="25">
        <f>IF(B352="","",IF(RewardAt&lt;=0,0,ROUNDDOWN(P352/RewardAt,0)))</f>
        <v>0</v>
      </c>
      <c r="R352" s="26">
        <f>IF(B352="","",ROUND(Q352*RewardValue,2))</f>
        <v>0</v>
      </c>
      <c r="S352" s="25">
        <f>IF(B352="","",IF(RewardAt&lt;=0,"",MAX(0,RewardAt*(Q352+1)-P352)))</f>
        <v>0</v>
      </c>
      <c r="T352" s="25">
        <f>IF(B352="","",COUNTIFS(Clients!$H$5:$H$504,B352))</f>
        <v>0</v>
      </c>
      <c r="U352" s="26">
        <f>IF(B352="","",ROUND(T352*ReferralReward-IF(J352="",0,J352),2))</f>
        <v>0</v>
      </c>
      <c r="V352" s="15">
        <f>IF(B352="","",IFERROR(INDEX(Clients!$AM$5:$AM$504,MATCH(B352,Clients!$A$5:$A$504,0))&amp;"",""))</f>
        <v>0</v>
      </c>
      <c r="W352" s="25">
        <f>IF(B352="","",COUNTIFS($P$5:$P$504,"&gt;"&amp;P352)+COUNTIFS($P$5:P352,P352))</f>
        <v>0</v>
      </c>
      <c r="X352" s="39">
        <f>IF(B352="","",IF(K352="No","",IF(COUNTIF($B$5:$B$504,B352)&gt;1,"Duplicate - this client is on twice",IF(Q352&gt;0,"Action - reward ready to give",IF(U352&gt;0.004,"Action - referral credit owed",IF(V352="Lapsing","Chase - points are a reason to call",IF(S352&lt;=RewardAt*0.2,"Rebook - nearly at a reward","OK")))))))</f>
        <v>0</v>
      </c>
    </row>
    <row r="353" spans="1:24">
      <c r="A353" s="28">
        <f>IF(B353="","",LoyaltyPrefix&amp;TEXT(ROW()-4,"0000"))</f>
        <v>0</v>
      </c>
      <c r="C353" s="15">
        <f>IF(B353="","",IFERROR(INDEX(Clients!$B$5:$B$504,MATCH(B353,Clients!$A$5:$A$504,0)),"Not in Clients"))</f>
        <v>0</v>
      </c>
      <c r="M353" s="26">
        <f>IF(B353="","",ROUND(SUMIFS(Sales!$Y$5:$Y$1204,Sales!$D$5:$D$1204,B353,Sales!$B$5:$B$1204,"&gt;="&amp;IF(D353="",0,D353)),2))</f>
        <v>0</v>
      </c>
      <c r="N353" s="25">
        <f>IF(B353="","",IFERROR(INDEX(Clients!$T$5:$T$504,MATCH(B353,Clients!$A$5:$A$504,0))*1,0))</f>
        <v>0</v>
      </c>
      <c r="O353" s="25">
        <f>IF(B353="","",ROUND(M353*PointsPerUnit+IF(F353="",0,F353),0))</f>
        <v>0</v>
      </c>
      <c r="P353" s="25">
        <f>IF(B353="","",O353-IF(G353="",0,G353))</f>
        <v>0</v>
      </c>
      <c r="Q353" s="25">
        <f>IF(B353="","",IF(RewardAt&lt;=0,0,ROUNDDOWN(P353/RewardAt,0)))</f>
        <v>0</v>
      </c>
      <c r="R353" s="26">
        <f>IF(B353="","",ROUND(Q353*RewardValue,2))</f>
        <v>0</v>
      </c>
      <c r="S353" s="25">
        <f>IF(B353="","",IF(RewardAt&lt;=0,"",MAX(0,RewardAt*(Q353+1)-P353)))</f>
        <v>0</v>
      </c>
      <c r="T353" s="25">
        <f>IF(B353="","",COUNTIFS(Clients!$H$5:$H$504,B353))</f>
        <v>0</v>
      </c>
      <c r="U353" s="26">
        <f>IF(B353="","",ROUND(T353*ReferralReward-IF(J353="",0,J353),2))</f>
        <v>0</v>
      </c>
      <c r="V353" s="15">
        <f>IF(B353="","",IFERROR(INDEX(Clients!$AM$5:$AM$504,MATCH(B353,Clients!$A$5:$A$504,0))&amp;"",""))</f>
        <v>0</v>
      </c>
      <c r="W353" s="25">
        <f>IF(B353="","",COUNTIFS($P$5:$P$504,"&gt;"&amp;P353)+COUNTIFS($P$5:P353,P353))</f>
        <v>0</v>
      </c>
      <c r="X353" s="39">
        <f>IF(B353="","",IF(K353="No","",IF(COUNTIF($B$5:$B$504,B353)&gt;1,"Duplicate - this client is on twice",IF(Q353&gt;0,"Action - reward ready to give",IF(U353&gt;0.004,"Action - referral credit owed",IF(V353="Lapsing","Chase - points are a reason to call",IF(S353&lt;=RewardAt*0.2,"Rebook - nearly at a reward","OK")))))))</f>
        <v>0</v>
      </c>
    </row>
    <row r="354" spans="1:24">
      <c r="A354" s="28">
        <f>IF(B354="","",LoyaltyPrefix&amp;TEXT(ROW()-4,"0000"))</f>
        <v>0</v>
      </c>
      <c r="C354" s="15">
        <f>IF(B354="","",IFERROR(INDEX(Clients!$B$5:$B$504,MATCH(B354,Clients!$A$5:$A$504,0)),"Not in Clients"))</f>
        <v>0</v>
      </c>
      <c r="M354" s="26">
        <f>IF(B354="","",ROUND(SUMIFS(Sales!$Y$5:$Y$1204,Sales!$D$5:$D$1204,B354,Sales!$B$5:$B$1204,"&gt;="&amp;IF(D354="",0,D354)),2))</f>
        <v>0</v>
      </c>
      <c r="N354" s="25">
        <f>IF(B354="","",IFERROR(INDEX(Clients!$T$5:$T$504,MATCH(B354,Clients!$A$5:$A$504,0))*1,0))</f>
        <v>0</v>
      </c>
      <c r="O354" s="25">
        <f>IF(B354="","",ROUND(M354*PointsPerUnit+IF(F354="",0,F354),0))</f>
        <v>0</v>
      </c>
      <c r="P354" s="25">
        <f>IF(B354="","",O354-IF(G354="",0,G354))</f>
        <v>0</v>
      </c>
      <c r="Q354" s="25">
        <f>IF(B354="","",IF(RewardAt&lt;=0,0,ROUNDDOWN(P354/RewardAt,0)))</f>
        <v>0</v>
      </c>
      <c r="R354" s="26">
        <f>IF(B354="","",ROUND(Q354*RewardValue,2))</f>
        <v>0</v>
      </c>
      <c r="S354" s="25">
        <f>IF(B354="","",IF(RewardAt&lt;=0,"",MAX(0,RewardAt*(Q354+1)-P354)))</f>
        <v>0</v>
      </c>
      <c r="T354" s="25">
        <f>IF(B354="","",COUNTIFS(Clients!$H$5:$H$504,B354))</f>
        <v>0</v>
      </c>
      <c r="U354" s="26">
        <f>IF(B354="","",ROUND(T354*ReferralReward-IF(J354="",0,J354),2))</f>
        <v>0</v>
      </c>
      <c r="V354" s="15">
        <f>IF(B354="","",IFERROR(INDEX(Clients!$AM$5:$AM$504,MATCH(B354,Clients!$A$5:$A$504,0))&amp;"",""))</f>
        <v>0</v>
      </c>
      <c r="W354" s="25">
        <f>IF(B354="","",COUNTIFS($P$5:$P$504,"&gt;"&amp;P354)+COUNTIFS($P$5:P354,P354))</f>
        <v>0</v>
      </c>
      <c r="X354" s="39">
        <f>IF(B354="","",IF(K354="No","",IF(COUNTIF($B$5:$B$504,B354)&gt;1,"Duplicate - this client is on twice",IF(Q354&gt;0,"Action - reward ready to give",IF(U354&gt;0.004,"Action - referral credit owed",IF(V354="Lapsing","Chase - points are a reason to call",IF(S354&lt;=RewardAt*0.2,"Rebook - nearly at a reward","OK")))))))</f>
        <v>0</v>
      </c>
    </row>
    <row r="355" spans="1:24">
      <c r="A355" s="28">
        <f>IF(B355="","",LoyaltyPrefix&amp;TEXT(ROW()-4,"0000"))</f>
        <v>0</v>
      </c>
      <c r="C355" s="15">
        <f>IF(B355="","",IFERROR(INDEX(Clients!$B$5:$B$504,MATCH(B355,Clients!$A$5:$A$504,0)),"Not in Clients"))</f>
        <v>0</v>
      </c>
      <c r="M355" s="26">
        <f>IF(B355="","",ROUND(SUMIFS(Sales!$Y$5:$Y$1204,Sales!$D$5:$D$1204,B355,Sales!$B$5:$B$1204,"&gt;="&amp;IF(D355="",0,D355)),2))</f>
        <v>0</v>
      </c>
      <c r="N355" s="25">
        <f>IF(B355="","",IFERROR(INDEX(Clients!$T$5:$T$504,MATCH(B355,Clients!$A$5:$A$504,0))*1,0))</f>
        <v>0</v>
      </c>
      <c r="O355" s="25">
        <f>IF(B355="","",ROUND(M355*PointsPerUnit+IF(F355="",0,F355),0))</f>
        <v>0</v>
      </c>
      <c r="P355" s="25">
        <f>IF(B355="","",O355-IF(G355="",0,G355))</f>
        <v>0</v>
      </c>
      <c r="Q355" s="25">
        <f>IF(B355="","",IF(RewardAt&lt;=0,0,ROUNDDOWN(P355/RewardAt,0)))</f>
        <v>0</v>
      </c>
      <c r="R355" s="26">
        <f>IF(B355="","",ROUND(Q355*RewardValue,2))</f>
        <v>0</v>
      </c>
      <c r="S355" s="25">
        <f>IF(B355="","",IF(RewardAt&lt;=0,"",MAX(0,RewardAt*(Q355+1)-P355)))</f>
        <v>0</v>
      </c>
      <c r="T355" s="25">
        <f>IF(B355="","",COUNTIFS(Clients!$H$5:$H$504,B355))</f>
        <v>0</v>
      </c>
      <c r="U355" s="26">
        <f>IF(B355="","",ROUND(T355*ReferralReward-IF(J355="",0,J355),2))</f>
        <v>0</v>
      </c>
      <c r="V355" s="15">
        <f>IF(B355="","",IFERROR(INDEX(Clients!$AM$5:$AM$504,MATCH(B355,Clients!$A$5:$A$504,0))&amp;"",""))</f>
        <v>0</v>
      </c>
      <c r="W355" s="25">
        <f>IF(B355="","",COUNTIFS($P$5:$P$504,"&gt;"&amp;P355)+COUNTIFS($P$5:P355,P355))</f>
        <v>0</v>
      </c>
      <c r="X355" s="39">
        <f>IF(B355="","",IF(K355="No","",IF(COUNTIF($B$5:$B$504,B355)&gt;1,"Duplicate - this client is on twice",IF(Q355&gt;0,"Action - reward ready to give",IF(U355&gt;0.004,"Action - referral credit owed",IF(V355="Lapsing","Chase - points are a reason to call",IF(S355&lt;=RewardAt*0.2,"Rebook - nearly at a reward","OK")))))))</f>
        <v>0</v>
      </c>
    </row>
    <row r="356" spans="1:24">
      <c r="A356" s="28">
        <f>IF(B356="","",LoyaltyPrefix&amp;TEXT(ROW()-4,"0000"))</f>
        <v>0</v>
      </c>
      <c r="C356" s="15">
        <f>IF(B356="","",IFERROR(INDEX(Clients!$B$5:$B$504,MATCH(B356,Clients!$A$5:$A$504,0)),"Not in Clients"))</f>
        <v>0</v>
      </c>
      <c r="M356" s="26">
        <f>IF(B356="","",ROUND(SUMIFS(Sales!$Y$5:$Y$1204,Sales!$D$5:$D$1204,B356,Sales!$B$5:$B$1204,"&gt;="&amp;IF(D356="",0,D356)),2))</f>
        <v>0</v>
      </c>
      <c r="N356" s="25">
        <f>IF(B356="","",IFERROR(INDEX(Clients!$T$5:$T$504,MATCH(B356,Clients!$A$5:$A$504,0))*1,0))</f>
        <v>0</v>
      </c>
      <c r="O356" s="25">
        <f>IF(B356="","",ROUND(M356*PointsPerUnit+IF(F356="",0,F356),0))</f>
        <v>0</v>
      </c>
      <c r="P356" s="25">
        <f>IF(B356="","",O356-IF(G356="",0,G356))</f>
        <v>0</v>
      </c>
      <c r="Q356" s="25">
        <f>IF(B356="","",IF(RewardAt&lt;=0,0,ROUNDDOWN(P356/RewardAt,0)))</f>
        <v>0</v>
      </c>
      <c r="R356" s="26">
        <f>IF(B356="","",ROUND(Q356*RewardValue,2))</f>
        <v>0</v>
      </c>
      <c r="S356" s="25">
        <f>IF(B356="","",IF(RewardAt&lt;=0,"",MAX(0,RewardAt*(Q356+1)-P356)))</f>
        <v>0</v>
      </c>
      <c r="T356" s="25">
        <f>IF(B356="","",COUNTIFS(Clients!$H$5:$H$504,B356))</f>
        <v>0</v>
      </c>
      <c r="U356" s="26">
        <f>IF(B356="","",ROUND(T356*ReferralReward-IF(J356="",0,J356),2))</f>
        <v>0</v>
      </c>
      <c r="V356" s="15">
        <f>IF(B356="","",IFERROR(INDEX(Clients!$AM$5:$AM$504,MATCH(B356,Clients!$A$5:$A$504,0))&amp;"",""))</f>
        <v>0</v>
      </c>
      <c r="W356" s="25">
        <f>IF(B356="","",COUNTIFS($P$5:$P$504,"&gt;"&amp;P356)+COUNTIFS($P$5:P356,P356))</f>
        <v>0</v>
      </c>
      <c r="X356" s="39">
        <f>IF(B356="","",IF(K356="No","",IF(COUNTIF($B$5:$B$504,B356)&gt;1,"Duplicate - this client is on twice",IF(Q356&gt;0,"Action - reward ready to give",IF(U356&gt;0.004,"Action - referral credit owed",IF(V356="Lapsing","Chase - points are a reason to call",IF(S356&lt;=RewardAt*0.2,"Rebook - nearly at a reward","OK")))))))</f>
        <v>0</v>
      </c>
    </row>
    <row r="357" spans="1:24">
      <c r="A357" s="28">
        <f>IF(B357="","",LoyaltyPrefix&amp;TEXT(ROW()-4,"0000"))</f>
        <v>0</v>
      </c>
      <c r="C357" s="15">
        <f>IF(B357="","",IFERROR(INDEX(Clients!$B$5:$B$504,MATCH(B357,Clients!$A$5:$A$504,0)),"Not in Clients"))</f>
        <v>0</v>
      </c>
      <c r="M357" s="26">
        <f>IF(B357="","",ROUND(SUMIFS(Sales!$Y$5:$Y$1204,Sales!$D$5:$D$1204,B357,Sales!$B$5:$B$1204,"&gt;="&amp;IF(D357="",0,D357)),2))</f>
        <v>0</v>
      </c>
      <c r="N357" s="25">
        <f>IF(B357="","",IFERROR(INDEX(Clients!$T$5:$T$504,MATCH(B357,Clients!$A$5:$A$504,0))*1,0))</f>
        <v>0</v>
      </c>
      <c r="O357" s="25">
        <f>IF(B357="","",ROUND(M357*PointsPerUnit+IF(F357="",0,F357),0))</f>
        <v>0</v>
      </c>
      <c r="P357" s="25">
        <f>IF(B357="","",O357-IF(G357="",0,G357))</f>
        <v>0</v>
      </c>
      <c r="Q357" s="25">
        <f>IF(B357="","",IF(RewardAt&lt;=0,0,ROUNDDOWN(P357/RewardAt,0)))</f>
        <v>0</v>
      </c>
      <c r="R357" s="26">
        <f>IF(B357="","",ROUND(Q357*RewardValue,2))</f>
        <v>0</v>
      </c>
      <c r="S357" s="25">
        <f>IF(B357="","",IF(RewardAt&lt;=0,"",MAX(0,RewardAt*(Q357+1)-P357)))</f>
        <v>0</v>
      </c>
      <c r="T357" s="25">
        <f>IF(B357="","",COUNTIFS(Clients!$H$5:$H$504,B357))</f>
        <v>0</v>
      </c>
      <c r="U357" s="26">
        <f>IF(B357="","",ROUND(T357*ReferralReward-IF(J357="",0,J357),2))</f>
        <v>0</v>
      </c>
      <c r="V357" s="15">
        <f>IF(B357="","",IFERROR(INDEX(Clients!$AM$5:$AM$504,MATCH(B357,Clients!$A$5:$A$504,0))&amp;"",""))</f>
        <v>0</v>
      </c>
      <c r="W357" s="25">
        <f>IF(B357="","",COUNTIFS($P$5:$P$504,"&gt;"&amp;P357)+COUNTIFS($P$5:P357,P357))</f>
        <v>0</v>
      </c>
      <c r="X357" s="39">
        <f>IF(B357="","",IF(K357="No","",IF(COUNTIF($B$5:$B$504,B357)&gt;1,"Duplicate - this client is on twice",IF(Q357&gt;0,"Action - reward ready to give",IF(U357&gt;0.004,"Action - referral credit owed",IF(V357="Lapsing","Chase - points are a reason to call",IF(S357&lt;=RewardAt*0.2,"Rebook - nearly at a reward","OK")))))))</f>
        <v>0</v>
      </c>
    </row>
    <row r="358" spans="1:24">
      <c r="A358" s="28">
        <f>IF(B358="","",LoyaltyPrefix&amp;TEXT(ROW()-4,"0000"))</f>
        <v>0</v>
      </c>
      <c r="C358" s="15">
        <f>IF(B358="","",IFERROR(INDEX(Clients!$B$5:$B$504,MATCH(B358,Clients!$A$5:$A$504,0)),"Not in Clients"))</f>
        <v>0</v>
      </c>
      <c r="M358" s="26">
        <f>IF(B358="","",ROUND(SUMIFS(Sales!$Y$5:$Y$1204,Sales!$D$5:$D$1204,B358,Sales!$B$5:$B$1204,"&gt;="&amp;IF(D358="",0,D358)),2))</f>
        <v>0</v>
      </c>
      <c r="N358" s="25">
        <f>IF(B358="","",IFERROR(INDEX(Clients!$T$5:$T$504,MATCH(B358,Clients!$A$5:$A$504,0))*1,0))</f>
        <v>0</v>
      </c>
      <c r="O358" s="25">
        <f>IF(B358="","",ROUND(M358*PointsPerUnit+IF(F358="",0,F358),0))</f>
        <v>0</v>
      </c>
      <c r="P358" s="25">
        <f>IF(B358="","",O358-IF(G358="",0,G358))</f>
        <v>0</v>
      </c>
      <c r="Q358" s="25">
        <f>IF(B358="","",IF(RewardAt&lt;=0,0,ROUNDDOWN(P358/RewardAt,0)))</f>
        <v>0</v>
      </c>
      <c r="R358" s="26">
        <f>IF(B358="","",ROUND(Q358*RewardValue,2))</f>
        <v>0</v>
      </c>
      <c r="S358" s="25">
        <f>IF(B358="","",IF(RewardAt&lt;=0,"",MAX(0,RewardAt*(Q358+1)-P358)))</f>
        <v>0</v>
      </c>
      <c r="T358" s="25">
        <f>IF(B358="","",COUNTIFS(Clients!$H$5:$H$504,B358))</f>
        <v>0</v>
      </c>
      <c r="U358" s="26">
        <f>IF(B358="","",ROUND(T358*ReferralReward-IF(J358="",0,J358),2))</f>
        <v>0</v>
      </c>
      <c r="V358" s="15">
        <f>IF(B358="","",IFERROR(INDEX(Clients!$AM$5:$AM$504,MATCH(B358,Clients!$A$5:$A$504,0))&amp;"",""))</f>
        <v>0</v>
      </c>
      <c r="W358" s="25">
        <f>IF(B358="","",COUNTIFS($P$5:$P$504,"&gt;"&amp;P358)+COUNTIFS($P$5:P358,P358))</f>
        <v>0</v>
      </c>
      <c r="X358" s="39">
        <f>IF(B358="","",IF(K358="No","",IF(COUNTIF($B$5:$B$504,B358)&gt;1,"Duplicate - this client is on twice",IF(Q358&gt;0,"Action - reward ready to give",IF(U358&gt;0.004,"Action - referral credit owed",IF(V358="Lapsing","Chase - points are a reason to call",IF(S358&lt;=RewardAt*0.2,"Rebook - nearly at a reward","OK")))))))</f>
        <v>0</v>
      </c>
    </row>
    <row r="359" spans="1:24">
      <c r="A359" s="28">
        <f>IF(B359="","",LoyaltyPrefix&amp;TEXT(ROW()-4,"0000"))</f>
        <v>0</v>
      </c>
      <c r="C359" s="15">
        <f>IF(B359="","",IFERROR(INDEX(Clients!$B$5:$B$504,MATCH(B359,Clients!$A$5:$A$504,0)),"Not in Clients"))</f>
        <v>0</v>
      </c>
      <c r="M359" s="26">
        <f>IF(B359="","",ROUND(SUMIFS(Sales!$Y$5:$Y$1204,Sales!$D$5:$D$1204,B359,Sales!$B$5:$B$1204,"&gt;="&amp;IF(D359="",0,D359)),2))</f>
        <v>0</v>
      </c>
      <c r="N359" s="25">
        <f>IF(B359="","",IFERROR(INDEX(Clients!$T$5:$T$504,MATCH(B359,Clients!$A$5:$A$504,0))*1,0))</f>
        <v>0</v>
      </c>
      <c r="O359" s="25">
        <f>IF(B359="","",ROUND(M359*PointsPerUnit+IF(F359="",0,F359),0))</f>
        <v>0</v>
      </c>
      <c r="P359" s="25">
        <f>IF(B359="","",O359-IF(G359="",0,G359))</f>
        <v>0</v>
      </c>
      <c r="Q359" s="25">
        <f>IF(B359="","",IF(RewardAt&lt;=0,0,ROUNDDOWN(P359/RewardAt,0)))</f>
        <v>0</v>
      </c>
      <c r="R359" s="26">
        <f>IF(B359="","",ROUND(Q359*RewardValue,2))</f>
        <v>0</v>
      </c>
      <c r="S359" s="25">
        <f>IF(B359="","",IF(RewardAt&lt;=0,"",MAX(0,RewardAt*(Q359+1)-P359)))</f>
        <v>0</v>
      </c>
      <c r="T359" s="25">
        <f>IF(B359="","",COUNTIFS(Clients!$H$5:$H$504,B359))</f>
        <v>0</v>
      </c>
      <c r="U359" s="26">
        <f>IF(B359="","",ROUND(T359*ReferralReward-IF(J359="",0,J359),2))</f>
        <v>0</v>
      </c>
      <c r="V359" s="15">
        <f>IF(B359="","",IFERROR(INDEX(Clients!$AM$5:$AM$504,MATCH(B359,Clients!$A$5:$A$504,0))&amp;"",""))</f>
        <v>0</v>
      </c>
      <c r="W359" s="25">
        <f>IF(B359="","",COUNTIFS($P$5:$P$504,"&gt;"&amp;P359)+COUNTIFS($P$5:P359,P359))</f>
        <v>0</v>
      </c>
      <c r="X359" s="39">
        <f>IF(B359="","",IF(K359="No","",IF(COUNTIF($B$5:$B$504,B359)&gt;1,"Duplicate - this client is on twice",IF(Q359&gt;0,"Action - reward ready to give",IF(U359&gt;0.004,"Action - referral credit owed",IF(V359="Lapsing","Chase - points are a reason to call",IF(S359&lt;=RewardAt*0.2,"Rebook - nearly at a reward","OK")))))))</f>
        <v>0</v>
      </c>
    </row>
    <row r="360" spans="1:24">
      <c r="A360" s="28">
        <f>IF(B360="","",LoyaltyPrefix&amp;TEXT(ROW()-4,"0000"))</f>
        <v>0</v>
      </c>
      <c r="C360" s="15">
        <f>IF(B360="","",IFERROR(INDEX(Clients!$B$5:$B$504,MATCH(B360,Clients!$A$5:$A$504,0)),"Not in Clients"))</f>
        <v>0</v>
      </c>
      <c r="M360" s="26">
        <f>IF(B360="","",ROUND(SUMIFS(Sales!$Y$5:$Y$1204,Sales!$D$5:$D$1204,B360,Sales!$B$5:$B$1204,"&gt;="&amp;IF(D360="",0,D360)),2))</f>
        <v>0</v>
      </c>
      <c r="N360" s="25">
        <f>IF(B360="","",IFERROR(INDEX(Clients!$T$5:$T$504,MATCH(B360,Clients!$A$5:$A$504,0))*1,0))</f>
        <v>0</v>
      </c>
      <c r="O360" s="25">
        <f>IF(B360="","",ROUND(M360*PointsPerUnit+IF(F360="",0,F360),0))</f>
        <v>0</v>
      </c>
      <c r="P360" s="25">
        <f>IF(B360="","",O360-IF(G360="",0,G360))</f>
        <v>0</v>
      </c>
      <c r="Q360" s="25">
        <f>IF(B360="","",IF(RewardAt&lt;=0,0,ROUNDDOWN(P360/RewardAt,0)))</f>
        <v>0</v>
      </c>
      <c r="R360" s="26">
        <f>IF(B360="","",ROUND(Q360*RewardValue,2))</f>
        <v>0</v>
      </c>
      <c r="S360" s="25">
        <f>IF(B360="","",IF(RewardAt&lt;=0,"",MAX(0,RewardAt*(Q360+1)-P360)))</f>
        <v>0</v>
      </c>
      <c r="T360" s="25">
        <f>IF(B360="","",COUNTIFS(Clients!$H$5:$H$504,B360))</f>
        <v>0</v>
      </c>
      <c r="U360" s="26">
        <f>IF(B360="","",ROUND(T360*ReferralReward-IF(J360="",0,J360),2))</f>
        <v>0</v>
      </c>
      <c r="V360" s="15">
        <f>IF(B360="","",IFERROR(INDEX(Clients!$AM$5:$AM$504,MATCH(B360,Clients!$A$5:$A$504,0))&amp;"",""))</f>
        <v>0</v>
      </c>
      <c r="W360" s="25">
        <f>IF(B360="","",COUNTIFS($P$5:$P$504,"&gt;"&amp;P360)+COUNTIFS($P$5:P360,P360))</f>
        <v>0</v>
      </c>
      <c r="X360" s="39">
        <f>IF(B360="","",IF(K360="No","",IF(COUNTIF($B$5:$B$504,B360)&gt;1,"Duplicate - this client is on twice",IF(Q360&gt;0,"Action - reward ready to give",IF(U360&gt;0.004,"Action - referral credit owed",IF(V360="Lapsing","Chase - points are a reason to call",IF(S360&lt;=RewardAt*0.2,"Rebook - nearly at a reward","OK")))))))</f>
        <v>0</v>
      </c>
    </row>
    <row r="361" spans="1:24">
      <c r="A361" s="28">
        <f>IF(B361="","",LoyaltyPrefix&amp;TEXT(ROW()-4,"0000"))</f>
        <v>0</v>
      </c>
      <c r="C361" s="15">
        <f>IF(B361="","",IFERROR(INDEX(Clients!$B$5:$B$504,MATCH(B361,Clients!$A$5:$A$504,0)),"Not in Clients"))</f>
        <v>0</v>
      </c>
      <c r="M361" s="26">
        <f>IF(B361="","",ROUND(SUMIFS(Sales!$Y$5:$Y$1204,Sales!$D$5:$D$1204,B361,Sales!$B$5:$B$1204,"&gt;="&amp;IF(D361="",0,D361)),2))</f>
        <v>0</v>
      </c>
      <c r="N361" s="25">
        <f>IF(B361="","",IFERROR(INDEX(Clients!$T$5:$T$504,MATCH(B361,Clients!$A$5:$A$504,0))*1,0))</f>
        <v>0</v>
      </c>
      <c r="O361" s="25">
        <f>IF(B361="","",ROUND(M361*PointsPerUnit+IF(F361="",0,F361),0))</f>
        <v>0</v>
      </c>
      <c r="P361" s="25">
        <f>IF(B361="","",O361-IF(G361="",0,G361))</f>
        <v>0</v>
      </c>
      <c r="Q361" s="25">
        <f>IF(B361="","",IF(RewardAt&lt;=0,0,ROUNDDOWN(P361/RewardAt,0)))</f>
        <v>0</v>
      </c>
      <c r="R361" s="26">
        <f>IF(B361="","",ROUND(Q361*RewardValue,2))</f>
        <v>0</v>
      </c>
      <c r="S361" s="25">
        <f>IF(B361="","",IF(RewardAt&lt;=0,"",MAX(0,RewardAt*(Q361+1)-P361)))</f>
        <v>0</v>
      </c>
      <c r="T361" s="25">
        <f>IF(B361="","",COUNTIFS(Clients!$H$5:$H$504,B361))</f>
        <v>0</v>
      </c>
      <c r="U361" s="26">
        <f>IF(B361="","",ROUND(T361*ReferralReward-IF(J361="",0,J361),2))</f>
        <v>0</v>
      </c>
      <c r="V361" s="15">
        <f>IF(B361="","",IFERROR(INDEX(Clients!$AM$5:$AM$504,MATCH(B361,Clients!$A$5:$A$504,0))&amp;"",""))</f>
        <v>0</v>
      </c>
      <c r="W361" s="25">
        <f>IF(B361="","",COUNTIFS($P$5:$P$504,"&gt;"&amp;P361)+COUNTIFS($P$5:P361,P361))</f>
        <v>0</v>
      </c>
      <c r="X361" s="39">
        <f>IF(B361="","",IF(K361="No","",IF(COUNTIF($B$5:$B$504,B361)&gt;1,"Duplicate - this client is on twice",IF(Q361&gt;0,"Action - reward ready to give",IF(U361&gt;0.004,"Action - referral credit owed",IF(V361="Lapsing","Chase - points are a reason to call",IF(S361&lt;=RewardAt*0.2,"Rebook - nearly at a reward","OK")))))))</f>
        <v>0</v>
      </c>
    </row>
    <row r="362" spans="1:24">
      <c r="A362" s="28">
        <f>IF(B362="","",LoyaltyPrefix&amp;TEXT(ROW()-4,"0000"))</f>
        <v>0</v>
      </c>
      <c r="C362" s="15">
        <f>IF(B362="","",IFERROR(INDEX(Clients!$B$5:$B$504,MATCH(B362,Clients!$A$5:$A$504,0)),"Not in Clients"))</f>
        <v>0</v>
      </c>
      <c r="M362" s="26">
        <f>IF(B362="","",ROUND(SUMIFS(Sales!$Y$5:$Y$1204,Sales!$D$5:$D$1204,B362,Sales!$B$5:$B$1204,"&gt;="&amp;IF(D362="",0,D362)),2))</f>
        <v>0</v>
      </c>
      <c r="N362" s="25">
        <f>IF(B362="","",IFERROR(INDEX(Clients!$T$5:$T$504,MATCH(B362,Clients!$A$5:$A$504,0))*1,0))</f>
        <v>0</v>
      </c>
      <c r="O362" s="25">
        <f>IF(B362="","",ROUND(M362*PointsPerUnit+IF(F362="",0,F362),0))</f>
        <v>0</v>
      </c>
      <c r="P362" s="25">
        <f>IF(B362="","",O362-IF(G362="",0,G362))</f>
        <v>0</v>
      </c>
      <c r="Q362" s="25">
        <f>IF(B362="","",IF(RewardAt&lt;=0,0,ROUNDDOWN(P362/RewardAt,0)))</f>
        <v>0</v>
      </c>
      <c r="R362" s="26">
        <f>IF(B362="","",ROUND(Q362*RewardValue,2))</f>
        <v>0</v>
      </c>
      <c r="S362" s="25">
        <f>IF(B362="","",IF(RewardAt&lt;=0,"",MAX(0,RewardAt*(Q362+1)-P362)))</f>
        <v>0</v>
      </c>
      <c r="T362" s="25">
        <f>IF(B362="","",COUNTIFS(Clients!$H$5:$H$504,B362))</f>
        <v>0</v>
      </c>
      <c r="U362" s="26">
        <f>IF(B362="","",ROUND(T362*ReferralReward-IF(J362="",0,J362),2))</f>
        <v>0</v>
      </c>
      <c r="V362" s="15">
        <f>IF(B362="","",IFERROR(INDEX(Clients!$AM$5:$AM$504,MATCH(B362,Clients!$A$5:$A$504,0))&amp;"",""))</f>
        <v>0</v>
      </c>
      <c r="W362" s="25">
        <f>IF(B362="","",COUNTIFS($P$5:$P$504,"&gt;"&amp;P362)+COUNTIFS($P$5:P362,P362))</f>
        <v>0</v>
      </c>
      <c r="X362" s="39">
        <f>IF(B362="","",IF(K362="No","",IF(COUNTIF($B$5:$B$504,B362)&gt;1,"Duplicate - this client is on twice",IF(Q362&gt;0,"Action - reward ready to give",IF(U362&gt;0.004,"Action - referral credit owed",IF(V362="Lapsing","Chase - points are a reason to call",IF(S362&lt;=RewardAt*0.2,"Rebook - nearly at a reward","OK")))))))</f>
        <v>0</v>
      </c>
    </row>
    <row r="363" spans="1:24">
      <c r="A363" s="28">
        <f>IF(B363="","",LoyaltyPrefix&amp;TEXT(ROW()-4,"0000"))</f>
        <v>0</v>
      </c>
      <c r="C363" s="15">
        <f>IF(B363="","",IFERROR(INDEX(Clients!$B$5:$B$504,MATCH(B363,Clients!$A$5:$A$504,0)),"Not in Clients"))</f>
        <v>0</v>
      </c>
      <c r="M363" s="26">
        <f>IF(B363="","",ROUND(SUMIFS(Sales!$Y$5:$Y$1204,Sales!$D$5:$D$1204,B363,Sales!$B$5:$B$1204,"&gt;="&amp;IF(D363="",0,D363)),2))</f>
        <v>0</v>
      </c>
      <c r="N363" s="25">
        <f>IF(B363="","",IFERROR(INDEX(Clients!$T$5:$T$504,MATCH(B363,Clients!$A$5:$A$504,0))*1,0))</f>
        <v>0</v>
      </c>
      <c r="O363" s="25">
        <f>IF(B363="","",ROUND(M363*PointsPerUnit+IF(F363="",0,F363),0))</f>
        <v>0</v>
      </c>
      <c r="P363" s="25">
        <f>IF(B363="","",O363-IF(G363="",0,G363))</f>
        <v>0</v>
      </c>
      <c r="Q363" s="25">
        <f>IF(B363="","",IF(RewardAt&lt;=0,0,ROUNDDOWN(P363/RewardAt,0)))</f>
        <v>0</v>
      </c>
      <c r="R363" s="26">
        <f>IF(B363="","",ROUND(Q363*RewardValue,2))</f>
        <v>0</v>
      </c>
      <c r="S363" s="25">
        <f>IF(B363="","",IF(RewardAt&lt;=0,"",MAX(0,RewardAt*(Q363+1)-P363)))</f>
        <v>0</v>
      </c>
      <c r="T363" s="25">
        <f>IF(B363="","",COUNTIFS(Clients!$H$5:$H$504,B363))</f>
        <v>0</v>
      </c>
      <c r="U363" s="26">
        <f>IF(B363="","",ROUND(T363*ReferralReward-IF(J363="",0,J363),2))</f>
        <v>0</v>
      </c>
      <c r="V363" s="15">
        <f>IF(B363="","",IFERROR(INDEX(Clients!$AM$5:$AM$504,MATCH(B363,Clients!$A$5:$A$504,0))&amp;"",""))</f>
        <v>0</v>
      </c>
      <c r="W363" s="25">
        <f>IF(B363="","",COUNTIFS($P$5:$P$504,"&gt;"&amp;P363)+COUNTIFS($P$5:P363,P363))</f>
        <v>0</v>
      </c>
      <c r="X363" s="39">
        <f>IF(B363="","",IF(K363="No","",IF(COUNTIF($B$5:$B$504,B363)&gt;1,"Duplicate - this client is on twice",IF(Q363&gt;0,"Action - reward ready to give",IF(U363&gt;0.004,"Action - referral credit owed",IF(V363="Lapsing","Chase - points are a reason to call",IF(S363&lt;=RewardAt*0.2,"Rebook - nearly at a reward","OK")))))))</f>
        <v>0</v>
      </c>
    </row>
    <row r="364" spans="1:24">
      <c r="A364" s="28">
        <f>IF(B364="","",LoyaltyPrefix&amp;TEXT(ROW()-4,"0000"))</f>
        <v>0</v>
      </c>
      <c r="C364" s="15">
        <f>IF(B364="","",IFERROR(INDEX(Clients!$B$5:$B$504,MATCH(B364,Clients!$A$5:$A$504,0)),"Not in Clients"))</f>
        <v>0</v>
      </c>
      <c r="M364" s="26">
        <f>IF(B364="","",ROUND(SUMIFS(Sales!$Y$5:$Y$1204,Sales!$D$5:$D$1204,B364,Sales!$B$5:$B$1204,"&gt;="&amp;IF(D364="",0,D364)),2))</f>
        <v>0</v>
      </c>
      <c r="N364" s="25">
        <f>IF(B364="","",IFERROR(INDEX(Clients!$T$5:$T$504,MATCH(B364,Clients!$A$5:$A$504,0))*1,0))</f>
        <v>0</v>
      </c>
      <c r="O364" s="25">
        <f>IF(B364="","",ROUND(M364*PointsPerUnit+IF(F364="",0,F364),0))</f>
        <v>0</v>
      </c>
      <c r="P364" s="25">
        <f>IF(B364="","",O364-IF(G364="",0,G364))</f>
        <v>0</v>
      </c>
      <c r="Q364" s="25">
        <f>IF(B364="","",IF(RewardAt&lt;=0,0,ROUNDDOWN(P364/RewardAt,0)))</f>
        <v>0</v>
      </c>
      <c r="R364" s="26">
        <f>IF(B364="","",ROUND(Q364*RewardValue,2))</f>
        <v>0</v>
      </c>
      <c r="S364" s="25">
        <f>IF(B364="","",IF(RewardAt&lt;=0,"",MAX(0,RewardAt*(Q364+1)-P364)))</f>
        <v>0</v>
      </c>
      <c r="T364" s="25">
        <f>IF(B364="","",COUNTIFS(Clients!$H$5:$H$504,B364))</f>
        <v>0</v>
      </c>
      <c r="U364" s="26">
        <f>IF(B364="","",ROUND(T364*ReferralReward-IF(J364="",0,J364),2))</f>
        <v>0</v>
      </c>
      <c r="V364" s="15">
        <f>IF(B364="","",IFERROR(INDEX(Clients!$AM$5:$AM$504,MATCH(B364,Clients!$A$5:$A$504,0))&amp;"",""))</f>
        <v>0</v>
      </c>
      <c r="W364" s="25">
        <f>IF(B364="","",COUNTIFS($P$5:$P$504,"&gt;"&amp;P364)+COUNTIFS($P$5:P364,P364))</f>
        <v>0</v>
      </c>
      <c r="X364" s="39">
        <f>IF(B364="","",IF(K364="No","",IF(COUNTIF($B$5:$B$504,B364)&gt;1,"Duplicate - this client is on twice",IF(Q364&gt;0,"Action - reward ready to give",IF(U364&gt;0.004,"Action - referral credit owed",IF(V364="Lapsing","Chase - points are a reason to call",IF(S364&lt;=RewardAt*0.2,"Rebook - nearly at a reward","OK")))))))</f>
        <v>0</v>
      </c>
    </row>
    <row r="365" spans="1:24">
      <c r="A365" s="28">
        <f>IF(B365="","",LoyaltyPrefix&amp;TEXT(ROW()-4,"0000"))</f>
        <v>0</v>
      </c>
      <c r="C365" s="15">
        <f>IF(B365="","",IFERROR(INDEX(Clients!$B$5:$B$504,MATCH(B365,Clients!$A$5:$A$504,0)),"Not in Clients"))</f>
        <v>0</v>
      </c>
      <c r="M365" s="26">
        <f>IF(B365="","",ROUND(SUMIFS(Sales!$Y$5:$Y$1204,Sales!$D$5:$D$1204,B365,Sales!$B$5:$B$1204,"&gt;="&amp;IF(D365="",0,D365)),2))</f>
        <v>0</v>
      </c>
      <c r="N365" s="25">
        <f>IF(B365="","",IFERROR(INDEX(Clients!$T$5:$T$504,MATCH(B365,Clients!$A$5:$A$504,0))*1,0))</f>
        <v>0</v>
      </c>
      <c r="O365" s="25">
        <f>IF(B365="","",ROUND(M365*PointsPerUnit+IF(F365="",0,F365),0))</f>
        <v>0</v>
      </c>
      <c r="P365" s="25">
        <f>IF(B365="","",O365-IF(G365="",0,G365))</f>
        <v>0</v>
      </c>
      <c r="Q365" s="25">
        <f>IF(B365="","",IF(RewardAt&lt;=0,0,ROUNDDOWN(P365/RewardAt,0)))</f>
        <v>0</v>
      </c>
      <c r="R365" s="26">
        <f>IF(B365="","",ROUND(Q365*RewardValue,2))</f>
        <v>0</v>
      </c>
      <c r="S365" s="25">
        <f>IF(B365="","",IF(RewardAt&lt;=0,"",MAX(0,RewardAt*(Q365+1)-P365)))</f>
        <v>0</v>
      </c>
      <c r="T365" s="25">
        <f>IF(B365="","",COUNTIFS(Clients!$H$5:$H$504,B365))</f>
        <v>0</v>
      </c>
      <c r="U365" s="26">
        <f>IF(B365="","",ROUND(T365*ReferralReward-IF(J365="",0,J365),2))</f>
        <v>0</v>
      </c>
      <c r="V365" s="15">
        <f>IF(B365="","",IFERROR(INDEX(Clients!$AM$5:$AM$504,MATCH(B365,Clients!$A$5:$A$504,0))&amp;"",""))</f>
        <v>0</v>
      </c>
      <c r="W365" s="25">
        <f>IF(B365="","",COUNTIFS($P$5:$P$504,"&gt;"&amp;P365)+COUNTIFS($P$5:P365,P365))</f>
        <v>0</v>
      </c>
      <c r="X365" s="39">
        <f>IF(B365="","",IF(K365="No","",IF(COUNTIF($B$5:$B$504,B365)&gt;1,"Duplicate - this client is on twice",IF(Q365&gt;0,"Action - reward ready to give",IF(U365&gt;0.004,"Action - referral credit owed",IF(V365="Lapsing","Chase - points are a reason to call",IF(S365&lt;=RewardAt*0.2,"Rebook - nearly at a reward","OK")))))))</f>
        <v>0</v>
      </c>
    </row>
    <row r="366" spans="1:24">
      <c r="A366" s="28">
        <f>IF(B366="","",LoyaltyPrefix&amp;TEXT(ROW()-4,"0000"))</f>
        <v>0</v>
      </c>
      <c r="C366" s="15">
        <f>IF(B366="","",IFERROR(INDEX(Clients!$B$5:$B$504,MATCH(B366,Clients!$A$5:$A$504,0)),"Not in Clients"))</f>
        <v>0</v>
      </c>
      <c r="M366" s="26">
        <f>IF(B366="","",ROUND(SUMIFS(Sales!$Y$5:$Y$1204,Sales!$D$5:$D$1204,B366,Sales!$B$5:$B$1204,"&gt;="&amp;IF(D366="",0,D366)),2))</f>
        <v>0</v>
      </c>
      <c r="N366" s="25">
        <f>IF(B366="","",IFERROR(INDEX(Clients!$T$5:$T$504,MATCH(B366,Clients!$A$5:$A$504,0))*1,0))</f>
        <v>0</v>
      </c>
      <c r="O366" s="25">
        <f>IF(B366="","",ROUND(M366*PointsPerUnit+IF(F366="",0,F366),0))</f>
        <v>0</v>
      </c>
      <c r="P366" s="25">
        <f>IF(B366="","",O366-IF(G366="",0,G366))</f>
        <v>0</v>
      </c>
      <c r="Q366" s="25">
        <f>IF(B366="","",IF(RewardAt&lt;=0,0,ROUNDDOWN(P366/RewardAt,0)))</f>
        <v>0</v>
      </c>
      <c r="R366" s="26">
        <f>IF(B366="","",ROUND(Q366*RewardValue,2))</f>
        <v>0</v>
      </c>
      <c r="S366" s="25">
        <f>IF(B366="","",IF(RewardAt&lt;=0,"",MAX(0,RewardAt*(Q366+1)-P366)))</f>
        <v>0</v>
      </c>
      <c r="T366" s="25">
        <f>IF(B366="","",COUNTIFS(Clients!$H$5:$H$504,B366))</f>
        <v>0</v>
      </c>
      <c r="U366" s="26">
        <f>IF(B366="","",ROUND(T366*ReferralReward-IF(J366="",0,J366),2))</f>
        <v>0</v>
      </c>
      <c r="V366" s="15">
        <f>IF(B366="","",IFERROR(INDEX(Clients!$AM$5:$AM$504,MATCH(B366,Clients!$A$5:$A$504,0))&amp;"",""))</f>
        <v>0</v>
      </c>
      <c r="W366" s="25">
        <f>IF(B366="","",COUNTIFS($P$5:$P$504,"&gt;"&amp;P366)+COUNTIFS($P$5:P366,P366))</f>
        <v>0</v>
      </c>
      <c r="X366" s="39">
        <f>IF(B366="","",IF(K366="No","",IF(COUNTIF($B$5:$B$504,B366)&gt;1,"Duplicate - this client is on twice",IF(Q366&gt;0,"Action - reward ready to give",IF(U366&gt;0.004,"Action - referral credit owed",IF(V366="Lapsing","Chase - points are a reason to call",IF(S366&lt;=RewardAt*0.2,"Rebook - nearly at a reward","OK")))))))</f>
        <v>0</v>
      </c>
    </row>
    <row r="367" spans="1:24">
      <c r="A367" s="28">
        <f>IF(B367="","",LoyaltyPrefix&amp;TEXT(ROW()-4,"0000"))</f>
        <v>0</v>
      </c>
      <c r="C367" s="15">
        <f>IF(B367="","",IFERROR(INDEX(Clients!$B$5:$B$504,MATCH(B367,Clients!$A$5:$A$504,0)),"Not in Clients"))</f>
        <v>0</v>
      </c>
      <c r="M367" s="26">
        <f>IF(B367="","",ROUND(SUMIFS(Sales!$Y$5:$Y$1204,Sales!$D$5:$D$1204,B367,Sales!$B$5:$B$1204,"&gt;="&amp;IF(D367="",0,D367)),2))</f>
        <v>0</v>
      </c>
      <c r="N367" s="25">
        <f>IF(B367="","",IFERROR(INDEX(Clients!$T$5:$T$504,MATCH(B367,Clients!$A$5:$A$504,0))*1,0))</f>
        <v>0</v>
      </c>
      <c r="O367" s="25">
        <f>IF(B367="","",ROUND(M367*PointsPerUnit+IF(F367="",0,F367),0))</f>
        <v>0</v>
      </c>
      <c r="P367" s="25">
        <f>IF(B367="","",O367-IF(G367="",0,G367))</f>
        <v>0</v>
      </c>
      <c r="Q367" s="25">
        <f>IF(B367="","",IF(RewardAt&lt;=0,0,ROUNDDOWN(P367/RewardAt,0)))</f>
        <v>0</v>
      </c>
      <c r="R367" s="26">
        <f>IF(B367="","",ROUND(Q367*RewardValue,2))</f>
        <v>0</v>
      </c>
      <c r="S367" s="25">
        <f>IF(B367="","",IF(RewardAt&lt;=0,"",MAX(0,RewardAt*(Q367+1)-P367)))</f>
        <v>0</v>
      </c>
      <c r="T367" s="25">
        <f>IF(B367="","",COUNTIFS(Clients!$H$5:$H$504,B367))</f>
        <v>0</v>
      </c>
      <c r="U367" s="26">
        <f>IF(B367="","",ROUND(T367*ReferralReward-IF(J367="",0,J367),2))</f>
        <v>0</v>
      </c>
      <c r="V367" s="15">
        <f>IF(B367="","",IFERROR(INDEX(Clients!$AM$5:$AM$504,MATCH(B367,Clients!$A$5:$A$504,0))&amp;"",""))</f>
        <v>0</v>
      </c>
      <c r="W367" s="25">
        <f>IF(B367="","",COUNTIFS($P$5:$P$504,"&gt;"&amp;P367)+COUNTIFS($P$5:P367,P367))</f>
        <v>0</v>
      </c>
      <c r="X367" s="39">
        <f>IF(B367="","",IF(K367="No","",IF(COUNTIF($B$5:$B$504,B367)&gt;1,"Duplicate - this client is on twice",IF(Q367&gt;0,"Action - reward ready to give",IF(U367&gt;0.004,"Action - referral credit owed",IF(V367="Lapsing","Chase - points are a reason to call",IF(S367&lt;=RewardAt*0.2,"Rebook - nearly at a reward","OK")))))))</f>
        <v>0</v>
      </c>
    </row>
    <row r="368" spans="1:24">
      <c r="A368" s="28">
        <f>IF(B368="","",LoyaltyPrefix&amp;TEXT(ROW()-4,"0000"))</f>
        <v>0</v>
      </c>
      <c r="C368" s="15">
        <f>IF(B368="","",IFERROR(INDEX(Clients!$B$5:$B$504,MATCH(B368,Clients!$A$5:$A$504,0)),"Not in Clients"))</f>
        <v>0</v>
      </c>
      <c r="M368" s="26">
        <f>IF(B368="","",ROUND(SUMIFS(Sales!$Y$5:$Y$1204,Sales!$D$5:$D$1204,B368,Sales!$B$5:$B$1204,"&gt;="&amp;IF(D368="",0,D368)),2))</f>
        <v>0</v>
      </c>
      <c r="N368" s="25">
        <f>IF(B368="","",IFERROR(INDEX(Clients!$T$5:$T$504,MATCH(B368,Clients!$A$5:$A$504,0))*1,0))</f>
        <v>0</v>
      </c>
      <c r="O368" s="25">
        <f>IF(B368="","",ROUND(M368*PointsPerUnit+IF(F368="",0,F368),0))</f>
        <v>0</v>
      </c>
      <c r="P368" s="25">
        <f>IF(B368="","",O368-IF(G368="",0,G368))</f>
        <v>0</v>
      </c>
      <c r="Q368" s="25">
        <f>IF(B368="","",IF(RewardAt&lt;=0,0,ROUNDDOWN(P368/RewardAt,0)))</f>
        <v>0</v>
      </c>
      <c r="R368" s="26">
        <f>IF(B368="","",ROUND(Q368*RewardValue,2))</f>
        <v>0</v>
      </c>
      <c r="S368" s="25">
        <f>IF(B368="","",IF(RewardAt&lt;=0,"",MAX(0,RewardAt*(Q368+1)-P368)))</f>
        <v>0</v>
      </c>
      <c r="T368" s="25">
        <f>IF(B368="","",COUNTIFS(Clients!$H$5:$H$504,B368))</f>
        <v>0</v>
      </c>
      <c r="U368" s="26">
        <f>IF(B368="","",ROUND(T368*ReferralReward-IF(J368="",0,J368),2))</f>
        <v>0</v>
      </c>
      <c r="V368" s="15">
        <f>IF(B368="","",IFERROR(INDEX(Clients!$AM$5:$AM$504,MATCH(B368,Clients!$A$5:$A$504,0))&amp;"",""))</f>
        <v>0</v>
      </c>
      <c r="W368" s="25">
        <f>IF(B368="","",COUNTIFS($P$5:$P$504,"&gt;"&amp;P368)+COUNTIFS($P$5:P368,P368))</f>
        <v>0</v>
      </c>
      <c r="X368" s="39">
        <f>IF(B368="","",IF(K368="No","",IF(COUNTIF($B$5:$B$504,B368)&gt;1,"Duplicate - this client is on twice",IF(Q368&gt;0,"Action - reward ready to give",IF(U368&gt;0.004,"Action - referral credit owed",IF(V368="Lapsing","Chase - points are a reason to call",IF(S368&lt;=RewardAt*0.2,"Rebook - nearly at a reward","OK")))))))</f>
        <v>0</v>
      </c>
    </row>
    <row r="369" spans="1:24">
      <c r="A369" s="28">
        <f>IF(B369="","",LoyaltyPrefix&amp;TEXT(ROW()-4,"0000"))</f>
        <v>0</v>
      </c>
      <c r="C369" s="15">
        <f>IF(B369="","",IFERROR(INDEX(Clients!$B$5:$B$504,MATCH(B369,Clients!$A$5:$A$504,0)),"Not in Clients"))</f>
        <v>0</v>
      </c>
      <c r="M369" s="26">
        <f>IF(B369="","",ROUND(SUMIFS(Sales!$Y$5:$Y$1204,Sales!$D$5:$D$1204,B369,Sales!$B$5:$B$1204,"&gt;="&amp;IF(D369="",0,D369)),2))</f>
        <v>0</v>
      </c>
      <c r="N369" s="25">
        <f>IF(B369="","",IFERROR(INDEX(Clients!$T$5:$T$504,MATCH(B369,Clients!$A$5:$A$504,0))*1,0))</f>
        <v>0</v>
      </c>
      <c r="O369" s="25">
        <f>IF(B369="","",ROUND(M369*PointsPerUnit+IF(F369="",0,F369),0))</f>
        <v>0</v>
      </c>
      <c r="P369" s="25">
        <f>IF(B369="","",O369-IF(G369="",0,G369))</f>
        <v>0</v>
      </c>
      <c r="Q369" s="25">
        <f>IF(B369="","",IF(RewardAt&lt;=0,0,ROUNDDOWN(P369/RewardAt,0)))</f>
        <v>0</v>
      </c>
      <c r="R369" s="26">
        <f>IF(B369="","",ROUND(Q369*RewardValue,2))</f>
        <v>0</v>
      </c>
      <c r="S369" s="25">
        <f>IF(B369="","",IF(RewardAt&lt;=0,"",MAX(0,RewardAt*(Q369+1)-P369)))</f>
        <v>0</v>
      </c>
      <c r="T369" s="25">
        <f>IF(B369="","",COUNTIFS(Clients!$H$5:$H$504,B369))</f>
        <v>0</v>
      </c>
      <c r="U369" s="26">
        <f>IF(B369="","",ROUND(T369*ReferralReward-IF(J369="",0,J369),2))</f>
        <v>0</v>
      </c>
      <c r="V369" s="15">
        <f>IF(B369="","",IFERROR(INDEX(Clients!$AM$5:$AM$504,MATCH(B369,Clients!$A$5:$A$504,0))&amp;"",""))</f>
        <v>0</v>
      </c>
      <c r="W369" s="25">
        <f>IF(B369="","",COUNTIFS($P$5:$P$504,"&gt;"&amp;P369)+COUNTIFS($P$5:P369,P369))</f>
        <v>0</v>
      </c>
      <c r="X369" s="39">
        <f>IF(B369="","",IF(K369="No","",IF(COUNTIF($B$5:$B$504,B369)&gt;1,"Duplicate - this client is on twice",IF(Q369&gt;0,"Action - reward ready to give",IF(U369&gt;0.004,"Action - referral credit owed",IF(V369="Lapsing","Chase - points are a reason to call",IF(S369&lt;=RewardAt*0.2,"Rebook - nearly at a reward","OK")))))))</f>
        <v>0</v>
      </c>
    </row>
    <row r="370" spans="1:24">
      <c r="A370" s="28">
        <f>IF(B370="","",LoyaltyPrefix&amp;TEXT(ROW()-4,"0000"))</f>
        <v>0</v>
      </c>
      <c r="C370" s="15">
        <f>IF(B370="","",IFERROR(INDEX(Clients!$B$5:$B$504,MATCH(B370,Clients!$A$5:$A$504,0)),"Not in Clients"))</f>
        <v>0</v>
      </c>
      <c r="M370" s="26">
        <f>IF(B370="","",ROUND(SUMIFS(Sales!$Y$5:$Y$1204,Sales!$D$5:$D$1204,B370,Sales!$B$5:$B$1204,"&gt;="&amp;IF(D370="",0,D370)),2))</f>
        <v>0</v>
      </c>
      <c r="N370" s="25">
        <f>IF(B370="","",IFERROR(INDEX(Clients!$T$5:$T$504,MATCH(B370,Clients!$A$5:$A$504,0))*1,0))</f>
        <v>0</v>
      </c>
      <c r="O370" s="25">
        <f>IF(B370="","",ROUND(M370*PointsPerUnit+IF(F370="",0,F370),0))</f>
        <v>0</v>
      </c>
      <c r="P370" s="25">
        <f>IF(B370="","",O370-IF(G370="",0,G370))</f>
        <v>0</v>
      </c>
      <c r="Q370" s="25">
        <f>IF(B370="","",IF(RewardAt&lt;=0,0,ROUNDDOWN(P370/RewardAt,0)))</f>
        <v>0</v>
      </c>
      <c r="R370" s="26">
        <f>IF(B370="","",ROUND(Q370*RewardValue,2))</f>
        <v>0</v>
      </c>
      <c r="S370" s="25">
        <f>IF(B370="","",IF(RewardAt&lt;=0,"",MAX(0,RewardAt*(Q370+1)-P370)))</f>
        <v>0</v>
      </c>
      <c r="T370" s="25">
        <f>IF(B370="","",COUNTIFS(Clients!$H$5:$H$504,B370))</f>
        <v>0</v>
      </c>
      <c r="U370" s="26">
        <f>IF(B370="","",ROUND(T370*ReferralReward-IF(J370="",0,J370),2))</f>
        <v>0</v>
      </c>
      <c r="V370" s="15">
        <f>IF(B370="","",IFERROR(INDEX(Clients!$AM$5:$AM$504,MATCH(B370,Clients!$A$5:$A$504,0))&amp;"",""))</f>
        <v>0</v>
      </c>
      <c r="W370" s="25">
        <f>IF(B370="","",COUNTIFS($P$5:$P$504,"&gt;"&amp;P370)+COUNTIFS($P$5:P370,P370))</f>
        <v>0</v>
      </c>
      <c r="X370" s="39">
        <f>IF(B370="","",IF(K370="No","",IF(COUNTIF($B$5:$B$504,B370)&gt;1,"Duplicate - this client is on twice",IF(Q370&gt;0,"Action - reward ready to give",IF(U370&gt;0.004,"Action - referral credit owed",IF(V370="Lapsing","Chase - points are a reason to call",IF(S370&lt;=RewardAt*0.2,"Rebook - nearly at a reward","OK")))))))</f>
        <v>0</v>
      </c>
    </row>
    <row r="371" spans="1:24">
      <c r="A371" s="28">
        <f>IF(B371="","",LoyaltyPrefix&amp;TEXT(ROW()-4,"0000"))</f>
        <v>0</v>
      </c>
      <c r="C371" s="15">
        <f>IF(B371="","",IFERROR(INDEX(Clients!$B$5:$B$504,MATCH(B371,Clients!$A$5:$A$504,0)),"Not in Clients"))</f>
        <v>0</v>
      </c>
      <c r="M371" s="26">
        <f>IF(B371="","",ROUND(SUMIFS(Sales!$Y$5:$Y$1204,Sales!$D$5:$D$1204,B371,Sales!$B$5:$B$1204,"&gt;="&amp;IF(D371="",0,D371)),2))</f>
        <v>0</v>
      </c>
      <c r="N371" s="25">
        <f>IF(B371="","",IFERROR(INDEX(Clients!$T$5:$T$504,MATCH(B371,Clients!$A$5:$A$504,0))*1,0))</f>
        <v>0</v>
      </c>
      <c r="O371" s="25">
        <f>IF(B371="","",ROUND(M371*PointsPerUnit+IF(F371="",0,F371),0))</f>
        <v>0</v>
      </c>
      <c r="P371" s="25">
        <f>IF(B371="","",O371-IF(G371="",0,G371))</f>
        <v>0</v>
      </c>
      <c r="Q371" s="25">
        <f>IF(B371="","",IF(RewardAt&lt;=0,0,ROUNDDOWN(P371/RewardAt,0)))</f>
        <v>0</v>
      </c>
      <c r="R371" s="26">
        <f>IF(B371="","",ROUND(Q371*RewardValue,2))</f>
        <v>0</v>
      </c>
      <c r="S371" s="25">
        <f>IF(B371="","",IF(RewardAt&lt;=0,"",MAX(0,RewardAt*(Q371+1)-P371)))</f>
        <v>0</v>
      </c>
      <c r="T371" s="25">
        <f>IF(B371="","",COUNTIFS(Clients!$H$5:$H$504,B371))</f>
        <v>0</v>
      </c>
      <c r="U371" s="26">
        <f>IF(B371="","",ROUND(T371*ReferralReward-IF(J371="",0,J371),2))</f>
        <v>0</v>
      </c>
      <c r="V371" s="15">
        <f>IF(B371="","",IFERROR(INDEX(Clients!$AM$5:$AM$504,MATCH(B371,Clients!$A$5:$A$504,0))&amp;"",""))</f>
        <v>0</v>
      </c>
      <c r="W371" s="25">
        <f>IF(B371="","",COUNTIFS($P$5:$P$504,"&gt;"&amp;P371)+COUNTIFS($P$5:P371,P371))</f>
        <v>0</v>
      </c>
      <c r="X371" s="39">
        <f>IF(B371="","",IF(K371="No","",IF(COUNTIF($B$5:$B$504,B371)&gt;1,"Duplicate - this client is on twice",IF(Q371&gt;0,"Action - reward ready to give",IF(U371&gt;0.004,"Action - referral credit owed",IF(V371="Lapsing","Chase - points are a reason to call",IF(S371&lt;=RewardAt*0.2,"Rebook - nearly at a reward","OK")))))))</f>
        <v>0</v>
      </c>
    </row>
    <row r="372" spans="1:24">
      <c r="A372" s="28">
        <f>IF(B372="","",LoyaltyPrefix&amp;TEXT(ROW()-4,"0000"))</f>
        <v>0</v>
      </c>
      <c r="C372" s="15">
        <f>IF(B372="","",IFERROR(INDEX(Clients!$B$5:$B$504,MATCH(B372,Clients!$A$5:$A$504,0)),"Not in Clients"))</f>
        <v>0</v>
      </c>
      <c r="M372" s="26">
        <f>IF(B372="","",ROUND(SUMIFS(Sales!$Y$5:$Y$1204,Sales!$D$5:$D$1204,B372,Sales!$B$5:$B$1204,"&gt;="&amp;IF(D372="",0,D372)),2))</f>
        <v>0</v>
      </c>
      <c r="N372" s="25">
        <f>IF(B372="","",IFERROR(INDEX(Clients!$T$5:$T$504,MATCH(B372,Clients!$A$5:$A$504,0))*1,0))</f>
        <v>0</v>
      </c>
      <c r="O372" s="25">
        <f>IF(B372="","",ROUND(M372*PointsPerUnit+IF(F372="",0,F372),0))</f>
        <v>0</v>
      </c>
      <c r="P372" s="25">
        <f>IF(B372="","",O372-IF(G372="",0,G372))</f>
        <v>0</v>
      </c>
      <c r="Q372" s="25">
        <f>IF(B372="","",IF(RewardAt&lt;=0,0,ROUNDDOWN(P372/RewardAt,0)))</f>
        <v>0</v>
      </c>
      <c r="R372" s="26">
        <f>IF(B372="","",ROUND(Q372*RewardValue,2))</f>
        <v>0</v>
      </c>
      <c r="S372" s="25">
        <f>IF(B372="","",IF(RewardAt&lt;=0,"",MAX(0,RewardAt*(Q372+1)-P372)))</f>
        <v>0</v>
      </c>
      <c r="T372" s="25">
        <f>IF(B372="","",COUNTIFS(Clients!$H$5:$H$504,B372))</f>
        <v>0</v>
      </c>
      <c r="U372" s="26">
        <f>IF(B372="","",ROUND(T372*ReferralReward-IF(J372="",0,J372),2))</f>
        <v>0</v>
      </c>
      <c r="V372" s="15">
        <f>IF(B372="","",IFERROR(INDEX(Clients!$AM$5:$AM$504,MATCH(B372,Clients!$A$5:$A$504,0))&amp;"",""))</f>
        <v>0</v>
      </c>
      <c r="W372" s="25">
        <f>IF(B372="","",COUNTIFS($P$5:$P$504,"&gt;"&amp;P372)+COUNTIFS($P$5:P372,P372))</f>
        <v>0</v>
      </c>
      <c r="X372" s="39">
        <f>IF(B372="","",IF(K372="No","",IF(COUNTIF($B$5:$B$504,B372)&gt;1,"Duplicate - this client is on twice",IF(Q372&gt;0,"Action - reward ready to give",IF(U372&gt;0.004,"Action - referral credit owed",IF(V372="Lapsing","Chase - points are a reason to call",IF(S372&lt;=RewardAt*0.2,"Rebook - nearly at a reward","OK")))))))</f>
        <v>0</v>
      </c>
    </row>
    <row r="373" spans="1:24">
      <c r="A373" s="28">
        <f>IF(B373="","",LoyaltyPrefix&amp;TEXT(ROW()-4,"0000"))</f>
        <v>0</v>
      </c>
      <c r="C373" s="15">
        <f>IF(B373="","",IFERROR(INDEX(Clients!$B$5:$B$504,MATCH(B373,Clients!$A$5:$A$504,0)),"Not in Clients"))</f>
        <v>0</v>
      </c>
      <c r="M373" s="26">
        <f>IF(B373="","",ROUND(SUMIFS(Sales!$Y$5:$Y$1204,Sales!$D$5:$D$1204,B373,Sales!$B$5:$B$1204,"&gt;="&amp;IF(D373="",0,D373)),2))</f>
        <v>0</v>
      </c>
      <c r="N373" s="25">
        <f>IF(B373="","",IFERROR(INDEX(Clients!$T$5:$T$504,MATCH(B373,Clients!$A$5:$A$504,0))*1,0))</f>
        <v>0</v>
      </c>
      <c r="O373" s="25">
        <f>IF(B373="","",ROUND(M373*PointsPerUnit+IF(F373="",0,F373),0))</f>
        <v>0</v>
      </c>
      <c r="P373" s="25">
        <f>IF(B373="","",O373-IF(G373="",0,G373))</f>
        <v>0</v>
      </c>
      <c r="Q373" s="25">
        <f>IF(B373="","",IF(RewardAt&lt;=0,0,ROUNDDOWN(P373/RewardAt,0)))</f>
        <v>0</v>
      </c>
      <c r="R373" s="26">
        <f>IF(B373="","",ROUND(Q373*RewardValue,2))</f>
        <v>0</v>
      </c>
      <c r="S373" s="25">
        <f>IF(B373="","",IF(RewardAt&lt;=0,"",MAX(0,RewardAt*(Q373+1)-P373)))</f>
        <v>0</v>
      </c>
      <c r="T373" s="25">
        <f>IF(B373="","",COUNTIFS(Clients!$H$5:$H$504,B373))</f>
        <v>0</v>
      </c>
      <c r="U373" s="26">
        <f>IF(B373="","",ROUND(T373*ReferralReward-IF(J373="",0,J373),2))</f>
        <v>0</v>
      </c>
      <c r="V373" s="15">
        <f>IF(B373="","",IFERROR(INDEX(Clients!$AM$5:$AM$504,MATCH(B373,Clients!$A$5:$A$504,0))&amp;"",""))</f>
        <v>0</v>
      </c>
      <c r="W373" s="25">
        <f>IF(B373="","",COUNTIFS($P$5:$P$504,"&gt;"&amp;P373)+COUNTIFS($P$5:P373,P373))</f>
        <v>0</v>
      </c>
      <c r="X373" s="39">
        <f>IF(B373="","",IF(K373="No","",IF(COUNTIF($B$5:$B$504,B373)&gt;1,"Duplicate - this client is on twice",IF(Q373&gt;0,"Action - reward ready to give",IF(U373&gt;0.004,"Action - referral credit owed",IF(V373="Lapsing","Chase - points are a reason to call",IF(S373&lt;=RewardAt*0.2,"Rebook - nearly at a reward","OK")))))))</f>
        <v>0</v>
      </c>
    </row>
    <row r="374" spans="1:24">
      <c r="A374" s="28">
        <f>IF(B374="","",LoyaltyPrefix&amp;TEXT(ROW()-4,"0000"))</f>
        <v>0</v>
      </c>
      <c r="C374" s="15">
        <f>IF(B374="","",IFERROR(INDEX(Clients!$B$5:$B$504,MATCH(B374,Clients!$A$5:$A$504,0)),"Not in Clients"))</f>
        <v>0</v>
      </c>
      <c r="M374" s="26">
        <f>IF(B374="","",ROUND(SUMIFS(Sales!$Y$5:$Y$1204,Sales!$D$5:$D$1204,B374,Sales!$B$5:$B$1204,"&gt;="&amp;IF(D374="",0,D374)),2))</f>
        <v>0</v>
      </c>
      <c r="N374" s="25">
        <f>IF(B374="","",IFERROR(INDEX(Clients!$T$5:$T$504,MATCH(B374,Clients!$A$5:$A$504,0))*1,0))</f>
        <v>0</v>
      </c>
      <c r="O374" s="25">
        <f>IF(B374="","",ROUND(M374*PointsPerUnit+IF(F374="",0,F374),0))</f>
        <v>0</v>
      </c>
      <c r="P374" s="25">
        <f>IF(B374="","",O374-IF(G374="",0,G374))</f>
        <v>0</v>
      </c>
      <c r="Q374" s="25">
        <f>IF(B374="","",IF(RewardAt&lt;=0,0,ROUNDDOWN(P374/RewardAt,0)))</f>
        <v>0</v>
      </c>
      <c r="R374" s="26">
        <f>IF(B374="","",ROUND(Q374*RewardValue,2))</f>
        <v>0</v>
      </c>
      <c r="S374" s="25">
        <f>IF(B374="","",IF(RewardAt&lt;=0,"",MAX(0,RewardAt*(Q374+1)-P374)))</f>
        <v>0</v>
      </c>
      <c r="T374" s="25">
        <f>IF(B374="","",COUNTIFS(Clients!$H$5:$H$504,B374))</f>
        <v>0</v>
      </c>
      <c r="U374" s="26">
        <f>IF(B374="","",ROUND(T374*ReferralReward-IF(J374="",0,J374),2))</f>
        <v>0</v>
      </c>
      <c r="V374" s="15">
        <f>IF(B374="","",IFERROR(INDEX(Clients!$AM$5:$AM$504,MATCH(B374,Clients!$A$5:$A$504,0))&amp;"",""))</f>
        <v>0</v>
      </c>
      <c r="W374" s="25">
        <f>IF(B374="","",COUNTIFS($P$5:$P$504,"&gt;"&amp;P374)+COUNTIFS($P$5:P374,P374))</f>
        <v>0</v>
      </c>
      <c r="X374" s="39">
        <f>IF(B374="","",IF(K374="No","",IF(COUNTIF($B$5:$B$504,B374)&gt;1,"Duplicate - this client is on twice",IF(Q374&gt;0,"Action - reward ready to give",IF(U374&gt;0.004,"Action - referral credit owed",IF(V374="Lapsing","Chase - points are a reason to call",IF(S374&lt;=RewardAt*0.2,"Rebook - nearly at a reward","OK")))))))</f>
        <v>0</v>
      </c>
    </row>
    <row r="375" spans="1:24">
      <c r="A375" s="28">
        <f>IF(B375="","",LoyaltyPrefix&amp;TEXT(ROW()-4,"0000"))</f>
        <v>0</v>
      </c>
      <c r="C375" s="15">
        <f>IF(B375="","",IFERROR(INDEX(Clients!$B$5:$B$504,MATCH(B375,Clients!$A$5:$A$504,0)),"Not in Clients"))</f>
        <v>0</v>
      </c>
      <c r="M375" s="26">
        <f>IF(B375="","",ROUND(SUMIFS(Sales!$Y$5:$Y$1204,Sales!$D$5:$D$1204,B375,Sales!$B$5:$B$1204,"&gt;="&amp;IF(D375="",0,D375)),2))</f>
        <v>0</v>
      </c>
      <c r="N375" s="25">
        <f>IF(B375="","",IFERROR(INDEX(Clients!$T$5:$T$504,MATCH(B375,Clients!$A$5:$A$504,0))*1,0))</f>
        <v>0</v>
      </c>
      <c r="O375" s="25">
        <f>IF(B375="","",ROUND(M375*PointsPerUnit+IF(F375="",0,F375),0))</f>
        <v>0</v>
      </c>
      <c r="P375" s="25">
        <f>IF(B375="","",O375-IF(G375="",0,G375))</f>
        <v>0</v>
      </c>
      <c r="Q375" s="25">
        <f>IF(B375="","",IF(RewardAt&lt;=0,0,ROUNDDOWN(P375/RewardAt,0)))</f>
        <v>0</v>
      </c>
      <c r="R375" s="26">
        <f>IF(B375="","",ROUND(Q375*RewardValue,2))</f>
        <v>0</v>
      </c>
      <c r="S375" s="25">
        <f>IF(B375="","",IF(RewardAt&lt;=0,"",MAX(0,RewardAt*(Q375+1)-P375)))</f>
        <v>0</v>
      </c>
      <c r="T375" s="25">
        <f>IF(B375="","",COUNTIFS(Clients!$H$5:$H$504,B375))</f>
        <v>0</v>
      </c>
      <c r="U375" s="26">
        <f>IF(B375="","",ROUND(T375*ReferralReward-IF(J375="",0,J375),2))</f>
        <v>0</v>
      </c>
      <c r="V375" s="15">
        <f>IF(B375="","",IFERROR(INDEX(Clients!$AM$5:$AM$504,MATCH(B375,Clients!$A$5:$A$504,0))&amp;"",""))</f>
        <v>0</v>
      </c>
      <c r="W375" s="25">
        <f>IF(B375="","",COUNTIFS($P$5:$P$504,"&gt;"&amp;P375)+COUNTIFS($P$5:P375,P375))</f>
        <v>0</v>
      </c>
      <c r="X375" s="39">
        <f>IF(B375="","",IF(K375="No","",IF(COUNTIF($B$5:$B$504,B375)&gt;1,"Duplicate - this client is on twice",IF(Q375&gt;0,"Action - reward ready to give",IF(U375&gt;0.004,"Action - referral credit owed",IF(V375="Lapsing","Chase - points are a reason to call",IF(S375&lt;=RewardAt*0.2,"Rebook - nearly at a reward","OK")))))))</f>
        <v>0</v>
      </c>
    </row>
    <row r="376" spans="1:24">
      <c r="A376" s="28">
        <f>IF(B376="","",LoyaltyPrefix&amp;TEXT(ROW()-4,"0000"))</f>
        <v>0</v>
      </c>
      <c r="C376" s="15">
        <f>IF(B376="","",IFERROR(INDEX(Clients!$B$5:$B$504,MATCH(B376,Clients!$A$5:$A$504,0)),"Not in Clients"))</f>
        <v>0</v>
      </c>
      <c r="M376" s="26">
        <f>IF(B376="","",ROUND(SUMIFS(Sales!$Y$5:$Y$1204,Sales!$D$5:$D$1204,B376,Sales!$B$5:$B$1204,"&gt;="&amp;IF(D376="",0,D376)),2))</f>
        <v>0</v>
      </c>
      <c r="N376" s="25">
        <f>IF(B376="","",IFERROR(INDEX(Clients!$T$5:$T$504,MATCH(B376,Clients!$A$5:$A$504,0))*1,0))</f>
        <v>0</v>
      </c>
      <c r="O376" s="25">
        <f>IF(B376="","",ROUND(M376*PointsPerUnit+IF(F376="",0,F376),0))</f>
        <v>0</v>
      </c>
      <c r="P376" s="25">
        <f>IF(B376="","",O376-IF(G376="",0,G376))</f>
        <v>0</v>
      </c>
      <c r="Q376" s="25">
        <f>IF(B376="","",IF(RewardAt&lt;=0,0,ROUNDDOWN(P376/RewardAt,0)))</f>
        <v>0</v>
      </c>
      <c r="R376" s="26">
        <f>IF(B376="","",ROUND(Q376*RewardValue,2))</f>
        <v>0</v>
      </c>
      <c r="S376" s="25">
        <f>IF(B376="","",IF(RewardAt&lt;=0,"",MAX(0,RewardAt*(Q376+1)-P376)))</f>
        <v>0</v>
      </c>
      <c r="T376" s="25">
        <f>IF(B376="","",COUNTIFS(Clients!$H$5:$H$504,B376))</f>
        <v>0</v>
      </c>
      <c r="U376" s="26">
        <f>IF(B376="","",ROUND(T376*ReferralReward-IF(J376="",0,J376),2))</f>
        <v>0</v>
      </c>
      <c r="V376" s="15">
        <f>IF(B376="","",IFERROR(INDEX(Clients!$AM$5:$AM$504,MATCH(B376,Clients!$A$5:$A$504,0))&amp;"",""))</f>
        <v>0</v>
      </c>
      <c r="W376" s="25">
        <f>IF(B376="","",COUNTIFS($P$5:$P$504,"&gt;"&amp;P376)+COUNTIFS($P$5:P376,P376))</f>
        <v>0</v>
      </c>
      <c r="X376" s="39">
        <f>IF(B376="","",IF(K376="No","",IF(COUNTIF($B$5:$B$504,B376)&gt;1,"Duplicate - this client is on twice",IF(Q376&gt;0,"Action - reward ready to give",IF(U376&gt;0.004,"Action - referral credit owed",IF(V376="Lapsing","Chase - points are a reason to call",IF(S376&lt;=RewardAt*0.2,"Rebook - nearly at a reward","OK")))))))</f>
        <v>0</v>
      </c>
    </row>
    <row r="377" spans="1:24">
      <c r="A377" s="28">
        <f>IF(B377="","",LoyaltyPrefix&amp;TEXT(ROW()-4,"0000"))</f>
        <v>0</v>
      </c>
      <c r="C377" s="15">
        <f>IF(B377="","",IFERROR(INDEX(Clients!$B$5:$B$504,MATCH(B377,Clients!$A$5:$A$504,0)),"Not in Clients"))</f>
        <v>0</v>
      </c>
      <c r="M377" s="26">
        <f>IF(B377="","",ROUND(SUMIFS(Sales!$Y$5:$Y$1204,Sales!$D$5:$D$1204,B377,Sales!$B$5:$B$1204,"&gt;="&amp;IF(D377="",0,D377)),2))</f>
        <v>0</v>
      </c>
      <c r="N377" s="25">
        <f>IF(B377="","",IFERROR(INDEX(Clients!$T$5:$T$504,MATCH(B377,Clients!$A$5:$A$504,0))*1,0))</f>
        <v>0</v>
      </c>
      <c r="O377" s="25">
        <f>IF(B377="","",ROUND(M377*PointsPerUnit+IF(F377="",0,F377),0))</f>
        <v>0</v>
      </c>
      <c r="P377" s="25">
        <f>IF(B377="","",O377-IF(G377="",0,G377))</f>
        <v>0</v>
      </c>
      <c r="Q377" s="25">
        <f>IF(B377="","",IF(RewardAt&lt;=0,0,ROUNDDOWN(P377/RewardAt,0)))</f>
        <v>0</v>
      </c>
      <c r="R377" s="26">
        <f>IF(B377="","",ROUND(Q377*RewardValue,2))</f>
        <v>0</v>
      </c>
      <c r="S377" s="25">
        <f>IF(B377="","",IF(RewardAt&lt;=0,"",MAX(0,RewardAt*(Q377+1)-P377)))</f>
        <v>0</v>
      </c>
      <c r="T377" s="25">
        <f>IF(B377="","",COUNTIFS(Clients!$H$5:$H$504,B377))</f>
        <v>0</v>
      </c>
      <c r="U377" s="26">
        <f>IF(B377="","",ROUND(T377*ReferralReward-IF(J377="",0,J377),2))</f>
        <v>0</v>
      </c>
      <c r="V377" s="15">
        <f>IF(B377="","",IFERROR(INDEX(Clients!$AM$5:$AM$504,MATCH(B377,Clients!$A$5:$A$504,0))&amp;"",""))</f>
        <v>0</v>
      </c>
      <c r="W377" s="25">
        <f>IF(B377="","",COUNTIFS($P$5:$P$504,"&gt;"&amp;P377)+COUNTIFS($P$5:P377,P377))</f>
        <v>0</v>
      </c>
      <c r="X377" s="39">
        <f>IF(B377="","",IF(K377="No","",IF(COUNTIF($B$5:$B$504,B377)&gt;1,"Duplicate - this client is on twice",IF(Q377&gt;0,"Action - reward ready to give",IF(U377&gt;0.004,"Action - referral credit owed",IF(V377="Lapsing","Chase - points are a reason to call",IF(S377&lt;=RewardAt*0.2,"Rebook - nearly at a reward","OK")))))))</f>
        <v>0</v>
      </c>
    </row>
    <row r="378" spans="1:24">
      <c r="A378" s="28">
        <f>IF(B378="","",LoyaltyPrefix&amp;TEXT(ROW()-4,"0000"))</f>
        <v>0</v>
      </c>
      <c r="C378" s="15">
        <f>IF(B378="","",IFERROR(INDEX(Clients!$B$5:$B$504,MATCH(B378,Clients!$A$5:$A$504,0)),"Not in Clients"))</f>
        <v>0</v>
      </c>
      <c r="M378" s="26">
        <f>IF(B378="","",ROUND(SUMIFS(Sales!$Y$5:$Y$1204,Sales!$D$5:$D$1204,B378,Sales!$B$5:$B$1204,"&gt;="&amp;IF(D378="",0,D378)),2))</f>
        <v>0</v>
      </c>
      <c r="N378" s="25">
        <f>IF(B378="","",IFERROR(INDEX(Clients!$T$5:$T$504,MATCH(B378,Clients!$A$5:$A$504,0))*1,0))</f>
        <v>0</v>
      </c>
      <c r="O378" s="25">
        <f>IF(B378="","",ROUND(M378*PointsPerUnit+IF(F378="",0,F378),0))</f>
        <v>0</v>
      </c>
      <c r="P378" s="25">
        <f>IF(B378="","",O378-IF(G378="",0,G378))</f>
        <v>0</v>
      </c>
      <c r="Q378" s="25">
        <f>IF(B378="","",IF(RewardAt&lt;=0,0,ROUNDDOWN(P378/RewardAt,0)))</f>
        <v>0</v>
      </c>
      <c r="R378" s="26">
        <f>IF(B378="","",ROUND(Q378*RewardValue,2))</f>
        <v>0</v>
      </c>
      <c r="S378" s="25">
        <f>IF(B378="","",IF(RewardAt&lt;=0,"",MAX(0,RewardAt*(Q378+1)-P378)))</f>
        <v>0</v>
      </c>
      <c r="T378" s="25">
        <f>IF(B378="","",COUNTIFS(Clients!$H$5:$H$504,B378))</f>
        <v>0</v>
      </c>
      <c r="U378" s="26">
        <f>IF(B378="","",ROUND(T378*ReferralReward-IF(J378="",0,J378),2))</f>
        <v>0</v>
      </c>
      <c r="V378" s="15">
        <f>IF(B378="","",IFERROR(INDEX(Clients!$AM$5:$AM$504,MATCH(B378,Clients!$A$5:$A$504,0))&amp;"",""))</f>
        <v>0</v>
      </c>
      <c r="W378" s="25">
        <f>IF(B378="","",COUNTIFS($P$5:$P$504,"&gt;"&amp;P378)+COUNTIFS($P$5:P378,P378))</f>
        <v>0</v>
      </c>
      <c r="X378" s="39">
        <f>IF(B378="","",IF(K378="No","",IF(COUNTIF($B$5:$B$504,B378)&gt;1,"Duplicate - this client is on twice",IF(Q378&gt;0,"Action - reward ready to give",IF(U378&gt;0.004,"Action - referral credit owed",IF(V378="Lapsing","Chase - points are a reason to call",IF(S378&lt;=RewardAt*0.2,"Rebook - nearly at a reward","OK")))))))</f>
        <v>0</v>
      </c>
    </row>
    <row r="379" spans="1:24">
      <c r="A379" s="28">
        <f>IF(B379="","",LoyaltyPrefix&amp;TEXT(ROW()-4,"0000"))</f>
        <v>0</v>
      </c>
      <c r="C379" s="15">
        <f>IF(B379="","",IFERROR(INDEX(Clients!$B$5:$B$504,MATCH(B379,Clients!$A$5:$A$504,0)),"Not in Clients"))</f>
        <v>0</v>
      </c>
      <c r="M379" s="26">
        <f>IF(B379="","",ROUND(SUMIFS(Sales!$Y$5:$Y$1204,Sales!$D$5:$D$1204,B379,Sales!$B$5:$B$1204,"&gt;="&amp;IF(D379="",0,D379)),2))</f>
        <v>0</v>
      </c>
      <c r="N379" s="25">
        <f>IF(B379="","",IFERROR(INDEX(Clients!$T$5:$T$504,MATCH(B379,Clients!$A$5:$A$504,0))*1,0))</f>
        <v>0</v>
      </c>
      <c r="O379" s="25">
        <f>IF(B379="","",ROUND(M379*PointsPerUnit+IF(F379="",0,F379),0))</f>
        <v>0</v>
      </c>
      <c r="P379" s="25">
        <f>IF(B379="","",O379-IF(G379="",0,G379))</f>
        <v>0</v>
      </c>
      <c r="Q379" s="25">
        <f>IF(B379="","",IF(RewardAt&lt;=0,0,ROUNDDOWN(P379/RewardAt,0)))</f>
        <v>0</v>
      </c>
      <c r="R379" s="26">
        <f>IF(B379="","",ROUND(Q379*RewardValue,2))</f>
        <v>0</v>
      </c>
      <c r="S379" s="25">
        <f>IF(B379="","",IF(RewardAt&lt;=0,"",MAX(0,RewardAt*(Q379+1)-P379)))</f>
        <v>0</v>
      </c>
      <c r="T379" s="25">
        <f>IF(B379="","",COUNTIFS(Clients!$H$5:$H$504,B379))</f>
        <v>0</v>
      </c>
      <c r="U379" s="26">
        <f>IF(B379="","",ROUND(T379*ReferralReward-IF(J379="",0,J379),2))</f>
        <v>0</v>
      </c>
      <c r="V379" s="15">
        <f>IF(B379="","",IFERROR(INDEX(Clients!$AM$5:$AM$504,MATCH(B379,Clients!$A$5:$A$504,0))&amp;"",""))</f>
        <v>0</v>
      </c>
      <c r="W379" s="25">
        <f>IF(B379="","",COUNTIFS($P$5:$P$504,"&gt;"&amp;P379)+COUNTIFS($P$5:P379,P379))</f>
        <v>0</v>
      </c>
      <c r="X379" s="39">
        <f>IF(B379="","",IF(K379="No","",IF(COUNTIF($B$5:$B$504,B379)&gt;1,"Duplicate - this client is on twice",IF(Q379&gt;0,"Action - reward ready to give",IF(U379&gt;0.004,"Action - referral credit owed",IF(V379="Lapsing","Chase - points are a reason to call",IF(S379&lt;=RewardAt*0.2,"Rebook - nearly at a reward","OK")))))))</f>
        <v>0</v>
      </c>
    </row>
    <row r="380" spans="1:24">
      <c r="A380" s="28">
        <f>IF(B380="","",LoyaltyPrefix&amp;TEXT(ROW()-4,"0000"))</f>
        <v>0</v>
      </c>
      <c r="C380" s="15">
        <f>IF(B380="","",IFERROR(INDEX(Clients!$B$5:$B$504,MATCH(B380,Clients!$A$5:$A$504,0)),"Not in Clients"))</f>
        <v>0</v>
      </c>
      <c r="M380" s="26">
        <f>IF(B380="","",ROUND(SUMIFS(Sales!$Y$5:$Y$1204,Sales!$D$5:$D$1204,B380,Sales!$B$5:$B$1204,"&gt;="&amp;IF(D380="",0,D380)),2))</f>
        <v>0</v>
      </c>
      <c r="N380" s="25">
        <f>IF(B380="","",IFERROR(INDEX(Clients!$T$5:$T$504,MATCH(B380,Clients!$A$5:$A$504,0))*1,0))</f>
        <v>0</v>
      </c>
      <c r="O380" s="25">
        <f>IF(B380="","",ROUND(M380*PointsPerUnit+IF(F380="",0,F380),0))</f>
        <v>0</v>
      </c>
      <c r="P380" s="25">
        <f>IF(B380="","",O380-IF(G380="",0,G380))</f>
        <v>0</v>
      </c>
      <c r="Q380" s="25">
        <f>IF(B380="","",IF(RewardAt&lt;=0,0,ROUNDDOWN(P380/RewardAt,0)))</f>
        <v>0</v>
      </c>
      <c r="R380" s="26">
        <f>IF(B380="","",ROUND(Q380*RewardValue,2))</f>
        <v>0</v>
      </c>
      <c r="S380" s="25">
        <f>IF(B380="","",IF(RewardAt&lt;=0,"",MAX(0,RewardAt*(Q380+1)-P380)))</f>
        <v>0</v>
      </c>
      <c r="T380" s="25">
        <f>IF(B380="","",COUNTIFS(Clients!$H$5:$H$504,B380))</f>
        <v>0</v>
      </c>
      <c r="U380" s="26">
        <f>IF(B380="","",ROUND(T380*ReferralReward-IF(J380="",0,J380),2))</f>
        <v>0</v>
      </c>
      <c r="V380" s="15">
        <f>IF(B380="","",IFERROR(INDEX(Clients!$AM$5:$AM$504,MATCH(B380,Clients!$A$5:$A$504,0))&amp;"",""))</f>
        <v>0</v>
      </c>
      <c r="W380" s="25">
        <f>IF(B380="","",COUNTIFS($P$5:$P$504,"&gt;"&amp;P380)+COUNTIFS($P$5:P380,P380))</f>
        <v>0</v>
      </c>
      <c r="X380" s="39">
        <f>IF(B380="","",IF(K380="No","",IF(COUNTIF($B$5:$B$504,B380)&gt;1,"Duplicate - this client is on twice",IF(Q380&gt;0,"Action - reward ready to give",IF(U380&gt;0.004,"Action - referral credit owed",IF(V380="Lapsing","Chase - points are a reason to call",IF(S380&lt;=RewardAt*0.2,"Rebook - nearly at a reward","OK")))))))</f>
        <v>0</v>
      </c>
    </row>
    <row r="381" spans="1:24">
      <c r="A381" s="28">
        <f>IF(B381="","",LoyaltyPrefix&amp;TEXT(ROW()-4,"0000"))</f>
        <v>0</v>
      </c>
      <c r="C381" s="15">
        <f>IF(B381="","",IFERROR(INDEX(Clients!$B$5:$B$504,MATCH(B381,Clients!$A$5:$A$504,0)),"Not in Clients"))</f>
        <v>0</v>
      </c>
      <c r="M381" s="26">
        <f>IF(B381="","",ROUND(SUMIFS(Sales!$Y$5:$Y$1204,Sales!$D$5:$D$1204,B381,Sales!$B$5:$B$1204,"&gt;="&amp;IF(D381="",0,D381)),2))</f>
        <v>0</v>
      </c>
      <c r="N381" s="25">
        <f>IF(B381="","",IFERROR(INDEX(Clients!$T$5:$T$504,MATCH(B381,Clients!$A$5:$A$504,0))*1,0))</f>
        <v>0</v>
      </c>
      <c r="O381" s="25">
        <f>IF(B381="","",ROUND(M381*PointsPerUnit+IF(F381="",0,F381),0))</f>
        <v>0</v>
      </c>
      <c r="P381" s="25">
        <f>IF(B381="","",O381-IF(G381="",0,G381))</f>
        <v>0</v>
      </c>
      <c r="Q381" s="25">
        <f>IF(B381="","",IF(RewardAt&lt;=0,0,ROUNDDOWN(P381/RewardAt,0)))</f>
        <v>0</v>
      </c>
      <c r="R381" s="26">
        <f>IF(B381="","",ROUND(Q381*RewardValue,2))</f>
        <v>0</v>
      </c>
      <c r="S381" s="25">
        <f>IF(B381="","",IF(RewardAt&lt;=0,"",MAX(0,RewardAt*(Q381+1)-P381)))</f>
        <v>0</v>
      </c>
      <c r="T381" s="25">
        <f>IF(B381="","",COUNTIFS(Clients!$H$5:$H$504,B381))</f>
        <v>0</v>
      </c>
      <c r="U381" s="26">
        <f>IF(B381="","",ROUND(T381*ReferralReward-IF(J381="",0,J381),2))</f>
        <v>0</v>
      </c>
      <c r="V381" s="15">
        <f>IF(B381="","",IFERROR(INDEX(Clients!$AM$5:$AM$504,MATCH(B381,Clients!$A$5:$A$504,0))&amp;"",""))</f>
        <v>0</v>
      </c>
      <c r="W381" s="25">
        <f>IF(B381="","",COUNTIFS($P$5:$P$504,"&gt;"&amp;P381)+COUNTIFS($P$5:P381,P381))</f>
        <v>0</v>
      </c>
      <c r="X381" s="39">
        <f>IF(B381="","",IF(K381="No","",IF(COUNTIF($B$5:$B$504,B381)&gt;1,"Duplicate - this client is on twice",IF(Q381&gt;0,"Action - reward ready to give",IF(U381&gt;0.004,"Action - referral credit owed",IF(V381="Lapsing","Chase - points are a reason to call",IF(S381&lt;=RewardAt*0.2,"Rebook - nearly at a reward","OK")))))))</f>
        <v>0</v>
      </c>
    </row>
    <row r="382" spans="1:24">
      <c r="A382" s="28">
        <f>IF(B382="","",LoyaltyPrefix&amp;TEXT(ROW()-4,"0000"))</f>
        <v>0</v>
      </c>
      <c r="C382" s="15">
        <f>IF(B382="","",IFERROR(INDEX(Clients!$B$5:$B$504,MATCH(B382,Clients!$A$5:$A$504,0)),"Not in Clients"))</f>
        <v>0</v>
      </c>
      <c r="M382" s="26">
        <f>IF(B382="","",ROUND(SUMIFS(Sales!$Y$5:$Y$1204,Sales!$D$5:$D$1204,B382,Sales!$B$5:$B$1204,"&gt;="&amp;IF(D382="",0,D382)),2))</f>
        <v>0</v>
      </c>
      <c r="N382" s="25">
        <f>IF(B382="","",IFERROR(INDEX(Clients!$T$5:$T$504,MATCH(B382,Clients!$A$5:$A$504,0))*1,0))</f>
        <v>0</v>
      </c>
      <c r="O382" s="25">
        <f>IF(B382="","",ROUND(M382*PointsPerUnit+IF(F382="",0,F382),0))</f>
        <v>0</v>
      </c>
      <c r="P382" s="25">
        <f>IF(B382="","",O382-IF(G382="",0,G382))</f>
        <v>0</v>
      </c>
      <c r="Q382" s="25">
        <f>IF(B382="","",IF(RewardAt&lt;=0,0,ROUNDDOWN(P382/RewardAt,0)))</f>
        <v>0</v>
      </c>
      <c r="R382" s="26">
        <f>IF(B382="","",ROUND(Q382*RewardValue,2))</f>
        <v>0</v>
      </c>
      <c r="S382" s="25">
        <f>IF(B382="","",IF(RewardAt&lt;=0,"",MAX(0,RewardAt*(Q382+1)-P382)))</f>
        <v>0</v>
      </c>
      <c r="T382" s="25">
        <f>IF(B382="","",COUNTIFS(Clients!$H$5:$H$504,B382))</f>
        <v>0</v>
      </c>
      <c r="U382" s="26">
        <f>IF(B382="","",ROUND(T382*ReferralReward-IF(J382="",0,J382),2))</f>
        <v>0</v>
      </c>
      <c r="V382" s="15">
        <f>IF(B382="","",IFERROR(INDEX(Clients!$AM$5:$AM$504,MATCH(B382,Clients!$A$5:$A$504,0))&amp;"",""))</f>
        <v>0</v>
      </c>
      <c r="W382" s="25">
        <f>IF(B382="","",COUNTIFS($P$5:$P$504,"&gt;"&amp;P382)+COUNTIFS($P$5:P382,P382))</f>
        <v>0</v>
      </c>
      <c r="X382" s="39">
        <f>IF(B382="","",IF(K382="No","",IF(COUNTIF($B$5:$B$504,B382)&gt;1,"Duplicate - this client is on twice",IF(Q382&gt;0,"Action - reward ready to give",IF(U382&gt;0.004,"Action - referral credit owed",IF(V382="Lapsing","Chase - points are a reason to call",IF(S382&lt;=RewardAt*0.2,"Rebook - nearly at a reward","OK")))))))</f>
        <v>0</v>
      </c>
    </row>
    <row r="383" spans="1:24">
      <c r="A383" s="28">
        <f>IF(B383="","",LoyaltyPrefix&amp;TEXT(ROW()-4,"0000"))</f>
        <v>0</v>
      </c>
      <c r="C383" s="15">
        <f>IF(B383="","",IFERROR(INDEX(Clients!$B$5:$B$504,MATCH(B383,Clients!$A$5:$A$504,0)),"Not in Clients"))</f>
        <v>0</v>
      </c>
      <c r="M383" s="26">
        <f>IF(B383="","",ROUND(SUMIFS(Sales!$Y$5:$Y$1204,Sales!$D$5:$D$1204,B383,Sales!$B$5:$B$1204,"&gt;="&amp;IF(D383="",0,D383)),2))</f>
        <v>0</v>
      </c>
      <c r="N383" s="25">
        <f>IF(B383="","",IFERROR(INDEX(Clients!$T$5:$T$504,MATCH(B383,Clients!$A$5:$A$504,0))*1,0))</f>
        <v>0</v>
      </c>
      <c r="O383" s="25">
        <f>IF(B383="","",ROUND(M383*PointsPerUnit+IF(F383="",0,F383),0))</f>
        <v>0</v>
      </c>
      <c r="P383" s="25">
        <f>IF(B383="","",O383-IF(G383="",0,G383))</f>
        <v>0</v>
      </c>
      <c r="Q383" s="25">
        <f>IF(B383="","",IF(RewardAt&lt;=0,0,ROUNDDOWN(P383/RewardAt,0)))</f>
        <v>0</v>
      </c>
      <c r="R383" s="26">
        <f>IF(B383="","",ROUND(Q383*RewardValue,2))</f>
        <v>0</v>
      </c>
      <c r="S383" s="25">
        <f>IF(B383="","",IF(RewardAt&lt;=0,"",MAX(0,RewardAt*(Q383+1)-P383)))</f>
        <v>0</v>
      </c>
      <c r="T383" s="25">
        <f>IF(B383="","",COUNTIFS(Clients!$H$5:$H$504,B383))</f>
        <v>0</v>
      </c>
      <c r="U383" s="26">
        <f>IF(B383="","",ROUND(T383*ReferralReward-IF(J383="",0,J383),2))</f>
        <v>0</v>
      </c>
      <c r="V383" s="15">
        <f>IF(B383="","",IFERROR(INDEX(Clients!$AM$5:$AM$504,MATCH(B383,Clients!$A$5:$A$504,0))&amp;"",""))</f>
        <v>0</v>
      </c>
      <c r="W383" s="25">
        <f>IF(B383="","",COUNTIFS($P$5:$P$504,"&gt;"&amp;P383)+COUNTIFS($P$5:P383,P383))</f>
        <v>0</v>
      </c>
      <c r="X383" s="39">
        <f>IF(B383="","",IF(K383="No","",IF(COUNTIF($B$5:$B$504,B383)&gt;1,"Duplicate - this client is on twice",IF(Q383&gt;0,"Action - reward ready to give",IF(U383&gt;0.004,"Action - referral credit owed",IF(V383="Lapsing","Chase - points are a reason to call",IF(S383&lt;=RewardAt*0.2,"Rebook - nearly at a reward","OK")))))))</f>
        <v>0</v>
      </c>
    </row>
    <row r="384" spans="1:24">
      <c r="A384" s="28">
        <f>IF(B384="","",LoyaltyPrefix&amp;TEXT(ROW()-4,"0000"))</f>
        <v>0</v>
      </c>
      <c r="C384" s="15">
        <f>IF(B384="","",IFERROR(INDEX(Clients!$B$5:$B$504,MATCH(B384,Clients!$A$5:$A$504,0)),"Not in Clients"))</f>
        <v>0</v>
      </c>
      <c r="M384" s="26">
        <f>IF(B384="","",ROUND(SUMIFS(Sales!$Y$5:$Y$1204,Sales!$D$5:$D$1204,B384,Sales!$B$5:$B$1204,"&gt;="&amp;IF(D384="",0,D384)),2))</f>
        <v>0</v>
      </c>
      <c r="N384" s="25">
        <f>IF(B384="","",IFERROR(INDEX(Clients!$T$5:$T$504,MATCH(B384,Clients!$A$5:$A$504,0))*1,0))</f>
        <v>0</v>
      </c>
      <c r="O384" s="25">
        <f>IF(B384="","",ROUND(M384*PointsPerUnit+IF(F384="",0,F384),0))</f>
        <v>0</v>
      </c>
      <c r="P384" s="25">
        <f>IF(B384="","",O384-IF(G384="",0,G384))</f>
        <v>0</v>
      </c>
      <c r="Q384" s="25">
        <f>IF(B384="","",IF(RewardAt&lt;=0,0,ROUNDDOWN(P384/RewardAt,0)))</f>
        <v>0</v>
      </c>
      <c r="R384" s="26">
        <f>IF(B384="","",ROUND(Q384*RewardValue,2))</f>
        <v>0</v>
      </c>
      <c r="S384" s="25">
        <f>IF(B384="","",IF(RewardAt&lt;=0,"",MAX(0,RewardAt*(Q384+1)-P384)))</f>
        <v>0</v>
      </c>
      <c r="T384" s="25">
        <f>IF(B384="","",COUNTIFS(Clients!$H$5:$H$504,B384))</f>
        <v>0</v>
      </c>
      <c r="U384" s="26">
        <f>IF(B384="","",ROUND(T384*ReferralReward-IF(J384="",0,J384),2))</f>
        <v>0</v>
      </c>
      <c r="V384" s="15">
        <f>IF(B384="","",IFERROR(INDEX(Clients!$AM$5:$AM$504,MATCH(B384,Clients!$A$5:$A$504,0))&amp;"",""))</f>
        <v>0</v>
      </c>
      <c r="W384" s="25">
        <f>IF(B384="","",COUNTIFS($P$5:$P$504,"&gt;"&amp;P384)+COUNTIFS($P$5:P384,P384))</f>
        <v>0</v>
      </c>
      <c r="X384" s="39">
        <f>IF(B384="","",IF(K384="No","",IF(COUNTIF($B$5:$B$504,B384)&gt;1,"Duplicate - this client is on twice",IF(Q384&gt;0,"Action - reward ready to give",IF(U384&gt;0.004,"Action - referral credit owed",IF(V384="Lapsing","Chase - points are a reason to call",IF(S384&lt;=RewardAt*0.2,"Rebook - nearly at a reward","OK")))))))</f>
        <v>0</v>
      </c>
    </row>
    <row r="385" spans="1:24">
      <c r="A385" s="28">
        <f>IF(B385="","",LoyaltyPrefix&amp;TEXT(ROW()-4,"0000"))</f>
        <v>0</v>
      </c>
      <c r="C385" s="15">
        <f>IF(B385="","",IFERROR(INDEX(Clients!$B$5:$B$504,MATCH(B385,Clients!$A$5:$A$504,0)),"Not in Clients"))</f>
        <v>0</v>
      </c>
      <c r="M385" s="26">
        <f>IF(B385="","",ROUND(SUMIFS(Sales!$Y$5:$Y$1204,Sales!$D$5:$D$1204,B385,Sales!$B$5:$B$1204,"&gt;="&amp;IF(D385="",0,D385)),2))</f>
        <v>0</v>
      </c>
      <c r="N385" s="25">
        <f>IF(B385="","",IFERROR(INDEX(Clients!$T$5:$T$504,MATCH(B385,Clients!$A$5:$A$504,0))*1,0))</f>
        <v>0</v>
      </c>
      <c r="O385" s="25">
        <f>IF(B385="","",ROUND(M385*PointsPerUnit+IF(F385="",0,F385),0))</f>
        <v>0</v>
      </c>
      <c r="P385" s="25">
        <f>IF(B385="","",O385-IF(G385="",0,G385))</f>
        <v>0</v>
      </c>
      <c r="Q385" s="25">
        <f>IF(B385="","",IF(RewardAt&lt;=0,0,ROUNDDOWN(P385/RewardAt,0)))</f>
        <v>0</v>
      </c>
      <c r="R385" s="26">
        <f>IF(B385="","",ROUND(Q385*RewardValue,2))</f>
        <v>0</v>
      </c>
      <c r="S385" s="25">
        <f>IF(B385="","",IF(RewardAt&lt;=0,"",MAX(0,RewardAt*(Q385+1)-P385)))</f>
        <v>0</v>
      </c>
      <c r="T385" s="25">
        <f>IF(B385="","",COUNTIFS(Clients!$H$5:$H$504,B385))</f>
        <v>0</v>
      </c>
      <c r="U385" s="26">
        <f>IF(B385="","",ROUND(T385*ReferralReward-IF(J385="",0,J385),2))</f>
        <v>0</v>
      </c>
      <c r="V385" s="15">
        <f>IF(B385="","",IFERROR(INDEX(Clients!$AM$5:$AM$504,MATCH(B385,Clients!$A$5:$A$504,0))&amp;"",""))</f>
        <v>0</v>
      </c>
      <c r="W385" s="25">
        <f>IF(B385="","",COUNTIFS($P$5:$P$504,"&gt;"&amp;P385)+COUNTIFS($P$5:P385,P385))</f>
        <v>0</v>
      </c>
      <c r="X385" s="39">
        <f>IF(B385="","",IF(K385="No","",IF(COUNTIF($B$5:$B$504,B385)&gt;1,"Duplicate - this client is on twice",IF(Q385&gt;0,"Action - reward ready to give",IF(U385&gt;0.004,"Action - referral credit owed",IF(V385="Lapsing","Chase - points are a reason to call",IF(S385&lt;=RewardAt*0.2,"Rebook - nearly at a reward","OK")))))))</f>
        <v>0</v>
      </c>
    </row>
    <row r="386" spans="1:24">
      <c r="A386" s="28">
        <f>IF(B386="","",LoyaltyPrefix&amp;TEXT(ROW()-4,"0000"))</f>
        <v>0</v>
      </c>
      <c r="C386" s="15">
        <f>IF(B386="","",IFERROR(INDEX(Clients!$B$5:$B$504,MATCH(B386,Clients!$A$5:$A$504,0)),"Not in Clients"))</f>
        <v>0</v>
      </c>
      <c r="M386" s="26">
        <f>IF(B386="","",ROUND(SUMIFS(Sales!$Y$5:$Y$1204,Sales!$D$5:$D$1204,B386,Sales!$B$5:$B$1204,"&gt;="&amp;IF(D386="",0,D386)),2))</f>
        <v>0</v>
      </c>
      <c r="N386" s="25">
        <f>IF(B386="","",IFERROR(INDEX(Clients!$T$5:$T$504,MATCH(B386,Clients!$A$5:$A$504,0))*1,0))</f>
        <v>0</v>
      </c>
      <c r="O386" s="25">
        <f>IF(B386="","",ROUND(M386*PointsPerUnit+IF(F386="",0,F386),0))</f>
        <v>0</v>
      </c>
      <c r="P386" s="25">
        <f>IF(B386="","",O386-IF(G386="",0,G386))</f>
        <v>0</v>
      </c>
      <c r="Q386" s="25">
        <f>IF(B386="","",IF(RewardAt&lt;=0,0,ROUNDDOWN(P386/RewardAt,0)))</f>
        <v>0</v>
      </c>
      <c r="R386" s="26">
        <f>IF(B386="","",ROUND(Q386*RewardValue,2))</f>
        <v>0</v>
      </c>
      <c r="S386" s="25">
        <f>IF(B386="","",IF(RewardAt&lt;=0,"",MAX(0,RewardAt*(Q386+1)-P386)))</f>
        <v>0</v>
      </c>
      <c r="T386" s="25">
        <f>IF(B386="","",COUNTIFS(Clients!$H$5:$H$504,B386))</f>
        <v>0</v>
      </c>
      <c r="U386" s="26">
        <f>IF(B386="","",ROUND(T386*ReferralReward-IF(J386="",0,J386),2))</f>
        <v>0</v>
      </c>
      <c r="V386" s="15">
        <f>IF(B386="","",IFERROR(INDEX(Clients!$AM$5:$AM$504,MATCH(B386,Clients!$A$5:$A$504,0))&amp;"",""))</f>
        <v>0</v>
      </c>
      <c r="W386" s="25">
        <f>IF(B386="","",COUNTIFS($P$5:$P$504,"&gt;"&amp;P386)+COUNTIFS($P$5:P386,P386))</f>
        <v>0</v>
      </c>
      <c r="X386" s="39">
        <f>IF(B386="","",IF(K386="No","",IF(COUNTIF($B$5:$B$504,B386)&gt;1,"Duplicate - this client is on twice",IF(Q386&gt;0,"Action - reward ready to give",IF(U386&gt;0.004,"Action - referral credit owed",IF(V386="Lapsing","Chase - points are a reason to call",IF(S386&lt;=RewardAt*0.2,"Rebook - nearly at a reward","OK")))))))</f>
        <v>0</v>
      </c>
    </row>
    <row r="387" spans="1:24">
      <c r="A387" s="28">
        <f>IF(B387="","",LoyaltyPrefix&amp;TEXT(ROW()-4,"0000"))</f>
        <v>0</v>
      </c>
      <c r="C387" s="15">
        <f>IF(B387="","",IFERROR(INDEX(Clients!$B$5:$B$504,MATCH(B387,Clients!$A$5:$A$504,0)),"Not in Clients"))</f>
        <v>0</v>
      </c>
      <c r="M387" s="26">
        <f>IF(B387="","",ROUND(SUMIFS(Sales!$Y$5:$Y$1204,Sales!$D$5:$D$1204,B387,Sales!$B$5:$B$1204,"&gt;="&amp;IF(D387="",0,D387)),2))</f>
        <v>0</v>
      </c>
      <c r="N387" s="25">
        <f>IF(B387="","",IFERROR(INDEX(Clients!$T$5:$T$504,MATCH(B387,Clients!$A$5:$A$504,0))*1,0))</f>
        <v>0</v>
      </c>
      <c r="O387" s="25">
        <f>IF(B387="","",ROUND(M387*PointsPerUnit+IF(F387="",0,F387),0))</f>
        <v>0</v>
      </c>
      <c r="P387" s="25">
        <f>IF(B387="","",O387-IF(G387="",0,G387))</f>
        <v>0</v>
      </c>
      <c r="Q387" s="25">
        <f>IF(B387="","",IF(RewardAt&lt;=0,0,ROUNDDOWN(P387/RewardAt,0)))</f>
        <v>0</v>
      </c>
      <c r="R387" s="26">
        <f>IF(B387="","",ROUND(Q387*RewardValue,2))</f>
        <v>0</v>
      </c>
      <c r="S387" s="25">
        <f>IF(B387="","",IF(RewardAt&lt;=0,"",MAX(0,RewardAt*(Q387+1)-P387)))</f>
        <v>0</v>
      </c>
      <c r="T387" s="25">
        <f>IF(B387="","",COUNTIFS(Clients!$H$5:$H$504,B387))</f>
        <v>0</v>
      </c>
      <c r="U387" s="26">
        <f>IF(B387="","",ROUND(T387*ReferralReward-IF(J387="",0,J387),2))</f>
        <v>0</v>
      </c>
      <c r="V387" s="15">
        <f>IF(B387="","",IFERROR(INDEX(Clients!$AM$5:$AM$504,MATCH(B387,Clients!$A$5:$A$504,0))&amp;"",""))</f>
        <v>0</v>
      </c>
      <c r="W387" s="25">
        <f>IF(B387="","",COUNTIFS($P$5:$P$504,"&gt;"&amp;P387)+COUNTIFS($P$5:P387,P387))</f>
        <v>0</v>
      </c>
      <c r="X387" s="39">
        <f>IF(B387="","",IF(K387="No","",IF(COUNTIF($B$5:$B$504,B387)&gt;1,"Duplicate - this client is on twice",IF(Q387&gt;0,"Action - reward ready to give",IF(U387&gt;0.004,"Action - referral credit owed",IF(V387="Lapsing","Chase - points are a reason to call",IF(S387&lt;=RewardAt*0.2,"Rebook - nearly at a reward","OK")))))))</f>
        <v>0</v>
      </c>
    </row>
    <row r="388" spans="1:24">
      <c r="A388" s="28">
        <f>IF(B388="","",LoyaltyPrefix&amp;TEXT(ROW()-4,"0000"))</f>
        <v>0</v>
      </c>
      <c r="C388" s="15">
        <f>IF(B388="","",IFERROR(INDEX(Clients!$B$5:$B$504,MATCH(B388,Clients!$A$5:$A$504,0)),"Not in Clients"))</f>
        <v>0</v>
      </c>
      <c r="M388" s="26">
        <f>IF(B388="","",ROUND(SUMIFS(Sales!$Y$5:$Y$1204,Sales!$D$5:$D$1204,B388,Sales!$B$5:$B$1204,"&gt;="&amp;IF(D388="",0,D388)),2))</f>
        <v>0</v>
      </c>
      <c r="N388" s="25">
        <f>IF(B388="","",IFERROR(INDEX(Clients!$T$5:$T$504,MATCH(B388,Clients!$A$5:$A$504,0))*1,0))</f>
        <v>0</v>
      </c>
      <c r="O388" s="25">
        <f>IF(B388="","",ROUND(M388*PointsPerUnit+IF(F388="",0,F388),0))</f>
        <v>0</v>
      </c>
      <c r="P388" s="25">
        <f>IF(B388="","",O388-IF(G388="",0,G388))</f>
        <v>0</v>
      </c>
      <c r="Q388" s="25">
        <f>IF(B388="","",IF(RewardAt&lt;=0,0,ROUNDDOWN(P388/RewardAt,0)))</f>
        <v>0</v>
      </c>
      <c r="R388" s="26">
        <f>IF(B388="","",ROUND(Q388*RewardValue,2))</f>
        <v>0</v>
      </c>
      <c r="S388" s="25">
        <f>IF(B388="","",IF(RewardAt&lt;=0,"",MAX(0,RewardAt*(Q388+1)-P388)))</f>
        <v>0</v>
      </c>
      <c r="T388" s="25">
        <f>IF(B388="","",COUNTIFS(Clients!$H$5:$H$504,B388))</f>
        <v>0</v>
      </c>
      <c r="U388" s="26">
        <f>IF(B388="","",ROUND(T388*ReferralReward-IF(J388="",0,J388),2))</f>
        <v>0</v>
      </c>
      <c r="V388" s="15">
        <f>IF(B388="","",IFERROR(INDEX(Clients!$AM$5:$AM$504,MATCH(B388,Clients!$A$5:$A$504,0))&amp;"",""))</f>
        <v>0</v>
      </c>
      <c r="W388" s="25">
        <f>IF(B388="","",COUNTIFS($P$5:$P$504,"&gt;"&amp;P388)+COUNTIFS($P$5:P388,P388))</f>
        <v>0</v>
      </c>
      <c r="X388" s="39">
        <f>IF(B388="","",IF(K388="No","",IF(COUNTIF($B$5:$B$504,B388)&gt;1,"Duplicate - this client is on twice",IF(Q388&gt;0,"Action - reward ready to give",IF(U388&gt;0.004,"Action - referral credit owed",IF(V388="Lapsing","Chase - points are a reason to call",IF(S388&lt;=RewardAt*0.2,"Rebook - nearly at a reward","OK")))))))</f>
        <v>0</v>
      </c>
    </row>
    <row r="389" spans="1:24">
      <c r="A389" s="28">
        <f>IF(B389="","",LoyaltyPrefix&amp;TEXT(ROW()-4,"0000"))</f>
        <v>0</v>
      </c>
      <c r="C389" s="15">
        <f>IF(B389="","",IFERROR(INDEX(Clients!$B$5:$B$504,MATCH(B389,Clients!$A$5:$A$504,0)),"Not in Clients"))</f>
        <v>0</v>
      </c>
      <c r="M389" s="26">
        <f>IF(B389="","",ROUND(SUMIFS(Sales!$Y$5:$Y$1204,Sales!$D$5:$D$1204,B389,Sales!$B$5:$B$1204,"&gt;="&amp;IF(D389="",0,D389)),2))</f>
        <v>0</v>
      </c>
      <c r="N389" s="25">
        <f>IF(B389="","",IFERROR(INDEX(Clients!$T$5:$T$504,MATCH(B389,Clients!$A$5:$A$504,0))*1,0))</f>
        <v>0</v>
      </c>
      <c r="O389" s="25">
        <f>IF(B389="","",ROUND(M389*PointsPerUnit+IF(F389="",0,F389),0))</f>
        <v>0</v>
      </c>
      <c r="P389" s="25">
        <f>IF(B389="","",O389-IF(G389="",0,G389))</f>
        <v>0</v>
      </c>
      <c r="Q389" s="25">
        <f>IF(B389="","",IF(RewardAt&lt;=0,0,ROUNDDOWN(P389/RewardAt,0)))</f>
        <v>0</v>
      </c>
      <c r="R389" s="26">
        <f>IF(B389="","",ROUND(Q389*RewardValue,2))</f>
        <v>0</v>
      </c>
      <c r="S389" s="25">
        <f>IF(B389="","",IF(RewardAt&lt;=0,"",MAX(0,RewardAt*(Q389+1)-P389)))</f>
        <v>0</v>
      </c>
      <c r="T389" s="25">
        <f>IF(B389="","",COUNTIFS(Clients!$H$5:$H$504,B389))</f>
        <v>0</v>
      </c>
      <c r="U389" s="26">
        <f>IF(B389="","",ROUND(T389*ReferralReward-IF(J389="",0,J389),2))</f>
        <v>0</v>
      </c>
      <c r="V389" s="15">
        <f>IF(B389="","",IFERROR(INDEX(Clients!$AM$5:$AM$504,MATCH(B389,Clients!$A$5:$A$504,0))&amp;"",""))</f>
        <v>0</v>
      </c>
      <c r="W389" s="25">
        <f>IF(B389="","",COUNTIFS($P$5:$P$504,"&gt;"&amp;P389)+COUNTIFS($P$5:P389,P389))</f>
        <v>0</v>
      </c>
      <c r="X389" s="39">
        <f>IF(B389="","",IF(K389="No","",IF(COUNTIF($B$5:$B$504,B389)&gt;1,"Duplicate - this client is on twice",IF(Q389&gt;0,"Action - reward ready to give",IF(U389&gt;0.004,"Action - referral credit owed",IF(V389="Lapsing","Chase - points are a reason to call",IF(S389&lt;=RewardAt*0.2,"Rebook - nearly at a reward","OK")))))))</f>
        <v>0</v>
      </c>
    </row>
    <row r="390" spans="1:24">
      <c r="A390" s="28">
        <f>IF(B390="","",LoyaltyPrefix&amp;TEXT(ROW()-4,"0000"))</f>
        <v>0</v>
      </c>
      <c r="C390" s="15">
        <f>IF(B390="","",IFERROR(INDEX(Clients!$B$5:$B$504,MATCH(B390,Clients!$A$5:$A$504,0)),"Not in Clients"))</f>
        <v>0</v>
      </c>
      <c r="M390" s="26">
        <f>IF(B390="","",ROUND(SUMIFS(Sales!$Y$5:$Y$1204,Sales!$D$5:$D$1204,B390,Sales!$B$5:$B$1204,"&gt;="&amp;IF(D390="",0,D390)),2))</f>
        <v>0</v>
      </c>
      <c r="N390" s="25">
        <f>IF(B390="","",IFERROR(INDEX(Clients!$T$5:$T$504,MATCH(B390,Clients!$A$5:$A$504,0))*1,0))</f>
        <v>0</v>
      </c>
      <c r="O390" s="25">
        <f>IF(B390="","",ROUND(M390*PointsPerUnit+IF(F390="",0,F390),0))</f>
        <v>0</v>
      </c>
      <c r="P390" s="25">
        <f>IF(B390="","",O390-IF(G390="",0,G390))</f>
        <v>0</v>
      </c>
      <c r="Q390" s="25">
        <f>IF(B390="","",IF(RewardAt&lt;=0,0,ROUNDDOWN(P390/RewardAt,0)))</f>
        <v>0</v>
      </c>
      <c r="R390" s="26">
        <f>IF(B390="","",ROUND(Q390*RewardValue,2))</f>
        <v>0</v>
      </c>
      <c r="S390" s="25">
        <f>IF(B390="","",IF(RewardAt&lt;=0,"",MAX(0,RewardAt*(Q390+1)-P390)))</f>
        <v>0</v>
      </c>
      <c r="T390" s="25">
        <f>IF(B390="","",COUNTIFS(Clients!$H$5:$H$504,B390))</f>
        <v>0</v>
      </c>
      <c r="U390" s="26">
        <f>IF(B390="","",ROUND(T390*ReferralReward-IF(J390="",0,J390),2))</f>
        <v>0</v>
      </c>
      <c r="V390" s="15">
        <f>IF(B390="","",IFERROR(INDEX(Clients!$AM$5:$AM$504,MATCH(B390,Clients!$A$5:$A$504,0))&amp;"",""))</f>
        <v>0</v>
      </c>
      <c r="W390" s="25">
        <f>IF(B390="","",COUNTIFS($P$5:$P$504,"&gt;"&amp;P390)+COUNTIFS($P$5:P390,P390))</f>
        <v>0</v>
      </c>
      <c r="X390" s="39">
        <f>IF(B390="","",IF(K390="No","",IF(COUNTIF($B$5:$B$504,B390)&gt;1,"Duplicate - this client is on twice",IF(Q390&gt;0,"Action - reward ready to give",IF(U390&gt;0.004,"Action - referral credit owed",IF(V390="Lapsing","Chase - points are a reason to call",IF(S390&lt;=RewardAt*0.2,"Rebook - nearly at a reward","OK")))))))</f>
        <v>0</v>
      </c>
    </row>
    <row r="391" spans="1:24">
      <c r="A391" s="28">
        <f>IF(B391="","",LoyaltyPrefix&amp;TEXT(ROW()-4,"0000"))</f>
        <v>0</v>
      </c>
      <c r="C391" s="15">
        <f>IF(B391="","",IFERROR(INDEX(Clients!$B$5:$B$504,MATCH(B391,Clients!$A$5:$A$504,0)),"Not in Clients"))</f>
        <v>0</v>
      </c>
      <c r="M391" s="26">
        <f>IF(B391="","",ROUND(SUMIFS(Sales!$Y$5:$Y$1204,Sales!$D$5:$D$1204,B391,Sales!$B$5:$B$1204,"&gt;="&amp;IF(D391="",0,D391)),2))</f>
        <v>0</v>
      </c>
      <c r="N391" s="25">
        <f>IF(B391="","",IFERROR(INDEX(Clients!$T$5:$T$504,MATCH(B391,Clients!$A$5:$A$504,0))*1,0))</f>
        <v>0</v>
      </c>
      <c r="O391" s="25">
        <f>IF(B391="","",ROUND(M391*PointsPerUnit+IF(F391="",0,F391),0))</f>
        <v>0</v>
      </c>
      <c r="P391" s="25">
        <f>IF(B391="","",O391-IF(G391="",0,G391))</f>
        <v>0</v>
      </c>
      <c r="Q391" s="25">
        <f>IF(B391="","",IF(RewardAt&lt;=0,0,ROUNDDOWN(P391/RewardAt,0)))</f>
        <v>0</v>
      </c>
      <c r="R391" s="26">
        <f>IF(B391="","",ROUND(Q391*RewardValue,2))</f>
        <v>0</v>
      </c>
      <c r="S391" s="25">
        <f>IF(B391="","",IF(RewardAt&lt;=0,"",MAX(0,RewardAt*(Q391+1)-P391)))</f>
        <v>0</v>
      </c>
      <c r="T391" s="25">
        <f>IF(B391="","",COUNTIFS(Clients!$H$5:$H$504,B391))</f>
        <v>0</v>
      </c>
      <c r="U391" s="26">
        <f>IF(B391="","",ROUND(T391*ReferralReward-IF(J391="",0,J391),2))</f>
        <v>0</v>
      </c>
      <c r="V391" s="15">
        <f>IF(B391="","",IFERROR(INDEX(Clients!$AM$5:$AM$504,MATCH(B391,Clients!$A$5:$A$504,0))&amp;"",""))</f>
        <v>0</v>
      </c>
      <c r="W391" s="25">
        <f>IF(B391="","",COUNTIFS($P$5:$P$504,"&gt;"&amp;P391)+COUNTIFS($P$5:P391,P391))</f>
        <v>0</v>
      </c>
      <c r="X391" s="39">
        <f>IF(B391="","",IF(K391="No","",IF(COUNTIF($B$5:$B$504,B391)&gt;1,"Duplicate - this client is on twice",IF(Q391&gt;0,"Action - reward ready to give",IF(U391&gt;0.004,"Action - referral credit owed",IF(V391="Lapsing","Chase - points are a reason to call",IF(S391&lt;=RewardAt*0.2,"Rebook - nearly at a reward","OK")))))))</f>
        <v>0</v>
      </c>
    </row>
    <row r="392" spans="1:24">
      <c r="A392" s="28">
        <f>IF(B392="","",LoyaltyPrefix&amp;TEXT(ROW()-4,"0000"))</f>
        <v>0</v>
      </c>
      <c r="C392" s="15">
        <f>IF(B392="","",IFERROR(INDEX(Clients!$B$5:$B$504,MATCH(B392,Clients!$A$5:$A$504,0)),"Not in Clients"))</f>
        <v>0</v>
      </c>
      <c r="M392" s="26">
        <f>IF(B392="","",ROUND(SUMIFS(Sales!$Y$5:$Y$1204,Sales!$D$5:$D$1204,B392,Sales!$B$5:$B$1204,"&gt;="&amp;IF(D392="",0,D392)),2))</f>
        <v>0</v>
      </c>
      <c r="N392" s="25">
        <f>IF(B392="","",IFERROR(INDEX(Clients!$T$5:$T$504,MATCH(B392,Clients!$A$5:$A$504,0))*1,0))</f>
        <v>0</v>
      </c>
      <c r="O392" s="25">
        <f>IF(B392="","",ROUND(M392*PointsPerUnit+IF(F392="",0,F392),0))</f>
        <v>0</v>
      </c>
      <c r="P392" s="25">
        <f>IF(B392="","",O392-IF(G392="",0,G392))</f>
        <v>0</v>
      </c>
      <c r="Q392" s="25">
        <f>IF(B392="","",IF(RewardAt&lt;=0,0,ROUNDDOWN(P392/RewardAt,0)))</f>
        <v>0</v>
      </c>
      <c r="R392" s="26">
        <f>IF(B392="","",ROUND(Q392*RewardValue,2))</f>
        <v>0</v>
      </c>
      <c r="S392" s="25">
        <f>IF(B392="","",IF(RewardAt&lt;=0,"",MAX(0,RewardAt*(Q392+1)-P392)))</f>
        <v>0</v>
      </c>
      <c r="T392" s="25">
        <f>IF(B392="","",COUNTIFS(Clients!$H$5:$H$504,B392))</f>
        <v>0</v>
      </c>
      <c r="U392" s="26">
        <f>IF(B392="","",ROUND(T392*ReferralReward-IF(J392="",0,J392),2))</f>
        <v>0</v>
      </c>
      <c r="V392" s="15">
        <f>IF(B392="","",IFERROR(INDEX(Clients!$AM$5:$AM$504,MATCH(B392,Clients!$A$5:$A$504,0))&amp;"",""))</f>
        <v>0</v>
      </c>
      <c r="W392" s="25">
        <f>IF(B392="","",COUNTIFS($P$5:$P$504,"&gt;"&amp;P392)+COUNTIFS($P$5:P392,P392))</f>
        <v>0</v>
      </c>
      <c r="X392" s="39">
        <f>IF(B392="","",IF(K392="No","",IF(COUNTIF($B$5:$B$504,B392)&gt;1,"Duplicate - this client is on twice",IF(Q392&gt;0,"Action - reward ready to give",IF(U392&gt;0.004,"Action - referral credit owed",IF(V392="Lapsing","Chase - points are a reason to call",IF(S392&lt;=RewardAt*0.2,"Rebook - nearly at a reward","OK")))))))</f>
        <v>0</v>
      </c>
    </row>
    <row r="393" spans="1:24">
      <c r="A393" s="28">
        <f>IF(B393="","",LoyaltyPrefix&amp;TEXT(ROW()-4,"0000"))</f>
        <v>0</v>
      </c>
      <c r="C393" s="15">
        <f>IF(B393="","",IFERROR(INDEX(Clients!$B$5:$B$504,MATCH(B393,Clients!$A$5:$A$504,0)),"Not in Clients"))</f>
        <v>0</v>
      </c>
      <c r="M393" s="26">
        <f>IF(B393="","",ROUND(SUMIFS(Sales!$Y$5:$Y$1204,Sales!$D$5:$D$1204,B393,Sales!$B$5:$B$1204,"&gt;="&amp;IF(D393="",0,D393)),2))</f>
        <v>0</v>
      </c>
      <c r="N393" s="25">
        <f>IF(B393="","",IFERROR(INDEX(Clients!$T$5:$T$504,MATCH(B393,Clients!$A$5:$A$504,0))*1,0))</f>
        <v>0</v>
      </c>
      <c r="O393" s="25">
        <f>IF(B393="","",ROUND(M393*PointsPerUnit+IF(F393="",0,F393),0))</f>
        <v>0</v>
      </c>
      <c r="P393" s="25">
        <f>IF(B393="","",O393-IF(G393="",0,G393))</f>
        <v>0</v>
      </c>
      <c r="Q393" s="25">
        <f>IF(B393="","",IF(RewardAt&lt;=0,0,ROUNDDOWN(P393/RewardAt,0)))</f>
        <v>0</v>
      </c>
      <c r="R393" s="26">
        <f>IF(B393="","",ROUND(Q393*RewardValue,2))</f>
        <v>0</v>
      </c>
      <c r="S393" s="25">
        <f>IF(B393="","",IF(RewardAt&lt;=0,"",MAX(0,RewardAt*(Q393+1)-P393)))</f>
        <v>0</v>
      </c>
      <c r="T393" s="25">
        <f>IF(B393="","",COUNTIFS(Clients!$H$5:$H$504,B393))</f>
        <v>0</v>
      </c>
      <c r="U393" s="26">
        <f>IF(B393="","",ROUND(T393*ReferralReward-IF(J393="",0,J393),2))</f>
        <v>0</v>
      </c>
      <c r="V393" s="15">
        <f>IF(B393="","",IFERROR(INDEX(Clients!$AM$5:$AM$504,MATCH(B393,Clients!$A$5:$A$504,0))&amp;"",""))</f>
        <v>0</v>
      </c>
      <c r="W393" s="25">
        <f>IF(B393="","",COUNTIFS($P$5:$P$504,"&gt;"&amp;P393)+COUNTIFS($P$5:P393,P393))</f>
        <v>0</v>
      </c>
      <c r="X393" s="39">
        <f>IF(B393="","",IF(K393="No","",IF(COUNTIF($B$5:$B$504,B393)&gt;1,"Duplicate - this client is on twice",IF(Q393&gt;0,"Action - reward ready to give",IF(U393&gt;0.004,"Action - referral credit owed",IF(V393="Lapsing","Chase - points are a reason to call",IF(S393&lt;=RewardAt*0.2,"Rebook - nearly at a reward","OK")))))))</f>
        <v>0</v>
      </c>
    </row>
    <row r="394" spans="1:24">
      <c r="A394" s="28">
        <f>IF(B394="","",LoyaltyPrefix&amp;TEXT(ROW()-4,"0000"))</f>
        <v>0</v>
      </c>
      <c r="C394" s="15">
        <f>IF(B394="","",IFERROR(INDEX(Clients!$B$5:$B$504,MATCH(B394,Clients!$A$5:$A$504,0)),"Not in Clients"))</f>
        <v>0</v>
      </c>
      <c r="M394" s="26">
        <f>IF(B394="","",ROUND(SUMIFS(Sales!$Y$5:$Y$1204,Sales!$D$5:$D$1204,B394,Sales!$B$5:$B$1204,"&gt;="&amp;IF(D394="",0,D394)),2))</f>
        <v>0</v>
      </c>
      <c r="N394" s="25">
        <f>IF(B394="","",IFERROR(INDEX(Clients!$T$5:$T$504,MATCH(B394,Clients!$A$5:$A$504,0))*1,0))</f>
        <v>0</v>
      </c>
      <c r="O394" s="25">
        <f>IF(B394="","",ROUND(M394*PointsPerUnit+IF(F394="",0,F394),0))</f>
        <v>0</v>
      </c>
      <c r="P394" s="25">
        <f>IF(B394="","",O394-IF(G394="",0,G394))</f>
        <v>0</v>
      </c>
      <c r="Q394" s="25">
        <f>IF(B394="","",IF(RewardAt&lt;=0,0,ROUNDDOWN(P394/RewardAt,0)))</f>
        <v>0</v>
      </c>
      <c r="R394" s="26">
        <f>IF(B394="","",ROUND(Q394*RewardValue,2))</f>
        <v>0</v>
      </c>
      <c r="S394" s="25">
        <f>IF(B394="","",IF(RewardAt&lt;=0,"",MAX(0,RewardAt*(Q394+1)-P394)))</f>
        <v>0</v>
      </c>
      <c r="T394" s="25">
        <f>IF(B394="","",COUNTIFS(Clients!$H$5:$H$504,B394))</f>
        <v>0</v>
      </c>
      <c r="U394" s="26">
        <f>IF(B394="","",ROUND(T394*ReferralReward-IF(J394="",0,J394),2))</f>
        <v>0</v>
      </c>
      <c r="V394" s="15">
        <f>IF(B394="","",IFERROR(INDEX(Clients!$AM$5:$AM$504,MATCH(B394,Clients!$A$5:$A$504,0))&amp;"",""))</f>
        <v>0</v>
      </c>
      <c r="W394" s="25">
        <f>IF(B394="","",COUNTIFS($P$5:$P$504,"&gt;"&amp;P394)+COUNTIFS($P$5:P394,P394))</f>
        <v>0</v>
      </c>
      <c r="X394" s="39">
        <f>IF(B394="","",IF(K394="No","",IF(COUNTIF($B$5:$B$504,B394)&gt;1,"Duplicate - this client is on twice",IF(Q394&gt;0,"Action - reward ready to give",IF(U394&gt;0.004,"Action - referral credit owed",IF(V394="Lapsing","Chase - points are a reason to call",IF(S394&lt;=RewardAt*0.2,"Rebook - nearly at a reward","OK")))))))</f>
        <v>0</v>
      </c>
    </row>
    <row r="395" spans="1:24">
      <c r="A395" s="28">
        <f>IF(B395="","",LoyaltyPrefix&amp;TEXT(ROW()-4,"0000"))</f>
        <v>0</v>
      </c>
      <c r="C395" s="15">
        <f>IF(B395="","",IFERROR(INDEX(Clients!$B$5:$B$504,MATCH(B395,Clients!$A$5:$A$504,0)),"Not in Clients"))</f>
        <v>0</v>
      </c>
      <c r="M395" s="26">
        <f>IF(B395="","",ROUND(SUMIFS(Sales!$Y$5:$Y$1204,Sales!$D$5:$D$1204,B395,Sales!$B$5:$B$1204,"&gt;="&amp;IF(D395="",0,D395)),2))</f>
        <v>0</v>
      </c>
      <c r="N395" s="25">
        <f>IF(B395="","",IFERROR(INDEX(Clients!$T$5:$T$504,MATCH(B395,Clients!$A$5:$A$504,0))*1,0))</f>
        <v>0</v>
      </c>
      <c r="O395" s="25">
        <f>IF(B395="","",ROUND(M395*PointsPerUnit+IF(F395="",0,F395),0))</f>
        <v>0</v>
      </c>
      <c r="P395" s="25">
        <f>IF(B395="","",O395-IF(G395="",0,G395))</f>
        <v>0</v>
      </c>
      <c r="Q395" s="25">
        <f>IF(B395="","",IF(RewardAt&lt;=0,0,ROUNDDOWN(P395/RewardAt,0)))</f>
        <v>0</v>
      </c>
      <c r="R395" s="26">
        <f>IF(B395="","",ROUND(Q395*RewardValue,2))</f>
        <v>0</v>
      </c>
      <c r="S395" s="25">
        <f>IF(B395="","",IF(RewardAt&lt;=0,"",MAX(0,RewardAt*(Q395+1)-P395)))</f>
        <v>0</v>
      </c>
      <c r="T395" s="25">
        <f>IF(B395="","",COUNTIFS(Clients!$H$5:$H$504,B395))</f>
        <v>0</v>
      </c>
      <c r="U395" s="26">
        <f>IF(B395="","",ROUND(T395*ReferralReward-IF(J395="",0,J395),2))</f>
        <v>0</v>
      </c>
      <c r="V395" s="15">
        <f>IF(B395="","",IFERROR(INDEX(Clients!$AM$5:$AM$504,MATCH(B395,Clients!$A$5:$A$504,0))&amp;"",""))</f>
        <v>0</v>
      </c>
      <c r="W395" s="25">
        <f>IF(B395="","",COUNTIFS($P$5:$P$504,"&gt;"&amp;P395)+COUNTIFS($P$5:P395,P395))</f>
        <v>0</v>
      </c>
      <c r="X395" s="39">
        <f>IF(B395="","",IF(K395="No","",IF(COUNTIF($B$5:$B$504,B395)&gt;1,"Duplicate - this client is on twice",IF(Q395&gt;0,"Action - reward ready to give",IF(U395&gt;0.004,"Action - referral credit owed",IF(V395="Lapsing","Chase - points are a reason to call",IF(S395&lt;=RewardAt*0.2,"Rebook - nearly at a reward","OK")))))))</f>
        <v>0</v>
      </c>
    </row>
    <row r="396" spans="1:24">
      <c r="A396" s="28">
        <f>IF(B396="","",LoyaltyPrefix&amp;TEXT(ROW()-4,"0000"))</f>
        <v>0</v>
      </c>
      <c r="C396" s="15">
        <f>IF(B396="","",IFERROR(INDEX(Clients!$B$5:$B$504,MATCH(B396,Clients!$A$5:$A$504,0)),"Not in Clients"))</f>
        <v>0</v>
      </c>
      <c r="M396" s="26">
        <f>IF(B396="","",ROUND(SUMIFS(Sales!$Y$5:$Y$1204,Sales!$D$5:$D$1204,B396,Sales!$B$5:$B$1204,"&gt;="&amp;IF(D396="",0,D396)),2))</f>
        <v>0</v>
      </c>
      <c r="N396" s="25">
        <f>IF(B396="","",IFERROR(INDEX(Clients!$T$5:$T$504,MATCH(B396,Clients!$A$5:$A$504,0))*1,0))</f>
        <v>0</v>
      </c>
      <c r="O396" s="25">
        <f>IF(B396="","",ROUND(M396*PointsPerUnit+IF(F396="",0,F396),0))</f>
        <v>0</v>
      </c>
      <c r="P396" s="25">
        <f>IF(B396="","",O396-IF(G396="",0,G396))</f>
        <v>0</v>
      </c>
      <c r="Q396" s="25">
        <f>IF(B396="","",IF(RewardAt&lt;=0,0,ROUNDDOWN(P396/RewardAt,0)))</f>
        <v>0</v>
      </c>
      <c r="R396" s="26">
        <f>IF(B396="","",ROUND(Q396*RewardValue,2))</f>
        <v>0</v>
      </c>
      <c r="S396" s="25">
        <f>IF(B396="","",IF(RewardAt&lt;=0,"",MAX(0,RewardAt*(Q396+1)-P396)))</f>
        <v>0</v>
      </c>
      <c r="T396" s="25">
        <f>IF(B396="","",COUNTIFS(Clients!$H$5:$H$504,B396))</f>
        <v>0</v>
      </c>
      <c r="U396" s="26">
        <f>IF(B396="","",ROUND(T396*ReferralReward-IF(J396="",0,J396),2))</f>
        <v>0</v>
      </c>
      <c r="V396" s="15">
        <f>IF(B396="","",IFERROR(INDEX(Clients!$AM$5:$AM$504,MATCH(B396,Clients!$A$5:$A$504,0))&amp;"",""))</f>
        <v>0</v>
      </c>
      <c r="W396" s="25">
        <f>IF(B396="","",COUNTIFS($P$5:$P$504,"&gt;"&amp;P396)+COUNTIFS($P$5:P396,P396))</f>
        <v>0</v>
      </c>
      <c r="X396" s="39">
        <f>IF(B396="","",IF(K396="No","",IF(COUNTIF($B$5:$B$504,B396)&gt;1,"Duplicate - this client is on twice",IF(Q396&gt;0,"Action - reward ready to give",IF(U396&gt;0.004,"Action - referral credit owed",IF(V396="Lapsing","Chase - points are a reason to call",IF(S396&lt;=RewardAt*0.2,"Rebook - nearly at a reward","OK")))))))</f>
        <v>0</v>
      </c>
    </row>
    <row r="397" spans="1:24">
      <c r="A397" s="28">
        <f>IF(B397="","",LoyaltyPrefix&amp;TEXT(ROW()-4,"0000"))</f>
        <v>0</v>
      </c>
      <c r="C397" s="15">
        <f>IF(B397="","",IFERROR(INDEX(Clients!$B$5:$B$504,MATCH(B397,Clients!$A$5:$A$504,0)),"Not in Clients"))</f>
        <v>0</v>
      </c>
      <c r="M397" s="26">
        <f>IF(B397="","",ROUND(SUMIFS(Sales!$Y$5:$Y$1204,Sales!$D$5:$D$1204,B397,Sales!$B$5:$B$1204,"&gt;="&amp;IF(D397="",0,D397)),2))</f>
        <v>0</v>
      </c>
      <c r="N397" s="25">
        <f>IF(B397="","",IFERROR(INDEX(Clients!$T$5:$T$504,MATCH(B397,Clients!$A$5:$A$504,0))*1,0))</f>
        <v>0</v>
      </c>
      <c r="O397" s="25">
        <f>IF(B397="","",ROUND(M397*PointsPerUnit+IF(F397="",0,F397),0))</f>
        <v>0</v>
      </c>
      <c r="P397" s="25">
        <f>IF(B397="","",O397-IF(G397="",0,G397))</f>
        <v>0</v>
      </c>
      <c r="Q397" s="25">
        <f>IF(B397="","",IF(RewardAt&lt;=0,0,ROUNDDOWN(P397/RewardAt,0)))</f>
        <v>0</v>
      </c>
      <c r="R397" s="26">
        <f>IF(B397="","",ROUND(Q397*RewardValue,2))</f>
        <v>0</v>
      </c>
      <c r="S397" s="25">
        <f>IF(B397="","",IF(RewardAt&lt;=0,"",MAX(0,RewardAt*(Q397+1)-P397)))</f>
        <v>0</v>
      </c>
      <c r="T397" s="25">
        <f>IF(B397="","",COUNTIFS(Clients!$H$5:$H$504,B397))</f>
        <v>0</v>
      </c>
      <c r="U397" s="26">
        <f>IF(B397="","",ROUND(T397*ReferralReward-IF(J397="",0,J397),2))</f>
        <v>0</v>
      </c>
      <c r="V397" s="15">
        <f>IF(B397="","",IFERROR(INDEX(Clients!$AM$5:$AM$504,MATCH(B397,Clients!$A$5:$A$504,0))&amp;"",""))</f>
        <v>0</v>
      </c>
      <c r="W397" s="25">
        <f>IF(B397="","",COUNTIFS($P$5:$P$504,"&gt;"&amp;P397)+COUNTIFS($P$5:P397,P397))</f>
        <v>0</v>
      </c>
      <c r="X397" s="39">
        <f>IF(B397="","",IF(K397="No","",IF(COUNTIF($B$5:$B$504,B397)&gt;1,"Duplicate - this client is on twice",IF(Q397&gt;0,"Action - reward ready to give",IF(U397&gt;0.004,"Action - referral credit owed",IF(V397="Lapsing","Chase - points are a reason to call",IF(S397&lt;=RewardAt*0.2,"Rebook - nearly at a reward","OK")))))))</f>
        <v>0</v>
      </c>
    </row>
    <row r="398" spans="1:24">
      <c r="A398" s="28">
        <f>IF(B398="","",LoyaltyPrefix&amp;TEXT(ROW()-4,"0000"))</f>
        <v>0</v>
      </c>
      <c r="C398" s="15">
        <f>IF(B398="","",IFERROR(INDEX(Clients!$B$5:$B$504,MATCH(B398,Clients!$A$5:$A$504,0)),"Not in Clients"))</f>
        <v>0</v>
      </c>
      <c r="M398" s="26">
        <f>IF(B398="","",ROUND(SUMIFS(Sales!$Y$5:$Y$1204,Sales!$D$5:$D$1204,B398,Sales!$B$5:$B$1204,"&gt;="&amp;IF(D398="",0,D398)),2))</f>
        <v>0</v>
      </c>
      <c r="N398" s="25">
        <f>IF(B398="","",IFERROR(INDEX(Clients!$T$5:$T$504,MATCH(B398,Clients!$A$5:$A$504,0))*1,0))</f>
        <v>0</v>
      </c>
      <c r="O398" s="25">
        <f>IF(B398="","",ROUND(M398*PointsPerUnit+IF(F398="",0,F398),0))</f>
        <v>0</v>
      </c>
      <c r="P398" s="25">
        <f>IF(B398="","",O398-IF(G398="",0,G398))</f>
        <v>0</v>
      </c>
      <c r="Q398" s="25">
        <f>IF(B398="","",IF(RewardAt&lt;=0,0,ROUNDDOWN(P398/RewardAt,0)))</f>
        <v>0</v>
      </c>
      <c r="R398" s="26">
        <f>IF(B398="","",ROUND(Q398*RewardValue,2))</f>
        <v>0</v>
      </c>
      <c r="S398" s="25">
        <f>IF(B398="","",IF(RewardAt&lt;=0,"",MAX(0,RewardAt*(Q398+1)-P398)))</f>
        <v>0</v>
      </c>
      <c r="T398" s="25">
        <f>IF(B398="","",COUNTIFS(Clients!$H$5:$H$504,B398))</f>
        <v>0</v>
      </c>
      <c r="U398" s="26">
        <f>IF(B398="","",ROUND(T398*ReferralReward-IF(J398="",0,J398),2))</f>
        <v>0</v>
      </c>
      <c r="V398" s="15">
        <f>IF(B398="","",IFERROR(INDEX(Clients!$AM$5:$AM$504,MATCH(B398,Clients!$A$5:$A$504,0))&amp;"",""))</f>
        <v>0</v>
      </c>
      <c r="W398" s="25">
        <f>IF(B398="","",COUNTIFS($P$5:$P$504,"&gt;"&amp;P398)+COUNTIFS($P$5:P398,P398))</f>
        <v>0</v>
      </c>
      <c r="X398" s="39">
        <f>IF(B398="","",IF(K398="No","",IF(COUNTIF($B$5:$B$504,B398)&gt;1,"Duplicate - this client is on twice",IF(Q398&gt;0,"Action - reward ready to give",IF(U398&gt;0.004,"Action - referral credit owed",IF(V398="Lapsing","Chase - points are a reason to call",IF(S398&lt;=RewardAt*0.2,"Rebook - nearly at a reward","OK")))))))</f>
        <v>0</v>
      </c>
    </row>
    <row r="399" spans="1:24">
      <c r="A399" s="28">
        <f>IF(B399="","",LoyaltyPrefix&amp;TEXT(ROW()-4,"0000"))</f>
        <v>0</v>
      </c>
      <c r="C399" s="15">
        <f>IF(B399="","",IFERROR(INDEX(Clients!$B$5:$B$504,MATCH(B399,Clients!$A$5:$A$504,0)),"Not in Clients"))</f>
        <v>0</v>
      </c>
      <c r="M399" s="26">
        <f>IF(B399="","",ROUND(SUMIFS(Sales!$Y$5:$Y$1204,Sales!$D$5:$D$1204,B399,Sales!$B$5:$B$1204,"&gt;="&amp;IF(D399="",0,D399)),2))</f>
        <v>0</v>
      </c>
      <c r="N399" s="25">
        <f>IF(B399="","",IFERROR(INDEX(Clients!$T$5:$T$504,MATCH(B399,Clients!$A$5:$A$504,0))*1,0))</f>
        <v>0</v>
      </c>
      <c r="O399" s="25">
        <f>IF(B399="","",ROUND(M399*PointsPerUnit+IF(F399="",0,F399),0))</f>
        <v>0</v>
      </c>
      <c r="P399" s="25">
        <f>IF(B399="","",O399-IF(G399="",0,G399))</f>
        <v>0</v>
      </c>
      <c r="Q399" s="25">
        <f>IF(B399="","",IF(RewardAt&lt;=0,0,ROUNDDOWN(P399/RewardAt,0)))</f>
        <v>0</v>
      </c>
      <c r="R399" s="26">
        <f>IF(B399="","",ROUND(Q399*RewardValue,2))</f>
        <v>0</v>
      </c>
      <c r="S399" s="25">
        <f>IF(B399="","",IF(RewardAt&lt;=0,"",MAX(0,RewardAt*(Q399+1)-P399)))</f>
        <v>0</v>
      </c>
      <c r="T399" s="25">
        <f>IF(B399="","",COUNTIFS(Clients!$H$5:$H$504,B399))</f>
        <v>0</v>
      </c>
      <c r="U399" s="26">
        <f>IF(B399="","",ROUND(T399*ReferralReward-IF(J399="",0,J399),2))</f>
        <v>0</v>
      </c>
      <c r="V399" s="15">
        <f>IF(B399="","",IFERROR(INDEX(Clients!$AM$5:$AM$504,MATCH(B399,Clients!$A$5:$A$504,0))&amp;"",""))</f>
        <v>0</v>
      </c>
      <c r="W399" s="25">
        <f>IF(B399="","",COUNTIFS($P$5:$P$504,"&gt;"&amp;P399)+COUNTIFS($P$5:P399,P399))</f>
        <v>0</v>
      </c>
      <c r="X399" s="39">
        <f>IF(B399="","",IF(K399="No","",IF(COUNTIF($B$5:$B$504,B399)&gt;1,"Duplicate - this client is on twice",IF(Q399&gt;0,"Action - reward ready to give",IF(U399&gt;0.004,"Action - referral credit owed",IF(V399="Lapsing","Chase - points are a reason to call",IF(S399&lt;=RewardAt*0.2,"Rebook - nearly at a reward","OK")))))))</f>
        <v>0</v>
      </c>
    </row>
    <row r="400" spans="1:24">
      <c r="A400" s="28">
        <f>IF(B400="","",LoyaltyPrefix&amp;TEXT(ROW()-4,"0000"))</f>
        <v>0</v>
      </c>
      <c r="C400" s="15">
        <f>IF(B400="","",IFERROR(INDEX(Clients!$B$5:$B$504,MATCH(B400,Clients!$A$5:$A$504,0)),"Not in Clients"))</f>
        <v>0</v>
      </c>
      <c r="M400" s="26">
        <f>IF(B400="","",ROUND(SUMIFS(Sales!$Y$5:$Y$1204,Sales!$D$5:$D$1204,B400,Sales!$B$5:$B$1204,"&gt;="&amp;IF(D400="",0,D400)),2))</f>
        <v>0</v>
      </c>
      <c r="N400" s="25">
        <f>IF(B400="","",IFERROR(INDEX(Clients!$T$5:$T$504,MATCH(B400,Clients!$A$5:$A$504,0))*1,0))</f>
        <v>0</v>
      </c>
      <c r="O400" s="25">
        <f>IF(B400="","",ROUND(M400*PointsPerUnit+IF(F400="",0,F400),0))</f>
        <v>0</v>
      </c>
      <c r="P400" s="25">
        <f>IF(B400="","",O400-IF(G400="",0,G400))</f>
        <v>0</v>
      </c>
      <c r="Q400" s="25">
        <f>IF(B400="","",IF(RewardAt&lt;=0,0,ROUNDDOWN(P400/RewardAt,0)))</f>
        <v>0</v>
      </c>
      <c r="R400" s="26">
        <f>IF(B400="","",ROUND(Q400*RewardValue,2))</f>
        <v>0</v>
      </c>
      <c r="S400" s="25">
        <f>IF(B400="","",IF(RewardAt&lt;=0,"",MAX(0,RewardAt*(Q400+1)-P400)))</f>
        <v>0</v>
      </c>
      <c r="T400" s="25">
        <f>IF(B400="","",COUNTIFS(Clients!$H$5:$H$504,B400))</f>
        <v>0</v>
      </c>
      <c r="U400" s="26">
        <f>IF(B400="","",ROUND(T400*ReferralReward-IF(J400="",0,J400),2))</f>
        <v>0</v>
      </c>
      <c r="V400" s="15">
        <f>IF(B400="","",IFERROR(INDEX(Clients!$AM$5:$AM$504,MATCH(B400,Clients!$A$5:$A$504,0))&amp;"",""))</f>
        <v>0</v>
      </c>
      <c r="W400" s="25">
        <f>IF(B400="","",COUNTIFS($P$5:$P$504,"&gt;"&amp;P400)+COUNTIFS($P$5:P400,P400))</f>
        <v>0</v>
      </c>
      <c r="X400" s="39">
        <f>IF(B400="","",IF(K400="No","",IF(COUNTIF($B$5:$B$504,B400)&gt;1,"Duplicate - this client is on twice",IF(Q400&gt;0,"Action - reward ready to give",IF(U400&gt;0.004,"Action - referral credit owed",IF(V400="Lapsing","Chase - points are a reason to call",IF(S400&lt;=RewardAt*0.2,"Rebook - nearly at a reward","OK")))))))</f>
        <v>0</v>
      </c>
    </row>
    <row r="401" spans="1:24">
      <c r="A401" s="28">
        <f>IF(B401="","",LoyaltyPrefix&amp;TEXT(ROW()-4,"0000"))</f>
        <v>0</v>
      </c>
      <c r="C401" s="15">
        <f>IF(B401="","",IFERROR(INDEX(Clients!$B$5:$B$504,MATCH(B401,Clients!$A$5:$A$504,0)),"Not in Clients"))</f>
        <v>0</v>
      </c>
      <c r="M401" s="26">
        <f>IF(B401="","",ROUND(SUMIFS(Sales!$Y$5:$Y$1204,Sales!$D$5:$D$1204,B401,Sales!$B$5:$B$1204,"&gt;="&amp;IF(D401="",0,D401)),2))</f>
        <v>0</v>
      </c>
      <c r="N401" s="25">
        <f>IF(B401="","",IFERROR(INDEX(Clients!$T$5:$T$504,MATCH(B401,Clients!$A$5:$A$504,0))*1,0))</f>
        <v>0</v>
      </c>
      <c r="O401" s="25">
        <f>IF(B401="","",ROUND(M401*PointsPerUnit+IF(F401="",0,F401),0))</f>
        <v>0</v>
      </c>
      <c r="P401" s="25">
        <f>IF(B401="","",O401-IF(G401="",0,G401))</f>
        <v>0</v>
      </c>
      <c r="Q401" s="25">
        <f>IF(B401="","",IF(RewardAt&lt;=0,0,ROUNDDOWN(P401/RewardAt,0)))</f>
        <v>0</v>
      </c>
      <c r="R401" s="26">
        <f>IF(B401="","",ROUND(Q401*RewardValue,2))</f>
        <v>0</v>
      </c>
      <c r="S401" s="25">
        <f>IF(B401="","",IF(RewardAt&lt;=0,"",MAX(0,RewardAt*(Q401+1)-P401)))</f>
        <v>0</v>
      </c>
      <c r="T401" s="25">
        <f>IF(B401="","",COUNTIFS(Clients!$H$5:$H$504,B401))</f>
        <v>0</v>
      </c>
      <c r="U401" s="26">
        <f>IF(B401="","",ROUND(T401*ReferralReward-IF(J401="",0,J401),2))</f>
        <v>0</v>
      </c>
      <c r="V401" s="15">
        <f>IF(B401="","",IFERROR(INDEX(Clients!$AM$5:$AM$504,MATCH(B401,Clients!$A$5:$A$504,0))&amp;"",""))</f>
        <v>0</v>
      </c>
      <c r="W401" s="25">
        <f>IF(B401="","",COUNTIFS($P$5:$P$504,"&gt;"&amp;P401)+COUNTIFS($P$5:P401,P401))</f>
        <v>0</v>
      </c>
      <c r="X401" s="39">
        <f>IF(B401="","",IF(K401="No","",IF(COUNTIF($B$5:$B$504,B401)&gt;1,"Duplicate - this client is on twice",IF(Q401&gt;0,"Action - reward ready to give",IF(U401&gt;0.004,"Action - referral credit owed",IF(V401="Lapsing","Chase - points are a reason to call",IF(S401&lt;=RewardAt*0.2,"Rebook - nearly at a reward","OK")))))))</f>
        <v>0</v>
      </c>
    </row>
    <row r="402" spans="1:24">
      <c r="A402" s="28">
        <f>IF(B402="","",LoyaltyPrefix&amp;TEXT(ROW()-4,"0000"))</f>
        <v>0</v>
      </c>
      <c r="C402" s="15">
        <f>IF(B402="","",IFERROR(INDEX(Clients!$B$5:$B$504,MATCH(B402,Clients!$A$5:$A$504,0)),"Not in Clients"))</f>
        <v>0</v>
      </c>
      <c r="M402" s="26">
        <f>IF(B402="","",ROUND(SUMIFS(Sales!$Y$5:$Y$1204,Sales!$D$5:$D$1204,B402,Sales!$B$5:$B$1204,"&gt;="&amp;IF(D402="",0,D402)),2))</f>
        <v>0</v>
      </c>
      <c r="N402" s="25">
        <f>IF(B402="","",IFERROR(INDEX(Clients!$T$5:$T$504,MATCH(B402,Clients!$A$5:$A$504,0))*1,0))</f>
        <v>0</v>
      </c>
      <c r="O402" s="25">
        <f>IF(B402="","",ROUND(M402*PointsPerUnit+IF(F402="",0,F402),0))</f>
        <v>0</v>
      </c>
      <c r="P402" s="25">
        <f>IF(B402="","",O402-IF(G402="",0,G402))</f>
        <v>0</v>
      </c>
      <c r="Q402" s="25">
        <f>IF(B402="","",IF(RewardAt&lt;=0,0,ROUNDDOWN(P402/RewardAt,0)))</f>
        <v>0</v>
      </c>
      <c r="R402" s="26">
        <f>IF(B402="","",ROUND(Q402*RewardValue,2))</f>
        <v>0</v>
      </c>
      <c r="S402" s="25">
        <f>IF(B402="","",IF(RewardAt&lt;=0,"",MAX(0,RewardAt*(Q402+1)-P402)))</f>
        <v>0</v>
      </c>
      <c r="T402" s="25">
        <f>IF(B402="","",COUNTIFS(Clients!$H$5:$H$504,B402))</f>
        <v>0</v>
      </c>
      <c r="U402" s="26">
        <f>IF(B402="","",ROUND(T402*ReferralReward-IF(J402="",0,J402),2))</f>
        <v>0</v>
      </c>
      <c r="V402" s="15">
        <f>IF(B402="","",IFERROR(INDEX(Clients!$AM$5:$AM$504,MATCH(B402,Clients!$A$5:$A$504,0))&amp;"",""))</f>
        <v>0</v>
      </c>
      <c r="W402" s="25">
        <f>IF(B402="","",COUNTIFS($P$5:$P$504,"&gt;"&amp;P402)+COUNTIFS($P$5:P402,P402))</f>
        <v>0</v>
      </c>
      <c r="X402" s="39">
        <f>IF(B402="","",IF(K402="No","",IF(COUNTIF($B$5:$B$504,B402)&gt;1,"Duplicate - this client is on twice",IF(Q402&gt;0,"Action - reward ready to give",IF(U402&gt;0.004,"Action - referral credit owed",IF(V402="Lapsing","Chase - points are a reason to call",IF(S402&lt;=RewardAt*0.2,"Rebook - nearly at a reward","OK")))))))</f>
        <v>0</v>
      </c>
    </row>
    <row r="403" spans="1:24">
      <c r="A403" s="28">
        <f>IF(B403="","",LoyaltyPrefix&amp;TEXT(ROW()-4,"0000"))</f>
        <v>0</v>
      </c>
      <c r="C403" s="15">
        <f>IF(B403="","",IFERROR(INDEX(Clients!$B$5:$B$504,MATCH(B403,Clients!$A$5:$A$504,0)),"Not in Clients"))</f>
        <v>0</v>
      </c>
      <c r="M403" s="26">
        <f>IF(B403="","",ROUND(SUMIFS(Sales!$Y$5:$Y$1204,Sales!$D$5:$D$1204,B403,Sales!$B$5:$B$1204,"&gt;="&amp;IF(D403="",0,D403)),2))</f>
        <v>0</v>
      </c>
      <c r="N403" s="25">
        <f>IF(B403="","",IFERROR(INDEX(Clients!$T$5:$T$504,MATCH(B403,Clients!$A$5:$A$504,0))*1,0))</f>
        <v>0</v>
      </c>
      <c r="O403" s="25">
        <f>IF(B403="","",ROUND(M403*PointsPerUnit+IF(F403="",0,F403),0))</f>
        <v>0</v>
      </c>
      <c r="P403" s="25">
        <f>IF(B403="","",O403-IF(G403="",0,G403))</f>
        <v>0</v>
      </c>
      <c r="Q403" s="25">
        <f>IF(B403="","",IF(RewardAt&lt;=0,0,ROUNDDOWN(P403/RewardAt,0)))</f>
        <v>0</v>
      </c>
      <c r="R403" s="26">
        <f>IF(B403="","",ROUND(Q403*RewardValue,2))</f>
        <v>0</v>
      </c>
      <c r="S403" s="25">
        <f>IF(B403="","",IF(RewardAt&lt;=0,"",MAX(0,RewardAt*(Q403+1)-P403)))</f>
        <v>0</v>
      </c>
      <c r="T403" s="25">
        <f>IF(B403="","",COUNTIFS(Clients!$H$5:$H$504,B403))</f>
        <v>0</v>
      </c>
      <c r="U403" s="26">
        <f>IF(B403="","",ROUND(T403*ReferralReward-IF(J403="",0,J403),2))</f>
        <v>0</v>
      </c>
      <c r="V403" s="15">
        <f>IF(B403="","",IFERROR(INDEX(Clients!$AM$5:$AM$504,MATCH(B403,Clients!$A$5:$A$504,0))&amp;"",""))</f>
        <v>0</v>
      </c>
      <c r="W403" s="25">
        <f>IF(B403="","",COUNTIFS($P$5:$P$504,"&gt;"&amp;P403)+COUNTIFS($P$5:P403,P403))</f>
        <v>0</v>
      </c>
      <c r="X403" s="39">
        <f>IF(B403="","",IF(K403="No","",IF(COUNTIF($B$5:$B$504,B403)&gt;1,"Duplicate - this client is on twice",IF(Q403&gt;0,"Action - reward ready to give",IF(U403&gt;0.004,"Action - referral credit owed",IF(V403="Lapsing","Chase - points are a reason to call",IF(S403&lt;=RewardAt*0.2,"Rebook - nearly at a reward","OK")))))))</f>
        <v>0</v>
      </c>
    </row>
    <row r="404" spans="1:24">
      <c r="A404" s="28">
        <f>IF(B404="","",LoyaltyPrefix&amp;TEXT(ROW()-4,"0000"))</f>
        <v>0</v>
      </c>
      <c r="C404" s="15">
        <f>IF(B404="","",IFERROR(INDEX(Clients!$B$5:$B$504,MATCH(B404,Clients!$A$5:$A$504,0)),"Not in Clients"))</f>
        <v>0</v>
      </c>
      <c r="M404" s="26">
        <f>IF(B404="","",ROUND(SUMIFS(Sales!$Y$5:$Y$1204,Sales!$D$5:$D$1204,B404,Sales!$B$5:$B$1204,"&gt;="&amp;IF(D404="",0,D404)),2))</f>
        <v>0</v>
      </c>
      <c r="N404" s="25">
        <f>IF(B404="","",IFERROR(INDEX(Clients!$T$5:$T$504,MATCH(B404,Clients!$A$5:$A$504,0))*1,0))</f>
        <v>0</v>
      </c>
      <c r="O404" s="25">
        <f>IF(B404="","",ROUND(M404*PointsPerUnit+IF(F404="",0,F404),0))</f>
        <v>0</v>
      </c>
      <c r="P404" s="25">
        <f>IF(B404="","",O404-IF(G404="",0,G404))</f>
        <v>0</v>
      </c>
      <c r="Q404" s="25">
        <f>IF(B404="","",IF(RewardAt&lt;=0,0,ROUNDDOWN(P404/RewardAt,0)))</f>
        <v>0</v>
      </c>
      <c r="R404" s="26">
        <f>IF(B404="","",ROUND(Q404*RewardValue,2))</f>
        <v>0</v>
      </c>
      <c r="S404" s="25">
        <f>IF(B404="","",IF(RewardAt&lt;=0,"",MAX(0,RewardAt*(Q404+1)-P404)))</f>
        <v>0</v>
      </c>
      <c r="T404" s="25">
        <f>IF(B404="","",COUNTIFS(Clients!$H$5:$H$504,B404))</f>
        <v>0</v>
      </c>
      <c r="U404" s="26">
        <f>IF(B404="","",ROUND(T404*ReferralReward-IF(J404="",0,J404),2))</f>
        <v>0</v>
      </c>
      <c r="V404" s="15">
        <f>IF(B404="","",IFERROR(INDEX(Clients!$AM$5:$AM$504,MATCH(B404,Clients!$A$5:$A$504,0))&amp;"",""))</f>
        <v>0</v>
      </c>
      <c r="W404" s="25">
        <f>IF(B404="","",COUNTIFS($P$5:$P$504,"&gt;"&amp;P404)+COUNTIFS($P$5:P404,P404))</f>
        <v>0</v>
      </c>
      <c r="X404" s="39">
        <f>IF(B404="","",IF(K404="No","",IF(COUNTIF($B$5:$B$504,B404)&gt;1,"Duplicate - this client is on twice",IF(Q404&gt;0,"Action - reward ready to give",IF(U404&gt;0.004,"Action - referral credit owed",IF(V404="Lapsing","Chase - points are a reason to call",IF(S404&lt;=RewardAt*0.2,"Rebook - nearly at a reward","OK")))))))</f>
        <v>0</v>
      </c>
    </row>
    <row r="405" spans="1:24">
      <c r="A405" s="28">
        <f>IF(B405="","",LoyaltyPrefix&amp;TEXT(ROW()-4,"0000"))</f>
        <v>0</v>
      </c>
      <c r="C405" s="15">
        <f>IF(B405="","",IFERROR(INDEX(Clients!$B$5:$B$504,MATCH(B405,Clients!$A$5:$A$504,0)),"Not in Clients"))</f>
        <v>0</v>
      </c>
      <c r="M405" s="26">
        <f>IF(B405="","",ROUND(SUMIFS(Sales!$Y$5:$Y$1204,Sales!$D$5:$D$1204,B405,Sales!$B$5:$B$1204,"&gt;="&amp;IF(D405="",0,D405)),2))</f>
        <v>0</v>
      </c>
      <c r="N405" s="25">
        <f>IF(B405="","",IFERROR(INDEX(Clients!$T$5:$T$504,MATCH(B405,Clients!$A$5:$A$504,0))*1,0))</f>
        <v>0</v>
      </c>
      <c r="O405" s="25">
        <f>IF(B405="","",ROUND(M405*PointsPerUnit+IF(F405="",0,F405),0))</f>
        <v>0</v>
      </c>
      <c r="P405" s="25">
        <f>IF(B405="","",O405-IF(G405="",0,G405))</f>
        <v>0</v>
      </c>
      <c r="Q405" s="25">
        <f>IF(B405="","",IF(RewardAt&lt;=0,0,ROUNDDOWN(P405/RewardAt,0)))</f>
        <v>0</v>
      </c>
      <c r="R405" s="26">
        <f>IF(B405="","",ROUND(Q405*RewardValue,2))</f>
        <v>0</v>
      </c>
      <c r="S405" s="25">
        <f>IF(B405="","",IF(RewardAt&lt;=0,"",MAX(0,RewardAt*(Q405+1)-P405)))</f>
        <v>0</v>
      </c>
      <c r="T405" s="25">
        <f>IF(B405="","",COUNTIFS(Clients!$H$5:$H$504,B405))</f>
        <v>0</v>
      </c>
      <c r="U405" s="26">
        <f>IF(B405="","",ROUND(T405*ReferralReward-IF(J405="",0,J405),2))</f>
        <v>0</v>
      </c>
      <c r="V405" s="15">
        <f>IF(B405="","",IFERROR(INDEX(Clients!$AM$5:$AM$504,MATCH(B405,Clients!$A$5:$A$504,0))&amp;"",""))</f>
        <v>0</v>
      </c>
      <c r="W405" s="25">
        <f>IF(B405="","",COUNTIFS($P$5:$P$504,"&gt;"&amp;P405)+COUNTIFS($P$5:P405,P405))</f>
        <v>0</v>
      </c>
      <c r="X405" s="39">
        <f>IF(B405="","",IF(K405="No","",IF(COUNTIF($B$5:$B$504,B405)&gt;1,"Duplicate - this client is on twice",IF(Q405&gt;0,"Action - reward ready to give",IF(U405&gt;0.004,"Action - referral credit owed",IF(V405="Lapsing","Chase - points are a reason to call",IF(S405&lt;=RewardAt*0.2,"Rebook - nearly at a reward","OK")))))))</f>
        <v>0</v>
      </c>
    </row>
    <row r="406" spans="1:24">
      <c r="A406" s="28">
        <f>IF(B406="","",LoyaltyPrefix&amp;TEXT(ROW()-4,"0000"))</f>
        <v>0</v>
      </c>
      <c r="C406" s="15">
        <f>IF(B406="","",IFERROR(INDEX(Clients!$B$5:$B$504,MATCH(B406,Clients!$A$5:$A$504,0)),"Not in Clients"))</f>
        <v>0</v>
      </c>
      <c r="M406" s="26">
        <f>IF(B406="","",ROUND(SUMIFS(Sales!$Y$5:$Y$1204,Sales!$D$5:$D$1204,B406,Sales!$B$5:$B$1204,"&gt;="&amp;IF(D406="",0,D406)),2))</f>
        <v>0</v>
      </c>
      <c r="N406" s="25">
        <f>IF(B406="","",IFERROR(INDEX(Clients!$T$5:$T$504,MATCH(B406,Clients!$A$5:$A$504,0))*1,0))</f>
        <v>0</v>
      </c>
      <c r="O406" s="25">
        <f>IF(B406="","",ROUND(M406*PointsPerUnit+IF(F406="",0,F406),0))</f>
        <v>0</v>
      </c>
      <c r="P406" s="25">
        <f>IF(B406="","",O406-IF(G406="",0,G406))</f>
        <v>0</v>
      </c>
      <c r="Q406" s="25">
        <f>IF(B406="","",IF(RewardAt&lt;=0,0,ROUNDDOWN(P406/RewardAt,0)))</f>
        <v>0</v>
      </c>
      <c r="R406" s="26">
        <f>IF(B406="","",ROUND(Q406*RewardValue,2))</f>
        <v>0</v>
      </c>
      <c r="S406" s="25">
        <f>IF(B406="","",IF(RewardAt&lt;=0,"",MAX(0,RewardAt*(Q406+1)-P406)))</f>
        <v>0</v>
      </c>
      <c r="T406" s="25">
        <f>IF(B406="","",COUNTIFS(Clients!$H$5:$H$504,B406))</f>
        <v>0</v>
      </c>
      <c r="U406" s="26">
        <f>IF(B406="","",ROUND(T406*ReferralReward-IF(J406="",0,J406),2))</f>
        <v>0</v>
      </c>
      <c r="V406" s="15">
        <f>IF(B406="","",IFERROR(INDEX(Clients!$AM$5:$AM$504,MATCH(B406,Clients!$A$5:$A$504,0))&amp;"",""))</f>
        <v>0</v>
      </c>
      <c r="W406" s="25">
        <f>IF(B406="","",COUNTIFS($P$5:$P$504,"&gt;"&amp;P406)+COUNTIFS($P$5:P406,P406))</f>
        <v>0</v>
      </c>
      <c r="X406" s="39">
        <f>IF(B406="","",IF(K406="No","",IF(COUNTIF($B$5:$B$504,B406)&gt;1,"Duplicate - this client is on twice",IF(Q406&gt;0,"Action - reward ready to give",IF(U406&gt;0.004,"Action - referral credit owed",IF(V406="Lapsing","Chase - points are a reason to call",IF(S406&lt;=RewardAt*0.2,"Rebook - nearly at a reward","OK")))))))</f>
        <v>0</v>
      </c>
    </row>
    <row r="407" spans="1:24">
      <c r="A407" s="28">
        <f>IF(B407="","",LoyaltyPrefix&amp;TEXT(ROW()-4,"0000"))</f>
        <v>0</v>
      </c>
      <c r="C407" s="15">
        <f>IF(B407="","",IFERROR(INDEX(Clients!$B$5:$B$504,MATCH(B407,Clients!$A$5:$A$504,0)),"Not in Clients"))</f>
        <v>0</v>
      </c>
      <c r="M407" s="26">
        <f>IF(B407="","",ROUND(SUMIFS(Sales!$Y$5:$Y$1204,Sales!$D$5:$D$1204,B407,Sales!$B$5:$B$1204,"&gt;="&amp;IF(D407="",0,D407)),2))</f>
        <v>0</v>
      </c>
      <c r="N407" s="25">
        <f>IF(B407="","",IFERROR(INDEX(Clients!$T$5:$T$504,MATCH(B407,Clients!$A$5:$A$504,0))*1,0))</f>
        <v>0</v>
      </c>
      <c r="O407" s="25">
        <f>IF(B407="","",ROUND(M407*PointsPerUnit+IF(F407="",0,F407),0))</f>
        <v>0</v>
      </c>
      <c r="P407" s="25">
        <f>IF(B407="","",O407-IF(G407="",0,G407))</f>
        <v>0</v>
      </c>
      <c r="Q407" s="25">
        <f>IF(B407="","",IF(RewardAt&lt;=0,0,ROUNDDOWN(P407/RewardAt,0)))</f>
        <v>0</v>
      </c>
      <c r="R407" s="26">
        <f>IF(B407="","",ROUND(Q407*RewardValue,2))</f>
        <v>0</v>
      </c>
      <c r="S407" s="25">
        <f>IF(B407="","",IF(RewardAt&lt;=0,"",MAX(0,RewardAt*(Q407+1)-P407)))</f>
        <v>0</v>
      </c>
      <c r="T407" s="25">
        <f>IF(B407="","",COUNTIFS(Clients!$H$5:$H$504,B407))</f>
        <v>0</v>
      </c>
      <c r="U407" s="26">
        <f>IF(B407="","",ROUND(T407*ReferralReward-IF(J407="",0,J407),2))</f>
        <v>0</v>
      </c>
      <c r="V407" s="15">
        <f>IF(B407="","",IFERROR(INDEX(Clients!$AM$5:$AM$504,MATCH(B407,Clients!$A$5:$A$504,0))&amp;"",""))</f>
        <v>0</v>
      </c>
      <c r="W407" s="25">
        <f>IF(B407="","",COUNTIFS($P$5:$P$504,"&gt;"&amp;P407)+COUNTIFS($P$5:P407,P407))</f>
        <v>0</v>
      </c>
      <c r="X407" s="39">
        <f>IF(B407="","",IF(K407="No","",IF(COUNTIF($B$5:$B$504,B407)&gt;1,"Duplicate - this client is on twice",IF(Q407&gt;0,"Action - reward ready to give",IF(U407&gt;0.004,"Action - referral credit owed",IF(V407="Lapsing","Chase - points are a reason to call",IF(S407&lt;=RewardAt*0.2,"Rebook - nearly at a reward","OK")))))))</f>
        <v>0</v>
      </c>
    </row>
    <row r="408" spans="1:24">
      <c r="A408" s="28">
        <f>IF(B408="","",LoyaltyPrefix&amp;TEXT(ROW()-4,"0000"))</f>
        <v>0</v>
      </c>
      <c r="C408" s="15">
        <f>IF(B408="","",IFERROR(INDEX(Clients!$B$5:$B$504,MATCH(B408,Clients!$A$5:$A$504,0)),"Not in Clients"))</f>
        <v>0</v>
      </c>
      <c r="M408" s="26">
        <f>IF(B408="","",ROUND(SUMIFS(Sales!$Y$5:$Y$1204,Sales!$D$5:$D$1204,B408,Sales!$B$5:$B$1204,"&gt;="&amp;IF(D408="",0,D408)),2))</f>
        <v>0</v>
      </c>
      <c r="N408" s="25">
        <f>IF(B408="","",IFERROR(INDEX(Clients!$T$5:$T$504,MATCH(B408,Clients!$A$5:$A$504,0))*1,0))</f>
        <v>0</v>
      </c>
      <c r="O408" s="25">
        <f>IF(B408="","",ROUND(M408*PointsPerUnit+IF(F408="",0,F408),0))</f>
        <v>0</v>
      </c>
      <c r="P408" s="25">
        <f>IF(B408="","",O408-IF(G408="",0,G408))</f>
        <v>0</v>
      </c>
      <c r="Q408" s="25">
        <f>IF(B408="","",IF(RewardAt&lt;=0,0,ROUNDDOWN(P408/RewardAt,0)))</f>
        <v>0</v>
      </c>
      <c r="R408" s="26">
        <f>IF(B408="","",ROUND(Q408*RewardValue,2))</f>
        <v>0</v>
      </c>
      <c r="S408" s="25">
        <f>IF(B408="","",IF(RewardAt&lt;=0,"",MAX(0,RewardAt*(Q408+1)-P408)))</f>
        <v>0</v>
      </c>
      <c r="T408" s="25">
        <f>IF(B408="","",COUNTIFS(Clients!$H$5:$H$504,B408))</f>
        <v>0</v>
      </c>
      <c r="U408" s="26">
        <f>IF(B408="","",ROUND(T408*ReferralReward-IF(J408="",0,J408),2))</f>
        <v>0</v>
      </c>
      <c r="V408" s="15">
        <f>IF(B408="","",IFERROR(INDEX(Clients!$AM$5:$AM$504,MATCH(B408,Clients!$A$5:$A$504,0))&amp;"",""))</f>
        <v>0</v>
      </c>
      <c r="W408" s="25">
        <f>IF(B408="","",COUNTIFS($P$5:$P$504,"&gt;"&amp;P408)+COUNTIFS($P$5:P408,P408))</f>
        <v>0</v>
      </c>
      <c r="X408" s="39">
        <f>IF(B408="","",IF(K408="No","",IF(COUNTIF($B$5:$B$504,B408)&gt;1,"Duplicate - this client is on twice",IF(Q408&gt;0,"Action - reward ready to give",IF(U408&gt;0.004,"Action - referral credit owed",IF(V408="Lapsing","Chase - points are a reason to call",IF(S408&lt;=RewardAt*0.2,"Rebook - nearly at a reward","OK")))))))</f>
        <v>0</v>
      </c>
    </row>
    <row r="409" spans="1:24">
      <c r="A409" s="28">
        <f>IF(B409="","",LoyaltyPrefix&amp;TEXT(ROW()-4,"0000"))</f>
        <v>0</v>
      </c>
      <c r="C409" s="15">
        <f>IF(B409="","",IFERROR(INDEX(Clients!$B$5:$B$504,MATCH(B409,Clients!$A$5:$A$504,0)),"Not in Clients"))</f>
        <v>0</v>
      </c>
      <c r="M409" s="26">
        <f>IF(B409="","",ROUND(SUMIFS(Sales!$Y$5:$Y$1204,Sales!$D$5:$D$1204,B409,Sales!$B$5:$B$1204,"&gt;="&amp;IF(D409="",0,D409)),2))</f>
        <v>0</v>
      </c>
      <c r="N409" s="25">
        <f>IF(B409="","",IFERROR(INDEX(Clients!$T$5:$T$504,MATCH(B409,Clients!$A$5:$A$504,0))*1,0))</f>
        <v>0</v>
      </c>
      <c r="O409" s="25">
        <f>IF(B409="","",ROUND(M409*PointsPerUnit+IF(F409="",0,F409),0))</f>
        <v>0</v>
      </c>
      <c r="P409" s="25">
        <f>IF(B409="","",O409-IF(G409="",0,G409))</f>
        <v>0</v>
      </c>
      <c r="Q409" s="25">
        <f>IF(B409="","",IF(RewardAt&lt;=0,0,ROUNDDOWN(P409/RewardAt,0)))</f>
        <v>0</v>
      </c>
      <c r="R409" s="26">
        <f>IF(B409="","",ROUND(Q409*RewardValue,2))</f>
        <v>0</v>
      </c>
      <c r="S409" s="25">
        <f>IF(B409="","",IF(RewardAt&lt;=0,"",MAX(0,RewardAt*(Q409+1)-P409)))</f>
        <v>0</v>
      </c>
      <c r="T409" s="25">
        <f>IF(B409="","",COUNTIFS(Clients!$H$5:$H$504,B409))</f>
        <v>0</v>
      </c>
      <c r="U409" s="26">
        <f>IF(B409="","",ROUND(T409*ReferralReward-IF(J409="",0,J409),2))</f>
        <v>0</v>
      </c>
      <c r="V409" s="15">
        <f>IF(B409="","",IFERROR(INDEX(Clients!$AM$5:$AM$504,MATCH(B409,Clients!$A$5:$A$504,0))&amp;"",""))</f>
        <v>0</v>
      </c>
      <c r="W409" s="25">
        <f>IF(B409="","",COUNTIFS($P$5:$P$504,"&gt;"&amp;P409)+COUNTIFS($P$5:P409,P409))</f>
        <v>0</v>
      </c>
      <c r="X409" s="39">
        <f>IF(B409="","",IF(K409="No","",IF(COUNTIF($B$5:$B$504,B409)&gt;1,"Duplicate - this client is on twice",IF(Q409&gt;0,"Action - reward ready to give",IF(U409&gt;0.004,"Action - referral credit owed",IF(V409="Lapsing","Chase - points are a reason to call",IF(S409&lt;=RewardAt*0.2,"Rebook - nearly at a reward","OK")))))))</f>
        <v>0</v>
      </c>
    </row>
    <row r="410" spans="1:24">
      <c r="A410" s="28">
        <f>IF(B410="","",LoyaltyPrefix&amp;TEXT(ROW()-4,"0000"))</f>
        <v>0</v>
      </c>
      <c r="C410" s="15">
        <f>IF(B410="","",IFERROR(INDEX(Clients!$B$5:$B$504,MATCH(B410,Clients!$A$5:$A$504,0)),"Not in Clients"))</f>
        <v>0</v>
      </c>
      <c r="M410" s="26">
        <f>IF(B410="","",ROUND(SUMIFS(Sales!$Y$5:$Y$1204,Sales!$D$5:$D$1204,B410,Sales!$B$5:$B$1204,"&gt;="&amp;IF(D410="",0,D410)),2))</f>
        <v>0</v>
      </c>
      <c r="N410" s="25">
        <f>IF(B410="","",IFERROR(INDEX(Clients!$T$5:$T$504,MATCH(B410,Clients!$A$5:$A$504,0))*1,0))</f>
        <v>0</v>
      </c>
      <c r="O410" s="25">
        <f>IF(B410="","",ROUND(M410*PointsPerUnit+IF(F410="",0,F410),0))</f>
        <v>0</v>
      </c>
      <c r="P410" s="25">
        <f>IF(B410="","",O410-IF(G410="",0,G410))</f>
        <v>0</v>
      </c>
      <c r="Q410" s="25">
        <f>IF(B410="","",IF(RewardAt&lt;=0,0,ROUNDDOWN(P410/RewardAt,0)))</f>
        <v>0</v>
      </c>
      <c r="R410" s="26">
        <f>IF(B410="","",ROUND(Q410*RewardValue,2))</f>
        <v>0</v>
      </c>
      <c r="S410" s="25">
        <f>IF(B410="","",IF(RewardAt&lt;=0,"",MAX(0,RewardAt*(Q410+1)-P410)))</f>
        <v>0</v>
      </c>
      <c r="T410" s="25">
        <f>IF(B410="","",COUNTIFS(Clients!$H$5:$H$504,B410))</f>
        <v>0</v>
      </c>
      <c r="U410" s="26">
        <f>IF(B410="","",ROUND(T410*ReferralReward-IF(J410="",0,J410),2))</f>
        <v>0</v>
      </c>
      <c r="V410" s="15">
        <f>IF(B410="","",IFERROR(INDEX(Clients!$AM$5:$AM$504,MATCH(B410,Clients!$A$5:$A$504,0))&amp;"",""))</f>
        <v>0</v>
      </c>
      <c r="W410" s="25">
        <f>IF(B410="","",COUNTIFS($P$5:$P$504,"&gt;"&amp;P410)+COUNTIFS($P$5:P410,P410))</f>
        <v>0</v>
      </c>
      <c r="X410" s="39">
        <f>IF(B410="","",IF(K410="No","",IF(COUNTIF($B$5:$B$504,B410)&gt;1,"Duplicate - this client is on twice",IF(Q410&gt;0,"Action - reward ready to give",IF(U410&gt;0.004,"Action - referral credit owed",IF(V410="Lapsing","Chase - points are a reason to call",IF(S410&lt;=RewardAt*0.2,"Rebook - nearly at a reward","OK")))))))</f>
        <v>0</v>
      </c>
    </row>
    <row r="411" spans="1:24">
      <c r="A411" s="28">
        <f>IF(B411="","",LoyaltyPrefix&amp;TEXT(ROW()-4,"0000"))</f>
        <v>0</v>
      </c>
      <c r="C411" s="15">
        <f>IF(B411="","",IFERROR(INDEX(Clients!$B$5:$B$504,MATCH(B411,Clients!$A$5:$A$504,0)),"Not in Clients"))</f>
        <v>0</v>
      </c>
      <c r="M411" s="26">
        <f>IF(B411="","",ROUND(SUMIFS(Sales!$Y$5:$Y$1204,Sales!$D$5:$D$1204,B411,Sales!$B$5:$B$1204,"&gt;="&amp;IF(D411="",0,D411)),2))</f>
        <v>0</v>
      </c>
      <c r="N411" s="25">
        <f>IF(B411="","",IFERROR(INDEX(Clients!$T$5:$T$504,MATCH(B411,Clients!$A$5:$A$504,0))*1,0))</f>
        <v>0</v>
      </c>
      <c r="O411" s="25">
        <f>IF(B411="","",ROUND(M411*PointsPerUnit+IF(F411="",0,F411),0))</f>
        <v>0</v>
      </c>
      <c r="P411" s="25">
        <f>IF(B411="","",O411-IF(G411="",0,G411))</f>
        <v>0</v>
      </c>
      <c r="Q411" s="25">
        <f>IF(B411="","",IF(RewardAt&lt;=0,0,ROUNDDOWN(P411/RewardAt,0)))</f>
        <v>0</v>
      </c>
      <c r="R411" s="26">
        <f>IF(B411="","",ROUND(Q411*RewardValue,2))</f>
        <v>0</v>
      </c>
      <c r="S411" s="25">
        <f>IF(B411="","",IF(RewardAt&lt;=0,"",MAX(0,RewardAt*(Q411+1)-P411)))</f>
        <v>0</v>
      </c>
      <c r="T411" s="25">
        <f>IF(B411="","",COUNTIFS(Clients!$H$5:$H$504,B411))</f>
        <v>0</v>
      </c>
      <c r="U411" s="26">
        <f>IF(B411="","",ROUND(T411*ReferralReward-IF(J411="",0,J411),2))</f>
        <v>0</v>
      </c>
      <c r="V411" s="15">
        <f>IF(B411="","",IFERROR(INDEX(Clients!$AM$5:$AM$504,MATCH(B411,Clients!$A$5:$A$504,0))&amp;"",""))</f>
        <v>0</v>
      </c>
      <c r="W411" s="25">
        <f>IF(B411="","",COUNTIFS($P$5:$P$504,"&gt;"&amp;P411)+COUNTIFS($P$5:P411,P411))</f>
        <v>0</v>
      </c>
      <c r="X411" s="39">
        <f>IF(B411="","",IF(K411="No","",IF(COUNTIF($B$5:$B$504,B411)&gt;1,"Duplicate - this client is on twice",IF(Q411&gt;0,"Action - reward ready to give",IF(U411&gt;0.004,"Action - referral credit owed",IF(V411="Lapsing","Chase - points are a reason to call",IF(S411&lt;=RewardAt*0.2,"Rebook - nearly at a reward","OK")))))))</f>
        <v>0</v>
      </c>
    </row>
    <row r="412" spans="1:24">
      <c r="A412" s="28">
        <f>IF(B412="","",LoyaltyPrefix&amp;TEXT(ROW()-4,"0000"))</f>
        <v>0</v>
      </c>
      <c r="C412" s="15">
        <f>IF(B412="","",IFERROR(INDEX(Clients!$B$5:$B$504,MATCH(B412,Clients!$A$5:$A$504,0)),"Not in Clients"))</f>
        <v>0</v>
      </c>
      <c r="M412" s="26">
        <f>IF(B412="","",ROUND(SUMIFS(Sales!$Y$5:$Y$1204,Sales!$D$5:$D$1204,B412,Sales!$B$5:$B$1204,"&gt;="&amp;IF(D412="",0,D412)),2))</f>
        <v>0</v>
      </c>
      <c r="N412" s="25">
        <f>IF(B412="","",IFERROR(INDEX(Clients!$T$5:$T$504,MATCH(B412,Clients!$A$5:$A$504,0))*1,0))</f>
        <v>0</v>
      </c>
      <c r="O412" s="25">
        <f>IF(B412="","",ROUND(M412*PointsPerUnit+IF(F412="",0,F412),0))</f>
        <v>0</v>
      </c>
      <c r="P412" s="25">
        <f>IF(B412="","",O412-IF(G412="",0,G412))</f>
        <v>0</v>
      </c>
      <c r="Q412" s="25">
        <f>IF(B412="","",IF(RewardAt&lt;=0,0,ROUNDDOWN(P412/RewardAt,0)))</f>
        <v>0</v>
      </c>
      <c r="R412" s="26">
        <f>IF(B412="","",ROUND(Q412*RewardValue,2))</f>
        <v>0</v>
      </c>
      <c r="S412" s="25">
        <f>IF(B412="","",IF(RewardAt&lt;=0,"",MAX(0,RewardAt*(Q412+1)-P412)))</f>
        <v>0</v>
      </c>
      <c r="T412" s="25">
        <f>IF(B412="","",COUNTIFS(Clients!$H$5:$H$504,B412))</f>
        <v>0</v>
      </c>
      <c r="U412" s="26">
        <f>IF(B412="","",ROUND(T412*ReferralReward-IF(J412="",0,J412),2))</f>
        <v>0</v>
      </c>
      <c r="V412" s="15">
        <f>IF(B412="","",IFERROR(INDEX(Clients!$AM$5:$AM$504,MATCH(B412,Clients!$A$5:$A$504,0))&amp;"",""))</f>
        <v>0</v>
      </c>
      <c r="W412" s="25">
        <f>IF(B412="","",COUNTIFS($P$5:$P$504,"&gt;"&amp;P412)+COUNTIFS($P$5:P412,P412))</f>
        <v>0</v>
      </c>
      <c r="X412" s="39">
        <f>IF(B412="","",IF(K412="No","",IF(COUNTIF($B$5:$B$504,B412)&gt;1,"Duplicate - this client is on twice",IF(Q412&gt;0,"Action - reward ready to give",IF(U412&gt;0.004,"Action - referral credit owed",IF(V412="Lapsing","Chase - points are a reason to call",IF(S412&lt;=RewardAt*0.2,"Rebook - nearly at a reward","OK")))))))</f>
        <v>0</v>
      </c>
    </row>
    <row r="413" spans="1:24">
      <c r="A413" s="28">
        <f>IF(B413="","",LoyaltyPrefix&amp;TEXT(ROW()-4,"0000"))</f>
        <v>0</v>
      </c>
      <c r="C413" s="15">
        <f>IF(B413="","",IFERROR(INDEX(Clients!$B$5:$B$504,MATCH(B413,Clients!$A$5:$A$504,0)),"Not in Clients"))</f>
        <v>0</v>
      </c>
      <c r="M413" s="26">
        <f>IF(B413="","",ROUND(SUMIFS(Sales!$Y$5:$Y$1204,Sales!$D$5:$D$1204,B413,Sales!$B$5:$B$1204,"&gt;="&amp;IF(D413="",0,D413)),2))</f>
        <v>0</v>
      </c>
      <c r="N413" s="25">
        <f>IF(B413="","",IFERROR(INDEX(Clients!$T$5:$T$504,MATCH(B413,Clients!$A$5:$A$504,0))*1,0))</f>
        <v>0</v>
      </c>
      <c r="O413" s="25">
        <f>IF(B413="","",ROUND(M413*PointsPerUnit+IF(F413="",0,F413),0))</f>
        <v>0</v>
      </c>
      <c r="P413" s="25">
        <f>IF(B413="","",O413-IF(G413="",0,G413))</f>
        <v>0</v>
      </c>
      <c r="Q413" s="25">
        <f>IF(B413="","",IF(RewardAt&lt;=0,0,ROUNDDOWN(P413/RewardAt,0)))</f>
        <v>0</v>
      </c>
      <c r="R413" s="26">
        <f>IF(B413="","",ROUND(Q413*RewardValue,2))</f>
        <v>0</v>
      </c>
      <c r="S413" s="25">
        <f>IF(B413="","",IF(RewardAt&lt;=0,"",MAX(0,RewardAt*(Q413+1)-P413)))</f>
        <v>0</v>
      </c>
      <c r="T413" s="25">
        <f>IF(B413="","",COUNTIFS(Clients!$H$5:$H$504,B413))</f>
        <v>0</v>
      </c>
      <c r="U413" s="26">
        <f>IF(B413="","",ROUND(T413*ReferralReward-IF(J413="",0,J413),2))</f>
        <v>0</v>
      </c>
      <c r="V413" s="15">
        <f>IF(B413="","",IFERROR(INDEX(Clients!$AM$5:$AM$504,MATCH(B413,Clients!$A$5:$A$504,0))&amp;"",""))</f>
        <v>0</v>
      </c>
      <c r="W413" s="25">
        <f>IF(B413="","",COUNTIFS($P$5:$P$504,"&gt;"&amp;P413)+COUNTIFS($P$5:P413,P413))</f>
        <v>0</v>
      </c>
      <c r="X413" s="39">
        <f>IF(B413="","",IF(K413="No","",IF(COUNTIF($B$5:$B$504,B413)&gt;1,"Duplicate - this client is on twice",IF(Q413&gt;0,"Action - reward ready to give",IF(U413&gt;0.004,"Action - referral credit owed",IF(V413="Lapsing","Chase - points are a reason to call",IF(S413&lt;=RewardAt*0.2,"Rebook - nearly at a reward","OK")))))))</f>
        <v>0</v>
      </c>
    </row>
    <row r="414" spans="1:24">
      <c r="A414" s="28">
        <f>IF(B414="","",LoyaltyPrefix&amp;TEXT(ROW()-4,"0000"))</f>
        <v>0</v>
      </c>
      <c r="C414" s="15">
        <f>IF(B414="","",IFERROR(INDEX(Clients!$B$5:$B$504,MATCH(B414,Clients!$A$5:$A$504,0)),"Not in Clients"))</f>
        <v>0</v>
      </c>
      <c r="M414" s="26">
        <f>IF(B414="","",ROUND(SUMIFS(Sales!$Y$5:$Y$1204,Sales!$D$5:$D$1204,B414,Sales!$B$5:$B$1204,"&gt;="&amp;IF(D414="",0,D414)),2))</f>
        <v>0</v>
      </c>
      <c r="N414" s="25">
        <f>IF(B414="","",IFERROR(INDEX(Clients!$T$5:$T$504,MATCH(B414,Clients!$A$5:$A$504,0))*1,0))</f>
        <v>0</v>
      </c>
      <c r="O414" s="25">
        <f>IF(B414="","",ROUND(M414*PointsPerUnit+IF(F414="",0,F414),0))</f>
        <v>0</v>
      </c>
      <c r="P414" s="25">
        <f>IF(B414="","",O414-IF(G414="",0,G414))</f>
        <v>0</v>
      </c>
      <c r="Q414" s="25">
        <f>IF(B414="","",IF(RewardAt&lt;=0,0,ROUNDDOWN(P414/RewardAt,0)))</f>
        <v>0</v>
      </c>
      <c r="R414" s="26">
        <f>IF(B414="","",ROUND(Q414*RewardValue,2))</f>
        <v>0</v>
      </c>
      <c r="S414" s="25">
        <f>IF(B414="","",IF(RewardAt&lt;=0,"",MAX(0,RewardAt*(Q414+1)-P414)))</f>
        <v>0</v>
      </c>
      <c r="T414" s="25">
        <f>IF(B414="","",COUNTIFS(Clients!$H$5:$H$504,B414))</f>
        <v>0</v>
      </c>
      <c r="U414" s="26">
        <f>IF(B414="","",ROUND(T414*ReferralReward-IF(J414="",0,J414),2))</f>
        <v>0</v>
      </c>
      <c r="V414" s="15">
        <f>IF(B414="","",IFERROR(INDEX(Clients!$AM$5:$AM$504,MATCH(B414,Clients!$A$5:$A$504,0))&amp;"",""))</f>
        <v>0</v>
      </c>
      <c r="W414" s="25">
        <f>IF(B414="","",COUNTIFS($P$5:$P$504,"&gt;"&amp;P414)+COUNTIFS($P$5:P414,P414))</f>
        <v>0</v>
      </c>
      <c r="X414" s="39">
        <f>IF(B414="","",IF(K414="No","",IF(COUNTIF($B$5:$B$504,B414)&gt;1,"Duplicate - this client is on twice",IF(Q414&gt;0,"Action - reward ready to give",IF(U414&gt;0.004,"Action - referral credit owed",IF(V414="Lapsing","Chase - points are a reason to call",IF(S414&lt;=RewardAt*0.2,"Rebook - nearly at a reward","OK")))))))</f>
        <v>0</v>
      </c>
    </row>
    <row r="415" spans="1:24">
      <c r="A415" s="28">
        <f>IF(B415="","",LoyaltyPrefix&amp;TEXT(ROW()-4,"0000"))</f>
        <v>0</v>
      </c>
      <c r="C415" s="15">
        <f>IF(B415="","",IFERROR(INDEX(Clients!$B$5:$B$504,MATCH(B415,Clients!$A$5:$A$504,0)),"Not in Clients"))</f>
        <v>0</v>
      </c>
      <c r="M415" s="26">
        <f>IF(B415="","",ROUND(SUMIFS(Sales!$Y$5:$Y$1204,Sales!$D$5:$D$1204,B415,Sales!$B$5:$B$1204,"&gt;="&amp;IF(D415="",0,D415)),2))</f>
        <v>0</v>
      </c>
      <c r="N415" s="25">
        <f>IF(B415="","",IFERROR(INDEX(Clients!$T$5:$T$504,MATCH(B415,Clients!$A$5:$A$504,0))*1,0))</f>
        <v>0</v>
      </c>
      <c r="O415" s="25">
        <f>IF(B415="","",ROUND(M415*PointsPerUnit+IF(F415="",0,F415),0))</f>
        <v>0</v>
      </c>
      <c r="P415" s="25">
        <f>IF(B415="","",O415-IF(G415="",0,G415))</f>
        <v>0</v>
      </c>
      <c r="Q415" s="25">
        <f>IF(B415="","",IF(RewardAt&lt;=0,0,ROUNDDOWN(P415/RewardAt,0)))</f>
        <v>0</v>
      </c>
      <c r="R415" s="26">
        <f>IF(B415="","",ROUND(Q415*RewardValue,2))</f>
        <v>0</v>
      </c>
      <c r="S415" s="25">
        <f>IF(B415="","",IF(RewardAt&lt;=0,"",MAX(0,RewardAt*(Q415+1)-P415)))</f>
        <v>0</v>
      </c>
      <c r="T415" s="25">
        <f>IF(B415="","",COUNTIFS(Clients!$H$5:$H$504,B415))</f>
        <v>0</v>
      </c>
      <c r="U415" s="26">
        <f>IF(B415="","",ROUND(T415*ReferralReward-IF(J415="",0,J415),2))</f>
        <v>0</v>
      </c>
      <c r="V415" s="15">
        <f>IF(B415="","",IFERROR(INDEX(Clients!$AM$5:$AM$504,MATCH(B415,Clients!$A$5:$A$504,0))&amp;"",""))</f>
        <v>0</v>
      </c>
      <c r="W415" s="25">
        <f>IF(B415="","",COUNTIFS($P$5:$P$504,"&gt;"&amp;P415)+COUNTIFS($P$5:P415,P415))</f>
        <v>0</v>
      </c>
      <c r="X415" s="39">
        <f>IF(B415="","",IF(K415="No","",IF(COUNTIF($B$5:$B$504,B415)&gt;1,"Duplicate - this client is on twice",IF(Q415&gt;0,"Action - reward ready to give",IF(U415&gt;0.004,"Action - referral credit owed",IF(V415="Lapsing","Chase - points are a reason to call",IF(S415&lt;=RewardAt*0.2,"Rebook - nearly at a reward","OK")))))))</f>
        <v>0</v>
      </c>
    </row>
    <row r="416" spans="1:24">
      <c r="A416" s="28">
        <f>IF(B416="","",LoyaltyPrefix&amp;TEXT(ROW()-4,"0000"))</f>
        <v>0</v>
      </c>
      <c r="C416" s="15">
        <f>IF(B416="","",IFERROR(INDEX(Clients!$B$5:$B$504,MATCH(B416,Clients!$A$5:$A$504,0)),"Not in Clients"))</f>
        <v>0</v>
      </c>
      <c r="M416" s="26">
        <f>IF(B416="","",ROUND(SUMIFS(Sales!$Y$5:$Y$1204,Sales!$D$5:$D$1204,B416,Sales!$B$5:$B$1204,"&gt;="&amp;IF(D416="",0,D416)),2))</f>
        <v>0</v>
      </c>
      <c r="N416" s="25">
        <f>IF(B416="","",IFERROR(INDEX(Clients!$T$5:$T$504,MATCH(B416,Clients!$A$5:$A$504,0))*1,0))</f>
        <v>0</v>
      </c>
      <c r="O416" s="25">
        <f>IF(B416="","",ROUND(M416*PointsPerUnit+IF(F416="",0,F416),0))</f>
        <v>0</v>
      </c>
      <c r="P416" s="25">
        <f>IF(B416="","",O416-IF(G416="",0,G416))</f>
        <v>0</v>
      </c>
      <c r="Q416" s="25">
        <f>IF(B416="","",IF(RewardAt&lt;=0,0,ROUNDDOWN(P416/RewardAt,0)))</f>
        <v>0</v>
      </c>
      <c r="R416" s="26">
        <f>IF(B416="","",ROUND(Q416*RewardValue,2))</f>
        <v>0</v>
      </c>
      <c r="S416" s="25">
        <f>IF(B416="","",IF(RewardAt&lt;=0,"",MAX(0,RewardAt*(Q416+1)-P416)))</f>
        <v>0</v>
      </c>
      <c r="T416" s="25">
        <f>IF(B416="","",COUNTIFS(Clients!$H$5:$H$504,B416))</f>
        <v>0</v>
      </c>
      <c r="U416" s="26">
        <f>IF(B416="","",ROUND(T416*ReferralReward-IF(J416="",0,J416),2))</f>
        <v>0</v>
      </c>
      <c r="V416" s="15">
        <f>IF(B416="","",IFERROR(INDEX(Clients!$AM$5:$AM$504,MATCH(B416,Clients!$A$5:$A$504,0))&amp;"",""))</f>
        <v>0</v>
      </c>
      <c r="W416" s="25">
        <f>IF(B416="","",COUNTIFS($P$5:$P$504,"&gt;"&amp;P416)+COUNTIFS($P$5:P416,P416))</f>
        <v>0</v>
      </c>
      <c r="X416" s="39">
        <f>IF(B416="","",IF(K416="No","",IF(COUNTIF($B$5:$B$504,B416)&gt;1,"Duplicate - this client is on twice",IF(Q416&gt;0,"Action - reward ready to give",IF(U416&gt;0.004,"Action - referral credit owed",IF(V416="Lapsing","Chase - points are a reason to call",IF(S416&lt;=RewardAt*0.2,"Rebook - nearly at a reward","OK")))))))</f>
        <v>0</v>
      </c>
    </row>
    <row r="417" spans="1:24">
      <c r="A417" s="28">
        <f>IF(B417="","",LoyaltyPrefix&amp;TEXT(ROW()-4,"0000"))</f>
        <v>0</v>
      </c>
      <c r="C417" s="15">
        <f>IF(B417="","",IFERROR(INDEX(Clients!$B$5:$B$504,MATCH(B417,Clients!$A$5:$A$504,0)),"Not in Clients"))</f>
        <v>0</v>
      </c>
      <c r="M417" s="26">
        <f>IF(B417="","",ROUND(SUMIFS(Sales!$Y$5:$Y$1204,Sales!$D$5:$D$1204,B417,Sales!$B$5:$B$1204,"&gt;="&amp;IF(D417="",0,D417)),2))</f>
        <v>0</v>
      </c>
      <c r="N417" s="25">
        <f>IF(B417="","",IFERROR(INDEX(Clients!$T$5:$T$504,MATCH(B417,Clients!$A$5:$A$504,0))*1,0))</f>
        <v>0</v>
      </c>
      <c r="O417" s="25">
        <f>IF(B417="","",ROUND(M417*PointsPerUnit+IF(F417="",0,F417),0))</f>
        <v>0</v>
      </c>
      <c r="P417" s="25">
        <f>IF(B417="","",O417-IF(G417="",0,G417))</f>
        <v>0</v>
      </c>
      <c r="Q417" s="25">
        <f>IF(B417="","",IF(RewardAt&lt;=0,0,ROUNDDOWN(P417/RewardAt,0)))</f>
        <v>0</v>
      </c>
      <c r="R417" s="26">
        <f>IF(B417="","",ROUND(Q417*RewardValue,2))</f>
        <v>0</v>
      </c>
      <c r="S417" s="25">
        <f>IF(B417="","",IF(RewardAt&lt;=0,"",MAX(0,RewardAt*(Q417+1)-P417)))</f>
        <v>0</v>
      </c>
      <c r="T417" s="25">
        <f>IF(B417="","",COUNTIFS(Clients!$H$5:$H$504,B417))</f>
        <v>0</v>
      </c>
      <c r="U417" s="26">
        <f>IF(B417="","",ROUND(T417*ReferralReward-IF(J417="",0,J417),2))</f>
        <v>0</v>
      </c>
      <c r="V417" s="15">
        <f>IF(B417="","",IFERROR(INDEX(Clients!$AM$5:$AM$504,MATCH(B417,Clients!$A$5:$A$504,0))&amp;"",""))</f>
        <v>0</v>
      </c>
      <c r="W417" s="25">
        <f>IF(B417="","",COUNTIFS($P$5:$P$504,"&gt;"&amp;P417)+COUNTIFS($P$5:P417,P417))</f>
        <v>0</v>
      </c>
      <c r="X417" s="39">
        <f>IF(B417="","",IF(K417="No","",IF(COUNTIF($B$5:$B$504,B417)&gt;1,"Duplicate - this client is on twice",IF(Q417&gt;0,"Action - reward ready to give",IF(U417&gt;0.004,"Action - referral credit owed",IF(V417="Lapsing","Chase - points are a reason to call",IF(S417&lt;=RewardAt*0.2,"Rebook - nearly at a reward","OK")))))))</f>
        <v>0</v>
      </c>
    </row>
    <row r="418" spans="1:24">
      <c r="A418" s="28">
        <f>IF(B418="","",LoyaltyPrefix&amp;TEXT(ROW()-4,"0000"))</f>
        <v>0</v>
      </c>
      <c r="C418" s="15">
        <f>IF(B418="","",IFERROR(INDEX(Clients!$B$5:$B$504,MATCH(B418,Clients!$A$5:$A$504,0)),"Not in Clients"))</f>
        <v>0</v>
      </c>
      <c r="M418" s="26">
        <f>IF(B418="","",ROUND(SUMIFS(Sales!$Y$5:$Y$1204,Sales!$D$5:$D$1204,B418,Sales!$B$5:$B$1204,"&gt;="&amp;IF(D418="",0,D418)),2))</f>
        <v>0</v>
      </c>
      <c r="N418" s="25">
        <f>IF(B418="","",IFERROR(INDEX(Clients!$T$5:$T$504,MATCH(B418,Clients!$A$5:$A$504,0))*1,0))</f>
        <v>0</v>
      </c>
      <c r="O418" s="25">
        <f>IF(B418="","",ROUND(M418*PointsPerUnit+IF(F418="",0,F418),0))</f>
        <v>0</v>
      </c>
      <c r="P418" s="25">
        <f>IF(B418="","",O418-IF(G418="",0,G418))</f>
        <v>0</v>
      </c>
      <c r="Q418" s="25">
        <f>IF(B418="","",IF(RewardAt&lt;=0,0,ROUNDDOWN(P418/RewardAt,0)))</f>
        <v>0</v>
      </c>
      <c r="R418" s="26">
        <f>IF(B418="","",ROUND(Q418*RewardValue,2))</f>
        <v>0</v>
      </c>
      <c r="S418" s="25">
        <f>IF(B418="","",IF(RewardAt&lt;=0,"",MAX(0,RewardAt*(Q418+1)-P418)))</f>
        <v>0</v>
      </c>
      <c r="T418" s="25">
        <f>IF(B418="","",COUNTIFS(Clients!$H$5:$H$504,B418))</f>
        <v>0</v>
      </c>
      <c r="U418" s="26">
        <f>IF(B418="","",ROUND(T418*ReferralReward-IF(J418="",0,J418),2))</f>
        <v>0</v>
      </c>
      <c r="V418" s="15">
        <f>IF(B418="","",IFERROR(INDEX(Clients!$AM$5:$AM$504,MATCH(B418,Clients!$A$5:$A$504,0))&amp;"",""))</f>
        <v>0</v>
      </c>
      <c r="W418" s="25">
        <f>IF(B418="","",COUNTIFS($P$5:$P$504,"&gt;"&amp;P418)+COUNTIFS($P$5:P418,P418))</f>
        <v>0</v>
      </c>
      <c r="X418" s="39">
        <f>IF(B418="","",IF(K418="No","",IF(COUNTIF($B$5:$B$504,B418)&gt;1,"Duplicate - this client is on twice",IF(Q418&gt;0,"Action - reward ready to give",IF(U418&gt;0.004,"Action - referral credit owed",IF(V418="Lapsing","Chase - points are a reason to call",IF(S418&lt;=RewardAt*0.2,"Rebook - nearly at a reward","OK")))))))</f>
        <v>0</v>
      </c>
    </row>
    <row r="419" spans="1:24">
      <c r="A419" s="28">
        <f>IF(B419="","",LoyaltyPrefix&amp;TEXT(ROW()-4,"0000"))</f>
        <v>0</v>
      </c>
      <c r="C419" s="15">
        <f>IF(B419="","",IFERROR(INDEX(Clients!$B$5:$B$504,MATCH(B419,Clients!$A$5:$A$504,0)),"Not in Clients"))</f>
        <v>0</v>
      </c>
      <c r="M419" s="26">
        <f>IF(B419="","",ROUND(SUMIFS(Sales!$Y$5:$Y$1204,Sales!$D$5:$D$1204,B419,Sales!$B$5:$B$1204,"&gt;="&amp;IF(D419="",0,D419)),2))</f>
        <v>0</v>
      </c>
      <c r="N419" s="25">
        <f>IF(B419="","",IFERROR(INDEX(Clients!$T$5:$T$504,MATCH(B419,Clients!$A$5:$A$504,0))*1,0))</f>
        <v>0</v>
      </c>
      <c r="O419" s="25">
        <f>IF(B419="","",ROUND(M419*PointsPerUnit+IF(F419="",0,F419),0))</f>
        <v>0</v>
      </c>
      <c r="P419" s="25">
        <f>IF(B419="","",O419-IF(G419="",0,G419))</f>
        <v>0</v>
      </c>
      <c r="Q419" s="25">
        <f>IF(B419="","",IF(RewardAt&lt;=0,0,ROUNDDOWN(P419/RewardAt,0)))</f>
        <v>0</v>
      </c>
      <c r="R419" s="26">
        <f>IF(B419="","",ROUND(Q419*RewardValue,2))</f>
        <v>0</v>
      </c>
      <c r="S419" s="25">
        <f>IF(B419="","",IF(RewardAt&lt;=0,"",MAX(0,RewardAt*(Q419+1)-P419)))</f>
        <v>0</v>
      </c>
      <c r="T419" s="25">
        <f>IF(B419="","",COUNTIFS(Clients!$H$5:$H$504,B419))</f>
        <v>0</v>
      </c>
      <c r="U419" s="26">
        <f>IF(B419="","",ROUND(T419*ReferralReward-IF(J419="",0,J419),2))</f>
        <v>0</v>
      </c>
      <c r="V419" s="15">
        <f>IF(B419="","",IFERROR(INDEX(Clients!$AM$5:$AM$504,MATCH(B419,Clients!$A$5:$A$504,0))&amp;"",""))</f>
        <v>0</v>
      </c>
      <c r="W419" s="25">
        <f>IF(B419="","",COUNTIFS($P$5:$P$504,"&gt;"&amp;P419)+COUNTIFS($P$5:P419,P419))</f>
        <v>0</v>
      </c>
      <c r="X419" s="39">
        <f>IF(B419="","",IF(K419="No","",IF(COUNTIF($B$5:$B$504,B419)&gt;1,"Duplicate - this client is on twice",IF(Q419&gt;0,"Action - reward ready to give",IF(U419&gt;0.004,"Action - referral credit owed",IF(V419="Lapsing","Chase - points are a reason to call",IF(S419&lt;=RewardAt*0.2,"Rebook - nearly at a reward","OK")))))))</f>
        <v>0</v>
      </c>
    </row>
    <row r="420" spans="1:24">
      <c r="A420" s="28">
        <f>IF(B420="","",LoyaltyPrefix&amp;TEXT(ROW()-4,"0000"))</f>
        <v>0</v>
      </c>
      <c r="C420" s="15">
        <f>IF(B420="","",IFERROR(INDEX(Clients!$B$5:$B$504,MATCH(B420,Clients!$A$5:$A$504,0)),"Not in Clients"))</f>
        <v>0</v>
      </c>
      <c r="M420" s="26">
        <f>IF(B420="","",ROUND(SUMIFS(Sales!$Y$5:$Y$1204,Sales!$D$5:$D$1204,B420,Sales!$B$5:$B$1204,"&gt;="&amp;IF(D420="",0,D420)),2))</f>
        <v>0</v>
      </c>
      <c r="N420" s="25">
        <f>IF(B420="","",IFERROR(INDEX(Clients!$T$5:$T$504,MATCH(B420,Clients!$A$5:$A$504,0))*1,0))</f>
        <v>0</v>
      </c>
      <c r="O420" s="25">
        <f>IF(B420="","",ROUND(M420*PointsPerUnit+IF(F420="",0,F420),0))</f>
        <v>0</v>
      </c>
      <c r="P420" s="25">
        <f>IF(B420="","",O420-IF(G420="",0,G420))</f>
        <v>0</v>
      </c>
      <c r="Q420" s="25">
        <f>IF(B420="","",IF(RewardAt&lt;=0,0,ROUNDDOWN(P420/RewardAt,0)))</f>
        <v>0</v>
      </c>
      <c r="R420" s="26">
        <f>IF(B420="","",ROUND(Q420*RewardValue,2))</f>
        <v>0</v>
      </c>
      <c r="S420" s="25">
        <f>IF(B420="","",IF(RewardAt&lt;=0,"",MAX(0,RewardAt*(Q420+1)-P420)))</f>
        <v>0</v>
      </c>
      <c r="T420" s="25">
        <f>IF(B420="","",COUNTIFS(Clients!$H$5:$H$504,B420))</f>
        <v>0</v>
      </c>
      <c r="U420" s="26">
        <f>IF(B420="","",ROUND(T420*ReferralReward-IF(J420="",0,J420),2))</f>
        <v>0</v>
      </c>
      <c r="V420" s="15">
        <f>IF(B420="","",IFERROR(INDEX(Clients!$AM$5:$AM$504,MATCH(B420,Clients!$A$5:$A$504,0))&amp;"",""))</f>
        <v>0</v>
      </c>
      <c r="W420" s="25">
        <f>IF(B420="","",COUNTIFS($P$5:$P$504,"&gt;"&amp;P420)+COUNTIFS($P$5:P420,P420))</f>
        <v>0</v>
      </c>
      <c r="X420" s="39">
        <f>IF(B420="","",IF(K420="No","",IF(COUNTIF($B$5:$B$504,B420)&gt;1,"Duplicate - this client is on twice",IF(Q420&gt;0,"Action - reward ready to give",IF(U420&gt;0.004,"Action - referral credit owed",IF(V420="Lapsing","Chase - points are a reason to call",IF(S420&lt;=RewardAt*0.2,"Rebook - nearly at a reward","OK")))))))</f>
        <v>0</v>
      </c>
    </row>
    <row r="421" spans="1:24">
      <c r="A421" s="28">
        <f>IF(B421="","",LoyaltyPrefix&amp;TEXT(ROW()-4,"0000"))</f>
        <v>0</v>
      </c>
      <c r="C421" s="15">
        <f>IF(B421="","",IFERROR(INDEX(Clients!$B$5:$B$504,MATCH(B421,Clients!$A$5:$A$504,0)),"Not in Clients"))</f>
        <v>0</v>
      </c>
      <c r="M421" s="26">
        <f>IF(B421="","",ROUND(SUMIFS(Sales!$Y$5:$Y$1204,Sales!$D$5:$D$1204,B421,Sales!$B$5:$B$1204,"&gt;="&amp;IF(D421="",0,D421)),2))</f>
        <v>0</v>
      </c>
      <c r="N421" s="25">
        <f>IF(B421="","",IFERROR(INDEX(Clients!$T$5:$T$504,MATCH(B421,Clients!$A$5:$A$504,0))*1,0))</f>
        <v>0</v>
      </c>
      <c r="O421" s="25">
        <f>IF(B421="","",ROUND(M421*PointsPerUnit+IF(F421="",0,F421),0))</f>
        <v>0</v>
      </c>
      <c r="P421" s="25">
        <f>IF(B421="","",O421-IF(G421="",0,G421))</f>
        <v>0</v>
      </c>
      <c r="Q421" s="25">
        <f>IF(B421="","",IF(RewardAt&lt;=0,0,ROUNDDOWN(P421/RewardAt,0)))</f>
        <v>0</v>
      </c>
      <c r="R421" s="26">
        <f>IF(B421="","",ROUND(Q421*RewardValue,2))</f>
        <v>0</v>
      </c>
      <c r="S421" s="25">
        <f>IF(B421="","",IF(RewardAt&lt;=0,"",MAX(0,RewardAt*(Q421+1)-P421)))</f>
        <v>0</v>
      </c>
      <c r="T421" s="25">
        <f>IF(B421="","",COUNTIFS(Clients!$H$5:$H$504,B421))</f>
        <v>0</v>
      </c>
      <c r="U421" s="26">
        <f>IF(B421="","",ROUND(T421*ReferralReward-IF(J421="",0,J421),2))</f>
        <v>0</v>
      </c>
      <c r="V421" s="15">
        <f>IF(B421="","",IFERROR(INDEX(Clients!$AM$5:$AM$504,MATCH(B421,Clients!$A$5:$A$504,0))&amp;"",""))</f>
        <v>0</v>
      </c>
      <c r="W421" s="25">
        <f>IF(B421="","",COUNTIFS($P$5:$P$504,"&gt;"&amp;P421)+COUNTIFS($P$5:P421,P421))</f>
        <v>0</v>
      </c>
      <c r="X421" s="39">
        <f>IF(B421="","",IF(K421="No","",IF(COUNTIF($B$5:$B$504,B421)&gt;1,"Duplicate - this client is on twice",IF(Q421&gt;0,"Action - reward ready to give",IF(U421&gt;0.004,"Action - referral credit owed",IF(V421="Lapsing","Chase - points are a reason to call",IF(S421&lt;=RewardAt*0.2,"Rebook - nearly at a reward","OK")))))))</f>
        <v>0</v>
      </c>
    </row>
    <row r="422" spans="1:24">
      <c r="A422" s="28">
        <f>IF(B422="","",LoyaltyPrefix&amp;TEXT(ROW()-4,"0000"))</f>
        <v>0</v>
      </c>
      <c r="C422" s="15">
        <f>IF(B422="","",IFERROR(INDEX(Clients!$B$5:$B$504,MATCH(B422,Clients!$A$5:$A$504,0)),"Not in Clients"))</f>
        <v>0</v>
      </c>
      <c r="M422" s="26">
        <f>IF(B422="","",ROUND(SUMIFS(Sales!$Y$5:$Y$1204,Sales!$D$5:$D$1204,B422,Sales!$B$5:$B$1204,"&gt;="&amp;IF(D422="",0,D422)),2))</f>
        <v>0</v>
      </c>
      <c r="N422" s="25">
        <f>IF(B422="","",IFERROR(INDEX(Clients!$T$5:$T$504,MATCH(B422,Clients!$A$5:$A$504,0))*1,0))</f>
        <v>0</v>
      </c>
      <c r="O422" s="25">
        <f>IF(B422="","",ROUND(M422*PointsPerUnit+IF(F422="",0,F422),0))</f>
        <v>0</v>
      </c>
      <c r="P422" s="25">
        <f>IF(B422="","",O422-IF(G422="",0,G422))</f>
        <v>0</v>
      </c>
      <c r="Q422" s="25">
        <f>IF(B422="","",IF(RewardAt&lt;=0,0,ROUNDDOWN(P422/RewardAt,0)))</f>
        <v>0</v>
      </c>
      <c r="R422" s="26">
        <f>IF(B422="","",ROUND(Q422*RewardValue,2))</f>
        <v>0</v>
      </c>
      <c r="S422" s="25">
        <f>IF(B422="","",IF(RewardAt&lt;=0,"",MAX(0,RewardAt*(Q422+1)-P422)))</f>
        <v>0</v>
      </c>
      <c r="T422" s="25">
        <f>IF(B422="","",COUNTIFS(Clients!$H$5:$H$504,B422))</f>
        <v>0</v>
      </c>
      <c r="U422" s="26">
        <f>IF(B422="","",ROUND(T422*ReferralReward-IF(J422="",0,J422),2))</f>
        <v>0</v>
      </c>
      <c r="V422" s="15">
        <f>IF(B422="","",IFERROR(INDEX(Clients!$AM$5:$AM$504,MATCH(B422,Clients!$A$5:$A$504,0))&amp;"",""))</f>
        <v>0</v>
      </c>
      <c r="W422" s="25">
        <f>IF(B422="","",COUNTIFS($P$5:$P$504,"&gt;"&amp;P422)+COUNTIFS($P$5:P422,P422))</f>
        <v>0</v>
      </c>
      <c r="X422" s="39">
        <f>IF(B422="","",IF(K422="No","",IF(COUNTIF($B$5:$B$504,B422)&gt;1,"Duplicate - this client is on twice",IF(Q422&gt;0,"Action - reward ready to give",IF(U422&gt;0.004,"Action - referral credit owed",IF(V422="Lapsing","Chase - points are a reason to call",IF(S422&lt;=RewardAt*0.2,"Rebook - nearly at a reward","OK")))))))</f>
        <v>0</v>
      </c>
    </row>
    <row r="423" spans="1:24">
      <c r="A423" s="28">
        <f>IF(B423="","",LoyaltyPrefix&amp;TEXT(ROW()-4,"0000"))</f>
        <v>0</v>
      </c>
      <c r="C423" s="15">
        <f>IF(B423="","",IFERROR(INDEX(Clients!$B$5:$B$504,MATCH(B423,Clients!$A$5:$A$504,0)),"Not in Clients"))</f>
        <v>0</v>
      </c>
      <c r="M423" s="26">
        <f>IF(B423="","",ROUND(SUMIFS(Sales!$Y$5:$Y$1204,Sales!$D$5:$D$1204,B423,Sales!$B$5:$B$1204,"&gt;="&amp;IF(D423="",0,D423)),2))</f>
        <v>0</v>
      </c>
      <c r="N423" s="25">
        <f>IF(B423="","",IFERROR(INDEX(Clients!$T$5:$T$504,MATCH(B423,Clients!$A$5:$A$504,0))*1,0))</f>
        <v>0</v>
      </c>
      <c r="O423" s="25">
        <f>IF(B423="","",ROUND(M423*PointsPerUnit+IF(F423="",0,F423),0))</f>
        <v>0</v>
      </c>
      <c r="P423" s="25">
        <f>IF(B423="","",O423-IF(G423="",0,G423))</f>
        <v>0</v>
      </c>
      <c r="Q423" s="25">
        <f>IF(B423="","",IF(RewardAt&lt;=0,0,ROUNDDOWN(P423/RewardAt,0)))</f>
        <v>0</v>
      </c>
      <c r="R423" s="26">
        <f>IF(B423="","",ROUND(Q423*RewardValue,2))</f>
        <v>0</v>
      </c>
      <c r="S423" s="25">
        <f>IF(B423="","",IF(RewardAt&lt;=0,"",MAX(0,RewardAt*(Q423+1)-P423)))</f>
        <v>0</v>
      </c>
      <c r="T423" s="25">
        <f>IF(B423="","",COUNTIFS(Clients!$H$5:$H$504,B423))</f>
        <v>0</v>
      </c>
      <c r="U423" s="26">
        <f>IF(B423="","",ROUND(T423*ReferralReward-IF(J423="",0,J423),2))</f>
        <v>0</v>
      </c>
      <c r="V423" s="15">
        <f>IF(B423="","",IFERROR(INDEX(Clients!$AM$5:$AM$504,MATCH(B423,Clients!$A$5:$A$504,0))&amp;"",""))</f>
        <v>0</v>
      </c>
      <c r="W423" s="25">
        <f>IF(B423="","",COUNTIFS($P$5:$P$504,"&gt;"&amp;P423)+COUNTIFS($P$5:P423,P423))</f>
        <v>0</v>
      </c>
      <c r="X423" s="39">
        <f>IF(B423="","",IF(K423="No","",IF(COUNTIF($B$5:$B$504,B423)&gt;1,"Duplicate - this client is on twice",IF(Q423&gt;0,"Action - reward ready to give",IF(U423&gt;0.004,"Action - referral credit owed",IF(V423="Lapsing","Chase - points are a reason to call",IF(S423&lt;=RewardAt*0.2,"Rebook - nearly at a reward","OK")))))))</f>
        <v>0</v>
      </c>
    </row>
    <row r="424" spans="1:24">
      <c r="A424" s="28">
        <f>IF(B424="","",LoyaltyPrefix&amp;TEXT(ROW()-4,"0000"))</f>
        <v>0</v>
      </c>
      <c r="C424" s="15">
        <f>IF(B424="","",IFERROR(INDEX(Clients!$B$5:$B$504,MATCH(B424,Clients!$A$5:$A$504,0)),"Not in Clients"))</f>
        <v>0</v>
      </c>
      <c r="M424" s="26">
        <f>IF(B424="","",ROUND(SUMIFS(Sales!$Y$5:$Y$1204,Sales!$D$5:$D$1204,B424,Sales!$B$5:$B$1204,"&gt;="&amp;IF(D424="",0,D424)),2))</f>
        <v>0</v>
      </c>
      <c r="N424" s="25">
        <f>IF(B424="","",IFERROR(INDEX(Clients!$T$5:$T$504,MATCH(B424,Clients!$A$5:$A$504,0))*1,0))</f>
        <v>0</v>
      </c>
      <c r="O424" s="25">
        <f>IF(B424="","",ROUND(M424*PointsPerUnit+IF(F424="",0,F424),0))</f>
        <v>0</v>
      </c>
      <c r="P424" s="25">
        <f>IF(B424="","",O424-IF(G424="",0,G424))</f>
        <v>0</v>
      </c>
      <c r="Q424" s="25">
        <f>IF(B424="","",IF(RewardAt&lt;=0,0,ROUNDDOWN(P424/RewardAt,0)))</f>
        <v>0</v>
      </c>
      <c r="R424" s="26">
        <f>IF(B424="","",ROUND(Q424*RewardValue,2))</f>
        <v>0</v>
      </c>
      <c r="S424" s="25">
        <f>IF(B424="","",IF(RewardAt&lt;=0,"",MAX(0,RewardAt*(Q424+1)-P424)))</f>
        <v>0</v>
      </c>
      <c r="T424" s="25">
        <f>IF(B424="","",COUNTIFS(Clients!$H$5:$H$504,B424))</f>
        <v>0</v>
      </c>
      <c r="U424" s="26">
        <f>IF(B424="","",ROUND(T424*ReferralReward-IF(J424="",0,J424),2))</f>
        <v>0</v>
      </c>
      <c r="V424" s="15">
        <f>IF(B424="","",IFERROR(INDEX(Clients!$AM$5:$AM$504,MATCH(B424,Clients!$A$5:$A$504,0))&amp;"",""))</f>
        <v>0</v>
      </c>
      <c r="W424" s="25">
        <f>IF(B424="","",COUNTIFS($P$5:$P$504,"&gt;"&amp;P424)+COUNTIFS($P$5:P424,P424))</f>
        <v>0</v>
      </c>
      <c r="X424" s="39">
        <f>IF(B424="","",IF(K424="No","",IF(COUNTIF($B$5:$B$504,B424)&gt;1,"Duplicate - this client is on twice",IF(Q424&gt;0,"Action - reward ready to give",IF(U424&gt;0.004,"Action - referral credit owed",IF(V424="Lapsing","Chase - points are a reason to call",IF(S424&lt;=RewardAt*0.2,"Rebook - nearly at a reward","OK")))))))</f>
        <v>0</v>
      </c>
    </row>
    <row r="425" spans="1:24">
      <c r="A425" s="28">
        <f>IF(B425="","",LoyaltyPrefix&amp;TEXT(ROW()-4,"0000"))</f>
        <v>0</v>
      </c>
      <c r="C425" s="15">
        <f>IF(B425="","",IFERROR(INDEX(Clients!$B$5:$B$504,MATCH(B425,Clients!$A$5:$A$504,0)),"Not in Clients"))</f>
        <v>0</v>
      </c>
      <c r="M425" s="26">
        <f>IF(B425="","",ROUND(SUMIFS(Sales!$Y$5:$Y$1204,Sales!$D$5:$D$1204,B425,Sales!$B$5:$B$1204,"&gt;="&amp;IF(D425="",0,D425)),2))</f>
        <v>0</v>
      </c>
      <c r="N425" s="25">
        <f>IF(B425="","",IFERROR(INDEX(Clients!$T$5:$T$504,MATCH(B425,Clients!$A$5:$A$504,0))*1,0))</f>
        <v>0</v>
      </c>
      <c r="O425" s="25">
        <f>IF(B425="","",ROUND(M425*PointsPerUnit+IF(F425="",0,F425),0))</f>
        <v>0</v>
      </c>
      <c r="P425" s="25">
        <f>IF(B425="","",O425-IF(G425="",0,G425))</f>
        <v>0</v>
      </c>
      <c r="Q425" s="25">
        <f>IF(B425="","",IF(RewardAt&lt;=0,0,ROUNDDOWN(P425/RewardAt,0)))</f>
        <v>0</v>
      </c>
      <c r="R425" s="26">
        <f>IF(B425="","",ROUND(Q425*RewardValue,2))</f>
        <v>0</v>
      </c>
      <c r="S425" s="25">
        <f>IF(B425="","",IF(RewardAt&lt;=0,"",MAX(0,RewardAt*(Q425+1)-P425)))</f>
        <v>0</v>
      </c>
      <c r="T425" s="25">
        <f>IF(B425="","",COUNTIFS(Clients!$H$5:$H$504,B425))</f>
        <v>0</v>
      </c>
      <c r="U425" s="26">
        <f>IF(B425="","",ROUND(T425*ReferralReward-IF(J425="",0,J425),2))</f>
        <v>0</v>
      </c>
      <c r="V425" s="15">
        <f>IF(B425="","",IFERROR(INDEX(Clients!$AM$5:$AM$504,MATCH(B425,Clients!$A$5:$A$504,0))&amp;"",""))</f>
        <v>0</v>
      </c>
      <c r="W425" s="25">
        <f>IF(B425="","",COUNTIFS($P$5:$P$504,"&gt;"&amp;P425)+COUNTIFS($P$5:P425,P425))</f>
        <v>0</v>
      </c>
      <c r="X425" s="39">
        <f>IF(B425="","",IF(K425="No","",IF(COUNTIF($B$5:$B$504,B425)&gt;1,"Duplicate - this client is on twice",IF(Q425&gt;0,"Action - reward ready to give",IF(U425&gt;0.004,"Action - referral credit owed",IF(V425="Lapsing","Chase - points are a reason to call",IF(S425&lt;=RewardAt*0.2,"Rebook - nearly at a reward","OK")))))))</f>
        <v>0</v>
      </c>
    </row>
    <row r="426" spans="1:24">
      <c r="A426" s="28">
        <f>IF(B426="","",LoyaltyPrefix&amp;TEXT(ROW()-4,"0000"))</f>
        <v>0</v>
      </c>
      <c r="C426" s="15">
        <f>IF(B426="","",IFERROR(INDEX(Clients!$B$5:$B$504,MATCH(B426,Clients!$A$5:$A$504,0)),"Not in Clients"))</f>
        <v>0</v>
      </c>
      <c r="M426" s="26">
        <f>IF(B426="","",ROUND(SUMIFS(Sales!$Y$5:$Y$1204,Sales!$D$5:$D$1204,B426,Sales!$B$5:$B$1204,"&gt;="&amp;IF(D426="",0,D426)),2))</f>
        <v>0</v>
      </c>
      <c r="N426" s="25">
        <f>IF(B426="","",IFERROR(INDEX(Clients!$T$5:$T$504,MATCH(B426,Clients!$A$5:$A$504,0))*1,0))</f>
        <v>0</v>
      </c>
      <c r="O426" s="25">
        <f>IF(B426="","",ROUND(M426*PointsPerUnit+IF(F426="",0,F426),0))</f>
        <v>0</v>
      </c>
      <c r="P426" s="25">
        <f>IF(B426="","",O426-IF(G426="",0,G426))</f>
        <v>0</v>
      </c>
      <c r="Q426" s="25">
        <f>IF(B426="","",IF(RewardAt&lt;=0,0,ROUNDDOWN(P426/RewardAt,0)))</f>
        <v>0</v>
      </c>
      <c r="R426" s="26">
        <f>IF(B426="","",ROUND(Q426*RewardValue,2))</f>
        <v>0</v>
      </c>
      <c r="S426" s="25">
        <f>IF(B426="","",IF(RewardAt&lt;=0,"",MAX(0,RewardAt*(Q426+1)-P426)))</f>
        <v>0</v>
      </c>
      <c r="T426" s="25">
        <f>IF(B426="","",COUNTIFS(Clients!$H$5:$H$504,B426))</f>
        <v>0</v>
      </c>
      <c r="U426" s="26">
        <f>IF(B426="","",ROUND(T426*ReferralReward-IF(J426="",0,J426),2))</f>
        <v>0</v>
      </c>
      <c r="V426" s="15">
        <f>IF(B426="","",IFERROR(INDEX(Clients!$AM$5:$AM$504,MATCH(B426,Clients!$A$5:$A$504,0))&amp;"",""))</f>
        <v>0</v>
      </c>
      <c r="W426" s="25">
        <f>IF(B426="","",COUNTIFS($P$5:$P$504,"&gt;"&amp;P426)+COUNTIFS($P$5:P426,P426))</f>
        <v>0</v>
      </c>
      <c r="X426" s="39">
        <f>IF(B426="","",IF(K426="No","",IF(COUNTIF($B$5:$B$504,B426)&gt;1,"Duplicate - this client is on twice",IF(Q426&gt;0,"Action - reward ready to give",IF(U426&gt;0.004,"Action - referral credit owed",IF(V426="Lapsing","Chase - points are a reason to call",IF(S426&lt;=RewardAt*0.2,"Rebook - nearly at a reward","OK")))))))</f>
        <v>0</v>
      </c>
    </row>
    <row r="427" spans="1:24">
      <c r="A427" s="28">
        <f>IF(B427="","",LoyaltyPrefix&amp;TEXT(ROW()-4,"0000"))</f>
        <v>0</v>
      </c>
      <c r="C427" s="15">
        <f>IF(B427="","",IFERROR(INDEX(Clients!$B$5:$B$504,MATCH(B427,Clients!$A$5:$A$504,0)),"Not in Clients"))</f>
        <v>0</v>
      </c>
      <c r="M427" s="26">
        <f>IF(B427="","",ROUND(SUMIFS(Sales!$Y$5:$Y$1204,Sales!$D$5:$D$1204,B427,Sales!$B$5:$B$1204,"&gt;="&amp;IF(D427="",0,D427)),2))</f>
        <v>0</v>
      </c>
      <c r="N427" s="25">
        <f>IF(B427="","",IFERROR(INDEX(Clients!$T$5:$T$504,MATCH(B427,Clients!$A$5:$A$504,0))*1,0))</f>
        <v>0</v>
      </c>
      <c r="O427" s="25">
        <f>IF(B427="","",ROUND(M427*PointsPerUnit+IF(F427="",0,F427),0))</f>
        <v>0</v>
      </c>
      <c r="P427" s="25">
        <f>IF(B427="","",O427-IF(G427="",0,G427))</f>
        <v>0</v>
      </c>
      <c r="Q427" s="25">
        <f>IF(B427="","",IF(RewardAt&lt;=0,0,ROUNDDOWN(P427/RewardAt,0)))</f>
        <v>0</v>
      </c>
      <c r="R427" s="26">
        <f>IF(B427="","",ROUND(Q427*RewardValue,2))</f>
        <v>0</v>
      </c>
      <c r="S427" s="25">
        <f>IF(B427="","",IF(RewardAt&lt;=0,"",MAX(0,RewardAt*(Q427+1)-P427)))</f>
        <v>0</v>
      </c>
      <c r="T427" s="25">
        <f>IF(B427="","",COUNTIFS(Clients!$H$5:$H$504,B427))</f>
        <v>0</v>
      </c>
      <c r="U427" s="26">
        <f>IF(B427="","",ROUND(T427*ReferralReward-IF(J427="",0,J427),2))</f>
        <v>0</v>
      </c>
      <c r="V427" s="15">
        <f>IF(B427="","",IFERROR(INDEX(Clients!$AM$5:$AM$504,MATCH(B427,Clients!$A$5:$A$504,0))&amp;"",""))</f>
        <v>0</v>
      </c>
      <c r="W427" s="25">
        <f>IF(B427="","",COUNTIFS($P$5:$P$504,"&gt;"&amp;P427)+COUNTIFS($P$5:P427,P427))</f>
        <v>0</v>
      </c>
      <c r="X427" s="39">
        <f>IF(B427="","",IF(K427="No","",IF(COUNTIF($B$5:$B$504,B427)&gt;1,"Duplicate - this client is on twice",IF(Q427&gt;0,"Action - reward ready to give",IF(U427&gt;0.004,"Action - referral credit owed",IF(V427="Lapsing","Chase - points are a reason to call",IF(S427&lt;=RewardAt*0.2,"Rebook - nearly at a reward","OK")))))))</f>
        <v>0</v>
      </c>
    </row>
    <row r="428" spans="1:24">
      <c r="A428" s="28">
        <f>IF(B428="","",LoyaltyPrefix&amp;TEXT(ROW()-4,"0000"))</f>
        <v>0</v>
      </c>
      <c r="C428" s="15">
        <f>IF(B428="","",IFERROR(INDEX(Clients!$B$5:$B$504,MATCH(B428,Clients!$A$5:$A$504,0)),"Not in Clients"))</f>
        <v>0</v>
      </c>
      <c r="M428" s="26">
        <f>IF(B428="","",ROUND(SUMIFS(Sales!$Y$5:$Y$1204,Sales!$D$5:$D$1204,B428,Sales!$B$5:$B$1204,"&gt;="&amp;IF(D428="",0,D428)),2))</f>
        <v>0</v>
      </c>
      <c r="N428" s="25">
        <f>IF(B428="","",IFERROR(INDEX(Clients!$T$5:$T$504,MATCH(B428,Clients!$A$5:$A$504,0))*1,0))</f>
        <v>0</v>
      </c>
      <c r="O428" s="25">
        <f>IF(B428="","",ROUND(M428*PointsPerUnit+IF(F428="",0,F428),0))</f>
        <v>0</v>
      </c>
      <c r="P428" s="25">
        <f>IF(B428="","",O428-IF(G428="",0,G428))</f>
        <v>0</v>
      </c>
      <c r="Q428" s="25">
        <f>IF(B428="","",IF(RewardAt&lt;=0,0,ROUNDDOWN(P428/RewardAt,0)))</f>
        <v>0</v>
      </c>
      <c r="R428" s="26">
        <f>IF(B428="","",ROUND(Q428*RewardValue,2))</f>
        <v>0</v>
      </c>
      <c r="S428" s="25">
        <f>IF(B428="","",IF(RewardAt&lt;=0,"",MAX(0,RewardAt*(Q428+1)-P428)))</f>
        <v>0</v>
      </c>
      <c r="T428" s="25">
        <f>IF(B428="","",COUNTIFS(Clients!$H$5:$H$504,B428))</f>
        <v>0</v>
      </c>
      <c r="U428" s="26">
        <f>IF(B428="","",ROUND(T428*ReferralReward-IF(J428="",0,J428),2))</f>
        <v>0</v>
      </c>
      <c r="V428" s="15">
        <f>IF(B428="","",IFERROR(INDEX(Clients!$AM$5:$AM$504,MATCH(B428,Clients!$A$5:$A$504,0))&amp;"",""))</f>
        <v>0</v>
      </c>
      <c r="W428" s="25">
        <f>IF(B428="","",COUNTIFS($P$5:$P$504,"&gt;"&amp;P428)+COUNTIFS($P$5:P428,P428))</f>
        <v>0</v>
      </c>
      <c r="X428" s="39">
        <f>IF(B428="","",IF(K428="No","",IF(COUNTIF($B$5:$B$504,B428)&gt;1,"Duplicate - this client is on twice",IF(Q428&gt;0,"Action - reward ready to give",IF(U428&gt;0.004,"Action - referral credit owed",IF(V428="Lapsing","Chase - points are a reason to call",IF(S428&lt;=RewardAt*0.2,"Rebook - nearly at a reward","OK")))))))</f>
        <v>0</v>
      </c>
    </row>
    <row r="429" spans="1:24">
      <c r="A429" s="28">
        <f>IF(B429="","",LoyaltyPrefix&amp;TEXT(ROW()-4,"0000"))</f>
        <v>0</v>
      </c>
      <c r="C429" s="15">
        <f>IF(B429="","",IFERROR(INDEX(Clients!$B$5:$B$504,MATCH(B429,Clients!$A$5:$A$504,0)),"Not in Clients"))</f>
        <v>0</v>
      </c>
      <c r="M429" s="26">
        <f>IF(B429="","",ROUND(SUMIFS(Sales!$Y$5:$Y$1204,Sales!$D$5:$D$1204,B429,Sales!$B$5:$B$1204,"&gt;="&amp;IF(D429="",0,D429)),2))</f>
        <v>0</v>
      </c>
      <c r="N429" s="25">
        <f>IF(B429="","",IFERROR(INDEX(Clients!$T$5:$T$504,MATCH(B429,Clients!$A$5:$A$504,0))*1,0))</f>
        <v>0</v>
      </c>
      <c r="O429" s="25">
        <f>IF(B429="","",ROUND(M429*PointsPerUnit+IF(F429="",0,F429),0))</f>
        <v>0</v>
      </c>
      <c r="P429" s="25">
        <f>IF(B429="","",O429-IF(G429="",0,G429))</f>
        <v>0</v>
      </c>
      <c r="Q429" s="25">
        <f>IF(B429="","",IF(RewardAt&lt;=0,0,ROUNDDOWN(P429/RewardAt,0)))</f>
        <v>0</v>
      </c>
      <c r="R429" s="26">
        <f>IF(B429="","",ROUND(Q429*RewardValue,2))</f>
        <v>0</v>
      </c>
      <c r="S429" s="25">
        <f>IF(B429="","",IF(RewardAt&lt;=0,"",MAX(0,RewardAt*(Q429+1)-P429)))</f>
        <v>0</v>
      </c>
      <c r="T429" s="25">
        <f>IF(B429="","",COUNTIFS(Clients!$H$5:$H$504,B429))</f>
        <v>0</v>
      </c>
      <c r="U429" s="26">
        <f>IF(B429="","",ROUND(T429*ReferralReward-IF(J429="",0,J429),2))</f>
        <v>0</v>
      </c>
      <c r="V429" s="15">
        <f>IF(B429="","",IFERROR(INDEX(Clients!$AM$5:$AM$504,MATCH(B429,Clients!$A$5:$A$504,0))&amp;"",""))</f>
        <v>0</v>
      </c>
      <c r="W429" s="25">
        <f>IF(B429="","",COUNTIFS($P$5:$P$504,"&gt;"&amp;P429)+COUNTIFS($P$5:P429,P429))</f>
        <v>0</v>
      </c>
      <c r="X429" s="39">
        <f>IF(B429="","",IF(K429="No","",IF(COUNTIF($B$5:$B$504,B429)&gt;1,"Duplicate - this client is on twice",IF(Q429&gt;0,"Action - reward ready to give",IF(U429&gt;0.004,"Action - referral credit owed",IF(V429="Lapsing","Chase - points are a reason to call",IF(S429&lt;=RewardAt*0.2,"Rebook - nearly at a reward","OK")))))))</f>
        <v>0</v>
      </c>
    </row>
    <row r="430" spans="1:24">
      <c r="A430" s="28">
        <f>IF(B430="","",LoyaltyPrefix&amp;TEXT(ROW()-4,"0000"))</f>
        <v>0</v>
      </c>
      <c r="C430" s="15">
        <f>IF(B430="","",IFERROR(INDEX(Clients!$B$5:$B$504,MATCH(B430,Clients!$A$5:$A$504,0)),"Not in Clients"))</f>
        <v>0</v>
      </c>
      <c r="M430" s="26">
        <f>IF(B430="","",ROUND(SUMIFS(Sales!$Y$5:$Y$1204,Sales!$D$5:$D$1204,B430,Sales!$B$5:$B$1204,"&gt;="&amp;IF(D430="",0,D430)),2))</f>
        <v>0</v>
      </c>
      <c r="N430" s="25">
        <f>IF(B430="","",IFERROR(INDEX(Clients!$T$5:$T$504,MATCH(B430,Clients!$A$5:$A$504,0))*1,0))</f>
        <v>0</v>
      </c>
      <c r="O430" s="25">
        <f>IF(B430="","",ROUND(M430*PointsPerUnit+IF(F430="",0,F430),0))</f>
        <v>0</v>
      </c>
      <c r="P430" s="25">
        <f>IF(B430="","",O430-IF(G430="",0,G430))</f>
        <v>0</v>
      </c>
      <c r="Q430" s="25">
        <f>IF(B430="","",IF(RewardAt&lt;=0,0,ROUNDDOWN(P430/RewardAt,0)))</f>
        <v>0</v>
      </c>
      <c r="R430" s="26">
        <f>IF(B430="","",ROUND(Q430*RewardValue,2))</f>
        <v>0</v>
      </c>
      <c r="S430" s="25">
        <f>IF(B430="","",IF(RewardAt&lt;=0,"",MAX(0,RewardAt*(Q430+1)-P430)))</f>
        <v>0</v>
      </c>
      <c r="T430" s="25">
        <f>IF(B430="","",COUNTIFS(Clients!$H$5:$H$504,B430))</f>
        <v>0</v>
      </c>
      <c r="U430" s="26">
        <f>IF(B430="","",ROUND(T430*ReferralReward-IF(J430="",0,J430),2))</f>
        <v>0</v>
      </c>
      <c r="V430" s="15">
        <f>IF(B430="","",IFERROR(INDEX(Clients!$AM$5:$AM$504,MATCH(B430,Clients!$A$5:$A$504,0))&amp;"",""))</f>
        <v>0</v>
      </c>
      <c r="W430" s="25">
        <f>IF(B430="","",COUNTIFS($P$5:$P$504,"&gt;"&amp;P430)+COUNTIFS($P$5:P430,P430))</f>
        <v>0</v>
      </c>
      <c r="X430" s="39">
        <f>IF(B430="","",IF(K430="No","",IF(COUNTIF($B$5:$B$504,B430)&gt;1,"Duplicate - this client is on twice",IF(Q430&gt;0,"Action - reward ready to give",IF(U430&gt;0.004,"Action - referral credit owed",IF(V430="Lapsing","Chase - points are a reason to call",IF(S430&lt;=RewardAt*0.2,"Rebook - nearly at a reward","OK")))))))</f>
        <v>0</v>
      </c>
    </row>
    <row r="431" spans="1:24">
      <c r="A431" s="28">
        <f>IF(B431="","",LoyaltyPrefix&amp;TEXT(ROW()-4,"0000"))</f>
        <v>0</v>
      </c>
      <c r="C431" s="15">
        <f>IF(B431="","",IFERROR(INDEX(Clients!$B$5:$B$504,MATCH(B431,Clients!$A$5:$A$504,0)),"Not in Clients"))</f>
        <v>0</v>
      </c>
      <c r="M431" s="26">
        <f>IF(B431="","",ROUND(SUMIFS(Sales!$Y$5:$Y$1204,Sales!$D$5:$D$1204,B431,Sales!$B$5:$B$1204,"&gt;="&amp;IF(D431="",0,D431)),2))</f>
        <v>0</v>
      </c>
      <c r="N431" s="25">
        <f>IF(B431="","",IFERROR(INDEX(Clients!$T$5:$T$504,MATCH(B431,Clients!$A$5:$A$504,0))*1,0))</f>
        <v>0</v>
      </c>
      <c r="O431" s="25">
        <f>IF(B431="","",ROUND(M431*PointsPerUnit+IF(F431="",0,F431),0))</f>
        <v>0</v>
      </c>
      <c r="P431" s="25">
        <f>IF(B431="","",O431-IF(G431="",0,G431))</f>
        <v>0</v>
      </c>
      <c r="Q431" s="25">
        <f>IF(B431="","",IF(RewardAt&lt;=0,0,ROUNDDOWN(P431/RewardAt,0)))</f>
        <v>0</v>
      </c>
      <c r="R431" s="26">
        <f>IF(B431="","",ROUND(Q431*RewardValue,2))</f>
        <v>0</v>
      </c>
      <c r="S431" s="25">
        <f>IF(B431="","",IF(RewardAt&lt;=0,"",MAX(0,RewardAt*(Q431+1)-P431)))</f>
        <v>0</v>
      </c>
      <c r="T431" s="25">
        <f>IF(B431="","",COUNTIFS(Clients!$H$5:$H$504,B431))</f>
        <v>0</v>
      </c>
      <c r="U431" s="26">
        <f>IF(B431="","",ROUND(T431*ReferralReward-IF(J431="",0,J431),2))</f>
        <v>0</v>
      </c>
      <c r="V431" s="15">
        <f>IF(B431="","",IFERROR(INDEX(Clients!$AM$5:$AM$504,MATCH(B431,Clients!$A$5:$A$504,0))&amp;"",""))</f>
        <v>0</v>
      </c>
      <c r="W431" s="25">
        <f>IF(B431="","",COUNTIFS($P$5:$P$504,"&gt;"&amp;P431)+COUNTIFS($P$5:P431,P431))</f>
        <v>0</v>
      </c>
      <c r="X431" s="39">
        <f>IF(B431="","",IF(K431="No","",IF(COUNTIF($B$5:$B$504,B431)&gt;1,"Duplicate - this client is on twice",IF(Q431&gt;0,"Action - reward ready to give",IF(U431&gt;0.004,"Action - referral credit owed",IF(V431="Lapsing","Chase - points are a reason to call",IF(S431&lt;=RewardAt*0.2,"Rebook - nearly at a reward","OK")))))))</f>
        <v>0</v>
      </c>
    </row>
    <row r="432" spans="1:24">
      <c r="A432" s="28">
        <f>IF(B432="","",LoyaltyPrefix&amp;TEXT(ROW()-4,"0000"))</f>
        <v>0</v>
      </c>
      <c r="C432" s="15">
        <f>IF(B432="","",IFERROR(INDEX(Clients!$B$5:$B$504,MATCH(B432,Clients!$A$5:$A$504,0)),"Not in Clients"))</f>
        <v>0</v>
      </c>
      <c r="M432" s="26">
        <f>IF(B432="","",ROUND(SUMIFS(Sales!$Y$5:$Y$1204,Sales!$D$5:$D$1204,B432,Sales!$B$5:$B$1204,"&gt;="&amp;IF(D432="",0,D432)),2))</f>
        <v>0</v>
      </c>
      <c r="N432" s="25">
        <f>IF(B432="","",IFERROR(INDEX(Clients!$T$5:$T$504,MATCH(B432,Clients!$A$5:$A$504,0))*1,0))</f>
        <v>0</v>
      </c>
      <c r="O432" s="25">
        <f>IF(B432="","",ROUND(M432*PointsPerUnit+IF(F432="",0,F432),0))</f>
        <v>0</v>
      </c>
      <c r="P432" s="25">
        <f>IF(B432="","",O432-IF(G432="",0,G432))</f>
        <v>0</v>
      </c>
      <c r="Q432" s="25">
        <f>IF(B432="","",IF(RewardAt&lt;=0,0,ROUNDDOWN(P432/RewardAt,0)))</f>
        <v>0</v>
      </c>
      <c r="R432" s="26">
        <f>IF(B432="","",ROUND(Q432*RewardValue,2))</f>
        <v>0</v>
      </c>
      <c r="S432" s="25">
        <f>IF(B432="","",IF(RewardAt&lt;=0,"",MAX(0,RewardAt*(Q432+1)-P432)))</f>
        <v>0</v>
      </c>
      <c r="T432" s="25">
        <f>IF(B432="","",COUNTIFS(Clients!$H$5:$H$504,B432))</f>
        <v>0</v>
      </c>
      <c r="U432" s="26">
        <f>IF(B432="","",ROUND(T432*ReferralReward-IF(J432="",0,J432),2))</f>
        <v>0</v>
      </c>
      <c r="V432" s="15">
        <f>IF(B432="","",IFERROR(INDEX(Clients!$AM$5:$AM$504,MATCH(B432,Clients!$A$5:$A$504,0))&amp;"",""))</f>
        <v>0</v>
      </c>
      <c r="W432" s="25">
        <f>IF(B432="","",COUNTIFS($P$5:$P$504,"&gt;"&amp;P432)+COUNTIFS($P$5:P432,P432))</f>
        <v>0</v>
      </c>
      <c r="X432" s="39">
        <f>IF(B432="","",IF(K432="No","",IF(COUNTIF($B$5:$B$504,B432)&gt;1,"Duplicate - this client is on twice",IF(Q432&gt;0,"Action - reward ready to give",IF(U432&gt;0.004,"Action - referral credit owed",IF(V432="Lapsing","Chase - points are a reason to call",IF(S432&lt;=RewardAt*0.2,"Rebook - nearly at a reward","OK")))))))</f>
        <v>0</v>
      </c>
    </row>
    <row r="433" spans="1:24">
      <c r="A433" s="28">
        <f>IF(B433="","",LoyaltyPrefix&amp;TEXT(ROW()-4,"0000"))</f>
        <v>0</v>
      </c>
      <c r="C433" s="15">
        <f>IF(B433="","",IFERROR(INDEX(Clients!$B$5:$B$504,MATCH(B433,Clients!$A$5:$A$504,0)),"Not in Clients"))</f>
        <v>0</v>
      </c>
      <c r="M433" s="26">
        <f>IF(B433="","",ROUND(SUMIFS(Sales!$Y$5:$Y$1204,Sales!$D$5:$D$1204,B433,Sales!$B$5:$B$1204,"&gt;="&amp;IF(D433="",0,D433)),2))</f>
        <v>0</v>
      </c>
      <c r="N433" s="25">
        <f>IF(B433="","",IFERROR(INDEX(Clients!$T$5:$T$504,MATCH(B433,Clients!$A$5:$A$504,0))*1,0))</f>
        <v>0</v>
      </c>
      <c r="O433" s="25">
        <f>IF(B433="","",ROUND(M433*PointsPerUnit+IF(F433="",0,F433),0))</f>
        <v>0</v>
      </c>
      <c r="P433" s="25">
        <f>IF(B433="","",O433-IF(G433="",0,G433))</f>
        <v>0</v>
      </c>
      <c r="Q433" s="25">
        <f>IF(B433="","",IF(RewardAt&lt;=0,0,ROUNDDOWN(P433/RewardAt,0)))</f>
        <v>0</v>
      </c>
      <c r="R433" s="26">
        <f>IF(B433="","",ROUND(Q433*RewardValue,2))</f>
        <v>0</v>
      </c>
      <c r="S433" s="25">
        <f>IF(B433="","",IF(RewardAt&lt;=0,"",MAX(0,RewardAt*(Q433+1)-P433)))</f>
        <v>0</v>
      </c>
      <c r="T433" s="25">
        <f>IF(B433="","",COUNTIFS(Clients!$H$5:$H$504,B433))</f>
        <v>0</v>
      </c>
      <c r="U433" s="26">
        <f>IF(B433="","",ROUND(T433*ReferralReward-IF(J433="",0,J433),2))</f>
        <v>0</v>
      </c>
      <c r="V433" s="15">
        <f>IF(B433="","",IFERROR(INDEX(Clients!$AM$5:$AM$504,MATCH(B433,Clients!$A$5:$A$504,0))&amp;"",""))</f>
        <v>0</v>
      </c>
      <c r="W433" s="25">
        <f>IF(B433="","",COUNTIFS($P$5:$P$504,"&gt;"&amp;P433)+COUNTIFS($P$5:P433,P433))</f>
        <v>0</v>
      </c>
      <c r="X433" s="39">
        <f>IF(B433="","",IF(K433="No","",IF(COUNTIF($B$5:$B$504,B433)&gt;1,"Duplicate - this client is on twice",IF(Q433&gt;0,"Action - reward ready to give",IF(U433&gt;0.004,"Action - referral credit owed",IF(V433="Lapsing","Chase - points are a reason to call",IF(S433&lt;=RewardAt*0.2,"Rebook - nearly at a reward","OK")))))))</f>
        <v>0</v>
      </c>
    </row>
    <row r="434" spans="1:24">
      <c r="A434" s="28">
        <f>IF(B434="","",LoyaltyPrefix&amp;TEXT(ROW()-4,"0000"))</f>
        <v>0</v>
      </c>
      <c r="C434" s="15">
        <f>IF(B434="","",IFERROR(INDEX(Clients!$B$5:$B$504,MATCH(B434,Clients!$A$5:$A$504,0)),"Not in Clients"))</f>
        <v>0</v>
      </c>
      <c r="M434" s="26">
        <f>IF(B434="","",ROUND(SUMIFS(Sales!$Y$5:$Y$1204,Sales!$D$5:$D$1204,B434,Sales!$B$5:$B$1204,"&gt;="&amp;IF(D434="",0,D434)),2))</f>
        <v>0</v>
      </c>
      <c r="N434" s="25">
        <f>IF(B434="","",IFERROR(INDEX(Clients!$T$5:$T$504,MATCH(B434,Clients!$A$5:$A$504,0))*1,0))</f>
        <v>0</v>
      </c>
      <c r="O434" s="25">
        <f>IF(B434="","",ROUND(M434*PointsPerUnit+IF(F434="",0,F434),0))</f>
        <v>0</v>
      </c>
      <c r="P434" s="25">
        <f>IF(B434="","",O434-IF(G434="",0,G434))</f>
        <v>0</v>
      </c>
      <c r="Q434" s="25">
        <f>IF(B434="","",IF(RewardAt&lt;=0,0,ROUNDDOWN(P434/RewardAt,0)))</f>
        <v>0</v>
      </c>
      <c r="R434" s="26">
        <f>IF(B434="","",ROUND(Q434*RewardValue,2))</f>
        <v>0</v>
      </c>
      <c r="S434" s="25">
        <f>IF(B434="","",IF(RewardAt&lt;=0,"",MAX(0,RewardAt*(Q434+1)-P434)))</f>
        <v>0</v>
      </c>
      <c r="T434" s="25">
        <f>IF(B434="","",COUNTIFS(Clients!$H$5:$H$504,B434))</f>
        <v>0</v>
      </c>
      <c r="U434" s="26">
        <f>IF(B434="","",ROUND(T434*ReferralReward-IF(J434="",0,J434),2))</f>
        <v>0</v>
      </c>
      <c r="V434" s="15">
        <f>IF(B434="","",IFERROR(INDEX(Clients!$AM$5:$AM$504,MATCH(B434,Clients!$A$5:$A$504,0))&amp;"",""))</f>
        <v>0</v>
      </c>
      <c r="W434" s="25">
        <f>IF(B434="","",COUNTIFS($P$5:$P$504,"&gt;"&amp;P434)+COUNTIFS($P$5:P434,P434))</f>
        <v>0</v>
      </c>
      <c r="X434" s="39">
        <f>IF(B434="","",IF(K434="No","",IF(COUNTIF($B$5:$B$504,B434)&gt;1,"Duplicate - this client is on twice",IF(Q434&gt;0,"Action - reward ready to give",IF(U434&gt;0.004,"Action - referral credit owed",IF(V434="Lapsing","Chase - points are a reason to call",IF(S434&lt;=RewardAt*0.2,"Rebook - nearly at a reward","OK")))))))</f>
        <v>0</v>
      </c>
    </row>
    <row r="435" spans="1:24">
      <c r="A435" s="28">
        <f>IF(B435="","",LoyaltyPrefix&amp;TEXT(ROW()-4,"0000"))</f>
        <v>0</v>
      </c>
      <c r="C435" s="15">
        <f>IF(B435="","",IFERROR(INDEX(Clients!$B$5:$B$504,MATCH(B435,Clients!$A$5:$A$504,0)),"Not in Clients"))</f>
        <v>0</v>
      </c>
      <c r="M435" s="26">
        <f>IF(B435="","",ROUND(SUMIFS(Sales!$Y$5:$Y$1204,Sales!$D$5:$D$1204,B435,Sales!$B$5:$B$1204,"&gt;="&amp;IF(D435="",0,D435)),2))</f>
        <v>0</v>
      </c>
      <c r="N435" s="25">
        <f>IF(B435="","",IFERROR(INDEX(Clients!$T$5:$T$504,MATCH(B435,Clients!$A$5:$A$504,0))*1,0))</f>
        <v>0</v>
      </c>
      <c r="O435" s="25">
        <f>IF(B435="","",ROUND(M435*PointsPerUnit+IF(F435="",0,F435),0))</f>
        <v>0</v>
      </c>
      <c r="P435" s="25">
        <f>IF(B435="","",O435-IF(G435="",0,G435))</f>
        <v>0</v>
      </c>
      <c r="Q435" s="25">
        <f>IF(B435="","",IF(RewardAt&lt;=0,0,ROUNDDOWN(P435/RewardAt,0)))</f>
        <v>0</v>
      </c>
      <c r="R435" s="26">
        <f>IF(B435="","",ROUND(Q435*RewardValue,2))</f>
        <v>0</v>
      </c>
      <c r="S435" s="25">
        <f>IF(B435="","",IF(RewardAt&lt;=0,"",MAX(0,RewardAt*(Q435+1)-P435)))</f>
        <v>0</v>
      </c>
      <c r="T435" s="25">
        <f>IF(B435="","",COUNTIFS(Clients!$H$5:$H$504,B435))</f>
        <v>0</v>
      </c>
      <c r="U435" s="26">
        <f>IF(B435="","",ROUND(T435*ReferralReward-IF(J435="",0,J435),2))</f>
        <v>0</v>
      </c>
      <c r="V435" s="15">
        <f>IF(B435="","",IFERROR(INDEX(Clients!$AM$5:$AM$504,MATCH(B435,Clients!$A$5:$A$504,0))&amp;"",""))</f>
        <v>0</v>
      </c>
      <c r="W435" s="25">
        <f>IF(B435="","",COUNTIFS($P$5:$P$504,"&gt;"&amp;P435)+COUNTIFS($P$5:P435,P435))</f>
        <v>0</v>
      </c>
      <c r="X435" s="39">
        <f>IF(B435="","",IF(K435="No","",IF(COUNTIF($B$5:$B$504,B435)&gt;1,"Duplicate - this client is on twice",IF(Q435&gt;0,"Action - reward ready to give",IF(U435&gt;0.004,"Action - referral credit owed",IF(V435="Lapsing","Chase - points are a reason to call",IF(S435&lt;=RewardAt*0.2,"Rebook - nearly at a reward","OK")))))))</f>
        <v>0</v>
      </c>
    </row>
    <row r="436" spans="1:24">
      <c r="A436" s="28">
        <f>IF(B436="","",LoyaltyPrefix&amp;TEXT(ROW()-4,"0000"))</f>
        <v>0</v>
      </c>
      <c r="C436" s="15">
        <f>IF(B436="","",IFERROR(INDEX(Clients!$B$5:$B$504,MATCH(B436,Clients!$A$5:$A$504,0)),"Not in Clients"))</f>
        <v>0</v>
      </c>
      <c r="M436" s="26">
        <f>IF(B436="","",ROUND(SUMIFS(Sales!$Y$5:$Y$1204,Sales!$D$5:$D$1204,B436,Sales!$B$5:$B$1204,"&gt;="&amp;IF(D436="",0,D436)),2))</f>
        <v>0</v>
      </c>
      <c r="N436" s="25">
        <f>IF(B436="","",IFERROR(INDEX(Clients!$T$5:$T$504,MATCH(B436,Clients!$A$5:$A$504,0))*1,0))</f>
        <v>0</v>
      </c>
      <c r="O436" s="25">
        <f>IF(B436="","",ROUND(M436*PointsPerUnit+IF(F436="",0,F436),0))</f>
        <v>0</v>
      </c>
      <c r="P436" s="25">
        <f>IF(B436="","",O436-IF(G436="",0,G436))</f>
        <v>0</v>
      </c>
      <c r="Q436" s="25">
        <f>IF(B436="","",IF(RewardAt&lt;=0,0,ROUNDDOWN(P436/RewardAt,0)))</f>
        <v>0</v>
      </c>
      <c r="R436" s="26">
        <f>IF(B436="","",ROUND(Q436*RewardValue,2))</f>
        <v>0</v>
      </c>
      <c r="S436" s="25">
        <f>IF(B436="","",IF(RewardAt&lt;=0,"",MAX(0,RewardAt*(Q436+1)-P436)))</f>
        <v>0</v>
      </c>
      <c r="T436" s="25">
        <f>IF(B436="","",COUNTIFS(Clients!$H$5:$H$504,B436))</f>
        <v>0</v>
      </c>
      <c r="U436" s="26">
        <f>IF(B436="","",ROUND(T436*ReferralReward-IF(J436="",0,J436),2))</f>
        <v>0</v>
      </c>
      <c r="V436" s="15">
        <f>IF(B436="","",IFERROR(INDEX(Clients!$AM$5:$AM$504,MATCH(B436,Clients!$A$5:$A$504,0))&amp;"",""))</f>
        <v>0</v>
      </c>
      <c r="W436" s="25">
        <f>IF(B436="","",COUNTIFS($P$5:$P$504,"&gt;"&amp;P436)+COUNTIFS($P$5:P436,P436))</f>
        <v>0</v>
      </c>
      <c r="X436" s="39">
        <f>IF(B436="","",IF(K436="No","",IF(COUNTIF($B$5:$B$504,B436)&gt;1,"Duplicate - this client is on twice",IF(Q436&gt;0,"Action - reward ready to give",IF(U436&gt;0.004,"Action - referral credit owed",IF(V436="Lapsing","Chase - points are a reason to call",IF(S436&lt;=RewardAt*0.2,"Rebook - nearly at a reward","OK")))))))</f>
        <v>0</v>
      </c>
    </row>
    <row r="437" spans="1:24">
      <c r="A437" s="28">
        <f>IF(B437="","",LoyaltyPrefix&amp;TEXT(ROW()-4,"0000"))</f>
        <v>0</v>
      </c>
      <c r="C437" s="15">
        <f>IF(B437="","",IFERROR(INDEX(Clients!$B$5:$B$504,MATCH(B437,Clients!$A$5:$A$504,0)),"Not in Clients"))</f>
        <v>0</v>
      </c>
      <c r="M437" s="26">
        <f>IF(B437="","",ROUND(SUMIFS(Sales!$Y$5:$Y$1204,Sales!$D$5:$D$1204,B437,Sales!$B$5:$B$1204,"&gt;="&amp;IF(D437="",0,D437)),2))</f>
        <v>0</v>
      </c>
      <c r="N437" s="25">
        <f>IF(B437="","",IFERROR(INDEX(Clients!$T$5:$T$504,MATCH(B437,Clients!$A$5:$A$504,0))*1,0))</f>
        <v>0</v>
      </c>
      <c r="O437" s="25">
        <f>IF(B437="","",ROUND(M437*PointsPerUnit+IF(F437="",0,F437),0))</f>
        <v>0</v>
      </c>
      <c r="P437" s="25">
        <f>IF(B437="","",O437-IF(G437="",0,G437))</f>
        <v>0</v>
      </c>
      <c r="Q437" s="25">
        <f>IF(B437="","",IF(RewardAt&lt;=0,0,ROUNDDOWN(P437/RewardAt,0)))</f>
        <v>0</v>
      </c>
      <c r="R437" s="26">
        <f>IF(B437="","",ROUND(Q437*RewardValue,2))</f>
        <v>0</v>
      </c>
      <c r="S437" s="25">
        <f>IF(B437="","",IF(RewardAt&lt;=0,"",MAX(0,RewardAt*(Q437+1)-P437)))</f>
        <v>0</v>
      </c>
      <c r="T437" s="25">
        <f>IF(B437="","",COUNTIFS(Clients!$H$5:$H$504,B437))</f>
        <v>0</v>
      </c>
      <c r="U437" s="26">
        <f>IF(B437="","",ROUND(T437*ReferralReward-IF(J437="",0,J437),2))</f>
        <v>0</v>
      </c>
      <c r="V437" s="15">
        <f>IF(B437="","",IFERROR(INDEX(Clients!$AM$5:$AM$504,MATCH(B437,Clients!$A$5:$A$504,0))&amp;"",""))</f>
        <v>0</v>
      </c>
      <c r="W437" s="25">
        <f>IF(B437="","",COUNTIFS($P$5:$P$504,"&gt;"&amp;P437)+COUNTIFS($P$5:P437,P437))</f>
        <v>0</v>
      </c>
      <c r="X437" s="39">
        <f>IF(B437="","",IF(K437="No","",IF(COUNTIF($B$5:$B$504,B437)&gt;1,"Duplicate - this client is on twice",IF(Q437&gt;0,"Action - reward ready to give",IF(U437&gt;0.004,"Action - referral credit owed",IF(V437="Lapsing","Chase - points are a reason to call",IF(S437&lt;=RewardAt*0.2,"Rebook - nearly at a reward","OK")))))))</f>
        <v>0</v>
      </c>
    </row>
    <row r="438" spans="1:24">
      <c r="A438" s="28">
        <f>IF(B438="","",LoyaltyPrefix&amp;TEXT(ROW()-4,"0000"))</f>
        <v>0</v>
      </c>
      <c r="C438" s="15">
        <f>IF(B438="","",IFERROR(INDEX(Clients!$B$5:$B$504,MATCH(B438,Clients!$A$5:$A$504,0)),"Not in Clients"))</f>
        <v>0</v>
      </c>
      <c r="M438" s="26">
        <f>IF(B438="","",ROUND(SUMIFS(Sales!$Y$5:$Y$1204,Sales!$D$5:$D$1204,B438,Sales!$B$5:$B$1204,"&gt;="&amp;IF(D438="",0,D438)),2))</f>
        <v>0</v>
      </c>
      <c r="N438" s="25">
        <f>IF(B438="","",IFERROR(INDEX(Clients!$T$5:$T$504,MATCH(B438,Clients!$A$5:$A$504,0))*1,0))</f>
        <v>0</v>
      </c>
      <c r="O438" s="25">
        <f>IF(B438="","",ROUND(M438*PointsPerUnit+IF(F438="",0,F438),0))</f>
        <v>0</v>
      </c>
      <c r="P438" s="25">
        <f>IF(B438="","",O438-IF(G438="",0,G438))</f>
        <v>0</v>
      </c>
      <c r="Q438" s="25">
        <f>IF(B438="","",IF(RewardAt&lt;=0,0,ROUNDDOWN(P438/RewardAt,0)))</f>
        <v>0</v>
      </c>
      <c r="R438" s="26">
        <f>IF(B438="","",ROUND(Q438*RewardValue,2))</f>
        <v>0</v>
      </c>
      <c r="S438" s="25">
        <f>IF(B438="","",IF(RewardAt&lt;=0,"",MAX(0,RewardAt*(Q438+1)-P438)))</f>
        <v>0</v>
      </c>
      <c r="T438" s="25">
        <f>IF(B438="","",COUNTIFS(Clients!$H$5:$H$504,B438))</f>
        <v>0</v>
      </c>
      <c r="U438" s="26">
        <f>IF(B438="","",ROUND(T438*ReferralReward-IF(J438="",0,J438),2))</f>
        <v>0</v>
      </c>
      <c r="V438" s="15">
        <f>IF(B438="","",IFERROR(INDEX(Clients!$AM$5:$AM$504,MATCH(B438,Clients!$A$5:$A$504,0))&amp;"",""))</f>
        <v>0</v>
      </c>
      <c r="W438" s="25">
        <f>IF(B438="","",COUNTIFS($P$5:$P$504,"&gt;"&amp;P438)+COUNTIFS($P$5:P438,P438))</f>
        <v>0</v>
      </c>
      <c r="X438" s="39">
        <f>IF(B438="","",IF(K438="No","",IF(COUNTIF($B$5:$B$504,B438)&gt;1,"Duplicate - this client is on twice",IF(Q438&gt;0,"Action - reward ready to give",IF(U438&gt;0.004,"Action - referral credit owed",IF(V438="Lapsing","Chase - points are a reason to call",IF(S438&lt;=RewardAt*0.2,"Rebook - nearly at a reward","OK")))))))</f>
        <v>0</v>
      </c>
    </row>
    <row r="439" spans="1:24">
      <c r="A439" s="28">
        <f>IF(B439="","",LoyaltyPrefix&amp;TEXT(ROW()-4,"0000"))</f>
        <v>0</v>
      </c>
      <c r="C439" s="15">
        <f>IF(B439="","",IFERROR(INDEX(Clients!$B$5:$B$504,MATCH(B439,Clients!$A$5:$A$504,0)),"Not in Clients"))</f>
        <v>0</v>
      </c>
      <c r="M439" s="26">
        <f>IF(B439="","",ROUND(SUMIFS(Sales!$Y$5:$Y$1204,Sales!$D$5:$D$1204,B439,Sales!$B$5:$B$1204,"&gt;="&amp;IF(D439="",0,D439)),2))</f>
        <v>0</v>
      </c>
      <c r="N439" s="25">
        <f>IF(B439="","",IFERROR(INDEX(Clients!$T$5:$T$504,MATCH(B439,Clients!$A$5:$A$504,0))*1,0))</f>
        <v>0</v>
      </c>
      <c r="O439" s="25">
        <f>IF(B439="","",ROUND(M439*PointsPerUnit+IF(F439="",0,F439),0))</f>
        <v>0</v>
      </c>
      <c r="P439" s="25">
        <f>IF(B439="","",O439-IF(G439="",0,G439))</f>
        <v>0</v>
      </c>
      <c r="Q439" s="25">
        <f>IF(B439="","",IF(RewardAt&lt;=0,0,ROUNDDOWN(P439/RewardAt,0)))</f>
        <v>0</v>
      </c>
      <c r="R439" s="26">
        <f>IF(B439="","",ROUND(Q439*RewardValue,2))</f>
        <v>0</v>
      </c>
      <c r="S439" s="25">
        <f>IF(B439="","",IF(RewardAt&lt;=0,"",MAX(0,RewardAt*(Q439+1)-P439)))</f>
        <v>0</v>
      </c>
      <c r="T439" s="25">
        <f>IF(B439="","",COUNTIFS(Clients!$H$5:$H$504,B439))</f>
        <v>0</v>
      </c>
      <c r="U439" s="26">
        <f>IF(B439="","",ROUND(T439*ReferralReward-IF(J439="",0,J439),2))</f>
        <v>0</v>
      </c>
      <c r="V439" s="15">
        <f>IF(B439="","",IFERROR(INDEX(Clients!$AM$5:$AM$504,MATCH(B439,Clients!$A$5:$A$504,0))&amp;"",""))</f>
        <v>0</v>
      </c>
      <c r="W439" s="25">
        <f>IF(B439="","",COUNTIFS($P$5:$P$504,"&gt;"&amp;P439)+COUNTIFS($P$5:P439,P439))</f>
        <v>0</v>
      </c>
      <c r="X439" s="39">
        <f>IF(B439="","",IF(K439="No","",IF(COUNTIF($B$5:$B$504,B439)&gt;1,"Duplicate - this client is on twice",IF(Q439&gt;0,"Action - reward ready to give",IF(U439&gt;0.004,"Action - referral credit owed",IF(V439="Lapsing","Chase - points are a reason to call",IF(S439&lt;=RewardAt*0.2,"Rebook - nearly at a reward","OK")))))))</f>
        <v>0</v>
      </c>
    </row>
    <row r="440" spans="1:24">
      <c r="A440" s="28">
        <f>IF(B440="","",LoyaltyPrefix&amp;TEXT(ROW()-4,"0000"))</f>
        <v>0</v>
      </c>
      <c r="C440" s="15">
        <f>IF(B440="","",IFERROR(INDEX(Clients!$B$5:$B$504,MATCH(B440,Clients!$A$5:$A$504,0)),"Not in Clients"))</f>
        <v>0</v>
      </c>
      <c r="M440" s="26">
        <f>IF(B440="","",ROUND(SUMIFS(Sales!$Y$5:$Y$1204,Sales!$D$5:$D$1204,B440,Sales!$B$5:$B$1204,"&gt;="&amp;IF(D440="",0,D440)),2))</f>
        <v>0</v>
      </c>
      <c r="N440" s="25">
        <f>IF(B440="","",IFERROR(INDEX(Clients!$T$5:$T$504,MATCH(B440,Clients!$A$5:$A$504,0))*1,0))</f>
        <v>0</v>
      </c>
      <c r="O440" s="25">
        <f>IF(B440="","",ROUND(M440*PointsPerUnit+IF(F440="",0,F440),0))</f>
        <v>0</v>
      </c>
      <c r="P440" s="25">
        <f>IF(B440="","",O440-IF(G440="",0,G440))</f>
        <v>0</v>
      </c>
      <c r="Q440" s="25">
        <f>IF(B440="","",IF(RewardAt&lt;=0,0,ROUNDDOWN(P440/RewardAt,0)))</f>
        <v>0</v>
      </c>
      <c r="R440" s="26">
        <f>IF(B440="","",ROUND(Q440*RewardValue,2))</f>
        <v>0</v>
      </c>
      <c r="S440" s="25">
        <f>IF(B440="","",IF(RewardAt&lt;=0,"",MAX(0,RewardAt*(Q440+1)-P440)))</f>
        <v>0</v>
      </c>
      <c r="T440" s="25">
        <f>IF(B440="","",COUNTIFS(Clients!$H$5:$H$504,B440))</f>
        <v>0</v>
      </c>
      <c r="U440" s="26">
        <f>IF(B440="","",ROUND(T440*ReferralReward-IF(J440="",0,J440),2))</f>
        <v>0</v>
      </c>
      <c r="V440" s="15">
        <f>IF(B440="","",IFERROR(INDEX(Clients!$AM$5:$AM$504,MATCH(B440,Clients!$A$5:$A$504,0))&amp;"",""))</f>
        <v>0</v>
      </c>
      <c r="W440" s="25">
        <f>IF(B440="","",COUNTIFS($P$5:$P$504,"&gt;"&amp;P440)+COUNTIFS($P$5:P440,P440))</f>
        <v>0</v>
      </c>
      <c r="X440" s="39">
        <f>IF(B440="","",IF(K440="No","",IF(COUNTIF($B$5:$B$504,B440)&gt;1,"Duplicate - this client is on twice",IF(Q440&gt;0,"Action - reward ready to give",IF(U440&gt;0.004,"Action - referral credit owed",IF(V440="Lapsing","Chase - points are a reason to call",IF(S440&lt;=RewardAt*0.2,"Rebook - nearly at a reward","OK")))))))</f>
        <v>0</v>
      </c>
    </row>
    <row r="441" spans="1:24">
      <c r="A441" s="28">
        <f>IF(B441="","",LoyaltyPrefix&amp;TEXT(ROW()-4,"0000"))</f>
        <v>0</v>
      </c>
      <c r="C441" s="15">
        <f>IF(B441="","",IFERROR(INDEX(Clients!$B$5:$B$504,MATCH(B441,Clients!$A$5:$A$504,0)),"Not in Clients"))</f>
        <v>0</v>
      </c>
      <c r="M441" s="26">
        <f>IF(B441="","",ROUND(SUMIFS(Sales!$Y$5:$Y$1204,Sales!$D$5:$D$1204,B441,Sales!$B$5:$B$1204,"&gt;="&amp;IF(D441="",0,D441)),2))</f>
        <v>0</v>
      </c>
      <c r="N441" s="25">
        <f>IF(B441="","",IFERROR(INDEX(Clients!$T$5:$T$504,MATCH(B441,Clients!$A$5:$A$504,0))*1,0))</f>
        <v>0</v>
      </c>
      <c r="O441" s="25">
        <f>IF(B441="","",ROUND(M441*PointsPerUnit+IF(F441="",0,F441),0))</f>
        <v>0</v>
      </c>
      <c r="P441" s="25">
        <f>IF(B441="","",O441-IF(G441="",0,G441))</f>
        <v>0</v>
      </c>
      <c r="Q441" s="25">
        <f>IF(B441="","",IF(RewardAt&lt;=0,0,ROUNDDOWN(P441/RewardAt,0)))</f>
        <v>0</v>
      </c>
      <c r="R441" s="26">
        <f>IF(B441="","",ROUND(Q441*RewardValue,2))</f>
        <v>0</v>
      </c>
      <c r="S441" s="25">
        <f>IF(B441="","",IF(RewardAt&lt;=0,"",MAX(0,RewardAt*(Q441+1)-P441)))</f>
        <v>0</v>
      </c>
      <c r="T441" s="25">
        <f>IF(B441="","",COUNTIFS(Clients!$H$5:$H$504,B441))</f>
        <v>0</v>
      </c>
      <c r="U441" s="26">
        <f>IF(B441="","",ROUND(T441*ReferralReward-IF(J441="",0,J441),2))</f>
        <v>0</v>
      </c>
      <c r="V441" s="15">
        <f>IF(B441="","",IFERROR(INDEX(Clients!$AM$5:$AM$504,MATCH(B441,Clients!$A$5:$A$504,0))&amp;"",""))</f>
        <v>0</v>
      </c>
      <c r="W441" s="25">
        <f>IF(B441="","",COUNTIFS($P$5:$P$504,"&gt;"&amp;P441)+COUNTIFS($P$5:P441,P441))</f>
        <v>0</v>
      </c>
      <c r="X441" s="39">
        <f>IF(B441="","",IF(K441="No","",IF(COUNTIF($B$5:$B$504,B441)&gt;1,"Duplicate - this client is on twice",IF(Q441&gt;0,"Action - reward ready to give",IF(U441&gt;0.004,"Action - referral credit owed",IF(V441="Lapsing","Chase - points are a reason to call",IF(S441&lt;=RewardAt*0.2,"Rebook - nearly at a reward","OK")))))))</f>
        <v>0</v>
      </c>
    </row>
    <row r="442" spans="1:24">
      <c r="A442" s="28">
        <f>IF(B442="","",LoyaltyPrefix&amp;TEXT(ROW()-4,"0000"))</f>
        <v>0</v>
      </c>
      <c r="C442" s="15">
        <f>IF(B442="","",IFERROR(INDEX(Clients!$B$5:$B$504,MATCH(B442,Clients!$A$5:$A$504,0)),"Not in Clients"))</f>
        <v>0</v>
      </c>
      <c r="M442" s="26">
        <f>IF(B442="","",ROUND(SUMIFS(Sales!$Y$5:$Y$1204,Sales!$D$5:$D$1204,B442,Sales!$B$5:$B$1204,"&gt;="&amp;IF(D442="",0,D442)),2))</f>
        <v>0</v>
      </c>
      <c r="N442" s="25">
        <f>IF(B442="","",IFERROR(INDEX(Clients!$T$5:$T$504,MATCH(B442,Clients!$A$5:$A$504,0))*1,0))</f>
        <v>0</v>
      </c>
      <c r="O442" s="25">
        <f>IF(B442="","",ROUND(M442*PointsPerUnit+IF(F442="",0,F442),0))</f>
        <v>0</v>
      </c>
      <c r="P442" s="25">
        <f>IF(B442="","",O442-IF(G442="",0,G442))</f>
        <v>0</v>
      </c>
      <c r="Q442" s="25">
        <f>IF(B442="","",IF(RewardAt&lt;=0,0,ROUNDDOWN(P442/RewardAt,0)))</f>
        <v>0</v>
      </c>
      <c r="R442" s="26">
        <f>IF(B442="","",ROUND(Q442*RewardValue,2))</f>
        <v>0</v>
      </c>
      <c r="S442" s="25">
        <f>IF(B442="","",IF(RewardAt&lt;=0,"",MAX(0,RewardAt*(Q442+1)-P442)))</f>
        <v>0</v>
      </c>
      <c r="T442" s="25">
        <f>IF(B442="","",COUNTIFS(Clients!$H$5:$H$504,B442))</f>
        <v>0</v>
      </c>
      <c r="U442" s="26">
        <f>IF(B442="","",ROUND(T442*ReferralReward-IF(J442="",0,J442),2))</f>
        <v>0</v>
      </c>
      <c r="V442" s="15">
        <f>IF(B442="","",IFERROR(INDEX(Clients!$AM$5:$AM$504,MATCH(B442,Clients!$A$5:$A$504,0))&amp;"",""))</f>
        <v>0</v>
      </c>
      <c r="W442" s="25">
        <f>IF(B442="","",COUNTIFS($P$5:$P$504,"&gt;"&amp;P442)+COUNTIFS($P$5:P442,P442))</f>
        <v>0</v>
      </c>
      <c r="X442" s="39">
        <f>IF(B442="","",IF(K442="No","",IF(COUNTIF($B$5:$B$504,B442)&gt;1,"Duplicate - this client is on twice",IF(Q442&gt;0,"Action - reward ready to give",IF(U442&gt;0.004,"Action - referral credit owed",IF(V442="Lapsing","Chase - points are a reason to call",IF(S442&lt;=RewardAt*0.2,"Rebook - nearly at a reward","OK")))))))</f>
        <v>0</v>
      </c>
    </row>
    <row r="443" spans="1:24">
      <c r="A443" s="28">
        <f>IF(B443="","",LoyaltyPrefix&amp;TEXT(ROW()-4,"0000"))</f>
        <v>0</v>
      </c>
      <c r="C443" s="15">
        <f>IF(B443="","",IFERROR(INDEX(Clients!$B$5:$B$504,MATCH(B443,Clients!$A$5:$A$504,0)),"Not in Clients"))</f>
        <v>0</v>
      </c>
      <c r="M443" s="26">
        <f>IF(B443="","",ROUND(SUMIFS(Sales!$Y$5:$Y$1204,Sales!$D$5:$D$1204,B443,Sales!$B$5:$B$1204,"&gt;="&amp;IF(D443="",0,D443)),2))</f>
        <v>0</v>
      </c>
      <c r="N443" s="25">
        <f>IF(B443="","",IFERROR(INDEX(Clients!$T$5:$T$504,MATCH(B443,Clients!$A$5:$A$504,0))*1,0))</f>
        <v>0</v>
      </c>
      <c r="O443" s="25">
        <f>IF(B443="","",ROUND(M443*PointsPerUnit+IF(F443="",0,F443),0))</f>
        <v>0</v>
      </c>
      <c r="P443" s="25">
        <f>IF(B443="","",O443-IF(G443="",0,G443))</f>
        <v>0</v>
      </c>
      <c r="Q443" s="25">
        <f>IF(B443="","",IF(RewardAt&lt;=0,0,ROUNDDOWN(P443/RewardAt,0)))</f>
        <v>0</v>
      </c>
      <c r="R443" s="26">
        <f>IF(B443="","",ROUND(Q443*RewardValue,2))</f>
        <v>0</v>
      </c>
      <c r="S443" s="25">
        <f>IF(B443="","",IF(RewardAt&lt;=0,"",MAX(0,RewardAt*(Q443+1)-P443)))</f>
        <v>0</v>
      </c>
      <c r="T443" s="25">
        <f>IF(B443="","",COUNTIFS(Clients!$H$5:$H$504,B443))</f>
        <v>0</v>
      </c>
      <c r="U443" s="26">
        <f>IF(B443="","",ROUND(T443*ReferralReward-IF(J443="",0,J443),2))</f>
        <v>0</v>
      </c>
      <c r="V443" s="15">
        <f>IF(B443="","",IFERROR(INDEX(Clients!$AM$5:$AM$504,MATCH(B443,Clients!$A$5:$A$504,0))&amp;"",""))</f>
        <v>0</v>
      </c>
      <c r="W443" s="25">
        <f>IF(B443="","",COUNTIFS($P$5:$P$504,"&gt;"&amp;P443)+COUNTIFS($P$5:P443,P443))</f>
        <v>0</v>
      </c>
      <c r="X443" s="39">
        <f>IF(B443="","",IF(K443="No","",IF(COUNTIF($B$5:$B$504,B443)&gt;1,"Duplicate - this client is on twice",IF(Q443&gt;0,"Action - reward ready to give",IF(U443&gt;0.004,"Action - referral credit owed",IF(V443="Lapsing","Chase - points are a reason to call",IF(S443&lt;=RewardAt*0.2,"Rebook - nearly at a reward","OK")))))))</f>
        <v>0</v>
      </c>
    </row>
    <row r="444" spans="1:24">
      <c r="A444" s="28">
        <f>IF(B444="","",LoyaltyPrefix&amp;TEXT(ROW()-4,"0000"))</f>
        <v>0</v>
      </c>
      <c r="C444" s="15">
        <f>IF(B444="","",IFERROR(INDEX(Clients!$B$5:$B$504,MATCH(B444,Clients!$A$5:$A$504,0)),"Not in Clients"))</f>
        <v>0</v>
      </c>
      <c r="M444" s="26">
        <f>IF(B444="","",ROUND(SUMIFS(Sales!$Y$5:$Y$1204,Sales!$D$5:$D$1204,B444,Sales!$B$5:$B$1204,"&gt;="&amp;IF(D444="",0,D444)),2))</f>
        <v>0</v>
      </c>
      <c r="N444" s="25">
        <f>IF(B444="","",IFERROR(INDEX(Clients!$T$5:$T$504,MATCH(B444,Clients!$A$5:$A$504,0))*1,0))</f>
        <v>0</v>
      </c>
      <c r="O444" s="25">
        <f>IF(B444="","",ROUND(M444*PointsPerUnit+IF(F444="",0,F444),0))</f>
        <v>0</v>
      </c>
      <c r="P444" s="25">
        <f>IF(B444="","",O444-IF(G444="",0,G444))</f>
        <v>0</v>
      </c>
      <c r="Q444" s="25">
        <f>IF(B444="","",IF(RewardAt&lt;=0,0,ROUNDDOWN(P444/RewardAt,0)))</f>
        <v>0</v>
      </c>
      <c r="R444" s="26">
        <f>IF(B444="","",ROUND(Q444*RewardValue,2))</f>
        <v>0</v>
      </c>
      <c r="S444" s="25">
        <f>IF(B444="","",IF(RewardAt&lt;=0,"",MAX(0,RewardAt*(Q444+1)-P444)))</f>
        <v>0</v>
      </c>
      <c r="T444" s="25">
        <f>IF(B444="","",COUNTIFS(Clients!$H$5:$H$504,B444))</f>
        <v>0</v>
      </c>
      <c r="U444" s="26">
        <f>IF(B444="","",ROUND(T444*ReferralReward-IF(J444="",0,J444),2))</f>
        <v>0</v>
      </c>
      <c r="V444" s="15">
        <f>IF(B444="","",IFERROR(INDEX(Clients!$AM$5:$AM$504,MATCH(B444,Clients!$A$5:$A$504,0))&amp;"",""))</f>
        <v>0</v>
      </c>
      <c r="W444" s="25">
        <f>IF(B444="","",COUNTIFS($P$5:$P$504,"&gt;"&amp;P444)+COUNTIFS($P$5:P444,P444))</f>
        <v>0</v>
      </c>
      <c r="X444" s="39">
        <f>IF(B444="","",IF(K444="No","",IF(COUNTIF($B$5:$B$504,B444)&gt;1,"Duplicate - this client is on twice",IF(Q444&gt;0,"Action - reward ready to give",IF(U444&gt;0.004,"Action - referral credit owed",IF(V444="Lapsing","Chase - points are a reason to call",IF(S444&lt;=RewardAt*0.2,"Rebook - nearly at a reward","OK")))))))</f>
        <v>0</v>
      </c>
    </row>
    <row r="445" spans="1:24">
      <c r="A445" s="28">
        <f>IF(B445="","",LoyaltyPrefix&amp;TEXT(ROW()-4,"0000"))</f>
        <v>0</v>
      </c>
      <c r="C445" s="15">
        <f>IF(B445="","",IFERROR(INDEX(Clients!$B$5:$B$504,MATCH(B445,Clients!$A$5:$A$504,0)),"Not in Clients"))</f>
        <v>0</v>
      </c>
      <c r="M445" s="26">
        <f>IF(B445="","",ROUND(SUMIFS(Sales!$Y$5:$Y$1204,Sales!$D$5:$D$1204,B445,Sales!$B$5:$B$1204,"&gt;="&amp;IF(D445="",0,D445)),2))</f>
        <v>0</v>
      </c>
      <c r="N445" s="25">
        <f>IF(B445="","",IFERROR(INDEX(Clients!$T$5:$T$504,MATCH(B445,Clients!$A$5:$A$504,0))*1,0))</f>
        <v>0</v>
      </c>
      <c r="O445" s="25">
        <f>IF(B445="","",ROUND(M445*PointsPerUnit+IF(F445="",0,F445),0))</f>
        <v>0</v>
      </c>
      <c r="P445" s="25">
        <f>IF(B445="","",O445-IF(G445="",0,G445))</f>
        <v>0</v>
      </c>
      <c r="Q445" s="25">
        <f>IF(B445="","",IF(RewardAt&lt;=0,0,ROUNDDOWN(P445/RewardAt,0)))</f>
        <v>0</v>
      </c>
      <c r="R445" s="26">
        <f>IF(B445="","",ROUND(Q445*RewardValue,2))</f>
        <v>0</v>
      </c>
      <c r="S445" s="25">
        <f>IF(B445="","",IF(RewardAt&lt;=0,"",MAX(0,RewardAt*(Q445+1)-P445)))</f>
        <v>0</v>
      </c>
      <c r="T445" s="25">
        <f>IF(B445="","",COUNTIFS(Clients!$H$5:$H$504,B445))</f>
        <v>0</v>
      </c>
      <c r="U445" s="26">
        <f>IF(B445="","",ROUND(T445*ReferralReward-IF(J445="",0,J445),2))</f>
        <v>0</v>
      </c>
      <c r="V445" s="15">
        <f>IF(B445="","",IFERROR(INDEX(Clients!$AM$5:$AM$504,MATCH(B445,Clients!$A$5:$A$504,0))&amp;"",""))</f>
        <v>0</v>
      </c>
      <c r="W445" s="25">
        <f>IF(B445="","",COUNTIFS($P$5:$P$504,"&gt;"&amp;P445)+COUNTIFS($P$5:P445,P445))</f>
        <v>0</v>
      </c>
      <c r="X445" s="39">
        <f>IF(B445="","",IF(K445="No","",IF(COUNTIF($B$5:$B$504,B445)&gt;1,"Duplicate - this client is on twice",IF(Q445&gt;0,"Action - reward ready to give",IF(U445&gt;0.004,"Action - referral credit owed",IF(V445="Lapsing","Chase - points are a reason to call",IF(S445&lt;=RewardAt*0.2,"Rebook - nearly at a reward","OK")))))))</f>
        <v>0</v>
      </c>
    </row>
    <row r="446" spans="1:24">
      <c r="A446" s="28">
        <f>IF(B446="","",LoyaltyPrefix&amp;TEXT(ROW()-4,"0000"))</f>
        <v>0</v>
      </c>
      <c r="C446" s="15">
        <f>IF(B446="","",IFERROR(INDEX(Clients!$B$5:$B$504,MATCH(B446,Clients!$A$5:$A$504,0)),"Not in Clients"))</f>
        <v>0</v>
      </c>
      <c r="M446" s="26">
        <f>IF(B446="","",ROUND(SUMIFS(Sales!$Y$5:$Y$1204,Sales!$D$5:$D$1204,B446,Sales!$B$5:$B$1204,"&gt;="&amp;IF(D446="",0,D446)),2))</f>
        <v>0</v>
      </c>
      <c r="N446" s="25">
        <f>IF(B446="","",IFERROR(INDEX(Clients!$T$5:$T$504,MATCH(B446,Clients!$A$5:$A$504,0))*1,0))</f>
        <v>0</v>
      </c>
      <c r="O446" s="25">
        <f>IF(B446="","",ROUND(M446*PointsPerUnit+IF(F446="",0,F446),0))</f>
        <v>0</v>
      </c>
      <c r="P446" s="25">
        <f>IF(B446="","",O446-IF(G446="",0,G446))</f>
        <v>0</v>
      </c>
      <c r="Q446" s="25">
        <f>IF(B446="","",IF(RewardAt&lt;=0,0,ROUNDDOWN(P446/RewardAt,0)))</f>
        <v>0</v>
      </c>
      <c r="R446" s="26">
        <f>IF(B446="","",ROUND(Q446*RewardValue,2))</f>
        <v>0</v>
      </c>
      <c r="S446" s="25">
        <f>IF(B446="","",IF(RewardAt&lt;=0,"",MAX(0,RewardAt*(Q446+1)-P446)))</f>
        <v>0</v>
      </c>
      <c r="T446" s="25">
        <f>IF(B446="","",COUNTIFS(Clients!$H$5:$H$504,B446))</f>
        <v>0</v>
      </c>
      <c r="U446" s="26">
        <f>IF(B446="","",ROUND(T446*ReferralReward-IF(J446="",0,J446),2))</f>
        <v>0</v>
      </c>
      <c r="V446" s="15">
        <f>IF(B446="","",IFERROR(INDEX(Clients!$AM$5:$AM$504,MATCH(B446,Clients!$A$5:$A$504,0))&amp;"",""))</f>
        <v>0</v>
      </c>
      <c r="W446" s="25">
        <f>IF(B446="","",COUNTIFS($P$5:$P$504,"&gt;"&amp;P446)+COUNTIFS($P$5:P446,P446))</f>
        <v>0</v>
      </c>
      <c r="X446" s="39">
        <f>IF(B446="","",IF(K446="No","",IF(COUNTIF($B$5:$B$504,B446)&gt;1,"Duplicate - this client is on twice",IF(Q446&gt;0,"Action - reward ready to give",IF(U446&gt;0.004,"Action - referral credit owed",IF(V446="Lapsing","Chase - points are a reason to call",IF(S446&lt;=RewardAt*0.2,"Rebook - nearly at a reward","OK")))))))</f>
        <v>0</v>
      </c>
    </row>
    <row r="447" spans="1:24">
      <c r="A447" s="28">
        <f>IF(B447="","",LoyaltyPrefix&amp;TEXT(ROW()-4,"0000"))</f>
        <v>0</v>
      </c>
      <c r="C447" s="15">
        <f>IF(B447="","",IFERROR(INDEX(Clients!$B$5:$B$504,MATCH(B447,Clients!$A$5:$A$504,0)),"Not in Clients"))</f>
        <v>0</v>
      </c>
      <c r="M447" s="26">
        <f>IF(B447="","",ROUND(SUMIFS(Sales!$Y$5:$Y$1204,Sales!$D$5:$D$1204,B447,Sales!$B$5:$B$1204,"&gt;="&amp;IF(D447="",0,D447)),2))</f>
        <v>0</v>
      </c>
      <c r="N447" s="25">
        <f>IF(B447="","",IFERROR(INDEX(Clients!$T$5:$T$504,MATCH(B447,Clients!$A$5:$A$504,0))*1,0))</f>
        <v>0</v>
      </c>
      <c r="O447" s="25">
        <f>IF(B447="","",ROUND(M447*PointsPerUnit+IF(F447="",0,F447),0))</f>
        <v>0</v>
      </c>
      <c r="P447" s="25">
        <f>IF(B447="","",O447-IF(G447="",0,G447))</f>
        <v>0</v>
      </c>
      <c r="Q447" s="25">
        <f>IF(B447="","",IF(RewardAt&lt;=0,0,ROUNDDOWN(P447/RewardAt,0)))</f>
        <v>0</v>
      </c>
      <c r="R447" s="26">
        <f>IF(B447="","",ROUND(Q447*RewardValue,2))</f>
        <v>0</v>
      </c>
      <c r="S447" s="25">
        <f>IF(B447="","",IF(RewardAt&lt;=0,"",MAX(0,RewardAt*(Q447+1)-P447)))</f>
        <v>0</v>
      </c>
      <c r="T447" s="25">
        <f>IF(B447="","",COUNTIFS(Clients!$H$5:$H$504,B447))</f>
        <v>0</v>
      </c>
      <c r="U447" s="26">
        <f>IF(B447="","",ROUND(T447*ReferralReward-IF(J447="",0,J447),2))</f>
        <v>0</v>
      </c>
      <c r="V447" s="15">
        <f>IF(B447="","",IFERROR(INDEX(Clients!$AM$5:$AM$504,MATCH(B447,Clients!$A$5:$A$504,0))&amp;"",""))</f>
        <v>0</v>
      </c>
      <c r="W447" s="25">
        <f>IF(B447="","",COUNTIFS($P$5:$P$504,"&gt;"&amp;P447)+COUNTIFS($P$5:P447,P447))</f>
        <v>0</v>
      </c>
      <c r="X447" s="39">
        <f>IF(B447="","",IF(K447="No","",IF(COUNTIF($B$5:$B$504,B447)&gt;1,"Duplicate - this client is on twice",IF(Q447&gt;0,"Action - reward ready to give",IF(U447&gt;0.004,"Action - referral credit owed",IF(V447="Lapsing","Chase - points are a reason to call",IF(S447&lt;=RewardAt*0.2,"Rebook - nearly at a reward","OK")))))))</f>
        <v>0</v>
      </c>
    </row>
    <row r="448" spans="1:24">
      <c r="A448" s="28">
        <f>IF(B448="","",LoyaltyPrefix&amp;TEXT(ROW()-4,"0000"))</f>
        <v>0</v>
      </c>
      <c r="C448" s="15">
        <f>IF(B448="","",IFERROR(INDEX(Clients!$B$5:$B$504,MATCH(B448,Clients!$A$5:$A$504,0)),"Not in Clients"))</f>
        <v>0</v>
      </c>
      <c r="M448" s="26">
        <f>IF(B448="","",ROUND(SUMIFS(Sales!$Y$5:$Y$1204,Sales!$D$5:$D$1204,B448,Sales!$B$5:$B$1204,"&gt;="&amp;IF(D448="",0,D448)),2))</f>
        <v>0</v>
      </c>
      <c r="N448" s="25">
        <f>IF(B448="","",IFERROR(INDEX(Clients!$T$5:$T$504,MATCH(B448,Clients!$A$5:$A$504,0))*1,0))</f>
        <v>0</v>
      </c>
      <c r="O448" s="25">
        <f>IF(B448="","",ROUND(M448*PointsPerUnit+IF(F448="",0,F448),0))</f>
        <v>0</v>
      </c>
      <c r="P448" s="25">
        <f>IF(B448="","",O448-IF(G448="",0,G448))</f>
        <v>0</v>
      </c>
      <c r="Q448" s="25">
        <f>IF(B448="","",IF(RewardAt&lt;=0,0,ROUNDDOWN(P448/RewardAt,0)))</f>
        <v>0</v>
      </c>
      <c r="R448" s="26">
        <f>IF(B448="","",ROUND(Q448*RewardValue,2))</f>
        <v>0</v>
      </c>
      <c r="S448" s="25">
        <f>IF(B448="","",IF(RewardAt&lt;=0,"",MAX(0,RewardAt*(Q448+1)-P448)))</f>
        <v>0</v>
      </c>
      <c r="T448" s="25">
        <f>IF(B448="","",COUNTIFS(Clients!$H$5:$H$504,B448))</f>
        <v>0</v>
      </c>
      <c r="U448" s="26">
        <f>IF(B448="","",ROUND(T448*ReferralReward-IF(J448="",0,J448),2))</f>
        <v>0</v>
      </c>
      <c r="V448" s="15">
        <f>IF(B448="","",IFERROR(INDEX(Clients!$AM$5:$AM$504,MATCH(B448,Clients!$A$5:$A$504,0))&amp;"",""))</f>
        <v>0</v>
      </c>
      <c r="W448" s="25">
        <f>IF(B448="","",COUNTIFS($P$5:$P$504,"&gt;"&amp;P448)+COUNTIFS($P$5:P448,P448))</f>
        <v>0</v>
      </c>
      <c r="X448" s="39">
        <f>IF(B448="","",IF(K448="No","",IF(COUNTIF($B$5:$B$504,B448)&gt;1,"Duplicate - this client is on twice",IF(Q448&gt;0,"Action - reward ready to give",IF(U448&gt;0.004,"Action - referral credit owed",IF(V448="Lapsing","Chase - points are a reason to call",IF(S448&lt;=RewardAt*0.2,"Rebook - nearly at a reward","OK")))))))</f>
        <v>0</v>
      </c>
    </row>
    <row r="449" spans="1:24">
      <c r="A449" s="28">
        <f>IF(B449="","",LoyaltyPrefix&amp;TEXT(ROW()-4,"0000"))</f>
        <v>0</v>
      </c>
      <c r="C449" s="15">
        <f>IF(B449="","",IFERROR(INDEX(Clients!$B$5:$B$504,MATCH(B449,Clients!$A$5:$A$504,0)),"Not in Clients"))</f>
        <v>0</v>
      </c>
      <c r="M449" s="26">
        <f>IF(B449="","",ROUND(SUMIFS(Sales!$Y$5:$Y$1204,Sales!$D$5:$D$1204,B449,Sales!$B$5:$B$1204,"&gt;="&amp;IF(D449="",0,D449)),2))</f>
        <v>0</v>
      </c>
      <c r="N449" s="25">
        <f>IF(B449="","",IFERROR(INDEX(Clients!$T$5:$T$504,MATCH(B449,Clients!$A$5:$A$504,0))*1,0))</f>
        <v>0</v>
      </c>
      <c r="O449" s="25">
        <f>IF(B449="","",ROUND(M449*PointsPerUnit+IF(F449="",0,F449),0))</f>
        <v>0</v>
      </c>
      <c r="P449" s="25">
        <f>IF(B449="","",O449-IF(G449="",0,G449))</f>
        <v>0</v>
      </c>
      <c r="Q449" s="25">
        <f>IF(B449="","",IF(RewardAt&lt;=0,0,ROUNDDOWN(P449/RewardAt,0)))</f>
        <v>0</v>
      </c>
      <c r="R449" s="26">
        <f>IF(B449="","",ROUND(Q449*RewardValue,2))</f>
        <v>0</v>
      </c>
      <c r="S449" s="25">
        <f>IF(B449="","",IF(RewardAt&lt;=0,"",MAX(0,RewardAt*(Q449+1)-P449)))</f>
        <v>0</v>
      </c>
      <c r="T449" s="25">
        <f>IF(B449="","",COUNTIFS(Clients!$H$5:$H$504,B449))</f>
        <v>0</v>
      </c>
      <c r="U449" s="26">
        <f>IF(B449="","",ROUND(T449*ReferralReward-IF(J449="",0,J449),2))</f>
        <v>0</v>
      </c>
      <c r="V449" s="15">
        <f>IF(B449="","",IFERROR(INDEX(Clients!$AM$5:$AM$504,MATCH(B449,Clients!$A$5:$A$504,0))&amp;"",""))</f>
        <v>0</v>
      </c>
      <c r="W449" s="25">
        <f>IF(B449="","",COUNTIFS($P$5:$P$504,"&gt;"&amp;P449)+COUNTIFS($P$5:P449,P449))</f>
        <v>0</v>
      </c>
      <c r="X449" s="39">
        <f>IF(B449="","",IF(K449="No","",IF(COUNTIF($B$5:$B$504,B449)&gt;1,"Duplicate - this client is on twice",IF(Q449&gt;0,"Action - reward ready to give",IF(U449&gt;0.004,"Action - referral credit owed",IF(V449="Lapsing","Chase - points are a reason to call",IF(S449&lt;=RewardAt*0.2,"Rebook - nearly at a reward","OK")))))))</f>
        <v>0</v>
      </c>
    </row>
    <row r="450" spans="1:24">
      <c r="A450" s="28">
        <f>IF(B450="","",LoyaltyPrefix&amp;TEXT(ROW()-4,"0000"))</f>
        <v>0</v>
      </c>
      <c r="C450" s="15">
        <f>IF(B450="","",IFERROR(INDEX(Clients!$B$5:$B$504,MATCH(B450,Clients!$A$5:$A$504,0)),"Not in Clients"))</f>
        <v>0</v>
      </c>
      <c r="M450" s="26">
        <f>IF(B450="","",ROUND(SUMIFS(Sales!$Y$5:$Y$1204,Sales!$D$5:$D$1204,B450,Sales!$B$5:$B$1204,"&gt;="&amp;IF(D450="",0,D450)),2))</f>
        <v>0</v>
      </c>
      <c r="N450" s="25">
        <f>IF(B450="","",IFERROR(INDEX(Clients!$T$5:$T$504,MATCH(B450,Clients!$A$5:$A$504,0))*1,0))</f>
        <v>0</v>
      </c>
      <c r="O450" s="25">
        <f>IF(B450="","",ROUND(M450*PointsPerUnit+IF(F450="",0,F450),0))</f>
        <v>0</v>
      </c>
      <c r="P450" s="25">
        <f>IF(B450="","",O450-IF(G450="",0,G450))</f>
        <v>0</v>
      </c>
      <c r="Q450" s="25">
        <f>IF(B450="","",IF(RewardAt&lt;=0,0,ROUNDDOWN(P450/RewardAt,0)))</f>
        <v>0</v>
      </c>
      <c r="R450" s="26">
        <f>IF(B450="","",ROUND(Q450*RewardValue,2))</f>
        <v>0</v>
      </c>
      <c r="S450" s="25">
        <f>IF(B450="","",IF(RewardAt&lt;=0,"",MAX(0,RewardAt*(Q450+1)-P450)))</f>
        <v>0</v>
      </c>
      <c r="T450" s="25">
        <f>IF(B450="","",COUNTIFS(Clients!$H$5:$H$504,B450))</f>
        <v>0</v>
      </c>
      <c r="U450" s="26">
        <f>IF(B450="","",ROUND(T450*ReferralReward-IF(J450="",0,J450),2))</f>
        <v>0</v>
      </c>
      <c r="V450" s="15">
        <f>IF(B450="","",IFERROR(INDEX(Clients!$AM$5:$AM$504,MATCH(B450,Clients!$A$5:$A$504,0))&amp;"",""))</f>
        <v>0</v>
      </c>
      <c r="W450" s="25">
        <f>IF(B450="","",COUNTIFS($P$5:$P$504,"&gt;"&amp;P450)+COUNTIFS($P$5:P450,P450))</f>
        <v>0</v>
      </c>
      <c r="X450" s="39">
        <f>IF(B450="","",IF(K450="No","",IF(COUNTIF($B$5:$B$504,B450)&gt;1,"Duplicate - this client is on twice",IF(Q450&gt;0,"Action - reward ready to give",IF(U450&gt;0.004,"Action - referral credit owed",IF(V450="Lapsing","Chase - points are a reason to call",IF(S450&lt;=RewardAt*0.2,"Rebook - nearly at a reward","OK")))))))</f>
        <v>0</v>
      </c>
    </row>
    <row r="451" spans="1:24">
      <c r="A451" s="28">
        <f>IF(B451="","",LoyaltyPrefix&amp;TEXT(ROW()-4,"0000"))</f>
        <v>0</v>
      </c>
      <c r="C451" s="15">
        <f>IF(B451="","",IFERROR(INDEX(Clients!$B$5:$B$504,MATCH(B451,Clients!$A$5:$A$504,0)),"Not in Clients"))</f>
        <v>0</v>
      </c>
      <c r="M451" s="26">
        <f>IF(B451="","",ROUND(SUMIFS(Sales!$Y$5:$Y$1204,Sales!$D$5:$D$1204,B451,Sales!$B$5:$B$1204,"&gt;="&amp;IF(D451="",0,D451)),2))</f>
        <v>0</v>
      </c>
      <c r="N451" s="25">
        <f>IF(B451="","",IFERROR(INDEX(Clients!$T$5:$T$504,MATCH(B451,Clients!$A$5:$A$504,0))*1,0))</f>
        <v>0</v>
      </c>
      <c r="O451" s="25">
        <f>IF(B451="","",ROUND(M451*PointsPerUnit+IF(F451="",0,F451),0))</f>
        <v>0</v>
      </c>
      <c r="P451" s="25">
        <f>IF(B451="","",O451-IF(G451="",0,G451))</f>
        <v>0</v>
      </c>
      <c r="Q451" s="25">
        <f>IF(B451="","",IF(RewardAt&lt;=0,0,ROUNDDOWN(P451/RewardAt,0)))</f>
        <v>0</v>
      </c>
      <c r="R451" s="26">
        <f>IF(B451="","",ROUND(Q451*RewardValue,2))</f>
        <v>0</v>
      </c>
      <c r="S451" s="25">
        <f>IF(B451="","",IF(RewardAt&lt;=0,"",MAX(0,RewardAt*(Q451+1)-P451)))</f>
        <v>0</v>
      </c>
      <c r="T451" s="25">
        <f>IF(B451="","",COUNTIFS(Clients!$H$5:$H$504,B451))</f>
        <v>0</v>
      </c>
      <c r="U451" s="26">
        <f>IF(B451="","",ROUND(T451*ReferralReward-IF(J451="",0,J451),2))</f>
        <v>0</v>
      </c>
      <c r="V451" s="15">
        <f>IF(B451="","",IFERROR(INDEX(Clients!$AM$5:$AM$504,MATCH(B451,Clients!$A$5:$A$504,0))&amp;"",""))</f>
        <v>0</v>
      </c>
      <c r="W451" s="25">
        <f>IF(B451="","",COUNTIFS($P$5:$P$504,"&gt;"&amp;P451)+COUNTIFS($P$5:P451,P451))</f>
        <v>0</v>
      </c>
      <c r="X451" s="39">
        <f>IF(B451="","",IF(K451="No","",IF(COUNTIF($B$5:$B$504,B451)&gt;1,"Duplicate - this client is on twice",IF(Q451&gt;0,"Action - reward ready to give",IF(U451&gt;0.004,"Action - referral credit owed",IF(V451="Lapsing","Chase - points are a reason to call",IF(S451&lt;=RewardAt*0.2,"Rebook - nearly at a reward","OK")))))))</f>
        <v>0</v>
      </c>
    </row>
    <row r="452" spans="1:24">
      <c r="A452" s="28">
        <f>IF(B452="","",LoyaltyPrefix&amp;TEXT(ROW()-4,"0000"))</f>
        <v>0</v>
      </c>
      <c r="C452" s="15">
        <f>IF(B452="","",IFERROR(INDEX(Clients!$B$5:$B$504,MATCH(B452,Clients!$A$5:$A$504,0)),"Not in Clients"))</f>
        <v>0</v>
      </c>
      <c r="M452" s="26">
        <f>IF(B452="","",ROUND(SUMIFS(Sales!$Y$5:$Y$1204,Sales!$D$5:$D$1204,B452,Sales!$B$5:$B$1204,"&gt;="&amp;IF(D452="",0,D452)),2))</f>
        <v>0</v>
      </c>
      <c r="N452" s="25">
        <f>IF(B452="","",IFERROR(INDEX(Clients!$T$5:$T$504,MATCH(B452,Clients!$A$5:$A$504,0))*1,0))</f>
        <v>0</v>
      </c>
      <c r="O452" s="25">
        <f>IF(B452="","",ROUND(M452*PointsPerUnit+IF(F452="",0,F452),0))</f>
        <v>0</v>
      </c>
      <c r="P452" s="25">
        <f>IF(B452="","",O452-IF(G452="",0,G452))</f>
        <v>0</v>
      </c>
      <c r="Q452" s="25">
        <f>IF(B452="","",IF(RewardAt&lt;=0,0,ROUNDDOWN(P452/RewardAt,0)))</f>
        <v>0</v>
      </c>
      <c r="R452" s="26">
        <f>IF(B452="","",ROUND(Q452*RewardValue,2))</f>
        <v>0</v>
      </c>
      <c r="S452" s="25">
        <f>IF(B452="","",IF(RewardAt&lt;=0,"",MAX(0,RewardAt*(Q452+1)-P452)))</f>
        <v>0</v>
      </c>
      <c r="T452" s="25">
        <f>IF(B452="","",COUNTIFS(Clients!$H$5:$H$504,B452))</f>
        <v>0</v>
      </c>
      <c r="U452" s="26">
        <f>IF(B452="","",ROUND(T452*ReferralReward-IF(J452="",0,J452),2))</f>
        <v>0</v>
      </c>
      <c r="V452" s="15">
        <f>IF(B452="","",IFERROR(INDEX(Clients!$AM$5:$AM$504,MATCH(B452,Clients!$A$5:$A$504,0))&amp;"",""))</f>
        <v>0</v>
      </c>
      <c r="W452" s="25">
        <f>IF(B452="","",COUNTIFS($P$5:$P$504,"&gt;"&amp;P452)+COUNTIFS($P$5:P452,P452))</f>
        <v>0</v>
      </c>
      <c r="X452" s="39">
        <f>IF(B452="","",IF(K452="No","",IF(COUNTIF($B$5:$B$504,B452)&gt;1,"Duplicate - this client is on twice",IF(Q452&gt;0,"Action - reward ready to give",IF(U452&gt;0.004,"Action - referral credit owed",IF(V452="Lapsing","Chase - points are a reason to call",IF(S452&lt;=RewardAt*0.2,"Rebook - nearly at a reward","OK")))))))</f>
        <v>0</v>
      </c>
    </row>
    <row r="453" spans="1:24">
      <c r="A453" s="28">
        <f>IF(B453="","",LoyaltyPrefix&amp;TEXT(ROW()-4,"0000"))</f>
        <v>0</v>
      </c>
      <c r="C453" s="15">
        <f>IF(B453="","",IFERROR(INDEX(Clients!$B$5:$B$504,MATCH(B453,Clients!$A$5:$A$504,0)),"Not in Clients"))</f>
        <v>0</v>
      </c>
      <c r="M453" s="26">
        <f>IF(B453="","",ROUND(SUMIFS(Sales!$Y$5:$Y$1204,Sales!$D$5:$D$1204,B453,Sales!$B$5:$B$1204,"&gt;="&amp;IF(D453="",0,D453)),2))</f>
        <v>0</v>
      </c>
      <c r="N453" s="25">
        <f>IF(B453="","",IFERROR(INDEX(Clients!$T$5:$T$504,MATCH(B453,Clients!$A$5:$A$504,0))*1,0))</f>
        <v>0</v>
      </c>
      <c r="O453" s="25">
        <f>IF(B453="","",ROUND(M453*PointsPerUnit+IF(F453="",0,F453),0))</f>
        <v>0</v>
      </c>
      <c r="P453" s="25">
        <f>IF(B453="","",O453-IF(G453="",0,G453))</f>
        <v>0</v>
      </c>
      <c r="Q453" s="25">
        <f>IF(B453="","",IF(RewardAt&lt;=0,0,ROUNDDOWN(P453/RewardAt,0)))</f>
        <v>0</v>
      </c>
      <c r="R453" s="26">
        <f>IF(B453="","",ROUND(Q453*RewardValue,2))</f>
        <v>0</v>
      </c>
      <c r="S453" s="25">
        <f>IF(B453="","",IF(RewardAt&lt;=0,"",MAX(0,RewardAt*(Q453+1)-P453)))</f>
        <v>0</v>
      </c>
      <c r="T453" s="25">
        <f>IF(B453="","",COUNTIFS(Clients!$H$5:$H$504,B453))</f>
        <v>0</v>
      </c>
      <c r="U453" s="26">
        <f>IF(B453="","",ROUND(T453*ReferralReward-IF(J453="",0,J453),2))</f>
        <v>0</v>
      </c>
      <c r="V453" s="15">
        <f>IF(B453="","",IFERROR(INDEX(Clients!$AM$5:$AM$504,MATCH(B453,Clients!$A$5:$A$504,0))&amp;"",""))</f>
        <v>0</v>
      </c>
      <c r="W453" s="25">
        <f>IF(B453="","",COUNTIFS($P$5:$P$504,"&gt;"&amp;P453)+COUNTIFS($P$5:P453,P453))</f>
        <v>0</v>
      </c>
      <c r="X453" s="39">
        <f>IF(B453="","",IF(K453="No","",IF(COUNTIF($B$5:$B$504,B453)&gt;1,"Duplicate - this client is on twice",IF(Q453&gt;0,"Action - reward ready to give",IF(U453&gt;0.004,"Action - referral credit owed",IF(V453="Lapsing","Chase - points are a reason to call",IF(S453&lt;=RewardAt*0.2,"Rebook - nearly at a reward","OK")))))))</f>
        <v>0</v>
      </c>
    </row>
    <row r="454" spans="1:24">
      <c r="A454" s="28">
        <f>IF(B454="","",LoyaltyPrefix&amp;TEXT(ROW()-4,"0000"))</f>
        <v>0</v>
      </c>
      <c r="C454" s="15">
        <f>IF(B454="","",IFERROR(INDEX(Clients!$B$5:$B$504,MATCH(B454,Clients!$A$5:$A$504,0)),"Not in Clients"))</f>
        <v>0</v>
      </c>
      <c r="M454" s="26">
        <f>IF(B454="","",ROUND(SUMIFS(Sales!$Y$5:$Y$1204,Sales!$D$5:$D$1204,B454,Sales!$B$5:$B$1204,"&gt;="&amp;IF(D454="",0,D454)),2))</f>
        <v>0</v>
      </c>
      <c r="N454" s="25">
        <f>IF(B454="","",IFERROR(INDEX(Clients!$T$5:$T$504,MATCH(B454,Clients!$A$5:$A$504,0))*1,0))</f>
        <v>0</v>
      </c>
      <c r="O454" s="25">
        <f>IF(B454="","",ROUND(M454*PointsPerUnit+IF(F454="",0,F454),0))</f>
        <v>0</v>
      </c>
      <c r="P454" s="25">
        <f>IF(B454="","",O454-IF(G454="",0,G454))</f>
        <v>0</v>
      </c>
      <c r="Q454" s="25">
        <f>IF(B454="","",IF(RewardAt&lt;=0,0,ROUNDDOWN(P454/RewardAt,0)))</f>
        <v>0</v>
      </c>
      <c r="R454" s="26">
        <f>IF(B454="","",ROUND(Q454*RewardValue,2))</f>
        <v>0</v>
      </c>
      <c r="S454" s="25">
        <f>IF(B454="","",IF(RewardAt&lt;=0,"",MAX(0,RewardAt*(Q454+1)-P454)))</f>
        <v>0</v>
      </c>
      <c r="T454" s="25">
        <f>IF(B454="","",COUNTIFS(Clients!$H$5:$H$504,B454))</f>
        <v>0</v>
      </c>
      <c r="U454" s="26">
        <f>IF(B454="","",ROUND(T454*ReferralReward-IF(J454="",0,J454),2))</f>
        <v>0</v>
      </c>
      <c r="V454" s="15">
        <f>IF(B454="","",IFERROR(INDEX(Clients!$AM$5:$AM$504,MATCH(B454,Clients!$A$5:$A$504,0))&amp;"",""))</f>
        <v>0</v>
      </c>
      <c r="W454" s="25">
        <f>IF(B454="","",COUNTIFS($P$5:$P$504,"&gt;"&amp;P454)+COUNTIFS($P$5:P454,P454))</f>
        <v>0</v>
      </c>
      <c r="X454" s="39">
        <f>IF(B454="","",IF(K454="No","",IF(COUNTIF($B$5:$B$504,B454)&gt;1,"Duplicate - this client is on twice",IF(Q454&gt;0,"Action - reward ready to give",IF(U454&gt;0.004,"Action - referral credit owed",IF(V454="Lapsing","Chase - points are a reason to call",IF(S454&lt;=RewardAt*0.2,"Rebook - nearly at a reward","OK")))))))</f>
        <v>0</v>
      </c>
    </row>
    <row r="455" spans="1:24">
      <c r="A455" s="28">
        <f>IF(B455="","",LoyaltyPrefix&amp;TEXT(ROW()-4,"0000"))</f>
        <v>0</v>
      </c>
      <c r="C455" s="15">
        <f>IF(B455="","",IFERROR(INDEX(Clients!$B$5:$B$504,MATCH(B455,Clients!$A$5:$A$504,0)),"Not in Clients"))</f>
        <v>0</v>
      </c>
      <c r="M455" s="26">
        <f>IF(B455="","",ROUND(SUMIFS(Sales!$Y$5:$Y$1204,Sales!$D$5:$D$1204,B455,Sales!$B$5:$B$1204,"&gt;="&amp;IF(D455="",0,D455)),2))</f>
        <v>0</v>
      </c>
      <c r="N455" s="25">
        <f>IF(B455="","",IFERROR(INDEX(Clients!$T$5:$T$504,MATCH(B455,Clients!$A$5:$A$504,0))*1,0))</f>
        <v>0</v>
      </c>
      <c r="O455" s="25">
        <f>IF(B455="","",ROUND(M455*PointsPerUnit+IF(F455="",0,F455),0))</f>
        <v>0</v>
      </c>
      <c r="P455" s="25">
        <f>IF(B455="","",O455-IF(G455="",0,G455))</f>
        <v>0</v>
      </c>
      <c r="Q455" s="25">
        <f>IF(B455="","",IF(RewardAt&lt;=0,0,ROUNDDOWN(P455/RewardAt,0)))</f>
        <v>0</v>
      </c>
      <c r="R455" s="26">
        <f>IF(B455="","",ROUND(Q455*RewardValue,2))</f>
        <v>0</v>
      </c>
      <c r="S455" s="25">
        <f>IF(B455="","",IF(RewardAt&lt;=0,"",MAX(0,RewardAt*(Q455+1)-P455)))</f>
        <v>0</v>
      </c>
      <c r="T455" s="25">
        <f>IF(B455="","",COUNTIFS(Clients!$H$5:$H$504,B455))</f>
        <v>0</v>
      </c>
      <c r="U455" s="26">
        <f>IF(B455="","",ROUND(T455*ReferralReward-IF(J455="",0,J455),2))</f>
        <v>0</v>
      </c>
      <c r="V455" s="15">
        <f>IF(B455="","",IFERROR(INDEX(Clients!$AM$5:$AM$504,MATCH(B455,Clients!$A$5:$A$504,0))&amp;"",""))</f>
        <v>0</v>
      </c>
      <c r="W455" s="25">
        <f>IF(B455="","",COUNTIFS($P$5:$P$504,"&gt;"&amp;P455)+COUNTIFS($P$5:P455,P455))</f>
        <v>0</v>
      </c>
      <c r="X455" s="39">
        <f>IF(B455="","",IF(K455="No","",IF(COUNTIF($B$5:$B$504,B455)&gt;1,"Duplicate - this client is on twice",IF(Q455&gt;0,"Action - reward ready to give",IF(U455&gt;0.004,"Action - referral credit owed",IF(V455="Lapsing","Chase - points are a reason to call",IF(S455&lt;=RewardAt*0.2,"Rebook - nearly at a reward","OK")))))))</f>
        <v>0</v>
      </c>
    </row>
    <row r="456" spans="1:24">
      <c r="A456" s="28">
        <f>IF(B456="","",LoyaltyPrefix&amp;TEXT(ROW()-4,"0000"))</f>
        <v>0</v>
      </c>
      <c r="C456" s="15">
        <f>IF(B456="","",IFERROR(INDEX(Clients!$B$5:$B$504,MATCH(B456,Clients!$A$5:$A$504,0)),"Not in Clients"))</f>
        <v>0</v>
      </c>
      <c r="M456" s="26">
        <f>IF(B456="","",ROUND(SUMIFS(Sales!$Y$5:$Y$1204,Sales!$D$5:$D$1204,B456,Sales!$B$5:$B$1204,"&gt;="&amp;IF(D456="",0,D456)),2))</f>
        <v>0</v>
      </c>
      <c r="N456" s="25">
        <f>IF(B456="","",IFERROR(INDEX(Clients!$T$5:$T$504,MATCH(B456,Clients!$A$5:$A$504,0))*1,0))</f>
        <v>0</v>
      </c>
      <c r="O456" s="25">
        <f>IF(B456="","",ROUND(M456*PointsPerUnit+IF(F456="",0,F456),0))</f>
        <v>0</v>
      </c>
      <c r="P456" s="25">
        <f>IF(B456="","",O456-IF(G456="",0,G456))</f>
        <v>0</v>
      </c>
      <c r="Q456" s="25">
        <f>IF(B456="","",IF(RewardAt&lt;=0,0,ROUNDDOWN(P456/RewardAt,0)))</f>
        <v>0</v>
      </c>
      <c r="R456" s="26">
        <f>IF(B456="","",ROUND(Q456*RewardValue,2))</f>
        <v>0</v>
      </c>
      <c r="S456" s="25">
        <f>IF(B456="","",IF(RewardAt&lt;=0,"",MAX(0,RewardAt*(Q456+1)-P456)))</f>
        <v>0</v>
      </c>
      <c r="T456" s="25">
        <f>IF(B456="","",COUNTIFS(Clients!$H$5:$H$504,B456))</f>
        <v>0</v>
      </c>
      <c r="U456" s="26">
        <f>IF(B456="","",ROUND(T456*ReferralReward-IF(J456="",0,J456),2))</f>
        <v>0</v>
      </c>
      <c r="V456" s="15">
        <f>IF(B456="","",IFERROR(INDEX(Clients!$AM$5:$AM$504,MATCH(B456,Clients!$A$5:$A$504,0))&amp;"",""))</f>
        <v>0</v>
      </c>
      <c r="W456" s="25">
        <f>IF(B456="","",COUNTIFS($P$5:$P$504,"&gt;"&amp;P456)+COUNTIFS($P$5:P456,P456))</f>
        <v>0</v>
      </c>
      <c r="X456" s="39">
        <f>IF(B456="","",IF(K456="No","",IF(COUNTIF($B$5:$B$504,B456)&gt;1,"Duplicate - this client is on twice",IF(Q456&gt;0,"Action - reward ready to give",IF(U456&gt;0.004,"Action - referral credit owed",IF(V456="Lapsing","Chase - points are a reason to call",IF(S456&lt;=RewardAt*0.2,"Rebook - nearly at a reward","OK")))))))</f>
        <v>0</v>
      </c>
    </row>
    <row r="457" spans="1:24">
      <c r="A457" s="28">
        <f>IF(B457="","",LoyaltyPrefix&amp;TEXT(ROW()-4,"0000"))</f>
        <v>0</v>
      </c>
      <c r="C457" s="15">
        <f>IF(B457="","",IFERROR(INDEX(Clients!$B$5:$B$504,MATCH(B457,Clients!$A$5:$A$504,0)),"Not in Clients"))</f>
        <v>0</v>
      </c>
      <c r="M457" s="26">
        <f>IF(B457="","",ROUND(SUMIFS(Sales!$Y$5:$Y$1204,Sales!$D$5:$D$1204,B457,Sales!$B$5:$B$1204,"&gt;="&amp;IF(D457="",0,D457)),2))</f>
        <v>0</v>
      </c>
      <c r="N457" s="25">
        <f>IF(B457="","",IFERROR(INDEX(Clients!$T$5:$T$504,MATCH(B457,Clients!$A$5:$A$504,0))*1,0))</f>
        <v>0</v>
      </c>
      <c r="O457" s="25">
        <f>IF(B457="","",ROUND(M457*PointsPerUnit+IF(F457="",0,F457),0))</f>
        <v>0</v>
      </c>
      <c r="P457" s="25">
        <f>IF(B457="","",O457-IF(G457="",0,G457))</f>
        <v>0</v>
      </c>
      <c r="Q457" s="25">
        <f>IF(B457="","",IF(RewardAt&lt;=0,0,ROUNDDOWN(P457/RewardAt,0)))</f>
        <v>0</v>
      </c>
      <c r="R457" s="26">
        <f>IF(B457="","",ROUND(Q457*RewardValue,2))</f>
        <v>0</v>
      </c>
      <c r="S457" s="25">
        <f>IF(B457="","",IF(RewardAt&lt;=0,"",MAX(0,RewardAt*(Q457+1)-P457)))</f>
        <v>0</v>
      </c>
      <c r="T457" s="25">
        <f>IF(B457="","",COUNTIFS(Clients!$H$5:$H$504,B457))</f>
        <v>0</v>
      </c>
      <c r="U457" s="26">
        <f>IF(B457="","",ROUND(T457*ReferralReward-IF(J457="",0,J457),2))</f>
        <v>0</v>
      </c>
      <c r="V457" s="15">
        <f>IF(B457="","",IFERROR(INDEX(Clients!$AM$5:$AM$504,MATCH(B457,Clients!$A$5:$A$504,0))&amp;"",""))</f>
        <v>0</v>
      </c>
      <c r="W457" s="25">
        <f>IF(B457="","",COUNTIFS($P$5:$P$504,"&gt;"&amp;P457)+COUNTIFS($P$5:P457,P457))</f>
        <v>0</v>
      </c>
      <c r="X457" s="39">
        <f>IF(B457="","",IF(K457="No","",IF(COUNTIF($B$5:$B$504,B457)&gt;1,"Duplicate - this client is on twice",IF(Q457&gt;0,"Action - reward ready to give",IF(U457&gt;0.004,"Action - referral credit owed",IF(V457="Lapsing","Chase - points are a reason to call",IF(S457&lt;=RewardAt*0.2,"Rebook - nearly at a reward","OK")))))))</f>
        <v>0</v>
      </c>
    </row>
    <row r="458" spans="1:24">
      <c r="A458" s="28">
        <f>IF(B458="","",LoyaltyPrefix&amp;TEXT(ROW()-4,"0000"))</f>
        <v>0</v>
      </c>
      <c r="C458" s="15">
        <f>IF(B458="","",IFERROR(INDEX(Clients!$B$5:$B$504,MATCH(B458,Clients!$A$5:$A$504,0)),"Not in Clients"))</f>
        <v>0</v>
      </c>
      <c r="M458" s="26">
        <f>IF(B458="","",ROUND(SUMIFS(Sales!$Y$5:$Y$1204,Sales!$D$5:$D$1204,B458,Sales!$B$5:$B$1204,"&gt;="&amp;IF(D458="",0,D458)),2))</f>
        <v>0</v>
      </c>
      <c r="N458" s="25">
        <f>IF(B458="","",IFERROR(INDEX(Clients!$T$5:$T$504,MATCH(B458,Clients!$A$5:$A$504,0))*1,0))</f>
        <v>0</v>
      </c>
      <c r="O458" s="25">
        <f>IF(B458="","",ROUND(M458*PointsPerUnit+IF(F458="",0,F458),0))</f>
        <v>0</v>
      </c>
      <c r="P458" s="25">
        <f>IF(B458="","",O458-IF(G458="",0,G458))</f>
        <v>0</v>
      </c>
      <c r="Q458" s="25">
        <f>IF(B458="","",IF(RewardAt&lt;=0,0,ROUNDDOWN(P458/RewardAt,0)))</f>
        <v>0</v>
      </c>
      <c r="R458" s="26">
        <f>IF(B458="","",ROUND(Q458*RewardValue,2))</f>
        <v>0</v>
      </c>
      <c r="S458" s="25">
        <f>IF(B458="","",IF(RewardAt&lt;=0,"",MAX(0,RewardAt*(Q458+1)-P458)))</f>
        <v>0</v>
      </c>
      <c r="T458" s="25">
        <f>IF(B458="","",COUNTIFS(Clients!$H$5:$H$504,B458))</f>
        <v>0</v>
      </c>
      <c r="U458" s="26">
        <f>IF(B458="","",ROUND(T458*ReferralReward-IF(J458="",0,J458),2))</f>
        <v>0</v>
      </c>
      <c r="V458" s="15">
        <f>IF(B458="","",IFERROR(INDEX(Clients!$AM$5:$AM$504,MATCH(B458,Clients!$A$5:$A$504,0))&amp;"",""))</f>
        <v>0</v>
      </c>
      <c r="W458" s="25">
        <f>IF(B458="","",COUNTIFS($P$5:$P$504,"&gt;"&amp;P458)+COUNTIFS($P$5:P458,P458))</f>
        <v>0</v>
      </c>
      <c r="X458" s="39">
        <f>IF(B458="","",IF(K458="No","",IF(COUNTIF($B$5:$B$504,B458)&gt;1,"Duplicate - this client is on twice",IF(Q458&gt;0,"Action - reward ready to give",IF(U458&gt;0.004,"Action - referral credit owed",IF(V458="Lapsing","Chase - points are a reason to call",IF(S458&lt;=RewardAt*0.2,"Rebook - nearly at a reward","OK")))))))</f>
        <v>0</v>
      </c>
    </row>
    <row r="459" spans="1:24">
      <c r="A459" s="28">
        <f>IF(B459="","",LoyaltyPrefix&amp;TEXT(ROW()-4,"0000"))</f>
        <v>0</v>
      </c>
      <c r="C459" s="15">
        <f>IF(B459="","",IFERROR(INDEX(Clients!$B$5:$B$504,MATCH(B459,Clients!$A$5:$A$504,0)),"Not in Clients"))</f>
        <v>0</v>
      </c>
      <c r="M459" s="26">
        <f>IF(B459="","",ROUND(SUMIFS(Sales!$Y$5:$Y$1204,Sales!$D$5:$D$1204,B459,Sales!$B$5:$B$1204,"&gt;="&amp;IF(D459="",0,D459)),2))</f>
        <v>0</v>
      </c>
      <c r="N459" s="25">
        <f>IF(B459="","",IFERROR(INDEX(Clients!$T$5:$T$504,MATCH(B459,Clients!$A$5:$A$504,0))*1,0))</f>
        <v>0</v>
      </c>
      <c r="O459" s="25">
        <f>IF(B459="","",ROUND(M459*PointsPerUnit+IF(F459="",0,F459),0))</f>
        <v>0</v>
      </c>
      <c r="P459" s="25">
        <f>IF(B459="","",O459-IF(G459="",0,G459))</f>
        <v>0</v>
      </c>
      <c r="Q459" s="25">
        <f>IF(B459="","",IF(RewardAt&lt;=0,0,ROUNDDOWN(P459/RewardAt,0)))</f>
        <v>0</v>
      </c>
      <c r="R459" s="26">
        <f>IF(B459="","",ROUND(Q459*RewardValue,2))</f>
        <v>0</v>
      </c>
      <c r="S459" s="25">
        <f>IF(B459="","",IF(RewardAt&lt;=0,"",MAX(0,RewardAt*(Q459+1)-P459)))</f>
        <v>0</v>
      </c>
      <c r="T459" s="25">
        <f>IF(B459="","",COUNTIFS(Clients!$H$5:$H$504,B459))</f>
        <v>0</v>
      </c>
      <c r="U459" s="26">
        <f>IF(B459="","",ROUND(T459*ReferralReward-IF(J459="",0,J459),2))</f>
        <v>0</v>
      </c>
      <c r="V459" s="15">
        <f>IF(B459="","",IFERROR(INDEX(Clients!$AM$5:$AM$504,MATCH(B459,Clients!$A$5:$A$504,0))&amp;"",""))</f>
        <v>0</v>
      </c>
      <c r="W459" s="25">
        <f>IF(B459="","",COUNTIFS($P$5:$P$504,"&gt;"&amp;P459)+COUNTIFS($P$5:P459,P459))</f>
        <v>0</v>
      </c>
      <c r="X459" s="39">
        <f>IF(B459="","",IF(K459="No","",IF(COUNTIF($B$5:$B$504,B459)&gt;1,"Duplicate - this client is on twice",IF(Q459&gt;0,"Action - reward ready to give",IF(U459&gt;0.004,"Action - referral credit owed",IF(V459="Lapsing","Chase - points are a reason to call",IF(S459&lt;=RewardAt*0.2,"Rebook - nearly at a reward","OK")))))))</f>
        <v>0</v>
      </c>
    </row>
    <row r="460" spans="1:24">
      <c r="A460" s="28">
        <f>IF(B460="","",LoyaltyPrefix&amp;TEXT(ROW()-4,"0000"))</f>
        <v>0</v>
      </c>
      <c r="C460" s="15">
        <f>IF(B460="","",IFERROR(INDEX(Clients!$B$5:$B$504,MATCH(B460,Clients!$A$5:$A$504,0)),"Not in Clients"))</f>
        <v>0</v>
      </c>
      <c r="M460" s="26">
        <f>IF(B460="","",ROUND(SUMIFS(Sales!$Y$5:$Y$1204,Sales!$D$5:$D$1204,B460,Sales!$B$5:$B$1204,"&gt;="&amp;IF(D460="",0,D460)),2))</f>
        <v>0</v>
      </c>
      <c r="N460" s="25">
        <f>IF(B460="","",IFERROR(INDEX(Clients!$T$5:$T$504,MATCH(B460,Clients!$A$5:$A$504,0))*1,0))</f>
        <v>0</v>
      </c>
      <c r="O460" s="25">
        <f>IF(B460="","",ROUND(M460*PointsPerUnit+IF(F460="",0,F460),0))</f>
        <v>0</v>
      </c>
      <c r="P460" s="25">
        <f>IF(B460="","",O460-IF(G460="",0,G460))</f>
        <v>0</v>
      </c>
      <c r="Q460" s="25">
        <f>IF(B460="","",IF(RewardAt&lt;=0,0,ROUNDDOWN(P460/RewardAt,0)))</f>
        <v>0</v>
      </c>
      <c r="R460" s="26">
        <f>IF(B460="","",ROUND(Q460*RewardValue,2))</f>
        <v>0</v>
      </c>
      <c r="S460" s="25">
        <f>IF(B460="","",IF(RewardAt&lt;=0,"",MAX(0,RewardAt*(Q460+1)-P460)))</f>
        <v>0</v>
      </c>
      <c r="T460" s="25">
        <f>IF(B460="","",COUNTIFS(Clients!$H$5:$H$504,B460))</f>
        <v>0</v>
      </c>
      <c r="U460" s="26">
        <f>IF(B460="","",ROUND(T460*ReferralReward-IF(J460="",0,J460),2))</f>
        <v>0</v>
      </c>
      <c r="V460" s="15">
        <f>IF(B460="","",IFERROR(INDEX(Clients!$AM$5:$AM$504,MATCH(B460,Clients!$A$5:$A$504,0))&amp;"",""))</f>
        <v>0</v>
      </c>
      <c r="W460" s="25">
        <f>IF(B460="","",COUNTIFS($P$5:$P$504,"&gt;"&amp;P460)+COUNTIFS($P$5:P460,P460))</f>
        <v>0</v>
      </c>
      <c r="X460" s="39">
        <f>IF(B460="","",IF(K460="No","",IF(COUNTIF($B$5:$B$504,B460)&gt;1,"Duplicate - this client is on twice",IF(Q460&gt;0,"Action - reward ready to give",IF(U460&gt;0.004,"Action - referral credit owed",IF(V460="Lapsing","Chase - points are a reason to call",IF(S460&lt;=RewardAt*0.2,"Rebook - nearly at a reward","OK")))))))</f>
        <v>0</v>
      </c>
    </row>
    <row r="461" spans="1:24">
      <c r="A461" s="28">
        <f>IF(B461="","",LoyaltyPrefix&amp;TEXT(ROW()-4,"0000"))</f>
        <v>0</v>
      </c>
      <c r="C461" s="15">
        <f>IF(B461="","",IFERROR(INDEX(Clients!$B$5:$B$504,MATCH(B461,Clients!$A$5:$A$504,0)),"Not in Clients"))</f>
        <v>0</v>
      </c>
      <c r="M461" s="26">
        <f>IF(B461="","",ROUND(SUMIFS(Sales!$Y$5:$Y$1204,Sales!$D$5:$D$1204,B461,Sales!$B$5:$B$1204,"&gt;="&amp;IF(D461="",0,D461)),2))</f>
        <v>0</v>
      </c>
      <c r="N461" s="25">
        <f>IF(B461="","",IFERROR(INDEX(Clients!$T$5:$T$504,MATCH(B461,Clients!$A$5:$A$504,0))*1,0))</f>
        <v>0</v>
      </c>
      <c r="O461" s="25">
        <f>IF(B461="","",ROUND(M461*PointsPerUnit+IF(F461="",0,F461),0))</f>
        <v>0</v>
      </c>
      <c r="P461" s="25">
        <f>IF(B461="","",O461-IF(G461="",0,G461))</f>
        <v>0</v>
      </c>
      <c r="Q461" s="25">
        <f>IF(B461="","",IF(RewardAt&lt;=0,0,ROUNDDOWN(P461/RewardAt,0)))</f>
        <v>0</v>
      </c>
      <c r="R461" s="26">
        <f>IF(B461="","",ROUND(Q461*RewardValue,2))</f>
        <v>0</v>
      </c>
      <c r="S461" s="25">
        <f>IF(B461="","",IF(RewardAt&lt;=0,"",MAX(0,RewardAt*(Q461+1)-P461)))</f>
        <v>0</v>
      </c>
      <c r="T461" s="25">
        <f>IF(B461="","",COUNTIFS(Clients!$H$5:$H$504,B461))</f>
        <v>0</v>
      </c>
      <c r="U461" s="26">
        <f>IF(B461="","",ROUND(T461*ReferralReward-IF(J461="",0,J461),2))</f>
        <v>0</v>
      </c>
      <c r="V461" s="15">
        <f>IF(B461="","",IFERROR(INDEX(Clients!$AM$5:$AM$504,MATCH(B461,Clients!$A$5:$A$504,0))&amp;"",""))</f>
        <v>0</v>
      </c>
      <c r="W461" s="25">
        <f>IF(B461="","",COUNTIFS($P$5:$P$504,"&gt;"&amp;P461)+COUNTIFS($P$5:P461,P461))</f>
        <v>0</v>
      </c>
      <c r="X461" s="39">
        <f>IF(B461="","",IF(K461="No","",IF(COUNTIF($B$5:$B$504,B461)&gt;1,"Duplicate - this client is on twice",IF(Q461&gt;0,"Action - reward ready to give",IF(U461&gt;0.004,"Action - referral credit owed",IF(V461="Lapsing","Chase - points are a reason to call",IF(S461&lt;=RewardAt*0.2,"Rebook - nearly at a reward","OK")))))))</f>
        <v>0</v>
      </c>
    </row>
    <row r="462" spans="1:24">
      <c r="A462" s="28">
        <f>IF(B462="","",LoyaltyPrefix&amp;TEXT(ROW()-4,"0000"))</f>
        <v>0</v>
      </c>
      <c r="C462" s="15">
        <f>IF(B462="","",IFERROR(INDEX(Clients!$B$5:$B$504,MATCH(B462,Clients!$A$5:$A$504,0)),"Not in Clients"))</f>
        <v>0</v>
      </c>
      <c r="M462" s="26">
        <f>IF(B462="","",ROUND(SUMIFS(Sales!$Y$5:$Y$1204,Sales!$D$5:$D$1204,B462,Sales!$B$5:$B$1204,"&gt;="&amp;IF(D462="",0,D462)),2))</f>
        <v>0</v>
      </c>
      <c r="N462" s="25">
        <f>IF(B462="","",IFERROR(INDEX(Clients!$T$5:$T$504,MATCH(B462,Clients!$A$5:$A$504,0))*1,0))</f>
        <v>0</v>
      </c>
      <c r="O462" s="25">
        <f>IF(B462="","",ROUND(M462*PointsPerUnit+IF(F462="",0,F462),0))</f>
        <v>0</v>
      </c>
      <c r="P462" s="25">
        <f>IF(B462="","",O462-IF(G462="",0,G462))</f>
        <v>0</v>
      </c>
      <c r="Q462" s="25">
        <f>IF(B462="","",IF(RewardAt&lt;=0,0,ROUNDDOWN(P462/RewardAt,0)))</f>
        <v>0</v>
      </c>
      <c r="R462" s="26">
        <f>IF(B462="","",ROUND(Q462*RewardValue,2))</f>
        <v>0</v>
      </c>
      <c r="S462" s="25">
        <f>IF(B462="","",IF(RewardAt&lt;=0,"",MAX(0,RewardAt*(Q462+1)-P462)))</f>
        <v>0</v>
      </c>
      <c r="T462" s="25">
        <f>IF(B462="","",COUNTIFS(Clients!$H$5:$H$504,B462))</f>
        <v>0</v>
      </c>
      <c r="U462" s="26">
        <f>IF(B462="","",ROUND(T462*ReferralReward-IF(J462="",0,J462),2))</f>
        <v>0</v>
      </c>
      <c r="V462" s="15">
        <f>IF(B462="","",IFERROR(INDEX(Clients!$AM$5:$AM$504,MATCH(B462,Clients!$A$5:$A$504,0))&amp;"",""))</f>
        <v>0</v>
      </c>
      <c r="W462" s="25">
        <f>IF(B462="","",COUNTIFS($P$5:$P$504,"&gt;"&amp;P462)+COUNTIFS($P$5:P462,P462))</f>
        <v>0</v>
      </c>
      <c r="X462" s="39">
        <f>IF(B462="","",IF(K462="No","",IF(COUNTIF($B$5:$B$504,B462)&gt;1,"Duplicate - this client is on twice",IF(Q462&gt;0,"Action - reward ready to give",IF(U462&gt;0.004,"Action - referral credit owed",IF(V462="Lapsing","Chase - points are a reason to call",IF(S462&lt;=RewardAt*0.2,"Rebook - nearly at a reward","OK")))))))</f>
        <v>0</v>
      </c>
    </row>
    <row r="463" spans="1:24">
      <c r="A463" s="28">
        <f>IF(B463="","",LoyaltyPrefix&amp;TEXT(ROW()-4,"0000"))</f>
        <v>0</v>
      </c>
      <c r="C463" s="15">
        <f>IF(B463="","",IFERROR(INDEX(Clients!$B$5:$B$504,MATCH(B463,Clients!$A$5:$A$504,0)),"Not in Clients"))</f>
        <v>0</v>
      </c>
      <c r="M463" s="26">
        <f>IF(B463="","",ROUND(SUMIFS(Sales!$Y$5:$Y$1204,Sales!$D$5:$D$1204,B463,Sales!$B$5:$B$1204,"&gt;="&amp;IF(D463="",0,D463)),2))</f>
        <v>0</v>
      </c>
      <c r="N463" s="25">
        <f>IF(B463="","",IFERROR(INDEX(Clients!$T$5:$T$504,MATCH(B463,Clients!$A$5:$A$504,0))*1,0))</f>
        <v>0</v>
      </c>
      <c r="O463" s="25">
        <f>IF(B463="","",ROUND(M463*PointsPerUnit+IF(F463="",0,F463),0))</f>
        <v>0</v>
      </c>
      <c r="P463" s="25">
        <f>IF(B463="","",O463-IF(G463="",0,G463))</f>
        <v>0</v>
      </c>
      <c r="Q463" s="25">
        <f>IF(B463="","",IF(RewardAt&lt;=0,0,ROUNDDOWN(P463/RewardAt,0)))</f>
        <v>0</v>
      </c>
      <c r="R463" s="26">
        <f>IF(B463="","",ROUND(Q463*RewardValue,2))</f>
        <v>0</v>
      </c>
      <c r="S463" s="25">
        <f>IF(B463="","",IF(RewardAt&lt;=0,"",MAX(0,RewardAt*(Q463+1)-P463)))</f>
        <v>0</v>
      </c>
      <c r="T463" s="25">
        <f>IF(B463="","",COUNTIFS(Clients!$H$5:$H$504,B463))</f>
        <v>0</v>
      </c>
      <c r="U463" s="26">
        <f>IF(B463="","",ROUND(T463*ReferralReward-IF(J463="",0,J463),2))</f>
        <v>0</v>
      </c>
      <c r="V463" s="15">
        <f>IF(B463="","",IFERROR(INDEX(Clients!$AM$5:$AM$504,MATCH(B463,Clients!$A$5:$A$504,0))&amp;"",""))</f>
        <v>0</v>
      </c>
      <c r="W463" s="25">
        <f>IF(B463="","",COUNTIFS($P$5:$P$504,"&gt;"&amp;P463)+COUNTIFS($P$5:P463,P463))</f>
        <v>0</v>
      </c>
      <c r="X463" s="39">
        <f>IF(B463="","",IF(K463="No","",IF(COUNTIF($B$5:$B$504,B463)&gt;1,"Duplicate - this client is on twice",IF(Q463&gt;0,"Action - reward ready to give",IF(U463&gt;0.004,"Action - referral credit owed",IF(V463="Lapsing","Chase - points are a reason to call",IF(S463&lt;=RewardAt*0.2,"Rebook - nearly at a reward","OK")))))))</f>
        <v>0</v>
      </c>
    </row>
    <row r="464" spans="1:24">
      <c r="A464" s="28">
        <f>IF(B464="","",LoyaltyPrefix&amp;TEXT(ROW()-4,"0000"))</f>
        <v>0</v>
      </c>
      <c r="C464" s="15">
        <f>IF(B464="","",IFERROR(INDEX(Clients!$B$5:$B$504,MATCH(B464,Clients!$A$5:$A$504,0)),"Not in Clients"))</f>
        <v>0</v>
      </c>
      <c r="M464" s="26">
        <f>IF(B464="","",ROUND(SUMIFS(Sales!$Y$5:$Y$1204,Sales!$D$5:$D$1204,B464,Sales!$B$5:$B$1204,"&gt;="&amp;IF(D464="",0,D464)),2))</f>
        <v>0</v>
      </c>
      <c r="N464" s="25">
        <f>IF(B464="","",IFERROR(INDEX(Clients!$T$5:$T$504,MATCH(B464,Clients!$A$5:$A$504,0))*1,0))</f>
        <v>0</v>
      </c>
      <c r="O464" s="25">
        <f>IF(B464="","",ROUND(M464*PointsPerUnit+IF(F464="",0,F464),0))</f>
        <v>0</v>
      </c>
      <c r="P464" s="25">
        <f>IF(B464="","",O464-IF(G464="",0,G464))</f>
        <v>0</v>
      </c>
      <c r="Q464" s="25">
        <f>IF(B464="","",IF(RewardAt&lt;=0,0,ROUNDDOWN(P464/RewardAt,0)))</f>
        <v>0</v>
      </c>
      <c r="R464" s="26">
        <f>IF(B464="","",ROUND(Q464*RewardValue,2))</f>
        <v>0</v>
      </c>
      <c r="S464" s="25">
        <f>IF(B464="","",IF(RewardAt&lt;=0,"",MAX(0,RewardAt*(Q464+1)-P464)))</f>
        <v>0</v>
      </c>
      <c r="T464" s="25">
        <f>IF(B464="","",COUNTIFS(Clients!$H$5:$H$504,B464))</f>
        <v>0</v>
      </c>
      <c r="U464" s="26">
        <f>IF(B464="","",ROUND(T464*ReferralReward-IF(J464="",0,J464),2))</f>
        <v>0</v>
      </c>
      <c r="V464" s="15">
        <f>IF(B464="","",IFERROR(INDEX(Clients!$AM$5:$AM$504,MATCH(B464,Clients!$A$5:$A$504,0))&amp;"",""))</f>
        <v>0</v>
      </c>
      <c r="W464" s="25">
        <f>IF(B464="","",COUNTIFS($P$5:$P$504,"&gt;"&amp;P464)+COUNTIFS($P$5:P464,P464))</f>
        <v>0</v>
      </c>
      <c r="X464" s="39">
        <f>IF(B464="","",IF(K464="No","",IF(COUNTIF($B$5:$B$504,B464)&gt;1,"Duplicate - this client is on twice",IF(Q464&gt;0,"Action - reward ready to give",IF(U464&gt;0.004,"Action - referral credit owed",IF(V464="Lapsing","Chase - points are a reason to call",IF(S464&lt;=RewardAt*0.2,"Rebook - nearly at a reward","OK")))))))</f>
        <v>0</v>
      </c>
    </row>
    <row r="465" spans="1:24">
      <c r="A465" s="28">
        <f>IF(B465="","",LoyaltyPrefix&amp;TEXT(ROW()-4,"0000"))</f>
        <v>0</v>
      </c>
      <c r="C465" s="15">
        <f>IF(B465="","",IFERROR(INDEX(Clients!$B$5:$B$504,MATCH(B465,Clients!$A$5:$A$504,0)),"Not in Clients"))</f>
        <v>0</v>
      </c>
      <c r="M465" s="26">
        <f>IF(B465="","",ROUND(SUMIFS(Sales!$Y$5:$Y$1204,Sales!$D$5:$D$1204,B465,Sales!$B$5:$B$1204,"&gt;="&amp;IF(D465="",0,D465)),2))</f>
        <v>0</v>
      </c>
      <c r="N465" s="25">
        <f>IF(B465="","",IFERROR(INDEX(Clients!$T$5:$T$504,MATCH(B465,Clients!$A$5:$A$504,0))*1,0))</f>
        <v>0</v>
      </c>
      <c r="O465" s="25">
        <f>IF(B465="","",ROUND(M465*PointsPerUnit+IF(F465="",0,F465),0))</f>
        <v>0</v>
      </c>
      <c r="P465" s="25">
        <f>IF(B465="","",O465-IF(G465="",0,G465))</f>
        <v>0</v>
      </c>
      <c r="Q465" s="25">
        <f>IF(B465="","",IF(RewardAt&lt;=0,0,ROUNDDOWN(P465/RewardAt,0)))</f>
        <v>0</v>
      </c>
      <c r="R465" s="26">
        <f>IF(B465="","",ROUND(Q465*RewardValue,2))</f>
        <v>0</v>
      </c>
      <c r="S465" s="25">
        <f>IF(B465="","",IF(RewardAt&lt;=0,"",MAX(0,RewardAt*(Q465+1)-P465)))</f>
        <v>0</v>
      </c>
      <c r="T465" s="25">
        <f>IF(B465="","",COUNTIFS(Clients!$H$5:$H$504,B465))</f>
        <v>0</v>
      </c>
      <c r="U465" s="26">
        <f>IF(B465="","",ROUND(T465*ReferralReward-IF(J465="",0,J465),2))</f>
        <v>0</v>
      </c>
      <c r="V465" s="15">
        <f>IF(B465="","",IFERROR(INDEX(Clients!$AM$5:$AM$504,MATCH(B465,Clients!$A$5:$A$504,0))&amp;"",""))</f>
        <v>0</v>
      </c>
      <c r="W465" s="25">
        <f>IF(B465="","",COUNTIFS($P$5:$P$504,"&gt;"&amp;P465)+COUNTIFS($P$5:P465,P465))</f>
        <v>0</v>
      </c>
      <c r="X465" s="39">
        <f>IF(B465="","",IF(K465="No","",IF(COUNTIF($B$5:$B$504,B465)&gt;1,"Duplicate - this client is on twice",IF(Q465&gt;0,"Action - reward ready to give",IF(U465&gt;0.004,"Action - referral credit owed",IF(V465="Lapsing","Chase - points are a reason to call",IF(S465&lt;=RewardAt*0.2,"Rebook - nearly at a reward","OK")))))))</f>
        <v>0</v>
      </c>
    </row>
    <row r="466" spans="1:24">
      <c r="A466" s="28">
        <f>IF(B466="","",LoyaltyPrefix&amp;TEXT(ROW()-4,"0000"))</f>
        <v>0</v>
      </c>
      <c r="C466" s="15">
        <f>IF(B466="","",IFERROR(INDEX(Clients!$B$5:$B$504,MATCH(B466,Clients!$A$5:$A$504,0)),"Not in Clients"))</f>
        <v>0</v>
      </c>
      <c r="M466" s="26">
        <f>IF(B466="","",ROUND(SUMIFS(Sales!$Y$5:$Y$1204,Sales!$D$5:$D$1204,B466,Sales!$B$5:$B$1204,"&gt;="&amp;IF(D466="",0,D466)),2))</f>
        <v>0</v>
      </c>
      <c r="N466" s="25">
        <f>IF(B466="","",IFERROR(INDEX(Clients!$T$5:$T$504,MATCH(B466,Clients!$A$5:$A$504,0))*1,0))</f>
        <v>0</v>
      </c>
      <c r="O466" s="25">
        <f>IF(B466="","",ROUND(M466*PointsPerUnit+IF(F466="",0,F466),0))</f>
        <v>0</v>
      </c>
      <c r="P466" s="25">
        <f>IF(B466="","",O466-IF(G466="",0,G466))</f>
        <v>0</v>
      </c>
      <c r="Q466" s="25">
        <f>IF(B466="","",IF(RewardAt&lt;=0,0,ROUNDDOWN(P466/RewardAt,0)))</f>
        <v>0</v>
      </c>
      <c r="R466" s="26">
        <f>IF(B466="","",ROUND(Q466*RewardValue,2))</f>
        <v>0</v>
      </c>
      <c r="S466" s="25">
        <f>IF(B466="","",IF(RewardAt&lt;=0,"",MAX(0,RewardAt*(Q466+1)-P466)))</f>
        <v>0</v>
      </c>
      <c r="T466" s="25">
        <f>IF(B466="","",COUNTIFS(Clients!$H$5:$H$504,B466))</f>
        <v>0</v>
      </c>
      <c r="U466" s="26">
        <f>IF(B466="","",ROUND(T466*ReferralReward-IF(J466="",0,J466),2))</f>
        <v>0</v>
      </c>
      <c r="V466" s="15">
        <f>IF(B466="","",IFERROR(INDEX(Clients!$AM$5:$AM$504,MATCH(B466,Clients!$A$5:$A$504,0))&amp;"",""))</f>
        <v>0</v>
      </c>
      <c r="W466" s="25">
        <f>IF(B466="","",COUNTIFS($P$5:$P$504,"&gt;"&amp;P466)+COUNTIFS($P$5:P466,P466))</f>
        <v>0</v>
      </c>
      <c r="X466" s="39">
        <f>IF(B466="","",IF(K466="No","",IF(COUNTIF($B$5:$B$504,B466)&gt;1,"Duplicate - this client is on twice",IF(Q466&gt;0,"Action - reward ready to give",IF(U466&gt;0.004,"Action - referral credit owed",IF(V466="Lapsing","Chase - points are a reason to call",IF(S466&lt;=RewardAt*0.2,"Rebook - nearly at a reward","OK")))))))</f>
        <v>0</v>
      </c>
    </row>
    <row r="467" spans="1:24">
      <c r="A467" s="28">
        <f>IF(B467="","",LoyaltyPrefix&amp;TEXT(ROW()-4,"0000"))</f>
        <v>0</v>
      </c>
      <c r="C467" s="15">
        <f>IF(B467="","",IFERROR(INDEX(Clients!$B$5:$B$504,MATCH(B467,Clients!$A$5:$A$504,0)),"Not in Clients"))</f>
        <v>0</v>
      </c>
      <c r="M467" s="26">
        <f>IF(B467="","",ROUND(SUMIFS(Sales!$Y$5:$Y$1204,Sales!$D$5:$D$1204,B467,Sales!$B$5:$B$1204,"&gt;="&amp;IF(D467="",0,D467)),2))</f>
        <v>0</v>
      </c>
      <c r="N467" s="25">
        <f>IF(B467="","",IFERROR(INDEX(Clients!$T$5:$T$504,MATCH(B467,Clients!$A$5:$A$504,0))*1,0))</f>
        <v>0</v>
      </c>
      <c r="O467" s="25">
        <f>IF(B467="","",ROUND(M467*PointsPerUnit+IF(F467="",0,F467),0))</f>
        <v>0</v>
      </c>
      <c r="P467" s="25">
        <f>IF(B467="","",O467-IF(G467="",0,G467))</f>
        <v>0</v>
      </c>
      <c r="Q467" s="25">
        <f>IF(B467="","",IF(RewardAt&lt;=0,0,ROUNDDOWN(P467/RewardAt,0)))</f>
        <v>0</v>
      </c>
      <c r="R467" s="26">
        <f>IF(B467="","",ROUND(Q467*RewardValue,2))</f>
        <v>0</v>
      </c>
      <c r="S467" s="25">
        <f>IF(B467="","",IF(RewardAt&lt;=0,"",MAX(0,RewardAt*(Q467+1)-P467)))</f>
        <v>0</v>
      </c>
      <c r="T467" s="25">
        <f>IF(B467="","",COUNTIFS(Clients!$H$5:$H$504,B467))</f>
        <v>0</v>
      </c>
      <c r="U467" s="26">
        <f>IF(B467="","",ROUND(T467*ReferralReward-IF(J467="",0,J467),2))</f>
        <v>0</v>
      </c>
      <c r="V467" s="15">
        <f>IF(B467="","",IFERROR(INDEX(Clients!$AM$5:$AM$504,MATCH(B467,Clients!$A$5:$A$504,0))&amp;"",""))</f>
        <v>0</v>
      </c>
      <c r="W467" s="25">
        <f>IF(B467="","",COUNTIFS($P$5:$P$504,"&gt;"&amp;P467)+COUNTIFS($P$5:P467,P467))</f>
        <v>0</v>
      </c>
      <c r="X467" s="39">
        <f>IF(B467="","",IF(K467="No","",IF(COUNTIF($B$5:$B$504,B467)&gt;1,"Duplicate - this client is on twice",IF(Q467&gt;0,"Action - reward ready to give",IF(U467&gt;0.004,"Action - referral credit owed",IF(V467="Lapsing","Chase - points are a reason to call",IF(S467&lt;=RewardAt*0.2,"Rebook - nearly at a reward","OK")))))))</f>
        <v>0</v>
      </c>
    </row>
    <row r="468" spans="1:24">
      <c r="A468" s="28">
        <f>IF(B468="","",LoyaltyPrefix&amp;TEXT(ROW()-4,"0000"))</f>
        <v>0</v>
      </c>
      <c r="C468" s="15">
        <f>IF(B468="","",IFERROR(INDEX(Clients!$B$5:$B$504,MATCH(B468,Clients!$A$5:$A$504,0)),"Not in Clients"))</f>
        <v>0</v>
      </c>
      <c r="M468" s="26">
        <f>IF(B468="","",ROUND(SUMIFS(Sales!$Y$5:$Y$1204,Sales!$D$5:$D$1204,B468,Sales!$B$5:$B$1204,"&gt;="&amp;IF(D468="",0,D468)),2))</f>
        <v>0</v>
      </c>
      <c r="N468" s="25">
        <f>IF(B468="","",IFERROR(INDEX(Clients!$T$5:$T$504,MATCH(B468,Clients!$A$5:$A$504,0))*1,0))</f>
        <v>0</v>
      </c>
      <c r="O468" s="25">
        <f>IF(B468="","",ROUND(M468*PointsPerUnit+IF(F468="",0,F468),0))</f>
        <v>0</v>
      </c>
      <c r="P468" s="25">
        <f>IF(B468="","",O468-IF(G468="",0,G468))</f>
        <v>0</v>
      </c>
      <c r="Q468" s="25">
        <f>IF(B468="","",IF(RewardAt&lt;=0,0,ROUNDDOWN(P468/RewardAt,0)))</f>
        <v>0</v>
      </c>
      <c r="R468" s="26">
        <f>IF(B468="","",ROUND(Q468*RewardValue,2))</f>
        <v>0</v>
      </c>
      <c r="S468" s="25">
        <f>IF(B468="","",IF(RewardAt&lt;=0,"",MAX(0,RewardAt*(Q468+1)-P468)))</f>
        <v>0</v>
      </c>
      <c r="T468" s="25">
        <f>IF(B468="","",COUNTIFS(Clients!$H$5:$H$504,B468))</f>
        <v>0</v>
      </c>
      <c r="U468" s="26">
        <f>IF(B468="","",ROUND(T468*ReferralReward-IF(J468="",0,J468),2))</f>
        <v>0</v>
      </c>
      <c r="V468" s="15">
        <f>IF(B468="","",IFERROR(INDEX(Clients!$AM$5:$AM$504,MATCH(B468,Clients!$A$5:$A$504,0))&amp;"",""))</f>
        <v>0</v>
      </c>
      <c r="W468" s="25">
        <f>IF(B468="","",COUNTIFS($P$5:$P$504,"&gt;"&amp;P468)+COUNTIFS($P$5:P468,P468))</f>
        <v>0</v>
      </c>
      <c r="X468" s="39">
        <f>IF(B468="","",IF(K468="No","",IF(COUNTIF($B$5:$B$504,B468)&gt;1,"Duplicate - this client is on twice",IF(Q468&gt;0,"Action - reward ready to give",IF(U468&gt;0.004,"Action - referral credit owed",IF(V468="Lapsing","Chase - points are a reason to call",IF(S468&lt;=RewardAt*0.2,"Rebook - nearly at a reward","OK")))))))</f>
        <v>0</v>
      </c>
    </row>
    <row r="469" spans="1:24">
      <c r="A469" s="28">
        <f>IF(B469="","",LoyaltyPrefix&amp;TEXT(ROW()-4,"0000"))</f>
        <v>0</v>
      </c>
      <c r="C469" s="15">
        <f>IF(B469="","",IFERROR(INDEX(Clients!$B$5:$B$504,MATCH(B469,Clients!$A$5:$A$504,0)),"Not in Clients"))</f>
        <v>0</v>
      </c>
      <c r="M469" s="26">
        <f>IF(B469="","",ROUND(SUMIFS(Sales!$Y$5:$Y$1204,Sales!$D$5:$D$1204,B469,Sales!$B$5:$B$1204,"&gt;="&amp;IF(D469="",0,D469)),2))</f>
        <v>0</v>
      </c>
      <c r="N469" s="25">
        <f>IF(B469="","",IFERROR(INDEX(Clients!$T$5:$T$504,MATCH(B469,Clients!$A$5:$A$504,0))*1,0))</f>
        <v>0</v>
      </c>
      <c r="O469" s="25">
        <f>IF(B469="","",ROUND(M469*PointsPerUnit+IF(F469="",0,F469),0))</f>
        <v>0</v>
      </c>
      <c r="P469" s="25">
        <f>IF(B469="","",O469-IF(G469="",0,G469))</f>
        <v>0</v>
      </c>
      <c r="Q469" s="25">
        <f>IF(B469="","",IF(RewardAt&lt;=0,0,ROUNDDOWN(P469/RewardAt,0)))</f>
        <v>0</v>
      </c>
      <c r="R469" s="26">
        <f>IF(B469="","",ROUND(Q469*RewardValue,2))</f>
        <v>0</v>
      </c>
      <c r="S469" s="25">
        <f>IF(B469="","",IF(RewardAt&lt;=0,"",MAX(0,RewardAt*(Q469+1)-P469)))</f>
        <v>0</v>
      </c>
      <c r="T469" s="25">
        <f>IF(B469="","",COUNTIFS(Clients!$H$5:$H$504,B469))</f>
        <v>0</v>
      </c>
      <c r="U469" s="26">
        <f>IF(B469="","",ROUND(T469*ReferralReward-IF(J469="",0,J469),2))</f>
        <v>0</v>
      </c>
      <c r="V469" s="15">
        <f>IF(B469="","",IFERROR(INDEX(Clients!$AM$5:$AM$504,MATCH(B469,Clients!$A$5:$A$504,0))&amp;"",""))</f>
        <v>0</v>
      </c>
      <c r="W469" s="25">
        <f>IF(B469="","",COUNTIFS($P$5:$P$504,"&gt;"&amp;P469)+COUNTIFS($P$5:P469,P469))</f>
        <v>0</v>
      </c>
      <c r="X469" s="39">
        <f>IF(B469="","",IF(K469="No","",IF(COUNTIF($B$5:$B$504,B469)&gt;1,"Duplicate - this client is on twice",IF(Q469&gt;0,"Action - reward ready to give",IF(U469&gt;0.004,"Action - referral credit owed",IF(V469="Lapsing","Chase - points are a reason to call",IF(S469&lt;=RewardAt*0.2,"Rebook - nearly at a reward","OK")))))))</f>
        <v>0</v>
      </c>
    </row>
    <row r="470" spans="1:24">
      <c r="A470" s="28">
        <f>IF(B470="","",LoyaltyPrefix&amp;TEXT(ROW()-4,"0000"))</f>
        <v>0</v>
      </c>
      <c r="C470" s="15">
        <f>IF(B470="","",IFERROR(INDEX(Clients!$B$5:$B$504,MATCH(B470,Clients!$A$5:$A$504,0)),"Not in Clients"))</f>
        <v>0</v>
      </c>
      <c r="M470" s="26">
        <f>IF(B470="","",ROUND(SUMIFS(Sales!$Y$5:$Y$1204,Sales!$D$5:$D$1204,B470,Sales!$B$5:$B$1204,"&gt;="&amp;IF(D470="",0,D470)),2))</f>
        <v>0</v>
      </c>
      <c r="N470" s="25">
        <f>IF(B470="","",IFERROR(INDEX(Clients!$T$5:$T$504,MATCH(B470,Clients!$A$5:$A$504,0))*1,0))</f>
        <v>0</v>
      </c>
      <c r="O470" s="25">
        <f>IF(B470="","",ROUND(M470*PointsPerUnit+IF(F470="",0,F470),0))</f>
        <v>0</v>
      </c>
      <c r="P470" s="25">
        <f>IF(B470="","",O470-IF(G470="",0,G470))</f>
        <v>0</v>
      </c>
      <c r="Q470" s="25">
        <f>IF(B470="","",IF(RewardAt&lt;=0,0,ROUNDDOWN(P470/RewardAt,0)))</f>
        <v>0</v>
      </c>
      <c r="R470" s="26">
        <f>IF(B470="","",ROUND(Q470*RewardValue,2))</f>
        <v>0</v>
      </c>
      <c r="S470" s="25">
        <f>IF(B470="","",IF(RewardAt&lt;=0,"",MAX(0,RewardAt*(Q470+1)-P470)))</f>
        <v>0</v>
      </c>
      <c r="T470" s="25">
        <f>IF(B470="","",COUNTIFS(Clients!$H$5:$H$504,B470))</f>
        <v>0</v>
      </c>
      <c r="U470" s="26">
        <f>IF(B470="","",ROUND(T470*ReferralReward-IF(J470="",0,J470),2))</f>
        <v>0</v>
      </c>
      <c r="V470" s="15">
        <f>IF(B470="","",IFERROR(INDEX(Clients!$AM$5:$AM$504,MATCH(B470,Clients!$A$5:$A$504,0))&amp;"",""))</f>
        <v>0</v>
      </c>
      <c r="W470" s="25">
        <f>IF(B470="","",COUNTIFS($P$5:$P$504,"&gt;"&amp;P470)+COUNTIFS($P$5:P470,P470))</f>
        <v>0</v>
      </c>
      <c r="X470" s="39">
        <f>IF(B470="","",IF(K470="No","",IF(COUNTIF($B$5:$B$504,B470)&gt;1,"Duplicate - this client is on twice",IF(Q470&gt;0,"Action - reward ready to give",IF(U470&gt;0.004,"Action - referral credit owed",IF(V470="Lapsing","Chase - points are a reason to call",IF(S470&lt;=RewardAt*0.2,"Rebook - nearly at a reward","OK")))))))</f>
        <v>0</v>
      </c>
    </row>
    <row r="471" spans="1:24">
      <c r="A471" s="28">
        <f>IF(B471="","",LoyaltyPrefix&amp;TEXT(ROW()-4,"0000"))</f>
        <v>0</v>
      </c>
      <c r="C471" s="15">
        <f>IF(B471="","",IFERROR(INDEX(Clients!$B$5:$B$504,MATCH(B471,Clients!$A$5:$A$504,0)),"Not in Clients"))</f>
        <v>0</v>
      </c>
      <c r="M471" s="26">
        <f>IF(B471="","",ROUND(SUMIFS(Sales!$Y$5:$Y$1204,Sales!$D$5:$D$1204,B471,Sales!$B$5:$B$1204,"&gt;="&amp;IF(D471="",0,D471)),2))</f>
        <v>0</v>
      </c>
      <c r="N471" s="25">
        <f>IF(B471="","",IFERROR(INDEX(Clients!$T$5:$T$504,MATCH(B471,Clients!$A$5:$A$504,0))*1,0))</f>
        <v>0</v>
      </c>
      <c r="O471" s="25">
        <f>IF(B471="","",ROUND(M471*PointsPerUnit+IF(F471="",0,F471),0))</f>
        <v>0</v>
      </c>
      <c r="P471" s="25">
        <f>IF(B471="","",O471-IF(G471="",0,G471))</f>
        <v>0</v>
      </c>
      <c r="Q471" s="25">
        <f>IF(B471="","",IF(RewardAt&lt;=0,0,ROUNDDOWN(P471/RewardAt,0)))</f>
        <v>0</v>
      </c>
      <c r="R471" s="26">
        <f>IF(B471="","",ROUND(Q471*RewardValue,2))</f>
        <v>0</v>
      </c>
      <c r="S471" s="25">
        <f>IF(B471="","",IF(RewardAt&lt;=0,"",MAX(0,RewardAt*(Q471+1)-P471)))</f>
        <v>0</v>
      </c>
      <c r="T471" s="25">
        <f>IF(B471="","",COUNTIFS(Clients!$H$5:$H$504,B471))</f>
        <v>0</v>
      </c>
      <c r="U471" s="26">
        <f>IF(B471="","",ROUND(T471*ReferralReward-IF(J471="",0,J471),2))</f>
        <v>0</v>
      </c>
      <c r="V471" s="15">
        <f>IF(B471="","",IFERROR(INDEX(Clients!$AM$5:$AM$504,MATCH(B471,Clients!$A$5:$A$504,0))&amp;"",""))</f>
        <v>0</v>
      </c>
      <c r="W471" s="25">
        <f>IF(B471="","",COUNTIFS($P$5:$P$504,"&gt;"&amp;P471)+COUNTIFS($P$5:P471,P471))</f>
        <v>0</v>
      </c>
      <c r="X471" s="39">
        <f>IF(B471="","",IF(K471="No","",IF(COUNTIF($B$5:$B$504,B471)&gt;1,"Duplicate - this client is on twice",IF(Q471&gt;0,"Action - reward ready to give",IF(U471&gt;0.004,"Action - referral credit owed",IF(V471="Lapsing","Chase - points are a reason to call",IF(S471&lt;=RewardAt*0.2,"Rebook - nearly at a reward","OK")))))))</f>
        <v>0</v>
      </c>
    </row>
    <row r="472" spans="1:24">
      <c r="A472" s="28">
        <f>IF(B472="","",LoyaltyPrefix&amp;TEXT(ROW()-4,"0000"))</f>
        <v>0</v>
      </c>
      <c r="C472" s="15">
        <f>IF(B472="","",IFERROR(INDEX(Clients!$B$5:$B$504,MATCH(B472,Clients!$A$5:$A$504,0)),"Not in Clients"))</f>
        <v>0</v>
      </c>
      <c r="M472" s="26">
        <f>IF(B472="","",ROUND(SUMIFS(Sales!$Y$5:$Y$1204,Sales!$D$5:$D$1204,B472,Sales!$B$5:$B$1204,"&gt;="&amp;IF(D472="",0,D472)),2))</f>
        <v>0</v>
      </c>
      <c r="N472" s="25">
        <f>IF(B472="","",IFERROR(INDEX(Clients!$T$5:$T$504,MATCH(B472,Clients!$A$5:$A$504,0))*1,0))</f>
        <v>0</v>
      </c>
      <c r="O472" s="25">
        <f>IF(B472="","",ROUND(M472*PointsPerUnit+IF(F472="",0,F472),0))</f>
        <v>0</v>
      </c>
      <c r="P472" s="25">
        <f>IF(B472="","",O472-IF(G472="",0,G472))</f>
        <v>0</v>
      </c>
      <c r="Q472" s="25">
        <f>IF(B472="","",IF(RewardAt&lt;=0,0,ROUNDDOWN(P472/RewardAt,0)))</f>
        <v>0</v>
      </c>
      <c r="R472" s="26">
        <f>IF(B472="","",ROUND(Q472*RewardValue,2))</f>
        <v>0</v>
      </c>
      <c r="S472" s="25">
        <f>IF(B472="","",IF(RewardAt&lt;=0,"",MAX(0,RewardAt*(Q472+1)-P472)))</f>
        <v>0</v>
      </c>
      <c r="T472" s="25">
        <f>IF(B472="","",COUNTIFS(Clients!$H$5:$H$504,B472))</f>
        <v>0</v>
      </c>
      <c r="U472" s="26">
        <f>IF(B472="","",ROUND(T472*ReferralReward-IF(J472="",0,J472),2))</f>
        <v>0</v>
      </c>
      <c r="V472" s="15">
        <f>IF(B472="","",IFERROR(INDEX(Clients!$AM$5:$AM$504,MATCH(B472,Clients!$A$5:$A$504,0))&amp;"",""))</f>
        <v>0</v>
      </c>
      <c r="W472" s="25">
        <f>IF(B472="","",COUNTIFS($P$5:$P$504,"&gt;"&amp;P472)+COUNTIFS($P$5:P472,P472))</f>
        <v>0</v>
      </c>
      <c r="X472" s="39">
        <f>IF(B472="","",IF(K472="No","",IF(COUNTIF($B$5:$B$504,B472)&gt;1,"Duplicate - this client is on twice",IF(Q472&gt;0,"Action - reward ready to give",IF(U472&gt;0.004,"Action - referral credit owed",IF(V472="Lapsing","Chase - points are a reason to call",IF(S472&lt;=RewardAt*0.2,"Rebook - nearly at a reward","OK")))))))</f>
        <v>0</v>
      </c>
    </row>
    <row r="473" spans="1:24">
      <c r="A473" s="28">
        <f>IF(B473="","",LoyaltyPrefix&amp;TEXT(ROW()-4,"0000"))</f>
        <v>0</v>
      </c>
      <c r="C473" s="15">
        <f>IF(B473="","",IFERROR(INDEX(Clients!$B$5:$B$504,MATCH(B473,Clients!$A$5:$A$504,0)),"Not in Clients"))</f>
        <v>0</v>
      </c>
      <c r="M473" s="26">
        <f>IF(B473="","",ROUND(SUMIFS(Sales!$Y$5:$Y$1204,Sales!$D$5:$D$1204,B473,Sales!$B$5:$B$1204,"&gt;="&amp;IF(D473="",0,D473)),2))</f>
        <v>0</v>
      </c>
      <c r="N473" s="25">
        <f>IF(B473="","",IFERROR(INDEX(Clients!$T$5:$T$504,MATCH(B473,Clients!$A$5:$A$504,0))*1,0))</f>
        <v>0</v>
      </c>
      <c r="O473" s="25">
        <f>IF(B473="","",ROUND(M473*PointsPerUnit+IF(F473="",0,F473),0))</f>
        <v>0</v>
      </c>
      <c r="P473" s="25">
        <f>IF(B473="","",O473-IF(G473="",0,G473))</f>
        <v>0</v>
      </c>
      <c r="Q473" s="25">
        <f>IF(B473="","",IF(RewardAt&lt;=0,0,ROUNDDOWN(P473/RewardAt,0)))</f>
        <v>0</v>
      </c>
      <c r="R473" s="26">
        <f>IF(B473="","",ROUND(Q473*RewardValue,2))</f>
        <v>0</v>
      </c>
      <c r="S473" s="25">
        <f>IF(B473="","",IF(RewardAt&lt;=0,"",MAX(0,RewardAt*(Q473+1)-P473)))</f>
        <v>0</v>
      </c>
      <c r="T473" s="25">
        <f>IF(B473="","",COUNTIFS(Clients!$H$5:$H$504,B473))</f>
        <v>0</v>
      </c>
      <c r="U473" s="26">
        <f>IF(B473="","",ROUND(T473*ReferralReward-IF(J473="",0,J473),2))</f>
        <v>0</v>
      </c>
      <c r="V473" s="15">
        <f>IF(B473="","",IFERROR(INDEX(Clients!$AM$5:$AM$504,MATCH(B473,Clients!$A$5:$A$504,0))&amp;"",""))</f>
        <v>0</v>
      </c>
      <c r="W473" s="25">
        <f>IF(B473="","",COUNTIFS($P$5:$P$504,"&gt;"&amp;P473)+COUNTIFS($P$5:P473,P473))</f>
        <v>0</v>
      </c>
      <c r="X473" s="39">
        <f>IF(B473="","",IF(K473="No","",IF(COUNTIF($B$5:$B$504,B473)&gt;1,"Duplicate - this client is on twice",IF(Q473&gt;0,"Action - reward ready to give",IF(U473&gt;0.004,"Action - referral credit owed",IF(V473="Lapsing","Chase - points are a reason to call",IF(S473&lt;=RewardAt*0.2,"Rebook - nearly at a reward","OK")))))))</f>
        <v>0</v>
      </c>
    </row>
    <row r="474" spans="1:24">
      <c r="A474" s="28">
        <f>IF(B474="","",LoyaltyPrefix&amp;TEXT(ROW()-4,"0000"))</f>
        <v>0</v>
      </c>
      <c r="C474" s="15">
        <f>IF(B474="","",IFERROR(INDEX(Clients!$B$5:$B$504,MATCH(B474,Clients!$A$5:$A$504,0)),"Not in Clients"))</f>
        <v>0</v>
      </c>
      <c r="M474" s="26">
        <f>IF(B474="","",ROUND(SUMIFS(Sales!$Y$5:$Y$1204,Sales!$D$5:$D$1204,B474,Sales!$B$5:$B$1204,"&gt;="&amp;IF(D474="",0,D474)),2))</f>
        <v>0</v>
      </c>
      <c r="N474" s="25">
        <f>IF(B474="","",IFERROR(INDEX(Clients!$T$5:$T$504,MATCH(B474,Clients!$A$5:$A$504,0))*1,0))</f>
        <v>0</v>
      </c>
      <c r="O474" s="25">
        <f>IF(B474="","",ROUND(M474*PointsPerUnit+IF(F474="",0,F474),0))</f>
        <v>0</v>
      </c>
      <c r="P474" s="25">
        <f>IF(B474="","",O474-IF(G474="",0,G474))</f>
        <v>0</v>
      </c>
      <c r="Q474" s="25">
        <f>IF(B474="","",IF(RewardAt&lt;=0,0,ROUNDDOWN(P474/RewardAt,0)))</f>
        <v>0</v>
      </c>
      <c r="R474" s="26">
        <f>IF(B474="","",ROUND(Q474*RewardValue,2))</f>
        <v>0</v>
      </c>
      <c r="S474" s="25">
        <f>IF(B474="","",IF(RewardAt&lt;=0,"",MAX(0,RewardAt*(Q474+1)-P474)))</f>
        <v>0</v>
      </c>
      <c r="T474" s="25">
        <f>IF(B474="","",COUNTIFS(Clients!$H$5:$H$504,B474))</f>
        <v>0</v>
      </c>
      <c r="U474" s="26">
        <f>IF(B474="","",ROUND(T474*ReferralReward-IF(J474="",0,J474),2))</f>
        <v>0</v>
      </c>
      <c r="V474" s="15">
        <f>IF(B474="","",IFERROR(INDEX(Clients!$AM$5:$AM$504,MATCH(B474,Clients!$A$5:$A$504,0))&amp;"",""))</f>
        <v>0</v>
      </c>
      <c r="W474" s="25">
        <f>IF(B474="","",COUNTIFS($P$5:$P$504,"&gt;"&amp;P474)+COUNTIFS($P$5:P474,P474))</f>
        <v>0</v>
      </c>
      <c r="X474" s="39">
        <f>IF(B474="","",IF(K474="No","",IF(COUNTIF($B$5:$B$504,B474)&gt;1,"Duplicate - this client is on twice",IF(Q474&gt;0,"Action - reward ready to give",IF(U474&gt;0.004,"Action - referral credit owed",IF(V474="Lapsing","Chase - points are a reason to call",IF(S474&lt;=RewardAt*0.2,"Rebook - nearly at a reward","OK")))))))</f>
        <v>0</v>
      </c>
    </row>
    <row r="475" spans="1:24">
      <c r="A475" s="28">
        <f>IF(B475="","",LoyaltyPrefix&amp;TEXT(ROW()-4,"0000"))</f>
        <v>0</v>
      </c>
      <c r="C475" s="15">
        <f>IF(B475="","",IFERROR(INDEX(Clients!$B$5:$B$504,MATCH(B475,Clients!$A$5:$A$504,0)),"Not in Clients"))</f>
        <v>0</v>
      </c>
      <c r="M475" s="26">
        <f>IF(B475="","",ROUND(SUMIFS(Sales!$Y$5:$Y$1204,Sales!$D$5:$D$1204,B475,Sales!$B$5:$B$1204,"&gt;="&amp;IF(D475="",0,D475)),2))</f>
        <v>0</v>
      </c>
      <c r="N475" s="25">
        <f>IF(B475="","",IFERROR(INDEX(Clients!$T$5:$T$504,MATCH(B475,Clients!$A$5:$A$504,0))*1,0))</f>
        <v>0</v>
      </c>
      <c r="O475" s="25">
        <f>IF(B475="","",ROUND(M475*PointsPerUnit+IF(F475="",0,F475),0))</f>
        <v>0</v>
      </c>
      <c r="P475" s="25">
        <f>IF(B475="","",O475-IF(G475="",0,G475))</f>
        <v>0</v>
      </c>
      <c r="Q475" s="25">
        <f>IF(B475="","",IF(RewardAt&lt;=0,0,ROUNDDOWN(P475/RewardAt,0)))</f>
        <v>0</v>
      </c>
      <c r="R475" s="26">
        <f>IF(B475="","",ROUND(Q475*RewardValue,2))</f>
        <v>0</v>
      </c>
      <c r="S475" s="25">
        <f>IF(B475="","",IF(RewardAt&lt;=0,"",MAX(0,RewardAt*(Q475+1)-P475)))</f>
        <v>0</v>
      </c>
      <c r="T475" s="25">
        <f>IF(B475="","",COUNTIFS(Clients!$H$5:$H$504,B475))</f>
        <v>0</v>
      </c>
      <c r="U475" s="26">
        <f>IF(B475="","",ROUND(T475*ReferralReward-IF(J475="",0,J475),2))</f>
        <v>0</v>
      </c>
      <c r="V475" s="15">
        <f>IF(B475="","",IFERROR(INDEX(Clients!$AM$5:$AM$504,MATCH(B475,Clients!$A$5:$A$504,0))&amp;"",""))</f>
        <v>0</v>
      </c>
      <c r="W475" s="25">
        <f>IF(B475="","",COUNTIFS($P$5:$P$504,"&gt;"&amp;P475)+COUNTIFS($P$5:P475,P475))</f>
        <v>0</v>
      </c>
      <c r="X475" s="39">
        <f>IF(B475="","",IF(K475="No","",IF(COUNTIF($B$5:$B$504,B475)&gt;1,"Duplicate - this client is on twice",IF(Q475&gt;0,"Action - reward ready to give",IF(U475&gt;0.004,"Action - referral credit owed",IF(V475="Lapsing","Chase - points are a reason to call",IF(S475&lt;=RewardAt*0.2,"Rebook - nearly at a reward","OK")))))))</f>
        <v>0</v>
      </c>
    </row>
    <row r="476" spans="1:24">
      <c r="A476" s="28">
        <f>IF(B476="","",LoyaltyPrefix&amp;TEXT(ROW()-4,"0000"))</f>
        <v>0</v>
      </c>
      <c r="C476" s="15">
        <f>IF(B476="","",IFERROR(INDEX(Clients!$B$5:$B$504,MATCH(B476,Clients!$A$5:$A$504,0)),"Not in Clients"))</f>
        <v>0</v>
      </c>
      <c r="M476" s="26">
        <f>IF(B476="","",ROUND(SUMIFS(Sales!$Y$5:$Y$1204,Sales!$D$5:$D$1204,B476,Sales!$B$5:$B$1204,"&gt;="&amp;IF(D476="",0,D476)),2))</f>
        <v>0</v>
      </c>
      <c r="N476" s="25">
        <f>IF(B476="","",IFERROR(INDEX(Clients!$T$5:$T$504,MATCH(B476,Clients!$A$5:$A$504,0))*1,0))</f>
        <v>0</v>
      </c>
      <c r="O476" s="25">
        <f>IF(B476="","",ROUND(M476*PointsPerUnit+IF(F476="",0,F476),0))</f>
        <v>0</v>
      </c>
      <c r="P476" s="25">
        <f>IF(B476="","",O476-IF(G476="",0,G476))</f>
        <v>0</v>
      </c>
      <c r="Q476" s="25">
        <f>IF(B476="","",IF(RewardAt&lt;=0,0,ROUNDDOWN(P476/RewardAt,0)))</f>
        <v>0</v>
      </c>
      <c r="R476" s="26">
        <f>IF(B476="","",ROUND(Q476*RewardValue,2))</f>
        <v>0</v>
      </c>
      <c r="S476" s="25">
        <f>IF(B476="","",IF(RewardAt&lt;=0,"",MAX(0,RewardAt*(Q476+1)-P476)))</f>
        <v>0</v>
      </c>
      <c r="T476" s="25">
        <f>IF(B476="","",COUNTIFS(Clients!$H$5:$H$504,B476))</f>
        <v>0</v>
      </c>
      <c r="U476" s="26">
        <f>IF(B476="","",ROUND(T476*ReferralReward-IF(J476="",0,J476),2))</f>
        <v>0</v>
      </c>
      <c r="V476" s="15">
        <f>IF(B476="","",IFERROR(INDEX(Clients!$AM$5:$AM$504,MATCH(B476,Clients!$A$5:$A$504,0))&amp;"",""))</f>
        <v>0</v>
      </c>
      <c r="W476" s="25">
        <f>IF(B476="","",COUNTIFS($P$5:$P$504,"&gt;"&amp;P476)+COUNTIFS($P$5:P476,P476))</f>
        <v>0</v>
      </c>
      <c r="X476" s="39">
        <f>IF(B476="","",IF(K476="No","",IF(COUNTIF($B$5:$B$504,B476)&gt;1,"Duplicate - this client is on twice",IF(Q476&gt;0,"Action - reward ready to give",IF(U476&gt;0.004,"Action - referral credit owed",IF(V476="Lapsing","Chase - points are a reason to call",IF(S476&lt;=RewardAt*0.2,"Rebook - nearly at a reward","OK")))))))</f>
        <v>0</v>
      </c>
    </row>
    <row r="477" spans="1:24">
      <c r="A477" s="28">
        <f>IF(B477="","",LoyaltyPrefix&amp;TEXT(ROW()-4,"0000"))</f>
        <v>0</v>
      </c>
      <c r="C477" s="15">
        <f>IF(B477="","",IFERROR(INDEX(Clients!$B$5:$B$504,MATCH(B477,Clients!$A$5:$A$504,0)),"Not in Clients"))</f>
        <v>0</v>
      </c>
      <c r="M477" s="26">
        <f>IF(B477="","",ROUND(SUMIFS(Sales!$Y$5:$Y$1204,Sales!$D$5:$D$1204,B477,Sales!$B$5:$B$1204,"&gt;="&amp;IF(D477="",0,D477)),2))</f>
        <v>0</v>
      </c>
      <c r="N477" s="25">
        <f>IF(B477="","",IFERROR(INDEX(Clients!$T$5:$T$504,MATCH(B477,Clients!$A$5:$A$504,0))*1,0))</f>
        <v>0</v>
      </c>
      <c r="O477" s="25">
        <f>IF(B477="","",ROUND(M477*PointsPerUnit+IF(F477="",0,F477),0))</f>
        <v>0</v>
      </c>
      <c r="P477" s="25">
        <f>IF(B477="","",O477-IF(G477="",0,G477))</f>
        <v>0</v>
      </c>
      <c r="Q477" s="25">
        <f>IF(B477="","",IF(RewardAt&lt;=0,0,ROUNDDOWN(P477/RewardAt,0)))</f>
        <v>0</v>
      </c>
      <c r="R477" s="26">
        <f>IF(B477="","",ROUND(Q477*RewardValue,2))</f>
        <v>0</v>
      </c>
      <c r="S477" s="25">
        <f>IF(B477="","",IF(RewardAt&lt;=0,"",MAX(0,RewardAt*(Q477+1)-P477)))</f>
        <v>0</v>
      </c>
      <c r="T477" s="25">
        <f>IF(B477="","",COUNTIFS(Clients!$H$5:$H$504,B477))</f>
        <v>0</v>
      </c>
      <c r="U477" s="26">
        <f>IF(B477="","",ROUND(T477*ReferralReward-IF(J477="",0,J477),2))</f>
        <v>0</v>
      </c>
      <c r="V477" s="15">
        <f>IF(B477="","",IFERROR(INDEX(Clients!$AM$5:$AM$504,MATCH(B477,Clients!$A$5:$A$504,0))&amp;"",""))</f>
        <v>0</v>
      </c>
      <c r="W477" s="25">
        <f>IF(B477="","",COUNTIFS($P$5:$P$504,"&gt;"&amp;P477)+COUNTIFS($P$5:P477,P477))</f>
        <v>0</v>
      </c>
      <c r="X477" s="39">
        <f>IF(B477="","",IF(K477="No","",IF(COUNTIF($B$5:$B$504,B477)&gt;1,"Duplicate - this client is on twice",IF(Q477&gt;0,"Action - reward ready to give",IF(U477&gt;0.004,"Action - referral credit owed",IF(V477="Lapsing","Chase - points are a reason to call",IF(S477&lt;=RewardAt*0.2,"Rebook - nearly at a reward","OK")))))))</f>
        <v>0</v>
      </c>
    </row>
    <row r="478" spans="1:24">
      <c r="A478" s="28">
        <f>IF(B478="","",LoyaltyPrefix&amp;TEXT(ROW()-4,"0000"))</f>
        <v>0</v>
      </c>
      <c r="C478" s="15">
        <f>IF(B478="","",IFERROR(INDEX(Clients!$B$5:$B$504,MATCH(B478,Clients!$A$5:$A$504,0)),"Not in Clients"))</f>
        <v>0</v>
      </c>
      <c r="M478" s="26">
        <f>IF(B478="","",ROUND(SUMIFS(Sales!$Y$5:$Y$1204,Sales!$D$5:$D$1204,B478,Sales!$B$5:$B$1204,"&gt;="&amp;IF(D478="",0,D478)),2))</f>
        <v>0</v>
      </c>
      <c r="N478" s="25">
        <f>IF(B478="","",IFERROR(INDEX(Clients!$T$5:$T$504,MATCH(B478,Clients!$A$5:$A$504,0))*1,0))</f>
        <v>0</v>
      </c>
      <c r="O478" s="25">
        <f>IF(B478="","",ROUND(M478*PointsPerUnit+IF(F478="",0,F478),0))</f>
        <v>0</v>
      </c>
      <c r="P478" s="25">
        <f>IF(B478="","",O478-IF(G478="",0,G478))</f>
        <v>0</v>
      </c>
      <c r="Q478" s="25">
        <f>IF(B478="","",IF(RewardAt&lt;=0,0,ROUNDDOWN(P478/RewardAt,0)))</f>
        <v>0</v>
      </c>
      <c r="R478" s="26">
        <f>IF(B478="","",ROUND(Q478*RewardValue,2))</f>
        <v>0</v>
      </c>
      <c r="S478" s="25">
        <f>IF(B478="","",IF(RewardAt&lt;=0,"",MAX(0,RewardAt*(Q478+1)-P478)))</f>
        <v>0</v>
      </c>
      <c r="T478" s="25">
        <f>IF(B478="","",COUNTIFS(Clients!$H$5:$H$504,B478))</f>
        <v>0</v>
      </c>
      <c r="U478" s="26">
        <f>IF(B478="","",ROUND(T478*ReferralReward-IF(J478="",0,J478),2))</f>
        <v>0</v>
      </c>
      <c r="V478" s="15">
        <f>IF(B478="","",IFERROR(INDEX(Clients!$AM$5:$AM$504,MATCH(B478,Clients!$A$5:$A$504,0))&amp;"",""))</f>
        <v>0</v>
      </c>
      <c r="W478" s="25">
        <f>IF(B478="","",COUNTIFS($P$5:$P$504,"&gt;"&amp;P478)+COUNTIFS($P$5:P478,P478))</f>
        <v>0</v>
      </c>
      <c r="X478" s="39">
        <f>IF(B478="","",IF(K478="No","",IF(COUNTIF($B$5:$B$504,B478)&gt;1,"Duplicate - this client is on twice",IF(Q478&gt;0,"Action - reward ready to give",IF(U478&gt;0.004,"Action - referral credit owed",IF(V478="Lapsing","Chase - points are a reason to call",IF(S478&lt;=RewardAt*0.2,"Rebook - nearly at a reward","OK")))))))</f>
        <v>0</v>
      </c>
    </row>
    <row r="479" spans="1:24">
      <c r="A479" s="28">
        <f>IF(B479="","",LoyaltyPrefix&amp;TEXT(ROW()-4,"0000"))</f>
        <v>0</v>
      </c>
      <c r="C479" s="15">
        <f>IF(B479="","",IFERROR(INDEX(Clients!$B$5:$B$504,MATCH(B479,Clients!$A$5:$A$504,0)),"Not in Clients"))</f>
        <v>0</v>
      </c>
      <c r="M479" s="26">
        <f>IF(B479="","",ROUND(SUMIFS(Sales!$Y$5:$Y$1204,Sales!$D$5:$D$1204,B479,Sales!$B$5:$B$1204,"&gt;="&amp;IF(D479="",0,D479)),2))</f>
        <v>0</v>
      </c>
      <c r="N479" s="25">
        <f>IF(B479="","",IFERROR(INDEX(Clients!$T$5:$T$504,MATCH(B479,Clients!$A$5:$A$504,0))*1,0))</f>
        <v>0</v>
      </c>
      <c r="O479" s="25">
        <f>IF(B479="","",ROUND(M479*PointsPerUnit+IF(F479="",0,F479),0))</f>
        <v>0</v>
      </c>
      <c r="P479" s="25">
        <f>IF(B479="","",O479-IF(G479="",0,G479))</f>
        <v>0</v>
      </c>
      <c r="Q479" s="25">
        <f>IF(B479="","",IF(RewardAt&lt;=0,0,ROUNDDOWN(P479/RewardAt,0)))</f>
        <v>0</v>
      </c>
      <c r="R479" s="26">
        <f>IF(B479="","",ROUND(Q479*RewardValue,2))</f>
        <v>0</v>
      </c>
      <c r="S479" s="25">
        <f>IF(B479="","",IF(RewardAt&lt;=0,"",MAX(0,RewardAt*(Q479+1)-P479)))</f>
        <v>0</v>
      </c>
      <c r="T479" s="25">
        <f>IF(B479="","",COUNTIFS(Clients!$H$5:$H$504,B479))</f>
        <v>0</v>
      </c>
      <c r="U479" s="26">
        <f>IF(B479="","",ROUND(T479*ReferralReward-IF(J479="",0,J479),2))</f>
        <v>0</v>
      </c>
      <c r="V479" s="15">
        <f>IF(B479="","",IFERROR(INDEX(Clients!$AM$5:$AM$504,MATCH(B479,Clients!$A$5:$A$504,0))&amp;"",""))</f>
        <v>0</v>
      </c>
      <c r="W479" s="25">
        <f>IF(B479="","",COUNTIFS($P$5:$P$504,"&gt;"&amp;P479)+COUNTIFS($P$5:P479,P479))</f>
        <v>0</v>
      </c>
      <c r="X479" s="39">
        <f>IF(B479="","",IF(K479="No","",IF(COUNTIF($B$5:$B$504,B479)&gt;1,"Duplicate - this client is on twice",IF(Q479&gt;0,"Action - reward ready to give",IF(U479&gt;0.004,"Action - referral credit owed",IF(V479="Lapsing","Chase - points are a reason to call",IF(S479&lt;=RewardAt*0.2,"Rebook - nearly at a reward","OK")))))))</f>
        <v>0</v>
      </c>
    </row>
    <row r="480" spans="1:24">
      <c r="A480" s="28">
        <f>IF(B480="","",LoyaltyPrefix&amp;TEXT(ROW()-4,"0000"))</f>
        <v>0</v>
      </c>
      <c r="C480" s="15">
        <f>IF(B480="","",IFERROR(INDEX(Clients!$B$5:$B$504,MATCH(B480,Clients!$A$5:$A$504,0)),"Not in Clients"))</f>
        <v>0</v>
      </c>
      <c r="M480" s="26">
        <f>IF(B480="","",ROUND(SUMIFS(Sales!$Y$5:$Y$1204,Sales!$D$5:$D$1204,B480,Sales!$B$5:$B$1204,"&gt;="&amp;IF(D480="",0,D480)),2))</f>
        <v>0</v>
      </c>
      <c r="N480" s="25">
        <f>IF(B480="","",IFERROR(INDEX(Clients!$T$5:$T$504,MATCH(B480,Clients!$A$5:$A$504,0))*1,0))</f>
        <v>0</v>
      </c>
      <c r="O480" s="25">
        <f>IF(B480="","",ROUND(M480*PointsPerUnit+IF(F480="",0,F480),0))</f>
        <v>0</v>
      </c>
      <c r="P480" s="25">
        <f>IF(B480="","",O480-IF(G480="",0,G480))</f>
        <v>0</v>
      </c>
      <c r="Q480" s="25">
        <f>IF(B480="","",IF(RewardAt&lt;=0,0,ROUNDDOWN(P480/RewardAt,0)))</f>
        <v>0</v>
      </c>
      <c r="R480" s="26">
        <f>IF(B480="","",ROUND(Q480*RewardValue,2))</f>
        <v>0</v>
      </c>
      <c r="S480" s="25">
        <f>IF(B480="","",IF(RewardAt&lt;=0,"",MAX(0,RewardAt*(Q480+1)-P480)))</f>
        <v>0</v>
      </c>
      <c r="T480" s="25">
        <f>IF(B480="","",COUNTIFS(Clients!$H$5:$H$504,B480))</f>
        <v>0</v>
      </c>
      <c r="U480" s="26">
        <f>IF(B480="","",ROUND(T480*ReferralReward-IF(J480="",0,J480),2))</f>
        <v>0</v>
      </c>
      <c r="V480" s="15">
        <f>IF(B480="","",IFERROR(INDEX(Clients!$AM$5:$AM$504,MATCH(B480,Clients!$A$5:$A$504,0))&amp;"",""))</f>
        <v>0</v>
      </c>
      <c r="W480" s="25">
        <f>IF(B480="","",COUNTIFS($P$5:$P$504,"&gt;"&amp;P480)+COUNTIFS($P$5:P480,P480))</f>
        <v>0</v>
      </c>
      <c r="X480" s="39">
        <f>IF(B480="","",IF(K480="No","",IF(COUNTIF($B$5:$B$504,B480)&gt;1,"Duplicate - this client is on twice",IF(Q480&gt;0,"Action - reward ready to give",IF(U480&gt;0.004,"Action - referral credit owed",IF(V480="Lapsing","Chase - points are a reason to call",IF(S480&lt;=RewardAt*0.2,"Rebook - nearly at a reward","OK")))))))</f>
        <v>0</v>
      </c>
    </row>
    <row r="481" spans="1:24">
      <c r="A481" s="28">
        <f>IF(B481="","",LoyaltyPrefix&amp;TEXT(ROW()-4,"0000"))</f>
        <v>0</v>
      </c>
      <c r="C481" s="15">
        <f>IF(B481="","",IFERROR(INDEX(Clients!$B$5:$B$504,MATCH(B481,Clients!$A$5:$A$504,0)),"Not in Clients"))</f>
        <v>0</v>
      </c>
      <c r="M481" s="26">
        <f>IF(B481="","",ROUND(SUMIFS(Sales!$Y$5:$Y$1204,Sales!$D$5:$D$1204,B481,Sales!$B$5:$B$1204,"&gt;="&amp;IF(D481="",0,D481)),2))</f>
        <v>0</v>
      </c>
      <c r="N481" s="25">
        <f>IF(B481="","",IFERROR(INDEX(Clients!$T$5:$T$504,MATCH(B481,Clients!$A$5:$A$504,0))*1,0))</f>
        <v>0</v>
      </c>
      <c r="O481" s="25">
        <f>IF(B481="","",ROUND(M481*PointsPerUnit+IF(F481="",0,F481),0))</f>
        <v>0</v>
      </c>
      <c r="P481" s="25">
        <f>IF(B481="","",O481-IF(G481="",0,G481))</f>
        <v>0</v>
      </c>
      <c r="Q481" s="25">
        <f>IF(B481="","",IF(RewardAt&lt;=0,0,ROUNDDOWN(P481/RewardAt,0)))</f>
        <v>0</v>
      </c>
      <c r="R481" s="26">
        <f>IF(B481="","",ROUND(Q481*RewardValue,2))</f>
        <v>0</v>
      </c>
      <c r="S481" s="25">
        <f>IF(B481="","",IF(RewardAt&lt;=0,"",MAX(0,RewardAt*(Q481+1)-P481)))</f>
        <v>0</v>
      </c>
      <c r="T481" s="25">
        <f>IF(B481="","",COUNTIFS(Clients!$H$5:$H$504,B481))</f>
        <v>0</v>
      </c>
      <c r="U481" s="26">
        <f>IF(B481="","",ROUND(T481*ReferralReward-IF(J481="",0,J481),2))</f>
        <v>0</v>
      </c>
      <c r="V481" s="15">
        <f>IF(B481="","",IFERROR(INDEX(Clients!$AM$5:$AM$504,MATCH(B481,Clients!$A$5:$A$504,0))&amp;"",""))</f>
        <v>0</v>
      </c>
      <c r="W481" s="25">
        <f>IF(B481="","",COUNTIFS($P$5:$P$504,"&gt;"&amp;P481)+COUNTIFS($P$5:P481,P481))</f>
        <v>0</v>
      </c>
      <c r="X481" s="39">
        <f>IF(B481="","",IF(K481="No","",IF(COUNTIF($B$5:$B$504,B481)&gt;1,"Duplicate - this client is on twice",IF(Q481&gt;0,"Action - reward ready to give",IF(U481&gt;0.004,"Action - referral credit owed",IF(V481="Lapsing","Chase - points are a reason to call",IF(S481&lt;=RewardAt*0.2,"Rebook - nearly at a reward","OK")))))))</f>
        <v>0</v>
      </c>
    </row>
    <row r="482" spans="1:24">
      <c r="A482" s="28">
        <f>IF(B482="","",LoyaltyPrefix&amp;TEXT(ROW()-4,"0000"))</f>
        <v>0</v>
      </c>
      <c r="C482" s="15">
        <f>IF(B482="","",IFERROR(INDEX(Clients!$B$5:$B$504,MATCH(B482,Clients!$A$5:$A$504,0)),"Not in Clients"))</f>
        <v>0</v>
      </c>
      <c r="M482" s="26">
        <f>IF(B482="","",ROUND(SUMIFS(Sales!$Y$5:$Y$1204,Sales!$D$5:$D$1204,B482,Sales!$B$5:$B$1204,"&gt;="&amp;IF(D482="",0,D482)),2))</f>
        <v>0</v>
      </c>
      <c r="N482" s="25">
        <f>IF(B482="","",IFERROR(INDEX(Clients!$T$5:$T$504,MATCH(B482,Clients!$A$5:$A$504,0))*1,0))</f>
        <v>0</v>
      </c>
      <c r="O482" s="25">
        <f>IF(B482="","",ROUND(M482*PointsPerUnit+IF(F482="",0,F482),0))</f>
        <v>0</v>
      </c>
      <c r="P482" s="25">
        <f>IF(B482="","",O482-IF(G482="",0,G482))</f>
        <v>0</v>
      </c>
      <c r="Q482" s="25">
        <f>IF(B482="","",IF(RewardAt&lt;=0,0,ROUNDDOWN(P482/RewardAt,0)))</f>
        <v>0</v>
      </c>
      <c r="R482" s="26">
        <f>IF(B482="","",ROUND(Q482*RewardValue,2))</f>
        <v>0</v>
      </c>
      <c r="S482" s="25">
        <f>IF(B482="","",IF(RewardAt&lt;=0,"",MAX(0,RewardAt*(Q482+1)-P482)))</f>
        <v>0</v>
      </c>
      <c r="T482" s="25">
        <f>IF(B482="","",COUNTIFS(Clients!$H$5:$H$504,B482))</f>
        <v>0</v>
      </c>
      <c r="U482" s="26">
        <f>IF(B482="","",ROUND(T482*ReferralReward-IF(J482="",0,J482),2))</f>
        <v>0</v>
      </c>
      <c r="V482" s="15">
        <f>IF(B482="","",IFERROR(INDEX(Clients!$AM$5:$AM$504,MATCH(B482,Clients!$A$5:$A$504,0))&amp;"",""))</f>
        <v>0</v>
      </c>
      <c r="W482" s="25">
        <f>IF(B482="","",COUNTIFS($P$5:$P$504,"&gt;"&amp;P482)+COUNTIFS($P$5:P482,P482))</f>
        <v>0</v>
      </c>
      <c r="X482" s="39">
        <f>IF(B482="","",IF(K482="No","",IF(COUNTIF($B$5:$B$504,B482)&gt;1,"Duplicate - this client is on twice",IF(Q482&gt;0,"Action - reward ready to give",IF(U482&gt;0.004,"Action - referral credit owed",IF(V482="Lapsing","Chase - points are a reason to call",IF(S482&lt;=RewardAt*0.2,"Rebook - nearly at a reward","OK")))))))</f>
        <v>0</v>
      </c>
    </row>
    <row r="483" spans="1:24">
      <c r="A483" s="28">
        <f>IF(B483="","",LoyaltyPrefix&amp;TEXT(ROW()-4,"0000"))</f>
        <v>0</v>
      </c>
      <c r="C483" s="15">
        <f>IF(B483="","",IFERROR(INDEX(Clients!$B$5:$B$504,MATCH(B483,Clients!$A$5:$A$504,0)),"Not in Clients"))</f>
        <v>0</v>
      </c>
      <c r="M483" s="26">
        <f>IF(B483="","",ROUND(SUMIFS(Sales!$Y$5:$Y$1204,Sales!$D$5:$D$1204,B483,Sales!$B$5:$B$1204,"&gt;="&amp;IF(D483="",0,D483)),2))</f>
        <v>0</v>
      </c>
      <c r="N483" s="25">
        <f>IF(B483="","",IFERROR(INDEX(Clients!$T$5:$T$504,MATCH(B483,Clients!$A$5:$A$504,0))*1,0))</f>
        <v>0</v>
      </c>
      <c r="O483" s="25">
        <f>IF(B483="","",ROUND(M483*PointsPerUnit+IF(F483="",0,F483),0))</f>
        <v>0</v>
      </c>
      <c r="P483" s="25">
        <f>IF(B483="","",O483-IF(G483="",0,G483))</f>
        <v>0</v>
      </c>
      <c r="Q483" s="25">
        <f>IF(B483="","",IF(RewardAt&lt;=0,0,ROUNDDOWN(P483/RewardAt,0)))</f>
        <v>0</v>
      </c>
      <c r="R483" s="26">
        <f>IF(B483="","",ROUND(Q483*RewardValue,2))</f>
        <v>0</v>
      </c>
      <c r="S483" s="25">
        <f>IF(B483="","",IF(RewardAt&lt;=0,"",MAX(0,RewardAt*(Q483+1)-P483)))</f>
        <v>0</v>
      </c>
      <c r="T483" s="25">
        <f>IF(B483="","",COUNTIFS(Clients!$H$5:$H$504,B483))</f>
        <v>0</v>
      </c>
      <c r="U483" s="26">
        <f>IF(B483="","",ROUND(T483*ReferralReward-IF(J483="",0,J483),2))</f>
        <v>0</v>
      </c>
      <c r="V483" s="15">
        <f>IF(B483="","",IFERROR(INDEX(Clients!$AM$5:$AM$504,MATCH(B483,Clients!$A$5:$A$504,0))&amp;"",""))</f>
        <v>0</v>
      </c>
      <c r="W483" s="25">
        <f>IF(B483="","",COUNTIFS($P$5:$P$504,"&gt;"&amp;P483)+COUNTIFS($P$5:P483,P483))</f>
        <v>0</v>
      </c>
      <c r="X483" s="39">
        <f>IF(B483="","",IF(K483="No","",IF(COUNTIF($B$5:$B$504,B483)&gt;1,"Duplicate - this client is on twice",IF(Q483&gt;0,"Action - reward ready to give",IF(U483&gt;0.004,"Action - referral credit owed",IF(V483="Lapsing","Chase - points are a reason to call",IF(S483&lt;=RewardAt*0.2,"Rebook - nearly at a reward","OK")))))))</f>
        <v>0</v>
      </c>
    </row>
    <row r="484" spans="1:24">
      <c r="A484" s="28">
        <f>IF(B484="","",LoyaltyPrefix&amp;TEXT(ROW()-4,"0000"))</f>
        <v>0</v>
      </c>
      <c r="C484" s="15">
        <f>IF(B484="","",IFERROR(INDEX(Clients!$B$5:$B$504,MATCH(B484,Clients!$A$5:$A$504,0)),"Not in Clients"))</f>
        <v>0</v>
      </c>
      <c r="M484" s="26">
        <f>IF(B484="","",ROUND(SUMIFS(Sales!$Y$5:$Y$1204,Sales!$D$5:$D$1204,B484,Sales!$B$5:$B$1204,"&gt;="&amp;IF(D484="",0,D484)),2))</f>
        <v>0</v>
      </c>
      <c r="N484" s="25">
        <f>IF(B484="","",IFERROR(INDEX(Clients!$T$5:$T$504,MATCH(B484,Clients!$A$5:$A$504,0))*1,0))</f>
        <v>0</v>
      </c>
      <c r="O484" s="25">
        <f>IF(B484="","",ROUND(M484*PointsPerUnit+IF(F484="",0,F484),0))</f>
        <v>0</v>
      </c>
      <c r="P484" s="25">
        <f>IF(B484="","",O484-IF(G484="",0,G484))</f>
        <v>0</v>
      </c>
      <c r="Q484" s="25">
        <f>IF(B484="","",IF(RewardAt&lt;=0,0,ROUNDDOWN(P484/RewardAt,0)))</f>
        <v>0</v>
      </c>
      <c r="R484" s="26">
        <f>IF(B484="","",ROUND(Q484*RewardValue,2))</f>
        <v>0</v>
      </c>
      <c r="S484" s="25">
        <f>IF(B484="","",IF(RewardAt&lt;=0,"",MAX(0,RewardAt*(Q484+1)-P484)))</f>
        <v>0</v>
      </c>
      <c r="T484" s="25">
        <f>IF(B484="","",COUNTIFS(Clients!$H$5:$H$504,B484))</f>
        <v>0</v>
      </c>
      <c r="U484" s="26">
        <f>IF(B484="","",ROUND(T484*ReferralReward-IF(J484="",0,J484),2))</f>
        <v>0</v>
      </c>
      <c r="V484" s="15">
        <f>IF(B484="","",IFERROR(INDEX(Clients!$AM$5:$AM$504,MATCH(B484,Clients!$A$5:$A$504,0))&amp;"",""))</f>
        <v>0</v>
      </c>
      <c r="W484" s="25">
        <f>IF(B484="","",COUNTIFS($P$5:$P$504,"&gt;"&amp;P484)+COUNTIFS($P$5:P484,P484))</f>
        <v>0</v>
      </c>
      <c r="X484" s="39">
        <f>IF(B484="","",IF(K484="No","",IF(COUNTIF($B$5:$B$504,B484)&gt;1,"Duplicate - this client is on twice",IF(Q484&gt;0,"Action - reward ready to give",IF(U484&gt;0.004,"Action - referral credit owed",IF(V484="Lapsing","Chase - points are a reason to call",IF(S484&lt;=RewardAt*0.2,"Rebook - nearly at a reward","OK")))))))</f>
        <v>0</v>
      </c>
    </row>
    <row r="485" spans="1:24">
      <c r="A485" s="28">
        <f>IF(B485="","",LoyaltyPrefix&amp;TEXT(ROW()-4,"0000"))</f>
        <v>0</v>
      </c>
      <c r="C485" s="15">
        <f>IF(B485="","",IFERROR(INDEX(Clients!$B$5:$B$504,MATCH(B485,Clients!$A$5:$A$504,0)),"Not in Clients"))</f>
        <v>0</v>
      </c>
      <c r="M485" s="26">
        <f>IF(B485="","",ROUND(SUMIFS(Sales!$Y$5:$Y$1204,Sales!$D$5:$D$1204,B485,Sales!$B$5:$B$1204,"&gt;="&amp;IF(D485="",0,D485)),2))</f>
        <v>0</v>
      </c>
      <c r="N485" s="25">
        <f>IF(B485="","",IFERROR(INDEX(Clients!$T$5:$T$504,MATCH(B485,Clients!$A$5:$A$504,0))*1,0))</f>
        <v>0</v>
      </c>
      <c r="O485" s="25">
        <f>IF(B485="","",ROUND(M485*PointsPerUnit+IF(F485="",0,F485),0))</f>
        <v>0</v>
      </c>
      <c r="P485" s="25">
        <f>IF(B485="","",O485-IF(G485="",0,G485))</f>
        <v>0</v>
      </c>
      <c r="Q485" s="25">
        <f>IF(B485="","",IF(RewardAt&lt;=0,0,ROUNDDOWN(P485/RewardAt,0)))</f>
        <v>0</v>
      </c>
      <c r="R485" s="26">
        <f>IF(B485="","",ROUND(Q485*RewardValue,2))</f>
        <v>0</v>
      </c>
      <c r="S485" s="25">
        <f>IF(B485="","",IF(RewardAt&lt;=0,"",MAX(0,RewardAt*(Q485+1)-P485)))</f>
        <v>0</v>
      </c>
      <c r="T485" s="25">
        <f>IF(B485="","",COUNTIFS(Clients!$H$5:$H$504,B485))</f>
        <v>0</v>
      </c>
      <c r="U485" s="26">
        <f>IF(B485="","",ROUND(T485*ReferralReward-IF(J485="",0,J485),2))</f>
        <v>0</v>
      </c>
      <c r="V485" s="15">
        <f>IF(B485="","",IFERROR(INDEX(Clients!$AM$5:$AM$504,MATCH(B485,Clients!$A$5:$A$504,0))&amp;"",""))</f>
        <v>0</v>
      </c>
      <c r="W485" s="25">
        <f>IF(B485="","",COUNTIFS($P$5:$P$504,"&gt;"&amp;P485)+COUNTIFS($P$5:P485,P485))</f>
        <v>0</v>
      </c>
      <c r="X485" s="39">
        <f>IF(B485="","",IF(K485="No","",IF(COUNTIF($B$5:$B$504,B485)&gt;1,"Duplicate - this client is on twice",IF(Q485&gt;0,"Action - reward ready to give",IF(U485&gt;0.004,"Action - referral credit owed",IF(V485="Lapsing","Chase - points are a reason to call",IF(S485&lt;=RewardAt*0.2,"Rebook - nearly at a reward","OK")))))))</f>
        <v>0</v>
      </c>
    </row>
    <row r="486" spans="1:24">
      <c r="A486" s="28">
        <f>IF(B486="","",LoyaltyPrefix&amp;TEXT(ROW()-4,"0000"))</f>
        <v>0</v>
      </c>
      <c r="C486" s="15">
        <f>IF(B486="","",IFERROR(INDEX(Clients!$B$5:$B$504,MATCH(B486,Clients!$A$5:$A$504,0)),"Not in Clients"))</f>
        <v>0</v>
      </c>
      <c r="M486" s="26">
        <f>IF(B486="","",ROUND(SUMIFS(Sales!$Y$5:$Y$1204,Sales!$D$5:$D$1204,B486,Sales!$B$5:$B$1204,"&gt;="&amp;IF(D486="",0,D486)),2))</f>
        <v>0</v>
      </c>
      <c r="N486" s="25">
        <f>IF(B486="","",IFERROR(INDEX(Clients!$T$5:$T$504,MATCH(B486,Clients!$A$5:$A$504,0))*1,0))</f>
        <v>0</v>
      </c>
      <c r="O486" s="25">
        <f>IF(B486="","",ROUND(M486*PointsPerUnit+IF(F486="",0,F486),0))</f>
        <v>0</v>
      </c>
      <c r="P486" s="25">
        <f>IF(B486="","",O486-IF(G486="",0,G486))</f>
        <v>0</v>
      </c>
      <c r="Q486" s="25">
        <f>IF(B486="","",IF(RewardAt&lt;=0,0,ROUNDDOWN(P486/RewardAt,0)))</f>
        <v>0</v>
      </c>
      <c r="R486" s="26">
        <f>IF(B486="","",ROUND(Q486*RewardValue,2))</f>
        <v>0</v>
      </c>
      <c r="S486" s="25">
        <f>IF(B486="","",IF(RewardAt&lt;=0,"",MAX(0,RewardAt*(Q486+1)-P486)))</f>
        <v>0</v>
      </c>
      <c r="T486" s="25">
        <f>IF(B486="","",COUNTIFS(Clients!$H$5:$H$504,B486))</f>
        <v>0</v>
      </c>
      <c r="U486" s="26">
        <f>IF(B486="","",ROUND(T486*ReferralReward-IF(J486="",0,J486),2))</f>
        <v>0</v>
      </c>
      <c r="V486" s="15">
        <f>IF(B486="","",IFERROR(INDEX(Clients!$AM$5:$AM$504,MATCH(B486,Clients!$A$5:$A$504,0))&amp;"",""))</f>
        <v>0</v>
      </c>
      <c r="W486" s="25">
        <f>IF(B486="","",COUNTIFS($P$5:$P$504,"&gt;"&amp;P486)+COUNTIFS($P$5:P486,P486))</f>
        <v>0</v>
      </c>
      <c r="X486" s="39">
        <f>IF(B486="","",IF(K486="No","",IF(COUNTIF($B$5:$B$504,B486)&gt;1,"Duplicate - this client is on twice",IF(Q486&gt;0,"Action - reward ready to give",IF(U486&gt;0.004,"Action - referral credit owed",IF(V486="Lapsing","Chase - points are a reason to call",IF(S486&lt;=RewardAt*0.2,"Rebook - nearly at a reward","OK")))))))</f>
        <v>0</v>
      </c>
    </row>
    <row r="487" spans="1:24">
      <c r="A487" s="28">
        <f>IF(B487="","",LoyaltyPrefix&amp;TEXT(ROW()-4,"0000"))</f>
        <v>0</v>
      </c>
      <c r="C487" s="15">
        <f>IF(B487="","",IFERROR(INDEX(Clients!$B$5:$B$504,MATCH(B487,Clients!$A$5:$A$504,0)),"Not in Clients"))</f>
        <v>0</v>
      </c>
      <c r="M487" s="26">
        <f>IF(B487="","",ROUND(SUMIFS(Sales!$Y$5:$Y$1204,Sales!$D$5:$D$1204,B487,Sales!$B$5:$B$1204,"&gt;="&amp;IF(D487="",0,D487)),2))</f>
        <v>0</v>
      </c>
      <c r="N487" s="25">
        <f>IF(B487="","",IFERROR(INDEX(Clients!$T$5:$T$504,MATCH(B487,Clients!$A$5:$A$504,0))*1,0))</f>
        <v>0</v>
      </c>
      <c r="O487" s="25">
        <f>IF(B487="","",ROUND(M487*PointsPerUnit+IF(F487="",0,F487),0))</f>
        <v>0</v>
      </c>
      <c r="P487" s="25">
        <f>IF(B487="","",O487-IF(G487="",0,G487))</f>
        <v>0</v>
      </c>
      <c r="Q487" s="25">
        <f>IF(B487="","",IF(RewardAt&lt;=0,0,ROUNDDOWN(P487/RewardAt,0)))</f>
        <v>0</v>
      </c>
      <c r="R487" s="26">
        <f>IF(B487="","",ROUND(Q487*RewardValue,2))</f>
        <v>0</v>
      </c>
      <c r="S487" s="25">
        <f>IF(B487="","",IF(RewardAt&lt;=0,"",MAX(0,RewardAt*(Q487+1)-P487)))</f>
        <v>0</v>
      </c>
      <c r="T487" s="25">
        <f>IF(B487="","",COUNTIFS(Clients!$H$5:$H$504,B487))</f>
        <v>0</v>
      </c>
      <c r="U487" s="26">
        <f>IF(B487="","",ROUND(T487*ReferralReward-IF(J487="",0,J487),2))</f>
        <v>0</v>
      </c>
      <c r="V487" s="15">
        <f>IF(B487="","",IFERROR(INDEX(Clients!$AM$5:$AM$504,MATCH(B487,Clients!$A$5:$A$504,0))&amp;"",""))</f>
        <v>0</v>
      </c>
      <c r="W487" s="25">
        <f>IF(B487="","",COUNTIFS($P$5:$P$504,"&gt;"&amp;P487)+COUNTIFS($P$5:P487,P487))</f>
        <v>0</v>
      </c>
      <c r="X487" s="39">
        <f>IF(B487="","",IF(K487="No","",IF(COUNTIF($B$5:$B$504,B487)&gt;1,"Duplicate - this client is on twice",IF(Q487&gt;0,"Action - reward ready to give",IF(U487&gt;0.004,"Action - referral credit owed",IF(V487="Lapsing","Chase - points are a reason to call",IF(S487&lt;=RewardAt*0.2,"Rebook - nearly at a reward","OK")))))))</f>
        <v>0</v>
      </c>
    </row>
    <row r="488" spans="1:24">
      <c r="A488" s="28">
        <f>IF(B488="","",LoyaltyPrefix&amp;TEXT(ROW()-4,"0000"))</f>
        <v>0</v>
      </c>
      <c r="C488" s="15">
        <f>IF(B488="","",IFERROR(INDEX(Clients!$B$5:$B$504,MATCH(B488,Clients!$A$5:$A$504,0)),"Not in Clients"))</f>
        <v>0</v>
      </c>
      <c r="M488" s="26">
        <f>IF(B488="","",ROUND(SUMIFS(Sales!$Y$5:$Y$1204,Sales!$D$5:$D$1204,B488,Sales!$B$5:$B$1204,"&gt;="&amp;IF(D488="",0,D488)),2))</f>
        <v>0</v>
      </c>
      <c r="N488" s="25">
        <f>IF(B488="","",IFERROR(INDEX(Clients!$T$5:$T$504,MATCH(B488,Clients!$A$5:$A$504,0))*1,0))</f>
        <v>0</v>
      </c>
      <c r="O488" s="25">
        <f>IF(B488="","",ROUND(M488*PointsPerUnit+IF(F488="",0,F488),0))</f>
        <v>0</v>
      </c>
      <c r="P488" s="25">
        <f>IF(B488="","",O488-IF(G488="",0,G488))</f>
        <v>0</v>
      </c>
      <c r="Q488" s="25">
        <f>IF(B488="","",IF(RewardAt&lt;=0,0,ROUNDDOWN(P488/RewardAt,0)))</f>
        <v>0</v>
      </c>
      <c r="R488" s="26">
        <f>IF(B488="","",ROUND(Q488*RewardValue,2))</f>
        <v>0</v>
      </c>
      <c r="S488" s="25">
        <f>IF(B488="","",IF(RewardAt&lt;=0,"",MAX(0,RewardAt*(Q488+1)-P488)))</f>
        <v>0</v>
      </c>
      <c r="T488" s="25">
        <f>IF(B488="","",COUNTIFS(Clients!$H$5:$H$504,B488))</f>
        <v>0</v>
      </c>
      <c r="U488" s="26">
        <f>IF(B488="","",ROUND(T488*ReferralReward-IF(J488="",0,J488),2))</f>
        <v>0</v>
      </c>
      <c r="V488" s="15">
        <f>IF(B488="","",IFERROR(INDEX(Clients!$AM$5:$AM$504,MATCH(B488,Clients!$A$5:$A$504,0))&amp;"",""))</f>
        <v>0</v>
      </c>
      <c r="W488" s="25">
        <f>IF(B488="","",COUNTIFS($P$5:$P$504,"&gt;"&amp;P488)+COUNTIFS($P$5:P488,P488))</f>
        <v>0</v>
      </c>
      <c r="X488" s="39">
        <f>IF(B488="","",IF(K488="No","",IF(COUNTIF($B$5:$B$504,B488)&gt;1,"Duplicate - this client is on twice",IF(Q488&gt;0,"Action - reward ready to give",IF(U488&gt;0.004,"Action - referral credit owed",IF(V488="Lapsing","Chase - points are a reason to call",IF(S488&lt;=RewardAt*0.2,"Rebook - nearly at a reward","OK")))))))</f>
        <v>0</v>
      </c>
    </row>
    <row r="489" spans="1:24">
      <c r="A489" s="28">
        <f>IF(B489="","",LoyaltyPrefix&amp;TEXT(ROW()-4,"0000"))</f>
        <v>0</v>
      </c>
      <c r="C489" s="15">
        <f>IF(B489="","",IFERROR(INDEX(Clients!$B$5:$B$504,MATCH(B489,Clients!$A$5:$A$504,0)),"Not in Clients"))</f>
        <v>0</v>
      </c>
      <c r="M489" s="26">
        <f>IF(B489="","",ROUND(SUMIFS(Sales!$Y$5:$Y$1204,Sales!$D$5:$D$1204,B489,Sales!$B$5:$B$1204,"&gt;="&amp;IF(D489="",0,D489)),2))</f>
        <v>0</v>
      </c>
      <c r="N489" s="25">
        <f>IF(B489="","",IFERROR(INDEX(Clients!$T$5:$T$504,MATCH(B489,Clients!$A$5:$A$504,0))*1,0))</f>
        <v>0</v>
      </c>
      <c r="O489" s="25">
        <f>IF(B489="","",ROUND(M489*PointsPerUnit+IF(F489="",0,F489),0))</f>
        <v>0</v>
      </c>
      <c r="P489" s="25">
        <f>IF(B489="","",O489-IF(G489="",0,G489))</f>
        <v>0</v>
      </c>
      <c r="Q489" s="25">
        <f>IF(B489="","",IF(RewardAt&lt;=0,0,ROUNDDOWN(P489/RewardAt,0)))</f>
        <v>0</v>
      </c>
      <c r="R489" s="26">
        <f>IF(B489="","",ROUND(Q489*RewardValue,2))</f>
        <v>0</v>
      </c>
      <c r="S489" s="25">
        <f>IF(B489="","",IF(RewardAt&lt;=0,"",MAX(0,RewardAt*(Q489+1)-P489)))</f>
        <v>0</v>
      </c>
      <c r="T489" s="25">
        <f>IF(B489="","",COUNTIFS(Clients!$H$5:$H$504,B489))</f>
        <v>0</v>
      </c>
      <c r="U489" s="26">
        <f>IF(B489="","",ROUND(T489*ReferralReward-IF(J489="",0,J489),2))</f>
        <v>0</v>
      </c>
      <c r="V489" s="15">
        <f>IF(B489="","",IFERROR(INDEX(Clients!$AM$5:$AM$504,MATCH(B489,Clients!$A$5:$A$504,0))&amp;"",""))</f>
        <v>0</v>
      </c>
      <c r="W489" s="25">
        <f>IF(B489="","",COUNTIFS($P$5:$P$504,"&gt;"&amp;P489)+COUNTIFS($P$5:P489,P489))</f>
        <v>0</v>
      </c>
      <c r="X489" s="39">
        <f>IF(B489="","",IF(K489="No","",IF(COUNTIF($B$5:$B$504,B489)&gt;1,"Duplicate - this client is on twice",IF(Q489&gt;0,"Action - reward ready to give",IF(U489&gt;0.004,"Action - referral credit owed",IF(V489="Lapsing","Chase - points are a reason to call",IF(S489&lt;=RewardAt*0.2,"Rebook - nearly at a reward","OK")))))))</f>
        <v>0</v>
      </c>
    </row>
    <row r="490" spans="1:24">
      <c r="A490" s="28">
        <f>IF(B490="","",LoyaltyPrefix&amp;TEXT(ROW()-4,"0000"))</f>
        <v>0</v>
      </c>
      <c r="C490" s="15">
        <f>IF(B490="","",IFERROR(INDEX(Clients!$B$5:$B$504,MATCH(B490,Clients!$A$5:$A$504,0)),"Not in Clients"))</f>
        <v>0</v>
      </c>
      <c r="M490" s="26">
        <f>IF(B490="","",ROUND(SUMIFS(Sales!$Y$5:$Y$1204,Sales!$D$5:$D$1204,B490,Sales!$B$5:$B$1204,"&gt;="&amp;IF(D490="",0,D490)),2))</f>
        <v>0</v>
      </c>
      <c r="N490" s="25">
        <f>IF(B490="","",IFERROR(INDEX(Clients!$T$5:$T$504,MATCH(B490,Clients!$A$5:$A$504,0))*1,0))</f>
        <v>0</v>
      </c>
      <c r="O490" s="25">
        <f>IF(B490="","",ROUND(M490*PointsPerUnit+IF(F490="",0,F490),0))</f>
        <v>0</v>
      </c>
      <c r="P490" s="25">
        <f>IF(B490="","",O490-IF(G490="",0,G490))</f>
        <v>0</v>
      </c>
      <c r="Q490" s="25">
        <f>IF(B490="","",IF(RewardAt&lt;=0,0,ROUNDDOWN(P490/RewardAt,0)))</f>
        <v>0</v>
      </c>
      <c r="R490" s="26">
        <f>IF(B490="","",ROUND(Q490*RewardValue,2))</f>
        <v>0</v>
      </c>
      <c r="S490" s="25">
        <f>IF(B490="","",IF(RewardAt&lt;=0,"",MAX(0,RewardAt*(Q490+1)-P490)))</f>
        <v>0</v>
      </c>
      <c r="T490" s="25">
        <f>IF(B490="","",COUNTIFS(Clients!$H$5:$H$504,B490))</f>
        <v>0</v>
      </c>
      <c r="U490" s="26">
        <f>IF(B490="","",ROUND(T490*ReferralReward-IF(J490="",0,J490),2))</f>
        <v>0</v>
      </c>
      <c r="V490" s="15">
        <f>IF(B490="","",IFERROR(INDEX(Clients!$AM$5:$AM$504,MATCH(B490,Clients!$A$5:$A$504,0))&amp;"",""))</f>
        <v>0</v>
      </c>
      <c r="W490" s="25">
        <f>IF(B490="","",COUNTIFS($P$5:$P$504,"&gt;"&amp;P490)+COUNTIFS($P$5:P490,P490))</f>
        <v>0</v>
      </c>
      <c r="X490" s="39">
        <f>IF(B490="","",IF(K490="No","",IF(COUNTIF($B$5:$B$504,B490)&gt;1,"Duplicate - this client is on twice",IF(Q490&gt;0,"Action - reward ready to give",IF(U490&gt;0.004,"Action - referral credit owed",IF(V490="Lapsing","Chase - points are a reason to call",IF(S490&lt;=RewardAt*0.2,"Rebook - nearly at a reward","OK")))))))</f>
        <v>0</v>
      </c>
    </row>
    <row r="491" spans="1:24">
      <c r="A491" s="28">
        <f>IF(B491="","",LoyaltyPrefix&amp;TEXT(ROW()-4,"0000"))</f>
        <v>0</v>
      </c>
      <c r="C491" s="15">
        <f>IF(B491="","",IFERROR(INDEX(Clients!$B$5:$B$504,MATCH(B491,Clients!$A$5:$A$504,0)),"Not in Clients"))</f>
        <v>0</v>
      </c>
      <c r="M491" s="26">
        <f>IF(B491="","",ROUND(SUMIFS(Sales!$Y$5:$Y$1204,Sales!$D$5:$D$1204,B491,Sales!$B$5:$B$1204,"&gt;="&amp;IF(D491="",0,D491)),2))</f>
        <v>0</v>
      </c>
      <c r="N491" s="25">
        <f>IF(B491="","",IFERROR(INDEX(Clients!$T$5:$T$504,MATCH(B491,Clients!$A$5:$A$504,0))*1,0))</f>
        <v>0</v>
      </c>
      <c r="O491" s="25">
        <f>IF(B491="","",ROUND(M491*PointsPerUnit+IF(F491="",0,F491),0))</f>
        <v>0</v>
      </c>
      <c r="P491" s="25">
        <f>IF(B491="","",O491-IF(G491="",0,G491))</f>
        <v>0</v>
      </c>
      <c r="Q491" s="25">
        <f>IF(B491="","",IF(RewardAt&lt;=0,0,ROUNDDOWN(P491/RewardAt,0)))</f>
        <v>0</v>
      </c>
      <c r="R491" s="26">
        <f>IF(B491="","",ROUND(Q491*RewardValue,2))</f>
        <v>0</v>
      </c>
      <c r="S491" s="25">
        <f>IF(B491="","",IF(RewardAt&lt;=0,"",MAX(0,RewardAt*(Q491+1)-P491)))</f>
        <v>0</v>
      </c>
      <c r="T491" s="25">
        <f>IF(B491="","",COUNTIFS(Clients!$H$5:$H$504,B491))</f>
        <v>0</v>
      </c>
      <c r="U491" s="26">
        <f>IF(B491="","",ROUND(T491*ReferralReward-IF(J491="",0,J491),2))</f>
        <v>0</v>
      </c>
      <c r="V491" s="15">
        <f>IF(B491="","",IFERROR(INDEX(Clients!$AM$5:$AM$504,MATCH(B491,Clients!$A$5:$A$504,0))&amp;"",""))</f>
        <v>0</v>
      </c>
      <c r="W491" s="25">
        <f>IF(B491="","",COUNTIFS($P$5:$P$504,"&gt;"&amp;P491)+COUNTIFS($P$5:P491,P491))</f>
        <v>0</v>
      </c>
      <c r="X491" s="39">
        <f>IF(B491="","",IF(K491="No","",IF(COUNTIF($B$5:$B$504,B491)&gt;1,"Duplicate - this client is on twice",IF(Q491&gt;0,"Action - reward ready to give",IF(U491&gt;0.004,"Action - referral credit owed",IF(V491="Lapsing","Chase - points are a reason to call",IF(S491&lt;=RewardAt*0.2,"Rebook - nearly at a reward","OK")))))))</f>
        <v>0</v>
      </c>
    </row>
    <row r="492" spans="1:24">
      <c r="A492" s="28">
        <f>IF(B492="","",LoyaltyPrefix&amp;TEXT(ROW()-4,"0000"))</f>
        <v>0</v>
      </c>
      <c r="C492" s="15">
        <f>IF(B492="","",IFERROR(INDEX(Clients!$B$5:$B$504,MATCH(B492,Clients!$A$5:$A$504,0)),"Not in Clients"))</f>
        <v>0</v>
      </c>
      <c r="M492" s="26">
        <f>IF(B492="","",ROUND(SUMIFS(Sales!$Y$5:$Y$1204,Sales!$D$5:$D$1204,B492,Sales!$B$5:$B$1204,"&gt;="&amp;IF(D492="",0,D492)),2))</f>
        <v>0</v>
      </c>
      <c r="N492" s="25">
        <f>IF(B492="","",IFERROR(INDEX(Clients!$T$5:$T$504,MATCH(B492,Clients!$A$5:$A$504,0))*1,0))</f>
        <v>0</v>
      </c>
      <c r="O492" s="25">
        <f>IF(B492="","",ROUND(M492*PointsPerUnit+IF(F492="",0,F492),0))</f>
        <v>0</v>
      </c>
      <c r="P492" s="25">
        <f>IF(B492="","",O492-IF(G492="",0,G492))</f>
        <v>0</v>
      </c>
      <c r="Q492" s="25">
        <f>IF(B492="","",IF(RewardAt&lt;=0,0,ROUNDDOWN(P492/RewardAt,0)))</f>
        <v>0</v>
      </c>
      <c r="R492" s="26">
        <f>IF(B492="","",ROUND(Q492*RewardValue,2))</f>
        <v>0</v>
      </c>
      <c r="S492" s="25">
        <f>IF(B492="","",IF(RewardAt&lt;=0,"",MAX(0,RewardAt*(Q492+1)-P492)))</f>
        <v>0</v>
      </c>
      <c r="T492" s="25">
        <f>IF(B492="","",COUNTIFS(Clients!$H$5:$H$504,B492))</f>
        <v>0</v>
      </c>
      <c r="U492" s="26">
        <f>IF(B492="","",ROUND(T492*ReferralReward-IF(J492="",0,J492),2))</f>
        <v>0</v>
      </c>
      <c r="V492" s="15">
        <f>IF(B492="","",IFERROR(INDEX(Clients!$AM$5:$AM$504,MATCH(B492,Clients!$A$5:$A$504,0))&amp;"",""))</f>
        <v>0</v>
      </c>
      <c r="W492" s="25">
        <f>IF(B492="","",COUNTIFS($P$5:$P$504,"&gt;"&amp;P492)+COUNTIFS($P$5:P492,P492))</f>
        <v>0</v>
      </c>
      <c r="X492" s="39">
        <f>IF(B492="","",IF(K492="No","",IF(COUNTIF($B$5:$B$504,B492)&gt;1,"Duplicate - this client is on twice",IF(Q492&gt;0,"Action - reward ready to give",IF(U492&gt;0.004,"Action - referral credit owed",IF(V492="Lapsing","Chase - points are a reason to call",IF(S492&lt;=RewardAt*0.2,"Rebook - nearly at a reward","OK")))))))</f>
        <v>0</v>
      </c>
    </row>
    <row r="493" spans="1:24">
      <c r="A493" s="28">
        <f>IF(B493="","",LoyaltyPrefix&amp;TEXT(ROW()-4,"0000"))</f>
        <v>0</v>
      </c>
      <c r="C493" s="15">
        <f>IF(B493="","",IFERROR(INDEX(Clients!$B$5:$B$504,MATCH(B493,Clients!$A$5:$A$504,0)),"Not in Clients"))</f>
        <v>0</v>
      </c>
      <c r="M493" s="26">
        <f>IF(B493="","",ROUND(SUMIFS(Sales!$Y$5:$Y$1204,Sales!$D$5:$D$1204,B493,Sales!$B$5:$B$1204,"&gt;="&amp;IF(D493="",0,D493)),2))</f>
        <v>0</v>
      </c>
      <c r="N493" s="25">
        <f>IF(B493="","",IFERROR(INDEX(Clients!$T$5:$T$504,MATCH(B493,Clients!$A$5:$A$504,0))*1,0))</f>
        <v>0</v>
      </c>
      <c r="O493" s="25">
        <f>IF(B493="","",ROUND(M493*PointsPerUnit+IF(F493="",0,F493),0))</f>
        <v>0</v>
      </c>
      <c r="P493" s="25">
        <f>IF(B493="","",O493-IF(G493="",0,G493))</f>
        <v>0</v>
      </c>
      <c r="Q493" s="25">
        <f>IF(B493="","",IF(RewardAt&lt;=0,0,ROUNDDOWN(P493/RewardAt,0)))</f>
        <v>0</v>
      </c>
      <c r="R493" s="26">
        <f>IF(B493="","",ROUND(Q493*RewardValue,2))</f>
        <v>0</v>
      </c>
      <c r="S493" s="25">
        <f>IF(B493="","",IF(RewardAt&lt;=0,"",MAX(0,RewardAt*(Q493+1)-P493)))</f>
        <v>0</v>
      </c>
      <c r="T493" s="25">
        <f>IF(B493="","",COUNTIFS(Clients!$H$5:$H$504,B493))</f>
        <v>0</v>
      </c>
      <c r="U493" s="26">
        <f>IF(B493="","",ROUND(T493*ReferralReward-IF(J493="",0,J493),2))</f>
        <v>0</v>
      </c>
      <c r="V493" s="15">
        <f>IF(B493="","",IFERROR(INDEX(Clients!$AM$5:$AM$504,MATCH(B493,Clients!$A$5:$A$504,0))&amp;"",""))</f>
        <v>0</v>
      </c>
      <c r="W493" s="25">
        <f>IF(B493="","",COUNTIFS($P$5:$P$504,"&gt;"&amp;P493)+COUNTIFS($P$5:P493,P493))</f>
        <v>0</v>
      </c>
      <c r="X493" s="39">
        <f>IF(B493="","",IF(K493="No","",IF(COUNTIF($B$5:$B$504,B493)&gt;1,"Duplicate - this client is on twice",IF(Q493&gt;0,"Action - reward ready to give",IF(U493&gt;0.004,"Action - referral credit owed",IF(V493="Lapsing","Chase - points are a reason to call",IF(S493&lt;=RewardAt*0.2,"Rebook - nearly at a reward","OK")))))))</f>
        <v>0</v>
      </c>
    </row>
    <row r="494" spans="1:24">
      <c r="A494" s="28">
        <f>IF(B494="","",LoyaltyPrefix&amp;TEXT(ROW()-4,"0000"))</f>
        <v>0</v>
      </c>
      <c r="C494" s="15">
        <f>IF(B494="","",IFERROR(INDEX(Clients!$B$5:$B$504,MATCH(B494,Clients!$A$5:$A$504,0)),"Not in Clients"))</f>
        <v>0</v>
      </c>
      <c r="M494" s="26">
        <f>IF(B494="","",ROUND(SUMIFS(Sales!$Y$5:$Y$1204,Sales!$D$5:$D$1204,B494,Sales!$B$5:$B$1204,"&gt;="&amp;IF(D494="",0,D494)),2))</f>
        <v>0</v>
      </c>
      <c r="N494" s="25">
        <f>IF(B494="","",IFERROR(INDEX(Clients!$T$5:$T$504,MATCH(B494,Clients!$A$5:$A$504,0))*1,0))</f>
        <v>0</v>
      </c>
      <c r="O494" s="25">
        <f>IF(B494="","",ROUND(M494*PointsPerUnit+IF(F494="",0,F494),0))</f>
        <v>0</v>
      </c>
      <c r="P494" s="25">
        <f>IF(B494="","",O494-IF(G494="",0,G494))</f>
        <v>0</v>
      </c>
      <c r="Q494" s="25">
        <f>IF(B494="","",IF(RewardAt&lt;=0,0,ROUNDDOWN(P494/RewardAt,0)))</f>
        <v>0</v>
      </c>
      <c r="R494" s="26">
        <f>IF(B494="","",ROUND(Q494*RewardValue,2))</f>
        <v>0</v>
      </c>
      <c r="S494" s="25">
        <f>IF(B494="","",IF(RewardAt&lt;=0,"",MAX(0,RewardAt*(Q494+1)-P494)))</f>
        <v>0</v>
      </c>
      <c r="T494" s="25">
        <f>IF(B494="","",COUNTIFS(Clients!$H$5:$H$504,B494))</f>
        <v>0</v>
      </c>
      <c r="U494" s="26">
        <f>IF(B494="","",ROUND(T494*ReferralReward-IF(J494="",0,J494),2))</f>
        <v>0</v>
      </c>
      <c r="V494" s="15">
        <f>IF(B494="","",IFERROR(INDEX(Clients!$AM$5:$AM$504,MATCH(B494,Clients!$A$5:$A$504,0))&amp;"",""))</f>
        <v>0</v>
      </c>
      <c r="W494" s="25">
        <f>IF(B494="","",COUNTIFS($P$5:$P$504,"&gt;"&amp;P494)+COUNTIFS($P$5:P494,P494))</f>
        <v>0</v>
      </c>
      <c r="X494" s="39">
        <f>IF(B494="","",IF(K494="No","",IF(COUNTIF($B$5:$B$504,B494)&gt;1,"Duplicate - this client is on twice",IF(Q494&gt;0,"Action - reward ready to give",IF(U494&gt;0.004,"Action - referral credit owed",IF(V494="Lapsing","Chase - points are a reason to call",IF(S494&lt;=RewardAt*0.2,"Rebook - nearly at a reward","OK")))))))</f>
        <v>0</v>
      </c>
    </row>
    <row r="495" spans="1:24">
      <c r="A495" s="28">
        <f>IF(B495="","",LoyaltyPrefix&amp;TEXT(ROW()-4,"0000"))</f>
        <v>0</v>
      </c>
      <c r="C495" s="15">
        <f>IF(B495="","",IFERROR(INDEX(Clients!$B$5:$B$504,MATCH(B495,Clients!$A$5:$A$504,0)),"Not in Clients"))</f>
        <v>0</v>
      </c>
      <c r="M495" s="26">
        <f>IF(B495="","",ROUND(SUMIFS(Sales!$Y$5:$Y$1204,Sales!$D$5:$D$1204,B495,Sales!$B$5:$B$1204,"&gt;="&amp;IF(D495="",0,D495)),2))</f>
        <v>0</v>
      </c>
      <c r="N495" s="25">
        <f>IF(B495="","",IFERROR(INDEX(Clients!$T$5:$T$504,MATCH(B495,Clients!$A$5:$A$504,0))*1,0))</f>
        <v>0</v>
      </c>
      <c r="O495" s="25">
        <f>IF(B495="","",ROUND(M495*PointsPerUnit+IF(F495="",0,F495),0))</f>
        <v>0</v>
      </c>
      <c r="P495" s="25">
        <f>IF(B495="","",O495-IF(G495="",0,G495))</f>
        <v>0</v>
      </c>
      <c r="Q495" s="25">
        <f>IF(B495="","",IF(RewardAt&lt;=0,0,ROUNDDOWN(P495/RewardAt,0)))</f>
        <v>0</v>
      </c>
      <c r="R495" s="26">
        <f>IF(B495="","",ROUND(Q495*RewardValue,2))</f>
        <v>0</v>
      </c>
      <c r="S495" s="25">
        <f>IF(B495="","",IF(RewardAt&lt;=0,"",MAX(0,RewardAt*(Q495+1)-P495)))</f>
        <v>0</v>
      </c>
      <c r="T495" s="25">
        <f>IF(B495="","",COUNTIFS(Clients!$H$5:$H$504,B495))</f>
        <v>0</v>
      </c>
      <c r="U495" s="26">
        <f>IF(B495="","",ROUND(T495*ReferralReward-IF(J495="",0,J495),2))</f>
        <v>0</v>
      </c>
      <c r="V495" s="15">
        <f>IF(B495="","",IFERROR(INDEX(Clients!$AM$5:$AM$504,MATCH(B495,Clients!$A$5:$A$504,0))&amp;"",""))</f>
        <v>0</v>
      </c>
      <c r="W495" s="25">
        <f>IF(B495="","",COUNTIFS($P$5:$P$504,"&gt;"&amp;P495)+COUNTIFS($P$5:P495,P495))</f>
        <v>0</v>
      </c>
      <c r="X495" s="39">
        <f>IF(B495="","",IF(K495="No","",IF(COUNTIF($B$5:$B$504,B495)&gt;1,"Duplicate - this client is on twice",IF(Q495&gt;0,"Action - reward ready to give",IF(U495&gt;0.004,"Action - referral credit owed",IF(V495="Lapsing","Chase - points are a reason to call",IF(S495&lt;=RewardAt*0.2,"Rebook - nearly at a reward","OK")))))))</f>
        <v>0</v>
      </c>
    </row>
    <row r="496" spans="1:24">
      <c r="A496" s="28">
        <f>IF(B496="","",LoyaltyPrefix&amp;TEXT(ROW()-4,"0000"))</f>
        <v>0</v>
      </c>
      <c r="C496" s="15">
        <f>IF(B496="","",IFERROR(INDEX(Clients!$B$5:$B$504,MATCH(B496,Clients!$A$5:$A$504,0)),"Not in Clients"))</f>
        <v>0</v>
      </c>
      <c r="M496" s="26">
        <f>IF(B496="","",ROUND(SUMIFS(Sales!$Y$5:$Y$1204,Sales!$D$5:$D$1204,B496,Sales!$B$5:$B$1204,"&gt;="&amp;IF(D496="",0,D496)),2))</f>
        <v>0</v>
      </c>
      <c r="N496" s="25">
        <f>IF(B496="","",IFERROR(INDEX(Clients!$T$5:$T$504,MATCH(B496,Clients!$A$5:$A$504,0))*1,0))</f>
        <v>0</v>
      </c>
      <c r="O496" s="25">
        <f>IF(B496="","",ROUND(M496*PointsPerUnit+IF(F496="",0,F496),0))</f>
        <v>0</v>
      </c>
      <c r="P496" s="25">
        <f>IF(B496="","",O496-IF(G496="",0,G496))</f>
        <v>0</v>
      </c>
      <c r="Q496" s="25">
        <f>IF(B496="","",IF(RewardAt&lt;=0,0,ROUNDDOWN(P496/RewardAt,0)))</f>
        <v>0</v>
      </c>
      <c r="R496" s="26">
        <f>IF(B496="","",ROUND(Q496*RewardValue,2))</f>
        <v>0</v>
      </c>
      <c r="S496" s="25">
        <f>IF(B496="","",IF(RewardAt&lt;=0,"",MAX(0,RewardAt*(Q496+1)-P496)))</f>
        <v>0</v>
      </c>
      <c r="T496" s="25">
        <f>IF(B496="","",COUNTIFS(Clients!$H$5:$H$504,B496))</f>
        <v>0</v>
      </c>
      <c r="U496" s="26">
        <f>IF(B496="","",ROUND(T496*ReferralReward-IF(J496="",0,J496),2))</f>
        <v>0</v>
      </c>
      <c r="V496" s="15">
        <f>IF(B496="","",IFERROR(INDEX(Clients!$AM$5:$AM$504,MATCH(B496,Clients!$A$5:$A$504,0))&amp;"",""))</f>
        <v>0</v>
      </c>
      <c r="W496" s="25">
        <f>IF(B496="","",COUNTIFS($P$5:$P$504,"&gt;"&amp;P496)+COUNTIFS($P$5:P496,P496))</f>
        <v>0</v>
      </c>
      <c r="X496" s="39">
        <f>IF(B496="","",IF(K496="No","",IF(COUNTIF($B$5:$B$504,B496)&gt;1,"Duplicate - this client is on twice",IF(Q496&gt;0,"Action - reward ready to give",IF(U496&gt;0.004,"Action - referral credit owed",IF(V496="Lapsing","Chase - points are a reason to call",IF(S496&lt;=RewardAt*0.2,"Rebook - nearly at a reward","OK")))))))</f>
        <v>0</v>
      </c>
    </row>
    <row r="497" spans="1:24">
      <c r="A497" s="28">
        <f>IF(B497="","",LoyaltyPrefix&amp;TEXT(ROW()-4,"0000"))</f>
        <v>0</v>
      </c>
      <c r="C497" s="15">
        <f>IF(B497="","",IFERROR(INDEX(Clients!$B$5:$B$504,MATCH(B497,Clients!$A$5:$A$504,0)),"Not in Clients"))</f>
        <v>0</v>
      </c>
      <c r="M497" s="26">
        <f>IF(B497="","",ROUND(SUMIFS(Sales!$Y$5:$Y$1204,Sales!$D$5:$D$1204,B497,Sales!$B$5:$B$1204,"&gt;="&amp;IF(D497="",0,D497)),2))</f>
        <v>0</v>
      </c>
      <c r="N497" s="25">
        <f>IF(B497="","",IFERROR(INDEX(Clients!$T$5:$T$504,MATCH(B497,Clients!$A$5:$A$504,0))*1,0))</f>
        <v>0</v>
      </c>
      <c r="O497" s="25">
        <f>IF(B497="","",ROUND(M497*PointsPerUnit+IF(F497="",0,F497),0))</f>
        <v>0</v>
      </c>
      <c r="P497" s="25">
        <f>IF(B497="","",O497-IF(G497="",0,G497))</f>
        <v>0</v>
      </c>
      <c r="Q497" s="25">
        <f>IF(B497="","",IF(RewardAt&lt;=0,0,ROUNDDOWN(P497/RewardAt,0)))</f>
        <v>0</v>
      </c>
      <c r="R497" s="26">
        <f>IF(B497="","",ROUND(Q497*RewardValue,2))</f>
        <v>0</v>
      </c>
      <c r="S497" s="25">
        <f>IF(B497="","",IF(RewardAt&lt;=0,"",MAX(0,RewardAt*(Q497+1)-P497)))</f>
        <v>0</v>
      </c>
      <c r="T497" s="25">
        <f>IF(B497="","",COUNTIFS(Clients!$H$5:$H$504,B497))</f>
        <v>0</v>
      </c>
      <c r="U497" s="26">
        <f>IF(B497="","",ROUND(T497*ReferralReward-IF(J497="",0,J497),2))</f>
        <v>0</v>
      </c>
      <c r="V497" s="15">
        <f>IF(B497="","",IFERROR(INDEX(Clients!$AM$5:$AM$504,MATCH(B497,Clients!$A$5:$A$504,0))&amp;"",""))</f>
        <v>0</v>
      </c>
      <c r="W497" s="25">
        <f>IF(B497="","",COUNTIFS($P$5:$P$504,"&gt;"&amp;P497)+COUNTIFS($P$5:P497,P497))</f>
        <v>0</v>
      </c>
      <c r="X497" s="39">
        <f>IF(B497="","",IF(K497="No","",IF(COUNTIF($B$5:$B$504,B497)&gt;1,"Duplicate - this client is on twice",IF(Q497&gt;0,"Action - reward ready to give",IF(U497&gt;0.004,"Action - referral credit owed",IF(V497="Lapsing","Chase - points are a reason to call",IF(S497&lt;=RewardAt*0.2,"Rebook - nearly at a reward","OK")))))))</f>
        <v>0</v>
      </c>
    </row>
    <row r="498" spans="1:24">
      <c r="A498" s="28">
        <f>IF(B498="","",LoyaltyPrefix&amp;TEXT(ROW()-4,"0000"))</f>
        <v>0</v>
      </c>
      <c r="C498" s="15">
        <f>IF(B498="","",IFERROR(INDEX(Clients!$B$5:$B$504,MATCH(B498,Clients!$A$5:$A$504,0)),"Not in Clients"))</f>
        <v>0</v>
      </c>
      <c r="M498" s="26">
        <f>IF(B498="","",ROUND(SUMIFS(Sales!$Y$5:$Y$1204,Sales!$D$5:$D$1204,B498,Sales!$B$5:$B$1204,"&gt;="&amp;IF(D498="",0,D498)),2))</f>
        <v>0</v>
      </c>
      <c r="N498" s="25">
        <f>IF(B498="","",IFERROR(INDEX(Clients!$T$5:$T$504,MATCH(B498,Clients!$A$5:$A$504,0))*1,0))</f>
        <v>0</v>
      </c>
      <c r="O498" s="25">
        <f>IF(B498="","",ROUND(M498*PointsPerUnit+IF(F498="",0,F498),0))</f>
        <v>0</v>
      </c>
      <c r="P498" s="25">
        <f>IF(B498="","",O498-IF(G498="",0,G498))</f>
        <v>0</v>
      </c>
      <c r="Q498" s="25">
        <f>IF(B498="","",IF(RewardAt&lt;=0,0,ROUNDDOWN(P498/RewardAt,0)))</f>
        <v>0</v>
      </c>
      <c r="R498" s="26">
        <f>IF(B498="","",ROUND(Q498*RewardValue,2))</f>
        <v>0</v>
      </c>
      <c r="S498" s="25">
        <f>IF(B498="","",IF(RewardAt&lt;=0,"",MAX(0,RewardAt*(Q498+1)-P498)))</f>
        <v>0</v>
      </c>
      <c r="T498" s="25">
        <f>IF(B498="","",COUNTIFS(Clients!$H$5:$H$504,B498))</f>
        <v>0</v>
      </c>
      <c r="U498" s="26">
        <f>IF(B498="","",ROUND(T498*ReferralReward-IF(J498="",0,J498),2))</f>
        <v>0</v>
      </c>
      <c r="V498" s="15">
        <f>IF(B498="","",IFERROR(INDEX(Clients!$AM$5:$AM$504,MATCH(B498,Clients!$A$5:$A$504,0))&amp;"",""))</f>
        <v>0</v>
      </c>
      <c r="W498" s="25">
        <f>IF(B498="","",COUNTIFS($P$5:$P$504,"&gt;"&amp;P498)+COUNTIFS($P$5:P498,P498))</f>
        <v>0</v>
      </c>
      <c r="X498" s="39">
        <f>IF(B498="","",IF(K498="No","",IF(COUNTIF($B$5:$B$504,B498)&gt;1,"Duplicate - this client is on twice",IF(Q498&gt;0,"Action - reward ready to give",IF(U498&gt;0.004,"Action - referral credit owed",IF(V498="Lapsing","Chase - points are a reason to call",IF(S498&lt;=RewardAt*0.2,"Rebook - nearly at a reward","OK")))))))</f>
        <v>0</v>
      </c>
    </row>
    <row r="499" spans="1:24">
      <c r="A499" s="28">
        <f>IF(B499="","",LoyaltyPrefix&amp;TEXT(ROW()-4,"0000"))</f>
        <v>0</v>
      </c>
      <c r="C499" s="15">
        <f>IF(B499="","",IFERROR(INDEX(Clients!$B$5:$B$504,MATCH(B499,Clients!$A$5:$A$504,0)),"Not in Clients"))</f>
        <v>0</v>
      </c>
      <c r="M499" s="26">
        <f>IF(B499="","",ROUND(SUMIFS(Sales!$Y$5:$Y$1204,Sales!$D$5:$D$1204,B499,Sales!$B$5:$B$1204,"&gt;="&amp;IF(D499="",0,D499)),2))</f>
        <v>0</v>
      </c>
      <c r="N499" s="25">
        <f>IF(B499="","",IFERROR(INDEX(Clients!$T$5:$T$504,MATCH(B499,Clients!$A$5:$A$504,0))*1,0))</f>
        <v>0</v>
      </c>
      <c r="O499" s="25">
        <f>IF(B499="","",ROUND(M499*PointsPerUnit+IF(F499="",0,F499),0))</f>
        <v>0</v>
      </c>
      <c r="P499" s="25">
        <f>IF(B499="","",O499-IF(G499="",0,G499))</f>
        <v>0</v>
      </c>
      <c r="Q499" s="25">
        <f>IF(B499="","",IF(RewardAt&lt;=0,0,ROUNDDOWN(P499/RewardAt,0)))</f>
        <v>0</v>
      </c>
      <c r="R499" s="26">
        <f>IF(B499="","",ROUND(Q499*RewardValue,2))</f>
        <v>0</v>
      </c>
      <c r="S499" s="25">
        <f>IF(B499="","",IF(RewardAt&lt;=0,"",MAX(0,RewardAt*(Q499+1)-P499)))</f>
        <v>0</v>
      </c>
      <c r="T499" s="25">
        <f>IF(B499="","",COUNTIFS(Clients!$H$5:$H$504,B499))</f>
        <v>0</v>
      </c>
      <c r="U499" s="26">
        <f>IF(B499="","",ROUND(T499*ReferralReward-IF(J499="",0,J499),2))</f>
        <v>0</v>
      </c>
      <c r="V499" s="15">
        <f>IF(B499="","",IFERROR(INDEX(Clients!$AM$5:$AM$504,MATCH(B499,Clients!$A$5:$A$504,0))&amp;"",""))</f>
        <v>0</v>
      </c>
      <c r="W499" s="25">
        <f>IF(B499="","",COUNTIFS($P$5:$P$504,"&gt;"&amp;P499)+COUNTIFS($P$5:P499,P499))</f>
        <v>0</v>
      </c>
      <c r="X499" s="39">
        <f>IF(B499="","",IF(K499="No","",IF(COUNTIF($B$5:$B$504,B499)&gt;1,"Duplicate - this client is on twice",IF(Q499&gt;0,"Action - reward ready to give",IF(U499&gt;0.004,"Action - referral credit owed",IF(V499="Lapsing","Chase - points are a reason to call",IF(S499&lt;=RewardAt*0.2,"Rebook - nearly at a reward","OK")))))))</f>
        <v>0</v>
      </c>
    </row>
    <row r="500" spans="1:24">
      <c r="A500" s="28">
        <f>IF(B500="","",LoyaltyPrefix&amp;TEXT(ROW()-4,"0000"))</f>
        <v>0</v>
      </c>
      <c r="C500" s="15">
        <f>IF(B500="","",IFERROR(INDEX(Clients!$B$5:$B$504,MATCH(B500,Clients!$A$5:$A$504,0)),"Not in Clients"))</f>
        <v>0</v>
      </c>
      <c r="M500" s="26">
        <f>IF(B500="","",ROUND(SUMIFS(Sales!$Y$5:$Y$1204,Sales!$D$5:$D$1204,B500,Sales!$B$5:$B$1204,"&gt;="&amp;IF(D500="",0,D500)),2))</f>
        <v>0</v>
      </c>
      <c r="N500" s="25">
        <f>IF(B500="","",IFERROR(INDEX(Clients!$T$5:$T$504,MATCH(B500,Clients!$A$5:$A$504,0))*1,0))</f>
        <v>0</v>
      </c>
      <c r="O500" s="25">
        <f>IF(B500="","",ROUND(M500*PointsPerUnit+IF(F500="",0,F500),0))</f>
        <v>0</v>
      </c>
      <c r="P500" s="25">
        <f>IF(B500="","",O500-IF(G500="",0,G500))</f>
        <v>0</v>
      </c>
      <c r="Q500" s="25">
        <f>IF(B500="","",IF(RewardAt&lt;=0,0,ROUNDDOWN(P500/RewardAt,0)))</f>
        <v>0</v>
      </c>
      <c r="R500" s="26">
        <f>IF(B500="","",ROUND(Q500*RewardValue,2))</f>
        <v>0</v>
      </c>
      <c r="S500" s="25">
        <f>IF(B500="","",IF(RewardAt&lt;=0,"",MAX(0,RewardAt*(Q500+1)-P500)))</f>
        <v>0</v>
      </c>
      <c r="T500" s="25">
        <f>IF(B500="","",COUNTIFS(Clients!$H$5:$H$504,B500))</f>
        <v>0</v>
      </c>
      <c r="U500" s="26">
        <f>IF(B500="","",ROUND(T500*ReferralReward-IF(J500="",0,J500),2))</f>
        <v>0</v>
      </c>
      <c r="V500" s="15">
        <f>IF(B500="","",IFERROR(INDEX(Clients!$AM$5:$AM$504,MATCH(B500,Clients!$A$5:$A$504,0))&amp;"",""))</f>
        <v>0</v>
      </c>
      <c r="W500" s="25">
        <f>IF(B500="","",COUNTIFS($P$5:$P$504,"&gt;"&amp;P500)+COUNTIFS($P$5:P500,P500))</f>
        <v>0</v>
      </c>
      <c r="X500" s="39">
        <f>IF(B500="","",IF(K500="No","",IF(COUNTIF($B$5:$B$504,B500)&gt;1,"Duplicate - this client is on twice",IF(Q500&gt;0,"Action - reward ready to give",IF(U500&gt;0.004,"Action - referral credit owed",IF(V500="Lapsing","Chase - points are a reason to call",IF(S500&lt;=RewardAt*0.2,"Rebook - nearly at a reward","OK")))))))</f>
        <v>0</v>
      </c>
    </row>
    <row r="501" spans="1:24">
      <c r="A501" s="28">
        <f>IF(B501="","",LoyaltyPrefix&amp;TEXT(ROW()-4,"0000"))</f>
        <v>0</v>
      </c>
      <c r="C501" s="15">
        <f>IF(B501="","",IFERROR(INDEX(Clients!$B$5:$B$504,MATCH(B501,Clients!$A$5:$A$504,0)),"Not in Clients"))</f>
        <v>0</v>
      </c>
      <c r="M501" s="26">
        <f>IF(B501="","",ROUND(SUMIFS(Sales!$Y$5:$Y$1204,Sales!$D$5:$D$1204,B501,Sales!$B$5:$B$1204,"&gt;="&amp;IF(D501="",0,D501)),2))</f>
        <v>0</v>
      </c>
      <c r="N501" s="25">
        <f>IF(B501="","",IFERROR(INDEX(Clients!$T$5:$T$504,MATCH(B501,Clients!$A$5:$A$504,0))*1,0))</f>
        <v>0</v>
      </c>
      <c r="O501" s="25">
        <f>IF(B501="","",ROUND(M501*PointsPerUnit+IF(F501="",0,F501),0))</f>
        <v>0</v>
      </c>
      <c r="P501" s="25">
        <f>IF(B501="","",O501-IF(G501="",0,G501))</f>
        <v>0</v>
      </c>
      <c r="Q501" s="25">
        <f>IF(B501="","",IF(RewardAt&lt;=0,0,ROUNDDOWN(P501/RewardAt,0)))</f>
        <v>0</v>
      </c>
      <c r="R501" s="26">
        <f>IF(B501="","",ROUND(Q501*RewardValue,2))</f>
        <v>0</v>
      </c>
      <c r="S501" s="25">
        <f>IF(B501="","",IF(RewardAt&lt;=0,"",MAX(0,RewardAt*(Q501+1)-P501)))</f>
        <v>0</v>
      </c>
      <c r="T501" s="25">
        <f>IF(B501="","",COUNTIFS(Clients!$H$5:$H$504,B501))</f>
        <v>0</v>
      </c>
      <c r="U501" s="26">
        <f>IF(B501="","",ROUND(T501*ReferralReward-IF(J501="",0,J501),2))</f>
        <v>0</v>
      </c>
      <c r="V501" s="15">
        <f>IF(B501="","",IFERROR(INDEX(Clients!$AM$5:$AM$504,MATCH(B501,Clients!$A$5:$A$504,0))&amp;"",""))</f>
        <v>0</v>
      </c>
      <c r="W501" s="25">
        <f>IF(B501="","",COUNTIFS($P$5:$P$504,"&gt;"&amp;P501)+COUNTIFS($P$5:P501,P501))</f>
        <v>0</v>
      </c>
      <c r="X501" s="39">
        <f>IF(B501="","",IF(K501="No","",IF(COUNTIF($B$5:$B$504,B501)&gt;1,"Duplicate - this client is on twice",IF(Q501&gt;0,"Action - reward ready to give",IF(U501&gt;0.004,"Action - referral credit owed",IF(V501="Lapsing","Chase - points are a reason to call",IF(S501&lt;=RewardAt*0.2,"Rebook - nearly at a reward","OK")))))))</f>
        <v>0</v>
      </c>
    </row>
    <row r="502" spans="1:24">
      <c r="A502" s="28">
        <f>IF(B502="","",LoyaltyPrefix&amp;TEXT(ROW()-4,"0000"))</f>
        <v>0</v>
      </c>
      <c r="C502" s="15">
        <f>IF(B502="","",IFERROR(INDEX(Clients!$B$5:$B$504,MATCH(B502,Clients!$A$5:$A$504,0)),"Not in Clients"))</f>
        <v>0</v>
      </c>
      <c r="M502" s="26">
        <f>IF(B502="","",ROUND(SUMIFS(Sales!$Y$5:$Y$1204,Sales!$D$5:$D$1204,B502,Sales!$B$5:$B$1204,"&gt;="&amp;IF(D502="",0,D502)),2))</f>
        <v>0</v>
      </c>
      <c r="N502" s="25">
        <f>IF(B502="","",IFERROR(INDEX(Clients!$T$5:$T$504,MATCH(B502,Clients!$A$5:$A$504,0))*1,0))</f>
        <v>0</v>
      </c>
      <c r="O502" s="25">
        <f>IF(B502="","",ROUND(M502*PointsPerUnit+IF(F502="",0,F502),0))</f>
        <v>0</v>
      </c>
      <c r="P502" s="25">
        <f>IF(B502="","",O502-IF(G502="",0,G502))</f>
        <v>0</v>
      </c>
      <c r="Q502" s="25">
        <f>IF(B502="","",IF(RewardAt&lt;=0,0,ROUNDDOWN(P502/RewardAt,0)))</f>
        <v>0</v>
      </c>
      <c r="R502" s="26">
        <f>IF(B502="","",ROUND(Q502*RewardValue,2))</f>
        <v>0</v>
      </c>
      <c r="S502" s="25">
        <f>IF(B502="","",IF(RewardAt&lt;=0,"",MAX(0,RewardAt*(Q502+1)-P502)))</f>
        <v>0</v>
      </c>
      <c r="T502" s="25">
        <f>IF(B502="","",COUNTIFS(Clients!$H$5:$H$504,B502))</f>
        <v>0</v>
      </c>
      <c r="U502" s="26">
        <f>IF(B502="","",ROUND(T502*ReferralReward-IF(J502="",0,J502),2))</f>
        <v>0</v>
      </c>
      <c r="V502" s="15">
        <f>IF(B502="","",IFERROR(INDEX(Clients!$AM$5:$AM$504,MATCH(B502,Clients!$A$5:$A$504,0))&amp;"",""))</f>
        <v>0</v>
      </c>
      <c r="W502" s="25">
        <f>IF(B502="","",COUNTIFS($P$5:$P$504,"&gt;"&amp;P502)+COUNTIFS($P$5:P502,P502))</f>
        <v>0</v>
      </c>
      <c r="X502" s="39">
        <f>IF(B502="","",IF(K502="No","",IF(COUNTIF($B$5:$B$504,B502)&gt;1,"Duplicate - this client is on twice",IF(Q502&gt;0,"Action - reward ready to give",IF(U502&gt;0.004,"Action - referral credit owed",IF(V502="Lapsing","Chase - points are a reason to call",IF(S502&lt;=RewardAt*0.2,"Rebook - nearly at a reward","OK")))))))</f>
        <v>0</v>
      </c>
    </row>
    <row r="503" spans="1:24">
      <c r="A503" s="28">
        <f>IF(B503="","",LoyaltyPrefix&amp;TEXT(ROW()-4,"0000"))</f>
        <v>0</v>
      </c>
      <c r="C503" s="15">
        <f>IF(B503="","",IFERROR(INDEX(Clients!$B$5:$B$504,MATCH(B503,Clients!$A$5:$A$504,0)),"Not in Clients"))</f>
        <v>0</v>
      </c>
      <c r="M503" s="26">
        <f>IF(B503="","",ROUND(SUMIFS(Sales!$Y$5:$Y$1204,Sales!$D$5:$D$1204,B503,Sales!$B$5:$B$1204,"&gt;="&amp;IF(D503="",0,D503)),2))</f>
        <v>0</v>
      </c>
      <c r="N503" s="25">
        <f>IF(B503="","",IFERROR(INDEX(Clients!$T$5:$T$504,MATCH(B503,Clients!$A$5:$A$504,0))*1,0))</f>
        <v>0</v>
      </c>
      <c r="O503" s="25">
        <f>IF(B503="","",ROUND(M503*PointsPerUnit+IF(F503="",0,F503),0))</f>
        <v>0</v>
      </c>
      <c r="P503" s="25">
        <f>IF(B503="","",O503-IF(G503="",0,G503))</f>
        <v>0</v>
      </c>
      <c r="Q503" s="25">
        <f>IF(B503="","",IF(RewardAt&lt;=0,0,ROUNDDOWN(P503/RewardAt,0)))</f>
        <v>0</v>
      </c>
      <c r="R503" s="26">
        <f>IF(B503="","",ROUND(Q503*RewardValue,2))</f>
        <v>0</v>
      </c>
      <c r="S503" s="25">
        <f>IF(B503="","",IF(RewardAt&lt;=0,"",MAX(0,RewardAt*(Q503+1)-P503)))</f>
        <v>0</v>
      </c>
      <c r="T503" s="25">
        <f>IF(B503="","",COUNTIFS(Clients!$H$5:$H$504,B503))</f>
        <v>0</v>
      </c>
      <c r="U503" s="26">
        <f>IF(B503="","",ROUND(T503*ReferralReward-IF(J503="",0,J503),2))</f>
        <v>0</v>
      </c>
      <c r="V503" s="15">
        <f>IF(B503="","",IFERROR(INDEX(Clients!$AM$5:$AM$504,MATCH(B503,Clients!$A$5:$A$504,0))&amp;"",""))</f>
        <v>0</v>
      </c>
      <c r="W503" s="25">
        <f>IF(B503="","",COUNTIFS($P$5:$P$504,"&gt;"&amp;P503)+COUNTIFS($P$5:P503,P503))</f>
        <v>0</v>
      </c>
      <c r="X503" s="39">
        <f>IF(B503="","",IF(K503="No","",IF(COUNTIF($B$5:$B$504,B503)&gt;1,"Duplicate - this client is on twice",IF(Q503&gt;0,"Action - reward ready to give",IF(U503&gt;0.004,"Action - referral credit owed",IF(V503="Lapsing","Chase - points are a reason to call",IF(S503&lt;=RewardAt*0.2,"Rebook - nearly at a reward","OK")))))))</f>
        <v>0</v>
      </c>
    </row>
    <row r="504" spans="1:24">
      <c r="A504" s="28">
        <f>IF(B504="","",LoyaltyPrefix&amp;TEXT(ROW()-4,"0000"))</f>
        <v>0</v>
      </c>
      <c r="C504" s="15">
        <f>IF(B504="","",IFERROR(INDEX(Clients!$B$5:$B$504,MATCH(B504,Clients!$A$5:$A$504,0)),"Not in Clients"))</f>
        <v>0</v>
      </c>
      <c r="M504" s="26">
        <f>IF(B504="","",ROUND(SUMIFS(Sales!$Y$5:$Y$1204,Sales!$D$5:$D$1204,B504,Sales!$B$5:$B$1204,"&gt;="&amp;IF(D504="",0,D504)),2))</f>
        <v>0</v>
      </c>
      <c r="N504" s="25">
        <f>IF(B504="","",IFERROR(INDEX(Clients!$T$5:$T$504,MATCH(B504,Clients!$A$5:$A$504,0))*1,0))</f>
        <v>0</v>
      </c>
      <c r="O504" s="25">
        <f>IF(B504="","",ROUND(M504*PointsPerUnit+IF(F504="",0,F504),0))</f>
        <v>0</v>
      </c>
      <c r="P504" s="25">
        <f>IF(B504="","",O504-IF(G504="",0,G504))</f>
        <v>0</v>
      </c>
      <c r="Q504" s="25">
        <f>IF(B504="","",IF(RewardAt&lt;=0,0,ROUNDDOWN(P504/RewardAt,0)))</f>
        <v>0</v>
      </c>
      <c r="R504" s="26">
        <f>IF(B504="","",ROUND(Q504*RewardValue,2))</f>
        <v>0</v>
      </c>
      <c r="S504" s="25">
        <f>IF(B504="","",IF(RewardAt&lt;=0,"",MAX(0,RewardAt*(Q504+1)-P504)))</f>
        <v>0</v>
      </c>
      <c r="T504" s="25">
        <f>IF(B504="","",COUNTIFS(Clients!$H$5:$H$504,B504))</f>
        <v>0</v>
      </c>
      <c r="U504" s="26">
        <f>IF(B504="","",ROUND(T504*ReferralReward-IF(J504="",0,J504),2))</f>
        <v>0</v>
      </c>
      <c r="V504" s="15">
        <f>IF(B504="","",IFERROR(INDEX(Clients!$AM$5:$AM$504,MATCH(B504,Clients!$A$5:$A$504,0))&amp;"",""))</f>
        <v>0</v>
      </c>
      <c r="W504" s="25">
        <f>IF(B504="","",COUNTIFS($P$5:$P$504,"&gt;"&amp;P504)+COUNTIFS($P$5:P504,P504))</f>
        <v>0</v>
      </c>
      <c r="X504" s="39">
        <f>IF(B504="","",IF(K504="No","",IF(COUNTIF($B$5:$B$504,B504)&gt;1,"Duplicate - this client is on twice",IF(Q504&gt;0,"Action - reward ready to give",IF(U504&gt;0.004,"Action - referral credit owed",IF(V504="Lapsing","Chase - points are a reason to call",IF(S504&lt;=RewardAt*0.2,"Rebook - nearly at a reward","OK")))))))</f>
        <v>0</v>
      </c>
    </row>
    <row r="506" spans="1:24" ht="20" customHeight="1">
      <c r="A506" s="7" t="s">
        <v>654</v>
      </c>
      <c r="B506" s="7"/>
      <c r="C506" s="7"/>
      <c r="D506" s="7"/>
      <c r="E506" s="7"/>
      <c r="F506" s="7"/>
      <c r="G506" s="7"/>
      <c r="H506" s="7"/>
      <c r="I506" s="7"/>
      <c r="J506" s="7"/>
      <c r="K506" s="7"/>
      <c r="L506" s="7"/>
      <c r="M506" s="7"/>
      <c r="N506" s="7"/>
      <c r="O506" s="7"/>
      <c r="P506" s="7"/>
      <c r="Q506" s="7"/>
      <c r="R506" s="7"/>
      <c r="S506" s="7"/>
      <c r="T506" s="7"/>
      <c r="U506" s="7"/>
      <c r="V506" s="7"/>
      <c r="W506" s="7"/>
      <c r="X506" s="7"/>
    </row>
    <row r="507" spans="1:24" ht="26" customHeight="1">
      <c r="A507" s="10" t="s">
        <v>655</v>
      </c>
      <c r="B507" s="11" t="s">
        <v>289</v>
      </c>
      <c r="C507" s="11" t="s">
        <v>646</v>
      </c>
      <c r="D507" s="11" t="s">
        <v>640</v>
      </c>
      <c r="E507" s="11" t="s">
        <v>656</v>
      </c>
      <c r="F507" s="11" t="s">
        <v>657</v>
      </c>
      <c r="G507" s="11" t="s">
        <v>658</v>
      </c>
      <c r="H507" s="11" t="s">
        <v>659</v>
      </c>
      <c r="I507" s="11" t="s">
        <v>652</v>
      </c>
    </row>
    <row r="508" spans="1:24">
      <c r="A508" s="25">
        <f>COUNTIF(Loyalty!$B$5:$B$504,"&lt;&gt;")</f>
        <v>0</v>
      </c>
      <c r="B508" s="25">
        <f>COUNTIFS(Loyalty!$K$5:$K$504,"Yes")</f>
        <v>0</v>
      </c>
      <c r="C508" s="25">
        <f>SUM(Loyalty!$O$5:$O$504)</f>
        <v>0</v>
      </c>
      <c r="D508" s="25">
        <f>SUM(Loyalty!$G$5:$G$504)</f>
        <v>0</v>
      </c>
      <c r="E508" s="25">
        <f>SUM(Loyalty!$P$5:$P$504)</f>
        <v>0</v>
      </c>
      <c r="F508" s="25">
        <f>SUM(Loyalty!$Q$5:$Q$504)</f>
        <v>0</v>
      </c>
      <c r="G508" s="26">
        <f>ROUND(SUM(Loyalty!$R$5:$R$504),2)</f>
        <v>0</v>
      </c>
      <c r="H508" s="25">
        <f>SUM(Loyalty!$T$5:$T$504)</f>
        <v>0</v>
      </c>
      <c r="I508" s="26">
        <f>ROUND(SUM(Loyalty!$U$5:$U$504),2)</f>
        <v>0</v>
      </c>
    </row>
  </sheetData>
  <sheetProtection password="EC7C" sheet="1" objects="1" scenarios="1" formatCells="0" formatColumns="0" formatRows="0" insertRows="0" insertHyperlinks="0" deleteRows="0" autoFilter="0"/>
  <autoFilter ref="A4:X504"/>
  <mergeCells count="14">
    <mergeCell ref="A1:U1"/>
    <mergeCell ref="V1:X1"/>
    <mergeCell ref="A2:X2"/>
    <mergeCell ref="A3:B3"/>
    <mergeCell ref="C3:D3"/>
    <mergeCell ref="E3:F3"/>
    <mergeCell ref="G3:H3"/>
    <mergeCell ref="I3:J3"/>
    <mergeCell ref="K3:L3"/>
    <mergeCell ref="M3:N3"/>
    <mergeCell ref="O3:P3"/>
    <mergeCell ref="Q3:R3"/>
    <mergeCell ref="S3:X3"/>
    <mergeCell ref="A506:X506"/>
  </mergeCells>
  <conditionalFormatting sqref="O5:O504">
    <cfRule type="dataBar" priority="1">
      <dataBar>
        <cfvo type="min" val="0"/>
        <cfvo type="max" val="0"/>
        <color rgb="FF9A5C86"/>
      </dataBar>
    </cfRule>
  </conditionalFormatting>
  <conditionalFormatting sqref="P5:P504">
    <cfRule type="cellIs" dxfId="1" priority="2" operator="greaterThanOrEqual">
      <formula>RewardAt</formula>
    </cfRule>
  </conditionalFormatting>
  <conditionalFormatting sqref="R5:R504">
    <cfRule type="cellIs" dxfId="0" priority="3" operator="greaterThan">
      <formula>0</formula>
    </cfRule>
  </conditionalFormatting>
  <conditionalFormatting sqref="U5:U504">
    <cfRule type="cellIs" dxfId="0" priority="4" operator="greaterThan">
      <formula>0</formula>
    </cfRule>
  </conditionalFormatting>
  <conditionalFormatting sqref="V5:V504">
    <cfRule type="containsText" dxfId="1" priority="5" operator="containsText" text="Completed">
      <formula>NOT(ISERROR(SEARCH("Completed",V5)))</formula>
    </cfRule>
    <cfRule type="containsText" dxfId="1" priority="6" operator="containsText" text="Complete">
      <formula>NOT(ISERROR(SEARCH("Complete",V5)))</formula>
    </cfRule>
    <cfRule type="containsText" dxfId="1" priority="7" operator="containsText" text="Paid">
      <formula>NOT(ISERROR(SEARCH("Paid",V5)))</formula>
    </cfRule>
    <cfRule type="containsText" dxfId="1" priority="8" operator="containsText" text="Settled">
      <formula>NOT(ISERROR(SEARCH("Settled",V5)))</formula>
    </cfRule>
    <cfRule type="containsText" dxfId="1" priority="9" operator="containsText" text="Arrived">
      <formula>NOT(ISERROR(SEARCH("Arrived",V5)))</formula>
    </cfRule>
    <cfRule type="containsText" dxfId="1" priority="10" operator="containsText" text="Active">
      <formula>NOT(ISERROR(SEARCH("Active",V5)))</formula>
    </cfRule>
    <cfRule type="containsText" dxfId="1" priority="11" operator="containsText" text="Regular">
      <formula>NOT(ISERROR(SEARCH("Regular",V5)))</formula>
    </cfRule>
    <cfRule type="containsText" dxfId="1" priority="12" operator="containsText" text="VIP">
      <formula>NOT(ISERROR(SEARCH("VIP",V5)))</formula>
    </cfRule>
    <cfRule type="containsText" dxfId="1" priority="13" operator="containsText" text="In stock">
      <formula>NOT(ISERROR(SEARCH("In stock",V5)))</formula>
    </cfRule>
    <cfRule type="containsText" dxfId="1" priority="14" operator="containsText" text="Received">
      <formula>NOT(ISERROR(SEARCH("Received",V5)))</formula>
    </cfRule>
    <cfRule type="containsText" dxfId="1" priority="15" operator="containsText" text="Approved">
      <formula>NOT(ISERROR(SEARCH("Approved",V5)))</formula>
    </cfRule>
    <cfRule type="containsText" dxfId="1" priority="16" operator="containsText" text="Yes">
      <formula>NOT(ISERROR(SEARCH("Yes",V5)))</formula>
    </cfRule>
    <cfRule type="containsText" dxfId="3" priority="17" operator="containsText" text="Booked">
      <formula>NOT(ISERROR(SEARCH("Booked",V5)))</formula>
    </cfRule>
    <cfRule type="containsText" dxfId="3" priority="18" operator="containsText" text="Confirmed">
      <formula>NOT(ISERROR(SEARCH("Confirmed",V5)))</formula>
    </cfRule>
    <cfRule type="containsText" dxfId="3" priority="19" operator="containsText" text="Scheduled">
      <formula>NOT(ISERROR(SEARCH("Scheduled",V5)))</formula>
    </cfRule>
    <cfRule type="containsText" dxfId="3" priority="20" operator="containsText" text="New">
      <formula>NOT(ISERROR(SEARCH("New",V5)))</formula>
    </cfRule>
    <cfRule type="containsText" dxfId="3" priority="21" operator="containsText" text="Ordered">
      <formula>NOT(ISERROR(SEARCH("Ordered",V5)))</formula>
    </cfRule>
    <cfRule type="containsText" dxfId="3" priority="22" operator="containsText" text="Running">
      <formula>NOT(ISERROR(SEARCH("Running",V5)))</formula>
    </cfRule>
    <cfRule type="containsText" dxfId="0" priority="23" operator="containsText" text="Part paid">
      <formula>NOT(ISERROR(SEARCH("Part paid",V5)))</formula>
    </cfRule>
    <cfRule type="containsText" dxfId="0" priority="24" operator="containsText" text="Pending">
      <formula>NOT(ISERROR(SEARCH("Pending",V5)))</formula>
    </cfRule>
    <cfRule type="containsText" dxfId="0" priority="25" operator="containsText" text="Enquiry">
      <formula>NOT(ISERROR(SEARCH("Enquiry",V5)))</formula>
    </cfRule>
    <cfRule type="containsText" dxfId="0" priority="26" operator="containsText" text="Rescheduled">
      <formula>NOT(ISERROR(SEARCH("Rescheduled",V5)))</formula>
    </cfRule>
    <cfRule type="containsText" dxfId="0" priority="27" operator="containsText" text="Low stock">
      <formula>NOT(ISERROR(SEARCH("Low stock",V5)))</formula>
    </cfRule>
    <cfRule type="containsText" dxfId="0" priority="28" operator="containsText" text="Lapsing">
      <formula>NOT(ISERROR(SEARCH("Lapsing",V5)))</formula>
    </cfRule>
    <cfRule type="containsText" dxfId="0" priority="29" operator="containsText" text="Planned">
      <formula>NOT(ISERROR(SEARCH("Planned",V5)))</formula>
    </cfRule>
    <cfRule type="containsText" dxfId="0" priority="30" operator="containsText" text="On hold">
      <formula>NOT(ISERROR(SEARCH("On hold",V5)))</formula>
    </cfRule>
    <cfRule type="containsText" dxfId="0" priority="31" operator="containsText" text="Draft">
      <formula>NOT(ISERROR(SEARCH("Draft",V5)))</formula>
    </cfRule>
    <cfRule type="containsText" dxfId="2" priority="32" operator="containsText" text="Cancelled">
      <formula>NOT(ISERROR(SEARCH("Cancelled",V5)))</formula>
    </cfRule>
    <cfRule type="containsText" dxfId="2" priority="33" operator="containsText" text="No show">
      <formula>NOT(ISERROR(SEARCH("No show",V5)))</formula>
    </cfRule>
    <cfRule type="containsText" dxfId="2" priority="34" operator="containsText" text="Refunded">
      <formula>NOT(ISERROR(SEARCH("Refunded",V5)))</formula>
    </cfRule>
    <cfRule type="containsText" dxfId="2" priority="35" operator="containsText" text="Out of stock">
      <formula>NOT(ISERROR(SEARCH("Out of stock",V5)))</formula>
    </cfRule>
    <cfRule type="containsText" dxfId="2" priority="36" operator="containsText" text="Overdue">
      <formula>NOT(ISERROR(SEARCH("Overdue",V5)))</formula>
    </cfRule>
    <cfRule type="containsText" dxfId="2" priority="37" operator="containsText" text="Written off">
      <formula>NOT(ISERROR(SEARCH("Written off",V5)))</formula>
    </cfRule>
    <cfRule type="containsText" dxfId="4" priority="38" operator="containsText" text="Inactive">
      <formula>NOT(ISERROR(SEARCH("Inactive",V5)))</formula>
    </cfRule>
    <cfRule type="containsText" dxfId="4" priority="39" operator="containsText" text="Archived">
      <formula>NOT(ISERROR(SEARCH("Archived",V5)))</formula>
    </cfRule>
    <cfRule type="containsText" dxfId="4" priority="40" operator="containsText" text="Finished">
      <formula>NOT(ISERROR(SEARCH("Finished",V5)))</formula>
    </cfRule>
    <cfRule type="containsText" dxfId="4" priority="41" operator="containsText" text="Discontinued">
      <formula>NOT(ISERROR(SEARCH("Discontinued",V5)))</formula>
    </cfRule>
  </conditionalFormatting>
  <conditionalFormatting sqref="X5:X504">
    <cfRule type="beginsWith" dxfId="1" priority="42" operator="beginsWith" text="OK">
      <formula>LEFT(X5,2)="OK"</formula>
    </cfRule>
    <cfRule type="containsText" dxfId="2" priority="43" operator="containsText" text="Overdue">
      <formula>NOT(ISERROR(SEARCH("Overdue",X5)))</formula>
    </cfRule>
    <cfRule type="containsText" dxfId="2" priority="44" operator="containsText" text="Late">
      <formula>NOT(ISERROR(SEARCH("Late",X5)))</formula>
    </cfRule>
    <cfRule type="containsText" dxfId="2" priority="45" operator="containsText" text="Missing">
      <formula>NOT(ISERROR(SEARCH("Missing",X5)))</formula>
    </cfRule>
    <cfRule type="containsText" dxfId="2" priority="46" operator="containsText" text="Clash">
      <formula>NOT(ISERROR(SEARCH("Clash",X5)))</formula>
    </cfRule>
    <cfRule type="containsText" dxfId="2" priority="47" operator="containsText" text="Conflict">
      <formula>NOT(ISERROR(SEARCH("Conflict",X5)))</formula>
    </cfRule>
    <cfRule type="containsText" dxfId="2" priority="48" operator="containsText" text="Duplicate">
      <formula>NOT(ISERROR(SEARCH("Duplicate",X5)))</formula>
    </cfRule>
    <cfRule type="containsText" dxfId="2" priority="49" operator="containsText" text="Unpaid">
      <formula>NOT(ISERROR(SEARCH("Unpaid",X5)))</formula>
    </cfRule>
    <cfRule type="containsText" dxfId="2" priority="50" operator="containsText" text="Loss">
      <formula>NOT(ISERROR(SEARCH("Loss",X5)))</formula>
    </cfRule>
    <cfRule type="containsText" dxfId="2" priority="51" operator="containsText" text="Below">
      <formula>NOT(ISERROR(SEARCH("Below",X5)))</formula>
    </cfRule>
    <cfRule type="containsText" dxfId="2" priority="52" operator="containsText" text="Out of stock">
      <formula>NOT(ISERROR(SEARCH("Out of stock",X5)))</formula>
    </cfRule>
    <cfRule type="containsText" dxfId="2" priority="53" operator="containsText" text="No show">
      <formula>NOT(ISERROR(SEARCH("No show",X5)))</formula>
    </cfRule>
    <cfRule type="containsText" dxfId="0" priority="54" operator="containsText" text="Action">
      <formula>NOT(ISERROR(SEARCH("Action",X5)))</formula>
    </cfRule>
    <cfRule type="containsText" dxfId="0" priority="55" operator="containsText" text="Due">
      <formula>NOT(ISERROR(SEARCH("Due",X5)))</formula>
    </cfRule>
    <cfRule type="containsText" dxfId="0" priority="56" operator="containsText" text="Check">
      <formula>NOT(ISERROR(SEARCH("Check",X5)))</formula>
    </cfRule>
    <cfRule type="containsText" dxfId="0" priority="57" operator="containsText" text="Chase">
      <formula>NOT(ISERROR(SEARCH("Chase",X5)))</formula>
    </cfRule>
    <cfRule type="containsText" dxfId="0" priority="58" operator="containsText" text="Assign">
      <formula>NOT(ISERROR(SEARCH("Assign",X5)))</formula>
    </cfRule>
    <cfRule type="containsText" dxfId="0" priority="59" operator="containsText" text="Confirm">
      <formula>NOT(ISERROR(SEARCH("Confirm",X5)))</formula>
    </cfRule>
    <cfRule type="containsText" dxfId="0" priority="60" operator="containsText" text="Order">
      <formula>NOT(ISERROR(SEARCH("Order",X5)))</formula>
    </cfRule>
    <cfRule type="containsText" dxfId="0" priority="61" operator="containsText" text="Rebook">
      <formula>NOT(ISERROR(SEARCH("Rebook",X5)))</formula>
    </cfRule>
    <cfRule type="containsText" dxfId="0" priority="62" operator="containsText" text="Add">
      <formula>NOT(ISERROR(SEARCH("Add",X5)))</formula>
    </cfRule>
    <cfRule type="containsText" dxfId="3" priority="63" operator="containsText" text="Today">
      <formula>NOT(ISERROR(SEARCH("Today",X5)))</formula>
    </cfRule>
    <cfRule type="containsText" dxfId="3" priority="64" operator="containsText" text="Tomorrow">
      <formula>NOT(ISERROR(SEARCH("Tomorrow",X5)))</formula>
    </cfRule>
    <cfRule type="containsText" dxfId="3" priority="65" operator="containsText" text="Upcoming">
      <formula>NOT(ISERROR(SEARCH("Upcoming",X5)))</formula>
    </cfRule>
  </conditionalFormatting>
  <dataValidations count="8">
    <dataValidation type="list" allowBlank="1" showInputMessage="1" showErrorMessage="1" promptTitle="Client ID" prompt="One row per client on the scheme." sqref="B5:B504">
      <formula1>ClientList</formula1>
    </dataValidation>
    <dataValidation type="date" allowBlank="1" showInputMessage="1" showErrorMessage="1" errorTitle="Check the date" error="Enter a real date between 2000 and 2100." sqref="D5:D504">
      <formula1>36526</formula1>
      <formula2>73415</formula2>
    </dataValidation>
    <dataValidation type="decimal" allowBlank="1" showInputMessage="1" showErrorMessage="1" errorTitle="Check the value" error="Enter a number between 0 and 1000000." promptTitle="Bonus points" prompt="Points you have handed out by hand - a birthday gift, an apology, a launch promotion." sqref="F5:F504">
      <formula1>0</formula1>
      <formula2>1000000</formula2>
    </dataValidation>
    <dataValidation type="decimal" allowBlank="1" showInputMessage="1" showErrorMessage="1" errorTitle="Check the value" error="Enter a number between 0 and 1000000." promptTitle="Points redeemed" prompt="Total points spent so far. Add to this number each time a reward is taken." sqref="G5:G504">
      <formula1>0</formula1>
      <formula2>1000000</formula2>
    </dataValidation>
    <dataValidation type="date" allowBlank="1" showInputMessage="1" showErrorMessage="1" errorTitle="Check the date" error="Enter a real date between 2000 and 2100." sqref="H5:H504">
      <formula1>36526</formula1>
      <formula2>73415</formula2>
    </dataValidation>
    <dataValidation type="list" allowBlank="1" showInputMessage="1" showErrorMessage="1" sqref="I5:I504">
      <formula1>LoyaltyRewardList</formula1>
    </dataValidation>
    <dataValidation type="decimal" allowBlank="1" showInputMessage="1" showErrorMessage="1" errorTitle="Check the value" error="Enter a number between 0 and 100000." promptTitle="Referral credit paid" prompt="What you have already given them for sending people in." sqref="J5:J504">
      <formula1>0</formula1>
      <formula2>100000</formula2>
    </dataValidation>
    <dataValidation type="list" allowBlank="1" showInputMessage="1" showErrorMessage="1" sqref="K5:K504">
      <formula1>"Yes,No"</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 ref="M3" location="Staff!A1" display="&gt; Staff"/>
    <hyperlink ref="O3" location="'Profit &amp; Loss'!A1" display="&gt; Profit"/>
    <hyperlink ref="Q3" location="Settings!A1" display="&gt; Settings"/>
  </hyperlinks>
  <pageMargins left="0.4" right="0.4" top="0.6" bottom="0.5" header="0.3" footer="0.3"/>
  <pageSetup paperSize="9" fitToHeight="0" orientation="landscape"/>
  <headerFooter>
    <oddHeader>&amp;L&amp;"Calibri,Bold"&amp;12&amp;C&amp;"Calibri,Bold"&amp;11Loyalty&amp;R&amp;"Calibri,Italic"&amp;9Salon Business Management Spreadsheet</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C08A5E"/>
    <pageSetUpPr fitToPage="1"/>
  </sheetPr>
  <dimension ref="A1:K71"/>
  <sheetViews>
    <sheetView showGridLines="0" workbookViewId="0">
      <pane ySplit="4" topLeftCell="A5" activePane="bottomLeft" state="frozen"/>
      <selection pane="bottomLeft"/>
    </sheetView>
  </sheetViews>
  <sheetFormatPr defaultRowHeight="15"/>
  <cols>
    <col min="1" max="1" width="3.7109375" customWidth="1"/>
    <col min="2" max="2" width="32.7109375" customWidth="1"/>
    <col min="3" max="11" width="15.7109375" customWidth="1"/>
    <col min="2" max="2" width="32.7109375" customWidth="1"/>
    <col min="3" max="3" width="15.7109375" customWidth="1"/>
    <col min="4" max="4" width="15.7109375" customWidth="1"/>
    <col min="5" max="5" width="15.7109375" customWidth="1"/>
    <col min="6" max="6" width="15.7109375" customWidth="1"/>
    <col min="2" max="2" width="14.7109375" customWidth="1"/>
    <col min="3" max="3" width="15.7109375" customWidth="1"/>
    <col min="4" max="4" width="15.7109375" customWidth="1"/>
    <col min="5" max="5" width="15.7109375" customWidth="1"/>
    <col min="6" max="6" width="14.7109375" customWidth="1"/>
    <col min="7" max="7" width="14.7109375" customWidth="1"/>
    <col min="8" max="8" width="14.7109375" customWidth="1"/>
    <col min="9" max="9" width="12.7109375" customWidth="1"/>
    <col min="2" max="2" width="26.7109375" customWidth="1"/>
    <col min="3" max="3" width="15.7109375" customWidth="1"/>
    <col min="4" max="4" width="14.7109375" customWidth="1"/>
    <col min="5" max="5" width="14.7109375" customWidth="1"/>
    <col min="6" max="6" width="14.7109375" customWidth="1"/>
    <col min="7" max="7" width="14.7109375" customWidth="1"/>
    <col min="8" max="8" width="15.7109375" customWidth="1"/>
    <col min="9" max="9" width="15.7109375" customWidth="1"/>
    <col min="2" max="2" width="18.7109375" customWidth="1"/>
    <col min="3" max="3" width="18.7109375" customWidth="1"/>
    <col min="4" max="4" width="14.7109375" customWidth="1"/>
    <col min="5" max="5" width="16.7109375" customWidth="1"/>
    <col min="6" max="6" width="16.7109375" customWidth="1"/>
    <col min="7" max="7" width="14.7109375" customWidth="1"/>
    <col min="8" max="8" width="16.7109375" customWidth="1"/>
  </cols>
  <sheetData>
    <row r="1" spans="1:11" ht="34" customHeight="1">
      <c r="A1" s="2" t="s">
        <v>58</v>
      </c>
      <c r="B1" s="2"/>
      <c r="C1" s="2"/>
      <c r="D1" s="2"/>
      <c r="E1" s="2"/>
      <c r="F1" s="2"/>
      <c r="G1" s="2"/>
      <c r="H1" s="2"/>
      <c r="I1" s="3" t="s">
        <v>1</v>
      </c>
      <c r="J1" s="3"/>
      <c r="K1" s="3"/>
    </row>
    <row r="2" spans="1:11" ht="18" customHeight="1">
      <c r="A2" s="4" t="s">
        <v>660</v>
      </c>
      <c r="B2" s="4"/>
      <c r="C2" s="4"/>
      <c r="D2" s="4"/>
      <c r="E2" s="4"/>
      <c r="F2" s="4"/>
      <c r="G2" s="4"/>
      <c r="H2" s="4"/>
      <c r="I2" s="4"/>
      <c r="J2" s="4"/>
      <c r="K2" s="4"/>
    </row>
    <row r="3" spans="1:11" ht="16" customHeight="1">
      <c r="A3" s="5" t="s">
        <v>3</v>
      </c>
      <c r="B3" s="5"/>
      <c r="C3" s="5" t="s">
        <v>4</v>
      </c>
      <c r="D3" s="5"/>
      <c r="E3" s="5" t="s">
        <v>5</v>
      </c>
      <c r="F3" s="5"/>
      <c r="G3" s="5" t="s">
        <v>6</v>
      </c>
      <c r="H3" s="5"/>
      <c r="I3" s="5" t="s">
        <v>7</v>
      </c>
      <c r="J3" s="5"/>
      <c r="K3" s="14" t="s">
        <v>119</v>
      </c>
    </row>
    <row r="5" spans="1:11" ht="30" customHeight="1">
      <c r="A5" s="6" t="s">
        <v>661</v>
      </c>
      <c r="B5" s="6"/>
      <c r="C5" s="6"/>
      <c r="D5" s="6"/>
      <c r="E5" s="6"/>
      <c r="F5" s="6"/>
      <c r="G5" s="6"/>
      <c r="H5" s="6"/>
      <c r="I5" s="6"/>
      <c r="J5" s="6"/>
      <c r="K5" s="6"/>
    </row>
    <row r="7" spans="1:11" ht="20" customHeight="1">
      <c r="A7" s="7" t="s">
        <v>662</v>
      </c>
      <c r="B7" s="7"/>
      <c r="C7" s="7"/>
      <c r="D7" s="7"/>
      <c r="E7" s="7"/>
      <c r="F7" s="7"/>
      <c r="G7" s="7"/>
      <c r="H7" s="7"/>
      <c r="I7" s="7"/>
      <c r="J7" s="7"/>
      <c r="K7" s="7"/>
    </row>
    <row r="8" spans="1:11" ht="26" customHeight="1">
      <c r="B8" s="10" t="s">
        <v>663</v>
      </c>
      <c r="C8" s="11" t="s">
        <v>192</v>
      </c>
      <c r="D8" s="11" t="s">
        <v>664</v>
      </c>
      <c r="E8" s="11" t="s">
        <v>665</v>
      </c>
      <c r="F8" s="11" t="s">
        <v>666</v>
      </c>
    </row>
    <row r="9" spans="1:11">
      <c r="B9" s="8" t="s">
        <v>667</v>
      </c>
      <c r="C9" s="26">
        <f>ROUND(RevenueTargetYear,2)</f>
        <v>0</v>
      </c>
      <c r="D9" s="26">
        <f>ROUND(SUMIFS(Sales!$Y$5:$Y$1204,Sales!$B$5:$B$1204,"&gt;="&amp;DATE(YEAR(TodayDate),1,1)),2)</f>
        <v>0</v>
      </c>
      <c r="E9" s="26">
        <f>D9-C9</f>
        <v>0</v>
      </c>
      <c r="F9" s="39">
        <f>IF(C9=0,"Set a target",IF(D9&gt;=C9,"On track",IF(D9&gt;=C9*0.8,"Close","Behind")))</f>
        <v>0</v>
      </c>
    </row>
    <row r="10" spans="1:11">
      <c r="B10" s="8" t="s">
        <v>668</v>
      </c>
      <c r="C10" s="26">
        <f>ROUND(ProfitTargetMonth*12,2)</f>
        <v>0</v>
      </c>
      <c r="D10" s="26">
        <f>ROUND(SUMIFS(Sales!$Y$5:$Y$1204,Sales!$B$5:$B$1204,"&gt;="&amp;DATE(YEAR(TodayDate),1,1))-SUMIFS(Sales!$AB$5:$AB$1204,Sales!$B$5:$B$1204,"&gt;="&amp;DATE(YEAR(TodayDate),1,1))-SUMIFS(Payroll!$Y$5:$Y$364,Payroll!$B$5:$B$364,"&gt;="&amp;DATE(YEAR(TodayDate),1,1))-SUMIFS(Expenses!$F$5:$F$604,Expenses!$B$5:$B$604,"&gt;="&amp;DATE(YEAR(TodayDate),1,1)),2)</f>
        <v>0</v>
      </c>
      <c r="E10" s="26">
        <f>D10-C10</f>
        <v>0</v>
      </c>
      <c r="F10" s="39">
        <f>IF(C10=0,"Set a target",IF(D10&gt;=C10,"On track",IF(D10&gt;=C10*0.8,"Close","Behind")))</f>
        <v>0</v>
      </c>
    </row>
    <row r="11" spans="1:11">
      <c r="B11" s="8" t="s">
        <v>197</v>
      </c>
      <c r="C11" s="25">
        <f>ROUND(ClientTargetYear,0)</f>
        <v>0</v>
      </c>
      <c r="D11" s="25">
        <f>COUNTIFS(Appointments!$M$5:$M$1204,"Completed",Appointments!$B$5:$B$1204,"&gt;="&amp;DATE(YEAR(TodayDate),1,1))</f>
        <v>0</v>
      </c>
      <c r="E11" s="25">
        <f>D11-C11</f>
        <v>0</v>
      </c>
      <c r="F11" s="39">
        <f>IF(C11=0,"Set a target",IF(D11&gt;=C11,"On track",IF(D11&gt;=C11*0.8,"Close","Behind")))</f>
        <v>0</v>
      </c>
    </row>
    <row r="12" spans="1:11">
      <c r="B12" s="8" t="s">
        <v>669</v>
      </c>
      <c r="C12" s="25">
        <f>ROUND(NewClientTargetYear,0)</f>
        <v>0</v>
      </c>
      <c r="D12" s="25">
        <f>COUNTIFS(Clients!$X$5:$X$504,"&gt;="&amp;DATE(YEAR(TodayDate),1,1))</f>
        <v>0</v>
      </c>
      <c r="E12" s="25">
        <f>D12-C12</f>
        <v>0</v>
      </c>
      <c r="F12" s="39">
        <f>IF(C12=0,"Set a target",IF(D12&gt;=C12,"On track",IF(D12&gt;=C12*0.8,"Close","Behind")))</f>
        <v>0</v>
      </c>
    </row>
    <row r="13" spans="1:11">
      <c r="B13" s="8" t="s">
        <v>88</v>
      </c>
      <c r="C13" s="26">
        <f>ROUND(TargetTicket,2)</f>
        <v>0</v>
      </c>
      <c r="D13" s="26">
        <f>IFERROR(ROUND(SUMIFS(Sales!$Y$5:$Y$1204,Sales!$B$5:$B$1204,"&gt;="&amp;DATE(YEAR(TodayDate),1,1))/MAX(1,COUNTIFS(Appointments!$M$5:$M$1204,"Completed",Appointments!$B$5:$B$1204,"&gt;="&amp;DATE(YEAR(TodayDate),1,1))),2),0)</f>
        <v>0</v>
      </c>
      <c r="E13" s="26">
        <f>D13-C13</f>
        <v>0</v>
      </c>
      <c r="F13" s="39">
        <f>IF(C13=0,"Set a target",IF(D13&gt;=C13,"On track",IF(D13&gt;=C13*0.8,"Close","Behind")))</f>
        <v>0</v>
      </c>
    </row>
    <row r="14" spans="1:11">
      <c r="B14" s="8" t="s">
        <v>670</v>
      </c>
      <c r="C14" s="27">
        <f>ROUND(TargetRetailShare,4)</f>
        <v>0</v>
      </c>
      <c r="D14" s="27">
        <f>IFERROR(SUMIFS(Sales!$Y$5:$Y$1204,Sales!$H$5:$H$1204,"Retail",Sales!$B$5:$B$1204,"&gt;="&amp;DATE(YEAR(TodayDate),1,1))/MAX(0.01,SUMIFS(Sales!$Y$5:$Y$1204,Sales!$B$5:$B$1204,"&gt;="&amp;DATE(YEAR(TodayDate),1,1))),0)</f>
        <v>0</v>
      </c>
      <c r="E14" s="27">
        <f>D14-C14</f>
        <v>0</v>
      </c>
      <c r="F14" s="39">
        <f>IF(C14=0,"Set a target",IF(D14&gt;=C14,"On track",IF(D14&gt;=C14*0.8,"Close","Behind")))</f>
        <v>0</v>
      </c>
    </row>
    <row r="15" spans="1:11">
      <c r="B15" s="8" t="s">
        <v>146</v>
      </c>
      <c r="C15" s="27">
        <f>ROUND(TargetRebook,4)</f>
        <v>0</v>
      </c>
      <c r="D15" s="27">
        <f>IFERROR(COUNTIFS(Appointments!$AF$5:$AF$1204,"Yes",Appointments!$B$5:$B$1204,"&gt;="&amp;DATE(YEAR(TodayDate),1,1))/MAX(1,COUNTIFS(Appointments!$M$5:$M$1204,"Completed",Appointments!$B$5:$B$1204,"&gt;="&amp;DATE(YEAR(TodayDate),1,1))),0)</f>
        <v>0</v>
      </c>
      <c r="E15" s="27">
        <f>D15-C15</f>
        <v>0</v>
      </c>
      <c r="F15" s="39">
        <f>IF(C15=0,"Set a target",IF(D15&gt;=C15,"On track",IF(D15&gt;=C15*0.8,"Close","Behind")))</f>
        <v>0</v>
      </c>
    </row>
    <row r="16" spans="1:11">
      <c r="B16" s="8" t="s">
        <v>104</v>
      </c>
      <c r="C16" s="27">
        <f>ROUND(TargetRetention,4)</f>
        <v>0</v>
      </c>
      <c r="D16" s="27">
        <f>IFERROR(COUNTIFS(Clients!$AN$5:$AN$504,"Yes")/MAX(1,COUNTIFS(Clients!$T$5:$T$504,"&gt;0")),0)</f>
        <v>0</v>
      </c>
      <c r="E16" s="27">
        <f>D16-C16</f>
        <v>0</v>
      </c>
      <c r="F16" s="39">
        <f>IF(C16=0,"Set a target",IF(D16&gt;=C16,"On track",IF(D16&gt;=C16*0.8,"Close","Behind")))</f>
        <v>0</v>
      </c>
    </row>
    <row r="17" spans="1:11">
      <c r="B17" s="8" t="s">
        <v>144</v>
      </c>
      <c r="C17" s="27">
        <f>ROUND(TargetUtilisation,4)</f>
        <v>0</v>
      </c>
      <c r="D17" s="27">
        <f>IFERROR(SUMIFS(Appointments!$X$5:$X$1204,Appointments!$M$5:$M$1204,"Completed",Appointments!$B$5:$B$1204,"&gt;="&amp;TodayDate-28)/MAX(1,ChairHoursWeek*4),0)</f>
        <v>0</v>
      </c>
      <c r="E17" s="27">
        <f>D17-C17</f>
        <v>0</v>
      </c>
      <c r="F17" s="39">
        <f>IF(C17=0,"Set a target",IF(D17&gt;=C17,"On track",IF(D17&gt;=C17*0.8,"Close","Behind")))</f>
        <v>0</v>
      </c>
    </row>
    <row r="19" spans="1:11" ht="17" customHeight="1">
      <c r="A19" s="45" t="s">
        <v>671</v>
      </c>
      <c r="B19" s="45"/>
      <c r="C19" s="45"/>
      <c r="D19" s="45"/>
      <c r="E19" s="45"/>
      <c r="F19" s="45"/>
      <c r="G19" s="45"/>
      <c r="H19" s="45"/>
      <c r="I19" s="45"/>
      <c r="J19" s="45"/>
      <c r="K19" s="45"/>
    </row>
    <row r="20" spans="1:11">
      <c r="B20" s="8" t="s">
        <v>672</v>
      </c>
      <c r="C20" s="8"/>
      <c r="D20" s="32">
        <v>4307</v>
      </c>
      <c r="E20" s="9" t="s">
        <v>673</v>
      </c>
      <c r="F20" s="9"/>
      <c r="G20" s="9"/>
      <c r="H20" s="9"/>
    </row>
    <row r="21" spans="1:11">
      <c r="B21" s="8" t="s">
        <v>674</v>
      </c>
      <c r="C21" s="8"/>
      <c r="D21" s="32">
        <v>775</v>
      </c>
    </row>
    <row r="23" spans="1:11" ht="20" customHeight="1">
      <c r="A23" s="7" t="s">
        <v>675</v>
      </c>
      <c r="B23" s="7"/>
      <c r="C23" s="7"/>
      <c r="D23" s="7"/>
      <c r="E23" s="7"/>
      <c r="F23" s="7"/>
      <c r="G23" s="7"/>
      <c r="H23" s="7"/>
      <c r="I23" s="7"/>
      <c r="J23" s="7"/>
      <c r="K23" s="7"/>
    </row>
    <row r="24" spans="1:11" ht="28" customHeight="1">
      <c r="A24" s="6" t="s">
        <v>676</v>
      </c>
      <c r="B24" s="6"/>
      <c r="C24" s="6"/>
      <c r="D24" s="6"/>
      <c r="E24" s="6"/>
      <c r="F24" s="6"/>
      <c r="G24" s="6"/>
      <c r="H24" s="6"/>
      <c r="I24" s="6"/>
      <c r="J24" s="6"/>
      <c r="K24" s="6"/>
    </row>
    <row r="26" spans="1:11" ht="26" customHeight="1">
      <c r="B26" s="10" t="s">
        <v>121</v>
      </c>
      <c r="C26" s="11" t="s">
        <v>616</v>
      </c>
      <c r="D26" s="11" t="s">
        <v>677</v>
      </c>
      <c r="E26" s="11" t="s">
        <v>665</v>
      </c>
      <c r="F26" s="11" t="s">
        <v>197</v>
      </c>
      <c r="G26" s="11" t="s">
        <v>88</v>
      </c>
      <c r="H26" s="11" t="s">
        <v>678</v>
      </c>
      <c r="I26" s="11" t="s">
        <v>679</v>
      </c>
    </row>
    <row r="27" spans="1:11">
      <c r="B27" s="15">
        <f>TEXT(DATE(YEAR(TodayDate),MONTH(TodayDate)-11,1),"mmm yy")</f>
        <v>0</v>
      </c>
      <c r="C27" s="33"/>
      <c r="D27" s="26">
        <f>ROUND(SUMIFS(Sales!$Y$5:$Y$1204,Sales!$R$5:$R$1204,TEXT(DATE(YEAR(TodayDate),MONTH(TodayDate)-11,1),"yyyy-mm")),2)</f>
        <v>0</v>
      </c>
      <c r="E27" s="26">
        <f>ROUND(D27-IF(C27="",RevenueTargetMonth,C27),2)</f>
        <v>0</v>
      </c>
      <c r="F27" s="25">
        <f>COUNTIFS(Appointments!$S$5:$S$1204,TEXT(DATE(YEAR(TodayDate),MONTH(TodayDate)-11,1),"yyyy-mm"),Appointments!$M$5:$M$1204,"Completed")</f>
        <v>0</v>
      </c>
      <c r="G27" s="26">
        <f>IFERROR(ROUND(D27/MAX(1,F27),2),"")</f>
        <v>0</v>
      </c>
      <c r="H27" s="26">
        <f>ROUND(SUMIFS(Sales!$Y$5:$Y$1204,Sales!$R$5:$R$1204,TEXT(DATE(YEAR(TodayDate),MONTH(TodayDate)-11,1),"yyyy-mm"))-SUMIFS(Sales!$AB$5:$AB$1204,Sales!$R$5:$R$1204,TEXT(DATE(YEAR(TodayDate),MONTH(TodayDate)-11,1),"yyyy-mm"))-SUMIFS(Payroll!$Y$5:$Y$364,Payroll!$Q$5:$Q$364,TEXT(DATE(YEAR(TodayDate),MONTH(TodayDate)-11,1),"yyyy-mm"))-SUMIFS(Expenses!$F$5:$F$604,Expenses!$P$5:$P$604,TEXT(DATE(YEAR(TodayDate),MONTH(TodayDate)-11,1),"yyyy-mm")),2)</f>
        <v>0</v>
      </c>
      <c r="I27" s="38">
        <f>IF(D27=0,"",IF(E27&gt;=0,"Yes","No"))</f>
        <v>0</v>
      </c>
    </row>
    <row r="28" spans="1:11">
      <c r="B28" s="15">
        <f>TEXT(DATE(YEAR(TodayDate),MONTH(TodayDate)-10,1),"mmm yy")</f>
        <v>0</v>
      </c>
      <c r="C28" s="33"/>
      <c r="D28" s="26">
        <f>ROUND(SUMIFS(Sales!$Y$5:$Y$1204,Sales!$R$5:$R$1204,TEXT(DATE(YEAR(TodayDate),MONTH(TodayDate)-10,1),"yyyy-mm")),2)</f>
        <v>0</v>
      </c>
      <c r="E28" s="26">
        <f>ROUND(D28-IF(C28="",RevenueTargetMonth,C28),2)</f>
        <v>0</v>
      </c>
      <c r="F28" s="25">
        <f>COUNTIFS(Appointments!$S$5:$S$1204,TEXT(DATE(YEAR(TodayDate),MONTH(TodayDate)-10,1),"yyyy-mm"),Appointments!$M$5:$M$1204,"Completed")</f>
        <v>0</v>
      </c>
      <c r="G28" s="26">
        <f>IFERROR(ROUND(D28/MAX(1,F28),2),"")</f>
        <v>0</v>
      </c>
      <c r="H28" s="26">
        <f>ROUND(SUMIFS(Sales!$Y$5:$Y$1204,Sales!$R$5:$R$1204,TEXT(DATE(YEAR(TodayDate),MONTH(TodayDate)-10,1),"yyyy-mm"))-SUMIFS(Sales!$AB$5:$AB$1204,Sales!$R$5:$R$1204,TEXT(DATE(YEAR(TodayDate),MONTH(TodayDate)-10,1),"yyyy-mm"))-SUMIFS(Payroll!$Y$5:$Y$364,Payroll!$Q$5:$Q$364,TEXT(DATE(YEAR(TodayDate),MONTH(TodayDate)-10,1),"yyyy-mm"))-SUMIFS(Expenses!$F$5:$F$604,Expenses!$P$5:$P$604,TEXT(DATE(YEAR(TodayDate),MONTH(TodayDate)-10,1),"yyyy-mm")),2)</f>
        <v>0</v>
      </c>
      <c r="I28" s="38">
        <f>IF(D28=0,"",IF(E28&gt;=0,"Yes","No"))</f>
        <v>0</v>
      </c>
    </row>
    <row r="29" spans="1:11">
      <c r="B29" s="15">
        <f>TEXT(DATE(YEAR(TodayDate),MONTH(TodayDate)-9,1),"mmm yy")</f>
        <v>0</v>
      </c>
      <c r="C29" s="33"/>
      <c r="D29" s="26">
        <f>ROUND(SUMIFS(Sales!$Y$5:$Y$1204,Sales!$R$5:$R$1204,TEXT(DATE(YEAR(TodayDate),MONTH(TodayDate)-9,1),"yyyy-mm")),2)</f>
        <v>0</v>
      </c>
      <c r="E29" s="26">
        <f>ROUND(D29-IF(C29="",RevenueTargetMonth,C29),2)</f>
        <v>0</v>
      </c>
      <c r="F29" s="25">
        <f>COUNTIFS(Appointments!$S$5:$S$1204,TEXT(DATE(YEAR(TodayDate),MONTH(TodayDate)-9,1),"yyyy-mm"),Appointments!$M$5:$M$1204,"Completed")</f>
        <v>0</v>
      </c>
      <c r="G29" s="26">
        <f>IFERROR(ROUND(D29/MAX(1,F29),2),"")</f>
        <v>0</v>
      </c>
      <c r="H29" s="26">
        <f>ROUND(SUMIFS(Sales!$Y$5:$Y$1204,Sales!$R$5:$R$1204,TEXT(DATE(YEAR(TodayDate),MONTH(TodayDate)-9,1),"yyyy-mm"))-SUMIFS(Sales!$AB$5:$AB$1204,Sales!$R$5:$R$1204,TEXT(DATE(YEAR(TodayDate),MONTH(TodayDate)-9,1),"yyyy-mm"))-SUMIFS(Payroll!$Y$5:$Y$364,Payroll!$Q$5:$Q$364,TEXT(DATE(YEAR(TodayDate),MONTH(TodayDate)-9,1),"yyyy-mm"))-SUMIFS(Expenses!$F$5:$F$604,Expenses!$P$5:$P$604,TEXT(DATE(YEAR(TodayDate),MONTH(TodayDate)-9,1),"yyyy-mm")),2)</f>
        <v>0</v>
      </c>
      <c r="I29" s="38">
        <f>IF(D29=0,"",IF(E29&gt;=0,"Yes","No"))</f>
        <v>0</v>
      </c>
    </row>
    <row r="30" spans="1:11">
      <c r="B30" s="15">
        <f>TEXT(DATE(YEAR(TodayDate),MONTH(TodayDate)-8,1),"mmm yy")</f>
        <v>0</v>
      </c>
      <c r="C30" s="33"/>
      <c r="D30" s="26">
        <f>ROUND(SUMIFS(Sales!$Y$5:$Y$1204,Sales!$R$5:$R$1204,TEXT(DATE(YEAR(TodayDate),MONTH(TodayDate)-8,1),"yyyy-mm")),2)</f>
        <v>0</v>
      </c>
      <c r="E30" s="26">
        <f>ROUND(D30-IF(C30="",RevenueTargetMonth,C30),2)</f>
        <v>0</v>
      </c>
      <c r="F30" s="25">
        <f>COUNTIFS(Appointments!$S$5:$S$1204,TEXT(DATE(YEAR(TodayDate),MONTH(TodayDate)-8,1),"yyyy-mm"),Appointments!$M$5:$M$1204,"Completed")</f>
        <v>0</v>
      </c>
      <c r="G30" s="26">
        <f>IFERROR(ROUND(D30/MAX(1,F30),2),"")</f>
        <v>0</v>
      </c>
      <c r="H30" s="26">
        <f>ROUND(SUMIFS(Sales!$Y$5:$Y$1204,Sales!$R$5:$R$1204,TEXT(DATE(YEAR(TodayDate),MONTH(TodayDate)-8,1),"yyyy-mm"))-SUMIFS(Sales!$AB$5:$AB$1204,Sales!$R$5:$R$1204,TEXT(DATE(YEAR(TodayDate),MONTH(TodayDate)-8,1),"yyyy-mm"))-SUMIFS(Payroll!$Y$5:$Y$364,Payroll!$Q$5:$Q$364,TEXT(DATE(YEAR(TodayDate),MONTH(TodayDate)-8,1),"yyyy-mm"))-SUMIFS(Expenses!$F$5:$F$604,Expenses!$P$5:$P$604,TEXT(DATE(YEAR(TodayDate),MONTH(TodayDate)-8,1),"yyyy-mm")),2)</f>
        <v>0</v>
      </c>
      <c r="I30" s="38">
        <f>IF(D30=0,"",IF(E30&gt;=0,"Yes","No"))</f>
        <v>0</v>
      </c>
    </row>
    <row r="31" spans="1:11">
      <c r="B31" s="15">
        <f>TEXT(DATE(YEAR(TodayDate),MONTH(TodayDate)-7,1),"mmm yy")</f>
        <v>0</v>
      </c>
      <c r="C31" s="33"/>
      <c r="D31" s="26">
        <f>ROUND(SUMIFS(Sales!$Y$5:$Y$1204,Sales!$R$5:$R$1204,TEXT(DATE(YEAR(TodayDate),MONTH(TodayDate)-7,1),"yyyy-mm")),2)</f>
        <v>0</v>
      </c>
      <c r="E31" s="26">
        <f>ROUND(D31-IF(C31="",RevenueTargetMonth,C31),2)</f>
        <v>0</v>
      </c>
      <c r="F31" s="25">
        <f>COUNTIFS(Appointments!$S$5:$S$1204,TEXT(DATE(YEAR(TodayDate),MONTH(TodayDate)-7,1),"yyyy-mm"),Appointments!$M$5:$M$1204,"Completed")</f>
        <v>0</v>
      </c>
      <c r="G31" s="26">
        <f>IFERROR(ROUND(D31/MAX(1,F31),2),"")</f>
        <v>0</v>
      </c>
      <c r="H31" s="26">
        <f>ROUND(SUMIFS(Sales!$Y$5:$Y$1204,Sales!$R$5:$R$1204,TEXT(DATE(YEAR(TodayDate),MONTH(TodayDate)-7,1),"yyyy-mm"))-SUMIFS(Sales!$AB$5:$AB$1204,Sales!$R$5:$R$1204,TEXT(DATE(YEAR(TodayDate),MONTH(TodayDate)-7,1),"yyyy-mm"))-SUMIFS(Payroll!$Y$5:$Y$364,Payroll!$Q$5:$Q$364,TEXT(DATE(YEAR(TodayDate),MONTH(TodayDate)-7,1),"yyyy-mm"))-SUMIFS(Expenses!$F$5:$F$604,Expenses!$P$5:$P$604,TEXT(DATE(YEAR(TodayDate),MONTH(TodayDate)-7,1),"yyyy-mm")),2)</f>
        <v>0</v>
      </c>
      <c r="I31" s="38">
        <f>IF(D31=0,"",IF(E31&gt;=0,"Yes","No"))</f>
        <v>0</v>
      </c>
    </row>
    <row r="32" spans="1:11">
      <c r="B32" s="15">
        <f>TEXT(DATE(YEAR(TodayDate),MONTH(TodayDate)-6,1),"mmm yy")</f>
        <v>0</v>
      </c>
      <c r="C32" s="33"/>
      <c r="D32" s="26">
        <f>ROUND(SUMIFS(Sales!$Y$5:$Y$1204,Sales!$R$5:$R$1204,TEXT(DATE(YEAR(TodayDate),MONTH(TodayDate)-6,1),"yyyy-mm")),2)</f>
        <v>0</v>
      </c>
      <c r="E32" s="26">
        <f>ROUND(D32-IF(C32="",RevenueTargetMonth,C32),2)</f>
        <v>0</v>
      </c>
      <c r="F32" s="25">
        <f>COUNTIFS(Appointments!$S$5:$S$1204,TEXT(DATE(YEAR(TodayDate),MONTH(TodayDate)-6,1),"yyyy-mm"),Appointments!$M$5:$M$1204,"Completed")</f>
        <v>0</v>
      </c>
      <c r="G32" s="26">
        <f>IFERROR(ROUND(D32/MAX(1,F32),2),"")</f>
        <v>0</v>
      </c>
      <c r="H32" s="26">
        <f>ROUND(SUMIFS(Sales!$Y$5:$Y$1204,Sales!$R$5:$R$1204,TEXT(DATE(YEAR(TodayDate),MONTH(TodayDate)-6,1),"yyyy-mm"))-SUMIFS(Sales!$AB$5:$AB$1204,Sales!$R$5:$R$1204,TEXT(DATE(YEAR(TodayDate),MONTH(TodayDate)-6,1),"yyyy-mm"))-SUMIFS(Payroll!$Y$5:$Y$364,Payroll!$Q$5:$Q$364,TEXT(DATE(YEAR(TodayDate),MONTH(TodayDate)-6,1),"yyyy-mm"))-SUMIFS(Expenses!$F$5:$F$604,Expenses!$P$5:$P$604,TEXT(DATE(YEAR(TodayDate),MONTH(TodayDate)-6,1),"yyyy-mm")),2)</f>
        <v>0</v>
      </c>
      <c r="I32" s="38">
        <f>IF(D32=0,"",IF(E32&gt;=0,"Yes","No"))</f>
        <v>0</v>
      </c>
    </row>
    <row r="33" spans="1:11">
      <c r="B33" s="15">
        <f>TEXT(DATE(YEAR(TodayDate),MONTH(TodayDate)-5,1),"mmm yy")</f>
        <v>0</v>
      </c>
      <c r="C33" s="33"/>
      <c r="D33" s="26">
        <f>ROUND(SUMIFS(Sales!$Y$5:$Y$1204,Sales!$R$5:$R$1204,TEXT(DATE(YEAR(TodayDate),MONTH(TodayDate)-5,1),"yyyy-mm")),2)</f>
        <v>0</v>
      </c>
      <c r="E33" s="26">
        <f>ROUND(D33-IF(C33="",RevenueTargetMonth,C33),2)</f>
        <v>0</v>
      </c>
      <c r="F33" s="25">
        <f>COUNTIFS(Appointments!$S$5:$S$1204,TEXT(DATE(YEAR(TodayDate),MONTH(TodayDate)-5,1),"yyyy-mm"),Appointments!$M$5:$M$1204,"Completed")</f>
        <v>0</v>
      </c>
      <c r="G33" s="26">
        <f>IFERROR(ROUND(D33/MAX(1,F33),2),"")</f>
        <v>0</v>
      </c>
      <c r="H33" s="26">
        <f>ROUND(SUMIFS(Sales!$Y$5:$Y$1204,Sales!$R$5:$R$1204,TEXT(DATE(YEAR(TodayDate),MONTH(TodayDate)-5,1),"yyyy-mm"))-SUMIFS(Sales!$AB$5:$AB$1204,Sales!$R$5:$R$1204,TEXT(DATE(YEAR(TodayDate),MONTH(TodayDate)-5,1),"yyyy-mm"))-SUMIFS(Payroll!$Y$5:$Y$364,Payroll!$Q$5:$Q$364,TEXT(DATE(YEAR(TodayDate),MONTH(TodayDate)-5,1),"yyyy-mm"))-SUMIFS(Expenses!$F$5:$F$604,Expenses!$P$5:$P$604,TEXT(DATE(YEAR(TodayDate),MONTH(TodayDate)-5,1),"yyyy-mm")),2)</f>
        <v>0</v>
      </c>
      <c r="I33" s="38">
        <f>IF(D33=0,"",IF(E33&gt;=0,"Yes","No"))</f>
        <v>0</v>
      </c>
    </row>
    <row r="34" spans="1:11">
      <c r="B34" s="15">
        <f>TEXT(DATE(YEAR(TodayDate),MONTH(TodayDate)-4,1),"mmm yy")</f>
        <v>0</v>
      </c>
      <c r="C34" s="33"/>
      <c r="D34" s="26">
        <f>ROUND(SUMIFS(Sales!$Y$5:$Y$1204,Sales!$R$5:$R$1204,TEXT(DATE(YEAR(TodayDate),MONTH(TodayDate)-4,1),"yyyy-mm")),2)</f>
        <v>0</v>
      </c>
      <c r="E34" s="26">
        <f>ROUND(D34-IF(C34="",RevenueTargetMonth,C34),2)</f>
        <v>0</v>
      </c>
      <c r="F34" s="25">
        <f>COUNTIFS(Appointments!$S$5:$S$1204,TEXT(DATE(YEAR(TodayDate),MONTH(TodayDate)-4,1),"yyyy-mm"),Appointments!$M$5:$M$1204,"Completed")</f>
        <v>0</v>
      </c>
      <c r="G34" s="26">
        <f>IFERROR(ROUND(D34/MAX(1,F34),2),"")</f>
        <v>0</v>
      </c>
      <c r="H34" s="26">
        <f>ROUND(SUMIFS(Sales!$Y$5:$Y$1204,Sales!$R$5:$R$1204,TEXT(DATE(YEAR(TodayDate),MONTH(TodayDate)-4,1),"yyyy-mm"))-SUMIFS(Sales!$AB$5:$AB$1204,Sales!$R$5:$R$1204,TEXT(DATE(YEAR(TodayDate),MONTH(TodayDate)-4,1),"yyyy-mm"))-SUMIFS(Payroll!$Y$5:$Y$364,Payroll!$Q$5:$Q$364,TEXT(DATE(YEAR(TodayDate),MONTH(TodayDate)-4,1),"yyyy-mm"))-SUMIFS(Expenses!$F$5:$F$604,Expenses!$P$5:$P$604,TEXT(DATE(YEAR(TodayDate),MONTH(TodayDate)-4,1),"yyyy-mm")),2)</f>
        <v>0</v>
      </c>
      <c r="I34" s="38">
        <f>IF(D34=0,"",IF(E34&gt;=0,"Yes","No"))</f>
        <v>0</v>
      </c>
    </row>
    <row r="35" spans="1:11">
      <c r="B35" s="15">
        <f>TEXT(DATE(YEAR(TodayDate),MONTH(TodayDate)-3,1),"mmm yy")</f>
        <v>0</v>
      </c>
      <c r="C35" s="33"/>
      <c r="D35" s="26">
        <f>ROUND(SUMIFS(Sales!$Y$5:$Y$1204,Sales!$R$5:$R$1204,TEXT(DATE(YEAR(TodayDate),MONTH(TodayDate)-3,1),"yyyy-mm")),2)</f>
        <v>0</v>
      </c>
      <c r="E35" s="26">
        <f>ROUND(D35-IF(C35="",RevenueTargetMonth,C35),2)</f>
        <v>0</v>
      </c>
      <c r="F35" s="25">
        <f>COUNTIFS(Appointments!$S$5:$S$1204,TEXT(DATE(YEAR(TodayDate),MONTH(TodayDate)-3,1),"yyyy-mm"),Appointments!$M$5:$M$1204,"Completed")</f>
        <v>0</v>
      </c>
      <c r="G35" s="26">
        <f>IFERROR(ROUND(D35/MAX(1,F35),2),"")</f>
        <v>0</v>
      </c>
      <c r="H35" s="26">
        <f>ROUND(SUMIFS(Sales!$Y$5:$Y$1204,Sales!$R$5:$R$1204,TEXT(DATE(YEAR(TodayDate),MONTH(TodayDate)-3,1),"yyyy-mm"))-SUMIFS(Sales!$AB$5:$AB$1204,Sales!$R$5:$R$1204,TEXT(DATE(YEAR(TodayDate),MONTH(TodayDate)-3,1),"yyyy-mm"))-SUMIFS(Payroll!$Y$5:$Y$364,Payroll!$Q$5:$Q$364,TEXT(DATE(YEAR(TodayDate),MONTH(TodayDate)-3,1),"yyyy-mm"))-SUMIFS(Expenses!$F$5:$F$604,Expenses!$P$5:$P$604,TEXT(DATE(YEAR(TodayDate),MONTH(TodayDate)-3,1),"yyyy-mm")),2)</f>
        <v>0</v>
      </c>
      <c r="I35" s="38">
        <f>IF(D35=0,"",IF(E35&gt;=0,"Yes","No"))</f>
        <v>0</v>
      </c>
    </row>
    <row r="36" spans="1:11">
      <c r="B36" s="15">
        <f>TEXT(DATE(YEAR(TodayDate),MONTH(TodayDate)-2,1),"mmm yy")</f>
        <v>0</v>
      </c>
      <c r="C36" s="33"/>
      <c r="D36" s="26">
        <f>ROUND(SUMIFS(Sales!$Y$5:$Y$1204,Sales!$R$5:$R$1204,TEXT(DATE(YEAR(TodayDate),MONTH(TodayDate)-2,1),"yyyy-mm")),2)</f>
        <v>0</v>
      </c>
      <c r="E36" s="26">
        <f>ROUND(D36-IF(C36="",RevenueTargetMonth,C36),2)</f>
        <v>0</v>
      </c>
      <c r="F36" s="25">
        <f>COUNTIFS(Appointments!$S$5:$S$1204,TEXT(DATE(YEAR(TodayDate),MONTH(TodayDate)-2,1),"yyyy-mm"),Appointments!$M$5:$M$1204,"Completed")</f>
        <v>0</v>
      </c>
      <c r="G36" s="26">
        <f>IFERROR(ROUND(D36/MAX(1,F36),2),"")</f>
        <v>0</v>
      </c>
      <c r="H36" s="26">
        <f>ROUND(SUMIFS(Sales!$Y$5:$Y$1204,Sales!$R$5:$R$1204,TEXT(DATE(YEAR(TodayDate),MONTH(TodayDate)-2,1),"yyyy-mm"))-SUMIFS(Sales!$AB$5:$AB$1204,Sales!$R$5:$R$1204,TEXT(DATE(YEAR(TodayDate),MONTH(TodayDate)-2,1),"yyyy-mm"))-SUMIFS(Payroll!$Y$5:$Y$364,Payroll!$Q$5:$Q$364,TEXT(DATE(YEAR(TodayDate),MONTH(TodayDate)-2,1),"yyyy-mm"))-SUMIFS(Expenses!$F$5:$F$604,Expenses!$P$5:$P$604,TEXT(DATE(YEAR(TodayDate),MONTH(TodayDate)-2,1),"yyyy-mm")),2)</f>
        <v>0</v>
      </c>
      <c r="I36" s="38">
        <f>IF(D36=0,"",IF(E36&gt;=0,"Yes","No"))</f>
        <v>0</v>
      </c>
    </row>
    <row r="37" spans="1:11">
      <c r="B37" s="15">
        <f>TEXT(DATE(YEAR(TodayDate),MONTH(TodayDate)-1,1),"mmm yy")</f>
        <v>0</v>
      </c>
      <c r="C37" s="33"/>
      <c r="D37" s="26">
        <f>ROUND(SUMIFS(Sales!$Y$5:$Y$1204,Sales!$R$5:$R$1204,TEXT(DATE(YEAR(TodayDate),MONTH(TodayDate)-1,1),"yyyy-mm")),2)</f>
        <v>0</v>
      </c>
      <c r="E37" s="26">
        <f>ROUND(D37-IF(C37="",RevenueTargetMonth,C37),2)</f>
        <v>0</v>
      </c>
      <c r="F37" s="25">
        <f>COUNTIFS(Appointments!$S$5:$S$1204,TEXT(DATE(YEAR(TodayDate),MONTH(TodayDate)-1,1),"yyyy-mm"),Appointments!$M$5:$M$1204,"Completed")</f>
        <v>0</v>
      </c>
      <c r="G37" s="26">
        <f>IFERROR(ROUND(D37/MAX(1,F37),2),"")</f>
        <v>0</v>
      </c>
      <c r="H37" s="26">
        <f>ROUND(SUMIFS(Sales!$Y$5:$Y$1204,Sales!$R$5:$R$1204,TEXT(DATE(YEAR(TodayDate),MONTH(TodayDate)-1,1),"yyyy-mm"))-SUMIFS(Sales!$AB$5:$AB$1204,Sales!$R$5:$R$1204,TEXT(DATE(YEAR(TodayDate),MONTH(TodayDate)-1,1),"yyyy-mm"))-SUMIFS(Payroll!$Y$5:$Y$364,Payroll!$Q$5:$Q$364,TEXT(DATE(YEAR(TodayDate),MONTH(TodayDate)-1,1),"yyyy-mm"))-SUMIFS(Expenses!$F$5:$F$604,Expenses!$P$5:$P$604,TEXT(DATE(YEAR(TodayDate),MONTH(TodayDate)-1,1),"yyyy-mm")),2)</f>
        <v>0</v>
      </c>
      <c r="I37" s="38">
        <f>IF(D37=0,"",IF(E37&gt;=0,"Yes","No"))</f>
        <v>0</v>
      </c>
    </row>
    <row r="38" spans="1:11">
      <c r="B38" s="15">
        <f>TEXT(DATE(YEAR(TodayDate),MONTH(TodayDate)-0,1),"mmm yy")</f>
        <v>0</v>
      </c>
      <c r="C38" s="33"/>
      <c r="D38" s="26">
        <f>ROUND(SUMIFS(Sales!$Y$5:$Y$1204,Sales!$R$5:$R$1204,TEXT(DATE(YEAR(TodayDate),MONTH(TodayDate)-0,1),"yyyy-mm")),2)</f>
        <v>0</v>
      </c>
      <c r="E38" s="26">
        <f>ROUND(D38-IF(C38="",RevenueTargetMonth,C38),2)</f>
        <v>0</v>
      </c>
      <c r="F38" s="25">
        <f>COUNTIFS(Appointments!$S$5:$S$1204,TEXT(DATE(YEAR(TodayDate),MONTH(TodayDate)-0,1),"yyyy-mm"),Appointments!$M$5:$M$1204,"Completed")</f>
        <v>0</v>
      </c>
      <c r="G38" s="26">
        <f>IFERROR(ROUND(D38/MAX(1,F38),2),"")</f>
        <v>0</v>
      </c>
      <c r="H38" s="26">
        <f>ROUND(SUMIFS(Sales!$Y$5:$Y$1204,Sales!$R$5:$R$1204,TEXT(DATE(YEAR(TodayDate),MONTH(TodayDate)-0,1),"yyyy-mm"))-SUMIFS(Sales!$AB$5:$AB$1204,Sales!$R$5:$R$1204,TEXT(DATE(YEAR(TodayDate),MONTH(TodayDate)-0,1),"yyyy-mm"))-SUMIFS(Payroll!$Y$5:$Y$364,Payroll!$Q$5:$Q$364,TEXT(DATE(YEAR(TodayDate),MONTH(TodayDate)-0,1),"yyyy-mm"))-SUMIFS(Expenses!$F$5:$F$604,Expenses!$P$5:$P$604,TEXT(DATE(YEAR(TodayDate),MONTH(TodayDate)-0,1),"yyyy-mm")),2)</f>
        <v>0</v>
      </c>
      <c r="I38" s="38">
        <f>IF(D38=0,"",IF(E38&gt;=0,"Yes","No"))</f>
        <v>0</v>
      </c>
    </row>
    <row r="39" spans="1:11">
      <c r="B39" s="8" t="s">
        <v>680</v>
      </c>
      <c r="C39" s="26">
        <f>ROUND(SUM(C27:C38),2)</f>
        <v>0</v>
      </c>
      <c r="D39" s="26">
        <f>ROUND(SUM(D27:D38),2)</f>
        <v>0</v>
      </c>
      <c r="E39" s="26">
        <f>ROUND(SUM(E27:E38),2)</f>
        <v>0</v>
      </c>
      <c r="F39" s="25">
        <f>ROUND(SUM(F27:F38),2)</f>
        <v>0</v>
      </c>
      <c r="G39" s="26">
        <f>IF(F39=0,"",ROUND(D39/F39,2))</f>
        <v>0</v>
      </c>
      <c r="H39" s="26">
        <f>ROUND(SUM(H27:H38),2)</f>
        <v>0</v>
      </c>
    </row>
    <row r="41" spans="1:11" ht="20" customHeight="1">
      <c r="A41" s="7" t="s">
        <v>681</v>
      </c>
      <c r="B41" s="7"/>
      <c r="C41" s="7"/>
      <c r="D41" s="7"/>
      <c r="E41" s="7"/>
      <c r="F41" s="7"/>
      <c r="G41" s="7"/>
      <c r="H41" s="7"/>
      <c r="I41" s="7"/>
      <c r="J41" s="7"/>
      <c r="K41" s="7"/>
    </row>
    <row r="42" spans="1:11" ht="30" customHeight="1">
      <c r="A42" s="6" t="s">
        <v>682</v>
      </c>
      <c r="B42" s="6"/>
      <c r="C42" s="6"/>
      <c r="D42" s="6"/>
      <c r="E42" s="6"/>
      <c r="F42" s="6"/>
      <c r="G42" s="6"/>
      <c r="H42" s="6"/>
      <c r="I42" s="6"/>
      <c r="J42" s="6"/>
      <c r="K42" s="6"/>
    </row>
    <row r="44" spans="1:11" ht="26" customHeight="1">
      <c r="B44" s="10" t="s">
        <v>300</v>
      </c>
      <c r="C44" s="11" t="s">
        <v>683</v>
      </c>
      <c r="D44" s="11" t="s">
        <v>482</v>
      </c>
      <c r="E44" s="11" t="s">
        <v>684</v>
      </c>
      <c r="F44" s="11" t="s">
        <v>123</v>
      </c>
      <c r="G44" s="11" t="s">
        <v>685</v>
      </c>
      <c r="H44" s="11" t="s">
        <v>686</v>
      </c>
      <c r="I44" s="11" t="s">
        <v>687</v>
      </c>
    </row>
    <row r="45" spans="1:11">
      <c r="B45" s="34" t="s">
        <v>511</v>
      </c>
      <c r="C45" s="33"/>
      <c r="D45" s="26">
        <f>ROUND(SUMIFS(Expenses!$F$5:$F$604,Expenses!$P$5:$P$604,ThisMonthKey,Expenses!$C$5:$C$604,$B$45),2)</f>
        <v>0</v>
      </c>
      <c r="E45" s="26">
        <f>ROUND(D45-IF(C45="",0,C45),2)</f>
        <v>0</v>
      </c>
      <c r="F45" s="26">
        <f>ROUND(SUMIFS(Expenses!$F$5:$F$604,Expenses!$P$5:$P$604,TEXT(DATE(YEAR(TodayDate),MONTH(TodayDate)-1,1),"yyyy-mm"),Expenses!$C$5:$C$604,$B$45),2)</f>
        <v>0</v>
      </c>
      <c r="G45" s="26">
        <f>ROUND(SUMIFS(Expenses!$F$5:$F$604,Expenses!$B$5:$B$604,"&gt;="&amp;DATE(YEAR(TodayDate),1,1),Expenses!$C$5:$C$604,$B$45),2)</f>
        <v>0</v>
      </c>
      <c r="H45" s="26">
        <f>ROUND(IF(C45="",0,C45)*MONTH(TodayDate),2)</f>
        <v>0</v>
      </c>
      <c r="I45" s="26">
        <f>ROUND(G45-H45,2)</f>
        <v>0</v>
      </c>
    </row>
    <row r="46" spans="1:11">
      <c r="B46" s="34" t="s">
        <v>512</v>
      </c>
      <c r="C46" s="33"/>
      <c r="D46" s="26">
        <f>ROUND(SUMIFS(Expenses!$F$5:$F$604,Expenses!$P$5:$P$604,ThisMonthKey,Expenses!$C$5:$C$604,$B$46),2)</f>
        <v>0</v>
      </c>
      <c r="E46" s="26">
        <f>ROUND(D46-IF(C46="",0,C46),2)</f>
        <v>0</v>
      </c>
      <c r="F46" s="26">
        <f>ROUND(SUMIFS(Expenses!$F$5:$F$604,Expenses!$P$5:$P$604,TEXT(DATE(YEAR(TodayDate),MONTH(TodayDate)-1,1),"yyyy-mm"),Expenses!$C$5:$C$604,$B$46),2)</f>
        <v>0</v>
      </c>
      <c r="G46" s="26">
        <f>ROUND(SUMIFS(Expenses!$F$5:$F$604,Expenses!$B$5:$B$604,"&gt;="&amp;DATE(YEAR(TodayDate),1,1),Expenses!$C$5:$C$604,$B$46),2)</f>
        <v>0</v>
      </c>
      <c r="H46" s="26">
        <f>ROUND(IF(C46="",0,C46)*MONTH(TodayDate),2)</f>
        <v>0</v>
      </c>
      <c r="I46" s="26">
        <f>ROUND(G46-H46,2)</f>
        <v>0</v>
      </c>
    </row>
    <row r="47" spans="1:11">
      <c r="B47" s="34" t="s">
        <v>513</v>
      </c>
      <c r="C47" s="33"/>
      <c r="D47" s="26">
        <f>ROUND(SUMIFS(Expenses!$F$5:$F$604,Expenses!$P$5:$P$604,ThisMonthKey,Expenses!$C$5:$C$604,$B$47),2)</f>
        <v>0</v>
      </c>
      <c r="E47" s="26">
        <f>ROUND(D47-IF(C47="",0,C47),2)</f>
        <v>0</v>
      </c>
      <c r="F47" s="26">
        <f>ROUND(SUMIFS(Expenses!$F$5:$F$604,Expenses!$P$5:$P$604,TEXT(DATE(YEAR(TodayDate),MONTH(TodayDate)-1,1),"yyyy-mm"),Expenses!$C$5:$C$604,$B$47),2)</f>
        <v>0</v>
      </c>
      <c r="G47" s="26">
        <f>ROUND(SUMIFS(Expenses!$F$5:$F$604,Expenses!$B$5:$B$604,"&gt;="&amp;DATE(YEAR(TodayDate),1,1),Expenses!$C$5:$C$604,$B$47),2)</f>
        <v>0</v>
      </c>
      <c r="H47" s="26">
        <f>ROUND(IF(C47="",0,C47)*MONTH(TodayDate),2)</f>
        <v>0</v>
      </c>
      <c r="I47" s="26">
        <f>ROUND(G47-H47,2)</f>
        <v>0</v>
      </c>
    </row>
    <row r="48" spans="1:11">
      <c r="B48" s="34" t="s">
        <v>514</v>
      </c>
      <c r="C48" s="33"/>
      <c r="D48" s="26">
        <f>ROUND(SUMIFS(Expenses!$F$5:$F$604,Expenses!$P$5:$P$604,ThisMonthKey,Expenses!$C$5:$C$604,$B$48),2)</f>
        <v>0</v>
      </c>
      <c r="E48" s="26">
        <f>ROUND(D48-IF(C48="",0,C48),2)</f>
        <v>0</v>
      </c>
      <c r="F48" s="26">
        <f>ROUND(SUMIFS(Expenses!$F$5:$F$604,Expenses!$P$5:$P$604,TEXT(DATE(YEAR(TodayDate),MONTH(TodayDate)-1,1),"yyyy-mm"),Expenses!$C$5:$C$604,$B$48),2)</f>
        <v>0</v>
      </c>
      <c r="G48" s="26">
        <f>ROUND(SUMIFS(Expenses!$F$5:$F$604,Expenses!$B$5:$B$604,"&gt;="&amp;DATE(YEAR(TodayDate),1,1),Expenses!$C$5:$C$604,$B$48),2)</f>
        <v>0</v>
      </c>
      <c r="H48" s="26">
        <f>ROUND(IF(C48="",0,C48)*MONTH(TodayDate),2)</f>
        <v>0</v>
      </c>
      <c r="I48" s="26">
        <f>ROUND(G48-H48,2)</f>
        <v>0</v>
      </c>
    </row>
    <row r="49" spans="2:9">
      <c r="B49" s="34" t="s">
        <v>515</v>
      </c>
      <c r="C49" s="33"/>
      <c r="D49" s="26">
        <f>ROUND(SUMIFS(Expenses!$F$5:$F$604,Expenses!$P$5:$P$604,ThisMonthKey,Expenses!$C$5:$C$604,$B$49),2)</f>
        <v>0</v>
      </c>
      <c r="E49" s="26">
        <f>ROUND(D49-IF(C49="",0,C49),2)</f>
        <v>0</v>
      </c>
      <c r="F49" s="26">
        <f>ROUND(SUMIFS(Expenses!$F$5:$F$604,Expenses!$P$5:$P$604,TEXT(DATE(YEAR(TodayDate),MONTH(TodayDate)-1,1),"yyyy-mm"),Expenses!$C$5:$C$604,$B$49),2)</f>
        <v>0</v>
      </c>
      <c r="G49" s="26">
        <f>ROUND(SUMIFS(Expenses!$F$5:$F$604,Expenses!$B$5:$B$604,"&gt;="&amp;DATE(YEAR(TodayDate),1,1),Expenses!$C$5:$C$604,$B$49),2)</f>
        <v>0</v>
      </c>
      <c r="H49" s="26">
        <f>ROUND(IF(C49="",0,C49)*MONTH(TodayDate),2)</f>
        <v>0</v>
      </c>
      <c r="I49" s="26">
        <f>ROUND(G49-H49,2)</f>
        <v>0</v>
      </c>
    </row>
    <row r="50" spans="2:9">
      <c r="B50" s="34" t="s">
        <v>516</v>
      </c>
      <c r="C50" s="33"/>
      <c r="D50" s="26">
        <f>ROUND(SUMIFS(Expenses!$F$5:$F$604,Expenses!$P$5:$P$604,ThisMonthKey,Expenses!$C$5:$C$604,$B$50),2)</f>
        <v>0</v>
      </c>
      <c r="E50" s="26">
        <f>ROUND(D50-IF(C50="",0,C50),2)</f>
        <v>0</v>
      </c>
      <c r="F50" s="26">
        <f>ROUND(SUMIFS(Expenses!$F$5:$F$604,Expenses!$P$5:$P$604,TEXT(DATE(YEAR(TodayDate),MONTH(TodayDate)-1,1),"yyyy-mm"),Expenses!$C$5:$C$604,$B$50),2)</f>
        <v>0</v>
      </c>
      <c r="G50" s="26">
        <f>ROUND(SUMIFS(Expenses!$F$5:$F$604,Expenses!$B$5:$B$604,"&gt;="&amp;DATE(YEAR(TodayDate),1,1),Expenses!$C$5:$C$604,$B$50),2)</f>
        <v>0</v>
      </c>
      <c r="H50" s="26">
        <f>ROUND(IF(C50="",0,C50)*MONTH(TodayDate),2)</f>
        <v>0</v>
      </c>
      <c r="I50" s="26">
        <f>ROUND(G50-H50,2)</f>
        <v>0</v>
      </c>
    </row>
    <row r="51" spans="2:9">
      <c r="B51" s="34" t="s">
        <v>517</v>
      </c>
      <c r="C51" s="33"/>
      <c r="D51" s="26">
        <f>ROUND(SUMIFS(Expenses!$F$5:$F$604,Expenses!$P$5:$P$604,ThisMonthKey,Expenses!$C$5:$C$604,$B$51),2)</f>
        <v>0</v>
      </c>
      <c r="E51" s="26">
        <f>ROUND(D51-IF(C51="",0,C51),2)</f>
        <v>0</v>
      </c>
      <c r="F51" s="26">
        <f>ROUND(SUMIFS(Expenses!$F$5:$F$604,Expenses!$P$5:$P$604,TEXT(DATE(YEAR(TodayDate),MONTH(TodayDate)-1,1),"yyyy-mm"),Expenses!$C$5:$C$604,$B$51),2)</f>
        <v>0</v>
      </c>
      <c r="G51" s="26">
        <f>ROUND(SUMIFS(Expenses!$F$5:$F$604,Expenses!$B$5:$B$604,"&gt;="&amp;DATE(YEAR(TodayDate),1,1),Expenses!$C$5:$C$604,$B$51),2)</f>
        <v>0</v>
      </c>
      <c r="H51" s="26">
        <f>ROUND(IF(C51="",0,C51)*MONTH(TodayDate),2)</f>
        <v>0</v>
      </c>
      <c r="I51" s="26">
        <f>ROUND(G51-H51,2)</f>
        <v>0</v>
      </c>
    </row>
    <row r="52" spans="2:9">
      <c r="B52" s="34" t="s">
        <v>518</v>
      </c>
      <c r="C52" s="33"/>
      <c r="D52" s="26">
        <f>ROUND(SUMIFS(Expenses!$F$5:$F$604,Expenses!$P$5:$P$604,ThisMonthKey,Expenses!$C$5:$C$604,$B$52),2)</f>
        <v>0</v>
      </c>
      <c r="E52" s="26">
        <f>ROUND(D52-IF(C52="",0,C52),2)</f>
        <v>0</v>
      </c>
      <c r="F52" s="26">
        <f>ROUND(SUMIFS(Expenses!$F$5:$F$604,Expenses!$P$5:$P$604,TEXT(DATE(YEAR(TodayDate),MONTH(TodayDate)-1,1),"yyyy-mm"),Expenses!$C$5:$C$604,$B$52),2)</f>
        <v>0</v>
      </c>
      <c r="G52" s="26">
        <f>ROUND(SUMIFS(Expenses!$F$5:$F$604,Expenses!$B$5:$B$604,"&gt;="&amp;DATE(YEAR(TodayDate),1,1),Expenses!$C$5:$C$604,$B$52),2)</f>
        <v>0</v>
      </c>
      <c r="H52" s="26">
        <f>ROUND(IF(C52="",0,C52)*MONTH(TodayDate),2)</f>
        <v>0</v>
      </c>
      <c r="I52" s="26">
        <f>ROUND(G52-H52,2)</f>
        <v>0</v>
      </c>
    </row>
    <row r="53" spans="2:9">
      <c r="B53" s="34" t="s">
        <v>519</v>
      </c>
      <c r="C53" s="33"/>
      <c r="D53" s="26">
        <f>ROUND(SUMIFS(Expenses!$F$5:$F$604,Expenses!$P$5:$P$604,ThisMonthKey,Expenses!$C$5:$C$604,$B$53),2)</f>
        <v>0</v>
      </c>
      <c r="E53" s="26">
        <f>ROUND(D53-IF(C53="",0,C53),2)</f>
        <v>0</v>
      </c>
      <c r="F53" s="26">
        <f>ROUND(SUMIFS(Expenses!$F$5:$F$604,Expenses!$P$5:$P$604,TEXT(DATE(YEAR(TodayDate),MONTH(TodayDate)-1,1),"yyyy-mm"),Expenses!$C$5:$C$604,$B$53),2)</f>
        <v>0</v>
      </c>
      <c r="G53" s="26">
        <f>ROUND(SUMIFS(Expenses!$F$5:$F$604,Expenses!$B$5:$B$604,"&gt;="&amp;DATE(YEAR(TodayDate),1,1),Expenses!$C$5:$C$604,$B$53),2)</f>
        <v>0</v>
      </c>
      <c r="H53" s="26">
        <f>ROUND(IF(C53="",0,C53)*MONTH(TodayDate),2)</f>
        <v>0</v>
      </c>
      <c r="I53" s="26">
        <f>ROUND(G53-H53,2)</f>
        <v>0</v>
      </c>
    </row>
    <row r="54" spans="2:9">
      <c r="B54" s="34" t="s">
        <v>520</v>
      </c>
      <c r="C54" s="33"/>
      <c r="D54" s="26">
        <f>ROUND(SUMIFS(Expenses!$F$5:$F$604,Expenses!$P$5:$P$604,ThisMonthKey,Expenses!$C$5:$C$604,$B$54),2)</f>
        <v>0</v>
      </c>
      <c r="E54" s="26">
        <f>ROUND(D54-IF(C54="",0,C54),2)</f>
        <v>0</v>
      </c>
      <c r="F54" s="26">
        <f>ROUND(SUMIFS(Expenses!$F$5:$F$604,Expenses!$P$5:$P$604,TEXT(DATE(YEAR(TodayDate),MONTH(TodayDate)-1,1),"yyyy-mm"),Expenses!$C$5:$C$604,$B$54),2)</f>
        <v>0</v>
      </c>
      <c r="G54" s="26">
        <f>ROUND(SUMIFS(Expenses!$F$5:$F$604,Expenses!$B$5:$B$604,"&gt;="&amp;DATE(YEAR(TodayDate),1,1),Expenses!$C$5:$C$604,$B$54),2)</f>
        <v>0</v>
      </c>
      <c r="H54" s="26">
        <f>ROUND(IF(C54="",0,C54)*MONTH(TodayDate),2)</f>
        <v>0</v>
      </c>
      <c r="I54" s="26">
        <f>ROUND(G54-H54,2)</f>
        <v>0</v>
      </c>
    </row>
    <row r="55" spans="2:9">
      <c r="B55" s="34" t="s">
        <v>521</v>
      </c>
      <c r="C55" s="33"/>
      <c r="D55" s="26">
        <f>ROUND(SUMIFS(Expenses!$F$5:$F$604,Expenses!$P$5:$P$604,ThisMonthKey,Expenses!$C$5:$C$604,$B$55),2)</f>
        <v>0</v>
      </c>
      <c r="E55" s="26">
        <f>ROUND(D55-IF(C55="",0,C55),2)</f>
        <v>0</v>
      </c>
      <c r="F55" s="26">
        <f>ROUND(SUMIFS(Expenses!$F$5:$F$604,Expenses!$P$5:$P$604,TEXT(DATE(YEAR(TodayDate),MONTH(TodayDate)-1,1),"yyyy-mm"),Expenses!$C$5:$C$604,$B$55),2)</f>
        <v>0</v>
      </c>
      <c r="G55" s="26">
        <f>ROUND(SUMIFS(Expenses!$F$5:$F$604,Expenses!$B$5:$B$604,"&gt;="&amp;DATE(YEAR(TodayDate),1,1),Expenses!$C$5:$C$604,$B$55),2)</f>
        <v>0</v>
      </c>
      <c r="H55" s="26">
        <f>ROUND(IF(C55="",0,C55)*MONTH(TodayDate),2)</f>
        <v>0</v>
      </c>
      <c r="I55" s="26">
        <f>ROUND(G55-H55,2)</f>
        <v>0</v>
      </c>
    </row>
    <row r="56" spans="2:9">
      <c r="B56" s="34" t="s">
        <v>522</v>
      </c>
      <c r="C56" s="33"/>
      <c r="D56" s="26">
        <f>ROUND(SUMIFS(Expenses!$F$5:$F$604,Expenses!$P$5:$P$604,ThisMonthKey,Expenses!$C$5:$C$604,$B$56),2)</f>
        <v>0</v>
      </c>
      <c r="E56" s="26">
        <f>ROUND(D56-IF(C56="",0,C56),2)</f>
        <v>0</v>
      </c>
      <c r="F56" s="26">
        <f>ROUND(SUMIFS(Expenses!$F$5:$F$604,Expenses!$P$5:$P$604,TEXT(DATE(YEAR(TodayDate),MONTH(TodayDate)-1,1),"yyyy-mm"),Expenses!$C$5:$C$604,$B$56),2)</f>
        <v>0</v>
      </c>
      <c r="G56" s="26">
        <f>ROUND(SUMIFS(Expenses!$F$5:$F$604,Expenses!$B$5:$B$604,"&gt;="&amp;DATE(YEAR(TodayDate),1,1),Expenses!$C$5:$C$604,$B$56),2)</f>
        <v>0</v>
      </c>
      <c r="H56" s="26">
        <f>ROUND(IF(C56="",0,C56)*MONTH(TodayDate),2)</f>
        <v>0</v>
      </c>
      <c r="I56" s="26">
        <f>ROUND(G56-H56,2)</f>
        <v>0</v>
      </c>
    </row>
    <row r="57" spans="2:9">
      <c r="B57" s="34" t="s">
        <v>523</v>
      </c>
      <c r="C57" s="33"/>
      <c r="D57" s="26">
        <f>ROUND(SUMIFS(Expenses!$F$5:$F$604,Expenses!$P$5:$P$604,ThisMonthKey,Expenses!$C$5:$C$604,$B$57),2)</f>
        <v>0</v>
      </c>
      <c r="E57" s="26">
        <f>ROUND(D57-IF(C57="",0,C57),2)</f>
        <v>0</v>
      </c>
      <c r="F57" s="26">
        <f>ROUND(SUMIFS(Expenses!$F$5:$F$604,Expenses!$P$5:$P$604,TEXT(DATE(YEAR(TodayDate),MONTH(TodayDate)-1,1),"yyyy-mm"),Expenses!$C$5:$C$604,$B$57),2)</f>
        <v>0</v>
      </c>
      <c r="G57" s="26">
        <f>ROUND(SUMIFS(Expenses!$F$5:$F$604,Expenses!$B$5:$B$604,"&gt;="&amp;DATE(YEAR(TodayDate),1,1),Expenses!$C$5:$C$604,$B$57),2)</f>
        <v>0</v>
      </c>
      <c r="H57" s="26">
        <f>ROUND(IF(C57="",0,C57)*MONTH(TodayDate),2)</f>
        <v>0</v>
      </c>
      <c r="I57" s="26">
        <f>ROUND(G57-H57,2)</f>
        <v>0</v>
      </c>
    </row>
    <row r="58" spans="2:9">
      <c r="B58" s="34" t="s">
        <v>524</v>
      </c>
      <c r="C58" s="33"/>
      <c r="D58" s="26">
        <f>ROUND(SUMIFS(Expenses!$F$5:$F$604,Expenses!$P$5:$P$604,ThisMonthKey,Expenses!$C$5:$C$604,$B$58),2)</f>
        <v>0</v>
      </c>
      <c r="E58" s="26">
        <f>ROUND(D58-IF(C58="",0,C58),2)</f>
        <v>0</v>
      </c>
      <c r="F58" s="26">
        <f>ROUND(SUMIFS(Expenses!$F$5:$F$604,Expenses!$P$5:$P$604,TEXT(DATE(YEAR(TodayDate),MONTH(TodayDate)-1,1),"yyyy-mm"),Expenses!$C$5:$C$604,$B$58),2)</f>
        <v>0</v>
      </c>
      <c r="G58" s="26">
        <f>ROUND(SUMIFS(Expenses!$F$5:$F$604,Expenses!$B$5:$B$604,"&gt;="&amp;DATE(YEAR(TodayDate),1,1),Expenses!$C$5:$C$604,$B$58),2)</f>
        <v>0</v>
      </c>
      <c r="H58" s="26">
        <f>ROUND(IF(C58="",0,C58)*MONTH(TodayDate),2)</f>
        <v>0</v>
      </c>
      <c r="I58" s="26">
        <f>ROUND(G58-H58,2)</f>
        <v>0</v>
      </c>
    </row>
    <row r="59" spans="2:9">
      <c r="B59" s="34" t="s">
        <v>525</v>
      </c>
      <c r="C59" s="33"/>
      <c r="D59" s="26">
        <f>ROUND(SUMIFS(Expenses!$F$5:$F$604,Expenses!$P$5:$P$604,ThisMonthKey,Expenses!$C$5:$C$604,$B$59),2)</f>
        <v>0</v>
      </c>
      <c r="E59" s="26">
        <f>ROUND(D59-IF(C59="",0,C59),2)</f>
        <v>0</v>
      </c>
      <c r="F59" s="26">
        <f>ROUND(SUMIFS(Expenses!$F$5:$F$604,Expenses!$P$5:$P$604,TEXT(DATE(YEAR(TodayDate),MONTH(TodayDate)-1,1),"yyyy-mm"),Expenses!$C$5:$C$604,$B$59),2)</f>
        <v>0</v>
      </c>
      <c r="G59" s="26">
        <f>ROUND(SUMIFS(Expenses!$F$5:$F$604,Expenses!$B$5:$B$604,"&gt;="&amp;DATE(YEAR(TodayDate),1,1),Expenses!$C$5:$C$604,$B$59),2)</f>
        <v>0</v>
      </c>
      <c r="H59" s="26">
        <f>ROUND(IF(C59="",0,C59)*MONTH(TodayDate),2)</f>
        <v>0</v>
      </c>
      <c r="I59" s="26">
        <f>ROUND(G59-H59,2)</f>
        <v>0</v>
      </c>
    </row>
    <row r="60" spans="2:9">
      <c r="B60" s="34" t="s">
        <v>526</v>
      </c>
      <c r="C60" s="33"/>
      <c r="D60" s="26">
        <f>ROUND(SUMIFS(Expenses!$F$5:$F$604,Expenses!$P$5:$P$604,ThisMonthKey,Expenses!$C$5:$C$604,$B$60),2)</f>
        <v>0</v>
      </c>
      <c r="E60" s="26">
        <f>ROUND(D60-IF(C60="",0,C60),2)</f>
        <v>0</v>
      </c>
      <c r="F60" s="26">
        <f>ROUND(SUMIFS(Expenses!$F$5:$F$604,Expenses!$P$5:$P$604,TEXT(DATE(YEAR(TodayDate),MONTH(TodayDate)-1,1),"yyyy-mm"),Expenses!$C$5:$C$604,$B$60),2)</f>
        <v>0</v>
      </c>
      <c r="G60" s="26">
        <f>ROUND(SUMIFS(Expenses!$F$5:$F$604,Expenses!$B$5:$B$604,"&gt;="&amp;DATE(YEAR(TodayDate),1,1),Expenses!$C$5:$C$604,$B$60),2)</f>
        <v>0</v>
      </c>
      <c r="H60" s="26">
        <f>ROUND(IF(C60="",0,C60)*MONTH(TodayDate),2)</f>
        <v>0</v>
      </c>
      <c r="I60" s="26">
        <f>ROUND(G60-H60,2)</f>
        <v>0</v>
      </c>
    </row>
    <row r="61" spans="2:9">
      <c r="B61" s="34" t="s">
        <v>527</v>
      </c>
      <c r="C61" s="33"/>
      <c r="D61" s="26">
        <f>ROUND(SUMIFS(Expenses!$F$5:$F$604,Expenses!$P$5:$P$604,ThisMonthKey,Expenses!$C$5:$C$604,$B$61),2)</f>
        <v>0</v>
      </c>
      <c r="E61" s="26">
        <f>ROUND(D61-IF(C61="",0,C61),2)</f>
        <v>0</v>
      </c>
      <c r="F61" s="26">
        <f>ROUND(SUMIFS(Expenses!$F$5:$F$604,Expenses!$P$5:$P$604,TEXT(DATE(YEAR(TodayDate),MONTH(TodayDate)-1,1),"yyyy-mm"),Expenses!$C$5:$C$604,$B$61),2)</f>
        <v>0</v>
      </c>
      <c r="G61" s="26">
        <f>ROUND(SUMIFS(Expenses!$F$5:$F$604,Expenses!$B$5:$B$604,"&gt;="&amp;DATE(YEAR(TodayDate),1,1),Expenses!$C$5:$C$604,$B$61),2)</f>
        <v>0</v>
      </c>
      <c r="H61" s="26">
        <f>ROUND(IF(C61="",0,C61)*MONTH(TodayDate),2)</f>
        <v>0</v>
      </c>
      <c r="I61" s="26">
        <f>ROUND(G61-H61,2)</f>
        <v>0</v>
      </c>
    </row>
    <row r="62" spans="2:9">
      <c r="B62" s="34" t="s">
        <v>528</v>
      </c>
      <c r="C62" s="33"/>
      <c r="D62" s="26">
        <f>ROUND(SUMIFS(Expenses!$F$5:$F$604,Expenses!$P$5:$P$604,ThisMonthKey,Expenses!$C$5:$C$604,$B$62),2)</f>
        <v>0</v>
      </c>
      <c r="E62" s="26">
        <f>ROUND(D62-IF(C62="",0,C62),2)</f>
        <v>0</v>
      </c>
      <c r="F62" s="26">
        <f>ROUND(SUMIFS(Expenses!$F$5:$F$604,Expenses!$P$5:$P$604,TEXT(DATE(YEAR(TodayDate),MONTH(TodayDate)-1,1),"yyyy-mm"),Expenses!$C$5:$C$604,$B$62),2)</f>
        <v>0</v>
      </c>
      <c r="G62" s="26">
        <f>ROUND(SUMIFS(Expenses!$F$5:$F$604,Expenses!$B$5:$B$604,"&gt;="&amp;DATE(YEAR(TodayDate),1,1),Expenses!$C$5:$C$604,$B$62),2)</f>
        <v>0</v>
      </c>
      <c r="H62" s="26">
        <f>ROUND(IF(C62="",0,C62)*MONTH(TodayDate),2)</f>
        <v>0</v>
      </c>
      <c r="I62" s="26">
        <f>ROUND(G62-H62,2)</f>
        <v>0</v>
      </c>
    </row>
    <row r="63" spans="2:9">
      <c r="B63" s="34" t="s">
        <v>529</v>
      </c>
      <c r="C63" s="33"/>
      <c r="D63" s="26">
        <f>ROUND(SUMIFS(Expenses!$F$5:$F$604,Expenses!$P$5:$P$604,ThisMonthKey,Expenses!$C$5:$C$604,$B$63),2)</f>
        <v>0</v>
      </c>
      <c r="E63" s="26">
        <f>ROUND(D63-IF(C63="",0,C63),2)</f>
        <v>0</v>
      </c>
      <c r="F63" s="26">
        <f>ROUND(SUMIFS(Expenses!$F$5:$F$604,Expenses!$P$5:$P$604,TEXT(DATE(YEAR(TodayDate),MONTH(TodayDate)-1,1),"yyyy-mm"),Expenses!$C$5:$C$604,$B$63),2)</f>
        <v>0</v>
      </c>
      <c r="G63" s="26">
        <f>ROUND(SUMIFS(Expenses!$F$5:$F$604,Expenses!$B$5:$B$604,"&gt;="&amp;DATE(YEAR(TodayDate),1,1),Expenses!$C$5:$C$604,$B$63),2)</f>
        <v>0</v>
      </c>
      <c r="H63" s="26">
        <f>ROUND(IF(C63="",0,C63)*MONTH(TodayDate),2)</f>
        <v>0</v>
      </c>
      <c r="I63" s="26">
        <f>ROUND(G63-H63,2)</f>
        <v>0</v>
      </c>
    </row>
    <row r="64" spans="2:9">
      <c r="B64" s="34" t="s">
        <v>530</v>
      </c>
      <c r="C64" s="33"/>
      <c r="D64" s="26">
        <f>ROUND(SUMIFS(Expenses!$F$5:$F$604,Expenses!$P$5:$P$604,ThisMonthKey,Expenses!$C$5:$C$604,$B$64),2)</f>
        <v>0</v>
      </c>
      <c r="E64" s="26">
        <f>ROUND(D64-IF(C64="",0,C64),2)</f>
        <v>0</v>
      </c>
      <c r="F64" s="26">
        <f>ROUND(SUMIFS(Expenses!$F$5:$F$604,Expenses!$P$5:$P$604,TEXT(DATE(YEAR(TodayDate),MONTH(TodayDate)-1,1),"yyyy-mm"),Expenses!$C$5:$C$604,$B$64),2)</f>
        <v>0</v>
      </c>
      <c r="G64" s="26">
        <f>ROUND(SUMIFS(Expenses!$F$5:$F$604,Expenses!$B$5:$B$604,"&gt;="&amp;DATE(YEAR(TodayDate),1,1),Expenses!$C$5:$C$604,$B$64),2)</f>
        <v>0</v>
      </c>
      <c r="H64" s="26">
        <f>ROUND(IF(C64="",0,C64)*MONTH(TodayDate),2)</f>
        <v>0</v>
      </c>
      <c r="I64" s="26">
        <f>ROUND(G64-H64,2)</f>
        <v>0</v>
      </c>
    </row>
    <row r="65" spans="1:11">
      <c r="B65" s="8" t="s">
        <v>474</v>
      </c>
      <c r="C65" s="26">
        <f>ROUND(SUM(C45:C64),2)</f>
        <v>0</v>
      </c>
      <c r="D65" s="26">
        <f>ROUND(SUM(D45:D64),2)</f>
        <v>0</v>
      </c>
      <c r="E65" s="26">
        <f>ROUND(SUM(E45:E64),2)</f>
        <v>0</v>
      </c>
      <c r="F65" s="26">
        <f>ROUND(SUM(F45:F64),2)</f>
        <v>0</v>
      </c>
      <c r="G65" s="26">
        <f>ROUND(SUM(G45:G64),2)</f>
        <v>0</v>
      </c>
      <c r="H65" s="26">
        <f>ROUND(SUM(H45:H64),2)</f>
        <v>0</v>
      </c>
      <c r="I65" s="26">
        <f>ROUND(SUM(I45:I64),2)</f>
        <v>0</v>
      </c>
    </row>
    <row r="67" spans="1:11" ht="20" customHeight="1">
      <c r="A67" s="7" t="s">
        <v>688</v>
      </c>
      <c r="B67" s="7"/>
      <c r="C67" s="7"/>
      <c r="D67" s="7"/>
      <c r="E67" s="7"/>
      <c r="F67" s="7"/>
      <c r="G67" s="7"/>
      <c r="H67" s="7"/>
      <c r="I67" s="7"/>
      <c r="J67" s="7"/>
      <c r="K67" s="7"/>
    </row>
    <row r="68" spans="1:11" ht="26" customHeight="1">
      <c r="B68" s="10" t="s">
        <v>689</v>
      </c>
      <c r="C68" s="11" t="s">
        <v>690</v>
      </c>
      <c r="D68" s="11" t="s">
        <v>504</v>
      </c>
      <c r="E68" s="11" t="s">
        <v>203</v>
      </c>
      <c r="F68" s="11" t="s">
        <v>176</v>
      </c>
      <c r="G68" s="11" t="s">
        <v>691</v>
      </c>
      <c r="H68" s="11" t="s">
        <v>692</v>
      </c>
    </row>
    <row r="69" spans="1:11">
      <c r="B69" s="26">
        <f>ROUND(SUM(Expenses!$S$5:$S$604),2)</f>
        <v>0</v>
      </c>
      <c r="C69" s="26">
        <f>ROUND(SUMIFS(Payroll!$Y$5:$Y$364,Payroll!$Q$5:$Q$364,ThisMonthKey),2)</f>
        <v>0</v>
      </c>
      <c r="D69" s="27">
        <f>IF(SUMIFS(Sales!$Y$5:$Y$1204,Sales!$R$5:$R$1204,ThisMonthKey)&lt;=0,0.85,(SUMIFS(Sales!$Y$5:$Y$1204,Sales!$R$5:$R$1204,ThisMonthKey)-SUMIFS(Sales!$AB$5:$AB$1204,Sales!$R$5:$R$1204,ThisMonthKey))/SUMIFS(Sales!$Y$5:$Y$1204,Sales!$R$5:$R$1204,ThisMonthKey))</f>
        <v>0</v>
      </c>
      <c r="E69" s="26">
        <f>IFERROR(ROUND((B69+C69)/MAX(0.05,D69),2),"")</f>
        <v>0</v>
      </c>
      <c r="F69" s="26">
        <f>ROUND(SUMIFS(Sales!$Y$5:$Y$1204,Sales!$R$5:$R$1204,ThisMonthKey),2)</f>
        <v>0</v>
      </c>
      <c r="G69" s="26">
        <f>ROUND(MAX(0,E69-F69),2)</f>
        <v>0</v>
      </c>
      <c r="H69" s="25">
        <f>DAY(DATE(YEAR(TodayDate),MONTH(TodayDate)+1,0))-DAY(TodayDate)</f>
        <v>0</v>
      </c>
    </row>
    <row r="71" spans="1:11" ht="30" customHeight="1">
      <c r="A71" s="6" t="s">
        <v>693</v>
      </c>
      <c r="B71" s="6"/>
      <c r="C71" s="6"/>
      <c r="D71" s="6"/>
      <c r="E71" s="6"/>
      <c r="F71" s="6"/>
      <c r="G71" s="6"/>
      <c r="H71" s="6"/>
      <c r="I71" s="6"/>
      <c r="J71" s="6"/>
      <c r="K71" s="6"/>
    </row>
  </sheetData>
  <sheetProtection password="EC7C" sheet="1" objects="1" scenarios="1" formatCells="0" formatColumns="0" formatRows="0" insertRows="0" insertHyperlinks="0" deleteRows="0" autoFilter="0"/>
  <mergeCells count="20">
    <mergeCell ref="A1:H1"/>
    <mergeCell ref="I1:K1"/>
    <mergeCell ref="A2:K2"/>
    <mergeCell ref="A3:B3"/>
    <mergeCell ref="C3:D3"/>
    <mergeCell ref="E3:F3"/>
    <mergeCell ref="G3:H3"/>
    <mergeCell ref="I3:J3"/>
    <mergeCell ref="A5:K5"/>
    <mergeCell ref="A7:K7"/>
    <mergeCell ref="A19:K19"/>
    <mergeCell ref="B20:C20"/>
    <mergeCell ref="E20:H20"/>
    <mergeCell ref="B21:C21"/>
    <mergeCell ref="A23:K23"/>
    <mergeCell ref="A24:K24"/>
    <mergeCell ref="A41:K41"/>
    <mergeCell ref="A42:K42"/>
    <mergeCell ref="A67:K67"/>
    <mergeCell ref="A71:K71"/>
  </mergeCells>
  <conditionalFormatting sqref="E27:E38">
    <cfRule type="cellIs" dxfId="0" priority="5" operator="lessThan">
      <formula>0</formula>
    </cfRule>
    <cfRule type="cellIs" dxfId="1" priority="6" operator="greaterThanOrEqual">
      <formula>0</formula>
    </cfRule>
  </conditionalFormatting>
  <conditionalFormatting sqref="E45:E65">
    <cfRule type="cellIs" dxfId="2" priority="9" operator="greaterThan">
      <formula>0</formula>
    </cfRule>
    <cfRule type="cellIs" dxfId="1" priority="10" operator="lessThanOrEqual">
      <formula>0</formula>
    </cfRule>
  </conditionalFormatting>
  <conditionalFormatting sqref="E9:E17">
    <cfRule type="cellIs" dxfId="0" priority="4" operator="lessThan">
      <formula>0</formula>
    </cfRule>
  </conditionalFormatting>
  <conditionalFormatting sqref="F9:F17">
    <cfRule type="containsText" dxfId="1" priority="1" operator="containsText" text="On track">
      <formula>NOT(ISERROR(SEARCH("On track",F9)))</formula>
    </cfRule>
    <cfRule type="containsText" dxfId="0" priority="2" operator="containsText" text="Close">
      <formula>NOT(ISERROR(SEARCH("Close",F9)))</formula>
    </cfRule>
    <cfRule type="containsText" dxfId="2" priority="3" operator="containsText" text="Behind">
      <formula>NOT(ISERROR(SEARCH("Behind",F9)))</formula>
    </cfRule>
  </conditionalFormatting>
  <conditionalFormatting sqref="G69">
    <cfRule type="cellIs" dxfId="0" priority="13" operator="greaterThan">
      <formula>0</formula>
    </cfRule>
    <cfRule type="cellIs" dxfId="1" priority="14" operator="equal">
      <formula>0</formula>
    </cfRule>
  </conditionalFormatting>
  <conditionalFormatting sqref="I27:I38">
    <cfRule type="containsText" dxfId="2" priority="7" operator="containsText" text="No">
      <formula>NOT(ISERROR(SEARCH("No",I27)))</formula>
    </cfRule>
    <cfRule type="containsText" dxfId="1" priority="8" operator="containsText" text="Yes">
      <formula>NOT(ISERROR(SEARCH("Yes",I27)))</formula>
    </cfRule>
  </conditionalFormatting>
  <conditionalFormatting sqref="I45:I65">
    <cfRule type="cellIs" dxfId="2" priority="11" operator="greaterThan">
      <formula>0</formula>
    </cfRule>
    <cfRule type="cellIs" dxfId="1" priority="12" operator="lessThanOrEqual">
      <formula>0</formula>
    </cfRule>
  </conditionalFormatting>
  <dataValidations count="34">
    <dataValidation type="whole" allowBlank="1" showInputMessage="1" showErrorMessage="1" errorTitle="Check the value" error="Enter a number between 0 and 1000000." sqref="D20">
      <formula1>0</formula1>
      <formula2>1000000</formula2>
    </dataValidation>
    <dataValidation type="whole" allowBlank="1" showInputMessage="1" showErrorMessage="1" errorTitle="Check the value" error="Enter a number between 0 and 1000000." sqref="D21">
      <formula1>0</formula1>
      <formula2>1000000</formula2>
    </dataValidation>
    <dataValidation type="decimal" allowBlank="1" showInputMessage="1" showErrorMessage="1" errorTitle="Check the value" error="Enter a number between 0 and 10000000." sqref="C27">
      <formula1>0</formula1>
      <formula2>10000000</formula2>
    </dataValidation>
    <dataValidation type="decimal" allowBlank="1" showInputMessage="1" showErrorMessage="1" errorTitle="Check the value" error="Enter a number between 0 and 10000000." sqref="C28">
      <formula1>0</formula1>
      <formula2>10000000</formula2>
    </dataValidation>
    <dataValidation type="decimal" allowBlank="1" showInputMessage="1" showErrorMessage="1" errorTitle="Check the value" error="Enter a number between 0 and 10000000." sqref="C29">
      <formula1>0</formula1>
      <formula2>10000000</formula2>
    </dataValidation>
    <dataValidation type="decimal" allowBlank="1" showInputMessage="1" showErrorMessage="1" errorTitle="Check the value" error="Enter a number between 0 and 10000000." sqref="C30">
      <formula1>0</formula1>
      <formula2>10000000</formula2>
    </dataValidation>
    <dataValidation type="decimal" allowBlank="1" showInputMessage="1" showErrorMessage="1" errorTitle="Check the value" error="Enter a number between 0 and 10000000." sqref="C31">
      <formula1>0</formula1>
      <formula2>10000000</formula2>
    </dataValidation>
    <dataValidation type="decimal" allowBlank="1" showInputMessage="1" showErrorMessage="1" errorTitle="Check the value" error="Enter a number between 0 and 10000000." sqref="C32">
      <formula1>0</formula1>
      <formula2>10000000</formula2>
    </dataValidation>
    <dataValidation type="decimal" allowBlank="1" showInputMessage="1" showErrorMessage="1" errorTitle="Check the value" error="Enter a number between 0 and 10000000." sqref="C33">
      <formula1>0</formula1>
      <formula2>10000000</formula2>
    </dataValidation>
    <dataValidation type="decimal" allowBlank="1" showInputMessage="1" showErrorMessage="1" errorTitle="Check the value" error="Enter a number between 0 and 10000000." sqref="C34">
      <formula1>0</formula1>
      <formula2>10000000</formula2>
    </dataValidation>
    <dataValidation type="decimal" allowBlank="1" showInputMessage="1" showErrorMessage="1" errorTitle="Check the value" error="Enter a number between 0 and 10000000." sqref="C35">
      <formula1>0</formula1>
      <formula2>10000000</formula2>
    </dataValidation>
    <dataValidation type="decimal" allowBlank="1" showInputMessage="1" showErrorMessage="1" errorTitle="Check the value" error="Enter a number between 0 and 10000000." sqref="C36">
      <formula1>0</formula1>
      <formula2>10000000</formula2>
    </dataValidation>
    <dataValidation type="decimal" allowBlank="1" showInputMessage="1" showErrorMessage="1" errorTitle="Check the value" error="Enter a number between 0 and 10000000." sqref="C37">
      <formula1>0</formula1>
      <formula2>10000000</formula2>
    </dataValidation>
    <dataValidation type="decimal" allowBlank="1" showInputMessage="1" showErrorMessage="1" errorTitle="Check the value" error="Enter a number between 0 and 10000000." sqref="C38">
      <formula1>0</formula1>
      <formula2>10000000</formula2>
    </dataValidation>
    <dataValidation type="decimal" allowBlank="1" showInputMessage="1" showErrorMessage="1" errorTitle="Check the value" error="Enter a number between 0 and 1000000." sqref="C45">
      <formula1>0</formula1>
      <formula2>1000000</formula2>
    </dataValidation>
    <dataValidation type="decimal" allowBlank="1" showInputMessage="1" showErrorMessage="1" errorTitle="Check the value" error="Enter a number between 0 and 1000000." sqref="C46">
      <formula1>0</formula1>
      <formula2>1000000</formula2>
    </dataValidation>
    <dataValidation type="decimal" allowBlank="1" showInputMessage="1" showErrorMessage="1" errorTitle="Check the value" error="Enter a number between 0 and 1000000." sqref="C47">
      <formula1>0</formula1>
      <formula2>1000000</formula2>
    </dataValidation>
    <dataValidation type="decimal" allowBlank="1" showInputMessage="1" showErrorMessage="1" errorTitle="Check the value" error="Enter a number between 0 and 1000000." sqref="C48">
      <formula1>0</formula1>
      <formula2>1000000</formula2>
    </dataValidation>
    <dataValidation type="decimal" allowBlank="1" showInputMessage="1" showErrorMessage="1" errorTitle="Check the value" error="Enter a number between 0 and 1000000." sqref="C49">
      <formula1>0</formula1>
      <formula2>1000000</formula2>
    </dataValidation>
    <dataValidation type="decimal" allowBlank="1" showInputMessage="1" showErrorMessage="1" errorTitle="Check the value" error="Enter a number between 0 and 1000000." sqref="C50">
      <formula1>0</formula1>
      <formula2>1000000</formula2>
    </dataValidation>
    <dataValidation type="decimal" allowBlank="1" showInputMessage="1" showErrorMessage="1" errorTitle="Check the value" error="Enter a number between 0 and 1000000." sqref="C51">
      <formula1>0</formula1>
      <formula2>1000000</formula2>
    </dataValidation>
    <dataValidation type="decimal" allowBlank="1" showInputMessage="1" showErrorMessage="1" errorTitle="Check the value" error="Enter a number between 0 and 1000000." sqref="C52">
      <formula1>0</formula1>
      <formula2>1000000</formula2>
    </dataValidation>
    <dataValidation type="decimal" allowBlank="1" showInputMessage="1" showErrorMessage="1" errorTitle="Check the value" error="Enter a number between 0 and 1000000." sqref="C53">
      <formula1>0</formula1>
      <formula2>1000000</formula2>
    </dataValidation>
    <dataValidation type="decimal" allowBlank="1" showInputMessage="1" showErrorMessage="1" errorTitle="Check the value" error="Enter a number between 0 and 1000000." sqref="C54">
      <formula1>0</formula1>
      <formula2>1000000</formula2>
    </dataValidation>
    <dataValidation type="decimal" allowBlank="1" showInputMessage="1" showErrorMessage="1" errorTitle="Check the value" error="Enter a number between 0 and 1000000." sqref="C55">
      <formula1>0</formula1>
      <formula2>1000000</formula2>
    </dataValidation>
    <dataValidation type="decimal" allowBlank="1" showInputMessage="1" showErrorMessage="1" errorTitle="Check the value" error="Enter a number between 0 and 1000000." sqref="C56">
      <formula1>0</formula1>
      <formula2>1000000</formula2>
    </dataValidation>
    <dataValidation type="decimal" allowBlank="1" showInputMessage="1" showErrorMessage="1" errorTitle="Check the value" error="Enter a number between 0 and 1000000." sqref="C57">
      <formula1>0</formula1>
      <formula2>1000000</formula2>
    </dataValidation>
    <dataValidation type="decimal" allowBlank="1" showInputMessage="1" showErrorMessage="1" errorTitle="Check the value" error="Enter a number between 0 and 1000000." sqref="C58">
      <formula1>0</formula1>
      <formula2>1000000</formula2>
    </dataValidation>
    <dataValidation type="decimal" allowBlank="1" showInputMessage="1" showErrorMessage="1" errorTitle="Check the value" error="Enter a number between 0 and 1000000." sqref="C59">
      <formula1>0</formula1>
      <formula2>1000000</formula2>
    </dataValidation>
    <dataValidation type="decimal" allowBlank="1" showInputMessage="1" showErrorMessage="1" errorTitle="Check the value" error="Enter a number between 0 and 1000000." sqref="C60">
      <formula1>0</formula1>
      <formula2>1000000</formula2>
    </dataValidation>
    <dataValidation type="decimal" allowBlank="1" showInputMessage="1" showErrorMessage="1" errorTitle="Check the value" error="Enter a number between 0 and 1000000." sqref="C61">
      <formula1>0</formula1>
      <formula2>1000000</formula2>
    </dataValidation>
    <dataValidation type="decimal" allowBlank="1" showInputMessage="1" showErrorMessage="1" errorTitle="Check the value" error="Enter a number between 0 and 1000000." sqref="C62">
      <formula1>0</formula1>
      <formula2>1000000</formula2>
    </dataValidation>
    <dataValidation type="decimal" allowBlank="1" showInputMessage="1" showErrorMessage="1" errorTitle="Check the value" error="Enter a number between 0 and 1000000." sqref="C63">
      <formula1>0</formula1>
      <formula2>1000000</formula2>
    </dataValidation>
    <dataValidation type="decimal" allowBlank="1" showInputMessage="1" showErrorMessage="1" errorTitle="Check the value" error="Enter a number between 0 and 1000000." sqref="C64">
      <formula1>0</formula1>
      <formula2>1000000</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s>
  <pageMargins left="0.4" right="0.4" top="0.6" bottom="0.5" header="0.3" footer="0.3"/>
  <pageSetup paperSize="9" fitToHeight="0" orientation="landscape"/>
  <headerFooter>
    <oddHeader>&amp;L&amp;"Calibri,Bold"&amp;12&amp;C&amp;"Calibri,Bold"&amp;11Goals &amp; Budget&amp;R&amp;"Calibri,Italic"&amp;9Salon Business Management Spreadsheet</oddHeader>
    <oddFooter>&amp;L&amp;"Calibri,Italic"&amp;8Novality Store - v1.0.0&amp;C&amp;"Calibri,Italic"&amp;8Page &amp;P of &amp;N&amp;R&amp;"Calibri,Italic"&amp;8&amp;D</oddFooter>
  </headerFooter>
</worksheet>
</file>

<file path=xl/worksheets/sheet18.xml><?xml version="1.0" encoding="utf-8"?>
<worksheet xmlns="http://schemas.openxmlformats.org/spreadsheetml/2006/main" xmlns:r="http://schemas.openxmlformats.org/officeDocument/2006/relationships">
  <sheetPr>
    <tabColor rgb="FF4C2A42"/>
    <pageSetUpPr fitToPage="1"/>
  </sheetPr>
  <dimension ref="A1:K100"/>
  <sheetViews>
    <sheetView showGridLines="0" workbookViewId="0">
      <pane ySplit="4" topLeftCell="A5" activePane="bottomLeft" state="frozen"/>
      <selection pane="bottomLeft"/>
    </sheetView>
  </sheetViews>
  <sheetFormatPr defaultRowHeight="15"/>
  <cols>
    <col min="1" max="1" width="3.7109375" customWidth="1"/>
    <col min="2" max="2" width="28.7109375" customWidth="1"/>
    <col min="3" max="11" width="14.7109375" customWidth="1"/>
    <col min="2" max="2" width="26.7109375" customWidth="1"/>
    <col min="3" max="3" width="16.7109375" customWidth="1"/>
    <col min="4" max="4" width="11.7109375" customWidth="1"/>
    <col min="5" max="5" width="14.7109375" customWidth="1"/>
    <col min="6" max="6" width="14.7109375" customWidth="1"/>
    <col min="7" max="7" width="13.7109375" customWidth="1"/>
    <col min="8" max="8" width="13.7109375" customWidth="1"/>
    <col min="9" max="9" width="14.7109375" customWidth="1"/>
    <col min="2" max="2" width="16.7109375" customWidth="1"/>
    <col min="3" max="3" width="14.7109375" customWidth="1"/>
    <col min="4" max="4" width="12.7109375" customWidth="1"/>
    <col min="5" max="5" width="12.7109375" customWidth="1"/>
    <col min="6" max="6" width="11.7109375" customWidth="1"/>
    <col min="7" max="7" width="14.7109375" customWidth="1"/>
    <col min="8" max="8" width="14.7109375" customWidth="1"/>
    <col min="9" max="9" width="13.7109375" customWidth="1"/>
    <col min="10" max="10" width="14.7109375" customWidth="1"/>
    <col min="2" max="2" width="12.7109375" customWidth="1"/>
    <col min="3" max="3" width="14.7109375" customWidth="1"/>
    <col min="4" max="4" width="12.7109375" customWidth="1"/>
    <col min="5" max="5" width="14.7109375" customWidth="1"/>
    <col min="6" max="6" width="16.7109375" customWidth="1"/>
    <col min="7" max="7" width="20.7109375" customWidth="1"/>
    <col min="2" max="2" width="24.7109375" customWidth="1"/>
    <col min="3" max="3" width="12.7109375" customWidth="1"/>
    <col min="4" max="4" width="16.7109375" customWidth="1"/>
    <col min="5" max="5" width="12.7109375" customWidth="1"/>
    <col min="6" max="6" width="16.7109375" customWidth="1"/>
    <col min="7" max="7" width="14.7109375" customWidth="1"/>
    <col min="8" max="8" width="13.7109375" customWidth="1"/>
    <col min="2" max="2" width="14.7109375" customWidth="1"/>
    <col min="3" max="3" width="12.7109375" customWidth="1"/>
    <col min="4" max="4" width="13.7109375" customWidth="1"/>
    <col min="5" max="5" width="18.7109375" customWidth="1"/>
    <col min="6" max="6" width="13.7109375" customWidth="1"/>
    <col min="7" max="7" width="18.7109375" customWidth="1"/>
    <col min="8" max="8" width="13.7109375" customWidth="1"/>
    <col min="9" max="9" width="15.7109375" customWidth="1"/>
    <col min="2" max="2" width="18.7109375" customWidth="1"/>
    <col min="3" max="3" width="12.7109375" customWidth="1"/>
    <col min="4" max="4" width="12.7109375" customWidth="1"/>
    <col min="5" max="5" width="16.7109375" customWidth="1"/>
    <col min="6" max="6" width="14.7109375" customWidth="1"/>
    <col min="7" max="7" width="14.7109375" customWidth="1"/>
    <col min="8" max="8" width="14.7109375" customWidth="1"/>
  </cols>
  <sheetData>
    <row r="1" spans="1:11" ht="34" customHeight="1">
      <c r="A1" s="2" t="s">
        <v>694</v>
      </c>
      <c r="B1" s="2"/>
      <c r="C1" s="2"/>
      <c r="D1" s="2"/>
      <c r="E1" s="2"/>
      <c r="F1" s="2"/>
      <c r="G1" s="2"/>
      <c r="H1" s="2"/>
      <c r="I1" s="3" t="s">
        <v>1</v>
      </c>
      <c r="J1" s="3"/>
      <c r="K1" s="3"/>
    </row>
    <row r="2" spans="1:11" ht="18" customHeight="1">
      <c r="A2" s="4" t="s">
        <v>61</v>
      </c>
      <c r="B2" s="4"/>
      <c r="C2" s="4"/>
      <c r="D2" s="4"/>
      <c r="E2" s="4"/>
      <c r="F2" s="4"/>
      <c r="G2" s="4"/>
      <c r="H2" s="4"/>
      <c r="I2" s="4"/>
      <c r="J2" s="4"/>
      <c r="K2" s="4"/>
    </row>
    <row r="3" spans="1:11" ht="16" customHeight="1">
      <c r="A3" s="5" t="s">
        <v>3</v>
      </c>
      <c r="B3" s="5"/>
      <c r="C3" s="5" t="s">
        <v>4</v>
      </c>
      <c r="D3" s="5"/>
      <c r="E3" s="5" t="s">
        <v>5</v>
      </c>
      <c r="F3" s="5"/>
      <c r="G3" s="5" t="s">
        <v>6</v>
      </c>
      <c r="H3" s="5"/>
      <c r="I3" s="5" t="s">
        <v>7</v>
      </c>
      <c r="J3" s="5"/>
      <c r="K3" s="14" t="s">
        <v>119</v>
      </c>
    </row>
    <row r="5" spans="1:11" ht="28" customHeight="1">
      <c r="A5" s="6" t="s">
        <v>695</v>
      </c>
      <c r="B5" s="6"/>
      <c r="C5" s="6"/>
      <c r="D5" s="6"/>
      <c r="E5" s="6"/>
      <c r="F5" s="6"/>
      <c r="G5" s="6"/>
      <c r="H5" s="6"/>
      <c r="I5" s="6"/>
      <c r="J5" s="6"/>
      <c r="K5" s="6"/>
    </row>
    <row r="7" spans="1:11" ht="20" customHeight="1">
      <c r="A7" s="7" t="s">
        <v>696</v>
      </c>
      <c r="B7" s="7"/>
      <c r="C7" s="7"/>
      <c r="D7" s="7"/>
      <c r="E7" s="7"/>
      <c r="F7" s="7"/>
      <c r="G7" s="7"/>
      <c r="H7" s="7"/>
      <c r="I7" s="7"/>
      <c r="J7" s="7"/>
      <c r="K7" s="7"/>
    </row>
    <row r="8" spans="1:11" ht="26" customHeight="1">
      <c r="B8" s="10" t="s">
        <v>300</v>
      </c>
      <c r="C8" s="11" t="s">
        <v>697</v>
      </c>
      <c r="D8" s="11" t="s">
        <v>316</v>
      </c>
      <c r="E8" s="11" t="s">
        <v>186</v>
      </c>
      <c r="F8" s="11" t="s">
        <v>698</v>
      </c>
      <c r="G8" s="11" t="s">
        <v>328</v>
      </c>
      <c r="H8" s="11" t="s">
        <v>232</v>
      </c>
      <c r="I8" s="11" t="s">
        <v>699</v>
      </c>
    </row>
    <row r="9" spans="1:11">
      <c r="B9" s="15" t="s">
        <v>700</v>
      </c>
      <c r="C9" s="25">
        <f>COUNTIFS(Services!$C$5:$C$204,"Hair - cutting")</f>
        <v>0</v>
      </c>
      <c r="D9" s="25">
        <f>SUMIFS(Services!$AB$5:$AB$204,Services!$C$5:$C$204,"Hair - cutting")</f>
        <v>0</v>
      </c>
      <c r="E9" s="26">
        <f>ROUND(SUMIFS(Services!$AD$5:$AD$204,Services!$C$5:$C$204,"Hair - cutting"),2)</f>
        <v>0</v>
      </c>
      <c r="F9" s="27">
        <f>IFERROR(SUMIFS(Services!$AD$5:$AD$204,Services!$C$5:$C$204,"Hair - cutting")/MAX(0.01,ServiceRevenueAll),"")</f>
        <v>0</v>
      </c>
      <c r="G9" s="26">
        <f>IFERROR(ROUND(SUMIFS(Services!$AD$5:$AD$204,Services!$C$5:$C$204,"Hair - cutting")/MAX(1,SUMIFS(Services!$AC$5:$AC$204,Services!$C$5:$C$204,"Hair - cutting")),2),"")</f>
        <v>0</v>
      </c>
      <c r="H9" s="37">
        <f>ROUND(SUMIFS(Services!$AG$5:$AG$204,Services!$C$5:$C$204,"Hair - cutting"),1)</f>
        <v>0</v>
      </c>
      <c r="I9" s="26">
        <f>IFERROR(ROUND(SUMIFS(Services!$AD$5:$AD$204,Services!$C$5:$C$204,"Hair - cutting")/MAX(0.1,SUMIFS(Services!$AG$5:$AG$204,Services!$C$5:$C$204,"Hair - cutting")),2),"")</f>
        <v>0</v>
      </c>
    </row>
    <row r="10" spans="1:11">
      <c r="B10" s="15" t="s">
        <v>701</v>
      </c>
      <c r="C10" s="25">
        <f>COUNTIFS(Services!$C$5:$C$204,"Hair - colour")</f>
        <v>0</v>
      </c>
      <c r="D10" s="25">
        <f>SUMIFS(Services!$AB$5:$AB$204,Services!$C$5:$C$204,"Hair - colour")</f>
        <v>0</v>
      </c>
      <c r="E10" s="26">
        <f>ROUND(SUMIFS(Services!$AD$5:$AD$204,Services!$C$5:$C$204,"Hair - colour"),2)</f>
        <v>0</v>
      </c>
      <c r="F10" s="27">
        <f>IFERROR(SUMIFS(Services!$AD$5:$AD$204,Services!$C$5:$C$204,"Hair - colour")/MAX(0.01,ServiceRevenueAll),"")</f>
        <v>0</v>
      </c>
      <c r="G10" s="26">
        <f>IFERROR(ROUND(SUMIFS(Services!$AD$5:$AD$204,Services!$C$5:$C$204,"Hair - colour")/MAX(1,SUMIFS(Services!$AC$5:$AC$204,Services!$C$5:$C$204,"Hair - colour")),2),"")</f>
        <v>0</v>
      </c>
      <c r="H10" s="37">
        <f>ROUND(SUMIFS(Services!$AG$5:$AG$204,Services!$C$5:$C$204,"Hair - colour"),1)</f>
        <v>0</v>
      </c>
      <c r="I10" s="26">
        <f>IFERROR(ROUND(SUMIFS(Services!$AD$5:$AD$204,Services!$C$5:$C$204,"Hair - colour")/MAX(0.1,SUMIFS(Services!$AG$5:$AG$204,Services!$C$5:$C$204,"Hair - colour")),2),"")</f>
        <v>0</v>
      </c>
    </row>
    <row r="11" spans="1:11">
      <c r="B11" s="15" t="s">
        <v>702</v>
      </c>
      <c r="C11" s="25">
        <f>COUNTIFS(Services!$C$5:$C$204,"Hair - treatment")</f>
        <v>0</v>
      </c>
      <c r="D11" s="25">
        <f>SUMIFS(Services!$AB$5:$AB$204,Services!$C$5:$C$204,"Hair - treatment")</f>
        <v>0</v>
      </c>
      <c r="E11" s="26">
        <f>ROUND(SUMIFS(Services!$AD$5:$AD$204,Services!$C$5:$C$204,"Hair - treatment"),2)</f>
        <v>0</v>
      </c>
      <c r="F11" s="27">
        <f>IFERROR(SUMIFS(Services!$AD$5:$AD$204,Services!$C$5:$C$204,"Hair - treatment")/MAX(0.01,ServiceRevenueAll),"")</f>
        <v>0</v>
      </c>
      <c r="G11" s="26">
        <f>IFERROR(ROUND(SUMIFS(Services!$AD$5:$AD$204,Services!$C$5:$C$204,"Hair - treatment")/MAX(1,SUMIFS(Services!$AC$5:$AC$204,Services!$C$5:$C$204,"Hair - treatment")),2),"")</f>
        <v>0</v>
      </c>
      <c r="H11" s="37">
        <f>ROUND(SUMIFS(Services!$AG$5:$AG$204,Services!$C$5:$C$204,"Hair - treatment"),1)</f>
        <v>0</v>
      </c>
      <c r="I11" s="26">
        <f>IFERROR(ROUND(SUMIFS(Services!$AD$5:$AD$204,Services!$C$5:$C$204,"Hair - treatment")/MAX(0.1,SUMIFS(Services!$AG$5:$AG$204,Services!$C$5:$C$204,"Hair - treatment")),2),"")</f>
        <v>0</v>
      </c>
    </row>
    <row r="12" spans="1:11">
      <c r="B12" s="15" t="s">
        <v>703</v>
      </c>
      <c r="C12" s="25">
        <f>COUNTIFS(Services!$C$5:$C$204,"Hair - styling")</f>
        <v>0</v>
      </c>
      <c r="D12" s="25">
        <f>SUMIFS(Services!$AB$5:$AB$204,Services!$C$5:$C$204,"Hair - styling")</f>
        <v>0</v>
      </c>
      <c r="E12" s="26">
        <f>ROUND(SUMIFS(Services!$AD$5:$AD$204,Services!$C$5:$C$204,"Hair - styling"),2)</f>
        <v>0</v>
      </c>
      <c r="F12" s="27">
        <f>IFERROR(SUMIFS(Services!$AD$5:$AD$204,Services!$C$5:$C$204,"Hair - styling")/MAX(0.01,ServiceRevenueAll),"")</f>
        <v>0</v>
      </c>
      <c r="G12" s="26">
        <f>IFERROR(ROUND(SUMIFS(Services!$AD$5:$AD$204,Services!$C$5:$C$204,"Hair - styling")/MAX(1,SUMIFS(Services!$AC$5:$AC$204,Services!$C$5:$C$204,"Hair - styling")),2),"")</f>
        <v>0</v>
      </c>
      <c r="H12" s="37">
        <f>ROUND(SUMIFS(Services!$AG$5:$AG$204,Services!$C$5:$C$204,"Hair - styling"),1)</f>
        <v>0</v>
      </c>
      <c r="I12" s="26">
        <f>IFERROR(ROUND(SUMIFS(Services!$AD$5:$AD$204,Services!$C$5:$C$204,"Hair - styling")/MAX(0.1,SUMIFS(Services!$AG$5:$AG$204,Services!$C$5:$C$204,"Hair - styling")),2),"")</f>
        <v>0</v>
      </c>
    </row>
    <row r="13" spans="1:11">
      <c r="B13" s="15" t="s">
        <v>704</v>
      </c>
      <c r="C13" s="25">
        <f>COUNTIFS(Services!$C$5:$C$204,"Barbering")</f>
        <v>0</v>
      </c>
      <c r="D13" s="25">
        <f>SUMIFS(Services!$AB$5:$AB$204,Services!$C$5:$C$204,"Barbering")</f>
        <v>0</v>
      </c>
      <c r="E13" s="26">
        <f>ROUND(SUMIFS(Services!$AD$5:$AD$204,Services!$C$5:$C$204,"Barbering"),2)</f>
        <v>0</v>
      </c>
      <c r="F13" s="27">
        <f>IFERROR(SUMIFS(Services!$AD$5:$AD$204,Services!$C$5:$C$204,"Barbering")/MAX(0.01,ServiceRevenueAll),"")</f>
        <v>0</v>
      </c>
      <c r="G13" s="26">
        <f>IFERROR(ROUND(SUMIFS(Services!$AD$5:$AD$204,Services!$C$5:$C$204,"Barbering")/MAX(1,SUMIFS(Services!$AC$5:$AC$204,Services!$C$5:$C$204,"Barbering")),2),"")</f>
        <v>0</v>
      </c>
      <c r="H13" s="37">
        <f>ROUND(SUMIFS(Services!$AG$5:$AG$204,Services!$C$5:$C$204,"Barbering"),1)</f>
        <v>0</v>
      </c>
      <c r="I13" s="26">
        <f>IFERROR(ROUND(SUMIFS(Services!$AD$5:$AD$204,Services!$C$5:$C$204,"Barbering")/MAX(0.1,SUMIFS(Services!$AG$5:$AG$204,Services!$C$5:$C$204,"Barbering")),2),"")</f>
        <v>0</v>
      </c>
    </row>
    <row r="14" spans="1:11">
      <c r="B14" s="15" t="s">
        <v>705</v>
      </c>
      <c r="C14" s="25">
        <f>COUNTIFS(Services!$C$5:$C$204,"Nails - manicure")</f>
        <v>0</v>
      </c>
      <c r="D14" s="25">
        <f>SUMIFS(Services!$AB$5:$AB$204,Services!$C$5:$C$204,"Nails - manicure")</f>
        <v>0</v>
      </c>
      <c r="E14" s="26">
        <f>ROUND(SUMIFS(Services!$AD$5:$AD$204,Services!$C$5:$C$204,"Nails - manicure"),2)</f>
        <v>0</v>
      </c>
      <c r="F14" s="27">
        <f>IFERROR(SUMIFS(Services!$AD$5:$AD$204,Services!$C$5:$C$204,"Nails - manicure")/MAX(0.01,ServiceRevenueAll),"")</f>
        <v>0</v>
      </c>
      <c r="G14" s="26">
        <f>IFERROR(ROUND(SUMIFS(Services!$AD$5:$AD$204,Services!$C$5:$C$204,"Nails - manicure")/MAX(1,SUMIFS(Services!$AC$5:$AC$204,Services!$C$5:$C$204,"Nails - manicure")),2),"")</f>
        <v>0</v>
      </c>
      <c r="H14" s="37">
        <f>ROUND(SUMIFS(Services!$AG$5:$AG$204,Services!$C$5:$C$204,"Nails - manicure"),1)</f>
        <v>0</v>
      </c>
      <c r="I14" s="26">
        <f>IFERROR(ROUND(SUMIFS(Services!$AD$5:$AD$204,Services!$C$5:$C$204,"Nails - manicure")/MAX(0.1,SUMIFS(Services!$AG$5:$AG$204,Services!$C$5:$C$204,"Nails - manicure")),2),"")</f>
        <v>0</v>
      </c>
    </row>
    <row r="15" spans="1:11">
      <c r="B15" s="15" t="s">
        <v>706</v>
      </c>
      <c r="C15" s="25">
        <f>COUNTIFS(Services!$C$5:$C$204,"Nails - pedicure")</f>
        <v>0</v>
      </c>
      <c r="D15" s="25">
        <f>SUMIFS(Services!$AB$5:$AB$204,Services!$C$5:$C$204,"Nails - pedicure")</f>
        <v>0</v>
      </c>
      <c r="E15" s="26">
        <f>ROUND(SUMIFS(Services!$AD$5:$AD$204,Services!$C$5:$C$204,"Nails - pedicure"),2)</f>
        <v>0</v>
      </c>
      <c r="F15" s="27">
        <f>IFERROR(SUMIFS(Services!$AD$5:$AD$204,Services!$C$5:$C$204,"Nails - pedicure")/MAX(0.01,ServiceRevenueAll),"")</f>
        <v>0</v>
      </c>
      <c r="G15" s="26">
        <f>IFERROR(ROUND(SUMIFS(Services!$AD$5:$AD$204,Services!$C$5:$C$204,"Nails - pedicure")/MAX(1,SUMIFS(Services!$AC$5:$AC$204,Services!$C$5:$C$204,"Nails - pedicure")),2),"")</f>
        <v>0</v>
      </c>
      <c r="H15" s="37">
        <f>ROUND(SUMIFS(Services!$AG$5:$AG$204,Services!$C$5:$C$204,"Nails - pedicure"),1)</f>
        <v>0</v>
      </c>
      <c r="I15" s="26">
        <f>IFERROR(ROUND(SUMIFS(Services!$AD$5:$AD$204,Services!$C$5:$C$204,"Nails - pedicure")/MAX(0.1,SUMIFS(Services!$AG$5:$AG$204,Services!$C$5:$C$204,"Nails - pedicure")),2),"")</f>
        <v>0</v>
      </c>
    </row>
    <row r="16" spans="1:11">
      <c r="B16" s="15" t="s">
        <v>707</v>
      </c>
      <c r="C16" s="25">
        <f>COUNTIFS(Services!$C$5:$C$204,"Nails - extensions")</f>
        <v>0</v>
      </c>
      <c r="D16" s="25">
        <f>SUMIFS(Services!$AB$5:$AB$204,Services!$C$5:$C$204,"Nails - extensions")</f>
        <v>0</v>
      </c>
      <c r="E16" s="26">
        <f>ROUND(SUMIFS(Services!$AD$5:$AD$204,Services!$C$5:$C$204,"Nails - extensions"),2)</f>
        <v>0</v>
      </c>
      <c r="F16" s="27">
        <f>IFERROR(SUMIFS(Services!$AD$5:$AD$204,Services!$C$5:$C$204,"Nails - extensions")/MAX(0.01,ServiceRevenueAll),"")</f>
        <v>0</v>
      </c>
      <c r="G16" s="26">
        <f>IFERROR(ROUND(SUMIFS(Services!$AD$5:$AD$204,Services!$C$5:$C$204,"Nails - extensions")/MAX(1,SUMIFS(Services!$AC$5:$AC$204,Services!$C$5:$C$204,"Nails - extensions")),2),"")</f>
        <v>0</v>
      </c>
      <c r="H16" s="37">
        <f>ROUND(SUMIFS(Services!$AG$5:$AG$204,Services!$C$5:$C$204,"Nails - extensions"),1)</f>
        <v>0</v>
      </c>
      <c r="I16" s="26">
        <f>IFERROR(ROUND(SUMIFS(Services!$AD$5:$AD$204,Services!$C$5:$C$204,"Nails - extensions")/MAX(0.1,SUMIFS(Services!$AG$5:$AG$204,Services!$C$5:$C$204,"Nails - extensions")),2),"")</f>
        <v>0</v>
      </c>
    </row>
    <row r="17" spans="1:11">
      <c r="B17" s="15" t="s">
        <v>708</v>
      </c>
      <c r="C17" s="25">
        <f>COUNTIFS(Services!$C$5:$C$204,"Lashes")</f>
        <v>0</v>
      </c>
      <c r="D17" s="25">
        <f>SUMIFS(Services!$AB$5:$AB$204,Services!$C$5:$C$204,"Lashes")</f>
        <v>0</v>
      </c>
      <c r="E17" s="26">
        <f>ROUND(SUMIFS(Services!$AD$5:$AD$204,Services!$C$5:$C$204,"Lashes"),2)</f>
        <v>0</v>
      </c>
      <c r="F17" s="27">
        <f>IFERROR(SUMIFS(Services!$AD$5:$AD$204,Services!$C$5:$C$204,"Lashes")/MAX(0.01,ServiceRevenueAll),"")</f>
        <v>0</v>
      </c>
      <c r="G17" s="26">
        <f>IFERROR(ROUND(SUMIFS(Services!$AD$5:$AD$204,Services!$C$5:$C$204,"Lashes")/MAX(1,SUMIFS(Services!$AC$5:$AC$204,Services!$C$5:$C$204,"Lashes")),2),"")</f>
        <v>0</v>
      </c>
      <c r="H17" s="37">
        <f>ROUND(SUMIFS(Services!$AG$5:$AG$204,Services!$C$5:$C$204,"Lashes"),1)</f>
        <v>0</v>
      </c>
      <c r="I17" s="26">
        <f>IFERROR(ROUND(SUMIFS(Services!$AD$5:$AD$204,Services!$C$5:$C$204,"Lashes")/MAX(0.1,SUMIFS(Services!$AG$5:$AG$204,Services!$C$5:$C$204,"Lashes")),2),"")</f>
        <v>0</v>
      </c>
    </row>
    <row r="18" spans="1:11">
      <c r="B18" s="15" t="s">
        <v>709</v>
      </c>
      <c r="C18" s="25">
        <f>COUNTIFS(Services!$C$5:$C$204,"Brows")</f>
        <v>0</v>
      </c>
      <c r="D18" s="25">
        <f>SUMIFS(Services!$AB$5:$AB$204,Services!$C$5:$C$204,"Brows")</f>
        <v>0</v>
      </c>
      <c r="E18" s="26">
        <f>ROUND(SUMIFS(Services!$AD$5:$AD$204,Services!$C$5:$C$204,"Brows"),2)</f>
        <v>0</v>
      </c>
      <c r="F18" s="27">
        <f>IFERROR(SUMIFS(Services!$AD$5:$AD$204,Services!$C$5:$C$204,"Brows")/MAX(0.01,ServiceRevenueAll),"")</f>
        <v>0</v>
      </c>
      <c r="G18" s="26">
        <f>IFERROR(ROUND(SUMIFS(Services!$AD$5:$AD$204,Services!$C$5:$C$204,"Brows")/MAX(1,SUMIFS(Services!$AC$5:$AC$204,Services!$C$5:$C$204,"Brows")),2),"")</f>
        <v>0</v>
      </c>
      <c r="H18" s="37">
        <f>ROUND(SUMIFS(Services!$AG$5:$AG$204,Services!$C$5:$C$204,"Brows"),1)</f>
        <v>0</v>
      </c>
      <c r="I18" s="26">
        <f>IFERROR(ROUND(SUMIFS(Services!$AD$5:$AD$204,Services!$C$5:$C$204,"Brows")/MAX(0.1,SUMIFS(Services!$AG$5:$AG$204,Services!$C$5:$C$204,"Brows")),2),"")</f>
        <v>0</v>
      </c>
    </row>
    <row r="19" spans="1:11">
      <c r="B19" s="15" t="s">
        <v>710</v>
      </c>
      <c r="C19" s="25">
        <f>COUNTIFS(Services!$C$5:$C$204,"Waxing")</f>
        <v>0</v>
      </c>
      <c r="D19" s="25">
        <f>SUMIFS(Services!$AB$5:$AB$204,Services!$C$5:$C$204,"Waxing")</f>
        <v>0</v>
      </c>
      <c r="E19" s="26">
        <f>ROUND(SUMIFS(Services!$AD$5:$AD$204,Services!$C$5:$C$204,"Waxing"),2)</f>
        <v>0</v>
      </c>
      <c r="F19" s="27">
        <f>IFERROR(SUMIFS(Services!$AD$5:$AD$204,Services!$C$5:$C$204,"Waxing")/MAX(0.01,ServiceRevenueAll),"")</f>
        <v>0</v>
      </c>
      <c r="G19" s="26">
        <f>IFERROR(ROUND(SUMIFS(Services!$AD$5:$AD$204,Services!$C$5:$C$204,"Waxing")/MAX(1,SUMIFS(Services!$AC$5:$AC$204,Services!$C$5:$C$204,"Waxing")),2),"")</f>
        <v>0</v>
      </c>
      <c r="H19" s="37">
        <f>ROUND(SUMIFS(Services!$AG$5:$AG$204,Services!$C$5:$C$204,"Waxing"),1)</f>
        <v>0</v>
      </c>
      <c r="I19" s="26">
        <f>IFERROR(ROUND(SUMIFS(Services!$AD$5:$AD$204,Services!$C$5:$C$204,"Waxing")/MAX(0.1,SUMIFS(Services!$AG$5:$AG$204,Services!$C$5:$C$204,"Waxing")),2),"")</f>
        <v>0</v>
      </c>
    </row>
    <row r="20" spans="1:11">
      <c r="B20" s="15" t="s">
        <v>711</v>
      </c>
      <c r="C20" s="25">
        <f>COUNTIFS(Services!$C$5:$C$204,"Facials &amp; skin")</f>
        <v>0</v>
      </c>
      <c r="D20" s="25">
        <f>SUMIFS(Services!$AB$5:$AB$204,Services!$C$5:$C$204,"Facials &amp; skin")</f>
        <v>0</v>
      </c>
      <c r="E20" s="26">
        <f>ROUND(SUMIFS(Services!$AD$5:$AD$204,Services!$C$5:$C$204,"Facials &amp; skin"),2)</f>
        <v>0</v>
      </c>
      <c r="F20" s="27">
        <f>IFERROR(SUMIFS(Services!$AD$5:$AD$204,Services!$C$5:$C$204,"Facials &amp; skin")/MAX(0.01,ServiceRevenueAll),"")</f>
        <v>0</v>
      </c>
      <c r="G20" s="26">
        <f>IFERROR(ROUND(SUMIFS(Services!$AD$5:$AD$204,Services!$C$5:$C$204,"Facials &amp; skin")/MAX(1,SUMIFS(Services!$AC$5:$AC$204,Services!$C$5:$C$204,"Facials &amp; skin")),2),"")</f>
        <v>0</v>
      </c>
      <c r="H20" s="37">
        <f>ROUND(SUMIFS(Services!$AG$5:$AG$204,Services!$C$5:$C$204,"Facials &amp; skin"),1)</f>
        <v>0</v>
      </c>
      <c r="I20" s="26">
        <f>IFERROR(ROUND(SUMIFS(Services!$AD$5:$AD$204,Services!$C$5:$C$204,"Facials &amp; skin")/MAX(0.1,SUMIFS(Services!$AG$5:$AG$204,Services!$C$5:$C$204,"Facials &amp; skin")),2),"")</f>
        <v>0</v>
      </c>
    </row>
    <row r="21" spans="1:11">
      <c r="B21" s="15" t="s">
        <v>712</v>
      </c>
      <c r="C21" s="25">
        <f>COUNTIFS(Services!$C$5:$C$204,"Massage &amp; body")</f>
        <v>0</v>
      </c>
      <c r="D21" s="25">
        <f>SUMIFS(Services!$AB$5:$AB$204,Services!$C$5:$C$204,"Massage &amp; body")</f>
        <v>0</v>
      </c>
      <c r="E21" s="26">
        <f>ROUND(SUMIFS(Services!$AD$5:$AD$204,Services!$C$5:$C$204,"Massage &amp; body"),2)</f>
        <v>0</v>
      </c>
      <c r="F21" s="27">
        <f>IFERROR(SUMIFS(Services!$AD$5:$AD$204,Services!$C$5:$C$204,"Massage &amp; body")/MAX(0.01,ServiceRevenueAll),"")</f>
        <v>0</v>
      </c>
      <c r="G21" s="26">
        <f>IFERROR(ROUND(SUMIFS(Services!$AD$5:$AD$204,Services!$C$5:$C$204,"Massage &amp; body")/MAX(1,SUMIFS(Services!$AC$5:$AC$204,Services!$C$5:$C$204,"Massage &amp; body")),2),"")</f>
        <v>0</v>
      </c>
      <c r="H21" s="37">
        <f>ROUND(SUMIFS(Services!$AG$5:$AG$204,Services!$C$5:$C$204,"Massage &amp; body"),1)</f>
        <v>0</v>
      </c>
      <c r="I21" s="26">
        <f>IFERROR(ROUND(SUMIFS(Services!$AD$5:$AD$204,Services!$C$5:$C$204,"Massage &amp; body")/MAX(0.1,SUMIFS(Services!$AG$5:$AG$204,Services!$C$5:$C$204,"Massage &amp; body")),2),"")</f>
        <v>0</v>
      </c>
    </row>
    <row r="22" spans="1:11">
      <c r="B22" s="15" t="s">
        <v>713</v>
      </c>
      <c r="C22" s="25">
        <f>COUNTIFS(Services!$C$5:$C$204,"Make-up")</f>
        <v>0</v>
      </c>
      <c r="D22" s="25">
        <f>SUMIFS(Services!$AB$5:$AB$204,Services!$C$5:$C$204,"Make-up")</f>
        <v>0</v>
      </c>
      <c r="E22" s="26">
        <f>ROUND(SUMIFS(Services!$AD$5:$AD$204,Services!$C$5:$C$204,"Make-up"),2)</f>
        <v>0</v>
      </c>
      <c r="F22" s="27">
        <f>IFERROR(SUMIFS(Services!$AD$5:$AD$204,Services!$C$5:$C$204,"Make-up")/MAX(0.01,ServiceRevenueAll),"")</f>
        <v>0</v>
      </c>
      <c r="G22" s="26">
        <f>IFERROR(ROUND(SUMIFS(Services!$AD$5:$AD$204,Services!$C$5:$C$204,"Make-up")/MAX(1,SUMIFS(Services!$AC$5:$AC$204,Services!$C$5:$C$204,"Make-up")),2),"")</f>
        <v>0</v>
      </c>
      <c r="H22" s="37">
        <f>ROUND(SUMIFS(Services!$AG$5:$AG$204,Services!$C$5:$C$204,"Make-up"),1)</f>
        <v>0</v>
      </c>
      <c r="I22" s="26">
        <f>IFERROR(ROUND(SUMIFS(Services!$AD$5:$AD$204,Services!$C$5:$C$204,"Make-up")/MAX(0.1,SUMIFS(Services!$AG$5:$AG$204,Services!$C$5:$C$204,"Make-up")),2),"")</f>
        <v>0</v>
      </c>
    </row>
    <row r="23" spans="1:11">
      <c r="B23" s="15" t="s">
        <v>714</v>
      </c>
      <c r="C23" s="25">
        <f>COUNTIFS(Services!$C$5:$C$204,"Tanning")</f>
        <v>0</v>
      </c>
      <c r="D23" s="25">
        <f>SUMIFS(Services!$AB$5:$AB$204,Services!$C$5:$C$204,"Tanning")</f>
        <v>0</v>
      </c>
      <c r="E23" s="26">
        <f>ROUND(SUMIFS(Services!$AD$5:$AD$204,Services!$C$5:$C$204,"Tanning"),2)</f>
        <v>0</v>
      </c>
      <c r="F23" s="27">
        <f>IFERROR(SUMIFS(Services!$AD$5:$AD$204,Services!$C$5:$C$204,"Tanning")/MAX(0.01,ServiceRevenueAll),"")</f>
        <v>0</v>
      </c>
      <c r="G23" s="26">
        <f>IFERROR(ROUND(SUMIFS(Services!$AD$5:$AD$204,Services!$C$5:$C$204,"Tanning")/MAX(1,SUMIFS(Services!$AC$5:$AC$204,Services!$C$5:$C$204,"Tanning")),2),"")</f>
        <v>0</v>
      </c>
      <c r="H23" s="37">
        <f>ROUND(SUMIFS(Services!$AG$5:$AG$204,Services!$C$5:$C$204,"Tanning"),1)</f>
        <v>0</v>
      </c>
      <c r="I23" s="26">
        <f>IFERROR(ROUND(SUMIFS(Services!$AD$5:$AD$204,Services!$C$5:$C$204,"Tanning")/MAX(0.1,SUMIFS(Services!$AG$5:$AG$204,Services!$C$5:$C$204,"Tanning")),2),"")</f>
        <v>0</v>
      </c>
    </row>
    <row r="24" spans="1:11">
      <c r="B24" s="15" t="s">
        <v>715</v>
      </c>
      <c r="C24" s="25">
        <f>COUNTIFS(Services!$C$5:$C$204,"Package")</f>
        <v>0</v>
      </c>
      <c r="D24" s="25">
        <f>SUMIFS(Services!$AB$5:$AB$204,Services!$C$5:$C$204,"Package")</f>
        <v>0</v>
      </c>
      <c r="E24" s="26">
        <f>ROUND(SUMIFS(Services!$AD$5:$AD$204,Services!$C$5:$C$204,"Package"),2)</f>
        <v>0</v>
      </c>
      <c r="F24" s="27">
        <f>IFERROR(SUMIFS(Services!$AD$5:$AD$204,Services!$C$5:$C$204,"Package")/MAX(0.01,ServiceRevenueAll),"")</f>
        <v>0</v>
      </c>
      <c r="G24" s="26">
        <f>IFERROR(ROUND(SUMIFS(Services!$AD$5:$AD$204,Services!$C$5:$C$204,"Package")/MAX(1,SUMIFS(Services!$AC$5:$AC$204,Services!$C$5:$C$204,"Package")),2),"")</f>
        <v>0</v>
      </c>
      <c r="H24" s="37">
        <f>ROUND(SUMIFS(Services!$AG$5:$AG$204,Services!$C$5:$C$204,"Package"),1)</f>
        <v>0</v>
      </c>
      <c r="I24" s="26">
        <f>IFERROR(ROUND(SUMIFS(Services!$AD$5:$AD$204,Services!$C$5:$C$204,"Package")/MAX(0.1,SUMIFS(Services!$AG$5:$AG$204,Services!$C$5:$C$204,"Package")),2),"")</f>
        <v>0</v>
      </c>
    </row>
    <row r="25" spans="1:11">
      <c r="B25" s="15" t="s">
        <v>716</v>
      </c>
      <c r="C25" s="25">
        <f>COUNTIFS(Services!$C$5:$C$204,"Other service")</f>
        <v>0</v>
      </c>
      <c r="D25" s="25">
        <f>SUMIFS(Services!$AB$5:$AB$204,Services!$C$5:$C$204,"Other service")</f>
        <v>0</v>
      </c>
      <c r="E25" s="26">
        <f>ROUND(SUMIFS(Services!$AD$5:$AD$204,Services!$C$5:$C$204,"Other service"),2)</f>
        <v>0</v>
      </c>
      <c r="F25" s="27">
        <f>IFERROR(SUMIFS(Services!$AD$5:$AD$204,Services!$C$5:$C$204,"Other service")/MAX(0.01,ServiceRevenueAll),"")</f>
        <v>0</v>
      </c>
      <c r="G25" s="26">
        <f>IFERROR(ROUND(SUMIFS(Services!$AD$5:$AD$204,Services!$C$5:$C$204,"Other service")/MAX(1,SUMIFS(Services!$AC$5:$AC$204,Services!$C$5:$C$204,"Other service")),2),"")</f>
        <v>0</v>
      </c>
      <c r="H25" s="37">
        <f>ROUND(SUMIFS(Services!$AG$5:$AG$204,Services!$C$5:$C$204,"Other service"),1)</f>
        <v>0</v>
      </c>
      <c r="I25" s="26">
        <f>IFERROR(ROUND(SUMIFS(Services!$AD$5:$AD$204,Services!$C$5:$C$204,"Other service")/MAX(0.1,SUMIFS(Services!$AG$5:$AG$204,Services!$C$5:$C$204,"Other service")),2),"")</f>
        <v>0</v>
      </c>
    </row>
    <row r="27" spans="1:11" ht="20" customHeight="1">
      <c r="A27" s="7" t="s">
        <v>717</v>
      </c>
      <c r="B27" s="7"/>
      <c r="C27" s="7"/>
      <c r="D27" s="7"/>
      <c r="E27" s="7"/>
      <c r="F27" s="7"/>
      <c r="G27" s="7"/>
      <c r="H27" s="7"/>
      <c r="I27" s="7"/>
      <c r="J27" s="7"/>
      <c r="K27" s="7"/>
    </row>
    <row r="28" spans="1:11" ht="26" customHeight="1">
      <c r="B28" s="10" t="s">
        <v>213</v>
      </c>
      <c r="C28" s="11" t="s">
        <v>29</v>
      </c>
      <c r="D28" s="11" t="s">
        <v>177</v>
      </c>
      <c r="E28" s="11" t="s">
        <v>245</v>
      </c>
      <c r="F28" s="11" t="s">
        <v>246</v>
      </c>
      <c r="G28" s="11" t="s">
        <v>186</v>
      </c>
      <c r="H28" s="11" t="s">
        <v>88</v>
      </c>
      <c r="I28" s="11" t="s">
        <v>232</v>
      </c>
      <c r="J28" s="11" t="s">
        <v>699</v>
      </c>
    </row>
    <row r="29" spans="1:11">
      <c r="B29" s="15" t="s">
        <v>718</v>
      </c>
      <c r="C29" s="25">
        <f>COUNTIFS(Appointments!$C$5:$C$1204,"Mon")</f>
        <v>0</v>
      </c>
      <c r="D29" s="25">
        <f>COUNTIFS(Appointments!$C$5:$C$1204,"Mon",Appointments!$M$5:$M$1204,"Completed")</f>
        <v>0</v>
      </c>
      <c r="E29" s="25">
        <f>COUNTIFS(Appointments!$C$5:$C$1204,"Mon",Appointments!$M$5:$M$1204,"Cancelled")</f>
        <v>0</v>
      </c>
      <c r="F29" s="25">
        <f>COUNTIFS(Appointments!$C$5:$C$1204,"Mon",Appointments!$M$5:$M$1204,"No show")</f>
        <v>0</v>
      </c>
      <c r="G29" s="26">
        <f>ROUND(SUMIFS(Appointments!$AB$5:$AB$1204,Appointments!$C$5:$C$1204,"Mon",Appointments!$M$5:$M$1204,"Completed"),2)</f>
        <v>0</v>
      </c>
      <c r="H29" s="26">
        <f>IFERROR(ROUND(SUMIFS(Appointments!$AB$5:$AB$1204,Appointments!$C$5:$C$1204,"Mon",Appointments!$M$5:$M$1204,"Completed")/MAX(1,COUNTIFS(Appointments!$C$5:$C$1204,"Mon",Appointments!$M$5:$M$1204,"Completed")),2),"")</f>
        <v>0</v>
      </c>
      <c r="I29" s="37">
        <f>ROUND(SUMIFS(Appointments!$X$5:$X$1204,Appointments!$C$5:$C$1204,"Mon",Appointments!$M$5:$M$1204,"Completed"),1)</f>
        <v>0</v>
      </c>
      <c r="J29" s="26">
        <f>IFERROR(ROUND(SUMIFS(Appointments!$AB$5:$AB$1204,Appointments!$C$5:$C$1204,"Mon",Appointments!$M$5:$M$1204,"Completed")/MAX(0.1,SUMIFS(Appointments!$X$5:$X$1204,Appointments!$C$5:$C$1204,"Mon",Appointments!$M$5:$M$1204,"Completed")),2),"")</f>
        <v>0</v>
      </c>
    </row>
    <row r="30" spans="1:11">
      <c r="B30" s="15" t="s">
        <v>719</v>
      </c>
      <c r="C30" s="25">
        <f>COUNTIFS(Appointments!$C$5:$C$1204,"Tue")</f>
        <v>0</v>
      </c>
      <c r="D30" s="25">
        <f>COUNTIFS(Appointments!$C$5:$C$1204,"Tue",Appointments!$M$5:$M$1204,"Completed")</f>
        <v>0</v>
      </c>
      <c r="E30" s="25">
        <f>COUNTIFS(Appointments!$C$5:$C$1204,"Tue",Appointments!$M$5:$M$1204,"Cancelled")</f>
        <v>0</v>
      </c>
      <c r="F30" s="25">
        <f>COUNTIFS(Appointments!$C$5:$C$1204,"Tue",Appointments!$M$5:$M$1204,"No show")</f>
        <v>0</v>
      </c>
      <c r="G30" s="26">
        <f>ROUND(SUMIFS(Appointments!$AB$5:$AB$1204,Appointments!$C$5:$C$1204,"Tue",Appointments!$M$5:$M$1204,"Completed"),2)</f>
        <v>0</v>
      </c>
      <c r="H30" s="26">
        <f>IFERROR(ROUND(SUMIFS(Appointments!$AB$5:$AB$1204,Appointments!$C$5:$C$1204,"Tue",Appointments!$M$5:$M$1204,"Completed")/MAX(1,COUNTIFS(Appointments!$C$5:$C$1204,"Tue",Appointments!$M$5:$M$1204,"Completed")),2),"")</f>
        <v>0</v>
      </c>
      <c r="I30" s="37">
        <f>ROUND(SUMIFS(Appointments!$X$5:$X$1204,Appointments!$C$5:$C$1204,"Tue",Appointments!$M$5:$M$1204,"Completed"),1)</f>
        <v>0</v>
      </c>
      <c r="J30" s="26">
        <f>IFERROR(ROUND(SUMIFS(Appointments!$AB$5:$AB$1204,Appointments!$C$5:$C$1204,"Tue",Appointments!$M$5:$M$1204,"Completed")/MAX(0.1,SUMIFS(Appointments!$X$5:$X$1204,Appointments!$C$5:$C$1204,"Tue",Appointments!$M$5:$M$1204,"Completed")),2),"")</f>
        <v>0</v>
      </c>
    </row>
    <row r="31" spans="1:11">
      <c r="B31" s="15" t="s">
        <v>720</v>
      </c>
      <c r="C31" s="25">
        <f>COUNTIFS(Appointments!$C$5:$C$1204,"Wed")</f>
        <v>0</v>
      </c>
      <c r="D31" s="25">
        <f>COUNTIFS(Appointments!$C$5:$C$1204,"Wed",Appointments!$M$5:$M$1204,"Completed")</f>
        <v>0</v>
      </c>
      <c r="E31" s="25">
        <f>COUNTIFS(Appointments!$C$5:$C$1204,"Wed",Appointments!$M$5:$M$1204,"Cancelled")</f>
        <v>0</v>
      </c>
      <c r="F31" s="25">
        <f>COUNTIFS(Appointments!$C$5:$C$1204,"Wed",Appointments!$M$5:$M$1204,"No show")</f>
        <v>0</v>
      </c>
      <c r="G31" s="26">
        <f>ROUND(SUMIFS(Appointments!$AB$5:$AB$1204,Appointments!$C$5:$C$1204,"Wed",Appointments!$M$5:$M$1204,"Completed"),2)</f>
        <v>0</v>
      </c>
      <c r="H31" s="26">
        <f>IFERROR(ROUND(SUMIFS(Appointments!$AB$5:$AB$1204,Appointments!$C$5:$C$1204,"Wed",Appointments!$M$5:$M$1204,"Completed")/MAX(1,COUNTIFS(Appointments!$C$5:$C$1204,"Wed",Appointments!$M$5:$M$1204,"Completed")),2),"")</f>
        <v>0</v>
      </c>
      <c r="I31" s="37">
        <f>ROUND(SUMIFS(Appointments!$X$5:$X$1204,Appointments!$C$5:$C$1204,"Wed",Appointments!$M$5:$M$1204,"Completed"),1)</f>
        <v>0</v>
      </c>
      <c r="J31" s="26">
        <f>IFERROR(ROUND(SUMIFS(Appointments!$AB$5:$AB$1204,Appointments!$C$5:$C$1204,"Wed",Appointments!$M$5:$M$1204,"Completed")/MAX(0.1,SUMIFS(Appointments!$X$5:$X$1204,Appointments!$C$5:$C$1204,"Wed",Appointments!$M$5:$M$1204,"Completed")),2),"")</f>
        <v>0</v>
      </c>
    </row>
    <row r="32" spans="1:11">
      <c r="B32" s="15" t="s">
        <v>721</v>
      </c>
      <c r="C32" s="25">
        <f>COUNTIFS(Appointments!$C$5:$C$1204,"Thu")</f>
        <v>0</v>
      </c>
      <c r="D32" s="25">
        <f>COUNTIFS(Appointments!$C$5:$C$1204,"Thu",Appointments!$M$5:$M$1204,"Completed")</f>
        <v>0</v>
      </c>
      <c r="E32" s="25">
        <f>COUNTIFS(Appointments!$C$5:$C$1204,"Thu",Appointments!$M$5:$M$1204,"Cancelled")</f>
        <v>0</v>
      </c>
      <c r="F32" s="25">
        <f>COUNTIFS(Appointments!$C$5:$C$1204,"Thu",Appointments!$M$5:$M$1204,"No show")</f>
        <v>0</v>
      </c>
      <c r="G32" s="26">
        <f>ROUND(SUMIFS(Appointments!$AB$5:$AB$1204,Appointments!$C$5:$C$1204,"Thu",Appointments!$M$5:$M$1204,"Completed"),2)</f>
        <v>0</v>
      </c>
      <c r="H32" s="26">
        <f>IFERROR(ROUND(SUMIFS(Appointments!$AB$5:$AB$1204,Appointments!$C$5:$C$1204,"Thu",Appointments!$M$5:$M$1204,"Completed")/MAX(1,COUNTIFS(Appointments!$C$5:$C$1204,"Thu",Appointments!$M$5:$M$1204,"Completed")),2),"")</f>
        <v>0</v>
      </c>
      <c r="I32" s="37">
        <f>ROUND(SUMIFS(Appointments!$X$5:$X$1204,Appointments!$C$5:$C$1204,"Thu",Appointments!$M$5:$M$1204,"Completed"),1)</f>
        <v>0</v>
      </c>
      <c r="J32" s="26">
        <f>IFERROR(ROUND(SUMIFS(Appointments!$AB$5:$AB$1204,Appointments!$C$5:$C$1204,"Thu",Appointments!$M$5:$M$1204,"Completed")/MAX(0.1,SUMIFS(Appointments!$X$5:$X$1204,Appointments!$C$5:$C$1204,"Thu",Appointments!$M$5:$M$1204,"Completed")),2),"")</f>
        <v>0</v>
      </c>
    </row>
    <row r="33" spans="1:11">
      <c r="B33" s="15" t="s">
        <v>722</v>
      </c>
      <c r="C33" s="25">
        <f>COUNTIFS(Appointments!$C$5:$C$1204,"Fri")</f>
        <v>0</v>
      </c>
      <c r="D33" s="25">
        <f>COUNTIFS(Appointments!$C$5:$C$1204,"Fri",Appointments!$M$5:$M$1204,"Completed")</f>
        <v>0</v>
      </c>
      <c r="E33" s="25">
        <f>COUNTIFS(Appointments!$C$5:$C$1204,"Fri",Appointments!$M$5:$M$1204,"Cancelled")</f>
        <v>0</v>
      </c>
      <c r="F33" s="25">
        <f>COUNTIFS(Appointments!$C$5:$C$1204,"Fri",Appointments!$M$5:$M$1204,"No show")</f>
        <v>0</v>
      </c>
      <c r="G33" s="26">
        <f>ROUND(SUMIFS(Appointments!$AB$5:$AB$1204,Appointments!$C$5:$C$1204,"Fri",Appointments!$M$5:$M$1204,"Completed"),2)</f>
        <v>0</v>
      </c>
      <c r="H33" s="26">
        <f>IFERROR(ROUND(SUMIFS(Appointments!$AB$5:$AB$1204,Appointments!$C$5:$C$1204,"Fri",Appointments!$M$5:$M$1204,"Completed")/MAX(1,COUNTIFS(Appointments!$C$5:$C$1204,"Fri",Appointments!$M$5:$M$1204,"Completed")),2),"")</f>
        <v>0</v>
      </c>
      <c r="I33" s="37">
        <f>ROUND(SUMIFS(Appointments!$X$5:$X$1204,Appointments!$C$5:$C$1204,"Fri",Appointments!$M$5:$M$1204,"Completed"),1)</f>
        <v>0</v>
      </c>
      <c r="J33" s="26">
        <f>IFERROR(ROUND(SUMIFS(Appointments!$AB$5:$AB$1204,Appointments!$C$5:$C$1204,"Fri",Appointments!$M$5:$M$1204,"Completed")/MAX(0.1,SUMIFS(Appointments!$X$5:$X$1204,Appointments!$C$5:$C$1204,"Fri",Appointments!$M$5:$M$1204,"Completed")),2),"")</f>
        <v>0</v>
      </c>
    </row>
    <row r="34" spans="1:11">
      <c r="B34" s="15" t="s">
        <v>723</v>
      </c>
      <c r="C34" s="25">
        <f>COUNTIFS(Appointments!$C$5:$C$1204,"Sat")</f>
        <v>0</v>
      </c>
      <c r="D34" s="25">
        <f>COUNTIFS(Appointments!$C$5:$C$1204,"Sat",Appointments!$M$5:$M$1204,"Completed")</f>
        <v>0</v>
      </c>
      <c r="E34" s="25">
        <f>COUNTIFS(Appointments!$C$5:$C$1204,"Sat",Appointments!$M$5:$M$1204,"Cancelled")</f>
        <v>0</v>
      </c>
      <c r="F34" s="25">
        <f>COUNTIFS(Appointments!$C$5:$C$1204,"Sat",Appointments!$M$5:$M$1204,"No show")</f>
        <v>0</v>
      </c>
      <c r="G34" s="26">
        <f>ROUND(SUMIFS(Appointments!$AB$5:$AB$1204,Appointments!$C$5:$C$1204,"Sat",Appointments!$M$5:$M$1204,"Completed"),2)</f>
        <v>0</v>
      </c>
      <c r="H34" s="26">
        <f>IFERROR(ROUND(SUMIFS(Appointments!$AB$5:$AB$1204,Appointments!$C$5:$C$1204,"Sat",Appointments!$M$5:$M$1204,"Completed")/MAX(1,COUNTIFS(Appointments!$C$5:$C$1204,"Sat",Appointments!$M$5:$M$1204,"Completed")),2),"")</f>
        <v>0</v>
      </c>
      <c r="I34" s="37">
        <f>ROUND(SUMIFS(Appointments!$X$5:$X$1204,Appointments!$C$5:$C$1204,"Sat",Appointments!$M$5:$M$1204,"Completed"),1)</f>
        <v>0</v>
      </c>
      <c r="J34" s="26">
        <f>IFERROR(ROUND(SUMIFS(Appointments!$AB$5:$AB$1204,Appointments!$C$5:$C$1204,"Sat",Appointments!$M$5:$M$1204,"Completed")/MAX(0.1,SUMIFS(Appointments!$X$5:$X$1204,Appointments!$C$5:$C$1204,"Sat",Appointments!$M$5:$M$1204,"Completed")),2),"")</f>
        <v>0</v>
      </c>
    </row>
    <row r="35" spans="1:11">
      <c r="B35" s="15" t="s">
        <v>724</v>
      </c>
      <c r="C35" s="25">
        <f>COUNTIFS(Appointments!$C$5:$C$1204,"Sun")</f>
        <v>0</v>
      </c>
      <c r="D35" s="25">
        <f>COUNTIFS(Appointments!$C$5:$C$1204,"Sun",Appointments!$M$5:$M$1204,"Completed")</f>
        <v>0</v>
      </c>
      <c r="E35" s="25">
        <f>COUNTIFS(Appointments!$C$5:$C$1204,"Sun",Appointments!$M$5:$M$1204,"Cancelled")</f>
        <v>0</v>
      </c>
      <c r="F35" s="25">
        <f>COUNTIFS(Appointments!$C$5:$C$1204,"Sun",Appointments!$M$5:$M$1204,"No show")</f>
        <v>0</v>
      </c>
      <c r="G35" s="26">
        <f>ROUND(SUMIFS(Appointments!$AB$5:$AB$1204,Appointments!$C$5:$C$1204,"Sun",Appointments!$M$5:$M$1204,"Completed"),2)</f>
        <v>0</v>
      </c>
      <c r="H35" s="26">
        <f>IFERROR(ROUND(SUMIFS(Appointments!$AB$5:$AB$1204,Appointments!$C$5:$C$1204,"Sun",Appointments!$M$5:$M$1204,"Completed")/MAX(1,COUNTIFS(Appointments!$C$5:$C$1204,"Sun",Appointments!$M$5:$M$1204,"Completed")),2),"")</f>
        <v>0</v>
      </c>
      <c r="I35" s="37">
        <f>ROUND(SUMIFS(Appointments!$X$5:$X$1204,Appointments!$C$5:$C$1204,"Sun",Appointments!$M$5:$M$1204,"Completed"),1)</f>
        <v>0</v>
      </c>
      <c r="J35" s="26">
        <f>IFERROR(ROUND(SUMIFS(Appointments!$AB$5:$AB$1204,Appointments!$C$5:$C$1204,"Sun",Appointments!$M$5:$M$1204,"Completed")/MAX(0.1,SUMIFS(Appointments!$X$5:$X$1204,Appointments!$C$5:$C$1204,"Sun",Appointments!$M$5:$M$1204,"Completed")),2),"")</f>
        <v>0</v>
      </c>
    </row>
    <row r="37" spans="1:11" ht="20" customHeight="1">
      <c r="A37" s="7" t="s">
        <v>725</v>
      </c>
      <c r="B37" s="7"/>
      <c r="C37" s="7"/>
      <c r="D37" s="7"/>
      <c r="E37" s="7"/>
      <c r="F37" s="7"/>
      <c r="G37" s="7"/>
      <c r="H37" s="7"/>
      <c r="I37" s="7"/>
      <c r="J37" s="7"/>
      <c r="K37" s="7"/>
    </row>
    <row r="38" spans="1:11" ht="26" customHeight="1">
      <c r="A38" s="6" t="s">
        <v>726</v>
      </c>
      <c r="B38" s="6"/>
      <c r="C38" s="6"/>
      <c r="D38" s="6"/>
      <c r="E38" s="6"/>
      <c r="F38" s="6"/>
      <c r="G38" s="6"/>
      <c r="H38" s="6"/>
      <c r="I38" s="6"/>
      <c r="J38" s="6"/>
      <c r="K38" s="6"/>
    </row>
    <row r="40" spans="1:11" ht="26" customHeight="1">
      <c r="B40" s="10" t="s">
        <v>231</v>
      </c>
      <c r="C40" s="11" t="s">
        <v>29</v>
      </c>
      <c r="D40" s="11" t="s">
        <v>177</v>
      </c>
      <c r="E40" s="11" t="s">
        <v>186</v>
      </c>
      <c r="F40" s="11" t="s">
        <v>727</v>
      </c>
      <c r="G40" s="11" t="s">
        <v>728</v>
      </c>
    </row>
    <row r="41" spans="1:11">
      <c r="B41" s="15" t="s">
        <v>729</v>
      </c>
      <c r="C41" s="25">
        <f>COUNTIFS(Appointments!$W$5:$W$1204,7)</f>
        <v>0</v>
      </c>
      <c r="D41" s="25">
        <f>COUNTIFS(Appointments!$W$5:$W$1204,7,Appointments!$M$5:$M$1204,"Completed")</f>
        <v>0</v>
      </c>
      <c r="E41" s="26">
        <f>ROUND(SUMIFS(Appointments!$AB$5:$AB$1204,Appointments!$W$5:$W$1204,7,Appointments!$M$5:$M$1204,"Completed"),2)</f>
        <v>0</v>
      </c>
      <c r="F41" s="27">
        <f>IFERROR(COUNTIFS(Appointments!$W$5:$W$1204,7)/MAX(1,COUNTIF(Appointments!$B$5:$B$1204,"&lt;&gt;")),"")</f>
        <v>0</v>
      </c>
      <c r="G41" s="25">
        <f>COUNTIFS(Appointments!$W$5:$W$1204,7,Appointments!$M$5:$M$1204,"Cancelled")+COUNTIFS(Appointments!$W$5:$W$1204,7,Appointments!$M$5:$M$1204,"No show")</f>
        <v>0</v>
      </c>
    </row>
    <row r="42" spans="1:11">
      <c r="B42" s="15" t="s">
        <v>730</v>
      </c>
      <c r="C42" s="25">
        <f>COUNTIFS(Appointments!$W$5:$W$1204,8)</f>
        <v>0</v>
      </c>
      <c r="D42" s="25">
        <f>COUNTIFS(Appointments!$W$5:$W$1204,8,Appointments!$M$5:$M$1204,"Completed")</f>
        <v>0</v>
      </c>
      <c r="E42" s="26">
        <f>ROUND(SUMIFS(Appointments!$AB$5:$AB$1204,Appointments!$W$5:$W$1204,8,Appointments!$M$5:$M$1204,"Completed"),2)</f>
        <v>0</v>
      </c>
      <c r="F42" s="27">
        <f>IFERROR(COUNTIFS(Appointments!$W$5:$W$1204,8)/MAX(1,COUNTIF(Appointments!$B$5:$B$1204,"&lt;&gt;")),"")</f>
        <v>0</v>
      </c>
      <c r="G42" s="25">
        <f>COUNTIFS(Appointments!$W$5:$W$1204,8,Appointments!$M$5:$M$1204,"Cancelled")+COUNTIFS(Appointments!$W$5:$W$1204,8,Appointments!$M$5:$M$1204,"No show")</f>
        <v>0</v>
      </c>
    </row>
    <row r="43" spans="1:11">
      <c r="B43" s="15" t="s">
        <v>731</v>
      </c>
      <c r="C43" s="25">
        <f>COUNTIFS(Appointments!$W$5:$W$1204,9)</f>
        <v>0</v>
      </c>
      <c r="D43" s="25">
        <f>COUNTIFS(Appointments!$W$5:$W$1204,9,Appointments!$M$5:$M$1204,"Completed")</f>
        <v>0</v>
      </c>
      <c r="E43" s="26">
        <f>ROUND(SUMIFS(Appointments!$AB$5:$AB$1204,Appointments!$W$5:$W$1204,9,Appointments!$M$5:$M$1204,"Completed"),2)</f>
        <v>0</v>
      </c>
      <c r="F43" s="27">
        <f>IFERROR(COUNTIFS(Appointments!$W$5:$W$1204,9)/MAX(1,COUNTIF(Appointments!$B$5:$B$1204,"&lt;&gt;")),"")</f>
        <v>0</v>
      </c>
      <c r="G43" s="25">
        <f>COUNTIFS(Appointments!$W$5:$W$1204,9,Appointments!$M$5:$M$1204,"Cancelled")+COUNTIFS(Appointments!$W$5:$W$1204,9,Appointments!$M$5:$M$1204,"No show")</f>
        <v>0</v>
      </c>
    </row>
    <row r="44" spans="1:11">
      <c r="B44" s="15" t="s">
        <v>732</v>
      </c>
      <c r="C44" s="25">
        <f>COUNTIFS(Appointments!$W$5:$W$1204,10)</f>
        <v>0</v>
      </c>
      <c r="D44" s="25">
        <f>COUNTIFS(Appointments!$W$5:$W$1204,10,Appointments!$M$5:$M$1204,"Completed")</f>
        <v>0</v>
      </c>
      <c r="E44" s="26">
        <f>ROUND(SUMIFS(Appointments!$AB$5:$AB$1204,Appointments!$W$5:$W$1204,10,Appointments!$M$5:$M$1204,"Completed"),2)</f>
        <v>0</v>
      </c>
      <c r="F44" s="27">
        <f>IFERROR(COUNTIFS(Appointments!$W$5:$W$1204,10)/MAX(1,COUNTIF(Appointments!$B$5:$B$1204,"&lt;&gt;")),"")</f>
        <v>0</v>
      </c>
      <c r="G44" s="25">
        <f>COUNTIFS(Appointments!$W$5:$W$1204,10,Appointments!$M$5:$M$1204,"Cancelled")+COUNTIFS(Appointments!$W$5:$W$1204,10,Appointments!$M$5:$M$1204,"No show")</f>
        <v>0</v>
      </c>
    </row>
    <row r="45" spans="1:11">
      <c r="B45" s="15" t="s">
        <v>733</v>
      </c>
      <c r="C45" s="25">
        <f>COUNTIFS(Appointments!$W$5:$W$1204,11)</f>
        <v>0</v>
      </c>
      <c r="D45" s="25">
        <f>COUNTIFS(Appointments!$W$5:$W$1204,11,Appointments!$M$5:$M$1204,"Completed")</f>
        <v>0</v>
      </c>
      <c r="E45" s="26">
        <f>ROUND(SUMIFS(Appointments!$AB$5:$AB$1204,Appointments!$W$5:$W$1204,11,Appointments!$M$5:$M$1204,"Completed"),2)</f>
        <v>0</v>
      </c>
      <c r="F45" s="27">
        <f>IFERROR(COUNTIFS(Appointments!$W$5:$W$1204,11)/MAX(1,COUNTIF(Appointments!$B$5:$B$1204,"&lt;&gt;")),"")</f>
        <v>0</v>
      </c>
      <c r="G45" s="25">
        <f>COUNTIFS(Appointments!$W$5:$W$1204,11,Appointments!$M$5:$M$1204,"Cancelled")+COUNTIFS(Appointments!$W$5:$W$1204,11,Appointments!$M$5:$M$1204,"No show")</f>
        <v>0</v>
      </c>
    </row>
    <row r="46" spans="1:11">
      <c r="B46" s="15" t="s">
        <v>734</v>
      </c>
      <c r="C46" s="25">
        <f>COUNTIFS(Appointments!$W$5:$W$1204,12)</f>
        <v>0</v>
      </c>
      <c r="D46" s="25">
        <f>COUNTIFS(Appointments!$W$5:$W$1204,12,Appointments!$M$5:$M$1204,"Completed")</f>
        <v>0</v>
      </c>
      <c r="E46" s="26">
        <f>ROUND(SUMIFS(Appointments!$AB$5:$AB$1204,Appointments!$W$5:$W$1204,12,Appointments!$M$5:$M$1204,"Completed"),2)</f>
        <v>0</v>
      </c>
      <c r="F46" s="27">
        <f>IFERROR(COUNTIFS(Appointments!$W$5:$W$1204,12)/MAX(1,COUNTIF(Appointments!$B$5:$B$1204,"&lt;&gt;")),"")</f>
        <v>0</v>
      </c>
      <c r="G46" s="25">
        <f>COUNTIFS(Appointments!$W$5:$W$1204,12,Appointments!$M$5:$M$1204,"Cancelled")+COUNTIFS(Appointments!$W$5:$W$1204,12,Appointments!$M$5:$M$1204,"No show")</f>
        <v>0</v>
      </c>
    </row>
    <row r="47" spans="1:11">
      <c r="B47" s="15" t="s">
        <v>735</v>
      </c>
      <c r="C47" s="25">
        <f>COUNTIFS(Appointments!$W$5:$W$1204,13)</f>
        <v>0</v>
      </c>
      <c r="D47" s="25">
        <f>COUNTIFS(Appointments!$W$5:$W$1204,13,Appointments!$M$5:$M$1204,"Completed")</f>
        <v>0</v>
      </c>
      <c r="E47" s="26">
        <f>ROUND(SUMIFS(Appointments!$AB$5:$AB$1204,Appointments!$W$5:$W$1204,13,Appointments!$M$5:$M$1204,"Completed"),2)</f>
        <v>0</v>
      </c>
      <c r="F47" s="27">
        <f>IFERROR(COUNTIFS(Appointments!$W$5:$W$1204,13)/MAX(1,COUNTIF(Appointments!$B$5:$B$1204,"&lt;&gt;")),"")</f>
        <v>0</v>
      </c>
      <c r="G47" s="25">
        <f>COUNTIFS(Appointments!$W$5:$W$1204,13,Appointments!$M$5:$M$1204,"Cancelled")+COUNTIFS(Appointments!$W$5:$W$1204,13,Appointments!$M$5:$M$1204,"No show")</f>
        <v>0</v>
      </c>
    </row>
    <row r="48" spans="1:11">
      <c r="B48" s="15" t="s">
        <v>736</v>
      </c>
      <c r="C48" s="25">
        <f>COUNTIFS(Appointments!$W$5:$W$1204,14)</f>
        <v>0</v>
      </c>
      <c r="D48" s="25">
        <f>COUNTIFS(Appointments!$W$5:$W$1204,14,Appointments!$M$5:$M$1204,"Completed")</f>
        <v>0</v>
      </c>
      <c r="E48" s="26">
        <f>ROUND(SUMIFS(Appointments!$AB$5:$AB$1204,Appointments!$W$5:$W$1204,14,Appointments!$M$5:$M$1204,"Completed"),2)</f>
        <v>0</v>
      </c>
      <c r="F48" s="27">
        <f>IFERROR(COUNTIFS(Appointments!$W$5:$W$1204,14)/MAX(1,COUNTIF(Appointments!$B$5:$B$1204,"&lt;&gt;")),"")</f>
        <v>0</v>
      </c>
      <c r="G48" s="25">
        <f>COUNTIFS(Appointments!$W$5:$W$1204,14,Appointments!$M$5:$M$1204,"Cancelled")+COUNTIFS(Appointments!$W$5:$W$1204,14,Appointments!$M$5:$M$1204,"No show")</f>
        <v>0</v>
      </c>
    </row>
    <row r="49" spans="1:11">
      <c r="B49" s="15" t="s">
        <v>737</v>
      </c>
      <c r="C49" s="25">
        <f>COUNTIFS(Appointments!$W$5:$W$1204,15)</f>
        <v>0</v>
      </c>
      <c r="D49" s="25">
        <f>COUNTIFS(Appointments!$W$5:$W$1204,15,Appointments!$M$5:$M$1204,"Completed")</f>
        <v>0</v>
      </c>
      <c r="E49" s="26">
        <f>ROUND(SUMIFS(Appointments!$AB$5:$AB$1204,Appointments!$W$5:$W$1204,15,Appointments!$M$5:$M$1204,"Completed"),2)</f>
        <v>0</v>
      </c>
      <c r="F49" s="27">
        <f>IFERROR(COUNTIFS(Appointments!$W$5:$W$1204,15)/MAX(1,COUNTIF(Appointments!$B$5:$B$1204,"&lt;&gt;")),"")</f>
        <v>0</v>
      </c>
      <c r="G49" s="25">
        <f>COUNTIFS(Appointments!$W$5:$W$1204,15,Appointments!$M$5:$M$1204,"Cancelled")+COUNTIFS(Appointments!$W$5:$W$1204,15,Appointments!$M$5:$M$1204,"No show")</f>
        <v>0</v>
      </c>
    </row>
    <row r="50" spans="1:11">
      <c r="B50" s="15" t="s">
        <v>738</v>
      </c>
      <c r="C50" s="25">
        <f>COUNTIFS(Appointments!$W$5:$W$1204,16)</f>
        <v>0</v>
      </c>
      <c r="D50" s="25">
        <f>COUNTIFS(Appointments!$W$5:$W$1204,16,Appointments!$M$5:$M$1204,"Completed")</f>
        <v>0</v>
      </c>
      <c r="E50" s="26">
        <f>ROUND(SUMIFS(Appointments!$AB$5:$AB$1204,Appointments!$W$5:$W$1204,16,Appointments!$M$5:$M$1204,"Completed"),2)</f>
        <v>0</v>
      </c>
      <c r="F50" s="27">
        <f>IFERROR(COUNTIFS(Appointments!$W$5:$W$1204,16)/MAX(1,COUNTIF(Appointments!$B$5:$B$1204,"&lt;&gt;")),"")</f>
        <v>0</v>
      </c>
      <c r="G50" s="25">
        <f>COUNTIFS(Appointments!$W$5:$W$1204,16,Appointments!$M$5:$M$1204,"Cancelled")+COUNTIFS(Appointments!$W$5:$W$1204,16,Appointments!$M$5:$M$1204,"No show")</f>
        <v>0</v>
      </c>
    </row>
    <row r="51" spans="1:11">
      <c r="B51" s="15" t="s">
        <v>739</v>
      </c>
      <c r="C51" s="25">
        <f>COUNTIFS(Appointments!$W$5:$W$1204,17)</f>
        <v>0</v>
      </c>
      <c r="D51" s="25">
        <f>COUNTIFS(Appointments!$W$5:$W$1204,17,Appointments!$M$5:$M$1204,"Completed")</f>
        <v>0</v>
      </c>
      <c r="E51" s="26">
        <f>ROUND(SUMIFS(Appointments!$AB$5:$AB$1204,Appointments!$W$5:$W$1204,17,Appointments!$M$5:$M$1204,"Completed"),2)</f>
        <v>0</v>
      </c>
      <c r="F51" s="27">
        <f>IFERROR(COUNTIFS(Appointments!$W$5:$W$1204,17)/MAX(1,COUNTIF(Appointments!$B$5:$B$1204,"&lt;&gt;")),"")</f>
        <v>0</v>
      </c>
      <c r="G51" s="25">
        <f>COUNTIFS(Appointments!$W$5:$W$1204,17,Appointments!$M$5:$M$1204,"Cancelled")+COUNTIFS(Appointments!$W$5:$W$1204,17,Appointments!$M$5:$M$1204,"No show")</f>
        <v>0</v>
      </c>
    </row>
    <row r="52" spans="1:11">
      <c r="B52" s="15" t="s">
        <v>740</v>
      </c>
      <c r="C52" s="25">
        <f>COUNTIFS(Appointments!$W$5:$W$1204,18)</f>
        <v>0</v>
      </c>
      <c r="D52" s="25">
        <f>COUNTIFS(Appointments!$W$5:$W$1204,18,Appointments!$M$5:$M$1204,"Completed")</f>
        <v>0</v>
      </c>
      <c r="E52" s="26">
        <f>ROUND(SUMIFS(Appointments!$AB$5:$AB$1204,Appointments!$W$5:$W$1204,18,Appointments!$M$5:$M$1204,"Completed"),2)</f>
        <v>0</v>
      </c>
      <c r="F52" s="27">
        <f>IFERROR(COUNTIFS(Appointments!$W$5:$W$1204,18)/MAX(1,COUNTIF(Appointments!$B$5:$B$1204,"&lt;&gt;")),"")</f>
        <v>0</v>
      </c>
      <c r="G52" s="25">
        <f>COUNTIFS(Appointments!$W$5:$W$1204,18,Appointments!$M$5:$M$1204,"Cancelled")+COUNTIFS(Appointments!$W$5:$W$1204,18,Appointments!$M$5:$M$1204,"No show")</f>
        <v>0</v>
      </c>
    </row>
    <row r="53" spans="1:11">
      <c r="B53" s="15" t="s">
        <v>741</v>
      </c>
      <c r="C53" s="25">
        <f>COUNTIFS(Appointments!$W$5:$W$1204,19)</f>
        <v>0</v>
      </c>
      <c r="D53" s="25">
        <f>COUNTIFS(Appointments!$W$5:$W$1204,19,Appointments!$M$5:$M$1204,"Completed")</f>
        <v>0</v>
      </c>
      <c r="E53" s="26">
        <f>ROUND(SUMIFS(Appointments!$AB$5:$AB$1204,Appointments!$W$5:$W$1204,19,Appointments!$M$5:$M$1204,"Completed"),2)</f>
        <v>0</v>
      </c>
      <c r="F53" s="27">
        <f>IFERROR(COUNTIFS(Appointments!$W$5:$W$1204,19)/MAX(1,COUNTIF(Appointments!$B$5:$B$1204,"&lt;&gt;")),"")</f>
        <v>0</v>
      </c>
      <c r="G53" s="25">
        <f>COUNTIFS(Appointments!$W$5:$W$1204,19,Appointments!$M$5:$M$1204,"Cancelled")+COUNTIFS(Appointments!$W$5:$W$1204,19,Appointments!$M$5:$M$1204,"No show")</f>
        <v>0</v>
      </c>
    </row>
    <row r="54" spans="1:11">
      <c r="B54" s="15" t="s">
        <v>742</v>
      </c>
      <c r="C54" s="25">
        <f>COUNTIFS(Appointments!$W$5:$W$1204,20)</f>
        <v>0</v>
      </c>
      <c r="D54" s="25">
        <f>COUNTIFS(Appointments!$W$5:$W$1204,20,Appointments!$M$5:$M$1204,"Completed")</f>
        <v>0</v>
      </c>
      <c r="E54" s="26">
        <f>ROUND(SUMIFS(Appointments!$AB$5:$AB$1204,Appointments!$W$5:$W$1204,20,Appointments!$M$5:$M$1204,"Completed"),2)</f>
        <v>0</v>
      </c>
      <c r="F54" s="27">
        <f>IFERROR(COUNTIFS(Appointments!$W$5:$W$1204,20)/MAX(1,COUNTIF(Appointments!$B$5:$B$1204,"&lt;&gt;")),"")</f>
        <v>0</v>
      </c>
      <c r="G54" s="25">
        <f>COUNTIFS(Appointments!$W$5:$W$1204,20,Appointments!$M$5:$M$1204,"Cancelled")+COUNTIFS(Appointments!$W$5:$W$1204,20,Appointments!$M$5:$M$1204,"No show")</f>
        <v>0</v>
      </c>
    </row>
    <row r="56" spans="1:11" ht="20" customHeight="1">
      <c r="A56" s="7" t="s">
        <v>743</v>
      </c>
      <c r="B56" s="7"/>
      <c r="C56" s="7"/>
      <c r="D56" s="7"/>
      <c r="E56" s="7"/>
      <c r="F56" s="7"/>
      <c r="G56" s="7"/>
      <c r="H56" s="7"/>
      <c r="I56" s="7"/>
      <c r="J56" s="7"/>
      <c r="K56" s="7"/>
    </row>
    <row r="57" spans="1:11" ht="26" customHeight="1">
      <c r="B57" s="10" t="s">
        <v>612</v>
      </c>
      <c r="C57" s="11" t="s">
        <v>32</v>
      </c>
      <c r="D57" s="11" t="s">
        <v>744</v>
      </c>
      <c r="E57" s="11" t="s">
        <v>622</v>
      </c>
      <c r="F57" s="11" t="s">
        <v>745</v>
      </c>
      <c r="G57" s="11" t="s">
        <v>746</v>
      </c>
      <c r="H57" s="11" t="s">
        <v>747</v>
      </c>
    </row>
    <row r="58" spans="1:11">
      <c r="B58" s="15" t="s">
        <v>748</v>
      </c>
      <c r="C58" s="25">
        <f>COUNTIFS(Clients!$G$5:$G$504,"Instagram")</f>
        <v>0</v>
      </c>
      <c r="D58" s="25">
        <f>COUNTIFS(Clients!$G$5:$G$504,"Instagram",Clients!$X$5:$X$504,"&gt;="&amp;TodayDate-365)</f>
        <v>0</v>
      </c>
      <c r="E58" s="25">
        <f>COUNTIFS(Appointments!$N$5:$N$1204,"Instagram")</f>
        <v>0</v>
      </c>
      <c r="F58" s="26">
        <f>ROUND(SUMIFS(Clients!$AE$5:$AE$504,Clients!$G$5:$G$504,"Instagram"),2)</f>
        <v>0</v>
      </c>
      <c r="G58" s="26">
        <f>IFERROR(ROUND(SUMIFS(Clients!$AE$5:$AE$504,Clients!$G$5:$G$504,"Instagram")/MAX(1,COUNTIFS(Clients!$G$5:$G$504,"Instagram")),2),"")</f>
        <v>0</v>
      </c>
      <c r="H58" s="25">
        <f>COUNTIFS(Clients!$G$5:$G$504,"Instagram",Clients!$AM$5:$AM$504,"Active")+COUNTIFS(Clients!$G$5:$G$504,"Instagram",Clients!$AM$5:$AM$504,"Regular")+COUNTIFS(Clients!$G$5:$G$504,"Instagram",Clients!$AM$5:$AM$504,"VIP")</f>
        <v>0</v>
      </c>
    </row>
    <row r="59" spans="1:11">
      <c r="B59" s="15" t="s">
        <v>749</v>
      </c>
      <c r="C59" s="25">
        <f>COUNTIFS(Clients!$G$5:$G$504,"Facebook")</f>
        <v>0</v>
      </c>
      <c r="D59" s="25">
        <f>COUNTIFS(Clients!$G$5:$G$504,"Facebook",Clients!$X$5:$X$504,"&gt;="&amp;TodayDate-365)</f>
        <v>0</v>
      </c>
      <c r="E59" s="25">
        <f>COUNTIFS(Appointments!$N$5:$N$1204,"Facebook")</f>
        <v>0</v>
      </c>
      <c r="F59" s="26">
        <f>ROUND(SUMIFS(Clients!$AE$5:$AE$504,Clients!$G$5:$G$504,"Facebook"),2)</f>
        <v>0</v>
      </c>
      <c r="G59" s="26">
        <f>IFERROR(ROUND(SUMIFS(Clients!$AE$5:$AE$504,Clients!$G$5:$G$504,"Facebook")/MAX(1,COUNTIFS(Clients!$G$5:$G$504,"Facebook")),2),"")</f>
        <v>0</v>
      </c>
      <c r="H59" s="25">
        <f>COUNTIFS(Clients!$G$5:$G$504,"Facebook",Clients!$AM$5:$AM$504,"Active")+COUNTIFS(Clients!$G$5:$G$504,"Facebook",Clients!$AM$5:$AM$504,"Regular")+COUNTIFS(Clients!$G$5:$G$504,"Facebook",Clients!$AM$5:$AM$504,"VIP")</f>
        <v>0</v>
      </c>
    </row>
    <row r="60" spans="1:11">
      <c r="B60" s="15" t="s">
        <v>750</v>
      </c>
      <c r="C60" s="25">
        <f>COUNTIFS(Clients!$G$5:$G$504,"TikTok")</f>
        <v>0</v>
      </c>
      <c r="D60" s="25">
        <f>COUNTIFS(Clients!$G$5:$G$504,"TikTok",Clients!$X$5:$X$504,"&gt;="&amp;TodayDate-365)</f>
        <v>0</v>
      </c>
      <c r="E60" s="25">
        <f>COUNTIFS(Appointments!$N$5:$N$1204,"TikTok")</f>
        <v>0</v>
      </c>
      <c r="F60" s="26">
        <f>ROUND(SUMIFS(Clients!$AE$5:$AE$504,Clients!$G$5:$G$504,"TikTok"),2)</f>
        <v>0</v>
      </c>
      <c r="G60" s="26">
        <f>IFERROR(ROUND(SUMIFS(Clients!$AE$5:$AE$504,Clients!$G$5:$G$504,"TikTok")/MAX(1,COUNTIFS(Clients!$G$5:$G$504,"TikTok")),2),"")</f>
        <v>0</v>
      </c>
      <c r="H60" s="25">
        <f>COUNTIFS(Clients!$G$5:$G$504,"TikTok",Clients!$AM$5:$AM$504,"Active")+COUNTIFS(Clients!$G$5:$G$504,"TikTok",Clients!$AM$5:$AM$504,"Regular")+COUNTIFS(Clients!$G$5:$G$504,"TikTok",Clients!$AM$5:$AM$504,"VIP")</f>
        <v>0</v>
      </c>
    </row>
    <row r="61" spans="1:11">
      <c r="B61" s="15" t="s">
        <v>751</v>
      </c>
      <c r="C61" s="25">
        <f>COUNTIFS(Clients!$G$5:$G$504,"Google Ads")</f>
        <v>0</v>
      </c>
      <c r="D61" s="25">
        <f>COUNTIFS(Clients!$G$5:$G$504,"Google Ads",Clients!$X$5:$X$504,"&gt;="&amp;TodayDate-365)</f>
        <v>0</v>
      </c>
      <c r="E61" s="25">
        <f>COUNTIFS(Appointments!$N$5:$N$1204,"Google Ads")</f>
        <v>0</v>
      </c>
      <c r="F61" s="26">
        <f>ROUND(SUMIFS(Clients!$AE$5:$AE$504,Clients!$G$5:$G$504,"Google Ads"),2)</f>
        <v>0</v>
      </c>
      <c r="G61" s="26">
        <f>IFERROR(ROUND(SUMIFS(Clients!$AE$5:$AE$504,Clients!$G$5:$G$504,"Google Ads")/MAX(1,COUNTIFS(Clients!$G$5:$G$504,"Google Ads")),2),"")</f>
        <v>0</v>
      </c>
      <c r="H61" s="25">
        <f>COUNTIFS(Clients!$G$5:$G$504,"Google Ads",Clients!$AM$5:$AM$504,"Active")+COUNTIFS(Clients!$G$5:$G$504,"Google Ads",Clients!$AM$5:$AM$504,"Regular")+COUNTIFS(Clients!$G$5:$G$504,"Google Ads",Clients!$AM$5:$AM$504,"VIP")</f>
        <v>0</v>
      </c>
    </row>
    <row r="62" spans="1:11">
      <c r="B62" s="15" t="s">
        <v>752</v>
      </c>
      <c r="C62" s="25">
        <f>COUNTIFS(Clients!$G$5:$G$504,"Google Business")</f>
        <v>0</v>
      </c>
      <c r="D62" s="25">
        <f>COUNTIFS(Clients!$G$5:$G$504,"Google Business",Clients!$X$5:$X$504,"&gt;="&amp;TodayDate-365)</f>
        <v>0</v>
      </c>
      <c r="E62" s="25">
        <f>COUNTIFS(Appointments!$N$5:$N$1204,"Google Business")</f>
        <v>0</v>
      </c>
      <c r="F62" s="26">
        <f>ROUND(SUMIFS(Clients!$AE$5:$AE$504,Clients!$G$5:$G$504,"Google Business"),2)</f>
        <v>0</v>
      </c>
      <c r="G62" s="26">
        <f>IFERROR(ROUND(SUMIFS(Clients!$AE$5:$AE$504,Clients!$G$5:$G$504,"Google Business")/MAX(1,COUNTIFS(Clients!$G$5:$G$504,"Google Business")),2),"")</f>
        <v>0</v>
      </c>
      <c r="H62" s="25">
        <f>COUNTIFS(Clients!$G$5:$G$504,"Google Business",Clients!$AM$5:$AM$504,"Active")+COUNTIFS(Clients!$G$5:$G$504,"Google Business",Clients!$AM$5:$AM$504,"Regular")+COUNTIFS(Clients!$G$5:$G$504,"Google Business",Clients!$AM$5:$AM$504,"VIP")</f>
        <v>0</v>
      </c>
    </row>
    <row r="63" spans="1:11">
      <c r="B63" s="15" t="s">
        <v>254</v>
      </c>
      <c r="C63" s="25">
        <f>COUNTIFS(Clients!$G$5:$G$504,"Email")</f>
        <v>0</v>
      </c>
      <c r="D63" s="25">
        <f>COUNTIFS(Clients!$G$5:$G$504,"Email",Clients!$X$5:$X$504,"&gt;="&amp;TodayDate-365)</f>
        <v>0</v>
      </c>
      <c r="E63" s="25">
        <f>COUNTIFS(Appointments!$N$5:$N$1204,"Email")</f>
        <v>0</v>
      </c>
      <c r="F63" s="26">
        <f>ROUND(SUMIFS(Clients!$AE$5:$AE$504,Clients!$G$5:$G$504,"Email"),2)</f>
        <v>0</v>
      </c>
      <c r="G63" s="26">
        <f>IFERROR(ROUND(SUMIFS(Clients!$AE$5:$AE$504,Clients!$G$5:$G$504,"Email")/MAX(1,COUNTIFS(Clients!$G$5:$G$504,"Email")),2),"")</f>
        <v>0</v>
      </c>
      <c r="H63" s="25">
        <f>COUNTIFS(Clients!$G$5:$G$504,"Email",Clients!$AM$5:$AM$504,"Active")+COUNTIFS(Clients!$G$5:$G$504,"Email",Clients!$AM$5:$AM$504,"Regular")+COUNTIFS(Clients!$G$5:$G$504,"Email",Clients!$AM$5:$AM$504,"VIP")</f>
        <v>0</v>
      </c>
    </row>
    <row r="64" spans="1:11">
      <c r="B64" s="15" t="s">
        <v>753</v>
      </c>
      <c r="C64" s="25">
        <f>COUNTIFS(Clients!$G$5:$G$504,"SMS")</f>
        <v>0</v>
      </c>
      <c r="D64" s="25">
        <f>COUNTIFS(Clients!$G$5:$G$504,"SMS",Clients!$X$5:$X$504,"&gt;="&amp;TodayDate-365)</f>
        <v>0</v>
      </c>
      <c r="E64" s="25">
        <f>COUNTIFS(Appointments!$N$5:$N$1204,"SMS")</f>
        <v>0</v>
      </c>
      <c r="F64" s="26">
        <f>ROUND(SUMIFS(Clients!$AE$5:$AE$504,Clients!$G$5:$G$504,"SMS"),2)</f>
        <v>0</v>
      </c>
      <c r="G64" s="26">
        <f>IFERROR(ROUND(SUMIFS(Clients!$AE$5:$AE$504,Clients!$G$5:$G$504,"SMS")/MAX(1,COUNTIFS(Clients!$G$5:$G$504,"SMS")),2),"")</f>
        <v>0</v>
      </c>
      <c r="H64" s="25">
        <f>COUNTIFS(Clients!$G$5:$G$504,"SMS",Clients!$AM$5:$AM$504,"Active")+COUNTIFS(Clients!$G$5:$G$504,"SMS",Clients!$AM$5:$AM$504,"Regular")+COUNTIFS(Clients!$G$5:$G$504,"SMS",Clients!$AM$5:$AM$504,"VIP")</f>
        <v>0</v>
      </c>
    </row>
    <row r="65" spans="1:11">
      <c r="B65" s="15" t="s">
        <v>754</v>
      </c>
      <c r="C65" s="25">
        <f>COUNTIFS(Clients!$G$5:$G$504,"Flyers &amp; print")</f>
        <v>0</v>
      </c>
      <c r="D65" s="25">
        <f>COUNTIFS(Clients!$G$5:$G$504,"Flyers &amp; print",Clients!$X$5:$X$504,"&gt;="&amp;TodayDate-365)</f>
        <v>0</v>
      </c>
      <c r="E65" s="25">
        <f>COUNTIFS(Appointments!$N$5:$N$1204,"Flyers &amp; print")</f>
        <v>0</v>
      </c>
      <c r="F65" s="26">
        <f>ROUND(SUMIFS(Clients!$AE$5:$AE$504,Clients!$G$5:$G$504,"Flyers &amp; print"),2)</f>
        <v>0</v>
      </c>
      <c r="G65" s="26">
        <f>IFERROR(ROUND(SUMIFS(Clients!$AE$5:$AE$504,Clients!$G$5:$G$504,"Flyers &amp; print")/MAX(1,COUNTIFS(Clients!$G$5:$G$504,"Flyers &amp; print")),2),"")</f>
        <v>0</v>
      </c>
      <c r="H65" s="25">
        <f>COUNTIFS(Clients!$G$5:$G$504,"Flyers &amp; print",Clients!$AM$5:$AM$504,"Active")+COUNTIFS(Clients!$G$5:$G$504,"Flyers &amp; print",Clients!$AM$5:$AM$504,"Regular")+COUNTIFS(Clients!$G$5:$G$504,"Flyers &amp; print",Clients!$AM$5:$AM$504,"VIP")</f>
        <v>0</v>
      </c>
    </row>
    <row r="66" spans="1:11">
      <c r="B66" s="15" t="s">
        <v>755</v>
      </c>
      <c r="C66" s="25">
        <f>COUNTIFS(Clients!$G$5:$G$504,"Local press")</f>
        <v>0</v>
      </c>
      <c r="D66" s="25">
        <f>COUNTIFS(Clients!$G$5:$G$504,"Local press",Clients!$X$5:$X$504,"&gt;="&amp;TodayDate-365)</f>
        <v>0</v>
      </c>
      <c r="E66" s="25">
        <f>COUNTIFS(Appointments!$N$5:$N$1204,"Local press")</f>
        <v>0</v>
      </c>
      <c r="F66" s="26">
        <f>ROUND(SUMIFS(Clients!$AE$5:$AE$504,Clients!$G$5:$G$504,"Local press"),2)</f>
        <v>0</v>
      </c>
      <c r="G66" s="26">
        <f>IFERROR(ROUND(SUMIFS(Clients!$AE$5:$AE$504,Clients!$G$5:$G$504,"Local press")/MAX(1,COUNTIFS(Clients!$G$5:$G$504,"Local press")),2),"")</f>
        <v>0</v>
      </c>
      <c r="H66" s="25">
        <f>COUNTIFS(Clients!$G$5:$G$504,"Local press",Clients!$AM$5:$AM$504,"Active")+COUNTIFS(Clients!$G$5:$G$504,"Local press",Clients!$AM$5:$AM$504,"Regular")+COUNTIFS(Clients!$G$5:$G$504,"Local press",Clients!$AM$5:$AM$504,"VIP")</f>
        <v>0</v>
      </c>
    </row>
    <row r="67" spans="1:11">
      <c r="B67" s="15" t="s">
        <v>756</v>
      </c>
      <c r="C67" s="25">
        <f>COUNTIFS(Clients!$G$5:$G$504,"Referral scheme")</f>
        <v>0</v>
      </c>
      <c r="D67" s="25">
        <f>COUNTIFS(Clients!$G$5:$G$504,"Referral scheme",Clients!$X$5:$X$504,"&gt;="&amp;TodayDate-365)</f>
        <v>0</v>
      </c>
      <c r="E67" s="25">
        <f>COUNTIFS(Appointments!$N$5:$N$1204,"Referral scheme")</f>
        <v>0</v>
      </c>
      <c r="F67" s="26">
        <f>ROUND(SUMIFS(Clients!$AE$5:$AE$504,Clients!$G$5:$G$504,"Referral scheme"),2)</f>
        <v>0</v>
      </c>
      <c r="G67" s="26">
        <f>IFERROR(ROUND(SUMIFS(Clients!$AE$5:$AE$504,Clients!$G$5:$G$504,"Referral scheme")/MAX(1,COUNTIFS(Clients!$G$5:$G$504,"Referral scheme")),2),"")</f>
        <v>0</v>
      </c>
      <c r="H67" s="25">
        <f>COUNTIFS(Clients!$G$5:$G$504,"Referral scheme",Clients!$AM$5:$AM$504,"Active")+COUNTIFS(Clients!$G$5:$G$504,"Referral scheme",Clients!$AM$5:$AM$504,"Regular")+COUNTIFS(Clients!$G$5:$G$504,"Referral scheme",Clients!$AM$5:$AM$504,"VIP")</f>
        <v>0</v>
      </c>
    </row>
    <row r="68" spans="1:11">
      <c r="B68" s="15" t="s">
        <v>757</v>
      </c>
      <c r="C68" s="25">
        <f>COUNTIFS(Clients!$G$5:$G$504,"Loyalty scheme")</f>
        <v>0</v>
      </c>
      <c r="D68" s="25">
        <f>COUNTIFS(Clients!$G$5:$G$504,"Loyalty scheme",Clients!$X$5:$X$504,"&gt;="&amp;TodayDate-365)</f>
        <v>0</v>
      </c>
      <c r="E68" s="25">
        <f>COUNTIFS(Appointments!$N$5:$N$1204,"Loyalty scheme")</f>
        <v>0</v>
      </c>
      <c r="F68" s="26">
        <f>ROUND(SUMIFS(Clients!$AE$5:$AE$504,Clients!$G$5:$G$504,"Loyalty scheme"),2)</f>
        <v>0</v>
      </c>
      <c r="G68" s="26">
        <f>IFERROR(ROUND(SUMIFS(Clients!$AE$5:$AE$504,Clients!$G$5:$G$504,"Loyalty scheme")/MAX(1,COUNTIFS(Clients!$G$5:$G$504,"Loyalty scheme")),2),"")</f>
        <v>0</v>
      </c>
      <c r="H68" s="25">
        <f>COUNTIFS(Clients!$G$5:$G$504,"Loyalty scheme",Clients!$AM$5:$AM$504,"Active")+COUNTIFS(Clients!$G$5:$G$504,"Loyalty scheme",Clients!$AM$5:$AM$504,"Regular")+COUNTIFS(Clients!$G$5:$G$504,"Loyalty scheme",Clients!$AM$5:$AM$504,"VIP")</f>
        <v>0</v>
      </c>
    </row>
    <row r="69" spans="1:11">
      <c r="B69" s="15" t="s">
        <v>758</v>
      </c>
      <c r="C69" s="25">
        <f>COUNTIFS(Clients!$G$5:$G$504,"Influencer")</f>
        <v>0</v>
      </c>
      <c r="D69" s="25">
        <f>COUNTIFS(Clients!$G$5:$G$504,"Influencer",Clients!$X$5:$X$504,"&gt;="&amp;TodayDate-365)</f>
        <v>0</v>
      </c>
      <c r="E69" s="25">
        <f>COUNTIFS(Appointments!$N$5:$N$1204,"Influencer")</f>
        <v>0</v>
      </c>
      <c r="F69" s="26">
        <f>ROUND(SUMIFS(Clients!$AE$5:$AE$504,Clients!$G$5:$G$504,"Influencer"),2)</f>
        <v>0</v>
      </c>
      <c r="G69" s="26">
        <f>IFERROR(ROUND(SUMIFS(Clients!$AE$5:$AE$504,Clients!$G$5:$G$504,"Influencer")/MAX(1,COUNTIFS(Clients!$G$5:$G$504,"Influencer")),2),"")</f>
        <v>0</v>
      </c>
      <c r="H69" s="25">
        <f>COUNTIFS(Clients!$G$5:$G$504,"Influencer",Clients!$AM$5:$AM$504,"Active")+COUNTIFS(Clients!$G$5:$G$504,"Influencer",Clients!$AM$5:$AM$504,"Regular")+COUNTIFS(Clients!$G$5:$G$504,"Influencer",Clients!$AM$5:$AM$504,"VIP")</f>
        <v>0</v>
      </c>
    </row>
    <row r="70" spans="1:11">
      <c r="B70" s="15" t="s">
        <v>759</v>
      </c>
      <c r="C70" s="25">
        <f>COUNTIFS(Clients!$G$5:$G$504,"Walk-in")</f>
        <v>0</v>
      </c>
      <c r="D70" s="25">
        <f>COUNTIFS(Clients!$G$5:$G$504,"Walk-in",Clients!$X$5:$X$504,"&gt;="&amp;TodayDate-365)</f>
        <v>0</v>
      </c>
      <c r="E70" s="25">
        <f>COUNTIFS(Appointments!$N$5:$N$1204,"Walk-in")</f>
        <v>0</v>
      </c>
      <c r="F70" s="26">
        <f>ROUND(SUMIFS(Clients!$AE$5:$AE$504,Clients!$G$5:$G$504,"Walk-in"),2)</f>
        <v>0</v>
      </c>
      <c r="G70" s="26">
        <f>IFERROR(ROUND(SUMIFS(Clients!$AE$5:$AE$504,Clients!$G$5:$G$504,"Walk-in")/MAX(1,COUNTIFS(Clients!$G$5:$G$504,"Walk-in")),2),"")</f>
        <v>0</v>
      </c>
      <c r="H70" s="25">
        <f>COUNTIFS(Clients!$G$5:$G$504,"Walk-in",Clients!$AM$5:$AM$504,"Active")+COUNTIFS(Clients!$G$5:$G$504,"Walk-in",Clients!$AM$5:$AM$504,"Regular")+COUNTIFS(Clients!$G$5:$G$504,"Walk-in",Clients!$AM$5:$AM$504,"VIP")</f>
        <v>0</v>
      </c>
    </row>
    <row r="71" spans="1:11">
      <c r="B71" s="15" t="s">
        <v>760</v>
      </c>
      <c r="C71" s="25">
        <f>COUNTIFS(Clients!$G$5:$G$504,"Referral")</f>
        <v>0</v>
      </c>
      <c r="D71" s="25">
        <f>COUNTIFS(Clients!$G$5:$G$504,"Referral",Clients!$X$5:$X$504,"&gt;="&amp;TodayDate-365)</f>
        <v>0</v>
      </c>
      <c r="E71" s="25">
        <f>COUNTIFS(Appointments!$N$5:$N$1204,"Referral")</f>
        <v>0</v>
      </c>
      <c r="F71" s="26">
        <f>ROUND(SUMIFS(Clients!$AE$5:$AE$504,Clients!$G$5:$G$504,"Referral"),2)</f>
        <v>0</v>
      </c>
      <c r="G71" s="26">
        <f>IFERROR(ROUND(SUMIFS(Clients!$AE$5:$AE$504,Clients!$G$5:$G$504,"Referral")/MAX(1,COUNTIFS(Clients!$G$5:$G$504,"Referral")),2),"")</f>
        <v>0</v>
      </c>
      <c r="H71" s="25">
        <f>COUNTIFS(Clients!$G$5:$G$504,"Referral",Clients!$AM$5:$AM$504,"Active")+COUNTIFS(Clients!$G$5:$G$504,"Referral",Clients!$AM$5:$AM$504,"Regular")+COUNTIFS(Clients!$G$5:$G$504,"Referral",Clients!$AM$5:$AM$504,"VIP")</f>
        <v>0</v>
      </c>
    </row>
    <row r="72" spans="1:11">
      <c r="B72" s="15" t="s">
        <v>761</v>
      </c>
      <c r="C72" s="25">
        <f>COUNTIFS(Clients!$G$5:$G$504,"Repeat client")</f>
        <v>0</v>
      </c>
      <c r="D72" s="25">
        <f>COUNTIFS(Clients!$G$5:$G$504,"Repeat client",Clients!$X$5:$X$504,"&gt;="&amp;TodayDate-365)</f>
        <v>0</v>
      </c>
      <c r="E72" s="25">
        <f>COUNTIFS(Appointments!$N$5:$N$1204,"Repeat client")</f>
        <v>0</v>
      </c>
      <c r="F72" s="26">
        <f>ROUND(SUMIFS(Clients!$AE$5:$AE$504,Clients!$G$5:$G$504,"Repeat client"),2)</f>
        <v>0</v>
      </c>
      <c r="G72" s="26">
        <f>IFERROR(ROUND(SUMIFS(Clients!$AE$5:$AE$504,Clients!$G$5:$G$504,"Repeat client")/MAX(1,COUNTIFS(Clients!$G$5:$G$504,"Repeat client")),2),"")</f>
        <v>0</v>
      </c>
      <c r="H72" s="25">
        <f>COUNTIFS(Clients!$G$5:$G$504,"Repeat client",Clients!$AM$5:$AM$504,"Active")+COUNTIFS(Clients!$G$5:$G$504,"Repeat client",Clients!$AM$5:$AM$504,"Regular")+COUNTIFS(Clients!$G$5:$G$504,"Repeat client",Clients!$AM$5:$AM$504,"VIP")</f>
        <v>0</v>
      </c>
    </row>
    <row r="74" spans="1:11" ht="20" customHeight="1">
      <c r="A74" s="7" t="s">
        <v>762</v>
      </c>
      <c r="B74" s="7"/>
      <c r="C74" s="7"/>
      <c r="D74" s="7"/>
      <c r="E74" s="7"/>
      <c r="F74" s="7"/>
      <c r="G74" s="7"/>
      <c r="H74" s="7"/>
      <c r="I74" s="7"/>
      <c r="J74" s="7"/>
      <c r="K74" s="7"/>
    </row>
    <row r="75" spans="1:11" ht="26" customHeight="1">
      <c r="B75" s="10" t="s">
        <v>121</v>
      </c>
      <c r="C75" s="11" t="s">
        <v>267</v>
      </c>
      <c r="D75" s="11" t="s">
        <v>621</v>
      </c>
      <c r="E75" s="11" t="s">
        <v>763</v>
      </c>
      <c r="F75" s="11" t="s">
        <v>764</v>
      </c>
      <c r="G75" s="11" t="s">
        <v>765</v>
      </c>
      <c r="H75" s="11" t="s">
        <v>179</v>
      </c>
      <c r="I75" s="11" t="s">
        <v>766</v>
      </c>
    </row>
    <row r="76" spans="1:11">
      <c r="B76" s="15">
        <f>TEXT(DATE(YEAR(TodayDate),MONTH(TodayDate)-11,1),"mmm yy")</f>
        <v>0</v>
      </c>
      <c r="C76" s="25">
        <f>COUNTIFS(Appointments!$S$5:$S$1204,TEXT(DATE(YEAR(TodayDate),MONTH(TodayDate)-11,1),"yyyy-mm"),Appointments!$M$5:$M$1204,"Completed")</f>
        <v>0</v>
      </c>
      <c r="D76" s="25">
        <f>COUNTIFS(Clients!$X$5:$X$504,"&gt;="&amp;DATE(YEAR(TodayDate),MONTH(TodayDate)-11,1),Clients!$X$5:$X$504,"&lt;"&amp;DATE(YEAR(TodayDate),MONTH(TodayDate)-11+1,1))</f>
        <v>0</v>
      </c>
      <c r="E76" s="25">
        <f>MAX(0,C76-D76)</f>
        <v>0</v>
      </c>
      <c r="F76" s="27">
        <f>IFERROR(E76/MAX(1,C76),"")</f>
        <v>0</v>
      </c>
      <c r="G76" s="25">
        <f>COUNTIFS(Appointments!$S$5:$S$1204,TEXT(DATE(YEAR(TodayDate),MONTH(TodayDate)-11,1),"yyyy-mm"),Appointments!$AF$5:$AF$1204,"Yes")</f>
        <v>0</v>
      </c>
      <c r="H76" s="27">
        <f>IFERROR(G76/MAX(1,C76),"")</f>
        <v>0</v>
      </c>
      <c r="I76" s="25">
        <f>COUNTIFS(Clients!$Y$5:$Y$504,"&gt;="&amp;DATE(YEAR(TodayDate),MONTH(TodayDate)-11,1),Clients!$Y$5:$Y$504,"&lt;"&amp;DATE(YEAR(TodayDate),MONTH(TodayDate)-11+1,1),Clients!$AM$5:$AM$504,"Inactive")</f>
        <v>0</v>
      </c>
    </row>
    <row r="77" spans="1:11">
      <c r="B77" s="15">
        <f>TEXT(DATE(YEAR(TodayDate),MONTH(TodayDate)-10,1),"mmm yy")</f>
        <v>0</v>
      </c>
      <c r="C77" s="25">
        <f>COUNTIFS(Appointments!$S$5:$S$1204,TEXT(DATE(YEAR(TodayDate),MONTH(TodayDate)-10,1),"yyyy-mm"),Appointments!$M$5:$M$1204,"Completed")</f>
        <v>0</v>
      </c>
      <c r="D77" s="25">
        <f>COUNTIFS(Clients!$X$5:$X$504,"&gt;="&amp;DATE(YEAR(TodayDate),MONTH(TodayDate)-10,1),Clients!$X$5:$X$504,"&lt;"&amp;DATE(YEAR(TodayDate),MONTH(TodayDate)-10+1,1))</f>
        <v>0</v>
      </c>
      <c r="E77" s="25">
        <f>MAX(0,C77-D77)</f>
        <v>0</v>
      </c>
      <c r="F77" s="27">
        <f>IFERROR(E77/MAX(1,C77),"")</f>
        <v>0</v>
      </c>
      <c r="G77" s="25">
        <f>COUNTIFS(Appointments!$S$5:$S$1204,TEXT(DATE(YEAR(TodayDate),MONTH(TodayDate)-10,1),"yyyy-mm"),Appointments!$AF$5:$AF$1204,"Yes")</f>
        <v>0</v>
      </c>
      <c r="H77" s="27">
        <f>IFERROR(G77/MAX(1,C77),"")</f>
        <v>0</v>
      </c>
      <c r="I77" s="25">
        <f>COUNTIFS(Clients!$Y$5:$Y$504,"&gt;="&amp;DATE(YEAR(TodayDate),MONTH(TodayDate)-10,1),Clients!$Y$5:$Y$504,"&lt;"&amp;DATE(YEAR(TodayDate),MONTH(TodayDate)-10+1,1),Clients!$AM$5:$AM$504,"Inactive")</f>
        <v>0</v>
      </c>
    </row>
    <row r="78" spans="1:11">
      <c r="B78" s="15">
        <f>TEXT(DATE(YEAR(TodayDate),MONTH(TodayDate)-9,1),"mmm yy")</f>
        <v>0</v>
      </c>
      <c r="C78" s="25">
        <f>COUNTIFS(Appointments!$S$5:$S$1204,TEXT(DATE(YEAR(TodayDate),MONTH(TodayDate)-9,1),"yyyy-mm"),Appointments!$M$5:$M$1204,"Completed")</f>
        <v>0</v>
      </c>
      <c r="D78" s="25">
        <f>COUNTIFS(Clients!$X$5:$X$504,"&gt;="&amp;DATE(YEAR(TodayDate),MONTH(TodayDate)-9,1),Clients!$X$5:$X$504,"&lt;"&amp;DATE(YEAR(TodayDate),MONTH(TodayDate)-9+1,1))</f>
        <v>0</v>
      </c>
      <c r="E78" s="25">
        <f>MAX(0,C78-D78)</f>
        <v>0</v>
      </c>
      <c r="F78" s="27">
        <f>IFERROR(E78/MAX(1,C78),"")</f>
        <v>0</v>
      </c>
      <c r="G78" s="25">
        <f>COUNTIFS(Appointments!$S$5:$S$1204,TEXT(DATE(YEAR(TodayDate),MONTH(TodayDate)-9,1),"yyyy-mm"),Appointments!$AF$5:$AF$1204,"Yes")</f>
        <v>0</v>
      </c>
      <c r="H78" s="27">
        <f>IFERROR(G78/MAX(1,C78),"")</f>
        <v>0</v>
      </c>
      <c r="I78" s="25">
        <f>COUNTIFS(Clients!$Y$5:$Y$504,"&gt;="&amp;DATE(YEAR(TodayDate),MONTH(TodayDate)-9,1),Clients!$Y$5:$Y$504,"&lt;"&amp;DATE(YEAR(TodayDate),MONTH(TodayDate)-9+1,1),Clients!$AM$5:$AM$504,"Inactive")</f>
        <v>0</v>
      </c>
    </row>
    <row r="79" spans="1:11">
      <c r="B79" s="15">
        <f>TEXT(DATE(YEAR(TodayDate),MONTH(TodayDate)-8,1),"mmm yy")</f>
        <v>0</v>
      </c>
      <c r="C79" s="25">
        <f>COUNTIFS(Appointments!$S$5:$S$1204,TEXT(DATE(YEAR(TodayDate),MONTH(TodayDate)-8,1),"yyyy-mm"),Appointments!$M$5:$M$1204,"Completed")</f>
        <v>0</v>
      </c>
      <c r="D79" s="25">
        <f>COUNTIFS(Clients!$X$5:$X$504,"&gt;="&amp;DATE(YEAR(TodayDate),MONTH(TodayDate)-8,1),Clients!$X$5:$X$504,"&lt;"&amp;DATE(YEAR(TodayDate),MONTH(TodayDate)-8+1,1))</f>
        <v>0</v>
      </c>
      <c r="E79" s="25">
        <f>MAX(0,C79-D79)</f>
        <v>0</v>
      </c>
      <c r="F79" s="27">
        <f>IFERROR(E79/MAX(1,C79),"")</f>
        <v>0</v>
      </c>
      <c r="G79" s="25">
        <f>COUNTIFS(Appointments!$S$5:$S$1204,TEXT(DATE(YEAR(TodayDate),MONTH(TodayDate)-8,1),"yyyy-mm"),Appointments!$AF$5:$AF$1204,"Yes")</f>
        <v>0</v>
      </c>
      <c r="H79" s="27">
        <f>IFERROR(G79/MAX(1,C79),"")</f>
        <v>0</v>
      </c>
      <c r="I79" s="25">
        <f>COUNTIFS(Clients!$Y$5:$Y$504,"&gt;="&amp;DATE(YEAR(TodayDate),MONTH(TodayDate)-8,1),Clients!$Y$5:$Y$504,"&lt;"&amp;DATE(YEAR(TodayDate),MONTH(TodayDate)-8+1,1),Clients!$AM$5:$AM$504,"Inactive")</f>
        <v>0</v>
      </c>
    </row>
    <row r="80" spans="1:11">
      <c r="B80" s="15">
        <f>TEXT(DATE(YEAR(TodayDate),MONTH(TodayDate)-7,1),"mmm yy")</f>
        <v>0</v>
      </c>
      <c r="C80" s="25">
        <f>COUNTIFS(Appointments!$S$5:$S$1204,TEXT(DATE(YEAR(TodayDate),MONTH(TodayDate)-7,1),"yyyy-mm"),Appointments!$M$5:$M$1204,"Completed")</f>
        <v>0</v>
      </c>
      <c r="D80" s="25">
        <f>COUNTIFS(Clients!$X$5:$X$504,"&gt;="&amp;DATE(YEAR(TodayDate),MONTH(TodayDate)-7,1),Clients!$X$5:$X$504,"&lt;"&amp;DATE(YEAR(TodayDate),MONTH(TodayDate)-7+1,1))</f>
        <v>0</v>
      </c>
      <c r="E80" s="25">
        <f>MAX(0,C80-D80)</f>
        <v>0</v>
      </c>
      <c r="F80" s="27">
        <f>IFERROR(E80/MAX(1,C80),"")</f>
        <v>0</v>
      </c>
      <c r="G80" s="25">
        <f>COUNTIFS(Appointments!$S$5:$S$1204,TEXT(DATE(YEAR(TodayDate),MONTH(TodayDate)-7,1),"yyyy-mm"),Appointments!$AF$5:$AF$1204,"Yes")</f>
        <v>0</v>
      </c>
      <c r="H80" s="27">
        <f>IFERROR(G80/MAX(1,C80),"")</f>
        <v>0</v>
      </c>
      <c r="I80" s="25">
        <f>COUNTIFS(Clients!$Y$5:$Y$504,"&gt;="&amp;DATE(YEAR(TodayDate),MONTH(TodayDate)-7,1),Clients!$Y$5:$Y$504,"&lt;"&amp;DATE(YEAR(TodayDate),MONTH(TodayDate)-7+1,1),Clients!$AM$5:$AM$504,"Inactive")</f>
        <v>0</v>
      </c>
    </row>
    <row r="81" spans="1:11">
      <c r="B81" s="15">
        <f>TEXT(DATE(YEAR(TodayDate),MONTH(TodayDate)-6,1),"mmm yy")</f>
        <v>0</v>
      </c>
      <c r="C81" s="25">
        <f>COUNTIFS(Appointments!$S$5:$S$1204,TEXT(DATE(YEAR(TodayDate),MONTH(TodayDate)-6,1),"yyyy-mm"),Appointments!$M$5:$M$1204,"Completed")</f>
        <v>0</v>
      </c>
      <c r="D81" s="25">
        <f>COUNTIFS(Clients!$X$5:$X$504,"&gt;="&amp;DATE(YEAR(TodayDate),MONTH(TodayDate)-6,1),Clients!$X$5:$X$504,"&lt;"&amp;DATE(YEAR(TodayDate),MONTH(TodayDate)-6+1,1))</f>
        <v>0</v>
      </c>
      <c r="E81" s="25">
        <f>MAX(0,C81-D81)</f>
        <v>0</v>
      </c>
      <c r="F81" s="27">
        <f>IFERROR(E81/MAX(1,C81),"")</f>
        <v>0</v>
      </c>
      <c r="G81" s="25">
        <f>COUNTIFS(Appointments!$S$5:$S$1204,TEXT(DATE(YEAR(TodayDate),MONTH(TodayDate)-6,1),"yyyy-mm"),Appointments!$AF$5:$AF$1204,"Yes")</f>
        <v>0</v>
      </c>
      <c r="H81" s="27">
        <f>IFERROR(G81/MAX(1,C81),"")</f>
        <v>0</v>
      </c>
      <c r="I81" s="25">
        <f>COUNTIFS(Clients!$Y$5:$Y$504,"&gt;="&amp;DATE(YEAR(TodayDate),MONTH(TodayDate)-6,1),Clients!$Y$5:$Y$504,"&lt;"&amp;DATE(YEAR(TodayDate),MONTH(TodayDate)-6+1,1),Clients!$AM$5:$AM$504,"Inactive")</f>
        <v>0</v>
      </c>
    </row>
    <row r="82" spans="1:11">
      <c r="B82" s="15">
        <f>TEXT(DATE(YEAR(TodayDate),MONTH(TodayDate)-5,1),"mmm yy")</f>
        <v>0</v>
      </c>
      <c r="C82" s="25">
        <f>COUNTIFS(Appointments!$S$5:$S$1204,TEXT(DATE(YEAR(TodayDate),MONTH(TodayDate)-5,1),"yyyy-mm"),Appointments!$M$5:$M$1204,"Completed")</f>
        <v>0</v>
      </c>
      <c r="D82" s="25">
        <f>COUNTIFS(Clients!$X$5:$X$504,"&gt;="&amp;DATE(YEAR(TodayDate),MONTH(TodayDate)-5,1),Clients!$X$5:$X$504,"&lt;"&amp;DATE(YEAR(TodayDate),MONTH(TodayDate)-5+1,1))</f>
        <v>0</v>
      </c>
      <c r="E82" s="25">
        <f>MAX(0,C82-D82)</f>
        <v>0</v>
      </c>
      <c r="F82" s="27">
        <f>IFERROR(E82/MAX(1,C82),"")</f>
        <v>0</v>
      </c>
      <c r="G82" s="25">
        <f>COUNTIFS(Appointments!$S$5:$S$1204,TEXT(DATE(YEAR(TodayDate),MONTH(TodayDate)-5,1),"yyyy-mm"),Appointments!$AF$5:$AF$1204,"Yes")</f>
        <v>0</v>
      </c>
      <c r="H82" s="27">
        <f>IFERROR(G82/MAX(1,C82),"")</f>
        <v>0</v>
      </c>
      <c r="I82" s="25">
        <f>COUNTIFS(Clients!$Y$5:$Y$504,"&gt;="&amp;DATE(YEAR(TodayDate),MONTH(TodayDate)-5,1),Clients!$Y$5:$Y$504,"&lt;"&amp;DATE(YEAR(TodayDate),MONTH(TodayDate)-5+1,1),Clients!$AM$5:$AM$504,"Inactive")</f>
        <v>0</v>
      </c>
    </row>
    <row r="83" spans="1:11">
      <c r="B83" s="15">
        <f>TEXT(DATE(YEAR(TodayDate),MONTH(TodayDate)-4,1),"mmm yy")</f>
        <v>0</v>
      </c>
      <c r="C83" s="25">
        <f>COUNTIFS(Appointments!$S$5:$S$1204,TEXT(DATE(YEAR(TodayDate),MONTH(TodayDate)-4,1),"yyyy-mm"),Appointments!$M$5:$M$1204,"Completed")</f>
        <v>0</v>
      </c>
      <c r="D83" s="25">
        <f>COUNTIFS(Clients!$X$5:$X$504,"&gt;="&amp;DATE(YEAR(TodayDate),MONTH(TodayDate)-4,1),Clients!$X$5:$X$504,"&lt;"&amp;DATE(YEAR(TodayDate),MONTH(TodayDate)-4+1,1))</f>
        <v>0</v>
      </c>
      <c r="E83" s="25">
        <f>MAX(0,C83-D83)</f>
        <v>0</v>
      </c>
      <c r="F83" s="27">
        <f>IFERROR(E83/MAX(1,C83),"")</f>
        <v>0</v>
      </c>
      <c r="G83" s="25">
        <f>COUNTIFS(Appointments!$S$5:$S$1204,TEXT(DATE(YEAR(TodayDate),MONTH(TodayDate)-4,1),"yyyy-mm"),Appointments!$AF$5:$AF$1204,"Yes")</f>
        <v>0</v>
      </c>
      <c r="H83" s="27">
        <f>IFERROR(G83/MAX(1,C83),"")</f>
        <v>0</v>
      </c>
      <c r="I83" s="25">
        <f>COUNTIFS(Clients!$Y$5:$Y$504,"&gt;="&amp;DATE(YEAR(TodayDate),MONTH(TodayDate)-4,1),Clients!$Y$5:$Y$504,"&lt;"&amp;DATE(YEAR(TodayDate),MONTH(TodayDate)-4+1,1),Clients!$AM$5:$AM$504,"Inactive")</f>
        <v>0</v>
      </c>
    </row>
    <row r="84" spans="1:11">
      <c r="B84" s="15">
        <f>TEXT(DATE(YEAR(TodayDate),MONTH(TodayDate)-3,1),"mmm yy")</f>
        <v>0</v>
      </c>
      <c r="C84" s="25">
        <f>COUNTIFS(Appointments!$S$5:$S$1204,TEXT(DATE(YEAR(TodayDate),MONTH(TodayDate)-3,1),"yyyy-mm"),Appointments!$M$5:$M$1204,"Completed")</f>
        <v>0</v>
      </c>
      <c r="D84" s="25">
        <f>COUNTIFS(Clients!$X$5:$X$504,"&gt;="&amp;DATE(YEAR(TodayDate),MONTH(TodayDate)-3,1),Clients!$X$5:$X$504,"&lt;"&amp;DATE(YEAR(TodayDate),MONTH(TodayDate)-3+1,1))</f>
        <v>0</v>
      </c>
      <c r="E84" s="25">
        <f>MAX(0,C84-D84)</f>
        <v>0</v>
      </c>
      <c r="F84" s="27">
        <f>IFERROR(E84/MAX(1,C84),"")</f>
        <v>0</v>
      </c>
      <c r="G84" s="25">
        <f>COUNTIFS(Appointments!$S$5:$S$1204,TEXT(DATE(YEAR(TodayDate),MONTH(TodayDate)-3,1),"yyyy-mm"),Appointments!$AF$5:$AF$1204,"Yes")</f>
        <v>0</v>
      </c>
      <c r="H84" s="27">
        <f>IFERROR(G84/MAX(1,C84),"")</f>
        <v>0</v>
      </c>
      <c r="I84" s="25">
        <f>COUNTIFS(Clients!$Y$5:$Y$504,"&gt;="&amp;DATE(YEAR(TodayDate),MONTH(TodayDate)-3,1),Clients!$Y$5:$Y$504,"&lt;"&amp;DATE(YEAR(TodayDate),MONTH(TodayDate)-3+1,1),Clients!$AM$5:$AM$504,"Inactive")</f>
        <v>0</v>
      </c>
    </row>
    <row r="85" spans="1:11">
      <c r="B85" s="15">
        <f>TEXT(DATE(YEAR(TodayDate),MONTH(TodayDate)-2,1),"mmm yy")</f>
        <v>0</v>
      </c>
      <c r="C85" s="25">
        <f>COUNTIFS(Appointments!$S$5:$S$1204,TEXT(DATE(YEAR(TodayDate),MONTH(TodayDate)-2,1),"yyyy-mm"),Appointments!$M$5:$M$1204,"Completed")</f>
        <v>0</v>
      </c>
      <c r="D85" s="25">
        <f>COUNTIFS(Clients!$X$5:$X$504,"&gt;="&amp;DATE(YEAR(TodayDate),MONTH(TodayDate)-2,1),Clients!$X$5:$X$504,"&lt;"&amp;DATE(YEAR(TodayDate),MONTH(TodayDate)-2+1,1))</f>
        <v>0</v>
      </c>
      <c r="E85" s="25">
        <f>MAX(0,C85-D85)</f>
        <v>0</v>
      </c>
      <c r="F85" s="27">
        <f>IFERROR(E85/MAX(1,C85),"")</f>
        <v>0</v>
      </c>
      <c r="G85" s="25">
        <f>COUNTIFS(Appointments!$S$5:$S$1204,TEXT(DATE(YEAR(TodayDate),MONTH(TodayDate)-2,1),"yyyy-mm"),Appointments!$AF$5:$AF$1204,"Yes")</f>
        <v>0</v>
      </c>
      <c r="H85" s="27">
        <f>IFERROR(G85/MAX(1,C85),"")</f>
        <v>0</v>
      </c>
      <c r="I85" s="25">
        <f>COUNTIFS(Clients!$Y$5:$Y$504,"&gt;="&amp;DATE(YEAR(TodayDate),MONTH(TodayDate)-2,1),Clients!$Y$5:$Y$504,"&lt;"&amp;DATE(YEAR(TodayDate),MONTH(TodayDate)-2+1,1),Clients!$AM$5:$AM$504,"Inactive")</f>
        <v>0</v>
      </c>
    </row>
    <row r="86" spans="1:11">
      <c r="B86" s="15">
        <f>TEXT(DATE(YEAR(TodayDate),MONTH(TodayDate)-1,1),"mmm yy")</f>
        <v>0</v>
      </c>
      <c r="C86" s="25">
        <f>COUNTIFS(Appointments!$S$5:$S$1204,TEXT(DATE(YEAR(TodayDate),MONTH(TodayDate)-1,1),"yyyy-mm"),Appointments!$M$5:$M$1204,"Completed")</f>
        <v>0</v>
      </c>
      <c r="D86" s="25">
        <f>COUNTIFS(Clients!$X$5:$X$504,"&gt;="&amp;DATE(YEAR(TodayDate),MONTH(TodayDate)-1,1),Clients!$X$5:$X$504,"&lt;"&amp;DATE(YEAR(TodayDate),MONTH(TodayDate)-1+1,1))</f>
        <v>0</v>
      </c>
      <c r="E86" s="25">
        <f>MAX(0,C86-D86)</f>
        <v>0</v>
      </c>
      <c r="F86" s="27">
        <f>IFERROR(E86/MAX(1,C86),"")</f>
        <v>0</v>
      </c>
      <c r="G86" s="25">
        <f>COUNTIFS(Appointments!$S$5:$S$1204,TEXT(DATE(YEAR(TodayDate),MONTH(TodayDate)-1,1),"yyyy-mm"),Appointments!$AF$5:$AF$1204,"Yes")</f>
        <v>0</v>
      </c>
      <c r="H86" s="27">
        <f>IFERROR(G86/MAX(1,C86),"")</f>
        <v>0</v>
      </c>
      <c r="I86" s="25">
        <f>COUNTIFS(Clients!$Y$5:$Y$504,"&gt;="&amp;DATE(YEAR(TodayDate),MONTH(TodayDate)-1,1),Clients!$Y$5:$Y$504,"&lt;"&amp;DATE(YEAR(TodayDate),MONTH(TodayDate)-1+1,1),Clients!$AM$5:$AM$504,"Inactive")</f>
        <v>0</v>
      </c>
    </row>
    <row r="87" spans="1:11">
      <c r="B87" s="15">
        <f>TEXT(DATE(YEAR(TodayDate),MONTH(TodayDate)-0,1),"mmm yy")</f>
        <v>0</v>
      </c>
      <c r="C87" s="25">
        <f>COUNTIFS(Appointments!$S$5:$S$1204,TEXT(DATE(YEAR(TodayDate),MONTH(TodayDate)-0,1),"yyyy-mm"),Appointments!$M$5:$M$1204,"Completed")</f>
        <v>0</v>
      </c>
      <c r="D87" s="25">
        <f>COUNTIFS(Clients!$X$5:$X$504,"&gt;="&amp;DATE(YEAR(TodayDate),MONTH(TodayDate)-0,1),Clients!$X$5:$X$504,"&lt;"&amp;DATE(YEAR(TodayDate),MONTH(TodayDate)-0+1,1))</f>
        <v>0</v>
      </c>
      <c r="E87" s="25">
        <f>MAX(0,C87-D87)</f>
        <v>0</v>
      </c>
      <c r="F87" s="27">
        <f>IFERROR(E87/MAX(1,C87),"")</f>
        <v>0</v>
      </c>
      <c r="G87" s="25">
        <f>COUNTIFS(Appointments!$S$5:$S$1204,TEXT(DATE(YEAR(TodayDate),MONTH(TodayDate)-0,1),"yyyy-mm"),Appointments!$AF$5:$AF$1204,"Yes")</f>
        <v>0</v>
      </c>
      <c r="H87" s="27">
        <f>IFERROR(G87/MAX(1,C87),"")</f>
        <v>0</v>
      </c>
      <c r="I87" s="25">
        <f>COUNTIFS(Clients!$Y$5:$Y$504,"&gt;="&amp;DATE(YEAR(TodayDate),MONTH(TodayDate)-0,1),Clients!$Y$5:$Y$504,"&lt;"&amp;DATE(YEAR(TodayDate),MONTH(TodayDate)-0+1,1),Clients!$AM$5:$AM$504,"Inactive")</f>
        <v>0</v>
      </c>
    </row>
    <row r="88" spans="1:11">
      <c r="D88" s="9" t="s">
        <v>767</v>
      </c>
      <c r="E88" s="9"/>
      <c r="F88" s="9"/>
    </row>
    <row r="90" spans="1:11" ht="20" customHeight="1">
      <c r="A90" s="7" t="s">
        <v>768</v>
      </c>
      <c r="B90" s="7"/>
      <c r="C90" s="7"/>
      <c r="D90" s="7"/>
      <c r="E90" s="7"/>
      <c r="F90" s="7"/>
      <c r="G90" s="7"/>
      <c r="H90" s="7"/>
      <c r="I90" s="7"/>
      <c r="J90" s="7"/>
      <c r="K90" s="7"/>
    </row>
    <row r="91" spans="1:11" ht="26" customHeight="1">
      <c r="B91" s="10" t="s">
        <v>283</v>
      </c>
      <c r="C91" s="11" t="s">
        <v>32</v>
      </c>
      <c r="D91" s="11" t="s">
        <v>492</v>
      </c>
      <c r="E91" s="11" t="s">
        <v>276</v>
      </c>
      <c r="F91" s="11" t="s">
        <v>746</v>
      </c>
      <c r="G91" s="11" t="s">
        <v>294</v>
      </c>
      <c r="H91" s="11" t="s">
        <v>88</v>
      </c>
    </row>
    <row r="92" spans="1:11">
      <c r="B92" s="15" t="s">
        <v>769</v>
      </c>
      <c r="C92" s="25">
        <f>COUNTIFS(Clients!$AM$5:$AM$504,"VIP")</f>
        <v>0</v>
      </c>
      <c r="D92" s="27">
        <f>IFERROR(COUNTIFS(Clients!$AM$5:$AM$504,"VIP")/MAX(1,ClientCount),"")</f>
        <v>0</v>
      </c>
      <c r="E92" s="26">
        <f>ROUND(SUMIFS(Clients!$AE$5:$AE$504,Clients!$AM$5:$AM$504,"VIP"),2)</f>
        <v>0</v>
      </c>
      <c r="F92" s="26">
        <f>IFERROR(ROUND(SUMIFS(Clients!$AE$5:$AE$504,Clients!$AM$5:$AM$504,"VIP")/MAX(1,COUNTIFS(Clients!$AM$5:$AM$504,"VIP")),2),"")</f>
        <v>0</v>
      </c>
      <c r="G92" s="37">
        <f>IFERROR(ROUND(SUMIFS(Clients!$T$5:$T$504,Clients!$AM$5:$AM$504,"VIP")/MAX(1,COUNTIFS(Clients!$AM$5:$AM$504,"VIP")),1),"")</f>
        <v>0</v>
      </c>
      <c r="H92" s="26">
        <f>IFERROR(ROUND(SUMIFS(Clients!$AE$5:$AE$504,Clients!$AM$5:$AM$504,"VIP")/MAX(1,SUMIFS(Clients!$T$5:$T$504,Clients!$AM$5:$AM$504,"VIP")),2),"")</f>
        <v>0</v>
      </c>
    </row>
    <row r="93" spans="1:11">
      <c r="B93" s="15" t="s">
        <v>770</v>
      </c>
      <c r="C93" s="25">
        <f>COUNTIFS(Clients!$AM$5:$AM$504,"Regular")</f>
        <v>0</v>
      </c>
      <c r="D93" s="27">
        <f>IFERROR(COUNTIFS(Clients!$AM$5:$AM$504,"Regular")/MAX(1,ClientCount),"")</f>
        <v>0</v>
      </c>
      <c r="E93" s="26">
        <f>ROUND(SUMIFS(Clients!$AE$5:$AE$504,Clients!$AM$5:$AM$504,"Regular"),2)</f>
        <v>0</v>
      </c>
      <c r="F93" s="26">
        <f>IFERROR(ROUND(SUMIFS(Clients!$AE$5:$AE$504,Clients!$AM$5:$AM$504,"Regular")/MAX(1,COUNTIFS(Clients!$AM$5:$AM$504,"Regular")),2),"")</f>
        <v>0</v>
      </c>
      <c r="G93" s="37">
        <f>IFERROR(ROUND(SUMIFS(Clients!$T$5:$T$504,Clients!$AM$5:$AM$504,"Regular")/MAX(1,COUNTIFS(Clients!$AM$5:$AM$504,"Regular")),1),"")</f>
        <v>0</v>
      </c>
      <c r="H93" s="26">
        <f>IFERROR(ROUND(SUMIFS(Clients!$AE$5:$AE$504,Clients!$AM$5:$AM$504,"Regular")/MAX(1,SUMIFS(Clients!$T$5:$T$504,Clients!$AM$5:$AM$504,"Regular")),2),"")</f>
        <v>0</v>
      </c>
    </row>
    <row r="94" spans="1:11">
      <c r="B94" s="15" t="s">
        <v>289</v>
      </c>
      <c r="C94" s="25">
        <f>COUNTIFS(Clients!$AM$5:$AM$504,"Active")</f>
        <v>0</v>
      </c>
      <c r="D94" s="27">
        <f>IFERROR(COUNTIFS(Clients!$AM$5:$AM$504,"Active")/MAX(1,ClientCount),"")</f>
        <v>0</v>
      </c>
      <c r="E94" s="26">
        <f>ROUND(SUMIFS(Clients!$AE$5:$AE$504,Clients!$AM$5:$AM$504,"Active"),2)</f>
        <v>0</v>
      </c>
      <c r="F94" s="26">
        <f>IFERROR(ROUND(SUMIFS(Clients!$AE$5:$AE$504,Clients!$AM$5:$AM$504,"Active")/MAX(1,COUNTIFS(Clients!$AM$5:$AM$504,"Active")),2),"")</f>
        <v>0</v>
      </c>
      <c r="G94" s="37">
        <f>IFERROR(ROUND(SUMIFS(Clients!$T$5:$T$504,Clients!$AM$5:$AM$504,"Active")/MAX(1,COUNTIFS(Clients!$AM$5:$AM$504,"Active")),1),"")</f>
        <v>0</v>
      </c>
      <c r="H94" s="26">
        <f>IFERROR(ROUND(SUMIFS(Clients!$AE$5:$AE$504,Clients!$AM$5:$AM$504,"Active")/MAX(1,SUMIFS(Clients!$T$5:$T$504,Clients!$AM$5:$AM$504,"Active")),2),"")</f>
        <v>0</v>
      </c>
    </row>
    <row r="95" spans="1:11">
      <c r="B95" s="15" t="s">
        <v>771</v>
      </c>
      <c r="C95" s="25">
        <f>COUNTIFS(Clients!$AM$5:$AM$504,"New")</f>
        <v>0</v>
      </c>
      <c r="D95" s="27">
        <f>IFERROR(COUNTIFS(Clients!$AM$5:$AM$504,"New")/MAX(1,ClientCount),"")</f>
        <v>0</v>
      </c>
      <c r="E95" s="26">
        <f>ROUND(SUMIFS(Clients!$AE$5:$AE$504,Clients!$AM$5:$AM$504,"New"),2)</f>
        <v>0</v>
      </c>
      <c r="F95" s="26">
        <f>IFERROR(ROUND(SUMIFS(Clients!$AE$5:$AE$504,Clients!$AM$5:$AM$504,"New")/MAX(1,COUNTIFS(Clients!$AM$5:$AM$504,"New")),2),"")</f>
        <v>0</v>
      </c>
      <c r="G95" s="37">
        <f>IFERROR(ROUND(SUMIFS(Clients!$T$5:$T$504,Clients!$AM$5:$AM$504,"New")/MAX(1,COUNTIFS(Clients!$AM$5:$AM$504,"New")),1),"")</f>
        <v>0</v>
      </c>
      <c r="H95" s="26">
        <f>IFERROR(ROUND(SUMIFS(Clients!$AE$5:$AE$504,Clients!$AM$5:$AM$504,"New")/MAX(1,SUMIFS(Clients!$T$5:$T$504,Clients!$AM$5:$AM$504,"New")),2),"")</f>
        <v>0</v>
      </c>
    </row>
    <row r="96" spans="1:11">
      <c r="B96" s="15" t="s">
        <v>291</v>
      </c>
      <c r="C96" s="25">
        <f>COUNTIFS(Clients!$AM$5:$AM$504,"Lapsing")</f>
        <v>0</v>
      </c>
      <c r="D96" s="27">
        <f>IFERROR(COUNTIFS(Clients!$AM$5:$AM$504,"Lapsing")/MAX(1,ClientCount),"")</f>
        <v>0</v>
      </c>
      <c r="E96" s="26">
        <f>ROUND(SUMIFS(Clients!$AE$5:$AE$504,Clients!$AM$5:$AM$504,"Lapsing"),2)</f>
        <v>0</v>
      </c>
      <c r="F96" s="26">
        <f>IFERROR(ROUND(SUMIFS(Clients!$AE$5:$AE$504,Clients!$AM$5:$AM$504,"Lapsing")/MAX(1,COUNTIFS(Clients!$AM$5:$AM$504,"Lapsing")),2),"")</f>
        <v>0</v>
      </c>
      <c r="G96" s="37">
        <f>IFERROR(ROUND(SUMIFS(Clients!$T$5:$T$504,Clients!$AM$5:$AM$504,"Lapsing")/MAX(1,COUNTIFS(Clients!$AM$5:$AM$504,"Lapsing")),1),"")</f>
        <v>0</v>
      </c>
      <c r="H96" s="26">
        <f>IFERROR(ROUND(SUMIFS(Clients!$AE$5:$AE$504,Clients!$AM$5:$AM$504,"Lapsing")/MAX(1,SUMIFS(Clients!$T$5:$T$504,Clients!$AM$5:$AM$504,"Lapsing")),2),"")</f>
        <v>0</v>
      </c>
    </row>
    <row r="97" spans="1:11">
      <c r="B97" s="15" t="s">
        <v>292</v>
      </c>
      <c r="C97" s="25">
        <f>COUNTIFS(Clients!$AM$5:$AM$504,"Inactive")</f>
        <v>0</v>
      </c>
      <c r="D97" s="27">
        <f>IFERROR(COUNTIFS(Clients!$AM$5:$AM$504,"Inactive")/MAX(1,ClientCount),"")</f>
        <v>0</v>
      </c>
      <c r="E97" s="26">
        <f>ROUND(SUMIFS(Clients!$AE$5:$AE$504,Clients!$AM$5:$AM$504,"Inactive"),2)</f>
        <v>0</v>
      </c>
      <c r="F97" s="26">
        <f>IFERROR(ROUND(SUMIFS(Clients!$AE$5:$AE$504,Clients!$AM$5:$AM$504,"Inactive")/MAX(1,COUNTIFS(Clients!$AM$5:$AM$504,"Inactive")),2),"")</f>
        <v>0</v>
      </c>
      <c r="G97" s="37">
        <f>IFERROR(ROUND(SUMIFS(Clients!$T$5:$T$504,Clients!$AM$5:$AM$504,"Inactive")/MAX(1,COUNTIFS(Clients!$AM$5:$AM$504,"Inactive")),1),"")</f>
        <v>0</v>
      </c>
      <c r="H97" s="26">
        <f>IFERROR(ROUND(SUMIFS(Clients!$AE$5:$AE$504,Clients!$AM$5:$AM$504,"Inactive")/MAX(1,SUMIFS(Clients!$T$5:$T$504,Clients!$AM$5:$AM$504,"Inactive")),2),"")</f>
        <v>0</v>
      </c>
    </row>
    <row r="98" spans="1:11">
      <c r="B98" s="15" t="s">
        <v>772</v>
      </c>
      <c r="C98" s="25">
        <f>COUNTIFS(Clients!$AM$5:$AM$504,"Not been yet")</f>
        <v>0</v>
      </c>
      <c r="D98" s="27">
        <f>IFERROR(COUNTIFS(Clients!$AM$5:$AM$504,"Not been yet")/MAX(1,ClientCount),"")</f>
        <v>0</v>
      </c>
      <c r="E98" s="26">
        <f>ROUND(SUMIFS(Clients!$AE$5:$AE$504,Clients!$AM$5:$AM$504,"Not been yet"),2)</f>
        <v>0</v>
      </c>
      <c r="F98" s="26">
        <f>IFERROR(ROUND(SUMIFS(Clients!$AE$5:$AE$504,Clients!$AM$5:$AM$504,"Not been yet")/MAX(1,COUNTIFS(Clients!$AM$5:$AM$504,"Not been yet")),2),"")</f>
        <v>0</v>
      </c>
      <c r="G98" s="37">
        <f>IFERROR(ROUND(SUMIFS(Clients!$T$5:$T$504,Clients!$AM$5:$AM$504,"Not been yet")/MAX(1,COUNTIFS(Clients!$AM$5:$AM$504,"Not been yet")),1),"")</f>
        <v>0</v>
      </c>
      <c r="H98" s="26">
        <f>IFERROR(ROUND(SUMIFS(Clients!$AE$5:$AE$504,Clients!$AM$5:$AM$504,"Not been yet")/MAX(1,SUMIFS(Clients!$T$5:$T$504,Clients!$AM$5:$AM$504,"Not been yet")),2),"")</f>
        <v>0</v>
      </c>
    </row>
    <row r="100" spans="1:11" ht="30" customHeight="1">
      <c r="A100" s="6" t="s">
        <v>773</v>
      </c>
      <c r="B100" s="6"/>
      <c r="C100" s="6"/>
      <c r="D100" s="6"/>
      <c r="E100" s="6"/>
      <c r="F100" s="6"/>
      <c r="G100" s="6"/>
      <c r="H100" s="6"/>
      <c r="I100" s="6"/>
      <c r="J100" s="6"/>
      <c r="K100" s="6"/>
    </row>
  </sheetData>
  <sheetProtection password="EC7C" sheet="1" objects="1" scenarios="1" formatCells="0" formatColumns="0" formatRows="0" insertRows="0" insertHyperlinks="0" deleteRows="0" autoFilter="0"/>
  <mergeCells count="18">
    <mergeCell ref="A1:H1"/>
    <mergeCell ref="I1:K1"/>
    <mergeCell ref="A2:K2"/>
    <mergeCell ref="A3:B3"/>
    <mergeCell ref="C3:D3"/>
    <mergeCell ref="E3:F3"/>
    <mergeCell ref="G3:H3"/>
    <mergeCell ref="I3:J3"/>
    <mergeCell ref="A5:K5"/>
    <mergeCell ref="A7:K7"/>
    <mergeCell ref="A27:K27"/>
    <mergeCell ref="A37:K37"/>
    <mergeCell ref="A38:K38"/>
    <mergeCell ref="A56:K56"/>
    <mergeCell ref="A74:K74"/>
    <mergeCell ref="D88:F88"/>
    <mergeCell ref="A90:K90"/>
    <mergeCell ref="A100:K100"/>
  </mergeCells>
  <conditionalFormatting sqref="C41:C54">
    <cfRule type="dataBar" priority="6">
      <dataBar>
        <cfvo type="min" val="0"/>
        <cfvo type="max" val="0"/>
        <color rgb="FFC08A5E"/>
      </dataBar>
    </cfRule>
  </conditionalFormatting>
  <conditionalFormatting sqref="E9:E25">
    <cfRule type="dataBar" priority="1">
      <dataBar>
        <cfvo type="min" val="0"/>
        <cfvo type="max" val="0"/>
        <color rgb="FF9A5C86"/>
      </dataBar>
    </cfRule>
  </conditionalFormatting>
  <conditionalFormatting sqref="F29:F35">
    <cfRule type="cellIs" dxfId="0" priority="5" operator="greaterThan">
      <formula>0</formula>
    </cfRule>
  </conditionalFormatting>
  <conditionalFormatting sqref="F58:F72">
    <cfRule type="dataBar" priority="7">
      <dataBar>
        <cfvo type="min" val="0"/>
        <cfvo type="max" val="0"/>
        <color rgb="FF9A5C86"/>
      </dataBar>
    </cfRule>
  </conditionalFormatting>
  <conditionalFormatting sqref="F76:F87">
    <cfRule type="cellIs" dxfId="1" priority="8" operator="greaterThanOrEqual">
      <formula>TargetRebook</formula>
    </cfRule>
    <cfRule type="cellIs" dxfId="0" priority="9" operator="lessThan">
      <formula>TargetRebook</formula>
    </cfRule>
  </conditionalFormatting>
  <conditionalFormatting sqref="G29:G35">
    <cfRule type="dataBar" priority="4">
      <dataBar>
        <cfvo type="min" val="0"/>
        <cfvo type="max" val="0"/>
        <color rgb="FF9A5C86"/>
      </dataBar>
    </cfRule>
  </conditionalFormatting>
  <conditionalFormatting sqref="H76:H87">
    <cfRule type="cellIs" dxfId="1" priority="10" operator="greaterThanOrEqual">
      <formula>TargetRebook</formula>
    </cfRule>
    <cfRule type="cellIs" dxfId="0" priority="11" operator="lessThan">
      <formula>TargetRebook</formula>
    </cfRule>
  </conditionalFormatting>
  <conditionalFormatting sqref="I9:I25">
    <cfRule type="cellIs" dxfId="1" priority="2" operator="greaterThanOrEqual">
      <formula>TargetChairRate</formula>
    </cfRule>
    <cfRule type="cellIs" dxfId="0" priority="3" operator="lessThan">
      <formula>TargetChairRate</formula>
    </cfRule>
  </conditionalFormatting>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s>
  <pageMargins left="0.4" right="0.4" top="0.6" bottom="0.5" header="0.3" footer="0.3"/>
  <pageSetup paperSize="9" fitToHeight="0" orientation="landscape"/>
  <headerFooter>
    <oddHeader>&amp;L&amp;"Calibri,Bold"&amp;12&amp;C&amp;"Calibri,Bold"&amp;11Analytics&amp;R&amp;"Calibri,Italic"&amp;9Salon Business Management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9A5C86"/>
          <x14:colorNegative theme="5"/>
          <x14:colorAxis rgb="FF000000"/>
          <x14:colorMarkers theme="4" tint="-0.499984740745262"/>
          <x14:colorFirst theme="4" tint="0.39997558519241921"/>
          <x14:colorLast theme="4" tint="0.39997558519241921"/>
          <x14:colorHigh theme="4"/>
          <x14:colorLow theme="4"/>
          <x14:sparklines>
            <x14:sparkline>
              <xm:f>Analytics!C76:C87</xm:f>
              <xm:sqref>C88</xm:sqref>
            </x14:sparkline>
          </x14:sparklines>
        </x14:sparklineGroup>
      </x14:sparklineGroups>
    </ext>
  </extLst>
</worksheet>
</file>

<file path=xl/worksheets/sheet19.xml><?xml version="1.0" encoding="utf-8"?>
<worksheet xmlns="http://schemas.openxmlformats.org/spreadsheetml/2006/main" xmlns:r="http://schemas.openxmlformats.org/officeDocument/2006/relationships">
  <sheetPr>
    <tabColor rgb="FF4C2A42"/>
    <pageSetUpPr fitToPage="1"/>
  </sheetPr>
  <dimension ref="A1:J79"/>
  <sheetViews>
    <sheetView showGridLines="0" workbookViewId="0">
      <pane ySplit="6" topLeftCell="A7" activePane="bottomLeft" state="frozen"/>
      <selection pane="bottomLeft"/>
    </sheetView>
  </sheetViews>
  <sheetFormatPr defaultRowHeight="15"/>
  <cols>
    <col min="1" max="1" width="3.7109375" customWidth="1"/>
    <col min="2" max="2" width="30.7109375" customWidth="1"/>
    <col min="3" max="10" width="15.7109375" customWidth="1"/>
    <col min="2" max="2" width="30.7109375" customWidth="1"/>
    <col min="3" max="3" width="15.7109375" customWidth="1"/>
    <col min="4" max="4" width="15.7109375" customWidth="1"/>
    <col min="5" max="5" width="14.7109375" customWidth="1"/>
    <col min="6" max="6" width="12.7109375" customWidth="1"/>
    <col min="7" max="7" width="18.7109375" customWidth="1"/>
    <col min="2" max="2" width="14.7109375" customWidth="1"/>
    <col min="3" max="3" width="13.7109375" customWidth="1"/>
    <col min="4" max="4" width="14.7109375" customWidth="1"/>
    <col min="5" max="5" width="12.7109375" customWidth="1"/>
    <col min="6" max="6" width="14.7109375" customWidth="1"/>
    <col min="7" max="7" width="13.7109375" customWidth="1"/>
    <col min="8" max="8" width="12.7109375" customWidth="1"/>
    <col min="2" max="2" width="30.7109375" customWidth="1"/>
    <col min="3" max="3" width="15.7109375" customWidth="1"/>
    <col min="4" max="4" width="15.7109375" customWidth="1"/>
    <col min="5" max="5" width="14.7109375" customWidth="1"/>
    <col min="6" max="6" width="12.7109375" customWidth="1"/>
    <col min="7" max="7" width="15.7109375" customWidth="1"/>
    <col min="2" max="2" width="20.7109375" customWidth="1"/>
    <col min="3" max="3" width="15.7109375" customWidth="1"/>
    <col min="4" max="4" width="14.7109375" customWidth="1"/>
    <col min="5" max="5" width="14.7109375" customWidth="1"/>
    <col min="6" max="6" width="12.7109375" customWidth="1"/>
    <col min="7" max="7" width="13.7109375" customWidth="1"/>
    <col min="8" max="8" width="14.7109375" customWidth="1"/>
    <col min="2" max="2" width="26.7109375" customWidth="1"/>
    <col min="3" max="3" width="10.7109375" customWidth="1"/>
    <col min="4" max="4" width="14.7109375" customWidth="1"/>
    <col min="5" max="5" width="24.7109375" customWidth="1"/>
    <col min="6" max="6" width="10.7109375" customWidth="1"/>
    <col min="7" max="7" width="14.7109375" customWidth="1"/>
    <col min="2" max="2" width="16.7109375" customWidth="1"/>
    <col min="3" max="3" width="15.7109375" customWidth="1"/>
    <col min="4" max="4" width="14.7109375" customWidth="1"/>
    <col min="5" max="5" width="15.7109375" customWidth="1"/>
    <col min="6" max="6" width="16.7109375" customWidth="1"/>
    <col min="7" max="7" width="10.7109375" customWidth="1"/>
    <col min="8" max="8" width="13.7109375" customWidth="1"/>
    <col min="9" max="9" width="13.7109375" customWidth="1"/>
  </cols>
  <sheetData>
    <row r="1" spans="1:10" ht="34" customHeight="1">
      <c r="A1" s="2" t="s">
        <v>774</v>
      </c>
      <c r="B1" s="2"/>
      <c r="C1" s="2"/>
      <c r="D1" s="2"/>
      <c r="E1" s="2"/>
      <c r="F1" s="2"/>
      <c r="G1" s="2"/>
      <c r="H1" s="3" t="s">
        <v>1</v>
      </c>
      <c r="I1" s="3"/>
      <c r="J1" s="3"/>
    </row>
    <row r="2" spans="1:10" ht="18" customHeight="1">
      <c r="A2" s="4" t="s">
        <v>775</v>
      </c>
      <c r="B2" s="4"/>
      <c r="C2" s="4"/>
      <c r="D2" s="4"/>
      <c r="E2" s="4"/>
      <c r="F2" s="4"/>
      <c r="G2" s="4"/>
      <c r="H2" s="4"/>
      <c r="I2" s="4"/>
      <c r="J2" s="4"/>
    </row>
    <row r="3" spans="1:10" ht="16" customHeight="1">
      <c r="A3" s="5" t="s">
        <v>3</v>
      </c>
      <c r="B3" s="5"/>
      <c r="C3" s="5" t="s">
        <v>4</v>
      </c>
      <c r="D3" s="5"/>
      <c r="E3" s="5" t="s">
        <v>5</v>
      </c>
      <c r="F3" s="5"/>
      <c r="G3" s="5" t="s">
        <v>6</v>
      </c>
      <c r="H3" s="5"/>
      <c r="I3" s="5" t="s">
        <v>7</v>
      </c>
      <c r="J3" s="5"/>
    </row>
    <row r="5" spans="1:10">
      <c r="B5" s="8" t="s">
        <v>776</v>
      </c>
      <c r="C5" s="8"/>
      <c r="D5" s="29">
        <v>46317</v>
      </c>
      <c r="E5" s="9" t="s">
        <v>777</v>
      </c>
      <c r="F5" s="9"/>
      <c r="G5" s="9"/>
      <c r="H5" s="9"/>
    </row>
    <row r="6" spans="1:10">
      <c r="B6" s="8" t="s">
        <v>121</v>
      </c>
      <c r="C6" s="8"/>
      <c r="D6" s="34" t="s">
        <v>778</v>
      </c>
      <c r="E6" s="9" t="s">
        <v>779</v>
      </c>
      <c r="F6" s="9"/>
      <c r="G6" s="9"/>
      <c r="H6" s="9"/>
    </row>
    <row r="8" spans="1:10" ht="20" customHeight="1">
      <c r="A8" s="7" t="s">
        <v>780</v>
      </c>
      <c r="B8" s="7"/>
      <c r="C8" s="7"/>
      <c r="D8" s="7"/>
      <c r="E8" s="7"/>
      <c r="F8" s="7"/>
      <c r="G8" s="7"/>
      <c r="H8" s="7"/>
      <c r="I8" s="7"/>
      <c r="J8" s="7"/>
    </row>
    <row r="9" spans="1:10">
      <c r="B9" s="15">
        <f>"Week of "&amp;TEXT(ReportWeekEnd-6,"d mmm")&amp;" to "&amp;TEXT(ReportWeekEnd,"d mmm yyyy")</f>
        <v>0</v>
      </c>
      <c r="C9" s="15"/>
      <c r="D9" s="15"/>
      <c r="E9" s="15"/>
    </row>
    <row r="10" spans="1:10" ht="26" customHeight="1">
      <c r="B10" s="10" t="s">
        <v>781</v>
      </c>
      <c r="C10" s="11" t="s">
        <v>782</v>
      </c>
      <c r="D10" s="11" t="s">
        <v>783</v>
      </c>
      <c r="E10" s="11" t="s">
        <v>784</v>
      </c>
      <c r="F10" s="11" t="s">
        <v>785</v>
      </c>
      <c r="G10" s="11" t="s">
        <v>786</v>
      </c>
    </row>
    <row r="11" spans="1:10">
      <c r="B11" s="8" t="s">
        <v>84</v>
      </c>
      <c r="C11" s="26">
        <f>ROUND(SUMIFS(Sales!$Y$5:$Y$1204,Sales!$B$5:$B$1204,"&gt;="&amp;(ReportWeekEnd-6),Sales!$B$5:$B$1204,"&lt;="&amp;ReportWeekEnd),2)</f>
        <v>0</v>
      </c>
      <c r="D11" s="26">
        <f>ROUND(SUMIFS(Sales!$Y$5:$Y$1204,Sales!$B$5:$B$1204,"&gt;="&amp;(ReportWeekEnd-13),Sales!$B$5:$B$1204,"&lt;="&amp;(ReportWeekEnd-7)),2)</f>
        <v>0</v>
      </c>
      <c r="E11" s="26">
        <f>ROUND(C11-D11,2)</f>
        <v>0</v>
      </c>
      <c r="F11" s="27">
        <f>IFERROR((C11-D11)/ABS(D11),"")</f>
        <v>0</v>
      </c>
      <c r="G11" s="26">
        <f>ROUND((ROUND(SUMIFS(Sales!$Y$5:$Y$1204,Sales!$B$5:$B$1204,"&gt;="&amp;(ReportWeekEnd-27),Sales!$B$5:$B$1204,"&lt;="&amp;ReportWeekEnd),2))/4,2)</f>
        <v>0</v>
      </c>
    </row>
    <row r="12" spans="1:10">
      <c r="B12" s="8" t="s">
        <v>411</v>
      </c>
      <c r="C12" s="26">
        <f>ROUND(SUMIFS(Sales!$Y$5:$Y$1204,Sales!$H$5:$H$1204,"Service",Sales!$B$5:$B$1204,"&gt;="&amp;(ReportWeekEnd-6),Sales!$B$5:$B$1204,"&lt;="&amp;ReportWeekEnd),2)</f>
        <v>0</v>
      </c>
      <c r="D12" s="26">
        <f>ROUND(SUMIFS(Sales!$Y$5:$Y$1204,Sales!$H$5:$H$1204,"Service",Sales!$B$5:$B$1204,"&gt;="&amp;(ReportWeekEnd-13),Sales!$B$5:$B$1204,"&lt;="&amp;(ReportWeekEnd-7)),2)</f>
        <v>0</v>
      </c>
      <c r="E12" s="26">
        <f>ROUND(C12-D12,2)</f>
        <v>0</v>
      </c>
      <c r="F12" s="27">
        <f>IFERROR((C12-D12)/ABS(D12),"")</f>
        <v>0</v>
      </c>
      <c r="G12" s="26">
        <f>ROUND((ROUND(SUMIFS(Sales!$Y$5:$Y$1204,Sales!$H$5:$H$1204,"Service",Sales!$B$5:$B$1204,"&gt;="&amp;(ReportWeekEnd-27),Sales!$B$5:$B$1204,"&lt;="&amp;ReportWeekEnd),2))/4,2)</f>
        <v>0</v>
      </c>
    </row>
    <row r="13" spans="1:10">
      <c r="B13" s="8" t="s">
        <v>412</v>
      </c>
      <c r="C13" s="26">
        <f>ROUND(SUMIFS(Sales!$Y$5:$Y$1204,Sales!$H$5:$H$1204,"Retail",Sales!$B$5:$B$1204,"&gt;="&amp;(ReportWeekEnd-6),Sales!$B$5:$B$1204,"&lt;="&amp;ReportWeekEnd),2)</f>
        <v>0</v>
      </c>
      <c r="D13" s="26">
        <f>ROUND(SUMIFS(Sales!$Y$5:$Y$1204,Sales!$H$5:$H$1204,"Retail",Sales!$B$5:$B$1204,"&gt;="&amp;(ReportWeekEnd-13),Sales!$B$5:$B$1204,"&lt;="&amp;(ReportWeekEnd-7)),2)</f>
        <v>0</v>
      </c>
      <c r="E13" s="26">
        <f>ROUND(C13-D13,2)</f>
        <v>0</v>
      </c>
      <c r="F13" s="27">
        <f>IFERROR((C13-D13)/ABS(D13),"")</f>
        <v>0</v>
      </c>
      <c r="G13" s="26">
        <f>ROUND((ROUND(SUMIFS(Sales!$Y$5:$Y$1204,Sales!$H$5:$H$1204,"Retail",Sales!$B$5:$B$1204,"&gt;="&amp;(ReportWeekEnd-27),Sales!$B$5:$B$1204,"&lt;="&amp;ReportWeekEnd),2))/4,2)</f>
        <v>0</v>
      </c>
    </row>
    <row r="14" spans="1:10">
      <c r="B14" s="8" t="s">
        <v>408</v>
      </c>
      <c r="C14" s="25">
        <f>COUNTIFS(Appointments!$M$5:$M$1204,"Completed",Appointments!$B$5:$B$1204,"&gt;="&amp;(ReportWeekEnd-6),Appointments!$B$5:$B$1204,"&lt;="&amp;ReportWeekEnd)</f>
        <v>0</v>
      </c>
      <c r="D14" s="25">
        <f>COUNTIFS(Appointments!$M$5:$M$1204,"Completed",Appointments!$B$5:$B$1204,"&gt;="&amp;(ReportWeekEnd-13),Appointments!$B$5:$B$1204,"&lt;="&amp;(ReportWeekEnd-7))</f>
        <v>0</v>
      </c>
      <c r="E14" s="25">
        <f>ROUND(C14-D14,2)</f>
        <v>0</v>
      </c>
      <c r="F14" s="27">
        <f>IFERROR((C14-D14)/ABS(D14),"")</f>
        <v>0</v>
      </c>
      <c r="G14" s="37">
        <f>ROUND((COUNTIFS(Appointments!$M$5:$M$1204,"Completed",Appointments!$B$5:$B$1204,"&gt;="&amp;(ReportWeekEnd-27),Appointments!$B$5:$B$1204,"&lt;="&amp;ReportWeekEnd))/4,1)</f>
        <v>0</v>
      </c>
    </row>
    <row r="15" spans="1:10">
      <c r="B15" s="8" t="s">
        <v>621</v>
      </c>
      <c r="C15" s="25">
        <f>COUNTIFS(Clients!$X$5:$X$504,"&gt;="&amp;(ReportWeekEnd-6),Clients!$X$5:$X$504,"&lt;="&amp;ReportWeekEnd)</f>
        <v>0</v>
      </c>
      <c r="D15" s="25">
        <f>COUNTIFS(Clients!$X$5:$X$504,"&gt;="&amp;(ReportWeekEnd-13),Clients!$X$5:$X$504,"&lt;="&amp;(ReportWeekEnd-7))</f>
        <v>0</v>
      </c>
      <c r="E15" s="25">
        <f>ROUND(C15-D15,2)</f>
        <v>0</v>
      </c>
      <c r="F15" s="27">
        <f>IFERROR((C15-D15)/ABS(D15),"")</f>
        <v>0</v>
      </c>
      <c r="G15" s="37">
        <f>ROUND((COUNTIFS(Clients!$X$5:$X$504,"&gt;="&amp;(ReportWeekEnd-27),Clients!$X$5:$X$504,"&lt;="&amp;ReportWeekEnd))/4,1)</f>
        <v>0</v>
      </c>
    </row>
    <row r="16" spans="1:10">
      <c r="B16" s="8" t="s">
        <v>88</v>
      </c>
      <c r="C16" s="26">
        <f>IFERROR(ROUND(SUMIFS(Sales!$Y$5:$Y$1204,Sales!$B$5:$B$1204,"&gt;="&amp;(ReportWeekEnd-6),Sales!$B$5:$B$1204,"&lt;="&amp;ReportWeekEnd)/MAX(1,COUNTIFS(Appointments!$M$5:$M$1204,"Completed",Appointments!$B$5:$B$1204,"&gt;="&amp;(ReportWeekEnd-6),Appointments!$B$5:$B$1204,"&lt;="&amp;ReportWeekEnd)),2),"")</f>
        <v>0</v>
      </c>
      <c r="D16" s="26">
        <f>IFERROR(ROUND(SUMIFS(Sales!$Y$5:$Y$1204,Sales!$B$5:$B$1204,"&gt;="&amp;(ReportWeekEnd-13),Sales!$B$5:$B$1204,"&lt;="&amp;(ReportWeekEnd-7))/MAX(1,COUNTIFS(Appointments!$M$5:$M$1204,"Completed",Appointments!$B$5:$B$1204,"&gt;="&amp;(ReportWeekEnd-13),Appointments!$B$5:$B$1204,"&lt;="&amp;(ReportWeekEnd-7))),2),"")</f>
        <v>0</v>
      </c>
      <c r="E16" s="26">
        <f>ROUND(C16-D16,2)</f>
        <v>0</v>
      </c>
      <c r="F16" s="27">
        <f>IFERROR((C16-D16)/ABS(D16),"")</f>
        <v>0</v>
      </c>
      <c r="G16" s="26">
        <f>ROUND((IFERROR(ROUND(SUMIFS(Sales!$Y$5:$Y$1204,Sales!$B$5:$B$1204,"&gt;="&amp;(ReportWeekEnd-27),Sales!$B$5:$B$1204,"&lt;="&amp;ReportWeekEnd)/MAX(1,COUNTIFS(Appointments!$M$5:$M$1204,"Completed",Appointments!$B$5:$B$1204,"&gt;="&amp;(ReportWeekEnd-27),Appointments!$B$5:$B$1204,"&lt;="&amp;ReportWeekEnd)),2),""))/4,2)</f>
        <v>0</v>
      </c>
    </row>
    <row r="17" spans="1:10">
      <c r="B17" s="8" t="s">
        <v>787</v>
      </c>
      <c r="C17" s="25">
        <f>COUNTIFS(Appointments!$M$5:$M$1204,"Cancelled",Appointments!$B$5:$B$1204,"&gt;="&amp;(ReportWeekEnd-6),Appointments!$B$5:$B$1204,"&lt;="&amp;ReportWeekEnd)</f>
        <v>0</v>
      </c>
      <c r="D17" s="25">
        <f>COUNTIFS(Appointments!$M$5:$M$1204,"Cancelled",Appointments!$B$5:$B$1204,"&gt;="&amp;(ReportWeekEnd-13),Appointments!$B$5:$B$1204,"&lt;="&amp;(ReportWeekEnd-7))</f>
        <v>0</v>
      </c>
      <c r="E17" s="25">
        <f>ROUND(C17-D17,2)</f>
        <v>0</v>
      </c>
      <c r="F17" s="27">
        <f>IFERROR((C17-D17)/ABS(D17),"")</f>
        <v>0</v>
      </c>
      <c r="G17" s="37">
        <f>ROUND((COUNTIFS(Appointments!$M$5:$M$1204,"Cancelled",Appointments!$B$5:$B$1204,"&gt;="&amp;(ReportWeekEnd-27),Appointments!$B$5:$B$1204,"&lt;="&amp;ReportWeekEnd))/4,1)</f>
        <v>0</v>
      </c>
    </row>
    <row r="18" spans="1:10">
      <c r="B18" s="8" t="s">
        <v>246</v>
      </c>
      <c r="C18" s="25">
        <f>COUNTIFS(Appointments!$M$5:$M$1204,"No show",Appointments!$B$5:$B$1204,"&gt;="&amp;(ReportWeekEnd-6),Appointments!$B$5:$B$1204,"&lt;="&amp;ReportWeekEnd)</f>
        <v>0</v>
      </c>
      <c r="D18" s="25">
        <f>COUNTIFS(Appointments!$M$5:$M$1204,"No show",Appointments!$B$5:$B$1204,"&gt;="&amp;(ReportWeekEnd-13),Appointments!$B$5:$B$1204,"&lt;="&amp;(ReportWeekEnd-7))</f>
        <v>0</v>
      </c>
      <c r="E18" s="25">
        <f>ROUND(C18-D18,2)</f>
        <v>0</v>
      </c>
      <c r="F18" s="27">
        <f>IFERROR((C18-D18)/ABS(D18),"")</f>
        <v>0</v>
      </c>
      <c r="G18" s="37">
        <f>ROUND((COUNTIFS(Appointments!$M$5:$M$1204,"No show",Appointments!$B$5:$B$1204,"&gt;="&amp;(ReportWeekEnd-27),Appointments!$B$5:$B$1204,"&lt;="&amp;ReportWeekEnd))/4,1)</f>
        <v>0</v>
      </c>
    </row>
    <row r="19" spans="1:10">
      <c r="B19" s="8" t="s">
        <v>788</v>
      </c>
      <c r="C19" s="37">
        <f>ROUND(SUMIFS(Appointments!$X$5:$X$1204,Appointments!$M$5:$M$1204,"Completed",Appointments!$B$5:$B$1204,"&gt;="&amp;(ReportWeekEnd-6),Appointments!$B$5:$B$1204,"&lt;="&amp;ReportWeekEnd),1)</f>
        <v>0</v>
      </c>
      <c r="D19" s="37">
        <f>ROUND(SUMIFS(Appointments!$X$5:$X$1204,Appointments!$M$5:$M$1204,"Completed",Appointments!$B$5:$B$1204,"&gt;="&amp;(ReportWeekEnd-13),Appointments!$B$5:$B$1204,"&lt;="&amp;(ReportWeekEnd-7)),1)</f>
        <v>0</v>
      </c>
      <c r="E19" s="37">
        <f>ROUND(C19-D19,2)</f>
        <v>0</v>
      </c>
      <c r="F19" s="27">
        <f>IFERROR((C19-D19)/ABS(D19),"")</f>
        <v>0</v>
      </c>
      <c r="G19" s="37">
        <f>ROUND((ROUND(SUMIFS(Appointments!$X$5:$X$1204,Appointments!$M$5:$M$1204,"Completed",Appointments!$B$5:$B$1204,"&gt;="&amp;(ReportWeekEnd-27),Appointments!$B$5:$B$1204,"&lt;="&amp;ReportWeekEnd),1))/4,2)</f>
        <v>0</v>
      </c>
    </row>
    <row r="20" spans="1:10">
      <c r="B20" s="8" t="s">
        <v>789</v>
      </c>
      <c r="C20" s="26">
        <f>ROUND(SUMIFS(Payments!$G$5:$G$1204,Payments!$E$5:$E$1204,"Tip",Payments!$B$5:$B$1204,"&gt;="&amp;(ReportWeekEnd-6),Payments!$B$5:$B$1204,"&lt;="&amp;ReportWeekEnd),2)</f>
        <v>0</v>
      </c>
      <c r="D20" s="26">
        <f>ROUND(SUMIFS(Payments!$G$5:$G$1204,Payments!$E$5:$E$1204,"Tip",Payments!$B$5:$B$1204,"&gt;="&amp;(ReportWeekEnd-13),Payments!$B$5:$B$1204,"&lt;="&amp;(ReportWeekEnd-7)),2)</f>
        <v>0</v>
      </c>
      <c r="E20" s="26">
        <f>ROUND(C20-D20,2)</f>
        <v>0</v>
      </c>
      <c r="F20" s="27">
        <f>IFERROR((C20-D20)/ABS(D20),"")</f>
        <v>0</v>
      </c>
      <c r="G20" s="26">
        <f>ROUND((ROUND(SUMIFS(Payments!$G$5:$G$1204,Payments!$E$5:$E$1204,"Tip",Payments!$B$5:$B$1204,"&gt;="&amp;(ReportWeekEnd-27),Payments!$B$5:$B$1204,"&lt;="&amp;ReportWeekEnd),2))/4,2)</f>
        <v>0</v>
      </c>
    </row>
    <row r="21" spans="1:10">
      <c r="B21" s="8" t="s">
        <v>790</v>
      </c>
      <c r="C21" s="26">
        <f>ROUND(SUMIFS(Payments!$T$5:$T$1204,Payments!$B$5:$B$1204,"&gt;="&amp;(ReportWeekEnd-6),Payments!$B$5:$B$1204,"&lt;="&amp;ReportWeekEnd),2)</f>
        <v>0</v>
      </c>
      <c r="D21" s="26">
        <f>ROUND(SUMIFS(Payments!$T$5:$T$1204,Payments!$B$5:$B$1204,"&gt;="&amp;(ReportWeekEnd-13),Payments!$B$5:$B$1204,"&lt;="&amp;(ReportWeekEnd-7)),2)</f>
        <v>0</v>
      </c>
      <c r="E21" s="26">
        <f>ROUND(C21-D21,2)</f>
        <v>0</v>
      </c>
      <c r="F21" s="27">
        <f>IFERROR((C21-D21)/ABS(D21),"")</f>
        <v>0</v>
      </c>
      <c r="G21" s="26">
        <f>ROUND((ROUND(SUMIFS(Payments!$T$5:$T$1204,Payments!$B$5:$B$1204,"&gt;="&amp;(ReportWeekEnd-27),Payments!$B$5:$B$1204,"&lt;="&amp;ReportWeekEnd),2))/4,2)</f>
        <v>0</v>
      </c>
    </row>
    <row r="22" spans="1:10">
      <c r="B22" s="8" t="s">
        <v>481</v>
      </c>
      <c r="C22" s="26">
        <f>ROUND(SUMIFS(Expenses!$F$5:$F$604,Expenses!$B$5:$B$604,"&gt;="&amp;(ReportWeekEnd-6),Expenses!$B$5:$B$604,"&lt;="&amp;ReportWeekEnd),2)</f>
        <v>0</v>
      </c>
      <c r="D22" s="26">
        <f>ROUND(SUMIFS(Expenses!$F$5:$F$604,Expenses!$B$5:$B$604,"&gt;="&amp;(ReportWeekEnd-13),Expenses!$B$5:$B$604,"&lt;="&amp;(ReportWeekEnd-7)),2)</f>
        <v>0</v>
      </c>
      <c r="E22" s="26">
        <f>ROUND(C22-D22,2)</f>
        <v>0</v>
      </c>
      <c r="F22" s="27">
        <f>IFERROR((C22-D22)/ABS(D22),"")</f>
        <v>0</v>
      </c>
      <c r="G22" s="26">
        <f>ROUND((ROUND(SUMIFS(Expenses!$F$5:$F$604,Expenses!$B$5:$B$604,"&gt;="&amp;(ReportWeekEnd-27),Expenses!$B$5:$B$604,"&lt;="&amp;ReportWeekEnd),2))/4,2)</f>
        <v>0</v>
      </c>
    </row>
    <row r="24" spans="1:10" ht="17" customHeight="1">
      <c r="A24" s="45" t="s">
        <v>791</v>
      </c>
      <c r="B24" s="45"/>
      <c r="C24" s="45"/>
      <c r="D24" s="45"/>
      <c r="E24" s="45"/>
      <c r="F24" s="45"/>
      <c r="G24" s="45"/>
      <c r="H24" s="45"/>
      <c r="I24" s="45"/>
      <c r="J24" s="45"/>
    </row>
    <row r="25" spans="1:10" ht="26" customHeight="1">
      <c r="B25" s="10" t="s">
        <v>213</v>
      </c>
      <c r="C25" s="11" t="s">
        <v>212</v>
      </c>
      <c r="D25" s="11" t="s">
        <v>29</v>
      </c>
      <c r="E25" s="11" t="s">
        <v>177</v>
      </c>
      <c r="F25" s="11" t="s">
        <v>84</v>
      </c>
      <c r="G25" s="11" t="s">
        <v>232</v>
      </c>
      <c r="H25" s="11" t="s">
        <v>246</v>
      </c>
    </row>
    <row r="26" spans="1:10">
      <c r="B26" s="15">
        <f>TEXT((ReportWeekEnd-6),"dddd")</f>
        <v>0</v>
      </c>
      <c r="C26" s="17">
        <f>(ReportWeekEnd-6)</f>
        <v>0</v>
      </c>
      <c r="D26" s="25">
        <f>COUNTIFS(Appointments!$B$5:$B$1204,(ReportWeekEnd-6))</f>
        <v>0</v>
      </c>
      <c r="E26" s="25">
        <f>COUNTIFS(Appointments!$B$5:$B$1204,(ReportWeekEnd-6),Appointments!$M$5:$M$1204,"Completed")</f>
        <v>0</v>
      </c>
      <c r="F26" s="26">
        <f>ROUND(SUMIFS(Sales!$Y$5:$Y$1204,Sales!$B$5:$B$1204,(ReportWeekEnd-6)),2)</f>
        <v>0</v>
      </c>
      <c r="G26" s="37">
        <f>ROUND(SUMIFS(Appointments!$X$5:$X$1204,Appointments!$B$5:$B$1204,(ReportWeekEnd-6),Appointments!$M$5:$M$1204,"Completed"),1)</f>
        <v>0</v>
      </c>
      <c r="H26" s="25">
        <f>COUNTIFS(Appointments!$B$5:$B$1204,(ReportWeekEnd-6),Appointments!$M$5:$M$1204,"No show")</f>
        <v>0</v>
      </c>
    </row>
    <row r="27" spans="1:10">
      <c r="B27" s="15">
        <f>TEXT((ReportWeekEnd-5),"dddd")</f>
        <v>0</v>
      </c>
      <c r="C27" s="17">
        <f>(ReportWeekEnd-5)</f>
        <v>0</v>
      </c>
      <c r="D27" s="25">
        <f>COUNTIFS(Appointments!$B$5:$B$1204,(ReportWeekEnd-5))</f>
        <v>0</v>
      </c>
      <c r="E27" s="25">
        <f>COUNTIFS(Appointments!$B$5:$B$1204,(ReportWeekEnd-5),Appointments!$M$5:$M$1204,"Completed")</f>
        <v>0</v>
      </c>
      <c r="F27" s="26">
        <f>ROUND(SUMIFS(Sales!$Y$5:$Y$1204,Sales!$B$5:$B$1204,(ReportWeekEnd-5)),2)</f>
        <v>0</v>
      </c>
      <c r="G27" s="37">
        <f>ROUND(SUMIFS(Appointments!$X$5:$X$1204,Appointments!$B$5:$B$1204,(ReportWeekEnd-5),Appointments!$M$5:$M$1204,"Completed"),1)</f>
        <v>0</v>
      </c>
      <c r="H27" s="25">
        <f>COUNTIFS(Appointments!$B$5:$B$1204,(ReportWeekEnd-5),Appointments!$M$5:$M$1204,"No show")</f>
        <v>0</v>
      </c>
    </row>
    <row r="28" spans="1:10">
      <c r="B28" s="15">
        <f>TEXT((ReportWeekEnd-4),"dddd")</f>
        <v>0</v>
      </c>
      <c r="C28" s="17">
        <f>(ReportWeekEnd-4)</f>
        <v>0</v>
      </c>
      <c r="D28" s="25">
        <f>COUNTIFS(Appointments!$B$5:$B$1204,(ReportWeekEnd-4))</f>
        <v>0</v>
      </c>
      <c r="E28" s="25">
        <f>COUNTIFS(Appointments!$B$5:$B$1204,(ReportWeekEnd-4),Appointments!$M$5:$M$1204,"Completed")</f>
        <v>0</v>
      </c>
      <c r="F28" s="26">
        <f>ROUND(SUMIFS(Sales!$Y$5:$Y$1204,Sales!$B$5:$B$1204,(ReportWeekEnd-4)),2)</f>
        <v>0</v>
      </c>
      <c r="G28" s="37">
        <f>ROUND(SUMIFS(Appointments!$X$5:$X$1204,Appointments!$B$5:$B$1204,(ReportWeekEnd-4),Appointments!$M$5:$M$1204,"Completed"),1)</f>
        <v>0</v>
      </c>
      <c r="H28" s="25">
        <f>COUNTIFS(Appointments!$B$5:$B$1204,(ReportWeekEnd-4),Appointments!$M$5:$M$1204,"No show")</f>
        <v>0</v>
      </c>
    </row>
    <row r="29" spans="1:10">
      <c r="B29" s="15">
        <f>TEXT((ReportWeekEnd-3),"dddd")</f>
        <v>0</v>
      </c>
      <c r="C29" s="17">
        <f>(ReportWeekEnd-3)</f>
        <v>0</v>
      </c>
      <c r="D29" s="25">
        <f>COUNTIFS(Appointments!$B$5:$B$1204,(ReportWeekEnd-3))</f>
        <v>0</v>
      </c>
      <c r="E29" s="25">
        <f>COUNTIFS(Appointments!$B$5:$B$1204,(ReportWeekEnd-3),Appointments!$M$5:$M$1204,"Completed")</f>
        <v>0</v>
      </c>
      <c r="F29" s="26">
        <f>ROUND(SUMIFS(Sales!$Y$5:$Y$1204,Sales!$B$5:$B$1204,(ReportWeekEnd-3)),2)</f>
        <v>0</v>
      </c>
      <c r="G29" s="37">
        <f>ROUND(SUMIFS(Appointments!$X$5:$X$1204,Appointments!$B$5:$B$1204,(ReportWeekEnd-3),Appointments!$M$5:$M$1204,"Completed"),1)</f>
        <v>0</v>
      </c>
      <c r="H29" s="25">
        <f>COUNTIFS(Appointments!$B$5:$B$1204,(ReportWeekEnd-3),Appointments!$M$5:$M$1204,"No show")</f>
        <v>0</v>
      </c>
    </row>
    <row r="30" spans="1:10">
      <c r="B30" s="15">
        <f>TEXT((ReportWeekEnd-2),"dddd")</f>
        <v>0</v>
      </c>
      <c r="C30" s="17">
        <f>(ReportWeekEnd-2)</f>
        <v>0</v>
      </c>
      <c r="D30" s="25">
        <f>COUNTIFS(Appointments!$B$5:$B$1204,(ReportWeekEnd-2))</f>
        <v>0</v>
      </c>
      <c r="E30" s="25">
        <f>COUNTIFS(Appointments!$B$5:$B$1204,(ReportWeekEnd-2),Appointments!$M$5:$M$1204,"Completed")</f>
        <v>0</v>
      </c>
      <c r="F30" s="26">
        <f>ROUND(SUMIFS(Sales!$Y$5:$Y$1204,Sales!$B$5:$B$1204,(ReportWeekEnd-2)),2)</f>
        <v>0</v>
      </c>
      <c r="G30" s="37">
        <f>ROUND(SUMIFS(Appointments!$X$5:$X$1204,Appointments!$B$5:$B$1204,(ReportWeekEnd-2),Appointments!$M$5:$M$1204,"Completed"),1)</f>
        <v>0</v>
      </c>
      <c r="H30" s="25">
        <f>COUNTIFS(Appointments!$B$5:$B$1204,(ReportWeekEnd-2),Appointments!$M$5:$M$1204,"No show")</f>
        <v>0</v>
      </c>
    </row>
    <row r="31" spans="1:10">
      <c r="B31" s="15">
        <f>TEXT((ReportWeekEnd-1),"dddd")</f>
        <v>0</v>
      </c>
      <c r="C31" s="17">
        <f>(ReportWeekEnd-1)</f>
        <v>0</v>
      </c>
      <c r="D31" s="25">
        <f>COUNTIFS(Appointments!$B$5:$B$1204,(ReportWeekEnd-1))</f>
        <v>0</v>
      </c>
      <c r="E31" s="25">
        <f>COUNTIFS(Appointments!$B$5:$B$1204,(ReportWeekEnd-1),Appointments!$M$5:$M$1204,"Completed")</f>
        <v>0</v>
      </c>
      <c r="F31" s="26">
        <f>ROUND(SUMIFS(Sales!$Y$5:$Y$1204,Sales!$B$5:$B$1204,(ReportWeekEnd-1)),2)</f>
        <v>0</v>
      </c>
      <c r="G31" s="37">
        <f>ROUND(SUMIFS(Appointments!$X$5:$X$1204,Appointments!$B$5:$B$1204,(ReportWeekEnd-1),Appointments!$M$5:$M$1204,"Completed"),1)</f>
        <v>0</v>
      </c>
      <c r="H31" s="25">
        <f>COUNTIFS(Appointments!$B$5:$B$1204,(ReportWeekEnd-1),Appointments!$M$5:$M$1204,"No show")</f>
        <v>0</v>
      </c>
    </row>
    <row r="32" spans="1:10">
      <c r="B32" s="15">
        <f>TEXT((ReportWeekEnd-0),"dddd")</f>
        <v>0</v>
      </c>
      <c r="C32" s="17">
        <f>(ReportWeekEnd-0)</f>
        <v>0</v>
      </c>
      <c r="D32" s="25">
        <f>COUNTIFS(Appointments!$B$5:$B$1204,(ReportWeekEnd-0))</f>
        <v>0</v>
      </c>
      <c r="E32" s="25">
        <f>COUNTIFS(Appointments!$B$5:$B$1204,(ReportWeekEnd-0),Appointments!$M$5:$M$1204,"Completed")</f>
        <v>0</v>
      </c>
      <c r="F32" s="26">
        <f>ROUND(SUMIFS(Sales!$Y$5:$Y$1204,Sales!$B$5:$B$1204,(ReportWeekEnd-0)),2)</f>
        <v>0</v>
      </c>
      <c r="G32" s="37">
        <f>ROUND(SUMIFS(Appointments!$X$5:$X$1204,Appointments!$B$5:$B$1204,(ReportWeekEnd-0),Appointments!$M$5:$M$1204,"Completed"),1)</f>
        <v>0</v>
      </c>
      <c r="H32" s="25">
        <f>COUNTIFS(Appointments!$B$5:$B$1204,(ReportWeekEnd-0),Appointments!$M$5:$M$1204,"No show")</f>
        <v>0</v>
      </c>
    </row>
    <row r="33" spans="1:10">
      <c r="B33" s="9" t="s">
        <v>792</v>
      </c>
      <c r="C33" s="9"/>
      <c r="D33" s="9"/>
      <c r="E33" s="9"/>
    </row>
    <row r="35" spans="1:10" ht="20" customHeight="1">
      <c r="A35" s="7" t="s">
        <v>793</v>
      </c>
      <c r="B35" s="7"/>
      <c r="C35" s="7"/>
      <c r="D35" s="7"/>
      <c r="E35" s="7"/>
      <c r="F35" s="7"/>
      <c r="G35" s="7"/>
      <c r="H35" s="7"/>
      <c r="I35" s="7"/>
      <c r="J35" s="7"/>
    </row>
    <row r="36" spans="1:10">
      <c r="B36" s="15">
        <f>"Month of "&amp;TEXT(DATE(VALUE(LEFT(ReportMonth,4)),VALUE(RIGHT(ReportMonth,2)),1),"mmmm yyyy")</f>
        <v>0</v>
      </c>
      <c r="C36" s="15"/>
      <c r="D36" s="15"/>
      <c r="E36" s="15"/>
    </row>
    <row r="37" spans="1:10" ht="26" customHeight="1">
      <c r="B37" s="10" t="s">
        <v>781</v>
      </c>
      <c r="C37" s="11" t="s">
        <v>482</v>
      </c>
      <c r="D37" s="11" t="s">
        <v>794</v>
      </c>
      <c r="E37" s="11" t="s">
        <v>784</v>
      </c>
      <c r="F37" s="11" t="s">
        <v>785</v>
      </c>
      <c r="G37" s="11" t="s">
        <v>318</v>
      </c>
    </row>
    <row r="38" spans="1:10">
      <c r="B38" s="8" t="s">
        <v>84</v>
      </c>
      <c r="C38" s="26">
        <f>ROUND(SUMIFS(Sales!$Y$5:$Y$1204,Sales!$R$5:$R$1204,ReportMonth),2)</f>
        <v>0</v>
      </c>
      <c r="D38" s="26">
        <f>ROUND(SUMIFS(Sales!$Y$5:$Y$1204,Sales!$R$5:$R$1204,TEXT(DATE(VALUE(LEFT(ReportMonth,4)),VALUE(RIGHT(ReportMonth,2))-1,1),"yyyy-mm")),2)</f>
        <v>0</v>
      </c>
      <c r="E38" s="26">
        <f>ROUND(C38-D38,2)</f>
        <v>0</v>
      </c>
      <c r="F38" s="27">
        <f>IFERROR((C38-D38)/ABS(D38),"")</f>
        <v>0</v>
      </c>
      <c r="G38" s="27">
        <f>IF(C38=0,"",C38/C38)</f>
        <v>0</v>
      </c>
    </row>
    <row r="39" spans="1:10">
      <c r="B39" s="8" t="s">
        <v>411</v>
      </c>
      <c r="C39" s="26">
        <f>ROUND(SUMIFS(Sales!$Y$5:$Y$1204,Sales!$R$5:$R$1204,ReportMonth,Sales!$H$5:$H$1204,"Service"),2)</f>
        <v>0</v>
      </c>
      <c r="D39" s="26">
        <f>ROUND(SUMIFS(Sales!$Y$5:$Y$1204,Sales!$R$5:$R$1204,TEXT(DATE(VALUE(LEFT(ReportMonth,4)),VALUE(RIGHT(ReportMonth,2))-1,1),"yyyy-mm"),Sales!$H$5:$H$1204,"Service"),2)</f>
        <v>0</v>
      </c>
      <c r="E39" s="26">
        <f>ROUND(C39-D39,2)</f>
        <v>0</v>
      </c>
      <c r="F39" s="27">
        <f>IFERROR((C39-D39)/ABS(D39),"")</f>
        <v>0</v>
      </c>
      <c r="G39" s="27">
        <f>IF(C38=0,"",C39/C38)</f>
        <v>0</v>
      </c>
    </row>
    <row r="40" spans="1:10">
      <c r="B40" s="8" t="s">
        <v>412</v>
      </c>
      <c r="C40" s="26">
        <f>ROUND(SUMIFS(Sales!$Y$5:$Y$1204,Sales!$R$5:$R$1204,ReportMonth,Sales!$H$5:$H$1204,"Retail"),2)</f>
        <v>0</v>
      </c>
      <c r="D40" s="26">
        <f>ROUND(SUMIFS(Sales!$Y$5:$Y$1204,Sales!$R$5:$R$1204,TEXT(DATE(VALUE(LEFT(ReportMonth,4)),VALUE(RIGHT(ReportMonth,2))-1,1),"yyyy-mm"),Sales!$H$5:$H$1204,"Retail"),2)</f>
        <v>0</v>
      </c>
      <c r="E40" s="26">
        <f>ROUND(C40-D40,2)</f>
        <v>0</v>
      </c>
      <c r="F40" s="27">
        <f>IFERROR((C40-D40)/ABS(D40),"")</f>
        <v>0</v>
      </c>
      <c r="G40" s="27">
        <f>IF(C38=0,"",C40/C38)</f>
        <v>0</v>
      </c>
    </row>
    <row r="41" spans="1:10">
      <c r="B41" s="8" t="s">
        <v>795</v>
      </c>
      <c r="C41" s="26">
        <f>ROUND(SUMIFS(Sales!$Y$5:$Y$1204,Sales!$R$5:$R$1204,ReportMonth,Sales!$H$5:$H$1204,"Package")+SUMIFS(Sales!$Y$5:$Y$1204,Sales!$R$5:$R$1204,ReportMonth,Sales!$H$5:$H$1204,"Gift certificate"),2)</f>
        <v>0</v>
      </c>
      <c r="D41" s="26">
        <f>ROUND(SUMIFS(Sales!$Y$5:$Y$1204,Sales!$R$5:$R$1204,TEXT(DATE(VALUE(LEFT(ReportMonth,4)),VALUE(RIGHT(ReportMonth,2))-1,1),"yyyy-mm"),Sales!$H$5:$H$1204,"Package")+SUMIFS(Sales!$Y$5:$Y$1204,Sales!$R$5:$R$1204,TEXT(DATE(VALUE(LEFT(ReportMonth,4)),VALUE(RIGHT(ReportMonth,2))-1,1),"yyyy-mm"),Sales!$H$5:$H$1204,"Gift certificate"),2)</f>
        <v>0</v>
      </c>
      <c r="E41" s="26">
        <f>ROUND(C41-D41,2)</f>
        <v>0</v>
      </c>
      <c r="F41" s="27">
        <f>IFERROR((C41-D41)/ABS(D41),"")</f>
        <v>0</v>
      </c>
      <c r="G41" s="27">
        <f>IF(C38=0,"",C41/C38)</f>
        <v>0</v>
      </c>
    </row>
    <row r="42" spans="1:10">
      <c r="B42" s="8" t="s">
        <v>796</v>
      </c>
      <c r="C42" s="26">
        <f>ROUND(SUMIFS(Sales!$X$5:$X$1204,Sales!$R$5:$R$1204,ReportMonth),2)</f>
        <v>0</v>
      </c>
      <c r="D42" s="26">
        <f>ROUND(SUMIFS(Sales!$X$5:$X$1204,Sales!$R$5:$R$1204,TEXT(DATE(VALUE(LEFT(ReportMonth,4)),VALUE(RIGHT(ReportMonth,2))-1,1),"yyyy-mm")),2)</f>
        <v>0</v>
      </c>
      <c r="E42" s="26">
        <f>ROUND(C42-D42,2)</f>
        <v>0</v>
      </c>
      <c r="F42" s="27">
        <f>IFERROR((C42-D42)/ABS(D42),"")</f>
        <v>0</v>
      </c>
      <c r="G42" s="27">
        <f>IF(C38=0,"",C42/C38)</f>
        <v>0</v>
      </c>
    </row>
    <row r="43" spans="1:10">
      <c r="B43" s="8" t="s">
        <v>367</v>
      </c>
      <c r="C43" s="26">
        <f>ROUND(SUMIFS(Sales!$P$5:$P$1204,Sales!$R$5:$R$1204,ReportMonth),2)</f>
        <v>0</v>
      </c>
      <c r="D43" s="26">
        <f>ROUND(SUMIFS(Sales!$P$5:$P$1204,Sales!$R$5:$R$1204,TEXT(DATE(VALUE(LEFT(ReportMonth,4)),VALUE(RIGHT(ReportMonth,2))-1,1),"yyyy-mm")),2)</f>
        <v>0</v>
      </c>
      <c r="E43" s="26">
        <f>ROUND(C43-D43,2)</f>
        <v>0</v>
      </c>
      <c r="F43" s="27">
        <f>IFERROR((C43-D43)/ABS(D43),"")</f>
        <v>0</v>
      </c>
      <c r="G43" s="27">
        <f>IF(C38=0,"",C43/C38)</f>
        <v>0</v>
      </c>
    </row>
    <row r="44" spans="1:10">
      <c r="B44" s="8" t="s">
        <v>194</v>
      </c>
      <c r="C44" s="26">
        <f>ROUND(SUMIFS(Sales!$AB$5:$AB$1204,Sales!$R$5:$R$1204,ReportMonth),2)</f>
        <v>0</v>
      </c>
      <c r="D44" s="26">
        <f>ROUND(SUMIFS(Sales!$AB$5:$AB$1204,Sales!$R$5:$R$1204,TEXT(DATE(VALUE(LEFT(ReportMonth,4)),VALUE(RIGHT(ReportMonth,2))-1,1),"yyyy-mm")),2)</f>
        <v>0</v>
      </c>
      <c r="E44" s="26">
        <f>ROUND(C44-D44,2)</f>
        <v>0</v>
      </c>
      <c r="F44" s="27">
        <f>IFERROR((C44-D44)/ABS(D44),"")</f>
        <v>0</v>
      </c>
      <c r="G44" s="27">
        <f>IF(C38=0,"",C44/C38)</f>
        <v>0</v>
      </c>
    </row>
    <row r="45" spans="1:10">
      <c r="B45" s="8" t="s">
        <v>797</v>
      </c>
      <c r="C45" s="26">
        <f>ROUND(SUMIFS(Payroll!$Y$5:$Y$364,Payroll!$Q$5:$Q$364,ReportMonth),2)</f>
        <v>0</v>
      </c>
      <c r="D45" s="26">
        <f>ROUND(SUMIFS(Payroll!$Y$5:$Y$364,Payroll!$Q$5:$Q$364,TEXT(DATE(VALUE(LEFT(ReportMonth,4)),VALUE(RIGHT(ReportMonth,2))-1,1),"yyyy-mm")),2)</f>
        <v>0</v>
      </c>
      <c r="E45" s="26">
        <f>ROUND(C45-D45,2)</f>
        <v>0</v>
      </c>
      <c r="F45" s="27">
        <f>IFERROR((C45-D45)/ABS(D45),"")</f>
        <v>0</v>
      </c>
      <c r="G45" s="27">
        <f>IF(C38=0,"",C45/C38)</f>
        <v>0</v>
      </c>
    </row>
    <row r="46" spans="1:10">
      <c r="B46" s="8" t="s">
        <v>798</v>
      </c>
      <c r="C46" s="26">
        <f>ROUND(SUMIFS(Expenses!$F$5:$F$604,Expenses!$P$5:$P$604,ReportMonth),2)</f>
        <v>0</v>
      </c>
      <c r="D46" s="26">
        <f>ROUND(SUMIFS(Expenses!$F$5:$F$604,Expenses!$P$5:$P$604,TEXT(DATE(VALUE(LEFT(ReportMonth,4)),VALUE(RIGHT(ReportMonth,2))-1,1),"yyyy-mm")),2)</f>
        <v>0</v>
      </c>
      <c r="E46" s="26">
        <f>ROUND(C46-D46,2)</f>
        <v>0</v>
      </c>
      <c r="F46" s="27">
        <f>IFERROR((C46-D46)/ABS(D46),"")</f>
        <v>0</v>
      </c>
      <c r="G46" s="27">
        <f>IF(C38=0,"",C46/C38)</f>
        <v>0</v>
      </c>
    </row>
    <row r="47" spans="1:10">
      <c r="B47" s="8" t="s">
        <v>86</v>
      </c>
      <c r="C47" s="26">
        <f>ROUND(SUMIFS(Sales!$Y$5:$Y$1204,Sales!$R$5:$R$1204,ReportMonth)-SUMIFS(Sales!$AB$5:$AB$1204,Sales!$R$5:$R$1204,ReportMonth)-SUMIFS(Payroll!$Y$5:$Y$364,Payroll!$Q$5:$Q$364,ReportMonth)-SUMIFS(Expenses!$F$5:$F$604,Expenses!$P$5:$P$604,ReportMonth),2)</f>
        <v>0</v>
      </c>
      <c r="D47" s="26">
        <f>ROUND(SUMIFS(Sales!$Y$5:$Y$1204,Sales!$R$5:$R$1204,TEXT(DATE(VALUE(LEFT(ReportMonth,4)),VALUE(RIGHT(ReportMonth,2))-1,1),"yyyy-mm"))-SUMIFS(Sales!$AB$5:$AB$1204,Sales!$R$5:$R$1204,TEXT(DATE(VALUE(LEFT(ReportMonth,4)),VALUE(RIGHT(ReportMonth,2))-1,1),"yyyy-mm"))-SUMIFS(Payroll!$Y$5:$Y$364,Payroll!$Q$5:$Q$364,TEXT(DATE(VALUE(LEFT(ReportMonth,4)),VALUE(RIGHT(ReportMonth,2))-1,1),"yyyy-mm"))-SUMIFS(Expenses!$F$5:$F$604,Expenses!$P$5:$P$604,TEXT(DATE(VALUE(LEFT(ReportMonth,4)),VALUE(RIGHT(ReportMonth,2))-1,1),"yyyy-mm")),2)</f>
        <v>0</v>
      </c>
      <c r="E47" s="26">
        <f>ROUND(C47-D47,2)</f>
        <v>0</v>
      </c>
      <c r="F47" s="27">
        <f>IFERROR((C47-D47)/ABS(D47),"")</f>
        <v>0</v>
      </c>
      <c r="G47" s="27">
        <f>IF(C38=0,"",C47/C38)</f>
        <v>0</v>
      </c>
    </row>
    <row r="48" spans="1:10">
      <c r="B48" s="8" t="s">
        <v>408</v>
      </c>
      <c r="C48" s="25">
        <f>COUNTIFS(Appointments!$S$5:$S$1204,ReportMonth,Appointments!$M$5:$M$1204,"Completed")</f>
        <v>0</v>
      </c>
      <c r="D48" s="25">
        <f>COUNTIFS(Appointments!$S$5:$S$1204,TEXT(DATE(VALUE(LEFT(ReportMonth,4)),VALUE(RIGHT(ReportMonth,2))-1,1),"yyyy-mm"),Appointments!$M$5:$M$1204,"Completed")</f>
        <v>0</v>
      </c>
      <c r="E48" s="25">
        <f>ROUND(C48-D48,2)</f>
        <v>0</v>
      </c>
      <c r="F48" s="27">
        <f>IFERROR((C48-D48)/ABS(D48),"")</f>
        <v>0</v>
      </c>
      <c r="G48" s="27"/>
    </row>
    <row r="49" spans="1:10">
      <c r="B49" s="8" t="s">
        <v>787</v>
      </c>
      <c r="C49" s="25">
        <f>COUNTIFS(Appointments!$S$5:$S$1204,ReportMonth,Appointments!$M$5:$M$1204,"Cancelled")</f>
        <v>0</v>
      </c>
      <c r="D49" s="25">
        <f>COUNTIFS(Appointments!$S$5:$S$1204,TEXT(DATE(VALUE(LEFT(ReportMonth,4)),VALUE(RIGHT(ReportMonth,2))-1,1),"yyyy-mm"),Appointments!$M$5:$M$1204,"Cancelled")</f>
        <v>0</v>
      </c>
      <c r="E49" s="25">
        <f>ROUND(C49-D49,2)</f>
        <v>0</v>
      </c>
      <c r="F49" s="27">
        <f>IFERROR((C49-D49)/ABS(D49),"")</f>
        <v>0</v>
      </c>
      <c r="G49" s="27"/>
    </row>
    <row r="50" spans="1:10">
      <c r="B50" s="8" t="s">
        <v>246</v>
      </c>
      <c r="C50" s="25">
        <f>COUNTIFS(Appointments!$S$5:$S$1204,ReportMonth,Appointments!$M$5:$M$1204,"No show")</f>
        <v>0</v>
      </c>
      <c r="D50" s="25">
        <f>COUNTIFS(Appointments!$S$5:$S$1204,TEXT(DATE(VALUE(LEFT(ReportMonth,4)),VALUE(RIGHT(ReportMonth,2))-1,1),"yyyy-mm"),Appointments!$M$5:$M$1204,"No show")</f>
        <v>0</v>
      </c>
      <c r="E50" s="25">
        <f>ROUND(C50-D50,2)</f>
        <v>0</v>
      </c>
      <c r="F50" s="27">
        <f>IFERROR((C50-D50)/ABS(D50),"")</f>
        <v>0</v>
      </c>
      <c r="G50" s="27"/>
    </row>
    <row r="51" spans="1:10">
      <c r="B51" s="8" t="s">
        <v>387</v>
      </c>
      <c r="C51" s="26">
        <f>ROUND(SUMIFS(Payments!$G$5:$G$1204,Payments!$O$5:$O$1204,ReportMonth,Payments!$E$5:$E$1204,"Tip"),2)</f>
        <v>0</v>
      </c>
      <c r="D51" s="26">
        <f>ROUND(SUMIFS(Payments!$G$5:$G$1204,Payments!$O$5:$O$1204,TEXT(DATE(VALUE(LEFT(ReportMonth,4)),VALUE(RIGHT(ReportMonth,2))-1,1),"yyyy-mm"),Payments!$E$5:$E$1204,"Tip"),2)</f>
        <v>0</v>
      </c>
      <c r="E51" s="26">
        <f>ROUND(C51-D51,2)</f>
        <v>0</v>
      </c>
      <c r="F51" s="27">
        <f>IFERROR((C51-D51)/ABS(D51),"")</f>
        <v>0</v>
      </c>
      <c r="G51" s="27"/>
    </row>
    <row r="52" spans="1:10">
      <c r="B52" s="8" t="s">
        <v>799</v>
      </c>
      <c r="C52" s="26">
        <f>ROUND(SUMIFS(Sales!$Z$5:$Z$1204,Sales!$R$5:$R$1204,ReportMonth),2)</f>
        <v>0</v>
      </c>
      <c r="D52" s="26">
        <f>ROUND(SUMIFS(Sales!$Z$5:$Z$1204,Sales!$R$5:$R$1204,TEXT(DATE(VALUE(LEFT(ReportMonth,4)),VALUE(RIGHT(ReportMonth,2))-1,1),"yyyy-mm")),2)</f>
        <v>0</v>
      </c>
      <c r="E52" s="26">
        <f>ROUND(C52-D52,2)</f>
        <v>0</v>
      </c>
      <c r="F52" s="27">
        <f>IFERROR((C52-D52)/ABS(D52),"")</f>
        <v>0</v>
      </c>
      <c r="G52" s="27"/>
    </row>
    <row r="53" spans="1:10">
      <c r="B53" s="8" t="s">
        <v>800</v>
      </c>
      <c r="C53" s="26">
        <f>ROUND(SUMIFS(Payments!$G$5:$G$1204,Payments!$O$5:$O$1204,ReportMonth,Payments!$E$5:$E$1204,"Deposit"),2)</f>
        <v>0</v>
      </c>
      <c r="D53" s="26">
        <f>ROUND(SUMIFS(Payments!$G$5:$G$1204,Payments!$O$5:$O$1204,TEXT(DATE(VALUE(LEFT(ReportMonth,4)),VALUE(RIGHT(ReportMonth,2))-1,1),"yyyy-mm"),Payments!$E$5:$E$1204,"Deposit"),2)</f>
        <v>0</v>
      </c>
      <c r="E53" s="26">
        <f>ROUND(C53-D53,2)</f>
        <v>0</v>
      </c>
      <c r="F53" s="27">
        <f>IFERROR((C53-D53)/ABS(D53),"")</f>
        <v>0</v>
      </c>
      <c r="G53" s="27"/>
    </row>
    <row r="55" spans="1:10" ht="17" customHeight="1">
      <c r="A55" s="45" t="s">
        <v>801</v>
      </c>
      <c r="B55" s="45"/>
      <c r="C55" s="45"/>
      <c r="D55" s="45"/>
      <c r="E55" s="45"/>
      <c r="F55" s="45"/>
      <c r="G55" s="45"/>
      <c r="H55" s="45"/>
      <c r="I55" s="45"/>
      <c r="J55" s="45"/>
    </row>
    <row r="56" spans="1:10" ht="26" customHeight="1">
      <c r="B56" s="10" t="s">
        <v>175</v>
      </c>
      <c r="C56" s="11" t="s">
        <v>411</v>
      </c>
      <c r="D56" s="11" t="s">
        <v>412</v>
      </c>
      <c r="E56" s="11" t="s">
        <v>96</v>
      </c>
      <c r="F56" s="11" t="s">
        <v>387</v>
      </c>
      <c r="G56" s="11" t="s">
        <v>408</v>
      </c>
      <c r="H56" s="11" t="s">
        <v>88</v>
      </c>
    </row>
    <row r="57" spans="1:10">
      <c r="B57" s="15">
        <f>IFERROR(INDEX(Staff!$B$5:$B$44,MATCH(1,Staff!$AN$5:$AN$44,0)),"")</f>
        <v>0</v>
      </c>
      <c r="C57" s="26">
        <f>ROUND(SUMIFS(Sales!$Y$5:$Y$1204,Sales!$R$5:$R$1204,ReportMonth,Sales!$H$5:$H$1204,"Service",Sales!$F$5:$F$1204,IFERROR(INDEX(Staff!$A$5:$A$44,MATCH(1,Staff!$AN$5:$AN$44,0)),"")),2)</f>
        <v>0</v>
      </c>
      <c r="D57" s="26">
        <f>ROUND(SUMIFS(Sales!$Y$5:$Y$1204,Sales!$R$5:$R$1204,ReportMonth,Sales!$H$5:$H$1204,"Retail",Sales!$F$5:$F$1204,IFERROR(INDEX(Staff!$A$5:$A$44,MATCH(1,Staff!$AN$5:$AN$44,0)),"")),2)</f>
        <v>0</v>
      </c>
      <c r="E57" s="26">
        <f>ROUND(SUMIFS(Commissions!$V$5:$V$244,Commissions!$B$5:$B$244,ReportMonth,Commissions!$C$5:$C$244,IFERROR(INDEX(Staff!$A$5:$A$44,MATCH(1,Staff!$AN$5:$AN$44,0)),"")),2)</f>
        <v>0</v>
      </c>
      <c r="F57" s="26">
        <f>ROUND(SUMIFS(Payments!$G$5:$G$1204,Payments!$O$5:$O$1204,ReportMonth,Payments!$E$5:$E$1204,"Tip",Payments!$J$5:$J$1204,IFERROR(INDEX(Staff!$A$5:$A$44,MATCH(1,Staff!$AN$5:$AN$44,0)),"")),2)</f>
        <v>0</v>
      </c>
      <c r="G57" s="25">
        <f>COUNTIFS(Appointments!$S$5:$S$1204,ReportMonth,Appointments!$M$5:$M$1204,"Completed",Appointments!$I$5:$I$1204,IFERROR(INDEX(Staff!$A$5:$A$44,MATCH(1,Staff!$AN$5:$AN$44,0)),""))</f>
        <v>0</v>
      </c>
      <c r="H57" s="26">
        <f>IF(G57=0,"",ROUND((C57+D57)/G57,2))</f>
        <v>0</v>
      </c>
    </row>
    <row r="58" spans="1:10">
      <c r="B58" s="15">
        <f>IFERROR(INDEX(Staff!$B$5:$B$44,MATCH(2,Staff!$AN$5:$AN$44,0)),"")</f>
        <v>0</v>
      </c>
      <c r="C58" s="26">
        <f>ROUND(SUMIFS(Sales!$Y$5:$Y$1204,Sales!$R$5:$R$1204,ReportMonth,Sales!$H$5:$H$1204,"Service",Sales!$F$5:$F$1204,IFERROR(INDEX(Staff!$A$5:$A$44,MATCH(2,Staff!$AN$5:$AN$44,0)),"")),2)</f>
        <v>0</v>
      </c>
      <c r="D58" s="26">
        <f>ROUND(SUMIFS(Sales!$Y$5:$Y$1204,Sales!$R$5:$R$1204,ReportMonth,Sales!$H$5:$H$1204,"Retail",Sales!$F$5:$F$1204,IFERROR(INDEX(Staff!$A$5:$A$44,MATCH(2,Staff!$AN$5:$AN$44,0)),"")),2)</f>
        <v>0</v>
      </c>
      <c r="E58" s="26">
        <f>ROUND(SUMIFS(Commissions!$V$5:$V$244,Commissions!$B$5:$B$244,ReportMonth,Commissions!$C$5:$C$244,IFERROR(INDEX(Staff!$A$5:$A$44,MATCH(2,Staff!$AN$5:$AN$44,0)),"")),2)</f>
        <v>0</v>
      </c>
      <c r="F58" s="26">
        <f>ROUND(SUMIFS(Payments!$G$5:$G$1204,Payments!$O$5:$O$1204,ReportMonth,Payments!$E$5:$E$1204,"Tip",Payments!$J$5:$J$1204,IFERROR(INDEX(Staff!$A$5:$A$44,MATCH(2,Staff!$AN$5:$AN$44,0)),"")),2)</f>
        <v>0</v>
      </c>
      <c r="G58" s="25">
        <f>COUNTIFS(Appointments!$S$5:$S$1204,ReportMonth,Appointments!$M$5:$M$1204,"Completed",Appointments!$I$5:$I$1204,IFERROR(INDEX(Staff!$A$5:$A$44,MATCH(2,Staff!$AN$5:$AN$44,0)),""))</f>
        <v>0</v>
      </c>
      <c r="H58" s="26">
        <f>IF(G58=0,"",ROUND((C58+D58)/G58,2))</f>
        <v>0</v>
      </c>
    </row>
    <row r="59" spans="1:10">
      <c r="B59" s="15">
        <f>IFERROR(INDEX(Staff!$B$5:$B$44,MATCH(3,Staff!$AN$5:$AN$44,0)),"")</f>
        <v>0</v>
      </c>
      <c r="C59" s="26">
        <f>ROUND(SUMIFS(Sales!$Y$5:$Y$1204,Sales!$R$5:$R$1204,ReportMonth,Sales!$H$5:$H$1204,"Service",Sales!$F$5:$F$1204,IFERROR(INDEX(Staff!$A$5:$A$44,MATCH(3,Staff!$AN$5:$AN$44,0)),"")),2)</f>
        <v>0</v>
      </c>
      <c r="D59" s="26">
        <f>ROUND(SUMIFS(Sales!$Y$5:$Y$1204,Sales!$R$5:$R$1204,ReportMonth,Sales!$H$5:$H$1204,"Retail",Sales!$F$5:$F$1204,IFERROR(INDEX(Staff!$A$5:$A$44,MATCH(3,Staff!$AN$5:$AN$44,0)),"")),2)</f>
        <v>0</v>
      </c>
      <c r="E59" s="26">
        <f>ROUND(SUMIFS(Commissions!$V$5:$V$244,Commissions!$B$5:$B$244,ReportMonth,Commissions!$C$5:$C$244,IFERROR(INDEX(Staff!$A$5:$A$44,MATCH(3,Staff!$AN$5:$AN$44,0)),"")),2)</f>
        <v>0</v>
      </c>
      <c r="F59" s="26">
        <f>ROUND(SUMIFS(Payments!$G$5:$G$1204,Payments!$O$5:$O$1204,ReportMonth,Payments!$E$5:$E$1204,"Tip",Payments!$J$5:$J$1204,IFERROR(INDEX(Staff!$A$5:$A$44,MATCH(3,Staff!$AN$5:$AN$44,0)),"")),2)</f>
        <v>0</v>
      </c>
      <c r="G59" s="25">
        <f>COUNTIFS(Appointments!$S$5:$S$1204,ReportMonth,Appointments!$M$5:$M$1204,"Completed",Appointments!$I$5:$I$1204,IFERROR(INDEX(Staff!$A$5:$A$44,MATCH(3,Staff!$AN$5:$AN$44,0)),""))</f>
        <v>0</v>
      </c>
      <c r="H59" s="26">
        <f>IF(G59=0,"",ROUND((C59+D59)/G59,2))</f>
        <v>0</v>
      </c>
    </row>
    <row r="60" spans="1:10">
      <c r="B60" s="15">
        <f>IFERROR(INDEX(Staff!$B$5:$B$44,MATCH(4,Staff!$AN$5:$AN$44,0)),"")</f>
        <v>0</v>
      </c>
      <c r="C60" s="26">
        <f>ROUND(SUMIFS(Sales!$Y$5:$Y$1204,Sales!$R$5:$R$1204,ReportMonth,Sales!$H$5:$H$1204,"Service",Sales!$F$5:$F$1204,IFERROR(INDEX(Staff!$A$5:$A$44,MATCH(4,Staff!$AN$5:$AN$44,0)),"")),2)</f>
        <v>0</v>
      </c>
      <c r="D60" s="26">
        <f>ROUND(SUMIFS(Sales!$Y$5:$Y$1204,Sales!$R$5:$R$1204,ReportMonth,Sales!$H$5:$H$1204,"Retail",Sales!$F$5:$F$1204,IFERROR(INDEX(Staff!$A$5:$A$44,MATCH(4,Staff!$AN$5:$AN$44,0)),"")),2)</f>
        <v>0</v>
      </c>
      <c r="E60" s="26">
        <f>ROUND(SUMIFS(Commissions!$V$5:$V$244,Commissions!$B$5:$B$244,ReportMonth,Commissions!$C$5:$C$244,IFERROR(INDEX(Staff!$A$5:$A$44,MATCH(4,Staff!$AN$5:$AN$44,0)),"")),2)</f>
        <v>0</v>
      </c>
      <c r="F60" s="26">
        <f>ROUND(SUMIFS(Payments!$G$5:$G$1204,Payments!$O$5:$O$1204,ReportMonth,Payments!$E$5:$E$1204,"Tip",Payments!$J$5:$J$1204,IFERROR(INDEX(Staff!$A$5:$A$44,MATCH(4,Staff!$AN$5:$AN$44,0)),"")),2)</f>
        <v>0</v>
      </c>
      <c r="G60" s="25">
        <f>COUNTIFS(Appointments!$S$5:$S$1204,ReportMonth,Appointments!$M$5:$M$1204,"Completed",Appointments!$I$5:$I$1204,IFERROR(INDEX(Staff!$A$5:$A$44,MATCH(4,Staff!$AN$5:$AN$44,0)),""))</f>
        <v>0</v>
      </c>
      <c r="H60" s="26">
        <f>IF(G60=0,"",ROUND((C60+D60)/G60,2))</f>
        <v>0</v>
      </c>
    </row>
    <row r="61" spans="1:10">
      <c r="B61" s="15">
        <f>IFERROR(INDEX(Staff!$B$5:$B$44,MATCH(5,Staff!$AN$5:$AN$44,0)),"")</f>
        <v>0</v>
      </c>
      <c r="C61" s="26">
        <f>ROUND(SUMIFS(Sales!$Y$5:$Y$1204,Sales!$R$5:$R$1204,ReportMonth,Sales!$H$5:$H$1204,"Service",Sales!$F$5:$F$1204,IFERROR(INDEX(Staff!$A$5:$A$44,MATCH(5,Staff!$AN$5:$AN$44,0)),"")),2)</f>
        <v>0</v>
      </c>
      <c r="D61" s="26">
        <f>ROUND(SUMIFS(Sales!$Y$5:$Y$1204,Sales!$R$5:$R$1204,ReportMonth,Sales!$H$5:$H$1204,"Retail",Sales!$F$5:$F$1204,IFERROR(INDEX(Staff!$A$5:$A$44,MATCH(5,Staff!$AN$5:$AN$44,0)),"")),2)</f>
        <v>0</v>
      </c>
      <c r="E61" s="26">
        <f>ROUND(SUMIFS(Commissions!$V$5:$V$244,Commissions!$B$5:$B$244,ReportMonth,Commissions!$C$5:$C$244,IFERROR(INDEX(Staff!$A$5:$A$44,MATCH(5,Staff!$AN$5:$AN$44,0)),"")),2)</f>
        <v>0</v>
      </c>
      <c r="F61" s="26">
        <f>ROUND(SUMIFS(Payments!$G$5:$G$1204,Payments!$O$5:$O$1204,ReportMonth,Payments!$E$5:$E$1204,"Tip",Payments!$J$5:$J$1204,IFERROR(INDEX(Staff!$A$5:$A$44,MATCH(5,Staff!$AN$5:$AN$44,0)),"")),2)</f>
        <v>0</v>
      </c>
      <c r="G61" s="25">
        <f>COUNTIFS(Appointments!$S$5:$S$1204,ReportMonth,Appointments!$M$5:$M$1204,"Completed",Appointments!$I$5:$I$1204,IFERROR(INDEX(Staff!$A$5:$A$44,MATCH(5,Staff!$AN$5:$AN$44,0)),""))</f>
        <v>0</v>
      </c>
      <c r="H61" s="26">
        <f>IF(G61=0,"",ROUND((C61+D61)/G61,2))</f>
        <v>0</v>
      </c>
    </row>
    <row r="62" spans="1:10">
      <c r="B62" s="15">
        <f>IFERROR(INDEX(Staff!$B$5:$B$44,MATCH(6,Staff!$AN$5:$AN$44,0)),"")</f>
        <v>0</v>
      </c>
      <c r="C62" s="26">
        <f>ROUND(SUMIFS(Sales!$Y$5:$Y$1204,Sales!$R$5:$R$1204,ReportMonth,Sales!$H$5:$H$1204,"Service",Sales!$F$5:$F$1204,IFERROR(INDEX(Staff!$A$5:$A$44,MATCH(6,Staff!$AN$5:$AN$44,0)),"")),2)</f>
        <v>0</v>
      </c>
      <c r="D62" s="26">
        <f>ROUND(SUMIFS(Sales!$Y$5:$Y$1204,Sales!$R$5:$R$1204,ReportMonth,Sales!$H$5:$H$1204,"Retail",Sales!$F$5:$F$1204,IFERROR(INDEX(Staff!$A$5:$A$44,MATCH(6,Staff!$AN$5:$AN$44,0)),"")),2)</f>
        <v>0</v>
      </c>
      <c r="E62" s="26">
        <f>ROUND(SUMIFS(Commissions!$V$5:$V$244,Commissions!$B$5:$B$244,ReportMonth,Commissions!$C$5:$C$244,IFERROR(INDEX(Staff!$A$5:$A$44,MATCH(6,Staff!$AN$5:$AN$44,0)),"")),2)</f>
        <v>0</v>
      </c>
      <c r="F62" s="26">
        <f>ROUND(SUMIFS(Payments!$G$5:$G$1204,Payments!$O$5:$O$1204,ReportMonth,Payments!$E$5:$E$1204,"Tip",Payments!$J$5:$J$1204,IFERROR(INDEX(Staff!$A$5:$A$44,MATCH(6,Staff!$AN$5:$AN$44,0)),"")),2)</f>
        <v>0</v>
      </c>
      <c r="G62" s="25">
        <f>COUNTIFS(Appointments!$S$5:$S$1204,ReportMonth,Appointments!$M$5:$M$1204,"Completed",Appointments!$I$5:$I$1204,IFERROR(INDEX(Staff!$A$5:$A$44,MATCH(6,Staff!$AN$5:$AN$44,0)),""))</f>
        <v>0</v>
      </c>
      <c r="H62" s="26">
        <f>IF(G62=0,"",ROUND((C62+D62)/G62,2))</f>
        <v>0</v>
      </c>
    </row>
    <row r="63" spans="1:10">
      <c r="B63" s="15">
        <f>IFERROR(INDEX(Staff!$B$5:$B$44,MATCH(7,Staff!$AN$5:$AN$44,0)),"")</f>
        <v>0</v>
      </c>
      <c r="C63" s="26">
        <f>ROUND(SUMIFS(Sales!$Y$5:$Y$1204,Sales!$R$5:$R$1204,ReportMonth,Sales!$H$5:$H$1204,"Service",Sales!$F$5:$F$1204,IFERROR(INDEX(Staff!$A$5:$A$44,MATCH(7,Staff!$AN$5:$AN$44,0)),"")),2)</f>
        <v>0</v>
      </c>
      <c r="D63" s="26">
        <f>ROUND(SUMIFS(Sales!$Y$5:$Y$1204,Sales!$R$5:$R$1204,ReportMonth,Sales!$H$5:$H$1204,"Retail",Sales!$F$5:$F$1204,IFERROR(INDEX(Staff!$A$5:$A$44,MATCH(7,Staff!$AN$5:$AN$44,0)),"")),2)</f>
        <v>0</v>
      </c>
      <c r="E63" s="26">
        <f>ROUND(SUMIFS(Commissions!$V$5:$V$244,Commissions!$B$5:$B$244,ReportMonth,Commissions!$C$5:$C$244,IFERROR(INDEX(Staff!$A$5:$A$44,MATCH(7,Staff!$AN$5:$AN$44,0)),"")),2)</f>
        <v>0</v>
      </c>
      <c r="F63" s="26">
        <f>ROUND(SUMIFS(Payments!$G$5:$G$1204,Payments!$O$5:$O$1204,ReportMonth,Payments!$E$5:$E$1204,"Tip",Payments!$J$5:$J$1204,IFERROR(INDEX(Staff!$A$5:$A$44,MATCH(7,Staff!$AN$5:$AN$44,0)),"")),2)</f>
        <v>0</v>
      </c>
      <c r="G63" s="25">
        <f>COUNTIFS(Appointments!$S$5:$S$1204,ReportMonth,Appointments!$M$5:$M$1204,"Completed",Appointments!$I$5:$I$1204,IFERROR(INDEX(Staff!$A$5:$A$44,MATCH(7,Staff!$AN$5:$AN$44,0)),""))</f>
        <v>0</v>
      </c>
      <c r="H63" s="26">
        <f>IF(G63=0,"",ROUND((C63+D63)/G63,2))</f>
        <v>0</v>
      </c>
    </row>
    <row r="64" spans="1:10">
      <c r="B64" s="15">
        <f>IFERROR(INDEX(Staff!$B$5:$B$44,MATCH(8,Staff!$AN$5:$AN$44,0)),"")</f>
        <v>0</v>
      </c>
      <c r="C64" s="26">
        <f>ROUND(SUMIFS(Sales!$Y$5:$Y$1204,Sales!$R$5:$R$1204,ReportMonth,Sales!$H$5:$H$1204,"Service",Sales!$F$5:$F$1204,IFERROR(INDEX(Staff!$A$5:$A$44,MATCH(8,Staff!$AN$5:$AN$44,0)),"")),2)</f>
        <v>0</v>
      </c>
      <c r="D64" s="26">
        <f>ROUND(SUMIFS(Sales!$Y$5:$Y$1204,Sales!$R$5:$R$1204,ReportMonth,Sales!$H$5:$H$1204,"Retail",Sales!$F$5:$F$1204,IFERROR(INDEX(Staff!$A$5:$A$44,MATCH(8,Staff!$AN$5:$AN$44,0)),"")),2)</f>
        <v>0</v>
      </c>
      <c r="E64" s="26">
        <f>ROUND(SUMIFS(Commissions!$V$5:$V$244,Commissions!$B$5:$B$244,ReportMonth,Commissions!$C$5:$C$244,IFERROR(INDEX(Staff!$A$5:$A$44,MATCH(8,Staff!$AN$5:$AN$44,0)),"")),2)</f>
        <v>0</v>
      </c>
      <c r="F64" s="26">
        <f>ROUND(SUMIFS(Payments!$G$5:$G$1204,Payments!$O$5:$O$1204,ReportMonth,Payments!$E$5:$E$1204,"Tip",Payments!$J$5:$J$1204,IFERROR(INDEX(Staff!$A$5:$A$44,MATCH(8,Staff!$AN$5:$AN$44,0)),"")),2)</f>
        <v>0</v>
      </c>
      <c r="G64" s="25">
        <f>COUNTIFS(Appointments!$S$5:$S$1204,ReportMonth,Appointments!$M$5:$M$1204,"Completed",Appointments!$I$5:$I$1204,IFERROR(INDEX(Staff!$A$5:$A$44,MATCH(8,Staff!$AN$5:$AN$44,0)),""))</f>
        <v>0</v>
      </c>
      <c r="H64" s="26">
        <f>IF(G64=0,"",ROUND((C64+D64)/G64,2))</f>
        <v>0</v>
      </c>
    </row>
    <row r="66" spans="1:10" ht="17" customHeight="1">
      <c r="A66" s="45" t="s">
        <v>802</v>
      </c>
      <c r="B66" s="45"/>
      <c r="C66" s="45"/>
      <c r="D66" s="45"/>
      <c r="E66" s="45"/>
      <c r="F66" s="45"/>
      <c r="G66" s="45"/>
      <c r="H66" s="45"/>
      <c r="I66" s="45"/>
      <c r="J66" s="45"/>
    </row>
    <row r="67" spans="1:10" ht="26" customHeight="1">
      <c r="B67" s="10" t="s">
        <v>218</v>
      </c>
      <c r="C67" s="11" t="s">
        <v>184</v>
      </c>
      <c r="D67" s="11" t="s">
        <v>186</v>
      </c>
      <c r="E67" s="11" t="s">
        <v>216</v>
      </c>
      <c r="F67" s="11" t="s">
        <v>267</v>
      </c>
      <c r="G67" s="11" t="s">
        <v>803</v>
      </c>
    </row>
    <row r="68" spans="1:10">
      <c r="B68" s="15">
        <f>IFERROR(INDEX(Services!$B$5:$B$204,MATCH(1,Services!$AJ$5:$AJ$204,0)),"")</f>
        <v>0</v>
      </c>
      <c r="C68" s="25">
        <f>COUNTIFS(Sales!$R$5:$R$1204,ReportMonth,Sales!$I$5:$I$1204,IFERROR(INDEX(Services!$A$5:$A$204,MATCH(1,Services!$AJ$5:$AJ$204,0)),""))</f>
        <v>0</v>
      </c>
      <c r="D68" s="26">
        <f>ROUND(SUMIFS(Sales!$Y$5:$Y$1204,Sales!$R$5:$R$1204,ReportMonth,Sales!$I$5:$I$1204,IFERROR(INDEX(Services!$A$5:$A$204,MATCH(1,Services!$AJ$5:$AJ$204,0)),"")),2)</f>
        <v>0</v>
      </c>
      <c r="E68" s="15">
        <f>IFERROR(INDEX(Clients!$B$5:$B$504,MATCH(1,Clients!$AO$5:$AO$504,0)),"")</f>
        <v>0</v>
      </c>
      <c r="F68" s="25">
        <f>COUNTIFS(Appointments!$S$5:$S$1204,ReportMonth,Appointments!$E$5:$E$1204,IFERROR(INDEX(Clients!$A$5:$A$504,MATCH(1,Clients!$AO$5:$AO$504,0)),""),Appointments!$M$5:$M$1204,"Completed")</f>
        <v>0</v>
      </c>
      <c r="G68" s="26">
        <f>ROUND(SUMIFS(Sales!$Y$5:$Y$1204,Sales!$R$5:$R$1204,ReportMonth,Sales!$D$5:$D$1204,IFERROR(INDEX(Clients!$A$5:$A$504,MATCH(1,Clients!$AO$5:$AO$504,0)),"")),2)</f>
        <v>0</v>
      </c>
    </row>
    <row r="69" spans="1:10">
      <c r="B69" s="15">
        <f>IFERROR(INDEX(Services!$B$5:$B$204,MATCH(2,Services!$AJ$5:$AJ$204,0)),"")</f>
        <v>0</v>
      </c>
      <c r="C69" s="25">
        <f>COUNTIFS(Sales!$R$5:$R$1204,ReportMonth,Sales!$I$5:$I$1204,IFERROR(INDEX(Services!$A$5:$A$204,MATCH(2,Services!$AJ$5:$AJ$204,0)),""))</f>
        <v>0</v>
      </c>
      <c r="D69" s="26">
        <f>ROUND(SUMIFS(Sales!$Y$5:$Y$1204,Sales!$R$5:$R$1204,ReportMonth,Sales!$I$5:$I$1204,IFERROR(INDEX(Services!$A$5:$A$204,MATCH(2,Services!$AJ$5:$AJ$204,0)),"")),2)</f>
        <v>0</v>
      </c>
      <c r="E69" s="15">
        <f>IFERROR(INDEX(Clients!$B$5:$B$504,MATCH(2,Clients!$AO$5:$AO$504,0)),"")</f>
        <v>0</v>
      </c>
      <c r="F69" s="25">
        <f>COUNTIFS(Appointments!$S$5:$S$1204,ReportMonth,Appointments!$E$5:$E$1204,IFERROR(INDEX(Clients!$A$5:$A$504,MATCH(2,Clients!$AO$5:$AO$504,0)),""),Appointments!$M$5:$M$1204,"Completed")</f>
        <v>0</v>
      </c>
      <c r="G69" s="26">
        <f>ROUND(SUMIFS(Sales!$Y$5:$Y$1204,Sales!$R$5:$R$1204,ReportMonth,Sales!$D$5:$D$1204,IFERROR(INDEX(Clients!$A$5:$A$504,MATCH(2,Clients!$AO$5:$AO$504,0)),"")),2)</f>
        <v>0</v>
      </c>
    </row>
    <row r="70" spans="1:10">
      <c r="B70" s="15">
        <f>IFERROR(INDEX(Services!$B$5:$B$204,MATCH(3,Services!$AJ$5:$AJ$204,0)),"")</f>
        <v>0</v>
      </c>
      <c r="C70" s="25">
        <f>COUNTIFS(Sales!$R$5:$R$1204,ReportMonth,Sales!$I$5:$I$1204,IFERROR(INDEX(Services!$A$5:$A$204,MATCH(3,Services!$AJ$5:$AJ$204,0)),""))</f>
        <v>0</v>
      </c>
      <c r="D70" s="26">
        <f>ROUND(SUMIFS(Sales!$Y$5:$Y$1204,Sales!$R$5:$R$1204,ReportMonth,Sales!$I$5:$I$1204,IFERROR(INDEX(Services!$A$5:$A$204,MATCH(3,Services!$AJ$5:$AJ$204,0)),"")),2)</f>
        <v>0</v>
      </c>
      <c r="E70" s="15">
        <f>IFERROR(INDEX(Clients!$B$5:$B$504,MATCH(3,Clients!$AO$5:$AO$504,0)),"")</f>
        <v>0</v>
      </c>
      <c r="F70" s="25">
        <f>COUNTIFS(Appointments!$S$5:$S$1204,ReportMonth,Appointments!$E$5:$E$1204,IFERROR(INDEX(Clients!$A$5:$A$504,MATCH(3,Clients!$AO$5:$AO$504,0)),""),Appointments!$M$5:$M$1204,"Completed")</f>
        <v>0</v>
      </c>
      <c r="G70" s="26">
        <f>ROUND(SUMIFS(Sales!$Y$5:$Y$1204,Sales!$R$5:$R$1204,ReportMonth,Sales!$D$5:$D$1204,IFERROR(INDEX(Clients!$A$5:$A$504,MATCH(3,Clients!$AO$5:$AO$504,0)),"")),2)</f>
        <v>0</v>
      </c>
    </row>
    <row r="71" spans="1:10">
      <c r="B71" s="15">
        <f>IFERROR(INDEX(Services!$B$5:$B$204,MATCH(4,Services!$AJ$5:$AJ$204,0)),"")</f>
        <v>0</v>
      </c>
      <c r="C71" s="25">
        <f>COUNTIFS(Sales!$R$5:$R$1204,ReportMonth,Sales!$I$5:$I$1204,IFERROR(INDEX(Services!$A$5:$A$204,MATCH(4,Services!$AJ$5:$AJ$204,0)),""))</f>
        <v>0</v>
      </c>
      <c r="D71" s="26">
        <f>ROUND(SUMIFS(Sales!$Y$5:$Y$1204,Sales!$R$5:$R$1204,ReportMonth,Sales!$I$5:$I$1204,IFERROR(INDEX(Services!$A$5:$A$204,MATCH(4,Services!$AJ$5:$AJ$204,0)),"")),2)</f>
        <v>0</v>
      </c>
      <c r="E71" s="15">
        <f>IFERROR(INDEX(Clients!$B$5:$B$504,MATCH(4,Clients!$AO$5:$AO$504,0)),"")</f>
        <v>0</v>
      </c>
      <c r="F71" s="25">
        <f>COUNTIFS(Appointments!$S$5:$S$1204,ReportMonth,Appointments!$E$5:$E$1204,IFERROR(INDEX(Clients!$A$5:$A$504,MATCH(4,Clients!$AO$5:$AO$504,0)),""),Appointments!$M$5:$M$1204,"Completed")</f>
        <v>0</v>
      </c>
      <c r="G71" s="26">
        <f>ROUND(SUMIFS(Sales!$Y$5:$Y$1204,Sales!$R$5:$R$1204,ReportMonth,Sales!$D$5:$D$1204,IFERROR(INDEX(Clients!$A$5:$A$504,MATCH(4,Clients!$AO$5:$AO$504,0)),"")),2)</f>
        <v>0</v>
      </c>
    </row>
    <row r="72" spans="1:10">
      <c r="B72" s="15">
        <f>IFERROR(INDEX(Services!$B$5:$B$204,MATCH(5,Services!$AJ$5:$AJ$204,0)),"")</f>
        <v>0</v>
      </c>
      <c r="C72" s="25">
        <f>COUNTIFS(Sales!$R$5:$R$1204,ReportMonth,Sales!$I$5:$I$1204,IFERROR(INDEX(Services!$A$5:$A$204,MATCH(5,Services!$AJ$5:$AJ$204,0)),""))</f>
        <v>0</v>
      </c>
      <c r="D72" s="26">
        <f>ROUND(SUMIFS(Sales!$Y$5:$Y$1204,Sales!$R$5:$R$1204,ReportMonth,Sales!$I$5:$I$1204,IFERROR(INDEX(Services!$A$5:$A$204,MATCH(5,Services!$AJ$5:$AJ$204,0)),"")),2)</f>
        <v>0</v>
      </c>
      <c r="E72" s="15">
        <f>IFERROR(INDEX(Clients!$B$5:$B$504,MATCH(5,Clients!$AO$5:$AO$504,0)),"")</f>
        <v>0</v>
      </c>
      <c r="F72" s="25">
        <f>COUNTIFS(Appointments!$S$5:$S$1204,ReportMonth,Appointments!$E$5:$E$1204,IFERROR(INDEX(Clients!$A$5:$A$504,MATCH(5,Clients!$AO$5:$AO$504,0)),""),Appointments!$M$5:$M$1204,"Completed")</f>
        <v>0</v>
      </c>
      <c r="G72" s="26">
        <f>ROUND(SUMIFS(Sales!$Y$5:$Y$1204,Sales!$R$5:$R$1204,ReportMonth,Sales!$D$5:$D$1204,IFERROR(INDEX(Clients!$A$5:$A$504,MATCH(5,Clients!$AO$5:$AO$504,0)),"")),2)</f>
        <v>0</v>
      </c>
    </row>
    <row r="73" spans="1:10">
      <c r="B73" s="15">
        <f>IFERROR(INDEX(Services!$B$5:$B$204,MATCH(6,Services!$AJ$5:$AJ$204,0)),"")</f>
        <v>0</v>
      </c>
      <c r="C73" s="25">
        <f>COUNTIFS(Sales!$R$5:$R$1204,ReportMonth,Sales!$I$5:$I$1204,IFERROR(INDEX(Services!$A$5:$A$204,MATCH(6,Services!$AJ$5:$AJ$204,0)),""))</f>
        <v>0</v>
      </c>
      <c r="D73" s="26">
        <f>ROUND(SUMIFS(Sales!$Y$5:$Y$1204,Sales!$R$5:$R$1204,ReportMonth,Sales!$I$5:$I$1204,IFERROR(INDEX(Services!$A$5:$A$204,MATCH(6,Services!$AJ$5:$AJ$204,0)),"")),2)</f>
        <v>0</v>
      </c>
      <c r="E73" s="15">
        <f>IFERROR(INDEX(Clients!$B$5:$B$504,MATCH(6,Clients!$AO$5:$AO$504,0)),"")</f>
        <v>0</v>
      </c>
      <c r="F73" s="25">
        <f>COUNTIFS(Appointments!$S$5:$S$1204,ReportMonth,Appointments!$E$5:$E$1204,IFERROR(INDEX(Clients!$A$5:$A$504,MATCH(6,Clients!$AO$5:$AO$504,0)),""),Appointments!$M$5:$M$1204,"Completed")</f>
        <v>0</v>
      </c>
      <c r="G73" s="26">
        <f>ROUND(SUMIFS(Sales!$Y$5:$Y$1204,Sales!$R$5:$R$1204,ReportMonth,Sales!$D$5:$D$1204,IFERROR(INDEX(Clients!$A$5:$A$504,MATCH(6,Clients!$AO$5:$AO$504,0)),"")),2)</f>
        <v>0</v>
      </c>
    </row>
    <row r="75" spans="1:10" ht="20" customHeight="1">
      <c r="A75" s="7" t="s">
        <v>685</v>
      </c>
      <c r="B75" s="7"/>
      <c r="C75" s="7"/>
      <c r="D75" s="7"/>
      <c r="E75" s="7"/>
      <c r="F75" s="7"/>
      <c r="G75" s="7"/>
      <c r="H75" s="7"/>
      <c r="I75" s="7"/>
      <c r="J75" s="7"/>
    </row>
    <row r="76" spans="1:10" ht="26" customHeight="1">
      <c r="B76" s="10" t="s">
        <v>84</v>
      </c>
      <c r="C76" s="11" t="s">
        <v>194</v>
      </c>
      <c r="D76" s="11" t="s">
        <v>797</v>
      </c>
      <c r="E76" s="11" t="s">
        <v>798</v>
      </c>
      <c r="F76" s="11" t="s">
        <v>86</v>
      </c>
      <c r="G76" s="11" t="s">
        <v>196</v>
      </c>
      <c r="H76" s="11" t="s">
        <v>408</v>
      </c>
      <c r="I76" s="11" t="s">
        <v>621</v>
      </c>
    </row>
    <row r="77" spans="1:10">
      <c r="B77" s="26">
        <f>ROUND(SUMIFS(Sales!$Y$5:$Y$1204,Sales!$B$5:$B$1204,"&gt;="&amp;DATE(YEAR(TodayDate),1,1)),2)</f>
        <v>0</v>
      </c>
      <c r="C77" s="26">
        <f>ROUND(SUMIFS(Sales!$AB$5:$AB$1204,Sales!$B$5:$B$1204,"&gt;="&amp;DATE(YEAR(TodayDate),1,1)),2)</f>
        <v>0</v>
      </c>
      <c r="D77" s="26">
        <f>ROUND(SUMIFS(Payroll!$Y$5:$Y$364,Payroll!$B$5:$B$364,"&gt;="&amp;DATE(YEAR(TodayDate),1,1)),2)</f>
        <v>0</v>
      </c>
      <c r="E77" s="26">
        <f>ROUND(SUMIFS(Expenses!$F$5:$F$604,Expenses!$B$5:$B$604,"&gt;="&amp;DATE(YEAR(TodayDate),1,1)),2)</f>
        <v>0</v>
      </c>
      <c r="F77" s="26">
        <f>ROUND(B77-C77-D77-E77,2)</f>
        <v>0</v>
      </c>
      <c r="G77" s="27">
        <f>IF(B77=0,"",F77/B77)</f>
        <v>0</v>
      </c>
      <c r="H77" s="25">
        <f>COUNTIFS(Appointments!$M$5:$M$1204,"Completed",Appointments!$B$5:$B$1204,"&gt;="&amp;DATE(YEAR(TodayDate),1,1))</f>
        <v>0</v>
      </c>
      <c r="I77" s="25">
        <f>COUNTIFS(Clients!$X$5:$X$504,"&gt;="&amp;DATE(YEAR(TodayDate),1,1))</f>
        <v>0</v>
      </c>
    </row>
    <row r="79" spans="1:10" ht="28" customHeight="1">
      <c r="A79" s="6" t="s">
        <v>804</v>
      </c>
      <c r="B79" s="6"/>
      <c r="C79" s="6"/>
      <c r="D79" s="6"/>
      <c r="E79" s="6"/>
      <c r="F79" s="6"/>
      <c r="G79" s="6"/>
      <c r="H79" s="6"/>
      <c r="I79" s="6"/>
      <c r="J79" s="6"/>
    </row>
  </sheetData>
  <sheetProtection password="EC7C" sheet="1" objects="1" scenarios="1" formatCells="0" formatColumns="0" formatRows="0" insertRows="0" insertHyperlinks="0" deleteRows="0" autoFilter="0"/>
  <mergeCells count="22">
    <mergeCell ref="A1:G1"/>
    <mergeCell ref="H1:J1"/>
    <mergeCell ref="A2:J2"/>
    <mergeCell ref="A3:B3"/>
    <mergeCell ref="C3:D3"/>
    <mergeCell ref="E3:F3"/>
    <mergeCell ref="G3:H3"/>
    <mergeCell ref="I3:J3"/>
    <mergeCell ref="B5:C5"/>
    <mergeCell ref="E5:H5"/>
    <mergeCell ref="B6:C6"/>
    <mergeCell ref="E6:H6"/>
    <mergeCell ref="A8:J8"/>
    <mergeCell ref="B9:E9"/>
    <mergeCell ref="A24:J24"/>
    <mergeCell ref="B33:E33"/>
    <mergeCell ref="A35:J35"/>
    <mergeCell ref="B36:E36"/>
    <mergeCell ref="A55:J55"/>
    <mergeCell ref="A66:J66"/>
    <mergeCell ref="A75:J75"/>
    <mergeCell ref="A79:J79"/>
  </mergeCells>
  <conditionalFormatting sqref="E11:E22">
    <cfRule type="cellIs" dxfId="1" priority="1" operator="greaterThan">
      <formula>0</formula>
    </cfRule>
    <cfRule type="cellIs" dxfId="0" priority="2" operator="lessThan">
      <formula>0</formula>
    </cfRule>
  </conditionalFormatting>
  <conditionalFormatting sqref="E38:E53">
    <cfRule type="cellIs" dxfId="1" priority="4" operator="greaterThan">
      <formula>0</formula>
    </cfRule>
    <cfRule type="cellIs" dxfId="0" priority="5" operator="lessThan">
      <formula>0</formula>
    </cfRule>
  </conditionalFormatting>
  <conditionalFormatting sqref="F26:F32">
    <cfRule type="dataBar" priority="3">
      <dataBar>
        <cfvo type="min" val="0"/>
        <cfvo type="max" val="0"/>
        <color rgb="FF9A5C86"/>
      </dataBar>
    </cfRule>
  </conditionalFormatting>
  <dataValidations count="2">
    <dataValidation type="date" allowBlank="1" showInputMessage="1" showErrorMessage="1" errorTitle="Check the date" error="Enter a real date between 2000 and 2100." sqref="D5">
      <formula1>36526</formula1>
      <formula2>73415</formula2>
    </dataValidation>
    <dataValidation type="list" allowBlank="1" showInputMessage="1" showErrorMessage="1" sqref="D6">
      <formula1>MonthKeyList</formula1>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s>
  <pageMargins left="0.4" right="0.4" top="0.6" bottom="0.5" header="0.3" footer="0.3"/>
  <pageSetup paperSize="9" fitToHeight="0" orientation="landscape"/>
  <headerFooter>
    <oddHeader>&amp;L&amp;"Calibri,Bold"&amp;12&amp;C&amp;"Calibri,Bold"&amp;11Reports&amp;R&amp;"Calibri,Italic"&amp;9Salon Business Management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9A5C86"/>
          <x14:colorNegative theme="5"/>
          <x14:colorAxis rgb="FF000000"/>
          <x14:colorMarkers theme="4" tint="-0.499984740745262"/>
          <x14:colorFirst theme="4" tint="0.39997558519241921"/>
          <x14:colorLast theme="4" tint="0.39997558519241921"/>
          <x14:colorHigh theme="4"/>
          <x14:colorLow theme="4"/>
          <x14:sparklines>
            <x14:sparkline>
              <xm:f>Reports!F26:F32</xm:f>
              <xm:sqref>F33</xm:sqref>
            </x14:sparkline>
          </x14:sparklines>
        </x14:sparklineGroup>
      </x14:sparklineGroups>
    </ext>
  </extLst>
</worksheet>
</file>

<file path=xl/worksheets/sheet20.xml><?xml version="1.0" encoding="utf-8"?>
<worksheet xmlns="http://schemas.openxmlformats.org/spreadsheetml/2006/main" xmlns:r="http://schemas.openxmlformats.org/officeDocument/2006/relationships">
  <sheetPr>
    <tabColor rgb="FF2E2430"/>
    <pageSetUpPr fitToPage="1"/>
  </sheetPr>
  <dimension ref="A1:L285"/>
  <sheetViews>
    <sheetView showGridLines="0" workbookViewId="0">
      <pane ySplit="4" topLeftCell="A5" activePane="bottomLeft" state="frozen"/>
      <selection pane="bottomLeft"/>
    </sheetView>
  </sheetViews>
  <sheetFormatPr defaultRowHeight="15"/>
  <cols>
    <col min="1" max="1" width="3.7109375" customWidth="1"/>
    <col min="2" max="3" width="22.7109375" customWidth="1"/>
    <col min="4" max="4" width="20.7109375" customWidth="1"/>
    <col min="5" max="12" width="17.7109375" customWidth="1"/>
    <col min="1" max="1" width="26.7109375" customWidth="1"/>
    <col min="4" max="4" width="26.7109375" customWidth="1"/>
    <col min="7" max="7" width="26.7109375" customWidth="1"/>
    <col min="10" max="10" width="26.7109375" customWidth="1"/>
    <col min="1" max="1" width="26.7109375" customWidth="1"/>
    <col min="4" max="4" width="26.7109375" customWidth="1"/>
    <col min="7" max="7" width="26.7109375" customWidth="1"/>
    <col min="10" max="10" width="26.7109375" customWidth="1"/>
    <col min="1" max="1" width="26.7109375" customWidth="1"/>
    <col min="4" max="4" width="26.7109375" customWidth="1"/>
    <col min="7" max="7" width="26.7109375" customWidth="1"/>
    <col min="10" max="10" width="26.7109375" customWidth="1"/>
    <col min="1" max="1" width="26.7109375" customWidth="1"/>
    <col min="4" max="4" width="26.7109375" customWidth="1"/>
    <col min="7" max="7" width="26.7109375" customWidth="1"/>
    <col min="10" max="10" width="26.7109375" customWidth="1"/>
    <col min="1" max="1" width="26.7109375" customWidth="1"/>
    <col min="4" max="4" width="26.7109375" customWidth="1"/>
    <col min="7" max="7" width="26.7109375" customWidth="1"/>
    <col min="10" max="10" width="26.7109375" customWidth="1"/>
    <col min="1" max="1" width="26.7109375" customWidth="1"/>
    <col min="4" max="4" width="26.7109375" customWidth="1"/>
    <col min="7" max="7" width="26.7109375" customWidth="1"/>
    <col min="10" max="10" width="26.7109375" customWidth="1"/>
    <col min="1" max="1" width="14.7109375" customWidth="1"/>
  </cols>
  <sheetData>
    <row r="1" spans="1:12" ht="34" customHeight="1">
      <c r="A1" s="2" t="s">
        <v>805</v>
      </c>
      <c r="B1" s="2"/>
      <c r="C1" s="2"/>
      <c r="D1" s="2"/>
      <c r="E1" s="2"/>
      <c r="F1" s="2"/>
      <c r="G1" s="2"/>
      <c r="H1" s="2"/>
      <c r="I1" s="2"/>
      <c r="J1" s="3" t="s">
        <v>1</v>
      </c>
      <c r="K1" s="3"/>
      <c r="L1" s="3"/>
    </row>
    <row r="2" spans="1:12" ht="18" customHeight="1">
      <c r="A2" s="4" t="s">
        <v>806</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118</v>
      </c>
      <c r="L3" s="5"/>
    </row>
    <row r="5" spans="1:12" ht="32" customHeight="1">
      <c r="A5" s="6" t="s">
        <v>807</v>
      </c>
      <c r="B5" s="6"/>
      <c r="C5" s="6"/>
      <c r="D5" s="6"/>
      <c r="E5" s="6"/>
      <c r="F5" s="6"/>
      <c r="G5" s="6"/>
      <c r="H5" s="6"/>
      <c r="I5" s="6"/>
      <c r="J5" s="6"/>
      <c r="K5" s="6"/>
      <c r="L5" s="6"/>
    </row>
    <row r="7" spans="1:12" ht="20" customHeight="1">
      <c r="A7" s="7" t="s">
        <v>808</v>
      </c>
      <c r="B7" s="7"/>
      <c r="C7" s="7"/>
      <c r="D7" s="7"/>
      <c r="E7" s="7"/>
      <c r="F7" s="7"/>
      <c r="G7" s="7"/>
      <c r="H7" s="7"/>
      <c r="I7" s="7"/>
      <c r="J7" s="7"/>
      <c r="K7" s="7"/>
      <c r="L7" s="7"/>
    </row>
    <row r="8" spans="1:12">
      <c r="B8" s="8" t="s">
        <v>809</v>
      </c>
      <c r="C8" s="8"/>
      <c r="D8" s="34" t="s">
        <v>810</v>
      </c>
      <c r="E8" s="34"/>
      <c r="F8" s="34"/>
      <c r="H8" s="9" t="s">
        <v>811</v>
      </c>
      <c r="I8" s="9"/>
      <c r="J8" s="9"/>
      <c r="K8" s="9"/>
    </row>
    <row r="9" spans="1:12">
      <c r="B9" s="8" t="s">
        <v>812</v>
      </c>
      <c r="C9" s="8"/>
      <c r="D9" s="34" t="s">
        <v>813</v>
      </c>
      <c r="E9" s="34"/>
      <c r="F9" s="34"/>
    </row>
    <row r="10" spans="1:12">
      <c r="B10" s="8" t="s">
        <v>814</v>
      </c>
      <c r="C10" s="8"/>
      <c r="D10" s="34" t="s">
        <v>815</v>
      </c>
      <c r="E10" s="34"/>
      <c r="F10" s="34"/>
    </row>
    <row r="11" spans="1:12">
      <c r="B11" s="8" t="s">
        <v>253</v>
      </c>
      <c r="C11" s="8"/>
      <c r="D11" s="34" t="s">
        <v>816</v>
      </c>
      <c r="E11" s="34"/>
      <c r="F11" s="34"/>
    </row>
    <row r="12" spans="1:12">
      <c r="B12" s="8" t="s">
        <v>254</v>
      </c>
      <c r="C12" s="8"/>
      <c r="D12" s="34" t="s">
        <v>817</v>
      </c>
      <c r="E12" s="34"/>
      <c r="F12" s="34"/>
    </row>
    <row r="13" spans="1:12">
      <c r="B13" s="8" t="s">
        <v>818</v>
      </c>
      <c r="C13" s="8"/>
      <c r="D13" s="34" t="s">
        <v>819</v>
      </c>
      <c r="E13" s="34"/>
      <c r="F13" s="34"/>
    </row>
    <row r="14" spans="1:12">
      <c r="B14" s="8" t="s">
        <v>820</v>
      </c>
      <c r="C14" s="8"/>
      <c r="D14" s="34" t="s">
        <v>821</v>
      </c>
      <c r="E14" s="34"/>
      <c r="F14" s="34"/>
      <c r="H14" s="9" t="s">
        <v>822</v>
      </c>
      <c r="I14" s="9"/>
      <c r="J14" s="9"/>
      <c r="K14" s="9"/>
    </row>
    <row r="15" spans="1:12">
      <c r="B15" s="8" t="s">
        <v>823</v>
      </c>
      <c r="C15" s="8"/>
      <c r="D15" s="34" t="s">
        <v>824</v>
      </c>
      <c r="E15" s="34"/>
      <c r="F15" s="34"/>
      <c r="H15" s="9" t="s">
        <v>825</v>
      </c>
      <c r="I15" s="9"/>
      <c r="J15" s="9"/>
      <c r="K15" s="9"/>
    </row>
    <row r="16" spans="1:12">
      <c r="B16" s="8" t="s">
        <v>826</v>
      </c>
      <c r="C16" s="8"/>
      <c r="D16" s="34" t="s">
        <v>827</v>
      </c>
      <c r="E16" s="34"/>
      <c r="F16" s="34"/>
    </row>
    <row r="17" spans="1:12">
      <c r="B17" s="8" t="s">
        <v>828</v>
      </c>
      <c r="C17" s="8"/>
      <c r="D17" s="34" t="s">
        <v>829</v>
      </c>
      <c r="E17" s="34"/>
      <c r="F17" s="34"/>
    </row>
    <row r="18" spans="1:12">
      <c r="B18" s="8" t="s">
        <v>830</v>
      </c>
      <c r="C18" s="8"/>
      <c r="D18" s="34" t="s">
        <v>831</v>
      </c>
      <c r="E18" s="34"/>
      <c r="F18" s="34"/>
    </row>
    <row r="19" spans="1:12">
      <c r="B19" s="8" t="s">
        <v>832</v>
      </c>
      <c r="C19" s="8"/>
      <c r="D19" s="34" t="s">
        <v>833</v>
      </c>
      <c r="E19" s="9" t="s">
        <v>834</v>
      </c>
      <c r="F19" s="9"/>
      <c r="G19" s="9"/>
      <c r="H19" s="9"/>
    </row>
    <row r="20" spans="1:12">
      <c r="B20" s="8" t="s">
        <v>835</v>
      </c>
      <c r="C20" s="8"/>
      <c r="D20" s="34" t="s">
        <v>836</v>
      </c>
    </row>
    <row r="21" spans="1:12">
      <c r="B21" s="8" t="s">
        <v>837</v>
      </c>
      <c r="C21" s="8"/>
      <c r="D21" s="29">
        <v>46247</v>
      </c>
      <c r="E21" s="9" t="s">
        <v>838</v>
      </c>
      <c r="F21" s="9"/>
      <c r="G21" s="9"/>
      <c r="H21" s="9"/>
    </row>
    <row r="22" spans="1:12">
      <c r="B22" s="8" t="s">
        <v>124</v>
      </c>
      <c r="C22" s="8"/>
      <c r="D22" s="17">
        <f>TODAY()</f>
        <v>0</v>
      </c>
      <c r="E22" s="9" t="s">
        <v>839</v>
      </c>
      <c r="F22" s="9"/>
      <c r="G22" s="9"/>
      <c r="H22" s="9"/>
    </row>
    <row r="23" spans="1:12">
      <c r="B23" s="8" t="s">
        <v>482</v>
      </c>
      <c r="C23" s="8"/>
      <c r="D23" s="15">
        <f>TEXT(TODAY(),"yyyy-mm")</f>
        <v>0</v>
      </c>
      <c r="E23" s="9" t="s">
        <v>840</v>
      </c>
      <c r="F23" s="9"/>
      <c r="G23" s="9"/>
      <c r="H23" s="9"/>
    </row>
    <row r="24" spans="1:12">
      <c r="B24" s="8" t="s">
        <v>841</v>
      </c>
      <c r="C24" s="8"/>
      <c r="D24" s="37">
        <f>MAX(4,ROUND((TodayDate-TrackingStart)/7,0))</f>
        <v>0</v>
      </c>
      <c r="E24" s="9" t="s">
        <v>842</v>
      </c>
      <c r="F24" s="9"/>
      <c r="G24" s="9"/>
      <c r="H24" s="9"/>
    </row>
    <row r="26" spans="1:12" ht="20" customHeight="1">
      <c r="A26" s="7" t="s">
        <v>843</v>
      </c>
      <c r="B26" s="7"/>
      <c r="C26" s="7"/>
      <c r="D26" s="7"/>
      <c r="E26" s="7"/>
      <c r="F26" s="7"/>
      <c r="G26" s="7"/>
      <c r="H26" s="7"/>
      <c r="I26" s="7"/>
      <c r="J26" s="7"/>
      <c r="K26" s="7"/>
      <c r="L26" s="7"/>
    </row>
    <row r="27" spans="1:12">
      <c r="B27" s="8" t="s">
        <v>844</v>
      </c>
      <c r="C27" s="8"/>
      <c r="D27" s="43">
        <v>9</v>
      </c>
      <c r="E27" s="9" t="s">
        <v>845</v>
      </c>
      <c r="F27" s="9"/>
      <c r="G27" s="9"/>
      <c r="H27" s="9"/>
    </row>
    <row r="28" spans="1:12">
      <c r="B28" s="8" t="s">
        <v>846</v>
      </c>
      <c r="C28" s="8"/>
      <c r="D28" s="43">
        <v>19</v>
      </c>
    </row>
    <row r="29" spans="1:12">
      <c r="B29" s="8" t="s">
        <v>847</v>
      </c>
      <c r="C29" s="8"/>
      <c r="D29" s="32">
        <v>5</v>
      </c>
    </row>
    <row r="30" spans="1:12">
      <c r="B30" s="8" t="s">
        <v>848</v>
      </c>
      <c r="C30" s="8"/>
      <c r="D30" s="32">
        <v>4</v>
      </c>
    </row>
    <row r="31" spans="1:12">
      <c r="B31" s="8" t="s">
        <v>849</v>
      </c>
      <c r="C31" s="8"/>
      <c r="D31" s="37">
        <f>MAX(1,(CloseHour-OpenHour)*OpenDays*Chairs)</f>
        <v>0</v>
      </c>
      <c r="E31" s="9" t="s">
        <v>850</v>
      </c>
      <c r="F31" s="9"/>
      <c r="G31" s="9"/>
      <c r="H31" s="9"/>
    </row>
    <row r="33" spans="1:12" ht="20" customHeight="1">
      <c r="A33" s="7" t="s">
        <v>851</v>
      </c>
      <c r="B33" s="7"/>
      <c r="C33" s="7"/>
      <c r="D33" s="7"/>
      <c r="E33" s="7"/>
      <c r="F33" s="7"/>
      <c r="G33" s="7"/>
      <c r="H33" s="7"/>
      <c r="I33" s="7"/>
      <c r="J33" s="7"/>
      <c r="K33" s="7"/>
      <c r="L33" s="7"/>
    </row>
    <row r="34" spans="1:12" ht="30" customHeight="1">
      <c r="A34" s="6" t="s">
        <v>852</v>
      </c>
      <c r="B34" s="6"/>
      <c r="C34" s="6"/>
      <c r="D34" s="6"/>
      <c r="E34" s="6"/>
      <c r="F34" s="6"/>
      <c r="G34" s="6"/>
      <c r="H34" s="6"/>
      <c r="I34" s="6"/>
      <c r="J34" s="6"/>
      <c r="K34" s="6"/>
      <c r="L34" s="6"/>
    </row>
    <row r="36" spans="1:12">
      <c r="B36" s="8" t="s">
        <v>853</v>
      </c>
      <c r="C36" s="8"/>
      <c r="D36" s="44">
        <v>0.0825</v>
      </c>
      <c r="E36" s="9" t="s">
        <v>854</v>
      </c>
      <c r="F36" s="9"/>
      <c r="G36" s="9"/>
      <c r="H36" s="9"/>
    </row>
    <row r="37" spans="1:12">
      <c r="B37" s="8" t="s">
        <v>855</v>
      </c>
      <c r="C37" s="8"/>
      <c r="D37" s="34" t="s">
        <v>856</v>
      </c>
    </row>
    <row r="38" spans="1:12">
      <c r="B38" s="8" t="s">
        <v>857</v>
      </c>
      <c r="C38" s="8"/>
      <c r="D38" s="34" t="s">
        <v>858</v>
      </c>
    </row>
    <row r="39" spans="1:12">
      <c r="B39" s="8" t="s">
        <v>859</v>
      </c>
      <c r="C39" s="8"/>
      <c r="D39" s="34" t="s">
        <v>858</v>
      </c>
      <c r="E39" s="9" t="s">
        <v>860</v>
      </c>
      <c r="F39" s="9"/>
      <c r="G39" s="9"/>
      <c r="H39" s="9"/>
    </row>
    <row r="40" spans="1:12">
      <c r="B40" s="8" t="s">
        <v>861</v>
      </c>
      <c r="C40" s="8"/>
      <c r="D40" s="44">
        <v>0.0275</v>
      </c>
      <c r="E40" s="9" t="s">
        <v>862</v>
      </c>
      <c r="F40" s="9"/>
      <c r="G40" s="9"/>
      <c r="H40" s="9"/>
    </row>
    <row r="41" spans="1:12">
      <c r="B41" s="8" t="s">
        <v>863</v>
      </c>
      <c r="C41" s="8"/>
      <c r="D41" s="33">
        <v>0.25</v>
      </c>
    </row>
    <row r="42" spans="1:12">
      <c r="B42" s="8" t="s">
        <v>864</v>
      </c>
      <c r="C42" s="8"/>
      <c r="D42" s="44">
        <v>0.25</v>
      </c>
    </row>
    <row r="43" spans="1:12">
      <c r="B43" s="8" t="s">
        <v>865</v>
      </c>
      <c r="C43" s="8"/>
      <c r="D43" s="33">
        <v>80</v>
      </c>
      <c r="E43" s="9" t="s">
        <v>866</v>
      </c>
      <c r="F43" s="9"/>
      <c r="G43" s="9"/>
      <c r="H43" s="9"/>
    </row>
    <row r="44" spans="1:12">
      <c r="B44" s="8" t="s">
        <v>867</v>
      </c>
      <c r="C44" s="8"/>
      <c r="D44" s="32">
        <v>24</v>
      </c>
    </row>
    <row r="45" spans="1:12">
      <c r="B45" s="8" t="s">
        <v>868</v>
      </c>
      <c r="C45" s="8"/>
      <c r="D45" s="33">
        <v>25</v>
      </c>
    </row>
    <row r="46" spans="1:12">
      <c r="B46" s="8" t="s">
        <v>869</v>
      </c>
      <c r="C46" s="8"/>
      <c r="D46" s="34" t="s">
        <v>870</v>
      </c>
      <c r="E46" s="9" t="s">
        <v>871</v>
      </c>
      <c r="F46" s="9"/>
      <c r="G46" s="9"/>
      <c r="H46" s="9"/>
    </row>
    <row r="47" spans="1:12">
      <c r="B47" s="8" t="s">
        <v>872</v>
      </c>
      <c r="C47" s="8"/>
      <c r="D47" s="33">
        <v>70</v>
      </c>
      <c r="E47" s="9" t="s">
        <v>873</v>
      </c>
      <c r="F47" s="9"/>
      <c r="G47" s="9"/>
      <c r="H47" s="9"/>
    </row>
    <row r="48" spans="1:12">
      <c r="B48" s="8" t="s">
        <v>874</v>
      </c>
      <c r="C48" s="8"/>
      <c r="D48" s="32">
        <v>365</v>
      </c>
    </row>
    <row r="50" spans="1:12" ht="20" customHeight="1">
      <c r="A50" s="7" t="s">
        <v>875</v>
      </c>
      <c r="B50" s="7"/>
      <c r="C50" s="7"/>
      <c r="D50" s="7"/>
      <c r="E50" s="7"/>
      <c r="F50" s="7"/>
      <c r="G50" s="7"/>
      <c r="H50" s="7"/>
      <c r="I50" s="7"/>
      <c r="J50" s="7"/>
      <c r="K50" s="7"/>
      <c r="L50" s="7"/>
    </row>
    <row r="51" spans="1:12" ht="28" customHeight="1">
      <c r="A51" s="6" t="s">
        <v>876</v>
      </c>
      <c r="B51" s="6"/>
      <c r="C51" s="6"/>
      <c r="D51" s="6"/>
      <c r="E51" s="6"/>
      <c r="F51" s="6"/>
      <c r="G51" s="6"/>
      <c r="H51" s="6"/>
      <c r="I51" s="6"/>
      <c r="J51" s="6"/>
      <c r="K51" s="6"/>
      <c r="L51" s="6"/>
    </row>
    <row r="53" spans="1:12">
      <c r="B53" s="8" t="s">
        <v>877</v>
      </c>
      <c r="C53" s="8"/>
      <c r="D53" s="44">
        <v>0.4</v>
      </c>
    </row>
    <row r="54" spans="1:12">
      <c r="B54" s="8" t="s">
        <v>878</v>
      </c>
      <c r="C54" s="8"/>
      <c r="D54" s="44">
        <v>0.1</v>
      </c>
    </row>
    <row r="55" spans="1:12">
      <c r="B55" s="8" t="s">
        <v>879</v>
      </c>
      <c r="C55" s="8"/>
      <c r="D55" s="44">
        <v>0.15</v>
      </c>
    </row>
    <row r="56" spans="1:12">
      <c r="B56" s="8" t="s">
        <v>880</v>
      </c>
      <c r="C56" s="8"/>
      <c r="D56" s="33">
        <v>16</v>
      </c>
    </row>
    <row r="57" spans="1:12">
      <c r="B57" s="8" t="s">
        <v>881</v>
      </c>
      <c r="C57" s="8"/>
      <c r="D57" s="44">
        <v>0.12</v>
      </c>
      <c r="E57" s="9" t="s">
        <v>882</v>
      </c>
      <c r="F57" s="9"/>
      <c r="G57" s="9"/>
      <c r="H57" s="9"/>
    </row>
    <row r="58" spans="1:12">
      <c r="B58" s="8" t="s">
        <v>883</v>
      </c>
      <c r="C58" s="8"/>
      <c r="D58" s="34" t="s">
        <v>884</v>
      </c>
      <c r="E58" s="34"/>
      <c r="F58" s="34"/>
      <c r="H58" s="9" t="s">
        <v>885</v>
      </c>
      <c r="I58" s="9"/>
      <c r="J58" s="9"/>
      <c r="K58" s="9"/>
    </row>
    <row r="59" spans="1:12">
      <c r="B59" s="8" t="s">
        <v>886</v>
      </c>
      <c r="C59" s="8"/>
      <c r="D59" s="33">
        <v>180</v>
      </c>
    </row>
    <row r="61" spans="1:12" ht="17" customHeight="1">
      <c r="A61" s="45" t="s">
        <v>887</v>
      </c>
      <c r="B61" s="45"/>
      <c r="C61" s="45"/>
      <c r="D61" s="45"/>
      <c r="E61" s="45"/>
      <c r="F61" s="45"/>
      <c r="G61" s="45"/>
      <c r="H61" s="45"/>
      <c r="I61" s="45"/>
      <c r="J61" s="45"/>
      <c r="K61" s="45"/>
      <c r="L61" s="45"/>
    </row>
    <row r="62" spans="1:12" ht="30" customHeight="1">
      <c r="A62" s="6" t="s">
        <v>888</v>
      </c>
      <c r="B62" s="6"/>
      <c r="C62" s="6"/>
      <c r="D62" s="6"/>
      <c r="E62" s="6"/>
      <c r="F62" s="6"/>
      <c r="G62" s="6"/>
      <c r="H62" s="6"/>
      <c r="I62" s="6"/>
      <c r="J62" s="6"/>
      <c r="K62" s="6"/>
      <c r="L62" s="6"/>
    </row>
    <row r="64" spans="1:12" ht="26" customHeight="1">
      <c r="B64" s="10" t="s">
        <v>889</v>
      </c>
      <c r="C64" s="11" t="s">
        <v>890</v>
      </c>
    </row>
    <row r="65" spans="1:12">
      <c r="B65" s="33">
        <v>0</v>
      </c>
      <c r="C65" s="44">
        <v>0.35</v>
      </c>
    </row>
    <row r="66" spans="1:12">
      <c r="B66" s="33">
        <v>2000</v>
      </c>
      <c r="C66" s="44">
        <v>0.4</v>
      </c>
    </row>
    <row r="67" spans="1:12">
      <c r="B67" s="33">
        <v>3500</v>
      </c>
      <c r="C67" s="44">
        <v>0.45</v>
      </c>
    </row>
    <row r="68" spans="1:12">
      <c r="B68" s="33">
        <v>5000</v>
      </c>
      <c r="C68" s="44">
        <v>0.5</v>
      </c>
    </row>
    <row r="69" spans="1:12">
      <c r="B69" s="33"/>
      <c r="C69" s="44"/>
    </row>
    <row r="70" spans="1:12">
      <c r="B70" s="33"/>
      <c r="C70" s="44"/>
    </row>
    <row r="71" spans="1:12">
      <c r="B71" s="33"/>
      <c r="C71" s="44"/>
    </row>
    <row r="73" spans="1:12" ht="20" customHeight="1">
      <c r="A73" s="7" t="s">
        <v>891</v>
      </c>
      <c r="B73" s="7"/>
      <c r="C73" s="7"/>
      <c r="D73" s="7"/>
      <c r="E73" s="7"/>
      <c r="F73" s="7"/>
      <c r="G73" s="7"/>
      <c r="H73" s="7"/>
      <c r="I73" s="7"/>
      <c r="J73" s="7"/>
      <c r="K73" s="7"/>
      <c r="L73" s="7"/>
    </row>
    <row r="74" spans="1:12">
      <c r="B74" s="8" t="s">
        <v>892</v>
      </c>
      <c r="C74" s="8"/>
      <c r="D74" s="33">
        <v>28000</v>
      </c>
    </row>
    <row r="75" spans="1:12">
      <c r="B75" s="8" t="s">
        <v>893</v>
      </c>
      <c r="C75" s="8"/>
      <c r="D75" s="33">
        <v>336000</v>
      </c>
    </row>
    <row r="76" spans="1:12">
      <c r="B76" s="8" t="s">
        <v>894</v>
      </c>
      <c r="C76" s="8"/>
      <c r="D76" s="33">
        <v>6000</v>
      </c>
    </row>
    <row r="77" spans="1:12">
      <c r="B77" s="8" t="s">
        <v>895</v>
      </c>
      <c r="C77" s="8"/>
      <c r="D77" s="33">
        <v>78</v>
      </c>
    </row>
    <row r="78" spans="1:12">
      <c r="B78" s="8" t="s">
        <v>896</v>
      </c>
      <c r="C78" s="8"/>
      <c r="D78" s="44">
        <v>0.12</v>
      </c>
      <c r="E78" s="9" t="s">
        <v>897</v>
      </c>
      <c r="F78" s="9"/>
      <c r="G78" s="9"/>
      <c r="H78" s="9"/>
    </row>
    <row r="79" spans="1:12">
      <c r="B79" s="8" t="s">
        <v>898</v>
      </c>
      <c r="C79" s="8"/>
      <c r="D79" s="44">
        <v>0.6</v>
      </c>
    </row>
    <row r="80" spans="1:12">
      <c r="B80" s="8" t="s">
        <v>899</v>
      </c>
      <c r="C80" s="8"/>
      <c r="D80" s="44">
        <v>0.7</v>
      </c>
    </row>
    <row r="81" spans="1:12">
      <c r="B81" s="8" t="s">
        <v>900</v>
      </c>
      <c r="C81" s="8"/>
      <c r="D81" s="44">
        <v>0.75</v>
      </c>
    </row>
    <row r="82" spans="1:12">
      <c r="B82" s="8" t="s">
        <v>901</v>
      </c>
      <c r="C82" s="8"/>
      <c r="D82" s="33">
        <v>1200</v>
      </c>
      <c r="E82" s="9" t="s">
        <v>902</v>
      </c>
      <c r="F82" s="9"/>
      <c r="G82" s="9"/>
      <c r="H82" s="9"/>
    </row>
    <row r="84" spans="1:12" ht="20" customHeight="1">
      <c r="A84" s="7" t="s">
        <v>903</v>
      </c>
      <c r="B84" s="7"/>
      <c r="C84" s="7"/>
      <c r="D84" s="7"/>
      <c r="E84" s="7"/>
      <c r="F84" s="7"/>
      <c r="G84" s="7"/>
      <c r="H84" s="7"/>
      <c r="I84" s="7"/>
      <c r="J84" s="7"/>
      <c r="K84" s="7"/>
      <c r="L84" s="7"/>
    </row>
    <row r="85" spans="1:12">
      <c r="B85" s="8" t="s">
        <v>904</v>
      </c>
      <c r="C85" s="8"/>
      <c r="D85" s="43">
        <v>2</v>
      </c>
      <c r="E85" s="9" t="s">
        <v>905</v>
      </c>
      <c r="F85" s="9"/>
      <c r="G85" s="9"/>
      <c r="H85" s="9"/>
    </row>
    <row r="86" spans="1:12">
      <c r="B86" s="8" t="s">
        <v>906</v>
      </c>
      <c r="C86" s="8"/>
      <c r="D86" s="43">
        <v>2</v>
      </c>
      <c r="E86" s="9" t="s">
        <v>907</v>
      </c>
      <c r="F86" s="9"/>
      <c r="G86" s="9"/>
      <c r="H86" s="9"/>
    </row>
    <row r="87" spans="1:12">
      <c r="B87" s="8" t="s">
        <v>908</v>
      </c>
      <c r="C87" s="8"/>
      <c r="D87" s="43">
        <v>2</v>
      </c>
    </row>
    <row r="88" spans="1:12">
      <c r="B88" s="8" t="s">
        <v>909</v>
      </c>
      <c r="C88" s="8"/>
      <c r="D88" s="44">
        <v>0.08</v>
      </c>
      <c r="E88" s="9" t="s">
        <v>910</v>
      </c>
      <c r="F88" s="9"/>
      <c r="G88" s="9"/>
      <c r="H88" s="9"/>
    </row>
    <row r="90" spans="1:12" ht="20" customHeight="1">
      <c r="A90" s="7" t="s">
        <v>911</v>
      </c>
      <c r="B90" s="7"/>
      <c r="C90" s="7"/>
      <c r="D90" s="7"/>
      <c r="E90" s="7"/>
      <c r="F90" s="7"/>
      <c r="G90" s="7"/>
      <c r="H90" s="7"/>
      <c r="I90" s="7"/>
      <c r="J90" s="7"/>
      <c r="K90" s="7"/>
      <c r="L90" s="7"/>
    </row>
    <row r="91" spans="1:12">
      <c r="B91" s="8" t="s">
        <v>912</v>
      </c>
      <c r="C91" s="8"/>
      <c r="D91" s="32">
        <v>6</v>
      </c>
    </row>
    <row r="92" spans="1:12">
      <c r="B92" s="8" t="s">
        <v>913</v>
      </c>
      <c r="C92" s="8"/>
      <c r="D92" s="32">
        <v>90</v>
      </c>
    </row>
    <row r="93" spans="1:12">
      <c r="B93" s="8" t="s">
        <v>914</v>
      </c>
      <c r="C93" s="8"/>
      <c r="D93" s="32">
        <v>180</v>
      </c>
    </row>
    <row r="94" spans="1:12">
      <c r="B94" s="8" t="s">
        <v>915</v>
      </c>
      <c r="C94" s="8"/>
      <c r="D94" s="32">
        <v>180</v>
      </c>
    </row>
    <row r="95" spans="1:12">
      <c r="B95" s="8" t="s">
        <v>916</v>
      </c>
      <c r="C95" s="8"/>
      <c r="D95" s="43">
        <v>1</v>
      </c>
    </row>
    <row r="96" spans="1:12">
      <c r="B96" s="8" t="s">
        <v>917</v>
      </c>
      <c r="C96" s="8"/>
      <c r="D96" s="32">
        <v>200</v>
      </c>
    </row>
    <row r="97" spans="1:12">
      <c r="B97" s="8" t="s">
        <v>918</v>
      </c>
      <c r="C97" s="8"/>
      <c r="D97" s="33">
        <v>20</v>
      </c>
      <c r="E97" s="9" t="s">
        <v>919</v>
      </c>
      <c r="F97" s="9"/>
      <c r="G97" s="9"/>
      <c r="H97" s="9"/>
    </row>
    <row r="98" spans="1:12">
      <c r="B98" s="8" t="s">
        <v>920</v>
      </c>
      <c r="C98" s="8"/>
      <c r="D98" s="33">
        <v>10</v>
      </c>
    </row>
    <row r="100" spans="1:12" ht="20" customHeight="1">
      <c r="A100" s="7" t="s">
        <v>921</v>
      </c>
      <c r="B100" s="7"/>
      <c r="C100" s="7"/>
      <c r="D100" s="7"/>
      <c r="E100" s="7"/>
      <c r="F100" s="7"/>
      <c r="G100" s="7"/>
      <c r="H100" s="7"/>
      <c r="I100" s="7"/>
      <c r="J100" s="7"/>
      <c r="K100" s="7"/>
      <c r="L100" s="7"/>
    </row>
    <row r="101" spans="1:12" ht="28" customHeight="1">
      <c r="A101" s="6" t="s">
        <v>922</v>
      </c>
      <c r="B101" s="6"/>
      <c r="C101" s="6"/>
      <c r="D101" s="6"/>
      <c r="E101" s="6"/>
      <c r="F101" s="6"/>
      <c r="G101" s="6"/>
      <c r="H101" s="6"/>
      <c r="I101" s="6"/>
      <c r="J101" s="6"/>
      <c r="K101" s="6"/>
      <c r="L101" s="6"/>
    </row>
    <row r="103" spans="1:12">
      <c r="B103" s="8" t="s">
        <v>923</v>
      </c>
      <c r="C103" s="34" t="s">
        <v>924</v>
      </c>
      <c r="F103" s="8" t="s">
        <v>937</v>
      </c>
      <c r="G103" s="34" t="s">
        <v>938</v>
      </c>
    </row>
    <row r="104" spans="1:12">
      <c r="B104" s="8" t="s">
        <v>925</v>
      </c>
      <c r="C104" s="34" t="s">
        <v>926</v>
      </c>
      <c r="F104" s="8" t="s">
        <v>939</v>
      </c>
      <c r="G104" s="34" t="s">
        <v>940</v>
      </c>
    </row>
    <row r="105" spans="1:12">
      <c r="B105" s="8" t="s">
        <v>927</v>
      </c>
      <c r="C105" s="34" t="s">
        <v>928</v>
      </c>
      <c r="F105" s="8" t="s">
        <v>941</v>
      </c>
      <c r="G105" s="34" t="s">
        <v>942</v>
      </c>
    </row>
    <row r="106" spans="1:12">
      <c r="B106" s="8" t="s">
        <v>929</v>
      </c>
      <c r="C106" s="34" t="s">
        <v>930</v>
      </c>
      <c r="F106" s="8" t="s">
        <v>943</v>
      </c>
      <c r="G106" s="34" t="s">
        <v>944</v>
      </c>
    </row>
    <row r="107" spans="1:12">
      <c r="B107" s="8" t="s">
        <v>931</v>
      </c>
      <c r="C107" s="34" t="s">
        <v>932</v>
      </c>
      <c r="F107" s="8" t="s">
        <v>945</v>
      </c>
      <c r="G107" s="34" t="s">
        <v>946</v>
      </c>
    </row>
    <row r="108" spans="1:12">
      <c r="B108" s="8" t="s">
        <v>933</v>
      </c>
      <c r="C108" s="34" t="s">
        <v>934</v>
      </c>
      <c r="F108" s="8" t="s">
        <v>947</v>
      </c>
      <c r="G108" s="34" t="s">
        <v>948</v>
      </c>
    </row>
    <row r="109" spans="1:12">
      <c r="B109" s="8" t="s">
        <v>935</v>
      </c>
      <c r="C109" s="34" t="s">
        <v>936</v>
      </c>
    </row>
    <row r="111" spans="1:12" ht="20" customHeight="1">
      <c r="A111" s="7" t="s">
        <v>949</v>
      </c>
      <c r="B111" s="7"/>
      <c r="C111" s="7"/>
      <c r="D111" s="7"/>
      <c r="E111" s="7"/>
      <c r="F111" s="7"/>
      <c r="G111" s="7"/>
      <c r="H111" s="7"/>
      <c r="I111" s="7"/>
      <c r="J111" s="7"/>
      <c r="K111" s="7"/>
      <c r="L111" s="7"/>
    </row>
    <row r="112" spans="1:12" ht="24" customHeight="1">
      <c r="A112" s="6" t="s">
        <v>950</v>
      </c>
      <c r="B112" s="6"/>
      <c r="C112" s="6"/>
      <c r="D112" s="6"/>
      <c r="E112" s="6"/>
      <c r="F112" s="6"/>
      <c r="G112" s="6"/>
      <c r="H112" s="6"/>
      <c r="I112" s="6"/>
      <c r="J112" s="6"/>
      <c r="K112" s="6"/>
      <c r="L112" s="6"/>
    </row>
    <row r="114" spans="1:12">
      <c r="B114" s="8" t="s">
        <v>951</v>
      </c>
      <c r="C114" s="8"/>
      <c r="D114" s="26">
        <f>ROUND(SUMIFS(Sales!$Y$5:$Y$1204,Sales!$H$5:$H$1204,"Service"),2)</f>
        <v>0</v>
      </c>
    </row>
    <row r="115" spans="1:12">
      <c r="B115" s="8" t="s">
        <v>952</v>
      </c>
      <c r="C115" s="8"/>
      <c r="D115" s="26">
        <f>ROUND(SUMIFS(Sales!$Y$5:$Y$1204,Sales!$H$5:$H$1204,"Retail"),2)</f>
        <v>0</v>
      </c>
    </row>
    <row r="116" spans="1:12">
      <c r="B116" s="8" t="s">
        <v>953</v>
      </c>
      <c r="C116" s="8"/>
      <c r="D116" s="26">
        <f>ROUND(SUM(Sales!$Y$5:$Y$1204),2)</f>
        <v>0</v>
      </c>
    </row>
    <row r="117" spans="1:12">
      <c r="B117" s="8" t="s">
        <v>288</v>
      </c>
      <c r="C117" s="8"/>
      <c r="D117" s="25">
        <f>COUNTIF(Clients!$B$5:$B$504,"&lt;&gt;")</f>
        <v>0</v>
      </c>
    </row>
    <row r="119" spans="1:12" ht="20" customHeight="1">
      <c r="A119" s="7" t="s">
        <v>954</v>
      </c>
      <c r="B119" s="7"/>
      <c r="C119" s="7"/>
      <c r="D119" s="7"/>
      <c r="E119" s="7"/>
      <c r="F119" s="7"/>
      <c r="G119" s="7"/>
      <c r="H119" s="7"/>
      <c r="I119" s="7"/>
      <c r="J119" s="7"/>
      <c r="K119" s="7"/>
      <c r="L119" s="7"/>
    </row>
    <row r="120" spans="1:12" ht="30" customHeight="1">
      <c r="A120" s="6" t="s">
        <v>955</v>
      </c>
      <c r="B120" s="6"/>
      <c r="C120" s="6"/>
      <c r="D120" s="6"/>
      <c r="E120" s="6"/>
      <c r="F120" s="6"/>
      <c r="G120" s="6"/>
      <c r="H120" s="6"/>
      <c r="I120" s="6"/>
      <c r="J120" s="6"/>
      <c r="K120" s="6"/>
      <c r="L120" s="6"/>
    </row>
    <row r="122" spans="1:12">
      <c r="A122" s="11" t="s">
        <v>956</v>
      </c>
      <c r="D122" s="11" t="s">
        <v>957</v>
      </c>
      <c r="G122" s="11" t="s">
        <v>958</v>
      </c>
      <c r="J122" s="11" t="s">
        <v>962</v>
      </c>
    </row>
    <row r="123" spans="1:12">
      <c r="A123" s="34" t="s">
        <v>858</v>
      </c>
      <c r="D123" s="34" t="s">
        <v>700</v>
      </c>
      <c r="G123" s="34" t="s">
        <v>289</v>
      </c>
      <c r="J123" s="34" t="s">
        <v>963</v>
      </c>
    </row>
    <row r="124" spans="1:12">
      <c r="A124" s="34" t="s">
        <v>856</v>
      </c>
      <c r="D124" s="34" t="s">
        <v>701</v>
      </c>
      <c r="G124" s="34" t="s">
        <v>771</v>
      </c>
      <c r="J124" s="34" t="s">
        <v>964</v>
      </c>
    </row>
    <row r="125" spans="1:12">
      <c r="A125" s="34"/>
      <c r="D125" s="34" t="s">
        <v>702</v>
      </c>
      <c r="G125" s="34" t="s">
        <v>959</v>
      </c>
      <c r="J125" s="34" t="s">
        <v>175</v>
      </c>
    </row>
    <row r="126" spans="1:12">
      <c r="A126" s="34"/>
      <c r="D126" s="34" t="s">
        <v>703</v>
      </c>
      <c r="G126" s="34" t="s">
        <v>960</v>
      </c>
      <c r="J126" s="34" t="s">
        <v>965</v>
      </c>
    </row>
    <row r="127" spans="1:12">
      <c r="A127" s="34"/>
      <c r="D127" s="34" t="s">
        <v>704</v>
      </c>
      <c r="G127" s="34" t="s">
        <v>961</v>
      </c>
      <c r="J127" s="34" t="s">
        <v>966</v>
      </c>
    </row>
    <row r="128" spans="1:12">
      <c r="A128" s="34"/>
      <c r="D128" s="34" t="s">
        <v>705</v>
      </c>
      <c r="G128" s="34"/>
      <c r="J128" s="34" t="s">
        <v>812</v>
      </c>
    </row>
    <row r="129" spans="1:10">
      <c r="A129" s="34"/>
      <c r="D129" s="34" t="s">
        <v>706</v>
      </c>
      <c r="G129" s="34"/>
      <c r="J129" s="34" t="s">
        <v>967</v>
      </c>
    </row>
    <row r="130" spans="1:10">
      <c r="A130" s="34"/>
      <c r="D130" s="34" t="s">
        <v>707</v>
      </c>
      <c r="G130" s="34"/>
      <c r="J130" s="34"/>
    </row>
    <row r="131" spans="1:10">
      <c r="D131" s="34" t="s">
        <v>708</v>
      </c>
      <c r="G131" s="34"/>
      <c r="J131" s="34"/>
    </row>
    <row r="132" spans="1:10">
      <c r="D132" s="34" t="s">
        <v>709</v>
      </c>
      <c r="G132" s="34"/>
      <c r="J132" s="34"/>
    </row>
    <row r="133" spans="1:10">
      <c r="D133" s="34" t="s">
        <v>710</v>
      </c>
      <c r="G133" s="34"/>
      <c r="J133" s="34"/>
    </row>
    <row r="134" spans="1:10">
      <c r="D134" s="34" t="s">
        <v>711</v>
      </c>
      <c r="J134" s="34"/>
    </row>
    <row r="135" spans="1:10">
      <c r="D135" s="34" t="s">
        <v>712</v>
      </c>
      <c r="J135" s="34"/>
    </row>
    <row r="136" spans="1:10">
      <c r="D136" s="34" t="s">
        <v>713</v>
      </c>
    </row>
    <row r="137" spans="1:10">
      <c r="D137" s="34" t="s">
        <v>714</v>
      </c>
    </row>
    <row r="138" spans="1:10">
      <c r="D138" s="34" t="s">
        <v>715</v>
      </c>
    </row>
    <row r="139" spans="1:10">
      <c r="D139" s="34" t="s">
        <v>716</v>
      </c>
    </row>
    <row r="140" spans="1:10">
      <c r="D140" s="34"/>
    </row>
    <row r="141" spans="1:10">
      <c r="D141" s="34"/>
    </row>
    <row r="142" spans="1:10">
      <c r="D142" s="34"/>
    </row>
    <row r="143" spans="1:10">
      <c r="D143" s="34"/>
    </row>
    <row r="144" spans="1:10">
      <c r="D144" s="34"/>
    </row>
    <row r="145" spans="1:10">
      <c r="D145" s="34"/>
    </row>
    <row r="147" spans="1:10">
      <c r="A147" s="11" t="s">
        <v>968</v>
      </c>
      <c r="D147" s="11" t="s">
        <v>974</v>
      </c>
      <c r="G147" s="11" t="s">
        <v>979</v>
      </c>
      <c r="J147" s="11" t="s">
        <v>599</v>
      </c>
    </row>
    <row r="148" spans="1:10">
      <c r="A148" s="34" t="s">
        <v>969</v>
      </c>
      <c r="D148" s="34" t="s">
        <v>761</v>
      </c>
      <c r="G148" s="34" t="s">
        <v>980</v>
      </c>
      <c r="J148" s="34" t="s">
        <v>987</v>
      </c>
    </row>
    <row r="149" spans="1:10">
      <c r="A149" s="34" t="s">
        <v>316</v>
      </c>
      <c r="D149" s="34" t="s">
        <v>759</v>
      </c>
      <c r="G149" s="34" t="s">
        <v>981</v>
      </c>
      <c r="J149" s="34" t="s">
        <v>988</v>
      </c>
    </row>
    <row r="150" spans="1:10">
      <c r="A150" s="34" t="s">
        <v>970</v>
      </c>
      <c r="D150" s="34" t="s">
        <v>748</v>
      </c>
      <c r="G150" s="34" t="s">
        <v>982</v>
      </c>
      <c r="J150" s="34" t="s">
        <v>254</v>
      </c>
    </row>
    <row r="151" spans="1:10">
      <c r="A151" s="34" t="s">
        <v>971</v>
      </c>
      <c r="D151" s="34" t="s">
        <v>749</v>
      </c>
      <c r="G151" s="34" t="s">
        <v>972</v>
      </c>
      <c r="J151" s="34" t="s">
        <v>989</v>
      </c>
    </row>
    <row r="152" spans="1:10">
      <c r="A152" s="34" t="s">
        <v>177</v>
      </c>
      <c r="D152" s="34" t="s">
        <v>975</v>
      </c>
      <c r="G152" s="34" t="s">
        <v>983</v>
      </c>
      <c r="J152" s="34" t="s">
        <v>990</v>
      </c>
    </row>
    <row r="153" spans="1:10">
      <c r="A153" s="34" t="s">
        <v>245</v>
      </c>
      <c r="D153" s="34" t="s">
        <v>750</v>
      </c>
      <c r="G153" s="34" t="s">
        <v>984</v>
      </c>
      <c r="J153" s="34" t="s">
        <v>991</v>
      </c>
    </row>
    <row r="154" spans="1:10">
      <c r="A154" s="34" t="s">
        <v>972</v>
      </c>
      <c r="D154" s="34" t="s">
        <v>760</v>
      </c>
      <c r="G154" s="34" t="s">
        <v>985</v>
      </c>
      <c r="J154" s="34"/>
    </row>
    <row r="155" spans="1:10">
      <c r="A155" s="34" t="s">
        <v>973</v>
      </c>
      <c r="D155" s="34" t="s">
        <v>976</v>
      </c>
      <c r="G155" s="34" t="s">
        <v>986</v>
      </c>
      <c r="J155" s="34"/>
    </row>
    <row r="156" spans="1:10">
      <c r="A156" s="34"/>
      <c r="D156" s="34" t="s">
        <v>253</v>
      </c>
      <c r="G156" s="34" t="s">
        <v>221</v>
      </c>
      <c r="J156" s="34"/>
    </row>
    <row r="157" spans="1:10">
      <c r="A157" s="34"/>
      <c r="D157" s="34" t="s">
        <v>818</v>
      </c>
      <c r="G157" s="34" t="s">
        <v>530</v>
      </c>
      <c r="J157" s="34"/>
    </row>
    <row r="158" spans="1:10">
      <c r="A158" s="34"/>
      <c r="D158" s="34" t="s">
        <v>977</v>
      </c>
      <c r="G158" s="34"/>
      <c r="J158" s="34"/>
    </row>
    <row r="159" spans="1:10">
      <c r="A159" s="34"/>
      <c r="D159" s="34" t="s">
        <v>978</v>
      </c>
      <c r="G159" s="34"/>
      <c r="J159" s="34"/>
    </row>
    <row r="160" spans="1:10">
      <c r="A160" s="34"/>
      <c r="D160" s="34" t="s">
        <v>530</v>
      </c>
      <c r="G160" s="34"/>
    </row>
    <row r="161" spans="1:10">
      <c r="A161" s="34"/>
      <c r="D161" s="34"/>
      <c r="G161" s="34"/>
    </row>
    <row r="162" spans="1:10">
      <c r="D162" s="34"/>
      <c r="G162" s="34"/>
    </row>
    <row r="163" spans="1:10">
      <c r="D163" s="34"/>
      <c r="G163" s="34"/>
    </row>
    <row r="164" spans="1:10">
      <c r="D164" s="34"/>
    </row>
    <row r="165" spans="1:10">
      <c r="D165" s="34"/>
    </row>
    <row r="166" spans="1:10">
      <c r="D166" s="34"/>
    </row>
    <row r="168" spans="1:10">
      <c r="A168" s="11" t="s">
        <v>992</v>
      </c>
      <c r="D168" s="11" t="s">
        <v>994</v>
      </c>
      <c r="G168" s="11" t="s">
        <v>996</v>
      </c>
      <c r="J168" s="11" t="s">
        <v>1004</v>
      </c>
    </row>
    <row r="169" spans="1:10">
      <c r="A169" s="34" t="s">
        <v>771</v>
      </c>
      <c r="D169" s="34" t="s">
        <v>218</v>
      </c>
      <c r="G169" s="34" t="s">
        <v>997</v>
      </c>
      <c r="J169" s="34" t="s">
        <v>1005</v>
      </c>
    </row>
    <row r="170" spans="1:10">
      <c r="A170" s="34" t="s">
        <v>289</v>
      </c>
      <c r="D170" s="34" t="s">
        <v>193</v>
      </c>
      <c r="G170" s="34" t="s">
        <v>359</v>
      </c>
      <c r="J170" s="34" t="s">
        <v>1006</v>
      </c>
    </row>
    <row r="171" spans="1:10">
      <c r="A171" s="34" t="s">
        <v>770</v>
      </c>
      <c r="D171" s="34" t="s">
        <v>715</v>
      </c>
      <c r="G171" s="34" t="s">
        <v>998</v>
      </c>
      <c r="J171" s="34" t="s">
        <v>1007</v>
      </c>
    </row>
    <row r="172" spans="1:10">
      <c r="A172" s="34" t="s">
        <v>769</v>
      </c>
      <c r="D172" s="34" t="s">
        <v>977</v>
      </c>
      <c r="G172" s="34" t="s">
        <v>999</v>
      </c>
      <c r="J172" s="34" t="s">
        <v>1008</v>
      </c>
    </row>
    <row r="173" spans="1:10">
      <c r="A173" s="34" t="s">
        <v>291</v>
      </c>
      <c r="D173" s="34" t="s">
        <v>995</v>
      </c>
      <c r="G173" s="34" t="s">
        <v>1000</v>
      </c>
      <c r="J173" s="34" t="s">
        <v>977</v>
      </c>
    </row>
    <row r="174" spans="1:10">
      <c r="A174" s="34" t="s">
        <v>292</v>
      </c>
      <c r="D174" s="34" t="s">
        <v>530</v>
      </c>
      <c r="G174" s="34" t="s">
        <v>1001</v>
      </c>
      <c r="J174" s="34" t="s">
        <v>1009</v>
      </c>
    </row>
    <row r="175" spans="1:10">
      <c r="A175" s="34" t="s">
        <v>993</v>
      </c>
      <c r="D175" s="34"/>
      <c r="G175" s="34" t="s">
        <v>1002</v>
      </c>
      <c r="J175" s="34" t="s">
        <v>1010</v>
      </c>
    </row>
    <row r="176" spans="1:10">
      <c r="A176" s="34"/>
      <c r="D176" s="34"/>
      <c r="G176" s="34" t="s">
        <v>1003</v>
      </c>
      <c r="J176" s="34" t="s">
        <v>530</v>
      </c>
    </row>
    <row r="177" spans="1:10">
      <c r="A177" s="34"/>
      <c r="D177" s="34"/>
      <c r="G177" s="34"/>
      <c r="J177" s="34"/>
    </row>
    <row r="178" spans="1:10">
      <c r="A178" s="34"/>
      <c r="D178" s="34"/>
      <c r="G178" s="34"/>
      <c r="J178" s="34"/>
    </row>
    <row r="179" spans="1:10">
      <c r="A179" s="34"/>
      <c r="D179" s="34"/>
      <c r="G179" s="34"/>
      <c r="J179" s="34"/>
    </row>
    <row r="180" spans="1:10">
      <c r="A180" s="34"/>
      <c r="D180" s="34"/>
      <c r="G180" s="34"/>
      <c r="J180" s="34"/>
    </row>
    <row r="181" spans="1:10">
      <c r="A181" s="34"/>
      <c r="G181" s="34"/>
      <c r="J181" s="34"/>
    </row>
    <row r="182" spans="1:10">
      <c r="G182" s="34"/>
      <c r="J182" s="34"/>
    </row>
    <row r="184" spans="1:10">
      <c r="A184" s="11" t="s">
        <v>1011</v>
      </c>
      <c r="D184" s="11" t="s">
        <v>1016</v>
      </c>
      <c r="G184" s="11" t="s">
        <v>1020</v>
      </c>
      <c r="J184" s="11" t="s">
        <v>1029</v>
      </c>
    </row>
    <row r="185" spans="1:10">
      <c r="A185" s="34" t="s">
        <v>1012</v>
      </c>
      <c r="D185" s="34" t="s">
        <v>289</v>
      </c>
      <c r="G185" s="34" t="s">
        <v>1021</v>
      </c>
      <c r="J185" s="34" t="s">
        <v>1030</v>
      </c>
    </row>
    <row r="186" spans="1:10">
      <c r="A186" s="34" t="s">
        <v>1013</v>
      </c>
      <c r="D186" s="34" t="s">
        <v>1017</v>
      </c>
      <c r="G186" s="34" t="s">
        <v>1022</v>
      </c>
      <c r="J186" s="34" t="s">
        <v>1031</v>
      </c>
    </row>
    <row r="187" spans="1:10">
      <c r="A187" s="34" t="s">
        <v>1014</v>
      </c>
      <c r="D187" s="34" t="s">
        <v>1018</v>
      </c>
      <c r="G187" s="34" t="s">
        <v>1023</v>
      </c>
      <c r="J187" s="34" t="s">
        <v>1032</v>
      </c>
    </row>
    <row r="188" spans="1:10">
      <c r="A188" s="34" t="s">
        <v>964</v>
      </c>
      <c r="D188" s="34" t="s">
        <v>292</v>
      </c>
      <c r="G188" s="34" t="s">
        <v>1024</v>
      </c>
      <c r="J188" s="34" t="s">
        <v>1033</v>
      </c>
    </row>
    <row r="189" spans="1:10">
      <c r="A189" s="34" t="s">
        <v>812</v>
      </c>
      <c r="D189" s="34" t="s">
        <v>1019</v>
      </c>
      <c r="G189" s="34" t="s">
        <v>1025</v>
      </c>
      <c r="J189" s="34" t="s">
        <v>1034</v>
      </c>
    </row>
    <row r="190" spans="1:10">
      <c r="A190" s="34" t="s">
        <v>1015</v>
      </c>
      <c r="D190" s="34"/>
      <c r="G190" s="34" t="s">
        <v>1026</v>
      </c>
      <c r="J190" s="34"/>
    </row>
    <row r="191" spans="1:10">
      <c r="A191" s="34"/>
      <c r="D191" s="34"/>
      <c r="G191" s="34" t="s">
        <v>1027</v>
      </c>
      <c r="J191" s="34"/>
    </row>
    <row r="192" spans="1:10">
      <c r="A192" s="34"/>
      <c r="D192" s="34"/>
      <c r="G192" s="34" t="s">
        <v>1028</v>
      </c>
      <c r="J192" s="34"/>
    </row>
    <row r="193" spans="1:10">
      <c r="A193" s="34"/>
      <c r="D193" s="34"/>
      <c r="G193" s="34"/>
      <c r="J193" s="34"/>
    </row>
    <row r="194" spans="1:10">
      <c r="A194" s="34"/>
      <c r="D194" s="34"/>
      <c r="G194" s="34"/>
      <c r="J194" s="34"/>
    </row>
    <row r="195" spans="1:10">
      <c r="A195" s="34"/>
      <c r="D195" s="34"/>
      <c r="G195" s="34"/>
      <c r="J195" s="34"/>
    </row>
    <row r="196" spans="1:10">
      <c r="A196" s="34"/>
      <c r="G196" s="34"/>
    </row>
    <row r="197" spans="1:10">
      <c r="G197" s="34"/>
    </row>
    <row r="198" spans="1:10">
      <c r="G198" s="34"/>
    </row>
    <row r="200" spans="1:10">
      <c r="A200" s="11" t="s">
        <v>1035</v>
      </c>
      <c r="D200" s="11" t="s">
        <v>1038</v>
      </c>
      <c r="G200" s="11" t="s">
        <v>1042</v>
      </c>
      <c r="J200" s="11" t="s">
        <v>1057</v>
      </c>
    </row>
    <row r="201" spans="1:10">
      <c r="A201" s="34" t="s">
        <v>511</v>
      </c>
      <c r="D201" s="34" t="s">
        <v>1030</v>
      </c>
      <c r="G201" s="34" t="s">
        <v>1043</v>
      </c>
      <c r="J201" s="34" t="s">
        <v>1058</v>
      </c>
    </row>
    <row r="202" spans="1:10">
      <c r="A202" s="34" t="s">
        <v>512</v>
      </c>
      <c r="D202" s="34" t="s">
        <v>1031</v>
      </c>
      <c r="G202" s="34" t="s">
        <v>1044</v>
      </c>
      <c r="J202" s="34" t="s">
        <v>577</v>
      </c>
    </row>
    <row r="203" spans="1:10">
      <c r="A203" s="34" t="s">
        <v>513</v>
      </c>
      <c r="D203" s="34" t="s">
        <v>1033</v>
      </c>
      <c r="G203" s="34" t="s">
        <v>1045</v>
      </c>
      <c r="J203" s="34" t="s">
        <v>1059</v>
      </c>
    </row>
    <row r="204" spans="1:10">
      <c r="A204" s="34" t="s">
        <v>514</v>
      </c>
      <c r="D204" s="34" t="s">
        <v>1032</v>
      </c>
      <c r="G204" s="34" t="s">
        <v>1046</v>
      </c>
      <c r="J204" s="34" t="s">
        <v>555</v>
      </c>
    </row>
    <row r="205" spans="1:10">
      <c r="A205" s="34" t="s">
        <v>1036</v>
      </c>
      <c r="D205" s="34" t="s">
        <v>1039</v>
      </c>
      <c r="G205" s="34" t="s">
        <v>1047</v>
      </c>
      <c r="J205" s="34" t="s">
        <v>245</v>
      </c>
    </row>
    <row r="206" spans="1:10">
      <c r="A206" s="34" t="s">
        <v>96</v>
      </c>
      <c r="D206" s="34" t="s">
        <v>1040</v>
      </c>
      <c r="G206" s="34" t="s">
        <v>1048</v>
      </c>
      <c r="J206" s="34" t="s">
        <v>1060</v>
      </c>
    </row>
    <row r="207" spans="1:10">
      <c r="A207" s="34" t="s">
        <v>1037</v>
      </c>
      <c r="D207" s="34" t="s">
        <v>1041</v>
      </c>
      <c r="G207" s="34" t="s">
        <v>1049</v>
      </c>
      <c r="J207" s="34"/>
    </row>
    <row r="208" spans="1:10">
      <c r="A208" s="34" t="s">
        <v>515</v>
      </c>
      <c r="D208" s="34" t="s">
        <v>1034</v>
      </c>
      <c r="G208" s="34" t="s">
        <v>1050</v>
      </c>
      <c r="J208" s="34"/>
    </row>
    <row r="209" spans="1:10">
      <c r="A209" s="34" t="s">
        <v>516</v>
      </c>
      <c r="D209" s="34"/>
      <c r="G209" s="34" t="s">
        <v>1051</v>
      </c>
      <c r="J209" s="34"/>
    </row>
    <row r="210" spans="1:10">
      <c r="A210" s="34" t="s">
        <v>517</v>
      </c>
      <c r="D210" s="34"/>
      <c r="G210" s="34" t="s">
        <v>1052</v>
      </c>
      <c r="J210" s="34"/>
    </row>
    <row r="211" spans="1:10">
      <c r="A211" s="34" t="s">
        <v>518</v>
      </c>
      <c r="D211" s="34"/>
      <c r="G211" s="34" t="s">
        <v>1053</v>
      </c>
      <c r="J211" s="34"/>
    </row>
    <row r="212" spans="1:10">
      <c r="A212" s="34" t="s">
        <v>519</v>
      </c>
      <c r="D212" s="34"/>
      <c r="G212" s="34" t="s">
        <v>1054</v>
      </c>
      <c r="J212" s="34"/>
    </row>
    <row r="213" spans="1:10">
      <c r="A213" s="34" t="s">
        <v>520</v>
      </c>
      <c r="D213" s="34"/>
      <c r="G213" s="34" t="s">
        <v>1055</v>
      </c>
    </row>
    <row r="214" spans="1:10">
      <c r="A214" s="34" t="s">
        <v>521</v>
      </c>
      <c r="D214" s="34"/>
      <c r="G214" s="34" t="s">
        <v>1056</v>
      </c>
    </row>
    <row r="215" spans="1:10">
      <c r="A215" s="34" t="s">
        <v>522</v>
      </c>
      <c r="G215" s="34"/>
    </row>
    <row r="216" spans="1:10">
      <c r="A216" s="34" t="s">
        <v>523</v>
      </c>
      <c r="G216" s="34"/>
    </row>
    <row r="217" spans="1:10">
      <c r="A217" s="34" t="s">
        <v>524</v>
      </c>
      <c r="G217" s="34"/>
    </row>
    <row r="218" spans="1:10">
      <c r="A218" s="34" t="s">
        <v>525</v>
      </c>
      <c r="G218" s="34"/>
    </row>
    <row r="219" spans="1:10">
      <c r="A219" s="34" t="s">
        <v>526</v>
      </c>
      <c r="G219" s="34"/>
    </row>
    <row r="220" spans="1:10">
      <c r="A220" s="34" t="s">
        <v>527</v>
      </c>
      <c r="G220" s="34"/>
    </row>
    <row r="221" spans="1:10">
      <c r="A221" s="34" t="s">
        <v>528</v>
      </c>
    </row>
    <row r="222" spans="1:10">
      <c r="A222" s="34" t="s">
        <v>529</v>
      </c>
    </row>
    <row r="223" spans="1:10">
      <c r="A223" s="34" t="s">
        <v>530</v>
      </c>
    </row>
    <row r="224" spans="1:10">
      <c r="A224" s="34"/>
    </row>
    <row r="225" spans="1:10">
      <c r="A225" s="34"/>
    </row>
    <row r="226" spans="1:10">
      <c r="A226" s="34"/>
    </row>
    <row r="227" spans="1:10">
      <c r="A227" s="34"/>
    </row>
    <row r="228" spans="1:10">
      <c r="A228" s="34"/>
    </row>
    <row r="229" spans="1:10">
      <c r="A229" s="34"/>
    </row>
    <row r="231" spans="1:10">
      <c r="A231" s="11" t="s">
        <v>1061</v>
      </c>
      <c r="D231" s="11" t="s">
        <v>1064</v>
      </c>
      <c r="G231" s="11" t="s">
        <v>1069</v>
      </c>
      <c r="J231" s="11" t="s">
        <v>1077</v>
      </c>
    </row>
    <row r="232" spans="1:10">
      <c r="A232" s="34" t="s">
        <v>748</v>
      </c>
      <c r="D232" s="34" t="s">
        <v>1065</v>
      </c>
      <c r="G232" s="34" t="s">
        <v>1070</v>
      </c>
      <c r="J232" s="34" t="s">
        <v>1021</v>
      </c>
    </row>
    <row r="233" spans="1:10">
      <c r="A233" s="34" t="s">
        <v>749</v>
      </c>
      <c r="D233" s="34" t="s">
        <v>1066</v>
      </c>
      <c r="G233" s="34" t="s">
        <v>1071</v>
      </c>
      <c r="J233" s="34" t="s">
        <v>1078</v>
      </c>
    </row>
    <row r="234" spans="1:10">
      <c r="A234" s="34" t="s">
        <v>750</v>
      </c>
      <c r="D234" s="34" t="s">
        <v>1067</v>
      </c>
      <c r="G234" s="34" t="s">
        <v>1072</v>
      </c>
      <c r="J234" s="34" t="s">
        <v>1079</v>
      </c>
    </row>
    <row r="235" spans="1:10">
      <c r="A235" s="34" t="s">
        <v>751</v>
      </c>
      <c r="D235" s="34" t="s">
        <v>1068</v>
      </c>
      <c r="G235" s="34" t="s">
        <v>1073</v>
      </c>
      <c r="J235" s="34" t="s">
        <v>870</v>
      </c>
    </row>
    <row r="236" spans="1:10">
      <c r="A236" s="34" t="s">
        <v>752</v>
      </c>
      <c r="D236" s="34" t="s">
        <v>245</v>
      </c>
      <c r="G236" s="34" t="s">
        <v>1074</v>
      </c>
      <c r="J236" s="34" t="s">
        <v>1080</v>
      </c>
    </row>
    <row r="237" spans="1:10">
      <c r="A237" s="34" t="s">
        <v>254</v>
      </c>
      <c r="D237" s="34"/>
      <c r="G237" s="34" t="s">
        <v>1075</v>
      </c>
      <c r="J237" s="34" t="s">
        <v>1081</v>
      </c>
    </row>
    <row r="238" spans="1:10">
      <c r="A238" s="34" t="s">
        <v>753</v>
      </c>
      <c r="D238" s="34"/>
      <c r="G238" s="34" t="s">
        <v>1076</v>
      </c>
      <c r="J238" s="34" t="s">
        <v>1082</v>
      </c>
    </row>
    <row r="239" spans="1:10">
      <c r="A239" s="34" t="s">
        <v>754</v>
      </c>
      <c r="D239" s="34"/>
      <c r="G239" s="34" t="s">
        <v>1021</v>
      </c>
      <c r="J239" s="34" t="s">
        <v>1083</v>
      </c>
    </row>
    <row r="240" spans="1:10">
      <c r="A240" s="34" t="s">
        <v>755</v>
      </c>
      <c r="D240" s="34"/>
      <c r="G240" s="34"/>
      <c r="J240" s="34"/>
    </row>
    <row r="241" spans="1:12">
      <c r="A241" s="34" t="s">
        <v>756</v>
      </c>
      <c r="D241" s="34"/>
      <c r="G241" s="34"/>
      <c r="J241" s="34"/>
    </row>
    <row r="242" spans="1:12">
      <c r="A242" s="34" t="s">
        <v>757</v>
      </c>
      <c r="D242" s="34"/>
      <c r="G242" s="34"/>
      <c r="J242" s="34"/>
    </row>
    <row r="243" spans="1:12">
      <c r="A243" s="34" t="s">
        <v>758</v>
      </c>
      <c r="G243" s="34"/>
      <c r="J243" s="34"/>
    </row>
    <row r="244" spans="1:12">
      <c r="A244" s="34" t="s">
        <v>1062</v>
      </c>
      <c r="G244" s="34"/>
      <c r="J244" s="34"/>
    </row>
    <row r="245" spans="1:12">
      <c r="A245" s="34" t="s">
        <v>1063</v>
      </c>
      <c r="G245" s="34"/>
      <c r="J245" s="34"/>
    </row>
    <row r="246" spans="1:12">
      <c r="A246" s="34" t="s">
        <v>530</v>
      </c>
    </row>
    <row r="247" spans="1:12">
      <c r="A247" s="34"/>
    </row>
    <row r="248" spans="1:12">
      <c r="A248" s="34"/>
    </row>
    <row r="249" spans="1:12">
      <c r="A249" s="34"/>
    </row>
    <row r="250" spans="1:12">
      <c r="A250" s="34"/>
    </row>
    <row r="251" spans="1:12">
      <c r="A251" s="34"/>
    </row>
    <row r="252" spans="1:12">
      <c r="A252" s="34"/>
    </row>
    <row r="255" spans="1:12" ht="20" customHeight="1">
      <c r="A255" s="7" t="s">
        <v>1084</v>
      </c>
      <c r="B255" s="7"/>
      <c r="C255" s="7"/>
      <c r="D255" s="7"/>
      <c r="E255" s="7"/>
      <c r="F255" s="7"/>
      <c r="G255" s="7"/>
      <c r="H255" s="7"/>
      <c r="I255" s="7"/>
      <c r="J255" s="7"/>
      <c r="K255" s="7"/>
      <c r="L255" s="7"/>
    </row>
    <row r="256" spans="1:12" ht="28" customHeight="1">
      <c r="A256" s="6" t="s">
        <v>1085</v>
      </c>
      <c r="B256" s="6"/>
      <c r="C256" s="6"/>
      <c r="D256" s="6"/>
      <c r="E256" s="6"/>
      <c r="F256" s="6"/>
      <c r="G256" s="6"/>
      <c r="H256" s="6"/>
      <c r="I256" s="6"/>
      <c r="J256" s="6"/>
      <c r="K256" s="6"/>
      <c r="L256" s="6"/>
    </row>
    <row r="258" spans="1:1">
      <c r="A258" s="11" t="s">
        <v>121</v>
      </c>
    </row>
    <row r="259" spans="1:1">
      <c r="A259" s="34" t="s">
        <v>1086</v>
      </c>
    </row>
    <row r="260" spans="1:1">
      <c r="A260" s="34" t="s">
        <v>1087</v>
      </c>
    </row>
    <row r="261" spans="1:1">
      <c r="A261" s="34" t="s">
        <v>1088</v>
      </c>
    </row>
    <row r="262" spans="1:1">
      <c r="A262" s="34" t="s">
        <v>1089</v>
      </c>
    </row>
    <row r="263" spans="1:1">
      <c r="A263" s="34" t="s">
        <v>1090</v>
      </c>
    </row>
    <row r="264" spans="1:1">
      <c r="A264" s="34" t="s">
        <v>1091</v>
      </c>
    </row>
    <row r="265" spans="1:1">
      <c r="A265" s="34" t="s">
        <v>1092</v>
      </c>
    </row>
    <row r="266" spans="1:1">
      <c r="A266" s="34" t="s">
        <v>1093</v>
      </c>
    </row>
    <row r="267" spans="1:1">
      <c r="A267" s="34" t="s">
        <v>1094</v>
      </c>
    </row>
    <row r="268" spans="1:1">
      <c r="A268" s="34" t="s">
        <v>1095</v>
      </c>
    </row>
    <row r="269" spans="1:1">
      <c r="A269" s="34" t="s">
        <v>1096</v>
      </c>
    </row>
    <row r="270" spans="1:1">
      <c r="A270" s="34" t="s">
        <v>1097</v>
      </c>
    </row>
    <row r="271" spans="1:1">
      <c r="A271" s="34" t="s">
        <v>1098</v>
      </c>
    </row>
    <row r="272" spans="1:1">
      <c r="A272" s="34" t="s">
        <v>1099</v>
      </c>
    </row>
    <row r="273" spans="1:12">
      <c r="A273" s="34" t="s">
        <v>1100</v>
      </c>
    </row>
    <row r="274" spans="1:12">
      <c r="A274" s="34" t="s">
        <v>778</v>
      </c>
    </row>
    <row r="275" spans="1:12">
      <c r="A275" s="34" t="s">
        <v>1101</v>
      </c>
    </row>
    <row r="276" spans="1:12">
      <c r="A276" s="34" t="s">
        <v>1102</v>
      </c>
    </row>
    <row r="277" spans="1:12">
      <c r="A277" s="34" t="s">
        <v>1103</v>
      </c>
    </row>
    <row r="278" spans="1:12">
      <c r="A278" s="34" t="s">
        <v>1104</v>
      </c>
    </row>
    <row r="279" spans="1:12">
      <c r="A279" s="34" t="s">
        <v>1105</v>
      </c>
    </row>
    <row r="280" spans="1:12">
      <c r="A280" s="34" t="s">
        <v>1106</v>
      </c>
    </row>
    <row r="281" spans="1:12">
      <c r="A281" s="34" t="s">
        <v>1107</v>
      </c>
    </row>
    <row r="282" spans="1:12">
      <c r="A282" s="34" t="s">
        <v>1108</v>
      </c>
    </row>
    <row r="283" spans="1:12">
      <c r="A283" s="34" t="s">
        <v>1109</v>
      </c>
    </row>
    <row r="285" spans="1:12" ht="44" customHeight="1">
      <c r="A285" s="6" t="s">
        <v>107</v>
      </c>
      <c r="B285" s="6"/>
      <c r="C285" s="6"/>
      <c r="D285" s="6"/>
      <c r="E285" s="6"/>
      <c r="F285" s="6"/>
      <c r="G285" s="6"/>
      <c r="H285" s="6"/>
      <c r="I285" s="6"/>
      <c r="J285" s="6"/>
      <c r="K285" s="6"/>
      <c r="L285" s="6"/>
    </row>
  </sheetData>
  <sheetProtection password="EC7C" sheet="1" objects="1" scenarios="1" formatCells="0" formatColumns="0" formatRows="0" insertRows="0" insertHyperlinks="0" deleteRows="0" autoFilter="0"/>
  <mergeCells count="133">
    <mergeCell ref="A1:I1"/>
    <mergeCell ref="J1:L1"/>
    <mergeCell ref="A2:L2"/>
    <mergeCell ref="A3:B3"/>
    <mergeCell ref="C3:D3"/>
    <mergeCell ref="E3:F3"/>
    <mergeCell ref="G3:H3"/>
    <mergeCell ref="I3:J3"/>
    <mergeCell ref="K3:L3"/>
    <mergeCell ref="A5:L5"/>
    <mergeCell ref="A7:L7"/>
    <mergeCell ref="B8:C8"/>
    <mergeCell ref="D8:F8"/>
    <mergeCell ref="H8:K8"/>
    <mergeCell ref="B9:C9"/>
    <mergeCell ref="D9:F9"/>
    <mergeCell ref="B10:C10"/>
    <mergeCell ref="D10:F10"/>
    <mergeCell ref="B11:C11"/>
    <mergeCell ref="D11:F11"/>
    <mergeCell ref="B12:C12"/>
    <mergeCell ref="D12:F12"/>
    <mergeCell ref="B13:C13"/>
    <mergeCell ref="D13:F13"/>
    <mergeCell ref="B14:C14"/>
    <mergeCell ref="D14:F14"/>
    <mergeCell ref="H14:K14"/>
    <mergeCell ref="B15:C15"/>
    <mergeCell ref="D15:F15"/>
    <mergeCell ref="H15:K15"/>
    <mergeCell ref="B16:C16"/>
    <mergeCell ref="D16:F16"/>
    <mergeCell ref="B17:C17"/>
    <mergeCell ref="D17:F17"/>
    <mergeCell ref="B18:C18"/>
    <mergeCell ref="D18:F18"/>
    <mergeCell ref="B19:C19"/>
    <mergeCell ref="E19:H19"/>
    <mergeCell ref="B20:C20"/>
    <mergeCell ref="B21:C21"/>
    <mergeCell ref="E21:H21"/>
    <mergeCell ref="B22:C22"/>
    <mergeCell ref="E22:H22"/>
    <mergeCell ref="B23:C23"/>
    <mergeCell ref="E23:H23"/>
    <mergeCell ref="B24:C24"/>
    <mergeCell ref="E24:H24"/>
    <mergeCell ref="A26:L26"/>
    <mergeCell ref="B27:C27"/>
    <mergeCell ref="E27:H27"/>
    <mergeCell ref="B28:C28"/>
    <mergeCell ref="B29:C29"/>
    <mergeCell ref="B30:C30"/>
    <mergeCell ref="B31:C31"/>
    <mergeCell ref="E31:H31"/>
    <mergeCell ref="A33:L33"/>
    <mergeCell ref="A34:L34"/>
    <mergeCell ref="B36:C36"/>
    <mergeCell ref="E36:H36"/>
    <mergeCell ref="B37:C37"/>
    <mergeCell ref="B38:C38"/>
    <mergeCell ref="B39:C39"/>
    <mergeCell ref="E39:H39"/>
    <mergeCell ref="B40:C40"/>
    <mergeCell ref="E40:H40"/>
    <mergeCell ref="B41:C41"/>
    <mergeCell ref="B42:C42"/>
    <mergeCell ref="B43:C43"/>
    <mergeCell ref="E43:H43"/>
    <mergeCell ref="B44:C44"/>
    <mergeCell ref="B45:C45"/>
    <mergeCell ref="B46:C46"/>
    <mergeCell ref="E46:H46"/>
    <mergeCell ref="B47:C47"/>
    <mergeCell ref="E47:H47"/>
    <mergeCell ref="B48:C48"/>
    <mergeCell ref="A50:L50"/>
    <mergeCell ref="A51:L51"/>
    <mergeCell ref="B53:C53"/>
    <mergeCell ref="B54:C54"/>
    <mergeCell ref="B55:C55"/>
    <mergeCell ref="B56:C56"/>
    <mergeCell ref="B57:C57"/>
    <mergeCell ref="E57:H57"/>
    <mergeCell ref="B58:C58"/>
    <mergeCell ref="D58:F58"/>
    <mergeCell ref="H58:K58"/>
    <mergeCell ref="B59:C59"/>
    <mergeCell ref="A61:L61"/>
    <mergeCell ref="A62:L62"/>
    <mergeCell ref="A73:L73"/>
    <mergeCell ref="B74:C74"/>
    <mergeCell ref="B75:C75"/>
    <mergeCell ref="B76:C76"/>
    <mergeCell ref="B77:C77"/>
    <mergeCell ref="B78:C78"/>
    <mergeCell ref="E78:H78"/>
    <mergeCell ref="B79:C79"/>
    <mergeCell ref="B80:C80"/>
    <mergeCell ref="B81:C81"/>
    <mergeCell ref="B82:C82"/>
    <mergeCell ref="E82:H82"/>
    <mergeCell ref="A84:L84"/>
    <mergeCell ref="B85:C85"/>
    <mergeCell ref="E85:H85"/>
    <mergeCell ref="B86:C86"/>
    <mergeCell ref="E86:H86"/>
    <mergeCell ref="B87:C87"/>
    <mergeCell ref="B88:C88"/>
    <mergeCell ref="E88:H88"/>
    <mergeCell ref="A90:L90"/>
    <mergeCell ref="B91:C91"/>
    <mergeCell ref="B92:C92"/>
    <mergeCell ref="B93:C93"/>
    <mergeCell ref="B94:C94"/>
    <mergeCell ref="B95:C95"/>
    <mergeCell ref="B96:C96"/>
    <mergeCell ref="B97:C97"/>
    <mergeCell ref="E97:H97"/>
    <mergeCell ref="B98:C98"/>
    <mergeCell ref="A100:L100"/>
    <mergeCell ref="A101:L101"/>
    <mergeCell ref="A111:L111"/>
    <mergeCell ref="A112:L112"/>
    <mergeCell ref="B114:C114"/>
    <mergeCell ref="B115:C115"/>
    <mergeCell ref="B116:C116"/>
    <mergeCell ref="B117:C117"/>
    <mergeCell ref="A119:L119"/>
    <mergeCell ref="A120:L120"/>
    <mergeCell ref="A255:L255"/>
    <mergeCell ref="A256:L256"/>
    <mergeCell ref="A285:L285"/>
  </mergeCells>
  <dataValidations count="45">
    <dataValidation type="decimal" allowBlank="1" showInputMessage="1" showErrorMessage="1" errorTitle="Check the value" error="Enter a number between 0 and 24." sqref="D27">
      <formula1>0</formula1>
      <formula2>24</formula2>
    </dataValidation>
    <dataValidation type="decimal" allowBlank="1" showInputMessage="1" showErrorMessage="1" errorTitle="Check the value" error="Enter a number between 0 and 24." sqref="D28">
      <formula1>0</formula1>
      <formula2>24</formula2>
    </dataValidation>
    <dataValidation type="whole" allowBlank="1" showInputMessage="1" showErrorMessage="1" errorTitle="Check the value" error="Enter a number between 1 and 7." sqref="D29">
      <formula1>1</formula1>
      <formula2>7</formula2>
    </dataValidation>
    <dataValidation type="whole" allowBlank="1" showInputMessage="1" showErrorMessage="1" errorTitle="Check the value" error="Enter a number between 1 and 60." sqref="D30">
      <formula1>1</formula1>
      <formula2>60</formula2>
    </dataValidation>
    <dataValidation type="decimal" allowBlank="1" showInputMessage="1" showErrorMessage="1" errorTitle="Check the value" error="Enter a number between 0 and 1." sqref="D36">
      <formula1>0</formula1>
      <formula2>1</formula2>
    </dataValidation>
    <dataValidation type="list" allowBlank="1" showInputMessage="1" showErrorMessage="1" sqref="D37">
      <formula1>YesNoList</formula1>
    </dataValidation>
    <dataValidation type="list" allowBlank="1" showInputMessage="1" showErrorMessage="1" sqref="D38">
      <formula1>YesNoList</formula1>
    </dataValidation>
    <dataValidation type="list" allowBlank="1" showInputMessage="1" showErrorMessage="1" sqref="D39">
      <formula1>YesNoList</formula1>
    </dataValidation>
    <dataValidation type="decimal" allowBlank="1" showInputMessage="1" showErrorMessage="1" errorTitle="Check the value" error="Enter a number between 0 and 1." sqref="D40">
      <formula1>0</formula1>
      <formula2>1</formula2>
    </dataValidation>
    <dataValidation type="decimal" allowBlank="1" showInputMessage="1" showErrorMessage="1" errorTitle="Check the value" error="Enter a number between 0 and 100." sqref="D41">
      <formula1>0</formula1>
      <formula2>100</formula2>
    </dataValidation>
    <dataValidation type="decimal" allowBlank="1" showInputMessage="1" showErrorMessage="1" errorTitle="Check the value" error="Enter a number between 0 and 1." sqref="D42">
      <formula1>0</formula1>
      <formula2>1</formula2>
    </dataValidation>
    <dataValidation type="decimal" allowBlank="1" showInputMessage="1" showErrorMessage="1" errorTitle="Check the value" error="Enter a number between 0 and 100000." sqref="D43">
      <formula1>0</formula1>
      <formula2>100000</formula2>
    </dataValidation>
    <dataValidation type="whole" allowBlank="1" showInputMessage="1" showErrorMessage="1" errorTitle="Check the value" error="Enter a number between 0 and 336." sqref="D44">
      <formula1>0</formula1>
      <formula2>336</formula2>
    </dataValidation>
    <dataValidation type="decimal" allowBlank="1" showInputMessage="1" showErrorMessage="1" errorTitle="Check the value" error="Enter a number between 0 and 10000." sqref="D45">
      <formula1>0</formula1>
      <formula2>10000</formula2>
    </dataValidation>
    <dataValidation type="list" allowBlank="1" showInputMessage="1" showErrorMessage="1" sqref="D46">
      <formula1>RoundingRuleList</formula1>
    </dataValidation>
    <dataValidation type="decimal" allowBlank="1" showInputMessage="1" showErrorMessage="1" errorTitle="Check the value" error="Enter a number between 0 and 10000." sqref="D47">
      <formula1>0</formula1>
      <formula2>10000</formula2>
    </dataValidation>
    <dataValidation type="whole" allowBlank="1" showInputMessage="1" showErrorMessage="1" errorTitle="Check the value" error="Enter a number between 0 and 3650." sqref="D48">
      <formula1>0</formula1>
      <formula2>3650</formula2>
    </dataValidation>
    <dataValidation type="decimal" allowBlank="1" showInputMessage="1" showErrorMessage="1" errorTitle="Check the value" error="Enter a number between 0 and 1." sqref="D53">
      <formula1>0</formula1>
      <formula2>1</formula2>
    </dataValidation>
    <dataValidation type="decimal" allowBlank="1" showInputMessage="1" showErrorMessage="1" errorTitle="Check the value" error="Enter a number between 0 and 1." sqref="D54">
      <formula1>0</formula1>
      <formula2>1</formula2>
    </dataValidation>
    <dataValidation type="decimal" allowBlank="1" showInputMessage="1" showErrorMessage="1" errorTitle="Check the value" error="Enter a number between 0 and 1." sqref="D55">
      <formula1>0</formula1>
      <formula2>1</formula2>
    </dataValidation>
    <dataValidation type="decimal" allowBlank="1" showInputMessage="1" showErrorMessage="1" errorTitle="Check the value" error="Enter a number between 0 and 1000." sqref="D56">
      <formula1>0</formula1>
      <formula2>1000</formula2>
    </dataValidation>
    <dataValidation type="decimal" allowBlank="1" showInputMessage="1" showErrorMessage="1" errorTitle="Check the value" error="Enter a number between 0 and 1." sqref="D57">
      <formula1>0</formula1>
      <formula2>1</formula2>
    </dataValidation>
    <dataValidation type="list" allowBlank="1" showInputMessage="1" showErrorMessage="1" sqref="D58">
      <formula1>"Net of discounts,Gross before discounts"</formula1>
    </dataValidation>
    <dataValidation type="decimal" allowBlank="1" showInputMessage="1" showErrorMessage="1" errorTitle="Check the value" error="Enter a number between 0 and 10000." sqref="D59">
      <formula1>0</formula1>
      <formula2>10000</formula2>
    </dataValidation>
    <dataValidation type="decimal" allowBlank="1" showInputMessage="1" showErrorMessage="1" errorTitle="Check the value" error="Enter a number between 0 and 10000000." sqref="D74">
      <formula1>0</formula1>
      <formula2>10000000</formula2>
    </dataValidation>
    <dataValidation type="decimal" allowBlank="1" showInputMessage="1" showErrorMessage="1" errorTitle="Check the value" error="Enter a number between 0 and 100000000." sqref="D75">
      <formula1>0</formula1>
      <formula2>100000000</formula2>
    </dataValidation>
    <dataValidation type="decimal" allowBlank="1" showInputMessage="1" showErrorMessage="1" errorTitle="Check the value" error="Enter a number between 0 and 10000000." sqref="D76">
      <formula1>0</formula1>
      <formula2>10000000</formula2>
    </dataValidation>
    <dataValidation type="decimal" allowBlank="1" showInputMessage="1" showErrorMessage="1" errorTitle="Check the value" error="Enter a number between 0 and 100000." sqref="D77">
      <formula1>0</formula1>
      <formula2>100000</formula2>
    </dataValidation>
    <dataValidation type="decimal" allowBlank="1" showInputMessage="1" showErrorMessage="1" errorTitle="Check the value" error="Enter a number between 0 and 1." sqref="D78">
      <formula1>0</formula1>
      <formula2>1</formula2>
    </dataValidation>
    <dataValidation type="decimal" allowBlank="1" showInputMessage="1" showErrorMessage="1" errorTitle="Check the value" error="Enter a number between 0 and 1." sqref="D79">
      <formula1>0</formula1>
      <formula2>1</formula2>
    </dataValidation>
    <dataValidation type="decimal" allowBlank="1" showInputMessage="1" showErrorMessage="1" errorTitle="Check the value" error="Enter a number between 0 and 1." sqref="D80">
      <formula1>0</formula1>
      <formula2>1</formula2>
    </dataValidation>
    <dataValidation type="decimal" allowBlank="1" showInputMessage="1" showErrorMessage="1" errorTitle="Check the value" error="Enter a number between 0 and 1." sqref="D81">
      <formula1>0</formula1>
      <formula2>1</formula2>
    </dataValidation>
    <dataValidation type="decimal" allowBlank="1" showInputMessage="1" showErrorMessage="1" errorTitle="Check the value" error="Enter a number between 0 and 1000000." sqref="D82">
      <formula1>0</formula1>
      <formula2>1000000</formula2>
    </dataValidation>
    <dataValidation type="decimal" allowBlank="1" showInputMessage="1" showErrorMessage="1" errorTitle="Check the value" error="Enter a number between 1 and 20." sqref="D85">
      <formula1>1</formula1>
      <formula2>20</formula2>
    </dataValidation>
    <dataValidation type="decimal" allowBlank="1" showInputMessage="1" showErrorMessage="1" errorTitle="Check the value" error="Enter a number between 0.5 and 52." sqref="D86">
      <formula1>0.5</formula1>
      <formula2>52</formula2>
    </dataValidation>
    <dataValidation type="decimal" allowBlank="1" showInputMessage="1" showErrorMessage="1" errorTitle="Check the value" error="Enter a number between 0 and 52." sqref="D87">
      <formula1>0</formula1>
      <formula2>52</formula2>
    </dataValidation>
    <dataValidation type="decimal" allowBlank="1" showInputMessage="1" showErrorMessage="1" errorTitle="Check the value" error="Enter a number between 0 and 1." sqref="D88">
      <formula1>0</formula1>
      <formula2>1</formula2>
    </dataValidation>
    <dataValidation type="whole" allowBlank="1" showInputMessage="1" showErrorMessage="1" errorTitle="Check the value" error="Enter a number between 1 and 104." sqref="D91">
      <formula1>1</formula1>
      <formula2>104</formula2>
    </dataValidation>
    <dataValidation type="whole" allowBlank="1" showInputMessage="1" showErrorMessage="1" errorTitle="Check the value" error="Enter a number between 1 and 1000." sqref="D92">
      <formula1>1</formula1>
      <formula2>1000</formula2>
    </dataValidation>
    <dataValidation type="whole" allowBlank="1" showInputMessage="1" showErrorMessage="1" errorTitle="Check the value" error="Enter a number between 1 and 2000." sqref="D93">
      <formula1>1</formula1>
      <formula2>2000</formula2>
    </dataValidation>
    <dataValidation type="whole" allowBlank="1" showInputMessage="1" showErrorMessage="1" errorTitle="Check the value" error="Enter a number between 1 and 2000." sqref="D94">
      <formula1>1</formula1>
      <formula2>2000</formula2>
    </dataValidation>
    <dataValidation type="decimal" allowBlank="1" showInputMessage="1" showErrorMessage="1" errorTitle="Check the value" error="Enter a number between 0 and 100." sqref="D95">
      <formula1>0</formula1>
      <formula2>100</formula2>
    </dataValidation>
    <dataValidation type="whole" allowBlank="1" showInputMessage="1" showErrorMessage="1" errorTitle="Check the value" error="Enter a number between 1 and 100000." sqref="D96">
      <formula1>1</formula1>
      <formula2>100000</formula2>
    </dataValidation>
    <dataValidation type="decimal" allowBlank="1" showInputMessage="1" showErrorMessage="1" errorTitle="Check the value" error="Enter a number between 0 and 10000." sqref="D97">
      <formula1>0</formula1>
      <formula2>10000</formula2>
    </dataValidation>
    <dataValidation type="decimal" allowBlank="1" showInputMessage="1" showErrorMessage="1" errorTitle="Check the value" error="Enter a number between 0 and 10000." sqref="D98">
      <formula1>0</formula1>
      <formula2>10000</formula2>
    </dataValidation>
  </dataValidations>
  <hyperlinks>
    <hyperlink ref="A3" location="'Start Here'!A1" display="&gt; Start Here"/>
    <hyperlink ref="C3" location="Dashboard!A1" display="&gt; Dashboard"/>
    <hyperlink ref="E3" location="Appointments!A1" display="&gt; Diary"/>
    <hyperlink ref="G3" location="Clients!A1" display="&gt; Clients"/>
    <hyperlink ref="I3" location="Services!A1" display="&gt; Services"/>
    <hyperlink ref="K3" location="Sales!A1" display="&gt; Sales"/>
  </hyperlinks>
  <pageMargins left="0.4" right="0.4" top="0.6" bottom="0.5" header="0.3" footer="0.3"/>
  <pageSetup paperSize="9" fitToHeight="0" orientation="landscape"/>
  <headerFooter>
    <oddHeader>&amp;L&amp;"Calibri,Bold"&amp;12&amp;C&amp;"Calibri,Bold"&amp;11Settings&amp;R&amp;"Calibri,Italic"&amp;9Salon Business Management Spreadsheet</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163</vt:i4>
      </vt:variant>
    </vt:vector>
  </HeadingPairs>
  <TitlesOfParts>
    <vt:vector size="183" baseType="lpstr">
      <vt:lpstr>Start Here</vt:lpstr>
      <vt:lpstr>Dashboard</vt:lpstr>
      <vt:lpstr>Appointments</vt:lpstr>
      <vt:lpstr>Clients</vt:lpstr>
      <vt:lpstr>Services</vt:lpstr>
      <vt:lpstr>Sales</vt:lpstr>
      <vt:lpstr>Payments</vt:lpstr>
      <vt:lpstr>Staff</vt:lpstr>
      <vt:lpstr>Commissions</vt:lpstr>
      <vt:lpstr>Payroll</vt:lpstr>
      <vt:lpstr>Expenses</vt:lpstr>
      <vt:lpstr>Profit &amp; Loss</vt:lpstr>
      <vt:lpstr>Inventory</vt:lpstr>
      <vt:lpstr>Purchases</vt:lpstr>
      <vt:lpstr>Marketing</vt:lpstr>
      <vt:lpstr>Loyalty</vt:lpstr>
      <vt:lpstr>Goals &amp; Budget</vt:lpstr>
      <vt:lpstr>Analytics</vt:lpstr>
      <vt:lpstr>Reports</vt:lpstr>
      <vt:lpstr>Settings</vt:lpstr>
      <vt:lpstr>AppointmentDates</vt:lpstr>
      <vt:lpstr>AppointmentIDs</vt:lpstr>
      <vt:lpstr>AppointmentPrefix</vt:lpstr>
      <vt:lpstr>AppointmentStatus</vt:lpstr>
      <vt:lpstr>AppointmentStatusList</vt:lpstr>
      <vt:lpstr>ApprenticeCommission</vt:lpstr>
      <vt:lpstr>BudgetAmount</vt:lpstr>
      <vt:lpstr>BudgetCategory</vt:lpstr>
      <vt:lpstr>BudgetMonthlyTotal</vt:lpstr>
      <vt:lpstr>CampaignPrefix</vt:lpstr>
      <vt:lpstr>CampaignStatusList</vt:lpstr>
      <vt:lpstr>CancellationHours</vt:lpstr>
      <vt:lpstr>CancelReasonList</vt:lpstr>
      <vt:lpstr>CardFeeFixed</vt:lpstr>
      <vt:lpstr>CardFeePercent</vt:lpstr>
      <vt:lpstr>ChairHoursWeek</vt:lpstr>
      <vt:lpstr>ChairRentWeek</vt:lpstr>
      <vt:lpstr>Chairs</vt:lpstr>
      <vt:lpstr>ClientCount</vt:lpstr>
      <vt:lpstr>ClientList</vt:lpstr>
      <vt:lpstr>ClientNames</vt:lpstr>
      <vt:lpstr>ClientPrefix</vt:lpstr>
      <vt:lpstr>ClientSegments</vt:lpstr>
      <vt:lpstr>ClientStatusList</vt:lpstr>
      <vt:lpstr>ClientTargetYear</vt:lpstr>
      <vt:lpstr>CloseHour</vt:lpstr>
      <vt:lpstr>CommissionMethodList</vt:lpstr>
      <vt:lpstr>CommissionOn</vt:lpstr>
      <vt:lpstr>CommissionPrefix</vt:lpstr>
      <vt:lpstr>ContactList</vt:lpstr>
      <vt:lpstr>CurrencySign</vt:lpstr>
      <vt:lpstr>DashKey</vt:lpstr>
      <vt:lpstr>DashPrevKey</vt:lpstr>
      <vt:lpstr>DefaultHourly</vt:lpstr>
      <vt:lpstr>DepositPercent</vt:lpstr>
      <vt:lpstr>DepositThreshold</vt:lpstr>
      <vt:lpstr>ExpenseAmounts</vt:lpstr>
      <vt:lpstr>ExpenseCategoriesCol</vt:lpstr>
      <vt:lpstr>ExpenseCategoryList</vt:lpstr>
      <vt:lpstr>ExpenseMonths</vt:lpstr>
      <vt:lpstr>ExpensePrefix</vt:lpstr>
      <vt:lpstr>FrequencyList</vt:lpstr>
      <vt:lpstr>InactiveDays</vt:lpstr>
      <vt:lpstr>LapsingDays</vt:lpstr>
      <vt:lpstr>LoyaltyPrefix</vt:lpstr>
      <vt:lpstr>LoyaltyRewardList</vt:lpstr>
      <vt:lpstr>MarketingChannelList</vt:lpstr>
      <vt:lpstr>MonthCostOfSales</vt:lpstr>
      <vt:lpstr>MonthExpenses</vt:lpstr>
      <vt:lpstr>MonthKeyList</vt:lpstr>
      <vt:lpstr>MonthKeys</vt:lpstr>
      <vt:lpstr>MonthNetSales</vt:lpstr>
      <vt:lpstr>MonthWages</vt:lpstr>
      <vt:lpstr>NetSalesAll</vt:lpstr>
      <vt:lpstr>NewClientTargetYear</vt:lpstr>
      <vt:lpstr>NoShowFee</vt:lpstr>
      <vt:lpstr>OpenDays</vt:lpstr>
      <vt:lpstr>OpenHour</vt:lpstr>
      <vt:lpstr>OwnerName</vt:lpstr>
      <vt:lpstr>PatchTestDays</vt:lpstr>
      <vt:lpstr>PaymentKindList</vt:lpstr>
      <vt:lpstr>PaymentMethodList</vt:lpstr>
      <vt:lpstr>PaymentPrefix</vt:lpstr>
      <vt:lpstr>PayPeriodList</vt:lpstr>
      <vt:lpstr>PayrollBurden</vt:lpstr>
      <vt:lpstr>PayrollPrefix</vt:lpstr>
      <vt:lpstr>PLNetSalesRow</vt:lpstr>
      <vt:lpstr>PointsPerUnit</vt:lpstr>
      <vt:lpstr>PriceReviewDays</vt:lpstr>
      <vt:lpstr>'Appointments'!Print_Area</vt:lpstr>
      <vt:lpstr>'Clients'!Print_Area</vt:lpstr>
      <vt:lpstr>'Commissions'!Print_Area</vt:lpstr>
      <vt:lpstr>'Expenses'!Print_Area</vt:lpstr>
      <vt:lpstr>'Inventory'!Print_Area</vt:lpstr>
      <vt:lpstr>'Loyalty'!Print_Area</vt:lpstr>
      <vt:lpstr>'Marketing'!Print_Area</vt:lpstr>
      <vt:lpstr>'Payments'!Print_Area</vt:lpstr>
      <vt:lpstr>'Payroll'!Print_Area</vt:lpstr>
      <vt:lpstr>'Purchases'!Print_Area</vt:lpstr>
      <vt:lpstr>'Sales'!Print_Area</vt:lpstr>
      <vt:lpstr>'Services'!Print_Area</vt:lpstr>
      <vt:lpstr>'Staff'!Print_Area</vt:lpstr>
      <vt:lpstr>'Appointments'!Print_Titles</vt:lpstr>
      <vt:lpstr>'Clients'!Print_Titles</vt:lpstr>
      <vt:lpstr>'Commissions'!Print_Titles</vt:lpstr>
      <vt:lpstr>'Expenses'!Print_Titles</vt:lpstr>
      <vt:lpstr>'Inventory'!Print_Titles</vt:lpstr>
      <vt:lpstr>'Loyalty'!Print_Titles</vt:lpstr>
      <vt:lpstr>'Marketing'!Print_Titles</vt:lpstr>
      <vt:lpstr>'Payments'!Print_Titles</vt:lpstr>
      <vt:lpstr>'Payroll'!Print_Titles</vt:lpstr>
      <vt:lpstr>'Purchases'!Print_Titles</vt:lpstr>
      <vt:lpstr>'Sales'!Print_Titles</vt:lpstr>
      <vt:lpstr>'Services'!Print_Titles</vt:lpstr>
      <vt:lpstr>'Staff'!Print_Titles</vt:lpstr>
      <vt:lpstr>ProductCategoryList</vt:lpstr>
      <vt:lpstr>ProductCostPercent</vt:lpstr>
      <vt:lpstr>ProductList</vt:lpstr>
      <vt:lpstr>ProductNames</vt:lpstr>
      <vt:lpstr>ProductPrefix</vt:lpstr>
      <vt:lpstr>ProfitTargetMonth</vt:lpstr>
      <vt:lpstr>PromoCodes</vt:lpstr>
      <vt:lpstr>PurchasePrefix</vt:lpstr>
      <vt:lpstr>PurchaseStatusList</vt:lpstr>
      <vt:lpstr>RebookWeeks</vt:lpstr>
      <vt:lpstr>ReferralReward</vt:lpstr>
      <vt:lpstr>ReorderWeeks</vt:lpstr>
      <vt:lpstr>ReportMonth</vt:lpstr>
      <vt:lpstr>ReportWeekEnd</vt:lpstr>
      <vt:lpstr>RetailCommission</vt:lpstr>
      <vt:lpstr>RetailMarkup</vt:lpstr>
      <vt:lpstr>RetailRevenueAll</vt:lpstr>
      <vt:lpstr>RevenueTargetMonth</vt:lpstr>
      <vt:lpstr>RevenueTargetYear</vt:lpstr>
      <vt:lpstr>RewardAt</vt:lpstr>
      <vt:lpstr>RewardValue</vt:lpstr>
      <vt:lpstr>RoundingRule</vt:lpstr>
      <vt:lpstr>RoundingRuleList</vt:lpstr>
      <vt:lpstr>SaleDates</vt:lpstr>
      <vt:lpstr>SaleIDs</vt:lpstr>
      <vt:lpstr>SaleKindList</vt:lpstr>
      <vt:lpstr>SaleKinds</vt:lpstr>
      <vt:lpstr>SaleMonths</vt:lpstr>
      <vt:lpstr>SaleNet</vt:lpstr>
      <vt:lpstr>SalePrefix</vt:lpstr>
      <vt:lpstr>SaleStaff</vt:lpstr>
      <vt:lpstr>SalonName</vt:lpstr>
      <vt:lpstr>ServiceCategories</vt:lpstr>
      <vt:lpstr>ServiceCategoryList</vt:lpstr>
      <vt:lpstr>ServiceCommission</vt:lpstr>
      <vt:lpstr>ServiceList</vt:lpstr>
      <vt:lpstr>ServiceNames</vt:lpstr>
      <vt:lpstr>ServicePrefix</vt:lpstr>
      <vt:lpstr>ServiceRevenueAll</vt:lpstr>
      <vt:lpstr>ServiceRevenueCol</vt:lpstr>
      <vt:lpstr>ServiceStatusList</vt:lpstr>
      <vt:lpstr>SourceList</vt:lpstr>
      <vt:lpstr>StaffList</vt:lpstr>
      <vt:lpstr>StaffNames</vt:lpstr>
      <vt:lpstr>StaffPrefix</vt:lpstr>
      <vt:lpstr>StaffStatusList</vt:lpstr>
      <vt:lpstr>StaffTypeList</vt:lpstr>
      <vt:lpstr>StockWarningWeeks</vt:lpstr>
      <vt:lpstr>StylistLevelList</vt:lpstr>
      <vt:lpstr>SupplierLeadDays</vt:lpstr>
      <vt:lpstr>SupplierList</vt:lpstr>
      <vt:lpstr>TargetChairRate</vt:lpstr>
      <vt:lpstr>TargetRebook</vt:lpstr>
      <vt:lpstr>TargetRetailShare</vt:lpstr>
      <vt:lpstr>TargetRetention</vt:lpstr>
      <vt:lpstr>TargetTicket</vt:lpstr>
      <vt:lpstr>TargetUtilisation</vt:lpstr>
      <vt:lpstr>TaxOnRetail</vt:lpstr>
      <vt:lpstr>TaxOnServices</vt:lpstr>
      <vt:lpstr>TaxRate</vt:lpstr>
      <vt:lpstr>ThisMonthKey</vt:lpstr>
      <vt:lpstr>TierFrom</vt:lpstr>
      <vt:lpstr>TierRate</vt:lpstr>
      <vt:lpstr>TodayDate</vt:lpstr>
      <vt:lpstr>TrackingStart</vt:lpstr>
      <vt:lpstr>TrackingWeeks</vt:lpstr>
      <vt:lpstr>VipSpend</vt:lpstr>
      <vt:lpstr>YesNoList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Salon Business Management Spreadsheet</dc:title>
  <dc:subject>Salon appointments, clients, pricing, sales, staff commission, stock and profit</dc:subject>
  <dc:creator>Novality Store</dc:creator>
  <cp:keywords>salon spreadsheet, hair salon business planner, appointment tracker, client CRM, salon pricing calculator, stylist commission calculator, salon profit and loss, beauty business spreadsheet, nail tech planner, lash artist booking tracker, spreadsheet template</cp:keywords>
  <dc:description>Salon Business Management Spreadsheet. Created by Novality Store. Version 1.0.0. Formula cells are locked and every sheet is protected with the password 'premium'.</dc:description>
  <cp:lastModifiedBy>Novality Store</cp:lastModifiedBy>
  <dcterms:created xsi:type="dcterms:W3CDTF">2026-10-22T00:00:00Z</dcterms:created>
  <dcterms:modified xsi:type="dcterms:W3CDTF">2026-10-22T00:00:00Z</dcterms:modified>
  <cp:category>Small business spreadsheet template</cp:category>
  <cp:contentStatus>Final</cp:contentStatus>
</cp:coreProperties>
</file>